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他人の論文\中山\JPOST\"/>
    </mc:Choice>
  </mc:AlternateContent>
  <bookViews>
    <workbookView xWindow="816" yWindow="-132" windowWidth="16152" windowHeight="7368"/>
  </bookViews>
  <sheets>
    <sheet name="mHepa" sheetId="2" r:id="rId1"/>
    <sheet name="Neuro2A" sheetId="3" r:id="rId2"/>
    <sheet name="C2C12" sheetId="4" r:id="rId3"/>
  </sheets>
  <calcPr calcId="162913"/>
</workbook>
</file>

<file path=xl/calcChain.xml><?xml version="1.0" encoding="utf-8"?>
<calcChain xmlns="http://schemas.openxmlformats.org/spreadsheetml/2006/main">
  <c r="D2431" i="3" l="1"/>
  <c r="D8441" i="3"/>
  <c r="D2679" i="4"/>
  <c r="D6987" i="4"/>
  <c r="D1433" i="4"/>
  <c r="D1232" i="4"/>
  <c r="D1231" i="4"/>
  <c r="D2496" i="4"/>
  <c r="D1736" i="4"/>
  <c r="D1083" i="4"/>
  <c r="D1230" i="4"/>
  <c r="D2678" i="4"/>
  <c r="D2092" i="4"/>
  <c r="D12488" i="4"/>
  <c r="D1735" i="4"/>
  <c r="D12487" i="4"/>
  <c r="D6654" i="4"/>
  <c r="D11941" i="4"/>
  <c r="D9711" i="4"/>
  <c r="D6888" i="4"/>
  <c r="D3932" i="4"/>
  <c r="D6313" i="4"/>
  <c r="D12486" i="4"/>
  <c r="D2059" i="4"/>
  <c r="D9710" i="4"/>
  <c r="D13846" i="4"/>
  <c r="D9709" i="4"/>
  <c r="D13845" i="4"/>
  <c r="D2495" i="4"/>
  <c r="D5060" i="4"/>
  <c r="D257" i="4"/>
  <c r="D14609" i="4"/>
  <c r="D14659" i="4"/>
  <c r="D3931" i="4"/>
  <c r="D13461" i="4"/>
  <c r="D9175" i="4"/>
  <c r="D9833" i="4"/>
  <c r="D11843" i="4"/>
  <c r="D9708" i="4"/>
  <c r="D2677" i="4"/>
  <c r="D6312" i="4"/>
  <c r="D3930" i="4"/>
  <c r="D2676" i="4"/>
  <c r="D9174" i="4"/>
  <c r="D13844" i="4"/>
  <c r="D15272" i="4"/>
  <c r="D6887" i="4"/>
  <c r="D15565" i="4"/>
  <c r="D14524" i="4"/>
  <c r="D2675" i="4"/>
  <c r="D2494" i="4"/>
  <c r="D2674" i="4"/>
  <c r="D15564" i="4"/>
  <c r="D6311" i="4"/>
  <c r="D9173" i="4"/>
  <c r="D3929" i="4"/>
  <c r="D6986" i="4"/>
  <c r="D1432" i="4"/>
  <c r="D11842" i="4"/>
  <c r="D9707" i="4"/>
  <c r="D14658" i="4"/>
  <c r="D3928" i="4"/>
  <c r="D9706" i="4"/>
  <c r="D13843" i="4"/>
  <c r="D12539" i="4"/>
  <c r="D11228" i="4"/>
  <c r="D414" i="4"/>
  <c r="D15563" i="4"/>
  <c r="D15562" i="4"/>
  <c r="D1550" i="4"/>
  <c r="D15561" i="4"/>
  <c r="D15560" i="4"/>
  <c r="D12485" i="4"/>
  <c r="D5694" i="4"/>
  <c r="D6985" i="4"/>
  <c r="D1431" i="4"/>
  <c r="D3927" i="4"/>
  <c r="D9172" i="4"/>
  <c r="D15271" i="4"/>
  <c r="D2120" i="4"/>
  <c r="D6653" i="4"/>
  <c r="D2873" i="4"/>
  <c r="D15559" i="4"/>
  <c r="D15558" i="4"/>
  <c r="D11269" i="4"/>
  <c r="D3926" i="4"/>
  <c r="D9171" i="4"/>
  <c r="D555" i="4"/>
  <c r="D9170" i="4"/>
  <c r="D9169" i="4"/>
  <c r="D9705" i="4"/>
  <c r="D9944" i="4"/>
  <c r="D5826" i="4"/>
  <c r="D2211" i="4"/>
  <c r="D3209" i="4"/>
  <c r="D10674" i="4"/>
  <c r="D9168" i="4"/>
  <c r="D15557" i="4"/>
  <c r="D1871" i="4"/>
  <c r="D15270" i="4"/>
  <c r="D5825" i="4"/>
  <c r="D15556" i="4"/>
  <c r="D554" i="4"/>
  <c r="D12484" i="4"/>
  <c r="D9704" i="4"/>
  <c r="D6883" i="4"/>
  <c r="D6310" i="4"/>
  <c r="D10382" i="4"/>
  <c r="D13842" i="4"/>
  <c r="D15555" i="4"/>
  <c r="D9167" i="4"/>
  <c r="D6861" i="4"/>
  <c r="D9703" i="4"/>
  <c r="D9832" i="4"/>
  <c r="D15554" i="4"/>
  <c r="D5947" i="4"/>
  <c r="D637" i="4"/>
  <c r="D13361" i="4"/>
  <c r="D3925" i="4"/>
  <c r="D3924" i="4"/>
  <c r="D11375" i="4"/>
  <c r="D13275" i="4"/>
  <c r="D9702" i="4"/>
  <c r="D5824" i="4"/>
  <c r="D3923" i="4"/>
  <c r="D2493" i="4"/>
  <c r="D10381" i="4"/>
  <c r="D6309" i="4"/>
  <c r="D9166" i="4"/>
  <c r="D6308" i="4"/>
  <c r="D2872" i="4"/>
  <c r="D9165" i="4"/>
  <c r="D11301" i="4"/>
  <c r="D636" i="4"/>
  <c r="D15553" i="4"/>
  <c r="D2871" i="4"/>
  <c r="D1761" i="4"/>
  <c r="D9976" i="4"/>
  <c r="D9856" i="4"/>
  <c r="D9164" i="4"/>
  <c r="D14523" i="4"/>
  <c r="D13460" i="4"/>
  <c r="D14971" i="4"/>
  <c r="D15552" i="4"/>
  <c r="D15551" i="4"/>
  <c r="D9701" i="4"/>
  <c r="D5823" i="4"/>
  <c r="D12699" i="4"/>
  <c r="D14970" i="4"/>
  <c r="D2492" i="4"/>
  <c r="D13841" i="4"/>
  <c r="D6479" i="4"/>
  <c r="D14102" i="4"/>
  <c r="D9700" i="4"/>
  <c r="D15269" i="4"/>
  <c r="D13274" i="4"/>
  <c r="D553" i="4"/>
  <c r="D9163" i="4"/>
  <c r="D2870" i="4"/>
  <c r="D1734" i="4"/>
  <c r="D15268" i="4"/>
  <c r="D14771" i="4"/>
  <c r="D9699" i="4"/>
  <c r="D5822" i="4"/>
  <c r="D2491" i="4"/>
  <c r="D9698" i="4"/>
  <c r="D6197" i="4"/>
  <c r="D9697" i="4"/>
  <c r="D12840" i="4"/>
  <c r="D13459" i="4"/>
  <c r="D9162" i="4"/>
  <c r="D9696" i="4"/>
  <c r="D15267" i="4"/>
  <c r="D1985" i="4"/>
  <c r="D3236" i="4"/>
  <c r="D9161" i="4"/>
  <c r="D10985" i="4"/>
  <c r="D2570" i="4"/>
  <c r="D15550" i="4"/>
  <c r="D11374" i="4"/>
  <c r="D9742" i="4"/>
  <c r="D6307" i="4"/>
  <c r="D11971" i="4"/>
  <c r="D15549" i="4"/>
  <c r="D12698" i="4"/>
  <c r="D6384" i="4"/>
  <c r="D12483" i="4"/>
  <c r="D9160" i="4"/>
  <c r="D14770" i="4"/>
  <c r="D3922" i="4"/>
  <c r="D9159" i="4"/>
  <c r="D10380" i="4"/>
  <c r="D11625" i="4"/>
  <c r="D6984" i="4"/>
  <c r="D1430" i="4"/>
  <c r="D1549" i="4"/>
  <c r="D13840" i="4"/>
  <c r="D6306" i="4"/>
  <c r="D13273" i="4"/>
  <c r="D5059" i="4"/>
  <c r="D4564" i="4"/>
  <c r="D14522" i="4"/>
  <c r="D9695" i="4"/>
  <c r="D12404" i="4"/>
  <c r="D14246" i="4"/>
  <c r="D6305" i="4"/>
  <c r="D15266" i="4"/>
  <c r="D5946" i="4"/>
  <c r="D9158" i="4"/>
  <c r="D9831" i="4"/>
  <c r="D13272" i="4"/>
  <c r="D2490" i="4"/>
  <c r="D12482" i="4"/>
  <c r="D13839" i="4"/>
  <c r="D14969" i="4"/>
  <c r="D5058" i="4"/>
  <c r="D4516" i="4"/>
  <c r="D9157" i="4"/>
  <c r="D1572" i="4"/>
  <c r="D12613" i="4"/>
  <c r="D15548" i="4"/>
  <c r="D9156" i="4"/>
  <c r="D1548" i="4"/>
  <c r="D15547" i="4"/>
  <c r="D15546" i="4"/>
  <c r="D5945" i="4"/>
  <c r="D14769" i="4"/>
  <c r="D5659" i="4"/>
  <c r="D14657" i="4"/>
  <c r="D13838" i="4"/>
  <c r="D9263" i="4"/>
  <c r="D3208" i="4"/>
  <c r="D9885" i="4"/>
  <c r="D14245" i="4"/>
  <c r="D14244" i="4"/>
  <c r="D15545" i="4"/>
  <c r="D12900" i="4"/>
  <c r="D2673" i="4"/>
  <c r="D5658" i="4"/>
  <c r="D5657" i="4"/>
  <c r="D11227" i="4"/>
  <c r="D5997" i="4"/>
  <c r="D4358" i="4"/>
  <c r="D2489" i="4"/>
  <c r="D6196" i="4"/>
  <c r="D15544" i="4"/>
  <c r="D14768" i="4"/>
  <c r="D1984" i="4"/>
  <c r="D10583" i="4"/>
  <c r="D11500" i="4"/>
  <c r="D13458" i="4"/>
  <c r="D12839" i="4"/>
  <c r="D2488" i="4"/>
  <c r="D12838" i="4"/>
  <c r="D9830" i="4"/>
  <c r="D5656" i="4"/>
  <c r="D12403" i="4"/>
  <c r="D12837" i="4"/>
  <c r="D12836" i="4"/>
  <c r="D12835" i="4"/>
  <c r="D7041" i="4"/>
  <c r="D12402" i="4"/>
  <c r="D9694" i="4"/>
  <c r="D1870" i="4"/>
  <c r="D1571" i="4"/>
  <c r="D15682" i="4"/>
  <c r="D6304" i="4"/>
  <c r="D9155" i="4"/>
  <c r="D9693" i="4"/>
  <c r="D9154" i="4"/>
  <c r="D2869" i="4"/>
  <c r="D3921" i="4"/>
  <c r="D6303" i="4"/>
  <c r="D9692" i="4"/>
  <c r="D3920" i="4"/>
  <c r="D9153" i="4"/>
  <c r="D9152" i="4"/>
  <c r="D2119" i="4"/>
  <c r="D6302" i="4"/>
  <c r="D12481" i="4"/>
  <c r="D2091" i="4"/>
  <c r="D5655" i="4"/>
  <c r="D14155" i="4"/>
  <c r="D10390" i="4"/>
  <c r="D5654" i="4"/>
  <c r="D10719" i="4"/>
  <c r="D6478" i="4"/>
  <c r="D11841" i="4"/>
  <c r="D14243" i="4"/>
  <c r="D5732" i="4"/>
  <c r="D15543" i="4"/>
  <c r="D3009" i="4"/>
  <c r="D3207" i="4"/>
  <c r="D2868" i="4"/>
  <c r="D14242" i="4"/>
  <c r="D9691" i="4"/>
  <c r="D1983" i="4"/>
  <c r="D11373" i="4"/>
  <c r="D742" i="4"/>
  <c r="D9151" i="4"/>
  <c r="D12834" i="4"/>
  <c r="D12833" i="4"/>
  <c r="D9884" i="4"/>
  <c r="D9855" i="4"/>
  <c r="D6195" i="4"/>
  <c r="D5821" i="4"/>
  <c r="D13837" i="4"/>
  <c r="D6983" i="4"/>
  <c r="D1429" i="4"/>
  <c r="D12892" i="4"/>
  <c r="D11701" i="4"/>
  <c r="D13119" i="4"/>
  <c r="D15681" i="4"/>
  <c r="D3919" i="4"/>
  <c r="D9150" i="4"/>
  <c r="D5996" i="4"/>
  <c r="D4515" i="4"/>
  <c r="D1570" i="4"/>
  <c r="D12832" i="4"/>
  <c r="D2867" i="4"/>
  <c r="D15542" i="4"/>
  <c r="D9690" i="4"/>
  <c r="D5653" i="4"/>
  <c r="D2866" i="4"/>
  <c r="D2569" i="4"/>
  <c r="D741" i="4"/>
  <c r="D12401" i="4"/>
  <c r="D1982" i="4"/>
  <c r="D1783" i="4"/>
  <c r="D13991" i="4"/>
  <c r="D4514" i="4"/>
  <c r="D10379" i="4"/>
  <c r="D9149" i="4"/>
  <c r="D3206" i="4"/>
  <c r="D2487" i="4"/>
  <c r="D2090" i="4"/>
  <c r="D12400" i="4"/>
  <c r="D14241" i="4"/>
  <c r="D2865" i="4"/>
  <c r="D10378" i="4"/>
  <c r="D12831" i="4"/>
  <c r="D3918" i="4"/>
  <c r="D13210" i="4"/>
  <c r="D5693" i="4"/>
  <c r="D5652" i="4"/>
  <c r="D1747" i="4"/>
  <c r="D14968" i="4"/>
  <c r="D12830" i="4"/>
  <c r="D6194" i="4"/>
  <c r="D12480" i="4"/>
  <c r="D6423" i="4"/>
  <c r="D635" i="4"/>
  <c r="D1005" i="4"/>
  <c r="D2486" i="4"/>
  <c r="D1004" i="4"/>
  <c r="D6193" i="4"/>
  <c r="D14250" i="4"/>
  <c r="D5132" i="4"/>
  <c r="D2485" i="4"/>
  <c r="D9148" i="4"/>
  <c r="D634" i="4"/>
  <c r="D740" i="4"/>
  <c r="D10508" i="4"/>
  <c r="D14101" i="4"/>
  <c r="D13271" i="4"/>
  <c r="D12829" i="4"/>
  <c r="D9147" i="4"/>
  <c r="D6192" i="4"/>
  <c r="D11226" i="4"/>
  <c r="D9146" i="4"/>
  <c r="D6882" i="4"/>
  <c r="D1150" i="4"/>
  <c r="D9145" i="4"/>
  <c r="D5922" i="4"/>
  <c r="D13836" i="4"/>
  <c r="D14240" i="4"/>
  <c r="D15265" i="4"/>
  <c r="D2089" i="4"/>
  <c r="D5651" i="4"/>
  <c r="D6843" i="4"/>
  <c r="D9689" i="4"/>
  <c r="D6860" i="4"/>
  <c r="D2058" i="4"/>
  <c r="D13270" i="4"/>
  <c r="D6301" i="4"/>
  <c r="D6191" i="4"/>
  <c r="D9144" i="4"/>
  <c r="D2568" i="4"/>
  <c r="D14239" i="4"/>
  <c r="D9143" i="4"/>
  <c r="D1333" i="4"/>
  <c r="D12399" i="4"/>
  <c r="D15541" i="4"/>
  <c r="D15540" i="4"/>
  <c r="D3917" i="4"/>
  <c r="D13209" i="4"/>
  <c r="D15539" i="4"/>
  <c r="D12929" i="4"/>
  <c r="D12974" i="4"/>
  <c r="D1003" i="4"/>
  <c r="D5921" i="4"/>
  <c r="D535" i="4"/>
  <c r="D633" i="4"/>
  <c r="D5920" i="4"/>
  <c r="D632" i="4"/>
  <c r="D7040" i="4"/>
  <c r="D9688" i="4"/>
  <c r="D12398" i="4"/>
  <c r="D1002" i="4"/>
  <c r="D5919" i="4"/>
  <c r="D10507" i="4"/>
  <c r="D15538" i="4"/>
  <c r="D10377" i="4"/>
  <c r="D12828" i="4"/>
  <c r="D5650" i="4"/>
  <c r="D12397" i="4"/>
  <c r="D11499" i="4"/>
  <c r="D10376" i="4"/>
  <c r="D9142" i="4"/>
  <c r="D6422" i="4"/>
  <c r="D12673" i="4"/>
  <c r="D4133" i="4"/>
  <c r="D2088" i="4"/>
  <c r="D9141" i="4"/>
  <c r="D9829" i="4"/>
  <c r="D631" i="4"/>
  <c r="D1812" i="4"/>
  <c r="D5649" i="4"/>
  <c r="D9140" i="4"/>
  <c r="D3205" i="4"/>
  <c r="D5057" i="4"/>
  <c r="D12827" i="4"/>
  <c r="D2672" i="4"/>
  <c r="D464" i="4"/>
  <c r="D2484" i="4"/>
  <c r="D11786" i="4"/>
  <c r="D6190" i="4"/>
  <c r="D9139" i="4"/>
  <c r="D1072" i="4"/>
  <c r="D2483" i="4"/>
  <c r="D15264" i="4"/>
  <c r="D14862" i="4"/>
  <c r="D3228" i="4"/>
  <c r="D5918" i="4"/>
  <c r="D12891" i="4"/>
  <c r="D11700" i="4"/>
  <c r="D3916" i="4"/>
  <c r="D9138" i="4"/>
  <c r="D3204" i="4"/>
  <c r="D534" i="4"/>
  <c r="D2864" i="4"/>
  <c r="D15537" i="4"/>
  <c r="D15263" i="4"/>
  <c r="D12396" i="4"/>
  <c r="D10375" i="4"/>
  <c r="D12395" i="4"/>
  <c r="D15536" i="4"/>
  <c r="D4573" i="4"/>
  <c r="D2567" i="4"/>
  <c r="D739" i="4"/>
  <c r="D6505" i="4"/>
  <c r="D3915" i="4"/>
  <c r="D13208" i="4"/>
  <c r="D3914" i="4"/>
  <c r="D5648" i="4"/>
  <c r="D738" i="4"/>
  <c r="D9137" i="4"/>
  <c r="D10635" i="4"/>
  <c r="D3913" i="4"/>
  <c r="D12394" i="4"/>
  <c r="D12393" i="4"/>
  <c r="D14133" i="4"/>
  <c r="D6189" i="4"/>
  <c r="D3912" i="4"/>
  <c r="D13207" i="4"/>
  <c r="D1149" i="4"/>
  <c r="D3911" i="4"/>
  <c r="D3910" i="4"/>
  <c r="D737" i="4"/>
  <c r="D5917" i="4"/>
  <c r="D11564" i="4"/>
  <c r="D13835" i="4"/>
  <c r="D1332" i="4"/>
  <c r="D9136" i="4"/>
  <c r="D1981" i="4"/>
  <c r="D9135" i="4"/>
  <c r="D3909" i="4"/>
  <c r="D13834" i="4"/>
  <c r="D9828" i="4"/>
  <c r="D14521" i="4"/>
  <c r="D1782" i="4"/>
  <c r="D6982" i="4"/>
  <c r="D1428" i="4"/>
  <c r="D1331" i="4"/>
  <c r="D246" i="4"/>
  <c r="D9134" i="4"/>
  <c r="D11225" i="4"/>
  <c r="D9759" i="4"/>
  <c r="D9133" i="4"/>
  <c r="D6617" i="4"/>
  <c r="D15262" i="4"/>
  <c r="D9132" i="4"/>
  <c r="D2566" i="4"/>
  <c r="D14238" i="4"/>
  <c r="D395" i="4"/>
  <c r="D5647" i="4"/>
  <c r="D15261" i="4"/>
  <c r="D9131" i="4"/>
  <c r="D9687" i="4"/>
  <c r="D14249" i="4"/>
  <c r="D6188" i="4"/>
  <c r="D3008" i="4"/>
  <c r="D3007" i="4"/>
  <c r="D11268" i="4"/>
  <c r="D1980" i="4"/>
  <c r="D9130" i="4"/>
  <c r="D14100" i="4"/>
  <c r="D14520" i="4"/>
  <c r="D9129" i="4"/>
  <c r="D12672" i="4"/>
  <c r="D12392" i="4"/>
  <c r="D3908" i="4"/>
  <c r="D9128" i="4"/>
  <c r="D15260" i="4"/>
  <c r="D12912" i="4"/>
  <c r="D7158" i="4"/>
  <c r="D736" i="4"/>
  <c r="D2970" i="4"/>
  <c r="D5995" i="4"/>
  <c r="D1330" i="4"/>
  <c r="D15535" i="4"/>
  <c r="D1229" i="4"/>
  <c r="D3907" i="4"/>
  <c r="D14237" i="4"/>
  <c r="D9127" i="4"/>
  <c r="D3203" i="4"/>
  <c r="D1329" i="4"/>
  <c r="D3906" i="4"/>
  <c r="D13206" i="4"/>
  <c r="D4513" i="4"/>
  <c r="D15534" i="4"/>
  <c r="D6383" i="4"/>
  <c r="D13269" i="4"/>
  <c r="D6322" i="4"/>
  <c r="D2565" i="4"/>
  <c r="D776" i="4"/>
  <c r="D9686" i="4"/>
  <c r="D9126" i="4"/>
  <c r="D6382" i="4"/>
  <c r="D3905" i="4"/>
  <c r="D13205" i="4"/>
  <c r="D12106" i="4"/>
  <c r="D2564" i="4"/>
  <c r="D1979" i="4"/>
  <c r="D9125" i="4"/>
  <c r="D12943" i="4"/>
  <c r="D11940" i="4"/>
  <c r="D9124" i="4"/>
  <c r="D15259" i="4"/>
  <c r="D15533" i="4"/>
  <c r="D9123" i="4"/>
  <c r="D6981" i="4"/>
  <c r="D1427" i="4"/>
  <c r="D10374" i="4"/>
  <c r="D14236" i="4"/>
  <c r="D735" i="4"/>
  <c r="D2118" i="4"/>
  <c r="D6487" i="4"/>
  <c r="D9122" i="4"/>
  <c r="D10673" i="4"/>
  <c r="D1082" i="4"/>
  <c r="D1869" i="4"/>
  <c r="D13360" i="4"/>
  <c r="D1328" i="4"/>
  <c r="D12826" i="4"/>
  <c r="D3904" i="4"/>
  <c r="D9121" i="4"/>
  <c r="D3202" i="4"/>
  <c r="D9685" i="4"/>
  <c r="D9975" i="4"/>
  <c r="D9120" i="4"/>
  <c r="D5731" i="4"/>
  <c r="D2563" i="4"/>
  <c r="D3903" i="4"/>
  <c r="D13204" i="4"/>
  <c r="D2482" i="4"/>
  <c r="D9119" i="4"/>
  <c r="D3902" i="4"/>
  <c r="D7039" i="4"/>
  <c r="D12890" i="4"/>
  <c r="D11699" i="4"/>
  <c r="D11939" i="4"/>
  <c r="D12928" i="4"/>
  <c r="D9118" i="4"/>
  <c r="D3901" i="4"/>
  <c r="D446" i="4"/>
  <c r="D1228" i="4"/>
  <c r="D9117" i="4"/>
  <c r="D1227" i="4"/>
  <c r="D5916" i="4"/>
  <c r="D1226" i="4"/>
  <c r="D11938" i="4"/>
  <c r="D1225" i="4"/>
  <c r="D9116" i="4"/>
  <c r="D11937" i="4"/>
  <c r="D5692" i="4"/>
  <c r="D6381" i="4"/>
  <c r="D734" i="4"/>
  <c r="D9115" i="4"/>
  <c r="D3900" i="4"/>
  <c r="D5646" i="4"/>
  <c r="D6187" i="4"/>
  <c r="D13833" i="4"/>
  <c r="D5645" i="4"/>
  <c r="D1327" i="4"/>
  <c r="D9684" i="4"/>
  <c r="D10718" i="4"/>
  <c r="D7157" i="4"/>
  <c r="D11498" i="4"/>
  <c r="D1001" i="4"/>
  <c r="D3899" i="4"/>
  <c r="D15532" i="4"/>
  <c r="D9683" i="4"/>
  <c r="D733" i="4"/>
  <c r="D245" i="4"/>
  <c r="D3201" i="4"/>
  <c r="D14608" i="4"/>
  <c r="D12391" i="4"/>
  <c r="D9682" i="4"/>
  <c r="D15258" i="4"/>
  <c r="D1326" i="4"/>
  <c r="D10373" i="4"/>
  <c r="D5644" i="4"/>
  <c r="D10747" i="4"/>
  <c r="D9114" i="4"/>
  <c r="D630" i="4"/>
  <c r="D9113" i="4"/>
  <c r="D14519" i="4"/>
  <c r="D6186" i="4"/>
  <c r="D1733" i="4"/>
  <c r="D9112" i="4"/>
  <c r="D10986" i="4"/>
  <c r="D394" i="4"/>
  <c r="D14235" i="4"/>
  <c r="D2958" i="4"/>
  <c r="D9111" i="4"/>
  <c r="D2481" i="4"/>
  <c r="D10796" i="4"/>
  <c r="D9110" i="4"/>
  <c r="D2480" i="4"/>
  <c r="D4512" i="4"/>
  <c r="D732" i="4"/>
  <c r="D1760" i="4"/>
  <c r="D13832" i="4"/>
  <c r="D15572" i="4"/>
  <c r="D376" i="4"/>
  <c r="D5643" i="4"/>
  <c r="D9109" i="4"/>
  <c r="D12390" i="4"/>
  <c r="D11224" i="4"/>
  <c r="D13359" i="4"/>
  <c r="D3898" i="4"/>
  <c r="D9108" i="4"/>
  <c r="D1325" i="4"/>
  <c r="D6980" i="4"/>
  <c r="D1426" i="4"/>
  <c r="D9107" i="4"/>
  <c r="D1224" i="4"/>
  <c r="D5642" i="4"/>
  <c r="D1000" i="4"/>
  <c r="D1223" i="4"/>
  <c r="D9681" i="4"/>
  <c r="D7156" i="4"/>
  <c r="D11518" i="4"/>
  <c r="D1222" i="4"/>
  <c r="D1324" i="4"/>
  <c r="D6300" i="4"/>
  <c r="D5641" i="4"/>
  <c r="D999" i="4"/>
  <c r="D11223" i="4"/>
  <c r="D5131" i="4"/>
  <c r="D14967" i="4"/>
  <c r="D15257" i="4"/>
  <c r="D13457" i="4"/>
  <c r="D5640" i="4"/>
  <c r="D4187" i="4"/>
  <c r="D9106" i="4"/>
  <c r="D5639" i="4"/>
  <c r="D11222" i="4"/>
  <c r="D731" i="4"/>
  <c r="D2897" i="4"/>
  <c r="D7086" i="4"/>
  <c r="D14567" i="4"/>
  <c r="D10372" i="4"/>
  <c r="D730" i="4"/>
  <c r="D9105" i="4"/>
  <c r="D2087" i="4"/>
  <c r="D9104" i="4"/>
  <c r="D14067" i="4"/>
  <c r="D1547" i="4"/>
  <c r="D1449" i="4"/>
  <c r="D10371" i="4"/>
  <c r="D9103" i="4"/>
  <c r="D6185" i="4"/>
  <c r="D1323" i="4"/>
  <c r="D9758" i="4"/>
  <c r="D10370" i="4"/>
  <c r="D10369" i="4"/>
  <c r="D3897" i="4"/>
  <c r="D1546" i="4"/>
  <c r="D10386" i="4"/>
  <c r="D3896" i="4"/>
  <c r="D15680" i="4"/>
  <c r="D11221" i="4"/>
  <c r="D429" i="4"/>
  <c r="D2562" i="4"/>
  <c r="D3895" i="4"/>
  <c r="D14861" i="4"/>
  <c r="D6380" i="4"/>
  <c r="D5638" i="4"/>
  <c r="D13990" i="4"/>
  <c r="D2561" i="4"/>
  <c r="D9102" i="4"/>
  <c r="D6717" i="4"/>
  <c r="D15531" i="4"/>
  <c r="D5637" i="4"/>
  <c r="D13136" i="4"/>
  <c r="D4511" i="4"/>
  <c r="D11785" i="4"/>
  <c r="D11220" i="4"/>
  <c r="D5636" i="4"/>
  <c r="D13948" i="4"/>
  <c r="D10368" i="4"/>
  <c r="D9101" i="4"/>
  <c r="D775" i="4"/>
  <c r="D2238" i="4"/>
  <c r="D14860" i="4"/>
  <c r="D5635" i="4"/>
  <c r="D5634" i="4"/>
  <c r="D3894" i="4"/>
  <c r="D6859" i="4"/>
  <c r="D10367" i="4"/>
  <c r="D5633" i="4"/>
  <c r="D9100" i="4"/>
  <c r="D12389" i="4"/>
  <c r="D3893" i="4"/>
  <c r="D4510" i="4"/>
  <c r="D10366" i="4"/>
  <c r="D9099" i="4"/>
  <c r="D5632" i="4"/>
  <c r="D629" i="4"/>
  <c r="D14518" i="4"/>
  <c r="D14859" i="4"/>
  <c r="D12388" i="4"/>
  <c r="D15256" i="4"/>
  <c r="D14577" i="4"/>
  <c r="D9098" i="4"/>
  <c r="D5631" i="4"/>
  <c r="D9097" i="4"/>
  <c r="D1545" i="4"/>
  <c r="D3892" i="4"/>
  <c r="D13203" i="4"/>
  <c r="D1322" i="4"/>
  <c r="D3891" i="4"/>
  <c r="D1321" i="4"/>
  <c r="D6685" i="4"/>
  <c r="D1781" i="4"/>
  <c r="D2057" i="4"/>
  <c r="D9096" i="4"/>
  <c r="D14234" i="4"/>
  <c r="D12544" i="4"/>
  <c r="D1425" i="4"/>
  <c r="D13268" i="4"/>
  <c r="D2086" i="4"/>
  <c r="D14656" i="4"/>
  <c r="D5915" i="4"/>
  <c r="D14858" i="4"/>
  <c r="D4226" i="4"/>
  <c r="D7038" i="4"/>
  <c r="D9680" i="4"/>
  <c r="D375" i="4"/>
  <c r="D4225" i="4"/>
  <c r="D2711" i="4"/>
  <c r="D14857" i="4"/>
  <c r="D11784" i="4"/>
  <c r="D14966" i="4"/>
  <c r="D12479" i="4"/>
  <c r="D6635" i="4"/>
  <c r="D9896" i="4"/>
  <c r="D13831" i="4"/>
  <c r="D1978" i="4"/>
  <c r="D5944" i="4"/>
  <c r="D13098" i="4"/>
  <c r="D13830" i="4"/>
  <c r="D6184" i="4"/>
  <c r="D15679" i="4"/>
  <c r="D5630" i="4"/>
  <c r="D15530" i="4"/>
  <c r="D9095" i="4"/>
  <c r="D10365" i="4"/>
  <c r="D13829" i="4"/>
  <c r="D5730" i="4"/>
  <c r="D4952" i="4"/>
  <c r="D2268" i="4"/>
  <c r="D1105" i="4"/>
  <c r="D3200" i="4"/>
  <c r="D14856" i="4"/>
  <c r="D628" i="4"/>
  <c r="D2479" i="4"/>
  <c r="D12387" i="4"/>
  <c r="D2478" i="4"/>
  <c r="D5914" i="4"/>
  <c r="D9094" i="4"/>
  <c r="D5629" i="4"/>
  <c r="D9679" i="4"/>
  <c r="D14123" i="4"/>
  <c r="D1320" i="4"/>
  <c r="D10634" i="4"/>
  <c r="D11306" i="4"/>
  <c r="D14517" i="4"/>
  <c r="D14655" i="4"/>
  <c r="D14516" i="4"/>
  <c r="D5628" i="4"/>
  <c r="D287" i="4"/>
  <c r="D627" i="4"/>
  <c r="D729" i="4"/>
  <c r="D14855" i="4"/>
  <c r="D15529" i="4"/>
  <c r="D774" i="4"/>
  <c r="D2671" i="4"/>
  <c r="D15528" i="4"/>
  <c r="D12386" i="4"/>
  <c r="D2085" i="4"/>
  <c r="D13300" i="4"/>
  <c r="D9093" i="4"/>
  <c r="D5627" i="4"/>
  <c r="D5626" i="4"/>
  <c r="D13358" i="4"/>
  <c r="D7234" i="4"/>
  <c r="D3890" i="4"/>
  <c r="D14965" i="4"/>
  <c r="D1989" i="4"/>
  <c r="D3199" i="4"/>
  <c r="D13828" i="4"/>
  <c r="D857" i="4"/>
  <c r="D1104" i="4"/>
  <c r="D10364" i="4"/>
  <c r="D9092" i="4"/>
  <c r="D9091" i="4"/>
  <c r="D15678" i="4"/>
  <c r="D12889" i="4"/>
  <c r="D9090" i="4"/>
  <c r="D728" i="4"/>
  <c r="D773" i="4"/>
  <c r="D10984" i="4"/>
  <c r="D1424" i="4"/>
  <c r="D626" i="4"/>
  <c r="D5820" i="4"/>
  <c r="D3889" i="4"/>
  <c r="D9089" i="4"/>
  <c r="D9088" i="4"/>
  <c r="D6842" i="4"/>
  <c r="D1124" i="4"/>
  <c r="D2982" i="4"/>
  <c r="D1593" i="4"/>
  <c r="D1103" i="4"/>
  <c r="D14854" i="4"/>
  <c r="D13827" i="4"/>
  <c r="D9087" i="4"/>
  <c r="D9086" i="4"/>
  <c r="D15527" i="4"/>
  <c r="D9085" i="4"/>
  <c r="D2477" i="4"/>
  <c r="D3888" i="4"/>
  <c r="D1544" i="4"/>
  <c r="D5625" i="4"/>
  <c r="D9084" i="4"/>
  <c r="D1221" i="4"/>
  <c r="D1423" i="4"/>
  <c r="D3887" i="4"/>
  <c r="D15526" i="4"/>
  <c r="D9678" i="4"/>
  <c r="D13097" i="4"/>
  <c r="D1220" i="4"/>
  <c r="D9083" i="4"/>
  <c r="D9677" i="4"/>
  <c r="D12888" i="4"/>
  <c r="D11698" i="4"/>
  <c r="D9082" i="4"/>
  <c r="D2560" i="4"/>
  <c r="D7155" i="4"/>
  <c r="D3886" i="4"/>
  <c r="D9081" i="4"/>
  <c r="D5130" i="4"/>
  <c r="D2981" i="4"/>
  <c r="D13357" i="4"/>
  <c r="D3952" i="4"/>
  <c r="D13826" i="4"/>
  <c r="D11436" i="4"/>
  <c r="D9827" i="4"/>
  <c r="D5624" i="4"/>
  <c r="D9080" i="4"/>
  <c r="D727" i="4"/>
  <c r="D625" i="4"/>
  <c r="D12194" i="4"/>
  <c r="D12825" i="4"/>
  <c r="D11267" i="4"/>
  <c r="D856" i="4"/>
  <c r="D1319" i="4"/>
  <c r="D6183" i="4"/>
  <c r="D3198" i="4"/>
  <c r="D428" i="4"/>
  <c r="D410" i="4"/>
  <c r="D5943" i="4"/>
  <c r="D9079" i="4"/>
  <c r="D2476" i="4"/>
  <c r="D10363" i="4"/>
  <c r="D3197" i="4"/>
  <c r="D9078" i="4"/>
  <c r="D13267" i="4"/>
  <c r="D1219" i="4"/>
  <c r="D14964" i="4"/>
  <c r="D7154" i="4"/>
  <c r="D4224" i="4"/>
  <c r="D12385" i="4"/>
  <c r="D14853" i="4"/>
  <c r="D11064" i="4"/>
  <c r="D14852" i="4"/>
  <c r="D1543" i="4"/>
  <c r="D6182" i="4"/>
  <c r="D4049" i="4"/>
  <c r="D9676" i="4"/>
  <c r="D4523" i="4"/>
  <c r="D894" i="4"/>
  <c r="D6181" i="4"/>
  <c r="D998" i="4"/>
  <c r="D5623" i="4"/>
  <c r="D11634" i="4"/>
  <c r="D14515" i="4"/>
  <c r="D1732" i="4"/>
  <c r="D1148" i="4"/>
  <c r="D1123" i="4"/>
  <c r="D1318" i="4"/>
  <c r="D3885" i="4"/>
  <c r="D2710" i="4"/>
  <c r="D3884" i="4"/>
  <c r="D3883" i="4"/>
  <c r="D273" i="4"/>
  <c r="D5622" i="4"/>
  <c r="D1498" i="4"/>
  <c r="D511" i="4"/>
  <c r="D5621" i="4"/>
  <c r="D6180" i="4"/>
  <c r="D5620" i="4"/>
  <c r="D6379" i="4"/>
  <c r="D9077" i="4"/>
  <c r="D938" i="4"/>
  <c r="D3196" i="4"/>
  <c r="D2670" i="4"/>
  <c r="D4048" i="4"/>
  <c r="D2475" i="4"/>
  <c r="D1569" i="4"/>
  <c r="D13456" i="4"/>
  <c r="D2948" i="4"/>
  <c r="D726" i="4"/>
  <c r="D1422" i="4"/>
  <c r="D9675" i="4"/>
  <c r="D855" i="4"/>
  <c r="D5619" i="4"/>
  <c r="D12575" i="4"/>
  <c r="D7227" i="4"/>
  <c r="D10362" i="4"/>
  <c r="D15255" i="4"/>
  <c r="D6179" i="4"/>
  <c r="D854" i="4"/>
  <c r="D10361" i="4"/>
  <c r="D10633" i="4"/>
  <c r="D2056" i="4"/>
  <c r="D15254" i="4"/>
  <c r="D14877" i="4"/>
  <c r="D2559" i="4"/>
  <c r="D13096" i="4"/>
  <c r="D5994" i="4"/>
  <c r="D1218" i="4"/>
  <c r="D2863" i="4"/>
  <c r="D3882" i="4"/>
  <c r="D14992" i="4"/>
  <c r="D997" i="4"/>
  <c r="D9076" i="4"/>
  <c r="D14991" i="4"/>
  <c r="D3881" i="4"/>
  <c r="D10360" i="4"/>
  <c r="D3006" i="4"/>
  <c r="D2474" i="4"/>
  <c r="D409" i="4"/>
  <c r="D1542" i="4"/>
  <c r="D2709" i="4"/>
  <c r="D1868" i="4"/>
  <c r="D3880" i="4"/>
  <c r="D7044" i="4"/>
  <c r="D11740" i="4"/>
  <c r="D5913" i="4"/>
  <c r="D4241" i="4"/>
  <c r="D6178" i="4"/>
  <c r="D3195" i="4"/>
  <c r="D3879" i="4"/>
  <c r="D10632" i="4"/>
  <c r="D9883" i="4"/>
  <c r="D10830" i="4"/>
  <c r="D15677" i="4"/>
  <c r="D5129" i="4"/>
  <c r="D14851" i="4"/>
  <c r="D14514" i="4"/>
  <c r="D725" i="4"/>
  <c r="D11517" i="4"/>
  <c r="D692" i="4"/>
  <c r="D1811" i="4"/>
  <c r="D4223" i="4"/>
  <c r="D624" i="4"/>
  <c r="D13947" i="4"/>
  <c r="D853" i="4"/>
  <c r="D10359" i="4"/>
  <c r="D9075" i="4"/>
  <c r="D6177" i="4"/>
  <c r="D9826" i="4"/>
  <c r="D14850" i="4"/>
  <c r="D12927" i="4"/>
  <c r="D11936" i="4"/>
  <c r="D3878" i="4"/>
  <c r="D13202" i="4"/>
  <c r="D852" i="4"/>
  <c r="D9074" i="4"/>
  <c r="D6390" i="4"/>
  <c r="D851" i="4"/>
  <c r="D2947" i="4"/>
  <c r="D9073" i="4"/>
  <c r="D13825" i="4"/>
  <c r="D9072" i="4"/>
  <c r="D1421" i="4"/>
  <c r="D10358" i="4"/>
  <c r="D3877" i="4"/>
  <c r="D5618" i="4"/>
  <c r="D12574" i="4"/>
  <c r="D1071" i="4"/>
  <c r="D1420" i="4"/>
  <c r="D351" i="4"/>
  <c r="D14513" i="4"/>
  <c r="D13356" i="4"/>
  <c r="D2946" i="4"/>
  <c r="D2473" i="4"/>
  <c r="D1977" i="4"/>
  <c r="D1602" i="4"/>
  <c r="D996" i="4"/>
  <c r="D10746" i="4"/>
  <c r="D9674" i="4"/>
  <c r="D6979" i="4"/>
  <c r="D1419" i="4"/>
  <c r="D623" i="4"/>
  <c r="D11047" i="4"/>
  <c r="D772" i="4"/>
  <c r="D11614" i="4"/>
  <c r="D445" i="4"/>
  <c r="D12384" i="4"/>
  <c r="D2472" i="4"/>
  <c r="D10357" i="4"/>
  <c r="D1541" i="4"/>
  <c r="D14654" i="4"/>
  <c r="D1418" i="4"/>
  <c r="D1317" i="4"/>
  <c r="D9071" i="4"/>
  <c r="D12887" i="4"/>
  <c r="D11697" i="4"/>
  <c r="D11219" i="4"/>
  <c r="D5128" i="4"/>
  <c r="D3876" i="4"/>
  <c r="D1316" i="4"/>
  <c r="D2862" i="4"/>
  <c r="D1070" i="4"/>
  <c r="D1417" i="4"/>
  <c r="D12886" i="4"/>
  <c r="D11696" i="4"/>
  <c r="D5617" i="4"/>
  <c r="D11935" i="4"/>
  <c r="D14512" i="4"/>
  <c r="D14699" i="4"/>
  <c r="D10745" i="4"/>
  <c r="D12911" i="4"/>
  <c r="D3875" i="4"/>
  <c r="D10744" i="4"/>
  <c r="D11934" i="4"/>
  <c r="D524" i="4"/>
  <c r="D1540" i="4"/>
  <c r="D10824" i="4"/>
  <c r="D1081" i="4"/>
  <c r="D1416" i="4"/>
  <c r="D3874" i="4"/>
  <c r="D13201" i="4"/>
  <c r="D15253" i="4"/>
  <c r="D15571" i="4"/>
  <c r="D10356" i="4"/>
  <c r="D5135" i="4"/>
  <c r="D5616" i="4"/>
  <c r="D13355" i="4"/>
  <c r="D995" i="4"/>
  <c r="D2861" i="4"/>
  <c r="D3873" i="4"/>
  <c r="D1415" i="4"/>
  <c r="D6176" i="4"/>
  <c r="D13354" i="4"/>
  <c r="D2471" i="4"/>
  <c r="D13824" i="4"/>
  <c r="D9673" i="4"/>
  <c r="D5819" i="4"/>
  <c r="D9070" i="4"/>
  <c r="D11154" i="4"/>
  <c r="D10355" i="4"/>
  <c r="D5615" i="4"/>
  <c r="D12383" i="4"/>
  <c r="D15525" i="4"/>
  <c r="D850" i="4"/>
  <c r="D9069" i="4"/>
  <c r="D3872" i="4"/>
  <c r="D14181" i="4"/>
  <c r="D9068" i="4"/>
  <c r="D994" i="4"/>
  <c r="D12478" i="4"/>
  <c r="D6175" i="4"/>
  <c r="D849" i="4"/>
  <c r="D5614" i="4"/>
  <c r="D12382" i="4"/>
  <c r="D3871" i="4"/>
  <c r="D1414" i="4"/>
  <c r="D622" i="4"/>
  <c r="D3870" i="4"/>
  <c r="D13200" i="4"/>
  <c r="D7111" i="4"/>
  <c r="D11218" i="4"/>
  <c r="D9067" i="4"/>
  <c r="D14963" i="4"/>
  <c r="D691" i="4"/>
  <c r="D10354" i="4"/>
  <c r="D2470" i="4"/>
  <c r="D2860" i="4"/>
  <c r="D771" i="4"/>
  <c r="D5691" i="4"/>
  <c r="D11372" i="4"/>
  <c r="D5729" i="4"/>
  <c r="D4445" i="4"/>
  <c r="D9672" i="4"/>
  <c r="D5613" i="4"/>
  <c r="D14680" i="4"/>
  <c r="D3260" i="4"/>
  <c r="D13049" i="4"/>
  <c r="D2669" i="4"/>
  <c r="D6343" i="4"/>
  <c r="D6174" i="4"/>
  <c r="D13095" i="4"/>
  <c r="D6173" i="4"/>
  <c r="D9671" i="4"/>
  <c r="D11046" i="4"/>
  <c r="D10353" i="4"/>
  <c r="D5690" i="4"/>
  <c r="D1217" i="4"/>
  <c r="D1069" i="4"/>
  <c r="D9066" i="4"/>
  <c r="D9216" i="4"/>
  <c r="D227" i="4"/>
  <c r="D3869" i="4"/>
  <c r="D13823" i="4"/>
  <c r="D10424" i="4"/>
  <c r="D5612" i="4"/>
  <c r="D770" i="4"/>
  <c r="D13989" i="4"/>
  <c r="D848" i="4"/>
  <c r="D3868" i="4"/>
  <c r="D11291" i="4"/>
  <c r="D993" i="4"/>
  <c r="D9670" i="4"/>
  <c r="D3867" i="4"/>
  <c r="D5056" i="4"/>
  <c r="D9065" i="4"/>
  <c r="D9064" i="4"/>
  <c r="D3866" i="4"/>
  <c r="D6172" i="4"/>
  <c r="D9669" i="4"/>
  <c r="D12582" i="4"/>
  <c r="D2859" i="4"/>
  <c r="D13094" i="4"/>
  <c r="D769" i="4"/>
  <c r="D14962" i="4"/>
  <c r="D1697" i="4"/>
  <c r="D1102" i="4"/>
  <c r="D2469" i="4"/>
  <c r="D15524" i="4"/>
  <c r="D12381" i="4"/>
  <c r="D7238" i="4"/>
  <c r="D374" i="4"/>
  <c r="D13822" i="4"/>
  <c r="D11545" i="4"/>
  <c r="D4222" i="4"/>
  <c r="D9063" i="4"/>
  <c r="D9062" i="4"/>
  <c r="D11604" i="4"/>
  <c r="D1122" i="4"/>
  <c r="D1976" i="4"/>
  <c r="D1616" i="4"/>
  <c r="D14099" i="4"/>
  <c r="D62" i="4"/>
  <c r="D12501" i="4"/>
  <c r="D61" i="4"/>
  <c r="D12500" i="4"/>
  <c r="D9061" i="4"/>
  <c r="D13135" i="4"/>
  <c r="D13294" i="4"/>
  <c r="D3865" i="4"/>
  <c r="D13134" i="4"/>
  <c r="D12885" i="4"/>
  <c r="D11695" i="4"/>
  <c r="D10352" i="4"/>
  <c r="D10743" i="4"/>
  <c r="D5611" i="4"/>
  <c r="D13353" i="4"/>
  <c r="D510" i="4"/>
  <c r="D10351" i="4"/>
  <c r="D12380" i="4"/>
  <c r="D5610" i="4"/>
  <c r="D5609" i="4"/>
  <c r="D2858" i="4"/>
  <c r="D6171" i="4"/>
  <c r="D14562" i="4"/>
  <c r="D10350" i="4"/>
  <c r="D4836" i="4"/>
  <c r="D1068" i="4"/>
  <c r="D12477" i="4"/>
  <c r="D15676" i="4"/>
  <c r="D3864" i="4"/>
  <c r="D11933" i="4"/>
  <c r="D5608" i="4"/>
  <c r="D4221" i="4"/>
  <c r="D6881" i="4"/>
  <c r="D2468" i="4"/>
  <c r="D11716" i="4"/>
  <c r="D2467" i="4"/>
  <c r="D9060" i="4"/>
  <c r="D15523" i="4"/>
  <c r="D5607" i="4"/>
  <c r="D13352" i="4"/>
  <c r="D2466" i="4"/>
  <c r="D9668" i="4"/>
  <c r="D893" i="4"/>
  <c r="D9059" i="4"/>
  <c r="D1759" i="4"/>
  <c r="D3194" i="4"/>
  <c r="D3193" i="4"/>
  <c r="D5942" i="4"/>
  <c r="D1413" i="4"/>
  <c r="D13821" i="4"/>
  <c r="D119" i="4"/>
  <c r="D5606" i="4"/>
  <c r="D937" i="4"/>
  <c r="D9058" i="4"/>
  <c r="D10349" i="4"/>
  <c r="D2857" i="4"/>
  <c r="D408" i="4"/>
  <c r="D3863" i="4"/>
  <c r="D9741" i="4"/>
  <c r="D13820" i="4"/>
  <c r="D3192" i="4"/>
  <c r="D11290" i="4"/>
  <c r="D10983" i="4"/>
  <c r="D3862" i="4"/>
  <c r="D10348" i="4"/>
  <c r="D52" i="4"/>
  <c r="D11932" i="4"/>
  <c r="D9057" i="4"/>
  <c r="D892" i="4"/>
  <c r="D11217" i="4"/>
  <c r="D12727" i="4"/>
  <c r="D10982" i="4"/>
  <c r="D2856" i="4"/>
  <c r="D3861" i="4"/>
  <c r="D272" i="4"/>
  <c r="D9056" i="4"/>
  <c r="D5605" i="4"/>
  <c r="D10347" i="4"/>
  <c r="D9055" i="4"/>
  <c r="D2102" i="4"/>
  <c r="D1080" i="4"/>
  <c r="D11371" i="4"/>
  <c r="D14000" i="4"/>
  <c r="D11931" i="4"/>
  <c r="D15522" i="4"/>
  <c r="D2055" i="4"/>
  <c r="D561" i="4"/>
  <c r="D9054" i="4"/>
  <c r="D5604" i="4"/>
  <c r="D14783" i="4"/>
  <c r="D14511" i="4"/>
  <c r="D2855" i="4"/>
  <c r="D5603" i="4"/>
  <c r="D13226" i="4"/>
  <c r="D10981" i="4"/>
  <c r="D3005" i="4"/>
  <c r="D9053" i="4"/>
  <c r="D9052" i="4"/>
  <c r="D14961" i="4"/>
  <c r="D9051" i="4"/>
  <c r="D9667" i="4"/>
  <c r="D12379" i="4"/>
  <c r="D724" i="4"/>
  <c r="D9050" i="4"/>
  <c r="D6421" i="4"/>
  <c r="D13093" i="4"/>
  <c r="D9049" i="4"/>
  <c r="D3860" i="4"/>
  <c r="D9048" i="4"/>
  <c r="D9047" i="4"/>
  <c r="D847" i="4"/>
  <c r="D4433" i="4"/>
  <c r="D14565" i="4"/>
  <c r="D9825" i="4"/>
  <c r="D690" i="4"/>
  <c r="D9666" i="4"/>
  <c r="D6299" i="4"/>
  <c r="D5602" i="4"/>
  <c r="D14122" i="4"/>
  <c r="D9046" i="4"/>
  <c r="D6170" i="4"/>
  <c r="D14679" i="4"/>
  <c r="D1975" i="4"/>
  <c r="D2465" i="4"/>
  <c r="D6298" i="4"/>
  <c r="D4339" i="4"/>
  <c r="D14121" i="4"/>
  <c r="D9665" i="4"/>
  <c r="D1315" i="4"/>
  <c r="D2558" i="4"/>
  <c r="D5601" i="4"/>
  <c r="D6169" i="4"/>
  <c r="D6880" i="4"/>
  <c r="D12378" i="4"/>
  <c r="D3191" i="4"/>
  <c r="D5600" i="4"/>
  <c r="D2464" i="4"/>
  <c r="D9045" i="4"/>
  <c r="D1974" i="4"/>
  <c r="D2463" i="4"/>
  <c r="D2668" i="4"/>
  <c r="D689" i="4"/>
  <c r="D688" i="4"/>
  <c r="D199" i="4"/>
  <c r="D6168" i="4"/>
  <c r="D14161" i="4"/>
  <c r="D211" i="4"/>
  <c r="D14653" i="4"/>
  <c r="D15521" i="4"/>
  <c r="D3859" i="4"/>
  <c r="D12476" i="4"/>
  <c r="D7153" i="4"/>
  <c r="D2462" i="4"/>
  <c r="D10346" i="4"/>
  <c r="D1079" i="4"/>
  <c r="D13819" i="4"/>
  <c r="D1539" i="4"/>
  <c r="D9863" i="4"/>
  <c r="D5599" i="4"/>
  <c r="D3858" i="4"/>
  <c r="D9044" i="4"/>
  <c r="D15520" i="4"/>
  <c r="D687" i="4"/>
  <c r="D11438" i="4"/>
  <c r="D686" i="4"/>
  <c r="D5598" i="4"/>
  <c r="D9664" i="4"/>
  <c r="D3857" i="4"/>
  <c r="D5869" i="4"/>
  <c r="D12726" i="4"/>
  <c r="D9663" i="4"/>
  <c r="D10631" i="4"/>
  <c r="D1314" i="4"/>
  <c r="D9662" i="4"/>
  <c r="D4338" i="4"/>
  <c r="D9043" i="4"/>
  <c r="D9661" i="4"/>
  <c r="D3856" i="4"/>
  <c r="D11840" i="4"/>
  <c r="D12645" i="4"/>
  <c r="D10980" i="4"/>
  <c r="D9042" i="4"/>
  <c r="D9041" i="4"/>
  <c r="D13818" i="4"/>
  <c r="D9660" i="4"/>
  <c r="D5597" i="4"/>
  <c r="D3855" i="4"/>
  <c r="D12725" i="4"/>
  <c r="D6978" i="4"/>
  <c r="D1412" i="4"/>
  <c r="D4251" i="4"/>
  <c r="D9040" i="4"/>
  <c r="D9039" i="4"/>
  <c r="D6977" i="4"/>
  <c r="D1411" i="4"/>
  <c r="D12377" i="4"/>
  <c r="D13817" i="4"/>
  <c r="D11633" i="4"/>
  <c r="D936" i="4"/>
  <c r="D10979" i="4"/>
  <c r="D935" i="4"/>
  <c r="D4310" i="4"/>
  <c r="D2461" i="4"/>
  <c r="D9659" i="4"/>
  <c r="D685" i="4"/>
  <c r="D9658" i="4"/>
  <c r="D7037" i="4"/>
  <c r="D9657" i="4"/>
  <c r="D2267" i="4"/>
  <c r="D5596" i="4"/>
  <c r="D12724" i="4"/>
  <c r="D3854" i="4"/>
  <c r="D14698" i="4"/>
  <c r="D6342" i="4"/>
  <c r="D14774" i="4"/>
  <c r="D11729" i="4"/>
  <c r="D158" i="4"/>
  <c r="D3853" i="4"/>
  <c r="D14697" i="4"/>
  <c r="D14696" i="4"/>
  <c r="D9038" i="4"/>
  <c r="D13988" i="4"/>
  <c r="D7226" i="4"/>
  <c r="D11544" i="4"/>
  <c r="D14120" i="4"/>
  <c r="D9037" i="4"/>
  <c r="D9656" i="4"/>
  <c r="D3852" i="4"/>
  <c r="D1538" i="4"/>
  <c r="D684" i="4"/>
  <c r="D2266" i="4"/>
  <c r="D6378" i="4"/>
  <c r="D9655" i="4"/>
  <c r="D12475" i="4"/>
  <c r="D891" i="4"/>
  <c r="D6167" i="4"/>
  <c r="D6377" i="4"/>
  <c r="D9036" i="4"/>
  <c r="D15576" i="4"/>
  <c r="D15274" i="4"/>
  <c r="D9035" i="4"/>
  <c r="D846" i="4"/>
  <c r="D11148" i="4"/>
  <c r="D768" i="4"/>
  <c r="D10630" i="4"/>
  <c r="D5595" i="4"/>
  <c r="D2265" i="4"/>
  <c r="D10345" i="4"/>
  <c r="D5864" i="4"/>
  <c r="D3190" i="4"/>
  <c r="D9034" i="4"/>
  <c r="D2460" i="4"/>
  <c r="D10843" i="4"/>
  <c r="D6387" i="4"/>
  <c r="D13987" i="4"/>
  <c r="D11497" i="4"/>
  <c r="D13816" i="4"/>
  <c r="D9033" i="4"/>
  <c r="D7065" i="4"/>
  <c r="D9654" i="4"/>
  <c r="D9032" i="4"/>
  <c r="D9031" i="4"/>
  <c r="D11728" i="4"/>
  <c r="D9653" i="4"/>
  <c r="D10344" i="4"/>
  <c r="D5594" i="4"/>
  <c r="D5593" i="4"/>
  <c r="D6616" i="4"/>
  <c r="D12376" i="4"/>
  <c r="D2459" i="4"/>
  <c r="D5818" i="4"/>
  <c r="D11783" i="4"/>
  <c r="D12375" i="4"/>
  <c r="D13293" i="4"/>
  <c r="D9652" i="4"/>
  <c r="D683" i="4"/>
  <c r="D11117" i="4"/>
  <c r="D9651" i="4"/>
  <c r="D13225" i="4"/>
  <c r="D13890" i="4"/>
  <c r="D682" i="4"/>
  <c r="D6582" i="4"/>
  <c r="D12374" i="4"/>
  <c r="D9824" i="4"/>
  <c r="D12373" i="4"/>
  <c r="D14119" i="4"/>
  <c r="D9030" i="4"/>
  <c r="D7100" i="4"/>
  <c r="D5014" i="4"/>
  <c r="D1537" i="4"/>
  <c r="D5013" i="4"/>
  <c r="D14043" i="4"/>
  <c r="D9029" i="4"/>
  <c r="D9028" i="4"/>
  <c r="D10343" i="4"/>
  <c r="D5592" i="4"/>
  <c r="D10481" i="4"/>
  <c r="D9027" i="4"/>
  <c r="D14960" i="4"/>
  <c r="D845" i="4"/>
  <c r="D2854" i="4"/>
  <c r="D6841" i="4"/>
  <c r="D4066" i="4"/>
  <c r="D2054" i="4"/>
  <c r="D9740" i="4"/>
  <c r="D9026" i="4"/>
  <c r="D681" i="4"/>
  <c r="D2458" i="4"/>
  <c r="D890" i="4"/>
  <c r="D9025" i="4"/>
  <c r="D6615" i="4"/>
  <c r="D14160" i="4"/>
  <c r="D1780" i="4"/>
  <c r="D15056" i="4"/>
  <c r="D1125" i="4"/>
  <c r="D1067" i="4"/>
  <c r="D9024" i="4"/>
  <c r="D9650" i="4"/>
  <c r="D621" i="4"/>
  <c r="D1536" i="4"/>
  <c r="D14233" i="4"/>
  <c r="D9649" i="4"/>
  <c r="D5591" i="4"/>
  <c r="D4870" i="4"/>
  <c r="D1410" i="4"/>
  <c r="D680" i="4"/>
  <c r="D13815" i="4"/>
  <c r="D844" i="4"/>
  <c r="D620" i="4"/>
  <c r="D4444" i="4"/>
  <c r="D9648" i="4"/>
  <c r="D5590" i="4"/>
  <c r="D9647" i="4"/>
  <c r="D9646" i="4"/>
  <c r="D9023" i="4"/>
  <c r="D12372" i="4"/>
  <c r="D13814" i="4"/>
  <c r="D9022" i="4"/>
  <c r="D1535" i="4"/>
  <c r="D2724" i="4"/>
  <c r="D12371" i="4"/>
  <c r="D4008" i="4"/>
  <c r="D6486" i="4"/>
  <c r="D843" i="4"/>
  <c r="D5099" i="4"/>
  <c r="D466" i="4"/>
  <c r="D10342" i="4"/>
  <c r="D427" i="4"/>
  <c r="D3851" i="4"/>
  <c r="D3189" i="4"/>
  <c r="D5589" i="4"/>
  <c r="D4177" i="4"/>
  <c r="D1973" i="4"/>
  <c r="D7085" i="4"/>
  <c r="D5012" i="4"/>
  <c r="D1066" i="4"/>
  <c r="D5011" i="4"/>
  <c r="D2457" i="4"/>
  <c r="D12543" i="4"/>
  <c r="D4835" i="4"/>
  <c r="D6341" i="4"/>
  <c r="D992" i="4"/>
  <c r="D5728" i="4"/>
  <c r="D10341" i="4"/>
  <c r="D3850" i="4"/>
  <c r="D6920" i="4"/>
  <c r="D991" i="4"/>
  <c r="D6297" i="4"/>
  <c r="D1065" i="4"/>
  <c r="D934" i="4"/>
  <c r="D13292" i="4"/>
  <c r="D224" i="4"/>
  <c r="D3849" i="4"/>
  <c r="D9645" i="4"/>
  <c r="D10742" i="4"/>
  <c r="D5727" i="4"/>
  <c r="D9021" i="4"/>
  <c r="D13813" i="4"/>
  <c r="D13363" i="4"/>
  <c r="D10978" i="4"/>
  <c r="D1972" i="4"/>
  <c r="D1597" i="4"/>
  <c r="D1534" i="4"/>
  <c r="D14066" i="4"/>
  <c r="D15088" i="4"/>
  <c r="D3848" i="4"/>
  <c r="D2264" i="4"/>
  <c r="D9644" i="4"/>
  <c r="D11370" i="4"/>
  <c r="D2263" i="4"/>
  <c r="D9643" i="4"/>
  <c r="D679" i="4"/>
  <c r="D14713" i="4"/>
  <c r="D3847" i="4"/>
  <c r="D13199" i="4"/>
  <c r="D9020" i="4"/>
  <c r="D15252" i="4"/>
  <c r="D5588" i="4"/>
  <c r="D10875" i="4"/>
  <c r="D6684" i="4"/>
  <c r="D12370" i="4"/>
  <c r="D9019" i="4"/>
  <c r="D248" i="4"/>
  <c r="D5177" i="4"/>
  <c r="D6923" i="4"/>
  <c r="D3846" i="4"/>
  <c r="D187" i="4"/>
  <c r="D9642" i="4"/>
  <c r="D6919" i="4"/>
  <c r="D6683" i="4"/>
  <c r="D11782" i="4"/>
  <c r="D9641" i="4"/>
  <c r="D4220" i="4"/>
  <c r="D5587" i="4"/>
  <c r="D5586" i="4"/>
  <c r="D1971" i="4"/>
  <c r="D9640" i="4"/>
  <c r="D9018" i="4"/>
  <c r="D9017" i="4"/>
  <c r="D12369" i="4"/>
  <c r="D350" i="4"/>
  <c r="D1216" i="4"/>
  <c r="D43" i="4"/>
  <c r="D2201" i="4"/>
  <c r="D5585" i="4"/>
  <c r="D5584" i="4"/>
  <c r="D5583" i="4"/>
  <c r="D7289" i="4"/>
  <c r="D2456" i="4"/>
  <c r="D5127" i="4"/>
  <c r="D78" i="4"/>
  <c r="D15519" i="4"/>
  <c r="D619" i="4"/>
  <c r="D7288" i="4"/>
  <c r="D5941" i="4"/>
  <c r="D15580" i="4"/>
  <c r="D1779" i="4"/>
  <c r="D225" i="4"/>
  <c r="D77" i="4"/>
  <c r="D6166" i="4"/>
  <c r="D9016" i="4"/>
  <c r="D4522" i="4"/>
  <c r="D12368" i="4"/>
  <c r="D3845" i="4"/>
  <c r="D933" i="4"/>
  <c r="D5582" i="4"/>
  <c r="D1970" i="4"/>
  <c r="D1064" i="4"/>
  <c r="D9015" i="4"/>
  <c r="D2455" i="4"/>
  <c r="D1215" i="4"/>
  <c r="D11970" i="4"/>
  <c r="D5581" i="4"/>
  <c r="D3844" i="4"/>
  <c r="D9765" i="4"/>
  <c r="D13862" i="4"/>
  <c r="D13118" i="4"/>
  <c r="D13986" i="4"/>
  <c r="D9639" i="4"/>
  <c r="D3843" i="4"/>
  <c r="D13951" i="4"/>
  <c r="D2262" i="4"/>
  <c r="D932" i="4"/>
  <c r="D18" i="4"/>
  <c r="D3842" i="4"/>
  <c r="D6576" i="4"/>
  <c r="D6165" i="4"/>
  <c r="D1758" i="4"/>
  <c r="D9014" i="4"/>
  <c r="D9638" i="4"/>
  <c r="D10340" i="4"/>
  <c r="D9013" i="4"/>
  <c r="D9637" i="4"/>
  <c r="D10339" i="4"/>
  <c r="D7211" i="4"/>
  <c r="D80" i="4"/>
  <c r="D9012" i="4"/>
  <c r="D15518" i="4"/>
  <c r="D4326" i="4"/>
  <c r="D10922" i="4"/>
  <c r="D678" i="4"/>
  <c r="D143" i="4"/>
  <c r="D1615" i="4"/>
  <c r="D13048" i="4"/>
  <c r="D11930" i="4"/>
  <c r="D13455" i="4"/>
  <c r="D122" i="4"/>
  <c r="D1613" i="4"/>
  <c r="D14510" i="4"/>
  <c r="D9636" i="4"/>
  <c r="D9635" i="4"/>
  <c r="D4031" i="4"/>
  <c r="D5580" i="4"/>
  <c r="D10338" i="4"/>
  <c r="D9882" i="4"/>
  <c r="D1611" i="4"/>
  <c r="D10337" i="4"/>
  <c r="D9011" i="4"/>
  <c r="D1969" i="4"/>
  <c r="D11929" i="4"/>
  <c r="D3841" i="4"/>
  <c r="D6434" i="4"/>
  <c r="D10336" i="4"/>
  <c r="D3840" i="4"/>
  <c r="D6446" i="4"/>
  <c r="D6918" i="4"/>
  <c r="D5817" i="4"/>
  <c r="D13985" i="4"/>
  <c r="D931" i="4"/>
  <c r="D4118" i="4"/>
  <c r="D9634" i="4"/>
  <c r="D12114" i="4"/>
  <c r="D9010" i="4"/>
  <c r="D11216" i="4"/>
  <c r="D2053" i="4"/>
  <c r="D12367" i="4"/>
  <c r="D1101" i="4"/>
  <c r="D15087" i="4"/>
  <c r="D4219" i="4"/>
  <c r="D15085" i="4"/>
  <c r="D14509" i="4"/>
  <c r="D9633" i="4"/>
  <c r="D1968" i="4"/>
  <c r="D6376" i="4"/>
  <c r="D3839" i="4"/>
  <c r="D1757" i="4"/>
  <c r="D14251" i="4"/>
  <c r="D5579" i="4"/>
  <c r="D12474" i="4"/>
  <c r="D117" i="4"/>
  <c r="D677" i="4"/>
  <c r="D15035" i="4"/>
  <c r="D14876" i="4"/>
  <c r="D14232" i="4"/>
  <c r="D9632" i="4"/>
  <c r="D5726" i="4"/>
  <c r="D842" i="4"/>
  <c r="D6917" i="4"/>
  <c r="D9009" i="4"/>
  <c r="D15016" i="4"/>
  <c r="D13092" i="4"/>
  <c r="D11147" i="4"/>
  <c r="D5578" i="4"/>
  <c r="D12884" i="4"/>
  <c r="D11694" i="4"/>
  <c r="D13059" i="4"/>
  <c r="D5577" i="4"/>
  <c r="D13308" i="4"/>
  <c r="D15585" i="4"/>
  <c r="D2454" i="4"/>
  <c r="D12682" i="4"/>
  <c r="D5576" i="4"/>
  <c r="D9631" i="4"/>
  <c r="D3033" i="4"/>
  <c r="D10460" i="4"/>
  <c r="D12229" i="4"/>
  <c r="D15251" i="4"/>
  <c r="D2853" i="4"/>
  <c r="D10335" i="4"/>
  <c r="D15690" i="4"/>
  <c r="D14180" i="4"/>
  <c r="D9008" i="4"/>
  <c r="D102" i="4"/>
  <c r="D3838" i="4"/>
  <c r="D11543" i="4"/>
  <c r="D3188" i="4"/>
  <c r="D7255" i="4"/>
  <c r="D14959" i="4"/>
  <c r="D562" i="4"/>
  <c r="D841" i="4"/>
  <c r="D11289" i="4"/>
  <c r="D10334" i="4"/>
  <c r="D1477" i="4"/>
  <c r="D5575" i="4"/>
  <c r="D5841" i="4"/>
  <c r="D13296" i="4"/>
  <c r="D13916" i="4"/>
  <c r="D9007" i="4"/>
  <c r="D50" i="4"/>
  <c r="D9006" i="4"/>
  <c r="D6916" i="4"/>
  <c r="D2708" i="4"/>
  <c r="D9630" i="4"/>
  <c r="D9629" i="4"/>
  <c r="D693" i="4"/>
  <c r="D2101" i="4"/>
  <c r="D172" i="4"/>
  <c r="D15689" i="4"/>
  <c r="D4367" i="4"/>
  <c r="D13984" i="4"/>
  <c r="D9005" i="4"/>
  <c r="D9004" i="4"/>
  <c r="D1214" i="4"/>
  <c r="D9628" i="4"/>
  <c r="D10333" i="4"/>
  <c r="D840" i="4"/>
  <c r="D3251" i="4"/>
  <c r="D15517" i="4"/>
  <c r="D15581" i="4"/>
  <c r="D2453" i="4"/>
  <c r="D13291" i="4"/>
  <c r="D12473" i="4"/>
  <c r="D9197" i="4"/>
  <c r="D3837" i="4"/>
  <c r="D4951" i="4"/>
  <c r="D7036" i="4"/>
  <c r="D1100" i="4"/>
  <c r="D7190" i="4"/>
  <c r="D22" i="4"/>
  <c r="D169" i="4"/>
  <c r="D1967" i="4"/>
  <c r="D160" i="4"/>
  <c r="D1763" i="4"/>
  <c r="D33" i="4"/>
  <c r="D9003" i="4"/>
  <c r="D990" i="4"/>
  <c r="D5868" i="4"/>
  <c r="D5993" i="4"/>
  <c r="D12723" i="4"/>
  <c r="D2852" i="4"/>
  <c r="D676" i="4"/>
  <c r="D88" i="4"/>
  <c r="D9767" i="4"/>
  <c r="D93" i="4"/>
  <c r="D1213" i="4"/>
  <c r="D1078" i="4"/>
  <c r="D9958" i="4"/>
  <c r="D5574" i="4"/>
  <c r="D87" i="4"/>
  <c r="D3836" i="4"/>
  <c r="D479" i="4"/>
  <c r="D4137" i="4"/>
  <c r="D1533" i="4"/>
  <c r="D9002" i="4"/>
  <c r="D5010" i="4"/>
  <c r="D9627" i="4"/>
  <c r="D12472" i="4"/>
  <c r="D2707" i="4"/>
  <c r="D9626" i="4"/>
  <c r="D191" i="4"/>
  <c r="D6340" i="4"/>
  <c r="D2667" i="4"/>
  <c r="D2666" i="4"/>
  <c r="D1867" i="4"/>
  <c r="D13812" i="4"/>
  <c r="D9625" i="4"/>
  <c r="D6976" i="4"/>
  <c r="D1409" i="4"/>
  <c r="D2665" i="4"/>
  <c r="D5992" i="4"/>
  <c r="D6164" i="4"/>
  <c r="D4233" i="4"/>
  <c r="D14958" i="4"/>
  <c r="D9624" i="4"/>
  <c r="D5172" i="4"/>
  <c r="D6163" i="4"/>
  <c r="D2084" i="4"/>
  <c r="D2237" i="4"/>
  <c r="D6335" i="4"/>
  <c r="D11928" i="4"/>
  <c r="D11018" i="4"/>
  <c r="D11927" i="4"/>
  <c r="D14661" i="4"/>
  <c r="D9623" i="4"/>
  <c r="D9622" i="4"/>
  <c r="D5163" i="4"/>
  <c r="D2664" i="4"/>
  <c r="D10672" i="4"/>
  <c r="D9621" i="4"/>
  <c r="D6296" i="4"/>
  <c r="D12064" i="4"/>
  <c r="D7035" i="4"/>
  <c r="D11266" i="4"/>
  <c r="D9943" i="4"/>
  <c r="D486" i="4"/>
  <c r="D1654" i="4"/>
  <c r="D2236" i="4"/>
  <c r="D13454" i="4"/>
  <c r="D2919" i="4"/>
  <c r="D11839" i="4"/>
  <c r="D15516" i="4"/>
  <c r="D5816" i="4"/>
  <c r="D14957" i="4"/>
  <c r="D3835" i="4"/>
  <c r="D3834" i="4"/>
  <c r="D10332" i="4"/>
  <c r="D1661" i="4"/>
  <c r="D552" i="4"/>
  <c r="D14956" i="4"/>
  <c r="D15515" i="4"/>
  <c r="D11265" i="4"/>
  <c r="D5815" i="4"/>
  <c r="D413" i="4"/>
  <c r="D3833" i="4"/>
  <c r="D15514" i="4"/>
  <c r="D9620" i="4"/>
  <c r="D9001" i="4"/>
  <c r="D13884" i="4"/>
  <c r="D14955" i="4"/>
  <c r="D3832" i="4"/>
  <c r="D2452" i="4"/>
  <c r="D2663" i="4"/>
  <c r="D2210" i="4"/>
  <c r="D14154" i="4"/>
  <c r="D10389" i="4"/>
  <c r="D14954" i="4"/>
  <c r="D11369" i="4"/>
  <c r="D14188" i="4"/>
  <c r="D14953" i="4"/>
  <c r="D15250" i="4"/>
  <c r="D2969" i="4"/>
  <c r="D9619" i="4"/>
  <c r="D465" i="4"/>
  <c r="D9000" i="4"/>
  <c r="D8999" i="4"/>
  <c r="D15513" i="4"/>
  <c r="D15512" i="4"/>
  <c r="D11567" i="4"/>
  <c r="D15511" i="4"/>
  <c r="D15570" i="4"/>
  <c r="D14187" i="4"/>
  <c r="D1568" i="4"/>
  <c r="D15510" i="4"/>
  <c r="D14952" i="4"/>
  <c r="D8998" i="4"/>
  <c r="D2662" i="4"/>
  <c r="D6975" i="4"/>
  <c r="D1408" i="4"/>
  <c r="D9618" i="4"/>
  <c r="D14951" i="4"/>
  <c r="D9881" i="4"/>
  <c r="D6998" i="4"/>
  <c r="D4614" i="4"/>
  <c r="D15509" i="4"/>
  <c r="D8997" i="4"/>
  <c r="D9617" i="4"/>
  <c r="D15249" i="4"/>
  <c r="D11060" i="4"/>
  <c r="D3831" i="4"/>
  <c r="D9942" i="4"/>
  <c r="D1212" i="4"/>
  <c r="D15508" i="4"/>
  <c r="D5661" i="4"/>
  <c r="D15507" i="4"/>
  <c r="D15506" i="4"/>
  <c r="D15505" i="4"/>
  <c r="D5171" i="4"/>
  <c r="D15504" i="4"/>
  <c r="D6295" i="4"/>
  <c r="D9823" i="4"/>
  <c r="D9616" i="4"/>
  <c r="D10671" i="4"/>
  <c r="D1810" i="4"/>
  <c r="D12248" i="4"/>
  <c r="D12063" i="4"/>
  <c r="D2451" i="4"/>
  <c r="D6652" i="4"/>
  <c r="D485" i="4"/>
  <c r="D12062" i="4"/>
  <c r="D2661" i="4"/>
  <c r="D12139" i="4"/>
  <c r="D10331" i="4"/>
  <c r="D9615" i="4"/>
  <c r="D6162" i="4"/>
  <c r="D3187" i="4"/>
  <c r="D9941" i="4"/>
  <c r="D2245" i="4"/>
  <c r="D6405" i="4"/>
  <c r="D2117" i="4"/>
  <c r="D2880" i="4"/>
  <c r="D7236" i="4"/>
  <c r="D1866" i="4"/>
  <c r="D14652" i="4"/>
  <c r="D15248" i="4"/>
  <c r="D11989" i="4"/>
  <c r="D6886" i="4"/>
  <c r="D4509" i="4"/>
  <c r="D10921" i="4"/>
  <c r="D4508" i="4"/>
  <c r="D9614" i="4"/>
  <c r="D4946" i="4"/>
  <c r="D9613" i="4"/>
  <c r="D14508" i="4"/>
  <c r="D15503" i="4"/>
  <c r="D2450" i="4"/>
  <c r="D14767" i="4"/>
  <c r="D15502" i="4"/>
  <c r="D15501" i="4"/>
  <c r="D2980" i="4"/>
  <c r="D4945" i="4"/>
  <c r="D2851" i="4"/>
  <c r="D11089" i="4"/>
  <c r="D11582" i="4"/>
  <c r="D15247" i="4"/>
  <c r="D1567" i="4"/>
  <c r="D13266" i="4"/>
  <c r="D13883" i="4"/>
  <c r="D3830" i="4"/>
  <c r="D4944" i="4"/>
  <c r="D15500" i="4"/>
  <c r="D6974" i="4"/>
  <c r="D1407" i="4"/>
  <c r="D12193" i="4"/>
  <c r="D15499" i="4"/>
  <c r="D9822" i="4"/>
  <c r="D3829" i="4"/>
  <c r="D2660" i="4"/>
  <c r="D8996" i="4"/>
  <c r="D10688" i="4"/>
  <c r="D5865" i="4"/>
  <c r="D5573" i="4"/>
  <c r="D11838" i="4"/>
  <c r="D1865" i="4"/>
  <c r="D2850" i="4"/>
  <c r="D10479" i="4"/>
  <c r="D9612" i="4"/>
  <c r="D11926" i="4"/>
  <c r="D6848" i="4"/>
  <c r="D8995" i="4"/>
  <c r="D412" i="4"/>
  <c r="D1532" i="4"/>
  <c r="D4943" i="4"/>
  <c r="D11243" i="4"/>
  <c r="D11837" i="4"/>
  <c r="D15132" i="4"/>
  <c r="D6482" i="4"/>
  <c r="D10770" i="4"/>
  <c r="D14607" i="4"/>
  <c r="D10629" i="4"/>
  <c r="D15498" i="4"/>
  <c r="D15497" i="4"/>
  <c r="D4157" i="4"/>
  <c r="D1147" i="4"/>
  <c r="D15496" i="4"/>
  <c r="D2849" i="4"/>
  <c r="D13811" i="4"/>
  <c r="D15495" i="4"/>
  <c r="D551" i="4"/>
  <c r="D9821" i="4"/>
  <c r="D5689" i="4"/>
  <c r="D14231" i="4"/>
  <c r="D13810" i="4"/>
  <c r="D550" i="4"/>
  <c r="D14230" i="4"/>
  <c r="D15246" i="4"/>
  <c r="D12671" i="4"/>
  <c r="D5028" i="4"/>
  <c r="D14020" i="4"/>
  <c r="D12061" i="4"/>
  <c r="D2848" i="4"/>
  <c r="D10330" i="4"/>
  <c r="D12824" i="4"/>
  <c r="D3828" i="4"/>
  <c r="D3827" i="4"/>
  <c r="D12823" i="4"/>
  <c r="D4347" i="4"/>
  <c r="D6614" i="4"/>
  <c r="D286" i="4"/>
  <c r="D6879" i="4"/>
  <c r="D6504" i="4"/>
  <c r="D8994" i="4"/>
  <c r="D14950" i="4"/>
  <c r="D4942" i="4"/>
  <c r="D3951" i="4"/>
  <c r="D340" i="4"/>
  <c r="D13453" i="4"/>
  <c r="D10329" i="4"/>
  <c r="D3826" i="4"/>
  <c r="D12215" i="4"/>
  <c r="D10820" i="4"/>
  <c r="D1966" i="4"/>
  <c r="D8993" i="4"/>
  <c r="D9611" i="4"/>
  <c r="D2242" i="4"/>
  <c r="D533" i="4"/>
  <c r="D15494" i="4"/>
  <c r="D8992" i="4"/>
  <c r="D13809" i="4"/>
  <c r="D3825" i="4"/>
  <c r="D12942" i="4"/>
  <c r="D1809" i="4"/>
  <c r="D4958" i="4"/>
  <c r="D11088" i="4"/>
  <c r="D15493" i="4"/>
  <c r="D15594" i="4"/>
  <c r="D8991" i="4"/>
  <c r="D12822" i="4"/>
  <c r="D10717" i="4"/>
  <c r="D14949" i="4"/>
  <c r="D12265" i="4"/>
  <c r="D8990" i="4"/>
  <c r="D4628" i="4"/>
  <c r="D8989" i="4"/>
  <c r="D5162" i="4"/>
  <c r="D5688" i="4"/>
  <c r="D8988" i="4"/>
  <c r="D5188" i="4"/>
  <c r="D4328" i="4"/>
  <c r="D14132" i="4"/>
  <c r="D4507" i="4"/>
  <c r="D3824" i="4"/>
  <c r="D4131" i="4"/>
  <c r="D13265" i="4"/>
  <c r="D6161" i="4"/>
  <c r="D13983" i="4"/>
  <c r="D10628" i="4"/>
  <c r="D5176" i="4"/>
  <c r="D8987" i="4"/>
  <c r="D4245" i="4"/>
  <c r="D6700" i="4"/>
  <c r="D3823" i="4"/>
  <c r="D6294" i="4"/>
  <c r="D1746" i="4"/>
  <c r="D14618" i="4"/>
  <c r="D4455" i="4"/>
  <c r="D1063" i="4"/>
  <c r="D14507" i="4"/>
  <c r="D14660" i="4"/>
  <c r="D14948" i="4"/>
  <c r="D8986" i="4"/>
  <c r="D285" i="4"/>
  <c r="D8985" i="4"/>
  <c r="D2659" i="4"/>
  <c r="D11734" i="4"/>
  <c r="D9880" i="4"/>
  <c r="D8984" i="4"/>
  <c r="D9610" i="4"/>
  <c r="D2449" i="4"/>
  <c r="D9609" i="4"/>
  <c r="D3822" i="4"/>
  <c r="D7243" i="4"/>
  <c r="D15492" i="4"/>
  <c r="D7287" i="4"/>
  <c r="D15593" i="4"/>
  <c r="D2557" i="4"/>
  <c r="D2448" i="4"/>
  <c r="D1313" i="4"/>
  <c r="D4357" i="4"/>
  <c r="D5814" i="4"/>
  <c r="D10328" i="4"/>
  <c r="D4627" i="4"/>
  <c r="D12910" i="4"/>
  <c r="D15615" i="4"/>
  <c r="D9608" i="4"/>
  <c r="D6878" i="4"/>
  <c r="D7034" i="4"/>
  <c r="D1660" i="4"/>
  <c r="D15675" i="4"/>
  <c r="D11300" i="4"/>
  <c r="D1312" i="4"/>
  <c r="D10327" i="4"/>
  <c r="D8983" i="4"/>
  <c r="D8982" i="4"/>
  <c r="D5027" i="4"/>
  <c r="D1965" i="4"/>
  <c r="D15491" i="4"/>
  <c r="D444" i="4"/>
  <c r="D1146" i="4"/>
  <c r="D11447" i="4"/>
  <c r="D6293" i="4"/>
  <c r="D12821" i="4"/>
  <c r="D14766" i="4"/>
  <c r="D1864" i="4"/>
  <c r="D6453" i="4"/>
  <c r="D5940" i="4"/>
  <c r="D15245" i="4"/>
  <c r="D6716" i="4"/>
  <c r="D4941" i="4"/>
  <c r="D10716" i="4"/>
  <c r="D4613" i="4"/>
  <c r="D14229" i="4"/>
  <c r="D8981" i="4"/>
  <c r="D12366" i="4"/>
  <c r="D12941" i="4"/>
  <c r="D14506" i="4"/>
  <c r="D2658" i="4"/>
  <c r="D7152" i="4"/>
  <c r="D3821" i="4"/>
  <c r="D549" i="4"/>
  <c r="D2657" i="4"/>
  <c r="D2052" i="4"/>
  <c r="D9607" i="4"/>
  <c r="D12644" i="4"/>
  <c r="D12820" i="4"/>
  <c r="D15674" i="4"/>
  <c r="D14947" i="4"/>
  <c r="D8980" i="4"/>
  <c r="D6292" i="4"/>
  <c r="D8979" i="4"/>
  <c r="D12573" i="4"/>
  <c r="D14946" i="4"/>
  <c r="D1145" i="4"/>
  <c r="D9606" i="4"/>
  <c r="D8978" i="4"/>
  <c r="D4457" i="4"/>
  <c r="D5725" i="4"/>
  <c r="D8977" i="4"/>
  <c r="D8976" i="4"/>
  <c r="D12105" i="4"/>
  <c r="D618" i="4"/>
  <c r="D8975" i="4"/>
  <c r="D8974" i="4"/>
  <c r="D8973" i="4"/>
  <c r="D14945" i="4"/>
  <c r="D5912" i="4"/>
  <c r="D11781" i="4"/>
  <c r="D2904" i="4"/>
  <c r="D11925" i="4"/>
  <c r="D14765" i="4"/>
  <c r="D4940" i="4"/>
  <c r="D3186" i="4"/>
  <c r="D12819" i="4"/>
  <c r="D12192" i="4"/>
  <c r="D2656" i="4"/>
  <c r="D9731" i="4"/>
  <c r="D1442" i="4"/>
  <c r="D5055" i="4"/>
  <c r="D10811" i="4"/>
  <c r="D244" i="4"/>
  <c r="D12060" i="4"/>
  <c r="D1653" i="4"/>
  <c r="D6575" i="4"/>
  <c r="D5813" i="4"/>
  <c r="D12191" i="4"/>
  <c r="D10920" i="4"/>
  <c r="D12818" i="4"/>
  <c r="D14606" i="4"/>
  <c r="D1964" i="4"/>
  <c r="D1863" i="4"/>
  <c r="D4596" i="4"/>
  <c r="D6404" i="4"/>
  <c r="D12883" i="4"/>
  <c r="D11693" i="4"/>
  <c r="D12882" i="4"/>
  <c r="D11692" i="4"/>
  <c r="D15244" i="4"/>
  <c r="D13808" i="4"/>
  <c r="D4238" i="4"/>
  <c r="D15490" i="4"/>
  <c r="D8972" i="4"/>
  <c r="D13264" i="4"/>
  <c r="D2918" i="4"/>
  <c r="D11313" i="4"/>
  <c r="D9974" i="4"/>
  <c r="D1862" i="4"/>
  <c r="D10687" i="4"/>
  <c r="D1861" i="4"/>
  <c r="D6785" i="4"/>
  <c r="D1652" i="4"/>
  <c r="D10582" i="4"/>
  <c r="D8971" i="4"/>
  <c r="D4506" i="4"/>
  <c r="D11368" i="4"/>
  <c r="D10819" i="4"/>
  <c r="D12817" i="4"/>
  <c r="D1860" i="4"/>
  <c r="D8970" i="4"/>
  <c r="D4505" i="4"/>
  <c r="D7033" i="4"/>
  <c r="D15055" i="4"/>
  <c r="D10686" i="4"/>
  <c r="D14764" i="4"/>
  <c r="D3934" i="4"/>
  <c r="D14704" i="4"/>
  <c r="D8969" i="4"/>
  <c r="D2447" i="4"/>
  <c r="D12190" i="4"/>
  <c r="D2446" i="4"/>
  <c r="D2556" i="4"/>
  <c r="D463" i="4"/>
  <c r="D10806" i="4"/>
  <c r="D11496" i="4"/>
  <c r="D14944" i="4"/>
  <c r="D12909" i="4"/>
  <c r="D11215" i="4"/>
  <c r="D5572" i="4"/>
  <c r="D15243" i="4"/>
  <c r="D13263" i="4"/>
  <c r="D4731" i="4"/>
  <c r="D2445" i="4"/>
  <c r="D5184" i="4"/>
  <c r="D1859" i="4"/>
  <c r="D1495" i="4"/>
  <c r="D8968" i="4"/>
  <c r="D12538" i="4"/>
  <c r="D1808" i="4"/>
  <c r="D8967" i="4"/>
  <c r="D8966" i="4"/>
  <c r="D10326" i="4"/>
  <c r="D15489" i="4"/>
  <c r="D8965" i="4"/>
  <c r="D12816" i="4"/>
  <c r="D8964" i="4"/>
  <c r="D8963" i="4"/>
  <c r="D14943" i="4"/>
  <c r="D11367" i="4"/>
  <c r="D8962" i="4"/>
  <c r="D13807" i="4"/>
  <c r="D8961" i="4"/>
  <c r="D15673" i="4"/>
  <c r="D5812" i="4"/>
  <c r="D13806" i="4"/>
  <c r="D2051" i="4"/>
  <c r="D8960" i="4"/>
  <c r="D12572" i="4"/>
  <c r="D989" i="4"/>
  <c r="D8959" i="4"/>
  <c r="D9605" i="4"/>
  <c r="D5571" i="4"/>
  <c r="D5080" i="4"/>
  <c r="D11146" i="4"/>
  <c r="D15242" i="4"/>
  <c r="D15241" i="4"/>
  <c r="D15240" i="4"/>
  <c r="D5811" i="4"/>
  <c r="D5570" i="4"/>
  <c r="D11381" i="4"/>
  <c r="D6291" i="4"/>
  <c r="D13145" i="4"/>
  <c r="D8958" i="4"/>
  <c r="D3950" i="4"/>
  <c r="D2847" i="4"/>
  <c r="D1581" i="4"/>
  <c r="D12228" i="4"/>
  <c r="D12697" i="4"/>
  <c r="D11214" i="4"/>
  <c r="D8957" i="4"/>
  <c r="D10325" i="4"/>
  <c r="D10324" i="4"/>
  <c r="D7110" i="4"/>
  <c r="D8956" i="4"/>
  <c r="D8955" i="4"/>
  <c r="D5126" i="4"/>
  <c r="D14778" i="4"/>
  <c r="D8954" i="4"/>
  <c r="D1531" i="4"/>
  <c r="D3820" i="4"/>
  <c r="D6581" i="4"/>
  <c r="D12881" i="4"/>
  <c r="D11691" i="4"/>
  <c r="D5187" i="4"/>
  <c r="D8953" i="4"/>
  <c r="D8952" i="4"/>
  <c r="D6613" i="4"/>
  <c r="D2116" i="4"/>
  <c r="D13351" i="4"/>
  <c r="D2444" i="4"/>
  <c r="D8951" i="4"/>
  <c r="D4626" i="4"/>
  <c r="D7290" i="4"/>
  <c r="D11399" i="4"/>
  <c r="D14942" i="4"/>
  <c r="D14941" i="4"/>
  <c r="D11380" i="4"/>
  <c r="D3819" i="4"/>
  <c r="D13198" i="4"/>
  <c r="D12815" i="4"/>
  <c r="D2555" i="4"/>
  <c r="D5724" i="4"/>
  <c r="D10323" i="4"/>
  <c r="D2655" i="4"/>
  <c r="D11213" i="4"/>
  <c r="D1441" i="4"/>
  <c r="D5569" i="4"/>
  <c r="D14146" i="4"/>
  <c r="D13108" i="4"/>
  <c r="D393" i="4"/>
  <c r="D6682" i="4"/>
  <c r="D7242" i="4"/>
  <c r="D509" i="4"/>
  <c r="D4030" i="4"/>
  <c r="D9998" i="4"/>
  <c r="D11366" i="4"/>
  <c r="D5568" i="4"/>
  <c r="D8950" i="4"/>
  <c r="D3818" i="4"/>
  <c r="D8949" i="4"/>
  <c r="D15488" i="4"/>
  <c r="D8948" i="4"/>
  <c r="D5567" i="4"/>
  <c r="D5062" i="4"/>
  <c r="D5566" i="4"/>
  <c r="D2174" i="4"/>
  <c r="D5863" i="4"/>
  <c r="D5565" i="4"/>
  <c r="D14505" i="4"/>
  <c r="D11124" i="4"/>
  <c r="D392" i="4"/>
  <c r="D4957" i="4"/>
  <c r="D6375" i="4"/>
  <c r="D11836" i="4"/>
  <c r="D4595" i="4"/>
  <c r="D11212" i="4"/>
  <c r="D10910" i="4"/>
  <c r="D14592" i="4"/>
  <c r="D2554" i="4"/>
  <c r="D11211" i="4"/>
  <c r="D5079" i="4"/>
  <c r="D14504" i="4"/>
  <c r="D11210" i="4"/>
  <c r="D12814" i="4"/>
  <c r="D15487" i="4"/>
  <c r="D1575" i="4"/>
  <c r="D15486" i="4"/>
  <c r="D14940" i="4"/>
  <c r="D13946" i="4"/>
  <c r="D988" i="4"/>
  <c r="D5911" i="4"/>
  <c r="D4346" i="4"/>
  <c r="D8947" i="4"/>
  <c r="D12624" i="4"/>
  <c r="D1311" i="4"/>
  <c r="D9820" i="4"/>
  <c r="D2443" i="4"/>
  <c r="D6477" i="4"/>
  <c r="D2979" i="4"/>
  <c r="D9233" i="4"/>
  <c r="D12915" i="4"/>
  <c r="D5723" i="4"/>
  <c r="D15239" i="4"/>
  <c r="D5810" i="4"/>
  <c r="D8946" i="4"/>
  <c r="D10805" i="4"/>
  <c r="D2846" i="4"/>
  <c r="D9888" i="4"/>
  <c r="D3185" i="4"/>
  <c r="D11209" i="4"/>
  <c r="D8945" i="4"/>
  <c r="D15238" i="4"/>
  <c r="D10865" i="4"/>
  <c r="D2896" i="4"/>
  <c r="D3817" i="4"/>
  <c r="D5564" i="4"/>
  <c r="D9819" i="4"/>
  <c r="D8944" i="4"/>
  <c r="D2553" i="4"/>
  <c r="D14990" i="4"/>
  <c r="D10804" i="4"/>
  <c r="D15237" i="4"/>
  <c r="D6160" i="4"/>
  <c r="D1858" i="4"/>
  <c r="D9604" i="4"/>
  <c r="D1696" i="4"/>
  <c r="D14228" i="4"/>
  <c r="D14939" i="4"/>
  <c r="D11299" i="4"/>
  <c r="D10322" i="4"/>
  <c r="D2083" i="4"/>
  <c r="D4097" i="4"/>
  <c r="D1144" i="4"/>
  <c r="D12090" i="4"/>
  <c r="D11398" i="4"/>
  <c r="D14938" i="4"/>
  <c r="D11365" i="4"/>
  <c r="D13117" i="4"/>
  <c r="D8943" i="4"/>
  <c r="D9818" i="4"/>
  <c r="D2552" i="4"/>
  <c r="D14937" i="4"/>
  <c r="D2978" i="4"/>
  <c r="D6681" i="4"/>
  <c r="D5563" i="4"/>
  <c r="D8942" i="4"/>
  <c r="D5809" i="4"/>
  <c r="D4939" i="4"/>
  <c r="D3816" i="4"/>
  <c r="D11924" i="4"/>
  <c r="D12880" i="4"/>
  <c r="D11690" i="4"/>
  <c r="D243" i="4"/>
  <c r="D15236" i="4"/>
  <c r="D8941" i="4"/>
  <c r="D8940" i="4"/>
  <c r="D11298" i="4"/>
  <c r="D723" i="4"/>
  <c r="D4029" i="4"/>
  <c r="D6503" i="4"/>
  <c r="D2442" i="4"/>
  <c r="D8939" i="4"/>
  <c r="D7032" i="4"/>
  <c r="D3815" i="4"/>
  <c r="D2158" i="4"/>
  <c r="D12571" i="4"/>
  <c r="D3949" i="4"/>
  <c r="D13299" i="4"/>
  <c r="D8938" i="4"/>
  <c r="D8937" i="4"/>
  <c r="D8936" i="4"/>
  <c r="D3814" i="4"/>
  <c r="D13197" i="4"/>
  <c r="D11253" i="4"/>
  <c r="D7254" i="4"/>
  <c r="D9817" i="4"/>
  <c r="D11923" i="4"/>
  <c r="D11288" i="4"/>
  <c r="D2441" i="4"/>
  <c r="D4001" i="4"/>
  <c r="D11208" i="4"/>
  <c r="D2845" i="4"/>
  <c r="D13262" i="4"/>
  <c r="D3813" i="4"/>
  <c r="D722" i="4"/>
  <c r="D15569" i="4"/>
  <c r="D8935" i="4"/>
  <c r="D8934" i="4"/>
  <c r="D7286" i="4"/>
  <c r="D1143" i="4"/>
  <c r="D14936" i="4"/>
  <c r="D2100" i="4"/>
  <c r="D252" i="4"/>
  <c r="D10685" i="4"/>
  <c r="D4748" i="4"/>
  <c r="D6419" i="4"/>
  <c r="D1310" i="4"/>
  <c r="D15277" i="4"/>
  <c r="D2190" i="4"/>
  <c r="D9764" i="4"/>
  <c r="D7057" i="4"/>
  <c r="D8933" i="4"/>
  <c r="D8932" i="4"/>
  <c r="D14227" i="4"/>
  <c r="D3812" i="4"/>
  <c r="D12813" i="4"/>
  <c r="D5991" i="4"/>
  <c r="D8931" i="4"/>
  <c r="D12908" i="4"/>
  <c r="D2050" i="4"/>
  <c r="D1807" i="4"/>
  <c r="D3811" i="4"/>
  <c r="D2844" i="4"/>
  <c r="D4652" i="4"/>
  <c r="D1988" i="4"/>
  <c r="D7253" i="4"/>
  <c r="D10321" i="4"/>
  <c r="D8930" i="4"/>
  <c r="D10581" i="4"/>
  <c r="D9816" i="4"/>
  <c r="D6634" i="4"/>
  <c r="D15235" i="4"/>
  <c r="D5862" i="4"/>
  <c r="D14678" i="4"/>
  <c r="D8929" i="4"/>
  <c r="D8928" i="4"/>
  <c r="D3810" i="4"/>
  <c r="D4639" i="4"/>
  <c r="D14935" i="4"/>
  <c r="D2551" i="4"/>
  <c r="D1309" i="4"/>
  <c r="D11922" i="4"/>
  <c r="D8927" i="4"/>
  <c r="D9757" i="4"/>
  <c r="D15485" i="4"/>
  <c r="D3184" i="4"/>
  <c r="D14617" i="4"/>
  <c r="D11059" i="4"/>
  <c r="D2155" i="4"/>
  <c r="D11207" i="4"/>
  <c r="D12940" i="4"/>
  <c r="D14605" i="4"/>
  <c r="D13350" i="4"/>
  <c r="D8926" i="4"/>
  <c r="D14849" i="4"/>
  <c r="D1308" i="4"/>
  <c r="D8925" i="4"/>
  <c r="D14848" i="4"/>
  <c r="D721" i="4"/>
  <c r="D2654" i="4"/>
  <c r="D15234" i="4"/>
  <c r="D12531" i="4"/>
  <c r="D3071" i="4"/>
  <c r="D11206" i="4"/>
  <c r="D8924" i="4"/>
  <c r="D13144" i="4"/>
  <c r="D10762" i="4"/>
  <c r="D14847" i="4"/>
  <c r="D5808" i="4"/>
  <c r="D15484" i="4"/>
  <c r="D14077" i="4"/>
  <c r="D9603" i="4"/>
  <c r="D2653" i="4"/>
  <c r="D13349" i="4"/>
  <c r="D1211" i="4"/>
  <c r="D8923" i="4"/>
  <c r="D6858" i="4"/>
  <c r="D5562" i="4"/>
  <c r="D12914" i="4"/>
  <c r="D6389" i="4"/>
  <c r="D3809" i="4"/>
  <c r="D13196" i="4"/>
  <c r="D8922" i="4"/>
  <c r="D8921" i="4"/>
  <c r="D13261" i="4"/>
  <c r="D3808" i="4"/>
  <c r="D13195" i="4"/>
  <c r="D8920" i="4"/>
  <c r="D11312" i="4"/>
  <c r="D8919" i="4"/>
  <c r="D4972" i="4"/>
  <c r="D10015" i="4"/>
  <c r="D10803" i="4"/>
  <c r="D7084" i="4"/>
  <c r="D15061" i="4"/>
  <c r="D8918" i="4"/>
  <c r="D11287" i="4"/>
  <c r="D14934" i="4"/>
  <c r="D4146" i="4"/>
  <c r="D8917" i="4"/>
  <c r="D5175" i="4"/>
  <c r="D11311" i="4"/>
  <c r="D14777" i="4"/>
  <c r="D2189" i="4"/>
  <c r="D4938" i="4"/>
  <c r="D8916" i="4"/>
  <c r="D5561" i="4"/>
  <c r="D1695" i="4"/>
  <c r="D13224" i="4"/>
  <c r="D5560" i="4"/>
  <c r="D3807" i="4"/>
  <c r="D10478" i="4"/>
  <c r="D12264" i="4"/>
  <c r="D10896" i="4"/>
  <c r="D3806" i="4"/>
  <c r="D5807" i="4"/>
  <c r="D15483" i="4"/>
  <c r="D11205" i="4"/>
  <c r="D8915" i="4"/>
  <c r="D2099" i="4"/>
  <c r="D11921" i="4"/>
  <c r="D12189" i="4"/>
  <c r="D14503" i="4"/>
  <c r="D15233" i="4"/>
  <c r="D6374" i="4"/>
  <c r="D7031" i="4"/>
  <c r="D5559" i="4"/>
  <c r="D8914" i="4"/>
  <c r="D9193" i="4"/>
  <c r="D2550" i="4"/>
  <c r="D10823" i="4"/>
  <c r="D10642" i="4"/>
  <c r="D3805" i="4"/>
  <c r="D14933" i="4"/>
  <c r="D7030" i="4"/>
  <c r="D8913" i="4"/>
  <c r="D6159" i="4"/>
  <c r="D3804" i="4"/>
  <c r="D11397" i="4"/>
  <c r="D13058" i="4"/>
  <c r="D8912" i="4"/>
  <c r="D2968" i="4"/>
  <c r="D9602" i="4"/>
  <c r="D8911" i="4"/>
  <c r="D373" i="4"/>
  <c r="D8910" i="4"/>
  <c r="D391" i="4"/>
  <c r="D2082" i="4"/>
  <c r="D10320" i="4"/>
  <c r="D13897" i="4"/>
  <c r="D242" i="4"/>
  <c r="D11087" i="4"/>
  <c r="D8909" i="4"/>
  <c r="D6829" i="4"/>
  <c r="D532" i="4"/>
  <c r="D12072" i="4"/>
  <c r="D13091" i="4"/>
  <c r="D13805" i="4"/>
  <c r="D9761" i="4"/>
  <c r="D6158" i="4"/>
  <c r="D8908" i="4"/>
  <c r="D3803" i="4"/>
  <c r="D15482" i="4"/>
  <c r="D8907" i="4"/>
  <c r="D10459" i="4"/>
  <c r="D12227" i="4"/>
  <c r="D15672" i="4"/>
  <c r="D2843" i="4"/>
  <c r="D6574" i="4"/>
  <c r="D2440" i="4"/>
  <c r="D6877" i="4"/>
  <c r="D14846" i="4"/>
  <c r="D14845" i="4"/>
  <c r="D12138" i="4"/>
  <c r="D3802" i="4"/>
  <c r="D2842" i="4"/>
  <c r="D12926" i="4"/>
  <c r="D1694" i="4"/>
  <c r="D12879" i="4"/>
  <c r="D11689" i="4"/>
  <c r="D9728" i="4"/>
  <c r="D8906" i="4"/>
  <c r="D7083" i="4"/>
  <c r="D4047" i="4"/>
  <c r="D2185" i="4"/>
  <c r="D5558" i="4"/>
  <c r="D8905" i="4"/>
  <c r="D3801" i="4"/>
  <c r="D10627" i="4"/>
  <c r="D271" i="4"/>
  <c r="D8904" i="4"/>
  <c r="D14557" i="4"/>
  <c r="D1307" i="4"/>
  <c r="D2841" i="4"/>
  <c r="D617" i="4"/>
  <c r="D1857" i="4"/>
  <c r="D14932" i="4"/>
  <c r="D3800" i="4"/>
  <c r="D10818" i="4"/>
  <c r="D8903" i="4"/>
  <c r="D13894" i="4"/>
  <c r="D12812" i="4"/>
  <c r="D15481" i="4"/>
  <c r="D5806" i="4"/>
  <c r="D13888" i="4"/>
  <c r="D2154" i="4"/>
  <c r="D15480" i="4"/>
  <c r="D5557" i="4"/>
  <c r="D3799" i="4"/>
  <c r="D15232" i="4"/>
  <c r="D8902" i="4"/>
  <c r="D14931" i="4"/>
  <c r="D8901" i="4"/>
  <c r="D14755" i="4"/>
  <c r="D8900" i="4"/>
  <c r="D5556" i="4"/>
  <c r="D987" i="4"/>
  <c r="D4504" i="4"/>
  <c r="D11439" i="4"/>
  <c r="D14844" i="4"/>
  <c r="D14972" i="4"/>
  <c r="D11413" i="4"/>
  <c r="D6157" i="4"/>
  <c r="D10319" i="4"/>
  <c r="D12670" i="4"/>
  <c r="D6156" i="4"/>
  <c r="D3798" i="4"/>
  <c r="D13194" i="4"/>
  <c r="D12811" i="4"/>
  <c r="D8899" i="4"/>
  <c r="D8898" i="4"/>
  <c r="D4869" i="4"/>
  <c r="D5054" i="4"/>
  <c r="D10477" i="4"/>
  <c r="D1715" i="4"/>
  <c r="D8897" i="4"/>
  <c r="D2895" i="4"/>
  <c r="D6573" i="4"/>
  <c r="D3797" i="4"/>
  <c r="D6572" i="4"/>
  <c r="D6155" i="4"/>
  <c r="D14754" i="4"/>
  <c r="D2115" i="4"/>
  <c r="D15671" i="4"/>
  <c r="D3986" i="4"/>
  <c r="D8896" i="4"/>
  <c r="D11920" i="4"/>
  <c r="D5555" i="4"/>
  <c r="D3796" i="4"/>
  <c r="D3795" i="4"/>
  <c r="D3794" i="4"/>
  <c r="D13193" i="4"/>
  <c r="D8895" i="4"/>
  <c r="D9727" i="4"/>
  <c r="D5125" i="4"/>
  <c r="D10318" i="4"/>
  <c r="D10857" i="4"/>
  <c r="D6876" i="4"/>
  <c r="D6828" i="4"/>
  <c r="D8894" i="4"/>
  <c r="D9601" i="4"/>
  <c r="D1062" i="4"/>
  <c r="D9600" i="4"/>
  <c r="D11045" i="4"/>
  <c r="D5554" i="4"/>
  <c r="D14930" i="4"/>
  <c r="D2235" i="4"/>
  <c r="D14226" i="4"/>
  <c r="D3793" i="4"/>
  <c r="D13192" i="4"/>
  <c r="D5939" i="4"/>
  <c r="D4834" i="4"/>
  <c r="D4937" i="4"/>
  <c r="D4503" i="4"/>
  <c r="D839" i="4"/>
  <c r="D4612" i="4"/>
  <c r="D14843" i="4"/>
  <c r="D9854" i="4"/>
  <c r="D1885" i="4"/>
  <c r="D1483" i="4"/>
  <c r="D11835" i="4"/>
  <c r="D14140" i="4"/>
  <c r="D1756" i="4"/>
  <c r="D2439" i="4"/>
  <c r="D1210" i="4"/>
  <c r="D1209" i="4"/>
  <c r="D8893" i="4"/>
  <c r="D8892" i="4"/>
  <c r="D1208" i="4"/>
  <c r="D14225" i="4"/>
  <c r="D2000" i="4"/>
  <c r="D4218" i="4"/>
  <c r="D8891" i="4"/>
  <c r="D6426" i="4"/>
  <c r="D889" i="4"/>
  <c r="D12188" i="4"/>
  <c r="D14027" i="4"/>
  <c r="D8890" i="4"/>
  <c r="D7029" i="4"/>
  <c r="D8889" i="4"/>
  <c r="D9599" i="4"/>
  <c r="D1606" i="4"/>
  <c r="D3948" i="4"/>
  <c r="D2438" i="4"/>
  <c r="D8888" i="4"/>
  <c r="D8887" i="4"/>
  <c r="D7082" i="4"/>
  <c r="D8886" i="4"/>
  <c r="D13804" i="4"/>
  <c r="D8885" i="4"/>
  <c r="D6571" i="4"/>
  <c r="D5553" i="4"/>
  <c r="D3792" i="4"/>
  <c r="D8884" i="4"/>
  <c r="D8883" i="4"/>
  <c r="D11993" i="4"/>
  <c r="D12266" i="4"/>
  <c r="D251" i="4"/>
  <c r="D13348" i="4"/>
  <c r="D13930" i="4"/>
  <c r="D8882" i="4"/>
  <c r="D11688" i="4"/>
  <c r="D4502" i="4"/>
  <c r="D14929" i="4"/>
  <c r="D4501" i="4"/>
  <c r="D2234" i="4"/>
  <c r="D4668" i="4"/>
  <c r="D4452" i="4"/>
  <c r="D3183" i="4"/>
  <c r="D4936" i="4"/>
  <c r="D1856" i="4"/>
  <c r="D2977" i="4"/>
  <c r="D2437" i="4"/>
  <c r="D15231" i="4"/>
  <c r="D12365" i="4"/>
  <c r="D15034" i="4"/>
  <c r="D11572" i="4"/>
  <c r="D8881" i="4"/>
  <c r="D8880" i="4"/>
  <c r="D10626" i="4"/>
  <c r="D11412" i="4"/>
  <c r="D3791" i="4"/>
  <c r="D11988" i="4"/>
  <c r="D1963" i="4"/>
  <c r="D8879" i="4"/>
  <c r="D10580" i="4"/>
  <c r="D1806" i="4"/>
  <c r="D11396" i="4"/>
  <c r="D11834" i="4"/>
  <c r="D14875" i="4"/>
  <c r="D12137" i="4"/>
  <c r="D8878" i="4"/>
  <c r="D2652" i="4"/>
  <c r="D6737" i="4"/>
  <c r="D12899" i="4"/>
  <c r="D14712" i="4"/>
  <c r="D6680" i="4"/>
  <c r="D6154" i="4"/>
  <c r="D13191" i="4"/>
  <c r="D2081" i="4"/>
  <c r="D8877" i="4"/>
  <c r="D5124" i="4"/>
  <c r="D6153" i="4"/>
  <c r="D9232" i="4"/>
  <c r="D15071" i="4"/>
  <c r="D7168" i="4"/>
  <c r="D5687" i="4"/>
  <c r="D2080" i="4"/>
  <c r="D11086" i="4"/>
  <c r="D4026" i="4"/>
  <c r="D8876" i="4"/>
  <c r="D767" i="4"/>
  <c r="D8875" i="4"/>
  <c r="D11085" i="4"/>
  <c r="D11084" i="4"/>
  <c r="D8874" i="4"/>
  <c r="D11379" i="4"/>
  <c r="D15479" i="4"/>
  <c r="D4192" i="4"/>
  <c r="D8873" i="4"/>
  <c r="D2049" i="4"/>
  <c r="D3790" i="4"/>
  <c r="D15478" i="4"/>
  <c r="D1207" i="4"/>
  <c r="D1206" i="4"/>
  <c r="D5123" i="4"/>
  <c r="D2148" i="4"/>
  <c r="D2079" i="4"/>
  <c r="D2436" i="4"/>
  <c r="D14019" i="4"/>
  <c r="D6570" i="4"/>
  <c r="D241" i="4"/>
  <c r="D1205" i="4"/>
  <c r="D7225" i="4"/>
  <c r="D6152" i="4"/>
  <c r="D4366" i="4"/>
  <c r="D2261" i="4"/>
  <c r="D7151" i="4"/>
  <c r="D8872" i="4"/>
  <c r="D2147" i="4"/>
  <c r="D4755" i="4"/>
  <c r="D2435" i="4"/>
  <c r="D5805" i="4"/>
  <c r="D13982" i="4"/>
  <c r="D12878" i="4"/>
  <c r="D11687" i="4"/>
  <c r="D1306" i="4"/>
  <c r="D11780" i="4"/>
  <c r="D293" i="4"/>
  <c r="D12187" i="4"/>
  <c r="D4730" i="4"/>
  <c r="D10699" i="4"/>
  <c r="D8871" i="4"/>
  <c r="D5867" i="4"/>
  <c r="D6151" i="4"/>
  <c r="D6940" i="4"/>
  <c r="D7285" i="4"/>
  <c r="D11204" i="4"/>
  <c r="D5122" i="4"/>
  <c r="D15230" i="4"/>
  <c r="D13304" i="4"/>
  <c r="D12059" i="4"/>
  <c r="D15477" i="4"/>
  <c r="D10625" i="4"/>
  <c r="D14502" i="4"/>
  <c r="D6715" i="4"/>
  <c r="D390" i="4"/>
  <c r="D4124" i="4"/>
  <c r="D4500" i="4"/>
  <c r="D10977" i="4"/>
  <c r="D12614" i="4"/>
  <c r="D10317" i="4"/>
  <c r="D4935" i="4"/>
  <c r="D4934" i="4"/>
  <c r="D6741" i="4"/>
  <c r="D13803" i="4"/>
  <c r="D1305" i="4"/>
  <c r="D15070" i="4"/>
  <c r="D7167" i="4"/>
  <c r="D11007" i="4"/>
  <c r="D12186" i="4"/>
  <c r="D6633" i="4"/>
  <c r="D4191" i="4"/>
  <c r="D411" i="4"/>
  <c r="D13139" i="4"/>
  <c r="D5552" i="4"/>
  <c r="D11286" i="4"/>
  <c r="D5551" i="4"/>
  <c r="D15069" i="4"/>
  <c r="D7166" i="4"/>
  <c r="D5550" i="4"/>
  <c r="D1718" i="4"/>
  <c r="D3789" i="4"/>
  <c r="D8870" i="4"/>
  <c r="D8869" i="4"/>
  <c r="D14724" i="4"/>
  <c r="D1304" i="4"/>
  <c r="D10316" i="4"/>
  <c r="D4568" i="4"/>
  <c r="D8868" i="4"/>
  <c r="D3788" i="4"/>
  <c r="D8867" i="4"/>
  <c r="D14248" i="4"/>
  <c r="D7284" i="4"/>
  <c r="D11017" i="4"/>
  <c r="D12185" i="4"/>
  <c r="D14928" i="4"/>
  <c r="D12058" i="4"/>
  <c r="D12907" i="4"/>
  <c r="D2840" i="4"/>
  <c r="D1855" i="4"/>
  <c r="D6373" i="4"/>
  <c r="D3787" i="4"/>
  <c r="D13190" i="4"/>
  <c r="D1204" i="4"/>
  <c r="D12232" i="4"/>
  <c r="D720" i="4"/>
  <c r="D2651" i="4"/>
  <c r="D9598" i="4"/>
  <c r="D3786" i="4"/>
  <c r="D1203" i="4"/>
  <c r="D1659" i="4"/>
  <c r="D2839" i="4"/>
  <c r="D12696" i="4"/>
  <c r="D10315" i="4"/>
  <c r="D10895" i="4"/>
  <c r="D4356" i="4"/>
  <c r="D6569" i="4"/>
  <c r="D8866" i="4"/>
  <c r="D4933" i="4"/>
  <c r="D3785" i="4"/>
  <c r="D8865" i="4"/>
  <c r="D3784" i="4"/>
  <c r="D13347" i="4"/>
  <c r="D349" i="4"/>
  <c r="D13143" i="4"/>
  <c r="D15476" i="4"/>
  <c r="D3039" i="4"/>
  <c r="D14730" i="4"/>
  <c r="D5149" i="4"/>
  <c r="D3783" i="4"/>
  <c r="D14576" i="4"/>
  <c r="D6568" i="4"/>
  <c r="D481" i="4"/>
  <c r="D9231" i="4"/>
  <c r="D8864" i="4"/>
  <c r="D2917" i="4"/>
  <c r="D11987" i="4"/>
  <c r="D3782" i="4"/>
  <c r="D9597" i="4"/>
  <c r="D9596" i="4"/>
  <c r="D274" i="4"/>
  <c r="D8863" i="4"/>
  <c r="D8862" i="4"/>
  <c r="D5549" i="4"/>
  <c r="D11919" i="4"/>
  <c r="D1693" i="4"/>
  <c r="D2146" i="4"/>
  <c r="D10919" i="4"/>
  <c r="D6150" i="4"/>
  <c r="D11203" i="4"/>
  <c r="D13307" i="4"/>
  <c r="D4964" i="4"/>
  <c r="D11999" i="4"/>
  <c r="D2188" i="4"/>
  <c r="D6149" i="4"/>
  <c r="D8861" i="4"/>
  <c r="D14131" i="4"/>
  <c r="D4932" i="4"/>
  <c r="D10795" i="4"/>
  <c r="D8860" i="4"/>
  <c r="D11058" i="4"/>
  <c r="D3182" i="4"/>
  <c r="D462" i="4"/>
  <c r="D11095" i="4"/>
  <c r="D9595" i="4"/>
  <c r="D15670" i="4"/>
  <c r="D11314" i="4"/>
  <c r="D6689" i="4"/>
  <c r="D11202" i="4"/>
  <c r="D8859" i="4"/>
  <c r="D5189" i="4"/>
  <c r="D6679" i="4"/>
  <c r="D8858" i="4"/>
  <c r="D8857" i="4"/>
  <c r="D14776" i="4"/>
  <c r="D5548" i="4"/>
  <c r="D2260" i="4"/>
  <c r="D8856" i="4"/>
  <c r="D5547" i="4"/>
  <c r="D13999" i="4"/>
  <c r="D1624" i="4"/>
  <c r="D10579" i="4"/>
  <c r="D9718" i="4"/>
  <c r="D5546" i="4"/>
  <c r="D3213" i="4"/>
  <c r="D2903" i="4"/>
  <c r="D15475" i="4"/>
  <c r="D12581" i="4"/>
  <c r="D7028" i="4"/>
  <c r="D5545" i="4"/>
  <c r="D8855" i="4"/>
  <c r="D719" i="4"/>
  <c r="D6749" i="4"/>
  <c r="D14224" i="4"/>
  <c r="D15474" i="4"/>
  <c r="D12695" i="4"/>
  <c r="D1121" i="4"/>
  <c r="D6290" i="4"/>
  <c r="D5072" i="4"/>
  <c r="D12184" i="4"/>
  <c r="D1202" i="4"/>
  <c r="D4217" i="4"/>
  <c r="D5804" i="4"/>
  <c r="D2650" i="4"/>
  <c r="D11918" i="4"/>
  <c r="D12906" i="4"/>
  <c r="D1406" i="4"/>
  <c r="D6372" i="4"/>
  <c r="D5544" i="4"/>
  <c r="D10001" i="4"/>
  <c r="D4565" i="4"/>
  <c r="D8854" i="4"/>
  <c r="D9270" i="4"/>
  <c r="D12877" i="4"/>
  <c r="D11686" i="4"/>
  <c r="D8853" i="4"/>
  <c r="D4681" i="4"/>
  <c r="D8852" i="4"/>
  <c r="D3781" i="4"/>
  <c r="D8851" i="4"/>
  <c r="D6418" i="4"/>
  <c r="D14118" i="4"/>
  <c r="D7150" i="4"/>
  <c r="D14927" i="4"/>
  <c r="D2434" i="4"/>
  <c r="D2433" i="4"/>
  <c r="D986" i="4"/>
  <c r="D14501" i="4"/>
  <c r="D14926" i="4"/>
  <c r="D15611" i="4"/>
  <c r="D6148" i="4"/>
  <c r="D3780" i="4"/>
  <c r="D9726" i="4"/>
  <c r="D2706" i="4"/>
  <c r="D766" i="4"/>
  <c r="D5543" i="4"/>
  <c r="D14252" i="4"/>
  <c r="D8850" i="4"/>
  <c r="D5542" i="4"/>
  <c r="D8849" i="4"/>
  <c r="D11986" i="4"/>
  <c r="D14500" i="4"/>
  <c r="D8848" i="4"/>
  <c r="D5170" i="4"/>
  <c r="D5077" i="4"/>
  <c r="D3779" i="4"/>
  <c r="D10458" i="4"/>
  <c r="D12136" i="4"/>
  <c r="D838" i="4"/>
  <c r="D8847" i="4"/>
  <c r="D9722" i="4"/>
  <c r="D3960" i="4"/>
  <c r="D3262" i="4"/>
  <c r="D1805" i="4"/>
  <c r="D1778" i="4"/>
  <c r="D14179" i="4"/>
  <c r="D12183" i="4"/>
  <c r="D13802" i="4"/>
  <c r="D14130" i="4"/>
  <c r="D8846" i="4"/>
  <c r="D11153" i="4"/>
  <c r="D14842" i="4"/>
  <c r="D3778" i="4"/>
  <c r="D11624" i="4"/>
  <c r="D12247" i="4"/>
  <c r="D3777" i="4"/>
  <c r="D5541" i="4"/>
  <c r="D15229" i="4"/>
  <c r="D1099" i="4"/>
  <c r="D13047" i="4"/>
  <c r="D6567" i="4"/>
  <c r="D8845" i="4"/>
  <c r="D4046" i="4"/>
  <c r="D1461" i="4"/>
  <c r="D6147" i="4"/>
  <c r="D13801" i="4"/>
  <c r="D888" i="4"/>
  <c r="D9594" i="4"/>
  <c r="D1804" i="4"/>
  <c r="D9739" i="4"/>
  <c r="D10802" i="4"/>
  <c r="D14499" i="4"/>
  <c r="D6678" i="4"/>
  <c r="D4560" i="4"/>
  <c r="D8844" i="4"/>
  <c r="D8843" i="4"/>
  <c r="D2649" i="4"/>
  <c r="D765" i="4"/>
  <c r="D5161" i="4"/>
  <c r="D11779" i="4"/>
  <c r="D4987" i="4"/>
  <c r="D5152" i="4"/>
  <c r="D469" i="4"/>
  <c r="D4216" i="4"/>
  <c r="D13800" i="4"/>
  <c r="D6146" i="4"/>
  <c r="D5540" i="4"/>
  <c r="D12537" i="4"/>
  <c r="D10314" i="4"/>
  <c r="D10401" i="4"/>
  <c r="D4215" i="4"/>
  <c r="D10313" i="4"/>
  <c r="D5044" i="4"/>
  <c r="D13981" i="4"/>
  <c r="D2838" i="4"/>
  <c r="D13090" i="4"/>
  <c r="D3181" i="4"/>
  <c r="D12905" i="4"/>
  <c r="D2837" i="4"/>
  <c r="D11632" i="4"/>
  <c r="D11063" i="4"/>
  <c r="D11378" i="4"/>
  <c r="D5722" i="4"/>
  <c r="D8842" i="4"/>
  <c r="D5539" i="4"/>
  <c r="D6417" i="4"/>
  <c r="D9593" i="4"/>
  <c r="D6371" i="4"/>
  <c r="D5910" i="4"/>
  <c r="D15089" i="4"/>
  <c r="D4988" i="4"/>
  <c r="D887" i="4"/>
  <c r="D1405" i="4"/>
  <c r="D4521" i="4"/>
  <c r="D1493" i="4"/>
  <c r="D8841" i="4"/>
  <c r="D2549" i="4"/>
  <c r="D12263" i="4"/>
  <c r="D5538" i="4"/>
  <c r="D14098" i="4"/>
  <c r="D8840" i="4"/>
  <c r="D15473" i="4"/>
  <c r="D13365" i="4"/>
  <c r="D15283" i="4"/>
  <c r="D4253" i="4"/>
  <c r="D10312" i="4"/>
  <c r="D1962" i="4"/>
  <c r="D7189" i="4"/>
  <c r="D4971" i="4"/>
  <c r="D13223" i="4"/>
  <c r="D10918" i="4"/>
  <c r="D15131" i="4"/>
  <c r="D8839" i="4"/>
  <c r="D6748" i="4"/>
  <c r="D2548" i="4"/>
  <c r="D8838" i="4"/>
  <c r="D6827" i="4"/>
  <c r="D10311" i="4"/>
  <c r="D12530" i="4"/>
  <c r="D6442" i="4"/>
  <c r="D5537" i="4"/>
  <c r="D10894" i="4"/>
  <c r="D5536" i="4"/>
  <c r="D3776" i="4"/>
  <c r="D8837" i="4"/>
  <c r="D985" i="4"/>
  <c r="D12669" i="4"/>
  <c r="D13992" i="4"/>
  <c r="D3775" i="4"/>
  <c r="D14841" i="4"/>
  <c r="D10624" i="4"/>
  <c r="D11563" i="4"/>
  <c r="D6776" i="4"/>
  <c r="D10310" i="4"/>
  <c r="D837" i="4"/>
  <c r="D6659" i="4"/>
  <c r="D2432" i="4"/>
  <c r="D5803" i="4"/>
  <c r="D6946" i="4"/>
  <c r="D10909" i="4"/>
  <c r="D6566" i="4"/>
  <c r="D5535" i="4"/>
  <c r="D4594" i="4"/>
  <c r="D4667" i="4"/>
  <c r="D15073" i="4"/>
  <c r="D508" i="4"/>
  <c r="D616" i="4"/>
  <c r="D836" i="4"/>
  <c r="D1201" i="4"/>
  <c r="D10578" i="4"/>
  <c r="D1592" i="4"/>
  <c r="D5534" i="4"/>
  <c r="D478" i="4"/>
  <c r="D3939" i="4"/>
  <c r="D14840" i="4"/>
  <c r="D14711" i="4"/>
  <c r="D5533" i="4"/>
  <c r="D4335" i="4"/>
  <c r="D14619" i="4"/>
  <c r="D1623" i="4"/>
  <c r="D3774" i="4"/>
  <c r="D8836" i="4"/>
  <c r="D2259" i="4"/>
  <c r="D4572" i="4"/>
  <c r="D12135" i="4"/>
  <c r="D2078" i="4"/>
  <c r="D6612" i="4"/>
  <c r="D14498" i="4"/>
  <c r="D3180" i="4"/>
  <c r="D14925" i="4"/>
  <c r="D1658" i="4"/>
  <c r="D4214" i="4"/>
  <c r="D8835" i="4"/>
  <c r="D4242" i="4"/>
  <c r="D6677" i="4"/>
  <c r="D3773" i="4"/>
  <c r="D13189" i="4"/>
  <c r="D1854" i="4"/>
  <c r="D5532" i="4"/>
  <c r="D523" i="4"/>
  <c r="D4443" i="4"/>
  <c r="D8834" i="4"/>
  <c r="D407" i="4"/>
  <c r="D10577" i="4"/>
  <c r="D13929" i="4"/>
  <c r="D8833" i="4"/>
  <c r="D2967" i="4"/>
  <c r="D5721" i="4"/>
  <c r="D13222" i="4"/>
  <c r="D5531" i="4"/>
  <c r="D2648" i="4"/>
  <c r="D6747" i="4"/>
  <c r="D15276" i="4"/>
  <c r="D5037" i="4"/>
  <c r="D12102" i="4"/>
  <c r="D8832" i="4"/>
  <c r="D10437" i="4"/>
  <c r="D8831" i="4"/>
  <c r="D4529" i="4"/>
  <c r="D5802" i="4"/>
  <c r="D8830" i="4"/>
  <c r="D8829" i="4"/>
  <c r="D2077" i="4"/>
  <c r="D15586" i="4"/>
  <c r="D3772" i="4"/>
  <c r="D9756" i="4"/>
  <c r="D8828" i="4"/>
  <c r="D2647" i="4"/>
  <c r="D6416" i="4"/>
  <c r="D9592" i="4"/>
  <c r="D8827" i="4"/>
  <c r="D8826" i="4"/>
  <c r="D2836" i="4"/>
  <c r="D14497" i="4"/>
  <c r="D372" i="4"/>
  <c r="D3014" i="4"/>
  <c r="D10012" i="4"/>
  <c r="D15092" i="4"/>
  <c r="D14782" i="4"/>
  <c r="D12939" i="4"/>
  <c r="D10309" i="4"/>
  <c r="D14496" i="4"/>
  <c r="D1061" i="4"/>
  <c r="D8825" i="4"/>
  <c r="D2233" i="4"/>
  <c r="D6676" i="4"/>
  <c r="D10010" i="4"/>
  <c r="D1530" i="4"/>
  <c r="D7210" i="4"/>
  <c r="D14710" i="4"/>
  <c r="D4567" i="4"/>
  <c r="D4454" i="4"/>
  <c r="D12675" i="4"/>
  <c r="D15472" i="4"/>
  <c r="D1633" i="4"/>
  <c r="D6386" i="4"/>
  <c r="D1529" i="4"/>
  <c r="D3771" i="4"/>
  <c r="D12612" i="4"/>
  <c r="D5017" i="4"/>
  <c r="D4126" i="4"/>
  <c r="D1404" i="4"/>
  <c r="D3179" i="4"/>
  <c r="D10576" i="4"/>
  <c r="D2547" i="4"/>
  <c r="D14178" i="4"/>
  <c r="D11145" i="4"/>
  <c r="D9591" i="4"/>
  <c r="D7256" i="4"/>
  <c r="D13142" i="4"/>
  <c r="D13928" i="4"/>
  <c r="D1303" i="4"/>
  <c r="D6699" i="4"/>
  <c r="D11057" i="4"/>
  <c r="D11446" i="4"/>
  <c r="D8824" i="4"/>
  <c r="D14547" i="4"/>
  <c r="D3770" i="4"/>
  <c r="D14839" i="4"/>
  <c r="D348" i="4"/>
  <c r="D4334" i="4"/>
  <c r="D5801" i="4"/>
  <c r="D5530" i="4"/>
  <c r="D2431" i="4"/>
  <c r="D15471" i="4"/>
  <c r="D8823" i="4"/>
  <c r="D6145" i="4"/>
  <c r="D14018" i="4"/>
  <c r="D1853" i="4"/>
  <c r="D13799" i="4"/>
  <c r="D8822" i="4"/>
  <c r="D2646" i="4"/>
  <c r="D12057" i="4"/>
  <c r="D984" i="4"/>
  <c r="D15228" i="4"/>
  <c r="D3032" i="4"/>
  <c r="D11778" i="4"/>
  <c r="D4931" i="4"/>
  <c r="D8821" i="4"/>
  <c r="D8820" i="4"/>
  <c r="D6565" i="4"/>
  <c r="D435" i="4"/>
  <c r="D13452" i="4"/>
  <c r="D11297" i="4"/>
  <c r="D11833" i="4"/>
  <c r="D1120" i="4"/>
  <c r="D12238" i="4"/>
  <c r="D1403" i="4"/>
  <c r="D13927" i="4"/>
  <c r="D15693" i="4"/>
  <c r="D1651" i="4"/>
  <c r="D3769" i="4"/>
  <c r="D7241" i="4"/>
  <c r="D8819" i="4"/>
  <c r="D9281" i="4"/>
  <c r="D764" i="4"/>
  <c r="D11589" i="4"/>
  <c r="D5529" i="4"/>
  <c r="D4833" i="4"/>
  <c r="D14495" i="4"/>
  <c r="D7224" i="4"/>
  <c r="D9590" i="4"/>
  <c r="D11201" i="4"/>
  <c r="D2048" i="4"/>
  <c r="D5528" i="4"/>
  <c r="D10623" i="4"/>
  <c r="D15227" i="4"/>
  <c r="D426" i="4"/>
  <c r="D13089" i="4"/>
  <c r="D3264" i="4"/>
  <c r="D432" i="4"/>
  <c r="D11083" i="4"/>
  <c r="D3004" i="4"/>
  <c r="D6997" i="4"/>
  <c r="D14494" i="4"/>
  <c r="D3178" i="4"/>
  <c r="D8818" i="4"/>
  <c r="D10643" i="4"/>
  <c r="D2876" i="4"/>
  <c r="D5527" i="4"/>
  <c r="D5526" i="4"/>
  <c r="D9589" i="4"/>
  <c r="D1777" i="4"/>
  <c r="D4442" i="4"/>
  <c r="D5686" i="4"/>
  <c r="D2705" i="4"/>
  <c r="D6651" i="4"/>
  <c r="D9588" i="4"/>
  <c r="D11200" i="4"/>
  <c r="D14838" i="4"/>
  <c r="D14604" i="4"/>
  <c r="D10308" i="4"/>
  <c r="D5800" i="4"/>
  <c r="D15226" i="4"/>
  <c r="D14837" i="4"/>
  <c r="D3768" i="4"/>
  <c r="D9587" i="4"/>
  <c r="D14677" i="4"/>
  <c r="D14695" i="4"/>
  <c r="D13110" i="4"/>
  <c r="D8817" i="4"/>
  <c r="D10741" i="4"/>
  <c r="D1852" i="4"/>
  <c r="D7209" i="4"/>
  <c r="D10976" i="4"/>
  <c r="D14493" i="4"/>
  <c r="D14836" i="4"/>
  <c r="D7081" i="4"/>
  <c r="D11715" i="4"/>
  <c r="D5720" i="4"/>
  <c r="D1851" i="4"/>
  <c r="D7188" i="4"/>
  <c r="D3767" i="4"/>
  <c r="D14492" i="4"/>
  <c r="D14676" i="4"/>
  <c r="D11415" i="4"/>
  <c r="D5081" i="4"/>
  <c r="D5525" i="4"/>
  <c r="D4666" i="4"/>
  <c r="D2430" i="4"/>
  <c r="D1591" i="4"/>
  <c r="D5524" i="4"/>
  <c r="D8816" i="4"/>
  <c r="D5990" i="4"/>
  <c r="D15579" i="4"/>
  <c r="D8815" i="4"/>
  <c r="D14602" i="4"/>
  <c r="D9586" i="4"/>
  <c r="D15074" i="4"/>
  <c r="D10715" i="4"/>
  <c r="D14575" i="4"/>
  <c r="D1402" i="4"/>
  <c r="D14491" i="4"/>
  <c r="D8814" i="4"/>
  <c r="D5719" i="4"/>
  <c r="D3766" i="4"/>
  <c r="D6714" i="4"/>
  <c r="D1961" i="4"/>
  <c r="D10899" i="4"/>
  <c r="D14490" i="4"/>
  <c r="D14924" i="4"/>
  <c r="D6939" i="4"/>
  <c r="D5718" i="4"/>
  <c r="D9997" i="4"/>
  <c r="D15225" i="4"/>
  <c r="D5989" i="4"/>
  <c r="D2835" i="4"/>
  <c r="D8813" i="4"/>
  <c r="D13861" i="4"/>
  <c r="D14923" i="4"/>
  <c r="D8812" i="4"/>
  <c r="D12182" i="4"/>
  <c r="D14489" i="4"/>
  <c r="D14922" i="4"/>
  <c r="D8811" i="4"/>
  <c r="D270" i="4"/>
  <c r="D9585" i="4"/>
  <c r="D3765" i="4"/>
  <c r="D10476" i="4"/>
  <c r="D11305" i="4"/>
  <c r="D9218" i="4"/>
  <c r="D6736" i="4"/>
  <c r="D2047" i="4"/>
  <c r="D13893" i="4"/>
  <c r="D406" i="4"/>
  <c r="D14488" i="4"/>
  <c r="D14153" i="4"/>
  <c r="D8810" i="4"/>
  <c r="D5523" i="4"/>
  <c r="D1578" i="4"/>
  <c r="D10740" i="4"/>
  <c r="D14117" i="4"/>
  <c r="D13798" i="4"/>
  <c r="D5988" i="4"/>
  <c r="D560" i="4"/>
  <c r="D5522" i="4"/>
  <c r="D5521" i="4"/>
  <c r="D1484" i="4"/>
  <c r="D12505" i="4"/>
  <c r="D9185" i="4"/>
  <c r="D3065" i="4"/>
  <c r="D15224" i="4"/>
  <c r="D219" i="4"/>
  <c r="D12904" i="4"/>
  <c r="D6611" i="4"/>
  <c r="D10307" i="4"/>
  <c r="D11917" i="4"/>
  <c r="D4930" i="4"/>
  <c r="D1060" i="4"/>
  <c r="D10009" i="4"/>
  <c r="D3031" i="4"/>
  <c r="D4499" i="4"/>
  <c r="D60" i="4"/>
  <c r="D12499" i="4"/>
  <c r="D9288" i="4"/>
  <c r="D59" i="4"/>
  <c r="D1850" i="4"/>
  <c r="D12181" i="4"/>
  <c r="D11916" i="4"/>
  <c r="D5987" i="4"/>
  <c r="D3764" i="4"/>
  <c r="D3763" i="4"/>
  <c r="D13188" i="4"/>
  <c r="D3762" i="4"/>
  <c r="D5043" i="4"/>
  <c r="D12570" i="4"/>
  <c r="D8809" i="4"/>
  <c r="D4608" i="4"/>
  <c r="D11495" i="4"/>
  <c r="D11915" i="4"/>
  <c r="D11832" i="4"/>
  <c r="D9584" i="4"/>
  <c r="D10752" i="4"/>
  <c r="D1650" i="4"/>
  <c r="D11777" i="4"/>
  <c r="D8808" i="4"/>
  <c r="D1059" i="4"/>
  <c r="D8807" i="4"/>
  <c r="D2723" i="4"/>
  <c r="D10878" i="4"/>
  <c r="D6476" i="4"/>
  <c r="D13905" i="4"/>
  <c r="D6212" i="4"/>
  <c r="D886" i="4"/>
  <c r="D3761" i="4"/>
  <c r="D6993" i="4"/>
  <c r="D405" i="4"/>
  <c r="D269" i="4"/>
  <c r="D12471" i="4"/>
  <c r="D12895" i="4"/>
  <c r="D6610" i="4"/>
  <c r="D3956" i="4"/>
  <c r="D5009" i="4"/>
  <c r="D3760" i="4"/>
  <c r="D5799" i="4"/>
  <c r="D5008" i="4"/>
  <c r="D4929" i="4"/>
  <c r="D11364" i="4"/>
  <c r="D8806" i="4"/>
  <c r="D9583" i="4"/>
  <c r="D835" i="4"/>
  <c r="D2645" i="4"/>
  <c r="D9582" i="4"/>
  <c r="D10423" i="4"/>
  <c r="D6498" i="4"/>
  <c r="D615" i="4"/>
  <c r="D14651" i="4"/>
  <c r="D4665" i="4"/>
  <c r="D10422" i="4"/>
  <c r="D8805" i="4"/>
  <c r="D11199" i="4"/>
  <c r="D9581" i="4"/>
  <c r="D8804" i="4"/>
  <c r="D14989" i="4"/>
  <c r="D6289" i="4"/>
  <c r="D15223" i="4"/>
  <c r="D12180" i="4"/>
  <c r="D4025" i="4"/>
  <c r="D3759" i="4"/>
  <c r="D10874" i="4"/>
  <c r="D1622" i="4"/>
  <c r="D7272" i="4"/>
  <c r="D11799" i="4"/>
  <c r="D7208" i="4"/>
  <c r="D6370" i="4"/>
  <c r="D5520" i="4"/>
  <c r="D15470" i="4"/>
  <c r="D14116" i="4"/>
  <c r="D4885" i="4"/>
  <c r="D3758" i="4"/>
  <c r="D9580" i="4"/>
  <c r="D8803" i="4"/>
  <c r="D12681" i="4"/>
  <c r="D11428" i="4"/>
  <c r="D5685" i="4"/>
  <c r="D2704" i="4"/>
  <c r="D9996" i="4"/>
  <c r="D3757" i="4"/>
  <c r="D1200" i="4"/>
  <c r="D14223" i="4"/>
  <c r="D9926" i="4"/>
  <c r="D3756" i="4"/>
  <c r="D5909" i="4"/>
  <c r="D10975" i="4"/>
  <c r="D9579" i="4"/>
  <c r="D7096" i="4"/>
  <c r="D8802" i="4"/>
  <c r="D14921" i="4"/>
  <c r="D13221" i="4"/>
  <c r="D10306" i="4"/>
  <c r="D10305" i="4"/>
  <c r="D2046" i="4"/>
  <c r="D12197" i="4"/>
  <c r="D8801" i="4"/>
  <c r="D9755" i="4"/>
  <c r="D7283" i="4"/>
  <c r="D5519" i="4"/>
  <c r="D6564" i="4"/>
  <c r="D1884" i="4"/>
  <c r="D14556" i="4"/>
  <c r="D6938" i="4"/>
  <c r="D1601" i="4"/>
  <c r="D9578" i="4"/>
  <c r="D6609" i="4"/>
  <c r="D14920" i="4"/>
  <c r="D2834" i="4"/>
  <c r="D15567" i="4"/>
  <c r="D11542" i="4"/>
  <c r="D834" i="4"/>
  <c r="D2945" i="4"/>
  <c r="D5908" i="4"/>
  <c r="D11363" i="4"/>
  <c r="D5518" i="4"/>
  <c r="D8800" i="4"/>
  <c r="D8799" i="4"/>
  <c r="D14065" i="4"/>
  <c r="D4832" i="4"/>
  <c r="D12536" i="4"/>
  <c r="D10679" i="4"/>
  <c r="D3971" i="4"/>
  <c r="D4325" i="4"/>
  <c r="D14835" i="4"/>
  <c r="D3959" i="4"/>
  <c r="D9738" i="4"/>
  <c r="D10304" i="4"/>
  <c r="D1401" i="4"/>
  <c r="D9754" i="4"/>
  <c r="D8798" i="4"/>
  <c r="D6220" i="4"/>
  <c r="D11198" i="4"/>
  <c r="D5517" i="4"/>
  <c r="D8797" i="4"/>
  <c r="D8796" i="4"/>
  <c r="D198" i="4"/>
  <c r="D5516" i="4"/>
  <c r="D13797" i="4"/>
  <c r="D13451" i="4"/>
  <c r="D4976" i="4"/>
  <c r="D5684" i="4"/>
  <c r="D8795" i="4"/>
  <c r="D15469" i="4"/>
  <c r="D9577" i="4"/>
  <c r="D3755" i="4"/>
  <c r="D2703" i="4"/>
  <c r="D8794" i="4"/>
  <c r="D5986" i="4"/>
  <c r="D5798" i="4"/>
  <c r="D2722" i="4"/>
  <c r="D58" i="4"/>
  <c r="D12498" i="4"/>
  <c r="D7252" i="4"/>
  <c r="D9576" i="4"/>
  <c r="D1849" i="4"/>
  <c r="D14487" i="4"/>
  <c r="D2045" i="4"/>
  <c r="D8793" i="4"/>
  <c r="D5985" i="4"/>
  <c r="D11914" i="4"/>
  <c r="D8792" i="4"/>
  <c r="D1566" i="4"/>
  <c r="D10622" i="4"/>
  <c r="D8791" i="4"/>
  <c r="D13133" i="4"/>
  <c r="D12056" i="4"/>
  <c r="D8790" i="4"/>
  <c r="D3754" i="4"/>
  <c r="D1335" i="4"/>
  <c r="D9725" i="4"/>
  <c r="D3753" i="4"/>
  <c r="D3752" i="4"/>
  <c r="D11505" i="4"/>
  <c r="D8789" i="4"/>
  <c r="D12134" i="4"/>
  <c r="D1400" i="4"/>
  <c r="D6288" i="4"/>
  <c r="D8788" i="4"/>
  <c r="D9575" i="4"/>
  <c r="D9574" i="4"/>
  <c r="D6144" i="4"/>
  <c r="D12133" i="4"/>
  <c r="D13796" i="4"/>
  <c r="D6775" i="4"/>
  <c r="D15669" i="4"/>
  <c r="D10303" i="4"/>
  <c r="D11714" i="4"/>
  <c r="D6563" i="4"/>
  <c r="D10877" i="4"/>
  <c r="D15468" i="4"/>
  <c r="D6562" i="4"/>
  <c r="D5515" i="4"/>
  <c r="D5683" i="4"/>
  <c r="D8787" i="4"/>
  <c r="D1445" i="4"/>
  <c r="D218" i="4"/>
  <c r="D204" i="4"/>
  <c r="D13860" i="4"/>
  <c r="D15668" i="4"/>
  <c r="D6996" i="4"/>
  <c r="D2429" i="4"/>
  <c r="D5849" i="4"/>
  <c r="D3271" i="4"/>
  <c r="D1883" i="4"/>
  <c r="D8786" i="4"/>
  <c r="D8785" i="4"/>
  <c r="D11913" i="4"/>
  <c r="D1199" i="4"/>
  <c r="D12629" i="4"/>
  <c r="D5514" i="4"/>
  <c r="D8784" i="4"/>
  <c r="D11912" i="4"/>
  <c r="D675" i="4"/>
  <c r="D4629" i="4"/>
  <c r="D11448" i="4"/>
  <c r="D15467" i="4"/>
  <c r="D15222" i="4"/>
  <c r="D8783" i="4"/>
  <c r="D8782" i="4"/>
  <c r="D10575" i="4"/>
  <c r="D4593" i="4"/>
  <c r="D13298" i="4"/>
  <c r="D8781" i="4"/>
  <c r="D6857" i="4"/>
  <c r="D14729" i="4"/>
  <c r="D5513" i="4"/>
  <c r="D4213" i="4"/>
  <c r="D14919" i="4"/>
  <c r="D8780" i="4"/>
  <c r="D12641" i="4"/>
  <c r="D5512" i="4"/>
  <c r="D2044" i="4"/>
  <c r="D6415" i="4"/>
  <c r="D8779" i="4"/>
  <c r="D14918" i="4"/>
  <c r="D8778" i="4"/>
  <c r="D5511" i="4"/>
  <c r="D11318" i="4"/>
  <c r="D9573" i="4"/>
  <c r="D10908" i="4"/>
  <c r="D11911" i="4"/>
  <c r="D3751" i="4"/>
  <c r="D2043" i="4"/>
  <c r="D1098" i="4"/>
  <c r="D453" i="4"/>
  <c r="D6433" i="4"/>
  <c r="D4045" i="4"/>
  <c r="D14486" i="4"/>
  <c r="D4787" i="4"/>
  <c r="D5907" i="4"/>
  <c r="D4950" i="4"/>
  <c r="D9572" i="4"/>
  <c r="D2879" i="4"/>
  <c r="D3750" i="4"/>
  <c r="D12945" i="4"/>
  <c r="D6437" i="4"/>
  <c r="D5510" i="4"/>
  <c r="D11362" i="4"/>
  <c r="D3955" i="4"/>
  <c r="D8777" i="4"/>
  <c r="D1803" i="4"/>
  <c r="D9280" i="4"/>
  <c r="D8776" i="4"/>
  <c r="D8775" i="4"/>
  <c r="D1058" i="4"/>
  <c r="D6369" i="4"/>
  <c r="D1776" i="4"/>
  <c r="D5906" i="4"/>
  <c r="D14616" i="4"/>
  <c r="D9571" i="4"/>
  <c r="D12876" i="4"/>
  <c r="D11685" i="4"/>
  <c r="D6368" i="4"/>
  <c r="D12722" i="4"/>
  <c r="D6937" i="4"/>
  <c r="D9570" i="4"/>
  <c r="D4044" i="4"/>
  <c r="D1528" i="4"/>
  <c r="D4956" i="4"/>
  <c r="D2133" i="4"/>
  <c r="D4065" i="4"/>
  <c r="D10019" i="4"/>
  <c r="D221" i="4"/>
  <c r="D1848" i="4"/>
  <c r="D13088" i="4"/>
  <c r="D9192" i="4"/>
  <c r="D10801" i="4"/>
  <c r="D8774" i="4"/>
  <c r="D8773" i="4"/>
  <c r="D9904" i="4"/>
  <c r="D11152" i="4"/>
  <c r="D4355" i="4"/>
  <c r="D3749" i="4"/>
  <c r="D5509" i="4"/>
  <c r="D4928" i="4"/>
  <c r="D8772" i="4"/>
  <c r="D2702" i="4"/>
  <c r="D13138" i="4"/>
  <c r="D10621" i="4"/>
  <c r="D114" i="4"/>
  <c r="D6219" i="4"/>
  <c r="D8771" i="4"/>
  <c r="D1847" i="4"/>
  <c r="D113" i="4"/>
  <c r="D6218" i="4"/>
  <c r="D2002" i="4"/>
  <c r="D8770" i="4"/>
  <c r="D6143" i="4"/>
  <c r="D6973" i="4"/>
  <c r="D1399" i="4"/>
  <c r="D1625" i="4"/>
  <c r="D11016" i="4"/>
  <c r="D14917" i="4"/>
  <c r="D11015" i="4"/>
  <c r="D885" i="4"/>
  <c r="D6432" i="4"/>
  <c r="D5508" i="4"/>
  <c r="D3748" i="4"/>
  <c r="D6995" i="4"/>
  <c r="D334" i="4"/>
  <c r="D6445" i="4"/>
  <c r="D3747" i="4"/>
  <c r="D112" i="4"/>
  <c r="D6217" i="4"/>
  <c r="D5507" i="4"/>
  <c r="D5506" i="4"/>
  <c r="D11494" i="4"/>
  <c r="D5098" i="4"/>
  <c r="D8769" i="4"/>
  <c r="D1398" i="4"/>
  <c r="D14485" i="4"/>
  <c r="D2894" i="4"/>
  <c r="D2721" i="4"/>
  <c r="D13945" i="4"/>
  <c r="D11776" i="4"/>
  <c r="D11151" i="4"/>
  <c r="D833" i="4"/>
  <c r="D2644" i="4"/>
  <c r="D268" i="4"/>
  <c r="D1583" i="4"/>
  <c r="D9925" i="4"/>
  <c r="D7080" i="4"/>
  <c r="D13290" i="4"/>
  <c r="D1527" i="4"/>
  <c r="D11775" i="4"/>
  <c r="D2042" i="4"/>
  <c r="D4967" i="4"/>
  <c r="D9569" i="4"/>
  <c r="D12721" i="4"/>
  <c r="D15033" i="4"/>
  <c r="D1999" i="4"/>
  <c r="D930" i="4"/>
  <c r="D507" i="4"/>
  <c r="D14834" i="4"/>
  <c r="D8768" i="4"/>
  <c r="D6142" i="4"/>
  <c r="D2643" i="4"/>
  <c r="D11285" i="4"/>
  <c r="D5505" i="4"/>
  <c r="D12132" i="4"/>
  <c r="D10302" i="4"/>
  <c r="D5504" i="4"/>
  <c r="D5503" i="4"/>
  <c r="D14916" i="4"/>
  <c r="D674" i="4"/>
  <c r="D207" i="4"/>
  <c r="D10301" i="4"/>
  <c r="D12055" i="4"/>
  <c r="D12668" i="4"/>
  <c r="D6440" i="4"/>
  <c r="D3746" i="4"/>
  <c r="D13187" i="4"/>
  <c r="D832" i="4"/>
  <c r="D4324" i="4"/>
  <c r="D8767" i="4"/>
  <c r="D11969" i="4"/>
  <c r="D12054" i="4"/>
  <c r="D614" i="4"/>
  <c r="D8766" i="4"/>
  <c r="D1775" i="4"/>
  <c r="D1586" i="4"/>
  <c r="D11968" i="4"/>
  <c r="D5036" i="4"/>
  <c r="D11427" i="4"/>
  <c r="D7187" i="4"/>
  <c r="D3177" i="4"/>
  <c r="D12364" i="4"/>
  <c r="D8765" i="4"/>
  <c r="D9568" i="4"/>
  <c r="D14" i="4"/>
  <c r="D5502" i="4"/>
  <c r="D14555" i="4"/>
  <c r="D13295" i="4"/>
  <c r="D1635" i="4"/>
  <c r="D10300" i="4"/>
  <c r="D5797" i="4"/>
  <c r="D2428" i="4"/>
  <c r="D10018" i="4"/>
  <c r="D11910" i="4"/>
  <c r="D6485" i="4"/>
  <c r="D8764" i="4"/>
  <c r="D8763" i="4"/>
  <c r="D6431" i="4"/>
  <c r="D14076" i="4"/>
  <c r="D9567" i="4"/>
  <c r="D11493" i="4"/>
  <c r="D8762" i="4"/>
  <c r="D13057" i="4"/>
  <c r="D14675" i="4"/>
  <c r="D3745" i="4"/>
  <c r="D10299" i="4"/>
  <c r="D492" i="4"/>
  <c r="D5178" i="4"/>
  <c r="D4927" i="4"/>
  <c r="D9815" i="4"/>
  <c r="D14781" i="4"/>
  <c r="D5007" i="4"/>
  <c r="D14610" i="4"/>
  <c r="D929" i="4"/>
  <c r="D3744" i="4"/>
  <c r="D11307" i="4"/>
  <c r="D4592" i="4"/>
  <c r="D14703" i="4"/>
  <c r="D9879" i="4"/>
  <c r="D4365" i="4"/>
  <c r="D14484" i="4"/>
  <c r="D9282" i="4"/>
  <c r="D12179" i="4"/>
  <c r="D884" i="4"/>
  <c r="D10941" i="4"/>
  <c r="D15589" i="4"/>
  <c r="D7149" i="4"/>
  <c r="D11504" i="4"/>
  <c r="D4156" i="4"/>
  <c r="D468" i="4"/>
  <c r="D10883" i="4"/>
  <c r="D2833" i="4"/>
  <c r="D14177" i="4"/>
  <c r="D6561" i="4"/>
  <c r="D8761" i="4"/>
  <c r="D9566" i="4"/>
  <c r="D14222" i="4"/>
  <c r="D11264" i="4"/>
  <c r="D10298" i="4"/>
  <c r="D11790" i="4"/>
  <c r="D13871" i="4"/>
  <c r="D9565" i="4"/>
  <c r="D14483" i="4"/>
  <c r="D12005" i="4"/>
  <c r="D15084" i="4"/>
  <c r="D6339" i="4"/>
  <c r="D6728" i="4"/>
  <c r="D11727" i="4"/>
  <c r="D10848" i="4"/>
  <c r="D2720" i="4"/>
  <c r="D7271" i="4"/>
  <c r="D10297" i="4"/>
  <c r="D6141" i="4"/>
  <c r="D6915" i="4"/>
  <c r="D4975" i="4"/>
  <c r="D10574" i="4"/>
  <c r="D4607" i="4"/>
  <c r="D155" i="4"/>
  <c r="D1057" i="4"/>
  <c r="D4212" i="4"/>
  <c r="D3056" i="4"/>
  <c r="D8760" i="4"/>
  <c r="D12511" i="4"/>
  <c r="D7079" i="4"/>
  <c r="D4449" i="4"/>
  <c r="D1960" i="4"/>
  <c r="D928" i="4"/>
  <c r="D9564" i="4"/>
  <c r="D5796" i="4"/>
  <c r="D13056" i="4"/>
  <c r="D514" i="4"/>
  <c r="D3743" i="4"/>
  <c r="D3742" i="4"/>
  <c r="D13186" i="4"/>
  <c r="D15032" i="4"/>
  <c r="D6608" i="4"/>
  <c r="D4926" i="4"/>
  <c r="D12898" i="4"/>
  <c r="D14482" i="4"/>
  <c r="D141" i="4"/>
  <c r="D9563" i="4"/>
  <c r="D3987" i="4"/>
  <c r="D9191" i="4"/>
  <c r="D8759" i="4"/>
  <c r="D5501" i="4"/>
  <c r="D14694" i="4"/>
  <c r="D3970" i="4"/>
  <c r="D14189" i="4"/>
  <c r="D11418" i="4"/>
  <c r="D4102" i="4"/>
  <c r="D10974" i="4"/>
  <c r="D1302" i="4"/>
  <c r="D5500" i="4"/>
  <c r="D6675" i="4"/>
  <c r="D11909" i="4"/>
  <c r="D5682" i="4"/>
  <c r="D15" i="4"/>
  <c r="D11726" i="4"/>
  <c r="D6140" i="4"/>
  <c r="D5681" i="4"/>
  <c r="D12680" i="4"/>
  <c r="D5984" i="4"/>
  <c r="D12053" i="4"/>
  <c r="D10573" i="4"/>
  <c r="D4651" i="4"/>
  <c r="D8758" i="4"/>
  <c r="D5739" i="4"/>
  <c r="D2701" i="4"/>
  <c r="D8757" i="4"/>
  <c r="D4925" i="4"/>
  <c r="D7064" i="4"/>
  <c r="D9814" i="4"/>
  <c r="D2427" i="4"/>
  <c r="D8756" i="4"/>
  <c r="D2041" i="4"/>
  <c r="D9845" i="4"/>
  <c r="D13863" i="4"/>
  <c r="D76" i="4"/>
  <c r="D9862" i="4"/>
  <c r="D11908" i="4"/>
  <c r="D12569" i="4"/>
  <c r="D3741" i="4"/>
  <c r="D11774" i="4"/>
  <c r="D13795" i="4"/>
  <c r="D5026" i="4"/>
  <c r="D10620" i="4"/>
  <c r="D15221" i="4"/>
  <c r="D1198" i="4"/>
  <c r="D13915" i="4"/>
  <c r="D6414" i="4"/>
  <c r="D425" i="4"/>
  <c r="D13794" i="4"/>
  <c r="D4563" i="4"/>
  <c r="D1590" i="4"/>
  <c r="D5738" i="4"/>
  <c r="D7223" i="4"/>
  <c r="D9562" i="4"/>
  <c r="D4664" i="4"/>
  <c r="D3740" i="4"/>
  <c r="D2700" i="4"/>
  <c r="D5499" i="4"/>
  <c r="D13132" i="4"/>
  <c r="D3176" i="4"/>
  <c r="D200" i="4"/>
  <c r="D11435" i="4"/>
  <c r="D15578" i="4"/>
  <c r="D4786" i="4"/>
  <c r="D15015" i="4"/>
  <c r="D10296" i="4"/>
  <c r="D522" i="4"/>
  <c r="D434" i="4"/>
  <c r="D4028" i="4"/>
  <c r="D11361" i="4"/>
  <c r="D11197" i="4"/>
  <c r="D14988" i="4"/>
  <c r="D6800" i="4"/>
  <c r="D6475" i="4"/>
  <c r="D11044" i="4"/>
  <c r="D4498" i="4"/>
  <c r="D13900" i="4"/>
  <c r="D11082" i="4"/>
  <c r="D4924" i="4"/>
  <c r="D11581" i="4"/>
  <c r="D5717" i="4"/>
  <c r="D5983" i="4"/>
  <c r="D6139" i="4"/>
  <c r="D14674" i="4"/>
  <c r="D9561" i="4"/>
  <c r="D15466" i="4"/>
  <c r="D14481" i="4"/>
  <c r="D13926" i="4"/>
  <c r="D12568" i="4"/>
  <c r="D2426" i="4"/>
  <c r="D13961" i="4"/>
  <c r="D12944" i="4"/>
  <c r="D13289" i="4"/>
  <c r="D5160" i="4"/>
  <c r="D9560" i="4"/>
  <c r="D15465" i="4"/>
  <c r="D6914" i="4"/>
  <c r="D5848" i="4"/>
  <c r="D8755" i="4"/>
  <c r="D11252" i="4"/>
  <c r="D7047" i="4"/>
  <c r="D5498" i="4"/>
  <c r="D5497" i="4"/>
  <c r="D11430" i="4"/>
  <c r="D4571" i="4"/>
  <c r="D14145" i="4"/>
  <c r="D14833" i="4"/>
  <c r="D5496" i="4"/>
  <c r="D14628" i="4"/>
  <c r="D9895" i="4"/>
  <c r="D2912" i="4"/>
  <c r="D6502" i="4"/>
  <c r="D13346" i="4"/>
  <c r="D2173" i="4"/>
  <c r="D12101" i="4"/>
  <c r="D8754" i="4"/>
  <c r="D9559" i="4"/>
  <c r="D5495" i="4"/>
  <c r="D360" i="4"/>
  <c r="D5169" i="4"/>
  <c r="D14097" i="4"/>
  <c r="D2040" i="4"/>
  <c r="D12677" i="4"/>
  <c r="D240" i="4"/>
  <c r="D12131" i="4"/>
  <c r="D10769" i="4"/>
  <c r="D10925" i="4"/>
  <c r="D7078" i="4"/>
  <c r="D12529" i="4"/>
  <c r="D3739" i="4"/>
  <c r="D14673" i="4"/>
  <c r="D14693" i="4"/>
  <c r="D9558" i="4"/>
  <c r="D1706" i="4"/>
  <c r="D8753" i="4"/>
  <c r="D9557" i="4"/>
  <c r="D8752" i="4"/>
  <c r="D482" i="4"/>
  <c r="D14480" i="4"/>
  <c r="D1056" i="4"/>
  <c r="D5494" i="4"/>
  <c r="D3013" i="4"/>
  <c r="D10011" i="4"/>
  <c r="D15091" i="4"/>
  <c r="D9287" i="4"/>
  <c r="D9199" i="4"/>
  <c r="D2425" i="4"/>
  <c r="D4606" i="4"/>
  <c r="D6674" i="4"/>
  <c r="D11410" i="4"/>
  <c r="D8751" i="4"/>
  <c r="D5493" i="4"/>
  <c r="D5680" i="4"/>
  <c r="D11056" i="4"/>
  <c r="D9556" i="4"/>
  <c r="D1882" i="4"/>
  <c r="D10973" i="4"/>
  <c r="D9555" i="4"/>
  <c r="D14627" i="4"/>
  <c r="D10496" i="4"/>
  <c r="D6435" i="4"/>
  <c r="D6560" i="4"/>
  <c r="D2424" i="4"/>
  <c r="D10907" i="4"/>
  <c r="D6138" i="4"/>
  <c r="D9910" i="4"/>
  <c r="D14601" i="4"/>
  <c r="D2145" i="4"/>
  <c r="D12071" i="4"/>
  <c r="D14987" i="4"/>
  <c r="D5168" i="4"/>
  <c r="D4625" i="4"/>
  <c r="D11006" i="4"/>
  <c r="D13345" i="4"/>
  <c r="D2200" i="4"/>
  <c r="D1526" i="4"/>
  <c r="D6936" i="4"/>
  <c r="D4190" i="4"/>
  <c r="D15464" i="4"/>
  <c r="D5492" i="4"/>
  <c r="D12214" i="4"/>
  <c r="D6913" i="4"/>
  <c r="D1621" i="4"/>
  <c r="D15220" i="4"/>
  <c r="D9235" i="4"/>
  <c r="D6912" i="4"/>
  <c r="D11541" i="4"/>
  <c r="D2893" i="4"/>
  <c r="D6695" i="4"/>
  <c r="D15083" i="4"/>
  <c r="D927" i="4"/>
  <c r="D8750" i="4"/>
  <c r="D8749" i="4"/>
  <c r="D9230" i="4"/>
  <c r="D10972" i="4"/>
  <c r="D8748" i="4"/>
  <c r="D2832" i="4"/>
  <c r="D6779" i="4"/>
  <c r="D8747" i="4"/>
  <c r="D424" i="4"/>
  <c r="D4894" i="4"/>
  <c r="D14600" i="4"/>
  <c r="D75" i="4"/>
  <c r="D6287" i="4"/>
  <c r="D14017" i="4"/>
  <c r="D983" i="4"/>
  <c r="D9554" i="4"/>
  <c r="D10930" i="4"/>
  <c r="D15463" i="4"/>
  <c r="D8746" i="4"/>
  <c r="D3958" i="4"/>
  <c r="D86" i="4"/>
  <c r="D506" i="4"/>
  <c r="D74" i="4"/>
  <c r="D6388" i="4"/>
  <c r="D132" i="4"/>
  <c r="D14874" i="4"/>
  <c r="D14775" i="4"/>
  <c r="D2194" i="4"/>
  <c r="D10295" i="4"/>
  <c r="D11580" i="4"/>
  <c r="D5491" i="4"/>
  <c r="D8745" i="4"/>
  <c r="D12925" i="4"/>
  <c r="D15219" i="4"/>
  <c r="D11713" i="4"/>
  <c r="D7148" i="4"/>
  <c r="D10294" i="4"/>
  <c r="D10572" i="4"/>
  <c r="D14479" i="4"/>
  <c r="D9190" i="4"/>
  <c r="D2039" i="4"/>
  <c r="D10781" i="4"/>
  <c r="D11055" i="4"/>
  <c r="D11985" i="4"/>
  <c r="D2258" i="4"/>
  <c r="D6137" i="4"/>
  <c r="D9553" i="4"/>
  <c r="D6911" i="4"/>
  <c r="D505" i="4"/>
  <c r="D8744" i="4"/>
  <c r="D10971" i="4"/>
  <c r="D5795" i="4"/>
  <c r="D4117" i="4"/>
  <c r="D6501" i="4"/>
  <c r="D2546" i="4"/>
  <c r="D15462" i="4"/>
  <c r="D13793" i="4"/>
  <c r="D6992" i="4"/>
  <c r="D8743" i="4"/>
  <c r="D3940" i="4"/>
  <c r="D831" i="4"/>
  <c r="D11773" i="4"/>
  <c r="D1489" i="4"/>
  <c r="D3175" i="4"/>
  <c r="D9552" i="4"/>
  <c r="D12623" i="4"/>
  <c r="D6444" i="4"/>
  <c r="D9551" i="4"/>
  <c r="D11984" i="4"/>
  <c r="D7027" i="4"/>
  <c r="D926" i="4"/>
  <c r="D14478" i="4"/>
  <c r="D120" i="4"/>
  <c r="D5006" i="4"/>
  <c r="D1055" i="4"/>
  <c r="D14221" i="4"/>
  <c r="D10773" i="4"/>
  <c r="D5490" i="4"/>
  <c r="D8742" i="4"/>
  <c r="D5489" i="4"/>
  <c r="D14477" i="4"/>
  <c r="D8741" i="4"/>
  <c r="D8740" i="4"/>
  <c r="D9550" i="4"/>
  <c r="D763" i="4"/>
  <c r="D1709" i="4"/>
  <c r="D1579" i="4"/>
  <c r="D11616" i="4"/>
  <c r="D133" i="4"/>
  <c r="D3038" i="4"/>
  <c r="D513" i="4"/>
  <c r="D3218" i="4"/>
  <c r="D3969" i="4"/>
  <c r="D3738" i="4"/>
  <c r="D5018" i="4"/>
  <c r="D2976" i="4"/>
  <c r="D1708" i="4"/>
  <c r="D8739" i="4"/>
  <c r="D4981" i="4"/>
  <c r="D5005" i="4"/>
  <c r="D8738" i="4"/>
  <c r="D6286" i="4"/>
  <c r="D5488" i="4"/>
  <c r="D35" i="4"/>
  <c r="D762" i="4"/>
  <c r="D1649" i="4"/>
  <c r="D5092" i="4"/>
  <c r="D8737" i="4"/>
  <c r="D8736" i="4"/>
  <c r="D12528" i="4"/>
  <c r="D9549" i="4"/>
  <c r="D12052" i="4"/>
  <c r="D2831" i="4"/>
  <c r="D3737" i="4"/>
  <c r="D13185" i="4"/>
  <c r="D64" i="4"/>
  <c r="D12950" i="4"/>
  <c r="D10571" i="4"/>
  <c r="D14476" i="4"/>
  <c r="D8735" i="4"/>
  <c r="D14134" i="4"/>
  <c r="D5487" i="4"/>
  <c r="D3030" i="4"/>
  <c r="D8734" i="4"/>
  <c r="D12535" i="4"/>
  <c r="D9933" i="4"/>
  <c r="D181" i="4"/>
  <c r="D11112" i="4"/>
  <c r="D9548" i="4"/>
  <c r="D1998" i="4"/>
  <c r="D982" i="4"/>
  <c r="D5167" i="4"/>
  <c r="D7147" i="4"/>
  <c r="D7026" i="4"/>
  <c r="D4923" i="4"/>
  <c r="D4980" i="4"/>
  <c r="D11054" i="4"/>
  <c r="D6607" i="4"/>
  <c r="D6910" i="4"/>
  <c r="D13107" i="4"/>
  <c r="D15461" i="4"/>
  <c r="D10970" i="4"/>
  <c r="D15460" i="4"/>
  <c r="D9547" i="4"/>
  <c r="D1991" i="4"/>
  <c r="D4211" i="4"/>
  <c r="D12111" i="4"/>
  <c r="D14915" i="4"/>
  <c r="D2423" i="4"/>
  <c r="D14867" i="4"/>
  <c r="D138" i="4"/>
  <c r="D9546" i="4"/>
  <c r="D9545" i="4"/>
  <c r="D5025" i="4"/>
  <c r="D9544" i="4"/>
  <c r="D14832" i="4"/>
  <c r="D6909" i="4"/>
  <c r="D12903" i="4"/>
  <c r="D2244" i="4"/>
  <c r="D12130" i="4"/>
  <c r="D13792" i="4"/>
  <c r="D23" i="4"/>
  <c r="D6606" i="4"/>
  <c r="D5088" i="4"/>
  <c r="D194" i="4"/>
  <c r="D1692" i="4"/>
  <c r="D10457" i="4"/>
  <c r="D8733" i="4"/>
  <c r="D213" i="4"/>
  <c r="D91" i="4"/>
  <c r="D5486" i="4"/>
  <c r="D11995" i="4"/>
  <c r="D3736" i="4"/>
  <c r="D9543" i="4"/>
  <c r="D11360" i="4"/>
  <c r="D10293" i="4"/>
  <c r="D4006" i="4"/>
  <c r="D4831" i="4"/>
  <c r="D9542" i="4"/>
  <c r="D13220" i="4"/>
  <c r="D4591" i="4"/>
  <c r="D12678" i="4"/>
  <c r="D981" i="4"/>
  <c r="D10570" i="4"/>
  <c r="D123" i="4"/>
  <c r="D14176" i="4"/>
  <c r="D4329" i="4"/>
  <c r="D15218" i="4"/>
  <c r="D188" i="4"/>
  <c r="D673" i="4"/>
  <c r="D6559" i="4"/>
  <c r="D6329" i="4"/>
  <c r="D14914" i="4"/>
  <c r="D13791" i="4"/>
  <c r="D2642" i="4"/>
  <c r="D2641" i="4"/>
  <c r="D2640" i="4"/>
  <c r="D6972" i="4"/>
  <c r="D1397" i="4"/>
  <c r="D2639" i="4"/>
  <c r="D12470" i="4"/>
  <c r="D6971" i="4"/>
  <c r="D1396" i="4"/>
  <c r="D12469" i="4"/>
  <c r="D13790" i="4"/>
  <c r="D12363" i="4"/>
  <c r="D10495" i="4"/>
  <c r="D1731" i="4"/>
  <c r="D13450" i="4"/>
  <c r="D2638" i="4"/>
  <c r="D11263" i="4"/>
  <c r="D6970" i="4"/>
  <c r="D1395" i="4"/>
  <c r="D6211" i="4"/>
  <c r="D12468" i="4"/>
  <c r="D5679" i="4"/>
  <c r="D1565" i="4"/>
  <c r="D10393" i="4"/>
  <c r="D8732" i="4"/>
  <c r="D13789" i="4"/>
  <c r="D8731" i="4"/>
  <c r="D12534" i="4"/>
  <c r="D13788" i="4"/>
  <c r="D13046" i="4"/>
  <c r="D11831" i="4"/>
  <c r="D12467" i="4"/>
  <c r="D2422" i="4"/>
  <c r="D1730" i="4"/>
  <c r="D4309" i="4"/>
  <c r="D15459" i="4"/>
  <c r="D12466" i="4"/>
  <c r="D13045" i="4"/>
  <c r="D9541" i="4"/>
  <c r="D13449" i="4"/>
  <c r="D10494" i="4"/>
  <c r="D11359" i="4"/>
  <c r="D2421" i="4"/>
  <c r="D613" i="4"/>
  <c r="D9540" i="4"/>
  <c r="D12465" i="4"/>
  <c r="D6285" i="4"/>
  <c r="D6210" i="4"/>
  <c r="D6650" i="4"/>
  <c r="D12533" i="4"/>
  <c r="D1729" i="4"/>
  <c r="D9539" i="4"/>
  <c r="D12464" i="4"/>
  <c r="D10569" i="4"/>
  <c r="D11043" i="4"/>
  <c r="D15217" i="4"/>
  <c r="D15458" i="4"/>
  <c r="D15457" i="4"/>
  <c r="D8730" i="4"/>
  <c r="D14763" i="4"/>
  <c r="D13787" i="4"/>
  <c r="D14650" i="4"/>
  <c r="D15456" i="4"/>
  <c r="D3735" i="4"/>
  <c r="D12463" i="4"/>
  <c r="D14064" i="4"/>
  <c r="D1564" i="4"/>
  <c r="D1563" i="4"/>
  <c r="D7235" i="4"/>
  <c r="D3734" i="4"/>
  <c r="D13786" i="4"/>
  <c r="D6136" i="4"/>
  <c r="D548" i="4"/>
  <c r="D2420" i="4"/>
  <c r="D15574" i="4"/>
  <c r="D4308" i="4"/>
  <c r="D13882" i="4"/>
  <c r="D8729" i="4"/>
  <c r="D2637" i="4"/>
  <c r="D7002" i="4"/>
  <c r="D547" i="4"/>
  <c r="D6284" i="4"/>
  <c r="D13785" i="4"/>
  <c r="D4447" i="4"/>
  <c r="D6283" i="4"/>
  <c r="D13784" i="4"/>
  <c r="D4232" i="4"/>
  <c r="D2419" i="4"/>
  <c r="D12567" i="4"/>
  <c r="D5485" i="4"/>
  <c r="D13344" i="4"/>
  <c r="D15667" i="4"/>
  <c r="D5484" i="4"/>
  <c r="D2209" i="4"/>
  <c r="D14090" i="4"/>
  <c r="D12462" i="4"/>
  <c r="D1802" i="4"/>
  <c r="D11830" i="4"/>
  <c r="D2636" i="4"/>
  <c r="D15216" i="4"/>
  <c r="D3733" i="4"/>
  <c r="D13343" i="4"/>
  <c r="D2418" i="4"/>
  <c r="D15455" i="4"/>
  <c r="D9813" i="4"/>
  <c r="D6282" i="4"/>
  <c r="D14762" i="4"/>
  <c r="D9538" i="4"/>
  <c r="D15454" i="4"/>
  <c r="D4307" i="4"/>
  <c r="D11358" i="4"/>
  <c r="D12461" i="4"/>
  <c r="D14631" i="4"/>
  <c r="D3732" i="4"/>
  <c r="D13260" i="4"/>
  <c r="D13783" i="4"/>
  <c r="D15453" i="4"/>
  <c r="D2830" i="4"/>
  <c r="D13259" i="4"/>
  <c r="D2114" i="4"/>
  <c r="D3227" i="4"/>
  <c r="D9269" i="4"/>
  <c r="D5982" i="4"/>
  <c r="D1801" i="4"/>
  <c r="D3731" i="4"/>
  <c r="D2829" i="4"/>
  <c r="D11357" i="4"/>
  <c r="D5483" i="4"/>
  <c r="D10292" i="4"/>
  <c r="D11562" i="4"/>
  <c r="D6281" i="4"/>
  <c r="D11196" i="4"/>
  <c r="D11195" i="4"/>
  <c r="D15452" i="4"/>
  <c r="D3211" i="4"/>
  <c r="D2635" i="4"/>
  <c r="D6280" i="4"/>
  <c r="D12213" i="4"/>
  <c r="D12810" i="4"/>
  <c r="D13782" i="4"/>
  <c r="D531" i="4"/>
  <c r="D15451" i="4"/>
  <c r="D6840" i="4"/>
  <c r="D10828" i="4"/>
  <c r="D9878" i="4"/>
  <c r="D3730" i="4"/>
  <c r="D1562" i="4"/>
  <c r="D13781" i="4"/>
  <c r="D11597" i="4"/>
  <c r="D2417" i="4"/>
  <c r="D2828" i="4"/>
  <c r="D2827" i="4"/>
  <c r="D14630" i="4"/>
  <c r="D13342" i="4"/>
  <c r="D8728" i="4"/>
  <c r="D6135" i="4"/>
  <c r="D14633" i="4"/>
  <c r="D1846" i="4"/>
  <c r="D4680" i="4"/>
  <c r="D3729" i="4"/>
  <c r="D5482" i="4"/>
  <c r="D3003" i="4"/>
  <c r="D3002" i="4"/>
  <c r="D1959" i="4"/>
  <c r="D14761" i="4"/>
  <c r="D9877" i="4"/>
  <c r="D12938" i="4"/>
  <c r="D15215" i="4"/>
  <c r="D12362" i="4"/>
  <c r="D13303" i="4"/>
  <c r="D2545" i="4"/>
  <c r="D8727" i="4"/>
  <c r="D8726" i="4"/>
  <c r="D9721" i="4"/>
  <c r="D15214" i="4"/>
  <c r="D8725" i="4"/>
  <c r="D6134" i="4"/>
  <c r="D10619" i="4"/>
  <c r="D1301" i="4"/>
  <c r="D11907" i="4"/>
  <c r="D5481" i="4"/>
  <c r="D6279" i="4"/>
  <c r="D2172" i="4"/>
  <c r="D13780" i="4"/>
  <c r="D5794" i="4"/>
  <c r="D15450" i="4"/>
  <c r="D11561" i="4"/>
  <c r="D15573" i="4"/>
  <c r="D8724" i="4"/>
  <c r="D13779" i="4"/>
  <c r="D12809" i="4"/>
  <c r="D13778" i="4"/>
  <c r="D8723" i="4"/>
  <c r="D11492" i="4"/>
  <c r="D12808" i="4"/>
  <c r="D3728" i="4"/>
  <c r="D14753" i="4"/>
  <c r="D2416" i="4"/>
  <c r="D13341" i="4"/>
  <c r="D10291" i="4"/>
  <c r="D8722" i="4"/>
  <c r="D2826" i="4"/>
  <c r="D2825" i="4"/>
  <c r="D10290" i="4"/>
  <c r="D12566" i="4"/>
  <c r="D3174" i="4"/>
  <c r="D13777" i="4"/>
  <c r="D14475" i="4"/>
  <c r="D6649" i="4"/>
  <c r="D8721" i="4"/>
  <c r="D5480" i="4"/>
  <c r="D7251" i="4"/>
  <c r="D2415" i="4"/>
  <c r="D12361" i="4"/>
  <c r="D12807" i="4"/>
  <c r="D4497" i="4"/>
  <c r="D6648" i="4"/>
  <c r="D6430" i="4"/>
  <c r="D11491" i="4"/>
  <c r="D13055" i="4"/>
  <c r="D10475" i="4"/>
  <c r="D12806" i="4"/>
  <c r="D12360" i="4"/>
  <c r="D4496" i="4"/>
  <c r="D3727" i="4"/>
  <c r="D13184" i="4"/>
  <c r="D1300" i="4"/>
  <c r="D10289" i="4"/>
  <c r="D2824" i="4"/>
  <c r="D1900" i="4"/>
  <c r="D11194" i="4"/>
  <c r="D13258" i="4"/>
  <c r="D2823" i="4"/>
  <c r="D10288" i="4"/>
  <c r="D443" i="4"/>
  <c r="D1958" i="4"/>
  <c r="D12805" i="4"/>
  <c r="D14760" i="4"/>
  <c r="D11829" i="4"/>
  <c r="D3726" i="4"/>
  <c r="D7240" i="4"/>
  <c r="D12804" i="4"/>
  <c r="D6278" i="4"/>
  <c r="D6673" i="4"/>
  <c r="D12565" i="4"/>
  <c r="D3725" i="4"/>
  <c r="D13448" i="4"/>
  <c r="D14474" i="4"/>
  <c r="D389" i="4"/>
  <c r="D10287" i="4"/>
  <c r="D12803" i="4"/>
  <c r="D14220" i="4"/>
  <c r="D8720" i="4"/>
  <c r="D13257" i="4"/>
  <c r="D6367" i="4"/>
  <c r="D718" i="4"/>
  <c r="D8719" i="4"/>
  <c r="D4638" i="4"/>
  <c r="D12802" i="4"/>
  <c r="D12875" i="4"/>
  <c r="D11684" i="4"/>
  <c r="D3173" i="4"/>
  <c r="D11560" i="4"/>
  <c r="D5479" i="4"/>
  <c r="D612" i="4"/>
  <c r="D1525" i="4"/>
  <c r="D8718" i="4"/>
  <c r="D4495" i="4"/>
  <c r="D2634" i="4"/>
  <c r="D11356" i="4"/>
  <c r="D12359" i="4"/>
  <c r="D8717" i="4"/>
  <c r="D10474" i="4"/>
  <c r="D1899" i="4"/>
  <c r="D10506" i="4"/>
  <c r="D4494" i="4"/>
  <c r="D8716" i="4"/>
  <c r="D4159" i="4"/>
  <c r="D6133" i="4"/>
  <c r="D8715" i="4"/>
  <c r="D2414" i="4"/>
  <c r="D13340" i="4"/>
  <c r="D15449" i="4"/>
  <c r="D12504" i="4"/>
  <c r="D8714" i="4"/>
  <c r="D15616" i="4"/>
  <c r="D3172" i="4"/>
  <c r="D12801" i="4"/>
  <c r="D9812" i="4"/>
  <c r="D13980" i="4"/>
  <c r="D611" i="4"/>
  <c r="D1524" i="4"/>
  <c r="D12358" i="4"/>
  <c r="D8713" i="4"/>
  <c r="D7146" i="4"/>
  <c r="D4136" i="4"/>
  <c r="D6366" i="4"/>
  <c r="D15448" i="4"/>
  <c r="D1957" i="4"/>
  <c r="D11490" i="4"/>
  <c r="D12800" i="4"/>
  <c r="D4493" i="4"/>
  <c r="D4637" i="4"/>
  <c r="D4186" i="4"/>
  <c r="D9887" i="4"/>
  <c r="D4323" i="4"/>
  <c r="D5478" i="4"/>
  <c r="D9537" i="4"/>
  <c r="D14186" i="4"/>
  <c r="D7259" i="4"/>
  <c r="D980" i="4"/>
  <c r="D1476" i="4"/>
  <c r="D14219" i="4"/>
  <c r="D11355" i="4"/>
  <c r="D4949" i="4"/>
  <c r="D8712" i="4"/>
  <c r="D15666" i="4"/>
  <c r="D11489" i="4"/>
  <c r="D5024" i="4"/>
  <c r="D6969" i="4"/>
  <c r="D1394" i="4"/>
  <c r="D11237" i="4"/>
  <c r="D10618" i="4"/>
  <c r="D8711" i="4"/>
  <c r="D6474" i="4"/>
  <c r="D12694" i="4"/>
  <c r="D15447" i="4"/>
  <c r="D3171" i="4"/>
  <c r="D3226" i="4"/>
  <c r="D5477" i="4"/>
  <c r="D5476" i="4"/>
  <c r="D10714" i="4"/>
  <c r="D371" i="4"/>
  <c r="D1475" i="4"/>
  <c r="D3724" i="4"/>
  <c r="D3723" i="4"/>
  <c r="D13183" i="4"/>
  <c r="D717" i="4"/>
  <c r="D3722" i="4"/>
  <c r="D6334" i="4"/>
  <c r="D6580" i="4"/>
  <c r="D8710" i="4"/>
  <c r="D15213" i="4"/>
  <c r="D716" i="4"/>
  <c r="D7025" i="4"/>
  <c r="D13979" i="4"/>
  <c r="D11516" i="4"/>
  <c r="D3721" i="4"/>
  <c r="D2544" i="4"/>
  <c r="D14089" i="4"/>
  <c r="D12799" i="4"/>
  <c r="D2413" i="4"/>
  <c r="D8709" i="4"/>
  <c r="D8708" i="4"/>
  <c r="D9973" i="4"/>
  <c r="D15446" i="4"/>
  <c r="D14473" i="4"/>
  <c r="D15445" i="4"/>
  <c r="D12564" i="4"/>
  <c r="D13978" i="4"/>
  <c r="D5053" i="4"/>
  <c r="D12798" i="4"/>
  <c r="D13776" i="4"/>
  <c r="D15212" i="4"/>
  <c r="D979" i="4"/>
  <c r="D15211" i="4"/>
  <c r="D13881" i="4"/>
  <c r="D14218" i="4"/>
  <c r="D3001" i="4"/>
  <c r="D3000" i="4"/>
  <c r="D11828" i="4"/>
  <c r="D12357" i="4"/>
  <c r="D5475" i="4"/>
  <c r="D9536" i="4"/>
  <c r="D15210" i="4"/>
  <c r="D6338" i="4"/>
  <c r="D1299" i="4"/>
  <c r="D11559" i="4"/>
  <c r="D7145" i="4"/>
  <c r="D14217" i="4"/>
  <c r="D11354" i="4"/>
  <c r="D4846" i="4"/>
  <c r="D2144" i="4"/>
  <c r="D3720" i="4"/>
  <c r="D11193" i="4"/>
  <c r="D15209" i="4"/>
  <c r="D12874" i="4"/>
  <c r="D11683" i="4"/>
  <c r="D610" i="4"/>
  <c r="D2633" i="4"/>
  <c r="D12873" i="4"/>
  <c r="D11682" i="4"/>
  <c r="D13116" i="4"/>
  <c r="D12356" i="4"/>
  <c r="D5121" i="4"/>
  <c r="D15444" i="4"/>
  <c r="D11681" i="4"/>
  <c r="D8707" i="4"/>
  <c r="D2543" i="4"/>
  <c r="D2632" i="4"/>
  <c r="D14574" i="4"/>
  <c r="D2957" i="4"/>
  <c r="D12355" i="4"/>
  <c r="D546" i="4"/>
  <c r="D8706" i="4"/>
  <c r="D15208" i="4"/>
  <c r="D11353" i="4"/>
  <c r="D12354" i="4"/>
  <c r="D14599" i="4"/>
  <c r="D8705" i="4"/>
  <c r="D14598" i="4"/>
  <c r="D13106" i="4"/>
  <c r="D6365" i="4"/>
  <c r="D1298" i="4"/>
  <c r="D978" i="4"/>
  <c r="D1898" i="4"/>
  <c r="D1845" i="4"/>
  <c r="D609" i="4"/>
  <c r="D977" i="4"/>
  <c r="D3170" i="4"/>
  <c r="D6209" i="4"/>
  <c r="D2412" i="4"/>
  <c r="D11967" i="4"/>
  <c r="D608" i="4"/>
  <c r="D13256" i="4"/>
  <c r="D3719" i="4"/>
  <c r="D9535" i="4"/>
  <c r="D1956" i="4"/>
  <c r="D13775" i="4"/>
  <c r="D9811" i="4"/>
  <c r="D12353" i="4"/>
  <c r="D12352" i="4"/>
  <c r="D239" i="4"/>
  <c r="D4868" i="4"/>
  <c r="D761" i="4"/>
  <c r="D8704" i="4"/>
  <c r="D4867" i="4"/>
  <c r="D4646" i="4"/>
  <c r="D13774" i="4"/>
  <c r="D8703" i="4"/>
  <c r="D15207" i="4"/>
  <c r="D13044" i="4"/>
  <c r="D15443" i="4"/>
  <c r="D607" i="4"/>
  <c r="D12872" i="4"/>
  <c r="D4432" i="4"/>
  <c r="D14649" i="4"/>
  <c r="D7267" i="4"/>
  <c r="D3718" i="4"/>
  <c r="D12351" i="4"/>
  <c r="D2105" i="4"/>
  <c r="D13070" i="4"/>
  <c r="D8702" i="4"/>
  <c r="D15665" i="4"/>
  <c r="D13977" i="4"/>
  <c r="D6364" i="4"/>
  <c r="D12871" i="4"/>
  <c r="D11680" i="4"/>
  <c r="D2542" i="4"/>
  <c r="D11192" i="4"/>
  <c r="D12973" i="4"/>
  <c r="D14752" i="4"/>
  <c r="D8701" i="4"/>
  <c r="D12350" i="4"/>
  <c r="D11772" i="4"/>
  <c r="D12797" i="4"/>
  <c r="D3717" i="4"/>
  <c r="D13182" i="4"/>
  <c r="D2411" i="4"/>
  <c r="D10670" i="4"/>
  <c r="D976" i="4"/>
  <c r="D14088" i="4"/>
  <c r="D2541" i="4"/>
  <c r="D15442" i="4"/>
  <c r="D10473" i="4"/>
  <c r="D12349" i="4"/>
  <c r="D15206" i="4"/>
  <c r="D12348" i="4"/>
  <c r="D715" i="4"/>
  <c r="D13339" i="4"/>
  <c r="D1774" i="4"/>
  <c r="D14591" i="4"/>
  <c r="D11558" i="4"/>
  <c r="D8700" i="4"/>
  <c r="D6132" i="4"/>
  <c r="D714" i="4"/>
  <c r="D10286" i="4"/>
  <c r="D1608" i="4"/>
  <c r="D3070" i="4"/>
  <c r="D1474" i="4"/>
  <c r="D6277" i="4"/>
  <c r="D9753" i="4"/>
  <c r="D11557" i="4"/>
  <c r="D5840" i="4"/>
  <c r="D3169" i="4"/>
  <c r="D13338" i="4"/>
  <c r="D6839" i="4"/>
  <c r="D3716" i="4"/>
  <c r="D1904" i="4"/>
  <c r="D1297" i="4"/>
  <c r="D606" i="4"/>
  <c r="D2410" i="4"/>
  <c r="D3715" i="4"/>
  <c r="D9853" i="4"/>
  <c r="D2409" i="4"/>
  <c r="D10285" i="4"/>
  <c r="D8699" i="4"/>
  <c r="D3714" i="4"/>
  <c r="D3713" i="4"/>
  <c r="D5716" i="4"/>
  <c r="D5474" i="4"/>
  <c r="D4492" i="4"/>
  <c r="D5473" i="4"/>
  <c r="D14216" i="4"/>
  <c r="D9965" i="4"/>
  <c r="D8698" i="4"/>
  <c r="D14831" i="4"/>
  <c r="D8697" i="4"/>
  <c r="D8696" i="4"/>
  <c r="D10421" i="4"/>
  <c r="D6497" i="4"/>
  <c r="D6703" i="4"/>
  <c r="D12920" i="4"/>
  <c r="D10640" i="4"/>
  <c r="D1197" i="4"/>
  <c r="D5120" i="4"/>
  <c r="D6420" i="4"/>
  <c r="D11540" i="4"/>
  <c r="D1196" i="4"/>
  <c r="D5472" i="4"/>
  <c r="D8695" i="4"/>
  <c r="D1195" i="4"/>
  <c r="D13131" i="4"/>
  <c r="D11539" i="4"/>
  <c r="D530" i="4"/>
  <c r="D3712" i="4"/>
  <c r="D1194" i="4"/>
  <c r="D14741" i="4"/>
  <c r="D7144" i="4"/>
  <c r="D1773" i="4"/>
  <c r="D3711" i="4"/>
  <c r="D12347" i="4"/>
  <c r="D9810" i="4"/>
  <c r="D11739" i="4"/>
  <c r="D13105" i="4"/>
  <c r="D5981" i="4"/>
  <c r="D5905" i="4"/>
  <c r="D4785" i="4"/>
  <c r="D8694" i="4"/>
  <c r="D9534" i="4"/>
  <c r="D2408" i="4"/>
  <c r="D6799" i="4"/>
  <c r="D6319" i="4"/>
  <c r="D4176" i="4"/>
  <c r="D15205" i="4"/>
  <c r="D12346" i="4"/>
  <c r="D9268" i="4"/>
  <c r="D3210" i="4"/>
  <c r="D760" i="4"/>
  <c r="D15441" i="4"/>
  <c r="D7143" i="4"/>
  <c r="D8693" i="4"/>
  <c r="D388" i="4"/>
  <c r="D3168" i="4"/>
  <c r="D10794" i="4"/>
  <c r="D3710" i="4"/>
  <c r="D3709" i="4"/>
  <c r="D13181" i="4"/>
  <c r="D15204" i="4"/>
  <c r="D9972" i="4"/>
  <c r="D15664" i="4"/>
  <c r="D9919" i="4"/>
  <c r="D4306" i="4"/>
  <c r="D8692" i="4"/>
  <c r="D605" i="4"/>
  <c r="D604" i="4"/>
  <c r="D8691" i="4"/>
  <c r="D2132" i="4"/>
  <c r="D4064" i="4"/>
  <c r="D13773" i="4"/>
  <c r="D5861" i="4"/>
  <c r="D9809" i="4"/>
  <c r="D267" i="4"/>
  <c r="D1077" i="4"/>
  <c r="D6713" i="4"/>
  <c r="D14215" i="4"/>
  <c r="D2944" i="4"/>
  <c r="D10969" i="4"/>
  <c r="D11488" i="4"/>
  <c r="D6826" i="4"/>
  <c r="D4396" i="4"/>
  <c r="D4135" i="4"/>
  <c r="D10436" i="4"/>
  <c r="D284" i="4"/>
  <c r="D3708" i="4"/>
  <c r="D13772" i="4"/>
  <c r="D9215" i="4"/>
  <c r="D975" i="4"/>
  <c r="D6945" i="4"/>
  <c r="D603" i="4"/>
  <c r="D12796" i="4"/>
  <c r="D2171" i="4"/>
  <c r="D1193" i="4"/>
  <c r="D12870" i="4"/>
  <c r="D11679" i="4"/>
  <c r="D13255" i="4"/>
  <c r="D13771" i="4"/>
  <c r="D4134" i="4"/>
  <c r="D13297" i="4"/>
  <c r="D5471" i="4"/>
  <c r="D8690" i="4"/>
  <c r="D974" i="4"/>
  <c r="D8689" i="4"/>
  <c r="D1296" i="4"/>
  <c r="D15203" i="4"/>
  <c r="D4210" i="4"/>
  <c r="D13770" i="4"/>
  <c r="D14597" i="4"/>
  <c r="D3707" i="4"/>
  <c r="D13180" i="4"/>
  <c r="D1295" i="4"/>
  <c r="D10284" i="4"/>
  <c r="D4441" i="4"/>
  <c r="D6131" i="4"/>
  <c r="D12345" i="4"/>
  <c r="D8688" i="4"/>
  <c r="D973" i="4"/>
  <c r="D9533" i="4"/>
  <c r="D1294" i="4"/>
  <c r="D14830" i="4"/>
  <c r="D14648" i="4"/>
  <c r="D6321" i="4"/>
  <c r="D5470" i="4"/>
  <c r="D830" i="4"/>
  <c r="D6558" i="4"/>
  <c r="D1293" i="4"/>
  <c r="D4431" i="4"/>
  <c r="D387" i="4"/>
  <c r="D15202" i="4"/>
  <c r="D15201" i="4"/>
  <c r="D1292" i="4"/>
  <c r="D5469" i="4"/>
  <c r="D3246" i="4"/>
  <c r="D5980" i="4"/>
  <c r="D15440" i="4"/>
  <c r="D6658" i="4"/>
  <c r="D1393" i="4"/>
  <c r="D2113" i="4"/>
  <c r="D15200" i="4"/>
  <c r="D2631" i="4"/>
  <c r="D2407" i="4"/>
  <c r="D713" i="4"/>
  <c r="D883" i="4"/>
  <c r="D10283" i="4"/>
  <c r="D4305" i="4"/>
  <c r="D11906" i="4"/>
  <c r="D8687" i="4"/>
  <c r="D3706" i="4"/>
  <c r="D13179" i="4"/>
  <c r="D9532" i="4"/>
  <c r="D8686" i="4"/>
  <c r="D15663" i="4"/>
  <c r="D13337" i="4"/>
  <c r="D5715" i="4"/>
  <c r="D1192" i="4"/>
  <c r="D1291" i="4"/>
  <c r="D2257" i="4"/>
  <c r="D8685" i="4"/>
  <c r="D2822" i="4"/>
  <c r="D11487" i="4"/>
  <c r="D8684" i="4"/>
  <c r="D8683" i="4"/>
  <c r="D4250" i="4"/>
  <c r="D1054" i="4"/>
  <c r="D386" i="4"/>
  <c r="D12972" i="4"/>
  <c r="D1053" i="4"/>
  <c r="D13447" i="4"/>
  <c r="D2143" i="4"/>
  <c r="D13769" i="4"/>
  <c r="D13998" i="4"/>
  <c r="D15439" i="4"/>
  <c r="D1290" i="4"/>
  <c r="D14829" i="4"/>
  <c r="D15438" i="4"/>
  <c r="D1392" i="4"/>
  <c r="D12460" i="4"/>
  <c r="D12344" i="4"/>
  <c r="D7233" i="4"/>
  <c r="D9531" i="4"/>
  <c r="D3167" i="4"/>
  <c r="D404" i="4"/>
  <c r="D12919" i="4"/>
  <c r="D13768" i="4"/>
  <c r="D403" i="4"/>
  <c r="D6276" i="4"/>
  <c r="D1772" i="4"/>
  <c r="D1119" i="4"/>
  <c r="D12343" i="4"/>
  <c r="D1289" i="4"/>
  <c r="D11631" i="4"/>
  <c r="D5468" i="4"/>
  <c r="D11106" i="4"/>
  <c r="D370" i="4"/>
  <c r="D8682" i="4"/>
  <c r="D5004" i="4"/>
  <c r="D5467" i="4"/>
  <c r="D13767" i="4"/>
  <c r="D8681" i="4"/>
  <c r="D4209" i="4"/>
  <c r="D559" i="4"/>
  <c r="D5466" i="4"/>
  <c r="D11596" i="4"/>
  <c r="D6484" i="4"/>
  <c r="D4430" i="4"/>
  <c r="D15437" i="4"/>
  <c r="D5465" i="4"/>
  <c r="D6275" i="4"/>
  <c r="D14986" i="4"/>
  <c r="D8680" i="4"/>
  <c r="D9530" i="4"/>
  <c r="D15108" i="4"/>
  <c r="D2406" i="4"/>
  <c r="D15199" i="4"/>
  <c r="D8679" i="4"/>
  <c r="D3705" i="4"/>
  <c r="D10739" i="4"/>
  <c r="D5464" i="4"/>
  <c r="D602" i="4"/>
  <c r="D5979" i="4"/>
  <c r="D1097" i="4"/>
  <c r="D1523" i="4"/>
  <c r="D14472" i="4"/>
  <c r="D1052" i="4"/>
  <c r="D5904" i="4"/>
  <c r="D10282" i="4"/>
  <c r="D3704" i="4"/>
  <c r="D14561" i="4"/>
  <c r="D13766" i="4"/>
  <c r="D14828" i="4"/>
  <c r="D6908" i="4"/>
  <c r="D9918" i="4"/>
  <c r="D10738" i="4"/>
  <c r="D4429" i="4"/>
  <c r="D4830" i="4"/>
  <c r="D1610" i="4"/>
  <c r="D13765" i="4"/>
  <c r="D11771" i="4"/>
  <c r="D925" i="4"/>
  <c r="D601" i="4"/>
  <c r="D3166" i="4"/>
  <c r="D15436" i="4"/>
  <c r="D3165" i="4"/>
  <c r="D14827" i="4"/>
  <c r="D452" i="4"/>
  <c r="D6130" i="4"/>
  <c r="D1288" i="4"/>
  <c r="D6129" i="4"/>
  <c r="D1522" i="4"/>
  <c r="D13764" i="4"/>
  <c r="D10281" i="4"/>
  <c r="D1521" i="4"/>
  <c r="D504" i="4"/>
  <c r="D11284" i="4"/>
  <c r="D9529" i="4"/>
  <c r="D712" i="4"/>
  <c r="D1585" i="4"/>
  <c r="D3225" i="4"/>
  <c r="D9962" i="4"/>
  <c r="D4491" i="4"/>
  <c r="D2232" i="4"/>
  <c r="D9528" i="4"/>
  <c r="D7262" i="4"/>
  <c r="D4354" i="4"/>
  <c r="D7222" i="4"/>
  <c r="D10617" i="4"/>
  <c r="D10737" i="4"/>
  <c r="D11486" i="4"/>
  <c r="D5463" i="4"/>
  <c r="D4012" i="4"/>
  <c r="D4829" i="4"/>
  <c r="D10280" i="4"/>
  <c r="D12795" i="4"/>
  <c r="D9717" i="4"/>
  <c r="D4784" i="4"/>
  <c r="D4828" i="4"/>
  <c r="D369" i="4"/>
  <c r="D6907" i="4"/>
  <c r="D9720" i="4"/>
  <c r="D5119" i="4"/>
  <c r="D3703" i="4"/>
  <c r="D14826" i="4"/>
  <c r="D2892" i="4"/>
  <c r="D13763" i="4"/>
  <c r="D4208" i="4"/>
  <c r="D2630" i="4"/>
  <c r="D8678" i="4"/>
  <c r="D9808" i="4"/>
  <c r="D12580" i="4"/>
  <c r="D1096" i="4"/>
  <c r="D10279" i="4"/>
  <c r="D11352" i="4"/>
  <c r="D13762" i="4"/>
  <c r="D6825" i="4"/>
  <c r="D13944" i="4"/>
  <c r="D1191" i="4"/>
  <c r="D6208" i="4"/>
  <c r="D672" i="4"/>
  <c r="D3702" i="4"/>
  <c r="D4866" i="4"/>
  <c r="D14825" i="4"/>
  <c r="D14573" i="4"/>
  <c r="D6318" i="4"/>
  <c r="D11042" i="4"/>
  <c r="D503" i="4"/>
  <c r="D829" i="4"/>
  <c r="D1391" i="4"/>
  <c r="D13761" i="4"/>
  <c r="D12794" i="4"/>
  <c r="D12100" i="4"/>
  <c r="D2699" i="4"/>
  <c r="D600" i="4"/>
  <c r="D6968" i="4"/>
  <c r="D1390" i="4"/>
  <c r="D5462" i="4"/>
  <c r="D1118" i="4"/>
  <c r="D15662" i="4"/>
  <c r="D2975" i="4"/>
  <c r="D8677" i="4"/>
  <c r="D1142" i="4"/>
  <c r="D11905" i="4"/>
  <c r="D3701" i="4"/>
  <c r="D5461" i="4"/>
  <c r="D11041" i="4"/>
  <c r="D1520" i="4"/>
  <c r="D4175" i="4"/>
  <c r="D7221" i="4"/>
  <c r="D14471" i="4"/>
  <c r="D5460" i="4"/>
  <c r="D5042" i="4"/>
  <c r="D12342" i="4"/>
  <c r="D3700" i="4"/>
  <c r="D1519" i="4"/>
  <c r="D4865" i="4"/>
  <c r="D5903" i="4"/>
  <c r="D2629" i="4"/>
  <c r="D8676" i="4"/>
  <c r="D13115" i="4"/>
  <c r="D972" i="4"/>
  <c r="D2405" i="4"/>
  <c r="D8675" i="4"/>
  <c r="D6274" i="4"/>
  <c r="D13760" i="4"/>
  <c r="D5839" i="4"/>
  <c r="D12563" i="4"/>
  <c r="D13759" i="4"/>
  <c r="D10493" i="4"/>
  <c r="D4827" i="4"/>
  <c r="D5091" i="4"/>
  <c r="D13043" i="4"/>
  <c r="D12341" i="4"/>
  <c r="D3699" i="4"/>
  <c r="D5459" i="4"/>
  <c r="D971" i="4"/>
  <c r="D828" i="4"/>
  <c r="D14175" i="4"/>
  <c r="D2404" i="4"/>
  <c r="D529" i="4"/>
  <c r="D12937" i="4"/>
  <c r="D9527" i="4"/>
  <c r="D6906" i="4"/>
  <c r="D4520" i="4"/>
  <c r="D2403" i="4"/>
  <c r="D10968" i="4"/>
  <c r="D7043" i="4"/>
  <c r="D8674" i="4"/>
  <c r="D15198" i="4"/>
  <c r="D12936" i="4"/>
  <c r="D6128" i="4"/>
  <c r="D14824" i="4"/>
  <c r="D8673" i="4"/>
  <c r="D4174" i="4"/>
  <c r="D6317" i="4"/>
  <c r="D1518" i="4"/>
  <c r="D9526" i="4"/>
  <c r="D6605" i="4"/>
  <c r="D4043" i="4"/>
  <c r="D1095" i="4"/>
  <c r="D10651" i="4"/>
  <c r="D12667" i="4"/>
  <c r="D13087" i="4"/>
  <c r="D14823" i="4"/>
  <c r="D9262" i="4"/>
  <c r="D2821" i="4"/>
  <c r="D1094" i="4"/>
  <c r="D970" i="4"/>
  <c r="D9525" i="4"/>
  <c r="D10400" i="4"/>
  <c r="D5838" i="4"/>
  <c r="D10435" i="4"/>
  <c r="D11485" i="4"/>
  <c r="D10278" i="4"/>
  <c r="D11538" i="4"/>
  <c r="D599" i="4"/>
  <c r="D9524" i="4"/>
  <c r="D14822" i="4"/>
  <c r="D6273" i="4"/>
  <c r="D5458" i="4"/>
  <c r="D4322" i="4"/>
  <c r="D13758" i="4"/>
  <c r="D5978" i="4"/>
  <c r="D1517" i="4"/>
  <c r="D14470" i="4"/>
  <c r="D598" i="4"/>
  <c r="D8672" i="4"/>
  <c r="D2943" i="4"/>
  <c r="D13336" i="4"/>
  <c r="D3698" i="4"/>
  <c r="D4530" i="4"/>
  <c r="D597" i="4"/>
  <c r="D4428" i="4"/>
  <c r="D13757" i="4"/>
  <c r="D4262" i="4"/>
  <c r="D8671" i="4"/>
  <c r="D1190" i="4"/>
  <c r="D10486" i="4"/>
  <c r="D11556" i="4"/>
  <c r="D9261" i="4"/>
  <c r="D5457" i="4"/>
  <c r="D3697" i="4"/>
  <c r="D4207" i="4"/>
  <c r="D5118" i="4"/>
  <c r="D14469" i="4"/>
  <c r="D12340" i="4"/>
  <c r="D10000" i="4"/>
  <c r="D671" i="4"/>
  <c r="D2820" i="4"/>
  <c r="D670" i="4"/>
  <c r="D11231" i="4"/>
  <c r="D7063" i="4"/>
  <c r="D12869" i="4"/>
  <c r="D11678" i="4"/>
  <c r="D12924" i="4"/>
  <c r="D15435" i="4"/>
  <c r="D6798" i="4"/>
  <c r="D13756" i="4"/>
  <c r="D4490" i="4"/>
  <c r="D827" i="4"/>
  <c r="D6127" i="4"/>
  <c r="D13755" i="4"/>
  <c r="D12339" i="4"/>
  <c r="D10277" i="4"/>
  <c r="D2402" i="4"/>
  <c r="D10456" i="4"/>
  <c r="D12226" i="4"/>
  <c r="D826" i="4"/>
  <c r="D759" i="4"/>
  <c r="D10967" i="4"/>
  <c r="D6632" i="4"/>
  <c r="D10966" i="4"/>
  <c r="D3164" i="4"/>
  <c r="D12338" i="4"/>
  <c r="D11236" i="4"/>
  <c r="D11116" i="4"/>
  <c r="D10485" i="4"/>
  <c r="D5456" i="4"/>
  <c r="D15197" i="4"/>
  <c r="D825" i="4"/>
  <c r="D15661" i="4"/>
  <c r="D10276" i="4"/>
  <c r="D9523" i="4"/>
  <c r="D3696" i="4"/>
  <c r="D13178" i="4"/>
  <c r="D4206" i="4"/>
  <c r="D14821" i="4"/>
  <c r="D12337" i="4"/>
  <c r="D5455" i="4"/>
  <c r="D10616" i="4"/>
  <c r="D15068" i="4"/>
  <c r="D7165" i="4"/>
  <c r="D15434" i="4"/>
  <c r="D6631" i="4"/>
  <c r="D596" i="4"/>
  <c r="D13754" i="4"/>
  <c r="D5454" i="4"/>
  <c r="D9913" i="4"/>
  <c r="D595" i="4"/>
  <c r="D10505" i="4"/>
  <c r="D5140" i="4"/>
  <c r="D1389" i="4"/>
  <c r="D3695" i="4"/>
  <c r="D13177" i="4"/>
  <c r="D3694" i="4"/>
  <c r="D15196" i="4"/>
  <c r="D12923" i="4"/>
  <c r="D9522" i="4"/>
  <c r="D185" i="4"/>
  <c r="D5134" i="4"/>
  <c r="D9180" i="4"/>
  <c r="D6272" i="4"/>
  <c r="D15195" i="4"/>
  <c r="D15194" i="4"/>
  <c r="D5453" i="4"/>
  <c r="D9967" i="4"/>
  <c r="D8670" i="4"/>
  <c r="D9521" i="4"/>
  <c r="D758" i="4"/>
  <c r="D10568" i="4"/>
  <c r="D6126" i="4"/>
  <c r="D3693" i="4"/>
  <c r="D5452" i="4"/>
  <c r="D3235" i="4"/>
  <c r="D10965" i="4"/>
  <c r="D13086" i="4"/>
  <c r="D2819" i="4"/>
  <c r="D7142" i="4"/>
  <c r="D924" i="4"/>
  <c r="D10008" i="4"/>
  <c r="D4304" i="4"/>
  <c r="D4826" i="4"/>
  <c r="D8669" i="4"/>
  <c r="D10275" i="4"/>
  <c r="D14174" i="4"/>
  <c r="D8668" i="4"/>
  <c r="D10736" i="4"/>
  <c r="D8667" i="4"/>
  <c r="D10274" i="4"/>
  <c r="D14647" i="4"/>
  <c r="D13753" i="4"/>
  <c r="D8666" i="4"/>
  <c r="D15660" i="4"/>
  <c r="D5003" i="4"/>
  <c r="D8665" i="4"/>
  <c r="D5902" i="4"/>
  <c r="D15610" i="4"/>
  <c r="D824" i="4"/>
  <c r="D539" i="4"/>
  <c r="D2401" i="4"/>
  <c r="D6704" i="4"/>
  <c r="D14173" i="4"/>
  <c r="D1388" i="4"/>
  <c r="D11437" i="4"/>
  <c r="D6125" i="4"/>
  <c r="D1093" i="4"/>
  <c r="D11115" i="4"/>
  <c r="D5451" i="4"/>
  <c r="D6207" i="4"/>
  <c r="D4489" i="4"/>
  <c r="D12336" i="4"/>
  <c r="D256" i="4"/>
  <c r="D1287" i="4"/>
  <c r="D8664" i="4"/>
  <c r="D2400" i="4"/>
  <c r="D11613" i="4"/>
  <c r="D14594" i="4"/>
  <c r="D12459" i="4"/>
  <c r="D15193" i="4"/>
  <c r="D13288" i="4"/>
  <c r="D11904" i="4"/>
  <c r="D13752" i="4"/>
  <c r="D10504" i="4"/>
  <c r="D669" i="4"/>
  <c r="D12868" i="4"/>
  <c r="D11677" i="4"/>
  <c r="D10964" i="4"/>
  <c r="D1286" i="4"/>
  <c r="D2399" i="4"/>
  <c r="D2241" i="4"/>
  <c r="D2974" i="4"/>
  <c r="D10735" i="4"/>
  <c r="D594" i="4"/>
  <c r="D8663" i="4"/>
  <c r="D13943" i="4"/>
  <c r="D8662" i="4"/>
  <c r="D6967" i="4"/>
  <c r="D1387" i="4"/>
  <c r="D8661" i="4"/>
  <c r="D1657" i="4"/>
  <c r="D2818" i="4"/>
  <c r="D13751" i="4"/>
  <c r="D7141" i="4"/>
  <c r="D13446" i="4"/>
  <c r="D3692" i="4"/>
  <c r="D2243" i="4"/>
  <c r="D8660" i="4"/>
  <c r="D7049" i="4"/>
  <c r="D13130" i="4"/>
  <c r="D3691" i="4"/>
  <c r="D1955" i="4"/>
  <c r="D9912" i="4"/>
  <c r="D6702" i="4"/>
  <c r="D12918" i="4"/>
  <c r="D8659" i="4"/>
  <c r="D5450" i="4"/>
  <c r="D923" i="4"/>
  <c r="D13750" i="4"/>
  <c r="D9184" i="4"/>
  <c r="D5901" i="4"/>
  <c r="D10734" i="4"/>
  <c r="D13914" i="4"/>
  <c r="D3163" i="4"/>
  <c r="D3162" i="4"/>
  <c r="D3690" i="4"/>
  <c r="D12335" i="4"/>
  <c r="D3689" i="4"/>
  <c r="D10273" i="4"/>
  <c r="D10272" i="4"/>
  <c r="D8658" i="4"/>
  <c r="D823" i="4"/>
  <c r="D1386" i="4"/>
  <c r="D11903" i="4"/>
  <c r="D12334" i="4"/>
  <c r="D1576" i="4"/>
  <c r="D3688" i="4"/>
  <c r="D6124" i="4"/>
  <c r="D10650" i="4"/>
  <c r="D5900" i="4"/>
  <c r="D3687" i="4"/>
  <c r="D7140" i="4"/>
  <c r="D3234" i="4"/>
  <c r="D9737" i="4"/>
  <c r="D14985" i="4"/>
  <c r="D8657" i="4"/>
  <c r="D1385" i="4"/>
  <c r="D12333" i="4"/>
  <c r="D57" i="4"/>
  <c r="D12497" i="4"/>
  <c r="D10492" i="4"/>
  <c r="D13749" i="4"/>
  <c r="D1384" i="4"/>
  <c r="D6735" i="4"/>
  <c r="D9520" i="4"/>
  <c r="D8656" i="4"/>
  <c r="D10271" i="4"/>
  <c r="D882" i="4"/>
  <c r="D1076" i="4"/>
  <c r="D15192" i="4"/>
  <c r="D9861" i="4"/>
  <c r="D12935" i="4"/>
  <c r="D11946" i="4"/>
  <c r="D8655" i="4"/>
  <c r="D1051" i="4"/>
  <c r="D6206" i="4"/>
  <c r="D9978" i="4"/>
  <c r="D10420" i="4"/>
  <c r="D10963" i="4"/>
  <c r="D11827" i="4"/>
  <c r="D10270" i="4"/>
  <c r="D5678" i="4"/>
  <c r="D7261" i="4"/>
  <c r="D1334" i="4"/>
  <c r="D13748" i="4"/>
  <c r="D7220" i="4"/>
  <c r="D10649" i="4"/>
  <c r="D13747" i="4"/>
  <c r="D1435" i="4"/>
  <c r="D14751" i="4"/>
  <c r="D2628" i="4"/>
  <c r="D11902" i="4"/>
  <c r="D13918" i="4"/>
  <c r="D13054" i="4"/>
  <c r="D11901" i="4"/>
  <c r="D13" i="4"/>
  <c r="D10733" i="4"/>
  <c r="D10655" i="4"/>
  <c r="D2817" i="4"/>
  <c r="D2247" i="4"/>
  <c r="D347" i="4"/>
  <c r="D8654" i="4"/>
  <c r="D7139" i="4"/>
  <c r="D13746" i="4"/>
  <c r="D3686" i="4"/>
  <c r="D2398" i="4"/>
  <c r="D9519" i="4"/>
  <c r="D11770" i="4"/>
  <c r="D3069" i="4"/>
  <c r="D4524" i="4"/>
  <c r="D7138" i="4"/>
  <c r="D6123" i="4"/>
  <c r="D10269" i="4"/>
  <c r="D15191" i="4"/>
  <c r="D9518" i="4"/>
  <c r="D10615" i="4"/>
  <c r="D9979" i="4"/>
  <c r="D8653" i="4"/>
  <c r="D5148" i="4"/>
  <c r="D3685" i="4"/>
  <c r="D9267" i="4"/>
  <c r="D12793" i="4"/>
  <c r="D1383" i="4"/>
  <c r="D1117" i="4"/>
  <c r="D13745" i="4"/>
  <c r="D13129" i="4"/>
  <c r="D10732" i="4"/>
  <c r="D2397" i="4"/>
  <c r="D9517" i="4"/>
  <c r="D593" i="4"/>
  <c r="D922" i="4"/>
  <c r="D368" i="4"/>
  <c r="D11351" i="4"/>
  <c r="D6122" i="4"/>
  <c r="D11607" i="4"/>
  <c r="D2142" i="4"/>
  <c r="D9852" i="4"/>
  <c r="D3684" i="4"/>
  <c r="D15659" i="4"/>
  <c r="D10962" i="4"/>
  <c r="D6363" i="4"/>
  <c r="D10648" i="4"/>
  <c r="D9516" i="4"/>
  <c r="D8652" i="4"/>
  <c r="D2698" i="4"/>
  <c r="D1189" i="4"/>
  <c r="D881" i="4"/>
  <c r="D822" i="4"/>
  <c r="D197" i="4"/>
  <c r="D6121" i="4"/>
  <c r="D7219" i="4"/>
  <c r="D3161" i="4"/>
  <c r="D821" i="4"/>
  <c r="D3683" i="4"/>
  <c r="D10268" i="4"/>
  <c r="D1382" i="4"/>
  <c r="D3682" i="4"/>
  <c r="D11826" i="4"/>
  <c r="D8651" i="4"/>
  <c r="D3160" i="4"/>
  <c r="D4864" i="4"/>
  <c r="D820" i="4"/>
  <c r="D11114" i="4"/>
  <c r="D29" i="4"/>
  <c r="D13445" i="4"/>
  <c r="D3681" i="4"/>
  <c r="D15658" i="4"/>
  <c r="D819" i="4"/>
  <c r="D11900" i="4"/>
  <c r="D5035" i="4"/>
  <c r="D9515" i="4"/>
  <c r="D12720" i="4"/>
  <c r="D3680" i="4"/>
  <c r="D2240" i="4"/>
  <c r="D2999" i="4"/>
  <c r="D14172" i="4"/>
  <c r="D8650" i="4"/>
  <c r="D6922" i="4"/>
  <c r="D14044" i="4"/>
  <c r="D2816" i="4"/>
  <c r="D5977" i="4"/>
  <c r="D13219" i="4"/>
  <c r="D11712" i="4"/>
  <c r="D12971" i="4"/>
  <c r="D14984" i="4"/>
  <c r="D66" i="4"/>
  <c r="D157" i="4"/>
  <c r="D56" i="4"/>
  <c r="D8649" i="4"/>
  <c r="D12496" i="4"/>
  <c r="D4337" i="4"/>
  <c r="D592" i="4"/>
  <c r="D13085" i="4"/>
  <c r="D5449" i="4"/>
  <c r="D13744" i="4"/>
  <c r="D5002" i="4"/>
  <c r="D668" i="4"/>
  <c r="D15190" i="4"/>
  <c r="D10731" i="4"/>
  <c r="D3159" i="4"/>
  <c r="D3679" i="4"/>
  <c r="D5448" i="4"/>
  <c r="D10267" i="4"/>
  <c r="D12178" i="4"/>
  <c r="D969" i="4"/>
  <c r="D5860" i="4"/>
  <c r="D12792" i="4"/>
  <c r="D818" i="4"/>
  <c r="D13743" i="4"/>
  <c r="D154" i="4"/>
  <c r="D5447" i="4"/>
  <c r="D9514" i="4"/>
  <c r="D9513" i="4"/>
  <c r="D11350" i="4"/>
  <c r="D10503" i="4"/>
  <c r="D5446" i="4"/>
  <c r="D5445" i="4"/>
  <c r="D8648" i="4"/>
  <c r="D15657" i="4"/>
  <c r="D591" i="4"/>
  <c r="D12970" i="4"/>
  <c r="D6905" i="4"/>
  <c r="D3158" i="4"/>
  <c r="D11191" i="4"/>
  <c r="D8647" i="4"/>
  <c r="D502" i="4"/>
  <c r="D5444" i="4"/>
  <c r="D8646" i="4"/>
  <c r="D12113" i="4"/>
  <c r="D1589" i="4"/>
  <c r="D12791" i="4"/>
  <c r="D9512" i="4"/>
  <c r="D12719" i="4"/>
  <c r="D590" i="4"/>
  <c r="D1473" i="4"/>
  <c r="D10266" i="4"/>
  <c r="D15282" i="4"/>
  <c r="D11304" i="4"/>
  <c r="D8645" i="4"/>
  <c r="D5443" i="4"/>
  <c r="D5831" i="4"/>
  <c r="D6200" i="4"/>
  <c r="D667" i="4"/>
  <c r="D5442" i="4"/>
  <c r="D6630" i="4"/>
  <c r="D2815" i="4"/>
  <c r="D921" i="4"/>
  <c r="D11537" i="4"/>
  <c r="D8644" i="4"/>
  <c r="D10656" i="4"/>
  <c r="D11612" i="4"/>
  <c r="D4427" i="4"/>
  <c r="D5117" i="4"/>
  <c r="D7237" i="4"/>
  <c r="D5441" i="4"/>
  <c r="D6320" i="4"/>
  <c r="D13377" i="4"/>
  <c r="D1516" i="4"/>
  <c r="D1607" i="4"/>
  <c r="D5440" i="4"/>
  <c r="D11555" i="4"/>
  <c r="D10265" i="4"/>
  <c r="D4448" i="4"/>
  <c r="D589" i="4"/>
  <c r="D666" i="4"/>
  <c r="D2239" i="4"/>
  <c r="D4863" i="4"/>
  <c r="D588" i="4"/>
  <c r="D9245" i="4"/>
  <c r="D6199" i="4"/>
  <c r="D3678" i="4"/>
  <c r="D12790" i="4"/>
  <c r="D4783" i="4"/>
  <c r="D665" i="4"/>
  <c r="D13742" i="4"/>
  <c r="D9511" i="4"/>
  <c r="D9716" i="4"/>
  <c r="D1188" i="4"/>
  <c r="D9510" i="4"/>
  <c r="D10264" i="4"/>
  <c r="D12646" i="4"/>
  <c r="D664" i="4"/>
  <c r="D5714" i="4"/>
  <c r="D3677" i="4"/>
  <c r="D8643" i="4"/>
  <c r="D9509" i="4"/>
  <c r="D6120" i="4"/>
  <c r="D6701" i="4"/>
  <c r="D12917" i="4"/>
  <c r="D11899" i="4"/>
  <c r="D1050" i="4"/>
  <c r="D12177" i="4"/>
  <c r="D10263" i="4"/>
  <c r="D13042" i="4"/>
  <c r="D10653" i="4"/>
  <c r="D9508" i="4"/>
  <c r="D5830" i="4"/>
  <c r="D11711" i="4"/>
  <c r="D13976" i="4"/>
  <c r="D757" i="4"/>
  <c r="D920" i="4"/>
  <c r="D11676" i="4"/>
  <c r="D5713" i="4"/>
  <c r="D919" i="4"/>
  <c r="D10399" i="4"/>
  <c r="D10567" i="4"/>
  <c r="D4825" i="4"/>
  <c r="D5439" i="4"/>
  <c r="D10961" i="4"/>
  <c r="D10262" i="4"/>
  <c r="D12" i="4"/>
  <c r="D5899" i="4"/>
  <c r="D8642" i="4"/>
  <c r="D95" i="4"/>
  <c r="D5847" i="4"/>
  <c r="D5438" i="4"/>
  <c r="D4862" i="4"/>
  <c r="D11675" i="4"/>
  <c r="D3968" i="4"/>
  <c r="D6337" i="4"/>
  <c r="D12008" i="4"/>
  <c r="D9507" i="4"/>
  <c r="D5437" i="4"/>
  <c r="D2396" i="4"/>
  <c r="D4886" i="4"/>
  <c r="D6824" i="4"/>
  <c r="D12789" i="4"/>
  <c r="D10261" i="4"/>
  <c r="D11730" i="4"/>
  <c r="D663" i="4"/>
  <c r="D10911" i="4"/>
  <c r="D5436" i="4"/>
  <c r="D210" i="4"/>
  <c r="D6966" i="4"/>
  <c r="D1381" i="4"/>
  <c r="D5435" i="4"/>
  <c r="D4679" i="4"/>
  <c r="D12332" i="4"/>
  <c r="D13254" i="4"/>
  <c r="D12331" i="4"/>
  <c r="D12330" i="4"/>
  <c r="D11898" i="4"/>
  <c r="D3676" i="4"/>
  <c r="D7137" i="4"/>
  <c r="D12329" i="4"/>
  <c r="D12693" i="4"/>
  <c r="D15577" i="4"/>
  <c r="D12731" i="4"/>
  <c r="D4527" i="4"/>
  <c r="D8641" i="4"/>
  <c r="D12328" i="4"/>
  <c r="D918" i="4"/>
  <c r="D2814" i="4"/>
  <c r="D4440" i="4"/>
  <c r="D5016" i="4"/>
  <c r="D8640" i="4"/>
  <c r="D1691" i="4"/>
  <c r="D13741" i="4"/>
  <c r="D1187" i="4"/>
  <c r="D14983" i="4"/>
  <c r="D7095" i="4"/>
  <c r="D1954" i="4"/>
  <c r="D7136" i="4"/>
  <c r="D12327" i="4"/>
  <c r="D11536" i="4"/>
  <c r="D12788" i="4"/>
  <c r="D15433" i="4"/>
  <c r="D4439" i="4"/>
  <c r="D3675" i="4"/>
  <c r="D10960" i="4"/>
  <c r="D12326" i="4"/>
  <c r="D662" i="4"/>
  <c r="D13933" i="4"/>
  <c r="D9506" i="4"/>
  <c r="D5434" i="4"/>
  <c r="D13942" i="4"/>
  <c r="D817" i="4"/>
  <c r="D5097" i="4"/>
  <c r="D521" i="4"/>
  <c r="D11983" i="4"/>
  <c r="D6965" i="4"/>
  <c r="D1380" i="4"/>
  <c r="D10260" i="4"/>
  <c r="D816" i="4"/>
  <c r="D13287" i="4"/>
  <c r="D13740" i="4"/>
  <c r="D6823" i="4"/>
  <c r="D7067" i="4"/>
  <c r="D14820" i="4"/>
  <c r="D15189" i="4"/>
  <c r="D6119" i="4"/>
  <c r="D3157" i="4"/>
  <c r="D1186" i="4"/>
  <c r="D12325" i="4"/>
  <c r="D12324" i="4"/>
  <c r="D2942" i="4"/>
  <c r="D148" i="4"/>
  <c r="D10259" i="4"/>
  <c r="D9995" i="4"/>
  <c r="D2395" i="4"/>
  <c r="D5433" i="4"/>
  <c r="D9505" i="4"/>
  <c r="D10809" i="4"/>
  <c r="D3674" i="4"/>
  <c r="D10258" i="4"/>
  <c r="D1049" i="4"/>
  <c r="D12323" i="4"/>
  <c r="D14214" i="4"/>
  <c r="D14632" i="4"/>
  <c r="D11515" i="4"/>
  <c r="D12322" i="4"/>
  <c r="D10484" i="4"/>
  <c r="D14773" i="4"/>
  <c r="D10257" i="4"/>
  <c r="D13931" i="4"/>
  <c r="D11040" i="4"/>
  <c r="D11190" i="4"/>
  <c r="D14572" i="4"/>
  <c r="D9971" i="4"/>
  <c r="D10483" i="4"/>
  <c r="D661" i="4"/>
  <c r="D3673" i="4"/>
  <c r="D13176" i="4"/>
  <c r="D11349" i="4"/>
  <c r="D11769" i="4"/>
  <c r="D1596" i="4"/>
  <c r="D10698" i="4"/>
  <c r="D40" i="4"/>
  <c r="D11039" i="4"/>
  <c r="D146" i="4"/>
  <c r="D151" i="4"/>
  <c r="D5859" i="4"/>
  <c r="D31" i="4"/>
  <c r="D12110" i="4"/>
  <c r="D11768" i="4"/>
  <c r="D5432" i="4"/>
  <c r="D159" i="4"/>
  <c r="D917" i="4"/>
  <c r="D1588" i="4"/>
  <c r="D2112" i="4"/>
  <c r="D968" i="4"/>
  <c r="D9504" i="4"/>
  <c r="D9911" i="4"/>
  <c r="D12867" i="4"/>
  <c r="D11674" i="4"/>
  <c r="D2249" i="4"/>
  <c r="D2512" i="4"/>
  <c r="D1048" i="4"/>
  <c r="D193" i="4"/>
  <c r="D13041" i="4"/>
  <c r="D5431" i="4"/>
  <c r="D402" i="4"/>
  <c r="D5430" i="4"/>
  <c r="D2394" i="4"/>
  <c r="D2153" i="4"/>
  <c r="D13084" i="4"/>
  <c r="D3672" i="4"/>
  <c r="D4782" i="4"/>
  <c r="D1075" i="4"/>
  <c r="D10702" i="4"/>
  <c r="D3671" i="4"/>
  <c r="D10697" i="4"/>
  <c r="D12321" i="4"/>
  <c r="D10654" i="4"/>
  <c r="D9503" i="4"/>
  <c r="D6271" i="4"/>
  <c r="D15014" i="4"/>
  <c r="D6790" i="4"/>
  <c r="D6270" i="4"/>
  <c r="D5429" i="4"/>
  <c r="D4076" i="4"/>
  <c r="D13100" i="4"/>
  <c r="D6205" i="4"/>
  <c r="D9977" i="4"/>
  <c r="D13444" i="4"/>
  <c r="D815" i="4"/>
  <c r="D501" i="4"/>
  <c r="D6204" i="4"/>
  <c r="D5976" i="4"/>
  <c r="D13975" i="4"/>
  <c r="D8639" i="4"/>
  <c r="D6727" i="4"/>
  <c r="D11189" i="4"/>
  <c r="D10959" i="4"/>
  <c r="D4228" i="4"/>
  <c r="D11615" i="4"/>
  <c r="D880" i="4"/>
  <c r="D4005" i="4"/>
  <c r="D6994" i="4"/>
  <c r="D9502" i="4"/>
  <c r="D3670" i="4"/>
  <c r="D11767" i="4"/>
  <c r="D6118" i="4"/>
  <c r="D5428" i="4"/>
  <c r="D1911" i="4"/>
  <c r="D5427" i="4"/>
  <c r="D12320" i="4"/>
  <c r="D587" i="4"/>
  <c r="D1379" i="4"/>
  <c r="D34" i="4"/>
  <c r="D15432" i="4"/>
  <c r="D3263" i="4"/>
  <c r="D5001" i="4"/>
  <c r="D6904" i="4"/>
  <c r="D11235" i="4"/>
  <c r="D11897" i="4"/>
  <c r="D967" i="4"/>
  <c r="D13739" i="4"/>
  <c r="D4392" i="4"/>
  <c r="D14590" i="4"/>
  <c r="D15188" i="4"/>
  <c r="D367" i="4"/>
  <c r="D11503" i="4"/>
  <c r="D4519" i="4"/>
  <c r="D8638" i="4"/>
  <c r="D5426" i="4"/>
  <c r="D11348" i="4"/>
  <c r="D116" i="4"/>
  <c r="D6903" i="4"/>
  <c r="D5425" i="4"/>
  <c r="D10614" i="4"/>
  <c r="D1755" i="4"/>
  <c r="D51" i="4"/>
  <c r="D5424" i="4"/>
  <c r="D11395" i="4"/>
  <c r="D2393" i="4"/>
  <c r="D174" i="4"/>
  <c r="D126" i="4"/>
  <c r="D8637" i="4"/>
  <c r="D8636" i="4"/>
  <c r="D2813" i="4"/>
  <c r="D11535" i="4"/>
  <c r="D156" i="4"/>
  <c r="D6557" i="4"/>
  <c r="D5423" i="4"/>
  <c r="D12319" i="4"/>
  <c r="D6316" i="4"/>
  <c r="D6336" i="4"/>
  <c r="D1378" i="4"/>
  <c r="D5677" i="4"/>
  <c r="D13738" i="4"/>
  <c r="D9501" i="4"/>
  <c r="D1574" i="4"/>
  <c r="D12611" i="4"/>
  <c r="D14468" i="4"/>
  <c r="D10392" i="4"/>
  <c r="D2123" i="4"/>
  <c r="D11484" i="4"/>
  <c r="D4824" i="4"/>
  <c r="D1377" i="4"/>
  <c r="D223" i="4"/>
  <c r="D966" i="4"/>
  <c r="D1047" i="4"/>
  <c r="D13737" i="4"/>
  <c r="D8635" i="4"/>
  <c r="D12718" i="4"/>
  <c r="D12787" i="4"/>
  <c r="D2392" i="4"/>
  <c r="D11347" i="4"/>
  <c r="D3669" i="4"/>
  <c r="D11725" i="4"/>
  <c r="D9500" i="4"/>
  <c r="D186" i="4"/>
  <c r="D7135" i="4"/>
  <c r="D6789" i="4"/>
  <c r="D11" i="4"/>
  <c r="D4426" i="4"/>
  <c r="D1185" i="4"/>
  <c r="D105" i="4"/>
  <c r="D8634" i="4"/>
  <c r="D10730" i="4"/>
  <c r="D8633" i="4"/>
  <c r="D7260" i="4"/>
  <c r="D26" i="4"/>
  <c r="D660" i="4"/>
  <c r="D13736" i="4"/>
  <c r="D13941" i="4"/>
  <c r="D11346" i="4"/>
  <c r="D1074" i="4"/>
  <c r="D659" i="4"/>
  <c r="D10" i="4"/>
  <c r="D5422" i="4"/>
  <c r="D1995" i="4"/>
  <c r="D10810" i="4"/>
  <c r="D3668" i="4"/>
  <c r="D1690" i="4"/>
  <c r="D1515" i="4"/>
  <c r="D5975" i="4"/>
  <c r="D916" i="4"/>
  <c r="D13443" i="4"/>
  <c r="D15656" i="4"/>
  <c r="D14819" i="4"/>
  <c r="D3156" i="4"/>
  <c r="D1479" i="4"/>
  <c r="D2391" i="4"/>
  <c r="D5421" i="4"/>
  <c r="D3667" i="4"/>
  <c r="D37" i="4"/>
  <c r="D85" i="4"/>
  <c r="D103" i="4"/>
  <c r="D7218" i="4"/>
  <c r="D11896" i="4"/>
  <c r="D13362" i="4"/>
  <c r="D6403" i="4"/>
  <c r="D11483" i="4"/>
  <c r="D13735" i="4"/>
  <c r="D13335" i="4"/>
  <c r="D3974" i="4"/>
  <c r="D5420" i="4"/>
  <c r="D14709" i="4"/>
  <c r="D2390" i="4"/>
  <c r="D90" i="4"/>
  <c r="D161" i="4"/>
  <c r="D965" i="4"/>
  <c r="D13253" i="4"/>
  <c r="D10842" i="4"/>
  <c r="D4518" i="4"/>
  <c r="D15431" i="4"/>
  <c r="D8632" i="4"/>
  <c r="D12893" i="4"/>
  <c r="D5419" i="4"/>
  <c r="D9894" i="4"/>
  <c r="D6672" i="4"/>
  <c r="D1092" i="4"/>
  <c r="D9499" i="4"/>
  <c r="D84" i="4"/>
  <c r="D4021" i="4"/>
  <c r="D6269" i="4"/>
  <c r="D4111" i="4"/>
  <c r="D12318" i="4"/>
  <c r="D13442" i="4"/>
  <c r="D5418" i="4"/>
  <c r="D183" i="4"/>
  <c r="D964" i="4"/>
  <c r="D13376" i="4"/>
  <c r="D2199" i="4"/>
  <c r="D94" i="4"/>
  <c r="D4781" i="4"/>
  <c r="D5417" i="4"/>
  <c r="D2389" i="4"/>
  <c r="D9498" i="4"/>
  <c r="D12317" i="4"/>
  <c r="D21" i="4"/>
  <c r="D10841" i="4"/>
  <c r="D9497" i="4"/>
  <c r="D6117" i="4"/>
  <c r="D6116" i="4"/>
  <c r="D7232" i="4"/>
  <c r="D9496" i="4"/>
  <c r="D4081" i="4"/>
  <c r="D10696" i="4"/>
  <c r="D12562" i="4"/>
  <c r="D963" i="4"/>
  <c r="D4488" i="4"/>
  <c r="D4258" i="4"/>
  <c r="D12561" i="4"/>
  <c r="D2388" i="4"/>
  <c r="D4205" i="4"/>
  <c r="D5416" i="4"/>
  <c r="D1091" i="4"/>
  <c r="D9736" i="4"/>
  <c r="D63" i="4"/>
  <c r="D10658" i="4"/>
  <c r="D9495" i="4"/>
  <c r="D10722" i="4"/>
  <c r="D15597" i="4"/>
  <c r="D3666" i="4"/>
  <c r="D1285" i="4"/>
  <c r="D5415" i="4"/>
  <c r="D15107" i="4"/>
  <c r="D13734" i="4"/>
  <c r="D488" i="4"/>
  <c r="D4395" i="4"/>
  <c r="D5096" i="4"/>
  <c r="D8631" i="4"/>
  <c r="D11554" i="4"/>
  <c r="D13252" i="4"/>
  <c r="D1116" i="4"/>
  <c r="D13441" i="4"/>
  <c r="D4204" i="4"/>
  <c r="D6712" i="4"/>
  <c r="D8630" i="4"/>
  <c r="D10647" i="4"/>
  <c r="D6115" i="4"/>
  <c r="D6902" i="4"/>
  <c r="D915" i="4"/>
  <c r="D140" i="4"/>
  <c r="D4257" i="4"/>
  <c r="D9719" i="4"/>
  <c r="D914" i="4"/>
  <c r="D15588" i="4"/>
  <c r="D4425" i="4"/>
  <c r="D4649" i="4"/>
  <c r="D48" i="4"/>
  <c r="D47" i="4"/>
  <c r="D8629" i="4"/>
  <c r="D13733" i="4"/>
  <c r="D15655" i="4"/>
  <c r="D7250" i="4"/>
  <c r="D46" i="4"/>
  <c r="D1605" i="4"/>
  <c r="D6315" i="4"/>
  <c r="D8628" i="4"/>
  <c r="D9494" i="4"/>
  <c r="D1603" i="4"/>
  <c r="D9876" i="4"/>
  <c r="D10256" i="4"/>
  <c r="D1472" i="4"/>
  <c r="D7291" i="4"/>
  <c r="D5414" i="4"/>
  <c r="D9493" i="4"/>
  <c r="D12316" i="4"/>
  <c r="D10958" i="4"/>
  <c r="D2387" i="4"/>
  <c r="D12315" i="4"/>
  <c r="D2386" i="4"/>
  <c r="D9492" i="4"/>
  <c r="D9851" i="4"/>
  <c r="D11409" i="4"/>
  <c r="D1614" i="4"/>
  <c r="D14995" i="4"/>
  <c r="D14546" i="4"/>
  <c r="D3665" i="4"/>
  <c r="D9491" i="4"/>
  <c r="D10912" i="4"/>
  <c r="D3664" i="4"/>
  <c r="D1184" i="4"/>
  <c r="D2627" i="4"/>
  <c r="D14913" i="4"/>
  <c r="D2626" i="4"/>
  <c r="D2625" i="4"/>
  <c r="D2624" i="4"/>
  <c r="D2623" i="4"/>
  <c r="D5712" i="4"/>
  <c r="D2622" i="4"/>
  <c r="D2231" i="4"/>
  <c r="D2621" i="4"/>
  <c r="D2385" i="4"/>
  <c r="D2620" i="4"/>
  <c r="D8627" i="4"/>
  <c r="D255" i="4"/>
  <c r="D13732" i="4"/>
  <c r="D7249" i="4"/>
  <c r="D9490" i="4"/>
  <c r="D6964" i="4"/>
  <c r="D1376" i="4"/>
  <c r="D8626" i="4"/>
  <c r="D5676" i="4"/>
  <c r="D12176" i="4"/>
  <c r="D13880" i="4"/>
  <c r="D3663" i="4"/>
  <c r="D2619" i="4"/>
  <c r="D9489" i="4"/>
  <c r="D15187" i="4"/>
  <c r="D6268" i="4"/>
  <c r="D6267" i="4"/>
  <c r="D2230" i="4"/>
  <c r="D6333" i="4"/>
  <c r="D2618" i="4"/>
  <c r="D12175" i="4"/>
  <c r="D11895" i="4"/>
  <c r="D6698" i="4"/>
  <c r="D11345" i="4"/>
  <c r="D14912" i="4"/>
  <c r="D11482" i="4"/>
  <c r="D15430" i="4"/>
  <c r="D545" i="4"/>
  <c r="D11081" i="4"/>
  <c r="D11566" i="4"/>
  <c r="D2384" i="4"/>
  <c r="D7248" i="4"/>
  <c r="D11080" i="4"/>
  <c r="D9488" i="4"/>
  <c r="D12560" i="4"/>
  <c r="D254" i="4"/>
  <c r="D9487" i="4"/>
  <c r="D15614" i="4"/>
  <c r="D5413" i="4"/>
  <c r="D12051" i="4"/>
  <c r="D9940" i="4"/>
  <c r="D15429" i="4"/>
  <c r="D10391" i="4"/>
  <c r="D15428" i="4"/>
  <c r="D15427" i="4"/>
  <c r="D15426" i="4"/>
  <c r="D15425" i="4"/>
  <c r="D3662" i="4"/>
  <c r="D2383" i="4"/>
  <c r="D12643" i="4"/>
  <c r="D13997" i="4"/>
  <c r="D6266" i="4"/>
  <c r="D4974" i="4"/>
  <c r="D8625" i="4"/>
  <c r="D9486" i="4"/>
  <c r="D15609" i="4"/>
  <c r="D359" i="4"/>
  <c r="D2617" i="4"/>
  <c r="D9485" i="4"/>
  <c r="D8624" i="4"/>
  <c r="D253" i="4"/>
  <c r="D3029" i="4"/>
  <c r="D3661" i="4"/>
  <c r="D11894" i="4"/>
  <c r="D2812" i="4"/>
  <c r="D15424" i="4"/>
  <c r="D11825" i="4"/>
  <c r="D10566" i="4"/>
  <c r="D10255" i="4"/>
  <c r="D2208" i="4"/>
  <c r="D4922" i="4"/>
  <c r="D4456" i="4"/>
  <c r="D9939" i="4"/>
  <c r="D6726" i="4"/>
  <c r="D5412" i="4"/>
  <c r="D12610" i="4"/>
  <c r="D13879" i="4"/>
  <c r="D3660" i="4"/>
  <c r="D544" i="4"/>
  <c r="D12786" i="4"/>
  <c r="D2811" i="4"/>
  <c r="D6265" i="4"/>
  <c r="D283" i="4"/>
  <c r="D6500" i="4"/>
  <c r="D1648" i="4"/>
  <c r="D15423" i="4"/>
  <c r="D5411" i="4"/>
  <c r="D5974" i="4"/>
  <c r="D5410" i="4"/>
  <c r="D4921" i="4"/>
  <c r="D7077" i="4"/>
  <c r="D10565" i="4"/>
  <c r="D15422" i="4"/>
  <c r="D2616" i="4"/>
  <c r="D15421" i="4"/>
  <c r="D10455" i="4"/>
  <c r="D12225" i="4"/>
  <c r="D12609" i="4"/>
  <c r="D13251" i="4"/>
  <c r="D7109" i="4"/>
  <c r="D9484" i="4"/>
  <c r="D9483" i="4"/>
  <c r="D5793" i="4"/>
  <c r="D14911" i="4"/>
  <c r="D10254" i="4"/>
  <c r="D5409" i="4"/>
  <c r="D15592" i="4"/>
  <c r="D2382" i="4"/>
  <c r="D11262" i="4"/>
  <c r="D7247" i="4"/>
  <c r="D12212" i="4"/>
  <c r="D12129" i="4"/>
  <c r="D2076" i="4"/>
  <c r="D3659" i="4"/>
  <c r="D14759" i="4"/>
  <c r="D4624" i="4"/>
  <c r="D8623" i="4"/>
  <c r="D15420" i="4"/>
  <c r="D2540" i="4"/>
  <c r="D2615" i="4"/>
  <c r="D15419" i="4"/>
  <c r="D2170" i="4"/>
  <c r="D11188" i="4"/>
  <c r="D6725" i="4"/>
  <c r="D9875" i="4"/>
  <c r="D3658" i="4"/>
  <c r="D8622" i="4"/>
  <c r="D9482" i="4"/>
  <c r="D10864" i="4"/>
  <c r="D5408" i="4"/>
  <c r="D2539" i="4"/>
  <c r="D15186" i="4"/>
  <c r="D4623" i="4"/>
  <c r="D10749" i="4"/>
  <c r="D11261" i="4"/>
  <c r="D15591" i="4"/>
  <c r="D8621" i="4"/>
  <c r="D10253" i="4"/>
  <c r="D10252" i="4"/>
  <c r="D10007" i="4"/>
  <c r="D15185" i="4"/>
  <c r="D12128" i="4"/>
  <c r="D10251" i="4"/>
  <c r="D11733" i="4"/>
  <c r="D6264" i="4"/>
  <c r="D4920" i="4"/>
  <c r="D1514" i="4"/>
  <c r="D13731" i="4"/>
  <c r="D1844" i="4"/>
  <c r="D15418" i="4"/>
  <c r="D8620" i="4"/>
  <c r="D9874" i="4"/>
  <c r="D10800" i="4"/>
  <c r="D2810" i="4"/>
  <c r="D5792" i="4"/>
  <c r="D10669" i="4"/>
  <c r="D15082" i="4"/>
  <c r="D5407" i="4"/>
  <c r="D5406" i="4"/>
  <c r="D4590" i="4"/>
  <c r="D5405" i="4"/>
  <c r="D15417" i="4"/>
  <c r="D6263" i="4"/>
  <c r="D11038" i="4"/>
  <c r="D10250" i="4"/>
  <c r="D9481" i="4"/>
  <c r="D10564" i="4"/>
  <c r="D8619" i="4"/>
  <c r="D11187" i="4"/>
  <c r="D10799" i="4"/>
  <c r="D13334" i="4"/>
  <c r="D6262" i="4"/>
  <c r="D15416" i="4"/>
  <c r="D8618" i="4"/>
  <c r="D3657" i="4"/>
  <c r="D14702" i="4"/>
  <c r="D3656" i="4"/>
  <c r="D11481" i="4"/>
  <c r="D13250" i="4"/>
  <c r="D12050" i="4"/>
  <c r="D8617" i="4"/>
  <c r="D13333" i="4"/>
  <c r="D11394" i="4"/>
  <c r="D15415" i="4"/>
  <c r="D339" i="4"/>
  <c r="D5139" i="4"/>
  <c r="D12785" i="4"/>
  <c r="D12784" i="4"/>
  <c r="D8616" i="4"/>
  <c r="D14646" i="4"/>
  <c r="D8615" i="4"/>
  <c r="D8614" i="4"/>
  <c r="D12049" i="4"/>
  <c r="D6473" i="4"/>
  <c r="D8613" i="4"/>
  <c r="D8612" i="4"/>
  <c r="D5791" i="4"/>
  <c r="D2809" i="4"/>
  <c r="D14247" i="4"/>
  <c r="D11824" i="4"/>
  <c r="D10249" i="4"/>
  <c r="D8611" i="4"/>
  <c r="D8610" i="4"/>
  <c r="D385" i="4"/>
  <c r="D11393" i="4"/>
  <c r="D5116" i="4"/>
  <c r="D11823" i="4"/>
  <c r="D2381" i="4"/>
  <c r="D4973" i="4"/>
  <c r="D11822" i="4"/>
  <c r="D12666" i="4"/>
  <c r="D12048" i="4"/>
  <c r="D4353" i="4"/>
  <c r="D11186" i="4"/>
  <c r="D12174" i="4"/>
  <c r="D2380" i="4"/>
  <c r="D11251" i="4"/>
  <c r="D11766" i="4"/>
  <c r="D6963" i="4"/>
  <c r="D1375" i="4"/>
  <c r="D3655" i="4"/>
  <c r="D10563" i="4"/>
  <c r="D9480" i="4"/>
  <c r="D11185" i="4"/>
  <c r="D8609" i="4"/>
  <c r="D6579" i="4"/>
  <c r="D10472" i="4"/>
  <c r="D12047" i="4"/>
  <c r="D2538" i="4"/>
  <c r="D6847" i="4"/>
  <c r="D5404" i="4"/>
  <c r="D7134" i="4"/>
  <c r="D13249" i="4"/>
  <c r="D12246" i="4"/>
  <c r="D13440" i="4"/>
  <c r="D962" i="4"/>
  <c r="D11184" i="4"/>
  <c r="D15184" i="4"/>
  <c r="D12783" i="4"/>
  <c r="D15275" i="4"/>
  <c r="D2379" i="4"/>
  <c r="D3155" i="4"/>
  <c r="D8608" i="4"/>
  <c r="D6114" i="4"/>
  <c r="D2998" i="4"/>
  <c r="D2997" i="4"/>
  <c r="D8607" i="4"/>
  <c r="D7239" i="4"/>
  <c r="D8606" i="4"/>
  <c r="D8605" i="4"/>
  <c r="D10006" i="4"/>
  <c r="D12782" i="4"/>
  <c r="D6647" i="4"/>
  <c r="D6261" i="4"/>
  <c r="D6260" i="4"/>
  <c r="D12507" i="4"/>
  <c r="D282" i="4"/>
  <c r="D14213" i="4"/>
  <c r="D5403" i="4"/>
  <c r="D8604" i="4"/>
  <c r="D3654" i="4"/>
  <c r="D11821" i="4"/>
  <c r="D2378" i="4"/>
  <c r="D2377" i="4"/>
  <c r="D8603" i="4"/>
  <c r="D8602" i="4"/>
  <c r="D10248" i="4"/>
  <c r="D6472" i="4"/>
  <c r="D8601" i="4"/>
  <c r="D8600" i="4"/>
  <c r="D8599" i="4"/>
  <c r="D14087" i="4"/>
  <c r="D5790" i="4"/>
  <c r="D226" i="4"/>
  <c r="D7062" i="4"/>
  <c r="D10957" i="4"/>
  <c r="D15654" i="4"/>
  <c r="D15183" i="4"/>
  <c r="D7246" i="4"/>
  <c r="D7133" i="4"/>
  <c r="D6362" i="4"/>
  <c r="D4979" i="4"/>
  <c r="D9479" i="4"/>
  <c r="D12781" i="4"/>
  <c r="D15182" i="4"/>
  <c r="D6113" i="4"/>
  <c r="D8598" i="4"/>
  <c r="D3154" i="4"/>
  <c r="D12245" i="4"/>
  <c r="D3653" i="4"/>
  <c r="D2376" i="4"/>
  <c r="D10247" i="4"/>
  <c r="D4605" i="4"/>
  <c r="D5898" i="4"/>
  <c r="D14910" i="4"/>
  <c r="D3652" i="4"/>
  <c r="D12046" i="4"/>
  <c r="D4622" i="4"/>
  <c r="D13730" i="4"/>
  <c r="D14185" i="4"/>
  <c r="D4487" i="4"/>
  <c r="D4042" i="4"/>
  <c r="D9478" i="4"/>
  <c r="D14212" i="4"/>
  <c r="D4486" i="4"/>
  <c r="D14211" i="4"/>
  <c r="D12922" i="4"/>
  <c r="D4725" i="4"/>
  <c r="D5402" i="4"/>
  <c r="D500" i="4"/>
  <c r="D2808" i="4"/>
  <c r="D6846" i="4"/>
  <c r="D8597" i="4"/>
  <c r="D12045" i="4"/>
  <c r="D5150" i="4"/>
  <c r="D9873" i="4"/>
  <c r="D14620" i="4"/>
  <c r="D9477" i="4"/>
  <c r="D15414" i="4"/>
  <c r="D12780" i="4"/>
  <c r="D15181" i="4"/>
  <c r="D15413" i="4"/>
  <c r="D5401" i="4"/>
  <c r="D8596" i="4"/>
  <c r="D1440" i="4"/>
  <c r="D6471" i="4"/>
  <c r="D2537" i="4"/>
  <c r="D10814" i="4"/>
  <c r="D14210" i="4"/>
  <c r="D1284" i="4"/>
  <c r="D10684" i="4"/>
  <c r="D5897" i="4"/>
  <c r="D8595" i="4"/>
  <c r="D4485" i="4"/>
  <c r="D1439" i="4"/>
  <c r="D1283" i="4"/>
  <c r="D6112" i="4"/>
  <c r="D8594" i="4"/>
  <c r="D8593" i="4"/>
  <c r="D8592" i="4"/>
  <c r="D8591" i="4"/>
  <c r="D12665" i="4"/>
  <c r="D6259" i="4"/>
  <c r="D6697" i="4"/>
  <c r="D6258" i="4"/>
  <c r="D2807" i="4"/>
  <c r="D3651" i="4"/>
  <c r="D13175" i="4"/>
  <c r="D11392" i="4"/>
  <c r="D7245" i="4"/>
  <c r="D3153" i="4"/>
  <c r="D4663" i="4"/>
  <c r="D11480" i="4"/>
  <c r="D14909" i="4"/>
  <c r="D3245" i="4"/>
  <c r="D12224" i="4"/>
  <c r="D9994" i="4"/>
  <c r="D238" i="4"/>
  <c r="D2996" i="4"/>
  <c r="D2995" i="4"/>
  <c r="D4611" i="4"/>
  <c r="D14908" i="4"/>
  <c r="D13729" i="4"/>
  <c r="D4919" i="4"/>
  <c r="D4589" i="4"/>
  <c r="D1843" i="4"/>
  <c r="D8590" i="4"/>
  <c r="D3933" i="4"/>
  <c r="D6257" i="4"/>
  <c r="D338" i="4"/>
  <c r="D5711" i="4"/>
  <c r="D13248" i="4"/>
  <c r="D8589" i="4"/>
  <c r="D2111" i="4"/>
  <c r="D8588" i="4"/>
  <c r="D5400" i="4"/>
  <c r="D2375" i="4"/>
  <c r="D12779" i="4"/>
  <c r="D10856" i="4"/>
  <c r="D10246" i="4"/>
  <c r="D1561" i="4"/>
  <c r="D8587" i="4"/>
  <c r="D10245" i="4"/>
  <c r="D7024" i="4"/>
  <c r="D7056" i="4"/>
  <c r="D8586" i="4"/>
  <c r="D15412" i="4"/>
  <c r="D5858" i="4"/>
  <c r="D2536" i="4"/>
  <c r="D11344" i="4"/>
  <c r="D15411" i="4"/>
  <c r="D15410" i="4"/>
  <c r="D14740" i="4"/>
  <c r="D15409" i="4"/>
  <c r="D5789" i="4"/>
  <c r="D12044" i="4"/>
  <c r="D558" i="4"/>
  <c r="D6901" i="4"/>
  <c r="D15408" i="4"/>
  <c r="D6361" i="4"/>
  <c r="D1282" i="4"/>
  <c r="D4380" i="4"/>
  <c r="D11893" i="4"/>
  <c r="D6111" i="4"/>
  <c r="D8585" i="4"/>
  <c r="D15407" i="4"/>
  <c r="D6360" i="4"/>
  <c r="D10434" i="4"/>
  <c r="D5399" i="4"/>
  <c r="D8584" i="4"/>
  <c r="D3650" i="4"/>
  <c r="D8583" i="4"/>
  <c r="D15180" i="4"/>
  <c r="D1953" i="4"/>
  <c r="D12043" i="4"/>
  <c r="D5398" i="4"/>
  <c r="D12778" i="4"/>
  <c r="D2806" i="4"/>
  <c r="D5397" i="4"/>
  <c r="D2614" i="4"/>
  <c r="D10768" i="4"/>
  <c r="D6359" i="4"/>
  <c r="D1647" i="4"/>
  <c r="D3961" i="4"/>
  <c r="D11765" i="4"/>
  <c r="D9886" i="4"/>
  <c r="D8582" i="4"/>
  <c r="D8581" i="4"/>
  <c r="D15179" i="4"/>
  <c r="D5186" i="4"/>
  <c r="D10683" i="4"/>
  <c r="D3649" i="4"/>
  <c r="D14209" i="4"/>
  <c r="D4588" i="4"/>
  <c r="D5115" i="4"/>
  <c r="D13247" i="4"/>
  <c r="D15178" i="4"/>
  <c r="D2973" i="4"/>
  <c r="D13332" i="4"/>
  <c r="D12503" i="4"/>
  <c r="D5396" i="4"/>
  <c r="D13246" i="4"/>
  <c r="D14818" i="4"/>
  <c r="D8580" i="4"/>
  <c r="D14208" i="4"/>
  <c r="D15177" i="4"/>
  <c r="D4948" i="4"/>
  <c r="D5076" i="4"/>
  <c r="D8579" i="4"/>
  <c r="D8578" i="4"/>
  <c r="D10244" i="4"/>
  <c r="D12042" i="4"/>
  <c r="D13728" i="4"/>
  <c r="D4484" i="4"/>
  <c r="D2535" i="4"/>
  <c r="D12109" i="4"/>
  <c r="D8577" i="4"/>
  <c r="D9476" i="4"/>
  <c r="D490" i="4"/>
  <c r="D14207" i="4"/>
  <c r="D9475" i="4"/>
  <c r="D12127" i="4"/>
  <c r="D13128" i="4"/>
  <c r="D6556" i="4"/>
  <c r="D9474" i="4"/>
  <c r="D8576" i="4"/>
  <c r="D14907" i="4"/>
  <c r="D12866" i="4"/>
  <c r="D11673" i="4"/>
  <c r="D7132" i="4"/>
  <c r="D5857" i="4"/>
  <c r="D9473" i="4"/>
  <c r="D12041" i="4"/>
  <c r="D1842" i="4"/>
  <c r="D6694" i="4"/>
  <c r="D12314" i="4"/>
  <c r="D6256" i="4"/>
  <c r="D2374" i="4"/>
  <c r="D15653" i="4"/>
  <c r="D6358" i="4"/>
  <c r="D7055" i="4"/>
  <c r="D961" i="4"/>
  <c r="D5034" i="4"/>
  <c r="D11283" i="4"/>
  <c r="D11892" i="4"/>
  <c r="D11891" i="4"/>
  <c r="D281" i="4"/>
  <c r="D5395" i="4"/>
  <c r="D6110" i="4"/>
  <c r="D12313" i="4"/>
  <c r="D9472" i="4"/>
  <c r="D3648" i="4"/>
  <c r="D8575" i="4"/>
  <c r="D5896" i="4"/>
  <c r="D12777" i="4"/>
  <c r="D5394" i="4"/>
  <c r="D8574" i="4"/>
  <c r="D1494" i="4"/>
  <c r="D6470" i="4"/>
  <c r="D7131" i="4"/>
  <c r="D10613" i="4"/>
  <c r="D13878" i="4"/>
  <c r="D8573" i="4"/>
  <c r="D8572" i="4"/>
  <c r="D10243" i="4"/>
  <c r="D11296" i="4"/>
  <c r="D12506" i="4"/>
  <c r="D5788" i="4"/>
  <c r="D384" i="4"/>
  <c r="D9471" i="4"/>
  <c r="D11183" i="4"/>
  <c r="D8571" i="4"/>
  <c r="D12040" i="4"/>
  <c r="D11966" i="4"/>
  <c r="D5393" i="4"/>
  <c r="D5675" i="4"/>
  <c r="D11182" i="4"/>
  <c r="D15652" i="4"/>
  <c r="D13245" i="4"/>
  <c r="D15176" i="4"/>
  <c r="D3152" i="4"/>
  <c r="D10471" i="4"/>
  <c r="D6711" i="4"/>
  <c r="D4621" i="4"/>
  <c r="D12039" i="4"/>
  <c r="D8570" i="4"/>
  <c r="D3647" i="4"/>
  <c r="D8569" i="4"/>
  <c r="D960" i="4"/>
  <c r="D528" i="4"/>
  <c r="D15651" i="4"/>
  <c r="D5392" i="4"/>
  <c r="D14139" i="4"/>
  <c r="D9470" i="4"/>
  <c r="D12211" i="4"/>
  <c r="D15406" i="4"/>
  <c r="D15650" i="4"/>
  <c r="D5147" i="4"/>
  <c r="D12776" i="4"/>
  <c r="D15405" i="4"/>
  <c r="D7282" i="4"/>
  <c r="D6469" i="4"/>
  <c r="D2075" i="4"/>
  <c r="D3224" i="4"/>
  <c r="D9872" i="4"/>
  <c r="D10242" i="4"/>
  <c r="D14817" i="4"/>
  <c r="D11672" i="4"/>
  <c r="D8568" i="4"/>
  <c r="D266" i="4"/>
  <c r="D6109" i="4"/>
  <c r="D6740" i="4"/>
  <c r="D2534" i="4"/>
  <c r="D11411" i="4"/>
  <c r="D6710" i="4"/>
  <c r="D9469" i="4"/>
  <c r="D12104" i="4"/>
  <c r="D9468" i="4"/>
  <c r="D6451" i="4"/>
  <c r="D11764" i="4"/>
  <c r="D12210" i="4"/>
  <c r="D8567" i="4"/>
  <c r="D3947" i="4"/>
  <c r="D5114" i="4"/>
  <c r="D14206" i="4"/>
  <c r="D3646" i="4"/>
  <c r="D2533" i="4"/>
  <c r="D5391" i="4"/>
  <c r="D10827" i="4"/>
  <c r="D10241" i="4"/>
  <c r="D6357" i="4"/>
  <c r="D15175" i="4"/>
  <c r="D586" i="4"/>
  <c r="D2966" i="4"/>
  <c r="D14115" i="4"/>
  <c r="D14578" i="4"/>
  <c r="D5710" i="4"/>
  <c r="D8566" i="4"/>
  <c r="D8565" i="4"/>
  <c r="D2373" i="4"/>
  <c r="D11479" i="4"/>
  <c r="D6734" i="4"/>
  <c r="D8564" i="4"/>
  <c r="D12775" i="4"/>
  <c r="D5787" i="4"/>
  <c r="D8563" i="4"/>
  <c r="D5786" i="4"/>
  <c r="D15649" i="4"/>
  <c r="D5390" i="4"/>
  <c r="D8562" i="4"/>
  <c r="D5180" i="4"/>
  <c r="D6452" i="4"/>
  <c r="D13083" i="4"/>
  <c r="D8561" i="4"/>
  <c r="D5837" i="4"/>
  <c r="D6108" i="4"/>
  <c r="D8560" i="4"/>
  <c r="D1632" i="4"/>
  <c r="D5938" i="4"/>
  <c r="D8559" i="4"/>
  <c r="D12865" i="4"/>
  <c r="D11671" i="4"/>
  <c r="D5389" i="4"/>
  <c r="D9467" i="4"/>
  <c r="D4955" i="4"/>
  <c r="D8558" i="4"/>
  <c r="D12312" i="4"/>
  <c r="D711" i="4"/>
  <c r="D8557" i="4"/>
  <c r="D11079" i="4"/>
  <c r="D15648" i="4"/>
  <c r="D1183" i="4"/>
  <c r="D12262" i="4"/>
  <c r="D1115" i="4"/>
  <c r="D13925" i="4"/>
  <c r="D10813" i="4"/>
  <c r="D15404" i="4"/>
  <c r="D4960" i="4"/>
  <c r="D14467" i="4"/>
  <c r="D13127" i="4"/>
  <c r="D12173" i="4"/>
  <c r="D9752" i="4"/>
  <c r="D7023" i="4"/>
  <c r="D15403" i="4"/>
  <c r="D5674" i="4"/>
  <c r="D9466" i="4"/>
  <c r="D8556" i="4"/>
  <c r="D1577" i="4"/>
  <c r="D2891" i="4"/>
  <c r="D14906" i="4"/>
  <c r="D9465" i="4"/>
  <c r="D14589" i="4"/>
  <c r="D14905" i="4"/>
  <c r="D15402" i="4"/>
  <c r="D12692" i="4"/>
  <c r="D14205" i="4"/>
  <c r="D7076" i="4"/>
  <c r="D10419" i="4"/>
  <c r="D6496" i="4"/>
  <c r="D4364" i="4"/>
  <c r="D3151" i="4"/>
  <c r="D11618" i="4"/>
  <c r="D5388" i="4"/>
  <c r="D9893" i="4"/>
  <c r="D13887" i="4"/>
  <c r="D10729" i="4"/>
  <c r="D8555" i="4"/>
  <c r="D3645" i="4"/>
  <c r="D8554" i="4"/>
  <c r="D8553" i="4"/>
  <c r="D3644" i="4"/>
  <c r="D11982" i="4"/>
  <c r="D5387" i="4"/>
  <c r="D237" i="4"/>
  <c r="D3643" i="4"/>
  <c r="D8552" i="4"/>
  <c r="D10240" i="4"/>
  <c r="D7130" i="4"/>
  <c r="D4918" i="4"/>
  <c r="D13067" i="4"/>
  <c r="D3642" i="4"/>
  <c r="D8551" i="4"/>
  <c r="D2972" i="4"/>
  <c r="D13974" i="4"/>
  <c r="D3641" i="4"/>
  <c r="D13174" i="4"/>
  <c r="D15174" i="4"/>
  <c r="D5829" i="4"/>
  <c r="D9850" i="4"/>
  <c r="D4483" i="4"/>
  <c r="D9464" i="4"/>
  <c r="D2372" i="4"/>
  <c r="D12038" i="4"/>
  <c r="D4482" i="4"/>
  <c r="D8550" i="4"/>
  <c r="D8549" i="4"/>
  <c r="D442" i="4"/>
  <c r="D3640" i="4"/>
  <c r="D8548" i="4"/>
  <c r="D5113" i="4"/>
  <c r="D10840" i="4"/>
  <c r="D3639" i="4"/>
  <c r="D10470" i="4"/>
  <c r="D11078" i="4"/>
  <c r="D8547" i="4"/>
  <c r="D13439" i="4"/>
  <c r="D8546" i="4"/>
  <c r="D3638" i="4"/>
  <c r="D11981" i="4"/>
  <c r="D9463" i="4"/>
  <c r="D13053" i="4"/>
  <c r="D5166" i="4"/>
  <c r="D14816" i="4"/>
  <c r="D366" i="4"/>
  <c r="D383" i="4"/>
  <c r="D14815" i="4"/>
  <c r="D4587" i="4"/>
  <c r="D12774" i="4"/>
  <c r="D3637" i="4"/>
  <c r="D13173" i="4"/>
  <c r="D11105" i="4"/>
  <c r="D3068" i="4"/>
  <c r="D5000" i="4"/>
  <c r="D499" i="4"/>
  <c r="D14982" i="4"/>
  <c r="D3636" i="4"/>
  <c r="D10239" i="4"/>
  <c r="D15401" i="4"/>
  <c r="D6107" i="4"/>
  <c r="D2229" i="4"/>
  <c r="D5386" i="4"/>
  <c r="D5112" i="4"/>
  <c r="D1841" i="4"/>
  <c r="D4917" i="4"/>
  <c r="D3635" i="4"/>
  <c r="D11553" i="4"/>
  <c r="D10238" i="4"/>
  <c r="D8545" i="4"/>
  <c r="D6589" i="4"/>
  <c r="D5385" i="4"/>
  <c r="D14204" i="4"/>
  <c r="D4586" i="4"/>
  <c r="D265" i="4"/>
  <c r="D12864" i="4"/>
  <c r="D11670" i="4"/>
  <c r="D4041" i="4"/>
  <c r="D6356" i="4"/>
  <c r="D9462" i="4"/>
  <c r="D4604" i="4"/>
  <c r="D6838" i="4"/>
  <c r="D5159" i="4"/>
  <c r="D8544" i="4"/>
  <c r="D9461" i="4"/>
  <c r="D10668" i="4"/>
  <c r="D2371" i="4"/>
  <c r="D12099" i="4"/>
  <c r="D5895" i="4"/>
  <c r="D11763" i="4"/>
  <c r="D9460" i="4"/>
  <c r="D2916" i="4"/>
  <c r="D14466" i="4"/>
  <c r="D12037" i="4"/>
  <c r="D9459" i="4"/>
  <c r="D3150" i="4"/>
  <c r="D1182" i="4"/>
  <c r="D15400" i="4"/>
  <c r="D8543" i="4"/>
  <c r="D3634" i="4"/>
  <c r="D12527" i="4"/>
  <c r="D4823" i="4"/>
  <c r="D5894" i="4"/>
  <c r="D12172" i="4"/>
  <c r="D15399" i="4"/>
  <c r="D6106" i="4"/>
  <c r="D1046" i="4"/>
  <c r="D10817" i="4"/>
  <c r="D14114" i="4"/>
  <c r="D10237" i="4"/>
  <c r="D12036" i="4"/>
  <c r="D10898" i="4"/>
  <c r="D14708" i="4"/>
  <c r="D14904" i="4"/>
  <c r="D1881" i="4"/>
  <c r="D5384" i="4"/>
  <c r="D3633" i="4"/>
  <c r="D10236" i="4"/>
  <c r="D9458" i="4"/>
  <c r="D9179" i="4"/>
  <c r="D14903" i="4"/>
  <c r="D9807" i="4"/>
  <c r="D9892" i="4"/>
  <c r="D3149" i="4"/>
  <c r="D8542" i="4"/>
  <c r="D12773" i="4"/>
  <c r="D2038" i="4"/>
  <c r="D14750" i="4"/>
  <c r="D2805" i="4"/>
  <c r="D8541" i="4"/>
  <c r="D10235" i="4"/>
  <c r="D10881" i="4"/>
  <c r="D5383" i="4"/>
  <c r="D4438" i="4"/>
  <c r="D13924" i="4"/>
  <c r="D5382" i="4"/>
  <c r="D6555" i="4"/>
  <c r="D1910" i="4"/>
  <c r="D10713" i="4"/>
  <c r="D15173" i="4"/>
  <c r="D6385" i="4"/>
  <c r="D8540" i="4"/>
  <c r="D4203" i="4"/>
  <c r="D13082" i="4"/>
  <c r="D11630" i="4"/>
  <c r="D2141" i="4"/>
  <c r="D8539" i="4"/>
  <c r="D9457" i="4"/>
  <c r="D756" i="4"/>
  <c r="D12957" i="4"/>
  <c r="D8538" i="4"/>
  <c r="D8537" i="4"/>
  <c r="D14902" i="4"/>
  <c r="D3632" i="4"/>
  <c r="D13172" i="4"/>
  <c r="D12717" i="4"/>
  <c r="D8536" i="4"/>
  <c r="D10876" i="4"/>
  <c r="D585" i="4"/>
  <c r="D15398" i="4"/>
  <c r="D13081" i="4"/>
  <c r="D4916" i="4"/>
  <c r="D10793" i="4"/>
  <c r="D236" i="4"/>
  <c r="D10234" i="4"/>
  <c r="D6724" i="4"/>
  <c r="D8535" i="4"/>
  <c r="D7129" i="4"/>
  <c r="D11965" i="4"/>
  <c r="D5381" i="4"/>
  <c r="D8534" i="4"/>
  <c r="D9456" i="4"/>
  <c r="D6468" i="4"/>
  <c r="D2804" i="4"/>
  <c r="D8533" i="4"/>
  <c r="D1181" i="4"/>
  <c r="D11282" i="4"/>
  <c r="D235" i="4"/>
  <c r="D3631" i="4"/>
  <c r="D584" i="4"/>
  <c r="D5380" i="4"/>
  <c r="D2890" i="4"/>
  <c r="D2878" i="4"/>
  <c r="D12969" i="4"/>
  <c r="D12171" i="4"/>
  <c r="D6355" i="4"/>
  <c r="D4155" i="4"/>
  <c r="D10502" i="4"/>
  <c r="D15397" i="4"/>
  <c r="D15396" i="4"/>
  <c r="D10233" i="4"/>
  <c r="D583" i="4"/>
  <c r="D451" i="4"/>
  <c r="D6554" i="4"/>
  <c r="D1281" i="4"/>
  <c r="D15395" i="4"/>
  <c r="D13896" i="4"/>
  <c r="D7264" i="4"/>
  <c r="D1800" i="4"/>
  <c r="D3148" i="4"/>
  <c r="D4603" i="4"/>
  <c r="D2186" i="4"/>
  <c r="D15394" i="4"/>
  <c r="D8532" i="4"/>
  <c r="D1560" i="4"/>
  <c r="D8531" i="4"/>
  <c r="D4653" i="4"/>
  <c r="D5379" i="4"/>
  <c r="D8530" i="4"/>
  <c r="D13940" i="4"/>
  <c r="D11890" i="4"/>
  <c r="D9226" i="4"/>
  <c r="D6693" i="4"/>
  <c r="D15393" i="4"/>
  <c r="D11478" i="4"/>
  <c r="D13996" i="4"/>
  <c r="D6935" i="4"/>
  <c r="D13331" i="4"/>
  <c r="D10612" i="4"/>
  <c r="D365" i="4"/>
  <c r="D10232" i="4"/>
  <c r="D11762" i="4"/>
  <c r="D14554" i="4"/>
  <c r="D2941" i="4"/>
  <c r="D9957" i="4"/>
  <c r="D1045" i="4"/>
  <c r="D6105" i="4"/>
  <c r="D11295" i="4"/>
  <c r="D4027" i="4"/>
  <c r="D11077" i="4"/>
  <c r="D3630" i="4"/>
  <c r="D13171" i="4"/>
  <c r="D3629" i="4"/>
  <c r="D13170" i="4"/>
  <c r="D11037" i="4"/>
  <c r="D10695" i="4"/>
  <c r="D13870" i="4"/>
  <c r="D5973" i="4"/>
  <c r="D5378" i="4"/>
  <c r="D1090" i="4"/>
  <c r="D6441" i="4"/>
  <c r="D8529" i="4"/>
  <c r="D15172" i="4"/>
  <c r="D10231" i="4"/>
  <c r="D8528" i="4"/>
  <c r="D15037" i="4"/>
  <c r="D12209" i="4"/>
  <c r="D6354" i="4"/>
  <c r="D5377" i="4"/>
  <c r="D8527" i="4"/>
  <c r="D7244" i="4"/>
  <c r="D5376" i="4"/>
  <c r="D1604" i="4"/>
  <c r="D11820" i="4"/>
  <c r="D10230" i="4"/>
  <c r="D9455" i="4"/>
  <c r="D582" i="4"/>
  <c r="D11889" i="4"/>
  <c r="D1280" i="4"/>
  <c r="D15392" i="4"/>
  <c r="D11108" i="4"/>
  <c r="D5375" i="4"/>
  <c r="D4055" i="4"/>
  <c r="D11888" i="4"/>
  <c r="D2228" i="4"/>
  <c r="D6553" i="4"/>
  <c r="D9454" i="4"/>
  <c r="D4333" i="4"/>
  <c r="D10229" i="4"/>
  <c r="D2157" i="4"/>
  <c r="D14063" i="4"/>
  <c r="D14645" i="4"/>
  <c r="D710" i="4"/>
  <c r="D8526" i="4"/>
  <c r="D3147" i="4"/>
  <c r="D6255" i="4"/>
  <c r="D6671" i="4"/>
  <c r="D4145" i="4"/>
  <c r="D10822" i="4"/>
  <c r="D13330" i="4"/>
  <c r="D6629" i="4"/>
  <c r="D8525" i="4"/>
  <c r="D12170" i="4"/>
  <c r="D10611" i="4"/>
  <c r="D14692" i="4"/>
  <c r="D6730" i="4"/>
  <c r="D4970" i="4"/>
  <c r="D12913" i="4"/>
  <c r="D4915" i="4"/>
  <c r="D467" i="4"/>
  <c r="D13080" i="4"/>
  <c r="D12664" i="4"/>
  <c r="D10610" i="4"/>
  <c r="D12035" i="4"/>
  <c r="D4963" i="4"/>
  <c r="D8524" i="4"/>
  <c r="D13727" i="4"/>
  <c r="D10433" i="4"/>
  <c r="D5090" i="4"/>
  <c r="D3628" i="4"/>
  <c r="D5374" i="4"/>
  <c r="D5146" i="4"/>
  <c r="D5373" i="4"/>
  <c r="D5372" i="4"/>
  <c r="D1482" i="4"/>
  <c r="D879" i="4"/>
  <c r="D10728" i="4"/>
  <c r="D755" i="4"/>
  <c r="D6353" i="4"/>
  <c r="D1952" i="4"/>
  <c r="D2532" i="4"/>
  <c r="D15647" i="4"/>
  <c r="D7128" i="4"/>
  <c r="D15171" i="4"/>
  <c r="D7186" i="4"/>
  <c r="D14560" i="4"/>
  <c r="D13329" i="4"/>
  <c r="D12934" i="4"/>
  <c r="D2370" i="4"/>
  <c r="D6413" i="4"/>
  <c r="D6628" i="4"/>
  <c r="D9453" i="4"/>
  <c r="D15391" i="4"/>
  <c r="D12169" i="4"/>
  <c r="D6104" i="4"/>
  <c r="D12863" i="4"/>
  <c r="D11669" i="4"/>
  <c r="D3627" i="4"/>
  <c r="D9751" i="4"/>
  <c r="D5145" i="4"/>
  <c r="D14203" i="4"/>
  <c r="D8523" i="4"/>
  <c r="D10228" i="4"/>
  <c r="D1374" i="4"/>
  <c r="D4978" i="4"/>
  <c r="D12663" i="4"/>
  <c r="D4602" i="4"/>
  <c r="D12168" i="4"/>
  <c r="D14092" i="4"/>
  <c r="D15646" i="4"/>
  <c r="D8522" i="4"/>
  <c r="D5371" i="4"/>
  <c r="D8521" i="4"/>
  <c r="D8520" i="4"/>
  <c r="D3626" i="4"/>
  <c r="D2531" i="4"/>
  <c r="D2004" i="4"/>
  <c r="D7075" i="4"/>
  <c r="D11260" i="4"/>
  <c r="D14707" i="4"/>
  <c r="D15645" i="4"/>
  <c r="D14779" i="4"/>
  <c r="D3625" i="4"/>
  <c r="D13726" i="4"/>
  <c r="D9452" i="4"/>
  <c r="D6103" i="4"/>
  <c r="D4075" i="4"/>
  <c r="D8519" i="4"/>
  <c r="D8518" i="4"/>
  <c r="D15170" i="4"/>
  <c r="D8517" i="4"/>
  <c r="D6102" i="4"/>
  <c r="D9451" i="4"/>
  <c r="D9844" i="4"/>
  <c r="D11343" i="4"/>
  <c r="D2037" i="4"/>
  <c r="D9849" i="4"/>
  <c r="D2902" i="4"/>
  <c r="D11053" i="4"/>
  <c r="D1279" i="4"/>
  <c r="D7074" i="4"/>
  <c r="D814" i="4"/>
  <c r="D3624" i="4"/>
  <c r="D13244" i="4"/>
  <c r="D2889" i="4"/>
  <c r="D14615" i="4"/>
  <c r="D4822" i="4"/>
  <c r="D10418" i="4"/>
  <c r="D14723" i="4"/>
  <c r="D15090" i="4"/>
  <c r="D10227" i="4"/>
  <c r="D8516" i="4"/>
  <c r="D10226" i="4"/>
  <c r="D346" i="4"/>
  <c r="D2803" i="4"/>
  <c r="D9450" i="4"/>
  <c r="D15067" i="4"/>
  <c r="D7164" i="4"/>
  <c r="D8515" i="4"/>
  <c r="D9449" i="4"/>
  <c r="D441" i="4"/>
  <c r="D8514" i="4"/>
  <c r="D10727" i="4"/>
  <c r="D5785" i="4"/>
  <c r="D5370" i="4"/>
  <c r="D10562" i="4"/>
  <c r="D3037" i="4"/>
  <c r="D3623" i="4"/>
  <c r="D2802" i="4"/>
  <c r="D11477" i="4"/>
  <c r="D581" i="4"/>
  <c r="D9448" i="4"/>
  <c r="D1745" i="4"/>
  <c r="D8513" i="4"/>
  <c r="D10652" i="4"/>
  <c r="D7094" i="4"/>
  <c r="D4349" i="4"/>
  <c r="D11391" i="4"/>
  <c r="D8512" i="4"/>
  <c r="D13040" i="4"/>
  <c r="D15169" i="4"/>
  <c r="D658" i="4"/>
  <c r="D11964" i="4"/>
  <c r="D657" i="4"/>
  <c r="D10454" i="4"/>
  <c r="D8511" i="4"/>
  <c r="D6688" i="4"/>
  <c r="D6552" i="4"/>
  <c r="D12034" i="4"/>
  <c r="D12701" i="4"/>
  <c r="D15390" i="4"/>
  <c r="D10453" i="4"/>
  <c r="D12223" i="4"/>
  <c r="D1180" i="4"/>
  <c r="D5369" i="4"/>
  <c r="D12691" i="4"/>
  <c r="D3622" i="4"/>
  <c r="D8510" i="4"/>
  <c r="D9447" i="4"/>
  <c r="D6412" i="4"/>
  <c r="D12902" i="4"/>
  <c r="D2193" i="4"/>
  <c r="D12921" i="4"/>
  <c r="D15575" i="4"/>
  <c r="D15273" i="4"/>
  <c r="D5673" i="4"/>
  <c r="D7127" i="4"/>
  <c r="D11710" i="4"/>
  <c r="D5052" i="4"/>
  <c r="D15389" i="4"/>
  <c r="D2697" i="4"/>
  <c r="D8509" i="4"/>
  <c r="D11761" i="4"/>
  <c r="D2227" i="4"/>
  <c r="D1840" i="4"/>
  <c r="D9446" i="4"/>
  <c r="D10956" i="4"/>
  <c r="D14465" i="4"/>
  <c r="D8508" i="4"/>
  <c r="D754" i="4"/>
  <c r="D4947" i="4"/>
  <c r="D9735" i="4"/>
  <c r="D1598" i="4"/>
  <c r="D3621" i="4"/>
  <c r="D12716" i="4"/>
  <c r="D9806" i="4"/>
  <c r="D1634" i="4"/>
  <c r="D5709" i="4"/>
  <c r="D12126" i="4"/>
  <c r="D5033" i="4"/>
  <c r="D13243" i="4"/>
  <c r="D10225" i="4"/>
  <c r="D13126" i="4"/>
  <c r="D10501" i="4"/>
  <c r="D13923" i="4"/>
  <c r="D10641" i="4"/>
  <c r="D3620" i="4"/>
  <c r="D10224" i="4"/>
  <c r="D4144" i="4"/>
  <c r="D3619" i="4"/>
  <c r="D8507" i="4"/>
  <c r="D4780" i="4"/>
  <c r="D12933" i="4"/>
  <c r="D10223" i="4"/>
  <c r="D12862" i="4"/>
  <c r="D11668" i="4"/>
  <c r="D4383" i="4"/>
  <c r="D13242" i="4"/>
  <c r="D709" i="4"/>
  <c r="D2719" i="4"/>
  <c r="D6822" i="4"/>
  <c r="D11887" i="4"/>
  <c r="D10826" i="4"/>
  <c r="D10816" i="4"/>
  <c r="D10222" i="4"/>
  <c r="D753" i="4"/>
  <c r="D8506" i="4"/>
  <c r="D14138" i="4"/>
  <c r="D9229" i="4"/>
  <c r="D813" i="4"/>
  <c r="D10221" i="4"/>
  <c r="D401" i="4"/>
  <c r="D1460" i="4"/>
  <c r="D6450" i="4"/>
  <c r="D3618" i="4"/>
  <c r="D9909" i="4"/>
  <c r="D13877" i="4"/>
  <c r="D3617" i="4"/>
  <c r="D11310" i="4"/>
  <c r="D14814" i="4"/>
  <c r="D5023" i="4"/>
  <c r="D5368" i="4"/>
  <c r="D5784" i="4"/>
  <c r="D4202" i="4"/>
  <c r="D10561" i="4"/>
  <c r="D5367" i="4"/>
  <c r="D12968" i="4"/>
  <c r="D14171" i="4"/>
  <c r="D8505" i="4"/>
  <c r="D12772" i="4"/>
  <c r="D14749" i="4"/>
  <c r="D8504" i="4"/>
  <c r="D11390" i="4"/>
  <c r="D11760" i="4"/>
  <c r="D11886" i="4"/>
  <c r="D8503" i="4"/>
  <c r="D15644" i="4"/>
  <c r="D3616" i="4"/>
  <c r="D6670" i="4"/>
  <c r="D2801" i="4"/>
  <c r="D11111" i="4"/>
  <c r="D14813" i="4"/>
  <c r="D6723" i="4"/>
  <c r="D9445" i="4"/>
  <c r="D5708" i="4"/>
  <c r="D10220" i="4"/>
  <c r="D3615" i="4"/>
  <c r="D1646" i="4"/>
  <c r="D11819" i="4"/>
  <c r="D14812" i="4"/>
  <c r="D6709" i="4"/>
  <c r="D13922" i="4"/>
  <c r="D15168" i="4"/>
  <c r="D527" i="4"/>
  <c r="D4754" i="4"/>
  <c r="D2940" i="4"/>
  <c r="D8502" i="4"/>
  <c r="D10452" i="4"/>
  <c r="D5366" i="4"/>
  <c r="D10219" i="4"/>
  <c r="D7022" i="4"/>
  <c r="D4143" i="4"/>
  <c r="D8501" i="4"/>
  <c r="D10955" i="4"/>
  <c r="D8500" i="4"/>
  <c r="D9805" i="4"/>
  <c r="D4362" i="4"/>
  <c r="D5365" i="4"/>
  <c r="D9956" i="4"/>
  <c r="D5707" i="4"/>
  <c r="D9444" i="4"/>
  <c r="D14748" i="4"/>
  <c r="D6646" i="4"/>
  <c r="D3063" i="4"/>
  <c r="D2098" i="4"/>
  <c r="D14202" i="4"/>
  <c r="D189" i="4"/>
  <c r="D10005" i="4"/>
  <c r="D12108" i="4"/>
  <c r="D5364" i="4"/>
  <c r="D10667" i="4"/>
  <c r="D5363" i="4"/>
  <c r="D5362" i="4"/>
  <c r="D2956" i="4"/>
  <c r="D10218" i="4"/>
  <c r="D14464" i="4"/>
  <c r="D7231" i="4"/>
  <c r="D14811" i="4"/>
  <c r="D5783" i="4"/>
  <c r="D13904" i="4"/>
  <c r="D10217" i="4"/>
  <c r="D6101" i="4"/>
  <c r="D11281" i="4"/>
  <c r="D2994" i="4"/>
  <c r="D13109" i="4"/>
  <c r="D9993" i="4"/>
  <c r="D8499" i="4"/>
  <c r="D10609" i="4"/>
  <c r="D1645" i="4"/>
  <c r="D12861" i="4"/>
  <c r="D11667" i="4"/>
  <c r="D2369" i="4"/>
  <c r="D9443" i="4"/>
  <c r="D2696" i="4"/>
  <c r="D4662" i="4"/>
  <c r="D2368" i="4"/>
  <c r="D8498" i="4"/>
  <c r="D5361" i="4"/>
  <c r="D10216" i="4"/>
  <c r="D2192" i="4"/>
  <c r="D4914" i="4"/>
  <c r="D5972" i="4"/>
  <c r="D79" i="4"/>
  <c r="D423" i="4"/>
  <c r="D1278" i="4"/>
  <c r="D15167" i="4"/>
  <c r="D8497" i="4"/>
  <c r="D364" i="4"/>
  <c r="D13921" i="4"/>
  <c r="D12033" i="4"/>
  <c r="D1373" i="4"/>
  <c r="D10215" i="4"/>
  <c r="D10608" i="4"/>
  <c r="D4139" i="4"/>
  <c r="D4074" i="4"/>
  <c r="D9932" i="4"/>
  <c r="D5360" i="4"/>
  <c r="D15166" i="4"/>
  <c r="D1277" i="4"/>
  <c r="D8496" i="4"/>
  <c r="D11709" i="4"/>
  <c r="D10798" i="4"/>
  <c r="D3614" i="4"/>
  <c r="D7212" i="4"/>
  <c r="D12690" i="4"/>
  <c r="D10214" i="4"/>
  <c r="D11280" i="4"/>
  <c r="D913" i="4"/>
  <c r="D7093" i="4"/>
  <c r="D11036" i="4"/>
  <c r="D9902" i="4"/>
  <c r="D14691" i="4"/>
  <c r="D1951" i="4"/>
  <c r="D12608" i="4"/>
  <c r="D4437" i="4"/>
  <c r="D7073" i="4"/>
  <c r="D5359" i="4"/>
  <c r="D5358" i="4"/>
  <c r="D5357" i="4"/>
  <c r="D5356" i="4"/>
  <c r="D15165" i="4"/>
  <c r="D3613" i="4"/>
  <c r="D6627" i="4"/>
  <c r="D10213" i="4"/>
  <c r="D14072" i="4"/>
  <c r="D5355" i="4"/>
  <c r="D2191" i="4"/>
  <c r="D7126" i="4"/>
  <c r="D5174" i="4"/>
  <c r="D14901" i="4"/>
  <c r="D5354" i="4"/>
  <c r="D6254" i="4"/>
  <c r="D4821" i="4"/>
  <c r="D1114" i="4"/>
  <c r="D12032" i="4"/>
  <c r="D708" i="4"/>
  <c r="D13102" i="4"/>
  <c r="D14873" i="4"/>
  <c r="D5353" i="4"/>
  <c r="D3028" i="4"/>
  <c r="D9970" i="4"/>
  <c r="D7061" i="4"/>
  <c r="D4201" i="4"/>
  <c r="D12031" i="4"/>
  <c r="D8495" i="4"/>
  <c r="D5352" i="4"/>
  <c r="D5351" i="4"/>
  <c r="D959" i="4"/>
  <c r="D3212" i="4"/>
  <c r="D8494" i="4"/>
  <c r="D6626" i="4"/>
  <c r="D11759" i="4"/>
  <c r="D3146" i="4"/>
  <c r="D1372" i="4"/>
  <c r="D9860" i="4"/>
  <c r="D2140" i="4"/>
  <c r="D8493" i="4"/>
  <c r="D5195" i="4"/>
  <c r="D2718" i="4"/>
  <c r="D1689" i="4"/>
  <c r="D8492" i="4"/>
  <c r="D9760" i="4"/>
  <c r="D9442" i="4"/>
  <c r="D6100" i="4"/>
  <c r="D8491" i="4"/>
  <c r="D8490" i="4"/>
  <c r="D4200" i="4"/>
  <c r="D8489" i="4"/>
  <c r="D5350" i="4"/>
  <c r="D13079" i="4"/>
  <c r="D13064" i="4"/>
  <c r="D11885" i="4"/>
  <c r="D12244" i="4"/>
  <c r="D11502" i="4"/>
  <c r="D3612" i="4"/>
  <c r="D7185" i="4"/>
  <c r="D2367" i="4"/>
  <c r="D5971" i="4"/>
  <c r="D5706" i="4"/>
  <c r="D5111" i="4"/>
  <c r="D5349" i="4"/>
  <c r="D5348" i="4"/>
  <c r="D8488" i="4"/>
  <c r="D14981" i="4"/>
  <c r="D12237" i="4"/>
  <c r="D7048" i="4"/>
  <c r="D12679" i="4"/>
  <c r="D9441" i="4"/>
  <c r="D2613" i="4"/>
  <c r="D912" i="4"/>
  <c r="D5705" i="4"/>
  <c r="D7184" i="4"/>
  <c r="D6099" i="4"/>
  <c r="D14463" i="4"/>
  <c r="D14772" i="4"/>
  <c r="D3611" i="4"/>
  <c r="D3610" i="4"/>
  <c r="D5347" i="4"/>
  <c r="D10212" i="4"/>
  <c r="D8487" i="4"/>
  <c r="D5346" i="4"/>
  <c r="D11758" i="4"/>
  <c r="D4737" i="4"/>
  <c r="D12860" i="4"/>
  <c r="D11666" i="4"/>
  <c r="D5345" i="4"/>
  <c r="D4820" i="4"/>
  <c r="D5344" i="4"/>
  <c r="D4661" i="4"/>
  <c r="D14722" i="4"/>
  <c r="D5343" i="4"/>
  <c r="D580" i="4"/>
  <c r="D9196" i="4"/>
  <c r="D7125" i="4"/>
  <c r="D10954" i="4"/>
  <c r="D11708" i="4"/>
  <c r="D10211" i="4"/>
  <c r="D9440" i="4"/>
  <c r="D2366" i="4"/>
  <c r="D9871" i="4"/>
  <c r="D1179" i="4"/>
  <c r="D3609" i="4"/>
  <c r="D8486" i="4"/>
  <c r="D1446" i="4"/>
  <c r="D8485" i="4"/>
  <c r="D812" i="4"/>
  <c r="D8484" i="4"/>
  <c r="D9969" i="4"/>
  <c r="D1438" i="4"/>
  <c r="D264" i="4"/>
  <c r="D958" i="4"/>
  <c r="D10210" i="4"/>
  <c r="D11884" i="4"/>
  <c r="D483" i="4"/>
  <c r="D9843" i="4"/>
  <c r="D15388" i="4"/>
  <c r="D14810" i="4"/>
  <c r="D1371" i="4"/>
  <c r="D5342" i="4"/>
  <c r="D6098" i="4"/>
  <c r="D8483" i="4"/>
  <c r="D12715" i="4"/>
  <c r="D5341" i="4"/>
  <c r="D8482" i="4"/>
  <c r="D5340" i="4"/>
  <c r="D1113" i="4"/>
  <c r="D8481" i="4"/>
  <c r="D8480" i="4"/>
  <c r="D4678" i="4"/>
  <c r="D9183" i="4"/>
  <c r="D15387" i="4"/>
  <c r="D1276" i="4"/>
  <c r="D11552" i="4"/>
  <c r="D14462" i="4"/>
  <c r="D9804" i="4"/>
  <c r="D911" i="4"/>
  <c r="D6821" i="4"/>
  <c r="D579" i="4"/>
  <c r="D14461" i="4"/>
  <c r="D4913" i="4"/>
  <c r="D5339" i="4"/>
  <c r="D5782" i="4"/>
  <c r="D5893" i="4"/>
  <c r="D9439" i="4"/>
  <c r="D5338" i="4"/>
  <c r="D1620" i="4"/>
  <c r="D11279" i="4"/>
  <c r="D3145" i="4"/>
  <c r="D11818" i="4"/>
  <c r="D15643" i="4"/>
  <c r="D8479" i="4"/>
  <c r="D5970" i="4"/>
  <c r="D10398" i="4"/>
  <c r="D6352" i="4"/>
  <c r="D9946" i="4"/>
  <c r="D55" i="4"/>
  <c r="D12495" i="4"/>
  <c r="D10209" i="4"/>
  <c r="D11076" i="4"/>
  <c r="D12932" i="4"/>
  <c r="D2695" i="4"/>
  <c r="D6351" i="4"/>
  <c r="D11476" i="4"/>
  <c r="D12030" i="4"/>
  <c r="D475" i="4"/>
  <c r="D54" i="4"/>
  <c r="D12494" i="4"/>
  <c r="D5337" i="4"/>
  <c r="D1481" i="4"/>
  <c r="D12714" i="4"/>
  <c r="D2104" i="4"/>
  <c r="D2612" i="4"/>
  <c r="D4999" i="4"/>
  <c r="D5336" i="4"/>
  <c r="D6551" i="4"/>
  <c r="D10208" i="4"/>
  <c r="D14980" i="4"/>
  <c r="D2365" i="4"/>
  <c r="D8478" i="4"/>
  <c r="D12029" i="4"/>
  <c r="D5856" i="4"/>
  <c r="D13920" i="4"/>
  <c r="D13939" i="4"/>
  <c r="D11475" i="4"/>
  <c r="D3608" i="4"/>
  <c r="D9438" i="4"/>
  <c r="D14460" i="4"/>
  <c r="D3607" i="4"/>
  <c r="D6669" i="4"/>
  <c r="D1444" i="4"/>
  <c r="D15386" i="4"/>
  <c r="D12167" i="4"/>
  <c r="D15385" i="4"/>
  <c r="D11474" i="4"/>
  <c r="D14086" i="4"/>
  <c r="D9437" i="4"/>
  <c r="D11629" i="4"/>
  <c r="D10931" i="4"/>
  <c r="D12028" i="4"/>
  <c r="D4040" i="4"/>
  <c r="D1728" i="4"/>
  <c r="D4303" i="4"/>
  <c r="D11389" i="4"/>
  <c r="D4321" i="4"/>
  <c r="D7072" i="4"/>
  <c r="D263" i="4"/>
  <c r="D9436" i="4"/>
  <c r="D11883" i="4"/>
  <c r="D15164" i="4"/>
  <c r="D13282" i="4"/>
  <c r="D4436" i="4"/>
  <c r="D8477" i="4"/>
  <c r="D6350" i="4"/>
  <c r="D10906" i="4"/>
  <c r="D9898" i="4"/>
  <c r="D4998" i="4"/>
  <c r="D8476" i="4"/>
  <c r="D6604" i="4"/>
  <c r="D12098" i="4"/>
  <c r="D6097" i="4"/>
  <c r="D6411" i="4"/>
  <c r="D11591" i="4"/>
  <c r="D11317" i="4"/>
  <c r="D1275" i="4"/>
  <c r="D234" i="4"/>
  <c r="D9435" i="4"/>
  <c r="D5335" i="4"/>
  <c r="D4912" i="4"/>
  <c r="D6096" i="4"/>
  <c r="D5334" i="4"/>
  <c r="D196" i="4"/>
  <c r="D2036" i="4"/>
  <c r="D12956" i="4"/>
  <c r="D13328" i="4"/>
  <c r="D8475" i="4"/>
  <c r="D2800" i="4"/>
  <c r="D15384" i="4"/>
  <c r="D1839" i="4"/>
  <c r="D9434" i="4"/>
  <c r="D8474" i="4"/>
  <c r="D6550" i="4"/>
  <c r="D14809" i="4"/>
  <c r="D10500" i="4"/>
  <c r="D8473" i="4"/>
  <c r="D3144" i="4"/>
  <c r="D3954" i="4"/>
  <c r="D10953" i="4"/>
  <c r="D3606" i="4"/>
  <c r="D6722" i="4"/>
  <c r="D4986" i="4"/>
  <c r="D12208" i="4"/>
  <c r="D1559" i="4"/>
  <c r="D25" i="4"/>
  <c r="D910" i="4"/>
  <c r="D4660" i="4"/>
  <c r="D5672" i="4"/>
  <c r="D2694" i="4"/>
  <c r="D11707" i="4"/>
  <c r="D14016" i="4"/>
  <c r="D2256" i="4"/>
  <c r="D12713" i="4"/>
  <c r="D13241" i="4"/>
  <c r="D8472" i="4"/>
  <c r="D5866" i="4"/>
  <c r="D11388" i="4"/>
  <c r="D14170" i="4"/>
  <c r="D3605" i="4"/>
  <c r="D2364" i="4"/>
  <c r="D3604" i="4"/>
  <c r="D5333" i="4"/>
  <c r="D6900" i="4"/>
  <c r="D8471" i="4"/>
  <c r="D11342" i="4"/>
  <c r="D9433" i="4"/>
  <c r="D5332" i="4"/>
  <c r="D656" i="4"/>
  <c r="D10417" i="4"/>
  <c r="D6495" i="4"/>
  <c r="D9432" i="4"/>
  <c r="D2131" i="4"/>
  <c r="D4063" i="4"/>
  <c r="D2717" i="4"/>
  <c r="D13913" i="4"/>
  <c r="D9431" i="4"/>
  <c r="D6095" i="4"/>
  <c r="D5331" i="4"/>
  <c r="D11315" i="4"/>
  <c r="D3603" i="4"/>
  <c r="D7124" i="4"/>
  <c r="D15130" i="4"/>
  <c r="D14979" i="4"/>
  <c r="D8470" i="4"/>
  <c r="D2799" i="4"/>
  <c r="D3602" i="4"/>
  <c r="D8469" i="4"/>
  <c r="D7021" i="4"/>
  <c r="D8468" i="4"/>
  <c r="D13438" i="4"/>
  <c r="D11075" i="4"/>
  <c r="D5330" i="4"/>
  <c r="D4011" i="4"/>
  <c r="D5329" i="4"/>
  <c r="D5328" i="4"/>
  <c r="D4977" i="4"/>
  <c r="D12027" i="4"/>
  <c r="D8467" i="4"/>
  <c r="D12526" i="4"/>
  <c r="D6410" i="4"/>
  <c r="D1771" i="4"/>
  <c r="D12311" i="4"/>
  <c r="D14808" i="4"/>
  <c r="D2611" i="4"/>
  <c r="D10952" i="4"/>
  <c r="D9430" i="4"/>
  <c r="D811" i="4"/>
  <c r="D1997" i="4"/>
  <c r="D10207" i="4"/>
  <c r="D5327" i="4"/>
  <c r="D3601" i="4"/>
  <c r="D14042" i="4"/>
  <c r="D12640" i="4"/>
  <c r="D10206" i="4"/>
  <c r="D2363" i="4"/>
  <c r="D10205" i="4"/>
  <c r="D9429" i="4"/>
  <c r="D10882" i="4"/>
  <c r="D433" i="4"/>
  <c r="D4435" i="4"/>
  <c r="D9428" i="4"/>
  <c r="D13039" i="4"/>
  <c r="D7123" i="4"/>
  <c r="D3143" i="4"/>
  <c r="D8466" i="4"/>
  <c r="D13327" i="4"/>
  <c r="D11230" i="4"/>
  <c r="D6797" i="4"/>
  <c r="D7281" i="4"/>
  <c r="D8465" i="4"/>
  <c r="D11473" i="4"/>
  <c r="D5737" i="4"/>
  <c r="D13063" i="4"/>
  <c r="D10560" i="4"/>
  <c r="D9427" i="4"/>
  <c r="D5326" i="4"/>
  <c r="D15383" i="4"/>
  <c r="D878" i="4"/>
  <c r="D5325" i="4"/>
  <c r="D5324" i="4"/>
  <c r="D2693" i="4"/>
  <c r="D11963" i="4"/>
  <c r="D3600" i="4"/>
  <c r="D10407" i="4"/>
  <c r="D15382" i="4"/>
  <c r="D11980" i="4"/>
  <c r="D11328" i="4"/>
  <c r="D3599" i="4"/>
  <c r="D11327" i="4"/>
  <c r="D8464" i="4"/>
  <c r="D9908" i="4"/>
  <c r="D655" i="4"/>
  <c r="D12261" i="4"/>
  <c r="D15066" i="4"/>
  <c r="D7163" i="4"/>
  <c r="D13286" i="4"/>
  <c r="D1443" i="4"/>
  <c r="D1513" i="4"/>
  <c r="D8463" i="4"/>
  <c r="D13101" i="4"/>
  <c r="D7217" i="4"/>
  <c r="D8462" i="4"/>
  <c r="D9426" i="4"/>
  <c r="D10951" i="4"/>
  <c r="D9425" i="4"/>
  <c r="D957" i="4"/>
  <c r="D9729" i="4"/>
  <c r="D6349" i="4"/>
  <c r="D10204" i="4"/>
  <c r="D4154" i="4"/>
  <c r="D5323" i="4"/>
  <c r="D8461" i="4"/>
  <c r="D7046" i="4"/>
  <c r="D4997" i="4"/>
  <c r="D2798" i="4"/>
  <c r="D6991" i="4"/>
  <c r="D4659" i="4"/>
  <c r="D11757" i="4"/>
  <c r="D15060" i="4"/>
  <c r="D14201" i="4"/>
  <c r="D557" i="4"/>
  <c r="D11998" i="4"/>
  <c r="D5322" i="4"/>
  <c r="D5781" i="4"/>
  <c r="D9715" i="4"/>
  <c r="D15381" i="4"/>
  <c r="D810" i="4"/>
  <c r="D3217" i="4"/>
  <c r="D10950" i="4"/>
  <c r="D8460" i="4"/>
  <c r="D5846" i="4"/>
  <c r="D11756" i="4"/>
  <c r="D10499" i="4"/>
  <c r="D1950" i="4"/>
  <c r="D11387" i="4"/>
  <c r="D11035" i="4"/>
  <c r="D3598" i="4"/>
  <c r="D9424" i="4"/>
  <c r="D1880" i="4"/>
  <c r="D8459" i="4"/>
  <c r="D12525" i="4"/>
  <c r="D3597" i="4"/>
  <c r="D6657" i="4"/>
  <c r="D14728" i="4"/>
  <c r="D10469" i="4"/>
  <c r="D12207" i="4"/>
  <c r="D12026" i="4"/>
  <c r="D5780" i="4"/>
  <c r="D6899" i="4"/>
  <c r="D4481" i="4"/>
  <c r="D5321" i="4"/>
  <c r="D3012" i="4"/>
  <c r="D11738" i="4"/>
  <c r="D8458" i="4"/>
  <c r="D3596" i="4"/>
  <c r="D5041" i="4"/>
  <c r="D3595" i="4"/>
  <c r="D16" i="4"/>
  <c r="D5320" i="4"/>
  <c r="D10203" i="4"/>
  <c r="D11052" i="4"/>
  <c r="D6409" i="4"/>
  <c r="D3594" i="4"/>
  <c r="D12689" i="4"/>
  <c r="D7183" i="4"/>
  <c r="D3045" i="4"/>
  <c r="D11074" i="4"/>
  <c r="D10202" i="4"/>
  <c r="D1370" i="4"/>
  <c r="D9423" i="4"/>
  <c r="D10201" i="4"/>
  <c r="D3593" i="4"/>
  <c r="D4480" i="4"/>
  <c r="D4332" i="4"/>
  <c r="D11341" i="4"/>
  <c r="D5196" i="4"/>
  <c r="D5969" i="4"/>
  <c r="D6094" i="4"/>
  <c r="D12025" i="4"/>
  <c r="D3592" i="4"/>
  <c r="D9422" i="4"/>
  <c r="D4227" i="4"/>
  <c r="D10200" i="4"/>
  <c r="D1838" i="4"/>
  <c r="D9421" i="4"/>
  <c r="D9420" i="4"/>
  <c r="D2993" i="4"/>
  <c r="D6402" i="4"/>
  <c r="D7071" i="4"/>
  <c r="D15380" i="4"/>
  <c r="D512" i="4"/>
  <c r="D956" i="4"/>
  <c r="D9419" i="4"/>
  <c r="D4116" i="4"/>
  <c r="D2992" i="4"/>
  <c r="D2362" i="4"/>
  <c r="D2610" i="4"/>
  <c r="D752" i="4"/>
  <c r="D3016" i="4"/>
  <c r="D5704" i="4"/>
  <c r="D2915" i="4"/>
  <c r="D11882" i="4"/>
  <c r="D11724" i="4"/>
  <c r="D3938" i="4"/>
  <c r="D3591" i="4"/>
  <c r="D73" i="4"/>
  <c r="D12931" i="4"/>
  <c r="D15379" i="4"/>
  <c r="D13078" i="4"/>
  <c r="D12700" i="4"/>
  <c r="D9418" i="4"/>
  <c r="D5319" i="4"/>
  <c r="D9417" i="4"/>
  <c r="D11278" i="4"/>
  <c r="D3590" i="4"/>
  <c r="D7020" i="4"/>
  <c r="D10792" i="4"/>
  <c r="D14978" i="4"/>
  <c r="D11881" i="4"/>
  <c r="D3589" i="4"/>
  <c r="D17" i="4"/>
  <c r="D14900" i="4"/>
  <c r="D4996" i="4"/>
  <c r="D149" i="4"/>
  <c r="D1644" i="4"/>
  <c r="D13068" i="4"/>
  <c r="D9416" i="4"/>
  <c r="D12951" i="4"/>
  <c r="D10498" i="4"/>
  <c r="D4677" i="4"/>
  <c r="D11737" i="4"/>
  <c r="D14045" i="4"/>
  <c r="D14977" i="4"/>
  <c r="D9415" i="4"/>
  <c r="D955" i="4"/>
  <c r="D139" i="4"/>
  <c r="D5144" i="4"/>
  <c r="D5836" i="4"/>
  <c r="D9414" i="4"/>
  <c r="D2035" i="4"/>
  <c r="D2361" i="4"/>
  <c r="D8457" i="4"/>
  <c r="D909" i="4"/>
  <c r="D4911" i="4"/>
  <c r="D809" i="4"/>
  <c r="D1714" i="4"/>
  <c r="D14588" i="4"/>
  <c r="D954" i="4"/>
  <c r="D11472" i="4"/>
  <c r="D6668" i="4"/>
  <c r="D12639" i="4"/>
  <c r="D14780" i="4"/>
  <c r="D6625" i="4"/>
  <c r="D8456" i="4"/>
  <c r="D3259" i="4"/>
  <c r="D6549" i="4"/>
  <c r="D11294" i="4"/>
  <c r="D5318" i="4"/>
  <c r="D520" i="4"/>
  <c r="D1837" i="4"/>
  <c r="D9999" i="4"/>
  <c r="D8455" i="4"/>
  <c r="D10199" i="4"/>
  <c r="D12930" i="4"/>
  <c r="D208" i="4"/>
  <c r="D3027" i="4"/>
  <c r="D8454" i="4"/>
  <c r="D6253" i="4"/>
  <c r="D72" i="4"/>
  <c r="D152" i="4"/>
  <c r="D3588" i="4"/>
  <c r="D11880" i="4"/>
  <c r="D14807" i="4"/>
  <c r="D13973" i="4"/>
  <c r="D10880" i="4"/>
  <c r="D32" i="4"/>
  <c r="D3015" i="4"/>
  <c r="D9413" i="4"/>
  <c r="D9412" i="4"/>
  <c r="D1717" i="4"/>
  <c r="D15642" i="4"/>
  <c r="D14701" i="4"/>
  <c r="D10397" i="4"/>
  <c r="D8453" i="4"/>
  <c r="D8452" i="4"/>
  <c r="D10893" i="4"/>
  <c r="D192" i="4"/>
  <c r="D168" i="4"/>
  <c r="D3587" i="4"/>
  <c r="D13169" i="4"/>
  <c r="D422" i="4"/>
  <c r="D15641" i="4"/>
  <c r="D14706" i="4"/>
  <c r="D5165" i="4"/>
  <c r="D83" i="4"/>
  <c r="D9411" i="4"/>
  <c r="D4039" i="4"/>
  <c r="D12024" i="4"/>
  <c r="D167" i="4"/>
  <c r="D3586" i="4"/>
  <c r="D8451" i="4"/>
  <c r="D233" i="4"/>
  <c r="D14152" i="4"/>
  <c r="D9410" i="4"/>
  <c r="D5087" i="4"/>
  <c r="D14899" i="4"/>
  <c r="D8450" i="4"/>
  <c r="D9409" i="4"/>
  <c r="D13062" i="4"/>
  <c r="D216" i="4"/>
  <c r="D15378" i="4"/>
  <c r="D440" i="4"/>
  <c r="D6" i="4"/>
  <c r="D14872" i="4"/>
  <c r="D201" i="4"/>
  <c r="D5317" i="4"/>
  <c r="D2797" i="4"/>
  <c r="D11181" i="4"/>
  <c r="D15081" i="4"/>
  <c r="D1274" i="4"/>
  <c r="D2360" i="4"/>
  <c r="D13725" i="4"/>
  <c r="D2359" i="4"/>
  <c r="D4893" i="4"/>
  <c r="D11386" i="4"/>
  <c r="D15377" i="4"/>
  <c r="D8449" i="4"/>
  <c r="D12166" i="4"/>
  <c r="D9907" i="4"/>
  <c r="D2609" i="4"/>
  <c r="D5040" i="4"/>
  <c r="D1488" i="4"/>
  <c r="D6645" i="4"/>
  <c r="D1089" i="4"/>
  <c r="D2796" i="4"/>
  <c r="D953" i="4"/>
  <c r="D578" i="4"/>
  <c r="D4343" i="4"/>
  <c r="D10198" i="4"/>
  <c r="D12658" i="4"/>
  <c r="D877" i="4"/>
  <c r="D11590" i="4"/>
  <c r="D11340" i="4"/>
  <c r="D212" i="4"/>
  <c r="D3585" i="4"/>
  <c r="D2358" i="4"/>
  <c r="D14727" i="4"/>
  <c r="D10559" i="4"/>
  <c r="D9408" i="4"/>
  <c r="D12165" i="4"/>
  <c r="D11339" i="4"/>
  <c r="D9407" i="4"/>
  <c r="D11723" i="4"/>
  <c r="D6696" i="4"/>
  <c r="D4199" i="4"/>
  <c r="D71" i="4"/>
  <c r="D8448" i="4"/>
  <c r="D2971" i="4"/>
  <c r="D5182" i="4"/>
  <c r="D5734" i="4"/>
  <c r="D8447" i="4"/>
  <c r="D9406" i="4"/>
  <c r="D8446" i="4"/>
  <c r="D654" i="4"/>
  <c r="D4101" i="4"/>
  <c r="D209" i="4"/>
  <c r="D8445" i="4"/>
  <c r="D480" i="4"/>
  <c r="D12676" i="4"/>
  <c r="D8444" i="4"/>
  <c r="D12738" i="4"/>
  <c r="D4819" i="4"/>
  <c r="D12559" i="4"/>
  <c r="D10778" i="4"/>
  <c r="D12107" i="4"/>
  <c r="D5316" i="4"/>
  <c r="D8443" i="4"/>
  <c r="D3067" i="4"/>
  <c r="D6721" i="4"/>
  <c r="D10558" i="4"/>
  <c r="D8442" i="4"/>
  <c r="D104" i="4"/>
  <c r="D6667" i="4"/>
  <c r="D11534" i="4"/>
  <c r="D12688" i="4"/>
  <c r="D6620" i="4"/>
  <c r="D36" i="4"/>
  <c r="D12164" i="4"/>
  <c r="D1573" i="4"/>
  <c r="D14806" i="4"/>
  <c r="D8441" i="4"/>
  <c r="D115" i="4"/>
  <c r="D9405" i="4"/>
  <c r="D11180" i="4"/>
  <c r="D11073" i="4"/>
  <c r="D9404" i="4"/>
  <c r="D12628" i="4"/>
  <c r="D8440" i="4"/>
  <c r="D15598" i="4"/>
  <c r="D1512" i="4"/>
  <c r="D11798" i="4"/>
  <c r="D171" i="4"/>
  <c r="D10751" i="4"/>
  <c r="D11879" i="4"/>
  <c r="D1178" i="4"/>
  <c r="D13285" i="4"/>
  <c r="D10451" i="4"/>
  <c r="D5315" i="4"/>
  <c r="D2608" i="4"/>
  <c r="D10639" i="4"/>
  <c r="D14579" i="4"/>
  <c r="D15376" i="4"/>
  <c r="D10917" i="4"/>
  <c r="D4620" i="4"/>
  <c r="D9403" i="4"/>
  <c r="D5314" i="4"/>
  <c r="D4115" i="4"/>
  <c r="D4995" i="4"/>
  <c r="D6666" i="4"/>
  <c r="D9402" i="4"/>
  <c r="D3584" i="4"/>
  <c r="D2607" i="4"/>
  <c r="D4302" i="4"/>
  <c r="D10197" i="4"/>
  <c r="D6962" i="4"/>
  <c r="D1369" i="4"/>
  <c r="D8439" i="4"/>
  <c r="D13724" i="4"/>
  <c r="D5779" i="4"/>
  <c r="D14459" i="4"/>
  <c r="D4267" i="4"/>
  <c r="D5968" i="4"/>
  <c r="D1177" i="4"/>
  <c r="D1836" i="4"/>
  <c r="D12458" i="4"/>
  <c r="D1176" i="4"/>
  <c r="D8438" i="4"/>
  <c r="D12457" i="4"/>
  <c r="D2914" i="4"/>
  <c r="D2357" i="4"/>
  <c r="D13876" i="4"/>
  <c r="D14458" i="4"/>
  <c r="D13723" i="4"/>
  <c r="D13722" i="4"/>
  <c r="D13721" i="4"/>
  <c r="D1175" i="4"/>
  <c r="D13437" i="4"/>
  <c r="D12456" i="4"/>
  <c r="D11144" i="4"/>
  <c r="D2356" i="4"/>
  <c r="D12455" i="4"/>
  <c r="D6961" i="4"/>
  <c r="D1368" i="4"/>
  <c r="D454" i="4"/>
  <c r="D14898" i="4"/>
  <c r="D13720" i="4"/>
  <c r="D13719" i="4"/>
  <c r="D2226" i="4"/>
  <c r="D4153" i="4"/>
  <c r="D1558" i="4"/>
  <c r="D6093" i="4"/>
  <c r="D11817" i="4"/>
  <c r="D13718" i="4"/>
  <c r="D3026" i="4"/>
  <c r="D6856" i="4"/>
  <c r="D15375" i="4"/>
  <c r="D4096" i="4"/>
  <c r="D6960" i="4"/>
  <c r="D1367" i="4"/>
  <c r="D8437" i="4"/>
  <c r="D4779" i="4"/>
  <c r="D6092" i="4"/>
  <c r="D13002" i="4"/>
  <c r="D9803" i="4"/>
  <c r="D12007" i="4"/>
  <c r="D4724" i="4"/>
  <c r="D14457" i="4"/>
  <c r="D13436" i="4"/>
  <c r="D12454" i="4"/>
  <c r="D13859" i="4"/>
  <c r="D12453" i="4"/>
  <c r="D8436" i="4"/>
  <c r="D11878" i="4"/>
  <c r="D6837" i="4"/>
  <c r="D15163" i="4"/>
  <c r="D13435" i="4"/>
  <c r="D11471" i="4"/>
  <c r="D15129" i="4"/>
  <c r="D6252" i="4"/>
  <c r="D8435" i="4"/>
  <c r="D15374" i="4"/>
  <c r="D13972" i="4"/>
  <c r="D12452" i="4"/>
  <c r="D10196" i="4"/>
  <c r="D2606" i="4"/>
  <c r="D1557" i="4"/>
  <c r="D5892" i="4"/>
  <c r="D577" i="4"/>
  <c r="D12451" i="4"/>
  <c r="D11034" i="4"/>
  <c r="D3142" i="4"/>
  <c r="D12450" i="4"/>
  <c r="D4424" i="4"/>
  <c r="D7019" i="4"/>
  <c r="D13717" i="4"/>
  <c r="D4002" i="4"/>
  <c r="D12449" i="4"/>
  <c r="D13434" i="4"/>
  <c r="D6401" i="4"/>
  <c r="D15031" i="4"/>
  <c r="D13716" i="4"/>
  <c r="D8434" i="4"/>
  <c r="D457" i="4"/>
  <c r="D12634" i="4"/>
  <c r="D4301" i="4"/>
  <c r="D12163" i="4"/>
  <c r="D6091" i="4"/>
  <c r="D4095" i="4"/>
  <c r="D5778" i="4"/>
  <c r="D14456" i="4"/>
  <c r="D8433" i="4"/>
  <c r="D6251" i="4"/>
  <c r="D2355" i="4"/>
  <c r="D13433" i="4"/>
  <c r="D15373" i="4"/>
  <c r="D15372" i="4"/>
  <c r="D6875" i="4"/>
  <c r="D4185" i="4"/>
  <c r="D8432" i="4"/>
  <c r="D8431" i="4"/>
  <c r="D6250" i="4"/>
  <c r="D2034" i="4"/>
  <c r="D9401" i="4"/>
  <c r="D13326" i="4"/>
  <c r="D5937" i="4"/>
  <c r="D14151" i="4"/>
  <c r="D10388" i="4"/>
  <c r="D2354" i="4"/>
  <c r="D13325" i="4"/>
  <c r="D8430" i="4"/>
  <c r="D8429" i="4"/>
  <c r="D10195" i="4"/>
  <c r="D12162" i="4"/>
  <c r="D4778" i="4"/>
  <c r="D543" i="4"/>
  <c r="D12558" i="4"/>
  <c r="D14541" i="4"/>
  <c r="D8428" i="4"/>
  <c r="D12448" i="4"/>
  <c r="D12447" i="4"/>
  <c r="D5777" i="4"/>
  <c r="D1897" i="4"/>
  <c r="D4094" i="4"/>
  <c r="D14897" i="4"/>
  <c r="D11241" i="4"/>
  <c r="D8427" i="4"/>
  <c r="D13001" i="4"/>
  <c r="D4300" i="4"/>
  <c r="D8426" i="4"/>
  <c r="D14536" i="4"/>
  <c r="D5776" i="4"/>
  <c r="D5845" i="4"/>
  <c r="D14455" i="4"/>
  <c r="D12446" i="4"/>
  <c r="D13715" i="4"/>
  <c r="D13432" i="4"/>
  <c r="D12967" i="4"/>
  <c r="D6249" i="4"/>
  <c r="D1141" i="4"/>
  <c r="D13431" i="4"/>
  <c r="D6248" i="4"/>
  <c r="D1949" i="4"/>
  <c r="D14062" i="4"/>
  <c r="D15030" i="4"/>
  <c r="D15371" i="4"/>
  <c r="D7280" i="4"/>
  <c r="D8425" i="4"/>
  <c r="D6247" i="4"/>
  <c r="D2353" i="4"/>
  <c r="D4162" i="4"/>
  <c r="D13714" i="4"/>
  <c r="D10194" i="4"/>
  <c r="D8424" i="4"/>
  <c r="D11033" i="4"/>
  <c r="D15162" i="4"/>
  <c r="D4299" i="4"/>
  <c r="D5775" i="4"/>
  <c r="D11595" i="4"/>
  <c r="D1896" i="4"/>
  <c r="D9223" i="4"/>
  <c r="D5967" i="4"/>
  <c r="D13713" i="4"/>
  <c r="D10761" i="4"/>
  <c r="D8423" i="4"/>
  <c r="D7108" i="4"/>
  <c r="D12445" i="4"/>
  <c r="D15604" i="4"/>
  <c r="D576" i="4"/>
  <c r="D8422" i="4"/>
  <c r="D14113" i="4"/>
  <c r="D11051" i="4"/>
  <c r="D6400" i="4"/>
  <c r="D11179" i="4"/>
  <c r="D8421" i="4"/>
  <c r="D9802" i="4"/>
  <c r="D9400" i="4"/>
  <c r="D6587" i="4"/>
  <c r="D7018" i="4"/>
  <c r="D10694" i="4"/>
  <c r="D6246" i="4"/>
  <c r="D9938" i="4"/>
  <c r="D12492" i="4"/>
  <c r="D12444" i="4"/>
  <c r="D6885" i="4"/>
  <c r="D15106" i="4"/>
  <c r="D2795" i="4"/>
  <c r="D2605" i="4"/>
  <c r="D1044" i="4"/>
  <c r="D2169" i="4"/>
  <c r="D14454" i="4"/>
  <c r="D2965" i="4"/>
  <c r="D12443" i="4"/>
  <c r="D3583" i="4"/>
  <c r="D13712" i="4"/>
  <c r="D1835" i="4"/>
  <c r="D9801" i="4"/>
  <c r="D12442" i="4"/>
  <c r="D13430" i="4"/>
  <c r="D13711" i="4"/>
  <c r="D6855" i="4"/>
  <c r="D13710" i="4"/>
  <c r="D3582" i="4"/>
  <c r="D2991" i="4"/>
  <c r="D6959" i="4"/>
  <c r="D1366" i="4"/>
  <c r="D13375" i="4"/>
  <c r="D3581" i="4"/>
  <c r="D8420" i="4"/>
  <c r="D12604" i="4"/>
  <c r="D2352" i="4"/>
  <c r="D5774" i="4"/>
  <c r="D14453" i="4"/>
  <c r="D4562" i="4"/>
  <c r="D8419" i="4"/>
  <c r="D13858" i="4"/>
  <c r="D10607" i="4"/>
  <c r="D13000" i="4"/>
  <c r="D8418" i="4"/>
  <c r="D13429" i="4"/>
  <c r="D8417" i="4"/>
  <c r="D8416" i="4"/>
  <c r="D8415" i="4"/>
  <c r="D13709" i="4"/>
  <c r="D12441" i="4"/>
  <c r="D15054" i="4"/>
  <c r="D8414" i="4"/>
  <c r="D15370" i="4"/>
  <c r="D8413" i="4"/>
  <c r="D6720" i="4"/>
  <c r="D8412" i="4"/>
  <c r="D2207" i="4"/>
  <c r="D14061" i="4"/>
  <c r="D10193" i="4"/>
  <c r="D12635" i="4"/>
  <c r="D9242" i="4"/>
  <c r="D14452" i="4"/>
  <c r="D14451" i="4"/>
  <c r="D9800" i="4"/>
  <c r="D1895" i="4"/>
  <c r="D6603" i="4"/>
  <c r="D15128" i="4"/>
  <c r="D2604" i="4"/>
  <c r="D542" i="4"/>
  <c r="D9279" i="4"/>
  <c r="D13708" i="4"/>
  <c r="D13707" i="4"/>
  <c r="D2074" i="4"/>
  <c r="D13324" i="4"/>
  <c r="D14026" i="4"/>
  <c r="D11877" i="4"/>
  <c r="D1140" i="4"/>
  <c r="D1948" i="4"/>
  <c r="D6874" i="4"/>
  <c r="D4723" i="4"/>
  <c r="D6090" i="4"/>
  <c r="D1511" i="4"/>
  <c r="D15110" i="4"/>
  <c r="D4636" i="4"/>
  <c r="D4342" i="4"/>
  <c r="D8411" i="4"/>
  <c r="D5855" i="4"/>
  <c r="D9799" i="4"/>
  <c r="D13706" i="4"/>
  <c r="D8410" i="4"/>
  <c r="D4352" i="4"/>
  <c r="D4298" i="4"/>
  <c r="D9870" i="4"/>
  <c r="D8409" i="4"/>
  <c r="D8408" i="4"/>
  <c r="D1727" i="4"/>
  <c r="D15127" i="4"/>
  <c r="D8407" i="4"/>
  <c r="D9798" i="4"/>
  <c r="D13705" i="4"/>
  <c r="D14450" i="4"/>
  <c r="D575" i="4"/>
  <c r="D9937" i="4"/>
  <c r="D6644" i="4"/>
  <c r="D6089" i="4"/>
  <c r="D4777" i="4"/>
  <c r="D2794" i="4"/>
  <c r="D10606" i="4"/>
  <c r="D4231" i="4"/>
  <c r="D12440" i="4"/>
  <c r="D11248" i="4"/>
  <c r="D11178" i="4"/>
  <c r="D2351" i="4"/>
  <c r="D2350" i="4"/>
  <c r="D8406" i="4"/>
  <c r="D14644" i="4"/>
  <c r="D10004" i="4"/>
  <c r="D13704" i="4"/>
  <c r="D12243" i="4"/>
  <c r="D2349" i="4"/>
  <c r="D8405" i="4"/>
  <c r="D3580" i="4"/>
  <c r="D13168" i="4"/>
  <c r="D8404" i="4"/>
  <c r="D14129" i="4"/>
  <c r="D6245" i="4"/>
  <c r="D2793" i="4"/>
  <c r="D10192" i="4"/>
  <c r="D1665" i="4"/>
  <c r="D13703" i="4"/>
  <c r="D13702" i="4"/>
  <c r="D8403" i="4"/>
  <c r="D14603" i="4"/>
  <c r="D12439" i="4"/>
  <c r="D10855" i="4"/>
  <c r="D11177" i="4"/>
  <c r="D13701" i="4"/>
  <c r="D14896" i="4"/>
  <c r="D15161" i="4"/>
  <c r="D9399" i="4"/>
  <c r="D13240" i="4"/>
  <c r="D1799" i="4"/>
  <c r="D2883" i="4"/>
  <c r="D8402" i="4"/>
  <c r="D4249" i="4"/>
  <c r="D8401" i="4"/>
  <c r="D4394" i="4"/>
  <c r="D11176" i="4"/>
  <c r="D12771" i="4"/>
  <c r="D8400" i="4"/>
  <c r="D12603" i="4"/>
  <c r="D8399" i="4"/>
  <c r="D4676" i="4"/>
  <c r="D8398" i="4"/>
  <c r="D2792" i="4"/>
  <c r="D15105" i="4"/>
  <c r="D15160" i="4"/>
  <c r="D1273" i="4"/>
  <c r="D4379" i="4"/>
  <c r="D12999" i="4"/>
  <c r="D6088" i="4"/>
  <c r="D5966" i="4"/>
  <c r="D14112" i="4"/>
  <c r="D8397" i="4"/>
  <c r="D1834" i="4"/>
  <c r="D13857" i="4"/>
  <c r="D6399" i="4"/>
  <c r="D10666" i="4"/>
  <c r="D13700" i="4"/>
  <c r="D8396" i="4"/>
  <c r="D8395" i="4"/>
  <c r="D2168" i="4"/>
  <c r="D2033" i="4"/>
  <c r="D13699" i="4"/>
  <c r="D13698" i="4"/>
  <c r="D2603" i="4"/>
  <c r="D4722" i="4"/>
  <c r="D3579" i="4"/>
  <c r="D8394" i="4"/>
  <c r="D5313" i="4"/>
  <c r="D15109" i="4"/>
  <c r="D13971" i="4"/>
  <c r="D14200" i="4"/>
  <c r="D8393" i="4"/>
  <c r="D3141" i="4"/>
  <c r="D9241" i="4"/>
  <c r="D3140" i="4"/>
  <c r="D11551" i="4"/>
  <c r="D8392" i="4"/>
  <c r="D5936" i="4"/>
  <c r="D5051" i="4"/>
  <c r="D13697" i="4"/>
  <c r="D1947" i="4"/>
  <c r="D13696" i="4"/>
  <c r="D12557" i="4"/>
  <c r="D8391" i="4"/>
  <c r="D3578" i="4"/>
  <c r="D14449" i="4"/>
  <c r="D12260" i="4"/>
  <c r="D13428" i="4"/>
  <c r="D5110" i="4"/>
  <c r="D2602" i="4"/>
  <c r="D4479" i="4"/>
  <c r="D6467" i="4"/>
  <c r="D8390" i="4"/>
  <c r="D1946" i="4"/>
  <c r="D4478" i="4"/>
  <c r="D9992" i="4"/>
  <c r="D10863" i="4"/>
  <c r="D2990" i="4"/>
  <c r="D2989" i="4"/>
  <c r="D9797" i="4"/>
  <c r="D4297" i="4"/>
  <c r="D4477" i="4"/>
  <c r="D13239" i="4"/>
  <c r="D8389" i="4"/>
  <c r="D13466" i="4"/>
  <c r="D15369" i="4"/>
  <c r="D1833" i="4"/>
  <c r="D14448" i="4"/>
  <c r="D4093" i="4"/>
  <c r="D14895" i="4"/>
  <c r="D9796" i="4"/>
  <c r="D10557" i="4"/>
  <c r="D9734" i="4"/>
  <c r="D8388" i="4"/>
  <c r="D13695" i="4"/>
  <c r="D8387" i="4"/>
  <c r="D12259" i="4"/>
  <c r="D12770" i="4"/>
  <c r="D3577" i="4"/>
  <c r="D13167" i="4"/>
  <c r="D8386" i="4"/>
  <c r="D8385" i="4"/>
  <c r="D7107" i="4"/>
  <c r="D10191" i="4"/>
  <c r="D8384" i="4"/>
  <c r="D8383" i="4"/>
  <c r="D8382" i="4"/>
  <c r="D14587" i="4"/>
  <c r="D10556" i="4"/>
  <c r="D6958" i="4"/>
  <c r="D1365" i="4"/>
  <c r="D1556" i="4"/>
  <c r="D14447" i="4"/>
  <c r="D14446" i="4"/>
  <c r="D12687" i="4"/>
  <c r="D2791" i="4"/>
  <c r="D11579" i="4"/>
  <c r="D15640" i="4"/>
  <c r="D7001" i="4"/>
  <c r="D13995" i="4"/>
  <c r="D8381" i="4"/>
  <c r="D3576" i="4"/>
  <c r="D4152" i="4"/>
  <c r="D8380" i="4"/>
  <c r="D5891" i="4"/>
  <c r="D9244" i="4"/>
  <c r="D12004" i="4"/>
  <c r="D3575" i="4"/>
  <c r="D12438" i="4"/>
  <c r="D9398" i="4"/>
  <c r="D6348" i="4"/>
  <c r="D3139" i="4"/>
  <c r="D11175" i="4"/>
  <c r="D6244" i="4"/>
  <c r="D11032" i="4"/>
  <c r="D439" i="4"/>
  <c r="D14096" i="4"/>
  <c r="D13903" i="4"/>
  <c r="D11240" i="4"/>
  <c r="D8379" i="4"/>
  <c r="D8378" i="4"/>
  <c r="D14540" i="4"/>
  <c r="D14445" i="4"/>
  <c r="D6243" i="4"/>
  <c r="D1139" i="4"/>
  <c r="D8377" i="4"/>
  <c r="D15368" i="4"/>
  <c r="D9795" i="4"/>
  <c r="D6820" i="4"/>
  <c r="D7122" i="4"/>
  <c r="D8376" i="4"/>
  <c r="D15608" i="4"/>
  <c r="D1909" i="4"/>
  <c r="D12859" i="4"/>
  <c r="D11665" i="4"/>
  <c r="D15159" i="4"/>
  <c r="D4296" i="4"/>
  <c r="D8375" i="4"/>
  <c r="D8374" i="4"/>
  <c r="D11326" i="4"/>
  <c r="D13427" i="4"/>
  <c r="D5935" i="4"/>
  <c r="D7106" i="4"/>
  <c r="D3574" i="4"/>
  <c r="D12657" i="4"/>
  <c r="D3573" i="4"/>
  <c r="D10693" i="4"/>
  <c r="D6087" i="4"/>
  <c r="D8373" i="4"/>
  <c r="D8372" i="4"/>
  <c r="D6332" i="4"/>
  <c r="D12161" i="4"/>
  <c r="D13694" i="4"/>
  <c r="D9917" i="4"/>
  <c r="D4476" i="4"/>
  <c r="D14596" i="4"/>
  <c r="D5890" i="4"/>
  <c r="D1832" i="4"/>
  <c r="D7017" i="4"/>
  <c r="D4423" i="4"/>
  <c r="D2790" i="4"/>
  <c r="D5312" i="4"/>
  <c r="D1688" i="4"/>
  <c r="D14758" i="4"/>
  <c r="D13693" i="4"/>
  <c r="D2530" i="4"/>
  <c r="D14444" i="4"/>
  <c r="D6873" i="4"/>
  <c r="D14443" i="4"/>
  <c r="D13465" i="4"/>
  <c r="D12089" i="4"/>
  <c r="D4173" i="4"/>
  <c r="D8371" i="4"/>
  <c r="D13692" i="4"/>
  <c r="D10190" i="4"/>
  <c r="D4422" i="4"/>
  <c r="D10189" i="4"/>
  <c r="D11876" i="4"/>
  <c r="D8370" i="4"/>
  <c r="D5311" i="4"/>
  <c r="D2789" i="4"/>
  <c r="D14545" i="4"/>
  <c r="D1894" i="4"/>
  <c r="D12437" i="4"/>
  <c r="D8369" i="4"/>
  <c r="D13691" i="4"/>
  <c r="D6836" i="4"/>
  <c r="D5069" i="4"/>
  <c r="D11174" i="4"/>
  <c r="D11550" i="4"/>
  <c r="D3572" i="4"/>
  <c r="D15053" i="4"/>
  <c r="D8368" i="4"/>
  <c r="D10712" i="4"/>
  <c r="D4475" i="4"/>
  <c r="D6872" i="4"/>
  <c r="D6871" i="4"/>
  <c r="D8367" i="4"/>
  <c r="D12966" i="4"/>
  <c r="D8366" i="4"/>
  <c r="D3571" i="4"/>
  <c r="D9397" i="4"/>
  <c r="D2348" i="4"/>
  <c r="D8365" i="4"/>
  <c r="D8364" i="4"/>
  <c r="D9794" i="4"/>
  <c r="D13690" i="4"/>
  <c r="D11755" i="4"/>
  <c r="D11443" i="4"/>
  <c r="D6774" i="4"/>
  <c r="D1798" i="4"/>
  <c r="D4351" i="4"/>
  <c r="D8363" i="4"/>
  <c r="D8362" i="4"/>
  <c r="D13689" i="4"/>
  <c r="D3138" i="4"/>
  <c r="D13688" i="4"/>
  <c r="D5934" i="4"/>
  <c r="D13875" i="4"/>
  <c r="D10468" i="4"/>
  <c r="D13687" i="4"/>
  <c r="D4123" i="4"/>
  <c r="D2347" i="4"/>
  <c r="D8361" i="4"/>
  <c r="D5889" i="4"/>
  <c r="D4861" i="4"/>
  <c r="D11962" i="4"/>
  <c r="D13686" i="4"/>
  <c r="D1770" i="4"/>
  <c r="D10873" i="4"/>
  <c r="D8360" i="4"/>
  <c r="D14158" i="4"/>
  <c r="D6835" i="4"/>
  <c r="D12088" i="4"/>
  <c r="D5050" i="4"/>
  <c r="D4382" i="4"/>
  <c r="D10555" i="4"/>
  <c r="D9991" i="4"/>
  <c r="D13374" i="4"/>
  <c r="D12200" i="4"/>
  <c r="D14442" i="4"/>
  <c r="D498" i="4"/>
  <c r="D8359" i="4"/>
  <c r="D4818" i="4"/>
  <c r="D15029" i="4"/>
  <c r="D3570" i="4"/>
  <c r="D2988" i="4"/>
  <c r="D11104" i="4"/>
  <c r="D3569" i="4"/>
  <c r="D12955" i="4"/>
  <c r="D15028" i="4"/>
  <c r="D8358" i="4"/>
  <c r="D15052" i="4"/>
  <c r="D15104" i="4"/>
  <c r="D4845" i="4"/>
  <c r="D12858" i="4"/>
  <c r="D11664" i="4"/>
  <c r="D14441" i="4"/>
  <c r="D9906" i="4"/>
  <c r="D8357" i="4"/>
  <c r="D2511" i="4"/>
  <c r="D13685" i="4"/>
  <c r="D4675" i="4"/>
  <c r="D12023" i="4"/>
  <c r="D8356" i="4"/>
  <c r="D8355" i="4"/>
  <c r="D8354" i="4"/>
  <c r="D4295" i="4"/>
  <c r="D13970" i="4"/>
  <c r="D8353" i="4"/>
  <c r="D8352" i="4"/>
  <c r="D1272" i="4"/>
  <c r="D8351" i="4"/>
  <c r="D8350" i="4"/>
  <c r="D12206" i="4"/>
  <c r="D12633" i="4"/>
  <c r="D15367" i="4"/>
  <c r="D12097" i="4"/>
  <c r="D11325" i="4"/>
  <c r="D2346" i="4"/>
  <c r="D8349" i="4"/>
  <c r="D12310" i="4"/>
  <c r="D12070" i="4"/>
  <c r="D2529" i="4"/>
  <c r="D13052" i="4"/>
  <c r="D952" i="4"/>
  <c r="D4421" i="4"/>
  <c r="D12556" i="4"/>
  <c r="D3568" i="4"/>
  <c r="D13166" i="4"/>
  <c r="D4474" i="4"/>
  <c r="D15051" i="4"/>
  <c r="D10432" i="4"/>
  <c r="D1687" i="4"/>
  <c r="D5143" i="4"/>
  <c r="D3567" i="4"/>
  <c r="D13684" i="4"/>
  <c r="D8348" i="4"/>
  <c r="D8347" i="4"/>
  <c r="D11173" i="4"/>
  <c r="D11979" i="4"/>
  <c r="D9240" i="4"/>
  <c r="D8346" i="4"/>
  <c r="D13683" i="4"/>
  <c r="D2272" i="4"/>
  <c r="D14440" i="4"/>
  <c r="D4016" i="4"/>
  <c r="D12542" i="4"/>
  <c r="D9239" i="4"/>
  <c r="D13464" i="4"/>
  <c r="D8345" i="4"/>
  <c r="D15158" i="4"/>
  <c r="D8344" i="4"/>
  <c r="D1686" i="4"/>
  <c r="D13969" i="4"/>
  <c r="D13682" i="4"/>
  <c r="D10892" i="4"/>
  <c r="D2964" i="4"/>
  <c r="D14439" i="4"/>
  <c r="D280" i="4"/>
  <c r="D11622" i="4"/>
  <c r="D3967" i="4"/>
  <c r="D8343" i="4"/>
  <c r="D6086" i="4"/>
  <c r="D450" i="4"/>
  <c r="D15639" i="4"/>
  <c r="D14438" i="4"/>
  <c r="D2888" i="4"/>
  <c r="D2345" i="4"/>
  <c r="D14437" i="4"/>
  <c r="D12309" i="4"/>
  <c r="D4619" i="4"/>
  <c r="D12769" i="4"/>
  <c r="D7099" i="4"/>
  <c r="D4024" i="4"/>
  <c r="D4860" i="4"/>
  <c r="D12965" i="4"/>
  <c r="D8342" i="4"/>
  <c r="D10467" i="4"/>
  <c r="D11245" i="4"/>
  <c r="D6466" i="4"/>
  <c r="D1138" i="4"/>
  <c r="D526" i="4"/>
  <c r="D13218" i="4"/>
  <c r="D8341" i="4"/>
  <c r="D8340" i="4"/>
  <c r="D8339" i="4"/>
  <c r="D13681" i="4"/>
  <c r="D8338" i="4"/>
  <c r="D5933" i="4"/>
  <c r="D15285" i="4"/>
  <c r="D4734" i="4"/>
  <c r="D11588" i="4"/>
  <c r="D6085" i="4"/>
  <c r="D9396" i="4"/>
  <c r="D9961" i="4"/>
  <c r="D14128" i="4"/>
  <c r="D12502" i="4"/>
  <c r="D8337" i="4"/>
  <c r="D1137" i="4"/>
  <c r="D13680" i="4"/>
  <c r="D15050" i="4"/>
  <c r="D15638" i="4"/>
  <c r="D9395" i="4"/>
  <c r="D10789" i="4"/>
  <c r="D2882" i="4"/>
  <c r="D8336" i="4"/>
  <c r="D6733" i="4"/>
  <c r="D14535" i="4"/>
  <c r="D12964" i="4"/>
  <c r="D11470" i="4"/>
  <c r="D15103" i="4"/>
  <c r="D8335" i="4"/>
  <c r="D3566" i="4"/>
  <c r="D8334" i="4"/>
  <c r="D6548" i="4"/>
  <c r="D6870" i="4"/>
  <c r="D12963" i="4"/>
  <c r="D11143" i="4"/>
  <c r="D8333" i="4"/>
  <c r="D9238" i="4"/>
  <c r="D9793" i="4"/>
  <c r="D3137" i="4"/>
  <c r="D13679" i="4"/>
  <c r="D12308" i="4"/>
  <c r="D15637" i="4"/>
  <c r="D6957" i="4"/>
  <c r="D1364" i="4"/>
  <c r="D1271" i="4"/>
  <c r="D1270" i="4"/>
  <c r="D1136" i="4"/>
  <c r="D707" i="4"/>
  <c r="D10431" i="4"/>
  <c r="D9260" i="4"/>
  <c r="D4109" i="4"/>
  <c r="D14672" i="4"/>
  <c r="D14436" i="4"/>
  <c r="D1269" i="4"/>
  <c r="D15366" i="4"/>
  <c r="D14435" i="4"/>
  <c r="D1769" i="4"/>
  <c r="D2073" i="4"/>
  <c r="D13874" i="4"/>
  <c r="D9990" i="4"/>
  <c r="D15049" i="4"/>
  <c r="D8332" i="4"/>
  <c r="D13426" i="4"/>
  <c r="D15365" i="4"/>
  <c r="D14747" i="4"/>
  <c r="D3565" i="4"/>
  <c r="D14085" i="4"/>
  <c r="D14434" i="4"/>
  <c r="D2788" i="4"/>
  <c r="D9968" i="4"/>
  <c r="D8331" i="4"/>
  <c r="D13678" i="4"/>
  <c r="D1685" i="4"/>
  <c r="D4092" i="4"/>
  <c r="D13677" i="4"/>
  <c r="D13676" i="4"/>
  <c r="D13902" i="4"/>
  <c r="D4091" i="4"/>
  <c r="D421" i="4"/>
  <c r="D5310" i="4"/>
  <c r="D8330" i="4"/>
  <c r="D3564" i="4"/>
  <c r="D5888" i="4"/>
  <c r="D8329" i="4"/>
  <c r="D3563" i="4"/>
  <c r="D13165" i="4"/>
  <c r="D4294" i="4"/>
  <c r="D8328" i="4"/>
  <c r="D8327" i="4"/>
  <c r="D11731" i="4"/>
  <c r="D8326" i="4"/>
  <c r="D8325" i="4"/>
  <c r="D10188" i="4"/>
  <c r="D5844" i="4"/>
  <c r="D8324" i="4"/>
  <c r="D9394" i="4"/>
  <c r="D6891" i="4"/>
  <c r="D9208" i="4"/>
  <c r="D4256" i="4"/>
  <c r="D14735" i="4"/>
  <c r="D8323" i="4"/>
  <c r="D14199" i="4"/>
  <c r="D6819" i="4"/>
  <c r="D3136" i="4"/>
  <c r="D12307" i="4"/>
  <c r="D13675" i="4"/>
  <c r="D3233" i="4"/>
  <c r="D1945" i="4"/>
  <c r="D2955" i="4"/>
  <c r="D8322" i="4"/>
  <c r="D3562" i="4"/>
  <c r="D8321" i="4"/>
  <c r="D15126" i="4"/>
  <c r="D5932" i="4"/>
  <c r="D13674" i="4"/>
  <c r="D8320" i="4"/>
  <c r="D8319" i="4"/>
  <c r="D3561" i="4"/>
  <c r="D5887" i="4"/>
  <c r="D15027" i="4"/>
  <c r="D8318" i="4"/>
  <c r="D3560" i="4"/>
  <c r="D3559" i="4"/>
  <c r="D1268" i="4"/>
  <c r="D12306" i="4"/>
  <c r="D1174" i="4"/>
  <c r="D5773" i="4"/>
  <c r="D6547" i="4"/>
  <c r="D10949" i="4"/>
  <c r="D15364" i="4"/>
  <c r="D9750" i="4"/>
  <c r="D12962" i="4"/>
  <c r="D12768" i="4"/>
  <c r="D4100" i="4"/>
  <c r="D8317" i="4"/>
  <c r="D2787" i="4"/>
  <c r="D12656" i="4"/>
  <c r="D8316" i="4"/>
  <c r="D12305" i="4"/>
  <c r="D2786" i="4"/>
  <c r="D3244" i="4"/>
  <c r="D8315" i="4"/>
  <c r="D2785" i="4"/>
  <c r="D8314" i="4"/>
  <c r="D11250" i="4"/>
  <c r="D9259" i="4"/>
  <c r="D8313" i="4"/>
  <c r="D1043" i="4"/>
  <c r="D4090" i="4"/>
  <c r="D4089" i="4"/>
  <c r="D1510" i="4"/>
  <c r="D8312" i="4"/>
  <c r="D10187" i="4"/>
  <c r="D8311" i="4"/>
  <c r="D2528" i="4"/>
  <c r="D2784" i="4"/>
  <c r="D2527" i="4"/>
  <c r="D1754" i="4"/>
  <c r="D4261" i="4"/>
  <c r="D11514" i="4"/>
  <c r="D2526" i="4"/>
  <c r="D2032" i="4"/>
  <c r="D8310" i="4"/>
  <c r="D12304" i="4"/>
  <c r="D12303" i="4"/>
  <c r="D10186" i="4"/>
  <c r="D13673" i="4"/>
  <c r="D1753" i="4"/>
  <c r="D8309" i="4"/>
  <c r="D11469" i="4"/>
  <c r="D11094" i="4"/>
  <c r="D1042" i="4"/>
  <c r="D10767" i="4"/>
  <c r="D8308" i="4"/>
  <c r="D8307" i="4"/>
  <c r="D8306" i="4"/>
  <c r="D5965" i="4"/>
  <c r="D14433" i="4"/>
  <c r="D9714" i="4"/>
  <c r="D8305" i="4"/>
  <c r="D4817" i="4"/>
  <c r="D3558" i="4"/>
  <c r="D15048" i="4"/>
  <c r="D5309" i="4"/>
  <c r="D4088" i="4"/>
  <c r="D13672" i="4"/>
  <c r="D3557" i="4"/>
  <c r="D13323" i="4"/>
  <c r="D2783" i="4"/>
  <c r="D12897" i="4"/>
  <c r="D3556" i="4"/>
  <c r="D8304" i="4"/>
  <c r="D6898" i="4"/>
  <c r="D6084" i="4"/>
  <c r="D13425" i="4"/>
  <c r="D15363" i="4"/>
  <c r="D8303" i="4"/>
  <c r="D10185" i="4"/>
  <c r="D2110" i="4"/>
  <c r="D3555" i="4"/>
  <c r="D1509" i="4"/>
  <c r="D6083" i="4"/>
  <c r="D1684" i="4"/>
  <c r="D2692" i="4"/>
  <c r="D15607" i="4"/>
  <c r="D12767" i="4"/>
  <c r="D3135" i="4"/>
  <c r="D3554" i="4"/>
  <c r="D706" i="4"/>
  <c r="D382" i="4"/>
  <c r="D4473" i="4"/>
  <c r="D574" i="4"/>
  <c r="D10184" i="4"/>
  <c r="D8302" i="4"/>
  <c r="D6818" i="4"/>
  <c r="D10183" i="4"/>
  <c r="D2782" i="4"/>
  <c r="D573" i="4"/>
  <c r="D8301" i="4"/>
  <c r="D5772" i="4"/>
  <c r="D3553" i="4"/>
  <c r="D11434" i="4"/>
  <c r="D8300" i="4"/>
  <c r="D14432" i="4"/>
  <c r="D1135" i="4"/>
  <c r="D8299" i="4"/>
  <c r="D8298" i="4"/>
  <c r="D1267" i="4"/>
  <c r="D9214" i="4"/>
  <c r="D12857" i="4"/>
  <c r="D11663" i="4"/>
  <c r="D1683" i="4"/>
  <c r="D8297" i="4"/>
  <c r="D3552" i="4"/>
  <c r="D13671" i="4"/>
  <c r="D3551" i="4"/>
  <c r="D5771" i="4"/>
  <c r="D5770" i="4"/>
  <c r="D2031" i="4"/>
  <c r="D8296" i="4"/>
  <c r="D12607" i="4"/>
  <c r="D470" i="4"/>
  <c r="D447" i="4"/>
  <c r="D13424" i="4"/>
  <c r="D9989" i="4"/>
  <c r="D8295" i="4"/>
  <c r="D13950" i="4"/>
  <c r="D8294" i="4"/>
  <c r="D12302" i="4"/>
  <c r="D8293" i="4"/>
  <c r="D12087" i="4"/>
  <c r="D8292" i="4"/>
  <c r="D14431" i="4"/>
  <c r="D11533" i="4"/>
  <c r="D4816" i="4"/>
  <c r="D8291" i="4"/>
  <c r="D11603" i="4"/>
  <c r="D8290" i="4"/>
  <c r="D1173" i="4"/>
  <c r="D7054" i="4"/>
  <c r="D14095" i="4"/>
  <c r="D8289" i="4"/>
  <c r="D8288" i="4"/>
  <c r="D11875" i="4"/>
  <c r="D8287" i="4"/>
  <c r="D10692" i="4"/>
  <c r="D11532" i="4"/>
  <c r="D12856" i="4"/>
  <c r="D11662" i="4"/>
  <c r="D11646" i="4"/>
  <c r="D292" i="4"/>
  <c r="D8286" i="4"/>
  <c r="D2167" i="4"/>
  <c r="D8285" i="4"/>
  <c r="D1172" i="4"/>
  <c r="D1171" i="4"/>
  <c r="D1944" i="4"/>
  <c r="D13423" i="4"/>
  <c r="D8284" i="4"/>
  <c r="D8283" i="4"/>
  <c r="D4393" i="4"/>
  <c r="D2781" i="4"/>
  <c r="D13373" i="4"/>
  <c r="D12954" i="4"/>
  <c r="D461" i="4"/>
  <c r="D13322" i="4"/>
  <c r="D14430" i="4"/>
  <c r="D8282" i="4"/>
  <c r="D8281" i="4"/>
  <c r="D8280" i="4"/>
  <c r="D4844" i="4"/>
  <c r="D15362" i="4"/>
  <c r="D1726" i="4"/>
  <c r="D13670" i="4"/>
  <c r="D13669" i="4"/>
  <c r="D2525" i="4"/>
  <c r="D11797" i="4"/>
  <c r="D14060" i="4"/>
  <c r="D12301" i="4"/>
  <c r="D3550" i="4"/>
  <c r="D13668" i="4"/>
  <c r="D13667" i="4"/>
  <c r="D9859" i="4"/>
  <c r="D1943" i="4"/>
  <c r="D10182" i="4"/>
  <c r="D8279" i="4"/>
  <c r="D14429" i="4"/>
  <c r="D2271" i="4"/>
  <c r="D6347" i="4"/>
  <c r="D8278" i="4"/>
  <c r="D3549" i="4"/>
  <c r="D11234" i="4"/>
  <c r="D4420" i="4"/>
  <c r="D2963" i="4"/>
  <c r="D8277" i="4"/>
  <c r="D8276" i="4"/>
  <c r="D12766" i="4"/>
  <c r="D1682" i="4"/>
  <c r="D3548" i="4"/>
  <c r="D11247" i="4"/>
  <c r="D10605" i="4"/>
  <c r="D8275" i="4"/>
  <c r="D8274" i="4"/>
  <c r="D12300" i="4"/>
  <c r="D8273" i="4"/>
  <c r="D3547" i="4"/>
  <c r="D7266" i="4"/>
  <c r="D11874" i="4"/>
  <c r="D3546" i="4"/>
  <c r="D4419" i="4"/>
  <c r="D10704" i="4"/>
  <c r="D9393" i="4"/>
  <c r="D438" i="4"/>
  <c r="D11142" i="4"/>
  <c r="D4881" i="4"/>
  <c r="D1681" i="4"/>
  <c r="D6739" i="4"/>
  <c r="D1942" i="4"/>
  <c r="D15026" i="4"/>
  <c r="D358" i="4"/>
  <c r="D11873" i="4"/>
  <c r="D6773" i="4"/>
  <c r="D2524" i="4"/>
  <c r="D13666" i="4"/>
  <c r="D15157" i="4"/>
  <c r="D4418" i="4"/>
  <c r="D2130" i="4"/>
  <c r="D4062" i="4"/>
  <c r="D14894" i="4"/>
  <c r="D13027" i="4"/>
  <c r="D3545" i="4"/>
  <c r="D14893" i="4"/>
  <c r="D14094" i="4"/>
  <c r="D13665" i="4"/>
  <c r="D13664" i="4"/>
  <c r="D6082" i="4"/>
  <c r="D14643" i="4"/>
  <c r="D4776" i="4"/>
  <c r="D5886" i="4"/>
  <c r="D8272" i="4"/>
  <c r="D14059" i="4"/>
  <c r="D3250" i="4"/>
  <c r="D4417" i="4"/>
  <c r="D14428" i="4"/>
  <c r="D3544" i="4"/>
  <c r="D13164" i="4"/>
  <c r="D13422" i="4"/>
  <c r="D11172" i="4"/>
  <c r="D6081" i="4"/>
  <c r="D3066" i="4"/>
  <c r="D6080" i="4"/>
  <c r="D9392" i="4"/>
  <c r="D3543" i="4"/>
  <c r="D5109" i="4"/>
  <c r="D11023" i="4"/>
  <c r="D4645" i="4"/>
  <c r="D2987" i="4"/>
  <c r="D4198" i="4"/>
  <c r="D14198" i="4"/>
  <c r="D4873" i="4"/>
  <c r="D8271" i="4"/>
  <c r="D1170" i="4"/>
  <c r="D13663" i="4"/>
  <c r="D15361" i="4"/>
  <c r="D12655" i="4"/>
  <c r="D13421" i="4"/>
  <c r="D13420" i="4"/>
  <c r="D6577" i="4"/>
  <c r="D11468" i="4"/>
  <c r="D2344" i="4"/>
  <c r="D13662" i="4"/>
  <c r="D8270" i="4"/>
  <c r="D14805" i="4"/>
  <c r="D1941" i="4"/>
  <c r="D1459" i="4"/>
  <c r="D12855" i="4"/>
  <c r="D11661" i="4"/>
  <c r="D705" i="4"/>
  <c r="D6079" i="4"/>
  <c r="D11660" i="4"/>
  <c r="D1831" i="4"/>
  <c r="D12086" i="4"/>
  <c r="D8269" i="4"/>
  <c r="D13419" i="4"/>
  <c r="D15125" i="4"/>
  <c r="D572" i="4"/>
  <c r="D14804" i="4"/>
  <c r="D4255" i="4"/>
  <c r="D15360" i="4"/>
  <c r="D15025" i="4"/>
  <c r="D8268" i="4"/>
  <c r="D2343" i="4"/>
  <c r="D10466" i="4"/>
  <c r="D2225" i="4"/>
  <c r="D14058" i="4"/>
  <c r="D6078" i="4"/>
  <c r="D13661" i="4"/>
  <c r="D2780" i="4"/>
  <c r="D3542" i="4"/>
  <c r="D8267" i="4"/>
  <c r="D5108" i="4"/>
  <c r="D8266" i="4"/>
  <c r="D3541" i="4"/>
  <c r="D3540" i="4"/>
  <c r="D13163" i="4"/>
  <c r="D14427" i="4"/>
  <c r="D4416" i="4"/>
  <c r="D13660" i="4"/>
  <c r="D8265" i="4"/>
  <c r="D9391" i="4"/>
  <c r="D4721" i="4"/>
  <c r="D8264" i="4"/>
  <c r="D8263" i="4"/>
  <c r="D14127" i="4"/>
  <c r="D337" i="4"/>
  <c r="D10691" i="4"/>
  <c r="D4720" i="4"/>
  <c r="D951" i="4"/>
  <c r="D10905" i="4"/>
  <c r="D1458" i="4"/>
  <c r="D8262" i="4"/>
  <c r="D1041" i="4"/>
  <c r="D9840" i="4"/>
  <c r="D14426" i="4"/>
  <c r="D3134" i="4"/>
  <c r="D3133" i="4"/>
  <c r="D4815" i="4"/>
  <c r="D1266" i="4"/>
  <c r="D381" i="4"/>
  <c r="D279" i="4"/>
  <c r="D14425" i="4"/>
  <c r="D704" i="4"/>
  <c r="D8261" i="4"/>
  <c r="D13659" i="4"/>
  <c r="D14424" i="4"/>
  <c r="D12854" i="4"/>
  <c r="D11659" i="4"/>
  <c r="D8260" i="4"/>
  <c r="D3539" i="4"/>
  <c r="D8259" i="4"/>
  <c r="D8258" i="4"/>
  <c r="D13658" i="4"/>
  <c r="D2097" i="4"/>
  <c r="D9390" i="4"/>
  <c r="D4038" i="4"/>
  <c r="D908" i="4"/>
  <c r="D12125" i="4"/>
  <c r="D1265" i="4"/>
  <c r="D8257" i="4"/>
  <c r="D10181" i="4"/>
  <c r="D12160" i="4"/>
  <c r="D9389" i="4"/>
  <c r="D8256" i="4"/>
  <c r="D9210" i="4"/>
  <c r="D2939" i="4"/>
  <c r="D1134" i="4"/>
  <c r="D13657" i="4"/>
  <c r="D14690" i="4"/>
  <c r="D9388" i="4"/>
  <c r="D3538" i="4"/>
  <c r="D1768" i="4"/>
  <c r="D13656" i="4"/>
  <c r="D11025" i="4"/>
  <c r="D13104" i="4"/>
  <c r="D3946" i="4"/>
  <c r="D3537" i="4"/>
  <c r="D2342" i="4"/>
  <c r="D8255" i="4"/>
  <c r="D4161" i="4"/>
  <c r="D14689" i="4"/>
  <c r="D11578" i="4"/>
  <c r="D1264" i="4"/>
  <c r="D13655" i="4"/>
  <c r="D6602" i="4"/>
  <c r="D3232" i="4"/>
  <c r="D11141" i="4"/>
  <c r="D6077" i="4"/>
  <c r="D5769" i="4"/>
  <c r="D15102" i="4"/>
  <c r="D13238" i="4"/>
  <c r="D10678" i="4"/>
  <c r="D1704" i="4"/>
  <c r="D13654" i="4"/>
  <c r="D8254" i="4"/>
  <c r="D7207" i="4"/>
  <c r="D8253" i="4"/>
  <c r="D10180" i="4"/>
  <c r="D7206" i="4"/>
  <c r="D13653" i="4"/>
  <c r="D5768" i="4"/>
  <c r="D1471" i="4"/>
  <c r="D10179" i="4"/>
  <c r="D8252" i="4"/>
  <c r="D13281" i="4"/>
  <c r="D14015" i="4"/>
  <c r="D8251" i="4"/>
  <c r="D2779" i="4"/>
  <c r="D15047" i="4"/>
  <c r="D10711" i="4"/>
  <c r="D14746" i="4"/>
  <c r="D14642" i="4"/>
  <c r="D10554" i="4"/>
  <c r="D1169" i="4"/>
  <c r="D1470" i="4"/>
  <c r="D3536" i="4"/>
  <c r="D8250" i="4"/>
  <c r="D3535" i="4"/>
  <c r="D10430" i="4"/>
  <c r="D7000" i="4"/>
  <c r="D8249" i="4"/>
  <c r="D12654" i="4"/>
  <c r="D10489" i="4"/>
  <c r="D9258" i="4"/>
  <c r="D14892" i="4"/>
  <c r="D10839" i="4"/>
  <c r="D8248" i="4"/>
  <c r="D12765" i="4"/>
  <c r="D10178" i="4"/>
  <c r="D8247" i="4"/>
  <c r="D12069" i="4"/>
  <c r="D9257" i="4"/>
  <c r="D5308" i="4"/>
  <c r="D15636" i="4"/>
  <c r="D8246" i="4"/>
  <c r="D8245" i="4"/>
  <c r="D13652" i="4"/>
  <c r="D12853" i="4"/>
  <c r="D11658" i="4"/>
  <c r="D8244" i="4"/>
  <c r="D4472" i="4"/>
  <c r="D12852" i="4"/>
  <c r="D8243" i="4"/>
  <c r="D8242" i="4"/>
  <c r="D4293" i="4"/>
  <c r="D380" i="4"/>
  <c r="D12299" i="4"/>
  <c r="D10016" i="4"/>
  <c r="D4087" i="4"/>
  <c r="D13003" i="4"/>
  <c r="D12555" i="4"/>
  <c r="D5885" i="4"/>
  <c r="D8241" i="4"/>
  <c r="D14891" i="4"/>
  <c r="D3534" i="4"/>
  <c r="D2523" i="4"/>
  <c r="D8240" i="4"/>
  <c r="D11754" i="4"/>
  <c r="D12632" i="4"/>
  <c r="D2030" i="4"/>
  <c r="D6391" i="4"/>
  <c r="D3132" i="4"/>
  <c r="D3131" i="4"/>
  <c r="D8239" i="4"/>
  <c r="D4099" i="4"/>
  <c r="D400" i="4"/>
  <c r="D3257" i="4"/>
  <c r="D7295" i="4"/>
  <c r="D10914" i="4"/>
  <c r="D2341" i="4"/>
  <c r="D4197" i="4"/>
  <c r="D14111" i="4"/>
  <c r="D12579" i="4"/>
  <c r="D4196" i="4"/>
  <c r="D14688" i="4"/>
  <c r="D14423" i="4"/>
  <c r="D5964" i="4"/>
  <c r="D5963" i="4"/>
  <c r="D1703" i="4"/>
  <c r="D950" i="4"/>
  <c r="D8238" i="4"/>
  <c r="D5307" i="4"/>
  <c r="D8237" i="4"/>
  <c r="D1702" i="4"/>
  <c r="D10177" i="4"/>
  <c r="D14745" i="4"/>
  <c r="D6076" i="4"/>
  <c r="D4292" i="4"/>
  <c r="D13932" i="4"/>
  <c r="D487" i="4"/>
  <c r="D15635" i="4"/>
  <c r="D14084" i="4"/>
  <c r="D8236" i="4"/>
  <c r="D2778" i="4"/>
  <c r="D13217" i="4"/>
  <c r="D1088" i="4"/>
  <c r="D5022" i="4"/>
  <c r="D8235" i="4"/>
  <c r="D6624" i="4"/>
  <c r="D14422" i="4"/>
  <c r="D5962" i="4"/>
  <c r="D8234" i="4"/>
  <c r="D1040" i="4"/>
  <c r="D1701" i="4"/>
  <c r="D14421" i="4"/>
  <c r="D13651" i="4"/>
  <c r="D4078" i="4"/>
  <c r="D327" i="4"/>
  <c r="D14420" i="4"/>
  <c r="D12998" i="4"/>
  <c r="D6465" i="4"/>
  <c r="D7279" i="4"/>
  <c r="D12298" i="4"/>
  <c r="D13856" i="4"/>
  <c r="D8233" i="4"/>
  <c r="D8232" i="4"/>
  <c r="D3130" i="4"/>
  <c r="D4814" i="4"/>
  <c r="D876" i="4"/>
  <c r="D1915" i="4"/>
  <c r="D14671" i="4"/>
  <c r="D14803" i="4"/>
  <c r="D12764" i="4"/>
  <c r="D14419" i="4"/>
  <c r="D11571" i="4"/>
  <c r="D13650" i="4"/>
  <c r="D1112" i="4"/>
  <c r="D6075" i="4"/>
  <c r="D556" i="4"/>
  <c r="D10176" i="4"/>
  <c r="D8231" i="4"/>
  <c r="D8230" i="4"/>
  <c r="D10175" i="4"/>
  <c r="D1680" i="4"/>
  <c r="D1168" i="4"/>
  <c r="D1363" i="4"/>
  <c r="D13418" i="4"/>
  <c r="D431" i="4"/>
  <c r="D11606" i="4"/>
  <c r="D11531" i="4"/>
  <c r="D8229" i="4"/>
  <c r="D14418" i="4"/>
  <c r="D1167" i="4"/>
  <c r="D6074" i="4"/>
  <c r="D703" i="4"/>
  <c r="D6990" i="4"/>
  <c r="D8228" i="4"/>
  <c r="D1830" i="4"/>
  <c r="D7205" i="4"/>
  <c r="D14417" i="4"/>
  <c r="D4320" i="4"/>
  <c r="D13649" i="4"/>
  <c r="D3976" i="4"/>
  <c r="D6073" i="4"/>
  <c r="D9988" i="4"/>
  <c r="D2777" i="4"/>
  <c r="D702" i="4"/>
  <c r="D12961" i="4"/>
  <c r="D9916" i="4"/>
  <c r="D11816" i="4"/>
  <c r="D6665" i="4"/>
  <c r="D14416" i="4"/>
  <c r="D5872" i="4"/>
  <c r="D12686" i="4"/>
  <c r="D6619" i="4"/>
  <c r="D12236" i="4"/>
  <c r="D5075" i="4"/>
  <c r="D2340" i="4"/>
  <c r="D11513" i="4"/>
  <c r="D8227" i="4"/>
  <c r="D8226" i="4"/>
  <c r="D3129" i="4"/>
  <c r="D875" i="4"/>
  <c r="D8225" i="4"/>
  <c r="D11736" i="4"/>
  <c r="D5854" i="4"/>
  <c r="D13648" i="4"/>
  <c r="D8224" i="4"/>
  <c r="D15024" i="4"/>
  <c r="D13647" i="4"/>
  <c r="D8223" i="4"/>
  <c r="D12851" i="4"/>
  <c r="D11657" i="4"/>
  <c r="D8222" i="4"/>
  <c r="D2339" i="4"/>
  <c r="D12763" i="4"/>
  <c r="D2338" i="4"/>
  <c r="D4415" i="4"/>
  <c r="D8221" i="4"/>
  <c r="D2776" i="4"/>
  <c r="D13321" i="4"/>
  <c r="D8220" i="4"/>
  <c r="D12436" i="4"/>
  <c r="D10174" i="4"/>
  <c r="D2139" i="4"/>
  <c r="D15101" i="4"/>
  <c r="D8219" i="4"/>
  <c r="D5306" i="4"/>
  <c r="D1901" i="4"/>
  <c r="D5068" i="4"/>
  <c r="D1133" i="4"/>
  <c r="D14415" i="4"/>
  <c r="D5884" i="4"/>
  <c r="D8218" i="4"/>
  <c r="D8217" i="4"/>
  <c r="D6072" i="4"/>
  <c r="D9387" i="4"/>
  <c r="D8216" i="4"/>
  <c r="D13417" i="4"/>
  <c r="D6071" i="4"/>
  <c r="D1679" i="4"/>
  <c r="D1797" i="4"/>
  <c r="D15023" i="4"/>
  <c r="D701" i="4"/>
  <c r="D13646" i="4"/>
  <c r="D5931" i="4"/>
  <c r="D1362" i="4"/>
  <c r="D3533" i="4"/>
  <c r="D13162" i="4"/>
  <c r="D12762" i="4"/>
  <c r="D9792" i="4"/>
  <c r="D14802" i="4"/>
  <c r="D6834" i="4"/>
  <c r="D8215" i="4"/>
  <c r="D4775" i="4"/>
  <c r="D14641" i="4"/>
  <c r="D9207" i="4"/>
  <c r="D14414" i="4"/>
  <c r="D8214" i="4"/>
  <c r="D5305" i="4"/>
  <c r="D9217" i="4"/>
  <c r="D2029" i="4"/>
  <c r="D8213" i="4"/>
  <c r="D13645" i="4"/>
  <c r="D14413" i="4"/>
  <c r="D6546" i="4"/>
  <c r="D15022" i="4"/>
  <c r="D8212" i="4"/>
  <c r="D10173" i="4"/>
  <c r="D12068" i="4"/>
  <c r="D2255" i="4"/>
  <c r="D4237" i="4"/>
  <c r="D14801" i="4"/>
  <c r="D336" i="4"/>
  <c r="D10726" i="4"/>
  <c r="D8211" i="4"/>
  <c r="D9256" i="4"/>
  <c r="D3532" i="4"/>
  <c r="D12761" i="4"/>
  <c r="D8210" i="4"/>
  <c r="D474" i="4"/>
  <c r="D13949" i="4"/>
  <c r="D3531" i="4"/>
  <c r="D14800" i="4"/>
  <c r="D3530" i="4"/>
  <c r="D13161" i="4"/>
  <c r="D8209" i="4"/>
  <c r="D8208" i="4"/>
  <c r="D4753" i="4"/>
  <c r="D14670" i="4"/>
  <c r="D13644" i="4"/>
  <c r="D2601" i="4"/>
  <c r="D3529" i="4"/>
  <c r="D13643" i="4"/>
  <c r="D13968" i="4"/>
  <c r="D13077" i="4"/>
  <c r="D15156" i="4"/>
  <c r="D12297" i="4"/>
  <c r="D2923" i="4"/>
  <c r="D1039" i="4"/>
  <c r="D10700" i="4"/>
  <c r="D2254" i="4"/>
  <c r="D1612" i="4"/>
  <c r="D11872" i="4"/>
  <c r="D7182" i="4"/>
  <c r="D14412" i="4"/>
  <c r="D14411" i="4"/>
  <c r="D8207" i="4"/>
  <c r="D13038" i="4"/>
  <c r="D8206" i="4"/>
  <c r="D2775" i="4"/>
  <c r="D9246" i="4"/>
  <c r="D8205" i="4"/>
  <c r="D8204" i="4"/>
  <c r="D7121" i="4"/>
  <c r="D11605" i="4"/>
  <c r="D14410" i="4"/>
  <c r="D14890" i="4"/>
  <c r="D2962" i="4"/>
  <c r="D6070" i="4"/>
  <c r="D10757" i="4"/>
  <c r="D9386" i="4"/>
  <c r="D13416" i="4"/>
  <c r="D10948" i="4"/>
  <c r="D13026" i="4"/>
  <c r="D3528" i="4"/>
  <c r="D1111" i="4"/>
  <c r="D11512" i="4"/>
  <c r="D3527" i="4"/>
  <c r="D4319" i="4"/>
  <c r="D12296" i="4"/>
  <c r="D7120" i="4"/>
  <c r="D571" i="4"/>
  <c r="D12006" i="4"/>
  <c r="D4340" i="4"/>
  <c r="D14409" i="4"/>
  <c r="D9178" i="4"/>
  <c r="D874" i="4"/>
  <c r="D15100" i="4"/>
  <c r="D3243" i="4"/>
  <c r="D3979" i="4"/>
  <c r="D8203" i="4"/>
  <c r="D10665" i="4"/>
  <c r="D12638" i="4"/>
  <c r="D11753" i="4"/>
  <c r="D13237" i="4"/>
  <c r="D11549" i="4"/>
  <c r="D3128" i="4"/>
  <c r="D10172" i="4"/>
  <c r="D13236" i="4"/>
  <c r="D12637" i="4"/>
  <c r="D12636" i="4"/>
  <c r="D14408" i="4"/>
  <c r="D751" i="4"/>
  <c r="D8202" i="4"/>
  <c r="D2337" i="4"/>
  <c r="D6069" i="4"/>
  <c r="D8201" i="4"/>
  <c r="D13415" i="4"/>
  <c r="D7119" i="4"/>
  <c r="D3044" i="4"/>
  <c r="D9901" i="4"/>
  <c r="D2600" i="4"/>
  <c r="D2336" i="4"/>
  <c r="D7016" i="4"/>
  <c r="D808" i="4"/>
  <c r="D3055" i="4"/>
  <c r="D8200" i="4"/>
  <c r="D8199" i="4"/>
  <c r="D1940" i="4"/>
  <c r="D1508" i="4"/>
  <c r="D4054" i="4"/>
  <c r="D2335" i="4"/>
  <c r="D8198" i="4"/>
  <c r="D3526" i="4"/>
  <c r="D4077" i="4"/>
  <c r="D14799" i="4"/>
  <c r="D8197" i="4"/>
  <c r="D473" i="4"/>
  <c r="D8196" i="4"/>
  <c r="D2129" i="4"/>
  <c r="D4061" i="4"/>
  <c r="D6242" i="4"/>
  <c r="D10171" i="4"/>
  <c r="D14407" i="4"/>
  <c r="D7098" i="4"/>
  <c r="D11871" i="4"/>
  <c r="D3525" i="4"/>
  <c r="D8195" i="4"/>
  <c r="D12295" i="4"/>
  <c r="D4053" i="4"/>
  <c r="D12294" i="4"/>
  <c r="D10170" i="4"/>
  <c r="D8194" i="4"/>
  <c r="D8193" i="4"/>
  <c r="D2691" i="4"/>
  <c r="D907" i="4"/>
  <c r="D13372" i="4"/>
  <c r="D14406" i="4"/>
  <c r="D8192" i="4"/>
  <c r="D1469" i="4"/>
  <c r="D8191" i="4"/>
  <c r="D14002" i="4"/>
  <c r="D1263" i="4"/>
  <c r="D15359" i="4"/>
  <c r="D8190" i="4"/>
  <c r="D15358" i="4"/>
  <c r="D12293" i="4"/>
  <c r="D1796" i="4"/>
  <c r="D13642" i="4"/>
  <c r="D14798" i="4"/>
  <c r="D8189" i="4"/>
  <c r="D8188" i="4"/>
  <c r="D4172" i="4"/>
  <c r="D15046" i="4"/>
  <c r="D9385" i="4"/>
  <c r="D8187" i="4"/>
  <c r="D13125" i="4"/>
  <c r="D13414" i="4"/>
  <c r="D8186" i="4"/>
  <c r="D3524" i="4"/>
  <c r="D14405" i="4"/>
  <c r="D15065" i="4"/>
  <c r="D7162" i="4"/>
  <c r="D1262" i="4"/>
  <c r="D11150" i="4"/>
  <c r="D13413" i="4"/>
  <c r="D13994" i="4"/>
  <c r="D8185" i="4"/>
  <c r="D3523" i="4"/>
  <c r="D15093" i="4"/>
  <c r="D1038" i="4"/>
  <c r="D8184" i="4"/>
  <c r="D4080" i="4"/>
  <c r="D9915" i="4"/>
  <c r="D13641" i="4"/>
  <c r="D13899" i="4"/>
  <c r="D1261" i="4"/>
  <c r="D13640" i="4"/>
  <c r="D8183" i="4"/>
  <c r="D5142" i="4"/>
  <c r="D13639" i="4"/>
  <c r="D12258" i="4"/>
  <c r="D10553" i="4"/>
  <c r="D8182" i="4"/>
  <c r="D8181" i="4"/>
  <c r="D13638" i="4"/>
  <c r="D14257" i="4"/>
  <c r="D3945" i="4"/>
  <c r="D1939" i="4"/>
  <c r="D570" i="4"/>
  <c r="D8180" i="4"/>
  <c r="D14404" i="4"/>
  <c r="D5883" i="4"/>
  <c r="D2938" i="4"/>
  <c r="D15155" i="4"/>
  <c r="D1990" i="4"/>
  <c r="D13938" i="4"/>
  <c r="D15099" i="4"/>
  <c r="D4689" i="4"/>
  <c r="D8179" i="4"/>
  <c r="D8178" i="4"/>
  <c r="D9384" i="4"/>
  <c r="D14093" i="4"/>
  <c r="D12292" i="4"/>
  <c r="D13637" i="4"/>
  <c r="D10406" i="4"/>
  <c r="D13124" i="4"/>
  <c r="D3522" i="4"/>
  <c r="D13636" i="4"/>
  <c r="D14403" i="4"/>
  <c r="D1037" i="4"/>
  <c r="D11323" i="4"/>
  <c r="D15634" i="4"/>
  <c r="D8177" i="4"/>
  <c r="D14402" i="4"/>
  <c r="D11870" i="4"/>
  <c r="D14110" i="4"/>
  <c r="D7181" i="4"/>
  <c r="D13635" i="4"/>
  <c r="D8176" i="4"/>
  <c r="D9848" i="4"/>
  <c r="D8175" i="4"/>
  <c r="D15098" i="4"/>
  <c r="D13634" i="4"/>
  <c r="D9383" i="4"/>
  <c r="D6890" i="4"/>
  <c r="D2028" i="4"/>
  <c r="D10169" i="4"/>
  <c r="D8174" i="4"/>
  <c r="D12578" i="4"/>
  <c r="D13633" i="4"/>
  <c r="D13412" i="4"/>
  <c r="D4189" i="4"/>
  <c r="D11815" i="4"/>
  <c r="D15154" i="4"/>
  <c r="D6796" i="4"/>
  <c r="D10646" i="4"/>
  <c r="D8173" i="4"/>
  <c r="D5061" i="4"/>
  <c r="D4884" i="4"/>
  <c r="D6464" i="4"/>
  <c r="D13632" i="4"/>
  <c r="D8172" i="4"/>
  <c r="D6068" i="4"/>
  <c r="D9987" i="4"/>
  <c r="D2599" i="4"/>
  <c r="D1260" i="4"/>
  <c r="D14057" i="4"/>
  <c r="D14401" i="4"/>
  <c r="D2598" i="4"/>
  <c r="D3521" i="4"/>
  <c r="D2922" i="4"/>
  <c r="D750" i="4"/>
  <c r="D13631" i="4"/>
  <c r="D6067" i="4"/>
  <c r="D420" i="4"/>
  <c r="D3520" i="4"/>
  <c r="D12065" i="4"/>
  <c r="D15153" i="4"/>
  <c r="D8171" i="4"/>
  <c r="D9255" i="4"/>
  <c r="D11577" i="4"/>
  <c r="D11062" i="4"/>
  <c r="D8170" i="4"/>
  <c r="D4086" i="4"/>
  <c r="D13630" i="4"/>
  <c r="D6643" i="4"/>
  <c r="D9243" i="4"/>
  <c r="D11031" i="4"/>
  <c r="D6429" i="4"/>
  <c r="D10947" i="4"/>
  <c r="D4378" i="4"/>
  <c r="D13320" i="4"/>
  <c r="D8169" i="4"/>
  <c r="D14669" i="4"/>
  <c r="D11511" i="4"/>
  <c r="D10416" i="4"/>
  <c r="D4391" i="4"/>
  <c r="D10168" i="4"/>
  <c r="D807" i="4"/>
  <c r="D12003" i="4"/>
  <c r="D8168" i="4"/>
  <c r="D11140" i="4"/>
  <c r="D14400" i="4"/>
  <c r="D5304" i="4"/>
  <c r="D15596" i="4"/>
  <c r="D1938" i="4"/>
  <c r="D7278" i="4"/>
  <c r="D4471" i="4"/>
  <c r="D4085" i="4"/>
  <c r="D15357" i="4"/>
  <c r="D2937" i="4"/>
  <c r="D4774" i="4"/>
  <c r="D12435" i="4"/>
  <c r="D15097" i="4"/>
  <c r="D11229" i="4"/>
  <c r="D345" i="4"/>
  <c r="D5303" i="4"/>
  <c r="D3127" i="4"/>
  <c r="D1678" i="4"/>
  <c r="D12760" i="4"/>
  <c r="D9206" i="4"/>
  <c r="D14668" i="4"/>
  <c r="D497" i="4"/>
  <c r="D9254" i="4"/>
  <c r="D13411" i="4"/>
  <c r="D749" i="4"/>
  <c r="D8167" i="4"/>
  <c r="D3223" i="4"/>
  <c r="D14863" i="4"/>
  <c r="D8166" i="4"/>
  <c r="D9986" i="4"/>
  <c r="D653" i="4"/>
  <c r="D3519" i="4"/>
  <c r="D5767" i="4"/>
  <c r="D14399" i="4"/>
  <c r="D1677" i="4"/>
  <c r="D1110" i="4"/>
  <c r="D1457" i="4"/>
  <c r="D8165" i="4"/>
  <c r="D12291" i="4"/>
  <c r="D11752" i="4"/>
  <c r="D15045" i="4"/>
  <c r="D4377" i="4"/>
  <c r="D10488" i="4"/>
  <c r="D5302" i="4"/>
  <c r="D15356" i="4"/>
  <c r="D1259" i="4"/>
  <c r="D6066" i="4"/>
  <c r="D12685" i="4"/>
  <c r="D4859" i="4"/>
  <c r="D8164" i="4"/>
  <c r="D9382" i="4"/>
  <c r="D13629" i="4"/>
  <c r="D11961" i="4"/>
  <c r="D8163" i="4"/>
  <c r="D13628" i="4"/>
  <c r="D2936" i="4"/>
  <c r="D11602" i="4"/>
  <c r="D9791" i="4"/>
  <c r="D2774" i="4"/>
  <c r="D8162" i="4"/>
  <c r="D5301" i="4"/>
  <c r="D8161" i="4"/>
  <c r="D8160" i="4"/>
  <c r="D10552" i="4"/>
  <c r="D3518" i="4"/>
  <c r="D2027" i="4"/>
  <c r="D8159" i="4"/>
  <c r="D8158" i="4"/>
  <c r="D7180" i="4"/>
  <c r="D6692" i="4"/>
  <c r="D12434" i="4"/>
  <c r="D10604" i="4"/>
  <c r="D6398" i="4"/>
  <c r="D8157" i="4"/>
  <c r="D11171" i="4"/>
  <c r="D4020" i="4"/>
  <c r="D8156" i="4"/>
  <c r="D13627" i="4"/>
  <c r="D806" i="4"/>
  <c r="D8155" i="4"/>
  <c r="D3126" i="4"/>
  <c r="D6545" i="4"/>
  <c r="D6544" i="4"/>
  <c r="D2522" i="4"/>
  <c r="D8154" i="4"/>
  <c r="D8153" i="4"/>
  <c r="D14398" i="4"/>
  <c r="D9903" i="4"/>
  <c r="D6543" i="4"/>
  <c r="D13626" i="4"/>
  <c r="D8152" i="4"/>
  <c r="D2887" i="4"/>
  <c r="D8151" i="4"/>
  <c r="D3517" i="4"/>
  <c r="D363" i="4"/>
  <c r="D10450" i="4"/>
  <c r="D7179" i="4"/>
  <c r="D9713" i="4"/>
  <c r="D15355" i="4"/>
  <c r="D3258" i="4"/>
  <c r="D13025" i="4"/>
  <c r="D14397" i="4"/>
  <c r="D8150" i="4"/>
  <c r="D14528" i="4"/>
  <c r="D15152" i="4"/>
  <c r="D12850" i="4"/>
  <c r="D11656" i="4"/>
  <c r="D1762" i="4"/>
  <c r="D8149" i="4"/>
  <c r="D10167" i="4"/>
  <c r="D2597" i="4"/>
  <c r="D8148" i="4"/>
  <c r="D6772" i="4"/>
  <c r="D5107" i="4"/>
  <c r="D8147" i="4"/>
  <c r="D652" i="4"/>
  <c r="D12222" i="4"/>
  <c r="D8146" i="4"/>
  <c r="D2334" i="4"/>
  <c r="D4813" i="4"/>
  <c r="D5300" i="4"/>
  <c r="D3125" i="4"/>
  <c r="D748" i="4"/>
  <c r="D2026" i="4"/>
  <c r="D4004" i="4"/>
  <c r="D5882" i="4"/>
  <c r="D10551" i="4"/>
  <c r="D10166" i="4"/>
  <c r="D8145" i="4"/>
  <c r="D8144" i="4"/>
  <c r="D2935" i="4"/>
  <c r="D13410" i="4"/>
  <c r="D10664" i="4"/>
  <c r="D6463" i="4"/>
  <c r="D14396" i="4"/>
  <c r="D6241" i="4"/>
  <c r="D12002" i="4"/>
  <c r="D8143" i="4"/>
  <c r="D8142" i="4"/>
  <c r="D10603" i="4"/>
  <c r="D12257" i="4"/>
  <c r="D12290" i="4"/>
  <c r="D1631" i="4"/>
  <c r="D873" i="4"/>
  <c r="D8141" i="4"/>
  <c r="D10165" i="4"/>
  <c r="D1109" i="4"/>
  <c r="D13625" i="4"/>
  <c r="D4719" i="4"/>
  <c r="D15354" i="4"/>
  <c r="D4195" i="4"/>
  <c r="D14395" i="4"/>
  <c r="D14394" i="4"/>
  <c r="D15353" i="4"/>
  <c r="D13624" i="4"/>
  <c r="D1700" i="4"/>
  <c r="D11139" i="4"/>
  <c r="D12949" i="4"/>
  <c r="D11467" i="4"/>
  <c r="D5299" i="4"/>
  <c r="D10550" i="4"/>
  <c r="D7178" i="4"/>
  <c r="D11050" i="4"/>
  <c r="D2096" i="4"/>
  <c r="D8140" i="4"/>
  <c r="D1676" i="4"/>
  <c r="D6065" i="4"/>
  <c r="D15352" i="4"/>
  <c r="D11636" i="4"/>
  <c r="D13623" i="4"/>
  <c r="D1675" i="4"/>
  <c r="D8139" i="4"/>
  <c r="D13622" i="4"/>
  <c r="D11138" i="4"/>
  <c r="D1937" i="4"/>
  <c r="D5881" i="4"/>
  <c r="D6064" i="4"/>
  <c r="D7204" i="4"/>
  <c r="D8138" i="4"/>
  <c r="D5766" i="4"/>
  <c r="D4019" i="4"/>
  <c r="D3516" i="4"/>
  <c r="D4718" i="4"/>
  <c r="D5298" i="4"/>
  <c r="D13621" i="4"/>
  <c r="D8137" i="4"/>
  <c r="D9381" i="4"/>
  <c r="D8136" i="4"/>
  <c r="D8135" i="4"/>
  <c r="D6063" i="4"/>
  <c r="D14169" i="4"/>
  <c r="D8134" i="4"/>
  <c r="D9286" i="4"/>
  <c r="D289" i="4"/>
  <c r="D9869" i="4"/>
  <c r="D3515" i="4"/>
  <c r="D8133" i="4"/>
  <c r="D805" i="4"/>
  <c r="D10602" i="4"/>
  <c r="D4291" i="4"/>
  <c r="D2909" i="4"/>
  <c r="D13620" i="4"/>
  <c r="D804" i="4"/>
  <c r="D9380" i="4"/>
  <c r="D13619" i="4"/>
  <c r="D8132" i="4"/>
  <c r="D11628" i="4"/>
  <c r="D651" i="4"/>
  <c r="D13076" i="4"/>
  <c r="D3514" i="4"/>
  <c r="D13409" i="4"/>
  <c r="D9379" i="4"/>
  <c r="D4414" i="4"/>
  <c r="D6062" i="4"/>
  <c r="D516" i="4"/>
  <c r="D9285" i="4"/>
  <c r="D1936" i="4"/>
  <c r="D8131" i="4"/>
  <c r="D5297" i="4"/>
  <c r="D8130" i="4"/>
  <c r="D13618" i="4"/>
  <c r="D11601" i="4"/>
  <c r="D10164" i="4"/>
  <c r="D8129" i="4"/>
  <c r="D8128" i="4"/>
  <c r="D4413" i="4"/>
  <c r="D1829" i="4"/>
  <c r="D14667" i="4"/>
  <c r="D14041" i="4"/>
  <c r="D2773" i="4"/>
  <c r="D12433" i="4"/>
  <c r="D1036" i="4"/>
  <c r="D2333" i="4"/>
  <c r="D8127" i="4"/>
  <c r="D2596" i="4"/>
  <c r="D6061" i="4"/>
  <c r="D1891" i="4"/>
  <c r="D5296" i="4"/>
  <c r="D6601" i="4"/>
  <c r="D13024" i="4"/>
  <c r="D13617" i="4"/>
  <c r="D5049" i="4"/>
  <c r="D15633" i="4"/>
  <c r="D10645" i="4"/>
  <c r="D3124" i="4"/>
  <c r="D5295" i="4"/>
  <c r="D3513" i="4"/>
  <c r="D1361" i="4"/>
  <c r="D5961" i="4"/>
  <c r="D14393" i="4"/>
  <c r="D2772" i="4"/>
  <c r="D8126" i="4"/>
  <c r="D8125" i="4"/>
  <c r="D10549" i="4"/>
  <c r="D4290" i="4"/>
  <c r="D8124" i="4"/>
  <c r="D5067" i="4"/>
  <c r="D291" i="4"/>
  <c r="D6956" i="4"/>
  <c r="D1360" i="4"/>
  <c r="D10163" i="4"/>
  <c r="D7203" i="4"/>
  <c r="D2166" i="4"/>
  <c r="D6060" i="4"/>
  <c r="D10601" i="4"/>
  <c r="D13123" i="4"/>
  <c r="D10940" i="4"/>
  <c r="D11019" i="4"/>
  <c r="D1258" i="4"/>
  <c r="D13616" i="4"/>
  <c r="D5294" i="4"/>
  <c r="D456" i="4"/>
  <c r="D8123" i="4"/>
  <c r="D1752" i="4"/>
  <c r="D2690" i="4"/>
  <c r="D6817" i="4"/>
  <c r="D14392" i="4"/>
  <c r="D1795" i="4"/>
  <c r="D2072" i="4"/>
  <c r="D2138" i="4"/>
  <c r="D872" i="4"/>
  <c r="D8122" i="4"/>
  <c r="D8121" i="4"/>
  <c r="D538" i="4"/>
  <c r="D4240" i="4"/>
  <c r="D4184" i="4"/>
  <c r="D3512" i="4"/>
  <c r="D8120" i="4"/>
  <c r="D13615" i="4"/>
  <c r="D2332" i="4"/>
  <c r="D1935" i="4"/>
  <c r="D14666" i="4"/>
  <c r="D803" i="4"/>
  <c r="D5089" i="4"/>
  <c r="D5880" i="4"/>
  <c r="D6240" i="4"/>
  <c r="D15124" i="4"/>
  <c r="D13614" i="4"/>
  <c r="D1619" i="4"/>
  <c r="D8119" i="4"/>
  <c r="D13037" i="4"/>
  <c r="D4023" i="4"/>
  <c r="D5293" i="4"/>
  <c r="D6059" i="4"/>
  <c r="D14976" i="4"/>
  <c r="D4103" i="4"/>
  <c r="D519" i="4"/>
  <c r="D14391" i="4"/>
  <c r="D14135" i="4"/>
  <c r="D3256" i="4"/>
  <c r="D9790" i="4"/>
  <c r="D8118" i="4"/>
  <c r="D14083" i="4"/>
  <c r="D14109" i="4"/>
  <c r="D10548" i="4"/>
  <c r="D10162" i="4"/>
  <c r="D13613" i="4"/>
  <c r="D2986" i="4"/>
  <c r="D5086" i="4"/>
  <c r="D11530" i="4"/>
  <c r="D7216" i="4"/>
  <c r="D15632" i="4"/>
  <c r="D10396" i="4"/>
  <c r="D8117" i="4"/>
  <c r="D14871" i="4"/>
  <c r="D5039" i="4"/>
  <c r="D8116" i="4"/>
  <c r="D4289" i="4"/>
  <c r="D6058" i="4"/>
  <c r="D9222" i="4"/>
  <c r="D8115" i="4"/>
  <c r="D14390" i="4"/>
  <c r="D4858" i="4"/>
  <c r="D8114" i="4"/>
  <c r="D13612" i="4"/>
  <c r="D13408" i="4"/>
  <c r="D13611" i="4"/>
  <c r="D1468" i="4"/>
  <c r="D9278" i="4"/>
  <c r="D9789" i="4"/>
  <c r="D4412" i="4"/>
  <c r="D13855" i="4"/>
  <c r="D2224" i="4"/>
  <c r="D12289" i="4"/>
  <c r="D13610" i="4"/>
  <c r="D2331" i="4"/>
  <c r="D1707" i="4"/>
  <c r="D4052" i="4"/>
  <c r="D9378" i="4"/>
  <c r="D3123" i="4"/>
  <c r="D3511" i="4"/>
  <c r="D9788" i="4"/>
  <c r="D13609" i="4"/>
  <c r="D8113" i="4"/>
  <c r="D14738" i="4"/>
  <c r="D1767" i="4"/>
  <c r="D4773" i="4"/>
  <c r="D4880" i="4"/>
  <c r="D10600" i="4"/>
  <c r="D13608" i="4"/>
  <c r="D8112" i="4"/>
  <c r="D1359" i="4"/>
  <c r="D6397" i="4"/>
  <c r="D4772" i="4"/>
  <c r="D11010" i="4"/>
  <c r="D14389" i="4"/>
  <c r="D15059" i="4"/>
  <c r="D10161" i="4"/>
  <c r="D2595" i="4"/>
  <c r="D9897" i="4"/>
  <c r="D8111" i="4"/>
  <c r="D8110" i="4"/>
  <c r="D10160" i="4"/>
  <c r="D8109" i="4"/>
  <c r="D12960" i="4"/>
  <c r="D8108" i="4"/>
  <c r="D11814" i="4"/>
  <c r="D6057" i="4"/>
  <c r="D2330" i="4"/>
  <c r="D3510" i="4"/>
  <c r="D9253" i="4"/>
  <c r="D8107" i="4"/>
  <c r="D871" i="4"/>
  <c r="D290" i="4"/>
  <c r="D11960" i="4"/>
  <c r="D11429" i="4"/>
  <c r="D8106" i="4"/>
  <c r="D5292" i="4"/>
  <c r="D14975" i="4"/>
  <c r="D11570" i="4"/>
  <c r="D5291" i="4"/>
  <c r="D7102" i="4"/>
  <c r="D10014" i="4"/>
  <c r="D8105" i="4"/>
  <c r="D14539" i="4"/>
  <c r="D9730" i="4"/>
  <c r="D2205" i="4"/>
  <c r="D3231" i="4"/>
  <c r="D11945" i="4"/>
  <c r="D7202" i="4"/>
  <c r="D5290" i="4"/>
  <c r="D5289" i="4"/>
  <c r="D8104" i="4"/>
  <c r="D3270" i="4"/>
  <c r="D2771" i="4"/>
  <c r="D4717" i="4"/>
  <c r="D8103" i="4"/>
  <c r="D12653" i="4"/>
  <c r="D8102" i="4"/>
  <c r="D8101" i="4"/>
  <c r="D1358" i="4"/>
  <c r="D3509" i="4"/>
  <c r="D11869" i="4"/>
  <c r="D9377" i="4"/>
  <c r="D7201" i="4"/>
  <c r="D3122" i="4"/>
  <c r="D10547" i="4"/>
  <c r="D10159" i="4"/>
  <c r="D1035" i="4"/>
  <c r="D13607" i="4"/>
  <c r="D13023" i="4"/>
  <c r="D6462" i="4"/>
  <c r="D2680" i="4"/>
  <c r="D13319" i="4"/>
  <c r="D4411" i="4"/>
  <c r="D8100" i="4"/>
  <c r="D5288" i="4"/>
  <c r="D1908" i="4"/>
  <c r="D15151" i="4"/>
  <c r="D6056" i="4"/>
  <c r="D5835" i="4"/>
  <c r="D14388" i="4"/>
  <c r="D2594" i="4"/>
  <c r="D1034" i="4"/>
  <c r="D13606" i="4"/>
  <c r="D3508" i="4"/>
  <c r="D4288" i="4"/>
  <c r="D4470" i="4"/>
  <c r="D9376" i="4"/>
  <c r="D10872" i="4"/>
  <c r="D14052" i="4"/>
  <c r="D1033" i="4"/>
  <c r="D8099" i="4"/>
  <c r="D8098" i="4"/>
  <c r="D3507" i="4"/>
  <c r="D11996" i="4"/>
  <c r="D2770" i="4"/>
  <c r="D11072" i="4"/>
  <c r="D9375" i="4"/>
  <c r="D13960" i="4"/>
  <c r="D10788" i="4"/>
  <c r="D569" i="4"/>
  <c r="D4812" i="4"/>
  <c r="D14148" i="4"/>
  <c r="D5287" i="4"/>
  <c r="D8097" i="4"/>
  <c r="D1934" i="4"/>
  <c r="D3506" i="4"/>
  <c r="D8096" i="4"/>
  <c r="D4811" i="4"/>
  <c r="D7118" i="4"/>
  <c r="D9374" i="4"/>
  <c r="D5960" i="4"/>
  <c r="D13605" i="4"/>
  <c r="D10599" i="4"/>
  <c r="D3505" i="4"/>
  <c r="D8095" i="4"/>
  <c r="D1555" i="4"/>
  <c r="D9931" i="4"/>
  <c r="D6816" i="4"/>
  <c r="D8094" i="4"/>
  <c r="D14974" i="4"/>
  <c r="D13604" i="4"/>
  <c r="D13603" i="4"/>
  <c r="D12524" i="4"/>
  <c r="D13371" i="4"/>
  <c r="D747" i="4"/>
  <c r="D8093" i="4"/>
  <c r="D8092" i="4"/>
  <c r="D6934" i="4"/>
  <c r="D8091" i="4"/>
  <c r="D10158" i="4"/>
  <c r="D9373" i="4"/>
  <c r="D4716" i="4"/>
  <c r="D8090" i="4"/>
  <c r="D1357" i="4"/>
  <c r="D6055" i="4"/>
  <c r="D12288" i="4"/>
  <c r="D14014" i="4"/>
  <c r="D4410" i="4"/>
  <c r="D4314" i="4"/>
  <c r="D13602" i="4"/>
  <c r="D802" i="4"/>
  <c r="D12287" i="4"/>
  <c r="D9213" i="4"/>
  <c r="D14040" i="4"/>
  <c r="D10405" i="4"/>
  <c r="D14387" i="4"/>
  <c r="D1766" i="4"/>
  <c r="D2329" i="4"/>
  <c r="D8089" i="4"/>
  <c r="D15351" i="4"/>
  <c r="D14386" i="4"/>
  <c r="D14385" i="4"/>
  <c r="D10546" i="4"/>
  <c r="D13601" i="4"/>
  <c r="D1879" i="4"/>
  <c r="D10598" i="4"/>
  <c r="D419" i="4"/>
  <c r="D2328" i="4"/>
  <c r="D11158" i="4"/>
  <c r="D2327" i="4"/>
  <c r="D14797" i="4"/>
  <c r="D12901" i="4"/>
  <c r="D13600" i="4"/>
  <c r="D12286" i="4"/>
  <c r="D1507" i="4"/>
  <c r="D12491" i="4"/>
  <c r="D9372" i="4"/>
  <c r="D2716" i="4"/>
  <c r="D4994" i="4"/>
  <c r="D4073" i="4"/>
  <c r="D6869" i="4"/>
  <c r="D4583" i="4"/>
  <c r="D3504" i="4"/>
  <c r="D3503" i="4"/>
  <c r="D7258" i="4"/>
  <c r="D7117" i="4"/>
  <c r="D3502" i="4"/>
  <c r="D11959" i="4"/>
  <c r="D13967" i="4"/>
  <c r="D10157" i="4"/>
  <c r="D1993" i="4"/>
  <c r="D13599" i="4"/>
  <c r="D14168" i="4"/>
  <c r="D13598" i="4"/>
  <c r="D3977" i="4"/>
  <c r="D11155" i="4"/>
  <c r="D28" i="4"/>
  <c r="D13216" i="4"/>
  <c r="D5286" i="4"/>
  <c r="D4857" i="4"/>
  <c r="D8088" i="4"/>
  <c r="D10787" i="4"/>
  <c r="D6239" i="4"/>
  <c r="D3501" i="4"/>
  <c r="D8087" i="4"/>
  <c r="D11958" i="4"/>
  <c r="D13597" i="4"/>
  <c r="D6054" i="4"/>
  <c r="D3500" i="4"/>
  <c r="D2769" i="4"/>
  <c r="D8086" i="4"/>
  <c r="D4409" i="4"/>
  <c r="D2985" i="4"/>
  <c r="D5066" i="4"/>
  <c r="D13596" i="4"/>
  <c r="D4140" i="4"/>
  <c r="D8085" i="4"/>
  <c r="D3025" i="4"/>
  <c r="D8084" i="4"/>
  <c r="D8083" i="4"/>
  <c r="D7257" i="4"/>
  <c r="D11813" i="4"/>
  <c r="D5959" i="4"/>
  <c r="D4313" i="4"/>
  <c r="D4690" i="4"/>
  <c r="D2326" i="4"/>
  <c r="D118" i="4"/>
  <c r="D178" i="4"/>
  <c r="D9914" i="4"/>
  <c r="D906" i="4"/>
  <c r="D489" i="4"/>
  <c r="D5285" i="4"/>
  <c r="D15281" i="4"/>
  <c r="D13463" i="4"/>
  <c r="D9787" i="4"/>
  <c r="D12759" i="4"/>
  <c r="D14384" i="4"/>
  <c r="D9212" i="4"/>
  <c r="D8082" i="4"/>
  <c r="D13595" i="4"/>
  <c r="D14383" i="4"/>
  <c r="D8081" i="4"/>
  <c r="D13594" i="4"/>
  <c r="D8080" i="4"/>
  <c r="D700" i="4"/>
  <c r="D14544" i="4"/>
  <c r="D14993" i="4"/>
  <c r="D5284" i="4"/>
  <c r="D4079" i="4"/>
  <c r="D7045" i="4"/>
  <c r="D15021" i="4"/>
  <c r="D8079" i="4"/>
  <c r="D8078" i="4"/>
  <c r="D8077" i="4"/>
  <c r="D5085" i="4"/>
  <c r="D8076" i="4"/>
  <c r="D12235" i="4"/>
  <c r="D9712" i="4"/>
  <c r="D6542" i="4"/>
  <c r="D13122" i="4"/>
  <c r="D2325" i="4"/>
  <c r="D2768" i="4"/>
  <c r="D6719" i="4"/>
  <c r="D53" i="4"/>
  <c r="D12493" i="4"/>
  <c r="D5179" i="4"/>
  <c r="D4151" i="4"/>
  <c r="D8075" i="4"/>
  <c r="D13235" i="4"/>
  <c r="D10725" i="4"/>
  <c r="D9891" i="4"/>
  <c r="D15150" i="4"/>
  <c r="D4037" i="4"/>
  <c r="D13462" i="4"/>
  <c r="D12712" i="4"/>
  <c r="D1032" i="4"/>
  <c r="D3499" i="4"/>
  <c r="D12711" i="4"/>
  <c r="D12627" i="4"/>
  <c r="D12285" i="4"/>
  <c r="D8074" i="4"/>
  <c r="D12849" i="4"/>
  <c r="D11655" i="4"/>
  <c r="D4265" i="4"/>
  <c r="D4408" i="4"/>
  <c r="D10156" i="4"/>
  <c r="D8073" i="4"/>
  <c r="D9177" i="4"/>
  <c r="D13593" i="4"/>
  <c r="D15044" i="4"/>
  <c r="D4856" i="4"/>
  <c r="D3255" i="4"/>
  <c r="D12710" i="4"/>
  <c r="D9924" i="4"/>
  <c r="D12997" i="4"/>
  <c r="D801" i="4"/>
  <c r="D4390" i="4"/>
  <c r="D14197" i="4"/>
  <c r="D9371" i="4"/>
  <c r="D8072" i="4"/>
  <c r="D10943" i="4"/>
  <c r="D3498" i="4"/>
  <c r="D8071" i="4"/>
  <c r="D3497" i="4"/>
  <c r="D8070" i="4"/>
  <c r="D12652" i="4"/>
  <c r="D8069" i="4"/>
  <c r="D13407" i="4"/>
  <c r="D15631" i="4"/>
  <c r="D800" i="4"/>
  <c r="D870" i="4"/>
  <c r="D2103" i="4"/>
  <c r="D8068" i="4"/>
  <c r="D10155" i="4"/>
  <c r="D5283" i="4"/>
  <c r="D10154" i="4"/>
  <c r="D6541" i="4"/>
  <c r="D869" i="4"/>
  <c r="D4084" i="4"/>
  <c r="D15630" i="4"/>
  <c r="D184" i="4"/>
  <c r="D8067" i="4"/>
  <c r="D3937" i="4"/>
  <c r="D5282" i="4"/>
  <c r="D8066" i="4"/>
  <c r="D12256" i="4"/>
  <c r="D12284" i="4"/>
  <c r="D4879" i="4"/>
  <c r="D14013" i="4"/>
  <c r="D8065" i="4"/>
  <c r="D8064" i="4"/>
  <c r="D15629" i="4"/>
  <c r="D14382" i="4"/>
  <c r="D1087" i="4"/>
  <c r="D2877" i="4"/>
  <c r="D8063" i="4"/>
  <c r="D5281" i="4"/>
  <c r="D11020" i="4"/>
  <c r="D8062" i="4"/>
  <c r="D4993" i="4"/>
  <c r="D8061" i="4"/>
  <c r="D3121" i="4"/>
  <c r="D2122" i="4"/>
  <c r="D13953" i="4"/>
  <c r="D11635" i="4"/>
  <c r="D9985" i="4"/>
  <c r="D799" i="4"/>
  <c r="D1917" i="4"/>
  <c r="D3496" i="4"/>
  <c r="D8060" i="4"/>
  <c r="D6893" i="4"/>
  <c r="D9786" i="4"/>
  <c r="D5106" i="4"/>
  <c r="D12283" i="4"/>
  <c r="D6933" i="4"/>
  <c r="D14687" i="4"/>
  <c r="D2324" i="4"/>
  <c r="D8059" i="4"/>
  <c r="D9370" i="4"/>
  <c r="D14381" i="4"/>
  <c r="D45" i="4"/>
  <c r="D13912" i="4"/>
  <c r="D11957" i="4"/>
  <c r="D8058" i="4"/>
  <c r="D127" i="4"/>
  <c r="D3120" i="4"/>
  <c r="D2198" i="4"/>
  <c r="D3495" i="4"/>
  <c r="D905" i="4"/>
  <c r="D8057" i="4"/>
  <c r="D4264" i="4"/>
  <c r="D9369" i="4"/>
  <c r="D4736" i="4"/>
  <c r="D3494" i="4"/>
  <c r="D9930" i="4"/>
  <c r="D10013" i="4"/>
  <c r="D8056" i="4"/>
  <c r="D1890" i="4"/>
  <c r="D14159" i="4"/>
  <c r="D3493" i="4"/>
  <c r="D3492" i="4"/>
  <c r="D4715" i="4"/>
  <c r="D8055" i="4"/>
  <c r="D2954" i="4"/>
  <c r="D3491" i="4"/>
  <c r="D14012" i="4"/>
  <c r="D13869" i="4"/>
  <c r="D8054" i="4"/>
  <c r="D3119" i="4"/>
  <c r="D10663" i="4"/>
  <c r="D8053" i="4"/>
  <c r="D6850" i="4"/>
  <c r="D8052" i="4"/>
  <c r="D10153" i="4"/>
  <c r="D10871" i="4"/>
  <c r="D10429" i="4"/>
  <c r="D14380" i="4"/>
  <c r="D1356" i="4"/>
  <c r="D3490" i="4"/>
  <c r="D4407" i="4"/>
  <c r="D2984" i="4"/>
  <c r="D14889" i="4"/>
  <c r="D9368" i="4"/>
  <c r="D12282" i="4"/>
  <c r="D7215" i="4"/>
  <c r="D5032" i="4"/>
  <c r="D5765" i="4"/>
  <c r="D10152" i="4"/>
  <c r="D14379" i="4"/>
  <c r="D15149" i="4"/>
  <c r="D2767" i="4"/>
  <c r="D14378" i="4"/>
  <c r="D3489" i="4"/>
  <c r="D7060" i="4"/>
  <c r="D2689" i="4"/>
  <c r="D6053" i="4"/>
  <c r="D12085" i="4"/>
  <c r="D11442" i="4"/>
  <c r="D2323" i="4"/>
  <c r="D3043" i="4"/>
  <c r="D8051" i="4"/>
  <c r="D3118" i="4"/>
  <c r="D8050" i="4"/>
  <c r="D8049" i="4"/>
  <c r="D2766" i="4"/>
  <c r="D798" i="4"/>
  <c r="D111" i="4"/>
  <c r="D6216" i="4"/>
  <c r="D4878" i="4"/>
  <c r="D9952" i="4"/>
  <c r="D2934" i="4"/>
  <c r="D4406" i="4"/>
  <c r="D10662" i="4"/>
  <c r="D6540" i="4"/>
  <c r="D3488" i="4"/>
  <c r="D13160" i="4"/>
  <c r="D3487" i="4"/>
  <c r="D2924" i="4"/>
  <c r="D1582" i="4"/>
  <c r="D14731" i="4"/>
  <c r="D4692" i="4"/>
  <c r="D10710" i="4"/>
  <c r="D10415" i="4"/>
  <c r="D8048" i="4"/>
  <c r="D12255" i="4"/>
  <c r="D110" i="4"/>
  <c r="D6215" i="4"/>
  <c r="D2593" i="4"/>
  <c r="D13592" i="4"/>
  <c r="D109" i="4"/>
  <c r="D6214" i="4"/>
  <c r="D8047" i="4"/>
  <c r="D10946" i="4"/>
  <c r="D131" i="4"/>
  <c r="D323" i="4"/>
  <c r="D130" i="4"/>
  <c r="D13406" i="4"/>
  <c r="D1674" i="4"/>
  <c r="D4015" i="4"/>
  <c r="D10151" i="4"/>
  <c r="D12281" i="4"/>
  <c r="D10929" i="4"/>
  <c r="D1257" i="4"/>
  <c r="D9221" i="4"/>
  <c r="D11627" i="4"/>
  <c r="D12280" i="4"/>
  <c r="D10545" i="4"/>
  <c r="D14665" i="4"/>
  <c r="D14686" i="4"/>
  <c r="D11093" i="4"/>
  <c r="D11071" i="4"/>
  <c r="D10449" i="4"/>
  <c r="D147" i="4"/>
  <c r="D15350" i="4"/>
  <c r="D11030" i="4"/>
  <c r="D13911" i="4"/>
  <c r="D14071" i="4"/>
  <c r="D8046" i="4"/>
  <c r="D10150" i="4"/>
  <c r="D6932" i="4"/>
  <c r="D5021" i="4"/>
  <c r="D8045" i="4"/>
  <c r="D6815" i="4"/>
  <c r="D9225" i="4"/>
  <c r="D1699" i="4"/>
  <c r="D6238" i="4"/>
  <c r="D2592" i="4"/>
  <c r="D10904" i="4"/>
  <c r="D13591" i="4"/>
  <c r="D1994" i="4"/>
  <c r="D12709" i="4"/>
  <c r="D3486" i="4"/>
  <c r="D10149" i="4"/>
  <c r="D2322" i="4"/>
  <c r="D3485" i="4"/>
  <c r="D1609" i="4"/>
  <c r="D4239" i="4"/>
  <c r="D3966" i="4"/>
  <c r="D10148" i="4"/>
  <c r="D15349" i="4"/>
  <c r="D10838" i="4"/>
  <c r="D1355" i="4"/>
  <c r="D8044" i="4"/>
  <c r="D10939" i="4"/>
  <c r="D15606" i="4"/>
  <c r="D11029" i="4"/>
  <c r="D15072" i="4"/>
  <c r="D13590" i="4"/>
  <c r="D3975" i="4"/>
  <c r="D11421" i="4"/>
  <c r="D11022" i="4"/>
  <c r="D14377" i="4"/>
  <c r="D2765" i="4"/>
  <c r="D8043" i="4"/>
  <c r="D6942" i="4"/>
  <c r="D904" i="4"/>
  <c r="D2007" i="4"/>
  <c r="D13854" i="4"/>
  <c r="D2321" i="4"/>
  <c r="D13589" i="4"/>
  <c r="D13853" i="4"/>
  <c r="D182" i="4"/>
  <c r="D136" i="4"/>
  <c r="D8042" i="4"/>
  <c r="D14866" i="4"/>
  <c r="D5280" i="4"/>
  <c r="D13588" i="4"/>
  <c r="D14734" i="4"/>
  <c r="D15348" i="4"/>
  <c r="D11441" i="4"/>
  <c r="D3484" i="4"/>
  <c r="D1031" i="4"/>
  <c r="D4389" i="4"/>
  <c r="D8041" i="4"/>
  <c r="D4405" i="4"/>
  <c r="D12279" i="4"/>
  <c r="D4171" i="4"/>
  <c r="D8040" i="4"/>
  <c r="D3483" i="4"/>
  <c r="D650" i="4"/>
  <c r="D12278" i="4"/>
  <c r="D12277" i="4"/>
  <c r="D12276" i="4"/>
  <c r="D3482" i="4"/>
  <c r="D3481" i="4"/>
  <c r="D6868" i="4"/>
  <c r="D9252" i="4"/>
  <c r="D296" i="4"/>
  <c r="D14108" i="4"/>
  <c r="D13234" i="4"/>
  <c r="D12432" i="4"/>
  <c r="D15628" i="4"/>
  <c r="D6203" i="4"/>
  <c r="D8039" i="4"/>
  <c r="D9367" i="4"/>
  <c r="D8038" i="4"/>
  <c r="D13587" i="4"/>
  <c r="D4714" i="4"/>
  <c r="D14640" i="4"/>
  <c r="D12275" i="4"/>
  <c r="D12651" i="4"/>
  <c r="D13586" i="4"/>
  <c r="D4526" i="4"/>
  <c r="D4688" i="4"/>
  <c r="D14700" i="4"/>
  <c r="D10395" i="4"/>
  <c r="D4771" i="4"/>
  <c r="D2320" i="4"/>
  <c r="D5930" i="4"/>
  <c r="D4635" i="4"/>
  <c r="D12650" i="4"/>
  <c r="D11529" i="4"/>
  <c r="D8037" i="4"/>
  <c r="D13585" i="4"/>
  <c r="D15347" i="4"/>
  <c r="D14376" i="4"/>
  <c r="D2591" i="4"/>
  <c r="D14796" i="4"/>
  <c r="D4036" i="4"/>
  <c r="D10903" i="4"/>
  <c r="D5048" i="4"/>
  <c r="D5279" i="4"/>
  <c r="D10544" i="4"/>
  <c r="D14107" i="4"/>
  <c r="D13036" i="4"/>
  <c r="D15627" i="4"/>
  <c r="D3480" i="4"/>
  <c r="D1030" i="4"/>
  <c r="D2688" i="4"/>
  <c r="D3117" i="4"/>
  <c r="D5278" i="4"/>
  <c r="D12001" i="4"/>
  <c r="D1256" i="4"/>
  <c r="D14375" i="4"/>
  <c r="D9266" i="4"/>
  <c r="D8036" i="4"/>
  <c r="D15123" i="4"/>
  <c r="D13405" i="4"/>
  <c r="D3973" i="4"/>
  <c r="D1255" i="4"/>
  <c r="D8035" i="4"/>
  <c r="D11812" i="4"/>
  <c r="D15603" i="4"/>
  <c r="D3252" i="4"/>
  <c r="D3479" i="4"/>
  <c r="D13159" i="4"/>
  <c r="D8034" i="4"/>
  <c r="D7015" i="4"/>
  <c r="D4770" i="4"/>
  <c r="D1713" i="4"/>
  <c r="D797" i="4"/>
  <c r="D8033" i="4"/>
  <c r="D796" i="4"/>
  <c r="D8032" i="4"/>
  <c r="D3116" i="4"/>
  <c r="D10147" i="4"/>
  <c r="D2590" i="4"/>
  <c r="D8031" i="4"/>
  <c r="D8030" i="4"/>
  <c r="D8029" i="4"/>
  <c r="D14011" i="4"/>
  <c r="D6729" i="4"/>
  <c r="D10543" i="4"/>
  <c r="D13584" i="4"/>
  <c r="D10385" i="4"/>
  <c r="D13583" i="4"/>
  <c r="D903" i="4"/>
  <c r="D13582" i="4"/>
  <c r="D13581" i="4"/>
  <c r="D12649" i="4"/>
  <c r="D3242" i="4"/>
  <c r="D15688" i="4"/>
  <c r="D8028" i="4"/>
  <c r="D15346" i="4"/>
  <c r="D8027" i="4"/>
  <c r="D10924" i="4"/>
  <c r="D10661" i="4"/>
  <c r="D8026" i="4"/>
  <c r="D2764" i="4"/>
  <c r="D14870" i="4"/>
  <c r="D8025" i="4"/>
  <c r="D13580" i="4"/>
  <c r="D11510" i="4"/>
  <c r="D15345" i="4"/>
  <c r="D3478" i="4"/>
  <c r="D9890" i="4"/>
  <c r="D3115" i="4"/>
  <c r="D10597" i="4"/>
  <c r="D2184" i="4"/>
  <c r="D2763" i="4"/>
  <c r="D10383" i="4"/>
  <c r="D5095" i="4"/>
  <c r="D100" i="4"/>
  <c r="D2762" i="4"/>
  <c r="D8024" i="4"/>
  <c r="D9366" i="4"/>
  <c r="D8023" i="4"/>
  <c r="D2025" i="4"/>
  <c r="D2128" i="4"/>
  <c r="D4060" i="4"/>
  <c r="D8022" i="4"/>
  <c r="D1673" i="4"/>
  <c r="D9237" i="4"/>
  <c r="D4404" i="4"/>
  <c r="D5277" i="4"/>
  <c r="D11424" i="4"/>
  <c r="D11811" i="4"/>
  <c r="D1029" i="4"/>
  <c r="D10923" i="4"/>
  <c r="D4108" i="4"/>
  <c r="D2950" i="4"/>
  <c r="D1467" i="4"/>
  <c r="D8021" i="4"/>
  <c r="D795" i="4"/>
  <c r="D8020" i="4"/>
  <c r="D2761" i="4"/>
  <c r="D13891" i="4"/>
  <c r="D649" i="4"/>
  <c r="D10542" i="4"/>
  <c r="D5105" i="4"/>
  <c r="D1662" i="4"/>
  <c r="D3477" i="4"/>
  <c r="D9365" i="4"/>
  <c r="D2253" i="4"/>
  <c r="D5276" i="4"/>
  <c r="D3476" i="4"/>
  <c r="D10146" i="4"/>
  <c r="D12708" i="4"/>
  <c r="D13306" i="4"/>
  <c r="D9364" i="4"/>
  <c r="D15687" i="4"/>
  <c r="D15344" i="4"/>
  <c r="D13852" i="4"/>
  <c r="D2760" i="4"/>
  <c r="D11452" i="4"/>
  <c r="D14721" i="4"/>
  <c r="D2759" i="4"/>
  <c r="D10933" i="4"/>
  <c r="D3114" i="4"/>
  <c r="D8019" i="4"/>
  <c r="D2758" i="4"/>
  <c r="D11403" i="4"/>
  <c r="D13579" i="4"/>
  <c r="D3475" i="4"/>
  <c r="D8018" i="4"/>
  <c r="D11644" i="4"/>
  <c r="D10596" i="4"/>
  <c r="D5031" i="4"/>
  <c r="D14260" i="4"/>
  <c r="D4810" i="4"/>
  <c r="D8017" i="4"/>
  <c r="D11706" i="4"/>
  <c r="D8016" i="4"/>
  <c r="D6052" i="4"/>
  <c r="D9211" i="4"/>
  <c r="D10786" i="4"/>
  <c r="D8015" i="4"/>
  <c r="D11796" i="4"/>
  <c r="D11751" i="4"/>
  <c r="D3474" i="4"/>
  <c r="D8014" i="4"/>
  <c r="D357" i="4"/>
  <c r="D8013" i="4"/>
  <c r="D6539" i="4"/>
  <c r="D5275" i="4"/>
  <c r="D4839" i="4"/>
  <c r="D5764" i="4"/>
  <c r="D6708" i="4"/>
  <c r="D2757" i="4"/>
  <c r="D5274" i="4"/>
  <c r="D1254" i="4"/>
  <c r="D8012" i="4"/>
  <c r="D11061" i="4"/>
  <c r="D418" i="4"/>
  <c r="D12274" i="4"/>
  <c r="D5958" i="4"/>
  <c r="D15020" i="4"/>
  <c r="D8011" i="4"/>
  <c r="D3473" i="4"/>
  <c r="D13158" i="4"/>
  <c r="D12242" i="4"/>
  <c r="D1933" i="4"/>
  <c r="D12431" i="4"/>
  <c r="D14538" i="4"/>
  <c r="D12022" i="4"/>
  <c r="D8010" i="4"/>
  <c r="D15343" i="4"/>
  <c r="D3472" i="4"/>
  <c r="D6538" i="4"/>
  <c r="D15043" i="4"/>
  <c r="D8009" i="4"/>
  <c r="D4287" i="4"/>
  <c r="D14039" i="4"/>
  <c r="D3471" i="4"/>
  <c r="D14374" i="4"/>
  <c r="D13578" i="4"/>
  <c r="D4072" i="4"/>
  <c r="D5273" i="4"/>
  <c r="D2006" i="4"/>
  <c r="D10428" i="4"/>
  <c r="D8008" i="4"/>
  <c r="D13577" i="4"/>
  <c r="D794" i="4"/>
  <c r="D1447" i="4"/>
  <c r="D8007" i="4"/>
  <c r="D3470" i="4"/>
  <c r="D14626" i="4"/>
  <c r="D14994" i="4"/>
  <c r="D10145" i="4"/>
  <c r="D4769" i="4"/>
  <c r="D8006" i="4"/>
  <c r="D2024" i="4"/>
  <c r="D5272" i="4"/>
  <c r="D10785" i="4"/>
  <c r="D2756" i="4"/>
  <c r="D14056" i="4"/>
  <c r="D6594" i="4"/>
  <c r="D9866" i="4"/>
  <c r="D9865" i="4"/>
  <c r="D3469" i="4"/>
  <c r="D7103" i="4"/>
  <c r="D14373" i="4"/>
  <c r="D13576" i="4"/>
  <c r="D8005" i="4"/>
  <c r="D8004" i="4"/>
  <c r="D12631" i="4"/>
  <c r="D3113" i="4"/>
  <c r="D13934" i="4"/>
  <c r="D2953" i="4"/>
  <c r="D6921" i="4"/>
  <c r="D10753" i="4"/>
  <c r="D3112" i="4"/>
  <c r="D2197" i="4"/>
  <c r="D1932" i="4"/>
  <c r="D10414" i="4"/>
  <c r="D14372" i="4"/>
  <c r="D9220" i="4"/>
  <c r="D13370" i="4"/>
  <c r="D3111" i="4"/>
  <c r="D10541" i="4"/>
  <c r="D8003" i="4"/>
  <c r="D1108" i="4"/>
  <c r="D8002" i="4"/>
  <c r="D13318" i="4"/>
  <c r="D3024" i="4"/>
  <c r="D15342" i="4"/>
  <c r="D10862" i="4"/>
  <c r="D5871" i="4"/>
  <c r="D9277" i="4"/>
  <c r="D1698" i="4"/>
  <c r="D19" i="4"/>
  <c r="D14371" i="4"/>
  <c r="D8001" i="4"/>
  <c r="D5271" i="4"/>
  <c r="D13575" i="4"/>
  <c r="D13099" i="4"/>
  <c r="D222" i="4"/>
  <c r="D12737" i="4"/>
  <c r="D2319" i="4"/>
  <c r="D9785" i="4"/>
  <c r="D12430" i="4"/>
  <c r="D7087" i="4"/>
  <c r="D4517" i="4"/>
  <c r="D14612" i="4"/>
  <c r="D8000" i="4"/>
  <c r="D5763" i="4"/>
  <c r="D4809" i="4"/>
  <c r="D12736" i="4"/>
  <c r="D4841" i="4"/>
  <c r="D14081" i="4"/>
  <c r="D14370" i="4"/>
  <c r="D12735" i="4"/>
  <c r="D14571" i="4"/>
  <c r="D1931" i="4"/>
  <c r="D15280" i="4"/>
  <c r="D1497" i="4"/>
  <c r="D68" i="4"/>
  <c r="D9749" i="4"/>
  <c r="D15122" i="4"/>
  <c r="D4263" i="4"/>
  <c r="D5270" i="4"/>
  <c r="D2127" i="4"/>
  <c r="D4059" i="4"/>
  <c r="D13851" i="4"/>
  <c r="D13574" i="4"/>
  <c r="D7999" i="4"/>
  <c r="D7998" i="4"/>
  <c r="D1672" i="4"/>
  <c r="D14525" i="4"/>
  <c r="D11244" i="4"/>
  <c r="D7997" i="4"/>
  <c r="D4687" i="4"/>
  <c r="D3468" i="4"/>
  <c r="D10487" i="4"/>
  <c r="D7996" i="4"/>
  <c r="D14733" i="4"/>
  <c r="D9205" i="4"/>
  <c r="D6897" i="4"/>
  <c r="D5957" i="4"/>
  <c r="D10932" i="4"/>
  <c r="D4888" i="4"/>
  <c r="D6346" i="4"/>
  <c r="D5094" i="4"/>
  <c r="D15341" i="4"/>
  <c r="D14629" i="4"/>
  <c r="D4286" i="4"/>
  <c r="D6051" i="4"/>
  <c r="D12953" i="4"/>
  <c r="D11528" i="4"/>
  <c r="D7995" i="4"/>
  <c r="D2715" i="4"/>
  <c r="D7994" i="4"/>
  <c r="D3467" i="4"/>
  <c r="D2318" i="4"/>
  <c r="D14150" i="4"/>
  <c r="D4451" i="4"/>
  <c r="D10144" i="4"/>
  <c r="D6050" i="4"/>
  <c r="D15042" i="4"/>
  <c r="D15019" i="4"/>
  <c r="D1028" i="4"/>
  <c r="D10784" i="4"/>
  <c r="D3110" i="4"/>
  <c r="D14865" i="4"/>
  <c r="D7993" i="4"/>
  <c r="D2204" i="4"/>
  <c r="D3239" i="4"/>
  <c r="D7992" i="4"/>
  <c r="D65" i="4"/>
  <c r="D7991" i="4"/>
  <c r="D13317" i="4"/>
  <c r="D10540" i="4"/>
  <c r="D3466" i="4"/>
  <c r="D11408" i="4"/>
  <c r="D15038" i="4"/>
  <c r="D10539" i="4"/>
  <c r="D9839" i="4"/>
  <c r="D7990" i="4"/>
  <c r="D144" i="4"/>
  <c r="D14369" i="4"/>
  <c r="D11585" i="4"/>
  <c r="D4640" i="4"/>
  <c r="D9363" i="4"/>
  <c r="D868" i="4"/>
  <c r="D9276" i="4"/>
  <c r="D13850" i="4"/>
  <c r="D7989" i="4"/>
  <c r="D7988" i="4"/>
  <c r="D4403" i="4"/>
  <c r="D4361" i="4"/>
  <c r="D3109" i="4"/>
  <c r="D12067" i="4"/>
  <c r="D12021" i="4"/>
  <c r="D2687" i="4"/>
  <c r="D3465" i="4"/>
  <c r="D3464" i="4"/>
  <c r="D3463" i="4"/>
  <c r="D92" i="4"/>
  <c r="D2317" i="4"/>
  <c r="D4402" i="4"/>
  <c r="D3462" i="4"/>
  <c r="D4401" i="4"/>
  <c r="D1506" i="4"/>
  <c r="D902" i="4"/>
  <c r="D7987" i="4"/>
  <c r="D4808" i="4"/>
  <c r="D12231" i="4"/>
  <c r="D14010" i="4"/>
  <c r="D3461" i="4"/>
  <c r="D13573" i="4"/>
  <c r="D11868" i="4"/>
  <c r="D5929" i="4"/>
  <c r="D14368" i="4"/>
  <c r="D97" i="4"/>
  <c r="D128" i="4"/>
  <c r="D215" i="4"/>
  <c r="D7986" i="4"/>
  <c r="D6586" i="4"/>
  <c r="D5870" i="4"/>
  <c r="D5762" i="4"/>
  <c r="D7014" i="4"/>
  <c r="D4807" i="4"/>
  <c r="D3460" i="4"/>
  <c r="D13316" i="4"/>
  <c r="D3459" i="4"/>
  <c r="D1505" i="4"/>
  <c r="D4806" i="4"/>
  <c r="D3458" i="4"/>
  <c r="D5063" i="4"/>
  <c r="D4312" i="4"/>
  <c r="D4855" i="4"/>
  <c r="D7985" i="4"/>
  <c r="D6623" i="4"/>
  <c r="D7984" i="4"/>
  <c r="D10143" i="4"/>
  <c r="D9951" i="4"/>
  <c r="D10142" i="4"/>
  <c r="D4150" i="4"/>
  <c r="D11527" i="4"/>
  <c r="D13572" i="4"/>
  <c r="D13066" i="4"/>
  <c r="D39" i="4"/>
  <c r="D99" i="4"/>
  <c r="D134" i="4"/>
  <c r="D14367" i="4"/>
  <c r="D10750" i="4"/>
  <c r="D10141" i="4"/>
  <c r="D12084" i="4"/>
  <c r="D10867" i="4"/>
  <c r="D1765" i="4"/>
  <c r="D2023" i="4"/>
  <c r="D4854" i="4"/>
  <c r="D4601" i="4"/>
  <c r="D4768" i="4"/>
  <c r="D11611" i="4"/>
  <c r="D11722" i="4"/>
  <c r="D15340" i="4"/>
  <c r="D7983" i="4"/>
  <c r="D7982" i="4"/>
  <c r="D4400" i="4"/>
  <c r="D10497" i="4"/>
  <c r="D7013" i="4"/>
  <c r="D14888" i="4"/>
  <c r="D7981" i="4"/>
  <c r="D6896" i="4"/>
  <c r="D6049" i="4"/>
  <c r="D7980" i="4"/>
  <c r="D10140" i="4"/>
  <c r="D14366" i="4"/>
  <c r="D11956" i="4"/>
  <c r="D13315" i="4"/>
  <c r="D13571" i="4"/>
  <c r="D3108" i="4"/>
  <c r="D7979" i="4"/>
  <c r="D7978" i="4"/>
  <c r="D3457" i="4"/>
  <c r="D13215" i="4"/>
  <c r="D7977" i="4"/>
  <c r="D1132" i="4"/>
  <c r="D14527" i="4"/>
  <c r="D6537" i="4"/>
  <c r="D9362" i="4"/>
  <c r="D4969" i="4"/>
  <c r="D14365" i="4"/>
  <c r="D7976" i="4"/>
  <c r="D6664" i="4"/>
  <c r="D4285" i="4"/>
  <c r="D7975" i="4"/>
  <c r="D399" i="4"/>
  <c r="D6048" i="4"/>
  <c r="D5133" i="4"/>
  <c r="D15692" i="4"/>
  <c r="D15691" i="4"/>
  <c r="D1027" i="4"/>
  <c r="D13404" i="4"/>
  <c r="D4883" i="4"/>
  <c r="D13403" i="4"/>
  <c r="D7101" i="4"/>
  <c r="D3456" i="4"/>
  <c r="D7974" i="4"/>
  <c r="D170" i="4"/>
  <c r="D2071" i="4"/>
  <c r="D1671" i="4"/>
  <c r="D12000" i="4"/>
  <c r="D7973" i="4"/>
  <c r="D13570" i="4"/>
  <c r="D14183" i="4"/>
  <c r="D4388" i="4"/>
  <c r="D2070" i="4"/>
  <c r="D7972" i="4"/>
  <c r="D5269" i="4"/>
  <c r="D7971" i="4"/>
  <c r="D5956" i="4"/>
  <c r="D15121" i="4"/>
  <c r="D7970" i="4"/>
  <c r="D4559" i="4"/>
  <c r="D7969" i="4"/>
  <c r="D5071" i="4"/>
  <c r="D7200" i="4"/>
  <c r="D5268" i="4"/>
  <c r="D4071" i="4"/>
  <c r="D525" i="4"/>
  <c r="D4018" i="4"/>
  <c r="D7968" i="4"/>
  <c r="D7967" i="4"/>
  <c r="D3455" i="4"/>
  <c r="D1587" i="4"/>
  <c r="D5267" i="4"/>
  <c r="D202" i="4"/>
  <c r="D6047" i="4"/>
  <c r="D13569" i="4"/>
  <c r="D10139" i="4"/>
  <c r="D9980" i="4"/>
  <c r="D3454" i="4"/>
  <c r="D12112" i="4"/>
  <c r="D7966" i="4"/>
  <c r="D14196" i="4"/>
  <c r="D15686" i="4"/>
  <c r="D10870" i="4"/>
  <c r="D10891" i="4"/>
  <c r="D4284" i="4"/>
  <c r="D10869" i="4"/>
  <c r="D10777" i="4"/>
  <c r="D14757" i="4"/>
  <c r="D2686" i="4"/>
  <c r="D14685" i="4"/>
  <c r="D14684" i="4"/>
  <c r="D7965" i="4"/>
  <c r="D4014" i="4"/>
  <c r="D2022" i="4"/>
  <c r="D4194" i="4"/>
  <c r="D3453" i="4"/>
  <c r="D3452" i="4"/>
  <c r="D7964" i="4"/>
  <c r="D11867" i="4"/>
  <c r="D11137" i="4"/>
  <c r="D6046" i="4"/>
  <c r="D7012" i="4"/>
  <c r="D5151" i="4"/>
  <c r="D13022" i="4"/>
  <c r="D12273" i="4"/>
  <c r="D2755" i="4"/>
  <c r="D7963" i="4"/>
  <c r="D11750" i="4"/>
  <c r="D5879" i="4"/>
  <c r="D10138" i="4"/>
  <c r="D11610" i="4"/>
  <c r="D107" i="4"/>
  <c r="D12083" i="4"/>
  <c r="D7199" i="4"/>
  <c r="D1670" i="4"/>
  <c r="D13314" i="4"/>
  <c r="D7097" i="4"/>
  <c r="D7962" i="4"/>
  <c r="D82" i="4"/>
  <c r="D10837" i="4"/>
  <c r="D3451" i="4"/>
  <c r="D7961" i="4"/>
  <c r="D4805" i="4"/>
  <c r="D2754" i="4"/>
  <c r="D4767" i="4"/>
  <c r="D949" i="4"/>
  <c r="D14595" i="4"/>
  <c r="D2589" i="4"/>
  <c r="D7011" i="4"/>
  <c r="D4083" i="4"/>
  <c r="D7960" i="4"/>
  <c r="D4648" i="4"/>
  <c r="D13035" i="4"/>
  <c r="D3450" i="4"/>
  <c r="D9361" i="4"/>
  <c r="D948" i="4"/>
  <c r="D1669" i="4"/>
  <c r="D3449" i="4"/>
  <c r="D2316" i="4"/>
  <c r="D6045" i="4"/>
  <c r="D1504" i="4"/>
  <c r="D11810" i="4"/>
  <c r="D11721" i="4"/>
  <c r="D11866" i="4"/>
  <c r="D11526" i="4"/>
  <c r="D5181" i="4"/>
  <c r="D6750" i="4"/>
  <c r="D10945" i="4"/>
  <c r="D6814" i="4"/>
  <c r="D176" i="4"/>
  <c r="D12707" i="4"/>
  <c r="D5266" i="4"/>
  <c r="D13364" i="4"/>
  <c r="D3448" i="4"/>
  <c r="D9360" i="4"/>
  <c r="D3447" i="4"/>
  <c r="D5265" i="4"/>
  <c r="D14364" i="4"/>
  <c r="D89" i="4"/>
  <c r="D2753" i="4"/>
  <c r="D9784" i="4"/>
  <c r="D7105" i="4"/>
  <c r="D3446" i="4"/>
  <c r="D3445" i="4"/>
  <c r="D11466" i="4"/>
  <c r="D13917" i="4"/>
  <c r="D4910" i="4"/>
  <c r="D14106" i="4"/>
  <c r="D6461" i="4"/>
  <c r="D15096" i="4"/>
  <c r="D9905" i="4"/>
  <c r="D5264" i="4"/>
  <c r="D15602" i="4"/>
  <c r="D4909" i="4"/>
  <c r="D1466" i="4"/>
  <c r="D7042" i="4"/>
  <c r="D4728" i="4"/>
  <c r="D6867" i="4"/>
  <c r="D4070" i="4"/>
  <c r="D7959" i="4"/>
  <c r="D11584" i="4"/>
  <c r="D867" i="4"/>
  <c r="D14195" i="4"/>
  <c r="D14732" i="4"/>
  <c r="D14363" i="4"/>
  <c r="D9204" i="4"/>
  <c r="D135" i="4"/>
  <c r="D4399" i="4"/>
  <c r="D1902" i="4"/>
  <c r="D7958" i="4"/>
  <c r="D15339" i="4"/>
  <c r="D7957" i="4"/>
  <c r="D9359" i="4"/>
  <c r="D1465" i="4"/>
  <c r="D11113" i="4"/>
  <c r="D6460" i="4"/>
  <c r="D7956" i="4"/>
  <c r="D13568" i="4"/>
  <c r="D1907" i="4"/>
  <c r="D4558" i="4"/>
  <c r="D14795" i="4"/>
  <c r="D13567" i="4"/>
  <c r="D15338" i="4"/>
  <c r="D13566" i="4"/>
  <c r="D15041" i="4"/>
  <c r="D12630" i="4"/>
  <c r="D7955" i="4"/>
  <c r="D10137" i="4"/>
  <c r="D10644" i="4"/>
  <c r="D3444" i="4"/>
  <c r="D1930" i="4"/>
  <c r="D13060" i="4"/>
  <c r="D3443" i="4"/>
  <c r="D2005" i="4"/>
  <c r="D12734" i="4"/>
  <c r="D14362" i="4"/>
  <c r="D5761" i="4"/>
  <c r="D7954" i="4"/>
  <c r="D44" i="4"/>
  <c r="D3442" i="4"/>
  <c r="D5104" i="4"/>
  <c r="D14361" i="4"/>
  <c r="D7953" i="4"/>
  <c r="D173" i="4"/>
  <c r="D3441" i="4"/>
  <c r="D12159" i="4"/>
  <c r="D15040" i="4"/>
  <c r="D5093" i="4"/>
  <c r="D13402" i="4"/>
  <c r="D5084" i="4"/>
  <c r="D2165" i="4"/>
  <c r="D1987" i="4"/>
  <c r="D1253" i="4"/>
  <c r="D7952" i="4"/>
  <c r="D2021" i="4"/>
  <c r="D1828" i="4"/>
  <c r="D4398" i="4"/>
  <c r="D7951" i="4"/>
  <c r="D7950" i="4"/>
  <c r="D14038" i="4"/>
  <c r="D2752" i="4"/>
  <c r="D4713" i="4"/>
  <c r="D3440" i="4"/>
  <c r="D7949" i="4"/>
  <c r="D15039" i="4"/>
  <c r="D6813" i="4"/>
  <c r="D14360" i="4"/>
  <c r="D7948" i="4"/>
  <c r="D7947" i="4"/>
  <c r="D6656" i="4"/>
  <c r="D5263" i="4"/>
  <c r="D10852" i="4"/>
  <c r="D4051" i="4"/>
  <c r="D1354" i="4"/>
  <c r="D11136" i="4"/>
  <c r="D14359" i="4"/>
  <c r="D12066" i="4"/>
  <c r="D180" i="4"/>
  <c r="D14037" i="4"/>
  <c r="D14190" i="4"/>
  <c r="D2213" i="4"/>
  <c r="D13565" i="4"/>
  <c r="D1026" i="4"/>
  <c r="D10448" i="4"/>
  <c r="D5262" i="4"/>
  <c r="D67" i="4"/>
  <c r="D332" i="4"/>
  <c r="D5660" i="4"/>
  <c r="D3439" i="4"/>
  <c r="D1166" i="4"/>
  <c r="D6044" i="4"/>
  <c r="D13564" i="4"/>
  <c r="D13563" i="4"/>
  <c r="D9783" i="4"/>
  <c r="D15018" i="4"/>
  <c r="D11021" i="4"/>
  <c r="D7946" i="4"/>
  <c r="D2183" i="4"/>
  <c r="D9358" i="4"/>
  <c r="D10928" i="4"/>
  <c r="D7945" i="4"/>
  <c r="D5261" i="4"/>
  <c r="D947" i="4"/>
  <c r="D9945" i="4"/>
  <c r="D14358" i="4"/>
  <c r="D7944" i="4"/>
  <c r="D14357" i="4"/>
  <c r="D13401" i="4"/>
  <c r="D13021" i="4"/>
  <c r="D6782" i="4"/>
  <c r="D10480" i="4"/>
  <c r="D121" i="4"/>
  <c r="D13562" i="4"/>
  <c r="D3438" i="4"/>
  <c r="D15601" i="4"/>
  <c r="D3437" i="4"/>
  <c r="D648" i="4"/>
  <c r="D5260" i="4"/>
  <c r="D3436" i="4"/>
  <c r="D5259" i="4"/>
  <c r="D1353" i="4"/>
  <c r="D4840" i="4"/>
  <c r="D14356" i="4"/>
  <c r="D4183" i="4"/>
  <c r="D13400" i="4"/>
  <c r="D14355" i="4"/>
  <c r="D10136" i="4"/>
  <c r="D14887" i="4"/>
  <c r="D7943" i="4"/>
  <c r="D13561" i="4"/>
  <c r="D10135" i="4"/>
  <c r="D10134" i="4"/>
  <c r="D13560" i="4"/>
  <c r="D1165" i="4"/>
  <c r="D5703" i="4"/>
  <c r="D13559" i="4"/>
  <c r="D4283" i="4"/>
  <c r="D7942" i="4"/>
  <c r="D10133" i="4"/>
  <c r="D1164" i="4"/>
  <c r="D7941" i="4"/>
  <c r="D13868" i="4"/>
  <c r="D13558" i="4"/>
  <c r="D12429" i="4"/>
  <c r="D12272" i="4"/>
  <c r="D2315" i="4"/>
  <c r="D12428" i="4"/>
  <c r="D12427" i="4"/>
  <c r="D6955" i="4"/>
  <c r="D1352" i="4"/>
  <c r="D7010" i="4"/>
  <c r="D13557" i="4"/>
  <c r="D2314" i="4"/>
  <c r="D10003" i="4"/>
  <c r="D4282" i="4"/>
  <c r="D7940" i="4"/>
  <c r="D4266" i="4"/>
  <c r="D10132" i="4"/>
  <c r="D14354" i="4"/>
  <c r="D7939" i="4"/>
  <c r="D13556" i="4"/>
  <c r="D6043" i="4"/>
  <c r="D2588" i="4"/>
  <c r="D13399" i="4"/>
  <c r="D11259" i="4"/>
  <c r="D1725" i="4"/>
  <c r="D12426" i="4"/>
  <c r="D7938" i="4"/>
  <c r="D11005" i="4"/>
  <c r="D3023" i="4"/>
  <c r="D11125" i="4"/>
  <c r="D2223" i="4"/>
  <c r="D12425" i="4"/>
  <c r="D6642" i="4"/>
  <c r="D6771" i="4"/>
  <c r="D1827" i="4"/>
  <c r="D12020" i="4"/>
  <c r="D13867" i="4"/>
  <c r="D11865" i="4"/>
  <c r="D7937" i="4"/>
  <c r="D11465" i="4"/>
  <c r="D10847" i="4"/>
  <c r="D2313" i="4"/>
  <c r="D3060" i="4"/>
  <c r="D6954" i="4"/>
  <c r="D1351" i="4"/>
  <c r="D7936" i="4"/>
  <c r="D2164" i="4"/>
  <c r="D5760" i="4"/>
  <c r="D11123" i="4"/>
  <c r="D11135" i="4"/>
  <c r="D10756" i="4"/>
  <c r="D2312" i="4"/>
  <c r="D1724" i="4"/>
  <c r="D13555" i="4"/>
  <c r="D3022" i="4"/>
  <c r="D13554" i="4"/>
  <c r="D4752" i="4"/>
  <c r="D6833" i="4"/>
  <c r="D11864" i="4"/>
  <c r="D3435" i="4"/>
  <c r="D6953" i="4"/>
  <c r="D1350" i="4"/>
  <c r="D7935" i="4"/>
  <c r="D13553" i="4"/>
  <c r="D15077" i="4"/>
  <c r="D13552" i="4"/>
  <c r="D1723" i="4"/>
  <c r="D1826" i="4"/>
  <c r="D7934" i="4"/>
  <c r="D7933" i="4"/>
  <c r="D7932" i="4"/>
  <c r="D1656" i="4"/>
  <c r="D1893" i="4"/>
  <c r="D14075" i="4"/>
  <c r="D15148" i="4"/>
  <c r="D2222" i="4"/>
  <c r="D5878" i="4"/>
  <c r="D3434" i="4"/>
  <c r="D356" i="4"/>
  <c r="D1825" i="4"/>
  <c r="D14353" i="4"/>
  <c r="D4149" i="4"/>
  <c r="D11258" i="4"/>
  <c r="D12996" i="4"/>
  <c r="D4634" i="4"/>
  <c r="D1643" i="4"/>
  <c r="D15337" i="4"/>
  <c r="D7931" i="4"/>
  <c r="D6396" i="4"/>
  <c r="D14886" i="4"/>
  <c r="D15147" i="4"/>
  <c r="D10131" i="4"/>
  <c r="D3433" i="4"/>
  <c r="D11014" i="4"/>
  <c r="D15336" i="4"/>
  <c r="D11070" i="4"/>
  <c r="D5671" i="4"/>
  <c r="D4712" i="4"/>
  <c r="D15146" i="4"/>
  <c r="D15335" i="4"/>
  <c r="D298" i="4"/>
  <c r="D15334" i="4"/>
  <c r="D5020" i="4"/>
  <c r="D13313" i="4"/>
  <c r="D6237" i="4"/>
  <c r="D12642" i="4"/>
  <c r="D14105" i="4"/>
  <c r="D3432" i="4"/>
  <c r="D7930" i="4"/>
  <c r="D10130" i="4"/>
  <c r="D6641" i="4"/>
  <c r="D10129" i="4"/>
  <c r="D10854" i="4"/>
  <c r="D11863" i="4"/>
  <c r="D12241" i="4"/>
  <c r="D7929" i="4"/>
  <c r="D12424" i="4"/>
  <c r="D2069" i="4"/>
  <c r="D3431" i="4"/>
  <c r="D6042" i="4"/>
  <c r="D15333" i="4"/>
  <c r="D7928" i="4"/>
  <c r="D6459" i="4"/>
  <c r="D10660" i="4"/>
  <c r="D12423" i="4"/>
  <c r="D14885" i="4"/>
  <c r="D1824" i="4"/>
  <c r="D7927" i="4"/>
  <c r="D2137" i="4"/>
  <c r="D10755" i="4"/>
  <c r="D7009" i="4"/>
  <c r="D13398" i="4"/>
  <c r="D2182" i="4"/>
  <c r="D9936" i="4"/>
  <c r="D1889" i="4"/>
  <c r="D13551" i="4"/>
  <c r="D1888" i="4"/>
  <c r="D5877" i="4"/>
  <c r="D12995" i="4"/>
  <c r="D7926" i="4"/>
  <c r="D4633" i="4"/>
  <c r="D2751" i="4"/>
  <c r="D13550" i="4"/>
  <c r="D5670" i="4"/>
  <c r="D10538" i="4"/>
  <c r="D6236" i="4"/>
  <c r="D11049" i="4"/>
  <c r="D2750" i="4"/>
  <c r="D10128" i="4"/>
  <c r="D4281" i="4"/>
  <c r="D6640" i="4"/>
  <c r="D6235" i="4"/>
  <c r="D14025" i="4"/>
  <c r="D14720" i="4"/>
  <c r="D6041" i="4"/>
  <c r="D12422" i="4"/>
  <c r="D10127" i="4"/>
  <c r="D4182" i="4"/>
  <c r="D14080" i="4"/>
  <c r="D4350" i="4"/>
  <c r="D7925" i="4"/>
  <c r="D12554" i="4"/>
  <c r="D10890" i="4"/>
  <c r="D7924" i="4"/>
  <c r="D4236" i="4"/>
  <c r="D7923" i="4"/>
  <c r="D1722" i="4"/>
  <c r="D7922" i="4"/>
  <c r="D1823" i="4"/>
  <c r="D14009" i="4"/>
  <c r="D3430" i="4"/>
  <c r="D13549" i="4"/>
  <c r="D7921" i="4"/>
  <c r="D10413" i="4"/>
  <c r="D6494" i="4"/>
  <c r="D13548" i="4"/>
  <c r="D12421" i="4"/>
  <c r="D10537" i="4"/>
  <c r="D10706" i="4"/>
  <c r="D1887" i="4"/>
  <c r="D15120" i="4"/>
  <c r="D11338" i="4"/>
  <c r="D12523" i="4"/>
  <c r="D13397" i="4"/>
  <c r="D9868" i="4"/>
  <c r="D2311" i="4"/>
  <c r="D14008" i="4"/>
  <c r="D6845" i="4"/>
  <c r="D7920" i="4"/>
  <c r="D1742" i="4"/>
  <c r="D2020" i="4"/>
  <c r="D4158" i="4"/>
  <c r="D1131" i="4"/>
  <c r="D6234" i="4"/>
  <c r="D2270" i="4"/>
  <c r="D7919" i="4"/>
  <c r="D15332" i="4"/>
  <c r="D355" i="4"/>
  <c r="D15331" i="4"/>
  <c r="D12602" i="4"/>
  <c r="D4230" i="4"/>
  <c r="D12532" i="4"/>
  <c r="D15330" i="4"/>
  <c r="D12994" i="4"/>
  <c r="D4130" i="4"/>
  <c r="D4747" i="4"/>
  <c r="D6233" i="4"/>
  <c r="D10760" i="4"/>
  <c r="D12420" i="4"/>
  <c r="D2961" i="4"/>
  <c r="D4711" i="4"/>
  <c r="D14352" i="4"/>
  <c r="D4376" i="4"/>
  <c r="D7918" i="4"/>
  <c r="D13233" i="4"/>
  <c r="D14534" i="4"/>
  <c r="D541" i="4"/>
  <c r="D7917" i="4"/>
  <c r="D12553" i="4"/>
  <c r="D13547" i="4"/>
  <c r="D13546" i="4"/>
  <c r="D10682" i="4"/>
  <c r="D4280" i="4"/>
  <c r="D11308" i="4"/>
  <c r="D3429" i="4"/>
  <c r="D14024" i="4"/>
  <c r="D4279" i="4"/>
  <c r="D12729" i="4"/>
  <c r="D9275" i="4"/>
  <c r="D12419" i="4"/>
  <c r="D12418" i="4"/>
  <c r="D14639" i="4"/>
  <c r="D13020" i="4"/>
  <c r="D4453" i="4"/>
  <c r="D13051" i="4"/>
  <c r="D3428" i="4"/>
  <c r="D9960" i="4"/>
  <c r="D1130" i="4"/>
  <c r="D1721" i="4"/>
  <c r="D13545" i="4"/>
  <c r="D12993" i="4"/>
  <c r="D1741" i="4"/>
  <c r="D12992" i="4"/>
  <c r="D6232" i="4"/>
  <c r="D14638" i="4"/>
  <c r="D2019" i="4"/>
  <c r="D7916" i="4"/>
  <c r="D15590" i="4"/>
  <c r="D7915" i="4"/>
  <c r="D12601" i="4"/>
  <c r="D4579" i="4"/>
  <c r="D7914" i="4"/>
  <c r="D6585" i="4"/>
  <c r="D7913" i="4"/>
  <c r="D10126" i="4"/>
  <c r="D11407" i="4"/>
  <c r="D7912" i="4"/>
  <c r="D14351" i="4"/>
  <c r="D278" i="4"/>
  <c r="D4235" i="4"/>
  <c r="D7911" i="4"/>
  <c r="D5759" i="4"/>
  <c r="D7910" i="4"/>
  <c r="D9357" i="4"/>
  <c r="D10125" i="4"/>
  <c r="D13034" i="4"/>
  <c r="D15329" i="4"/>
  <c r="D7909" i="4"/>
  <c r="D10124" i="4"/>
  <c r="D12991" i="4"/>
  <c r="D6854" i="4"/>
  <c r="D4341" i="4"/>
  <c r="D4260" i="4"/>
  <c r="D7908" i="4"/>
  <c r="D7907" i="4"/>
  <c r="D7906" i="4"/>
  <c r="D1740" i="4"/>
  <c r="D10595" i="4"/>
  <c r="D6490" i="4"/>
  <c r="D15328" i="4"/>
  <c r="D3107" i="4"/>
  <c r="D2068" i="4"/>
  <c r="D14194" i="4"/>
  <c r="D10846" i="4"/>
  <c r="D7905" i="4"/>
  <c r="D14756" i="4"/>
  <c r="D6952" i="4"/>
  <c r="D1349" i="4"/>
  <c r="D3261" i="4"/>
  <c r="D3269" i="4"/>
  <c r="D3427" i="4"/>
  <c r="D12990" i="4"/>
  <c r="D12552" i="4"/>
  <c r="D6892" i="4"/>
  <c r="D12989" i="4"/>
  <c r="D2749" i="4"/>
  <c r="D11594" i="4"/>
  <c r="D4632" i="4"/>
  <c r="D13019" i="4"/>
  <c r="D9265" i="4"/>
  <c r="D7904" i="4"/>
  <c r="D14884" i="4"/>
  <c r="D13544" i="4"/>
  <c r="D12975" i="4"/>
  <c r="D2587" i="4"/>
  <c r="D14350" i="4"/>
  <c r="D10836" i="4"/>
  <c r="D4908" i="4"/>
  <c r="D7903" i="4"/>
  <c r="D2181" i="4"/>
  <c r="D7902" i="4"/>
  <c r="D10465" i="4"/>
  <c r="D12758" i="4"/>
  <c r="D13873" i="4"/>
  <c r="D7901" i="4"/>
  <c r="D7900" i="4"/>
  <c r="D4710" i="4"/>
  <c r="D6853" i="4"/>
  <c r="D15327" i="4"/>
  <c r="D3426" i="4"/>
  <c r="D7899" i="4"/>
  <c r="D6536" i="4"/>
  <c r="D7898" i="4"/>
  <c r="D10797" i="4"/>
  <c r="D12158" i="4"/>
  <c r="D10754" i="4"/>
  <c r="D7897" i="4"/>
  <c r="D12662" i="4"/>
  <c r="D13966" i="4"/>
  <c r="D4278" i="4"/>
  <c r="D6691" i="4"/>
  <c r="D6884" i="4"/>
  <c r="D6951" i="4"/>
  <c r="D1348" i="4"/>
  <c r="D7896" i="4"/>
  <c r="D15119" i="4"/>
  <c r="D6784" i="4"/>
  <c r="D10766" i="4"/>
  <c r="D10123" i="4"/>
  <c r="D333" i="4"/>
  <c r="D5843" i="4"/>
  <c r="D11293" i="4"/>
  <c r="D11122" i="4"/>
  <c r="D6040" i="4"/>
  <c r="D11955" i="4"/>
  <c r="D1437" i="4"/>
  <c r="D11385" i="4"/>
  <c r="D6924" i="4"/>
  <c r="D4746" i="4"/>
  <c r="D11576" i="4"/>
  <c r="D4277" i="4"/>
  <c r="D4022" i="4"/>
  <c r="D7895" i="4"/>
  <c r="D13543" i="4"/>
  <c r="D6535" i="4"/>
  <c r="D4469" i="4"/>
  <c r="D13993" i="4"/>
  <c r="D12417" i="4"/>
  <c r="D7894" i="4"/>
  <c r="D2310" i="4"/>
  <c r="D12620" i="4"/>
  <c r="D12416" i="4"/>
  <c r="D4907" i="4"/>
  <c r="D3425" i="4"/>
  <c r="D10707" i="4"/>
  <c r="D12124" i="4"/>
  <c r="D12205" i="4"/>
  <c r="D6866" i="4"/>
  <c r="D7893" i="4"/>
  <c r="D4578" i="4"/>
  <c r="D7892" i="4"/>
  <c r="D10122" i="4"/>
  <c r="D11170" i="4"/>
  <c r="D10121" i="4"/>
  <c r="D9836" i="4"/>
  <c r="D9782" i="4"/>
  <c r="D6812" i="4"/>
  <c r="D1129" i="4"/>
  <c r="D297" i="4"/>
  <c r="D7891" i="4"/>
  <c r="D14623" i="4"/>
  <c r="D9959" i="4"/>
  <c r="D331" i="4"/>
  <c r="D4709" i="4"/>
  <c r="D12988" i="4"/>
  <c r="D6231" i="4"/>
  <c r="D15145" i="4"/>
  <c r="D2901" i="4"/>
  <c r="D12606" i="4"/>
  <c r="D7890" i="4"/>
  <c r="D335" i="4"/>
  <c r="D13232" i="4"/>
  <c r="D7889" i="4"/>
  <c r="D6428" i="4"/>
  <c r="D14586" i="4"/>
  <c r="D12987" i="4"/>
  <c r="D6395" i="4"/>
  <c r="D3424" i="4"/>
  <c r="D7888" i="4"/>
  <c r="D2748" i="4"/>
  <c r="D11337" i="4"/>
  <c r="D1436" i="4"/>
  <c r="D11246" i="4"/>
  <c r="D7887" i="4"/>
  <c r="D12082" i="4"/>
  <c r="D13396" i="4"/>
  <c r="D10120" i="4"/>
  <c r="D10759" i="4"/>
  <c r="D14622" i="4"/>
  <c r="D12757" i="4"/>
  <c r="D2206" i="4"/>
  <c r="D9935" i="4"/>
  <c r="D10659" i="4"/>
  <c r="D10119" i="4"/>
  <c r="D10447" i="4"/>
  <c r="D15326" i="4"/>
  <c r="D7886" i="4"/>
  <c r="D11464" i="4"/>
  <c r="D1720" i="4"/>
  <c r="D2747" i="4"/>
  <c r="D11169" i="4"/>
  <c r="D277" i="4"/>
  <c r="D2152" i="4"/>
  <c r="D5928" i="4"/>
  <c r="D12490" i="4"/>
  <c r="D379" i="4"/>
  <c r="D1929" i="4"/>
  <c r="D568" i="4"/>
  <c r="D2586" i="4"/>
  <c r="D11789" i="4"/>
  <c r="D2960" i="4"/>
  <c r="D2187" i="4"/>
  <c r="D2067" i="4"/>
  <c r="D7885" i="4"/>
  <c r="D7884" i="4"/>
  <c r="D12123" i="4"/>
  <c r="D7883" i="4"/>
  <c r="D2746" i="4"/>
  <c r="D12081" i="4"/>
  <c r="D5927" i="4"/>
  <c r="D5758" i="4"/>
  <c r="D4733" i="4"/>
  <c r="D11788" i="4"/>
  <c r="D5757" i="4"/>
  <c r="D1128" i="4"/>
  <c r="D7882" i="4"/>
  <c r="D7881" i="4"/>
  <c r="D7263" i="4"/>
  <c r="D4385" i="4"/>
  <c r="D2309" i="4"/>
  <c r="D12415" i="4"/>
  <c r="D7880" i="4"/>
  <c r="D10464" i="4"/>
  <c r="D10889" i="4"/>
  <c r="D7879" i="4"/>
  <c r="D5185" i="4"/>
  <c r="D14744" i="4"/>
  <c r="D13231" i="4"/>
  <c r="D7878" i="4"/>
  <c r="D12986" i="4"/>
  <c r="D12414" i="4"/>
  <c r="D7877" i="4"/>
  <c r="D12756" i="4"/>
  <c r="D10118" i="4"/>
  <c r="D5158" i="4"/>
  <c r="D14349" i="4"/>
  <c r="D12985" i="4"/>
  <c r="D9224" i="4"/>
  <c r="D4276" i="4"/>
  <c r="D14348" i="4"/>
  <c r="D12489" i="4"/>
  <c r="D12755" i="4"/>
  <c r="D13542" i="4"/>
  <c r="D9781" i="4"/>
  <c r="D1630" i="4"/>
  <c r="D6230" i="4"/>
  <c r="D10536" i="4"/>
  <c r="D13230" i="4"/>
  <c r="D2269" i="4"/>
  <c r="D2510" i="4"/>
  <c r="D11004" i="4"/>
  <c r="D12019" i="4"/>
  <c r="D11862" i="4"/>
  <c r="D13018" i="4"/>
  <c r="D7876" i="4"/>
  <c r="D14743" i="4"/>
  <c r="D11322" i="4"/>
  <c r="D3423" i="4"/>
  <c r="D7875" i="4"/>
  <c r="D7874" i="4"/>
  <c r="D7873" i="4"/>
  <c r="D7872" i="4"/>
  <c r="D7871" i="4"/>
  <c r="D15626" i="4"/>
  <c r="D11134" i="4"/>
  <c r="D7870" i="4"/>
  <c r="D4114" i="4"/>
  <c r="D7869" i="4"/>
  <c r="D9356" i="4"/>
  <c r="D7868" i="4"/>
  <c r="D6039" i="4"/>
  <c r="D14347" i="4"/>
  <c r="D11861" i="4"/>
  <c r="D4468" i="4"/>
  <c r="D11168" i="4"/>
  <c r="D7867" i="4"/>
  <c r="D7866" i="4"/>
  <c r="D5157" i="4"/>
  <c r="D4566" i="4"/>
  <c r="D9355" i="4"/>
  <c r="D10916" i="4"/>
  <c r="D1252" i="4"/>
  <c r="D4674" i="4"/>
  <c r="D10902" i="4"/>
  <c r="D13302" i="4"/>
  <c r="D7865" i="4"/>
  <c r="D4345" i="4"/>
  <c r="D7864" i="4"/>
  <c r="D6811" i="4"/>
  <c r="D1794" i="4"/>
  <c r="D6600" i="4"/>
  <c r="D7863" i="4"/>
  <c r="D14883" i="4"/>
  <c r="D4577" i="4"/>
  <c r="D1793" i="4"/>
  <c r="D12204" i="4"/>
  <c r="D9354" i="4"/>
  <c r="D10117" i="4"/>
  <c r="D1822" i="4"/>
  <c r="D11565" i="4"/>
  <c r="D2308" i="4"/>
  <c r="D7862" i="4"/>
  <c r="D232" i="4"/>
  <c r="D3106" i="4"/>
  <c r="D7861" i="4"/>
  <c r="D2745" i="4"/>
  <c r="D14193" i="4"/>
  <c r="D7860" i="4"/>
  <c r="D7859" i="4"/>
  <c r="D14737" i="4"/>
  <c r="D9353" i="4"/>
  <c r="D7858" i="4"/>
  <c r="D7857" i="4"/>
  <c r="D10927" i="4"/>
  <c r="D12684" i="4"/>
  <c r="D6618" i="4"/>
  <c r="D10116" i="4"/>
  <c r="D4574" i="4"/>
  <c r="D9841" i="4"/>
  <c r="D7856" i="4"/>
  <c r="D12754" i="4"/>
  <c r="D15613" i="4"/>
  <c r="D7855" i="4"/>
  <c r="D6770" i="4"/>
  <c r="D3422" i="4"/>
  <c r="D1251" i="4"/>
  <c r="D2307" i="4"/>
  <c r="D15064" i="4"/>
  <c r="D7161" i="4"/>
  <c r="D4843" i="4"/>
  <c r="D1163" i="4"/>
  <c r="D6865" i="4"/>
  <c r="D12619" i="4"/>
  <c r="D7854" i="4"/>
  <c r="D2306" i="4"/>
  <c r="D11003" i="4"/>
  <c r="D12753" i="4"/>
  <c r="D3984" i="4"/>
  <c r="D11990" i="4"/>
  <c r="D7853" i="4"/>
  <c r="D6592" i="4"/>
  <c r="D7852" i="4"/>
  <c r="D13541" i="4"/>
  <c r="D11463" i="4"/>
  <c r="D6999" i="4"/>
  <c r="D322" i="4"/>
  <c r="D1739" i="4"/>
  <c r="D7851" i="4"/>
  <c r="D12122" i="4"/>
  <c r="D10535" i="4"/>
  <c r="D11002" i="4"/>
  <c r="D4610" i="4"/>
  <c r="D4618" i="4"/>
  <c r="D3421" i="4"/>
  <c r="D7850" i="4"/>
  <c r="D10851" i="4"/>
  <c r="D6202" i="4"/>
  <c r="D1250" i="4"/>
  <c r="D4561" i="4"/>
  <c r="D2886" i="4"/>
  <c r="D6591" i="4"/>
  <c r="D4673" i="4"/>
  <c r="D1642" i="4"/>
  <c r="D1928" i="4"/>
  <c r="D4275" i="4"/>
  <c r="D4122" i="4"/>
  <c r="D10115" i="4"/>
  <c r="D7849" i="4"/>
  <c r="D14346" i="4"/>
  <c r="D7008" i="4"/>
  <c r="D4129" i="4"/>
  <c r="D2744" i="4"/>
  <c r="D4467" i="4"/>
  <c r="D4708" i="4"/>
  <c r="D2585" i="4"/>
  <c r="D4466" i="4"/>
  <c r="D7848" i="4"/>
  <c r="D13540" i="4"/>
  <c r="D2305" i="4"/>
  <c r="D9352" i="4"/>
  <c r="D12413" i="4"/>
  <c r="D2109" i="4"/>
  <c r="D7847" i="4"/>
  <c r="D3059" i="4"/>
  <c r="D4188" i="4"/>
  <c r="D6229" i="4"/>
  <c r="D11277" i="4"/>
  <c r="D2743" i="4"/>
  <c r="D7116" i="4"/>
  <c r="D14882" i="4"/>
  <c r="D9351" i="4"/>
  <c r="D13965" i="4"/>
  <c r="D7007" i="4"/>
  <c r="D7846" i="4"/>
  <c r="D1821" i="4"/>
  <c r="D14143" i="4"/>
  <c r="D7845" i="4"/>
  <c r="D5926" i="4"/>
  <c r="D7844" i="4"/>
  <c r="D5258" i="4"/>
  <c r="D10114" i="4"/>
  <c r="D7843" i="4"/>
  <c r="D2933" i="4"/>
  <c r="D1927" i="4"/>
  <c r="D10861" i="4"/>
  <c r="D6499" i="4"/>
  <c r="D12103" i="4"/>
  <c r="D15325" i="4"/>
  <c r="D378" i="4"/>
  <c r="D11507" i="4"/>
  <c r="D7842" i="4"/>
  <c r="D7841" i="4"/>
  <c r="D7840" i="4"/>
  <c r="D7839" i="4"/>
  <c r="D12984" i="4"/>
  <c r="D14068" i="4"/>
  <c r="D11402" i="4"/>
  <c r="D5756" i="4"/>
  <c r="D6424" i="4"/>
  <c r="D10113" i="4"/>
  <c r="D13017" i="4"/>
  <c r="D15080" i="4"/>
  <c r="D15584" i="4"/>
  <c r="D7838" i="4"/>
  <c r="D2521" i="4"/>
  <c r="D15324" i="4"/>
  <c r="D1792" i="4"/>
  <c r="D15323" i="4"/>
  <c r="D7837" i="4"/>
  <c r="D15322" i="4"/>
  <c r="D6931" i="4"/>
  <c r="D11462" i="4"/>
  <c r="D14345" i="4"/>
  <c r="D1580" i="4"/>
  <c r="D12752" i="4"/>
  <c r="D1025" i="4"/>
  <c r="D13539" i="4"/>
  <c r="D6408" i="4"/>
  <c r="D14104" i="4"/>
  <c r="D10594" i="4"/>
  <c r="D1820" i="4"/>
  <c r="D10534" i="4"/>
  <c r="D13538" i="4"/>
  <c r="D7092" i="4"/>
  <c r="D12848" i="4"/>
  <c r="D11654" i="4"/>
  <c r="D7836" i="4"/>
  <c r="D6950" i="4"/>
  <c r="D1347" i="4"/>
  <c r="D7053" i="4"/>
  <c r="D6228" i="4"/>
  <c r="D7835" i="4"/>
  <c r="D4555" i="4"/>
  <c r="D14580" i="4"/>
  <c r="D13141" i="4"/>
  <c r="D4745" i="4"/>
  <c r="D7834" i="4"/>
  <c r="D4234" i="4"/>
  <c r="D13537" i="4"/>
  <c r="D9780" i="4"/>
  <c r="D5193" i="4"/>
  <c r="D7833" i="4"/>
  <c r="D14344" i="4"/>
  <c r="D10812" i="4"/>
  <c r="D477" i="4"/>
  <c r="D12983" i="4"/>
  <c r="D12412" i="4"/>
  <c r="D540" i="4"/>
  <c r="D3420" i="4"/>
  <c r="D14585" i="4"/>
  <c r="D3241" i="4"/>
  <c r="D3419" i="4"/>
  <c r="D4003" i="4"/>
  <c r="D7832" i="4"/>
  <c r="D15144" i="4"/>
  <c r="D15143" i="4"/>
  <c r="D12080" i="4"/>
  <c r="D6783" i="4"/>
  <c r="D7831" i="4"/>
  <c r="D7830" i="4"/>
  <c r="D11242" i="4"/>
  <c r="D5257" i="4"/>
  <c r="D15321" i="4"/>
  <c r="D10593" i="4"/>
  <c r="D7829" i="4"/>
  <c r="D10112" i="4"/>
  <c r="D1738" i="4"/>
  <c r="D15076" i="4"/>
  <c r="D6227" i="4"/>
  <c r="D7277" i="4"/>
  <c r="D1705" i="4"/>
  <c r="D1655" i="4"/>
  <c r="D2156" i="4"/>
  <c r="D7828" i="4"/>
  <c r="D14192" i="4"/>
  <c r="D12018" i="4"/>
  <c r="D11623" i="4"/>
  <c r="D10491" i="4"/>
  <c r="D2509" i="4"/>
  <c r="D4906" i="4"/>
  <c r="D13229" i="4"/>
  <c r="D11423" i="4"/>
  <c r="D2508" i="4"/>
  <c r="D10709" i="4"/>
  <c r="D7827" i="4"/>
  <c r="D1751" i="4"/>
  <c r="D1249" i="4"/>
  <c r="D7826" i="4"/>
  <c r="D12618" i="4"/>
  <c r="D1456" i="4"/>
  <c r="D12982" i="4"/>
  <c r="D4617" i="4"/>
  <c r="D11575" i="4"/>
  <c r="D6663" i="4"/>
  <c r="D7825" i="4"/>
  <c r="D10002" i="4"/>
  <c r="D3418" i="4"/>
  <c r="D11461" i="4"/>
  <c r="D14533" i="4"/>
  <c r="D15320" i="4"/>
  <c r="D7276" i="4"/>
  <c r="D7275" i="4"/>
  <c r="D4384" i="4"/>
  <c r="D7824" i="4"/>
  <c r="D3417" i="4"/>
  <c r="D3105" i="4"/>
  <c r="D10987" i="4"/>
  <c r="D7823" i="4"/>
  <c r="D7822" i="4"/>
  <c r="D2108" i="4"/>
  <c r="D7821" i="4"/>
  <c r="D10825" i="4"/>
  <c r="D3416" i="4"/>
  <c r="D7820" i="4"/>
  <c r="D12600" i="4"/>
  <c r="D10791" i="4"/>
  <c r="D11569" i="4"/>
  <c r="D10111" i="4"/>
  <c r="D7819" i="4"/>
  <c r="D4877" i="4"/>
  <c r="D3415" i="4"/>
  <c r="D13157" i="4"/>
  <c r="D7818" i="4"/>
  <c r="D4007" i="4"/>
  <c r="D13016" i="4"/>
  <c r="D11860" i="4"/>
  <c r="D7817" i="4"/>
  <c r="D12157" i="4"/>
  <c r="D7816" i="4"/>
  <c r="D6599" i="4"/>
  <c r="D4017" i="4"/>
  <c r="D11641" i="4"/>
  <c r="D11292" i="4"/>
  <c r="D5702" i="4"/>
  <c r="D5669" i="4"/>
  <c r="D7815" i="4"/>
  <c r="D2018" i="4"/>
  <c r="D7814" i="4"/>
  <c r="D15058" i="4"/>
  <c r="D14532" i="4"/>
  <c r="D7813" i="4"/>
  <c r="D12411" i="4"/>
  <c r="D12096" i="4"/>
  <c r="D5156" i="4"/>
  <c r="D13015" i="4"/>
  <c r="D11239" i="4"/>
  <c r="D13919" i="4"/>
  <c r="D2520" i="4"/>
  <c r="D4360" i="4"/>
  <c r="D1906" i="4"/>
  <c r="D15319" i="4"/>
  <c r="D14343" i="4"/>
  <c r="D2304" i="4"/>
  <c r="D3414" i="4"/>
  <c r="D12648" i="4"/>
  <c r="D13536" i="4"/>
  <c r="D4327" i="4"/>
  <c r="D7812" i="4"/>
  <c r="D7811" i="4"/>
  <c r="D449" i="4"/>
  <c r="D12017" i="4"/>
  <c r="D2017" i="4"/>
  <c r="D13114" i="4"/>
  <c r="D12751" i="4"/>
  <c r="D12599" i="4"/>
  <c r="D14719" i="4"/>
  <c r="D9251" i="4"/>
  <c r="D10110" i="4"/>
  <c r="D1926" i="4"/>
  <c r="D7810" i="4"/>
  <c r="D7809" i="4"/>
  <c r="D1554" i="4"/>
  <c r="D2303" i="4"/>
  <c r="D7808" i="4"/>
  <c r="D7807" i="4"/>
  <c r="D326" i="4"/>
  <c r="D11001" i="4"/>
  <c r="D6038" i="4"/>
  <c r="D7006" i="4"/>
  <c r="D10109" i="4"/>
  <c r="D11440" i="4"/>
  <c r="D6810" i="4"/>
  <c r="D14718" i="4"/>
  <c r="D2932" i="4"/>
  <c r="D14126" i="4"/>
  <c r="D13535" i="4"/>
  <c r="D11406" i="4"/>
  <c r="D11621" i="4"/>
  <c r="D7806" i="4"/>
  <c r="D7805" i="4"/>
  <c r="D7804" i="4"/>
  <c r="D4853" i="4"/>
  <c r="D4852" i="4"/>
  <c r="D11103" i="4"/>
  <c r="D7803" i="4"/>
  <c r="D12847" i="4"/>
  <c r="D11653" i="4"/>
  <c r="D6639" i="4"/>
  <c r="D1925" i="4"/>
  <c r="D13312" i="4"/>
  <c r="D7802" i="4"/>
  <c r="D12156" i="4"/>
  <c r="D3413" i="4"/>
  <c r="D4905" i="4"/>
  <c r="D14526" i="4"/>
  <c r="D13534" i="4"/>
  <c r="D3412" i="4"/>
  <c r="D9350" i="4"/>
  <c r="D7801" i="4"/>
  <c r="D12551" i="4"/>
  <c r="D7800" i="4"/>
  <c r="D4851" i="4"/>
  <c r="D1248" i="4"/>
  <c r="D13395" i="4"/>
  <c r="D2742" i="4"/>
  <c r="D13964" i="4"/>
  <c r="D6394" i="4"/>
  <c r="D5065" i="4"/>
  <c r="D6534" i="4"/>
  <c r="D11000" i="4"/>
  <c r="D7799" i="4"/>
  <c r="D7798" i="4"/>
  <c r="D9349" i="4"/>
  <c r="D9779" i="4"/>
  <c r="D5256" i="4"/>
  <c r="D10533" i="4"/>
  <c r="D1791" i="4"/>
  <c r="D5255" i="4"/>
  <c r="D14055" i="4"/>
  <c r="D5015" i="4"/>
  <c r="D12981" i="4"/>
  <c r="D2507" i="4"/>
  <c r="D11460" i="4"/>
  <c r="D7797" i="4"/>
  <c r="D15318" i="4"/>
  <c r="D9778" i="4"/>
  <c r="D2163" i="4"/>
  <c r="D2584" i="4"/>
  <c r="D3411" i="4"/>
  <c r="D2908" i="4"/>
  <c r="D9348" i="4"/>
  <c r="D4181" i="4"/>
  <c r="D7796" i="4"/>
  <c r="D7795" i="4"/>
  <c r="D14342" i="4"/>
  <c r="D10999" i="4"/>
  <c r="D5755" i="4"/>
  <c r="D3936" i="4"/>
  <c r="D7794" i="4"/>
  <c r="D6832" i="4"/>
  <c r="D10681" i="4"/>
  <c r="D7793" i="4"/>
  <c r="D567" i="4"/>
  <c r="D4570" i="4"/>
  <c r="D9347" i="4"/>
  <c r="D11336" i="4"/>
  <c r="D7792" i="4"/>
  <c r="D7791" i="4"/>
  <c r="D4744" i="4"/>
  <c r="D4375" i="4"/>
  <c r="D3410" i="4"/>
  <c r="D9950" i="4"/>
  <c r="D14726" i="4"/>
  <c r="D14007" i="4"/>
  <c r="D10835" i="4"/>
  <c r="D3409" i="4"/>
  <c r="D4170" i="4"/>
  <c r="D13311" i="4"/>
  <c r="D6746" i="4"/>
  <c r="D946" i="4"/>
  <c r="D7790" i="4"/>
  <c r="D5842" i="4"/>
  <c r="D12593" i="4"/>
  <c r="D7789" i="4"/>
  <c r="D4169" i="4"/>
  <c r="D1924" i="4"/>
  <c r="D1664" i="4"/>
  <c r="D14621" i="4"/>
  <c r="D14341" i="4"/>
  <c r="D12980" i="4"/>
  <c r="D1464" i="4"/>
  <c r="D7788" i="4"/>
  <c r="D7787" i="4"/>
  <c r="D7786" i="4"/>
  <c r="D3042" i="4"/>
  <c r="D7785" i="4"/>
  <c r="D2302" i="4"/>
  <c r="D7784" i="4"/>
  <c r="D2180" i="4"/>
  <c r="D2506" i="4"/>
  <c r="D321" i="4"/>
  <c r="D7783" i="4"/>
  <c r="D2301" i="4"/>
  <c r="D7782" i="4"/>
  <c r="D7781" i="4"/>
  <c r="D7780" i="4"/>
  <c r="D14048" i="4"/>
  <c r="D7779" i="4"/>
  <c r="D6533" i="4"/>
  <c r="D7778" i="4"/>
  <c r="D6481" i="4"/>
  <c r="D7777" i="4"/>
  <c r="D10108" i="4"/>
  <c r="D3058" i="4"/>
  <c r="D7776" i="4"/>
  <c r="D9250" i="4"/>
  <c r="D1923" i="4"/>
  <c r="D4658" i="4"/>
  <c r="D12079" i="4"/>
  <c r="D7775" i="4"/>
  <c r="D13140" i="4"/>
  <c r="D5834" i="4"/>
  <c r="D14564" i="4"/>
  <c r="D4359" i="4"/>
  <c r="D12155" i="4"/>
  <c r="D3408" i="4"/>
  <c r="D13156" i="4"/>
  <c r="D1024" i="4"/>
  <c r="D13889" i="4"/>
  <c r="D5047" i="4"/>
  <c r="D7774" i="4"/>
  <c r="D7773" i="4"/>
  <c r="D7772" i="4"/>
  <c r="D1127" i="4"/>
  <c r="D12750" i="4"/>
  <c r="D12094" i="4"/>
  <c r="D6732" i="4"/>
  <c r="D7771" i="4"/>
  <c r="D4121" i="4"/>
  <c r="D377" i="4"/>
  <c r="D11167" i="4"/>
  <c r="D15317" i="4"/>
  <c r="D12078" i="4"/>
  <c r="D5853" i="4"/>
  <c r="D4550" i="4"/>
  <c r="D4107" i="4"/>
  <c r="D10107" i="4"/>
  <c r="D10834" i="4"/>
  <c r="D12121" i="4"/>
  <c r="D10446" i="4"/>
  <c r="D10445" i="4"/>
  <c r="D12221" i="4"/>
  <c r="D15316" i="4"/>
  <c r="D7770" i="4"/>
  <c r="D3407" i="4"/>
  <c r="D7769" i="4"/>
  <c r="D7768" i="4"/>
  <c r="D4743" i="4"/>
  <c r="D15625" i="4"/>
  <c r="D13014" i="4"/>
  <c r="D12016" i="4"/>
  <c r="D2911" i="4"/>
  <c r="D7767" i="4"/>
  <c r="D11620" i="4"/>
  <c r="D6930" i="4"/>
  <c r="D13533" i="4"/>
  <c r="D15595" i="4"/>
  <c r="D7766" i="4"/>
  <c r="D14340" i="4"/>
  <c r="D6831" i="4"/>
  <c r="D11459" i="4"/>
  <c r="D4959" i="4"/>
  <c r="D4318" i="4"/>
  <c r="D1790" i="4"/>
  <c r="D12271" i="4"/>
  <c r="D7765" i="4"/>
  <c r="D10680" i="4"/>
  <c r="D3406" i="4"/>
  <c r="D13394" i="4"/>
  <c r="D3405" i="4"/>
  <c r="D10815" i="4"/>
  <c r="D14253" i="4"/>
  <c r="D12015" i="4"/>
  <c r="D12749" i="4"/>
  <c r="D11859" i="4"/>
  <c r="D11433" i="4"/>
  <c r="D10412" i="4"/>
  <c r="D6493" i="4"/>
  <c r="D11858" i="4"/>
  <c r="D7764" i="4"/>
  <c r="D7763" i="4"/>
  <c r="D15118" i="4"/>
  <c r="D10888" i="4"/>
  <c r="D7762" i="4"/>
  <c r="D9346" i="4"/>
  <c r="D10106" i="4"/>
  <c r="D3404" i="4"/>
  <c r="D11420" i="4"/>
  <c r="D7761" i="4"/>
  <c r="D7760" i="4"/>
  <c r="D6037" i="4"/>
  <c r="D11600" i="4"/>
  <c r="D12120" i="4"/>
  <c r="D15142" i="4"/>
  <c r="D12647" i="4"/>
  <c r="D11509" i="4"/>
  <c r="D13013" i="4"/>
  <c r="D2300" i="4"/>
  <c r="D7759" i="4"/>
  <c r="D10853" i="4"/>
  <c r="D11795" i="4"/>
  <c r="D12410" i="4"/>
  <c r="D15612" i="4"/>
  <c r="D6788" i="4"/>
  <c r="D6345" i="4"/>
  <c r="D2519" i="4"/>
  <c r="D6532" i="4"/>
  <c r="D15315" i="4"/>
  <c r="D7758" i="4"/>
  <c r="D6036" i="4"/>
  <c r="D14339" i="4"/>
  <c r="D10105" i="4"/>
  <c r="D7757" i="4"/>
  <c r="D11401" i="4"/>
  <c r="D13937" i="4"/>
  <c r="D10463" i="4"/>
  <c r="D7756" i="4"/>
  <c r="D2505" i="4"/>
  <c r="D6328" i="4"/>
  <c r="D315" i="4"/>
  <c r="D9733" i="4"/>
  <c r="D7755" i="4"/>
  <c r="D15314" i="4"/>
  <c r="D4148" i="4"/>
  <c r="D3403" i="4"/>
  <c r="D13155" i="4"/>
  <c r="D7754" i="4"/>
  <c r="D14338" i="4"/>
  <c r="D11166" i="4"/>
  <c r="D2741" i="4"/>
  <c r="D1247" i="4"/>
  <c r="D7753" i="4"/>
  <c r="D14337" i="4"/>
  <c r="D3965" i="4"/>
  <c r="D6035" i="4"/>
  <c r="D9748" i="4"/>
  <c r="D1641" i="4"/>
  <c r="D7752" i="4"/>
  <c r="D7751" i="4"/>
  <c r="D2740" i="4"/>
  <c r="D14553" i="4"/>
  <c r="D11165" i="4"/>
  <c r="D14047" i="4"/>
  <c r="D945" i="4"/>
  <c r="D4707" i="4"/>
  <c r="D13214" i="4"/>
  <c r="D3268" i="4"/>
  <c r="D7750" i="4"/>
  <c r="D7749" i="4"/>
  <c r="D7748" i="4"/>
  <c r="D3402" i="4"/>
  <c r="D10998" i="4"/>
  <c r="D14637" i="4"/>
  <c r="D2179" i="4"/>
  <c r="D6034" i="4"/>
  <c r="D6327" i="4"/>
  <c r="D10104" i="4"/>
  <c r="D7747" i="4"/>
  <c r="D7746" i="4"/>
  <c r="D10821" i="4"/>
  <c r="D3249" i="4"/>
  <c r="D11978" i="4"/>
  <c r="D7745" i="4"/>
  <c r="D12541" i="4"/>
  <c r="D3401" i="4"/>
  <c r="D7744" i="4"/>
  <c r="D7743" i="4"/>
  <c r="D6598" i="4"/>
  <c r="D14543" i="4"/>
  <c r="D4274" i="4"/>
  <c r="D6531" i="4"/>
  <c r="D9838" i="4"/>
  <c r="D7214" i="4"/>
  <c r="D6638" i="4"/>
  <c r="D3997" i="4"/>
  <c r="D13369" i="4"/>
  <c r="D460" i="4"/>
  <c r="D11587" i="4"/>
  <c r="D11013" i="4"/>
  <c r="D250" i="4"/>
  <c r="D5876" i="4"/>
  <c r="D4904" i="4"/>
  <c r="D6458" i="4"/>
  <c r="D14336" i="4"/>
  <c r="D3400" i="4"/>
  <c r="D944" i="4"/>
  <c r="D491" i="4"/>
  <c r="D12154" i="4"/>
  <c r="D4035" i="4"/>
  <c r="D4903" i="4"/>
  <c r="D7742" i="4"/>
  <c r="D14559" i="4"/>
  <c r="D14049" i="4"/>
  <c r="D7230" i="4"/>
  <c r="D15313" i="4"/>
  <c r="D1819" i="4"/>
  <c r="D13532" i="4"/>
  <c r="D7741" i="4"/>
  <c r="D1618" i="4"/>
  <c r="D1878" i="4"/>
  <c r="D7740" i="4"/>
  <c r="D11857" i="4"/>
  <c r="D14036" i="4"/>
  <c r="D231" i="4"/>
  <c r="D12748" i="4"/>
  <c r="D7739" i="4"/>
  <c r="D13872" i="4"/>
  <c r="D2739" i="4"/>
  <c r="D6944" i="4"/>
  <c r="D10427" i="4"/>
  <c r="D7738" i="4"/>
  <c r="D11525" i="4"/>
  <c r="D1162" i="4"/>
  <c r="D13103" i="4"/>
  <c r="D7737" i="4"/>
  <c r="D14335" i="4"/>
  <c r="D7736" i="4"/>
  <c r="D6033" i="4"/>
  <c r="D1161" i="4"/>
  <c r="D3399" i="4"/>
  <c r="D5254" i="4"/>
  <c r="D14881" i="4"/>
  <c r="D10103" i="4"/>
  <c r="D3104" i="4"/>
  <c r="D11092" i="4"/>
  <c r="D12846" i="4"/>
  <c r="D11652" i="4"/>
  <c r="D10997" i="4"/>
  <c r="D10102" i="4"/>
  <c r="D15312" i="4"/>
  <c r="D7735" i="4"/>
  <c r="D10101" i="4"/>
  <c r="D4368" i="4"/>
  <c r="D4259" i="4"/>
  <c r="D6707" i="4"/>
  <c r="D3944" i="4"/>
  <c r="D12747" i="4"/>
  <c r="D14742" i="4"/>
  <c r="D3398" i="4"/>
  <c r="D7005" i="4"/>
  <c r="D14334" i="4"/>
  <c r="D2299" i="4"/>
  <c r="D15117" i="4"/>
  <c r="D12845" i="4"/>
  <c r="D11651" i="4"/>
  <c r="D7734" i="4"/>
  <c r="D7733" i="4"/>
  <c r="D10850" i="4"/>
  <c r="D7732" i="4"/>
  <c r="D7731" i="4"/>
  <c r="D6483" i="4"/>
  <c r="D13901" i="4"/>
  <c r="D7730" i="4"/>
  <c r="D6198" i="4"/>
  <c r="D14165" i="4"/>
  <c r="D15284" i="4"/>
  <c r="D3397" i="4"/>
  <c r="D13959" i="4"/>
  <c r="D4160" i="4"/>
  <c r="D2685" i="4"/>
  <c r="D5754" i="4"/>
  <c r="D14333" i="4"/>
  <c r="D11809" i="4"/>
  <c r="D13531" i="4"/>
  <c r="D7004" i="4"/>
  <c r="D2504" i="4"/>
  <c r="D5103" i="4"/>
  <c r="D13393" i="4"/>
  <c r="D4381" i="4"/>
  <c r="D14054" i="4"/>
  <c r="D15311" i="4"/>
  <c r="D2221" i="4"/>
  <c r="D10100" i="4"/>
  <c r="D1553" i="4"/>
  <c r="D1640" i="4"/>
  <c r="D2931" i="4"/>
  <c r="D11133" i="4"/>
  <c r="D4549" i="4"/>
  <c r="D3396" i="4"/>
  <c r="D13154" i="4"/>
  <c r="D15310" i="4"/>
  <c r="D12270" i="4"/>
  <c r="D12746" i="4"/>
  <c r="D10592" i="4"/>
  <c r="D10490" i="4"/>
  <c r="D6655" i="4"/>
  <c r="D5701" i="4"/>
  <c r="D13280" i="4"/>
  <c r="D11856" i="4"/>
  <c r="D10844" i="4"/>
  <c r="D15309" i="4"/>
  <c r="D7729" i="4"/>
  <c r="D496" i="4"/>
  <c r="D7728" i="4"/>
  <c r="D4363" i="4"/>
  <c r="D15013" i="4"/>
  <c r="D9345" i="4"/>
  <c r="D699" i="4"/>
  <c r="D3395" i="4"/>
  <c r="D7727" i="4"/>
  <c r="D1719" i="4"/>
  <c r="D320" i="4"/>
  <c r="D12077" i="4"/>
  <c r="D2136" i="4"/>
  <c r="D4168" i="4"/>
  <c r="D10591" i="4"/>
  <c r="D2016" i="4"/>
  <c r="D230" i="4"/>
  <c r="D9889" i="4"/>
  <c r="D5253" i="4"/>
  <c r="D12254" i="4"/>
  <c r="D14157" i="4"/>
  <c r="D2107" i="4"/>
  <c r="D9182" i="4"/>
  <c r="D6769" i="4"/>
  <c r="D2930" i="4"/>
  <c r="D4600" i="4"/>
  <c r="D14046" i="4"/>
  <c r="D6738" i="4"/>
  <c r="D1246" i="4"/>
  <c r="D2518" i="4"/>
  <c r="D5252" i="4"/>
  <c r="D15568" i="4"/>
  <c r="D2220" i="4"/>
  <c r="D9984" i="4"/>
  <c r="D13012" i="4"/>
  <c r="D14332" i="4"/>
  <c r="D6768" i="4"/>
  <c r="D13033" i="4"/>
  <c r="D7726" i="4"/>
  <c r="D2503" i="4"/>
  <c r="D4273" i="4"/>
  <c r="D14531" i="4"/>
  <c r="D7725" i="4"/>
  <c r="D10099" i="4"/>
  <c r="D10098" i="4"/>
  <c r="D7724" i="4"/>
  <c r="D6530" i="4"/>
  <c r="D13530" i="4"/>
  <c r="D5046" i="4"/>
  <c r="D10097" i="4"/>
  <c r="D5852" i="4"/>
  <c r="D1160" i="4"/>
  <c r="D2583" i="4"/>
  <c r="D1905" i="4"/>
  <c r="D10096" i="4"/>
  <c r="D1892" i="4"/>
  <c r="D11524" i="4"/>
  <c r="D13529" i="4"/>
  <c r="D3394" i="4"/>
  <c r="D11069" i="4"/>
  <c r="D15308" i="4"/>
  <c r="D14254" i="4"/>
  <c r="D11808" i="4"/>
  <c r="D14705" i="4"/>
  <c r="D7723" i="4"/>
  <c r="D5078" i="4"/>
  <c r="D3393" i="4"/>
  <c r="D7722" i="4"/>
  <c r="D12622" i="4"/>
  <c r="D1245" i="4"/>
  <c r="D276" i="4"/>
  <c r="D7269" i="4"/>
  <c r="D15012" i="4"/>
  <c r="D14880" i="4"/>
  <c r="D1159" i="4"/>
  <c r="D3103" i="4"/>
  <c r="D10860" i="4"/>
  <c r="D14125" i="4"/>
  <c r="D7052" i="4"/>
  <c r="D10444" i="4"/>
  <c r="D3392" i="4"/>
  <c r="D9900" i="4"/>
  <c r="D14794" i="4"/>
  <c r="D698" i="4"/>
  <c r="D3102" i="4"/>
  <c r="D5828" i="4"/>
  <c r="D7721" i="4"/>
  <c r="D14331" i="4"/>
  <c r="D1818" i="4"/>
  <c r="D14552" i="4"/>
  <c r="D11807" i="4"/>
  <c r="D14023" i="4"/>
  <c r="D3391" i="4"/>
  <c r="D7720" i="4"/>
  <c r="D12014" i="4"/>
  <c r="D10590" i="4"/>
  <c r="D3390" i="4"/>
  <c r="D6529" i="4"/>
  <c r="D9344" i="4"/>
  <c r="D2015" i="4"/>
  <c r="D11548" i="4"/>
  <c r="D7719" i="4"/>
  <c r="D7718" i="4"/>
  <c r="D7717" i="4"/>
  <c r="D13886" i="4"/>
  <c r="D15141" i="4"/>
  <c r="D10095" i="4"/>
  <c r="D14330" i="4"/>
  <c r="D11593" i="4"/>
  <c r="D13310" i="4"/>
  <c r="D10094" i="4"/>
  <c r="D14793" i="4"/>
  <c r="D4272" i="4"/>
  <c r="D11321" i="4"/>
  <c r="D12253" i="4"/>
  <c r="D10093" i="4"/>
  <c r="D3389" i="4"/>
  <c r="D11458" i="4"/>
  <c r="D10868" i="4"/>
  <c r="D6894" i="4"/>
  <c r="D4576" i="4"/>
  <c r="D6745" i="4"/>
  <c r="D2298" i="4"/>
  <c r="D1244" i="4"/>
  <c r="D13113" i="4"/>
  <c r="D7716" i="4"/>
  <c r="D5251" i="4"/>
  <c r="D13392" i="4"/>
  <c r="D7715" i="4"/>
  <c r="D14259" i="4"/>
  <c r="D1158" i="4"/>
  <c r="D10092" i="4"/>
  <c r="D4248" i="4"/>
  <c r="D7714" i="4"/>
  <c r="D5668" i="4"/>
  <c r="D11121" i="4"/>
  <c r="D7713" i="4"/>
  <c r="D11855" i="4"/>
  <c r="D7712" i="4"/>
  <c r="D4465" i="4"/>
  <c r="D4247" i="4"/>
  <c r="D7711" i="4"/>
  <c r="D2297" i="4"/>
  <c r="D2517" i="4"/>
  <c r="D4397" i="4"/>
  <c r="D12844" i="4"/>
  <c r="D11650" i="4"/>
  <c r="D7710" i="4"/>
  <c r="D1595" i="4"/>
  <c r="D13936" i="4"/>
  <c r="D15605" i="4"/>
  <c r="D11787" i="4"/>
  <c r="D9343" i="4"/>
  <c r="D14329" i="4"/>
  <c r="D11806" i="4"/>
  <c r="D1157" i="4"/>
  <c r="D6767" i="4"/>
  <c r="D5753" i="4"/>
  <c r="D1023" i="4"/>
  <c r="D5700" i="4"/>
  <c r="D14328" i="4"/>
  <c r="D6032" i="4"/>
  <c r="D2162" i="4"/>
  <c r="D11805" i="4"/>
  <c r="D5955" i="4"/>
  <c r="D3943" i="4"/>
  <c r="D10887" i="4"/>
  <c r="D7709" i="4"/>
  <c r="D12153" i="4"/>
  <c r="D6766" i="4"/>
  <c r="D11749" i="4"/>
  <c r="D7708" i="4"/>
  <c r="D9274" i="4"/>
  <c r="D5954" i="4"/>
  <c r="D11120" i="4"/>
  <c r="D14570" i="4"/>
  <c r="D7707" i="4"/>
  <c r="D3248" i="4"/>
  <c r="D7706" i="4"/>
  <c r="D11107" i="4"/>
  <c r="D2106" i="4"/>
  <c r="D13963" i="4"/>
  <c r="D7705" i="4"/>
  <c r="D7704" i="4"/>
  <c r="D11451" i="4"/>
  <c r="D10091" i="4"/>
  <c r="D15694" i="4"/>
  <c r="D5250" i="4"/>
  <c r="D12199" i="4"/>
  <c r="D4548" i="4"/>
  <c r="D4585" i="4"/>
  <c r="D12220" i="4"/>
  <c r="D12219" i="4"/>
  <c r="D2582" i="4"/>
  <c r="D7703" i="4"/>
  <c r="D15307" i="4"/>
  <c r="D6765" i="4"/>
  <c r="D4113" i="4"/>
  <c r="D12598" i="4"/>
  <c r="D3388" i="4"/>
  <c r="D7702" i="4"/>
  <c r="D1552" i="4"/>
  <c r="D9747" i="4"/>
  <c r="D9203" i="4"/>
  <c r="D7701" i="4"/>
  <c r="D6597" i="4"/>
  <c r="D11574" i="4"/>
  <c r="D15306" i="4"/>
  <c r="D6226" i="4"/>
  <c r="D3036" i="4"/>
  <c r="D3935" i="4"/>
  <c r="D13228" i="4"/>
  <c r="D4599" i="4"/>
  <c r="D3387" i="4"/>
  <c r="D5752" i="4"/>
  <c r="D11132" i="4"/>
  <c r="D13011" i="4"/>
  <c r="D12013" i="4"/>
  <c r="D1463" i="4"/>
  <c r="D262" i="4"/>
  <c r="D12745" i="4"/>
  <c r="D12843" i="4"/>
  <c r="D11649" i="4"/>
  <c r="D14327" i="4"/>
  <c r="D1243" i="4"/>
  <c r="D1022" i="4"/>
  <c r="D15140" i="4"/>
  <c r="D10690" i="4"/>
  <c r="D7700" i="4"/>
  <c r="D7699" i="4"/>
  <c r="D4766" i="4"/>
  <c r="D4464" i="4"/>
  <c r="D7698" i="4"/>
  <c r="D3998" i="4"/>
  <c r="D5249" i="4"/>
  <c r="D7697" i="4"/>
  <c r="D14792" i="4"/>
  <c r="D6031" i="4"/>
  <c r="D7696" i="4"/>
  <c r="D13528" i="4"/>
  <c r="D9342" i="4"/>
  <c r="D1242" i="4"/>
  <c r="D5155" i="4"/>
  <c r="D319" i="4"/>
  <c r="D2296" i="4"/>
  <c r="D12617" i="4"/>
  <c r="D7695" i="4"/>
  <c r="D5851" i="4"/>
  <c r="D4804" i="4"/>
  <c r="D4374" i="4"/>
  <c r="D4657" i="4"/>
  <c r="D1021" i="4"/>
  <c r="D1629" i="4"/>
  <c r="D2900" i="4"/>
  <c r="D2066" i="4"/>
  <c r="D6731" i="4"/>
  <c r="D398" i="4"/>
  <c r="D3386" i="4"/>
  <c r="D11276" i="4"/>
  <c r="D2219" i="4"/>
  <c r="D3385" i="4"/>
  <c r="D13527" i="4"/>
  <c r="D4193" i="4"/>
  <c r="D1241" i="4"/>
  <c r="D13305" i="4"/>
  <c r="D4373" i="4"/>
  <c r="D9341" i="4"/>
  <c r="D12948" i="4"/>
  <c r="D7694" i="4"/>
  <c r="D7693" i="4"/>
  <c r="D2738" i="4"/>
  <c r="D943" i="4"/>
  <c r="D7692" i="4"/>
  <c r="D397" i="4"/>
  <c r="D4892" i="4"/>
  <c r="D5925" i="4"/>
  <c r="D1240" i="4"/>
  <c r="D7691" i="4"/>
  <c r="D7690" i="4"/>
  <c r="D9777" i="4"/>
  <c r="D2684" i="4"/>
  <c r="D13121" i="4"/>
  <c r="D14326" i="4"/>
  <c r="D13120" i="4"/>
  <c r="D1492" i="4"/>
  <c r="D14325" i="4"/>
  <c r="D14324" i="4"/>
  <c r="D3384" i="4"/>
  <c r="D2737" i="4"/>
  <c r="D11735" i="4"/>
  <c r="D746" i="4"/>
  <c r="D7689" i="4"/>
  <c r="D11110" i="4"/>
  <c r="D6030" i="4"/>
  <c r="D7688" i="4"/>
  <c r="D7687" i="4"/>
  <c r="D7686" i="4"/>
  <c r="D10938" i="4"/>
  <c r="D14323" i="4"/>
  <c r="D13050" i="4"/>
  <c r="D10090" i="4"/>
  <c r="D3383" i="4"/>
  <c r="D7685" i="4"/>
  <c r="D7684" i="4"/>
  <c r="D7683" i="4"/>
  <c r="D3382" i="4"/>
  <c r="D6029" i="4"/>
  <c r="D3381" i="4"/>
  <c r="D14322" i="4"/>
  <c r="D7682" i="4"/>
  <c r="D9202" i="4"/>
  <c r="D15305" i="4"/>
  <c r="D10089" i="4"/>
  <c r="D4742" i="4"/>
  <c r="D13010" i="4"/>
  <c r="D7681" i="4"/>
  <c r="D7680" i="4"/>
  <c r="D7679" i="4"/>
  <c r="D305" i="4"/>
  <c r="D11118" i="4"/>
  <c r="D11405" i="4"/>
  <c r="D9955" i="4"/>
  <c r="D362" i="4"/>
  <c r="D11102" i="4"/>
  <c r="D12152" i="4"/>
  <c r="D7678" i="4"/>
  <c r="D566" i="4"/>
  <c r="D10532" i="4"/>
  <c r="D7677" i="4"/>
  <c r="D1346" i="4"/>
  <c r="D1639" i="4"/>
  <c r="D9776" i="4"/>
  <c r="D4630" i="4"/>
  <c r="D11794" i="4"/>
  <c r="D6528" i="4"/>
  <c r="D10937" i="4"/>
  <c r="D7676" i="4"/>
  <c r="D12151" i="4"/>
  <c r="D14091" i="4"/>
  <c r="D1744" i="4"/>
  <c r="D11376" i="4"/>
  <c r="D2065" i="4"/>
  <c r="D11592" i="4"/>
  <c r="D14321" i="4"/>
  <c r="D7265" i="4"/>
  <c r="D11303" i="4"/>
  <c r="D10531" i="4"/>
  <c r="D12592" i="4"/>
  <c r="D2929" i="4"/>
  <c r="D6028" i="4"/>
  <c r="D7675" i="4"/>
  <c r="D5667" i="4"/>
  <c r="D10996" i="4"/>
  <c r="D9340" i="4"/>
  <c r="D9228" i="4"/>
  <c r="D12591" i="4"/>
  <c r="D11457" i="4"/>
  <c r="D7674" i="4"/>
  <c r="D10088" i="4"/>
  <c r="D7673" i="4"/>
  <c r="D15304" i="4"/>
  <c r="D7672" i="4"/>
  <c r="D12979" i="4"/>
  <c r="D7104" i="4"/>
  <c r="D4463" i="4"/>
  <c r="D14320" i="4"/>
  <c r="D7671" i="4"/>
  <c r="D7670" i="4"/>
  <c r="D14035" i="4"/>
  <c r="D3101" i="4"/>
  <c r="D13526" i="4"/>
  <c r="D7669" i="4"/>
  <c r="D9775" i="4"/>
  <c r="D10833" i="4"/>
  <c r="D11732" i="4"/>
  <c r="D3380" i="4"/>
  <c r="D13153" i="4"/>
  <c r="D4069" i="4"/>
  <c r="D12269" i="4"/>
  <c r="D11131" i="4"/>
  <c r="D13885" i="4"/>
  <c r="D7668" i="4"/>
  <c r="D7667" i="4"/>
  <c r="D14147" i="4"/>
  <c r="D3222" i="4"/>
  <c r="D229" i="4"/>
  <c r="D2295" i="4"/>
  <c r="D15685" i="4"/>
  <c r="D6809" i="4"/>
  <c r="D12150" i="4"/>
  <c r="D7666" i="4"/>
  <c r="D5083" i="4"/>
  <c r="D3221" i="4"/>
  <c r="D7665" i="4"/>
  <c r="D9273" i="4"/>
  <c r="D4167" i="4"/>
  <c r="D4749" i="4"/>
  <c r="D3379" i="4"/>
  <c r="D6427" i="4"/>
  <c r="D10530" i="4"/>
  <c r="D318" i="4"/>
  <c r="D3378" i="4"/>
  <c r="D7664" i="4"/>
  <c r="D5248" i="4"/>
  <c r="D5247" i="4"/>
  <c r="D5751" i="4"/>
  <c r="D3377" i="4"/>
  <c r="D9774" i="4"/>
  <c r="D7663" i="4"/>
  <c r="D5666" i="4"/>
  <c r="D7662" i="4"/>
  <c r="D10772" i="4"/>
  <c r="D3376" i="4"/>
  <c r="D14625" i="4"/>
  <c r="D9339" i="4"/>
  <c r="D9773" i="4"/>
  <c r="D10748" i="4"/>
  <c r="D3375" i="4"/>
  <c r="D13525" i="4"/>
  <c r="D7661" i="4"/>
  <c r="D11335" i="4"/>
  <c r="D7660" i="4"/>
  <c r="D7659" i="4"/>
  <c r="D1764" i="4"/>
  <c r="D10087" i="4"/>
  <c r="D10086" i="4"/>
  <c r="D7658" i="4"/>
  <c r="D6949" i="4"/>
  <c r="D1345" i="4"/>
  <c r="D3374" i="4"/>
  <c r="D13152" i="4"/>
  <c r="D10085" i="4"/>
  <c r="D308" i="4"/>
  <c r="D7657" i="4"/>
  <c r="D11164" i="4"/>
  <c r="D5246" i="4"/>
  <c r="D5030" i="4"/>
  <c r="D7656" i="4"/>
  <c r="D14103" i="4"/>
  <c r="D2910" i="4"/>
  <c r="D4891" i="4"/>
  <c r="D12149" i="4"/>
  <c r="D4458" i="4"/>
  <c r="D14569" i="4"/>
  <c r="D13391" i="4"/>
  <c r="D9189" i="4"/>
  <c r="D11404" i="4"/>
  <c r="D9923" i="4"/>
  <c r="D6596" i="4"/>
  <c r="D12661" i="4"/>
  <c r="D11583" i="4"/>
  <c r="D14051" i="4"/>
  <c r="D15011" i="4"/>
  <c r="D4372" i="4"/>
  <c r="D12510" i="4"/>
  <c r="D3240" i="4"/>
  <c r="D3049" i="4"/>
  <c r="D4537" i="4"/>
  <c r="D4984" i="4"/>
  <c r="D10589" i="4"/>
  <c r="D14144" i="4"/>
  <c r="D12842" i="4"/>
  <c r="D11648" i="4"/>
  <c r="D4876" i="4"/>
  <c r="D6687" i="4"/>
  <c r="D1877" i="4"/>
  <c r="D7655" i="4"/>
  <c r="D3100" i="4"/>
  <c r="D7654" i="4"/>
  <c r="D11275" i="4"/>
  <c r="D1344" i="4"/>
  <c r="D495" i="4"/>
  <c r="D12093" i="4"/>
  <c r="D1594" i="4"/>
  <c r="D6584" i="4"/>
  <c r="D7653" i="4"/>
  <c r="D7652" i="4"/>
  <c r="D3373" i="4"/>
  <c r="D2581" i="4"/>
  <c r="D12959" i="4"/>
  <c r="D7651" i="4"/>
  <c r="D14319" i="4"/>
  <c r="D1636" i="4"/>
  <c r="D2913" i="4"/>
  <c r="D4706" i="4"/>
  <c r="D2294" i="4"/>
  <c r="D6864" i="4"/>
  <c r="D12550" i="4"/>
  <c r="D1455" i="4"/>
  <c r="D15116" i="4"/>
  <c r="D4128" i="4"/>
  <c r="D6662" i="4"/>
  <c r="D7650" i="4"/>
  <c r="D5245" i="4"/>
  <c r="D4110" i="4"/>
  <c r="D3372" i="4"/>
  <c r="D13309" i="4"/>
  <c r="D5191" i="4"/>
  <c r="D7649" i="4"/>
  <c r="D7648" i="4"/>
  <c r="D7647" i="4"/>
  <c r="D7646" i="4"/>
  <c r="D14053" i="4"/>
  <c r="D7645" i="4"/>
  <c r="D9338" i="4"/>
  <c r="D7644" i="4"/>
  <c r="D4803" i="4"/>
  <c r="D2293" i="4"/>
  <c r="D2001" i="4"/>
  <c r="D3371" i="4"/>
  <c r="D1876" i="4"/>
  <c r="D4750" i="4"/>
  <c r="D3267" i="4"/>
  <c r="D9337" i="4"/>
  <c r="D314" i="4"/>
  <c r="D4727" i="4"/>
  <c r="D6027" i="4"/>
  <c r="D7643" i="4"/>
  <c r="D3993" i="4"/>
  <c r="D5750" i="4"/>
  <c r="D9929" i="4"/>
  <c r="D3370" i="4"/>
  <c r="D3369" i="4"/>
  <c r="D11257" i="4"/>
  <c r="D472" i="4"/>
  <c r="D11163" i="4"/>
  <c r="D1156" i="4"/>
  <c r="D12012" i="4"/>
  <c r="D12896" i="4"/>
  <c r="D15139" i="4"/>
  <c r="D7642" i="4"/>
  <c r="D7641" i="4"/>
  <c r="D2928" i="4"/>
  <c r="D2176" i="4"/>
  <c r="D15624" i="4"/>
  <c r="D6449" i="4"/>
  <c r="D7070" i="4"/>
  <c r="D6527" i="4"/>
  <c r="D3368" i="4"/>
  <c r="D13151" i="4"/>
  <c r="D7640" i="4"/>
  <c r="D7639" i="4"/>
  <c r="D448" i="4"/>
  <c r="D10677" i="4"/>
  <c r="D9928" i="4"/>
  <c r="D11568" i="4"/>
  <c r="D13524" i="4"/>
  <c r="D6026" i="4"/>
  <c r="D14584" i="4"/>
  <c r="D6718" i="4"/>
  <c r="D6025" i="4"/>
  <c r="D9336" i="4"/>
  <c r="D3099" i="4"/>
  <c r="D12522" i="4"/>
  <c r="D10443" i="4"/>
  <c r="D13523" i="4"/>
  <c r="D11992" i="4"/>
  <c r="D10529" i="4"/>
  <c r="D459" i="4"/>
  <c r="D11130" i="4"/>
  <c r="D11977" i="4"/>
  <c r="D7638" i="4"/>
  <c r="D697" i="4"/>
  <c r="D2178" i="4"/>
  <c r="D6690" i="4"/>
  <c r="D6331" i="4"/>
  <c r="D10528" i="4"/>
  <c r="D10915" i="4"/>
  <c r="D3367" i="4"/>
  <c r="D13150" i="4"/>
  <c r="D261" i="4"/>
  <c r="D14318" i="4"/>
  <c r="D12076" i="4"/>
  <c r="D7637" i="4"/>
  <c r="D3098" i="4"/>
  <c r="D1020" i="4"/>
  <c r="D7293" i="4"/>
  <c r="D6526" i="4"/>
  <c r="D1086" i="4"/>
  <c r="D7198" i="4"/>
  <c r="D15303" i="4"/>
  <c r="D13898" i="4"/>
  <c r="D745" i="4"/>
  <c r="D14317" i="4"/>
  <c r="D3366" i="4"/>
  <c r="D3982" i="4"/>
  <c r="D4765" i="4"/>
  <c r="D2292" i="4"/>
  <c r="D14636" i="4"/>
  <c r="D3365" i="4"/>
  <c r="D7636" i="4"/>
  <c r="D7635" i="4"/>
  <c r="D6024" i="4"/>
  <c r="D1986" i="4"/>
  <c r="D484" i="4"/>
  <c r="D12234" i="4"/>
  <c r="D1155" i="4"/>
  <c r="D9949" i="4"/>
  <c r="D3216" i="4"/>
  <c r="D565" i="4"/>
  <c r="D3054" i="4"/>
  <c r="D15115" i="4"/>
  <c r="D3010" i="4"/>
  <c r="D13522" i="4"/>
  <c r="D13368" i="4"/>
  <c r="D7634" i="4"/>
  <c r="D11748" i="4"/>
  <c r="D3254" i="4"/>
  <c r="D3364" i="4"/>
  <c r="D7633" i="4"/>
  <c r="D5102" i="4"/>
  <c r="D6808" i="4"/>
  <c r="D3363" i="4"/>
  <c r="D14316" i="4"/>
  <c r="D5665" i="4"/>
  <c r="D13367" i="4"/>
  <c r="D9219" i="4"/>
  <c r="D13521" i="4"/>
  <c r="D4802" i="4"/>
  <c r="D7632" i="4"/>
  <c r="D4705" i="4"/>
  <c r="D3097" i="4"/>
  <c r="D7631" i="4"/>
  <c r="D7630" i="4"/>
  <c r="D6637" i="4"/>
  <c r="D6795" i="4"/>
  <c r="D1503" i="4"/>
  <c r="D7629" i="4"/>
  <c r="D9847" i="4"/>
  <c r="D11162" i="4"/>
  <c r="D7628" i="4"/>
  <c r="D7627" i="4"/>
  <c r="D11012" i="4"/>
  <c r="D4387" i="4"/>
  <c r="D1019" i="4"/>
  <c r="D7626" i="4"/>
  <c r="D696" i="4"/>
  <c r="D13032" i="4"/>
  <c r="D12597" i="4"/>
  <c r="D4801" i="4"/>
  <c r="D1922" i="4"/>
  <c r="D1712" i="4"/>
  <c r="D4631" i="4"/>
  <c r="D7625" i="4"/>
  <c r="D14315" i="4"/>
  <c r="D15138" i="4"/>
  <c r="D9772" i="4"/>
  <c r="D13520" i="4"/>
  <c r="D5827" i="4"/>
  <c r="D4672" i="4"/>
  <c r="D4547" i="4"/>
  <c r="D5749" i="4"/>
  <c r="D793" i="4"/>
  <c r="D7177" i="4"/>
  <c r="D317" i="4"/>
  <c r="D3362" i="4"/>
  <c r="D6457" i="4"/>
  <c r="D7624" i="4"/>
  <c r="D5244" i="4"/>
  <c r="D7623" i="4"/>
  <c r="D10084" i="4"/>
  <c r="D9335" i="4"/>
  <c r="D11976" i="4"/>
  <c r="D7622" i="4"/>
  <c r="D11274" i="4"/>
  <c r="D792" i="4"/>
  <c r="D228" i="4"/>
  <c r="D13390" i="4"/>
  <c r="D2252" i="4"/>
  <c r="D7621" i="4"/>
  <c r="D6023" i="4"/>
  <c r="D1434" i="4"/>
  <c r="D10083" i="4"/>
  <c r="D2151" i="4"/>
  <c r="D10411" i="4"/>
  <c r="D6492" i="4"/>
  <c r="D14739" i="4"/>
  <c r="D6525" i="4"/>
  <c r="D4644" i="4"/>
  <c r="D10588" i="4"/>
  <c r="D4726" i="4"/>
  <c r="D7620" i="4"/>
  <c r="D3096" i="4"/>
  <c r="D7619" i="4"/>
  <c r="D3361" i="4"/>
  <c r="D4106" i="4"/>
  <c r="D2502" i="4"/>
  <c r="D11316" i="4"/>
  <c r="D10082" i="4"/>
  <c r="D14566" i="4"/>
  <c r="D7618" i="4"/>
  <c r="D9864" i="4"/>
  <c r="D7617" i="4"/>
  <c r="D5243" i="4"/>
  <c r="D9176" i="4"/>
  <c r="D2580" i="4"/>
  <c r="D14583" i="4"/>
  <c r="D6438" i="4"/>
  <c r="D11854" i="4"/>
  <c r="D13519" i="4"/>
  <c r="D11975" i="4"/>
  <c r="D3360" i="4"/>
  <c r="D15114" i="4"/>
  <c r="D10783" i="4"/>
  <c r="D14314" i="4"/>
  <c r="D12233" i="4"/>
  <c r="D12590" i="4"/>
  <c r="D695" i="4"/>
  <c r="D6524" i="4"/>
  <c r="D4034" i="4"/>
  <c r="D3359" i="4"/>
  <c r="D2291" i="4"/>
  <c r="D12119" i="4"/>
  <c r="D3358" i="4"/>
  <c r="D11334" i="4"/>
  <c r="D7616" i="4"/>
  <c r="D11501" i="4"/>
  <c r="D1085" i="4"/>
  <c r="D3357" i="4"/>
  <c r="D4800" i="4"/>
  <c r="D2218" i="4"/>
  <c r="D10527" i="4"/>
  <c r="D9771" i="4"/>
  <c r="D7615" i="4"/>
  <c r="D11456" i="4"/>
  <c r="D14313" i="4"/>
  <c r="D3356" i="4"/>
  <c r="D11705" i="4"/>
  <c r="D4875" i="4"/>
  <c r="D9334" i="4"/>
  <c r="D5242" i="4"/>
  <c r="D6764" i="4"/>
  <c r="D7176" i="4"/>
  <c r="D10081" i="4"/>
  <c r="D6636" i="4"/>
  <c r="D2290" i="4"/>
  <c r="D10779" i="4"/>
  <c r="D11997" i="4"/>
  <c r="D12409" i="4"/>
  <c r="D4166" i="4"/>
  <c r="D4656" i="4"/>
  <c r="D9333" i="4"/>
  <c r="D3355" i="4"/>
  <c r="D1154" i="4"/>
  <c r="D2217" i="4"/>
  <c r="D4462" i="4"/>
  <c r="D4535" i="4"/>
  <c r="D10080" i="4"/>
  <c r="D3354" i="4"/>
  <c r="D515" i="4"/>
  <c r="D14312" i="4"/>
  <c r="D249" i="4"/>
  <c r="D11384" i="4"/>
  <c r="D866" i="4"/>
  <c r="D6344" i="4"/>
  <c r="D4799" i="4"/>
  <c r="D12978" i="4"/>
  <c r="D14079" i="4"/>
  <c r="D11853" i="4"/>
  <c r="D12268" i="4"/>
  <c r="D15137" i="4"/>
  <c r="D7614" i="4"/>
  <c r="D3353" i="4"/>
  <c r="D5192" i="4"/>
  <c r="D12148" i="4"/>
  <c r="D15063" i="4"/>
  <c r="D7160" i="4"/>
  <c r="D11793" i="4"/>
  <c r="D15057" i="4"/>
  <c r="D3352" i="4"/>
  <c r="D1743" i="4"/>
  <c r="D14082" i="4"/>
  <c r="D11974" i="4"/>
  <c r="D5241" i="4"/>
  <c r="D7613" i="4"/>
  <c r="D1668" i="4"/>
  <c r="D2003" i="4"/>
  <c r="D3351" i="4"/>
  <c r="D4531" i="4"/>
  <c r="D6830" i="4"/>
  <c r="D11852" i="4"/>
  <c r="D7115" i="4"/>
  <c r="D13518" i="4"/>
  <c r="D13389" i="4"/>
  <c r="D3214" i="4"/>
  <c r="D13009" i="4"/>
  <c r="D11256" i="4"/>
  <c r="D12521" i="4"/>
  <c r="D1454" i="4"/>
  <c r="D7612" i="4"/>
  <c r="D13517" i="4"/>
  <c r="D15010" i="4"/>
  <c r="D7611" i="4"/>
  <c r="D14311" i="4"/>
  <c r="D10079" i="4"/>
  <c r="D12240" i="4"/>
  <c r="D7610" i="4"/>
  <c r="D10410" i="4"/>
  <c r="D6849" i="4"/>
  <c r="D10936" i="4"/>
  <c r="D14551" i="4"/>
  <c r="D5141" i="4"/>
  <c r="D11804" i="4"/>
  <c r="D865" i="4"/>
  <c r="D2064" i="4"/>
  <c r="D13516" i="4"/>
  <c r="D12596" i="4"/>
  <c r="D14167" i="4"/>
  <c r="D4968" i="4"/>
  <c r="D7609" i="4"/>
  <c r="D301" i="4"/>
  <c r="D3953" i="4"/>
  <c r="D7608" i="4"/>
  <c r="D3978" i="4"/>
  <c r="D7294" i="4"/>
  <c r="D10913" i="4"/>
  <c r="D2251" i="4"/>
  <c r="D5038" i="4"/>
  <c r="D1750" i="4"/>
  <c r="D3247" i="4"/>
  <c r="D2736" i="4"/>
  <c r="D1487" i="4"/>
  <c r="D11129" i="4"/>
  <c r="D3062" i="4"/>
  <c r="D6523" i="4"/>
  <c r="D7607" i="4"/>
  <c r="D2735" i="4"/>
  <c r="D7606" i="4"/>
  <c r="D6436" i="4"/>
  <c r="D10078" i="4"/>
  <c r="D6852" i="4"/>
  <c r="D12195" i="4"/>
  <c r="D6022" i="4"/>
  <c r="D304" i="4"/>
  <c r="D7605" i="4"/>
  <c r="D2949" i="4"/>
  <c r="D7604" i="4"/>
  <c r="D10587" i="4"/>
  <c r="D10077" i="4"/>
  <c r="D6595" i="4"/>
  <c r="D7603" i="4"/>
  <c r="D10526" i="4"/>
  <c r="D10525" i="4"/>
  <c r="D11747" i="4"/>
  <c r="D12952" i="4"/>
  <c r="D11419" i="4"/>
  <c r="D12744" i="4"/>
  <c r="D11803" i="4"/>
  <c r="D494" i="4"/>
  <c r="D6763" i="4"/>
  <c r="D6762" i="4"/>
  <c r="D4609" i="4"/>
  <c r="D12743" i="4"/>
  <c r="D325" i="4"/>
  <c r="D3981" i="4"/>
  <c r="D14006" i="4"/>
  <c r="D2216" i="4"/>
  <c r="D7602" i="4"/>
  <c r="D5101" i="4"/>
  <c r="D6021" i="4"/>
  <c r="D14791" i="4"/>
  <c r="D7601" i="4"/>
  <c r="D14593" i="4"/>
  <c r="D7600" i="4"/>
  <c r="D9964" i="4"/>
  <c r="D1789" i="4"/>
  <c r="D7599" i="4"/>
  <c r="D647" i="4"/>
  <c r="D4598" i="4"/>
  <c r="D6020" i="4"/>
  <c r="D864" i="4"/>
  <c r="D1921" i="4"/>
  <c r="D300" i="4"/>
  <c r="D1716" i="4"/>
  <c r="D7598" i="4"/>
  <c r="D3053" i="4"/>
  <c r="D13388" i="4"/>
  <c r="D2289" i="4"/>
  <c r="D11792" i="4"/>
  <c r="D7597" i="4"/>
  <c r="D5832" i="4"/>
  <c r="D7596" i="4"/>
  <c r="D13954" i="4"/>
  <c r="D3350" i="4"/>
  <c r="D14310" i="4"/>
  <c r="D12239" i="4"/>
  <c r="D7595" i="4"/>
  <c r="D7594" i="4"/>
  <c r="D14568" i="4"/>
  <c r="D2014" i="4"/>
  <c r="D15623" i="4"/>
  <c r="D2952" i="4"/>
  <c r="D1153" i="4"/>
  <c r="D2516" i="4"/>
  <c r="D7175" i="4"/>
  <c r="D12605" i="4"/>
  <c r="D7593" i="4"/>
  <c r="D7592" i="4"/>
  <c r="D3095" i="4"/>
  <c r="D11619" i="4"/>
  <c r="D14162" i="4"/>
  <c r="D12577" i="4"/>
  <c r="D11599" i="4"/>
  <c r="D14137" i="4"/>
  <c r="D14790" i="4"/>
  <c r="D6761" i="4"/>
  <c r="D7591" i="4"/>
  <c r="D7590" i="4"/>
  <c r="D12520" i="4"/>
  <c r="D13515" i="4"/>
  <c r="D7589" i="4"/>
  <c r="D1107" i="4"/>
  <c r="D6019" i="4"/>
  <c r="D5138" i="4"/>
  <c r="D14683" i="4"/>
  <c r="D2063" i="4"/>
  <c r="D2095" i="4"/>
  <c r="D4000" i="4"/>
  <c r="D7588" i="4"/>
  <c r="D7587" i="4"/>
  <c r="D10076" i="4"/>
  <c r="D3094" i="4"/>
  <c r="D4105" i="4"/>
  <c r="D11417" i="4"/>
  <c r="D3942" i="4"/>
  <c r="D7114" i="4"/>
  <c r="D4704" i="4"/>
  <c r="D2734" i="4"/>
  <c r="D1239" i="4"/>
  <c r="D7586" i="4"/>
  <c r="D3052" i="4"/>
  <c r="D7585" i="4"/>
  <c r="D15302" i="4"/>
  <c r="D1711" i="4"/>
  <c r="D2899" i="4"/>
  <c r="D15009" i="4"/>
  <c r="D11617" i="4"/>
  <c r="D4597" i="4"/>
  <c r="D646" i="4"/>
  <c r="D4643" i="4"/>
  <c r="D694" i="4"/>
  <c r="D7584" i="4"/>
  <c r="D3996" i="4"/>
  <c r="D13112" i="4"/>
  <c r="D14717" i="4"/>
  <c r="D7583" i="4"/>
  <c r="D7582" i="4"/>
  <c r="D7113" i="4"/>
  <c r="D1343" i="4"/>
  <c r="D12075" i="4"/>
  <c r="D3349" i="4"/>
  <c r="D4671" i="4"/>
  <c r="D14309" i="4"/>
  <c r="D13514" i="4"/>
  <c r="D6948" i="4"/>
  <c r="D1342" i="4"/>
  <c r="D10075" i="4"/>
  <c r="D3035" i="4"/>
  <c r="D15136" i="4"/>
  <c r="D6522" i="4"/>
  <c r="D9927" i="4"/>
  <c r="D2926" i="4"/>
  <c r="D3995" i="4"/>
  <c r="D3992" i="4"/>
  <c r="D6018" i="4"/>
  <c r="D7581" i="4"/>
  <c r="D6521" i="4"/>
  <c r="D11091" i="4"/>
  <c r="D13513" i="4"/>
  <c r="D7091" i="4"/>
  <c r="D14308" i="4"/>
  <c r="D7580" i="4"/>
  <c r="D7579" i="4"/>
  <c r="D4741" i="4"/>
  <c r="D7578" i="4"/>
  <c r="D11383" i="4"/>
  <c r="D9746" i="4"/>
  <c r="D9332" i="4"/>
  <c r="D302" i="4"/>
  <c r="D2288" i="4"/>
  <c r="D7577" i="4"/>
  <c r="D10765" i="4"/>
  <c r="D4890" i="4"/>
  <c r="D14184" i="4"/>
  <c r="D476" i="4"/>
  <c r="D7576" i="4"/>
  <c r="D10524" i="4"/>
  <c r="D4553" i="4"/>
  <c r="D3348" i="4"/>
  <c r="D11954" i="4"/>
  <c r="D310" i="4"/>
  <c r="D3051" i="4"/>
  <c r="D2683" i="4"/>
  <c r="D344" i="4"/>
  <c r="D7575" i="4"/>
  <c r="D7574" i="4"/>
  <c r="D14869" i="4"/>
  <c r="D7573" i="4"/>
  <c r="D5240" i="4"/>
  <c r="D1238" i="4"/>
  <c r="D2287" i="4"/>
  <c r="D7572" i="4"/>
  <c r="D5953" i="4"/>
  <c r="D10074" i="4"/>
  <c r="D7571" i="4"/>
  <c r="D7570" i="4"/>
  <c r="D7569" i="4"/>
  <c r="D14613" i="4"/>
  <c r="D3272" i="4"/>
  <c r="D10879" i="4"/>
  <c r="D744" i="4"/>
  <c r="D15622" i="4"/>
  <c r="D7568" i="4"/>
  <c r="D791" i="4"/>
  <c r="D2579" i="4"/>
  <c r="D14664" i="4"/>
  <c r="D4686" i="4"/>
  <c r="D12147" i="4"/>
  <c r="D10073" i="4"/>
  <c r="D458" i="4"/>
  <c r="D15008" i="4"/>
  <c r="D11598" i="4"/>
  <c r="D10072" i="4"/>
  <c r="D3093" i="4"/>
  <c r="D14307" i="4"/>
  <c r="D7567" i="4"/>
  <c r="D7566" i="4"/>
  <c r="D9948" i="4"/>
  <c r="D3347" i="4"/>
  <c r="D942" i="4"/>
  <c r="D11377" i="4"/>
  <c r="D6807" i="4"/>
  <c r="D10071" i="4"/>
  <c r="D11455" i="4"/>
  <c r="D4386" i="4"/>
  <c r="D4165" i="4"/>
  <c r="D7565" i="4"/>
  <c r="D288" i="4"/>
  <c r="D6017" i="4"/>
  <c r="D13031" i="4"/>
  <c r="D5194" i="4"/>
  <c r="D7564" i="4"/>
  <c r="D2286" i="4"/>
  <c r="D11333" i="4"/>
  <c r="D12947" i="4"/>
  <c r="D6016" i="4"/>
  <c r="D5239" i="4"/>
  <c r="D518" i="4"/>
  <c r="D14996" i="4"/>
  <c r="D324" i="4"/>
  <c r="D7563" i="4"/>
  <c r="D14034" i="4"/>
  <c r="D12408" i="4"/>
  <c r="D6480" i="4"/>
  <c r="D7562" i="4"/>
  <c r="D7561" i="4"/>
  <c r="D11944" i="4"/>
  <c r="D13512" i="4"/>
  <c r="D2578" i="4"/>
  <c r="D7560" i="4"/>
  <c r="D12549" i="4"/>
  <c r="D4798" i="4"/>
  <c r="D941" i="4"/>
  <c r="D10523" i="4"/>
  <c r="D4797" i="4"/>
  <c r="D4982" i="4"/>
  <c r="D15007" i="4"/>
  <c r="D2714" i="4"/>
  <c r="D13511" i="4"/>
  <c r="D6588" i="4"/>
  <c r="D15135" i="4"/>
  <c r="D2921" i="4"/>
  <c r="D10764" i="4"/>
  <c r="D10724" i="4"/>
  <c r="D343" i="4"/>
  <c r="D11704" i="4"/>
  <c r="D2203" i="4"/>
  <c r="D3346" i="4"/>
  <c r="D14789" i="4"/>
  <c r="D7059" i="4"/>
  <c r="D11638" i="4"/>
  <c r="D3345" i="4"/>
  <c r="D4138" i="4"/>
  <c r="D13008" i="4"/>
  <c r="D4703" i="4"/>
  <c r="D9181" i="4"/>
  <c r="D15301" i="4"/>
  <c r="D1341" i="4"/>
  <c r="D10070" i="4"/>
  <c r="D13849" i="4"/>
  <c r="D14166" i="4"/>
  <c r="D5875" i="4"/>
  <c r="D4751" i="4"/>
  <c r="D7559" i="4"/>
  <c r="D13510" i="4"/>
  <c r="D3230" i="4"/>
  <c r="D328" i="4"/>
  <c r="D7558" i="4"/>
  <c r="D7274" i="4"/>
  <c r="D10866" i="4"/>
  <c r="D13007" i="4"/>
  <c r="D9331" i="4"/>
  <c r="D6015" i="4"/>
  <c r="D11233" i="4"/>
  <c r="D7557" i="4"/>
  <c r="D13213" i="4"/>
  <c r="D7556" i="4"/>
  <c r="D2094" i="4"/>
  <c r="D11149" i="4"/>
  <c r="D7292" i="4"/>
  <c r="D10069" i="4"/>
  <c r="D1018" i="4"/>
  <c r="D5074" i="4"/>
  <c r="D430" i="4"/>
  <c r="D7555" i="4"/>
  <c r="D10638" i="4"/>
  <c r="D7554" i="4"/>
  <c r="D9330" i="4"/>
  <c r="D7553" i="4"/>
  <c r="D4244" i="4"/>
  <c r="D12519" i="4"/>
  <c r="D13030" i="4"/>
  <c r="D6014" i="4"/>
  <c r="D10995" i="4"/>
  <c r="D4953" i="4"/>
  <c r="D13509" i="4"/>
  <c r="D9745" i="4"/>
  <c r="D7552" i="4"/>
  <c r="D6520" i="4"/>
  <c r="D5748" i="4"/>
  <c r="D10901" i="4"/>
  <c r="D7551" i="4"/>
  <c r="D4271" i="4"/>
  <c r="D247" i="4"/>
  <c r="D5238" i="4"/>
  <c r="D790" i="4"/>
  <c r="D13508" i="4"/>
  <c r="D863" i="4"/>
  <c r="D10586" i="4"/>
  <c r="D7550" i="4"/>
  <c r="D14033" i="4"/>
  <c r="D7549" i="4"/>
  <c r="D9284" i="4"/>
  <c r="D15300" i="4"/>
  <c r="D12589" i="4"/>
  <c r="D12625" i="4"/>
  <c r="D10384" i="4"/>
  <c r="D12074" i="4"/>
  <c r="D1992" i="4"/>
  <c r="D7548" i="4"/>
  <c r="D1453" i="4"/>
  <c r="D12196" i="4"/>
  <c r="D493" i="4"/>
  <c r="D7547" i="4"/>
  <c r="D11643" i="4"/>
  <c r="D5154" i="4"/>
  <c r="D12518" i="4"/>
  <c r="D6794" i="4"/>
  <c r="D2925" i="4"/>
  <c r="D13387" i="4"/>
  <c r="D10845" i="4"/>
  <c r="D4254" i="4"/>
  <c r="D9329" i="4"/>
  <c r="D1749" i="4"/>
  <c r="D11028" i="4"/>
  <c r="D14306" i="4"/>
  <c r="D7197" i="4"/>
  <c r="D3344" i="4"/>
  <c r="D10068" i="4"/>
  <c r="D5952" i="4"/>
  <c r="D1710" i="4"/>
  <c r="D7546" i="4"/>
  <c r="D7545" i="4"/>
  <c r="D4735" i="4"/>
  <c r="D10067" i="4"/>
  <c r="D2577" i="4"/>
  <c r="D10066" i="4"/>
  <c r="D564" i="4"/>
  <c r="D3092" i="4"/>
  <c r="D1496" i="4"/>
  <c r="D5833" i="4"/>
  <c r="D2013" i="4"/>
  <c r="D14663" i="4"/>
  <c r="D7544" i="4"/>
  <c r="D7543" i="4"/>
  <c r="D7542" i="4"/>
  <c r="D6456" i="4"/>
  <c r="D11991" i="4"/>
  <c r="D10065" i="4"/>
  <c r="D4371" i="4"/>
  <c r="D5699" i="4"/>
  <c r="D14305" i="4"/>
  <c r="D6225" i="4"/>
  <c r="D342" i="4"/>
  <c r="D15299" i="4"/>
  <c r="D12092" i="4"/>
  <c r="D7196" i="4"/>
  <c r="D2576" i="4"/>
  <c r="D3343" i="4"/>
  <c r="D7541" i="4"/>
  <c r="D12548" i="4"/>
  <c r="D11547" i="4"/>
  <c r="D14304" i="4"/>
  <c r="D13029" i="4"/>
  <c r="D862" i="4"/>
  <c r="D2062" i="4"/>
  <c r="D14050" i="4"/>
  <c r="D4702" i="4"/>
  <c r="D7540" i="4"/>
  <c r="D12011" i="4"/>
  <c r="D3964" i="4"/>
  <c r="D4740" i="4"/>
  <c r="D7539" i="4"/>
  <c r="D15621" i="4"/>
  <c r="D789" i="4"/>
  <c r="D5070" i="4"/>
  <c r="D11943" i="4"/>
  <c r="D13075" i="4"/>
  <c r="D12517" i="4"/>
  <c r="D10064" i="4"/>
  <c r="D10442" i="4"/>
  <c r="D11953" i="4"/>
  <c r="D3999" i="4"/>
  <c r="D6013" i="4"/>
  <c r="D2713" i="4"/>
  <c r="D5951" i="4"/>
  <c r="D10705" i="4"/>
  <c r="D3342" i="4"/>
  <c r="D7538" i="4"/>
  <c r="D11851" i="4"/>
  <c r="D7537" i="4"/>
  <c r="D9328" i="4"/>
  <c r="D4461" i="4"/>
  <c r="D3091" i="4"/>
  <c r="D7536" i="4"/>
  <c r="D4764" i="4"/>
  <c r="D330" i="4"/>
  <c r="D14303" i="4"/>
  <c r="D7535" i="4"/>
  <c r="D13507" i="4"/>
  <c r="D7534" i="4"/>
  <c r="D12730" i="4"/>
  <c r="D4525" i="4"/>
  <c r="D11090" i="4"/>
  <c r="D11445" i="4"/>
  <c r="D14136" i="4"/>
  <c r="D307" i="4"/>
  <c r="D9770" i="4"/>
  <c r="D12742" i="4"/>
  <c r="D5045" i="4"/>
  <c r="D3341" i="4"/>
  <c r="D11802" i="4"/>
  <c r="D7533" i="4"/>
  <c r="D7532" i="4"/>
  <c r="D9327" i="4"/>
  <c r="D7531" i="4"/>
  <c r="D7195" i="4"/>
  <c r="D12118" i="4"/>
  <c r="D14788" i="4"/>
  <c r="D7194" i="4"/>
  <c r="D1817" i="4"/>
  <c r="D2501" i="4"/>
  <c r="D6760" i="4"/>
  <c r="D4546" i="4"/>
  <c r="D2733" i="4"/>
  <c r="D788" i="4"/>
  <c r="D1017" i="4"/>
  <c r="D940" i="4"/>
  <c r="D13386" i="4"/>
  <c r="D10063" i="4"/>
  <c r="D10942" i="4"/>
  <c r="D4569" i="4"/>
  <c r="D6519" i="4"/>
  <c r="D3041" i="4"/>
  <c r="D4842" i="4"/>
  <c r="D7530" i="4"/>
  <c r="D4887" i="4"/>
  <c r="D3340" i="4"/>
  <c r="D7529" i="4"/>
  <c r="D7528" i="4"/>
  <c r="D14302" i="4"/>
  <c r="D14301" i="4"/>
  <c r="D1340" i="4"/>
  <c r="D12516" i="4"/>
  <c r="D901" i="4"/>
  <c r="D1914" i="4"/>
  <c r="D14001" i="4"/>
  <c r="D5237" i="4"/>
  <c r="D10062" i="4"/>
  <c r="D13506" i="4"/>
  <c r="D12146" i="4"/>
  <c r="D1788" i="4"/>
  <c r="D4370" i="4"/>
  <c r="D4050" i="4"/>
  <c r="D4010" i="4"/>
  <c r="D7069" i="4"/>
  <c r="D13505" i="4"/>
  <c r="D7527" i="4"/>
  <c r="D1816" i="4"/>
  <c r="D12198" i="4"/>
  <c r="D12252" i="4"/>
  <c r="D10522" i="4"/>
  <c r="D13006" i="4"/>
  <c r="D6590" i="4"/>
  <c r="D15006" i="4"/>
  <c r="D6744" i="4"/>
  <c r="D7058" i="4"/>
  <c r="D11720" i="4"/>
  <c r="D861" i="4"/>
  <c r="D9272" i="4"/>
  <c r="D4252" i="4"/>
  <c r="D4872" i="4"/>
  <c r="D10061" i="4"/>
  <c r="D10675" i="4"/>
  <c r="D10060" i="4"/>
  <c r="D860" i="4"/>
  <c r="D437" i="4"/>
  <c r="D15005" i="4"/>
  <c r="D9858" i="4"/>
  <c r="D7193" i="4"/>
  <c r="D6201" i="4"/>
  <c r="D14542" i="4"/>
  <c r="D2285" i="4"/>
  <c r="D7526" i="4"/>
  <c r="D14070" i="4"/>
  <c r="D11973" i="4"/>
  <c r="D14530" i="4"/>
  <c r="D900" i="4"/>
  <c r="D9326" i="4"/>
  <c r="D9983" i="4"/>
  <c r="D9249" i="4"/>
  <c r="D10832" i="4"/>
  <c r="D6518" i="4"/>
  <c r="D13504" i="4"/>
  <c r="D7525" i="4"/>
  <c r="D2284" i="4"/>
  <c r="D7524" i="4"/>
  <c r="D10059" i="4"/>
  <c r="D1787" i="4"/>
  <c r="D7523" i="4"/>
  <c r="D13005" i="4"/>
  <c r="D2575" i="4"/>
  <c r="D15095" i="4"/>
  <c r="D3985" i="4"/>
  <c r="D2881" i="4"/>
  <c r="D1491" i="4"/>
  <c r="D12509" i="4"/>
  <c r="D7522" i="4"/>
  <c r="D2283" i="4"/>
  <c r="D4460" i="4"/>
  <c r="D13503" i="4"/>
  <c r="D7521" i="4"/>
  <c r="D1875" i="4"/>
  <c r="D6706" i="4"/>
  <c r="D6517" i="4"/>
  <c r="D3021" i="4"/>
  <c r="D4552" i="4"/>
  <c r="D13906" i="4"/>
  <c r="D15004" i="4"/>
  <c r="D13279" i="4"/>
  <c r="D10676" i="4"/>
  <c r="D6516" i="4"/>
  <c r="D645" i="4"/>
  <c r="D9732" i="4"/>
  <c r="D5874" i="4"/>
  <c r="D4013" i="4"/>
  <c r="D7520" i="4"/>
  <c r="D13301" i="4"/>
  <c r="D10462" i="4"/>
  <c r="D10886" i="4"/>
  <c r="D3339" i="4"/>
  <c r="D11523" i="4"/>
  <c r="D15134" i="4"/>
  <c r="D9325" i="4"/>
  <c r="D7519" i="4"/>
  <c r="D7270" i="4"/>
  <c r="D4962" i="4"/>
  <c r="D7518" i="4"/>
  <c r="D5236" i="4"/>
  <c r="D13502" i="4"/>
  <c r="D1339" i="4"/>
  <c r="D9188" i="4"/>
  <c r="D7517" i="4"/>
  <c r="D787" i="4"/>
  <c r="D7516" i="4"/>
  <c r="D10994" i="4"/>
  <c r="D9248" i="4"/>
  <c r="D7515" i="4"/>
  <c r="D13004" i="4"/>
  <c r="D7514" i="4"/>
  <c r="D6806" i="4"/>
  <c r="D14868" i="4"/>
  <c r="D10689" i="4"/>
  <c r="D7513" i="4"/>
  <c r="D10521" i="4"/>
  <c r="D1486" i="4"/>
  <c r="D6012" i="4"/>
  <c r="D12626" i="4"/>
  <c r="D2250" i="4"/>
  <c r="D10058" i="4"/>
  <c r="D4796" i="4"/>
  <c r="D2574" i="4"/>
  <c r="D7512" i="4"/>
  <c r="D3338" i="4"/>
  <c r="D4902" i="4"/>
  <c r="D9236" i="4"/>
  <c r="D13278" i="4"/>
  <c r="D14537" i="4"/>
  <c r="D6686" i="4"/>
  <c r="D15003" i="4"/>
  <c r="D7511" i="4"/>
  <c r="D306" i="4"/>
  <c r="D153" i="4"/>
  <c r="D13501" i="4"/>
  <c r="D4642" i="4"/>
  <c r="D10057" i="4"/>
  <c r="D6929" i="4"/>
  <c r="D6515" i="4"/>
  <c r="D4545" i="4"/>
  <c r="D5235" i="4"/>
  <c r="D12407" i="4"/>
  <c r="D7510" i="4"/>
  <c r="D12741" i="4"/>
  <c r="D9963" i="4"/>
  <c r="D12251" i="4"/>
  <c r="D15113" i="4"/>
  <c r="D6759" i="4"/>
  <c r="D11801" i="4"/>
  <c r="D15002" i="4"/>
  <c r="D9324" i="4"/>
  <c r="D5736" i="4"/>
  <c r="D2573" i="4"/>
  <c r="D10056" i="4"/>
  <c r="D9323" i="4"/>
  <c r="D7509" i="4"/>
  <c r="D14149" i="4"/>
  <c r="D10897" i="4"/>
  <c r="D7508" i="4"/>
  <c r="D7507" i="4"/>
  <c r="D12515" i="4"/>
  <c r="D13500" i="4"/>
  <c r="D2175" i="4"/>
  <c r="D3090" i="4"/>
  <c r="D6742" i="4"/>
  <c r="D13074" i="4"/>
  <c r="D7506" i="4"/>
  <c r="D7505" i="4"/>
  <c r="D3337" i="4"/>
  <c r="D7504" i="4"/>
  <c r="D7503" i="4"/>
  <c r="D6863" i="4"/>
  <c r="D10944" i="4"/>
  <c r="D10461" i="4"/>
  <c r="D11320" i="4"/>
  <c r="D14032" i="4"/>
  <c r="D6407" i="4"/>
  <c r="D15298" i="4"/>
  <c r="D10055" i="4"/>
  <c r="D4125" i="4"/>
  <c r="D7502" i="4"/>
  <c r="D3336" i="4"/>
  <c r="D14164" i="4"/>
  <c r="D11850" i="4"/>
  <c r="D7501" i="4"/>
  <c r="D7500" i="4"/>
  <c r="D7499" i="4"/>
  <c r="D7498" i="4"/>
  <c r="D10771" i="4"/>
  <c r="D6578" i="4"/>
  <c r="D1786" i="4"/>
  <c r="D14028" i="4"/>
  <c r="D5234" i="4"/>
  <c r="D11048" i="4"/>
  <c r="D11791" i="4"/>
  <c r="D9322" i="4"/>
  <c r="D11609" i="4"/>
  <c r="D786" i="4"/>
  <c r="D7066" i="4"/>
  <c r="D1874" i="4"/>
  <c r="D11009" i="4"/>
  <c r="D4270" i="4"/>
  <c r="D10054" i="4"/>
  <c r="D5747" i="4"/>
  <c r="D4795" i="4"/>
  <c r="D4544" i="4"/>
  <c r="D2282" i="4"/>
  <c r="D785" i="4"/>
  <c r="D5233" i="4"/>
  <c r="D11157" i="4"/>
  <c r="D2281" i="4"/>
  <c r="D14582" i="4"/>
  <c r="D27" i="4"/>
  <c r="D13227" i="4"/>
  <c r="D4850" i="4"/>
  <c r="D12117" i="4"/>
  <c r="D9744" i="4"/>
  <c r="D1815" i="4"/>
  <c r="D7497" i="4"/>
  <c r="D5232" i="4"/>
  <c r="D4849" i="4"/>
  <c r="D10849" i="4"/>
  <c r="D14256" i="4"/>
  <c r="D15566" i="4"/>
  <c r="D4874" i="4"/>
  <c r="D7496" i="4"/>
  <c r="D4647" i="4"/>
  <c r="D3335" i="4"/>
  <c r="D7495" i="4"/>
  <c r="D1237" i="4"/>
  <c r="D6758" i="4"/>
  <c r="D11319" i="4"/>
  <c r="D7174" i="4"/>
  <c r="D9321" i="4"/>
  <c r="D7494" i="4"/>
  <c r="D5746" i="4"/>
  <c r="D10585" i="4"/>
  <c r="D11332" i="4"/>
  <c r="D9320" i="4"/>
  <c r="D14864" i="4"/>
  <c r="D7493" i="4"/>
  <c r="D3334" i="4"/>
  <c r="D10053" i="4"/>
  <c r="D6406" i="4"/>
  <c r="D11232" i="4"/>
  <c r="D7492" i="4"/>
  <c r="D11024" i="4"/>
  <c r="D14787" i="4"/>
  <c r="D417" i="4"/>
  <c r="D14300" i="4"/>
  <c r="D14550" i="4"/>
  <c r="D6326" i="4"/>
  <c r="D2497" i="4"/>
  <c r="D15620" i="4"/>
  <c r="D15001" i="4"/>
  <c r="D7491" i="4"/>
  <c r="D11800" i="4"/>
  <c r="D9319" i="4"/>
  <c r="D3991" i="4"/>
  <c r="D354" i="4"/>
  <c r="D1502" i="4"/>
  <c r="D4119" i="4"/>
  <c r="D6224" i="4"/>
  <c r="D6778" i="4"/>
  <c r="D14191" i="4"/>
  <c r="D12406" i="4"/>
  <c r="D1016" i="4"/>
  <c r="D13866" i="4"/>
  <c r="D329" i="4"/>
  <c r="D5231" i="4"/>
  <c r="D5698" i="4"/>
  <c r="D6489" i="4"/>
  <c r="D6011" i="4"/>
  <c r="D4685" i="4"/>
  <c r="D15619" i="4"/>
  <c r="D10052" i="4"/>
  <c r="D3220" i="4"/>
  <c r="D14299" i="4"/>
  <c r="D9201" i="4"/>
  <c r="D4269" i="4"/>
  <c r="D7173" i="4"/>
  <c r="D12145" i="4"/>
  <c r="D5230" i="4"/>
  <c r="D13385" i="4"/>
  <c r="D295" i="4"/>
  <c r="D361" i="4"/>
  <c r="D5229" i="4"/>
  <c r="D11719" i="4"/>
  <c r="D7490" i="4"/>
  <c r="D9" i="4"/>
  <c r="D10051" i="4"/>
  <c r="D1584" i="4"/>
  <c r="D14614" i="4"/>
  <c r="D3333" i="4"/>
  <c r="D7489" i="4"/>
  <c r="D7172" i="4"/>
  <c r="D5228" i="4"/>
  <c r="D6757" i="4"/>
  <c r="D7488" i="4"/>
  <c r="D13955" i="4"/>
  <c r="D4543" i="4"/>
  <c r="D4683" i="4"/>
  <c r="D9318" i="4"/>
  <c r="D6514" i="4"/>
  <c r="D11331" i="4"/>
  <c r="D14005" i="4"/>
  <c r="D13073" i="4"/>
  <c r="D10441" i="4"/>
  <c r="D12218" i="4"/>
  <c r="D13499" i="4"/>
  <c r="D3332" i="4"/>
  <c r="D10520" i="4"/>
  <c r="D4068" i="4"/>
  <c r="D4311" i="4"/>
  <c r="D2500" i="4"/>
  <c r="D4848" i="4"/>
  <c r="D15036" i="4"/>
  <c r="D7487" i="4"/>
  <c r="D1920" i="4"/>
  <c r="D7486" i="4"/>
  <c r="D2712" i="4"/>
  <c r="D14298" i="4"/>
  <c r="D6943" i="4"/>
  <c r="D7485" i="4"/>
  <c r="D4992" i="4"/>
  <c r="D3331" i="4"/>
  <c r="D743" i="4"/>
  <c r="D2572" i="4"/>
  <c r="D4127" i="4"/>
  <c r="D4889" i="4"/>
  <c r="D11068" i="4"/>
  <c r="D11746" i="4"/>
  <c r="D11382" i="4"/>
  <c r="D13892" i="4"/>
  <c r="D6793" i="4"/>
  <c r="D7484" i="4"/>
  <c r="D5227" i="4"/>
  <c r="D7483" i="4"/>
  <c r="D1551" i="4"/>
  <c r="D4701" i="4"/>
  <c r="D7482" i="4"/>
  <c r="D5226" i="4"/>
  <c r="D14716" i="4"/>
  <c r="D13498" i="4"/>
  <c r="D13497" i="4"/>
  <c r="D14558" i="4"/>
  <c r="D14297" i="4"/>
  <c r="D13496" i="4"/>
  <c r="D13366" i="4"/>
  <c r="D11426" i="4"/>
  <c r="D7481" i="4"/>
  <c r="D784" i="4"/>
  <c r="D644" i="4"/>
  <c r="D7480" i="4"/>
  <c r="D7479" i="4"/>
  <c r="D1106" i="4"/>
  <c r="D1628" i="4"/>
  <c r="D14296" i="4"/>
  <c r="D6947" i="4"/>
  <c r="D1338" i="4"/>
  <c r="D6223" i="4"/>
  <c r="D12203" i="4"/>
  <c r="D3330" i="4"/>
  <c r="D4763" i="4"/>
  <c r="D7478" i="4"/>
  <c r="D3329" i="4"/>
  <c r="D9954" i="4"/>
  <c r="D7477" i="4"/>
  <c r="D11546" i="4"/>
  <c r="D3328" i="4"/>
  <c r="D7476" i="4"/>
  <c r="D3020" i="4"/>
  <c r="D13495" i="4"/>
  <c r="D2732" i="4"/>
  <c r="D6393" i="4"/>
  <c r="D13494" i="4"/>
  <c r="D4700" i="4"/>
  <c r="D6392" i="4"/>
  <c r="D9835" i="4"/>
  <c r="D10050" i="4"/>
  <c r="D7475" i="4"/>
  <c r="D4582" i="4"/>
  <c r="D455" i="4"/>
  <c r="D4554" i="4"/>
  <c r="D9317" i="4"/>
  <c r="D10049" i="4"/>
  <c r="D12977" i="4"/>
  <c r="D11994" i="4"/>
  <c r="D7474" i="4"/>
  <c r="D899" i="4"/>
  <c r="D14529" i="4"/>
  <c r="D5164" i="4"/>
  <c r="D5073" i="4"/>
  <c r="D2202" i="4"/>
  <c r="D7192" i="4"/>
  <c r="D7473" i="4"/>
  <c r="D12230" i="4"/>
  <c r="D11586" i="4"/>
  <c r="D4641" i="4"/>
  <c r="D7472" i="4"/>
  <c r="D294" i="4"/>
  <c r="D7471" i="4"/>
  <c r="D9316" i="4"/>
  <c r="D7470" i="4"/>
  <c r="D4794" i="4"/>
  <c r="D3327" i="4"/>
  <c r="D11450" i="4"/>
  <c r="D3326" i="4"/>
  <c r="D6513" i="4"/>
  <c r="D13072" i="4"/>
  <c r="D7469" i="4"/>
  <c r="D2161" i="4"/>
  <c r="D13962" i="4"/>
  <c r="D3325" i="4"/>
  <c r="D13149" i="4"/>
  <c r="D14295" i="4"/>
  <c r="D7468" i="4"/>
  <c r="D12116" i="4"/>
  <c r="D2135" i="4"/>
  <c r="D10776" i="4"/>
  <c r="D13212" i="4"/>
  <c r="D7467" i="4"/>
  <c r="D416" i="4"/>
  <c r="D10048" i="4"/>
  <c r="D12588" i="4"/>
  <c r="D5225" i="4"/>
  <c r="D1873" i="4"/>
  <c r="D11952" i="4"/>
  <c r="D9315" i="4"/>
  <c r="D13493" i="4"/>
  <c r="D13492" i="4"/>
  <c r="D2280" i="4"/>
  <c r="D7466" i="4"/>
  <c r="D1015" i="4"/>
  <c r="D3089" i="4"/>
  <c r="D10440" i="4"/>
  <c r="D12217" i="4"/>
  <c r="D7465" i="4"/>
  <c r="D11849" i="4"/>
  <c r="D9314" i="4"/>
  <c r="D3324" i="4"/>
  <c r="D4699" i="4"/>
  <c r="D7464" i="4"/>
  <c r="D3323" i="4"/>
  <c r="D14294" i="4"/>
  <c r="D7463" i="4"/>
  <c r="D10519" i="4"/>
  <c r="D11161" i="4"/>
  <c r="D7462" i="4"/>
  <c r="D10047" i="4"/>
  <c r="D12144" i="4"/>
  <c r="D7461" i="4"/>
  <c r="D3088" i="4"/>
  <c r="D7460" i="4"/>
  <c r="D7459" i="4"/>
  <c r="D10046" i="4"/>
  <c r="D3322" i="4"/>
  <c r="D13148" i="4"/>
  <c r="D4985" i="4"/>
  <c r="D7458" i="4"/>
  <c r="D7457" i="4"/>
  <c r="D4575" i="4"/>
  <c r="D11951" i="4"/>
  <c r="D7456" i="4"/>
  <c r="D7455" i="4"/>
  <c r="D1014" i="4"/>
  <c r="D9313" i="4"/>
  <c r="D11950" i="4"/>
  <c r="D13935" i="4"/>
  <c r="D3321" i="4"/>
  <c r="D1236" i="4"/>
  <c r="D10637" i="4"/>
  <c r="D7454" i="4"/>
  <c r="D30" i="4"/>
  <c r="D6756" i="4"/>
  <c r="D11949" i="4"/>
  <c r="D2885" i="4"/>
  <c r="D3320" i="4"/>
  <c r="D12706" i="4"/>
  <c r="D2983" i="4"/>
  <c r="D2012" i="4"/>
  <c r="D783" i="4"/>
  <c r="D12405" i="4"/>
  <c r="D7453" i="4"/>
  <c r="D7452" i="4"/>
  <c r="D2905" i="4"/>
  <c r="D14786" i="4"/>
  <c r="D7451" i="4"/>
  <c r="D10394" i="4"/>
  <c r="D1903" i="4"/>
  <c r="D2011" i="4"/>
  <c r="D2061" i="4"/>
  <c r="D10404" i="4"/>
  <c r="D7450" i="4"/>
  <c r="D4961" i="4"/>
  <c r="D4" i="4"/>
  <c r="D165" i="4"/>
  <c r="D4762" i="4"/>
  <c r="D10403" i="4"/>
  <c r="D6330" i="4"/>
  <c r="D12587" i="4"/>
  <c r="D4954" i="4"/>
  <c r="D11745" i="4"/>
  <c r="D9769" i="4"/>
  <c r="D4528" i="4"/>
  <c r="D14293" i="4"/>
  <c r="D1452" i="4"/>
  <c r="D5697" i="4"/>
  <c r="D7449" i="4"/>
  <c r="D4901" i="4"/>
  <c r="D3215" i="4"/>
  <c r="D341" i="4"/>
  <c r="D9842" i="4"/>
  <c r="D7448" i="4"/>
  <c r="D10993" i="4"/>
  <c r="D5696" i="4"/>
  <c r="D260" i="4"/>
  <c r="D7447" i="4"/>
  <c r="D10045" i="4"/>
  <c r="D13491" i="4"/>
  <c r="D10044" i="4"/>
  <c r="D4900" i="4"/>
  <c r="D3087" i="4"/>
  <c r="D2196" i="4"/>
  <c r="D782" i="4"/>
  <c r="D6448" i="4"/>
  <c r="D10859" i="4"/>
  <c r="D9312" i="4"/>
  <c r="D4838" i="4"/>
  <c r="D11414" i="4"/>
  <c r="D2907" i="4"/>
  <c r="D15279" i="4"/>
  <c r="D7446" i="4"/>
  <c r="D6455" i="4"/>
  <c r="D3238" i="4"/>
  <c r="D195" i="4"/>
  <c r="D11128" i="4"/>
  <c r="D3319" i="4"/>
  <c r="D7445" i="4"/>
  <c r="D10043" i="4"/>
  <c r="D7444" i="4"/>
  <c r="D9846" i="4"/>
  <c r="D643" i="4"/>
  <c r="D2279" i="4"/>
  <c r="D12547" i="4"/>
  <c r="D14292" i="4"/>
  <c r="D3318" i="4"/>
  <c r="D145" i="4"/>
  <c r="D150" i="4"/>
  <c r="D3019" i="4"/>
  <c r="D11942" i="4"/>
  <c r="D4761" i="4"/>
  <c r="D11848" i="4"/>
  <c r="D2121" i="4"/>
  <c r="D7443" i="4"/>
  <c r="D4882" i="4"/>
  <c r="D6488" i="4"/>
  <c r="D15297" i="4"/>
  <c r="D1084" i="4"/>
  <c r="D9271" i="4"/>
  <c r="D14031" i="4"/>
  <c r="D10042" i="4"/>
  <c r="D14291" i="4"/>
  <c r="D10935" i="4"/>
  <c r="D4542" i="4"/>
  <c r="D2248" i="4"/>
  <c r="D781" i="4"/>
  <c r="D2278" i="4"/>
  <c r="D15000" i="4"/>
  <c r="D12621" i="4"/>
  <c r="D12250" i="4"/>
  <c r="D1785" i="4"/>
  <c r="D4541" i="4"/>
  <c r="D1913" i="4"/>
  <c r="D2731" i="4"/>
  <c r="D4369" i="4"/>
  <c r="D15600" i="4"/>
  <c r="D15075" i="4"/>
  <c r="D11744" i="4"/>
  <c r="D12546" i="4"/>
  <c r="D2126" i="4"/>
  <c r="D4058" i="4"/>
  <c r="D7442" i="4"/>
  <c r="D10041" i="4"/>
  <c r="D5224" i="4"/>
  <c r="D7441" i="4"/>
  <c r="D11416" i="4"/>
  <c r="D14290" i="4"/>
  <c r="D5950" i="4"/>
  <c r="D13490" i="4"/>
  <c r="D14973" i="4"/>
  <c r="D10040" i="4"/>
  <c r="D12595" i="4"/>
  <c r="D2515" i="4"/>
  <c r="D7440" i="4"/>
  <c r="D7439" i="4"/>
  <c r="D10039" i="4"/>
  <c r="D7438" i="4"/>
  <c r="D3317" i="4"/>
  <c r="D353" i="4"/>
  <c r="D10038" i="4"/>
  <c r="D11647" i="4"/>
  <c r="D9763" i="4"/>
  <c r="D7437" i="4"/>
  <c r="D1013" i="4"/>
  <c r="D7436" i="4"/>
  <c r="D14289" i="4"/>
  <c r="D1012" i="4"/>
  <c r="D7435" i="4"/>
  <c r="D10037" i="4"/>
  <c r="D12576" i="4"/>
  <c r="D2571" i="4"/>
  <c r="D2215" i="4"/>
  <c r="D5223" i="4"/>
  <c r="D10036" i="4"/>
  <c r="D108" i="4"/>
  <c r="D6213" i="4"/>
  <c r="D6786" i="4"/>
  <c r="D6805" i="4"/>
  <c r="D3316" i="4"/>
  <c r="D6928" i="4"/>
  <c r="D7434" i="4"/>
  <c r="D1501" i="4"/>
  <c r="D7433" i="4"/>
  <c r="D14288" i="4"/>
  <c r="D13865" i="4"/>
  <c r="D2875" i="4"/>
  <c r="D4540" i="4"/>
  <c r="D3315" i="4"/>
  <c r="D1627" i="4"/>
  <c r="D7432" i="4"/>
  <c r="D11948" i="4"/>
  <c r="D3990" i="4"/>
  <c r="D7431" i="4"/>
  <c r="D14999" i="4"/>
  <c r="D7430" i="4"/>
  <c r="D1500" i="4"/>
  <c r="D3086" i="4"/>
  <c r="D13071" i="4"/>
  <c r="D11947" i="4"/>
  <c r="D1663" i="4"/>
  <c r="D4082" i="4"/>
  <c r="D11101" i="4"/>
  <c r="D4698" i="4"/>
  <c r="D14662" i="4"/>
  <c r="D14682" i="4"/>
  <c r="D3314" i="4"/>
  <c r="D5222" i="4"/>
  <c r="D162" i="4"/>
  <c r="D4697" i="4"/>
  <c r="D13489" i="4"/>
  <c r="D10720" i="4"/>
  <c r="D2150" i="4"/>
  <c r="D2134" i="4"/>
  <c r="D7429" i="4"/>
  <c r="D7428" i="4"/>
  <c r="D7273" i="4"/>
  <c r="D7427" i="4"/>
  <c r="D4760" i="4"/>
  <c r="D5019" i="4"/>
  <c r="D7268" i="4"/>
  <c r="D13065" i="4"/>
  <c r="D10518" i="4"/>
  <c r="D2730" i="4"/>
  <c r="D4696" i="4"/>
  <c r="D11027" i="4"/>
  <c r="D5735" i="4"/>
  <c r="D15296" i="4"/>
  <c r="D10035" i="4"/>
  <c r="D10858" i="4"/>
  <c r="D13952" i="4"/>
  <c r="D7426" i="4"/>
  <c r="D7090" i="4"/>
  <c r="D12946" i="4"/>
  <c r="D4759" i="4"/>
  <c r="D4243" i="4"/>
  <c r="D8" i="4"/>
  <c r="D13910" i="4"/>
  <c r="D4847" i="4"/>
  <c r="D7425" i="4"/>
  <c r="D15295" i="4"/>
  <c r="D3963" i="4"/>
  <c r="D2214" i="4"/>
  <c r="D13384" i="4"/>
  <c r="D14022" i="4"/>
  <c r="D7424" i="4"/>
  <c r="D15112" i="4"/>
  <c r="D5745" i="4"/>
  <c r="D11847" i="4"/>
  <c r="D14287" i="4"/>
  <c r="D6010" i="4"/>
  <c r="D9724" i="4"/>
  <c r="D12586" i="4"/>
  <c r="D3018" i="4"/>
  <c r="D10426" i="4"/>
  <c r="D7423" i="4"/>
  <c r="D11642" i="4"/>
  <c r="D12267" i="4"/>
  <c r="D10409" i="4"/>
  <c r="D6989" i="4"/>
  <c r="D11522" i="4"/>
  <c r="D4104" i="4"/>
  <c r="D2920" i="4"/>
  <c r="D563" i="4"/>
  <c r="D6009" i="4"/>
  <c r="D3313" i="4"/>
  <c r="D12841" i="4"/>
  <c r="D4539" i="4"/>
  <c r="D4899" i="4"/>
  <c r="D3312" i="4"/>
  <c r="D11126" i="4"/>
  <c r="D14286" i="4"/>
  <c r="D9311" i="4"/>
  <c r="D129" i="4"/>
  <c r="D11160" i="4"/>
  <c r="D9310" i="4"/>
  <c r="D70" i="4"/>
  <c r="D15684" i="4"/>
  <c r="D7422" i="4"/>
  <c r="D4009" i="4"/>
  <c r="D5190" i="4"/>
  <c r="D3011" i="4"/>
  <c r="D7421" i="4"/>
  <c r="D7420" i="4"/>
  <c r="D12683" i="4"/>
  <c r="D5664" i="4"/>
  <c r="D7419" i="4"/>
  <c r="D15587" i="4"/>
  <c r="D537" i="4"/>
  <c r="D14163" i="4"/>
  <c r="D898" i="4"/>
  <c r="D7418" i="4"/>
  <c r="D4459" i="4"/>
  <c r="D13211" i="4"/>
  <c r="D6792" i="4"/>
  <c r="D3034" i="4"/>
  <c r="D13488" i="4"/>
  <c r="D780" i="4"/>
  <c r="D7417" i="4"/>
  <c r="D3311" i="4"/>
  <c r="D13147" i="4"/>
  <c r="D2177" i="4"/>
  <c r="D1485" i="4"/>
  <c r="D13487" i="4"/>
  <c r="D11521" i="4"/>
  <c r="D11400" i="4"/>
  <c r="D642" i="4"/>
  <c r="D6593" i="4"/>
  <c r="D1617" i="4"/>
  <c r="D5744" i="4"/>
  <c r="D3253" i="4"/>
  <c r="D4120" i="4"/>
  <c r="D5221" i="4"/>
  <c r="D14030" i="4"/>
  <c r="D9309" i="4"/>
  <c r="D7416" i="4"/>
  <c r="D14156" i="4"/>
  <c r="D9187" i="4"/>
  <c r="D2514" i="4"/>
  <c r="D10017" i="4"/>
  <c r="D13486" i="4"/>
  <c r="D2729" i="4"/>
  <c r="D1011" i="4"/>
  <c r="D3310" i="4"/>
  <c r="D14715" i="4"/>
  <c r="D7415" i="4"/>
  <c r="D3309" i="4"/>
  <c r="D2125" i="4"/>
  <c r="D4057" i="4"/>
  <c r="D10517" i="4"/>
  <c r="D13485" i="4"/>
  <c r="D7414" i="4"/>
  <c r="D1010" i="4"/>
  <c r="D7413" i="4"/>
  <c r="D5220" i="4"/>
  <c r="D7412" i="4"/>
  <c r="D7411" i="4"/>
  <c r="D11520" i="4"/>
  <c r="D11330" i="4"/>
  <c r="D7410" i="4"/>
  <c r="D3957" i="4"/>
  <c r="D14285" i="4"/>
  <c r="D3085" i="4"/>
  <c r="D15111" i="4"/>
  <c r="D10885" i="4"/>
  <c r="D2093" i="4"/>
  <c r="D12594" i="4"/>
  <c r="D7409" i="4"/>
  <c r="D7408" i="4"/>
  <c r="D15079" i="4"/>
  <c r="D15583" i="4"/>
  <c r="D2277" i="4"/>
  <c r="D12616" i="4"/>
  <c r="D12514" i="4"/>
  <c r="D4434" i="4"/>
  <c r="D9308" i="4"/>
  <c r="D14635" i="4"/>
  <c r="D10775" i="4"/>
  <c r="D316" i="4"/>
  <c r="D3308" i="4"/>
  <c r="D14284" i="4"/>
  <c r="D3307" i="4"/>
  <c r="D11100" i="4"/>
  <c r="D10034" i="4"/>
  <c r="D4534" i="4"/>
  <c r="D203" i="4"/>
  <c r="D3306" i="4"/>
  <c r="D313" i="4"/>
  <c r="D7112" i="4"/>
  <c r="D4551" i="4"/>
  <c r="D6781" i="4"/>
  <c r="D11608" i="4"/>
  <c r="D2499" i="4"/>
  <c r="D5924" i="4"/>
  <c r="D9264" i="4"/>
  <c r="D779" i="4"/>
  <c r="D13484" i="4"/>
  <c r="D7407" i="4"/>
  <c r="D7406" i="4"/>
  <c r="D11008" i="4"/>
  <c r="D6008" i="4"/>
  <c r="D4584" i="4"/>
  <c r="D11425" i="4"/>
  <c r="D5219" i="4"/>
  <c r="D11718" i="4"/>
  <c r="D2160" i="4"/>
  <c r="D14283" i="4"/>
  <c r="D14282" i="4"/>
  <c r="D13483" i="4"/>
  <c r="D3305" i="4"/>
  <c r="D3050" i="4"/>
  <c r="D13958" i="4"/>
  <c r="D9934" i="4"/>
  <c r="D5218" i="4"/>
  <c r="D7405" i="4"/>
  <c r="D7404" i="4"/>
  <c r="D13383" i="4"/>
  <c r="D11067" i="4"/>
  <c r="D9307" i="4"/>
  <c r="D12202" i="4"/>
  <c r="D14281" i="4"/>
  <c r="D11273" i="4"/>
  <c r="D7403" i="4"/>
  <c r="D7402" i="4"/>
  <c r="D4898" i="4"/>
  <c r="D6927" i="4"/>
  <c r="D12216" i="4"/>
  <c r="D124" i="4"/>
  <c r="D10033" i="4"/>
  <c r="D1235" i="4"/>
  <c r="D4067" i="4"/>
  <c r="D12095" i="4"/>
  <c r="D259" i="4"/>
  <c r="D10829" i="4"/>
  <c r="D6583" i="4"/>
  <c r="D4682" i="4"/>
  <c r="D4032" i="4"/>
  <c r="D3084" i="4"/>
  <c r="D6755" i="4"/>
  <c r="D6889" i="4"/>
  <c r="D6705" i="4"/>
  <c r="D11640" i="4"/>
  <c r="D6007" i="4"/>
  <c r="D3048" i="4"/>
  <c r="D15294" i="4"/>
  <c r="D10723" i="4"/>
  <c r="D2010" i="4"/>
  <c r="D5217" i="4"/>
  <c r="D3304" i="4"/>
  <c r="D7401" i="4"/>
  <c r="D13284" i="4"/>
  <c r="D3303" i="4"/>
  <c r="D4991" i="4"/>
  <c r="D13482" i="4"/>
  <c r="D4670" i="4"/>
  <c r="D6512" i="4"/>
  <c r="D4695" i="4"/>
  <c r="D1490" i="4"/>
  <c r="D13481" i="4"/>
  <c r="D309" i="4"/>
  <c r="D1337" i="4"/>
  <c r="D7400" i="4"/>
  <c r="D9306" i="4"/>
  <c r="D3083" i="4"/>
  <c r="D10900" i="4"/>
  <c r="D7191" i="4"/>
  <c r="D3237" i="4"/>
  <c r="D1667" i="4"/>
  <c r="D1748" i="4"/>
  <c r="D415" i="4"/>
  <c r="D12976" i="4"/>
  <c r="D14280" i="4"/>
  <c r="D11422" i="4"/>
  <c r="D9867" i="4"/>
  <c r="D7399" i="4"/>
  <c r="D6661" i="4"/>
  <c r="D13480" i="4"/>
  <c r="D7398" i="4"/>
  <c r="D5029" i="4"/>
  <c r="D3983" i="4"/>
  <c r="D7397" i="4"/>
  <c r="D14004" i="4"/>
  <c r="D13479" i="4"/>
  <c r="D4536" i="4"/>
  <c r="D7171" i="4"/>
  <c r="D10032" i="4"/>
  <c r="D5216" i="4"/>
  <c r="D2884" i="4"/>
  <c r="D9305" i="4"/>
  <c r="D7396" i="4"/>
  <c r="D14998" i="4"/>
  <c r="D15683" i="4"/>
  <c r="D641" i="4"/>
  <c r="D11272" i="4"/>
  <c r="D7395" i="4"/>
  <c r="D7089" i="4"/>
  <c r="D6511" i="4"/>
  <c r="D7394" i="4"/>
  <c r="D6510" i="4"/>
  <c r="D13909" i="4"/>
  <c r="D3941" i="4"/>
  <c r="D9834" i="4"/>
  <c r="D4246" i="4"/>
  <c r="D7393" i="4"/>
  <c r="D3302" i="4"/>
  <c r="D7392" i="4"/>
  <c r="D7391" i="4"/>
  <c r="D10031" i="4"/>
  <c r="D13478" i="4"/>
  <c r="D7390" i="4"/>
  <c r="D7389" i="4"/>
  <c r="D12545" i="4"/>
  <c r="D859" i="4"/>
  <c r="D7388" i="4"/>
  <c r="D4315" i="4"/>
  <c r="D14069" i="4"/>
  <c r="D6006" i="4"/>
  <c r="D3082" i="4"/>
  <c r="D312" i="4"/>
  <c r="D13382" i="4"/>
  <c r="D7387" i="4"/>
  <c r="D6660" i="4"/>
  <c r="D3301" i="4"/>
  <c r="D9743" i="4"/>
  <c r="D14003" i="4"/>
  <c r="D11066" i="4"/>
  <c r="D7386" i="4"/>
  <c r="D12143" i="4"/>
  <c r="D9198" i="4"/>
  <c r="D7385" i="4"/>
  <c r="D6325" i="4"/>
  <c r="D2149" i="4"/>
  <c r="D14258" i="4"/>
  <c r="D9195" i="4"/>
  <c r="D7384" i="4"/>
  <c r="D9304" i="4"/>
  <c r="D6926" i="4"/>
  <c r="D13137" i="4"/>
  <c r="D14581" i="4"/>
  <c r="D14279" i="4"/>
  <c r="D4538" i="4"/>
  <c r="D7383" i="4"/>
  <c r="D5183" i="4"/>
  <c r="D15293" i="4"/>
  <c r="D4557" i="4"/>
  <c r="D5082" i="4"/>
  <c r="D4793" i="4"/>
  <c r="D9966" i="4"/>
  <c r="D6005" i="4"/>
  <c r="D10030" i="4"/>
  <c r="D3081" i="4"/>
  <c r="D2195" i="4"/>
  <c r="D3300" i="4"/>
  <c r="D640" i="4"/>
  <c r="D13477" i="4"/>
  <c r="D7213" i="4"/>
  <c r="D10992" i="4"/>
  <c r="D436" i="4"/>
  <c r="D7068" i="4"/>
  <c r="D10934" i="4"/>
  <c r="D3299" i="4"/>
  <c r="D13061" i="4"/>
  <c r="D7382" i="4"/>
  <c r="D1919" i="4"/>
  <c r="D13908" i="4"/>
  <c r="D7381" i="4"/>
  <c r="D9922" i="4"/>
  <c r="D10029" i="4"/>
  <c r="D7380" i="4"/>
  <c r="D5949" i="4"/>
  <c r="D12010" i="4"/>
  <c r="D9303" i="4"/>
  <c r="D15618" i="4"/>
  <c r="D13476" i="4"/>
  <c r="D7379" i="4"/>
  <c r="D6425" i="4"/>
  <c r="D10425" i="4"/>
  <c r="D3980" i="4"/>
  <c r="D10516" i="4"/>
  <c r="D11454" i="4"/>
  <c r="D4142" i="4"/>
  <c r="D15086" i="4"/>
  <c r="D7228" i="4"/>
  <c r="D14278" i="4"/>
  <c r="D11846" i="4"/>
  <c r="D10028" i="4"/>
  <c r="D1336" i="4"/>
  <c r="D3298" i="4"/>
  <c r="D7003" i="4"/>
  <c r="D2682" i="4"/>
  <c r="D258" i="4"/>
  <c r="D5873" i="4"/>
  <c r="D9768" i="4"/>
  <c r="D10708" i="4"/>
  <c r="D5153" i="4"/>
  <c r="D9837" i="4"/>
  <c r="D536" i="4"/>
  <c r="D1480" i="4"/>
  <c r="D11309" i="4"/>
  <c r="D7378" i="4"/>
  <c r="D6622" i="4"/>
  <c r="D9762" i="4"/>
  <c r="D3080" i="4"/>
  <c r="D1499" i="4"/>
  <c r="D3297" i="4"/>
  <c r="D13146" i="4"/>
  <c r="D9209" i="4"/>
  <c r="D7377" i="4"/>
  <c r="D14277" i="4"/>
  <c r="D1626" i="4"/>
  <c r="D3296" i="4"/>
  <c r="D2276" i="4"/>
  <c r="D14276" i="4"/>
  <c r="D3079" i="4"/>
  <c r="D6509" i="4"/>
  <c r="D4694" i="4"/>
  <c r="D14029" i="4"/>
  <c r="D7376" i="4"/>
  <c r="D3295" i="4"/>
  <c r="D3078" i="4"/>
  <c r="D10515" i="4"/>
  <c r="D897" i="4"/>
  <c r="D7375" i="4"/>
  <c r="D3057" i="4"/>
  <c r="D14634" i="4"/>
  <c r="D1814" i="4"/>
  <c r="D11626" i="4"/>
  <c r="D9194" i="4"/>
  <c r="D10584" i="4"/>
  <c r="D7374" i="4"/>
  <c r="D12513" i="4"/>
  <c r="D13475" i="4"/>
  <c r="D6941" i="4"/>
  <c r="D6780" i="4"/>
  <c r="D2728" i="4"/>
  <c r="D4616" i="4"/>
  <c r="D12674" i="4"/>
  <c r="D7373" i="4"/>
  <c r="D11329" i="4"/>
  <c r="D13848" i="4"/>
  <c r="D5743" i="4"/>
  <c r="D4533" i="4"/>
  <c r="D3994" i="4"/>
  <c r="D10782" i="4"/>
  <c r="D4758" i="4"/>
  <c r="D4348" i="4"/>
  <c r="D3294" i="4"/>
  <c r="D6925" i="4"/>
  <c r="D2246" i="4"/>
  <c r="D10657" i="4"/>
  <c r="D6754" i="4"/>
  <c r="D11026" i="4"/>
  <c r="D3266" i="4"/>
  <c r="D14563" i="4"/>
  <c r="D14261" i="4"/>
  <c r="D3040" i="4"/>
  <c r="D11845" i="4"/>
  <c r="D7372" i="4"/>
  <c r="D11065" i="4"/>
  <c r="D9921" i="4"/>
  <c r="D303" i="4"/>
  <c r="D3293" i="4"/>
  <c r="D7371" i="4"/>
  <c r="D7370" i="4"/>
  <c r="D7369" i="4"/>
  <c r="D10808" i="4"/>
  <c r="D14879" i="4"/>
  <c r="D11972" i="4"/>
  <c r="D2681" i="4"/>
  <c r="D1638" i="4"/>
  <c r="D7368" i="4"/>
  <c r="D1451" i="4"/>
  <c r="D9723" i="4"/>
  <c r="D12585" i="4"/>
  <c r="D12705" i="4"/>
  <c r="D15133" i="4"/>
  <c r="D7229" i="4"/>
  <c r="D14275" i="4"/>
  <c r="D5850" i="4"/>
  <c r="D11156" i="4"/>
  <c r="D2275" i="4"/>
  <c r="D3292" i="4"/>
  <c r="D4581" i="4"/>
  <c r="D20" i="4"/>
  <c r="D11743" i="4"/>
  <c r="D3972" i="4"/>
  <c r="D7367" i="4"/>
  <c r="D14274" i="4"/>
  <c r="D13381" i="4"/>
  <c r="D12073" i="4"/>
  <c r="D12249" i="4"/>
  <c r="D4990" i="4"/>
  <c r="D9899" i="4"/>
  <c r="D5215" i="4"/>
  <c r="D15292" i="4"/>
  <c r="D7366" i="4"/>
  <c r="D3291" i="4"/>
  <c r="D11703" i="4"/>
  <c r="D6004" i="4"/>
  <c r="D6003" i="4"/>
  <c r="D5214" i="4"/>
  <c r="D7365" i="4"/>
  <c r="D6804" i="4"/>
  <c r="D6439" i="4"/>
  <c r="D7364" i="4"/>
  <c r="D2159" i="4"/>
  <c r="D4336" i="4"/>
  <c r="D7363" i="4"/>
  <c r="D14273" i="4"/>
  <c r="D7362" i="4"/>
  <c r="D11271" i="4"/>
  <c r="D14272" i="4"/>
  <c r="D9302" i="4"/>
  <c r="D5213" i="4"/>
  <c r="D4792" i="4"/>
  <c r="D6791" i="4"/>
  <c r="D7361" i="4"/>
  <c r="D10774" i="4"/>
  <c r="D2124" i="4"/>
  <c r="D4056" i="4"/>
  <c r="D11432" i="4"/>
  <c r="D12704" i="4"/>
  <c r="D13895" i="4"/>
  <c r="D9982" i="4"/>
  <c r="D24" i="4"/>
  <c r="D1234" i="4"/>
  <c r="D7360" i="4"/>
  <c r="D11702" i="4"/>
  <c r="D3219" i="4"/>
  <c r="D7359" i="4"/>
  <c r="D4141" i="4"/>
  <c r="D4791" i="4"/>
  <c r="D12584" i="4"/>
  <c r="D13069" i="4"/>
  <c r="D42" i="4"/>
  <c r="D11742" i="4"/>
  <c r="D10027" i="4"/>
  <c r="D12583" i="4"/>
  <c r="D14549" i="4"/>
  <c r="D11324" i="4"/>
  <c r="D1009" i="4"/>
  <c r="D13474" i="4"/>
  <c r="D11637" i="4"/>
  <c r="D11270" i="4"/>
  <c r="D5948" i="4"/>
  <c r="D4580" i="4"/>
  <c r="D13473" i="4"/>
  <c r="D1448" i="4"/>
  <c r="D7051" i="4"/>
  <c r="D12615" i="4"/>
  <c r="D10026" i="4"/>
  <c r="D9301" i="4"/>
  <c r="D14271" i="4"/>
  <c r="D4739" i="4"/>
  <c r="D13472" i="4"/>
  <c r="D299" i="4"/>
  <c r="D3017" i="4"/>
  <c r="D5663" i="4"/>
  <c r="D11302" i="4"/>
  <c r="D14124" i="4"/>
  <c r="D220" i="4"/>
  <c r="D12894" i="4"/>
  <c r="D10025" i="4"/>
  <c r="D7358" i="4"/>
  <c r="D4669" i="4"/>
  <c r="D1600" i="4"/>
  <c r="D7357" i="4"/>
  <c r="D9300" i="4"/>
  <c r="D5212" i="4"/>
  <c r="D10790" i="4"/>
  <c r="D2927" i="4"/>
  <c r="D5211" i="4"/>
  <c r="D14270" i="4"/>
  <c r="D9186" i="4"/>
  <c r="D4615" i="4"/>
  <c r="D3290" i="4"/>
  <c r="D4180" i="4"/>
  <c r="D10991" i="4"/>
  <c r="D14269" i="4"/>
  <c r="D3289" i="4"/>
  <c r="D4229" i="4"/>
  <c r="D2212" i="4"/>
  <c r="D7356" i="4"/>
  <c r="D2274" i="4"/>
  <c r="D14078" i="4"/>
  <c r="D1813" i="4"/>
  <c r="D4693" i="4"/>
  <c r="D1872" i="4"/>
  <c r="D7355" i="4"/>
  <c r="D4989" i="4"/>
  <c r="D7354" i="4"/>
  <c r="D6753" i="4"/>
  <c r="D5210" i="4"/>
  <c r="D11844" i="4"/>
  <c r="D11449" i="4"/>
  <c r="D6002" i="4"/>
  <c r="D9299" i="4"/>
  <c r="D11099" i="4"/>
  <c r="D14074" i="4"/>
  <c r="D10482" i="4"/>
  <c r="D6895" i="4"/>
  <c r="D13028" i="4"/>
  <c r="D15291" i="4"/>
  <c r="D12703" i="4"/>
  <c r="D4790" i="4"/>
  <c r="D5209" i="4"/>
  <c r="D10780" i="4"/>
  <c r="D4897" i="4"/>
  <c r="D12916" i="4"/>
  <c r="D14073" i="4"/>
  <c r="D10721" i="4"/>
  <c r="D275" i="4"/>
  <c r="D12508" i="4"/>
  <c r="D14268" i="4"/>
  <c r="D3288" i="4"/>
  <c r="D7353" i="4"/>
  <c r="D7352" i="4"/>
  <c r="D7351" i="4"/>
  <c r="D10024" i="4"/>
  <c r="D1462" i="4"/>
  <c r="D10703" i="4"/>
  <c r="D4317" i="4"/>
  <c r="D14681" i="4"/>
  <c r="D4871" i="4"/>
  <c r="D11249" i="4"/>
  <c r="D2009" i="4"/>
  <c r="D14255" i="4"/>
  <c r="D6803" i="4"/>
  <c r="D10023" i="4"/>
  <c r="D7350" i="4"/>
  <c r="D3077" i="4"/>
  <c r="D5208" i="4"/>
  <c r="D9298" i="4"/>
  <c r="D7349" i="4"/>
  <c r="D10990" i="4"/>
  <c r="D10763" i="4"/>
  <c r="D7348" i="4"/>
  <c r="D3287" i="4"/>
  <c r="D15290" i="4"/>
  <c r="D3286" i="4"/>
  <c r="D4179" i="4"/>
  <c r="D7347" i="4"/>
  <c r="D7346" i="4"/>
  <c r="D1912" i="4"/>
  <c r="D12512" i="4"/>
  <c r="D7345" i="4"/>
  <c r="D4757" i="4"/>
  <c r="D12540" i="4"/>
  <c r="D10989" i="4"/>
  <c r="D1073" i="4"/>
  <c r="D14267" i="4"/>
  <c r="D7344" i="4"/>
  <c r="D11453" i="4"/>
  <c r="D1008" i="4"/>
  <c r="D11717" i="4"/>
  <c r="D6508" i="4"/>
  <c r="D7343" i="4"/>
  <c r="D7088" i="4"/>
  <c r="D7342" i="4"/>
  <c r="D7341" i="4"/>
  <c r="D3989" i="4"/>
  <c r="D3229" i="4"/>
  <c r="D4147" i="4"/>
  <c r="D15599" i="4"/>
  <c r="D4450" i="4"/>
  <c r="D6222" i="4"/>
  <c r="D6621" i="4"/>
  <c r="D1007" i="4"/>
  <c r="D12660" i="4"/>
  <c r="D9234" i="4"/>
  <c r="D639" i="4"/>
  <c r="D11097" i="4"/>
  <c r="D1666" i="4"/>
  <c r="D14266" i="4"/>
  <c r="D10022" i="4"/>
  <c r="D14548" i="4"/>
  <c r="D7340" i="4"/>
  <c r="D13380" i="4"/>
  <c r="D4691" i="4"/>
  <c r="D4331" i="4"/>
  <c r="D7339" i="4"/>
  <c r="D3076" i="4"/>
  <c r="D15289" i="4"/>
  <c r="D3061" i="4"/>
  <c r="D7338" i="4"/>
  <c r="D4344" i="4"/>
  <c r="D5207" i="4"/>
  <c r="D7337" i="4"/>
  <c r="D6506" i="4"/>
  <c r="D896" i="4"/>
  <c r="D164" i="4"/>
  <c r="D2951" i="4"/>
  <c r="D2906" i="4"/>
  <c r="D3285" i="4"/>
  <c r="D4965" i="4"/>
  <c r="D6777" i="4"/>
  <c r="D6447" i="4"/>
  <c r="D10514" i="4"/>
  <c r="D7336" i="4"/>
  <c r="D7335" i="4"/>
  <c r="D15278" i="4"/>
  <c r="D5662" i="4"/>
  <c r="D3047" i="4"/>
  <c r="D7334" i="4"/>
  <c r="D12958" i="4"/>
  <c r="D3284" i="4"/>
  <c r="D9297" i="4"/>
  <c r="D6001" i="4"/>
  <c r="D10701" i="4"/>
  <c r="D1784" i="4"/>
  <c r="D7333" i="4"/>
  <c r="D7332" i="4"/>
  <c r="D7331" i="4"/>
  <c r="D1637" i="4"/>
  <c r="D4738" i="4"/>
  <c r="D10636" i="4"/>
  <c r="D4756" i="4"/>
  <c r="D6851" i="4"/>
  <c r="D4896" i="4"/>
  <c r="D13379" i="4"/>
  <c r="D41" i="4"/>
  <c r="D9766" i="4"/>
  <c r="D4789" i="4"/>
  <c r="D14624" i="4"/>
  <c r="D9200" i="4"/>
  <c r="D14265" i="4"/>
  <c r="D4164" i="4"/>
  <c r="D5206" i="4"/>
  <c r="D7330" i="4"/>
  <c r="D14264" i="4"/>
  <c r="D2060" i="4"/>
  <c r="D12115" i="4"/>
  <c r="D7329" i="4"/>
  <c r="D6844" i="4"/>
  <c r="D3283" i="4"/>
  <c r="D6324" i="4"/>
  <c r="D4033" i="4"/>
  <c r="D2727" i="4"/>
  <c r="D1450" i="4"/>
  <c r="D10513" i="4"/>
  <c r="D214" i="4"/>
  <c r="D6221" i="4"/>
  <c r="D7328" i="4"/>
  <c r="D3282" i="4"/>
  <c r="D3281" i="4"/>
  <c r="D10387" i="4"/>
  <c r="D7327" i="4"/>
  <c r="D4788" i="4"/>
  <c r="D7326" i="4"/>
  <c r="D1737" i="4"/>
  <c r="D12728" i="4"/>
  <c r="D7325" i="4"/>
  <c r="D6000" i="4"/>
  <c r="D12142" i="4"/>
  <c r="D4655" i="4"/>
  <c r="D6507" i="4"/>
  <c r="D11098" i="4"/>
  <c r="D11645" i="4"/>
  <c r="D1886" i="4"/>
  <c r="D6988" i="4"/>
  <c r="D3280" i="4"/>
  <c r="D3279" i="4"/>
  <c r="D3962" i="4"/>
  <c r="D7324" i="4"/>
  <c r="D3278" i="4"/>
  <c r="D778" i="4"/>
  <c r="D9920" i="4"/>
  <c r="D125" i="4"/>
  <c r="D1996" i="4"/>
  <c r="D10512" i="4"/>
  <c r="D13907" i="4"/>
  <c r="D858" i="4"/>
  <c r="D13864" i="4"/>
  <c r="D12740" i="4"/>
  <c r="D9296" i="4"/>
  <c r="D15288" i="4"/>
  <c r="D6802" i="4"/>
  <c r="D10758" i="4"/>
  <c r="D205" i="4"/>
  <c r="D6787" i="4"/>
  <c r="D14878" i="4"/>
  <c r="D15287" i="4"/>
  <c r="D7323" i="4"/>
  <c r="D7322" i="4"/>
  <c r="D12141" i="4"/>
  <c r="D3277" i="4"/>
  <c r="D106" i="4"/>
  <c r="D5137" i="4"/>
  <c r="D10511" i="4"/>
  <c r="D9953" i="4"/>
  <c r="D11159" i="4"/>
  <c r="D4729" i="4"/>
  <c r="D137" i="4"/>
  <c r="D14182" i="4"/>
  <c r="D7321" i="4"/>
  <c r="D10884" i="4"/>
  <c r="D777" i="4"/>
  <c r="D7320" i="4"/>
  <c r="D81" i="4"/>
  <c r="D5205" i="4"/>
  <c r="D13847" i="4"/>
  <c r="D1126" i="4"/>
  <c r="D7319" i="4"/>
  <c r="D10988" i="4"/>
  <c r="D11431" i="4"/>
  <c r="D177" i="4"/>
  <c r="D5204" i="4"/>
  <c r="D3075" i="4"/>
  <c r="D10510" i="4"/>
  <c r="D638" i="4"/>
  <c r="D14263" i="4"/>
  <c r="D11096" i="4"/>
  <c r="D4684" i="4"/>
  <c r="D2726" i="4"/>
  <c r="D12659" i="4"/>
  <c r="D13283" i="4"/>
  <c r="D14262" i="4"/>
  <c r="D4316" i="4"/>
  <c r="D11639" i="4"/>
  <c r="D1599" i="4"/>
  <c r="D7050" i="4"/>
  <c r="D3046" i="4"/>
  <c r="D14736" i="4"/>
  <c r="D3988" i="4"/>
  <c r="D6743" i="4"/>
  <c r="D3064" i="4"/>
  <c r="D12091" i="4"/>
  <c r="D5" i="4"/>
  <c r="D6862" i="4"/>
  <c r="D6323" i="4"/>
  <c r="D5742" i="4"/>
  <c r="D7318" i="4"/>
  <c r="D7317" i="4"/>
  <c r="D11238" i="4"/>
  <c r="D4895" i="4"/>
  <c r="D3074" i="4"/>
  <c r="D12733" i="4"/>
  <c r="D2008" i="4"/>
  <c r="D11573" i="4"/>
  <c r="D352" i="4"/>
  <c r="D5923" i="4"/>
  <c r="D12009" i="4"/>
  <c r="D4837" i="4"/>
  <c r="D4732" i="4"/>
  <c r="D7316" i="4"/>
  <c r="D5203" i="4"/>
  <c r="D7315" i="4"/>
  <c r="D1152" i="4"/>
  <c r="D12201" i="4"/>
  <c r="D206" i="4"/>
  <c r="D10509" i="4"/>
  <c r="D11741" i="4"/>
  <c r="D939" i="4"/>
  <c r="D11119" i="4"/>
  <c r="D2874" i="4"/>
  <c r="D13277" i="4"/>
  <c r="D15078" i="4"/>
  <c r="D15582" i="4"/>
  <c r="D10831" i="4"/>
  <c r="D4178" i="4"/>
  <c r="D9295" i="4"/>
  <c r="D7314" i="4"/>
  <c r="D4966" i="4"/>
  <c r="D11255" i="4"/>
  <c r="D166" i="4"/>
  <c r="D7313" i="4"/>
  <c r="D5202" i="4"/>
  <c r="D7312" i="4"/>
  <c r="D1151" i="4"/>
  <c r="D4132" i="4"/>
  <c r="D2273" i="4"/>
  <c r="D7311" i="4"/>
  <c r="D11506" i="4"/>
  <c r="D4556" i="4"/>
  <c r="D69" i="4"/>
  <c r="D7310" i="4"/>
  <c r="D7309" i="4"/>
  <c r="D14142" i="4"/>
  <c r="D10807" i="4"/>
  <c r="D14785" i="4"/>
  <c r="D1916" i="4"/>
  <c r="D5173" i="4"/>
  <c r="D7308" i="4"/>
  <c r="D9294" i="4"/>
  <c r="D7307" i="4"/>
  <c r="D9293" i="4"/>
  <c r="D12739" i="4"/>
  <c r="D9227" i="4"/>
  <c r="D13471" i="4"/>
  <c r="D4983" i="4"/>
  <c r="D9292" i="4"/>
  <c r="D5695" i="4"/>
  <c r="D163" i="4"/>
  <c r="D11127" i="4"/>
  <c r="D5741" i="4"/>
  <c r="D15286" i="4"/>
  <c r="D13470" i="4"/>
  <c r="D311" i="4"/>
  <c r="D11508" i="4"/>
  <c r="D7306" i="4"/>
  <c r="D14021" i="4"/>
  <c r="D4330" i="4"/>
  <c r="D9291" i="4"/>
  <c r="D7305" i="4"/>
  <c r="D14997" i="4"/>
  <c r="D2513" i="4"/>
  <c r="D3276" i="4"/>
  <c r="D2498" i="4"/>
  <c r="D6314" i="4"/>
  <c r="D98" i="4"/>
  <c r="D13111" i="4"/>
  <c r="D3275" i="4"/>
  <c r="D5201" i="4"/>
  <c r="D12732" i="4"/>
  <c r="D4098" i="4"/>
  <c r="D2898" i="4"/>
  <c r="D6752" i="4"/>
  <c r="D7304" i="4"/>
  <c r="D2725" i="4"/>
  <c r="D5136" i="4"/>
  <c r="D5200" i="4"/>
  <c r="D4268" i="4"/>
  <c r="D49" i="4"/>
  <c r="D10402" i="4"/>
  <c r="D13957" i="4"/>
  <c r="D11011" i="4"/>
  <c r="D101" i="4"/>
  <c r="D4532" i="4"/>
  <c r="D7303" i="4"/>
  <c r="D4654" i="4"/>
  <c r="D6454" i="4"/>
  <c r="D5064" i="4"/>
  <c r="D10439" i="4"/>
  <c r="D7302" i="4"/>
  <c r="D7301" i="4"/>
  <c r="D7300" i="4"/>
  <c r="D9290" i="4"/>
  <c r="D5999" i="4"/>
  <c r="D11519" i="4"/>
  <c r="D2959" i="4"/>
  <c r="D13469" i="4"/>
  <c r="D175" i="4"/>
  <c r="D6801" i="4"/>
  <c r="D5733" i="4"/>
  <c r="D13468" i="4"/>
  <c r="D96" i="4"/>
  <c r="D14784" i="4"/>
  <c r="D38" i="4"/>
  <c r="D13467" i="4"/>
  <c r="D5199" i="4"/>
  <c r="D5198" i="4"/>
  <c r="D7299" i="4"/>
  <c r="D9247" i="4"/>
  <c r="D13276" i="4"/>
  <c r="D1233" i="4"/>
  <c r="D5100" i="4"/>
  <c r="D10021" i="4"/>
  <c r="D10926" i="4"/>
  <c r="D3274" i="4"/>
  <c r="D11109" i="4"/>
  <c r="D3073" i="4"/>
  <c r="D396" i="4"/>
  <c r="D9981" i="4"/>
  <c r="D3072" i="4"/>
  <c r="D10438" i="4"/>
  <c r="D7170" i="4"/>
  <c r="D5197" i="4"/>
  <c r="D190" i="4"/>
  <c r="D1006" i="4"/>
  <c r="D7298" i="4"/>
  <c r="D9289" i="4"/>
  <c r="D12140" i="4"/>
  <c r="D7" i="4"/>
  <c r="D179" i="4"/>
  <c r="D4163" i="4"/>
  <c r="D471" i="4"/>
  <c r="D11254" i="4"/>
  <c r="D217" i="4"/>
  <c r="D15617" i="4"/>
  <c r="D895" i="4"/>
  <c r="D7169" i="4"/>
  <c r="D3273" i="4"/>
  <c r="D13956" i="4"/>
  <c r="D4446" i="4"/>
  <c r="D1918" i="4"/>
  <c r="D13378" i="4"/>
  <c r="D517" i="4"/>
  <c r="D1478" i="4"/>
  <c r="D4112" i="4"/>
  <c r="D5998" i="4"/>
  <c r="D14725" i="4"/>
  <c r="D12702" i="4"/>
  <c r="D7297" i="4"/>
  <c r="D14714" i="4"/>
  <c r="D15094" i="4"/>
  <c r="D14141" i="4"/>
  <c r="D10020" i="4"/>
  <c r="D11444" i="4"/>
  <c r="D15017" i="4"/>
  <c r="D6751" i="4"/>
  <c r="D7296" i="4"/>
  <c r="D4650" i="4"/>
  <c r="D5740" i="4"/>
  <c r="D10408" i="4"/>
  <c r="D6491" i="4"/>
  <c r="D142" i="4"/>
  <c r="D6443" i="4"/>
  <c r="D9857" i="4"/>
  <c r="D15062" i="4"/>
  <c r="D7159" i="4"/>
  <c r="D9283" i="4"/>
  <c r="D9947" i="4"/>
  <c r="D14611" i="4"/>
  <c r="D3265" i="4"/>
  <c r="D687" i="3"/>
  <c r="D227" i="3"/>
  <c r="D7610" i="3"/>
  <c r="D7577" i="3"/>
  <c r="D226" i="3"/>
  <c r="D3863" i="3"/>
  <c r="D816" i="3"/>
  <c r="D4973" i="3"/>
  <c r="D7609" i="3"/>
  <c r="D7576" i="3"/>
  <c r="D5735" i="3"/>
  <c r="D5620" i="3"/>
  <c r="D7608" i="3"/>
  <c r="D7607" i="3"/>
  <c r="D2121" i="3"/>
  <c r="D5619" i="3"/>
  <c r="D5618" i="3"/>
  <c r="D462" i="3"/>
  <c r="D7575" i="3"/>
  <c r="D2120" i="3"/>
  <c r="D7574" i="3"/>
  <c r="D4972" i="3"/>
  <c r="D7056" i="3"/>
  <c r="D7573" i="3"/>
  <c r="D8891" i="3"/>
  <c r="D8890" i="3"/>
  <c r="D4971" i="3"/>
  <c r="D6093" i="3"/>
  <c r="D7235" i="3"/>
  <c r="D7234" i="3"/>
  <c r="D2119" i="3"/>
  <c r="D3438" i="3"/>
  <c r="D5617" i="3"/>
  <c r="D6577" i="3"/>
  <c r="D5616" i="3"/>
  <c r="D7233" i="3"/>
  <c r="D2118" i="3"/>
  <c r="D2117" i="3"/>
  <c r="D4970" i="3"/>
  <c r="D4969" i="3"/>
  <c r="D7606" i="3"/>
  <c r="D7572" i="3"/>
  <c r="D6092" i="3"/>
  <c r="D924" i="3"/>
  <c r="D4968" i="3"/>
  <c r="D7605" i="3"/>
  <c r="D7604" i="3"/>
  <c r="D5734" i="3"/>
  <c r="D8407" i="3"/>
  <c r="D4967" i="3"/>
  <c r="D6091" i="3"/>
  <c r="D3372" i="3"/>
  <c r="D2116" i="3"/>
  <c r="D3793" i="3"/>
  <c r="D394" i="3"/>
  <c r="D3718" i="3"/>
  <c r="D5615" i="3"/>
  <c r="D2115" i="3"/>
  <c r="D8998" i="3"/>
  <c r="D3437" i="3"/>
  <c r="D4966" i="3"/>
  <c r="D4965" i="3"/>
  <c r="D2114" i="3"/>
  <c r="D3717" i="3"/>
  <c r="D7395" i="3"/>
  <c r="D6562" i="3"/>
  <c r="D3385" i="3"/>
  <c r="D5614" i="3"/>
  <c r="D1197" i="3"/>
  <c r="D7055" i="3"/>
  <c r="D2113" i="3"/>
  <c r="D2112" i="3"/>
  <c r="D2111" i="3"/>
  <c r="D5613" i="3"/>
  <c r="D5612" i="3"/>
  <c r="D2110" i="3"/>
  <c r="D2109" i="3"/>
  <c r="D8377" i="3"/>
  <c r="D461" i="3"/>
  <c r="D4964" i="3"/>
  <c r="D6261" i="3"/>
  <c r="D4963" i="3"/>
  <c r="D8106" i="3"/>
  <c r="D5611" i="3"/>
  <c r="D7571" i="3"/>
  <c r="D7232" i="3"/>
  <c r="D7603" i="3"/>
  <c r="D8997" i="3"/>
  <c r="D7602" i="3"/>
  <c r="D2388" i="3"/>
  <c r="D3436" i="3"/>
  <c r="D3172" i="3"/>
  <c r="D5654" i="3"/>
  <c r="D6090" i="3"/>
  <c r="D4962" i="3"/>
  <c r="D2108" i="3"/>
  <c r="D4961" i="3"/>
  <c r="D4960" i="3"/>
  <c r="D4959" i="3"/>
  <c r="D393" i="3"/>
  <c r="D6089" i="3"/>
  <c r="D3171" i="3"/>
  <c r="D6950" i="3"/>
  <c r="D7570" i="3"/>
  <c r="D6561" i="3"/>
  <c r="D4958" i="3"/>
  <c r="D2642" i="3"/>
  <c r="D2258" i="3"/>
  <c r="D7601" i="3"/>
  <c r="D959" i="3"/>
  <c r="D8624" i="3"/>
  <c r="D8424" i="3"/>
  <c r="D3371" i="3"/>
  <c r="D4957" i="3"/>
  <c r="D494" i="3"/>
  <c r="D2107" i="3"/>
  <c r="D7998" i="3"/>
  <c r="D5610" i="3"/>
  <c r="D4956" i="3"/>
  <c r="D8996" i="3"/>
  <c r="D5000" i="3"/>
  <c r="D4955" i="3"/>
  <c r="D8406" i="3"/>
  <c r="D376" i="3"/>
  <c r="D6088" i="3"/>
  <c r="D912" i="3"/>
  <c r="D4954" i="3"/>
  <c r="D4953" i="3"/>
  <c r="D2167" i="3"/>
  <c r="D3370" i="3"/>
  <c r="D8889" i="3"/>
  <c r="D8376" i="3"/>
  <c r="D8375" i="3"/>
  <c r="D3507" i="3"/>
  <c r="D3170" i="3"/>
  <c r="D2285" i="3"/>
  <c r="D2106" i="3"/>
  <c r="D3169" i="3"/>
  <c r="D3213" i="3"/>
  <c r="D7054" i="3"/>
  <c r="D7824" i="3"/>
  <c r="D8995" i="3"/>
  <c r="D2105" i="3"/>
  <c r="D5609" i="3"/>
  <c r="D3369" i="3"/>
  <c r="D2104" i="3"/>
  <c r="D2172" i="3"/>
  <c r="D3168" i="3"/>
  <c r="D4952" i="3"/>
  <c r="D6560" i="3"/>
  <c r="D2103" i="3"/>
  <c r="D7569" i="3"/>
  <c r="D1051" i="3"/>
  <c r="D460" i="3"/>
  <c r="D459" i="3"/>
  <c r="D7568" i="3"/>
  <c r="D2102" i="3"/>
  <c r="D5608" i="3"/>
  <c r="D1190" i="3"/>
  <c r="D7567" i="3"/>
  <c r="D4951" i="3"/>
  <c r="D8111" i="3"/>
  <c r="D4950" i="3"/>
  <c r="D6559" i="3"/>
  <c r="D6558" i="3"/>
  <c r="D2101" i="3"/>
  <c r="D5607" i="3"/>
  <c r="D3167" i="3"/>
  <c r="D3166" i="3"/>
  <c r="D2100" i="3"/>
  <c r="D7997" i="3"/>
  <c r="D5606" i="3"/>
  <c r="D8623" i="3"/>
  <c r="D3165" i="3"/>
  <c r="D4949" i="3"/>
  <c r="D3164" i="3"/>
  <c r="D4948" i="3"/>
  <c r="D5605" i="3"/>
  <c r="D2099" i="3"/>
  <c r="D7996" i="3"/>
  <c r="D4947" i="3"/>
  <c r="D7566" i="3"/>
  <c r="D7823" i="3"/>
  <c r="D7822" i="3"/>
  <c r="D4946" i="3"/>
  <c r="D3196" i="3"/>
  <c r="D2098" i="3"/>
  <c r="D7271" i="3"/>
  <c r="D4945" i="3"/>
  <c r="D3212" i="3"/>
  <c r="D458" i="3"/>
  <c r="D6087" i="3"/>
  <c r="D2097" i="3"/>
  <c r="D2387" i="3"/>
  <c r="D7565" i="3"/>
  <c r="D3163" i="3"/>
  <c r="D8888" i="3"/>
  <c r="D686" i="3"/>
  <c r="D4944" i="3"/>
  <c r="D6260" i="3"/>
  <c r="D3162" i="3"/>
  <c r="D2096" i="3"/>
  <c r="D4943" i="3"/>
  <c r="D8887" i="3"/>
  <c r="D2095" i="3"/>
  <c r="D7995" i="3"/>
  <c r="D2094" i="3"/>
  <c r="D8886" i="3"/>
  <c r="D8885" i="3"/>
  <c r="D7643" i="3"/>
  <c r="D8884" i="3"/>
  <c r="D4942" i="3"/>
  <c r="D4941" i="3"/>
  <c r="D5604" i="3"/>
  <c r="D7821" i="3"/>
  <c r="D6086" i="3"/>
  <c r="D2604" i="3"/>
  <c r="D5636" i="3"/>
  <c r="D6085" i="3"/>
  <c r="D6601" i="3"/>
  <c r="D7820" i="3"/>
  <c r="D5603" i="3"/>
  <c r="D7706" i="3"/>
  <c r="D7564" i="3"/>
  <c r="D2093" i="3"/>
  <c r="D7994" i="3"/>
  <c r="D457" i="3"/>
  <c r="D3506" i="3"/>
  <c r="D3368" i="3"/>
  <c r="D7563" i="3"/>
  <c r="D4940" i="3"/>
  <c r="D7850" i="3"/>
  <c r="D6800" i="3"/>
  <c r="D6557" i="3"/>
  <c r="D6754" i="3"/>
  <c r="D2092" i="3"/>
  <c r="D194" i="3"/>
  <c r="D8883" i="3"/>
  <c r="D2091" i="3"/>
  <c r="D2090" i="3"/>
  <c r="D4939" i="3"/>
  <c r="D8882" i="3"/>
  <c r="D254" i="3"/>
  <c r="D3915" i="3"/>
  <c r="D8881" i="3"/>
  <c r="D4938" i="3"/>
  <c r="D8622" i="3"/>
  <c r="D6192" i="3"/>
  <c r="D2089" i="3"/>
  <c r="D5602" i="3"/>
  <c r="D2088" i="3"/>
  <c r="D7993" i="3"/>
  <c r="D2087" i="3"/>
  <c r="D5025" i="3"/>
  <c r="D8374" i="3"/>
  <c r="D2611" i="3"/>
  <c r="D5601" i="3"/>
  <c r="D7819" i="3"/>
  <c r="D2086" i="3"/>
  <c r="D2085" i="3"/>
  <c r="D3751" i="3"/>
  <c r="D3367" i="3"/>
  <c r="D4937" i="3"/>
  <c r="D5600" i="3"/>
  <c r="D5599" i="3"/>
  <c r="D3161" i="3"/>
  <c r="D2084" i="3"/>
  <c r="D4936" i="3"/>
  <c r="D8405" i="3"/>
  <c r="D4935" i="3"/>
  <c r="D6753" i="3"/>
  <c r="D2083" i="3"/>
  <c r="D7818" i="3"/>
  <c r="D7817" i="3"/>
  <c r="D4934" i="3"/>
  <c r="D8994" i="3"/>
  <c r="D8414" i="3"/>
  <c r="D8502" i="3"/>
  <c r="D3633" i="3"/>
  <c r="D3160" i="3"/>
  <c r="D4933" i="3"/>
  <c r="D3159" i="3"/>
  <c r="D3158" i="3"/>
  <c r="D6084" i="3"/>
  <c r="D7562" i="3"/>
  <c r="D7675" i="3"/>
  <c r="D8880" i="3"/>
  <c r="D2082" i="3"/>
  <c r="D2081" i="3"/>
  <c r="D2080" i="3"/>
  <c r="D2079" i="3"/>
  <c r="D456" i="3"/>
  <c r="D8105" i="3"/>
  <c r="D8993" i="3"/>
  <c r="D5598" i="3"/>
  <c r="D2078" i="3"/>
  <c r="D7992" i="3"/>
  <c r="D2077" i="3"/>
  <c r="D8879" i="3"/>
  <c r="D3693" i="3"/>
  <c r="D608" i="3"/>
  <c r="D6083" i="3"/>
  <c r="D7816" i="3"/>
  <c r="D4932" i="3"/>
  <c r="D8621" i="3"/>
  <c r="D2386" i="3"/>
  <c r="D6752" i="3"/>
  <c r="D3157" i="3"/>
  <c r="D3505" i="3"/>
  <c r="D5597" i="3"/>
  <c r="D762" i="3"/>
  <c r="D4931" i="3"/>
  <c r="D2076" i="3"/>
  <c r="D4930" i="3"/>
  <c r="D2075" i="3"/>
  <c r="D3156" i="3"/>
  <c r="D6556" i="3"/>
  <c r="D8516" i="3"/>
  <c r="D7600" i="3"/>
  <c r="D3366" i="3"/>
  <c r="D4929" i="3"/>
  <c r="D685" i="3"/>
  <c r="D4928" i="3"/>
  <c r="D2074" i="3"/>
  <c r="D684" i="3"/>
  <c r="D8016" i="3"/>
  <c r="D8878" i="3"/>
  <c r="D2073" i="3"/>
  <c r="D5596" i="3"/>
  <c r="D6208" i="3"/>
  <c r="D6825" i="3"/>
  <c r="D4927" i="3"/>
  <c r="D4926" i="3"/>
  <c r="D607" i="3"/>
  <c r="D4925" i="3"/>
  <c r="D6478" i="3"/>
  <c r="D7561" i="3"/>
  <c r="D4924" i="3"/>
  <c r="D5595" i="3"/>
  <c r="D2072" i="3"/>
  <c r="D7991" i="3"/>
  <c r="D4923" i="3"/>
  <c r="D3155" i="3"/>
  <c r="D1050" i="3"/>
  <c r="D761" i="3"/>
  <c r="D6477" i="3"/>
  <c r="D455" i="3"/>
  <c r="D253" i="3"/>
  <c r="D3914" i="3"/>
  <c r="D760" i="3"/>
  <c r="D2071" i="3"/>
  <c r="D7990" i="3"/>
  <c r="D7815" i="3"/>
  <c r="D6082" i="3"/>
  <c r="D3533" i="3"/>
  <c r="D7814" i="3"/>
  <c r="D4922" i="3"/>
  <c r="D6949" i="3"/>
  <c r="D4921" i="3"/>
  <c r="D6751" i="3"/>
  <c r="D2070" i="3"/>
  <c r="D2501" i="3"/>
  <c r="D2069" i="3"/>
  <c r="D6555" i="3"/>
  <c r="D454" i="3"/>
  <c r="D7560" i="3"/>
  <c r="D7813" i="3"/>
  <c r="D1120" i="3"/>
  <c r="D5594" i="3"/>
  <c r="D4920" i="3"/>
  <c r="D4919" i="3"/>
  <c r="D4918" i="3"/>
  <c r="D2068" i="3"/>
  <c r="D4917" i="3"/>
  <c r="D4916" i="3"/>
  <c r="D5593" i="3"/>
  <c r="D2067" i="3"/>
  <c r="D8877" i="3"/>
  <c r="D4915" i="3"/>
  <c r="D8992" i="3"/>
  <c r="D7559" i="3"/>
  <c r="D2066" i="3"/>
  <c r="D3913" i="3"/>
  <c r="D8501" i="3"/>
  <c r="D2065" i="3"/>
  <c r="D7558" i="3"/>
  <c r="D1093" i="3"/>
  <c r="D3912" i="3"/>
  <c r="D7557" i="3"/>
  <c r="D3692" i="3"/>
  <c r="D606" i="3"/>
  <c r="D1049" i="3"/>
  <c r="D2064" i="3"/>
  <c r="D5592" i="3"/>
  <c r="D1119" i="3"/>
  <c r="D5591" i="3"/>
  <c r="D2063" i="3"/>
  <c r="D6294" i="3"/>
  <c r="D2062" i="3"/>
  <c r="D7556" i="3"/>
  <c r="D2061" i="3"/>
  <c r="D2060" i="3"/>
  <c r="D7555" i="3"/>
  <c r="D4914" i="3"/>
  <c r="D2059" i="3"/>
  <c r="D4913" i="3"/>
  <c r="D6081" i="3"/>
  <c r="D3757" i="3"/>
  <c r="D6444" i="3"/>
  <c r="D815" i="3"/>
  <c r="D2058" i="3"/>
  <c r="D2057" i="3"/>
  <c r="D3798" i="3"/>
  <c r="D4912" i="3"/>
  <c r="D2056" i="3"/>
  <c r="D4911" i="3"/>
  <c r="D6152" i="3"/>
  <c r="D7418" i="3"/>
  <c r="D2413" i="3"/>
  <c r="D4910" i="3"/>
  <c r="D8500" i="3"/>
  <c r="D2055" i="3"/>
  <c r="D2054" i="3"/>
  <c r="D7989" i="3"/>
  <c r="D4909" i="3"/>
  <c r="D2257" i="3"/>
  <c r="D3884" i="3"/>
  <c r="D6948" i="3"/>
  <c r="D6554" i="3"/>
  <c r="D8876" i="3"/>
  <c r="D8373" i="3"/>
  <c r="D2053" i="3"/>
  <c r="D453" i="3"/>
  <c r="D3378" i="3"/>
  <c r="D814" i="3"/>
  <c r="D452" i="3"/>
  <c r="D633" i="3"/>
  <c r="D8875" i="3"/>
  <c r="D451" i="3"/>
  <c r="D3365" i="3"/>
  <c r="D3504" i="3"/>
  <c r="D7270" i="3"/>
  <c r="D2052" i="3"/>
  <c r="D1048" i="3"/>
  <c r="D2051" i="3"/>
  <c r="D8874" i="3"/>
  <c r="D3154" i="3"/>
  <c r="D2050" i="3"/>
  <c r="D759" i="3"/>
  <c r="D2603" i="3"/>
  <c r="D6947" i="3"/>
  <c r="D8404" i="3"/>
  <c r="D5590" i="3"/>
  <c r="D8873" i="3"/>
  <c r="D4908" i="3"/>
  <c r="D6553" i="3"/>
  <c r="D7849" i="3"/>
  <c r="D6799" i="3"/>
  <c r="D8872" i="3"/>
  <c r="D6080" i="3"/>
  <c r="D4907" i="3"/>
  <c r="D7554" i="3"/>
  <c r="D2359" i="3"/>
  <c r="D4906" i="3"/>
  <c r="D6079" i="3"/>
  <c r="D2049" i="3"/>
  <c r="D6293" i="3"/>
  <c r="D758" i="3"/>
  <c r="D7553" i="3"/>
  <c r="D3153" i="3"/>
  <c r="D2048" i="3"/>
  <c r="D7988" i="3"/>
  <c r="D2047" i="3"/>
  <c r="D2245" i="3"/>
  <c r="D3503" i="3"/>
  <c r="D7552" i="3"/>
  <c r="D4905" i="3"/>
  <c r="D3152" i="3"/>
  <c r="D450" i="3"/>
  <c r="D923" i="3"/>
  <c r="D3151" i="3"/>
  <c r="D3435" i="3"/>
  <c r="D5589" i="3"/>
  <c r="D8620" i="3"/>
  <c r="D5588" i="3"/>
  <c r="D3150" i="3"/>
  <c r="D2046" i="3"/>
  <c r="D7231" i="3"/>
  <c r="D6078" i="3"/>
  <c r="D3364" i="3"/>
  <c r="D1189" i="3"/>
  <c r="D7551" i="3"/>
  <c r="D8871" i="3"/>
  <c r="D6946" i="3"/>
  <c r="D4904" i="3"/>
  <c r="D4903" i="3"/>
  <c r="D3149" i="3"/>
  <c r="D8870" i="3"/>
  <c r="D3502" i="3"/>
  <c r="D8499" i="3"/>
  <c r="D6945" i="3"/>
  <c r="D5587" i="3"/>
  <c r="D5586" i="3"/>
  <c r="D2045" i="3"/>
  <c r="D4902" i="3"/>
  <c r="D5585" i="3"/>
  <c r="D8869" i="3"/>
  <c r="D3148" i="3"/>
  <c r="D7550" i="3"/>
  <c r="D8619" i="3"/>
  <c r="D4901" i="3"/>
  <c r="D2569" i="3"/>
  <c r="D2044" i="3"/>
  <c r="D7987" i="3"/>
  <c r="D2043" i="3"/>
  <c r="D449" i="3"/>
  <c r="D4900" i="3"/>
  <c r="D506" i="3"/>
  <c r="D6824" i="3"/>
  <c r="D7666" i="3"/>
  <c r="D7282" i="3"/>
  <c r="D2042" i="3"/>
  <c r="D7812" i="3"/>
  <c r="D7230" i="3"/>
  <c r="D2041" i="3"/>
  <c r="D2040" i="3"/>
  <c r="D2039" i="3"/>
  <c r="D757" i="3"/>
  <c r="D7811" i="3"/>
  <c r="D448" i="3"/>
  <c r="D1196" i="3"/>
  <c r="D4899" i="3"/>
  <c r="D3691" i="3"/>
  <c r="D6644" i="3"/>
  <c r="D2385" i="3"/>
  <c r="D3147" i="3"/>
  <c r="D6077" i="3"/>
  <c r="D7705" i="3"/>
  <c r="D7549" i="3"/>
  <c r="D531" i="3"/>
  <c r="D8868" i="3"/>
  <c r="D3501" i="3"/>
  <c r="D3792" i="3"/>
  <c r="D5668" i="3"/>
  <c r="D6944" i="3"/>
  <c r="D2038" i="3"/>
  <c r="D756" i="3"/>
  <c r="D2460" i="3"/>
  <c r="D1118" i="3"/>
  <c r="D2244" i="3"/>
  <c r="D7548" i="3"/>
  <c r="D8173" i="3"/>
  <c r="D3363" i="3"/>
  <c r="D3632" i="3"/>
  <c r="D2037" i="3"/>
  <c r="D3500" i="3"/>
  <c r="D3499" i="3"/>
  <c r="D7810" i="3"/>
  <c r="D3146" i="3"/>
  <c r="D6106" i="3"/>
  <c r="D4898" i="3"/>
  <c r="D1117" i="3"/>
  <c r="D7809" i="3"/>
  <c r="D3145" i="3"/>
  <c r="D8991" i="3"/>
  <c r="D6076" i="3"/>
  <c r="D755" i="3"/>
  <c r="D7229" i="3"/>
  <c r="D8498" i="3"/>
  <c r="D3750" i="3"/>
  <c r="D5667" i="3"/>
  <c r="D6137" i="3"/>
  <c r="D3561" i="3"/>
  <c r="D375" i="3"/>
  <c r="D2500" i="3"/>
  <c r="D2268" i="3"/>
  <c r="D3211" i="3"/>
  <c r="D4897" i="3"/>
  <c r="D6943" i="3"/>
  <c r="D6442" i="3"/>
  <c r="D2036" i="3"/>
  <c r="D5733" i="3"/>
  <c r="D4896" i="3"/>
  <c r="D2035" i="3"/>
  <c r="D7808" i="3"/>
  <c r="D5584" i="3"/>
  <c r="D6075" i="3"/>
  <c r="D4895" i="3"/>
  <c r="D2034" i="3"/>
  <c r="D447" i="3"/>
  <c r="D5754" i="3"/>
  <c r="D2308" i="3"/>
  <c r="D7807" i="3"/>
  <c r="D3434" i="3"/>
  <c r="D5583" i="3"/>
  <c r="D7547" i="3"/>
  <c r="D4894" i="3"/>
  <c r="D2033" i="3"/>
  <c r="D4893" i="3"/>
  <c r="D8423" i="3"/>
  <c r="D476" i="3"/>
  <c r="D4892" i="3"/>
  <c r="D2032" i="3"/>
  <c r="D754" i="3"/>
  <c r="D4891" i="3"/>
  <c r="D5582" i="3"/>
  <c r="D2350" i="3"/>
  <c r="D2384" i="3"/>
  <c r="D2637" i="3"/>
  <c r="D3144" i="3"/>
  <c r="D3362" i="3"/>
  <c r="D4890" i="3"/>
  <c r="D4889" i="3"/>
  <c r="D7642" i="3"/>
  <c r="D2031" i="3"/>
  <c r="D7986" i="3"/>
  <c r="D853" i="3"/>
  <c r="D2030" i="3"/>
  <c r="D6074" i="3"/>
  <c r="D3143" i="3"/>
  <c r="D6441" i="3"/>
  <c r="D2170" i="3"/>
  <c r="D2029" i="3"/>
  <c r="D2028" i="3"/>
  <c r="D5581" i="3"/>
  <c r="D2027" i="3"/>
  <c r="D5024" i="3"/>
  <c r="D5580" i="3"/>
  <c r="D6073" i="3"/>
  <c r="D5579" i="3"/>
  <c r="D3931" i="3"/>
  <c r="D2026" i="3"/>
  <c r="D282" i="3"/>
  <c r="D7546" i="3"/>
  <c r="D6072" i="3"/>
  <c r="D5578" i="3"/>
  <c r="D3210" i="3"/>
  <c r="D8136" i="3"/>
  <c r="D4888" i="3"/>
  <c r="D2274" i="3"/>
  <c r="D6766" i="3"/>
  <c r="D3361" i="3"/>
  <c r="D6071" i="3"/>
  <c r="D8618" i="3"/>
  <c r="D4887" i="3"/>
  <c r="D193" i="3"/>
  <c r="D6070" i="3"/>
  <c r="D6069" i="3"/>
  <c r="D4886" i="3"/>
  <c r="D3142" i="3"/>
  <c r="D4885" i="3"/>
  <c r="D5577" i="3"/>
  <c r="D3498" i="3"/>
  <c r="D2025" i="3"/>
  <c r="D5576" i="3"/>
  <c r="D7545" i="3"/>
  <c r="D4884" i="3"/>
  <c r="D2024" i="3"/>
  <c r="D6068" i="3"/>
  <c r="D4883" i="3"/>
  <c r="D988" i="3"/>
  <c r="D3360" i="3"/>
  <c r="D569" i="3"/>
  <c r="D813" i="3"/>
  <c r="D2495" i="3"/>
  <c r="D4882" i="3"/>
  <c r="D7053" i="3"/>
  <c r="D3359" i="3"/>
  <c r="D2023" i="3"/>
  <c r="D6416" i="3"/>
  <c r="D3141" i="3"/>
  <c r="D6415" i="3"/>
  <c r="D2022" i="3"/>
  <c r="D683" i="3"/>
  <c r="D5575" i="3"/>
  <c r="D682" i="3"/>
  <c r="D5574" i="3"/>
  <c r="D8990" i="3"/>
  <c r="D2021" i="3"/>
  <c r="D8989" i="3"/>
  <c r="D5023" i="3"/>
  <c r="D6176" i="3"/>
  <c r="D7985" i="3"/>
  <c r="D2307" i="3"/>
  <c r="D2020" i="3"/>
  <c r="D4881" i="3"/>
  <c r="D812" i="3"/>
  <c r="D3358" i="3"/>
  <c r="D8988" i="3"/>
  <c r="D5573" i="3"/>
  <c r="D2383" i="3"/>
  <c r="D2019" i="3"/>
  <c r="D5572" i="3"/>
  <c r="D3140" i="3"/>
  <c r="D4880" i="3"/>
  <c r="D7645" i="3"/>
  <c r="D6942" i="3"/>
  <c r="D5571" i="3"/>
  <c r="D605" i="3"/>
  <c r="D2018" i="3"/>
  <c r="D1116" i="3"/>
  <c r="D5570" i="3"/>
  <c r="D3139" i="3"/>
  <c r="D622" i="3"/>
  <c r="D6136" i="3"/>
  <c r="D753" i="3"/>
  <c r="D2017" i="3"/>
  <c r="D6067" i="3"/>
  <c r="D5569" i="3"/>
  <c r="D530" i="3"/>
  <c r="D3433" i="3"/>
  <c r="D5568" i="3"/>
  <c r="D3138" i="3"/>
  <c r="D4879" i="3"/>
  <c r="D5567" i="3"/>
  <c r="D58" i="3"/>
  <c r="D7621" i="3"/>
  <c r="D446" i="3"/>
  <c r="D568" i="3"/>
  <c r="D2185" i="3"/>
  <c r="D7544" i="3"/>
  <c r="D8987" i="3"/>
  <c r="D2016" i="3"/>
  <c r="D1159" i="3"/>
  <c r="D3690" i="3"/>
  <c r="D2015" i="3"/>
  <c r="D811" i="3"/>
  <c r="D2014" i="3"/>
  <c r="D2013" i="3"/>
  <c r="D3497" i="3"/>
  <c r="D5566" i="3"/>
  <c r="D845" i="3"/>
  <c r="D2412" i="3"/>
  <c r="D6066" i="3"/>
  <c r="D7543" i="3"/>
  <c r="D8435" i="3"/>
  <c r="D7052" i="3"/>
  <c r="D4878" i="3"/>
  <c r="D4877" i="3"/>
  <c r="D6280" i="3"/>
  <c r="D6114" i="3"/>
  <c r="D567" i="3"/>
  <c r="D1047" i="3"/>
  <c r="D6941" i="3"/>
  <c r="D5745" i="3"/>
  <c r="D922" i="3"/>
  <c r="D3791" i="3"/>
  <c r="D6302" i="3"/>
  <c r="D8497" i="3"/>
  <c r="D3137" i="3"/>
  <c r="D8104" i="3"/>
  <c r="D348" i="3"/>
  <c r="D6065" i="3"/>
  <c r="D5565" i="3"/>
  <c r="D5751" i="3"/>
  <c r="D8867" i="3"/>
  <c r="D3801" i="3"/>
  <c r="D873" i="3"/>
  <c r="D6750" i="3"/>
  <c r="D3136" i="3"/>
  <c r="D2012" i="3"/>
  <c r="D810" i="3"/>
  <c r="D3135" i="3"/>
  <c r="D2011" i="3"/>
  <c r="D7542" i="3"/>
  <c r="D2010" i="3"/>
  <c r="D2009" i="3"/>
  <c r="D2008" i="3"/>
  <c r="D4876" i="3"/>
  <c r="D809" i="3"/>
  <c r="D5564" i="3"/>
  <c r="D3209" i="3"/>
  <c r="D2007" i="3"/>
  <c r="D2463" i="3"/>
  <c r="D860" i="3"/>
  <c r="D5563" i="3"/>
  <c r="D3452" i="3"/>
  <c r="D4875" i="3"/>
  <c r="D5562" i="3"/>
  <c r="D2184" i="3"/>
  <c r="D6940" i="3"/>
  <c r="D6064" i="3"/>
  <c r="D2006" i="3"/>
  <c r="D1092" i="3"/>
  <c r="D35" i="3"/>
  <c r="D5561" i="3"/>
  <c r="D4874" i="3"/>
  <c r="D3357" i="3"/>
  <c r="D2005" i="3"/>
  <c r="D7733" i="3"/>
  <c r="D2494" i="3"/>
  <c r="D3134" i="3"/>
  <c r="D5560" i="3"/>
  <c r="D4873" i="3"/>
  <c r="D7228" i="3"/>
  <c r="D7227" i="3"/>
  <c r="D808" i="3"/>
  <c r="D3653" i="3"/>
  <c r="D2004" i="3"/>
  <c r="D2003" i="3"/>
  <c r="D7984" i="3"/>
  <c r="D4979" i="3"/>
  <c r="D4872" i="3"/>
  <c r="D2002" i="3"/>
  <c r="D7983" i="3"/>
  <c r="D3133" i="3"/>
  <c r="D8403" i="3"/>
  <c r="D5726" i="3"/>
  <c r="D4871" i="3"/>
  <c r="D8617" i="3"/>
  <c r="D5559" i="3"/>
  <c r="D621" i="3"/>
  <c r="D6807" i="3"/>
  <c r="D6939" i="3"/>
  <c r="D7848" i="3"/>
  <c r="D6798" i="3"/>
  <c r="D996" i="3"/>
  <c r="D5558" i="3"/>
  <c r="D3496" i="3"/>
  <c r="D4870" i="3"/>
  <c r="D7806" i="3"/>
  <c r="D6593" i="3"/>
  <c r="D2001" i="3"/>
  <c r="D7982" i="3"/>
  <c r="D4869" i="3"/>
  <c r="D8372" i="3"/>
  <c r="D7884" i="3"/>
  <c r="D7541" i="3"/>
  <c r="D8986" i="3"/>
  <c r="D5557" i="3"/>
  <c r="D5556" i="3"/>
  <c r="D5555" i="3"/>
  <c r="D5554" i="3"/>
  <c r="D3132" i="3"/>
  <c r="D2000" i="3"/>
  <c r="D8496" i="3"/>
  <c r="D4868" i="3"/>
  <c r="D1999" i="3"/>
  <c r="D4867" i="3"/>
  <c r="D8495" i="3"/>
  <c r="D604" i="3"/>
  <c r="D7540" i="3"/>
  <c r="D6759" i="3"/>
  <c r="D752" i="3"/>
  <c r="D5553" i="3"/>
  <c r="D4866" i="3"/>
  <c r="D2349" i="3"/>
  <c r="D6938" i="3"/>
  <c r="D5552" i="3"/>
  <c r="D4865" i="3"/>
  <c r="D751" i="3"/>
  <c r="D3800" i="3"/>
  <c r="D6063" i="3"/>
  <c r="D8371" i="3"/>
  <c r="D3495" i="3"/>
  <c r="D3131" i="3"/>
  <c r="D7226" i="3"/>
  <c r="D3130" i="3"/>
  <c r="D4864" i="3"/>
  <c r="D1998" i="3"/>
  <c r="D34" i="3"/>
  <c r="D7732" i="3"/>
  <c r="D4863" i="3"/>
  <c r="D1997" i="3"/>
  <c r="D3911" i="3"/>
  <c r="D4862" i="3"/>
  <c r="D5551" i="3"/>
  <c r="D6749" i="3"/>
  <c r="D5550" i="3"/>
  <c r="D681" i="3"/>
  <c r="D3129" i="3"/>
  <c r="D5549" i="3"/>
  <c r="D1996" i="3"/>
  <c r="D3128" i="3"/>
  <c r="D2183" i="3"/>
  <c r="D3716" i="3"/>
  <c r="D7847" i="3"/>
  <c r="D6797" i="3"/>
  <c r="D445" i="3"/>
  <c r="D7539" i="3"/>
  <c r="D995" i="3"/>
  <c r="D4861" i="3"/>
  <c r="D4860" i="3"/>
  <c r="D6135" i="3"/>
  <c r="D3560" i="3"/>
  <c r="D8985" i="3"/>
  <c r="D3127" i="3"/>
  <c r="D7538" i="3"/>
  <c r="D2296" i="3"/>
  <c r="D57" i="3"/>
  <c r="D7620" i="3"/>
  <c r="D7638" i="3"/>
  <c r="D1995" i="3"/>
  <c r="D7846" i="3"/>
  <c r="D6283" i="3"/>
  <c r="D7731" i="3"/>
  <c r="D8459" i="3"/>
  <c r="D3749" i="3"/>
  <c r="D529" i="3"/>
  <c r="D6414" i="3"/>
  <c r="D4859" i="3"/>
  <c r="D5548" i="3"/>
  <c r="D3689" i="3"/>
  <c r="D5547" i="3"/>
  <c r="D8019" i="3"/>
  <c r="D444" i="3"/>
  <c r="D4858" i="3"/>
  <c r="D1994" i="3"/>
  <c r="D7537" i="3"/>
  <c r="D921" i="3"/>
  <c r="D6983" i="3"/>
  <c r="D3126" i="3"/>
  <c r="D8135" i="3"/>
  <c r="D5546" i="3"/>
  <c r="D6413" i="3"/>
  <c r="D3356" i="3"/>
  <c r="D3125" i="3"/>
  <c r="D4857" i="3"/>
  <c r="D5545" i="3"/>
  <c r="D750" i="3"/>
  <c r="D7536" i="3"/>
  <c r="D5544" i="3"/>
  <c r="D3124" i="3"/>
  <c r="D8110" i="3"/>
  <c r="D1993" i="3"/>
  <c r="D1992" i="3"/>
  <c r="D3432" i="3"/>
  <c r="D3123" i="3"/>
  <c r="D8370" i="3"/>
  <c r="D3122" i="3"/>
  <c r="D5022" i="3"/>
  <c r="D4856" i="3"/>
  <c r="D1991" i="3"/>
  <c r="D1990" i="3"/>
  <c r="D3964" i="3"/>
  <c r="D3121" i="3"/>
  <c r="D6292" i="3"/>
  <c r="D807" i="3"/>
  <c r="D3494" i="3"/>
  <c r="D1989" i="3"/>
  <c r="D5543" i="3"/>
  <c r="D4855" i="3"/>
  <c r="D5542" i="3"/>
  <c r="D4854" i="3"/>
  <c r="D3120" i="3"/>
  <c r="D1988" i="3"/>
  <c r="D1987" i="3"/>
  <c r="D7535" i="3"/>
  <c r="D4853" i="3"/>
  <c r="D7534" i="3"/>
  <c r="D3493" i="3"/>
  <c r="D2568" i="3"/>
  <c r="D7533" i="3"/>
  <c r="D6552" i="3"/>
  <c r="D7532" i="3"/>
  <c r="D4852" i="3"/>
  <c r="D6412" i="3"/>
  <c r="D7531" i="3"/>
  <c r="D2553" i="3"/>
  <c r="D170" i="3"/>
  <c r="D8532" i="3"/>
  <c r="D624" i="3"/>
  <c r="D7530" i="3"/>
  <c r="D680" i="3"/>
  <c r="D4851" i="3"/>
  <c r="D2655" i="3"/>
  <c r="D1986" i="3"/>
  <c r="D3119" i="3"/>
  <c r="D7529" i="3"/>
  <c r="D36" i="3"/>
  <c r="D3118" i="3"/>
  <c r="D1985" i="3"/>
  <c r="D4850" i="3"/>
  <c r="D1984" i="3"/>
  <c r="D7981" i="3"/>
  <c r="D4849" i="3"/>
  <c r="D5541" i="3"/>
  <c r="D7903" i="3"/>
  <c r="D6411" i="3"/>
  <c r="D8369" i="3"/>
  <c r="D3631" i="3"/>
  <c r="D5540" i="3"/>
  <c r="D8007" i="3"/>
  <c r="D1983" i="3"/>
  <c r="D102" i="3"/>
  <c r="D6062" i="3"/>
  <c r="D1982" i="3"/>
  <c r="D679" i="3"/>
  <c r="D6576" i="3"/>
  <c r="D5539" i="3"/>
  <c r="D4848" i="3"/>
  <c r="D566" i="3"/>
  <c r="D1981" i="3"/>
  <c r="D7980" i="3"/>
  <c r="D8425" i="3"/>
  <c r="D2248" i="3"/>
  <c r="D1980" i="3"/>
  <c r="D7225" i="3"/>
  <c r="D4847" i="3"/>
  <c r="D4846" i="3"/>
  <c r="D5538" i="3"/>
  <c r="D1979" i="3"/>
  <c r="D5537" i="3"/>
  <c r="D603" i="3"/>
  <c r="D5536" i="3"/>
  <c r="D4845" i="3"/>
  <c r="D7730" i="3"/>
  <c r="D4844" i="3"/>
  <c r="D8368" i="3"/>
  <c r="D8494" i="3"/>
  <c r="D148" i="3"/>
  <c r="D1115" i="3"/>
  <c r="D133" i="3"/>
  <c r="D749" i="3"/>
  <c r="D6061" i="3"/>
  <c r="D4843" i="3"/>
  <c r="D5535" i="3"/>
  <c r="D5682" i="3"/>
  <c r="D33" i="3"/>
  <c r="D4842" i="3"/>
  <c r="D824" i="3"/>
  <c r="D1145" i="3"/>
  <c r="D7528" i="3"/>
  <c r="D3117" i="3"/>
  <c r="D7527" i="3"/>
  <c r="D7526" i="3"/>
  <c r="D565" i="3"/>
  <c r="D6105" i="3"/>
  <c r="D678" i="3"/>
  <c r="D2482" i="3"/>
  <c r="D4841" i="3"/>
  <c r="D3116" i="3"/>
  <c r="D3867" i="3"/>
  <c r="D2247" i="3"/>
  <c r="D1978" i="3"/>
  <c r="D4840" i="3"/>
  <c r="D3381" i="3"/>
  <c r="D4839" i="3"/>
  <c r="D602" i="3"/>
  <c r="D6060" i="3"/>
  <c r="D4838" i="3"/>
  <c r="D4837" i="3"/>
  <c r="D6937" i="3"/>
  <c r="D6246" i="3"/>
  <c r="D119" i="3"/>
  <c r="D7224" i="3"/>
  <c r="D5534" i="3"/>
  <c r="D7682" i="3"/>
  <c r="D3748" i="3"/>
  <c r="D5533" i="3"/>
  <c r="D5532" i="3"/>
  <c r="D6059" i="3"/>
  <c r="D1977" i="3"/>
  <c r="D1976" i="3"/>
  <c r="D3115" i="3"/>
  <c r="D3114" i="3"/>
  <c r="D1975" i="3"/>
  <c r="D3790" i="3"/>
  <c r="D6936" i="3"/>
  <c r="D1974" i="3"/>
  <c r="D7805" i="3"/>
  <c r="D8003" i="3"/>
  <c r="D169" i="3"/>
  <c r="D7729" i="3"/>
  <c r="D6652" i="3"/>
  <c r="D1973" i="3"/>
  <c r="D4836" i="3"/>
  <c r="D677" i="3"/>
  <c r="D3113" i="3"/>
  <c r="D5666" i="3"/>
  <c r="D3644" i="3"/>
  <c r="D5681" i="3"/>
  <c r="D3925" i="3"/>
  <c r="D4835" i="3"/>
  <c r="D8227" i="3"/>
  <c r="D475" i="3"/>
  <c r="D7860" i="3"/>
  <c r="D4834" i="3"/>
  <c r="D154" i="3"/>
  <c r="D92" i="3"/>
  <c r="D3492" i="3"/>
  <c r="D6058" i="3"/>
  <c r="D8866" i="3"/>
  <c r="D1972" i="3"/>
  <c r="D83" i="3"/>
  <c r="D3630" i="3"/>
  <c r="D5531" i="3"/>
  <c r="D676" i="3"/>
  <c r="D1971" i="3"/>
  <c r="D5530" i="3"/>
  <c r="D147" i="3"/>
  <c r="D5529" i="3"/>
  <c r="D5528" i="3"/>
  <c r="D5665" i="3"/>
  <c r="D748" i="3"/>
  <c r="D5527" i="3"/>
  <c r="D6468" i="3"/>
  <c r="D7525" i="3"/>
  <c r="D1970" i="3"/>
  <c r="D168" i="3"/>
  <c r="D146" i="3"/>
  <c r="D3629" i="3"/>
  <c r="D6247" i="3"/>
  <c r="D1969" i="3"/>
  <c r="D19" i="3"/>
  <c r="D145" i="3"/>
  <c r="D5526" i="3"/>
  <c r="D144" i="3"/>
  <c r="D6748" i="3"/>
  <c r="D4833" i="3"/>
  <c r="D3836" i="3"/>
  <c r="D1968" i="3"/>
  <c r="D130" i="3"/>
  <c r="D601" i="3"/>
  <c r="D3431" i="3"/>
  <c r="D116" i="3"/>
  <c r="D5525" i="3"/>
  <c r="D4832" i="3"/>
  <c r="D3910" i="3"/>
  <c r="D4831" i="3"/>
  <c r="D3835" i="3"/>
  <c r="D1967" i="3"/>
  <c r="D3112" i="3"/>
  <c r="D5021" i="3"/>
  <c r="D2602" i="3"/>
  <c r="D4830" i="3"/>
  <c r="D3111" i="3"/>
  <c r="D3110" i="3"/>
  <c r="D5524" i="3"/>
  <c r="D1966" i="3"/>
  <c r="D3652" i="3"/>
  <c r="D2348" i="3"/>
  <c r="D1965" i="3"/>
  <c r="D2493" i="3"/>
  <c r="D4829" i="3"/>
  <c r="D4828" i="3"/>
  <c r="D4827" i="3"/>
  <c r="D3208" i="3"/>
  <c r="D171" i="3"/>
  <c r="D8527" i="3"/>
  <c r="D3109" i="3"/>
  <c r="D675" i="3"/>
  <c r="D192" i="3"/>
  <c r="D8439" i="3"/>
  <c r="D5523" i="3"/>
  <c r="D3108" i="3"/>
  <c r="D7524" i="3"/>
  <c r="D5522" i="3"/>
  <c r="D3765" i="3"/>
  <c r="D8984" i="3"/>
  <c r="D136" i="3"/>
  <c r="D6747" i="3"/>
  <c r="D3107" i="3"/>
  <c r="D110" i="3"/>
  <c r="D2552" i="3"/>
  <c r="D4826" i="3"/>
  <c r="D22" i="3"/>
  <c r="D8616" i="3"/>
  <c r="D81" i="3"/>
  <c r="D3106" i="3"/>
  <c r="D114" i="3"/>
  <c r="D1964" i="3"/>
  <c r="D1963" i="3"/>
  <c r="D7979" i="3"/>
  <c r="D12" i="3"/>
  <c r="D111" i="3"/>
  <c r="D299" i="3"/>
  <c r="D4825" i="3"/>
  <c r="D6057" i="3"/>
  <c r="D8526" i="3"/>
  <c r="D5521" i="3"/>
  <c r="D5520" i="3"/>
  <c r="D5519" i="3"/>
  <c r="D225" i="3"/>
  <c r="D987" i="3"/>
  <c r="D6056" i="3"/>
  <c r="D1046" i="3"/>
  <c r="D3355" i="3"/>
  <c r="D4824" i="3"/>
  <c r="D8429" i="3"/>
  <c r="D7223" i="3"/>
  <c r="D6575" i="3"/>
  <c r="D4823" i="3"/>
  <c r="D8865" i="3"/>
  <c r="D7347" i="3"/>
  <c r="D4822" i="3"/>
  <c r="D4821" i="3"/>
  <c r="D6746" i="3"/>
  <c r="D3195" i="3"/>
  <c r="D7222" i="3"/>
  <c r="D986" i="3"/>
  <c r="D6236" i="3"/>
  <c r="D1962" i="3"/>
  <c r="D4820" i="3"/>
  <c r="D5518" i="3"/>
  <c r="D8864" i="3"/>
  <c r="D8863" i="3"/>
  <c r="D8862" i="3"/>
  <c r="D2430" i="3"/>
  <c r="D4819" i="3"/>
  <c r="D3715" i="3"/>
  <c r="D4818" i="3"/>
  <c r="D5517" i="3"/>
  <c r="D1961" i="3"/>
  <c r="D6745" i="3"/>
  <c r="D5516" i="3"/>
  <c r="D224" i="3"/>
  <c r="D4817" i="3"/>
  <c r="D8861" i="3"/>
  <c r="D8860" i="3"/>
  <c r="D8274" i="3"/>
  <c r="D8859" i="3"/>
  <c r="D8858" i="3"/>
  <c r="D4816" i="3"/>
  <c r="D4815" i="3"/>
  <c r="D4814" i="3"/>
  <c r="D8232" i="3"/>
  <c r="D5725" i="3"/>
  <c r="D7051" i="3"/>
  <c r="D4813" i="3"/>
  <c r="D7050" i="3"/>
  <c r="D4812" i="3"/>
  <c r="D8103" i="3"/>
  <c r="D2295" i="3"/>
  <c r="D392" i="3"/>
  <c r="D3105" i="3"/>
  <c r="D4811" i="3"/>
  <c r="D4810" i="3"/>
  <c r="D6765" i="3"/>
  <c r="D8143" i="3"/>
  <c r="D3194" i="3"/>
  <c r="D3714" i="3"/>
  <c r="D8857" i="3"/>
  <c r="D1960" i="3"/>
  <c r="D7221" i="3"/>
  <c r="D1959" i="3"/>
  <c r="D1958" i="3"/>
  <c r="D8411" i="3"/>
  <c r="D8428" i="3"/>
  <c r="D674" i="3"/>
  <c r="D2459" i="3"/>
  <c r="D7049" i="3"/>
  <c r="D1073" i="3"/>
  <c r="D1957" i="3"/>
  <c r="D2601" i="3"/>
  <c r="D7361" i="3"/>
  <c r="D4809" i="3"/>
  <c r="D6551" i="3"/>
  <c r="D1956" i="3"/>
  <c r="D3513" i="3"/>
  <c r="D3104" i="3"/>
  <c r="D955" i="3"/>
  <c r="D8907" i="3"/>
  <c r="D443" i="3"/>
  <c r="D5515" i="3"/>
  <c r="D8856" i="3"/>
  <c r="D8855" i="3"/>
  <c r="D8015" i="3"/>
  <c r="D7346" i="3"/>
  <c r="D6428" i="3"/>
  <c r="D8854" i="3"/>
  <c r="D8853" i="3"/>
  <c r="D8852" i="3"/>
  <c r="D1955" i="3"/>
  <c r="D8851" i="3"/>
  <c r="D8850" i="3"/>
  <c r="D7882" i="3"/>
  <c r="D252" i="3"/>
  <c r="D6744" i="3"/>
  <c r="D3491" i="3"/>
  <c r="D6743" i="3"/>
  <c r="D5514" i="3"/>
  <c r="D2294" i="3"/>
  <c r="D2250" i="3"/>
  <c r="D1954" i="3"/>
  <c r="D8431" i="3"/>
  <c r="D8902" i="3"/>
  <c r="D8273" i="3"/>
  <c r="D6627" i="3"/>
  <c r="D7599" i="3"/>
  <c r="D2282" i="3"/>
  <c r="D5513" i="3"/>
  <c r="D3103" i="3"/>
  <c r="D1953" i="3"/>
  <c r="D7220" i="3"/>
  <c r="D1952" i="3"/>
  <c r="D3829" i="3"/>
  <c r="D4808" i="3"/>
  <c r="D1951" i="3"/>
  <c r="D6055" i="3"/>
  <c r="D265" i="3"/>
  <c r="D6742" i="3"/>
  <c r="D4807" i="3"/>
  <c r="D6054" i="3"/>
  <c r="D4806" i="3"/>
  <c r="D5512" i="3"/>
  <c r="D1950" i="3"/>
  <c r="D3354" i="3"/>
  <c r="D1949" i="3"/>
  <c r="D8615" i="3"/>
  <c r="D6175" i="3"/>
  <c r="D7410" i="3"/>
  <c r="D7523" i="3"/>
  <c r="D7804" i="3"/>
  <c r="D7803" i="3"/>
  <c r="D7598" i="3"/>
  <c r="D3102" i="3"/>
  <c r="D6191" i="3"/>
  <c r="D2211" i="3"/>
  <c r="D4805" i="3"/>
  <c r="D6600" i="3"/>
  <c r="D7394" i="3"/>
  <c r="D2137" i="3"/>
  <c r="D8983" i="3"/>
  <c r="D5511" i="3"/>
  <c r="D8849" i="3"/>
  <c r="D8422" i="3"/>
  <c r="D3353" i="3"/>
  <c r="D3628" i="3"/>
  <c r="D4804" i="3"/>
  <c r="D8458" i="3"/>
  <c r="D2382" i="3"/>
  <c r="D1045" i="3"/>
  <c r="D3101" i="3"/>
  <c r="D8367" i="3"/>
  <c r="D2136" i="3"/>
  <c r="D1948" i="3"/>
  <c r="D8134" i="3"/>
  <c r="D8115" i="3"/>
  <c r="D8224" i="3"/>
  <c r="D7802" i="3"/>
  <c r="D4803" i="3"/>
  <c r="D3352" i="3"/>
  <c r="D3490" i="3"/>
  <c r="D4802" i="3"/>
  <c r="D8366" i="3"/>
  <c r="D975" i="3"/>
  <c r="D276" i="3"/>
  <c r="D8848" i="3"/>
  <c r="D5510" i="3"/>
  <c r="D8847" i="3"/>
  <c r="D5509" i="3"/>
  <c r="D1947" i="3"/>
  <c r="D275" i="3"/>
  <c r="D3384" i="3"/>
  <c r="D1946" i="3"/>
  <c r="D8102" i="3"/>
  <c r="D1945" i="3"/>
  <c r="D5732" i="3"/>
  <c r="D1072" i="3"/>
  <c r="D4801" i="3"/>
  <c r="D6467" i="3"/>
  <c r="D8365" i="3"/>
  <c r="D2622" i="3"/>
  <c r="D1944" i="3"/>
  <c r="D7345" i="3"/>
  <c r="D7048" i="3"/>
  <c r="D1943" i="3"/>
  <c r="D1942" i="3"/>
  <c r="D2293" i="3"/>
  <c r="D3351" i="3"/>
  <c r="D6599" i="3"/>
  <c r="D6053" i="3"/>
  <c r="D896" i="3"/>
  <c r="D6965" i="3"/>
  <c r="D8364" i="3"/>
  <c r="D6052" i="3"/>
  <c r="D4800" i="3"/>
  <c r="D3489" i="3"/>
  <c r="D8402" i="3"/>
  <c r="D8846" i="3"/>
  <c r="D3100" i="3"/>
  <c r="D1941" i="3"/>
  <c r="D6741" i="3"/>
  <c r="D6051" i="3"/>
  <c r="D7801" i="3"/>
  <c r="D3488" i="3"/>
  <c r="D7800" i="3"/>
  <c r="D6198" i="3"/>
  <c r="D3487" i="3"/>
  <c r="D8614" i="3"/>
  <c r="D3938" i="3"/>
  <c r="D7219" i="3"/>
  <c r="D6592" i="3"/>
  <c r="D7674" i="3"/>
  <c r="D3522" i="3"/>
  <c r="D1940" i="3"/>
  <c r="D7978" i="3"/>
  <c r="D4799" i="3"/>
  <c r="D7047" i="3"/>
  <c r="D8363" i="3"/>
  <c r="D8982" i="3"/>
  <c r="D7799" i="3"/>
  <c r="D1939" i="3"/>
  <c r="D6598" i="3"/>
  <c r="D8101" i="3"/>
  <c r="D4798" i="3"/>
  <c r="D3099" i="3"/>
  <c r="D2325" i="3"/>
  <c r="D1938" i="3"/>
  <c r="D8401" i="3"/>
  <c r="D2424" i="3"/>
  <c r="D934" i="3"/>
  <c r="D3486" i="3"/>
  <c r="D4797" i="3"/>
  <c r="D5664" i="3"/>
  <c r="D8613" i="3"/>
  <c r="D1937" i="3"/>
  <c r="D6935" i="3"/>
  <c r="D7269" i="3"/>
  <c r="D7344" i="3"/>
  <c r="D8133" i="3"/>
  <c r="D4796" i="3"/>
  <c r="D3485" i="3"/>
  <c r="D4795" i="3"/>
  <c r="D391" i="3"/>
  <c r="D4794" i="3"/>
  <c r="D3484" i="3"/>
  <c r="D4793" i="3"/>
  <c r="D1936" i="3"/>
  <c r="D4792" i="3"/>
  <c r="D2261" i="3"/>
  <c r="D8362" i="3"/>
  <c r="D6050" i="3"/>
  <c r="D6049" i="3"/>
  <c r="D3627" i="3"/>
  <c r="D1935" i="3"/>
  <c r="D6190" i="3"/>
  <c r="D1044" i="3"/>
  <c r="D4791" i="3"/>
  <c r="D5508" i="3"/>
  <c r="D1188" i="3"/>
  <c r="D442" i="3"/>
  <c r="D7881" i="3"/>
  <c r="D6574" i="3"/>
  <c r="D7218" i="3"/>
  <c r="D4790" i="3"/>
  <c r="D4789" i="3"/>
  <c r="D1934" i="3"/>
  <c r="D7217" i="3"/>
  <c r="D6934" i="3"/>
  <c r="D7268" i="3"/>
  <c r="D8361" i="3"/>
  <c r="D8360" i="3"/>
  <c r="D7798" i="3"/>
  <c r="D5507" i="3"/>
  <c r="D895" i="3"/>
  <c r="D2452" i="3"/>
  <c r="D4788" i="3"/>
  <c r="D1114" i="3"/>
  <c r="D7216" i="3"/>
  <c r="D1933" i="3"/>
  <c r="D7977" i="3"/>
  <c r="D1932" i="3"/>
  <c r="D8845" i="3"/>
  <c r="D6550" i="3"/>
  <c r="D6466" i="3"/>
  <c r="D6740" i="3"/>
  <c r="D2641" i="3"/>
  <c r="D5506" i="3"/>
  <c r="D3350" i="3"/>
  <c r="D3098" i="3"/>
  <c r="D1931" i="3"/>
  <c r="D7976" i="3"/>
  <c r="D4994" i="3"/>
  <c r="D1930" i="3"/>
  <c r="D6964" i="3"/>
  <c r="D7797" i="3"/>
  <c r="D191" i="3"/>
  <c r="D1929" i="3"/>
  <c r="D4787" i="3"/>
  <c r="D1928" i="3"/>
  <c r="D1927" i="3"/>
  <c r="D277" i="3"/>
  <c r="D441" i="3"/>
  <c r="D8844" i="3"/>
  <c r="D632" i="3"/>
  <c r="D7796" i="3"/>
  <c r="D899" i="3"/>
  <c r="D1926" i="3"/>
  <c r="D7975" i="3"/>
  <c r="D7046" i="3"/>
  <c r="D1925" i="3"/>
  <c r="D8359" i="3"/>
  <c r="D1924" i="3"/>
  <c r="D3349" i="3"/>
  <c r="D4786" i="3"/>
  <c r="D4785" i="3"/>
  <c r="D1923" i="3"/>
  <c r="D4784" i="3"/>
  <c r="D7704" i="3"/>
  <c r="D1922" i="3"/>
  <c r="D4783" i="3"/>
  <c r="D8843" i="3"/>
  <c r="D4782" i="3"/>
  <c r="D3097" i="3"/>
  <c r="D7904" i="3"/>
  <c r="D3713" i="3"/>
  <c r="D1921" i="3"/>
  <c r="D3483" i="3"/>
  <c r="D4781" i="3"/>
  <c r="D4780" i="3"/>
  <c r="D7215" i="3"/>
  <c r="D3482" i="3"/>
  <c r="D1077" i="3"/>
  <c r="D8842" i="3"/>
  <c r="D5706" i="3"/>
  <c r="D6048" i="3"/>
  <c r="D1920" i="3"/>
  <c r="D1919" i="3"/>
  <c r="D7974" i="3"/>
  <c r="D4779" i="3"/>
  <c r="D440" i="3"/>
  <c r="D6204" i="3"/>
  <c r="D3096" i="3"/>
  <c r="D8841" i="3"/>
  <c r="D1918" i="3"/>
  <c r="D1917" i="3"/>
  <c r="D3789" i="3"/>
  <c r="D8840" i="3"/>
  <c r="D8839" i="3"/>
  <c r="D6264" i="3"/>
  <c r="D6739" i="3"/>
  <c r="D8358" i="3"/>
  <c r="D3712" i="3"/>
  <c r="D2256" i="3"/>
  <c r="D3711" i="3"/>
  <c r="D1916" i="3"/>
  <c r="D1915" i="3"/>
  <c r="D7973" i="3"/>
  <c r="D2451" i="3"/>
  <c r="D3788" i="3"/>
  <c r="D493" i="3"/>
  <c r="D7343" i="3"/>
  <c r="D5670" i="3"/>
  <c r="D4778" i="3"/>
  <c r="D4777" i="3"/>
  <c r="D1914" i="3"/>
  <c r="D1913" i="3"/>
  <c r="D6047" i="3"/>
  <c r="D3095" i="3"/>
  <c r="D1912" i="3"/>
  <c r="D8612" i="3"/>
  <c r="D3626" i="3"/>
  <c r="D8838" i="3"/>
  <c r="D1211" i="3"/>
  <c r="D8357" i="3"/>
  <c r="D1911" i="3"/>
  <c r="D3430" i="3"/>
  <c r="D6226" i="3"/>
  <c r="D4776" i="3"/>
  <c r="D8356" i="3"/>
  <c r="D1910" i="3"/>
  <c r="D7972" i="3"/>
  <c r="D1909" i="3"/>
  <c r="D7971" i="3"/>
  <c r="D1908" i="3"/>
  <c r="D439" i="3"/>
  <c r="D6470" i="3"/>
  <c r="D1907" i="3"/>
  <c r="D3825" i="3"/>
  <c r="D8146" i="3"/>
  <c r="D3946" i="3"/>
  <c r="D1906" i="3"/>
  <c r="D1905" i="3"/>
  <c r="D4775" i="3"/>
  <c r="D7795" i="3"/>
  <c r="D7214" i="3"/>
  <c r="D6134" i="3"/>
  <c r="D3559" i="3"/>
  <c r="D4774" i="3"/>
  <c r="D2182" i="3"/>
  <c r="D894" i="3"/>
  <c r="D7626" i="3"/>
  <c r="D8981" i="3"/>
  <c r="D7880" i="3"/>
  <c r="D4773" i="3"/>
  <c r="D7665" i="3"/>
  <c r="D1904" i="3"/>
  <c r="D1903" i="3"/>
  <c r="D7970" i="3"/>
  <c r="D5724" i="3"/>
  <c r="D1902" i="3"/>
  <c r="D6764" i="3"/>
  <c r="D747" i="3"/>
  <c r="D4772" i="3"/>
  <c r="D3481" i="3"/>
  <c r="D6046" i="3"/>
  <c r="D4771" i="3"/>
  <c r="D1043" i="3"/>
  <c r="D7213" i="3"/>
  <c r="D4770" i="3"/>
  <c r="D5635" i="3"/>
  <c r="D6465" i="3"/>
  <c r="D4999" i="3"/>
  <c r="D1901" i="3"/>
  <c r="D5505" i="3"/>
  <c r="D315" i="3"/>
  <c r="D4769" i="3"/>
  <c r="D8837" i="3"/>
  <c r="D8611" i="3"/>
  <c r="D8100" i="3"/>
  <c r="D2450" i="3"/>
  <c r="D3094" i="3"/>
  <c r="D6133" i="3"/>
  <c r="D3558" i="3"/>
  <c r="D6225" i="3"/>
  <c r="D3480" i="3"/>
  <c r="D8610" i="3"/>
  <c r="D7794" i="3"/>
  <c r="D3909" i="3"/>
  <c r="D2292" i="3"/>
  <c r="D1900" i="3"/>
  <c r="D1899" i="3"/>
  <c r="D2243" i="3"/>
  <c r="D1898" i="3"/>
  <c r="D1897" i="3"/>
  <c r="D4768" i="3"/>
  <c r="D1062" i="3"/>
  <c r="D1896" i="3"/>
  <c r="D7212" i="3"/>
  <c r="D1091" i="3"/>
  <c r="D8413" i="3"/>
  <c r="D5504" i="3"/>
  <c r="D1895" i="3"/>
  <c r="D7969" i="3"/>
  <c r="D879" i="3"/>
  <c r="D8836" i="3"/>
  <c r="D3093" i="3"/>
  <c r="D7045" i="3"/>
  <c r="D2166" i="3"/>
  <c r="D6189" i="3"/>
  <c r="D5503" i="3"/>
  <c r="D6772" i="3"/>
  <c r="D4767" i="3"/>
  <c r="D746" i="3"/>
  <c r="D264" i="3"/>
  <c r="D8609" i="3"/>
  <c r="D4766" i="3"/>
  <c r="D4765" i="3"/>
  <c r="D4764" i="3"/>
  <c r="D4763" i="3"/>
  <c r="D7417" i="3"/>
  <c r="D3348" i="3"/>
  <c r="D4762" i="3"/>
  <c r="D5653" i="3"/>
  <c r="D4761" i="3"/>
  <c r="D5502" i="3"/>
  <c r="D1894" i="3"/>
  <c r="D6132" i="3"/>
  <c r="D3557" i="3"/>
  <c r="D2260" i="3"/>
  <c r="D7211" i="3"/>
  <c r="D1893" i="3"/>
  <c r="D2135" i="3"/>
  <c r="D4760" i="3"/>
  <c r="D1892" i="3"/>
  <c r="D4759" i="3"/>
  <c r="D6933" i="3"/>
  <c r="D4758" i="3"/>
  <c r="D4757" i="3"/>
  <c r="D3862" i="3"/>
  <c r="D806" i="3"/>
  <c r="D3479" i="3"/>
  <c r="D5501" i="3"/>
  <c r="D1891" i="3"/>
  <c r="D7968" i="3"/>
  <c r="D6045" i="3"/>
  <c r="D7625" i="3"/>
  <c r="D6932" i="3"/>
  <c r="D274" i="3"/>
  <c r="D6044" i="3"/>
  <c r="D7210" i="3"/>
  <c r="D4756" i="3"/>
  <c r="D1890" i="3"/>
  <c r="D5652" i="3"/>
  <c r="D4755" i="3"/>
  <c r="D5500" i="3"/>
  <c r="D8608" i="3"/>
  <c r="D4754" i="3"/>
  <c r="D2515" i="3"/>
  <c r="D8493" i="3"/>
  <c r="D4753" i="3"/>
  <c r="D1889" i="3"/>
  <c r="D1888" i="3"/>
  <c r="D4752" i="3"/>
  <c r="D273" i="3"/>
  <c r="D5499" i="3"/>
  <c r="D7900" i="3"/>
  <c r="D8355" i="3"/>
  <c r="D4751" i="3"/>
  <c r="D1887" i="3"/>
  <c r="D3092" i="3"/>
  <c r="D3710" i="3"/>
  <c r="D4750" i="3"/>
  <c r="D1886" i="3"/>
  <c r="D4749" i="3"/>
  <c r="D1885" i="3"/>
  <c r="D3908" i="3"/>
  <c r="D8607" i="3"/>
  <c r="D6104" i="3"/>
  <c r="D1884" i="3"/>
  <c r="D1883" i="3"/>
  <c r="D4748" i="3"/>
  <c r="D3091" i="3"/>
  <c r="D1882" i="3"/>
  <c r="D4747" i="3"/>
  <c r="D7209" i="3"/>
  <c r="D8463" i="3"/>
  <c r="D3787" i="3"/>
  <c r="D1881" i="3"/>
  <c r="D4746" i="3"/>
  <c r="D3688" i="3"/>
  <c r="D6635" i="3"/>
  <c r="D3941" i="3"/>
  <c r="D4745" i="3"/>
  <c r="D8606" i="3"/>
  <c r="D7208" i="3"/>
  <c r="D4744" i="3"/>
  <c r="D8980" i="3"/>
  <c r="D7712" i="3"/>
  <c r="D1880" i="3"/>
  <c r="D3207" i="3"/>
  <c r="D2311" i="3"/>
  <c r="D5498" i="3"/>
  <c r="D3090" i="3"/>
  <c r="D1879" i="3"/>
  <c r="D4743" i="3"/>
  <c r="D8835" i="3"/>
  <c r="D286" i="3"/>
  <c r="D3089" i="3"/>
  <c r="D2411" i="3"/>
  <c r="D2465" i="3"/>
  <c r="D2551" i="3"/>
  <c r="D897" i="3"/>
  <c r="D4742" i="3"/>
  <c r="D2410" i="3"/>
  <c r="D600" i="3"/>
  <c r="D4741" i="3"/>
  <c r="D940" i="3"/>
  <c r="D6611" i="3"/>
  <c r="D4740" i="3"/>
  <c r="D5497" i="3"/>
  <c r="D505" i="3"/>
  <c r="D6738" i="3"/>
  <c r="D4739" i="3"/>
  <c r="D4738" i="3"/>
  <c r="D1878" i="3"/>
  <c r="D3861" i="3"/>
  <c r="D805" i="3"/>
  <c r="D673" i="3"/>
  <c r="D492" i="3"/>
  <c r="D1042" i="3"/>
  <c r="D6606" i="3"/>
  <c r="D2242" i="3"/>
  <c r="D2324" i="3"/>
  <c r="D6768" i="3"/>
  <c r="D8010" i="3"/>
  <c r="D8834" i="3"/>
  <c r="D8833" i="3"/>
  <c r="D6737" i="3"/>
  <c r="D4737" i="3"/>
  <c r="D4736" i="3"/>
  <c r="D672" i="3"/>
  <c r="D6931" i="3"/>
  <c r="D6103" i="3"/>
  <c r="D1877" i="3"/>
  <c r="D3088" i="3"/>
  <c r="D6240" i="3"/>
  <c r="D1876" i="3"/>
  <c r="D7845" i="3"/>
  <c r="D6796" i="3"/>
  <c r="D7342" i="3"/>
  <c r="D6549" i="3"/>
  <c r="D7793" i="3"/>
  <c r="D8504" i="3"/>
  <c r="D2249" i="3"/>
  <c r="D6249" i="3"/>
  <c r="D6273" i="3"/>
  <c r="D3347" i="3"/>
  <c r="D1875" i="3"/>
  <c r="D3193" i="3"/>
  <c r="D4735" i="3"/>
  <c r="D6626" i="3"/>
  <c r="D2267" i="3"/>
  <c r="D3966" i="3"/>
  <c r="D4734" i="3"/>
  <c r="D4733" i="3"/>
  <c r="D1874" i="3"/>
  <c r="D7967" i="3"/>
  <c r="D1873" i="3"/>
  <c r="D2165" i="3"/>
  <c r="D1872" i="3"/>
  <c r="D7966" i="3"/>
  <c r="D3478" i="3"/>
  <c r="D6043" i="3"/>
  <c r="D3625" i="3"/>
  <c r="D5634" i="3"/>
  <c r="D1871" i="3"/>
  <c r="D7965" i="3"/>
  <c r="D1870" i="3"/>
  <c r="D8979" i="3"/>
  <c r="D1187" i="3"/>
  <c r="D2567" i="3"/>
  <c r="D2577" i="3"/>
  <c r="D8354" i="3"/>
  <c r="D8832" i="3"/>
  <c r="D3087" i="3"/>
  <c r="D7044" i="3"/>
  <c r="D4732" i="3"/>
  <c r="D1869" i="3"/>
  <c r="D4731" i="3"/>
  <c r="D3521" i="3"/>
  <c r="D7267" i="3"/>
  <c r="D7207" i="3"/>
  <c r="D3086" i="3"/>
  <c r="D6930" i="3"/>
  <c r="D7364" i="3"/>
  <c r="D3687" i="3"/>
  <c r="D4730" i="3"/>
  <c r="D915" i="3"/>
  <c r="D3477" i="3"/>
  <c r="D4729" i="3"/>
  <c r="D3797" i="3"/>
  <c r="D7043" i="3"/>
  <c r="D1868" i="3"/>
  <c r="D6929" i="3"/>
  <c r="D2421" i="3"/>
  <c r="D4728" i="3"/>
  <c r="D438" i="3"/>
  <c r="D4727" i="3"/>
  <c r="D272" i="3"/>
  <c r="D5740" i="3"/>
  <c r="D491" i="3"/>
  <c r="D3624" i="3"/>
  <c r="D6042" i="3"/>
  <c r="D2241" i="3"/>
  <c r="D8223" i="3"/>
  <c r="D2651" i="3"/>
  <c r="D6041" i="3"/>
  <c r="D7206" i="3"/>
  <c r="D1867" i="3"/>
  <c r="D4726" i="3"/>
  <c r="D8831" i="3"/>
  <c r="D3529" i="3"/>
  <c r="D8978" i="3"/>
  <c r="D8492" i="3"/>
  <c r="D1866" i="3"/>
  <c r="D1865" i="3"/>
  <c r="D3085" i="3"/>
  <c r="D3907" i="3"/>
  <c r="D1113" i="3"/>
  <c r="D4725" i="3"/>
  <c r="D7205" i="3"/>
  <c r="D1864" i="3"/>
  <c r="D7883" i="3"/>
  <c r="D1863" i="3"/>
  <c r="D8006" i="3"/>
  <c r="D7792" i="3"/>
  <c r="D911" i="3"/>
  <c r="D4724" i="3"/>
  <c r="D3084" i="3"/>
  <c r="D2240" i="3"/>
  <c r="D3963" i="3"/>
  <c r="D5020" i="3"/>
  <c r="D2192" i="3"/>
  <c r="D4723" i="3"/>
  <c r="D3083" i="3"/>
  <c r="D831" i="3"/>
  <c r="D3206" i="3"/>
  <c r="D3476" i="3"/>
  <c r="D1862" i="3"/>
  <c r="D3475" i="3"/>
  <c r="D7354" i="3"/>
  <c r="D3082" i="3"/>
  <c r="D3081" i="3"/>
  <c r="D852" i="3"/>
  <c r="D5637" i="3"/>
  <c r="D2134" i="3"/>
  <c r="D5663" i="3"/>
  <c r="D4722" i="3"/>
  <c r="D3080" i="3"/>
  <c r="D7411" i="3"/>
  <c r="D1861" i="3"/>
  <c r="D1860" i="3"/>
  <c r="D7964" i="3"/>
  <c r="D3747" i="3"/>
  <c r="D5496" i="3"/>
  <c r="D6928" i="3"/>
  <c r="D8830" i="3"/>
  <c r="D3079" i="3"/>
  <c r="D6927" i="3"/>
  <c r="D1859" i="3"/>
  <c r="D243" i="3"/>
  <c r="D3474" i="3"/>
  <c r="D1858" i="3"/>
  <c r="D8172" i="3"/>
  <c r="D7963" i="3"/>
  <c r="D3078" i="3"/>
  <c r="D1857" i="3"/>
  <c r="D7962" i="3"/>
  <c r="D7961" i="3"/>
  <c r="D5495" i="3"/>
  <c r="D1856" i="3"/>
  <c r="D8829" i="3"/>
  <c r="D4721" i="3"/>
  <c r="D1855" i="3"/>
  <c r="D6040" i="3"/>
  <c r="D671" i="3"/>
  <c r="D4720" i="3"/>
  <c r="D7791" i="3"/>
  <c r="D8828" i="3"/>
  <c r="D4993" i="3"/>
  <c r="D1854" i="3"/>
  <c r="D1853" i="3"/>
  <c r="D2310" i="3"/>
  <c r="D1852" i="3"/>
  <c r="D396" i="3"/>
  <c r="D8400" i="3"/>
  <c r="D958" i="3"/>
  <c r="D6039" i="3"/>
  <c r="D2323" i="3"/>
  <c r="D6241" i="3"/>
  <c r="D1041" i="3"/>
  <c r="D3205" i="3"/>
  <c r="D835" i="3"/>
  <c r="D6266" i="3"/>
  <c r="D5633" i="3"/>
  <c r="D6476" i="3"/>
  <c r="D6625" i="3"/>
  <c r="D4719" i="3"/>
  <c r="D267" i="3"/>
  <c r="D1851" i="3"/>
  <c r="D3077" i="3"/>
  <c r="D4718" i="3"/>
  <c r="D4717" i="3"/>
  <c r="D7042" i="3"/>
  <c r="D1123" i="3"/>
  <c r="D3076" i="3"/>
  <c r="D3393" i="3"/>
  <c r="D7703" i="3"/>
  <c r="D6174" i="3"/>
  <c r="D2579" i="3"/>
  <c r="D3075" i="3"/>
  <c r="D6982" i="3"/>
  <c r="D2566" i="3"/>
  <c r="D2650" i="3"/>
  <c r="D4716" i="3"/>
  <c r="D8827" i="3"/>
  <c r="D2550" i="3"/>
  <c r="D1850" i="3"/>
  <c r="D3962" i="3"/>
  <c r="D3074" i="3"/>
  <c r="D5494" i="3"/>
  <c r="D3429" i="3"/>
  <c r="D2394" i="3"/>
  <c r="D670" i="3"/>
  <c r="D1849" i="3"/>
  <c r="D7960" i="3"/>
  <c r="D190" i="3"/>
  <c r="D3473" i="3"/>
  <c r="D4715" i="3"/>
  <c r="D4714" i="3"/>
  <c r="D2322" i="3"/>
  <c r="D5493" i="3"/>
  <c r="D5492" i="3"/>
  <c r="D2239" i="3"/>
  <c r="D838" i="3"/>
  <c r="D6038" i="3"/>
  <c r="D437" i="3"/>
  <c r="D3192" i="3"/>
  <c r="D4713" i="3"/>
  <c r="D4712" i="3"/>
  <c r="D6624" i="3"/>
  <c r="D3686" i="3"/>
  <c r="D1848" i="3"/>
  <c r="D599" i="3"/>
  <c r="D4711" i="3"/>
  <c r="D4710" i="3"/>
  <c r="D6736" i="3"/>
  <c r="D4709" i="3"/>
  <c r="D6926" i="3"/>
  <c r="D669" i="3"/>
  <c r="D5491" i="3"/>
  <c r="D6037" i="3"/>
  <c r="D4708" i="3"/>
  <c r="D6036" i="3"/>
  <c r="D4707" i="3"/>
  <c r="D4706" i="3"/>
  <c r="D5705" i="3"/>
  <c r="D6151" i="3"/>
  <c r="D4705" i="3"/>
  <c r="D4704" i="3"/>
  <c r="D4703" i="3"/>
  <c r="D3073" i="3"/>
  <c r="D3346" i="3"/>
  <c r="D1847" i="3"/>
  <c r="D1846" i="3"/>
  <c r="D6035" i="3"/>
  <c r="D4702" i="3"/>
  <c r="D7363" i="3"/>
  <c r="D3472" i="3"/>
  <c r="D7341" i="3"/>
  <c r="D6034" i="3"/>
  <c r="D7340" i="3"/>
  <c r="D1845" i="3"/>
  <c r="D1844" i="3"/>
  <c r="D7352" i="3"/>
  <c r="D3685" i="3"/>
  <c r="D2518" i="3"/>
  <c r="D3072" i="3"/>
  <c r="D6823" i="3"/>
  <c r="D7676" i="3"/>
  <c r="D4701" i="3"/>
  <c r="D4700" i="3"/>
  <c r="D6033" i="3"/>
  <c r="D8906" i="3"/>
  <c r="D1843" i="3"/>
  <c r="D8434" i="3"/>
  <c r="D6443" i="3"/>
  <c r="D1842" i="3"/>
  <c r="D537" i="3"/>
  <c r="D3071" i="3"/>
  <c r="D3684" i="3"/>
  <c r="D8491" i="3"/>
  <c r="D745" i="3"/>
  <c r="D6207" i="3"/>
  <c r="D8977" i="3"/>
  <c r="D4699" i="3"/>
  <c r="D6963" i="3"/>
  <c r="D6604" i="3"/>
  <c r="D6778" i="3"/>
  <c r="D8353" i="3"/>
  <c r="D3471" i="3"/>
  <c r="D1841" i="3"/>
  <c r="D3949" i="3"/>
  <c r="D6639" i="3"/>
  <c r="D8399" i="3"/>
  <c r="D8826" i="3"/>
  <c r="D8825" i="3"/>
  <c r="D4698" i="3"/>
  <c r="D8605" i="3"/>
  <c r="D8824" i="3"/>
  <c r="D6032" i="3"/>
  <c r="D7351" i="3"/>
  <c r="D985" i="3"/>
  <c r="D744" i="3"/>
  <c r="D5490" i="3"/>
  <c r="D7844" i="3"/>
  <c r="D6795" i="3"/>
  <c r="D1840" i="3"/>
  <c r="D2449" i="3"/>
  <c r="D1839" i="3"/>
  <c r="D4697" i="3"/>
  <c r="D8604" i="3"/>
  <c r="D4696" i="3"/>
  <c r="D3623" i="3"/>
  <c r="D4695" i="3"/>
  <c r="D5744" i="3"/>
  <c r="D2499" i="3"/>
  <c r="D4694" i="3"/>
  <c r="D7735" i="3"/>
  <c r="D5489" i="3"/>
  <c r="D271" i="3"/>
  <c r="D2125" i="3"/>
  <c r="D4693" i="3"/>
  <c r="D2549" i="3"/>
  <c r="D1838" i="3"/>
  <c r="D1075" i="3"/>
  <c r="D8398" i="3"/>
  <c r="D4692" i="3"/>
  <c r="D3746" i="3"/>
  <c r="D1837" i="3"/>
  <c r="D6646" i="3"/>
  <c r="D3762" i="3"/>
  <c r="D5488" i="3"/>
  <c r="D2238" i="3"/>
  <c r="D3070" i="3"/>
  <c r="D7281" i="3"/>
  <c r="D4977" i="3"/>
  <c r="D1090" i="3"/>
  <c r="D2237" i="3"/>
  <c r="D4691" i="3"/>
  <c r="D6284" i="3"/>
  <c r="D1836" i="3"/>
  <c r="D2505" i="3"/>
  <c r="D7204" i="3"/>
  <c r="D2395" i="3"/>
  <c r="D8433" i="3"/>
  <c r="D3622" i="3"/>
  <c r="D6591" i="3"/>
  <c r="D1835" i="3"/>
  <c r="D3621" i="3"/>
  <c r="D4690" i="3"/>
  <c r="D7239" i="3"/>
  <c r="D1040" i="3"/>
  <c r="D564" i="3"/>
  <c r="D1834" i="3"/>
  <c r="D6102" i="3"/>
  <c r="D5027" i="3"/>
  <c r="D7041" i="3"/>
  <c r="D8249" i="3"/>
  <c r="D5723" i="3"/>
  <c r="D504" i="3"/>
  <c r="D189" i="3"/>
  <c r="D6410" i="3"/>
  <c r="D3345" i="3"/>
  <c r="D1833" i="3"/>
  <c r="D4689" i="3"/>
  <c r="D1039" i="3"/>
  <c r="D2420" i="3"/>
  <c r="D4688" i="3"/>
  <c r="D5487" i="3"/>
  <c r="D3906" i="3"/>
  <c r="D8397" i="3"/>
  <c r="D7203" i="3"/>
  <c r="D474" i="3"/>
  <c r="D1832" i="3"/>
  <c r="D347" i="3"/>
  <c r="D6188" i="3"/>
  <c r="D4687" i="3"/>
  <c r="D3869" i="3"/>
  <c r="D5722" i="3"/>
  <c r="D3905" i="3"/>
  <c r="D1831" i="3"/>
  <c r="D5646" i="3"/>
  <c r="D6308" i="3"/>
  <c r="D32" i="3"/>
  <c r="D1830" i="3"/>
  <c r="D881" i="3"/>
  <c r="D4686" i="3"/>
  <c r="D2236" i="3"/>
  <c r="D5486" i="3"/>
  <c r="D8490" i="3"/>
  <c r="D8518" i="3"/>
  <c r="D8489" i="3"/>
  <c r="D8823" i="3"/>
  <c r="D328" i="3"/>
  <c r="D1829" i="3"/>
  <c r="D3069" i="3"/>
  <c r="D1828" i="3"/>
  <c r="D7360" i="3"/>
  <c r="D3344" i="3"/>
  <c r="D3068" i="3"/>
  <c r="D6630" i="3"/>
  <c r="D2321" i="3"/>
  <c r="D4685" i="3"/>
  <c r="D4684" i="3"/>
  <c r="D2181" i="3"/>
  <c r="D305" i="3"/>
  <c r="D3904" i="3"/>
  <c r="D7393" i="3"/>
  <c r="D3191" i="3"/>
  <c r="D8396" i="3"/>
  <c r="D6291" i="3"/>
  <c r="D3218" i="3"/>
  <c r="D4683" i="3"/>
  <c r="D3190" i="3"/>
  <c r="D3067" i="3"/>
  <c r="D436" i="3"/>
  <c r="D242" i="3"/>
  <c r="D804" i="3"/>
  <c r="D1827" i="3"/>
  <c r="D3470" i="3"/>
  <c r="D1826" i="3"/>
  <c r="D8488" i="3"/>
  <c r="D2235" i="3"/>
  <c r="D6925" i="3"/>
  <c r="D851" i="3"/>
  <c r="D4682" i="3"/>
  <c r="D6031" i="3"/>
  <c r="D1112" i="3"/>
  <c r="D7357" i="3"/>
  <c r="D6924" i="3"/>
  <c r="D3343" i="3"/>
  <c r="D3936" i="3"/>
  <c r="D8603" i="3"/>
  <c r="D8438" i="3"/>
  <c r="D6290" i="3"/>
  <c r="D6030" i="3"/>
  <c r="D4681" i="3"/>
  <c r="D1825" i="3"/>
  <c r="D3469" i="3"/>
  <c r="D6663" i="3"/>
  <c r="D5651" i="3"/>
  <c r="D4680" i="3"/>
  <c r="D5485" i="3"/>
  <c r="D1824" i="3"/>
  <c r="D7959" i="3"/>
  <c r="D5484" i="3"/>
  <c r="D7664" i="3"/>
  <c r="D4679" i="3"/>
  <c r="D1823" i="3"/>
  <c r="D8251" i="3"/>
  <c r="D8822" i="3"/>
  <c r="D7202" i="3"/>
  <c r="D8976" i="3"/>
  <c r="D803" i="3"/>
  <c r="D3342" i="3"/>
  <c r="D4678" i="3"/>
  <c r="D4677" i="3"/>
  <c r="D7356" i="3"/>
  <c r="D4676" i="3"/>
  <c r="D6426" i="3"/>
  <c r="D4675" i="3"/>
  <c r="D6029" i="3"/>
  <c r="D1822" i="3"/>
  <c r="D4976" i="3"/>
  <c r="D1821" i="3"/>
  <c r="D8241" i="3"/>
  <c r="D6279" i="3"/>
  <c r="D1820" i="3"/>
  <c r="D2448" i="3"/>
  <c r="D2548" i="3"/>
  <c r="D4674" i="3"/>
  <c r="D2522" i="3"/>
  <c r="D2547" i="3"/>
  <c r="D3620" i="3"/>
  <c r="D4673" i="3"/>
  <c r="D4672" i="3"/>
  <c r="D1819" i="3"/>
  <c r="D3066" i="3"/>
  <c r="D3745" i="3"/>
  <c r="D3815" i="3"/>
  <c r="D6409" i="3"/>
  <c r="D8352" i="3"/>
  <c r="D8602" i="3"/>
  <c r="D4671" i="3"/>
  <c r="D4670" i="3"/>
  <c r="D6028" i="3"/>
  <c r="D2481" i="3"/>
  <c r="D5483" i="3"/>
  <c r="D1818" i="3"/>
  <c r="D563" i="3"/>
  <c r="D7640" i="3"/>
  <c r="D1817" i="3"/>
  <c r="D7958" i="3"/>
  <c r="D3619" i="3"/>
  <c r="D6643" i="3"/>
  <c r="D6603" i="3"/>
  <c r="D6804" i="3"/>
  <c r="D503" i="3"/>
  <c r="D153" i="3"/>
  <c r="D8975" i="3"/>
  <c r="D4669" i="3"/>
  <c r="D872" i="3"/>
  <c r="D1816" i="3"/>
  <c r="D8175" i="3"/>
  <c r="D4668" i="3"/>
  <c r="D5482" i="3"/>
  <c r="D1815" i="3"/>
  <c r="D7201" i="3"/>
  <c r="D3341" i="3"/>
  <c r="D8222" i="3"/>
  <c r="D1186" i="3"/>
  <c r="D2392" i="3"/>
  <c r="D7421" i="3"/>
  <c r="D1814" i="3"/>
  <c r="D6027" i="3"/>
  <c r="D3824" i="3"/>
  <c r="D1813" i="3"/>
  <c r="D8974" i="3"/>
  <c r="D6668" i="3"/>
  <c r="D6613" i="3"/>
  <c r="D1812" i="3"/>
  <c r="D4667" i="3"/>
  <c r="D6923" i="3"/>
  <c r="D2252" i="3"/>
  <c r="D3428" i="3"/>
  <c r="D3709" i="3"/>
  <c r="D7790" i="3"/>
  <c r="D1207" i="3"/>
  <c r="D4666" i="3"/>
  <c r="D8395" i="3"/>
  <c r="D3683" i="3"/>
  <c r="D6026" i="3"/>
  <c r="D1811" i="3"/>
  <c r="D6025" i="3"/>
  <c r="D4665" i="3"/>
  <c r="D6922" i="3"/>
  <c r="D1810" i="3"/>
  <c r="D8226" i="3"/>
  <c r="D3468" i="3"/>
  <c r="D4664" i="3"/>
  <c r="D6638" i="3"/>
  <c r="D3961" i="3"/>
  <c r="D8221" i="3"/>
  <c r="D3764" i="3"/>
  <c r="D1809" i="3"/>
  <c r="D1808" i="3"/>
  <c r="D1807" i="3"/>
  <c r="D6024" i="3"/>
  <c r="D4663" i="3"/>
  <c r="D3758" i="3"/>
  <c r="D6023" i="3"/>
  <c r="D2149" i="3"/>
  <c r="D1806" i="3"/>
  <c r="D3065" i="3"/>
  <c r="D6612" i="3"/>
  <c r="D3064" i="3"/>
  <c r="D3340" i="3"/>
  <c r="D6822" i="3"/>
  <c r="D4662" i="3"/>
  <c r="D1805" i="3"/>
  <c r="D2462" i="3"/>
  <c r="D6735" i="3"/>
  <c r="D6921" i="3"/>
  <c r="D2177" i="3"/>
  <c r="D2492" i="3"/>
  <c r="D1804" i="3"/>
  <c r="D5721" i="3"/>
  <c r="D3618" i="3"/>
  <c r="D8132" i="3"/>
  <c r="D6022" i="3"/>
  <c r="D598" i="3"/>
  <c r="D3339" i="3"/>
  <c r="D8005" i="3"/>
  <c r="D8099" i="3"/>
  <c r="D3063" i="3"/>
  <c r="D4661" i="3"/>
  <c r="D1038" i="3"/>
  <c r="D268" i="3"/>
  <c r="D1037" i="3"/>
  <c r="D5019" i="3"/>
  <c r="D8098" i="3"/>
  <c r="D1803" i="3"/>
  <c r="D4660" i="3"/>
  <c r="D3062" i="3"/>
  <c r="D6021" i="3"/>
  <c r="D6020" i="3"/>
  <c r="D5481" i="3"/>
  <c r="D4659" i="3"/>
  <c r="D5720" i="3"/>
  <c r="D4658" i="3"/>
  <c r="D1802" i="3"/>
  <c r="D4657" i="3"/>
  <c r="D298" i="3"/>
  <c r="D6019" i="3"/>
  <c r="D4656" i="3"/>
  <c r="D8905" i="3"/>
  <c r="D528" i="3"/>
  <c r="D3682" i="3"/>
  <c r="D1801" i="3"/>
  <c r="D8601" i="3"/>
  <c r="D1111" i="3"/>
  <c r="D4655" i="3"/>
  <c r="D4654" i="3"/>
  <c r="D668" i="3"/>
  <c r="D2306" i="3"/>
  <c r="D1800" i="3"/>
  <c r="D1799" i="3"/>
  <c r="D4653" i="3"/>
  <c r="D241" i="3"/>
  <c r="D1798" i="3"/>
  <c r="D3338" i="3"/>
  <c r="D6962" i="3"/>
  <c r="D7678" i="3"/>
  <c r="D3864" i="3"/>
  <c r="D743" i="3"/>
  <c r="D6920" i="3"/>
  <c r="D3061" i="3"/>
  <c r="D5656" i="3"/>
  <c r="D2320" i="3"/>
  <c r="D4652" i="3"/>
  <c r="D3060" i="3"/>
  <c r="D6018" i="3"/>
  <c r="D4651" i="3"/>
  <c r="D4650" i="3"/>
  <c r="D5632" i="3"/>
  <c r="D1797" i="3"/>
  <c r="D5018" i="3"/>
  <c r="D1796" i="3"/>
  <c r="D314" i="3"/>
  <c r="D7717" i="3"/>
  <c r="D1795" i="3"/>
  <c r="D4649" i="3"/>
  <c r="D3786" i="3"/>
  <c r="D3059" i="3"/>
  <c r="D960" i="3"/>
  <c r="D620" i="3"/>
  <c r="D1185" i="3"/>
  <c r="D2600" i="3"/>
  <c r="D962" i="3"/>
  <c r="D6590" i="3"/>
  <c r="D334" i="3"/>
  <c r="D1794" i="3"/>
  <c r="D359" i="3"/>
  <c r="D823" i="3"/>
  <c r="D3337" i="3"/>
  <c r="D8220" i="3"/>
  <c r="D3445" i="3"/>
  <c r="D1793" i="3"/>
  <c r="D2491" i="3"/>
  <c r="D3681" i="3"/>
  <c r="D6017" i="3"/>
  <c r="D3058" i="3"/>
  <c r="D802" i="3"/>
  <c r="D3057" i="3"/>
  <c r="D4648" i="3"/>
  <c r="D3873" i="3"/>
  <c r="D435" i="3"/>
  <c r="D6016" i="3"/>
  <c r="D6101" i="3"/>
  <c r="D346" i="3"/>
  <c r="D5638" i="3"/>
  <c r="D128" i="3"/>
  <c r="D4647" i="3"/>
  <c r="D1792" i="3"/>
  <c r="D2381" i="3"/>
  <c r="D3336" i="3"/>
  <c r="D4646" i="3"/>
  <c r="D3217" i="3"/>
  <c r="D6015" i="3"/>
  <c r="D3467" i="3"/>
  <c r="D2599" i="3"/>
  <c r="D126" i="3"/>
  <c r="D7420" i="3"/>
  <c r="D4645" i="3"/>
  <c r="D6014" i="3"/>
  <c r="D107" i="3"/>
  <c r="D2194" i="3"/>
  <c r="D5480" i="3"/>
  <c r="D2598" i="3"/>
  <c r="D3216" i="3"/>
  <c r="D60" i="3"/>
  <c r="D56" i="3"/>
  <c r="D7619" i="3"/>
  <c r="D3335" i="3"/>
  <c r="D1791" i="3"/>
  <c r="D1790" i="3"/>
  <c r="D7663" i="3"/>
  <c r="D6919" i="3"/>
  <c r="D4644" i="3"/>
  <c r="D1789" i="3"/>
  <c r="D6408" i="3"/>
  <c r="D3466" i="3"/>
  <c r="D562" i="3"/>
  <c r="D131" i="3"/>
  <c r="D3056" i="3"/>
  <c r="D4643" i="3"/>
  <c r="D6013" i="3"/>
  <c r="D4642" i="3"/>
  <c r="D7734" i="3"/>
  <c r="D2390" i="3"/>
  <c r="D1788" i="3"/>
  <c r="D4641" i="3"/>
  <c r="D667" i="3"/>
  <c r="D7522" i="3"/>
  <c r="D281" i="3"/>
  <c r="D1787" i="3"/>
  <c r="D4640" i="3"/>
  <c r="D7416" i="3"/>
  <c r="D1786" i="3"/>
  <c r="D5026" i="3"/>
  <c r="D1785" i="3"/>
  <c r="D5479" i="3"/>
  <c r="D163" i="3"/>
  <c r="D157" i="3"/>
  <c r="D2512" i="3"/>
  <c r="D1784" i="3"/>
  <c r="D1783" i="3"/>
  <c r="D2520" i="3"/>
  <c r="D3451" i="3"/>
  <c r="D910" i="3"/>
  <c r="D8394" i="3"/>
  <c r="D4639" i="3"/>
  <c r="D1782" i="3"/>
  <c r="D6918" i="3"/>
  <c r="D3334" i="3"/>
  <c r="D8219" i="3"/>
  <c r="D1781" i="3"/>
  <c r="D1780" i="3"/>
  <c r="D4638" i="3"/>
  <c r="D4637" i="3"/>
  <c r="D1779" i="3"/>
  <c r="D6012" i="3"/>
  <c r="D1778" i="3"/>
  <c r="D4636" i="3"/>
  <c r="D2281" i="3"/>
  <c r="D4635" i="3"/>
  <c r="D3617" i="3"/>
  <c r="D6011" i="3"/>
  <c r="D4634" i="3"/>
  <c r="D2519" i="3"/>
  <c r="D55" i="3"/>
  <c r="D7618" i="3"/>
  <c r="D322" i="3"/>
  <c r="D1210" i="3"/>
  <c r="D7843" i="3"/>
  <c r="D124" i="3"/>
  <c r="D5478" i="3"/>
  <c r="D7200" i="3"/>
  <c r="D8186" i="3"/>
  <c r="D5477" i="3"/>
  <c r="D4633" i="3"/>
  <c r="D7199" i="3"/>
  <c r="D6821" i="3"/>
  <c r="D3680" i="3"/>
  <c r="D6269" i="3"/>
  <c r="D4632" i="3"/>
  <c r="D8351" i="3"/>
  <c r="D7198" i="3"/>
  <c r="D5476" i="3"/>
  <c r="D3616" i="3"/>
  <c r="D4631" i="3"/>
  <c r="D8097" i="3"/>
  <c r="D527" i="3"/>
  <c r="D3537" i="3"/>
  <c r="D5669" i="3"/>
  <c r="D3333" i="3"/>
  <c r="D1777" i="3"/>
  <c r="D8437" i="3"/>
  <c r="D3615" i="3"/>
  <c r="D4630" i="3"/>
  <c r="D1776" i="3"/>
  <c r="D5704" i="3"/>
  <c r="D2176" i="3"/>
  <c r="D8522" i="3"/>
  <c r="D8895" i="3"/>
  <c r="D8393" i="3"/>
  <c r="D1184" i="3"/>
  <c r="D8410" i="3"/>
  <c r="D3055" i="3"/>
  <c r="D1775" i="3"/>
  <c r="D6917" i="3"/>
  <c r="D4629" i="3"/>
  <c r="D4628" i="3"/>
  <c r="D1774" i="3"/>
  <c r="D3531" i="3"/>
  <c r="D742" i="3"/>
  <c r="D4627" i="3"/>
  <c r="D5475" i="3"/>
  <c r="D7637" i="3"/>
  <c r="D666" i="3"/>
  <c r="D1206" i="3"/>
  <c r="D4626" i="3"/>
  <c r="D4625" i="3"/>
  <c r="D8432" i="3"/>
  <c r="D4624" i="3"/>
  <c r="D6916" i="3"/>
  <c r="D4623" i="3"/>
  <c r="D3636" i="3"/>
  <c r="D6605" i="3"/>
  <c r="D3614" i="3"/>
  <c r="D6464" i="3"/>
  <c r="D4622" i="3"/>
  <c r="D741" i="3"/>
  <c r="D2391" i="3"/>
  <c r="D3960" i="3"/>
  <c r="D127" i="3"/>
  <c r="D6734" i="3"/>
  <c r="D270" i="3"/>
  <c r="D6307" i="3"/>
  <c r="D4621" i="3"/>
  <c r="D3054" i="3"/>
  <c r="D7688" i="3"/>
  <c r="D3744" i="3"/>
  <c r="D4620" i="3"/>
  <c r="D1074" i="3"/>
  <c r="D3613" i="3"/>
  <c r="D5474" i="3"/>
  <c r="D3612" i="3"/>
  <c r="D3465" i="3"/>
  <c r="D4619" i="3"/>
  <c r="D2380" i="3"/>
  <c r="D7197" i="3"/>
  <c r="D5703" i="3"/>
  <c r="D3903" i="3"/>
  <c r="D7196" i="3"/>
  <c r="D6915" i="3"/>
  <c r="D952" i="3"/>
  <c r="D2198" i="3"/>
  <c r="D5473" i="3"/>
  <c r="D1773" i="3"/>
  <c r="D7957" i="3"/>
  <c r="D3332" i="3"/>
  <c r="D2147" i="3"/>
  <c r="D829" i="3"/>
  <c r="D5472" i="3"/>
  <c r="D3651" i="3"/>
  <c r="D5719" i="3"/>
  <c r="D3053" i="3"/>
  <c r="D5471" i="3"/>
  <c r="D3427" i="3"/>
  <c r="D1772" i="3"/>
  <c r="D6914" i="3"/>
  <c r="D561" i="3"/>
  <c r="D4618" i="3"/>
  <c r="D3052" i="3"/>
  <c r="D7868" i="3"/>
  <c r="D7355" i="3"/>
  <c r="D1771" i="3"/>
  <c r="D6820" i="3"/>
  <c r="D1770" i="3"/>
  <c r="D6913" i="3"/>
  <c r="D5470" i="3"/>
  <c r="D7702" i="3"/>
  <c r="D5469" i="3"/>
  <c r="D3051" i="3"/>
  <c r="D4617" i="3"/>
  <c r="D3860" i="3"/>
  <c r="D801" i="3"/>
  <c r="D740" i="3"/>
  <c r="D4616" i="3"/>
  <c r="D6278" i="3"/>
  <c r="D5468" i="3"/>
  <c r="D2521" i="3"/>
  <c r="D137" i="3"/>
  <c r="D3876" i="3"/>
  <c r="D5467" i="3"/>
  <c r="D3050" i="3"/>
  <c r="D6912" i="3"/>
  <c r="D3049" i="3"/>
  <c r="D1769" i="3"/>
  <c r="D5466" i="3"/>
  <c r="D4615" i="3"/>
  <c r="D5465" i="3"/>
  <c r="D8531" i="3"/>
  <c r="D379" i="3"/>
  <c r="D3940" i="3"/>
  <c r="D6010" i="3"/>
  <c r="D1768" i="3"/>
  <c r="D6911" i="3"/>
  <c r="D3048" i="3"/>
  <c r="D95" i="3"/>
  <c r="D7701" i="3"/>
  <c r="D2565" i="3"/>
  <c r="D6910" i="3"/>
  <c r="D1767" i="3"/>
  <c r="D5464" i="3"/>
  <c r="D3047" i="3"/>
  <c r="D5463" i="3"/>
  <c r="D6909" i="3"/>
  <c r="D6463" i="3"/>
  <c r="D8973" i="3"/>
  <c r="D623" i="3"/>
  <c r="D8392" i="3"/>
  <c r="D2597" i="3"/>
  <c r="D8131" i="3"/>
  <c r="D7899" i="3"/>
  <c r="D3650" i="3"/>
  <c r="D6637" i="3"/>
  <c r="D4614" i="3"/>
  <c r="D4613" i="3"/>
  <c r="D4612" i="3"/>
  <c r="D5462" i="3"/>
  <c r="D7339" i="3"/>
  <c r="D115" i="3"/>
  <c r="D4611" i="3"/>
  <c r="D2530" i="3"/>
  <c r="D26" i="3"/>
  <c r="D3331" i="3"/>
  <c r="D1155" i="3"/>
  <c r="D7285" i="3"/>
  <c r="D7624" i="3"/>
  <c r="D2148" i="3"/>
  <c r="D4610" i="3"/>
  <c r="D1766" i="3"/>
  <c r="D2159" i="3"/>
  <c r="D5461" i="3"/>
  <c r="D8109" i="3"/>
  <c r="D8350" i="3"/>
  <c r="D5643" i="3"/>
  <c r="D164" i="3"/>
  <c r="D4609" i="3"/>
  <c r="D5460" i="3"/>
  <c r="D6150" i="3"/>
  <c r="D3802" i="3"/>
  <c r="D4608" i="3"/>
  <c r="D4607" i="3"/>
  <c r="D3841" i="3"/>
  <c r="D4606" i="3"/>
  <c r="D3046" i="3"/>
  <c r="D8515" i="3"/>
  <c r="D8600" i="3"/>
  <c r="D560" i="3"/>
  <c r="D1765" i="3"/>
  <c r="D4605" i="3"/>
  <c r="D3959" i="3"/>
  <c r="D5702" i="3"/>
  <c r="D3045" i="3"/>
  <c r="D3044" i="3"/>
  <c r="D7266" i="3"/>
  <c r="D3043" i="3"/>
  <c r="D4604" i="3"/>
  <c r="D3330" i="3"/>
  <c r="D8821" i="3"/>
  <c r="D8165" i="3"/>
  <c r="D5459" i="3"/>
  <c r="D3329" i="3"/>
  <c r="D5458" i="3"/>
  <c r="D4603" i="3"/>
  <c r="D7893" i="3"/>
  <c r="D4602" i="3"/>
  <c r="D5657" i="3"/>
  <c r="D5457" i="3"/>
  <c r="D6009" i="3"/>
  <c r="D3530" i="3"/>
  <c r="D7711" i="3"/>
  <c r="D7195" i="3"/>
  <c r="D4601" i="3"/>
  <c r="D134" i="3"/>
  <c r="D4600" i="3"/>
  <c r="D3042" i="3"/>
  <c r="D502" i="3"/>
  <c r="D6651" i="3"/>
  <c r="D1764" i="3"/>
  <c r="D240" i="3"/>
  <c r="D8457" i="3"/>
  <c r="D501" i="3"/>
  <c r="D3637" i="3"/>
  <c r="D5456" i="3"/>
  <c r="D6609" i="3"/>
  <c r="D863" i="3"/>
  <c r="D8409" i="3"/>
  <c r="D8894" i="3"/>
  <c r="D984" i="3"/>
  <c r="D8487" i="3"/>
  <c r="D739" i="3"/>
  <c r="D1763" i="3"/>
  <c r="D8521" i="3"/>
  <c r="D6462" i="3"/>
  <c r="D3041" i="3"/>
  <c r="D4599" i="3"/>
  <c r="D31" i="3"/>
  <c r="D800" i="3"/>
  <c r="D3679" i="3"/>
  <c r="D3040" i="3"/>
  <c r="D902" i="3"/>
  <c r="D7521" i="3"/>
  <c r="D2654" i="3"/>
  <c r="D1762" i="3"/>
  <c r="D3871" i="3"/>
  <c r="D1761" i="3"/>
  <c r="D8002" i="3"/>
  <c r="D3464" i="3"/>
  <c r="D4598" i="3"/>
  <c r="D4597" i="3"/>
  <c r="D1760" i="3"/>
  <c r="D8525" i="3"/>
  <c r="D1759" i="3"/>
  <c r="D1758" i="3"/>
  <c r="D2480" i="3"/>
  <c r="D4596" i="3"/>
  <c r="D7338" i="3"/>
  <c r="D7520" i="3"/>
  <c r="D898" i="3"/>
  <c r="D3743" i="3"/>
  <c r="D5455" i="3"/>
  <c r="D8391" i="3"/>
  <c r="D559" i="3"/>
  <c r="D2649" i="3"/>
  <c r="D893" i="3"/>
  <c r="D167" i="3"/>
  <c r="D7710" i="3"/>
  <c r="D3649" i="3"/>
  <c r="D3039" i="3"/>
  <c r="D951" i="3"/>
  <c r="D917" i="3"/>
  <c r="D3785" i="3"/>
  <c r="D434" i="3"/>
  <c r="D8238" i="3"/>
  <c r="D3678" i="3"/>
  <c r="D4595" i="3"/>
  <c r="D365" i="3"/>
  <c r="D6908" i="3"/>
  <c r="D1757" i="3"/>
  <c r="D3038" i="3"/>
  <c r="D4594" i="3"/>
  <c r="D118" i="3"/>
  <c r="D4593" i="3"/>
  <c r="D1756" i="3"/>
  <c r="D6008" i="3"/>
  <c r="D5673" i="3"/>
  <c r="D1183" i="3"/>
  <c r="D4592" i="3"/>
  <c r="D1755" i="3"/>
  <c r="D3037" i="3"/>
  <c r="D1754" i="3"/>
  <c r="D1753" i="3"/>
  <c r="D1152" i="3"/>
  <c r="D374" i="3"/>
  <c r="D433" i="3"/>
  <c r="D4591" i="3"/>
  <c r="D1752" i="3"/>
  <c r="D7956" i="3"/>
  <c r="D6733" i="3"/>
  <c r="D5684" i="3"/>
  <c r="D1751" i="3"/>
  <c r="D1205" i="3"/>
  <c r="D6981" i="3"/>
  <c r="D974" i="3"/>
  <c r="D1750" i="3"/>
  <c r="D5454" i="3"/>
  <c r="D665" i="3"/>
  <c r="D6573" i="3"/>
  <c r="D4" i="3"/>
  <c r="D3036" i="3"/>
  <c r="D8349" i="3"/>
  <c r="D983" i="3"/>
  <c r="D4992" i="3"/>
  <c r="D6407" i="3"/>
  <c r="D3922" i="3"/>
  <c r="D3328" i="3"/>
  <c r="D2546" i="3"/>
  <c r="D2545" i="3"/>
  <c r="D4590" i="3"/>
  <c r="D3035" i="3"/>
  <c r="D6237" i="3"/>
  <c r="D1144" i="3"/>
  <c r="D432" i="3"/>
  <c r="D3902" i="3"/>
  <c r="D100" i="3"/>
  <c r="D500" i="3"/>
  <c r="D72" i="3"/>
  <c r="D3463" i="3"/>
  <c r="D5453" i="3"/>
  <c r="D125" i="3"/>
  <c r="D47" i="3"/>
  <c r="D5675" i="3"/>
  <c r="D3804" i="3"/>
  <c r="D2393" i="3"/>
  <c r="D3034" i="3"/>
  <c r="D263" i="3"/>
  <c r="D18" i="3"/>
  <c r="D1209" i="3"/>
  <c r="D7623" i="3"/>
  <c r="D7194" i="3"/>
  <c r="D3189" i="3"/>
  <c r="D3462" i="3"/>
  <c r="D1110" i="3"/>
  <c r="D5452" i="3"/>
  <c r="D8820" i="3"/>
  <c r="D101" i="3"/>
  <c r="D1749" i="3"/>
  <c r="D23" i="3"/>
  <c r="D5672" i="3"/>
  <c r="D5451" i="3"/>
  <c r="D345" i="3"/>
  <c r="D1153" i="3"/>
  <c r="D5760" i="3"/>
  <c r="D8528" i="3"/>
  <c r="D132" i="3"/>
  <c r="D5450" i="3"/>
  <c r="D1036" i="3"/>
  <c r="D3742" i="3"/>
  <c r="D1199" i="3"/>
  <c r="D3033" i="3"/>
  <c r="D6277" i="3"/>
  <c r="D8108" i="3"/>
  <c r="D7700" i="3"/>
  <c r="D3642" i="3"/>
  <c r="D3901" i="3"/>
  <c r="D7707" i="3"/>
  <c r="D4991" i="3"/>
  <c r="D7686" i="3"/>
  <c r="D6200" i="3"/>
  <c r="D4589" i="3"/>
  <c r="D526" i="3"/>
  <c r="D173" i="3"/>
  <c r="D8218" i="3"/>
  <c r="D2436" i="3"/>
  <c r="D1748" i="3"/>
  <c r="D1747" i="3"/>
  <c r="D2556" i="3"/>
  <c r="D3032" i="3"/>
  <c r="D8183" i="3"/>
  <c r="D3834" i="3"/>
  <c r="D8599" i="3"/>
  <c r="D20" i="3"/>
  <c r="D4588" i="3"/>
  <c r="D7716" i="3"/>
  <c r="D37" i="3"/>
  <c r="D2435" i="3"/>
  <c r="D1746" i="3"/>
  <c r="D7713" i="3"/>
  <c r="D117" i="3"/>
  <c r="D188" i="3"/>
  <c r="D3031" i="3"/>
  <c r="D631" i="3"/>
  <c r="D7193" i="3"/>
  <c r="D5449" i="3"/>
  <c r="D109" i="3"/>
  <c r="D5448" i="3"/>
  <c r="D4587" i="3"/>
  <c r="D8001" i="3"/>
  <c r="D3951" i="3"/>
  <c r="D4586" i="3"/>
  <c r="D2305" i="3"/>
  <c r="D3030" i="3"/>
  <c r="D5447" i="3"/>
  <c r="D6259" i="3"/>
  <c r="D5446" i="3"/>
  <c r="D6213" i="3"/>
  <c r="D8506" i="3"/>
  <c r="D892" i="3"/>
  <c r="D3029" i="3"/>
  <c r="D6758" i="3"/>
  <c r="D329" i="3"/>
  <c r="D5445" i="3"/>
  <c r="D499" i="3"/>
  <c r="D3327" i="3"/>
  <c r="D6907" i="3"/>
  <c r="D1745" i="3"/>
  <c r="D8390" i="3"/>
  <c r="D166" i="3"/>
  <c r="D3028" i="3"/>
  <c r="D4585" i="3"/>
  <c r="D7265" i="3"/>
  <c r="D5444" i="3"/>
  <c r="D5443" i="3"/>
  <c r="D2164" i="3"/>
  <c r="D8896" i="3"/>
  <c r="D4584" i="3"/>
  <c r="D142" i="3"/>
  <c r="D5442" i="3"/>
  <c r="D7192" i="3"/>
  <c r="D3326" i="3"/>
  <c r="D6007" i="3"/>
  <c r="D8819" i="3"/>
  <c r="D1182" i="3"/>
  <c r="D8519" i="3"/>
  <c r="D45" i="3"/>
  <c r="D8818" i="3"/>
  <c r="D7879" i="3"/>
  <c r="D799" i="3"/>
  <c r="D7630" i="3"/>
  <c r="D473" i="3"/>
  <c r="D6006" i="3"/>
  <c r="D990" i="3"/>
  <c r="D982" i="3"/>
  <c r="D1744" i="3"/>
  <c r="D5737" i="3"/>
  <c r="D5441" i="3"/>
  <c r="D1743" i="3"/>
  <c r="D4583" i="3"/>
  <c r="D3741" i="3"/>
  <c r="D2432" i="3"/>
  <c r="D3740" i="3"/>
  <c r="D3900" i="3"/>
  <c r="D8817" i="3"/>
  <c r="D5440" i="3"/>
  <c r="D3027" i="3"/>
  <c r="D6005" i="3"/>
  <c r="D71" i="3"/>
  <c r="D82" i="3"/>
  <c r="D3383" i="3"/>
  <c r="D8184" i="3"/>
  <c r="D7191" i="3"/>
  <c r="D5439" i="3"/>
  <c r="D96" i="3"/>
  <c r="D4582" i="3"/>
  <c r="D5438" i="3"/>
  <c r="D5437" i="3"/>
  <c r="D4581" i="3"/>
  <c r="D498" i="3"/>
  <c r="D3859" i="3"/>
  <c r="D798" i="3"/>
  <c r="D5436" i="3"/>
  <c r="D3708" i="3"/>
  <c r="D7597" i="3"/>
  <c r="D7519" i="3"/>
  <c r="D1742" i="3"/>
  <c r="D223" i="3"/>
  <c r="D5435" i="3"/>
  <c r="D2291" i="3"/>
  <c r="D6732" i="3"/>
  <c r="D3325" i="3"/>
  <c r="D5434" i="3"/>
  <c r="D7596" i="3"/>
  <c r="D1741" i="3"/>
  <c r="D1740" i="3"/>
  <c r="D6731" i="3"/>
  <c r="D7040" i="3"/>
  <c r="D4580" i="3"/>
  <c r="D6730" i="3"/>
  <c r="D4579" i="3"/>
  <c r="D8598" i="3"/>
  <c r="D7039" i="3"/>
  <c r="D3324" i="3"/>
  <c r="D1739" i="3"/>
  <c r="D2304" i="3"/>
  <c r="D6004" i="3"/>
  <c r="D6003" i="3"/>
  <c r="D8816" i="3"/>
  <c r="D6906" i="3"/>
  <c r="D7595" i="3"/>
  <c r="D6729" i="3"/>
  <c r="D8972" i="3"/>
  <c r="D6905" i="3"/>
  <c r="D1035" i="3"/>
  <c r="D8014" i="3"/>
  <c r="D6728" i="3"/>
  <c r="D4578" i="3"/>
  <c r="D6002" i="3"/>
  <c r="D3858" i="3"/>
  <c r="D797" i="3"/>
  <c r="D1738" i="3"/>
  <c r="D6001" i="3"/>
  <c r="D1737" i="3"/>
  <c r="D8815" i="3"/>
  <c r="D1736" i="3"/>
  <c r="D8971" i="3"/>
  <c r="D8970" i="3"/>
  <c r="D7789" i="3"/>
  <c r="D4577" i="3"/>
  <c r="D6131" i="3"/>
  <c r="D3556" i="3"/>
  <c r="D1735" i="3"/>
  <c r="D6000" i="3"/>
  <c r="D8597" i="3"/>
  <c r="D5433" i="3"/>
  <c r="D8814" i="3"/>
  <c r="D4576" i="3"/>
  <c r="D431" i="3"/>
  <c r="D5999" i="3"/>
  <c r="D3520" i="3"/>
  <c r="D7788" i="3"/>
  <c r="D6904" i="3"/>
  <c r="D7787" i="3"/>
  <c r="D3937" i="3"/>
  <c r="D3323" i="3"/>
  <c r="D4575" i="3"/>
  <c r="D1734" i="3"/>
  <c r="D3707" i="3"/>
  <c r="D6548" i="3"/>
  <c r="D7190" i="3"/>
  <c r="D7038" i="3"/>
  <c r="D5998" i="3"/>
  <c r="D5432" i="3"/>
  <c r="D5997" i="3"/>
  <c r="D5431" i="3"/>
  <c r="D4574" i="3"/>
  <c r="D4573" i="3"/>
  <c r="D4572" i="3"/>
  <c r="D4571" i="3"/>
  <c r="D4570" i="3"/>
  <c r="D7786" i="3"/>
  <c r="D7785" i="3"/>
  <c r="D1733" i="3"/>
  <c r="D4569" i="3"/>
  <c r="D8813" i="3"/>
  <c r="D8812" i="3"/>
  <c r="D5430" i="3"/>
  <c r="D5429" i="3"/>
  <c r="D8130" i="3"/>
  <c r="D4568" i="3"/>
  <c r="D3883" i="3"/>
  <c r="D3026" i="3"/>
  <c r="D3322" i="3"/>
  <c r="D1071" i="3"/>
  <c r="D1732" i="3"/>
  <c r="D909" i="3"/>
  <c r="D7784" i="3"/>
  <c r="D4567" i="3"/>
  <c r="D2163" i="3"/>
  <c r="D6589" i="3"/>
  <c r="D1109" i="3"/>
  <c r="D7783" i="3"/>
  <c r="D6149" i="3"/>
  <c r="D4566" i="3"/>
  <c r="D4565" i="3"/>
  <c r="D5017" i="3"/>
  <c r="D5996" i="3"/>
  <c r="D4564" i="3"/>
  <c r="D1731" i="3"/>
  <c r="D430" i="3"/>
  <c r="D6903" i="3"/>
  <c r="D3739" i="3"/>
  <c r="D8969" i="3"/>
  <c r="D5428" i="3"/>
  <c r="D6187" i="3"/>
  <c r="D7264" i="3"/>
  <c r="D4563" i="3"/>
  <c r="D490" i="3"/>
  <c r="D1034" i="3"/>
  <c r="D4562" i="3"/>
  <c r="D4561" i="3"/>
  <c r="D7189" i="3"/>
  <c r="D4560" i="3"/>
  <c r="D1730" i="3"/>
  <c r="D7955" i="3"/>
  <c r="D7188" i="3"/>
  <c r="D3882" i="3"/>
  <c r="D4559" i="3"/>
  <c r="D5995" i="3"/>
  <c r="D7037" i="3"/>
  <c r="D429" i="3"/>
  <c r="D4558" i="3"/>
  <c r="D4557" i="3"/>
  <c r="D3321" i="3"/>
  <c r="D5427" i="3"/>
  <c r="D4556" i="3"/>
  <c r="D6727" i="3"/>
  <c r="D6902" i="3"/>
  <c r="D5426" i="3"/>
  <c r="D1033" i="3"/>
  <c r="D7518" i="3"/>
  <c r="D1729" i="3"/>
  <c r="D5425" i="3"/>
  <c r="D8811" i="3"/>
  <c r="D891" i="3"/>
  <c r="D4555" i="3"/>
  <c r="D3025" i="3"/>
  <c r="D1728" i="3"/>
  <c r="D428" i="3"/>
  <c r="D8171" i="3"/>
  <c r="D6173" i="3"/>
  <c r="D7409" i="3"/>
  <c r="D4554" i="3"/>
  <c r="D4553" i="3"/>
  <c r="D6588" i="3"/>
  <c r="D738" i="3"/>
  <c r="D4552" i="3"/>
  <c r="D2640" i="3"/>
  <c r="D427" i="3"/>
  <c r="D8348" i="3"/>
  <c r="D4551" i="3"/>
  <c r="D5424" i="3"/>
  <c r="D597" i="3"/>
  <c r="D8347" i="3"/>
  <c r="D1727" i="3"/>
  <c r="D1108" i="3"/>
  <c r="D1726" i="3"/>
  <c r="D4550" i="3"/>
  <c r="D1725" i="3"/>
  <c r="D4549" i="3"/>
  <c r="D1032" i="3"/>
  <c r="D1724" i="3"/>
  <c r="D1723" i="3"/>
  <c r="D1722" i="3"/>
  <c r="D8596" i="3"/>
  <c r="D4548" i="3"/>
  <c r="D1721" i="3"/>
  <c r="D7954" i="3"/>
  <c r="D6461" i="3"/>
  <c r="D3024" i="3"/>
  <c r="D737" i="3"/>
  <c r="D7782" i="3"/>
  <c r="D4547" i="3"/>
  <c r="D7036" i="3"/>
  <c r="D4546" i="3"/>
  <c r="D7517" i="3"/>
  <c r="D426" i="3"/>
  <c r="D4545" i="3"/>
  <c r="D1720" i="3"/>
  <c r="D4544" i="3"/>
  <c r="D1719" i="3"/>
  <c r="D7187" i="3"/>
  <c r="D489" i="3"/>
  <c r="D1718" i="3"/>
  <c r="D8346" i="3"/>
  <c r="D8810" i="3"/>
  <c r="D1717" i="3"/>
  <c r="D3899" i="3"/>
  <c r="D3023" i="3"/>
  <c r="D6642" i="3"/>
  <c r="D7516" i="3"/>
  <c r="D5994" i="3"/>
  <c r="D8595" i="3"/>
  <c r="D7186" i="3"/>
  <c r="D6726" i="3"/>
  <c r="D736" i="3"/>
  <c r="D8594" i="3"/>
  <c r="D7781" i="3"/>
  <c r="D6901" i="3"/>
  <c r="D1716" i="3"/>
  <c r="D8809" i="3"/>
  <c r="D8968" i="3"/>
  <c r="D4543" i="3"/>
  <c r="D4542" i="3"/>
  <c r="D1031" i="3"/>
  <c r="D1715" i="3"/>
  <c r="D7953" i="3"/>
  <c r="D1714" i="3"/>
  <c r="D1713" i="3"/>
  <c r="D5423" i="3"/>
  <c r="D3677" i="3"/>
  <c r="D8808" i="3"/>
  <c r="D8807" i="3"/>
  <c r="D1712" i="3"/>
  <c r="D5422" i="3"/>
  <c r="D4541" i="3"/>
  <c r="D1711" i="3"/>
  <c r="D7952" i="3"/>
  <c r="D8967" i="3"/>
  <c r="D4540" i="3"/>
  <c r="D735" i="3"/>
  <c r="D734" i="3"/>
  <c r="D3022" i="3"/>
  <c r="D8593" i="3"/>
  <c r="D7185" i="3"/>
  <c r="D1710" i="3"/>
  <c r="D733" i="3"/>
  <c r="D8966" i="3"/>
  <c r="D344" i="3"/>
  <c r="D6819" i="3"/>
  <c r="D5421" i="3"/>
  <c r="D1709" i="3"/>
  <c r="D7951" i="3"/>
  <c r="D4539" i="3"/>
  <c r="D425" i="3"/>
  <c r="D4538" i="3"/>
  <c r="D8592" i="3"/>
  <c r="D1708" i="3"/>
  <c r="D732" i="3"/>
  <c r="D7780" i="3"/>
  <c r="D3021" i="3"/>
  <c r="D7515" i="3"/>
  <c r="D3188" i="3"/>
  <c r="D5420" i="3"/>
  <c r="D5679" i="3"/>
  <c r="D4537" i="3"/>
  <c r="D4536" i="3"/>
  <c r="D4535" i="3"/>
  <c r="D1707" i="3"/>
  <c r="D664" i="3"/>
  <c r="D1706" i="3"/>
  <c r="D7950" i="3"/>
  <c r="D4534" i="3"/>
  <c r="D4533" i="3"/>
  <c r="D6900" i="3"/>
  <c r="D7337" i="3"/>
  <c r="D488" i="3"/>
  <c r="D3020" i="3"/>
  <c r="D4532" i="3"/>
  <c r="D7514" i="3"/>
  <c r="D1705" i="3"/>
  <c r="D7949" i="3"/>
  <c r="D6899" i="3"/>
  <c r="D1704" i="3"/>
  <c r="D1703" i="3"/>
  <c r="D4531" i="3"/>
  <c r="D3019" i="3"/>
  <c r="D7513" i="3"/>
  <c r="D7512" i="3"/>
  <c r="D4530" i="3"/>
  <c r="D1702" i="3"/>
  <c r="D4529" i="3"/>
  <c r="D5419" i="3"/>
  <c r="D8806" i="3"/>
  <c r="D7511" i="3"/>
  <c r="D5993" i="3"/>
  <c r="D3635" i="3"/>
  <c r="D3204" i="3"/>
  <c r="D731" i="3"/>
  <c r="D487" i="3"/>
  <c r="D1701" i="3"/>
  <c r="D325" i="3"/>
  <c r="D1700" i="3"/>
  <c r="D1699" i="3"/>
  <c r="D7184" i="3"/>
  <c r="D8170" i="3"/>
  <c r="D4528" i="3"/>
  <c r="D6818" i="3"/>
  <c r="D933" i="3"/>
  <c r="D8805" i="3"/>
  <c r="D730" i="3"/>
  <c r="D663" i="3"/>
  <c r="D1698" i="3"/>
  <c r="D3611" i="3"/>
  <c r="D4527" i="3"/>
  <c r="D1697" i="3"/>
  <c r="D4526" i="3"/>
  <c r="D1696" i="3"/>
  <c r="D4525" i="3"/>
  <c r="D2208" i="3"/>
  <c r="D3945" i="3"/>
  <c r="D5418" i="3"/>
  <c r="D3018" i="3"/>
  <c r="D4524" i="3"/>
  <c r="D2458" i="3"/>
  <c r="D1695" i="3"/>
  <c r="D5417" i="3"/>
  <c r="D5416" i="3"/>
  <c r="D2636" i="3"/>
  <c r="D424" i="3"/>
  <c r="D5415" i="3"/>
  <c r="D729" i="3"/>
  <c r="D6597" i="3"/>
  <c r="D4523" i="3"/>
  <c r="D3320" i="3"/>
  <c r="D423" i="3"/>
  <c r="D3017" i="3"/>
  <c r="D4522" i="3"/>
  <c r="D5414" i="3"/>
  <c r="D6172" i="3"/>
  <c r="D7408" i="3"/>
  <c r="D1694" i="3"/>
  <c r="D4521" i="3"/>
  <c r="D1693" i="3"/>
  <c r="D8389" i="3"/>
  <c r="D8486" i="3"/>
  <c r="D8804" i="3"/>
  <c r="D728" i="3"/>
  <c r="D3203" i="3"/>
  <c r="D8456" i="3"/>
  <c r="D4520" i="3"/>
  <c r="D8803" i="3"/>
  <c r="D4519" i="3"/>
  <c r="D4518" i="3"/>
  <c r="D5413" i="3"/>
  <c r="D1692" i="3"/>
  <c r="D7948" i="3"/>
  <c r="D7510" i="3"/>
  <c r="D8018" i="3"/>
  <c r="D5412" i="3"/>
  <c r="D525" i="3"/>
  <c r="D8965" i="3"/>
  <c r="D878" i="3"/>
  <c r="D5411" i="3"/>
  <c r="D5410" i="3"/>
  <c r="D5409" i="3"/>
  <c r="D6547" i="3"/>
  <c r="D3319" i="3"/>
  <c r="D6406" i="3"/>
  <c r="D5408" i="3"/>
  <c r="D4517" i="3"/>
  <c r="D497" i="3"/>
  <c r="D1030" i="3"/>
  <c r="D4516" i="3"/>
  <c r="D4515" i="3"/>
  <c r="D6725" i="3"/>
  <c r="D5992" i="3"/>
  <c r="D3380" i="3"/>
  <c r="D1691" i="3"/>
  <c r="D3318" i="3"/>
  <c r="D3898" i="3"/>
  <c r="D7857" i="3"/>
  <c r="D524" i="3"/>
  <c r="D4514" i="3"/>
  <c r="D6898" i="3"/>
  <c r="D7509" i="3"/>
  <c r="D496" i="3"/>
  <c r="D7779" i="3"/>
  <c r="D3738" i="3"/>
  <c r="D4513" i="3"/>
  <c r="D7892" i="3"/>
  <c r="D727" i="3"/>
  <c r="D7508" i="3"/>
  <c r="D1690" i="3"/>
  <c r="D3676" i="3"/>
  <c r="D796" i="3"/>
  <c r="D4512" i="3"/>
  <c r="D7842" i="3"/>
  <c r="D6794" i="3"/>
  <c r="D8802" i="3"/>
  <c r="D7183" i="3"/>
  <c r="D7778" i="3"/>
  <c r="D1689" i="3"/>
  <c r="D5407" i="3"/>
  <c r="D5991" i="3"/>
  <c r="D5990" i="3"/>
  <c r="D5406" i="3"/>
  <c r="D5405" i="3"/>
  <c r="D6171" i="3"/>
  <c r="D7407" i="3"/>
  <c r="D6113" i="3"/>
  <c r="D4511" i="3"/>
  <c r="D5404" i="3"/>
  <c r="D8801" i="3"/>
  <c r="D1688" i="3"/>
  <c r="D2222" i="3"/>
  <c r="D7406" i="3"/>
  <c r="D1687" i="3"/>
  <c r="D7947" i="3"/>
  <c r="D7035" i="3"/>
  <c r="D7891" i="3"/>
  <c r="D2234" i="3"/>
  <c r="D4510" i="3"/>
  <c r="D4509" i="3"/>
  <c r="D7507" i="3"/>
  <c r="D3016" i="3"/>
  <c r="D1686" i="3"/>
  <c r="D7280" i="3"/>
  <c r="D1685" i="3"/>
  <c r="D6897" i="3"/>
  <c r="D5989" i="3"/>
  <c r="D2180" i="3"/>
  <c r="D8524" i="3"/>
  <c r="D8096" i="3"/>
  <c r="D1684" i="3"/>
  <c r="D5988" i="3"/>
  <c r="D523" i="3"/>
  <c r="D4508" i="3"/>
  <c r="D726" i="3"/>
  <c r="D4507" i="3"/>
  <c r="D7182" i="3"/>
  <c r="D2447" i="3"/>
  <c r="D4506" i="3"/>
  <c r="D920" i="3"/>
  <c r="D7506" i="3"/>
  <c r="D4505" i="3"/>
  <c r="D3015" i="3"/>
  <c r="D8964" i="3"/>
  <c r="D1683" i="3"/>
  <c r="D4504" i="3"/>
  <c r="D3014" i="3"/>
  <c r="D3187" i="3"/>
  <c r="D8963" i="3"/>
  <c r="D8388" i="3"/>
  <c r="D5403" i="3"/>
  <c r="D8345" i="3"/>
  <c r="D1682" i="3"/>
  <c r="D2490" i="3"/>
  <c r="D950" i="3"/>
  <c r="D2197" i="3"/>
  <c r="D1681" i="3"/>
  <c r="D8800" i="3"/>
  <c r="D6130" i="3"/>
  <c r="D1680" i="3"/>
  <c r="D7946" i="3"/>
  <c r="D3737" i="3"/>
  <c r="D3186" i="3"/>
  <c r="D4503" i="3"/>
  <c r="D2464" i="3"/>
  <c r="D3935" i="3"/>
  <c r="D890" i="3"/>
  <c r="D1679" i="3"/>
  <c r="D7263" i="3"/>
  <c r="D4502" i="3"/>
  <c r="D725" i="3"/>
  <c r="D8591" i="3"/>
  <c r="D5402" i="3"/>
  <c r="D5718" i="3"/>
  <c r="D7505" i="3"/>
  <c r="D7504" i="3"/>
  <c r="D8344" i="3"/>
  <c r="D3426" i="3"/>
  <c r="D6724" i="3"/>
  <c r="D8590" i="3"/>
  <c r="D6148" i="3"/>
  <c r="D1678" i="3"/>
  <c r="D1677" i="3"/>
  <c r="D5987" i="3"/>
  <c r="D1181" i="3"/>
  <c r="D1204" i="3"/>
  <c r="D8799" i="3"/>
  <c r="D1676" i="3"/>
  <c r="D3013" i="3"/>
  <c r="D7181" i="3"/>
  <c r="D6723" i="3"/>
  <c r="D1180" i="3"/>
  <c r="D4501" i="3"/>
  <c r="D4500" i="3"/>
  <c r="D3012" i="3"/>
  <c r="D472" i="3"/>
  <c r="D1179" i="3"/>
  <c r="D5986" i="3"/>
  <c r="D4499" i="3"/>
  <c r="D3723" i="3"/>
  <c r="D4498" i="3"/>
  <c r="D1675" i="3"/>
  <c r="D724" i="3"/>
  <c r="D1674" i="3"/>
  <c r="D7945" i="3"/>
  <c r="D2255" i="3"/>
  <c r="D5401" i="3"/>
  <c r="D522" i="3"/>
  <c r="D8798" i="3"/>
  <c r="D6722" i="3"/>
  <c r="D5985" i="3"/>
  <c r="D7898" i="3"/>
  <c r="D4497" i="3"/>
  <c r="D239" i="3"/>
  <c r="D8962" i="3"/>
  <c r="D5400" i="3"/>
  <c r="D1673" i="3"/>
  <c r="D3011" i="3"/>
  <c r="D4496" i="3"/>
  <c r="D3010" i="3"/>
  <c r="D4495" i="3"/>
  <c r="D8485" i="3"/>
  <c r="D723" i="3"/>
  <c r="D5984" i="3"/>
  <c r="D4494" i="3"/>
  <c r="D4493" i="3"/>
  <c r="D8387" i="3"/>
  <c r="D422" i="3"/>
  <c r="D558" i="3"/>
  <c r="D662" i="3"/>
  <c r="D3009" i="3"/>
  <c r="D5399" i="3"/>
  <c r="D3008" i="3"/>
  <c r="D7405" i="3"/>
  <c r="D1672" i="3"/>
  <c r="D3610" i="3"/>
  <c r="D1671" i="3"/>
  <c r="D1670" i="3"/>
  <c r="D1669" i="3"/>
  <c r="D557" i="3"/>
  <c r="D3007" i="3"/>
  <c r="D6896" i="3"/>
  <c r="D3675" i="3"/>
  <c r="D6721" i="3"/>
  <c r="D3317" i="3"/>
  <c r="D6895" i="3"/>
  <c r="D1668" i="3"/>
  <c r="D3842" i="3"/>
  <c r="D1667" i="3"/>
  <c r="D1666" i="3"/>
  <c r="D6112" i="3"/>
  <c r="D4492" i="3"/>
  <c r="D5983" i="3"/>
  <c r="D1665" i="3"/>
  <c r="D421" i="3"/>
  <c r="D1664" i="3"/>
  <c r="D7392" i="3"/>
  <c r="D4491" i="3"/>
  <c r="D3523" i="3"/>
  <c r="D1663" i="3"/>
  <c r="D5398" i="3"/>
  <c r="D6186" i="3"/>
  <c r="D420" i="3"/>
  <c r="D7503" i="3"/>
  <c r="D4490" i="3"/>
  <c r="D8129" i="3"/>
  <c r="D1662" i="3"/>
  <c r="D3609" i="3"/>
  <c r="D8343" i="3"/>
  <c r="D3608" i="3"/>
  <c r="D1661" i="3"/>
  <c r="D5982" i="3"/>
  <c r="D4489" i="3"/>
  <c r="D6405" i="3"/>
  <c r="D6282" i="3"/>
  <c r="D4488" i="3"/>
  <c r="D919" i="3"/>
  <c r="D5397" i="3"/>
  <c r="D3006" i="3"/>
  <c r="D3450" i="3"/>
  <c r="D3386" i="3"/>
  <c r="D8589" i="3"/>
  <c r="D2330" i="3"/>
  <c r="D8961" i="3"/>
  <c r="D5396" i="3"/>
  <c r="D722" i="3"/>
  <c r="D5395" i="3"/>
  <c r="D7714" i="3"/>
  <c r="D4487" i="3"/>
  <c r="D2379" i="3"/>
  <c r="D2347" i="3"/>
  <c r="D1660" i="3"/>
  <c r="D8484" i="3"/>
  <c r="D4486" i="3"/>
  <c r="D3425" i="3"/>
  <c r="D1659" i="3"/>
  <c r="D7944" i="3"/>
  <c r="D4485" i="3"/>
  <c r="D8386" i="3"/>
  <c r="D4484" i="3"/>
  <c r="D3005" i="3"/>
  <c r="D6894" i="3"/>
  <c r="D3004" i="3"/>
  <c r="D3003" i="3"/>
  <c r="D3002" i="3"/>
  <c r="D5394" i="3"/>
  <c r="D4483" i="3"/>
  <c r="D556" i="3"/>
  <c r="D5981" i="3"/>
  <c r="D1029" i="3"/>
  <c r="D3316" i="3"/>
  <c r="D5393" i="3"/>
  <c r="D596" i="3"/>
  <c r="D4482" i="3"/>
  <c r="D5392" i="3"/>
  <c r="D3185" i="3"/>
  <c r="D3001" i="3"/>
  <c r="D8128" i="3"/>
  <c r="D3000" i="3"/>
  <c r="D6239" i="3"/>
  <c r="D6720" i="3"/>
  <c r="D4481" i="3"/>
  <c r="D3607" i="3"/>
  <c r="D1658" i="3"/>
  <c r="D555" i="3"/>
  <c r="D2461" i="3"/>
  <c r="D21" i="3"/>
  <c r="D7180" i="3"/>
  <c r="D4480" i="3"/>
  <c r="D1193" i="3"/>
  <c r="D1657" i="3"/>
  <c r="D4479" i="3"/>
  <c r="D5391" i="3"/>
  <c r="D152" i="3"/>
  <c r="D8588" i="3"/>
  <c r="D6623" i="3"/>
  <c r="D5390" i="3"/>
  <c r="D5389" i="3"/>
  <c r="D2999" i="3"/>
  <c r="D1656" i="3"/>
  <c r="D1655" i="3"/>
  <c r="D7502" i="3"/>
  <c r="D486" i="3"/>
  <c r="D6129" i="3"/>
  <c r="D1654" i="3"/>
  <c r="D8342" i="3"/>
  <c r="D2998" i="3"/>
  <c r="D2997" i="3"/>
  <c r="D7179" i="3"/>
  <c r="D5388" i="3"/>
  <c r="D850" i="3"/>
  <c r="D6119" i="3"/>
  <c r="D3958" i="3"/>
  <c r="D5387" i="3"/>
  <c r="D54" i="3"/>
  <c r="D7617" i="3"/>
  <c r="D5386" i="3"/>
  <c r="D554" i="3"/>
  <c r="D2996" i="3"/>
  <c r="D53" i="3"/>
  <c r="D7616" i="3"/>
  <c r="D1653" i="3"/>
  <c r="D3606" i="3"/>
  <c r="D5385" i="3"/>
  <c r="D4478" i="3"/>
  <c r="D2995" i="3"/>
  <c r="D595" i="3"/>
  <c r="D1107" i="3"/>
  <c r="D8341" i="3"/>
  <c r="D3784" i="3"/>
  <c r="D2489" i="3"/>
  <c r="D1652" i="3"/>
  <c r="D5384" i="3"/>
  <c r="D5383" i="3"/>
  <c r="D5980" i="3"/>
  <c r="D3315" i="3"/>
  <c r="D5979" i="3"/>
  <c r="D5978" i="3"/>
  <c r="D1651" i="3"/>
  <c r="D2994" i="3"/>
  <c r="D5382" i="3"/>
  <c r="D1650" i="3"/>
  <c r="D471" i="3"/>
  <c r="D1649" i="3"/>
  <c r="D7501" i="3"/>
  <c r="D2993" i="3"/>
  <c r="D4477" i="3"/>
  <c r="D1648" i="3"/>
  <c r="D4476" i="3"/>
  <c r="D2992" i="3"/>
  <c r="D6147" i="3"/>
  <c r="D2991" i="3"/>
  <c r="D2639" i="3"/>
  <c r="D4475" i="3"/>
  <c r="D8340" i="3"/>
  <c r="D5977" i="3"/>
  <c r="D4474" i="3"/>
  <c r="D7500" i="3"/>
  <c r="D8514" i="3"/>
  <c r="D3605" i="3"/>
  <c r="D2990" i="3"/>
  <c r="D470" i="3"/>
  <c r="D5381" i="3"/>
  <c r="D8385" i="3"/>
  <c r="D4473" i="3"/>
  <c r="D3314" i="3"/>
  <c r="D6546" i="3"/>
  <c r="D7499" i="3"/>
  <c r="D123" i="3"/>
  <c r="D2989" i="3"/>
  <c r="D469" i="3"/>
  <c r="D2988" i="3"/>
  <c r="D2987" i="3"/>
  <c r="D4998" i="3"/>
  <c r="D6893" i="3"/>
  <c r="D2986" i="3"/>
  <c r="D297" i="3"/>
  <c r="D5380" i="3"/>
  <c r="D5976" i="3"/>
  <c r="D6170" i="3"/>
  <c r="D7404" i="3"/>
  <c r="D7498" i="3"/>
  <c r="D1647" i="3"/>
  <c r="D1028" i="3"/>
  <c r="D2985" i="3"/>
  <c r="D364" i="3"/>
  <c r="D90" i="3"/>
  <c r="D3392" i="3"/>
  <c r="D3512" i="3"/>
  <c r="D619" i="3"/>
  <c r="D2457" i="3"/>
  <c r="D5379" i="3"/>
  <c r="D7178" i="3"/>
  <c r="D1061" i="3"/>
  <c r="D7391" i="3"/>
  <c r="D594" i="3"/>
  <c r="D5378" i="3"/>
  <c r="D4472" i="3"/>
  <c r="D2984" i="3"/>
  <c r="D7177" i="3"/>
  <c r="D6719" i="3"/>
  <c r="D1646" i="3"/>
  <c r="D5975" i="3"/>
  <c r="D7176" i="3"/>
  <c r="D5377" i="3"/>
  <c r="D661" i="3"/>
  <c r="D1645" i="3"/>
  <c r="D2983" i="3"/>
  <c r="D2982" i="3"/>
  <c r="D4471" i="3"/>
  <c r="D5376" i="3"/>
  <c r="D8893" i="3"/>
  <c r="D1644" i="3"/>
  <c r="D4470" i="3"/>
  <c r="D2146" i="3"/>
  <c r="D6718" i="3"/>
  <c r="D4469" i="3"/>
  <c r="D5375" i="3"/>
  <c r="D5974" i="3"/>
  <c r="D6199" i="3"/>
  <c r="D172" i="3"/>
  <c r="D1643" i="3"/>
  <c r="D468" i="3"/>
  <c r="D5374" i="3"/>
  <c r="D1642" i="3"/>
  <c r="D5973" i="3"/>
  <c r="D4468" i="3"/>
  <c r="D7497" i="3"/>
  <c r="D7496" i="3"/>
  <c r="D4467" i="3"/>
  <c r="D7495" i="3"/>
  <c r="D8960" i="3"/>
  <c r="D7494" i="3"/>
  <c r="D4466" i="3"/>
  <c r="D5373" i="3"/>
  <c r="D1641" i="3"/>
  <c r="D5972" i="3"/>
  <c r="D1640" i="3"/>
  <c r="D3921" i="3"/>
  <c r="D6404" i="3"/>
  <c r="D2981" i="3"/>
  <c r="D521" i="3"/>
  <c r="D6146" i="3"/>
  <c r="D4465" i="3"/>
  <c r="D4464" i="3"/>
  <c r="D1639" i="3"/>
  <c r="D553" i="3"/>
  <c r="D1638" i="3"/>
  <c r="D6717" i="3"/>
  <c r="D5372" i="3"/>
  <c r="D2980" i="3"/>
  <c r="D2979" i="3"/>
  <c r="D2978" i="3"/>
  <c r="D2977" i="3"/>
  <c r="D7493" i="3"/>
  <c r="D2976" i="3"/>
  <c r="D296" i="3"/>
  <c r="D2975" i="3"/>
  <c r="D3920" i="3"/>
  <c r="D8483" i="3"/>
  <c r="D7175" i="3"/>
  <c r="D520" i="3"/>
  <c r="D4463" i="3"/>
  <c r="D2133" i="3"/>
  <c r="D1637" i="3"/>
  <c r="D1636" i="3"/>
  <c r="D2974" i="3"/>
  <c r="D5371" i="3"/>
  <c r="D877" i="3"/>
  <c r="D6197" i="3"/>
  <c r="D3604" i="3"/>
  <c r="D30" i="3"/>
  <c r="D3897" i="3"/>
  <c r="D2479" i="3"/>
  <c r="D871" i="3"/>
  <c r="D4462" i="3"/>
  <c r="D2973" i="3"/>
  <c r="D5370" i="3"/>
  <c r="D5369" i="3"/>
  <c r="D2972" i="3"/>
  <c r="D3674" i="3"/>
  <c r="D7662" i="3"/>
  <c r="D4461" i="3"/>
  <c r="D4460" i="3"/>
  <c r="D5368" i="3"/>
  <c r="D5717" i="3"/>
  <c r="D3524" i="3"/>
  <c r="D7262" i="3"/>
  <c r="D4459" i="3"/>
  <c r="D7865" i="3"/>
  <c r="D1635" i="3"/>
  <c r="D1634" i="3"/>
  <c r="D5367" i="3"/>
  <c r="D5366" i="3"/>
  <c r="D1633" i="3"/>
  <c r="D5365" i="3"/>
  <c r="D1632" i="3"/>
  <c r="D593" i="3"/>
  <c r="D238" i="3"/>
  <c r="D1631" i="3"/>
  <c r="D1178" i="3"/>
  <c r="D8530" i="3"/>
  <c r="D5364" i="3"/>
  <c r="D3957" i="3"/>
  <c r="D4458" i="3"/>
  <c r="D2478" i="3"/>
  <c r="D6892" i="3"/>
  <c r="D4457" i="3"/>
  <c r="D2971" i="3"/>
  <c r="D324" i="3"/>
  <c r="D6169" i="3"/>
  <c r="D4456" i="3"/>
  <c r="D7841" i="3"/>
  <c r="D6793" i="3"/>
  <c r="D519" i="3"/>
  <c r="D1630" i="3"/>
  <c r="D1629" i="3"/>
  <c r="D7492" i="3"/>
  <c r="D2397" i="3"/>
  <c r="D5363" i="3"/>
  <c r="D3939" i="3"/>
  <c r="D3865" i="3"/>
  <c r="D6403" i="3"/>
  <c r="D5362" i="3"/>
  <c r="D4978" i="3"/>
  <c r="D7491" i="3"/>
  <c r="D1628" i="3"/>
  <c r="D2970" i="3"/>
  <c r="D8513" i="3"/>
  <c r="D17" i="3"/>
  <c r="D8797" i="3"/>
  <c r="D7490" i="3"/>
  <c r="D4455" i="3"/>
  <c r="D2969" i="3"/>
  <c r="D7489" i="3"/>
  <c r="D1177" i="3"/>
  <c r="D4454" i="3"/>
  <c r="D6545" i="3"/>
  <c r="D5361" i="3"/>
  <c r="D2968" i="3"/>
  <c r="D6716" i="3"/>
  <c r="D6301" i="3"/>
  <c r="D2967" i="3"/>
  <c r="D2966" i="3"/>
  <c r="D660" i="3"/>
  <c r="D518" i="3"/>
  <c r="D2346" i="3"/>
  <c r="D4453" i="3"/>
  <c r="D3313" i="3"/>
  <c r="D4452" i="3"/>
  <c r="D467" i="3"/>
  <c r="D552" i="3"/>
  <c r="D1106" i="3"/>
  <c r="D659" i="3"/>
  <c r="D7174" i="3"/>
  <c r="D5971" i="3"/>
  <c r="D5970" i="3"/>
  <c r="D2965" i="3"/>
  <c r="D3534" i="3"/>
  <c r="D6980" i="3"/>
  <c r="D2345" i="3"/>
  <c r="D5360" i="3"/>
  <c r="D141" i="3"/>
  <c r="D6145" i="3"/>
  <c r="D5359" i="3"/>
  <c r="D5969" i="3"/>
  <c r="D7488" i="3"/>
  <c r="D8339" i="3"/>
  <c r="D4451" i="3"/>
  <c r="D795" i="3"/>
  <c r="D262" i="3"/>
  <c r="D5358" i="3"/>
  <c r="D1627" i="3"/>
  <c r="D2964" i="3"/>
  <c r="D6715" i="3"/>
  <c r="D1626" i="3"/>
  <c r="D7943" i="3"/>
  <c r="D6168" i="3"/>
  <c r="D4450" i="3"/>
  <c r="D2578" i="3"/>
  <c r="D150" i="3"/>
  <c r="D5357" i="3"/>
  <c r="D658" i="3"/>
  <c r="D2344" i="3"/>
  <c r="D8169" i="3"/>
  <c r="D5662" i="3"/>
  <c r="D7487" i="3"/>
  <c r="D1625" i="3"/>
  <c r="D2963" i="3"/>
  <c r="D4449" i="3"/>
  <c r="D5356" i="3"/>
  <c r="D618" i="3"/>
  <c r="D1624" i="3"/>
  <c r="D4448" i="3"/>
  <c r="D617" i="3"/>
  <c r="D2962" i="3"/>
  <c r="D7486" i="3"/>
  <c r="D2961" i="3"/>
  <c r="D2960" i="3"/>
  <c r="D1623" i="3"/>
  <c r="D4447" i="3"/>
  <c r="D5355" i="3"/>
  <c r="D2596" i="3"/>
  <c r="D8587" i="3"/>
  <c r="D5354" i="3"/>
  <c r="D5353" i="3"/>
  <c r="D2959" i="3"/>
  <c r="D1622" i="3"/>
  <c r="D2958" i="3"/>
  <c r="D5352" i="3"/>
  <c r="D2343" i="3"/>
  <c r="D106" i="3"/>
  <c r="D1621" i="3"/>
  <c r="D1620" i="3"/>
  <c r="D5716" i="3"/>
  <c r="D2957" i="3"/>
  <c r="D2956" i="3"/>
  <c r="D6194" i="3"/>
  <c r="D7173" i="3"/>
  <c r="D1176" i="3"/>
  <c r="D1619" i="3"/>
  <c r="D9001" i="3"/>
  <c r="D8230" i="3"/>
  <c r="D2955" i="3"/>
  <c r="D1175" i="3"/>
  <c r="D592" i="3"/>
  <c r="D1618" i="3"/>
  <c r="D1617" i="3"/>
  <c r="D8127" i="3"/>
  <c r="D551" i="3"/>
  <c r="D7485" i="3"/>
  <c r="D4446" i="3"/>
  <c r="D8625" i="3"/>
  <c r="D1143" i="3"/>
  <c r="D7890" i="3"/>
  <c r="D44" i="3"/>
  <c r="D1616" i="3"/>
  <c r="D2564" i="3"/>
  <c r="D43" i="3"/>
  <c r="D7856" i="3"/>
  <c r="D42" i="3"/>
  <c r="D6891" i="3"/>
  <c r="D5351" i="3"/>
  <c r="D8959" i="3"/>
  <c r="D591" i="3"/>
  <c r="D2954" i="3"/>
  <c r="D11" i="3"/>
  <c r="D2953" i="3"/>
  <c r="D2498" i="3"/>
  <c r="D8156" i="3"/>
  <c r="D25" i="3"/>
  <c r="D4445" i="3"/>
  <c r="D3783" i="3"/>
  <c r="D7362" i="3"/>
  <c r="D2952" i="3"/>
  <c r="D5016" i="3"/>
  <c r="D5968" i="3"/>
  <c r="D1615" i="3"/>
  <c r="D41" i="3"/>
  <c r="D1614" i="3"/>
  <c r="D2951" i="3"/>
  <c r="D2950" i="3"/>
  <c r="D590" i="3"/>
  <c r="D8" i="3"/>
  <c r="D5350" i="3"/>
  <c r="D5640" i="3"/>
  <c r="D3312" i="3"/>
  <c r="D5028" i="3"/>
  <c r="D2949" i="3"/>
  <c r="D2948" i="3"/>
  <c r="D4444" i="3"/>
  <c r="D5349" i="3"/>
  <c r="D3722" i="3"/>
  <c r="D4443" i="3"/>
  <c r="D7681" i="3"/>
  <c r="D3857" i="3"/>
  <c r="D794" i="3"/>
  <c r="D3856" i="3"/>
  <c r="D793" i="3"/>
  <c r="D8217" i="3"/>
  <c r="D3706" i="3"/>
  <c r="D390" i="3"/>
  <c r="D7172" i="3"/>
  <c r="D6460" i="3"/>
  <c r="D5348" i="3"/>
  <c r="D5347" i="3"/>
  <c r="D261" i="3"/>
  <c r="D1613" i="3"/>
  <c r="D889" i="3"/>
  <c r="D3311" i="3"/>
  <c r="D7171" i="3"/>
  <c r="D4442" i="3"/>
  <c r="D3855" i="3"/>
  <c r="D792" i="3"/>
  <c r="D1612" i="3"/>
  <c r="D6714" i="3"/>
  <c r="D5346" i="3"/>
  <c r="D6713" i="3"/>
  <c r="D7034" i="3"/>
  <c r="D7033" i="3"/>
  <c r="D389" i="3"/>
  <c r="D5731" i="3"/>
  <c r="D6712" i="3"/>
  <c r="D8796" i="3"/>
  <c r="D3424" i="3"/>
  <c r="D1027" i="3"/>
  <c r="D5345" i="3"/>
  <c r="D6890" i="3"/>
  <c r="D1611" i="3"/>
  <c r="D8586" i="3"/>
  <c r="D1610" i="3"/>
  <c r="D6711" i="3"/>
  <c r="D1609" i="3"/>
  <c r="D3423" i="3"/>
  <c r="D1608" i="3"/>
  <c r="D4441" i="3"/>
  <c r="D6572" i="3"/>
  <c r="D3705" i="3"/>
  <c r="D5650" i="3"/>
  <c r="D7777" i="3"/>
  <c r="D1607" i="3"/>
  <c r="D5967" i="3"/>
  <c r="D8795" i="3"/>
  <c r="D8958" i="3"/>
  <c r="D5344" i="3"/>
  <c r="D1606" i="3"/>
  <c r="D1605" i="3"/>
  <c r="D8794" i="3"/>
  <c r="D1604" i="3"/>
  <c r="D5343" i="3"/>
  <c r="D8338" i="3"/>
  <c r="D2132" i="3"/>
  <c r="D222" i="3"/>
  <c r="D1603" i="3"/>
  <c r="D5966" i="3"/>
  <c r="D8337" i="3"/>
  <c r="D7776" i="3"/>
  <c r="D2429" i="3"/>
  <c r="D2428" i="3"/>
  <c r="D4440" i="3"/>
  <c r="D5342" i="3"/>
  <c r="D1602" i="3"/>
  <c r="D1601" i="3"/>
  <c r="D5341" i="3"/>
  <c r="D1600" i="3"/>
  <c r="D7261" i="3"/>
  <c r="D6889" i="3"/>
  <c r="D8793" i="3"/>
  <c r="D5965" i="3"/>
  <c r="D6459" i="3"/>
  <c r="D4439" i="3"/>
  <c r="D4438" i="3"/>
  <c r="D908" i="3"/>
  <c r="D388" i="3"/>
  <c r="D7170" i="3"/>
  <c r="D1599" i="3"/>
  <c r="D2446" i="3"/>
  <c r="D7032" i="3"/>
  <c r="D7260" i="3"/>
  <c r="D5964" i="3"/>
  <c r="D7673" i="3"/>
  <c r="D5015" i="3"/>
  <c r="D8792" i="3"/>
  <c r="D1598" i="3"/>
  <c r="D4437" i="3"/>
  <c r="D8585" i="3"/>
  <c r="D4436" i="3"/>
  <c r="D5340" i="3"/>
  <c r="D7169" i="3"/>
  <c r="D6710" i="3"/>
  <c r="D8421" i="3"/>
  <c r="D8455" i="3"/>
  <c r="D5339" i="3"/>
  <c r="D3310" i="3"/>
  <c r="D6544" i="3"/>
  <c r="D4435" i="3"/>
  <c r="D2947" i="3"/>
  <c r="D6543" i="3"/>
  <c r="D7390" i="3"/>
  <c r="D1597" i="3"/>
  <c r="D3422" i="3"/>
  <c r="D3421" i="3"/>
  <c r="D7403" i="3"/>
  <c r="D721" i="3"/>
  <c r="D7168" i="3"/>
  <c r="D3309" i="3"/>
  <c r="D7775" i="3"/>
  <c r="D7259" i="3"/>
  <c r="D5338" i="3"/>
  <c r="D4434" i="3"/>
  <c r="D6709" i="3"/>
  <c r="D8584" i="3"/>
  <c r="D2946" i="3"/>
  <c r="D7167" i="3"/>
  <c r="D6708" i="3"/>
  <c r="D6542" i="3"/>
  <c r="D6258" i="3"/>
  <c r="D1596" i="3"/>
  <c r="D8095" i="3"/>
  <c r="D343" i="3"/>
  <c r="D6888" i="3"/>
  <c r="D5963" i="3"/>
  <c r="D6427" i="3"/>
  <c r="D4433" i="3"/>
  <c r="D6257" i="3"/>
  <c r="D4432" i="3"/>
  <c r="D1595" i="3"/>
  <c r="D8957" i="3"/>
  <c r="D6185" i="3"/>
  <c r="D8454" i="3"/>
  <c r="D387" i="3"/>
  <c r="D3420" i="3"/>
  <c r="D7699" i="3"/>
  <c r="D7166" i="3"/>
  <c r="D7774" i="3"/>
  <c r="D7031" i="3"/>
  <c r="D1594" i="3"/>
  <c r="D7942" i="3"/>
  <c r="D7773" i="3"/>
  <c r="D1593" i="3"/>
  <c r="D8216" i="3"/>
  <c r="D8791" i="3"/>
  <c r="D8790" i="3"/>
  <c r="D2610" i="3"/>
  <c r="D5337" i="3"/>
  <c r="D5336" i="3"/>
  <c r="D251" i="3"/>
  <c r="D8789" i="3"/>
  <c r="D4431" i="3"/>
  <c r="D939" i="3"/>
  <c r="D4430" i="3"/>
  <c r="D5335" i="3"/>
  <c r="D5661" i="3"/>
  <c r="D2290" i="3"/>
  <c r="D720" i="3"/>
  <c r="D4429" i="3"/>
  <c r="D2945" i="3"/>
  <c r="D3308" i="3"/>
  <c r="D4428" i="3"/>
  <c r="D3419" i="3"/>
  <c r="D3944" i="3"/>
  <c r="D7772" i="3"/>
  <c r="D1592" i="3"/>
  <c r="D3418" i="3"/>
  <c r="D3307" i="3"/>
  <c r="D7030" i="3"/>
  <c r="D2944" i="3"/>
  <c r="D419" i="3"/>
  <c r="D2378" i="3"/>
  <c r="D7389" i="3"/>
  <c r="D6887" i="3"/>
  <c r="D2319" i="3"/>
  <c r="D6256" i="3"/>
  <c r="D7771" i="3"/>
  <c r="D8956" i="3"/>
  <c r="D8336" i="3"/>
  <c r="D2377" i="3"/>
  <c r="D1591" i="3"/>
  <c r="D8955" i="3"/>
  <c r="D4427" i="3"/>
  <c r="D2376" i="3"/>
  <c r="D2423" i="3"/>
  <c r="D5014" i="3"/>
  <c r="D5962" i="3"/>
  <c r="D8788" i="3"/>
  <c r="D6167" i="3"/>
  <c r="D7402" i="3"/>
  <c r="D3673" i="3"/>
  <c r="D4426" i="3"/>
  <c r="D6541" i="3"/>
  <c r="D3306" i="3"/>
  <c r="D4425" i="3"/>
  <c r="D1026" i="3"/>
  <c r="D2943" i="3"/>
  <c r="D2942" i="3"/>
  <c r="D4424" i="3"/>
  <c r="D3823" i="3"/>
  <c r="D5961" i="3"/>
  <c r="D2941" i="3"/>
  <c r="D8335" i="3"/>
  <c r="D719" i="3"/>
  <c r="D4423" i="3"/>
  <c r="D589" i="3"/>
  <c r="D1195" i="3"/>
  <c r="D4422" i="3"/>
  <c r="D5334" i="3"/>
  <c r="D5960" i="3"/>
  <c r="D7336" i="3"/>
  <c r="D1590" i="3"/>
  <c r="D6540" i="3"/>
  <c r="D2940" i="3"/>
  <c r="D5333" i="3"/>
  <c r="D2375" i="3"/>
  <c r="D4421" i="3"/>
  <c r="D8999" i="3"/>
  <c r="D4420" i="3"/>
  <c r="D2207" i="3"/>
  <c r="D7029" i="3"/>
  <c r="D3782" i="3"/>
  <c r="D1589" i="3"/>
  <c r="D7941" i="3"/>
  <c r="D3704" i="3"/>
  <c r="D4419" i="3"/>
  <c r="D3896" i="3"/>
  <c r="D7770" i="3"/>
  <c r="D3417" i="3"/>
  <c r="D8583" i="3"/>
  <c r="D907" i="3"/>
  <c r="D6539" i="3"/>
  <c r="D8334" i="3"/>
  <c r="D7769" i="3"/>
  <c r="D5332" i="3"/>
  <c r="D1588" i="3"/>
  <c r="D2939" i="3"/>
  <c r="D1587" i="3"/>
  <c r="D5331" i="3"/>
  <c r="D7629" i="3"/>
  <c r="D1586" i="3"/>
  <c r="D5959" i="3"/>
  <c r="D7878" i="3"/>
  <c r="D7335" i="3"/>
  <c r="D8787" i="3"/>
  <c r="D8786" i="3"/>
  <c r="D1585" i="3"/>
  <c r="D4418" i="3"/>
  <c r="D1584" i="3"/>
  <c r="D7028" i="3"/>
  <c r="D8453" i="3"/>
  <c r="D718" i="3"/>
  <c r="D7768" i="3"/>
  <c r="D4417" i="3"/>
  <c r="D8785" i="3"/>
  <c r="D8784" i="3"/>
  <c r="D8783" i="3"/>
  <c r="D8782" i="3"/>
  <c r="D4416" i="3"/>
  <c r="D7767" i="3"/>
  <c r="D5958" i="3"/>
  <c r="D2938" i="3"/>
  <c r="D7027" i="3"/>
  <c r="D2374" i="3"/>
  <c r="D8094" i="3"/>
  <c r="D8333" i="3"/>
  <c r="D6707" i="3"/>
  <c r="D8332" i="3"/>
  <c r="D1583" i="3"/>
  <c r="D7940" i="3"/>
  <c r="D3416" i="3"/>
  <c r="D1582" i="3"/>
  <c r="D8582" i="3"/>
  <c r="D3603" i="3"/>
  <c r="D8581" i="3"/>
  <c r="D8580" i="3"/>
  <c r="D1581" i="3"/>
  <c r="D323" i="3"/>
  <c r="D1580" i="3"/>
  <c r="D8781" i="3"/>
  <c r="D1579" i="3"/>
  <c r="D418" i="3"/>
  <c r="D4415" i="3"/>
  <c r="D1578" i="3"/>
  <c r="D313" i="3"/>
  <c r="D7288" i="3"/>
  <c r="D5330" i="3"/>
  <c r="D1577" i="3"/>
  <c r="D7939" i="3"/>
  <c r="D6224" i="3"/>
  <c r="D1576" i="3"/>
  <c r="D7165" i="3"/>
  <c r="D8780" i="3"/>
  <c r="D4414" i="3"/>
  <c r="D1575" i="3"/>
  <c r="D7902" i="3"/>
  <c r="D6886" i="3"/>
  <c r="D3415" i="3"/>
  <c r="D5013" i="3"/>
  <c r="D2206" i="3"/>
  <c r="D3602" i="3"/>
  <c r="D4413" i="3"/>
  <c r="D717" i="3"/>
  <c r="D336" i="3"/>
  <c r="D7164" i="3"/>
  <c r="D4412" i="3"/>
  <c r="D8779" i="3"/>
  <c r="D2427" i="3"/>
  <c r="D1574" i="3"/>
  <c r="D1573" i="3"/>
  <c r="D4411" i="3"/>
  <c r="D7334" i="3"/>
  <c r="D1572" i="3"/>
  <c r="D7938" i="3"/>
  <c r="D888" i="3"/>
  <c r="D8778" i="3"/>
  <c r="D6777" i="3"/>
  <c r="D1571" i="3"/>
  <c r="D7937" i="3"/>
  <c r="D2937" i="3"/>
  <c r="D8777" i="3"/>
  <c r="D8579" i="3"/>
  <c r="D3781" i="3"/>
  <c r="D1570" i="3"/>
  <c r="D3305" i="3"/>
  <c r="D8776" i="3"/>
  <c r="D417" i="3"/>
  <c r="D8482" i="3"/>
  <c r="D2936" i="3"/>
  <c r="D4410" i="3"/>
  <c r="D6596" i="3"/>
  <c r="D3895" i="3"/>
  <c r="D6458" i="3"/>
  <c r="D1569" i="3"/>
  <c r="D2131" i="3"/>
  <c r="D1568" i="3"/>
  <c r="D8775" i="3"/>
  <c r="D8774" i="3"/>
  <c r="D1567" i="3"/>
  <c r="D716" i="3"/>
  <c r="D7840" i="3"/>
  <c r="D6792" i="3"/>
  <c r="D4409" i="3"/>
  <c r="D1060" i="3"/>
  <c r="D8481" i="3"/>
  <c r="D4408" i="3"/>
  <c r="D1566" i="3"/>
  <c r="D4407" i="3"/>
  <c r="D1565" i="3"/>
  <c r="D7936" i="3"/>
  <c r="D1564" i="3"/>
  <c r="D7935" i="3"/>
  <c r="D4406" i="3"/>
  <c r="D7766" i="3"/>
  <c r="D1563" i="3"/>
  <c r="D1562" i="3"/>
  <c r="D7934" i="3"/>
  <c r="D1105" i="3"/>
  <c r="D8954" i="3"/>
  <c r="D4405" i="3"/>
  <c r="D2497" i="3"/>
  <c r="D8450" i="3"/>
  <c r="D5329" i="3"/>
  <c r="D8578" i="3"/>
  <c r="D7163" i="3"/>
  <c r="D7333" i="3"/>
  <c r="D1174" i="3"/>
  <c r="D1561" i="3"/>
  <c r="D485" i="3"/>
  <c r="D6885" i="3"/>
  <c r="D1025" i="3"/>
  <c r="D4404" i="3"/>
  <c r="D6538" i="3"/>
  <c r="D4403" i="3"/>
  <c r="D4402" i="3"/>
  <c r="D2935" i="3"/>
  <c r="D6537" i="3"/>
  <c r="D4401" i="3"/>
  <c r="D3881" i="3"/>
  <c r="D5957" i="3"/>
  <c r="D7258" i="3"/>
  <c r="D1560" i="3"/>
  <c r="D4400" i="3"/>
  <c r="D6223" i="3"/>
  <c r="D3414" i="3"/>
  <c r="D2373" i="3"/>
  <c r="D715" i="3"/>
  <c r="D8480" i="3"/>
  <c r="D8577" i="3"/>
  <c r="D3943" i="3"/>
  <c r="D250" i="3"/>
  <c r="D6536" i="3"/>
  <c r="D1024" i="3"/>
  <c r="D8773" i="3"/>
  <c r="D484" i="3"/>
  <c r="D8479" i="3"/>
  <c r="D1559" i="3"/>
  <c r="D7026" i="3"/>
  <c r="D7698" i="3"/>
  <c r="D4399" i="3"/>
  <c r="D8576" i="3"/>
  <c r="D3519" i="3"/>
  <c r="D2934" i="3"/>
  <c r="D3601" i="3"/>
  <c r="D7025" i="3"/>
  <c r="D4398" i="3"/>
  <c r="D6884" i="3"/>
  <c r="D6128" i="3"/>
  <c r="D3555" i="3"/>
  <c r="D3736" i="3"/>
  <c r="D7162" i="3"/>
  <c r="D4397" i="3"/>
  <c r="D6144" i="3"/>
  <c r="D1558" i="3"/>
  <c r="D1557" i="3"/>
  <c r="D588" i="3"/>
  <c r="D6883" i="3"/>
  <c r="D2467" i="3"/>
  <c r="D8772" i="3"/>
  <c r="D3799" i="3"/>
  <c r="D1556" i="3"/>
  <c r="D587" i="3"/>
  <c r="D4396" i="3"/>
  <c r="D932" i="3"/>
  <c r="D887" i="3"/>
  <c r="D4395" i="3"/>
  <c r="D3304" i="3"/>
  <c r="D6255" i="3"/>
  <c r="D8771" i="3"/>
  <c r="D7161" i="3"/>
  <c r="D1555" i="3"/>
  <c r="D8953" i="3"/>
  <c r="D483" i="3"/>
  <c r="D8770" i="3"/>
  <c r="D6882" i="3"/>
  <c r="D7388" i="3"/>
  <c r="D4394" i="3"/>
  <c r="D1554" i="3"/>
  <c r="D7024" i="3"/>
  <c r="D2140" i="3"/>
  <c r="D5328" i="3"/>
  <c r="D6662" i="3"/>
  <c r="D187" i="3"/>
  <c r="D6535" i="3"/>
  <c r="D249" i="3"/>
  <c r="D1089" i="3"/>
  <c r="D3780" i="3"/>
  <c r="D8460" i="3"/>
  <c r="D7765" i="3"/>
  <c r="D8523" i="3"/>
  <c r="D6254" i="3"/>
  <c r="D5327" i="3"/>
  <c r="D876" i="3"/>
  <c r="D1553" i="3"/>
  <c r="D4393" i="3"/>
  <c r="D7023" i="3"/>
  <c r="D2372" i="3"/>
  <c r="D2409" i="3"/>
  <c r="D2933" i="3"/>
  <c r="D3413" i="3"/>
  <c r="D2563" i="3"/>
  <c r="D373" i="3"/>
  <c r="D5956" i="3"/>
  <c r="D395" i="3"/>
  <c r="D714" i="3"/>
  <c r="D550" i="3"/>
  <c r="D1552" i="3"/>
  <c r="D586" i="3"/>
  <c r="D657" i="3"/>
  <c r="D957" i="3"/>
  <c r="D2511" i="3"/>
  <c r="D1551" i="3"/>
  <c r="D4392" i="3"/>
  <c r="D4391" i="3"/>
  <c r="D7160" i="3"/>
  <c r="D5955" i="3"/>
  <c r="D8575" i="3"/>
  <c r="D844" i="3"/>
  <c r="D6881" i="3"/>
  <c r="D6457" i="3"/>
  <c r="D6184" i="3"/>
  <c r="D1550" i="3"/>
  <c r="D7933" i="3"/>
  <c r="D7332" i="3"/>
  <c r="D3440" i="3"/>
  <c r="D5631" i="3"/>
  <c r="D7159" i="3"/>
  <c r="D8769" i="3"/>
  <c r="D3735" i="3"/>
  <c r="D3600" i="3"/>
  <c r="D8420" i="3"/>
  <c r="D8574" i="3"/>
  <c r="D4390" i="3"/>
  <c r="D585" i="3"/>
  <c r="D4389" i="3"/>
  <c r="D713" i="3"/>
  <c r="D1549" i="3"/>
  <c r="D1548" i="3"/>
  <c r="D5326" i="3"/>
  <c r="D4388" i="3"/>
  <c r="D7764" i="3"/>
  <c r="D5325" i="3"/>
  <c r="D8573" i="3"/>
  <c r="D5954" i="3"/>
  <c r="D8093" i="3"/>
  <c r="D2371" i="3"/>
  <c r="D1547" i="3"/>
  <c r="D7932" i="3"/>
  <c r="D482" i="3"/>
  <c r="D327" i="3"/>
  <c r="D7763" i="3"/>
  <c r="D4387" i="3"/>
  <c r="D8215" i="3"/>
  <c r="D4386" i="3"/>
  <c r="D8768" i="3"/>
  <c r="D2932" i="3"/>
  <c r="D7331" i="3"/>
  <c r="D5953" i="3"/>
  <c r="D7484" i="3"/>
  <c r="D5324" i="3"/>
  <c r="D8952" i="3"/>
  <c r="D321" i="3"/>
  <c r="D2931" i="3"/>
  <c r="D1546" i="3"/>
  <c r="D7931" i="3"/>
  <c r="D7762" i="3"/>
  <c r="D4385" i="3"/>
  <c r="D8126" i="3"/>
  <c r="D4384" i="3"/>
  <c r="D6587" i="3"/>
  <c r="D8767" i="3"/>
  <c r="D4383" i="3"/>
  <c r="D4382" i="3"/>
  <c r="D6641" i="3"/>
  <c r="D5323" i="3"/>
  <c r="D1545" i="3"/>
  <c r="D7279" i="3"/>
  <c r="D1544" i="3"/>
  <c r="D4381" i="3"/>
  <c r="D1543" i="3"/>
  <c r="D3930" i="3"/>
  <c r="D8449" i="3"/>
  <c r="D8572" i="3"/>
  <c r="D4380" i="3"/>
  <c r="D6880" i="3"/>
  <c r="D1542" i="3"/>
  <c r="D584" i="3"/>
  <c r="D8766" i="3"/>
  <c r="D6817" i="3"/>
  <c r="D3672" i="3"/>
  <c r="D7661" i="3"/>
  <c r="D1173" i="3"/>
  <c r="D4379" i="3"/>
  <c r="D3671" i="3"/>
  <c r="D3734" i="3"/>
  <c r="D4378" i="3"/>
  <c r="D248" i="3"/>
  <c r="D2233" i="3"/>
  <c r="D1541" i="3"/>
  <c r="D4377" i="3"/>
  <c r="D7158" i="3"/>
  <c r="D3779" i="3"/>
  <c r="D517" i="3"/>
  <c r="D656" i="3"/>
  <c r="D4376" i="3"/>
  <c r="D6650" i="3"/>
  <c r="D5322" i="3"/>
  <c r="D1540" i="3"/>
  <c r="D1539" i="3"/>
  <c r="D7930" i="3"/>
  <c r="D4375" i="3"/>
  <c r="D1538" i="3"/>
  <c r="D7929" i="3"/>
  <c r="D8765" i="3"/>
  <c r="D5321" i="3"/>
  <c r="D6706" i="3"/>
  <c r="D2370" i="3"/>
  <c r="D8331" i="3"/>
  <c r="D1537" i="3"/>
  <c r="D3670" i="3"/>
  <c r="D3634" i="3"/>
  <c r="D4374" i="3"/>
  <c r="D4373" i="3"/>
  <c r="D2930" i="3"/>
  <c r="D4372" i="3"/>
  <c r="D4371" i="3"/>
  <c r="D4370" i="3"/>
  <c r="D1536" i="3"/>
  <c r="D2171" i="3"/>
  <c r="D7761" i="3"/>
  <c r="D4369" i="3"/>
  <c r="D2929" i="3"/>
  <c r="D6816" i="3"/>
  <c r="D1535" i="3"/>
  <c r="D2928" i="3"/>
  <c r="D7760" i="3"/>
  <c r="D416" i="3"/>
  <c r="D1534" i="3"/>
  <c r="D6879" i="3"/>
  <c r="D4368" i="3"/>
  <c r="D6166" i="3"/>
  <c r="D7401" i="3"/>
  <c r="D5320" i="3"/>
  <c r="D4367" i="3"/>
  <c r="D4366" i="3"/>
  <c r="D712" i="3"/>
  <c r="D3439" i="3"/>
  <c r="D6281" i="3"/>
  <c r="D2638" i="3"/>
  <c r="D7628" i="3"/>
  <c r="D7022" i="3"/>
  <c r="D8764" i="3"/>
  <c r="D6475" i="3"/>
  <c r="D5952" i="3"/>
  <c r="D4365" i="3"/>
  <c r="D6878" i="3"/>
  <c r="D6705" i="3"/>
  <c r="D6776" i="3"/>
  <c r="D4364" i="3"/>
  <c r="D3377" i="3"/>
  <c r="D3833" i="3"/>
  <c r="D8763" i="3"/>
  <c r="D7759" i="3"/>
  <c r="D4363" i="3"/>
  <c r="D1533" i="3"/>
  <c r="D3778" i="3"/>
  <c r="D8092" i="3"/>
  <c r="D1532" i="3"/>
  <c r="D791" i="3"/>
  <c r="D3412" i="3"/>
  <c r="D5630" i="3"/>
  <c r="D549" i="3"/>
  <c r="D6704" i="3"/>
  <c r="D1023" i="3"/>
  <c r="D8762" i="3"/>
  <c r="D8571" i="3"/>
  <c r="D583" i="3"/>
  <c r="D3796" i="3"/>
  <c r="D655" i="3"/>
  <c r="D8761" i="3"/>
  <c r="D880" i="3"/>
  <c r="D8760" i="3"/>
  <c r="D8512" i="3"/>
  <c r="D7278" i="3"/>
  <c r="D8478" i="3"/>
  <c r="D6440" i="3"/>
  <c r="D2927" i="3"/>
  <c r="D4362" i="3"/>
  <c r="D342" i="3"/>
  <c r="D2926" i="3"/>
  <c r="D4361" i="3"/>
  <c r="D4360" i="3"/>
  <c r="D947" i="3"/>
  <c r="D3303" i="3"/>
  <c r="D1531" i="3"/>
  <c r="D3777" i="3"/>
  <c r="D6534" i="3"/>
  <c r="D6703" i="3"/>
  <c r="D3461" i="3"/>
  <c r="D7157" i="3"/>
  <c r="D1088" i="3"/>
  <c r="D1087" i="3"/>
  <c r="D548" i="3"/>
  <c r="D2925" i="3"/>
  <c r="D8477" i="3"/>
  <c r="D5951" i="3"/>
  <c r="D8759" i="3"/>
  <c r="D7839" i="3"/>
  <c r="D6791" i="3"/>
  <c r="D8476" i="3"/>
  <c r="D8330" i="3"/>
  <c r="D5950" i="3"/>
  <c r="D4359" i="3"/>
  <c r="D6702" i="3"/>
  <c r="D949" i="3"/>
  <c r="D2196" i="3"/>
  <c r="D8951" i="3"/>
  <c r="D7660" i="3"/>
  <c r="D6877" i="3"/>
  <c r="D2924" i="3"/>
  <c r="D5949" i="3"/>
  <c r="D5948" i="3"/>
  <c r="D7330" i="3"/>
  <c r="D1530" i="3"/>
  <c r="D7156" i="3"/>
  <c r="D7329" i="3"/>
  <c r="D6701" i="3"/>
  <c r="D7238" i="3"/>
  <c r="D8384" i="3"/>
  <c r="D1529" i="3"/>
  <c r="D582" i="3"/>
  <c r="D2923" i="3"/>
  <c r="D4358" i="3"/>
  <c r="D4357" i="3"/>
  <c r="D654" i="3"/>
  <c r="D2922" i="3"/>
  <c r="D5947" i="3"/>
  <c r="D581" i="3"/>
  <c r="D3599" i="3"/>
  <c r="D4356" i="3"/>
  <c r="D653" i="3"/>
  <c r="D1122" i="3"/>
  <c r="D5946" i="3"/>
  <c r="D2251" i="3"/>
  <c r="D5319" i="3"/>
  <c r="D7838" i="3"/>
  <c r="D1022" i="3"/>
  <c r="D8758" i="3"/>
  <c r="D2921" i="3"/>
  <c r="D1172" i="3"/>
  <c r="D1171" i="3"/>
  <c r="D6143" i="3"/>
  <c r="D8570" i="3"/>
  <c r="D1528" i="3"/>
  <c r="D2920" i="3"/>
  <c r="D2919" i="3"/>
  <c r="D3379" i="3"/>
  <c r="D6700" i="3"/>
  <c r="D5945" i="3"/>
  <c r="D711" i="3"/>
  <c r="D4355" i="3"/>
  <c r="D8214" i="3"/>
  <c r="D4354" i="3"/>
  <c r="D372" i="3"/>
  <c r="D981" i="3"/>
  <c r="D3894" i="3"/>
  <c r="D3302" i="3"/>
  <c r="D1527" i="3"/>
  <c r="D652" i="3"/>
  <c r="D4353" i="3"/>
  <c r="D5318" i="3"/>
  <c r="D341" i="3"/>
  <c r="D4352" i="3"/>
  <c r="D710" i="3"/>
  <c r="D2232" i="3"/>
  <c r="D8248" i="3"/>
  <c r="D3721" i="3"/>
  <c r="D4351" i="3"/>
  <c r="D2918" i="3"/>
  <c r="D4350" i="3"/>
  <c r="D4349" i="3"/>
  <c r="D4348" i="3"/>
  <c r="D7328" i="3"/>
  <c r="D8231" i="3"/>
  <c r="D8569" i="3"/>
  <c r="D3411" i="3"/>
  <c r="D8757" i="3"/>
  <c r="D6474" i="3"/>
  <c r="D3301" i="3"/>
  <c r="D6876" i="3"/>
  <c r="D8114" i="3"/>
  <c r="D4347" i="3"/>
  <c r="D8568" i="3"/>
  <c r="D2917" i="3"/>
  <c r="D386" i="3"/>
  <c r="D8756" i="3"/>
  <c r="D8567" i="3"/>
  <c r="D2130" i="3"/>
  <c r="D1526" i="3"/>
  <c r="D466" i="3"/>
  <c r="D4346" i="3"/>
  <c r="D5317" i="3"/>
  <c r="D8755" i="3"/>
  <c r="D3948" i="3"/>
  <c r="D651" i="3"/>
  <c r="D415" i="3"/>
  <c r="D4345" i="3"/>
  <c r="D6699" i="3"/>
  <c r="D6165" i="3"/>
  <c r="D7400" i="3"/>
  <c r="D8566" i="3"/>
  <c r="D8950" i="3"/>
  <c r="D1142" i="3"/>
  <c r="D8329" i="3"/>
  <c r="D6300" i="3"/>
  <c r="D363" i="3"/>
  <c r="D7155" i="3"/>
  <c r="D3202" i="3"/>
  <c r="D5316" i="3"/>
  <c r="D2648" i="3"/>
  <c r="D8565" i="3"/>
  <c r="D2466" i="3"/>
  <c r="D1141" i="3"/>
  <c r="D3929" i="3"/>
  <c r="D709" i="3"/>
  <c r="D2916" i="3"/>
  <c r="D1525" i="3"/>
  <c r="D6586" i="3"/>
  <c r="D1524" i="3"/>
  <c r="D1523" i="3"/>
  <c r="D7154" i="3"/>
  <c r="D320" i="3"/>
  <c r="D1522" i="3"/>
  <c r="D7728" i="3"/>
  <c r="D4344" i="3"/>
  <c r="D2915" i="3"/>
  <c r="D4343" i="3"/>
  <c r="D5753" i="3"/>
  <c r="D886" i="3"/>
  <c r="D3893" i="3"/>
  <c r="D8564" i="3"/>
  <c r="D6875" i="3"/>
  <c r="D7153" i="3"/>
  <c r="D7021" i="3"/>
  <c r="D8949" i="3"/>
  <c r="D1170" i="3"/>
  <c r="D5315" i="3"/>
  <c r="D8563" i="3"/>
  <c r="D4342" i="3"/>
  <c r="D5314" i="3"/>
  <c r="D790" i="3"/>
  <c r="D5944" i="3"/>
  <c r="D414" i="3"/>
  <c r="D1521" i="3"/>
  <c r="D7928" i="3"/>
  <c r="D8213" i="3"/>
  <c r="D2914" i="3"/>
  <c r="D1520" i="3"/>
  <c r="D7927" i="3"/>
  <c r="D1519" i="3"/>
  <c r="D849" i="3"/>
  <c r="D6874" i="3"/>
  <c r="D1518" i="3"/>
  <c r="D2408" i="3"/>
  <c r="D6873" i="3"/>
  <c r="D237" i="3"/>
  <c r="D8475" i="3"/>
  <c r="D708" i="3"/>
  <c r="D8212" i="3"/>
  <c r="D8182" i="3"/>
  <c r="D5313" i="3"/>
  <c r="D2913" i="3"/>
  <c r="D4341" i="3"/>
  <c r="D4340" i="3"/>
  <c r="D2912" i="3"/>
  <c r="D2219" i="3"/>
  <c r="D4339" i="3"/>
  <c r="D2369" i="3"/>
  <c r="D2488" i="3"/>
  <c r="D1021" i="3"/>
  <c r="D3928" i="3"/>
  <c r="D4338" i="3"/>
  <c r="D5312" i="3"/>
  <c r="D825" i="3"/>
  <c r="D2326" i="3"/>
  <c r="D1517" i="3"/>
  <c r="D7152" i="3"/>
  <c r="D3300" i="3"/>
  <c r="D3832" i="3"/>
  <c r="D5943" i="3"/>
  <c r="D2231" i="3"/>
  <c r="D1086" i="3"/>
  <c r="D3410" i="3"/>
  <c r="D3776" i="3"/>
  <c r="D3775" i="3"/>
  <c r="D7659" i="3"/>
  <c r="D2614" i="3"/>
  <c r="D371" i="3"/>
  <c r="D3518" i="3"/>
  <c r="D6456" i="3"/>
  <c r="D8754" i="3"/>
  <c r="D961" i="3"/>
  <c r="D2456" i="3"/>
  <c r="D1516" i="3"/>
  <c r="D6665" i="3"/>
  <c r="D8142" i="3"/>
  <c r="D1515" i="3"/>
  <c r="D6698" i="3"/>
  <c r="D2318" i="3"/>
  <c r="D6697" i="3"/>
  <c r="D4337" i="3"/>
  <c r="D326" i="3"/>
  <c r="D370" i="3"/>
  <c r="D1514" i="3"/>
  <c r="D954" i="3"/>
  <c r="D8753" i="3"/>
  <c r="D1020" i="3"/>
  <c r="D650" i="3"/>
  <c r="D5942" i="3"/>
  <c r="D7327" i="3"/>
  <c r="D7858" i="3"/>
  <c r="D1513" i="3"/>
  <c r="D312" i="3"/>
  <c r="D5715" i="3"/>
  <c r="D5311" i="3"/>
  <c r="D2621" i="3"/>
  <c r="D4336" i="3"/>
  <c r="D1512" i="3"/>
  <c r="D8562" i="3"/>
  <c r="D8752" i="3"/>
  <c r="D4335" i="3"/>
  <c r="D7758" i="3"/>
  <c r="D413" i="3"/>
  <c r="D1511" i="3"/>
  <c r="D1510" i="3"/>
  <c r="D7727" i="3"/>
  <c r="D1509" i="3"/>
  <c r="D4334" i="3"/>
  <c r="D8561" i="3"/>
  <c r="D8948" i="3"/>
  <c r="D2911" i="3"/>
  <c r="D516" i="3"/>
  <c r="D1508" i="3"/>
  <c r="D5310" i="3"/>
  <c r="D4333" i="3"/>
  <c r="D4332" i="3"/>
  <c r="D2910" i="3"/>
  <c r="D3460" i="3"/>
  <c r="D5701" i="3"/>
  <c r="D885" i="3"/>
  <c r="D6632" i="3"/>
  <c r="D6872" i="3"/>
  <c r="D4331" i="3"/>
  <c r="D4330" i="3"/>
  <c r="D6761" i="3"/>
  <c r="D6775" i="3"/>
  <c r="D1507" i="3"/>
  <c r="D2909" i="3"/>
  <c r="D7151" i="3"/>
  <c r="D1506" i="3"/>
  <c r="D5759" i="3"/>
  <c r="D8328" i="3"/>
  <c r="D8560" i="3"/>
  <c r="D7639" i="3"/>
  <c r="D5309" i="3"/>
  <c r="D2487" i="3"/>
  <c r="D4329" i="3"/>
  <c r="D355" i="3"/>
  <c r="D5308" i="3"/>
  <c r="D5307" i="3"/>
  <c r="D5306" i="3"/>
  <c r="D2908" i="3"/>
  <c r="D5941" i="3"/>
  <c r="D6815" i="3"/>
  <c r="D5305" i="3"/>
  <c r="D6610" i="3"/>
  <c r="D1505" i="3"/>
  <c r="D3184" i="3"/>
  <c r="D1504" i="3"/>
  <c r="D547" i="3"/>
  <c r="D3866" i="3"/>
  <c r="D546" i="3"/>
  <c r="D52" i="3"/>
  <c r="D7615" i="3"/>
  <c r="D1503" i="3"/>
  <c r="D7837" i="3"/>
  <c r="D5304" i="3"/>
  <c r="D3409" i="3"/>
  <c r="D6757" i="3"/>
  <c r="D789" i="3"/>
  <c r="D6235" i="3"/>
  <c r="D6127" i="3"/>
  <c r="D3669" i="3"/>
  <c r="D8751" i="3"/>
  <c r="D4328" i="3"/>
  <c r="D2907" i="3"/>
  <c r="D4327" i="3"/>
  <c r="D788" i="3"/>
  <c r="D6203" i="3"/>
  <c r="D6760" i="3"/>
  <c r="D6871" i="3"/>
  <c r="D966" i="3"/>
  <c r="D1502" i="3"/>
  <c r="D7926" i="3"/>
  <c r="D51" i="3"/>
  <c r="D7614" i="3"/>
  <c r="D4326" i="3"/>
  <c r="D2468" i="3"/>
  <c r="D7020" i="3"/>
  <c r="D1501" i="3"/>
  <c r="D4325" i="3"/>
  <c r="D7150" i="3"/>
  <c r="D2266" i="3"/>
  <c r="D5303" i="3"/>
  <c r="D707" i="3"/>
  <c r="D5302" i="3"/>
  <c r="D4324" i="3"/>
  <c r="D7415" i="3"/>
  <c r="D2906" i="3"/>
  <c r="D6664" i="3"/>
  <c r="D8559" i="3"/>
  <c r="D2905" i="3"/>
  <c r="D1019" i="3"/>
  <c r="D4323" i="3"/>
  <c r="D7836" i="3"/>
  <c r="D6790" i="3"/>
  <c r="D4322" i="3"/>
  <c r="D3668" i="3"/>
  <c r="D4321" i="3"/>
  <c r="D2904" i="3"/>
  <c r="D2903" i="3"/>
  <c r="D7257" i="3"/>
  <c r="D4320" i="3"/>
  <c r="D6870" i="3"/>
  <c r="D280" i="3"/>
  <c r="D8211" i="3"/>
  <c r="D2902" i="3"/>
  <c r="D787" i="3"/>
  <c r="D906" i="3"/>
  <c r="D2213" i="3"/>
  <c r="D1500" i="3"/>
  <c r="D7326" i="3"/>
  <c r="D5301" i="3"/>
  <c r="D4319" i="3"/>
  <c r="D7149" i="3"/>
  <c r="D2901" i="3"/>
  <c r="D2368" i="3"/>
  <c r="D2175" i="3"/>
  <c r="D8448" i="3"/>
  <c r="D4318" i="3"/>
  <c r="D5300" i="3"/>
  <c r="D8558" i="3"/>
  <c r="D4317" i="3"/>
  <c r="D7387" i="3"/>
  <c r="D5299" i="3"/>
  <c r="D706" i="3"/>
  <c r="D6402" i="3"/>
  <c r="D3201" i="3"/>
  <c r="D2900" i="3"/>
  <c r="D8009" i="3"/>
  <c r="D4316" i="3"/>
  <c r="D2407" i="3"/>
  <c r="D705" i="3"/>
  <c r="D536" i="3"/>
  <c r="D6533" i="3"/>
  <c r="D1499" i="3"/>
  <c r="D5298" i="3"/>
  <c r="D4315" i="3"/>
  <c r="D5297" i="3"/>
  <c r="D8947" i="3"/>
  <c r="D5296" i="3"/>
  <c r="D786" i="3"/>
  <c r="D354" i="3"/>
  <c r="D5012" i="3"/>
  <c r="D4314" i="3"/>
  <c r="D8240" i="3"/>
  <c r="D953" i="3"/>
  <c r="D3892" i="3"/>
  <c r="D2899" i="3"/>
  <c r="D4313" i="3"/>
  <c r="D2898" i="3"/>
  <c r="D3733" i="3"/>
  <c r="D1498" i="3"/>
  <c r="D1497" i="3"/>
  <c r="D7680" i="3"/>
  <c r="D1140" i="3"/>
  <c r="D5940" i="3"/>
  <c r="D7757" i="3"/>
  <c r="D7283" i="3"/>
  <c r="D4312" i="3"/>
  <c r="D7148" i="3"/>
  <c r="D7658" i="3"/>
  <c r="D5295" i="3"/>
  <c r="D8141" i="3"/>
  <c r="D7414" i="3"/>
  <c r="D412" i="3"/>
  <c r="D2389" i="3"/>
  <c r="D2367" i="3"/>
  <c r="D7325" i="3"/>
  <c r="D616" i="3"/>
  <c r="D1496" i="3"/>
  <c r="D3956" i="3"/>
  <c r="D8750" i="3"/>
  <c r="D7147" i="3"/>
  <c r="D4311" i="3"/>
  <c r="D5939" i="3"/>
  <c r="D8383" i="3"/>
  <c r="D5294" i="3"/>
  <c r="D5938" i="3"/>
  <c r="D2562" i="3"/>
  <c r="D7657" i="3"/>
  <c r="D1495" i="3"/>
  <c r="D4310" i="3"/>
  <c r="D7146" i="3"/>
  <c r="D3822" i="3"/>
  <c r="D7324" i="3"/>
  <c r="D7323" i="3"/>
  <c r="D4309" i="3"/>
  <c r="D5293" i="3"/>
  <c r="D545" i="3"/>
  <c r="D2897" i="3"/>
  <c r="D1494" i="3"/>
  <c r="D1493" i="3"/>
  <c r="D5292" i="3"/>
  <c r="D2896" i="3"/>
  <c r="D8265" i="3"/>
  <c r="D4308" i="3"/>
  <c r="D580" i="3"/>
  <c r="D2895" i="3"/>
  <c r="D4307" i="3"/>
  <c r="D6401" i="3"/>
  <c r="D843" i="3"/>
  <c r="D5291" i="3"/>
  <c r="D8210" i="3"/>
  <c r="D2230" i="3"/>
  <c r="D1492" i="3"/>
  <c r="D7145" i="3"/>
  <c r="D2145" i="3"/>
  <c r="D3376" i="3"/>
  <c r="D4306" i="3"/>
  <c r="D7864" i="3"/>
  <c r="D8461" i="3"/>
  <c r="D1491" i="3"/>
  <c r="D5937" i="3"/>
  <c r="D2419" i="3"/>
  <c r="D5290" i="3"/>
  <c r="D2477" i="3"/>
  <c r="D411" i="3"/>
  <c r="D515" i="3"/>
  <c r="D8181" i="3"/>
  <c r="D8557" i="3"/>
  <c r="D410" i="3"/>
  <c r="D186" i="3"/>
  <c r="D3299" i="3"/>
  <c r="D1126" i="3"/>
  <c r="D4305" i="3"/>
  <c r="D1490" i="3"/>
  <c r="D8209" i="3"/>
  <c r="D7889" i="3"/>
  <c r="D1489" i="3"/>
  <c r="D6696" i="3"/>
  <c r="D1488" i="3"/>
  <c r="D295" i="3"/>
  <c r="D4304" i="3"/>
  <c r="D6869" i="3"/>
  <c r="D7144" i="3"/>
  <c r="D5750" i="3"/>
  <c r="D6868" i="3"/>
  <c r="D89" i="3"/>
  <c r="D3391" i="3"/>
  <c r="D3539" i="3"/>
  <c r="D3720" i="3"/>
  <c r="D5936" i="3"/>
  <c r="D2894" i="3"/>
  <c r="D8946" i="3"/>
  <c r="D2893" i="3"/>
  <c r="D7322" i="3"/>
  <c r="D2892" i="3"/>
  <c r="D8242" i="3"/>
  <c r="D6111" i="3"/>
  <c r="D7321" i="3"/>
  <c r="D7320" i="3"/>
  <c r="D884" i="3"/>
  <c r="D5289" i="3"/>
  <c r="D7622" i="3"/>
  <c r="D839" i="3"/>
  <c r="D5288" i="3"/>
  <c r="D236" i="3"/>
  <c r="D7756" i="3"/>
  <c r="D7859" i="3"/>
  <c r="D7726" i="3"/>
  <c r="D7483" i="3"/>
  <c r="D5287" i="3"/>
  <c r="D866" i="3"/>
  <c r="D8125" i="3"/>
  <c r="D4303" i="3"/>
  <c r="D544" i="3"/>
  <c r="D7482" i="3"/>
  <c r="D2476" i="3"/>
  <c r="D5622" i="3"/>
  <c r="D5935" i="3"/>
  <c r="D3598" i="3"/>
  <c r="D1487" i="3"/>
  <c r="D8237" i="3"/>
  <c r="D1486" i="3"/>
  <c r="D5934" i="3"/>
  <c r="D4302" i="3"/>
  <c r="D2891" i="3"/>
  <c r="D2890" i="3"/>
  <c r="D2889" i="3"/>
  <c r="D2888" i="3"/>
  <c r="D6455" i="3"/>
  <c r="D5933" i="3"/>
  <c r="D3449" i="3"/>
  <c r="D2887" i="3"/>
  <c r="D8556" i="3"/>
  <c r="D1085" i="3"/>
  <c r="D5743" i="3"/>
  <c r="D8555" i="3"/>
  <c r="D3597" i="3"/>
  <c r="D1485" i="3"/>
  <c r="D1484" i="3"/>
  <c r="D4301" i="3"/>
  <c r="D3667" i="3"/>
  <c r="D7319" i="3"/>
  <c r="D8474" i="3"/>
  <c r="D4300" i="3"/>
  <c r="D5286" i="3"/>
  <c r="D5932" i="3"/>
  <c r="D1483" i="3"/>
  <c r="D7925" i="3"/>
  <c r="D5727" i="3"/>
  <c r="D4299" i="3"/>
  <c r="D5285" i="3"/>
  <c r="D91" i="3"/>
  <c r="D5011" i="3"/>
  <c r="D1076" i="3"/>
  <c r="D2886" i="3"/>
  <c r="D6979" i="3"/>
  <c r="D4298" i="3"/>
  <c r="D7256" i="3"/>
  <c r="D6454" i="3"/>
  <c r="D3947" i="3"/>
  <c r="D4297" i="3"/>
  <c r="D6695" i="3"/>
  <c r="D543" i="3"/>
  <c r="D5284" i="3"/>
  <c r="D5931" i="3"/>
  <c r="D4296" i="3"/>
  <c r="D5283" i="3"/>
  <c r="D3408" i="3"/>
  <c r="D4295" i="3"/>
  <c r="D6694" i="3"/>
  <c r="D2885" i="3"/>
  <c r="D5282" i="3"/>
  <c r="D2884" i="3"/>
  <c r="D2246" i="3"/>
  <c r="D4294" i="3"/>
  <c r="D5281" i="3"/>
  <c r="D8749" i="3"/>
  <c r="D6532" i="3"/>
  <c r="D6622" i="3"/>
  <c r="D4293" i="3"/>
  <c r="D8452" i="3"/>
  <c r="D7143" i="3"/>
  <c r="D2214" i="3"/>
  <c r="D3459" i="3"/>
  <c r="D4292" i="3"/>
  <c r="D4291" i="3"/>
  <c r="D1482" i="3"/>
  <c r="D8408" i="3"/>
  <c r="D1481" i="3"/>
  <c r="D5280" i="3"/>
  <c r="D2129" i="3"/>
  <c r="D830" i="3"/>
  <c r="D6693" i="3"/>
  <c r="D1084" i="3"/>
  <c r="D6661" i="3"/>
  <c r="D5279" i="3"/>
  <c r="D3761" i="3"/>
  <c r="D8748" i="3"/>
  <c r="D331" i="3"/>
  <c r="D8327" i="3"/>
  <c r="D4290" i="3"/>
  <c r="D1018" i="3"/>
  <c r="D7725" i="3"/>
  <c r="D1480" i="3"/>
  <c r="D7835" i="3"/>
  <c r="D4289" i="3"/>
  <c r="D2883" i="3"/>
  <c r="D4288" i="3"/>
  <c r="D5930" i="3"/>
  <c r="D1017" i="3"/>
  <c r="D2882" i="3"/>
  <c r="D1097" i="3"/>
  <c r="D5929" i="3"/>
  <c r="D4287" i="3"/>
  <c r="D7255" i="3"/>
  <c r="D2555" i="3"/>
  <c r="D5278" i="3"/>
  <c r="D2205" i="3"/>
  <c r="D8554" i="3"/>
  <c r="D2265" i="3"/>
  <c r="D2881" i="3"/>
  <c r="D340" i="3"/>
  <c r="D4286" i="3"/>
  <c r="D5277" i="3"/>
  <c r="D5276" i="3"/>
  <c r="D963" i="3"/>
  <c r="D4285" i="3"/>
  <c r="D1479" i="3"/>
  <c r="D1478" i="3"/>
  <c r="D1016" i="3"/>
  <c r="D542" i="3"/>
  <c r="D5275" i="3"/>
  <c r="D6814" i="3"/>
  <c r="D1477" i="3"/>
  <c r="D4284" i="3"/>
  <c r="D2624" i="3"/>
  <c r="D207" i="3"/>
  <c r="D8382" i="3"/>
  <c r="D5741" i="3"/>
  <c r="D1476" i="3"/>
  <c r="D3528" i="3"/>
  <c r="D7755" i="3"/>
  <c r="D4283" i="3"/>
  <c r="D5274" i="3"/>
  <c r="D260" i="3"/>
  <c r="D8553" i="3"/>
  <c r="D5273" i="3"/>
  <c r="D938" i="3"/>
  <c r="D481" i="3"/>
  <c r="D2470" i="3"/>
  <c r="D5272" i="3"/>
  <c r="D294" i="3"/>
  <c r="D1475" i="3"/>
  <c r="D6439" i="3"/>
  <c r="D1474" i="3"/>
  <c r="D649" i="3"/>
  <c r="D1473" i="3"/>
  <c r="D4282" i="3"/>
  <c r="D7318" i="3"/>
  <c r="D5271" i="3"/>
  <c r="D883" i="3"/>
  <c r="D6867" i="3"/>
  <c r="D4281" i="3"/>
  <c r="D5270" i="3"/>
  <c r="D465" i="3"/>
  <c r="D1472" i="3"/>
  <c r="D5269" i="3"/>
  <c r="D8747" i="3"/>
  <c r="D5268" i="3"/>
  <c r="D2445" i="3"/>
  <c r="D7724" i="3"/>
  <c r="D1139" i="3"/>
  <c r="D3732" i="3"/>
  <c r="D5928" i="3"/>
  <c r="D7142" i="3"/>
  <c r="D4280" i="3"/>
  <c r="D7141" i="3"/>
  <c r="D4279" i="3"/>
  <c r="D5267" i="3"/>
  <c r="D2544" i="3"/>
  <c r="D8462" i="3"/>
  <c r="D7723" i="3"/>
  <c r="D4278" i="3"/>
  <c r="D8326" i="3"/>
  <c r="D8381" i="3"/>
  <c r="D3562" i="3"/>
  <c r="D304" i="3"/>
  <c r="D5266" i="3"/>
  <c r="D5265" i="3"/>
  <c r="D4277" i="3"/>
  <c r="D1471" i="3"/>
  <c r="D378" i="3"/>
  <c r="D4276" i="3"/>
  <c r="D6692" i="3"/>
  <c r="D6866" i="3"/>
  <c r="D3527" i="3"/>
  <c r="D4275" i="3"/>
  <c r="D4274" i="3"/>
  <c r="D8473" i="3"/>
  <c r="D5264" i="3"/>
  <c r="D409" i="3"/>
  <c r="D303" i="3"/>
  <c r="D6865" i="3"/>
  <c r="D7140" i="3"/>
  <c r="D6202" i="3"/>
  <c r="D6621" i="3"/>
  <c r="D351" i="3"/>
  <c r="D2880" i="3"/>
  <c r="D8472" i="3"/>
  <c r="D5263" i="3"/>
  <c r="D8464" i="3"/>
  <c r="D4273" i="3"/>
  <c r="D5262" i="3"/>
  <c r="D2879" i="3"/>
  <c r="D6864" i="3"/>
  <c r="D2633" i="3"/>
  <c r="D6691" i="3"/>
  <c r="D7636" i="3"/>
  <c r="D579" i="3"/>
  <c r="D7635" i="3"/>
  <c r="D9000" i="3"/>
  <c r="D4272" i="3"/>
  <c r="D5714" i="3"/>
  <c r="D8113" i="3"/>
  <c r="D2878" i="3"/>
  <c r="D5261" i="3"/>
  <c r="D1470" i="3"/>
  <c r="D5927" i="3"/>
  <c r="D9" i="3"/>
  <c r="D7139" i="3"/>
  <c r="D3731" i="3"/>
  <c r="D882" i="3"/>
  <c r="D5260" i="3"/>
  <c r="D2877" i="3"/>
  <c r="D7754" i="3"/>
  <c r="D6690" i="3"/>
  <c r="D6206" i="3"/>
  <c r="D4271" i="3"/>
  <c r="D8264" i="3"/>
  <c r="D1469" i="3"/>
  <c r="D2559" i="3"/>
  <c r="D8746" i="3"/>
  <c r="D8208" i="3"/>
  <c r="D5259" i="3"/>
  <c r="D1468" i="3"/>
  <c r="D8745" i="3"/>
  <c r="D5258" i="3"/>
  <c r="D5700" i="3"/>
  <c r="D2876" i="3"/>
  <c r="D7138" i="3"/>
  <c r="D3375" i="3"/>
  <c r="D5926" i="3"/>
  <c r="D5925" i="3"/>
  <c r="D7317" i="3"/>
  <c r="D8552" i="3"/>
  <c r="D514" i="3"/>
  <c r="D2396" i="3"/>
  <c r="D5257" i="3"/>
  <c r="D1467" i="3"/>
  <c r="D1466" i="3"/>
  <c r="D5749" i="3"/>
  <c r="D6863" i="3"/>
  <c r="D8451" i="3"/>
  <c r="D3407" i="3"/>
  <c r="D513" i="3"/>
  <c r="D8138" i="3"/>
  <c r="D648" i="3"/>
  <c r="D6531" i="3"/>
  <c r="D3596" i="3"/>
  <c r="D5256" i="3"/>
  <c r="D8247" i="3"/>
  <c r="D817" i="3"/>
  <c r="D8447" i="3"/>
  <c r="D1465" i="3"/>
  <c r="D7137" i="3"/>
  <c r="D6530" i="3"/>
  <c r="D2150" i="3"/>
  <c r="D3870" i="3"/>
  <c r="D6862" i="3"/>
  <c r="D377" i="3"/>
  <c r="D155" i="3"/>
  <c r="D3298" i="3"/>
  <c r="D8137" i="3"/>
  <c r="D5683" i="3"/>
  <c r="D1015" i="3"/>
  <c r="D6299" i="3"/>
  <c r="D2875" i="3"/>
  <c r="D2653" i="3"/>
  <c r="D7634" i="3"/>
  <c r="D129" i="3"/>
  <c r="D5255" i="3"/>
  <c r="D4986" i="3"/>
  <c r="D2647" i="3"/>
  <c r="D3932" i="3"/>
  <c r="D1464" i="3"/>
  <c r="D1463" i="3"/>
  <c r="D362" i="3"/>
  <c r="D6861" i="3"/>
  <c r="D5254" i="3"/>
  <c r="D5253" i="3"/>
  <c r="D5252" i="3"/>
  <c r="D7136" i="3"/>
  <c r="D1462" i="3"/>
  <c r="D7135" i="3"/>
  <c r="D1461" i="3"/>
  <c r="D3760" i="3"/>
  <c r="D4270" i="3"/>
  <c r="D6263" i="3"/>
  <c r="D7134" i="3"/>
  <c r="D842" i="3"/>
  <c r="D6978" i="3"/>
  <c r="D6108" i="3"/>
  <c r="D302" i="3"/>
  <c r="D1460" i="3"/>
  <c r="D1459" i="3"/>
  <c r="D4269" i="3"/>
  <c r="D3803" i="3"/>
  <c r="D1458" i="3"/>
  <c r="D5642" i="3"/>
  <c r="D4268" i="3"/>
  <c r="D408" i="3"/>
  <c r="D259" i="3"/>
  <c r="D4267" i="3"/>
  <c r="D8744" i="3"/>
  <c r="D3891" i="3"/>
  <c r="D94" i="3"/>
  <c r="D1169" i="3"/>
  <c r="D5251" i="3"/>
  <c r="D1083" i="3"/>
  <c r="D841" i="3"/>
  <c r="D4266" i="3"/>
  <c r="D4265" i="3"/>
  <c r="D5250" i="3"/>
  <c r="D6245" i="3"/>
  <c r="D1457" i="3"/>
  <c r="D578" i="3"/>
  <c r="D4264" i="3"/>
  <c r="D1014" i="3"/>
  <c r="D2615" i="3"/>
  <c r="D5249" i="3"/>
  <c r="D70" i="3"/>
  <c r="D361" i="3"/>
  <c r="D293" i="3"/>
  <c r="D2874" i="3"/>
  <c r="D647" i="3"/>
  <c r="D4263" i="3"/>
  <c r="D7284" i="3"/>
  <c r="D4262" i="3"/>
  <c r="D4261" i="3"/>
  <c r="D1082" i="3"/>
  <c r="D2229" i="3"/>
  <c r="D5248" i="3"/>
  <c r="D7133" i="3"/>
  <c r="D577" i="3"/>
  <c r="D6262" i="3"/>
  <c r="D5685" i="3"/>
  <c r="D2873" i="3"/>
  <c r="D255" i="3"/>
  <c r="D4260" i="3"/>
  <c r="D80" i="3"/>
  <c r="D2543" i="3"/>
  <c r="D2191" i="3"/>
  <c r="D8112" i="3"/>
  <c r="D140" i="3"/>
  <c r="D6107" i="3"/>
  <c r="D1168" i="3"/>
  <c r="D1456" i="3"/>
  <c r="D8236" i="3"/>
  <c r="D4259" i="3"/>
  <c r="D40" i="3"/>
  <c r="D4981" i="3"/>
  <c r="D8505" i="3"/>
  <c r="D5247" i="3"/>
  <c r="D7132" i="3"/>
  <c r="D3648" i="3"/>
  <c r="D8945" i="3"/>
  <c r="D1455" i="3"/>
  <c r="D1454" i="3"/>
  <c r="D8164" i="3"/>
  <c r="D2542" i="3"/>
  <c r="D6238" i="3"/>
  <c r="D143" i="3"/>
  <c r="D8551" i="3"/>
  <c r="D6276" i="3"/>
  <c r="D5246" i="3"/>
  <c r="D98" i="3"/>
  <c r="D5010" i="3"/>
  <c r="D5245" i="3"/>
  <c r="D5924" i="3"/>
  <c r="D4258" i="3"/>
  <c r="D6164" i="3"/>
  <c r="D1453" i="3"/>
  <c r="D1452" i="3"/>
  <c r="D1081" i="3"/>
  <c r="D1451" i="3"/>
  <c r="D2510" i="3"/>
  <c r="D2264" i="3"/>
  <c r="D7019" i="3"/>
  <c r="D6620" i="3"/>
  <c r="D4257" i="3"/>
  <c r="D6163" i="3"/>
  <c r="D4256" i="3"/>
  <c r="D8550" i="3"/>
  <c r="D7753" i="3"/>
  <c r="D1450" i="3"/>
  <c r="D6126" i="3"/>
  <c r="D3554" i="3"/>
  <c r="D3955" i="3"/>
  <c r="D913" i="3"/>
  <c r="D864" i="3"/>
  <c r="D7131" i="3"/>
  <c r="D3703" i="3"/>
  <c r="D6813" i="3"/>
  <c r="D3919" i="3"/>
  <c r="D7130" i="3"/>
  <c r="D2221" i="3"/>
  <c r="D5923" i="3"/>
  <c r="D7129" i="3"/>
  <c r="D3854" i="3"/>
  <c r="D785" i="3"/>
  <c r="D2289" i="3"/>
  <c r="D3444" i="3"/>
  <c r="D7594" i="3"/>
  <c r="D3702" i="3"/>
  <c r="D7593" i="3"/>
  <c r="D178" i="3"/>
  <c r="D3443" i="3"/>
  <c r="D7592" i="3"/>
  <c r="D7591" i="3"/>
  <c r="D7128" i="3"/>
  <c r="D7127" i="3"/>
  <c r="D7126" i="3"/>
  <c r="D5244" i="3"/>
  <c r="D221" i="3"/>
  <c r="D7590" i="3"/>
  <c r="D7589" i="3"/>
  <c r="D5243" i="3"/>
  <c r="D5242" i="3"/>
  <c r="D5730" i="3"/>
  <c r="D7588" i="3"/>
  <c r="D3297" i="3"/>
  <c r="D3701" i="3"/>
  <c r="D1449" i="3"/>
  <c r="D1080" i="3"/>
  <c r="D7587" i="3"/>
  <c r="D7018" i="3"/>
  <c r="D2220" i="3"/>
  <c r="D5922" i="3"/>
  <c r="D385" i="3"/>
  <c r="D7125" i="3"/>
  <c r="D8091" i="3"/>
  <c r="D8090" i="3"/>
  <c r="D384" i="3"/>
  <c r="D308" i="3"/>
  <c r="D5241" i="3"/>
  <c r="D1448" i="3"/>
  <c r="D8089" i="3"/>
  <c r="D220" i="3"/>
  <c r="D8088" i="3"/>
  <c r="D383" i="3"/>
  <c r="D7586" i="3"/>
  <c r="D4255" i="3"/>
  <c r="D5921" i="3"/>
  <c r="D3183" i="3"/>
  <c r="D177" i="3"/>
  <c r="D3700" i="3"/>
  <c r="D5920" i="3"/>
  <c r="D6763" i="3"/>
  <c r="D7124" i="3"/>
  <c r="D8743" i="3"/>
  <c r="D247" i="3"/>
  <c r="D5919" i="3"/>
  <c r="D7017" i="3"/>
  <c r="D8742" i="3"/>
  <c r="D219" i="3"/>
  <c r="D218" i="3"/>
  <c r="D6633" i="3"/>
  <c r="D8087" i="3"/>
  <c r="D8086" i="3"/>
  <c r="D1447" i="3"/>
  <c r="D1446" i="3"/>
  <c r="D5240" i="3"/>
  <c r="D1445" i="3"/>
  <c r="D6272" i="3"/>
  <c r="D3853" i="3"/>
  <c r="D784" i="3"/>
  <c r="D3296" i="3"/>
  <c r="D2872" i="3"/>
  <c r="D5918" i="3"/>
  <c r="D7585" i="3"/>
  <c r="D3295" i="3"/>
  <c r="D7016" i="3"/>
  <c r="D4254" i="3"/>
  <c r="D7015" i="3"/>
  <c r="D5239" i="3"/>
  <c r="D4253" i="3"/>
  <c r="D4252" i="3"/>
  <c r="D6563" i="3"/>
  <c r="D8085" i="3"/>
  <c r="D1444" i="3"/>
  <c r="D3640" i="3"/>
  <c r="D1443" i="3"/>
  <c r="D8741" i="3"/>
  <c r="D6234" i="3"/>
  <c r="D8013" i="3"/>
  <c r="D5917" i="3"/>
  <c r="D7123" i="3"/>
  <c r="D8124" i="3"/>
  <c r="D8944" i="3"/>
  <c r="D918" i="3"/>
  <c r="D7399" i="3"/>
  <c r="D5009" i="3"/>
  <c r="D8740" i="3"/>
  <c r="D2284" i="3"/>
  <c r="D1442" i="3"/>
  <c r="D8739" i="3"/>
  <c r="D8084" i="3"/>
  <c r="D217" i="3"/>
  <c r="D3294" i="3"/>
  <c r="D5916" i="3"/>
  <c r="D2871" i="3"/>
  <c r="D3699" i="3"/>
  <c r="D5238" i="3"/>
  <c r="D3293" i="3"/>
  <c r="D7014" i="3"/>
  <c r="D8943" i="3"/>
  <c r="D1167" i="3"/>
  <c r="D7481" i="3"/>
  <c r="D630" i="3"/>
  <c r="D3182" i="3"/>
  <c r="D4251" i="3"/>
  <c r="D6571" i="3"/>
  <c r="D4250" i="3"/>
  <c r="D5237" i="3"/>
  <c r="D980" i="3"/>
  <c r="D5236" i="3"/>
  <c r="D5235" i="3"/>
  <c r="D8738" i="3"/>
  <c r="D4249" i="3"/>
  <c r="D3548" i="3"/>
  <c r="D4248" i="3"/>
  <c r="D8737" i="3"/>
  <c r="D7480" i="3"/>
  <c r="D8736" i="3"/>
  <c r="D7122" i="3"/>
  <c r="D8419" i="3"/>
  <c r="D2870" i="3"/>
  <c r="D6529" i="3"/>
  <c r="D206" i="3"/>
  <c r="D8735" i="3"/>
  <c r="D1441" i="3"/>
  <c r="D1440" i="3"/>
  <c r="D2869" i="3"/>
  <c r="D246" i="3"/>
  <c r="D2576" i="3"/>
  <c r="D6860" i="3"/>
  <c r="D5915" i="3"/>
  <c r="D6812" i="3"/>
  <c r="D2575" i="3"/>
  <c r="D3292" i="3"/>
  <c r="D5234" i="3"/>
  <c r="D407" i="3"/>
  <c r="D382" i="3"/>
  <c r="D3291" i="3"/>
  <c r="D7479" i="3"/>
  <c r="D5914" i="3"/>
  <c r="D8155" i="3"/>
  <c r="D1439" i="3"/>
  <c r="D3290" i="3"/>
  <c r="D1438" i="3"/>
  <c r="D3289" i="3"/>
  <c r="D216" i="3"/>
  <c r="D2327" i="3"/>
  <c r="D8734" i="3"/>
  <c r="D3288" i="3"/>
  <c r="D5913" i="3"/>
  <c r="D285" i="3"/>
  <c r="D8901" i="3"/>
  <c r="D629" i="3"/>
  <c r="D7013" i="3"/>
  <c r="D6689" i="3"/>
  <c r="D4247" i="3"/>
  <c r="D4246" i="3"/>
  <c r="D4245" i="3"/>
  <c r="D8008" i="3"/>
  <c r="D245" i="3"/>
  <c r="D4244" i="3"/>
  <c r="D4243" i="3"/>
  <c r="D7752" i="3"/>
  <c r="D7751" i="3"/>
  <c r="D905" i="3"/>
  <c r="D7012" i="3"/>
  <c r="D7478" i="3"/>
  <c r="D8733" i="3"/>
  <c r="D3287" i="3"/>
  <c r="D7750" i="3"/>
  <c r="D1166" i="3"/>
  <c r="D5233" i="3"/>
  <c r="D4242" i="3"/>
  <c r="D4241" i="3"/>
  <c r="D8732" i="3"/>
  <c r="D3759" i="3"/>
  <c r="D1059" i="3"/>
  <c r="D6400" i="3"/>
  <c r="D4240" i="3"/>
  <c r="D5660" i="3"/>
  <c r="D8731" i="3"/>
  <c r="D2868" i="3"/>
  <c r="D205" i="3"/>
  <c r="D4239" i="3"/>
  <c r="D8325" i="3"/>
  <c r="D8324" i="3"/>
  <c r="D8270" i="3"/>
  <c r="D3181" i="3"/>
  <c r="D5008" i="3"/>
  <c r="D5912" i="3"/>
  <c r="D1437" i="3"/>
  <c r="D6528" i="3"/>
  <c r="D862" i="3"/>
  <c r="D4238" i="3"/>
  <c r="D6688" i="3"/>
  <c r="D6527" i="3"/>
  <c r="D6619" i="3"/>
  <c r="D1436" i="3"/>
  <c r="D2509" i="3"/>
  <c r="D956" i="3"/>
  <c r="D1435" i="3"/>
  <c r="D1208" i="3"/>
  <c r="D5232" i="3"/>
  <c r="D5911" i="3"/>
  <c r="D8730" i="3"/>
  <c r="D6228" i="3"/>
  <c r="D7011" i="3"/>
  <c r="D7749" i="3"/>
  <c r="D8729" i="3"/>
  <c r="D5910" i="3"/>
  <c r="D7254" i="3"/>
  <c r="D4237" i="3"/>
  <c r="D8323" i="3"/>
  <c r="D3406" i="3"/>
  <c r="D1104" i="3"/>
  <c r="D7121" i="3"/>
  <c r="D8322" i="3"/>
  <c r="D4236" i="3"/>
  <c r="D5909" i="3"/>
  <c r="D8321" i="3"/>
  <c r="D8083" i="3"/>
  <c r="D7010" i="3"/>
  <c r="D6268" i="3"/>
  <c r="D6526" i="3"/>
  <c r="D5908" i="3"/>
  <c r="D7477" i="3"/>
  <c r="D8549" i="3"/>
  <c r="D204" i="3"/>
  <c r="D5907" i="3"/>
  <c r="D7120" i="3"/>
  <c r="D6618" i="3"/>
  <c r="D2867" i="3"/>
  <c r="D333" i="3"/>
  <c r="D5699" i="3"/>
  <c r="D4235" i="3"/>
  <c r="D2631" i="3"/>
  <c r="D1434" i="3"/>
  <c r="D3965" i="3"/>
  <c r="D6687" i="3"/>
  <c r="D7584" i="3"/>
  <c r="D2866" i="3"/>
  <c r="D8728" i="3"/>
  <c r="D8942" i="3"/>
  <c r="D2609" i="3"/>
  <c r="D8320" i="3"/>
  <c r="D5729" i="3"/>
  <c r="D3547" i="3"/>
  <c r="D1013" i="3"/>
  <c r="D576" i="3"/>
  <c r="D575" i="3"/>
  <c r="D353" i="3"/>
  <c r="D1433" i="3"/>
  <c r="D7119" i="3"/>
  <c r="D3286" i="3"/>
  <c r="D7009" i="3"/>
  <c r="D7748" i="3"/>
  <c r="D7008" i="3"/>
  <c r="D5906" i="3"/>
  <c r="D2128" i="3"/>
  <c r="D5231" i="3"/>
  <c r="D6274" i="3"/>
  <c r="D8904" i="3"/>
  <c r="D7476" i="3"/>
  <c r="D1432" i="3"/>
  <c r="D8319" i="3"/>
  <c r="D8941" i="3"/>
  <c r="D1431" i="3"/>
  <c r="D3285" i="3"/>
  <c r="D8318" i="3"/>
  <c r="D2595" i="3"/>
  <c r="D4234" i="3"/>
  <c r="D203" i="3"/>
  <c r="D1012" i="3"/>
  <c r="D2366" i="3"/>
  <c r="D4233" i="3"/>
  <c r="D6686" i="3"/>
  <c r="D5230" i="3"/>
  <c r="D2204" i="3"/>
  <c r="D7386" i="3"/>
  <c r="D7475" i="3"/>
  <c r="D8012" i="3"/>
  <c r="D3774" i="3"/>
  <c r="D904" i="3"/>
  <c r="D8727" i="3"/>
  <c r="D5229" i="3"/>
  <c r="D1430" i="3"/>
  <c r="D8940" i="3"/>
  <c r="D8939" i="3"/>
  <c r="D8938" i="3"/>
  <c r="D869" i="3"/>
  <c r="D5905" i="3"/>
  <c r="D6125" i="3"/>
  <c r="D3553" i="3"/>
  <c r="D5904" i="3"/>
  <c r="D7474" i="3"/>
  <c r="D1103" i="3"/>
  <c r="D6649" i="3"/>
  <c r="D704" i="3"/>
  <c r="D6685" i="3"/>
  <c r="D6617" i="3"/>
  <c r="D369" i="3"/>
  <c r="D4232" i="3"/>
  <c r="D7118" i="3"/>
  <c r="D2594" i="3"/>
  <c r="D6399" i="3"/>
  <c r="D5228" i="3"/>
  <c r="D6771" i="3"/>
  <c r="D3517" i="3"/>
  <c r="D931" i="3"/>
  <c r="D7901" i="3"/>
  <c r="D4231" i="3"/>
  <c r="D2865" i="3"/>
  <c r="D8317" i="3"/>
  <c r="D7473" i="3"/>
  <c r="D7472" i="3"/>
  <c r="D185" i="3"/>
  <c r="D5227" i="3"/>
  <c r="D8418" i="3"/>
  <c r="D6660" i="3"/>
  <c r="D6659" i="3"/>
  <c r="D1429" i="3"/>
  <c r="D2365" i="3"/>
  <c r="D7007" i="3"/>
  <c r="D6570" i="3"/>
  <c r="D1428" i="3"/>
  <c r="D8726" i="3"/>
  <c r="D1427" i="3"/>
  <c r="D8937" i="3"/>
  <c r="D2508" i="3"/>
  <c r="D4230" i="3"/>
  <c r="D5903" i="3"/>
  <c r="D1426" i="3"/>
  <c r="D2864" i="3"/>
  <c r="D2329" i="3"/>
  <c r="D8936" i="3"/>
  <c r="D5902" i="3"/>
  <c r="D2210" i="3"/>
  <c r="D1425" i="3"/>
  <c r="D7471" i="3"/>
  <c r="D8725" i="3"/>
  <c r="D3458" i="3"/>
  <c r="D2863" i="3"/>
  <c r="D7470" i="3"/>
  <c r="D574" i="3"/>
  <c r="D7469" i="3"/>
  <c r="D5226" i="3"/>
  <c r="D946" i="3"/>
  <c r="D7747" i="3"/>
  <c r="D3284" i="3"/>
  <c r="D7583" i="3"/>
  <c r="D2364" i="3"/>
  <c r="D3546" i="3"/>
  <c r="D1424" i="3"/>
  <c r="D2558" i="3"/>
  <c r="D8935" i="3"/>
  <c r="D330" i="3"/>
  <c r="D316" i="3"/>
  <c r="D2862" i="3"/>
  <c r="D8123" i="3"/>
  <c r="D2259" i="3"/>
  <c r="D8316" i="3"/>
  <c r="D8315" i="3"/>
  <c r="D5007" i="3"/>
  <c r="D2312" i="3"/>
  <c r="D8082" i="3"/>
  <c r="D7117" i="3"/>
  <c r="D628" i="3"/>
  <c r="D8269" i="3"/>
  <c r="D202" i="3"/>
  <c r="D7468" i="3"/>
  <c r="D7746" i="3"/>
  <c r="D1058" i="3"/>
  <c r="D6961" i="3"/>
  <c r="D5901" i="3"/>
  <c r="D7467" i="3"/>
  <c r="D5225" i="3"/>
  <c r="D5900" i="3"/>
  <c r="D5899" i="3"/>
  <c r="D8122" i="3"/>
  <c r="D8081" i="3"/>
  <c r="D5224" i="3"/>
  <c r="D201" i="3"/>
  <c r="D319" i="3"/>
  <c r="D834" i="3"/>
  <c r="D7679" i="3"/>
  <c r="D8548" i="3"/>
  <c r="D6859" i="3"/>
  <c r="D5006" i="3"/>
  <c r="D1057" i="3"/>
  <c r="D3698" i="3"/>
  <c r="D1011" i="3"/>
  <c r="D5898" i="3"/>
  <c r="D1423" i="3"/>
  <c r="D8116" i="3"/>
  <c r="D8000" i="3"/>
  <c r="D3837" i="3"/>
  <c r="D6684" i="3"/>
  <c r="D8080" i="3"/>
  <c r="D6398" i="3"/>
  <c r="D3852" i="3"/>
  <c r="D783" i="3"/>
  <c r="D3283" i="3"/>
  <c r="D627" i="3"/>
  <c r="D3442" i="3"/>
  <c r="D1422" i="3"/>
  <c r="D703" i="3"/>
  <c r="D1421" i="3"/>
  <c r="D6634" i="3"/>
  <c r="D7466" i="3"/>
  <c r="D1420" i="3"/>
  <c r="D5897" i="3"/>
  <c r="D7745" i="3"/>
  <c r="D4229" i="3"/>
  <c r="D8174" i="3"/>
  <c r="D7424" i="3"/>
  <c r="D7116" i="3"/>
  <c r="D8268" i="3"/>
  <c r="D7115" i="3"/>
  <c r="D8724" i="3"/>
  <c r="D2455" i="3"/>
  <c r="D5223" i="3"/>
  <c r="D7465" i="3"/>
  <c r="D2169" i="3"/>
  <c r="D5222" i="3"/>
  <c r="D3405" i="3"/>
  <c r="D7744" i="3"/>
  <c r="D6305" i="3"/>
  <c r="D4228" i="3"/>
  <c r="D5221" i="3"/>
  <c r="D4227" i="3"/>
  <c r="D3282" i="3"/>
  <c r="D5896" i="3"/>
  <c r="D8723" i="3"/>
  <c r="D2328" i="3"/>
  <c r="D8079" i="3"/>
  <c r="D4226" i="3"/>
  <c r="D6183" i="3"/>
  <c r="D3281" i="3"/>
  <c r="D4225" i="3"/>
  <c r="D6525" i="3"/>
  <c r="D5220" i="3"/>
  <c r="D3595" i="3"/>
  <c r="D5758" i="3"/>
  <c r="D7834" i="3"/>
  <c r="D6789" i="3"/>
  <c r="D1419" i="3"/>
  <c r="D1165" i="3"/>
  <c r="D3851" i="3"/>
  <c r="D782" i="3"/>
  <c r="D5895" i="3"/>
  <c r="D6397" i="3"/>
  <c r="D8934" i="3"/>
  <c r="D8722" i="3"/>
  <c r="D3850" i="3"/>
  <c r="D781" i="3"/>
  <c r="D8721" i="3"/>
  <c r="D4224" i="3"/>
  <c r="D1418" i="3"/>
  <c r="D7924" i="3"/>
  <c r="D1417" i="3"/>
  <c r="D7923" i="3"/>
  <c r="D6524" i="3"/>
  <c r="D7464" i="3"/>
  <c r="D6182" i="3"/>
  <c r="D6285" i="3"/>
  <c r="D1416" i="3"/>
  <c r="D2593" i="3"/>
  <c r="D1415" i="3"/>
  <c r="D2861" i="3"/>
  <c r="D2127" i="3"/>
  <c r="D4223" i="3"/>
  <c r="D5894" i="3"/>
  <c r="D5219" i="3"/>
  <c r="D8547" i="3"/>
  <c r="D5218" i="3"/>
  <c r="D861" i="3"/>
  <c r="D5217" i="3"/>
  <c r="D6181" i="3"/>
  <c r="D7463" i="3"/>
  <c r="D7006" i="3"/>
  <c r="D6162" i="3"/>
  <c r="D7398" i="3"/>
  <c r="D2303" i="3"/>
  <c r="D4222" i="3"/>
  <c r="D3280" i="3"/>
  <c r="D702" i="3"/>
  <c r="D3890" i="3"/>
  <c r="D6253" i="3"/>
  <c r="D4221" i="3"/>
  <c r="D2203" i="3"/>
  <c r="D4220" i="3"/>
  <c r="D4219" i="3"/>
  <c r="D5893" i="3"/>
  <c r="D7114" i="3"/>
  <c r="D2860" i="3"/>
  <c r="D5216" i="3"/>
  <c r="D6595" i="3"/>
  <c r="D184" i="3"/>
  <c r="D6396" i="3"/>
  <c r="D4218" i="3"/>
  <c r="D7113" i="3"/>
  <c r="D6395" i="3"/>
  <c r="D8154" i="3"/>
  <c r="D8257" i="3"/>
  <c r="D6569" i="3"/>
  <c r="D1414" i="3"/>
  <c r="D8933" i="3"/>
  <c r="D2859" i="3"/>
  <c r="D6473" i="3"/>
  <c r="D4217" i="3"/>
  <c r="D6658" i="3"/>
  <c r="D3279" i="3"/>
  <c r="D2858" i="3"/>
  <c r="D480" i="3"/>
  <c r="D8535" i="3"/>
  <c r="D646" i="3"/>
  <c r="D7462" i="3"/>
  <c r="D1413" i="3"/>
  <c r="D2857" i="3"/>
  <c r="D1412" i="3"/>
  <c r="D3594" i="3"/>
  <c r="D1411" i="3"/>
  <c r="D2574" i="3"/>
  <c r="D1010" i="3"/>
  <c r="D6180" i="3"/>
  <c r="D937" i="3"/>
  <c r="D6523" i="3"/>
  <c r="D8446" i="3"/>
  <c r="D2179" i="3"/>
  <c r="D6960" i="3"/>
  <c r="D8720" i="3"/>
  <c r="D8719" i="3"/>
  <c r="D7461" i="3"/>
  <c r="D1410" i="3"/>
  <c r="D8078" i="3"/>
  <c r="D4216" i="3"/>
  <c r="D4215" i="3"/>
  <c r="D8718" i="3"/>
  <c r="D8534" i="3"/>
  <c r="D1409" i="3"/>
  <c r="D8256" i="3"/>
  <c r="D8158" i="3"/>
  <c r="D311" i="3"/>
  <c r="D7112" i="3"/>
  <c r="D1408" i="3"/>
  <c r="D2300" i="3"/>
  <c r="D7863" i="3"/>
  <c r="D7460" i="3"/>
  <c r="D7385" i="3"/>
  <c r="D7672" i="3"/>
  <c r="D6472" i="3"/>
  <c r="D2496" i="3"/>
  <c r="D8546" i="3"/>
  <c r="D1407" i="3"/>
  <c r="D7459" i="3"/>
  <c r="D4214" i="3"/>
  <c r="D2856" i="3"/>
  <c r="D3278" i="3"/>
  <c r="D7111" i="3"/>
  <c r="D8417" i="3"/>
  <c r="D6142" i="3"/>
  <c r="D6629" i="3"/>
  <c r="D3550" i="3"/>
  <c r="D859" i="3"/>
  <c r="D4213" i="3"/>
  <c r="D6858" i="3"/>
  <c r="D7877" i="3"/>
  <c r="D5892" i="3"/>
  <c r="D5215" i="3"/>
  <c r="D1406" i="3"/>
  <c r="D6977" i="3"/>
  <c r="D7413" i="3"/>
  <c r="D5891" i="3"/>
  <c r="D3927" i="3"/>
  <c r="D7384" i="3"/>
  <c r="D5678" i="3"/>
  <c r="D2855" i="3"/>
  <c r="D7458" i="3"/>
  <c r="D5890" i="3"/>
  <c r="D2342" i="3"/>
  <c r="D6767" i="3"/>
  <c r="D8121" i="3"/>
  <c r="D3730" i="3"/>
  <c r="D284" i="3"/>
  <c r="D2854" i="3"/>
  <c r="D5889" i="3"/>
  <c r="D3180" i="3"/>
  <c r="D5888" i="3"/>
  <c r="D1405" i="3"/>
  <c r="D7922" i="3"/>
  <c r="D1102" i="3"/>
  <c r="D5214" i="3"/>
  <c r="D1404" i="3"/>
  <c r="D6585" i="3"/>
  <c r="D2124" i="3"/>
  <c r="D8314" i="3"/>
  <c r="D5649" i="3"/>
  <c r="D4212" i="3"/>
  <c r="D5005" i="3"/>
  <c r="D6522" i="3"/>
  <c r="D5213" i="3"/>
  <c r="D8932" i="3"/>
  <c r="D3889" i="3"/>
  <c r="D8931" i="3"/>
  <c r="D4211" i="3"/>
  <c r="D7005" i="3"/>
  <c r="D8507" i="3"/>
  <c r="D6636" i="3"/>
  <c r="D5212" i="3"/>
  <c r="D3404" i="3"/>
  <c r="D2202" i="3"/>
  <c r="D6770" i="3"/>
  <c r="D1101" i="3"/>
  <c r="D7457" i="3"/>
  <c r="D4210" i="3"/>
  <c r="D4209" i="3"/>
  <c r="D2853" i="3"/>
  <c r="D2852" i="3"/>
  <c r="D339" i="3"/>
  <c r="D7359" i="3"/>
  <c r="D858" i="3"/>
  <c r="D2851" i="3"/>
  <c r="D287" i="3"/>
  <c r="D8717" i="3"/>
  <c r="D1403" i="3"/>
  <c r="D4208" i="3"/>
  <c r="D8077" i="3"/>
  <c r="D8471" i="3"/>
  <c r="D8545" i="3"/>
  <c r="D1402" i="3"/>
  <c r="D5211" i="3"/>
  <c r="D7397" i="3"/>
  <c r="D1401" i="3"/>
  <c r="D6640" i="3"/>
  <c r="D4207" i="3"/>
  <c r="D5887" i="3"/>
  <c r="D4206" i="3"/>
  <c r="D6233" i="3"/>
  <c r="D6521" i="3"/>
  <c r="D8076" i="3"/>
  <c r="D1079" i="3"/>
  <c r="D7456" i="3"/>
  <c r="D8544" i="3"/>
  <c r="D6568" i="3"/>
  <c r="D870" i="3"/>
  <c r="D7412" i="3"/>
  <c r="D200" i="3"/>
  <c r="D8716" i="3"/>
  <c r="D2850" i="3"/>
  <c r="D4205" i="3"/>
  <c r="D645" i="3"/>
  <c r="D8715" i="3"/>
  <c r="D7833" i="3"/>
  <c r="D6788" i="3"/>
  <c r="D2643" i="3"/>
  <c r="D176" i="3"/>
  <c r="D6161" i="3"/>
  <c r="D8179" i="3"/>
  <c r="D6248" i="3"/>
  <c r="D5886" i="3"/>
  <c r="D5713" i="3"/>
  <c r="D1400" i="3"/>
  <c r="D8714" i="3"/>
  <c r="D2849" i="3"/>
  <c r="D4204" i="3"/>
  <c r="D1399" i="3"/>
  <c r="D3639" i="3"/>
  <c r="D6683" i="3"/>
  <c r="D6857" i="3"/>
  <c r="D8075" i="3"/>
  <c r="D6584" i="3"/>
  <c r="D5885" i="3"/>
  <c r="D2280" i="3"/>
  <c r="D6394" i="3"/>
  <c r="D3403" i="3"/>
  <c r="D7110" i="3"/>
  <c r="D5884" i="3"/>
  <c r="D6682" i="3"/>
  <c r="D7832" i="3"/>
  <c r="D6787" i="3"/>
  <c r="D4203" i="3"/>
  <c r="D8713" i="3"/>
  <c r="D5736" i="3"/>
  <c r="D4202" i="3"/>
  <c r="D8712" i="3"/>
  <c r="D5742" i="3"/>
  <c r="D8272" i="3"/>
  <c r="D183" i="3"/>
  <c r="D8427" i="3"/>
  <c r="D8711" i="3"/>
  <c r="D292" i="3"/>
  <c r="D1398" i="3"/>
  <c r="D3535" i="3"/>
  <c r="D875" i="3"/>
  <c r="D4201" i="3"/>
  <c r="D360" i="3"/>
  <c r="D3277" i="3"/>
  <c r="D3828" i="3"/>
  <c r="D7743" i="3"/>
  <c r="D3532" i="3"/>
  <c r="D8710" i="3"/>
  <c r="D4200" i="3"/>
  <c r="D5883" i="3"/>
  <c r="D8930" i="3"/>
  <c r="D5882" i="3"/>
  <c r="D2507" i="3"/>
  <c r="D2228" i="3"/>
  <c r="D6100" i="3"/>
  <c r="D3179" i="3"/>
  <c r="D5881" i="3"/>
  <c r="D5210" i="3"/>
  <c r="D4199" i="3"/>
  <c r="D615" i="3"/>
  <c r="D215" i="3"/>
  <c r="D5209" i="3"/>
  <c r="D3593" i="3"/>
  <c r="D3592" i="3"/>
  <c r="D5880" i="3"/>
  <c r="D3807" i="3"/>
  <c r="D8074" i="3"/>
  <c r="D614" i="3"/>
  <c r="D901" i="3"/>
  <c r="D5208" i="3"/>
  <c r="D3457" i="3"/>
  <c r="D8709" i="3"/>
  <c r="D2254" i="3"/>
  <c r="D1397" i="3"/>
  <c r="D1396" i="3"/>
  <c r="D7921" i="3"/>
  <c r="D2848" i="3"/>
  <c r="D6856" i="3"/>
  <c r="D5879" i="3"/>
  <c r="D5004" i="3"/>
  <c r="D3953" i="3"/>
  <c r="D701" i="3"/>
  <c r="D4198" i="3"/>
  <c r="D4197" i="3"/>
  <c r="D7316" i="3"/>
  <c r="D5878" i="3"/>
  <c r="D4196" i="3"/>
  <c r="D1395" i="3"/>
  <c r="D4195" i="3"/>
  <c r="D406" i="3"/>
  <c r="D8929" i="3"/>
  <c r="D5877" i="3"/>
  <c r="D8708" i="3"/>
  <c r="D1394" i="3"/>
  <c r="D4194" i="3"/>
  <c r="D6393" i="3"/>
  <c r="D5876" i="3"/>
  <c r="D7350" i="3"/>
  <c r="D1393" i="3"/>
  <c r="D7855" i="3"/>
  <c r="D4193" i="3"/>
  <c r="D5207" i="3"/>
  <c r="D3880" i="3"/>
  <c r="D3276" i="3"/>
  <c r="D700" i="3"/>
  <c r="D8073" i="3"/>
  <c r="D3773" i="3"/>
  <c r="D699" i="3"/>
  <c r="D5206" i="3"/>
  <c r="D994" i="3"/>
  <c r="D4192" i="3"/>
  <c r="D2437" i="3"/>
  <c r="D5205" i="3"/>
  <c r="D930" i="3"/>
  <c r="D5875" i="3"/>
  <c r="D8707" i="3"/>
  <c r="D4191" i="3"/>
  <c r="D6205" i="3"/>
  <c r="D5641" i="3"/>
  <c r="D1392" i="3"/>
  <c r="D2263" i="3"/>
  <c r="D3402" i="3"/>
  <c r="D7697" i="3"/>
  <c r="D3888" i="3"/>
  <c r="D6453" i="3"/>
  <c r="D2190" i="3"/>
  <c r="D4975" i="3"/>
  <c r="D6520" i="3"/>
  <c r="D258" i="3"/>
  <c r="D7004" i="3"/>
  <c r="D4190" i="3"/>
  <c r="D3666" i="3"/>
  <c r="D2279" i="3"/>
  <c r="D2317" i="3"/>
  <c r="D318" i="3"/>
  <c r="D6298" i="3"/>
  <c r="D2253" i="3"/>
  <c r="D3275" i="3"/>
  <c r="D2847" i="3"/>
  <c r="D1391" i="3"/>
  <c r="D1125" i="3"/>
  <c r="D4189" i="3"/>
  <c r="D8313" i="3"/>
  <c r="D1009" i="3"/>
  <c r="D6141" i="3"/>
  <c r="D1158" i="3"/>
  <c r="D2846" i="3"/>
  <c r="D1390" i="3"/>
  <c r="D368" i="3"/>
  <c r="D5874" i="3"/>
  <c r="D7383" i="3"/>
  <c r="D2646" i="3"/>
  <c r="D6855" i="3"/>
  <c r="D7895" i="3"/>
  <c r="D6392" i="3"/>
  <c r="D8706" i="3"/>
  <c r="D8705" i="3"/>
  <c r="D6242" i="3"/>
  <c r="D7669" i="3"/>
  <c r="D8153" i="3"/>
  <c r="D6519" i="3"/>
  <c r="D6244" i="3"/>
  <c r="D3813" i="3"/>
  <c r="D929" i="3"/>
  <c r="D5873" i="3"/>
  <c r="D6391" i="3"/>
  <c r="D8312" i="3"/>
  <c r="D7109" i="3"/>
  <c r="D2845" i="3"/>
  <c r="D358" i="3"/>
  <c r="D5872" i="3"/>
  <c r="D2844" i="3"/>
  <c r="D199" i="3"/>
  <c r="D2139" i="3"/>
  <c r="D3401" i="3"/>
  <c r="D3795" i="3"/>
  <c r="D6099" i="3"/>
  <c r="D8470" i="3"/>
  <c r="D7455" i="3"/>
  <c r="D7286" i="3"/>
  <c r="D3387" i="3"/>
  <c r="D6390" i="3"/>
  <c r="D3274" i="3"/>
  <c r="D7003" i="3"/>
  <c r="D4188" i="3"/>
  <c r="D5204" i="3"/>
  <c r="D8928" i="3"/>
  <c r="D5677" i="3"/>
  <c r="D7742" i="3"/>
  <c r="D8469" i="3"/>
  <c r="D5698" i="3"/>
  <c r="D214" i="3"/>
  <c r="D7709" i="3"/>
  <c r="D3591" i="3"/>
  <c r="D8380" i="3"/>
  <c r="D5871" i="3"/>
  <c r="D4187" i="3"/>
  <c r="D8072" i="3"/>
  <c r="D4186" i="3"/>
  <c r="D2843" i="3"/>
  <c r="D7644" i="3"/>
  <c r="D3382" i="3"/>
  <c r="D7454" i="3"/>
  <c r="D5870" i="3"/>
  <c r="D7453" i="3"/>
  <c r="D357" i="3"/>
  <c r="D3887" i="3"/>
  <c r="D8311" i="3"/>
  <c r="D2444" i="3"/>
  <c r="D6389" i="3"/>
  <c r="D1389" i="3"/>
  <c r="D7831" i="3"/>
  <c r="D6786" i="3"/>
  <c r="D2316" i="3"/>
  <c r="D689" i="3"/>
  <c r="D4185" i="3"/>
  <c r="D4184" i="3"/>
  <c r="D993" i="3"/>
  <c r="D7253" i="3"/>
  <c r="D4183" i="3"/>
  <c r="D1388" i="3"/>
  <c r="D2341" i="3"/>
  <c r="D8071" i="3"/>
  <c r="D7696" i="3"/>
  <c r="D2592" i="3"/>
  <c r="D3697" i="3"/>
  <c r="D6388" i="3"/>
  <c r="D3719" i="3"/>
  <c r="D291" i="3"/>
  <c r="D2842" i="3"/>
  <c r="D5869" i="3"/>
  <c r="D3273" i="3"/>
  <c r="D1095" i="3"/>
  <c r="D8255" i="3"/>
  <c r="D4182" i="3"/>
  <c r="D5712" i="3"/>
  <c r="D5868" i="3"/>
  <c r="D8704" i="3"/>
  <c r="D3272" i="3"/>
  <c r="D3200" i="3"/>
  <c r="D5203" i="3"/>
  <c r="D4181" i="3"/>
  <c r="D2227" i="3"/>
  <c r="D405" i="3"/>
  <c r="D8310" i="3"/>
  <c r="D1008" i="3"/>
  <c r="D5202" i="3"/>
  <c r="D6387" i="3"/>
  <c r="D4180" i="3"/>
  <c r="D7277" i="3"/>
  <c r="D1387" i="3"/>
  <c r="D7920" i="3"/>
  <c r="D5867" i="3"/>
  <c r="D3271" i="3"/>
  <c r="D7108" i="3"/>
  <c r="D5866" i="3"/>
  <c r="D2841" i="3"/>
  <c r="D5865" i="3"/>
  <c r="D2840" i="3"/>
  <c r="D1386" i="3"/>
  <c r="D6386" i="3"/>
  <c r="D2652" i="3"/>
  <c r="D1385" i="3"/>
  <c r="D1203" i="3"/>
  <c r="D8070" i="3"/>
  <c r="D6385" i="3"/>
  <c r="D1384" i="3"/>
  <c r="D6583" i="3"/>
  <c r="D6306" i="3"/>
  <c r="D5627" i="3"/>
  <c r="D1383" i="3"/>
  <c r="D7452" i="3"/>
  <c r="D6124" i="3"/>
  <c r="D1094" i="3"/>
  <c r="D5201" i="3"/>
  <c r="D7002" i="3"/>
  <c r="D8147" i="3"/>
  <c r="D8927" i="3"/>
  <c r="D8703" i="3"/>
  <c r="D1070" i="3"/>
  <c r="D7668" i="3"/>
  <c r="D1382" i="3"/>
  <c r="D5864" i="3"/>
  <c r="D644" i="3"/>
  <c r="D6384" i="3"/>
  <c r="D2839" i="3"/>
  <c r="D8543" i="3"/>
  <c r="D8702" i="3"/>
  <c r="D7656" i="3"/>
  <c r="D1381" i="3"/>
  <c r="D5200" i="3"/>
  <c r="D5199" i="3"/>
  <c r="D6383" i="3"/>
  <c r="D5863" i="3"/>
  <c r="D3665" i="3"/>
  <c r="D4179" i="3"/>
  <c r="D3270" i="3"/>
  <c r="D6518" i="3"/>
  <c r="D4178" i="3"/>
  <c r="D5198" i="3"/>
  <c r="D3756" i="3"/>
  <c r="D6452" i="3"/>
  <c r="D1380" i="3"/>
  <c r="D6286" i="3"/>
  <c r="D6607" i="3"/>
  <c r="D6382" i="3"/>
  <c r="D175" i="3"/>
  <c r="D2838" i="3"/>
  <c r="D4177" i="3"/>
  <c r="D5862" i="3"/>
  <c r="D2837" i="3"/>
  <c r="D914" i="3"/>
  <c r="D8468" i="3"/>
  <c r="D5861" i="3"/>
  <c r="D2836" i="3"/>
  <c r="D857" i="3"/>
  <c r="D5860" i="3"/>
  <c r="D7252" i="3"/>
  <c r="D6602" i="3"/>
  <c r="D2835" i="3"/>
  <c r="D3826" i="3"/>
  <c r="D8069" i="3"/>
  <c r="D6381" i="3"/>
  <c r="D6582" i="3"/>
  <c r="D3538" i="3"/>
  <c r="D6380" i="3"/>
  <c r="D4176" i="3"/>
  <c r="D6854" i="3"/>
  <c r="D6118" i="3"/>
  <c r="D1379" i="3"/>
  <c r="D6853" i="3"/>
  <c r="D1100" i="3"/>
  <c r="D3875" i="3"/>
  <c r="D2473" i="3"/>
  <c r="D1378" i="3"/>
  <c r="D541" i="3"/>
  <c r="D6616" i="3"/>
  <c r="D8467" i="3"/>
  <c r="D7451" i="3"/>
  <c r="D4990" i="3"/>
  <c r="D352" i="3"/>
  <c r="D3516" i="3"/>
  <c r="D3269" i="3"/>
  <c r="D8379" i="3"/>
  <c r="D7382" i="3"/>
  <c r="D6645" i="3"/>
  <c r="D2834" i="3"/>
  <c r="D3664" i="3"/>
  <c r="D6852" i="3"/>
  <c r="D5859" i="3"/>
  <c r="D5197" i="3"/>
  <c r="D6811" i="3"/>
  <c r="D5858" i="3"/>
  <c r="D780" i="3"/>
  <c r="D626" i="3"/>
  <c r="D7107" i="3"/>
  <c r="D3400" i="3"/>
  <c r="D6379" i="3"/>
  <c r="D4175" i="3"/>
  <c r="D3199" i="3"/>
  <c r="D8309" i="3"/>
  <c r="D6517" i="3"/>
  <c r="D4174" i="3"/>
  <c r="D6378" i="3"/>
  <c r="D4173" i="3"/>
  <c r="D2340" i="3"/>
  <c r="D6608" i="3"/>
  <c r="D6377" i="3"/>
  <c r="D6851" i="3"/>
  <c r="D5857" i="3"/>
  <c r="D5629" i="3"/>
  <c r="D698" i="3"/>
  <c r="D5196" i="3"/>
  <c r="D573" i="3"/>
  <c r="D5856" i="3"/>
  <c r="D7106" i="3"/>
  <c r="D2605" i="3"/>
  <c r="D2833" i="3"/>
  <c r="D5855" i="3"/>
  <c r="D8017" i="3"/>
  <c r="D7105" i="3"/>
  <c r="D404" i="3"/>
  <c r="D8701" i="3"/>
  <c r="D5626" i="3"/>
  <c r="D7854" i="3"/>
  <c r="D6160" i="3"/>
  <c r="D8152" i="3"/>
  <c r="D6681" i="3"/>
  <c r="D5854" i="3"/>
  <c r="D8700" i="3"/>
  <c r="D8308" i="3"/>
  <c r="D512" i="3"/>
  <c r="D7655" i="3"/>
  <c r="D4172" i="3"/>
  <c r="D7450" i="3"/>
  <c r="D2635" i="3"/>
  <c r="D4171" i="3"/>
  <c r="D4989" i="3"/>
  <c r="D8228" i="3"/>
  <c r="D5195" i="3"/>
  <c r="D2443" i="3"/>
  <c r="D3729" i="3"/>
  <c r="D198" i="3"/>
  <c r="D6516" i="3"/>
  <c r="D4170" i="3"/>
  <c r="D8892" i="3"/>
  <c r="D8626" i="3"/>
  <c r="D6515" i="3"/>
  <c r="D865" i="3"/>
  <c r="D7381" i="3"/>
  <c r="D6514" i="3"/>
  <c r="D5853" i="3"/>
  <c r="D8252" i="3"/>
  <c r="D2613" i="3"/>
  <c r="D7830" i="3"/>
  <c r="D6785" i="3"/>
  <c r="D5194" i="3"/>
  <c r="D2832" i="3"/>
  <c r="D965" i="3"/>
  <c r="D2591" i="3"/>
  <c r="D7919" i="3"/>
  <c r="D3268" i="3"/>
  <c r="D5852" i="3"/>
  <c r="D4169" i="3"/>
  <c r="D3812" i="3"/>
  <c r="D7449" i="3"/>
  <c r="D874" i="3"/>
  <c r="D1377" i="3"/>
  <c r="D3868" i="3"/>
  <c r="D6628" i="3"/>
  <c r="D279" i="3"/>
  <c r="D3267" i="3"/>
  <c r="D6850" i="3"/>
  <c r="D6376" i="3"/>
  <c r="D821" i="3"/>
  <c r="D6159" i="3"/>
  <c r="D3215" i="3"/>
  <c r="D8120" i="3"/>
  <c r="D3849" i="3"/>
  <c r="D779" i="3"/>
  <c r="D6212" i="3"/>
  <c r="D1065" i="3"/>
  <c r="D3545" i="3"/>
  <c r="D6425" i="3"/>
  <c r="D7448" i="3"/>
  <c r="D8307" i="3"/>
  <c r="D1376" i="3"/>
  <c r="D2541" i="3"/>
  <c r="D6110" i="3"/>
  <c r="D2273" i="3"/>
  <c r="D6615" i="3"/>
  <c r="D6513" i="3"/>
  <c r="D2831" i="3"/>
  <c r="D151" i="3"/>
  <c r="D1375" i="3"/>
  <c r="D5697" i="3"/>
  <c r="D643" i="3"/>
  <c r="D4168" i="3"/>
  <c r="D8163" i="3"/>
  <c r="D868" i="3"/>
  <c r="D7671" i="3"/>
  <c r="D2174" i="3"/>
  <c r="D2830" i="3"/>
  <c r="D4167" i="3"/>
  <c r="D8144" i="3"/>
  <c r="D8068" i="3"/>
  <c r="D5193" i="3"/>
  <c r="D7447" i="3"/>
  <c r="D6631" i="3"/>
  <c r="D2829" i="3"/>
  <c r="D1374" i="3"/>
  <c r="D8162" i="3"/>
  <c r="D8511" i="3"/>
  <c r="D778" i="3"/>
  <c r="D1373" i="3"/>
  <c r="D7695" i="3"/>
  <c r="D1372" i="3"/>
  <c r="D540" i="3"/>
  <c r="D3590" i="3"/>
  <c r="D8185" i="3"/>
  <c r="D6680" i="3"/>
  <c r="D1371" i="3"/>
  <c r="D7677" i="3"/>
  <c r="D50" i="3"/>
  <c r="D7613" i="3"/>
  <c r="D6849" i="3"/>
  <c r="D5192" i="3"/>
  <c r="D2612" i="3"/>
  <c r="D3266" i="3"/>
  <c r="D7829" i="3"/>
  <c r="D6784" i="3"/>
  <c r="D5191" i="3"/>
  <c r="D1370" i="3"/>
  <c r="D7918" i="3"/>
  <c r="D642" i="3"/>
  <c r="D5190" i="3"/>
  <c r="D8445" i="3"/>
  <c r="D6512" i="3"/>
  <c r="D7104" i="3"/>
  <c r="D856" i="3"/>
  <c r="D5189" i="3"/>
  <c r="D403" i="3"/>
  <c r="D2355" i="3"/>
  <c r="D572" i="3"/>
  <c r="D777" i="3"/>
  <c r="D3663" i="3"/>
  <c r="D5188" i="3"/>
  <c r="D8542" i="3"/>
  <c r="D1138" i="3"/>
  <c r="D2339" i="3"/>
  <c r="D6438" i="3"/>
  <c r="D235" i="3"/>
  <c r="D5761" i="3"/>
  <c r="D2503" i="3"/>
  <c r="D1007" i="3"/>
  <c r="D613" i="3"/>
  <c r="D3374" i="3"/>
  <c r="D612" i="3"/>
  <c r="D4166" i="3"/>
  <c r="D6976" i="3"/>
  <c r="D1369" i="3"/>
  <c r="D5187" i="3"/>
  <c r="D5696" i="3"/>
  <c r="D5851" i="3"/>
  <c r="D6959" i="3"/>
  <c r="D4165" i="3"/>
  <c r="D122" i="3"/>
  <c r="D3809" i="3"/>
  <c r="D2828" i="3"/>
  <c r="D5850" i="3"/>
  <c r="D7897" i="3"/>
  <c r="D2827" i="3"/>
  <c r="D5849" i="3"/>
  <c r="D6648" i="3"/>
  <c r="D6657" i="3"/>
  <c r="D7446" i="3"/>
  <c r="D2826" i="3"/>
  <c r="D7654" i="3"/>
  <c r="D3918" i="3"/>
  <c r="D8067" i="3"/>
  <c r="D3638" i="3"/>
  <c r="D3794" i="3"/>
  <c r="D2825" i="3"/>
  <c r="D7103" i="3"/>
  <c r="D2162" i="3"/>
  <c r="D6848" i="3"/>
  <c r="D2187" i="3"/>
  <c r="D5186" i="3"/>
  <c r="D1368" i="3"/>
  <c r="D6117" i="3"/>
  <c r="D7315" i="3"/>
  <c r="D5848" i="3"/>
  <c r="D5847" i="3"/>
  <c r="D6958" i="3"/>
  <c r="D5846" i="3"/>
  <c r="D3265" i="3"/>
  <c r="D2824" i="3"/>
  <c r="D2823" i="3"/>
  <c r="D6847" i="3"/>
  <c r="D945" i="3"/>
  <c r="D5845" i="3"/>
  <c r="D2475" i="3"/>
  <c r="D8444" i="3"/>
  <c r="D2504" i="3"/>
  <c r="D8699" i="3"/>
  <c r="D2400" i="3"/>
  <c r="D5844" i="3"/>
  <c r="D2363" i="3"/>
  <c r="D4164" i="3"/>
  <c r="D1367" i="3"/>
  <c r="D5185" i="3"/>
  <c r="D6846" i="3"/>
  <c r="D6511" i="3"/>
  <c r="D4163" i="3"/>
  <c r="D6297" i="3"/>
  <c r="D8157" i="3"/>
  <c r="D535" i="3"/>
  <c r="D641" i="3"/>
  <c r="D5843" i="3"/>
  <c r="D7102" i="3"/>
  <c r="D2486" i="3"/>
  <c r="D350" i="3"/>
  <c r="D2590" i="3"/>
  <c r="D1366" i="3"/>
  <c r="D3515" i="3"/>
  <c r="D6679" i="3"/>
  <c r="D5184" i="3"/>
  <c r="D1164" i="3"/>
  <c r="D5183" i="3"/>
  <c r="D5182" i="3"/>
  <c r="D4162" i="3"/>
  <c r="D5181" i="3"/>
  <c r="D7828" i="3"/>
  <c r="D6783" i="3"/>
  <c r="D3264" i="3"/>
  <c r="D1365" i="3"/>
  <c r="D1364" i="3"/>
  <c r="D5180" i="3"/>
  <c r="D3848" i="3"/>
  <c r="D776" i="3"/>
  <c r="D8178" i="3"/>
  <c r="D5179" i="3"/>
  <c r="D6845" i="3"/>
  <c r="D2822" i="3"/>
  <c r="D2821" i="3"/>
  <c r="D1363" i="3"/>
  <c r="D7380" i="3"/>
  <c r="D1151" i="3"/>
  <c r="D5842" i="3"/>
  <c r="D7287" i="3"/>
  <c r="D7633" i="3"/>
  <c r="D6375" i="3"/>
  <c r="D4161" i="3"/>
  <c r="D2485" i="3"/>
  <c r="D1362" i="3"/>
  <c r="D688" i="3"/>
  <c r="D8541" i="3"/>
  <c r="D6158" i="3"/>
  <c r="D3647" i="3"/>
  <c r="D8926" i="3"/>
  <c r="D4160" i="3"/>
  <c r="D6123" i="3"/>
  <c r="D2820" i="3"/>
  <c r="D5841" i="3"/>
  <c r="D3263" i="3"/>
  <c r="D234" i="3"/>
  <c r="D8510" i="3"/>
  <c r="D6374" i="3"/>
  <c r="D7001" i="3"/>
  <c r="D5840" i="3"/>
  <c r="D5839" i="3"/>
  <c r="D6373" i="3"/>
  <c r="D6372" i="3"/>
  <c r="D2442" i="3"/>
  <c r="D8066" i="3"/>
  <c r="D2193" i="3"/>
  <c r="D8119" i="3"/>
  <c r="D49" i="3"/>
  <c r="D7612" i="3"/>
  <c r="D4159" i="3"/>
  <c r="D7379" i="3"/>
  <c r="D8698" i="3"/>
  <c r="D2399" i="3"/>
  <c r="D2288" i="3"/>
  <c r="D2819" i="3"/>
  <c r="D7101" i="3"/>
  <c r="D8925" i="3"/>
  <c r="D1056" i="3"/>
  <c r="D5178" i="3"/>
  <c r="D464" i="3"/>
  <c r="D5748" i="3"/>
  <c r="D7100" i="3"/>
  <c r="D3662" i="3"/>
  <c r="D7000" i="3"/>
  <c r="D5177" i="3"/>
  <c r="D7378" i="3"/>
  <c r="D8065" i="3"/>
  <c r="D1361" i="3"/>
  <c r="D6371" i="3"/>
  <c r="D5838" i="3"/>
  <c r="D3262" i="3"/>
  <c r="D6122" i="3"/>
  <c r="D3552" i="3"/>
  <c r="D2818" i="3"/>
  <c r="D2338" i="3"/>
  <c r="D7445" i="3"/>
  <c r="D1360" i="3"/>
  <c r="D7653" i="3"/>
  <c r="D2817" i="3"/>
  <c r="D1359" i="3"/>
  <c r="D1358" i="3"/>
  <c r="D1357" i="3"/>
  <c r="D5837" i="3"/>
  <c r="D4158" i="3"/>
  <c r="D2816" i="3"/>
  <c r="D6779" i="3"/>
  <c r="D5176" i="3"/>
  <c r="D4157" i="3"/>
  <c r="D8436" i="3"/>
  <c r="D5836" i="3"/>
  <c r="D2815" i="3"/>
  <c r="D5695" i="3"/>
  <c r="D5835" i="3"/>
  <c r="D640" i="3"/>
  <c r="D6370" i="3"/>
  <c r="D4156" i="3"/>
  <c r="D7251" i="3"/>
  <c r="D1006" i="3"/>
  <c r="D6844" i="3"/>
  <c r="D1356" i="3"/>
  <c r="D7250" i="3"/>
  <c r="D2814" i="3"/>
  <c r="D29" i="3"/>
  <c r="D511" i="3"/>
  <c r="D992" i="3"/>
  <c r="D5834" i="3"/>
  <c r="D2189" i="3"/>
  <c r="D4155" i="3"/>
  <c r="D6510" i="3"/>
  <c r="D3879" i="3"/>
  <c r="D7444" i="3"/>
  <c r="D8064" i="3"/>
  <c r="D8430" i="3"/>
  <c r="D6109" i="3"/>
  <c r="D697" i="3"/>
  <c r="D2337" i="3"/>
  <c r="D8063" i="3"/>
  <c r="D7099" i="3"/>
  <c r="D3840" i="3"/>
  <c r="D2813" i="3"/>
  <c r="D2336" i="3"/>
  <c r="D8260" i="3"/>
  <c r="D5175" i="3"/>
  <c r="D5833" i="3"/>
  <c r="D4154" i="3"/>
  <c r="D5174" i="3"/>
  <c r="D4153" i="3"/>
  <c r="D5832" i="3"/>
  <c r="D7999" i="3"/>
  <c r="D3934" i="3"/>
  <c r="D2335" i="3"/>
  <c r="D4152" i="3"/>
  <c r="D6678" i="3"/>
  <c r="D8540" i="3"/>
  <c r="D5173" i="3"/>
  <c r="D4151" i="3"/>
  <c r="D4150" i="3"/>
  <c r="D1355" i="3"/>
  <c r="D5172" i="3"/>
  <c r="D3772" i="3"/>
  <c r="D2812" i="3"/>
  <c r="D1354" i="3"/>
  <c r="D8011" i="3"/>
  <c r="D8229" i="3"/>
  <c r="D4149" i="3"/>
  <c r="D3661" i="3"/>
  <c r="D2811" i="3"/>
  <c r="D3660" i="3"/>
  <c r="D5171" i="3"/>
  <c r="D5170" i="3"/>
  <c r="D1198" i="3"/>
  <c r="D5169" i="3"/>
  <c r="D1353" i="3"/>
  <c r="D5168" i="3"/>
  <c r="D5831" i="3"/>
  <c r="D5830" i="3"/>
  <c r="D1202" i="3"/>
  <c r="D6843" i="3"/>
  <c r="D8306" i="3"/>
  <c r="D14" i="3"/>
  <c r="D6769" i="3"/>
  <c r="D7377" i="3"/>
  <c r="D4148" i="3"/>
  <c r="D4147" i="3"/>
  <c r="D7098" i="3"/>
  <c r="D5829" i="3"/>
  <c r="D2589" i="3"/>
  <c r="D2810" i="3"/>
  <c r="D2126" i="3"/>
  <c r="D4146" i="3"/>
  <c r="D3514" i="3"/>
  <c r="D5167" i="3"/>
  <c r="D6265" i="3"/>
  <c r="D5828" i="3"/>
  <c r="D8187" i="3"/>
  <c r="D6842" i="3"/>
  <c r="D1352" i="3"/>
  <c r="D5166" i="3"/>
  <c r="D833" i="3"/>
  <c r="D5827" i="3"/>
  <c r="D88" i="3"/>
  <c r="D3390" i="3"/>
  <c r="D1351" i="3"/>
  <c r="D6841" i="3"/>
  <c r="D3261" i="3"/>
  <c r="D1350" i="3"/>
  <c r="D2278" i="3"/>
  <c r="D5826" i="3"/>
  <c r="D6975" i="3"/>
  <c r="D7237" i="3"/>
  <c r="D3536" i="3"/>
  <c r="D5825" i="3"/>
  <c r="D1349" i="3"/>
  <c r="D8262" i="3"/>
  <c r="D79" i="3"/>
  <c r="D1096" i="3"/>
  <c r="D8924" i="3"/>
  <c r="D5165" i="3"/>
  <c r="D7443" i="3"/>
  <c r="D6179" i="3"/>
  <c r="D5164" i="3"/>
  <c r="D8062" i="3"/>
  <c r="D840" i="3"/>
  <c r="D7685" i="3"/>
  <c r="D6974" i="3"/>
  <c r="D2534" i="3"/>
  <c r="D233" i="3"/>
  <c r="D6369" i="3"/>
  <c r="D2809" i="3"/>
  <c r="D2226" i="3"/>
  <c r="D8305" i="3"/>
  <c r="D775" i="3"/>
  <c r="D1121" i="3"/>
  <c r="D1348" i="3"/>
  <c r="D7276" i="3"/>
  <c r="D7442" i="3"/>
  <c r="D8304" i="3"/>
  <c r="D6840" i="3"/>
  <c r="D2808" i="3"/>
  <c r="D5163" i="3"/>
  <c r="D3260" i="3"/>
  <c r="D2334" i="3"/>
  <c r="D5162" i="3"/>
  <c r="D5824" i="3"/>
  <c r="D7441" i="3"/>
  <c r="D5161" i="3"/>
  <c r="D5160" i="3"/>
  <c r="D288" i="3"/>
  <c r="D6756" i="3"/>
  <c r="D7376" i="3"/>
  <c r="D916" i="3"/>
  <c r="D4145" i="3"/>
  <c r="D5823" i="3"/>
  <c r="D2807" i="3"/>
  <c r="D402" i="3"/>
  <c r="D7440" i="3"/>
  <c r="D5159" i="3"/>
  <c r="D7375" i="3"/>
  <c r="D5158" i="3"/>
  <c r="D7632" i="3"/>
  <c r="D5157" i="3"/>
  <c r="D1347" i="3"/>
  <c r="D5694" i="3"/>
  <c r="D8061" i="3"/>
  <c r="D5747" i="3"/>
  <c r="D3259" i="3"/>
  <c r="D5822" i="3"/>
  <c r="D774" i="3"/>
  <c r="D4144" i="3"/>
  <c r="D3755" i="3"/>
  <c r="D867" i="3"/>
  <c r="D2573" i="3"/>
  <c r="D6839" i="3"/>
  <c r="D8697" i="3"/>
  <c r="D5156" i="3"/>
  <c r="D1346" i="3"/>
  <c r="D944" i="3"/>
  <c r="D5155" i="3"/>
  <c r="D7097" i="3"/>
  <c r="D3952" i="3"/>
  <c r="D6157" i="3"/>
  <c r="D5821" i="3"/>
  <c r="D828" i="3"/>
  <c r="D8416" i="3"/>
  <c r="D8139" i="3"/>
  <c r="D8161" i="3"/>
  <c r="D7439" i="3"/>
  <c r="D4143" i="3"/>
  <c r="D2540" i="3"/>
  <c r="D2806" i="3"/>
  <c r="D1345" i="3"/>
  <c r="D5820" i="3"/>
  <c r="D2805" i="3"/>
  <c r="D4142" i="3"/>
  <c r="D1344" i="3"/>
  <c r="D3526" i="3"/>
  <c r="D2804" i="3"/>
  <c r="D108" i="3"/>
  <c r="D5154" i="3"/>
  <c r="D6838" i="3"/>
  <c r="D6368" i="3"/>
  <c r="D7888" i="3"/>
  <c r="D3589" i="3"/>
  <c r="D8060" i="3"/>
  <c r="D948" i="3"/>
  <c r="D2195" i="3"/>
  <c r="D5153" i="3"/>
  <c r="D2803" i="3"/>
  <c r="D4141" i="3"/>
  <c r="D5819" i="3"/>
  <c r="D6837" i="3"/>
  <c r="D4140" i="3"/>
  <c r="D1343" i="3"/>
  <c r="D8923" i="3"/>
  <c r="D7853" i="3"/>
  <c r="D7694" i="3"/>
  <c r="D8696" i="3"/>
  <c r="D3588" i="3"/>
  <c r="D8533" i="3"/>
  <c r="D2588" i="3"/>
  <c r="D7684" i="3"/>
  <c r="D1069" i="3"/>
  <c r="D2200" i="3"/>
  <c r="D2434" i="3"/>
  <c r="D8443" i="3"/>
  <c r="D3373" i="3"/>
  <c r="D5818" i="3"/>
  <c r="D8118" i="3"/>
  <c r="D1342" i="3"/>
  <c r="D213" i="3"/>
  <c r="D5152" i="3"/>
  <c r="D5151" i="3"/>
  <c r="D2299" i="3"/>
  <c r="D5817" i="3"/>
  <c r="D3814" i="3"/>
  <c r="D6304" i="3"/>
  <c r="D6755" i="3"/>
  <c r="D5150" i="3"/>
  <c r="D139" i="3"/>
  <c r="D7438" i="3"/>
  <c r="D6367" i="3"/>
  <c r="D5816" i="3"/>
  <c r="D3646" i="3"/>
  <c r="D4139" i="3"/>
  <c r="D7437" i="3"/>
  <c r="D539" i="3"/>
  <c r="D2151" i="3"/>
  <c r="D903" i="3"/>
  <c r="D8509" i="3"/>
  <c r="D3448" i="3"/>
  <c r="D300" i="3"/>
  <c r="D6098" i="3"/>
  <c r="D3728" i="3"/>
  <c r="D4138" i="3"/>
  <c r="D5149" i="3"/>
  <c r="D1341" i="3"/>
  <c r="D7852" i="3"/>
  <c r="D6193" i="3"/>
  <c r="D2802" i="3"/>
  <c r="D5003" i="3"/>
  <c r="D196" i="3"/>
  <c r="D971" i="3"/>
  <c r="D5148" i="3"/>
  <c r="D6810" i="3"/>
  <c r="D5815" i="3"/>
  <c r="D3659" i="3"/>
  <c r="D4137" i="3"/>
  <c r="D2801" i="3"/>
  <c r="D1340" i="3"/>
  <c r="D8259" i="3"/>
  <c r="D5147" i="3"/>
  <c r="D2315" i="3"/>
  <c r="D6614" i="3"/>
  <c r="D6097" i="3"/>
  <c r="D928" i="3"/>
  <c r="D7096" i="3"/>
  <c r="D5814" i="3"/>
  <c r="D4136" i="3"/>
  <c r="D105" i="3"/>
  <c r="D2142" i="3"/>
  <c r="D2800" i="3"/>
  <c r="D2799" i="3"/>
  <c r="D8207" i="3"/>
  <c r="D1339" i="3"/>
  <c r="D6424" i="3"/>
  <c r="D2587" i="3"/>
  <c r="D5146" i="3"/>
  <c r="D3399" i="3"/>
  <c r="D6836" i="3"/>
  <c r="D4995" i="3"/>
  <c r="D5813" i="3"/>
  <c r="D3771" i="3"/>
  <c r="D4135" i="3"/>
  <c r="D7374" i="3"/>
  <c r="D5145" i="3"/>
  <c r="D5144" i="3"/>
  <c r="D7373" i="3"/>
  <c r="D8303" i="3"/>
  <c r="D2798" i="3"/>
  <c r="D6116" i="3"/>
  <c r="D84" i="3"/>
  <c r="D2199" i="3"/>
  <c r="D232" i="3"/>
  <c r="D2616" i="3"/>
  <c r="D5812" i="3"/>
  <c r="D5143" i="3"/>
  <c r="D2454" i="3"/>
  <c r="D5811" i="3"/>
  <c r="D2797" i="3"/>
  <c r="D5142" i="3"/>
  <c r="D2209" i="3"/>
  <c r="D6809" i="3"/>
  <c r="D5628" i="3"/>
  <c r="D7249" i="3"/>
  <c r="D6999" i="3"/>
  <c r="D5810" i="3"/>
  <c r="D4134" i="3"/>
  <c r="D5141" i="3"/>
  <c r="D8922" i="3"/>
  <c r="D1005" i="3"/>
  <c r="D6366" i="3"/>
  <c r="D5809" i="3"/>
  <c r="D97" i="3"/>
  <c r="D1338" i="3"/>
  <c r="D6270" i="3"/>
  <c r="D7722" i="3"/>
  <c r="D534" i="3"/>
  <c r="D2517" i="3"/>
  <c r="D5140" i="3"/>
  <c r="D989" i="3"/>
  <c r="D6835" i="3"/>
  <c r="D1337" i="3"/>
  <c r="D1336" i="3"/>
  <c r="D7652" i="3"/>
  <c r="D5139" i="3"/>
  <c r="D2796" i="3"/>
  <c r="D1163" i="3"/>
  <c r="D5138" i="3"/>
  <c r="D6581" i="3"/>
  <c r="D1162" i="3"/>
  <c r="D1335" i="3"/>
  <c r="D86" i="3"/>
  <c r="D8059" i="3"/>
  <c r="D4133" i="3"/>
  <c r="D27" i="3"/>
  <c r="D8058" i="3"/>
  <c r="D2158" i="3"/>
  <c r="D5137" i="3"/>
  <c r="D8302" i="3"/>
  <c r="D2795" i="3"/>
  <c r="D6423" i="3"/>
  <c r="D927" i="3"/>
  <c r="D349" i="3"/>
  <c r="D7631" i="3"/>
  <c r="D3917" i="3"/>
  <c r="D3877" i="3"/>
  <c r="D2794" i="3"/>
  <c r="D2793" i="3"/>
  <c r="D5808" i="3"/>
  <c r="D2270" i="3"/>
  <c r="D7095" i="3"/>
  <c r="D5807" i="3"/>
  <c r="D6677" i="3"/>
  <c r="D6156" i="3"/>
  <c r="D2792" i="3"/>
  <c r="D7436" i="3"/>
  <c r="D2608" i="3"/>
  <c r="D6289" i="3"/>
  <c r="D3811" i="3"/>
  <c r="D6834" i="3"/>
  <c r="D7419" i="3"/>
  <c r="D6973" i="3"/>
  <c r="D5136" i="3"/>
  <c r="D5135" i="3"/>
  <c r="D6567" i="3"/>
  <c r="D2791" i="3"/>
  <c r="D367" i="3"/>
  <c r="D5134" i="3"/>
  <c r="D3924" i="3"/>
  <c r="D5806" i="3"/>
  <c r="D6365" i="3"/>
  <c r="D8180" i="3"/>
  <c r="D4132" i="3"/>
  <c r="D159" i="3"/>
  <c r="D7094" i="3"/>
  <c r="D5" i="3"/>
  <c r="D5133" i="3"/>
  <c r="D8246" i="3"/>
  <c r="D7435" i="3"/>
  <c r="D639" i="3"/>
  <c r="D4988" i="3"/>
  <c r="D2790" i="3"/>
  <c r="D99" i="3"/>
  <c r="D2144" i="3"/>
  <c r="D269" i="3"/>
  <c r="D7434" i="3"/>
  <c r="D4131" i="3"/>
  <c r="D7582" i="3"/>
  <c r="D2333" i="3"/>
  <c r="D7721" i="3"/>
  <c r="D332" i="3"/>
  <c r="D7093" i="3"/>
  <c r="D2539" i="3"/>
  <c r="D5805" i="3"/>
  <c r="D2572" i="3"/>
  <c r="D5804" i="3"/>
  <c r="D2789" i="3"/>
  <c r="D8107" i="3"/>
  <c r="D4130" i="3"/>
  <c r="D2788" i="3"/>
  <c r="D3587" i="3"/>
  <c r="D8057" i="3"/>
  <c r="D231" i="3"/>
  <c r="D3916" i="3"/>
  <c r="D5739" i="3"/>
  <c r="D1194" i="3"/>
  <c r="D2787" i="3"/>
  <c r="D5803" i="3"/>
  <c r="D5621" i="3"/>
  <c r="D1334" i="3"/>
  <c r="D2786" i="3"/>
  <c r="D2173" i="3"/>
  <c r="D7236" i="3"/>
  <c r="D8261" i="3"/>
  <c r="D5802" i="3"/>
  <c r="D6509" i="3"/>
  <c r="D2356" i="3"/>
  <c r="D6196" i="3"/>
  <c r="D7433" i="3"/>
  <c r="D7720" i="3"/>
  <c r="D6275" i="3"/>
  <c r="D8166" i="3"/>
  <c r="D2785" i="3"/>
  <c r="D7692" i="3"/>
  <c r="D1150" i="3"/>
  <c r="D2784" i="3"/>
  <c r="D7432" i="3"/>
  <c r="D7092" i="3"/>
  <c r="D5132" i="3"/>
  <c r="D571" i="3"/>
  <c r="D4129" i="3"/>
  <c r="D773" i="3"/>
  <c r="D6267" i="3"/>
  <c r="D161" i="3"/>
  <c r="D4128" i="3"/>
  <c r="D6140" i="3"/>
  <c r="D2560" i="3"/>
  <c r="D936" i="3"/>
  <c r="D2474" i="3"/>
  <c r="D6211" i="3"/>
  <c r="D3839" i="3"/>
  <c r="D2783" i="3"/>
  <c r="D2484" i="3"/>
  <c r="D7348" i="3"/>
  <c r="D1161" i="3"/>
  <c r="D8378" i="3"/>
  <c r="D3643" i="3"/>
  <c r="D7091" i="3"/>
  <c r="D7431" i="3"/>
  <c r="D943" i="3"/>
  <c r="D212" i="3"/>
  <c r="D1333" i="3"/>
  <c r="D2782" i="3"/>
  <c r="D7349" i="3"/>
  <c r="D4127" i="3"/>
  <c r="D2332" i="3"/>
  <c r="D2283" i="3"/>
  <c r="D4126" i="3"/>
  <c r="D3696" i="3"/>
  <c r="D3954" i="3"/>
  <c r="D696" i="3"/>
  <c r="D6508" i="3"/>
  <c r="D5131" i="3"/>
  <c r="D7" i="3"/>
  <c r="D5801" i="3"/>
  <c r="D8168" i="3"/>
  <c r="D848" i="3"/>
  <c r="D3886" i="3"/>
  <c r="D7090" i="3"/>
  <c r="D4125" i="3"/>
  <c r="D2781" i="3"/>
  <c r="D5800" i="3"/>
  <c r="D479" i="3"/>
  <c r="D335" i="3"/>
  <c r="D5799" i="3"/>
  <c r="D24" i="3"/>
  <c r="D8529" i="3"/>
  <c r="D900" i="3"/>
  <c r="D6773" i="3"/>
  <c r="D2272" i="3"/>
  <c r="D1332" i="3"/>
  <c r="D2557" i="3"/>
  <c r="D3827" i="3"/>
  <c r="D6998" i="3"/>
  <c r="D3658" i="3"/>
  <c r="D1149" i="3"/>
  <c r="D5130" i="3"/>
  <c r="D75" i="3"/>
  <c r="D4124" i="3"/>
  <c r="D4123" i="3"/>
  <c r="D3178" i="3"/>
  <c r="D5129" i="3"/>
  <c r="D8921" i="3"/>
  <c r="D8695" i="3"/>
  <c r="D8056" i="3"/>
  <c r="D1200" i="3"/>
  <c r="D7353" i="3"/>
  <c r="D230" i="3"/>
  <c r="D2780" i="3"/>
  <c r="D2779" i="3"/>
  <c r="D2309" i="3"/>
  <c r="D5693" i="3"/>
  <c r="D6287" i="3"/>
  <c r="D85" i="3"/>
  <c r="D8250" i="3"/>
  <c r="D5798" i="3"/>
  <c r="D8177" i="3"/>
  <c r="D2354" i="3"/>
  <c r="D7089" i="3"/>
  <c r="D7248" i="3"/>
  <c r="D2141" i="3"/>
  <c r="D973" i="3"/>
  <c r="D6656" i="3"/>
  <c r="D8898" i="3"/>
  <c r="D257" i="3"/>
  <c r="D7088" i="3"/>
  <c r="D7683" i="3"/>
  <c r="D2778" i="3"/>
  <c r="D1331" i="3"/>
  <c r="D5797" i="3"/>
  <c r="D2331" i="3"/>
  <c r="D7581" i="3"/>
  <c r="D2777" i="3"/>
  <c r="D6155" i="3"/>
  <c r="D2483" i="3"/>
  <c r="D2776" i="3"/>
  <c r="D5128" i="3"/>
  <c r="D1201" i="3"/>
  <c r="D5796" i="3"/>
  <c r="D8412" i="3"/>
  <c r="D158" i="3"/>
  <c r="D8897" i="3"/>
  <c r="D3831" i="3"/>
  <c r="D160" i="3"/>
  <c r="D6676" i="3"/>
  <c r="D5127" i="3"/>
  <c r="D2775" i="3"/>
  <c r="D6154" i="3"/>
  <c r="D7430" i="3"/>
  <c r="D2538" i="3"/>
  <c r="D6972" i="3"/>
  <c r="D4122" i="3"/>
  <c r="D7087" i="3"/>
  <c r="D6364" i="3"/>
  <c r="D2620" i="3"/>
  <c r="D2287" i="3"/>
  <c r="D307" i="3"/>
  <c r="D2619" i="3"/>
  <c r="D3847" i="3"/>
  <c r="D772" i="3"/>
  <c r="D2286" i="3"/>
  <c r="D1154" i="3"/>
  <c r="D6437" i="3"/>
  <c r="D970" i="3"/>
  <c r="D7086" i="3"/>
  <c r="D638" i="3"/>
  <c r="D5126" i="3"/>
  <c r="D211" i="3"/>
  <c r="D6451" i="3"/>
  <c r="D3846" i="3"/>
  <c r="D771" i="3"/>
  <c r="D6675" i="3"/>
  <c r="D4121" i="3"/>
  <c r="D4120" i="3"/>
  <c r="D1330" i="3"/>
  <c r="D7314" i="3"/>
  <c r="D1329" i="3"/>
  <c r="D8140" i="3"/>
  <c r="D2628" i="3"/>
  <c r="D979" i="3"/>
  <c r="D6997" i="3"/>
  <c r="D7580" i="3"/>
  <c r="D7085" i="3"/>
  <c r="D5125" i="3"/>
  <c r="D8694" i="3"/>
  <c r="D8055" i="3"/>
  <c r="D3177" i="3"/>
  <c r="D1328" i="3"/>
  <c r="D8054" i="3"/>
  <c r="D1004" i="3"/>
  <c r="D3258" i="3"/>
  <c r="D7876" i="3"/>
  <c r="D5124" i="3"/>
  <c r="D3695" i="3"/>
  <c r="D2212" i="3"/>
  <c r="D6674" i="3"/>
  <c r="D6996" i="3"/>
  <c r="D3511" i="3"/>
  <c r="D637" i="3"/>
  <c r="D6762" i="3"/>
  <c r="D2277" i="3"/>
  <c r="D1327" i="3"/>
  <c r="D3845" i="3"/>
  <c r="D770" i="3"/>
  <c r="D8693" i="3"/>
  <c r="D8692" i="3"/>
  <c r="D1326" i="3"/>
  <c r="D8053" i="3"/>
  <c r="D8052" i="3"/>
  <c r="D8051" i="3"/>
  <c r="D6232" i="3"/>
  <c r="D5123" i="3"/>
  <c r="D5122" i="3"/>
  <c r="D8520" i="3"/>
  <c r="D5121" i="3"/>
  <c r="D1325" i="3"/>
  <c r="D7313" i="3"/>
  <c r="D8691" i="3"/>
  <c r="D6436" i="3"/>
  <c r="D8690" i="3"/>
  <c r="D4119" i="3"/>
  <c r="D8689" i="3"/>
  <c r="D256" i="3"/>
  <c r="D7423" i="3"/>
  <c r="D3257" i="3"/>
  <c r="D8151" i="3"/>
  <c r="D2774" i="3"/>
  <c r="D3256" i="3"/>
  <c r="D4118" i="3"/>
  <c r="D210" i="3"/>
  <c r="D5795" i="3"/>
  <c r="D1324" i="3"/>
  <c r="D2630" i="3"/>
  <c r="D7312" i="3"/>
  <c r="D8050" i="3"/>
  <c r="D3586" i="3"/>
  <c r="D6566" i="3"/>
  <c r="D8900" i="3"/>
  <c r="D3926" i="3"/>
  <c r="D381" i="3"/>
  <c r="D8688" i="3"/>
  <c r="D8687" i="3"/>
  <c r="D3255" i="3"/>
  <c r="D8686" i="3"/>
  <c r="D6252" i="3"/>
  <c r="D6222" i="3"/>
  <c r="D5728" i="3"/>
  <c r="D7311" i="3"/>
  <c r="D7579" i="3"/>
  <c r="D8049" i="3"/>
  <c r="D8685" i="3"/>
  <c r="D8206" i="3"/>
  <c r="D8684" i="3"/>
  <c r="D6231" i="3"/>
  <c r="D6995" i="3"/>
  <c r="D6994" i="3"/>
  <c r="D5120" i="3"/>
  <c r="D2297" i="3"/>
  <c r="D8048" i="3"/>
  <c r="D8683" i="3"/>
  <c r="D8682" i="3"/>
  <c r="D4117" i="3"/>
  <c r="D8681" i="3"/>
  <c r="D8680" i="3"/>
  <c r="D3254" i="3"/>
  <c r="D8517" i="3"/>
  <c r="D4116" i="3"/>
  <c r="D2627" i="3"/>
  <c r="D7310" i="3"/>
  <c r="D7741" i="3"/>
  <c r="D1323" i="3"/>
  <c r="D1322" i="3"/>
  <c r="D174" i="3"/>
  <c r="D7247" i="3"/>
  <c r="D8271" i="3"/>
  <c r="D197" i="3"/>
  <c r="D1148" i="3"/>
  <c r="D2773" i="3"/>
  <c r="D6221" i="3"/>
  <c r="D5119" i="3"/>
  <c r="D6507" i="3"/>
  <c r="D2772" i="3"/>
  <c r="D7309" i="3"/>
  <c r="D6363" i="3"/>
  <c r="D3253" i="3"/>
  <c r="D6957" i="3"/>
  <c r="D2771" i="3"/>
  <c r="D1321" i="3"/>
  <c r="D5118" i="3"/>
  <c r="D3821" i="3"/>
  <c r="D7578" i="3"/>
  <c r="D3820" i="3"/>
  <c r="D8415" i="3"/>
  <c r="D8047" i="3"/>
  <c r="D3770" i="3"/>
  <c r="D8679" i="3"/>
  <c r="D5117" i="3"/>
  <c r="D4115" i="3"/>
  <c r="D3585" i="3"/>
  <c r="D6450" i="3"/>
  <c r="D1124" i="3"/>
  <c r="D6506" i="3"/>
  <c r="D8267" i="3"/>
  <c r="D2770" i="3"/>
  <c r="D401" i="3"/>
  <c r="D5116" i="3"/>
  <c r="D5115" i="3"/>
  <c r="D1068" i="3"/>
  <c r="D2529" i="3"/>
  <c r="D7670" i="3"/>
  <c r="D5625" i="3"/>
  <c r="D2769" i="3"/>
  <c r="D8150" i="3"/>
  <c r="D8205" i="3"/>
  <c r="D5114" i="3"/>
  <c r="D3252" i="3"/>
  <c r="D7689" i="3"/>
  <c r="D8678" i="3"/>
  <c r="D8677" i="3"/>
  <c r="D8676" i="3"/>
  <c r="D5711" i="3"/>
  <c r="D5794" i="3"/>
  <c r="D5659" i="3"/>
  <c r="D4114" i="3"/>
  <c r="D6956" i="3"/>
  <c r="D3584" i="3"/>
  <c r="D7308" i="3"/>
  <c r="D4113" i="3"/>
  <c r="D6993" i="3"/>
  <c r="D7307" i="3"/>
  <c r="D6505" i="3"/>
  <c r="D3544" i="3"/>
  <c r="D6504" i="3"/>
  <c r="D4112" i="3"/>
  <c r="D5113" i="3"/>
  <c r="D2768" i="3"/>
  <c r="D3456" i="3"/>
  <c r="D8149" i="3"/>
  <c r="D7875" i="3"/>
  <c r="D8920" i="3"/>
  <c r="D3251" i="3"/>
  <c r="D8919" i="3"/>
  <c r="D1320" i="3"/>
  <c r="D4111" i="3"/>
  <c r="D4110" i="3"/>
  <c r="D5112" i="3"/>
  <c r="D8675" i="3"/>
  <c r="D2441" i="3"/>
  <c r="D3874" i="3"/>
  <c r="D3819" i="3"/>
  <c r="D1319" i="3"/>
  <c r="D5111" i="3"/>
  <c r="D7740" i="3"/>
  <c r="D4109" i="3"/>
  <c r="D8301" i="3"/>
  <c r="D2767" i="3"/>
  <c r="D4108" i="3"/>
  <c r="D5110" i="3"/>
  <c r="D4107" i="3"/>
  <c r="D7306" i="3"/>
  <c r="D7739" i="3"/>
  <c r="D1003" i="3"/>
  <c r="D1318" i="3"/>
  <c r="D8204" i="3"/>
  <c r="D2302" i="3"/>
  <c r="D3176" i="3"/>
  <c r="D6220" i="3"/>
  <c r="D695" i="3"/>
  <c r="D8918" i="3"/>
  <c r="D8674" i="3"/>
  <c r="D7246" i="3"/>
  <c r="D7372" i="3"/>
  <c r="D7084" i="3"/>
  <c r="D3250" i="3"/>
  <c r="D3543" i="3"/>
  <c r="D3583" i="3"/>
  <c r="D5710" i="3"/>
  <c r="D2766" i="3"/>
  <c r="D5109" i="3"/>
  <c r="D6288" i="3"/>
  <c r="D8673" i="3"/>
  <c r="D2765" i="3"/>
  <c r="D2764" i="3"/>
  <c r="D7083" i="3"/>
  <c r="D2763" i="3"/>
  <c r="D8266" i="3"/>
  <c r="D6503" i="3"/>
  <c r="D4106" i="3"/>
  <c r="D1317" i="3"/>
  <c r="D8203" i="3"/>
  <c r="D2426" i="3"/>
  <c r="D6362" i="3"/>
  <c r="D5757" i="3"/>
  <c r="D6096" i="3"/>
  <c r="D6673" i="3"/>
  <c r="D244" i="3"/>
  <c r="D7422" i="3"/>
  <c r="D2362" i="3"/>
  <c r="D3249" i="3"/>
  <c r="D8046" i="3"/>
  <c r="D5793" i="3"/>
  <c r="D3248" i="3"/>
  <c r="D8045" i="3"/>
  <c r="D2422" i="3"/>
  <c r="D2528" i="3"/>
  <c r="D6361" i="3"/>
  <c r="D4105" i="3"/>
  <c r="D7082" i="3"/>
  <c r="D3247" i="3"/>
  <c r="D4104" i="3"/>
  <c r="D4103" i="3"/>
  <c r="D6992" i="3"/>
  <c r="D6469" i="3"/>
  <c r="D2762" i="3"/>
  <c r="D8300" i="3"/>
  <c r="D6672" i="3"/>
  <c r="D4102" i="3"/>
  <c r="D1128" i="3"/>
  <c r="D2761" i="3"/>
  <c r="D6251" i="3"/>
  <c r="D3246" i="3"/>
  <c r="D3245" i="3"/>
  <c r="D4101" i="3"/>
  <c r="D310" i="3"/>
  <c r="D1316" i="3"/>
  <c r="D1315" i="3"/>
  <c r="D8044" i="3"/>
  <c r="D7081" i="3"/>
  <c r="D6296" i="3"/>
  <c r="D4100" i="3"/>
  <c r="D8043" i="3"/>
  <c r="D6360" i="3"/>
  <c r="D5792" i="3"/>
  <c r="D2178" i="3"/>
  <c r="D8042" i="3"/>
  <c r="D6991" i="3"/>
  <c r="D7738" i="3"/>
  <c r="D3582" i="3"/>
  <c r="D1314" i="3"/>
  <c r="D7917" i="3"/>
  <c r="D1067" i="3"/>
  <c r="D8299" i="3"/>
  <c r="D2760" i="3"/>
  <c r="D2759" i="3"/>
  <c r="D1055" i="3"/>
  <c r="D8298" i="3"/>
  <c r="D4099" i="3"/>
  <c r="D2758" i="3"/>
  <c r="D4983" i="3"/>
  <c r="D6359" i="3"/>
  <c r="D8041" i="3"/>
  <c r="D6121" i="3"/>
  <c r="D3551" i="3"/>
  <c r="D5108" i="3"/>
  <c r="D3244" i="3"/>
  <c r="D4098" i="3"/>
  <c r="D3542" i="3"/>
  <c r="D6833" i="3"/>
  <c r="D1313" i="3"/>
  <c r="D5709" i="3"/>
  <c r="D8672" i="3"/>
  <c r="D6502" i="3"/>
  <c r="D4097" i="3"/>
  <c r="D6358" i="3"/>
  <c r="D2618" i="3"/>
  <c r="D6357" i="3"/>
  <c r="D8671" i="3"/>
  <c r="D8297" i="3"/>
  <c r="D7275" i="3"/>
  <c r="D7080" i="3"/>
  <c r="D8670" i="3"/>
  <c r="D2361" i="3"/>
  <c r="D7079" i="3"/>
  <c r="D4096" i="3"/>
  <c r="D7305" i="3"/>
  <c r="D1066" i="3"/>
  <c r="D7874" i="3"/>
  <c r="D1312" i="3"/>
  <c r="D209" i="3"/>
  <c r="D8040" i="3"/>
  <c r="D6356" i="3"/>
  <c r="D1311" i="3"/>
  <c r="D7916" i="3"/>
  <c r="D4095" i="3"/>
  <c r="D1310" i="3"/>
  <c r="D8296" i="3"/>
  <c r="D6990" i="3"/>
  <c r="D3525" i="3"/>
  <c r="D2757" i="3"/>
  <c r="D8669" i="3"/>
  <c r="D5002" i="3"/>
  <c r="D8668" i="3"/>
  <c r="D4094" i="3"/>
  <c r="D6355" i="3"/>
  <c r="D3581" i="3"/>
  <c r="D6219" i="3"/>
  <c r="D7827" i="3"/>
  <c r="D6782" i="3"/>
  <c r="D5107" i="3"/>
  <c r="D2406" i="3"/>
  <c r="D8254" i="3"/>
  <c r="D6422" i="3"/>
  <c r="D8295" i="3"/>
  <c r="D5106" i="3"/>
  <c r="D570" i="3"/>
  <c r="D3580" i="3"/>
  <c r="D6354" i="3"/>
  <c r="D3243" i="3"/>
  <c r="D229" i="3"/>
  <c r="D7371" i="3"/>
  <c r="D7370" i="3"/>
  <c r="D7078" i="3"/>
  <c r="D1309" i="3"/>
  <c r="D2756" i="3"/>
  <c r="D2755" i="3"/>
  <c r="D2586" i="3"/>
  <c r="D2537" i="3"/>
  <c r="D2754" i="3"/>
  <c r="D6501" i="3"/>
  <c r="D8294" i="3"/>
  <c r="D7077" i="3"/>
  <c r="D5105" i="3"/>
  <c r="D400" i="3"/>
  <c r="D6594" i="3"/>
  <c r="D399" i="3"/>
  <c r="D2418" i="3"/>
  <c r="D7304" i="3"/>
  <c r="D5104" i="3"/>
  <c r="D694" i="3"/>
  <c r="D2753" i="3"/>
  <c r="D182" i="3"/>
  <c r="D1308" i="3"/>
  <c r="D7915" i="3"/>
  <c r="D4093" i="3"/>
  <c r="D3579" i="3"/>
  <c r="D309" i="3"/>
  <c r="D3818" i="3"/>
  <c r="D1307" i="3"/>
  <c r="D625" i="3"/>
  <c r="D2752" i="3"/>
  <c r="D6435" i="3"/>
  <c r="D366" i="3"/>
  <c r="D6655" i="3"/>
  <c r="D1306" i="3"/>
  <c r="D7914" i="3"/>
  <c r="D3242" i="3"/>
  <c r="D2751" i="3"/>
  <c r="D4092" i="3"/>
  <c r="D3398" i="3"/>
  <c r="D7076" i="3"/>
  <c r="D8667" i="3"/>
  <c r="D8666" i="3"/>
  <c r="D5103" i="3"/>
  <c r="D4091" i="3"/>
  <c r="D3578" i="3"/>
  <c r="D8665" i="3"/>
  <c r="D8664" i="3"/>
  <c r="D8663" i="3"/>
  <c r="D8293" i="3"/>
  <c r="D978" i="3"/>
  <c r="D8039" i="3"/>
  <c r="D8662" i="3"/>
  <c r="D2425" i="3"/>
  <c r="D1305" i="3"/>
  <c r="D7913" i="3"/>
  <c r="D5692" i="3"/>
  <c r="D3455" i="3"/>
  <c r="D5102" i="3"/>
  <c r="D6353" i="3"/>
  <c r="D3241" i="3"/>
  <c r="D2585" i="3"/>
  <c r="D6971" i="3"/>
  <c r="D1304" i="3"/>
  <c r="D3397" i="3"/>
  <c r="D2276" i="3"/>
  <c r="D3577" i="3"/>
  <c r="D6352" i="3"/>
  <c r="D8661" i="3"/>
  <c r="D1303" i="3"/>
  <c r="D6500" i="3"/>
  <c r="D4090" i="3"/>
  <c r="D1302" i="3"/>
  <c r="D1301" i="3"/>
  <c r="D1300" i="3"/>
  <c r="D5791" i="3"/>
  <c r="D5101" i="3"/>
  <c r="D2360" i="3"/>
  <c r="D5648" i="3"/>
  <c r="D2750" i="3"/>
  <c r="D8292" i="3"/>
  <c r="D495" i="3"/>
  <c r="D478" i="3"/>
  <c r="D6434" i="3"/>
  <c r="D4089" i="3"/>
  <c r="D4088" i="3"/>
  <c r="D7303" i="3"/>
  <c r="D5756" i="3"/>
  <c r="D2440" i="3"/>
  <c r="D2571" i="3"/>
  <c r="D3396" i="3"/>
  <c r="D6178" i="3"/>
  <c r="D8291" i="3"/>
  <c r="D2405" i="3"/>
  <c r="D4087" i="3"/>
  <c r="D3576" i="3"/>
  <c r="D6351" i="3"/>
  <c r="D1299" i="3"/>
  <c r="D636" i="3"/>
  <c r="D4997" i="3"/>
  <c r="D6139" i="3"/>
  <c r="D7826" i="3"/>
  <c r="D6781" i="3"/>
  <c r="D8202" i="3"/>
  <c r="D4982" i="3"/>
  <c r="D7075" i="3"/>
  <c r="D5691" i="3"/>
  <c r="D2749" i="3"/>
  <c r="D4086" i="3"/>
  <c r="D3240" i="3"/>
  <c r="D7667" i="3"/>
  <c r="D3844" i="3"/>
  <c r="D769" i="3"/>
  <c r="D6218" i="3"/>
  <c r="D926" i="3"/>
  <c r="D8660" i="3"/>
  <c r="D6499" i="3"/>
  <c r="D7651" i="3"/>
  <c r="D2580" i="3"/>
  <c r="D5658" i="3"/>
  <c r="D7074" i="3"/>
  <c r="D8235" i="3"/>
  <c r="D8659" i="3"/>
  <c r="D8917" i="3"/>
  <c r="D6803" i="3"/>
  <c r="D8290" i="3"/>
  <c r="D2748" i="3"/>
  <c r="D2747" i="3"/>
  <c r="D7073" i="3"/>
  <c r="D6498" i="3"/>
  <c r="D7896" i="3"/>
  <c r="D8539" i="3"/>
  <c r="D2218" i="3"/>
  <c r="D4085" i="3"/>
  <c r="D7737" i="3"/>
  <c r="D4084" i="3"/>
  <c r="D1298" i="3"/>
  <c r="D5100" i="3"/>
  <c r="D477" i="3"/>
  <c r="D4083" i="3"/>
  <c r="D4082" i="3"/>
  <c r="D2746" i="3"/>
  <c r="D4081" i="3"/>
  <c r="D6497" i="3"/>
  <c r="D2745" i="3"/>
  <c r="D5790" i="3"/>
  <c r="D4080" i="3"/>
  <c r="D306" i="3"/>
  <c r="D2357" i="3"/>
  <c r="D8442" i="3"/>
  <c r="D8658" i="3"/>
  <c r="D1002" i="3"/>
  <c r="D8657" i="3"/>
  <c r="D398" i="3"/>
  <c r="D3239" i="3"/>
  <c r="D3238" i="3"/>
  <c r="D1297" i="3"/>
  <c r="D3237" i="3"/>
  <c r="D6970" i="3"/>
  <c r="D6580" i="3"/>
  <c r="D6496" i="3"/>
  <c r="D4079" i="3"/>
  <c r="D3510" i="3"/>
  <c r="D1054" i="3"/>
  <c r="D4078" i="3"/>
  <c r="D3441" i="3"/>
  <c r="D4077" i="3"/>
  <c r="D1296" i="3"/>
  <c r="D1295" i="3"/>
  <c r="D2744" i="3"/>
  <c r="D1127" i="3"/>
  <c r="D3694" i="3"/>
  <c r="D2645" i="3"/>
  <c r="D5789" i="3"/>
  <c r="D8201" i="3"/>
  <c r="D5690" i="3"/>
  <c r="D7650" i="3"/>
  <c r="D5099" i="3"/>
  <c r="D6177" i="3"/>
  <c r="D5098" i="3"/>
  <c r="D1294" i="3"/>
  <c r="D7912" i="3"/>
  <c r="D10" i="3"/>
  <c r="D4076" i="3"/>
  <c r="D3214" i="3"/>
  <c r="D3236" i="3"/>
  <c r="D4075" i="3"/>
  <c r="D2453" i="3"/>
  <c r="D2225" i="3"/>
  <c r="D5097" i="3"/>
  <c r="D4074" i="3"/>
  <c r="D8656" i="3"/>
  <c r="D4073" i="3"/>
  <c r="D1293" i="3"/>
  <c r="D7911" i="3"/>
  <c r="D3817" i="3"/>
  <c r="D4072" i="3"/>
  <c r="D5001" i="3"/>
  <c r="D4071" i="3"/>
  <c r="D2743" i="3"/>
  <c r="D2742" i="3"/>
  <c r="D6350" i="3"/>
  <c r="D2201" i="3"/>
  <c r="D1137" i="3"/>
  <c r="D8655" i="3"/>
  <c r="D3235" i="3"/>
  <c r="D2741" i="3"/>
  <c r="D7358" i="3"/>
  <c r="D3234" i="3"/>
  <c r="D7429" i="3"/>
  <c r="D4070" i="3"/>
  <c r="D2740" i="3"/>
  <c r="D7302" i="3"/>
  <c r="D8289" i="3"/>
  <c r="D7736" i="3"/>
  <c r="D7873" i="3"/>
  <c r="D3727" i="3"/>
  <c r="D8145" i="3"/>
  <c r="D5788" i="3"/>
  <c r="D4069" i="3"/>
  <c r="D4068" i="3"/>
  <c r="D8200" i="3"/>
  <c r="D2739" i="3"/>
  <c r="D2629" i="3"/>
  <c r="D4067" i="3"/>
  <c r="D6495" i="3"/>
  <c r="D8038" i="3"/>
  <c r="D5624" i="3"/>
  <c r="D1292" i="3"/>
  <c r="D4066" i="3"/>
  <c r="D8199" i="3"/>
  <c r="D4065" i="3"/>
  <c r="D2738" i="3"/>
  <c r="D6494" i="3"/>
  <c r="D8654" i="3"/>
  <c r="D8198" i="3"/>
  <c r="D4064" i="3"/>
  <c r="D1291" i="3"/>
  <c r="D4063" i="3"/>
  <c r="D4062" i="3"/>
  <c r="D693" i="3"/>
  <c r="D6349" i="3"/>
  <c r="D2217" i="3"/>
  <c r="D5708" i="3"/>
  <c r="D4061" i="3"/>
  <c r="D2186" i="3"/>
  <c r="D8197" i="3"/>
  <c r="D7428" i="3"/>
  <c r="D5096" i="3"/>
  <c r="D1290" i="3"/>
  <c r="D3233" i="3"/>
  <c r="D7369" i="3"/>
  <c r="D1289" i="3"/>
  <c r="D1288" i="3"/>
  <c r="D2737" i="3"/>
  <c r="D8037" i="3"/>
  <c r="D3232" i="3"/>
  <c r="D2736" i="3"/>
  <c r="D5095" i="3"/>
  <c r="D6348" i="3"/>
  <c r="D278" i="3"/>
  <c r="D208" i="3"/>
  <c r="D7641" i="3"/>
  <c r="D2527" i="3"/>
  <c r="D7245" i="3"/>
  <c r="D1287" i="3"/>
  <c r="D8288" i="3"/>
  <c r="D1001" i="3"/>
  <c r="D5094" i="3"/>
  <c r="D2735" i="3"/>
  <c r="D8653" i="3"/>
  <c r="D7690" i="3"/>
  <c r="D2734" i="3"/>
  <c r="D6493" i="3"/>
  <c r="D8652" i="3"/>
  <c r="D847" i="3"/>
  <c r="D2733" i="3"/>
  <c r="D1286" i="3"/>
  <c r="D7910" i="3"/>
  <c r="D977" i="3"/>
  <c r="D4060" i="3"/>
  <c r="D5093" i="3"/>
  <c r="D8036" i="3"/>
  <c r="D7301" i="3"/>
  <c r="D8916" i="3"/>
  <c r="D7072" i="3"/>
  <c r="D991" i="3"/>
  <c r="D1285" i="3"/>
  <c r="D6347" i="3"/>
  <c r="D1284" i="3"/>
  <c r="D8035" i="3"/>
  <c r="D2644" i="3"/>
  <c r="D4059" i="3"/>
  <c r="D692" i="3"/>
  <c r="D4058" i="3"/>
  <c r="D7887" i="3"/>
  <c r="D8196" i="3"/>
  <c r="D3231" i="3"/>
  <c r="D4057" i="3"/>
  <c r="D2514" i="3"/>
  <c r="D2516" i="3"/>
  <c r="D7300" i="3"/>
  <c r="D2533" i="3"/>
  <c r="D827" i="3"/>
  <c r="D2526" i="3"/>
  <c r="D3726" i="3"/>
  <c r="D3395" i="3"/>
  <c r="D2152" i="3"/>
  <c r="D6449" i="3"/>
  <c r="D8225" i="3"/>
  <c r="D4056" i="3"/>
  <c r="D6448" i="3"/>
  <c r="D3230" i="3"/>
  <c r="D7299" i="3"/>
  <c r="D4055" i="3"/>
  <c r="D7244" i="3"/>
  <c r="D8651" i="3"/>
  <c r="D2472" i="3"/>
  <c r="D8503" i="3"/>
  <c r="D2732" i="3"/>
  <c r="D4054" i="3"/>
  <c r="D1283" i="3"/>
  <c r="D4053" i="3"/>
  <c r="D5092" i="3"/>
  <c r="D3657" i="3"/>
  <c r="D181" i="3"/>
  <c r="D1282" i="3"/>
  <c r="D7909" i="3"/>
  <c r="D4052" i="3"/>
  <c r="D1136" i="3"/>
  <c r="D7396" i="3"/>
  <c r="D8650" i="3"/>
  <c r="D7071" i="3"/>
  <c r="D1281" i="3"/>
  <c r="D846" i="3"/>
  <c r="D2731" i="3"/>
  <c r="D317" i="3"/>
  <c r="D5091" i="3"/>
  <c r="D4051" i="3"/>
  <c r="D1280" i="3"/>
  <c r="D7908" i="3"/>
  <c r="D3769" i="3"/>
  <c r="D1279" i="3"/>
  <c r="D6654" i="3"/>
  <c r="D1278" i="3"/>
  <c r="D1277" i="3"/>
  <c r="D8649" i="3"/>
  <c r="D5090" i="3"/>
  <c r="D6955" i="3"/>
  <c r="D6230" i="3"/>
  <c r="D8648" i="3"/>
  <c r="D6217" i="3"/>
  <c r="D7872" i="3"/>
  <c r="D6429" i="3"/>
  <c r="D8167" i="3"/>
  <c r="D2554" i="3"/>
  <c r="D2262" i="3"/>
  <c r="D3175" i="3"/>
  <c r="D6346" i="3"/>
  <c r="D8034" i="3"/>
  <c r="D7825" i="3"/>
  <c r="D6780" i="3"/>
  <c r="D5707" i="3"/>
  <c r="D8508" i="3"/>
  <c r="D8426" i="3"/>
  <c r="D7862" i="3"/>
  <c r="D7871" i="3"/>
  <c r="D6421" i="3"/>
  <c r="D8647" i="3"/>
  <c r="D6345" i="3"/>
  <c r="D2298" i="3"/>
  <c r="D8915" i="3"/>
  <c r="D7719" i="3"/>
  <c r="D3509" i="3"/>
  <c r="D6210" i="3"/>
  <c r="D1064" i="3"/>
  <c r="D6344" i="3"/>
  <c r="D6808" i="3"/>
  <c r="D8287" i="3"/>
  <c r="D5689" i="3"/>
  <c r="D2404" i="3"/>
  <c r="D1135" i="3"/>
  <c r="D2730" i="3"/>
  <c r="D6343" i="3"/>
  <c r="D6989" i="3"/>
  <c r="D1276" i="3"/>
  <c r="D6802" i="3"/>
  <c r="D691" i="3"/>
  <c r="D4050" i="3"/>
  <c r="D1275" i="3"/>
  <c r="D6579" i="3"/>
  <c r="D1274" i="3"/>
  <c r="D3806" i="3"/>
  <c r="D6271" i="3"/>
  <c r="D5089" i="3"/>
  <c r="D7274" i="3"/>
  <c r="D1273" i="3"/>
  <c r="D4049" i="3"/>
  <c r="D6342" i="3"/>
  <c r="D2729" i="3"/>
  <c r="D2623" i="3"/>
  <c r="D822" i="3"/>
  <c r="D6988" i="3"/>
  <c r="D1272" i="3"/>
  <c r="D8646" i="3"/>
  <c r="D2123" i="3"/>
  <c r="D3229" i="3"/>
  <c r="D6341" i="3"/>
  <c r="D3394" i="3"/>
  <c r="D6340" i="3"/>
  <c r="D4048" i="3"/>
  <c r="D7298" i="3"/>
  <c r="D3575" i="3"/>
  <c r="D356" i="3"/>
  <c r="D338" i="3"/>
  <c r="D1271" i="3"/>
  <c r="D2728" i="3"/>
  <c r="D6216" i="3"/>
  <c r="D8466" i="3"/>
  <c r="D4047" i="3"/>
  <c r="D1270" i="3"/>
  <c r="D3228" i="3"/>
  <c r="D7708" i="3"/>
  <c r="D6339" i="3"/>
  <c r="D2216" i="3"/>
  <c r="D1269" i="3"/>
  <c r="D4046" i="3"/>
  <c r="D8538" i="3"/>
  <c r="D964" i="3"/>
  <c r="D2155" i="3"/>
  <c r="D1268" i="3"/>
  <c r="D7070" i="3"/>
  <c r="D969" i="3"/>
  <c r="D4045" i="3"/>
  <c r="D690" i="3"/>
  <c r="D3574" i="3"/>
  <c r="D2525" i="3"/>
  <c r="D976" i="3"/>
  <c r="D7069" i="3"/>
  <c r="D3573" i="3"/>
  <c r="D4044" i="3"/>
  <c r="D2727" i="3"/>
  <c r="D8914" i="3"/>
  <c r="D6774" i="3"/>
  <c r="D6338" i="3"/>
  <c r="D3768" i="3"/>
  <c r="D5088" i="3"/>
  <c r="D6987" i="3"/>
  <c r="D4043" i="3"/>
  <c r="D1000" i="3"/>
  <c r="D2314" i="3"/>
  <c r="D5087" i="3"/>
  <c r="D3572" i="3"/>
  <c r="D5688" i="3"/>
  <c r="D855" i="3"/>
  <c r="D635" i="3"/>
  <c r="D8645" i="3"/>
  <c r="D611" i="3"/>
  <c r="D2726" i="3"/>
  <c r="D999" i="3"/>
  <c r="D4042" i="3"/>
  <c r="D5787" i="3"/>
  <c r="D4041" i="3"/>
  <c r="D7886" i="3"/>
  <c r="D5786" i="3"/>
  <c r="D6667" i="3"/>
  <c r="D8903" i="3"/>
  <c r="D4040" i="3"/>
  <c r="D463" i="3"/>
  <c r="D2532" i="3"/>
  <c r="D4039" i="3"/>
  <c r="D3843" i="3"/>
  <c r="D768" i="3"/>
  <c r="D2725" i="3"/>
  <c r="D2403" i="3"/>
  <c r="D6832" i="3"/>
  <c r="D3878" i="3"/>
  <c r="D2584" i="3"/>
  <c r="D8033" i="3"/>
  <c r="D337" i="3"/>
  <c r="D5086" i="3"/>
  <c r="D7297" i="3"/>
  <c r="D7627" i="3"/>
  <c r="D5645" i="3"/>
  <c r="D4038" i="3"/>
  <c r="D4037" i="3"/>
  <c r="D6201" i="3"/>
  <c r="D8644" i="3"/>
  <c r="D2561" i="3"/>
  <c r="D1267" i="3"/>
  <c r="D5785" i="3"/>
  <c r="D1266" i="3"/>
  <c r="D1156" i="3"/>
  <c r="D3571" i="3"/>
  <c r="D1265" i="3"/>
  <c r="D1099" i="3"/>
  <c r="D6337" i="3"/>
  <c r="D8032" i="3"/>
  <c r="D998" i="3"/>
  <c r="D2724" i="3"/>
  <c r="D6831" i="3"/>
  <c r="D1264" i="3"/>
  <c r="D4036" i="3"/>
  <c r="D2161" i="3"/>
  <c r="D5784" i="3"/>
  <c r="D1263" i="3"/>
  <c r="D7296" i="3"/>
  <c r="D3227" i="3"/>
  <c r="D5085" i="3"/>
  <c r="D1262" i="3"/>
  <c r="D1098" i="3"/>
  <c r="D6336" i="3"/>
  <c r="D1261" i="3"/>
  <c r="D7907" i="3"/>
  <c r="D7368" i="3"/>
  <c r="D6243" i="3"/>
  <c r="D4035" i="3"/>
  <c r="D2398" i="3"/>
  <c r="D4034" i="3"/>
  <c r="D6806" i="3"/>
  <c r="D2723" i="3"/>
  <c r="D1260" i="3"/>
  <c r="D7906" i="3"/>
  <c r="D4033" i="3"/>
  <c r="D1259" i="3"/>
  <c r="D6986" i="3"/>
  <c r="D8195" i="3"/>
  <c r="D195" i="3"/>
  <c r="D610" i="3"/>
  <c r="D6492" i="3"/>
  <c r="D8643" i="3"/>
  <c r="D5084" i="3"/>
  <c r="D7068" i="3"/>
  <c r="D2722" i="3"/>
  <c r="D2721" i="3"/>
  <c r="D2720" i="3"/>
  <c r="D6335" i="3"/>
  <c r="D4032" i="3"/>
  <c r="D2719" i="3"/>
  <c r="D4031" i="3"/>
  <c r="D2718" i="3"/>
  <c r="D8258" i="3"/>
  <c r="D6447" i="3"/>
  <c r="D8194" i="3"/>
  <c r="D4030" i="3"/>
  <c r="D5783" i="3"/>
  <c r="D1258" i="3"/>
  <c r="D8537" i="3"/>
  <c r="D5083" i="3"/>
  <c r="D8286" i="3"/>
  <c r="D2353" i="3"/>
  <c r="D8004" i="3"/>
  <c r="D1160" i="3"/>
  <c r="D609" i="3"/>
  <c r="D8642" i="3"/>
  <c r="D2439" i="3"/>
  <c r="D2717" i="3"/>
  <c r="D8536" i="3"/>
  <c r="D2716" i="3"/>
  <c r="D5647" i="3"/>
  <c r="D8031" i="3"/>
  <c r="D8253" i="3"/>
  <c r="D7273" i="3"/>
  <c r="D1257" i="3"/>
  <c r="D8641" i="3"/>
  <c r="D7067" i="3"/>
  <c r="D3454" i="3"/>
  <c r="D2506" i="3"/>
  <c r="D826" i="3"/>
  <c r="D6491" i="3"/>
  <c r="D4029" i="3"/>
  <c r="D380" i="3"/>
  <c r="D5782" i="3"/>
  <c r="D5082" i="3"/>
  <c r="D1157" i="3"/>
  <c r="D6830" i="3"/>
  <c r="D1256" i="3"/>
  <c r="D7295" i="3"/>
  <c r="D3541" i="3"/>
  <c r="D533" i="3"/>
  <c r="D3174" i="3"/>
  <c r="D6120" i="3"/>
  <c r="D4028" i="3"/>
  <c r="D3570" i="3"/>
  <c r="D2417" i="3"/>
  <c r="D8285" i="3"/>
  <c r="D4027" i="3"/>
  <c r="D7649" i="3"/>
  <c r="D5081" i="3"/>
  <c r="D2433" i="3"/>
  <c r="D7885" i="3"/>
  <c r="D1255" i="3"/>
  <c r="D5080" i="3"/>
  <c r="D4026" i="3"/>
  <c r="D6829" i="3"/>
  <c r="D6334" i="3"/>
  <c r="D5639" i="3"/>
  <c r="D767" i="3"/>
  <c r="D6333" i="3"/>
  <c r="D8193" i="3"/>
  <c r="D5079" i="3"/>
  <c r="D8913" i="3"/>
  <c r="D5781" i="3"/>
  <c r="D2215" i="3"/>
  <c r="D4025" i="3"/>
  <c r="D1254" i="3"/>
  <c r="D8030" i="3"/>
  <c r="D4024" i="3"/>
  <c r="D6332" i="3"/>
  <c r="D6331" i="3"/>
  <c r="D5078" i="3"/>
  <c r="D6471" i="3"/>
  <c r="D3569" i="3"/>
  <c r="D4023" i="3"/>
  <c r="D2358" i="3"/>
  <c r="D6490" i="3"/>
  <c r="D2715" i="3"/>
  <c r="D6565" i="3"/>
  <c r="D6295" i="3"/>
  <c r="D766" i="3"/>
  <c r="D8640" i="3"/>
  <c r="D5752" i="3"/>
  <c r="D5077" i="3"/>
  <c r="D5076" i="3"/>
  <c r="D4022" i="3"/>
  <c r="D6578" i="3"/>
  <c r="D1134" i="3"/>
  <c r="D6433" i="3"/>
  <c r="D6489" i="3"/>
  <c r="D283" i="3"/>
  <c r="D3549" i="3"/>
  <c r="D6330" i="3"/>
  <c r="D5075" i="3"/>
  <c r="D48" i="3"/>
  <c r="D7611" i="3"/>
  <c r="D5780" i="3"/>
  <c r="D8284" i="3"/>
  <c r="D2154" i="3"/>
  <c r="D2402" i="3"/>
  <c r="D5074" i="3"/>
  <c r="D2271" i="3"/>
  <c r="D6671" i="3"/>
  <c r="D5746" i="3"/>
  <c r="D7294" i="3"/>
  <c r="D8029" i="3"/>
  <c r="D8148" i="3"/>
  <c r="D2607" i="3"/>
  <c r="D2617" i="3"/>
  <c r="D4021" i="3"/>
  <c r="D925" i="3"/>
  <c r="D8639" i="3"/>
  <c r="D6329" i="3"/>
  <c r="D4020" i="3"/>
  <c r="D4019" i="3"/>
  <c r="D2531" i="3"/>
  <c r="D6420" i="3"/>
  <c r="D180" i="3"/>
  <c r="D5779" i="3"/>
  <c r="D7272" i="3"/>
  <c r="D4984" i="3"/>
  <c r="D4018" i="3"/>
  <c r="D4017" i="3"/>
  <c r="D4016" i="3"/>
  <c r="D4015" i="3"/>
  <c r="D819" i="3"/>
  <c r="D5073" i="3"/>
  <c r="D4014" i="3"/>
  <c r="D8192" i="3"/>
  <c r="D7243" i="3"/>
  <c r="D4013" i="3"/>
  <c r="D4012" i="3"/>
  <c r="D290" i="3"/>
  <c r="D3763" i="3"/>
  <c r="D1253" i="3"/>
  <c r="D8191" i="3"/>
  <c r="D4980" i="3"/>
  <c r="D2714" i="3"/>
  <c r="D4011" i="3"/>
  <c r="D5072" i="3"/>
  <c r="D5071" i="3"/>
  <c r="D3226" i="3"/>
  <c r="D5070" i="3"/>
  <c r="D7066" i="3"/>
  <c r="D8245" i="3"/>
  <c r="D1252" i="3"/>
  <c r="D4010" i="3"/>
  <c r="D6115" i="3"/>
  <c r="D1251" i="3"/>
  <c r="D4009" i="3"/>
  <c r="D7065" i="3"/>
  <c r="D4008" i="3"/>
  <c r="D179" i="3"/>
  <c r="D6215" i="3"/>
  <c r="D2160" i="3"/>
  <c r="D5778" i="3"/>
  <c r="D5069" i="3"/>
  <c r="D4007" i="3"/>
  <c r="D5777" i="3"/>
  <c r="D2713" i="3"/>
  <c r="D5068" i="3"/>
  <c r="D6328" i="3"/>
  <c r="D4006" i="3"/>
  <c r="D4974" i="3"/>
  <c r="D16" i="3"/>
  <c r="D820" i="3"/>
  <c r="D5067" i="3"/>
  <c r="D7367" i="3"/>
  <c r="D837" i="3"/>
  <c r="D4005" i="3"/>
  <c r="D2583" i="3"/>
  <c r="D2712" i="3"/>
  <c r="D6095" i="3"/>
  <c r="D7715" i="3"/>
  <c r="D5066" i="3"/>
  <c r="D6327" i="3"/>
  <c r="D1250" i="3"/>
  <c r="D2536" i="3"/>
  <c r="D3568" i="3"/>
  <c r="D7064" i="3"/>
  <c r="D7293" i="3"/>
  <c r="D4004" i="3"/>
  <c r="D7687" i="3"/>
  <c r="D1249" i="3"/>
  <c r="D5065" i="3"/>
  <c r="D6094" i="3"/>
  <c r="D2582" i="3"/>
  <c r="D6446" i="3"/>
  <c r="D2711" i="3"/>
  <c r="D2710" i="3"/>
  <c r="D6969" i="3"/>
  <c r="D7292" i="3"/>
  <c r="D1248" i="3"/>
  <c r="D5064" i="3"/>
  <c r="D2709" i="3"/>
  <c r="D6488" i="3"/>
  <c r="D4003" i="3"/>
  <c r="D2708" i="3"/>
  <c r="D8028" i="3"/>
  <c r="D3567" i="3"/>
  <c r="D2416" i="3"/>
  <c r="D3810" i="3"/>
  <c r="D1133" i="3"/>
  <c r="D6326" i="3"/>
  <c r="D6325" i="3"/>
  <c r="D2524" i="3"/>
  <c r="D6153" i="3"/>
  <c r="D6828" i="3"/>
  <c r="D4002" i="3"/>
  <c r="D6324" i="3"/>
  <c r="D2632" i="3"/>
  <c r="D8283" i="3"/>
  <c r="D6827" i="3"/>
  <c r="D7242" i="3"/>
  <c r="D2707" i="3"/>
  <c r="D8263" i="3"/>
  <c r="D2706" i="3"/>
  <c r="D3656" i="3"/>
  <c r="D1247" i="3"/>
  <c r="D1246" i="3"/>
  <c r="D6487" i="3"/>
  <c r="D2138" i="3"/>
  <c r="D2705" i="3"/>
  <c r="D8638" i="3"/>
  <c r="D4001" i="3"/>
  <c r="D1245" i="3"/>
  <c r="D6486" i="3"/>
  <c r="D7894" i="3"/>
  <c r="D4000" i="3"/>
  <c r="D8239" i="3"/>
  <c r="D7648" i="3"/>
  <c r="D3566" i="3"/>
  <c r="D5063" i="3"/>
  <c r="D3999" i="3"/>
  <c r="D5062" i="3"/>
  <c r="D8637" i="3"/>
  <c r="D1244" i="3"/>
  <c r="D74" i="3"/>
  <c r="D2634" i="3"/>
  <c r="D6826" i="3"/>
  <c r="D2704" i="3"/>
  <c r="D3885" i="3"/>
  <c r="D5061" i="3"/>
  <c r="D7063" i="3"/>
  <c r="D3641" i="3"/>
  <c r="D2703" i="3"/>
  <c r="D2702" i="3"/>
  <c r="D2701" i="3"/>
  <c r="D3998" i="3"/>
  <c r="D2700" i="3"/>
  <c r="D3997" i="3"/>
  <c r="D3996" i="3"/>
  <c r="D510" i="3"/>
  <c r="D3995" i="3"/>
  <c r="D1192" i="3"/>
  <c r="D1243" i="3"/>
  <c r="D5060" i="3"/>
  <c r="D1242" i="3"/>
  <c r="D8912" i="3"/>
  <c r="D2699" i="3"/>
  <c r="D5674" i="3"/>
  <c r="D3565" i="3"/>
  <c r="D5059" i="3"/>
  <c r="D2143" i="3"/>
  <c r="D509" i="3"/>
  <c r="D8282" i="3"/>
  <c r="D5058" i="3"/>
  <c r="D3994" i="3"/>
  <c r="D2698" i="3"/>
  <c r="D3993" i="3"/>
  <c r="D6666" i="3"/>
  <c r="D8281" i="3"/>
  <c r="D8636" i="3"/>
  <c r="D6432" i="3"/>
  <c r="D6485" i="3"/>
  <c r="D3992" i="3"/>
  <c r="D8635" i="3"/>
  <c r="D765" i="3"/>
  <c r="D6323" i="3"/>
  <c r="D121" i="3"/>
  <c r="D2570" i="3"/>
  <c r="D7647" i="3"/>
  <c r="D5776" i="3"/>
  <c r="D2313" i="3"/>
  <c r="D6322" i="3"/>
  <c r="D2352" i="3"/>
  <c r="D59" i="3"/>
  <c r="D5057" i="3"/>
  <c r="D7291" i="3"/>
  <c r="D1241" i="3"/>
  <c r="D5738" i="3"/>
  <c r="D3991" i="3"/>
  <c r="D8027" i="3"/>
  <c r="D7693" i="3"/>
  <c r="D6985" i="3"/>
  <c r="D2697" i="3"/>
  <c r="D1240" i="3"/>
  <c r="D5775" i="3"/>
  <c r="D2581" i="3"/>
  <c r="D634" i="3"/>
  <c r="D3808" i="3"/>
  <c r="D3990" i="3"/>
  <c r="D3655" i="3"/>
  <c r="D87" i="3"/>
  <c r="D3389" i="3"/>
  <c r="D8280" i="3"/>
  <c r="D5056" i="3"/>
  <c r="D8160" i="3"/>
  <c r="D8026" i="3"/>
  <c r="D1239" i="3"/>
  <c r="D2696" i="3"/>
  <c r="D6321" i="3"/>
  <c r="D2523" i="3"/>
  <c r="D7241" i="3"/>
  <c r="D3225" i="3"/>
  <c r="D120" i="3"/>
  <c r="D5774" i="3"/>
  <c r="D6303" i="3"/>
  <c r="D5773" i="3"/>
  <c r="D832" i="3"/>
  <c r="D1238" i="3"/>
  <c r="D7646" i="3"/>
  <c r="D6320" i="3"/>
  <c r="D6670" i="3"/>
  <c r="D6431" i="3"/>
  <c r="D2695" i="3"/>
  <c r="D6319" i="3"/>
  <c r="D3198" i="3"/>
  <c r="D2694" i="3"/>
  <c r="D972" i="3"/>
  <c r="D7062" i="3"/>
  <c r="D3197" i="3"/>
  <c r="D162" i="3"/>
  <c r="D1237" i="3"/>
  <c r="D8634" i="3"/>
  <c r="D6564" i="3"/>
  <c r="D3989" i="3"/>
  <c r="D7427" i="3"/>
  <c r="D2693" i="3"/>
  <c r="D78" i="3"/>
  <c r="D6954" i="3"/>
  <c r="D2692" i="3"/>
  <c r="D2691" i="3"/>
  <c r="D6953" i="3"/>
  <c r="D2690" i="3"/>
  <c r="D5655" i="3"/>
  <c r="D5687" i="3"/>
  <c r="D2689" i="3"/>
  <c r="D2688" i="3"/>
  <c r="D3988" i="3"/>
  <c r="D6318" i="3"/>
  <c r="D2502" i="3"/>
  <c r="D301" i="3"/>
  <c r="D77" i="3"/>
  <c r="D6317" i="3"/>
  <c r="D8633" i="3"/>
  <c r="D6227" i="3"/>
  <c r="D7061" i="3"/>
  <c r="D5055" i="3"/>
  <c r="D3987" i="3"/>
  <c r="D3986" i="3"/>
  <c r="D1053" i="3"/>
  <c r="D6316" i="3"/>
  <c r="D6484" i="3"/>
  <c r="D5772" i="3"/>
  <c r="D1236" i="3"/>
  <c r="D6250" i="3"/>
  <c r="D1235" i="3"/>
  <c r="D2687" i="3"/>
  <c r="D2686" i="3"/>
  <c r="D5054" i="3"/>
  <c r="D3224" i="3"/>
  <c r="D397" i="3"/>
  <c r="D6309" i="3"/>
  <c r="D1234" i="3"/>
  <c r="D5644" i="3"/>
  <c r="D6483" i="3"/>
  <c r="D3725" i="3"/>
  <c r="D6209" i="3"/>
  <c r="D1063" i="3"/>
  <c r="D8025" i="3"/>
  <c r="D5053" i="3"/>
  <c r="D2685" i="3"/>
  <c r="D5052" i="3"/>
  <c r="D2684" i="3"/>
  <c r="D6214" i="3"/>
  <c r="D3985" i="3"/>
  <c r="D8632" i="3"/>
  <c r="D8024" i="3"/>
  <c r="D8023" i="3"/>
  <c r="D7861" i="3"/>
  <c r="D2683" i="3"/>
  <c r="D2157" i="3"/>
  <c r="D8911" i="3"/>
  <c r="D3933" i="3"/>
  <c r="D3984" i="3"/>
  <c r="D3942" i="3"/>
  <c r="D7851" i="3"/>
  <c r="D2269" i="3"/>
  <c r="D6653" i="3"/>
  <c r="D1233" i="3"/>
  <c r="D6445" i="3"/>
  <c r="D8022" i="3"/>
  <c r="D1052" i="3"/>
  <c r="D3816" i="3"/>
  <c r="D1147" i="3"/>
  <c r="D2682" i="3"/>
  <c r="D3564" i="3"/>
  <c r="D2401" i="3"/>
  <c r="D6482" i="3"/>
  <c r="D2153" i="3"/>
  <c r="D538" i="3"/>
  <c r="D8244" i="3"/>
  <c r="D3724" i="3"/>
  <c r="D7060" i="3"/>
  <c r="D5051" i="3"/>
  <c r="D3983" i="3"/>
  <c r="D8117" i="3"/>
  <c r="D112" i="3"/>
  <c r="D5771" i="3"/>
  <c r="D3223" i="3"/>
  <c r="D6195" i="3"/>
  <c r="D997" i="3"/>
  <c r="D508" i="3"/>
  <c r="D165" i="3"/>
  <c r="D5671" i="3"/>
  <c r="D2681" i="3"/>
  <c r="D5770" i="3"/>
  <c r="D1232" i="3"/>
  <c r="D5769" i="3"/>
  <c r="D8243" i="3"/>
  <c r="D1231" i="3"/>
  <c r="D764" i="3"/>
  <c r="D5050" i="3"/>
  <c r="D2680" i="3"/>
  <c r="D3982" i="3"/>
  <c r="D6481" i="3"/>
  <c r="D5049" i="3"/>
  <c r="D3754" i="3"/>
  <c r="D8631" i="3"/>
  <c r="D5048" i="3"/>
  <c r="D135" i="3"/>
  <c r="D3388" i="3"/>
  <c r="D6315" i="3"/>
  <c r="D8159" i="3"/>
  <c r="D104" i="3"/>
  <c r="D6968" i="3"/>
  <c r="D8910" i="3"/>
  <c r="D69" i="3"/>
  <c r="D5047" i="3"/>
  <c r="D8234" i="3"/>
  <c r="D7426" i="3"/>
  <c r="D2679" i="3"/>
  <c r="D5046" i="3"/>
  <c r="D5045" i="3"/>
  <c r="D3508" i="3"/>
  <c r="D68" i="3"/>
  <c r="D2678" i="3"/>
  <c r="D8190" i="3"/>
  <c r="D5768" i="3"/>
  <c r="D6967" i="3"/>
  <c r="D3981" i="3"/>
  <c r="D8021" i="3"/>
  <c r="D8909" i="3"/>
  <c r="D5767" i="3"/>
  <c r="D942" i="3"/>
  <c r="D4996" i="3"/>
  <c r="D7366" i="3"/>
  <c r="D3980" i="3"/>
  <c r="D6419" i="3"/>
  <c r="D8233" i="3"/>
  <c r="D3447" i="3"/>
  <c r="D941" i="3"/>
  <c r="D3540" i="3"/>
  <c r="D5044" i="3"/>
  <c r="D6984" i="3"/>
  <c r="D6229" i="3"/>
  <c r="D1230" i="3"/>
  <c r="D7905" i="3"/>
  <c r="D5043" i="3"/>
  <c r="D507" i="3"/>
  <c r="D6952" i="3"/>
  <c r="D3979" i="3"/>
  <c r="D4987" i="3"/>
  <c r="D3978" i="3"/>
  <c r="D2677" i="3"/>
  <c r="D3222" i="3"/>
  <c r="D1229" i="3"/>
  <c r="D8020" i="3"/>
  <c r="D1132" i="3"/>
  <c r="D2626" i="3"/>
  <c r="D2676" i="3"/>
  <c r="D2625" i="3"/>
  <c r="D2438" i="3"/>
  <c r="D1131" i="3"/>
  <c r="D6" i="3"/>
  <c r="D1146" i="3"/>
  <c r="D818" i="3"/>
  <c r="D8279" i="3"/>
  <c r="D2301" i="3"/>
  <c r="D228" i="3"/>
  <c r="D7718" i="3"/>
  <c r="D1130" i="3"/>
  <c r="D5042" i="3"/>
  <c r="D15" i="3"/>
  <c r="D1228" i="3"/>
  <c r="D6430" i="3"/>
  <c r="D2513" i="3"/>
  <c r="D1078" i="3"/>
  <c r="D2675" i="3"/>
  <c r="D5766" i="3"/>
  <c r="D8630" i="3"/>
  <c r="D3767" i="3"/>
  <c r="D2168" i="3"/>
  <c r="D5623" i="3"/>
  <c r="D1129" i="3"/>
  <c r="D1227" i="3"/>
  <c r="D2606" i="3"/>
  <c r="D2471" i="3"/>
  <c r="D6480" i="3"/>
  <c r="D2188" i="3"/>
  <c r="D8189" i="3"/>
  <c r="D5755" i="3"/>
  <c r="D6418" i="3"/>
  <c r="D6801" i="3"/>
  <c r="D967" i="3"/>
  <c r="D3977" i="3"/>
  <c r="D8908" i="3"/>
  <c r="D3976" i="3"/>
  <c r="D6138" i="3"/>
  <c r="D3654" i="3"/>
  <c r="D2156" i="3"/>
  <c r="D3830" i="3"/>
  <c r="D6805" i="3"/>
  <c r="D2674" i="3"/>
  <c r="D2673" i="3"/>
  <c r="D6669" i="3"/>
  <c r="D1226" i="3"/>
  <c r="D5765" i="3"/>
  <c r="D8278" i="3"/>
  <c r="D2415" i="3"/>
  <c r="D1225" i="3"/>
  <c r="D5041" i="3"/>
  <c r="D67" i="3"/>
  <c r="D66" i="3"/>
  <c r="D5040" i="3"/>
  <c r="D7365" i="3"/>
  <c r="D1224" i="3"/>
  <c r="D2672" i="3"/>
  <c r="D3838" i="3"/>
  <c r="D6314" i="3"/>
  <c r="D5039" i="3"/>
  <c r="D935" i="3"/>
  <c r="D113" i="3"/>
  <c r="D73" i="3"/>
  <c r="D968" i="3"/>
  <c r="D2671" i="3"/>
  <c r="D5038" i="3"/>
  <c r="D5676" i="3"/>
  <c r="D8629" i="3"/>
  <c r="D65" i="3"/>
  <c r="D64" i="3"/>
  <c r="D3975" i="3"/>
  <c r="D1223" i="3"/>
  <c r="D532" i="3"/>
  <c r="D5037" i="3"/>
  <c r="D2670" i="3"/>
  <c r="D6313" i="3"/>
  <c r="D1222" i="3"/>
  <c r="D156" i="3"/>
  <c r="D7691" i="3"/>
  <c r="D5036" i="3"/>
  <c r="D3753" i="3"/>
  <c r="D2669" i="3"/>
  <c r="D2668" i="3"/>
  <c r="D2224" i="3"/>
  <c r="D2667" i="3"/>
  <c r="D8277" i="3"/>
  <c r="D5035" i="3"/>
  <c r="D854" i="3"/>
  <c r="D13" i="3"/>
  <c r="D2666" i="3"/>
  <c r="D8628" i="3"/>
  <c r="D3974" i="3"/>
  <c r="D836" i="3"/>
  <c r="D2665" i="3"/>
  <c r="D3645" i="3"/>
  <c r="D1221" i="3"/>
  <c r="D3923" i="3"/>
  <c r="D5034" i="3"/>
  <c r="D28" i="3"/>
  <c r="D6966" i="3"/>
  <c r="D763" i="3"/>
  <c r="D3221" i="3"/>
  <c r="D5686" i="3"/>
  <c r="D1220" i="3"/>
  <c r="D3973" i="3"/>
  <c r="D7867" i="3"/>
  <c r="D1219" i="3"/>
  <c r="D5764" i="3"/>
  <c r="D3805" i="3"/>
  <c r="D1191" i="3"/>
  <c r="D2664" i="3"/>
  <c r="D7870" i="3"/>
  <c r="D1218" i="3"/>
  <c r="D2663" i="3"/>
  <c r="D3872" i="3"/>
  <c r="D3972" i="3"/>
  <c r="D7290" i="3"/>
  <c r="D103" i="3"/>
  <c r="D3453" i="3"/>
  <c r="D2351" i="3"/>
  <c r="D2662" i="3"/>
  <c r="D5680" i="3"/>
  <c r="D6951" i="3"/>
  <c r="D1217" i="3"/>
  <c r="D2661" i="3"/>
  <c r="D1216" i="3"/>
  <c r="D3971" i="3"/>
  <c r="D63" i="3"/>
  <c r="D2660" i="3"/>
  <c r="D7059" i="3"/>
  <c r="D1215" i="3"/>
  <c r="D6312" i="3"/>
  <c r="D7058" i="3"/>
  <c r="D6479" i="3"/>
  <c r="D1214" i="3"/>
  <c r="D5033" i="3"/>
  <c r="D2659" i="3"/>
  <c r="D3446" i="3"/>
  <c r="D138" i="3"/>
  <c r="D5032" i="3"/>
  <c r="D5031" i="3"/>
  <c r="D7869" i="3"/>
  <c r="D3970" i="3"/>
  <c r="D5030" i="3"/>
  <c r="D3969" i="3"/>
  <c r="D62" i="3"/>
  <c r="D5763" i="3"/>
  <c r="D38" i="3"/>
  <c r="D3968" i="3"/>
  <c r="D39" i="3"/>
  <c r="D2275" i="3"/>
  <c r="D6311" i="3"/>
  <c r="D8276" i="3"/>
  <c r="D1213" i="3"/>
  <c r="D5029" i="3"/>
  <c r="D289" i="3"/>
  <c r="D7240" i="3"/>
  <c r="D7057" i="3"/>
  <c r="D1212" i="3"/>
  <c r="D93" i="3"/>
  <c r="D8899" i="3"/>
  <c r="D2223" i="3"/>
  <c r="D2414" i="3"/>
  <c r="D3220" i="3"/>
  <c r="D7866" i="3"/>
  <c r="D5762" i="3"/>
  <c r="D8627" i="3"/>
  <c r="D266" i="3"/>
  <c r="D46" i="3"/>
  <c r="D2658" i="3"/>
  <c r="D8440" i="3"/>
  <c r="D2657" i="3"/>
  <c r="D2122" i="3"/>
  <c r="D7289" i="3"/>
  <c r="D6310" i="3"/>
  <c r="D6647" i="3"/>
  <c r="D8275" i="3"/>
  <c r="D3563" i="3"/>
  <c r="D2535" i="3"/>
  <c r="D8188" i="3"/>
  <c r="D2469" i="3"/>
  <c r="D4985" i="3"/>
  <c r="D3173" i="3"/>
  <c r="D3766" i="3"/>
  <c r="D8176" i="3"/>
  <c r="D149" i="3"/>
  <c r="D8465" i="3"/>
  <c r="D6417" i="3"/>
  <c r="D2656" i="3"/>
  <c r="D61" i="3"/>
  <c r="D3967" i="3"/>
  <c r="D3752" i="3"/>
  <c r="D76" i="3"/>
  <c r="D7425" i="3"/>
  <c r="D3950" i="3"/>
  <c r="D3219" i="3"/>
  <c r="D13648" i="2"/>
  <c r="D3010" i="2"/>
  <c r="D1500" i="2"/>
  <c r="D12943" i="2"/>
  <c r="D1499" i="2"/>
  <c r="D9555" i="2"/>
  <c r="D12942" i="2"/>
  <c r="D14411" i="2"/>
  <c r="D3009" i="2"/>
  <c r="D12941" i="2"/>
  <c r="D7243" i="2"/>
  <c r="D1781" i="2"/>
  <c r="D4601" i="2"/>
  <c r="D12940" i="2"/>
  <c r="D6190" i="2"/>
  <c r="D12939" i="2"/>
  <c r="D12938" i="2"/>
  <c r="D12937" i="2"/>
  <c r="D4542" i="2"/>
  <c r="D6189" i="2"/>
  <c r="D6188" i="2"/>
  <c r="D7262" i="2"/>
  <c r="D7242" i="2"/>
  <c r="D1780" i="2"/>
  <c r="D9554" i="2"/>
  <c r="D12936" i="2"/>
  <c r="D14742" i="2"/>
  <c r="D3008" i="2"/>
  <c r="D9553" i="2"/>
  <c r="D12159" i="2"/>
  <c r="D9063" i="2"/>
  <c r="D4541" i="2"/>
  <c r="D2520" i="2"/>
  <c r="D14233" i="2"/>
  <c r="D15233" i="2"/>
  <c r="D9062" i="2"/>
  <c r="D5303" i="2"/>
  <c r="D9552" i="2"/>
  <c r="D7241" i="2"/>
  <c r="D1779" i="2"/>
  <c r="D7153" i="2"/>
  <c r="D5608" i="2"/>
  <c r="D12845" i="2"/>
  <c r="D9061" i="2"/>
  <c r="D15232" i="2"/>
  <c r="D15231" i="2"/>
  <c r="D710" i="2"/>
  <c r="D3007" i="2"/>
  <c r="D6187" i="2"/>
  <c r="D9551" i="2"/>
  <c r="D4540" i="2"/>
  <c r="D9060" i="2"/>
  <c r="D11730" i="2"/>
  <c r="D2680" i="2"/>
  <c r="D14232" i="2"/>
  <c r="D9550" i="2"/>
  <c r="D9059" i="2"/>
  <c r="D13880" i="2"/>
  <c r="D2310" i="2"/>
  <c r="D14360" i="2"/>
  <c r="D15002" i="2"/>
  <c r="D9058" i="2"/>
  <c r="D9549" i="2"/>
  <c r="D7240" i="2"/>
  <c r="D1778" i="2"/>
  <c r="D4539" i="2"/>
  <c r="D15230" i="2"/>
  <c r="D842" i="2"/>
  <c r="D15229" i="2"/>
  <c r="D6427" i="2"/>
  <c r="D11526" i="2"/>
  <c r="D14254" i="2"/>
  <c r="D6426" i="2"/>
  <c r="D1951" i="2"/>
  <c r="D9057" i="2"/>
  <c r="D6990" i="2"/>
  <c r="D7319" i="2"/>
  <c r="D10349" i="2"/>
  <c r="D14410" i="2"/>
  <c r="D13031" i="2"/>
  <c r="D841" i="2"/>
  <c r="D15001" i="2"/>
  <c r="D10348" i="2"/>
  <c r="D4538" i="2"/>
  <c r="D9056" i="2"/>
  <c r="D15228" i="2"/>
  <c r="D7124" i="2"/>
  <c r="D10029" i="2"/>
  <c r="D9055" i="2"/>
  <c r="D10347" i="2"/>
  <c r="D3084" i="2"/>
  <c r="D11808" i="2"/>
  <c r="D11776" i="2"/>
  <c r="D6220" i="2"/>
  <c r="D12935" i="2"/>
  <c r="D3466" i="2"/>
  <c r="D15227" i="2"/>
  <c r="D15226" i="2"/>
  <c r="D7206" i="2"/>
  <c r="D12934" i="2"/>
  <c r="D12544" i="2"/>
  <c r="D12387" i="2"/>
  <c r="D2895" i="2"/>
  <c r="D2309" i="2"/>
  <c r="D9791" i="2"/>
  <c r="D4537" i="2"/>
  <c r="D4536" i="2"/>
  <c r="D14231" i="2"/>
  <c r="D9054" i="2"/>
  <c r="D15225" i="2"/>
  <c r="D3083" i="2"/>
  <c r="D2308" i="2"/>
  <c r="D9548" i="2"/>
  <c r="D14230" i="2"/>
  <c r="D13898" i="2"/>
  <c r="D10346" i="2"/>
  <c r="D12386" i="2"/>
  <c r="D9053" i="2"/>
  <c r="D9790" i="2"/>
  <c r="D9052" i="2"/>
  <c r="D12933" i="2"/>
  <c r="D11933" i="2"/>
  <c r="D15224" i="2"/>
  <c r="D11807" i="2"/>
  <c r="D14882" i="2"/>
  <c r="D15223" i="2"/>
  <c r="D10001" i="2"/>
  <c r="D2894" i="2"/>
  <c r="D15222" i="2"/>
  <c r="D2307" i="2"/>
  <c r="D15000" i="2"/>
  <c r="D9547" i="2"/>
  <c r="D11729" i="2"/>
  <c r="D12932" i="2"/>
  <c r="D840" i="2"/>
  <c r="D10000" i="2"/>
  <c r="D12844" i="2"/>
  <c r="D15313" i="2"/>
  <c r="D9051" i="2"/>
  <c r="D9050" i="2"/>
  <c r="D12504" i="2"/>
  <c r="D9049" i="2"/>
  <c r="D4535" i="2"/>
  <c r="D10553" i="2"/>
  <c r="D2110" i="2"/>
  <c r="D12558" i="2"/>
  <c r="D2363" i="2"/>
  <c r="D6425" i="2"/>
  <c r="D598" i="2"/>
  <c r="D15221" i="2"/>
  <c r="D6727" i="2"/>
  <c r="D11318" i="2"/>
  <c r="D11248" i="2"/>
  <c r="D12329" i="2"/>
  <c r="D11525" i="2"/>
  <c r="D12931" i="2"/>
  <c r="D15220" i="2"/>
  <c r="D2658" i="2"/>
  <c r="D9048" i="2"/>
  <c r="D15219" i="2"/>
  <c r="D4534" i="2"/>
  <c r="D2601" i="2"/>
  <c r="D6424" i="2"/>
  <c r="D14229" i="2"/>
  <c r="D6186" i="2"/>
  <c r="D7446" i="2"/>
  <c r="D10345" i="2"/>
  <c r="D9047" i="2"/>
  <c r="D5060" i="2"/>
  <c r="D6423" i="2"/>
  <c r="D14507" i="2"/>
  <c r="D14999" i="2"/>
  <c r="D14367" i="2"/>
  <c r="D11139" i="2"/>
  <c r="D2893" i="2"/>
  <c r="D9046" i="2"/>
  <c r="D9045" i="2"/>
  <c r="D11332" i="2"/>
  <c r="D13152" i="2"/>
  <c r="D5211" i="2"/>
  <c r="D2306" i="2"/>
  <c r="D14228" i="2"/>
  <c r="D4760" i="2"/>
  <c r="D14243" i="2"/>
  <c r="D9044" i="2"/>
  <c r="D10344" i="2"/>
  <c r="D11138" i="2"/>
  <c r="D5672" i="2"/>
  <c r="D9043" i="2"/>
  <c r="D1405" i="2"/>
  <c r="D7318" i="2"/>
  <c r="D12930" i="2"/>
  <c r="D15218" i="2"/>
  <c r="D9546" i="2"/>
  <c r="D14018" i="2"/>
  <c r="D9042" i="2"/>
  <c r="D4533" i="2"/>
  <c r="D10343" i="2"/>
  <c r="D4978" i="2"/>
  <c r="D14409" i="2"/>
  <c r="D12929" i="2"/>
  <c r="D10476" i="2"/>
  <c r="D6880" i="2"/>
  <c r="D11728" i="2"/>
  <c r="D11524" i="2"/>
  <c r="D11406" i="2"/>
  <c r="D1967" i="2"/>
  <c r="D9041" i="2"/>
  <c r="D9040" i="2"/>
  <c r="D6422" i="2"/>
  <c r="D9999" i="2"/>
  <c r="D9102" i="2"/>
  <c r="D9545" i="2"/>
  <c r="D13566" i="2"/>
  <c r="D6335" i="2"/>
  <c r="D14227" i="2"/>
  <c r="D9039" i="2"/>
  <c r="D7375" i="2"/>
  <c r="D13987" i="2"/>
  <c r="D14253" i="2"/>
  <c r="D9038" i="2"/>
  <c r="D13565" i="2"/>
  <c r="D6185" i="2"/>
  <c r="D15217" i="2"/>
  <c r="D7239" i="2"/>
  <c r="D1777" i="2"/>
  <c r="D6262" i="2"/>
  <c r="D12928" i="2"/>
  <c r="D14226" i="2"/>
  <c r="D12946" i="2"/>
  <c r="D12927" i="2"/>
  <c r="D13853" i="2"/>
  <c r="D13652" i="2"/>
  <c r="D13852" i="2"/>
  <c r="D9118" i="2"/>
  <c r="D9037" i="2"/>
  <c r="D11846" i="2"/>
  <c r="D14017" i="2"/>
  <c r="D12328" i="2"/>
  <c r="D12364" i="2"/>
  <c r="D4532" i="2"/>
  <c r="D9036" i="2"/>
  <c r="D11591" i="2"/>
  <c r="D709" i="2"/>
  <c r="D15216" i="2"/>
  <c r="D14741" i="2"/>
  <c r="D839" i="2"/>
  <c r="D6184" i="2"/>
  <c r="D3223" i="2"/>
  <c r="D9129" i="2"/>
  <c r="D4531" i="2"/>
  <c r="D10342" i="2"/>
  <c r="D10656" i="2"/>
  <c r="D6421" i="2"/>
  <c r="D9035" i="2"/>
  <c r="D9034" i="2"/>
  <c r="D7317" i="2"/>
  <c r="D12926" i="2"/>
  <c r="D2892" i="2"/>
  <c r="D10509" i="2"/>
  <c r="D11727" i="2"/>
  <c r="D2946" i="2"/>
  <c r="D9816" i="2"/>
  <c r="D5197" i="2"/>
  <c r="D13835" i="2"/>
  <c r="D2891" i="2"/>
  <c r="D14740" i="2"/>
  <c r="D6183" i="2"/>
  <c r="D923" i="2"/>
  <c r="D9716" i="2"/>
  <c r="D13640" i="2"/>
  <c r="D9033" i="2"/>
  <c r="D9032" i="2"/>
  <c r="D9031" i="2"/>
  <c r="D9030" i="2"/>
  <c r="D10475" i="2"/>
  <c r="D4957" i="2"/>
  <c r="D10638" i="2"/>
  <c r="D4530" i="2"/>
  <c r="D2472" i="2"/>
  <c r="D2549" i="2"/>
  <c r="D13239" i="2"/>
  <c r="D9029" i="2"/>
  <c r="D2371" i="2"/>
  <c r="D9544" i="2"/>
  <c r="D10552" i="2"/>
  <c r="D2890" i="2"/>
  <c r="D12925" i="2"/>
  <c r="D11247" i="2"/>
  <c r="D6182" i="2"/>
  <c r="D9543" i="2"/>
  <c r="D14998" i="2"/>
  <c r="D6181" i="2"/>
  <c r="D2471" i="2"/>
  <c r="D11317" i="2"/>
  <c r="D4968" i="2"/>
  <c r="D4558" i="2"/>
  <c r="D9828" i="2"/>
  <c r="D6180" i="2"/>
  <c r="D2305" i="2"/>
  <c r="D15215" i="2"/>
  <c r="D9998" i="2"/>
  <c r="D9028" i="2"/>
  <c r="D9027" i="2"/>
  <c r="D6179" i="2"/>
  <c r="D4529" i="2"/>
  <c r="D14348" i="2"/>
  <c r="D11316" i="2"/>
  <c r="D2610" i="2"/>
  <c r="D2109" i="2"/>
  <c r="D14225" i="2"/>
  <c r="D6839" i="2"/>
  <c r="D4528" i="2"/>
  <c r="D14997" i="2"/>
  <c r="D9026" i="2"/>
  <c r="D11137" i="2"/>
  <c r="D9025" i="2"/>
  <c r="D6685" i="2"/>
  <c r="D12363" i="2"/>
  <c r="D13894" i="2"/>
  <c r="D9024" i="2"/>
  <c r="D12087" i="2"/>
  <c r="D4527" i="2"/>
  <c r="D10575" i="2"/>
  <c r="D5196" i="2"/>
  <c r="D12924" i="2"/>
  <c r="D13564" i="2"/>
  <c r="D2304" i="2"/>
  <c r="D12158" i="2"/>
  <c r="D13651" i="2"/>
  <c r="D9645" i="2"/>
  <c r="D14224" i="2"/>
  <c r="D9023" i="2"/>
  <c r="D1801" i="2"/>
  <c r="D9022" i="2"/>
  <c r="D9997" i="2"/>
  <c r="D4526" i="2"/>
  <c r="D13483" i="2"/>
  <c r="D5425" i="2"/>
  <c r="D2303" i="2"/>
  <c r="D9996" i="2"/>
  <c r="D9021" i="2"/>
  <c r="D9020" i="2"/>
  <c r="D476" i="2"/>
  <c r="D9019" i="2"/>
  <c r="D2108" i="2"/>
  <c r="D14819" i="2"/>
  <c r="D10341" i="2"/>
  <c r="D3301" i="2"/>
  <c r="D3300" i="2"/>
  <c r="D9542" i="2"/>
  <c r="D5740" i="2"/>
  <c r="D5591" i="2"/>
  <c r="D14739" i="2"/>
  <c r="D14738" i="2"/>
  <c r="D9018" i="2"/>
  <c r="D13030" i="2"/>
  <c r="D9017" i="2"/>
  <c r="D6178" i="2"/>
  <c r="D560" i="2"/>
  <c r="D485" i="2"/>
  <c r="D9016" i="2"/>
  <c r="D6177" i="2"/>
  <c r="D14242" i="2"/>
  <c r="D12843" i="2"/>
  <c r="D14996" i="2"/>
  <c r="D9015" i="2"/>
  <c r="D9541" i="2"/>
  <c r="D7035" i="2"/>
  <c r="D3222" i="2"/>
  <c r="D4847" i="2"/>
  <c r="D14854" i="2"/>
  <c r="D11136" i="2"/>
  <c r="D6176" i="2"/>
  <c r="D11726" i="2"/>
  <c r="D11829" i="2"/>
  <c r="D838" i="2"/>
  <c r="D14435" i="2"/>
  <c r="D9014" i="2"/>
  <c r="D15214" i="2"/>
  <c r="D12923" i="2"/>
  <c r="D12157" i="2"/>
  <c r="D5222" i="2"/>
  <c r="D1658" i="2"/>
  <c r="D14787" i="2"/>
  <c r="D6175" i="2"/>
  <c r="D6174" i="2"/>
  <c r="D1657" i="2"/>
  <c r="D5398" i="2"/>
  <c r="D1656" i="2"/>
  <c r="D4525" i="2"/>
  <c r="D1966" i="2"/>
  <c r="D1994" i="2"/>
  <c r="D15254" i="2"/>
  <c r="D13151" i="2"/>
  <c r="D4524" i="2"/>
  <c r="D7463" i="2"/>
  <c r="D9013" i="2"/>
  <c r="D3420" i="2"/>
  <c r="D9012" i="2"/>
  <c r="D12842" i="2"/>
  <c r="D14498" i="2"/>
  <c r="D2302" i="2"/>
  <c r="D14737" i="2"/>
  <c r="D5607" i="2"/>
  <c r="D6506" i="2"/>
  <c r="D9011" i="2"/>
  <c r="D10474" i="2"/>
  <c r="D9010" i="2"/>
  <c r="D12841" i="2"/>
  <c r="D9540" i="2"/>
  <c r="D10607" i="2"/>
  <c r="D3082" i="2"/>
  <c r="D14840" i="2"/>
  <c r="D9105" i="2"/>
  <c r="D2613" i="2"/>
  <c r="D9009" i="2"/>
  <c r="D9008" i="2"/>
  <c r="D630" i="2"/>
  <c r="D6173" i="2"/>
  <c r="D7097" i="2"/>
  <c r="D1282" i="2"/>
  <c r="D13238" i="2"/>
  <c r="D15213" i="2"/>
  <c r="D1799" i="2"/>
  <c r="D9007" i="2"/>
  <c r="D10340" i="2"/>
  <c r="D15212" i="2"/>
  <c r="D10339" i="2"/>
  <c r="D3167" i="2"/>
  <c r="D1404" i="2"/>
  <c r="D9995" i="2"/>
  <c r="D9006" i="2"/>
  <c r="D9005" i="2"/>
  <c r="D9539" i="2"/>
  <c r="D2889" i="2"/>
  <c r="D11135" i="2"/>
  <c r="D4749" i="2"/>
  <c r="D14223" i="2"/>
  <c r="D14366" i="2"/>
  <c r="D4523" i="2"/>
  <c r="D9004" i="2"/>
  <c r="D922" i="2"/>
  <c r="D9688" i="2"/>
  <c r="D7152" i="2"/>
  <c r="D4522" i="2"/>
  <c r="D12840" i="2"/>
  <c r="D13851" i="2"/>
  <c r="D4521" i="2"/>
  <c r="D12839" i="2"/>
  <c r="D3136" i="2"/>
  <c r="D3191" i="2"/>
  <c r="D13287" i="2"/>
  <c r="D11906" i="2"/>
  <c r="D4520" i="2"/>
  <c r="D2888" i="2"/>
  <c r="D14995" i="2"/>
  <c r="D2470" i="2"/>
  <c r="D14584" i="2"/>
  <c r="D7454" i="2"/>
  <c r="D9003" i="2"/>
  <c r="D4519" i="2"/>
  <c r="D1281" i="2"/>
  <c r="D15211" i="2"/>
  <c r="D4518" i="2"/>
  <c r="D5673" i="2"/>
  <c r="D9538" i="2"/>
  <c r="D9002" i="2"/>
  <c r="D1993" i="2"/>
  <c r="D11523" i="2"/>
  <c r="D9101" i="2"/>
  <c r="D9001" i="2"/>
  <c r="D12838" i="2"/>
  <c r="D4870" i="2"/>
  <c r="D532" i="2"/>
  <c r="D10473" i="2"/>
  <c r="D1992" i="2"/>
  <c r="D6515" i="2"/>
  <c r="D6172" i="2"/>
  <c r="D13150" i="2"/>
  <c r="D9000" i="2"/>
  <c r="D12837" i="2"/>
  <c r="D4517" i="2"/>
  <c r="D12327" i="2"/>
  <c r="D11725" i="2"/>
  <c r="D12836" i="2"/>
  <c r="D12503" i="2"/>
  <c r="D3134" i="2"/>
  <c r="D1280" i="2"/>
  <c r="D13149" i="2"/>
  <c r="D6987" i="2"/>
  <c r="D13639" i="2"/>
  <c r="D4516" i="2"/>
  <c r="D6838" i="2"/>
  <c r="D4515" i="2"/>
  <c r="D12835" i="2"/>
  <c r="D4514" i="2"/>
  <c r="D13482" i="2"/>
  <c r="D8999" i="2"/>
  <c r="D9994" i="2"/>
  <c r="D2519" i="2"/>
  <c r="D9644" i="2"/>
  <c r="D4513" i="2"/>
  <c r="D12834" i="2"/>
  <c r="D9537" i="2"/>
  <c r="D1655" i="2"/>
  <c r="D13237" i="2"/>
  <c r="D14751" i="2"/>
  <c r="D11628" i="2"/>
  <c r="D14430" i="2"/>
  <c r="D14736" i="2"/>
  <c r="D6505" i="2"/>
  <c r="D12833" i="2"/>
  <c r="D8998" i="2"/>
  <c r="D8997" i="2"/>
  <c r="D12832" i="2"/>
  <c r="D14312" i="2"/>
  <c r="D3166" i="2"/>
  <c r="D8996" i="2"/>
  <c r="D6617" i="2"/>
  <c r="D11134" i="2"/>
  <c r="D6219" i="2"/>
  <c r="D7415" i="2"/>
  <c r="D1991" i="2"/>
  <c r="D6171" i="2"/>
  <c r="D14222" i="2"/>
  <c r="D12326" i="2"/>
  <c r="D8995" i="2"/>
  <c r="D685" i="2"/>
  <c r="D15210" i="2"/>
  <c r="D14025" i="2"/>
  <c r="D475" i="2"/>
  <c r="D13818" i="2"/>
  <c r="D6170" i="2"/>
  <c r="D13236" i="2"/>
  <c r="D4512" i="2"/>
  <c r="D4511" i="2"/>
  <c r="D8994" i="2"/>
  <c r="D8993" i="2"/>
  <c r="D8992" i="2"/>
  <c r="D8991" i="2"/>
  <c r="D15209" i="2"/>
  <c r="D8990" i="2"/>
  <c r="D8989" i="2"/>
  <c r="D6218" i="2"/>
  <c r="D11324" i="2"/>
  <c r="D6169" i="2"/>
  <c r="D12831" i="2"/>
  <c r="D13563" i="2"/>
  <c r="D8988" i="2"/>
  <c r="D5671" i="2"/>
  <c r="D15208" i="2"/>
  <c r="D9536" i="2"/>
  <c r="D13562" i="2"/>
  <c r="D5019" i="2"/>
  <c r="D6853" i="2"/>
  <c r="D6634" i="2"/>
  <c r="D4510" i="2"/>
  <c r="D11315" i="2"/>
  <c r="D14221" i="2"/>
  <c r="D8987" i="2"/>
  <c r="D4509" i="2"/>
  <c r="D7123" i="2"/>
  <c r="D4508" i="2"/>
  <c r="D4507" i="2"/>
  <c r="D13481" i="2"/>
  <c r="D6284" i="2"/>
  <c r="D9731" i="2"/>
  <c r="D4506" i="2"/>
  <c r="D13480" i="2"/>
  <c r="D12086" i="2"/>
  <c r="D8986" i="2"/>
  <c r="D14994" i="2"/>
  <c r="D4505" i="2"/>
  <c r="D4504" i="2"/>
  <c r="D921" i="2"/>
  <c r="D7057" i="2"/>
  <c r="D12830" i="2"/>
  <c r="D5670" i="2"/>
  <c r="D6168" i="2"/>
  <c r="D8985" i="2"/>
  <c r="D6167" i="2"/>
  <c r="D8984" i="2"/>
  <c r="D8983" i="2"/>
  <c r="D12390" i="2"/>
  <c r="D8982" i="2"/>
  <c r="D12829" i="2"/>
  <c r="D8981" i="2"/>
  <c r="D13286" i="2"/>
  <c r="D8980" i="2"/>
  <c r="D7525" i="2"/>
  <c r="D11828" i="2"/>
  <c r="D4503" i="2"/>
  <c r="D8979" i="2"/>
  <c r="D5126" i="2"/>
  <c r="D13830" i="2"/>
  <c r="D4502" i="2"/>
  <c r="D14822" i="2"/>
  <c r="D4501" i="2"/>
  <c r="D5427" i="2"/>
  <c r="D13235" i="2"/>
  <c r="D11522" i="2"/>
  <c r="D4668" i="2"/>
  <c r="D8978" i="2"/>
  <c r="D4500" i="2"/>
  <c r="D6669" i="2"/>
  <c r="D6166" i="2"/>
  <c r="D6986" i="2"/>
  <c r="D8977" i="2"/>
  <c r="D9535" i="2"/>
  <c r="D8976" i="2"/>
  <c r="D6504" i="2"/>
  <c r="D14220" i="2"/>
  <c r="D13817" i="2"/>
  <c r="D8975" i="2"/>
  <c r="D14839" i="2"/>
  <c r="D2945" i="2"/>
  <c r="D13057" i="2"/>
  <c r="D1498" i="2"/>
  <c r="D8974" i="2"/>
  <c r="D15312" i="2"/>
  <c r="D9805" i="2"/>
  <c r="D4499" i="2"/>
  <c r="D13000" i="2"/>
  <c r="D920" i="2"/>
  <c r="D4498" i="2"/>
  <c r="D4566" i="2"/>
  <c r="D12828" i="2"/>
  <c r="D3037" i="2"/>
  <c r="D9730" i="2"/>
  <c r="D12827" i="2"/>
  <c r="D4497" i="2"/>
  <c r="D6165" i="2"/>
  <c r="D2540" i="2"/>
  <c r="D629" i="2"/>
  <c r="D13691" i="2"/>
  <c r="D10472" i="2"/>
  <c r="D11590" i="2"/>
  <c r="D15311" i="2"/>
  <c r="D8973" i="2"/>
  <c r="D8972" i="2"/>
  <c r="D11859" i="2"/>
  <c r="D10338" i="2"/>
  <c r="D8971" i="2"/>
  <c r="D7034" i="2"/>
  <c r="D15207" i="2"/>
  <c r="D2539" i="2"/>
  <c r="D14219" i="2"/>
  <c r="D14362" i="2"/>
  <c r="D6503" i="2"/>
  <c r="D13285" i="2"/>
  <c r="D12826" i="2"/>
  <c r="D5394" i="2"/>
  <c r="D2887" i="2"/>
  <c r="D12825" i="2"/>
  <c r="D6283" i="2"/>
  <c r="D12824" i="2"/>
  <c r="D13284" i="2"/>
  <c r="D8970" i="2"/>
  <c r="D4496" i="2"/>
  <c r="D13479" i="2"/>
  <c r="D9993" i="2"/>
  <c r="D7181" i="2"/>
  <c r="D8969" i="2"/>
  <c r="D14735" i="2"/>
  <c r="D5125" i="2"/>
  <c r="D8968" i="2"/>
  <c r="D2617" i="2"/>
  <c r="D15206" i="2"/>
  <c r="D9534" i="2"/>
  <c r="D14024" i="2"/>
  <c r="D14218" i="2"/>
  <c r="D11430" i="2"/>
  <c r="D13335" i="2"/>
  <c r="D8967" i="2"/>
  <c r="D14273" i="2"/>
  <c r="D2886" i="2"/>
  <c r="D2027" i="2"/>
  <c r="D4495" i="2"/>
  <c r="D9584" i="2"/>
  <c r="D11589" i="2"/>
  <c r="D5669" i="2"/>
  <c r="D10815" i="2"/>
  <c r="D7316" i="2"/>
  <c r="D5221" i="2"/>
  <c r="D8966" i="2"/>
  <c r="D8965" i="2"/>
  <c r="D13816" i="2"/>
  <c r="D14252" i="2"/>
  <c r="D6502" i="2"/>
  <c r="D3299" i="2"/>
  <c r="D2107" i="2"/>
  <c r="D919" i="2"/>
  <c r="D14583" i="2"/>
  <c r="D11323" i="2"/>
  <c r="D11133" i="2"/>
  <c r="D14217" i="2"/>
  <c r="D14582" i="2"/>
  <c r="D637" i="2"/>
  <c r="D5469" i="2"/>
  <c r="D15205" i="2"/>
  <c r="D4634" i="2"/>
  <c r="D4881" i="2"/>
  <c r="D8964" i="2"/>
  <c r="D12085" i="2"/>
  <c r="D5393" i="2"/>
  <c r="D8963" i="2"/>
  <c r="D9761" i="2"/>
  <c r="D4494" i="2"/>
  <c r="D13478" i="2"/>
  <c r="D8962" i="2"/>
  <c r="D8961" i="2"/>
  <c r="D15204" i="2"/>
  <c r="D9815" i="2"/>
  <c r="D2885" i="2"/>
  <c r="D8960" i="2"/>
  <c r="D4688" i="2"/>
  <c r="D8959" i="2"/>
  <c r="D8958" i="2"/>
  <c r="D2944" i="2"/>
  <c r="D9533" i="2"/>
  <c r="D8957" i="2"/>
  <c r="D8956" i="2"/>
  <c r="D12823" i="2"/>
  <c r="D5515" i="2"/>
  <c r="D12156" i="2"/>
  <c r="D1279" i="2"/>
  <c r="D14359" i="2"/>
  <c r="D3419" i="2"/>
  <c r="D8955" i="2"/>
  <c r="D4493" i="2"/>
  <c r="D5637" i="2"/>
  <c r="D11132" i="2"/>
  <c r="D9532" i="2"/>
  <c r="D8954" i="2"/>
  <c r="D12822" i="2"/>
  <c r="D8953" i="2"/>
  <c r="D7068" i="2"/>
  <c r="D5201" i="2"/>
  <c r="D7033" i="2"/>
  <c r="D6501" i="2"/>
  <c r="D9992" i="2"/>
  <c r="D11743" i="2"/>
  <c r="D8952" i="2"/>
  <c r="D2518" i="2"/>
  <c r="D12821" i="2"/>
  <c r="D14216" i="2"/>
  <c r="D3298" i="2"/>
  <c r="D4492" i="2"/>
  <c r="D4491" i="2"/>
  <c r="D10069" i="2"/>
  <c r="D6715" i="2"/>
  <c r="D1654" i="2"/>
  <c r="D13148" i="2"/>
  <c r="D10471" i="2"/>
  <c r="D4490" i="2"/>
  <c r="D4489" i="2"/>
  <c r="D11131" i="2"/>
  <c r="D10337" i="2"/>
  <c r="D979" i="2"/>
  <c r="D2361" i="2"/>
  <c r="D6343" i="2"/>
  <c r="D13815" i="2"/>
  <c r="D8951" i="2"/>
  <c r="D8950" i="2"/>
  <c r="D4488" i="2"/>
  <c r="D2301" i="2"/>
  <c r="D10470" i="2"/>
  <c r="D12430" i="2"/>
  <c r="D7315" i="2"/>
  <c r="D11724" i="2"/>
  <c r="D14215" i="2"/>
  <c r="D13814" i="2"/>
  <c r="D2943" i="2"/>
  <c r="D1073" i="2"/>
  <c r="D13029" i="2"/>
  <c r="D8949" i="2"/>
  <c r="D13283" i="2"/>
  <c r="D11905" i="2"/>
  <c r="D8948" i="2"/>
  <c r="D12820" i="2"/>
  <c r="D4487" i="2"/>
  <c r="D2300" i="2"/>
  <c r="D11637" i="2"/>
  <c r="D1497" i="2"/>
  <c r="D103" i="2"/>
  <c r="D6500" i="2"/>
  <c r="D12922" i="2"/>
  <c r="D11246" i="2"/>
  <c r="D6633" i="2"/>
  <c r="D11130" i="2"/>
  <c r="D4486" i="2"/>
  <c r="D11530" i="2"/>
  <c r="D5044" i="2"/>
  <c r="D13234" i="2"/>
  <c r="D4485" i="2"/>
  <c r="D13477" i="2"/>
  <c r="D11427" i="2"/>
  <c r="D8947" i="2"/>
  <c r="D14581" i="2"/>
  <c r="D7045" i="2"/>
  <c r="D12819" i="2"/>
  <c r="D1776" i="2"/>
  <c r="D8946" i="2"/>
  <c r="D11904" i="2"/>
  <c r="D10832" i="2"/>
  <c r="D1181" i="2"/>
  <c r="D6695" i="2"/>
  <c r="D2106" i="2"/>
  <c r="D14330" i="2"/>
  <c r="D6164" i="2"/>
  <c r="D8945" i="2"/>
  <c r="D14284" i="2"/>
  <c r="D8944" i="2"/>
  <c r="D13282" i="2"/>
  <c r="D2884" i="2"/>
  <c r="D5124" i="2"/>
  <c r="D14214" i="2"/>
  <c r="D5468" i="2"/>
  <c r="D1653" i="2"/>
  <c r="D7414" i="2"/>
  <c r="D6420" i="2"/>
  <c r="D4484" i="2"/>
  <c r="D10336" i="2"/>
  <c r="D11521" i="2"/>
  <c r="D15203" i="2"/>
  <c r="D1652" i="2"/>
  <c r="D8943" i="2"/>
  <c r="D474" i="2"/>
  <c r="D14580" i="2"/>
  <c r="D9991" i="2"/>
  <c r="D8942" i="2"/>
  <c r="D6911" i="2"/>
  <c r="D4869" i="2"/>
  <c r="D9693" i="2"/>
  <c r="D8941" i="2"/>
  <c r="D4837" i="2"/>
  <c r="D11129" i="2"/>
  <c r="D13060" i="2"/>
  <c r="D6245" i="2"/>
  <c r="D11314" i="2"/>
  <c r="D8940" i="2"/>
  <c r="D11588" i="2"/>
  <c r="D1901" i="2"/>
  <c r="D12325" i="2"/>
  <c r="D1651" i="2"/>
  <c r="D9990" i="2"/>
  <c r="D2469" i="2"/>
  <c r="D14993" i="2"/>
  <c r="D12502" i="2"/>
  <c r="D12084" i="2"/>
  <c r="D1048" i="2"/>
  <c r="D6499" i="2"/>
  <c r="D2883" i="2"/>
  <c r="D4483" i="2"/>
  <c r="D13476" i="2"/>
  <c r="D9989" i="2"/>
  <c r="D13915" i="2"/>
  <c r="D3297" i="2"/>
  <c r="D4482" i="2"/>
  <c r="D13233" i="2"/>
  <c r="D14734" i="2"/>
  <c r="D8939" i="2"/>
  <c r="D6163" i="2"/>
  <c r="D4625" i="2"/>
  <c r="D8938" i="2"/>
  <c r="D1047" i="2"/>
  <c r="D1180" i="2"/>
  <c r="D2574" i="2"/>
  <c r="D4713" i="2"/>
  <c r="D10335" i="2"/>
  <c r="D10834" i="2"/>
  <c r="D10526" i="2"/>
  <c r="D11128" i="2"/>
  <c r="D2600" i="2"/>
  <c r="D4481" i="2"/>
  <c r="D13475" i="2"/>
  <c r="D1650" i="2"/>
  <c r="D5018" i="2"/>
  <c r="D1775" i="2"/>
  <c r="D12818" i="2"/>
  <c r="D9104" i="2"/>
  <c r="D6498" i="2"/>
  <c r="D1496" i="2"/>
  <c r="D4944" i="2"/>
  <c r="D12429" i="2"/>
  <c r="D4480" i="2"/>
  <c r="D13281" i="2"/>
  <c r="D11903" i="2"/>
  <c r="D8937" i="2"/>
  <c r="D13850" i="2"/>
  <c r="D14733" i="2"/>
  <c r="D15202" i="2"/>
  <c r="D1278" i="2"/>
  <c r="D1277" i="2"/>
  <c r="D12155" i="2"/>
  <c r="D4734" i="2"/>
  <c r="D2712" i="2"/>
  <c r="D12817" i="2"/>
  <c r="D11127" i="2"/>
  <c r="D4748" i="2"/>
  <c r="D6941" i="2"/>
  <c r="D4610" i="2"/>
  <c r="D10732" i="2"/>
  <c r="D7524" i="2"/>
  <c r="D3355" i="2"/>
  <c r="D5123" i="2"/>
  <c r="D11767" i="2"/>
  <c r="D5522" i="2"/>
  <c r="D7445" i="2"/>
  <c r="D8936" i="2"/>
  <c r="D1355" i="2"/>
  <c r="D12154" i="2"/>
  <c r="D6162" i="2"/>
  <c r="D14992" i="2"/>
  <c r="D8935" i="2"/>
  <c r="D8934" i="2"/>
  <c r="D8933" i="2"/>
  <c r="D1774" i="2"/>
  <c r="D12816" i="2"/>
  <c r="D12815" i="2"/>
  <c r="D837" i="2"/>
  <c r="D8932" i="2"/>
  <c r="D11126" i="2"/>
  <c r="D14213" i="2"/>
  <c r="D11827" i="2"/>
  <c r="D4619" i="2"/>
  <c r="D8931" i="2"/>
  <c r="D6161" i="2"/>
  <c r="D8930" i="2"/>
  <c r="D978" i="2"/>
  <c r="D14212" i="2"/>
  <c r="D4479" i="2"/>
  <c r="D8929" i="2"/>
  <c r="D8928" i="2"/>
  <c r="D4478" i="2"/>
  <c r="D13734" i="2"/>
  <c r="D2882" i="2"/>
  <c r="D6590" i="2"/>
  <c r="D1495" i="2"/>
  <c r="D836" i="2"/>
  <c r="D8927" i="2"/>
  <c r="D4477" i="2"/>
  <c r="D8926" i="2"/>
  <c r="D4476" i="2"/>
  <c r="D8925" i="2"/>
  <c r="D8924" i="2"/>
  <c r="D4475" i="2"/>
  <c r="D15237" i="2"/>
  <c r="D11245" i="2"/>
  <c r="D7032" i="2"/>
  <c r="D12" i="2"/>
  <c r="D8923" i="2"/>
  <c r="D880" i="2"/>
  <c r="D2942" i="2"/>
  <c r="D3118" i="2"/>
  <c r="D2619" i="2"/>
  <c r="D4836" i="2"/>
  <c r="D6160" i="2"/>
  <c r="D6879" i="2"/>
  <c r="D3099" i="2"/>
  <c r="D11723" i="2"/>
  <c r="D13504" i="2"/>
  <c r="D8922" i="2"/>
  <c r="D9988" i="2"/>
  <c r="D8921" i="2"/>
  <c r="D6458" i="2"/>
  <c r="D12814" i="2"/>
  <c r="D8920" i="2"/>
  <c r="D13650" i="2"/>
  <c r="D3296" i="2"/>
  <c r="D3295" i="2"/>
  <c r="D11125" i="2"/>
  <c r="D1773" i="2"/>
  <c r="D11390" i="2"/>
  <c r="D14211" i="2"/>
  <c r="D6159" i="2"/>
  <c r="D4474" i="2"/>
  <c r="D4473" i="2"/>
  <c r="D2711" i="2"/>
  <c r="D14261" i="2"/>
  <c r="D13280" i="2"/>
  <c r="D13147" i="2"/>
  <c r="D6158" i="2"/>
  <c r="D2517" i="2"/>
  <c r="D6157" i="2"/>
  <c r="D12324" i="2"/>
  <c r="D12323" i="2"/>
  <c r="D7169" i="2"/>
  <c r="D11364" i="2"/>
  <c r="D12322" i="2"/>
  <c r="D11124" i="2"/>
  <c r="D8919" i="2"/>
  <c r="D2599" i="2"/>
  <c r="D5059" i="2"/>
  <c r="D4898" i="2"/>
  <c r="D9117" i="2"/>
  <c r="D2710" i="2"/>
  <c r="D14210" i="2"/>
  <c r="D14497" i="2"/>
  <c r="D8918" i="2"/>
  <c r="D1649" i="2"/>
  <c r="D12813" i="2"/>
  <c r="D4472" i="2"/>
  <c r="D6334" i="2"/>
  <c r="D4471" i="2"/>
  <c r="D8917" i="2"/>
  <c r="D11123" i="2"/>
  <c r="D4470" i="2"/>
  <c r="D10838" i="2"/>
  <c r="D1923" i="2"/>
  <c r="D11791" i="2"/>
  <c r="D13981" i="2"/>
  <c r="D6537" i="2"/>
  <c r="D11244" i="2"/>
  <c r="D9531" i="2"/>
  <c r="D4469" i="2"/>
  <c r="D14579" i="2"/>
  <c r="D3418" i="2"/>
  <c r="D5490" i="2"/>
  <c r="D10469" i="2"/>
  <c r="D4468" i="2"/>
  <c r="D13474" i="2"/>
  <c r="D6156" i="2"/>
  <c r="D1648" i="2"/>
  <c r="D7238" i="2"/>
  <c r="D1772" i="2"/>
  <c r="D11122" i="2"/>
  <c r="D11347" i="2"/>
  <c r="D10468" i="2"/>
  <c r="D14209" i="2"/>
  <c r="D7031" i="2"/>
  <c r="D5392" i="2"/>
  <c r="D5195" i="2"/>
  <c r="D5122" i="2"/>
  <c r="D5058" i="2"/>
  <c r="D11520" i="2"/>
  <c r="D8916" i="2"/>
  <c r="D10761" i="2"/>
  <c r="D13135" i="2"/>
  <c r="D4733" i="2"/>
  <c r="D11858" i="2"/>
  <c r="D13813" i="2"/>
  <c r="D11758" i="2"/>
  <c r="D11389" i="2"/>
  <c r="D13098" i="2"/>
  <c r="D6155" i="2"/>
  <c r="D6154" i="2"/>
  <c r="D12812" i="2"/>
  <c r="D7258" i="2"/>
  <c r="D8915" i="2"/>
  <c r="D7444" i="2"/>
  <c r="D4467" i="2"/>
  <c r="D11121" i="2"/>
  <c r="D11734" i="2"/>
  <c r="D14881" i="2"/>
  <c r="D8914" i="2"/>
  <c r="D12083" i="2"/>
  <c r="D4934" i="2"/>
  <c r="D977" i="2"/>
  <c r="D6333" i="2"/>
  <c r="D8913" i="2"/>
  <c r="D10696" i="2"/>
  <c r="D5391" i="2"/>
  <c r="D10043" i="2"/>
  <c r="D11120" i="2"/>
  <c r="D14991" i="2"/>
  <c r="D13356" i="2"/>
  <c r="D4835" i="2"/>
  <c r="D9987" i="2"/>
  <c r="D10514" i="2"/>
  <c r="D2299" i="2"/>
  <c r="D13645" i="2"/>
  <c r="D8912" i="2"/>
  <c r="D14578" i="2"/>
  <c r="D9612" i="2"/>
  <c r="D14784" i="2"/>
  <c r="D6638" i="2"/>
  <c r="D8911" i="2"/>
  <c r="D8910" i="2"/>
  <c r="D12321" i="2"/>
  <c r="D8909" i="2"/>
  <c r="D1046" i="2"/>
  <c r="D14832" i="2"/>
  <c r="D7257" i="2"/>
  <c r="D8908" i="2"/>
  <c r="D14990" i="2"/>
  <c r="D12428" i="2"/>
  <c r="D2881" i="2"/>
  <c r="D14408" i="2"/>
  <c r="D531" i="2"/>
  <c r="D15201" i="2"/>
  <c r="D10750" i="2"/>
  <c r="D1771" i="2"/>
  <c r="D6910" i="2"/>
  <c r="D10467" i="2"/>
  <c r="D1045" i="2"/>
  <c r="D14208" i="2"/>
  <c r="D8907" i="2"/>
  <c r="D10466" i="2"/>
  <c r="D6244" i="2"/>
  <c r="D13697" i="2"/>
  <c r="D5692" i="2"/>
  <c r="D6153" i="2"/>
  <c r="D2468" i="2"/>
  <c r="D1376" i="2"/>
  <c r="D8906" i="2"/>
  <c r="D8905" i="2"/>
  <c r="D5043" i="2"/>
  <c r="D11119" i="2"/>
  <c r="D11346" i="2"/>
  <c r="D14989" i="2"/>
  <c r="D11902" i="2"/>
  <c r="D2538" i="2"/>
  <c r="D5017" i="2"/>
  <c r="D7151" i="2"/>
  <c r="D13097" i="2"/>
  <c r="D9986" i="2"/>
  <c r="D6152" i="2"/>
  <c r="D14843" i="2"/>
  <c r="D7418" i="2"/>
  <c r="D12427" i="2"/>
  <c r="D8904" i="2"/>
  <c r="D879" i="2"/>
  <c r="D9669" i="2"/>
  <c r="D6254" i="2"/>
  <c r="D6151" i="2"/>
  <c r="D9985" i="2"/>
  <c r="D10465" i="2"/>
  <c r="D9984" i="2"/>
  <c r="D4466" i="2"/>
  <c r="D4465" i="2"/>
  <c r="D7237" i="2"/>
  <c r="D1770" i="2"/>
  <c r="D4687" i="2"/>
  <c r="D8903" i="2"/>
  <c r="D9530" i="2"/>
  <c r="D2537" i="2"/>
  <c r="D1494" i="2"/>
  <c r="D10464" i="2"/>
  <c r="D10814" i="2"/>
  <c r="D835" i="2"/>
  <c r="D9529" i="2"/>
  <c r="D11118" i="2"/>
  <c r="D3190" i="2"/>
  <c r="D14826" i="2"/>
  <c r="D976" i="2"/>
  <c r="D14207" i="2"/>
  <c r="D4464" i="2"/>
  <c r="D10463" i="2"/>
  <c r="D2880" i="2"/>
  <c r="D4463" i="2"/>
  <c r="D5668" i="2"/>
  <c r="D1647" i="2"/>
  <c r="D1276" i="2"/>
  <c r="D5467" i="2"/>
  <c r="D9983" i="2"/>
  <c r="D9528" i="2"/>
  <c r="D9982" i="2"/>
  <c r="D12153" i="2"/>
  <c r="D2585" i="2"/>
  <c r="D12811" i="2"/>
  <c r="D8902" i="2"/>
  <c r="D622" i="2"/>
  <c r="D14988" i="2"/>
  <c r="D10334" i="2"/>
  <c r="D7030" i="2"/>
  <c r="D4462" i="2"/>
  <c r="D10525" i="2"/>
  <c r="D7314" i="2"/>
  <c r="D10752" i="2"/>
  <c r="D9668" i="2"/>
  <c r="D1179" i="2"/>
  <c r="D12439" i="2"/>
  <c r="D11313" i="2"/>
  <c r="D10508" i="2"/>
  <c r="D11243" i="2"/>
  <c r="D6150" i="2"/>
  <c r="D3350" i="2"/>
  <c r="D6419" i="2"/>
  <c r="D11117" i="2"/>
  <c r="D12810" i="2"/>
  <c r="D2105" i="2"/>
  <c r="D8901" i="2"/>
  <c r="D8900" i="2"/>
  <c r="D4461" i="2"/>
  <c r="D6544" i="2"/>
  <c r="D8899" i="2"/>
  <c r="D8898" i="2"/>
  <c r="D8897" i="2"/>
  <c r="D2584" i="2"/>
  <c r="D15247" i="2"/>
  <c r="D5194" i="2"/>
  <c r="D1354" i="2"/>
  <c r="D14235" i="2"/>
  <c r="D6149" i="2"/>
  <c r="D14987" i="2"/>
  <c r="D9981" i="2"/>
  <c r="D10551" i="2"/>
  <c r="D4460" i="2"/>
  <c r="D13473" i="2"/>
  <c r="D13922" i="2"/>
  <c r="D4459" i="2"/>
  <c r="D14260" i="2"/>
  <c r="D14986" i="2"/>
  <c r="D6497" i="2"/>
  <c r="D2573" i="2"/>
  <c r="D4712" i="2"/>
  <c r="D14614" i="2"/>
  <c r="D15310" i="2"/>
  <c r="D712" i="2"/>
  <c r="D6878" i="2"/>
  <c r="D7443" i="2"/>
  <c r="D8896" i="2"/>
  <c r="D10670" i="2"/>
  <c r="D975" i="2"/>
  <c r="D11116" i="2"/>
  <c r="D6837" i="2"/>
  <c r="D14340" i="2"/>
  <c r="D8895" i="2"/>
  <c r="D7413" i="2"/>
  <c r="D6148" i="2"/>
  <c r="D3294" i="2"/>
  <c r="D5293" i="2"/>
  <c r="D10042" i="2"/>
  <c r="D1769" i="2"/>
  <c r="D8894" i="2"/>
  <c r="D4849" i="2"/>
  <c r="D6147" i="2"/>
  <c r="D14407" i="2"/>
  <c r="D4458" i="2"/>
  <c r="D1353" i="2"/>
  <c r="D5644" i="2"/>
  <c r="D10494" i="2"/>
  <c r="D4457" i="2"/>
  <c r="D12809" i="2"/>
  <c r="D12808" i="2"/>
  <c r="D13101" i="2"/>
  <c r="D9128" i="2"/>
  <c r="D1178" i="2"/>
  <c r="D10731" i="2"/>
  <c r="D6985" i="2"/>
  <c r="D9527" i="2"/>
  <c r="D570" i="2"/>
  <c r="D4456" i="2"/>
  <c r="D12362" i="2"/>
  <c r="D4455" i="2"/>
  <c r="D1493" i="2"/>
  <c r="D8893" i="2"/>
  <c r="D1275" i="2"/>
  <c r="D2879" i="2"/>
  <c r="D14577" i="2"/>
  <c r="D12999" i="2"/>
  <c r="D5588" i="2"/>
  <c r="D13043" i="2"/>
  <c r="D14406" i="2"/>
  <c r="D2709" i="2"/>
  <c r="D12807" i="2"/>
  <c r="D14985" i="2"/>
  <c r="D9526" i="2"/>
  <c r="D15200" i="2"/>
  <c r="D8892" i="2"/>
  <c r="D5390" i="2"/>
  <c r="D12152" i="2"/>
  <c r="D11442" i="2"/>
  <c r="D8891" i="2"/>
  <c r="D11115" i="2"/>
  <c r="D8890" i="2"/>
  <c r="D2360" i="2"/>
  <c r="D11742" i="2"/>
  <c r="D14206" i="2"/>
  <c r="D6146" i="2"/>
  <c r="D10744" i="2"/>
  <c r="D3293" i="2"/>
  <c r="D8889" i="2"/>
  <c r="D4454" i="2"/>
  <c r="D13472" i="2"/>
  <c r="D8888" i="2"/>
  <c r="D13318" i="2"/>
  <c r="D11312" i="2"/>
  <c r="D11587" i="2"/>
  <c r="D9729" i="2"/>
  <c r="D1375" i="2"/>
  <c r="D11114" i="2"/>
  <c r="D12361" i="2"/>
  <c r="D11242" i="2"/>
  <c r="D4453" i="2"/>
  <c r="D2679" i="2"/>
  <c r="D6496" i="2"/>
  <c r="D8887" i="2"/>
  <c r="D1768" i="2"/>
  <c r="D13936" i="2"/>
  <c r="D9525" i="2"/>
  <c r="D1492" i="2"/>
  <c r="D5404" i="2"/>
  <c r="D2878" i="2"/>
  <c r="D10550" i="2"/>
  <c r="D11113" i="2"/>
  <c r="D11860" i="2"/>
  <c r="D10156" i="2"/>
  <c r="D5529" i="2"/>
  <c r="D4452" i="2"/>
  <c r="D1864" i="2"/>
  <c r="D14205" i="2"/>
  <c r="D1767" i="2"/>
  <c r="D9980" i="2"/>
  <c r="D6145" i="2"/>
  <c r="D1921" i="2"/>
  <c r="D4451" i="2"/>
  <c r="D1352" i="2"/>
  <c r="D15309" i="2"/>
  <c r="D8886" i="2"/>
  <c r="D11826" i="2"/>
  <c r="D12379" i="2"/>
  <c r="D8885" i="2"/>
  <c r="D8884" i="2"/>
  <c r="D4450" i="2"/>
  <c r="D5683" i="2"/>
  <c r="D14358" i="2"/>
  <c r="D11311" i="2"/>
  <c r="D13279" i="2"/>
  <c r="D11901" i="2"/>
  <c r="D4449" i="2"/>
  <c r="D8883" i="2"/>
  <c r="D8882" i="2"/>
  <c r="D6495" i="2"/>
  <c r="D13232" i="2"/>
  <c r="D4448" i="2"/>
  <c r="D4447" i="2"/>
  <c r="D4446" i="2"/>
  <c r="D11932" i="2"/>
  <c r="D7412" i="2"/>
  <c r="D4445" i="2"/>
  <c r="D6332" i="2"/>
  <c r="D1177" i="2"/>
  <c r="D11112" i="2"/>
  <c r="D6144" i="2"/>
  <c r="D10462" i="2"/>
  <c r="D4444" i="2"/>
  <c r="D8881" i="2"/>
  <c r="D8880" i="2"/>
  <c r="D8879" i="2"/>
  <c r="D10749" i="2"/>
  <c r="D4443" i="2"/>
  <c r="D13471" i="2"/>
  <c r="D5193" i="2"/>
  <c r="D11111" i="2"/>
  <c r="D4686" i="2"/>
  <c r="D6418" i="2"/>
  <c r="D10461" i="2"/>
  <c r="D8878" i="2"/>
  <c r="D4442" i="2"/>
  <c r="D1766" i="2"/>
  <c r="D878" i="2"/>
  <c r="D313" i="2"/>
  <c r="D317" i="2"/>
  <c r="D12082" i="2"/>
  <c r="D13980" i="2"/>
  <c r="D8877" i="2"/>
  <c r="D10140" i="2"/>
  <c r="D8876" i="2"/>
  <c r="D2359" i="2"/>
  <c r="D13849" i="2"/>
  <c r="D14204" i="2"/>
  <c r="D14576" i="2"/>
  <c r="D13298" i="2"/>
  <c r="D473" i="2"/>
  <c r="D1646" i="2"/>
  <c r="D5389" i="2"/>
  <c r="D8875" i="2"/>
  <c r="D1922" i="2"/>
  <c r="D14816" i="2"/>
  <c r="D3316" i="2"/>
  <c r="D9832" i="2"/>
  <c r="D14858" i="2"/>
  <c r="D12806" i="2"/>
  <c r="D4441" i="2"/>
  <c r="D13470" i="2"/>
  <c r="D1072" i="2"/>
  <c r="D6143" i="2"/>
  <c r="D14984" i="2"/>
  <c r="D5587" i="2"/>
  <c r="D2877" i="2"/>
  <c r="D877" i="2"/>
  <c r="D8874" i="2"/>
  <c r="D8873" i="2"/>
  <c r="D7096" i="2"/>
  <c r="D8872" i="2"/>
  <c r="D14732" i="2"/>
  <c r="D11110" i="2"/>
  <c r="D414" i="2"/>
  <c r="D5471" i="2"/>
  <c r="D13684" i="2"/>
  <c r="D5586" i="2"/>
  <c r="D5121" i="2"/>
  <c r="D1176" i="2"/>
  <c r="D5739" i="2"/>
  <c r="D8871" i="2"/>
  <c r="D8870" i="2"/>
  <c r="D4732" i="2"/>
  <c r="D11109" i="2"/>
  <c r="D11345" i="2"/>
  <c r="D1898" i="2"/>
  <c r="D8869" i="2"/>
  <c r="D12805" i="2"/>
  <c r="D4938" i="2"/>
  <c r="D1351" i="2"/>
  <c r="D974" i="2"/>
  <c r="D12151" i="2"/>
  <c r="D3117" i="2"/>
  <c r="D1175" i="2"/>
  <c r="D6536" i="2"/>
  <c r="D14203" i="2"/>
  <c r="D4440" i="2"/>
  <c r="D8868" i="2"/>
  <c r="D6142" i="2"/>
  <c r="D4747" i="2"/>
  <c r="D14202" i="2"/>
  <c r="D8867" i="2"/>
  <c r="D6948" i="2"/>
  <c r="D8866" i="2"/>
  <c r="D5120" i="2"/>
  <c r="D14357" i="2"/>
  <c r="D8865" i="2"/>
  <c r="D13733" i="2"/>
  <c r="D8864" i="2"/>
  <c r="D13355" i="2"/>
  <c r="D5119" i="2"/>
  <c r="D6494" i="2"/>
  <c r="D6141" i="2"/>
  <c r="D8863" i="2"/>
  <c r="D9524" i="2"/>
  <c r="D8862" i="2"/>
  <c r="D8861" i="2"/>
  <c r="D5466" i="2"/>
  <c r="D8860" i="2"/>
  <c r="D1174" i="2"/>
  <c r="D5310" i="2"/>
  <c r="D7411" i="2"/>
  <c r="D4439" i="2"/>
  <c r="D5489" i="2"/>
  <c r="D10712" i="2"/>
  <c r="D14506" i="2"/>
  <c r="D4770" i="2"/>
  <c r="D11790" i="2"/>
  <c r="D312" i="2"/>
  <c r="D12804" i="2"/>
  <c r="D10100" i="2"/>
  <c r="D1350" i="2"/>
  <c r="D8859" i="2"/>
  <c r="D8858" i="2"/>
  <c r="D5502" i="2"/>
  <c r="D14309" i="2"/>
  <c r="D1274" i="2"/>
  <c r="D12921" i="2"/>
  <c r="D9643" i="2"/>
  <c r="D2298" i="2"/>
  <c r="D5016" i="2"/>
  <c r="D10333" i="2"/>
  <c r="D577" i="2"/>
  <c r="D5118" i="2"/>
  <c r="D2467" i="2"/>
  <c r="D360" i="2"/>
  <c r="D14880" i="2"/>
  <c r="D5278" i="2"/>
  <c r="D7503" i="2"/>
  <c r="D14201" i="2"/>
  <c r="D7313" i="2"/>
  <c r="D4438" i="2"/>
  <c r="D7458" i="2"/>
  <c r="D6984" i="2"/>
  <c r="D1044" i="2"/>
  <c r="D2358" i="2"/>
  <c r="D346" i="2"/>
  <c r="D4565" i="2"/>
  <c r="D12964" i="2"/>
  <c r="D8857" i="2"/>
  <c r="D12803" i="2"/>
  <c r="D9601" i="2"/>
  <c r="D3349" i="2"/>
  <c r="D2541" i="2"/>
  <c r="D4437" i="2"/>
  <c r="D11900" i="2"/>
  <c r="D11108" i="2"/>
  <c r="D13278" i="2"/>
  <c r="D11899" i="2"/>
  <c r="D7095" i="2"/>
  <c r="D8856" i="2"/>
  <c r="D6417" i="2"/>
  <c r="D10642" i="2"/>
  <c r="D300" i="2"/>
  <c r="D7180" i="2"/>
  <c r="D8855" i="2"/>
  <c r="D4436" i="2"/>
  <c r="D4435" i="2"/>
  <c r="D5261" i="2"/>
  <c r="D9523" i="2"/>
  <c r="D11107" i="2"/>
  <c r="D11344" i="2"/>
  <c r="D11836" i="2"/>
  <c r="D8854" i="2"/>
  <c r="D2941" i="2"/>
  <c r="D12389" i="2"/>
  <c r="D8853" i="2"/>
  <c r="D6416" i="2"/>
  <c r="D535" i="2"/>
  <c r="D10549" i="2"/>
  <c r="D10332" i="2"/>
  <c r="D2297" i="2"/>
  <c r="D2681" i="2"/>
  <c r="D14200" i="2"/>
  <c r="D10331" i="2"/>
  <c r="D14299" i="2"/>
  <c r="D14199" i="2"/>
  <c r="D4434" i="2"/>
  <c r="D2004" i="2"/>
  <c r="D9522" i="2"/>
  <c r="D11388" i="2"/>
  <c r="D13277" i="2"/>
  <c r="D11898" i="2"/>
  <c r="D10479" i="2"/>
  <c r="D4433" i="2"/>
  <c r="D5212" i="2"/>
  <c r="D8852" i="2"/>
  <c r="D5117" i="2"/>
  <c r="D8851" i="2"/>
  <c r="D1897" i="2"/>
  <c r="D1896" i="2"/>
  <c r="D1349" i="2"/>
  <c r="D13056" i="2"/>
  <c r="D12081" i="2"/>
  <c r="D96" i="2"/>
  <c r="D12957" i="2"/>
  <c r="D1884" i="2"/>
  <c r="D95" i="2"/>
  <c r="D12956" i="2"/>
  <c r="D201" i="2"/>
  <c r="D6140" i="2"/>
  <c r="D4432" i="2"/>
  <c r="D10743" i="2"/>
  <c r="D7421" i="2"/>
  <c r="D11666" i="2"/>
  <c r="D8850" i="2"/>
  <c r="D8849" i="2"/>
  <c r="D177" i="2"/>
  <c r="D4431" i="2"/>
  <c r="D15308" i="2"/>
  <c r="D4430" i="2"/>
  <c r="D4429" i="2"/>
  <c r="D6139" i="2"/>
  <c r="D5488" i="2"/>
  <c r="D11897" i="2"/>
  <c r="D4428" i="2"/>
  <c r="D8848" i="2"/>
  <c r="D4427" i="2"/>
  <c r="D8847" i="2"/>
  <c r="D9100" i="2"/>
  <c r="D13028" i="2"/>
  <c r="D11601" i="2"/>
  <c r="D1173" i="2"/>
  <c r="D11447" i="2"/>
  <c r="D8846" i="2"/>
  <c r="D9748" i="2"/>
  <c r="D11106" i="2"/>
  <c r="D8845" i="2"/>
  <c r="D4685" i="2"/>
  <c r="D4746" i="2"/>
  <c r="D8844" i="2"/>
  <c r="D14575" i="2"/>
  <c r="D14574" i="2"/>
  <c r="D1172" i="2"/>
  <c r="D11241" i="2"/>
  <c r="D14766" i="2"/>
  <c r="D1043" i="2"/>
  <c r="D11240" i="2"/>
  <c r="D8843" i="2"/>
  <c r="D299" i="2"/>
  <c r="D4426" i="2"/>
  <c r="D7506" i="2"/>
  <c r="D14198" i="2"/>
  <c r="D4425" i="2"/>
  <c r="D13309" i="2"/>
  <c r="D10460" i="2"/>
  <c r="D12802" i="2"/>
  <c r="D13609" i="2"/>
  <c r="D8842" i="2"/>
  <c r="D4424" i="2"/>
  <c r="D5585" i="2"/>
  <c r="D13863" i="2"/>
  <c r="D11789" i="2"/>
  <c r="D10139" i="2"/>
  <c r="D1171" i="2"/>
  <c r="D6836" i="2"/>
  <c r="D4423" i="2"/>
  <c r="D8841" i="2"/>
  <c r="D14731" i="2"/>
  <c r="D6415" i="2"/>
  <c r="D8840" i="2"/>
  <c r="D14765" i="2"/>
  <c r="D8839" i="2"/>
  <c r="D9521" i="2"/>
  <c r="D9520" i="2"/>
  <c r="D10330" i="2"/>
  <c r="D8838" i="2"/>
  <c r="D8837" i="2"/>
  <c r="D8836" i="2"/>
  <c r="D4422" i="2"/>
  <c r="D13469" i="2"/>
  <c r="D14197" i="2"/>
  <c r="D11105" i="2"/>
  <c r="D9979" i="2"/>
  <c r="D5667" i="2"/>
  <c r="D12987" i="2"/>
  <c r="D4421" i="2"/>
  <c r="D8835" i="2"/>
  <c r="D2014" i="2"/>
  <c r="D13231" i="2"/>
  <c r="D8834" i="2"/>
  <c r="D180" i="2"/>
  <c r="D6523" i="2"/>
  <c r="D8833" i="2"/>
  <c r="D362" i="2"/>
  <c r="D834" i="2"/>
  <c r="D14196" i="2"/>
  <c r="D284" i="2"/>
  <c r="D1042" i="2"/>
  <c r="D84" i="2"/>
  <c r="D4420" i="2"/>
  <c r="D6940" i="2"/>
  <c r="D4564" i="2"/>
  <c r="D13230" i="2"/>
  <c r="D12360" i="2"/>
  <c r="D14298" i="2"/>
  <c r="D12320" i="2"/>
  <c r="D1348" i="2"/>
  <c r="D190" i="2"/>
  <c r="D14251" i="2"/>
  <c r="D12339" i="2"/>
  <c r="D8832" i="2"/>
  <c r="D5015" i="2"/>
  <c r="D8831" i="2"/>
  <c r="D7491" i="2"/>
  <c r="D13055" i="2"/>
  <c r="D4419" i="2"/>
  <c r="D4418" i="2"/>
  <c r="D6138" i="2"/>
  <c r="D2583" i="2"/>
  <c r="D8830" i="2"/>
  <c r="D427" i="2"/>
  <c r="D9978" i="2"/>
  <c r="D15266" i="2"/>
  <c r="D5465" i="2"/>
  <c r="D8829" i="2"/>
  <c r="D10329" i="2"/>
  <c r="D8828" i="2"/>
  <c r="D9519" i="2"/>
  <c r="D8827" i="2"/>
  <c r="D9518" i="2"/>
  <c r="D12080" i="2"/>
  <c r="D8826" i="2"/>
  <c r="D7422" i="2"/>
  <c r="D4834" i="2"/>
  <c r="D4417" i="2"/>
  <c r="D6137" i="2"/>
  <c r="D1041" i="2"/>
  <c r="D11647" i="2"/>
  <c r="D5627" i="2"/>
  <c r="D9517" i="2"/>
  <c r="D11431" i="2"/>
  <c r="D6331" i="2"/>
  <c r="D1765" i="2"/>
  <c r="D8825" i="2"/>
  <c r="D2296" i="2"/>
  <c r="D162" i="2"/>
  <c r="D6348" i="2"/>
  <c r="D8824" i="2"/>
  <c r="D5346" i="2"/>
  <c r="D5366" i="2"/>
  <c r="D4416" i="2"/>
  <c r="D381" i="2"/>
  <c r="D8823" i="2"/>
  <c r="D4933" i="2"/>
  <c r="D14983" i="2"/>
  <c r="D15245" i="2"/>
  <c r="D12801" i="2"/>
  <c r="D6414" i="2"/>
  <c r="D8822" i="2"/>
  <c r="D13379" i="2"/>
  <c r="D9592" i="2"/>
  <c r="D7236" i="2"/>
  <c r="D1764" i="2"/>
  <c r="D10147" i="2"/>
  <c r="D9136" i="2"/>
  <c r="D8821" i="2"/>
  <c r="D9650" i="2"/>
  <c r="D10328" i="2"/>
  <c r="D11931" i="2"/>
  <c r="D219" i="2"/>
  <c r="D11766" i="2"/>
  <c r="D2046" i="2"/>
  <c r="D7374" i="2"/>
  <c r="D1990" i="2"/>
  <c r="D11104" i="2"/>
  <c r="D1763" i="2"/>
  <c r="D12800" i="2"/>
  <c r="D9516" i="2"/>
  <c r="D263" i="2"/>
  <c r="D192" i="2"/>
  <c r="D4667" i="2"/>
  <c r="D4415" i="2"/>
  <c r="D613" i="2"/>
  <c r="D248" i="2"/>
  <c r="D8820" i="2"/>
  <c r="D12799" i="2"/>
  <c r="D164" i="2"/>
  <c r="D14361" i="2"/>
  <c r="D4833" i="2"/>
  <c r="D9977" i="2"/>
  <c r="D7442" i="2"/>
  <c r="D13134" i="2"/>
  <c r="D12798" i="2"/>
  <c r="D4414" i="2"/>
  <c r="D4413" i="2"/>
  <c r="D4412" i="2"/>
  <c r="D5116" i="2"/>
  <c r="D46" i="2"/>
  <c r="D10691" i="2"/>
  <c r="D12079" i="2"/>
  <c r="D9515" i="2"/>
  <c r="D13962" i="2"/>
  <c r="D5584" i="2"/>
  <c r="D6413" i="2"/>
  <c r="D6628" i="2"/>
  <c r="D12797" i="2"/>
  <c r="D11519" i="2"/>
  <c r="D12796" i="2"/>
  <c r="D3176" i="2"/>
  <c r="D8819" i="2"/>
  <c r="D11239" i="2"/>
  <c r="D6136" i="2"/>
  <c r="D9514" i="2"/>
  <c r="D12795" i="2"/>
  <c r="D407" i="2"/>
  <c r="D14195" i="2"/>
  <c r="D10490" i="2"/>
  <c r="D10327" i="2"/>
  <c r="D12794" i="2"/>
  <c r="D8818" i="2"/>
  <c r="D3165" i="2"/>
  <c r="D2357" i="2"/>
  <c r="D6247" i="2"/>
  <c r="D6135" i="2"/>
  <c r="D8817" i="2"/>
  <c r="D13954" i="2"/>
  <c r="D6134" i="2"/>
  <c r="D145" i="2"/>
  <c r="D5345" i="2"/>
  <c r="D3006" i="2"/>
  <c r="D11238" i="2"/>
  <c r="D8816" i="2"/>
  <c r="D8815" i="2"/>
  <c r="D14194" i="2"/>
  <c r="D137" i="2"/>
  <c r="D8814" i="2"/>
  <c r="D11103" i="2"/>
  <c r="D8813" i="2"/>
  <c r="D6983" i="2"/>
  <c r="D8812" i="2"/>
  <c r="D1040" i="2"/>
  <c r="D5583" i="2"/>
  <c r="D13862" i="2"/>
  <c r="D13812" i="2"/>
  <c r="D14456" i="2"/>
  <c r="D5257" i="2"/>
  <c r="D2373" i="2"/>
  <c r="D14429" i="2"/>
  <c r="D12945" i="2"/>
  <c r="D6909" i="2"/>
  <c r="D12793" i="2"/>
  <c r="D612" i="2"/>
  <c r="D10326" i="2"/>
  <c r="D11387" i="2"/>
  <c r="D10068" i="2"/>
  <c r="D6714" i="2"/>
  <c r="D12078" i="2"/>
  <c r="D5464" i="2"/>
  <c r="D14020" i="2"/>
  <c r="D8811" i="2"/>
  <c r="D4411" i="2"/>
  <c r="D5691" i="2"/>
  <c r="D11833" i="2"/>
  <c r="D5115" i="2"/>
  <c r="D14573" i="2"/>
  <c r="D4626" i="2"/>
  <c r="D13854" i="2"/>
  <c r="D11799" i="2"/>
  <c r="D2295" i="2"/>
  <c r="D1170" i="2"/>
  <c r="D11237" i="2"/>
  <c r="D3348" i="2"/>
  <c r="D2636" i="2"/>
  <c r="D5388" i="2"/>
  <c r="D5114" i="2"/>
  <c r="D6493" i="2"/>
  <c r="D426" i="2"/>
  <c r="D12792" i="2"/>
  <c r="D14462" i="2"/>
  <c r="D8810" i="2"/>
  <c r="D371" i="2"/>
  <c r="D12791" i="2"/>
  <c r="D2678" i="2"/>
  <c r="D11586" i="2"/>
  <c r="D11518" i="2"/>
  <c r="D5640" i="2"/>
  <c r="D14982" i="2"/>
  <c r="D9135" i="2"/>
  <c r="D155" i="2"/>
  <c r="D5470" i="2"/>
  <c r="D8809" i="2"/>
  <c r="D833" i="2"/>
  <c r="D2635" i="2"/>
  <c r="D12077" i="2"/>
  <c r="D14730" i="2"/>
  <c r="D7502" i="2"/>
  <c r="D14026" i="2"/>
  <c r="D1403" i="2"/>
  <c r="D8808" i="2"/>
  <c r="D12319" i="2"/>
  <c r="D10459" i="2"/>
  <c r="D10620" i="2"/>
  <c r="D9976" i="2"/>
  <c r="D14879" i="2"/>
  <c r="D2294" i="2"/>
  <c r="D13662" i="2"/>
  <c r="D9513" i="2"/>
  <c r="D10760" i="2"/>
  <c r="D13229" i="2"/>
  <c r="D2003" i="2"/>
  <c r="D8807" i="2"/>
  <c r="D14981" i="2"/>
  <c r="D11441" i="2"/>
  <c r="D2708" i="2"/>
  <c r="D5027" i="2"/>
  <c r="D77" i="2"/>
  <c r="D4410" i="2"/>
  <c r="D7012" i="2"/>
  <c r="D3417" i="2"/>
  <c r="D4932" i="2"/>
  <c r="D10067" i="2"/>
  <c r="D6713" i="2"/>
  <c r="D8806" i="2"/>
  <c r="D13749" i="2"/>
  <c r="D1888" i="2"/>
  <c r="D2293" i="2"/>
  <c r="D1273" i="2"/>
  <c r="D11825" i="2"/>
  <c r="D2011" i="2"/>
  <c r="D4409" i="2"/>
  <c r="D5113" i="2"/>
  <c r="D11658" i="2"/>
  <c r="D4871" i="2"/>
  <c r="D10325" i="2"/>
  <c r="D2466" i="2"/>
  <c r="D10458" i="2"/>
  <c r="D4408" i="2"/>
  <c r="D8805" i="2"/>
  <c r="D6492" i="2"/>
  <c r="D14016" i="2"/>
  <c r="D343" i="2"/>
  <c r="D15316" i="2"/>
  <c r="D9" i="2"/>
  <c r="D12790" i="2"/>
  <c r="D10477" i="2"/>
  <c r="D10324" i="2"/>
  <c r="D8804" i="2"/>
  <c r="D9512" i="2"/>
  <c r="D4407" i="2"/>
  <c r="D7003" i="2"/>
  <c r="D4406" i="2"/>
  <c r="D4405" i="2"/>
  <c r="D13468" i="2"/>
  <c r="D4404" i="2"/>
  <c r="D13918" i="2"/>
  <c r="D8803" i="2"/>
  <c r="D2292" i="2"/>
  <c r="D13027" i="2"/>
  <c r="D14193" i="2"/>
  <c r="D13834" i="2"/>
  <c r="D5582" i="2"/>
  <c r="D1347" i="2"/>
  <c r="D218" i="2"/>
  <c r="D8802" i="2"/>
  <c r="D9511" i="2"/>
  <c r="D2516" i="2"/>
  <c r="D9572" i="2"/>
  <c r="D4403" i="2"/>
  <c r="D10083" i="2"/>
  <c r="D14572" i="2"/>
  <c r="D6877" i="2"/>
  <c r="D5033" i="2"/>
  <c r="D1272" i="2"/>
  <c r="D5487" i="2"/>
  <c r="D12920" i="2"/>
  <c r="D6412" i="2"/>
  <c r="D8801" i="2"/>
  <c r="D12426" i="2"/>
  <c r="D12789" i="2"/>
  <c r="D13811" i="2"/>
  <c r="D114" i="2"/>
  <c r="D14023" i="2"/>
  <c r="D1645" i="2"/>
  <c r="D973" i="2"/>
  <c r="D8800" i="2"/>
  <c r="D298" i="2"/>
  <c r="D4402" i="2"/>
  <c r="D6491" i="2"/>
  <c r="D8799" i="2"/>
  <c r="D6243" i="2"/>
  <c r="D246" i="2"/>
  <c r="D6982" i="2"/>
  <c r="D172" i="2"/>
  <c r="D7011" i="2"/>
  <c r="D15199" i="2"/>
  <c r="D13350" i="2"/>
  <c r="D4401" i="2"/>
  <c r="D11432" i="2"/>
  <c r="D832" i="2"/>
  <c r="D373" i="2"/>
  <c r="D9809" i="2"/>
  <c r="D13503" i="2"/>
  <c r="D6908" i="2"/>
  <c r="D13861" i="2"/>
  <c r="D14513" i="2"/>
  <c r="D7205" i="2"/>
  <c r="D13717" i="2"/>
  <c r="D11788" i="2"/>
  <c r="D10510" i="2"/>
  <c r="D389" i="2"/>
  <c r="D1762" i="2"/>
  <c r="D14192" i="2"/>
  <c r="D3005" i="2"/>
  <c r="D12959" i="2"/>
  <c r="D3081" i="2"/>
  <c r="D4931" i="2"/>
  <c r="D1346" i="2"/>
  <c r="D13054" i="2"/>
  <c r="D9510" i="2"/>
  <c r="D6242" i="2"/>
  <c r="D287" i="2"/>
  <c r="D11632" i="2"/>
  <c r="D1345" i="2"/>
  <c r="D8798" i="2"/>
  <c r="D14272" i="2"/>
  <c r="D1491" i="2"/>
  <c r="D9127" i="2"/>
  <c r="D5214" i="2"/>
  <c r="D2548" i="2"/>
  <c r="D12788" i="2"/>
  <c r="D5581" i="2"/>
  <c r="D14191" i="2"/>
  <c r="D2707" i="2"/>
  <c r="D425" i="2"/>
  <c r="D13649" i="2"/>
  <c r="D8797" i="2"/>
  <c r="D5504" i="2"/>
  <c r="D2649" i="2"/>
  <c r="D8796" i="2"/>
  <c r="D14190" i="2"/>
  <c r="D13276" i="2"/>
  <c r="D11896" i="2"/>
  <c r="D2706" i="2"/>
  <c r="D378" i="2"/>
  <c r="D5112" i="2"/>
  <c r="D9600" i="2"/>
  <c r="D4400" i="2"/>
  <c r="D259" i="2"/>
  <c r="D12787" i="2"/>
  <c r="D10017" i="2"/>
  <c r="D4666" i="2"/>
  <c r="D4840" i="2"/>
  <c r="D11918" i="2"/>
  <c r="D11102" i="2"/>
  <c r="D40" i="2"/>
  <c r="D12448" i="2"/>
  <c r="D13683" i="2"/>
  <c r="D5042" i="2"/>
  <c r="D12786" i="2"/>
  <c r="D297" i="2"/>
  <c r="D1039" i="2"/>
  <c r="D14980" i="2"/>
  <c r="D15244" i="2"/>
  <c r="D918" i="2"/>
  <c r="D9747" i="2"/>
  <c r="D7410" i="2"/>
  <c r="D8795" i="2"/>
  <c r="D972" i="2"/>
  <c r="D428" i="2"/>
  <c r="D7441" i="2"/>
  <c r="D7179" i="2"/>
  <c r="D105" i="2"/>
  <c r="D10489" i="2"/>
  <c r="D4399" i="2"/>
  <c r="D13467" i="2"/>
  <c r="D4745" i="2"/>
  <c r="D5014" i="2"/>
  <c r="D14189" i="2"/>
  <c r="D9975" i="2"/>
  <c r="D8794" i="2"/>
  <c r="D15315" i="2"/>
  <c r="D12785" i="2"/>
  <c r="D4398" i="2"/>
  <c r="D183" i="2"/>
  <c r="D5111" i="2"/>
  <c r="D10323" i="2"/>
  <c r="D10137" i="2"/>
  <c r="D275" i="2"/>
  <c r="D14188" i="2"/>
  <c r="D876" i="2"/>
  <c r="D8793" i="2"/>
  <c r="D14343" i="2"/>
  <c r="D8792" i="2"/>
  <c r="D1169" i="2"/>
  <c r="D14250" i="2"/>
  <c r="D4397" i="2"/>
  <c r="D15198" i="2"/>
  <c r="D14249" i="2"/>
  <c r="D9509" i="2"/>
  <c r="D52" i="2"/>
  <c r="D8791" i="2"/>
  <c r="D1490" i="2"/>
  <c r="D6981" i="2"/>
  <c r="D4396" i="2"/>
  <c r="D296" i="2"/>
  <c r="D1989" i="2"/>
  <c r="D181" i="2"/>
  <c r="D7247" i="2"/>
  <c r="D8790" i="2"/>
  <c r="D5110" i="2"/>
  <c r="D12318" i="2"/>
  <c r="D4936" i="2"/>
  <c r="D6133" i="2"/>
  <c r="D13743" i="2"/>
  <c r="D2705" i="2"/>
  <c r="D4395" i="2"/>
  <c r="D14187" i="2"/>
  <c r="D4930" i="2"/>
  <c r="D6246" i="2"/>
  <c r="D4394" i="2"/>
  <c r="D11236" i="2"/>
  <c r="D1344" i="2"/>
  <c r="D9591" i="2"/>
  <c r="D2648" i="2"/>
  <c r="D4393" i="2"/>
  <c r="D2356" i="2"/>
  <c r="D295" i="2"/>
  <c r="D4731" i="2"/>
  <c r="D13982" i="2"/>
  <c r="D578" i="2"/>
  <c r="D2291" i="2"/>
  <c r="D8789" i="2"/>
  <c r="D11101" i="2"/>
  <c r="D12784" i="2"/>
  <c r="D875" i="2"/>
  <c r="D69" i="2"/>
  <c r="D1895" i="2"/>
  <c r="D9508" i="2"/>
  <c r="D15011" i="2"/>
  <c r="D10322" i="2"/>
  <c r="D1894" i="2"/>
  <c r="D387" i="2"/>
  <c r="D5324" i="2"/>
  <c r="D8788" i="2"/>
  <c r="D1800" i="2"/>
  <c r="D2704" i="2"/>
  <c r="D13156" i="2"/>
  <c r="D344" i="2"/>
  <c r="D6132" i="2"/>
  <c r="D15307" i="2"/>
  <c r="D10693" i="2"/>
  <c r="D12388" i="2"/>
  <c r="D22" i="2"/>
  <c r="D13304" i="2"/>
  <c r="D11100" i="2"/>
  <c r="D13349" i="2"/>
  <c r="D12994" i="2"/>
  <c r="D8787" i="2"/>
  <c r="D8786" i="2"/>
  <c r="D2290" i="2"/>
  <c r="D14818" i="2"/>
  <c r="D10035" i="2"/>
  <c r="D8785" i="2"/>
  <c r="D153" i="2"/>
  <c r="D9974" i="2"/>
  <c r="D12919" i="2"/>
  <c r="D278" i="2"/>
  <c r="D11099" i="2"/>
  <c r="D5387" i="2"/>
  <c r="D5344" i="2"/>
  <c r="D11098" i="2"/>
  <c r="D30" i="2"/>
  <c r="D9507" i="2"/>
  <c r="D200" i="2"/>
  <c r="D10585" i="2"/>
  <c r="D14365" i="2"/>
  <c r="D1374" i="2"/>
  <c r="D9973" i="2"/>
  <c r="D5109" i="2"/>
  <c r="D874" i="2"/>
  <c r="D1071" i="2"/>
  <c r="D6988" i="2"/>
  <c r="D659" i="2"/>
  <c r="D60" i="2"/>
  <c r="D2876" i="2"/>
  <c r="D2289" i="2"/>
  <c r="D14571" i="2"/>
  <c r="D5501" i="2"/>
  <c r="D8784" i="2"/>
  <c r="D8783" i="2"/>
  <c r="D10321" i="2"/>
  <c r="D4868" i="2"/>
  <c r="D13732" i="2"/>
  <c r="D8782" i="2"/>
  <c r="D11824" i="2"/>
  <c r="D4392" i="2"/>
  <c r="D13053" i="2"/>
  <c r="D1489" i="2"/>
  <c r="D10457" i="2"/>
  <c r="D8781" i="2"/>
  <c r="D9972" i="2"/>
  <c r="D294" i="2"/>
  <c r="D8780" i="2"/>
  <c r="D58" i="2"/>
  <c r="D126" i="2"/>
  <c r="D9506" i="2"/>
  <c r="D10507" i="2"/>
  <c r="D5262" i="2"/>
  <c r="D8779" i="2"/>
  <c r="D11235" i="2"/>
  <c r="D917" i="2"/>
  <c r="D4391" i="2"/>
  <c r="D1343" i="2"/>
  <c r="D14729" i="2"/>
  <c r="D4572" i="2"/>
  <c r="D12447" i="2"/>
  <c r="D53" i="2"/>
  <c r="D44" i="2"/>
  <c r="D1488" i="2"/>
  <c r="D1271" i="2"/>
  <c r="D76" i="2"/>
  <c r="D131" i="2"/>
  <c r="D4390" i="2"/>
  <c r="D15" i="2"/>
  <c r="D286" i="2"/>
  <c r="D5192" i="2"/>
  <c r="D9719" i="2"/>
  <c r="D150" i="2"/>
  <c r="D239" i="2"/>
  <c r="D265" i="2"/>
  <c r="D282" i="2"/>
  <c r="D5013" i="2"/>
  <c r="D1487" i="2"/>
  <c r="D6330" i="2"/>
  <c r="D5580" i="2"/>
  <c r="D301" i="2"/>
  <c r="D8778" i="2"/>
  <c r="D8777" i="2"/>
  <c r="D9699" i="2"/>
  <c r="D12359" i="2"/>
  <c r="D1486" i="2"/>
  <c r="D28" i="2"/>
  <c r="D406" i="2"/>
  <c r="D206" i="2"/>
  <c r="D695" i="2"/>
  <c r="D62" i="2"/>
  <c r="D10677" i="2"/>
  <c r="D10320" i="2"/>
  <c r="D7072" i="2"/>
  <c r="D255" i="2"/>
  <c r="D15243" i="2"/>
  <c r="D390" i="2"/>
  <c r="D6980" i="2"/>
  <c r="D8776" i="2"/>
  <c r="D5363" i="2"/>
  <c r="D15249" i="2"/>
  <c r="D2288" i="2"/>
  <c r="D2465" i="2"/>
  <c r="D6411" i="2"/>
  <c r="D14186" i="2"/>
  <c r="D4389" i="2"/>
  <c r="D11722" i="2"/>
  <c r="D405" i="2"/>
  <c r="D11603" i="2"/>
  <c r="D213" i="2"/>
  <c r="D14417" i="2"/>
  <c r="D6131" i="2"/>
  <c r="D226" i="2"/>
  <c r="D15197" i="2"/>
  <c r="D7322" i="2"/>
  <c r="D118" i="2"/>
  <c r="D2484" i="2"/>
  <c r="D404" i="2"/>
  <c r="D9971" i="2"/>
  <c r="D7170" i="2"/>
  <c r="D8775" i="2"/>
  <c r="D12317" i="2"/>
  <c r="D614" i="2"/>
  <c r="D5203" i="2"/>
  <c r="D13647" i="2"/>
  <c r="D12918" i="2"/>
  <c r="D831" i="2"/>
  <c r="D14185" i="2"/>
  <c r="D11787" i="2"/>
  <c r="D61" i="2"/>
  <c r="D348" i="2"/>
  <c r="D14184" i="2"/>
  <c r="D12783" i="2"/>
  <c r="D4929" i="2"/>
  <c r="D33" i="2"/>
  <c r="D1485" i="2"/>
  <c r="D277" i="2"/>
  <c r="D12076" i="2"/>
  <c r="D333" i="2"/>
  <c r="D15259" i="2"/>
  <c r="D15258" i="2"/>
  <c r="D215" i="2"/>
  <c r="D5296" i="2"/>
  <c r="D352" i="2"/>
  <c r="D4388" i="2"/>
  <c r="D13748" i="2"/>
  <c r="D5579" i="2"/>
  <c r="D12782" i="2"/>
  <c r="D18" i="2"/>
  <c r="D5012" i="2"/>
  <c r="D14850" i="2"/>
  <c r="D5199" i="2"/>
  <c r="D11097" i="2"/>
  <c r="D13375" i="2"/>
  <c r="D11517" i="2"/>
  <c r="D14979" i="2"/>
  <c r="D1893" i="2"/>
  <c r="D13297" i="2"/>
  <c r="D2491" i="2"/>
  <c r="D171" i="2"/>
  <c r="D221" i="2"/>
  <c r="D276" i="2"/>
  <c r="D5448" i="2"/>
  <c r="D4387" i="2"/>
  <c r="D8774" i="2"/>
  <c r="D293" i="2"/>
  <c r="D243" i="2"/>
  <c r="D268" i="2"/>
  <c r="D272" i="2"/>
  <c r="D225" i="2"/>
  <c r="D5108" i="2"/>
  <c r="D9505" i="2"/>
  <c r="D8773" i="2"/>
  <c r="D10456" i="2"/>
  <c r="D7493" i="2"/>
  <c r="D170" i="2"/>
  <c r="D14728" i="2"/>
  <c r="D3004" i="2"/>
  <c r="D2875" i="2"/>
  <c r="D7235" i="2"/>
  <c r="D1761" i="2"/>
  <c r="D6522" i="2"/>
  <c r="D11585" i="2"/>
  <c r="D9504" i="2"/>
  <c r="D14727" i="2"/>
  <c r="D9503" i="2"/>
  <c r="D9502" i="2"/>
  <c r="D9501" i="2"/>
  <c r="D9500" i="2"/>
  <c r="D8772" i="2"/>
  <c r="D7234" i="2"/>
  <c r="D1760" i="2"/>
  <c r="D12316" i="2"/>
  <c r="D15196" i="2"/>
  <c r="D7233" i="2"/>
  <c r="D1759" i="2"/>
  <c r="D9499" i="2"/>
  <c r="D11516" i="2"/>
  <c r="D1965" i="2"/>
  <c r="D6440" i="2"/>
  <c r="D13672" i="2"/>
  <c r="D6130" i="2"/>
  <c r="D6129" i="2"/>
  <c r="D9789" i="2"/>
  <c r="D2677" i="2"/>
  <c r="D2874" i="2"/>
  <c r="D497" i="2"/>
  <c r="D4386" i="2"/>
  <c r="D496" i="2"/>
  <c r="D8771" i="2"/>
  <c r="D9498" i="2"/>
  <c r="D4956" i="2"/>
  <c r="D14329" i="2"/>
  <c r="D11096" i="2"/>
  <c r="D2104" i="2"/>
  <c r="D15195" i="2"/>
  <c r="D830" i="2"/>
  <c r="D15194" i="2"/>
  <c r="D15193" i="2"/>
  <c r="D15192" i="2"/>
  <c r="D15191" i="2"/>
  <c r="D14978" i="2"/>
  <c r="D6410" i="2"/>
  <c r="D3003" i="2"/>
  <c r="D6409" i="2"/>
  <c r="D14598" i="2"/>
  <c r="D6408" i="2"/>
  <c r="D6407" i="2"/>
  <c r="D9497" i="2"/>
  <c r="D4385" i="2"/>
  <c r="D5288" i="2"/>
  <c r="D8770" i="2"/>
  <c r="D14726" i="2"/>
  <c r="D10319" i="2"/>
  <c r="D7232" i="2"/>
  <c r="D1758" i="2"/>
  <c r="D11095" i="2"/>
  <c r="D12150" i="2"/>
  <c r="D14183" i="2"/>
  <c r="D12411" i="2"/>
  <c r="D4955" i="2"/>
  <c r="D15190" i="2"/>
  <c r="D10602" i="2"/>
  <c r="D10318" i="2"/>
  <c r="D9788" i="2"/>
  <c r="D3002" i="2"/>
  <c r="D7312" i="2"/>
  <c r="D4665" i="2"/>
  <c r="D9496" i="2"/>
  <c r="D2287" i="2"/>
  <c r="D2103" i="2"/>
  <c r="D9970" i="2"/>
  <c r="D2873" i="2"/>
  <c r="D12543" i="2"/>
  <c r="D15189" i="2"/>
  <c r="D6939" i="2"/>
  <c r="D10548" i="2"/>
  <c r="D10317" i="2"/>
  <c r="D6128" i="2"/>
  <c r="D9495" i="2"/>
  <c r="D15188" i="2"/>
  <c r="D7161" i="2"/>
  <c r="D4384" i="2"/>
  <c r="D4383" i="2"/>
  <c r="D4382" i="2"/>
  <c r="D2657" i="2"/>
  <c r="D4381" i="2"/>
  <c r="D4380" i="2"/>
  <c r="D15187" i="2"/>
  <c r="D13026" i="2"/>
  <c r="D8769" i="2"/>
  <c r="D15186" i="2"/>
  <c r="D15265" i="2"/>
  <c r="D2872" i="2"/>
  <c r="D9715" i="2"/>
  <c r="D12501" i="2"/>
  <c r="D2286" i="2"/>
  <c r="D2285" i="2"/>
  <c r="D11094" i="2"/>
  <c r="D1854" i="2"/>
  <c r="D10813" i="2"/>
  <c r="D2871" i="2"/>
  <c r="D11515" i="2"/>
  <c r="D10316" i="2"/>
  <c r="D11234" i="2"/>
  <c r="D15185" i="2"/>
  <c r="D8768" i="2"/>
  <c r="D5245" i="2"/>
  <c r="D6835" i="2"/>
  <c r="D4379" i="2"/>
  <c r="D15184" i="2"/>
  <c r="D13561" i="2"/>
  <c r="D4378" i="2"/>
  <c r="D8767" i="2"/>
  <c r="D2102" i="2"/>
  <c r="D13638" i="2"/>
  <c r="D12410" i="2"/>
  <c r="D13644" i="2"/>
  <c r="D15306" i="2"/>
  <c r="D8766" i="2"/>
  <c r="D559" i="2"/>
  <c r="D4377" i="2"/>
  <c r="D15183" i="2"/>
  <c r="D13096" i="2"/>
  <c r="D15182" i="2"/>
  <c r="D9494" i="2"/>
  <c r="D10315" i="2"/>
  <c r="D6726" i="2"/>
  <c r="D9493" i="2"/>
  <c r="D14328" i="2"/>
  <c r="D12500" i="2"/>
  <c r="D7311" i="2"/>
  <c r="D14725" i="2"/>
  <c r="D9492" i="2"/>
  <c r="D4376" i="2"/>
  <c r="D9116" i="2"/>
  <c r="D12315" i="2"/>
  <c r="D14977" i="2"/>
  <c r="D4375" i="2"/>
  <c r="D9787" i="2"/>
  <c r="D14182" i="2"/>
  <c r="D8765" i="2"/>
  <c r="D6606" i="2"/>
  <c r="D7310" i="2"/>
  <c r="D7456" i="2"/>
  <c r="D2870" i="2"/>
  <c r="D8764" i="2"/>
  <c r="D8763" i="2"/>
  <c r="D13560" i="2"/>
  <c r="D13559" i="2"/>
  <c r="D11765" i="2"/>
  <c r="D11233" i="2"/>
  <c r="D10314" i="2"/>
  <c r="D2464" i="2"/>
  <c r="D15181" i="2"/>
  <c r="D5424" i="2"/>
  <c r="D15180" i="2"/>
  <c r="D10066" i="2"/>
  <c r="D6712" i="2"/>
  <c r="D11093" i="2"/>
  <c r="D8762" i="2"/>
  <c r="D9491" i="2"/>
  <c r="D13065" i="2"/>
  <c r="D6127" i="2"/>
  <c r="D2101" i="2"/>
  <c r="D4374" i="2"/>
  <c r="D8761" i="2"/>
  <c r="D5747" i="2"/>
  <c r="D8760" i="2"/>
  <c r="D4373" i="2"/>
  <c r="D11092" i="2"/>
  <c r="D12385" i="2"/>
  <c r="D8759" i="2"/>
  <c r="D8758" i="2"/>
  <c r="D10313" i="2"/>
  <c r="D5191" i="2"/>
  <c r="D6834" i="2"/>
  <c r="D14976" i="2"/>
  <c r="D13558" i="2"/>
  <c r="D8757" i="2"/>
  <c r="D8756" i="2"/>
  <c r="D8755" i="2"/>
  <c r="D8754" i="2"/>
  <c r="D6637" i="2"/>
  <c r="D4557" i="2"/>
  <c r="D594" i="2"/>
  <c r="D4372" i="2"/>
  <c r="D12917" i="2"/>
  <c r="D9760" i="2"/>
  <c r="D8753" i="2"/>
  <c r="D6668" i="2"/>
  <c r="D14724" i="2"/>
  <c r="D6833" i="2"/>
  <c r="D708" i="2"/>
  <c r="D6406" i="2"/>
  <c r="D4371" i="2"/>
  <c r="D8752" i="2"/>
  <c r="D14723" i="2"/>
  <c r="D9490" i="2"/>
  <c r="D13637" i="2"/>
  <c r="D13228" i="2"/>
  <c r="D1644" i="2"/>
  <c r="D14975" i="2"/>
  <c r="D2609" i="2"/>
  <c r="D916" i="2"/>
  <c r="D8751" i="2"/>
  <c r="D6126" i="2"/>
  <c r="D11232" i="2"/>
  <c r="D8750" i="2"/>
  <c r="D14974" i="2"/>
  <c r="D6490" i="2"/>
  <c r="D8749" i="2"/>
  <c r="D8748" i="2"/>
  <c r="D1950" i="2"/>
  <c r="D13146" i="2"/>
  <c r="D2463" i="2"/>
  <c r="D2284" i="2"/>
  <c r="D10065" i="2"/>
  <c r="D6711" i="2"/>
  <c r="D10134" i="2"/>
  <c r="D11091" i="2"/>
  <c r="D8747" i="2"/>
  <c r="D8746" i="2"/>
  <c r="D6582" i="2"/>
  <c r="D829" i="2"/>
  <c r="D4846" i="2"/>
  <c r="D6329" i="2"/>
  <c r="D4903" i="2"/>
  <c r="D2100" i="2"/>
  <c r="D2940" i="2"/>
  <c r="D5190" i="2"/>
  <c r="D5189" i="2"/>
  <c r="D8745" i="2"/>
  <c r="D2939" i="2"/>
  <c r="D12075" i="2"/>
  <c r="D4370" i="2"/>
  <c r="D13466" i="2"/>
  <c r="D6125" i="2"/>
  <c r="D8744" i="2"/>
  <c r="D4369" i="2"/>
  <c r="D11231" i="2"/>
  <c r="D13886" i="2"/>
  <c r="D8743" i="2"/>
  <c r="D11514" i="2"/>
  <c r="D2462" i="2"/>
  <c r="D6328" i="2"/>
  <c r="D6124" i="2"/>
  <c r="D8742" i="2"/>
  <c r="D14973" i="2"/>
  <c r="D6535" i="2"/>
  <c r="D2938" i="2"/>
  <c r="D12358" i="2"/>
  <c r="D1643" i="2"/>
  <c r="D2370" i="2"/>
  <c r="D915" i="2"/>
  <c r="D4368" i="2"/>
  <c r="D10601" i="2"/>
  <c r="D8741" i="2"/>
  <c r="D2937" i="2"/>
  <c r="D8740" i="2"/>
  <c r="D4367" i="2"/>
  <c r="D7204" i="2"/>
  <c r="D4366" i="2"/>
  <c r="D13227" i="2"/>
  <c r="D1270" i="2"/>
  <c r="D8739" i="2"/>
  <c r="D2283" i="2"/>
  <c r="D13682" i="2"/>
  <c r="D2362" i="2"/>
  <c r="D14181" i="2"/>
  <c r="D7231" i="2"/>
  <c r="D1757" i="2"/>
  <c r="D1642" i="2"/>
  <c r="D14722" i="2"/>
  <c r="D1484" i="2"/>
  <c r="D2869" i="2"/>
  <c r="D14972" i="2"/>
  <c r="D2936" i="2"/>
  <c r="D10133" i="2"/>
  <c r="D6123" i="2"/>
  <c r="D8738" i="2"/>
  <c r="D10082" i="2"/>
  <c r="D828" i="2"/>
  <c r="D8737" i="2"/>
  <c r="D3080" i="2"/>
  <c r="D4365" i="2"/>
  <c r="D7056" i="2"/>
  <c r="D8736" i="2"/>
  <c r="D5277" i="2"/>
  <c r="D14015" i="2"/>
  <c r="D6122" i="2"/>
  <c r="D8735" i="2"/>
  <c r="D13095" i="2"/>
  <c r="D15179" i="2"/>
  <c r="D2099" i="2"/>
  <c r="D12314" i="2"/>
  <c r="D14496" i="2"/>
  <c r="D10519" i="2"/>
  <c r="D914" i="2"/>
  <c r="D6121" i="2"/>
  <c r="D15178" i="2"/>
  <c r="D11806" i="2"/>
  <c r="D11786" i="2"/>
  <c r="D2868" i="2"/>
  <c r="D15177" i="2"/>
  <c r="D15176" i="2"/>
  <c r="D12438" i="2"/>
  <c r="D10748" i="2"/>
  <c r="D9661" i="2"/>
  <c r="D6120" i="2"/>
  <c r="D4364" i="2"/>
  <c r="D13465" i="2"/>
  <c r="D4363" i="2"/>
  <c r="D8734" i="2"/>
  <c r="D8733" i="2"/>
  <c r="D12357" i="2"/>
  <c r="D14405" i="2"/>
  <c r="D8732" i="2"/>
  <c r="D13094" i="2"/>
  <c r="D2355" i="2"/>
  <c r="D11584" i="2"/>
  <c r="D13042" i="2"/>
  <c r="D8731" i="2"/>
  <c r="D8730" i="2"/>
  <c r="D3416" i="2"/>
  <c r="D6217" i="2"/>
  <c r="D1939" i="2"/>
  <c r="D13636" i="2"/>
  <c r="D14971" i="2"/>
  <c r="D7309" i="2"/>
  <c r="D6119" i="2"/>
  <c r="D13893" i="2"/>
  <c r="D633" i="2"/>
  <c r="D9969" i="2"/>
  <c r="D9081" i="2"/>
  <c r="D1949" i="2"/>
  <c r="D13226" i="2"/>
  <c r="D7150" i="2"/>
  <c r="D13225" i="2"/>
  <c r="D6118" i="2"/>
  <c r="D13025" i="2"/>
  <c r="D11090" i="2"/>
  <c r="D11398" i="2"/>
  <c r="D5188" i="2"/>
  <c r="D6117" i="2"/>
  <c r="D3221" i="2"/>
  <c r="D4362" i="2"/>
  <c r="D8729" i="2"/>
  <c r="D7160" i="2"/>
  <c r="D11089" i="2"/>
  <c r="D15175" i="2"/>
  <c r="D2481" i="2"/>
  <c r="D12149" i="2"/>
  <c r="D6116" i="2"/>
  <c r="D4361" i="2"/>
  <c r="D4360" i="2"/>
  <c r="D13810" i="2"/>
  <c r="D7094" i="2"/>
  <c r="D10312" i="2"/>
  <c r="D11583" i="2"/>
  <c r="D7409" i="2"/>
  <c r="D12148" i="2"/>
  <c r="D2282" i="2"/>
  <c r="D10132" i="2"/>
  <c r="D7531" i="2"/>
  <c r="D10812" i="2"/>
  <c r="D2281" i="2"/>
  <c r="D4359" i="2"/>
  <c r="D11513" i="2"/>
  <c r="D827" i="2"/>
  <c r="D11650" i="2"/>
  <c r="D5723" i="2"/>
  <c r="D14783" i="2"/>
  <c r="D8728" i="2"/>
  <c r="D13354" i="2"/>
  <c r="D2867" i="2"/>
  <c r="D8727" i="2"/>
  <c r="D1269" i="2"/>
  <c r="D6907" i="2"/>
  <c r="D4358" i="2"/>
  <c r="D14721" i="2"/>
  <c r="D8726" i="2"/>
  <c r="D8725" i="2"/>
  <c r="D13809" i="2"/>
  <c r="D13296" i="2"/>
  <c r="D4357" i="2"/>
  <c r="D13464" i="2"/>
  <c r="D4356" i="2"/>
  <c r="D10547" i="2"/>
  <c r="D11512" i="2"/>
  <c r="D4355" i="2"/>
  <c r="D13463" i="2"/>
  <c r="D8724" i="2"/>
  <c r="D10311" i="2"/>
  <c r="D9489" i="2"/>
  <c r="D6261" i="2"/>
  <c r="D11088" i="2"/>
  <c r="D8723" i="2"/>
  <c r="D8722" i="2"/>
  <c r="D8721" i="2"/>
  <c r="D13224" i="2"/>
  <c r="D913" i="2"/>
  <c r="D14970" i="2"/>
  <c r="D9968" i="2"/>
  <c r="D15174" i="2"/>
  <c r="D11823" i="2"/>
  <c r="D9488" i="2"/>
  <c r="D2866" i="2"/>
  <c r="D1641" i="2"/>
  <c r="D15173" i="2"/>
  <c r="D6115" i="2"/>
  <c r="D11087" i="2"/>
  <c r="D6114" i="2"/>
  <c r="D9687" i="2"/>
  <c r="D4354" i="2"/>
  <c r="D13808" i="2"/>
  <c r="D13881" i="2"/>
  <c r="D14969" i="2"/>
  <c r="D8720" i="2"/>
  <c r="D5011" i="2"/>
  <c r="D4801" i="2"/>
  <c r="D4353" i="2"/>
  <c r="D13462" i="2"/>
  <c r="D8719" i="2"/>
  <c r="D1483" i="2"/>
  <c r="D8718" i="2"/>
  <c r="D9692" i="2"/>
  <c r="D6514" i="2"/>
  <c r="D15172" i="2"/>
  <c r="D585" i="2"/>
  <c r="D4352" i="2"/>
  <c r="D9967" i="2"/>
  <c r="D4351" i="2"/>
  <c r="D11086" i="2"/>
  <c r="D8717" i="2"/>
  <c r="D4350" i="2"/>
  <c r="D13461" i="2"/>
  <c r="D5521" i="2"/>
  <c r="D5727" i="2"/>
  <c r="D15171" i="2"/>
  <c r="D1268" i="2"/>
  <c r="D14180" i="2"/>
  <c r="D826" i="2"/>
  <c r="D10455" i="2"/>
  <c r="D11310" i="2"/>
  <c r="D6489" i="2"/>
  <c r="D6113" i="2"/>
  <c r="D1640" i="2"/>
  <c r="D2280" i="2"/>
  <c r="D3463" i="2"/>
  <c r="D4349" i="2"/>
  <c r="D12147" i="2"/>
  <c r="D7473" i="2"/>
  <c r="D4348" i="2"/>
  <c r="D13460" i="2"/>
  <c r="D14495" i="2"/>
  <c r="D558" i="2"/>
  <c r="D11930" i="2"/>
  <c r="D8716" i="2"/>
  <c r="D1639" i="2"/>
  <c r="D12916" i="2"/>
  <c r="D11085" i="2"/>
  <c r="D8715" i="2"/>
  <c r="D8714" i="2"/>
  <c r="D11230" i="2"/>
  <c r="D11084" i="2"/>
  <c r="D825" i="2"/>
  <c r="D6112" i="2"/>
  <c r="D3462" i="2"/>
  <c r="D11083" i="2"/>
  <c r="D5187" i="2"/>
  <c r="D4908" i="2"/>
  <c r="D11082" i="2"/>
  <c r="D11854" i="2"/>
  <c r="D13145" i="2"/>
  <c r="D5210" i="2"/>
  <c r="D1267" i="2"/>
  <c r="D7350" i="2"/>
  <c r="D6488" i="2"/>
  <c r="D13093" i="2"/>
  <c r="D9588" i="2"/>
  <c r="D11081" i="2"/>
  <c r="D1638" i="2"/>
  <c r="D1637" i="2"/>
  <c r="D530" i="2"/>
  <c r="D4347" i="2"/>
  <c r="D4346" i="2"/>
  <c r="D10131" i="2"/>
  <c r="D12990" i="2"/>
  <c r="D971" i="2"/>
  <c r="D1482" i="2"/>
  <c r="D1481" i="2"/>
  <c r="D1480" i="2"/>
  <c r="D1479" i="2"/>
  <c r="D1478" i="2"/>
  <c r="D1477" i="2"/>
  <c r="D12313" i="2"/>
  <c r="D14838" i="2"/>
  <c r="D13041" i="2"/>
  <c r="D4345" i="2"/>
  <c r="D1476" i="2"/>
  <c r="D6111" i="2"/>
  <c r="D4344" i="2"/>
  <c r="D13459" i="2"/>
  <c r="D6832" i="2"/>
  <c r="D7308" i="2"/>
  <c r="D6110" i="2"/>
  <c r="D1266" i="2"/>
  <c r="D11669" i="2"/>
  <c r="D4343" i="2"/>
  <c r="D4342" i="2"/>
  <c r="D2865" i="2"/>
  <c r="D14271" i="2"/>
  <c r="D8713" i="2"/>
  <c r="D11080" i="2"/>
  <c r="D13223" i="2"/>
  <c r="D7523" i="2"/>
  <c r="D8712" i="2"/>
  <c r="D4341" i="2"/>
  <c r="D13458" i="2"/>
  <c r="D6844" i="2"/>
  <c r="D11079" i="2"/>
  <c r="D11386" i="2"/>
  <c r="D11078" i="2"/>
  <c r="D4340" i="2"/>
  <c r="D2572" i="2"/>
  <c r="D4711" i="2"/>
  <c r="D8711" i="2"/>
  <c r="D4339" i="2"/>
  <c r="D5386" i="2"/>
  <c r="D6576" i="2"/>
  <c r="D11511" i="2"/>
  <c r="D9487" i="2"/>
  <c r="D6938" i="2"/>
  <c r="D6906" i="2"/>
  <c r="D9486" i="2"/>
  <c r="D13807" i="2"/>
  <c r="D15235" i="2"/>
  <c r="D8710" i="2"/>
  <c r="D13222" i="2"/>
  <c r="D8709" i="2"/>
  <c r="D8708" i="2"/>
  <c r="D11422" i="2"/>
  <c r="D7501" i="2"/>
  <c r="D4338" i="2"/>
  <c r="D6979" i="2"/>
  <c r="D6282" i="2"/>
  <c r="D12467" i="2"/>
  <c r="D10811" i="2"/>
  <c r="D2536" i="2"/>
  <c r="D4664" i="2"/>
  <c r="D8707" i="2"/>
  <c r="D13221" i="2"/>
  <c r="D9485" i="2"/>
  <c r="D4880" i="2"/>
  <c r="D3164" i="2"/>
  <c r="D4337" i="2"/>
  <c r="D4336" i="2"/>
  <c r="D1265" i="2"/>
  <c r="D13806" i="2"/>
  <c r="D15320" i="2"/>
  <c r="D5276" i="2"/>
  <c r="D1038" i="2"/>
  <c r="D1475" i="2"/>
  <c r="D1474" i="2"/>
  <c r="D4335" i="2"/>
  <c r="D9804" i="2"/>
  <c r="D8706" i="2"/>
  <c r="D11229" i="2"/>
  <c r="D2279" i="2"/>
  <c r="D4334" i="2"/>
  <c r="D1905" i="2"/>
  <c r="D1473" i="2"/>
  <c r="D14014" i="2"/>
  <c r="D11077" i="2"/>
  <c r="D5606" i="2"/>
  <c r="D14570" i="2"/>
  <c r="D12146" i="2"/>
  <c r="D13502" i="2"/>
  <c r="D4333" i="2"/>
  <c r="D11076" i="2"/>
  <c r="D1636" i="2"/>
  <c r="D6109" i="2"/>
  <c r="D10081" i="2"/>
  <c r="D11228" i="2"/>
  <c r="D1037" i="2"/>
  <c r="D2864" i="2"/>
  <c r="D6216" i="2"/>
  <c r="D4759" i="2"/>
  <c r="D621" i="2"/>
  <c r="D1635" i="2"/>
  <c r="D4332" i="2"/>
  <c r="D8705" i="2"/>
  <c r="D8704" i="2"/>
  <c r="D4331" i="2"/>
  <c r="D13457" i="2"/>
  <c r="D14505" i="2"/>
  <c r="D6108" i="2"/>
  <c r="D11075" i="2"/>
  <c r="D2461" i="2"/>
  <c r="D1847" i="2"/>
  <c r="D2535" i="2"/>
  <c r="D11227" i="2"/>
  <c r="D4330" i="2"/>
  <c r="D6241" i="2"/>
  <c r="D1756" i="2"/>
  <c r="D11074" i="2"/>
  <c r="D4329" i="2"/>
  <c r="D13456" i="2"/>
  <c r="D1634" i="2"/>
  <c r="D1168" i="2"/>
  <c r="D912" i="2"/>
  <c r="D6240" i="2"/>
  <c r="D14720" i="2"/>
  <c r="D9966" i="2"/>
  <c r="D7383" i="2"/>
  <c r="D14179" i="2"/>
  <c r="D5385" i="2"/>
  <c r="D8703" i="2"/>
  <c r="D9965" i="2"/>
  <c r="D9484" i="2"/>
  <c r="D7055" i="2"/>
  <c r="D1755" i="2"/>
  <c r="D13144" i="2"/>
  <c r="D6107" i="2"/>
  <c r="D5528" i="2"/>
  <c r="D824" i="2"/>
  <c r="D9686" i="2"/>
  <c r="D14283" i="2"/>
  <c r="D10810" i="2"/>
  <c r="D10809" i="2"/>
  <c r="D1472" i="2"/>
  <c r="D6487" i="2"/>
  <c r="D911" i="2"/>
  <c r="D15170" i="2"/>
  <c r="D11226" i="2"/>
  <c r="D5362" i="2"/>
  <c r="D5666" i="2"/>
  <c r="D6106" i="2"/>
  <c r="D8702" i="2"/>
  <c r="D7044" i="2"/>
  <c r="D10546" i="2"/>
  <c r="D4600" i="2"/>
  <c r="D1633" i="2"/>
  <c r="D823" i="2"/>
  <c r="D14968" i="2"/>
  <c r="D10454" i="2"/>
  <c r="D10518" i="2"/>
  <c r="D3140" i="2"/>
  <c r="D12383" i="2"/>
  <c r="D15169" i="2"/>
  <c r="D1754" i="2"/>
  <c r="D4663" i="2"/>
  <c r="D13848" i="2"/>
  <c r="D8701" i="2"/>
  <c r="D9099" i="2"/>
  <c r="D5244" i="2"/>
  <c r="D6260" i="2"/>
  <c r="D14601" i="2"/>
  <c r="D6831" i="2"/>
  <c r="D9483" i="2"/>
  <c r="D8700" i="2"/>
  <c r="D5665" i="2"/>
  <c r="D7029" i="2"/>
  <c r="D970" i="2"/>
  <c r="D13557" i="2"/>
  <c r="D1632" i="2"/>
  <c r="D12312" i="2"/>
  <c r="D15305" i="2"/>
  <c r="D9759" i="2"/>
  <c r="D15168" i="2"/>
  <c r="D6486" i="2"/>
  <c r="D8699" i="2"/>
  <c r="D822" i="2"/>
  <c r="D12145" i="2"/>
  <c r="D8698" i="2"/>
  <c r="D2278" i="2"/>
  <c r="D2277" i="2"/>
  <c r="D821" i="2"/>
  <c r="D1631" i="2"/>
  <c r="D14178" i="2"/>
  <c r="D10080" i="2"/>
  <c r="D7408" i="2"/>
  <c r="D1070" i="2"/>
  <c r="D12144" i="2"/>
  <c r="D14177" i="2"/>
  <c r="D1753" i="2"/>
  <c r="D8697" i="2"/>
  <c r="D2098" i="2"/>
  <c r="D12074" i="2"/>
  <c r="D4977" i="2"/>
  <c r="D4328" i="2"/>
  <c r="D3311" i="2"/>
  <c r="D11721" i="2"/>
  <c r="D8696" i="2"/>
  <c r="D10022" i="2"/>
  <c r="D6830" i="2"/>
  <c r="D10310" i="2"/>
  <c r="D1869" i="2"/>
  <c r="D4633" i="2"/>
  <c r="D1928" i="2"/>
  <c r="D4327" i="2"/>
  <c r="D13455" i="2"/>
  <c r="D14569" i="2"/>
  <c r="D3098" i="2"/>
  <c r="D557" i="2"/>
  <c r="D4326" i="2"/>
  <c r="D14719" i="2"/>
  <c r="D4325" i="2"/>
  <c r="D11073" i="2"/>
  <c r="D12073" i="2"/>
  <c r="D13275" i="2"/>
  <c r="D11895" i="2"/>
  <c r="D12072" i="2"/>
  <c r="D4662" i="2"/>
  <c r="D14718" i="2"/>
  <c r="D9482" i="2"/>
  <c r="D11072" i="2"/>
  <c r="D1863" i="2"/>
  <c r="D12071" i="2"/>
  <c r="D11071" i="2"/>
  <c r="D10453" i="2"/>
  <c r="D11309" i="2"/>
  <c r="D15167" i="2"/>
  <c r="D11070" i="2"/>
  <c r="D3310" i="2"/>
  <c r="D2676" i="2"/>
  <c r="D5026" i="2"/>
  <c r="D15304" i="2"/>
  <c r="D1630" i="2"/>
  <c r="D1862" i="2"/>
  <c r="D13556" i="2"/>
  <c r="D14270" i="2"/>
  <c r="D6105" i="2"/>
  <c r="D15303" i="2"/>
  <c r="D8695" i="2"/>
  <c r="D11069" i="2"/>
  <c r="D10452" i="2"/>
  <c r="D8694" i="2"/>
  <c r="D5664" i="2"/>
  <c r="D14428" i="2"/>
  <c r="D13024" i="2"/>
  <c r="D14176" i="2"/>
  <c r="D6457" i="2"/>
  <c r="D9769" i="2"/>
  <c r="D6327" i="2"/>
  <c r="D1629" i="2"/>
  <c r="D9964" i="2"/>
  <c r="D12425" i="2"/>
  <c r="D9481" i="2"/>
  <c r="D969" i="2"/>
  <c r="D14717" i="2"/>
  <c r="D9480" i="2"/>
  <c r="D9642" i="2"/>
  <c r="D2935" i="2"/>
  <c r="D4324" i="2"/>
  <c r="D15166" i="2"/>
  <c r="D2582" i="2"/>
  <c r="D13454" i="2"/>
  <c r="D4323" i="2"/>
  <c r="D13348" i="2"/>
  <c r="D10309" i="2"/>
  <c r="D8693" i="2"/>
  <c r="D4322" i="2"/>
  <c r="D6937" i="2"/>
  <c r="D8692" i="2"/>
  <c r="D6104" i="2"/>
  <c r="D15302" i="2"/>
  <c r="D5186" i="2"/>
  <c r="D13608" i="2"/>
  <c r="D10451" i="2"/>
  <c r="D14516" i="2"/>
  <c r="D12453" i="2"/>
  <c r="D8691" i="2"/>
  <c r="D9479" i="2"/>
  <c r="D4321" i="2"/>
  <c r="D14175" i="2"/>
  <c r="D968" i="2"/>
  <c r="D11068" i="2"/>
  <c r="D14831" i="2"/>
  <c r="D2378" i="2"/>
  <c r="D14174" i="2"/>
  <c r="D8690" i="2"/>
  <c r="D4800" i="2"/>
  <c r="D1628" i="2"/>
  <c r="D1627" i="2"/>
  <c r="D12311" i="2"/>
  <c r="D6103" i="2"/>
  <c r="D11067" i="2"/>
  <c r="D1471" i="2"/>
  <c r="D2608" i="2"/>
  <c r="D820" i="2"/>
  <c r="D5216" i="2"/>
  <c r="D9963" i="2"/>
  <c r="D529" i="2"/>
  <c r="D4320" i="2"/>
  <c r="D1752" i="2"/>
  <c r="D1167" i="2"/>
  <c r="D8689" i="2"/>
  <c r="D13220" i="2"/>
  <c r="D2675" i="2"/>
  <c r="D4319" i="2"/>
  <c r="D3116" i="2"/>
  <c r="D4318" i="2"/>
  <c r="D1264" i="2"/>
  <c r="D910" i="2"/>
  <c r="D9962" i="2"/>
  <c r="D4317" i="2"/>
  <c r="D4632" i="2"/>
  <c r="D3292" i="2"/>
  <c r="D3291" i="2"/>
  <c r="D1751" i="2"/>
  <c r="D967" i="2"/>
  <c r="D909" i="2"/>
  <c r="D8688" i="2"/>
  <c r="D14967" i="2"/>
  <c r="D6905" i="2"/>
  <c r="D13986" i="2"/>
  <c r="D11066" i="2"/>
  <c r="D11065" i="2"/>
  <c r="D472" i="2"/>
  <c r="D8687" i="2"/>
  <c r="D4316" i="2"/>
  <c r="D2863" i="2"/>
  <c r="D13935" i="2"/>
  <c r="D15165" i="2"/>
  <c r="D14404" i="2"/>
  <c r="D5486" i="2"/>
  <c r="D6253" i="2"/>
  <c r="D4928" i="2"/>
  <c r="D819" i="2"/>
  <c r="D11064" i="2"/>
  <c r="D11343" i="2"/>
  <c r="D10041" i="2"/>
  <c r="D8686" i="2"/>
  <c r="D1342" i="2"/>
  <c r="D10450" i="2"/>
  <c r="D8685" i="2"/>
  <c r="D8684" i="2"/>
  <c r="D818" i="2"/>
  <c r="D4661" i="2"/>
  <c r="D10764" i="2"/>
  <c r="D10449" i="2"/>
  <c r="D10448" i="2"/>
  <c r="D11720" i="2"/>
  <c r="D4315" i="2"/>
  <c r="D9478" i="2"/>
  <c r="D13344" i="2"/>
  <c r="D13219" i="2"/>
  <c r="D13274" i="2"/>
  <c r="D11894" i="2"/>
  <c r="D4314" i="2"/>
  <c r="D15301" i="2"/>
  <c r="D10308" i="2"/>
  <c r="D4313" i="2"/>
  <c r="D4312" i="2"/>
  <c r="D14716" i="2"/>
  <c r="D9477" i="2"/>
  <c r="D4311" i="2"/>
  <c r="D4310" i="2"/>
  <c r="D528" i="2"/>
  <c r="D11063" i="2"/>
  <c r="D4309" i="2"/>
  <c r="D6102" i="2"/>
  <c r="D8683" i="2"/>
  <c r="D5527" i="2"/>
  <c r="D9641" i="2"/>
  <c r="D14013" i="2"/>
  <c r="D14259" i="2"/>
  <c r="D6326" i="2"/>
  <c r="D9827" i="2"/>
  <c r="D3001" i="2"/>
  <c r="D11062" i="2"/>
  <c r="D14427" i="2"/>
  <c r="D873" i="2"/>
  <c r="D1626" i="2"/>
  <c r="D9476" i="2"/>
  <c r="D4684" i="2"/>
  <c r="D684" i="2"/>
  <c r="D1625" i="2"/>
  <c r="D7373" i="2"/>
  <c r="D4946" i="2"/>
  <c r="D4308" i="2"/>
  <c r="D6101" i="2"/>
  <c r="D11061" i="2"/>
  <c r="D4307" i="2"/>
  <c r="D8682" i="2"/>
  <c r="D6239" i="2"/>
  <c r="D1750" i="2"/>
  <c r="D12310" i="2"/>
  <c r="D2934" i="2"/>
  <c r="D4306" i="2"/>
  <c r="D11060" i="2"/>
  <c r="D6100" i="2"/>
  <c r="D13133" i="2"/>
  <c r="D1166" i="2"/>
  <c r="D2276" i="2"/>
  <c r="D10669" i="2"/>
  <c r="D11059" i="2"/>
  <c r="D10307" i="2"/>
  <c r="D4618" i="2"/>
  <c r="D11225" i="2"/>
  <c r="D4305" i="2"/>
  <c r="D6256" i="2"/>
  <c r="D2460" i="2"/>
  <c r="D8681" i="2"/>
  <c r="D11058" i="2"/>
  <c r="D2616" i="2"/>
  <c r="D966" i="2"/>
  <c r="D13218" i="2"/>
  <c r="D11057" i="2"/>
  <c r="D3036" i="2"/>
  <c r="D9961" i="2"/>
  <c r="D1470" i="2"/>
  <c r="D1624" i="2"/>
  <c r="D12309" i="2"/>
  <c r="D5256" i="2"/>
  <c r="D10447" i="2"/>
  <c r="D11056" i="2"/>
  <c r="D2459" i="2"/>
  <c r="D3000" i="2"/>
  <c r="D10306" i="2"/>
  <c r="D5578" i="2"/>
  <c r="D10855" i="2"/>
  <c r="D8680" i="2"/>
  <c r="D14173" i="2"/>
  <c r="D10808" i="2"/>
  <c r="D2933" i="2"/>
  <c r="D1165" i="2"/>
  <c r="D8679" i="2"/>
  <c r="D9960" i="2"/>
  <c r="D4304" i="2"/>
  <c r="D13453" i="2"/>
  <c r="D5384" i="2"/>
  <c r="D3290" i="2"/>
  <c r="D6099" i="2"/>
  <c r="D10619" i="2"/>
  <c r="D14172" i="2"/>
  <c r="D2542" i="2"/>
  <c r="D965" i="2"/>
  <c r="D12308" i="2"/>
  <c r="D10305" i="2"/>
  <c r="D11385" i="2"/>
  <c r="D1263" i="2"/>
  <c r="D14171" i="2"/>
  <c r="D8678" i="2"/>
  <c r="D11822" i="2"/>
  <c r="D12915" i="2"/>
  <c r="D11778" i="2"/>
  <c r="D817" i="2"/>
  <c r="D59" i="2"/>
  <c r="D1262" i="2"/>
  <c r="D628" i="2"/>
  <c r="D11757" i="2"/>
  <c r="D1749" i="2"/>
  <c r="D6238" i="2"/>
  <c r="D1036" i="2"/>
  <c r="D1748" i="2"/>
  <c r="D4303" i="2"/>
  <c r="D14966" i="2"/>
  <c r="D10446" i="2"/>
  <c r="D8677" i="2"/>
  <c r="D2862" i="2"/>
  <c r="D8676" i="2"/>
  <c r="D5463" i="2"/>
  <c r="D1920" i="2"/>
  <c r="D4302" i="2"/>
  <c r="D1373" i="2"/>
  <c r="D6098" i="2"/>
  <c r="D1747" i="2"/>
  <c r="D7407" i="2"/>
  <c r="D7122" i="2"/>
  <c r="D10688" i="2"/>
  <c r="D11224" i="2"/>
  <c r="D1623" i="2"/>
  <c r="D13132" i="2"/>
  <c r="D11223" i="2"/>
  <c r="D12409" i="2"/>
  <c r="D11055" i="2"/>
  <c r="D8675" i="2"/>
  <c r="D6097" i="2"/>
  <c r="D11929" i="2"/>
  <c r="D2275" i="2"/>
  <c r="D14750" i="2"/>
  <c r="D11627" i="2"/>
  <c r="D7230" i="2"/>
  <c r="D1746" i="2"/>
  <c r="D9768" i="2"/>
  <c r="D14782" i="2"/>
  <c r="D1372" i="2"/>
  <c r="D5410" i="2"/>
  <c r="D2013" i="2"/>
  <c r="D9475" i="2"/>
  <c r="D14568" i="2"/>
  <c r="D8674" i="2"/>
  <c r="D6096" i="2"/>
  <c r="D11533" i="2"/>
  <c r="D12143" i="2"/>
  <c r="D14170" i="2"/>
  <c r="D10445" i="2"/>
  <c r="D8673" i="2"/>
  <c r="D10742" i="2"/>
  <c r="D1622" i="2"/>
  <c r="D6589" i="2"/>
  <c r="D527" i="2"/>
  <c r="D14169" i="2"/>
  <c r="D9758" i="2"/>
  <c r="D2581" i="2"/>
  <c r="D6513" i="2"/>
  <c r="D8672" i="2"/>
  <c r="D12986" i="2"/>
  <c r="D7001" i="2"/>
  <c r="D2861" i="2"/>
  <c r="D4832" i="2"/>
  <c r="D4599" i="2"/>
  <c r="D4730" i="2"/>
  <c r="D7093" i="2"/>
  <c r="D4729" i="2"/>
  <c r="D9959" i="2"/>
  <c r="D1069" i="2"/>
  <c r="D4959" i="2"/>
  <c r="D7372" i="2"/>
  <c r="D11054" i="2"/>
  <c r="D8671" i="2"/>
  <c r="D3346" i="2"/>
  <c r="D4301" i="2"/>
  <c r="D3175" i="2"/>
  <c r="D6694" i="2"/>
  <c r="D14965" i="2"/>
  <c r="D6095" i="2"/>
  <c r="D1745" i="2"/>
  <c r="D8670" i="2"/>
  <c r="D8669" i="2"/>
  <c r="D3415" i="2"/>
  <c r="D11053" i="2"/>
  <c r="D11342" i="2"/>
  <c r="D6829" i="2"/>
  <c r="D4831" i="2"/>
  <c r="D4300" i="2"/>
  <c r="D13452" i="2"/>
  <c r="D9474" i="2"/>
  <c r="D9718" i="2"/>
  <c r="D4299" i="2"/>
  <c r="D94" i="2"/>
  <c r="D12955" i="2"/>
  <c r="D8668" i="2"/>
  <c r="D10064" i="2"/>
  <c r="D14764" i="2"/>
  <c r="D4298" i="2"/>
  <c r="D14168" i="2"/>
  <c r="D7229" i="2"/>
  <c r="D1744" i="2"/>
  <c r="D14012" i="2"/>
  <c r="D7159" i="2"/>
  <c r="D9473" i="2"/>
  <c r="D7406" i="2"/>
  <c r="D6605" i="2"/>
  <c r="D4297" i="2"/>
  <c r="D3315" i="2"/>
  <c r="D9831" i="2"/>
  <c r="D14857" i="2"/>
  <c r="D4296" i="2"/>
  <c r="D576" i="2"/>
  <c r="D964" i="2"/>
  <c r="D6667" i="2"/>
  <c r="D3289" i="2"/>
  <c r="D1035" i="2"/>
  <c r="D10130" i="2"/>
  <c r="D5577" i="2"/>
  <c r="D4295" i="2"/>
  <c r="D9472" i="2"/>
  <c r="D11052" i="2"/>
  <c r="D1034" i="2"/>
  <c r="D10559" i="2"/>
  <c r="D6904" i="2"/>
  <c r="D8667" i="2"/>
  <c r="D13052" i="2"/>
  <c r="D6828" i="2"/>
  <c r="D3115" i="2"/>
  <c r="D1743" i="2"/>
  <c r="D3288" i="2"/>
  <c r="D4830" i="2"/>
  <c r="D2274" i="2"/>
  <c r="D4967" i="2"/>
  <c r="D10304" i="2"/>
  <c r="D1904" i="2"/>
  <c r="D14613" i="2"/>
  <c r="D13023" i="2"/>
  <c r="D4294" i="2"/>
  <c r="D8666" i="2"/>
  <c r="D6325" i="2"/>
  <c r="D12070" i="2"/>
  <c r="D5185" i="2"/>
  <c r="D13742" i="2"/>
  <c r="D14567" i="2"/>
  <c r="D2860" i="2"/>
  <c r="D8665" i="2"/>
  <c r="D11051" i="2"/>
  <c r="D4293" i="2"/>
  <c r="D3035" i="2"/>
  <c r="D1033" i="2"/>
  <c r="D11050" i="2"/>
  <c r="D10303" i="2"/>
  <c r="D9685" i="2"/>
  <c r="D6094" i="2"/>
  <c r="D9667" i="2"/>
  <c r="D4683" i="2"/>
  <c r="D11719" i="2"/>
  <c r="D9471" i="2"/>
  <c r="D8664" i="2"/>
  <c r="D908" i="2"/>
  <c r="D7405" i="2"/>
  <c r="D8663" i="2"/>
  <c r="D12373" i="2"/>
  <c r="D13805" i="2"/>
  <c r="D6093" i="2"/>
  <c r="D359" i="2"/>
  <c r="D4728" i="2"/>
  <c r="D7404" i="2"/>
  <c r="D1261" i="2"/>
  <c r="D11049" i="2"/>
  <c r="D141" i="2"/>
  <c r="D9793" i="2"/>
  <c r="D7307" i="2"/>
  <c r="D3189" i="2"/>
  <c r="D15164" i="2"/>
  <c r="D4292" i="2"/>
  <c r="D6092" i="2"/>
  <c r="D8662" i="2"/>
  <c r="D4291" i="2"/>
  <c r="D1341" i="2"/>
  <c r="D2859" i="2"/>
  <c r="D8661" i="2"/>
  <c r="D9767" i="2"/>
  <c r="D2858" i="2"/>
  <c r="D13295" i="2"/>
  <c r="D5010" i="2"/>
  <c r="D816" i="2"/>
  <c r="D6978" i="2"/>
  <c r="D9470" i="2"/>
  <c r="D9703" i="2"/>
  <c r="D10746" i="2"/>
  <c r="D8660" i="2"/>
  <c r="D9469" i="2"/>
  <c r="D4966" i="2"/>
  <c r="D342" i="2"/>
  <c r="D1340" i="2"/>
  <c r="D11048" i="2"/>
  <c r="D5576" i="2"/>
  <c r="D12542" i="2"/>
  <c r="D8659" i="2"/>
  <c r="D9468" i="2"/>
  <c r="D2571" i="2"/>
  <c r="D4710" i="2"/>
  <c r="D11718" i="2"/>
  <c r="D8658" i="2"/>
  <c r="D9467" i="2"/>
  <c r="D10063" i="2"/>
  <c r="D11047" i="2"/>
  <c r="D7349" i="2"/>
  <c r="D13904" i="2"/>
  <c r="D8657" i="2"/>
  <c r="D5575" i="2"/>
  <c r="D1371" i="2"/>
  <c r="D9607" i="2"/>
  <c r="D3461" i="2"/>
  <c r="D254" i="2"/>
  <c r="D1621" i="2"/>
  <c r="D262" i="2"/>
  <c r="D4290" i="2"/>
  <c r="D4289" i="2"/>
  <c r="D13340" i="2"/>
  <c r="D14167" i="2"/>
  <c r="D12307" i="2"/>
  <c r="D4288" i="2"/>
  <c r="D11046" i="2"/>
  <c r="D2999" i="2"/>
  <c r="D2273" i="2"/>
  <c r="D1164" i="2"/>
  <c r="D1370" i="2"/>
  <c r="D8656" i="2"/>
  <c r="D5682" i="2"/>
  <c r="D662" i="2"/>
  <c r="D9466" i="2"/>
  <c r="D14166" i="2"/>
  <c r="D9465" i="2"/>
  <c r="D963" i="2"/>
  <c r="D9464" i="2"/>
  <c r="D12338" i="2"/>
  <c r="D8655" i="2"/>
  <c r="D3287" i="2"/>
  <c r="D13022" i="2"/>
  <c r="D6977" i="2"/>
  <c r="D2009" i="2"/>
  <c r="D93" i="2"/>
  <c r="D12954" i="2"/>
  <c r="D12408" i="2"/>
  <c r="D14597" i="2"/>
  <c r="D11510" i="2"/>
  <c r="D9463" i="2"/>
  <c r="D394" i="2"/>
  <c r="D369" i="2"/>
  <c r="D2097" i="2"/>
  <c r="D5663" i="2"/>
  <c r="D6091" i="2"/>
  <c r="D6843" i="2"/>
  <c r="D1988" i="2"/>
  <c r="D7371" i="2"/>
  <c r="D2458" i="2"/>
  <c r="D5462" i="2"/>
  <c r="D8654" i="2"/>
  <c r="D7370" i="2"/>
  <c r="D10062" i="2"/>
  <c r="D9958" i="2"/>
  <c r="D5574" i="2"/>
  <c r="D6903" i="2"/>
  <c r="D6324" i="2"/>
  <c r="D4287" i="2"/>
  <c r="D4286" i="2"/>
  <c r="D10302" i="2"/>
  <c r="D4897" i="2"/>
  <c r="D1163" i="2"/>
  <c r="D8653" i="2"/>
  <c r="D13306" i="2"/>
  <c r="D1068" i="2"/>
  <c r="D9766" i="2"/>
  <c r="D393" i="2"/>
  <c r="D368" i="2"/>
  <c r="D2483" i="2"/>
  <c r="D11045" i="2"/>
  <c r="D11044" i="2"/>
  <c r="D872" i="2"/>
  <c r="D9462" i="2"/>
  <c r="D14964" i="2"/>
  <c r="D1032" i="2"/>
  <c r="D1339" i="2"/>
  <c r="D6090" i="2"/>
  <c r="D4285" i="2"/>
  <c r="D1162" i="2"/>
  <c r="D9461" i="2"/>
  <c r="D14715" i="2"/>
  <c r="D12069" i="2"/>
  <c r="D6281" i="2"/>
  <c r="D4284" i="2"/>
  <c r="D5383" i="2"/>
  <c r="D13131" i="2"/>
  <c r="D5447" i="2"/>
  <c r="D9957" i="2"/>
  <c r="D8652" i="2"/>
  <c r="D8651" i="2"/>
  <c r="D5437" i="2"/>
  <c r="D5255" i="2"/>
  <c r="D12499" i="2"/>
  <c r="D8650" i="2"/>
  <c r="D78" i="2"/>
  <c r="D3079" i="2"/>
  <c r="D4283" i="2"/>
  <c r="D13585" i="2"/>
  <c r="D163" i="2"/>
  <c r="D12068" i="2"/>
  <c r="D2857" i="2"/>
  <c r="D11222" i="2"/>
  <c r="D871" i="2"/>
  <c r="D341" i="2"/>
  <c r="D1338" i="2"/>
  <c r="D9460" i="2"/>
  <c r="D12067" i="2"/>
  <c r="D9956" i="2"/>
  <c r="D6089" i="2"/>
  <c r="D1837" i="2"/>
  <c r="D5138" i="2"/>
  <c r="D5395" i="2"/>
  <c r="D611" i="2"/>
  <c r="D253" i="2"/>
  <c r="D1161" i="2"/>
  <c r="D5738" i="2"/>
  <c r="D403" i="2"/>
  <c r="D8649" i="2"/>
  <c r="D6405" i="2"/>
  <c r="D6088" i="2"/>
  <c r="D9459" i="2"/>
  <c r="D3086" i="2"/>
  <c r="D2998" i="2"/>
  <c r="D2856" i="2"/>
  <c r="D815" i="2"/>
  <c r="D870" i="2"/>
  <c r="D9458" i="2"/>
  <c r="D12466" i="2"/>
  <c r="D10762" i="2"/>
  <c r="D10061" i="2"/>
  <c r="D363" i="2"/>
  <c r="D1369" i="2"/>
  <c r="D8648" i="2"/>
  <c r="D1803" i="2"/>
  <c r="D15163" i="2"/>
  <c r="D13273" i="2"/>
  <c r="D11893" i="2"/>
  <c r="D1160" i="2"/>
  <c r="D4282" i="2"/>
  <c r="D14165" i="2"/>
  <c r="D12066" i="2"/>
  <c r="D14164" i="2"/>
  <c r="D11741" i="2"/>
  <c r="D8647" i="2"/>
  <c r="D12306" i="2"/>
  <c r="D1159" i="2"/>
  <c r="D10301" i="2"/>
  <c r="D11308" i="2"/>
  <c r="D2354" i="2"/>
  <c r="D102" i="2"/>
  <c r="D11404" i="2"/>
  <c r="D9457" i="2"/>
  <c r="D8646" i="2"/>
  <c r="D9456" i="2"/>
  <c r="D5497" i="2"/>
  <c r="D3319" i="2"/>
  <c r="D48" i="2"/>
  <c r="D12498" i="2"/>
  <c r="D5573" i="2"/>
  <c r="D5605" i="2"/>
  <c r="D12065" i="2"/>
  <c r="D4281" i="2"/>
  <c r="D4544" i="2"/>
  <c r="D12407" i="2"/>
  <c r="D10099" i="2"/>
  <c r="D12513" i="2"/>
  <c r="D4682" i="2"/>
  <c r="D4280" i="2"/>
  <c r="D9085" i="2"/>
  <c r="D1620" i="2"/>
  <c r="D4279" i="2"/>
  <c r="D11509" i="2"/>
  <c r="D12497" i="2"/>
  <c r="D11221" i="2"/>
  <c r="D11043" i="2"/>
  <c r="D13961" i="2"/>
  <c r="D6575" i="2"/>
  <c r="D4829" i="2"/>
  <c r="D11631" i="2"/>
  <c r="D6323" i="2"/>
  <c r="D5" i="2"/>
  <c r="D8645" i="2"/>
  <c r="D1031" i="2"/>
  <c r="D6087" i="2"/>
  <c r="D569" i="2"/>
  <c r="D1158" i="2"/>
  <c r="D13874" i="2"/>
  <c r="D11042" i="2"/>
  <c r="D6086" i="2"/>
  <c r="D6827" i="2"/>
  <c r="D13909" i="2"/>
  <c r="D7522" i="2"/>
  <c r="D9455" i="2"/>
  <c r="D10582" i="2"/>
  <c r="D12985" i="2"/>
  <c r="D4278" i="2"/>
  <c r="D6085" i="2"/>
  <c r="D2353" i="2"/>
  <c r="D3414" i="2"/>
  <c r="D5446" i="2"/>
  <c r="D1260" i="2"/>
  <c r="D6456" i="2"/>
  <c r="D8644" i="2"/>
  <c r="D9454" i="2"/>
  <c r="D4277" i="2"/>
  <c r="D1798" i="2"/>
  <c r="D1157" i="2"/>
  <c r="D6084" i="2"/>
  <c r="D9728" i="2"/>
  <c r="D8643" i="2"/>
  <c r="D13804" i="2"/>
  <c r="D12496" i="2"/>
  <c r="D14163" i="2"/>
  <c r="D13607" i="2"/>
  <c r="D8642" i="2"/>
  <c r="D326" i="2"/>
  <c r="D8641" i="2"/>
  <c r="D4276" i="2"/>
  <c r="D13451" i="2"/>
  <c r="D4275" i="2"/>
  <c r="D5485" i="2"/>
  <c r="D6083" i="2"/>
  <c r="D274" i="2"/>
  <c r="D2997" i="2"/>
  <c r="D3430" i="2"/>
  <c r="D12305" i="2"/>
  <c r="D11717" i="2"/>
  <c r="D1619" i="2"/>
  <c r="D57" i="2"/>
  <c r="D12304" i="2"/>
  <c r="D4927" i="2"/>
  <c r="D1469" i="2"/>
  <c r="D8640" i="2"/>
  <c r="D6082" i="2"/>
  <c r="D4774" i="2"/>
  <c r="D9453" i="2"/>
  <c r="D14162" i="2"/>
  <c r="D2457" i="2"/>
  <c r="D6081" i="2"/>
  <c r="D10807" i="2"/>
  <c r="D340" i="2"/>
  <c r="D4624" i="2"/>
  <c r="D13803" i="2"/>
  <c r="D1908" i="2"/>
  <c r="D9452" i="2"/>
  <c r="D7457" i="2"/>
  <c r="D8639" i="2"/>
  <c r="D15162" i="2"/>
  <c r="D13847" i="2"/>
  <c r="D12303" i="2"/>
  <c r="D9696" i="2"/>
  <c r="D2515" i="2"/>
  <c r="D9576" i="2"/>
  <c r="D15161" i="2"/>
  <c r="D11582" i="2"/>
  <c r="D2580" i="2"/>
  <c r="D9451" i="2"/>
  <c r="D9450" i="2"/>
  <c r="D223" i="2"/>
  <c r="D11041" i="2"/>
  <c r="D3445" i="2"/>
  <c r="D10806" i="2"/>
  <c r="D8638" i="2"/>
  <c r="D292" i="2"/>
  <c r="D869" i="2"/>
  <c r="D868" i="2"/>
  <c r="D9955" i="2"/>
  <c r="D8637" i="2"/>
  <c r="D6534" i="2"/>
  <c r="D9449" i="2"/>
  <c r="D8636" i="2"/>
  <c r="D14234" i="2"/>
  <c r="D9448" i="2"/>
  <c r="D11040" i="2"/>
  <c r="D556" i="2"/>
  <c r="D9447" i="2"/>
  <c r="D6666" i="2"/>
  <c r="D10300" i="2"/>
  <c r="D10584" i="2"/>
  <c r="D9446" i="2"/>
  <c r="D143" i="2"/>
  <c r="D7256" i="2"/>
  <c r="D8635" i="2"/>
  <c r="D9640" i="2"/>
  <c r="D5572" i="2"/>
  <c r="D14339" i="2"/>
  <c r="D11220" i="2"/>
  <c r="D8634" i="2"/>
  <c r="D12406" i="2"/>
  <c r="D2272" i="2"/>
  <c r="D3114" i="2"/>
  <c r="D8633" i="2"/>
  <c r="D9954" i="2"/>
  <c r="D1156" i="2"/>
  <c r="D4274" i="2"/>
  <c r="D11508" i="2"/>
  <c r="D13960" i="2"/>
  <c r="D10299" i="2"/>
  <c r="D1948" i="2"/>
  <c r="D3460" i="2"/>
  <c r="D6080" i="2"/>
  <c r="D6677" i="2"/>
  <c r="D14464" i="2"/>
  <c r="D4273" i="2"/>
  <c r="D4839" i="2"/>
  <c r="D68" i="2"/>
  <c r="D12984" i="2"/>
  <c r="D3119" i="2"/>
  <c r="D1337" i="2"/>
  <c r="D10805" i="2"/>
  <c r="D136" i="2"/>
  <c r="D13752" i="2"/>
  <c r="D8632" i="2"/>
  <c r="D11219" i="2"/>
  <c r="D6079" i="2"/>
  <c r="D11039" i="2"/>
  <c r="D202" i="2"/>
  <c r="D8631" i="2"/>
  <c r="D9953" i="2"/>
  <c r="D12424" i="2"/>
  <c r="D11038" i="2"/>
  <c r="D962" i="2"/>
  <c r="D12384" i="2"/>
  <c r="D2026" i="2"/>
  <c r="D4272" i="2"/>
  <c r="D11218" i="2"/>
  <c r="D9639" i="2"/>
  <c r="D12515" i="2"/>
  <c r="D6976" i="2"/>
  <c r="D5571" i="2"/>
  <c r="D1155" i="2"/>
  <c r="D4271" i="2"/>
  <c r="D168" i="2"/>
  <c r="D9746" i="2"/>
  <c r="D13584" i="2"/>
  <c r="D54" i="2"/>
  <c r="D7521" i="2"/>
  <c r="D5503" i="2"/>
  <c r="D9765" i="2"/>
  <c r="D13866" i="2"/>
  <c r="D10506" i="2"/>
  <c r="D6485" i="2"/>
  <c r="D13021" i="2"/>
  <c r="D424" i="2"/>
  <c r="D4852" i="2"/>
  <c r="D169" i="2"/>
  <c r="D13709" i="2"/>
  <c r="D9445" i="2"/>
  <c r="D98" i="2"/>
  <c r="D8630" i="2"/>
  <c r="D227" i="2"/>
  <c r="D6078" i="2"/>
  <c r="D10079" i="2"/>
  <c r="D14314" i="2"/>
  <c r="D9444" i="2"/>
  <c r="D260" i="2"/>
  <c r="D2570" i="2"/>
  <c r="D4709" i="2"/>
  <c r="D15267" i="2"/>
  <c r="D4270" i="2"/>
  <c r="D14455" i="2"/>
  <c r="D13959" i="2"/>
  <c r="D6077" i="2"/>
  <c r="D593" i="2"/>
  <c r="D8629" i="2"/>
  <c r="D9443" i="2"/>
  <c r="D1336" i="2"/>
  <c r="D2271" i="2"/>
  <c r="D264" i="2"/>
  <c r="D130" i="2"/>
  <c r="D8628" i="2"/>
  <c r="D4844" i="2"/>
  <c r="D2270" i="2"/>
  <c r="D9834" i="2"/>
  <c r="D2269" i="2"/>
  <c r="D5662" i="2"/>
  <c r="D8627" i="2"/>
  <c r="D291" i="2"/>
  <c r="D8626" i="2"/>
  <c r="D6404" i="2"/>
  <c r="D4905" i="2"/>
  <c r="D10444" i="2"/>
  <c r="D1468" i="2"/>
  <c r="D5734" i="2"/>
  <c r="D2514" i="2"/>
  <c r="D7426" i="2"/>
  <c r="D6403" i="2"/>
  <c r="D290" i="2"/>
  <c r="D4614" i="2"/>
  <c r="D5295" i="2"/>
  <c r="D270" i="2"/>
  <c r="D8625" i="2"/>
  <c r="D4269" i="2"/>
  <c r="D8624" i="2"/>
  <c r="D187" i="2"/>
  <c r="D10021" i="2"/>
  <c r="D10298" i="2"/>
  <c r="D14161" i="2"/>
  <c r="D13110" i="2"/>
  <c r="D5260" i="2"/>
  <c r="D5570" i="2"/>
  <c r="D4781" i="2"/>
  <c r="D9442" i="2"/>
  <c r="D8" i="2"/>
  <c r="D10040" i="2"/>
  <c r="D8623" i="2"/>
  <c r="D11037" i="2"/>
  <c r="D7228" i="2"/>
  <c r="D1742" i="2"/>
  <c r="D9441" i="2"/>
  <c r="D2456" i="2"/>
  <c r="D867" i="2"/>
  <c r="D325" i="2"/>
  <c r="D8622" i="2"/>
  <c r="D6936" i="2"/>
  <c r="D8621" i="2"/>
  <c r="D5423" i="2"/>
  <c r="D14714" i="2"/>
  <c r="D2352" i="2"/>
  <c r="D14586" i="2"/>
  <c r="D4268" i="2"/>
  <c r="D335" i="2"/>
  <c r="D1335" i="2"/>
  <c r="D8620" i="2"/>
  <c r="D14011" i="2"/>
  <c r="D1797" i="2"/>
  <c r="D12961" i="2"/>
  <c r="D4660" i="2"/>
  <c r="D11598" i="2"/>
  <c r="D4267" i="2"/>
  <c r="D9833" i="2"/>
  <c r="D8619" i="2"/>
  <c r="D13353" i="2"/>
  <c r="D13958" i="2"/>
  <c r="D14596" i="2"/>
  <c r="D4266" i="2"/>
  <c r="D9440" i="2"/>
  <c r="D13802" i="2"/>
  <c r="D6847" i="2"/>
  <c r="D402" i="2"/>
  <c r="D5569" i="2"/>
  <c r="D4911" i="2"/>
  <c r="D5259" i="2"/>
  <c r="D661" i="2"/>
  <c r="D13735" i="2"/>
  <c r="D5568" i="2"/>
  <c r="D4867" i="2"/>
  <c r="D5567" i="2"/>
  <c r="D3413" i="2"/>
  <c r="D10136" i="2"/>
  <c r="D5681" i="2"/>
  <c r="D14422" i="2"/>
  <c r="D1741" i="2"/>
  <c r="D656" i="2"/>
  <c r="D212" i="2"/>
  <c r="D1259" i="2"/>
  <c r="D13860" i="2"/>
  <c r="D11602" i="2"/>
  <c r="D4265" i="2"/>
  <c r="D204" i="2"/>
  <c r="D10297" i="2"/>
  <c r="D3286" i="2"/>
  <c r="D14421" i="2"/>
  <c r="D2351" i="2"/>
  <c r="D1154" i="2"/>
  <c r="D13583" i="2"/>
  <c r="D9439" i="2"/>
  <c r="D1740" i="2"/>
  <c r="D67" i="2"/>
  <c r="D207" i="2"/>
  <c r="D128" i="2"/>
  <c r="D75" i="2"/>
  <c r="D354" i="2"/>
  <c r="D11440" i="2"/>
  <c r="D1153" i="2"/>
  <c r="D9438" i="2"/>
  <c r="D14587" i="2"/>
  <c r="D14494" i="2"/>
  <c r="D1152" i="2"/>
  <c r="D15300" i="2"/>
  <c r="D8618" i="2"/>
  <c r="D683" i="2"/>
  <c r="D1880" i="2"/>
  <c r="D115" i="2"/>
  <c r="D9714" i="2"/>
  <c r="D9437" i="2"/>
  <c r="D319" i="2"/>
  <c r="D9697" i="2"/>
  <c r="D14595" i="2"/>
  <c r="D4264" i="2"/>
  <c r="D4681" i="2"/>
  <c r="D423" i="2"/>
  <c r="D8617" i="2"/>
  <c r="D4813" i="2"/>
  <c r="D9590" i="2"/>
  <c r="D15299" i="2"/>
  <c r="D382" i="2"/>
  <c r="D4263" i="2"/>
  <c r="D4926" i="2"/>
  <c r="D14160" i="2"/>
  <c r="D13092" i="2"/>
  <c r="D109" i="2"/>
  <c r="D2350" i="2"/>
  <c r="D4262" i="2"/>
  <c r="D1919" i="2"/>
  <c r="D7369" i="2"/>
  <c r="D8616" i="2"/>
  <c r="D4261" i="2"/>
  <c r="D9436" i="2"/>
  <c r="D14463" i="2"/>
  <c r="D8615" i="2"/>
  <c r="D361" i="2"/>
  <c r="D396" i="2"/>
  <c r="D119" i="2"/>
  <c r="D8614" i="2"/>
  <c r="D10098" i="2"/>
  <c r="D2855" i="2"/>
  <c r="D238" i="2"/>
  <c r="D6076" i="2"/>
  <c r="D7002" i="2"/>
  <c r="D6533" i="2"/>
  <c r="D261" i="2"/>
  <c r="D11036" i="2"/>
  <c r="D14588" i="2"/>
  <c r="D2647" i="2"/>
  <c r="D9435" i="2"/>
  <c r="D12443" i="2"/>
  <c r="D245" i="2"/>
  <c r="D85" i="2"/>
  <c r="D2854" i="2"/>
  <c r="D327" i="2"/>
  <c r="D4727" i="2"/>
  <c r="D6075" i="2"/>
  <c r="D13606" i="2"/>
  <c r="D13661" i="2"/>
  <c r="D11035" i="2"/>
  <c r="D568" i="2"/>
  <c r="D14454" i="2"/>
  <c r="D4611" i="2"/>
  <c r="D31" i="2"/>
  <c r="D5361" i="2"/>
  <c r="D4260" i="2"/>
  <c r="D5285" i="2"/>
  <c r="D1739" i="2"/>
  <c r="D13660" i="2"/>
  <c r="D316" i="2"/>
  <c r="D214" i="2"/>
  <c r="D100" i="2"/>
  <c r="D3163" i="2"/>
  <c r="D12914" i="2"/>
  <c r="D6484" i="2"/>
  <c r="D13846" i="2"/>
  <c r="D3354" i="2"/>
  <c r="D12465" i="2"/>
  <c r="D8613" i="2"/>
  <c r="D9434" i="2"/>
  <c r="D1829" i="2"/>
  <c r="D400" i="2"/>
  <c r="D5566" i="2"/>
  <c r="D250" i="2"/>
  <c r="D696" i="2"/>
  <c r="D12302" i="2"/>
  <c r="D2268" i="2"/>
  <c r="D321" i="2"/>
  <c r="D6074" i="2"/>
  <c r="D345" i="2"/>
  <c r="D16" i="2"/>
  <c r="D2513" i="2"/>
  <c r="D5565" i="2"/>
  <c r="D1334" i="2"/>
  <c r="D1258" i="2"/>
  <c r="D2267" i="2"/>
  <c r="D10708" i="2"/>
  <c r="D2266" i="2"/>
  <c r="D1030" i="2"/>
  <c r="D866" i="2"/>
  <c r="D2646" i="2"/>
  <c r="D10730" i="2"/>
  <c r="D10078" i="2"/>
  <c r="D14713" i="2"/>
  <c r="D13829" i="2"/>
  <c r="D1467" i="2"/>
  <c r="D14712" i="2"/>
  <c r="D9433" i="2"/>
  <c r="D12913" i="2"/>
  <c r="D13828" i="2"/>
  <c r="D12781" i="2"/>
  <c r="D12780" i="2"/>
  <c r="D12912" i="2"/>
  <c r="D12911" i="2"/>
  <c r="D12910" i="2"/>
  <c r="D7261" i="2"/>
  <c r="D12909" i="2"/>
  <c r="D12908" i="2"/>
  <c r="D11716" i="2"/>
  <c r="D12907" i="2"/>
  <c r="D12906" i="2"/>
  <c r="D2534" i="2"/>
  <c r="D9432" i="2"/>
  <c r="D11363" i="2"/>
  <c r="D6989" i="2"/>
  <c r="D12905" i="2"/>
  <c r="D4259" i="2"/>
  <c r="D4258" i="2"/>
  <c r="D4954" i="2"/>
  <c r="D12904" i="2"/>
  <c r="D9431" i="2"/>
  <c r="D9430" i="2"/>
  <c r="D12301" i="2"/>
  <c r="D12903" i="2"/>
  <c r="D7306" i="2"/>
  <c r="D7149" i="2"/>
  <c r="D2853" i="2"/>
  <c r="D1402" i="2"/>
  <c r="D12902" i="2"/>
  <c r="D6073" i="2"/>
  <c r="D814" i="2"/>
  <c r="D15160" i="2"/>
  <c r="D8612" i="2"/>
  <c r="D9429" i="2"/>
  <c r="D6604" i="2"/>
  <c r="D2996" i="2"/>
  <c r="D2852" i="2"/>
  <c r="D7000" i="2"/>
  <c r="D11507" i="2"/>
  <c r="D9428" i="2"/>
  <c r="D8611" i="2"/>
  <c r="D12779" i="2"/>
  <c r="D9427" i="2"/>
  <c r="D7227" i="2"/>
  <c r="D1738" i="2"/>
  <c r="D9426" i="2"/>
  <c r="D5151" i="2"/>
  <c r="D14159" i="2"/>
  <c r="D4257" i="2"/>
  <c r="D8610" i="2"/>
  <c r="D495" i="2"/>
  <c r="D6072" i="2"/>
  <c r="D14403" i="2"/>
  <c r="D8609" i="2"/>
  <c r="D6280" i="2"/>
  <c r="D4256" i="2"/>
  <c r="D8608" i="2"/>
  <c r="D4255" i="2"/>
  <c r="D12901" i="2"/>
  <c r="D8607" i="2"/>
  <c r="D9425" i="2"/>
  <c r="D6935" i="2"/>
  <c r="D2265" i="2"/>
  <c r="D6071" i="2"/>
  <c r="D4254" i="2"/>
  <c r="D8606" i="2"/>
  <c r="D12512" i="2"/>
  <c r="D9424" i="2"/>
  <c r="D14711" i="2"/>
  <c r="D4253" i="2"/>
  <c r="D11351" i="2"/>
  <c r="D15159" i="2"/>
  <c r="D8605" i="2"/>
  <c r="D15158" i="2"/>
  <c r="D8604" i="2"/>
  <c r="D8603" i="2"/>
  <c r="D4252" i="2"/>
  <c r="D6070" i="2"/>
  <c r="D707" i="2"/>
  <c r="D4251" i="2"/>
  <c r="D9423" i="2"/>
  <c r="D6069" i="2"/>
  <c r="D2264" i="2"/>
  <c r="D1618" i="2"/>
  <c r="D6068" i="2"/>
  <c r="D6067" i="2"/>
  <c r="D8602" i="2"/>
  <c r="D4250" i="2"/>
  <c r="D9422" i="2"/>
  <c r="D2263" i="2"/>
  <c r="D7334" i="2"/>
  <c r="D9952" i="2"/>
  <c r="D10129" i="2"/>
  <c r="D813" i="2"/>
  <c r="D12142" i="2"/>
  <c r="D10443" i="2"/>
  <c r="D9826" i="2"/>
  <c r="D13985" i="2"/>
  <c r="D14710" i="2"/>
  <c r="D14878" i="2"/>
  <c r="D11506" i="2"/>
  <c r="D4249" i="2"/>
  <c r="D4248" i="2"/>
  <c r="D11307" i="2"/>
  <c r="D4247" i="2"/>
  <c r="D8601" i="2"/>
  <c r="D8600" i="2"/>
  <c r="D5382" i="2"/>
  <c r="D4246" i="2"/>
  <c r="D2262" i="2"/>
  <c r="D14158" i="2"/>
  <c r="D7530" i="2"/>
  <c r="D8599" i="2"/>
  <c r="D2261" i="2"/>
  <c r="D6066" i="2"/>
  <c r="D4245" i="2"/>
  <c r="D9421" i="2"/>
  <c r="D8598" i="2"/>
  <c r="D3078" i="2"/>
  <c r="D14157" i="2"/>
  <c r="D8597" i="2"/>
  <c r="D7203" i="2"/>
  <c r="D13635" i="2"/>
  <c r="D4244" i="2"/>
  <c r="D8596" i="2"/>
  <c r="D10545" i="2"/>
  <c r="D2260" i="2"/>
  <c r="D6541" i="2"/>
  <c r="D2096" i="2"/>
  <c r="D10034" i="2"/>
  <c r="D4243" i="2"/>
  <c r="D7226" i="2"/>
  <c r="D1737" i="2"/>
  <c r="D8595" i="2"/>
  <c r="D2995" i="2"/>
  <c r="D7225" i="2"/>
  <c r="D1736" i="2"/>
  <c r="D15298" i="2"/>
  <c r="D14963" i="2"/>
  <c r="D9420" i="2"/>
  <c r="D14709" i="2"/>
  <c r="D8594" i="2"/>
  <c r="D3077" i="2"/>
  <c r="D8593" i="2"/>
  <c r="D4242" i="2"/>
  <c r="D10296" i="2"/>
  <c r="D4241" i="2"/>
  <c r="D1617" i="2"/>
  <c r="D812" i="2"/>
  <c r="D7028" i="2"/>
  <c r="D8592" i="2"/>
  <c r="D11034" i="2"/>
  <c r="D12300" i="2"/>
  <c r="D6322" i="2"/>
  <c r="D12141" i="2"/>
  <c r="D555" i="2"/>
  <c r="D11715" i="2"/>
  <c r="D8591" i="2"/>
  <c r="D2656" i="2"/>
  <c r="D2095" i="2"/>
  <c r="D8590" i="2"/>
  <c r="D12140" i="2"/>
  <c r="D5107" i="2"/>
  <c r="D9419" i="2"/>
  <c r="D9418" i="2"/>
  <c r="D4240" i="2"/>
  <c r="D12139" i="2"/>
  <c r="D4239" i="2"/>
  <c r="D8589" i="2"/>
  <c r="D597" i="2"/>
  <c r="D15264" i="2"/>
  <c r="D13555" i="2"/>
  <c r="D2259" i="2"/>
  <c r="D6321" i="2"/>
  <c r="D6725" i="2"/>
  <c r="D14156" i="2"/>
  <c r="D13801" i="2"/>
  <c r="D13217" i="2"/>
  <c r="D2258" i="2"/>
  <c r="D14155" i="2"/>
  <c r="D8588" i="2"/>
  <c r="D2994" i="2"/>
  <c r="D15157" i="2"/>
  <c r="D6065" i="2"/>
  <c r="D1401" i="2"/>
  <c r="D554" i="2"/>
  <c r="D3076" i="2"/>
  <c r="D5358" i="2"/>
  <c r="D2851" i="2"/>
  <c r="D11821" i="2"/>
  <c r="D4238" i="2"/>
  <c r="D2257" i="2"/>
  <c r="D14475" i="2"/>
  <c r="D15256" i="2"/>
  <c r="D11217" i="2"/>
  <c r="D5604" i="2"/>
  <c r="D9417" i="2"/>
  <c r="D5661" i="2"/>
  <c r="D13064" i="2"/>
  <c r="D13800" i="2"/>
  <c r="D2993" i="2"/>
  <c r="D3075" i="2"/>
  <c r="D2850" i="2"/>
  <c r="D4237" i="2"/>
  <c r="D7455" i="2"/>
  <c r="D2094" i="2"/>
  <c r="D2256" i="2"/>
  <c r="D4598" i="2"/>
  <c r="D4236" i="2"/>
  <c r="D811" i="2"/>
  <c r="D2849" i="2"/>
  <c r="D8587" i="2"/>
  <c r="D4235" i="2"/>
  <c r="D9571" i="2"/>
  <c r="D810" i="2"/>
  <c r="D8586" i="2"/>
  <c r="D15297" i="2"/>
  <c r="D11429" i="2"/>
  <c r="D1796" i="2"/>
  <c r="D8585" i="2"/>
  <c r="D13216" i="2"/>
  <c r="D4234" i="2"/>
  <c r="D13450" i="2"/>
  <c r="D12495" i="2"/>
  <c r="D2547" i="2"/>
  <c r="D6402" i="2"/>
  <c r="D682" i="2"/>
  <c r="D10295" i="2"/>
  <c r="D4609" i="2"/>
  <c r="D8584" i="2"/>
  <c r="D11306" i="2"/>
  <c r="D8583" i="2"/>
  <c r="D15156" i="2"/>
  <c r="D6064" i="2"/>
  <c r="D10574" i="2"/>
  <c r="D8582" i="2"/>
  <c r="D9786" i="2"/>
  <c r="D5243" i="2"/>
  <c r="D1879" i="2"/>
  <c r="D13634" i="2"/>
  <c r="D5343" i="2"/>
  <c r="D11505" i="2"/>
  <c r="D6826" i="2"/>
  <c r="D2369" i="2"/>
  <c r="D8581" i="2"/>
  <c r="D5660" i="2"/>
  <c r="D14453" i="2"/>
  <c r="D6401" i="2"/>
  <c r="D2932" i="2"/>
  <c r="D10294" i="2"/>
  <c r="D13633" i="2"/>
  <c r="D10505" i="2"/>
  <c r="D14474" i="2"/>
  <c r="D14749" i="2"/>
  <c r="D11626" i="2"/>
  <c r="D13215" i="2"/>
  <c r="D14154" i="2"/>
  <c r="D10293" i="2"/>
  <c r="D1400" i="2"/>
  <c r="D2455" i="2"/>
  <c r="D12299" i="2"/>
  <c r="D14153" i="2"/>
  <c r="D434" i="2"/>
  <c r="D4233" i="2"/>
  <c r="D2255" i="2"/>
  <c r="D6063" i="2"/>
  <c r="D7348" i="2"/>
  <c r="D13272" i="2"/>
  <c r="D15155" i="2"/>
  <c r="D12298" i="2"/>
  <c r="D6483" i="2"/>
  <c r="D1029" i="2"/>
  <c r="D8580" i="2"/>
  <c r="D13214" i="2"/>
  <c r="D12778" i="2"/>
  <c r="D5106" i="2"/>
  <c r="D15154" i="2"/>
  <c r="D15296" i="2"/>
  <c r="D2607" i="2"/>
  <c r="D11033" i="2"/>
  <c r="D12777" i="2"/>
  <c r="D5041" i="2"/>
  <c r="D8579" i="2"/>
  <c r="D1257" i="2"/>
  <c r="D4232" i="2"/>
  <c r="D9115" i="2"/>
  <c r="D809" i="2"/>
  <c r="D7027" i="2"/>
  <c r="D8578" i="2"/>
  <c r="D8577" i="2"/>
  <c r="D11305" i="2"/>
  <c r="D2254" i="2"/>
  <c r="D14152" i="2"/>
  <c r="D14848" i="2"/>
  <c r="D3412" i="2"/>
  <c r="D7202" i="2"/>
  <c r="D14151" i="2"/>
  <c r="D12138" i="2"/>
  <c r="D9416" i="2"/>
  <c r="D7305" i="2"/>
  <c r="D13554" i="2"/>
  <c r="D4549" i="2"/>
  <c r="D15153" i="2"/>
  <c r="D4231" i="2"/>
  <c r="D808" i="2"/>
  <c r="D14305" i="2"/>
  <c r="D12091" i="2"/>
  <c r="D627" i="2"/>
  <c r="D4230" i="2"/>
  <c r="D6665" i="2"/>
  <c r="D807" i="2"/>
  <c r="D4229" i="2"/>
  <c r="D13449" i="2"/>
  <c r="D2253" i="2"/>
  <c r="D4228" i="2"/>
  <c r="D13352" i="2"/>
  <c r="D2454" i="2"/>
  <c r="D6400" i="2"/>
  <c r="D13303" i="2"/>
  <c r="D1616" i="2"/>
  <c r="D4227" i="2"/>
  <c r="D13448" i="2"/>
  <c r="D7304" i="2"/>
  <c r="D2252" i="2"/>
  <c r="D13051" i="2"/>
  <c r="D12776" i="2"/>
  <c r="D2634" i="2"/>
  <c r="D5105" i="2"/>
  <c r="D10604" i="2"/>
  <c r="D6862" i="2"/>
  <c r="D706" i="2"/>
  <c r="D14402" i="2"/>
  <c r="D5104" i="2"/>
  <c r="D11384" i="2"/>
  <c r="D10292" i="2"/>
  <c r="D8576" i="2"/>
  <c r="D12297" i="2"/>
  <c r="D5009" i="2"/>
  <c r="D806" i="2"/>
  <c r="D4226" i="2"/>
  <c r="D11426" i="2"/>
  <c r="D5603" i="2"/>
  <c r="D11775" i="2"/>
  <c r="D6975" i="2"/>
  <c r="D11892" i="2"/>
  <c r="D907" i="2"/>
  <c r="D2251" i="2"/>
  <c r="D6532" i="2"/>
  <c r="D9415" i="2"/>
  <c r="D6062" i="2"/>
  <c r="D8575" i="2"/>
  <c r="D1615" i="2"/>
  <c r="D14877" i="2"/>
  <c r="D5103" i="2"/>
  <c r="D5102" i="2"/>
  <c r="D7472" i="2"/>
  <c r="D6061" i="2"/>
  <c r="D4225" i="2"/>
  <c r="D13447" i="2"/>
  <c r="D2250" i="2"/>
  <c r="D14708" i="2"/>
  <c r="D14962" i="2"/>
  <c r="D1399" i="2"/>
  <c r="D9745" i="2"/>
  <c r="D14876" i="2"/>
  <c r="D6399" i="2"/>
  <c r="D12511" i="2"/>
  <c r="D10291" i="2"/>
  <c r="D13213" i="2"/>
  <c r="D9414" i="2"/>
  <c r="D10290" i="2"/>
  <c r="D9413" i="2"/>
  <c r="D2533" i="2"/>
  <c r="D10289" i="2"/>
  <c r="D8574" i="2"/>
  <c r="D14150" i="2"/>
  <c r="D6268" i="2"/>
  <c r="D8573" i="2"/>
  <c r="D7529" i="2"/>
  <c r="D13553" i="2"/>
  <c r="D9412" i="2"/>
  <c r="D8572" i="2"/>
  <c r="D12137" i="2"/>
  <c r="D6664" i="2"/>
  <c r="D3220" i="2"/>
  <c r="D9411" i="2"/>
  <c r="D6060" i="2"/>
  <c r="D6279" i="2"/>
  <c r="D10442" i="2"/>
  <c r="D6059" i="2"/>
  <c r="D2931" i="2"/>
  <c r="D8571" i="2"/>
  <c r="D4224" i="2"/>
  <c r="D4223" i="2"/>
  <c r="D4744" i="2"/>
  <c r="D4222" i="2"/>
  <c r="D11820" i="2"/>
  <c r="D6854" i="2"/>
  <c r="D8570" i="2"/>
  <c r="D8569" i="2"/>
  <c r="D13552" i="2"/>
  <c r="D4221" i="2"/>
  <c r="D13446" i="2"/>
  <c r="D11581" i="2"/>
  <c r="D14961" i="2"/>
  <c r="D12775" i="2"/>
  <c r="D14493" i="2"/>
  <c r="D4220" i="2"/>
  <c r="D4219" i="2"/>
  <c r="D8568" i="2"/>
  <c r="D4218" i="2"/>
  <c r="D4743" i="2"/>
  <c r="D7303" i="2"/>
  <c r="D2848" i="2"/>
  <c r="D4217" i="2"/>
  <c r="D4216" i="2"/>
  <c r="D12774" i="2"/>
  <c r="D15152" i="2"/>
  <c r="D15151" i="2"/>
  <c r="D13597" i="2"/>
  <c r="D6058" i="2"/>
  <c r="D15150" i="2"/>
  <c r="D2453" i="2"/>
  <c r="D4215" i="2"/>
  <c r="D8567" i="2"/>
  <c r="D11383" i="2"/>
  <c r="D2847" i="2"/>
  <c r="D8566" i="2"/>
  <c r="D4214" i="2"/>
  <c r="D13445" i="2"/>
  <c r="D14149" i="2"/>
  <c r="D15149" i="2"/>
  <c r="D4213" i="2"/>
  <c r="D14817" i="2"/>
  <c r="D8565" i="2"/>
  <c r="D2624" i="2"/>
  <c r="D4212" i="2"/>
  <c r="D4211" i="2"/>
  <c r="D15148" i="2"/>
  <c r="D4210" i="2"/>
  <c r="D15147" i="2"/>
  <c r="D961" i="2"/>
  <c r="D15146" i="2"/>
  <c r="D8564" i="2"/>
  <c r="D805" i="2"/>
  <c r="D471" i="2"/>
  <c r="D8563" i="2"/>
  <c r="D12773" i="2"/>
  <c r="D12772" i="2"/>
  <c r="D15145" i="2"/>
  <c r="D4855" i="2"/>
  <c r="D1938" i="2"/>
  <c r="D13334" i="2"/>
  <c r="D2349" i="2"/>
  <c r="D12771" i="2"/>
  <c r="D4209" i="2"/>
  <c r="D2249" i="2"/>
  <c r="D8562" i="2"/>
  <c r="D6320" i="2"/>
  <c r="D8561" i="2"/>
  <c r="D12541" i="2"/>
  <c r="D4208" i="2"/>
  <c r="D4207" i="2"/>
  <c r="D5184" i="2"/>
  <c r="D12064" i="2"/>
  <c r="D8560" i="2"/>
  <c r="D4206" i="2"/>
  <c r="D3074" i="2"/>
  <c r="D9410" i="2"/>
  <c r="D14853" i="2"/>
  <c r="D3219" i="2"/>
  <c r="D11665" i="2"/>
  <c r="D12296" i="2"/>
  <c r="D12770" i="2"/>
  <c r="D12993" i="2"/>
  <c r="D1614" i="2"/>
  <c r="D11714" i="2"/>
  <c r="D14960" i="2"/>
  <c r="D12769" i="2"/>
  <c r="D6439" i="2"/>
  <c r="D8559" i="2"/>
  <c r="D5659" i="2"/>
  <c r="D804" i="2"/>
  <c r="D2452" i="2"/>
  <c r="D12295" i="2"/>
  <c r="D1398" i="2"/>
  <c r="D12452" i="2"/>
  <c r="D4205" i="2"/>
  <c r="D10569" i="2"/>
  <c r="D9951" i="2"/>
  <c r="D12294" i="2"/>
  <c r="D15144" i="2"/>
  <c r="D14875" i="2"/>
  <c r="D11580" i="2"/>
  <c r="D11713" i="2"/>
  <c r="D6319" i="2"/>
  <c r="D2846" i="2"/>
  <c r="D4204" i="2"/>
  <c r="D12293" i="2"/>
  <c r="D6825" i="2"/>
  <c r="D15143" i="2"/>
  <c r="D8558" i="2"/>
  <c r="D4203" i="2"/>
  <c r="D6318" i="2"/>
  <c r="D4202" i="2"/>
  <c r="D8557" i="2"/>
  <c r="D7224" i="2"/>
  <c r="D1735" i="2"/>
  <c r="D5690" i="2"/>
  <c r="D6482" i="2"/>
  <c r="D8556" i="2"/>
  <c r="D8555" i="2"/>
  <c r="D1613" i="2"/>
  <c r="D5057" i="2"/>
  <c r="D906" i="2"/>
  <c r="D1256" i="2"/>
  <c r="D2930" i="2"/>
  <c r="D11504" i="2"/>
  <c r="D8554" i="2"/>
  <c r="D4201" i="2"/>
  <c r="D6057" i="2"/>
  <c r="D9950" i="2"/>
  <c r="D10835" i="2"/>
  <c r="D11503" i="2"/>
  <c r="D12768" i="2"/>
  <c r="D5101" i="2"/>
  <c r="D13879" i="2"/>
  <c r="D1612" i="2"/>
  <c r="D6056" i="2"/>
  <c r="D8553" i="2"/>
  <c r="D1611" i="2"/>
  <c r="D2093" i="2"/>
  <c r="D11216" i="2"/>
  <c r="D1806" i="2"/>
  <c r="D13799" i="2"/>
  <c r="D1610" i="2"/>
  <c r="D7302" i="2"/>
  <c r="D6543" i="2"/>
  <c r="D5008" i="2"/>
  <c r="D4200" i="2"/>
  <c r="D5658" i="2"/>
  <c r="D14010" i="2"/>
  <c r="D4199" i="2"/>
  <c r="D4198" i="2"/>
  <c r="D13444" i="2"/>
  <c r="D4197" i="2"/>
  <c r="D12767" i="2"/>
  <c r="D5306" i="2"/>
  <c r="D2248" i="2"/>
  <c r="D1609" i="2"/>
  <c r="D8552" i="2"/>
  <c r="D5056" i="2"/>
  <c r="D10128" i="2"/>
  <c r="D10127" i="2"/>
  <c r="D7301" i="2"/>
  <c r="D8551" i="2"/>
  <c r="D11032" i="2"/>
  <c r="D6481" i="2"/>
  <c r="D12292" i="2"/>
  <c r="D9114" i="2"/>
  <c r="D2092" i="2"/>
  <c r="D15142" i="2"/>
  <c r="D8550" i="2"/>
  <c r="D8549" i="2"/>
  <c r="D8548" i="2"/>
  <c r="D8547" i="2"/>
  <c r="D11712" i="2"/>
  <c r="D12291" i="2"/>
  <c r="D13551" i="2"/>
  <c r="D14959" i="2"/>
  <c r="D803" i="2"/>
  <c r="D5484" i="2"/>
  <c r="D4196" i="2"/>
  <c r="D9409" i="2"/>
  <c r="D4195" i="2"/>
  <c r="D4194" i="2"/>
  <c r="D4193" i="2"/>
  <c r="D12766" i="2"/>
  <c r="D8546" i="2"/>
  <c r="D4192" i="2"/>
  <c r="D1608" i="2"/>
  <c r="D13212" i="2"/>
  <c r="D15141" i="2"/>
  <c r="D1607" i="2"/>
  <c r="D1606" i="2"/>
  <c r="D526" i="2"/>
  <c r="D7148" i="2"/>
  <c r="D2091" i="2"/>
  <c r="D8545" i="2"/>
  <c r="D7026" i="2"/>
  <c r="D4191" i="2"/>
  <c r="D1605" i="2"/>
  <c r="D4190" i="2"/>
  <c r="D4189" i="2"/>
  <c r="D9587" i="2"/>
  <c r="D11805" i="2"/>
  <c r="D1604" i="2"/>
  <c r="D4188" i="2"/>
  <c r="D4187" i="2"/>
  <c r="D12494" i="2"/>
  <c r="D14282" i="2"/>
  <c r="D4186" i="2"/>
  <c r="D15140" i="2"/>
  <c r="D802" i="2"/>
  <c r="D6317" i="2"/>
  <c r="D8544" i="2"/>
  <c r="D4185" i="2"/>
  <c r="D8543" i="2"/>
  <c r="D801" i="2"/>
  <c r="D2532" i="2"/>
  <c r="D9949" i="2"/>
  <c r="D4184" i="2"/>
  <c r="D6055" i="2"/>
  <c r="D6054" i="2"/>
  <c r="D14958" i="2"/>
  <c r="D8542" i="2"/>
  <c r="D1151" i="2"/>
  <c r="D8541" i="2"/>
  <c r="D4183" i="2"/>
  <c r="D8540" i="2"/>
  <c r="D10441" i="2"/>
  <c r="D8539" i="2"/>
  <c r="D11421" i="2"/>
  <c r="D1397" i="2"/>
  <c r="D4182" i="2"/>
  <c r="D13443" i="2"/>
  <c r="D12900" i="2"/>
  <c r="D12765" i="2"/>
  <c r="D7147" i="2"/>
  <c r="D12764" i="2"/>
  <c r="D1466" i="2"/>
  <c r="D4181" i="2"/>
  <c r="D14707" i="2"/>
  <c r="D2992" i="2"/>
  <c r="D8538" i="2"/>
  <c r="D14825" i="2"/>
  <c r="D6053" i="2"/>
  <c r="D14874" i="2"/>
  <c r="D4180" i="2"/>
  <c r="D9408" i="2"/>
  <c r="D6316" i="2"/>
  <c r="D13211" i="2"/>
  <c r="D800" i="2"/>
  <c r="D4179" i="2"/>
  <c r="D6398" i="2"/>
  <c r="D3285" i="2"/>
  <c r="D7121" i="2"/>
  <c r="D11711" i="2"/>
  <c r="D9948" i="2"/>
  <c r="D2247" i="2"/>
  <c r="D12136" i="2"/>
  <c r="D11031" i="2"/>
  <c r="D14957" i="2"/>
  <c r="D13040" i="2"/>
  <c r="D10028" i="2"/>
  <c r="D433" i="2"/>
  <c r="D5636" i="2"/>
  <c r="D10440" i="2"/>
  <c r="D6267" i="2"/>
  <c r="D8537" i="2"/>
  <c r="D6693" i="2"/>
  <c r="D799" i="2"/>
  <c r="D4178" i="2"/>
  <c r="D8536" i="2"/>
  <c r="D4177" i="2"/>
  <c r="D4176" i="2"/>
  <c r="D5520" i="2"/>
  <c r="D9947" i="2"/>
  <c r="D6052" i="2"/>
  <c r="D5292" i="2"/>
  <c r="D12763" i="2"/>
  <c r="D4175" i="2"/>
  <c r="D9407" i="2"/>
  <c r="D9406" i="2"/>
  <c r="D1871" i="2"/>
  <c r="D8535" i="2"/>
  <c r="D14956" i="2"/>
  <c r="D2090" i="2"/>
  <c r="D14148" i="2"/>
  <c r="D2929" i="2"/>
  <c r="D5619" i="2"/>
  <c r="D9946" i="2"/>
  <c r="D12290" i="2"/>
  <c r="D13632" i="2"/>
  <c r="D8534" i="2"/>
  <c r="D6397" i="2"/>
  <c r="D2845" i="2"/>
  <c r="D2991" i="2"/>
  <c r="D8533" i="2"/>
  <c r="D11215" i="2"/>
  <c r="D4174" i="2"/>
  <c r="D7403" i="2"/>
  <c r="D4173" i="2"/>
  <c r="D1465" i="2"/>
  <c r="D6051" i="2"/>
  <c r="D1464" i="2"/>
  <c r="D4172" i="2"/>
  <c r="D1255" i="2"/>
  <c r="D8532" i="2"/>
  <c r="D8531" i="2"/>
  <c r="D5483" i="2"/>
  <c r="D10288" i="2"/>
  <c r="D7168" i="2"/>
  <c r="D14241" i="2"/>
  <c r="D4171" i="2"/>
  <c r="D10060" i="2"/>
  <c r="D6710" i="2"/>
  <c r="D5708" i="2"/>
  <c r="D12762" i="2"/>
  <c r="D8530" i="2"/>
  <c r="D10478" i="2"/>
  <c r="D15322" i="2"/>
  <c r="D8529" i="2"/>
  <c r="D6724" i="2"/>
  <c r="D9785" i="2"/>
  <c r="D9945" i="2"/>
  <c r="D4586" i="2"/>
  <c r="D12761" i="2"/>
  <c r="D1603" i="2"/>
  <c r="D8528" i="2"/>
  <c r="D2844" i="2"/>
  <c r="D8527" i="2"/>
  <c r="D6846" i="2"/>
  <c r="D4170" i="2"/>
  <c r="D4169" i="2"/>
  <c r="D5342" i="2"/>
  <c r="D6050" i="2"/>
  <c r="D10655" i="2"/>
  <c r="D10287" i="2"/>
  <c r="D4168" i="2"/>
  <c r="D13442" i="2"/>
  <c r="D4167" i="2"/>
  <c r="D8526" i="2"/>
  <c r="D4166" i="2"/>
  <c r="D13441" i="2"/>
  <c r="D11502" i="2"/>
  <c r="D6215" i="2"/>
  <c r="D12760" i="2"/>
  <c r="D3411" i="2"/>
  <c r="D4165" i="2"/>
  <c r="D6581" i="2"/>
  <c r="D11764" i="2"/>
  <c r="D13934" i="2"/>
  <c r="D11416" i="2"/>
  <c r="D13747" i="2"/>
  <c r="D15139" i="2"/>
  <c r="D2843" i="2"/>
  <c r="D5007" i="2"/>
  <c r="D14401" i="2"/>
  <c r="D14147" i="2"/>
  <c r="D8525" i="2"/>
  <c r="D11304" i="2"/>
  <c r="D4164" i="2"/>
  <c r="D3218" i="2"/>
  <c r="D11214" i="2"/>
  <c r="D8524" i="2"/>
  <c r="D1254" i="2"/>
  <c r="D4163" i="2"/>
  <c r="D4162" i="2"/>
  <c r="D5564" i="2"/>
  <c r="D13271" i="2"/>
  <c r="D1150" i="2"/>
  <c r="D5100" i="2"/>
  <c r="D905" i="2"/>
  <c r="D960" i="2"/>
  <c r="D11362" i="2"/>
  <c r="D9405" i="2"/>
  <c r="D13440" i="2"/>
  <c r="D798" i="2"/>
  <c r="D2842" i="2"/>
  <c r="D6603" i="2"/>
  <c r="D4161" i="2"/>
  <c r="D10729" i="2"/>
  <c r="D2089" i="2"/>
  <c r="D11213" i="2"/>
  <c r="D9080" i="2"/>
  <c r="D4160" i="2"/>
  <c r="D3410" i="2"/>
  <c r="D2246" i="2"/>
  <c r="D4159" i="2"/>
  <c r="D13210" i="2"/>
  <c r="D13845" i="2"/>
  <c r="D14019" i="2"/>
  <c r="D5099" i="2"/>
  <c r="D11579" i="2"/>
  <c r="D12759" i="2"/>
  <c r="D1602" i="2"/>
  <c r="D11649" i="2"/>
  <c r="D9599" i="2"/>
  <c r="D8523" i="2"/>
  <c r="D2488" i="2"/>
  <c r="D11501" i="2"/>
  <c r="D4158" i="2"/>
  <c r="D12758" i="2"/>
  <c r="D12757" i="2"/>
  <c r="D1463" i="2"/>
  <c r="D11710" i="2"/>
  <c r="D5381" i="2"/>
  <c r="D14781" i="2"/>
  <c r="D5040" i="2"/>
  <c r="D1253" i="2"/>
  <c r="D1462" i="2"/>
  <c r="D8522" i="2"/>
  <c r="D13270" i="2"/>
  <c r="D11891" i="2"/>
  <c r="D4157" i="2"/>
  <c r="D13885" i="2"/>
  <c r="D4585" i="2"/>
  <c r="D8521" i="2"/>
  <c r="D13321" i="2"/>
  <c r="D13269" i="2"/>
  <c r="D11890" i="2"/>
  <c r="D8520" i="2"/>
  <c r="D2716" i="2"/>
  <c r="D6396" i="2"/>
  <c r="D10558" i="2"/>
  <c r="D4156" i="2"/>
  <c r="D13439" i="2"/>
  <c r="D12289" i="2"/>
  <c r="D13833" i="2"/>
  <c r="D2990" i="2"/>
  <c r="D6602" i="2"/>
  <c r="D10286" i="2"/>
  <c r="D13746" i="2"/>
  <c r="D4155" i="2"/>
  <c r="D13878" i="2"/>
  <c r="D12288" i="2"/>
  <c r="D8519" i="2"/>
  <c r="D1149" i="2"/>
  <c r="D4154" i="2"/>
  <c r="D2683" i="2"/>
  <c r="D12756" i="2"/>
  <c r="D6049" i="2"/>
  <c r="D6048" i="2"/>
  <c r="D9944" i="2"/>
  <c r="D3409" i="2"/>
  <c r="D2841" i="2"/>
  <c r="D4153" i="2"/>
  <c r="D14009" i="2"/>
  <c r="D1396" i="2"/>
  <c r="D592" i="2"/>
  <c r="D6047" i="2"/>
  <c r="D8518" i="2"/>
  <c r="D9404" i="2"/>
  <c r="D13681" i="2"/>
  <c r="D4152" i="2"/>
  <c r="D13438" i="2"/>
  <c r="D6824" i="2"/>
  <c r="D5055" i="2"/>
  <c r="D2840" i="2"/>
  <c r="D8517" i="2"/>
  <c r="D10097" i="2"/>
  <c r="D12510" i="2"/>
  <c r="D4151" i="2"/>
  <c r="D2245" i="2"/>
  <c r="D8516" i="2"/>
  <c r="D14290" i="2"/>
  <c r="D2839" i="2"/>
  <c r="D9943" i="2"/>
  <c r="D11303" i="2"/>
  <c r="D13892" i="2"/>
  <c r="D12755" i="2"/>
  <c r="D1601" i="2"/>
  <c r="D7120" i="2"/>
  <c r="D12382" i="2"/>
  <c r="D5482" i="2"/>
  <c r="D9126" i="2"/>
  <c r="D13209" i="2"/>
  <c r="D11397" i="2"/>
  <c r="D11361" i="2"/>
  <c r="D4150" i="2"/>
  <c r="D8515" i="2"/>
  <c r="D5152" i="2"/>
  <c r="D12754" i="2"/>
  <c r="D4149" i="2"/>
  <c r="D4148" i="2"/>
  <c r="D797" i="2"/>
  <c r="D4147" i="2"/>
  <c r="D8514" i="2"/>
  <c r="D11212" i="2"/>
  <c r="D4865" i="2"/>
  <c r="D12451" i="2"/>
  <c r="D6723" i="2"/>
  <c r="D1600" i="2"/>
  <c r="D14008" i="2"/>
  <c r="D13550" i="2"/>
  <c r="D1461" i="2"/>
  <c r="D1828" i="2"/>
  <c r="D8513" i="2"/>
  <c r="D11211" i="2"/>
  <c r="D8512" i="2"/>
  <c r="D9727" i="2"/>
  <c r="D4146" i="2"/>
  <c r="D13208" i="2"/>
  <c r="D7520" i="2"/>
  <c r="D699" i="2"/>
  <c r="D10561" i="2"/>
  <c r="D5284" i="2"/>
  <c r="D4145" i="2"/>
  <c r="D4144" i="2"/>
  <c r="D5357" i="2"/>
  <c r="D4143" i="2"/>
  <c r="D13207" i="2"/>
  <c r="D8511" i="2"/>
  <c r="D13020" i="2"/>
  <c r="D15138" i="2"/>
  <c r="D8510" i="2"/>
  <c r="D6046" i="2"/>
  <c r="D1252" i="2"/>
  <c r="D6045" i="2"/>
  <c r="D11578" i="2"/>
  <c r="D8509" i="2"/>
  <c r="D4142" i="2"/>
  <c r="D9784" i="2"/>
  <c r="D3284" i="2"/>
  <c r="D13827" i="2"/>
  <c r="D14146" i="2"/>
  <c r="D8508" i="2"/>
  <c r="D4141" i="2"/>
  <c r="D5722" i="2"/>
  <c r="D2838" i="2"/>
  <c r="D13798" i="2"/>
  <c r="D6540" i="2"/>
  <c r="D6044" i="2"/>
  <c r="D3113" i="2"/>
  <c r="D12753" i="2"/>
  <c r="D796" i="2"/>
  <c r="D9403" i="2"/>
  <c r="D4140" i="2"/>
  <c r="D8507" i="2"/>
  <c r="D10637" i="2"/>
  <c r="D5635" i="2"/>
  <c r="D8506" i="2"/>
  <c r="D1599" i="2"/>
  <c r="D3338" i="2"/>
  <c r="D14873" i="2"/>
  <c r="D1598" i="2"/>
  <c r="D2837" i="2"/>
  <c r="D12063" i="2"/>
  <c r="D8505" i="2"/>
  <c r="D2244" i="2"/>
  <c r="D3073" i="2"/>
  <c r="D4139" i="2"/>
  <c r="D12062" i="2"/>
  <c r="D5054" i="2"/>
  <c r="D13671" i="2"/>
  <c r="D15137" i="2"/>
  <c r="D13268" i="2"/>
  <c r="D11889" i="2"/>
  <c r="D5602" i="2"/>
  <c r="D1597" i="2"/>
  <c r="D1251" i="2"/>
  <c r="D9942" i="2"/>
  <c r="D12752" i="2"/>
  <c r="D2715" i="2"/>
  <c r="D8504" i="2"/>
  <c r="D959" i="2"/>
  <c r="D6043" i="2"/>
  <c r="D8503" i="2"/>
  <c r="D8502" i="2"/>
  <c r="D12061" i="2"/>
  <c r="D12751" i="2"/>
  <c r="D10554" i="2"/>
  <c r="D12287" i="2"/>
  <c r="D2451" i="2"/>
  <c r="D2243" i="2"/>
  <c r="D9941" i="2"/>
  <c r="D9402" i="2"/>
  <c r="D2450" i="2"/>
  <c r="D11577" i="2"/>
  <c r="D795" i="2"/>
  <c r="D1964" i="2"/>
  <c r="D11030" i="2"/>
  <c r="D15136" i="2"/>
  <c r="D15135" i="2"/>
  <c r="D9401" i="2"/>
  <c r="D14145" i="2"/>
  <c r="D8501" i="2"/>
  <c r="D2836" i="2"/>
  <c r="D13797" i="2"/>
  <c r="D794" i="2"/>
  <c r="D8500" i="2"/>
  <c r="D8499" i="2"/>
  <c r="D2449" i="2"/>
  <c r="D5053" i="2"/>
  <c r="D4138" i="2"/>
  <c r="D9579" i="2"/>
  <c r="D5006" i="2"/>
  <c r="D1148" i="2"/>
  <c r="D1147" i="2"/>
  <c r="D11210" i="2"/>
  <c r="D9400" i="2"/>
  <c r="D4137" i="2"/>
  <c r="D13631" i="2"/>
  <c r="D8498" i="2"/>
  <c r="D1596" i="2"/>
  <c r="D6042" i="2"/>
  <c r="D8497" i="2"/>
  <c r="D14872" i="2"/>
  <c r="D8496" i="2"/>
  <c r="D2615" i="2"/>
  <c r="D6041" i="2"/>
  <c r="D8495" i="2"/>
  <c r="D8494" i="2"/>
  <c r="D9940" i="2"/>
  <c r="D8493" i="2"/>
  <c r="D12356" i="2"/>
  <c r="D4136" i="2"/>
  <c r="D13437" i="2"/>
  <c r="D4579" i="2"/>
  <c r="D6040" i="2"/>
  <c r="D4135" i="2"/>
  <c r="D1460" i="2"/>
  <c r="D10439" i="2"/>
  <c r="D6480" i="2"/>
  <c r="D14492" i="2"/>
  <c r="D8492" i="2"/>
  <c r="D4134" i="2"/>
  <c r="D6549" i="2"/>
  <c r="D7300" i="2"/>
  <c r="D6479" i="2"/>
  <c r="D6852" i="2"/>
  <c r="D4133" i="2"/>
  <c r="D4953" i="2"/>
  <c r="D1067" i="2"/>
  <c r="D9939" i="2"/>
  <c r="D1595" i="2"/>
  <c r="D12060" i="2"/>
  <c r="D11029" i="2"/>
  <c r="D4132" i="2"/>
  <c r="D9113" i="2"/>
  <c r="D13317" i="2"/>
  <c r="D8491" i="2"/>
  <c r="D11928" i="2"/>
  <c r="D13549" i="2"/>
  <c r="D2448" i="2"/>
  <c r="D10285" i="2"/>
  <c r="D15134" i="2"/>
  <c r="D15133" i="2"/>
  <c r="D4131" i="2"/>
  <c r="D7146" i="2"/>
  <c r="D14007" i="2"/>
  <c r="D11819" i="2"/>
  <c r="D12750" i="2"/>
  <c r="D5356" i="2"/>
  <c r="D4130" i="2"/>
  <c r="D14566" i="2"/>
  <c r="D8490" i="2"/>
  <c r="D1594" i="2"/>
  <c r="D1146" i="2"/>
  <c r="D12998" i="2"/>
  <c r="D11028" i="2"/>
  <c r="D6395" i="2"/>
  <c r="D1734" i="2"/>
  <c r="D14871" i="2"/>
  <c r="D1066" i="2"/>
  <c r="D15132" i="2"/>
  <c r="D12059" i="2"/>
  <c r="D12749" i="2"/>
  <c r="D3034" i="2"/>
  <c r="D1915" i="2"/>
  <c r="D6394" i="2"/>
  <c r="D8489" i="2"/>
  <c r="D4129" i="2"/>
  <c r="D4943" i="2"/>
  <c r="D14144" i="2"/>
  <c r="D8488" i="2"/>
  <c r="D5098" i="2"/>
  <c r="D2512" i="2"/>
  <c r="D13796" i="2"/>
  <c r="D14706" i="2"/>
  <c r="D8487" i="2"/>
  <c r="D13630" i="2"/>
  <c r="D8486" i="2"/>
  <c r="D6999" i="2"/>
  <c r="D1145" i="2"/>
  <c r="D4128" i="2"/>
  <c r="D14763" i="2"/>
  <c r="D2348" i="2"/>
  <c r="D13914" i="2"/>
  <c r="D12748" i="2"/>
  <c r="D10728" i="2"/>
  <c r="D15131" i="2"/>
  <c r="D6315" i="2"/>
  <c r="D12747" i="2"/>
  <c r="D1733" i="2"/>
  <c r="D1250" i="2"/>
  <c r="D4127" i="2"/>
  <c r="D13436" i="2"/>
  <c r="D11209" i="2"/>
  <c r="D8485" i="2"/>
  <c r="D15130" i="2"/>
  <c r="D12286" i="2"/>
  <c r="D11657" i="2"/>
  <c r="D5707" i="2"/>
  <c r="D12746" i="2"/>
  <c r="D15129" i="2"/>
  <c r="D1868" i="2"/>
  <c r="D12745" i="2"/>
  <c r="D3162" i="2"/>
  <c r="D14824" i="2"/>
  <c r="D8484" i="2"/>
  <c r="D10438" i="2"/>
  <c r="D8483" i="2"/>
  <c r="D1807" i="2"/>
  <c r="D11360" i="2"/>
  <c r="D2546" i="2"/>
  <c r="D8482" i="2"/>
  <c r="D8481" i="2"/>
  <c r="D4126" i="2"/>
  <c r="D8480" i="2"/>
  <c r="D8479" i="2"/>
  <c r="D13206" i="2"/>
  <c r="D12744" i="2"/>
  <c r="D958" i="2"/>
  <c r="D10437" i="2"/>
  <c r="D9578" i="2"/>
  <c r="D8478" i="2"/>
  <c r="D15128" i="2"/>
  <c r="D432" i="2"/>
  <c r="D7119" i="2"/>
  <c r="D14955" i="2"/>
  <c r="D1459" i="2"/>
  <c r="D4125" i="2"/>
  <c r="D14006" i="2"/>
  <c r="D4879" i="2"/>
  <c r="D8477" i="2"/>
  <c r="D10155" i="2"/>
  <c r="D1144" i="2"/>
  <c r="D12743" i="2"/>
  <c r="D1987" i="2"/>
  <c r="D9399" i="2"/>
  <c r="D14400" i="2"/>
  <c r="D12742" i="2"/>
  <c r="D4124" i="2"/>
  <c r="D14143" i="2"/>
  <c r="D12741" i="2"/>
  <c r="D8476" i="2"/>
  <c r="D8475" i="2"/>
  <c r="D3161" i="2"/>
  <c r="D1458" i="2"/>
  <c r="D11027" i="2"/>
  <c r="D3283" i="2"/>
  <c r="D11026" i="2"/>
  <c r="D14870" i="2"/>
  <c r="D1143" i="2"/>
  <c r="D8474" i="2"/>
  <c r="D681" i="2"/>
  <c r="D6902" i="2"/>
  <c r="D1457" i="2"/>
  <c r="D9398" i="2"/>
  <c r="D10016" i="2"/>
  <c r="D12740" i="2"/>
  <c r="D5005" i="2"/>
  <c r="D10077" i="2"/>
  <c r="D12739" i="2"/>
  <c r="D7337" i="2"/>
  <c r="D7043" i="2"/>
  <c r="D10059" i="2"/>
  <c r="D6709" i="2"/>
  <c r="D10284" i="2"/>
  <c r="D6314" i="2"/>
  <c r="D14869" i="2"/>
  <c r="D13205" i="2"/>
  <c r="D8473" i="2"/>
  <c r="D8472" i="2"/>
  <c r="D11025" i="2"/>
  <c r="D4123" i="2"/>
  <c r="D4122" i="2"/>
  <c r="D10436" i="2"/>
  <c r="D12738" i="2"/>
  <c r="D5254" i="2"/>
  <c r="D4121" i="2"/>
  <c r="D793" i="2"/>
  <c r="D6039" i="2"/>
  <c r="D792" i="2"/>
  <c r="D9397" i="2"/>
  <c r="D10435" i="2"/>
  <c r="D14837" i="2"/>
  <c r="D8471" i="2"/>
  <c r="D4804" i="2"/>
  <c r="D3347" i="2"/>
  <c r="D14565" i="2"/>
  <c r="D12285" i="2"/>
  <c r="D1456" i="2"/>
  <c r="D13657" i="2"/>
  <c r="D8470" i="2"/>
  <c r="D8469" i="2"/>
  <c r="D4120" i="2"/>
  <c r="D10020" i="2"/>
  <c r="D6313" i="2"/>
  <c r="D11888" i="2"/>
  <c r="D8468" i="2"/>
  <c r="D12058" i="2"/>
  <c r="D14281" i="2"/>
  <c r="D6038" i="2"/>
  <c r="D12284" i="2"/>
  <c r="D8467" i="2"/>
  <c r="D10019" i="2"/>
  <c r="D4119" i="2"/>
  <c r="D11302" i="2"/>
  <c r="D14399" i="2"/>
  <c r="D5283" i="2"/>
  <c r="D8466" i="2"/>
  <c r="D7368" i="2"/>
  <c r="D14954" i="2"/>
  <c r="D12737" i="2"/>
  <c r="D11845" i="2"/>
  <c r="D9938" i="2"/>
  <c r="D9396" i="2"/>
  <c r="D6947" i="2"/>
  <c r="D14398" i="2"/>
  <c r="D1249" i="2"/>
  <c r="D12736" i="2"/>
  <c r="D8465" i="2"/>
  <c r="D10283" i="2"/>
  <c r="D10434" i="2"/>
  <c r="D11709" i="2"/>
  <c r="D4118" i="2"/>
  <c r="D5726" i="2"/>
  <c r="D5052" i="2"/>
  <c r="D1028" i="2"/>
  <c r="D3282" i="2"/>
  <c r="D4117" i="2"/>
  <c r="D9937" i="2"/>
  <c r="D8464" i="2"/>
  <c r="D2928" i="2"/>
  <c r="D12735" i="2"/>
  <c r="D2242" i="2"/>
  <c r="D4116" i="2"/>
  <c r="D11405" i="2"/>
  <c r="D1795" i="2"/>
  <c r="D5563" i="2"/>
  <c r="D2927" i="2"/>
  <c r="D12734" i="2"/>
  <c r="D13573" i="2"/>
  <c r="D8463" i="2"/>
  <c r="D791" i="2"/>
  <c r="D9936" i="2"/>
  <c r="D7201" i="2"/>
  <c r="D14512" i="2"/>
  <c r="D9570" i="2"/>
  <c r="D1142" i="2"/>
  <c r="D7519" i="2"/>
  <c r="D4548" i="2"/>
  <c r="D8462" i="2"/>
  <c r="D2088" i="2"/>
  <c r="D5097" i="2"/>
  <c r="D12283" i="2"/>
  <c r="D3042" i="2"/>
  <c r="D6037" i="2"/>
  <c r="D790" i="2"/>
  <c r="D6478" i="2"/>
  <c r="D14953" i="2"/>
  <c r="D6272" i="2"/>
  <c r="D12282" i="2"/>
  <c r="D10076" i="2"/>
  <c r="D8461" i="2"/>
  <c r="D1892" i="2"/>
  <c r="D694" i="2"/>
  <c r="D3433" i="2"/>
  <c r="D8460" i="2"/>
  <c r="D4115" i="2"/>
  <c r="D13435" i="2"/>
  <c r="D5562" i="2"/>
  <c r="D1333" i="2"/>
  <c r="D5051" i="2"/>
  <c r="D4114" i="2"/>
  <c r="D5136" i="2"/>
  <c r="D8459" i="2"/>
  <c r="D3281" i="2"/>
  <c r="D2002" i="2"/>
  <c r="D14142" i="2"/>
  <c r="D1455" i="2"/>
  <c r="D3280" i="2"/>
  <c r="D8458" i="2"/>
  <c r="D13582" i="2"/>
  <c r="D4910" i="2"/>
  <c r="D2511" i="2"/>
  <c r="D10015" i="2"/>
  <c r="D9583" i="2"/>
  <c r="D8457" i="2"/>
  <c r="D12733" i="2"/>
  <c r="D9935" i="2"/>
  <c r="D13731" i="2"/>
  <c r="D11341" i="2"/>
  <c r="D10668" i="2"/>
  <c r="D1827" i="2"/>
  <c r="D13629" i="2"/>
  <c r="D8456" i="2"/>
  <c r="D5561" i="2"/>
  <c r="D8455" i="2"/>
  <c r="D957" i="2"/>
  <c r="D15127" i="2"/>
  <c r="D8454" i="2"/>
  <c r="D6036" i="2"/>
  <c r="D11708" i="2"/>
  <c r="D2835" i="2"/>
  <c r="D14141" i="2"/>
  <c r="D12281" i="2"/>
  <c r="D2989" i="2"/>
  <c r="D4113" i="2"/>
  <c r="D6312" i="2"/>
  <c r="D3408" i="2"/>
  <c r="D1593" i="2"/>
  <c r="D9395" i="2"/>
  <c r="D13548" i="2"/>
  <c r="D15126" i="2"/>
  <c r="D11576" i="2"/>
  <c r="D4112" i="2"/>
  <c r="D9783" i="2"/>
  <c r="D6974" i="2"/>
  <c r="D6035" i="2"/>
  <c r="D13547" i="2"/>
  <c r="D1141" i="2"/>
  <c r="D9934" i="2"/>
  <c r="D14868" i="2"/>
  <c r="D2834" i="2"/>
  <c r="D14867" i="2"/>
  <c r="D865" i="2"/>
  <c r="D4659" i="2"/>
  <c r="D6477" i="2"/>
  <c r="D11785" i="2"/>
  <c r="D8453" i="2"/>
  <c r="D864" i="2"/>
  <c r="D8452" i="2"/>
  <c r="D11024" i="2"/>
  <c r="D9394" i="2"/>
  <c r="D4111" i="2"/>
  <c r="D8451" i="2"/>
  <c r="D7145" i="2"/>
  <c r="D8450" i="2"/>
  <c r="D4110" i="2"/>
  <c r="D2833" i="2"/>
  <c r="D8449" i="2"/>
  <c r="D11500" i="2"/>
  <c r="D1248" i="2"/>
  <c r="D10126" i="2"/>
  <c r="D14140" i="2"/>
  <c r="D11301" i="2"/>
  <c r="D5341" i="2"/>
  <c r="D1140" i="2"/>
  <c r="D13091" i="2"/>
  <c r="D8448" i="2"/>
  <c r="D2988" i="2"/>
  <c r="D13859" i="2"/>
  <c r="D6876" i="2"/>
  <c r="D6539" i="2"/>
  <c r="D6684" i="2"/>
  <c r="D9933" i="2"/>
  <c r="D6851" i="2"/>
  <c r="D4742" i="2"/>
  <c r="D14397" i="2"/>
  <c r="D2832" i="2"/>
  <c r="D9393" i="2"/>
  <c r="D4109" i="2"/>
  <c r="D13434" i="2"/>
  <c r="D11208" i="2"/>
  <c r="D5031" i="2"/>
  <c r="D14585" i="2"/>
  <c r="D4108" i="2"/>
  <c r="D1139" i="2"/>
  <c r="D8447" i="2"/>
  <c r="D8446" i="2"/>
  <c r="D2510" i="2"/>
  <c r="D14866" i="2"/>
  <c r="D4107" i="2"/>
  <c r="D8445" i="2"/>
  <c r="D1138" i="2"/>
  <c r="D2241" i="2"/>
  <c r="D7402" i="2"/>
  <c r="D14952" i="2"/>
  <c r="D4617" i="2"/>
  <c r="D10282" i="2"/>
  <c r="D12732" i="2"/>
  <c r="D14564" i="2"/>
  <c r="D2987" i="2"/>
  <c r="D12731" i="2"/>
  <c r="D11023" i="2"/>
  <c r="D10154" i="2"/>
  <c r="D12103" i="2"/>
  <c r="D14951" i="2"/>
  <c r="D12730" i="2"/>
  <c r="D14950" i="2"/>
  <c r="D8444" i="2"/>
  <c r="D4106" i="2"/>
  <c r="D15295" i="2"/>
  <c r="D11022" i="2"/>
  <c r="D1454" i="2"/>
  <c r="D14705" i="2"/>
  <c r="D11021" i="2"/>
  <c r="D11415" i="2"/>
  <c r="D10281" i="2"/>
  <c r="D11818" i="2"/>
  <c r="D10433" i="2"/>
  <c r="D4105" i="2"/>
  <c r="D2831" i="2"/>
  <c r="D4104" i="2"/>
  <c r="D12729" i="2"/>
  <c r="D1332" i="2"/>
  <c r="D4103" i="2"/>
  <c r="D12540" i="2"/>
  <c r="D4102" i="2"/>
  <c r="D8443" i="2"/>
  <c r="D13105" i="2"/>
  <c r="D11207" i="2"/>
  <c r="D8442" i="2"/>
  <c r="D9744" i="2"/>
  <c r="D12057" i="2"/>
  <c r="D4942" i="2"/>
  <c r="D8441" i="2"/>
  <c r="D10654" i="2"/>
  <c r="D4101" i="2"/>
  <c r="D13433" i="2"/>
  <c r="D12728" i="2"/>
  <c r="D6738" i="2"/>
  <c r="D12727" i="2"/>
  <c r="D6034" i="2"/>
  <c r="D12280" i="2"/>
  <c r="D5496" i="2"/>
  <c r="D8440" i="2"/>
  <c r="D10280" i="2"/>
  <c r="D5253" i="2"/>
  <c r="D8439" i="2"/>
  <c r="D4100" i="2"/>
  <c r="D3174" i="2"/>
  <c r="D8438" i="2"/>
  <c r="D8437" i="2"/>
  <c r="D4099" i="2"/>
  <c r="D1395" i="2"/>
  <c r="D10432" i="2"/>
  <c r="D12279" i="2"/>
  <c r="D13204" i="2"/>
  <c r="D8436" i="2"/>
  <c r="D8435" i="2"/>
  <c r="D8434" i="2"/>
  <c r="D10431" i="2"/>
  <c r="D9932" i="2"/>
  <c r="D9931" i="2"/>
  <c r="D1065" i="2"/>
  <c r="D12726" i="2"/>
  <c r="D9660" i="2"/>
  <c r="D4098" i="2"/>
  <c r="D13432" i="2"/>
  <c r="D4758" i="2"/>
  <c r="D2830" i="2"/>
  <c r="D14396" i="2"/>
  <c r="D8433" i="2"/>
  <c r="D10279" i="2"/>
  <c r="D3101" i="2"/>
  <c r="D6033" i="2"/>
  <c r="D6032" i="2"/>
  <c r="D4907" i="2"/>
  <c r="D1453" i="2"/>
  <c r="D689" i="2"/>
  <c r="D4097" i="2"/>
  <c r="D4799" i="2"/>
  <c r="D10278" i="2"/>
  <c r="D12725" i="2"/>
  <c r="D789" i="2"/>
  <c r="D4096" i="2"/>
  <c r="D13741" i="2"/>
  <c r="D9684" i="2"/>
  <c r="D8432" i="2"/>
  <c r="D2829" i="2"/>
  <c r="D9392" i="2"/>
  <c r="D956" i="2"/>
  <c r="D10039" i="2"/>
  <c r="D11020" i="2"/>
  <c r="D12355" i="2"/>
  <c r="D2828" i="2"/>
  <c r="D2598" i="2"/>
  <c r="D9930" i="2"/>
  <c r="D10430" i="2"/>
  <c r="D4095" i="2"/>
  <c r="D11499" i="2"/>
  <c r="D12278" i="2"/>
  <c r="D12056" i="2"/>
  <c r="D12102" i="2"/>
  <c r="D9929" i="2"/>
  <c r="D10027" i="2"/>
  <c r="D13267" i="2"/>
  <c r="D11887" i="2"/>
  <c r="D12724" i="2"/>
  <c r="D14491" i="2"/>
  <c r="D13600" i="2"/>
  <c r="D5096" i="2"/>
  <c r="D11498" i="2"/>
  <c r="D8431" i="2"/>
  <c r="D8430" i="2"/>
  <c r="D12277" i="2"/>
  <c r="D4808" i="2"/>
  <c r="D4094" i="2"/>
  <c r="D2447" i="2"/>
  <c r="D9928" i="2"/>
  <c r="D4584" i="2"/>
  <c r="D1732" i="2"/>
  <c r="D6031" i="2"/>
  <c r="D8429" i="2"/>
  <c r="D1731" i="2"/>
  <c r="D4093" i="2"/>
  <c r="D8428" i="2"/>
  <c r="D13913" i="2"/>
  <c r="D8427" i="2"/>
  <c r="D12899" i="2"/>
  <c r="D1331" i="2"/>
  <c r="D3279" i="2"/>
  <c r="D6030" i="2"/>
  <c r="D12055" i="2"/>
  <c r="D11640" i="2"/>
  <c r="D9927" i="2"/>
  <c r="D5050" i="2"/>
  <c r="D8426" i="2"/>
  <c r="D525" i="2"/>
  <c r="D7223" i="2"/>
  <c r="D1730" i="2"/>
  <c r="D5461" i="2"/>
  <c r="D14139" i="2"/>
  <c r="D14138" i="2"/>
  <c r="D8425" i="2"/>
  <c r="D2380" i="2"/>
  <c r="D8424" i="2"/>
  <c r="D7299" i="2"/>
  <c r="D10821" i="2"/>
  <c r="D4556" i="2"/>
  <c r="D8423" i="2"/>
  <c r="D8422" i="2"/>
  <c r="D8421" i="2"/>
  <c r="D5611" i="2"/>
  <c r="D1137" i="2"/>
  <c r="D14137" i="2"/>
  <c r="D4092" i="2"/>
  <c r="D5183" i="2"/>
  <c r="D1664" i="2"/>
  <c r="D470" i="2"/>
  <c r="D12723" i="2"/>
  <c r="D11497" i="2"/>
  <c r="D6476" i="2"/>
  <c r="D14473" i="2"/>
  <c r="D3435" i="2"/>
  <c r="D8420" i="2"/>
  <c r="D1330" i="2"/>
  <c r="D12276" i="2"/>
  <c r="D1136" i="2"/>
  <c r="D5025" i="2"/>
  <c r="D8419" i="2"/>
  <c r="D1135" i="2"/>
  <c r="D7518" i="2"/>
  <c r="D2827" i="2"/>
  <c r="D5095" i="2"/>
  <c r="D12054" i="2"/>
  <c r="D13546" i="2"/>
  <c r="D12275" i="2"/>
  <c r="D14762" i="2"/>
  <c r="D620" i="2"/>
  <c r="D2446" i="2"/>
  <c r="D8418" i="2"/>
  <c r="D13431" i="2"/>
  <c r="D788" i="2"/>
  <c r="D1027" i="2"/>
  <c r="D5094" i="2"/>
  <c r="D4757" i="2"/>
  <c r="D9926" i="2"/>
  <c r="D8417" i="2"/>
  <c r="D11019" i="2"/>
  <c r="D4091" i="2"/>
  <c r="D5275" i="2"/>
  <c r="D9391" i="2"/>
  <c r="D4090" i="2"/>
  <c r="D13430" i="2"/>
  <c r="D4089" i="2"/>
  <c r="D4088" i="2"/>
  <c r="D8416" i="2"/>
  <c r="D4087" i="2"/>
  <c r="D13429" i="2"/>
  <c r="D14426" i="2"/>
  <c r="D6029" i="2"/>
  <c r="D12053" i="2"/>
  <c r="D12722" i="2"/>
  <c r="D7347" i="2"/>
  <c r="D14136" i="2"/>
  <c r="D787" i="2"/>
  <c r="D1592" i="2"/>
  <c r="D11496" i="2"/>
  <c r="D6311" i="2"/>
  <c r="D8415" i="2"/>
  <c r="D12052" i="2"/>
  <c r="D1591" i="2"/>
  <c r="D2347" i="2"/>
  <c r="D14865" i="2"/>
  <c r="D4086" i="2"/>
  <c r="D3278" i="2"/>
  <c r="D4866" i="2"/>
  <c r="D8414" i="2"/>
  <c r="D6028" i="2"/>
  <c r="D15294" i="2"/>
  <c r="D1134" i="2"/>
  <c r="D14395" i="2"/>
  <c r="D4085" i="2"/>
  <c r="D2240" i="2"/>
  <c r="D8413" i="2"/>
  <c r="D8412" i="2"/>
  <c r="D7517" i="2"/>
  <c r="D2377" i="2"/>
  <c r="D4602" i="2"/>
  <c r="D14563" i="2"/>
  <c r="D3277" i="2"/>
  <c r="D2826" i="2"/>
  <c r="D5093" i="2"/>
  <c r="D11206" i="2"/>
  <c r="D2825" i="2"/>
  <c r="D12135" i="2"/>
  <c r="D9390" i="2"/>
  <c r="D9389" i="2"/>
  <c r="D13203" i="2"/>
  <c r="D1329" i="2"/>
  <c r="D8411" i="2"/>
  <c r="D7084" i="2"/>
  <c r="D5049" i="2"/>
  <c r="D2239" i="2"/>
  <c r="D15125" i="2"/>
  <c r="D2824" i="2"/>
  <c r="D1729" i="2"/>
  <c r="D786" i="2"/>
  <c r="D11018" i="2"/>
  <c r="D5092" i="2"/>
  <c r="D10557" i="2"/>
  <c r="D7144" i="2"/>
  <c r="D5422" i="2"/>
  <c r="D8410" i="2"/>
  <c r="D14612" i="2"/>
  <c r="D8409" i="2"/>
  <c r="D4084" i="2"/>
  <c r="D2569" i="2"/>
  <c r="D4708" i="2"/>
  <c r="D10856" i="2"/>
  <c r="D469" i="2"/>
  <c r="D9925" i="2"/>
  <c r="D12721" i="2"/>
  <c r="D5380" i="2"/>
  <c r="D13844" i="2"/>
  <c r="D4739" i="2"/>
  <c r="D10277" i="2"/>
  <c r="D9388" i="2"/>
  <c r="D3112" i="2"/>
  <c r="D2823" i="2"/>
  <c r="D9924" i="2"/>
  <c r="D11017" i="2"/>
  <c r="D8408" i="2"/>
  <c r="D13319" i="2"/>
  <c r="D6310" i="2"/>
  <c r="D11016" i="2"/>
  <c r="D4083" i="2"/>
  <c r="D11015" i="2"/>
  <c r="D10276" i="2"/>
  <c r="D12720" i="2"/>
  <c r="D8407" i="2"/>
  <c r="D14440" i="2"/>
  <c r="D4082" i="2"/>
  <c r="D6214" i="2"/>
  <c r="D8406" i="2"/>
  <c r="D8405" i="2"/>
  <c r="D8404" i="2"/>
  <c r="D8403" i="2"/>
  <c r="D2703" i="2"/>
  <c r="D4081" i="2"/>
  <c r="D11322" i="2"/>
  <c r="D12051" i="2"/>
  <c r="D13795" i="2"/>
  <c r="D10275" i="2"/>
  <c r="D8402" i="2"/>
  <c r="D8401" i="2"/>
  <c r="D8400" i="2"/>
  <c r="D1394" i="2"/>
  <c r="D10429" i="2"/>
  <c r="D7420" i="2"/>
  <c r="D6027" i="2"/>
  <c r="D14864" i="2"/>
  <c r="D6901" i="2"/>
  <c r="D6393" i="2"/>
  <c r="D4080" i="2"/>
  <c r="D6026" i="2"/>
  <c r="D14949" i="2"/>
  <c r="D8399" i="2"/>
  <c r="D6663" i="2"/>
  <c r="D8398" i="2"/>
  <c r="D1328" i="2"/>
  <c r="D11529" i="2"/>
  <c r="D8397" i="2"/>
  <c r="D11014" i="2"/>
  <c r="D5091" i="2"/>
  <c r="D10727" i="2"/>
  <c r="D7401" i="2"/>
  <c r="D1393" i="2"/>
  <c r="D10274" i="2"/>
  <c r="D3459" i="2"/>
  <c r="D5409" i="2"/>
  <c r="D4079" i="2"/>
  <c r="D9611" i="2"/>
  <c r="D10590" i="2"/>
  <c r="D6025" i="2"/>
  <c r="D2346" i="2"/>
  <c r="D8396" i="2"/>
  <c r="D7367" i="2"/>
  <c r="D468" i="2"/>
  <c r="D3072" i="2"/>
  <c r="D6823" i="2"/>
  <c r="D955" i="2"/>
  <c r="D11575" i="2"/>
  <c r="D10428" i="2"/>
  <c r="D7298" i="2"/>
  <c r="D5526" i="2"/>
  <c r="D8395" i="2"/>
  <c r="D15124" i="2"/>
  <c r="D8394" i="2"/>
  <c r="D13019" i="2"/>
  <c r="D14135" i="2"/>
  <c r="D12898" i="2"/>
  <c r="D11300" i="2"/>
  <c r="D4078" i="2"/>
  <c r="D1133" i="2"/>
  <c r="D7366" i="2"/>
  <c r="D12719" i="2"/>
  <c r="D11013" i="2"/>
  <c r="D14134" i="2"/>
  <c r="D11636" i="2"/>
  <c r="D8393" i="2"/>
  <c r="D8392" i="2"/>
  <c r="D2345" i="2"/>
  <c r="D2238" i="2"/>
  <c r="D12274" i="2"/>
  <c r="D6024" i="2"/>
  <c r="D4077" i="2"/>
  <c r="D13545" i="2"/>
  <c r="D1728" i="2"/>
  <c r="D7010" i="2"/>
  <c r="D7054" i="2"/>
  <c r="D8391" i="2"/>
  <c r="D6973" i="2"/>
  <c r="D1064" i="2"/>
  <c r="D5340" i="2"/>
  <c r="D10096" i="2"/>
  <c r="D5225" i="2"/>
  <c r="D11756" i="2"/>
  <c r="D6574" i="2"/>
  <c r="D11359" i="2"/>
  <c r="D1590" i="2"/>
  <c r="D15234" i="2"/>
  <c r="D13794" i="2"/>
  <c r="D11012" i="2"/>
  <c r="D10273" i="2"/>
  <c r="D4076" i="2"/>
  <c r="D8390" i="2"/>
  <c r="D1247" i="2"/>
  <c r="D8389" i="2"/>
  <c r="D8388" i="2"/>
  <c r="D8387" i="2"/>
  <c r="D11707" i="2"/>
  <c r="D6822" i="2"/>
  <c r="D4075" i="2"/>
  <c r="D8386" i="2"/>
  <c r="D11755" i="2"/>
  <c r="D8385" i="2"/>
  <c r="D4937" i="2"/>
  <c r="D1246" i="2"/>
  <c r="D2344" i="2"/>
  <c r="D3276" i="2"/>
  <c r="D1589" i="2"/>
  <c r="D6271" i="2"/>
  <c r="D1452" i="2"/>
  <c r="D1727" i="2"/>
  <c r="D11205" i="2"/>
  <c r="D8384" i="2"/>
  <c r="D8383" i="2"/>
  <c r="D8382" i="2"/>
  <c r="D14133" i="2"/>
  <c r="D11817" i="2"/>
  <c r="D13130" i="2"/>
  <c r="D14511" i="2"/>
  <c r="D1726" i="2"/>
  <c r="D7025" i="2"/>
  <c r="D3407" i="2"/>
  <c r="D10831" i="2"/>
  <c r="D12718" i="2"/>
  <c r="D8381" i="2"/>
  <c r="D5048" i="2"/>
  <c r="D1132" i="2"/>
  <c r="D1725" i="2"/>
  <c r="D8380" i="2"/>
  <c r="D6023" i="2"/>
  <c r="D3041" i="2"/>
  <c r="D8379" i="2"/>
  <c r="D10272" i="2"/>
  <c r="D8378" i="2"/>
  <c r="D12717" i="2"/>
  <c r="D4074" i="2"/>
  <c r="D4073" i="2"/>
  <c r="D3040" i="2"/>
  <c r="D8377" i="2"/>
  <c r="D9387" i="2"/>
  <c r="D6309" i="2"/>
  <c r="D2237" i="2"/>
  <c r="D4072" i="2"/>
  <c r="D7516" i="2"/>
  <c r="D9743" i="2"/>
  <c r="D8376" i="2"/>
  <c r="D8375" i="2"/>
  <c r="D14132" i="2"/>
  <c r="D6308" i="2"/>
  <c r="D12716" i="2"/>
  <c r="D4071" i="2"/>
  <c r="D11299" i="2"/>
  <c r="D3345" i="2"/>
  <c r="D11816" i="2"/>
  <c r="D4070" i="2"/>
  <c r="D6022" i="2"/>
  <c r="D14469" i="2"/>
  <c r="D9386" i="2"/>
  <c r="D2822" i="2"/>
  <c r="D13793" i="2"/>
  <c r="D3275" i="2"/>
  <c r="D9385" i="2"/>
  <c r="D14704" i="2"/>
  <c r="D8374" i="2"/>
  <c r="D8373" i="2"/>
  <c r="D8372" i="2"/>
  <c r="D11204" i="2"/>
  <c r="D8371" i="2"/>
  <c r="D5090" i="2"/>
  <c r="D12354" i="2"/>
  <c r="D3274" i="2"/>
  <c r="D9384" i="2"/>
  <c r="D9112" i="2"/>
  <c r="D4658" i="2"/>
  <c r="D9672" i="2"/>
  <c r="D241" i="2"/>
  <c r="D9577" i="2"/>
  <c r="D13843" i="2"/>
  <c r="D11439" i="2"/>
  <c r="D15123" i="2"/>
  <c r="D8370" i="2"/>
  <c r="D14131" i="2"/>
  <c r="D11643" i="2"/>
  <c r="D8369" i="2"/>
  <c r="D8368" i="2"/>
  <c r="D92" i="2"/>
  <c r="D12953" i="2"/>
  <c r="D8367" i="2"/>
  <c r="D9383" i="2"/>
  <c r="D6021" i="2"/>
  <c r="D9382" i="2"/>
  <c r="D6475" i="2"/>
  <c r="D12050" i="2"/>
  <c r="D6821" i="2"/>
  <c r="D4657" i="2"/>
  <c r="D4798" i="2"/>
  <c r="D10125" i="2"/>
  <c r="D5460" i="2"/>
  <c r="D6307" i="2"/>
  <c r="D12049" i="2"/>
  <c r="D9598" i="2"/>
  <c r="D9683" i="2"/>
  <c r="D9381" i="2"/>
  <c r="D7500" i="2"/>
  <c r="D2445" i="2"/>
  <c r="D863" i="2"/>
  <c r="D9742" i="2"/>
  <c r="D9923" i="2"/>
  <c r="D7024" i="2"/>
  <c r="D11414" i="2"/>
  <c r="D5089" i="2"/>
  <c r="D14948" i="2"/>
  <c r="D7365" i="2"/>
  <c r="D11382" i="2"/>
  <c r="D1451" i="2"/>
  <c r="D12539" i="2"/>
  <c r="D2087" i="2"/>
  <c r="D1327" i="2"/>
  <c r="D4069" i="2"/>
  <c r="D13428" i="2"/>
  <c r="D11011" i="2"/>
  <c r="D6662" i="2"/>
  <c r="D8366" i="2"/>
  <c r="D8365" i="2"/>
  <c r="D5024" i="2"/>
  <c r="D7118" i="2"/>
  <c r="D11203" i="2"/>
  <c r="D13792" i="2"/>
  <c r="D2236" i="2"/>
  <c r="D4068" i="2"/>
  <c r="D10095" i="2"/>
  <c r="D6972" i="2"/>
  <c r="D5737" i="2"/>
  <c r="D6020" i="2"/>
  <c r="D9741" i="2"/>
  <c r="D9922" i="2"/>
  <c r="D5680" i="2"/>
  <c r="D8364" i="2"/>
  <c r="D11010" i="2"/>
  <c r="D8363" i="2"/>
  <c r="D11609" i="2"/>
  <c r="D5379" i="2"/>
  <c r="D12048" i="2"/>
  <c r="D8362" i="2"/>
  <c r="D4067" i="2"/>
  <c r="D12715" i="2"/>
  <c r="D4925" i="2"/>
  <c r="D680" i="2"/>
  <c r="D6019" i="2"/>
  <c r="D11009" i="2"/>
  <c r="D7143" i="2"/>
  <c r="D1450" i="2"/>
  <c r="D4066" i="2"/>
  <c r="D6306" i="2"/>
  <c r="D2343" i="2"/>
  <c r="D1326" i="2"/>
  <c r="D14005" i="2"/>
  <c r="D2568" i="2"/>
  <c r="D4707" i="2"/>
  <c r="D208" i="2"/>
  <c r="D4065" i="2"/>
  <c r="D12714" i="2"/>
  <c r="D1861" i="2"/>
  <c r="D5088" i="2"/>
  <c r="D4064" i="2"/>
  <c r="D13039" i="2"/>
  <c r="D7053" i="2"/>
  <c r="D9380" i="2"/>
  <c r="D9379" i="2"/>
  <c r="D11798" i="2"/>
  <c r="D2235" i="2"/>
  <c r="D7117" i="2"/>
  <c r="D5339" i="2"/>
  <c r="D7222" i="2"/>
  <c r="D1724" i="2"/>
  <c r="D6934" i="2"/>
  <c r="D4063" i="2"/>
  <c r="D4062" i="2"/>
  <c r="D7364" i="2"/>
  <c r="D647" i="2"/>
  <c r="D572" i="2"/>
  <c r="D4061" i="2"/>
  <c r="D8361" i="2"/>
  <c r="D1026" i="2"/>
  <c r="D8360" i="2"/>
  <c r="D954" i="2"/>
  <c r="D14703" i="2"/>
  <c r="D4060" i="2"/>
  <c r="D9378" i="2"/>
  <c r="D1900" i="2"/>
  <c r="D13730" i="2"/>
  <c r="D14611" i="2"/>
  <c r="D11754" i="2"/>
  <c r="D12713" i="2"/>
  <c r="D10672" i="2"/>
  <c r="D6971" i="2"/>
  <c r="D8359" i="2"/>
  <c r="D11784" i="2"/>
  <c r="D1588" i="2"/>
  <c r="D1986" i="2"/>
  <c r="D467" i="2"/>
  <c r="D5087" i="2"/>
  <c r="D15005" i="2"/>
  <c r="D4807" i="2"/>
  <c r="D13347" i="2"/>
  <c r="D12423" i="2"/>
  <c r="D5135" i="2"/>
  <c r="D1723" i="2"/>
  <c r="D4059" i="2"/>
  <c r="D8358" i="2"/>
  <c r="D7052" i="2"/>
  <c r="D12047" i="2"/>
  <c r="D6018" i="2"/>
  <c r="D8357" i="2"/>
  <c r="D12337" i="2"/>
  <c r="D1587" i="2"/>
  <c r="D6900" i="2"/>
  <c r="D14130" i="2"/>
  <c r="D11574" i="2"/>
  <c r="D3071" i="2"/>
  <c r="D2342" i="2"/>
  <c r="D4631" i="2"/>
  <c r="D8356" i="2"/>
  <c r="D7077" i="2"/>
  <c r="D1131" i="2"/>
  <c r="D1130" i="2"/>
  <c r="D10427" i="2"/>
  <c r="D1368" i="2"/>
  <c r="D2509" i="2"/>
  <c r="D12422" i="2"/>
  <c r="D4058" i="2"/>
  <c r="D4057" i="2"/>
  <c r="D9921" i="2"/>
  <c r="D2234" i="2"/>
  <c r="D14508" i="2"/>
  <c r="D147" i="2"/>
  <c r="D6017" i="2"/>
  <c r="D785" i="2"/>
  <c r="D4706" i="2"/>
  <c r="D5252" i="2"/>
  <c r="D8355" i="2"/>
  <c r="D1245" i="2"/>
  <c r="D5004" i="2"/>
  <c r="D6601" i="2"/>
  <c r="D1325" i="2"/>
  <c r="D8354" i="2"/>
  <c r="D5355" i="2"/>
  <c r="D10618" i="2"/>
  <c r="D14004" i="2"/>
  <c r="D6899" i="2"/>
  <c r="D3406" i="2"/>
  <c r="D14129" i="2"/>
  <c r="D8353" i="2"/>
  <c r="D2621" i="2"/>
  <c r="D9920" i="2"/>
  <c r="D12046" i="2"/>
  <c r="D6016" i="2"/>
  <c r="D8352" i="2"/>
  <c r="D11008" i="2"/>
  <c r="D4056" i="2"/>
  <c r="D9377" i="2"/>
  <c r="D14128" i="2"/>
  <c r="D5689" i="2"/>
  <c r="D2597" i="2"/>
  <c r="D1826" i="2"/>
  <c r="D12983" i="2"/>
  <c r="D5086" i="2"/>
  <c r="D15003" i="2"/>
  <c r="D13858" i="2"/>
  <c r="D6270" i="2"/>
  <c r="D9376" i="2"/>
  <c r="D10058" i="2"/>
  <c r="D6708" i="2"/>
  <c r="D13266" i="2"/>
  <c r="D1794" i="2"/>
  <c r="D5085" i="2"/>
  <c r="D12273" i="2"/>
  <c r="D12045" i="2"/>
  <c r="D12044" i="2"/>
  <c r="D6015" i="2"/>
  <c r="D4055" i="2"/>
  <c r="D161" i="2"/>
  <c r="D6347" i="2"/>
  <c r="D4054" i="2"/>
  <c r="D7116" i="2"/>
  <c r="D3033" i="2"/>
  <c r="D6392" i="2"/>
  <c r="D8351" i="2"/>
  <c r="D14127" i="2"/>
  <c r="D1392" i="2"/>
  <c r="D1586" i="2"/>
  <c r="D5459" i="2"/>
  <c r="D6820" i="2"/>
  <c r="D8350" i="2"/>
  <c r="D5242" i="2"/>
  <c r="D5084" i="2"/>
  <c r="D7092" i="2"/>
  <c r="D9919" i="2"/>
  <c r="D10426" i="2"/>
  <c r="D9695" i="2"/>
  <c r="D1324" i="2"/>
  <c r="D10271" i="2"/>
  <c r="D1793" i="2"/>
  <c r="D4053" i="2"/>
  <c r="D4052" i="2"/>
  <c r="D4051" i="2"/>
  <c r="D351" i="2"/>
  <c r="D1244" i="2"/>
  <c r="D14126" i="2"/>
  <c r="D12272" i="2"/>
  <c r="D1129" i="2"/>
  <c r="D5359" i="2"/>
  <c r="D4050" i="2"/>
  <c r="D1883" i="2"/>
  <c r="D4860" i="2"/>
  <c r="D13826" i="2"/>
  <c r="D11495" i="2"/>
  <c r="D413" i="2"/>
  <c r="D2821" i="2"/>
  <c r="D11494" i="2"/>
  <c r="D10270" i="2"/>
  <c r="D5003" i="2"/>
  <c r="D2233" i="2"/>
  <c r="D11007" i="2"/>
  <c r="D11493" i="2"/>
  <c r="D9375" i="2"/>
  <c r="D4049" i="2"/>
  <c r="D2232" i="2"/>
  <c r="D4048" i="2"/>
  <c r="D7400" i="2"/>
  <c r="D4563" i="2"/>
  <c r="D6014" i="2"/>
  <c r="D953" i="2"/>
  <c r="D4047" i="2"/>
  <c r="D4046" i="2"/>
  <c r="D6013" i="2"/>
  <c r="D9374" i="2"/>
  <c r="D6819" i="2"/>
  <c r="D3309" i="2"/>
  <c r="D11006" i="2"/>
  <c r="D5083" i="2"/>
  <c r="D13018" i="2"/>
  <c r="D4045" i="2"/>
  <c r="D5721" i="2"/>
  <c r="D784" i="2"/>
  <c r="D952" i="2"/>
  <c r="D4044" i="2"/>
  <c r="D4543" i="2"/>
  <c r="D8349" i="2"/>
  <c r="D3429" i="2"/>
  <c r="D1025" i="2"/>
  <c r="D4924" i="2"/>
  <c r="D11005" i="2"/>
  <c r="D12101" i="2"/>
  <c r="D4043" i="2"/>
  <c r="D10644" i="2"/>
  <c r="D8348" i="2"/>
  <c r="D8347" i="2"/>
  <c r="D11004" i="2"/>
  <c r="D8346" i="2"/>
  <c r="D13307" i="2"/>
  <c r="D7399" i="2"/>
  <c r="D12712" i="2"/>
  <c r="D12711" i="2"/>
  <c r="D4042" i="2"/>
  <c r="D11003" i="2"/>
  <c r="D5182" i="2"/>
  <c r="D12271" i="2"/>
  <c r="D13501" i="2"/>
  <c r="D4041" i="2"/>
  <c r="D13066" i="2"/>
  <c r="D4040" i="2"/>
  <c r="D11646" i="2"/>
  <c r="D9373" i="2"/>
  <c r="D8345" i="2"/>
  <c r="D4039" i="2"/>
  <c r="D9918" i="2"/>
  <c r="D14562" i="2"/>
  <c r="D12405" i="2"/>
  <c r="D12710" i="2"/>
  <c r="D4038" i="2"/>
  <c r="D12709" i="2"/>
  <c r="D6970" i="2"/>
  <c r="D4037" i="2"/>
  <c r="D8344" i="2"/>
  <c r="D12708" i="2"/>
  <c r="D1834" i="2"/>
  <c r="D12707" i="2"/>
  <c r="D479" i="2"/>
  <c r="D10837" i="2"/>
  <c r="D9757" i="2"/>
  <c r="D4036" i="2"/>
  <c r="D12706" i="2"/>
  <c r="D8343" i="2"/>
  <c r="D3328" i="2"/>
  <c r="D6213" i="2"/>
  <c r="D13740" i="2"/>
  <c r="D15122" i="2"/>
  <c r="D11912" i="2"/>
  <c r="D8342" i="2"/>
  <c r="D14702" i="2"/>
  <c r="D1128" i="2"/>
  <c r="D8341" i="2"/>
  <c r="D14240" i="2"/>
  <c r="D4035" i="2"/>
  <c r="D4034" i="2"/>
  <c r="D11327" i="2"/>
  <c r="D11706" i="2"/>
  <c r="D6012" i="2"/>
  <c r="D4851" i="2"/>
  <c r="D9372" i="2"/>
  <c r="D15121" i="2"/>
  <c r="D9602" i="2"/>
  <c r="D12043" i="2"/>
  <c r="D10269" i="2"/>
  <c r="D6474" i="2"/>
  <c r="D12705" i="2"/>
  <c r="D8340" i="2"/>
  <c r="D12897" i="2"/>
  <c r="D7071" i="2"/>
  <c r="D14003" i="2"/>
  <c r="D9371" i="2"/>
  <c r="D10268" i="2"/>
  <c r="D1243" i="2"/>
  <c r="D10149" i="2"/>
  <c r="D12042" i="2"/>
  <c r="D6212" i="2"/>
  <c r="D9682" i="2"/>
  <c r="D4033" i="2"/>
  <c r="D1242" i="2"/>
  <c r="D5360" i="2"/>
  <c r="D12353" i="2"/>
  <c r="D1825" i="2"/>
  <c r="D2674" i="2"/>
  <c r="D1024" i="2"/>
  <c r="D6818" i="2"/>
  <c r="D8339" i="2"/>
  <c r="D6969" i="2"/>
  <c r="D10425" i="2"/>
  <c r="D5082" i="2"/>
  <c r="D4032" i="2"/>
  <c r="D1985" i="2"/>
  <c r="D12704" i="2"/>
  <c r="D8338" i="2"/>
  <c r="D14278" i="2"/>
  <c r="D6968" i="2"/>
  <c r="D11002" i="2"/>
  <c r="D6011" i="2"/>
  <c r="D11403" i="2"/>
  <c r="D9370" i="2"/>
  <c r="D14125" i="2"/>
  <c r="D3070" i="2"/>
  <c r="D10267" i="2"/>
  <c r="D8337" i="2"/>
  <c r="D2486" i="2"/>
  <c r="D1585" i="2"/>
  <c r="D10266" i="2"/>
  <c r="D4741" i="2"/>
  <c r="D3069" i="2"/>
  <c r="D41" i="2"/>
  <c r="D4031" i="2"/>
  <c r="D12270" i="2"/>
  <c r="D1984" i="2"/>
  <c r="D2673" i="2"/>
  <c r="D14124" i="2"/>
  <c r="D951" i="2"/>
  <c r="D1878" i="2"/>
  <c r="D12041" i="2"/>
  <c r="D12703" i="2"/>
  <c r="D2820" i="2"/>
  <c r="D12040" i="2"/>
  <c r="D9369" i="2"/>
  <c r="D10014" i="2"/>
  <c r="D1023" i="2"/>
  <c r="D4583" i="2"/>
  <c r="D11001" i="2"/>
  <c r="D4740" i="2"/>
  <c r="D10265" i="2"/>
  <c r="D6010" i="2"/>
  <c r="D2819" i="2"/>
  <c r="D9368" i="2"/>
  <c r="D14470" i="2"/>
  <c r="D13265" i="2"/>
  <c r="D11886" i="2"/>
  <c r="D1127" i="2"/>
  <c r="D8336" i="2"/>
  <c r="D12352" i="2"/>
  <c r="D6009" i="2"/>
  <c r="D8335" i="2"/>
  <c r="D13264" i="2"/>
  <c r="D11885" i="2"/>
  <c r="D5365" i="2"/>
  <c r="D4030" i="2"/>
  <c r="D9367" i="2"/>
  <c r="D2579" i="2"/>
  <c r="D4029" i="2"/>
  <c r="D4656" i="2"/>
  <c r="D4028" i="2"/>
  <c r="D9366" i="2"/>
  <c r="D12039" i="2"/>
  <c r="D6008" i="2"/>
  <c r="D10424" i="2"/>
  <c r="D9917" i="2"/>
  <c r="D9681" i="2"/>
  <c r="D6007" i="2"/>
  <c r="D4027" i="2"/>
  <c r="D10527" i="2"/>
  <c r="D10751" i="2"/>
  <c r="D8334" i="2"/>
  <c r="D9803" i="2"/>
  <c r="D6542" i="2"/>
  <c r="D5500" i="2"/>
  <c r="D6006" i="2"/>
  <c r="D1860" i="2"/>
  <c r="D267" i="2"/>
  <c r="D8333" i="2"/>
  <c r="D4026" i="2"/>
  <c r="D1126" i="2"/>
  <c r="D13590" i="2"/>
  <c r="D10264" i="2"/>
  <c r="D5081" i="2"/>
  <c r="D9365" i="2"/>
  <c r="D5509" i="2"/>
  <c r="D12038" i="2"/>
  <c r="D14123" i="2"/>
  <c r="D14490" i="2"/>
  <c r="D1241" i="2"/>
  <c r="D5560" i="2"/>
  <c r="D5481" i="2"/>
  <c r="D12702" i="2"/>
  <c r="D8332" i="2"/>
  <c r="D1240" i="2"/>
  <c r="D15293" i="2"/>
  <c r="D14504" i="2"/>
  <c r="D3160" i="2"/>
  <c r="D9364" i="2"/>
  <c r="D7076" i="2"/>
  <c r="D2555" i="2"/>
  <c r="D9916" i="2"/>
  <c r="D9363" i="2"/>
  <c r="D4025" i="2"/>
  <c r="D13500" i="2"/>
  <c r="D11927" i="2"/>
  <c r="D9362" i="2"/>
  <c r="D8331" i="2"/>
  <c r="D2818" i="2"/>
  <c r="D6278" i="2"/>
  <c r="D12538" i="2"/>
  <c r="D11656" i="2"/>
  <c r="D8330" i="2"/>
  <c r="D2817" i="2"/>
  <c r="D13688" i="2"/>
  <c r="D12701" i="2"/>
  <c r="D12700" i="2"/>
  <c r="D12699" i="2"/>
  <c r="D3097" i="2"/>
  <c r="D4024" i="2"/>
  <c r="D4023" i="2"/>
  <c r="D9795" i="2"/>
  <c r="D5421" i="2"/>
  <c r="D9915" i="2"/>
  <c r="D1824" i="2"/>
  <c r="D11917" i="2"/>
  <c r="D2816" i="2"/>
  <c r="D5354" i="2"/>
  <c r="D13263" i="2"/>
  <c r="D11884" i="2"/>
  <c r="D5039" i="2"/>
  <c r="D12037" i="2"/>
  <c r="D7142" i="2"/>
  <c r="D7297" i="2"/>
  <c r="D2480" i="2"/>
  <c r="D174" i="2"/>
  <c r="D4022" i="2"/>
  <c r="D6005" i="2"/>
  <c r="D6004" i="2"/>
  <c r="D6192" i="2"/>
  <c r="D2815" i="2"/>
  <c r="D1239" i="2"/>
  <c r="D11000" i="2"/>
  <c r="D8329" i="2"/>
  <c r="D610" i="2"/>
  <c r="D9361" i="2"/>
  <c r="D1918" i="2"/>
  <c r="D783" i="2"/>
  <c r="D12036" i="2"/>
  <c r="D1022" i="2"/>
  <c r="D4021" i="2"/>
  <c r="D9134" i="2"/>
  <c r="D4020" i="2"/>
  <c r="D8328" i="2"/>
  <c r="D24" i="2"/>
  <c r="D10528" i="2"/>
  <c r="D8327" i="2"/>
  <c r="D12698" i="2"/>
  <c r="D1125" i="2"/>
  <c r="D3273" i="2"/>
  <c r="D3272" i="2"/>
  <c r="D8326" i="2"/>
  <c r="D4019" i="2"/>
  <c r="D2814" i="2"/>
  <c r="D6875" i="2"/>
  <c r="D9360" i="2"/>
  <c r="D7141" i="2"/>
  <c r="D6933" i="2"/>
  <c r="D4791" i="2"/>
  <c r="D4018" i="2"/>
  <c r="D10263" i="2"/>
  <c r="D14034" i="2"/>
  <c r="D7515" i="2"/>
  <c r="D14701" i="2"/>
  <c r="D10262" i="2"/>
  <c r="D6003" i="2"/>
  <c r="D4017" i="2"/>
  <c r="D8325" i="2"/>
  <c r="D12697" i="2"/>
  <c r="D1584" i="2"/>
  <c r="D4016" i="2"/>
  <c r="D11492" i="2"/>
  <c r="D7009" i="2"/>
  <c r="D11202" i="2"/>
  <c r="D334" i="2"/>
  <c r="D6002" i="2"/>
  <c r="D13791" i="2"/>
  <c r="D4015" i="2"/>
  <c r="D11491" i="2"/>
  <c r="D9359" i="2"/>
  <c r="D1124" i="2"/>
  <c r="D2379" i="2"/>
  <c r="D12035" i="2"/>
  <c r="D4014" i="2"/>
  <c r="D11490" i="2"/>
  <c r="D6001" i="2"/>
  <c r="D6473" i="2"/>
  <c r="D4013" i="2"/>
  <c r="D4012" i="2"/>
  <c r="D10423" i="2"/>
  <c r="D10999" i="2"/>
  <c r="D782" i="2"/>
  <c r="D6000" i="2"/>
  <c r="D1323" i="2"/>
  <c r="D14815" i="2"/>
  <c r="D2086" i="2"/>
  <c r="D14255" i="2"/>
  <c r="D9756" i="2"/>
  <c r="D6305" i="2"/>
  <c r="D5080" i="2"/>
  <c r="D7483" i="2"/>
  <c r="D12269" i="2"/>
  <c r="D2508" i="2"/>
  <c r="D15292" i="2"/>
  <c r="D11201" i="2"/>
  <c r="D13907" i="2"/>
  <c r="D5999" i="2"/>
  <c r="D4588" i="2"/>
  <c r="D5998" i="2"/>
  <c r="D12034" i="2"/>
  <c r="D4011" i="2"/>
  <c r="D1722" i="2"/>
  <c r="D14036" i="2"/>
  <c r="D12896" i="2"/>
  <c r="D5023" i="2"/>
  <c r="D9666" i="2"/>
  <c r="D1238" i="2"/>
  <c r="D1583" i="2"/>
  <c r="D14844" i="2"/>
  <c r="D4859" i="2"/>
  <c r="D9638" i="2"/>
  <c r="D14122" i="2"/>
  <c r="D10261" i="2"/>
  <c r="D1721" i="2"/>
  <c r="D5079" i="2"/>
  <c r="D12696" i="2"/>
  <c r="D4010" i="2"/>
  <c r="D13427" i="2"/>
  <c r="D5997" i="2"/>
  <c r="D8324" i="2"/>
  <c r="D15120" i="2"/>
  <c r="D8323" i="2"/>
  <c r="D9358" i="2"/>
  <c r="D12982" i="2"/>
  <c r="D12033" i="2"/>
  <c r="D14364" i="2"/>
  <c r="D8322" i="2"/>
  <c r="D10681" i="2"/>
  <c r="D9357" i="2"/>
  <c r="D9356" i="2"/>
  <c r="D2813" i="2"/>
  <c r="D10998" i="2"/>
  <c r="D11340" i="2"/>
  <c r="D12268" i="2"/>
  <c r="D8321" i="2"/>
  <c r="D524" i="2"/>
  <c r="D5038" i="2"/>
  <c r="D4947" i="2"/>
  <c r="D4009" i="2"/>
  <c r="D5996" i="2"/>
  <c r="D4008" i="2"/>
  <c r="D12378" i="2"/>
  <c r="D12537" i="2"/>
  <c r="D5615" i="2"/>
  <c r="D15240" i="2"/>
  <c r="D43" i="2"/>
  <c r="D4007" i="2"/>
  <c r="D5508" i="2"/>
  <c r="D12267" i="2"/>
  <c r="D4006" i="2"/>
  <c r="D11659" i="2"/>
  <c r="D8320" i="2"/>
  <c r="D1823" i="2"/>
  <c r="D12895" i="2"/>
  <c r="D4005" i="2"/>
  <c r="D12695" i="2"/>
  <c r="D626" i="2"/>
  <c r="D9355" i="2"/>
  <c r="D8319" i="2"/>
  <c r="D8318" i="2"/>
  <c r="D1836" i="2"/>
  <c r="D4790" i="2"/>
  <c r="D11434" i="2"/>
  <c r="D11489" i="2"/>
  <c r="D12694" i="2"/>
  <c r="D7499" i="2"/>
  <c r="D10997" i="2"/>
  <c r="D42" i="2"/>
  <c r="D12336" i="2"/>
  <c r="D4896" i="2"/>
  <c r="D8317" i="2"/>
  <c r="D4923" i="2"/>
  <c r="D6616" i="2"/>
  <c r="D11573" i="2"/>
  <c r="D11321" i="2"/>
  <c r="D5002" i="2"/>
  <c r="D4004" i="2"/>
  <c r="D1237" i="2"/>
  <c r="D6967" i="2"/>
  <c r="D1322" i="2"/>
  <c r="D12693" i="2"/>
  <c r="D6237" i="2"/>
  <c r="D9354" i="2"/>
  <c r="D862" i="2"/>
  <c r="D6998" i="2"/>
  <c r="D1236" i="2"/>
  <c r="D13917" i="2"/>
  <c r="D14" i="2"/>
  <c r="D14786" i="2"/>
  <c r="D4976" i="2"/>
  <c r="D8316" i="2"/>
  <c r="D6211" i="2"/>
  <c r="D2341" i="2"/>
  <c r="D12032" i="2"/>
  <c r="D2444" i="2"/>
  <c r="D4922" i="2"/>
  <c r="D9353" i="2"/>
  <c r="D586" i="2"/>
  <c r="D1663" i="2"/>
  <c r="D5426" i="2"/>
  <c r="D5735" i="2"/>
  <c r="D11200" i="2"/>
  <c r="D12692" i="2"/>
  <c r="D4003" i="2"/>
  <c r="D9914" i="2"/>
  <c r="D8315" i="2"/>
  <c r="D13373" i="2"/>
  <c r="D4002" i="2"/>
  <c r="D1449" i="2"/>
  <c r="D12266" i="2"/>
  <c r="D8314" i="2"/>
  <c r="D11488" i="2"/>
  <c r="D8313" i="2"/>
  <c r="D1123" i="2"/>
  <c r="D3405" i="2"/>
  <c r="D2443" i="2"/>
  <c r="D13322" i="2"/>
  <c r="D4001" i="2"/>
  <c r="D14121" i="2"/>
  <c r="D10260" i="2"/>
  <c r="D4000" i="2"/>
  <c r="D8312" i="2"/>
  <c r="D12031" i="2"/>
  <c r="D10057" i="2"/>
  <c r="D6707" i="2"/>
  <c r="D3999" i="2"/>
  <c r="D13426" i="2"/>
  <c r="D523" i="2"/>
  <c r="D2231" i="2"/>
  <c r="D9352" i="2"/>
  <c r="D5505" i="2"/>
  <c r="D1235" i="2"/>
  <c r="D781" i="2"/>
  <c r="D5995" i="2"/>
  <c r="D5994" i="2"/>
  <c r="D12691" i="2"/>
  <c r="D3998" i="2"/>
  <c r="D3997" i="2"/>
  <c r="D2376" i="2"/>
  <c r="D10820" i="2"/>
  <c r="D12690" i="2"/>
  <c r="D8311" i="2"/>
  <c r="D8310" i="2"/>
  <c r="D11768" i="2"/>
  <c r="D5507" i="2"/>
  <c r="D12030" i="2"/>
  <c r="D5993" i="2"/>
  <c r="D27" i="2"/>
  <c r="D12029" i="2"/>
  <c r="D3996" i="2"/>
  <c r="D3995" i="2"/>
  <c r="D10996" i="2"/>
  <c r="D10259" i="2"/>
  <c r="D10840" i="2"/>
  <c r="D15010" i="2"/>
  <c r="D6472" i="2"/>
  <c r="D3994" i="2"/>
  <c r="D5445" i="2"/>
  <c r="D3993" i="2"/>
  <c r="D273" i="2"/>
  <c r="D11804" i="2"/>
  <c r="D15268" i="2"/>
  <c r="D14394" i="2"/>
  <c r="D1234" i="2"/>
  <c r="D1582" i="2"/>
  <c r="D194" i="2"/>
  <c r="D14823" i="2"/>
  <c r="D1720" i="2"/>
  <c r="D8309" i="2"/>
  <c r="D12981" i="2"/>
  <c r="D73" i="2"/>
  <c r="D5078" i="2"/>
  <c r="D13129" i="2"/>
  <c r="D5274" i="2"/>
  <c r="D8308" i="2"/>
  <c r="D14120" i="2"/>
  <c r="D13586" i="2"/>
  <c r="D8307" i="2"/>
  <c r="D2230" i="2"/>
  <c r="D3992" i="2"/>
  <c r="D1122" i="2"/>
  <c r="D6932" i="2"/>
  <c r="D3991" i="2"/>
  <c r="D1448" i="2"/>
  <c r="D8306" i="2"/>
  <c r="D10422" i="2"/>
  <c r="D1391" i="2"/>
  <c r="D10421" i="2"/>
  <c r="D11487" i="2"/>
  <c r="D191" i="2"/>
  <c r="D14814" i="2"/>
  <c r="D3159" i="2"/>
  <c r="D12028" i="2"/>
  <c r="D8305" i="2"/>
  <c r="D9913" i="2"/>
  <c r="D8304" i="2"/>
  <c r="D5992" i="2"/>
  <c r="D1367" i="2"/>
  <c r="D384" i="2"/>
  <c r="D1581" i="2"/>
  <c r="D8303" i="2"/>
  <c r="D13929" i="2"/>
  <c r="D3990" i="2"/>
  <c r="D11486" i="2"/>
  <c r="D6615" i="2"/>
  <c r="D8302" i="2"/>
  <c r="D9125" i="2"/>
  <c r="D8301" i="2"/>
  <c r="D3271" i="2"/>
  <c r="D11532" i="2"/>
  <c r="D13499" i="2"/>
  <c r="D12265" i="2"/>
  <c r="D3989" i="2"/>
  <c r="D4862" i="2"/>
  <c r="D395" i="2"/>
  <c r="D780" i="2"/>
  <c r="D8300" i="2"/>
  <c r="D12689" i="2"/>
  <c r="D1390" i="2"/>
  <c r="D12509" i="2"/>
  <c r="D7178" i="2"/>
  <c r="D127" i="2"/>
  <c r="D15119" i="2"/>
  <c r="D4655" i="2"/>
  <c r="D224" i="2"/>
  <c r="D8299" i="2"/>
  <c r="D3988" i="2"/>
  <c r="D779" i="2"/>
  <c r="D13079" i="2"/>
  <c r="D9146" i="2"/>
  <c r="D8298" i="2"/>
  <c r="D12027" i="2"/>
  <c r="D8297" i="2"/>
  <c r="D12688" i="2"/>
  <c r="D8296" i="2"/>
  <c r="D6455" i="2"/>
  <c r="D9912" i="2"/>
  <c r="D5991" i="2"/>
  <c r="D12687" i="2"/>
  <c r="D8295" i="2"/>
  <c r="D1447" i="2"/>
  <c r="D8294" i="2"/>
  <c r="D11326" i="2"/>
  <c r="D619" i="2"/>
  <c r="D3987" i="2"/>
  <c r="D5679" i="2"/>
  <c r="D10" i="2"/>
  <c r="D9740" i="2"/>
  <c r="D9911" i="2"/>
  <c r="D3986" i="2"/>
  <c r="D129" i="2"/>
  <c r="D5001" i="2"/>
  <c r="D12450" i="2"/>
  <c r="D3985" i="2"/>
  <c r="D8293" i="2"/>
  <c r="D9351" i="2"/>
  <c r="D11853" i="2"/>
  <c r="D9350" i="2"/>
  <c r="D10995" i="2"/>
  <c r="D13323" i="2"/>
  <c r="D12493" i="2"/>
  <c r="D5990" i="2"/>
  <c r="D5639" i="2"/>
  <c r="D13670" i="2"/>
  <c r="D7075" i="2"/>
  <c r="D8292" i="2"/>
  <c r="D9802" i="2"/>
  <c r="D151" i="2"/>
  <c r="D14119" i="2"/>
  <c r="D7015" i="2"/>
  <c r="D10420" i="2"/>
  <c r="D339" i="2"/>
  <c r="D9124" i="2"/>
  <c r="D12686" i="2"/>
  <c r="D9713" i="2"/>
  <c r="D5989" i="2"/>
  <c r="D14460" i="2"/>
  <c r="D861" i="2"/>
  <c r="D3984" i="2"/>
  <c r="D1233" i="2"/>
  <c r="D12026" i="2"/>
  <c r="D3983" i="2"/>
  <c r="D8291" i="2"/>
  <c r="D13572" i="2"/>
  <c r="D12025" i="2"/>
  <c r="D20" i="2"/>
  <c r="D8290" i="2"/>
  <c r="D5988" i="2"/>
  <c r="D1232" i="2"/>
  <c r="D12685" i="2"/>
  <c r="D7333" i="2"/>
  <c r="D14561" i="2"/>
  <c r="D14489" i="2"/>
  <c r="D9349" i="2"/>
  <c r="D320" i="2"/>
  <c r="D12684" i="2"/>
  <c r="D13128" i="2"/>
  <c r="D12683" i="2"/>
  <c r="D2229" i="2"/>
  <c r="D2812" i="2"/>
  <c r="D3982" i="2"/>
  <c r="D9910" i="2"/>
  <c r="D6817" i="2"/>
  <c r="D6898" i="2"/>
  <c r="D3981" i="2"/>
  <c r="D9348" i="2"/>
  <c r="D12134" i="2"/>
  <c r="D1580" i="2"/>
  <c r="D1321" i="2"/>
  <c r="D522" i="2"/>
  <c r="D7066" i="2"/>
  <c r="D15255" i="2"/>
  <c r="D14118" i="2"/>
  <c r="D3404" i="2"/>
  <c r="D304" i="2"/>
  <c r="D9909" i="2"/>
  <c r="D186" i="2"/>
  <c r="D8289" i="2"/>
  <c r="D5559" i="2"/>
  <c r="D1021" i="2"/>
  <c r="D10640" i="2"/>
  <c r="D1446" i="2"/>
  <c r="D5987" i="2"/>
  <c r="D12264" i="2"/>
  <c r="D553" i="2"/>
  <c r="D9347" i="2"/>
  <c r="D3308" i="2"/>
  <c r="D12351" i="2"/>
  <c r="D9346" i="2"/>
  <c r="D7453" i="2"/>
  <c r="D10094" i="2"/>
  <c r="D14452" i="2"/>
  <c r="D13663" i="2"/>
  <c r="D8288" i="2"/>
  <c r="D1231" i="2"/>
  <c r="D4616" i="2"/>
  <c r="D2567" i="2"/>
  <c r="D4705" i="2"/>
  <c r="D11913" i="2"/>
  <c r="D11705" i="2"/>
  <c r="D8287" i="2"/>
  <c r="D2986" i="2"/>
  <c r="D2985" i="2"/>
  <c r="D14700" i="2"/>
  <c r="D11774" i="2"/>
  <c r="D1445" i="2"/>
  <c r="D11839" i="2"/>
  <c r="D11358" i="2"/>
  <c r="D10804" i="2"/>
  <c r="D14699" i="2"/>
  <c r="D9345" i="2"/>
  <c r="D10803" i="2"/>
  <c r="D12263" i="2"/>
  <c r="D12262" i="2"/>
  <c r="D10802" i="2"/>
  <c r="D14393" i="2"/>
  <c r="D9344" i="2"/>
  <c r="D2984" i="2"/>
  <c r="D9343" i="2"/>
  <c r="D7471" i="2"/>
  <c r="D2983" i="2"/>
  <c r="D3980" i="2"/>
  <c r="D14698" i="2"/>
  <c r="D9782" i="2"/>
  <c r="D5302" i="2"/>
  <c r="D6521" i="2"/>
  <c r="D7140" i="2"/>
  <c r="D7259" i="2"/>
  <c r="D3979" i="2"/>
  <c r="D5000" i="2"/>
  <c r="D15118" i="2"/>
  <c r="D2982" i="2"/>
  <c r="D7221" i="2"/>
  <c r="D1719" i="2"/>
  <c r="D3978" i="2"/>
  <c r="D13050" i="2"/>
  <c r="D15253" i="2"/>
  <c r="D11704" i="2"/>
  <c r="D8286" i="2"/>
  <c r="D6520" i="2"/>
  <c r="D10801" i="2"/>
  <c r="D3977" i="2"/>
  <c r="D9908" i="2"/>
  <c r="D778" i="2"/>
  <c r="D15117" i="2"/>
  <c r="D9342" i="2"/>
  <c r="D5986" i="2"/>
  <c r="D5985" i="2"/>
  <c r="D2811" i="2"/>
  <c r="D12508" i="2"/>
  <c r="D14392" i="2"/>
  <c r="D7220" i="2"/>
  <c r="D1718" i="2"/>
  <c r="D6931" i="2"/>
  <c r="D8285" i="2"/>
  <c r="D12261" i="2"/>
  <c r="D14697" i="2"/>
  <c r="D10994" i="2"/>
  <c r="D7296" i="2"/>
  <c r="D2228" i="2"/>
  <c r="D2227" i="2"/>
  <c r="D5150" i="2"/>
  <c r="D9341" i="2"/>
  <c r="D5984" i="2"/>
  <c r="D2085" i="2"/>
  <c r="D8284" i="2"/>
  <c r="D8283" i="2"/>
  <c r="D14696" i="2"/>
  <c r="D10568" i="2"/>
  <c r="D11773" i="2"/>
  <c r="D11572" i="2"/>
  <c r="D8282" i="2"/>
  <c r="D2507" i="2"/>
  <c r="D2810" i="2"/>
  <c r="D9340" i="2"/>
  <c r="D11485" i="2"/>
  <c r="D14391" i="2"/>
  <c r="D3976" i="2"/>
  <c r="D3975" i="2"/>
  <c r="D3974" i="2"/>
  <c r="D15116" i="2"/>
  <c r="D3973" i="2"/>
  <c r="D3972" i="2"/>
  <c r="D11298" i="2"/>
  <c r="D8281" i="2"/>
  <c r="D13825" i="2"/>
  <c r="D8280" i="2"/>
  <c r="D5983" i="2"/>
  <c r="D14761" i="2"/>
  <c r="D12464" i="2"/>
  <c r="D8279" i="2"/>
  <c r="D9339" i="2"/>
  <c r="D2655" i="2"/>
  <c r="D2226" i="2"/>
  <c r="D2225" i="2"/>
  <c r="D3971" i="2"/>
  <c r="D6722" i="2"/>
  <c r="D9907" i="2"/>
  <c r="D2901" i="2"/>
  <c r="D4654" i="2"/>
  <c r="D3970" i="2"/>
  <c r="D3969" i="2"/>
  <c r="D3968" i="2"/>
  <c r="D5982" i="2"/>
  <c r="D12260" i="2"/>
  <c r="D13763" i="2"/>
  <c r="D15115" i="2"/>
  <c r="D10646" i="2"/>
  <c r="D3967" i="2"/>
  <c r="D1579" i="2"/>
  <c r="D8278" i="2"/>
  <c r="D4858" i="2"/>
  <c r="D2506" i="2"/>
  <c r="D9825" i="2"/>
  <c r="D2224" i="2"/>
  <c r="D14248" i="2"/>
  <c r="D6600" i="2"/>
  <c r="D5981" i="2"/>
  <c r="D2223" i="2"/>
  <c r="D14695" i="2"/>
  <c r="D3068" i="2"/>
  <c r="D8277" i="2"/>
  <c r="D9338" i="2"/>
  <c r="D3966" i="2"/>
  <c r="D8276" i="2"/>
  <c r="D3965" i="2"/>
  <c r="D14694" i="2"/>
  <c r="D6210" i="2"/>
  <c r="D1853" i="2"/>
  <c r="D3270" i="2"/>
  <c r="D3269" i="2"/>
  <c r="D2222" i="2"/>
  <c r="D3964" i="2"/>
  <c r="D8275" i="2"/>
  <c r="D7470" i="2"/>
  <c r="D9337" i="2"/>
  <c r="D11350" i="2"/>
  <c r="D8274" i="2"/>
  <c r="D2221" i="2"/>
  <c r="D13038" i="2"/>
  <c r="D7200" i="2"/>
  <c r="D12536" i="2"/>
  <c r="D6816" i="2"/>
  <c r="D3422" i="2"/>
  <c r="D8273" i="2"/>
  <c r="D15114" i="2"/>
  <c r="D11396" i="2"/>
  <c r="D15113" i="2"/>
  <c r="D2690" i="2"/>
  <c r="D13090" i="2"/>
  <c r="D15112" i="2"/>
  <c r="D2654" i="2"/>
  <c r="D8272" i="2"/>
  <c r="D13363" i="2"/>
  <c r="D9906" i="2"/>
  <c r="D14347" i="2"/>
  <c r="D1578" i="2"/>
  <c r="D15111" i="2"/>
  <c r="D13544" i="2"/>
  <c r="D14451" i="2"/>
  <c r="D5980" i="2"/>
  <c r="D13543" i="2"/>
  <c r="D1872" i="2"/>
  <c r="D13542" i="2"/>
  <c r="D12133" i="2"/>
  <c r="D12492" i="2"/>
  <c r="D13628" i="2"/>
  <c r="D10544" i="2"/>
  <c r="D5979" i="2"/>
  <c r="D12404" i="2"/>
  <c r="D11703" i="2"/>
  <c r="D13362" i="2"/>
  <c r="D5978" i="2"/>
  <c r="D11571" i="2"/>
  <c r="D3963" i="2"/>
  <c r="D1577" i="2"/>
  <c r="D10258" i="2"/>
  <c r="D11297" i="2"/>
  <c r="D8271" i="2"/>
  <c r="D3962" i="2"/>
  <c r="D7115" i="2"/>
  <c r="D2442" i="2"/>
  <c r="D5022" i="2"/>
  <c r="D2220" i="2"/>
  <c r="D1792" i="2"/>
  <c r="D7166" i="2"/>
  <c r="D3961" i="2"/>
  <c r="D9336" i="2"/>
  <c r="D2899" i="2"/>
  <c r="D12491" i="2"/>
  <c r="D15110" i="2"/>
  <c r="D12132" i="2"/>
  <c r="D15109" i="2"/>
  <c r="D4680" i="2"/>
  <c r="D9637" i="2"/>
  <c r="D10993" i="2"/>
  <c r="D8270" i="2"/>
  <c r="D7363" i="2"/>
  <c r="D11570" i="2"/>
  <c r="D14117" i="2"/>
  <c r="D8269" i="2"/>
  <c r="D14353" i="2"/>
  <c r="D777" i="2"/>
  <c r="D6930" i="2"/>
  <c r="D2219" i="2"/>
  <c r="D9335" i="2"/>
  <c r="D6391" i="2"/>
  <c r="D8268" i="2"/>
  <c r="D12131" i="2"/>
  <c r="D13541" i="2"/>
  <c r="D9334" i="2"/>
  <c r="D6929" i="2"/>
  <c r="D13302" i="2"/>
  <c r="D12980" i="2"/>
  <c r="D11199" i="2"/>
  <c r="D13627" i="2"/>
  <c r="D15108" i="2"/>
  <c r="D6721" i="2"/>
  <c r="D2612" i="2"/>
  <c r="D11484" i="2"/>
  <c r="D1576" i="2"/>
  <c r="D9333" i="2"/>
  <c r="D14780" i="2"/>
  <c r="D14693" i="2"/>
  <c r="D596" i="2"/>
  <c r="D11425" i="2"/>
  <c r="D3960" i="2"/>
  <c r="D6720" i="2"/>
  <c r="D8267" i="2"/>
  <c r="D4597" i="2"/>
  <c r="D7295" i="2"/>
  <c r="D9332" i="2"/>
  <c r="D5977" i="2"/>
  <c r="D12259" i="2"/>
  <c r="D3067" i="2"/>
  <c r="D5625" i="2"/>
  <c r="D5301" i="2"/>
  <c r="D4965" i="2"/>
  <c r="D7219" i="2"/>
  <c r="D1717" i="2"/>
  <c r="D5300" i="2"/>
  <c r="D3959" i="2"/>
  <c r="D1947" i="2"/>
  <c r="D5976" i="2"/>
  <c r="D10419" i="2"/>
  <c r="D11597" i="2"/>
  <c r="D8266" i="2"/>
  <c r="D3958" i="2"/>
  <c r="D2218" i="2"/>
  <c r="D3957" i="2"/>
  <c r="D3956" i="2"/>
  <c r="D3403" i="2"/>
  <c r="D12024" i="2"/>
  <c r="D11198" i="2"/>
  <c r="D10056" i="2"/>
  <c r="D6706" i="2"/>
  <c r="D7114" i="2"/>
  <c r="D8265" i="2"/>
  <c r="D6928" i="2"/>
  <c r="D776" i="2"/>
  <c r="D6304" i="2"/>
  <c r="D11614" i="2"/>
  <c r="D3955" i="2"/>
  <c r="D2809" i="2"/>
  <c r="D6927" i="2"/>
  <c r="D8264" i="2"/>
  <c r="D4952" i="2"/>
  <c r="D8263" i="2"/>
  <c r="D8262" i="2"/>
  <c r="D3954" i="2"/>
  <c r="D9331" i="2"/>
  <c r="D8261" i="2"/>
  <c r="D2596" i="2"/>
  <c r="D13089" i="2"/>
  <c r="D13037" i="2"/>
  <c r="D6719" i="2"/>
  <c r="D8260" i="2"/>
  <c r="D6303" i="2"/>
  <c r="D8259" i="2"/>
  <c r="D12258" i="2"/>
  <c r="D9330" i="2"/>
  <c r="D4999" i="2"/>
  <c r="D12023" i="2"/>
  <c r="D8258" i="2"/>
  <c r="D6442" i="2"/>
  <c r="D1791" i="2"/>
  <c r="D3953" i="2"/>
  <c r="D1444" i="2"/>
  <c r="D8257" i="2"/>
  <c r="D15291" i="2"/>
  <c r="D13626" i="2"/>
  <c r="D13790" i="2"/>
  <c r="D1790" i="2"/>
  <c r="D2217" i="2"/>
  <c r="D2981" i="2"/>
  <c r="D2084" i="2"/>
  <c r="D9329" i="2"/>
  <c r="D9905" i="2"/>
  <c r="D1389" i="2"/>
  <c r="D5975" i="2"/>
  <c r="D2441" i="2"/>
  <c r="D13372" i="2"/>
  <c r="D3124" i="2"/>
  <c r="D5974" i="2"/>
  <c r="D8256" i="2"/>
  <c r="D6580" i="2"/>
  <c r="D10992" i="2"/>
  <c r="D5688" i="2"/>
  <c r="D9739" i="2"/>
  <c r="D466" i="2"/>
  <c r="D14116" i="2"/>
  <c r="D13789" i="2"/>
  <c r="D8255" i="2"/>
  <c r="D7255" i="2"/>
  <c r="D10124" i="2"/>
  <c r="D3952" i="2"/>
  <c r="D14115" i="2"/>
  <c r="D8254" i="2"/>
  <c r="D2083" i="2"/>
  <c r="D15107" i="2"/>
  <c r="D15106" i="2"/>
  <c r="D5601" i="2"/>
  <c r="D3951" i="2"/>
  <c r="D3950" i="2"/>
  <c r="D10991" i="2"/>
  <c r="D8253" i="2"/>
  <c r="D8252" i="2"/>
  <c r="D12403" i="2"/>
  <c r="D10257" i="2"/>
  <c r="D2216" i="2"/>
  <c r="D8251" i="2"/>
  <c r="D5973" i="2"/>
  <c r="D775" i="2"/>
  <c r="D8250" i="2"/>
  <c r="D14692" i="2"/>
  <c r="D552" i="2"/>
  <c r="D3949" i="2"/>
  <c r="D13425" i="2"/>
  <c r="D2926" i="2"/>
  <c r="D10653" i="2"/>
  <c r="D13540" i="2"/>
  <c r="D8249" i="2"/>
  <c r="D8248" i="2"/>
  <c r="D8247" i="2"/>
  <c r="D2215" i="2"/>
  <c r="D1789" i="2"/>
  <c r="D3948" i="2"/>
  <c r="D12535" i="2"/>
  <c r="D3188" i="2"/>
  <c r="D2214" i="2"/>
  <c r="D5291" i="2"/>
  <c r="D2808" i="2"/>
  <c r="D12022" i="2"/>
  <c r="D2807" i="2"/>
  <c r="D5972" i="2"/>
  <c r="D3947" i="2"/>
  <c r="D7139" i="2"/>
  <c r="D7081" i="2"/>
  <c r="D12021" i="2"/>
  <c r="D10418" i="2"/>
  <c r="D14327" i="2"/>
  <c r="D9671" i="2"/>
  <c r="D8246" i="2"/>
  <c r="D3402" i="2"/>
  <c r="D1833" i="2"/>
  <c r="D2672" i="2"/>
  <c r="D12377" i="2"/>
  <c r="D3946" i="2"/>
  <c r="D13333" i="2"/>
  <c r="D8245" i="2"/>
  <c r="D8244" i="2"/>
  <c r="D14390" i="2"/>
  <c r="D12402" i="2"/>
  <c r="D9139" i="2"/>
  <c r="D14033" i="2"/>
  <c r="D5971" i="2"/>
  <c r="D3945" i="2"/>
  <c r="D8243" i="2"/>
  <c r="D1575" i="2"/>
  <c r="D13202" i="2"/>
  <c r="D12020" i="2"/>
  <c r="D10990" i="2"/>
  <c r="D10989" i="2"/>
  <c r="D14002" i="2"/>
  <c r="D8242" i="2"/>
  <c r="D904" i="2"/>
  <c r="D5338" i="2"/>
  <c r="D15105" i="2"/>
  <c r="D8241" i="2"/>
  <c r="D1963" i="2"/>
  <c r="D9328" i="2"/>
  <c r="D12257" i="2"/>
  <c r="D6531" i="2"/>
  <c r="D14001" i="2"/>
  <c r="D5230" i="2"/>
  <c r="D14114" i="2"/>
  <c r="D3944" i="2"/>
  <c r="D13424" i="2"/>
  <c r="D8240" i="2"/>
  <c r="D5687" i="2"/>
  <c r="D13201" i="2"/>
  <c r="D2368" i="2"/>
  <c r="D12490" i="2"/>
  <c r="D8239" i="2"/>
  <c r="D3943" i="2"/>
  <c r="D484" i="2"/>
  <c r="D3942" i="2"/>
  <c r="D2213" i="2"/>
  <c r="D1574" i="2"/>
  <c r="D12534" i="2"/>
  <c r="D1020" i="2"/>
  <c r="D3941" i="2"/>
  <c r="D3940" i="2"/>
  <c r="D10854" i="2"/>
  <c r="D5970" i="2"/>
  <c r="D4653" i="2"/>
  <c r="D12130" i="2"/>
  <c r="D13669" i="2"/>
  <c r="D10513" i="2"/>
  <c r="D8238" i="2"/>
  <c r="D10988" i="2"/>
  <c r="D14691" i="2"/>
  <c r="D10055" i="2"/>
  <c r="D6705" i="2"/>
  <c r="D465" i="2"/>
  <c r="D13200" i="2"/>
  <c r="D1867" i="2"/>
  <c r="D3939" i="2"/>
  <c r="D13423" i="2"/>
  <c r="D6874" i="2"/>
  <c r="D13371" i="2"/>
  <c r="D1388" i="2"/>
  <c r="D10800" i="2"/>
  <c r="D14594" i="2"/>
  <c r="D9781" i="2"/>
  <c r="D10256" i="2"/>
  <c r="D5181" i="2"/>
  <c r="D3938" i="2"/>
  <c r="D11296" i="2"/>
  <c r="D774" i="2"/>
  <c r="D7051" i="2"/>
  <c r="D15104" i="2"/>
  <c r="D8237" i="2"/>
  <c r="D10013" i="2"/>
  <c r="D11197" i="2"/>
  <c r="D10417" i="2"/>
  <c r="D11196" i="2"/>
  <c r="D5969" i="2"/>
  <c r="D15103" i="2"/>
  <c r="D7158" i="2"/>
  <c r="D5323" i="2"/>
  <c r="D8236" i="2"/>
  <c r="D12256" i="2"/>
  <c r="D13539" i="2"/>
  <c r="D3937" i="2"/>
  <c r="D11357" i="2"/>
  <c r="D2082" i="2"/>
  <c r="D3936" i="2"/>
  <c r="D12979" i="2"/>
  <c r="D3935" i="2"/>
  <c r="D8235" i="2"/>
  <c r="D3934" i="2"/>
  <c r="D13422" i="2"/>
  <c r="D7042" i="2"/>
  <c r="D2925" i="2"/>
  <c r="D9327" i="2"/>
  <c r="D12129" i="2"/>
  <c r="D2440" i="2"/>
  <c r="D8234" i="2"/>
  <c r="D8233" i="2"/>
  <c r="D8232" i="2"/>
  <c r="D2081" i="2"/>
  <c r="D5699" i="2"/>
  <c r="D13538" i="2"/>
  <c r="D3933" i="2"/>
  <c r="D13421" i="2"/>
  <c r="D15290" i="2"/>
  <c r="D3932" i="2"/>
  <c r="D8231" i="2"/>
  <c r="D15102" i="2"/>
  <c r="D15101" i="2"/>
  <c r="D15100" i="2"/>
  <c r="D3931" i="2"/>
  <c r="D3217" i="2"/>
  <c r="D8230" i="2"/>
  <c r="D14785" i="2"/>
  <c r="D6530" i="2"/>
  <c r="D11295" i="2"/>
  <c r="D1946" i="2"/>
  <c r="D13537" i="2"/>
  <c r="D10123" i="2"/>
  <c r="D15099" i="2"/>
  <c r="D11395" i="2"/>
  <c r="D10543" i="2"/>
  <c r="D3458" i="2"/>
  <c r="D10054" i="2"/>
  <c r="D6704" i="2"/>
  <c r="D773" i="2"/>
  <c r="D15098" i="2"/>
  <c r="D13199" i="2"/>
  <c r="D12255" i="2"/>
  <c r="D14748" i="2"/>
  <c r="D11625" i="2"/>
  <c r="D15097" i="2"/>
  <c r="D12978" i="2"/>
  <c r="D772" i="2"/>
  <c r="D14113" i="2"/>
  <c r="D5968" i="2"/>
  <c r="D15096" i="2"/>
  <c r="D8229" i="2"/>
  <c r="D12128" i="2"/>
  <c r="D5967" i="2"/>
  <c r="D14000" i="2"/>
  <c r="D6209" i="2"/>
  <c r="D8228" i="2"/>
  <c r="D8227" i="2"/>
  <c r="D15289" i="2"/>
  <c r="D8226" i="2"/>
  <c r="D5966" i="2"/>
  <c r="D15288" i="2"/>
  <c r="D11483" i="2"/>
  <c r="D1230" i="2"/>
  <c r="D14690" i="2"/>
  <c r="D7138" i="2"/>
  <c r="D9659" i="2"/>
  <c r="D464" i="2"/>
  <c r="D3930" i="2"/>
  <c r="D13420" i="2"/>
  <c r="D7251" i="2"/>
  <c r="D12372" i="2"/>
  <c r="D3929" i="2"/>
  <c r="D13999" i="2"/>
  <c r="D10799" i="2"/>
  <c r="D5965" i="2"/>
  <c r="D4854" i="2"/>
  <c r="D13017" i="2"/>
  <c r="D5514" i="2"/>
  <c r="D3928" i="2"/>
  <c r="D2212" i="2"/>
  <c r="D3123" i="2"/>
  <c r="D679" i="2"/>
  <c r="D8225" i="2"/>
  <c r="D9326" i="2"/>
  <c r="D12254" i="2"/>
  <c r="D11616" i="2"/>
  <c r="D15095" i="2"/>
  <c r="D4766" i="2"/>
  <c r="D13016" i="2"/>
  <c r="D15094" i="2"/>
  <c r="D14689" i="2"/>
  <c r="D771" i="2"/>
  <c r="D13696" i="2"/>
  <c r="D551" i="2"/>
  <c r="D11702" i="2"/>
  <c r="D3927" i="2"/>
  <c r="D3926" i="2"/>
  <c r="D3925" i="2"/>
  <c r="D11783" i="2"/>
  <c r="D3924" i="2"/>
  <c r="D4964" i="2"/>
  <c r="D521" i="2"/>
  <c r="D4975" i="2"/>
  <c r="D3923" i="2"/>
  <c r="D1229" i="2"/>
  <c r="D5964" i="2"/>
  <c r="D7398" i="2"/>
  <c r="D770" i="2"/>
  <c r="D3922" i="2"/>
  <c r="D13419" i="2"/>
  <c r="D13788" i="2"/>
  <c r="D3921" i="2"/>
  <c r="D8224" i="2"/>
  <c r="D12350" i="2"/>
  <c r="D8223" i="2"/>
  <c r="D2806" i="2"/>
  <c r="D769" i="2"/>
  <c r="D2653" i="2"/>
  <c r="D10573" i="2"/>
  <c r="D705" i="2"/>
  <c r="D8222" i="2"/>
  <c r="D14813" i="2"/>
  <c r="D768" i="2"/>
  <c r="D8221" i="2"/>
  <c r="D8220" i="2"/>
  <c r="D2439" i="2"/>
  <c r="D13378" i="2"/>
  <c r="D6599" i="2"/>
  <c r="D9636" i="2"/>
  <c r="D8219" i="2"/>
  <c r="D13842" i="2"/>
  <c r="D2211" i="2"/>
  <c r="D10987" i="2"/>
  <c r="D8218" i="2"/>
  <c r="D13897" i="2"/>
  <c r="D13370" i="2"/>
  <c r="D4769" i="2"/>
  <c r="D5229" i="2"/>
  <c r="D2566" i="2"/>
  <c r="D4704" i="2"/>
  <c r="D8217" i="2"/>
  <c r="D8216" i="2"/>
  <c r="D11701" i="2"/>
  <c r="D14450" i="2"/>
  <c r="D3920" i="2"/>
  <c r="D14472" i="2"/>
  <c r="D9904" i="2"/>
  <c r="D8215" i="2"/>
  <c r="D13680" i="2"/>
  <c r="D12401" i="2"/>
  <c r="D550" i="2"/>
  <c r="D1788" i="2"/>
  <c r="D8214" i="2"/>
  <c r="D6815" i="2"/>
  <c r="D11569" i="2"/>
  <c r="D11294" i="2"/>
  <c r="D13198" i="2"/>
  <c r="D10122" i="2"/>
  <c r="D6661" i="2"/>
  <c r="D14112" i="2"/>
  <c r="D8213" i="2"/>
  <c r="D3919" i="2"/>
  <c r="D3918" i="2"/>
  <c r="D5506" i="2"/>
  <c r="D4853" i="2"/>
  <c r="D1387" i="2"/>
  <c r="D8212" i="2"/>
  <c r="D6861" i="2"/>
  <c r="D8211" i="2"/>
  <c r="D3917" i="2"/>
  <c r="D5353" i="2"/>
  <c r="D1573" i="2"/>
  <c r="D15263" i="2"/>
  <c r="D3916" i="2"/>
  <c r="D6191" i="2"/>
  <c r="D12127" i="2"/>
  <c r="D14265" i="2"/>
  <c r="D11293" i="2"/>
  <c r="D12507" i="2"/>
  <c r="D10075" i="2"/>
  <c r="D3915" i="2"/>
  <c r="D8210" i="2"/>
  <c r="D2633" i="2"/>
  <c r="D10986" i="2"/>
  <c r="D14111" i="2"/>
  <c r="D12253" i="2"/>
  <c r="D10053" i="2"/>
  <c r="D6703" i="2"/>
  <c r="D3914" i="2"/>
  <c r="D2531" i="2"/>
  <c r="D8209" i="2"/>
  <c r="D11292" i="2"/>
  <c r="D1859" i="2"/>
  <c r="D13088" i="2"/>
  <c r="D8208" i="2"/>
  <c r="D2565" i="2"/>
  <c r="D4703" i="2"/>
  <c r="D2606" i="2"/>
  <c r="D2438" i="2"/>
  <c r="D2080" i="2"/>
  <c r="D2437" i="2"/>
  <c r="D5228" i="2"/>
  <c r="D3122" i="2"/>
  <c r="D11568" i="2"/>
  <c r="D15093" i="2"/>
  <c r="D463" i="2"/>
  <c r="D9569" i="2"/>
  <c r="D10416" i="2"/>
  <c r="D1572" i="2"/>
  <c r="D2210" i="2"/>
  <c r="D8207" i="2"/>
  <c r="D10819" i="2"/>
  <c r="D767" i="2"/>
  <c r="D2924" i="2"/>
  <c r="D6814" i="2"/>
  <c r="D8206" i="2"/>
  <c r="D15092" i="2"/>
  <c r="D8205" i="2"/>
  <c r="D3913" i="2"/>
  <c r="D13418" i="2"/>
  <c r="D13351" i="2"/>
  <c r="D3912" i="2"/>
  <c r="D14434" i="2"/>
  <c r="D7050" i="2"/>
  <c r="D3465" i="2"/>
  <c r="D10415" i="2"/>
  <c r="D10121" i="2"/>
  <c r="D10798" i="2"/>
  <c r="D8204" i="2"/>
  <c r="D10578" i="2"/>
  <c r="D5420" i="2"/>
  <c r="D3911" i="2"/>
  <c r="D12252" i="2"/>
  <c r="D9325" i="2"/>
  <c r="D6813" i="2"/>
  <c r="D1228" i="2"/>
  <c r="D7041" i="2"/>
  <c r="D3910" i="2"/>
  <c r="D8203" i="2"/>
  <c r="D4679" i="2"/>
  <c r="D8202" i="2"/>
  <c r="D4864" i="2"/>
  <c r="D14688" i="2"/>
  <c r="D14389" i="2"/>
  <c r="D14110" i="2"/>
  <c r="D10741" i="2"/>
  <c r="D12126" i="2"/>
  <c r="D903" i="2"/>
  <c r="D8201" i="2"/>
  <c r="D10617" i="2"/>
  <c r="D3909" i="2"/>
  <c r="D13417" i="2"/>
  <c r="D7294" i="2"/>
  <c r="D1571" i="2"/>
  <c r="D1570" i="2"/>
  <c r="D10255" i="2"/>
  <c r="D8200" i="2"/>
  <c r="D1569" i="2"/>
  <c r="D10254" i="2"/>
  <c r="D14687" i="2"/>
  <c r="D7528" i="2"/>
  <c r="D3908" i="2"/>
  <c r="D1866" i="2"/>
  <c r="D11482" i="2"/>
  <c r="D13197" i="2"/>
  <c r="D12090" i="2"/>
  <c r="D3907" i="2"/>
  <c r="D7469" i="2"/>
  <c r="D9658" i="2"/>
  <c r="D2079" i="2"/>
  <c r="D2805" i="2"/>
  <c r="D632" i="2"/>
  <c r="D2078" i="2"/>
  <c r="D8199" i="2"/>
  <c r="D10414" i="2"/>
  <c r="D14471" i="2"/>
  <c r="D4623" i="2"/>
  <c r="D13536" i="2"/>
  <c r="D13884" i="2"/>
  <c r="D3906" i="2"/>
  <c r="D8198" i="2"/>
  <c r="D3905" i="2"/>
  <c r="D6660" i="2"/>
  <c r="D8197" i="2"/>
  <c r="D10797" i="2"/>
  <c r="D3904" i="2"/>
  <c r="D10736" i="2"/>
  <c r="D8196" i="2"/>
  <c r="D5287" i="2"/>
  <c r="D12019" i="2"/>
  <c r="D14304" i="2"/>
  <c r="D10413" i="2"/>
  <c r="D6812" i="2"/>
  <c r="D1443" i="2"/>
  <c r="D9111" i="2"/>
  <c r="D8195" i="2"/>
  <c r="D5241" i="2"/>
  <c r="D8194" i="2"/>
  <c r="D8193" i="2"/>
  <c r="D8192" i="2"/>
  <c r="D2900" i="2"/>
  <c r="D8191" i="2"/>
  <c r="D7023" i="2"/>
  <c r="D1227" i="2"/>
  <c r="D5963" i="2"/>
  <c r="D9324" i="2"/>
  <c r="D3903" i="2"/>
  <c r="D10253" i="2"/>
  <c r="D5962" i="2"/>
  <c r="D8190" i="2"/>
  <c r="D766" i="2"/>
  <c r="D5030" i="2"/>
  <c r="D8189" i="2"/>
  <c r="D10652" i="2"/>
  <c r="D1962" i="2"/>
  <c r="D8188" i="2"/>
  <c r="D4652" i="2"/>
  <c r="D15091" i="2"/>
  <c r="D3902" i="2"/>
  <c r="D3901" i="2"/>
  <c r="D6659" i="2"/>
  <c r="D8187" i="2"/>
  <c r="D2980" i="2"/>
  <c r="D7346" i="2"/>
  <c r="D14459" i="2"/>
  <c r="D12018" i="2"/>
  <c r="D6926" i="2"/>
  <c r="D3900" i="2"/>
  <c r="D13416" i="2"/>
  <c r="D13196" i="2"/>
  <c r="D9323" i="2"/>
  <c r="D8186" i="2"/>
  <c r="D5519" i="2"/>
  <c r="D14947" i="2"/>
  <c r="D13599" i="2"/>
  <c r="D4998" i="2"/>
  <c r="D5961" i="2"/>
  <c r="D8185" i="2"/>
  <c r="D3899" i="2"/>
  <c r="D12017" i="2"/>
  <c r="D8184" i="2"/>
  <c r="D2436" i="2"/>
  <c r="D15090" i="2"/>
  <c r="D13535" i="2"/>
  <c r="D14449" i="2"/>
  <c r="D3898" i="2"/>
  <c r="D3216" i="2"/>
  <c r="D3897" i="2"/>
  <c r="D5634" i="2"/>
  <c r="D8183" i="2"/>
  <c r="D7462" i="2"/>
  <c r="D11291" i="2"/>
  <c r="D10985" i="2"/>
  <c r="D765" i="2"/>
  <c r="D4578" i="2"/>
  <c r="D1870" i="2"/>
  <c r="D8182" i="2"/>
  <c r="D1914" i="2"/>
  <c r="D3896" i="2"/>
  <c r="D8181" i="2"/>
  <c r="D3895" i="2"/>
  <c r="D13415" i="2"/>
  <c r="D3401" i="2"/>
  <c r="D2632" i="2"/>
  <c r="D10623" i="2"/>
  <c r="D8180" i="2"/>
  <c r="D8179" i="2"/>
  <c r="D14686" i="2"/>
  <c r="D11381" i="2"/>
  <c r="D1568" i="2"/>
  <c r="D8178" i="2"/>
  <c r="D7008" i="2"/>
  <c r="D8177" i="2"/>
  <c r="D5378" i="2"/>
  <c r="D15089" i="2"/>
  <c r="D520" i="2"/>
  <c r="D8176" i="2"/>
  <c r="D3894" i="2"/>
  <c r="D3893" i="2"/>
  <c r="D10606" i="2"/>
  <c r="D2505" i="2"/>
  <c r="D11857" i="2"/>
  <c r="D10984" i="2"/>
  <c r="D13049" i="2"/>
  <c r="D3892" i="2"/>
  <c r="D8175" i="2"/>
  <c r="D10120" i="2"/>
  <c r="D5960" i="2"/>
  <c r="D12557" i="2"/>
  <c r="D13195" i="2"/>
  <c r="D13087" i="2"/>
  <c r="D5401" i="2"/>
  <c r="D9755" i="2"/>
  <c r="D14109" i="2"/>
  <c r="D8174" i="2"/>
  <c r="D8173" i="2"/>
  <c r="D2979" i="2"/>
  <c r="D1019" i="2"/>
  <c r="D1567" i="2"/>
  <c r="D764" i="2"/>
  <c r="D1442" i="2"/>
  <c r="D1441" i="2"/>
  <c r="D2435" i="2"/>
  <c r="D14326" i="2"/>
  <c r="D3891" i="2"/>
  <c r="D11420" i="2"/>
  <c r="D10542" i="2"/>
  <c r="D14247" i="2"/>
  <c r="D1440" i="2"/>
  <c r="D12016" i="2"/>
  <c r="D5337" i="2"/>
  <c r="D8172" i="2"/>
  <c r="D1439" i="2"/>
  <c r="D12015" i="2"/>
  <c r="D9322" i="2"/>
  <c r="D14560" i="2"/>
  <c r="D12014" i="2"/>
  <c r="D1566" i="2"/>
  <c r="D8171" i="2"/>
  <c r="D1565" i="2"/>
  <c r="D2209" i="2"/>
  <c r="D6676" i="2"/>
  <c r="D14108" i="2"/>
  <c r="D13998" i="2"/>
  <c r="D8170" i="2"/>
  <c r="D15088" i="2"/>
  <c r="D11195" i="2"/>
  <c r="D5959" i="2"/>
  <c r="D8169" i="2"/>
  <c r="D9680" i="2"/>
  <c r="D5240" i="2"/>
  <c r="D13729" i="2"/>
  <c r="D6811" i="2"/>
  <c r="D13656" i="2"/>
  <c r="D8168" i="2"/>
  <c r="D7080" i="2"/>
  <c r="D8167" i="2"/>
  <c r="D8166" i="2"/>
  <c r="D5600" i="2"/>
  <c r="D1226" i="2"/>
  <c r="D7293" i="2"/>
  <c r="D8165" i="2"/>
  <c r="D3890" i="2"/>
  <c r="D2530" i="2"/>
  <c r="D3889" i="2"/>
  <c r="D3888" i="2"/>
  <c r="D13414" i="2"/>
  <c r="D10252" i="2"/>
  <c r="D8164" i="2"/>
  <c r="D3887" i="2"/>
  <c r="D6350" i="2"/>
  <c r="D1564" i="2"/>
  <c r="D8163" i="2"/>
  <c r="D8162" i="2"/>
  <c r="D12992" i="2"/>
  <c r="D8161" i="2"/>
  <c r="D3886" i="2"/>
  <c r="D14685" i="2"/>
  <c r="D1563" i="2"/>
  <c r="D5319" i="2"/>
  <c r="D12463" i="2"/>
  <c r="D8160" i="2"/>
  <c r="D10119" i="2"/>
  <c r="D7091" i="2"/>
  <c r="D3885" i="2"/>
  <c r="D10983" i="2"/>
  <c r="D8159" i="2"/>
  <c r="D902" i="2"/>
  <c r="D13086" i="2"/>
  <c r="D11815" i="2"/>
  <c r="D3884" i="2"/>
  <c r="D2504" i="2"/>
  <c r="D8158" i="2"/>
  <c r="D3883" i="2"/>
  <c r="D10012" i="2"/>
  <c r="D4997" i="2"/>
  <c r="D2077" i="2"/>
  <c r="D8157" i="2"/>
  <c r="D11844" i="2"/>
  <c r="D2804" i="2"/>
  <c r="D1983" i="2"/>
  <c r="D12349" i="2"/>
  <c r="D3882" i="2"/>
  <c r="D11194" i="2"/>
  <c r="D3881" i="2"/>
  <c r="D12013" i="2"/>
  <c r="D13739" i="2"/>
  <c r="D763" i="2"/>
  <c r="D5492" i="2"/>
  <c r="D8156" i="2"/>
  <c r="D10118" i="2"/>
  <c r="D8155" i="2"/>
  <c r="D8154" i="2"/>
  <c r="D11413" i="2"/>
  <c r="D12012" i="2"/>
  <c r="D5958" i="2"/>
  <c r="D534" i="2"/>
  <c r="D13643" i="2"/>
  <c r="D8153" i="2"/>
  <c r="D3880" i="2"/>
  <c r="D4878" i="2"/>
  <c r="D14747" i="2"/>
  <c r="D11624" i="2"/>
  <c r="D2978" i="2"/>
  <c r="D12011" i="2"/>
  <c r="D13841" i="2"/>
  <c r="D13997" i="2"/>
  <c r="D8152" i="2"/>
  <c r="D9321" i="2"/>
  <c r="D1562" i="2"/>
  <c r="D12251" i="2"/>
  <c r="D3879" i="2"/>
  <c r="D13413" i="2"/>
  <c r="D8151" i="2"/>
  <c r="D2923" i="2"/>
  <c r="D11380" i="2"/>
  <c r="D8150" i="2"/>
  <c r="D1561" i="2"/>
  <c r="D1225" i="2"/>
  <c r="D8149" i="2"/>
  <c r="D3878" i="2"/>
  <c r="D3877" i="2"/>
  <c r="D3876" i="2"/>
  <c r="D13412" i="2"/>
  <c r="D8148" i="2"/>
  <c r="D6302" i="2"/>
  <c r="D14684" i="2"/>
  <c r="D3215" i="2"/>
  <c r="D8147" i="2"/>
  <c r="D13194" i="2"/>
  <c r="D599" i="2"/>
  <c r="D3875" i="2"/>
  <c r="D8146" i="2"/>
  <c r="D13534" i="2"/>
  <c r="D6925" i="2"/>
  <c r="D15087" i="2"/>
  <c r="D1018" i="2"/>
  <c r="D901" i="2"/>
  <c r="D10251" i="2"/>
  <c r="D900" i="2"/>
  <c r="D12421" i="2"/>
  <c r="D10412" i="2"/>
  <c r="D15086" i="2"/>
  <c r="D7157" i="2"/>
  <c r="D10671" i="2"/>
  <c r="D13193" i="2"/>
  <c r="D2434" i="2"/>
  <c r="D5377" i="2"/>
  <c r="D10667" i="2"/>
  <c r="D462" i="2"/>
  <c r="D8145" i="2"/>
  <c r="D2689" i="2"/>
  <c r="D14022" i="2"/>
  <c r="D8144" i="2"/>
  <c r="D8143" i="2"/>
  <c r="D1224" i="2"/>
  <c r="D1957" i="2"/>
  <c r="D2208" i="2"/>
  <c r="D5273" i="2"/>
  <c r="D9320" i="2"/>
  <c r="D13015" i="2"/>
  <c r="D6390" i="2"/>
  <c r="D10117" i="2"/>
  <c r="D8142" i="2"/>
  <c r="D2076" i="2"/>
  <c r="D9319" i="2"/>
  <c r="D3158" i="2"/>
  <c r="D11926" i="2"/>
  <c r="D8141" i="2"/>
  <c r="D13787" i="2"/>
  <c r="D13625" i="2"/>
  <c r="D8140" i="2"/>
  <c r="D8139" i="2"/>
  <c r="D3874" i="2"/>
  <c r="D8138" i="2"/>
  <c r="D9318" i="2"/>
  <c r="D12010" i="2"/>
  <c r="D9903" i="2"/>
  <c r="D11700" i="2"/>
  <c r="D14593" i="2"/>
  <c r="D5633" i="2"/>
  <c r="D6471" i="2"/>
  <c r="D12250" i="2"/>
  <c r="D8137" i="2"/>
  <c r="D1716" i="2"/>
  <c r="D3096" i="2"/>
  <c r="D1438" i="2"/>
  <c r="D3873" i="2"/>
  <c r="D13411" i="2"/>
  <c r="D11916" i="2"/>
  <c r="D10250" i="2"/>
  <c r="D9780" i="2"/>
  <c r="D6897" i="2"/>
  <c r="D8136" i="2"/>
  <c r="D7292" i="2"/>
  <c r="D8135" i="2"/>
  <c r="D8134" i="2"/>
  <c r="D1715" i="2"/>
  <c r="D5957" i="2"/>
  <c r="D1560" i="2"/>
  <c r="D10074" i="2"/>
  <c r="D8133" i="2"/>
  <c r="D3872" i="2"/>
  <c r="D8132" i="2"/>
  <c r="D3307" i="2"/>
  <c r="D2207" i="2"/>
  <c r="D3871" i="2"/>
  <c r="D2433" i="2"/>
  <c r="D1437" i="2"/>
  <c r="D11763" i="2"/>
  <c r="D9110" i="2"/>
  <c r="D5272" i="2"/>
  <c r="D3870" i="2"/>
  <c r="D8131" i="2"/>
  <c r="D14448" i="2"/>
  <c r="D13658" i="2"/>
  <c r="D8130" i="2"/>
  <c r="D12249" i="2"/>
  <c r="D8129" i="2"/>
  <c r="D3869" i="2"/>
  <c r="D8128" i="2"/>
  <c r="D1121" i="2"/>
  <c r="D1017" i="2"/>
  <c r="D14107" i="2"/>
  <c r="D8127" i="2"/>
  <c r="D5956" i="2"/>
  <c r="D13377" i="2"/>
  <c r="D5180" i="2"/>
  <c r="D3066" i="2"/>
  <c r="D15085" i="2"/>
  <c r="D7332" i="2"/>
  <c r="D10249" i="2"/>
  <c r="D1016" i="2"/>
  <c r="D8126" i="2"/>
  <c r="D13877" i="2"/>
  <c r="D8125" i="2"/>
  <c r="D8124" i="2"/>
  <c r="D8123" i="2"/>
  <c r="D10116" i="2"/>
  <c r="D5518" i="2"/>
  <c r="D12556" i="2"/>
  <c r="D12009" i="2"/>
  <c r="D8122" i="2"/>
  <c r="D12008" i="2"/>
  <c r="D11608" i="2"/>
  <c r="D2803" i="2"/>
  <c r="D2671" i="2"/>
  <c r="D2922" i="2"/>
  <c r="D3868" i="2"/>
  <c r="D7488" i="2"/>
  <c r="D5336" i="2"/>
  <c r="D6277" i="2"/>
  <c r="D2802" i="2"/>
  <c r="D13294" i="2"/>
  <c r="D8121" i="2"/>
  <c r="D3268" i="2"/>
  <c r="D1223" i="2"/>
  <c r="D5746" i="2"/>
  <c r="D14106" i="2"/>
  <c r="D5251" i="2"/>
  <c r="D3867" i="2"/>
  <c r="D1559" i="2"/>
  <c r="D7397" i="2"/>
  <c r="D5955" i="2"/>
  <c r="D12437" i="2"/>
  <c r="D9079" i="2"/>
  <c r="D6810" i="2"/>
  <c r="D4906" i="2"/>
  <c r="D10541" i="2"/>
  <c r="D10589" i="2"/>
  <c r="D1222" i="2"/>
  <c r="D1558" i="2"/>
  <c r="D10411" i="2"/>
  <c r="D15084" i="2"/>
  <c r="D14510" i="2"/>
  <c r="D3866" i="2"/>
  <c r="D10248" i="2"/>
  <c r="D5657" i="2"/>
  <c r="D8120" i="2"/>
  <c r="D7425" i="2"/>
  <c r="D8119" i="2"/>
  <c r="D4996" i="2"/>
  <c r="D5282" i="2"/>
  <c r="D3187" i="2"/>
  <c r="D461" i="2"/>
  <c r="D1832" i="2"/>
  <c r="D10033" i="2"/>
  <c r="D10410" i="2"/>
  <c r="D9317" i="2"/>
  <c r="D4651" i="2"/>
  <c r="D950" i="2"/>
  <c r="D8118" i="2"/>
  <c r="D14105" i="2"/>
  <c r="D460" i="2"/>
  <c r="D6718" i="2"/>
  <c r="D13925" i="2"/>
  <c r="D14683" i="2"/>
  <c r="D3865" i="2"/>
  <c r="D13410" i="2"/>
  <c r="D12248" i="2"/>
  <c r="D10115" i="2"/>
  <c r="D635" i="2"/>
  <c r="D6259" i="2"/>
  <c r="D10409" i="2"/>
  <c r="D8117" i="2"/>
  <c r="D5408" i="2"/>
  <c r="D1120" i="2"/>
  <c r="D12420" i="2"/>
  <c r="D6809" i="2"/>
  <c r="D13891" i="2"/>
  <c r="D762" i="2"/>
  <c r="D10982" i="2"/>
  <c r="D1436" i="2"/>
  <c r="D11193" i="2"/>
  <c r="D12247" i="2"/>
  <c r="D1557" i="2"/>
  <c r="D1982" i="2"/>
  <c r="D5021" i="2"/>
  <c r="D3337" i="2"/>
  <c r="D9316" i="2"/>
  <c r="D3864" i="2"/>
  <c r="D2921" i="2"/>
  <c r="D12007" i="2"/>
  <c r="D9635" i="2"/>
  <c r="D11567" i="2"/>
  <c r="D10796" i="2"/>
  <c r="D9634" i="2"/>
  <c r="D949" i="2"/>
  <c r="D3095" i="2"/>
  <c r="D6808" i="2"/>
  <c r="D13533" i="2"/>
  <c r="D10981" i="2"/>
  <c r="D2801" i="2"/>
  <c r="D12006" i="2"/>
  <c r="D8116" i="2"/>
  <c r="D14682" i="2"/>
  <c r="D3400" i="2"/>
  <c r="D459" i="2"/>
  <c r="D7291" i="2"/>
  <c r="D10980" i="2"/>
  <c r="D13262" i="2"/>
  <c r="D11883" i="2"/>
  <c r="D11192" i="2"/>
  <c r="D4995" i="2"/>
  <c r="D9712" i="2"/>
  <c r="D8115" i="2"/>
  <c r="D9606" i="2"/>
  <c r="D10979" i="2"/>
  <c r="D8114" i="2"/>
  <c r="D10577" i="2"/>
  <c r="D8113" i="2"/>
  <c r="D10978" i="2"/>
  <c r="D8112" i="2"/>
  <c r="D12246" i="2"/>
  <c r="D9315" i="2"/>
  <c r="D5954" i="2"/>
  <c r="D6946" i="2"/>
  <c r="D14316" i="2"/>
  <c r="D6236" i="2"/>
  <c r="D3267" i="2"/>
  <c r="D3863" i="2"/>
  <c r="D3862" i="2"/>
  <c r="D625" i="2"/>
  <c r="D8111" i="2"/>
  <c r="D8110" i="2"/>
  <c r="D13728" i="2"/>
  <c r="D10977" i="2"/>
  <c r="D12245" i="2"/>
  <c r="D8109" i="2"/>
  <c r="D9582" i="2"/>
  <c r="D8108" i="2"/>
  <c r="D14760" i="2"/>
  <c r="D6945" i="2"/>
  <c r="D11438" i="2"/>
  <c r="D8107" i="2"/>
  <c r="D12005" i="2"/>
  <c r="D5335" i="2"/>
  <c r="D10976" i="2"/>
  <c r="D12489" i="2"/>
  <c r="D7049" i="2"/>
  <c r="D3861" i="2"/>
  <c r="D3454" i="2"/>
  <c r="D3860" i="2"/>
  <c r="D761" i="2"/>
  <c r="D3859" i="2"/>
  <c r="D9586" i="2"/>
  <c r="D5953" i="2"/>
  <c r="D948" i="2"/>
  <c r="D1221" i="2"/>
  <c r="D1119" i="2"/>
  <c r="D2578" i="2"/>
  <c r="D14104" i="2"/>
  <c r="D12244" i="2"/>
  <c r="D3858" i="2"/>
  <c r="D3857" i="2"/>
  <c r="D13409" i="2"/>
  <c r="D8106" i="2"/>
  <c r="D14779" i="2"/>
  <c r="D13192" i="2"/>
  <c r="D1556" i="2"/>
  <c r="D7424" i="2"/>
  <c r="D11832" i="2"/>
  <c r="D8105" i="2"/>
  <c r="D7396" i="2"/>
  <c r="D8104" i="2"/>
  <c r="D9902" i="2"/>
  <c r="D15083" i="2"/>
  <c r="D12977" i="2"/>
  <c r="D1981" i="2"/>
  <c r="D2977" i="2"/>
  <c r="D8103" i="2"/>
  <c r="D5142" i="2"/>
  <c r="D2564" i="2"/>
  <c r="D4702" i="2"/>
  <c r="D11191" i="2"/>
  <c r="D7022" i="2"/>
  <c r="D5952" i="2"/>
  <c r="D2206" i="2"/>
  <c r="D3856" i="2"/>
  <c r="D13408" i="2"/>
  <c r="D519" i="2"/>
  <c r="D8102" i="2"/>
  <c r="D4756" i="2"/>
  <c r="D7395" i="2"/>
  <c r="D8101" i="2"/>
  <c r="D10408" i="2"/>
  <c r="D1435" i="2"/>
  <c r="D12243" i="2"/>
  <c r="D5334" i="2"/>
  <c r="D3855" i="2"/>
  <c r="D13376" i="2"/>
  <c r="D3133" i="2"/>
  <c r="D14103" i="2"/>
  <c r="D518" i="2"/>
  <c r="D10407" i="2"/>
  <c r="D947" i="2"/>
  <c r="D12242" i="2"/>
  <c r="D10975" i="2"/>
  <c r="D11339" i="2"/>
  <c r="D8100" i="2"/>
  <c r="D14325" i="2"/>
  <c r="D1714" i="2"/>
  <c r="D3854" i="2"/>
  <c r="D10974" i="2"/>
  <c r="D11190" i="2"/>
  <c r="D7113" i="2"/>
  <c r="D3266" i="2"/>
  <c r="D5333" i="2"/>
  <c r="D4895" i="2"/>
  <c r="D14458" i="2"/>
  <c r="D11189" i="2"/>
  <c r="D11290" i="2"/>
  <c r="D10676" i="2"/>
  <c r="D8099" i="2"/>
  <c r="D14308" i="2"/>
  <c r="D9314" i="2"/>
  <c r="D8098" i="2"/>
  <c r="D4845" i="2"/>
  <c r="D14559" i="2"/>
  <c r="D12241" i="2"/>
  <c r="D12240" i="2"/>
  <c r="D14681" i="2"/>
  <c r="D6966" i="2"/>
  <c r="D11433" i="2"/>
  <c r="D8097" i="2"/>
  <c r="D8096" i="2"/>
  <c r="D3853" i="2"/>
  <c r="D4797" i="2"/>
  <c r="D10830" i="2"/>
  <c r="D650" i="2"/>
  <c r="D12525" i="2"/>
  <c r="D2976" i="2"/>
  <c r="D3852" i="2"/>
  <c r="D12239" i="2"/>
  <c r="D8095" i="2"/>
  <c r="D12419" i="2"/>
  <c r="D9633" i="2"/>
  <c r="D2595" i="2"/>
  <c r="D2205" i="2"/>
  <c r="D11188" i="2"/>
  <c r="D14275" i="2"/>
  <c r="D9069" i="2"/>
  <c r="D6598" i="2"/>
  <c r="D1220" i="2"/>
  <c r="D1219" i="2"/>
  <c r="D8094" i="2"/>
  <c r="D6614" i="2"/>
  <c r="D9313" i="2"/>
  <c r="D13261" i="2"/>
  <c r="D11882" i="2"/>
  <c r="D6470" i="2"/>
  <c r="D3851" i="2"/>
  <c r="D10973" i="2"/>
  <c r="D8093" i="2"/>
  <c r="D8092" i="2"/>
  <c r="D12238" i="2"/>
  <c r="D5656" i="2"/>
  <c r="D13106" i="2"/>
  <c r="D14102" i="2"/>
  <c r="D2204" i="2"/>
  <c r="D6469" i="2"/>
  <c r="D10972" i="2"/>
  <c r="D11566" i="2"/>
  <c r="D14101" i="2"/>
  <c r="D3850" i="2"/>
  <c r="D14830" i="2"/>
  <c r="D9068" i="2"/>
  <c r="D1713" i="2"/>
  <c r="D10406" i="2"/>
  <c r="D5706" i="2"/>
  <c r="D9098" i="2"/>
  <c r="D3849" i="2"/>
  <c r="D5299" i="2"/>
  <c r="D10405" i="2"/>
  <c r="D7112" i="2"/>
  <c r="D946" i="2"/>
  <c r="D1118" i="2"/>
  <c r="D5239" i="2"/>
  <c r="D10971" i="2"/>
  <c r="D14829" i="2"/>
  <c r="D9610" i="2"/>
  <c r="D9901" i="2"/>
  <c r="D12348" i="2"/>
  <c r="D9710" i="2"/>
  <c r="D458" i="2"/>
  <c r="D9312" i="2"/>
  <c r="D6807" i="2"/>
  <c r="D15082" i="2"/>
  <c r="D14100" i="2"/>
  <c r="D8091" i="2"/>
  <c r="D860" i="2"/>
  <c r="D5951" i="2"/>
  <c r="D760" i="2"/>
  <c r="D859" i="2"/>
  <c r="D3428" i="2"/>
  <c r="D858" i="2"/>
  <c r="D8090" i="2"/>
  <c r="D1063" i="2"/>
  <c r="D10970" i="2"/>
  <c r="D2203" i="2"/>
  <c r="D8089" i="2"/>
  <c r="D1218" i="2"/>
  <c r="D3848" i="2"/>
  <c r="D13407" i="2"/>
  <c r="D1015" i="2"/>
  <c r="D9311" i="2"/>
  <c r="D6896" i="2"/>
  <c r="D857" i="2"/>
  <c r="D9764" i="2"/>
  <c r="D9717" i="2"/>
  <c r="D6806" i="2"/>
  <c r="D10011" i="2"/>
  <c r="D13191" i="2"/>
  <c r="D3336" i="2"/>
  <c r="D11861" i="2"/>
  <c r="D3847" i="2"/>
  <c r="D6573" i="2"/>
  <c r="D1434" i="2"/>
  <c r="D14099" i="2"/>
  <c r="D12533" i="2"/>
  <c r="D9310" i="2"/>
  <c r="D5950" i="2"/>
  <c r="D12532" i="2"/>
  <c r="D8088" i="2"/>
  <c r="D9140" i="2"/>
  <c r="D10247" i="2"/>
  <c r="D14098" i="2"/>
  <c r="D3846" i="2"/>
  <c r="D14680" i="2"/>
  <c r="D5224" i="2"/>
  <c r="D2800" i="2"/>
  <c r="D3845" i="2"/>
  <c r="D5949" i="2"/>
  <c r="D13532" i="2"/>
  <c r="D8087" i="2"/>
  <c r="D2340" i="2"/>
  <c r="D8086" i="2"/>
  <c r="D759" i="2"/>
  <c r="D899" i="2"/>
  <c r="D5948" i="2"/>
  <c r="D13738" i="2"/>
  <c r="D12237" i="2"/>
  <c r="D3121" i="2"/>
  <c r="D2339" i="2"/>
  <c r="D1217" i="2"/>
  <c r="D12991" i="2"/>
  <c r="D3844" i="2"/>
  <c r="D10404" i="2"/>
  <c r="D13369" i="2"/>
  <c r="D5250" i="2"/>
  <c r="D3327" i="2"/>
  <c r="D14097" i="2"/>
  <c r="D6454" i="2"/>
  <c r="D3157" i="2"/>
  <c r="D646" i="2"/>
  <c r="D15081" i="2"/>
  <c r="D10588" i="2"/>
  <c r="D4726" i="2"/>
  <c r="D8085" i="2"/>
  <c r="D13912" i="2"/>
  <c r="D5376" i="2"/>
  <c r="D14096" i="2"/>
  <c r="D14307" i="2"/>
  <c r="D8084" i="2"/>
  <c r="D11187" i="2"/>
  <c r="D14388" i="2"/>
  <c r="D12004" i="2"/>
  <c r="D8083" i="2"/>
  <c r="D11699" i="2"/>
  <c r="D8082" i="2"/>
  <c r="D8081" i="2"/>
  <c r="D3312" i="2"/>
  <c r="D8080" i="2"/>
  <c r="D10651" i="2"/>
  <c r="D6997" i="2"/>
  <c r="D1216" i="2"/>
  <c r="D2075" i="2"/>
  <c r="D2799" i="2"/>
  <c r="D2045" i="2"/>
  <c r="D10969" i="2"/>
  <c r="D1117" i="2"/>
  <c r="D11394" i="2"/>
  <c r="D2202" i="2"/>
  <c r="D3111" i="2"/>
  <c r="D5947" i="2"/>
  <c r="D9691" i="2"/>
  <c r="D1945" i="2"/>
  <c r="D5946" i="2"/>
  <c r="D9690" i="2"/>
  <c r="D5238" i="2"/>
  <c r="D1555" i="2"/>
  <c r="D7345" i="2"/>
  <c r="D10556" i="2"/>
  <c r="D8079" i="2"/>
  <c r="D4701" i="2"/>
  <c r="D9581" i="2"/>
  <c r="D7190" i="2"/>
  <c r="D5436" i="2"/>
  <c r="D10968" i="2"/>
  <c r="D9309" i="2"/>
  <c r="D7362" i="2"/>
  <c r="D1116" i="2"/>
  <c r="D14387" i="2"/>
  <c r="D12376" i="2"/>
  <c r="D10403" i="2"/>
  <c r="D10829" i="2"/>
  <c r="D13085" i="2"/>
  <c r="D8078" i="2"/>
  <c r="D6572" i="2"/>
  <c r="D1554" i="2"/>
  <c r="D10246" i="2"/>
  <c r="D9726" i="2"/>
  <c r="D4806" i="2"/>
  <c r="D10726" i="2"/>
  <c r="D5945" i="2"/>
  <c r="D8077" i="2"/>
  <c r="D9900" i="2"/>
  <c r="D10765" i="2"/>
  <c r="D8076" i="2"/>
  <c r="D14095" i="2"/>
  <c r="D3843" i="2"/>
  <c r="D13406" i="2"/>
  <c r="D11762" i="2"/>
  <c r="D14558" i="2"/>
  <c r="D7324" i="2"/>
  <c r="D12003" i="2"/>
  <c r="D11186" i="2"/>
  <c r="D10967" i="2"/>
  <c r="D9653" i="2"/>
  <c r="D2044" i="2"/>
  <c r="D11565" i="2"/>
  <c r="D8075" i="2"/>
  <c r="D3842" i="2"/>
  <c r="D13405" i="2"/>
  <c r="D5655" i="2"/>
  <c r="D5944" i="2"/>
  <c r="D14094" i="2"/>
  <c r="D10245" i="2"/>
  <c r="D6571" i="2"/>
  <c r="D2017" i="2"/>
  <c r="D1712" i="2"/>
  <c r="D11185" i="2"/>
  <c r="D3841" i="2"/>
  <c r="D6588" i="2"/>
  <c r="D14946" i="2"/>
  <c r="D11379" i="2"/>
  <c r="D1014" i="2"/>
  <c r="D8074" i="2"/>
  <c r="D12418" i="2"/>
  <c r="D1956" i="2"/>
  <c r="D8073" i="2"/>
  <c r="D9097" i="2"/>
  <c r="D1215" i="2"/>
  <c r="D4921" i="2"/>
  <c r="D1320" i="2"/>
  <c r="D1115" i="2"/>
  <c r="D2201" i="2"/>
  <c r="D8072" i="2"/>
  <c r="D8071" i="2"/>
  <c r="D9899" i="2"/>
  <c r="D11644" i="2"/>
  <c r="D2338" i="2"/>
  <c r="D14093" i="2"/>
  <c r="D4650" i="2"/>
  <c r="D1114" i="2"/>
  <c r="D2798" i="2"/>
  <c r="D1319" i="2"/>
  <c r="D3840" i="2"/>
  <c r="D14557" i="2"/>
  <c r="D5720" i="2"/>
  <c r="D7137" i="2"/>
  <c r="D758" i="2"/>
  <c r="D12125" i="2"/>
  <c r="D8070" i="2"/>
  <c r="D11814" i="2"/>
  <c r="D3839" i="2"/>
  <c r="D757" i="2"/>
  <c r="D8069" i="2"/>
  <c r="D10966" i="2"/>
  <c r="D5525" i="2"/>
  <c r="D8068" i="2"/>
  <c r="D8067" i="2"/>
  <c r="D8066" i="2"/>
  <c r="D10965" i="2"/>
  <c r="D14092" i="2"/>
  <c r="D11184" i="2"/>
  <c r="D8065" i="2"/>
  <c r="D10402" i="2"/>
  <c r="D3838" i="2"/>
  <c r="D3837" i="2"/>
  <c r="D8064" i="2"/>
  <c r="D2797" i="2"/>
  <c r="D4649" i="2"/>
  <c r="D1787" i="2"/>
  <c r="D11803" i="2"/>
  <c r="D9308" i="2"/>
  <c r="D1711" i="2"/>
  <c r="D7290" i="2"/>
  <c r="D7136" i="2"/>
  <c r="D5943" i="2"/>
  <c r="D8063" i="2"/>
  <c r="D7514" i="2"/>
  <c r="D11183" i="2"/>
  <c r="D1013" i="2"/>
  <c r="D5419" i="2"/>
  <c r="D5942" i="2"/>
  <c r="D1214" i="2"/>
  <c r="D7289" i="2"/>
  <c r="D1553" i="2"/>
  <c r="D12236" i="2"/>
  <c r="D5139" i="2"/>
  <c r="D2714" i="2"/>
  <c r="D8062" i="2"/>
  <c r="D10964" i="2"/>
  <c r="D13786" i="2"/>
  <c r="D6658" i="2"/>
  <c r="D3836" i="2"/>
  <c r="D8061" i="2"/>
  <c r="D8060" i="2"/>
  <c r="D3156" i="2"/>
  <c r="D9307" i="2"/>
  <c r="D898" i="2"/>
  <c r="D5237" i="2"/>
  <c r="D8059" i="2"/>
  <c r="D14386" i="2"/>
  <c r="D9145" i="2"/>
  <c r="D14842" i="2"/>
  <c r="D7417" i="2"/>
  <c r="D3399" i="2"/>
  <c r="D10401" i="2"/>
  <c r="D1552" i="2"/>
  <c r="D756" i="2"/>
  <c r="D14945" i="2"/>
  <c r="D8058" i="2"/>
  <c r="D8057" i="2"/>
  <c r="D478" i="2"/>
  <c r="D7468" i="2"/>
  <c r="D10400" i="2"/>
  <c r="D7048" i="2"/>
  <c r="D5941" i="2"/>
  <c r="D10244" i="2"/>
  <c r="D10963" i="2"/>
  <c r="D945" i="2"/>
  <c r="D4994" i="2"/>
  <c r="D10962" i="2"/>
  <c r="D2074" i="2"/>
  <c r="D14812" i="2"/>
  <c r="D9738" i="2"/>
  <c r="D8056" i="2"/>
  <c r="D10795" i="2"/>
  <c r="D3835" i="2"/>
  <c r="D3834" i="2"/>
  <c r="D11182" i="2"/>
  <c r="D3833" i="2"/>
  <c r="D15080" i="2"/>
  <c r="D8055" i="2"/>
  <c r="D8054" i="2"/>
  <c r="D12002" i="2"/>
  <c r="D8053" i="2"/>
  <c r="D8052" i="2"/>
  <c r="D8051" i="2"/>
  <c r="D10512" i="2"/>
  <c r="D755" i="2"/>
  <c r="D2200" i="2"/>
  <c r="D754" i="2"/>
  <c r="D8050" i="2"/>
  <c r="D8049" i="2"/>
  <c r="D12001" i="2"/>
  <c r="D5940" i="2"/>
  <c r="D8048" i="2"/>
  <c r="D7090" i="2"/>
  <c r="D8047" i="2"/>
  <c r="D1213" i="2"/>
  <c r="D11881" i="2"/>
  <c r="D2337" i="2"/>
  <c r="D14091" i="2"/>
  <c r="D5432" i="2"/>
  <c r="D5719" i="2"/>
  <c r="D8046" i="2"/>
  <c r="D3832" i="2"/>
  <c r="D10961" i="2"/>
  <c r="D3831" i="2"/>
  <c r="D10600" i="2"/>
  <c r="D10243" i="2"/>
  <c r="D753" i="2"/>
  <c r="D7394" i="2"/>
  <c r="D11402" i="2"/>
  <c r="D667" i="2"/>
  <c r="D3398" i="2"/>
  <c r="D4648" i="2"/>
  <c r="D3830" i="2"/>
  <c r="D14090" i="2"/>
  <c r="D13930" i="2"/>
  <c r="D12000" i="2"/>
  <c r="D944" i="2"/>
  <c r="D3829" i="2"/>
  <c r="D1858" i="2"/>
  <c r="D8045" i="2"/>
  <c r="D1551" i="2"/>
  <c r="D5939" i="2"/>
  <c r="D10399" i="2"/>
  <c r="D1113" i="2"/>
  <c r="D618" i="2"/>
  <c r="D14556" i="2"/>
  <c r="D14269" i="2"/>
  <c r="D10018" i="2"/>
  <c r="D11446" i="2"/>
  <c r="D5271" i="2"/>
  <c r="D8044" i="2"/>
  <c r="D11181" i="2"/>
  <c r="D483" i="2"/>
  <c r="D3457" i="2"/>
  <c r="D8043" i="2"/>
  <c r="D13824" i="2"/>
  <c r="D5718" i="2"/>
  <c r="D8042" i="2"/>
  <c r="D5134" i="2"/>
  <c r="D3265" i="2"/>
  <c r="D1840" i="2"/>
  <c r="D12976" i="2"/>
  <c r="D9898" i="2"/>
  <c r="D10960" i="2"/>
  <c r="D3828" i="2"/>
  <c r="D10725" i="2"/>
  <c r="D5938" i="2"/>
  <c r="D3827" i="2"/>
  <c r="D8041" i="2"/>
  <c r="D10794" i="2"/>
  <c r="D5937" i="2"/>
  <c r="D584" i="2"/>
  <c r="D5936" i="2"/>
  <c r="D8040" i="2"/>
  <c r="D10740" i="2"/>
  <c r="D8039" i="2"/>
  <c r="D11999" i="2"/>
  <c r="D10959" i="2"/>
  <c r="D8038" i="2"/>
  <c r="D5332" i="2"/>
  <c r="D1112" i="2"/>
  <c r="D1111" i="2"/>
  <c r="D14089" i="2"/>
  <c r="D6965" i="2"/>
  <c r="D11998" i="2"/>
  <c r="D5935" i="2"/>
  <c r="D8037" i="2"/>
  <c r="D10958" i="2"/>
  <c r="D5418" i="2"/>
  <c r="D3826" i="2"/>
  <c r="D6805" i="2"/>
  <c r="D1662" i="2"/>
  <c r="D1710" i="2"/>
  <c r="D6804" i="2"/>
  <c r="D9306" i="2"/>
  <c r="D6570" i="2"/>
  <c r="D3825" i="2"/>
  <c r="D2796" i="2"/>
  <c r="D9305" i="2"/>
  <c r="D15079" i="2"/>
  <c r="D3824" i="2"/>
  <c r="D1012" i="2"/>
  <c r="D91" i="2"/>
  <c r="D12952" i="2"/>
  <c r="D10957" i="2"/>
  <c r="D1433" i="2"/>
  <c r="D9897" i="2"/>
  <c r="D8036" i="2"/>
  <c r="D9304" i="2"/>
  <c r="D10114" i="2"/>
  <c r="D6924" i="2"/>
  <c r="D4789" i="2"/>
  <c r="D3823" i="2"/>
  <c r="D6301" i="2"/>
  <c r="D10052" i="2"/>
  <c r="D6702" i="2"/>
  <c r="D5281" i="2"/>
  <c r="D10956" i="2"/>
  <c r="D5331" i="2"/>
  <c r="D3822" i="2"/>
  <c r="D6548" i="2"/>
  <c r="D9896" i="2"/>
  <c r="D3821" i="2"/>
  <c r="D13964" i="2"/>
  <c r="D8035" i="2"/>
  <c r="D3820" i="2"/>
  <c r="D3264" i="2"/>
  <c r="D6569" i="2"/>
  <c r="D9895" i="2"/>
  <c r="D3819" i="2"/>
  <c r="D8034" i="2"/>
  <c r="D10687" i="2"/>
  <c r="D752" i="2"/>
  <c r="D4993" i="2"/>
  <c r="D10242" i="2"/>
  <c r="D1709" i="2"/>
  <c r="D11564" i="2"/>
  <c r="D3818" i="2"/>
  <c r="D13933" i="2"/>
  <c r="D3817" i="2"/>
  <c r="D4737" i="2"/>
  <c r="D13014" i="2"/>
  <c r="D10955" i="2"/>
  <c r="D10954" i="2"/>
  <c r="D5352" i="2"/>
  <c r="D9679" i="2"/>
  <c r="D5733" i="2"/>
  <c r="D10010" i="2"/>
  <c r="D9103" i="2"/>
  <c r="D13368" i="2"/>
  <c r="D10953" i="2"/>
  <c r="D6657" i="2"/>
  <c r="D9078" i="2"/>
  <c r="D1212" i="2"/>
  <c r="D8033" i="2"/>
  <c r="D1110" i="2"/>
  <c r="D4974" i="2"/>
  <c r="D7111" i="2"/>
  <c r="D3816" i="2"/>
  <c r="D5179" i="2"/>
  <c r="D1211" i="2"/>
  <c r="D1708" i="2"/>
  <c r="D8032" i="2"/>
  <c r="D8031" i="2"/>
  <c r="D8030" i="2"/>
  <c r="D1432" i="2"/>
  <c r="D1011" i="2"/>
  <c r="D11911" i="2"/>
  <c r="D1707" i="2"/>
  <c r="D13605" i="2"/>
  <c r="D10853" i="2"/>
  <c r="D5934" i="2"/>
  <c r="D10398" i="2"/>
  <c r="D11289" i="2"/>
  <c r="D11378" i="2"/>
  <c r="D6923" i="2"/>
  <c r="D10241" i="2"/>
  <c r="D5517" i="2"/>
  <c r="D3032" i="2"/>
  <c r="D13367" i="2"/>
  <c r="D6235" i="2"/>
  <c r="D581" i="2"/>
  <c r="D3815" i="2"/>
  <c r="D11377" i="2"/>
  <c r="D10240" i="2"/>
  <c r="D3814" i="2"/>
  <c r="D11481" i="2"/>
  <c r="D6568" i="2"/>
  <c r="D6895" i="2"/>
  <c r="D3456" i="2"/>
  <c r="D11910" i="2"/>
  <c r="D2336" i="2"/>
  <c r="D3813" i="2"/>
  <c r="D10239" i="2"/>
  <c r="D5933" i="2"/>
  <c r="D10517" i="2"/>
  <c r="D10952" i="2"/>
  <c r="D9074" i="2"/>
  <c r="D14088" i="2"/>
  <c r="D9303" i="2"/>
  <c r="D13316" i="2"/>
  <c r="D9605" i="2"/>
  <c r="D1318" i="2"/>
  <c r="D2503" i="2"/>
  <c r="D6803" i="2"/>
  <c r="D1550" i="2"/>
  <c r="D10599" i="2"/>
  <c r="D10951" i="2"/>
  <c r="D3812" i="2"/>
  <c r="D13404" i="2"/>
  <c r="D13339" i="2"/>
  <c r="D11607" i="2"/>
  <c r="D5458" i="2"/>
  <c r="D10238" i="2"/>
  <c r="D751" i="2"/>
  <c r="D8029" i="2"/>
  <c r="D8028" i="2"/>
  <c r="D1109" i="2"/>
  <c r="D13498" i="2"/>
  <c r="D10950" i="2"/>
  <c r="D5932" i="2"/>
  <c r="D8027" i="2"/>
  <c r="D750" i="2"/>
  <c r="D15078" i="2"/>
  <c r="D2199" i="2"/>
  <c r="D10949" i="2"/>
  <c r="D11338" i="2"/>
  <c r="D12235" i="2"/>
  <c r="D3811" i="2"/>
  <c r="D4788" i="2"/>
  <c r="D517" i="2"/>
  <c r="D14610" i="2"/>
  <c r="D3810" i="2"/>
  <c r="D609" i="2"/>
  <c r="D5558" i="2"/>
  <c r="D2631" i="2"/>
  <c r="D2563" i="2"/>
  <c r="D4700" i="2"/>
  <c r="D8026" i="2"/>
  <c r="D9894" i="2"/>
  <c r="D13840" i="2"/>
  <c r="D3397" i="2"/>
  <c r="D1431" i="2"/>
  <c r="D10948" i="2"/>
  <c r="D3809" i="2"/>
  <c r="D2043" i="2"/>
  <c r="D6873" i="2"/>
  <c r="D5268" i="2"/>
  <c r="D3808" i="2"/>
  <c r="D3335" i="2"/>
  <c r="D8025" i="2"/>
  <c r="D14759" i="2"/>
  <c r="D11639" i="2"/>
  <c r="D5403" i="2"/>
  <c r="D12462" i="2"/>
  <c r="D13920" i="2"/>
  <c r="D1210" i="2"/>
  <c r="D2630" i="2"/>
  <c r="D8024" i="2"/>
  <c r="D6208" i="2"/>
  <c r="D1209" i="2"/>
  <c r="D10793" i="2"/>
  <c r="D12100" i="2"/>
  <c r="D1208" i="2"/>
  <c r="D14385" i="2"/>
  <c r="D8023" i="2"/>
  <c r="D549" i="2"/>
  <c r="D6613" i="2"/>
  <c r="D3807" i="2"/>
  <c r="D2594" i="2"/>
  <c r="D10709" i="2"/>
  <c r="D6389" i="2"/>
  <c r="D2682" i="2"/>
  <c r="D8022" i="2"/>
  <c r="D12234" i="2"/>
  <c r="D9702" i="2"/>
  <c r="D13332" i="2"/>
  <c r="D11563" i="2"/>
  <c r="D15077" i="2"/>
  <c r="D6627" i="2"/>
  <c r="D1910" i="2"/>
  <c r="D5433" i="2"/>
  <c r="D3806" i="2"/>
  <c r="D6468" i="2"/>
  <c r="D14944" i="2"/>
  <c r="D8021" i="2"/>
  <c r="D6842" i="2"/>
  <c r="D516" i="2"/>
  <c r="D11670" i="2"/>
  <c r="D13928" i="2"/>
  <c r="D11997" i="2"/>
  <c r="D11733" i="2"/>
  <c r="D3805" i="2"/>
  <c r="D15287" i="2"/>
  <c r="D7480" i="2"/>
  <c r="D3804" i="2"/>
  <c r="D704" i="2"/>
  <c r="D10504" i="2"/>
  <c r="D6894" i="2"/>
  <c r="D11180" i="2"/>
  <c r="D4850" i="2"/>
  <c r="D13832" i="2"/>
  <c r="D3803" i="2"/>
  <c r="D10237" i="2"/>
  <c r="D2198" i="2"/>
  <c r="D856" i="2"/>
  <c r="D5931" i="2"/>
  <c r="D14087" i="2"/>
  <c r="D8020" i="2"/>
  <c r="D10236" i="2"/>
  <c r="D6802" i="2"/>
  <c r="D6276" i="2"/>
  <c r="D9806" i="2"/>
  <c r="D10038" i="2"/>
  <c r="D11288" i="2"/>
  <c r="D10852" i="2"/>
  <c r="D9893" i="2"/>
  <c r="D8019" i="2"/>
  <c r="D14509" i="2"/>
  <c r="D14758" i="2"/>
  <c r="D1317" i="2"/>
  <c r="D6234" i="2"/>
  <c r="D4725" i="2"/>
  <c r="D15319" i="2"/>
  <c r="D7288" i="2"/>
  <c r="D8018" i="2"/>
  <c r="D3802" i="2"/>
  <c r="D6567" i="2"/>
  <c r="D7533" i="2"/>
  <c r="D5930" i="2"/>
  <c r="D8017" i="2"/>
  <c r="D2432" i="2"/>
  <c r="D10947" i="2"/>
  <c r="D6248" i="2"/>
  <c r="D10636" i="2"/>
  <c r="D3173" i="2"/>
  <c r="D1549" i="2"/>
  <c r="D8016" i="2"/>
  <c r="D11179" i="2"/>
  <c r="D14086" i="2"/>
  <c r="D14038" i="2"/>
  <c r="D14297" i="2"/>
  <c r="D8015" i="2"/>
  <c r="D1706" i="2"/>
  <c r="D8014" i="2"/>
  <c r="D9302" i="2"/>
  <c r="D14679" i="2"/>
  <c r="D14085" i="2"/>
  <c r="D3801" i="2"/>
  <c r="D749" i="2"/>
  <c r="D11996" i="2"/>
  <c r="D5929" i="2"/>
  <c r="D3800" i="2"/>
  <c r="D9301" i="2"/>
  <c r="D14678" i="2"/>
  <c r="D10605" i="2"/>
  <c r="D3799" i="2"/>
  <c r="D10792" i="2"/>
  <c r="D5417" i="2"/>
  <c r="D8013" i="2"/>
  <c r="D855" i="2"/>
  <c r="D8012" i="2"/>
  <c r="D11995" i="2"/>
  <c r="D14677" i="2"/>
  <c r="D5928" i="2"/>
  <c r="D7287" i="2"/>
  <c r="D8011" i="2"/>
  <c r="D3798" i="2"/>
  <c r="D3797" i="2"/>
  <c r="D15076" i="2"/>
  <c r="D3796" i="2"/>
  <c r="D1852" i="2"/>
  <c r="D10540" i="2"/>
  <c r="D1207" i="2"/>
  <c r="D13932" i="2"/>
  <c r="D1548" i="2"/>
  <c r="D5927" i="2"/>
  <c r="D3344" i="2"/>
  <c r="D9763" i="2"/>
  <c r="D8010" i="2"/>
  <c r="D8009" i="2"/>
  <c r="D9754" i="2"/>
  <c r="D1206" i="2"/>
  <c r="D8008" i="2"/>
  <c r="D8007" i="2"/>
  <c r="D6893" i="2"/>
  <c r="D15286" i="2"/>
  <c r="D9300" i="2"/>
  <c r="D392" i="2"/>
  <c r="D367" i="2"/>
  <c r="D5618" i="2"/>
  <c r="D2197" i="2"/>
  <c r="D8006" i="2"/>
  <c r="D9096" i="2"/>
  <c r="D11412" i="2"/>
  <c r="D3795" i="2"/>
  <c r="D13831" i="2"/>
  <c r="D8005" i="2"/>
  <c r="D14943" i="2"/>
  <c r="D11698" i="2"/>
  <c r="D2015" i="2"/>
  <c r="D8004" i="2"/>
  <c r="D8003" i="2"/>
  <c r="D12682" i="2"/>
  <c r="D10235" i="2"/>
  <c r="D8002" i="2"/>
  <c r="D391" i="2"/>
  <c r="D366" i="2"/>
  <c r="D8001" i="2"/>
  <c r="D12417" i="2"/>
  <c r="D5926" i="2"/>
  <c r="D5480" i="2"/>
  <c r="D9299" i="2"/>
  <c r="D14676" i="2"/>
  <c r="D14592" i="2"/>
  <c r="D8000" i="2"/>
  <c r="D10946" i="2"/>
  <c r="D10564" i="2"/>
  <c r="D10665" i="2"/>
  <c r="D6892" i="2"/>
  <c r="D1547" i="2"/>
  <c r="D1010" i="2"/>
  <c r="D7999" i="2"/>
  <c r="D3794" i="2"/>
  <c r="D6207" i="2"/>
  <c r="D4608" i="2"/>
  <c r="D14246" i="2"/>
  <c r="D9298" i="2"/>
  <c r="D157" i="2"/>
  <c r="D3793" i="2"/>
  <c r="D5705" i="2"/>
  <c r="D13104" i="2"/>
  <c r="D14609" i="2"/>
  <c r="D9892" i="2"/>
  <c r="D7998" i="2"/>
  <c r="D7997" i="2"/>
  <c r="D11411" i="2"/>
  <c r="D9138" i="2"/>
  <c r="D11994" i="2"/>
  <c r="D1839" i="2"/>
  <c r="D7089" i="2"/>
  <c r="D6300" i="2"/>
  <c r="D1108" i="2"/>
  <c r="D3792" i="2"/>
  <c r="D5479" i="2"/>
  <c r="D6299" i="2"/>
  <c r="D3128" i="2"/>
  <c r="D10234" i="2"/>
  <c r="D5925" i="2"/>
  <c r="D3791" i="2"/>
  <c r="D12233" i="2"/>
  <c r="D15285" i="2"/>
  <c r="D11843" i="2"/>
  <c r="D7996" i="2"/>
  <c r="D3790" i="2"/>
  <c r="D5457" i="2"/>
  <c r="D1107" i="2"/>
  <c r="D10735" i="2"/>
  <c r="D2073" i="2"/>
  <c r="D3326" i="2"/>
  <c r="D7995" i="2"/>
  <c r="D11993" i="2"/>
  <c r="D2795" i="2"/>
  <c r="D10724" i="2"/>
  <c r="D5249" i="2"/>
  <c r="D13048" i="2"/>
  <c r="D1205" i="2"/>
  <c r="D5924" i="2"/>
  <c r="D3789" i="2"/>
  <c r="D9297" i="2"/>
  <c r="D13727" i="2"/>
  <c r="D2794" i="2"/>
  <c r="D5456" i="2"/>
  <c r="D7994" i="2"/>
  <c r="D12124" i="2"/>
  <c r="D7993" i="2"/>
  <c r="D5923" i="2"/>
  <c r="D2001" i="2"/>
  <c r="D12347" i="2"/>
  <c r="D7361" i="2"/>
  <c r="D5678" i="2"/>
  <c r="D6597" i="2"/>
  <c r="D5318" i="2"/>
  <c r="D3186" i="2"/>
  <c r="D1204" i="2"/>
  <c r="D7992" i="2"/>
  <c r="D2012" i="2"/>
  <c r="D4885" i="2"/>
  <c r="D7991" i="2"/>
  <c r="D7990" i="2"/>
  <c r="D13190" i="2"/>
  <c r="D11992" i="2"/>
  <c r="D13497" i="2"/>
  <c r="D591" i="2"/>
  <c r="D3396" i="2"/>
  <c r="D9296" i="2"/>
  <c r="D9891" i="2"/>
  <c r="D10945" i="2"/>
  <c r="D11337" i="2"/>
  <c r="D9295" i="2"/>
  <c r="D7989" i="2"/>
  <c r="D3039" i="2"/>
  <c r="D7988" i="2"/>
  <c r="D12232" i="2"/>
  <c r="D10791" i="2"/>
  <c r="D14488" i="2"/>
  <c r="D1705" i="2"/>
  <c r="D252" i="2"/>
  <c r="D11178" i="2"/>
  <c r="D1106" i="2"/>
  <c r="D3085" i="2"/>
  <c r="D14084" i="2"/>
  <c r="D11606" i="2"/>
  <c r="D10684" i="2"/>
  <c r="D7286" i="2"/>
  <c r="D6891" i="2"/>
  <c r="D7987" i="2"/>
  <c r="D6801" i="2"/>
  <c r="D14487" i="2"/>
  <c r="D3788" i="2"/>
  <c r="D9294" i="2"/>
  <c r="D4963" i="2"/>
  <c r="D11991" i="2"/>
  <c r="D515" i="2"/>
  <c r="D7986" i="2"/>
  <c r="D12231" i="2"/>
  <c r="D7985" i="2"/>
  <c r="D10686" i="2"/>
  <c r="D11990" i="2"/>
  <c r="D9293" i="2"/>
  <c r="D9292" i="2"/>
  <c r="D5922" i="2"/>
  <c r="D11989" i="2"/>
  <c r="D12400" i="2"/>
  <c r="D10483" i="2"/>
  <c r="D3089" i="2"/>
  <c r="D11988" i="2"/>
  <c r="D1891" i="2"/>
  <c r="D9801" i="2"/>
  <c r="D7984" i="2"/>
  <c r="D10790" i="2"/>
  <c r="D7983" i="2"/>
  <c r="D6890" i="2"/>
  <c r="D3787" i="2"/>
  <c r="D6841" i="2"/>
  <c r="D5921" i="2"/>
  <c r="D1955" i="2"/>
  <c r="D7982" i="2"/>
  <c r="D14486" i="2"/>
  <c r="D2479" i="2"/>
  <c r="D11325" i="2"/>
  <c r="D10598" i="2"/>
  <c r="D7981" i="2"/>
  <c r="D5149" i="2"/>
  <c r="D7980" i="2"/>
  <c r="D10397" i="2"/>
  <c r="D1546" i="2"/>
  <c r="D13677" i="2"/>
  <c r="D7344" i="2"/>
  <c r="D5920" i="2"/>
  <c r="D9609" i="2"/>
  <c r="D9720" i="2"/>
  <c r="D7979" i="2"/>
  <c r="D10233" i="2"/>
  <c r="D11925" i="2"/>
  <c r="D6197" i="2"/>
  <c r="D13726" i="2"/>
  <c r="D7978" i="2"/>
  <c r="D11287" i="2"/>
  <c r="D3343" i="2"/>
  <c r="D7977" i="2"/>
  <c r="D10789" i="2"/>
  <c r="D5478" i="2"/>
  <c r="D7976" i="2"/>
  <c r="D11987" i="2"/>
  <c r="D2490" i="2"/>
  <c r="D14675" i="2"/>
  <c r="D7975" i="2"/>
  <c r="D7974" i="2"/>
  <c r="D5614" i="2"/>
  <c r="D7156" i="2"/>
  <c r="D14083" i="2"/>
  <c r="D6800" i="2"/>
  <c r="D2196" i="2"/>
  <c r="D5919" i="2"/>
  <c r="D3786" i="2"/>
  <c r="D2793" i="2"/>
  <c r="D3785" i="2"/>
  <c r="D12997" i="2"/>
  <c r="D12335" i="2"/>
  <c r="D13013" i="2"/>
  <c r="D7973" i="2"/>
  <c r="D5918" i="2"/>
  <c r="D5917" i="2"/>
  <c r="D3784" i="2"/>
  <c r="D7492" i="2"/>
  <c r="D10723" i="2"/>
  <c r="D14324" i="2"/>
  <c r="D11697" i="2"/>
  <c r="D7972" i="2"/>
  <c r="D14338" i="2"/>
  <c r="D3783" i="2"/>
  <c r="D358" i="2"/>
  <c r="D10944" i="2"/>
  <c r="D6626" i="2"/>
  <c r="D6632" i="2"/>
  <c r="D13581" i="2"/>
  <c r="D82" i="2"/>
  <c r="D90" i="2"/>
  <c r="D12951" i="2"/>
  <c r="D9291" i="2"/>
  <c r="D3782" i="2"/>
  <c r="D2792" i="2"/>
  <c r="D2431" i="2"/>
  <c r="D1203" i="2"/>
  <c r="D14433" i="2"/>
  <c r="D7971" i="2"/>
  <c r="D14028" i="2"/>
  <c r="D2195" i="2"/>
  <c r="D7285" i="2"/>
  <c r="D9290" i="2"/>
  <c r="D11177" i="2"/>
  <c r="D11986" i="2"/>
  <c r="D3781" i="2"/>
  <c r="D10788" i="2"/>
  <c r="D14849" i="2"/>
  <c r="D3780" i="2"/>
  <c r="D12230" i="2"/>
  <c r="D9289" i="2"/>
  <c r="D748" i="2"/>
  <c r="D10943" i="2"/>
  <c r="D678" i="2"/>
  <c r="D12681" i="2"/>
  <c r="D11286" i="2"/>
  <c r="D7970" i="2"/>
  <c r="D2637" i="2"/>
  <c r="D14555" i="2"/>
  <c r="D10942" i="2"/>
  <c r="D7969" i="2"/>
  <c r="D11985" i="2"/>
  <c r="D14674" i="2"/>
  <c r="D7968" i="2"/>
  <c r="D11176" i="2"/>
  <c r="D5444" i="2"/>
  <c r="D4562" i="2"/>
  <c r="D3334" i="2"/>
  <c r="D10828" i="2"/>
  <c r="D2791" i="2"/>
  <c r="D10941" i="2"/>
  <c r="D7320" i="2"/>
  <c r="D15075" i="2"/>
  <c r="D5916" i="2"/>
  <c r="D5915" i="2"/>
  <c r="D7967" i="2"/>
  <c r="D4884" i="2"/>
  <c r="D11813" i="2"/>
  <c r="D11984" i="2"/>
  <c r="D7351" i="2"/>
  <c r="D5914" i="2"/>
  <c r="D13996" i="2"/>
  <c r="D1906" i="2"/>
  <c r="D14311" i="2"/>
  <c r="D15284" i="2"/>
  <c r="D10396" i="2"/>
  <c r="D12123" i="2"/>
  <c r="D3779" i="2"/>
  <c r="D2018" i="2"/>
  <c r="D5913" i="2"/>
  <c r="D5495" i="2"/>
  <c r="D5912" i="2"/>
  <c r="D1316" i="2"/>
  <c r="D1545" i="2"/>
  <c r="D13785" i="2"/>
  <c r="D7966" i="2"/>
  <c r="D10395" i="2"/>
  <c r="D3778" i="2"/>
  <c r="D854" i="2"/>
  <c r="D10232" i="2"/>
  <c r="D1009" i="2"/>
  <c r="D2502" i="2"/>
  <c r="D14342" i="2"/>
  <c r="D5911" i="2"/>
  <c r="D13293" i="2"/>
  <c r="D10940" i="2"/>
  <c r="D3777" i="2"/>
  <c r="D5910" i="2"/>
  <c r="D2478" i="2"/>
  <c r="D11983" i="2"/>
  <c r="D2335" i="2"/>
  <c r="D2194" i="2"/>
  <c r="D7965" i="2"/>
  <c r="D5248" i="2"/>
  <c r="D5280" i="2"/>
  <c r="D514" i="2"/>
  <c r="D943" i="2"/>
  <c r="D3776" i="2"/>
  <c r="D3775" i="2"/>
  <c r="D13857" i="2"/>
  <c r="D10787" i="2"/>
  <c r="D9288" i="2"/>
  <c r="D11924" i="2"/>
  <c r="D7964" i="2"/>
  <c r="D10939" i="2"/>
  <c r="D3774" i="2"/>
  <c r="D66" i="2"/>
  <c r="D10231" i="2"/>
  <c r="D7963" i="2"/>
  <c r="D7962" i="2"/>
  <c r="D7058" i="2"/>
  <c r="D7961" i="2"/>
  <c r="D1008" i="2"/>
  <c r="D1544" i="2"/>
  <c r="D7960" i="2"/>
  <c r="D11175" i="2"/>
  <c r="D11982" i="2"/>
  <c r="D10759" i="2"/>
  <c r="D10695" i="2"/>
  <c r="D13100" i="2"/>
  <c r="D7959" i="2"/>
  <c r="D2618" i="2"/>
  <c r="D10758" i="2"/>
  <c r="D3773" i="2"/>
  <c r="D1202" i="2"/>
  <c r="D14468" i="2"/>
  <c r="D9287" i="2"/>
  <c r="D2334" i="2"/>
  <c r="D3772" i="2"/>
  <c r="D13655" i="2"/>
  <c r="D7958" i="2"/>
  <c r="D11981" i="2"/>
  <c r="D5717" i="2"/>
  <c r="D10938" i="2"/>
  <c r="D11635" i="2"/>
  <c r="D10230" i="2"/>
  <c r="D2554" i="2"/>
  <c r="D9084" i="2"/>
  <c r="D7957" i="2"/>
  <c r="D7956" i="2"/>
  <c r="D3263" i="2"/>
  <c r="D2790" i="2"/>
  <c r="D477" i="2"/>
  <c r="D10229" i="2"/>
  <c r="D3771" i="2"/>
  <c r="D13751" i="2"/>
  <c r="D6964" i="2"/>
  <c r="D10937" i="2"/>
  <c r="D14465" i="2"/>
  <c r="D2430" i="2"/>
  <c r="D1315" i="2"/>
  <c r="D9286" i="2"/>
  <c r="D10786" i="2"/>
  <c r="D3031" i="2"/>
  <c r="D12229" i="2"/>
  <c r="D5909" i="2"/>
  <c r="D3155" i="2"/>
  <c r="D6799" i="2"/>
  <c r="D5908" i="2"/>
  <c r="D7955" i="2"/>
  <c r="D14384" i="2"/>
  <c r="D13034" i="2"/>
  <c r="D513" i="2"/>
  <c r="D11980" i="2"/>
  <c r="D2975" i="2"/>
  <c r="D12228" i="2"/>
  <c r="D13358" i="2"/>
  <c r="D11923" i="2"/>
  <c r="D3325" i="2"/>
  <c r="D9890" i="2"/>
  <c r="D14503" i="2"/>
  <c r="D4787" i="2"/>
  <c r="D11835" i="2"/>
  <c r="D7954" i="2"/>
  <c r="D14517" i="2"/>
  <c r="D6739" i="2"/>
  <c r="D6963" i="2"/>
  <c r="D7953" i="2"/>
  <c r="D14082" i="2"/>
  <c r="D747" i="2"/>
  <c r="D2485" i="2"/>
  <c r="D4796" i="2"/>
  <c r="D11634" i="2"/>
  <c r="D7952" i="2"/>
  <c r="D7951" i="2"/>
  <c r="D3770" i="2"/>
  <c r="D15074" i="2"/>
  <c r="D5704" i="2"/>
  <c r="D746" i="2"/>
  <c r="D5330" i="2"/>
  <c r="D2501" i="2"/>
  <c r="D11922" i="2"/>
  <c r="D12416" i="2"/>
  <c r="D120" i="2"/>
  <c r="D10563" i="2"/>
  <c r="D3769" i="2"/>
  <c r="D13784" i="2"/>
  <c r="D5907" i="2"/>
  <c r="D2333" i="2"/>
  <c r="D10936" i="2"/>
  <c r="D10394" i="2"/>
  <c r="D9285" i="2"/>
  <c r="D11480" i="2"/>
  <c r="D3768" i="2"/>
  <c r="D10009" i="2"/>
  <c r="D3767" i="2"/>
  <c r="D7513" i="2"/>
  <c r="D280" i="2"/>
  <c r="D4992" i="2"/>
  <c r="D1062" i="2"/>
  <c r="D10113" i="2"/>
  <c r="D11740" i="2"/>
  <c r="D5309" i="2"/>
  <c r="D11349" i="2"/>
  <c r="D6962" i="2"/>
  <c r="D3766" i="2"/>
  <c r="D7135" i="2"/>
  <c r="D1105" i="2"/>
  <c r="D3765" i="2"/>
  <c r="D10393" i="2"/>
  <c r="D5477" i="2"/>
  <c r="D1314" i="2"/>
  <c r="D3395" i="2"/>
  <c r="D9284" i="2"/>
  <c r="D7950" i="2"/>
  <c r="D1313" i="2"/>
  <c r="D15283" i="2"/>
  <c r="D7323" i="2"/>
  <c r="D5906" i="2"/>
  <c r="D9818" i="2"/>
  <c r="D7487" i="2"/>
  <c r="D5905" i="2"/>
  <c r="D14081" i="2"/>
  <c r="D5020" i="2"/>
  <c r="D13839" i="2"/>
  <c r="D6467" i="2"/>
  <c r="D12346" i="2"/>
  <c r="D6798" i="2"/>
  <c r="D6889" i="2"/>
  <c r="D3764" i="2"/>
  <c r="D14080" i="2"/>
  <c r="D4857" i="2"/>
  <c r="D10785" i="2"/>
  <c r="D12399" i="2"/>
  <c r="D745" i="2"/>
  <c r="D10935" i="2"/>
  <c r="D14277" i="2"/>
  <c r="D1386" i="2"/>
  <c r="D5904" i="2"/>
  <c r="D10392" i="2"/>
  <c r="D6388" i="2"/>
  <c r="D3353" i="2"/>
  <c r="D10934" i="2"/>
  <c r="D5903" i="2"/>
  <c r="D6675" i="2"/>
  <c r="D4920" i="2"/>
  <c r="D7331" i="2"/>
  <c r="D11174" i="2"/>
  <c r="D19" i="2"/>
  <c r="D14811" i="2"/>
  <c r="D9283" i="2"/>
  <c r="D5902" i="2"/>
  <c r="D13496" i="2"/>
  <c r="D9282" i="2"/>
  <c r="D1543" i="2"/>
  <c r="D5901" i="2"/>
  <c r="D11979" i="2"/>
  <c r="D9281" i="2"/>
  <c r="D1980" i="2"/>
  <c r="D10228" i="2"/>
  <c r="D13495" i="2"/>
  <c r="D14673" i="2"/>
  <c r="D1430" i="2"/>
  <c r="D1783" i="2"/>
  <c r="D14485" i="2"/>
  <c r="D10933" i="2"/>
  <c r="D15073" i="2"/>
  <c r="D10227" i="2"/>
  <c r="D13896" i="2"/>
  <c r="D5900" i="2"/>
  <c r="D14942" i="2"/>
  <c r="D15282" i="2"/>
  <c r="D12445" i="2"/>
  <c r="D2789" i="2"/>
  <c r="D3030" i="2"/>
  <c r="D13984" i="2"/>
  <c r="D4991" i="2"/>
  <c r="D7284" i="2"/>
  <c r="D3464" i="2"/>
  <c r="D3763" i="2"/>
  <c r="D7949" i="2"/>
  <c r="D14079" i="2"/>
  <c r="D7218" i="2"/>
  <c r="D1704" i="2"/>
  <c r="D11852" i="2"/>
  <c r="D10226" i="2"/>
  <c r="D1104" i="2"/>
  <c r="D3762" i="2"/>
  <c r="D9753" i="2"/>
  <c r="D6888" i="2"/>
  <c r="D3262" i="2"/>
  <c r="D6850" i="2"/>
  <c r="D9280" i="2"/>
  <c r="D1542" i="2"/>
  <c r="D11173" i="2"/>
  <c r="D1103" i="2"/>
  <c r="D10932" i="2"/>
  <c r="D9279" i="2"/>
  <c r="D7948" i="2"/>
  <c r="D9278" i="2"/>
  <c r="D5416" i="2"/>
  <c r="D1874" i="2"/>
  <c r="D7947" i="2"/>
  <c r="D1366" i="2"/>
  <c r="D3261" i="2"/>
  <c r="D15072" i="2"/>
  <c r="D9889" i="2"/>
  <c r="D5491" i="2"/>
  <c r="D5899" i="2"/>
  <c r="D4678" i="2"/>
  <c r="D7946" i="2"/>
  <c r="D7378" i="2"/>
  <c r="D14337" i="2"/>
  <c r="D6453" i="2"/>
  <c r="D4894" i="2"/>
  <c r="D364" i="2"/>
  <c r="D7330" i="2"/>
  <c r="D6849" i="2"/>
  <c r="D7945" i="2"/>
  <c r="D7944" i="2"/>
  <c r="D11761" i="2"/>
  <c r="D12520" i="2"/>
  <c r="D6612" i="2"/>
  <c r="D134" i="2"/>
  <c r="D942" i="2"/>
  <c r="D6872" i="2"/>
  <c r="D10931" i="2"/>
  <c r="D11562" i="2"/>
  <c r="D11172" i="2"/>
  <c r="D11978" i="2"/>
  <c r="D9277" i="2"/>
  <c r="D10930" i="2"/>
  <c r="D1661" i="2"/>
  <c r="D12122" i="2"/>
  <c r="D4570" i="2"/>
  <c r="D14810" i="2"/>
  <c r="D9276" i="2"/>
  <c r="D12555" i="2"/>
  <c r="D1804" i="2"/>
  <c r="D5898" i="2"/>
  <c r="D7943" i="2"/>
  <c r="D11977" i="2"/>
  <c r="D7942" i="2"/>
  <c r="D11376" i="2"/>
  <c r="D5897" i="2"/>
  <c r="D196" i="2"/>
  <c r="D13366" i="2"/>
  <c r="D4786" i="2"/>
  <c r="D10929" i="2"/>
  <c r="D7283" i="2"/>
  <c r="D2193" i="2"/>
  <c r="D10225" i="2"/>
  <c r="D3761" i="2"/>
  <c r="D1703" i="2"/>
  <c r="D7941" i="2"/>
  <c r="D13341" i="2"/>
  <c r="D5730" i="2"/>
  <c r="D6674" i="2"/>
  <c r="D5537" i="2"/>
  <c r="D303" i="2"/>
  <c r="D35" i="2"/>
  <c r="D7940" i="2"/>
  <c r="D1541" i="2"/>
  <c r="D9762" i="2"/>
  <c r="D2553" i="2"/>
  <c r="D12121" i="2"/>
  <c r="D1102" i="2"/>
  <c r="D1873" i="2"/>
  <c r="D10685" i="2"/>
  <c r="D1822" i="2"/>
  <c r="D11976" i="2"/>
  <c r="D7939" i="2"/>
  <c r="D9275" i="2"/>
  <c r="D1101" i="2"/>
  <c r="D2788" i="2"/>
  <c r="D3760" i="2"/>
  <c r="D12227" i="2"/>
  <c r="D7938" i="2"/>
  <c r="D14341" i="2"/>
  <c r="D412" i="2"/>
  <c r="D1702" i="2"/>
  <c r="D6252" i="2"/>
  <c r="D7937" i="2"/>
  <c r="D4795" i="2"/>
  <c r="D744" i="2"/>
  <c r="D7936" i="2"/>
  <c r="D1875" i="2"/>
  <c r="D5308" i="2"/>
  <c r="D4951" i="2"/>
  <c r="D6922" i="2"/>
  <c r="D12461" i="2"/>
  <c r="D5896" i="2"/>
  <c r="D14078" i="2"/>
  <c r="D7088" i="2"/>
  <c r="D1007" i="2"/>
  <c r="D7360" i="2"/>
  <c r="D4607" i="2"/>
  <c r="D3759" i="2"/>
  <c r="D7329" i="2"/>
  <c r="D7935" i="2"/>
  <c r="D10928" i="2"/>
  <c r="D12431" i="2"/>
  <c r="D3214" i="2"/>
  <c r="D13725" i="2"/>
  <c r="D11285" i="2"/>
  <c r="D11479" i="2"/>
  <c r="D4763" i="2"/>
  <c r="D289" i="2"/>
  <c r="D14077" i="2"/>
  <c r="D1201" i="2"/>
  <c r="D13365" i="2"/>
  <c r="D4780" i="2"/>
  <c r="D13012" i="2"/>
  <c r="D385" i="2"/>
  <c r="D10503" i="2"/>
  <c r="D7282" i="2"/>
  <c r="D14383" i="2"/>
  <c r="D7321" i="2"/>
  <c r="D10733" i="2"/>
  <c r="D9274" i="2"/>
  <c r="D4699" i="2"/>
  <c r="D9273" i="2"/>
  <c r="D11171" i="2"/>
  <c r="D3758" i="2"/>
  <c r="D13403" i="2"/>
  <c r="D14076" i="2"/>
  <c r="D512" i="2"/>
  <c r="D567" i="2"/>
  <c r="D10224" i="2"/>
  <c r="D15071" i="2"/>
  <c r="D10927" i="2"/>
  <c r="D13760" i="2"/>
  <c r="D10223" i="2"/>
  <c r="D3120" i="2"/>
  <c r="D113" i="2"/>
  <c r="D13995" i="2"/>
  <c r="D7014" i="2"/>
  <c r="D9604" i="2"/>
  <c r="D3757" i="2"/>
  <c r="D4773" i="2"/>
  <c r="D1540" i="2"/>
  <c r="D941" i="2"/>
  <c r="D9678" i="2"/>
  <c r="D10222" i="2"/>
  <c r="D10391" i="2"/>
  <c r="D5895" i="2"/>
  <c r="D10827" i="2"/>
  <c r="D13311" i="2"/>
  <c r="D2974" i="2"/>
  <c r="D5694" i="2"/>
  <c r="D10562" i="2"/>
  <c r="D698" i="2"/>
  <c r="D7934" i="2"/>
  <c r="D2192" i="2"/>
  <c r="D14941" i="2"/>
  <c r="D10390" i="2"/>
  <c r="D743" i="2"/>
  <c r="D7379" i="2"/>
  <c r="D13838" i="2"/>
  <c r="D10926" i="2"/>
  <c r="D1429" i="2"/>
  <c r="D5894" i="2"/>
  <c r="D14672" i="2"/>
  <c r="D9888" i="2"/>
  <c r="D3100" i="2"/>
  <c r="D9133" i="2"/>
  <c r="D11630" i="2"/>
  <c r="D3756" i="2"/>
  <c r="D3110" i="2"/>
  <c r="D63" i="2"/>
  <c r="D12989" i="2"/>
  <c r="D6921" i="2"/>
  <c r="D9272" i="2"/>
  <c r="D13916" i="2"/>
  <c r="D12488" i="2"/>
  <c r="D14757" i="2"/>
  <c r="D2670" i="2"/>
  <c r="D3394" i="2"/>
  <c r="D2787" i="2"/>
  <c r="D13357" i="2"/>
  <c r="D6566" i="2"/>
  <c r="D3755" i="2"/>
  <c r="D12345" i="2"/>
  <c r="D9073" i="2"/>
  <c r="D13919" i="2"/>
  <c r="D3754" i="2"/>
  <c r="D14671" i="2"/>
  <c r="D12487" i="2"/>
  <c r="D318" i="2"/>
  <c r="D10704" i="2"/>
  <c r="D11561" i="2"/>
  <c r="D7155" i="2"/>
  <c r="D237" i="2"/>
  <c r="D7933" i="2"/>
  <c r="D11478" i="2"/>
  <c r="D6298" i="2"/>
  <c r="D11560" i="2"/>
  <c r="D5893" i="2"/>
  <c r="D5892" i="2"/>
  <c r="D12334" i="2"/>
  <c r="D2332" i="2"/>
  <c r="D10925" i="2"/>
  <c r="D7932" i="2"/>
  <c r="D7931" i="2"/>
  <c r="D13364" i="2"/>
  <c r="D9271" i="2"/>
  <c r="D10389" i="2"/>
  <c r="D10221" i="2"/>
  <c r="D10093" i="2"/>
  <c r="D7930" i="2"/>
  <c r="D13823" i="2"/>
  <c r="D3753" i="2"/>
  <c r="D7929" i="2"/>
  <c r="D14883" i="2"/>
  <c r="D3752" i="2"/>
  <c r="D2020" i="2"/>
  <c r="D4919" i="2"/>
  <c r="D1200" i="2"/>
  <c r="D5891" i="2"/>
  <c r="D416" i="2"/>
  <c r="D5322" i="2"/>
  <c r="D7928" i="2"/>
  <c r="D5890" i="2"/>
  <c r="D4569" i="2"/>
  <c r="D386" i="2"/>
  <c r="D742" i="2"/>
  <c r="D1802" i="2"/>
  <c r="D7927" i="2"/>
  <c r="D13011" i="2"/>
  <c r="D13078" i="2"/>
  <c r="D9887" i="2"/>
  <c r="D5889" i="2"/>
  <c r="D4764" i="2"/>
  <c r="D2034" i="2"/>
  <c r="D1100" i="2"/>
  <c r="D13494" i="2"/>
  <c r="D6656" i="2"/>
  <c r="D4990" i="2"/>
  <c r="D9725" i="2"/>
  <c r="D3432" i="2"/>
  <c r="D12398" i="2"/>
  <c r="D7926" i="2"/>
  <c r="D7452" i="2"/>
  <c r="D10482" i="2"/>
  <c r="D2072" i="2"/>
  <c r="D6233" i="2"/>
  <c r="D1830" i="2"/>
  <c r="D10722" i="2"/>
  <c r="D13189" i="2"/>
  <c r="D511" i="2"/>
  <c r="D13901" i="2"/>
  <c r="D1701" i="2"/>
  <c r="D3751" i="2"/>
  <c r="D9270" i="2"/>
  <c r="D5317" i="2"/>
  <c r="D1312" i="2"/>
  <c r="D2645" i="2"/>
  <c r="D13292" i="2"/>
  <c r="D7925" i="2"/>
  <c r="D11170" i="2"/>
  <c r="D5888" i="2"/>
  <c r="D1931" i="2"/>
  <c r="D7924" i="2"/>
  <c r="D13759" i="2"/>
  <c r="D3750" i="2"/>
  <c r="D12371" i="2"/>
  <c r="D7923" i="2"/>
  <c r="D3749" i="2"/>
  <c r="D4755" i="2"/>
  <c r="D10924" i="2"/>
  <c r="D11477" i="2"/>
  <c r="D6596" i="2"/>
  <c r="D11664" i="2"/>
  <c r="D7922" i="2"/>
  <c r="D7921" i="2"/>
  <c r="D5592" i="2"/>
  <c r="D251" i="2"/>
  <c r="D7281" i="2"/>
  <c r="D7920" i="2"/>
  <c r="D5557" i="2"/>
  <c r="D510" i="2"/>
  <c r="D3748" i="2"/>
  <c r="D7070" i="2"/>
  <c r="D7419" i="2"/>
  <c r="D9269" i="2"/>
  <c r="D12226" i="2"/>
  <c r="D10836" i="2"/>
  <c r="D10092" i="2"/>
  <c r="D5887" i="2"/>
  <c r="D12225" i="2"/>
  <c r="D1979" i="2"/>
  <c r="D7919" i="2"/>
  <c r="D112" i="2"/>
  <c r="D7918" i="2"/>
  <c r="D11975" i="2"/>
  <c r="D309" i="2"/>
  <c r="D12365" i="2"/>
  <c r="D5407" i="2"/>
  <c r="D10923" i="2"/>
  <c r="D13783" i="2"/>
  <c r="D9268" i="2"/>
  <c r="D3747" i="2"/>
  <c r="D9077" i="2"/>
  <c r="D5133" i="2"/>
  <c r="D7917" i="2"/>
  <c r="D12224" i="2"/>
  <c r="D13103" i="2"/>
  <c r="D3746" i="2"/>
  <c r="D5267" i="2"/>
  <c r="D2920" i="2"/>
  <c r="D9886" i="2"/>
  <c r="D5329" i="2"/>
  <c r="D15239" i="2"/>
  <c r="D7916" i="2"/>
  <c r="D13010" i="2"/>
  <c r="D47" i="2"/>
  <c r="D2644" i="2"/>
  <c r="D651" i="2"/>
  <c r="D3260" i="2"/>
  <c r="D9267" i="2"/>
  <c r="D1428" i="2"/>
  <c r="D5316" i="2"/>
  <c r="D5886" i="2"/>
  <c r="D1311" i="2"/>
  <c r="D14075" i="2"/>
  <c r="D5455" i="2"/>
  <c r="D14484" i="2"/>
  <c r="D5885" i="2"/>
  <c r="D6961" i="2"/>
  <c r="D11169" i="2"/>
  <c r="D38" i="2"/>
  <c r="D13614" i="2"/>
  <c r="D379" i="2"/>
  <c r="D6871" i="2"/>
  <c r="D4677" i="2"/>
  <c r="D4971" i="2"/>
  <c r="D6266" i="2"/>
  <c r="D7328" i="2"/>
  <c r="D6797" i="2"/>
  <c r="D104" i="2"/>
  <c r="D266" i="2"/>
  <c r="D7447" i="2"/>
  <c r="D3745" i="2"/>
  <c r="D7915" i="2"/>
  <c r="D7490" i="2"/>
  <c r="D229" i="2"/>
  <c r="D5154" i="2"/>
  <c r="D37" i="2"/>
  <c r="D3744" i="2"/>
  <c r="D10922" i="2"/>
  <c r="D32" i="2"/>
  <c r="D11663" i="2"/>
  <c r="D6546" i="2"/>
  <c r="D11655" i="2"/>
  <c r="D2191" i="2"/>
  <c r="D6387" i="2"/>
  <c r="D111" i="2"/>
  <c r="D11974" i="2"/>
  <c r="D9885" i="2"/>
  <c r="D12099" i="2"/>
  <c r="D11973" i="2"/>
  <c r="D13374" i="2"/>
  <c r="D3436" i="2"/>
  <c r="D6960" i="2"/>
  <c r="D3743" i="2"/>
  <c r="D7914" i="2"/>
  <c r="D5610" i="2"/>
  <c r="D608" i="2"/>
  <c r="D7182" i="2"/>
  <c r="D3742" i="2"/>
  <c r="D6920" i="2"/>
  <c r="D12120" i="2"/>
  <c r="D2331" i="2"/>
  <c r="D10841" i="2"/>
  <c r="D9266" i="2"/>
  <c r="D9265" i="2"/>
  <c r="D311" i="2"/>
  <c r="D4630" i="2"/>
  <c r="D7359" i="2"/>
  <c r="D7913" i="2"/>
  <c r="D9698" i="2"/>
  <c r="D3741" i="2"/>
  <c r="D108" i="2"/>
  <c r="D4605" i="2"/>
  <c r="D13654" i="2"/>
  <c r="D3740" i="2"/>
  <c r="D2786" i="2"/>
  <c r="D11793" i="2"/>
  <c r="D11284" i="2"/>
  <c r="D13315" i="2"/>
  <c r="D14074" i="2"/>
  <c r="D5443" i="2"/>
  <c r="D4" i="2"/>
  <c r="D370" i="2"/>
  <c r="D5148" i="2"/>
  <c r="D2025" i="2"/>
  <c r="D5884" i="2"/>
  <c r="D14670" i="2"/>
  <c r="D12894" i="2"/>
  <c r="D10784" i="2"/>
  <c r="D1427" i="2"/>
  <c r="D2973" i="2"/>
  <c r="D14669" i="2"/>
  <c r="D12893" i="2"/>
  <c r="D1426" i="2"/>
  <c r="D2972" i="2"/>
  <c r="D7217" i="2"/>
  <c r="D1700" i="2"/>
  <c r="D2971" i="2"/>
  <c r="D12892" i="2"/>
  <c r="D12891" i="2"/>
  <c r="D14668" i="2"/>
  <c r="D11696" i="2"/>
  <c r="D3739" i="2"/>
  <c r="D7216" i="2"/>
  <c r="D1699" i="2"/>
  <c r="D12890" i="2"/>
  <c r="D2190" i="2"/>
  <c r="D2970" i="2"/>
  <c r="D1425" i="2"/>
  <c r="D494" i="2"/>
  <c r="D12889" i="2"/>
  <c r="D7912" i="2"/>
  <c r="D12888" i="2"/>
  <c r="D12680" i="2"/>
  <c r="D11695" i="2"/>
  <c r="D2969" i="2"/>
  <c r="D2968" i="2"/>
  <c r="D11694" i="2"/>
  <c r="D12887" i="2"/>
  <c r="D2189" i="2"/>
  <c r="D9264" i="2"/>
  <c r="D12223" i="2"/>
  <c r="D12679" i="2"/>
  <c r="D12886" i="2"/>
  <c r="D12885" i="2"/>
  <c r="D493" i="2"/>
  <c r="D7911" i="2"/>
  <c r="D12884" i="2"/>
  <c r="D6655" i="2"/>
  <c r="D6919" i="2"/>
  <c r="D9263" i="2"/>
  <c r="D12883" i="2"/>
  <c r="D9884" i="2"/>
  <c r="D7280" i="2"/>
  <c r="D5883" i="2"/>
  <c r="D14382" i="2"/>
  <c r="D9262" i="2"/>
  <c r="D14381" i="2"/>
  <c r="D12882" i="2"/>
  <c r="D3738" i="2"/>
  <c r="D7134" i="2"/>
  <c r="D11329" i="2"/>
  <c r="D7910" i="2"/>
  <c r="D7527" i="2"/>
  <c r="D2967" i="2"/>
  <c r="D4596" i="2"/>
  <c r="D7199" i="2"/>
  <c r="D7279" i="2"/>
  <c r="D3737" i="2"/>
  <c r="D12119" i="2"/>
  <c r="D741" i="2"/>
  <c r="D9261" i="2"/>
  <c r="D10539" i="2"/>
  <c r="D2188" i="2"/>
  <c r="D643" i="2"/>
  <c r="D12881" i="2"/>
  <c r="D12880" i="2"/>
  <c r="D14847" i="2"/>
  <c r="D13945" i="2"/>
  <c r="D10030" i="2"/>
  <c r="D2966" i="2"/>
  <c r="D15070" i="2"/>
  <c r="D548" i="2"/>
  <c r="D11356" i="2"/>
  <c r="D5599" i="2"/>
  <c r="D12678" i="2"/>
  <c r="D7215" i="2"/>
  <c r="D1698" i="2"/>
  <c r="D7909" i="2"/>
  <c r="D15069" i="2"/>
  <c r="D2187" i="2"/>
  <c r="D15262" i="2"/>
  <c r="D1786" i="2"/>
  <c r="D12879" i="2"/>
  <c r="D2785" i="2"/>
  <c r="D5077" i="2"/>
  <c r="D2186" i="2"/>
  <c r="D6297" i="2"/>
  <c r="D12878" i="2"/>
  <c r="D13331" i="2"/>
  <c r="D2784" i="2"/>
  <c r="D4778" i="2"/>
  <c r="D2185" i="2"/>
  <c r="D15068" i="2"/>
  <c r="D12877" i="2"/>
  <c r="D11559" i="2"/>
  <c r="D9260" i="2"/>
  <c r="D2184" i="2"/>
  <c r="D10635" i="2"/>
  <c r="D10220" i="2"/>
  <c r="D14264" i="2"/>
  <c r="D7467" i="2"/>
  <c r="D6386" i="2"/>
  <c r="D15067" i="2"/>
  <c r="D15066" i="2"/>
  <c r="D15065" i="2"/>
  <c r="D12531" i="2"/>
  <c r="D12876" i="2"/>
  <c r="D6385" i="2"/>
  <c r="D14667" i="2"/>
  <c r="D4843" i="2"/>
  <c r="D12875" i="2"/>
  <c r="D12874" i="2"/>
  <c r="D2183" i="2"/>
  <c r="D10219" i="2"/>
  <c r="D3393" i="2"/>
  <c r="D2919" i="2"/>
  <c r="D2429" i="2"/>
  <c r="D7908" i="2"/>
  <c r="D12677" i="2"/>
  <c r="D12873" i="2"/>
  <c r="D9259" i="2"/>
  <c r="D7907" i="2"/>
  <c r="D4593" i="2"/>
  <c r="D12872" i="2"/>
  <c r="D12871" i="2"/>
  <c r="D14666" i="2"/>
  <c r="D12870" i="2"/>
  <c r="D9883" i="2"/>
  <c r="D6342" i="2"/>
  <c r="D703" i="2"/>
  <c r="D12996" i="2"/>
  <c r="D15064" i="2"/>
  <c r="D7906" i="2"/>
  <c r="D15063" i="2"/>
  <c r="D665" i="2"/>
  <c r="D3736" i="2"/>
  <c r="D3735" i="2"/>
  <c r="D9632" i="2"/>
  <c r="D9882" i="2"/>
  <c r="D3734" i="2"/>
  <c r="D12869" i="2"/>
  <c r="D5351" i="2"/>
  <c r="D7905" i="2"/>
  <c r="D11476" i="2"/>
  <c r="D2182" i="2"/>
  <c r="D5147" i="2"/>
  <c r="D9258" i="2"/>
  <c r="D14665" i="2"/>
  <c r="D2181" i="2"/>
  <c r="D14664" i="2"/>
  <c r="D9123" i="2"/>
  <c r="D3733" i="2"/>
  <c r="D12222" i="2"/>
  <c r="D7198" i="2"/>
  <c r="D13782" i="2"/>
  <c r="D7904" i="2"/>
  <c r="D11600" i="2"/>
  <c r="D2652" i="2"/>
  <c r="D3109" i="2"/>
  <c r="D14380" i="2"/>
  <c r="D6918" i="2"/>
  <c r="D3732" i="2"/>
  <c r="D15252" i="2"/>
  <c r="D3731" i="2"/>
  <c r="D14352" i="2"/>
  <c r="D12868" i="2"/>
  <c r="D3730" i="2"/>
  <c r="D3259" i="2"/>
  <c r="D7512" i="2"/>
  <c r="D13531" i="2"/>
  <c r="D14940" i="2"/>
  <c r="D7047" i="2"/>
  <c r="D4754" i="2"/>
  <c r="D13624" i="2"/>
  <c r="D740" i="2"/>
  <c r="D7903" i="2"/>
  <c r="D1851" i="2"/>
  <c r="D3729" i="2"/>
  <c r="D14416" i="2"/>
  <c r="D3728" i="2"/>
  <c r="D9257" i="2"/>
  <c r="D9256" i="2"/>
  <c r="D431" i="2"/>
  <c r="D11558" i="2"/>
  <c r="D9255" i="2"/>
  <c r="D14323" i="2"/>
  <c r="D3213" i="2"/>
  <c r="D12867" i="2"/>
  <c r="D12866" i="2"/>
  <c r="D3727" i="2"/>
  <c r="D14663" i="2"/>
  <c r="D13781" i="2"/>
  <c r="D3392" i="2"/>
  <c r="D15062" i="2"/>
  <c r="D12865" i="2"/>
  <c r="D9631" i="2"/>
  <c r="D3726" i="2"/>
  <c r="D11168" i="2"/>
  <c r="D2918" i="2"/>
  <c r="D13084" i="2"/>
  <c r="D11693" i="2"/>
  <c r="D3725" i="2"/>
  <c r="D2477" i="2"/>
  <c r="D12864" i="2"/>
  <c r="D3724" i="2"/>
  <c r="D7902" i="2"/>
  <c r="D12221" i="2"/>
  <c r="D12863" i="2"/>
  <c r="D11283" i="2"/>
  <c r="D11167" i="2"/>
  <c r="D7901" i="2"/>
  <c r="D7278" i="2"/>
  <c r="D11972" i="2"/>
  <c r="D13530" i="2"/>
  <c r="D7900" i="2"/>
  <c r="D1821" i="2"/>
  <c r="D14939" i="2"/>
  <c r="D3723" i="2"/>
  <c r="D3065" i="2"/>
  <c r="D14662" i="2"/>
  <c r="D7899" i="2"/>
  <c r="D2783" i="2"/>
  <c r="D7358" i="2"/>
  <c r="D13529" i="2"/>
  <c r="D9779" i="2"/>
  <c r="D2071" i="2"/>
  <c r="D14661" i="2"/>
  <c r="D5076" i="2"/>
  <c r="D3722" i="2"/>
  <c r="D4958" i="2"/>
  <c r="D2428" i="2"/>
  <c r="D2782" i="2"/>
  <c r="D2781" i="2"/>
  <c r="D9881" i="2"/>
  <c r="D2611" i="2"/>
  <c r="D7898" i="2"/>
  <c r="D2180" i="2"/>
  <c r="D3391" i="2"/>
  <c r="D7046" i="2"/>
  <c r="D702" i="2"/>
  <c r="D6431" i="2"/>
  <c r="D2545" i="2"/>
  <c r="D13994" i="2"/>
  <c r="D2965" i="2"/>
  <c r="D3721" i="2"/>
  <c r="D3720" i="2"/>
  <c r="D13009" i="2"/>
  <c r="D1785" i="2"/>
  <c r="D7897" i="2"/>
  <c r="D12554" i="2"/>
  <c r="D12862" i="2"/>
  <c r="D9778" i="2"/>
  <c r="D3719" i="2"/>
  <c r="D9254" i="2"/>
  <c r="D3064" i="2"/>
  <c r="D6384" i="2"/>
  <c r="D2629" i="2"/>
  <c r="D2780" i="2"/>
  <c r="D7896" i="2"/>
  <c r="D9630" i="2"/>
  <c r="D7895" i="2"/>
  <c r="D3718" i="2"/>
  <c r="D2964" i="2"/>
  <c r="D5178" i="2"/>
  <c r="D12676" i="2"/>
  <c r="D14938" i="2"/>
  <c r="D12861" i="2"/>
  <c r="D4753" i="2"/>
  <c r="D6383" i="2"/>
  <c r="D12675" i="2"/>
  <c r="D5654" i="2"/>
  <c r="D13188" i="2"/>
  <c r="D7894" i="2"/>
  <c r="D2779" i="2"/>
  <c r="D11355" i="2"/>
  <c r="D11654" i="2"/>
  <c r="D13528" i="2"/>
  <c r="D7893" i="2"/>
  <c r="D10388" i="2"/>
  <c r="D12674" i="2"/>
  <c r="D2963" i="2"/>
  <c r="D5047" i="2"/>
  <c r="D11596" i="2"/>
  <c r="D11282" i="2"/>
  <c r="D6382" i="2"/>
  <c r="D12860" i="2"/>
  <c r="D4582" i="2"/>
  <c r="D2070" i="2"/>
  <c r="D13780" i="2"/>
  <c r="D11424" i="2"/>
  <c r="D9253" i="2"/>
  <c r="D492" i="2"/>
  <c r="D1820" i="2"/>
  <c r="D12381" i="2"/>
  <c r="D7892" i="2"/>
  <c r="D6692" i="2"/>
  <c r="D5075" i="2"/>
  <c r="D3717" i="2"/>
  <c r="D5882" i="2"/>
  <c r="D12975" i="2"/>
  <c r="D3185" i="2"/>
  <c r="D2427" i="2"/>
  <c r="D15061" i="2"/>
  <c r="D3212" i="2"/>
  <c r="D9814" i="2"/>
  <c r="D2917" i="2"/>
  <c r="D10664" i="2"/>
  <c r="D10921" i="2"/>
  <c r="D7891" i="2"/>
  <c r="D2179" i="2"/>
  <c r="D11375" i="2"/>
  <c r="D5037" i="2"/>
  <c r="D2778" i="2"/>
  <c r="D6529" i="2"/>
  <c r="D10622" i="2"/>
  <c r="D1937" i="2"/>
  <c r="D13260" i="2"/>
  <c r="D11880" i="2"/>
  <c r="D2426" i="2"/>
  <c r="D739" i="2"/>
  <c r="D14937" i="2"/>
  <c r="D5725" i="2"/>
  <c r="D3211" i="2"/>
  <c r="D11782" i="2"/>
  <c r="D2069" i="2"/>
  <c r="D12673" i="2"/>
  <c r="D5881" i="2"/>
  <c r="D7357" i="2"/>
  <c r="D5074" i="2"/>
  <c r="D3716" i="2"/>
  <c r="D13402" i="2"/>
  <c r="D3715" i="2"/>
  <c r="D14660" i="2"/>
  <c r="D4555" i="2"/>
  <c r="D738" i="2"/>
  <c r="D13330" i="2"/>
  <c r="D11281" i="2"/>
  <c r="D9677" i="2"/>
  <c r="D457" i="2"/>
  <c r="D14432" i="2"/>
  <c r="D11971" i="2"/>
  <c r="D12672" i="2"/>
  <c r="D11812" i="2"/>
  <c r="D12415" i="2"/>
  <c r="D10721" i="2"/>
  <c r="D10218" i="2"/>
  <c r="D2623" i="2"/>
  <c r="D14659" i="2"/>
  <c r="D13983" i="2"/>
  <c r="D13143" i="2"/>
  <c r="D5209" i="2"/>
  <c r="D12671" i="2"/>
  <c r="D10112" i="2"/>
  <c r="D7890" i="2"/>
  <c r="D9252" i="2"/>
  <c r="D11280" i="2"/>
  <c r="D6341" i="2"/>
  <c r="D15060" i="2"/>
  <c r="D10387" i="2"/>
  <c r="D7889" i="2"/>
  <c r="D5880" i="2"/>
  <c r="D7888" i="2"/>
  <c r="D10663" i="2"/>
  <c r="D2777" i="2"/>
  <c r="D2500" i="2"/>
  <c r="D10217" i="2"/>
  <c r="D10783" i="2"/>
  <c r="D12220" i="2"/>
  <c r="D7887" i="2"/>
  <c r="D13779" i="2"/>
  <c r="D14936" i="2"/>
  <c r="D2499" i="2"/>
  <c r="D14658" i="2"/>
  <c r="D2178" i="2"/>
  <c r="D1385" i="2"/>
  <c r="D5073" i="2"/>
  <c r="D2529" i="2"/>
  <c r="D1199" i="2"/>
  <c r="D2669" i="2"/>
  <c r="D6381" i="2"/>
  <c r="D7461" i="2"/>
  <c r="D14935" i="2"/>
  <c r="D3390" i="2"/>
  <c r="D14934" i="2"/>
  <c r="D14073" i="2"/>
  <c r="D13291" i="2"/>
  <c r="D2544" i="2"/>
  <c r="D9813" i="2"/>
  <c r="D14657" i="2"/>
  <c r="D13187" i="2"/>
  <c r="D2916" i="2"/>
  <c r="D3063" i="2"/>
  <c r="D6996" i="2"/>
  <c r="D13745" i="2"/>
  <c r="D547" i="2"/>
  <c r="D12670" i="2"/>
  <c r="D2042" i="2"/>
  <c r="D10833" i="2"/>
  <c r="D13186" i="2"/>
  <c r="D7886" i="2"/>
  <c r="D5598" i="2"/>
  <c r="D9568" i="2"/>
  <c r="D3714" i="2"/>
  <c r="D15059" i="2"/>
  <c r="D7885" i="2"/>
  <c r="D6796" i="2"/>
  <c r="D6430" i="2"/>
  <c r="D3184" i="2"/>
  <c r="D13329" i="2"/>
  <c r="D1819" i="2"/>
  <c r="D3713" i="2"/>
  <c r="D13401" i="2"/>
  <c r="D7327" i="2"/>
  <c r="D14656" i="2"/>
  <c r="D2068" i="2"/>
  <c r="D3342" i="2"/>
  <c r="D3712" i="2"/>
  <c r="D14502" i="2"/>
  <c r="D14933" i="2"/>
  <c r="D7884" i="2"/>
  <c r="D5046" i="2"/>
  <c r="D12859" i="2"/>
  <c r="D9251" i="2"/>
  <c r="D6565" i="2"/>
  <c r="D11692" i="2"/>
  <c r="D10032" i="2"/>
  <c r="D12669" i="2"/>
  <c r="D5686" i="2"/>
  <c r="D9752" i="2"/>
  <c r="D2776" i="2"/>
  <c r="D2067" i="2"/>
  <c r="D14258" i="2"/>
  <c r="D12668" i="2"/>
  <c r="D7883" i="2"/>
  <c r="D1384" i="2"/>
  <c r="D12858" i="2"/>
  <c r="D2915" i="2"/>
  <c r="D5328" i="2"/>
  <c r="D456" i="2"/>
  <c r="D6380" i="2"/>
  <c r="D15058" i="2"/>
  <c r="D12486" i="2"/>
  <c r="D7882" i="2"/>
  <c r="D13142" i="2"/>
  <c r="D5208" i="2"/>
  <c r="D13301" i="2"/>
  <c r="D15057" i="2"/>
  <c r="D14655" i="2"/>
  <c r="D2914" i="2"/>
  <c r="D13946" i="2"/>
  <c r="D11279" i="2"/>
  <c r="D7881" i="2"/>
  <c r="D3711" i="2"/>
  <c r="D9777" i="2"/>
  <c r="D7880" i="2"/>
  <c r="D14654" i="2"/>
  <c r="D5879" i="2"/>
  <c r="D7879" i="2"/>
  <c r="D13107" i="2"/>
  <c r="D12553" i="2"/>
  <c r="D6232" i="2"/>
  <c r="D2177" i="2"/>
  <c r="D10920" i="2"/>
  <c r="D6379" i="2"/>
  <c r="D12118" i="2"/>
  <c r="D6795" i="2"/>
  <c r="D3710" i="2"/>
  <c r="D13400" i="2"/>
  <c r="D5878" i="2"/>
  <c r="D2498" i="2"/>
  <c r="D11166" i="2"/>
  <c r="D897" i="2"/>
  <c r="D9597" i="2"/>
  <c r="D1539" i="2"/>
  <c r="D3709" i="2"/>
  <c r="D2913" i="2"/>
  <c r="D7878" i="2"/>
  <c r="D2962" i="2"/>
  <c r="D2176" i="2"/>
  <c r="D13527" i="2"/>
  <c r="D14932" i="2"/>
  <c r="D13259" i="2"/>
  <c r="D11879" i="2"/>
  <c r="D14653" i="2"/>
  <c r="D12667" i="2"/>
  <c r="D3708" i="2"/>
  <c r="D7877" i="2"/>
  <c r="D10919" i="2"/>
  <c r="D7876" i="2"/>
  <c r="D12666" i="2"/>
  <c r="D2775" i="2"/>
  <c r="D7875" i="2"/>
  <c r="D3707" i="2"/>
  <c r="D13399" i="2"/>
  <c r="D12665" i="2"/>
  <c r="D7874" i="2"/>
  <c r="D14554" i="2"/>
  <c r="D5223" i="2"/>
  <c r="D7873" i="2"/>
  <c r="D9122" i="2"/>
  <c r="D14931" i="2"/>
  <c r="D7872" i="2"/>
  <c r="D3706" i="2"/>
  <c r="D9109" i="2"/>
  <c r="D13778" i="2"/>
  <c r="D4647" i="2"/>
  <c r="D2041" i="2"/>
  <c r="D2175" i="2"/>
  <c r="D1198" i="2"/>
  <c r="D7871" i="2"/>
  <c r="D12219" i="2"/>
  <c r="D7870" i="2"/>
  <c r="D7869" i="2"/>
  <c r="D12664" i="2"/>
  <c r="D12218" i="2"/>
  <c r="D13036" i="2"/>
  <c r="D9657" i="2"/>
  <c r="D7868" i="2"/>
  <c r="D3172" i="2"/>
  <c r="D642" i="2"/>
  <c r="D2774" i="2"/>
  <c r="D5132" i="2"/>
  <c r="D2912" i="2"/>
  <c r="D11278" i="2"/>
  <c r="D896" i="2"/>
  <c r="D3062" i="2"/>
  <c r="D3154" i="2"/>
  <c r="D2425" i="2"/>
  <c r="D14379" i="2"/>
  <c r="D7867" i="2"/>
  <c r="D7866" i="2"/>
  <c r="D737" i="2"/>
  <c r="D736" i="2"/>
  <c r="D11475" i="2"/>
  <c r="D6512" i="2"/>
  <c r="D13777" i="2"/>
  <c r="D3258" i="2"/>
  <c r="D3257" i="2"/>
  <c r="D7865" i="2"/>
  <c r="D5350" i="2"/>
  <c r="D10008" i="2"/>
  <c r="D735" i="2"/>
  <c r="D11691" i="2"/>
  <c r="D5375" i="2"/>
  <c r="D12663" i="2"/>
  <c r="D10111" i="2"/>
  <c r="D14296" i="2"/>
  <c r="D5315" i="2"/>
  <c r="D7864" i="2"/>
  <c r="D2033" i="2"/>
  <c r="D2773" i="2"/>
  <c r="D12662" i="2"/>
  <c r="D13526" i="2"/>
  <c r="D14930" i="2"/>
  <c r="D13695" i="2"/>
  <c r="D11690" i="2"/>
  <c r="D14501" i="2"/>
  <c r="D455" i="2"/>
  <c r="D7863" i="2"/>
  <c r="D13525" i="2"/>
  <c r="D5476" i="2"/>
  <c r="D12857" i="2"/>
  <c r="D13665" i="2"/>
  <c r="D7862" i="2"/>
  <c r="D7861" i="2"/>
  <c r="D13869" i="2"/>
  <c r="D13524" i="2"/>
  <c r="D7110" i="2"/>
  <c r="D15056" i="2"/>
  <c r="D5877" i="2"/>
  <c r="D7860" i="2"/>
  <c r="D7859" i="2"/>
  <c r="D7858" i="2"/>
  <c r="D9656" i="2"/>
  <c r="D9751" i="2"/>
  <c r="D12661" i="2"/>
  <c r="D3256" i="2"/>
  <c r="D15008" i="2"/>
  <c r="D5876" i="2"/>
  <c r="D3705" i="2"/>
  <c r="D5875" i="2"/>
  <c r="D13361" i="2"/>
  <c r="D1197" i="2"/>
  <c r="D12660" i="2"/>
  <c r="D3704" i="2"/>
  <c r="D12659" i="2"/>
  <c r="D9880" i="2"/>
  <c r="D7857" i="2"/>
  <c r="D1424" i="2"/>
  <c r="D1538" i="2"/>
  <c r="D7856" i="2"/>
  <c r="D15055" i="2"/>
  <c r="D13822" i="2"/>
  <c r="D13258" i="2"/>
  <c r="D11878" i="2"/>
  <c r="D15054" i="2"/>
  <c r="D14553" i="2"/>
  <c r="D7277" i="2"/>
  <c r="D10386" i="2"/>
  <c r="D2772" i="2"/>
  <c r="D9879" i="2"/>
  <c r="D6595" i="2"/>
  <c r="D10216" i="2"/>
  <c r="D1537" i="2"/>
  <c r="D3703" i="2"/>
  <c r="D6231" i="2"/>
  <c r="D6959" i="2"/>
  <c r="D7855" i="2"/>
  <c r="D2174" i="2"/>
  <c r="D13737" i="2"/>
  <c r="D3702" i="2"/>
  <c r="D1927" i="2"/>
  <c r="D6917" i="2"/>
  <c r="D14929" i="2"/>
  <c r="D10385" i="2"/>
  <c r="D10215" i="2"/>
  <c r="D14928" i="2"/>
  <c r="D14927" i="2"/>
  <c r="D4989" i="2"/>
  <c r="D7854" i="2"/>
  <c r="D12658" i="2"/>
  <c r="D1061" i="2"/>
  <c r="D15053" i="2"/>
  <c r="D9250" i="2"/>
  <c r="D10110" i="2"/>
  <c r="D10747" i="2"/>
  <c r="D6378" i="2"/>
  <c r="D9137" i="2"/>
  <c r="D5072" i="2"/>
  <c r="D7853" i="2"/>
  <c r="D7852" i="2"/>
  <c r="D734" i="2"/>
  <c r="D7851" i="2"/>
  <c r="D3701" i="2"/>
  <c r="D590" i="2"/>
  <c r="D12657" i="2"/>
  <c r="D14378" i="2"/>
  <c r="D11842" i="2"/>
  <c r="D10384" i="2"/>
  <c r="D3700" i="2"/>
  <c r="D13398" i="2"/>
  <c r="D7850" i="2"/>
  <c r="D6794" i="2"/>
  <c r="D10918" i="2"/>
  <c r="D11648" i="2"/>
  <c r="D895" i="2"/>
  <c r="D894" i="2"/>
  <c r="D2771" i="2"/>
  <c r="D9689" i="2"/>
  <c r="D893" i="2"/>
  <c r="D2424" i="2"/>
  <c r="D1536" i="2"/>
  <c r="D3210" i="2"/>
  <c r="D892" i="2"/>
  <c r="D3061" i="2"/>
  <c r="D9629" i="2"/>
  <c r="D12656" i="2"/>
  <c r="D733" i="2"/>
  <c r="D7849" i="2"/>
  <c r="D12217" i="2"/>
  <c r="D5597" i="2"/>
  <c r="D5874" i="2"/>
  <c r="D5071" i="2"/>
  <c r="D12655" i="2"/>
  <c r="D7848" i="2"/>
  <c r="D3699" i="2"/>
  <c r="D11557" i="2"/>
  <c r="D3389" i="2"/>
  <c r="D6377" i="2"/>
  <c r="D14239" i="2"/>
  <c r="D6432" i="2"/>
  <c r="D10846" i="2"/>
  <c r="D13257" i="2"/>
  <c r="D11877" i="2"/>
  <c r="D7847" i="2"/>
  <c r="D454" i="2"/>
  <c r="D14841" i="2"/>
  <c r="D7416" i="2"/>
  <c r="D7846" i="2"/>
  <c r="D10153" i="2"/>
  <c r="D10145" i="2"/>
  <c r="D2911" i="2"/>
  <c r="D13993" i="2"/>
  <c r="D1917" i="2"/>
  <c r="D1423" i="2"/>
  <c r="D9628" i="2"/>
  <c r="D14552" i="2"/>
  <c r="D3060" i="2"/>
  <c r="D1422" i="2"/>
  <c r="D1421" i="2"/>
  <c r="D7845" i="2"/>
  <c r="D1420" i="2"/>
  <c r="D4877" i="2"/>
  <c r="D7844" i="2"/>
  <c r="D3698" i="2"/>
  <c r="D7276" i="2"/>
  <c r="D11753" i="2"/>
  <c r="D12654" i="2"/>
  <c r="D4988" i="2"/>
  <c r="D9121" i="2"/>
  <c r="D6793" i="2"/>
  <c r="D10214" i="2"/>
  <c r="D7496" i="2"/>
  <c r="D13256" i="2"/>
  <c r="D11876" i="2"/>
  <c r="D9878" i="2"/>
  <c r="D3108" i="2"/>
  <c r="D9585" i="2"/>
  <c r="D2040" i="2"/>
  <c r="D7843" i="2"/>
  <c r="D6631" i="2"/>
  <c r="D3697" i="2"/>
  <c r="D3306" i="2"/>
  <c r="D4646" i="2"/>
  <c r="D12653" i="2"/>
  <c r="D7466" i="2"/>
  <c r="D15052" i="2"/>
  <c r="D13992" i="2"/>
  <c r="D14425" i="2"/>
  <c r="D13008" i="2"/>
  <c r="D1978" i="2"/>
  <c r="D12652" i="2"/>
  <c r="D11556" i="2"/>
  <c r="D15248" i="2"/>
  <c r="D5653" i="2"/>
  <c r="D2961" i="2"/>
  <c r="D3696" i="2"/>
  <c r="D2423" i="2"/>
  <c r="D14263" i="2"/>
  <c r="D7842" i="2"/>
  <c r="D13623" i="2"/>
  <c r="D12651" i="2"/>
  <c r="D7841" i="2"/>
  <c r="D11689" i="2"/>
  <c r="D1060" i="2"/>
  <c r="D13185" i="2"/>
  <c r="D7021" i="2"/>
  <c r="D1535" i="2"/>
  <c r="D7840" i="2"/>
  <c r="D1383" i="2"/>
  <c r="D9249" i="2"/>
  <c r="D14072" i="2"/>
  <c r="D3695" i="2"/>
  <c r="D5873" i="2"/>
  <c r="D14836" i="2"/>
  <c r="D14926" i="2"/>
  <c r="D12650" i="2"/>
  <c r="D13493" i="2"/>
  <c r="D10634" i="2"/>
  <c r="D2528" i="2"/>
  <c r="D3694" i="2"/>
  <c r="D1818" i="2"/>
  <c r="D1059" i="2"/>
  <c r="D4941" i="2"/>
  <c r="D14071" i="2"/>
  <c r="D732" i="2"/>
  <c r="D3059" i="2"/>
  <c r="D14070" i="2"/>
  <c r="D9248" i="2"/>
  <c r="D9877" i="2"/>
  <c r="D14746" i="2"/>
  <c r="D11623" i="2"/>
  <c r="D940" i="2"/>
  <c r="D7839" i="2"/>
  <c r="D1419" i="2"/>
  <c r="D12649" i="2"/>
  <c r="D9575" i="2"/>
  <c r="D7838" i="2"/>
  <c r="D673" i="2"/>
  <c r="D3153" i="2"/>
  <c r="D12648" i="2"/>
  <c r="D7837" i="2"/>
  <c r="D11760" i="2"/>
  <c r="D11410" i="2"/>
  <c r="D12647" i="2"/>
  <c r="D3305" i="2"/>
  <c r="D891" i="2"/>
  <c r="D1534" i="2"/>
  <c r="D10051" i="2"/>
  <c r="D6701" i="2"/>
  <c r="D13184" i="2"/>
  <c r="D11277" i="2"/>
  <c r="D7836" i="2"/>
  <c r="D677" i="2"/>
  <c r="D4547" i="2"/>
  <c r="D7835" i="2"/>
  <c r="D13523" i="2"/>
  <c r="D12646" i="2"/>
  <c r="D9247" i="2"/>
  <c r="D7834" i="2"/>
  <c r="D1533" i="2"/>
  <c r="D11165" i="2"/>
  <c r="D10917" i="2"/>
  <c r="D4676" i="2"/>
  <c r="D14295" i="2"/>
  <c r="D14551" i="2"/>
  <c r="D10572" i="2"/>
  <c r="D7833" i="2"/>
  <c r="D11875" i="2"/>
  <c r="D3693" i="2"/>
  <c r="D13397" i="2"/>
  <c r="D10739" i="2"/>
  <c r="D939" i="2"/>
  <c r="D3692" i="2"/>
  <c r="D2628" i="2"/>
  <c r="D14069" i="2"/>
  <c r="D2330" i="2"/>
  <c r="D6376" i="2"/>
  <c r="D3691" i="2"/>
  <c r="D13396" i="2"/>
  <c r="D7832" i="2"/>
  <c r="D7831" i="2"/>
  <c r="D12216" i="2"/>
  <c r="D5872" i="2"/>
  <c r="D5045" i="2"/>
  <c r="D1532" i="2"/>
  <c r="D11831" i="2"/>
  <c r="D11320" i="2"/>
  <c r="D9076" i="2"/>
  <c r="D1977" i="2"/>
  <c r="D5070" i="2"/>
  <c r="D7830" i="2"/>
  <c r="D6944" i="2"/>
  <c r="D11772" i="2"/>
  <c r="D7440" i="2"/>
  <c r="D12645" i="2"/>
  <c r="D10782" i="2"/>
  <c r="D7829" i="2"/>
  <c r="D1531" i="2"/>
  <c r="D3058" i="2"/>
  <c r="D12644" i="2"/>
  <c r="D3388" i="2"/>
  <c r="D1697" i="2"/>
  <c r="D10524" i="2"/>
  <c r="D10633" i="2"/>
  <c r="D13183" i="2"/>
  <c r="D3255" i="2"/>
  <c r="D938" i="2"/>
  <c r="D9108" i="2"/>
  <c r="D12643" i="2"/>
  <c r="D4768" i="2"/>
  <c r="D634" i="2"/>
  <c r="D10523" i="2"/>
  <c r="D2910" i="2"/>
  <c r="D10650" i="2"/>
  <c r="D12098" i="2"/>
  <c r="D12468" i="2"/>
  <c r="D11752" i="2"/>
  <c r="D6958" i="2"/>
  <c r="D12642" i="2"/>
  <c r="D890" i="2"/>
  <c r="D7382" i="2"/>
  <c r="D5871" i="2"/>
  <c r="D13059" i="2"/>
  <c r="D13182" i="2"/>
  <c r="D12641" i="2"/>
  <c r="D3690" i="2"/>
  <c r="D13395" i="2"/>
  <c r="D6434" i="2"/>
  <c r="D10213" i="2"/>
  <c r="D13776" i="2"/>
  <c r="D7828" i="2"/>
  <c r="D9067" i="2"/>
  <c r="D6436" i="2"/>
  <c r="D11276" i="2"/>
  <c r="D3689" i="2"/>
  <c r="D13394" i="2"/>
  <c r="D9724" i="2"/>
  <c r="D12974" i="2"/>
  <c r="D9567" i="2"/>
  <c r="D2527" i="2"/>
  <c r="D13775" i="2"/>
  <c r="D13002" i="2"/>
  <c r="D10383" i="2"/>
  <c r="D9246" i="2"/>
  <c r="D2960" i="2"/>
  <c r="D3688" i="2"/>
  <c r="D12640" i="2"/>
  <c r="D5524" i="2"/>
  <c r="D3687" i="2"/>
  <c r="D5402" i="2"/>
  <c r="D14377" i="2"/>
  <c r="D12639" i="2"/>
  <c r="D2770" i="2"/>
  <c r="D731" i="2"/>
  <c r="D12856" i="2"/>
  <c r="D624" i="2"/>
  <c r="D2173" i="2"/>
  <c r="D2172" i="2"/>
  <c r="D14068" i="2"/>
  <c r="D2497" i="2"/>
  <c r="D11474" i="2"/>
  <c r="D14550" i="2"/>
  <c r="D12638" i="2"/>
  <c r="D4828" i="2"/>
  <c r="D7827" i="2"/>
  <c r="D5236" i="2"/>
  <c r="D7826" i="2"/>
  <c r="D937" i="2"/>
  <c r="D3686" i="2"/>
  <c r="D9824" i="2"/>
  <c r="D2769" i="2"/>
  <c r="D6428" i="2"/>
  <c r="D11555" i="2"/>
  <c r="D7825" i="2"/>
  <c r="D6792" i="2"/>
  <c r="D7824" i="2"/>
  <c r="D1530" i="2"/>
  <c r="D4962" i="2"/>
  <c r="D10720" i="2"/>
  <c r="D11795" i="2"/>
  <c r="D2702" i="2"/>
  <c r="D11739" i="2"/>
  <c r="D3387" i="2"/>
  <c r="D2066" i="2"/>
  <c r="D10382" i="2"/>
  <c r="D12215" i="2"/>
  <c r="D9245" i="2"/>
  <c r="D11554" i="2"/>
  <c r="D9876" i="2"/>
  <c r="D6887" i="2"/>
  <c r="D7823" i="2"/>
  <c r="D2768" i="2"/>
  <c r="D7822" i="2"/>
  <c r="D2496" i="2"/>
  <c r="D12637" i="2"/>
  <c r="D509" i="2"/>
  <c r="D6538" i="2"/>
  <c r="D3685" i="2"/>
  <c r="D5870" i="2"/>
  <c r="D5869" i="2"/>
  <c r="D2171" i="2"/>
  <c r="D2170" i="2"/>
  <c r="D7821" i="2"/>
  <c r="D3684" i="2"/>
  <c r="D11553" i="2"/>
  <c r="D5235" i="2"/>
  <c r="D12117" i="2"/>
  <c r="D14289" i="2"/>
  <c r="D12636" i="2"/>
  <c r="D12855" i="2"/>
  <c r="D5475" i="2"/>
  <c r="D7820" i="2"/>
  <c r="D5624" i="2"/>
  <c r="D7040" i="2"/>
  <c r="D14652" i="2"/>
  <c r="D6452" i="2"/>
  <c r="D3683" i="2"/>
  <c r="D1696" i="2"/>
  <c r="D3682" i="2"/>
  <c r="D14549" i="2"/>
  <c r="D9627" i="2"/>
  <c r="D13141" i="2"/>
  <c r="D10109" i="2"/>
  <c r="D10916" i="2"/>
  <c r="D5868" i="2"/>
  <c r="D13943" i="2"/>
  <c r="D13704" i="2"/>
  <c r="D1529" i="2"/>
  <c r="D889" i="2"/>
  <c r="D14651" i="2"/>
  <c r="D3386" i="2"/>
  <c r="D1006" i="2"/>
  <c r="D6375" i="2"/>
  <c r="D936" i="2"/>
  <c r="D6736" i="2"/>
  <c r="D12854" i="2"/>
  <c r="D4772" i="2"/>
  <c r="D14925" i="2"/>
  <c r="D10144" i="2"/>
  <c r="D13181" i="2"/>
  <c r="D13613" i="2"/>
  <c r="D12214" i="2"/>
  <c r="D13180" i="2"/>
  <c r="D13724" i="2"/>
  <c r="D1528" i="2"/>
  <c r="D13140" i="2"/>
  <c r="D14809" i="2"/>
  <c r="D14756" i="2"/>
  <c r="D1527" i="2"/>
  <c r="D10522" i="2"/>
  <c r="D13612" i="2"/>
  <c r="D10026" i="2"/>
  <c r="D10381" i="2"/>
  <c r="D3681" i="2"/>
  <c r="D2713" i="2"/>
  <c r="D3680" i="2"/>
  <c r="D11970" i="2"/>
  <c r="D12116" i="2"/>
  <c r="D11275" i="2"/>
  <c r="D13723" i="2"/>
  <c r="D11374" i="2"/>
  <c r="D3385" i="2"/>
  <c r="D10492" i="2"/>
  <c r="D1907" i="2"/>
  <c r="D7819" i="2"/>
  <c r="D11473" i="2"/>
  <c r="D6265" i="2"/>
  <c r="D7818" i="2"/>
  <c r="D5374" i="2"/>
  <c r="D5373" i="2"/>
  <c r="D13179" i="2"/>
  <c r="D12853" i="2"/>
  <c r="D1695" i="2"/>
  <c r="D3679" i="2"/>
  <c r="D14548" i="2"/>
  <c r="D7817" i="2"/>
  <c r="D7816" i="2"/>
  <c r="D13314" i="2"/>
  <c r="D10380" i="2"/>
  <c r="D12635" i="2"/>
  <c r="D11164" i="2"/>
  <c r="D5867" i="2"/>
  <c r="D6654" i="2"/>
  <c r="D11401" i="2"/>
  <c r="D3678" i="2"/>
  <c r="D11274" i="2"/>
  <c r="D7815" i="2"/>
  <c r="D9244" i="2"/>
  <c r="D7814" i="2"/>
  <c r="D935" i="2"/>
  <c r="D4961" i="2"/>
  <c r="D3677" i="2"/>
  <c r="D12634" i="2"/>
  <c r="D6340" i="2"/>
  <c r="D1058" i="2"/>
  <c r="D12633" i="2"/>
  <c r="D4604" i="2"/>
  <c r="D5069" i="2"/>
  <c r="D3676" i="2"/>
  <c r="D11969" i="2"/>
  <c r="D1099" i="2"/>
  <c r="D7109" i="2"/>
  <c r="D11163" i="2"/>
  <c r="D12632" i="2"/>
  <c r="D934" i="2"/>
  <c r="D6791" i="2"/>
  <c r="D11273" i="2"/>
  <c r="D853" i="2"/>
  <c r="D12631" i="2"/>
  <c r="D14650" i="2"/>
  <c r="D2169" i="2"/>
  <c r="D12630" i="2"/>
  <c r="D3304" i="2"/>
  <c r="D6435" i="2"/>
  <c r="D14483" i="2"/>
  <c r="D2562" i="2"/>
  <c r="D4698" i="2"/>
  <c r="D3675" i="2"/>
  <c r="D13393" i="2"/>
  <c r="D14649" i="2"/>
  <c r="D1098" i="2"/>
  <c r="D5474" i="2"/>
  <c r="D7813" i="2"/>
  <c r="D4724" i="2"/>
  <c r="D7511" i="2"/>
  <c r="D2668" i="2"/>
  <c r="D7510" i="2"/>
  <c r="D7812" i="2"/>
  <c r="D10212" i="2"/>
  <c r="D13139" i="2"/>
  <c r="D2767" i="2"/>
  <c r="D7439" i="2"/>
  <c r="D11445" i="2"/>
  <c r="D3674" i="2"/>
  <c r="D10719" i="2"/>
  <c r="D3673" i="2"/>
  <c r="D3672" i="2"/>
  <c r="D12213" i="2"/>
  <c r="D7811" i="2"/>
  <c r="D2561" i="2"/>
  <c r="D4697" i="2"/>
  <c r="D15051" i="2"/>
  <c r="D2065" i="2"/>
  <c r="D3671" i="2"/>
  <c r="D5866" i="2"/>
  <c r="D13703" i="2"/>
  <c r="D2422" i="2"/>
  <c r="D9566" i="2"/>
  <c r="D9875" i="2"/>
  <c r="D14067" i="2"/>
  <c r="D1418" i="2"/>
  <c r="D2766" i="2"/>
  <c r="D14924" i="2"/>
  <c r="D453" i="2"/>
  <c r="D13328" i="2"/>
  <c r="D2688" i="2"/>
  <c r="D13522" i="2"/>
  <c r="D933" i="2"/>
  <c r="D9596" i="2"/>
  <c r="D7108" i="2"/>
  <c r="D3132" i="2"/>
  <c r="D9243" i="2"/>
  <c r="D3670" i="2"/>
  <c r="D5865" i="2"/>
  <c r="D13883" i="2"/>
  <c r="D3669" i="2"/>
  <c r="D13360" i="2"/>
  <c r="D7189" i="2"/>
  <c r="D13937" i="2"/>
  <c r="D14420" i="2"/>
  <c r="D7810" i="2"/>
  <c r="D2421" i="2"/>
  <c r="D14066" i="2"/>
  <c r="D7809" i="2"/>
  <c r="D7808" i="2"/>
  <c r="D10379" i="2"/>
  <c r="D5068" i="2"/>
  <c r="D13774" i="2"/>
  <c r="D2765" i="2"/>
  <c r="D888" i="2"/>
  <c r="D5732" i="2"/>
  <c r="D12629" i="2"/>
  <c r="D672" i="2"/>
  <c r="D5632" i="2"/>
  <c r="D452" i="2"/>
  <c r="D1694" i="2"/>
  <c r="D12628" i="2"/>
  <c r="D3668" i="2"/>
  <c r="D9242" i="2"/>
  <c r="D3667" i="2"/>
  <c r="D12212" i="2"/>
  <c r="D6611" i="2"/>
  <c r="D12627" i="2"/>
  <c r="D12211" i="2"/>
  <c r="D14778" i="2"/>
  <c r="D7807" i="2"/>
  <c r="D3666" i="2"/>
  <c r="D7806" i="2"/>
  <c r="D1693" i="2"/>
  <c r="D5473" i="2"/>
  <c r="D2168" i="2"/>
  <c r="D2039" i="2"/>
  <c r="D9241" i="2"/>
  <c r="D2605" i="2"/>
  <c r="D10662" i="2"/>
  <c r="D6790" i="2"/>
  <c r="D14065" i="2"/>
  <c r="D1005" i="2"/>
  <c r="D7805" i="2"/>
  <c r="D4645" i="2"/>
  <c r="D5177" i="2"/>
  <c r="D7804" i="2"/>
  <c r="D2764" i="2"/>
  <c r="D7803" i="2"/>
  <c r="D3665" i="2"/>
  <c r="D7802" i="2"/>
  <c r="D10915" i="2"/>
  <c r="D14288" i="2"/>
  <c r="D4575" i="2"/>
  <c r="D1899" i="2"/>
  <c r="D12210" i="2"/>
  <c r="D12115" i="2"/>
  <c r="D6653" i="2"/>
  <c r="D1526" i="2"/>
  <c r="D3664" i="2"/>
  <c r="D607" i="2"/>
  <c r="D11552" i="2"/>
  <c r="D730" i="2"/>
  <c r="D1097" i="2"/>
  <c r="D12626" i="2"/>
  <c r="D2604" i="2"/>
  <c r="D1417" i="2"/>
  <c r="D12097" i="2"/>
  <c r="D9874" i="2"/>
  <c r="D14923" i="2"/>
  <c r="D14922" i="2"/>
  <c r="D3057" i="2"/>
  <c r="D10007" i="2"/>
  <c r="D4940" i="2"/>
  <c r="D1057" i="2"/>
  <c r="D688" i="2"/>
  <c r="D2763" i="2"/>
  <c r="D10914" i="2"/>
  <c r="D10538" i="2"/>
  <c r="D10913" i="2"/>
  <c r="D1525" i="2"/>
  <c r="D11738" i="2"/>
  <c r="D14547" i="2"/>
  <c r="D7801" i="2"/>
  <c r="D14238" i="2"/>
  <c r="D10826" i="2"/>
  <c r="D11688" i="2"/>
  <c r="D6466" i="2"/>
  <c r="D6564" i="2"/>
  <c r="D12530" i="2"/>
  <c r="D3209" i="2"/>
  <c r="D4827" i="2"/>
  <c r="D12209" i="2"/>
  <c r="D10006" i="2"/>
  <c r="D13521" i="2"/>
  <c r="D13178" i="2"/>
  <c r="D13979" i="2"/>
  <c r="D1944" i="2"/>
  <c r="D14064" i="2"/>
  <c r="D2019" i="2"/>
  <c r="D10378" i="2"/>
  <c r="D14063" i="2"/>
  <c r="D3663" i="2"/>
  <c r="D12208" i="2"/>
  <c r="D729" i="2"/>
  <c r="D2762" i="2"/>
  <c r="D1692" i="2"/>
  <c r="D12625" i="2"/>
  <c r="D12624" i="2"/>
  <c r="D6594" i="2"/>
  <c r="D15281" i="2"/>
  <c r="D5613" i="2"/>
  <c r="D11968" i="2"/>
  <c r="D3662" i="2"/>
  <c r="D1096" i="2"/>
  <c r="D11162" i="2"/>
  <c r="D7505" i="2"/>
  <c r="D5067" i="2"/>
  <c r="D1095" i="2"/>
  <c r="D14439" i="2"/>
  <c r="D7800" i="2"/>
  <c r="D6789" i="2"/>
  <c r="D10711" i="2"/>
  <c r="D10377" i="2"/>
  <c r="D5864" i="2"/>
  <c r="D9723" i="2"/>
  <c r="D11419" i="2"/>
  <c r="D14062" i="2"/>
  <c r="D12623" i="2"/>
  <c r="D6619" i="2"/>
  <c r="D10912" i="2"/>
  <c r="D9240" i="2"/>
  <c r="D10050" i="2"/>
  <c r="D6700" i="2"/>
  <c r="D11272" i="2"/>
  <c r="D1004" i="2"/>
  <c r="D1954" i="2"/>
  <c r="D3661" i="2"/>
  <c r="D14755" i="2"/>
  <c r="D1003" i="2"/>
  <c r="D2064" i="2"/>
  <c r="D3029" i="2"/>
  <c r="D2761" i="2"/>
  <c r="D852" i="2"/>
  <c r="D10376" i="2"/>
  <c r="D11551" i="2"/>
  <c r="D11613" i="2"/>
  <c r="D12114" i="2"/>
  <c r="D851" i="2"/>
  <c r="D850" i="2"/>
  <c r="D2329" i="2"/>
  <c r="D7799" i="2"/>
  <c r="D13033" i="2"/>
  <c r="D6465" i="2"/>
  <c r="D6886" i="2"/>
  <c r="D14322" i="2"/>
  <c r="D2167" i="2"/>
  <c r="D887" i="2"/>
  <c r="D5176" i="2"/>
  <c r="D1524" i="2"/>
  <c r="D3660" i="2"/>
  <c r="D7798" i="2"/>
  <c r="D5175" i="2"/>
  <c r="D6336" i="2"/>
  <c r="D932" i="2"/>
  <c r="D1002" i="2"/>
  <c r="D9873" i="2"/>
  <c r="D1310" i="2"/>
  <c r="D3659" i="2"/>
  <c r="D7356" i="2"/>
  <c r="D3658" i="2"/>
  <c r="D1691" i="2"/>
  <c r="D7797" i="2"/>
  <c r="D13622" i="2"/>
  <c r="D13621" i="2"/>
  <c r="D12622" i="2"/>
  <c r="D7020" i="2"/>
  <c r="D5205" i="2"/>
  <c r="D14921" i="2"/>
  <c r="D9872" i="2"/>
  <c r="D10375" i="2"/>
  <c r="D2166" i="2"/>
  <c r="D2038" i="2"/>
  <c r="D11921" i="2"/>
  <c r="D5716" i="2"/>
  <c r="D6788" i="2"/>
  <c r="D9595" i="2"/>
  <c r="D3028" i="2"/>
  <c r="D6349" i="2"/>
  <c r="D7796" i="2"/>
  <c r="D3657" i="2"/>
  <c r="D6885" i="2"/>
  <c r="D10911" i="2"/>
  <c r="D14920" i="2"/>
  <c r="D3656" i="2"/>
  <c r="D3655" i="2"/>
  <c r="D5703" i="2"/>
  <c r="D14303" i="2"/>
  <c r="D2760" i="2"/>
  <c r="D3056" i="2"/>
  <c r="D12207" i="2"/>
  <c r="D1523" i="2"/>
  <c r="D9239" i="2"/>
  <c r="D7795" i="2"/>
  <c r="D1056" i="2"/>
  <c r="D9737" i="2"/>
  <c r="D9089" i="2"/>
  <c r="D3384" i="2"/>
  <c r="D3654" i="2"/>
  <c r="D1055" i="2"/>
  <c r="D6787" i="2"/>
  <c r="D12852" i="2"/>
  <c r="D1522" i="2"/>
  <c r="D5596" i="2"/>
  <c r="D2328" i="2"/>
  <c r="D14546" i="2"/>
  <c r="D13007" i="2"/>
  <c r="D3208" i="2"/>
  <c r="D10537" i="2"/>
  <c r="D589" i="2"/>
  <c r="D3027" i="2"/>
  <c r="D1521" i="2"/>
  <c r="D1382" i="2"/>
  <c r="D10910" i="2"/>
  <c r="D12206" i="2"/>
  <c r="D7794" i="2"/>
  <c r="D6563" i="2"/>
  <c r="D14835" i="2"/>
  <c r="D9626" i="2"/>
  <c r="D7343" i="2"/>
  <c r="D9071" i="2"/>
  <c r="D14376" i="2"/>
  <c r="D10781" i="2"/>
  <c r="D4675" i="2"/>
  <c r="D10718" i="2"/>
  <c r="D7793" i="2"/>
  <c r="D10909" i="2"/>
  <c r="D10374" i="2"/>
  <c r="D7479" i="2"/>
  <c r="D9625" i="2"/>
  <c r="D13716" i="2"/>
  <c r="D728" i="2"/>
  <c r="D12621" i="2"/>
  <c r="D2759" i="2"/>
  <c r="D12205" i="2"/>
  <c r="D1857" i="2"/>
  <c r="D4622" i="2"/>
  <c r="D13520" i="2"/>
  <c r="D9565" i="2"/>
  <c r="D12522" i="2"/>
  <c r="D11373" i="2"/>
  <c r="D5204" i="2"/>
  <c r="D3324" i="2"/>
  <c r="D14291" i="2"/>
  <c r="D5863" i="2"/>
  <c r="D2327" i="2"/>
  <c r="D3653" i="2"/>
  <c r="D575" i="2"/>
  <c r="D7393" i="2"/>
  <c r="D11811" i="2"/>
  <c r="D13070" i="2"/>
  <c r="D6511" i="2"/>
  <c r="D11161" i="2"/>
  <c r="D1365" i="2"/>
  <c r="D3652" i="2"/>
  <c r="D5677" i="2"/>
  <c r="D7489" i="2"/>
  <c r="D12620" i="2"/>
  <c r="D10908" i="2"/>
  <c r="D11472" i="2"/>
  <c r="D6870" i="2"/>
  <c r="D9238" i="2"/>
  <c r="D6652" i="2"/>
  <c r="D9237" i="2"/>
  <c r="D3651" i="2"/>
  <c r="D4635" i="2"/>
  <c r="D12619" i="2"/>
  <c r="D3650" i="2"/>
  <c r="D11751" i="2"/>
  <c r="D1196" i="2"/>
  <c r="D4696" i="2"/>
  <c r="D7792" i="2"/>
  <c r="D2420" i="2"/>
  <c r="D3649" i="2"/>
  <c r="D9236" i="2"/>
  <c r="D3055" i="2"/>
  <c r="D5036" i="2"/>
  <c r="D1520" i="2"/>
  <c r="D12618" i="2"/>
  <c r="D7133" i="2"/>
  <c r="D5862" i="2"/>
  <c r="D3648" i="2"/>
  <c r="D2326" i="2"/>
  <c r="D727" i="2"/>
  <c r="D14237" i="2"/>
  <c r="D2165" i="2"/>
  <c r="D3383" i="2"/>
  <c r="D14608" i="2"/>
  <c r="D3026" i="2"/>
  <c r="D10907" i="2"/>
  <c r="D1831" i="2"/>
  <c r="D3382" i="2"/>
  <c r="D7165" i="2"/>
  <c r="D12617" i="2"/>
  <c r="D9624" i="2"/>
  <c r="D14545" i="2"/>
  <c r="D11160" i="2"/>
  <c r="D7791" i="2"/>
  <c r="D7790" i="2"/>
  <c r="D10373" i="2"/>
  <c r="D13620" i="2"/>
  <c r="D9871" i="2"/>
  <c r="D6275" i="2"/>
  <c r="D10211" i="2"/>
  <c r="D6206" i="2"/>
  <c r="D7789" i="2"/>
  <c r="D14919" i="2"/>
  <c r="D6651" i="2"/>
  <c r="D7788" i="2"/>
  <c r="D11687" i="2"/>
  <c r="D5533" i="2"/>
  <c r="D3647" i="2"/>
  <c r="D7787" i="2"/>
  <c r="D11471" i="2"/>
  <c r="D5861" i="2"/>
  <c r="D5556" i="2"/>
  <c r="D7786" i="2"/>
  <c r="D9235" i="2"/>
  <c r="D7785" i="2"/>
  <c r="D11777" i="2"/>
  <c r="D7039" i="2"/>
  <c r="D9066" i="2"/>
  <c r="D3646" i="2"/>
  <c r="D2622" i="2"/>
  <c r="D3645" i="2"/>
  <c r="D5066" i="2"/>
  <c r="D582" i="2"/>
  <c r="D1094" i="2"/>
  <c r="D4765" i="2"/>
  <c r="D3254" i="2"/>
  <c r="D7784" i="2"/>
  <c r="D7177" i="2"/>
  <c r="D602" i="2"/>
  <c r="D5860" i="2"/>
  <c r="D12851" i="2"/>
  <c r="D13722" i="2"/>
  <c r="D7783" i="2"/>
  <c r="D4826" i="2"/>
  <c r="D10005" i="2"/>
  <c r="D5555" i="2"/>
  <c r="D3025" i="2"/>
  <c r="D12616" i="2"/>
  <c r="D7132" i="2"/>
  <c r="D13873" i="2"/>
  <c r="D5859" i="2"/>
  <c r="D886" i="2"/>
  <c r="D4554" i="2"/>
  <c r="D7782" i="2"/>
  <c r="D2419" i="2"/>
  <c r="D2418" i="2"/>
  <c r="D13006" i="2"/>
  <c r="D13690" i="2"/>
  <c r="D10906" i="2"/>
  <c r="D15050" i="2"/>
  <c r="D676" i="2"/>
  <c r="D7019" i="2"/>
  <c r="D7781" i="2"/>
  <c r="D4825" i="2"/>
  <c r="D3024" i="2"/>
  <c r="D12615" i="2"/>
  <c r="D4893" i="2"/>
  <c r="D3644" i="2"/>
  <c r="D9234" i="2"/>
  <c r="D14777" i="2"/>
  <c r="D9870" i="2"/>
  <c r="D5314" i="2"/>
  <c r="D6786" i="2"/>
  <c r="D5174" i="2"/>
  <c r="D7780" i="2"/>
  <c r="D13519" i="2"/>
  <c r="D2552" i="2"/>
  <c r="D14918" i="2"/>
  <c r="D1093" i="2"/>
  <c r="D2543" i="2"/>
  <c r="D7083" i="2"/>
  <c r="D5858" i="2"/>
  <c r="D10372" i="2"/>
  <c r="D14061" i="2"/>
  <c r="D11914" i="2"/>
  <c r="D6263" i="2"/>
  <c r="D3023" i="2"/>
  <c r="D3643" i="2"/>
  <c r="D7779" i="2"/>
  <c r="D2758" i="2"/>
  <c r="D1001" i="2"/>
  <c r="D14917" i="2"/>
  <c r="D11967" i="2"/>
  <c r="D9623" i="2"/>
  <c r="D10488" i="2"/>
  <c r="D14776" i="2"/>
  <c r="D1817" i="2"/>
  <c r="D5857" i="2"/>
  <c r="D6785" i="2"/>
  <c r="D13942" i="2"/>
  <c r="D3381" i="2"/>
  <c r="D4550" i="2"/>
  <c r="D13492" i="2"/>
  <c r="D11686" i="2"/>
  <c r="D5454" i="2"/>
  <c r="D1000" i="2"/>
  <c r="D5207" i="2"/>
  <c r="D13978" i="2"/>
  <c r="D7250" i="2"/>
  <c r="D7214" i="2"/>
  <c r="D1690" i="2"/>
  <c r="D4573" i="2"/>
  <c r="D9808" i="2"/>
  <c r="D2417" i="2"/>
  <c r="D7778" i="2"/>
  <c r="D1092" i="2"/>
  <c r="D12614" i="2"/>
  <c r="D566" i="2"/>
  <c r="D3253" i="2"/>
  <c r="D3642" i="2"/>
  <c r="D2000" i="2"/>
  <c r="D7777" i="2"/>
  <c r="D5856" i="2"/>
  <c r="D9233" i="2"/>
  <c r="D9869" i="2"/>
  <c r="D10371" i="2"/>
  <c r="D3641" i="2"/>
  <c r="D3640" i="2"/>
  <c r="D9232" i="2"/>
  <c r="D9231" i="2"/>
  <c r="D14648" i="2"/>
  <c r="D999" i="2"/>
  <c r="D2757" i="2"/>
  <c r="D11851" i="2"/>
  <c r="D7776" i="2"/>
  <c r="D7087" i="2"/>
  <c r="D3639" i="2"/>
  <c r="D998" i="2"/>
  <c r="D14032" i="2"/>
  <c r="D3022" i="2"/>
  <c r="D12204" i="2"/>
  <c r="D7775" i="2"/>
  <c r="D11629" i="2"/>
  <c r="D11966" i="2"/>
  <c r="D13127" i="2"/>
  <c r="D7131" i="2"/>
  <c r="D50" i="2"/>
  <c r="D2416" i="2"/>
  <c r="D10905" i="2"/>
  <c r="D9868" i="2"/>
  <c r="D12850" i="2"/>
  <c r="D12613" i="2"/>
  <c r="D14060" i="2"/>
  <c r="D10025" i="2"/>
  <c r="D9230" i="2"/>
  <c r="D7774" i="2"/>
  <c r="D9229" i="2"/>
  <c r="D6784" i="2"/>
  <c r="D5652" i="2"/>
  <c r="D3252" i="2"/>
  <c r="D7773" i="2"/>
  <c r="D9665" i="2"/>
  <c r="D3380" i="2"/>
  <c r="D2593" i="2"/>
  <c r="D4824" i="2"/>
  <c r="D3638" i="2"/>
  <c r="D9228" i="2"/>
  <c r="D13346" i="2"/>
  <c r="D9867" i="2"/>
  <c r="D6451" i="2"/>
  <c r="D10152" i="2"/>
  <c r="D10818" i="2"/>
  <c r="D3379" i="2"/>
  <c r="D10210" i="2"/>
  <c r="D1689" i="2"/>
  <c r="D2476" i="2"/>
  <c r="D6783" i="2"/>
  <c r="D13977" i="2"/>
  <c r="D3021" i="2"/>
  <c r="D7772" i="2"/>
  <c r="D5065" i="2"/>
  <c r="D13290" i="2"/>
  <c r="D7771" i="2"/>
  <c r="D2164" i="2"/>
  <c r="D10209" i="2"/>
  <c r="D5364" i="2"/>
  <c r="D5494" i="2"/>
  <c r="D7107" i="2"/>
  <c r="D14821" i="2"/>
  <c r="D3637" i="2"/>
  <c r="D15049" i="2"/>
  <c r="D3636" i="2"/>
  <c r="D10683" i="2"/>
  <c r="D5855" i="2"/>
  <c r="D9866" i="2"/>
  <c r="D5854" i="2"/>
  <c r="D6650" i="2"/>
  <c r="D3635" i="2"/>
  <c r="D6296" i="2"/>
  <c r="D7275" i="2"/>
  <c r="D13856" i="2"/>
  <c r="D7130" i="2"/>
  <c r="D13126" i="2"/>
  <c r="D6855" i="2"/>
  <c r="D14647" i="2"/>
  <c r="D546" i="2"/>
  <c r="D11685" i="2"/>
  <c r="D1688" i="2"/>
  <c r="D3634" i="2"/>
  <c r="D14808" i="2"/>
  <c r="D3207" i="2"/>
  <c r="D4615" i="2"/>
  <c r="D13255" i="2"/>
  <c r="D5853" i="2"/>
  <c r="D9750" i="2"/>
  <c r="D6649" i="2"/>
  <c r="D7770" i="2"/>
  <c r="D565" i="2"/>
  <c r="D7438" i="2"/>
  <c r="D5442" i="2"/>
  <c r="D2325" i="2"/>
  <c r="D2163" i="2"/>
  <c r="D12612" i="2"/>
  <c r="D10208" i="2"/>
  <c r="D10502" i="2"/>
  <c r="D7769" i="2"/>
  <c r="D3633" i="2"/>
  <c r="D3314" i="2"/>
  <c r="D9830" i="2"/>
  <c r="D14856" i="2"/>
  <c r="D9227" i="2"/>
  <c r="D12203" i="2"/>
  <c r="D9865" i="2"/>
  <c r="D1054" i="2"/>
  <c r="D1887" i="2"/>
  <c r="D9083" i="2"/>
  <c r="D5852" i="2"/>
  <c r="D14607" i="2"/>
  <c r="D9649" i="2"/>
  <c r="D2324" i="2"/>
  <c r="D15048" i="2"/>
  <c r="D13571" i="2"/>
  <c r="D7106" i="2"/>
  <c r="D14646" i="2"/>
  <c r="D7768" i="2"/>
  <c r="D2323" i="2"/>
  <c r="D1309" i="2"/>
  <c r="D6782" i="2"/>
  <c r="D2008" i="2"/>
  <c r="D10904" i="2"/>
  <c r="D357" i="2"/>
  <c r="D997" i="2"/>
  <c r="D1195" i="2"/>
  <c r="D2592" i="2"/>
  <c r="D1926" i="2"/>
  <c r="D12611" i="2"/>
  <c r="D11638" i="2"/>
  <c r="D14467" i="2"/>
  <c r="D2701" i="2"/>
  <c r="D5851" i="2"/>
  <c r="D2322" i="2"/>
  <c r="D2756" i="2"/>
  <c r="D617" i="2"/>
  <c r="D7188" i="2"/>
  <c r="D7767" i="2"/>
  <c r="D15280" i="2"/>
  <c r="D6869" i="2"/>
  <c r="D7274" i="2"/>
  <c r="D11684" i="2"/>
  <c r="D9226" i="2"/>
  <c r="D1308" i="2"/>
  <c r="D12610" i="2"/>
  <c r="D1091" i="2"/>
  <c r="D3632" i="2"/>
  <c r="D9864" i="2"/>
  <c r="D5850" i="2"/>
  <c r="D5849" i="2"/>
  <c r="D7766" i="2"/>
  <c r="D451" i="2"/>
  <c r="D1687" i="2"/>
  <c r="D2321" i="2"/>
  <c r="D6429" i="2"/>
  <c r="D6630" i="2"/>
  <c r="D11965" i="2"/>
  <c r="D9072" i="2"/>
  <c r="D996" i="2"/>
  <c r="D12849" i="2"/>
  <c r="D14544" i="2"/>
  <c r="D2755" i="2"/>
  <c r="D1053" i="2"/>
  <c r="D5848" i="2"/>
  <c r="D9557" i="2"/>
  <c r="D13773" i="2"/>
  <c r="D14543" i="2"/>
  <c r="D1999" i="2"/>
  <c r="D4644" i="2"/>
  <c r="D14375" i="2"/>
  <c r="D1194" i="2"/>
  <c r="D12485" i="2"/>
  <c r="D12609" i="2"/>
  <c r="D1052" i="2"/>
  <c r="D3169" i="2"/>
  <c r="D4939" i="2"/>
  <c r="D7765" i="2"/>
  <c r="D10717" i="2"/>
  <c r="D1307" i="2"/>
  <c r="D14059" i="2"/>
  <c r="D13619" i="2"/>
  <c r="D1364" i="2"/>
  <c r="D2162" i="2"/>
  <c r="D2161" i="2"/>
  <c r="D15047" i="2"/>
  <c r="D13125" i="2"/>
  <c r="D9225" i="2"/>
  <c r="D13580" i="2"/>
  <c r="D616" i="2"/>
  <c r="D5220" i="2"/>
  <c r="D11964" i="2"/>
  <c r="D10716" i="2"/>
  <c r="D14792" i="2"/>
  <c r="D12608" i="2"/>
  <c r="D3206" i="2"/>
  <c r="D7213" i="2"/>
  <c r="D1686" i="2"/>
  <c r="D7764" i="2"/>
  <c r="D3251" i="2"/>
  <c r="D9224" i="2"/>
  <c r="D3054" i="2"/>
  <c r="D13491" i="2"/>
  <c r="D687" i="2"/>
  <c r="D10207" i="2"/>
  <c r="D6781" i="2"/>
  <c r="D10206" i="2"/>
  <c r="D10780" i="2"/>
  <c r="D13678" i="2"/>
  <c r="D7392" i="2"/>
  <c r="D89" i="2"/>
  <c r="D12950" i="2"/>
  <c r="D3631" i="2"/>
  <c r="D4987" i="2"/>
  <c r="D12441" i="2"/>
  <c r="D12440" i="2"/>
  <c r="D6648" i="2"/>
  <c r="D4785" i="2"/>
  <c r="D5715" i="2"/>
  <c r="D6339" i="2"/>
  <c r="D1090" i="2"/>
  <c r="D13490" i="2"/>
  <c r="D88" i="2"/>
  <c r="D12949" i="2"/>
  <c r="D1846" i="2"/>
  <c r="D7763" i="2"/>
  <c r="D10205" i="2"/>
  <c r="D12344" i="2"/>
  <c r="D14482" i="2"/>
  <c r="D849" i="2"/>
  <c r="D10146" i="2"/>
  <c r="D6230" i="2"/>
  <c r="D10616" i="2"/>
  <c r="D7762" i="2"/>
  <c r="D7105" i="2"/>
  <c r="D3053" i="2"/>
  <c r="D11683" i="2"/>
  <c r="D13124" i="2"/>
  <c r="D1890" i="2"/>
  <c r="D675" i="2"/>
  <c r="D12414" i="2"/>
  <c r="D11750" i="2"/>
  <c r="D13489" i="2"/>
  <c r="D13327" i="2"/>
  <c r="D12460" i="2"/>
  <c r="D2754" i="2"/>
  <c r="D9863" i="2"/>
  <c r="D7761" i="2"/>
  <c r="D6780" i="2"/>
  <c r="D5847" i="2"/>
  <c r="D3107" i="2"/>
  <c r="D15046" i="2"/>
  <c r="D3630" i="2"/>
  <c r="D3629" i="2"/>
  <c r="D12392" i="2"/>
  <c r="D7760" i="2"/>
  <c r="D7759" i="2"/>
  <c r="D7758" i="2"/>
  <c r="D5234" i="2"/>
  <c r="D5453" i="2"/>
  <c r="D7757" i="2"/>
  <c r="D5349" i="2"/>
  <c r="D15045" i="2"/>
  <c r="D10204" i="2"/>
  <c r="D7756" i="2"/>
  <c r="D2415" i="2"/>
  <c r="D3628" i="2"/>
  <c r="D2160" i="2"/>
  <c r="D13976" i="2"/>
  <c r="D2320" i="2"/>
  <c r="D1976" i="2"/>
  <c r="D3627" i="2"/>
  <c r="D7755" i="2"/>
  <c r="D13715" i="2"/>
  <c r="D995" i="2"/>
  <c r="D2700" i="2"/>
  <c r="D9223" i="2"/>
  <c r="D7754" i="2"/>
  <c r="D9120" i="2"/>
  <c r="D3626" i="2"/>
  <c r="D13177" i="2"/>
  <c r="D11781" i="2"/>
  <c r="D9222" i="2"/>
  <c r="D7753" i="2"/>
  <c r="D5400" i="2"/>
  <c r="D1306" i="2"/>
  <c r="D11802" i="2"/>
  <c r="D3378" i="2"/>
  <c r="D2591" i="2"/>
  <c r="D7059" i="2"/>
  <c r="D10715" i="2"/>
  <c r="D2414" i="2"/>
  <c r="D13721" i="2"/>
  <c r="D9221" i="2"/>
  <c r="D13668" i="2"/>
  <c r="D10024" i="2"/>
  <c r="D3625" i="2"/>
  <c r="D13923" i="2"/>
  <c r="D6464" i="2"/>
  <c r="D10487" i="2"/>
  <c r="D2159" i="2"/>
  <c r="D14058" i="2"/>
  <c r="D15279" i="2"/>
  <c r="D15044" i="2"/>
  <c r="D10536" i="2"/>
  <c r="D11436" i="2"/>
  <c r="D2959" i="2"/>
  <c r="D2526" i="2"/>
  <c r="D7752" i="2"/>
  <c r="D5064" i="2"/>
  <c r="D7751" i="2"/>
  <c r="D7750" i="2"/>
  <c r="D1089" i="2"/>
  <c r="D9220" i="2"/>
  <c r="D10370" i="2"/>
  <c r="D2319" i="2"/>
  <c r="D1519" i="2"/>
  <c r="D14057" i="2"/>
  <c r="D7749" i="2"/>
  <c r="D11470" i="2"/>
  <c r="D726" i="2"/>
  <c r="D2413" i="2"/>
  <c r="D11271" i="2"/>
  <c r="D12607" i="2"/>
  <c r="D3250" i="2"/>
  <c r="D13911" i="2"/>
  <c r="D6779" i="2"/>
  <c r="D1305" i="2"/>
  <c r="D12606" i="2"/>
  <c r="D5279" i="2"/>
  <c r="D7273" i="2"/>
  <c r="D3624" i="2"/>
  <c r="D12605" i="2"/>
  <c r="D9862" i="2"/>
  <c r="D6778" i="2"/>
  <c r="D3623" i="2"/>
  <c r="D7748" i="2"/>
  <c r="D331" i="2"/>
  <c r="D3183" i="2"/>
  <c r="D11841" i="2"/>
  <c r="D15007" i="2"/>
  <c r="D7747" i="2"/>
  <c r="D330" i="2"/>
  <c r="D9219" i="2"/>
  <c r="D3377" i="2"/>
  <c r="D2639" i="2"/>
  <c r="D14461" i="2"/>
  <c r="D12604" i="2"/>
  <c r="D6735" i="2"/>
  <c r="D3182" i="2"/>
  <c r="D156" i="2"/>
  <c r="D7272" i="2"/>
  <c r="D1381" i="2"/>
  <c r="D13837" i="2"/>
  <c r="D12603" i="2"/>
  <c r="D5538" i="2"/>
  <c r="D10614" i="2"/>
  <c r="D1913" i="2"/>
  <c r="D7746" i="2"/>
  <c r="D2660" i="2"/>
  <c r="D5499" i="2"/>
  <c r="D14600" i="2"/>
  <c r="D12333" i="2"/>
  <c r="D7187" i="2"/>
  <c r="D11319" i="2"/>
  <c r="D11469" i="2"/>
  <c r="D13320" i="2"/>
  <c r="D11856" i="2"/>
  <c r="D9148" i="2"/>
  <c r="D11837" i="2"/>
  <c r="D7745" i="2"/>
  <c r="D11682" i="2"/>
  <c r="D160" i="2"/>
  <c r="D6346" i="2"/>
  <c r="D6450" i="2"/>
  <c r="D6295" i="2"/>
  <c r="D508" i="2"/>
  <c r="D13579" i="2"/>
  <c r="D7355" i="2"/>
  <c r="D9861" i="2"/>
  <c r="D13254" i="2"/>
  <c r="D11874" i="2"/>
  <c r="D9676" i="2"/>
  <c r="D12602" i="2"/>
  <c r="D12332" i="2"/>
  <c r="D11963" i="2"/>
  <c r="D232" i="2"/>
  <c r="D10632" i="2"/>
  <c r="D64" i="2"/>
  <c r="D10203" i="2"/>
  <c r="D12601" i="2"/>
  <c r="D1882" i="2"/>
  <c r="D5063" i="2"/>
  <c r="D3052" i="2"/>
  <c r="D2525" i="2"/>
  <c r="D1304" i="2"/>
  <c r="D12600" i="2"/>
  <c r="D9860" i="2"/>
  <c r="D13702" i="2"/>
  <c r="D450" i="2"/>
  <c r="D7744" i="2"/>
  <c r="D4561" i="2"/>
  <c r="D13123" i="2"/>
  <c r="D3622" i="2"/>
  <c r="D13714" i="2"/>
  <c r="D10202" i="2"/>
  <c r="D26" i="2"/>
  <c r="D12599" i="2"/>
  <c r="D693" i="2"/>
  <c r="D1416" i="2"/>
  <c r="D14606" i="2"/>
  <c r="D1303" i="2"/>
  <c r="D9218" i="2"/>
  <c r="D5215" i="2"/>
  <c r="D15043" i="2"/>
  <c r="D4823" i="2"/>
  <c r="D45" i="2"/>
  <c r="D10690" i="2"/>
  <c r="D1975" i="2"/>
  <c r="D7743" i="2"/>
  <c r="D6463" i="2"/>
  <c r="D13664" i="2"/>
  <c r="D7742" i="2"/>
  <c r="D9217" i="2"/>
  <c r="D12202" i="2"/>
  <c r="D3621" i="2"/>
  <c r="D1685" i="2"/>
  <c r="D3620" i="2"/>
  <c r="D12598" i="2"/>
  <c r="D148" i="2"/>
  <c r="D14481" i="2"/>
  <c r="D5452" i="2"/>
  <c r="D994" i="2"/>
  <c r="D6957" i="2"/>
  <c r="D6205" i="2"/>
  <c r="D7212" i="2"/>
  <c r="D1684" i="2"/>
  <c r="D12597" i="2"/>
  <c r="D7741" i="2"/>
  <c r="D81" i="2"/>
  <c r="D13895" i="2"/>
  <c r="D5846" i="2"/>
  <c r="D2753" i="2"/>
  <c r="D23" i="2"/>
  <c r="D12201" i="2"/>
  <c r="D11270" i="2"/>
  <c r="D13122" i="2"/>
  <c r="D13991" i="2"/>
  <c r="D11550" i="2"/>
  <c r="D12596" i="2"/>
  <c r="D14336" i="2"/>
  <c r="D13121" i="2"/>
  <c r="D6562" i="2"/>
  <c r="D12595" i="2"/>
  <c r="D13900" i="2"/>
  <c r="D12594" i="2"/>
  <c r="D6884" i="2"/>
  <c r="D7740" i="2"/>
  <c r="D1518" i="2"/>
  <c r="D7739" i="2"/>
  <c r="D13957" i="2"/>
  <c r="D3619" i="2"/>
  <c r="D12593" i="2"/>
  <c r="D3618" i="2"/>
  <c r="D13308" i="2"/>
  <c r="D12592" i="2"/>
  <c r="D7738" i="2"/>
  <c r="D10757" i="2"/>
  <c r="D7737" i="2"/>
  <c r="D12552" i="2"/>
  <c r="D1932" i="2"/>
  <c r="D10903" i="2"/>
  <c r="D3617" i="2"/>
  <c r="D1683" i="2"/>
  <c r="D564" i="2"/>
  <c r="D2752" i="2"/>
  <c r="D4805" i="2"/>
  <c r="D4761" i="2"/>
  <c r="D211" i="2"/>
  <c r="D10201" i="2"/>
  <c r="D848" i="2"/>
  <c r="D7736" i="2"/>
  <c r="D12591" i="2"/>
  <c r="D15278" i="2"/>
  <c r="D3616" i="2"/>
  <c r="D11159" i="2"/>
  <c r="D14056" i="2"/>
  <c r="D11372" i="2"/>
  <c r="D2158" i="2"/>
  <c r="D3376" i="2"/>
  <c r="D5845" i="2"/>
  <c r="D5554" i="2"/>
  <c r="D5415" i="2"/>
  <c r="D4876" i="2"/>
  <c r="D5313" i="2"/>
  <c r="D15042" i="2"/>
  <c r="D7735" i="2"/>
  <c r="D11749" i="2"/>
  <c r="D10902" i="2"/>
  <c r="D13975" i="2"/>
  <c r="D9216" i="2"/>
  <c r="D14645" i="2"/>
  <c r="D7734" i="2"/>
  <c r="D12519" i="2"/>
  <c r="D12590" i="2"/>
  <c r="D9736" i="2"/>
  <c r="D4892" i="2"/>
  <c r="D13888" i="2"/>
  <c r="D3615" i="2"/>
  <c r="D7733" i="2"/>
  <c r="D13762" i="2"/>
  <c r="D13337" i="2"/>
  <c r="D149" i="2"/>
  <c r="D12589" i="2"/>
  <c r="D10200" i="2"/>
  <c r="D10199" i="2"/>
  <c r="D14775" i="2"/>
  <c r="D14515" i="2"/>
  <c r="D10198" i="2"/>
  <c r="D9215" i="2"/>
  <c r="D2751" i="2"/>
  <c r="D993" i="2"/>
  <c r="D2412" i="2"/>
  <c r="D9622" i="2"/>
  <c r="D1088" i="2"/>
  <c r="D10583" i="2"/>
  <c r="D992" i="2"/>
  <c r="D3249" i="2"/>
  <c r="D5844" i="2"/>
  <c r="D5843" i="2"/>
  <c r="D7732" i="2"/>
  <c r="D14863" i="2"/>
  <c r="D1517" i="2"/>
  <c r="D10631" i="2"/>
  <c r="D1087" i="2"/>
  <c r="D1363" i="2"/>
  <c r="D15277" i="2"/>
  <c r="D10151" i="2"/>
  <c r="D3614" i="2"/>
  <c r="D12588" i="2"/>
  <c r="D2157" i="2"/>
  <c r="D13956" i="2"/>
  <c r="D3613" i="2"/>
  <c r="D6916" i="2"/>
  <c r="D2577" i="2"/>
  <c r="D2063" i="2"/>
  <c r="D6294" i="2"/>
  <c r="D11810" i="2"/>
  <c r="D674" i="2"/>
  <c r="D7731" i="2"/>
  <c r="D5441" i="2"/>
  <c r="D3094" i="2"/>
  <c r="D7192" i="2"/>
  <c r="D931" i="2"/>
  <c r="D7730" i="2"/>
  <c r="D5553" i="2"/>
  <c r="D12449" i="2"/>
  <c r="D12587" i="2"/>
  <c r="D2560" i="2"/>
  <c r="D4695" i="2"/>
  <c r="D2958" i="2"/>
  <c r="D7729" i="2"/>
  <c r="D2156" i="2"/>
  <c r="D12586" i="2"/>
  <c r="D11645" i="2"/>
  <c r="D15276" i="2"/>
  <c r="D5842" i="2"/>
  <c r="D13687" i="2"/>
  <c r="D13120" i="2"/>
  <c r="D6251" i="2"/>
  <c r="D3333" i="2"/>
  <c r="D6995" i="2"/>
  <c r="D5841" i="2"/>
  <c r="D14605" i="2"/>
  <c r="D10138" i="2"/>
  <c r="D5702" i="2"/>
  <c r="D13713" i="2"/>
  <c r="D3612" i="2"/>
  <c r="D279" i="2"/>
  <c r="D11681" i="2"/>
  <c r="D10493" i="2"/>
  <c r="D5173" i="2"/>
  <c r="D3020" i="2"/>
  <c r="D6737" i="2"/>
  <c r="D12585" i="2"/>
  <c r="D10649" i="2"/>
  <c r="D12584" i="2"/>
  <c r="D14754" i="2"/>
  <c r="D3427" i="2"/>
  <c r="D3611" i="2"/>
  <c r="D281" i="2"/>
  <c r="D1516" i="2"/>
  <c r="D11962" i="2"/>
  <c r="D3610" i="2"/>
  <c r="D4629" i="2"/>
  <c r="D4950" i="2"/>
  <c r="D2155" i="2"/>
  <c r="D5840" i="2"/>
  <c r="D9214" i="2"/>
  <c r="D1302" i="2"/>
  <c r="D3609" i="2"/>
  <c r="D4882" i="2"/>
  <c r="D2643" i="2"/>
  <c r="D9675" i="2"/>
  <c r="D11801" i="2"/>
  <c r="D7728" i="2"/>
  <c r="D6956" i="2"/>
  <c r="D12583" i="2"/>
  <c r="D11850" i="2"/>
  <c r="D5839" i="2"/>
  <c r="D3608" i="2"/>
  <c r="D12582" i="2"/>
  <c r="D7727" i="2"/>
  <c r="D4723" i="2"/>
  <c r="D2699" i="2"/>
  <c r="D5838" i="2"/>
  <c r="D13570" i="2"/>
  <c r="D13313" i="2"/>
  <c r="D380" i="2"/>
  <c r="D5643" i="2"/>
  <c r="D7726" i="2"/>
  <c r="D2559" i="2"/>
  <c r="D4694" i="2"/>
  <c r="D110" i="2"/>
  <c r="D15041" i="2"/>
  <c r="D10091" i="2"/>
  <c r="D203" i="2"/>
  <c r="D4587" i="2"/>
  <c r="D3375" i="2"/>
  <c r="D3205" i="2"/>
  <c r="D1362" i="2"/>
  <c r="D3127" i="2"/>
  <c r="D5837" i="2"/>
  <c r="D14374" i="2"/>
  <c r="D1961" i="2"/>
  <c r="D9213" i="2"/>
  <c r="D1301" i="2"/>
  <c r="D5836" i="2"/>
  <c r="D5835" i="2"/>
  <c r="D3607" i="2"/>
  <c r="D14287" i="2"/>
  <c r="D7725" i="2"/>
  <c r="D12581" i="2"/>
  <c r="D14306" i="2"/>
  <c r="D422" i="2"/>
  <c r="D4568" i="2"/>
  <c r="D2154" i="2"/>
  <c r="D14774" i="2"/>
  <c r="D9859" i="2"/>
  <c r="D606" i="2"/>
  <c r="D3323" i="2"/>
  <c r="D12580" i="2"/>
  <c r="D322" i="2"/>
  <c r="D308" i="2"/>
  <c r="D21" i="2"/>
  <c r="D7354" i="2"/>
  <c r="D10580" i="2"/>
  <c r="D350" i="2"/>
  <c r="D5062" i="2"/>
  <c r="D12579" i="2"/>
  <c r="D14294" i="2"/>
  <c r="D449" i="2"/>
  <c r="D5834" i="2"/>
  <c r="D4822" i="2"/>
  <c r="D14055" i="2"/>
  <c r="D7724" i="2"/>
  <c r="D189" i="2"/>
  <c r="D690" i="2"/>
  <c r="D12200" i="2"/>
  <c r="D7498" i="2"/>
  <c r="D448" i="2"/>
  <c r="D10197" i="2"/>
  <c r="D2667" i="2"/>
  <c r="D11771" i="2"/>
  <c r="D1086" i="2"/>
  <c r="D12578" i="2"/>
  <c r="D2153" i="2"/>
  <c r="D12577" i="2"/>
  <c r="D6545" i="2"/>
  <c r="D9858" i="2"/>
  <c r="D12576" i="2"/>
  <c r="D2411" i="2"/>
  <c r="D4560" i="2"/>
  <c r="D9212" i="2"/>
  <c r="D5833" i="2"/>
  <c r="D12575" i="2"/>
  <c r="D10901" i="2"/>
  <c r="D6374" i="2"/>
  <c r="D5035" i="2"/>
  <c r="D10581" i="2"/>
  <c r="D9211" i="2"/>
  <c r="D5714" i="2"/>
  <c r="D5832" i="2"/>
  <c r="D12199" i="2"/>
  <c r="D2576" i="2"/>
  <c r="D4674" i="2"/>
  <c r="D10680" i="2"/>
  <c r="D3606" i="2"/>
  <c r="D3605" i="2"/>
  <c r="D3374" i="2"/>
  <c r="D9147" i="2"/>
  <c r="D4553" i="2"/>
  <c r="D5831" i="2"/>
  <c r="D991" i="2"/>
  <c r="D7163" i="2"/>
  <c r="D3106" i="2"/>
  <c r="D6915" i="2"/>
  <c r="D13119" i="2"/>
  <c r="D305" i="2"/>
  <c r="D10196" i="2"/>
  <c r="D236" i="2"/>
  <c r="D12343" i="2"/>
  <c r="D3604" i="2"/>
  <c r="D235" i="2"/>
  <c r="D12848" i="2"/>
  <c r="D10195" i="2"/>
  <c r="D3603" i="2"/>
  <c r="D3602" i="2"/>
  <c r="D372" i="2"/>
  <c r="D5172" i="2"/>
  <c r="D5830" i="2"/>
  <c r="D4918" i="2"/>
  <c r="D7723" i="2"/>
  <c r="D6683" i="2"/>
  <c r="D14807" i="2"/>
  <c r="D13176" i="2"/>
  <c r="D990" i="2"/>
  <c r="D2318" i="2"/>
  <c r="D4784" i="2"/>
  <c r="D9210" i="2"/>
  <c r="D10845" i="2"/>
  <c r="D5061" i="2"/>
  <c r="D7722" i="2"/>
  <c r="D3601" i="2"/>
  <c r="D13392" i="2"/>
  <c r="D6777" i="2"/>
  <c r="D12096" i="2"/>
  <c r="D2410" i="2"/>
  <c r="D3600" i="2"/>
  <c r="D14021" i="2"/>
  <c r="D12198" i="2"/>
  <c r="D285" i="2"/>
  <c r="D725" i="2"/>
  <c r="D15004" i="2"/>
  <c r="D13578" i="2"/>
  <c r="D9209" i="2"/>
  <c r="D209" i="2"/>
  <c r="D7176" i="2"/>
  <c r="D5155" i="2"/>
  <c r="D234" i="2"/>
  <c r="D1682" i="2"/>
  <c r="D9580" i="2"/>
  <c r="D12574" i="2"/>
  <c r="D7721" i="2"/>
  <c r="D11961" i="2"/>
  <c r="D10587" i="2"/>
  <c r="D6776" i="2"/>
  <c r="D5372" i="2"/>
  <c r="D10369" i="2"/>
  <c r="D1361" i="2"/>
  <c r="D11158" i="2"/>
  <c r="D7254" i="2"/>
  <c r="D9857" i="2"/>
  <c r="D7720" i="2"/>
  <c r="D3248" i="2"/>
  <c r="D195" i="2"/>
  <c r="D10521" i="2"/>
  <c r="D10135" i="2"/>
  <c r="D13518" i="2"/>
  <c r="D7719" i="2"/>
  <c r="D11680" i="2"/>
  <c r="D1085" i="2"/>
  <c r="D2152" i="2"/>
  <c r="D2151" i="2"/>
  <c r="D14916" i="2"/>
  <c r="D2150" i="2"/>
  <c r="D3247" i="2"/>
  <c r="D2590" i="2"/>
  <c r="D1084" i="2"/>
  <c r="D13" i="2"/>
  <c r="D247" i="2"/>
  <c r="D15275" i="2"/>
  <c r="D288" i="2"/>
  <c r="D10004" i="2"/>
  <c r="D240" i="2"/>
  <c r="D11748" i="2"/>
  <c r="D3246" i="2"/>
  <c r="D56" i="2"/>
  <c r="D4917" i="2"/>
  <c r="D376" i="2"/>
  <c r="D13963" i="2"/>
  <c r="D125" i="2"/>
  <c r="D135" i="2"/>
  <c r="D2750" i="2"/>
  <c r="D7074" i="2"/>
  <c r="D5829" i="2"/>
  <c r="D12963" i="2"/>
  <c r="D101" i="2"/>
  <c r="D6373" i="2"/>
  <c r="D11142" i="2"/>
  <c r="D2749" i="2"/>
  <c r="D1300" i="2"/>
  <c r="D3373" i="2"/>
  <c r="D3599" i="2"/>
  <c r="D12573" i="2"/>
  <c r="D10630" i="2"/>
  <c r="D173" i="2"/>
  <c r="D5828" i="2"/>
  <c r="D9800" i="2"/>
  <c r="D9664" i="2"/>
  <c r="D12572" i="2"/>
  <c r="D13772" i="2"/>
  <c r="D605" i="2"/>
  <c r="D142" i="2"/>
  <c r="D14743" i="2"/>
  <c r="D3598" i="2"/>
  <c r="D5414" i="2"/>
  <c r="D7718" i="2"/>
  <c r="D10495" i="2"/>
  <c r="D4916" i="2"/>
  <c r="D10108" i="2"/>
  <c r="D12197" i="2"/>
  <c r="D13591" i="2"/>
  <c r="D14054" i="2"/>
  <c r="D10368" i="2"/>
  <c r="D5827" i="2"/>
  <c r="D12973" i="2"/>
  <c r="D5552" i="2"/>
  <c r="D7244" i="2"/>
  <c r="D2748" i="2"/>
  <c r="D12571" i="2"/>
  <c r="D7717" i="2"/>
  <c r="D3597" i="2"/>
  <c r="D6868" i="2"/>
  <c r="D222" i="2"/>
  <c r="D2409" i="2"/>
  <c r="D12570" i="2"/>
  <c r="D5219" i="2"/>
  <c r="D7716" i="2"/>
  <c r="D9856" i="2"/>
  <c r="D686" i="2"/>
  <c r="D36" i="2"/>
  <c r="D14862" i="2"/>
  <c r="D7526" i="2"/>
  <c r="D2747" i="2"/>
  <c r="D10629" i="2"/>
  <c r="D10703" i="2"/>
  <c r="D14542" i="2"/>
  <c r="D1193" i="2"/>
  <c r="D3596" i="2"/>
  <c r="D7715" i="2"/>
  <c r="D13175" i="2"/>
  <c r="D11840" i="2"/>
  <c r="D332" i="2"/>
  <c r="D9208" i="2"/>
  <c r="D12569" i="2"/>
  <c r="D3372" i="2"/>
  <c r="D1299" i="2"/>
  <c r="D107" i="2"/>
  <c r="D10900" i="2"/>
  <c r="D6775" i="2"/>
  <c r="D12196" i="2"/>
  <c r="D217" i="2"/>
  <c r="D12568" i="2"/>
  <c r="D13712" i="2"/>
  <c r="D9855" i="2"/>
  <c r="D14753" i="2"/>
  <c r="D7714" i="2"/>
  <c r="D14644" i="2"/>
  <c r="D12195" i="2"/>
  <c r="D12436" i="2"/>
  <c r="D5551" i="2"/>
  <c r="D14310" i="2"/>
  <c r="D10194" i="2"/>
  <c r="D10839" i="2"/>
  <c r="D9854" i="2"/>
  <c r="D13488" i="2"/>
  <c r="D411" i="2"/>
  <c r="D9853" i="2"/>
  <c r="D408" i="2"/>
  <c r="D374" i="2"/>
  <c r="D7713" i="2"/>
  <c r="D12194" i="2"/>
  <c r="D14851" i="2"/>
  <c r="D13305" i="2"/>
  <c r="D11444" i="2"/>
  <c r="D5371" i="2"/>
  <c r="D1415" i="2"/>
  <c r="D9207" i="2"/>
  <c r="D15274" i="2"/>
  <c r="D3595" i="2"/>
  <c r="D14335" i="2"/>
  <c r="D11468" i="2"/>
  <c r="D14541" i="2"/>
  <c r="D2149" i="2"/>
  <c r="D9799" i="2"/>
  <c r="D2148" i="2"/>
  <c r="D10899" i="2"/>
  <c r="D176" i="2"/>
  <c r="D1083" i="2"/>
  <c r="D13771" i="2"/>
  <c r="D13865" i="2"/>
  <c r="D507" i="2"/>
  <c r="D12567" i="2"/>
  <c r="D12566" i="2"/>
  <c r="D13744" i="2"/>
  <c r="D7129" i="2"/>
  <c r="D4794" i="2"/>
  <c r="D10702" i="2"/>
  <c r="D429" i="2"/>
  <c r="D9770" i="2"/>
  <c r="D3371" i="2"/>
  <c r="D3594" i="2"/>
  <c r="D12435" i="2"/>
  <c r="D5826" i="2"/>
  <c r="D5218" i="2"/>
  <c r="D3341" i="2"/>
  <c r="D6372" i="2"/>
  <c r="D7712" i="2"/>
  <c r="D3105" i="2"/>
  <c r="D6371" i="2"/>
  <c r="D3152" i="2"/>
  <c r="D10898" i="2"/>
  <c r="D398" i="2"/>
  <c r="D10193" i="2"/>
  <c r="D12331" i="2"/>
  <c r="D3593" i="2"/>
  <c r="D2147" i="2"/>
  <c r="D10701" i="2"/>
  <c r="D1974" i="2"/>
  <c r="D2746" i="2"/>
  <c r="D9732" i="2"/>
  <c r="D5825" i="2"/>
  <c r="D6774" i="2"/>
  <c r="D13253" i="2"/>
  <c r="D9206" i="2"/>
  <c r="D5824" i="2"/>
  <c r="D306" i="2"/>
  <c r="D14643" i="2"/>
  <c r="D12193" i="2"/>
  <c r="D6370" i="2"/>
  <c r="D7711" i="2"/>
  <c r="D11" i="2"/>
  <c r="D9823" i="2"/>
  <c r="D5617" i="2"/>
  <c r="D10501" i="2"/>
  <c r="D307" i="2"/>
  <c r="D421" i="2"/>
  <c r="D506" i="2"/>
  <c r="D5312" i="2"/>
  <c r="D14500" i="2"/>
  <c r="D242" i="2"/>
  <c r="D14806" i="2"/>
  <c r="D13155" i="2"/>
  <c r="D230" i="2"/>
  <c r="D4842" i="2"/>
  <c r="D49" i="2"/>
  <c r="D29" i="2"/>
  <c r="D72" i="2"/>
  <c r="D2745" i="2"/>
  <c r="D12524" i="2"/>
  <c r="D11141" i="2"/>
  <c r="D2744" i="2"/>
  <c r="D9574" i="2"/>
  <c r="D7710" i="2"/>
  <c r="D7086" i="2"/>
  <c r="D10090" i="2"/>
  <c r="D14053" i="2"/>
  <c r="D1681" i="2"/>
  <c r="D14514" i="2"/>
  <c r="D12565" i="2"/>
  <c r="D13708" i="2"/>
  <c r="D2743" i="2"/>
  <c r="D3592" i="2"/>
  <c r="D13391" i="2"/>
  <c r="D71" i="2"/>
  <c r="D7709" i="2"/>
  <c r="D2475" i="2"/>
  <c r="D15318" i="2"/>
  <c r="D3591" i="2"/>
  <c r="D1298" i="2"/>
  <c r="D11960" i="2"/>
  <c r="D3590" i="2"/>
  <c r="D13390" i="2"/>
  <c r="D14052" i="2"/>
  <c r="D12444" i="2"/>
  <c r="D15040" i="2"/>
  <c r="D3589" i="2"/>
  <c r="D13389" i="2"/>
  <c r="D106" i="2"/>
  <c r="D5713" i="2"/>
  <c r="D13077" i="2"/>
  <c r="D3588" i="2"/>
  <c r="D377" i="2"/>
  <c r="D124" i="2"/>
  <c r="D7708" i="2"/>
  <c r="D3303" i="2"/>
  <c r="D5616" i="2"/>
  <c r="D11549" i="2"/>
  <c r="D5440" i="2"/>
  <c r="D3138" i="2"/>
  <c r="D139" i="2"/>
  <c r="D3587" i="2"/>
  <c r="D588" i="2"/>
  <c r="D9119" i="2"/>
  <c r="D184" i="2"/>
  <c r="D14363" i="2"/>
  <c r="D11467" i="2"/>
  <c r="D7707" i="2"/>
  <c r="D12192" i="2"/>
  <c r="D6433" i="2"/>
  <c r="D10192" i="2"/>
  <c r="D11732" i="2"/>
  <c r="D123" i="2"/>
  <c r="D3586" i="2"/>
  <c r="D140" i="2"/>
  <c r="D3019" i="2"/>
  <c r="D7706" i="2"/>
  <c r="D4613" i="2"/>
  <c r="D12442" i="2"/>
  <c r="D12564" i="2"/>
  <c r="D138" i="2"/>
  <c r="D5144" i="2"/>
  <c r="D9794" i="2"/>
  <c r="D11333" i="2"/>
  <c r="D15236" i="2"/>
  <c r="D11959" i="2"/>
  <c r="D7705" i="2"/>
  <c r="D11269" i="2"/>
  <c r="D9107" i="2"/>
  <c r="D11958" i="2"/>
  <c r="D257" i="2"/>
  <c r="D9205" i="2"/>
  <c r="D545" i="2"/>
  <c r="D7704" i="2"/>
  <c r="D1297" i="2"/>
  <c r="D5550" i="2"/>
  <c r="D9204" i="2"/>
  <c r="D13618" i="2"/>
  <c r="D2957" i="2"/>
  <c r="D1414" i="2"/>
  <c r="D6734" i="2"/>
  <c r="D14642" i="2"/>
  <c r="D1413" i="2"/>
  <c r="D14641" i="2"/>
  <c r="D2146" i="2"/>
  <c r="D2956" i="2"/>
  <c r="D10535" i="2"/>
  <c r="D12191" i="2"/>
  <c r="D491" i="2"/>
  <c r="D7211" i="2"/>
  <c r="D1680" i="2"/>
  <c r="D2955" i="2"/>
  <c r="D10779" i="2"/>
  <c r="D6438" i="2"/>
  <c r="D2145" i="2"/>
  <c r="D2144" i="2"/>
  <c r="D11328" i="2"/>
  <c r="D3322" i="2"/>
  <c r="D4841" i="2"/>
  <c r="D14415" i="2"/>
  <c r="D2143" i="2"/>
  <c r="D9203" i="2"/>
  <c r="D4891" i="2"/>
  <c r="D10778" i="2"/>
  <c r="D3452" i="2"/>
  <c r="D5676" i="2"/>
  <c r="D5823" i="2"/>
  <c r="D5413" i="2"/>
  <c r="D490" i="2"/>
  <c r="D3321" i="2"/>
  <c r="D10613" i="2"/>
  <c r="D13047" i="2"/>
  <c r="D11331" i="2"/>
  <c r="D9852" i="2"/>
  <c r="D1943" i="2"/>
  <c r="D2142" i="2"/>
  <c r="D14373" i="2"/>
  <c r="D671" i="2"/>
  <c r="D6204" i="2"/>
  <c r="D10567" i="2"/>
  <c r="D12190" i="2"/>
  <c r="D3451" i="2"/>
  <c r="D5298" i="2"/>
  <c r="D7128" i="2"/>
  <c r="D14915" i="2"/>
  <c r="D9202" i="2"/>
  <c r="D15039" i="2"/>
  <c r="D9776" i="2"/>
  <c r="D7703" i="2"/>
  <c r="D2954" i="2"/>
  <c r="D5513" i="2"/>
  <c r="D544" i="2"/>
  <c r="D2141" i="2"/>
  <c r="D3431" i="2"/>
  <c r="D6519" i="2"/>
  <c r="D14640" i="2"/>
  <c r="D2140" i="2"/>
  <c r="D2953" i="2"/>
  <c r="D6437" i="2"/>
  <c r="D4777" i="2"/>
  <c r="D13770" i="2"/>
  <c r="D7210" i="2"/>
  <c r="D1679" i="2"/>
  <c r="D2139" i="2"/>
  <c r="D14414" i="2"/>
  <c r="D580" i="2"/>
  <c r="D2138" i="2"/>
  <c r="D4986" i="2"/>
  <c r="D5822" i="2"/>
  <c r="D7007" i="2"/>
  <c r="D7702" i="2"/>
  <c r="D3585" i="2"/>
  <c r="D6510" i="2"/>
  <c r="D15038" i="2"/>
  <c r="D14447" i="2"/>
  <c r="D4793" i="2"/>
  <c r="D3181" i="2"/>
  <c r="D9775" i="2"/>
  <c r="D2952" i="2"/>
  <c r="D15261" i="2"/>
  <c r="D7701" i="2"/>
  <c r="D1942" i="2"/>
  <c r="D7260" i="2"/>
  <c r="D701" i="2"/>
  <c r="D2137" i="2"/>
  <c r="D4606" i="2"/>
  <c r="D14351" i="2"/>
  <c r="D10645" i="2"/>
  <c r="D14321" i="2"/>
  <c r="D14320" i="2"/>
  <c r="D1850" i="2"/>
  <c r="D6518" i="2"/>
  <c r="D6773" i="2"/>
  <c r="D11354" i="2"/>
  <c r="D724" i="2"/>
  <c r="D430" i="2"/>
  <c r="D595" i="2"/>
  <c r="D2136" i="2"/>
  <c r="D12189" i="2"/>
  <c r="D12188" i="2"/>
  <c r="D11612" i="2"/>
  <c r="D7700" i="2"/>
  <c r="D3340" i="2"/>
  <c r="D15321" i="2"/>
  <c r="D13598" i="2"/>
  <c r="D11466" i="2"/>
  <c r="D3584" i="2"/>
  <c r="D10851" i="2"/>
  <c r="D2742" i="2"/>
  <c r="D7271" i="2"/>
  <c r="D9201" i="2"/>
  <c r="D1930" i="2"/>
  <c r="D6509" i="2"/>
  <c r="D14591" i="2"/>
  <c r="D14431" i="2"/>
  <c r="D13300" i="2"/>
  <c r="D1816" i="2"/>
  <c r="D12113" i="2"/>
  <c r="D9621" i="2"/>
  <c r="D6196" i="2"/>
  <c r="D2135" i="2"/>
  <c r="D10612" i="2"/>
  <c r="D9200" i="2"/>
  <c r="D14446" i="2"/>
  <c r="D7154" i="2"/>
  <c r="D9199" i="2"/>
  <c r="D5512" i="2"/>
  <c r="D15037" i="2"/>
  <c r="D14499" i="2"/>
  <c r="D2408" i="2"/>
  <c r="D11334" i="2"/>
  <c r="D1960" i="2"/>
  <c r="D3180" i="2"/>
  <c r="D7270" i="2"/>
  <c r="D2134" i="2"/>
  <c r="D7534" i="2"/>
  <c r="D10692" i="2"/>
  <c r="D11268" i="2"/>
  <c r="D15036" i="2"/>
  <c r="D3583" i="2"/>
  <c r="D723" i="2"/>
  <c r="D6682" i="2"/>
  <c r="D9774" i="2"/>
  <c r="D7209" i="2"/>
  <c r="D1678" i="2"/>
  <c r="D3582" i="2"/>
  <c r="D2951" i="2"/>
  <c r="D11353" i="2"/>
  <c r="D9198" i="2"/>
  <c r="D6369" i="2"/>
  <c r="D3581" i="2"/>
  <c r="D10143" i="2"/>
  <c r="D6368" i="2"/>
  <c r="D14319" i="2"/>
  <c r="D9197" i="2"/>
  <c r="D13174" i="2"/>
  <c r="D13769" i="2"/>
  <c r="D5745" i="2"/>
  <c r="D3580" i="2"/>
  <c r="D3093" i="2"/>
  <c r="D11957" i="2"/>
  <c r="D9196" i="2"/>
  <c r="D7465" i="2"/>
  <c r="D3092" i="2"/>
  <c r="D14245" i="2"/>
  <c r="D11157" i="2"/>
  <c r="D15035" i="2"/>
  <c r="D1784" i="2"/>
  <c r="D15034" i="2"/>
  <c r="D5266" i="2"/>
  <c r="D6367" i="2"/>
  <c r="D11770" i="2"/>
  <c r="D6647" i="2"/>
  <c r="D6366" i="2"/>
  <c r="D10089" i="2"/>
  <c r="D7699" i="2"/>
  <c r="D13173" i="2"/>
  <c r="D13172" i="2"/>
  <c r="D3450" i="2"/>
  <c r="D12995" i="2"/>
  <c r="D2032" i="2"/>
  <c r="D4595" i="2"/>
  <c r="D5821" i="2"/>
  <c r="D9812" i="2"/>
  <c r="D6561" i="2"/>
  <c r="D9195" i="2"/>
  <c r="D4592" i="2"/>
  <c r="D2062" i="2"/>
  <c r="D11267" i="2"/>
  <c r="D13517" i="2"/>
  <c r="D13617" i="2"/>
  <c r="D9822" i="2"/>
  <c r="D3179" i="2"/>
  <c r="D13516" i="2"/>
  <c r="D4985" i="2"/>
  <c r="D6229" i="2"/>
  <c r="D9194" i="2"/>
  <c r="D10661" i="2"/>
  <c r="D6365" i="2"/>
  <c r="D10049" i="2"/>
  <c r="D6699" i="2"/>
  <c r="D3453" i="2"/>
  <c r="D9193" i="2"/>
  <c r="D14639" i="2"/>
  <c r="D14914" i="2"/>
  <c r="D3051" i="2"/>
  <c r="D5290" i="2"/>
  <c r="D7698" i="2"/>
  <c r="D13768" i="2"/>
  <c r="D11428" i="2"/>
  <c r="D11548" i="2"/>
  <c r="D2061" i="2"/>
  <c r="D6593" i="2"/>
  <c r="D15251" i="2"/>
  <c r="D12459" i="2"/>
  <c r="D12563" i="2"/>
  <c r="D5286" i="2"/>
  <c r="D4752" i="2"/>
  <c r="D10777" i="2"/>
  <c r="D11956" i="2"/>
  <c r="D10529" i="2"/>
  <c r="D6587" i="2"/>
  <c r="D4812" i="2"/>
  <c r="D10191" i="2"/>
  <c r="D697" i="2"/>
  <c r="D10673" i="2"/>
  <c r="D5348" i="2"/>
  <c r="D11266" i="2"/>
  <c r="D2133" i="2"/>
  <c r="D2407" i="2"/>
  <c r="D2666" i="2"/>
  <c r="D5623" i="2"/>
  <c r="D5146" i="2"/>
  <c r="D722" i="2"/>
  <c r="D5247" i="2"/>
  <c r="D7697" i="2"/>
  <c r="D2741" i="2"/>
  <c r="D13899" i="2"/>
  <c r="D700" i="2"/>
  <c r="D12187" i="2"/>
  <c r="D12089" i="2"/>
  <c r="D9707" i="2"/>
  <c r="D4776" i="2"/>
  <c r="D14913" i="2"/>
  <c r="D7696" i="2"/>
  <c r="D3204" i="2"/>
  <c r="D11465" i="2"/>
  <c r="D7695" i="2"/>
  <c r="D13515" i="2"/>
  <c r="D3370" i="2"/>
  <c r="D5612" i="2"/>
  <c r="D1380" i="2"/>
  <c r="D12186" i="2"/>
  <c r="D7694" i="2"/>
  <c r="D11156" i="2"/>
  <c r="D2950" i="2"/>
  <c r="D10850" i="2"/>
  <c r="D7693" i="2"/>
  <c r="D11464" i="2"/>
  <c r="D10897" i="2"/>
  <c r="D2375" i="2"/>
  <c r="D7692" i="2"/>
  <c r="D2406" i="2"/>
  <c r="D3203" i="2"/>
  <c r="D13138" i="2"/>
  <c r="D3579" i="2"/>
  <c r="D14350" i="2"/>
  <c r="D2949" i="2"/>
  <c r="D6772" i="2"/>
  <c r="D3578" i="2"/>
  <c r="D2405" i="2"/>
  <c r="D543" i="2"/>
  <c r="D10565" i="2"/>
  <c r="D2948" i="2"/>
  <c r="D10597" i="2"/>
  <c r="D11547" i="2"/>
  <c r="D11265" i="2"/>
  <c r="D10896" i="2"/>
  <c r="D10849" i="2"/>
  <c r="D5685" i="2"/>
  <c r="D3577" i="2"/>
  <c r="D1515" i="2"/>
  <c r="D12185" i="2"/>
  <c r="D12112" i="2"/>
  <c r="D12342" i="2"/>
  <c r="D4767" i="2"/>
  <c r="D7691" i="2"/>
  <c r="D14346" i="2"/>
  <c r="D6547" i="2"/>
  <c r="D7690" i="2"/>
  <c r="D4673" i="2"/>
  <c r="D4973" i="2"/>
  <c r="D10895" i="2"/>
  <c r="D4875" i="2"/>
  <c r="D3202" i="2"/>
  <c r="D14846" i="2"/>
  <c r="D6840" i="2"/>
  <c r="D11264" i="2"/>
  <c r="D6560" i="2"/>
  <c r="D6625" i="2"/>
  <c r="D13667" i="2"/>
  <c r="D7689" i="2"/>
  <c r="D3576" i="2"/>
  <c r="D9088" i="2"/>
  <c r="D13171" i="2"/>
  <c r="D14912" i="2"/>
  <c r="D14349" i="2"/>
  <c r="D10628" i="2"/>
  <c r="D6364" i="2"/>
  <c r="D13326" i="2"/>
  <c r="D638" i="2"/>
  <c r="D649" i="2"/>
  <c r="D1953" i="2"/>
  <c r="D14372" i="2"/>
  <c r="D664" i="2"/>
  <c r="D7688" i="2"/>
  <c r="D4552" i="2"/>
  <c r="D2007" i="2"/>
  <c r="D5820" i="2"/>
  <c r="D3575" i="2"/>
  <c r="D12184" i="2"/>
  <c r="D2909" i="2"/>
  <c r="D10660" i="2"/>
  <c r="D4902" i="2"/>
  <c r="D15033" i="2"/>
  <c r="D13170" i="2"/>
  <c r="D11463" i="2"/>
  <c r="D12529" i="2"/>
  <c r="D5651" i="2"/>
  <c r="D2404" i="2"/>
  <c r="D3224" i="2"/>
  <c r="D5431" i="2"/>
  <c r="D7208" i="2"/>
  <c r="D1677" i="2"/>
  <c r="D10571" i="2"/>
  <c r="D6293" i="2"/>
  <c r="D9851" i="2"/>
  <c r="D1514" i="2"/>
  <c r="D2060" i="2"/>
  <c r="D12484" i="2"/>
  <c r="D663" i="2"/>
  <c r="D12370" i="2"/>
  <c r="D3245" i="2"/>
  <c r="D3244" i="2"/>
  <c r="D9648" i="2"/>
  <c r="D12483" i="2"/>
  <c r="D13990" i="2"/>
  <c r="D7104" i="2"/>
  <c r="D5736" i="2"/>
  <c r="D7186" i="2"/>
  <c r="D14413" i="2"/>
  <c r="D7687" i="2"/>
  <c r="D9192" i="2"/>
  <c r="D4783" i="2"/>
  <c r="D10734" i="2"/>
  <c r="D10516" i="2"/>
  <c r="D7686" i="2"/>
  <c r="D4984" i="2"/>
  <c r="D9589" i="2"/>
  <c r="D6363" i="2"/>
  <c r="D14745" i="2"/>
  <c r="D11622" i="2"/>
  <c r="D2908" i="2"/>
  <c r="D5032" i="2"/>
  <c r="D15250" i="2"/>
  <c r="D5233" i="2"/>
  <c r="D2132" i="2"/>
  <c r="D7685" i="2"/>
  <c r="D2740" i="2"/>
  <c r="D2739" i="2"/>
  <c r="D6624" i="2"/>
  <c r="D3574" i="2"/>
  <c r="D11528" i="2"/>
  <c r="D11737" i="2"/>
  <c r="D2403" i="2"/>
  <c r="D10107" i="2"/>
  <c r="D7269" i="2"/>
  <c r="D10566" i="2"/>
  <c r="D9191" i="2"/>
  <c r="D7684" i="2"/>
  <c r="D9797" i="2"/>
  <c r="D2131" i="2"/>
  <c r="D9190" i="2"/>
  <c r="D6203" i="2"/>
  <c r="D12458" i="2"/>
  <c r="D4621" i="2"/>
  <c r="D9095" i="2"/>
  <c r="D2402" i="2"/>
  <c r="D11546" i="2"/>
  <c r="D1941" i="2"/>
  <c r="D7683" i="2"/>
  <c r="D1805" i="2"/>
  <c r="D13642" i="2"/>
  <c r="D6646" i="2"/>
  <c r="D7682" i="2"/>
  <c r="D4751" i="2"/>
  <c r="D482" i="2"/>
  <c r="D1959" i="2"/>
  <c r="D7681" i="2"/>
  <c r="D14280" i="2"/>
  <c r="D14638" i="2"/>
  <c r="D13169" i="2"/>
  <c r="D13005" i="2"/>
  <c r="D3573" i="2"/>
  <c r="D11595" i="2"/>
  <c r="D10190" i="2"/>
  <c r="D7342" i="2"/>
  <c r="D13046" i="2"/>
  <c r="D15009" i="2"/>
  <c r="D11611" i="2"/>
  <c r="D2603" i="2"/>
  <c r="D13487" i="2"/>
  <c r="D9189" i="2"/>
  <c r="D2031" i="2"/>
  <c r="D14051" i="2"/>
  <c r="D6681" i="2"/>
  <c r="D7680" i="2"/>
  <c r="D3421" i="2"/>
  <c r="D7679" i="2"/>
  <c r="D7678" i="2"/>
  <c r="D12457" i="2"/>
  <c r="D7268" i="2"/>
  <c r="D15032" i="2"/>
  <c r="D14266" i="2"/>
  <c r="D14637" i="2"/>
  <c r="D6462" i="2"/>
  <c r="D11599" i="2"/>
  <c r="D2627" i="2"/>
  <c r="D11263" i="2"/>
  <c r="D10825" i="2"/>
  <c r="D11462" i="2"/>
  <c r="D1192" i="2"/>
  <c r="D13876" i="2"/>
  <c r="D3572" i="2"/>
  <c r="D12397" i="2"/>
  <c r="D14480" i="2"/>
  <c r="D10534" i="2"/>
  <c r="D2907" i="2"/>
  <c r="D5595" i="2"/>
  <c r="D2626" i="2"/>
  <c r="D1191" i="2"/>
  <c r="D11393" i="2"/>
  <c r="D4559" i="2"/>
  <c r="D6645" i="2"/>
  <c r="D14911" i="2"/>
  <c r="D4576" i="2"/>
  <c r="D6579" i="2"/>
  <c r="D10844" i="2"/>
  <c r="D6441" i="2"/>
  <c r="D9811" i="2"/>
  <c r="D447" i="2"/>
  <c r="D10894" i="2"/>
  <c r="D14910" i="2"/>
  <c r="D12183" i="2"/>
  <c r="D11461" i="2"/>
  <c r="D4983" i="2"/>
  <c r="D11371" i="2"/>
  <c r="D14345" i="2"/>
  <c r="D600" i="2"/>
  <c r="D2906" i="2"/>
  <c r="D4643" i="2"/>
  <c r="D6717" i="2"/>
  <c r="D11955" i="2"/>
  <c r="D3151" i="2"/>
  <c r="D7391" i="2"/>
  <c r="D15031" i="2"/>
  <c r="D12369" i="2"/>
  <c r="D7437" i="2"/>
  <c r="D3571" i="2"/>
  <c r="D3131" i="2"/>
  <c r="D2524" i="2"/>
  <c r="D446" i="2"/>
  <c r="D3201" i="2"/>
  <c r="D13514" i="2"/>
  <c r="D10596" i="2"/>
  <c r="D3200" i="2"/>
  <c r="D2738" i="2"/>
  <c r="D7677" i="2"/>
  <c r="D2737" i="2"/>
  <c r="D542" i="2"/>
  <c r="D13589" i="2"/>
  <c r="D10893" i="2"/>
  <c r="D5145" i="2"/>
  <c r="D3050" i="2"/>
  <c r="D15030" i="2"/>
  <c r="D11418" i="2"/>
  <c r="D7676" i="2"/>
  <c r="D10048" i="2"/>
  <c r="D6698" i="2"/>
  <c r="D7675" i="2"/>
  <c r="D14773" i="2"/>
  <c r="D7674" i="2"/>
  <c r="D6274" i="2"/>
  <c r="D13168" i="2"/>
  <c r="D7673" i="2"/>
  <c r="D1190" i="2"/>
  <c r="D3199" i="2"/>
  <c r="D13569" i="2"/>
  <c r="D7207" i="2"/>
  <c r="D1676" i="2"/>
  <c r="D12518" i="2"/>
  <c r="D13167" i="2"/>
  <c r="D2905" i="2"/>
  <c r="D7672" i="2"/>
  <c r="D2059" i="2"/>
  <c r="D10106" i="2"/>
  <c r="D14636" i="2"/>
  <c r="D5819" i="2"/>
  <c r="D3243" i="2"/>
  <c r="D7482" i="2"/>
  <c r="D3178" i="2"/>
  <c r="D4811" i="2"/>
  <c r="D2130" i="2"/>
  <c r="D15029" i="2"/>
  <c r="D15028" i="2"/>
  <c r="D14845" i="2"/>
  <c r="D10105" i="2"/>
  <c r="D11780" i="2"/>
  <c r="D12482" i="2"/>
  <c r="D3049" i="2"/>
  <c r="D2651" i="2"/>
  <c r="D3570" i="2"/>
  <c r="D9106" i="2"/>
  <c r="D2024" i="2"/>
  <c r="D7671" i="2"/>
  <c r="D3150" i="2"/>
  <c r="D6673" i="2"/>
  <c r="D670" i="2"/>
  <c r="D9594" i="2"/>
  <c r="D7670" i="2"/>
  <c r="D3048" i="2"/>
  <c r="D11262" i="2"/>
  <c r="D2736" i="2"/>
  <c r="D14909" i="2"/>
  <c r="D13166" i="2"/>
  <c r="D14908" i="2"/>
  <c r="D7669" i="2"/>
  <c r="D5818" i="2"/>
  <c r="D7127" i="2"/>
  <c r="D7103" i="2"/>
  <c r="D12182" i="2"/>
  <c r="D2904" i="2"/>
  <c r="D10892" i="2"/>
  <c r="D5817" i="2"/>
  <c r="D2058" i="2"/>
  <c r="D6860" i="2"/>
  <c r="D12181" i="2"/>
  <c r="D11800" i="2"/>
  <c r="D7668" i="2"/>
  <c r="D3569" i="2"/>
  <c r="D13252" i="2"/>
  <c r="D11873" i="2"/>
  <c r="D9564" i="2"/>
  <c r="D9773" i="2"/>
  <c r="D7667" i="2"/>
  <c r="D14445" i="2"/>
  <c r="D7666" i="2"/>
  <c r="D5171" i="2"/>
  <c r="D10843" i="2"/>
  <c r="D6577" i="2"/>
  <c r="D5744" i="2"/>
  <c r="D14907" i="2"/>
  <c r="D5622" i="2"/>
  <c r="D14635" i="2"/>
  <c r="D15027" i="2"/>
  <c r="D7665" i="2"/>
  <c r="D14257" i="2"/>
  <c r="D2030" i="2"/>
  <c r="D7664" i="2"/>
  <c r="D7478" i="2"/>
  <c r="D10621" i="2"/>
  <c r="D6914" i="2"/>
  <c r="D12180" i="2"/>
  <c r="D3568" i="2"/>
  <c r="D11954" i="2"/>
  <c r="D11417" i="2"/>
  <c r="D6362" i="2"/>
  <c r="D14540" i="2"/>
  <c r="D1936" i="2"/>
  <c r="D14371" i="2"/>
  <c r="D7663" i="2"/>
  <c r="D12481" i="2"/>
  <c r="D10104" i="2"/>
  <c r="D13950" i="2"/>
  <c r="D14906" i="2"/>
  <c r="D14370" i="2"/>
  <c r="D14905" i="2"/>
  <c r="D11610" i="2"/>
  <c r="D13611" i="2"/>
  <c r="D6845" i="2"/>
  <c r="D6528" i="2"/>
  <c r="D6771" i="2"/>
  <c r="D5816" i="2"/>
  <c r="D13251" i="2"/>
  <c r="D11872" i="2"/>
  <c r="D9670" i="2"/>
  <c r="D5170" i="2"/>
  <c r="D10500" i="2"/>
  <c r="D1952" i="2"/>
  <c r="D7436" i="2"/>
  <c r="D12179" i="2"/>
  <c r="D885" i="2"/>
  <c r="D3149" i="2"/>
  <c r="D3369" i="2"/>
  <c r="D6955" i="2"/>
  <c r="D6733" i="2"/>
  <c r="D6680" i="2"/>
  <c r="D1935" i="2"/>
  <c r="D11545" i="2"/>
  <c r="D2523" i="2"/>
  <c r="D481" i="2"/>
  <c r="D1912" i="2"/>
  <c r="D3449" i="2"/>
  <c r="D10088" i="2"/>
  <c r="D12506" i="2"/>
  <c r="D930" i="2"/>
  <c r="D2372" i="2"/>
  <c r="D3198" i="2"/>
  <c r="D9188" i="2"/>
  <c r="D13949" i="2"/>
  <c r="D3567" i="2"/>
  <c r="D13941" i="2"/>
  <c r="D5594" i="2"/>
  <c r="D14634" i="2"/>
  <c r="D9094" i="2"/>
  <c r="D9620" i="2"/>
  <c r="D721" i="2"/>
  <c r="D14744" i="2"/>
  <c r="D11621" i="2"/>
  <c r="D3091" i="2"/>
  <c r="D14904" i="2"/>
  <c r="D10189" i="2"/>
  <c r="D9850" i="2"/>
  <c r="D6770" i="2"/>
  <c r="D11409" i="2"/>
  <c r="D13513" i="2"/>
  <c r="D14772" i="2"/>
  <c r="D2735" i="2"/>
  <c r="D7662" i="2"/>
  <c r="D13165" i="2"/>
  <c r="D11261" i="2"/>
  <c r="D6444" i="2"/>
  <c r="D14633" i="2"/>
  <c r="D7423" i="2"/>
  <c r="D7661" i="2"/>
  <c r="D5169" i="2"/>
  <c r="D6994" i="2"/>
  <c r="D13250" i="2"/>
  <c r="D11871" i="2"/>
  <c r="D5609" i="2"/>
  <c r="D3566" i="2"/>
  <c r="D13388" i="2"/>
  <c r="D15026" i="2"/>
  <c r="D4551" i="2"/>
  <c r="D2129" i="2"/>
  <c r="D11870" i="2"/>
  <c r="D13694" i="2"/>
  <c r="D10776" i="2"/>
  <c r="D13953" i="2"/>
  <c r="D6883" i="2"/>
  <c r="D3565" i="2"/>
  <c r="D9722" i="2"/>
  <c r="D4672" i="2"/>
  <c r="D10611" i="2"/>
  <c r="D3139" i="2"/>
  <c r="D6258" i="2"/>
  <c r="D571" i="2"/>
  <c r="D6527" i="2"/>
  <c r="D14356" i="2"/>
  <c r="D7660" i="2"/>
  <c r="D10047" i="2"/>
  <c r="D6697" i="2"/>
  <c r="D13675" i="2"/>
  <c r="D10367" i="2"/>
  <c r="D9796" i="2"/>
  <c r="D3368" i="2"/>
  <c r="D13512" i="2"/>
  <c r="D6769" i="2"/>
  <c r="D5532" i="2"/>
  <c r="D445" i="2"/>
  <c r="D720" i="2"/>
  <c r="D2057" i="2"/>
  <c r="D6954" i="2"/>
  <c r="D2495" i="2"/>
  <c r="D9093" i="2"/>
  <c r="D14539" i="2"/>
  <c r="D3564" i="2"/>
  <c r="D13387" i="2"/>
  <c r="D11679" i="2"/>
  <c r="D13890" i="2"/>
  <c r="D7326" i="2"/>
  <c r="D4545" i="2"/>
  <c r="D7659" i="2"/>
  <c r="D9810" i="2"/>
  <c r="D13758" i="2"/>
  <c r="D12095" i="2"/>
  <c r="D6578" i="2"/>
  <c r="D14031" i="2"/>
  <c r="D3563" i="2"/>
  <c r="D10610" i="2"/>
  <c r="D2589" i="2"/>
  <c r="D7038" i="2"/>
  <c r="D15025" i="2"/>
  <c r="D7464" i="2"/>
  <c r="D6672" i="2"/>
  <c r="D2734" i="2"/>
  <c r="D14599" i="2"/>
  <c r="D9187" i="2"/>
  <c r="D3562" i="2"/>
  <c r="D13386" i="2"/>
  <c r="D7336" i="2"/>
  <c r="D5815" i="2"/>
  <c r="D10491" i="2"/>
  <c r="D884" i="2"/>
  <c r="D9075" i="2"/>
  <c r="D14632" i="2"/>
  <c r="D3434" i="2"/>
  <c r="D13058" i="2"/>
  <c r="D2698" i="2"/>
  <c r="D7037" i="2"/>
  <c r="D3448" i="2"/>
  <c r="D14631" i="2"/>
  <c r="D13511" i="2"/>
  <c r="D10486" i="2"/>
  <c r="D15024" i="2"/>
  <c r="D1189" i="2"/>
  <c r="D4722" i="2"/>
  <c r="D10891" i="2"/>
  <c r="D654" i="2"/>
  <c r="D1513" i="2"/>
  <c r="D2128" i="2"/>
  <c r="D15023" i="2"/>
  <c r="D9563" i="2"/>
  <c r="D7509" i="2"/>
  <c r="D5814" i="2"/>
  <c r="D3090" i="2"/>
  <c r="D4642" i="2"/>
  <c r="D9721" i="2"/>
  <c r="D11594" i="2"/>
  <c r="D4821" i="2"/>
  <c r="D3561" i="2"/>
  <c r="D13385" i="2"/>
  <c r="D719" i="2"/>
  <c r="D6586" i="2"/>
  <c r="D9821" i="2"/>
  <c r="D6768" i="2"/>
  <c r="D718" i="2"/>
  <c r="D3560" i="2"/>
  <c r="D7658" i="2"/>
  <c r="D9849" i="2"/>
  <c r="D4671" i="2"/>
  <c r="D1998" i="2"/>
  <c r="D2401" i="2"/>
  <c r="D9647" i="2"/>
  <c r="D5813" i="2"/>
  <c r="D2056" i="2"/>
  <c r="D444" i="2"/>
  <c r="D2733" i="2"/>
  <c r="D1934" i="2"/>
  <c r="D5812" i="2"/>
  <c r="D10073" i="2"/>
  <c r="D11155" i="2"/>
  <c r="D10595" i="2"/>
  <c r="D7102" i="2"/>
  <c r="D5168" i="2"/>
  <c r="D443" i="2"/>
  <c r="D13989" i="2"/>
  <c r="D2482" i="2"/>
  <c r="D7657" i="2"/>
  <c r="D3197" i="2"/>
  <c r="D3302" i="2"/>
  <c r="D883" i="2"/>
  <c r="D14834" i="2"/>
  <c r="D2037" i="2"/>
  <c r="D12551" i="2"/>
  <c r="D7656" i="2"/>
  <c r="D1412" i="2"/>
  <c r="D10570" i="2"/>
  <c r="D1411" i="2"/>
  <c r="D5327" i="2"/>
  <c r="D442" i="2"/>
  <c r="D13249" i="2"/>
  <c r="D11869" i="2"/>
  <c r="D14538" i="2"/>
  <c r="D14537" i="2"/>
  <c r="D7185" i="2"/>
  <c r="D13761" i="2"/>
  <c r="D6517" i="2"/>
  <c r="D10533" i="2"/>
  <c r="D14536" i="2"/>
  <c r="D13693" i="2"/>
  <c r="D10817" i="2"/>
  <c r="D6228" i="2"/>
  <c r="D14590" i="2"/>
  <c r="D1903" i="2"/>
  <c r="D14535" i="2"/>
  <c r="D10188" i="2"/>
  <c r="D13952" i="2"/>
  <c r="D5232" i="2"/>
  <c r="D10366" i="2"/>
  <c r="D6620" i="2"/>
  <c r="D14903" i="2"/>
  <c r="D3559" i="2"/>
  <c r="D9186" i="2"/>
  <c r="D6767" i="2"/>
  <c r="D14861" i="2"/>
  <c r="D7655" i="2"/>
  <c r="D12972" i="2"/>
  <c r="D12178" i="2"/>
  <c r="D9772" i="2"/>
  <c r="D9848" i="2"/>
  <c r="D11460" i="2"/>
  <c r="D3318" i="2"/>
  <c r="D13164" i="2"/>
  <c r="D3558" i="2"/>
  <c r="D7654" i="2"/>
  <c r="D7653" i="2"/>
  <c r="D14630" i="2"/>
  <c r="D3557" i="2"/>
  <c r="D5246" i="2"/>
  <c r="D641" i="2"/>
  <c r="D13875" i="2"/>
  <c r="D11154" i="2"/>
  <c r="D717" i="2"/>
  <c r="D6559" i="2"/>
  <c r="D5127" i="2"/>
  <c r="D6592" i="2"/>
  <c r="D10046" i="2"/>
  <c r="D6696" i="2"/>
  <c r="D14902" i="2"/>
  <c r="D3556" i="2"/>
  <c r="D6269" i="2"/>
  <c r="D6623" i="2"/>
  <c r="D1512" i="2"/>
  <c r="D2317" i="2"/>
  <c r="D480" i="2"/>
  <c r="D3555" i="2"/>
  <c r="D441" i="2"/>
  <c r="D13889" i="2"/>
  <c r="D3047" i="2"/>
  <c r="D583" i="2"/>
  <c r="D1511" i="2"/>
  <c r="D13604" i="2"/>
  <c r="D4883" i="2"/>
  <c r="D12517" i="2"/>
  <c r="D5811" i="2"/>
  <c r="D4641" i="2"/>
  <c r="D9674" i="2"/>
  <c r="D14805" i="2"/>
  <c r="D6461" i="2"/>
  <c r="D13083" i="2"/>
  <c r="D5810" i="2"/>
  <c r="D7353" i="2"/>
  <c r="D2550" i="2"/>
  <c r="D14860" i="2"/>
  <c r="D15022" i="2"/>
  <c r="D440" i="2"/>
  <c r="D5435" i="2"/>
  <c r="D13004" i="2"/>
  <c r="D14629" i="2"/>
  <c r="D13032" i="2"/>
  <c r="D4762" i="2"/>
  <c r="D5650" i="2"/>
  <c r="D7381" i="2"/>
  <c r="D10890" i="2"/>
  <c r="D9847" i="2"/>
  <c r="D5743" i="2"/>
  <c r="D7652" i="2"/>
  <c r="D14628" i="2"/>
  <c r="D6867" i="2"/>
  <c r="D6292" i="2"/>
  <c r="D4820" i="2"/>
  <c r="D3177" i="2"/>
  <c r="D5712" i="2"/>
  <c r="D7651" i="2"/>
  <c r="D1410" i="2"/>
  <c r="D541" i="2"/>
  <c r="D12847" i="2"/>
  <c r="D11527" i="2"/>
  <c r="D2127" i="2"/>
  <c r="D14268" i="2"/>
  <c r="D14534" i="2"/>
  <c r="D1409" i="2"/>
  <c r="D12396" i="2"/>
  <c r="D929" i="2"/>
  <c r="D12550" i="2"/>
  <c r="D7184" i="2"/>
  <c r="D11370" i="2"/>
  <c r="D14533" i="2"/>
  <c r="D7267" i="2"/>
  <c r="D1929" i="2"/>
  <c r="D6195" i="2"/>
  <c r="D7650" i="2"/>
  <c r="D6766" i="2"/>
  <c r="D3554" i="2"/>
  <c r="D13289" i="2"/>
  <c r="D15021" i="2"/>
  <c r="D11915" i="2"/>
  <c r="D9846" i="2"/>
  <c r="D5631" i="2"/>
  <c r="D10889" i="2"/>
  <c r="D7649" i="2"/>
  <c r="D9651" i="2"/>
  <c r="D2055" i="2"/>
  <c r="D2036" i="2"/>
  <c r="D11544" i="2"/>
  <c r="D928" i="2"/>
  <c r="D6361" i="2"/>
  <c r="D10679" i="2"/>
  <c r="D439" i="2"/>
  <c r="D6765" i="2"/>
  <c r="D13906" i="2"/>
  <c r="D2054" i="2"/>
  <c r="D5167" i="2"/>
  <c r="D7495" i="2"/>
  <c r="D10515" i="2"/>
  <c r="D10187" i="2"/>
  <c r="D13510" i="2"/>
  <c r="D13868" i="2"/>
  <c r="D1510" i="2"/>
  <c r="D3242" i="2"/>
  <c r="D3241" i="2"/>
  <c r="D6953" i="2"/>
  <c r="D11672" i="2"/>
  <c r="D13882" i="2"/>
  <c r="D14771" i="2"/>
  <c r="D5270" i="2"/>
  <c r="D5809" i="2"/>
  <c r="D5289" i="2"/>
  <c r="D2126" i="2"/>
  <c r="D5808" i="2"/>
  <c r="D7648" i="2"/>
  <c r="D10586" i="2"/>
  <c r="D14901" i="2"/>
  <c r="D3553" i="2"/>
  <c r="D9652" i="2"/>
  <c r="D5649" i="2"/>
  <c r="D14050" i="2"/>
  <c r="D13062" i="2"/>
  <c r="D2053" i="2"/>
  <c r="D9655" i="2"/>
  <c r="D5166" i="2"/>
  <c r="D7647" i="2"/>
  <c r="D11423" i="2"/>
  <c r="D5165" i="2"/>
  <c r="D10103" i="2"/>
  <c r="D9562" i="2"/>
  <c r="D1856" i="2"/>
  <c r="D6691" i="2"/>
  <c r="D540" i="2"/>
  <c r="D10888" i="2"/>
  <c r="D14532" i="2"/>
  <c r="D6227" i="2"/>
  <c r="D13872" i="2"/>
  <c r="D10666" i="2"/>
  <c r="D7435" i="2"/>
  <c r="D5523" i="2"/>
  <c r="D6558" i="2"/>
  <c r="D7646" i="2"/>
  <c r="D3552" i="2"/>
  <c r="D13384" i="2"/>
  <c r="D13248" i="2"/>
  <c r="D11868" i="2"/>
  <c r="D7645" i="2"/>
  <c r="D12434" i="2"/>
  <c r="D13864" i="2"/>
  <c r="D10775" i="2"/>
  <c r="D3148" i="2"/>
  <c r="D2400" i="2"/>
  <c r="D13767" i="2"/>
  <c r="D11153" i="2"/>
  <c r="D5516" i="2"/>
  <c r="D7266" i="2"/>
  <c r="D3447" i="2"/>
  <c r="D14804" i="2"/>
  <c r="D6732" i="2"/>
  <c r="D12480" i="2"/>
  <c r="D2903" i="2"/>
  <c r="D14424" i="2"/>
  <c r="D13035" i="2"/>
  <c r="D10774" i="2"/>
  <c r="D1509" i="2"/>
  <c r="D2602" i="2"/>
  <c r="D4904" i="2"/>
  <c r="D3551" i="2"/>
  <c r="D14531" i="2"/>
  <c r="D9561" i="2"/>
  <c r="D5321" i="2"/>
  <c r="D12111" i="2"/>
  <c r="D11953" i="2"/>
  <c r="D9845" i="2"/>
  <c r="D1508" i="2"/>
  <c r="D3550" i="2"/>
  <c r="D11952" i="2"/>
  <c r="D13692" i="2"/>
  <c r="D5648" i="2"/>
  <c r="D10887" i="2"/>
  <c r="D14900" i="2"/>
  <c r="D10186" i="2"/>
  <c r="D2697" i="2"/>
  <c r="D2052" i="2"/>
  <c r="D11348" i="2"/>
  <c r="D6291" i="2"/>
  <c r="D7644" i="2"/>
  <c r="D3549" i="2"/>
  <c r="D6993" i="2"/>
  <c r="D4861" i="2"/>
  <c r="D3240" i="2"/>
  <c r="D5397" i="2"/>
  <c r="D13870" i="2"/>
  <c r="D2125" i="2"/>
  <c r="D5807" i="2"/>
  <c r="D7643" i="2"/>
  <c r="D6690" i="2"/>
  <c r="D15020" i="2"/>
  <c r="D2029" i="2"/>
  <c r="D14300" i="2"/>
  <c r="D11909" i="2"/>
  <c r="D3239" i="2"/>
  <c r="D3238" i="2"/>
  <c r="D5621" i="2"/>
  <c r="D9185" i="2"/>
  <c r="D6557" i="2"/>
  <c r="D7265" i="2"/>
  <c r="D14793" i="2"/>
  <c r="D5731" i="2"/>
  <c r="D14444" i="2"/>
  <c r="D14479" i="2"/>
  <c r="D7642" i="2"/>
  <c r="D3548" i="2"/>
  <c r="D13383" i="2"/>
  <c r="D1051" i="2"/>
  <c r="D2124" i="2"/>
  <c r="D14318" i="2"/>
  <c r="D14317" i="2"/>
  <c r="D7641" i="2"/>
  <c r="D3547" i="2"/>
  <c r="D13940" i="2"/>
  <c r="D7390" i="2"/>
  <c r="D11736" i="2"/>
  <c r="D4960" i="2"/>
  <c r="D5297" i="2"/>
  <c r="D12177" i="2"/>
  <c r="D10511" i="2"/>
  <c r="D13247" i="2"/>
  <c r="D11867" i="2"/>
  <c r="D5511" i="2"/>
  <c r="D15019" i="2"/>
  <c r="D2665" i="2"/>
  <c r="D11678" i="2"/>
  <c r="D2123" i="2"/>
  <c r="D14313" i="2"/>
  <c r="D10886" i="2"/>
  <c r="D11260" i="2"/>
  <c r="D1815" i="2"/>
  <c r="D5540" i="2"/>
  <c r="D13071" i="2"/>
  <c r="D13821" i="2"/>
  <c r="D11459" i="2"/>
  <c r="D5535" i="2"/>
  <c r="D7640" i="2"/>
  <c r="D15273" i="2"/>
  <c r="D505" i="2"/>
  <c r="D927" i="2"/>
  <c r="D7639" i="2"/>
  <c r="D11259" i="2"/>
  <c r="D7638" i="2"/>
  <c r="D10756" i="2"/>
  <c r="D2494" i="2"/>
  <c r="D7389" i="2"/>
  <c r="D7377" i="2"/>
  <c r="D10003" i="2"/>
  <c r="D7101" i="2"/>
  <c r="D3546" i="2"/>
  <c r="D7637" i="2"/>
  <c r="D9749" i="2"/>
  <c r="D5217" i="2"/>
  <c r="D13766" i="2"/>
  <c r="D11593" i="2"/>
  <c r="D5590" i="2"/>
  <c r="D5140" i="2"/>
  <c r="D6689" i="2"/>
  <c r="D7636" i="2"/>
  <c r="D4640" i="2"/>
  <c r="D12368" i="2"/>
  <c r="D3196" i="2"/>
  <c r="D2035" i="2"/>
  <c r="D6460" i="2"/>
  <c r="D7065" i="2"/>
  <c r="D7635" i="2"/>
  <c r="D10885" i="2"/>
  <c r="D11336" i="2"/>
  <c r="D489" i="2"/>
  <c r="D10678" i="2"/>
  <c r="D5326" i="2"/>
  <c r="D7634" i="2"/>
  <c r="D14236" i="2"/>
  <c r="D3545" i="2"/>
  <c r="D1408" i="2"/>
  <c r="D5029" i="2"/>
  <c r="D14274" i="2"/>
  <c r="D2575" i="2"/>
  <c r="D10072" i="2"/>
  <c r="D15314" i="2"/>
  <c r="D10555" i="2"/>
  <c r="D13948" i="2"/>
  <c r="D6764" i="2"/>
  <c r="D7633" i="2"/>
  <c r="D11849" i="2"/>
  <c r="D9619" i="2"/>
  <c r="D1973" i="2"/>
  <c r="D3544" i="2"/>
  <c r="D14286" i="2"/>
  <c r="D14530" i="2"/>
  <c r="D3543" i="2"/>
  <c r="D11543" i="2"/>
  <c r="D3542" i="2"/>
  <c r="D1933" i="2"/>
  <c r="D14049" i="2"/>
  <c r="D1407" i="2"/>
  <c r="D1675" i="2"/>
  <c r="D10884" i="2"/>
  <c r="D7508" i="2"/>
  <c r="D11951" i="2"/>
  <c r="D12380" i="2"/>
  <c r="D13674" i="2"/>
  <c r="D13603" i="2"/>
  <c r="D1814" i="2"/>
  <c r="D1865" i="2"/>
  <c r="D10185" i="2"/>
  <c r="D658" i="2"/>
  <c r="D14027" i="2"/>
  <c r="D13616" i="2"/>
  <c r="D7632" i="2"/>
  <c r="D14355" i="2"/>
  <c r="D11258" i="2"/>
  <c r="D2051" i="2"/>
  <c r="D13288" i="2"/>
  <c r="D10700" i="2"/>
  <c r="D7631" i="2"/>
  <c r="D4750" i="2"/>
  <c r="D4982" i="2"/>
  <c r="D574" i="2"/>
  <c r="D3541" i="2"/>
  <c r="D4736" i="2"/>
  <c r="D2399" i="2"/>
  <c r="D3018" i="2"/>
  <c r="D10675" i="2"/>
  <c r="D7630" i="2"/>
  <c r="D5265" i="2"/>
  <c r="D5430" i="2"/>
  <c r="D6622" i="2"/>
  <c r="D14048" i="2"/>
  <c r="D3540" i="2"/>
  <c r="D12176" i="2"/>
  <c r="D623" i="2"/>
  <c r="D11152" i="2"/>
  <c r="D1813" i="2"/>
  <c r="D14604" i="2"/>
  <c r="D3147" i="2"/>
  <c r="D7629" i="2"/>
  <c r="D12528" i="2"/>
  <c r="D12944" i="2"/>
  <c r="D11458" i="2"/>
  <c r="D4591" i="2"/>
  <c r="D2367" i="2"/>
  <c r="D13757" i="2"/>
  <c r="D3423" i="2"/>
  <c r="D12094" i="2"/>
  <c r="D3539" i="2"/>
  <c r="D13382" i="2"/>
  <c r="D10365" i="2"/>
  <c r="D7341" i="2"/>
  <c r="D7628" i="2"/>
  <c r="D10364" i="2"/>
  <c r="D3538" i="2"/>
  <c r="D3537" i="2"/>
  <c r="D13325" i="2"/>
  <c r="D3455" i="2"/>
  <c r="D7627" i="2"/>
  <c r="D1972" i="2"/>
  <c r="D7064" i="2"/>
  <c r="D1507" i="2"/>
  <c r="D14478" i="2"/>
  <c r="D5806" i="2"/>
  <c r="D5531" i="2"/>
  <c r="D14803" i="2"/>
  <c r="D12093" i="2"/>
  <c r="D3104" i="2"/>
  <c r="D10627" i="2"/>
  <c r="D7626" i="2"/>
  <c r="D669" i="2"/>
  <c r="D7625" i="2"/>
  <c r="D13338" i="2"/>
  <c r="D5396" i="2"/>
  <c r="D5412" i="2"/>
  <c r="D6591" i="2"/>
  <c r="D14852" i="2"/>
  <c r="D11542" i="2"/>
  <c r="D14443" i="2"/>
  <c r="D10481" i="2"/>
  <c r="D3088" i="2"/>
  <c r="D3536" i="2"/>
  <c r="D3535" i="2"/>
  <c r="D13381" i="2"/>
  <c r="D4810" i="2"/>
  <c r="D4670" i="2"/>
  <c r="D15272" i="2"/>
  <c r="D10659" i="2"/>
  <c r="D5200" i="2"/>
  <c r="D926" i="2"/>
  <c r="D7624" i="2"/>
  <c r="D4590" i="2"/>
  <c r="D12175" i="2"/>
  <c r="D3367" i="2"/>
  <c r="D14627" i="2"/>
  <c r="D5305" i="2"/>
  <c r="D925" i="2"/>
  <c r="D3534" i="2"/>
  <c r="D10031" i="2"/>
  <c r="D3533" i="2"/>
  <c r="D13910" i="2"/>
  <c r="D5729" i="2"/>
  <c r="D7006" i="2"/>
  <c r="D13905" i="2"/>
  <c r="D11651" i="2"/>
  <c r="D7497" i="2"/>
  <c r="D2696" i="2"/>
  <c r="D7126" i="2"/>
  <c r="D9184" i="2"/>
  <c r="D11408" i="2"/>
  <c r="D5164" i="2"/>
  <c r="D5325" i="2"/>
  <c r="D13082" i="2"/>
  <c r="D7340" i="2"/>
  <c r="D4819" i="2"/>
  <c r="D4818" i="2"/>
  <c r="D6952" i="2"/>
  <c r="D2028" i="2"/>
  <c r="D1916" i="2"/>
  <c r="D7623" i="2"/>
  <c r="D4817" i="2"/>
  <c r="D1855" i="2"/>
  <c r="D11369" i="2"/>
  <c r="D14529" i="2"/>
  <c r="D5163" i="2"/>
  <c r="D2650" i="2"/>
  <c r="D6526" i="2"/>
  <c r="D2122" i="2"/>
  <c r="D13615" i="2"/>
  <c r="D2522" i="2"/>
  <c r="D13343" i="2"/>
  <c r="D716" i="2"/>
  <c r="D12562" i="2"/>
  <c r="D1506" i="2"/>
  <c r="D12174" i="2"/>
  <c r="D1082" i="2"/>
  <c r="D3103" i="2"/>
  <c r="D14752" i="2"/>
  <c r="D12988" i="2"/>
  <c r="D7622" i="2"/>
  <c r="D14262" i="2"/>
  <c r="D7100" i="2"/>
  <c r="D10883" i="2"/>
  <c r="D2487" i="2"/>
  <c r="D12173" i="2"/>
  <c r="D539" i="2"/>
  <c r="D9560" i="2"/>
  <c r="D4721" i="2"/>
  <c r="D1876" i="2"/>
  <c r="D7063" i="2"/>
  <c r="D11653" i="2"/>
  <c r="D13951" i="2"/>
  <c r="D3532" i="2"/>
  <c r="D5805" i="2"/>
  <c r="D6202" i="2"/>
  <c r="D538" i="2"/>
  <c r="D6610" i="2"/>
  <c r="D3317" i="2"/>
  <c r="D1844" i="2"/>
  <c r="D2664" i="2"/>
  <c r="D652" i="2"/>
  <c r="D3531" i="2"/>
  <c r="D6250" i="2"/>
  <c r="D2625" i="2"/>
  <c r="D11151" i="2"/>
  <c r="D7621" i="2"/>
  <c r="D3126" i="2"/>
  <c r="D882" i="2"/>
  <c r="D3530" i="2"/>
  <c r="D6338" i="2"/>
  <c r="D3529" i="2"/>
  <c r="D11368" i="2"/>
  <c r="D6763" i="2"/>
  <c r="D12172" i="2"/>
  <c r="D9618" i="2"/>
  <c r="D5231" i="2"/>
  <c r="D10763" i="2"/>
  <c r="D13701" i="2"/>
  <c r="D3528" i="2"/>
  <c r="D5647" i="2"/>
  <c r="D14626" i="2"/>
  <c r="D11830" i="2"/>
  <c r="D2398" i="2"/>
  <c r="D3146" i="2"/>
  <c r="D14625" i="2"/>
  <c r="D1849" i="2"/>
  <c r="D6585" i="2"/>
  <c r="D14624" i="2"/>
  <c r="D14899" i="2"/>
  <c r="D14344" i="2"/>
  <c r="D2397" i="2"/>
  <c r="D10738" i="2"/>
  <c r="D11541" i="2"/>
  <c r="D1971" i="2"/>
  <c r="D14898" i="2"/>
  <c r="D12456" i="2"/>
  <c r="D1877" i="2"/>
  <c r="D7175" i="2"/>
  <c r="D3527" i="2"/>
  <c r="D12971" i="2"/>
  <c r="D14528" i="2"/>
  <c r="D6951" i="2"/>
  <c r="D7167" i="2"/>
  <c r="D10773" i="2"/>
  <c r="D14527" i="2"/>
  <c r="D13974" i="2"/>
  <c r="D14897" i="2"/>
  <c r="D668" i="2"/>
  <c r="D10499" i="2"/>
  <c r="D2366" i="2"/>
  <c r="D13736" i="2"/>
  <c r="D7620" i="2"/>
  <c r="D7619" i="2"/>
  <c r="D6762" i="2"/>
  <c r="D13509" i="2"/>
  <c r="D13312" i="2"/>
  <c r="D14526" i="2"/>
  <c r="D13246" i="2"/>
  <c r="D11866" i="2"/>
  <c r="D13939" i="2"/>
  <c r="D11407" i="2"/>
  <c r="D5153" i="2"/>
  <c r="D10882" i="2"/>
  <c r="D6290" i="2"/>
  <c r="D2902" i="2"/>
  <c r="D10023" i="2"/>
  <c r="D6950" i="2"/>
  <c r="D6688" i="2"/>
  <c r="D3366" i="2"/>
  <c r="D6459" i="2"/>
  <c r="D13596" i="2"/>
  <c r="D13245" i="2"/>
  <c r="D11865" i="2"/>
  <c r="D12171" i="2"/>
  <c r="D13508" i="2"/>
  <c r="D6943" i="2"/>
  <c r="D9183" i="2"/>
  <c r="D2365" i="2"/>
  <c r="D13610" i="2"/>
  <c r="D10363" i="2"/>
  <c r="D11950" i="2"/>
  <c r="D14244" i="2"/>
  <c r="D5510" i="2"/>
  <c r="D2050" i="2"/>
  <c r="D10045" i="2"/>
  <c r="D11330" i="2"/>
  <c r="D15260" i="2"/>
  <c r="D9182" i="2"/>
  <c r="D7018" i="2"/>
  <c r="D6525" i="2"/>
  <c r="D4909" i="2"/>
  <c r="D13588" i="2"/>
  <c r="D5593" i="2"/>
  <c r="D13507" i="2"/>
  <c r="D7388" i="2"/>
  <c r="D1379" i="2"/>
  <c r="D11367" i="2"/>
  <c r="D6556" i="2"/>
  <c r="D9181" i="2"/>
  <c r="D7618" i="2"/>
  <c r="D657" i="2"/>
  <c r="D10881" i="2"/>
  <c r="D1188" i="2"/>
  <c r="D2474" i="2"/>
  <c r="D4574" i="2"/>
  <c r="D1050" i="2"/>
  <c r="D13568" i="2"/>
  <c r="D13720" i="2"/>
  <c r="D1296" i="2"/>
  <c r="D13506" i="2"/>
  <c r="D10626" i="2"/>
  <c r="D3141" i="2"/>
  <c r="D7486" i="2"/>
  <c r="D1505" i="2"/>
  <c r="D3526" i="2"/>
  <c r="D9180" i="2"/>
  <c r="D14442" i="2"/>
  <c r="D7481" i="2"/>
  <c r="D3525" i="2"/>
  <c r="D2396" i="2"/>
  <c r="D9559" i="2"/>
  <c r="D10362" i="2"/>
  <c r="D5162" i="2"/>
  <c r="D7617" i="2"/>
  <c r="D6859" i="2"/>
  <c r="D7616" i="2"/>
  <c r="D6249" i="2"/>
  <c r="D12110" i="2"/>
  <c r="D3145" i="2"/>
  <c r="D14525" i="2"/>
  <c r="D3524" i="2"/>
  <c r="D14896" i="2"/>
  <c r="D1674" i="2"/>
  <c r="D7615" i="2"/>
  <c r="D4693" i="2"/>
  <c r="D13163" i="2"/>
  <c r="D3237" i="2"/>
  <c r="D7614" i="2"/>
  <c r="D12109" i="2"/>
  <c r="D7613" i="2"/>
  <c r="D3365" i="2"/>
  <c r="D11677" i="2"/>
  <c r="D4970" i="2"/>
  <c r="D3523" i="2"/>
  <c r="D2364" i="2"/>
  <c r="D1925" i="2"/>
  <c r="D12549" i="2"/>
  <c r="D2395" i="2"/>
  <c r="D604" i="2"/>
  <c r="D13673" i="2"/>
  <c r="D2732" i="2"/>
  <c r="D10822" i="2"/>
  <c r="D601" i="2"/>
  <c r="D9617" i="2"/>
  <c r="D5804" i="2"/>
  <c r="D3364" i="2"/>
  <c r="D5549" i="2"/>
  <c r="D6761" i="2"/>
  <c r="D3522" i="2"/>
  <c r="D3521" i="2"/>
  <c r="D15018" i="2"/>
  <c r="D9179" i="2"/>
  <c r="D438" i="2"/>
  <c r="D1911" i="2"/>
  <c r="D1812" i="2"/>
  <c r="D3236" i="2"/>
  <c r="D11392" i="2"/>
  <c r="D9844" i="2"/>
  <c r="D10184" i="2"/>
  <c r="D4782" i="2"/>
  <c r="D14623" i="2"/>
  <c r="D4848" i="2"/>
  <c r="D13973" i="2"/>
  <c r="D640" i="2"/>
  <c r="D1295" i="2"/>
  <c r="D10710" i="2"/>
  <c r="D10532" i="2"/>
  <c r="D1924" i="2"/>
  <c r="D12170" i="2"/>
  <c r="D847" i="2"/>
  <c r="D14833" i="2"/>
  <c r="D2687" i="2"/>
  <c r="D13244" i="2"/>
  <c r="D11864" i="2"/>
  <c r="D9065" i="2"/>
  <c r="D10848" i="2"/>
  <c r="D9064" i="2"/>
  <c r="D13756" i="2"/>
  <c r="D7612" i="2"/>
  <c r="D9178" i="2"/>
  <c r="D2394" i="2"/>
  <c r="D10361" i="2"/>
  <c r="D10615" i="2"/>
  <c r="D2049" i="2"/>
  <c r="D10880" i="2"/>
  <c r="D7434" i="2"/>
  <c r="D12548" i="2"/>
  <c r="D5161" i="2"/>
  <c r="D881" i="2"/>
  <c r="D10772" i="2"/>
  <c r="D437" i="2"/>
  <c r="D13819" i="2"/>
  <c r="D13001" i="2"/>
  <c r="D14895" i="2"/>
  <c r="D10360" i="2"/>
  <c r="D3520" i="2"/>
  <c r="D3519" i="2"/>
  <c r="D2393" i="2"/>
  <c r="D13505" i="2"/>
  <c r="D1673" i="2"/>
  <c r="D14267" i="2"/>
  <c r="D2521" i="2"/>
  <c r="D1672" i="2"/>
  <c r="D14827" i="2"/>
  <c r="D10183" i="2"/>
  <c r="D9092" i="2"/>
  <c r="D7611" i="2"/>
  <c r="D14894" i="2"/>
  <c r="D11848" i="2"/>
  <c r="D7610" i="2"/>
  <c r="D6760" i="2"/>
  <c r="D2731" i="2"/>
  <c r="D11676" i="2"/>
  <c r="D14524" i="2"/>
  <c r="D9694" i="2"/>
  <c r="D2121" i="2"/>
  <c r="D11540" i="2"/>
  <c r="D5548" i="2"/>
  <c r="D7609" i="2"/>
  <c r="D7376" i="2"/>
  <c r="D12169" i="2"/>
  <c r="D6759" i="2"/>
  <c r="D1811" i="2"/>
  <c r="D7608" i="2"/>
  <c r="D14893" i="2"/>
  <c r="D5131" i="2"/>
  <c r="D9701" i="2"/>
  <c r="D10737" i="2"/>
  <c r="D3446" i="2"/>
  <c r="D7253" i="2"/>
  <c r="D7335" i="2"/>
  <c r="D2120" i="2"/>
  <c r="D6360" i="2"/>
  <c r="D436" i="2"/>
  <c r="D6584" i="2"/>
  <c r="D12521" i="2"/>
  <c r="D11150" i="2"/>
  <c r="D3444" i="2"/>
  <c r="D13342" i="2"/>
  <c r="D5034" i="2"/>
  <c r="D6555" i="2"/>
  <c r="D13686" i="2"/>
  <c r="D7607" i="2"/>
  <c r="D12479" i="2"/>
  <c r="D3426" i="2"/>
  <c r="D11769" i="2"/>
  <c r="D4720" i="2"/>
  <c r="D5711" i="2"/>
  <c r="D3518" i="2"/>
  <c r="D3517" i="2"/>
  <c r="D1081" i="2"/>
  <c r="D10879" i="2"/>
  <c r="D10148" i="2"/>
  <c r="D7606" i="2"/>
  <c r="D3516" i="2"/>
  <c r="D1810" i="2"/>
  <c r="D13137" i="2"/>
  <c r="D5803" i="2"/>
  <c r="D989" i="2"/>
  <c r="D2695" i="2"/>
  <c r="D10071" i="2"/>
  <c r="D5406" i="2"/>
  <c r="D6758" i="2"/>
  <c r="D6609" i="2"/>
  <c r="D7605" i="2"/>
  <c r="D3235" i="2"/>
  <c r="D7005" i="2"/>
  <c r="D5802" i="2"/>
  <c r="D9792" i="2"/>
  <c r="D7604" i="2"/>
  <c r="D5160" i="2"/>
  <c r="D3443" i="2"/>
  <c r="D9177" i="2"/>
  <c r="D6858" i="2"/>
  <c r="D12395" i="2"/>
  <c r="D13324" i="2"/>
  <c r="D10037" i="2"/>
  <c r="D13972" i="2"/>
  <c r="D7477" i="2"/>
  <c r="D3425" i="2"/>
  <c r="D6757" i="2"/>
  <c r="D9843" i="2"/>
  <c r="D6257" i="2"/>
  <c r="D13971" i="2"/>
  <c r="D7197" i="2"/>
  <c r="D533" i="2"/>
  <c r="D7433" i="2"/>
  <c r="D7603" i="2"/>
  <c r="D2392" i="2"/>
  <c r="D10359" i="2"/>
  <c r="D14354" i="2"/>
  <c r="D3332" i="2"/>
  <c r="D3424" i="2"/>
  <c r="D12168" i="2"/>
  <c r="D9842" i="2"/>
  <c r="D11809" i="2"/>
  <c r="D13162" i="2"/>
  <c r="D13700" i="2"/>
  <c r="D14603" i="2"/>
  <c r="D11539" i="2"/>
  <c r="D11834" i="2"/>
  <c r="D13970" i="2"/>
  <c r="D10878" i="2"/>
  <c r="D504" i="2"/>
  <c r="D435" i="2"/>
  <c r="D6756" i="2"/>
  <c r="D6583" i="2"/>
  <c r="D11149" i="2"/>
  <c r="D11792" i="2"/>
  <c r="D6644" i="2"/>
  <c r="D10358" i="2"/>
  <c r="D4719" i="2"/>
  <c r="D10087" i="2"/>
  <c r="D11675" i="2"/>
  <c r="D692" i="2"/>
  <c r="D6643" i="2"/>
  <c r="D3515" i="2"/>
  <c r="D14770" i="2"/>
  <c r="D5530" i="2"/>
  <c r="D6882" i="2"/>
  <c r="D6642" i="2"/>
  <c r="D5695" i="2"/>
  <c r="D11949" i="2"/>
  <c r="D3363" i="2"/>
  <c r="D1294" i="2"/>
  <c r="D488" i="2"/>
  <c r="D6226" i="2"/>
  <c r="D10847" i="2"/>
  <c r="D7017" i="2"/>
  <c r="D648" i="2"/>
  <c r="D7196" i="2"/>
  <c r="D10357" i="2"/>
  <c r="D11615" i="2"/>
  <c r="D6857" i="2"/>
  <c r="D11257" i="2"/>
  <c r="D1889" i="2"/>
  <c r="D3514" i="2"/>
  <c r="D10643" i="2"/>
  <c r="D6942" i="2"/>
  <c r="D1080" i="2"/>
  <c r="D3513" i="2"/>
  <c r="D10771" i="2"/>
  <c r="D4969" i="2"/>
  <c r="D13969" i="2"/>
  <c r="D7602" i="2"/>
  <c r="D7476" i="2"/>
  <c r="D7601" i="2"/>
  <c r="D11531" i="2"/>
  <c r="D1970" i="2"/>
  <c r="D15271" i="2"/>
  <c r="D9616" i="2"/>
  <c r="D2558" i="2"/>
  <c r="D4692" i="2"/>
  <c r="D5801" i="2"/>
  <c r="D846" i="2"/>
  <c r="D12960" i="2"/>
  <c r="D13947" i="2"/>
  <c r="D11948" i="2"/>
  <c r="D11256" i="2"/>
  <c r="D5800" i="2"/>
  <c r="D11255" i="2"/>
  <c r="D10877" i="2"/>
  <c r="D2588" i="2"/>
  <c r="D3512" i="2"/>
  <c r="D14419" i="2"/>
  <c r="D4603" i="2"/>
  <c r="D14802" i="2"/>
  <c r="D10682" i="2"/>
  <c r="D11908" i="2"/>
  <c r="D14622" i="2"/>
  <c r="D988" i="2"/>
  <c r="D9176" i="2"/>
  <c r="D2730" i="2"/>
  <c r="D97" i="2"/>
  <c r="D3437" i="2"/>
  <c r="D3171" i="2"/>
  <c r="D11457" i="2"/>
  <c r="D715" i="2"/>
  <c r="D6524" i="2"/>
  <c r="D4738" i="2"/>
  <c r="D5698" i="2"/>
  <c r="D3017" i="2"/>
  <c r="D7325" i="2"/>
  <c r="D7600" i="2"/>
  <c r="D2663" i="2"/>
  <c r="D13076" i="2"/>
  <c r="D10876" i="2"/>
  <c r="D10875" i="2"/>
  <c r="D2557" i="2"/>
  <c r="D4691" i="2"/>
  <c r="D13968" i="2"/>
  <c r="D11668" i="2"/>
  <c r="D11538" i="2"/>
  <c r="D14892" i="2"/>
  <c r="D14276" i="2"/>
  <c r="D4901" i="2"/>
  <c r="D4639" i="2"/>
  <c r="D7599" i="2"/>
  <c r="D3511" i="2"/>
  <c r="D9841" i="2"/>
  <c r="D13595" i="2"/>
  <c r="D10086" i="2"/>
  <c r="D6755" i="2"/>
  <c r="D7598" i="2"/>
  <c r="D7597" i="2"/>
  <c r="D5429" i="2"/>
  <c r="D3234" i="2"/>
  <c r="D1671" i="2"/>
  <c r="D5547" i="2"/>
  <c r="D10874" i="2"/>
  <c r="D5405" i="2"/>
  <c r="D3362" i="2"/>
  <c r="D2898" i="2"/>
  <c r="D7432" i="2"/>
  <c r="D4589" i="2"/>
  <c r="D9706" i="2"/>
  <c r="D6508" i="2"/>
  <c r="D315" i="2"/>
  <c r="D9615" i="2"/>
  <c r="D6443" i="2"/>
  <c r="D10714" i="2"/>
  <c r="D11947" i="2"/>
  <c r="D11254" i="2"/>
  <c r="D5264" i="2"/>
  <c r="D987" i="2"/>
  <c r="D13161" i="2"/>
  <c r="D7596" i="2"/>
  <c r="D14047" i="2"/>
  <c r="D563" i="2"/>
  <c r="D1670" i="2"/>
  <c r="D4718" i="2"/>
  <c r="D5137" i="2"/>
  <c r="D2729" i="2"/>
  <c r="D14891" i="2"/>
  <c r="D14438" i="2"/>
  <c r="D5799" i="2"/>
  <c r="D13938" i="2"/>
  <c r="D13359" i="2"/>
  <c r="D3144" i="2"/>
  <c r="D14477" i="2"/>
  <c r="D13867" i="2"/>
  <c r="D2023" i="2"/>
  <c r="D7494" i="2"/>
  <c r="D12559" i="2"/>
  <c r="D11667" i="2"/>
  <c r="D6881" i="2"/>
  <c r="D356" i="2"/>
  <c r="D5227" i="2"/>
  <c r="D1843" i="2"/>
  <c r="D4816" i="2"/>
  <c r="D13689" i="2"/>
  <c r="D5710" i="2"/>
  <c r="D503" i="2"/>
  <c r="D13577" i="2"/>
  <c r="D636" i="2"/>
  <c r="D7162" i="2"/>
  <c r="D10356" i="2"/>
  <c r="D5701" i="2"/>
  <c r="D13587" i="2"/>
  <c r="D3233" i="2"/>
  <c r="D2119" i="2"/>
  <c r="D13967" i="2"/>
  <c r="D3510" i="2"/>
  <c r="D2048" i="2"/>
  <c r="D6608" i="2"/>
  <c r="D7595" i="2"/>
  <c r="D14769" i="2"/>
  <c r="D3509" i="2"/>
  <c r="D11620" i="2"/>
  <c r="D11946" i="2"/>
  <c r="D3016" i="2"/>
  <c r="D14890" i="2"/>
  <c r="D13705" i="2"/>
  <c r="D10182" i="2"/>
  <c r="D4580" i="2"/>
  <c r="D9175" i="2"/>
  <c r="D4890" i="2"/>
  <c r="D9709" i="2"/>
  <c r="D4690" i="2"/>
  <c r="D3195" i="2"/>
  <c r="D7594" i="2"/>
  <c r="D10355" i="2"/>
  <c r="D9735" i="2"/>
  <c r="D10639" i="2"/>
  <c r="D10755" i="2"/>
  <c r="D6754" i="2"/>
  <c r="D13160" i="2"/>
  <c r="D9603" i="2"/>
  <c r="D7593" i="2"/>
  <c r="D3135" i="2"/>
  <c r="D6731" i="2"/>
  <c r="D3508" i="2"/>
  <c r="D1845" i="2"/>
  <c r="D5684" i="2"/>
  <c r="D7474" i="2"/>
  <c r="D4612" i="2"/>
  <c r="D5536" i="2"/>
  <c r="D10044" i="2"/>
  <c r="D14621" i="2"/>
  <c r="D12970" i="2"/>
  <c r="D5798" i="2"/>
  <c r="D11735" i="2"/>
  <c r="D6225" i="2"/>
  <c r="D13711" i="2"/>
  <c r="D5130" i="2"/>
  <c r="D1909" i="2"/>
  <c r="D14285" i="2"/>
  <c r="D9174" i="2"/>
  <c r="D6753" i="2"/>
  <c r="D13118" i="2"/>
  <c r="D13750" i="2"/>
  <c r="D10674" i="2"/>
  <c r="D7194" i="2"/>
  <c r="D10873" i="2"/>
  <c r="D9070" i="2"/>
  <c r="D1886" i="2"/>
  <c r="D14437" i="2"/>
  <c r="D7592" i="2"/>
  <c r="D1958" i="2"/>
  <c r="D14441" i="2"/>
  <c r="D13719" i="2"/>
  <c r="D14620" i="2"/>
  <c r="D9173" i="2"/>
  <c r="D7085" i="2"/>
  <c r="D12478" i="2"/>
  <c r="D11253" i="2"/>
  <c r="D11759" i="2"/>
  <c r="D4981" i="2"/>
  <c r="D12547" i="2"/>
  <c r="D986" i="2"/>
  <c r="D985" i="2"/>
  <c r="D1378" i="2"/>
  <c r="D1669" i="2"/>
  <c r="D11747" i="2"/>
  <c r="D4900" i="2"/>
  <c r="D6618" i="2"/>
  <c r="D3507" i="2"/>
  <c r="D13966" i="2"/>
  <c r="D4571" i="2"/>
  <c r="D6949" i="2"/>
  <c r="D1504" i="2"/>
  <c r="D13765" i="2"/>
  <c r="D6359" i="2"/>
  <c r="D3506" i="2"/>
  <c r="D5534" i="2"/>
  <c r="D3015" i="2"/>
  <c r="D13755" i="2"/>
  <c r="D14828" i="2"/>
  <c r="D2118" i="2"/>
  <c r="D10603" i="2"/>
  <c r="D11945" i="2"/>
  <c r="D13718" i="2"/>
  <c r="D4638" i="2"/>
  <c r="D5451" i="2"/>
  <c r="D10872" i="2"/>
  <c r="D7504" i="2"/>
  <c r="D11148" i="2"/>
  <c r="D984" i="2"/>
  <c r="D5797" i="2"/>
  <c r="D7264" i="2"/>
  <c r="D2391" i="2"/>
  <c r="D12546" i="2"/>
  <c r="D7591" i="2"/>
  <c r="D4815" i="2"/>
  <c r="D3505" i="2"/>
  <c r="D13666" i="2"/>
  <c r="D6866" i="2"/>
  <c r="D4889" i="2"/>
  <c r="D14768" i="2"/>
  <c r="D13653" i="2"/>
  <c r="D5159" i="2"/>
  <c r="D691" i="2"/>
  <c r="D7460" i="2"/>
  <c r="D2728" i="2"/>
  <c r="D7352" i="2"/>
  <c r="D14889" i="2"/>
  <c r="D7387" i="2"/>
  <c r="D3504" i="2"/>
  <c r="D6687" i="2"/>
  <c r="D13855" i="2"/>
  <c r="D9091" i="2"/>
  <c r="D5646" i="2"/>
  <c r="D5304" i="2"/>
  <c r="D7590" i="2"/>
  <c r="D7431" i="2"/>
  <c r="D2727" i="2"/>
  <c r="D2316" i="2"/>
  <c r="D14602" i="2"/>
  <c r="D4594" i="2"/>
  <c r="D5796" i="2"/>
  <c r="D3503" i="2"/>
  <c r="D7263" i="2"/>
  <c r="D14523" i="2"/>
  <c r="D14801" i="2"/>
  <c r="D1885" i="2"/>
  <c r="D6752" i="2"/>
  <c r="D6641" i="2"/>
  <c r="D10181" i="2"/>
  <c r="D4814" i="2"/>
  <c r="D7386" i="2"/>
  <c r="D12394" i="2"/>
  <c r="D3441" i="2"/>
  <c r="D5795" i="2"/>
  <c r="D12167" i="2"/>
  <c r="D5370" i="2"/>
  <c r="D11662" i="2"/>
  <c r="D9172" i="2"/>
  <c r="D6913" i="2"/>
  <c r="D5794" i="2"/>
  <c r="D7589" i="2"/>
  <c r="D1660" i="2"/>
  <c r="D9708" i="2"/>
  <c r="D12341" i="2"/>
  <c r="D3046" i="2"/>
  <c r="D5742" i="2"/>
  <c r="D13081" i="2"/>
  <c r="D7588" i="2"/>
  <c r="D2390" i="2"/>
  <c r="D7249" i="2"/>
  <c r="D11605" i="2"/>
  <c r="D4856" i="2"/>
  <c r="D12433" i="2"/>
  <c r="D9817" i="2"/>
  <c r="D5158" i="2"/>
  <c r="D2694" i="2"/>
  <c r="D6640" i="2"/>
  <c r="D13754" i="2"/>
  <c r="D13710" i="2"/>
  <c r="D9614" i="2"/>
  <c r="D7587" i="2"/>
  <c r="D9663" i="2"/>
  <c r="D2117" i="2"/>
  <c r="D13921" i="2"/>
  <c r="D355" i="2"/>
  <c r="D13075" i="2"/>
  <c r="D4546" i="2"/>
  <c r="D7586" i="2"/>
  <c r="D1668" i="2"/>
  <c r="D6607" i="2"/>
  <c r="D12375" i="2"/>
  <c r="D5675" i="2"/>
  <c r="D15006" i="2"/>
  <c r="D2389" i="2"/>
  <c r="D6856" i="2"/>
  <c r="D11944" i="2"/>
  <c r="D182" i="2"/>
  <c r="D3232" i="2"/>
  <c r="D10594" i="2"/>
  <c r="D2897" i="2"/>
  <c r="D6224" i="2"/>
  <c r="D983" i="2"/>
  <c r="D2315" i="2"/>
  <c r="D10770" i="2"/>
  <c r="D7585" i="2"/>
  <c r="D3502" i="2"/>
  <c r="D4863" i="2"/>
  <c r="D2726" i="2"/>
  <c r="D2314" i="2"/>
  <c r="D5674" i="2"/>
  <c r="D6289" i="2"/>
  <c r="D7459" i="2"/>
  <c r="D6449" i="2"/>
  <c r="D4735" i="2"/>
  <c r="D6751" i="2"/>
  <c r="D9820" i="2"/>
  <c r="D5741" i="2"/>
  <c r="D7584" i="2"/>
  <c r="D7069" i="2"/>
  <c r="D383" i="2"/>
  <c r="D2388" i="2"/>
  <c r="D3102" i="2"/>
  <c r="D6194" i="2"/>
  <c r="D7583" i="2"/>
  <c r="D10745" i="2"/>
  <c r="D5263" i="2"/>
  <c r="D4620" i="2"/>
  <c r="D10498" i="2"/>
  <c r="D7507" i="2"/>
  <c r="D7582" i="2"/>
  <c r="D9700" i="2"/>
  <c r="D11391" i="2"/>
  <c r="D12969" i="2"/>
  <c r="D3231" i="2"/>
  <c r="D7581" i="2"/>
  <c r="D13486" i="2"/>
  <c r="D5141" i="2"/>
  <c r="D7164" i="2"/>
  <c r="D13659" i="2"/>
  <c r="D9171" i="2"/>
  <c r="D10180" i="2"/>
  <c r="D4717" i="2"/>
  <c r="D14888" i="2"/>
  <c r="D11366" i="2"/>
  <c r="D10593" i="2"/>
  <c r="D7036" i="2"/>
  <c r="D9170" i="2"/>
  <c r="D11365" i="2"/>
  <c r="D10002" i="2"/>
  <c r="D3361" i="2"/>
  <c r="D14279" i="2"/>
  <c r="D10871" i="2"/>
  <c r="D1377" i="2"/>
  <c r="D10592" i="2"/>
  <c r="D7580" i="2"/>
  <c r="D14302" i="2"/>
  <c r="D6358" i="2"/>
  <c r="D11731" i="2"/>
  <c r="D4874" i="2"/>
  <c r="D14046" i="2"/>
  <c r="D1667" i="2"/>
  <c r="D11456" i="2"/>
  <c r="D6750" i="2"/>
  <c r="D6554" i="2"/>
  <c r="D15270" i="2"/>
  <c r="D487" i="2"/>
  <c r="D11661" i="2"/>
  <c r="D13074" i="2"/>
  <c r="D5589" i="2"/>
  <c r="D10769" i="2"/>
  <c r="D1659" i="2"/>
  <c r="D13069" i="2"/>
  <c r="D1881" i="2"/>
  <c r="D5620" i="2"/>
  <c r="D13243" i="2"/>
  <c r="D1406" i="2"/>
  <c r="D14436" i="2"/>
  <c r="D14887" i="2"/>
  <c r="D6749" i="2"/>
  <c r="D7579" i="2"/>
  <c r="D13576" i="2"/>
  <c r="D12527" i="2"/>
  <c r="D982" i="2"/>
  <c r="D13345" i="2"/>
  <c r="D13109" i="2"/>
  <c r="D7099" i="2"/>
  <c r="D5642" i="2"/>
  <c r="D87" i="2"/>
  <c r="D12948" i="2"/>
  <c r="D11455" i="2"/>
  <c r="D12514" i="2"/>
  <c r="D4637" i="2"/>
  <c r="D86" i="2"/>
  <c r="D12947" i="2"/>
  <c r="D6629" i="2"/>
  <c r="D14886" i="2"/>
  <c r="D11619" i="2"/>
  <c r="D6553" i="2"/>
  <c r="D9082" i="2"/>
  <c r="D10705" i="2"/>
  <c r="D9169" i="2"/>
  <c r="D3130" i="2"/>
  <c r="D10870" i="2"/>
  <c r="D9819" i="2"/>
  <c r="D13117" i="2"/>
  <c r="D13836" i="2"/>
  <c r="D14767" i="2"/>
  <c r="D11633" i="2"/>
  <c r="D6865" i="2"/>
  <c r="D5472" i="2"/>
  <c r="D5793" i="2"/>
  <c r="D2006" i="2"/>
  <c r="D7578" i="2"/>
  <c r="D14045" i="2"/>
  <c r="D3501" i="2"/>
  <c r="D12391" i="2"/>
  <c r="D14619" i="2"/>
  <c r="D10179" i="2"/>
  <c r="D3014" i="2"/>
  <c r="D12523" i="2"/>
  <c r="D6864" i="2"/>
  <c r="D9840" i="2"/>
  <c r="D11454" i="2"/>
  <c r="D14522" i="2"/>
  <c r="D4809" i="2"/>
  <c r="D11147" i="2"/>
  <c r="D6748" i="2"/>
  <c r="D2016" i="2"/>
  <c r="D13944" i="2"/>
  <c r="D12455" i="2"/>
  <c r="D4628" i="2"/>
  <c r="D7577" i="2"/>
  <c r="D9573" i="2"/>
  <c r="D3500" i="2"/>
  <c r="D5320" i="2"/>
  <c r="D6357" i="2"/>
  <c r="D11437" i="2"/>
  <c r="D228" i="2"/>
  <c r="D9168" i="2"/>
  <c r="D11400" i="2"/>
  <c r="D579" i="2"/>
  <c r="D5129" i="2"/>
  <c r="D3360" i="2"/>
  <c r="D11537" i="2"/>
  <c r="D9167" i="2"/>
  <c r="D13061" i="2"/>
  <c r="D13965" i="2"/>
  <c r="D7475" i="2"/>
  <c r="D11855" i="2"/>
  <c r="D3499" i="2"/>
  <c r="D6747" i="2"/>
  <c r="D13116" i="2"/>
  <c r="D11943" i="2"/>
  <c r="D13699" i="2"/>
  <c r="D7576" i="2"/>
  <c r="D10869" i="2"/>
  <c r="D2374" i="2"/>
  <c r="D14800" i="2"/>
  <c r="D1049" i="2"/>
  <c r="D645" i="2"/>
  <c r="D5792" i="2"/>
  <c r="D2693" i="2"/>
  <c r="D3498" i="2"/>
  <c r="D845" i="2"/>
  <c r="D4779" i="2"/>
  <c r="D15017" i="2"/>
  <c r="D5791" i="2"/>
  <c r="D11618" i="2"/>
  <c r="D13115" i="2"/>
  <c r="D1360" i="2"/>
  <c r="D7430" i="2"/>
  <c r="D3497" i="2"/>
  <c r="D5546" i="2"/>
  <c r="D6746" i="2"/>
  <c r="D3496" i="2"/>
  <c r="D3194" i="2"/>
  <c r="D5790" i="2"/>
  <c r="D13485" i="2"/>
  <c r="D7174" i="2"/>
  <c r="D9166" i="2"/>
  <c r="D338" i="2"/>
  <c r="D14820" i="2"/>
  <c r="D5789" i="2"/>
  <c r="D13926" i="2"/>
  <c r="D5198" i="2"/>
  <c r="D1293" i="2"/>
  <c r="D7575" i="2"/>
  <c r="D5788" i="2"/>
  <c r="D5493" i="2"/>
  <c r="D981" i="2"/>
  <c r="D10868" i="2"/>
  <c r="D6679" i="2"/>
  <c r="D5787" i="2"/>
  <c r="D2662" i="2"/>
  <c r="D2005" i="2"/>
  <c r="D7013" i="2"/>
  <c r="D6223" i="2"/>
  <c r="D11146" i="2"/>
  <c r="D11435" i="2"/>
  <c r="D5786" i="2"/>
  <c r="D1997" i="2"/>
  <c r="D7429" i="2"/>
  <c r="D3045" i="2"/>
  <c r="D2493" i="2"/>
  <c r="D1809" i="2"/>
  <c r="D7574" i="2"/>
  <c r="D5641" i="2"/>
  <c r="D10609" i="2"/>
  <c r="D7191" i="2"/>
  <c r="D15238" i="2"/>
  <c r="D644" i="2"/>
  <c r="D1838" i="2"/>
  <c r="D6516" i="2"/>
  <c r="D6730" i="2"/>
  <c r="D3495" i="2"/>
  <c r="D11847" i="2"/>
  <c r="D3494" i="2"/>
  <c r="D714" i="2"/>
  <c r="D12413" i="2"/>
  <c r="D6552" i="2"/>
  <c r="D12470" i="2"/>
  <c r="D6863" i="2"/>
  <c r="D7173" i="2"/>
  <c r="D2725" i="2"/>
  <c r="D14521" i="2"/>
  <c r="D10754" i="2"/>
  <c r="D5785" i="2"/>
  <c r="D9131" i="2"/>
  <c r="D271" i="2"/>
  <c r="D7062" i="2"/>
  <c r="D6671" i="2"/>
  <c r="D9165" i="2"/>
  <c r="D11252" i="2"/>
  <c r="D11674" i="2"/>
  <c r="D10694" i="2"/>
  <c r="D5439" i="2"/>
  <c r="D6288" i="2"/>
  <c r="D9164" i="2"/>
  <c r="D17" i="2"/>
  <c r="D12166" i="2"/>
  <c r="D660" i="2"/>
  <c r="D401" i="2"/>
  <c r="D4581" i="2"/>
  <c r="D7573" i="2"/>
  <c r="D10178" i="2"/>
  <c r="D1996" i="2"/>
  <c r="D14885" i="2"/>
  <c r="D329" i="2"/>
  <c r="D9149" i="2"/>
  <c r="D11942" i="2"/>
  <c r="D2724" i="2"/>
  <c r="D1666" i="2"/>
  <c r="D9143" i="2"/>
  <c r="D587" i="2"/>
  <c r="D10497" i="2"/>
  <c r="D3493" i="2"/>
  <c r="D5545" i="2"/>
  <c r="D2387" i="2"/>
  <c r="D9839" i="2"/>
  <c r="D5784" i="2"/>
  <c r="D14293" i="2"/>
  <c r="D5544" i="2"/>
  <c r="D10713" i="2"/>
  <c r="D3442" i="2"/>
  <c r="D5783" i="2"/>
  <c r="D14418" i="2"/>
  <c r="D14423" i="2"/>
  <c r="D12477" i="2"/>
  <c r="D10641" i="2"/>
  <c r="D6287" i="2"/>
  <c r="D13574" i="2"/>
  <c r="D3492" i="2"/>
  <c r="D5782" i="2"/>
  <c r="D6745" i="2"/>
  <c r="D6356" i="2"/>
  <c r="D12412" i="2"/>
  <c r="D3230" i="2"/>
  <c r="D159" i="2"/>
  <c r="D6345" i="2"/>
  <c r="D15242" i="2"/>
  <c r="D13594" i="2"/>
  <c r="D12165" i="2"/>
  <c r="D10177" i="2"/>
  <c r="D5369" i="2"/>
  <c r="D10176" i="2"/>
  <c r="D7572" i="2"/>
  <c r="D10175" i="2"/>
  <c r="D7193" i="2"/>
  <c r="D1079" i="2"/>
  <c r="D3491" i="2"/>
  <c r="D146" i="2"/>
  <c r="D1287" i="2"/>
  <c r="D6744" i="2"/>
  <c r="D1078" i="2"/>
  <c r="D2692" i="2"/>
  <c r="D25" i="2"/>
  <c r="D6448" i="2"/>
  <c r="D4716" i="2"/>
  <c r="D7571" i="2"/>
  <c r="D5630" i="2"/>
  <c r="D13567" i="2"/>
  <c r="D13593" i="2"/>
  <c r="D10485" i="2"/>
  <c r="D10867" i="2"/>
  <c r="D99" i="2"/>
  <c r="D14256" i="2"/>
  <c r="D3044" i="2"/>
  <c r="D7570" i="2"/>
  <c r="D6743" i="2"/>
  <c r="D158" i="2"/>
  <c r="D6344" i="2"/>
  <c r="D3193" i="2"/>
  <c r="D11838" i="2"/>
  <c r="D3490" i="2"/>
  <c r="D3489" i="2"/>
  <c r="D7569" i="2"/>
  <c r="D2386" i="2"/>
  <c r="D9163" i="2"/>
  <c r="D10689" i="2"/>
  <c r="D562" i="2"/>
  <c r="D10866" i="2"/>
  <c r="D13114" i="2"/>
  <c r="D639" i="2"/>
  <c r="D6670" i="2"/>
  <c r="D3438" i="2"/>
  <c r="D65" i="2"/>
  <c r="D7004" i="2"/>
  <c r="D13113" i="2"/>
  <c r="D13112" i="2"/>
  <c r="D1665" i="2"/>
  <c r="D10174" i="2"/>
  <c r="D12476" i="2"/>
  <c r="D9162" i="2"/>
  <c r="D349" i="2"/>
  <c r="D844" i="2"/>
  <c r="D1077" i="2"/>
  <c r="D121" i="2"/>
  <c r="D5781" i="2"/>
  <c r="D5780" i="2"/>
  <c r="D7568" i="2"/>
  <c r="D12164" i="2"/>
  <c r="D3359" i="2"/>
  <c r="D2947" i="2"/>
  <c r="D399" i="2"/>
  <c r="D14029" i="2"/>
  <c r="D11941" i="2"/>
  <c r="D15016" i="2"/>
  <c r="D178" i="2"/>
  <c r="D231" i="2"/>
  <c r="D4915" i="2"/>
  <c r="D10102" i="2"/>
  <c r="D14334" i="2"/>
  <c r="D502" i="2"/>
  <c r="D2116" i="2"/>
  <c r="D2723" i="2"/>
  <c r="D6273" i="2"/>
  <c r="D5779" i="2"/>
  <c r="D3331" i="2"/>
  <c r="D3440" i="2"/>
  <c r="D5778" i="2"/>
  <c r="D11145" i="2"/>
  <c r="D6742" i="2"/>
  <c r="D12475" i="2"/>
  <c r="D14799" i="2"/>
  <c r="D12108" i="2"/>
  <c r="D5777" i="2"/>
  <c r="D13931" i="2"/>
  <c r="D11399" i="2"/>
  <c r="D10865" i="2"/>
  <c r="D3313" i="2"/>
  <c r="D9829" i="2"/>
  <c r="D14855" i="2"/>
  <c r="D6848" i="2"/>
  <c r="D11251" i="2"/>
  <c r="D5157" i="2"/>
  <c r="D4627" i="2"/>
  <c r="D9161" i="2"/>
  <c r="D11536" i="2"/>
  <c r="D9838" i="2"/>
  <c r="D9673" i="2"/>
  <c r="D10173" i="2"/>
  <c r="D11592" i="2"/>
  <c r="D1076" i="2"/>
  <c r="D14520" i="2"/>
  <c r="D6222" i="2"/>
  <c r="D9160" i="2"/>
  <c r="D7567" i="2"/>
  <c r="D3488" i="2"/>
  <c r="D9654" i="2"/>
  <c r="D410" i="2"/>
  <c r="D6355" i="2"/>
  <c r="D5311" i="2"/>
  <c r="D13159" i="2"/>
  <c r="D3487" i="2"/>
  <c r="D14618" i="2"/>
  <c r="D1286" i="2"/>
  <c r="D13685" i="2"/>
  <c r="D2684" i="2"/>
  <c r="D4914" i="2"/>
  <c r="D11940" i="2"/>
  <c r="D14315" i="2"/>
  <c r="D13753" i="2"/>
  <c r="D14519" i="2"/>
  <c r="D74" i="2"/>
  <c r="D10699" i="2"/>
  <c r="D7073" i="2"/>
  <c r="D10172" i="2"/>
  <c r="D13903" i="2"/>
  <c r="D5776" i="2"/>
  <c r="D12163" i="2"/>
  <c r="D7566" i="2"/>
  <c r="D2722" i="2"/>
  <c r="D7565" i="2"/>
  <c r="D12330" i="2"/>
  <c r="D711" i="2"/>
  <c r="D7564" i="2"/>
  <c r="D3486" i="2"/>
  <c r="D13380" i="2"/>
  <c r="D7172" i="2"/>
  <c r="D1359" i="2"/>
  <c r="D7484" i="2"/>
  <c r="D7563" i="2"/>
  <c r="D10171" i="2"/>
  <c r="D10170" i="2"/>
  <c r="D7098" i="2"/>
  <c r="D2115" i="2"/>
  <c r="D1292" i="2"/>
  <c r="D12469" i="2"/>
  <c r="D13575" i="2"/>
  <c r="D9159" i="2"/>
  <c r="D3229" i="2"/>
  <c r="D14791" i="2"/>
  <c r="D6639" i="2"/>
  <c r="D5156" i="2"/>
  <c r="D5775" i="2"/>
  <c r="D12474" i="2"/>
  <c r="D10657" i="2"/>
  <c r="D10842" i="2"/>
  <c r="D13602" i="2"/>
  <c r="D1358" i="2"/>
  <c r="D2313" i="2"/>
  <c r="D10169" i="2"/>
  <c r="D51" i="2"/>
  <c r="D10698" i="2"/>
  <c r="D15015" i="2"/>
  <c r="D9608" i="2"/>
  <c r="D3485" i="2"/>
  <c r="D13073" i="2"/>
  <c r="D3320" i="2"/>
  <c r="D13679" i="2"/>
  <c r="D10531" i="2"/>
  <c r="D13045" i="2"/>
  <c r="D9837" i="2"/>
  <c r="D152" i="2"/>
  <c r="D9158" i="2"/>
  <c r="D7252" i="2"/>
  <c r="D6354" i="2"/>
  <c r="D3484" i="2"/>
  <c r="D6447" i="2"/>
  <c r="D7078" i="2"/>
  <c r="D14044" i="2"/>
  <c r="D2642" i="2"/>
  <c r="D15014" i="2"/>
  <c r="D3483" i="2"/>
  <c r="D7562" i="2"/>
  <c r="D6992" i="2"/>
  <c r="D561" i="2"/>
  <c r="D11535" i="2"/>
  <c r="D5697" i="2"/>
  <c r="D13955" i="2"/>
  <c r="D5774" i="2"/>
  <c r="D10085" i="2"/>
  <c r="D11746" i="2"/>
  <c r="D167" i="2"/>
  <c r="D6353" i="2"/>
  <c r="D14798" i="2"/>
  <c r="D3482" i="2"/>
  <c r="D5226" i="2"/>
  <c r="D80" i="2"/>
  <c r="D9087" i="2"/>
  <c r="D1075" i="2"/>
  <c r="D7016" i="2"/>
  <c r="D11939" i="2"/>
  <c r="D7561" i="2"/>
  <c r="D11453" i="2"/>
  <c r="D6636" i="2"/>
  <c r="D7560" i="2"/>
  <c r="D7428" i="2"/>
  <c r="D14617" i="2"/>
  <c r="D5773" i="2"/>
  <c r="D5539" i="2"/>
  <c r="D12454" i="2"/>
  <c r="D7559" i="2"/>
  <c r="D3330" i="2"/>
  <c r="D11144" i="2"/>
  <c r="D7485" i="2"/>
  <c r="D603" i="2"/>
  <c r="D14790" i="2"/>
  <c r="D4873" i="2"/>
  <c r="D5543" i="2"/>
  <c r="D10142" i="2"/>
  <c r="D5411" i="2"/>
  <c r="D4567" i="2"/>
  <c r="D9157" i="2"/>
  <c r="D4771" i="2"/>
  <c r="D537" i="2"/>
  <c r="D1187" i="2"/>
  <c r="D5772" i="2"/>
  <c r="D13820" i="2"/>
  <c r="D420" i="2"/>
  <c r="D5771" i="2"/>
  <c r="D10625" i="2"/>
  <c r="D14333" i="2"/>
  <c r="D10354" i="2"/>
  <c r="D3481" i="2"/>
  <c r="D12505" i="2"/>
  <c r="D5028" i="2"/>
  <c r="D3480" i="2"/>
  <c r="D2641" i="2"/>
  <c r="D13158" i="2"/>
  <c r="D5428" i="2"/>
  <c r="D4792" i="2"/>
  <c r="D15013" i="2"/>
  <c r="D4669" i="2"/>
  <c r="D15269" i="2"/>
  <c r="D7558" i="2"/>
  <c r="D9156" i="2"/>
  <c r="D11250" i="2"/>
  <c r="D9142" i="2"/>
  <c r="D5770" i="2"/>
  <c r="D5638" i="2"/>
  <c r="D13242" i="2"/>
  <c r="D11863" i="2"/>
  <c r="D6551" i="2"/>
  <c r="D7427" i="2"/>
  <c r="D9132" i="2"/>
  <c r="D9155" i="2"/>
  <c r="D14518" i="2"/>
  <c r="D3228" i="2"/>
  <c r="D12473" i="2"/>
  <c r="D13698" i="2"/>
  <c r="D5450" i="2"/>
  <c r="D5769" i="2"/>
  <c r="D1186" i="2"/>
  <c r="D5213" i="2"/>
  <c r="D10168" i="2"/>
  <c r="D7557" i="2"/>
  <c r="D10579" i="2"/>
  <c r="D10768" i="2"/>
  <c r="D3358" i="2"/>
  <c r="D2638" i="2"/>
  <c r="D10823" i="2"/>
  <c r="D5768" i="2"/>
  <c r="D6" i="2"/>
  <c r="D2312" i="2"/>
  <c r="D1357" i="2"/>
  <c r="D13336" i="2"/>
  <c r="D302" i="2"/>
  <c r="D3013" i="2"/>
  <c r="D6201" i="2"/>
  <c r="D13902" i="2"/>
  <c r="D2385" i="2"/>
  <c r="D419" i="2"/>
  <c r="D14616" i="2"/>
  <c r="D2114" i="2"/>
  <c r="D5202" i="2"/>
  <c r="D6352" i="2"/>
  <c r="D14615" i="2"/>
  <c r="D11938" i="2"/>
  <c r="D10864" i="2"/>
  <c r="D10167" i="2"/>
  <c r="D2686" i="2"/>
  <c r="D3227" i="2"/>
  <c r="D14797" i="2"/>
  <c r="D1291" i="2"/>
  <c r="D7385" i="2"/>
  <c r="D9130" i="2"/>
  <c r="D12968" i="2"/>
  <c r="D980" i="2"/>
  <c r="D3479" i="2"/>
  <c r="D13063" i="2"/>
  <c r="D4775" i="2"/>
  <c r="D2556" i="2"/>
  <c r="D4689" i="2"/>
  <c r="D3012" i="2"/>
  <c r="D6550" i="2"/>
  <c r="D9734" i="2"/>
  <c r="D5269" i="2"/>
  <c r="D10816" i="2"/>
  <c r="D10166" i="2"/>
  <c r="D3357" i="2"/>
  <c r="D5767" i="2"/>
  <c r="D9154" i="2"/>
  <c r="D7556" i="2"/>
  <c r="D2384" i="2"/>
  <c r="D666" i="2"/>
  <c r="D55" i="2"/>
  <c r="D1074" i="2"/>
  <c r="D3478" i="2"/>
  <c r="D13136" i="2"/>
  <c r="D5206" i="2"/>
  <c r="D1995" i="2"/>
  <c r="D7555" i="2"/>
  <c r="D11443" i="2"/>
  <c r="D1940" i="2"/>
  <c r="D5766" i="2"/>
  <c r="D14037" i="2"/>
  <c r="D2587" i="2"/>
  <c r="D1185" i="2"/>
  <c r="D4803" i="2"/>
  <c r="D11452" i="2"/>
  <c r="D3226" i="2"/>
  <c r="D3038" i="2"/>
  <c r="D11920" i="2"/>
  <c r="D3477" i="2"/>
  <c r="D1290" i="2"/>
  <c r="D14369" i="2"/>
  <c r="D14332" i="2"/>
  <c r="D924" i="2"/>
  <c r="D133" i="2"/>
  <c r="D13310" i="2"/>
  <c r="D10576" i="2"/>
  <c r="D3225" i="2"/>
  <c r="D5399" i="2"/>
  <c r="D5542" i="2"/>
  <c r="D631" i="2"/>
  <c r="D7451" i="2"/>
  <c r="D5765" i="2"/>
  <c r="D34" i="2"/>
  <c r="D13072" i="2"/>
  <c r="D205" i="2"/>
  <c r="D83" i="2"/>
  <c r="D573" i="2"/>
  <c r="D4980" i="2"/>
  <c r="D5700" i="2"/>
  <c r="D14859" i="2"/>
  <c r="D7554" i="2"/>
  <c r="D7384" i="2"/>
  <c r="D7082" i="2"/>
  <c r="D14884" i="2"/>
  <c r="D3476" i="2"/>
  <c r="D4913" i="2"/>
  <c r="D713" i="2"/>
  <c r="D418" i="2"/>
  <c r="D7553" i="2"/>
  <c r="D11352" i="2"/>
  <c r="D5724" i="2"/>
  <c r="D4838" i="2"/>
  <c r="D6991" i="2"/>
  <c r="D11451" i="2"/>
  <c r="D3475" i="2"/>
  <c r="D6286" i="2"/>
  <c r="D1184" i="2"/>
  <c r="D11450" i="2"/>
  <c r="D3043" i="2"/>
  <c r="D12561" i="2"/>
  <c r="D10353" i="2"/>
  <c r="D5645" i="2"/>
  <c r="D7552" i="2"/>
  <c r="D12107" i="2"/>
  <c r="D14043" i="2"/>
  <c r="D5449" i="2"/>
  <c r="D3125" i="2"/>
  <c r="D10863" i="2"/>
  <c r="D1503" i="2"/>
  <c r="D1969" i="2"/>
  <c r="D13003" i="2"/>
  <c r="D13592" i="2"/>
  <c r="D10165" i="2"/>
  <c r="D11143" i="2"/>
  <c r="D9705" i="2"/>
  <c r="D7125" i="2"/>
  <c r="D5764" i="2"/>
  <c r="D9733" i="2"/>
  <c r="D501" i="2"/>
  <c r="D5763" i="2"/>
  <c r="D328" i="2"/>
  <c r="D12106" i="2"/>
  <c r="D10164" i="2"/>
  <c r="D310" i="2"/>
  <c r="D11249" i="2"/>
  <c r="D7551" i="2"/>
  <c r="D7550" i="2"/>
  <c r="D13988" i="2"/>
  <c r="D5629" i="2"/>
  <c r="D5762" i="2"/>
  <c r="D4979" i="2"/>
  <c r="D12560" i="2"/>
  <c r="D12446" i="2"/>
  <c r="D5368" i="2"/>
  <c r="D1183" i="2"/>
  <c r="D11794" i="2"/>
  <c r="D13927" i="2"/>
  <c r="D3352" i="2"/>
  <c r="D7549" i="2"/>
  <c r="D9613" i="2"/>
  <c r="D9771" i="2"/>
  <c r="D11937" i="2"/>
  <c r="D9558" i="2"/>
  <c r="D2311" i="2"/>
  <c r="D7548" i="2"/>
  <c r="D3143" i="2"/>
  <c r="D7547" i="2"/>
  <c r="D13908" i="2"/>
  <c r="D12340" i="2"/>
  <c r="D2022" i="2"/>
  <c r="D10862" i="2"/>
  <c r="D197" i="2"/>
  <c r="D5347" i="2"/>
  <c r="D3474" i="2"/>
  <c r="D193" i="2"/>
  <c r="D3473" i="2"/>
  <c r="D486" i="2"/>
  <c r="D5143" i="2"/>
  <c r="D375" i="2"/>
  <c r="D5761" i="2"/>
  <c r="D13484" i="2"/>
  <c r="D14035" i="2"/>
  <c r="D10163" i="2"/>
  <c r="D365" i="2"/>
  <c r="D10767" i="2"/>
  <c r="D3339" i="2"/>
  <c r="D2721" i="2"/>
  <c r="D11652" i="2"/>
  <c r="D4948" i="2"/>
  <c r="D7248" i="2"/>
  <c r="D6716" i="2"/>
  <c r="D3472" i="2"/>
  <c r="D11936" i="2"/>
  <c r="D5367" i="2"/>
  <c r="D3471" i="2"/>
  <c r="D6193" i="2"/>
  <c r="D12967" i="2"/>
  <c r="D4972" i="2"/>
  <c r="D10141" i="2"/>
  <c r="D233" i="2"/>
  <c r="D13887" i="2"/>
  <c r="D10162" i="2"/>
  <c r="D12092" i="2"/>
  <c r="D2720" i="2"/>
  <c r="D11673" i="2"/>
  <c r="D216" i="2"/>
  <c r="D12105" i="2"/>
  <c r="D4872" i="2"/>
  <c r="D7546" i="2"/>
  <c r="D1289" i="2"/>
  <c r="D6741" i="2"/>
  <c r="D4715" i="2"/>
  <c r="D11449" i="2"/>
  <c r="D13601" i="2"/>
  <c r="D10101" i="2"/>
  <c r="D10861" i="2"/>
  <c r="D6912" i="2"/>
  <c r="D10658" i="2"/>
  <c r="D7339" i="2"/>
  <c r="D5438" i="2"/>
  <c r="D7450" i="2"/>
  <c r="D7449" i="2"/>
  <c r="D9704" i="2"/>
  <c r="D220" i="2"/>
  <c r="D3470" i="2"/>
  <c r="D10860" i="2"/>
  <c r="D2691" i="2"/>
  <c r="D4802" i="2"/>
  <c r="D4888" i="2"/>
  <c r="D7338" i="2"/>
  <c r="D6200" i="2"/>
  <c r="D14042" i="2"/>
  <c r="D7246" i="2"/>
  <c r="D1842" i="2"/>
  <c r="D70" i="2"/>
  <c r="D14041" i="2"/>
  <c r="D13068" i="2"/>
  <c r="D2113" i="2"/>
  <c r="D655" i="2"/>
  <c r="D5760" i="2"/>
  <c r="D11745" i="2"/>
  <c r="D199" i="2"/>
  <c r="D10648" i="2"/>
  <c r="D5258" i="2"/>
  <c r="D6255" i="2"/>
  <c r="D11140" i="2"/>
  <c r="D2719" i="2"/>
  <c r="D843" i="2"/>
  <c r="D7195" i="2"/>
  <c r="D122" i="2"/>
  <c r="D10753" i="2"/>
  <c r="D12526" i="2"/>
  <c r="D397" i="2"/>
  <c r="D12472" i="2"/>
  <c r="D6264" i="2"/>
  <c r="D1902" i="2"/>
  <c r="D5696" i="2"/>
  <c r="D14457" i="2"/>
  <c r="D2047" i="2"/>
  <c r="D3168" i="2"/>
  <c r="D7545" i="2"/>
  <c r="D6337" i="2"/>
  <c r="D1782" i="2"/>
  <c r="D14476" i="2"/>
  <c r="D10161" i="2"/>
  <c r="D10608" i="2"/>
  <c r="D3356" i="2"/>
  <c r="D13924" i="2"/>
  <c r="D2586" i="2"/>
  <c r="D324" i="2"/>
  <c r="D7532" i="2"/>
  <c r="D1808" i="2"/>
  <c r="D7544" i="2"/>
  <c r="D10824" i="2"/>
  <c r="D337" i="2"/>
  <c r="D12162" i="2"/>
  <c r="D9807" i="2"/>
  <c r="D7543" i="2"/>
  <c r="D10624" i="2"/>
  <c r="D6199" i="2"/>
  <c r="D7061" i="2"/>
  <c r="D11604" i="2"/>
  <c r="D10520" i="2"/>
  <c r="D2685" i="2"/>
  <c r="D2551" i="2"/>
  <c r="D10036" i="2"/>
  <c r="D3329" i="2"/>
  <c r="D39" i="2"/>
  <c r="D2614" i="2"/>
  <c r="D4945" i="2"/>
  <c r="D210" i="2"/>
  <c r="D6285" i="2"/>
  <c r="D14796" i="2"/>
  <c r="D14412" i="2"/>
  <c r="D1501" i="2"/>
  <c r="D7542" i="2"/>
  <c r="D12161" i="2"/>
  <c r="D9798" i="2"/>
  <c r="D4887" i="2"/>
  <c r="D14301" i="2"/>
  <c r="D5759" i="2"/>
  <c r="D10591" i="2"/>
  <c r="D9836" i="2"/>
  <c r="D3439" i="2"/>
  <c r="D1285" i="2"/>
  <c r="D615" i="2"/>
  <c r="D2383" i="2"/>
  <c r="D11907" i="2"/>
  <c r="D283" i="2"/>
  <c r="D653" i="2"/>
  <c r="D2896" i="2"/>
  <c r="D3469" i="2"/>
  <c r="D14466" i="2"/>
  <c r="D9153" i="2"/>
  <c r="D10160" i="2"/>
  <c r="D10159" i="2"/>
  <c r="D7183" i="2"/>
  <c r="D2382" i="2"/>
  <c r="D1356" i="2"/>
  <c r="D14795" i="2"/>
  <c r="D2112" i="2"/>
  <c r="D10859" i="2"/>
  <c r="D15257" i="2"/>
  <c r="D13154" i="2"/>
  <c r="D9090" i="2"/>
  <c r="D1841" i="2"/>
  <c r="D9144" i="2"/>
  <c r="D13067" i="2"/>
  <c r="D5758" i="2"/>
  <c r="D500" i="2"/>
  <c r="D13676" i="2"/>
  <c r="D10352" i="2"/>
  <c r="D3468" i="2"/>
  <c r="D10150" i="2"/>
  <c r="D499" i="2"/>
  <c r="D13641" i="2"/>
  <c r="D14039" i="2"/>
  <c r="D154" i="2"/>
  <c r="D13099" i="2"/>
  <c r="D10560" i="2"/>
  <c r="D11779" i="2"/>
  <c r="D13111" i="2"/>
  <c r="D2111" i="2"/>
  <c r="D2640" i="2"/>
  <c r="D11796" i="2"/>
  <c r="D12966" i="2"/>
  <c r="D11744" i="2"/>
  <c r="D5757" i="2"/>
  <c r="D10707" i="2"/>
  <c r="D144" i="2"/>
  <c r="D10766" i="2"/>
  <c r="D5756" i="2"/>
  <c r="D14794" i="2"/>
  <c r="D10351" i="2"/>
  <c r="D3192" i="2"/>
  <c r="D4912" i="2"/>
  <c r="D3351" i="2"/>
  <c r="D5693" i="2"/>
  <c r="D12432" i="2"/>
  <c r="D347" i="2"/>
  <c r="D11935" i="2"/>
  <c r="D7541" i="2"/>
  <c r="D6678" i="2"/>
  <c r="D9646" i="2"/>
  <c r="D6446" i="2"/>
  <c r="D314" i="2"/>
  <c r="D3142" i="2"/>
  <c r="D79" i="2"/>
  <c r="D11919" i="2"/>
  <c r="D3129" i="2"/>
  <c r="D12104" i="2"/>
  <c r="D1284" i="2"/>
  <c r="D7540" i="2"/>
  <c r="D353" i="2"/>
  <c r="D10484" i="2"/>
  <c r="D13157" i="2"/>
  <c r="D12962" i="2"/>
  <c r="D11642" i="2"/>
  <c r="D10070" i="2"/>
  <c r="D536" i="2"/>
  <c r="D1835" i="2"/>
  <c r="D14789" i="2"/>
  <c r="D14030" i="2"/>
  <c r="D10647" i="2"/>
  <c r="D13153" i="2"/>
  <c r="D15241" i="2"/>
  <c r="D5755" i="2"/>
  <c r="D7448" i="2"/>
  <c r="D14788" i="2"/>
  <c r="D5754" i="2"/>
  <c r="D12393" i="2"/>
  <c r="D415" i="2"/>
  <c r="D244" i="2"/>
  <c r="D198" i="2"/>
  <c r="D1288" i="2"/>
  <c r="D15246" i="2"/>
  <c r="D6686" i="2"/>
  <c r="D5753" i="2"/>
  <c r="D4935" i="2"/>
  <c r="D6740" i="2"/>
  <c r="D11934" i="2"/>
  <c r="D4577" i="2"/>
  <c r="D12846" i="2"/>
  <c r="D2659" i="2"/>
  <c r="D6507" i="2"/>
  <c r="D9152" i="2"/>
  <c r="D5728" i="2"/>
  <c r="D5294" i="2"/>
  <c r="D256" i="2"/>
  <c r="D13299" i="2"/>
  <c r="D7539" i="2"/>
  <c r="D6198" i="2"/>
  <c r="D3170" i="2"/>
  <c r="D6621" i="2"/>
  <c r="D10158" i="2"/>
  <c r="D2661" i="2"/>
  <c r="D11797" i="2"/>
  <c r="D6445" i="2"/>
  <c r="D6221" i="2"/>
  <c r="D10706" i="2"/>
  <c r="D3467" i="2"/>
  <c r="D2620" i="2"/>
  <c r="D10697" i="2"/>
  <c r="D12367" i="2"/>
  <c r="D417" i="2"/>
  <c r="D5498" i="2"/>
  <c r="D13108" i="2"/>
  <c r="D4714" i="2"/>
  <c r="D10157" i="2"/>
  <c r="D9662" i="2"/>
  <c r="D7" i="2"/>
  <c r="D336" i="2"/>
  <c r="D2489" i="2"/>
  <c r="D13764" i="2"/>
  <c r="D13241" i="2"/>
  <c r="D7245" i="2"/>
  <c r="D1848" i="2"/>
  <c r="D2021" i="2"/>
  <c r="D2718" i="2"/>
  <c r="D7067" i="2"/>
  <c r="D2473" i="2"/>
  <c r="D12160" i="2"/>
  <c r="D7060" i="2"/>
  <c r="D3011" i="2"/>
  <c r="D2492" i="2"/>
  <c r="D10480" i="2"/>
  <c r="D3087" i="2"/>
  <c r="D6729" i="2"/>
  <c r="D9835" i="2"/>
  <c r="D5128" i="2"/>
  <c r="D7538" i="2"/>
  <c r="D5752" i="2"/>
  <c r="D4886" i="2"/>
  <c r="D2381" i="2"/>
  <c r="D117" i="2"/>
  <c r="D165" i="2"/>
  <c r="D9151" i="2"/>
  <c r="D13080" i="2"/>
  <c r="D12545" i="2"/>
  <c r="D10350" i="2"/>
  <c r="D2717" i="2"/>
  <c r="D15317" i="2"/>
  <c r="D323" i="2"/>
  <c r="D7537" i="2"/>
  <c r="D10858" i="2"/>
  <c r="D409" i="2"/>
  <c r="D5628" i="2"/>
  <c r="D175" i="2"/>
  <c r="D12516" i="2"/>
  <c r="D14292" i="2"/>
  <c r="D7171" i="2"/>
  <c r="D10496" i="2"/>
  <c r="D12965" i="2"/>
  <c r="D11534" i="2"/>
  <c r="D14368" i="2"/>
  <c r="D166" i="2"/>
  <c r="D7536" i="2"/>
  <c r="D9593" i="2"/>
  <c r="D498" i="2"/>
  <c r="D249" i="2"/>
  <c r="D10857" i="2"/>
  <c r="D11335" i="2"/>
  <c r="D11641" i="2"/>
  <c r="D4636" i="2"/>
  <c r="D13646" i="2"/>
  <c r="D1182" i="2"/>
  <c r="D1283" i="2"/>
  <c r="D13707" i="2"/>
  <c r="D5709" i="2"/>
  <c r="D6351" i="2"/>
  <c r="D388" i="2"/>
  <c r="D4949" i="2"/>
  <c r="D12958" i="2"/>
  <c r="D14331" i="2"/>
  <c r="D7380" i="2"/>
  <c r="D269" i="2"/>
  <c r="D5541" i="2"/>
  <c r="D185" i="2"/>
  <c r="D11671" i="2"/>
  <c r="D13871" i="2"/>
  <c r="D13240" i="2"/>
  <c r="D11862" i="2"/>
  <c r="D13706" i="2"/>
  <c r="D5626" i="2"/>
  <c r="D14040" i="2"/>
  <c r="D12374" i="2"/>
  <c r="D10084" i="2"/>
  <c r="D9150" i="2"/>
  <c r="D1502" i="2"/>
  <c r="D5751" i="2"/>
  <c r="D9086" i="2"/>
  <c r="D9141" i="2"/>
  <c r="D10530" i="2"/>
  <c r="D179" i="2"/>
  <c r="D11448" i="2"/>
  <c r="D6635" i="2"/>
  <c r="D5750" i="2"/>
  <c r="D5434" i="2"/>
  <c r="D9556" i="2"/>
  <c r="D13102" i="2"/>
  <c r="D12088" i="2"/>
  <c r="D116" i="2"/>
  <c r="D12366" i="2"/>
  <c r="D12471" i="2"/>
  <c r="D11617" i="2"/>
  <c r="D258" i="2"/>
  <c r="D7535" i="2"/>
  <c r="D5749" i="2"/>
  <c r="D14589" i="2"/>
  <c r="D4899" i="2"/>
  <c r="D5307" i="2"/>
  <c r="D2010" i="2"/>
  <c r="D5748" i="2"/>
  <c r="D9711" i="2"/>
  <c r="D1968" i="2"/>
  <c r="D13044" i="2"/>
  <c r="D3137" i="2"/>
  <c r="D15012" i="2"/>
  <c r="D7079" i="2"/>
  <c r="D132" i="2"/>
  <c r="D11660" i="2"/>
  <c r="D188" i="2"/>
  <c r="D6728" i="2"/>
</calcChain>
</file>

<file path=xl/sharedStrings.xml><?xml version="1.0" encoding="utf-8"?>
<sst xmlns="http://schemas.openxmlformats.org/spreadsheetml/2006/main" count="127689" uniqueCount="8167">
  <si>
    <r>
      <t>IPI numbers</t>
    </r>
    <r>
      <rPr>
        <vertAlign val="superscript"/>
        <sz val="9"/>
        <color indexed="8"/>
        <rFont val="Arial Unicode MS"/>
        <family val="3"/>
        <charset val="128"/>
      </rPr>
      <t>a</t>
    </r>
    <phoneticPr fontId="3"/>
  </si>
  <si>
    <t>Peptide sequence</t>
    <phoneticPr fontId="3"/>
  </si>
  <si>
    <t>m/z</t>
  </si>
  <si>
    <r>
      <t>Score</t>
    </r>
    <r>
      <rPr>
        <vertAlign val="superscript"/>
        <sz val="9"/>
        <color indexed="8"/>
        <rFont val="Arial Unicode MS"/>
        <family val="3"/>
        <charset val="128"/>
      </rPr>
      <t>b</t>
    </r>
    <phoneticPr fontId="3"/>
  </si>
  <si>
    <t>Delta_Score</t>
  </si>
  <si>
    <t>Charge</t>
  </si>
  <si>
    <r>
      <t>Experiment</t>
    </r>
    <r>
      <rPr>
        <vertAlign val="superscript"/>
        <sz val="9"/>
        <color indexed="8"/>
        <rFont val="Arial Unicode MS"/>
        <family val="3"/>
        <charset val="128"/>
      </rPr>
      <t>c</t>
    </r>
    <phoneticPr fontId="3"/>
  </si>
  <si>
    <r>
      <t>Mod_Val</t>
    </r>
    <r>
      <rPr>
        <vertAlign val="superscript"/>
        <sz val="9"/>
        <color indexed="8"/>
        <rFont val="Arial Unicode MS"/>
        <family val="3"/>
        <charset val="128"/>
      </rPr>
      <t>d</t>
    </r>
    <phoneticPr fontId="3"/>
  </si>
  <si>
    <r>
      <t>Mod_Fixed</t>
    </r>
    <r>
      <rPr>
        <vertAlign val="superscript"/>
        <sz val="9"/>
        <color indexed="8"/>
        <rFont val="Arial Unicode MS"/>
        <family val="3"/>
        <charset val="128"/>
      </rPr>
      <t>e</t>
    </r>
    <phoneticPr fontId="3"/>
  </si>
  <si>
    <t>Exp. 1 DF</t>
  </si>
  <si>
    <t>Exp. 1 WT</t>
  </si>
  <si>
    <t>Exp. 2 DF</t>
  </si>
  <si>
    <t>Exp. 2 WT</t>
  </si>
  <si>
    <t>Exp. 3 DF</t>
  </si>
  <si>
    <t>Exp. 3 WT</t>
  </si>
  <si>
    <t>AFVEFLTDEIKEEK</t>
  </si>
  <si>
    <t>NQLTDVDEIPSK</t>
  </si>
  <si>
    <t>ACAEALGSLK</t>
  </si>
  <si>
    <t>LPELAMTGPHLR</t>
  </si>
  <si>
    <t>AITGASLADIMAK</t>
  </si>
  <si>
    <t>VVEEDPQQQAR</t>
  </si>
  <si>
    <t>EDIMVMDTKLK</t>
  </si>
  <si>
    <t>ELSTTLNADEAVTR</t>
  </si>
  <si>
    <t>YSTDVSVDEVK</t>
  </si>
  <si>
    <t>QYADVEGF</t>
  </si>
  <si>
    <t>LGEHNINVLEGNEQFIDAAK</t>
  </si>
  <si>
    <t>LLEGEECR</t>
  </si>
  <si>
    <t>RVESPVLPPVLVPR</t>
  </si>
  <si>
    <t>RIQLVEEELDR</t>
  </si>
  <si>
    <t>CDNPTPNPAEVR</t>
  </si>
  <si>
    <t>GHDDHVITCLQFCGNR</t>
  </si>
  <si>
    <t>IAGESMAIR</t>
  </si>
  <si>
    <t>ENISEWR</t>
  </si>
  <si>
    <t>LGIHEDSQNR</t>
  </si>
  <si>
    <t>WQFDIECDK</t>
  </si>
  <si>
    <t>APSSGVVLCLTK</t>
  </si>
  <si>
    <t>QTQTFTTYSDNQPGVLIQVYEGER</t>
  </si>
  <si>
    <t>VHIGQVIMSIR</t>
  </si>
  <si>
    <t>ESSQEGSTSDRSILSR</t>
  </si>
  <si>
    <t>FDAGELITQR</t>
  </si>
  <si>
    <t>INEAIVAVQAIIADPK</t>
  </si>
  <si>
    <t>VLTEIIASR</t>
  </si>
  <si>
    <t>EQVPIVWGELSLER</t>
  </si>
  <si>
    <t>DNLTLWTSDQQDDDGGEGNN</t>
  </si>
  <si>
    <t>NFDEILR</t>
  </si>
  <si>
    <t>GLLQSGQIPGR</t>
  </si>
  <si>
    <t>VAPEEHPVLLTEAPLNPK</t>
  </si>
  <si>
    <t>QLDEPKLDR</t>
  </si>
  <si>
    <t>SIYYITGESK</t>
  </si>
  <si>
    <t>VDFPQDQLATLTGR</t>
  </si>
  <si>
    <t>TAEWYNIDFSLQNQLR</t>
  </si>
  <si>
    <t>TLSFGSDLNYATR</t>
  </si>
  <si>
    <t>TYIPPKGETK</t>
  </si>
  <si>
    <t>SLNNKFASFIDK</t>
  </si>
  <si>
    <t>SLNNQFASFIDK</t>
  </si>
  <si>
    <t>QWGWTQGR</t>
  </si>
  <si>
    <t>VGGVAAAAAVTPAGAVK</t>
  </si>
  <si>
    <t>EPDDMGNLK</t>
  </si>
  <si>
    <t>LGEHNINVLEGNEQFVNSAK</t>
  </si>
  <si>
    <t>STNAVNVQDPPQTK</t>
  </si>
  <si>
    <t>FDDKPDYSYLR</t>
  </si>
  <si>
    <t>AKVEFNIR</t>
  </si>
  <si>
    <t>FLQTIKDIASAIK</t>
  </si>
  <si>
    <t>AIVAIENPADVSVISSR</t>
  </si>
  <si>
    <t>MDAEELSPVK</t>
  </si>
  <si>
    <t>SLDLDSIIAEVK</t>
  </si>
  <si>
    <t>TFSWASVTSK</t>
  </si>
  <si>
    <t>IWHHTFYNELR</t>
  </si>
  <si>
    <t>AGFAGDDAPR</t>
  </si>
  <si>
    <t>ATSPSTLVSTGPSSR</t>
  </si>
  <si>
    <t>QCGGLGPCYDKVLDK</t>
  </si>
  <si>
    <t>SLEEIYLFSLPIK</t>
  </si>
  <si>
    <t>LFECSNKTGR</t>
  </si>
  <si>
    <t>LFECSNQTGR</t>
  </si>
  <si>
    <t>EVSSSWQAAK</t>
  </si>
  <si>
    <t>EDLRLPEGDLGK</t>
  </si>
  <si>
    <t>TYHALSNLPK</t>
  </si>
  <si>
    <t>IVSGSDDNTLK</t>
  </si>
  <si>
    <t>SEASMGPAAER</t>
  </si>
  <si>
    <t>LPCIYLVDSGGANLPR</t>
  </si>
  <si>
    <t>SVSLYYTGEK</t>
  </si>
  <si>
    <t>NCLTNFHGMDLTR</t>
  </si>
  <si>
    <t>GVDEATIIDILTKR</t>
  </si>
  <si>
    <t>QSVEADINGLRR</t>
  </si>
  <si>
    <t>FAEAFEAIPR</t>
  </si>
  <si>
    <t>DANGNSFATR</t>
  </si>
  <si>
    <t>EYLKELR</t>
  </si>
  <si>
    <t>LSYLGSPPLR</t>
  </si>
  <si>
    <t>GNTSLESQALQIAR</t>
  </si>
  <si>
    <t>AAATTVQEYLK</t>
  </si>
  <si>
    <t>DNILVSGNADSTVK</t>
  </si>
  <si>
    <t>SLTDPKQVVNSGGVK</t>
  </si>
  <si>
    <t>AAIAAAAAAAAK</t>
  </si>
  <si>
    <t>TASDFISK</t>
  </si>
  <si>
    <t>ETNVQVLMVLGAGR</t>
  </si>
  <si>
    <t>TDITYPAGFMDVISIDK</t>
  </si>
  <si>
    <t>QAQIEVVPSASALIIK</t>
  </si>
  <si>
    <t>VAAVQPPEEGPSR</t>
  </si>
  <si>
    <t>VNTKTPHNR</t>
  </si>
  <si>
    <t>QTKLQSPSR</t>
  </si>
  <si>
    <t>QYTGVNAISK</t>
  </si>
  <si>
    <t>LSTLPSDFCGLTHLVK</t>
  </si>
  <si>
    <t>VVSGAYDFMVK</t>
  </si>
  <si>
    <t>TPDEIMSGR</t>
  </si>
  <si>
    <t>EIGLLADEIEIYGK</t>
  </si>
  <si>
    <t>EVSFQATGDSEWR</t>
  </si>
  <si>
    <t>FGEVVDCTIK</t>
  </si>
  <si>
    <t>FGEVVDCTLK</t>
  </si>
  <si>
    <t>TINVEFAK</t>
  </si>
  <si>
    <t>ITKEELNALK</t>
  </si>
  <si>
    <t>GLGLDESGLAK</t>
  </si>
  <si>
    <t>LDKSQIHDIVLVGGSTR</t>
  </si>
  <si>
    <t>HNPVFGVMS</t>
  </si>
  <si>
    <t>AAACPLCQAELNVGSR</t>
  </si>
  <si>
    <t>HVVPNEVVVQR</t>
  </si>
  <si>
    <t>DLKPQNLLIDDKGTIK</t>
  </si>
  <si>
    <t>SRPFTVAASFR</t>
  </si>
  <si>
    <t>VETFSGVYK</t>
  </si>
  <si>
    <t>SLNNQFASFIDKVR</t>
  </si>
  <si>
    <t>QFSSAEEAALKEPIIK</t>
  </si>
  <si>
    <t>EKYGIPEPPEPK</t>
  </si>
  <si>
    <t>AQSGGELSQAELEDR</t>
  </si>
  <si>
    <t>QQPALAGK</t>
  </si>
  <si>
    <t>GSDFDCELR</t>
  </si>
  <si>
    <t>DLNCVPEIADTLGAVAK</t>
  </si>
  <si>
    <t>ATAVMPDGQFK</t>
  </si>
  <si>
    <t>MDKAQIHDLVLVGGSTR</t>
  </si>
  <si>
    <t>NLQYYDISAK</t>
  </si>
  <si>
    <t>MSKNVTNAHPHVEK</t>
  </si>
  <si>
    <t>SFTTTIHK</t>
  </si>
  <si>
    <t>LVSLIGSK</t>
  </si>
  <si>
    <t>DKFSYIGLSQNNLR</t>
  </si>
  <si>
    <t>LVEVNLNNIK</t>
  </si>
  <si>
    <t>LVLPAPQISDAELQEVVK</t>
  </si>
  <si>
    <t>HGELQYLR</t>
  </si>
  <si>
    <t>LGEHNIDVLEGGEQFIDAEK</t>
  </si>
  <si>
    <t>VGEAIETTQR</t>
  </si>
  <si>
    <t>FLIPNASQPESK</t>
  </si>
  <si>
    <t>QGFDFLCMPVFHPR</t>
  </si>
  <si>
    <t>DGDFQELMK</t>
  </si>
  <si>
    <t>DQHGVAASSLEELR</t>
  </si>
  <si>
    <t>DFLDSLGFSAR</t>
  </si>
  <si>
    <t>VWSAVTGK</t>
  </si>
  <si>
    <t>KVTQLDLDGPK</t>
  </si>
  <si>
    <t>DALAKSSFDGK</t>
  </si>
  <si>
    <t>GFSVVADTPELQR</t>
  </si>
  <si>
    <t>LNLDSIIGR</t>
  </si>
  <si>
    <t>GLNISAVR</t>
  </si>
  <si>
    <t>ENPSSQYWK</t>
  </si>
  <si>
    <t>VVSSIEQK</t>
  </si>
  <si>
    <t>LQSSDGEIFEVDVEIAK</t>
  </si>
  <si>
    <t>QSAFPFESGKPFK</t>
  </si>
  <si>
    <t>LLQDFFNGK</t>
  </si>
  <si>
    <t>LVTSDPEINTKK</t>
  </si>
  <si>
    <t>APEPCHPK</t>
  </si>
  <si>
    <t>ALLTLADGR</t>
  </si>
  <si>
    <t>VPTPNVSIVDLTCR</t>
  </si>
  <si>
    <t>YPIEHGIITNWDDMEK</t>
  </si>
  <si>
    <t>LGSGQPGEGQGSNGK</t>
  </si>
  <si>
    <t>IMPSKDGAISAGSSTR</t>
  </si>
  <si>
    <t>FKTNGLGNVQK</t>
  </si>
  <si>
    <t>AAVENLPTFLVELSR</t>
  </si>
  <si>
    <t>MAQLENALQKAK</t>
  </si>
  <si>
    <t>ITDFEFKELVVLPR</t>
  </si>
  <si>
    <t>WECPFDEK</t>
  </si>
  <si>
    <t>NLDLDSIIAEVR</t>
  </si>
  <si>
    <t>LTPEEEEILNK</t>
  </si>
  <si>
    <t>NCIVLIDSTPYR</t>
  </si>
  <si>
    <t>LVQYEPPQEEK</t>
  </si>
  <si>
    <t>STGEAFVQFASQEIAEK</t>
  </si>
  <si>
    <t>ADLINNLGTIAK</t>
  </si>
  <si>
    <t>LITEDVQGK</t>
  </si>
  <si>
    <t>FLEQQNQVLQTK</t>
  </si>
  <si>
    <t>DLFSDGHSEFLK</t>
  </si>
  <si>
    <t>KPWGGDSVK</t>
  </si>
  <si>
    <t>CKEEGIDEPLHIK</t>
  </si>
  <si>
    <t>GPAVGIDLGTTYSCVGVFQHGK</t>
  </si>
  <si>
    <t>FLDGIYVSEK</t>
  </si>
  <si>
    <t>TVTNAVVTVPAYFNDSQR</t>
  </si>
  <si>
    <t>GRNIDDNEK</t>
  </si>
  <si>
    <t>VSALEVLPDR</t>
  </si>
  <si>
    <t>ERMLALSR</t>
  </si>
  <si>
    <t>LSRPKSSGQGGAR</t>
  </si>
  <si>
    <t>DYPGFSPSVDAEAIR</t>
  </si>
  <si>
    <t>LLQDFFNGKELNK</t>
  </si>
  <si>
    <t>RMTLVLSIQDK</t>
  </si>
  <si>
    <t>QKETLEAVLAK</t>
  </si>
  <si>
    <t>IESLMDEIEFLK</t>
  </si>
  <si>
    <t>GASAASSPAPK</t>
  </si>
  <si>
    <t>VPEPCQPK</t>
  </si>
  <si>
    <t>DPNAYPQEHLYVMVNAK</t>
  </si>
  <si>
    <t>AAILPTSIFLTNK</t>
  </si>
  <si>
    <t>NCFASVFEK</t>
  </si>
  <si>
    <t>QNALLEQQVR</t>
  </si>
  <si>
    <t>MGDGYVDRLTGLK</t>
  </si>
  <si>
    <t>SGTTPKPVTNATPGR</t>
  </si>
  <si>
    <t>VELDNMPLR</t>
  </si>
  <si>
    <t>EVQTNDLK</t>
  </si>
  <si>
    <t>AEVGEKTEER</t>
  </si>
  <si>
    <t>NLLSVAYK</t>
  </si>
  <si>
    <t>DSVFLSCSEDSR</t>
  </si>
  <si>
    <t>AQYEDIAQK</t>
  </si>
  <si>
    <t>GSGNLEAIHVIK</t>
  </si>
  <si>
    <t>VALDNSEGGPEATPSGETR</t>
  </si>
  <si>
    <t>KVIDPVAPR</t>
  </si>
  <si>
    <t>MNNGLGEAR</t>
  </si>
  <si>
    <t>LLACIASRPGQCGR</t>
  </si>
  <si>
    <t>HLGLPVFNTVK</t>
  </si>
  <si>
    <t>LPEGDLGKEIEQK</t>
  </si>
  <si>
    <t>SGAVQGAGLLGPGSPAR</t>
  </si>
  <si>
    <t>DNETLMELK</t>
  </si>
  <si>
    <t>FQSLGVAFYR</t>
  </si>
  <si>
    <t>MGTPGEGLGR</t>
  </si>
  <si>
    <t>DFTPVCTTELGR</t>
  </si>
  <si>
    <t>EHVIEALR</t>
  </si>
  <si>
    <t>TFNPGAGLPTDK</t>
  </si>
  <si>
    <t>LSSMLKGGR</t>
  </si>
  <si>
    <t>DLETPIIVVK</t>
  </si>
  <si>
    <t>ELQAHGADELLK</t>
  </si>
  <si>
    <t>EKLCYVALDFENEMATAASSSSLEK</t>
  </si>
  <si>
    <t>EFSIDVGYER</t>
  </si>
  <si>
    <t>VIEPGCVR</t>
  </si>
  <si>
    <t>VPLVAPEDLR</t>
  </si>
  <si>
    <t>VMPAPPPKENAWVK</t>
  </si>
  <si>
    <t>QLLLTPSAVVIVEDAK</t>
  </si>
  <si>
    <t>ERPPNPIEFLASYLLK</t>
  </si>
  <si>
    <t>ALFPGDSEIDQLFR</t>
  </si>
  <si>
    <t>NKDTPGLPR</t>
  </si>
  <si>
    <t>FTVAALQSK</t>
  </si>
  <si>
    <t>LSEELSGGR</t>
  </si>
  <si>
    <t>TAVCDIPPR</t>
  </si>
  <si>
    <t>FLQDGLPPTWR</t>
  </si>
  <si>
    <t>SGITLDGK</t>
  </si>
  <si>
    <t>LQGSGPLVLTEEEKR</t>
  </si>
  <si>
    <t>LAELHSDLK</t>
  </si>
  <si>
    <t>LQQLPADFGR</t>
  </si>
  <si>
    <t>AVETTDIISK</t>
  </si>
  <si>
    <t>DAGTIAGLNVLR</t>
  </si>
  <si>
    <t>CPEALFQPSFLGMESCGIHETTFNSIMK</t>
  </si>
  <si>
    <t>SSGPYGGGGQYFAKPR</t>
  </si>
  <si>
    <t>VEPGLGADNSVVR</t>
  </si>
  <si>
    <t>VIGDNATKGR</t>
  </si>
  <si>
    <t>ETLLQSYNKR</t>
  </si>
  <si>
    <t>WSSLACNIALDAVK</t>
  </si>
  <si>
    <t>KIDSTGDPK</t>
  </si>
  <si>
    <t>HLIPAANTGESK</t>
  </si>
  <si>
    <t>KDLPFDIVK</t>
  </si>
  <si>
    <t>GLFIIDDK</t>
  </si>
  <si>
    <t>DVIEEYFK</t>
  </si>
  <si>
    <t>NSNLVGAAHEELQQSR</t>
  </si>
  <si>
    <t>VTAVIPCFPYAR</t>
  </si>
  <si>
    <t>ILADQQDK</t>
  </si>
  <si>
    <t>TYGQSTYSR</t>
  </si>
  <si>
    <t>MYPSVSPFSPGPGIK</t>
  </si>
  <si>
    <t>EIAEAYLGK</t>
  </si>
  <si>
    <t>KAGNFYVPAEPK</t>
  </si>
  <si>
    <t>LEAAATALATK</t>
  </si>
  <si>
    <t>DLTTAGAVTQCYR</t>
  </si>
  <si>
    <t>SSAIGESYR</t>
  </si>
  <si>
    <t>IAILTCPFEPPKPK</t>
  </si>
  <si>
    <t>GLHVDSLVIEHIQVNK</t>
  </si>
  <si>
    <t>HVIEAVYSR</t>
  </si>
  <si>
    <t>AAEMELQAK</t>
  </si>
  <si>
    <t>EFIQEPAK</t>
  </si>
  <si>
    <t>GILLYGPPGTGK</t>
  </si>
  <si>
    <t>GLLLYGPPGTGK</t>
  </si>
  <si>
    <t>ASLENSLEETK</t>
  </si>
  <si>
    <t>LDKELDDYR</t>
  </si>
  <si>
    <t>CWVGSLWFFK</t>
  </si>
  <si>
    <t>GGFSDADVK</t>
  </si>
  <si>
    <t>EAAWAISNLTISGR</t>
  </si>
  <si>
    <t>SFSLDSTLDTDQR</t>
  </si>
  <si>
    <t>VAQPSITDNKDGTVTVR</t>
  </si>
  <si>
    <t>GTVARTYTHPGR</t>
  </si>
  <si>
    <t>LSNIFVIGK</t>
  </si>
  <si>
    <t>ENVIMTQILPCIK</t>
  </si>
  <si>
    <t>DVELWESR</t>
  </si>
  <si>
    <t>IAIPGLAGAGNSVLLVSNLNPER</t>
  </si>
  <si>
    <t>DLTDYLMK</t>
  </si>
  <si>
    <t>KGGVASGFK</t>
  </si>
  <si>
    <t>KGGVASGMK</t>
  </si>
  <si>
    <t>MELISEKPR</t>
  </si>
  <si>
    <t>CCILTEEGLLLIPPK</t>
  </si>
  <si>
    <t>ISSLLEEQFQQGK</t>
  </si>
  <si>
    <t>AKADLVGPR</t>
  </si>
  <si>
    <t>AGEVFIHK</t>
  </si>
  <si>
    <t>GPVFAPPYEPLPESVK</t>
  </si>
  <si>
    <t>ILLWDTR</t>
  </si>
  <si>
    <t>EYDLAKK</t>
  </si>
  <si>
    <t>VTQGTLQPTLYQIR</t>
  </si>
  <si>
    <t>QAQCNLPFDMGLPK</t>
  </si>
  <si>
    <t>GVDLSGNDFK</t>
  </si>
  <si>
    <t>DALHLGFAR</t>
  </si>
  <si>
    <t>LVTLPVSFAQLK</t>
  </si>
  <si>
    <t>LYSESLAR</t>
  </si>
  <si>
    <t>LALDIEIATYR</t>
  </si>
  <si>
    <t>LQEENQVITPR</t>
  </si>
  <si>
    <t>DDYVPYTGEK</t>
  </si>
  <si>
    <t>EETVVGQSLETRR</t>
  </si>
  <si>
    <t>YNAYPSEQEK</t>
  </si>
  <si>
    <t>ITDFEFK</t>
  </si>
  <si>
    <t>ELVVLPR</t>
  </si>
  <si>
    <t>ETLTFPPEVPVSEK</t>
  </si>
  <si>
    <t>ADGYVLEGK</t>
  </si>
  <si>
    <t>IINEPTAAAIAYGLDK</t>
  </si>
  <si>
    <t>MVDDGSGEVQVWR</t>
  </si>
  <si>
    <t>RAPFDLFENK</t>
  </si>
  <si>
    <t>LLFEDWTYDDFR</t>
  </si>
  <si>
    <t>QEIAQEFK</t>
  </si>
  <si>
    <t>GQPPVVDGELYNEVK</t>
  </si>
  <si>
    <t>VAPEEHPTLLTEAPLNPK</t>
  </si>
  <si>
    <t>MFQSWSGPEK</t>
  </si>
  <si>
    <t>LDGLVDTPTGYIESLPK</t>
  </si>
  <si>
    <t>HWPFMVVNDAGRPK</t>
  </si>
  <si>
    <t>DLNTSDEK</t>
  </si>
  <si>
    <t>ITITNDQNR</t>
  </si>
  <si>
    <t>RTPITVVR</t>
  </si>
  <si>
    <t>VCNPIITK</t>
  </si>
  <si>
    <t>DRDPEAQFEMPYVVR</t>
  </si>
  <si>
    <t>AFAAGADIK</t>
  </si>
  <si>
    <t>NMDDTQSTLVQCRSHDR</t>
  </si>
  <si>
    <t>FNAHGDANTIVCNTK</t>
  </si>
  <si>
    <t>LKETAENNLK</t>
  </si>
  <si>
    <t>ACQSIYPLHDVFVR</t>
  </si>
  <si>
    <t>LWQTVVGK</t>
  </si>
  <si>
    <t>SNDPVAVAFADMLK</t>
  </si>
  <si>
    <t>QLDPGGDQSSPPVTLAAAK</t>
  </si>
  <si>
    <t>ARFEELNADLFR</t>
  </si>
  <si>
    <t>DLDEDELLGK</t>
  </si>
  <si>
    <t>AEEQEPELTSTPNFVVEVTK</t>
  </si>
  <si>
    <t>AIIIFVPVPQLK</t>
  </si>
  <si>
    <t>IYQWINELSSPETR</t>
  </si>
  <si>
    <t>STFVLDEFKR</t>
  </si>
  <si>
    <t>QTQVSVLPEGGETPLFK</t>
  </si>
  <si>
    <t>IISSIEQK</t>
  </si>
  <si>
    <t>DSVPSLQGEK</t>
  </si>
  <si>
    <t>FGDMTNSSQDRVMWQLR</t>
  </si>
  <si>
    <t>LSPWIHPDSK</t>
  </si>
  <si>
    <t>QWYESHYALPLGR</t>
  </si>
  <si>
    <t>EIKDSLAEVEEK</t>
  </si>
  <si>
    <t>ALADTPLAKDVANK</t>
  </si>
  <si>
    <t>FSPAGPILSIR</t>
  </si>
  <si>
    <t>NDFQLIGIQDGYLSLLQDSGEVR</t>
  </si>
  <si>
    <t>YPKMPAGLLLSGISR</t>
  </si>
  <si>
    <t>DLGDYKDLDEDELLGK</t>
  </si>
  <si>
    <t>EVIELPLTNPELFQR</t>
  </si>
  <si>
    <t>LELLKAMR</t>
  </si>
  <si>
    <t>YNDEPVQIR</t>
  </si>
  <si>
    <t>SFYPEEVSSMVLTK</t>
  </si>
  <si>
    <t>NFILDQTNVSAAAQR</t>
  </si>
  <si>
    <t>YDGFDCVYGLELNKDER</t>
  </si>
  <si>
    <t>LVCAVGSR</t>
  </si>
  <si>
    <t>EWNLPPNAPACMER</t>
  </si>
  <si>
    <t>QNMLQGTEIGVLAK</t>
  </si>
  <si>
    <t>DLSYCLSGMYDHR</t>
  </si>
  <si>
    <t>DLSDGIHVVK</t>
  </si>
  <si>
    <t>NLVTLESGGSGGVVWR</t>
  </si>
  <si>
    <t>YDGIILPGK</t>
  </si>
  <si>
    <t>VNTLIRPDGEKK</t>
  </si>
  <si>
    <t>HASSILPITEFSDITR</t>
  </si>
  <si>
    <t>TAAENEFVTVK</t>
  </si>
  <si>
    <t>TDDIPVWDQEFLK</t>
  </si>
  <si>
    <t>DVSTTLNADEAVAR</t>
  </si>
  <si>
    <t>TCWLAAFR</t>
  </si>
  <si>
    <t>FSGSGSGTDFTLK</t>
  </si>
  <si>
    <t>ITSVQPPTGLQEWLK</t>
  </si>
  <si>
    <t>QYAENYTRPSSR</t>
  </si>
  <si>
    <t>YVVPAVLAGAK</t>
  </si>
  <si>
    <t>NQVAMNPTNTVFDAK</t>
  </si>
  <si>
    <t>QALESRETNIYAMR</t>
  </si>
  <si>
    <t>GHEFYNPQK</t>
  </si>
  <si>
    <t>AATGEEVSAEDLGGADLHCR</t>
  </si>
  <si>
    <t>LIIQWNGPESNR</t>
  </si>
  <si>
    <t>DWNTLIVGK</t>
  </si>
  <si>
    <t>GGNFGFGDSR</t>
  </si>
  <si>
    <t>QSVVYGGK</t>
  </si>
  <si>
    <t>GASIVEDK</t>
  </si>
  <si>
    <t>SVEDLPEGVDPSR</t>
  </si>
  <si>
    <t>EAIEGTYIDKK</t>
  </si>
  <si>
    <t>DIKPDNLLLDSK</t>
  </si>
  <si>
    <t>LLQSLLDTR</t>
  </si>
  <si>
    <t>RFDDAVVQSDMK</t>
  </si>
  <si>
    <t>ISDSEGFK</t>
  </si>
  <si>
    <t>YSQYQQAIYK</t>
  </si>
  <si>
    <t>GLLDVTCK</t>
  </si>
  <si>
    <t>LKGQLEGR</t>
  </si>
  <si>
    <t>ALLLLCGGEDD</t>
  </si>
  <si>
    <t>LTVSSLQESGLK</t>
  </si>
  <si>
    <t>KQEGTPEGLYL</t>
  </si>
  <si>
    <t>MGLEGCAEDLR</t>
  </si>
  <si>
    <t>LSEQELEALELR</t>
  </si>
  <si>
    <t>TSFFQALGITTK</t>
  </si>
  <si>
    <t>SKEGSQGMEQNR</t>
  </si>
  <si>
    <t>SYELPDGQVITIGNER</t>
  </si>
  <si>
    <t>QPCTVPPQLHQQQVK</t>
  </si>
  <si>
    <t>SEITELRR</t>
  </si>
  <si>
    <t>VFQFLNAK</t>
  </si>
  <si>
    <t>TITLEVEPSDTIENVK</t>
  </si>
  <si>
    <t>EEGIDEPLHIK</t>
  </si>
  <si>
    <t>VTWDSSFCAINPR</t>
  </si>
  <si>
    <t>VLSNRPIMFR</t>
  </si>
  <si>
    <t>SLDQDPVVR</t>
  </si>
  <si>
    <t>YSLDPENPTK</t>
  </si>
  <si>
    <t>GANDSRGIR</t>
  </si>
  <si>
    <t>QGGNAETIR</t>
  </si>
  <si>
    <t>QNDTKALR</t>
  </si>
  <si>
    <t>AQTAHVIAGAK</t>
  </si>
  <si>
    <t>LVTDEDVFPTK</t>
  </si>
  <si>
    <t>IREEYPDR</t>
  </si>
  <si>
    <t>YGVNPGPIVGTTR</t>
  </si>
  <si>
    <t>ASAGHAVSITQDDGGADDWETDPDFVNDVSEK</t>
  </si>
  <si>
    <t>NFGIGQDIQPK</t>
  </si>
  <si>
    <t>LLDAVCLVPNK</t>
  </si>
  <si>
    <t>LTLLIQQDTLFR</t>
  </si>
  <si>
    <t>DSYVGDEAQSKR</t>
  </si>
  <si>
    <t>TDKSSASAPDVDDPEAFPALA</t>
  </si>
  <si>
    <t>IFYNQAIMSSK</t>
  </si>
  <si>
    <t>EIDCLSPEAQR</t>
  </si>
  <si>
    <t>YGLFPANYVELRQ</t>
  </si>
  <si>
    <t>DPDTAIDDAQVELDAQALFQAGELK</t>
  </si>
  <si>
    <t>SPYLYPLYGLGELPQGFAR</t>
  </si>
  <si>
    <t>GSNDMQYQHVIETLIGK</t>
  </si>
  <si>
    <t>LDVGNFSWGSECCTR</t>
  </si>
  <si>
    <t>GAAPPKQEFLDIEDP</t>
  </si>
  <si>
    <t>LLQPDLQPVSASQLYPR</t>
  </si>
  <si>
    <t>TAAYVNAIEK</t>
  </si>
  <si>
    <t>FLEQQNKVLETK</t>
  </si>
  <si>
    <t>FLEQQNQVLETK</t>
  </si>
  <si>
    <t>HFSLAATR</t>
  </si>
  <si>
    <t>AVFPSIVGRPR</t>
  </si>
  <si>
    <t>CAVVFVDEKR</t>
  </si>
  <si>
    <t>DFIIQTGDPTGTGR</t>
  </si>
  <si>
    <t>FMEQVIFK</t>
  </si>
  <si>
    <t>ARPTTDSFDDYPPR</t>
  </si>
  <si>
    <t>SGSALEPSVESVK</t>
  </si>
  <si>
    <t>KVPAVPETLK</t>
  </si>
  <si>
    <t>EPVGDSINVEEVKK</t>
  </si>
  <si>
    <t>FSFWDKDAR</t>
  </si>
  <si>
    <t>LTSEKDLLR</t>
  </si>
  <si>
    <t>QITINDLPVGR</t>
  </si>
  <si>
    <t>QITLNDLPVGR</t>
  </si>
  <si>
    <t>KVWLDPNETNEIANANSR</t>
  </si>
  <si>
    <t>ELVASAGLDR</t>
  </si>
  <si>
    <t>FPNVVKGEK</t>
  </si>
  <si>
    <t>EITALAPSTMK</t>
  </si>
  <si>
    <t>ADGYEPPVQESV</t>
  </si>
  <si>
    <t>NIQQTVSTK</t>
  </si>
  <si>
    <t>DNTINLIHTFR</t>
  </si>
  <si>
    <t>FGVQTDRQDK</t>
  </si>
  <si>
    <t>LGEWVGLCK</t>
  </si>
  <si>
    <t>IAVALEIGADLPSNHVIDR</t>
  </si>
  <si>
    <t>ALGMTPAAFSALPR</t>
  </si>
  <si>
    <t>IINEPTAAAIAYGLDKK</t>
  </si>
  <si>
    <t>EISPVGEK</t>
  </si>
  <si>
    <t>YEDEINKR</t>
  </si>
  <si>
    <t>DGLGQSSER</t>
  </si>
  <si>
    <t>QVEEKEDLLR</t>
  </si>
  <si>
    <t>IWDANGSR</t>
  </si>
  <si>
    <t>VTGLNTGIANTK</t>
  </si>
  <si>
    <t>RPLYKNVVLSGGSTMFR</t>
  </si>
  <si>
    <t>LCYVALDFENEMATAASSSSLEK</t>
  </si>
  <si>
    <t>KDTPPPLVPPAAR</t>
  </si>
  <si>
    <t>GGAAILDK</t>
  </si>
  <si>
    <t>VATVPGTLKK</t>
  </si>
  <si>
    <t>NNELMQK</t>
  </si>
  <si>
    <t>VEEIMQK</t>
  </si>
  <si>
    <t>KVVNPLFEK</t>
  </si>
  <si>
    <t>NFVITSSDDGTVK</t>
  </si>
  <si>
    <t>FVKTAFPSMPVK</t>
  </si>
  <si>
    <t>LGLEDFESLK</t>
  </si>
  <si>
    <t>IKGEHPGLSIGDVAK</t>
  </si>
  <si>
    <t>HIYFITGETK</t>
  </si>
  <si>
    <t>ANFENLAK</t>
  </si>
  <si>
    <t>TNAENEFVTIK</t>
  </si>
  <si>
    <t>QRVDALLIDLR</t>
  </si>
  <si>
    <t>YEELQQTAGR</t>
  </si>
  <si>
    <t>DQIPELENNEK</t>
  </si>
  <si>
    <t>HVCEMLVQR</t>
  </si>
  <si>
    <t>LPFPIIDDK</t>
  </si>
  <si>
    <t>AEQDIATLEQSISR</t>
  </si>
  <si>
    <t>GFGYAEFEDLDSLLSALSLNEESLGNRR</t>
  </si>
  <si>
    <t>TGQCLQTLQGPSK</t>
  </si>
  <si>
    <t>LQPLSPVPSDIEISR</t>
  </si>
  <si>
    <t>LVQAFQFTDK</t>
  </si>
  <si>
    <t>AIGSASEGAQSSLQEVYHK</t>
  </si>
  <si>
    <t>YQQGDFGYCPR</t>
  </si>
  <si>
    <t>IYGFYDECK</t>
  </si>
  <si>
    <t>ELHINLIPSK</t>
  </si>
  <si>
    <t>VIGSELVQK</t>
  </si>
  <si>
    <t>TPLSEAEFEEIMNR</t>
  </si>
  <si>
    <t>YSVDIPLDK</t>
  </si>
  <si>
    <t>AASIFGGAKPVDTAAR</t>
  </si>
  <si>
    <t>STTTGHLIYK</t>
  </si>
  <si>
    <t>SYLEFSEDSVQVPR</t>
  </si>
  <si>
    <t>KHPDASVNFSEFSK</t>
  </si>
  <si>
    <t>FPGQLNADLR</t>
  </si>
  <si>
    <t>AGLQFPVGR</t>
  </si>
  <si>
    <t>GDVFLLDLGK</t>
  </si>
  <si>
    <t>YLAEFATGNDRK</t>
  </si>
  <si>
    <t>ALTTSGGPENTLVFR</t>
  </si>
  <si>
    <t>LTFSCLGGSDNFK</t>
  </si>
  <si>
    <t>LTELEEALQKAK</t>
  </si>
  <si>
    <t>AGVMALANLLQIQR</t>
  </si>
  <si>
    <t>TLVGHTGGVWSSQMR</t>
  </si>
  <si>
    <t>DNNLLGK</t>
  </si>
  <si>
    <t>TTPSVVAFTADGER</t>
  </si>
  <si>
    <t>LKGLLQSGQIPGR</t>
  </si>
  <si>
    <t>QLLEVNSK</t>
  </si>
  <si>
    <t>PAYHSSLMDPDTK</t>
  </si>
  <si>
    <t>QQLGTSVELEMAK</t>
  </si>
  <si>
    <t>DSIVHQAGMLK</t>
  </si>
  <si>
    <t>MGRLIGEK</t>
  </si>
  <si>
    <t>DKGFGFIR</t>
  </si>
  <si>
    <t>HLEINPDHPIVETLR</t>
  </si>
  <si>
    <t>NPLVSWLR</t>
  </si>
  <si>
    <t>NEVVVELR</t>
  </si>
  <si>
    <t>TLVLSNLSYSATK</t>
  </si>
  <si>
    <t>VHIEIGPDGR</t>
  </si>
  <si>
    <t>KIEFPLPDEK</t>
  </si>
  <si>
    <t>TGLCYLPEELAALQK</t>
  </si>
  <si>
    <t>SPIAEAVFR</t>
  </si>
  <si>
    <t>YVNWIQQTIAAN</t>
  </si>
  <si>
    <t>GFQFVSSSLPDICYR</t>
  </si>
  <si>
    <t>GKTLLTLDCVK</t>
  </si>
  <si>
    <t>ILHESTQTDK</t>
  </si>
  <si>
    <t>NFTTEQVTAMLLSK</t>
  </si>
  <si>
    <t>YLAEVATGEKR</t>
  </si>
  <si>
    <t>PNIVLFSGSSHQDLSQR</t>
  </si>
  <si>
    <t>EAAENSLVAYK</t>
  </si>
  <si>
    <t>EEQCILYLGPR</t>
  </si>
  <si>
    <t>QTYSTEPNNLK</t>
  </si>
  <si>
    <t>IHQIEYAMEAVK</t>
  </si>
  <si>
    <t>MEIGADMDLASSLAK</t>
  </si>
  <si>
    <t>DTPPPLVPPAAR</t>
  </si>
  <si>
    <t>FTQISPVWLQLK</t>
  </si>
  <si>
    <t>AVDLQILPK</t>
  </si>
  <si>
    <t>ELEFYLR</t>
  </si>
  <si>
    <t>NLDLDSIIAEVK</t>
  </si>
  <si>
    <t>YIQQTKPLTLER</t>
  </si>
  <si>
    <t>YGLFPANYVELR</t>
  </si>
  <si>
    <t>LGEHNINVLEGNEQFVDSAK</t>
  </si>
  <si>
    <t>TSLPWQGLK</t>
  </si>
  <si>
    <t>GCEVVVSGK</t>
  </si>
  <si>
    <t>RITSVQPPTGLQEWLK</t>
  </si>
  <si>
    <t>LLQEALEAEER</t>
  </si>
  <si>
    <t>FGYQFTKQGPR</t>
  </si>
  <si>
    <t>FGYQFTQQGPR</t>
  </si>
  <si>
    <t>TIQFVDWCPTGFK</t>
  </si>
  <si>
    <t>VQVEYKGETK</t>
  </si>
  <si>
    <t>FELTGIPPAPR</t>
  </si>
  <si>
    <t>VDTWFNQPAR</t>
  </si>
  <si>
    <t>THAVLVALK</t>
  </si>
  <si>
    <t>ALDGGSFQTMTIR</t>
  </si>
  <si>
    <t>SLNDKFASFIDK</t>
  </si>
  <si>
    <t>LDYILGLK</t>
  </si>
  <si>
    <t>LNFGDDIPSALR</t>
  </si>
  <si>
    <t>IASPEGQDYLK</t>
  </si>
  <si>
    <t>YEKDIAAYR</t>
  </si>
  <si>
    <t>DRDDYVPYTGEK</t>
  </si>
  <si>
    <t>QAVDVSPLR</t>
  </si>
  <si>
    <t>TDYNASVSVPDSSGPER</t>
  </si>
  <si>
    <t>LLVLDFDVDMK</t>
  </si>
  <si>
    <t>SPPYTAFLGNLPYDVTEDSIKDFFR</t>
  </si>
  <si>
    <t>TGTGTLSVFGMQAR</t>
  </si>
  <si>
    <t>VEEAYDLAR</t>
  </si>
  <si>
    <t>IILDLISESPIK</t>
  </si>
  <si>
    <t>EVLSLLQEK</t>
  </si>
  <si>
    <t>GIAYIEFK</t>
  </si>
  <si>
    <t>VMPAPPPK</t>
  </si>
  <si>
    <t>LNQDQLDAVSK</t>
  </si>
  <si>
    <t>TAQDKIEEMEMTNSHLAK</t>
  </si>
  <si>
    <t>FYTEDSPGLK</t>
  </si>
  <si>
    <t>VISSIEKK</t>
  </si>
  <si>
    <t>VISSIEQK</t>
  </si>
  <si>
    <t>VLSSIEQK</t>
  </si>
  <si>
    <t>GTIEILSDVQLIK</t>
  </si>
  <si>
    <t>LAPDYDALDVANK</t>
  </si>
  <si>
    <t>RAPFDLFENR</t>
  </si>
  <si>
    <t>LITQTFNHHNQLAQK</t>
  </si>
  <si>
    <t>LYHVSDSEGK</t>
  </si>
  <si>
    <t>LFQAPCQR</t>
  </si>
  <si>
    <t>GTVEPQLEAR</t>
  </si>
  <si>
    <t>TPSAAYLWVGAGASEAEK</t>
  </si>
  <si>
    <t>KPNEGADGQWK</t>
  </si>
  <si>
    <t>NPDDITQEEYGEFYK</t>
  </si>
  <si>
    <t>EHMIPQK</t>
  </si>
  <si>
    <t>QGFPMVSPR</t>
  </si>
  <si>
    <t>LYPVLQQCLVR</t>
  </si>
  <si>
    <t>METQNLGLAEINR</t>
  </si>
  <si>
    <t>NMPSLSAATLASLGGTSSR</t>
  </si>
  <si>
    <t>ILSAENIPNLPPGGGLAGK</t>
  </si>
  <si>
    <t>LAAIAESYAGLNR</t>
  </si>
  <si>
    <t>TKIDDEIVR</t>
  </si>
  <si>
    <t>HSQFIGYPITLFVEK</t>
  </si>
  <si>
    <t>QEYDESGPSIVHR</t>
  </si>
  <si>
    <t>LSLEFPSGYPYNAPTVK</t>
  </si>
  <si>
    <t>SLALEQNGLLDLEDLLNQRQR</t>
  </si>
  <si>
    <t>NFVLPDEIIQEVR</t>
  </si>
  <si>
    <t>EIVEVNKK</t>
  </si>
  <si>
    <t>AITVFSPDGHLFQVEYAQEAVK</t>
  </si>
  <si>
    <t>GSLNITTPGIQIWR</t>
  </si>
  <si>
    <t>AESQSQEK</t>
  </si>
  <si>
    <t>TGSESSQTGASATSGR</t>
  </si>
  <si>
    <t>DYEEIGPSICR</t>
  </si>
  <si>
    <t>KLDHGSEVR</t>
  </si>
  <si>
    <t>TEVLSEDLLQIER</t>
  </si>
  <si>
    <t>GLGTGTLYIAESR</t>
  </si>
  <si>
    <t>KDELPK</t>
  </si>
  <si>
    <t>KDLEPK</t>
  </si>
  <si>
    <t>DVVVDIQR</t>
  </si>
  <si>
    <t>NNKLDLLR</t>
  </si>
  <si>
    <t>HVFGESDELIGQK</t>
  </si>
  <si>
    <t>MAISWSSAK</t>
  </si>
  <si>
    <t>SEPIPESNEGPVK</t>
  </si>
  <si>
    <t>IDTIEIITDR</t>
  </si>
  <si>
    <t>ILFFSTPK</t>
  </si>
  <si>
    <t>SPPHTLFPEK</t>
  </si>
  <si>
    <t>RVVSGAYDFMVK</t>
  </si>
  <si>
    <t>DISLSEYKGK</t>
  </si>
  <si>
    <t>YTTVQLDK</t>
  </si>
  <si>
    <t>GQPPVVDGELYNEVKVEESSWLIEDGK</t>
  </si>
  <si>
    <t>MVLLDDNALGSPAR</t>
  </si>
  <si>
    <t>LPSDVTEGEVISLGLPFGK</t>
  </si>
  <si>
    <t>DDGVSIPGEYTSFLAPISSSK</t>
  </si>
  <si>
    <t>AAFLSEQLQPLSR</t>
  </si>
  <si>
    <t>LSKEDIER</t>
  </si>
  <si>
    <t>GGGGNFGPGPGSNFR</t>
  </si>
  <si>
    <t>TVQGSGHQEHINIHK</t>
  </si>
  <si>
    <t>VSYLVFDEADR</t>
  </si>
  <si>
    <t>LVTSDPEINTK</t>
  </si>
  <si>
    <t>ADTQTYQPYNKDWIK</t>
  </si>
  <si>
    <t>TGVAVNKPAEFTVDAK</t>
  </si>
  <si>
    <t>VYNVTQHAVGIIVNK</t>
  </si>
  <si>
    <t>ADIDVSGPK</t>
  </si>
  <si>
    <t>ADLDVSGPK</t>
  </si>
  <si>
    <t>GMSVYGLGR</t>
  </si>
  <si>
    <t>APQVYTIPPPKEQMAK</t>
  </si>
  <si>
    <t>GSTDNLMDDIER</t>
  </si>
  <si>
    <t>LSGGSPGVPVDK</t>
  </si>
  <si>
    <t>FMEQVIFKYLR</t>
  </si>
  <si>
    <t>DITSDTSGDFRK</t>
  </si>
  <si>
    <t>EFLHAQEEVKR</t>
  </si>
  <si>
    <t>SEDCFILDHGR</t>
  </si>
  <si>
    <t>QITAQAWDGTTDYQVEETSR</t>
  </si>
  <si>
    <t>QFQSKLR</t>
  </si>
  <si>
    <t>LENEIQTYR</t>
  </si>
  <si>
    <t>QPITVHEGQNICVR</t>
  </si>
  <si>
    <t>VTIPVPAGVEDGQTVR</t>
  </si>
  <si>
    <t>LSSARMPLR</t>
  </si>
  <si>
    <t>TPQIQVYSR</t>
  </si>
  <si>
    <t>MKEIAEAYLGK</t>
  </si>
  <si>
    <t>HLNAQQGWIAGR</t>
  </si>
  <si>
    <t>DKGEYTLVVK</t>
  </si>
  <si>
    <t>RFEGLTAR</t>
  </si>
  <si>
    <t>SLQLSAWESSIVDR</t>
  </si>
  <si>
    <t>ELEEIVQPIISK</t>
  </si>
  <si>
    <t>EVNTATLCR</t>
  </si>
  <si>
    <t>LDPSIFESLQK</t>
  </si>
  <si>
    <t>LSQLKPLPSSALNVITGVK</t>
  </si>
  <si>
    <t>SGEKPVPVDQAK</t>
  </si>
  <si>
    <t>ELVSDANQHVK</t>
  </si>
  <si>
    <t>LAGPQLVQMFIGDGAK</t>
  </si>
  <si>
    <t>FEEAPDYMYLR</t>
  </si>
  <si>
    <t>ATAYILSIQADEHK</t>
  </si>
  <si>
    <t>DSNFAGDLVR</t>
  </si>
  <si>
    <t>FATHGAALTVK</t>
  </si>
  <si>
    <t>ETETELAVDR</t>
  </si>
  <si>
    <t>YSFLQFDPAPR</t>
  </si>
  <si>
    <t>AVDPDSPAEASGLR</t>
  </si>
  <si>
    <t>FEKDKPEK</t>
  </si>
  <si>
    <t>GTTAVLTEK</t>
  </si>
  <si>
    <t>AVVIVDDR</t>
  </si>
  <si>
    <t>FCIWTESAFR</t>
  </si>
  <si>
    <t>GSSYGVTSTESYK</t>
  </si>
  <si>
    <t>SALDKTEELEVSNGHLVK</t>
  </si>
  <si>
    <t>SRTEAESWYQTK</t>
  </si>
  <si>
    <t>HGGTIPVVPTAEFQDR</t>
  </si>
  <si>
    <t>DSQLAVLK</t>
  </si>
  <si>
    <t>LLSVTPTSEGYSIK</t>
  </si>
  <si>
    <t>NLNHVSYGR</t>
  </si>
  <si>
    <t>EISQAYYTVYKK</t>
  </si>
  <si>
    <t>DTLYEAVR</t>
  </si>
  <si>
    <t>FASFIDK</t>
  </si>
  <si>
    <t>VNTLIRPDGEK</t>
  </si>
  <si>
    <t>EIDIVNK</t>
  </si>
  <si>
    <t>TEAESWYQTK</t>
  </si>
  <si>
    <t>LNVDFALIHK</t>
  </si>
  <si>
    <t>LQIDEQLR</t>
  </si>
  <si>
    <t>EALVEPASESPRPALAR</t>
  </si>
  <si>
    <t>HQGVMVGMGQK</t>
  </si>
  <si>
    <t>YFQFQEEGK</t>
  </si>
  <si>
    <t>IGQGTFGEVFK</t>
  </si>
  <si>
    <t>SMGLPTSDEQK</t>
  </si>
  <si>
    <t>SAAEPVASTPASR</t>
  </si>
  <si>
    <t>IWDTASGQCLK</t>
  </si>
  <si>
    <t>LLRDYQELMNTK</t>
  </si>
  <si>
    <t>SNFGYNIPLK</t>
  </si>
  <si>
    <t>VAAVQPPEEGPSRK</t>
  </si>
  <si>
    <t>ETLEEVFEK</t>
  </si>
  <si>
    <t>GNLPTGTAGGVMEAGELGVAVK</t>
  </si>
  <si>
    <t>LFNLSKEDDVR</t>
  </si>
  <si>
    <t>LPGSITEHK</t>
  </si>
  <si>
    <t>NSSQFFQSYVER</t>
  </si>
  <si>
    <t>TRDEYLSLVAR</t>
  </si>
  <si>
    <t>MLEENTNILK</t>
  </si>
  <si>
    <t>MALDGQNIYNACCTLR</t>
  </si>
  <si>
    <t>GFYPQYGALETR</t>
  </si>
  <si>
    <t>GVSQAVEHINK</t>
  </si>
  <si>
    <t>LFIVGSNSSSSTR</t>
  </si>
  <si>
    <t>LSDLDSETR</t>
  </si>
  <si>
    <t>AAISDSVVEPAAK</t>
  </si>
  <si>
    <t>VLCLAVAVGHVK</t>
  </si>
  <si>
    <t>TNAENEFVTIKK</t>
  </si>
  <si>
    <t>TPEELSAIK</t>
  </si>
  <si>
    <t>MSTEEIVQR</t>
  </si>
  <si>
    <t>YALTGDEVK</t>
  </si>
  <si>
    <t>DTGKTPVEPEVAIHR</t>
  </si>
  <si>
    <t>IIAEGANGPTTPEADKIFLER</t>
  </si>
  <si>
    <t>LSDFGLCTGLKK</t>
  </si>
  <si>
    <t>VIAATNRVDILDPALLR</t>
  </si>
  <si>
    <t>GCTATLGNFAK</t>
  </si>
  <si>
    <t>DQIHDVEGR</t>
  </si>
  <si>
    <t>EDSLSRPQLESLSITK</t>
  </si>
  <si>
    <t>YLAEVASGEKK</t>
  </si>
  <si>
    <t>EVQGNESETFR</t>
  </si>
  <si>
    <t>ESDLPSAILQTSGVSEFTK</t>
  </si>
  <si>
    <t>KLVIIEGDLER</t>
  </si>
  <si>
    <t>QSLEASLAETEGR</t>
  </si>
  <si>
    <t>AFITNIPFDVK</t>
  </si>
  <si>
    <t>EKLIAEK</t>
  </si>
  <si>
    <t>RTLLAEK</t>
  </si>
  <si>
    <t>FEQLEWR</t>
  </si>
  <si>
    <t>MEQELDAR</t>
  </si>
  <si>
    <t>SEIDLFNIRK</t>
  </si>
  <si>
    <t>GLCAIAQAESLR</t>
  </si>
  <si>
    <t>GDGPICLVLAPTR</t>
  </si>
  <si>
    <t>ELTDEEAER</t>
  </si>
  <si>
    <t>ALEESNYELEGK</t>
  </si>
  <si>
    <t>FEDENFILK</t>
  </si>
  <si>
    <t>GYSFTTTAER</t>
  </si>
  <si>
    <t>NGYELSPTAAANFTR</t>
  </si>
  <si>
    <t>ASCLLDGVPVALKK</t>
  </si>
  <si>
    <t>INVYYNEAAGNK</t>
  </si>
  <si>
    <t>QEYDESGPSIVHRK</t>
  </si>
  <si>
    <t>QQQVPVAGIR</t>
  </si>
  <si>
    <t>VLAVNPQNR</t>
  </si>
  <si>
    <t>QLDSLRER</t>
  </si>
  <si>
    <t>SEIDLFNIR</t>
  </si>
  <si>
    <t>QVVDSAYEVIK</t>
  </si>
  <si>
    <t>LIHNLNVILAR</t>
  </si>
  <si>
    <t>TLVAEGYPIPTKLPLTK</t>
  </si>
  <si>
    <t>TTGIVMDSGDGVTHTVPIYEGYALPHAILR</t>
  </si>
  <si>
    <t>KEEHLSTEDFTR</t>
  </si>
  <si>
    <t>IGLFGGAGVGK</t>
  </si>
  <si>
    <t>LAPEIVSASQYR</t>
  </si>
  <si>
    <t>GNVGFVFTK</t>
  </si>
  <si>
    <t>IQNGAQGIR</t>
  </si>
  <si>
    <t>KVEVLENTNR</t>
  </si>
  <si>
    <t>IIQLLDDYPK</t>
  </si>
  <si>
    <t>DISLSEYK</t>
  </si>
  <si>
    <t>SQTSSIPQKPQTNK</t>
  </si>
  <si>
    <t>SFDQLTPEESKER</t>
  </si>
  <si>
    <t>KEFSPFGTITSAK</t>
  </si>
  <si>
    <t>DYSSGFGGK</t>
  </si>
  <si>
    <t>APAMFNIR</t>
  </si>
  <si>
    <t>EDLTEIRDMLLANK</t>
  </si>
  <si>
    <t>DGKDPNQFTISR</t>
  </si>
  <si>
    <t>SLEVYLVR</t>
  </si>
  <si>
    <t>GTDVNVFTTILTSR</t>
  </si>
  <si>
    <t>LDPQNHVLYSNR</t>
  </si>
  <si>
    <t>TLAEHQQLIPLVEK</t>
  </si>
  <si>
    <t>TVIIEQSWGSPK</t>
  </si>
  <si>
    <t>DNIIISGSTDR</t>
  </si>
  <si>
    <t>IYDLNKPEAEPK</t>
  </si>
  <si>
    <t>DVNAAIAAIK</t>
  </si>
  <si>
    <t>YSYVCPDLVK</t>
  </si>
  <si>
    <t>IRDADQNVQK</t>
  </si>
  <si>
    <t>GFSLEELR</t>
  </si>
  <si>
    <t>FLDDLGNAK</t>
  </si>
  <si>
    <t>FQIQDISVETEDNK</t>
  </si>
  <si>
    <t>ILDSVGIEADDDRLNK</t>
  </si>
  <si>
    <t>AWGPGLEGGIVGK</t>
  </si>
  <si>
    <t>QPVLSQTEAR</t>
  </si>
  <si>
    <t>IVSNASCTTNCLAPLAK</t>
  </si>
  <si>
    <t>ATEYIQYMR</t>
  </si>
  <si>
    <t>MLVVGSELQSDAQQLSAEAPR</t>
  </si>
  <si>
    <t>VDLQSLPTR</t>
  </si>
  <si>
    <t>SAVGFDYQGK</t>
  </si>
  <si>
    <t>MQLPSLAMIPMK</t>
  </si>
  <si>
    <t>VAYISFGPHAGK</t>
  </si>
  <si>
    <t>AEPEDHYFLLTEPPLNTPENR</t>
  </si>
  <si>
    <t>LTTNTDLILEVLR</t>
  </si>
  <si>
    <t>AIHSWLTR</t>
  </si>
  <si>
    <t>KILEVHIDK</t>
  </si>
  <si>
    <t>LTVADALEPVQFEDGQK</t>
  </si>
  <si>
    <t>YTQAVIQYR</t>
  </si>
  <si>
    <t>INVADTK</t>
  </si>
  <si>
    <t>SDPWESEFGQPELGNK</t>
  </si>
  <si>
    <t>LQYVEDGVYSMQVASAR</t>
  </si>
  <si>
    <t>NEISELNR</t>
  </si>
  <si>
    <t>IEDFLER</t>
  </si>
  <si>
    <t>LMTEILGR</t>
  </si>
  <si>
    <t>MSVEADINGLR</t>
  </si>
  <si>
    <t>DNIQGITKPAIR</t>
  </si>
  <si>
    <t>GAAQNIIPASTGAAK</t>
  </si>
  <si>
    <t>MVLVGDVKDR</t>
  </si>
  <si>
    <t>KAIIIFVPVPQLK</t>
  </si>
  <si>
    <t>QISDGEREELNLTANR</t>
  </si>
  <si>
    <t>SEQEITALEQNVIR</t>
  </si>
  <si>
    <t>MVNHFIAEFK</t>
  </si>
  <si>
    <t>LATQLTGPVMPIR</t>
  </si>
  <si>
    <t>EAPPMEKPEVVK</t>
  </si>
  <si>
    <t>LGLPGLATFGYSLSGK</t>
  </si>
  <si>
    <t>SSYQVFQK</t>
  </si>
  <si>
    <t>TVSPDRLELEAAQK</t>
  </si>
  <si>
    <t>VTMQNLNDR</t>
  </si>
  <si>
    <t>TDFFIGGEEGMAEK</t>
  </si>
  <si>
    <t>LEQEIATYR</t>
  </si>
  <si>
    <t>ESYYFGLSPEER</t>
  </si>
  <si>
    <t>GAEAANVTGPGGVPVQGSK</t>
  </si>
  <si>
    <t>EVEERPDKDFAEK</t>
  </si>
  <si>
    <t>YIETDPANR</t>
  </si>
  <si>
    <t>NSVSQISVLSGGK</t>
  </si>
  <si>
    <t>LFVGNLPADITEDEFKR</t>
  </si>
  <si>
    <t>TFNPGAGLPTDKK</t>
  </si>
  <si>
    <t>LGLDDFESLK</t>
  </si>
  <si>
    <t>DAQILYNAGENK</t>
  </si>
  <si>
    <t>AENFFILR</t>
  </si>
  <si>
    <t>NLDIERPTYTNLNR</t>
  </si>
  <si>
    <t>AVLFCLSEDKK</t>
  </si>
  <si>
    <t>ELKESLSEVEEK</t>
  </si>
  <si>
    <t>DKLDGNELDLSLSDLNEVPVK</t>
  </si>
  <si>
    <t>QTYFLPVIGLVDAEK</t>
  </si>
  <si>
    <t>TAFDEAIAELDTLNEDSYK</t>
  </si>
  <si>
    <t>ILAEDNLLWR</t>
  </si>
  <si>
    <t>AIAPPYSLCQTGEDLPK</t>
  </si>
  <si>
    <t>EKPPITVVGDVGGR</t>
  </si>
  <si>
    <t>RLQEENQVITPR</t>
  </si>
  <si>
    <t>RTIAQDYGVLK</t>
  </si>
  <si>
    <t>QVSDLISVLR</t>
  </si>
  <si>
    <t>AAVESLGFILFR</t>
  </si>
  <si>
    <t>AHAGQVTCVAASPHK</t>
  </si>
  <si>
    <t>ACTATLGNFAK</t>
  </si>
  <si>
    <t>IANPVEGSTDR</t>
  </si>
  <si>
    <t>MVAAVACAK</t>
  </si>
  <si>
    <t>TTPSYVAFTDTER</t>
  </si>
  <si>
    <t>HSLSFNDCFLK</t>
  </si>
  <si>
    <t>DYQELMNTK</t>
  </si>
  <si>
    <t>DHAVFTR</t>
  </si>
  <si>
    <t>IQLVEEELDRAQER</t>
  </si>
  <si>
    <t>FVVQNVSAQK</t>
  </si>
  <si>
    <t>LFVGNLPPDITEEEMR</t>
  </si>
  <si>
    <t>MDELKEGLR</t>
  </si>
  <si>
    <t>DQVANSAFVER</t>
  </si>
  <si>
    <t>DEILPTTPISEQK</t>
  </si>
  <si>
    <t>RGDDSFGDK</t>
  </si>
  <si>
    <t>LLQLVEDR</t>
  </si>
  <si>
    <t>ILTFDQLALESPK</t>
  </si>
  <si>
    <t>MLQHIDYR</t>
  </si>
  <si>
    <t>IIPGFMCQGGDFTR</t>
  </si>
  <si>
    <t>INVYYNEATGGK</t>
  </si>
  <si>
    <t>KLPSDVTEGEVISLGLPFGK</t>
  </si>
  <si>
    <t>LAQNAEDVYEAVR</t>
  </si>
  <si>
    <t>KQVVNIPSFIVR</t>
  </si>
  <si>
    <t>VEESSWLIEDGK</t>
  </si>
  <si>
    <t>ALEEANADLEVK</t>
  </si>
  <si>
    <t>DVNQQEFVR</t>
  </si>
  <si>
    <t>YSLRDEFPLLTTK</t>
  </si>
  <si>
    <t>MEELHNQEVQK</t>
  </si>
  <si>
    <t>GTGGNQREDEVQAGDTTVEDQVGTVASGPAK</t>
  </si>
  <si>
    <t>YIDQEELNK</t>
  </si>
  <si>
    <t>LVVPASQCGSLIGK</t>
  </si>
  <si>
    <t>GAEAANVTGPDGVPVEGSR</t>
  </si>
  <si>
    <t>TLIDDDNPPVSFVK</t>
  </si>
  <si>
    <t>ELISNASDALDK</t>
  </si>
  <si>
    <t>SSAIVEIFSK</t>
  </si>
  <si>
    <t>TICSHVQNMIK</t>
  </si>
  <si>
    <t>AGNLGGGVVTIER</t>
  </si>
  <si>
    <t>DAEDQEAQLK</t>
  </si>
  <si>
    <t>LTQDQDVDVK</t>
  </si>
  <si>
    <t>AEVDVADELLENLAK</t>
  </si>
  <si>
    <t>QNKPTGFALGSIEGR</t>
  </si>
  <si>
    <t>LQQPDTEAVLNGK</t>
  </si>
  <si>
    <t>GLFIIDDKGILR</t>
  </si>
  <si>
    <t>WLDLKDNPLDPVLAK</t>
  </si>
  <si>
    <t>YNPENLATLER</t>
  </si>
  <si>
    <t>LGEMWNNTAADDKQPYEK</t>
  </si>
  <si>
    <t>INNACFEAVVVTNTIPQEDK</t>
  </si>
  <si>
    <t>VWNAETGECIHTLYGHTSTVR</t>
  </si>
  <si>
    <t>CVLNEGMPIYR</t>
  </si>
  <si>
    <t>GILVASDSGAVELWELDENETLIVSK</t>
  </si>
  <si>
    <t>HCSQVDSVR</t>
  </si>
  <si>
    <t>VVFIFGPDKK</t>
  </si>
  <si>
    <t>LPNFGFVVFDDSEPVQK</t>
  </si>
  <si>
    <t>IDDDKDGFVTVDELK</t>
  </si>
  <si>
    <t>ALTVPELTQQMFDAK</t>
  </si>
  <si>
    <t>FMQTFVLAPEGSVANK</t>
  </si>
  <si>
    <t>GEHPGLSIGDVAK</t>
  </si>
  <si>
    <t>NFAEQLKPLVHLEK</t>
  </si>
  <si>
    <t>VEIIANDQGNR</t>
  </si>
  <si>
    <t>VLELNASDER</t>
  </si>
  <si>
    <t>SQSAAVTPSSSTSSAR</t>
  </si>
  <si>
    <t>YHAESLQNMSK</t>
  </si>
  <si>
    <t>GLDVDSLVIEHIQVNK</t>
  </si>
  <si>
    <t>KGDIFLVR</t>
  </si>
  <si>
    <t>GFESPSDNSSAVLLQWHEK</t>
  </si>
  <si>
    <t>SIVDVGLAQAR</t>
  </si>
  <si>
    <t>SIYGEKFEDENFILK</t>
  </si>
  <si>
    <t>IEDGNNFGVAVQEK</t>
  </si>
  <si>
    <t>SLEGTEAQVFK</t>
  </si>
  <si>
    <t>NQMLIEEEVQK</t>
  </si>
  <si>
    <t>FEELNADLFR</t>
  </si>
  <si>
    <t>VNSAAFPAPIEK</t>
  </si>
  <si>
    <t>DVHLSALTNILDAELIR</t>
  </si>
  <si>
    <t>RLEEELQQLK</t>
  </si>
  <si>
    <t>LMQSAKGDNMSQPQR</t>
  </si>
  <si>
    <t>ALYEALKENEK</t>
  </si>
  <si>
    <t>EDVFVHQTAIK</t>
  </si>
  <si>
    <t>QKVDLQSLPTR</t>
  </si>
  <si>
    <t>DSELDKHLESR</t>
  </si>
  <si>
    <t>LRPVNPSPLATK</t>
  </si>
  <si>
    <t>RPANQFVPR</t>
  </si>
  <si>
    <t>HSQFIGYPITLYLEK</t>
  </si>
  <si>
    <t>DSYLILETLPTEYDSR</t>
  </si>
  <si>
    <t>KQGGLGPMNIPLISDPK</t>
  </si>
  <si>
    <t>IQLVEEELDR</t>
  </si>
  <si>
    <t>SLYYYIQQDTK</t>
  </si>
  <si>
    <t>IGNEEIAYLVK</t>
  </si>
  <si>
    <t>TPSCCYLWCGK</t>
  </si>
  <si>
    <t>FGIDPNAELMYEVTLK</t>
  </si>
  <si>
    <t>GIVDQSQQAYQEAFEISKK</t>
  </si>
  <si>
    <t>ASGNYATVISHNPETK</t>
  </si>
  <si>
    <t>QRNEVVVELR</t>
  </si>
  <si>
    <t>ITDLYTDLRDGR</t>
  </si>
  <si>
    <t>LYQVEYAFK</t>
  </si>
  <si>
    <t>GTVTDFPGFDGR</t>
  </si>
  <si>
    <t>QITVNDLPVGR</t>
  </si>
  <si>
    <t>NYVQGINLVQAK</t>
  </si>
  <si>
    <t>ITNCQGVAR</t>
  </si>
  <si>
    <t>VCEEIAIIPSKK</t>
  </si>
  <si>
    <t>ASHTAPQVLFSHR</t>
  </si>
  <si>
    <t>IVATKPLYVALAQR</t>
  </si>
  <si>
    <t>GEGPEVDVSLPK</t>
  </si>
  <si>
    <t>TLEANTHVK</t>
  </si>
  <si>
    <t>QQISLATQMVR</t>
  </si>
  <si>
    <t>IEDLELVPVESK</t>
  </si>
  <si>
    <t>LQLEEER</t>
  </si>
  <si>
    <t>LKLQLEEER</t>
  </si>
  <si>
    <t>IEHPGLSIGDTAK</t>
  </si>
  <si>
    <t>EYTDENIQEGLAPKPPPPIK</t>
  </si>
  <si>
    <t>SSVSQVESDLK</t>
  </si>
  <si>
    <t>YVLVAGITPTPLGEGK</t>
  </si>
  <si>
    <t>GFIGPGIDVPAPDMSTGER</t>
  </si>
  <si>
    <t>LWDLTTGTTTR</t>
  </si>
  <si>
    <t>YVDIAIPCNNK</t>
  </si>
  <si>
    <t>ITITNDKGR</t>
  </si>
  <si>
    <t>VLNSYWVGEDSTYK</t>
  </si>
  <si>
    <t>LASYLDKVR</t>
  </si>
  <si>
    <t>TAAENAEKIEDELK</t>
  </si>
  <si>
    <t>NCTIVSPDAGGAK</t>
  </si>
  <si>
    <t>GPLVNASLR</t>
  </si>
  <si>
    <t>LSLDGQNIYNACCTLR</t>
  </si>
  <si>
    <t>AQPTTLVLPPQYVDDVISR</t>
  </si>
  <si>
    <t>VQQTVQDLFGR</t>
  </si>
  <si>
    <t>DAPLPDGQSLQGTLVSK</t>
  </si>
  <si>
    <t>GPTEQLVSPEPEVYEIVR</t>
  </si>
  <si>
    <t>STAGDTHLGGEDFDNR</t>
  </si>
  <si>
    <t>LLSSDRNPPIDDLIK</t>
  </si>
  <si>
    <t>LFLVQLQEK</t>
  </si>
  <si>
    <t>MTDQEAIQDLWQWR</t>
  </si>
  <si>
    <t>NSASATTPLSGNSSR</t>
  </si>
  <si>
    <t>NQLTSNPENTVFDAKR</t>
  </si>
  <si>
    <t>SNPNEVAPALQGVR</t>
  </si>
  <si>
    <t>SGAMSQALNFIK</t>
  </si>
  <si>
    <t>ITFDAFPGEPDKELNPK</t>
  </si>
  <si>
    <t>WTQTLAELDLAVPFR</t>
  </si>
  <si>
    <t>VHLVGIDIFTGK</t>
  </si>
  <si>
    <t>QEGIIFIGPPSSAIR</t>
  </si>
  <si>
    <t>IPLSQEEIPLQGHAFEAR</t>
  </si>
  <si>
    <t>DIELSPEAQSK</t>
  </si>
  <si>
    <t>DNNLLGKFELTGIPPAPR</t>
  </si>
  <si>
    <t>LIDTVKDPVSK</t>
  </si>
  <si>
    <t>FNADEFEDMVAEKR</t>
  </si>
  <si>
    <t>QYTGVNAISKK</t>
  </si>
  <si>
    <t>GLPWSCSAEEVMR</t>
  </si>
  <si>
    <t>GQPIYIQFSNHK</t>
  </si>
  <si>
    <t>DQTPDENDQVIVK</t>
  </si>
  <si>
    <t>TDPSTLTEEEVRK</t>
  </si>
  <si>
    <t>ITSLEVENQNLR</t>
  </si>
  <si>
    <t>YILAATLDNTLK</t>
  </si>
  <si>
    <t>EQVANSAFVER</t>
  </si>
  <si>
    <t>LSQLGLDAGK</t>
  </si>
  <si>
    <t>NSLTSKDPDIK</t>
  </si>
  <si>
    <t>LVAIVDVIDQNR</t>
  </si>
  <si>
    <t>GDDSFGDKYR</t>
  </si>
  <si>
    <t>YDQQAEEDLR</t>
  </si>
  <si>
    <t>APELLLGAR</t>
  </si>
  <si>
    <t>SFLLDLLNATGK</t>
  </si>
  <si>
    <t>SAVGHEYQSK</t>
  </si>
  <si>
    <t>VNFPENGFLSPDKLSLLEK</t>
  </si>
  <si>
    <t>YESLTDPSKLDSGK</t>
  </si>
  <si>
    <t>NIPGITLLNVSK</t>
  </si>
  <si>
    <t>ILPVFDEPPNPTNVEESLKR</t>
  </si>
  <si>
    <t>EGYVPQEEVPVYENK</t>
  </si>
  <si>
    <t>NLPPSGAVPVTGTPPHVVK</t>
  </si>
  <si>
    <t>SIQADGLVWGSSK</t>
  </si>
  <si>
    <t>GVVQDLQQAISK</t>
  </si>
  <si>
    <t>HLEINPDHSIIETLR</t>
  </si>
  <si>
    <t>KATAYILSIQADEHK</t>
  </si>
  <si>
    <t>NVQLQENEIR</t>
  </si>
  <si>
    <t>TLDNDIMLIK</t>
  </si>
  <si>
    <t>DGIILCELINK</t>
  </si>
  <si>
    <t>SFNRGDVFLLDLGK</t>
  </si>
  <si>
    <t>LRECLPLIIFLR</t>
  </si>
  <si>
    <t>MVVLLCNLKPAK</t>
  </si>
  <si>
    <t>VKPLQDQNELFGK</t>
  </si>
  <si>
    <t>QLEASLDALLNQVADLK</t>
  </si>
  <si>
    <t>GYISPYFINTSK</t>
  </si>
  <si>
    <t>IVDPNGLAR</t>
  </si>
  <si>
    <t>KLDELYGTWR</t>
  </si>
  <si>
    <t>NSLESYAFNMK</t>
  </si>
  <si>
    <t>YASINTHLGIEQSR</t>
  </si>
  <si>
    <t>FAISELFAK</t>
  </si>
  <si>
    <t>ELAPLQELIEK</t>
  </si>
  <si>
    <t>ITPSYVAFTPEGER</t>
  </si>
  <si>
    <t>LFVGNLPTDITEEDFKR</t>
  </si>
  <si>
    <t>TDILCNLPSYK</t>
  </si>
  <si>
    <t>ETANAIVSQQTPQR</t>
  </si>
  <si>
    <t>INEDWLCNK</t>
  </si>
  <si>
    <t>TPAQYDASELK</t>
  </si>
  <si>
    <t>LTAEDDALNQIAR</t>
  </si>
  <si>
    <t>NIVLSGGSTMFR</t>
  </si>
  <si>
    <t>QLETVLDDLDPENALLPAGFR</t>
  </si>
  <si>
    <t>IYEYVESR</t>
  </si>
  <si>
    <t>EAGDVCYADVYR</t>
  </si>
  <si>
    <t>DSYVGDEAQSK</t>
  </si>
  <si>
    <t>VNDTIQIDLETGK</t>
  </si>
  <si>
    <t>SDGSLLLGVSSLSGR</t>
  </si>
  <si>
    <t>STLNEIYFGK</t>
  </si>
  <si>
    <t>RLFEGNALLR</t>
  </si>
  <si>
    <t>TSVGPSKPVSQPR</t>
  </si>
  <si>
    <t>LVEALCAEHQINLIK</t>
  </si>
  <si>
    <t>NAAQFLLSTNDK</t>
  </si>
  <si>
    <t>SQIHDIVLVGGSTR</t>
  </si>
  <si>
    <t>FGPYYTEPVIAGLDPK</t>
  </si>
  <si>
    <t>YLAEVATGEK</t>
  </si>
  <si>
    <t>YYVTIIDAPGHR</t>
  </si>
  <si>
    <t>ALLEVVQSGGK</t>
  </si>
  <si>
    <t>TVALWDLR</t>
  </si>
  <si>
    <t>EDEVQAGDTTVEDQVGTVASGPAK</t>
  </si>
  <si>
    <t>LSPIAPAPGFSPSAAR</t>
  </si>
  <si>
    <t>MHGGGPSVTAGVPLKK</t>
  </si>
  <si>
    <t>DMLLANKVPAAAR</t>
  </si>
  <si>
    <t>SAVGFEYQGK</t>
  </si>
  <si>
    <t>GPCIIYNEDNGIIK</t>
  </si>
  <si>
    <t>AVAVVVDPIQSVK</t>
  </si>
  <si>
    <t>ELTDEEAERLQLEIDQK</t>
  </si>
  <si>
    <t>VSEEAVKR</t>
  </si>
  <si>
    <t>HTESLESLLSK</t>
  </si>
  <si>
    <t>GNFNYIEFTR</t>
  </si>
  <si>
    <t>FGIICMEDLIHEIYTVGK</t>
  </si>
  <si>
    <t>DSQEEEKTEALTSAK</t>
  </si>
  <si>
    <t>YLAEVACGDDRK</t>
  </si>
  <si>
    <t>DPYALDLIDK</t>
  </si>
  <si>
    <t>VYEGERPLTK</t>
  </si>
  <si>
    <t>HQSAVTCLQFNK</t>
  </si>
  <si>
    <t>ISDAHLADTMIGK</t>
  </si>
  <si>
    <t>FDDAVVQSDMK</t>
  </si>
  <si>
    <t>GHLENNPALEK</t>
  </si>
  <si>
    <t>TLTQCSWLLDGFPR</t>
  </si>
  <si>
    <t>SCENLAPFSTALQLLK</t>
  </si>
  <si>
    <t>GTVLLSGPR</t>
  </si>
  <si>
    <t>VTIAQGGVLPNIQAVLLPK</t>
  </si>
  <si>
    <t>FDDDFHIYVYDLVK</t>
  </si>
  <si>
    <t>ALDEGDIALLK</t>
  </si>
  <si>
    <t>ELAQQVQQVAAEYCR</t>
  </si>
  <si>
    <t>VAEFHTELER</t>
  </si>
  <si>
    <t>IAAEIAQAEEQAR</t>
  </si>
  <si>
    <t>EVGIPPEQSLETAK</t>
  </si>
  <si>
    <t>QYPPSTQVEVQNDGAESPIFQQLFQK</t>
  </si>
  <si>
    <t>LFIGGLNVQTSESGLR</t>
  </si>
  <si>
    <t>SGLCSPSYVAVATSFSPR</t>
  </si>
  <si>
    <t>CFIVGADNVGSK</t>
  </si>
  <si>
    <t>VPNGGAAGGGLPVSTVR</t>
  </si>
  <si>
    <t>LPFPIIDDKGR</t>
  </si>
  <si>
    <t>TPTPSAPTLLK</t>
  </si>
  <si>
    <t>GKDCAVIVTQK</t>
  </si>
  <si>
    <t>STNGDTFLGGEDFDQALLR</t>
  </si>
  <si>
    <t>TIAECLADELINAAK</t>
  </si>
  <si>
    <t>DAVSGMGVIVHVIEK</t>
  </si>
  <si>
    <t>SAPGGGNKVPQK</t>
  </si>
  <si>
    <t>GAPVGGHILSYLLEK</t>
  </si>
  <si>
    <t>EFNEDGALAVLQQFK</t>
  </si>
  <si>
    <t>AYVRDPYALDLIDK</t>
  </si>
  <si>
    <t>LGEYGFQNAILVR</t>
  </si>
  <si>
    <t>DVAGDIFHQQCK</t>
  </si>
  <si>
    <t>AMVSNAQLDNEK</t>
  </si>
  <si>
    <t>SPFSVGVSPSLDLSK</t>
  </si>
  <si>
    <t>SKVDEAVAVLQAHQAK</t>
  </si>
  <si>
    <t>NIIGVIPYFPYSK</t>
  </si>
  <si>
    <t>SHYFEVEIVDPGEK</t>
  </si>
  <si>
    <t>SPYQEFTDHLVK</t>
  </si>
  <si>
    <t>LYIVGGSDPYGQK</t>
  </si>
  <si>
    <t>TPAQFDADELR</t>
  </si>
  <si>
    <t>LLLWAQNELDQKK</t>
  </si>
  <si>
    <t>INPDGSQSVVEVPYAR</t>
  </si>
  <si>
    <t>VFEVSLADLQNDEVAFR</t>
  </si>
  <si>
    <t>QSVEADINGLR</t>
  </si>
  <si>
    <t>FTDEYQLFEELGK</t>
  </si>
  <si>
    <t>FGYVDFESAEDLEK</t>
  </si>
  <si>
    <t>CEFQDAYVLLSEK</t>
  </si>
  <si>
    <t>AGLNCSTETMPIK</t>
  </si>
  <si>
    <t>EPVEDPQSGSSGK</t>
  </si>
  <si>
    <t>LSETSIKDR</t>
  </si>
  <si>
    <t>ETLQNSEQEQPKPNTGK</t>
  </si>
  <si>
    <t>IIEEAPAPGINPEVR</t>
  </si>
  <si>
    <t>SEQQAEALDSPQK</t>
  </si>
  <si>
    <t>FAQHGTFEYEYSQR</t>
  </si>
  <si>
    <t>LTVADALEPVQFEDGEK</t>
  </si>
  <si>
    <t>VFDPQSDKPSK</t>
  </si>
  <si>
    <t>ELVSLKQEQQAFK</t>
  </si>
  <si>
    <t>GNVGFVFTKEDLTEIR</t>
  </si>
  <si>
    <t>AYQKQPTIFQNK</t>
  </si>
  <si>
    <t>DASDDLDDLNFFNQK</t>
  </si>
  <si>
    <t>ATTVNIGSISTADGSALVK</t>
  </si>
  <si>
    <t>YLAEVAAGDDKK</t>
  </si>
  <si>
    <t>GQQASPFVLR</t>
  </si>
  <si>
    <t>VSDEIVQQYQIK</t>
  </si>
  <si>
    <t>TIVITSHPGQIVK</t>
  </si>
  <si>
    <t>DLNYCFSGMSDHR</t>
  </si>
  <si>
    <t>QEGDLGPVYGFQWR</t>
  </si>
  <si>
    <t>KHPDSSVNFAEFSK</t>
  </si>
  <si>
    <t>ALIAAQYSGAQVR</t>
  </si>
  <si>
    <t>QAASGLVGQENAR</t>
  </si>
  <si>
    <t>THEDLFIIPIPNCDR</t>
  </si>
  <si>
    <t>VYNIEFNPPK</t>
  </si>
  <si>
    <t>DKLNNLVLFDK</t>
  </si>
  <si>
    <t>AELNEFLTR</t>
  </si>
  <si>
    <t>EAFSLFDKDGDGTITTK</t>
  </si>
  <si>
    <t>VYSASLESLLTK</t>
  </si>
  <si>
    <t>IGATSFSHR</t>
  </si>
  <si>
    <t>ISVYYNEATGGK</t>
  </si>
  <si>
    <t>YGGISTASVDFEQPTR</t>
  </si>
  <si>
    <t>QNGVLNSWTDQDSK</t>
  </si>
  <si>
    <t>NASCTLSSAVHSQGVTR</t>
  </si>
  <si>
    <t>LLDSSTVTHLFK</t>
  </si>
  <si>
    <t>DSTLIMQLLR</t>
  </si>
  <si>
    <t>IAWPPPAELGGSGSALEEGIK</t>
  </si>
  <si>
    <t>AAGVSVEPFWPGLFAK</t>
  </si>
  <si>
    <t>VVGVLLGSWQK</t>
  </si>
  <si>
    <t>SQHLLHLQQQQK</t>
  </si>
  <si>
    <t>GLAPDLPEDLYHLIK</t>
  </si>
  <si>
    <t>EIQGFFSFPVDNLR</t>
  </si>
  <si>
    <t>ALYGDTLVTGFAR</t>
  </si>
  <si>
    <t>KAVELDLVPGR</t>
  </si>
  <si>
    <t>ILGLLDTHLK</t>
  </si>
  <si>
    <t>SSDTGSSNALPK</t>
  </si>
  <si>
    <t>DLLDLLVEAK</t>
  </si>
  <si>
    <t>LLEVQGSRPGK</t>
  </si>
  <si>
    <t>ALGEPITLFGEGPAER</t>
  </si>
  <si>
    <t>GPDGLTALEATDNQAIK</t>
  </si>
  <si>
    <t>AENQRPAEDSALSPGPLAGAK</t>
  </si>
  <si>
    <t>NDTKEDVFVHQTAIK</t>
  </si>
  <si>
    <t>FASFIDKVR</t>
  </si>
  <si>
    <t>QIGVEHVVVYVNK</t>
  </si>
  <si>
    <t>KYDAFLASESLIK</t>
  </si>
  <si>
    <t>TNSTFNQVVLKR</t>
  </si>
  <si>
    <t>IVTDRETGSSK</t>
  </si>
  <si>
    <t>VLETAEDIQER</t>
  </si>
  <si>
    <t>QISQAYEVLADSK</t>
  </si>
  <si>
    <t>EITEGDEVEVYSR</t>
  </si>
  <si>
    <t>FNVWDTAGQEK</t>
  </si>
  <si>
    <t>LGGFDNIESGAVWK</t>
  </si>
  <si>
    <t>MESGIEPSVDLETLDER</t>
  </si>
  <si>
    <t>IATEKDFLEAVNK</t>
  </si>
  <si>
    <t>CNEIISWLDK</t>
  </si>
  <si>
    <t>YFQFQEEGKEGENR</t>
  </si>
  <si>
    <t>AIANECQANFISIK</t>
  </si>
  <si>
    <t>VAQLEQVYIR</t>
  </si>
  <si>
    <t>LYVANVGTNR</t>
  </si>
  <si>
    <t>AVGTPVAAAPSSSFTPGFLR</t>
  </si>
  <si>
    <t>NQTAEKEEFEHQQK</t>
  </si>
  <si>
    <t>VLGTDELYGYLK</t>
  </si>
  <si>
    <t>MKLDYILGLK</t>
  </si>
  <si>
    <t>KGSQITQQSTNQSR</t>
  </si>
  <si>
    <t>SVGDGETVEFDVVEGEK</t>
  </si>
  <si>
    <t>LPIGDVATQYFADR</t>
  </si>
  <si>
    <t>IEEVPELPLVVEDK</t>
  </si>
  <si>
    <t>AILVDLEPGTMDSVR</t>
  </si>
  <si>
    <t>ILPVFDEPPNPTNVEESLK</t>
  </si>
  <si>
    <t>KGAISSEEIIK</t>
  </si>
  <si>
    <t>FNLTGLNEQVPHYR</t>
  </si>
  <si>
    <t>GAQVEEIWSLEPESFEK</t>
  </si>
  <si>
    <t>AGLRPGDVILAIGEK</t>
  </si>
  <si>
    <t>GVDDLDFFIGDEAIEKPTYATK</t>
  </si>
  <si>
    <t>VLGTAFDPFLGGK</t>
  </si>
  <si>
    <t>FPAFELGFLQKD</t>
  </si>
  <si>
    <t>NQYDNDVTVWSPQGR</t>
  </si>
  <si>
    <t>VGEPVALSEEER</t>
  </si>
  <si>
    <t>FSAEDEALSNIAR</t>
  </si>
  <si>
    <t>YSSSSLFEQLEEK</t>
  </si>
  <si>
    <t>GDVAEGDLIEHFSQFGAVEK</t>
  </si>
  <si>
    <t>IEDVTPIPSDSTR</t>
  </si>
  <si>
    <t>KLEAAATALATK</t>
  </si>
  <si>
    <t>TQFSDKPVQDR</t>
  </si>
  <si>
    <t>YLAEVACGDDR</t>
  </si>
  <si>
    <t>QGGPTYYIDTNALR</t>
  </si>
  <si>
    <t>NNTEDKLYNLLLLR</t>
  </si>
  <si>
    <t>LAEDILNTMFDASYSK</t>
  </si>
  <si>
    <t>TVIGCSGFHGDCLTLTK</t>
  </si>
  <si>
    <t>NDLAVVDVR</t>
  </si>
  <si>
    <t>SLNMESNFITGAGVLALIDALR</t>
  </si>
  <si>
    <t>YNLGLDLR</t>
  </si>
  <si>
    <t>TAVDSLVAYSVK</t>
  </si>
  <si>
    <t>GFVEFAAKPPAR</t>
  </si>
  <si>
    <t>IKIEHPGLSIGDTAK</t>
  </si>
  <si>
    <t>ALGQNPTNAEVLK</t>
  </si>
  <si>
    <t>LNPHKDNDGGAGDLEDSLVAL</t>
  </si>
  <si>
    <t>VIDPATATSVDLR</t>
  </si>
  <si>
    <t>TNQELQEINR</t>
  </si>
  <si>
    <t>TFTDCFNCLPIAAIVDEK</t>
  </si>
  <si>
    <t>VLQSLGSEPIQYAVPVVK</t>
  </si>
  <si>
    <t>KGLTPSQIGVILR</t>
  </si>
  <si>
    <t>LSAEKVEIATLTR</t>
  </si>
  <si>
    <t>ALESSIAPIVIFASNR</t>
  </si>
  <si>
    <t>IQNAGGSVMIQR</t>
  </si>
  <si>
    <t>GIYPSETFTR</t>
  </si>
  <si>
    <t>QGGLGPMNIPLISDPK</t>
  </si>
  <si>
    <t>SEIDLLDIR</t>
  </si>
  <si>
    <t>SELDLLDIR</t>
  </si>
  <si>
    <t>SLQQTVELLTK</t>
  </si>
  <si>
    <t>FLHGVIVAADSR</t>
  </si>
  <si>
    <t>ISVMGGEQAATVLATVAR</t>
  </si>
  <si>
    <t>EGNVPNIIIAGPPGTGK</t>
  </si>
  <si>
    <t>CWEVQDSGQTIPK</t>
  </si>
  <si>
    <t>FGFPEGSVELYAEK</t>
  </si>
  <si>
    <t>NTAFQPVSFQEEK</t>
  </si>
  <si>
    <t>GNLVYIIDFGLAK</t>
  </si>
  <si>
    <t>DGLGSDNIGSR</t>
  </si>
  <si>
    <t>YMVADKFTELQK</t>
  </si>
  <si>
    <t>AITIAGIPQSIIECVK</t>
  </si>
  <si>
    <t>GAGTDDHTLIR</t>
  </si>
  <si>
    <t>VLISSLQDCLHGIESK</t>
  </si>
  <si>
    <t>IASLPQEVQDVSLLEK</t>
  </si>
  <si>
    <t>RGPCIIYNEDNGIIK</t>
  </si>
  <si>
    <t>LQLSVQKPDQVIK</t>
  </si>
  <si>
    <t>IWDLAQQVSLNSYR</t>
  </si>
  <si>
    <t>NQLTSNPENTVFDAK</t>
  </si>
  <si>
    <t>DICNDVLSLLEK</t>
  </si>
  <si>
    <t>MSVQPTVSLGGFEITPPVVLR</t>
  </si>
  <si>
    <t>IVLTNPVCTEVGEK</t>
  </si>
  <si>
    <t>KASSEGGAATGAGLDSLHK</t>
  </si>
  <si>
    <t>FAAATGATPIAGR</t>
  </si>
  <si>
    <t>FAQPGSFEYEYAMR</t>
  </si>
  <si>
    <t>IFHGSGVGDPFGPR</t>
  </si>
  <si>
    <t>VSDYTSTTGLVPCSATPTTFGDLR</t>
  </si>
  <si>
    <t>EAGGGGVGGPGAK</t>
  </si>
  <si>
    <t>RPDQQLQGDGK</t>
  </si>
  <si>
    <t>WALSQSNPSALR</t>
  </si>
  <si>
    <t>TNSTFNQVVLK</t>
  </si>
  <si>
    <t>NVQLTENEIR</t>
  </si>
  <si>
    <t>IIEETLALK</t>
  </si>
  <si>
    <t>TAADVVSPGANSVDR</t>
  </si>
  <si>
    <t>KDSTSLSPAR</t>
  </si>
  <si>
    <t>VAASNIVQMK</t>
  </si>
  <si>
    <t>VDKSAVGFEYQGK</t>
  </si>
  <si>
    <t>VDQSAVGFEYQGK</t>
  </si>
  <si>
    <t>EFLEEPDKLQEGSK</t>
  </si>
  <si>
    <t>GFAFVTFDDHDSVDK</t>
  </si>
  <si>
    <t>ITNQVHGLK</t>
  </si>
  <si>
    <t>GAGTDEFTLNR</t>
  </si>
  <si>
    <t>SAEFLLHMLK</t>
  </si>
  <si>
    <t>LISWYDNEYGYSNR</t>
  </si>
  <si>
    <t>APQETYADIGGLDNQIQEIK</t>
  </si>
  <si>
    <t>GAGTGGLGLAVEGPSEAK</t>
  </si>
  <si>
    <t>VLALSVETEYTFPLTEK</t>
  </si>
  <si>
    <t>LVFSPHSVPLLTSLSEDCSLAVLDSSLSEVFR</t>
  </si>
  <si>
    <t>ATSLNSNDVFILK</t>
  </si>
  <si>
    <t>ISDSEGFKANLSLLR</t>
  </si>
  <si>
    <t>MSSYAFFVQTCR</t>
  </si>
  <si>
    <t>DVDGVTDINLGK</t>
  </si>
  <si>
    <t>QSIPNVLQGEVAR</t>
  </si>
  <si>
    <t>GVLETFSGTETNK</t>
  </si>
  <si>
    <t>ILAQSNNQQLR</t>
  </si>
  <si>
    <t>DVDFELIKVEGK</t>
  </si>
  <si>
    <t>VLEQLTGQTPVFSK</t>
  </si>
  <si>
    <t>VDIDVPDVNIEGPDAK</t>
  </si>
  <si>
    <t>AVAEQVLHSQSR</t>
  </si>
  <si>
    <t>VDNDENEHQLSLR</t>
  </si>
  <si>
    <t>RFEEEGNPYYSSAR</t>
  </si>
  <si>
    <t>NAESNAELK</t>
  </si>
  <si>
    <t>EASDPQPEDVDGGLK</t>
  </si>
  <si>
    <t>DQIPELENNEKAPK</t>
  </si>
  <si>
    <t>GPSSVEDIKAK</t>
  </si>
  <si>
    <t>VEAQVYILSK</t>
  </si>
  <si>
    <t>EQIVPKPEEEVAQK</t>
  </si>
  <si>
    <t>SLTNDWEDHLAVK</t>
  </si>
  <si>
    <t>VFSANSTAACTELAK</t>
  </si>
  <si>
    <t>IIYIVHDEVKDK</t>
  </si>
  <si>
    <t>ACSAIHAVNLR</t>
  </si>
  <si>
    <t>YGEPGEVFINK</t>
  </si>
  <si>
    <t>ADSLLLTAVK</t>
  </si>
  <si>
    <t>YALYDATYETK</t>
  </si>
  <si>
    <t>NNQGTVNWSVEDIVK</t>
  </si>
  <si>
    <t>AIGNIVTGTDEQTQK</t>
  </si>
  <si>
    <t>NSSVGLIQLNRPK</t>
  </si>
  <si>
    <t>DSQVVQVVLDGLK</t>
  </si>
  <si>
    <t>AENLQLLTENELHR</t>
  </si>
  <si>
    <t>SEADAEKNLEEK</t>
  </si>
  <si>
    <t>CEGINISGNFYR</t>
  </si>
  <si>
    <t>LIGQQGLVDGVFLVR</t>
  </si>
  <si>
    <t>STVTIGLVQALTAHLK</t>
  </si>
  <si>
    <t>SNLPATAGSEIPGGSTK</t>
  </si>
  <si>
    <t>LKPNLGNGADLPNYR</t>
  </si>
  <si>
    <t>TVDFTQDSNYLLTGGQDK</t>
  </si>
  <si>
    <t>TVESEAASYLDQISR</t>
  </si>
  <si>
    <t>VSLEDLYNGK</t>
  </si>
  <si>
    <t>VLANPGNSQVAR</t>
  </si>
  <si>
    <t>GLGTDEDSLIEIICSR</t>
  </si>
  <si>
    <t>FSPNSSNPIIVSCGWDK</t>
  </si>
  <si>
    <t>QYYTLLNQAPDMLHR</t>
  </si>
  <si>
    <t>SAPDFTATAVVDGAFKEIK</t>
  </si>
  <si>
    <t>VPVHDVTDASK</t>
  </si>
  <si>
    <t>LLESLDQLELR</t>
  </si>
  <si>
    <t>DFTLPISDVR</t>
  </si>
  <si>
    <t>GYPSEFATYLNFCR</t>
  </si>
  <si>
    <t>FATHAAALSVR</t>
  </si>
  <si>
    <t>GVTNDQVDPSVDVLK</t>
  </si>
  <si>
    <t>VGYELKDEIER</t>
  </si>
  <si>
    <t>SSGTASSVAFTPLQGLEIVNPQAAEK</t>
  </si>
  <si>
    <t>VHLVGIDIFTGKK</t>
  </si>
  <si>
    <t>LSDDNTIGQEEIQQR</t>
  </si>
  <si>
    <t>DYGVLLESAGIALR</t>
  </si>
  <si>
    <t>VLIEGSINSVR</t>
  </si>
  <si>
    <t>ELQAHGADELLKR</t>
  </si>
  <si>
    <t>GSYGDLGGPIITTQVTIPK</t>
  </si>
  <si>
    <t>EGATVYATGTHALVEDGK</t>
  </si>
  <si>
    <t>VAGQDGSVVQFK</t>
  </si>
  <si>
    <t>LFYSTFATDDR</t>
  </si>
  <si>
    <t>YEDICPSTHNMDVPNIK</t>
  </si>
  <si>
    <t>EAEQILATAVYQAK</t>
  </si>
  <si>
    <t>EAGAGGLAIAVEGPSK</t>
  </si>
  <si>
    <t>GVVDSEDIPLNLSR</t>
  </si>
  <si>
    <t>GVVDSEDLPLNISR</t>
  </si>
  <si>
    <t>SSTPLHVHTVPR</t>
  </si>
  <si>
    <t>LNPQTGLIDYDQLALTAR</t>
  </si>
  <si>
    <t>LYQTDPSGTYHAWK</t>
  </si>
  <si>
    <t>LIGNMALLPLR</t>
  </si>
  <si>
    <t>SLNMESNFITGAGVLALIDALRDNETLMELK</t>
  </si>
  <si>
    <t>NQYLSAIASDTEQEPK</t>
  </si>
  <si>
    <t>YMTISGFQIEETIDR</t>
  </si>
  <si>
    <t>QSGEAFVELESEDDVK</t>
  </si>
  <si>
    <t>LGESQTLQQFSR</t>
  </si>
  <si>
    <t>SQSSDTEQPSPTSGGGK</t>
  </si>
  <si>
    <t>ISASNAVCAPLTWVPGDPR</t>
  </si>
  <si>
    <t>DTDIVDEAIYYFK</t>
  </si>
  <si>
    <t>HPDSSVNFAEFSK</t>
  </si>
  <si>
    <t>EQDLQVFDLESK</t>
  </si>
  <si>
    <t>ASNPGQFESDSDVLWQR</t>
  </si>
  <si>
    <t>IVEPYIAWGYPNLK</t>
  </si>
  <si>
    <t>GYSFSLTTFSPSGK</t>
  </si>
  <si>
    <t>IGLVEALCGFQFTFK</t>
  </si>
  <si>
    <t>LTSDDVKEQIYK</t>
  </si>
  <si>
    <t>AGVNTVTTLVENKK</t>
  </si>
  <si>
    <t>VVIFQQEQENK</t>
  </si>
  <si>
    <t>LQLHESQKDYK</t>
  </si>
  <si>
    <t>VGQVIQAQGR</t>
  </si>
  <si>
    <t>ELAEDGYSGVEVR</t>
  </si>
  <si>
    <t>NMQNVEHVPLTLDR</t>
  </si>
  <si>
    <t>FDLVPVPPNLYGDFFTGDAYVILK</t>
  </si>
  <si>
    <t>AEGQVLVLDGR</t>
  </si>
  <si>
    <t>GKDVVVDIQR</t>
  </si>
  <si>
    <t>ELETVCNDVLALLDK</t>
  </si>
  <si>
    <t>GAEADQIIEYLK</t>
  </si>
  <si>
    <t>DAYSGGAVNLYHVR</t>
  </si>
  <si>
    <t>TPAILYTYSGLR</t>
  </si>
  <si>
    <t>TIAQDYGVLK</t>
  </si>
  <si>
    <t>IFVGGLNPEATEEK</t>
  </si>
  <si>
    <t>SFLALDWDPDLK</t>
  </si>
  <si>
    <t>ATAVMPDGQFKDISLSEYK</t>
  </si>
  <si>
    <t>EATNPPIIQEEKPK</t>
  </si>
  <si>
    <t>SEQQAEALDSPQKK</t>
  </si>
  <si>
    <t>VPVFSHEVVPDHLR</t>
  </si>
  <si>
    <t>GLPWSCSADEVQR</t>
  </si>
  <si>
    <t>AVENSSTAIGIR</t>
  </si>
  <si>
    <t>VGWEQLLTTIAR</t>
  </si>
  <si>
    <t>LQPSSSPETGLDPFPSR</t>
  </si>
  <si>
    <t>LAPEYEAAATR</t>
  </si>
  <si>
    <t>SLESLDTSLFAK</t>
  </si>
  <si>
    <t>SPVGLGPEGVSSASSAR</t>
  </si>
  <si>
    <t>IGQETVQDIVYR</t>
  </si>
  <si>
    <t>NIEDVIAQGVGK</t>
  </si>
  <si>
    <t>GNASSSQVDEGQMNR</t>
  </si>
  <si>
    <t>LGFAGVVQEISFGTTK</t>
  </si>
  <si>
    <t>ISEASSIEAAMGIK</t>
  </si>
  <si>
    <t>IGIIGGTGLDDPEILEGR</t>
  </si>
  <si>
    <t>ILDKCNEIISWLDK</t>
  </si>
  <si>
    <t>LFEGNALLR</t>
  </si>
  <si>
    <t>EVATNSELVQSGK</t>
  </si>
  <si>
    <t>IIETLSQQLQAK</t>
  </si>
  <si>
    <t>ASGNYATVISHNPETKK</t>
  </si>
  <si>
    <t>LVEEAIQCAEK</t>
  </si>
  <si>
    <t>LYGSGGPPPTGEEDTSEKDEL</t>
  </si>
  <si>
    <t>VLELVFSYLELSELR</t>
  </si>
  <si>
    <t>SEAEQKLPLGTR</t>
  </si>
  <si>
    <t>KDAEDQEAQLK</t>
  </si>
  <si>
    <t>DLGTTDSGPYFEK</t>
  </si>
  <si>
    <t>AAILPTSIFLTNKK</t>
  </si>
  <si>
    <t>SLFSSIGEVESAK</t>
  </si>
  <si>
    <t>IANLQTDLSDGLR</t>
  </si>
  <si>
    <t>ATEEPSGTGSDELIK</t>
  </si>
  <si>
    <t>LEVEANNAFDQYR</t>
  </si>
  <si>
    <t>TIAQDYGVLKADEGISFR</t>
  </si>
  <si>
    <t>QNLSQFEAQAR</t>
  </si>
  <si>
    <t>APVPTGEVYFADSFDR</t>
  </si>
  <si>
    <t>LQAQQDAVNIVCHSK</t>
  </si>
  <si>
    <t>AVANQTSATFLR</t>
  </si>
  <si>
    <t>GLVLPVGGSSTSGSLQTK</t>
  </si>
  <si>
    <t>TFGENYVQELLEK</t>
  </si>
  <si>
    <t>IEDELKAER</t>
  </si>
  <si>
    <t>EFSEIQLSR</t>
  </si>
  <si>
    <t>EVYQQQQYGSGGR</t>
  </si>
  <si>
    <t>IFSGSSHQDLSQK</t>
  </si>
  <si>
    <t>LFSGSSHQDLSQK</t>
  </si>
  <si>
    <t>VASLEESKGDR</t>
  </si>
  <si>
    <t>AGSREPVEDPQSGSSGK</t>
  </si>
  <si>
    <t>IIAFVGSPVEDNEKDLVK</t>
  </si>
  <si>
    <t>VCGTLLEYLGK</t>
  </si>
  <si>
    <t>HENVVNLIEICR</t>
  </si>
  <si>
    <t>TLTIVDTGIGMTK</t>
  </si>
  <si>
    <t>TLTLVDTGIGMTK</t>
  </si>
  <si>
    <t>QTFNPGDTNALVAAVAFGK</t>
  </si>
  <si>
    <t>GFAFVEFSHLQDATR</t>
  </si>
  <si>
    <t>GFGFVDFNSEEDAK</t>
  </si>
  <si>
    <t>LSEGFSIHTR</t>
  </si>
  <si>
    <t>SLGDDISSETSGDFRK</t>
  </si>
  <si>
    <t>SGEEGMPDLAHVMR</t>
  </si>
  <si>
    <t>GTVLDQVPVNPSLYLIK</t>
  </si>
  <si>
    <t>DLSHIGDAVVISCAK</t>
  </si>
  <si>
    <t>FLENQEQEYVQAVK</t>
  </si>
  <si>
    <t>LFQECCPHSTDR</t>
  </si>
  <si>
    <t>AINQGGLTSVAVR</t>
  </si>
  <si>
    <t>PGPTPSGTNVGSSGR</t>
  </si>
  <si>
    <t>NLANTVTEEILEK</t>
  </si>
  <si>
    <t>IQVIDISMILAEAIR</t>
  </si>
  <si>
    <t>SLTNDWEEHLAVK</t>
  </si>
  <si>
    <t>ALVSQLHER</t>
  </si>
  <si>
    <t>GAVYSFDPVGSYQR</t>
  </si>
  <si>
    <t>GQDIFIIQTIPR</t>
  </si>
  <si>
    <t>SGSGTMNLGGSLTR</t>
  </si>
  <si>
    <t>FSPNGEWLASSSADK</t>
  </si>
  <si>
    <t>IIYGGSVTGATCK</t>
  </si>
  <si>
    <t>FILNLPTFSVR</t>
  </si>
  <si>
    <t>TPCQQELDQVLER</t>
  </si>
  <si>
    <t>QLDSGLLLVTGPLVINR</t>
  </si>
  <si>
    <t>ITGEAFVQFASQELAEK</t>
  </si>
  <si>
    <t>AYEAQTEPVLQYYQK</t>
  </si>
  <si>
    <t>VLGDLSSEDGCTYLK</t>
  </si>
  <si>
    <t>TLSSSTQASIEIDSLYEGIDFYTSITR</t>
  </si>
  <si>
    <t>ELNELKDQIQDVEGK</t>
  </si>
  <si>
    <t>LYDNLLEQNLIR</t>
  </si>
  <si>
    <t>VWSEVNQAVLDYENR</t>
  </si>
  <si>
    <t>IRLESEEEGVPSTAIR</t>
  </si>
  <si>
    <t>LCYVGYNIEQEQK</t>
  </si>
  <si>
    <t>SVTEQGAELSNEER</t>
  </si>
  <si>
    <t>NPDDITNEEYGEFYK</t>
  </si>
  <si>
    <t>EALLSSAVDHGSDEAR</t>
  </si>
  <si>
    <t>HSGNITFDEIVNIAR</t>
  </si>
  <si>
    <t>EGGLGPLNIPLLADVTK</t>
  </si>
  <si>
    <t>FSVQTMCPIEGEGNIAR</t>
  </si>
  <si>
    <t>NASTFEEVVQVPSAYQK</t>
  </si>
  <si>
    <t>VNDTIQIDLETGKITDFIK</t>
  </si>
  <si>
    <t>DLYANTVLSGGTTMYPGIADR</t>
  </si>
  <si>
    <t>DLYANTVLSGGTTMYPGLADR</t>
  </si>
  <si>
    <t>LVLLELNFLPTTGTK</t>
  </si>
  <si>
    <t>LEGMLSQSVSSQYNMAGVR</t>
  </si>
  <si>
    <t>VTAQGPGLEPSGNIANK</t>
  </si>
  <si>
    <t>DIYDLKDQIHDVEGR</t>
  </si>
  <si>
    <t>SLGYAYVNFQQPADAER</t>
  </si>
  <si>
    <t>VVDSLQLTGTKPVATPVDWK</t>
  </si>
  <si>
    <t>GSSYGVTSTESYKETLHK</t>
  </si>
  <si>
    <t>LVVVISNIESGEVLER</t>
  </si>
  <si>
    <t>FTDEEVDELYR</t>
  </si>
  <si>
    <t>VVTDTDETELAR</t>
  </si>
  <si>
    <t>SVLDAAQIVGLNCLR</t>
  </si>
  <si>
    <t>WGTDEEKFITIFGTR</t>
  </si>
  <si>
    <t>FGLLDQDLSNIGPAYDNQK</t>
  </si>
  <si>
    <t>NDSLQAFLQDR</t>
  </si>
  <si>
    <t>LPGGELNPGEDEVEGLK</t>
  </si>
  <si>
    <t>IGGIGTVPVGR</t>
  </si>
  <si>
    <t>AGAIAPCEVTVPAQNTGLGPEK</t>
  </si>
  <si>
    <t>IFDIDEAEEAIKDVK</t>
  </si>
  <si>
    <t>IIAFVGSPVEDNEK</t>
  </si>
  <si>
    <t>NVTELNEPLSNEER</t>
  </si>
  <si>
    <t>LDQLIYIPLPDEK</t>
  </si>
  <si>
    <t>ESCLEAYTGIVQGLK</t>
  </si>
  <si>
    <t>DLDEDELLGKLSESELK</t>
  </si>
  <si>
    <t>FVIGGPQGDAGLTGR</t>
  </si>
  <si>
    <t>DLVDDLKSELTGK</t>
  </si>
  <si>
    <t>IALTDNSLIAR</t>
  </si>
  <si>
    <t>DRFSAEDEALSNIAR</t>
  </si>
  <si>
    <t>ATAGAYIASQTVK</t>
  </si>
  <si>
    <t>SLPEEQEQEQEVIGSK</t>
  </si>
  <si>
    <t>ADIDLASGSSAVEGK</t>
  </si>
  <si>
    <t>VPAPEVASGPDPEEEIR</t>
  </si>
  <si>
    <t>VCTLAIIDPGDSDIIR</t>
  </si>
  <si>
    <t>GTGTDEDALIEILTTR</t>
  </si>
  <si>
    <t>VPFESEDNQGIVYAWVGR</t>
  </si>
  <si>
    <t>SVVALHNLINNK</t>
  </si>
  <si>
    <t>IADGYEQAAR</t>
  </si>
  <si>
    <t>VYAILTHGIFSGPAISR</t>
  </si>
  <si>
    <t>DSNYFEVSIVDSGVR</t>
  </si>
  <si>
    <t>SNLAYDIVQLPTGLTGIK</t>
  </si>
  <si>
    <t>MPACNIMLLGAQR</t>
  </si>
  <si>
    <t>AIAELGIYPAVDPLDSTSR</t>
  </si>
  <si>
    <t>GENLVSMTVEGPPPK</t>
  </si>
  <si>
    <t>KYEDICPSTHNMDVPNIK</t>
  </si>
  <si>
    <t>FPAFELGFLQK</t>
  </si>
  <si>
    <t>LPGGELNPGEDEVEGLKR</t>
  </si>
  <si>
    <t>LIGPNCPGVINPGECK</t>
  </si>
  <si>
    <t>DIQDSLTVSNEVQTAK</t>
  </si>
  <si>
    <t>IVSGSDDNTLKVWSAVTGK</t>
  </si>
  <si>
    <t>CAGNEDIITLR</t>
  </si>
  <si>
    <t>LPACVVDCGTGYTK</t>
  </si>
  <si>
    <t>NPIAQSTDGAR</t>
  </si>
  <si>
    <t>ELIEQLQNKPSDLGTK</t>
  </si>
  <si>
    <t>DSDKTDTDWR</t>
  </si>
  <si>
    <t>VLSNTGWGQTQIK</t>
  </si>
  <si>
    <t>VPPAINQFTQALDR</t>
  </si>
  <si>
    <t>LGYAGNTEPQFIIPSCIAIK</t>
  </si>
  <si>
    <t>MGQMAMGGAMGINNR</t>
  </si>
  <si>
    <t>IIVDELKQEVISTSSK</t>
  </si>
  <si>
    <t>EILGTAQSVGCNVDGR</t>
  </si>
  <si>
    <t>AHQVVEDGYEFFAK</t>
  </si>
  <si>
    <t>TGEAIVDAALSALR</t>
  </si>
  <si>
    <t>IEVLQQHENEDIYK</t>
  </si>
  <si>
    <t>VGLTNYAAAYCTGLLLAR</t>
  </si>
  <si>
    <t>AASILNYQDNSFR</t>
  </si>
  <si>
    <t>NVLCSACSGQGGK</t>
  </si>
  <si>
    <t>TGAIVDVPVGEELLGR</t>
  </si>
  <si>
    <t>YQAVTATLEEK</t>
  </si>
  <si>
    <t>YGLTLLTTTDPELIK</t>
  </si>
  <si>
    <t>LNPVTTDEDLEIIFSR</t>
  </si>
  <si>
    <t>AFGPGLQGGNAGSPAR</t>
  </si>
  <si>
    <t>AGVNTVTTLVENK</t>
  </si>
  <si>
    <t>KDLYANTVLSGGTTMYPGIADR</t>
  </si>
  <si>
    <t>KDLYANTVLSGGTTMYPGLADR</t>
  </si>
  <si>
    <t>GNEFFCEVDEDYIQDK</t>
  </si>
  <si>
    <t>APEYTEPLGGLQQSLK</t>
  </si>
  <si>
    <t>FDTGNLCMVTGGANLGR</t>
  </si>
  <si>
    <t>ETSGNLEQLLLAVVK</t>
  </si>
  <si>
    <t>AEAGDNLGALVR</t>
  </si>
  <si>
    <t>VSGVECMIVANDATVK</t>
  </si>
  <si>
    <t>FSASGELGNGNIK</t>
  </si>
  <si>
    <t>AFIANFQDNLHSVNR</t>
  </si>
  <si>
    <t>ELLELDSVETGGQDSVR</t>
  </si>
  <si>
    <t>QTSLDAVAQAVVDR</t>
  </si>
  <si>
    <t>QVEDDIQQLLK</t>
  </si>
  <si>
    <t>FNADEFEDMVAEK</t>
  </si>
  <si>
    <t>NAIANASTLAEVER</t>
  </si>
  <si>
    <t>AVTEQGAELSNEER</t>
  </si>
  <si>
    <t>LLSALEDLEVLSR</t>
  </si>
  <si>
    <t>LQGEVVAFDYQSK</t>
  </si>
  <si>
    <t>NYEDGMEVETTPTVAGQFEDADVDH</t>
  </si>
  <si>
    <t>NVDLLSDMVQEHDEPILK</t>
  </si>
  <si>
    <t>GCALQCAILSPAFK</t>
  </si>
  <si>
    <t>TPITQVNEVTGTLR</t>
  </si>
  <si>
    <t>TEGLSVLNQAMAVIK</t>
  </si>
  <si>
    <t>TILSNQTVDIPENVEITLK</t>
  </si>
  <si>
    <t>SINPDEAVAYGAAVQAAILSGDK</t>
  </si>
  <si>
    <t>ELISNASDALDKIR</t>
  </si>
  <si>
    <t>QVVVEGQEPANFWMALGGK</t>
  </si>
  <si>
    <t>VEGSEPTTPFNLFIGNLNPNK</t>
  </si>
  <si>
    <t>GPSALSTSPLLTAPHK</t>
  </si>
  <si>
    <t>DMLLELEEQLAESQR</t>
  </si>
  <si>
    <t>TCTTVAFTQVNSEDKGALAK</t>
  </si>
  <si>
    <t>HTGPNSPDTANDGFVR</t>
  </si>
  <si>
    <t>DREVGIPPEQSLETAK</t>
  </si>
  <si>
    <t>KTDFFIGGEEGMAEK</t>
  </si>
  <si>
    <t>AEQINQAAGEASAVLAK</t>
  </si>
  <si>
    <t>GLGTDEDSILNLLTSR</t>
  </si>
  <si>
    <t>VWDPETETCLHTLQGHTNR</t>
  </si>
  <si>
    <t>HEDCYILDQGGLK</t>
  </si>
  <si>
    <t>AAAASAAEAGIATPGTEDSDDALLK</t>
  </si>
  <si>
    <t>DNMSVVLVCFSNAPK</t>
  </si>
  <si>
    <t>VWLDPNETNEIANANSR</t>
  </si>
  <si>
    <t>ALVTPASTLTLLTR</t>
  </si>
  <si>
    <t>TIGGGDDSFNTFFSETGAGK</t>
  </si>
  <si>
    <t>IEAINQAIANEYEVR</t>
  </si>
  <si>
    <t>ETKDTDIVDEAIYYFK</t>
  </si>
  <si>
    <t>GIVDQSQQAYQEAFEISK</t>
  </si>
  <si>
    <t>LSKAEQDIATLEQSISR</t>
  </si>
  <si>
    <t>ALQSVGQIVGEVLK</t>
  </si>
  <si>
    <t>SQYNFIADVVEK</t>
  </si>
  <si>
    <t>AVFVDLEPTVIDEVR</t>
  </si>
  <si>
    <t>QQSAAASTDSKPIDASR</t>
  </si>
  <si>
    <t>QTTVSNSQQAYQEAFEISK</t>
  </si>
  <si>
    <t>AQILDKATEYIQYMR</t>
  </si>
  <si>
    <t>SGNYPSSLSNETDR</t>
  </si>
  <si>
    <t>NVSSFPDDATSPLQENR</t>
  </si>
  <si>
    <t>VDQGTLFELILAANYLDIK</t>
  </si>
  <si>
    <t>EVEVAASTAAGALAQR</t>
  </si>
  <si>
    <t>HPHDIIDDINSGAVECPAS</t>
  </si>
  <si>
    <t>KFGYVDFESAEDLEK</t>
  </si>
  <si>
    <t>LIEESPIDEVVVTNTVPHELQK</t>
  </si>
  <si>
    <t>GINSNNLESQLQATQAAR</t>
  </si>
  <si>
    <t>SAPKEDDASASTSQSSR</t>
  </si>
  <si>
    <t>VAAQNLIQNTNIDNGQK</t>
  </si>
  <si>
    <t>GITINAAHVEYSTAAR</t>
  </si>
  <si>
    <t>SQFEELCAELLQK</t>
  </si>
  <si>
    <t>KEGGLGPLNIPLLADVTK</t>
  </si>
  <si>
    <t>DSTYSMSSTLTLTKDEYER</t>
  </si>
  <si>
    <t>DGNKVDVVGATQGQAGSCSR</t>
  </si>
  <si>
    <t>VIGLSSDLQQVGGASAR</t>
  </si>
  <si>
    <t>DIKDTTVGTLSQR</t>
  </si>
  <si>
    <t>QANASEVMGPVEAAPEYR</t>
  </si>
  <si>
    <t>TPAGLQVLNDYLADK</t>
  </si>
  <si>
    <t>ALAVGGLGSIIR</t>
  </si>
  <si>
    <t>GEELLSPLNLEQAAYAR</t>
  </si>
  <si>
    <t>LASVPAGGAVAVSAAPGSAAPAAGSAPAAAEEK</t>
  </si>
  <si>
    <t>EYFGQFGEIEAIELPIDPK</t>
  </si>
  <si>
    <t>FQSIVIGCALEDQKK</t>
  </si>
  <si>
    <t>PGHLQEGFGCVVTNR</t>
  </si>
  <si>
    <t>VDVVGATQGQAGSCSR</t>
  </si>
  <si>
    <t>SLGDDISSETSGDFR</t>
  </si>
  <si>
    <t>SSGEIVYCGKVFEK</t>
  </si>
  <si>
    <t>SSGEIVYCGQVFEK</t>
  </si>
  <si>
    <t>LNEGVVEFASYGDLK</t>
  </si>
  <si>
    <t>KDYEEIGPSICR</t>
  </si>
  <si>
    <t>GFSSGSAVVSGGSR</t>
  </si>
  <si>
    <t>NVPQEESLEDSDVDADFK</t>
  </si>
  <si>
    <t>TAVVVGTVTDDVR</t>
  </si>
  <si>
    <t>KLEVEANNAFDQYR</t>
  </si>
  <si>
    <t>YEHDDIVSTVTVLSSGTQAVSGSK</t>
  </si>
  <si>
    <t>SLGETQLALSSDLK</t>
  </si>
  <si>
    <t>YAICSALAASALPALVMSK</t>
  </si>
  <si>
    <t>QYTSPEEIDAQLQAEK</t>
  </si>
  <si>
    <t>VNPTVFFDITADDEPLGR</t>
  </si>
  <si>
    <t>LEALNQSINIEQSQSDR</t>
  </si>
  <si>
    <t>DVGDLTQEAFDLISK</t>
  </si>
  <si>
    <t>SRTGSESSQTGASATSGR</t>
  </si>
  <si>
    <t>VEGAHSLSAASVSSK</t>
  </si>
  <si>
    <t>QVYEEEYGSNLEDDVVGDTSGYYQR</t>
  </si>
  <si>
    <t>NVLDSEDEIEELSK</t>
  </si>
  <si>
    <t>IQVLQQKADDAEER</t>
  </si>
  <si>
    <t>LICCDILDVLDK</t>
  </si>
  <si>
    <t>VPTPNVSVVDLTCR</t>
  </si>
  <si>
    <t>YDCGEEILITVLSAMTEEAAVAIK</t>
  </si>
  <si>
    <t>AFLADPSAFAAAAPAAAATTAAPAAAAAPAK</t>
  </si>
  <si>
    <t>SSQEAPSAEAGFATADLSGR</t>
  </si>
  <si>
    <t>SQDVGFWEGEVVR</t>
  </si>
  <si>
    <t>SAAQAAAQTNSNAAGK</t>
  </si>
  <si>
    <t>IIDVVYNASNNELVR</t>
  </si>
  <si>
    <t>ALYDTFSAFGNILSCK</t>
  </si>
  <si>
    <t>SSLSSAQADFNQLAELDR</t>
  </si>
  <si>
    <t>AEDNADTLALVFEAPNQEK</t>
  </si>
  <si>
    <t>HSGPNSADSANDGFVR</t>
  </si>
  <si>
    <t>SAPDFTATAVVDGAFK</t>
  </si>
  <si>
    <t>LEQELFSGGNTGINFEK</t>
  </si>
  <si>
    <t>LLTETEDWLYEEGEDQAK</t>
  </si>
  <si>
    <t>MATEVAADALGEEWK</t>
  </si>
  <si>
    <t>LFIGGLSFETTDESLR</t>
  </si>
  <si>
    <t>NYTDDAIETDDLTIK</t>
  </si>
  <si>
    <t>SLAGSSGPGASSGPGGDHSELIVR</t>
  </si>
  <si>
    <t>EGRPSGEAFVELESEDEVK</t>
  </si>
  <si>
    <t>VYSLQFDGIHVVSGSLDTSIR</t>
  </si>
  <si>
    <t>GFGYAEFEDLDSLLSALSLNEESLGNR</t>
  </si>
  <si>
    <t>ASSEGGAATGAGLDSLHK</t>
  </si>
  <si>
    <t>DMDSDYSGQGVDQLQK</t>
  </si>
  <si>
    <t>ETEAALEFAQTQLAEQGEESR</t>
  </si>
  <si>
    <t>LGTQPDSASSTYQENYEQMK</t>
  </si>
  <si>
    <t>VHGLTLQISEDSLSNK</t>
  </si>
  <si>
    <t>AAFDDAIAELDTLSEESYK</t>
  </si>
  <si>
    <t>AGYTTDESSSSSLHTTR</t>
  </si>
  <si>
    <t>VNDSTMLGASGDYADFQYLK</t>
  </si>
  <si>
    <t>SSAQLQTNYPSSDNSLYTNAK</t>
  </si>
  <si>
    <t>NQGGYGGSSSSSSYGSGR</t>
  </si>
  <si>
    <t>AAVPSGASTGIYEALELR</t>
  </si>
  <si>
    <t>LYIGLAGLATDVQTVAQR</t>
  </si>
  <si>
    <t>GVPQIEVTFDIDANGILNVSAVDK</t>
  </si>
  <si>
    <t>TAFDDAIAELDTLNEDSYK</t>
  </si>
  <si>
    <t>LCYVALDFEQEMATAASSSSLEK</t>
  </si>
  <si>
    <t>GVDNTFADELVELSTALEHQEYITFLEDLK</t>
  </si>
  <si>
    <t>HNSYTCEATHK</t>
  </si>
  <si>
    <t>SGVAISVAVHR</t>
  </si>
  <si>
    <t>ILLTEPPMNPTK</t>
  </si>
  <si>
    <t>EDCGQDASAVPSSAAPLCQK</t>
  </si>
  <si>
    <t>WLEARTTAVMR</t>
  </si>
  <si>
    <t>MELLPETSSLTQK</t>
  </si>
  <si>
    <t>SFQVESNSNEKDFEPGK</t>
  </si>
  <si>
    <t>MLMKFGDDPVTK</t>
  </si>
  <si>
    <t>DGVPEGTQLQAHR</t>
  </si>
  <si>
    <t>EELNALK</t>
  </si>
  <si>
    <t>MHDYENQPVKQR</t>
  </si>
  <si>
    <t>VTLTPEEEAR</t>
  </si>
  <si>
    <t>DVDAAYMNKVELQAK</t>
  </si>
  <si>
    <t>TLELQGLINDLQR</t>
  </si>
  <si>
    <t>QMGAISLDLDR</t>
  </si>
  <si>
    <t>VFNVGEYR</t>
  </si>
  <si>
    <t>GVLMYGPPGCGK</t>
  </si>
  <si>
    <t>EPQLLSQR</t>
  </si>
  <si>
    <t>EVTNEMIVTKNGR</t>
  </si>
  <si>
    <t>AITIAGVPQSVTECVK</t>
  </si>
  <si>
    <t>QDSSAVGFDYK</t>
  </si>
  <si>
    <t>MMRAESSMPLSK</t>
  </si>
  <si>
    <t>IGPLGLSPK</t>
  </si>
  <si>
    <t>ITQEESSMSPLNTER</t>
  </si>
  <si>
    <t>VAPAPAVVK</t>
  </si>
  <si>
    <t>APDLSSSVR</t>
  </si>
  <si>
    <t>RTDDIPVWDQEFLK</t>
  </si>
  <si>
    <t>ISVINGGSK</t>
  </si>
  <si>
    <t>FKNWDDVLTVDYTR</t>
  </si>
  <si>
    <t>GGKPEPPAMPQPVPTA</t>
  </si>
  <si>
    <t>GGVASGFK</t>
  </si>
  <si>
    <t>GGVASGMK</t>
  </si>
  <si>
    <t>DVGLSTLVR</t>
  </si>
  <si>
    <t>TNPMKANAGASVMSEPLTSR</t>
  </si>
  <si>
    <t>EVSYFSTWNLPK</t>
  </si>
  <si>
    <t>ESCFIEVKILEK</t>
  </si>
  <si>
    <t>GLLPMEAAVR</t>
  </si>
  <si>
    <t>YEELQVTAVK</t>
  </si>
  <si>
    <t>KYVQLEYHHR</t>
  </si>
  <si>
    <t>ALYEAGER</t>
  </si>
  <si>
    <t>AVTELNEPLSNEDR</t>
  </si>
  <si>
    <t>VGQSIIQSTEDPFPK</t>
  </si>
  <si>
    <t>GTLDPVEK</t>
  </si>
  <si>
    <t>EISVPADK</t>
  </si>
  <si>
    <t>AETPGPQIK</t>
  </si>
  <si>
    <t>QYGRWAVISGATDGIGK</t>
  </si>
  <si>
    <t>VSNGAGSMSVSLVADENPFAQGALR</t>
  </si>
  <si>
    <t>GDDAAKAMEFPR</t>
  </si>
  <si>
    <t>ALTVPELTQQVFDAK</t>
  </si>
  <si>
    <t>VAGMDVELTVEER</t>
  </si>
  <si>
    <t>NADPILISLK</t>
  </si>
  <si>
    <t>FTITPPSAQVVGVLK</t>
  </si>
  <si>
    <t>ALGDYDYK</t>
  </si>
  <si>
    <t>GSGIFDESTPVKTR</t>
  </si>
  <si>
    <t>GSGIFDESTPVQTR</t>
  </si>
  <si>
    <t>AQSELAAHQK</t>
  </si>
  <si>
    <t>GVNTFSPEGR</t>
  </si>
  <si>
    <t>GAHFVQLCCQR</t>
  </si>
  <si>
    <t>FTISDHPQPIDPLLK</t>
  </si>
  <si>
    <t>FLYMWPNAR</t>
  </si>
  <si>
    <t>SAGLLLNDFKGVR</t>
  </si>
  <si>
    <t>EQAELTGLR</t>
  </si>
  <si>
    <t>ASLSTDICSGLASDGGGAR</t>
  </si>
  <si>
    <t>MMPCFEK</t>
  </si>
  <si>
    <t>TLMATKCPR</t>
  </si>
  <si>
    <t>TFELLLNSR</t>
  </si>
  <si>
    <t>LIAEESVSLLAAALR</t>
  </si>
  <si>
    <t>LSWVLVSSR</t>
  </si>
  <si>
    <t>VSGSQEPRPAR</t>
  </si>
  <si>
    <t>KDQAPSEAELER</t>
  </si>
  <si>
    <t>QPSQGPTFGVK</t>
  </si>
  <si>
    <t>SETSYHSFR</t>
  </si>
  <si>
    <t>AVQRCVGR</t>
  </si>
  <si>
    <t>EKLEAEMEAAR</t>
  </si>
  <si>
    <t>NVSIGIVGK</t>
  </si>
  <si>
    <t>YEQLQNETR</t>
  </si>
  <si>
    <t>DADETKEWIEEK</t>
  </si>
  <si>
    <t>ENISGIGLLVPVTGR</t>
  </si>
  <si>
    <t>QLFHPEQLITGK</t>
  </si>
  <si>
    <t>ISKLEQQLAK</t>
  </si>
  <si>
    <t>KENQWCEEK</t>
  </si>
  <si>
    <t>SLQNEQGCQVTLGR</t>
  </si>
  <si>
    <t>ELALYVLSFLEPK</t>
  </si>
  <si>
    <t>EEEIAALVIDNGSGMCK</t>
  </si>
  <si>
    <t>KGFADIPTGK</t>
  </si>
  <si>
    <t>ILVALCGGN</t>
  </si>
  <si>
    <t>QAQPSSKPASGNRR</t>
  </si>
  <si>
    <t>CSQGLKYPGDIENFSEVQR</t>
  </si>
  <si>
    <t>DYEAEGIAK</t>
  </si>
  <si>
    <t>VIQWCTHHK</t>
  </si>
  <si>
    <t>LLIHQSLAGGIIGVK</t>
  </si>
  <si>
    <t>ALEDMGGSLQIMENKSR</t>
  </si>
  <si>
    <t>LCPNSTGAEIR</t>
  </si>
  <si>
    <t>LAPVAGIMLR</t>
  </si>
  <si>
    <t>EASGNDLSPR</t>
  </si>
  <si>
    <t>TLEELEELGK</t>
  </si>
  <si>
    <t>ESPPSKFLLSK</t>
  </si>
  <si>
    <t>QYILSRQSAMSVR</t>
  </si>
  <si>
    <t>QNTPQFVK</t>
  </si>
  <si>
    <t>QQDLSGHFLTSGK</t>
  </si>
  <si>
    <t>FQGPFVRER</t>
  </si>
  <si>
    <t>SEVHPPLSFPELSEEFNPR</t>
  </si>
  <si>
    <t>ASKELLPADTLSR</t>
  </si>
  <si>
    <t>TKPYIQVDIGGGQTK</t>
  </si>
  <si>
    <t>DLLQAAQTCR</t>
  </si>
  <si>
    <t>VGMGQKDSYVGDEAQSK</t>
  </si>
  <si>
    <t>LEAALGEAKK</t>
  </si>
  <si>
    <t>EHSKTSGEAR</t>
  </si>
  <si>
    <t>LQLHESQK</t>
  </si>
  <si>
    <t>WLGEPIK</t>
  </si>
  <si>
    <t>VDGWATLFLR</t>
  </si>
  <si>
    <t>FVNVMSAR</t>
  </si>
  <si>
    <t>TPDENGNLGK</t>
  </si>
  <si>
    <t>LGALALK</t>
  </si>
  <si>
    <t>VASSGLQSVVHR</t>
  </si>
  <si>
    <t>RSSIGLGTMLIIAK</t>
  </si>
  <si>
    <t>DNYVPEVSALDQEIIEVDPDTK</t>
  </si>
  <si>
    <t>FYTQQWEDYR</t>
  </si>
  <si>
    <t>APEPCNPK</t>
  </si>
  <si>
    <t>SKLDEVENK</t>
  </si>
  <si>
    <t>ADPLWDTR</t>
  </si>
  <si>
    <t>KIPNPDFFEDLEPFK</t>
  </si>
  <si>
    <t>KFEFELNQSATSYFK</t>
  </si>
  <si>
    <t>LLDEVFFSEK</t>
  </si>
  <si>
    <t>ADEGISFR</t>
  </si>
  <si>
    <t>DVEREDIEFICK</t>
  </si>
  <si>
    <t>DGGSERSSR</t>
  </si>
  <si>
    <t>VDGEKDTYSYLA</t>
  </si>
  <si>
    <t>QTVAVGVIK</t>
  </si>
  <si>
    <t>KITIGQGSTEK</t>
  </si>
  <si>
    <t>QVCEIIESPLFLK</t>
  </si>
  <si>
    <t>EIQGFFNIPVDNLR</t>
  </si>
  <si>
    <t>LSVDYGKK</t>
  </si>
  <si>
    <t>EPGSRDTR</t>
  </si>
  <si>
    <t>NVGLDIEAEVPAVK</t>
  </si>
  <si>
    <t>NDFTEEEEAQVRK</t>
  </si>
  <si>
    <t>MFQDIGVSK</t>
  </si>
  <si>
    <t>QTMMTLETLK</t>
  </si>
  <si>
    <t>ELLLQPVTISR</t>
  </si>
  <si>
    <t>EDEVDNGAKTK</t>
  </si>
  <si>
    <t>TDPIDCEYLVGRAGDAK</t>
  </si>
  <si>
    <t>FGVMSPDPR</t>
  </si>
  <si>
    <t>NDFTEEEEAQVR</t>
  </si>
  <si>
    <t>TDPSTLTEEEVR</t>
  </si>
  <si>
    <t>QLIVGVNK</t>
  </si>
  <si>
    <t>GVVENMMLIKEK</t>
  </si>
  <si>
    <t>DVQVPVCPLCNAPIPVK</t>
  </si>
  <si>
    <t>MVIPDPNKVMAGVK</t>
  </si>
  <si>
    <t>LGIHEDSTNR</t>
  </si>
  <si>
    <t>DLSFIPLR</t>
  </si>
  <si>
    <t>LADNGEVGGFSTFK</t>
  </si>
  <si>
    <t>VFFSEGAQANR</t>
  </si>
  <si>
    <t>HESGASIK</t>
  </si>
  <si>
    <t>QLQQVGTVSK</t>
  </si>
  <si>
    <t>DDYSRDDYR</t>
  </si>
  <si>
    <t>FFRIQGDGGGIK</t>
  </si>
  <si>
    <t>WIDTTSGIYNSDK</t>
  </si>
  <si>
    <t>EGSGNPTPLINPLAGR</t>
  </si>
  <si>
    <t>TKFETEQALR</t>
  </si>
  <si>
    <t>MKETAEAYLGK</t>
  </si>
  <si>
    <t>FGWAIEDNAESR</t>
  </si>
  <si>
    <t>LLNQPNQWPLVK</t>
  </si>
  <si>
    <t>IETLDPALIRPGR</t>
  </si>
  <si>
    <t>LSIVPVRR</t>
  </si>
  <si>
    <t>STGLELDTPSLVPVKK</t>
  </si>
  <si>
    <t>FDGALNVDLTEFQTNLVPYPR</t>
  </si>
  <si>
    <t>YVGAGTVEFIMDSR</t>
  </si>
  <si>
    <t>LSILSEER</t>
  </si>
  <si>
    <t>QNLQEEKER</t>
  </si>
  <si>
    <t>LALQALTEK</t>
  </si>
  <si>
    <t>QFLDFLLPEK</t>
  </si>
  <si>
    <t>YNEDLELEDAIHTAILTLK</t>
  </si>
  <si>
    <t>NAAEELKPR</t>
  </si>
  <si>
    <t>KNNLEPVPSTR</t>
  </si>
  <si>
    <t>GIVEFSGKPAAR</t>
  </si>
  <si>
    <t>YLPHSAGR</t>
  </si>
  <si>
    <t>YAVLYQPLFDKR</t>
  </si>
  <si>
    <t>DPEAQFEMPYVVR</t>
  </si>
  <si>
    <t>EFGASKLR</t>
  </si>
  <si>
    <t>EFKSELR</t>
  </si>
  <si>
    <t>DLGTDSQIFISR</t>
  </si>
  <si>
    <t>LFIGGLPNYLNDDQVK</t>
  </si>
  <si>
    <t>VLAMSGDPNYLHR</t>
  </si>
  <si>
    <t>WAESVENFK</t>
  </si>
  <si>
    <t>SSDVNRNK</t>
  </si>
  <si>
    <t>DCKEQSGK</t>
  </si>
  <si>
    <t>MTNGFSGADLTEICQR</t>
  </si>
  <si>
    <t>VSELCIYEAKVR</t>
  </si>
  <si>
    <t>MALANVSSVK</t>
  </si>
  <si>
    <t>TFVVQGFGNVGLHSMR</t>
  </si>
  <si>
    <t>FQQSQIR</t>
  </si>
  <si>
    <t>ISDANLR</t>
  </si>
  <si>
    <t>HMMQVIEPQFQR</t>
  </si>
  <si>
    <t>LDQQALPLGGR</t>
  </si>
  <si>
    <t>YIEDKDVFQK</t>
  </si>
  <si>
    <t>LAADDFR</t>
  </si>
  <si>
    <t>DSATDLR</t>
  </si>
  <si>
    <t>IVAEEFLK</t>
  </si>
  <si>
    <t>VNQPASFAVSLNGAK</t>
  </si>
  <si>
    <t>MGVQSVAVYSEADR</t>
  </si>
  <si>
    <t>GAPANVSSSDLTGR</t>
  </si>
  <si>
    <t>DTVAHIQEELATLR</t>
  </si>
  <si>
    <t>QRDELIEK</t>
  </si>
  <si>
    <t>FDVQFPENNWINPDK</t>
  </si>
  <si>
    <t>DHYLAAHAEQQHK</t>
  </si>
  <si>
    <t>LDHGSEVR</t>
  </si>
  <si>
    <t>DYLLCDYNR</t>
  </si>
  <si>
    <t>YALYDASFETK</t>
  </si>
  <si>
    <t>ADDDLVSFTEVTDTLVK</t>
  </si>
  <si>
    <t>NNGNSADLPLSR</t>
  </si>
  <si>
    <t>YEPKGAGIDQEMK</t>
  </si>
  <si>
    <t>SLSQNYGVLK</t>
  </si>
  <si>
    <t>VPFLVAETPR</t>
  </si>
  <si>
    <t>FDLLATNFPPLPGSSSR</t>
  </si>
  <si>
    <t>FAQPGTFEFEYASR</t>
  </si>
  <si>
    <t>NDEGIAYR</t>
  </si>
  <si>
    <t>LLGATELPIVTPALR</t>
  </si>
  <si>
    <t>DLLTAYYDVDYEK</t>
  </si>
  <si>
    <t>EAPELITQQLAHLLR</t>
  </si>
  <si>
    <t>SICTTVLELLDK</t>
  </si>
  <si>
    <t>TGTAYTFFTPNNIK</t>
  </si>
  <si>
    <t>APQVYTIPPPK</t>
  </si>
  <si>
    <t>YAALYQPLFDK</t>
  </si>
  <si>
    <t>LALVTGGEIASTFDHPELVK</t>
  </si>
  <si>
    <t>HGENEYNLQGK</t>
  </si>
  <si>
    <t>LIDLHSPSEIVK</t>
  </si>
  <si>
    <t>FQFLYDVQLPIVEK</t>
  </si>
  <si>
    <t>AGKEPGLQIWR</t>
  </si>
  <si>
    <t>VGINYQPPTVVPGGDLAK</t>
  </si>
  <si>
    <t>SQIFSTASDNQPTVTIK</t>
  </si>
  <si>
    <t>SEQEITALEQNVIRLESQVTR</t>
  </si>
  <si>
    <t>GNSLGCVKEPK</t>
  </si>
  <si>
    <t>ELQELVQYPVEHPDK</t>
  </si>
  <si>
    <t>FGSRPEAVIQSR</t>
  </si>
  <si>
    <t>EPIDQEMR</t>
  </si>
  <si>
    <t>EPLDQEMR</t>
  </si>
  <si>
    <t>QDLPNAEEKPR</t>
  </si>
  <si>
    <t>QGTKINEIR</t>
  </si>
  <si>
    <t>IHFPLATYAPVISAEK</t>
  </si>
  <si>
    <t>IEDELKAEK</t>
  </si>
  <si>
    <t>VDVADQAQDK</t>
  </si>
  <si>
    <t>SIKETICSQDER</t>
  </si>
  <si>
    <t>VPECLYTLPSLR</t>
  </si>
  <si>
    <t>VTGQNQEQFLLLAK</t>
  </si>
  <si>
    <t>SPAVTLNER</t>
  </si>
  <si>
    <t>YEELQVTAGR</t>
  </si>
  <si>
    <t>THLSLSHEPDKK</t>
  </si>
  <si>
    <t>DAGTIAGLNVMR</t>
  </si>
  <si>
    <t>DGNDLHMTYK</t>
  </si>
  <si>
    <t>VPVDPATYGQFYGGDSYIILYNYR</t>
  </si>
  <si>
    <t>DGIIDFTSGSELLITK</t>
  </si>
  <si>
    <t>AEDKEWIPVTK</t>
  </si>
  <si>
    <t>ESNPALGIDCLHK</t>
  </si>
  <si>
    <t>ELTAVVQK</t>
  </si>
  <si>
    <t>TIDDLEDKLK</t>
  </si>
  <si>
    <t>VQLSLLER</t>
  </si>
  <si>
    <t>SSNPMMVLQLPER</t>
  </si>
  <si>
    <t>GTTASQMAQALALDK</t>
  </si>
  <si>
    <t>VNVEEVGGEALGR</t>
  </si>
  <si>
    <t>AEVGVPAEFGIWTR</t>
  </si>
  <si>
    <t>YLLLAGAPR</t>
  </si>
  <si>
    <t>LAEIGAPIQGSR</t>
  </si>
  <si>
    <t>QACGFEYTSK</t>
  </si>
  <si>
    <t>HGIVEDWDLMER</t>
  </si>
  <si>
    <t>FSELTSEK</t>
  </si>
  <si>
    <t>FGQGGAGPVGGQGPR</t>
  </si>
  <si>
    <t>DGLLPEDTFIVGYAR</t>
  </si>
  <si>
    <t>QLDSVLWR</t>
  </si>
  <si>
    <t>GTGIVSAPVPK</t>
  </si>
  <si>
    <t>EFNKYDTDGSK</t>
  </si>
  <si>
    <t>VGEFSGANK</t>
  </si>
  <si>
    <t>LGGNPGTNSR</t>
  </si>
  <si>
    <t>DVNFEFPEFQL</t>
  </si>
  <si>
    <t>AKFEELNMDLFR</t>
  </si>
  <si>
    <t>HNIQALLK</t>
  </si>
  <si>
    <t>ELNDFISYLQR</t>
  </si>
  <si>
    <t>LVSIDSK</t>
  </si>
  <si>
    <t>VSVGEFVGEGEGK</t>
  </si>
  <si>
    <t>LLGPDAAINLADPDGALAK</t>
  </si>
  <si>
    <t>WSTDDVQINDISLQDYIAVK</t>
  </si>
  <si>
    <t>AQFEGIVTDLIK</t>
  </si>
  <si>
    <t>IMGVAGGLTNLSK</t>
  </si>
  <si>
    <t>VVDDWANDGWGLKK</t>
  </si>
  <si>
    <t>EQQQQQLQQQQFLQR</t>
  </si>
  <si>
    <t>IFGYPVGIIGNNGVLFSESAK</t>
  </si>
  <si>
    <t>DFNHINVELSLLGK</t>
  </si>
  <si>
    <t>LIEVDDER</t>
  </si>
  <si>
    <t>IQDGLGELKK</t>
  </si>
  <si>
    <t>STDQTVLEELASIK</t>
  </si>
  <si>
    <t>SNNVEMDWVLK</t>
  </si>
  <si>
    <t>GATQQILDEAER</t>
  </si>
  <si>
    <t>ADAEVLRK</t>
  </si>
  <si>
    <t>ASGAGGQLLR</t>
  </si>
  <si>
    <t>LPQLPITNFSR</t>
  </si>
  <si>
    <t>ADAAPTVSIFPPSSEQLTSGGASVVCFLNNFYPK</t>
  </si>
  <si>
    <t>VGAHGSEEGAVFK</t>
  </si>
  <si>
    <t>SGVLDTLTK</t>
  </si>
  <si>
    <t>HQQLLGEVLTQLSSR</t>
  </si>
  <si>
    <t>SAAENAEKIEDELK</t>
  </si>
  <si>
    <t>FACHSASLTVR</t>
  </si>
  <si>
    <t>AVQQPDGLAVLGIFLK</t>
  </si>
  <si>
    <t>LPHVLLLQLGTTFFK</t>
  </si>
  <si>
    <t>VAPAPAGVFTDIPISNIR</t>
  </si>
  <si>
    <t>TQNPMVTGTSVLGVK</t>
  </si>
  <si>
    <t>ESSAAQPGVAFSVDNTIK</t>
  </si>
  <si>
    <t>SNVDFLLR</t>
  </si>
  <si>
    <t>YLDLILNDFVR</t>
  </si>
  <si>
    <t>SRAEAESWYQTK</t>
  </si>
  <si>
    <t>TVGIDDLTGEPLIQR</t>
  </si>
  <si>
    <t>SGALNSNDAFVLK</t>
  </si>
  <si>
    <t>DELGQGLQGVEQK</t>
  </si>
  <si>
    <t>DGSLIVSSSYDGLCR</t>
  </si>
  <si>
    <t>EAVELPLTHFELYK</t>
  </si>
  <si>
    <t>LGLTEIRK</t>
  </si>
  <si>
    <t>LTAFVNTLNGK</t>
  </si>
  <si>
    <t>FMDQHPEMDFSK</t>
  </si>
  <si>
    <t>SAGEGTLDVR</t>
  </si>
  <si>
    <t>VANVSLLALYK</t>
  </si>
  <si>
    <t>EQSILELGSLLAK</t>
  </si>
  <si>
    <t>VNGSLAVSR</t>
  </si>
  <si>
    <t>AEAESWYQTK</t>
  </si>
  <si>
    <t>TRLEQEIATYR</t>
  </si>
  <si>
    <t>GLSEDTTEETLKESFEGSVR</t>
  </si>
  <si>
    <t>QLQAETEPIVK</t>
  </si>
  <si>
    <t>VGLGLGYLELPQINYK</t>
  </si>
  <si>
    <t>FINNNAVTK</t>
  </si>
  <si>
    <t>SVMGALASQATK</t>
  </si>
  <si>
    <t>ELYDKGGEQAIK</t>
  </si>
  <si>
    <t>NLDENGLDLLSK</t>
  </si>
  <si>
    <t>NELESYAYSLK</t>
  </si>
  <si>
    <t>TLFATEDSLEVR</t>
  </si>
  <si>
    <t>RMEELHNQEVQK</t>
  </si>
  <si>
    <t>ELEAVCQDVLSLLDNYLIK</t>
  </si>
  <si>
    <t>QEDEPIVYLGSFR</t>
  </si>
  <si>
    <t>VLNALKPEKDVDGVTDINLGK</t>
  </si>
  <si>
    <t>VLVDINNPEPLIQTAK</t>
  </si>
  <si>
    <t>VLDELTLAR</t>
  </si>
  <si>
    <t>NWDDVLTVDYTR</t>
  </si>
  <si>
    <t>LSDFGLCTGLK</t>
  </si>
  <si>
    <t>LLLWAQNELDQK</t>
  </si>
  <si>
    <t>LAGASPATVAAAAAVGSGSKDPLAR</t>
  </si>
  <si>
    <t>GEGPEVDVNLPK</t>
  </si>
  <si>
    <t>TGVAPIIDVVR</t>
  </si>
  <si>
    <t>IRVDVADQAQDK</t>
  </si>
  <si>
    <t>IMLNTPEDVQALVSGK</t>
  </si>
  <si>
    <t>VLLQAFDVVER</t>
  </si>
  <si>
    <t>LIEYYQQLAQK</t>
  </si>
  <si>
    <t>LKDCIELFTTK</t>
  </si>
  <si>
    <t>QDTFSGTGFFPLDR</t>
  </si>
  <si>
    <t>TAAENEFVTLK</t>
  </si>
  <si>
    <t>QDSSAVGFDYKER</t>
  </si>
  <si>
    <t>TFNIKNDFTEEEEAQVR</t>
  </si>
  <si>
    <t>LQLEIDQK</t>
  </si>
  <si>
    <t>LAGEKDELLSQIR</t>
  </si>
  <si>
    <t>YGGDEIPFSPYR</t>
  </si>
  <si>
    <t>VLQALEGLK</t>
  </si>
  <si>
    <t>EGEEAGPGDPLLEAVPK</t>
  </si>
  <si>
    <t>LADALQELR</t>
  </si>
  <si>
    <t>HPDASVNFSEFSK</t>
  </si>
  <si>
    <t>LLADQAEAR</t>
  </si>
  <si>
    <t>LYLEDDDPVQAEAYINR</t>
  </si>
  <si>
    <t>QGIVTPIEAQTR</t>
  </si>
  <si>
    <t>IDGAVISESTPIAETIK</t>
  </si>
  <si>
    <t>LALDVEIATYR</t>
  </si>
  <si>
    <t>NAEAVLQGQGLSGK</t>
  </si>
  <si>
    <t>EVQGFESSTFSGYFK</t>
  </si>
  <si>
    <t>PEFLEDPSVLTK</t>
  </si>
  <si>
    <t>GPSSVEDIK</t>
  </si>
  <si>
    <t>TNFMYQVDTLK</t>
  </si>
  <si>
    <t>GQLQSHGVQAR</t>
  </si>
  <si>
    <t>EVQTNDLKEVVNK</t>
  </si>
  <si>
    <t>TAAENEFVTLKK</t>
  </si>
  <si>
    <t>LWDDGIIDPVDTR</t>
  </si>
  <si>
    <t>TMLEDLGMDDEGDDDPVPLPNVNAAILKK</t>
  </si>
  <si>
    <t>GAPVNVSSSDLTGR</t>
  </si>
  <si>
    <t>TELGLDLGLEPK</t>
  </si>
  <si>
    <t>TALINSTGEEVAMR</t>
  </si>
  <si>
    <t>IMNTFSVVPSPK</t>
  </si>
  <si>
    <t>MQQQLDEYQELLDIK</t>
  </si>
  <si>
    <t>ESFESQFLADTER</t>
  </si>
  <si>
    <t>FNQVLDQFGEK</t>
  </si>
  <si>
    <t>KGQTPGGAQFVGLELYK</t>
  </si>
  <si>
    <t>TSFVNFTDICK</t>
  </si>
  <si>
    <t>VGLQVVAVK</t>
  </si>
  <si>
    <t>YEELQTLAGK</t>
  </si>
  <si>
    <t>LATNAAVTVLR</t>
  </si>
  <si>
    <t>GQIQEAIALINSLHPELLDTNR</t>
  </si>
  <si>
    <t>LNIDPATITWQR</t>
  </si>
  <si>
    <t>SPPYTAFLGNLPYDVTEDSIK</t>
  </si>
  <si>
    <t>ADLTALFLPR</t>
  </si>
  <si>
    <t>ELAESDFASTFR</t>
  </si>
  <si>
    <t>DSTYSMSSTLTLTK</t>
  </si>
  <si>
    <t>HAHSILQFQFAEVK</t>
  </si>
  <si>
    <t>YDPSIGIYGLDFYVVLGR</t>
  </si>
  <si>
    <t>VDIETPNLEGTLTGPK</t>
  </si>
  <si>
    <t>VGEVTYVELLMDAEGK</t>
  </si>
  <si>
    <t>GSTAPVGGGSFPTITPR</t>
  </si>
  <si>
    <t>IETNENNLESAK</t>
  </si>
  <si>
    <t>LNDVTDVQILAR</t>
  </si>
  <si>
    <t>IQDKEGIPPDQQR</t>
  </si>
  <si>
    <t>IQDKEGLPPDQQR</t>
  </si>
  <si>
    <t>LEGLEDALQK</t>
  </si>
  <si>
    <t>LLVLEDENANVDEVELKPDTLIK</t>
  </si>
  <si>
    <t>IDEPLEGSEDR</t>
  </si>
  <si>
    <t>KLDPGSEETQTLVR</t>
  </si>
  <si>
    <t>ILLELLNQMDGFDQNVNVK</t>
  </si>
  <si>
    <t>CGEAALNDPK</t>
  </si>
  <si>
    <t>GVLEQGWQADSTTR</t>
  </si>
  <si>
    <t>AAVEEGIVLGGGCALLR</t>
  </si>
  <si>
    <t>GFALVGVGSEASSK</t>
  </si>
  <si>
    <t>ASGLVPNVVVLVATVR</t>
  </si>
  <si>
    <t>YLIANATNPESK</t>
  </si>
  <si>
    <t>DNHLLGTFDLTGIPPAPR</t>
  </si>
  <si>
    <t>VNQAIWLLCTGAR</t>
  </si>
  <si>
    <t>LFVTNDAATILR</t>
  </si>
  <si>
    <t>TWNDPSVQQDIK</t>
  </si>
  <si>
    <t>LVLTNNQLSTLPR</t>
  </si>
  <si>
    <t>TLTGTVIDSGDGVTHVIPVAEGYVIGSCIK</t>
  </si>
  <si>
    <t>YGLSSMQGWR</t>
  </si>
  <si>
    <t>DLMVGDEASELR</t>
  </si>
  <si>
    <t>EGGQIAVFDATNTTR</t>
  </si>
  <si>
    <t>AIFLADGNVFTTGFSR</t>
  </si>
  <si>
    <t>HLLNQAVGEEAAPK</t>
  </si>
  <si>
    <t>DATNVGDEGGFAPNILENK</t>
  </si>
  <si>
    <t>NFVITSSDDGTVKLWDLK</t>
  </si>
  <si>
    <t>SNVNDGVAQSTR</t>
  </si>
  <si>
    <t>APNYSCVMTGSWDK</t>
  </si>
  <si>
    <t>VTHAVVTVPAYFNDAQR</t>
  </si>
  <si>
    <t>QIGLDQIWDDLR</t>
  </si>
  <si>
    <t>YGYTDIDLLSAAK</t>
  </si>
  <si>
    <t>QCANLQAAIADAEQR</t>
  </si>
  <si>
    <t>VNVDIINFGEEEVNTEK</t>
  </si>
  <si>
    <t>AQIFANSVDNAR</t>
  </si>
  <si>
    <t>LGTLSALDILIK</t>
  </si>
  <si>
    <t>ENLATVEGNFASIDAR</t>
  </si>
  <si>
    <t>ESATADAGYAILEKK</t>
  </si>
  <si>
    <t>LLDAVDTYIPVPTR</t>
  </si>
  <si>
    <t>GQTGGDVNVEMDAAPGVDLSR</t>
  </si>
  <si>
    <t>CTGGEVGATSALAPK</t>
  </si>
  <si>
    <t>ESVCQAALGLILK</t>
  </si>
  <si>
    <t>TMLEDLGMDDEGDDDPVPLPNVNAAILK</t>
  </si>
  <si>
    <t>LSSFIGAIAIGDLVK</t>
  </si>
  <si>
    <t>LLETHIHNQGLAAIEK</t>
  </si>
  <si>
    <t>SPLAGDFITMQCR</t>
  </si>
  <si>
    <t>IDQVNQLLELDHQK</t>
  </si>
  <si>
    <t>GQTPGGAQFVGLELYK</t>
  </si>
  <si>
    <t>ATENDIYNFFSPLNPVR</t>
  </si>
  <si>
    <t>AADKSGSALEPSVESVK</t>
  </si>
  <si>
    <t>VLAQNSGFDLQETLVK</t>
  </si>
  <si>
    <t>FTPGTFTNQIQAAFR</t>
  </si>
  <si>
    <t>SINDNIAIFTDVQK</t>
  </si>
  <si>
    <t>VTGDQTYLLR</t>
  </si>
  <si>
    <t>MAVTFIGNSTAIQELFK</t>
  </si>
  <si>
    <t>LAMLQEHVGNLGSSSDLASTVR</t>
  </si>
  <si>
    <t>YVASYLLAALGGNSSPSAK</t>
  </si>
  <si>
    <t>VFDKDGNGYISAAELR</t>
  </si>
  <si>
    <t>FDDGAGGDNEVQR</t>
  </si>
  <si>
    <t>DAGEGGLSLAIEGPSK</t>
  </si>
  <si>
    <t>YNALVMSAFNNDAGFVAALDK</t>
  </si>
  <si>
    <t>SSEIEQAVQSLDR</t>
  </si>
  <si>
    <t>VNQIGSVTESIQACK</t>
  </si>
  <si>
    <t>VNQIGSVTESLQACK</t>
  </si>
  <si>
    <t>LTVEDPVTVEYITR</t>
  </si>
  <si>
    <t>KADIDLASGSSAVEGK</t>
  </si>
  <si>
    <t>NQDATVYVGGLDEK</t>
  </si>
  <si>
    <t>IEIESFFEGEDFSETLTR</t>
  </si>
  <si>
    <t>KSDIDEIVLVGGSTR</t>
  </si>
  <si>
    <t>DLKPQNLLIDDK</t>
  </si>
  <si>
    <t>EVDARYMDAILR</t>
  </si>
  <si>
    <t>LSGRNLLYR</t>
  </si>
  <si>
    <t>SPLAQPILPPR</t>
  </si>
  <si>
    <t>GGSTTGSQFLEQFK</t>
  </si>
  <si>
    <t>QSTLGLR</t>
  </si>
  <si>
    <t>MKQISELLLK</t>
  </si>
  <si>
    <t>ITYPLTVSNKPHHKR</t>
  </si>
  <si>
    <t>YYPTEDVPR</t>
  </si>
  <si>
    <t>ERAIMLGAKPPK</t>
  </si>
  <si>
    <t>LASDLLEWIR</t>
  </si>
  <si>
    <t>IVSGAYDGKIK</t>
  </si>
  <si>
    <t>EPALMIMNSAVTEIKHK</t>
  </si>
  <si>
    <t>QVLEPSFR</t>
  </si>
  <si>
    <t>IQSALADIAQSQLK</t>
  </si>
  <si>
    <t>GVQSRPPEDR</t>
  </si>
  <si>
    <t>QPELSILPVSK</t>
  </si>
  <si>
    <t>QLDTGLARSSR</t>
  </si>
  <si>
    <t>CFDPIEADMPKLR</t>
  </si>
  <si>
    <t>VPLPSLSPTMQAGTIAR</t>
  </si>
  <si>
    <t>LIVENLSSR</t>
  </si>
  <si>
    <t>EAEGPVMRPR</t>
  </si>
  <si>
    <t>SSPDINAAVR</t>
  </si>
  <si>
    <t>GVISKSGPR</t>
  </si>
  <si>
    <t>VETPDTKPK</t>
  </si>
  <si>
    <t>NAPAIIFIDELDAIAPK</t>
  </si>
  <si>
    <t>AQCPIVER</t>
  </si>
  <si>
    <t>LIQNLDANHDGR</t>
  </si>
  <si>
    <t>VLARYYELPSTR</t>
  </si>
  <si>
    <t>SLMEDGGAFK</t>
  </si>
  <si>
    <t>GLTPSQIGVILR</t>
  </si>
  <si>
    <t>IQNMVSSGR</t>
  </si>
  <si>
    <t>WQPGEEPAGSVVQDSR</t>
  </si>
  <si>
    <t>AANAITK</t>
  </si>
  <si>
    <t>MLSCAGADR</t>
  </si>
  <si>
    <t>TTYDSSLSSYTVPLEK</t>
  </si>
  <si>
    <t>FEEEGNPYYSSAR</t>
  </si>
  <si>
    <t>ANEQEPCGWWLAR</t>
  </si>
  <si>
    <t>IRVVYNNQTVAFNTR</t>
  </si>
  <si>
    <t>VEVQRNAQEFIK</t>
  </si>
  <si>
    <t>LDLDLTSDSQPPVFK</t>
  </si>
  <si>
    <t>TLSDYNIQK</t>
  </si>
  <si>
    <t>QFYNQTYGSR</t>
  </si>
  <si>
    <t>WVVARENWK</t>
  </si>
  <si>
    <t>SYCAEIAHNVSSK</t>
  </si>
  <si>
    <t>DMIILPEMVGSMVGVYNGK</t>
  </si>
  <si>
    <t>SNQQLVDIIEK</t>
  </si>
  <si>
    <t>PLPVALQTR</t>
  </si>
  <si>
    <t>TVENLEK</t>
  </si>
  <si>
    <t>IFVGGLSPDTPEEK</t>
  </si>
  <si>
    <t>DTTAWTVGR</t>
  </si>
  <si>
    <t>ETTDTDTADQVIASFK</t>
  </si>
  <si>
    <t>DKLCGPYEK</t>
  </si>
  <si>
    <t>EVTSATNALR</t>
  </si>
  <si>
    <t>VNSFACLR</t>
  </si>
  <si>
    <t>IPDWFLNR</t>
  </si>
  <si>
    <t>ALSYERVAR</t>
  </si>
  <si>
    <t>SLLDILTDPSKR</t>
  </si>
  <si>
    <t>VKKPSALAK</t>
  </si>
  <si>
    <t>SDPGITVSTQTDAPGLTVK</t>
  </si>
  <si>
    <t>GAAPNVVYTYTGK</t>
  </si>
  <si>
    <t>KVDVDEYDENK</t>
  </si>
  <si>
    <t>FGYVDFESAEDLEKALELTGLK</t>
  </si>
  <si>
    <t>ELNDSIPR</t>
  </si>
  <si>
    <t>LSYNTASNK</t>
  </si>
  <si>
    <t>ELAQQVQQVADDYGK</t>
  </si>
  <si>
    <t>LTSVVTARPFGTSSR</t>
  </si>
  <si>
    <t>ILGDLSYR</t>
  </si>
  <si>
    <t>SPAESCDVLGDIQTCIK</t>
  </si>
  <si>
    <t>DILEVRPRPK</t>
  </si>
  <si>
    <t>NDCVFSQLLQCK</t>
  </si>
  <si>
    <t>VGAFTVVCK</t>
  </si>
  <si>
    <t>VIAQTVYGAK</t>
  </si>
  <si>
    <t>SLESTTLQQSALK</t>
  </si>
  <si>
    <t>TVLLLADQMISR</t>
  </si>
  <si>
    <t>VLTVINQTQKENLR</t>
  </si>
  <si>
    <t>IEQLQNHENEDIYK</t>
  </si>
  <si>
    <t>VLLGETGKEK</t>
  </si>
  <si>
    <t>LPEGDLGK</t>
  </si>
  <si>
    <t>GYFAVTEK</t>
  </si>
  <si>
    <t>SGTDVDAANLR</t>
  </si>
  <si>
    <t>GGDAPAAGEDA</t>
  </si>
  <si>
    <t>LLYEIQNR</t>
  </si>
  <si>
    <t>FPLTAAPKLTMK</t>
  </si>
  <si>
    <t>QVKPLPAPLDGQR</t>
  </si>
  <si>
    <t>VIQEIVDK</t>
  </si>
  <si>
    <t>ALAAGGVGSIVR</t>
  </si>
  <si>
    <t>NQEESIDAR</t>
  </si>
  <si>
    <t>MLSDGRTIITFPNGTR</t>
  </si>
  <si>
    <t>LIDFLECGK</t>
  </si>
  <si>
    <t>SFPPPGSADGLR</t>
  </si>
  <si>
    <t>SVNKLIYK</t>
  </si>
  <si>
    <t>AVVGVVAGGGR</t>
  </si>
  <si>
    <t>TNGSALCTR</t>
  </si>
  <si>
    <t>VAVLETQLK</t>
  </si>
  <si>
    <t>GSSNSYAIK</t>
  </si>
  <si>
    <t>RLPPQQIEK</t>
  </si>
  <si>
    <t>ITSPLMEPSSIEK</t>
  </si>
  <si>
    <t>IRIIAPPER</t>
  </si>
  <si>
    <t>ILQNLDPPFSIDGK</t>
  </si>
  <si>
    <t>DYLHLPPEIVPATLR</t>
  </si>
  <si>
    <t>SVSSDSLGPPRPVSTSSR</t>
  </si>
  <si>
    <t>AEPIITK</t>
  </si>
  <si>
    <t>SIPLITK</t>
  </si>
  <si>
    <t>QGLAETSSPVAISLR</t>
  </si>
  <si>
    <t>FSAGNFLINPLEPK</t>
  </si>
  <si>
    <t>NLKPPPPESWNTVSGK</t>
  </si>
  <si>
    <t>LSQNSERR</t>
  </si>
  <si>
    <t>IAFAITAIK</t>
  </si>
  <si>
    <t>EVATRPLTQDLLK</t>
  </si>
  <si>
    <t>LSLIISRLFR</t>
  </si>
  <si>
    <t>KSIGTEPQK</t>
  </si>
  <si>
    <t>SSASAPDVDDPEAFPALA</t>
  </si>
  <si>
    <t>KEPEFDDEPK</t>
  </si>
  <si>
    <t>ENVFQEHQTLK</t>
  </si>
  <si>
    <t>CALGWDHQEK</t>
  </si>
  <si>
    <t>QVLLGDQIPK</t>
  </si>
  <si>
    <t>STAATDVNGFKPSGSENPK</t>
  </si>
  <si>
    <t>ELNNVCEPVVTQPKPK</t>
  </si>
  <si>
    <t>RSLSEGER</t>
  </si>
  <si>
    <t>VVPQQITHTSPR</t>
  </si>
  <si>
    <t>DVAPYAILSK</t>
  </si>
  <si>
    <t>ALLYLCGGDD</t>
  </si>
  <si>
    <t>LLETTDRPDGHQNNLR</t>
  </si>
  <si>
    <t>FYEADCYIVLK</t>
  </si>
  <si>
    <t>EGYQLGQQTLCK</t>
  </si>
  <si>
    <t>AGGIETIANEFSDR</t>
  </si>
  <si>
    <t>TGSQGQCTQVR</t>
  </si>
  <si>
    <t>QQEGFKGTFPDAR</t>
  </si>
  <si>
    <t>NAVEECVYEFR</t>
  </si>
  <si>
    <t>AEDTEHVVIPVCLR</t>
  </si>
  <si>
    <t>EVPHQTASDFVR</t>
  </si>
  <si>
    <t>QGTIFLAGPPLVK</t>
  </si>
  <si>
    <t>QLDDLKVELSQLR</t>
  </si>
  <si>
    <t>VSLQMSGVQGGSVR</t>
  </si>
  <si>
    <t>SSQVRPVSTVTPGSSGK</t>
  </si>
  <si>
    <t>ENPSLVMPPKPADR</t>
  </si>
  <si>
    <t>DIGFIKLD</t>
  </si>
  <si>
    <t>DLGFIKLD</t>
  </si>
  <si>
    <t>AASDIAMTELPPTHPIR</t>
  </si>
  <si>
    <t>EAKAETPGPQIK</t>
  </si>
  <si>
    <t>FNPDGEEEDVTVHE</t>
  </si>
  <si>
    <t>QVVNIPSFIVR</t>
  </si>
  <si>
    <t>IVEMSTSK</t>
  </si>
  <si>
    <t>IDLAVLLGK</t>
  </si>
  <si>
    <t>LLACIASR</t>
  </si>
  <si>
    <t>FQRPGDPQSAQDK</t>
  </si>
  <si>
    <t>LNLNNTVLSK</t>
  </si>
  <si>
    <t>TAEGLLPFAEAEAFLK</t>
  </si>
  <si>
    <t>IGPILDNSTLQSEVKPILEK</t>
  </si>
  <si>
    <t>DLNSYLEDK</t>
  </si>
  <si>
    <t>LVGSGSWGMALK</t>
  </si>
  <si>
    <t>DITYFIQQLLR</t>
  </si>
  <si>
    <t>KPGDLSDELR</t>
  </si>
  <si>
    <t>EITALAPSTMKIR</t>
  </si>
  <si>
    <t>GVGGACVLVA</t>
  </si>
  <si>
    <t>GFGYGQGAGALVHAQ</t>
  </si>
  <si>
    <t>AAQVAQDEEIAR</t>
  </si>
  <si>
    <t>MLNYSTPSAGGCLLDR</t>
  </si>
  <si>
    <t>LESPTVSTLAPPSSGK</t>
  </si>
  <si>
    <t>MLNADK</t>
  </si>
  <si>
    <t>AGNFYVPAEPK</t>
  </si>
  <si>
    <t>GSFEPCPDYILGQTAEIDKVTCTDSR</t>
  </si>
  <si>
    <t>ALELDPDNDTYK</t>
  </si>
  <si>
    <t>EMLVTGAPK</t>
  </si>
  <si>
    <t>KPEPSTLEISDDK</t>
  </si>
  <si>
    <t>SPSAALNDSLVECPK</t>
  </si>
  <si>
    <t>SSKINNEENR</t>
  </si>
  <si>
    <t>QGGGGAGGSVPGIER</t>
  </si>
  <si>
    <t>FDQLFDDESDPFEVLK</t>
  </si>
  <si>
    <t>LLSTGPTEPWSIR</t>
  </si>
  <si>
    <t>FPELESLVPNALDYIR</t>
  </si>
  <si>
    <t>SGILPILVK</t>
  </si>
  <si>
    <t>DVIEEQEEQMAEFYR</t>
  </si>
  <si>
    <t>YDYNSGEELESYK</t>
  </si>
  <si>
    <t>SYSVGASGSSSR</t>
  </si>
  <si>
    <t>TVGVEPAADGK</t>
  </si>
  <si>
    <t>LGGSAVISLEGKPL</t>
  </si>
  <si>
    <t>LQLDSPEDAEFIVAK</t>
  </si>
  <si>
    <t>TETPPPLASLNVSK</t>
  </si>
  <si>
    <t>NVESGEDELTSR</t>
  </si>
  <si>
    <t>VAALQNLVK</t>
  </si>
  <si>
    <t>GELDLPLENLDLSK</t>
  </si>
  <si>
    <t>QKEFFDSIR</t>
  </si>
  <si>
    <t>CVHVELIK</t>
  </si>
  <si>
    <t>LIFSTITSK</t>
  </si>
  <si>
    <t>GSAPPGPVPEGQIR</t>
  </si>
  <si>
    <t>QADEIEK</t>
  </si>
  <si>
    <t>EFSITDVVPYPISLR</t>
  </si>
  <si>
    <t>GAVDGGLSIPHSTK</t>
  </si>
  <si>
    <t>IAQLICER</t>
  </si>
  <si>
    <t>LMVTSAPALR</t>
  </si>
  <si>
    <t>LLQSNPVLEAFGNAK</t>
  </si>
  <si>
    <t>KANAEELASNLK</t>
  </si>
  <si>
    <t>KAILDK</t>
  </si>
  <si>
    <t>KALIDK</t>
  </si>
  <si>
    <t>TSGNLENFVVLEQYK</t>
  </si>
  <si>
    <t>VNELCVEALCR</t>
  </si>
  <si>
    <t>LVVPATQCGSLIGK</t>
  </si>
  <si>
    <t>LSAALSSLQR</t>
  </si>
  <si>
    <t>NCSETQYESK</t>
  </si>
  <si>
    <t>TSSLPESSPSK</t>
  </si>
  <si>
    <t>AIAPPYSLCQTGEDLPKDK</t>
  </si>
  <si>
    <t>GSFEPCPDYILGQTAEIDK</t>
  </si>
  <si>
    <t>IYGETPEACR</t>
  </si>
  <si>
    <t>YSQVLANGLDNK</t>
  </si>
  <si>
    <t>NHVPDDFWPPQPK</t>
  </si>
  <si>
    <t>NQLTSLPSAICK</t>
  </si>
  <si>
    <t>VLAVDPKNR</t>
  </si>
  <si>
    <t>NIPIPTLKDFAK</t>
  </si>
  <si>
    <t>DTPGHGSGWAETPR</t>
  </si>
  <si>
    <t>GLSDALICTDDFIAK</t>
  </si>
  <si>
    <t>REPLSLINLK</t>
  </si>
  <si>
    <t>NLQTVNVDEN</t>
  </si>
  <si>
    <t>LDHYAIIK</t>
  </si>
  <si>
    <t>SLEGADLPNLLFYGPPGTGK</t>
  </si>
  <si>
    <t>GEGTGPPLPLPPAQPGAEGGGDR</t>
  </si>
  <si>
    <t>NGELVGANPRPGDQNDTQQGQVEENNNR</t>
  </si>
  <si>
    <t>FVAPEEVLPFTEGDILEK</t>
  </si>
  <si>
    <t>QFLECAQNQSDVK</t>
  </si>
  <si>
    <t>VNFPENGFLSPDK</t>
  </si>
  <si>
    <t>AQEIALQNR</t>
  </si>
  <si>
    <t>IIMCAWNPK</t>
  </si>
  <si>
    <t>ISVLQEEKR</t>
  </si>
  <si>
    <t>LSVLQEEKR</t>
  </si>
  <si>
    <t>WAWDQEEER</t>
  </si>
  <si>
    <t>LYELDGLR</t>
  </si>
  <si>
    <t>SADMGMATPSSSVER</t>
  </si>
  <si>
    <t>DYTYEELLNR</t>
  </si>
  <si>
    <t>VPSGQPTNFAR</t>
  </si>
  <si>
    <t>TYIPALEQSADGHK</t>
  </si>
  <si>
    <t>MAPVPLDDSNRPASLTK</t>
  </si>
  <si>
    <t>NLEAQELAR</t>
  </si>
  <si>
    <t>QGNMTAALQAALK</t>
  </si>
  <si>
    <t>YGLTLDPEADSEYLSR</t>
  </si>
  <si>
    <t>VVSSSIVDKYIGESAR</t>
  </si>
  <si>
    <t>VDSFHESTEGK</t>
  </si>
  <si>
    <t>LAPDYDALDVANKIGII</t>
  </si>
  <si>
    <t>AANAITKNNDLVR</t>
  </si>
  <si>
    <t>QSEQELAYLER</t>
  </si>
  <si>
    <t>SLATSCGEILSDR</t>
  </si>
  <si>
    <t>DVEEFLSPLLGK</t>
  </si>
  <si>
    <t>AGAFDAVPCYHWSAGGK</t>
  </si>
  <si>
    <t>SVSELPIMHQDWLNGK</t>
  </si>
  <si>
    <t>DLVLGPSGVLQGIRPGK</t>
  </si>
  <si>
    <t>DDVAQWLK</t>
  </si>
  <si>
    <t>VGPVPWLGPQTDEAIK</t>
  </si>
  <si>
    <t>EAPAPPKAEAK</t>
  </si>
  <si>
    <t>KFESLFPGK</t>
  </si>
  <si>
    <t>STSPAPADVAPAQEDLR</t>
  </si>
  <si>
    <t>LEVDPNIQAVR</t>
  </si>
  <si>
    <t>LGPGGLDPVEVYESLPEELQK</t>
  </si>
  <si>
    <t>VDAKPEVQSQPPR</t>
  </si>
  <si>
    <t>TYSYLTPDLWK</t>
  </si>
  <si>
    <t>SHFVAASLSNQK</t>
  </si>
  <si>
    <t>NQSFCPTVNLDK</t>
  </si>
  <si>
    <t>LFVGNLPADITEDEFK</t>
  </si>
  <si>
    <t>TNTVTSQVQQVPVVLQPHFIK</t>
  </si>
  <si>
    <t>EGDVLTLLESER</t>
  </si>
  <si>
    <t>TNEGVIEFR</t>
  </si>
  <si>
    <t>LNIISNLDCVNEVIGIR</t>
  </si>
  <si>
    <t>IITITGTQDQIQNAQYLLQNSVK</t>
  </si>
  <si>
    <t>VVGSELIQK</t>
  </si>
  <si>
    <t>FNPFVTSDR</t>
  </si>
  <si>
    <t>LLEPVLLLGK</t>
  </si>
  <si>
    <t>GAQATLSNTTK</t>
  </si>
  <si>
    <t>SPAPSNPTLSPSTPAK</t>
  </si>
  <si>
    <t>CPFTGNVSIR</t>
  </si>
  <si>
    <t>ETLQNSEQEQPKPNTGKDCVDR</t>
  </si>
  <si>
    <t>LFEEPEDPSNR</t>
  </si>
  <si>
    <t>VGLSAVPADACSGAQK</t>
  </si>
  <si>
    <t>YLAEFATGNDR</t>
  </si>
  <si>
    <t>DSLLQDGEFTMDLR</t>
  </si>
  <si>
    <t>APIYISHPENPSK</t>
  </si>
  <si>
    <t>DFFQNFGNVVELR</t>
  </si>
  <si>
    <t>WDQGLEKPR</t>
  </si>
  <si>
    <t>LYDIDVAK</t>
  </si>
  <si>
    <t>ELEPGDGPIAVIVCPTR</t>
  </si>
  <si>
    <t>YALTGDEVKK</t>
  </si>
  <si>
    <t>LFQVEYAIEAIK</t>
  </si>
  <si>
    <t>TIVQLENEIYQIK</t>
  </si>
  <si>
    <t>TPSSDVLVFDYTK</t>
  </si>
  <si>
    <t>GPLQSVQVFGR</t>
  </si>
  <si>
    <t>EQTFSGGTSQDIK</t>
  </si>
  <si>
    <t>TTPDVIFVFGFR</t>
  </si>
  <si>
    <t>GLSQSALPYR</t>
  </si>
  <si>
    <t>CVGVGESDGSIWNPDGIDPK</t>
  </si>
  <si>
    <t>VERADGYEPPVQESV</t>
  </si>
  <si>
    <t>IEDLEEGQQVIR</t>
  </si>
  <si>
    <t>QLSQSLLPAIVELAEDAK</t>
  </si>
  <si>
    <t>MQQPEQALADCR</t>
  </si>
  <si>
    <t>EVAFFNNFLTDAK</t>
  </si>
  <si>
    <t>DSSAMCQSLLYELLYEK</t>
  </si>
  <si>
    <t>ENISNAQALLEYHLSYLQEVEQLR</t>
  </si>
  <si>
    <t>FPLTTESAMK</t>
  </si>
  <si>
    <t>ACQVYIQHTR</t>
  </si>
  <si>
    <t>VLVALYEEPEKPTSALDFLK</t>
  </si>
  <si>
    <t>VGAAEIISR</t>
  </si>
  <si>
    <t>GFDQQGLNPTTLK</t>
  </si>
  <si>
    <t>SPYTVTVGQACNPAACR</t>
  </si>
  <si>
    <t>TTGFGMIYDSLDYAK</t>
  </si>
  <si>
    <t>LDFIGVEGSNYPR</t>
  </si>
  <si>
    <t>VIDAGALAVFPSLLTNPK</t>
  </si>
  <si>
    <t>LLDFGSLSNLQVTQPTVGMNFK</t>
  </si>
  <si>
    <t>VITIMQNPR</t>
  </si>
  <si>
    <t>VLNTNIDGR</t>
  </si>
  <si>
    <t>DIPVLVATDVAAR</t>
  </si>
  <si>
    <t>ERLTAEDDALNQIAR</t>
  </si>
  <si>
    <t>LNGTDPEDVIR</t>
  </si>
  <si>
    <t>ASNSPEQSSCLEGLDSEVPGPTEDLKTDLGK</t>
  </si>
  <si>
    <t>SIFQHIQSAQSQR</t>
  </si>
  <si>
    <t>LGGLYTQSLAR</t>
  </si>
  <si>
    <t>ESATADAGYAILEK</t>
  </si>
  <si>
    <t>ATQTLQTLGEAQSK</t>
  </si>
  <si>
    <t>ASPFLLQYIQEEIPNYR</t>
  </si>
  <si>
    <t>SSTPLPTVSSSAENTR</t>
  </si>
  <si>
    <t>AGGIETIANEYSDR</t>
  </si>
  <si>
    <t>KAAATTVQEYLK</t>
  </si>
  <si>
    <t>AGELTEDEVER</t>
  </si>
  <si>
    <t>VGNLGLATSFFNER</t>
  </si>
  <si>
    <t>TPGPGAQSALR</t>
  </si>
  <si>
    <t>QLYQTLTDYDIR</t>
  </si>
  <si>
    <t>SPLQSVVVR</t>
  </si>
  <si>
    <t>GGSGSQINSTR</t>
  </si>
  <si>
    <t>ANQLAEEIESSAQYK</t>
  </si>
  <si>
    <t>IQEYNVLLDTLSR</t>
  </si>
  <si>
    <t>ALSAGNIDDALQCYSEAIK</t>
  </si>
  <si>
    <t>QAAPCVLFFDELDSIAK</t>
  </si>
  <si>
    <t>EVDEQMLNVQNK</t>
  </si>
  <si>
    <t>LAAIQESGVER</t>
  </si>
  <si>
    <t>APILIATDVASR</t>
  </si>
  <si>
    <t>DVQIGDIVTVGECRPLSK</t>
  </si>
  <si>
    <t>ELISNSSDALDKIR</t>
  </si>
  <si>
    <t>VVLVNNILQNAQER</t>
  </si>
  <si>
    <t>LYTLVTYVPVTTFK</t>
  </si>
  <si>
    <t>TPPGVSAPTEPLLCK</t>
  </si>
  <si>
    <t>TINLYPLTNYTFGTK</t>
  </si>
  <si>
    <t>SSAYESLMEIVK</t>
  </si>
  <si>
    <t>NCIIVSPDAGGAK</t>
  </si>
  <si>
    <t>SQHTVDTTSSVPAPK</t>
  </si>
  <si>
    <t>LTGKDVNFEFPEFQL</t>
  </si>
  <si>
    <t>KVTQGTLQPTLYQIR</t>
  </si>
  <si>
    <t>LTGMAFCVPTPNVSVVDLTCR</t>
  </si>
  <si>
    <t>GTGQSDDSDIWDDTALIK</t>
  </si>
  <si>
    <t>NQVAMNPTNTVFDAKR</t>
  </si>
  <si>
    <t>VFEVSLADLQNDEVAFRK</t>
  </si>
  <si>
    <t>CVGQAAELQPASLLR</t>
  </si>
  <si>
    <t>MQKEITALAPSTMK</t>
  </si>
  <si>
    <t>NPATTNQTEFER</t>
  </si>
  <si>
    <t>LAGASPATVAAAAAVGSGSK</t>
  </si>
  <si>
    <t>ISYPDLEEVQTLDDTER</t>
  </si>
  <si>
    <t>LAATNALLNSLEFTK</t>
  </si>
  <si>
    <t>SFLESIDDALAEK</t>
  </si>
  <si>
    <t>AGAGSATLSMAYAGAR</t>
  </si>
  <si>
    <t>KAMVSNAQLDNEK</t>
  </si>
  <si>
    <t>YTQQGFGNLPICMAK</t>
  </si>
  <si>
    <t>YAALSVDGEDEDEGDDCTE</t>
  </si>
  <si>
    <t>VQSLQATFGTFESLLR</t>
  </si>
  <si>
    <t>TSPAGGTWSSVVSGVPR</t>
  </si>
  <si>
    <t>WLGLEEACQLAQFK</t>
  </si>
  <si>
    <t>NQQITHANNTVSSFK</t>
  </si>
  <si>
    <t>KAEAGAGSATEFQFR</t>
  </si>
  <si>
    <t>ATFSSMSGLDSVSDSGEGR</t>
  </si>
  <si>
    <t>AELGNSGDWSQIADEVMSPK</t>
  </si>
  <si>
    <t>DANEELNCQDPDVGDMEEEER</t>
  </si>
  <si>
    <t>DCDLQEDACYNCGR</t>
  </si>
  <si>
    <t>CEQQVQSQDQENTSDLK</t>
  </si>
  <si>
    <t>LQQALAEQQQQNNTAGK</t>
  </si>
  <si>
    <t>YGPSSVEDTTGSGAADAK</t>
  </si>
  <si>
    <t>DSAPTPGAGK</t>
  </si>
  <si>
    <t>EPQLPLELPK</t>
  </si>
  <si>
    <t>QQTDNLLK</t>
  </si>
  <si>
    <t>MGSKPFMAVPLQK</t>
  </si>
  <si>
    <t>EYTEENIQLVADGCCNLQK</t>
  </si>
  <si>
    <t>FLQNPSVDRQNMIK</t>
  </si>
  <si>
    <t>VSFQFEGSGIK</t>
  </si>
  <si>
    <t>MHGGGPSVTAGVPLK</t>
  </si>
  <si>
    <t>GKTPEEIR</t>
  </si>
  <si>
    <t>AISLKSGDLR</t>
  </si>
  <si>
    <t>LGDVISIQPCPDVK</t>
  </si>
  <si>
    <t>GLVNELTRYR</t>
  </si>
  <si>
    <t>YPTGESYQDLVQR</t>
  </si>
  <si>
    <t>NTTIPTK</t>
  </si>
  <si>
    <t>HEEYGNVMPGGIFIIGK</t>
  </si>
  <si>
    <t>TIGISVDPR</t>
  </si>
  <si>
    <t>SPPPGMGLNQNR</t>
  </si>
  <si>
    <t>LLETIDQLYLEYAK</t>
  </si>
  <si>
    <t>NNLEPVPSTR</t>
  </si>
  <si>
    <t>YGEPSEVFINR</t>
  </si>
  <si>
    <t>ARPTTDSFDDYPPRR</t>
  </si>
  <si>
    <t>YLENPNALTER</t>
  </si>
  <si>
    <t>MIKPIRPFVK</t>
  </si>
  <si>
    <t>GLIVYQLENQPSEFRR</t>
  </si>
  <si>
    <t>GIGLRDMGK</t>
  </si>
  <si>
    <t>GDAPECFVSPLAK</t>
  </si>
  <si>
    <t>YPQVKASQENQK</t>
  </si>
  <si>
    <t>IGYPAPNFK</t>
  </si>
  <si>
    <t>RAETLTLR</t>
  </si>
  <si>
    <t>ELISNSSDALDK</t>
  </si>
  <si>
    <t>SEIGAGAAESTEPSGLVR</t>
  </si>
  <si>
    <t>QASEGPLK</t>
  </si>
  <si>
    <t>ELETGPK</t>
  </si>
  <si>
    <t>NGTEETKLLVLDFDVDMK</t>
  </si>
  <si>
    <t>QSAISHESQTVFNK</t>
  </si>
  <si>
    <t>CRQSFTGARPLDAK</t>
  </si>
  <si>
    <t>DDYVPYTGEKK</t>
  </si>
  <si>
    <t>KVLHQHR</t>
  </si>
  <si>
    <t>FTAFYASR</t>
  </si>
  <si>
    <t>FEILLKPK</t>
  </si>
  <si>
    <t>VPQLPITNFNR</t>
  </si>
  <si>
    <t>TTVGSRCLDYLILMK</t>
  </si>
  <si>
    <t>MTGEVNLEVNDLK</t>
  </si>
  <si>
    <t>HAPLVEFEEEESDK</t>
  </si>
  <si>
    <t>EQGMDLNLYLFILKR</t>
  </si>
  <si>
    <t>AVTLRVLLK</t>
  </si>
  <si>
    <t>TRLLSEVTEELEK</t>
  </si>
  <si>
    <t>LPLNAESQLLLLASLR</t>
  </si>
  <si>
    <t>DLLNCSFK</t>
  </si>
  <si>
    <t>SVNELIYKR</t>
  </si>
  <si>
    <t>ILEPGLNVLIPVLDR</t>
  </si>
  <si>
    <t>GYGFVDFDSPAAAQK</t>
  </si>
  <si>
    <t>FQAALALSR</t>
  </si>
  <si>
    <t>ILSAENIPNLPPGGGLAGKR</t>
  </si>
  <si>
    <t>SIPAYLAETLYYAMK</t>
  </si>
  <si>
    <t>GPSVTDK</t>
  </si>
  <si>
    <t>GGLASGGDVEPGLPVEVR</t>
  </si>
  <si>
    <t>EVGLAVK</t>
  </si>
  <si>
    <t>LLCQLAMMQGGAKEK</t>
  </si>
  <si>
    <t>RGAQASVGR</t>
  </si>
  <si>
    <t>SVFPEQANNNEWAR</t>
  </si>
  <si>
    <t>GQDNDNADKK</t>
  </si>
  <si>
    <t>FGVDSDKELSYR</t>
  </si>
  <si>
    <t>AIDNAADLLIFGK</t>
  </si>
  <si>
    <t>IFQNLNGALDEVILK</t>
  </si>
  <si>
    <t>MIAKDVANSLLLK</t>
  </si>
  <si>
    <t>QGYLHLFIEEFLK</t>
  </si>
  <si>
    <t>TLATDILMGVLK</t>
  </si>
  <si>
    <t>GYLGPEQLPDCLK</t>
  </si>
  <si>
    <t>QAAEEIRILEHLK</t>
  </si>
  <si>
    <t>VDVADQAQDKDR</t>
  </si>
  <si>
    <t>ITNLTQQLEQASIVK</t>
  </si>
  <si>
    <t>LIPDSIGKDIEK</t>
  </si>
  <si>
    <t>GELVTNCFK</t>
  </si>
  <si>
    <t>STSCTTSLASQGER</t>
  </si>
  <si>
    <t>AFNDPFIQK</t>
  </si>
  <si>
    <t>YELGRPAANTK</t>
  </si>
  <si>
    <t>NGYGFINR</t>
  </si>
  <si>
    <t>MNTVLDSSLRSR</t>
  </si>
  <si>
    <t>EALVISGSGGR</t>
  </si>
  <si>
    <t>QLEFLAEENGK</t>
  </si>
  <si>
    <t>IVMGSGYAR</t>
  </si>
  <si>
    <t>QYPISLVLAPTR</t>
  </si>
  <si>
    <t>QVLIRPCSK</t>
  </si>
  <si>
    <t>DSSPCTILR</t>
  </si>
  <si>
    <t>TPSAAYLWVGAGASEAEKTGAQELLK</t>
  </si>
  <si>
    <t>TLGALESLTQNLAR</t>
  </si>
  <si>
    <t>LSDGFNGADLR</t>
  </si>
  <si>
    <t>EPGLQIWR</t>
  </si>
  <si>
    <t>MQELQEAQNAR</t>
  </si>
  <si>
    <t>AEIDLVCELAK</t>
  </si>
  <si>
    <t>SELPIAELTGHTR</t>
  </si>
  <si>
    <t>LVGPEEALSAGEAR</t>
  </si>
  <si>
    <t>SADELENLILQQN</t>
  </si>
  <si>
    <t>HCLADGPLLADTGTCSPK</t>
  </si>
  <si>
    <t>LVLVGDGGTGK</t>
  </si>
  <si>
    <t>ATTADGSSILDR</t>
  </si>
  <si>
    <t>ASSFVLALEPELESR</t>
  </si>
  <si>
    <t>PLELTQSR</t>
  </si>
  <si>
    <t>ALIAGGGAPEIELALR</t>
  </si>
  <si>
    <t>TITLEVEPSDTIKNVK</t>
  </si>
  <si>
    <t>LLDPEDISVDHPDEK</t>
  </si>
  <si>
    <t>ELNIDVADVESLLVQCILDNTIHGR</t>
  </si>
  <si>
    <t>GPSNQDLQAGEEEPLVAQGLTSR</t>
  </si>
  <si>
    <t>IPTGQEYAAK</t>
  </si>
  <si>
    <t>TLNLGISVLMSNK</t>
  </si>
  <si>
    <t>DVEDEILWVGER</t>
  </si>
  <si>
    <t>DPMIDNNR</t>
  </si>
  <si>
    <t>STLVCPECAK</t>
  </si>
  <si>
    <t>TKLNAQVK</t>
  </si>
  <si>
    <t>KCEQVLIEK</t>
  </si>
  <si>
    <t>SSDEAVILCK</t>
  </si>
  <si>
    <t>IQAGEVSQPSR</t>
  </si>
  <si>
    <t>AAESSVAPSREELLGTK</t>
  </si>
  <si>
    <t>ISLADIAQK</t>
  </si>
  <si>
    <t>NCDVFDPVTK</t>
  </si>
  <si>
    <t>LSPPYSSPQEFAQDVGR</t>
  </si>
  <si>
    <t>NPQNSSQSADGLR</t>
  </si>
  <si>
    <t>DCTNVNDFFSK</t>
  </si>
  <si>
    <t>TITLEVKPSDTIENVK</t>
  </si>
  <si>
    <t>EKANMIK</t>
  </si>
  <si>
    <t>NNDLVR</t>
  </si>
  <si>
    <t>VKELNNVCEPVVTQPKPK</t>
  </si>
  <si>
    <t>GAAPNVVYTYTGKR</t>
  </si>
  <si>
    <t>VLDLQQIK</t>
  </si>
  <si>
    <t>ELDMPKR</t>
  </si>
  <si>
    <t>NGIDLLMK</t>
  </si>
  <si>
    <t>GMSDVAQEK</t>
  </si>
  <si>
    <t>YCDSLLKK</t>
  </si>
  <si>
    <t>DGSCGVAYVVQEPGDYEVSVK</t>
  </si>
  <si>
    <t>VVEHPEFLK</t>
  </si>
  <si>
    <t>DGEDLMDESVLK</t>
  </si>
  <si>
    <t>WVGGPEIELIAIATGGR</t>
  </si>
  <si>
    <t>LYPAVDEQETPLPR</t>
  </si>
  <si>
    <t>AGWEQLEK</t>
  </si>
  <si>
    <t>KWQELEK</t>
  </si>
  <si>
    <t>NLEGANQHVSK</t>
  </si>
  <si>
    <t>ESTEFLQQNPVTEYMK</t>
  </si>
  <si>
    <t>CAVVDVPFGGAK</t>
  </si>
  <si>
    <t>TKFGASSNDTTGEK</t>
  </si>
  <si>
    <t>ELQALSEQLGR</t>
  </si>
  <si>
    <t>SSAGAGRASGGTR</t>
  </si>
  <si>
    <t>YRSDGSLLLGVSSLSGR</t>
  </si>
  <si>
    <t>SVVYQETNGETR</t>
  </si>
  <si>
    <t>VLENAEGAR</t>
  </si>
  <si>
    <t>ASPFLLQYIQEEIPDYR</t>
  </si>
  <si>
    <t>EILDAQLDELSR</t>
  </si>
  <si>
    <t>ILESELLR</t>
  </si>
  <si>
    <t>LLQSEGGLR</t>
  </si>
  <si>
    <t>VVLIGGKPDR</t>
  </si>
  <si>
    <t>GYAFNHSADFETVR</t>
  </si>
  <si>
    <t>NGETINTR</t>
  </si>
  <si>
    <t>TPCEEILVK</t>
  </si>
  <si>
    <t>YGGQPVPNFPSK</t>
  </si>
  <si>
    <t>LLGQFTLIGIPPAPR</t>
  </si>
  <si>
    <t>WDQTADQTPGATPK</t>
  </si>
  <si>
    <t>YCLHQYNIVGLR</t>
  </si>
  <si>
    <t>VDINTEDLEDGTCR</t>
  </si>
  <si>
    <t>YGVQADRVDK</t>
  </si>
  <si>
    <t>QQIESEVANLKK</t>
  </si>
  <si>
    <t>DAEAWFLEK</t>
  </si>
  <si>
    <t>DFLDEYIFLAVGR</t>
  </si>
  <si>
    <t>ECDSVSAVDEFPDAR</t>
  </si>
  <si>
    <t>ECLLEQIKK</t>
  </si>
  <si>
    <t>LVILANNCPALR</t>
  </si>
  <si>
    <t>DLAALEDKVK</t>
  </si>
  <si>
    <t>GYEDYLQSPLQPLMDNLESQTYEVFEKDPIK</t>
  </si>
  <si>
    <t>DINAYNGETPTEK</t>
  </si>
  <si>
    <t>VTYTPMAPGSYLISIK</t>
  </si>
  <si>
    <t>ADVESQFPDWIR</t>
  </si>
  <si>
    <t>LTTLELLEVR</t>
  </si>
  <si>
    <t>EGNALFTFPNTPVK</t>
  </si>
  <si>
    <t>VEKFDLVPVPPNLYGDFFTGDAYVILK</t>
  </si>
  <si>
    <t>SGQFCDVR</t>
  </si>
  <si>
    <t>GFGFVCFSSPEEATK</t>
  </si>
  <si>
    <t>IAQLEEQLDNETK</t>
  </si>
  <si>
    <t>DSDELKSWVNEK</t>
  </si>
  <si>
    <t>YNDQHIPGSPFTAR</t>
  </si>
  <si>
    <t>VCSYCNNILGK</t>
  </si>
  <si>
    <t>IPNPDFFEDLEPFK</t>
  </si>
  <si>
    <t>YTLNVLEDLGEGQK</t>
  </si>
  <si>
    <t>VLELEGEKGEWGFK</t>
  </si>
  <si>
    <t>VNINVPMKTEQK</t>
  </si>
  <si>
    <t>SIQFVDWCPTGFK</t>
  </si>
  <si>
    <t>TIVCQESELPDELLYGR</t>
  </si>
  <si>
    <t>AIEFLNNPPEEAPR</t>
  </si>
  <si>
    <t>VGVSTPSSGAASPR</t>
  </si>
  <si>
    <t>TCDLLASFK</t>
  </si>
  <si>
    <t>LIQEQHPEEELIK</t>
  </si>
  <si>
    <t>ANNTTYGLAAGLFTK</t>
  </si>
  <si>
    <t>VAVVNQIAR</t>
  </si>
  <si>
    <t>LQEVIETLLSLEK</t>
  </si>
  <si>
    <t>QFQDAGHFDAENIK</t>
  </si>
  <si>
    <t>TTYLVLDEADR</t>
  </si>
  <si>
    <t>GNHGGVTSEPLAGGLVEEK</t>
  </si>
  <si>
    <t>FAIQDISVEETSAK</t>
  </si>
  <si>
    <t>VTYCPTEPGNYIINIK</t>
  </si>
  <si>
    <t>VQENCIDLVGR</t>
  </si>
  <si>
    <t>IVFVPGCSVPLTIVK</t>
  </si>
  <si>
    <t>FTQAGSEVSALLGR</t>
  </si>
  <si>
    <t>DGSLASNPYSGDLTK</t>
  </si>
  <si>
    <t>FTGSQPFGR</t>
  </si>
  <si>
    <t>LDENSAFLQFNWK</t>
  </si>
  <si>
    <t>LQVEPAVDTSGVQCYGPGIEGQGVFR</t>
  </si>
  <si>
    <t>DPVQPEPIYAESAK</t>
  </si>
  <si>
    <t>SLNLDSIIAEVK</t>
  </si>
  <si>
    <t>LLLNNDNLLR</t>
  </si>
  <si>
    <t>GAGTGGLGLAIEGPSEAK</t>
  </si>
  <si>
    <t>FFQEENTENLK</t>
  </si>
  <si>
    <t>IPGGIIEDSCVLR</t>
  </si>
  <si>
    <t>LFGAAEVQR</t>
  </si>
  <si>
    <t>DISEASVFDAYVLPK</t>
  </si>
  <si>
    <t>LQQSHPLSASQIQVK</t>
  </si>
  <si>
    <t>IINADSEDPKYIINVK</t>
  </si>
  <si>
    <t>VISFEEQVASIR</t>
  </si>
  <si>
    <t>AVSDASAGDYGSAIETLVTAISLIK</t>
  </si>
  <si>
    <t>SDATADDLIDVVEGNR</t>
  </si>
  <si>
    <t>IGNILDLCTALSALSGVPADK</t>
  </si>
  <si>
    <t>TQDDIETILQLFR</t>
  </si>
  <si>
    <t>SGVGNIFIK</t>
  </si>
  <si>
    <t>LPETSLFETEETR</t>
  </si>
  <si>
    <t>VDEGGWNTVQGAK</t>
  </si>
  <si>
    <t>ENAPAIIFIDEIDAIATK</t>
  </si>
  <si>
    <t>ITSEALLVTQQLVK</t>
  </si>
  <si>
    <t>LLIQAAIVR</t>
  </si>
  <si>
    <t>LITPAVVSER</t>
  </si>
  <si>
    <t>FSGVPDRFSGSGSGTDFTLK</t>
  </si>
  <si>
    <t>ISGSILNELIGLVR</t>
  </si>
  <si>
    <t>IQVLQQQADDAEER</t>
  </si>
  <si>
    <t>LEGGSGGDSEVQR</t>
  </si>
  <si>
    <t>LKQQSELQSQVR</t>
  </si>
  <si>
    <t>NSYVAGQYDDAASYK</t>
  </si>
  <si>
    <t>VATVPQHATSGPGPADVSK</t>
  </si>
  <si>
    <t>CTELNQAWTSLGK</t>
  </si>
  <si>
    <t>LYAQDADGCPIDIK</t>
  </si>
  <si>
    <t>QAVTNPNNTFYATK</t>
  </si>
  <si>
    <t>LVCAVGSRNGTEETK</t>
  </si>
  <si>
    <t>AEDVSAIEIVGGATR</t>
  </si>
  <si>
    <t>AVIEHNLLSASK</t>
  </si>
  <si>
    <t>FTVTPSTTQVVGILK</t>
  </si>
  <si>
    <t>LISGVVQSYVELGLNEDDAFAK</t>
  </si>
  <si>
    <t>STPEDQILYQTER</t>
  </si>
  <si>
    <t>LVRGDAPECFVSPLAK</t>
  </si>
  <si>
    <t>IINEPTAAAIAYGLDKR</t>
  </si>
  <si>
    <t>AGYSPIMLTALATLK</t>
  </si>
  <si>
    <t>SALPAQSAATLPAR</t>
  </si>
  <si>
    <t>NLPGLVQEGEPFSEEATLFTK</t>
  </si>
  <si>
    <t>SGVGSCAFATVEDYLH</t>
  </si>
  <si>
    <t>GAGIGGLGITVEGPSESK</t>
  </si>
  <si>
    <t>LVSQDNFGFDLPAVEAATK</t>
  </si>
  <si>
    <t>NQSYLQLLCSLQNK</t>
  </si>
  <si>
    <t>EIEELQSQAQALSQEGK</t>
  </si>
  <si>
    <t>DAGEGLLAVQITDPEGKPK</t>
  </si>
  <si>
    <t>NPEEAELEDTLNQVMVVFK</t>
  </si>
  <si>
    <t>LEGLTDEINFLR</t>
  </si>
  <si>
    <t>MDILAQVLQILLK</t>
  </si>
  <si>
    <t>TPEQCPSVVSLLSESYNPHVR</t>
  </si>
  <si>
    <t>VLNGICAYLNR</t>
  </si>
  <si>
    <t>TGVLPGDVSDSATSDSAK</t>
  </si>
  <si>
    <t>CQDLSVNQDLADTDAR</t>
  </si>
  <si>
    <t>NLSPYVSNELLEEAFSQFGPIER</t>
  </si>
  <si>
    <t>IYVMATHGILSAEAPR</t>
  </si>
  <si>
    <t>ISLGLPVGAVINCADNTGAK</t>
  </si>
  <si>
    <t>FGIDDQDYQNSVTR</t>
  </si>
  <si>
    <t>AAEGLPQPQNPSSASPPGLR</t>
  </si>
  <si>
    <t>NAAQVLVGIPLETGQK</t>
  </si>
  <si>
    <t>DLAALGDKVNSLGETAQR</t>
  </si>
  <si>
    <t>NYDIGAALDTIQYSK</t>
  </si>
  <si>
    <t>GDPAGTGPEASLEAGADSVSLQAFSR</t>
  </si>
  <si>
    <t>KNFSPSSGLLGLR</t>
  </si>
  <si>
    <t>EDSPTVQPER</t>
  </si>
  <si>
    <t>RGFANVGGTR</t>
  </si>
  <si>
    <t>DVNAAIATIK</t>
  </si>
  <si>
    <t>ACILLLDIHK</t>
  </si>
  <si>
    <t>MKAFSPVR</t>
  </si>
  <si>
    <t>SLECIVQLR</t>
  </si>
  <si>
    <t>RVPAKPGANR</t>
  </si>
  <si>
    <t>RSFMLDVLLMCTPSR</t>
  </si>
  <si>
    <t>LKILLQQTLLTAYTNVSR</t>
  </si>
  <si>
    <t>DLPVSEQQER</t>
  </si>
  <si>
    <t>DERNDMAAGQVVPTPCR</t>
  </si>
  <si>
    <t>NGTILVDNMLIK</t>
  </si>
  <si>
    <t>FLLITGPR</t>
  </si>
  <si>
    <t>DQNGDALAR</t>
  </si>
  <si>
    <t>EIDQKQPTR</t>
  </si>
  <si>
    <t>ELNENQLVR</t>
  </si>
  <si>
    <t>TSSETAIIR</t>
  </si>
  <si>
    <t>ISSTLSGEDAMCR</t>
  </si>
  <si>
    <t>QTESTSFLEK</t>
  </si>
  <si>
    <t>NITYLPAGQSVLLQLPQ</t>
  </si>
  <si>
    <t>VCGGTPINK</t>
  </si>
  <si>
    <t>VLGAAGSSEKPEPAR</t>
  </si>
  <si>
    <t>EGLTSLPMNAR</t>
  </si>
  <si>
    <t>MPDDDGGDR</t>
  </si>
  <si>
    <t>DADLIGTAPR</t>
  </si>
  <si>
    <t>FNPYLAQSR</t>
  </si>
  <si>
    <t>SVDEIIR</t>
  </si>
  <si>
    <t>VGINTDRPDEALVVHGNVK</t>
  </si>
  <si>
    <t>KDFFPTER</t>
  </si>
  <si>
    <t>METGRYLGLIK</t>
  </si>
  <si>
    <t>LRECELSPGVNR</t>
  </si>
  <si>
    <t>EVLAAEGAVK</t>
  </si>
  <si>
    <t>QLEEEVKAELQR</t>
  </si>
  <si>
    <t>FIQPNIGELPTALK</t>
  </si>
  <si>
    <t>EDTPEEQAALEK</t>
  </si>
  <si>
    <t>CRDGDNALGGVEGK</t>
  </si>
  <si>
    <t>SSLSMAAQQR</t>
  </si>
  <si>
    <t>SSIKSGGMGEQER</t>
  </si>
  <si>
    <t>VEGEIKVPEVDIK</t>
  </si>
  <si>
    <t>MLPSEIFSPK</t>
  </si>
  <si>
    <t>DNPDLFAMMEK</t>
  </si>
  <si>
    <t>ETLAFPPEVPVSEK</t>
  </si>
  <si>
    <t>IDGMGSNLISDLLTSR</t>
  </si>
  <si>
    <t>TQFLQNLLTPR</t>
  </si>
  <si>
    <t>VDIDVPDLDIEGPEGK</t>
  </si>
  <si>
    <t>ELEDATETADAMNR</t>
  </si>
  <si>
    <t>KGGLLQLVLPK</t>
  </si>
  <si>
    <t>ALKEGVLEK</t>
  </si>
  <si>
    <t>SIVTTLVPSELISTAPTTK</t>
  </si>
  <si>
    <t>TPEGLKPLDCFYLK</t>
  </si>
  <si>
    <t>EPEMPGPR</t>
  </si>
  <si>
    <t>MASSCSRR</t>
  </si>
  <si>
    <t>QAAEVSGTEDSPK</t>
  </si>
  <si>
    <t>QDEGMKWGGSNSGR</t>
  </si>
  <si>
    <t>TQMLGTSVSIGITQNDFDLR</t>
  </si>
  <si>
    <t>LLEEQLQHEVASK</t>
  </si>
  <si>
    <t>SDGLLQLWK</t>
  </si>
  <si>
    <t>LAALGADPATR</t>
  </si>
  <si>
    <t>LGYPNPYR</t>
  </si>
  <si>
    <t>CQNQDQSGQQINK</t>
  </si>
  <si>
    <t>SNNVSAAPR</t>
  </si>
  <si>
    <t>TQDQISNIK</t>
  </si>
  <si>
    <t>GLPPMSVKK</t>
  </si>
  <si>
    <t>EMASGVNTR</t>
  </si>
  <si>
    <t>VPKPAAMVR</t>
  </si>
  <si>
    <t>DLSQHDQVTLLK</t>
  </si>
  <si>
    <t>ALEANAVEER</t>
  </si>
  <si>
    <t>SQAIIVDEFVK</t>
  </si>
  <si>
    <t>VVGSEFVQK</t>
  </si>
  <si>
    <t>LLNHAVPR</t>
  </si>
  <si>
    <t>ELVKPGILFLDPK</t>
  </si>
  <si>
    <t>SCGVGVRSSER</t>
  </si>
  <si>
    <t>RELLAPPER</t>
  </si>
  <si>
    <t>DQDAPELLKESPSLEK</t>
  </si>
  <si>
    <t>GLGTDEDTLIEILTTR</t>
  </si>
  <si>
    <t>AVASSPAANNSEVK</t>
  </si>
  <si>
    <t>DSSGGGGGGGGGDR</t>
  </si>
  <si>
    <t>DACLSWR</t>
  </si>
  <si>
    <t>NGPLEEGMR</t>
  </si>
  <si>
    <t>TIQAVLTVPK</t>
  </si>
  <si>
    <t>SPEVLLGSAR</t>
  </si>
  <si>
    <t>AVLAQGQSSEQAAK</t>
  </si>
  <si>
    <t>LNIGGGGLGYR</t>
  </si>
  <si>
    <t>NAAVWGGQVQK</t>
  </si>
  <si>
    <t>LIGEYGLR</t>
  </si>
  <si>
    <t>AEAKVFAMEEWGDR</t>
  </si>
  <si>
    <t>CNNVLYIR</t>
  </si>
  <si>
    <t>ALLQELQR</t>
  </si>
  <si>
    <t>SEGFDTYR</t>
  </si>
  <si>
    <t>ANFDKESER</t>
  </si>
  <si>
    <t>ECTIEATA</t>
  </si>
  <si>
    <t>DAREPVIGAR</t>
  </si>
  <si>
    <t>RDDSFLLAPR</t>
  </si>
  <si>
    <t>MLQAMGWK</t>
  </si>
  <si>
    <t>DLLFRDDTK</t>
  </si>
  <si>
    <t>IAGQVAAANK</t>
  </si>
  <si>
    <t>LAYINPDLALEEK</t>
  </si>
  <si>
    <t>DGMISVFYPR</t>
  </si>
  <si>
    <t>AEDVVLEHR</t>
  </si>
  <si>
    <t>QLPAMMALQTLHLR</t>
  </si>
  <si>
    <t>DYDRGYDSR</t>
  </si>
  <si>
    <t>IGAPGVEEIK</t>
  </si>
  <si>
    <t>SKQASTQQIEELK</t>
  </si>
  <si>
    <t>NSNYCLPSYTAYK</t>
  </si>
  <si>
    <t>LQEETGAKISVLGK</t>
  </si>
  <si>
    <t>MVADTISR</t>
  </si>
  <si>
    <t>VAQLEEER</t>
  </si>
  <si>
    <t>TSESPDAGR</t>
  </si>
  <si>
    <t>RLTVSSLQESGLK</t>
  </si>
  <si>
    <t>GTVLNAEK</t>
  </si>
  <si>
    <t>VQAELNSR</t>
  </si>
  <si>
    <t>MTQQQENPK</t>
  </si>
  <si>
    <t>QNNVQTKIPFALGAR</t>
  </si>
  <si>
    <t>SELDMLDIR</t>
  </si>
  <si>
    <t>AQSLEPYGTGLK</t>
  </si>
  <si>
    <t>VLSIGDGIAR</t>
  </si>
  <si>
    <t>MSLCGEKR</t>
  </si>
  <si>
    <t>KPEENPASK</t>
  </si>
  <si>
    <t>LMKGSPEMAGDK</t>
  </si>
  <si>
    <t>VDSGTTRLR</t>
  </si>
  <si>
    <t>FYEQFSK</t>
  </si>
  <si>
    <t>ALYTLSGETEELSR</t>
  </si>
  <si>
    <t>EIISEVQR</t>
  </si>
  <si>
    <t>ATVLDLSCNK</t>
  </si>
  <si>
    <t>YGEYFPGTGDLR</t>
  </si>
  <si>
    <t>MKAGGNAK</t>
  </si>
  <si>
    <t>IELSELDR</t>
  </si>
  <si>
    <t>DTGQGPGSEGSR</t>
  </si>
  <si>
    <t>SEEEFTGV</t>
  </si>
  <si>
    <t>EPSGGSGTALVTK</t>
  </si>
  <si>
    <t>EKYIDQEELNK</t>
  </si>
  <si>
    <t>ASPAAPLDGASPAQPSIR</t>
  </si>
  <si>
    <t>AEDFDHVSR</t>
  </si>
  <si>
    <t>APELLLKR</t>
  </si>
  <si>
    <t>TFVSITPAEVGVLVGK</t>
  </si>
  <si>
    <t>VSADNTVGR</t>
  </si>
  <si>
    <t>DETNYGIPQR</t>
  </si>
  <si>
    <t>GGIVDEGALLR</t>
  </si>
  <si>
    <t>DAQQDLQDQDYR</t>
  </si>
  <si>
    <t>LCEKGQVR</t>
  </si>
  <si>
    <t>NAVTQEFGPVPDTAR</t>
  </si>
  <si>
    <t>TAEDVGSPLK</t>
  </si>
  <si>
    <t>VPLILNMIR</t>
  </si>
  <si>
    <t>TPVLVGSDEFDK</t>
  </si>
  <si>
    <t>HVETNSCDVQR</t>
  </si>
  <si>
    <t>TGTQYLLR</t>
  </si>
  <si>
    <t>AVLIAGQPGTGK</t>
  </si>
  <si>
    <t>AEGPEVDVNLPK</t>
  </si>
  <si>
    <t>MVVYQGGTSR</t>
  </si>
  <si>
    <t>QPCQPPPQEPCAPK</t>
  </si>
  <si>
    <t>YQEVTNNLEFAK</t>
  </si>
  <si>
    <t>LVQSPNSYFMDVK</t>
  </si>
  <si>
    <t>APVPGAQNSSQSR</t>
  </si>
  <si>
    <t>NKNQEESIDAR</t>
  </si>
  <si>
    <t>HESQQDYAK</t>
  </si>
  <si>
    <t>IDDVVNTR</t>
  </si>
  <si>
    <t>VTADVINAAEK</t>
  </si>
  <si>
    <t>NSEQIESHKVTNK</t>
  </si>
  <si>
    <t>DAGQISGLNVLR</t>
  </si>
  <si>
    <t>GPAEVDTVDAFQGR</t>
  </si>
  <si>
    <t>SLQEQADAAEER</t>
  </si>
  <si>
    <t>ELTQLTELYLYSNK</t>
  </si>
  <si>
    <t>AQFGQPEILLGTIPGAGGTQR</t>
  </si>
  <si>
    <t>EDDASASTSQSSR</t>
  </si>
  <si>
    <t>EMMESFEGPQPADVR</t>
  </si>
  <si>
    <t>LDPGSEETQTLVR</t>
  </si>
  <si>
    <t>VTDALNATR</t>
  </si>
  <si>
    <t>QLLQANPILEAFGNAK</t>
  </si>
  <si>
    <t>SPAPVQTATTAPK</t>
  </si>
  <si>
    <t>LEEAEKAADESER</t>
  </si>
  <si>
    <t>NAEPLINLDVNNPDFK</t>
  </si>
  <si>
    <t>ILEQEEEEEQAGK</t>
  </si>
  <si>
    <t>SISRPRSSR</t>
  </si>
  <si>
    <t>DELSLTEK</t>
  </si>
  <si>
    <t>DKTLEIVIDR</t>
  </si>
  <si>
    <t>SSNPSTVLR</t>
  </si>
  <si>
    <t>VNNEACQAK</t>
  </si>
  <si>
    <t>VDMSVGFDTHKDSGEK</t>
  </si>
  <si>
    <t>ALCNGDSKPENAGGDLK</t>
  </si>
  <si>
    <t>LYLPLPNKTELK</t>
  </si>
  <si>
    <t>FEADLQEACGMAQQSMIAR</t>
  </si>
  <si>
    <t>LTLIDPETLLPR</t>
  </si>
  <si>
    <t>VQESSLPLR</t>
  </si>
  <si>
    <t>VGSTKAVSR</t>
  </si>
  <si>
    <t>YTFGGAFPEGPK</t>
  </si>
  <si>
    <t>DRAEGLRPR</t>
  </si>
  <si>
    <t>NRAEGLRPR</t>
  </si>
  <si>
    <t>VTSGYDDGQIR</t>
  </si>
  <si>
    <t>DQMGWDKQDGVEK</t>
  </si>
  <si>
    <t>YIVQSSSPTAHGEAMPGQLK</t>
  </si>
  <si>
    <t>DELSITKK</t>
  </si>
  <si>
    <t>YLVGSCDVVMSSK</t>
  </si>
  <si>
    <t>VQDDEVGDGTTSVTVLAAELLR</t>
  </si>
  <si>
    <t>NSSYFVEWIPNNVK</t>
  </si>
  <si>
    <t>IILEIDNAR</t>
  </si>
  <si>
    <t>IGPAGGYPNDPDVK</t>
  </si>
  <si>
    <t>EMLMAPLEMKPDSEK</t>
  </si>
  <si>
    <t>DTPTSAGPNSFNK</t>
  </si>
  <si>
    <t>VPECLYTLPSLRR</t>
  </si>
  <si>
    <t>QAEEQVNDLK</t>
  </si>
  <si>
    <t>DQLGFALGDKVVSMQK</t>
  </si>
  <si>
    <t>KYDGDAWTLLFPGK</t>
  </si>
  <si>
    <t>LQQLDEENSELR</t>
  </si>
  <si>
    <t>YIVALIKNADLK</t>
  </si>
  <si>
    <t>FDAEMEVNGFSR</t>
  </si>
  <si>
    <t>QKDNPELDR</t>
  </si>
  <si>
    <t>DGAIAAALLMFGDAGGGPRK</t>
  </si>
  <si>
    <t>MSPGQAIGESAEQR</t>
  </si>
  <si>
    <t>VLEELGQR</t>
  </si>
  <si>
    <t>SSEDGPLKAVTLPR</t>
  </si>
  <si>
    <t>LLMNLNIDLK</t>
  </si>
  <si>
    <t>VDMKEITTPK</t>
  </si>
  <si>
    <t>SFMQVIDTLQEAK</t>
  </si>
  <si>
    <t>QMGAKDQAPEK</t>
  </si>
  <si>
    <t>LQNTKLVSEQIDGR</t>
  </si>
  <si>
    <t>SPMLPFQHPLKSEGMGK</t>
  </si>
  <si>
    <t>QEAAALSWRIEQAK</t>
  </si>
  <si>
    <t>TDQEAVSR</t>
  </si>
  <si>
    <t>SDAAPTPVPQSAPR</t>
  </si>
  <si>
    <t>QVVLGGVEPADPK</t>
  </si>
  <si>
    <t>QGFIIELDNSQTK</t>
  </si>
  <si>
    <t>DFISLLPK</t>
  </si>
  <si>
    <t>TDLLLEPYNK</t>
  </si>
  <si>
    <t>MEPEKNDQNTLAR</t>
  </si>
  <si>
    <t>DVLMISLTPK</t>
  </si>
  <si>
    <t>VSGCMLEVR</t>
  </si>
  <si>
    <t>SQLQISNNR</t>
  </si>
  <si>
    <t>TSWGSGLGR</t>
  </si>
  <si>
    <t>QLDVVLVVR</t>
  </si>
  <si>
    <t>AAREPNIDR</t>
  </si>
  <si>
    <t>SNPSGNGRPR</t>
  </si>
  <si>
    <t>QESGGDLQR</t>
  </si>
  <si>
    <t>RENILNAEGDR</t>
  </si>
  <si>
    <t>LAGALDVVNK</t>
  </si>
  <si>
    <t>RLWVMLEVPEQNR</t>
  </si>
  <si>
    <t>VNQPASFAIR</t>
  </si>
  <si>
    <t>TVMEEMR</t>
  </si>
  <si>
    <t>VTQLDLDGPK</t>
  </si>
  <si>
    <t>LSVTKSVER</t>
  </si>
  <si>
    <t>EQLILEGLLGR</t>
  </si>
  <si>
    <t>KAAAVLLDAER</t>
  </si>
  <si>
    <t>MIDQDFGGAQWRK</t>
  </si>
  <si>
    <t>VAEQTPLTALYVANLIK</t>
  </si>
  <si>
    <t>TLMNLGGLAVAR</t>
  </si>
  <si>
    <t>SMAGQSSEIR</t>
  </si>
  <si>
    <t>FLRIMMLSVLK</t>
  </si>
  <si>
    <t>LDDMINRPR</t>
  </si>
  <si>
    <t>MASSTSPPR</t>
  </si>
  <si>
    <t>NLEPEWAAAATEVK</t>
  </si>
  <si>
    <t>SSVLGIRGISSGR</t>
  </si>
  <si>
    <t>NYLGAECR</t>
  </si>
  <si>
    <t>VETFSGVYKK</t>
  </si>
  <si>
    <t>SELGGEEKR</t>
  </si>
  <si>
    <t>QFNAGQDLSLK</t>
  </si>
  <si>
    <t>LLGVEGTTLR</t>
  </si>
  <si>
    <t>LDKYLFR</t>
  </si>
  <si>
    <t>QMKVEPLPPAR</t>
  </si>
  <si>
    <t>MFVAGGGANSR</t>
  </si>
  <si>
    <t>DMNQNLAK</t>
  </si>
  <si>
    <t>QAYIDKLEELMK</t>
  </si>
  <si>
    <t>DTGNIGQER</t>
  </si>
  <si>
    <t>MSHLADRGEIELTGVK</t>
  </si>
  <si>
    <t>TAAENEFVTVKK</t>
  </si>
  <si>
    <t>SGISFLQGKMYDER</t>
  </si>
  <si>
    <t>YQEEGPVPQPR</t>
  </si>
  <si>
    <t>CPPPATSSSVLDQR</t>
  </si>
  <si>
    <t>KLLSLFEESR</t>
  </si>
  <si>
    <t>DIQENDEEAVQVK</t>
  </si>
  <si>
    <t>DCLFRPLNK</t>
  </si>
  <si>
    <t>HTSGVMGFKDIQAMQEK</t>
  </si>
  <si>
    <t>LDIDSAPITAR</t>
  </si>
  <si>
    <t>WSPVASTLPELVQR</t>
  </si>
  <si>
    <t>FTDDYQLFEELGK</t>
  </si>
  <si>
    <t>GYSFTTTAEREIVR</t>
  </si>
  <si>
    <t>ISEDDKEVMK</t>
  </si>
  <si>
    <t>QDLATLDVTK</t>
  </si>
  <si>
    <t>DAEEWFFTK</t>
  </si>
  <si>
    <t>GSQGFLNGSEVSDLLR</t>
  </si>
  <si>
    <t>ERPAAIPIEIR</t>
  </si>
  <si>
    <t>MAIIAGKLTWELK</t>
  </si>
  <si>
    <t>LPDGSEIPLPPILLGK</t>
  </si>
  <si>
    <t>QQACGGIGNEDGGK</t>
  </si>
  <si>
    <t>VFSGVVSTGLK</t>
  </si>
  <si>
    <t>DLLGWTVLK</t>
  </si>
  <si>
    <t>VVQGDIGEANEDVTQIVEILHSGPSK</t>
  </si>
  <si>
    <t>EIFLSQPILLELEAPLK</t>
  </si>
  <si>
    <t>APSIIFIDELDAIGTK</t>
  </si>
  <si>
    <t>FRVADQDGDSMATR</t>
  </si>
  <si>
    <t>ASDPPEPREGMLLSSR</t>
  </si>
  <si>
    <t>VPLFEILK</t>
  </si>
  <si>
    <t>DTEKTDQMK</t>
  </si>
  <si>
    <t>QTQVNEATK</t>
  </si>
  <si>
    <t>QDSGTTARR</t>
  </si>
  <si>
    <t>EETNGGWK</t>
  </si>
  <si>
    <t>HEDELLAK</t>
  </si>
  <si>
    <t>MAASAIKGLSALR</t>
  </si>
  <si>
    <t>VGSTSENITQK</t>
  </si>
  <si>
    <t>LSSDELIIR</t>
  </si>
  <si>
    <t>TALAATNPAVR</t>
  </si>
  <si>
    <t>LNQPQPDFTK</t>
  </si>
  <si>
    <t>ENLLEEQGSIALR</t>
  </si>
  <si>
    <t>TSLDEITSGK</t>
  </si>
  <si>
    <t>VTLENFYSNLIAQHEER</t>
  </si>
  <si>
    <t>QVMEKAGDASLSGR</t>
  </si>
  <si>
    <t>KETSSIIK</t>
  </si>
  <si>
    <t>VPLCINPQSAAFK</t>
  </si>
  <si>
    <t>QVTQSYWDTNPTR</t>
  </si>
  <si>
    <t>DLLDQILMLDPAKR</t>
  </si>
  <si>
    <t>DNDSYINVQEIK</t>
  </si>
  <si>
    <t>ALKEIVER</t>
  </si>
  <si>
    <t>QVTNAVLK</t>
  </si>
  <si>
    <t>TATQLAVNK</t>
  </si>
  <si>
    <t>APYANTK</t>
  </si>
  <si>
    <t>SITVQEAEPR</t>
  </si>
  <si>
    <t>ECKVEILTR</t>
  </si>
  <si>
    <t>SKFEDLAK</t>
  </si>
  <si>
    <t>REFIQEPAK</t>
  </si>
  <si>
    <t>QLRSVLNNLK</t>
  </si>
  <si>
    <t>DLKDEIVR</t>
  </si>
  <si>
    <t>MELAIEGER</t>
  </si>
  <si>
    <t>LAVNMVPFPR</t>
  </si>
  <si>
    <t>VGMQSKADK</t>
  </si>
  <si>
    <t>GDLFASTFLIK</t>
  </si>
  <si>
    <t>GSFSEQGINEFLR</t>
  </si>
  <si>
    <t>CVVAVVNK</t>
  </si>
  <si>
    <t>RIEGDHQ</t>
  </si>
  <si>
    <t>TPLFISLLR</t>
  </si>
  <si>
    <t>LTSLVPFVDAFQLER</t>
  </si>
  <si>
    <t>ESTLHLVLR</t>
  </si>
  <si>
    <t>LVIEEAER</t>
  </si>
  <si>
    <t>AFSDPFVEAEK</t>
  </si>
  <si>
    <t>IICDLVEEK</t>
  </si>
  <si>
    <t>NSKVYNVR</t>
  </si>
  <si>
    <t>AIAGTGANVIVTGGK</t>
  </si>
  <si>
    <t>LMEVVYSQR</t>
  </si>
  <si>
    <t>LSQLAFRR</t>
  </si>
  <si>
    <t>MMIDAQK</t>
  </si>
  <si>
    <t>FSPELCTLLGPR</t>
  </si>
  <si>
    <t>LNYGIPAIVK</t>
  </si>
  <si>
    <t>ILIANTGMDTDKIK</t>
  </si>
  <si>
    <t>NEDGTWPR</t>
  </si>
  <si>
    <t>EAQAWAEAEAK</t>
  </si>
  <si>
    <t>LLANMVYQYK</t>
  </si>
  <si>
    <t>DDLLQEYTEQR</t>
  </si>
  <si>
    <t>LAELEAALQR</t>
  </si>
  <si>
    <t>AFSQLDVR</t>
  </si>
  <si>
    <t>LAPGVRGSSR</t>
  </si>
  <si>
    <t>EQAEAEVASLNR</t>
  </si>
  <si>
    <t>ETEGDVTSVKDAK</t>
  </si>
  <si>
    <t>GPSYGLSAEVK</t>
  </si>
  <si>
    <t>ATENDIYNFFSPLNPMR</t>
  </si>
  <si>
    <t>SLQSVAEER</t>
  </si>
  <si>
    <t>MLPQAATEDDIR</t>
  </si>
  <si>
    <t>GDVNDNFQGVLQNVR</t>
  </si>
  <si>
    <t>LFCVGFTK</t>
  </si>
  <si>
    <t>RMAEVHR</t>
  </si>
  <si>
    <t>VQIQESVR</t>
  </si>
  <si>
    <t>MYNLVSR</t>
  </si>
  <si>
    <t>EITTGIQIEK</t>
  </si>
  <si>
    <t>DAALMVTNDGATILK</t>
  </si>
  <si>
    <t>MDSTEPPYSQK</t>
  </si>
  <si>
    <t>AVTGYNDPETGNIISLFQAMNK</t>
  </si>
  <si>
    <t>VFMQEFK</t>
  </si>
  <si>
    <t>SSPVIIDASTAIDAPSNLR</t>
  </si>
  <si>
    <t>EIAEEPR</t>
  </si>
  <si>
    <t>TMQNTSDLDTAR</t>
  </si>
  <si>
    <t>EVPGNGAVGMSPLLK</t>
  </si>
  <si>
    <t>GLDITILKIDLDNDQSPK</t>
  </si>
  <si>
    <t>VDVFTANTSLSSGPLPTFPLEQLVNK</t>
  </si>
  <si>
    <t>IGIEIIKR</t>
  </si>
  <si>
    <t>GYFNEELSEILSDPSDDTK</t>
  </si>
  <si>
    <t>VAVLGASGGIGQPLSLLLK</t>
  </si>
  <si>
    <t>EVTEPLNLNPAK</t>
  </si>
  <si>
    <t>LELQGSNSR</t>
  </si>
  <si>
    <t>GAFGKPQGTVAR</t>
  </si>
  <si>
    <t>NHEEEMNALR</t>
  </si>
  <si>
    <t>FQTEIQTVSK</t>
  </si>
  <si>
    <t>TTAENEFVMLKK</t>
  </si>
  <si>
    <t>VSPPGVLCLPVLNIPR</t>
  </si>
  <si>
    <t>ILLGLNFYGMDYAASK</t>
  </si>
  <si>
    <t>FVFGTTPEDILR</t>
  </si>
  <si>
    <t>GVDEATIIDILTK</t>
  </si>
  <si>
    <t>DALSDLALHFLNK</t>
  </si>
  <si>
    <t>SPFVVNVAPPLDLSK</t>
  </si>
  <si>
    <t>TSEVNCYR</t>
  </si>
  <si>
    <t>IWSVPNTSCVQVVR</t>
  </si>
  <si>
    <t>EDQTEYLEER</t>
  </si>
  <si>
    <t>AQAEQEEQER</t>
  </si>
  <si>
    <t>ITALDEFATK</t>
  </si>
  <si>
    <t>AIQLSGTEQLEALK</t>
  </si>
  <si>
    <t>FWQDLMNIAGTTLSSK</t>
  </si>
  <si>
    <t>SYTITGLQPGTDYK</t>
  </si>
  <si>
    <t>EATTEFSVDAR</t>
  </si>
  <si>
    <t>KVVVCDNGTGFVK</t>
  </si>
  <si>
    <t>NLEQENKNLR</t>
  </si>
  <si>
    <t>TATPQQAQEVHEK</t>
  </si>
  <si>
    <t>NTGIICTIGPASR</t>
  </si>
  <si>
    <t>AYIVQLQIEDLTR</t>
  </si>
  <si>
    <t>LELPKPQEGGLSR</t>
  </si>
  <si>
    <t>VEGSSTASSGSQLAEGK</t>
  </si>
  <si>
    <t>DTEGGPAGLDSR</t>
  </si>
  <si>
    <t>EQWANLEQLSAIR</t>
  </si>
  <si>
    <t>ESGAAEQVDNK</t>
  </si>
  <si>
    <t>SKEEEDTPGSSLEK</t>
  </si>
  <si>
    <t>DLLNMYIETEGK</t>
  </si>
  <si>
    <t>VAVEEVDEEGKFVR</t>
  </si>
  <si>
    <t>SYLGGGAGAAGGGGADPGNK</t>
  </si>
  <si>
    <t>QINVSTDDSEVK</t>
  </si>
  <si>
    <t>NNLIYQVDTLK</t>
  </si>
  <si>
    <t>EGEEAAAEAEEK</t>
  </si>
  <si>
    <t>LGVNNNQGVNIFNYQVATK</t>
  </si>
  <si>
    <t>SDLLLSGRDWNTLIVGK</t>
  </si>
  <si>
    <t>VLDLSNFEILAK</t>
  </si>
  <si>
    <t>SAIYQLEEEYENLLK</t>
  </si>
  <si>
    <t>VMEEEGLKDEEK</t>
  </si>
  <si>
    <t>KPTDTASVQNEAK</t>
  </si>
  <si>
    <t>LESEEEGVPSTAIR</t>
  </si>
  <si>
    <t>AATPSPSGAIGGLLEQFAR</t>
  </si>
  <si>
    <t>ETVSEESNVLCLSK</t>
  </si>
  <si>
    <t>TLIQNCGASTIR</t>
  </si>
  <si>
    <t>LNDSILQATEQR</t>
  </si>
  <si>
    <t>TEPTAQQNLALQLAEK</t>
  </si>
  <si>
    <t>LGDGLFLQCCEEVAELYPK</t>
  </si>
  <si>
    <t>ANLQIDQINTDLNLER</t>
  </si>
  <si>
    <t>YQTQPVTLGEVEQVQSGK</t>
  </si>
  <si>
    <t>SPPSETEGSDGR</t>
  </si>
  <si>
    <t>TGVACSVSQAQK</t>
  </si>
  <si>
    <t>VLVCAPSNAAVDELMK</t>
  </si>
  <si>
    <t>VCENIPIVLCGNK</t>
  </si>
  <si>
    <t>TGGSLRGNASSSQVDEGQMNR</t>
  </si>
  <si>
    <t>VINEPTAAALAYGLDK</t>
  </si>
  <si>
    <t>EGTGSTATSSGSAGGAVGK</t>
  </si>
  <si>
    <t>GAGTGGLGLTVEGPCEAK</t>
  </si>
  <si>
    <t>ELGEYGLQAYTEVK</t>
  </si>
  <si>
    <t>DAVLNAWAEDVDLR</t>
  </si>
  <si>
    <t>TQSNLPTSLEGLSNLSDVDLSCNDLTR</t>
  </si>
  <si>
    <t>VIELGLLESPDIYTSSVLEK</t>
  </si>
  <si>
    <t>GADFLVTEVENGGSLGSK</t>
  </si>
  <si>
    <t>CLTANQNSAATCR</t>
  </si>
  <si>
    <t>GLASPTSITPISSPLCSK</t>
  </si>
  <si>
    <t>SDGGYTYDTSDLAAIK</t>
  </si>
  <si>
    <t>FGIQAQMVTTDFQK</t>
  </si>
  <si>
    <t>VDALMDEINFMK</t>
  </si>
  <si>
    <t>IVENSEAVTEILNNAELLK</t>
  </si>
  <si>
    <t>GFFDPNTEENLTYLQLK</t>
  </si>
  <si>
    <t>LAPITSDPTEAAAVGAVEASFK</t>
  </si>
  <si>
    <t>IPI00132799.4:IPI00775783.1:</t>
  </si>
  <si>
    <t>DCY00420555.2:</t>
  </si>
  <si>
    <t>IPI00319160.6:</t>
  </si>
  <si>
    <t>DCY00318010.5:</t>
  </si>
  <si>
    <t>IPI00134202.4:IPI00323806.4:IPI00762051.1:IPI00880689.1:IPI00890058.1:</t>
  </si>
  <si>
    <t>IPI00785255.2:</t>
  </si>
  <si>
    <t>IPI00117630.3:IPI00230018.1:IPI00230019.1:IPI00230020.3:IPI00230021.1:IPI00230023.1:IPI00469221.5:IPI00474081.3:</t>
  </si>
  <si>
    <t>IPI00331556.5:</t>
  </si>
  <si>
    <t>IPI00114209.1:</t>
  </si>
  <si>
    <t>IPI00224575.1:</t>
  </si>
  <si>
    <t>IPI00130391.1:</t>
  </si>
  <si>
    <t>IPI00114241.2:IPI00131366.5:IPI00131368.3:IPI00139301.3:IPI00221797.1:IPI00222228.5:IPI00346834.1:IPI00347110.2:IPI00420312.4:IPI00463282.1:IPI00470126.4:IPI00622240.4:IPI00675855.2:IPI00762364.2:IPI00785403.14:IPI00849761.1:IPI00875096.1:</t>
  </si>
  <si>
    <t>IPI00125470.1:IPI00407025.2:IPI00457453.1:IPI00460839.1:IPI00556839.2:IPI00831134.1:</t>
  </si>
  <si>
    <t>IPI00123316.1:IPI00123319.1:IPI00169707.2:IPI00227835.1:IPI00227918.2:IPI00230044.5:IPI00278611.7:IPI00403987.2:IPI00404662.2:IPI00459570.1:IPI00474756.1:IPI00830223.1:IPI00830333.1:IPI00830427.1:IPI00830533.1:IPI00830604.1:IPI00830701.1:IPI00830704.1:IPI00830884.1:IPI00831330.1:IPI00831423.1:IPI00831431.1:IPI00831626.1:IPI00857929.4:IPI00874728.1:IPI00880679.1:IPI00881945.1:</t>
  </si>
  <si>
    <t>IPI00653023.2:</t>
  </si>
  <si>
    <t>IPI00162935.1:IPI00785255.2:IPI00857526.1:</t>
  </si>
  <si>
    <t>DCY00653534.1:</t>
  </si>
  <si>
    <t>IPI00318204.5:IPI00554868.2:IPI00653091.1:IPI00654144.1:IPI00676841.1:</t>
  </si>
  <si>
    <t>IPI00330804.4:</t>
  </si>
  <si>
    <t>IPI00323422.1:IPI00850385.1:</t>
  </si>
  <si>
    <t>DCY00229925.2:</t>
  </si>
  <si>
    <t>IPI00323357.3:IPI00346073.1:IPI00457741.4:IPI00798482.3:IPI00886297.1:</t>
  </si>
  <si>
    <t>IPI00340103.1:IPI00474637.4:IPI00775915.1:IPI00849598.1:</t>
  </si>
  <si>
    <t>IPI00221711.3:IPI00850341.1:</t>
  </si>
  <si>
    <t>IPI00126917.1:IPI00133440.1:IPI00649084.1:IPI00876224.1:IPI00890014.1:</t>
  </si>
  <si>
    <t>IPI00132456.1:</t>
  </si>
  <si>
    <t>IPI00317309.5:</t>
  </si>
  <si>
    <t>DCY00405825.3:</t>
  </si>
  <si>
    <t>IPI00230707.6:</t>
  </si>
  <si>
    <t>IPI00221454.1:IPI00404031.1:IPI00555059.2:IPI00754071.1:IPI00758024.1:</t>
  </si>
  <si>
    <t>IPI00170008.1:</t>
  </si>
  <si>
    <t>IPI00110850.1:IPI00136929.1:IPI00473320.2:IPI00652436.3:IPI00874482.1:IPI00885570.1:</t>
  </si>
  <si>
    <t>IPI00221581.1:</t>
  </si>
  <si>
    <t>IPI00229080.7:IPI00554929.2:</t>
  </si>
  <si>
    <t>IPI00323592.2:</t>
  </si>
  <si>
    <t>IPI00467104.2:</t>
  </si>
  <si>
    <t>IPI00129276.1:</t>
  </si>
  <si>
    <t>IPI00420261.5:IPI00621282.3:IPI00665601.1:IPI00752229.2:IPI00753905.3:IPI00853656.1:IPI00875792.1:</t>
  </si>
  <si>
    <t>IPI00322209.5:</t>
  </si>
  <si>
    <t>IPI00348328.4:</t>
  </si>
  <si>
    <t>IPI00453768.4:IPI00468667.4:IPI00626233.3:IPI00755857.3:IPI00761421.2:IPI00849377.1:IPI00849652.6:IPI00853832.1:</t>
  </si>
  <si>
    <t>IPI00319926.1:</t>
  </si>
  <si>
    <t>DCY00416066.2:</t>
  </si>
  <si>
    <t>IPI00128108.1:IPI00406464.2:IPI00759953.1:</t>
  </si>
  <si>
    <t>DCY00677790.2:</t>
  </si>
  <si>
    <t>IPI00138790.2:IPI00321396.1:IPI00410959.1:IPI00653061.1:IPI00761242.1:</t>
  </si>
  <si>
    <t>IPI00471475.1:IPI00471476.1:IPI00471477.1:IPI00884509.1:</t>
  </si>
  <si>
    <t>IPI00331188.1:</t>
  </si>
  <si>
    <t>IPI00123604.4:IPI00469351.3:IPI00606764.1:IPI00622968.1:IPI00850840.1:</t>
  </si>
  <si>
    <t>DCY00880879.2:</t>
  </si>
  <si>
    <t>IPI00131366.5:IPI00131368.3:IPI00139301.3:IPI00221797.1:IPI00330480.1:IPI00470126.4:IPI00762364.2:IPI00785403.14:</t>
  </si>
  <si>
    <t>IPI00130095.1:IPI00654422.1:</t>
  </si>
  <si>
    <t>IPI00110827.1:IPI00110850.1:IPI00114593.1:IPI00136929.1:IPI00473320.2:IPI00480406.1:IPI00652436.3:IPI00653007.1:IPI00654242.1:IPI00874482.1:IPI00885570.1:</t>
  </si>
  <si>
    <t>IPI00110827.1:IPI00110850.1:IPI00114593.1:IPI00117043.1:IPI00266875.5:IPI00404804.1:IPI00480406.1:IPI00648161.1:IPI00648420.1:IPI00652436.3:IPI00653007.1:IPI00654242.1:IPI00754167.2:IPI00874482.1:IPI00885500.1:IPI00885570.1:IPI00885994.1:</t>
  </si>
  <si>
    <t>IPI00406741.5:IPI00408119.6:IPI00473748.5:IPI00848818.1:</t>
  </si>
  <si>
    <t>IPI00121608.1:IPI00407012.1:</t>
  </si>
  <si>
    <t>IPI00318492.11:IPI00380130.2:IPI00458629.2:IPI00604967.3:IPI00606379.2:IPI00606508.1:IPI00752723.1:IPI00875177.1:IPI00880400.1:IPI00882003.1:IPI00890115.1:</t>
  </si>
  <si>
    <t>IPI00314783.3:IPI00652532.3:</t>
  </si>
  <si>
    <t>IPI00314041.6:</t>
  </si>
  <si>
    <t>DCY00649710.1:</t>
  </si>
  <si>
    <t>IPI00108125.4:IPI00648714.1:IPI00848526.1:IPI00850758.1:</t>
  </si>
  <si>
    <t>IPI00222515.5:</t>
  </si>
  <si>
    <t>DCY00400192.1:</t>
  </si>
  <si>
    <t>IPI00553717.6:</t>
  </si>
  <si>
    <t>IPI00317794.5:</t>
  </si>
  <si>
    <t>IPI00331345.5:IPI00473521.1:IPI00679159.2:</t>
  </si>
  <si>
    <t>IPI00230395.5:IPI00652811.1:</t>
  </si>
  <si>
    <t>IPI00136056.1:IPI00656215.1:IPI00755181.1:IPI00798492.2:IPI00828744.1:</t>
  </si>
  <si>
    <t>IPI00469268.5:</t>
  </si>
  <si>
    <t>IPI00331092.7:</t>
  </si>
  <si>
    <t>DCY00404637.5:</t>
  </si>
  <si>
    <t>IPI00129277.1:</t>
  </si>
  <si>
    <t>DCY00890928.1:</t>
  </si>
  <si>
    <t>DCY00830508.1:</t>
  </si>
  <si>
    <t>IPI00889222.1:IPI00890140.1:IPI00890181.1:</t>
  </si>
  <si>
    <t>IPI00117167.2:IPI00759948.1:</t>
  </si>
  <si>
    <t>IPI00229845.3:IPI00831158.1:</t>
  </si>
  <si>
    <t>IPI00331092.7:IPI00752798.2:</t>
  </si>
  <si>
    <t>IPI00339474.3:IPI00463634.1:IPI00849793.1:IPI00889839.1:</t>
  </si>
  <si>
    <t>DCY00399951.2:</t>
  </si>
  <si>
    <t>DCY00230439.3:</t>
  </si>
  <si>
    <t>IPI00115627.4:</t>
  </si>
  <si>
    <t>IPI00123281.1:IPI00653744.1:</t>
  </si>
  <si>
    <t>IPI00124171.1:IPI00856210.1:</t>
  </si>
  <si>
    <t>IPI00228113.4:IPI00875833.2:</t>
  </si>
  <si>
    <t>IPI00117288.3:IPI00129417.1:IPI00277066.4:IPI00648228.3:IPI00755892.1:</t>
  </si>
  <si>
    <t>IPI00230086.2:IPI00330958.2:IPI00336873.1:IPI00336874.1:</t>
  </si>
  <si>
    <t>IPI00116031.3:IPI00409221.5:IPI00468834.4:IPI00664033.1:IPI00776254.1:IPI00875654.1:</t>
  </si>
  <si>
    <t>IPI00117277.2:IPI00654388.2:IPI00762483.3:IPI00855165.1:</t>
  </si>
  <si>
    <t>IPI00133985.1:IPI00856593.1:</t>
  </si>
  <si>
    <t>IPI00323357.3:IPI00457741.4:IPI00886297.1:</t>
  </si>
  <si>
    <t>IPI00115627.4:IPI00380734.2:IPI00620582.1:</t>
  </si>
  <si>
    <t>IPI00134093.4:IPI00461199.2:</t>
  </si>
  <si>
    <t>IPI00114491.1:IPI00894639.1:</t>
  </si>
  <si>
    <t>IPI00112339.9:IPI00759925.1:IPI00874516.1:</t>
  </si>
  <si>
    <t>IPI00136984.1:IPI00349458.5:IPI00666161.1:IPI00850039.1:IPI00850934.1:IPI00890126.1:</t>
  </si>
  <si>
    <t>IPI00420752.7:IPI00553717.6:</t>
  </si>
  <si>
    <t>IPI00116031.3:IPI00130160.3:IPI00409221.5:IPI00468834.4:IPI00664033.1:IPI00776254.1:IPI00798508.1:IPI00875654.1:</t>
  </si>
  <si>
    <t>DCY00831588.1:</t>
  </si>
  <si>
    <t>DCY00109656.2:</t>
  </si>
  <si>
    <t>IPI00223253.1:IPI00224575.1:IPI00465574.2:IPI00469351.3:IPI00761237.2:IPI00875420.1:IPI00890005.1:</t>
  </si>
  <si>
    <t>IPI00229845.3:</t>
  </si>
  <si>
    <t>IPI00121788.1:IPI00648105.1:IPI00648615.3:IPI00649645.1:</t>
  </si>
  <si>
    <t>IPI00346073.1:IPI00798482.3:</t>
  </si>
  <si>
    <t>IPI00127109.4:IPI00134621.3:</t>
  </si>
  <si>
    <t>DCY00895134.1:</t>
  </si>
  <si>
    <t>IPI00283862.6:</t>
  </si>
  <si>
    <t>IPI00116285.2:IPI00850347.1:</t>
  </si>
  <si>
    <t>IPI00119478.1:</t>
  </si>
  <si>
    <t>IPI00284444.5:IPI00761648.2:IPI00849668.1:</t>
  </si>
  <si>
    <t>IPI00130734.1:IPI00857689.1:</t>
  </si>
  <si>
    <t>IPI00131673.1:IPI00849742.1:</t>
  </si>
  <si>
    <t>IPI00320594.5:</t>
  </si>
  <si>
    <t>IPI00116498.1:IPI00853851.1:</t>
  </si>
  <si>
    <t>IPI00132328.2:IPI00857481.1:</t>
  </si>
  <si>
    <t>IPI00117848.1:IPI00309527.5:IPI00621058.1:IPI00648523.2:IPI00895533.1:</t>
  </si>
  <si>
    <t>IPI00130734.1:</t>
  </si>
  <si>
    <t>IPI00352475.3:</t>
  </si>
  <si>
    <t>DCY00653107.1:</t>
  </si>
  <si>
    <t>IPI00125091.1:IPI00648086.1:IPI00648767.1:IPI00649088.1:IPI00649199.1:IPI00649463.1:IPI00649913.1:</t>
  </si>
  <si>
    <t>IPI00130185.1:</t>
  </si>
  <si>
    <t>IPI00131716.1:</t>
  </si>
  <si>
    <t>IPI00116498.1:IPI00473203.1:IPI00853851.1:</t>
  </si>
  <si>
    <t>IPI00331163.9:IPI00515371.1:</t>
  </si>
  <si>
    <t>IPI00120051.1:IPI00131259.2:IPI00224486.1:IPI00890027.1:</t>
  </si>
  <si>
    <t>IPI00323357.3:IPI00331546.2:IPI00387494.1:IPI00457741.4:IPI00886297.1:</t>
  </si>
  <si>
    <t>IPI00132942.1:</t>
  </si>
  <si>
    <t>IPI00123458.1:IPI00123460.1:IPI00624527.4:</t>
  </si>
  <si>
    <t>IPI00132722.8:IPI00877279.1:</t>
  </si>
  <si>
    <t>IPI00848801.1:IPI00849530.1:IPI00850432.1:</t>
  </si>
  <si>
    <t>IPI00110827.1:IPI00114593.1:IPI00117043.1:IPI00266875.5:IPI00404804.1:IPI00480406.1:IPI00653007.1:IPI00654242.1:IPI00885500.1:IPI00885994.1:</t>
  </si>
  <si>
    <t>DCY00462732.4:</t>
  </si>
  <si>
    <t>DCY00625596.3:</t>
  </si>
  <si>
    <t>DCY00894718.1:</t>
  </si>
  <si>
    <t>IPI00323881.1:IPI00742334.1:</t>
  </si>
  <si>
    <t>IPI00660358.2:IPI00875675.1:</t>
  </si>
  <si>
    <t>IPI00139718.1:</t>
  </si>
  <si>
    <t>IPI00848599.1:IPI00882275.2:</t>
  </si>
  <si>
    <t>IPI00347110.2:</t>
  </si>
  <si>
    <t>IPI00274175.1:IPI00466820.4:IPI00475203.1:IPI00621229.1:IPI00671398.1:IPI00828628.2:IPI00849948.1:IPI00875282.1:</t>
  </si>
  <si>
    <t>IPI00466820.4:IPI00475203.1:IPI00621229.1:IPI00671398.1:IPI00828628.2:IPI00849948.1:</t>
  </si>
  <si>
    <t>IPI00111495.9:IPI00720194.1:</t>
  </si>
  <si>
    <t>IPI00108143.1:IPI00133916.2:IPI00224729.1:</t>
  </si>
  <si>
    <t>IPI00229080.7:IPI00330804.4:IPI00554929.2:IPI00830977.1:</t>
  </si>
  <si>
    <t>IPI00331345.5:IPI00473521.1:</t>
  </si>
  <si>
    <t>IPI00347110.2:IPI00420970.3:IPI00462140.1:IPI00468956.4:IPI00625729.2:</t>
  </si>
  <si>
    <t>IPI00230108.6:</t>
  </si>
  <si>
    <t>DCY00849705.1:</t>
  </si>
  <si>
    <t>IPI00323357.3:IPI00457741.4:IPI00885277.1:IPI00886297.1:IPI00886370.1:</t>
  </si>
  <si>
    <t>IPI00117610.2:IPI00122413.2:IPI00131534.1:IPI00275118.4:IPI00407917.1:IPI00473762.1:IPI00756253.2:IPI00762232.1:IPI00850681.1:</t>
  </si>
  <si>
    <t>IPI00323357.3:</t>
  </si>
  <si>
    <t>DCY00223490.2:</t>
  </si>
  <si>
    <t>IPI00117822.2:IPI00162994.1:IPI00620436.2:IPI00653350.1:IPI00653511.1:IPI00653709.3:</t>
  </si>
  <si>
    <t>DCY00828612.1:</t>
  </si>
  <si>
    <t>IPI00223204.1:IPI00761697.1:</t>
  </si>
  <si>
    <t>IPI00132722.8:IPI00653565.1:IPI00877279.1:</t>
  </si>
  <si>
    <t>DCY00849015.1:</t>
  </si>
  <si>
    <t>IPI00329962.3:IPI00407665.3:IPI00625260.4:</t>
  </si>
  <si>
    <t>IPI00129527.3:IPI00230444.1:IPI00230445.1:</t>
  </si>
  <si>
    <t>IPI00118590.1:</t>
  </si>
  <si>
    <t>IPI00123458.1:</t>
  </si>
  <si>
    <t>IPI00117947.1:IPI00124248.1:</t>
  </si>
  <si>
    <t>IPI00661414.2:IPI00775844.1:</t>
  </si>
  <si>
    <t>IPI00310962.3:IPI00750926.10:IPI00854911.1:</t>
  </si>
  <si>
    <t>DCY00336850.4:</t>
  </si>
  <si>
    <t>IPI00320016.7:IPI00471251.3:</t>
  </si>
  <si>
    <t>IPI00320399.6:IPI00466738.4:IPI00466817.4:IPI00828461.1:IPI00828976.1:</t>
  </si>
  <si>
    <t>IPI00116498.1:IPI00118286.1:IPI00118384.1:IPI00227392.5:IPI00230682.6:IPI00230707.6:IPI00408378.4:IPI00473203.1:IPI00656269.1:IPI00750790.1:IPI00754545.2:IPI00760000.1:IPI00828266.2:IPI00844680.1:IPI00853851.1:IPI00853924.1:IPI00885651.1:</t>
  </si>
  <si>
    <t>IPI00114819.3:IPI00881268.1:</t>
  </si>
  <si>
    <t>IPI00346834.1:</t>
  </si>
  <si>
    <t>IPI00320217.9:IPI00653274.1:</t>
  </si>
  <si>
    <t>IPI00262941.2:</t>
  </si>
  <si>
    <t>IPI00339916.9:IPI00673707.2:</t>
  </si>
  <si>
    <t>DCY00378681.6:</t>
  </si>
  <si>
    <t>IPI00466820.4:IPI00475203.1:IPI00828628.2:IPI00849948.1:IPI00875282.1:</t>
  </si>
  <si>
    <t>IPI00406442.2:</t>
  </si>
  <si>
    <t>IPI00229697.3:IPI00757214.2:IPI00884536.1:</t>
  </si>
  <si>
    <t>IPI00408892.2:</t>
  </si>
  <si>
    <t>IPI00336881.1:</t>
  </si>
  <si>
    <t>IPI00221454.1:IPI00555059.2:IPI00754071.1:IPI00756385.1:IPI00758024.1:</t>
  </si>
  <si>
    <t>IPI00112024.2:IPI00340103.1:IPI00403956.1:IPI00474637.4:IPI00775915.1:IPI00849598.1:IPI00850568.1:IPI00850627.1:</t>
  </si>
  <si>
    <t>IPI00170008.1:IPI00849497.1:</t>
  </si>
  <si>
    <t>IPI00855103.2:</t>
  </si>
  <si>
    <t>IPI00110827.1:IPI00114593.1:IPI00117043.1:IPI00266875.5:IPI00404804.1:IPI00480406.1:IPI00653007.1:IPI00654242.1:IPI00885994.1:</t>
  </si>
  <si>
    <t>IPI00136251.1:</t>
  </si>
  <si>
    <t>IPI00620222.2:IPI00649184.2:IPI00754649.2:</t>
  </si>
  <si>
    <t>IPI00117168.3:</t>
  </si>
  <si>
    <t>IPI00109650.3:IPI00124240.1:IPI00225350.1:IPI00830384.1:</t>
  </si>
  <si>
    <t>DCY00757104.2:</t>
  </si>
  <si>
    <t>IPI00322413.2:</t>
  </si>
  <si>
    <t>IPI00109061.1:IPI00109073.5:IPI00117352.1:IPI00169463.1:IPI00338039.1:IPI00458204.7:IPI00473225.1:IPI00850173.1:</t>
  </si>
  <si>
    <t>IPI00119036.2:</t>
  </si>
  <si>
    <t>IPI00266906.2:</t>
  </si>
  <si>
    <t>IPI00469307.2:</t>
  </si>
  <si>
    <t>IPI00226387.3:IPI00461730.3:IPI00848970.1:</t>
  </si>
  <si>
    <t>IPI00110850.1:IPI00136929.1:IPI00473320.2:IPI00648420.1:IPI00652436.3:IPI00856609.1:IPI00874482.1:IPI00874780.1:</t>
  </si>
  <si>
    <t>IPI00553777.2:IPI00817004.1:</t>
  </si>
  <si>
    <t>IPI00131138.10:IPI00664643.2:IPI00875567.1:IPI00885630.1:IPI00886409.1:</t>
  </si>
  <si>
    <t>DCY00469382.2:</t>
  </si>
  <si>
    <t>IPI00123503.1:IPI00655148.1:IPI00750373.1:</t>
  </si>
  <si>
    <t>IPI00116283.1:</t>
  </si>
  <si>
    <t>DCY00126604.5:</t>
  </si>
  <si>
    <t>IPI00118384.1:IPI00828266.2:</t>
  </si>
  <si>
    <t>IPI00228970.6:IPI00660087.2:</t>
  </si>
  <si>
    <t>IPI00116254.1:IPI00121788.1:IPI00605254.5:IPI00648105.1:IPI00648615.3:IPI00828909.3:IPI00848536.1:</t>
  </si>
  <si>
    <t>IPI00116908.1:IPI00120475.1:IPI00133104.1:IPI00225634.6:IPI00405659.1:IPI00463049.1:IPI00463052.1:IPI00473415.1:IPI00554850.2:</t>
  </si>
  <si>
    <t>IPI00230435.1:IPI00400300.1:IPI00620256.3:</t>
  </si>
  <si>
    <t>IPI00318204.5:IPI00411102.3:IPI00554868.2:IPI00653091.1:IPI00654144.1:IPI00656203.2:IPI00676841.1:IPI00895349.1:</t>
  </si>
  <si>
    <t>IPI00270326.1:</t>
  </si>
  <si>
    <t>IPI00226436.3:IPI00387320.4:</t>
  </si>
  <si>
    <t>IPI00311236.1:IPI00775948.1:</t>
  </si>
  <si>
    <t>IPI00111412.3:</t>
  </si>
  <si>
    <t>IPI00162790.1:IPI00807971.1:IPI00880213.1:</t>
  </si>
  <si>
    <t>DCY00830654.1:</t>
  </si>
  <si>
    <t>IPI00116279.3:</t>
  </si>
  <si>
    <t>IPI00461292.4:IPI00849736.1:</t>
  </si>
  <si>
    <t>IPI00118736.3:IPI00222989.1:IPI00399550.1:IPI00466073.1:IPI00854950.1:IPI00876176.1:</t>
  </si>
  <si>
    <t>IPI00269136.2:IPI00475150.1:</t>
  </si>
  <si>
    <t>IPI00622235.5:IPI00676914.1:</t>
  </si>
  <si>
    <t>IPI00111113.3:IPI00316789.3:IPI00649012.4:IPI00649530.1:IPI00649667.3:IPI00894847.1:</t>
  </si>
  <si>
    <t>IPI00131209.3:IPI00874585.1:</t>
  </si>
  <si>
    <t>IPI00117828.1:</t>
  </si>
  <si>
    <t>IPI00114819.3:</t>
  </si>
  <si>
    <t>IPI00556768.1:IPI00649283.1:</t>
  </si>
  <si>
    <t>IPI00129792.1:IPI00230429.4:</t>
  </si>
  <si>
    <t>IPI00112984.4:</t>
  </si>
  <si>
    <t>IPI00131138.10:IPI00664643.2:IPI00828712.3:IPI00875567.1:IPI00885630.1:IPI00886409.1:</t>
  </si>
  <si>
    <t>DCY00885523.1:</t>
  </si>
  <si>
    <t>IPI00331092.7:IPI00471047.2:IPI00752798.2:</t>
  </si>
  <si>
    <t>IPI00310091.8:</t>
  </si>
  <si>
    <t>DCY00266155.1:</t>
  </si>
  <si>
    <t>IPI00136883.3:IPI00475378.4:IPI00749991.5:IPI00875279.1:</t>
  </si>
  <si>
    <t>IPI00110827.1:IPI00110850.1:IPI00114593.1:IPI00117043.1:IPI00136929.1:IPI00221528.1:IPI00266875.5:IPI00404804.1:IPI00473320.2:IPI00480406.1:IPI00648420.1:IPI00652436.3:IPI00653007.1:IPI00654242.1:IPI00874482.1:IPI00885500.1:IPI00885994.1:</t>
  </si>
  <si>
    <t>IPI00314041.6:IPI00314783.3:IPI00652532.3:IPI00885874.1:</t>
  </si>
  <si>
    <t>IPI00130916.1:</t>
  </si>
  <si>
    <t>IPI00124832.1:</t>
  </si>
  <si>
    <t>DCY00463514.1:</t>
  </si>
  <si>
    <t>IPI00109764.2:IPI00874810.1:</t>
  </si>
  <si>
    <t>IPI00337844.4:</t>
  </si>
  <si>
    <t>DCY00170376.3:</t>
  </si>
  <si>
    <t>IPI00138319.3:</t>
  </si>
  <si>
    <t>IPI00122565.1:IPI00323179.3:IPI00416577.1:</t>
  </si>
  <si>
    <t>IPI00117042.3:IPI00222228.5:IPI00331459.1:IPI00347110.2:IPI00406377.3:IPI00649033.5:</t>
  </si>
  <si>
    <t>DCY00475334.6:</t>
  </si>
  <si>
    <t>IPI00224113.1:IPI00269136.2:IPI00475150.1:IPI00652085.1:IPI00895485.1:</t>
  </si>
  <si>
    <t>IPI00126943.1:</t>
  </si>
  <si>
    <t>IPI00274175.1:IPI00466820.4:IPI00621229.1:IPI00671398.1:IPI00849948.1:IPI00875282.1:</t>
  </si>
  <si>
    <t>IPI00133208.3:IPI00319992.1:IPI00323357.3:IPI00331546.2:IPI00387494.1:IPI00457741.4:IPI00886297.1:</t>
  </si>
  <si>
    <t>IPI00229080.7:IPI00554929.2:IPI00830562.1:</t>
  </si>
  <si>
    <t>IPI00405648.1:IPI00467127.4:IPI00881636.1:IPI00881755.1:</t>
  </si>
  <si>
    <t>IPI00123199.1:</t>
  </si>
  <si>
    <t>DCY00474040.1:</t>
  </si>
  <si>
    <t>IPI00319992.1:</t>
  </si>
  <si>
    <t>IPI00323357.3:IPI00457741.4:IPI00668185.1:IPI00886297.1:</t>
  </si>
  <si>
    <t>IPI00454049.4:IPI00459020.1:IPI00886151.1:</t>
  </si>
  <si>
    <t>DCY00622850.2:</t>
  </si>
  <si>
    <t>IPI00229517.5:</t>
  </si>
  <si>
    <t>IPI00123802.5:IPI00224109.2:</t>
  </si>
  <si>
    <t>IPI00130670.1:</t>
  </si>
  <si>
    <t>IPI00126090.3:IPI00468674.5:IPI00648237.1:</t>
  </si>
  <si>
    <t>IPI00132799.4:</t>
  </si>
  <si>
    <t>IPI00136984.1:IPI00666161.1:IPI00850934.1:</t>
  </si>
  <si>
    <t>IPI00123602.2:</t>
  </si>
  <si>
    <t>IPI00318841.4:IPI00408350.1:IPI00664589.1:</t>
  </si>
  <si>
    <t>IPI00118384.1:IPI00828266.2:IPI00885651.1:</t>
  </si>
  <si>
    <t>DCY00855116.1:</t>
  </si>
  <si>
    <t>IPI00466820.4:IPI00475203.1:IPI00621229.1:IPI00828628.2:</t>
  </si>
  <si>
    <t>IPI00403280.2:IPI00654388.2:</t>
  </si>
  <si>
    <t>DCY00857092.1:</t>
  </si>
  <si>
    <t>IPI00124287.1:IPI00137145.1:IPI00331552.4:IPI00356035.3:</t>
  </si>
  <si>
    <t>IPI00108125.4:IPI00648714.1:</t>
  </si>
  <si>
    <t>DCY00454188.2:</t>
  </si>
  <si>
    <t>IPI00125971.1:</t>
  </si>
  <si>
    <t>DCY00461882.1:</t>
  </si>
  <si>
    <t>IPI00323357.3:IPI00886297.1:</t>
  </si>
  <si>
    <t>IPI00458583.3:</t>
  </si>
  <si>
    <t>IPI00114819.3:IPI00881690.1:</t>
  </si>
  <si>
    <t>IPI00221769.5:</t>
  </si>
  <si>
    <t>IPI00226073.2:IPI00798511.1:</t>
  </si>
  <si>
    <t>IPI00223047.2:</t>
  </si>
  <si>
    <t>IPI00118707.1:IPI00331461.4:IPI00340036.2:IPI00474856.1:IPI00624735.4:IPI00626239.3:</t>
  </si>
  <si>
    <t>IPI00461456.1:IPI00623004.3:IPI00662290.1:IPI00754976.2:IPI00758298.1:IPI00849847.1:IPI00874935.1:IPI00876172.1:IPI00876212.1:</t>
  </si>
  <si>
    <t>IPI00320399.6:IPI00464348.1:IPI00466738.4:IPI00466817.4:IPI00828461.1:IPI00828976.1:</t>
  </si>
  <si>
    <t>IPI00330480.1:</t>
  </si>
  <si>
    <t>IPI00331163.9:</t>
  </si>
  <si>
    <t>IPI00123802.5:IPI00224109.2:IPI00830204.1:</t>
  </si>
  <si>
    <t>IPI00464378.3:IPI00474238.2:IPI00556847.1:IPI00671803.3:IPI00756441.1:IPI00808554.1:IPI00828443.1:IPI00828602.1:IPI00828743.1:IPI00828793.9:IPI00828887.1:IPI00830245.1:IPI00831058.2:IPI00831684.1:IPI00850020.1:IPI00853676.1:</t>
  </si>
  <si>
    <t>IPI00314075.2:IPI00659860.2:IPI00661214.2:</t>
  </si>
  <si>
    <t>DCY00798463.1:</t>
  </si>
  <si>
    <t>DCY00830839.1:</t>
  </si>
  <si>
    <t>IPI00225719.3:</t>
  </si>
  <si>
    <t>IPI00134792.1:IPI00420752.7:IPI00553717.6:</t>
  </si>
  <si>
    <t>IPI00314041.6:IPI00885874.1:</t>
  </si>
  <si>
    <t>IPI00405058.6:IPI00622847.2:IPI00828488.1:IPI00853914.1:IPI00890022.1:</t>
  </si>
  <si>
    <t>IPI00331424.8:IPI00742282.1:IPI00742413.1:</t>
  </si>
  <si>
    <t>IPI00117569.3:IPI00762542.2:</t>
  </si>
  <si>
    <t>IPI00126943.1:IPI00403229.1:</t>
  </si>
  <si>
    <t>IPI00129430.1:IPI00849080.1:</t>
  </si>
  <si>
    <t>IPI00117277.2:IPI00762483.3:IPI00855165.1:</t>
  </si>
  <si>
    <t>IPI00133428.3:</t>
  </si>
  <si>
    <t>IPI00122655.1:</t>
  </si>
  <si>
    <t>IPI00130160.3:IPI00798508.1:</t>
  </si>
  <si>
    <t>IPI00314950.2:IPI00626366.3:</t>
  </si>
  <si>
    <t>DCY00895286.1:</t>
  </si>
  <si>
    <t>IPI00110827.1:IPI00110850.1:IPI00114593.1:IPI00117043.1:IPI00136929.1:IPI00221528.1:IPI00266875.5:IPI00404804.1:IPI00473320.2:IPI00480406.1:IPI00648420.1:IPI00652436.3:IPI00653007.1:IPI00654242.1:IPI00857335.1:IPI00874482.1:IPI00874780.1:IPI00885994.1:</t>
  </si>
  <si>
    <t>IPI00755181.1:IPI00798492.2:IPI00828744.1:</t>
  </si>
  <si>
    <t>IPI00134202.4:IPI00323806.4:IPI00762051.1:IPI00880689.1:IPI00890058.1:IPI00890270.1:</t>
  </si>
  <si>
    <t>IPI00138892.2:IPI00139518.3:IPI00342013.3:IPI00470152.2:IPI00649896.1:IPI00750889.3:IPI00755916.3:IPI00758106.1:IPI00850795.1:IPI00895319.1:IPI00895479.1:</t>
  </si>
  <si>
    <t>IPI00752988.1:</t>
  </si>
  <si>
    <t>IPI00130095.1:</t>
  </si>
  <si>
    <t>IPI00108337.5:IPI00453768.4:IPI00461292.4:IPI00468667.4:IPI00626233.3:IPI00752389.3:IPI00753292.3:IPI00755857.3:IPI00761421.2:IPI00848437.1:IPI00848659.1:IPI00848671.1:IPI00848802.1:IPI00849522.1:IPI00849652.6:IPI00849660.1:IPI00849736.1:IPI00850068.1:IPI00853832.1:IPI00853989.1:</t>
  </si>
  <si>
    <t>DCY00226199.1:</t>
  </si>
  <si>
    <t>DCY00468432.2:</t>
  </si>
  <si>
    <t>IPI00338793.5:IPI00608092.1:</t>
  </si>
  <si>
    <t>DCY00124530.1:</t>
  </si>
  <si>
    <t>IPI00139718.1:IPI00515475.1:</t>
  </si>
  <si>
    <t>IPI00109061.1:IPI00117352.1:IPI00122928.1:IPI00169463.1:IPI00338039.1:IPI00348094.4:IPI00458204.7:IPI00850173.1:</t>
  </si>
  <si>
    <t>IPI00126338.5:IPI00320399.6:IPI00464348.1:IPI00466738.4:IPI00466817.4:IPI00623133.3:IPI00798595.2:IPI00828461.1:IPI00828976.1:</t>
  </si>
  <si>
    <t>IPI00118143.1:IPI00121977.3:IPI00624988.4:</t>
  </si>
  <si>
    <t>IPI00265107.4:IPI00330363.8:IPI00354363.3:IPI00462006.3:IPI00462453.4:IPI00606944.2:IPI00622160.3:IPI00661216.1:IPI00890002.1:IPI00890194.1:</t>
  </si>
  <si>
    <t>IPI00378513.3:</t>
  </si>
  <si>
    <t>DCY00319697.5:</t>
  </si>
  <si>
    <t>IPI00110827.1:IPI00110850.1:IPI00114593.1:IPI00117043.1:IPI00136929.1:IPI00229224.1:IPI00266875.5:IPI00404804.1:IPI00473320.2:IPI00480406.1:IPI00653007.1:IPI00654242.1:IPI00874482.1:IPI00885500.1:IPI00885570.1:IPI00885994.1:</t>
  </si>
  <si>
    <t>IPI00117277.2:IPI00654388.2:IPI00855165.1:</t>
  </si>
  <si>
    <t>IPI00466820.4:IPI00475203.1:IPI00621229.1:IPI00828628.2:IPI00849948.1:IPI00875282.1:</t>
  </si>
  <si>
    <t>IPI00113863.1:IPI00420951.7:IPI00649059.1:</t>
  </si>
  <si>
    <t>IPI00317289.8:IPI00556688.1:</t>
  </si>
  <si>
    <t>IPI00114209.1:IPI00606398.1:</t>
  </si>
  <si>
    <t>IPI00124499.2:IPI00221797.1:IPI00222228.5:IPI00346834.1:IPI00348328.4:IPI00420312.4:</t>
  </si>
  <si>
    <t>IPI00347096.2:</t>
  </si>
  <si>
    <t>IPI00110827.1:IPI00110850.1:IPI00114593.1:IPI00117043.1:IPI00266875.5:IPI00404804.1:IPI00473320.2:IPI00480406.1:IPI00648161.1:IPI00648420.1:IPI00652436.3:IPI00653007.1:IPI00654242.1:IPI00754167.2:IPI00874482.1:IPI00885500.1:IPI00885570.1:IPI00885994.1:</t>
  </si>
  <si>
    <t>DCY00136021.6:</t>
  </si>
  <si>
    <t>IPI00110280.4:IPI00856232.1:</t>
  </si>
  <si>
    <t>IPI00311236.1:IPI00458337.4:IPI00673513.2:IPI00775948.1:</t>
  </si>
  <si>
    <t>IPI00124959.1:</t>
  </si>
  <si>
    <t>IPI00131999.2:</t>
  </si>
  <si>
    <t>IPI00121788.1:IPI00648105.1:IPI00648615.3:</t>
  </si>
  <si>
    <t>IPI00116254.1:IPI00828909.3:</t>
  </si>
  <si>
    <t>IPI00122426.1:IPI00264398.3:IPI00648315.1:IPI00850221.1:</t>
  </si>
  <si>
    <t>IPI00336198.1:IPI00659186.1:IPI00677198.1:</t>
  </si>
  <si>
    <t>IPI00110827.1:IPI00110850.1:IPI00114593.1:IPI00117043.1:IPI00136929.1:IPI00404804.1:IPI00473320.2:IPI00480406.1:IPI00648161.1:IPI00648420.1:IPI00652436.3:IPI00653007.1:IPI00654242.1:IPI00874482.1:IPI00874780.1:</t>
  </si>
  <si>
    <t>IPI00177199.2:</t>
  </si>
  <si>
    <t>IPI00654388.2:IPI00785324.1:</t>
  </si>
  <si>
    <t>IPI00124499.2:IPI00131366.5:IPI00131368.3:IPI00139301.3:IPI00221797.1:IPI00322209.5:IPI00330480.1:IPI00462140.1:IPI00470126.4:IPI00622240.4:IPI00625729.2:IPI00762364.2:IPI00785403.14:IPI00875096.1:</t>
  </si>
  <si>
    <t>IPI00458153.2:IPI00653368.1:IPI00761240.4:</t>
  </si>
  <si>
    <t>DCY00775892.1:</t>
  </si>
  <si>
    <t>IPI00380734.2:IPI00620582.1:</t>
  </si>
  <si>
    <t>DCY00109644.1:</t>
  </si>
  <si>
    <t>IPI00311236.1:IPI00673513.2:IPI00775948.1:</t>
  </si>
  <si>
    <t>IPI00116381.1:IPI00320690.1:</t>
  </si>
  <si>
    <t>IPI00265107.4:IPI00330363.8:IPI00354363.3:IPI00462006.3:IPI00462453.4:IPI00622160.3:IPI00661216.1:IPI00848731.1:IPI00849924.1:IPI00890002.1:IPI00890194.1:</t>
  </si>
  <si>
    <t>IPI00124642.4:</t>
  </si>
  <si>
    <t>IPI00420261.5:IPI00458851.2:IPI00554889.1:IPI00665601.1:IPI00753905.3:IPI00761360.1:IPI00848872.1:IPI00849249.1:IPI00875792.1:</t>
  </si>
  <si>
    <t>IPI00625729.2:</t>
  </si>
  <si>
    <t>IPI00177199.2:IPI00458940.3:</t>
  </si>
  <si>
    <t>IPI00139301.3:IPI00470126.4:</t>
  </si>
  <si>
    <t>IPI00129277.1:IPI00649684.1:</t>
  </si>
  <si>
    <t>IPI00875833.2:</t>
  </si>
  <si>
    <t>IPI00121788.1:IPI00605254.5:IPI00648105.1:IPI00648615.3:IPI00848536.1:</t>
  </si>
  <si>
    <t>IPI00122562.3:IPI00131407.1:IPI00757768.1:</t>
  </si>
  <si>
    <t>IPI00126762.1:</t>
  </si>
  <si>
    <t>IPI00123862.1:IPI00130185.1:IPI00227773.1:IPI00311873.5:IPI00752131.1:IPI00875406.1:</t>
  </si>
  <si>
    <t>IPI00330804.4:IPI00830977.1:</t>
  </si>
  <si>
    <t>IPI00421085.1:</t>
  </si>
  <si>
    <t>IPI00122421.5:IPI00623893.2:IPI00648920.2:</t>
  </si>
  <si>
    <t>IPI00119667.1:IPI00307837.6:IPI00831184.1:IPI00831365.1:</t>
  </si>
  <si>
    <t>IPI00126389.2:IPI00652944.1:IPI00675666.1:</t>
  </si>
  <si>
    <t>IPI00229570.1:IPI00377392.3:IPI00420261.5:IPI00458851.2:IPI00664560.2:IPI00665601.1:IPI00752229.2:IPI00753905.3:IPI00761360.1:IPI00776416.1:IPI00853656.1:IPI00875792.1:</t>
  </si>
  <si>
    <t>IPI00109061.1:IPI00109073.5:IPI00112251.1:IPI00117352.1:IPI00122928.1:IPI00169463.1:IPI00338039.1:IPI00348094.4:IPI00458204.7:IPI00662501.1:IPI00850173.1:</t>
  </si>
  <si>
    <t>IPI00153400.2:IPI00221463.3:IPI00229542.1:IPI00229543.3:IPI00229544.3:IPI00229545.3:IPI00230264.5:IPI00265761.6:IPI00272033.3:IPI00330000.4:IPI00331734.5:IPI00555055.3:IPI00623951.3:IPI00651852.1:IPI00890323.1:</t>
  </si>
  <si>
    <t>IPI00330497.4:IPI00761961.1:</t>
  </si>
  <si>
    <t>IPI00127989.1:IPI00830960.1:</t>
  </si>
  <si>
    <t>IPI00133903.1:IPI00880839.1:</t>
  </si>
  <si>
    <t>DCY00223868.4:</t>
  </si>
  <si>
    <t>IPI00124829.5:</t>
  </si>
  <si>
    <t>DCY00403332.2:</t>
  </si>
  <si>
    <t>IPI00462492.1:</t>
  </si>
  <si>
    <t>IPI00129792.1:IPI00882353.1:</t>
  </si>
  <si>
    <t>IPI00108143.1:IPI00133916.2:IPI00224729.1:IPI00226073.2:IPI00798511.1:</t>
  </si>
  <si>
    <t>IPI00134135.1:IPI00556850.1:IPI00828470.1:</t>
  </si>
  <si>
    <t>IPI00131674.3:</t>
  </si>
  <si>
    <t>IPI00137229.1:IPI00330767.1:IPI00454151.1:IPI00869371.1:</t>
  </si>
  <si>
    <t>DCY00378159.1:</t>
  </si>
  <si>
    <t>IPI00411102.3:</t>
  </si>
  <si>
    <t>IPI00118384.1:</t>
  </si>
  <si>
    <t>IPI00338963.3:</t>
  </si>
  <si>
    <t>IPI00222547.6:IPI00473429.2:IPI00620288.1:</t>
  </si>
  <si>
    <t>DCY00133520.3:</t>
  </si>
  <si>
    <t>IPI00313222.5:IPI00457852.3:IPI00626312.1:IPI00750333.2:IPI00848644.1:IPI00853789.1:</t>
  </si>
  <si>
    <t>IPI00274175.1:IPI00466820.4:IPI00475203.1:IPI00671398.1:IPI00828628.2:IPI00875282.1:</t>
  </si>
  <si>
    <t>IPI00124499.2:</t>
  </si>
  <si>
    <t>IPI00132473.3:</t>
  </si>
  <si>
    <t>IPI00403650.2:</t>
  </si>
  <si>
    <t>IPI00330729.4:IPI00467055.3:</t>
  </si>
  <si>
    <t>IPI00134599.1:IPI00856866.1:</t>
  </si>
  <si>
    <t>IPI00153375.1:</t>
  </si>
  <si>
    <t>IPI00402982.2:IPI00845765.1:</t>
  </si>
  <si>
    <t>IPI00110753.1:IPI00311175.5:IPI00403810.2:IPI00466390.1:IPI00473667.1:</t>
  </si>
  <si>
    <t>IPI00323357.3:IPI00457741.4:IPI00886297.1:IPI00886370.1:</t>
  </si>
  <si>
    <t>IPI00134097.1:IPI00224505.7:IPI00653474.1:IPI00890196.1:</t>
  </si>
  <si>
    <t>DCY00221764.3:</t>
  </si>
  <si>
    <t>IPI00420726.3:IPI00856235.1:IPI00880750.1:</t>
  </si>
  <si>
    <t>IPI00471361.3:</t>
  </si>
  <si>
    <t>IPI00116850.3:</t>
  </si>
  <si>
    <t>IPI00420261.5:IPI00458851.2:IPI00461809.1:IPI00462291.5:IPI00621282.3:IPI00665601.1:IPI00761360.1:IPI00776416.1:IPI00848872.1:IPI00849249.1:IPI00875792.1:</t>
  </si>
  <si>
    <t>IPI00125521.3:IPI00857345.1:</t>
  </si>
  <si>
    <t>IPI00223253.1:IPI00224575.1:IPI00458719.1:IPI00465574.2:IPI00761237.2:IPI00875420.1:IPI00890005.1:</t>
  </si>
  <si>
    <t>IPI00317902.3:IPI00473542.1:IPI00875197.1:</t>
  </si>
  <si>
    <t>IPI00223253.1:IPI00224575.1:IPI00465574.2:IPI00761237.2:IPI00875420.1:IPI00890005.1:</t>
  </si>
  <si>
    <t>IPI00121515.5:IPI00757359.1:IPI00881332.1:</t>
  </si>
  <si>
    <t>IPI00133030.3:IPI00755226.2:</t>
  </si>
  <si>
    <t>IPI00750197.2:</t>
  </si>
  <si>
    <t>IPI00227392.5:IPI00230682.6:IPI00230707.6:IPI00408378.4:IPI00656269.1:IPI00750790.1:IPI00754545.2:IPI00760000.1:IPI00853924.1:</t>
  </si>
  <si>
    <t>IPI00118286.1:IPI00844680.1:</t>
  </si>
  <si>
    <t>IPI00314950.2:IPI00626504.2:</t>
  </si>
  <si>
    <t>IPI00461456.1:IPI00752639.1:IPI00752985.1:IPI00754976.2:IPI00848364.1:IPI00849847.1:IPI00874935.1:IPI00876212.1:</t>
  </si>
  <si>
    <t>IPI00131138.10:IPI00664643.2:IPI00875567.1:IPI00885630.1:IPI00886056.1:IPI00886409.1:</t>
  </si>
  <si>
    <t>DCY00622783.2:</t>
  </si>
  <si>
    <t>DCY00405810.3:</t>
  </si>
  <si>
    <t>IPI00466593.1:</t>
  </si>
  <si>
    <t>DCY00886125.1:</t>
  </si>
  <si>
    <t>IPI00117277.2:IPI00403280.2:IPI00654388.2:IPI00762483.3:IPI00855165.1:</t>
  </si>
  <si>
    <t>DCY00262616.3:</t>
  </si>
  <si>
    <t>DCY00849273.1:</t>
  </si>
  <si>
    <t>IPI00110850.1:IPI00473320.2:IPI00648161.1:IPI00648420.1:IPI00652436.3:IPI00874482.1:IPI00874780.1:</t>
  </si>
  <si>
    <t>IPI00133581.1:IPI00480496.1:</t>
  </si>
  <si>
    <t>DCY00170242.1:</t>
  </si>
  <si>
    <t>IPI00119018.1:IPI00227802.1:IPI00720110.2:</t>
  </si>
  <si>
    <t>IPI00132580.1:</t>
  </si>
  <si>
    <t>IPI00109122.1:IPI00131406.1:</t>
  </si>
  <si>
    <t>IPI00280250.5:IPI00828487.1:IPI00828947.1:</t>
  </si>
  <si>
    <t>IPI00320905.7:IPI00408189.2:IPI00830381.1:IPI00830672.1:IPI00874684.1:IPI00874744.2:</t>
  </si>
  <si>
    <t>IPI00131299.1:IPI00742318.1:</t>
  </si>
  <si>
    <t>DCY00380817.6:</t>
  </si>
  <si>
    <t>IPI00467833.5:</t>
  </si>
  <si>
    <t>DCY00227516.4:</t>
  </si>
  <si>
    <t>IPI00403509.5:IPI00856490.1:</t>
  </si>
  <si>
    <t>DCY00118978.4:</t>
  </si>
  <si>
    <t>DCY00338447.1:</t>
  </si>
  <si>
    <t>IPI00136883.3:IPI00475378.4:IPI00749991.5:</t>
  </si>
  <si>
    <t>IPI00329839.7:IPI00830514.1:</t>
  </si>
  <si>
    <t>IPI00403589.1:IPI00620075.2:</t>
  </si>
  <si>
    <t>IPI00273514.3:IPI00315548.3:IPI00378437.3:IPI00380998.3:IPI00404653.4:IPI00407707.2:IPI00460090.5:IPI00461504.1:IPI00462005.1:IPI00467197.5:IPI00468385.1:IPI00473445.1:IPI00555045.2:IPI00606615.1:IPI00626639.2:IPI00664929.1:IPI00749628.1:IPI00751831.1:IPI00757792.1:IPI00875087.1:IPI00890245.1:IPI00895426.1:</t>
  </si>
  <si>
    <t>IPI00553798.2:IPI00605894.1:</t>
  </si>
  <si>
    <t>IPI00553798.2:</t>
  </si>
  <si>
    <t>IPI00119111.2:</t>
  </si>
  <si>
    <t>IPI00308213.3:IPI00475246.1:IPI00830215.1:</t>
  </si>
  <si>
    <t>IPI00108895.1:IPI00828513.1:</t>
  </si>
  <si>
    <t>IPI00221566.3:</t>
  </si>
  <si>
    <t>DCY00830920.1:</t>
  </si>
  <si>
    <t>IPI00120414.1:IPI00279858.1:IPI00347634.2:</t>
  </si>
  <si>
    <t>DCY00889942.1:</t>
  </si>
  <si>
    <t>IPI00109966.1:IPI00331286.3:</t>
  </si>
  <si>
    <t>DCY00114180.1:</t>
  </si>
  <si>
    <t>IPI00282957.4:IPI00649400.1:IPI00649975.2:IPI00867855.1:IPI00881853.1:</t>
  </si>
  <si>
    <t>DCY00719896.1:</t>
  </si>
  <si>
    <t>IPI00133206.1:IPI00405114.1:IPI00758064.1:</t>
  </si>
  <si>
    <t>IPI00321266.5:IPI00857897.1:</t>
  </si>
  <si>
    <t>IPI00131836.1:</t>
  </si>
  <si>
    <t>IPI00111556.1:IPI00120374.1:IPI00473972.1:</t>
  </si>
  <si>
    <t>IPI00109311.3:</t>
  </si>
  <si>
    <t>IPI00831467.2:</t>
  </si>
  <si>
    <t>IPI00136483.1:</t>
  </si>
  <si>
    <t>IPI00129430.1:IPI00320016.7:IPI00471251.3:IPI00849080.1:</t>
  </si>
  <si>
    <t>IPI00316682.2:</t>
  </si>
  <si>
    <t>IPI00133853.3:IPI00757746.1:IPI00758326.1:</t>
  </si>
  <si>
    <t>IPI00114209.1:IPI00606398.1:IPI00669583.3:</t>
  </si>
  <si>
    <t>IPI00127085.6:IPI00849927.1:IPI00856537.1:</t>
  </si>
  <si>
    <t>IPI00124499.2:IPI00131366.5:IPI00131368.3:IPI00139301.3:IPI00221797.1:IPI00222228.5:IPI00322209.5:IPI00330480.1:IPI00346834.1:IPI00347019.2:IPI00347096.2:IPI00347110.2:IPI00406377.3:IPI00420312.4:IPI00420970.3:IPI00462140.1:IPI00462141.1:IPI00468956.4:IPI00470126.4:IPI00622240.4:IPI00625729.2:IPI00762364.2:IPI00785403.14:IPI00875096.1:</t>
  </si>
  <si>
    <t>IPI00461456.1:IPI00623004.3:IPI00662290.1:IPI00672807.2:IPI00754976.2:IPI00758298.1:IPI00849847.1:IPI00874935.1:IPI00876172.1:IPI00876212.1:</t>
  </si>
  <si>
    <t>IPI00663742.3:IPI00849953.1:</t>
  </si>
  <si>
    <t>IPI00122521.1:IPI00126389.2:IPI00227005.1:IPI00227013.2:IPI00230030.2:IPI00230597.1:IPI00230598.1:IPI00230599.1:IPI00230600.1:IPI00230601.1:IPI00230602.1:IPI00270737.5:IPI00469993.2:IPI00474739.1:IPI00475390.4:IPI00652944.1:IPI00675666.1:IPI00776121.1:IPI00776271.1:</t>
  </si>
  <si>
    <t>IPI00110827.1:IPI00110850.1:IPI00114593.1:IPI00117043.1:IPI00221528.1:IPI00266875.5:IPI00404804.1:IPI00473320.2:IPI00480406.1:IPI00652436.3:IPI00653007.1:IPI00654242.1:IPI00874482.1:IPI00885500.1:IPI00885570.1:IPI00885994.1:</t>
  </si>
  <si>
    <t>IPI00114953.1:IPI00885922.1:</t>
  </si>
  <si>
    <t>IPI00321396.1:</t>
  </si>
  <si>
    <t>IPI00139957.1:IPI00749740.2:</t>
  </si>
  <si>
    <t>IPI00463282.1:IPI00622240.4:IPI00875096.1:</t>
  </si>
  <si>
    <t>IPI00331644.5:IPI00475256.2:IPI00849365.1:</t>
  </si>
  <si>
    <t>IPI00108454.2:IPI00113655.1:</t>
  </si>
  <si>
    <t>DCY00620557.2:</t>
  </si>
  <si>
    <t>IPI00317134.3:IPI00337930.4:IPI00874846.1:</t>
  </si>
  <si>
    <t>IPI00125670.1:IPI00462457.3:IPI00654227.1:</t>
  </si>
  <si>
    <t>IPI00221840.1:IPI00267224.4:</t>
  </si>
  <si>
    <t>IPI00462072.3:IPI00473227.1:IPI00849751.1:IPI00889980.1:</t>
  </si>
  <si>
    <t>IPI00114329.1:IPI00830535.1:</t>
  </si>
  <si>
    <t>IPI00122598.3:IPI00127085.6:IPI00849927.1:</t>
  </si>
  <si>
    <t>IPI00331092.7:IPI00471047.2:</t>
  </si>
  <si>
    <t>IPI00323819.3:</t>
  </si>
  <si>
    <t>IPI00126943.1:IPI00453705.4:IPI00515183.1:IPI00849557.1:</t>
  </si>
  <si>
    <t>IPI00318492.11:IPI00378671.3:IPI00380130.2:IPI00458629.2:IPI00466145.4:IPI00604967.3:IPI00606379.2:IPI00606508.1:IPI00626139.2:IPI00658614.1:IPI00752723.1:IPI00850650.1:IPI00880400.1:IPI00882003.1:IPI00890115.1:IPI00890206.1:</t>
  </si>
  <si>
    <t>IPI00659860.2:</t>
  </si>
  <si>
    <t>IPI00421108.2:IPI00626271.3:</t>
  </si>
  <si>
    <t>IPI00227392.5:</t>
  </si>
  <si>
    <t>IPI00284444.5:</t>
  </si>
  <si>
    <t>IPI00169707.2:IPI00230044.5:IPI00278611.7:IPI00459570.1:IPI00474756.1:IPI00880532.1:IPI00880679.1:IPI00881945.1:</t>
  </si>
  <si>
    <t>IPI00132443.3:IPI00480357.6:</t>
  </si>
  <si>
    <t>IPI00331175.5:IPI00856645.1:</t>
  </si>
  <si>
    <t>DCY00226894.3:</t>
  </si>
  <si>
    <t>IPI00121655.1:IPI00654074.3:IPI00750042.1:IPI00886417.1:</t>
  </si>
  <si>
    <t>IPI00330840.1:IPI00337003.1:</t>
  </si>
  <si>
    <t>IPI00396797.2:IPI00405364.2:IPI00420363.2:IPI00648763.1:IPI00653307.1:</t>
  </si>
  <si>
    <t>IPI00554989.3:IPI00755515.1:</t>
  </si>
  <si>
    <t>IPI00110850.1:IPI00136929.1:IPI00473320.2:IPI00648420.1:IPI00652436.3:IPI00856609.1:IPI00857335.1:IPI00874482.1:</t>
  </si>
  <si>
    <t>IPI00128945.1:</t>
  </si>
  <si>
    <t>IPI00112856.1:</t>
  </si>
  <si>
    <t>IPI00338039.1:</t>
  </si>
  <si>
    <t>IPI00110850.1:IPI00473320.2:IPI00648161.1:IPI00648420.1:IPI00652436.3:IPI00874482.1:</t>
  </si>
  <si>
    <t>IPI00128183.1:</t>
  </si>
  <si>
    <t>IPI00319214.1:IPI00623291.2:</t>
  </si>
  <si>
    <t>IPI00319994.6:IPI00751369.1:</t>
  </si>
  <si>
    <t>IPI00110850.1:IPI00136929.1:IPI00221528.1:IPI00473320.2:IPI00648420.1:IPI00652436.3:IPI00874482.1:</t>
  </si>
  <si>
    <t>IPI00468481.2:</t>
  </si>
  <si>
    <t>IPI00228233.3:</t>
  </si>
  <si>
    <t>IPI00314950.2:IPI00626366.3:IPI00626504.2:IPI00752782.1:</t>
  </si>
  <si>
    <t>IPI00133916.2:IPI00224729.1:</t>
  </si>
  <si>
    <t>IPI00407835.2:IPI00761937.1:</t>
  </si>
  <si>
    <t>IPI00135186.1:IPI00399958.3:</t>
  </si>
  <si>
    <t>IPI00124287.1:IPI00137145.1:IPI00331552.4:</t>
  </si>
  <si>
    <t>IPI00314950.2:IPI00626366.3:IPI00752782.1:</t>
  </si>
  <si>
    <t>IPI00224113.1:IPI00269136.2:IPI00475150.1:IPI00652085.1:IPI00674158.1:IPI00895485.1:</t>
  </si>
  <si>
    <t>IPI00154012.1:IPI00403342.2:IPI00875696.1:</t>
  </si>
  <si>
    <t>IPI00121514.3:</t>
  </si>
  <si>
    <t>IPI00124938.1:IPI00230763.1:</t>
  </si>
  <si>
    <t>IPI00308885.6:IPI00461249.1:IPI00749932.1:IPI00830195.2:IPI00830313.1:IPI00853695.1:</t>
  </si>
  <si>
    <t>IPI00117350.1:</t>
  </si>
  <si>
    <t>DCY00876257.1:</t>
  </si>
  <si>
    <t>IPI00134097.1:IPI00224505.7:IPI00653474.1:IPI00890024.1:IPI00890196.1:</t>
  </si>
  <si>
    <t>IPI00130304.1:</t>
  </si>
  <si>
    <t>IPI00121892.9:IPI00134344.6:IPI00319830.7:IPI00831369.1:</t>
  </si>
  <si>
    <t>IPI00139795.2:</t>
  </si>
  <si>
    <t>IPI00129512.3:</t>
  </si>
  <si>
    <t>IPI00123176.1:IPI00273646.9:IPI00319731.2:IPI00399459.1:IPI00462008.5:IPI00462075.4:IPI00462605.5:IPI00620663.3:IPI00625893.3:IPI00663957.1:IPI00668276.3:IPI00751677.3:IPI00752289.2:IPI00752685.2:IPI00753028.2:IPI00753102.2:IPI00756025.1:IPI00848411.1:IPI00848511.1:IPI00848775.1:IPI00848801.1:IPI00848807.1:IPI00849031.1:IPI00849045.1:IPI00849530.1:IPI00849879.1:IPI00850028.1:IPI00850062.1:IPI00850243.1:IPI00850337.1:IPI00850377.1:IPI00850432.1:IPI00850434.1:IPI00850760.1:IPI00850779.1:IPI00850955.1:IPI00851010.1:IPI00851086.1:IPI00874682.1:IPI00874964.2:</t>
  </si>
  <si>
    <t>DCY00409035.5:</t>
  </si>
  <si>
    <t>IPI00133185.3:IPI00473728.1:IPI00889222.1:IPI00890140.1:</t>
  </si>
  <si>
    <t>IPI00761759.1:IPI00828610.1:IPI00828620.1:</t>
  </si>
  <si>
    <t>IPI00132208.1:IPI00623518.2:IPI00649208.1:IPI00850734.1:</t>
  </si>
  <si>
    <t>IPI00119575.3:IPI00649804.2:IPI00762049.2:</t>
  </si>
  <si>
    <t>DCY00850332.1:</t>
  </si>
  <si>
    <t>IPI00461014.1:</t>
  </si>
  <si>
    <t>IPI00420312.4:</t>
  </si>
  <si>
    <t>IPI00227140.1:IPI00230365.5:IPI00468696.3:</t>
  </si>
  <si>
    <t>IPI00329998.3:IPI00407339.7:IPI00621374.1:IPI00621789.1:IPI00623776.3:IPI00624840.2:IPI00624933.1:IPI00844736.1:IPI00874920.1:IPI00876005.1:</t>
  </si>
  <si>
    <t>IPI00123176.1:IPI00135284.1:IPI00229201.3:IPI00271869.1:IPI00273646.9:IPI00319731.2:IPI00462008.5:IPI00462075.4:IPI00620663.3:IPI00622795.2:IPI00625893.3:IPI00663957.1:IPI00752289.2:IPI00752685.2:IPI00756025.1:IPI00762304.1:IPI00848411.1:IPI00848801.1:IPI00848807.1:IPI00849031.1:IPI00849045.1:IPI00849046.1:IPI00849049.1:IPI00849050.1:IPI00849530.1:IPI00849792.1:IPI00849879.1:IPI00850028.1:IPI00850062.1:IPI00850243.1:IPI00850337.1:IPI00850377.1:IPI00850432.1:IPI00850434.1:IPI00850760.1:IPI00850779.1:IPI00851086.1:IPI00853668.2:IPI00874682.1:IPI00874964.2:</t>
  </si>
  <si>
    <t>IPI00224505.7:IPI00653474.1:IPI00890024.1:IPI00890196.1:</t>
  </si>
  <si>
    <t>IPI00319231.4:IPI00653962.1:IPI00659112.1:IPI00673173.1:IPI00755989.2:IPI00831483.1:IPI00850964.1:</t>
  </si>
  <si>
    <t>IPI00122621.1:IPI00131209.3:IPI00131336.1:IPI00225378.3:IPI00227140.1:IPI00755181.1:IPI00798492.2:IPI00828744.1:IPI00874585.1:IPI00876179.1:</t>
  </si>
  <si>
    <t>IPI00112947.1:IPI00131209.3:IPI00135197.5:IPI00136056.1:IPI00225378.3:IPI00227140.1:IPI00228727.1:IPI00230365.5:IPI00420316.2:IPI00468696.3:IPI00648574.1:IPI00828528.1:IPI00874585.1:IPI00874909.1:IPI00876179.1:</t>
  </si>
  <si>
    <t>IPI00137459.5:</t>
  </si>
  <si>
    <t>IPI00120886.3:IPI00647981.3:IPI00849786.1:</t>
  </si>
  <si>
    <t>IPI00654388.2:IPI00762483.3:</t>
  </si>
  <si>
    <t>IPI00125143.2:IPI00874737.2:IPI00885242.1:</t>
  </si>
  <si>
    <t>IPI00453705.4:IPI00515183.1:IPI00849557.1:</t>
  </si>
  <si>
    <t>IPI00138691.6:</t>
  </si>
  <si>
    <t>IPI00110753.1:IPI00117348.4:IPI00117350.1:IPI00311175.5:IPI00403810.2:IPI00466390.1:IPI00473667.1:</t>
  </si>
  <si>
    <t>IPI00407543.2:IPI00409405.2:IPI00848816.1:IPI00890117.1:</t>
  </si>
  <si>
    <t>IPI00408378.4:IPI00656269.1:IPI00754545.2:IPI00853924.1:</t>
  </si>
  <si>
    <t>IPI00153950.1:IPI00315538.6:IPI00755389.2:</t>
  </si>
  <si>
    <t>IPI00121788.1:IPI00605254.5:IPI00648105.1:IPI00648615.3:IPI00649645.1:IPI00848536.1:</t>
  </si>
  <si>
    <t>IPI00420363.2:</t>
  </si>
  <si>
    <t>IPI00267295.5:IPI00875405.1:</t>
  </si>
  <si>
    <t>IPI00665910.2:</t>
  </si>
  <si>
    <t>IPI00127707.1:IPI00221796.1:IPI00221799.1:</t>
  </si>
  <si>
    <t>IPI00133208.3:IPI00323357.3:IPI00331546.2:IPI00346073.1:IPI00387494.1:IPI00798482.3:IPI00885277.1:IPI00886297.1:IPI00886370.1:IPI00886377.1:</t>
  </si>
  <si>
    <t>IPI00119671.1:IPI00856655.1:</t>
  </si>
  <si>
    <t>IPI00132208.1:IPI00649208.1:IPI00850734.1:</t>
  </si>
  <si>
    <t>IPI00320016.7:IPI00471251.3:IPI00890097.1:</t>
  </si>
  <si>
    <t>IPI00134599.1:</t>
  </si>
  <si>
    <t>IPI00555113.2:</t>
  </si>
  <si>
    <t>IPI00114052.1:IPI00128699.3:</t>
  </si>
  <si>
    <t>IPI00169463.1:IPI00458204.7:IPI00850173.1:</t>
  </si>
  <si>
    <t>IPI00275992.3:IPI00830249.1:IPI00830364.1:IPI00831347.1:</t>
  </si>
  <si>
    <t>IPI00420726.3:</t>
  </si>
  <si>
    <t>IPI00468696.3:</t>
  </si>
  <si>
    <t>IPI00113241.7:IPI00665513.3:IPI00856352.1:IPI00856927.1:IPI00857038.1:IPI00857391.1:IPI00875584.1:IPI00875929.1:</t>
  </si>
  <si>
    <t>IPI00320016.7:</t>
  </si>
  <si>
    <t>IPI00229080.7:IPI00330804.4:IPI00554929.2:IPI00830562.1:</t>
  </si>
  <si>
    <t>IPI00127707.1:IPI00221796.1:IPI00221799.1:IPI00411074.2:IPI00411075.1:IPI00473425.1:</t>
  </si>
  <si>
    <t>IPI00121311.1:IPI00274739.1:IPI00330591.1:IPI00474439.1:IPI00753114.1:</t>
  </si>
  <si>
    <t>IPI00139957.1:</t>
  </si>
  <si>
    <t>IPI00129526.1:IPI00229080.7:IPI00554929.2:</t>
  </si>
  <si>
    <t>IPI00112339.9:IPI00759925.1:</t>
  </si>
  <si>
    <t>IPI00117610.2:IPI00122413.2:IPI00275118.4:IPI00407917.1:IPI00473762.1:IPI00756253.2:IPI00762232.1:IPI00850681.1:IPI00881026.1:</t>
  </si>
  <si>
    <t>IPI00222546.5:</t>
  </si>
  <si>
    <t>IPI00272521.3:IPI00742325.1:IPI00856756.1:IPI00857484.1:</t>
  </si>
  <si>
    <t>IPI00120322.1:</t>
  </si>
  <si>
    <t>IPI00420261.5:IPI00458851.2:IPI00621282.3:IPI00665601.1:IPI00848872.1:IPI00849249.1:IPI00875792.1:</t>
  </si>
  <si>
    <t>IPI00132208.1:IPI00623518.2:IPI00850734.1:</t>
  </si>
  <si>
    <t>IPI00404031.1:IPI00555059.2:IPI00754071.1:IPI00758024.1:</t>
  </si>
  <si>
    <t>IPI00135186.1:</t>
  </si>
  <si>
    <t>IPI00109073.5:IPI00112251.1:IPI00122928.1:IPI00169463.1:IPI00458204.7:IPI00662501.1:IPI00850173.1:</t>
  </si>
  <si>
    <t>IPI00420261.5:IPI00458851.2:IPI00461809.1:IPI00554889.1:IPI00665601.1:IPI00753905.3:IPI00761360.1:IPI00848872.1:IPI00848984.1:IPI00849249.1:IPI00875792.1:</t>
  </si>
  <si>
    <t>IPI00112230.1:</t>
  </si>
  <si>
    <t>IPI00133208.3:IPI00319992.1:IPI00323357.3:IPI00331546.2:IPI00346073.1:IPI00387494.1:IPI00798482.3:IPI00885277.1:IPI00886297.1:IPI00886370.1:IPI00886377.1:</t>
  </si>
  <si>
    <t>IPI00319874.3:IPI00653266.1:</t>
  </si>
  <si>
    <t>IPI00331155.4:IPI00849875.1:IPI00850469.1:</t>
  </si>
  <si>
    <t>IPI00153798.1:</t>
  </si>
  <si>
    <t>IPI00453768.4:IPI00468667.4:IPI00626233.3:IPI00752904.2:IPI00753292.3:IPI00755857.3:IPI00761421.2:IPI00848437.1:IPI00848671.1:IPI00848802.1:IPI00849206.1:IPI00849377.1:IPI00849522.1:IPI00849652.6:IPI00849758.1:IPI00850068.1:IPI00850153.1:IPI00853832.1:IPI00853989.1:</t>
  </si>
  <si>
    <t>IPI00399943.3:</t>
  </si>
  <si>
    <t>IPI00461867.6:IPI00762638.3:</t>
  </si>
  <si>
    <t>IPI00124223.3:</t>
  </si>
  <si>
    <t>IPI00131547.1:</t>
  </si>
  <si>
    <t>DCY00828751.1:</t>
  </si>
  <si>
    <t>IPI00120886.3:IPI00121311.1:IPI00131034.1:IPI00274739.1:IPI00330591.1:IPI00474439.1:IPI00553286.3:IPI00623394.4:IPI00753114.1:IPI00849342.1:IPI00849786.1:</t>
  </si>
  <si>
    <t>IPI00126389.2:IPI00652944.1:</t>
  </si>
  <si>
    <t>IPI00405114.1:IPI00758064.1:</t>
  </si>
  <si>
    <t>IPI00468203.3:IPI00885455.1:</t>
  </si>
  <si>
    <t>IPI00137787.3:</t>
  </si>
  <si>
    <t>IPI00121892.9:IPI00281849.6:IPI00319830.7:IPI00831369.1:</t>
  </si>
  <si>
    <t>IPI00131845.1:</t>
  </si>
  <si>
    <t>IPI00117910.3:</t>
  </si>
  <si>
    <t>IPI00118963.1:</t>
  </si>
  <si>
    <t>DCY00227140.1:</t>
  </si>
  <si>
    <t>IPI00277965.3:IPI00465880.4:IPI00755495.2:IPI00848900.1:</t>
  </si>
  <si>
    <t>IPI00120954.2:IPI00124287.1:IPI00137145.1:IPI00331552.4:</t>
  </si>
  <si>
    <t>IPI00462291.5:</t>
  </si>
  <si>
    <t>IPI00331242.4:IPI00648102.1:IPI00648839.1:IPI00648940.1:IPI00649179.1:IPI00649350.1:</t>
  </si>
  <si>
    <t>IPI00317740.5:IPI00648477.1:</t>
  </si>
  <si>
    <t>IPI00123604.4:IPI00622968.1:IPI00676858.2:IPI00850840.1:</t>
  </si>
  <si>
    <t>IPI00133208.3:IPI00323357.3:IPI00331546.2:IPI00346073.1:IPI00387494.1:IPI00457741.4:IPI00669474.1:IPI00798482.3:IPI00886297.1:</t>
  </si>
  <si>
    <t>IPI00273803.4:IPI00379391.2:IPI00462237.4:IPI00473532.1:IPI00667252.1:IPI00762221.2:IPI00850320.1:IPI00874692.1:</t>
  </si>
  <si>
    <t>IPI00112947.1:IPI00136056.1:IPI00225378.3:IPI00230365.5:IPI00656215.1:IPI00876179.1:</t>
  </si>
  <si>
    <t>IPI00318204.5:IPI00554868.2:IPI00653091.1:IPI00654144.1:IPI00656203.2:IPI00676841.1:IPI00895349.1:</t>
  </si>
  <si>
    <t>IPI00109403.2:IPI00119036.2:</t>
  </si>
  <si>
    <t>IPI00313307.3:IPI00474642.3:IPI00648562.1:IPI00656238.4:</t>
  </si>
  <si>
    <t>IPI00129792.1:IPI00135150.4:IPI00230429.4:IPI00882353.1:</t>
  </si>
  <si>
    <t>IPI00127415.1:IPI00515155.1:IPI00674226.5:IPI00849626.1:</t>
  </si>
  <si>
    <t>IPI00320259.6:IPI00471094.1:IPI00648621.1:IPI00648912.1:</t>
  </si>
  <si>
    <t>IPI00132194.3:</t>
  </si>
  <si>
    <t>IPI00108125.4:IPI00331514.6:IPI00471441.1:IPI00648714.1:</t>
  </si>
  <si>
    <t>IPI00320850.3:IPI00652521.1:IPI00757789.1:IPI00881206.1:</t>
  </si>
  <si>
    <t>IPI00320850.3:IPI00652521.1:</t>
  </si>
  <si>
    <t>IPI00118795.1:IPI00753421.1:</t>
  </si>
  <si>
    <t>IPI00474637.4:IPI00775915.1:IPI00849598.1:</t>
  </si>
  <si>
    <t>IPI00108143.1:</t>
  </si>
  <si>
    <t>IPI00131056.1:</t>
  </si>
  <si>
    <t>IPI00118875.4:IPI00468771.3:IPI00515654.2:IPI00620302.3:IPI00831082.1:IPI00831202.1:IPI00831299.1:</t>
  </si>
  <si>
    <t>IPI00229080.7:</t>
  </si>
  <si>
    <t>IPI00380503.3:</t>
  </si>
  <si>
    <t>IPI00226248.3:IPI00405475.3:IPI00830408.1:IPI00858041.1:</t>
  </si>
  <si>
    <t>IPI00133708.1:IPI00134371.1:IPI00230035.7:</t>
  </si>
  <si>
    <t>IPI00229685.2:IPI00403914.2:</t>
  </si>
  <si>
    <t>IPI00320208.3:</t>
  </si>
  <si>
    <t>IPI00123862.1:IPI00227773.1:</t>
  </si>
  <si>
    <t>IPI00395100.1:IPI00719897.1:</t>
  </si>
  <si>
    <t>IPI00331092.7:IPI00341333.3:IPI00752798.2:</t>
  </si>
  <si>
    <t>IPI00137848.1:</t>
  </si>
  <si>
    <t>IPI00119169.1:IPI00318505.3:</t>
  </si>
  <si>
    <t>IPI00308885.6:IPI00461249.1:</t>
  </si>
  <si>
    <t>IPI00138790.2:IPI00321396.1:IPI00410959.1:IPI00649032.1:IPI00653061.1:IPI00761242.1:</t>
  </si>
  <si>
    <t>IPI00223454.3:IPI00404370.3:IPI00761839.1:IPI00856176.1:</t>
  </si>
  <si>
    <t>IPI00170059.2:</t>
  </si>
  <si>
    <t>IPI00665571.2:</t>
  </si>
  <si>
    <t>IPI00116031.3:IPI00468834.4:IPI00776254.1:IPI00875654.1:</t>
  </si>
  <si>
    <t>IPI00468203.3:IPI00605518.1:IPI00885292.1:IPI00885367.1:</t>
  </si>
  <si>
    <t>IPI00403280.2:IPI00762483.3:</t>
  </si>
  <si>
    <t>IPI00331424.8:IPI00459791.1:IPI00742282.1:IPI00742413.1:</t>
  </si>
  <si>
    <t>IPI00420807.3:IPI00457656.3:IPI00515505.3:</t>
  </si>
  <si>
    <t>IPI00110827.1:IPI00110850.1:IPI00114593.1:IPI00117043.1:IPI00136929.1:IPI00229224.1:IPI00266875.5:IPI00404804.1:IPI00473320.2:IPI00480406.1:IPI00652436.3:IPI00653007.1:IPI00654242.1:IPI00874482.1:IPI00885500.1:IPI00885570.1:IPI00885994.1:</t>
  </si>
  <si>
    <t>IPI00269481.7:IPI00406800.4:IPI00474883.2:IPI00776140.1:</t>
  </si>
  <si>
    <t>IPI00162994.1:IPI00620436.2:IPI00653350.1:IPI00653511.1:IPI00653709.3:</t>
  </si>
  <si>
    <t>IPI00116908.1:IPI00225634.6:IPI00405659.1:IPI00463049.1:IPI00463052.1:IPI00473415.1:</t>
  </si>
  <si>
    <t>IPI00667471.1:</t>
  </si>
  <si>
    <t>IPI00113617.1:IPI00314467.3:</t>
  </si>
  <si>
    <t>IPI00307837.6:IPI00831184.1:IPI00831365.1:</t>
  </si>
  <si>
    <t>IPI00122696.5:IPI00122698.1:IPI00776143.1:IPI00776339.1:IPI00828412.1:</t>
  </si>
  <si>
    <t>IPI00122561.1:IPI00130916.1:</t>
  </si>
  <si>
    <t>IPI00113262.1:</t>
  </si>
  <si>
    <t>IPI00109044.8:IPI00132705.1:IPI00758006.1:</t>
  </si>
  <si>
    <t>IPI00311236.1:IPI00458337.4:IPI00775948.1:</t>
  </si>
  <si>
    <t>IPI00408378.4:IPI00656269.1:IPI00853781.1:IPI00853924.1:</t>
  </si>
  <si>
    <t>IPI00114953.1:IPI00656169.1:IPI00656171.1:</t>
  </si>
  <si>
    <t>IPI00130830.1:IPI00314950.2:IPI00626366.3:IPI00626504.2:IPI00752782.1:</t>
  </si>
  <si>
    <t>IPI00153103.3:IPI00858183.1:</t>
  </si>
  <si>
    <t>IPI00153400.2:IPI00221463.3:IPI00229542.1:IPI00229543.3:IPI00229544.3:IPI00229545.3:IPI00265761.6:IPI00272033.3:IPI00330000.4:IPI00890323.1:</t>
  </si>
  <si>
    <t>IPI00117822.2:IPI00162994.1:IPI00351686.1:IPI00620436.2:</t>
  </si>
  <si>
    <t>IPI00119892.1:IPI00604836.2:IPI00662498.3:</t>
  </si>
  <si>
    <t>IPI00109813.1:</t>
  </si>
  <si>
    <t>IPI00128326.1:IPI00885924.1:IPI00886420.1:</t>
  </si>
  <si>
    <t>IPI00123351.2:IPI00845818.1:</t>
  </si>
  <si>
    <t>IPI00857345.1:</t>
  </si>
  <si>
    <t>IPI00314467.3:IPI00379974.4:</t>
  </si>
  <si>
    <t>IPI00127415.1:IPI00468717.7:IPI00515155.1:IPI00648014.1:IPI00649841.1:IPI00674226.5:IPI00849626.1:</t>
  </si>
  <si>
    <t>IPI00467172.1:IPI00620222.2:IPI00649184.2:IPI00754649.2:IPI00853764.1:</t>
  </si>
  <si>
    <t>IPI00406117.1:IPI00406118.1:</t>
  </si>
  <si>
    <t>IPI00131695.3:</t>
  </si>
  <si>
    <t>IPI00228385.5:IPI00857114.1:</t>
  </si>
  <si>
    <t>IPI00117277.2:IPI00314075.2:IPI00403280.2:IPI00654388.2:IPI00659860.2:IPI00661214.2:IPI00762483.3:IPI00855165.1:</t>
  </si>
  <si>
    <t>IPI00124287.1:IPI00331552.4:IPI00830910.1:</t>
  </si>
  <si>
    <t>IPI00315538.6:IPI00649385.1:IPI00649622.1:IPI00755389.2:</t>
  </si>
  <si>
    <t>IPI00378671.3:IPI00380130.2:IPI00466145.4:IPI00604967.3:IPI00605141.2:IPI00606379.2:IPI00606508.1:IPI00658614.1:IPI00665910.2:IPI00849155.1:IPI00850650.1:IPI00880400.1:</t>
  </si>
  <si>
    <t>IPI00420559.5:IPI00653238.3:IPI00845786.1:</t>
  </si>
  <si>
    <t>IPI00110487.1:</t>
  </si>
  <si>
    <t>IPI00135512.1:</t>
  </si>
  <si>
    <t>IPI00112584.3:IPI00406790.6:IPI00475044.3:IPI00828919.2:IPI00856305.1:IPI00857865.1:IPI00858128.1:IPI00858144.1:</t>
  </si>
  <si>
    <t>IPI00474446.4:</t>
  </si>
  <si>
    <t>IPI00320850.3:IPI00652521.1:IPI00757789.1:</t>
  </si>
  <si>
    <t>IPI00310841.4:IPI00857789.1:</t>
  </si>
  <si>
    <t>IPI00124829.5:IPI00751862.1:IPI00753044.1:IPI00753652.1:</t>
  </si>
  <si>
    <t>IPI00116302.3:IPI00480398.1:</t>
  </si>
  <si>
    <t>IPI00109639.6:IPI00881667.1:IPI00881820.1:</t>
  </si>
  <si>
    <t>IPI00112230.1:IPI00881159.1:</t>
  </si>
  <si>
    <t>IPI00118296.5:</t>
  </si>
  <si>
    <t>IPI00462291.5:IPI00890163.1:</t>
  </si>
  <si>
    <t>IPI00112487.1:</t>
  </si>
  <si>
    <t>IPI00115992.1:IPI00137735.1:IPI00461419.2:IPI00605858.2:IPI00677917.1:IPI00848593.1:IPI00850188.1:</t>
  </si>
  <si>
    <t>IPI00467841.6:IPI00761696.2:</t>
  </si>
  <si>
    <t>IPI00331361.2:</t>
  </si>
  <si>
    <t>IPI00659447.3:</t>
  </si>
  <si>
    <t>IPI00117352.1:</t>
  </si>
  <si>
    <t>IPI00406213.4:IPI00462809.1:IPI00471444.1:IPI00553402.5:IPI00556702.1:IPI00556847.1:IPI00556888.1:IPI00656300.1:IPI00662172.2:IPI00753831.2:IPI00762625.1:IPI00785509.1:IPI00785526.1:IPI00808222.1:IPI00808254.1:IPI00808554.1:IPI00849156.1:IPI00850020.1:IPI00853676.1:IPI00880209.1:</t>
  </si>
  <si>
    <t>IPI00116498.1:IPI00118286.1:IPI00118384.1:IPI00227392.5:IPI00230682.6:IPI00230707.6:IPI00408378.4:IPI00656269.1:IPI00750197.2:IPI00754545.2:IPI00760000.1:IPI00844680.1:IPI00853924.1:</t>
  </si>
  <si>
    <t>IPI00112339.9:IPI00874516.1:</t>
  </si>
  <si>
    <t>IPI00113377.1:IPI00118632.1:IPI00134920.3:IPI00661192.2:IPI00753932.1:</t>
  </si>
  <si>
    <t>IPI00114667.1:</t>
  </si>
  <si>
    <t>IPI00125901.5:IPI00751092.1:</t>
  </si>
  <si>
    <t>IPI00153874.1:</t>
  </si>
  <si>
    <t>IPI00318841.4:IPI00408350.1:</t>
  </si>
  <si>
    <t>IPI00458153.2:IPI00761240.4:</t>
  </si>
  <si>
    <t>IPI00458908.2:</t>
  </si>
  <si>
    <t>IPI00228583.5:</t>
  </si>
  <si>
    <t>IPI00124499.2:IPI00131366.5:IPI00131368.3:IPI00139301.3:IPI00221797.1:IPI00222228.5:IPI00322209.5:IPI00346834.1:IPI00347019.2:IPI00347096.2:IPI00347110.2:IPI00406377.3:IPI00420312.4:IPI00420970.3:IPI00462140.1:IPI00468956.4:IPI00470126.4:IPI00622240.4:IPI00625729.2:IPI00762364.2:IPI00785403.14:IPI00875096.1:</t>
  </si>
  <si>
    <t>IPI00274407.1:IPI00460132.1:IPI00625588.1:</t>
  </si>
  <si>
    <t>IPI00750020.1:IPI00753793.2:IPI00753815.3:IPI00757353.2:IPI00798592.1:</t>
  </si>
  <si>
    <t>IPI00132208.1:IPI00623518.2:IPI00649208.1:IPI00649780.1:IPI00650074.1:IPI00850048.1:IPI00850734.1:</t>
  </si>
  <si>
    <t>IPI00126133.1:IPI00127109.4:IPI00134621.3:</t>
  </si>
  <si>
    <t>IPI00380954.3:IPI00775846.1:IPI00776373.1:IPI00776412.2:</t>
  </si>
  <si>
    <t>IPI00119224.1:</t>
  </si>
  <si>
    <t>IPI00118795.1:IPI00274750.5:IPI00753421.1:</t>
  </si>
  <si>
    <t>IPI00120886.3:IPI00121311.1:IPI00131034.1:IPI00274739.1:IPI00330591.1:IPI00474439.1:IPI00553286.3:IPI00753114.1:IPI00849342.1:IPI00849786.1:</t>
  </si>
  <si>
    <t>IPI00331174.5:</t>
  </si>
  <si>
    <t>IPI00109061.1:IPI00112251.1:IPI00117352.1:IPI00338039.1:</t>
  </si>
  <si>
    <t>IPI00121949.1:IPI00750657.1:IPI00858209.1:</t>
  </si>
  <si>
    <t>IPI00349401.3:</t>
  </si>
  <si>
    <t>IPI00466518.2:IPI00754344.2:</t>
  </si>
  <si>
    <t>IPI00112407.3:IPI00322562.5:IPI00663582.1:</t>
  </si>
  <si>
    <t>IPI00323660.1:IPI00830569.1:</t>
  </si>
  <si>
    <t>IPI00113845.1:</t>
  </si>
  <si>
    <t>IPI00261638.1:IPI00354819.5:IPI00409817.2:IPI00462232.3:IPI00474757.4:</t>
  </si>
  <si>
    <t>IPI00876176.1:</t>
  </si>
  <si>
    <t>IPI00116277.3:</t>
  </si>
  <si>
    <t>IPI00468203.3:IPI00605518.1:IPI00885292.1:IPI00885367.1:IPI00885455.1:</t>
  </si>
  <si>
    <t>IPI00467172.1:IPI00620222.2:IPI00649184.2:IPI00754649.2:</t>
  </si>
  <si>
    <t>IPI00277001.4:</t>
  </si>
  <si>
    <t>IPI00114802.1:IPI00118736.3:IPI00222989.1:IPI00399550.1:IPI00466073.1:IPI00854950.1:IPI00876176.1:</t>
  </si>
  <si>
    <t>IPI00124264.1:IPI00848382.1:IPI00849293.1:IPI00877240.1:</t>
  </si>
  <si>
    <t>IPI00128183.1:IPI00652621.1:IPI00869387.1:IPI00885930.1:</t>
  </si>
  <si>
    <t>IPI00124744.1:</t>
  </si>
  <si>
    <t>IPI00225719.3:IPI00757075.1:</t>
  </si>
  <si>
    <t>IPI00338515.4:IPI00653738.2:IPI00750262.1:IPI00752391.1:IPI00752914.2:IPI00753452.1:</t>
  </si>
  <si>
    <t>IPI00471067.2:</t>
  </si>
  <si>
    <t>IPI00230415.5:IPI00230416.5:IPI00407546.2:IPI00851014.1:IPI00853793.1:IPI00881598.1:</t>
  </si>
  <si>
    <t>IPI00125143.2:IPI00462975.3:IPI00874737.2:IPI00885242.1:</t>
  </si>
  <si>
    <t>IPI00123604.4:IPI00622968.1:IPI00659629.1:IPI00850840.1:</t>
  </si>
  <si>
    <t>IPI00471475.1:IPI00471476.1:IPI00471477.1:IPI00471478.1:IPI00884509.1:</t>
  </si>
  <si>
    <t>IPI00130185.1:IPI00875406.1:</t>
  </si>
  <si>
    <t>IPI00661414.2:</t>
  </si>
  <si>
    <t>IPI00469298.2:IPI00553777.2:IPI00620806.3:IPI00817004.1:IPI00889986.1:</t>
  </si>
  <si>
    <t>IPI00453768.4:IPI00468667.4:IPI00626233.3:IPI00753292.3:IPI00755857.3:IPI00761421.2:IPI00849652.6:IPI00853832.1:</t>
  </si>
  <si>
    <t>IPI00123176.1:IPI00135284.1:IPI00271869.1:IPI00273646.9:IPI00319731.2:IPI00380923.3:IPI00399459.1:IPI00462008.5:IPI00462075.4:IPI00620663.3:IPI00622795.2:IPI00656311.4:IPI00663957.1:IPI00668276.3:IPI00751677.3:IPI00752289.2:IPI00752685.2:IPI00753028.2:IPI00762304.1:IPI00848411.1:IPI00848511.1:IPI00848801.1:IPI00848807.1:IPI00849031.1:IPI00849045.1:IPI00849046.1:IPI00849049.1:IPI00849050.1:IPI00849530.1:IPI00849792.1:IPI00849879.1:IPI00850028.1:IPI00850062.1:IPI00850241.1:IPI00850243.1:IPI00850337.1:IPI00850377.1:IPI00850432.1:IPI00850434.1:IPI00850760.1:IPI00850779.1:IPI00850955.1:IPI00851086.1:IPI00853668.2:IPI00874682.1:IPI00874964.2:IPI00890320.1:</t>
  </si>
  <si>
    <t>IPI00314950.2:</t>
  </si>
  <si>
    <t>IPI00420261.5:IPI00458851.2:IPI00462291.5:IPI00665601.1:IPI00752229.2:IPI00753905.3:IPI00761360.1:IPI00776416.1:IPI00853656.1:</t>
  </si>
  <si>
    <t>IPI00123351.2:IPI00751970.1:IPI00757391.1:</t>
  </si>
  <si>
    <t>IPI00116279.3:IPI00886090.1:</t>
  </si>
  <si>
    <t>IPI00331461.4:IPI00340036.2:IPI00474856.1:IPI00624735.4:IPI00626239.3:</t>
  </si>
  <si>
    <t>IPI00127415.1:IPI00468717.7:IPI00515155.1:IPI00648014.1:IPI00649841.1:IPI00849626.1:</t>
  </si>
  <si>
    <t>IPI00453768.4:IPI00461292.4:IPI00468667.4:IPI00626233.3:IPI00752389.3:IPI00753292.3:IPI00755857.3:IPI00761421.2:IPI00848671.1:IPI00848824.1:IPI00849377.1:IPI00849652.6:IPI00849946.3:IPI00850068.1:IPI00850153.1:IPI00853832.1:IPI00890153.1:</t>
  </si>
  <si>
    <t>IPI00330063.6:IPI00653841.1:IPI00848950.1:IPI00877182.1:</t>
  </si>
  <si>
    <t>IPI00127415.1:IPI00515155.1:IPI00648014.1:IPI00649841.1:IPI00674226.5:IPI00849626.1:</t>
  </si>
  <si>
    <t>IPI00274407.1:IPI00625588.1:</t>
  </si>
  <si>
    <t>IPI00453768.4:IPI00468667.4:IPI00626233.3:IPI00761421.2:IPI00848671.1:IPI00848802.1:IPI00849377.1:IPI00849522.1:IPI00849652.6:IPI00850068.1:IPI00850153.1:IPI00875351.1:</t>
  </si>
  <si>
    <t>IPI00315538.6:IPI00649622.1:IPI00755389.2:</t>
  </si>
  <si>
    <t>IPI00223219.2:IPI00226436.3:IPI00387320.4:IPI00750980.2:</t>
  </si>
  <si>
    <t>IPI00266188.6:IPI00407543.2:IPI00848816.1:IPI00890117.1:</t>
  </si>
  <si>
    <t>IPI00124973.1:IPI00648356.2:IPI00648623.2:IPI00850852.1:IPI00853964.2:IPI00857704.1:</t>
  </si>
  <si>
    <t>IPI00124973.1:</t>
  </si>
  <si>
    <t>IPI00454049.4:IPI00459020.1:</t>
  </si>
  <si>
    <t>IPI00230429.4:</t>
  </si>
  <si>
    <t>IPI00223217.6:IPI00654400.1:</t>
  </si>
  <si>
    <t>IPI00323349.2:</t>
  </si>
  <si>
    <t>IPI00113660.1:IPI00649191.2:</t>
  </si>
  <si>
    <t>IPI00317740.5:</t>
  </si>
  <si>
    <t>IPI00117910.3:IPI00831115.3:</t>
  </si>
  <si>
    <t>IPI00138790.2:IPI00410959.1:IPI00761242.1:</t>
  </si>
  <si>
    <t>IPI00122220.1:</t>
  </si>
  <si>
    <t>IPI00331424.8:IPI00742413.1:</t>
  </si>
  <si>
    <t>IPI00753793.2:IPI00753815.3:IPI00757353.2:IPI00798592.1:</t>
  </si>
  <si>
    <t>IPI00116192.1:</t>
  </si>
  <si>
    <t>IPI00123278.1:</t>
  </si>
  <si>
    <t>IPI00108762.3:IPI00122955.1:IPI00129580.2:IPI00165706.1:IPI00379383.3:IPI00652964.2:IPI00751963.1:IPI00761765.2:IPI00848631.1:IPI00848890.1:IPI00849486.1:IPI00849725.1:IPI00880594.1:IPI00881242.1:</t>
  </si>
  <si>
    <t>IPI00454049.4:IPI00886151.1:</t>
  </si>
  <si>
    <t>IPI00108125.4:IPI00331514.6:IPI00648714.1:IPI00848526.1:IPI00850758.1:</t>
  </si>
  <si>
    <t>IPI00131138.10:IPI00664643.2:IPI00828770.3:IPI00875567.1:IPI00885630.1:IPI00886409.1:</t>
  </si>
  <si>
    <t>IPI00132762.1:</t>
  </si>
  <si>
    <t>IPI00124171.1:</t>
  </si>
  <si>
    <t>IPI00454008.1:</t>
  </si>
  <si>
    <t>IPI00124829.5:IPI00753044.1:</t>
  </si>
  <si>
    <t>IPI00132328.2:</t>
  </si>
  <si>
    <t>IPI00653569.4:IPI00885879.1:</t>
  </si>
  <si>
    <t>IPI00420745.7:IPI00890001.1:</t>
  </si>
  <si>
    <t>IPI00265107.4:IPI00330363.8:IPI00354363.3:IPI00461356.1:IPI00462006.3:IPI00462453.4:IPI00622160.3:IPI00875556.1:</t>
  </si>
  <si>
    <t>IPI00118143.1:IPI00624988.4:</t>
  </si>
  <si>
    <t>IPI00115640.1:</t>
  </si>
  <si>
    <t>IPI00223217.6:IPI00462204.1:IPI00654400.1:</t>
  </si>
  <si>
    <t>IPI00225249.2:IPI00720208.1:</t>
  </si>
  <si>
    <t>IPI00117288.3:IPI00277066.4:IPI00648228.3:</t>
  </si>
  <si>
    <t>IPI00119169.1:IPI00318505.3:IPI00648486.1:IPI00650043.1:</t>
  </si>
  <si>
    <t>IPI00331644.5:</t>
  </si>
  <si>
    <t>IPI00118899.1:IPI00380436.1:</t>
  </si>
  <si>
    <t>IPI00169500.3:IPI00458001.1:IPI00458002.1:</t>
  </si>
  <si>
    <t>IPI00230108.6:IPI00885558.1:</t>
  </si>
  <si>
    <t>IPI00654257.3:IPI00831403.1:</t>
  </si>
  <si>
    <t>IPI00139795.2:IPI00742383.1:</t>
  </si>
  <si>
    <t>IPI00269136.2:IPI00475150.1:IPI00895485.1:</t>
  </si>
  <si>
    <t>IPI00132096.3:</t>
  </si>
  <si>
    <t>IPI00227140.1:IPI00230365.5:</t>
  </si>
  <si>
    <t>IPI00119545.2:</t>
  </si>
  <si>
    <t>IPI00226311.2:IPI00454102.2:</t>
  </si>
  <si>
    <t>IPI00108271.1:IPI00466032.3:</t>
  </si>
  <si>
    <t>IPI00131138.10:IPI00387373.6:IPI00664643.2:IPI00875567.1:IPI00885630.1:IPI00886056.1:IPI00886409.1:</t>
  </si>
  <si>
    <t>IPI00117689.1:IPI00651975.1:IPI00654405.1:</t>
  </si>
  <si>
    <t>IPI00269481.7:IPI00406800.4:IPI00474883.2:IPI00649604.1:IPI00776140.1:IPI00776265.1:IPI00776374.1:</t>
  </si>
  <si>
    <t>IPI00119618.1:</t>
  </si>
  <si>
    <t>IPI00128564.1:IPI00230569.1:IPI00230570.1:IPI00345779.2:IPI00381291.1:IPI00886326.1:</t>
  </si>
  <si>
    <t>IPI00139172.1:IPI00867820.1:IPI00867831.1:</t>
  </si>
  <si>
    <t>IPI00131548.1:IPI00654420.1:IPI00720189.1:</t>
  </si>
  <si>
    <t>IPI00656203.2:IPI00895349.1:</t>
  </si>
  <si>
    <t>IPI00128564.1:IPI00230569.1:IPI00230570.1:IPI00345779.2:IPI00381291.1:</t>
  </si>
  <si>
    <t>IPI00114953.1:IPI00656171.1:IPI00885514.1:</t>
  </si>
  <si>
    <t>IPI00119169.1:IPI00318505.3:IPI00650043.1:</t>
  </si>
  <si>
    <t>IPI00113870.1:IPI00848977.1:IPI00850755.1:</t>
  </si>
  <si>
    <t>IPI00223253.1:IPI00224575.1:IPI00465574.2:IPI00469351.3:IPI00890005.1:</t>
  </si>
  <si>
    <t>IPI00133030.3:</t>
  </si>
  <si>
    <t>IPI00318204.5:IPI00411102.3:IPI00554868.2:IPI00653091.1:IPI00654144.1:IPI00676841.1:</t>
  </si>
  <si>
    <t>IPI00315538.6:IPI00649385.1:IPI00755389.2:</t>
  </si>
  <si>
    <t>IPI00269481.7:IPI00406800.4:IPI00474883.2:IPI00776140.1:IPI00776374.1:</t>
  </si>
  <si>
    <t>IPI00132058.1:IPI00313327.2:IPI00387338.1:</t>
  </si>
  <si>
    <t>IPI00320850.3:</t>
  </si>
  <si>
    <t>IPI00177038.1:IPI00457901.1:</t>
  </si>
  <si>
    <t>IPI00116498.1:IPI00473203.1:IPI00776377.1:IPI00853851.1:</t>
  </si>
  <si>
    <t>IPI00670378.3:IPI00849793.1:IPI00889839.1:</t>
  </si>
  <si>
    <t>IPI00136929.1:</t>
  </si>
  <si>
    <t>IPI00124287.1:IPI00172364.1:IPI00331552.4:IPI00420950.3:IPI00648982.1:IPI00649252.1:IPI00666636.2:</t>
  </si>
  <si>
    <t>IPI00109044.8:IPI00132705.1:IPI00750441.1:IPI00758006.1:</t>
  </si>
  <si>
    <t>IPI00131513.5:IPI00828824.1:IPI00857774.1:IPI00895503.1:</t>
  </si>
  <si>
    <t>IPI00119973.1:</t>
  </si>
  <si>
    <t>IPI00119667.1:IPI00307837.6:</t>
  </si>
  <si>
    <t>IPI00454016.5:IPI00461623.1:</t>
  </si>
  <si>
    <t>IPI00317902.3:IPI00875197.1:</t>
  </si>
  <si>
    <t>IPI00467908.5:IPI00621767.2:</t>
  </si>
  <si>
    <t>IPI00118775.1:IPI00222549.6:IPI00283156.1:IPI00463886.1:IPI00849828.1:IPI00850777.1:</t>
  </si>
  <si>
    <t>IPI00762638.3:</t>
  </si>
  <si>
    <t>IPI00111265.3:</t>
  </si>
  <si>
    <t>IPI00113870.1:IPI00473170.1:IPI00848977.1:IPI00850755.1:</t>
  </si>
  <si>
    <t>IPI00265107.4:IPI00330363.8:IPI00354363.3:IPI00461356.1:IPI00462006.3:IPI00462453.4:IPI00606944.2:IPI00622160.3:IPI00890002.1:IPI00890194.1:</t>
  </si>
  <si>
    <t>IPI00849793.1:IPI00889839.1:</t>
  </si>
  <si>
    <t>IPI00123862.1:IPI00130185.1:IPI00227773.1:IPI00311873.5:IPI00875406.1:</t>
  </si>
  <si>
    <t>IPI00222496.3:IPI00854971.1:</t>
  </si>
  <si>
    <t>IPI00308706.4:IPI00881253.1:</t>
  </si>
  <si>
    <t>IPI00130280.1:IPI00857439.1:</t>
  </si>
  <si>
    <t>IPI00223217.6:IPI00462204.1:IPI00654400.1:IPI00662196.2:</t>
  </si>
  <si>
    <t>IPI00110280.4:</t>
  </si>
  <si>
    <t>IPI00118010.1:</t>
  </si>
  <si>
    <t>IPI00109089.1:</t>
  </si>
  <si>
    <t>IPI00474637.4:IPI00775915.1:IPI00849280.1:IPI00849598.1:</t>
  </si>
  <si>
    <t>IPI00132973.1:</t>
  </si>
  <si>
    <t>IPI00123802.5:IPI00224109.2:IPI00317710.1:IPI00317711.1:IPI00331556.5:IPI00830204.1:IPI00857988.1:</t>
  </si>
  <si>
    <t>IPI00131988.1:IPI00271430.4:</t>
  </si>
  <si>
    <t>IPI00122413.2:IPI00407917.1:IPI00473762.1:IPI00850681.1:IPI00881026.1:IPI00881383.1:</t>
  </si>
  <si>
    <t>IPI00265107.4:IPI00278580.6:IPI00330363.8:IPI00354363.3:IPI00462006.3:IPI00462453.4:IPI00606944.2:IPI00622160.3:IPI00850703.1:IPI00890194.1:</t>
  </si>
  <si>
    <t>IPI00115117.1:IPI00648577.3:IPI00649391.2:</t>
  </si>
  <si>
    <t>IPI00128564.1:IPI00230570.1:</t>
  </si>
  <si>
    <t>IPI00224113.1:IPI00652085.1:IPI00674158.1:</t>
  </si>
  <si>
    <t>IPI00110753.1:IPI00117348.4:IPI00403810.2:IPI00466390.1:</t>
  </si>
  <si>
    <t>IPI00457756.2:IPI00876315.1:</t>
  </si>
  <si>
    <t>IPI00275992.3:IPI00830249.1:IPI00830364.1:IPI00830476.1:</t>
  </si>
  <si>
    <t>IPI00110753.1:IPI00117348.4:IPI00129028.1:IPI00403810.2:IPI00665335.1:</t>
  </si>
  <si>
    <t>IPI00230682.6:IPI00750790.1:IPI00760000.1:</t>
  </si>
  <si>
    <t>IPI00124973.1:IPI00648356.2:IPI00648623.2:IPI00649538.1:IPI00850852.1:IPI00853964.2:IPI00857704.1:IPI00857980.1:</t>
  </si>
  <si>
    <t>IPI00315538.6:IPI00755389.2:</t>
  </si>
  <si>
    <t>IPI00119185.1:</t>
  </si>
  <si>
    <t>IPI00120914.1:</t>
  </si>
  <si>
    <t>IPI00331424.8:IPI00459791.1:IPI00625183.2:IPI00742282.1:IPI00742413.1:</t>
  </si>
  <si>
    <t>IPI00111117.5:</t>
  </si>
  <si>
    <t>IPI00281245.2:</t>
  </si>
  <si>
    <t>IPI00162790.1:IPI00850871.1:</t>
  </si>
  <si>
    <t>IPI00314709.1:IPI00670246.1:IPI00673669.2:IPI00830743.1:IPI00874715.1:</t>
  </si>
  <si>
    <t>IPI00622240.4:IPI00875096.1:</t>
  </si>
  <si>
    <t>IPI00135150.4:IPI00230429.4:</t>
  </si>
  <si>
    <t>IPI00554989.3:</t>
  </si>
  <si>
    <t>IPI00405648.1:IPI00467127.4:IPI00881636.1:</t>
  </si>
  <si>
    <t>IPI00889847.1:</t>
  </si>
  <si>
    <t>IPI00108939.1:IPI00134521.1:IPI00135284.1:IPI00273646.9:IPI00462008.5:IPI00620663.3:IPI00622795.2:IPI00848411.1:IPI00848511.1:IPI00849031.1:IPI00849049.1:IPI00849879.1:IPI00850028.1:IPI00850062.1:IPI00850337.1:IPI00850377.1:IPI00850434.1:IPI00850779.1:IPI00851010.1:IPI00851086.1:IPI00853668.2:IPI00874682.1:IPI00874964.2:</t>
  </si>
  <si>
    <t>IPI00108125.4:</t>
  </si>
  <si>
    <t>IPI00274175.1:IPI00466820.4:IPI00475203.1:IPI00621229.1:IPI00671398.1:IPI00828628.2:IPI00849948.1:</t>
  </si>
  <si>
    <t>IPI00120954.2:IPI00124287.1:IPI00172364.1:IPI00331552.4:IPI00420950.3:IPI00461269.6:IPI00648982.1:IPI00649252.1:IPI00653624.1:IPI00666636.2:IPI00850617.1:</t>
  </si>
  <si>
    <t>IPI00137368.7:IPI00753793.2:IPI00753815.3:IPI00757353.2:IPI00798592.1:</t>
  </si>
  <si>
    <t>IPI00108454.2:IPI00113655.1:IPI00474622.1:IPI00671512.3:</t>
  </si>
  <si>
    <t>IPI00131406.1:</t>
  </si>
  <si>
    <t>IPI00118875.4:IPI00515654.2:IPI00831202.1:</t>
  </si>
  <si>
    <t>IPI00122684.2:IPI00228548.6:IPI00331704.7:IPI00462072.3:IPI00473227.1:IPI00648260.1:IPI00649143.2:IPI00649376.1:IPI00649551.1:IPI00649925.1:IPI00830694.1:IPI00830788.1:IPI00849751.1:IPI00889980.1:</t>
  </si>
  <si>
    <t>IPI00314467.3:</t>
  </si>
  <si>
    <t>DCY00653233.1:</t>
  </si>
  <si>
    <t>IPI00830425.1:</t>
  </si>
  <si>
    <t>IPI00314513.1:</t>
  </si>
  <si>
    <t>IPI00226249.1:</t>
  </si>
  <si>
    <t>DCY00331064.7:</t>
  </si>
  <si>
    <t>IPI00330302.3:IPI00409019.2:IPI00752027.1:IPI00757856.2:IPI00876536.1:IPI00886033.1:</t>
  </si>
  <si>
    <t>IPI00121311.1:IPI00274739.1:IPI00330591.1:IPI00753114.1:</t>
  </si>
  <si>
    <t>DCY00331541.5:</t>
  </si>
  <si>
    <t>IPI00131368.3:IPI00347096.2:IPI00762364.2:</t>
  </si>
  <si>
    <t>IPI00553419.3:IPI00849835.1:IPI00876057.1:</t>
  </si>
  <si>
    <t>DCY00410791.1:</t>
  </si>
  <si>
    <t>IPI00177072.1:IPI00230584.2:IPI00653570.2:IPI00754131.1:IPI00755198.1:IPI00757577.1:</t>
  </si>
  <si>
    <t>DCY00331091.6:</t>
  </si>
  <si>
    <t>IPI00117636.3:</t>
  </si>
  <si>
    <t>IPI00128904.1:</t>
  </si>
  <si>
    <t>DCY00857234.1:</t>
  </si>
  <si>
    <t>IPI00339474.3:IPI00463634.1:IPI00670378.3:IPI00849793.1:</t>
  </si>
  <si>
    <t>DCY00228680.2:</t>
  </si>
  <si>
    <t>IPI00330363.8:IPI00354363.3:IPI00462453.4:IPI00622160.3:IPI00890002.1:</t>
  </si>
  <si>
    <t>DCY00173168.1:</t>
  </si>
  <si>
    <t>IPI00624157.2:</t>
  </si>
  <si>
    <t>DCY00187245.3:</t>
  </si>
  <si>
    <t>DCY00121071.5:</t>
  </si>
  <si>
    <t>DCY00131180.1:</t>
  </si>
  <si>
    <t>DCY00620682.1:</t>
  </si>
  <si>
    <t>DCY00625314.2:</t>
  </si>
  <si>
    <t>DCY00785267.1:</t>
  </si>
  <si>
    <t>DCY00110779.3:</t>
  </si>
  <si>
    <t>DCY00776419.1:</t>
  </si>
  <si>
    <t>IPI00225301.1:</t>
  </si>
  <si>
    <t>DCY00885663.1:</t>
  </si>
  <si>
    <t>IPI00124820.2:</t>
  </si>
  <si>
    <t>IPI00225969.1:</t>
  </si>
  <si>
    <t>IPI00107958.1:</t>
  </si>
  <si>
    <t>IPI00420562.5:</t>
  </si>
  <si>
    <t>DCY00404848.1:</t>
  </si>
  <si>
    <t>IPI00355244.8:IPI00653345.2:IPI00828549.1:IPI00828654.2:IPI00828738.1:IPI00828980.1:</t>
  </si>
  <si>
    <t>IPI00749932.1:</t>
  </si>
  <si>
    <t>DCY00857043.1:</t>
  </si>
  <si>
    <t>DCY00890912.1:</t>
  </si>
  <si>
    <t>IPI00312174.6:</t>
  </si>
  <si>
    <t>IPI00469938.3:</t>
  </si>
  <si>
    <t>DCY00474362.4:</t>
  </si>
  <si>
    <t>DCY00830963.1:</t>
  </si>
  <si>
    <t>IPI00321266.5:IPI00652445.1:IPI00857897.1:</t>
  </si>
  <si>
    <t>IPI00154056.1:IPI00653175.1:</t>
  </si>
  <si>
    <t>DCY00124779.6:</t>
  </si>
  <si>
    <t>IPI00110753.1:IPI00117348.4:IPI00117350.1:IPI00129028.1:IPI00311175.5:IPI00403810.2:IPI00466390.1:IPI00665335.1:</t>
  </si>
  <si>
    <t>DCY00554840.2:</t>
  </si>
  <si>
    <t>IPI00136929.1:IPI00648161.1:IPI00648420.1:IPI00652436.3:IPI00874482.1:</t>
  </si>
  <si>
    <t>IPI00404359.3:</t>
  </si>
  <si>
    <t>IPI00230395.5:</t>
  </si>
  <si>
    <t>IPI00655240.1:</t>
  </si>
  <si>
    <t>DCY00336258.5:</t>
  </si>
  <si>
    <t>DCY00404187.3:</t>
  </si>
  <si>
    <t>DCY00228078.1:</t>
  </si>
  <si>
    <t>DCY00322634.1:</t>
  </si>
  <si>
    <t>IPI00462762.2:</t>
  </si>
  <si>
    <t>DCY00857100.1:</t>
  </si>
  <si>
    <t>DCY00137280.9:</t>
  </si>
  <si>
    <t>DCY00623542.3:</t>
  </si>
  <si>
    <t>DCY00761452.1:</t>
  </si>
  <si>
    <t>DCY00648223.1:</t>
  </si>
  <si>
    <t>DCY00112713.4:</t>
  </si>
  <si>
    <t>IPI00229224.1:</t>
  </si>
  <si>
    <t>DCY00458428.1:</t>
  </si>
  <si>
    <t>IPI00222272.2:IPI00880971.1:</t>
  </si>
  <si>
    <t>IPI00124492.1:IPI00885482.1:IPI00885986.1:</t>
  </si>
  <si>
    <t>DCY00469298.2:</t>
  </si>
  <si>
    <t>IPI00761242.1:</t>
  </si>
  <si>
    <t>DCY00758171.1:</t>
  </si>
  <si>
    <t>IPI00465880.4:IPI00622165.2:IPI00755495.2:IPI00848900.1:</t>
  </si>
  <si>
    <t>IPI00124047.1:IPI00831694.1:</t>
  </si>
  <si>
    <t>DCY00857002.1:</t>
  </si>
  <si>
    <t>DCY00776325.1:</t>
  </si>
  <si>
    <t>IPI00221530.2:IPI00222297.3:</t>
  </si>
  <si>
    <t>IPI00265358.1:</t>
  </si>
  <si>
    <t>IPI00124047.1:</t>
  </si>
  <si>
    <t>IPI00131873.1:IPI00830393.1:</t>
  </si>
  <si>
    <t>IPI00153950.1:</t>
  </si>
  <si>
    <t>IPI00110753.1:IPI00117348.4:IPI00117350.1:IPI00129028.1:IPI00403810.2:IPI00466390.1:IPI00665335.1:</t>
  </si>
  <si>
    <t>DCY00420906.4:</t>
  </si>
  <si>
    <t>IPI00265356.1:</t>
  </si>
  <si>
    <t>DCY00116356.5:</t>
  </si>
  <si>
    <t>DCY00785346.1:</t>
  </si>
  <si>
    <t>DCY00830487.1:</t>
  </si>
  <si>
    <t>IPI00469340.1:</t>
  </si>
  <si>
    <t>IPI00120617.1:IPI00856755.1:</t>
  </si>
  <si>
    <t>DCY00466992.3:</t>
  </si>
  <si>
    <t>DCY00229549.2:</t>
  </si>
  <si>
    <t>DCY00869468.1:</t>
  </si>
  <si>
    <t>IPI00123276.1:</t>
  </si>
  <si>
    <t>DCY00756745.5:</t>
  </si>
  <si>
    <t>IPI00132821.1:IPI00410747.1:IPI00410748.1:IPI00672442.1:</t>
  </si>
  <si>
    <t>IPI00230365.5:</t>
  </si>
  <si>
    <t>DCY00754912.1:</t>
  </si>
  <si>
    <t>IPI00229475.1:</t>
  </si>
  <si>
    <t>IPI00318492.11:IPI00466145.4:IPI00604967.3:IPI00605141.2:IPI00606379.2:IPI00606508.1:IPI00626139.2:IPI00658614.1:IPI00752723.1:IPI00875177.1:IPI00880400.1:IPI00882003.1:IPI00890206.1:</t>
  </si>
  <si>
    <t>IPI00330483.1:IPI00553250.1:</t>
  </si>
  <si>
    <t>IPI00110753.1:IPI00117348.4:IPI00117350.1:IPI00129028.1:IPI00311175.5:IPI00403810.2:IPI00466390.1:IPI00473667.1:IPI00665335.1:</t>
  </si>
  <si>
    <t>IPI00265386.5:IPI00761513.1:</t>
  </si>
  <si>
    <t>DCY00352320.3:</t>
  </si>
  <si>
    <t>DCY00469945.3:</t>
  </si>
  <si>
    <t>IPI00122155.1:</t>
  </si>
  <si>
    <t>IPI00122565.1:IPI00416577.1:</t>
  </si>
  <si>
    <t>IPI00113746.3:</t>
  </si>
  <si>
    <t>IPI00378509.5:IPI00828284.3:IPI00894916.1:IPI00895159.1:</t>
  </si>
  <si>
    <t>DCY00117604.1:</t>
  </si>
  <si>
    <t>IPI00454136.3:IPI00665485.1:</t>
  </si>
  <si>
    <t>DCY00348414.4:</t>
  </si>
  <si>
    <t>IPI00408358.1:IPI00874870.1:</t>
  </si>
  <si>
    <t>DCY00128989.1:</t>
  </si>
  <si>
    <t>IPI00124697.1:</t>
  </si>
  <si>
    <t>IPI00112947.1:IPI00122281.2:IPI00124945.1:IPI00131209.3:IPI00131382.4:IPI00136056.1:IPI00137658.3:IPI00225378.3:IPI00227140.1:IPI00230365.5:IPI00311493.5:IPI00462134.3:IPI00468696.3:IPI00656215.1:IPI00658923.1:IPI00676907.2:IPI00676959.1:IPI00755181.1:IPI00798492.2:IPI00816944.2:IPI00828238.1:IPI00828744.1:IPI00845846.1:IPI00849205.1:IPI00874442.1:IPI00874585.1:IPI00876179.1:</t>
  </si>
  <si>
    <t>DCY00169731.1:</t>
  </si>
  <si>
    <t>IPI00320850.3:IPI00652521.1:IPI00881206.1:</t>
  </si>
  <si>
    <t>IPI00380009.1:IPI00460291.2:IPI00462730.1:</t>
  </si>
  <si>
    <t>IPI00314075.2:IPI00661214.2:</t>
  </si>
  <si>
    <t>IPI00127942.4:</t>
  </si>
  <si>
    <t>DCY00380741.1:</t>
  </si>
  <si>
    <t>IPI00556823.3:</t>
  </si>
  <si>
    <t>IPI00124973.1:IPI00648356.2:</t>
  </si>
  <si>
    <t>IPI00461014.1:IPI00874972.1:IPI00875721.1:</t>
  </si>
  <si>
    <t>IPI00133977.3:IPI00876202.1:</t>
  </si>
  <si>
    <t>IPI00229613.3:IPI00889213.1:IPI00889893.1:</t>
  </si>
  <si>
    <t>IPI00330240.7:</t>
  </si>
  <si>
    <t>IPI00330240.7:IPI00462561.2:</t>
  </si>
  <si>
    <t>IPI00411074.2:IPI00411075.1:</t>
  </si>
  <si>
    <t>IPI00110753.1:IPI00117348.4:IPI00117350.1:IPI00129028.1:IPI00403810.2:IPI00466390.1:IPI00473667.1:IPI00665335.1:</t>
  </si>
  <si>
    <t>IPI00123465.1:IPI00317701.2:IPI00856675.1:IPI00856821.1:IPI00857701.1:</t>
  </si>
  <si>
    <t>IPI00169477.1:IPI00415385.1:IPI00620639.1:IPI00762634.1:</t>
  </si>
  <si>
    <t>IPI00131366.5:IPI00131368.3:IPI00221797.1:IPI00462141.1:IPI00762364.2:IPI00785403.14:</t>
  </si>
  <si>
    <t>IPI00318492.11:IPI00378671.3:IPI00380130.2:IPI00458629.2:IPI00604967.3:IPI00605141.2:IPI00606379.2:IPI00606508.1:IPI00665910.2:IPI00752723.1:IPI00875177.1:IPI00880400.1:IPI00882003.1:IPI00890115.1:</t>
  </si>
  <si>
    <t>IPI00169707.2:IPI00230044.5:IPI00474756.1:IPI00889847.1:</t>
  </si>
  <si>
    <t>IPI00121471.1:IPI00460019.1:</t>
  </si>
  <si>
    <t>IPI00133148.2:IPI00555131.2:</t>
  </si>
  <si>
    <t>IPI00664643.2:IPI00828770.3:IPI00875567.1:IPI00885630.1:IPI00886409.1:</t>
  </si>
  <si>
    <t>IPI00126090.3:IPI00468674.5:</t>
  </si>
  <si>
    <t>DCY00132061.1:</t>
  </si>
  <si>
    <t>IPI00318492.11:IPI00378671.3:IPI00380130.2:IPI00458629.2:IPI00466145.4:IPI00604967.3:IPI00605141.2:IPI00606379.2:IPI00606508.1:IPI00658614.1:IPI00665910.2:IPI00752723.1:IPI00875177.1:IPI00880400.1:IPI00882003.1:IPI00890057.1:IPI00890206.1:</t>
  </si>
  <si>
    <t>IPI00226993.5:</t>
  </si>
  <si>
    <t>IPI00119892.1:</t>
  </si>
  <si>
    <t>IPI00119575.3:IPI00649804.2:IPI00762049.2:IPI00875652.1:</t>
  </si>
  <si>
    <t>IPI00131138.10:IPI00663627.1:IPI00664643.2:IPI00664670.4:IPI00753917.2:IPI00875567.1:IPI00885630.1:IPI00886056.1:IPI00886409.1:</t>
  </si>
  <si>
    <t>IPI00323319.3:IPI00749596.1:IPI00750382.1:IPI00756688.1:</t>
  </si>
  <si>
    <t>IPI00116112.3:</t>
  </si>
  <si>
    <t>IPI00453858.3:IPI00874866.1:IPI00885617.1:</t>
  </si>
  <si>
    <t>IPI00122413.2:IPI00407917.1:IPI00473762.1:IPI00762232.1:IPI00850681.1:IPI00881026.1:IPI00881383.1:</t>
  </si>
  <si>
    <t>IPI00108454.2:IPI00113655.1:IPI00474622.1:IPI00672455.1:</t>
  </si>
  <si>
    <t>IPI00116285.2:IPI00850347.1:IPI00867784.1:</t>
  </si>
  <si>
    <t>IPI00320217.9:</t>
  </si>
  <si>
    <t>IPI00127444.1:IPI00460708.2:IPI00857765.1:IPI00889918.1:</t>
  </si>
  <si>
    <t>IPI00111495.9:IPI00649969.1:IPI00720194.1:</t>
  </si>
  <si>
    <t>IPI00121534.11:</t>
  </si>
  <si>
    <t>IPI00153660.4:</t>
  </si>
  <si>
    <t>IPI00131754.2:</t>
  </si>
  <si>
    <t>IPI00469103.1:IPI00620145.1:IPI00666196.1:IPI00849028.1:</t>
  </si>
  <si>
    <t>IPI00124499.2:IPI00131366.5:IPI00131368.3:IPI00221797.1:IPI00222228.5:IPI00762364.2:IPI00785403.14:</t>
  </si>
  <si>
    <t>IPI00131357.7:IPI00605025.2:</t>
  </si>
  <si>
    <t>IPI00131209.3:IPI00135197.5:IPI00136056.1:IPI00225378.3:IPI00227140.1:IPI00230365.5:IPI00420316.2:IPI00468696.3:IPI00828528.1:IPI00874585.1:IPI00874909.1:IPI00876179.1:</t>
  </si>
  <si>
    <t>IPI00132250.1:</t>
  </si>
  <si>
    <t>IPI00128564.1:IPI00381291.1:IPI00856222.1:</t>
  </si>
  <si>
    <t>IPI00114491.1:</t>
  </si>
  <si>
    <t>IPI00112947.1:IPI00225378.3:IPI00227140.1:IPI00230365.5:IPI00468696.3:IPI00876179.1:</t>
  </si>
  <si>
    <t>IPI00461641.2:IPI00474407.2:IPI00553612.3:IPI00626628.1:</t>
  </si>
  <si>
    <t>IPI00131368.3:IPI00762364.2:</t>
  </si>
  <si>
    <t>IPI00113241.7:IPI00125787.4:IPI00343021.3:IPI00350414.6:IPI00664029.2:IPI00665513.3:IPI00856352.1:IPI00856927.1:IPI00857038.1:IPI00875584.1:IPI00875929.1:</t>
  </si>
  <si>
    <t>IPI00117087.1:</t>
  </si>
  <si>
    <t>IPI00122426.1:IPI00264398.3:IPI00648315.1:IPI00754211.1:IPI00849754.1:IPI00850221.1:IPI00853788.1:</t>
  </si>
  <si>
    <t>IPI00131871.1:IPI00857710.1:IPI00857784.1:IPI00857934.1:</t>
  </si>
  <si>
    <t>IPI00320399.6:IPI00464348.1:IPI00466738.4:IPI00828461.1:IPI00828976.1:</t>
  </si>
  <si>
    <t>IPI00131366.5:IPI00131368.3:IPI00139301.3:IPI00221797.1:IPI00346834.1:IPI00420312.4:IPI00470126.4:IPI00762364.2:IPI00785403.14:</t>
  </si>
  <si>
    <t>IPI00126338.5:IPI00320399.6:IPI00466738.4:IPI00466817.4:IPI00623133.3:IPI00798595.2:IPI00828461.1:IPI00828976.1:</t>
  </si>
  <si>
    <t>IPI00330599.1:IPI00652056.1:</t>
  </si>
  <si>
    <t>IPI00109073.5:IPI00112251.1:IPI00117352.1:IPI00169463.1:IPI00458204.7:IPI00662501.1:IPI00850173.1:</t>
  </si>
  <si>
    <t>IPI00314439.3:IPI00649807.1:IPI00652694.1:</t>
  </si>
  <si>
    <t>IPI00124047.1:IPI00830175.1:IPI00831694.1:</t>
  </si>
  <si>
    <t>IPI00848952.1:</t>
  </si>
  <si>
    <t>IPI00222496.3:</t>
  </si>
  <si>
    <t>IPI00138892.2:IPI00139518.3:IPI00377342.2:IPI00470152.2:IPI00621468.3:IPI00649896.1:IPI00660718.1:IPI00750889.3:IPI00751589.2:IPI00755353.2:IPI00755916.3:IPI00758106.1:IPI00895319.1:IPI00895479.1:</t>
  </si>
  <si>
    <t>IPI00667859.4:IPI00850795.1:</t>
  </si>
  <si>
    <t>IPI00131366.5:IPI00131368.3:IPI00762364.2:IPI00785403.14:</t>
  </si>
  <si>
    <t>IPI00223253.1:IPI00224575.1:IPI00465574.2:IPI00890005.1:</t>
  </si>
  <si>
    <t>IPI00318841.4:</t>
  </si>
  <si>
    <t>IPI00187407.4:</t>
  </si>
  <si>
    <t>IPI00308885.6:IPI00461249.1:IPI00845678.1:</t>
  </si>
  <si>
    <t>IPI00408378.4:IPI00656269.1:IPI00754545.2:IPI00853781.1:IPI00853924.1:</t>
  </si>
  <si>
    <t>IPI00124820.2:IPI00752988.1:</t>
  </si>
  <si>
    <t>IPI00345960.1:</t>
  </si>
  <si>
    <t>IPI00462072.3:IPI00648821.1:IPI00649143.2:</t>
  </si>
  <si>
    <t>IPI00131366.5:IPI00131368.3:IPI00462141.1:IPI00762364.2:IPI00785403.14:</t>
  </si>
  <si>
    <t>IPI00311493.5:</t>
  </si>
  <si>
    <t>IPI00463634.1:IPI00606029.2:IPI00849793.1:</t>
  </si>
  <si>
    <t>IPI00120513.3:IPI00480307.1:IPI00756831.1:</t>
  </si>
  <si>
    <t>IPI00133916.2:IPI00224729.1:IPI00226073.2:IPI00798511.1:</t>
  </si>
  <si>
    <t>IPI00116281.3:</t>
  </si>
  <si>
    <t>IPI00123604.4:IPI00622968.1:IPI00659629.1:IPI00676858.2:IPI00849484.1:IPI00850840.1:</t>
  </si>
  <si>
    <t>IPI00228548.6:</t>
  </si>
  <si>
    <t>IPI00462072.3:IPI00648821.1:</t>
  </si>
  <si>
    <t>IPI00154082.2:IPI00678657.3:</t>
  </si>
  <si>
    <t>DCY00856808.1:</t>
  </si>
  <si>
    <t>DCY00107908.1:</t>
  </si>
  <si>
    <t>IPI00320259.6:IPI00648621.1:</t>
  </si>
  <si>
    <t>IPI00407835.2:IPI00622375.2:IPI00761172.1:IPI00761299.1:IPI00761937.1:IPI00889845.1:IPI00889927.1:</t>
  </si>
  <si>
    <t>DCY00229264.1:</t>
  </si>
  <si>
    <t>IPI00223823.5:IPI00649765.1:</t>
  </si>
  <si>
    <t>DCY00798508.1:</t>
  </si>
  <si>
    <t>IPI00313222.5:IPI00457852.3:IPI00626312.1:IPI00750333.2:</t>
  </si>
  <si>
    <t>IPI00136186.9:</t>
  </si>
  <si>
    <t>IPI00118899.1:IPI00380436.1:IPI00775849.2:</t>
  </si>
  <si>
    <t>IPI00402788.2:IPI00473301.4:IPI00474016.3:IPI00515142.3:IPI00620670.2:IPI00877195.1:</t>
  </si>
  <si>
    <t>DCY00229702.1:</t>
  </si>
  <si>
    <t>IPI00131967.3:</t>
  </si>
  <si>
    <t>DCY00124028.1:</t>
  </si>
  <si>
    <t>DCY00126096.1:</t>
  </si>
  <si>
    <t>IPI00124425.3:IPI00830579.1:</t>
  </si>
  <si>
    <t>DCY00620585.2:</t>
  </si>
  <si>
    <t>IPI00139364.1:IPI00310880.4:IPI00314709.1:IPI00606760.2:IPI00607076.1:IPI00670246.1:IPI00673669.2:IPI00830743.1:IPI00874715.1:</t>
  </si>
  <si>
    <t>DCY00669976.1:</t>
  </si>
  <si>
    <t>DCY00228222.1:</t>
  </si>
  <si>
    <t>DCY00858088.1:</t>
  </si>
  <si>
    <t>DCY00126268.2:</t>
  </si>
  <si>
    <t>IPI00109409.3:IPI00830620.1:</t>
  </si>
  <si>
    <t>DCY00129561.2:</t>
  </si>
  <si>
    <t>IPI00831708.1:</t>
  </si>
  <si>
    <t>IPI00340103.1:IPI00474637.4:IPI00775915.1:IPI00849598.1:IPI00880708.1:</t>
  </si>
  <si>
    <t>IPI00323412.1:IPI00761436.3:</t>
  </si>
  <si>
    <t>DCY00788315.1:</t>
  </si>
  <si>
    <t>IPI00312128.3:</t>
  </si>
  <si>
    <t>IPI00138892.2:IPI00139518.3:IPI00377342.2:IPI00470152.2:IPI00621468.3:IPI00649896.1:IPI00660718.1:IPI00750889.3:IPI00751589.2:IPI00755353.2:IPI00755916.3:IPI00848548.1:IPI00895319.1:IPI00895479.1:</t>
  </si>
  <si>
    <t>DCY00650079.3:</t>
  </si>
  <si>
    <t>IPI00128267.4:IPI00230623.8:</t>
  </si>
  <si>
    <t>IPI00319231.4:IPI00653962.1:IPI00755989.2:IPI00831483.1:</t>
  </si>
  <si>
    <t>IPI00113660.1:IPI00649191.2:IPI00649403.1:</t>
  </si>
  <si>
    <t>IPI00457950.2:IPI00775870.1:IPI00775940.1:</t>
  </si>
  <si>
    <t>IPI00111489.9:</t>
  </si>
  <si>
    <t>IPI00118899.1:</t>
  </si>
  <si>
    <t>IPI00122350.4:IPI00895322.1:</t>
  </si>
  <si>
    <t>IPI00111248.1:IPI00268802.1:IPI00275455.2:IPI00317590.5:IPI00377406.5:IPI00474174.1:IPI00620156.1:IPI00663555.1:IPI00851049.1:</t>
  </si>
  <si>
    <t>DCY00880637.1:</t>
  </si>
  <si>
    <t>DCY00895011.1:</t>
  </si>
  <si>
    <t>IPI00755119.3:</t>
  </si>
  <si>
    <t>IPI00399943.3:IPI00652873.2:</t>
  </si>
  <si>
    <t>DCY00828942.1:</t>
  </si>
  <si>
    <t>IPI00460103.1:IPI00461652.1:IPI00466153.4:IPI00621625.1:IPI00848921.1:</t>
  </si>
  <si>
    <t>IPI00396797.2:IPI00405364.2:IPI00653307.1:</t>
  </si>
  <si>
    <t>IPI00459787.2:</t>
  </si>
  <si>
    <t>DCY00165753.1:</t>
  </si>
  <si>
    <t>IPI00187356.1:IPI00329843.4:IPI00889914.1:</t>
  </si>
  <si>
    <t>IPI00117312.1:</t>
  </si>
  <si>
    <t>IPI00138790.2:IPI00321396.1:IPI00410959.1:IPI00649032.1:IPI00653061.1:IPI00761242.1:IPI00881404.1:IPI00882363.1:</t>
  </si>
  <si>
    <t>IPI00263879.4:</t>
  </si>
  <si>
    <t>IPI00129792.1:</t>
  </si>
  <si>
    <t>IPI00117569.3:IPI00625021.1:IPI00663929.1:IPI00668534.1:IPI00762542.2:</t>
  </si>
  <si>
    <t>IPI00308498.1:</t>
  </si>
  <si>
    <t>IPI00137735.1:IPI00461419.2:IPI00677917.1:IPI00848593.1:</t>
  </si>
  <si>
    <t>DCY00880580.1:</t>
  </si>
  <si>
    <t>IPI00122521.1:IPI00126389.2:IPI00230597.1:IPI00230598.1:IPI00230599.1:IPI00230600.1:IPI00230601.1:IPI00230602.1:IPI00652944.1:</t>
  </si>
  <si>
    <t>IPI00122340.1:IPI00405386.3:IPI00654321.2:IPI00752837.1:IPI00848735.1:IPI00850659.1:IPI00851009.1:IPI00877230.1:IPI00880394.1:IPI00881601.1:IPI00895342.1:</t>
  </si>
  <si>
    <t>IPI00329908.1:</t>
  </si>
  <si>
    <t>IPI00125521.3:</t>
  </si>
  <si>
    <t>IPI00112457.1:IPI00269481.7:IPI00406800.4:IPI00474883.2:IPI00649604.1:IPI00776140.1:IPI00776265.1:IPI00776374.1:</t>
  </si>
  <si>
    <t>IPI00473320.2:</t>
  </si>
  <si>
    <t>IPI00279153.3:IPI00656234.1:</t>
  </si>
  <si>
    <t>IPI00112448.1:IPI00762525.2:IPI00830211.1:</t>
  </si>
  <si>
    <t>IPI00225761.5:IPI00554840.2:</t>
  </si>
  <si>
    <t>DCY00124778.1:</t>
  </si>
  <si>
    <t>DCY00776036.1:</t>
  </si>
  <si>
    <t>IPI00127764.2:IPI00828325.1:</t>
  </si>
  <si>
    <t>IPI00387234.2:</t>
  </si>
  <si>
    <t>DCY00459456.2:</t>
  </si>
  <si>
    <t>IPI00111248.1:IPI00268802.1:IPI00275455.2:IPI00317590.5:IPI00381655.4:IPI00474174.1:IPI00620156.1:IPI00669224.2:IPI00851049.1:</t>
  </si>
  <si>
    <t>DCY00320915.1:</t>
  </si>
  <si>
    <t>DCY00854952.1:</t>
  </si>
  <si>
    <t>IPI00127008.1:IPI00556768.1:IPI00649283.1:</t>
  </si>
  <si>
    <t>IPI00119239.2:</t>
  </si>
  <si>
    <t>IPI00330444.4:</t>
  </si>
  <si>
    <t>IPI00454138.4:IPI00844759.1:</t>
  </si>
  <si>
    <t>DCY00115062.3:</t>
  </si>
  <si>
    <t>IPI00123802.5:IPI00224109.2:IPI00830204.1:IPI00830521.1:</t>
  </si>
  <si>
    <t>IPI00137736.1:IPI00623913.1:IPI00849074.1:IPI00850904.1:</t>
  </si>
  <si>
    <t>IPI00263879.4:IPI00625702.1:</t>
  </si>
  <si>
    <t>DCY00261641.2:</t>
  </si>
  <si>
    <t>IPI00115660.1:IPI00408190.1:IPI00808555.2:</t>
  </si>
  <si>
    <t>IPI00132856.1:IPI00222553.7:IPI00460298.3:IPI00473360.1:IPI00849938.1:</t>
  </si>
  <si>
    <t>IPI00625088.1:</t>
  </si>
  <si>
    <t>IPI00620148.2:IPI00667973.3:</t>
  </si>
  <si>
    <t>IPI00108125.4:IPI00331514.6:IPI00471441.1:IPI00648714.1:IPI00848526.1:IPI00850758.1:</t>
  </si>
  <si>
    <t>IPI00621229.1:</t>
  </si>
  <si>
    <t>IPI00116284.4:IPI00387376.3:IPI00830797.1:IPI00830819.1:IPI00856488.1:</t>
  </si>
  <si>
    <t>IPI00133928.1:</t>
  </si>
  <si>
    <t>DCY00170254.1:</t>
  </si>
  <si>
    <t>IPI00114472.3:IPI00133503.1:IPI00461641.2:IPI00553612.3:IPI00606522.2:IPI00626628.1:IPI00761349.1:</t>
  </si>
  <si>
    <t>IPI00470178.7:</t>
  </si>
  <si>
    <t>IPI00113099.4:IPI00649117.1:IPI00857431.1:</t>
  </si>
  <si>
    <t>IPI00138335.1:</t>
  </si>
  <si>
    <t>IPI00137563.1:</t>
  </si>
  <si>
    <t>IPI00116331.1:IPI00399631.1:</t>
  </si>
  <si>
    <t>IPI00678559.3:IPI00857015.1:IPI00874771.1:</t>
  </si>
  <si>
    <t>DCY00223907.2:</t>
  </si>
  <si>
    <t>IPI00153722.3:IPI00653134.3:IPI00775978.1:IPI00776052.1:</t>
  </si>
  <si>
    <t>IPI00225249.2:IPI00720126.1:IPI00720208.1:</t>
  </si>
  <si>
    <t>IPI00409405.2:IPI00848816.1:IPI00890117.1:</t>
  </si>
  <si>
    <t>IPI00314439.3:IPI00652694.1:</t>
  </si>
  <si>
    <t>IPI00117277.2:IPI00855165.1:</t>
  </si>
  <si>
    <t>DCY00652448.1:</t>
  </si>
  <si>
    <t>IPI00114285.1:</t>
  </si>
  <si>
    <t>IPI00187434.1:IPI00467266.1:</t>
  </si>
  <si>
    <t>DCY00380816.1:</t>
  </si>
  <si>
    <t>DCY00856645.1:</t>
  </si>
  <si>
    <t>DCY00881262.1:</t>
  </si>
  <si>
    <t>IPI00114302.1:IPI00323510.5:IPI00338053.3:</t>
  </si>
  <si>
    <t>IPI00421108.2:</t>
  </si>
  <si>
    <t>IPI00268802.1:IPI00275455.2:IPI00317590.5:IPI00474174.1:IPI00620156.1:IPI00851049.1:</t>
  </si>
  <si>
    <t>IPI00130791.1:</t>
  </si>
  <si>
    <t>IPI00623284.4:</t>
  </si>
  <si>
    <t>IPI00226387.3:IPI00848970.1:</t>
  </si>
  <si>
    <t>IPI00123007.1:IPI00461413.1:IPI00466822.2:IPI00469629.3:IPI00625397.2:IPI00677102.1:IPI00874922.1:</t>
  </si>
  <si>
    <t>IPI00461456.1:IPI00752639.1:IPI00752985.1:IPI00754976.2:IPI00758298.1:IPI00848364.1:IPI00849847.1:IPI00874935.1:IPI00876172.1:IPI00876212.1:</t>
  </si>
  <si>
    <t>IPI00319874.3:IPI00653266.1:IPI00856437.1:</t>
  </si>
  <si>
    <t>IPI00126913.5:IPI00464208.3:</t>
  </si>
  <si>
    <t>IPI00116804.1:IPI00886198.1:</t>
  </si>
  <si>
    <t>IPI00284925.3:IPI00407413.2:IPI00463042.1:IPI00857097.1:</t>
  </si>
  <si>
    <t>IPI00460667.2:</t>
  </si>
  <si>
    <t>IPI00381244.8:IPI00757871.3:</t>
  </si>
  <si>
    <t>IPI00170232.2:IPI00275831.3:</t>
  </si>
  <si>
    <t>IPI00463074.6:</t>
  </si>
  <si>
    <t>IPI00111821.6:IPI00817029.1:</t>
  </si>
  <si>
    <t>IPI00228343.4:IPI00608064.1:</t>
  </si>
  <si>
    <t>IPI00461456.1:IPI00752639.1:IPI00752985.1:IPI00754976.2:IPI00758298.1:IPI00849847.1:IPI00874935.1:</t>
  </si>
  <si>
    <t>IPI00124245.1:IPI00331295.4:</t>
  </si>
  <si>
    <t>IPI00318492.11:IPI00380130.2:IPI00604967.3:IPI00605141.2:IPI00606379.2:IPI00606508.1:IPI00752723.1:IPI00849155.1:IPI00880400.1:IPI00882003.1:IPI00890115.1:IPI00890206.1:</t>
  </si>
  <si>
    <t>IPI00114472.3:IPI00133503.1:IPI00136263.1:IPI00474407.2:IPI00626628.1:</t>
  </si>
  <si>
    <t>IPI00137736.1:IPI00719947.2:</t>
  </si>
  <si>
    <t>IPI00310880.4:</t>
  </si>
  <si>
    <t>IPI00222306.5:IPI00310091.8:IPI00655135.1:</t>
  </si>
  <si>
    <t>IPI00118166.1:IPI00132460.1:IPI00474008.2:IPI00649136.1:IPI00874521.1:IPI00880492.1:</t>
  </si>
  <si>
    <t>IPI00469918.4:IPI00850220.1:IPI00881758.1:</t>
  </si>
  <si>
    <t>IPI00331361.2:IPI00652799.2:</t>
  </si>
  <si>
    <t>IPI00117569.3:IPI00625021.1:IPI00762542.2:</t>
  </si>
  <si>
    <t>IPI00221411.1:IPI00667471.1:</t>
  </si>
  <si>
    <t>IPI00322206.2:IPI00551142.1:</t>
  </si>
  <si>
    <t>IPI00224740.6:IPI00650039.1:</t>
  </si>
  <si>
    <t>IPI00345911.2:IPI00379638.1:IPI00379639.1:IPI00461456.1:IPI00672807.2:IPI00752639.1:IPI00752985.1:IPI00754636.2:IPI00754976.2:IPI00756014.1:IPI00758298.1:IPI00848364.1:IPI00849834.1:IPI00849847.1:IPI00850004.1:IPI00874935.1:IPI00876212.1:</t>
  </si>
  <si>
    <t>IPI00316184.1:</t>
  </si>
  <si>
    <t>IPI00122696.5:IPI00122698.1:IPI00776143.1:IPI00776339.1:IPI00828216.4:IPI00828412.1:</t>
  </si>
  <si>
    <t>IPI00402981.2:IPI00465568.5:IPI00751050.2:IPI00753456.1:IPI00889896.1:</t>
  </si>
  <si>
    <t>IPI00224644.1:IPI00224645.1:IPI00266463.5:IPI00761620.1:</t>
  </si>
  <si>
    <t>IPI00461456.1:IPI00620925.2:IPI00752639.1:IPI00752985.1:IPI00756014.1:IPI00758298.1:IPI00848364.1:IPI00849847.1:IPI00874935.1:IPI00876172.1:IPI00876212.1:</t>
  </si>
  <si>
    <t>IPI00123351.2:IPI00757391.1:IPI00845818.1:</t>
  </si>
  <si>
    <t>IPI00402981.2:IPI00465568.5:IPI00753456.1:</t>
  </si>
  <si>
    <t>IPI00407835.2:IPI00622375.2:IPI00761172.1:IPI00761937.1:</t>
  </si>
  <si>
    <t>IPI00465880.4:IPI00755495.2:IPI00848900.1:</t>
  </si>
  <si>
    <t>IPI00275455.2:IPI00317590.5:IPI00381655.4:IPI00474174.1:IPI00620156.1:IPI00663555.1:IPI00669224.2:IPI00851049.1:</t>
  </si>
  <si>
    <t>IPI00275455.2:IPI00317590.5:IPI00474174.1:IPI00620156.1:IPI00851049.1:</t>
  </si>
  <si>
    <t>IPI00109044.8:IPI00132705.1:IPI00750441.1:IPI00750595.2:IPI00758006.1:</t>
  </si>
  <si>
    <t>IPI00268802.1:IPI00317590.5:IPI00381655.4:IPI00474174.1:IPI00620156.1:IPI00669224.2:IPI00851049.1:</t>
  </si>
  <si>
    <t>IPI00112407.3:IPI00322562.5:IPI00663582.1:IPI00895455.1:IPI00895514.1:</t>
  </si>
  <si>
    <t>IPI00120162.1:IPI00408176.2:IPI00750022.1:IPI00850570.1:</t>
  </si>
  <si>
    <t>IPI00117229.3:IPI00461237.2:IPI00461238.2:</t>
  </si>
  <si>
    <t>IPI00622235.5:</t>
  </si>
  <si>
    <t>IPI00109061.1:IPI00117352.1:IPI00169463.1:IPI00338039.1:IPI00458204.7:IPI00850173.1:</t>
  </si>
  <si>
    <t>IPI00396797.2:IPI00405364.2:IPI00420363.2:IPI00653307.1:</t>
  </si>
  <si>
    <t>IPI00130554.1:IPI00400077.1:</t>
  </si>
  <si>
    <t>IPI00123007.1:IPI00677102.1:</t>
  </si>
  <si>
    <t>IPI00127323.1:IPI00462043.2:IPI00480480.1:IPI00652210.1:</t>
  </si>
  <si>
    <t>IPI00457533.2:</t>
  </si>
  <si>
    <t>IPI00659907.2:IPI00849532.1:</t>
  </si>
  <si>
    <t>IPI00129918.1:</t>
  </si>
  <si>
    <t>IPI00117229.3:IPI00461237.2:</t>
  </si>
  <si>
    <t>IPI00135345.3:</t>
  </si>
  <si>
    <t>IPI00112448.1:</t>
  </si>
  <si>
    <t>IPI00137229.1:IPI00454151.1:</t>
  </si>
  <si>
    <t>IPI00321251.3:</t>
  </si>
  <si>
    <t>IPI00322729.3:IPI00466935.3:IPI00855014.1:</t>
  </si>
  <si>
    <t>IPI00408258.4:</t>
  </si>
  <si>
    <t>IPI00272559.5:IPI00338599.3:</t>
  </si>
  <si>
    <t>DCY00417154.3:</t>
  </si>
  <si>
    <t>DCY00776088.1:</t>
  </si>
  <si>
    <t>IPI00850356.1:</t>
  </si>
  <si>
    <t>DCY00830169.1:</t>
  </si>
  <si>
    <t>DCY00115663.2:</t>
  </si>
  <si>
    <t>IPI00133903.1:IPI00323357.3:IPI00331546.2:IPI00387494.1:IPI00457741.4:IPI00880839.1:IPI00886297.1:</t>
  </si>
  <si>
    <t>DCY00377615.2:</t>
  </si>
  <si>
    <t>IPI00129430.1:</t>
  </si>
  <si>
    <t>IPI00380436.1:</t>
  </si>
  <si>
    <t>IPI00330497.4:</t>
  </si>
  <si>
    <t>DCY00308263.4:</t>
  </si>
  <si>
    <t>DCY00110315.1:</t>
  </si>
  <si>
    <t>DCY00604892.3:</t>
  </si>
  <si>
    <t>DCY00278660.2:</t>
  </si>
  <si>
    <t>DCY00884521.2:</t>
  </si>
  <si>
    <t>IPI00123176.1:IPI00135284.1:IPI00271869.1:IPI00273646.9:IPI00380923.3:IPI00462008.5:IPI00462075.4:IPI00620663.3:IPI00622795.2:IPI00625893.3:IPI00663957.1:IPI00668276.3:IPI00752289.2:IPI00752685.2:IPI00753028.2:IPI00756025.1:IPI00762304.1:IPI00848411.1:IPI00848511.1:IPI00848801.1:IPI00848807.1:IPI00849031.1:IPI00849045.1:IPI00849046.1:IPI00849049.1:IPI00849050.1:IPI00849530.1:IPI00849694.1:IPI00849792.1:IPI00849879.1:IPI00850028.1:IPI00850062.1:IPI00850243.1:IPI00850337.1:IPI00850377.1:IPI00850432.1:IPI00850434.1:IPI00850672.1:IPI00850760.1:IPI00850779.1:IPI00850955.1:IPI00851010.1:IPI00851086.1:IPI00853668.2:IPI00874682.1:IPI00874964.2:IPI00889899.1:</t>
  </si>
  <si>
    <t>DCY00876461.1:</t>
  </si>
  <si>
    <t>DCY00453913.5:</t>
  </si>
  <si>
    <t>IPI00403864.3:</t>
  </si>
  <si>
    <t>DCY00187335.1:</t>
  </si>
  <si>
    <t>IPI00664670.4:IPI00753917.2:</t>
  </si>
  <si>
    <t>DCY00457781.1:</t>
  </si>
  <si>
    <t>IPI00875188.3:</t>
  </si>
  <si>
    <t>DCY00720015.2:</t>
  </si>
  <si>
    <t>IPI00762710.3:</t>
  </si>
  <si>
    <t>IPI00312710.1:IPI00856684.2:IPI00857028.1:</t>
  </si>
  <si>
    <t>DCY00119153.2:</t>
  </si>
  <si>
    <t>IPI00320188.5:</t>
  </si>
  <si>
    <t>IPI00115117.1:IPI00648759.2:</t>
  </si>
  <si>
    <t>IPI00127323.1:IPI00346515.3:IPI00403473.1:IPI00459188.1:IPI00462043.2:IPI00474248.2:IPI00480480.1:IPI00652210.1:IPI00653946.1:IPI00828372.1:IPI00828512.1:IPI00828705.1:IPI00828757.1:</t>
  </si>
  <si>
    <t>IPI00380399.2:IPI00453823.3:</t>
  </si>
  <si>
    <t>IPI00130240.1:</t>
  </si>
  <si>
    <t>IPI00126389.2:IPI00675666.1:</t>
  </si>
  <si>
    <t>IPI00108775.3:</t>
  </si>
  <si>
    <t>DCY00112941.1:</t>
  </si>
  <si>
    <t>IPI00459792.3:</t>
  </si>
  <si>
    <t>DCY00127874.1:</t>
  </si>
  <si>
    <t>IPI00316214.3:IPI00653975.1:</t>
  </si>
  <si>
    <t>IPI00319079.3:</t>
  </si>
  <si>
    <t>IPI00127406.1:</t>
  </si>
  <si>
    <t>DCY00128318.1:</t>
  </si>
  <si>
    <t>IPI00848565.1:</t>
  </si>
  <si>
    <t>IPI00128818.2:IPI00775838.1:</t>
  </si>
  <si>
    <t>IPI00123588.1:</t>
  </si>
  <si>
    <t>IPI00667973.3:</t>
  </si>
  <si>
    <t>IPI00466820.4:IPI00475203.1:IPI00621229.1:IPI00828628.2:IPI00849948.1:</t>
  </si>
  <si>
    <t>IPI00120886.3:IPI00121311.1:IPI00131034.1:IPI00136146.3:IPI00274739.1:IPI00330591.1:IPI00474439.1:IPI00553286.3:IPI00623394.4:IPI00753114.1:IPI00849342.1:IPI00849786.1:</t>
  </si>
  <si>
    <t>IPI00458282.1:</t>
  </si>
  <si>
    <t>IPI00467223.1:</t>
  </si>
  <si>
    <t>IPI00115366.3:</t>
  </si>
  <si>
    <t>DCY00831242.1:</t>
  </si>
  <si>
    <t>IPI00230660.5:IPI00749889.1:IPI00849417.1:IPI00850815.1:IPI00857288.1:IPI00857457.1:IPI00857931.1:</t>
  </si>
  <si>
    <t>DCY00118959.3:</t>
  </si>
  <si>
    <t>IPI00130665.1:IPI00223448.1:IPI00750644.1:IPI00754176.1:</t>
  </si>
  <si>
    <t>IPI00226275.2:IPI00756773.1:IPI00874814.1:</t>
  </si>
  <si>
    <t>IPI00404340.1:IPI00410916.1:IPI00453784.2:IPI00466621.1:IPI00751211.1:</t>
  </si>
  <si>
    <t>DCY00671404.3:</t>
  </si>
  <si>
    <t>IPI00131871.1:IPI00857784.1:</t>
  </si>
  <si>
    <t>IPI00309035.2:</t>
  </si>
  <si>
    <t>IPI00230584.2:IPI00653570.2:IPI00754131.1:IPI00755198.1:IPI00757577.1:</t>
  </si>
  <si>
    <t>IPI00621468.3:IPI00751589.2:</t>
  </si>
  <si>
    <t>IPI00121892.9:IPI00319830.7:IPI00831369.1:</t>
  </si>
  <si>
    <t>DCY00127404.3:</t>
  </si>
  <si>
    <t>IPI00115701.1:IPI00154012.1:IPI00310914.1:IPI00403342.2:IPI00875696.1:IPI00884486.2:</t>
  </si>
  <si>
    <t>IPI00126048.2:IPI00844784.1:</t>
  </si>
  <si>
    <t>IPI00222538.2:IPI00894878.1:</t>
  </si>
  <si>
    <t>IPI00318548.3:</t>
  </si>
  <si>
    <t>IPI00336715.2:</t>
  </si>
  <si>
    <t>IPI00377342.2:</t>
  </si>
  <si>
    <t>IPI00273914.2:IPI00458717.3:</t>
  </si>
  <si>
    <t>IPI00119478.1:IPI00402982.2:IPI00845765.1:</t>
  </si>
  <si>
    <t>IPI00126048.2:</t>
  </si>
  <si>
    <t>DCY00849278.1:</t>
  </si>
  <si>
    <t>IPI00759948.1:</t>
  </si>
  <si>
    <t>DCY00341559.4:</t>
  </si>
  <si>
    <t>IPI00622738.2:IPI00652124.3:IPI00719984.1:IPI00742291.1:IPI00856667.1:IPI00875579.1:</t>
  </si>
  <si>
    <t>IPI00108279.3:</t>
  </si>
  <si>
    <t>DCY00469189.1:</t>
  </si>
  <si>
    <t>IPI00221945.1:IPI00875813.1:IPI00895068.1:</t>
  </si>
  <si>
    <t>DCY00623629.2:</t>
  </si>
  <si>
    <t>IPI00123465.1:IPI00317701.2:IPI00856675.1:</t>
  </si>
  <si>
    <t>IPI00828816.2:</t>
  </si>
  <si>
    <t>IPI00222549.6:IPI00283156.1:IPI00463886.1:IPI00553826.3:IPI00850777.1:</t>
  </si>
  <si>
    <t>IPI00555059.2:IPI00754071.1:IPI00758024.1:</t>
  </si>
  <si>
    <t>IPI00380009.1:IPI00460291.2:</t>
  </si>
  <si>
    <t>IPI00313998.1:IPI00750524.1:</t>
  </si>
  <si>
    <t>IPI00134522.2:IPI00420559.5:IPI00653238.3:IPI00845786.1:</t>
  </si>
  <si>
    <t>IPI00120954.2:IPI00124287.1:IPI00137145.1:IPI00172364.1:IPI00331552.4:IPI00420950.3:IPI00648982.1:IPI00649252.1:IPI00653624.1:IPI00666636.2:IPI00756383.1:</t>
  </si>
  <si>
    <t>IPI00123181.3:IPI00788324.1:</t>
  </si>
  <si>
    <t>IPI00115528.3:IPI00776023.1:</t>
  </si>
  <si>
    <t>IPI00117348.4:IPI00117350.1:IPI00129028.1:IPI00665335.1:</t>
  </si>
  <si>
    <t>IPI00340860.5:IPI00850110.1:IPI00850587.1:</t>
  </si>
  <si>
    <t>IPI00626662.3:</t>
  </si>
  <si>
    <t>IPI00133066.3:IPI00318982.3:IPI00875470.1:</t>
  </si>
  <si>
    <t>IPI00118899.1:IPI00136701.1:IPI00331664.3:IPI00380436.1:IPI00387557.3:IPI00775849.2:IPI00830549.1:IPI00830639.1:</t>
  </si>
  <si>
    <t>IPI00315488.1:</t>
  </si>
  <si>
    <t>IPI00118413.2:IPI00669935.3:</t>
  </si>
  <si>
    <t>IPI00222228.5:</t>
  </si>
  <si>
    <t>IPI00111265.3:IPI00330063.6:IPI00653841.1:IPI00848950.1:IPI00857651.1:IPI00877182.1:IPI00881762.1:</t>
  </si>
  <si>
    <t>IPI00133066.3:IPI00650011.1:IPI00875470.1:</t>
  </si>
  <si>
    <t>IPI00261455.5:IPI00377441.3:IPI00658829.1:IPI00674601.1:IPI00754798.1:</t>
  </si>
  <si>
    <t>IPI00263313.1:</t>
  </si>
  <si>
    <t>IPI00124287.1:IPI00226644.2:IPI00331552.4:</t>
  </si>
  <si>
    <t>IPI00469103.1:IPI00620145.1:IPI00666196.1:</t>
  </si>
  <si>
    <t>IPI00417153.3:IPI00417154.3:IPI00417155.1:IPI00626707.3:IPI00855179.1:</t>
  </si>
  <si>
    <t>IPI00115992.1:IPI00137735.1:IPI00605858.2:IPI00677917.1:IPI00848593.1:IPI00850188.1:</t>
  </si>
  <si>
    <t>IPI00464378.3:IPI00474238.2:IPI00756441.1:IPI00808554.1:IPI00828443.1:IPI00828602.1:IPI00828743.1:IPI00828793.9:IPI00828887.1:IPI00830245.1:IPI00831684.1:IPI00850020.1:IPI00853676.1:</t>
  </si>
  <si>
    <t>IPI00230044.5:IPI00459570.1:IPI00474756.1:IPI00880679.1:IPI00881945.1:</t>
  </si>
  <si>
    <t>IPI00135640.1:IPI00462789.1:</t>
  </si>
  <si>
    <t>IPI00125091.1:IPI00648086.1:IPI00648482.1:IPI00648767.1:IPI00649088.1:IPI00649199.1:IPI00649463.1:IPI00649913.1:</t>
  </si>
  <si>
    <t>IPI00312018.6:</t>
  </si>
  <si>
    <t>IPI00319830.7:</t>
  </si>
  <si>
    <t>IPI00123129.1:</t>
  </si>
  <si>
    <t>IPI00663627.1:</t>
  </si>
  <si>
    <t>IPI00133126.1:</t>
  </si>
  <si>
    <t>IPI00677367.3:IPI00750771.2:</t>
  </si>
  <si>
    <t>IPI00139780.1:IPI00648121.1:IPI00849782.1:</t>
  </si>
  <si>
    <t>IPI00336318.1:</t>
  </si>
  <si>
    <t>IPI00854013.1:</t>
  </si>
  <si>
    <t>IPI00133374.5:IPI00474373.1:</t>
  </si>
  <si>
    <t>DCY00113824.1:</t>
  </si>
  <si>
    <t>DCY00844793.1:</t>
  </si>
  <si>
    <t>DCY00830393.1:</t>
  </si>
  <si>
    <t>IPI00110753.1:IPI00117348.4:IPI00129028.1:IPI00403810.2:IPI00466390.1:IPI00473667.1:IPI00665335.1:</t>
  </si>
  <si>
    <t>DCY00650002.2:</t>
  </si>
  <si>
    <t>IPI00111448.1:</t>
  </si>
  <si>
    <t>DCY00227906.1:</t>
  </si>
  <si>
    <t>DCY00473912.4:</t>
  </si>
  <si>
    <t>IPI00408085.6:IPI00849172.1:</t>
  </si>
  <si>
    <t>DCY00122717.1:</t>
  </si>
  <si>
    <t>IPI00121093.1:IPI00606668.4:IPI00775794.1:IPI00775818.1:IPI00775984.1:IPI00776227.1:IPI00776279.3:IPI00808293.1:IPI00830651.1:IPI00830854.2:IPI00831016.1:IPI00831602.2:IPI00867858.1:IPI00885291.1:</t>
  </si>
  <si>
    <t>DCY00830725.1:</t>
  </si>
  <si>
    <t>DCY00226790.2:</t>
  </si>
  <si>
    <t>DCY00626726.1:</t>
  </si>
  <si>
    <t>IPI00330314.3:IPI00555105.1:</t>
  </si>
  <si>
    <t>IPI00651962.1:</t>
  </si>
  <si>
    <t>DCY00655015.1:</t>
  </si>
  <si>
    <t>IPI00133440.1:</t>
  </si>
  <si>
    <t>DCY00230644.1:</t>
  </si>
  <si>
    <t>DCY00885322.1:</t>
  </si>
  <si>
    <t>DCY00850631.1:</t>
  </si>
  <si>
    <t>IPI00604969.3:IPI00749707.1:IPI00756257.1:</t>
  </si>
  <si>
    <t>DCY00229538.3:</t>
  </si>
  <si>
    <t>DCY00874639.1:</t>
  </si>
  <si>
    <t>IPI00223592.1:</t>
  </si>
  <si>
    <t>DCY00828969.1:</t>
  </si>
  <si>
    <t>DCY00229904.3:</t>
  </si>
  <si>
    <t>IPI00649292.1:</t>
  </si>
  <si>
    <t>DCY00849947.1:</t>
  </si>
  <si>
    <t>DCY00222414.5:</t>
  </si>
  <si>
    <t>DCY00281565.4:</t>
  </si>
  <si>
    <t>DCY00469163.4:</t>
  </si>
  <si>
    <t>DCY00468273.4:</t>
  </si>
  <si>
    <t>IPI00318154.2:IPI00409825.1:</t>
  </si>
  <si>
    <t>DCY00471042.2:</t>
  </si>
  <si>
    <t>IPI00109812.3:IPI00605833.2:IPI00757951.3:</t>
  </si>
  <si>
    <t>IPI00420483.4:IPI00457619.2:</t>
  </si>
  <si>
    <t>IPI00227720.3:IPI00856442.1:IPI00856853.1:</t>
  </si>
  <si>
    <t>IPI00331318.2:IPI00652776.2:IPI00881289.3:</t>
  </si>
  <si>
    <t>DCY00831535.1:</t>
  </si>
  <si>
    <t>IPI00626760.3:</t>
  </si>
  <si>
    <t>DCY00109932.1:</t>
  </si>
  <si>
    <t>IPI00122559.3:IPI00407517.2:IPI00473546.4:IPI00759851.1:IPI00759887.1:IPI00759913.1:IPI00759916.1:IPI00759936.1:IPI00759943.1:IPI00759952.1:IPI00759972.1:IPI00760003.1:IPI00760049.1:IPI00760053.1:IPI00760076.1:IPI00760078.1:</t>
  </si>
  <si>
    <t>IPI00346619.2:</t>
  </si>
  <si>
    <t>DCY00420257.4:</t>
  </si>
  <si>
    <t>DCY00678117.3:</t>
  </si>
  <si>
    <t>IPI00125091.1:IPI00648086.1:IPI00648767.1:IPI00649088.1:IPI00649463.1:IPI00649913.1:</t>
  </si>
  <si>
    <t>IPI00121314.2:</t>
  </si>
  <si>
    <t>IPI00130187.1:IPI00228525.2:IPI00228526.3:IPI00828950.1:</t>
  </si>
  <si>
    <t>IPI00227971.1:</t>
  </si>
  <si>
    <t>IPI00122690.3:</t>
  </si>
  <si>
    <t>DCY00309481.1:</t>
  </si>
  <si>
    <t>DCY00660406.2:</t>
  </si>
  <si>
    <t>IPI00858117.1:</t>
  </si>
  <si>
    <t>DCY00653847.1:</t>
  </si>
  <si>
    <t>IPI00471071.3:IPI00856713.1:</t>
  </si>
  <si>
    <t>DCY00607967.1:</t>
  </si>
  <si>
    <t>DCY00403665.1:</t>
  </si>
  <si>
    <t>IPI00127267.4:</t>
  </si>
  <si>
    <t>DCY00135756.1:</t>
  </si>
  <si>
    <t>DCY00403361.1:</t>
  </si>
  <si>
    <t>IPI00331088.1:</t>
  </si>
  <si>
    <t>IPI00323705.2:IPI00775830.1:</t>
  </si>
  <si>
    <t>DCY00466610.5:</t>
  </si>
  <si>
    <t>IPI00420726.3:IPI00856235.1:IPI00857782.1:IPI00858267.1:IPI00880750.1:</t>
  </si>
  <si>
    <t>DCY00323015.2:</t>
  </si>
  <si>
    <t>IPI00117371.5:IPI00379355.4:IPI00381715.5:IPI00666526.3:</t>
  </si>
  <si>
    <t>IPI00620073.3:IPI00624649.2:</t>
  </si>
  <si>
    <t>IPI00467127.4:</t>
  </si>
  <si>
    <t>DCY00556794.1:</t>
  </si>
  <si>
    <t>IPI00139788.2:</t>
  </si>
  <si>
    <t>IPI00113241.7:IPI00125787.4:IPI00665513.3:IPI00875584.1:IPI00889836.1:</t>
  </si>
  <si>
    <t>DCY00742275.1:</t>
  </si>
  <si>
    <t>IPI00265380.4:</t>
  </si>
  <si>
    <t>IPI00458765.2:</t>
  </si>
  <si>
    <t>IPI00453996.1:IPI00608077.3:</t>
  </si>
  <si>
    <t>DCY00109293.1:</t>
  </si>
  <si>
    <t>DCY00130449.1:</t>
  </si>
  <si>
    <t>DCY00228150.1:</t>
  </si>
  <si>
    <t>DCY00851101.1:</t>
  </si>
  <si>
    <t>IPI00310240.4:IPI00554894.2:IPI00649152.3:IPI00875218.1:</t>
  </si>
  <si>
    <t>IPI00126124.2:IPI00653485.1:</t>
  </si>
  <si>
    <t>DCY00396685.1:</t>
  </si>
  <si>
    <t>DCY00223373.1:</t>
  </si>
  <si>
    <t>IPI00355808.4:IPI00652652.1:IPI00653037.1:IPI00848371.1:</t>
  </si>
  <si>
    <t>IPI00114232.1:IPI00137668.1:IPI00458262.2:IPI00556893.3:IPI00850738.1:IPI00874694.1:</t>
  </si>
  <si>
    <t>IPI00387227.1:IPI00403723.3:IPI00756529.1:IPI00807733.1:</t>
  </si>
  <si>
    <t>DCY00655040.1:</t>
  </si>
  <si>
    <t>DCY00652600.3:</t>
  </si>
  <si>
    <t>DCY00331614.7:</t>
  </si>
  <si>
    <t>IPI00225961.5:</t>
  </si>
  <si>
    <t>DCY00153517.1:</t>
  </si>
  <si>
    <t>IPI00116074.1:</t>
  </si>
  <si>
    <t>IPI00131000.1:</t>
  </si>
  <si>
    <t>IPI00123557.3:IPI00856697.1:</t>
  </si>
  <si>
    <t>IPI00124709.3:IPI00173160.3:IPI00848859.1:</t>
  </si>
  <si>
    <t>IPI00115117.1:IPI00649391.2:</t>
  </si>
  <si>
    <t>IPI00624988.4:</t>
  </si>
  <si>
    <t>IPI00225961.5:IPI00885925.1:</t>
  </si>
  <si>
    <t>IPI00830223.1:IPI00830333.1:IPI00831330.1:IPI00831423.1:IPI00831431.1:IPI00831626.1:</t>
  </si>
  <si>
    <t>IPI00454049.4:</t>
  </si>
  <si>
    <t>IPI00130160.3:IPI00652305.1:IPI00798508.1:</t>
  </si>
  <si>
    <t>IPI00114894.1:IPI00123181.3:IPI00227865.1:IPI00453996.1:IPI00473597.1:IPI00608077.3:IPI00788324.1:IPI00876408.1:</t>
  </si>
  <si>
    <t>IPI00123316.1:IPI00123319.1:IPI00169707.2:IPI00227835.1:IPI00227918.2:IPI00230044.5:IPI00278611.7:IPI00403987.2:IPI00404662.2:IPI00459570.1:IPI00474756.1:IPI00830223.1:IPI00830333.1:IPI00830427.1:IPI00830533.1:IPI00830604.1:IPI00830701.1:IPI00830704.1:IPI00830884.1:IPI00831330.1:IPI00831423.1:IPI00831431.1:IPI00831626.1:IPI00874728.1:IPI00880679.1:IPI00881945.1:</t>
  </si>
  <si>
    <t>IPI00153743.1:IPI00222763.1:IPI00474169.2:</t>
  </si>
  <si>
    <t>DCY00604969.3:</t>
  </si>
  <si>
    <t>DCY00672703.4:</t>
  </si>
  <si>
    <t>DCY00625316.2:</t>
  </si>
  <si>
    <t>DCY00751694.2:</t>
  </si>
  <si>
    <t>DCY00551234.6:</t>
  </si>
  <si>
    <t>IPI00351252.4:</t>
  </si>
  <si>
    <t>IPI00749825.1:</t>
  </si>
  <si>
    <t>DCY00114254.8:</t>
  </si>
  <si>
    <t>DCY00849661.1:</t>
  </si>
  <si>
    <t>IPI00125142.2:IPI00671405.2:</t>
  </si>
  <si>
    <t>DCY00474038.1:</t>
  </si>
  <si>
    <t>IPI00856205.1:</t>
  </si>
  <si>
    <t>DCY00830976.1:</t>
  </si>
  <si>
    <t>DCY00752312.1:</t>
  </si>
  <si>
    <t>DCY00124182.1:</t>
  </si>
  <si>
    <t>DCY00849231.1:</t>
  </si>
  <si>
    <t>DCY00153784.1:</t>
  </si>
  <si>
    <t>IPI00109061.1:IPI00109073.5:IPI00112251.1:IPI00117352.1:IPI00122928.1:IPI00169463.1:IPI00338039.1:IPI00458204.7:IPI00850173.1:</t>
  </si>
  <si>
    <t>IPI00136056.1:IPI00656215.1:</t>
  </si>
  <si>
    <t>DCY00230612.3:</t>
  </si>
  <si>
    <t>DCY00605455.4:</t>
  </si>
  <si>
    <t>IPI00553784.1:IPI00655088.2:IPI00856839.1:</t>
  </si>
  <si>
    <t>IPI00849505.1:IPI00880644.1:</t>
  </si>
  <si>
    <t>DCY00881115.1:</t>
  </si>
  <si>
    <t>DCY00652694.1:</t>
  </si>
  <si>
    <t>IPI00276914.1:IPI00461984.1:IPI00670955.1:</t>
  </si>
  <si>
    <t>DCY00162970.3:</t>
  </si>
  <si>
    <t>DCY00469012.3:</t>
  </si>
  <si>
    <t>DCY00120362.1:</t>
  </si>
  <si>
    <t>IPI00223926.1:</t>
  </si>
  <si>
    <t>DCY00762748.2:</t>
  </si>
  <si>
    <t>DCY00669851.3:</t>
  </si>
  <si>
    <t>DCY00352528.2:</t>
  </si>
  <si>
    <t>IPI00225235.1:</t>
  </si>
  <si>
    <t>DCY00761255.2:</t>
  </si>
  <si>
    <t>DCY00113512.1:</t>
  </si>
  <si>
    <t>DCY00313841.1:</t>
  </si>
  <si>
    <t>DCY00222542.2:</t>
  </si>
  <si>
    <t>DCY00128818.2:</t>
  </si>
  <si>
    <t>DCY00134794.1:</t>
  </si>
  <si>
    <t>IPI00119806.6:IPI00845539.1:</t>
  </si>
  <si>
    <t>IPI00124867.1:IPI00757854.1:IPI00849871.1:</t>
  </si>
  <si>
    <t>DCY00138319.3:</t>
  </si>
  <si>
    <t>DCY00153521.4:</t>
  </si>
  <si>
    <t>IPI00109910.4:IPI00153758.1:IPI00556780.1:IPI00606550.2:IPI00830619.1:</t>
  </si>
  <si>
    <t>IPI00133277.1:</t>
  </si>
  <si>
    <t>IPI00265701.2:</t>
  </si>
  <si>
    <t>DCY00466495.5:</t>
  </si>
  <si>
    <t>DCY00122687.1:</t>
  </si>
  <si>
    <t>DCY00378481.7:</t>
  </si>
  <si>
    <t>IPI00228858.3:IPI00855204.1:</t>
  </si>
  <si>
    <t>IPI00331422.4:IPI00410740.1:</t>
  </si>
  <si>
    <t>DCY00117162.1:</t>
  </si>
  <si>
    <t>IPI00323705.2:IPI00775830.1:IPI00775900.1:</t>
  </si>
  <si>
    <t>IPI00282930.6:</t>
  </si>
  <si>
    <t>DCY00844651.1:</t>
  </si>
  <si>
    <t>IPI00111218.1:</t>
  </si>
  <si>
    <t>IPI00125778.3:IPI00626106.3:</t>
  </si>
  <si>
    <t>DCY00880843.1:</t>
  </si>
  <si>
    <t>IPI00762897.2:</t>
  </si>
  <si>
    <t>IPI00108388.1:IPI00798468.1:</t>
  </si>
  <si>
    <t>IPI00463367.2:</t>
  </si>
  <si>
    <t>IPI00130759.3:</t>
  </si>
  <si>
    <t>DCY00408751.2:</t>
  </si>
  <si>
    <t>DCY00133580.1:</t>
  </si>
  <si>
    <t>DCY00751331.1:</t>
  </si>
  <si>
    <t>DCY00409823.2:</t>
  </si>
  <si>
    <t>IPI00885622.1:</t>
  </si>
  <si>
    <t>DCY00895350.1:</t>
  </si>
  <si>
    <t>DCY00126724.1:</t>
  </si>
  <si>
    <t>DCY00653721.2:</t>
  </si>
  <si>
    <t>DCY00857494.1:</t>
  </si>
  <si>
    <t>IPI00407130.4:IPI00845840.1:</t>
  </si>
  <si>
    <t>IPI00124695.1:IPI00228044.1:IPI00228045.1:IPI00405384.1:</t>
  </si>
  <si>
    <t>DCY00880980.1:</t>
  </si>
  <si>
    <t>IPI00230415.5:IPI00230416.5:IPI00407546.2:IPI00775852.1:IPI00881598.1:</t>
  </si>
  <si>
    <t>IPI00420316.2:IPI00468696.3:</t>
  </si>
  <si>
    <t>IPI00623897.3:IPI00749542.2:IPI00886009.1:</t>
  </si>
  <si>
    <t>DCY00857042.1:</t>
  </si>
  <si>
    <t>IPI00315879.1:IPI00462507.1:</t>
  </si>
  <si>
    <t>DCY00626950.2:</t>
  </si>
  <si>
    <t>IPI00466069.3:IPI00849291.1:</t>
  </si>
  <si>
    <t>DCY00229834.3:</t>
  </si>
  <si>
    <t>IPI00221798.1:IPI00894746.1:IPI00895423.1:</t>
  </si>
  <si>
    <t>DCY00474808.1:</t>
  </si>
  <si>
    <t>IPI00459797.3:</t>
  </si>
  <si>
    <t>IPI00229887.1:IPI00757917.1:</t>
  </si>
  <si>
    <t>IPI00123181.3:IPI00788324.1:IPI00830632.1:</t>
  </si>
  <si>
    <t>IPI00318935.2:IPI00462115.3:</t>
  </si>
  <si>
    <t>DCY00222750.7:</t>
  </si>
  <si>
    <t>IPI00408207.2:</t>
  </si>
  <si>
    <t>IPI00466518.2:IPI00473407.1:IPI00754344.2:</t>
  </si>
  <si>
    <t>IPI00126943.1:IPI00403229.1:IPI00473419.1:</t>
  </si>
  <si>
    <t>DCY00380550.5:</t>
  </si>
  <si>
    <t>DCY00856986.1:</t>
  </si>
  <si>
    <t>IPI00556914.2:</t>
  </si>
  <si>
    <t>IPI00320690.1:</t>
  </si>
  <si>
    <t>IPI00421108.2:IPI00626271.3:IPI00890287.2:</t>
  </si>
  <si>
    <t>IPI00121515.5:IPI00757359.1:IPI00757442.1:IPI00881332.1:</t>
  </si>
  <si>
    <t>DCY00330880.1:</t>
  </si>
  <si>
    <t>DCY00338328.4:</t>
  </si>
  <si>
    <t>IPI00132417.1:</t>
  </si>
  <si>
    <t>IPI00553419.3:IPI00849835.1:</t>
  </si>
  <si>
    <t>DCY00648926.2:</t>
  </si>
  <si>
    <t>DCY00475154.1:</t>
  </si>
  <si>
    <t>DCY00874421.1:</t>
  </si>
  <si>
    <t>IPI00315759.2:IPI00396726.2:IPI00875479.1:IPI00895445.1:</t>
  </si>
  <si>
    <t>IPI00138892.2:IPI00139518.3:IPI00470152.2:IPI00621468.3:IPI00649896.1:IPI00660718.1:IPI00750889.3:IPI00751589.2:IPI00755353.2:IPI00755916.3:IPI00758106.1:IPI00848548.1:IPI00850795.1:IPI00890072.1:IPI00895319.1:IPI00895479.1:</t>
  </si>
  <si>
    <t>DCY00453559.1:</t>
  </si>
  <si>
    <t>DCY00226219.1:</t>
  </si>
  <si>
    <t>DCY00757330.1:</t>
  </si>
  <si>
    <t>DCY00850886.1:</t>
  </si>
  <si>
    <t>DCY00407931.2:</t>
  </si>
  <si>
    <t>IPI00154012.1:IPI00222152.1:IPI00403342.2:IPI00875696.1:</t>
  </si>
  <si>
    <t>IPI00170232.2:</t>
  </si>
  <si>
    <t>DCY00405550.1:</t>
  </si>
  <si>
    <t>IPI00124625.2:IPI00653162.1:</t>
  </si>
  <si>
    <t>IPI00230044.5:IPI00459570.1:IPI00880679.1:IPI00881945.1:</t>
  </si>
  <si>
    <t>IPI00116649.1:IPI00119111.2:IPI00830538.1:</t>
  </si>
  <si>
    <t>IPI00273803.4:IPI00379391.2:IPI00462237.4:IPI00473532.1:IPI00667252.1:IPI00762221.2:IPI00850320.1:IPI00856349.1:IPI00874692.1:</t>
  </si>
  <si>
    <t>IPI00116031.3:IPI00776254.1:IPI00875654.1:</t>
  </si>
  <si>
    <t>DCY00848801.1:</t>
  </si>
  <si>
    <t>DCY00828253.1:</t>
  </si>
  <si>
    <t>IPI00553419.3:IPI00668429.1:IPI00849835.1:</t>
  </si>
  <si>
    <t>IPI00113539.2:IPI00352163.3:IPI00652813.1:</t>
  </si>
  <si>
    <t>IPI00351485.8:IPI00673923.3:</t>
  </si>
  <si>
    <t>DCY00828822.2:</t>
  </si>
  <si>
    <t>IPI00322206.2:</t>
  </si>
  <si>
    <t>IPI00340103.1:IPI00403956.1:IPI00474637.4:IPI00775915.1:IPI00849598.1:</t>
  </si>
  <si>
    <t>IPI00230365.5:IPI00468696.3:</t>
  </si>
  <si>
    <t>IPI00122743.1:IPI00222457.2:</t>
  </si>
  <si>
    <t>IPI00461014.1:IPI00473485.1:IPI00874972.1:IPI00875721.1:</t>
  </si>
  <si>
    <t>IPI00222760.1:IPI00480440.1:IPI00480507.1:</t>
  </si>
  <si>
    <t>IPI00229080.7:IPI00330804.4:IPI00554929.2:</t>
  </si>
  <si>
    <t>IPI00131871.1:</t>
  </si>
  <si>
    <t>IPI00135996.4:IPI00828720.2:</t>
  </si>
  <si>
    <t>DCY00111733.2:</t>
  </si>
  <si>
    <t>IPI00830478.1:</t>
  </si>
  <si>
    <t>IPI00118736.3:</t>
  </si>
  <si>
    <t>IPI00329843.4:IPI00889914.1:</t>
  </si>
  <si>
    <t>IPI00311892.1:IPI00658247.3:</t>
  </si>
  <si>
    <t>IPI00134095.3:</t>
  </si>
  <si>
    <t>IPI00315759.2:IPI00396726.2:IPI00875479.1:</t>
  </si>
  <si>
    <t>IPI00321647.2:IPI00849863.1:</t>
  </si>
  <si>
    <t>IPI00126635.1:</t>
  </si>
  <si>
    <t>IPI00129479.3:</t>
  </si>
  <si>
    <t>IPI00117610.2:IPI00122413.2:IPI00275118.4:IPI00407917.1:IPI00473762.1:IPI00756253.2:IPI00881026.1:</t>
  </si>
  <si>
    <t>IPI00128202.1:IPI00457995.3:</t>
  </si>
  <si>
    <t>IPI00663627.1:IPI00664670.4:IPI00753917.2:</t>
  </si>
  <si>
    <t>IPI00314467.3:IPI00379974.4:IPI00475139.1:</t>
  </si>
  <si>
    <t>IPI00457661.5:</t>
  </si>
  <si>
    <t>IPI00407130.4:</t>
  </si>
  <si>
    <t>Carbamidomethyl (C) {2}</t>
  </si>
  <si>
    <t>Oxidation (M) {4}</t>
  </si>
  <si>
    <t>Carbamidomethyl (C) {7}</t>
  </si>
  <si>
    <t>Carbamidomethyl (C) {1}</t>
  </si>
  <si>
    <t>Carbamidomethyl (C) {9,13}</t>
  </si>
  <si>
    <t>Carbamidomethyl (C) {9}</t>
  </si>
  <si>
    <t>Oxidation (M) {5}</t>
  </si>
  <si>
    <t>Carbamidomethyl (C) {2,8}</t>
  </si>
  <si>
    <t>Carbamidomethyl (C) {4}</t>
  </si>
  <si>
    <t>Carbamidomethyl (C) {3}</t>
  </si>
  <si>
    <t>Oxidation (M) {9}</t>
  </si>
  <si>
    <t>Oxidation (M) {8}</t>
  </si>
  <si>
    <t>Carbamidomethyl (C) {4,7}</t>
  </si>
  <si>
    <t>Carbamidomethyl (C) {6}</t>
  </si>
  <si>
    <t>Gln-&gt;pyro-Glu (N-term Q) {N_Term}</t>
  </si>
  <si>
    <t>Carbamidomethyl (C) {5}</t>
  </si>
  <si>
    <t>Carbamidomethyl (C) {13}</t>
  </si>
  <si>
    <t>Oxidation (M) {14}</t>
  </si>
  <si>
    <t>Oxidation (M) {1}</t>
  </si>
  <si>
    <t>Carbamidomethyl (C) {14}</t>
  </si>
  <si>
    <t>Oxidation (M) {6}</t>
  </si>
  <si>
    <t>Carbamidomethyl (C) {4,12}</t>
  </si>
  <si>
    <t>Oxidation (M) {13}</t>
  </si>
  <si>
    <t>Carbamidomethyl (C) {1,16}</t>
  </si>
  <si>
    <t>Carbamidomethyl (C) {11}</t>
  </si>
  <si>
    <t>Oxidation (M) {7}</t>
  </si>
  <si>
    <t>Carbamidomethyl (C) {1,2}</t>
  </si>
  <si>
    <t>Oxidation (M) {2}</t>
  </si>
  <si>
    <t>Carbamidomethyl (C) {12}</t>
  </si>
  <si>
    <t>Oxidation (M) {10}</t>
  </si>
  <si>
    <t>Oxidation (M) {3}</t>
  </si>
  <si>
    <t>Gln-&gt;pyro-Glu (N-term Q) {N_Term} + Oxidation (M) {13}</t>
  </si>
  <si>
    <t>Carbamidomethyl (C) {19}</t>
  </si>
  <si>
    <t>Carbamidomethyl (C) {8}</t>
  </si>
  <si>
    <t>Carbamidomethyl (C) {12,13}</t>
  </si>
  <si>
    <t>Oxidation (M) {12}</t>
  </si>
  <si>
    <t>Carbamidomethyl (C) {10}</t>
  </si>
  <si>
    <t>Oxidation (M) {11}</t>
  </si>
  <si>
    <t>Oxidation (M) {5,8}</t>
  </si>
  <si>
    <t>Carbamidomethyl (C) {7,11}</t>
  </si>
  <si>
    <t>Oxidation (M) {1,8,11}</t>
  </si>
  <si>
    <t>Gln-&gt;pyro-Glu (N-term Q) {N_Term} + Oxidation (M) {11}</t>
  </si>
  <si>
    <t>Carbamidomethyl (C) {4,5,9}</t>
  </si>
  <si>
    <t>Carbamidomethyl (C) {5,12}</t>
  </si>
  <si>
    <t>Carbamidomethyl (C) {5,8}</t>
  </si>
  <si>
    <t>Carbamidomethyl (C) {18}</t>
  </si>
  <si>
    <t>Oxidation (M) {4,28}</t>
  </si>
  <si>
    <t>Carbamidomethyl (C) {5,6}</t>
  </si>
  <si>
    <t>Oxidation (M) {15}</t>
  </si>
  <si>
    <t>Carbamidomethyl (C) {6,15}</t>
  </si>
  <si>
    <t>Carbamidomethyl (C) {4,8}</t>
  </si>
  <si>
    <t>Carbamidomethyl (C) {16}</t>
  </si>
  <si>
    <t>Carbamidomethyl (C) {2,6}</t>
  </si>
  <si>
    <t>Carbamidomethyl (C) {3,4}</t>
  </si>
  <si>
    <t>Carbamidomethyl (C) {15}</t>
  </si>
  <si>
    <t>Carbamidomethyl (C) {3,18}</t>
  </si>
  <si>
    <t>Oxidation (M) {4,13}</t>
  </si>
  <si>
    <t>Carbamidomethyl (C) {8,9}</t>
  </si>
  <si>
    <t>Oxidation (M) {5,12}</t>
  </si>
  <si>
    <t>Gln-&gt;pyro-Glu (N-term Q) {N_Term} + Oxidation (M) {10}</t>
  </si>
  <si>
    <t>Oxidation (M) {6,7}</t>
  </si>
  <si>
    <t>Carbamidomethyl (C) {7,10}</t>
  </si>
  <si>
    <t>Oxidation (M) {1,10}</t>
  </si>
  <si>
    <t>Oxidation (M) {2,3}</t>
  </si>
  <si>
    <t>Carbamidomethyl (C) {26}</t>
  </si>
  <si>
    <t>Carbamidomethyl (C) {28}</t>
  </si>
  <si>
    <t>Gln-&gt;pyro-Glu (N-term Q) {N_Term} + Oxidation (M) {14}</t>
  </si>
  <si>
    <t>Carbamidomethyl (C) {3,11}</t>
  </si>
  <si>
    <t>Gln-&gt;pyro-Glu (N-term Q) {N_Term} + Oxidation (M) {8}</t>
  </si>
  <si>
    <t>Carbamidomethyl (C) {6,22}</t>
  </si>
  <si>
    <t>Carbamidomethyl (C) {5,10}</t>
  </si>
  <si>
    <t>Gln-&gt;pyro-Glu (N-term Q) {N_Term} + Oxidation (M) {7}</t>
  </si>
  <si>
    <t>Carbamidomethyl (C) {11,16}</t>
  </si>
  <si>
    <t>Oxidation (M) {19}</t>
  </si>
  <si>
    <t>Oxidation (M) {5,6}</t>
  </si>
  <si>
    <t>Carbamidomethyl (C) {7,20}</t>
  </si>
  <si>
    <t>Carbamidomethyl (C) {17}</t>
  </si>
  <si>
    <t>Carbamidomethyl (C) {2,9,12}</t>
  </si>
  <si>
    <t>Carbamidomethyl (C) {14,15}</t>
  </si>
  <si>
    <t>Oxidation (M) {7,8}</t>
  </si>
  <si>
    <t>Carbamidomethyl (C) {2,15}</t>
  </si>
  <si>
    <t>Oxidation (M) {17}</t>
  </si>
  <si>
    <t>Carbamidomethyl (C) {2,5}</t>
  </si>
  <si>
    <t>Oxidation (M) {2,8}</t>
  </si>
  <si>
    <t>Oxidation (M) {4,10}</t>
  </si>
  <si>
    <t>Oxidation (M) {2,9}</t>
  </si>
  <si>
    <t>Oxidation (M) {3,6}</t>
  </si>
  <si>
    <t>Gln-&gt;pyro-Glu (N-term Q) {N_Term} + Oxidation (M) {5}</t>
  </si>
  <si>
    <t>Oxidation (M) {1,2}</t>
  </si>
  <si>
    <t>Oxidation (M) {16}</t>
  </si>
  <si>
    <t>Carbamidomethyl (C) {9,10}</t>
  </si>
  <si>
    <t>Carbamidomethyl (C) {2,10}</t>
  </si>
  <si>
    <t>Carbamidomethyl (C) {22}</t>
  </si>
  <si>
    <t>Carbamidomethyl (C) {1,12}</t>
  </si>
  <si>
    <t>Exp. 1 DF</t>
    <phoneticPr fontId="2"/>
  </si>
  <si>
    <t>EAMHMPTTMEDFEMALK</t>
  </si>
  <si>
    <t>LAGESESNLR</t>
  </si>
  <si>
    <t>ETAAAHQASSSPPIDAATAEPYGFR</t>
  </si>
  <si>
    <t>AKAGTFFGYPLK</t>
  </si>
  <si>
    <t>DTINTSCDIELLAACR</t>
  </si>
  <si>
    <t>TTPPSVYPLAPGSAAQTNSMVTLGCLVK</t>
  </si>
  <si>
    <t>SLMNLGGGRSISK</t>
  </si>
  <si>
    <t>FLKGGSEK</t>
  </si>
  <si>
    <t>FRQECNVPTFK</t>
  </si>
  <si>
    <t>GGVDQKMPLVVSR</t>
  </si>
  <si>
    <t>MENSAGLIKR</t>
  </si>
  <si>
    <t>QQETAAAETETR</t>
  </si>
  <si>
    <t>NVDVEFFK</t>
  </si>
  <si>
    <t>NKNPAPPLDAVEQILPTLVR</t>
  </si>
  <si>
    <t>DDPEVQFSWFVDDVEVHTAQTQPR</t>
  </si>
  <si>
    <t>LGNTISSLFGGGTSSDAK</t>
  </si>
  <si>
    <t>LMGGQAFISCQPLK</t>
  </si>
  <si>
    <t>LASLQQENK</t>
  </si>
  <si>
    <t>GTKEVEER</t>
  </si>
  <si>
    <t>VKTVISPR</t>
  </si>
  <si>
    <t>ECCHGDLLECADDR</t>
  </si>
  <si>
    <t>SEPSLPFFEGEALK</t>
  </si>
  <si>
    <t>AAQLQHSEK</t>
  </si>
  <si>
    <t>KLQIQCVVEDDK</t>
  </si>
  <si>
    <t>VLNALKPEK</t>
  </si>
  <si>
    <t>ELQETQQER</t>
  </si>
  <si>
    <t>SVNFSLTPNEIK</t>
  </si>
  <si>
    <t>LFVHPPPQAKSDK</t>
  </si>
  <si>
    <t>GGGDRYEDR</t>
  </si>
  <si>
    <t>LECQLPRTTASQK</t>
  </si>
  <si>
    <t>QENTYLAQVITIR</t>
  </si>
  <si>
    <t>VDVSPTSQR</t>
  </si>
  <si>
    <t>ITFTGEADQAPGVEPGDIVLLLQEK</t>
  </si>
  <si>
    <t>EYEDEIDCLQK</t>
  </si>
  <si>
    <t>VLIFQEESEIPASVFVK</t>
  </si>
  <si>
    <t>YLEAGAAGLR</t>
  </si>
  <si>
    <t>YESLTDPSK</t>
  </si>
  <si>
    <t>QLCGGSQAAIER</t>
  </si>
  <si>
    <t>YLAEVASGEK</t>
  </si>
  <si>
    <t>YQVLVEMFR</t>
  </si>
  <si>
    <t>YPGPLAQQAQR</t>
  </si>
  <si>
    <t>TPGTPGTPSYPR</t>
  </si>
  <si>
    <t>MEEFKDQLPADECNK</t>
  </si>
  <si>
    <t>KIDLSHVTSK</t>
  </si>
  <si>
    <t>KSDGIYIINLK</t>
  </si>
  <si>
    <t>RPFVEEAER</t>
  </si>
  <si>
    <t>TGVIQTSTEQSFSK</t>
  </si>
  <si>
    <t>KVQIEGDDLLVDLQHEDPAMVVIR</t>
  </si>
  <si>
    <t>SGILVPSEK</t>
  </si>
  <si>
    <t>SGILPILVHCLER</t>
  </si>
  <si>
    <t>ASLTLFCPEEGDWK</t>
  </si>
  <si>
    <t>LAAVTALR</t>
  </si>
  <si>
    <t>DSDIQQLQK</t>
  </si>
  <si>
    <t>LLHEVQELTTEVEK</t>
  </si>
  <si>
    <t>DSLDPSFTHAMQLLSVEIEK</t>
  </si>
  <si>
    <t>LTAALLESTANVK</t>
  </si>
  <si>
    <t>SICLTPSPGGLVAPAFTR</t>
  </si>
  <si>
    <t>LWDDQLASQTSSCGPEANENK</t>
  </si>
  <si>
    <t>ILGPQGNTIK</t>
  </si>
  <si>
    <t>ESEEDKFPVCIR</t>
  </si>
  <si>
    <t>WGTMLWVQGGGGIDISIPR</t>
  </si>
  <si>
    <t>ILDLQLEDNK</t>
  </si>
  <si>
    <t>QELVSTNVLK</t>
  </si>
  <si>
    <t>QMQTHFLALK</t>
  </si>
  <si>
    <t>DLTGQVPTPPVK</t>
  </si>
  <si>
    <t>KDMEVPGPLLK</t>
  </si>
  <si>
    <t>AGGDAADGSQPALDNK</t>
  </si>
  <si>
    <t>GSVAYHADDGK</t>
  </si>
  <si>
    <t>TPALVFEHVNNTDFK</t>
  </si>
  <si>
    <t>NDGMSGDLAGLQNGSDLQFIEMQR</t>
  </si>
  <si>
    <t>DTVQVELIPEKK</t>
  </si>
  <si>
    <t>FYEEVHDLER</t>
  </si>
  <si>
    <t>EPPPSPMVK</t>
  </si>
  <si>
    <t>VLSQATPAMAGEAELATDQQER</t>
  </si>
  <si>
    <t>IKDPVLFVSGSADEMCEK</t>
  </si>
  <si>
    <t>LKQENLTLR</t>
  </si>
  <si>
    <t>EIDDVYEK</t>
  </si>
  <si>
    <t>TPEDGGYTCEITEK</t>
  </si>
  <si>
    <t>YLSEVASGENK</t>
  </si>
  <si>
    <t>APVTKELLK</t>
  </si>
  <si>
    <t>FPSLLTHNENMVAK</t>
  </si>
  <si>
    <t>EVGMQGLLK</t>
  </si>
  <si>
    <t>YIKETVEIIK</t>
  </si>
  <si>
    <t>TDLVPAFQNLMK</t>
  </si>
  <si>
    <t>SAQTFLSEIR</t>
  </si>
  <si>
    <t>SGITLDGKK</t>
  </si>
  <si>
    <t>AGASLAPGPHPDR</t>
  </si>
  <si>
    <t>QQEGLHAVLGSK</t>
  </si>
  <si>
    <t>SSYYVVSGNDPAAEEPSR</t>
  </si>
  <si>
    <t>SDGSENLCTPQQSR</t>
  </si>
  <si>
    <t>LSQGSTELR</t>
  </si>
  <si>
    <t>MSFGEIEEDAYQEDLGFSLGHLGK</t>
  </si>
  <si>
    <t>SALASVIMGLSPILGK</t>
  </si>
  <si>
    <t>GSSSTASLPMSSPQQR</t>
  </si>
  <si>
    <t>SDASTPPSPK</t>
  </si>
  <si>
    <t>LQIQCVVEDDK</t>
  </si>
  <si>
    <t>GLPITITESDIR</t>
  </si>
  <si>
    <t>EFVVLKMSR</t>
  </si>
  <si>
    <t>EAGEPGDVEPR</t>
  </si>
  <si>
    <t>QAALLALQHK</t>
  </si>
  <si>
    <t>IDLSHVTSK</t>
  </si>
  <si>
    <t>GMGPGTPAGYGR</t>
  </si>
  <si>
    <t>ALIVVQQGMTPSAK</t>
  </si>
  <si>
    <t>KLYDIDVAK</t>
  </si>
  <si>
    <t>IAIYELLFK</t>
  </si>
  <si>
    <t>ELDQWIEQLNECK</t>
  </si>
  <si>
    <t>FTGSGSGTDFTLK</t>
  </si>
  <si>
    <t>SMDTIVSMLHNR</t>
  </si>
  <si>
    <t>MLDMGFEPQIR</t>
  </si>
  <si>
    <t>VPTEQPCVEK</t>
  </si>
  <si>
    <t>FPTGPTQEQR</t>
  </si>
  <si>
    <t>LGPLPQPPAAQDEPVFAQLKPVLGAANPAR</t>
  </si>
  <si>
    <t>QLGSILQDSLAK</t>
  </si>
  <si>
    <t>DAQVVQVVLDGLSNILK</t>
  </si>
  <si>
    <t>QDVDNASLAR</t>
  </si>
  <si>
    <t>EATWTMSNITAGR</t>
  </si>
  <si>
    <t>TMEQAAAAANK</t>
  </si>
  <si>
    <t>VLELDNVK</t>
  </si>
  <si>
    <t>SLYSSSPGGAYVTR</t>
  </si>
  <si>
    <t>KPALTMEVVCAR</t>
  </si>
  <si>
    <t>AQASAPAQAPK</t>
  </si>
  <si>
    <t>LQDGQTFSSHGPGNPEAPGMDSIVR</t>
  </si>
  <si>
    <t>NVVTIFSAPNYCYR</t>
  </si>
  <si>
    <t>LPSEELVQTR</t>
  </si>
  <si>
    <t>ARPPAEPGSDQPAPLAR</t>
  </si>
  <si>
    <t>EIIGGTSESEPMLSHTVR</t>
  </si>
  <si>
    <t>DVLTITLTPK</t>
  </si>
  <si>
    <t>ESSPLYSPGFSDSTSAAK</t>
  </si>
  <si>
    <t>LQQVLQMESHIQSTSDR</t>
  </si>
  <si>
    <t>VAGSNPASFTALYK</t>
  </si>
  <si>
    <t>IITLTGPTNAIFK</t>
  </si>
  <si>
    <t>VQGLEQAVDSFEGK</t>
  </si>
  <si>
    <t>AELDDTPMR</t>
  </si>
  <si>
    <t>LMQDLDNNSIAVK</t>
  </si>
  <si>
    <t>LAQTSDVNK</t>
  </si>
  <si>
    <t>INFSDLDQR</t>
  </si>
  <si>
    <t>TAFDEAIAELDTLSEESYK</t>
  </si>
  <si>
    <t>STGFIPIKEDFGPEK</t>
  </si>
  <si>
    <t>NVLFSHLDDNER</t>
  </si>
  <si>
    <t>ECVNCGATATPLWR</t>
  </si>
  <si>
    <t>DAALFSGDDLK</t>
  </si>
  <si>
    <t>STESLQANVQR</t>
  </si>
  <si>
    <t>LINQPLPDLK</t>
  </si>
  <si>
    <t>ADHQPLTEASYVNLPTIALCNTDSPLR</t>
  </si>
  <si>
    <t>MAQYLEEER</t>
  </si>
  <si>
    <t>GIDLGSLVDSDVDLK</t>
  </si>
  <si>
    <t>ATEYVHALQANEHQLLLEK</t>
  </si>
  <si>
    <t>IDLENTLEQEQEALVNR</t>
  </si>
  <si>
    <t>LNLFLDLLQSYK</t>
  </si>
  <si>
    <t>VLALSVETEYTFPLAEK</t>
  </si>
  <si>
    <t>DIKPQLELIEDEEK</t>
  </si>
  <si>
    <t>GTGAAGSSQTGDALGK</t>
  </si>
  <si>
    <t>EQWQEQINQLK</t>
  </si>
  <si>
    <t>QPEPLPLPLAASETLVPR</t>
  </si>
  <si>
    <t>WLAIDANAR</t>
  </si>
  <si>
    <t>TPGDFNYAYQKPENAAGSPDEEDYDYESQEK</t>
  </si>
  <si>
    <t>VFLASLNPPMAVPDDQLTR</t>
  </si>
  <si>
    <t>EDAGAPVEDSQGQTK</t>
  </si>
  <si>
    <t>SVYGGEFIQQLK</t>
  </si>
  <si>
    <t>RFPELESLVPNALDYIR</t>
  </si>
  <si>
    <t>RNDFQLIGIQDGYLSLLQDSGEVR</t>
  </si>
  <si>
    <t>TPEVSGYTYEK</t>
  </si>
  <si>
    <t>DNSTMGYMAAK</t>
  </si>
  <si>
    <t>VTDFYACR</t>
  </si>
  <si>
    <t>SLFGSIGEIESCK</t>
  </si>
  <si>
    <t>MWDLNSNQAIQIAQHDAPVK</t>
  </si>
  <si>
    <t>SKPEPSTVSDGDEK</t>
  </si>
  <si>
    <t>VQENAVEPSTPDAK</t>
  </si>
  <si>
    <t>AVDLAGLTAR</t>
  </si>
  <si>
    <t>MVDSCQTALSPGEMEK</t>
  </si>
  <si>
    <t>GPDFTPAFADFPR</t>
  </si>
  <si>
    <t>GEIEESIIENLGNDHNAAAGDGYPR</t>
  </si>
  <si>
    <t>VGSLDNAHHVPGGGNVK</t>
  </si>
  <si>
    <t>SSPSSSPKK</t>
  </si>
  <si>
    <t>IVQVVTAEAVAVLK</t>
  </si>
  <si>
    <t>MIQPSADGSLVGR</t>
  </si>
  <si>
    <t>ASLSPMDEPVPDSESPVEK</t>
  </si>
  <si>
    <t>LGEESKEPLSDEDEEDNDDVEPISEFR</t>
  </si>
  <si>
    <t>GHYTEGAELVDSVLDVVR</t>
  </si>
  <si>
    <t>GPNGSDELGPPK</t>
  </si>
  <si>
    <t>DPSGAHPSVR</t>
  </si>
  <si>
    <t>TPQASTYSYETSDR</t>
  </si>
  <si>
    <t>GLIVYQLENQPSEFR</t>
  </si>
  <si>
    <t>AADIMDICESILER</t>
  </si>
  <si>
    <t>IPSEDSVSELQSCLR</t>
  </si>
  <si>
    <t>TELNQTVQELEETLK</t>
  </si>
  <si>
    <t>MAGDPVANVR</t>
  </si>
  <si>
    <t>VEFEELCADLFDR</t>
  </si>
  <si>
    <t>IVEQENVIQTMELR</t>
  </si>
  <si>
    <t>LAGGDWFTSR</t>
  </si>
  <si>
    <t>NLTWTLSNLCR</t>
  </si>
  <si>
    <t>ESPVSDLTSTGLYQDK</t>
  </si>
  <si>
    <t>VTCVVVDISK</t>
  </si>
  <si>
    <t>AELEQHLEQEQEFQVNK</t>
  </si>
  <si>
    <t>SDFDMVDYLNELR</t>
  </si>
  <si>
    <t>CYCADVIYPMAVVATAER</t>
  </si>
  <si>
    <t>TPEEGGYSYEISEK</t>
  </si>
  <si>
    <t>ITSFPESESYSYETSTK</t>
  </si>
  <si>
    <t>IVQVVTAEAVAVLKGEQEK</t>
  </si>
  <si>
    <t>SPCDSGYSYETIEK</t>
  </si>
  <si>
    <t>ACPDLQLSATSISSGPTK</t>
  </si>
  <si>
    <t>SLTSEDSAVYYCAR</t>
  </si>
  <si>
    <t>IGAMLAYTPLDEK</t>
  </si>
  <si>
    <t>NILIMAGDEASTIAEIIEECGGLEK</t>
  </si>
  <si>
    <t>QDENDDDDDWNPCK</t>
  </si>
  <si>
    <t>DFEELKAEEIDVAK</t>
  </si>
  <si>
    <t>ALQDLENAASGDATVR</t>
  </si>
  <si>
    <t>FNVDEVPDIEPAELPQPPVTEK</t>
  </si>
  <si>
    <t>YLPAITSTPTVNENDSSTSK</t>
  </si>
  <si>
    <t>YLEVVLNTLQQASQAQVDK</t>
  </si>
  <si>
    <t>NVPQEDICEDSDIDGDYR</t>
  </si>
  <si>
    <t>TVAQSQQLETSSQR</t>
  </si>
  <si>
    <t>SWDTNLIECNLDQELK</t>
  </si>
  <si>
    <t>DPEEIEKEEQAAAEK</t>
  </si>
  <si>
    <t>GALQYLVPILTQTLTK</t>
  </si>
  <si>
    <t>VVYTGIYDTEGVAPTK</t>
  </si>
  <si>
    <t>SEIIPMFSNLASDEQDSVR</t>
  </si>
  <si>
    <t>EKIDLENTLEQEQEALVNR</t>
  </si>
  <si>
    <t>MAEDQAETIANLIEECGGLEK</t>
  </si>
  <si>
    <t>VTCVVVDISKDDPEVQFSWFVDDVEVHTAQTQPR</t>
  </si>
  <si>
    <t>QPDDLELGQPR</t>
  </si>
  <si>
    <t>VHDALEDFPK</t>
  </si>
  <si>
    <t>ELEVQHPAAK</t>
  </si>
  <si>
    <t>EGGAGAVDEDDFIK</t>
  </si>
  <si>
    <t>VADAAASLEQQLEQVK</t>
  </si>
  <si>
    <t>LLTGSSYK</t>
  </si>
  <si>
    <t>QPAFISHPKLGK</t>
  </si>
  <si>
    <t>VLGPCSDILK</t>
  </si>
  <si>
    <t>APLDIPVPDPVK</t>
  </si>
  <si>
    <t>RLTPTEVR</t>
  </si>
  <si>
    <t>DGQPVTAEDLGVTGALTVLMK</t>
  </si>
  <si>
    <t>YITPDQLADLYK</t>
  </si>
  <si>
    <t>QFLMFLLELLK</t>
  </si>
  <si>
    <t>VEIATLTR</t>
  </si>
  <si>
    <t>ADTSSQGALVFLSK</t>
  </si>
  <si>
    <t>MGEVEISAR</t>
  </si>
  <si>
    <t>NVNIEVNQVK</t>
  </si>
  <si>
    <t>LSSPVLHR</t>
  </si>
  <si>
    <t>ITFCTGIR</t>
  </si>
  <si>
    <t>SQLDVLEALFAK</t>
  </si>
  <si>
    <t>ETTLGAPNCLSREILGK</t>
  </si>
  <si>
    <t>LDGLAGMLTEQLRK</t>
  </si>
  <si>
    <t>LVGEEGFVVTEAGFGADIGMEK</t>
  </si>
  <si>
    <t>FVNQSLVMLK</t>
  </si>
  <si>
    <t>ESLSEVEEK</t>
  </si>
  <si>
    <t>DKTPVQSQQPSATTPSGADEK</t>
  </si>
  <si>
    <t>CMQLTDFILK</t>
  </si>
  <si>
    <t>LPQQSHSAFGAASSSSGFGK</t>
  </si>
  <si>
    <t>ILEVHVDK</t>
  </si>
  <si>
    <t>IRLDTETEGVPSTAIR</t>
  </si>
  <si>
    <t>KAAALEFLNR</t>
  </si>
  <si>
    <t>LLGSENDTGSPDFYTPR</t>
  </si>
  <si>
    <t>SFNRNEC</t>
  </si>
  <si>
    <t>APFAAHGYGAFLTLSILDR</t>
  </si>
  <si>
    <t>SSKNPEEAELEDTLNQVMVVFK</t>
  </si>
  <si>
    <t>LNVEVDAAPTVDLNR</t>
  </si>
  <si>
    <t>QMVDNSEAMWR</t>
  </si>
  <si>
    <t>NNPSQLAPR</t>
  </si>
  <si>
    <t>LTQIMRTAMHK</t>
  </si>
  <si>
    <t>EEQFNSTFR</t>
  </si>
  <si>
    <t>DNSTMGYMMAK</t>
  </si>
  <si>
    <t>TTDGYLLR</t>
  </si>
  <si>
    <t>EQEAGLLQFLR</t>
  </si>
  <si>
    <t>ISSLAASMIR</t>
  </si>
  <si>
    <t>QEEQLQR</t>
  </si>
  <si>
    <t>LRELESILQR</t>
  </si>
  <si>
    <t>QAVLSPPPNITNDPPTTMR</t>
  </si>
  <si>
    <t>NLPEDVVK</t>
  </si>
  <si>
    <t>VLGPCSDILKR</t>
  </si>
  <si>
    <t>QCALAALR</t>
  </si>
  <si>
    <t>ISEQFTAMFR</t>
  </si>
  <si>
    <t>DVTAQLESVQEK</t>
  </si>
  <si>
    <t>ITIGQGSTEK</t>
  </si>
  <si>
    <t>VLVNSASAQK</t>
  </si>
  <si>
    <t>AVLDALLEGK</t>
  </si>
  <si>
    <t>EVDIGIPDATGR</t>
  </si>
  <si>
    <t>ALEVELQNVGQSK</t>
  </si>
  <si>
    <t>KLPDGIDQLPEK</t>
  </si>
  <si>
    <t>GPPPPPGDENR</t>
  </si>
  <si>
    <t>EAGLDITHICLPPDSGEDEIIDEILK</t>
  </si>
  <si>
    <t>GIAEELFHSIEGATLFLIDVVDKITIMNEQK</t>
  </si>
  <si>
    <t>ADHGEPIGR</t>
  </si>
  <si>
    <t>HQEEEHTAR</t>
  </si>
  <si>
    <t>VIDKDGIHNLENIAFPK</t>
  </si>
  <si>
    <t>MSISEGTVSDK</t>
  </si>
  <si>
    <t>EEAESTLQSFR</t>
  </si>
  <si>
    <t>TDTGEPMGR</t>
  </si>
  <si>
    <t>AALQELLSK</t>
  </si>
  <si>
    <t>ALYALQDIVSR</t>
  </si>
  <si>
    <t>AELQAQLAALSTR</t>
  </si>
  <si>
    <t>MVVASDKDGQPVTAEDLGVTGALTVLMK</t>
  </si>
  <si>
    <t>LMSVVGDLLALK</t>
  </si>
  <si>
    <t>SLKDIQENAIK</t>
  </si>
  <si>
    <t>LYQPEYQEVSTEEQREEISGK</t>
  </si>
  <si>
    <t>FFTDDLFQYAGEK</t>
  </si>
  <si>
    <t>SVELDSDDGGGSAAQK</t>
  </si>
  <si>
    <t>CDPAGYYCGFK</t>
  </si>
  <si>
    <t>LGGSLADSYLDEGFLLDKK</t>
  </si>
  <si>
    <t>GAVTDYAGDK</t>
  </si>
  <si>
    <t>TPGNPVSSAR</t>
  </si>
  <si>
    <t>TINEVENQILTR</t>
  </si>
  <si>
    <t>LAQVIFDKNDSDFEAK</t>
  </si>
  <si>
    <t>ILFAEATR</t>
  </si>
  <si>
    <t>LYDILGVPPGASENELKK</t>
  </si>
  <si>
    <t>IDIIPNPQER</t>
  </si>
  <si>
    <t>IDILPNPQER</t>
  </si>
  <si>
    <t>GTTEEICQIYLR</t>
  </si>
  <si>
    <t>YYTSASGDEMVSLK</t>
  </si>
  <si>
    <t>SSGSVASLPQSDR</t>
  </si>
  <si>
    <t>SKPLAASPKPGALK</t>
  </si>
  <si>
    <t>GIVEFASKPAAR</t>
  </si>
  <si>
    <t>EDAANNYAR</t>
  </si>
  <si>
    <t>AVETRPSGLQK</t>
  </si>
  <si>
    <t>ASVEDADTQNK</t>
  </si>
  <si>
    <t>ELEQLFSQYGR</t>
  </si>
  <si>
    <t>HPPFSEDVLLK</t>
  </si>
  <si>
    <t>ILQAVNFPFLVK</t>
  </si>
  <si>
    <t>NAYAVLYDIILK</t>
  </si>
  <si>
    <t>GGNIGDGGGAADR</t>
  </si>
  <si>
    <t>TTEAAATAVGTAATTAAVVAAAGIAASGPVK</t>
  </si>
  <si>
    <t>GVVDSDDLPLNVSR</t>
  </si>
  <si>
    <t>VLATAFDTTLGGR</t>
  </si>
  <si>
    <t>VQAQVIQETIVPK</t>
  </si>
  <si>
    <t>SLGTADVHFER</t>
  </si>
  <si>
    <t>GVTEAIQNFSFR</t>
  </si>
  <si>
    <t>FASSVETPIENR</t>
  </si>
  <si>
    <t>TLASENIPSLPPGGELASK</t>
  </si>
  <si>
    <t>TSDVETMSSQSALALDER</t>
  </si>
  <si>
    <t>KLLEGEESR</t>
  </si>
  <si>
    <t>QLLEGEESR</t>
  </si>
  <si>
    <t>DIVMTQTPLSLPVSLGDQASISCR</t>
  </si>
  <si>
    <t>DVLMTQTPLSLPVSLGDQASISCR</t>
  </si>
  <si>
    <t>GYEFLGVAFR</t>
  </si>
  <si>
    <t>HNLQDFINIK</t>
  </si>
  <si>
    <t>YGYEIPVDMLCK</t>
  </si>
  <si>
    <t>VIQWCTHHKDDPPPPEDDENK</t>
  </si>
  <si>
    <t>EGLELPEDEEEKK</t>
  </si>
  <si>
    <t>LKETIDNNSVSSPLQSLQQR</t>
  </si>
  <si>
    <t>LELLAAYEEVIR</t>
  </si>
  <si>
    <t>TQAVLPLDGEGR</t>
  </si>
  <si>
    <t>APPQTQLPSGASSGTGSASATHGGAPLPGTR</t>
  </si>
  <si>
    <t>LGEMWSEQSAK</t>
  </si>
  <si>
    <t>SSSSGGGDPEGLR</t>
  </si>
  <si>
    <t>LIANNTTVER</t>
  </si>
  <si>
    <t>IEEEEEVGQELSQSWGR</t>
  </si>
  <si>
    <t>TDSREDEISPPPPNPVVK</t>
  </si>
  <si>
    <t>APFDLFENR</t>
  </si>
  <si>
    <t>GSAESPDEGITTTEGEGECEQTPEELEPVEK</t>
  </si>
  <si>
    <t>QQDLCQPLLDAVLANIR</t>
  </si>
  <si>
    <t>STIQTAEALR</t>
  </si>
  <si>
    <t>SEDYVELVQR</t>
  </si>
  <si>
    <t>YVLINWVGEDVPDAR</t>
  </si>
  <si>
    <t>ITFHGEGDQEPGLEPGDIIIVLDQK</t>
  </si>
  <si>
    <t>LAQQYYLVYQEPIPTAQLVQR</t>
  </si>
  <si>
    <t>FTVDQTQTPSLK</t>
  </si>
  <si>
    <t>AEQEEEFISNTLFK</t>
  </si>
  <si>
    <t>IPEDLDETAGR</t>
  </si>
  <si>
    <t>TLVAEGYPIPTK</t>
  </si>
  <si>
    <t>AGGSASAMLQPLLDNQVGFK</t>
  </si>
  <si>
    <t>SENEEFVEVGR</t>
  </si>
  <si>
    <t>GKDIVVLGVEK</t>
  </si>
  <si>
    <t>ETQPGEAYVIQK</t>
  </si>
  <si>
    <t>VPGADAQTQNVNQAK</t>
  </si>
  <si>
    <t>SAEEAASVLATSISPEQCIK</t>
  </si>
  <si>
    <t>YERPYKPVVLLNAQEGWSAQEK</t>
  </si>
  <si>
    <t>IGGDSGLSSR</t>
  </si>
  <si>
    <t>QTEDVAEVLNR</t>
  </si>
  <si>
    <t>EIVHIQAGQCGNQIGAK</t>
  </si>
  <si>
    <t>EIVHLQAGQCGNQIGAK</t>
  </si>
  <si>
    <t>QQLSAEELDAQLDAYNAR</t>
  </si>
  <si>
    <t>VLFPGNSTQYNILEGLEK</t>
  </si>
  <si>
    <t>TPVQSQQPSATTPSGADEK</t>
  </si>
  <si>
    <t>SFQPLGPGYGISQSSR</t>
  </si>
  <si>
    <t>AAIAAAAAAAAAK</t>
  </si>
  <si>
    <t>AGFAGDQIPK</t>
  </si>
  <si>
    <t>SLSVSIPEMAPKK</t>
  </si>
  <si>
    <t>GSTSNVSIGKGDK</t>
  </si>
  <si>
    <t>LTADPDSEIATTSLR</t>
  </si>
  <si>
    <t>ANTTAFKLPVIQTK</t>
  </si>
  <si>
    <t>QDKPKPNLK</t>
  </si>
  <si>
    <t>YADLSDAANR</t>
  </si>
  <si>
    <t>IACFGSGSCPQFLAAATK</t>
  </si>
  <si>
    <t>SSPFQNPVR</t>
  </si>
  <si>
    <t>VARPPPPSPCVATR</t>
  </si>
  <si>
    <t>ESFSLVQVQPGVDIIR</t>
  </si>
  <si>
    <t>ASQTPVATSFQK</t>
  </si>
  <si>
    <t>SVGNTIEPVILFQK</t>
  </si>
  <si>
    <t>MVLQSSEK</t>
  </si>
  <si>
    <t>EIIDLVLDR</t>
  </si>
  <si>
    <t>MIECIQQLSQSR</t>
  </si>
  <si>
    <t>ETNLESLPLVDTHSK</t>
  </si>
  <si>
    <t>SNEILTAIIQGMR</t>
  </si>
  <si>
    <t>VAIHYINPPNPAK</t>
  </si>
  <si>
    <t>VMEHFIK</t>
  </si>
  <si>
    <t>LRPLLDPETPK</t>
  </si>
  <si>
    <t>VLCPIIQTADYPINLAAIK</t>
  </si>
  <si>
    <t>EITALALNTMKIK</t>
  </si>
  <si>
    <t>ATDLGMVPNLR</t>
  </si>
  <si>
    <t>KTVSWAVTPK</t>
  </si>
  <si>
    <t>GTPALTSEAAQSSPPTR</t>
  </si>
  <si>
    <t>QGLLPLTFADPSDYNK</t>
  </si>
  <si>
    <t>RSATSDLTR</t>
  </si>
  <si>
    <t>ASKDGPLNSR</t>
  </si>
  <si>
    <t>LPDVYGVFQFK</t>
  </si>
  <si>
    <t>DPSYSYNPSGQGLSR</t>
  </si>
  <si>
    <t>YSALIIGMAYGAK</t>
  </si>
  <si>
    <t>VIQEIVDKSGVVR</t>
  </si>
  <si>
    <t>ELLEDLPLIFR</t>
  </si>
  <si>
    <t>TTLVIMER</t>
  </si>
  <si>
    <t>LEAAQNVLLCK</t>
  </si>
  <si>
    <t>SLESDQEGHYSVK</t>
  </si>
  <si>
    <t>GAECFEELSK</t>
  </si>
  <si>
    <t>YGPLSGVNVVYDQR</t>
  </si>
  <si>
    <t>FADLSEAANR</t>
  </si>
  <si>
    <t>IDTRNELESYAYSLK</t>
  </si>
  <si>
    <t>FSPEVPGQK</t>
  </si>
  <si>
    <t>SVLATGSSSAQELVK</t>
  </si>
  <si>
    <t>ETLLNSATTSLNSK</t>
  </si>
  <si>
    <t>NSVTPLASPEPTK</t>
  </si>
  <si>
    <t>LTTAQEVLAR</t>
  </si>
  <si>
    <t>YLNWIGVPTK</t>
  </si>
  <si>
    <t>TPEQVAEEEYLLQELR</t>
  </si>
  <si>
    <t>SSGTNFQGLPSK</t>
  </si>
  <si>
    <t>FLESPDFQPSVAK</t>
  </si>
  <si>
    <t>TFAPEEISAMVLTK</t>
  </si>
  <si>
    <t>AVASQLDCNFLK</t>
  </si>
  <si>
    <t>FLEQQNAALR</t>
  </si>
  <si>
    <t>ETGVDLTKDNMALQR</t>
  </si>
  <si>
    <t>GVSQALLER</t>
  </si>
  <si>
    <t>GPGQDPQAALGALGK</t>
  </si>
  <si>
    <t>IGSTDNIKYQPK</t>
  </si>
  <si>
    <t>ITFPSSQQEAQTR</t>
  </si>
  <si>
    <t>ELLALDSVDPEGR</t>
  </si>
  <si>
    <t>LPGELEPVQAAQSK</t>
  </si>
  <si>
    <t>LQGSGPLVLTEEEK</t>
  </si>
  <si>
    <t>TKPSEDSLSGQKGDSVSK</t>
  </si>
  <si>
    <t>GDQENVHPDVMLVQPR</t>
  </si>
  <si>
    <t>TGAPQYGSYGTAPVNLNIK</t>
  </si>
  <si>
    <t>ALLAGKDSETGENIR</t>
  </si>
  <si>
    <t>SLLLEFEPDVEDTLLQR</t>
  </si>
  <si>
    <t>SCSSSSDSSPEPTGQKGK</t>
  </si>
  <si>
    <t>VDDLFVGR</t>
  </si>
  <si>
    <t>RQAAYDGDLR</t>
  </si>
  <si>
    <t>SSQSSPAVITQLR</t>
  </si>
  <si>
    <t>QARLDSPLSNR</t>
  </si>
  <si>
    <t>LIPLITSNCTSK</t>
  </si>
  <si>
    <t>IQMGIDQTVPLMER</t>
  </si>
  <si>
    <t>DLAGSIIGK</t>
  </si>
  <si>
    <t>LESINLKR</t>
  </si>
  <si>
    <t>LESLNIQR</t>
  </si>
  <si>
    <t>DEGVKLTGK</t>
  </si>
  <si>
    <t>DLTTSSVEK</t>
  </si>
  <si>
    <t>SSFYPEGDQETAK</t>
  </si>
  <si>
    <t>LEPVIMELER</t>
  </si>
  <si>
    <t>SLQQLAEER</t>
  </si>
  <si>
    <t>EVTGKSISR</t>
  </si>
  <si>
    <t>VIGSGCNLDSAR</t>
  </si>
  <si>
    <t>KDFQVHLK</t>
  </si>
  <si>
    <t>QCTEVHLK</t>
  </si>
  <si>
    <t>NVCTEAGMFAIR</t>
  </si>
  <si>
    <t>ENELPK</t>
  </si>
  <si>
    <t>LDLAGRDLTDYLMK</t>
  </si>
  <si>
    <t>IFAVDENLSSIMER</t>
  </si>
  <si>
    <t>EGLELPEDEEEK</t>
  </si>
  <si>
    <t>FYEQMNGPVTSGSR</t>
  </si>
  <si>
    <t>MLEKTPVR</t>
  </si>
  <si>
    <t>FQQVPTDALANK</t>
  </si>
  <si>
    <t>AGIQQVYTR</t>
  </si>
  <si>
    <t>GGGAALR</t>
  </si>
  <si>
    <t>SPDTSAYCYETMEK</t>
  </si>
  <si>
    <t>KSQIFSTASDNQPTVTIK</t>
  </si>
  <si>
    <t>DLTTSSVEKDSGGK</t>
  </si>
  <si>
    <t>YVTNEPVTEAEILK</t>
  </si>
  <si>
    <t>ESSMEEIQSRAYEK</t>
  </si>
  <si>
    <t>SPFEVYVDK</t>
  </si>
  <si>
    <t>VQAVDPGFR</t>
  </si>
  <si>
    <t>QNSSVPTALALTSASR</t>
  </si>
  <si>
    <t>AIGNIELGIR</t>
  </si>
  <si>
    <t>EEIVEIWDLK</t>
  </si>
  <si>
    <t>LLESSMDQLYVRR</t>
  </si>
  <si>
    <t>EALEDEEER</t>
  </si>
  <si>
    <t>YLTVAAVFR</t>
  </si>
  <si>
    <t>SSLSNPSPR</t>
  </si>
  <si>
    <t>LLVVTDPR</t>
  </si>
  <si>
    <t>KLGAMVEISTEELK</t>
  </si>
  <si>
    <t>MLLTIKGMALK</t>
  </si>
  <si>
    <t>NEGLMWPELVVGDK</t>
  </si>
  <si>
    <t>VACWGQEVDLKK</t>
  </si>
  <si>
    <t>FEGLNRGVK</t>
  </si>
  <si>
    <t>AGPIWDLR</t>
  </si>
  <si>
    <t>TAGQTVVAQPVNVQQLLK</t>
  </si>
  <si>
    <t>LHNQNSVPRDGLGQ</t>
  </si>
  <si>
    <t>KYEEIDNAPEER</t>
  </si>
  <si>
    <t>SEALAGAPLDNAPK</t>
  </si>
  <si>
    <t>ERSALTQQAVQK</t>
  </si>
  <si>
    <t>KLVIGGALLGMR</t>
  </si>
  <si>
    <t>IDDSSNAALR</t>
  </si>
  <si>
    <t>SWSSRDDYSR</t>
  </si>
  <si>
    <t>TTTGSYIANR</t>
  </si>
  <si>
    <t>YEEEVALR</t>
  </si>
  <si>
    <t>TAEIVHAATANLR</t>
  </si>
  <si>
    <t>AAEMELQK</t>
  </si>
  <si>
    <t>ILVLQSDFSFR</t>
  </si>
  <si>
    <t>SSPTKPPPR</t>
  </si>
  <si>
    <t>NIVEAAAVR</t>
  </si>
  <si>
    <t>VPAPKTPGNPVSSAR</t>
  </si>
  <si>
    <t>HALAAQEIK</t>
  </si>
  <si>
    <t>LVQAFQYTDK</t>
  </si>
  <si>
    <t>SVTQQPGSEVIAPQK</t>
  </si>
  <si>
    <t>SNTAVCVCNESVR</t>
  </si>
  <si>
    <t>LINLVGESLR</t>
  </si>
  <si>
    <t>SCHTAVDR</t>
  </si>
  <si>
    <t>VQTCLEAR</t>
  </si>
  <si>
    <t>EGIECEVINLR</t>
  </si>
  <si>
    <t>YSVQLLTPANLLAK</t>
  </si>
  <si>
    <t>LSMQMEATMISSK</t>
  </si>
  <si>
    <t>FGGGSVELLK</t>
  </si>
  <si>
    <t>CQLLQQR</t>
  </si>
  <si>
    <t>ALYLSDNDFEILPPDIGK</t>
  </si>
  <si>
    <t>SDALLWGAFTPGFR</t>
  </si>
  <si>
    <t>EAQDGLATAQLR</t>
  </si>
  <si>
    <t>VITWTTEPK</t>
  </si>
  <si>
    <t>IANPVEGSSGR</t>
  </si>
  <si>
    <t>VVEENKAAVDPK</t>
  </si>
  <si>
    <t>VPGLYVIDSIVR</t>
  </si>
  <si>
    <t>TAPTQPPEQK</t>
  </si>
  <si>
    <t>QLNENQVR</t>
  </si>
  <si>
    <t>SDISPLTPR</t>
  </si>
  <si>
    <t>FVTVQTISGTGALR</t>
  </si>
  <si>
    <t>FIGGADK</t>
  </si>
  <si>
    <t>LLEGEEQR</t>
  </si>
  <si>
    <t>QLVESDINGLR</t>
  </si>
  <si>
    <t>QLVESDLNGLR</t>
  </si>
  <si>
    <t>KINPENSK</t>
  </si>
  <si>
    <t>LPATEKPVLLSK</t>
  </si>
  <si>
    <t>CPEQELR</t>
  </si>
  <si>
    <t>INISEGNCPER</t>
  </si>
  <si>
    <t>GNVGVVLFNFGK</t>
  </si>
  <si>
    <t>NNACTESLNRLTFNTR</t>
  </si>
  <si>
    <t>AGDGIGLFR</t>
  </si>
  <si>
    <t>FILFHAQASR</t>
  </si>
  <si>
    <t>LKETQPGEAYVIQK</t>
  </si>
  <si>
    <t>YLFSDIAR</t>
  </si>
  <si>
    <t>YPEDLVLMEEK</t>
  </si>
  <si>
    <t>LVVQIDNAK</t>
  </si>
  <si>
    <t>WSTANPSTVAGR</t>
  </si>
  <si>
    <t>GILAADESTGSIAK</t>
  </si>
  <si>
    <t>SPILVATAVAAR</t>
  </si>
  <si>
    <t>LWNTLGVCK</t>
  </si>
  <si>
    <t>NVTWVIVNLCR</t>
  </si>
  <si>
    <t>VAVEYLDPSPEVQK</t>
  </si>
  <si>
    <t>LPDLSLVENK</t>
  </si>
  <si>
    <t>CYCGEGLACR</t>
  </si>
  <si>
    <t>ALANSLACQGK</t>
  </si>
  <si>
    <t>ATAENEFVALK</t>
  </si>
  <si>
    <t>TLLQQLQK</t>
  </si>
  <si>
    <t>LCLNICVGESGDR</t>
  </si>
  <si>
    <t>TREEINELNR</t>
  </si>
  <si>
    <t>TTANAIYCPPK</t>
  </si>
  <si>
    <t>SYSSGGEDGYVR</t>
  </si>
  <si>
    <t>GVYPDLLATSGDYLR</t>
  </si>
  <si>
    <t>EQFLDGDAWTNR</t>
  </si>
  <si>
    <t>SLSSDEATNPISR</t>
  </si>
  <si>
    <t>IEDLSQQAQLAAAEK</t>
  </si>
  <si>
    <t>GPAAAPGAASPPAEPK</t>
  </si>
  <si>
    <t>VTPAPLSPPPSAPAALK</t>
  </si>
  <si>
    <t>EGDGSATTDAAPATSPK</t>
  </si>
  <si>
    <t>DVLEPTQALAAGAVPILAK</t>
  </si>
  <si>
    <t>NSPNNISGISNPPGTPR</t>
  </si>
  <si>
    <t>VSSSGLDSLGR</t>
  </si>
  <si>
    <t>LTVLPPELGNLDLTGQK</t>
  </si>
  <si>
    <t>EVDEGPSPPEQFTAVK</t>
  </si>
  <si>
    <t>QNQEYQVLLDVR</t>
  </si>
  <si>
    <t>SDIDEIVLVGGSTR</t>
  </si>
  <si>
    <t>VLQLINDNTATALSYGVFR</t>
  </si>
  <si>
    <t>SSDCAAGLCCAR</t>
  </si>
  <si>
    <t>RAAQLLVDR</t>
  </si>
  <si>
    <t>IFSGVAPDAPR</t>
  </si>
  <si>
    <t>VKLTSEGPK</t>
  </si>
  <si>
    <t>EGFAVEEVR</t>
  </si>
  <si>
    <t>LSWFGGAGR</t>
  </si>
  <si>
    <t>MEPLNEENAGDR</t>
  </si>
  <si>
    <t>KGGSSTGAPR</t>
  </si>
  <si>
    <t>DSDGNLIGSDETQVSIR</t>
  </si>
  <si>
    <t>LLNSFQVTLRSK</t>
  </si>
  <si>
    <t>LKEILPPK</t>
  </si>
  <si>
    <t>SAVMHHPPR</t>
  </si>
  <si>
    <t>GSPTIEVAR</t>
  </si>
  <si>
    <t>NARLEVAR</t>
  </si>
  <si>
    <t>EDMTAPPR</t>
  </si>
  <si>
    <t>LIQSVIAAR</t>
  </si>
  <si>
    <t>IAAMASAEAQDSAVSGEPSS</t>
  </si>
  <si>
    <t>NLPLPPPPPPR</t>
  </si>
  <si>
    <t>NAVITVPAYFNDSQR</t>
  </si>
  <si>
    <t>ANLPQSFQVDTSK</t>
  </si>
  <si>
    <t>ALLTPVAIAAGR</t>
  </si>
  <si>
    <t>AFLADPSAFAAAAPAAAATTAAPAAAAAPAKAEAK</t>
  </si>
  <si>
    <t>LQLQANDSVGAFDTK</t>
  </si>
  <si>
    <t>DVTGAEALLER</t>
  </si>
  <si>
    <t>VLDYIQPSPQER</t>
  </si>
  <si>
    <t>VLTTTALSTVSSGAQR</t>
  </si>
  <si>
    <t>DDPPPPEDDENK</t>
  </si>
  <si>
    <t>ELLYGGTSPTAETILK</t>
  </si>
  <si>
    <t>MSFIAPNLSIIIGASTAAK</t>
  </si>
  <si>
    <t>NVDVEFFKR</t>
  </si>
  <si>
    <t>QENVLVICHQAVLR</t>
  </si>
  <si>
    <t>TDTRAEIDLVCELAK</t>
  </si>
  <si>
    <t>DNTIEHLLPLFLAQLKDECPEVR</t>
  </si>
  <si>
    <t>GNAPWAPALGLANSK</t>
  </si>
  <si>
    <t>QSSGASSSSFSSSR</t>
  </si>
  <si>
    <t>SADAVSVIPVLQR</t>
  </si>
  <si>
    <t>IPI00125451.1:</t>
  </si>
  <si>
    <t>IPI00130920.1:</t>
  </si>
  <si>
    <t>DCY00272591.5:</t>
  </si>
  <si>
    <t>IPI00133368.1:IPI00462752.4:IPI00623496.5:IPI00762700.2:IPI00776145.1:IPI00776187.1:</t>
  </si>
  <si>
    <t>IPI00308213.3:IPI00475246.1:IPI00830215.1:IPI00831006.1:</t>
  </si>
  <si>
    <t>DCY00848718.1:</t>
  </si>
  <si>
    <t>IPI00453682.2:</t>
  </si>
  <si>
    <t>IPI00621903.2:</t>
  </si>
  <si>
    <t>DCY00223561.4:</t>
  </si>
  <si>
    <t>IPI00378764.6:</t>
  </si>
  <si>
    <t>IPI00123342.4:</t>
  </si>
  <si>
    <t>DCY00221822.1:</t>
  </si>
  <si>
    <t>IPI00381495.5:</t>
  </si>
  <si>
    <t>DCY00830711.1:</t>
  </si>
  <si>
    <t>IPI00225062.2:IPI00785240.1:IPI00785384.1:IPI00874854.1:</t>
  </si>
  <si>
    <t>DCY00462589.1:</t>
  </si>
  <si>
    <t>IPI00118875.4:IPI00320208.3:IPI00468771.3:IPI00515654.2:IPI00620302.3:</t>
  </si>
  <si>
    <t>DCY00126725.2:</t>
  </si>
  <si>
    <t>DCY00856630.1:</t>
  </si>
  <si>
    <t>DCY00605215.1:</t>
  </si>
  <si>
    <t>IPI00322413.2:IPI00473261.1:IPI00650028.1:</t>
  </si>
  <si>
    <t>IPI00135660.5:</t>
  </si>
  <si>
    <t>IPI00120257.1:</t>
  </si>
  <si>
    <t>IPI00121676.1:IPI00410779.1:IPI00457664.1:IPI00648092.1:IPI00648800.1:IPI00649068.1:IPI00649298.1:IPI00649574.1:</t>
  </si>
  <si>
    <t>IPI00118075.1:IPI00404011.1:IPI00653404.1:IPI00673708.2:IPI00894724.1:IPI00895260.1:IPI00895309.1:IPI00895463.1:</t>
  </si>
  <si>
    <t>IPI00111141.1:IPI00121298.1:IPI00131219.3:IPI00377924.2:</t>
  </si>
  <si>
    <t>IPI00118075.1:IPI00894724.1:</t>
  </si>
  <si>
    <t>DCY00116372.1:</t>
  </si>
  <si>
    <t>IPI00170019.1:</t>
  </si>
  <si>
    <t>IPI00172234.3:IPI00282945.1:IPI00395134.4:IPI00830834.2:IPI00830989.1:</t>
  </si>
  <si>
    <t>IPI00131219.3:</t>
  </si>
  <si>
    <t>DCY00798606.2:</t>
  </si>
  <si>
    <t>IPI00223927.1:</t>
  </si>
  <si>
    <t>DCY00886061.1:</t>
  </si>
  <si>
    <t>IPI00229465.2:IPI00407719.1:IPI00742350.1:IPI00742359.1:</t>
  </si>
  <si>
    <t>DCY00553731.6:</t>
  </si>
  <si>
    <t>IPI00407863.6:IPI00830860.1:</t>
  </si>
  <si>
    <t>IPI00123199.1:IPI00133977.3:IPI00876202.1:</t>
  </si>
  <si>
    <t>IPI00349020.6:IPI00754509.1:</t>
  </si>
  <si>
    <t>IPI00308151.2:IPI00624011.2:</t>
  </si>
  <si>
    <t>DCY00274323.1:</t>
  </si>
  <si>
    <t>IPI00127085.6:IPI00849927.1:</t>
  </si>
  <si>
    <t>DCY00309844.4:</t>
  </si>
  <si>
    <t>DCY00876303.1:</t>
  </si>
  <si>
    <t>IPI00112296.1:IPI00230634.1:IPI00341944.5:IPI00458302.1:IPI00623116.1:IPI00625055.1:IPI00649076.1:IPI00649576.1:</t>
  </si>
  <si>
    <t>IPI00282957.4:IPI00649975.2:IPI00867855.1:</t>
  </si>
  <si>
    <t>DCY00652368.1:</t>
  </si>
  <si>
    <t>DCY00226953.1:</t>
  </si>
  <si>
    <t>IPI00319310.1:</t>
  </si>
  <si>
    <t>DCY00230023.1:</t>
  </si>
  <si>
    <t>IPI00337955.1:</t>
  </si>
  <si>
    <t>IPI00120374.1:</t>
  </si>
  <si>
    <t>IPI00169625.5:IPI00659847.2:</t>
  </si>
  <si>
    <t>IPI00133708.1:IPI00134371.1:IPI00230035.7:IPI00396797.2:IPI00405364.2:IPI00420363.2:IPI00653307.1:</t>
  </si>
  <si>
    <t>IPI00169812.2:IPI00264350.1:IPI00881746.1:</t>
  </si>
  <si>
    <t>IPI00323391.1:</t>
  </si>
  <si>
    <t>IPI00127764.2:IPI00828325.1:IPI00850136.1:</t>
  </si>
  <si>
    <t>IPI00227299.6:</t>
  </si>
  <si>
    <t>IPI00132576.1:IPI00754889.1:</t>
  </si>
  <si>
    <t>IPI00227299.6:IPI00751833.1:</t>
  </si>
  <si>
    <t>IPI00222548.5:IPI00461500.1:IPI00662684.1:IPI00676157.2:IPI00757474.2:IPI00762791.2:IPI00849107.1:IPI00849210.1:IPI00849245.1:IPI00849550.1:IPI00850168.1:IPI00874437.1:IPI00890088.1:</t>
  </si>
  <si>
    <t>IPI00120800.2:</t>
  </si>
  <si>
    <t>IPI00331334.3:IPI00387388.3:</t>
  </si>
  <si>
    <t>IPI00116498.1:</t>
  </si>
  <si>
    <t>IPI00119575.3:IPI00310841.4:IPI00649804.2:IPI00762049.2:IPI00856377.1:IPI00856616.1:IPI00856972.1:IPI00857789.1:IPI00875652.1:</t>
  </si>
  <si>
    <t>IPI00111277.1:IPI00114226.2:</t>
  </si>
  <si>
    <t>IPI00123604.4:IPI00606764.1:IPI00622968.1:IPI00659629.1:IPI00850840.1:</t>
  </si>
  <si>
    <t>IPI00474598.2:IPI00761225.1:</t>
  </si>
  <si>
    <t>IPI00309397.3:</t>
  </si>
  <si>
    <t>IPI00626366.3:IPI00626504.2:</t>
  </si>
  <si>
    <t>IPI00120128.1:IPI00400417.1:IPI00400418.1:IPI00652159.2:IPI00831539.1:</t>
  </si>
  <si>
    <t>IPI00130307.1:IPI00652806.1:</t>
  </si>
  <si>
    <t>IPI00338515.4:IPI00653738.2:IPI00750262.1:IPI00752391.1:IPI00753452.1:</t>
  </si>
  <si>
    <t>IPI00121676.1:IPI00229977.1:IPI00410779.1:IPI00457664.1:IPI00466120.1:IPI00473324.4:IPI00648092.1:IPI00648506.1:IPI00648762.1:IPI00648800.1:IPI00649068.1:IPI00649085.1:IPI00649229.1:IPI00649298.1:IPI00649317.1:IPI00649574.1:IPI00649908.1:IPI00650057.1:IPI00828663.1:IPI00876235.1:</t>
  </si>
  <si>
    <t>IPI00330317.2:IPI00387211.2:</t>
  </si>
  <si>
    <t>DCY00121598.2:</t>
  </si>
  <si>
    <t>IPI00118075.1:IPI00404011.1:IPI00653404.1:IPI00673708.2:IPI00831444.1:IPI00885234.1:IPI00894590.1:IPI00894724.1:IPI00895260.1:IPI00895309.1:IPI00895463.1:IPI00895530.1:</t>
  </si>
  <si>
    <t>IPI00124248.1:</t>
  </si>
  <si>
    <t>IPI00109061.1:IPI00112251.1:IPI00117352.1:IPI00122928.1:IPI00169463.1:IPI00338039.1:IPI00458204.7:IPI00850173.1:</t>
  </si>
  <si>
    <t>IPI00169812.2:IPI00264350.1:</t>
  </si>
  <si>
    <t>IPI00172234.3:IPI00282945.1:IPI00395134.4:IPI00830834.2:IPI00830989.1:IPI00831476.1:</t>
  </si>
  <si>
    <t>IPI00463390.7:IPI00466927.8:IPI00474225.1:IPI00556788.1:IPI00662176.3:IPI00674278.3:IPI00753483.2:IPI00830530.1:</t>
  </si>
  <si>
    <t>IPI00278600.1:IPI00410897.4:IPI00463666.4:IPI00553815.1:IPI00874588.1:</t>
  </si>
  <si>
    <t>IPI00123604.4:IPI00606764.1:IPI00622968.1:IPI00659629.1:IPI00676858.2:IPI00849484.1:IPI00850840.1:</t>
  </si>
  <si>
    <t>IPI00108330.2:IPI00648948.1:</t>
  </si>
  <si>
    <t>DCY00875751.1:</t>
  </si>
  <si>
    <t>IPI00135883.1:</t>
  </si>
  <si>
    <t>IPI00119157.2:IPI00407863.6:IPI00654284.1:IPI00830860.1:IPI00875254.1:</t>
  </si>
  <si>
    <t>IPI00336281.1:IPI00469799.2:</t>
  </si>
  <si>
    <t>IPI00849542.1:</t>
  </si>
  <si>
    <t>IPI00119575.3:IPI00762049.2:</t>
  </si>
  <si>
    <t>DCY00350919.3:</t>
  </si>
  <si>
    <t>IPI00330146.6:IPI00761357.2:</t>
  </si>
  <si>
    <t>IPI00119136.1:</t>
  </si>
  <si>
    <t>DCY00271459.4:</t>
  </si>
  <si>
    <t>IPI00135475.3:IPI00230338.3:IPI00331516.3:IPI00775816.1:IPI00775841.1:</t>
  </si>
  <si>
    <t>IPI00115479.1:</t>
  </si>
  <si>
    <t>DCY00134544.3:</t>
  </si>
  <si>
    <t>IPI00110610.3:</t>
  </si>
  <si>
    <t>DCY00117033.1:</t>
  </si>
  <si>
    <t>IPI00123494.3:</t>
  </si>
  <si>
    <t>IPI00133185.3:IPI00473728.1:IPI00889222.1:IPI00890140.1:IPI00890181.1:</t>
  </si>
  <si>
    <t>IPI00329839.7:</t>
  </si>
  <si>
    <t>IPI00124240.1:IPI00225350.1:</t>
  </si>
  <si>
    <t>IPI00222107.5:IPI00465706.2:</t>
  </si>
  <si>
    <t>IPI00406213.4:IPI00462809.1:IPI00471444.1:IPI00553402.5:IPI00556702.1:IPI00556847.1:IPI00556888.1:IPI00656300.1:IPI00662172.2:IPI00753831.2:IPI00762625.1:IPI00785509.1:IPI00785526.1:IPI00808222.1:IPI00808254.1:IPI00808554.1:IPI00849156.1:IPI00850020.1:IPI00880209.1:</t>
  </si>
  <si>
    <t>IPI00108478.1:IPI00124945.1:IPI00321587.5:IPI00676907.2:IPI00828238.1:IPI00845846.1:IPI00849205.1:</t>
  </si>
  <si>
    <t>DCY00458895.5:</t>
  </si>
  <si>
    <t>DCY00115645.4:</t>
  </si>
  <si>
    <t>DCY00874940.1:</t>
  </si>
  <si>
    <t>DCY00170006.3:</t>
  </si>
  <si>
    <t>IPI00116744.1:</t>
  </si>
  <si>
    <t>IPI00129604.1:IPI00753306.1:</t>
  </si>
  <si>
    <t>DCY00346420.7:</t>
  </si>
  <si>
    <t>IPI00170205.3:</t>
  </si>
  <si>
    <t>IPI00109061.1:IPI00109073.5:IPI00112251.1:IPI00117352.1:IPI00169463.1:IPI00338039.1:IPI00473225.1:</t>
  </si>
  <si>
    <t>IPI00120107.1:IPI00466219.2:IPI00752490.1:IPI00875377.1:</t>
  </si>
  <si>
    <t>IPI00130920.1:IPI00408909.4:IPI00676243.2:</t>
  </si>
  <si>
    <t>DCY00470086.1:</t>
  </si>
  <si>
    <t>IPI00115992.1:IPI00137735.1:IPI00461419.2:IPI00677917.1:IPI00848593.1:IPI00850188.1:</t>
  </si>
  <si>
    <t>DCY00312765.5:</t>
  </si>
  <si>
    <t>IPI00462994.1:</t>
  </si>
  <si>
    <t>IPI00112375.2:IPI00403333.3:IPI00844697.1:IPI00880565.1:</t>
  </si>
  <si>
    <t>IPI00421137.3:IPI00753326.1:</t>
  </si>
  <si>
    <t>DCY00129474.2:</t>
  </si>
  <si>
    <t>IPI00457533.2:IPI00648467.1:</t>
  </si>
  <si>
    <t>IPI00554929.2:</t>
  </si>
  <si>
    <t>IPI00121676.1:IPI00229977.1:IPI00410779.1:IPI00457664.1:IPI00466120.1:IPI00473324.4:IPI00648092.1:IPI00648506.1:IPI00648762.1:IPI00648800.1:IPI00649068.1:IPI00649229.1:IPI00649298.1:IPI00649574.1:IPI00650057.1:IPI00828663.1:IPI00876235.1:</t>
  </si>
  <si>
    <t>IPI00227900.1:IPI00230005.3:</t>
  </si>
  <si>
    <t>IPI00129526.1:IPI00652998.1:IPI00830494.1:</t>
  </si>
  <si>
    <t>IPI00408796.3:IPI00457731.1:</t>
  </si>
  <si>
    <t>IPI00114407.2:IPI00122339.3:IPI00311103.1:IPI00377350.1:IPI00850366.1:</t>
  </si>
  <si>
    <t>IPI00137649.2:IPI00469358.2:IPI00469469.2:IPI00606471.1:IPI00754907.1:IPI00849611.1:IPI00851094.1:</t>
  </si>
  <si>
    <t>IPI00114802.1:</t>
  </si>
  <si>
    <t>IPI00129527.3:IPI00130102.4:IPI00227299.6:IPI00230444.1:IPI00230445.1:IPI00322209.5:IPI00406377.3:</t>
  </si>
  <si>
    <t>IPI00462140.1:</t>
  </si>
  <si>
    <t>IPI00756441.1:</t>
  </si>
  <si>
    <t>IPI00828793.9:IPI00850020.1:</t>
  </si>
  <si>
    <t>IPI00135475.3:IPI00230338.3:IPI00331516.3:</t>
  </si>
  <si>
    <t>IPI00316671.3:IPI00462956.4:IPI00742269.2:IPI00742311.2:</t>
  </si>
  <si>
    <t>IPI00130381.1:IPI00277446.5:</t>
  </si>
  <si>
    <t>IPI00323660.1:</t>
  </si>
  <si>
    <t>IPI00136178.1:</t>
  </si>
  <si>
    <t>IPI00407863.6:IPI00654284.1:IPI00830860.1:</t>
  </si>
  <si>
    <t>IPI00109061.1:IPI00112251.1:IPI00117352.1:IPI00338039.1:IPI00662501.1:</t>
  </si>
  <si>
    <t>IPI00109073.5:IPI00169463.1:IPI00458204.7:</t>
  </si>
  <si>
    <t>IPI00114407.2:IPI00122339.3:IPI00377350.1:</t>
  </si>
  <si>
    <t>IPI00133185.3:IPI00473728.1:</t>
  </si>
  <si>
    <t>IPI00113895.1:IPI00153990.1:</t>
  </si>
  <si>
    <t>DCY00454016.5:</t>
  </si>
  <si>
    <t>IPI00649392.1:</t>
  </si>
  <si>
    <t>IPI00169800.3:IPI00268676.3:IPI00453655.2:IPI00480308.1:IPI00480360.3:IPI00480492.1:IPI00874982.1:</t>
  </si>
  <si>
    <t>DCY00830829.1:</t>
  </si>
  <si>
    <t>IPI00225665.3:IPI00856264.1:IPI00858262.1:</t>
  </si>
  <si>
    <t>IPI00129527.3:IPI00230445.1:</t>
  </si>
  <si>
    <t>IPI00228781.1:</t>
  </si>
  <si>
    <t>IPI00130315.1:IPI00844761.1:</t>
  </si>
  <si>
    <t>IPI00225178.3:IPI00323266.5:</t>
  </si>
  <si>
    <t>DCY00854002.1:</t>
  </si>
  <si>
    <t>IPI00110753.1:IPI00117348.4:IPI00403810.2:</t>
  </si>
  <si>
    <t>IPI00120095.2:IPI00653746.1:IPI00752578.1:IPI00875198.1:</t>
  </si>
  <si>
    <t>DCY00119509.1:</t>
  </si>
  <si>
    <t>IPI00407863.6:IPI00654284.1:IPI00669522.4:IPI00672213.3:IPI00830860.1:IPI00880482.1:</t>
  </si>
  <si>
    <t>IPI00890071.1:</t>
  </si>
  <si>
    <t>IPI00130116.1:IPI00830930.1:IPI00831222.1:</t>
  </si>
  <si>
    <t>IPI00624663.3:</t>
  </si>
  <si>
    <t>IPI00623969.2:IPI00654933.1:IPI00655067.3:IPI00828941.1:IPI00856822.1:IPI00857413.1:</t>
  </si>
  <si>
    <t>IPI00226470.1:</t>
  </si>
  <si>
    <t>IPI00128325.1:</t>
  </si>
  <si>
    <t>IPI00117705.1:IPI00410819.3:</t>
  </si>
  <si>
    <t>IPI00111770.7:IPI00875971.1:</t>
  </si>
  <si>
    <t>DCY00403927.1:</t>
  </si>
  <si>
    <t>IPI00114226.2:</t>
  </si>
  <si>
    <t>IPI00377298.2:</t>
  </si>
  <si>
    <t>IPI00623969.2:IPI00654933.1:IPI00655067.3:IPI00828941.1:IPI00856822.1:</t>
  </si>
  <si>
    <t>IPI00137533.1:IPI00177072.1:IPI00230584.2:IPI00556828.1:IPI00653570.2:IPI00754131.1:IPI00755198.1:IPI00757577.1:</t>
  </si>
  <si>
    <t>IPI00317722.3:</t>
  </si>
  <si>
    <t>IPI00356872.3:</t>
  </si>
  <si>
    <t>IPI00130353.5:</t>
  </si>
  <si>
    <t>IPI00153429.2:</t>
  </si>
  <si>
    <t>IPI00622371.3:</t>
  </si>
  <si>
    <t>IPI00126389.2:</t>
  </si>
  <si>
    <t>IPI00110716.1:IPI00116897.1:IPI00119501.1:IPI00667065.1:IPI00880541.1:IPI00881462.1:IPI00882266.1:</t>
  </si>
  <si>
    <t>IPI00880839.1:</t>
  </si>
  <si>
    <t>IPI00309138.6:IPI00623969.2:IPI00654933.1:IPI00655067.3:IPI00828941.1:IPI00856822.1:</t>
  </si>
  <si>
    <t>IPI00222813.1:</t>
  </si>
  <si>
    <t>DCY00119495.3:</t>
  </si>
  <si>
    <t>DCY00135609.2:</t>
  </si>
  <si>
    <t>DCY00124171.1:</t>
  </si>
  <si>
    <t>IPI00756409.2:</t>
  </si>
  <si>
    <t>IPI00457620.2:</t>
  </si>
  <si>
    <t>DCY00849835.1:</t>
  </si>
  <si>
    <t>DCY00831021.1:</t>
  </si>
  <si>
    <t>IPI00137533.1:IPI00177072.1:IPI00226476.1:IPI00230584.2:IPI00465760.2:IPI00556828.1:IPI00653570.2:IPI00653772.4:IPI00754131.1:IPI00755198.1:IPI00757577.1:IPI00816846.1:IPI00816913.1:IPI00816928.1:IPI00817003.2:</t>
  </si>
  <si>
    <t>IPI00378600.2:</t>
  </si>
  <si>
    <t>IPI00229510.5:IPI00280156.2:IPI00319994.6:IPI00467457.3:IPI00751369.1:IPI00754398.1:IPI00756114.1:IPI00776197.1:IPI00881151.1:IPI00881267.1:</t>
  </si>
  <si>
    <t>DCY00890907.1:</t>
  </si>
  <si>
    <t>IPI00229577.1:IPI00229988.2:IPI00475248.3:</t>
  </si>
  <si>
    <t>IPI00118875.4:IPI00459342.2:IPI00468771.3:IPI00515654.2:IPI00620302.3:IPI00831082.1:IPI00831202.1:IPI00831299.1:</t>
  </si>
  <si>
    <t>DCY00131212.3:</t>
  </si>
  <si>
    <t>IPI00344088.6:IPI00670545.2:</t>
  </si>
  <si>
    <t>IPI00136848.2:</t>
  </si>
  <si>
    <t>DCY00416833.1:</t>
  </si>
  <si>
    <t>DCY00331157.3:</t>
  </si>
  <si>
    <t>DCY00831484.1:</t>
  </si>
  <si>
    <t>IPI00848384.1:IPI00850286.1:</t>
  </si>
  <si>
    <t>IPI00109073.5:IPI00117352.1:IPI00169463.1:IPI00458204.7:IPI00850173.1:</t>
  </si>
  <si>
    <t>IPI00653740.1:</t>
  </si>
  <si>
    <t>IPI00153899.1:IPI00755511.1:</t>
  </si>
  <si>
    <t>DCY00471022.3:</t>
  </si>
  <si>
    <t>IPI00342259.7:IPI00884467.1:</t>
  </si>
  <si>
    <t>DCY00221502.2:</t>
  </si>
  <si>
    <t>DCY00131181.8:</t>
  </si>
  <si>
    <t>IPI00128441.3:IPI00135308.3:IPI00406117.1:IPI00406118.1:IPI00648869.1:</t>
  </si>
  <si>
    <t>IPI00229659.2:IPI00404291.2:IPI00474628.2:IPI00480329.1:IPI00720144.1:</t>
  </si>
  <si>
    <t>DCY00756257.1:</t>
  </si>
  <si>
    <t>DCY00134095.3:</t>
  </si>
  <si>
    <t>DCY00461221.1:</t>
  </si>
  <si>
    <t>IPI00124800.2:IPI00331459.1:IPI00462986.1:IPI00850317.1:IPI00875862.1:</t>
  </si>
  <si>
    <t>DCY00225156.3:</t>
  </si>
  <si>
    <t>DCY00460118.1:</t>
  </si>
  <si>
    <t>IPI00261455.5:IPI00377441.3:IPI00658829.1:IPI00674601.1:IPI00754798.1:IPI00848868.1:</t>
  </si>
  <si>
    <t>IPI00317340.1:IPI00323235.1:</t>
  </si>
  <si>
    <t>DCY00798535.1:</t>
  </si>
  <si>
    <t>IPI00132042.1:</t>
  </si>
  <si>
    <t>DCY00882018.1:</t>
  </si>
  <si>
    <t>IPI00223092.5:</t>
  </si>
  <si>
    <t>IPI00331321.1:IPI00555071.2:IPI00652828.1:IPI00755220.1:</t>
  </si>
  <si>
    <t>DCY00607914.1:</t>
  </si>
  <si>
    <t>IPI00399905.5:</t>
  </si>
  <si>
    <t>DCY00404595.3:</t>
  </si>
  <si>
    <t>IPI00330164.2:IPI00380738.2:IPI00654112.1:</t>
  </si>
  <si>
    <t>IPI00380738.2:</t>
  </si>
  <si>
    <t>IPI00111556.1:IPI00473972.1:</t>
  </si>
  <si>
    <t>DCY00674534.3:</t>
  </si>
  <si>
    <t>IPI00124800.2:IPI00131846.1:IPI00331459.1:IPI00405473.6:IPI00462986.1:IPI00474575.5:IPI00850317.1:IPI00874877.1:IPI00875862.1:</t>
  </si>
  <si>
    <t>IPI00845846.1:</t>
  </si>
  <si>
    <t>IPI00676907.2:IPI00849205.1:</t>
  </si>
  <si>
    <t>IPI00127707.1:IPI00128904.1:IPI00221796.1:IPI00221799.1:IPI00411074.2:IPI00411075.1:IPI00473425.1:IPI00608111.1:</t>
  </si>
  <si>
    <t>DCY00754134.2:</t>
  </si>
  <si>
    <t>DCY00228313.1:</t>
  </si>
  <si>
    <t>DCY00656181.1:</t>
  </si>
  <si>
    <t>DCY00675502.1:</t>
  </si>
  <si>
    <t>IPI00110272.1:IPI00227798.1:</t>
  </si>
  <si>
    <t>IPI00108478.1:IPI00124945.1:IPI00131382.4:IPI00321587.5:IPI00676907.2:IPI00816944.2:IPI00845846.1:IPI00849205.1:</t>
  </si>
  <si>
    <t>IPI00133580.1:IPI00221402.7:IPI00856247.1:IPI00856379.1:IPI00856415.1:IPI00858310.1:</t>
  </si>
  <si>
    <t>IPI00133708.1:IPI00230035.7:</t>
  </si>
  <si>
    <t>IPI00420724.4:IPI00626752.1:</t>
  </si>
  <si>
    <t>IPI00330171.7:IPI00831515.2:</t>
  </si>
  <si>
    <t>IPI00221402.7:IPI00649880.2:IPI00856272.1:IPI00856379.1:</t>
  </si>
  <si>
    <t>IPI00124800.2:IPI00405473.6:IPI00474575.5:IPI00850317.1:IPI00874877.1:</t>
  </si>
  <si>
    <t>IPI00127391.1:IPI00266906.2:IPI00875227.1:</t>
  </si>
  <si>
    <t>IPI00331461.4:IPI00474856.1:IPI00626239.3:</t>
  </si>
  <si>
    <t>IPI00124800.2:IPI00405473.6:IPI00462986.1:IPI00474575.5:IPI00850317.1:IPI00874877.1:IPI00875862.1:</t>
  </si>
  <si>
    <t>IPI00269613.6:</t>
  </si>
  <si>
    <t>IPI00262605.6:IPI00649359.1:</t>
  </si>
  <si>
    <t>IPI00123639.1:</t>
  </si>
  <si>
    <t>IPI00111831.1:IPI00121297.1:</t>
  </si>
  <si>
    <t>IPI00387416.1:IPI00889833.1:</t>
  </si>
  <si>
    <t>IPI00128973.1:</t>
  </si>
  <si>
    <t>IPI00123709.1:IPI00867770.1:</t>
  </si>
  <si>
    <t>IPI00341944.5:IPI00623116.1:IPI00649076.1:IPI00649271.2:</t>
  </si>
  <si>
    <t>IPI00399905.5:IPI00857748.1:</t>
  </si>
  <si>
    <t>IPI00331321.1:IPI00555071.2:IPI00755220.1:</t>
  </si>
  <si>
    <t>IPI00311968.1:</t>
  </si>
  <si>
    <t>IPI00108478.1:IPI00131382.4:IPI00816944.2:</t>
  </si>
  <si>
    <t>IPI00749698.2:</t>
  </si>
  <si>
    <t>DCY00474667.2:</t>
  </si>
  <si>
    <t>DCY00125345.2:</t>
  </si>
  <si>
    <t>DCY00605624.1:</t>
  </si>
  <si>
    <t>DCY00330269.3:</t>
  </si>
  <si>
    <t>DCY00474131.2:</t>
  </si>
  <si>
    <t>DCY00828506.2:</t>
  </si>
  <si>
    <t>IPI00749760.1:IPI00754998.1:IPI00756354.1:IPI00757356.2:</t>
  </si>
  <si>
    <t>DCY00890209.1:</t>
  </si>
  <si>
    <t>DCY00620638.3:</t>
  </si>
  <si>
    <t>DCY00751034.2:</t>
  </si>
  <si>
    <t>DCY00403996.2:</t>
  </si>
  <si>
    <t>DCY00851092.1:</t>
  </si>
  <si>
    <t>IPI00378509.5:IPI00894916.1:IPI00895159.1:</t>
  </si>
  <si>
    <t>IPI00454001.4:IPI00469207.2:IPI00515675.2:IPI00556903.1:</t>
  </si>
  <si>
    <t>IPI00133193.3:</t>
  </si>
  <si>
    <t>IPI00111359.2:IPI00760002.1:</t>
  </si>
  <si>
    <t>DCY00172906.2:</t>
  </si>
  <si>
    <t>IPI00230035.7:</t>
  </si>
  <si>
    <t>IPI00123572.1:IPI00754168.2:</t>
  </si>
  <si>
    <t>Carbamidomethyl (C) {7,15}</t>
  </si>
  <si>
    <t>Carbamidomethyl (C) {25}</t>
  </si>
  <si>
    <t>Carbamidomethyl (C) {2,3,10}</t>
  </si>
  <si>
    <t>Oxidation (M) {20}</t>
  </si>
  <si>
    <t>Oxidation (M) {4,22}</t>
  </si>
  <si>
    <t>Oxidation (M) {9,11}</t>
  </si>
  <si>
    <t>Oxidation (M) {1,4}</t>
  </si>
  <si>
    <t>Carbamidomethyl (C) {20}</t>
  </si>
  <si>
    <t>Carbamidomethyl (C) {1,3}</t>
  </si>
  <si>
    <t>Oxidation (M) {18}</t>
  </si>
  <si>
    <t>Oxidation (M) {5,9}</t>
  </si>
  <si>
    <t>Oxidation (M) {5,8,9}</t>
  </si>
  <si>
    <t>Oxidation (M) {27}</t>
  </si>
  <si>
    <t>Oxidation (M) {1,27}</t>
  </si>
  <si>
    <t>Carbamidomethyl (C) {1,8}</t>
  </si>
  <si>
    <t>Oxidation (M) {13,27}</t>
  </si>
  <si>
    <t>Carbamidomethyl (C) {23}</t>
  </si>
  <si>
    <t>Carbamidomethyl (C) {3,9}</t>
  </si>
  <si>
    <t>Oxidation (M) {1,8}</t>
  </si>
  <si>
    <t>Carbamidomethyl (C) {6,8}</t>
  </si>
  <si>
    <t>Carbamidomethyl (C) {1,3,9}</t>
  </si>
  <si>
    <t>Carbamidomethyl (C) {4,9,10}</t>
  </si>
  <si>
    <t>ESFRVDLR</t>
  </si>
  <si>
    <t>ELDSSSSGPLSVQSLGNFK</t>
  </si>
  <si>
    <t>KSDLPDLGTIPMRPLAK</t>
  </si>
  <si>
    <t>LPGYAEVLLK</t>
  </si>
  <si>
    <t>SPFEVQVGPEAGMQK</t>
  </si>
  <si>
    <t>ALKFMLTNLK</t>
  </si>
  <si>
    <t>LVSNHSLHETSSVFVDSLTK</t>
  </si>
  <si>
    <t>LNIEVDAAPPVDLTR</t>
  </si>
  <si>
    <t>QDQSIVLLGSSGSGK</t>
  </si>
  <si>
    <t>SSQSSTLSHSNR</t>
  </si>
  <si>
    <t>DLAANDFVASVPGVILK</t>
  </si>
  <si>
    <t>AYDATTHFETTCDDIKDIYK</t>
  </si>
  <si>
    <t>LAEAPAELGKIEEPIIR</t>
  </si>
  <si>
    <t>LGDLYEEEMR</t>
  </si>
  <si>
    <t>SLAHADEAR</t>
  </si>
  <si>
    <t>FGGQADK</t>
  </si>
  <si>
    <t>DRSSSGQYAVK</t>
  </si>
  <si>
    <t>APRLFSTAQPQNLGK</t>
  </si>
  <si>
    <t>NQLEESEFTCAAAVK</t>
  </si>
  <si>
    <t>VDVGKDQEFTVK</t>
  </si>
  <si>
    <t>AKFENLCK</t>
  </si>
  <si>
    <t>YGVIILDEAHER</t>
  </si>
  <si>
    <t>LGIGQLTAQEVK</t>
  </si>
  <si>
    <t>RLLEGEEQR</t>
  </si>
  <si>
    <t>SGGKQEFAK</t>
  </si>
  <si>
    <t>VAVETAPPHSLPVTGAPR</t>
  </si>
  <si>
    <t>KVEAQLQELQVK</t>
  </si>
  <si>
    <t>FQIATVTEK</t>
  </si>
  <si>
    <t>TEELEVSNGHLVK</t>
  </si>
  <si>
    <t>NVVSGGYLVLYK</t>
  </si>
  <si>
    <t>RFTLWER</t>
  </si>
  <si>
    <t>LGLDIEIATYR</t>
  </si>
  <si>
    <t>AKQDMACLLK</t>
  </si>
  <si>
    <t>RDNDSYINVQEIK</t>
  </si>
  <si>
    <t>ETMQFLNDR</t>
  </si>
  <si>
    <t>VLAISPEEQK</t>
  </si>
  <si>
    <t>VYGTGSLALYEK</t>
  </si>
  <si>
    <t>AHAIAVDIR</t>
  </si>
  <si>
    <t>QIFLGGVDKR</t>
  </si>
  <si>
    <t>LHLEGQQVR</t>
  </si>
  <si>
    <t>VAASCGAIQYIPTELDQVR</t>
  </si>
  <si>
    <t>EALQLMATYLPK</t>
  </si>
  <si>
    <t>LLEGEEQRLCEGVGAVNVCVSSSR</t>
  </si>
  <si>
    <t>DLADELALVDVMEDK</t>
  </si>
  <si>
    <t>ASGDKEAEGAPQVEAGK</t>
  </si>
  <si>
    <t>LSSLHTLELR</t>
  </si>
  <si>
    <t>VIEGSFVYK</t>
  </si>
  <si>
    <t>QLVESDINGLRR</t>
  </si>
  <si>
    <t>QLVESDLNGLRR</t>
  </si>
  <si>
    <t>DIQTNVYIK</t>
  </si>
  <si>
    <t>APSEYGSHLNSSSR</t>
  </si>
  <si>
    <t>SLDANNASTK</t>
  </si>
  <si>
    <t>NRPPLAAGANSK</t>
  </si>
  <si>
    <t>KETEFLR</t>
  </si>
  <si>
    <t>FNEEHIPDSPFVVPVASPSGDAR</t>
  </si>
  <si>
    <t>ELLTTMGDR</t>
  </si>
  <si>
    <t>NSFQPISALR</t>
  </si>
  <si>
    <t>EYVECLEK</t>
  </si>
  <si>
    <t>AKPPPGGEQEPPPPAPQDVEMK</t>
  </si>
  <si>
    <t>EMSLYASLASEK</t>
  </si>
  <si>
    <t>NHEEEVNSLR</t>
  </si>
  <si>
    <t>TDAAVEMK</t>
  </si>
  <si>
    <t>MQQVGLAMPKTTLATAMFLR</t>
  </si>
  <si>
    <t>DAVTYTEHAK</t>
  </si>
  <si>
    <t>IAVHCTVR</t>
  </si>
  <si>
    <t>EVDIYTVK</t>
  </si>
  <si>
    <t>GDVVLQSDHVIETLTK</t>
  </si>
  <si>
    <t>TIVTTLQDSIR</t>
  </si>
  <si>
    <t>YETELSLR</t>
  </si>
  <si>
    <t>QLTFEEIAK</t>
  </si>
  <si>
    <t>KVATVPGTLK</t>
  </si>
  <si>
    <t>VELMPGMR</t>
  </si>
  <si>
    <t>EDPELVDTSK</t>
  </si>
  <si>
    <t>EFNAEVHR</t>
  </si>
  <si>
    <t>VKDQEEELDEQAGSIQMLEQAK</t>
  </si>
  <si>
    <t>GDPQVYEELFSYACPK</t>
  </si>
  <si>
    <t>EAYPEEAYIADLDAK</t>
  </si>
  <si>
    <t>EPLSLINLK</t>
  </si>
  <si>
    <t>TLCDYSKR</t>
  </si>
  <si>
    <t>DLGIPDGEAALVAK</t>
  </si>
  <si>
    <t>ELTQEVAEPEEAIVQIPQAGGENTITK</t>
  </si>
  <si>
    <t>YTISNALNLMQICK</t>
  </si>
  <si>
    <t>VCNAKASIVLK</t>
  </si>
  <si>
    <t>TNYNDRYDEIR</t>
  </si>
  <si>
    <t>TQNVLGEK</t>
  </si>
  <si>
    <t>LNNLVLFDK</t>
  </si>
  <si>
    <t>ELDMFDQK</t>
  </si>
  <si>
    <t>VWDVETGNCIHTLTGHQSLTSGMELK</t>
  </si>
  <si>
    <t>LPLQDVYK</t>
  </si>
  <si>
    <t>HATQAFFDCLR</t>
  </si>
  <si>
    <t>SELCLDLPEAPDDPAALETR</t>
  </si>
  <si>
    <t>LEAAVAEAEQQGEAALNDAK</t>
  </si>
  <si>
    <t>AMGIMNSFVNDIFER</t>
  </si>
  <si>
    <t>GWNECEQTVALLSLLK</t>
  </si>
  <si>
    <t>WSSLQLK</t>
  </si>
  <si>
    <t>ILDDLTLCK</t>
  </si>
  <si>
    <t>EITGLLLAVPSCDISLTDR</t>
  </si>
  <si>
    <t>VICILSHPIK</t>
  </si>
  <si>
    <t>LADSLVGK</t>
  </si>
  <si>
    <t>DTGHVYAMK</t>
  </si>
  <si>
    <t>NAFPDAWVKIDQCVAK</t>
  </si>
  <si>
    <t>GAPAVYSEK</t>
  </si>
  <si>
    <t>KVETLETANR</t>
  </si>
  <si>
    <t>DIVVQETMEDIDK</t>
  </si>
  <si>
    <t>FAVLHGEAPR</t>
  </si>
  <si>
    <t>GSFFKVTMAVPEDLR</t>
  </si>
  <si>
    <t>VQVQDNEGCSVEATVK</t>
  </si>
  <si>
    <t>EAAASLGQILQK</t>
  </si>
  <si>
    <t>IMADSGPIYDK</t>
  </si>
  <si>
    <t>MGPAMGPALGAGIER</t>
  </si>
  <si>
    <t>EAAEQDVEK</t>
  </si>
  <si>
    <t>VLEDVAAAEQGLR</t>
  </si>
  <si>
    <t>LAVFSIENFPFLKPNHNNTR</t>
  </si>
  <si>
    <t>VWDIETGQCLHVLMGHVAAVR</t>
  </si>
  <si>
    <t>LLIVSTSPYSEK</t>
  </si>
  <si>
    <t>DLGEGHFGK</t>
  </si>
  <si>
    <t>SEELSLPEGK</t>
  </si>
  <si>
    <t>QDIAFAYQR</t>
  </si>
  <si>
    <t>TIQNNFFDSSK</t>
  </si>
  <si>
    <t>EELEEVIKDI</t>
  </si>
  <si>
    <t>TGFSTSPESPYTHWK</t>
  </si>
  <si>
    <t>NLSLESQIK</t>
  </si>
  <si>
    <t>LTPEEIER</t>
  </si>
  <si>
    <t>IIKPGFIHSPWK</t>
  </si>
  <si>
    <t>HIMGQNVADYMR</t>
  </si>
  <si>
    <t>ERPAAISIEIK</t>
  </si>
  <si>
    <t>EFNGLGDCLTK</t>
  </si>
  <si>
    <t>MLLFTEVTR</t>
  </si>
  <si>
    <t>HQTLQGVAFPISR</t>
  </si>
  <si>
    <t>YKDDPVDLR</t>
  </si>
  <si>
    <t>ANIDVSGPK</t>
  </si>
  <si>
    <t>GQILMPNIGYGSNK</t>
  </si>
  <si>
    <t>VFLATNSDYK</t>
  </si>
  <si>
    <t>EAFELFDR</t>
  </si>
  <si>
    <t>ALPFWNEEIVPQIK</t>
  </si>
  <si>
    <t>KVTGTLDANR</t>
  </si>
  <si>
    <t>AEPPEMSQFLK</t>
  </si>
  <si>
    <t>LAILGIHNEVSK</t>
  </si>
  <si>
    <t>DLPEHAVLK</t>
  </si>
  <si>
    <t>TGVELGKPTHFTVNAK</t>
  </si>
  <si>
    <t>GAEILEVLHSLPAVR</t>
  </si>
  <si>
    <t>LSYLLPSARPELGVGPGR</t>
  </si>
  <si>
    <t>MQLPELPK</t>
  </si>
  <si>
    <t>DCLINAAK</t>
  </si>
  <si>
    <t>LDFDGLPSGIGK</t>
  </si>
  <si>
    <t>FPGYDSESK</t>
  </si>
  <si>
    <t>EKQPPIDNIIR</t>
  </si>
  <si>
    <t>EGNGPVTQWK</t>
  </si>
  <si>
    <t>GCLLYGPPGTGK</t>
  </si>
  <si>
    <t>DSADLKLLEK</t>
  </si>
  <si>
    <t>VINPGEQSDGELGFPETSSSLVLK</t>
  </si>
  <si>
    <t>DIPGLTDTTVPR</t>
  </si>
  <si>
    <t>QMEVQLEEEYEDK</t>
  </si>
  <si>
    <t>SVMDATQIAGLNCLR</t>
  </si>
  <si>
    <t>LSTLSDQVNQR</t>
  </si>
  <si>
    <t>EVEEWFTTQTEELNK</t>
  </si>
  <si>
    <t>QNHEQEVNTLR</t>
  </si>
  <si>
    <t>LQALQSQVEFLEQSMVDK</t>
  </si>
  <si>
    <t>LDDIFEPVLIPEPK</t>
  </si>
  <si>
    <t>FIQLLSDQSDQSVLIQK</t>
  </si>
  <si>
    <t>FSPGAPSGPGPQPNQK</t>
  </si>
  <si>
    <t>AQYDDVASR</t>
  </si>
  <si>
    <t>DAVSNTTNQLESK</t>
  </si>
  <si>
    <t>QLETIDQLHLEYAK</t>
  </si>
  <si>
    <t>QVQSLTCEVDALK</t>
  </si>
  <si>
    <t>LVSQIDNTK</t>
  </si>
  <si>
    <t>IMLPWDPSGK</t>
  </si>
  <si>
    <t>ALQFLEQVK</t>
  </si>
  <si>
    <t>QQLKAEVEK</t>
  </si>
  <si>
    <t>AHVAPCFDASK</t>
  </si>
  <si>
    <t>HQLPLVVDAICTR</t>
  </si>
  <si>
    <t>LMMADLGQVK</t>
  </si>
  <si>
    <t>QMQLENVSVALEFLDRESIK</t>
  </si>
  <si>
    <t>ATAENEFVVLKK</t>
  </si>
  <si>
    <t>TAAENEFVVLKK</t>
  </si>
  <si>
    <t>MEEADALIESLCR</t>
  </si>
  <si>
    <t>LECEINTYR</t>
  </si>
  <si>
    <t>IISSIEQKEENK</t>
  </si>
  <si>
    <t>MQSYNPEGESSGR</t>
  </si>
  <si>
    <t>VSVNPSYLVPESDYTNNVVR</t>
  </si>
  <si>
    <t>DASTLGLSQIK</t>
  </si>
  <si>
    <t>YGISLCQAILDETK</t>
  </si>
  <si>
    <t>MSLASCGTDWDIVR</t>
  </si>
  <si>
    <t>DVAIKEPLVDVVDPK</t>
  </si>
  <si>
    <t>LEMEMER</t>
  </si>
  <si>
    <t>ECLLEQIK</t>
  </si>
  <si>
    <t>DMAQMNDLQAQIEESNKEK</t>
  </si>
  <si>
    <t>VPEEEKETNVQVLMVLGAGR</t>
  </si>
  <si>
    <t>LFVGNLPTDITEEDFK</t>
  </si>
  <si>
    <t>GGTYYPVTVK</t>
  </si>
  <si>
    <t>MLVDDIGDVTITNDGATILK</t>
  </si>
  <si>
    <t>NLYHENIVK</t>
  </si>
  <si>
    <t>LGTLFLSLEYNFEK</t>
  </si>
  <si>
    <t>NGDYLCTLDYQR</t>
  </si>
  <si>
    <t>NCSSFLIK</t>
  </si>
  <si>
    <t>VLPTHDASK</t>
  </si>
  <si>
    <t>LDQIGEDELELLK</t>
  </si>
  <si>
    <t>TFTTGMAAVK</t>
  </si>
  <si>
    <t>GSMTMSCPWATPQLPDK</t>
  </si>
  <si>
    <t>IYEEQNR</t>
  </si>
  <si>
    <t>DIICQIAYAR</t>
  </si>
  <si>
    <t>TALEEQLSR</t>
  </si>
  <si>
    <t>VVSTHEQVLR</t>
  </si>
  <si>
    <t>LYHDIAQQAFK</t>
  </si>
  <si>
    <t>VTWDSSFCAVNPR</t>
  </si>
  <si>
    <t>SRAEAESWYR</t>
  </si>
  <si>
    <t>NSGVPDDIFK</t>
  </si>
  <si>
    <t>IAVYSCPFDGMITETK</t>
  </si>
  <si>
    <t>SGAQASSTPLSPTR</t>
  </si>
  <si>
    <t>TKYETEVSLR</t>
  </si>
  <si>
    <t>EPDPPYSVETPYGYR</t>
  </si>
  <si>
    <t>TEVSNNHVLIYLDK</t>
  </si>
  <si>
    <t>EMKPACIKALTR</t>
  </si>
  <si>
    <t>YFSSMAEFLK</t>
  </si>
  <si>
    <t>LTAELQDTK</t>
  </si>
  <si>
    <t>VADISGDTQK</t>
  </si>
  <si>
    <t>VLDGIPPPYDK</t>
  </si>
  <si>
    <t>MYEEFLSK</t>
  </si>
  <si>
    <t>FLEQQNKLLETK</t>
  </si>
  <si>
    <t>ELQTQYDALK</t>
  </si>
  <si>
    <t>ICLIHGPPGTGK</t>
  </si>
  <si>
    <t>EGVVEITGK</t>
  </si>
  <si>
    <t>RLENLASR</t>
  </si>
  <si>
    <t>LDLSDSIMLK</t>
  </si>
  <si>
    <t>DNQSGSLLFIGR</t>
  </si>
  <si>
    <t>GYEEWLLNEIR</t>
  </si>
  <si>
    <t>ARLECEINTYR</t>
  </si>
  <si>
    <t>ISELTSELTDER</t>
  </si>
  <si>
    <t>SEVLGGQK</t>
  </si>
  <si>
    <t>VVSSSIVDK</t>
  </si>
  <si>
    <t>KEELTLEGIR</t>
  </si>
  <si>
    <t>EEGPYEVEVTYDGVPVPGSPFPLEAVAPTKPSK</t>
  </si>
  <si>
    <t>GTEITHAVVIK</t>
  </si>
  <si>
    <t>GVILYGPPGTGK</t>
  </si>
  <si>
    <t>GVLLYGPPGTGK</t>
  </si>
  <si>
    <t>MPITADLVAPILR</t>
  </si>
  <si>
    <t>DFAMSKNNR</t>
  </si>
  <si>
    <t>VEEFGVVSNTR</t>
  </si>
  <si>
    <t>LAGVINFQRPK</t>
  </si>
  <si>
    <t>LFDSTTLEHQK</t>
  </si>
  <si>
    <t>SSLPRLLR</t>
  </si>
  <si>
    <t>LPIPHQAPGEMTQLPVIK</t>
  </si>
  <si>
    <t>LDDLSVLDLSHNQLTECPR</t>
  </si>
  <si>
    <t>EDMAPHIYAVAQTAYR</t>
  </si>
  <si>
    <t>SLHDALCVVK</t>
  </si>
  <si>
    <t>IITEGFEAAK</t>
  </si>
  <si>
    <t>MDPDSVVEWK</t>
  </si>
  <si>
    <t>CGPCNSFVR</t>
  </si>
  <si>
    <t>AVTSEIAVLQSR</t>
  </si>
  <si>
    <t>VESIYLNVESVSTHR</t>
  </si>
  <si>
    <t>THEAEIVEGENHTYCIR</t>
  </si>
  <si>
    <t>RLLEGEEHR</t>
  </si>
  <si>
    <t>FAAFIDK</t>
  </si>
  <si>
    <t>REIIGEEQR</t>
  </si>
  <si>
    <t>QVVSSSEQLQSCQAEIIELR</t>
  </si>
  <si>
    <t>TDEAAFQK</t>
  </si>
  <si>
    <t>FVSEDDRNTFTLK</t>
  </si>
  <si>
    <t>LCEGVGSVNVCVSSSR</t>
  </si>
  <si>
    <t>QAYTQFGGK</t>
  </si>
  <si>
    <t>TFLQELER</t>
  </si>
  <si>
    <t>NYIVVDEKR</t>
  </si>
  <si>
    <t>KVEAPFIPK</t>
  </si>
  <si>
    <t>LLASTLVHSVK</t>
  </si>
  <si>
    <t>DTGHIYAMK</t>
  </si>
  <si>
    <t>NFLGEK</t>
  </si>
  <si>
    <t>LVSIGAEEIVDGNAK</t>
  </si>
  <si>
    <t>VVSLEAELQDISSQESKDEASLAK</t>
  </si>
  <si>
    <t>IIEVGDTPK</t>
  </si>
  <si>
    <t>ELGIWEPLAVK</t>
  </si>
  <si>
    <t>LQVDALIDTIKR</t>
  </si>
  <si>
    <t>WILENDPTELDLR</t>
  </si>
  <si>
    <t>MHGIDADTSKVQGR</t>
  </si>
  <si>
    <t>FELSGIPPAPR</t>
  </si>
  <si>
    <t>DDEVQVVR</t>
  </si>
  <si>
    <t>QLEKGDVNVVDLK</t>
  </si>
  <si>
    <t>TLIAEGYPIPTKLPLTK</t>
  </si>
  <si>
    <t>EEINELNR</t>
  </si>
  <si>
    <t>LSVELQDLIR</t>
  </si>
  <si>
    <t>TPVEEVPAAIAPFQGR</t>
  </si>
  <si>
    <t>LGLDYEER</t>
  </si>
  <si>
    <t>ATAENEFVVLK</t>
  </si>
  <si>
    <t>TAAENEFVVLK</t>
  </si>
  <si>
    <t>YWPQEAGEYAVHVLCNSEDIR</t>
  </si>
  <si>
    <t>ILPQINPELLYQTSVSSQSFSPVK</t>
  </si>
  <si>
    <t>ASAVQGSIGFLASLQR</t>
  </si>
  <si>
    <t>VLDTNDR</t>
  </si>
  <si>
    <t>LTPEEEEILNKK</t>
  </si>
  <si>
    <t>NQGTSDFLPSRPR</t>
  </si>
  <si>
    <t>NVLVESEHQVK</t>
  </si>
  <si>
    <t>VPLIGSLSEAK</t>
  </si>
  <si>
    <t>QVEQCLK</t>
  </si>
  <si>
    <t>AQIGGPEAGK</t>
  </si>
  <si>
    <t>MIVTDIYNHR</t>
  </si>
  <si>
    <t>SIHDALCVIR</t>
  </si>
  <si>
    <t>SLHDALCVIR</t>
  </si>
  <si>
    <t>EIAQDFK</t>
  </si>
  <si>
    <t>LQVDALIDTIK</t>
  </si>
  <si>
    <t>QPTTEVDPTHFEK</t>
  </si>
  <si>
    <t>EGIDSDIGPFIK</t>
  </si>
  <si>
    <t>MWEVLESTTQTK</t>
  </si>
  <si>
    <t>CILQDGR</t>
  </si>
  <si>
    <t>QSSPASYTNELK</t>
  </si>
  <si>
    <t>TGEEIFGTIGMRPNAK</t>
  </si>
  <si>
    <t>AEAESWYR</t>
  </si>
  <si>
    <t>YGPMEEPQVIEK</t>
  </si>
  <si>
    <t>LSLGTYASLHGR</t>
  </si>
  <si>
    <t>NKDEEIQQLR</t>
  </si>
  <si>
    <t>AYGPGIEPTGNMVK</t>
  </si>
  <si>
    <t>TEPSEDSLSGQKGDSVSK</t>
  </si>
  <si>
    <t>NQTLTDWLLDAPK</t>
  </si>
  <si>
    <t>QIFLGGVDR</t>
  </si>
  <si>
    <t>LAELEGALQK</t>
  </si>
  <si>
    <t>DDDDVVIGK</t>
  </si>
  <si>
    <t>DGGQTAPASIR</t>
  </si>
  <si>
    <t>TVSSLGVAADGVAPVFK</t>
  </si>
  <si>
    <t>DILVEADGAWVVK</t>
  </si>
  <si>
    <t>CTLLAAQANK</t>
  </si>
  <si>
    <t>GYSFVTTAER</t>
  </si>
  <si>
    <t>DIAAYIK</t>
  </si>
  <si>
    <t>ATVEDEKLQGK</t>
  </si>
  <si>
    <t>QREVELLK</t>
  </si>
  <si>
    <t>NTDEMVELR</t>
  </si>
  <si>
    <t>EPEHFLYGGDLPSEESALK</t>
  </si>
  <si>
    <t>KFLDGIYVSEK</t>
  </si>
  <si>
    <t>TLIAEGYPIPTK</t>
  </si>
  <si>
    <t>QGYPDHMVFSEFR</t>
  </si>
  <si>
    <t>DLVVGTEAK</t>
  </si>
  <si>
    <t>EAFNMIDQNR</t>
  </si>
  <si>
    <t>SGQGAFGNMCR</t>
  </si>
  <si>
    <t>FLVEYIAPMTEK</t>
  </si>
  <si>
    <t>KYEEEVALR</t>
  </si>
  <si>
    <t>MKASLEK</t>
  </si>
  <si>
    <t>MQASIEK</t>
  </si>
  <si>
    <t>QFVTPADVVSGNPK</t>
  </si>
  <si>
    <t>GGELHFLQIGGTCDDIDEADILVDGSLSK</t>
  </si>
  <si>
    <t>RWVETAPR</t>
  </si>
  <si>
    <t>GTQGVVTNFEIFR</t>
  </si>
  <si>
    <t>SDLEAQVESLKEELLCLK</t>
  </si>
  <si>
    <t>ELADLMTR</t>
  </si>
  <si>
    <t>EKDMLLAEAFSLK</t>
  </si>
  <si>
    <t>TKEEINELNR</t>
  </si>
  <si>
    <t>MIQDGKGDVTITNDGATILK</t>
  </si>
  <si>
    <t>VCGDSDKGFVVINQK</t>
  </si>
  <si>
    <t>VNEIVETNRPDSK</t>
  </si>
  <si>
    <t>DLALEK</t>
  </si>
  <si>
    <t>NPPIDDLIK</t>
  </si>
  <si>
    <t>NPQSYLYLVK</t>
  </si>
  <si>
    <t>LSLDESLWQSLDLAGK</t>
  </si>
  <si>
    <t>ESESCDCLQGFQLTHSLGGGTGSGMGTLLISK</t>
  </si>
  <si>
    <t>AIETDKEYYTVK</t>
  </si>
  <si>
    <t>QGPEESGLGEGTK</t>
  </si>
  <si>
    <t>DVYTGDALR</t>
  </si>
  <si>
    <t>QEYDEAGPSIVHR</t>
  </si>
  <si>
    <t>TLQVFGIVPEGTLQLLR</t>
  </si>
  <si>
    <t>DMAQMNDLQAQIEESNK</t>
  </si>
  <si>
    <t>KTFTTGMAAVK</t>
  </si>
  <si>
    <t>LSDPGIPVSVLTR</t>
  </si>
  <si>
    <t>IAAETELNQSYK</t>
  </si>
  <si>
    <t>DVLSVAFSSDNR</t>
  </si>
  <si>
    <t>DSLAEVEEK</t>
  </si>
  <si>
    <t>AGTQIENIEEDFR</t>
  </si>
  <si>
    <t>FASFINK</t>
  </si>
  <si>
    <t>SIDPVLMAPTCVFLASK</t>
  </si>
  <si>
    <t>EYQEVMNSK</t>
  </si>
  <si>
    <t>ELLTLDEK</t>
  </si>
  <si>
    <t>LLDYVATVEDEAAAAK</t>
  </si>
  <si>
    <t>TEEQIAAEEAWYETEK</t>
  </si>
  <si>
    <t>IIGLDQVAGMSETALPGAFK</t>
  </si>
  <si>
    <t>VLALEILPER</t>
  </si>
  <si>
    <t>QMTDPNVALTFLEK</t>
  </si>
  <si>
    <t>ALTQTGGPHVK</t>
  </si>
  <si>
    <t>GIGTNEQAIIDVLTK</t>
  </si>
  <si>
    <t>DEFPLLTTK</t>
  </si>
  <si>
    <t>AKEAAEQDVEK</t>
  </si>
  <si>
    <t>VGVLAASMEAK</t>
  </si>
  <si>
    <t>ATSNVFAMFDQSQIQEFK</t>
  </si>
  <si>
    <t>VEDLTFTSPFCLQVK</t>
  </si>
  <si>
    <t>TLHSDNEGSVIDDSR</t>
  </si>
  <si>
    <t>ETMQSLNDR</t>
  </si>
  <si>
    <t>GVDEVTIVNILTNR</t>
  </si>
  <si>
    <t>FVFHNEQVYCPDCAK</t>
  </si>
  <si>
    <t>AIQLEYSEAR</t>
  </si>
  <si>
    <t>SSSYSGSGSSR</t>
  </si>
  <si>
    <t>QGQGQLVTCSGAFK</t>
  </si>
  <si>
    <t>FKGPFTDVVTTNLK</t>
  </si>
  <si>
    <t>AVDIPHMDIEALK</t>
  </si>
  <si>
    <t>AALEEVEGDVAELELK</t>
  </si>
  <si>
    <t>TYEAALETIQNMSK</t>
  </si>
  <si>
    <t>ELAGALK</t>
  </si>
  <si>
    <t>DVDEVSSLLR</t>
  </si>
  <si>
    <t>ELETQISELQEDLESER</t>
  </si>
  <si>
    <t>VTAEVVLVHPGGGSTSR</t>
  </si>
  <si>
    <t>HFSPEELK</t>
  </si>
  <si>
    <t>EFQEQLESAR</t>
  </si>
  <si>
    <t>DVKPDNLLLDAK</t>
  </si>
  <si>
    <t>LQNVAITGPAVPYSR</t>
  </si>
  <si>
    <t>VYNYNHLMPTR</t>
  </si>
  <si>
    <t>QSGESIDIITR</t>
  </si>
  <si>
    <t>TDAAVEMKR</t>
  </si>
  <si>
    <t>MLVSGAGDIK</t>
  </si>
  <si>
    <t>LFSYYGPQEGDK</t>
  </si>
  <si>
    <t>IAGYVTHLMK</t>
  </si>
  <si>
    <t>QLLDSGLPSLLVR</t>
  </si>
  <si>
    <t>LNDYWNEMK</t>
  </si>
  <si>
    <t>GQYNTYPIK</t>
  </si>
  <si>
    <t>ELQTQYDALKK</t>
  </si>
  <si>
    <t>IYLMSDK</t>
  </si>
  <si>
    <t>LSKEEIER</t>
  </si>
  <si>
    <t>ATFYGEQVDYYK</t>
  </si>
  <si>
    <t>KVETYTSENNELWK</t>
  </si>
  <si>
    <t>GKLDVQFSGLAK</t>
  </si>
  <si>
    <t>GIPIGMLVLGNK</t>
  </si>
  <si>
    <t>QNPATQNAPR</t>
  </si>
  <si>
    <t>SNDIDLEGFDSVISSTEK</t>
  </si>
  <si>
    <t>VFIMDSCDELIPEYLNFIR</t>
  </si>
  <si>
    <t>TCGSYCGGR</t>
  </si>
  <si>
    <t>LGMTDAFGGR</t>
  </si>
  <si>
    <t>YSPSEAGLHEMDIR</t>
  </si>
  <si>
    <t>FAAFIDKVR</t>
  </si>
  <si>
    <t>TSFFLGEVGNAAK</t>
  </si>
  <si>
    <t>ALTNLPHTDFTLCK</t>
  </si>
  <si>
    <t>IAALQAFADQLIAVDHYAK</t>
  </si>
  <si>
    <t>SSLNSQPPTEEK</t>
  </si>
  <si>
    <t>DTKEEMSELAR</t>
  </si>
  <si>
    <t>LAIHNPNLPATLPVNSPTLPPVR</t>
  </si>
  <si>
    <t>IAVAAQNCYK</t>
  </si>
  <si>
    <t>VGQEIEVRPGIVSK</t>
  </si>
  <si>
    <t>FQLQLLR</t>
  </si>
  <si>
    <t>APSWIDTGLSEMR</t>
  </si>
  <si>
    <t>ATWIGASGDQTFLR</t>
  </si>
  <si>
    <t>QSSETPQPVLR</t>
  </si>
  <si>
    <t>IEVPLHSLMAQTQLK</t>
  </si>
  <si>
    <t>AAYFGVYDTAK</t>
  </si>
  <si>
    <t>KLEDGPK</t>
  </si>
  <si>
    <t>DGFSLASQLK</t>
  </si>
  <si>
    <t>EAECVEADSGR</t>
  </si>
  <si>
    <t>LLLLLVGTDFNR</t>
  </si>
  <si>
    <t>EANNFLWPFK</t>
  </si>
  <si>
    <t>KIQDLAIR</t>
  </si>
  <si>
    <t>SSQYLMEVAHDLR</t>
  </si>
  <si>
    <t>DSAQDVQAK</t>
  </si>
  <si>
    <t>VFLENVIR</t>
  </si>
  <si>
    <t>ISMPDIDLNLK</t>
  </si>
  <si>
    <t>AEAGVPAEFGIWTR</t>
  </si>
  <si>
    <t>SAGQGEVLVYVEDPAGHQEEAK</t>
  </si>
  <si>
    <t>LYLNSNKLDFDGLPSGIGK</t>
  </si>
  <si>
    <t>GVVEVTHDLQK</t>
  </si>
  <si>
    <t>NLPIYSEEIVEMYK</t>
  </si>
  <si>
    <t>TVLMLADQMISR</t>
  </si>
  <si>
    <t>TNGKEPELLEPIPYEFMA</t>
  </si>
  <si>
    <t>GSNTDAPDVMTGNCLLQR</t>
  </si>
  <si>
    <t>CKDGVVFGVEK</t>
  </si>
  <si>
    <t>GIHETTFNSIMK</t>
  </si>
  <si>
    <t>ALLADAQIMLDHLK</t>
  </si>
  <si>
    <t>LQQELDDLLVDLDHQR</t>
  </si>
  <si>
    <t>LEMYVLNPVK</t>
  </si>
  <si>
    <t>VQIEHISSLIK</t>
  </si>
  <si>
    <t>QVGYEDQWLQLLR</t>
  </si>
  <si>
    <t>TSYAQHQQVR</t>
  </si>
  <si>
    <t>NLFNVVDCK</t>
  </si>
  <si>
    <t>IFAPNHVVAK</t>
  </si>
  <si>
    <t>TVVIGEQEQR</t>
  </si>
  <si>
    <t>TEQGEEEEEEDEEEEEEK</t>
  </si>
  <si>
    <t>MPCLYLQTLAR</t>
  </si>
  <si>
    <t>NHEEEVNTLR</t>
  </si>
  <si>
    <t>IMPDSNDSPPAER</t>
  </si>
  <si>
    <t>LEEQNPDIVSEK</t>
  </si>
  <si>
    <t>ITFGFISCPICK</t>
  </si>
  <si>
    <t>ELGSECGIEFDEEK</t>
  </si>
  <si>
    <t>LDGSHQELETLK</t>
  </si>
  <si>
    <t>DDETMYVESK</t>
  </si>
  <si>
    <t>AAYFGIYDTAK</t>
  </si>
  <si>
    <t>NYIVVDEK</t>
  </si>
  <si>
    <t>CQLGDRLNVEVDAAPTVDLNR</t>
  </si>
  <si>
    <t>DVDIIDHHDNTYTVK</t>
  </si>
  <si>
    <t>VPFDAATLHTSTAMAAQHGMDDDGTGQK</t>
  </si>
  <si>
    <t>VPLEVQEADEAK</t>
  </si>
  <si>
    <t>EIRPALELLEPIEQK</t>
  </si>
  <si>
    <t>CSQAVYAAEK</t>
  </si>
  <si>
    <t>TLGDTGFMPPDK</t>
  </si>
  <si>
    <t>YYQTIGNHASYYK</t>
  </si>
  <si>
    <t>TIIQNPTDQQK</t>
  </si>
  <si>
    <t>TLTEDEIATILK</t>
  </si>
  <si>
    <t>ICDDELILIK</t>
  </si>
  <si>
    <t>TPLYSQLLQAYK</t>
  </si>
  <si>
    <t>VTMAVPEDLR</t>
  </si>
  <si>
    <t>GQLCELSCSTDYR</t>
  </si>
  <si>
    <t>DKWLAPDGLIFPDR</t>
  </si>
  <si>
    <t>ATLYVTAIEDR</t>
  </si>
  <si>
    <t>LWTLVSEQTR</t>
  </si>
  <si>
    <t>GANDFMCDEMER</t>
  </si>
  <si>
    <t>NENQLIIFADDTYPR</t>
  </si>
  <si>
    <t>ASNIVMLR</t>
  </si>
  <si>
    <t>GSLPTSGNISGFVR</t>
  </si>
  <si>
    <t>NNASTDYDLSDK</t>
  </si>
  <si>
    <t>QDMACLLK</t>
  </si>
  <si>
    <t>IACLDFSLQK</t>
  </si>
  <si>
    <t>LNISFPATGCQK</t>
  </si>
  <si>
    <t>AFSPTTVNTGR</t>
  </si>
  <si>
    <t>FSLDSQVNHR</t>
  </si>
  <si>
    <t>SLFSATPLTTDDGVLLR</t>
  </si>
  <si>
    <t>VDILDPALLR</t>
  </si>
  <si>
    <t>EPGEVVDSLVGK</t>
  </si>
  <si>
    <t>SESEVEEAAAIIAQRPDNPR</t>
  </si>
  <si>
    <t>LTLSEGHPETPVDGDAGK</t>
  </si>
  <si>
    <t>AEDGILENGTDAHVMDLQR</t>
  </si>
  <si>
    <t>LYGPSSVSFADDFVR</t>
  </si>
  <si>
    <t>LFDQAFGVPR</t>
  </si>
  <si>
    <t>QVAEAYEVLSDAK</t>
  </si>
  <si>
    <t>LDNDPQGYLSQPLR</t>
  </si>
  <si>
    <t>AVEELLESLDLEK</t>
  </si>
  <si>
    <t>QNSVADEVGLLPQK</t>
  </si>
  <si>
    <t>CNEIISWLDKNQTAEK</t>
  </si>
  <si>
    <t>VFIGNLNTLVVK</t>
  </si>
  <si>
    <t>YPVNSVNILK</t>
  </si>
  <si>
    <t>VDFPTAIGVVLER</t>
  </si>
  <si>
    <t>LKVPPAINQFTQALDR</t>
  </si>
  <si>
    <t>IDVSSTEGYDLFITQLK</t>
  </si>
  <si>
    <t>AVDIPHMDIEALKK</t>
  </si>
  <si>
    <t>LTAEIENAKCQR</t>
  </si>
  <si>
    <t>TPQEDYVEAAVK</t>
  </si>
  <si>
    <t>YLTTAVITNK</t>
  </si>
  <si>
    <t>TVLDPVTGDLSDTR</t>
  </si>
  <si>
    <t>STPAITLENPDIK</t>
  </si>
  <si>
    <t>QVVSSSEQLQSCQAEIIELRR</t>
  </si>
  <si>
    <t>KDVDCAYLR</t>
  </si>
  <si>
    <t>DFTSLENTVEER</t>
  </si>
  <si>
    <t>ICDQWDNLGALTQK</t>
  </si>
  <si>
    <t>GFGFGQGAGALVHSE</t>
  </si>
  <si>
    <t>IPWIAPECVEDSK</t>
  </si>
  <si>
    <t>LPVVIGGLLDVDCSEDVIK</t>
  </si>
  <si>
    <t>AALSGANVLTLIEK</t>
  </si>
  <si>
    <t>EQLAIAEFAR</t>
  </si>
  <si>
    <t>GQSPLHILGQYGK</t>
  </si>
  <si>
    <t>ATAGDTHLGGEDFDNR</t>
  </si>
  <si>
    <t>TPEPFLSLSLDK</t>
  </si>
  <si>
    <t>VVSLEAELQDISSQESK</t>
  </si>
  <si>
    <t>ELLVNLNPIAQPLASR</t>
  </si>
  <si>
    <t>CAPGVVGPTEADIDFDIIR</t>
  </si>
  <si>
    <t>QADLYISEGLHPR</t>
  </si>
  <si>
    <t>DALVDFSEQYGPETDPYFIQDR</t>
  </si>
  <si>
    <t>ILDELTLCK</t>
  </si>
  <si>
    <t>MLVLDEADEMLNK</t>
  </si>
  <si>
    <t>TQVTVQYMQDR</t>
  </si>
  <si>
    <t>QIMENAEINNIIK</t>
  </si>
  <si>
    <t>QCQMFTDQIQVLQQR</t>
  </si>
  <si>
    <t>LAASGEGGLQELSGHFENQK</t>
  </si>
  <si>
    <t>LIMEFLPSGSLK</t>
  </si>
  <si>
    <t>VVPINTPTAAVEQK</t>
  </si>
  <si>
    <t>SGEYSCIFLPEPVGR</t>
  </si>
  <si>
    <t>EGIVGVTEEQVHR</t>
  </si>
  <si>
    <t>LNSLMSLVNK</t>
  </si>
  <si>
    <t>ISGLIYEETR</t>
  </si>
  <si>
    <t>NALESYAFNMK</t>
  </si>
  <si>
    <t>DFLAGGVAAAISK</t>
  </si>
  <si>
    <t>GIYAYGFEKPSAIQQR</t>
  </si>
  <si>
    <t>TAAYGHFGR</t>
  </si>
  <si>
    <t>FQDLGAAYEVLSDSEK</t>
  </si>
  <si>
    <t>YGASLLHTYAGPSLLVLSTR</t>
  </si>
  <si>
    <t>DEINLHQLNDEGK</t>
  </si>
  <si>
    <t>VSLDVNHFAPEELTVK</t>
  </si>
  <si>
    <t>LFSYYGPQEGDKK</t>
  </si>
  <si>
    <t>TLSTSSIQNEIPK</t>
  </si>
  <si>
    <t>FVSISDLFVPK</t>
  </si>
  <si>
    <t>LSGSNPYTTVTPQIINSK</t>
  </si>
  <si>
    <t>IGAEVYHNLK</t>
  </si>
  <si>
    <t>QPEQSEDHQVLAVDYILVSHEK</t>
  </si>
  <si>
    <t>QMEVQLEEEYEDKQK</t>
  </si>
  <si>
    <t>NLTHNPPSDFSFQNMNSK</t>
  </si>
  <si>
    <t>VNVGAGSHPNK</t>
  </si>
  <si>
    <t>GCGQLDLLGVPFASLK</t>
  </si>
  <si>
    <t>LMNETTAVALAYGIYK</t>
  </si>
  <si>
    <t>EVEERPAPTPWGSK</t>
  </si>
  <si>
    <t>ERDFTSLENTVEER</t>
  </si>
  <si>
    <t>GPGLYYVDSEGNR</t>
  </si>
  <si>
    <t>IFATSTEPVLQQELQLK</t>
  </si>
  <si>
    <t>QLAAAFQEEFTVR</t>
  </si>
  <si>
    <t>GTVLEQVSVKPTLYIIK</t>
  </si>
  <si>
    <t>LEINFEQLLR</t>
  </si>
  <si>
    <t>LSFEEIER</t>
  </si>
  <si>
    <t>SSLQTMESDVYTEVR</t>
  </si>
  <si>
    <t>FLEMCDDLLAR</t>
  </si>
  <si>
    <t>TIEELQQK</t>
  </si>
  <si>
    <t>IISNLFLGR</t>
  </si>
  <si>
    <t>NLNHSLPSDFTFQNMNSK</t>
  </si>
  <si>
    <t>QTLFASQVMR</t>
  </si>
  <si>
    <t>ELANLGGVCAAALMK</t>
  </si>
  <si>
    <t>LGGSLADSYLDEGFLLDK</t>
  </si>
  <si>
    <t>IIPDSNYYFPAAEQEPGEVLDSLVGK</t>
  </si>
  <si>
    <t>TVNTLEIELQAQHSLR</t>
  </si>
  <si>
    <t>SPATSPISSNSHR</t>
  </si>
  <si>
    <t>IKDINDQMDESSR</t>
  </si>
  <si>
    <t>TCTTVAFTQVNSEDEGALAK</t>
  </si>
  <si>
    <t>IGLFYMDNDLITR</t>
  </si>
  <si>
    <t>HQEGEIFDTEK</t>
  </si>
  <si>
    <t>VTVLFAGQHIAK</t>
  </si>
  <si>
    <t>YLLQYQEPIPCEQLVTALCDIK</t>
  </si>
  <si>
    <t>RSENEEFVEVGR</t>
  </si>
  <si>
    <t>GIDPFSLDALAK</t>
  </si>
  <si>
    <t>MEEPPAVSLLQDWSK</t>
  </si>
  <si>
    <t>IDRYTQQGFGNLPICMAK</t>
  </si>
  <si>
    <t>TALALAIAQELGSK</t>
  </si>
  <si>
    <t>TLASAGGPDNLVLLDPGK</t>
  </si>
  <si>
    <t>ETDDTLVLSFVGQTR</t>
  </si>
  <si>
    <t>QLEEAEEEAQR</t>
  </si>
  <si>
    <t>DALNIETAVK</t>
  </si>
  <si>
    <t>GTGAASFDEFGNSK</t>
  </si>
  <si>
    <t>FIIENTDLAVANSIR</t>
  </si>
  <si>
    <t>IWCFGPDGTGPNILTDITK</t>
  </si>
  <si>
    <t>AMEVEMEDLHLQIDDIAK</t>
  </si>
  <si>
    <t>VISGVLQLGNIAFK</t>
  </si>
  <si>
    <t>LEVGLEQQAELMLK</t>
  </si>
  <si>
    <t>LTSLFPIAYDGEVLLR</t>
  </si>
  <si>
    <t>ISGADINSICQESGMLAVR</t>
  </si>
  <si>
    <t>TLHLPVSTTLSDVLDR</t>
  </si>
  <si>
    <t>QGLLSEVNFASLVGK</t>
  </si>
  <si>
    <t>YIAIVSTTVETKEPEK</t>
  </si>
  <si>
    <t>DLYANNVLSGGTTMYPGIADR</t>
  </si>
  <si>
    <t>LMDLDVEQLGIPEQEYSCVIK</t>
  </si>
  <si>
    <t>LDHDGAILDVDEDDIEK</t>
  </si>
  <si>
    <t>NTNDANSCQIIIPQNQVNR</t>
  </si>
  <si>
    <t>YLATLETLTK</t>
  </si>
  <si>
    <t>VTLYDPMSGILTSVQTK</t>
  </si>
  <si>
    <t>FGGEHVPNSPFQVTALAGDQPTVQTPLR</t>
  </si>
  <si>
    <t>NFINNPLAQADWAAK</t>
  </si>
  <si>
    <t>IEGDMIVCAAYAHELPK</t>
  </si>
  <si>
    <t>CTAPQYVDFVMSSVQK</t>
  </si>
  <si>
    <t>GISCMNTTVSESPFK</t>
  </si>
  <si>
    <t>SSTAISTSPLLTAPHK</t>
  </si>
  <si>
    <t>TLPAQGMGTAEVLER</t>
  </si>
  <si>
    <t>GVNLPGAAVDLPAVSEK</t>
  </si>
  <si>
    <t>VSHLLGINVTDFTR</t>
  </si>
  <si>
    <t>VTNGAFTGEISPGMIK</t>
  </si>
  <si>
    <t>EKFENLGIQPPK</t>
  </si>
  <si>
    <t>LEEACDMALELNASK</t>
  </si>
  <si>
    <t>TAVETAVLLLR</t>
  </si>
  <si>
    <t>QLASALSYLEDK</t>
  </si>
  <si>
    <t>LNVEVDAAPPVDLNR</t>
  </si>
  <si>
    <t>YIPVQQGPVGVNVTYGGDHIPK</t>
  </si>
  <si>
    <t>QVCGDYLLSR</t>
  </si>
  <si>
    <t>SEFDGDLQSQLLSK</t>
  </si>
  <si>
    <t>VLQQGDIGECAEPYMIFK</t>
  </si>
  <si>
    <t>SELLVVTQER</t>
  </si>
  <si>
    <t>AYLPVNESFGFTADLR</t>
  </si>
  <si>
    <t>FSVCVLGDQQHCDEAK</t>
  </si>
  <si>
    <t>EISFAYEVLSNPEK</t>
  </si>
  <si>
    <t>TVFAEHISDECK</t>
  </si>
  <si>
    <t>MDLSPDLISACLALEK</t>
  </si>
  <si>
    <t>ESDTGLAPPALWDLAADK</t>
  </si>
  <si>
    <t>FLAVGLVDNTVR</t>
  </si>
  <si>
    <t>CKLAELEGALQK</t>
  </si>
  <si>
    <t>QMQLENVSVALEFLDR</t>
  </si>
  <si>
    <t>TQDGETALQLAIK</t>
  </si>
  <si>
    <t>TVTAMDVVYALK</t>
  </si>
  <si>
    <t>TTGIVLDSGDGVTHNVPIYEGYALPHAIMR</t>
  </si>
  <si>
    <t>ERDLGIPDGEAALVAK</t>
  </si>
  <si>
    <t>SQNVMAAASIANIVK</t>
  </si>
  <si>
    <t>GLVFDTLYGNLLK</t>
  </si>
  <si>
    <t>LIALLEVLSQK</t>
  </si>
  <si>
    <t>ESTALTSNLVEGQVPHDSSKPLVAGR</t>
  </si>
  <si>
    <t>ASLLGDMHFR</t>
  </si>
  <si>
    <t>VPSTEAEALASSLMGLFEK</t>
  </si>
  <si>
    <t>YLDEDTIYHLQPSGR</t>
  </si>
  <si>
    <t>YPIEHGIVTNWDDMEK</t>
  </si>
  <si>
    <t>LEEDQEDMNELMK</t>
  </si>
  <si>
    <t>QADEEFQILANSWR</t>
  </si>
  <si>
    <t>YLMEEDEDAYKK</t>
  </si>
  <si>
    <t>NSLENTLTESEAR</t>
  </si>
  <si>
    <t>SMLEVNYPMENGIVR</t>
  </si>
  <si>
    <t>NLTEDNSQNQDVIAK</t>
  </si>
  <si>
    <t>FGEDVLEVIK</t>
  </si>
  <si>
    <t>VYENYSFEELR</t>
  </si>
  <si>
    <t>WMEANQHSLNILGQK</t>
  </si>
  <si>
    <t>GVNTGAVGSYIYDKDPEGTVQP</t>
  </si>
  <si>
    <t>VSALDLAVLDQVEAR</t>
  </si>
  <si>
    <t>NNVTPDMMEEMYK</t>
  </si>
  <si>
    <t>MEDTTQDVEHGAWALGNK</t>
  </si>
  <si>
    <t>YQEELNFDNPLGMR</t>
  </si>
  <si>
    <t>TVNALEIELQAQHSMR</t>
  </si>
  <si>
    <t>AVDENNESTACFLIR</t>
  </si>
  <si>
    <t>MIAGQVLDINLAAEPK</t>
  </si>
  <si>
    <t>KVPGVTAIELGEETCTFR</t>
  </si>
  <si>
    <t>VPAGNWVLIEGVDQPIVK</t>
  </si>
  <si>
    <t>ATAENEFVALKK</t>
  </si>
  <si>
    <t>FDSELSQAHEETQR</t>
  </si>
  <si>
    <t>LSITLVGSHVLGSEDR</t>
  </si>
  <si>
    <t>RFDSELSQAHEETQR</t>
  </si>
  <si>
    <t>GNLFGEMAQLAVGGPEK</t>
  </si>
  <si>
    <t>SLNPELGTDADKEQWK</t>
  </si>
  <si>
    <t>ALEEAGNSGILSLSGR</t>
  </si>
  <si>
    <t>LGDLQADSDESQR</t>
  </si>
  <si>
    <t>LGSGEYTAEELCIR</t>
  </si>
  <si>
    <t>SMEAEMIQLQEELAAAER</t>
  </si>
  <si>
    <t>WEESGPQFITNCEEVR</t>
  </si>
  <si>
    <t>ENAYDLEANLAVLK</t>
  </si>
  <si>
    <t>DPDQTDGPGLGYLSSHIANVER</t>
  </si>
  <si>
    <t>LVVQIDNAKLAADDFR</t>
  </si>
  <si>
    <t>AKIHDIVLVGGSTR</t>
  </si>
  <si>
    <t>AQIHDLVLVGGSTR</t>
  </si>
  <si>
    <t>TQGFLALFSGDTGEIK</t>
  </si>
  <si>
    <t>FQESTSEGKPPLEDVFK</t>
  </si>
  <si>
    <t>ENIPELEQLSIGSR</t>
  </si>
  <si>
    <t>GTYTTDDSPSDIAEIR</t>
  </si>
  <si>
    <t>DDVIANAPTTHTEEYSGEEK</t>
  </si>
  <si>
    <t>QRDELGQGLQGVEQK</t>
  </si>
  <si>
    <t>SFMEQPLGESFSSFR</t>
  </si>
  <si>
    <t>VINQILTEMDGMSTK</t>
  </si>
  <si>
    <t>ATCIGNNSAAAVSMLK</t>
  </si>
  <si>
    <t>EDLMGLAIGTHGANIQQAR</t>
  </si>
  <si>
    <t>VQGGALEESQLVAGVAFK</t>
  </si>
  <si>
    <t>KDLYANNVLSGGTTMYPGIADR</t>
  </si>
  <si>
    <t>GFEVVYMTEPIDEYCVQQLK</t>
  </si>
  <si>
    <t>LEDLASLVYLNESSVLHTLR</t>
  </si>
  <si>
    <t>VYSILASTLKDEGK</t>
  </si>
  <si>
    <t>DMLEASILDTYLGK</t>
  </si>
  <si>
    <t>HYAGDVVYSAIGFIDK</t>
  </si>
  <si>
    <t>TAFDEAIAELDTLNEESYK</t>
  </si>
  <si>
    <t>LQGTSGPLLLTEEEKR</t>
  </si>
  <si>
    <t>EDIYAVEIVGGATR</t>
  </si>
  <si>
    <t>LSGEAFDWLLGEIESK</t>
  </si>
  <si>
    <t>SEVDEMAVQLDDVFR</t>
  </si>
  <si>
    <t>SPSDSSTASTPIAEQIER</t>
  </si>
  <si>
    <t>DAGVIAGLNVLR</t>
  </si>
  <si>
    <t>TCTTVAFTQVNSEDK</t>
  </si>
  <si>
    <t>YDPEGDNTGEQVAVK</t>
  </si>
  <si>
    <t>EMMLSIINSSITTK</t>
  </si>
  <si>
    <t>FVVDLSDQVAPTDIEEGMR</t>
  </si>
  <si>
    <t>TSELLSGMGVSALEK</t>
  </si>
  <si>
    <t>TVDNFVALATGEK</t>
  </si>
  <si>
    <t>TYIPALEQSADGHKDTGASSK</t>
  </si>
  <si>
    <t>SFANTLVDVCAYAGSGNVLK</t>
  </si>
  <si>
    <t>EESAADWALYTYEDGSDDLK</t>
  </si>
  <si>
    <t>LQNLSLEGLQLSDPIVK</t>
  </si>
  <si>
    <t>DDPLTNLNTAFDVAER</t>
  </si>
  <si>
    <t>SPPLLGSESPYEDFLSADSK</t>
  </si>
  <si>
    <t>AHLSENELEALEK</t>
  </si>
  <si>
    <t>LQQELEDKMEVEQQSR</t>
  </si>
  <si>
    <t>VVSVIAELLSTK</t>
  </si>
  <si>
    <t>IEGDETSTEAATR</t>
  </si>
  <si>
    <t>IDEALINSHVLATSEIFASK</t>
  </si>
  <si>
    <t>LNETDHNGDLALDLALSR</t>
  </si>
  <si>
    <t>AQEQLATALQNLEEAEK</t>
  </si>
  <si>
    <t>DINKLEEQNPDIVSEK</t>
  </si>
  <si>
    <t>VQETSAESVDATSHQLQELR</t>
  </si>
  <si>
    <t>SAAEVAQDVFDAVGK</t>
  </si>
  <si>
    <t>YINENLIINTDELGR</t>
  </si>
  <si>
    <t>TDDYLDQPCCETINR</t>
  </si>
  <si>
    <t>IPEISIQDMTAQVTSPSGK</t>
  </si>
  <si>
    <t>IQALQQQADDAEDR</t>
  </si>
  <si>
    <t>GLVEPVDVVDNADGTQTVNYVPSR</t>
  </si>
  <si>
    <t>NTGESASQLLDAETAER</t>
  </si>
  <si>
    <t>VMEINYFGPVALTK</t>
  </si>
  <si>
    <t>KTCTTVAFTQVNSEDK</t>
  </si>
  <si>
    <t>KYGGISTASVDFEQPTR</t>
  </si>
  <si>
    <t>GYLVTQDELDQTLEEFK</t>
  </si>
  <si>
    <t>YTLPPGVDPTLVSSSLSPEGTLTVEAPLPK</t>
  </si>
  <si>
    <t>SPLYVQSMEEELDVTGSK</t>
  </si>
  <si>
    <t>ILTEAEIDAHLVALAERD</t>
  </si>
  <si>
    <t>NKPLNSLALEEVAGLSSQSR</t>
  </si>
  <si>
    <t>VATAQDDITGDGTTSNVLIIGELLK</t>
  </si>
  <si>
    <t>QTIENSQGAYQEAFDISK</t>
  </si>
  <si>
    <t>GTGFGTGSTASGWDVEQALTK</t>
  </si>
  <si>
    <t>SSITPGTVLIILTGR</t>
  </si>
  <si>
    <t>AAYLLGCSLEELSSAIFK</t>
  </si>
  <si>
    <t>TQLEELEDELQATEDAK</t>
  </si>
  <si>
    <t>LQVELDSVTGLLSQSDSK</t>
  </si>
  <si>
    <t>QAFDDAIAELDTLNEDSYK</t>
  </si>
  <si>
    <t>AAEINGEVDDDDAGGEWR</t>
  </si>
  <si>
    <t>SQHVQVEEGSEPDAFWEALGGK</t>
  </si>
  <si>
    <t>AGSATVLSGSIAGLEGGSQLALR</t>
  </si>
  <si>
    <t>FLVYVANFDEKDPR</t>
  </si>
  <si>
    <t>MFYSFQDK</t>
  </si>
  <si>
    <t>DVAVDTVK</t>
  </si>
  <si>
    <t>SSCSWTQLGTFK</t>
  </si>
  <si>
    <t>GSTPTQISEIIIR</t>
  </si>
  <si>
    <t>SVQPPNSTSDSNNGLGNWR</t>
  </si>
  <si>
    <t>QVIGTGSFFPK</t>
  </si>
  <si>
    <t>VLFASQEIPASPFR</t>
  </si>
  <si>
    <t>EGESELNR</t>
  </si>
  <si>
    <t>GAGAYICGEETALIESIEGK</t>
  </si>
  <si>
    <t>KTLQPAGASLGK</t>
  </si>
  <si>
    <t>IASLEGGR</t>
  </si>
  <si>
    <t>ITITNDK</t>
  </si>
  <si>
    <t>QAPSIATIGSTCDLNLK</t>
  </si>
  <si>
    <t>NQLTAMSSVLAK</t>
  </si>
  <si>
    <t>EAGDGVFECEYYPVVPGK</t>
  </si>
  <si>
    <t>QATVAFCSSLEGVISFLDK</t>
  </si>
  <si>
    <t>YGIPEPPEPK</t>
  </si>
  <si>
    <t>AQQQDKPPR</t>
  </si>
  <si>
    <t>MQLLELIR</t>
  </si>
  <si>
    <t>GPGLSQAFVGQK</t>
  </si>
  <si>
    <t>VGIVAWHPTAR</t>
  </si>
  <si>
    <t>YCFGVEDTLK</t>
  </si>
  <si>
    <t>DGDLFMSYR</t>
  </si>
  <si>
    <t>DVNHNSK</t>
  </si>
  <si>
    <t>LPALVPPPPPALR</t>
  </si>
  <si>
    <t>FQPYVQYCLR</t>
  </si>
  <si>
    <t>RSITSPPSTSSTK</t>
  </si>
  <si>
    <t>DLDAPDDVDFF</t>
  </si>
  <si>
    <t>SADESGQALLAASHYASDEVR</t>
  </si>
  <si>
    <t>TEFNYFTETR</t>
  </si>
  <si>
    <t>GLPSTASGR</t>
  </si>
  <si>
    <t>ATSRPLSETGIR</t>
  </si>
  <si>
    <t>LESLPPQMR</t>
  </si>
  <si>
    <t>VGSLDNVGHLPAGGAVK</t>
  </si>
  <si>
    <t>AWIKRPR</t>
  </si>
  <si>
    <t>FVADGIFK</t>
  </si>
  <si>
    <t>TPADCPVIAIDSFR</t>
  </si>
  <si>
    <t>GIPLESTDGER</t>
  </si>
  <si>
    <t>VESPVLPPVLVPR</t>
  </si>
  <si>
    <t>STDEVDSKR</t>
  </si>
  <si>
    <t>SLESTTLTEK</t>
  </si>
  <si>
    <t>QTLQSEQPLQVAR</t>
  </si>
  <si>
    <t>VDIMAPSR</t>
  </si>
  <si>
    <t>VAQPSITDNK</t>
  </si>
  <si>
    <t>NLQEAEEWYK</t>
  </si>
  <si>
    <t>NVEYEIWLK</t>
  </si>
  <si>
    <t>EILELEEDEKVIPTK</t>
  </si>
  <si>
    <t>VDIDVPDVNIEGPEGK</t>
  </si>
  <si>
    <t>VDPEIQNVK</t>
  </si>
  <si>
    <t>ILAEGGGAK</t>
  </si>
  <si>
    <t>TTIFSPEGR</t>
  </si>
  <si>
    <t>RSGPIKPEK</t>
  </si>
  <si>
    <t>TTGLVSLVMPLDK</t>
  </si>
  <si>
    <t>LASYLDK</t>
  </si>
  <si>
    <t>QVTITGSAASISLAQYLINAR</t>
  </si>
  <si>
    <t>DAMVFTK</t>
  </si>
  <si>
    <t>GTFFPMGDEGASSQVGR</t>
  </si>
  <si>
    <t>ELSQSTHVR</t>
  </si>
  <si>
    <t>DVKPDNFLMGLGK</t>
  </si>
  <si>
    <t>KFVAGGGANSR</t>
  </si>
  <si>
    <t>QFVAGGGANSR</t>
  </si>
  <si>
    <t>CPENAFFLDHVR</t>
  </si>
  <si>
    <t>VNINVPMK</t>
  </si>
  <si>
    <t>KSFNDDAMLIEK</t>
  </si>
  <si>
    <t>NSFQPISALRDDER</t>
  </si>
  <si>
    <t>LFELSELR</t>
  </si>
  <si>
    <t>EASLLIK</t>
  </si>
  <si>
    <t>KSANILK</t>
  </si>
  <si>
    <t>QASLNIK</t>
  </si>
  <si>
    <t>TGHYLTVK</t>
  </si>
  <si>
    <t>TSTSPIVKSFNR</t>
  </si>
  <si>
    <t>NGHVGISFVPK</t>
  </si>
  <si>
    <t>ASAIVSK</t>
  </si>
  <si>
    <t>ASALVSK</t>
  </si>
  <si>
    <t>MNDKDDPK</t>
  </si>
  <si>
    <t>LRLEMEMER</t>
  </si>
  <si>
    <t>EHNGQVTGIDWAPESNR</t>
  </si>
  <si>
    <t>LEGGLDKLK</t>
  </si>
  <si>
    <t>MSIGGSNK</t>
  </si>
  <si>
    <t>KECNLVR</t>
  </si>
  <si>
    <t>LIVTSATMDAEK</t>
  </si>
  <si>
    <t>CLATGPGIAPTVK</t>
  </si>
  <si>
    <t>SCNCLLLK</t>
  </si>
  <si>
    <t>QELAALTLK</t>
  </si>
  <si>
    <t>LFSGSNTLHLVSTTK</t>
  </si>
  <si>
    <t>VETGVLKPGMVVTFAPVNVTTEVK</t>
  </si>
  <si>
    <t>VKETADFK</t>
  </si>
  <si>
    <t>TRLEISNPIPIK</t>
  </si>
  <si>
    <t>LTAEDLYEAR</t>
  </si>
  <si>
    <t>ACVQVLDPK</t>
  </si>
  <si>
    <t>MVEGFFDR</t>
  </si>
  <si>
    <t>DEEVEEAR</t>
  </si>
  <si>
    <t>LDPHLVLDQLR</t>
  </si>
  <si>
    <t>SMAPRTNLAK</t>
  </si>
  <si>
    <t>VPELNVQNGVLK</t>
  </si>
  <si>
    <t>LVVLGSGGVGK</t>
  </si>
  <si>
    <t>QIEGLGAR</t>
  </si>
  <si>
    <t>LGNSCEFR</t>
  </si>
  <si>
    <t>LESLVQEPR</t>
  </si>
  <si>
    <t>EDFSSLSAQLLYK</t>
  </si>
  <si>
    <t>ALEHFTDLYDIK</t>
  </si>
  <si>
    <t>QTATQLLK</t>
  </si>
  <si>
    <t>LAPGNCLAILR</t>
  </si>
  <si>
    <t>ELDIAMIEQLR</t>
  </si>
  <si>
    <t>LALELEHER</t>
  </si>
  <si>
    <t>TGMILLAGEITSR</t>
  </si>
  <si>
    <t>EMKDSLAEVEEK</t>
  </si>
  <si>
    <t>NELLTTTVPEIQR</t>
  </si>
  <si>
    <t>EALLGVQEDVDEYVK</t>
  </si>
  <si>
    <t>LAQDPFPLYPGELLEK</t>
  </si>
  <si>
    <t>DAGQGLLTVQILDPEGKPK</t>
  </si>
  <si>
    <t>FALGISAINEAVDSGDVGR</t>
  </si>
  <si>
    <t>APLIVQFSSPLPGEAVK</t>
  </si>
  <si>
    <t>VETPVLPPVLVPR</t>
  </si>
  <si>
    <t>DATSDLAIIAR</t>
  </si>
  <si>
    <t>DYQTLPDGHMPAVR</t>
  </si>
  <si>
    <t>FDVLAPHLTK</t>
  </si>
  <si>
    <t>LLEGEEER</t>
  </si>
  <si>
    <t>GLAITFVSDENDAK</t>
  </si>
  <si>
    <t>FLEEFITPIVK</t>
  </si>
  <si>
    <t>VEPGPGAPAAVLAR</t>
  </si>
  <si>
    <t>SSLQENLDLKDK</t>
  </si>
  <si>
    <t>VSMIGAWR</t>
  </si>
  <si>
    <t>TTKPQAQPER</t>
  </si>
  <si>
    <t>GGPGSAVSPYPSFNVSSDVAALHK</t>
  </si>
  <si>
    <t>VLIPIHEANR</t>
  </si>
  <si>
    <t>LLTSQDLQFQR</t>
  </si>
  <si>
    <t>KDDPVTNLNNAFEVAEK</t>
  </si>
  <si>
    <t>QLEALGLAEKPQLVTR</t>
  </si>
  <si>
    <t>EHALLAYTLGVK</t>
  </si>
  <si>
    <t>KLPPTASPVSAK</t>
  </si>
  <si>
    <t>QLEQVHAVIGPK</t>
  </si>
  <si>
    <t>GGCAQQATGWR</t>
  </si>
  <si>
    <t>QNFEIGNNFAR</t>
  </si>
  <si>
    <t>AEISFEDRK</t>
  </si>
  <si>
    <t>NKDWVFINYTYK</t>
  </si>
  <si>
    <t>FYDLSSK</t>
  </si>
  <si>
    <t>LEEAILGSIGAR</t>
  </si>
  <si>
    <t>LSDGNEYLFQAK</t>
  </si>
  <si>
    <t>VVHFAEPGAGTK</t>
  </si>
  <si>
    <t>MAEVLVTGEQLR</t>
  </si>
  <si>
    <t>ATEGMVVADK</t>
  </si>
  <si>
    <t>ASSTCQLTFENVK</t>
  </si>
  <si>
    <t>MGTVNGSLR</t>
  </si>
  <si>
    <t>GTLDLQVIR</t>
  </si>
  <si>
    <t>SNFEEALAAHK</t>
  </si>
  <si>
    <t>HALQSASAGSGSFTDVR</t>
  </si>
  <si>
    <t>TKELSPELK</t>
  </si>
  <si>
    <t>IYIDSNNNPER</t>
  </si>
  <si>
    <t>ADFSGMSSK</t>
  </si>
  <si>
    <t>EIEILR</t>
  </si>
  <si>
    <t>EIELLR</t>
  </si>
  <si>
    <t>ELEILR</t>
  </si>
  <si>
    <t>ELELLR</t>
  </si>
  <si>
    <t>GGYFPENVK</t>
  </si>
  <si>
    <t>IEEELGSK</t>
  </si>
  <si>
    <t>KFDQLLAEEK</t>
  </si>
  <si>
    <t>IQPSGGTNINEALLR</t>
  </si>
  <si>
    <t>EVRMMAQATLFIPR</t>
  </si>
  <si>
    <t>GGPAEGQLQENDR</t>
  </si>
  <si>
    <t>DQLLLGPTYATPK</t>
  </si>
  <si>
    <t>CLHPLASETFVSK</t>
  </si>
  <si>
    <t>QPEEDFQCIVYFWQGR</t>
  </si>
  <si>
    <t>NPLGNCGDINLVR</t>
  </si>
  <si>
    <t>QVNQPLK</t>
  </si>
  <si>
    <t>FESLEPEMNNQASR</t>
  </si>
  <si>
    <t>DLVEFPPDDIEVVYSPR</t>
  </si>
  <si>
    <t>LNLCGCSGFSESAVATLLSSCSR</t>
  </si>
  <si>
    <t>YVVISQGLDKPR</t>
  </si>
  <si>
    <t>VPQTFTVDCSQAGR</t>
  </si>
  <si>
    <t>ADFCIIHYAGK</t>
  </si>
  <si>
    <t>APSDDGSLK</t>
  </si>
  <si>
    <t>FLEQQNAALAAEVNR</t>
  </si>
  <si>
    <t>EIDAALQK</t>
  </si>
  <si>
    <t>FVTGDIIQIINK</t>
  </si>
  <si>
    <t>LLEVLSGER</t>
  </si>
  <si>
    <t>VDNEILDYKDLAAIPK</t>
  </si>
  <si>
    <t>KDSAQDVQAK</t>
  </si>
  <si>
    <t>SINDNIAIFTDVQKR</t>
  </si>
  <si>
    <t>SIGVYDVVELK</t>
  </si>
  <si>
    <t>NGALLSNVR</t>
  </si>
  <si>
    <t>TVENVTVFGTASASK</t>
  </si>
  <si>
    <t>TFSVWYVPEVTGTHK</t>
  </si>
  <si>
    <t>ILPNVPEVEDSTDFFK</t>
  </si>
  <si>
    <t>LTLDTIFVPNTGK</t>
  </si>
  <si>
    <t>ASTNAMLISAGLPPLK</t>
  </si>
  <si>
    <t>TILAVTRPFISSK</t>
  </si>
  <si>
    <t>TLLAVTRPFISSK</t>
  </si>
  <si>
    <t>LFTTVRPLIQVQLSEEQIR</t>
  </si>
  <si>
    <t>LDPGAVSDVPEAIK</t>
  </si>
  <si>
    <t>EQFWEQAK</t>
  </si>
  <si>
    <t>TFSYAGFEMQPK</t>
  </si>
  <si>
    <t>TEAPEDVDLDLKK</t>
  </si>
  <si>
    <t>YTCICYEGYK</t>
  </si>
  <si>
    <t>LNSGLGQLILK</t>
  </si>
  <si>
    <t>IYVDDGLISLQVK</t>
  </si>
  <si>
    <t>VSTTENSLVALSVPAEDDTCNSQVK</t>
  </si>
  <si>
    <t>IGMDALQIYPISQANANQR</t>
  </si>
  <si>
    <t>SSVAVPYVIVPLK</t>
  </si>
  <si>
    <t>ELLEIVK</t>
  </si>
  <si>
    <t>DVLLQVEDERR</t>
  </si>
  <si>
    <t>LYSVSYLLK</t>
  </si>
  <si>
    <t>VYALPEDLVEVKPK</t>
  </si>
  <si>
    <t>ASPVVEERPDKDFAEK</t>
  </si>
  <si>
    <t>CSILSPELALPTGSR</t>
  </si>
  <si>
    <t>HLTLFQAACR</t>
  </si>
  <si>
    <t>NSLPDALLPNLLDR</t>
  </si>
  <si>
    <t>SNQQLENDLNLMDIK</t>
  </si>
  <si>
    <t>VQFELHYQEVK</t>
  </si>
  <si>
    <t>DIEVEPVQQGEK</t>
  </si>
  <si>
    <t>LDVQFSGLAK</t>
  </si>
  <si>
    <t>YGFIEGNVVIPR</t>
  </si>
  <si>
    <t>SVGGSGGGSFGDNLVTR</t>
  </si>
  <si>
    <t>EYQDLLNVK</t>
  </si>
  <si>
    <t>LTDQLPLIIVCDR</t>
  </si>
  <si>
    <t>FADQHVPGSPFSVK</t>
  </si>
  <si>
    <t>HSQAVEELADQLEQTKR</t>
  </si>
  <si>
    <t>MVVASDK</t>
  </si>
  <si>
    <t>AVEDIHGLFSLSK</t>
  </si>
  <si>
    <t>LEVSYQGLDTENQR</t>
  </si>
  <si>
    <t>EAMECSDVIWQR</t>
  </si>
  <si>
    <t>AMADPEVQQIMSDPAMR</t>
  </si>
  <si>
    <t>ATLPDADKER</t>
  </si>
  <si>
    <t>AEHVVVPIVTFNK</t>
  </si>
  <si>
    <t>GPSFNVASPESDFGVSLK</t>
  </si>
  <si>
    <t>VLVGANFEEVAFDEK</t>
  </si>
  <si>
    <t>ALTVPELTQQMFDSK</t>
  </si>
  <si>
    <t>FCANTCVDCR</t>
  </si>
  <si>
    <t>SMVLDDDSPEIYK</t>
  </si>
  <si>
    <t>NLALQLEQESNKR</t>
  </si>
  <si>
    <t>RGDLPFVVTR</t>
  </si>
  <si>
    <t>IVSPSGAAVPCK</t>
  </si>
  <si>
    <t>LTWLYQLSK</t>
  </si>
  <si>
    <t>ALEQQVEEMK</t>
  </si>
  <si>
    <t>DLDIAGFTQK</t>
  </si>
  <si>
    <t>LAASQTSVPFDHLGK</t>
  </si>
  <si>
    <t>FNGTHIPGSPFK</t>
  </si>
  <si>
    <t>MGDADYLAAWHR</t>
  </si>
  <si>
    <t>ALDTMNFDVIK</t>
  </si>
  <si>
    <t>GPTEQLVSPEPEVHDIER</t>
  </si>
  <si>
    <t>MSLLQLVEILR</t>
  </si>
  <si>
    <t>VFFTDYGQIPK</t>
  </si>
  <si>
    <t>DVTNNVHYENYR</t>
  </si>
  <si>
    <t>FEELCSDLFR</t>
  </si>
  <si>
    <t>LKAEAELLQQQK</t>
  </si>
  <si>
    <t>NAGYGGLGLSIEGPSK</t>
  </si>
  <si>
    <t>DIVHSGLAYTMER</t>
  </si>
  <si>
    <t>ISLPLPTFSSLNLR</t>
  </si>
  <si>
    <t>ALFNAQFGSIFR</t>
  </si>
  <si>
    <t>TPQISMSDIDLNVK</t>
  </si>
  <si>
    <t>AFCEPGNVENNGVLSFIK</t>
  </si>
  <si>
    <t>VLLLSQDYGK</t>
  </si>
  <si>
    <t>EILELEEDEK</t>
  </si>
  <si>
    <t>LVDALMGAEIR</t>
  </si>
  <si>
    <t>HLLGVEDLLQK</t>
  </si>
  <si>
    <t>GFGFGGFAISAGK</t>
  </si>
  <si>
    <t>NTLLIAGLQAR</t>
  </si>
  <si>
    <t>IEELQLIVNDK</t>
  </si>
  <si>
    <t>EAIVTSEELGQDLEHVEVLQK</t>
  </si>
  <si>
    <t>NTSVVDSEPVR</t>
  </si>
  <si>
    <t>QMEVMEMEVMEAR</t>
  </si>
  <si>
    <t>DSLVEFDEEFIQR</t>
  </si>
  <si>
    <t>SQLLGSAHEVQR</t>
  </si>
  <si>
    <t>GSDGAASSYQLK</t>
  </si>
  <si>
    <t>ITDLYTDLR</t>
  </si>
  <si>
    <t>ATDLFDELVAHEVAR</t>
  </si>
  <si>
    <t>DYMDTLPPTVGDDVGK</t>
  </si>
  <si>
    <t>KIISNLFLGR</t>
  </si>
  <si>
    <t>DAVDWVHYK</t>
  </si>
  <si>
    <t>LLANQQVFHISCFR</t>
  </si>
  <si>
    <t>DYSIAAGLQYEVGDK</t>
  </si>
  <si>
    <t>IMENNLESELK</t>
  </si>
  <si>
    <t>SSISALNSSQLEPVVR</t>
  </si>
  <si>
    <t>GGPNIITLADIVK</t>
  </si>
  <si>
    <t>EKLEMEMEAAR</t>
  </si>
  <si>
    <t>LALETTVLVESYTLPDGR</t>
  </si>
  <si>
    <t>VPAINVNDSVTK</t>
  </si>
  <si>
    <t>TADDPSLSLIK</t>
  </si>
  <si>
    <t>VQANLDTPDINIEGPEAK</t>
  </si>
  <si>
    <t>SVILEAFSSPSEEVK</t>
  </si>
  <si>
    <t>DAGEGLLAVQITDQEGKPQR</t>
  </si>
  <si>
    <t>FPAAQAPDPNEIPK</t>
  </si>
  <si>
    <t>ALASLMTYK</t>
  </si>
  <si>
    <t>YGGPYHIGGSPFK</t>
  </si>
  <si>
    <t>SNLGSVVLQLK</t>
  </si>
  <si>
    <t>KEEELQAALAR</t>
  </si>
  <si>
    <t>LAALADQWQFLVQK</t>
  </si>
  <si>
    <t>IGNLQTDLSDGLR</t>
  </si>
  <si>
    <t>YAIGSLNEGR</t>
  </si>
  <si>
    <t>YFPTQALNFAFK</t>
  </si>
  <si>
    <t>FQIQDISVETEDNKEK</t>
  </si>
  <si>
    <t>AVTQSAEITIPVTFEAR</t>
  </si>
  <si>
    <t>QILLYSATFPLSVQK</t>
  </si>
  <si>
    <t>LGSLPEEIGQLK</t>
  </si>
  <si>
    <t>VAEFTTNLMEEEEK</t>
  </si>
  <si>
    <t>VDIEAPDVSIEGPEGK</t>
  </si>
  <si>
    <t>TTLLAGDIEHPR</t>
  </si>
  <si>
    <t>IICTGATSEEEAK</t>
  </si>
  <si>
    <t>RLEEDTEETSGLLEQLR</t>
  </si>
  <si>
    <t>CLASTAYAPEATDYDLR</t>
  </si>
  <si>
    <t>DLDDFQSWLSR</t>
  </si>
  <si>
    <t>VQSGSESVIQEYVDLR</t>
  </si>
  <si>
    <t>ALSSEGKPYVTK</t>
  </si>
  <si>
    <t>SEALFSESAQEQVK</t>
  </si>
  <si>
    <t>VKGDVDVSLPK</t>
  </si>
  <si>
    <t>VCGCDLAQGGFFIK</t>
  </si>
  <si>
    <t>YWVPVEYEEEEKTEDK</t>
  </si>
  <si>
    <t>SSCCLGLSR</t>
  </si>
  <si>
    <t>DLDIIDNYDYSHTVK</t>
  </si>
  <si>
    <t>NEVQLLEIEK</t>
  </si>
  <si>
    <t>LYSLPNPSVLVSLR</t>
  </si>
  <si>
    <t>RAVEELLESLDLEK</t>
  </si>
  <si>
    <t>AIVAGDQNVEYK</t>
  </si>
  <si>
    <t>QLLEEMLTSYR</t>
  </si>
  <si>
    <t>VQVYLHESTQDELAR</t>
  </si>
  <si>
    <t>NCAASGSDPTDLNSPLLFGR</t>
  </si>
  <si>
    <t>ILAQDGEGQPIDIQMK</t>
  </si>
  <si>
    <t>GVVPEDAVETLAGSLGTR</t>
  </si>
  <si>
    <t>ETLSTQLDLAETK</t>
  </si>
  <si>
    <t>LQTLKEELDFQK</t>
  </si>
  <si>
    <t>AVAALLTIPEAEK</t>
  </si>
  <si>
    <t>ILLAELEQLK</t>
  </si>
  <si>
    <t>TLSPTPSAEGYQDVR</t>
  </si>
  <si>
    <t>GLRPLELPVTPVIEQGNK</t>
  </si>
  <si>
    <t>DDGSWEVIEGYR</t>
  </si>
  <si>
    <t>DSDDYAQLCNIPVTGR</t>
  </si>
  <si>
    <t>ALVADSHPESER</t>
  </si>
  <si>
    <t>SPFEVQVSPEAGAQK</t>
  </si>
  <si>
    <t>DILVEADSLWVVK</t>
  </si>
  <si>
    <t>DALLSALSIQNYHLECNETK</t>
  </si>
  <si>
    <t>YLLSQSSPAPLTAAEEELR</t>
  </si>
  <si>
    <t>EAYTAVVYHNR</t>
  </si>
  <si>
    <t>VAVTEGCQPSR</t>
  </si>
  <si>
    <t>EGSYSISVLYGEEEVPR</t>
  </si>
  <si>
    <t>DMLLAEAFSLK</t>
  </si>
  <si>
    <t>DLALGLVPGDR</t>
  </si>
  <si>
    <t>NTVANSPQTLLAGMNK</t>
  </si>
  <si>
    <t>GASIVEDKLVEDLK</t>
  </si>
  <si>
    <t>LEEDQEDMNELMKK</t>
  </si>
  <si>
    <t>LQDEIQNMKEEMAR</t>
  </si>
  <si>
    <t>GPSVDVEVPDVDLECPDAK</t>
  </si>
  <si>
    <t>MQSLDKDIVALMVR</t>
  </si>
  <si>
    <t>ASELATLIQTK</t>
  </si>
  <si>
    <t>MATYQVVELR</t>
  </si>
  <si>
    <t>LMVEFPLDPALSK</t>
  </si>
  <si>
    <t>VAVGQEQAFSVNTR</t>
  </si>
  <si>
    <t>FIVDGDTPLIENGK</t>
  </si>
  <si>
    <t>DEMHAQLQELENK</t>
  </si>
  <si>
    <t>LEGDSDVDSELEDR</t>
  </si>
  <si>
    <t>LDKMDEEEVEVFLPK</t>
  </si>
  <si>
    <t>ATGGLHTQEVEQSLK</t>
  </si>
  <si>
    <t>APLQVAVLGPTGVAEPVEVR</t>
  </si>
  <si>
    <t>AQSTGGSSDPVLHEK</t>
  </si>
  <si>
    <t>LEAQLASLR</t>
  </si>
  <si>
    <t>APAVATVGSICDLNLK</t>
  </si>
  <si>
    <t>MVILNNLEELEQK</t>
  </si>
  <si>
    <t>AQTLPTSVVTITSESSPGKR</t>
  </si>
  <si>
    <t>ITEGDLSQLTASIR</t>
  </si>
  <si>
    <t>VESLLVTAISK</t>
  </si>
  <si>
    <t>RLGDLQADSDESQR</t>
  </si>
  <si>
    <t>VVLAYEPVWAIGTGK</t>
  </si>
  <si>
    <t>LVHQNSASDDAEASMISK</t>
  </si>
  <si>
    <t>MTGSEFDFEEMKR</t>
  </si>
  <si>
    <t>NLLYIYPQSLNFANR</t>
  </si>
  <si>
    <t>LAAVDATVNQVLASR</t>
  </si>
  <si>
    <t>EEIQSSISGVTAAYNR</t>
  </si>
  <si>
    <t>IMCHLEEVGLAAR</t>
  </si>
  <si>
    <t>KVEDLFLTFAK</t>
  </si>
  <si>
    <t>IINEPTAAAIAYGLDR</t>
  </si>
  <si>
    <t>LQALDTGWNELHK</t>
  </si>
  <si>
    <t>NKLEGDSDVDSELEDR</t>
  </si>
  <si>
    <t>LSVDNNTSATDYK</t>
  </si>
  <si>
    <t>QGQIDNQYQSLLELGEK</t>
  </si>
  <si>
    <t>VGQAVDVVGQAGKPK</t>
  </si>
  <si>
    <t>KEDFSSLSAQLLYK</t>
  </si>
  <si>
    <t>SAEDLDLLNASFQDESK</t>
  </si>
  <si>
    <t>CAAEENCLASSAYR</t>
  </si>
  <si>
    <t>LVSPGSANETSSILVESVTR</t>
  </si>
  <si>
    <t>LEALAADFSSNWQK</t>
  </si>
  <si>
    <t>DFSALESQLQDTQELLQEENR</t>
  </si>
  <si>
    <t>SQNIITDSSSLNAEAIR</t>
  </si>
  <si>
    <t>TEDPSDSGGLGSTADAVGSSLK</t>
  </si>
  <si>
    <t>MAATFIGNSTAIQELFK</t>
  </si>
  <si>
    <t>DQEEELDEQAGSIQMLEQAK</t>
  </si>
  <si>
    <t>VQNATLAVANITNADSATR</t>
  </si>
  <si>
    <t>SSAATANASSASCSR</t>
  </si>
  <si>
    <t>TQTAIASEDMPNTLTEAEK</t>
  </si>
  <si>
    <t>VANPSGNLTDTYVQDCGDGTYK</t>
  </si>
  <si>
    <t>MSATFIGNSTAIQELFK</t>
  </si>
  <si>
    <t>VKLDHDGAILDVDEDDIEK</t>
  </si>
  <si>
    <t>IIGAVDQIQLTQAQLEER</t>
  </si>
  <si>
    <t>AAEAGVTEEQYGYLGTSAK</t>
  </si>
  <si>
    <t>AFGSGYRR</t>
  </si>
  <si>
    <t>SVLLELTAALTEGVVNGKK</t>
  </si>
  <si>
    <t>GGCSSESSR</t>
  </si>
  <si>
    <t>QQVEQLSSSLKLK</t>
  </si>
  <si>
    <t>IYASAVVVCKQIGSMPQDSAK</t>
  </si>
  <si>
    <t>WQGEEVPR</t>
  </si>
  <si>
    <t>YFNYEDSASTCKIK</t>
  </si>
  <si>
    <t>FQMRGEGPTR</t>
  </si>
  <si>
    <t>LDIDPGCEALGRCPVPER</t>
  </si>
  <si>
    <t>YTDYFVIGSGTSTR</t>
  </si>
  <si>
    <t>TGPEFLLPR</t>
  </si>
  <si>
    <t>NQVAMNPQNTVFDAK</t>
  </si>
  <si>
    <t>MTELVYLEQVLK</t>
  </si>
  <si>
    <t>QFVEMVNGTDSEVR</t>
  </si>
  <si>
    <t>IIGATDSSGELMFLMK</t>
  </si>
  <si>
    <t>DPRTIMR</t>
  </si>
  <si>
    <t>TCLEAVVK</t>
  </si>
  <si>
    <t>KPEDLELR</t>
  </si>
  <si>
    <t>LKNSVLRPPMGSR</t>
  </si>
  <si>
    <t>EQQGFYLAPQANKK</t>
  </si>
  <si>
    <t>QGCARPPGVR</t>
  </si>
  <si>
    <t>LADLEISR</t>
  </si>
  <si>
    <t>HVLVTLGEK</t>
  </si>
  <si>
    <t>SIISGSAYSR</t>
  </si>
  <si>
    <t>SSPGDLSANR</t>
  </si>
  <si>
    <t>SPAAPSPLALR</t>
  </si>
  <si>
    <t>QPEPLNSR</t>
  </si>
  <si>
    <t>NLAMGVNLTSMSK</t>
  </si>
  <si>
    <t>QMGAANETTAFAGCEGEMGSNFQPAVR</t>
  </si>
  <si>
    <t>WESTTQPDGQPPVK</t>
  </si>
  <si>
    <t>MVQEAEKYK</t>
  </si>
  <si>
    <t>SDQVNGVLVLSLLDK</t>
  </si>
  <si>
    <t>NSPTDTILFIRAAR</t>
  </si>
  <si>
    <t>NLCSDDTPMVR</t>
  </si>
  <si>
    <t>CIIQVTILLAK</t>
  </si>
  <si>
    <t>CAGCTNPISGLGGTK</t>
  </si>
  <si>
    <t>IQQNTFTR</t>
  </si>
  <si>
    <t>ETVLSEGTMEQELR</t>
  </si>
  <si>
    <t>QAEMLQNLTPPPSYAATIASK</t>
  </si>
  <si>
    <t>QVEPLDPPAGSAPGER</t>
  </si>
  <si>
    <t>GISQEQMNEFR</t>
  </si>
  <si>
    <t>IIRPSETAGR</t>
  </si>
  <si>
    <t>DLMACAQTGSGK</t>
  </si>
  <si>
    <t>SQQLDSNVAMPK</t>
  </si>
  <si>
    <t>LLGWIQNK</t>
  </si>
  <si>
    <t>GCHLLVATPGR</t>
  </si>
  <si>
    <t>LQGTSGPLLLTEEEK</t>
  </si>
  <si>
    <t>MTETPIQEEQASIK</t>
  </si>
  <si>
    <t>LPGNQIFGYGQSK</t>
  </si>
  <si>
    <t>RTDEAAFQK</t>
  </si>
  <si>
    <t>RPAPSGGGGASGDLR</t>
  </si>
  <si>
    <t>VIGGDDLSTLTGK</t>
  </si>
  <si>
    <t>LQEGLEAGTPAPGEK</t>
  </si>
  <si>
    <t>IGEGTYGVVYK</t>
  </si>
  <si>
    <t>QAGSASASHLASPSSSR</t>
  </si>
  <si>
    <t>SAVEDEGLKGK</t>
  </si>
  <si>
    <t>DLEAPEVQESYR</t>
  </si>
  <si>
    <t>LGNYVGAVQDCER</t>
  </si>
  <si>
    <t>AVQSLDKNGVDLLMK</t>
  </si>
  <si>
    <t>DQEVPYR</t>
  </si>
  <si>
    <t>LIVDEAINEDNSVVSLSQPK</t>
  </si>
  <si>
    <t>INEILSNALK</t>
  </si>
  <si>
    <t>YVECSALTQK</t>
  </si>
  <si>
    <t>ILYSQCGDVMR</t>
  </si>
  <si>
    <t>CTCGQGYQLSAAK</t>
  </si>
  <si>
    <t>NQVALNPQNTVFDAK</t>
  </si>
  <si>
    <t>GSGGLASSGTLVQSIVK</t>
  </si>
  <si>
    <t>LTSLGVIGALVK</t>
  </si>
  <si>
    <t>NVASVCLQIGYPTVASVPHSIINGYK</t>
  </si>
  <si>
    <t>DQGTYEDYVEGLR</t>
  </si>
  <si>
    <t>AVLVDLEPGTMDSVR</t>
  </si>
  <si>
    <t>EAQPGQSQVSYQGLPVQK</t>
  </si>
  <si>
    <t>VMSNLDSNR</t>
  </si>
  <si>
    <t>VCEEIAIIPSK</t>
  </si>
  <si>
    <t>TVGILQEAPVSLK</t>
  </si>
  <si>
    <t>VETLETANR</t>
  </si>
  <si>
    <t>SFFPEEISSMVLTK</t>
  </si>
  <si>
    <t>AEAGAGSATEFQFR</t>
  </si>
  <si>
    <t>APVSLANPAGTALPSVDLLQK</t>
  </si>
  <si>
    <t>SPASDTYIVFGEAK</t>
  </si>
  <si>
    <t>LTGMAFRVPTPNVSVVDLTCR</t>
  </si>
  <si>
    <t>TDSLVLTTLK</t>
  </si>
  <si>
    <t>ILDSVGIEADDDR</t>
  </si>
  <si>
    <t>LYNDEINIATLR</t>
  </si>
  <si>
    <t>FPFEALSQGQQLCK</t>
  </si>
  <si>
    <t>EEQSAGNYR</t>
  </si>
  <si>
    <t>ISCTIANR</t>
  </si>
  <si>
    <t>NTAKTLGSTAETLR</t>
  </si>
  <si>
    <t>AVEVMPK</t>
  </si>
  <si>
    <t>VFETDNNIVVYKGE</t>
  </si>
  <si>
    <t>EEMESAEGLKGPMK</t>
  </si>
  <si>
    <t>LLKEYQELMNVK</t>
  </si>
  <si>
    <t>MAGRTLALR</t>
  </si>
  <si>
    <t>EKAVAILR</t>
  </si>
  <si>
    <t>ALSSLASAEK</t>
  </si>
  <si>
    <t>GAGVPPSK</t>
  </si>
  <si>
    <t>VKCNTDDTIGDLK</t>
  </si>
  <si>
    <t>SQIMNFLLSK</t>
  </si>
  <si>
    <t>DQGTYEDYLEGLR</t>
  </si>
  <si>
    <t>TFEQLSEDVSEK</t>
  </si>
  <si>
    <t>QVEDDIQQLLKK</t>
  </si>
  <si>
    <t>AEVLMILNVK</t>
  </si>
  <si>
    <t>EPLAGIIIK</t>
  </si>
  <si>
    <t>FLTVEKSPGSLK</t>
  </si>
  <si>
    <t>QGETLNVLETGYSR</t>
  </si>
  <si>
    <t>HVSVSIGIIAK</t>
  </si>
  <si>
    <t>QFSDHINAPMGGAIIAK</t>
  </si>
  <si>
    <t>MEVEQQSR</t>
  </si>
  <si>
    <t>SSPVALGER</t>
  </si>
  <si>
    <t>IGQFMHQALSR</t>
  </si>
  <si>
    <t>TEAPEDVDLDLK</t>
  </si>
  <si>
    <t>TKEALLELK</t>
  </si>
  <si>
    <t>LIAAGGYNR</t>
  </si>
  <si>
    <t>FILPAKVLEK</t>
  </si>
  <si>
    <t>TDVAAPFGGFK</t>
  </si>
  <si>
    <t>TADCLDKK</t>
  </si>
  <si>
    <t>AGAAGGSKQVEFLQK</t>
  </si>
  <si>
    <t>NGDLDEVKDYVAK</t>
  </si>
  <si>
    <t>QEIAEINR</t>
  </si>
  <si>
    <t>GDAVANIVSVTQR</t>
  </si>
  <si>
    <t>SAVYPQQQQDYK</t>
  </si>
  <si>
    <t>ITPNKTGANYLDVPIPAAFQIK</t>
  </si>
  <si>
    <t>EVLMNLLFALLLDLLLVAVIKGLVR</t>
  </si>
  <si>
    <t>DQYEKMAEK</t>
  </si>
  <si>
    <t>DQYEQMAEK</t>
  </si>
  <si>
    <t>LLQYLSVK</t>
  </si>
  <si>
    <t>DAEDWFFSK</t>
  </si>
  <si>
    <t>MHKSMPDGHR</t>
  </si>
  <si>
    <t>FLEQKNK</t>
  </si>
  <si>
    <t>FLEQQNK</t>
  </si>
  <si>
    <t>DSPSVWAAVPGK</t>
  </si>
  <si>
    <t>DGLQKSELR</t>
  </si>
  <si>
    <t>NLSDVATKQEGLESVLK</t>
  </si>
  <si>
    <t>SYELQESNVR</t>
  </si>
  <si>
    <t>YAALSDQGLDIK</t>
  </si>
  <si>
    <t>LLNDEDPVVVTK</t>
  </si>
  <si>
    <t>TPDASPEPK</t>
  </si>
  <si>
    <t>EMTALPGAQMSK</t>
  </si>
  <si>
    <t>QSLPPGLAVK</t>
  </si>
  <si>
    <t>HPKTNESK</t>
  </si>
  <si>
    <t>DSFDIIKR</t>
  </si>
  <si>
    <t>LGLPPLTPEQQEALQK</t>
  </si>
  <si>
    <t>SGFRMSVDK</t>
  </si>
  <si>
    <t>EMNQNGVYAAQEK</t>
  </si>
  <si>
    <t>EGNGTVMGAEIR</t>
  </si>
  <si>
    <t>EGNGTVMGAELR</t>
  </si>
  <si>
    <t>IGQLEEQLEQEAK</t>
  </si>
  <si>
    <t>GMTVYGLPR</t>
  </si>
  <si>
    <t>TLDVNQDSELR</t>
  </si>
  <si>
    <t>MNVLADALK</t>
  </si>
  <si>
    <t>ITLDNAYMEK</t>
  </si>
  <si>
    <t>SFNDDAMLIEK</t>
  </si>
  <si>
    <t>RDASVTGAASR</t>
  </si>
  <si>
    <t>NLVDPTK</t>
  </si>
  <si>
    <t>MKNLALVR</t>
  </si>
  <si>
    <t>QEEFGALESVK</t>
  </si>
  <si>
    <t>LGLLLDCPR</t>
  </si>
  <si>
    <t>NIIGLQMGTNK</t>
  </si>
  <si>
    <t>DGFSLASQLKSEELSLPEGK</t>
  </si>
  <si>
    <t>ITLSQVGDVLR</t>
  </si>
  <si>
    <t>ILNEMRDQYEK</t>
  </si>
  <si>
    <t>GSSGLGGGSSR</t>
  </si>
  <si>
    <t>DELTLTK</t>
  </si>
  <si>
    <t>FVSTTSSSR</t>
  </si>
  <si>
    <t>SPLIIFADCDLNK</t>
  </si>
  <si>
    <t>EGLLLWCQR</t>
  </si>
  <si>
    <t>ASGPGLNTTGVPASLPVEFTIDAK</t>
  </si>
  <si>
    <t>VFDKEGNGTVMGAEIR</t>
  </si>
  <si>
    <t>VFDKEGNGTVMGAELR</t>
  </si>
  <si>
    <t>SSFFVNGLTLGGQK</t>
  </si>
  <si>
    <t>CASQVGMTAPGTR</t>
  </si>
  <si>
    <t>AGQCVIGLQMGTNK</t>
  </si>
  <si>
    <t>NHEEEMLALR</t>
  </si>
  <si>
    <t>ALGTNPTNAEVKK</t>
  </si>
  <si>
    <t>ALGQNPTNAEVLR</t>
  </si>
  <si>
    <t>ITYGQCGDVLR</t>
  </si>
  <si>
    <t>IMGIPEDEQMGLLR</t>
  </si>
  <si>
    <t>VKQNPMENALTIIK</t>
  </si>
  <si>
    <t>HVAAGTQQPYTDGVR</t>
  </si>
  <si>
    <t>VLGNPSNEEMNAK</t>
  </si>
  <si>
    <t>QAPPLPTGLSASDPGTATF</t>
  </si>
  <si>
    <t>DSNNLCLHFNPR</t>
  </si>
  <si>
    <t>NTKQEIAEINR</t>
  </si>
  <si>
    <t>ATMQNLNDR</t>
  </si>
  <si>
    <t>ANATEFGLASGVFTR</t>
  </si>
  <si>
    <t>CGFQDDVAYGK</t>
  </si>
  <si>
    <t>MAPYQGPDAAPGALDYK</t>
  </si>
  <si>
    <t>ELSVEEQIKR</t>
  </si>
  <si>
    <t>TYLGNALVCTCYGGSR</t>
  </si>
  <si>
    <t>ATPSENLVPSSAR</t>
  </si>
  <si>
    <t>VLDFEHFLPMLQTVAK</t>
  </si>
  <si>
    <t>GSVFSAPSASGTPNK</t>
  </si>
  <si>
    <t>STSQGSINSPVYSR</t>
  </si>
  <si>
    <t>LEQYTNAIEGTK</t>
  </si>
  <si>
    <t>CSCAAGFLLAADGK</t>
  </si>
  <si>
    <t>DVPFGFQTVTSDVNK</t>
  </si>
  <si>
    <t>EAFQEALAAAGDK</t>
  </si>
  <si>
    <t>STDYGIFQINSR</t>
  </si>
  <si>
    <t>SMTQEAFQESSVK</t>
  </si>
  <si>
    <t>SQFTITPGSEQIR</t>
  </si>
  <si>
    <t>ISELTSELTDERNTGESASQLLDAETAER</t>
  </si>
  <si>
    <t>GYGYGQGAGTLNMDR</t>
  </si>
  <si>
    <t>QQMEEKDLDIAGFTQK</t>
  </si>
  <si>
    <t>LQNAADVPANMDK</t>
  </si>
  <si>
    <t>AQIGGPEAGKSEQSGAK</t>
  </si>
  <si>
    <t>DLAQYSSNDAVVETSLTK</t>
  </si>
  <si>
    <t>LLEGEDAHLSSSQFSSGSQSSR</t>
  </si>
  <si>
    <t>NKDQGTYEDYVEGLR</t>
  </si>
  <si>
    <t>SPNQNVQQAAAGALR</t>
  </si>
  <si>
    <t>LNMEAINYMAADGDFK</t>
  </si>
  <si>
    <t>VLAVNQENEQLMEDYEK</t>
  </si>
  <si>
    <t>ETADTDTADQVMASFK</t>
  </si>
  <si>
    <t>TTGSVLPLLLLGLSGALR</t>
  </si>
  <si>
    <t>VEESSWLIEDGKVVTVHLEK</t>
  </si>
  <si>
    <t>YLNETQQLTQKIK</t>
  </si>
  <si>
    <t>KPIEAHLYVTK</t>
  </si>
  <si>
    <t>VCSPIISGLYQGAGAPGAGGFGAQAPPK</t>
  </si>
  <si>
    <t>DALNQATSQVESK</t>
  </si>
  <si>
    <t>QINEQIR</t>
  </si>
  <si>
    <t>QLDKIQR</t>
  </si>
  <si>
    <t>KMNVSPDVNYEELAR</t>
  </si>
  <si>
    <t>LSTEFTDK</t>
  </si>
  <si>
    <t>SDAHPELVR</t>
  </si>
  <si>
    <t>YDPQKEAELR</t>
  </si>
  <si>
    <t>VVFTPSICK</t>
  </si>
  <si>
    <t>TTATTLSKVGFEDIAVEK</t>
  </si>
  <si>
    <t>AQAGFMGPR</t>
  </si>
  <si>
    <t>SQDDAMVDYFFQR</t>
  </si>
  <si>
    <t>DVEFLAQLK</t>
  </si>
  <si>
    <t>LTVYSEEELR</t>
  </si>
  <si>
    <t>EREPGSAEPEPK</t>
  </si>
  <si>
    <t>DNLTLWTSDMQGDGEEQNK</t>
  </si>
  <si>
    <t>VMMVPLGR</t>
  </si>
  <si>
    <t>AQEEADAEERR</t>
  </si>
  <si>
    <t>EAAYYTNAK</t>
  </si>
  <si>
    <t>GDYHRYLAEFATGNDR</t>
  </si>
  <si>
    <t>ISSLEDNLR</t>
  </si>
  <si>
    <t>EVPGHILLDIDNDTESTAL</t>
  </si>
  <si>
    <t>VPPLIASFVR</t>
  </si>
  <si>
    <t>IKINSESGNISFLPR</t>
  </si>
  <si>
    <t>RWDQGLEKPR</t>
  </si>
  <si>
    <t>IHFCDYNGCTK</t>
  </si>
  <si>
    <t>FTTSDSCDR</t>
  </si>
  <si>
    <t>ILMGSTLR</t>
  </si>
  <si>
    <t>MRGTEGLR</t>
  </si>
  <si>
    <t>KSVLADQGK</t>
  </si>
  <si>
    <t>KQAGSASASHLASPSSSR</t>
  </si>
  <si>
    <t>SDVEELASR</t>
  </si>
  <si>
    <t>LGLSTGPAHK</t>
  </si>
  <si>
    <t>LNLVVKPLEK</t>
  </si>
  <si>
    <t>VQNTSLEAIVQNASSDNQGIQLSAVQAAR</t>
  </si>
  <si>
    <t>HFSVADASR</t>
  </si>
  <si>
    <t>NVICDKCEGR</t>
  </si>
  <si>
    <t>YDFGIYDDDPEIITLER</t>
  </si>
  <si>
    <t>DLGQSNSDLDMPFAK</t>
  </si>
  <si>
    <t>VAPDEHPILLTEAPLNPKINR</t>
  </si>
  <si>
    <t>GYVVPNVDLPPLCSSR</t>
  </si>
  <si>
    <t>QLLDSGVCHVDK</t>
  </si>
  <si>
    <t>NEVVVELRK</t>
  </si>
  <si>
    <t>HAEATLGSGNLR</t>
  </si>
  <si>
    <t>AVESLMAANEEKER</t>
  </si>
  <si>
    <t>VKVDLHPLSG</t>
  </si>
  <si>
    <t>SSLGRVLGIR</t>
  </si>
  <si>
    <t>NDQCYDDIR</t>
  </si>
  <si>
    <t>GATALEMGMPLLLQK</t>
  </si>
  <si>
    <t>LLLDCQQMLLR</t>
  </si>
  <si>
    <t>HQQLSGLHK</t>
  </si>
  <si>
    <t>YKAEDEVQR</t>
  </si>
  <si>
    <t>QPLLIATIDCGKGSGGK</t>
  </si>
  <si>
    <t>NDVLGGVLK</t>
  </si>
  <si>
    <t>AEGEIKVPDVELK</t>
  </si>
  <si>
    <t>SDHLALHMK</t>
  </si>
  <si>
    <t>VELATDTAMDVR</t>
  </si>
  <si>
    <t>QLFHPEQLITGKEDAANNYAR</t>
  </si>
  <si>
    <t>SSLANAVFR</t>
  </si>
  <si>
    <t>VTNAISPESSPGVGR</t>
  </si>
  <si>
    <t>LIECDTLSR</t>
  </si>
  <si>
    <t>IVAEAIEKAER</t>
  </si>
  <si>
    <t>SDNKDDDIDIDAI</t>
  </si>
  <si>
    <t>KITISDCGQL</t>
  </si>
  <si>
    <t>AMESCAFK</t>
  </si>
  <si>
    <t>LDHKFDLMYAK</t>
  </si>
  <si>
    <t>SAWFQDYSSGGGGSR</t>
  </si>
  <si>
    <t>CVVVGDGAVGK</t>
  </si>
  <si>
    <t>LKQLEEDK</t>
  </si>
  <si>
    <t>TKLQQQATPILR</t>
  </si>
  <si>
    <t>RPYPTDLEMR</t>
  </si>
  <si>
    <t>KIALSESLER</t>
  </si>
  <si>
    <t>GTENHGESCLK</t>
  </si>
  <si>
    <t>GSGDTSISMDTEASIR</t>
  </si>
  <si>
    <t>SPFTVGVAAPLDLSK</t>
  </si>
  <si>
    <t>SSGQESESIPEYTAEEEREDNR</t>
  </si>
  <si>
    <t>RFDAQTGADR</t>
  </si>
  <si>
    <t>LSCTLHLLATPR</t>
  </si>
  <si>
    <t>SGPALPEELRR</t>
  </si>
  <si>
    <t>NCVAIAADR</t>
  </si>
  <si>
    <t>ITESEEVVSR</t>
  </si>
  <si>
    <t>HLEETIDNFEK</t>
  </si>
  <si>
    <t>EGLFVLVPR</t>
  </si>
  <si>
    <t>GAVECCPNCR</t>
  </si>
  <si>
    <t>YHPDKNPNEGEK</t>
  </si>
  <si>
    <t>MVAVNLATGK</t>
  </si>
  <si>
    <t>EQQIEEHR</t>
  </si>
  <si>
    <t>CTDDFNGAQCK</t>
  </si>
  <si>
    <t>LDPLLLPVEATICEK</t>
  </si>
  <si>
    <t>SLADIAREEASNFR</t>
  </si>
  <si>
    <t>TSACGLFSVCYPR</t>
  </si>
  <si>
    <t>CDLFIQEGAR</t>
  </si>
  <si>
    <t>LFLIDFGLAK</t>
  </si>
  <si>
    <t>KVVEQGMFVK</t>
  </si>
  <si>
    <t>KIAELEEER</t>
  </si>
  <si>
    <t>SLRECELYVQK</t>
  </si>
  <si>
    <t>VEISPEQLSAASTEAER</t>
  </si>
  <si>
    <t>ESSTVFELKR</t>
  </si>
  <si>
    <t>KIAFAITAIK</t>
  </si>
  <si>
    <t>VLTVINQTQK</t>
  </si>
  <si>
    <t>DISENKR</t>
  </si>
  <si>
    <t>HENESVYK</t>
  </si>
  <si>
    <t>MQELYGGDPK</t>
  </si>
  <si>
    <t>KSLSGTLLQR</t>
  </si>
  <si>
    <t>ISKEEAMR</t>
  </si>
  <si>
    <t>ELDQWVEQLNECK</t>
  </si>
  <si>
    <t>NAAPALPATLGALEQLR</t>
  </si>
  <si>
    <t>TMLELLNQLDGFDSR</t>
  </si>
  <si>
    <t>GNFNYVEFTR</t>
  </si>
  <si>
    <t>LSDYNIGPNSK</t>
  </si>
  <si>
    <t>TDSGVSLQTYDDLVAR</t>
  </si>
  <si>
    <t>GPQVSSSLNLDTSK</t>
  </si>
  <si>
    <t>CGESGHLAK</t>
  </si>
  <si>
    <t>LGLPLLLLPEEAR</t>
  </si>
  <si>
    <t>DYLAAIA</t>
  </si>
  <si>
    <t>LLDIAEKENVK</t>
  </si>
  <si>
    <t>AYLLGKEEATR</t>
  </si>
  <si>
    <t>DLCPESQTGTR</t>
  </si>
  <si>
    <t>ADQFEYVMYGK</t>
  </si>
  <si>
    <t>ILATNSELVGTLTR</t>
  </si>
  <si>
    <t>FADQDDIGNVSFDR</t>
  </si>
  <si>
    <t>GNNGGATDPAVQR</t>
  </si>
  <si>
    <t>DSHGVAQVR</t>
  </si>
  <si>
    <t>TLNNDIMLIK</t>
  </si>
  <si>
    <t>TLNNDIMLLK</t>
  </si>
  <si>
    <t>KGEITGEVR</t>
  </si>
  <si>
    <t>YWLCAATGPSIK</t>
  </si>
  <si>
    <t>CVDIDECAQVR</t>
  </si>
  <si>
    <t>SVNGQIESLISPDGSR</t>
  </si>
  <si>
    <t>NIQQYNSFVSLSV</t>
  </si>
  <si>
    <t>SEAEEAITSFNGHKPPGSSEPITVK</t>
  </si>
  <si>
    <t>SACGNCYLGDAFR</t>
  </si>
  <si>
    <t>QSQLLSTMLSR</t>
  </si>
  <si>
    <t>TGFQAVTGK</t>
  </si>
  <si>
    <t>TAEGLLPFAEAEAFLKK</t>
  </si>
  <si>
    <t>EESAASGGAAYSK</t>
  </si>
  <si>
    <t>GWNGQCLDVDECLQPK</t>
  </si>
  <si>
    <t>GTENHGESCLKDGLGQSSER</t>
  </si>
  <si>
    <t>SLETENAGLR</t>
  </si>
  <si>
    <t>NAFACFDEEAIGTIQEDYLR</t>
  </si>
  <si>
    <t>IECDDKGDGSCDVR</t>
  </si>
  <si>
    <t>DPSAAPNEGFCSAGVQTEAGVADLTWVGDK</t>
  </si>
  <si>
    <t>LSAYVSYGGLLMR</t>
  </si>
  <si>
    <t>ASASDGSSFVVAR</t>
  </si>
  <si>
    <t>MLPQAATEDDIRGQLQSHGVQAR</t>
  </si>
  <si>
    <t>KQQSLEAEEAK</t>
  </si>
  <si>
    <t>FAACTVEEILAK</t>
  </si>
  <si>
    <t>LDANIPEVAVEGPEGK</t>
  </si>
  <si>
    <t>KTVGVEPAADGK</t>
  </si>
  <si>
    <t>LAATSSTSLLQGQSQIR</t>
  </si>
  <si>
    <t>VYEGSILEADCDILIPAASEK</t>
  </si>
  <si>
    <t>CFQETIGSQCGK</t>
  </si>
  <si>
    <t>ALESDMAPVLIMATNR</t>
  </si>
  <si>
    <t>DAVVPSGGFFPTIGMLSCGEK</t>
  </si>
  <si>
    <t>VFGDSVCTGTHYK</t>
  </si>
  <si>
    <t>AGDVEEDASQLIFPK</t>
  </si>
  <si>
    <t>TSQTLSAVDGTVTLK</t>
  </si>
  <si>
    <t>ESAAADAGFALFEK</t>
  </si>
  <si>
    <t>LREDENAEPVGTTYQK</t>
  </si>
  <si>
    <t>CGQSAAVASPGGSIDSR</t>
  </si>
  <si>
    <t>SWIEGLTGLSIGPDFQK</t>
  </si>
  <si>
    <t>QAEMEGAVQSIQGELSK</t>
  </si>
  <si>
    <t>ELKFVVLR</t>
  </si>
  <si>
    <t>QTENAFSPSR</t>
  </si>
  <si>
    <t>VMGVNSYILKK</t>
  </si>
  <si>
    <t>QNAATMDGALGKR</t>
  </si>
  <si>
    <t>SSSPNYPR</t>
  </si>
  <si>
    <t>KVAVLVMGR</t>
  </si>
  <si>
    <t>LAKSEQEITALEQNVIR</t>
  </si>
  <si>
    <t>CSQDRHSK</t>
  </si>
  <si>
    <t>NVIEAVYNR</t>
  </si>
  <si>
    <t>TRLIGLLK</t>
  </si>
  <si>
    <t>HWAQLVISR</t>
  </si>
  <si>
    <t>FPGVYSAMNLLSTPSGK</t>
  </si>
  <si>
    <t>CLSAAEEK</t>
  </si>
  <si>
    <t>VAIVRNIR</t>
  </si>
  <si>
    <t>DYETATLSDIK</t>
  </si>
  <si>
    <t>EEGCAGVLR</t>
  </si>
  <si>
    <t>IKIIAPPER</t>
  </si>
  <si>
    <t>SASIMEANSR</t>
  </si>
  <si>
    <t>QQMEELKQK</t>
  </si>
  <si>
    <t>KPLFFGEGTVLR</t>
  </si>
  <si>
    <t>DLYANNVMSGGTTMYPGIADR</t>
  </si>
  <si>
    <t>LIDERECLLEQIK</t>
  </si>
  <si>
    <t>QREEMLEK</t>
  </si>
  <si>
    <t>EADESLNFEEQILEAAK</t>
  </si>
  <si>
    <t>TGLYNYYDDEK</t>
  </si>
  <si>
    <t>LGEHNINVLEGNEQFIDAANIIKHPK</t>
  </si>
  <si>
    <t>GNLLQCVCTGNGR</t>
  </si>
  <si>
    <t>ATGVFTTLQPLR</t>
  </si>
  <si>
    <t>IMNGAVGLR</t>
  </si>
  <si>
    <t>ELEKVCNPIITK</t>
  </si>
  <si>
    <t>QMASDEGPR</t>
  </si>
  <si>
    <t>FQLSTYR</t>
  </si>
  <si>
    <t>HLAGLGLTEAIDK</t>
  </si>
  <si>
    <t>ICLGITRVNNK</t>
  </si>
  <si>
    <t>VSAESEIK</t>
  </si>
  <si>
    <t>LGNQSLQASR</t>
  </si>
  <si>
    <t>NYDYSEPGR</t>
  </si>
  <si>
    <t>YASGASCLATR</t>
  </si>
  <si>
    <t>ITQTAEGLDPENYLSIK</t>
  </si>
  <si>
    <t>SATGPFDRER</t>
  </si>
  <si>
    <t>CDVDIRK</t>
  </si>
  <si>
    <t>VGVTEGCDPTR</t>
  </si>
  <si>
    <t>WELLQQVNTSTR</t>
  </si>
  <si>
    <t>NSYLEVLLK</t>
  </si>
  <si>
    <t>LRSEIDNVK</t>
  </si>
  <si>
    <t>TANEIYEK</t>
  </si>
  <si>
    <t>NDNDTFTVK</t>
  </si>
  <si>
    <t>LAMGTSSRAR</t>
  </si>
  <si>
    <t>DSLAEVEEKYK</t>
  </si>
  <si>
    <t>VDINAPEVEVQGK</t>
  </si>
  <si>
    <t>TCIDVNECWVSPGR</t>
  </si>
  <si>
    <t>KISMVVLK</t>
  </si>
  <si>
    <t>TGFLKIDEYMR</t>
  </si>
  <si>
    <t>HSEEAKEDVDALCQR</t>
  </si>
  <si>
    <t>VMYGFCSVK</t>
  </si>
  <si>
    <t>ENQWCEEK</t>
  </si>
  <si>
    <t>AGQSVIGLQMGTNK</t>
  </si>
  <si>
    <t>AEGPDVAVDLPK</t>
  </si>
  <si>
    <t>VEDFQIEGYNPHPTIK</t>
  </si>
  <si>
    <t>YIVLAKDFEK</t>
  </si>
  <si>
    <t>SAPEPKKPEENPASK</t>
  </si>
  <si>
    <t>SNFTVDCSK</t>
  </si>
  <si>
    <t>SLGETQLALSSDLKELK</t>
  </si>
  <si>
    <t>GPLSQAPTPAPK</t>
  </si>
  <si>
    <t>AEQDIATLEQSISRLEGQVLR</t>
  </si>
  <si>
    <t>QKEFDPTITDGSLSGPSR</t>
  </si>
  <si>
    <t>IGPAPAFAGDTISLTITK</t>
  </si>
  <si>
    <t>IVQASQESEAR</t>
  </si>
  <si>
    <t>TTCQDITECQTSPAR</t>
  </si>
  <si>
    <t>ILSISADIETIGEILKK</t>
  </si>
  <si>
    <t>GLVPAGESSYDTGGENYK</t>
  </si>
  <si>
    <t>GNASSSQVDEGQMNRVVEEDPQQQAR</t>
  </si>
  <si>
    <t>IPI00473303.1:</t>
  </si>
  <si>
    <t>IPI00221490.2:IPI00885654.1:</t>
  </si>
  <si>
    <t>DCY00553555.1:</t>
  </si>
  <si>
    <t>IPI00319843.4:IPI00875787.1:</t>
  </si>
  <si>
    <t>IPI00122281.2:IPI00874442.1:</t>
  </si>
  <si>
    <t>IPI00407425.2:IPI00515232.2:IPI00619995.4:IPI00622556.4:IPI00648918.3:IPI00649326.2:IPI00828545.1:IPI00828766.1:</t>
  </si>
  <si>
    <t>IPI00124111.1:</t>
  </si>
  <si>
    <t>DCY00880443.1:</t>
  </si>
  <si>
    <t>DCY00117632.2:</t>
  </si>
  <si>
    <t>IPI00407425.2:IPI00619995.4:IPI00622556.4:IPI00648918.3:IPI00649326.2:IPI00828545.1:IPI00828766.1:</t>
  </si>
  <si>
    <t>DCY00221538.1:</t>
  </si>
  <si>
    <t>DCY00319564.5:</t>
  </si>
  <si>
    <t>DCY00828829.1:</t>
  </si>
  <si>
    <t>IPI00125771.3:IPI00874965.1:IPI00875566.1:</t>
  </si>
  <si>
    <t>DCY00323308.2:</t>
  </si>
  <si>
    <t>IPI00309138.6:IPI00623969.2:IPI00654933.1:IPI00828941.1:IPI00856822.1:</t>
  </si>
  <si>
    <t>DCY00320459.2:</t>
  </si>
  <si>
    <t>IPI00117269.1:</t>
  </si>
  <si>
    <t>IPI00117269.1:IPI00124800.2:IPI00331459.1:IPI00405473.6:IPI00462986.1:IPI00474575.5:IPI00850317.1:IPI00874877.1:IPI00875862.1:</t>
  </si>
  <si>
    <t>IPI00108478.1:IPI00124945.1:IPI00321587.5:IPI00462134.3:IPI00676907.2:IPI00785354.1:IPI00845846.1:IPI00849205.1:</t>
  </si>
  <si>
    <t>IPI00313475.1:IPI00750074.1:IPI00751391.2:IPI00775853.1:IPI00776084.1:IPI00776275.1:IPI00776312.1:</t>
  </si>
  <si>
    <t>DCY00756692.2:</t>
  </si>
  <si>
    <t>IPI00127841.3:IPI00458351.2:IPI00462250.2:IPI00658303.1:IPI00663219.2:</t>
  </si>
  <si>
    <t>IPI00115580.4:IPI00752200.2:</t>
  </si>
  <si>
    <t>IPI00124800.2:IPI00474575.5:</t>
  </si>
  <si>
    <t>IPI00319994.6:IPI00751369.1:IPI00754398.1:IPI00756114.1:</t>
  </si>
  <si>
    <t>IPI00122450.1:IPI00311344.3:IPI00462119.3:IPI00754268.1:IPI00757635.1:IPI00758267.1:IPI00775950.1:IPI00775997.1:IPI00776094.1:</t>
  </si>
  <si>
    <t>IPI00127500.1:</t>
  </si>
  <si>
    <t>IPI00122565.1:IPI00416577.1:IPI00461580.1:</t>
  </si>
  <si>
    <t>DCY00857590.1:</t>
  </si>
  <si>
    <t>IPI00126943.1:IPI00403229.1:IPI00453705.4:IPI00515183.1:</t>
  </si>
  <si>
    <t>IPI00109044.8:IPI00132705.1:IPI00672743.3:IPI00750441.1:IPI00750595.2:IPI00758006.1:</t>
  </si>
  <si>
    <t>IPI00127391.1:IPI00875227.1:</t>
  </si>
  <si>
    <t>IPI00131382.4:IPI00816944.2:</t>
  </si>
  <si>
    <t>DCY00112774.1:</t>
  </si>
  <si>
    <t>IPI00118707.1:IPI00331461.4:IPI00340036.2:IPI00474856.1:IPI00624735.4:IPI00626239.3:IPI00848952.1:</t>
  </si>
  <si>
    <t>IPI00120495.1:IPI00229961.1:IPI00229962.1:IPI00420678.2:IPI00474360.2:IPI00830289.1:IPI00876109.1:</t>
  </si>
  <si>
    <t>IPI00321587.5:IPI00676959.1:</t>
  </si>
  <si>
    <t>DCY00830344.1:</t>
  </si>
  <si>
    <t>IPI00407425.2:IPI00619995.4:IPI00622556.4:IPI00649326.2:IPI00828545.1:IPI00828766.1:</t>
  </si>
  <si>
    <t>IPI00463573.3:</t>
  </si>
  <si>
    <t>IPI00126248.3:IPI00762047.1:IPI00830265.1:</t>
  </si>
  <si>
    <t>IPI00134346.1:</t>
  </si>
  <si>
    <t>DCY00857356.1:</t>
  </si>
  <si>
    <t>IPI00265107.4:IPI00278580.6:IPI00330363.8:IPI00462006.3:IPI00462453.4:IPI00622160.3:IPI00850703.1:IPI00890194.1:</t>
  </si>
  <si>
    <t>DCY00457712.1:</t>
  </si>
  <si>
    <t>IPI00114878.1:IPI00850730.1:IPI00877337.1:</t>
  </si>
  <si>
    <t>IPI00347019.2:IPI00849787.1:</t>
  </si>
  <si>
    <t>IPI00114642.4:IPI00124518.3:IPI00134534.2:IPI00187543.3:IPI00227930.3:IPI00229539.2:IPI00265768.3:IPI00282266.3:IPI00282269.9:IPI00348270.3:IPI00453744.2:IPI00461514.4:IPI00553774.3:IPI00554853.3:IPI00648991.1:IPI00761713.2:IPI00874492.1:IPI00874654.1:IPI00874970.1:IPI00875277.1:IPI00875523.1:IPI00875901.1:IPI00876167.1:IPI00876432.1:IPI00876549.1:IPI00876550.1:</t>
  </si>
  <si>
    <t>IPI00228483.1:IPI00330780.1:IPI00654261.2:</t>
  </si>
  <si>
    <t>DCY00876429.1:</t>
  </si>
  <si>
    <t>IPI00169783.3:</t>
  </si>
  <si>
    <t>DCY00222182.1:</t>
  </si>
  <si>
    <t>IPI00229859.1:IPI00761592.1:</t>
  </si>
  <si>
    <t>IPI00134097.1:IPI00224505.7:</t>
  </si>
  <si>
    <t>IPI00117846.1:</t>
  </si>
  <si>
    <t>DCY00757976.2:</t>
  </si>
  <si>
    <t>IPI00123557.3:</t>
  </si>
  <si>
    <t>IPI00126078.3:IPI00653270.2:IPI00775993.1:</t>
  </si>
  <si>
    <t>IPI00850983.1:IPI00881169.2:IPI00881271.2:IPI00881540.2:</t>
  </si>
  <si>
    <t>IPI00120495.1:IPI00229961.1:IPI00229962.1:IPI00474360.2:IPI00830289.1:IPI00876109.1:</t>
  </si>
  <si>
    <t>IPI00115564.5:</t>
  </si>
  <si>
    <t>IPI00314844.2:</t>
  </si>
  <si>
    <t>IPI00127008.1:IPI00556768.1:</t>
  </si>
  <si>
    <t>IPI00230623.8:IPI00889220.1:</t>
  </si>
  <si>
    <t>IPI00261638.1:</t>
  </si>
  <si>
    <t>IPI00457898.3:</t>
  </si>
  <si>
    <t>IPI00353563.4:IPI00857030.1:IPI00857204.1:IPI00857496.1:</t>
  </si>
  <si>
    <t>IPI00319965.3:</t>
  </si>
  <si>
    <t>IPI00126078.3:IPI00775993.1:</t>
  </si>
  <si>
    <t>IPI00459493.5:IPI00845611.1:</t>
  </si>
  <si>
    <t>DCY00881900.1:</t>
  </si>
  <si>
    <t>IPI00108454.2:IPI00113655.1:IPI00474622.1:IPI00671512.3:IPI00672455.1:</t>
  </si>
  <si>
    <t>IPI00124945.1:IPI00676907.2:IPI00828238.1:IPI00845846.1:IPI00849205.1:</t>
  </si>
  <si>
    <t>IPI00321587.5:</t>
  </si>
  <si>
    <t>IPI00331444.7:</t>
  </si>
  <si>
    <t>IPI00387422.3:IPI00408218.1:</t>
  </si>
  <si>
    <t>IPI00331459.1:</t>
  </si>
  <si>
    <t>IPI00416302.2:</t>
  </si>
  <si>
    <t>IPI00132323.6:</t>
  </si>
  <si>
    <t>DCY00131121.3:</t>
  </si>
  <si>
    <t>IPI00222228.5:IPI00347096.2:</t>
  </si>
  <si>
    <t>IPI00108478.1:IPI00124945.1:IPI00131382.4:IPI00321587.5:IPI00462134.3:IPI00676907.2:IPI00785354.1:IPI00816944.2:IPI00828238.1:IPI00845846.1:IPI00849205.1:</t>
  </si>
  <si>
    <t>IPI00466976.4:IPI00889304.1:</t>
  </si>
  <si>
    <t>IPI00310056.3:</t>
  </si>
  <si>
    <t>IPI00120495.1:IPI00229961.1:IPI00229962.1:IPI00830289.1:IPI00876109.1:</t>
  </si>
  <si>
    <t>IPI00118678.1:IPI00459493.5:IPI00880348.1:</t>
  </si>
  <si>
    <t>IPI00113649.2:</t>
  </si>
  <si>
    <t>IPI00169851.4:IPI00356147.3:IPI00403221.3:IPI00463138.1:IPI00467530.3:IPI00755288.2:IPI00755723.2:IPI00831081.1:IPI00831178.1:IPI00831353.1:</t>
  </si>
  <si>
    <t>IPI00132151.1:</t>
  </si>
  <si>
    <t>IPI00227140.1:</t>
  </si>
  <si>
    <t>IPI00124800.2:IPI00331459.1:IPI00405473.6:IPI00462986.1:IPI00474575.5:IPI00850317.1:IPI00874877.1:IPI00875862.1:</t>
  </si>
  <si>
    <t>IPI00400300.1:IPI00620256.3:IPI00886130.1:</t>
  </si>
  <si>
    <t>IPI00454052.1:</t>
  </si>
  <si>
    <t>IPI00123186.4:IPI00222930.4:IPI00307931.1:IPI00515349.1:</t>
  </si>
  <si>
    <t>IPI00223217.6:</t>
  </si>
  <si>
    <t>IPI00119575.3:IPI00310841.4:IPI00649804.2:IPI00762049.2:IPI00857789.1:</t>
  </si>
  <si>
    <t>IPI00124800.2:IPI00331459.1:IPI00347019.2:IPI00405473.6:IPI00462986.1:IPI00474575.5:IPI00874877.1:IPI00875862.1:</t>
  </si>
  <si>
    <t>IPI00128522.1:IPI00468068.3:IPI00623819.1:IPI00857548.1:</t>
  </si>
  <si>
    <t>IPI00380101.1:IPI00406933.2:</t>
  </si>
  <si>
    <t>IPI00114733.1:IPI00880252.1:</t>
  </si>
  <si>
    <t>IPI00118899.1:IPI00331664.3:IPI00380436.1:IPI00387557.3:IPI00775849.2:</t>
  </si>
  <si>
    <t>IPI00108478.1:IPI00124945.1:IPI00131382.4:IPI00462134.3:IPI00676907.2:IPI00785354.1:IPI00816944.2:IPI00828238.1:IPI00845846.1:IPI00849205.1:</t>
  </si>
  <si>
    <t>IPI00118676.3:</t>
  </si>
  <si>
    <t>IPI00121760.5:</t>
  </si>
  <si>
    <t>IPI00126002.6:IPI00228171.4:IPI00406995.2:IPI00762884.1:IPI00875886.2:IPI00880396.1:</t>
  </si>
  <si>
    <t>IPI00133066.3:IPI00318982.3:IPI00650011.1:</t>
  </si>
  <si>
    <t>IPI00118678.1:IPI00459493.5:IPI00461023.6:IPI00845611.1:</t>
  </si>
  <si>
    <t>IPI00124945.1:IPI00845846.1:</t>
  </si>
  <si>
    <t>IPI00124800.2:IPI00331459.1:IPI00405473.6:IPI00462986.1:IPI00474575.5:IPI00874877.1:IPI00875862.1:</t>
  </si>
  <si>
    <t>DCY00856455.1:</t>
  </si>
  <si>
    <t>IPI00124096.1:</t>
  </si>
  <si>
    <t>IPI00331459.1:IPI00405473.6:IPI00462986.1:IPI00849787.1:IPI00850317.1:IPI00874877.1:</t>
  </si>
  <si>
    <t>IPI00227900.1:IPI00230005.3:IPI00263822.7:IPI00742329.1:IPI00742400.1:IPI00742438.1:</t>
  </si>
  <si>
    <t>IPI00122413.2:IPI00131534.1:IPI00275118.4:IPI00407917.1:IPI00473762.1:IPI00756253.2:IPI00762232.1:IPI00850681.1:IPI00881026.1:</t>
  </si>
  <si>
    <t>IPI00118899.1:IPI00775849.2:IPI00830549.1:IPI00830639.1:</t>
  </si>
  <si>
    <t>IPI00111585.2:IPI00226882.7:IPI00227631.5:IPI00761406.1:</t>
  </si>
  <si>
    <t>IPI00462445.2:</t>
  </si>
  <si>
    <t>IPI00848895.1:</t>
  </si>
  <si>
    <t>IPI00118166.1:IPI00132460.1:IPI00880492.1:</t>
  </si>
  <si>
    <t>IPI00121336.1:IPI00223497.1:IPI00460850.1:IPI00874497.1:</t>
  </si>
  <si>
    <t>IPI00347281.1:IPI00828473.1:IPI00850923.1:IPI00853837.1:</t>
  </si>
  <si>
    <t>IPI00122011.2:IPI00625759.2:</t>
  </si>
  <si>
    <t>IPI00321718.4:IPI00651865.1:IPI00880826.1:IPI00880977.1:</t>
  </si>
  <si>
    <t>IPI00122862.4:IPI00228113.4:IPI00875833.2:</t>
  </si>
  <si>
    <t>IPI00387191.1:IPI00857193.1:</t>
  </si>
  <si>
    <t>IPI00153662.1:IPI00880545.1:</t>
  </si>
  <si>
    <t>IPI00128522.1:IPI00468068.3:IPI00623819.1:</t>
  </si>
  <si>
    <t>IPI00230730.4:IPI00277753.1:IPI00282848.1:IPI00379693.1:IPI00551538.1:IPI00553538.3:IPI00607069.1:IPI00659000.1:IPI00719866.1:IPI00785343.2:IPI00886201.1:IPI00886422.1:</t>
  </si>
  <si>
    <t>IPI00117281.2:IPI00660262.4:</t>
  </si>
  <si>
    <t>IPI00675666.1:</t>
  </si>
  <si>
    <t>IPI00117019.6:IPI00653980.1:</t>
  </si>
  <si>
    <t>IPI00110827.1:IPI00114593.1:IPI00117043.1:IPI00266875.5:IPI00404804.1:IPI00480406.1:IPI00653007.1:IPI00885994.1:</t>
  </si>
  <si>
    <t>IPI00132734.1:IPI00881953.1:</t>
  </si>
  <si>
    <t>DCY00623116.1:</t>
  </si>
  <si>
    <t>IPI00313517.10:</t>
  </si>
  <si>
    <t>IPI00109044.8:IPI00132705.1:IPI00672743.3:IPI00750441.1:IPI00750595.2:</t>
  </si>
  <si>
    <t>IPI00127407.1:IPI00649962.3:</t>
  </si>
  <si>
    <t>DCY00109878.2:</t>
  </si>
  <si>
    <t>IPI00115528.3:IPI00344681.2:IPI00776023.1:</t>
  </si>
  <si>
    <t>DCY00136642.1:</t>
  </si>
  <si>
    <t>IPI00124945.1:IPI00321587.5:IPI00845846.1:</t>
  </si>
  <si>
    <t>IPI00320480.3:IPI00894742.1:</t>
  </si>
  <si>
    <t>IPI00109061.1:IPI00338039.1:</t>
  </si>
  <si>
    <t>IPI00110827.1:IPI00114593.1:IPI00117043.1:IPI00480406.1:IPI00653007.1:IPI00654242.1:</t>
  </si>
  <si>
    <t>IPI00406933.2:</t>
  </si>
  <si>
    <t>IPI00409819.1:IPI00409820.1:IPI00856259.1:</t>
  </si>
  <si>
    <t>IPI00136701.1:IPI00331664.3:IPI00380436.1:IPI00387557.3:IPI00776166.1:</t>
  </si>
  <si>
    <t>IPI00420726.3:IPI00856235.1:IPI00857782.1:IPI00880750.1:</t>
  </si>
  <si>
    <t>IPI00132756.1:IPI00169939.1:IPI00473188.1:IPI00667510.3:</t>
  </si>
  <si>
    <t>IPI00117178.1:IPI00880643.1:</t>
  </si>
  <si>
    <t>IPI00309997.3:IPI00775790.1:IPI00776352.1:</t>
  </si>
  <si>
    <t>IPI00648513.1:IPI00673693.1:</t>
  </si>
  <si>
    <t>IPI00316740.4:</t>
  </si>
  <si>
    <t>IPI00125267.4:</t>
  </si>
  <si>
    <t>IPI00785394.1:IPI00867895.1:</t>
  </si>
  <si>
    <t>DCY00136354.2:</t>
  </si>
  <si>
    <t>IPI00138274.1:IPI00875000.1:</t>
  </si>
  <si>
    <t>IPI00453705.4:IPI00515183.1:</t>
  </si>
  <si>
    <t>IPI00122421.5:IPI00623893.2:</t>
  </si>
  <si>
    <t>IPI00116281.3:IPI00321816.6:</t>
  </si>
  <si>
    <t>IPI00277965.3:IPI00465880.4:IPI00622165.2:</t>
  </si>
  <si>
    <t>IPI00226882.7:</t>
  </si>
  <si>
    <t>DCY00661449.1:</t>
  </si>
  <si>
    <t>IPI00133208.3:IPI00346073.1:IPI00669474.1:IPI00798482.3:</t>
  </si>
  <si>
    <t>IPI00467447.3:</t>
  </si>
  <si>
    <t>IPI00380409.1:IPI00608114.2:</t>
  </si>
  <si>
    <t>IPI00153931.1:IPI00153932.1:IPI00312101.1:IPI00312105.3:IPI00405001.2:IPI00406812.2:IPI00466258.2:</t>
  </si>
  <si>
    <t>IPI00405473.6:IPI00874877.1:</t>
  </si>
  <si>
    <t>IPI00121471.1:</t>
  </si>
  <si>
    <t>IPI00120322.1:IPI00170052.2:IPI00762610.1:</t>
  </si>
  <si>
    <t>IPI00230415.5:IPI00230416.5:IPI00407546.2:IPI00775852.1:IPI00851014.1:IPI00853793.1:IPI00881598.1:</t>
  </si>
  <si>
    <t>IPI00138274.1:</t>
  </si>
  <si>
    <t>IPI00330773.3:IPI00403827.2:IPI00856814.1:</t>
  </si>
  <si>
    <t>IPI00307837.6:IPI00849577.1:</t>
  </si>
  <si>
    <t>IPI00453819.2:</t>
  </si>
  <si>
    <t>IPI00131138.10:</t>
  </si>
  <si>
    <t>IPI00123181.3:IPI00337900.1:IPI00473597.1:IPI00776379.1:IPI00788324.1:</t>
  </si>
  <si>
    <t>IPI00115817.3:IPI00135074.3:IPI00315548.3:IPI00404653.4:IPI00461504.1:IPI00462005.1:IPI00468196.1:IPI00468385.1:IPI00473445.1:IPI00555045.2:IPI00624454.1:IPI00676916.2:IPI00749628.1:IPI00875087.1:IPI00890177.1:IPI00895426.1:</t>
  </si>
  <si>
    <t>IPI00331644.5:IPI00475256.2:</t>
  </si>
  <si>
    <t>IPI00221528.1:</t>
  </si>
  <si>
    <t>IPI00127406.1:IPI00857601.1:</t>
  </si>
  <si>
    <t>IPI00162790.1:IPI00281245.2:IPI00850871.1:IPI00880213.1:IPI00889915.1:</t>
  </si>
  <si>
    <t>IPI00313517.10:IPI00622823.4:IPI00652588.1:IPI00761264.2:IPI00828778.1:</t>
  </si>
  <si>
    <t>IPI00108478.1:IPI00124945.1:IPI00845846.1:</t>
  </si>
  <si>
    <t>IPI00162994.1:IPI00620436.2:IPI00653350.1:IPI00653709.3:</t>
  </si>
  <si>
    <t>IPI00127841.3:IPI00458351.2:</t>
  </si>
  <si>
    <t>IPI00108478.1:IPI00124945.1:IPI00321587.5:IPI00676907.2:IPI00845846.1:IPI00849205.1:</t>
  </si>
  <si>
    <t>IPI00123891.3:</t>
  </si>
  <si>
    <t>IPI00119305.3:IPI00858306.1:</t>
  </si>
  <si>
    <t>IPI00474228.2:IPI00776074.1:</t>
  </si>
  <si>
    <t>IPI00120495.1:IPI00229961.1:IPI00229962.1:IPI00474360.2:IPI00876109.1:</t>
  </si>
  <si>
    <t>IPI00114472.3:IPI00133503.1:IPI00136263.1:IPI00474407.2:IPI00626628.1:IPI00755204.2:</t>
  </si>
  <si>
    <t>IPI00321170.8:IPI00458105.2:IPI00605077.1:IPI00751485.1:IPI00753623.1:IPI00754157.1:IPI00754487.1:IPI00755309.1:IPI00848821.1:IPI00849816.1:IPI00849994.1:IPI00850098.1:</t>
  </si>
  <si>
    <t>IPI00118678.1:IPI00459493.5:IPI00845611.1:</t>
  </si>
  <si>
    <t>IPI00117822.2:IPI00162994.1:IPI00620436.2:IPI00653350.1:IPI00653709.3:</t>
  </si>
  <si>
    <t>IPI00128522.1:IPI00468068.3:IPI00719874.1:IPI00857548.1:</t>
  </si>
  <si>
    <t>IPI00119896.2:IPI00272227.5:IPI00321209.2:IPI00660514.1:</t>
  </si>
  <si>
    <t>IPI00460291.2:</t>
  </si>
  <si>
    <t>IPI00130343.2:IPI00223443.1:IPI00223444.1:IPI00759870.1:IPI00759886.1:IPI00874321.1:</t>
  </si>
  <si>
    <t>IPI00265107.4:IPI00330363.8:IPI00354363.3:IPI00462453.4:IPI00622160.3:IPI00890002.1:</t>
  </si>
  <si>
    <t>IPI00110885.2:IPI00121079.3:IPI00759904.1:IPI00895177.1:</t>
  </si>
  <si>
    <t>IPI00169916.11:IPI00648173.1:</t>
  </si>
  <si>
    <t>IPI00119063.2:</t>
  </si>
  <si>
    <t>IPI00133208.3:IPI00346073.1:IPI00798482.3:</t>
  </si>
  <si>
    <t>IPI00133550.1:</t>
  </si>
  <si>
    <t>IPI00116281.3:IPI00321816.6:IPI00649678.1:</t>
  </si>
  <si>
    <t>IPI00352982.4:IPI00409393.2:IPI00828560.2:IPI00830551.1:</t>
  </si>
  <si>
    <t>IPI00108478.1:IPI00124945.1:IPI00321587.5:IPI00676907.2:IPI00676959.1:IPI00828238.1:IPI00845846.1:IPI00849205.1:</t>
  </si>
  <si>
    <t>IPI00126716.3:IPI00407909.1:IPI00648352.2:</t>
  </si>
  <si>
    <t>IPI00122223.1:IPI00135443.2:</t>
  </si>
  <si>
    <t>IPI00117632.2:</t>
  </si>
  <si>
    <t>IPI00113869.1:IPI00408495.1:IPI00462199.1:</t>
  </si>
  <si>
    <t>IPI00127841.3:IPI00462250.2:IPI00658303.1:</t>
  </si>
  <si>
    <t>IPI00118676.3:IPI00126716.3:IPI00400432.2:IPI00407909.1:IPI00409918.1:IPI00458502.2:IPI00648352.2:IPI00849305.1:IPI00857127.1:IPI00857870.1:IPI00857990.1:</t>
  </si>
  <si>
    <t>IPI00454016.5:</t>
  </si>
  <si>
    <t>IPI00320241.1:</t>
  </si>
  <si>
    <t>IPI00262356.2:</t>
  </si>
  <si>
    <t>IPI00462072.3:IPI00473227.1:IPI00648821.1:IPI00649143.2:</t>
  </si>
  <si>
    <t>IPI00317710.1:IPI00317711.1:IPI00331556.5:IPI00857988.1:</t>
  </si>
  <si>
    <t>IPI00125143.2:IPI00462975.3:IPI00856439.1:IPI00874737.2:</t>
  </si>
  <si>
    <t>IPI00400168.2:</t>
  </si>
  <si>
    <t>IPI00890002.1:</t>
  </si>
  <si>
    <t>IPI00136000.1:IPI00225322.1:IPI00856144.1:IPI00856779.1:IPI00856904.1:</t>
  </si>
  <si>
    <t>IPI00129026.1:IPI00654005.1:IPI00875500.1:</t>
  </si>
  <si>
    <t>IPI00828513.1:</t>
  </si>
  <si>
    <t>IPI00165717.1:IPI00474362.4:IPI00857417.1:</t>
  </si>
  <si>
    <t>IPI00114593.1:IPI00117043.1:IPI00266875.5:IPI00404804.1:IPI00480406.1:IPI00653007.1:IPI00654242.1:</t>
  </si>
  <si>
    <t>IPI00122565.1:IPI00323179.3:IPI00416577.1:IPI00886245.1:</t>
  </si>
  <si>
    <t>IPI00775993.1:</t>
  </si>
  <si>
    <t>IPI00462445.2:IPI00666323.1:</t>
  </si>
  <si>
    <t>IPI00131138.10:IPI00828712.3:IPI00875567.1:IPI00885630.1:IPI00886409.1:</t>
  </si>
  <si>
    <t>IPI00123181.3:IPI00337900.1:IPI00473597.1:IPI00776379.1:IPI00788324.1:IPI00856780.1:</t>
  </si>
  <si>
    <t>IPI00110684.1:</t>
  </si>
  <si>
    <t>IPI00320480.3:IPI00894742.1:IPI00895501.1:</t>
  </si>
  <si>
    <t>IPI00339428.9:IPI00816914.1:IPI00828891.1:</t>
  </si>
  <si>
    <t>IPI00466069.3:</t>
  </si>
  <si>
    <t>IPI00849927.1:</t>
  </si>
  <si>
    <t>IPI00321170.8:IPI00751485.1:IPI00753623.1:IPI00754157.1:IPI00754487.1:IPI00755309.1:IPI00849816.1:IPI00849994.1:</t>
  </si>
  <si>
    <t>IPI00131138.10:IPI00387373.6:IPI00663627.1:IPI00664643.2:IPI00664670.4:IPI00753917.2:IPI00875567.1:IPI00885630.1:IPI00886056.1:IPI00886409.1:</t>
  </si>
  <si>
    <t>IPI00319400.7:IPI00762776.1:IPI00831460.1:</t>
  </si>
  <si>
    <t>IPI00108478.1:IPI00124945.1:IPI00321587.5:IPI00845846.1:</t>
  </si>
  <si>
    <t>IPI00123202.1:</t>
  </si>
  <si>
    <t>IPI00121319.1:</t>
  </si>
  <si>
    <t>IPI00308706.4:</t>
  </si>
  <si>
    <t>IPI00676907.2:IPI00828238.1:IPI00849205.1:</t>
  </si>
  <si>
    <t>IPI00469260.3:IPI00649950.3:</t>
  </si>
  <si>
    <t>IPI00330136.3:IPI00380329.6:IPI00758078.2:</t>
  </si>
  <si>
    <t>IPI00323422.1:</t>
  </si>
  <si>
    <t>IPI00124945.1:IPI00131382.4:IPI00676907.2:IPI00816944.2:IPI00845846.1:IPI00849205.1:</t>
  </si>
  <si>
    <t>IPI00133208.3:</t>
  </si>
  <si>
    <t>IPI00126389.2:IPI00227005.1:IPI00227006.1:IPI00227007.1:IPI00227008.1:IPI00227013.2:IPI00230029.1:IPI00230030.2:IPI00230031.1:IPI00270737.5:IPI00469993.2:IPI00474739.1:IPI00475390.4:IPI00652944.1:IPI00675666.1:IPI00776121.1:IPI00776271.1:</t>
  </si>
  <si>
    <t>IPI00314748.7:</t>
  </si>
  <si>
    <t>IPI00226551.2:IPI00408207.2:</t>
  </si>
  <si>
    <t>IPI00230682.6:IPI00760000.1:</t>
  </si>
  <si>
    <t>IPI00136207.6:IPI00625592.2:</t>
  </si>
  <si>
    <t>IPI00135475.3:IPI00331516.3:</t>
  </si>
  <si>
    <t>IPI00380101.1:IPI00380102.1:IPI00406933.2:</t>
  </si>
  <si>
    <t>IPI00135686.2:IPI00460855.1:</t>
  </si>
  <si>
    <t>IPI00124284.3:IPI00673161.1:</t>
  </si>
  <si>
    <t>IPI00421223.3:</t>
  </si>
  <si>
    <t>IPI00114878.1:IPI00877337.1:</t>
  </si>
  <si>
    <t>IPI00337955.1:IPI00461920.1:</t>
  </si>
  <si>
    <t>IPI00313222.5:IPI00626312.1:IPI00853789.1:</t>
  </si>
  <si>
    <t>IPI00123181.3:IPI00338604.5:IPI00515398.1:IPI00757312.1:IPI00788324.1:IPI00876408.1:</t>
  </si>
  <si>
    <t>IPI00126943.1:IPI00403229.1:IPI00453705.4:IPI00515183.1:IPI00849557.1:</t>
  </si>
  <si>
    <t>DCY00410929.1:</t>
  </si>
  <si>
    <t>IPI00309997.3:IPI00406672.3:IPI00775790.1:IPI00775869.1:IPI00776276.1:IPI00776352.1:</t>
  </si>
  <si>
    <t>IPI00130460.1:</t>
  </si>
  <si>
    <t>DCY00228649.3:</t>
  </si>
  <si>
    <t>IPI00464151.3:IPI00882034.1:</t>
  </si>
  <si>
    <t>DCY00828221.2:</t>
  </si>
  <si>
    <t>IPI00380722.1:</t>
  </si>
  <si>
    <t>IPI00230102.1:</t>
  </si>
  <si>
    <t>IPI00312468.5:</t>
  </si>
  <si>
    <t>IPI00619995.4:IPI00622556.4:IPI00648918.3:IPI00649326.2:IPI00654168.1:</t>
  </si>
  <si>
    <t>IPI00320326.5:</t>
  </si>
  <si>
    <t>IPI00137503.2:IPI00319666.1:IPI00331515.2:IPI00762534.1:IPI00831157.1:</t>
  </si>
  <si>
    <t>DCY00267295.5:</t>
  </si>
  <si>
    <t>DCY00830183.1:</t>
  </si>
  <si>
    <t>IPI00134058.3:</t>
  </si>
  <si>
    <t>IPI00130129.1:IPI00131415.1:IPI00137501.1:IPI00137503.2:IPI00229362.1:IPI00229824.2:IPI00229825.1:IPI00229826.1:IPI00229827.1:IPI00230656.1:IPI00230657.3:IPI00310676.1:IPI00319666.1:IPI00331482.1:IPI00331483.1:IPI00331484.1:IPI00331485.1:IPI00331486.1:IPI00331515.2:IPI00648041.1:IPI00648877.2:IPI00649231.1:IPI00649613.1:IPI00750303.1:IPI00762534.1:IPI00831062.1:IPI00831157.1:IPI00876136.1:IPI00876423.1:IPI00889946.1:</t>
  </si>
  <si>
    <t>DCY00380698.3:</t>
  </si>
  <si>
    <t>IPI00129527.3:IPI00227299.6:IPI00230444.1:IPI00230445.1:</t>
  </si>
  <si>
    <t>IPI00227152.1:IPI00458435.1:IPI00850989.1:IPI00853908.1:</t>
  </si>
  <si>
    <t>DCY00855130.1:</t>
  </si>
  <si>
    <t>IPI00112947.1:IPI00136056.1:IPI00225378.3:IPI00230365.5:IPI00311493.5:IPI00656215.1:IPI00876179.1:</t>
  </si>
  <si>
    <t>DCY00775979.1:</t>
  </si>
  <si>
    <t>IPI00138790.2:IPI00321396.1:IPI00410959.1:IPI00649032.1:IPI00653061.1:IPI00761242.1:IPI00882363.1:</t>
  </si>
  <si>
    <t>IPI00262616.3:IPI00395047.1:</t>
  </si>
  <si>
    <t>DCY00469028.1:</t>
  </si>
  <si>
    <t>DCY00320923.5:</t>
  </si>
  <si>
    <t>DCY00221667.1:</t>
  </si>
  <si>
    <t>IPI00128818.2:</t>
  </si>
  <si>
    <t>IPI00131138.10:IPI00664643.2:IPI00828712.3:IPI00828770.3:IPI00875567.1:IPI00885630.1:IPI00886409.1:</t>
  </si>
  <si>
    <t>DCY00463496.3:</t>
  </si>
  <si>
    <t>DCY00319767.2:DCY00606056.3:</t>
  </si>
  <si>
    <t>DCY00309401.1:</t>
  </si>
  <si>
    <t>IPI00125143.2:IPI00874737.2:</t>
  </si>
  <si>
    <t>IPI00663742.3:IPI00849953.1:IPI00880415.1:</t>
  </si>
  <si>
    <t>DCY00227900.1:</t>
  </si>
  <si>
    <t>IPI00651960.3:</t>
  </si>
  <si>
    <t>IPI00553336.3:IPI00666034.3:</t>
  </si>
  <si>
    <t>IPI00307837.6:</t>
  </si>
  <si>
    <t>IPI00229509.2:IPI00230061.2:IPI00400209.1:IPI00400214.3:IPI00400215.3:IPI00421267.1:IPI00421268.1:IPI00421271.1:IPI00468273.4:IPI00625928.2:IPI00626385.4:</t>
  </si>
  <si>
    <t>IPI00123181.3:IPI00338604.5:IPI00515398.1:IPI00757312.1:IPI00788324.1:</t>
  </si>
  <si>
    <t>DCY00229328.5:</t>
  </si>
  <si>
    <t>IPI00459636.1:IPI00623284.4:</t>
  </si>
  <si>
    <t>IPI00138406.1:IPI00407954.2:</t>
  </si>
  <si>
    <t>IPI00395222.1:IPI00395223.1:IPI00720011.2:IPI00760039.1:IPI00762162.1:</t>
  </si>
  <si>
    <t>DCY00128484.1:</t>
  </si>
  <si>
    <t>IPI00265107.4:IPI00278580.6:IPI00330363.8:IPI00354363.3:IPI00462006.3:IPI00462453.4:IPI00606944.2:IPI00622160.3:IPI00848731.1:IPI00849924.1:IPI00850703.1:IPI00890002.1:IPI00890194.1:</t>
  </si>
  <si>
    <t>IPI00136119.5:</t>
  </si>
  <si>
    <t>IPI00420521.4:IPI00749519.2:</t>
  </si>
  <si>
    <t>IPI00474959.2:IPI00875864.1:</t>
  </si>
  <si>
    <t>IPI00111258.3:IPI00858189.1:</t>
  </si>
  <si>
    <t>IPI00310561.2:IPI00314870.1:IPI00458087.2:IPI00556692.2:IPI00808484.1:IPI00830220.1:IPI00831542.1:IPI00875319.1:</t>
  </si>
  <si>
    <t>IPI00169851.4:IPI00356147.3:IPI00463138.1:IPI00467530.3:IPI00480399.1:IPI00755288.2:IPI00831081.1:IPI00831178.1:IPI00831268.1:IPI00831353.1:IPI00831442.1:IPI00831454.1:</t>
  </si>
  <si>
    <t>IPI00113886.1:IPI00126191.5:IPI00230394.5:IPI00230435.1:IPI00400300.1:IPI00620256.3:</t>
  </si>
  <si>
    <t>IPI00409462.2:</t>
  </si>
  <si>
    <t>IPI00122223.1:</t>
  </si>
  <si>
    <t>IPI00282957.4:IPI00649400.1:IPI00867855.1:IPI00881853.1:</t>
  </si>
  <si>
    <t>DCY00323231.1:</t>
  </si>
  <si>
    <t>IPI00228343.4:</t>
  </si>
  <si>
    <t>IPI00118899.1:IPI00775849.2:IPI00830549.1:</t>
  </si>
  <si>
    <t>IPI00652416.2:IPI00749646.2:</t>
  </si>
  <si>
    <t>IPI00119842.1:IPI00880948.1:IPI00890154.1:</t>
  </si>
  <si>
    <t>IPI00668639.2:IPI00720231.1:IPI00742431.1:</t>
  </si>
  <si>
    <t>IPI00122815.3:IPI00133522.1:</t>
  </si>
  <si>
    <t>IPI00113539.2:IPI00352163.3:IPI00652571.1:IPI00652813.1:</t>
  </si>
  <si>
    <t>IPI00115941.3:IPI00626863.3:</t>
  </si>
  <si>
    <t>IPI00608098.4:IPI00620743.2:IPI00886004.1:</t>
  </si>
  <si>
    <t>IPI00112634.1:IPI00652449.1:IPI00673085.2:</t>
  </si>
  <si>
    <t>IPI00117730.3:IPI00130324.1:IPI00403310.3:IPI00515672.2:</t>
  </si>
  <si>
    <t>IPI00462072.3:IPI00648821.1:IPI00849751.1:</t>
  </si>
  <si>
    <t>IPI00114894.1:IPI00123181.3:IPI00227865.1:IPI00338604.5:IPI00453996.1:IPI00515398.1:IPI00608077.3:IPI00757312.1:IPI00788324.1:IPI00876408.1:</t>
  </si>
  <si>
    <t>IPI00227834.8:IPI00876126.1:</t>
  </si>
  <si>
    <t>DCY00461527.4:</t>
  </si>
  <si>
    <t>IPI00135971.1:IPI00874522.1:</t>
  </si>
  <si>
    <t>IPI00115607.3:IPI00474281.1:IPI00850941.1:</t>
  </si>
  <si>
    <t>IPI00309997.3:IPI00406672.3:IPI00775790.1:IPI00775869.1:IPI00775906.1:IPI00776276.1:IPI00776352.1:</t>
  </si>
  <si>
    <t>DCY00831031.1:</t>
  </si>
  <si>
    <t>IPI00407425.2:IPI00515678.2:IPI00619995.4:IPI00622556.4:IPI00648918.3:IPI00649326.2:IPI00828545.1:IPI00828766.1:</t>
  </si>
  <si>
    <t>IPI00130102.4:</t>
  </si>
  <si>
    <t>IPI00137706.1:IPI00652719.3:IPI00831110.1:IPI00856759.1:IPI00857173.1:IPI00886325.1:</t>
  </si>
  <si>
    <t>DCY00830551.1:</t>
  </si>
  <si>
    <t>IPI00126072.2:</t>
  </si>
  <si>
    <t>IPI00153317.3:</t>
  </si>
  <si>
    <t>IPI00122548.3:IPI00876341.1:</t>
  </si>
  <si>
    <t>IPI00313517.10:IPI00622823.4:IPI00761264.2:IPI00828778.1:</t>
  </si>
  <si>
    <t>IPI00119891.1:IPI00331669.1:IPI00473381.2:IPI00515695.1:IPI00885431.1:</t>
  </si>
  <si>
    <t>IPI00115875.7:</t>
  </si>
  <si>
    <t>IPI00352982.4:IPI00409393.2:IPI00828560.2:IPI00830551.1:IPI00830644.1:</t>
  </si>
  <si>
    <t>IPI00323624.3:IPI00759878.2:</t>
  </si>
  <si>
    <t>IPI00117277.2:IPI00403280.2:IPI00855165.1:</t>
  </si>
  <si>
    <t>IPI00108147.1:IPI00406463.2:</t>
  </si>
  <si>
    <t>IPI00223769.5:IPI00223770.2:IPI00223771.3:IPI00223772.2:IPI00223773.4:IPI00265503.4:IPI00265504.4:IPI00265505.4:IPI00266152.4:IPI00266154.1:IPI00266155.1:IPI00410802.2:IPI00466077.1:IPI00720073.1:IPI00753669.1:IPI00756545.1:IPI00757131.1:IPI00828592.1:IPI00828623.1:IPI00874953.1:IPI00875240.1:</t>
  </si>
  <si>
    <t>IPI00620256.3:</t>
  </si>
  <si>
    <t>IPI00114241.2:IPI00130102.4:IPI00135965.2:IPI00227299.6:IPI00323800.6:IPI00554928.3:IPI00675855.2:IPI00831210.1:IPI00848753.1:IPI00849761.1:IPI00854999.1:</t>
  </si>
  <si>
    <t>IPI00461244.3:IPI00551498.2:IPI00648605.2:</t>
  </si>
  <si>
    <t>IPI00121949.1:IPI00858209.1:</t>
  </si>
  <si>
    <t>IPI00309997.3:IPI00406672.3:IPI00775790.1:IPI00775826.1:IPI00775869.1:IPI00775906.1:IPI00776276.1:IPI00776352.1:</t>
  </si>
  <si>
    <t>IPI00119063.2:IPI00894573.1:</t>
  </si>
  <si>
    <t>IPI00224626.3:IPI00459494.1:IPI00874440.1:</t>
  </si>
  <si>
    <t>IPI00625954.4:</t>
  </si>
  <si>
    <t>IPI00314153.4:</t>
  </si>
  <si>
    <t>IPI00115663.2:IPI00856365.1:IPI00856500.2:IPI00857105.1:IPI00857569.2:IPI00858004.1:</t>
  </si>
  <si>
    <t>IPI00752390.3:IPI00875821.1:</t>
  </si>
  <si>
    <t>IPI00336736.5:IPI00339428.9:IPI00648548.2:IPI00816914.1:IPI00828891.1:</t>
  </si>
  <si>
    <t>IPI00120162.1:IPI00408176.2:</t>
  </si>
  <si>
    <t>IPI00177038.1:</t>
  </si>
  <si>
    <t>IPI00230440.6:IPI00758028.2:</t>
  </si>
  <si>
    <t>IPI00169851.4:IPI00463138.1:IPI00467530.3:IPI00480399.1:IPI00755288.2:IPI00831178.1:IPI00831268.1:IPI00831353.1:IPI00831442.1:IPI00831454.1:</t>
  </si>
  <si>
    <t>IPI00114894.1:IPI00123181.3:IPI00227865.1:IPI00788324.1:IPI00876408.1:</t>
  </si>
  <si>
    <t>IPI00115564.5:IPI00127841.3:IPI00265371.3:IPI00462250.2:IPI00658303.1:</t>
  </si>
  <si>
    <t>IPI00109932.1:</t>
  </si>
  <si>
    <t>IPI00420521.4:IPI00623993.2:IPI00749519.2:</t>
  </si>
  <si>
    <t>IPI00131818.1:IPI00672616.3:</t>
  </si>
  <si>
    <t>IPI00380136.3:</t>
  </si>
  <si>
    <t>IPI00230641.1:IPI00230642.1:IPI00230643.1:IPI00230644.1:IPI00230645.1:IPI00409176.1:IPI00754820.1:</t>
  </si>
  <si>
    <t>IPI00854013.1:IPI00886225.1:</t>
  </si>
  <si>
    <t>IPI00322869.3:</t>
  </si>
  <si>
    <t>IPI00407425.2:IPI00515678.2:IPI00619995.4:IPI00649326.2:</t>
  </si>
  <si>
    <t>IPI00854971.1:</t>
  </si>
  <si>
    <t>IPI00753793.2:IPI00798592.1:</t>
  </si>
  <si>
    <t>IPI00109073.5:</t>
  </si>
  <si>
    <t>IPI00323748.2:IPI00404017.1:IPI00473940.1:</t>
  </si>
  <si>
    <t>IPI00109061.1:IPI00169463.1:IPI00338039.1:IPI00473225.1:</t>
  </si>
  <si>
    <t>IPI00469219.2:</t>
  </si>
  <si>
    <t>IPI00229889.5:</t>
  </si>
  <si>
    <t>IPI00263048.1:</t>
  </si>
  <si>
    <t>DCY00788324.1:</t>
  </si>
  <si>
    <t>IPI00850537.1:</t>
  </si>
  <si>
    <t>DCY00172160.1:</t>
  </si>
  <si>
    <t>IPI00109632.3:</t>
  </si>
  <si>
    <t>DCY00874555.1:</t>
  </si>
  <si>
    <t>IPI00133208.3:IPI00886377.1:</t>
  </si>
  <si>
    <t>DCY00875635.1:</t>
  </si>
  <si>
    <t>IPI00111589.1:IPI00129466.1:IPI00129468.2:IPI00649286.1:IPI00660374.1:IPI00660820.1:IPI00677454.2:IPI00678989.3:</t>
  </si>
  <si>
    <t>DCY00855051.1:</t>
  </si>
  <si>
    <t>DCY00117490.1:</t>
  </si>
  <si>
    <t>DCY00877206.1:</t>
  </si>
  <si>
    <t>DCY00762900.1:</t>
  </si>
  <si>
    <t>DCY00165799.1:</t>
  </si>
  <si>
    <t>DCY00654999.1:</t>
  </si>
  <si>
    <t>DCY00857821.1:</t>
  </si>
  <si>
    <t>IPI00354819.5:IPI00409817.2:IPI00462232.3:IPI00474757.4:IPI00848866.1:IPI00850361.1:</t>
  </si>
  <si>
    <t>IPI00119078.1:IPI00163043.1:</t>
  </si>
  <si>
    <t>DCY00515256.2:</t>
  </si>
  <si>
    <t>IPI00229697.3:IPI00757214.2:IPI00884456.1:IPI00884536.1:</t>
  </si>
  <si>
    <t>IPI00379126.3:IPI00785287.1:</t>
  </si>
  <si>
    <t>DCY00127808.1:</t>
  </si>
  <si>
    <t>IPI00346323.3:IPI00857462.1:</t>
  </si>
  <si>
    <t>IPI00118316.2:IPI00895002.1:</t>
  </si>
  <si>
    <t>DCY00127573.1:</t>
  </si>
  <si>
    <t>IPI00118205.1:</t>
  </si>
  <si>
    <t>IPI00222462.4:IPI00816918.1:IPI00875148.1:</t>
  </si>
  <si>
    <t>IPI00121394.1:IPI00133708.1:IPI00134371.1:IPI00230035.7:IPI00651980.1:</t>
  </si>
  <si>
    <t>IPI00315606.5:</t>
  </si>
  <si>
    <t>IPI00284806.8:</t>
  </si>
  <si>
    <t>IPI00109650.3:IPI00114491.1:IPI00124240.1:IPI00225350.1:IPI00894639.1:</t>
  </si>
  <si>
    <t>IPI00346073.1:IPI00669474.1:IPI00798482.3:</t>
  </si>
  <si>
    <t>IPI00130381.1:</t>
  </si>
  <si>
    <t>DCY00831602.2:</t>
  </si>
  <si>
    <t>IPI00113849.1:</t>
  </si>
  <si>
    <t>IPI00354819.5:IPI00409817.2:IPI00462232.3:</t>
  </si>
  <si>
    <t>IPI00109073.5:IPI00169463.1:</t>
  </si>
  <si>
    <t>IPI00352982.4:IPI00828560.2:IPI00830551.1:IPI00830644.1:</t>
  </si>
  <si>
    <t>IPI00387223.2:IPI00652373.1:</t>
  </si>
  <si>
    <t>IPI00130114.5:</t>
  </si>
  <si>
    <t>IPI00756608.1:IPI00849717.1:</t>
  </si>
  <si>
    <t>IPI00262356.2:IPI00649569.4:</t>
  </si>
  <si>
    <t>IPI00280664.5:IPI00622575.3:</t>
  </si>
  <si>
    <t>IPI00113539.2:IPI00652571.1:IPI00652813.1:</t>
  </si>
  <si>
    <t>IPI00318019.1:</t>
  </si>
  <si>
    <t>IPI00154100.2:</t>
  </si>
  <si>
    <t>IPI00113302.1:IPI00223385.1:IPI00856230.1:</t>
  </si>
  <si>
    <t>IPI00131366.5:IPI00131368.3:IPI00346834.1:IPI00762364.2:IPI00785403.14:</t>
  </si>
  <si>
    <t>IPI00849012.1:</t>
  </si>
  <si>
    <t>IPI00221872.4:IPI00652833.1:</t>
  </si>
  <si>
    <t>DCY00515509.2:</t>
  </si>
  <si>
    <t>IPI00110404.1:IPI00606576.2:IPI00880741.1:IPI00881397.1:IPI00881463.1:IPI00881567.1:IPI00881708.1:</t>
  </si>
  <si>
    <t>DCY00227170.2:</t>
  </si>
  <si>
    <t>DCY00131762.6:</t>
  </si>
  <si>
    <t>DCY00314053.7:</t>
  </si>
  <si>
    <t>DCY00830958.1:</t>
  </si>
  <si>
    <t>IPI00122272.1:IPI00227905.1:IPI00469845.1:IPI00885334.1:IPI00885777.1:IPI00886169.1:IPI00886239.1:IPI00889948.1:</t>
  </si>
  <si>
    <t>DCY00750102.3:</t>
  </si>
  <si>
    <t>DCY00269674.1:</t>
  </si>
  <si>
    <t>DCY00349966.7:</t>
  </si>
  <si>
    <t>DCY00221396.2:</t>
  </si>
  <si>
    <t>IPI00267489.1:IPI00554830.2:</t>
  </si>
  <si>
    <t>DCY00135677.2:</t>
  </si>
  <si>
    <t>IPI00153317.3:IPI00850089.1:</t>
  </si>
  <si>
    <t>DCY00377608.2:</t>
  </si>
  <si>
    <t>DCY00121482.1:</t>
  </si>
  <si>
    <t>IPI00131366.5:IPI00131368.3:IPI00462141.1:IPI00762364.2:IPI00785403.14:IPI00875518.1:</t>
  </si>
  <si>
    <t>DCY00678768.2:</t>
  </si>
  <si>
    <t>DCY00461425.1:</t>
  </si>
  <si>
    <t>DCY00224217.1:</t>
  </si>
  <si>
    <t>IPI00137172.1:</t>
  </si>
  <si>
    <t>IPI00227140.1:IPI00230365.5:IPI00420316.2:IPI00468696.3:</t>
  </si>
  <si>
    <t>IPI00396726.2:IPI00875479.1:IPI00894905.1:IPI00895085.1:</t>
  </si>
  <si>
    <t>DCY00849789.1:</t>
  </si>
  <si>
    <t>IPI00117042.3:IPI00124499.2:IPI00124800.2:IPI00131366.5:IPI00131368.3:IPI00139301.3:IPI00221797.1:IPI00222228.5:IPI00227299.6:IPI00322209.5:IPI00331459.1:IPI00346834.1:IPI00347019.2:IPI00348328.4:IPI00405473.6:IPI00406377.3:IPI00420312.4:IPI00462986.1:IPI00470126.4:IPI00474575.5:IPI00649033.5:IPI00762364.2:IPI00785403.14:IPI00874877.1:IPI00875862.1:</t>
  </si>
  <si>
    <t>DCY00719971.1:</t>
  </si>
  <si>
    <t>IPI00420385.4:IPI00454142.5:IPI00454143.3:</t>
  </si>
  <si>
    <t>IPI00622946.2:IPI00756702.2:IPI00856302.1:IPI00856926.1:IPI00858000.1:</t>
  </si>
  <si>
    <t>DCY00649373.1:</t>
  </si>
  <si>
    <t>IPI00138302.1:IPI00331121.4:IPI00664437.1:IPI00677340.1:</t>
  </si>
  <si>
    <t>DCY00874866.1:</t>
  </si>
  <si>
    <t>IPI00322748.3:</t>
  </si>
  <si>
    <t>IPI00127174.4:IPI00652919.2:IPI00857642.1:</t>
  </si>
  <si>
    <t>DCY00314225.5:</t>
  </si>
  <si>
    <t>DCY00123521.3:</t>
  </si>
  <si>
    <t>IPI00354819.5:IPI00409817.2:IPI00458035.3:IPI00462232.3:IPI00474757.4:IPI00848866.1:IPI00850299.1:IPI00850361.1:</t>
  </si>
  <si>
    <t>IPI00133392.3:IPI00312700.4:IPI00461505.2:IPI00469531.3:IPI00895557.1:</t>
  </si>
  <si>
    <t>IPI00338604.5:IPI00515398.1:IPI00757312.1:</t>
  </si>
  <si>
    <t>IPI00116645.1:</t>
  </si>
  <si>
    <t>IPI00124115.1:</t>
  </si>
  <si>
    <t>IPI00113394.5:IPI00230660.5:IPI00849417.1:IPI00850815.1:IPI00857288.1:IPI00857457.1:IPI00857931.1:</t>
  </si>
  <si>
    <t>IPI00761485.1:</t>
  </si>
  <si>
    <t>DCY00662047.2:</t>
  </si>
  <si>
    <t>DCY00228056.2:</t>
  </si>
  <si>
    <t>IPI00453724.1:IPI00556699.1:IPI00755768.1:</t>
  </si>
  <si>
    <t>IPI00116645.1:IPI00228258.1:</t>
  </si>
  <si>
    <t>IPI00312700.4:IPI00461505.2:IPI00469531.3:IPI00895557.1:</t>
  </si>
  <si>
    <t>IPI00227140.1:IPI00420316.2:IPI00468696.3:</t>
  </si>
  <si>
    <t>DCY00125778.3:</t>
  </si>
  <si>
    <t>IPI00116649.1:IPI00830538.1:</t>
  </si>
  <si>
    <t>IPI00116649.1:</t>
  </si>
  <si>
    <t>IPI00318901.1:IPI00331411.2:IPI00648431.1:</t>
  </si>
  <si>
    <t>IPI00133392.3:IPI00318901.1:IPI00331411.2:IPI00648431.1:</t>
  </si>
  <si>
    <t>DCY00831456.1:</t>
  </si>
  <si>
    <t>IPI00137503.2:IPI00319666.1:IPI00831062.1:</t>
  </si>
  <si>
    <t>IPI00121462.1:IPI00230365.5:</t>
  </si>
  <si>
    <t>IPI00122450.1:IPI00311344.3:IPI00462119.3:IPI00775950.1:IPI00775997.1:</t>
  </si>
  <si>
    <t>IPI00132067.4:IPI00750260.1:IPI00830803.1:</t>
  </si>
  <si>
    <t>IPI00229963.6:</t>
  </si>
  <si>
    <t>IPI00113427.2:</t>
  </si>
  <si>
    <t>IPI00867895.1:</t>
  </si>
  <si>
    <t>IPI00828528.1:</t>
  </si>
  <si>
    <t>IPI00131397.1:IPI00458224.1:</t>
  </si>
  <si>
    <t>IPI00123223.2:</t>
  </si>
  <si>
    <t>DCY00420227.3:</t>
  </si>
  <si>
    <t>IPI00346073.1:</t>
  </si>
  <si>
    <t>IPI00121149.1:IPI00755120.2:</t>
  </si>
  <si>
    <t>DCY00274647.3:</t>
  </si>
  <si>
    <t>DCY00875925.1:</t>
  </si>
  <si>
    <t>DCY00133130.1:</t>
  </si>
  <si>
    <t>DCY00474413.3:</t>
  </si>
  <si>
    <t>IPI00653184.1:</t>
  </si>
  <si>
    <t>IPI00330262.5:IPI00400349.1:IPI00400350.1:IPI00400351.2:IPI00653366.1:IPI00654246.1:</t>
  </si>
  <si>
    <t>IPI00115708.1:IPI00336318.1:IPI00756129.2:</t>
  </si>
  <si>
    <t>IPI00461025.1:</t>
  </si>
  <si>
    <t>DCY00227449.1:</t>
  </si>
  <si>
    <t>DCY00467346.1:</t>
  </si>
  <si>
    <t>IPI00320905.7:IPI00408189.2:</t>
  </si>
  <si>
    <t>DCY00410802.2:</t>
  </si>
  <si>
    <t>IPI00111810.1:IPI00229454.1:IPI00875524.1:</t>
  </si>
  <si>
    <t>IPI00119575.3:IPI00310841.4:IPI00649804.2:IPI00762049.2:IPI00856972.1:IPI00857789.1:</t>
  </si>
  <si>
    <t>IPI00137018.3:</t>
  </si>
  <si>
    <t>DCY00466863.3:</t>
  </si>
  <si>
    <t>IPI00471341.2:</t>
  </si>
  <si>
    <t>IPI00132208.1:IPI00623518.2:IPI00649208.1:IPI00649780.1:IPI00850734.1:</t>
  </si>
  <si>
    <t>IPI00229600.2:IPI00655098.1:IPI00844664.1:</t>
  </si>
  <si>
    <t>IPI00480231.1:IPI00480372.3:IPI00623401.4:IPI00664998.1:IPI00719870.2:IPI00854899.1:</t>
  </si>
  <si>
    <t>IPI00109639.6:IPI00881820.1:</t>
  </si>
  <si>
    <t>IPI00480231.1:IPI00480372.3:IPI00623401.4:IPI00664998.1:IPI00719870.2:IPI00854899.1:IPI00857606.1:</t>
  </si>
  <si>
    <t>DCY00854925.1:</t>
  </si>
  <si>
    <t>IPI00408125.2:IPI00421167.1:IPI00626173.3:</t>
  </si>
  <si>
    <t>DCY00127461.1:</t>
  </si>
  <si>
    <t>IPI00464107.1:</t>
  </si>
  <si>
    <t>IPI00120384.6:IPI00121423.1:IPI00223531.3:IPI00230364.7:IPI00319926.1:IPI00323391.1:IPI00874650.1:</t>
  </si>
  <si>
    <t>DCY00515576.5:</t>
  </si>
  <si>
    <t>DCY00669522.4:</t>
  </si>
  <si>
    <t>IPI00849717.1:</t>
  </si>
  <si>
    <t>IPI00187443.1:IPI00405405.1:IPI00808129.1:</t>
  </si>
  <si>
    <t>IPI00315325.1:IPI00515156.1:</t>
  </si>
  <si>
    <t>IPI00110753.1:IPI00117348.4:IPI00117350.1:IPI00121558.4:IPI00129028.1:IPI00311175.5:IPI00403810.2:IPI00466390.1:IPI00473667.1:</t>
  </si>
  <si>
    <t>IPI00459443.5:</t>
  </si>
  <si>
    <t>IPI00113849.1:IPI00116558.1:IPI00120193.1:IPI00127408.3:IPI00137618.1:IPI00157462.1:IPI00221550.1:IPI00279631.4:IPI00380307.3:IPI00761613.1:IPI00856942.1:IPI00881384.1:IPI00882113.1:</t>
  </si>
  <si>
    <t>DCY00126217.3:</t>
  </si>
  <si>
    <t>DCY00857767.1:</t>
  </si>
  <si>
    <t>IPI00113617.1:IPI00314467.3:IPI00379974.4:</t>
  </si>
  <si>
    <t>IPI00224642.6:IPI00648133.3:IPI00648866.1:</t>
  </si>
  <si>
    <t>DCY00885268.1:</t>
  </si>
  <si>
    <t>IPI00132208.1:IPI00649208.1:IPI00649780.1:IPI00850734.1:</t>
  </si>
  <si>
    <t>IPI00319926.1:IPI00754218.1:IPI00758192.1:</t>
  </si>
  <si>
    <t>IPI00817029.1:</t>
  </si>
  <si>
    <t>IPI00154012.1:IPI00222152.1:IPI00222154.1:IPI00403342.2:IPI00875696.1:</t>
  </si>
  <si>
    <t>IPI00137103.3:IPI00831097.1:IPI00880818.1:</t>
  </si>
  <si>
    <t>IPI00131224.1:</t>
  </si>
  <si>
    <t>IPI00275455.2:IPI00317590.5:IPI00381655.4:IPI00474174.1:IPI00620156.1:IPI00669224.2:IPI00851049.1:</t>
  </si>
  <si>
    <t>IPI00221566.3:IPI00775823.2:</t>
  </si>
  <si>
    <t>DCY00881319.1:</t>
  </si>
  <si>
    <t>IPI00118707.1:IPI00331461.4:IPI00474856.1:IPI00624735.4:IPI00626239.3:IPI00848952.1:</t>
  </si>
  <si>
    <t>IPI00169870.6:</t>
  </si>
  <si>
    <t>IPI00672743.3:IPI00750595.2:</t>
  </si>
  <si>
    <t>IPI00129194.1:IPI00889989.1:</t>
  </si>
  <si>
    <t>IPI00320543.5:IPI00453497.1:IPI00856422.1:IPI00856982.1:IPI00857878.1:IPI00858131.3:IPI00885858.1:</t>
  </si>
  <si>
    <t>IPI00890001.1:</t>
  </si>
  <si>
    <t>IPI00848597.1:IPI00853742.2:</t>
  </si>
  <si>
    <t>IPI00122858.1:IPI00720007.1:</t>
  </si>
  <si>
    <t>IPI00474598.2:</t>
  </si>
  <si>
    <t>IPI00128108.1:IPI00130391.1:IPI00406464.2:IPI00416117.6:IPI00464014.1:IPI00759953.1:</t>
  </si>
  <si>
    <t>IPI00742417.2:IPI00849323.1:</t>
  </si>
  <si>
    <t>IPI00129571.3:</t>
  </si>
  <si>
    <t>IPI00466032.3:</t>
  </si>
  <si>
    <t>IPI00187301.1:IPI00880625.1:</t>
  </si>
  <si>
    <t>IPI00109044.8:IPI00750441.1:IPI00758006.1:</t>
  </si>
  <si>
    <t>IPI00131138.10:IPI00664643.2:IPI00664670.4:IPI00753917.2:IPI00875567.1:IPI00885630.1:IPI00886409.1:</t>
  </si>
  <si>
    <t>IPI00124284.3:</t>
  </si>
  <si>
    <t>IPI00416279.3:IPI00649669.1:</t>
  </si>
  <si>
    <t>IPI00121909.3:IPI00653638.3:IPI00830629.2:</t>
  </si>
  <si>
    <t>IPI00268215.1:</t>
  </si>
  <si>
    <t>IPI00131138.10:IPI00387373.6:IPI00875567.1:</t>
  </si>
  <si>
    <t>DCY00848887.1:</t>
  </si>
  <si>
    <t>IPI00122450.1:IPI00754268.1:IPI00757635.1:IPI00758267.1:IPI00775950.1:IPI00776094.1:</t>
  </si>
  <si>
    <t>IPI00109603.1:IPI00749564.1:IPI00857602.1:IPI00857713.1:IPI00858246.1:</t>
  </si>
  <si>
    <t>IPI00226518.2:IPI00856787.1:IPI00857194.2:</t>
  </si>
  <si>
    <t>DCY00311181.1:</t>
  </si>
  <si>
    <t>IPI00222809.1:IPI00624765.3:IPI00894776.1:IPI00895496.1:</t>
  </si>
  <si>
    <t>DCY00169674.1:</t>
  </si>
  <si>
    <t>DCY00750014.2:</t>
  </si>
  <si>
    <t>DCY00762905.2:</t>
  </si>
  <si>
    <t>DCY00131879.1:</t>
  </si>
  <si>
    <t>IPI00169707.2:IPI00230044.5:IPI00459570.1:IPI00474756.1:IPI00889847.1:</t>
  </si>
  <si>
    <t>IPI00830470.1:</t>
  </si>
  <si>
    <t>IPI00118899.1:IPI00775849.2:</t>
  </si>
  <si>
    <t>DCY00816882.2:</t>
  </si>
  <si>
    <t>IPI00110827.1:IPI00110850.1:IPI00114593.1:IPI00117043.1:IPI00136929.1:IPI00221528.1:IPI00404804.1:IPI00480406.1:IPI00648161.1:IPI00648420.1:IPI00652436.3:IPI00653007.1:IPI00654242.1:IPI00874482.1:IPI00874780.1:IPI00890071.1:</t>
  </si>
  <si>
    <t>DCY00223590.6:</t>
  </si>
  <si>
    <t>IPI00404042.5:IPI00753049.1:IPI00761391.2:</t>
  </si>
  <si>
    <t>IPI00110827.1:</t>
  </si>
  <si>
    <t>IPI00465786.3:</t>
  </si>
  <si>
    <t>IPI00719897.1:</t>
  </si>
  <si>
    <t>DCY00416163.4:</t>
  </si>
  <si>
    <t>DCY00620062.3:</t>
  </si>
  <si>
    <t>DCY00230616.2:</t>
  </si>
  <si>
    <t>DCY00128366.1:</t>
  </si>
  <si>
    <t>IPI00420659.2:IPI00459461.5:</t>
  </si>
  <si>
    <t>IPI00222632.3:</t>
  </si>
  <si>
    <t>IPI00719919.2:</t>
  </si>
  <si>
    <t>IPI00110850.1:IPI00136929.1:IPI00221528.1:IPI00473320.2:IPI00648161.1:IPI00648420.1:IPI00652436.3:IPI00856609.1:IPI00874482.1:IPI00874780.1:</t>
  </si>
  <si>
    <t>DCY00874908.1:</t>
  </si>
  <si>
    <t>DCY00226466.6:</t>
  </si>
  <si>
    <t>IPI00228360.3:IPI00387422.3:IPI00408218.1:</t>
  </si>
  <si>
    <t>IPI00122450.1:IPI00311344.3:IPI00462119.3:IPI00757121.1:IPI00775950.1:IPI00775997.1:</t>
  </si>
  <si>
    <t>Carbamidomethyl (C) {10,19}</t>
  </si>
  <si>
    <t>Carbamidomethyl (C) {1,4}</t>
  </si>
  <si>
    <t>Carbamidomethyl (C) {2,11}</t>
  </si>
  <si>
    <t>Carbamidomethyl (C) {5,7}</t>
  </si>
  <si>
    <t>Carbamidomethyl (C) {10,13}</t>
  </si>
  <si>
    <t>Carbamidomethyl (C) {8,11}</t>
  </si>
  <si>
    <t>Oxidation (M) {23}</t>
  </si>
  <si>
    <t>Carbamidomethyl (C) {11,19}</t>
  </si>
  <si>
    <t>Oxidation (M) {29}</t>
  </si>
  <si>
    <t>Oxidation (M) {2,5}</t>
  </si>
  <si>
    <t>Carbamidomethyl (C) {2,4}</t>
  </si>
  <si>
    <t>Carbamidomethyl (C) {4,6,21}</t>
  </si>
  <si>
    <t>Carbamidomethyl (C) {3,5}</t>
  </si>
  <si>
    <t>Carbamidomethyl (C) {2,6,9}</t>
  </si>
  <si>
    <t>Carbamidomethyl (C) {1,7}</t>
  </si>
  <si>
    <t>Carbamidomethyl (C) {7,13}</t>
  </si>
  <si>
    <t>Gln-&gt;pyro-Glu (N-term Q) {N_Term} + Oxidation (M) {2,18}</t>
  </si>
  <si>
    <t>Oxidation (M) {4,11}</t>
  </si>
  <si>
    <t>Oxidation (M) {3,13}</t>
  </si>
  <si>
    <t>Carbamidomethyl (C) {9,11}</t>
  </si>
  <si>
    <t>Oxidation (M) {3,9}</t>
  </si>
  <si>
    <t>Carbamidomethyl (C) {4,9}</t>
  </si>
  <si>
    <t>Carbamidomethyl (C) {5,6,9}</t>
  </si>
  <si>
    <t>Carbamidomethyl (C) {1,10}</t>
  </si>
  <si>
    <t>Carbamidomethyl (C) {4,10}</t>
  </si>
  <si>
    <t>Carbamidomethyl (C) {3,6}</t>
  </si>
  <si>
    <t>Carbamidomethyl (C) {6,12}</t>
  </si>
  <si>
    <t>Gln-&gt;pyro-Glu (N-term Q) {N_Term} + Oxidation (M) {6}</t>
  </si>
  <si>
    <t>Gln-&gt;pyro-Glu (N-term Q) {N_Term} + Oxidation (M) {2}</t>
  </si>
  <si>
    <t>a: Entry name in IPI database</t>
    <phoneticPr fontId="3"/>
  </si>
  <si>
    <t>b: Mascot score of the indicated peptide</t>
    <phoneticPr fontId="3"/>
  </si>
  <si>
    <t>c: The name of the experiment</t>
    <phoneticPr fontId="3"/>
  </si>
  <si>
    <t>d: Valiable modifications</t>
    <phoneticPr fontId="3"/>
  </si>
  <si>
    <t>e: Fixed modifications</t>
    <phoneticPr fontId="3"/>
  </si>
  <si>
    <t>a: Entry name in IPI database</t>
    <phoneticPr fontId="3"/>
  </si>
  <si>
    <t>b: Mascot score of the indicated peptide</t>
    <phoneticPr fontId="3"/>
  </si>
  <si>
    <t>c: The name of the experiment</t>
    <phoneticPr fontId="3"/>
  </si>
  <si>
    <t>c: The name of the experiment</t>
    <phoneticPr fontId="3"/>
  </si>
  <si>
    <t>List of peptides derived from Fbxw7 binding proteins identified by spectral counting in mHepa cells.</t>
    <phoneticPr fontId="3"/>
  </si>
  <si>
    <t>List of peptides derived from Fbxw7 binding proteins identified by spectral counting in N2A cells.</t>
    <phoneticPr fontId="3"/>
  </si>
  <si>
    <t>List of peptides derived from Fbxw7 binding proteins identified by spectral counting in C2C12 cells.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</si>
</sst>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ＭＳ Ｐゴシック"/>
      <family val="2"/>
      <charset val="128"/>
      <scheme val="minor"/>
    </font>
    <font>
      <b/>
      <sz val="11"/>
      <color theme="1"/>
      <name val="Arial Unicode MS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color theme="1"/>
      <name val="Arial Unicode MS"/>
      <family val="3"/>
      <charset val="128"/>
    </font>
    <font>
      <vertAlign val="superscript"/>
      <sz val="9"/>
      <color indexed="8"/>
      <name val="Arial Unicode MS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1" xfId="0" applyFont="1" applyFill="1" applyBorder="1">
      <alignment vertical="center"/>
    </xf>
    <xf numFmtId="0" fontId="4" fillId="0" borderId="0" xfId="0" applyNumberFormat="1" applyFont="1">
      <alignment vertical="center"/>
    </xf>
    <xf numFmtId="0" fontId="4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328"/>
  <sheetViews>
    <sheetView tabSelected="1" workbookViewId="0">
      <selection sqref="A1:XFD2"/>
    </sheetView>
  </sheetViews>
  <sheetFormatPr defaultColWidth="9" defaultRowHeight="13.2" x14ac:dyDescent="0.2"/>
  <cols>
    <col min="1" max="1" width="19.21875" style="2" customWidth="1"/>
    <col min="2" max="2" width="43.44140625" style="2" customWidth="1"/>
    <col min="3" max="16384" width="9" style="2"/>
  </cols>
  <sheetData>
    <row r="1" spans="1:9" ht="15" customHeight="1" x14ac:dyDescent="0.2">
      <c r="A1" s="1" t="s">
        <v>8164</v>
      </c>
    </row>
    <row r="3" spans="1:9" ht="15" customHeight="1" x14ac:dyDescent="0.2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</row>
    <row r="4" spans="1:9" x14ac:dyDescent="0.2">
      <c r="A4" s="2" t="s">
        <v>4337</v>
      </c>
      <c r="B4" s="2" t="s">
        <v>2152</v>
      </c>
      <c r="C4" s="2">
        <v>546.40120000000002</v>
      </c>
      <c r="D4" s="2">
        <f>HYPERLINK("http://mcb-m6.bioreg.kyushu-u.ac.jp/M3/20110414/F50927/1537/1", 35.07)</f>
        <v>35.07</v>
      </c>
      <c r="E4" s="2">
        <v>15.81</v>
      </c>
      <c r="F4" s="2">
        <v>2</v>
      </c>
      <c r="G4" s="2" t="s">
        <v>11</v>
      </c>
    </row>
    <row r="5" spans="1:9" x14ac:dyDescent="0.2">
      <c r="A5" s="2" t="s">
        <v>4709</v>
      </c>
      <c r="B5" s="2" t="s">
        <v>2896</v>
      </c>
      <c r="C5" s="2">
        <v>460.51609999999999</v>
      </c>
      <c r="D5" s="2">
        <f>HYPERLINK("http://mcb-m6.bioreg.kyushu-u.ac.jp/M3/20110502/F51170/842/1", 45.2)</f>
        <v>45.2</v>
      </c>
      <c r="E5" s="2">
        <v>15.74</v>
      </c>
      <c r="F5" s="2">
        <v>2</v>
      </c>
      <c r="G5" s="2" t="s">
        <v>13</v>
      </c>
    </row>
    <row r="6" spans="1:9" x14ac:dyDescent="0.2">
      <c r="A6" s="2" t="s">
        <v>3582</v>
      </c>
      <c r="B6" s="2" t="s">
        <v>462</v>
      </c>
      <c r="C6" s="2">
        <v>744.63699999999994</v>
      </c>
      <c r="D6" s="2">
        <f>HYPERLINK("http://mcb-m6.bioreg.kyushu-u.ac.jp/M3/20110411/F50903/761/1", 42.38)</f>
        <v>42.38</v>
      </c>
      <c r="E6" s="2">
        <v>8.4</v>
      </c>
      <c r="F6" s="2">
        <v>1</v>
      </c>
      <c r="G6" s="2" t="s">
        <v>9</v>
      </c>
    </row>
    <row r="7" spans="1:9" x14ac:dyDescent="0.2">
      <c r="A7" s="2" t="s">
        <v>3334</v>
      </c>
      <c r="B7" s="2" t="s">
        <v>122</v>
      </c>
      <c r="C7" s="2">
        <v>812.67499999999995</v>
      </c>
      <c r="D7" s="2">
        <f>HYPERLINK("http://mcb-m6.bioreg.kyushu-u.ac.jp/M3/20110411/F50905/751/1", 36.35)</f>
        <v>36.35</v>
      </c>
      <c r="E7" s="2">
        <v>15.97</v>
      </c>
      <c r="F7" s="2">
        <v>1</v>
      </c>
      <c r="G7" s="2" t="s">
        <v>9</v>
      </c>
    </row>
    <row r="8" spans="1:9" x14ac:dyDescent="0.2">
      <c r="A8" s="2" t="s">
        <v>4674</v>
      </c>
      <c r="B8" s="2" t="s">
        <v>2843</v>
      </c>
      <c r="C8" s="2">
        <v>1106.79</v>
      </c>
      <c r="D8" s="2">
        <f>HYPERLINK("http://mcb-m6.bioreg.kyushu-u.ac.jp/M3/20110502/F51180/3232/1", 38.82)</f>
        <v>38.82</v>
      </c>
      <c r="E8" s="2">
        <v>9.74</v>
      </c>
      <c r="F8" s="2">
        <v>2</v>
      </c>
      <c r="G8" s="2" t="s">
        <v>13</v>
      </c>
      <c r="H8" s="2" t="s">
        <v>4920</v>
      </c>
    </row>
    <row r="9" spans="1:9" x14ac:dyDescent="0.2">
      <c r="A9" s="2" t="s">
        <v>4674</v>
      </c>
      <c r="B9" s="2" t="s">
        <v>2843</v>
      </c>
      <c r="C9" s="2">
        <v>1106.9280000000001</v>
      </c>
      <c r="D9" s="2">
        <f>HYPERLINK("http://mcb-m6.bioreg.kyushu-u.ac.jp/M3/20110502/F51182/3465/1", 42.7)</f>
        <v>42.7</v>
      </c>
      <c r="E9" s="2">
        <v>8.07</v>
      </c>
      <c r="F9" s="2">
        <v>2</v>
      </c>
      <c r="G9" s="2" t="s">
        <v>14</v>
      </c>
      <c r="H9" s="2" t="s">
        <v>4920</v>
      </c>
    </row>
    <row r="10" spans="1:9" x14ac:dyDescent="0.2">
      <c r="A10" s="2" t="s">
        <v>4524</v>
      </c>
      <c r="B10" s="2" t="s">
        <v>2543</v>
      </c>
      <c r="C10" s="2">
        <v>481.61959999999999</v>
      </c>
      <c r="D10" s="2">
        <f>HYPERLINK("http://mcb-m6.bioreg.kyushu-u.ac.jp/M3/20110414/F50966/861/1", 36.62)</f>
        <v>36.619999999999997</v>
      </c>
      <c r="E10" s="2">
        <v>11.78</v>
      </c>
      <c r="F10" s="2">
        <v>2</v>
      </c>
      <c r="G10" s="2" t="s">
        <v>12</v>
      </c>
      <c r="H10" s="2" t="s">
        <v>4915</v>
      </c>
    </row>
    <row r="11" spans="1:9" x14ac:dyDescent="0.2">
      <c r="A11" s="2" t="s">
        <v>4163</v>
      </c>
      <c r="B11" s="2" t="s">
        <v>1724</v>
      </c>
      <c r="C11" s="2">
        <v>823.75620000000004</v>
      </c>
      <c r="D11" s="2">
        <f>HYPERLINK("http://mcb-m6.bioreg.kyushu-u.ac.jp/M3/20110411/F50913/2413/1", 36.39)</f>
        <v>36.39</v>
      </c>
      <c r="E11" s="2">
        <v>16.64</v>
      </c>
      <c r="F11" s="2">
        <v>2</v>
      </c>
      <c r="G11" s="2" t="s">
        <v>10</v>
      </c>
    </row>
    <row r="12" spans="1:9" x14ac:dyDescent="0.2">
      <c r="A12" s="2" t="s">
        <v>4874</v>
      </c>
      <c r="B12" s="2" t="s">
        <v>3187</v>
      </c>
      <c r="C12" s="2">
        <v>711.89319999999998</v>
      </c>
      <c r="D12" s="2">
        <f>HYPERLINK("http://mcb-m6.bioreg.kyushu-u.ac.jp/M3/20110502/F51183/1740/1", 65.28)</f>
        <v>65.28</v>
      </c>
      <c r="E12" s="2">
        <v>5.4</v>
      </c>
      <c r="F12" s="2">
        <v>2</v>
      </c>
      <c r="G12" s="2" t="s">
        <v>14</v>
      </c>
    </row>
    <row r="13" spans="1:9" x14ac:dyDescent="0.2">
      <c r="A13" s="2" t="s">
        <v>4199</v>
      </c>
      <c r="B13" s="2" t="s">
        <v>1785</v>
      </c>
      <c r="C13" s="2">
        <v>467.4178</v>
      </c>
      <c r="D13" s="2">
        <f>HYPERLINK("http://mcb-m6.bioreg.kyushu-u.ac.jp/M3/20110411/F50896/1980/1", 39.12)</f>
        <v>39.119999999999997</v>
      </c>
      <c r="E13" s="2">
        <v>9.32</v>
      </c>
      <c r="F13" s="2">
        <v>3</v>
      </c>
      <c r="G13" s="2" t="s">
        <v>10</v>
      </c>
    </row>
    <row r="14" spans="1:9" x14ac:dyDescent="0.2">
      <c r="A14" s="2" t="s">
        <v>4547</v>
      </c>
      <c r="B14" s="2" t="s">
        <v>2577</v>
      </c>
      <c r="C14" s="2">
        <v>855.64260000000002</v>
      </c>
      <c r="D14" s="2">
        <f>HYPERLINK("http://mcb-m6.bioreg.kyushu-u.ac.jp/M3/20110414/F50948/2754/1", 38.9)</f>
        <v>38.9</v>
      </c>
      <c r="E14" s="2">
        <v>18.940000000000001</v>
      </c>
      <c r="F14" s="2">
        <v>2</v>
      </c>
      <c r="G14" s="2" t="s">
        <v>12</v>
      </c>
      <c r="H14" s="2" t="s">
        <v>4969</v>
      </c>
      <c r="I14" s="2" t="s">
        <v>4899</v>
      </c>
    </row>
    <row r="15" spans="1:9" x14ac:dyDescent="0.2">
      <c r="A15" s="2" t="s">
        <v>4773</v>
      </c>
      <c r="B15" s="2" t="s">
        <v>3002</v>
      </c>
      <c r="C15" s="2">
        <v>602.16269999999997</v>
      </c>
      <c r="D15" s="2">
        <f>HYPERLINK("http://mcb-m6.bioreg.kyushu-u.ac.jp/M3/20110502/F51181/1206/1", 37.25)</f>
        <v>37.25</v>
      </c>
      <c r="E15" s="2">
        <v>10.28</v>
      </c>
      <c r="F15" s="2">
        <v>2</v>
      </c>
      <c r="G15" s="2" t="s">
        <v>14</v>
      </c>
    </row>
    <row r="16" spans="1:9" x14ac:dyDescent="0.2">
      <c r="A16" s="2" t="s">
        <v>4633</v>
      </c>
      <c r="B16" s="2" t="s">
        <v>2788</v>
      </c>
      <c r="C16" s="2">
        <v>459.41090000000003</v>
      </c>
      <c r="D16" s="2">
        <f>HYPERLINK("http://mcb-m6.bioreg.kyushu-u.ac.jp/M3/20110502/F51171/1782/1", 35.4)</f>
        <v>35.4</v>
      </c>
      <c r="E16" s="2">
        <v>17.96</v>
      </c>
      <c r="F16" s="2">
        <v>3</v>
      </c>
      <c r="G16" s="2" t="s">
        <v>13</v>
      </c>
    </row>
    <row r="17" spans="1:9" x14ac:dyDescent="0.2">
      <c r="A17" s="2" t="s">
        <v>3688</v>
      </c>
      <c r="B17" s="2" t="s">
        <v>651</v>
      </c>
      <c r="C17" s="2">
        <v>450.9579</v>
      </c>
      <c r="D17" s="2">
        <f>HYPERLINK("http://mcb-m6.bioreg.kyushu-u.ac.jp/M3/20110411/F50905/1678/1", 47.26)</f>
        <v>47.26</v>
      </c>
      <c r="E17" s="2">
        <v>20.61</v>
      </c>
      <c r="F17" s="2">
        <v>3</v>
      </c>
      <c r="G17" s="2" t="s">
        <v>9</v>
      </c>
    </row>
    <row r="18" spans="1:9" x14ac:dyDescent="0.2">
      <c r="A18" s="2" t="s">
        <v>4745</v>
      </c>
      <c r="B18" s="2" t="s">
        <v>2969</v>
      </c>
      <c r="C18" s="2">
        <v>1086.2270000000001</v>
      </c>
      <c r="D18" s="2">
        <f>HYPERLINK("http://mcb-m6.bioreg.kyushu-u.ac.jp/M3/20110502/F51182/3395/1", 35.61)</f>
        <v>35.61</v>
      </c>
      <c r="E18" s="2">
        <v>19.38</v>
      </c>
      <c r="F18" s="2">
        <v>2</v>
      </c>
      <c r="G18" s="2" t="s">
        <v>14</v>
      </c>
      <c r="H18" s="2" t="s">
        <v>4927</v>
      </c>
      <c r="I18" s="2" t="s">
        <v>4895</v>
      </c>
    </row>
    <row r="19" spans="1:9" x14ac:dyDescent="0.2">
      <c r="A19" s="2" t="s">
        <v>4414</v>
      </c>
      <c r="B19" s="2" t="s">
        <v>2271</v>
      </c>
      <c r="C19" s="2">
        <v>1076.2429999999999</v>
      </c>
      <c r="D19" s="2">
        <f>HYPERLINK("http://mcb-m6.bioreg.kyushu-u.ac.jp/M3/20110414/F50928/1390/1", 41.61)</f>
        <v>41.61</v>
      </c>
      <c r="E19" s="2">
        <v>17.63</v>
      </c>
      <c r="F19" s="2">
        <v>1</v>
      </c>
      <c r="G19" s="2" t="s">
        <v>11</v>
      </c>
    </row>
    <row r="20" spans="1:9" x14ac:dyDescent="0.2">
      <c r="A20" s="2" t="s">
        <v>4517</v>
      </c>
      <c r="B20" s="2" t="s">
        <v>2530</v>
      </c>
      <c r="C20" s="2">
        <v>610.88919999999996</v>
      </c>
      <c r="D20" s="2">
        <f>HYPERLINK("http://mcb-m6.bioreg.kyushu-u.ac.jp/M3/20110414/F50948/1292/1", 35.95)</f>
        <v>35.950000000000003</v>
      </c>
      <c r="E20" s="2">
        <v>18.170000000000002</v>
      </c>
      <c r="F20" s="2">
        <v>2</v>
      </c>
      <c r="G20" s="2" t="s">
        <v>12</v>
      </c>
    </row>
    <row r="21" spans="1:9" x14ac:dyDescent="0.2">
      <c r="A21" s="2" t="s">
        <v>4219</v>
      </c>
      <c r="B21" s="2" t="s">
        <v>1822</v>
      </c>
      <c r="C21" s="2">
        <v>603.42859999999996</v>
      </c>
      <c r="D21" s="2">
        <f>HYPERLINK("http://mcb-m6.bioreg.kyushu-u.ac.jp/M3/20110411/F50897/1362/1", 41.41)</f>
        <v>41.41</v>
      </c>
      <c r="E21" s="2">
        <v>11.69</v>
      </c>
      <c r="F21" s="2">
        <v>2</v>
      </c>
      <c r="G21" s="2" t="s">
        <v>10</v>
      </c>
    </row>
    <row r="22" spans="1:9" x14ac:dyDescent="0.2">
      <c r="A22" s="2" t="s">
        <v>4790</v>
      </c>
      <c r="B22" s="2" t="s">
        <v>3027</v>
      </c>
      <c r="C22" s="2">
        <v>509.4941</v>
      </c>
      <c r="D22" s="2">
        <f>HYPERLINK("http://mcb-m6.bioreg.kyushu-u.ac.jp/M3/20110502/F51192/727/1", 38.6)</f>
        <v>38.6</v>
      </c>
      <c r="E22" s="2">
        <v>8.7899999999999991</v>
      </c>
      <c r="F22" s="2">
        <v>2</v>
      </c>
      <c r="G22" s="2" t="s">
        <v>14</v>
      </c>
    </row>
    <row r="23" spans="1:9" x14ac:dyDescent="0.2">
      <c r="A23" s="2" t="s">
        <v>4243</v>
      </c>
      <c r="B23" s="2" t="s">
        <v>1867</v>
      </c>
      <c r="C23" s="2">
        <v>460.5566</v>
      </c>
      <c r="D23" s="2">
        <f>HYPERLINK("http://mcb-m6.bioreg.kyushu-u.ac.jp/M3/20110411/F50912/938/1", 45.56)</f>
        <v>45.56</v>
      </c>
      <c r="E23" s="2">
        <v>10.68</v>
      </c>
      <c r="F23" s="2">
        <v>2</v>
      </c>
      <c r="G23" s="2" t="s">
        <v>10</v>
      </c>
    </row>
    <row r="24" spans="1:9" x14ac:dyDescent="0.2">
      <c r="A24" s="2" t="s">
        <v>4565</v>
      </c>
      <c r="B24" s="2" t="s">
        <v>2603</v>
      </c>
      <c r="C24" s="2">
        <v>524.81960000000004</v>
      </c>
      <c r="D24" s="2">
        <f>HYPERLINK("http://mcb-m6.bioreg.kyushu-u.ac.jp/M3/20110414/F50933/1556/1", 41.63)</f>
        <v>41.63</v>
      </c>
      <c r="E24" s="2">
        <v>20</v>
      </c>
      <c r="F24" s="2">
        <v>2</v>
      </c>
      <c r="G24" s="2" t="s">
        <v>12</v>
      </c>
      <c r="I24" s="2" t="s">
        <v>4905</v>
      </c>
    </row>
    <row r="25" spans="1:9" x14ac:dyDescent="0.2">
      <c r="A25" s="2" t="s">
        <v>3672</v>
      </c>
      <c r="B25" s="2" t="s">
        <v>619</v>
      </c>
      <c r="C25" s="2">
        <v>966.75699999999995</v>
      </c>
      <c r="D25" s="2">
        <f>HYPERLINK("http://mcb-m6.bioreg.kyushu-u.ac.jp/M3/20110411/F50904/1086/1", 46.28)</f>
        <v>46.28</v>
      </c>
      <c r="E25" s="2">
        <v>15.52</v>
      </c>
      <c r="F25" s="2">
        <v>1</v>
      </c>
      <c r="G25" s="2" t="s">
        <v>9</v>
      </c>
    </row>
    <row r="26" spans="1:9" x14ac:dyDescent="0.2">
      <c r="A26" s="2" t="s">
        <v>3672</v>
      </c>
      <c r="B26" s="2" t="s">
        <v>619</v>
      </c>
      <c r="C26" s="2">
        <v>966.84400000000005</v>
      </c>
      <c r="D26" s="2">
        <f>HYPERLINK("http://mcb-m6.bioreg.kyushu-u.ac.jp/M3/20110411/F50912/1026/1", 46.11)</f>
        <v>46.11</v>
      </c>
      <c r="E26" s="2">
        <v>15.8</v>
      </c>
      <c r="F26" s="2">
        <v>1</v>
      </c>
      <c r="G26" s="2" t="s">
        <v>10</v>
      </c>
    </row>
    <row r="27" spans="1:9" x14ac:dyDescent="0.2">
      <c r="A27" s="2" t="s">
        <v>4539</v>
      </c>
      <c r="B27" s="2" t="s">
        <v>2566</v>
      </c>
      <c r="C27" s="2">
        <v>875.90620000000001</v>
      </c>
      <c r="D27" s="2">
        <f>HYPERLINK("http://mcb-m6.bioreg.kyushu-u.ac.jp/M3/20110414/F50958/2952/1", 38.18)</f>
        <v>38.18</v>
      </c>
      <c r="E27" s="2">
        <v>23.97</v>
      </c>
      <c r="F27" s="2">
        <v>2</v>
      </c>
      <c r="G27" s="2" t="s">
        <v>12</v>
      </c>
    </row>
    <row r="28" spans="1:9" x14ac:dyDescent="0.2">
      <c r="A28" s="2" t="s">
        <v>4766</v>
      </c>
      <c r="B28" s="2" t="s">
        <v>2994</v>
      </c>
      <c r="C28" s="2">
        <v>549.45820000000003</v>
      </c>
      <c r="D28" s="2">
        <f>HYPERLINK("http://mcb-m6.bioreg.kyushu-u.ac.jp/M3/20110502/F51193/962/1", 36.67)</f>
        <v>36.67</v>
      </c>
      <c r="E28" s="2">
        <v>11.09</v>
      </c>
      <c r="F28" s="2">
        <v>2</v>
      </c>
      <c r="G28" s="2" t="s">
        <v>14</v>
      </c>
      <c r="H28" s="2" t="s">
        <v>4904</v>
      </c>
    </row>
    <row r="29" spans="1:9" x14ac:dyDescent="0.2">
      <c r="A29" s="2" t="s">
        <v>4158</v>
      </c>
      <c r="B29" s="2" t="s">
        <v>1716</v>
      </c>
      <c r="C29" s="2">
        <v>1047.9770000000001</v>
      </c>
      <c r="D29" s="2">
        <f>HYPERLINK("http://mcb-m6.bioreg.kyushu-u.ac.jp/M3/20110411/F50914/3342/1", 36.14)</f>
        <v>36.14</v>
      </c>
      <c r="E29" s="2">
        <v>9.17</v>
      </c>
      <c r="F29" s="2">
        <v>2</v>
      </c>
      <c r="G29" s="2" t="s">
        <v>10</v>
      </c>
      <c r="H29" s="2" t="s">
        <v>4946</v>
      </c>
    </row>
    <row r="30" spans="1:9" x14ac:dyDescent="0.2">
      <c r="A30" s="2" t="s">
        <v>4786</v>
      </c>
      <c r="B30" s="2" t="s">
        <v>3019</v>
      </c>
      <c r="C30" s="2">
        <v>521.79110000000003</v>
      </c>
      <c r="D30" s="2">
        <f>HYPERLINK("http://mcb-m6.bioreg.kyushu-u.ac.jp/M3/20110502/F51193/830/2", 38.29)</f>
        <v>38.29</v>
      </c>
      <c r="E30" s="2">
        <v>11.51</v>
      </c>
      <c r="F30" s="2">
        <v>2</v>
      </c>
      <c r="G30" s="2" t="s">
        <v>14</v>
      </c>
    </row>
    <row r="31" spans="1:9" x14ac:dyDescent="0.2">
      <c r="A31" s="2" t="s">
        <v>4642</v>
      </c>
      <c r="B31" s="2" t="s">
        <v>2799</v>
      </c>
      <c r="C31" s="2">
        <v>958.37959999999998</v>
      </c>
      <c r="D31" s="2">
        <f>HYPERLINK("http://mcb-m6.bioreg.kyushu-u.ac.jp/M3/20110502/F51172/3400/1", 35.9)</f>
        <v>35.9</v>
      </c>
      <c r="E31" s="2">
        <v>8.02</v>
      </c>
      <c r="F31" s="2">
        <v>2</v>
      </c>
      <c r="G31" s="2" t="s">
        <v>13</v>
      </c>
      <c r="I31" s="2" t="s">
        <v>4941</v>
      </c>
    </row>
    <row r="32" spans="1:9" x14ac:dyDescent="0.2">
      <c r="A32" s="2" t="s">
        <v>4349</v>
      </c>
      <c r="B32" s="2" t="s">
        <v>2165</v>
      </c>
      <c r="C32" s="2">
        <v>570.71619999999996</v>
      </c>
      <c r="D32" s="2">
        <f>HYPERLINK("http://mcb-m6.bioreg.kyushu-u.ac.jp/M3/20110414/F50926/1688/1", 35.67)</f>
        <v>35.67</v>
      </c>
      <c r="E32" s="2">
        <v>10.69</v>
      </c>
      <c r="F32" s="2">
        <v>2</v>
      </c>
      <c r="G32" s="2" t="s">
        <v>11</v>
      </c>
    </row>
    <row r="33" spans="1:8" x14ac:dyDescent="0.2">
      <c r="A33" s="2" t="s">
        <v>4752</v>
      </c>
      <c r="B33" s="2" t="s">
        <v>2978</v>
      </c>
      <c r="C33" s="2">
        <v>706.55579999999998</v>
      </c>
      <c r="D33" s="2">
        <f>HYPERLINK("http://mcb-m6.bioreg.kyushu-u.ac.jp/M3/20110502/F51177/3361/1", 35.83)</f>
        <v>35.83</v>
      </c>
      <c r="E33" s="2">
        <v>24.81</v>
      </c>
      <c r="F33" s="2">
        <v>3</v>
      </c>
      <c r="G33" s="2" t="s">
        <v>14</v>
      </c>
      <c r="H33" s="2" t="s">
        <v>4938</v>
      </c>
    </row>
    <row r="34" spans="1:8" x14ac:dyDescent="0.2">
      <c r="A34" s="2" t="s">
        <v>3549</v>
      </c>
      <c r="B34" s="2" t="s">
        <v>406</v>
      </c>
      <c r="C34" s="2">
        <v>534.07069999999999</v>
      </c>
      <c r="D34" s="2">
        <f>HYPERLINK("http://mcb-m6.bioreg.kyushu-u.ac.jp/M3/20110411/F50893/1426/1", 41.22)</f>
        <v>41.22</v>
      </c>
      <c r="E34" s="2">
        <v>10.26</v>
      </c>
      <c r="F34" s="2">
        <v>2</v>
      </c>
      <c r="G34" s="2" t="s">
        <v>9</v>
      </c>
    </row>
    <row r="35" spans="1:8" x14ac:dyDescent="0.2">
      <c r="A35" s="2" t="s">
        <v>4402</v>
      </c>
      <c r="B35" s="2" t="s">
        <v>2252</v>
      </c>
      <c r="C35" s="2">
        <v>771.452</v>
      </c>
      <c r="D35" s="2">
        <f>HYPERLINK("http://mcb-m6.bioreg.kyushu-u.ac.jp/M3/20110414/F50942/558/1", 39.81)</f>
        <v>39.81</v>
      </c>
      <c r="E35" s="2">
        <v>16.13</v>
      </c>
      <c r="F35" s="2">
        <v>1</v>
      </c>
      <c r="G35" s="2" t="s">
        <v>11</v>
      </c>
    </row>
    <row r="36" spans="1:8" x14ac:dyDescent="0.2">
      <c r="A36" s="2" t="s">
        <v>4182</v>
      </c>
      <c r="B36" s="2" t="s">
        <v>1760</v>
      </c>
      <c r="C36" s="2">
        <v>763.51969999999994</v>
      </c>
      <c r="D36" s="2">
        <f>HYPERLINK("http://mcb-m6.bioreg.kyushu-u.ac.jp/M3/20110411/F50902/2155/1", 38.13)</f>
        <v>38.130000000000003</v>
      </c>
      <c r="E36" s="2">
        <v>15.15</v>
      </c>
      <c r="F36" s="2">
        <v>2</v>
      </c>
      <c r="G36" s="2" t="s">
        <v>10</v>
      </c>
    </row>
    <row r="37" spans="1:8" x14ac:dyDescent="0.2">
      <c r="A37" s="2" t="s">
        <v>4350</v>
      </c>
      <c r="B37" s="2" t="s">
        <v>2166</v>
      </c>
      <c r="C37" s="2">
        <v>606.04470000000003</v>
      </c>
      <c r="D37" s="2">
        <f>HYPERLINK("http://mcb-m6.bioreg.kyushu-u.ac.jp/M3/20110414/F50926/1806/1", 35.71)</f>
        <v>35.71</v>
      </c>
      <c r="E37" s="2">
        <v>14.7</v>
      </c>
      <c r="F37" s="2">
        <v>2</v>
      </c>
      <c r="G37" s="2" t="s">
        <v>11</v>
      </c>
    </row>
    <row r="38" spans="1:8" x14ac:dyDescent="0.2">
      <c r="A38" s="2" t="s">
        <v>4357</v>
      </c>
      <c r="B38" s="2" t="s">
        <v>2174</v>
      </c>
      <c r="C38" s="2">
        <v>507.68209999999999</v>
      </c>
      <c r="D38" s="2">
        <f>HYPERLINK("http://mcb-m6.bioreg.kyushu-u.ac.jp/M3/20110414/F50941/925/1", 35.95)</f>
        <v>35.950000000000003</v>
      </c>
      <c r="E38" s="2">
        <v>15.16</v>
      </c>
      <c r="F38" s="2">
        <v>2</v>
      </c>
      <c r="G38" s="2" t="s">
        <v>11</v>
      </c>
    </row>
    <row r="39" spans="1:8" x14ac:dyDescent="0.2">
      <c r="A39" s="2" t="s">
        <v>3436</v>
      </c>
      <c r="B39" s="2" t="s">
        <v>244</v>
      </c>
      <c r="C39" s="2">
        <v>480.44560000000001</v>
      </c>
      <c r="D39" s="2">
        <f>HYPERLINK("http://mcb-m6.bioreg.kyushu-u.ac.jp/M3/20110411/F50891/901/1", 38.39)</f>
        <v>38.39</v>
      </c>
      <c r="E39" s="2">
        <v>11.12</v>
      </c>
      <c r="F39" s="2">
        <v>2</v>
      </c>
      <c r="G39" s="2" t="s">
        <v>9</v>
      </c>
    </row>
    <row r="40" spans="1:8" x14ac:dyDescent="0.2">
      <c r="A40" s="2" t="s">
        <v>4807</v>
      </c>
      <c r="B40" s="2" t="s">
        <v>3052</v>
      </c>
      <c r="C40" s="2">
        <v>823.70820000000003</v>
      </c>
      <c r="D40" s="2">
        <f>HYPERLINK("http://mcb-m6.bioreg.kyushu-u.ac.jp/M3/20110502/F51193/2333/1", 40.46)</f>
        <v>40.46</v>
      </c>
      <c r="E40" s="2">
        <v>22.07</v>
      </c>
      <c r="F40" s="2">
        <v>2</v>
      </c>
      <c r="G40" s="2" t="s">
        <v>14</v>
      </c>
      <c r="H40" s="2" t="s">
        <v>4919</v>
      </c>
    </row>
    <row r="41" spans="1:8" x14ac:dyDescent="0.2">
      <c r="A41" s="2" t="s">
        <v>4575</v>
      </c>
      <c r="B41" s="2" t="s">
        <v>2624</v>
      </c>
      <c r="C41" s="2">
        <v>703.85170000000005</v>
      </c>
      <c r="D41" s="2">
        <f>HYPERLINK("http://mcb-m6.bioreg.kyushu-u.ac.jp/M3/20110414/F50958/1736/1", 43.76)</f>
        <v>43.76</v>
      </c>
      <c r="E41" s="2">
        <v>26.38</v>
      </c>
      <c r="F41" s="2">
        <v>2</v>
      </c>
      <c r="G41" s="2" t="s">
        <v>12</v>
      </c>
      <c r="H41" s="2" t="s">
        <v>4919</v>
      </c>
    </row>
    <row r="42" spans="1:8" x14ac:dyDescent="0.2">
      <c r="A42" s="2" t="s">
        <v>4549</v>
      </c>
      <c r="B42" s="2" t="s">
        <v>2580</v>
      </c>
      <c r="C42" s="2">
        <v>552.95669999999996</v>
      </c>
      <c r="D42" s="2">
        <f>HYPERLINK("http://mcb-m6.bioreg.kyushu-u.ac.jp/M3/20110414/F50949/1779/1", 39.28)</f>
        <v>39.28</v>
      </c>
      <c r="E42" s="2">
        <v>12.89</v>
      </c>
      <c r="F42" s="2">
        <v>2</v>
      </c>
      <c r="G42" s="2" t="s">
        <v>12</v>
      </c>
    </row>
    <row r="43" spans="1:8" x14ac:dyDescent="0.2">
      <c r="A43" s="2" t="s">
        <v>4553</v>
      </c>
      <c r="B43" s="2" t="s">
        <v>2584</v>
      </c>
      <c r="C43" s="2">
        <v>716.83920000000001</v>
      </c>
      <c r="D43" s="2">
        <f>HYPERLINK("http://mcb-m6.bioreg.kyushu-u.ac.jp/M3/20110414/F50949/2091/1", 39.66)</f>
        <v>39.659999999999997</v>
      </c>
      <c r="E43" s="2">
        <v>11.6</v>
      </c>
      <c r="F43" s="2">
        <v>2</v>
      </c>
      <c r="G43" s="2" t="s">
        <v>12</v>
      </c>
      <c r="H43" s="2" t="s">
        <v>4908</v>
      </c>
    </row>
    <row r="44" spans="1:8" x14ac:dyDescent="0.2">
      <c r="A44" s="2" t="s">
        <v>4776</v>
      </c>
      <c r="B44" s="2" t="s">
        <v>3005</v>
      </c>
      <c r="C44" s="2">
        <v>534.4325</v>
      </c>
      <c r="D44" s="2">
        <f>HYPERLINK("http://mcb-m6.bioreg.kyushu-u.ac.jp/M3/20110502/F51177/2224/1", 37.38)</f>
        <v>37.380000000000003</v>
      </c>
      <c r="E44" s="2">
        <v>9.68</v>
      </c>
      <c r="F44" s="2">
        <v>3</v>
      </c>
      <c r="G44" s="2" t="s">
        <v>14</v>
      </c>
    </row>
    <row r="45" spans="1:8" x14ac:dyDescent="0.2">
      <c r="A45" s="2" t="s">
        <v>4247</v>
      </c>
      <c r="B45" s="2" t="s">
        <v>1873</v>
      </c>
      <c r="C45" s="2">
        <v>905.70899999999995</v>
      </c>
      <c r="D45" s="2">
        <f>HYPERLINK("http://mcb-m6.bioreg.kyushu-u.ac.jp/M3/20110411/F50902/1001/2", 45.93)</f>
        <v>45.93</v>
      </c>
      <c r="E45" s="2">
        <v>11.67</v>
      </c>
      <c r="F45" s="2">
        <v>1</v>
      </c>
      <c r="G45" s="2" t="s">
        <v>10</v>
      </c>
    </row>
    <row r="46" spans="1:8" x14ac:dyDescent="0.2">
      <c r="A46" s="2" t="s">
        <v>4247</v>
      </c>
      <c r="B46" s="2" t="s">
        <v>1873</v>
      </c>
      <c r="C46" s="2">
        <v>905.69399999999996</v>
      </c>
      <c r="D46" s="2">
        <f>HYPERLINK("http://mcb-m6.bioreg.kyushu-u.ac.jp/M3/20110502/F51191/507/2", 45.81)</f>
        <v>45.81</v>
      </c>
      <c r="E46" s="2">
        <v>11.45</v>
      </c>
      <c r="F46" s="2">
        <v>1</v>
      </c>
      <c r="G46" s="2" t="s">
        <v>14</v>
      </c>
    </row>
    <row r="47" spans="1:8" x14ac:dyDescent="0.2">
      <c r="A47" s="2" t="s">
        <v>4359</v>
      </c>
      <c r="B47" s="2" t="s">
        <v>2178</v>
      </c>
      <c r="C47" s="2">
        <v>489.66719999999998</v>
      </c>
      <c r="D47" s="2">
        <f>HYPERLINK("http://mcb-m6.bioreg.kyushu-u.ac.jp/M3/20110414/F50929/2270/1", 36.08)</f>
        <v>36.08</v>
      </c>
      <c r="E47" s="2">
        <v>18.34</v>
      </c>
      <c r="F47" s="2">
        <v>3</v>
      </c>
      <c r="G47" s="2" t="s">
        <v>11</v>
      </c>
    </row>
    <row r="48" spans="1:8" x14ac:dyDescent="0.2">
      <c r="A48" s="2" t="s">
        <v>4710</v>
      </c>
      <c r="B48" s="2" t="s">
        <v>2898</v>
      </c>
      <c r="C48" s="2">
        <v>832.6</v>
      </c>
      <c r="D48" s="2">
        <f>HYPERLINK("http://mcb-m6.bioreg.kyushu-u.ac.jp/M3/20110502/F51171/814/1", 45.9)</f>
        <v>45.9</v>
      </c>
      <c r="E48" s="2">
        <v>16.46</v>
      </c>
      <c r="F48" s="2">
        <v>1</v>
      </c>
      <c r="G48" s="2" t="s">
        <v>13</v>
      </c>
    </row>
    <row r="49" spans="1:9" x14ac:dyDescent="0.2">
      <c r="A49" s="2" t="s">
        <v>4159</v>
      </c>
      <c r="B49" s="2" t="s">
        <v>1717</v>
      </c>
      <c r="C49" s="2">
        <v>736.08259999999996</v>
      </c>
      <c r="D49" s="2">
        <f>HYPERLINK("http://mcb-m6.bioreg.kyushu-u.ac.jp/M3/20110411/F50898/2205/1", 36.16)</f>
        <v>36.159999999999997</v>
      </c>
      <c r="E49" s="2">
        <v>12.96</v>
      </c>
      <c r="F49" s="2">
        <v>2</v>
      </c>
      <c r="G49" s="2" t="s">
        <v>10</v>
      </c>
    </row>
    <row r="50" spans="1:9" x14ac:dyDescent="0.2">
      <c r="A50" s="2" t="s">
        <v>4274</v>
      </c>
      <c r="B50" s="2" t="s">
        <v>1950</v>
      </c>
      <c r="C50" s="2">
        <v>509.02760000000001</v>
      </c>
      <c r="D50" s="2">
        <f>HYPERLINK("http://mcb-m6.bioreg.kyushu-u.ac.jp/M3/20110411/F50920/706/1", 53.21)</f>
        <v>53.21</v>
      </c>
      <c r="E50" s="2">
        <v>1.87</v>
      </c>
      <c r="F50" s="2">
        <v>2</v>
      </c>
      <c r="G50" s="2" t="s">
        <v>10</v>
      </c>
    </row>
    <row r="51" spans="1:9" x14ac:dyDescent="0.2">
      <c r="A51" s="2" t="s">
        <v>3622</v>
      </c>
      <c r="B51" s="2" t="s">
        <v>532</v>
      </c>
      <c r="C51" s="2">
        <v>783.95069999999998</v>
      </c>
      <c r="D51" s="2">
        <f>HYPERLINK("http://mcb-m6.bioreg.kyushu-u.ac.jp/M3/20110411/F50895/2299/1", 44.03)</f>
        <v>44.03</v>
      </c>
      <c r="E51" s="2">
        <v>12.73</v>
      </c>
      <c r="F51" s="2">
        <v>2</v>
      </c>
      <c r="G51" s="2" t="s">
        <v>9</v>
      </c>
      <c r="H51" s="2" t="s">
        <v>4908</v>
      </c>
    </row>
    <row r="52" spans="1:9" x14ac:dyDescent="0.2">
      <c r="A52" s="2" t="s">
        <v>4802</v>
      </c>
      <c r="B52" s="2" t="s">
        <v>3042</v>
      </c>
      <c r="C52" s="2">
        <v>611.0231</v>
      </c>
      <c r="D52" s="2">
        <f>HYPERLINK("http://mcb-m6.bioreg.kyushu-u.ac.jp/M3/20110502/F51185/1225/1", 39.48)</f>
        <v>39.479999999999997</v>
      </c>
      <c r="E52" s="2">
        <v>12.38</v>
      </c>
      <c r="F52" s="2">
        <v>2</v>
      </c>
      <c r="G52" s="2" t="s">
        <v>14</v>
      </c>
    </row>
    <row r="53" spans="1:9" x14ac:dyDescent="0.2">
      <c r="A53" s="2" t="s">
        <v>4777</v>
      </c>
      <c r="B53" s="2" t="s">
        <v>3006</v>
      </c>
      <c r="C53" s="2">
        <v>452.95359999999999</v>
      </c>
      <c r="D53" s="2">
        <f>HYPERLINK("http://mcb-m6.bioreg.kyushu-u.ac.jp/M3/20110502/F51179/439/1", 37.47)</f>
        <v>37.47</v>
      </c>
      <c r="E53" s="2">
        <v>8.15</v>
      </c>
      <c r="F53" s="2">
        <v>2</v>
      </c>
      <c r="G53" s="2" t="s">
        <v>14</v>
      </c>
    </row>
    <row r="54" spans="1:9" x14ac:dyDescent="0.2">
      <c r="A54" s="2" t="s">
        <v>4692</v>
      </c>
      <c r="B54" s="2" t="s">
        <v>2866</v>
      </c>
      <c r="C54" s="2">
        <v>453.9701</v>
      </c>
      <c r="D54" s="2">
        <f>HYPERLINK("http://mcb-m6.bioreg.kyushu-u.ac.jp/M3/20110502/F51173/433/1", 40.17)</f>
        <v>40.17</v>
      </c>
      <c r="E54" s="2">
        <v>18.68</v>
      </c>
      <c r="F54" s="2">
        <v>2</v>
      </c>
      <c r="G54" s="2" t="s">
        <v>13</v>
      </c>
      <c r="I54" s="2" t="s">
        <v>4899</v>
      </c>
    </row>
    <row r="55" spans="1:9" x14ac:dyDescent="0.2">
      <c r="A55" s="2" t="s">
        <v>3566</v>
      </c>
      <c r="B55" s="2" t="s">
        <v>430</v>
      </c>
      <c r="C55" s="2">
        <v>611.53470000000004</v>
      </c>
      <c r="D55" s="2">
        <f>HYPERLINK("http://mcb-m6.bioreg.kyushu-u.ac.jp/M3/20110411/F50905/1410/1", 41.72)</f>
        <v>41.72</v>
      </c>
      <c r="E55" s="2">
        <v>20.45</v>
      </c>
      <c r="F55" s="2">
        <v>2</v>
      </c>
      <c r="G55" s="2" t="s">
        <v>9</v>
      </c>
      <c r="I55" s="2" t="s">
        <v>4893</v>
      </c>
    </row>
    <row r="56" spans="1:9" x14ac:dyDescent="0.2">
      <c r="A56" s="2" t="s">
        <v>4195</v>
      </c>
      <c r="B56" s="2" t="s">
        <v>1780</v>
      </c>
      <c r="C56" s="2">
        <v>769.7192</v>
      </c>
      <c r="D56" s="2">
        <f>HYPERLINK("http://mcb-m6.bioreg.kyushu-u.ac.jp/M3/20110411/F50917/2140/1", 38.89)</f>
        <v>38.89</v>
      </c>
      <c r="E56" s="2">
        <v>15.92</v>
      </c>
      <c r="F56" s="2">
        <v>2</v>
      </c>
      <c r="G56" s="2" t="s">
        <v>10</v>
      </c>
      <c r="H56" s="2" t="s">
        <v>4949</v>
      </c>
    </row>
    <row r="57" spans="1:9" x14ac:dyDescent="0.2">
      <c r="A57" s="2" t="s">
        <v>4195</v>
      </c>
      <c r="B57" s="2" t="s">
        <v>1780</v>
      </c>
      <c r="C57" s="2">
        <v>769.62869999999998</v>
      </c>
      <c r="D57" s="2">
        <f>HYPERLINK("http://mcb-m6.bioreg.kyushu-u.ac.jp/M3/20110502/F51188/2020/1", 43.56)</f>
        <v>43.56</v>
      </c>
      <c r="E57" s="2">
        <v>19.850000000000001</v>
      </c>
      <c r="F57" s="2">
        <v>2</v>
      </c>
      <c r="G57" s="2" t="s">
        <v>13</v>
      </c>
      <c r="H57" s="2" t="s">
        <v>4949</v>
      </c>
    </row>
    <row r="58" spans="1:9" x14ac:dyDescent="0.2">
      <c r="A58" s="2" t="s">
        <v>4780</v>
      </c>
      <c r="B58" s="2" t="s">
        <v>3009</v>
      </c>
      <c r="C58" s="2">
        <v>738.47919999999999</v>
      </c>
      <c r="D58" s="2">
        <f>HYPERLINK("http://mcb-m6.bioreg.kyushu-u.ac.jp/M3/20110502/F51177/1805/1", 37.63)</f>
        <v>37.630000000000003</v>
      </c>
      <c r="E58" s="2">
        <v>16.38</v>
      </c>
      <c r="F58" s="2">
        <v>2</v>
      </c>
      <c r="G58" s="2" t="s">
        <v>14</v>
      </c>
      <c r="H58" s="2" t="s">
        <v>4904</v>
      </c>
    </row>
    <row r="59" spans="1:9" x14ac:dyDescent="0.2">
      <c r="A59" s="2" t="s">
        <v>4724</v>
      </c>
      <c r="B59" s="2" t="s">
        <v>2928</v>
      </c>
      <c r="C59" s="2">
        <v>495.23259999999999</v>
      </c>
      <c r="D59" s="2">
        <f>HYPERLINK("http://mcb-m6.bioreg.kyushu-u.ac.jp/M3/20110502/F51175/963/1", 57.24)</f>
        <v>57.24</v>
      </c>
      <c r="E59" s="2">
        <v>12.96</v>
      </c>
      <c r="F59" s="2">
        <v>2</v>
      </c>
      <c r="G59" s="2" t="s">
        <v>13</v>
      </c>
      <c r="I59" s="2" t="s">
        <v>4890</v>
      </c>
    </row>
    <row r="60" spans="1:9" x14ac:dyDescent="0.2">
      <c r="A60" s="2" t="s">
        <v>4781</v>
      </c>
      <c r="B60" s="2" t="s">
        <v>3012</v>
      </c>
      <c r="C60" s="2">
        <v>515.61879999999996</v>
      </c>
      <c r="D60" s="2">
        <f>HYPERLINK("http://mcb-m6.bioreg.kyushu-u.ac.jp/M3/20110502/F51177/2036/1", 38.12)</f>
        <v>38.119999999999997</v>
      </c>
      <c r="E60" s="2">
        <v>15.47</v>
      </c>
      <c r="F60" s="2">
        <v>3</v>
      </c>
      <c r="G60" s="2" t="s">
        <v>14</v>
      </c>
    </row>
    <row r="61" spans="1:9" x14ac:dyDescent="0.2">
      <c r="A61" s="2" t="s">
        <v>4754</v>
      </c>
      <c r="B61" s="2" t="s">
        <v>2980</v>
      </c>
      <c r="C61" s="2">
        <v>723.34310000000005</v>
      </c>
      <c r="D61" s="2">
        <f>HYPERLINK("http://mcb-m6.bioreg.kyushu-u.ac.jp/M3/20110502/F51183/1812/1", 35.92)</f>
        <v>35.92</v>
      </c>
      <c r="E61" s="2">
        <v>12.29</v>
      </c>
      <c r="F61" s="2">
        <v>2</v>
      </c>
      <c r="G61" s="2" t="s">
        <v>14</v>
      </c>
      <c r="I61" s="2" t="s">
        <v>4903</v>
      </c>
    </row>
    <row r="62" spans="1:9" x14ac:dyDescent="0.2">
      <c r="A62" s="2" t="s">
        <v>4764</v>
      </c>
      <c r="B62" s="2" t="s">
        <v>2992</v>
      </c>
      <c r="C62" s="2">
        <v>1360.8440000000001</v>
      </c>
      <c r="D62" s="2">
        <f>HYPERLINK("http://mcb-m6.bioreg.kyushu-u.ac.jp/M3/20110502/F51177/1452/1", 36.64)</f>
        <v>36.64</v>
      </c>
      <c r="E62" s="2">
        <v>10.3</v>
      </c>
      <c r="F62" s="2">
        <v>1</v>
      </c>
      <c r="G62" s="2" t="s">
        <v>14</v>
      </c>
    </row>
    <row r="63" spans="1:9" x14ac:dyDescent="0.2">
      <c r="A63" s="2" t="s">
        <v>4383</v>
      </c>
      <c r="B63" s="2" t="s">
        <v>2219</v>
      </c>
      <c r="C63" s="2">
        <v>611.80269999999996</v>
      </c>
      <c r="D63" s="2">
        <f>HYPERLINK("http://mcb-m6.bioreg.kyushu-u.ac.jp/M3/20110414/F50929/1841/1", 37.97)</f>
        <v>37.97</v>
      </c>
      <c r="E63" s="2">
        <v>12.49</v>
      </c>
      <c r="F63" s="2">
        <v>2</v>
      </c>
      <c r="G63" s="2" t="s">
        <v>11</v>
      </c>
    </row>
    <row r="64" spans="1:9" x14ac:dyDescent="0.2">
      <c r="A64" s="2" t="s">
        <v>4250</v>
      </c>
      <c r="B64" s="2" t="s">
        <v>1879</v>
      </c>
      <c r="C64" s="2">
        <v>777.56200000000001</v>
      </c>
      <c r="D64" s="2">
        <f>HYPERLINK("http://mcb-m6.bioreg.kyushu-u.ac.jp/M3/20110411/F50900/1025/1", 46.35)</f>
        <v>46.35</v>
      </c>
      <c r="E64" s="2">
        <v>15.25</v>
      </c>
      <c r="F64" s="2">
        <v>1</v>
      </c>
      <c r="G64" s="2" t="s">
        <v>10</v>
      </c>
    </row>
    <row r="65" spans="1:9" x14ac:dyDescent="0.2">
      <c r="A65" s="2" t="s">
        <v>3661</v>
      </c>
      <c r="B65" s="2" t="s">
        <v>596</v>
      </c>
      <c r="C65" s="2">
        <v>813.72720000000004</v>
      </c>
      <c r="D65" s="2">
        <f>HYPERLINK("http://mcb-m6.bioreg.kyushu-u.ac.jp/M3/20110411/F50889/3085/1", 45.93)</f>
        <v>45.93</v>
      </c>
      <c r="E65" s="2">
        <v>24.69</v>
      </c>
      <c r="F65" s="2">
        <v>3</v>
      </c>
      <c r="G65" s="2" t="s">
        <v>9</v>
      </c>
    </row>
    <row r="66" spans="1:9" x14ac:dyDescent="0.2">
      <c r="A66" s="2" t="s">
        <v>4427</v>
      </c>
      <c r="B66" s="2" t="s">
        <v>2301</v>
      </c>
      <c r="C66" s="2">
        <v>603.35469999999998</v>
      </c>
      <c r="D66" s="2">
        <f>HYPERLINK("http://mcb-m6.bioreg.kyushu-u.ac.jp/M3/20110414/F50957/1008/1", 44.24)</f>
        <v>44.24</v>
      </c>
      <c r="E66" s="2">
        <v>19.010000000000002</v>
      </c>
      <c r="F66" s="2">
        <v>2</v>
      </c>
      <c r="G66" s="2" t="s">
        <v>11</v>
      </c>
    </row>
    <row r="67" spans="1:9" x14ac:dyDescent="0.2">
      <c r="A67" s="2" t="s">
        <v>4427</v>
      </c>
      <c r="B67" s="2" t="s">
        <v>2301</v>
      </c>
      <c r="C67" s="2">
        <v>603.51670000000001</v>
      </c>
      <c r="D67" s="2">
        <f>HYPERLINK("http://mcb-m6.bioreg.kyushu-u.ac.jp/M3/20110502/F51174/1502/1", 37.39)</f>
        <v>37.39</v>
      </c>
      <c r="E67" s="2">
        <v>12.29</v>
      </c>
      <c r="F67" s="2">
        <v>2</v>
      </c>
      <c r="G67" s="2" t="s">
        <v>13</v>
      </c>
    </row>
    <row r="68" spans="1:9" x14ac:dyDescent="0.2">
      <c r="A68" s="2" t="s">
        <v>4427</v>
      </c>
      <c r="B68" s="2" t="s">
        <v>2301</v>
      </c>
      <c r="C68" s="2">
        <v>603.54669999999999</v>
      </c>
      <c r="D68" s="2">
        <f>HYPERLINK("http://mcb-m6.bioreg.kyushu-u.ac.jp/M3/20110502/F51189/1199/1", 40.73)</f>
        <v>40.729999999999997</v>
      </c>
      <c r="E68" s="2">
        <v>12.86</v>
      </c>
      <c r="F68" s="2">
        <v>2</v>
      </c>
      <c r="G68" s="2" t="s">
        <v>13</v>
      </c>
    </row>
    <row r="69" spans="1:9" x14ac:dyDescent="0.2">
      <c r="A69" s="2" t="s">
        <v>4427</v>
      </c>
      <c r="B69" s="2" t="s">
        <v>2301</v>
      </c>
      <c r="C69" s="2">
        <v>603.47559999999999</v>
      </c>
      <c r="D69" s="2">
        <f>HYPERLINK("http://mcb-m6.bioreg.kyushu-u.ac.jp/M3/20110502/F51186/1248/1", 38.88)</f>
        <v>38.880000000000003</v>
      </c>
      <c r="E69" s="2">
        <v>9.2200000000000006</v>
      </c>
      <c r="F69" s="2">
        <v>2</v>
      </c>
      <c r="G69" s="2" t="s">
        <v>14</v>
      </c>
    </row>
    <row r="70" spans="1:9" x14ac:dyDescent="0.2">
      <c r="A70" s="2" t="s">
        <v>3474</v>
      </c>
      <c r="B70" s="2" t="s">
        <v>290</v>
      </c>
      <c r="C70" s="2">
        <v>801.6327</v>
      </c>
      <c r="D70" s="2">
        <f>HYPERLINK("http://mcb-m6.bioreg.kyushu-u.ac.jp/M3/20110411/F50895/2398/1", 39.06)</f>
        <v>39.06</v>
      </c>
      <c r="E70" s="2">
        <v>20</v>
      </c>
      <c r="F70" s="2">
        <v>2</v>
      </c>
      <c r="G70" s="2" t="s">
        <v>9</v>
      </c>
      <c r="H70" s="2" t="s">
        <v>4904</v>
      </c>
      <c r="I70" s="2" t="s">
        <v>4898</v>
      </c>
    </row>
    <row r="71" spans="1:9" x14ac:dyDescent="0.2">
      <c r="A71" s="2" t="s">
        <v>4155</v>
      </c>
      <c r="B71" s="2" t="s">
        <v>1708</v>
      </c>
      <c r="C71" s="2">
        <v>466.52760000000001</v>
      </c>
      <c r="D71" s="2">
        <f>HYPERLINK("http://mcb-m6.bioreg.kyushu-u.ac.jp/M3/20110411/F50912/961/1", 35.89)</f>
        <v>35.89</v>
      </c>
      <c r="E71" s="2">
        <v>11.52</v>
      </c>
      <c r="F71" s="2">
        <v>2</v>
      </c>
      <c r="G71" s="2" t="s">
        <v>10</v>
      </c>
    </row>
    <row r="72" spans="1:9" x14ac:dyDescent="0.2">
      <c r="A72" s="2" t="s">
        <v>4157</v>
      </c>
      <c r="B72" s="2" t="s">
        <v>1715</v>
      </c>
      <c r="C72" s="2">
        <v>480.19959999999998</v>
      </c>
      <c r="D72" s="2">
        <f>HYPERLINK("http://mcb-m6.bioreg.kyushu-u.ac.jp/M3/20110411/F50897/916/1", 36.14)</f>
        <v>36.14</v>
      </c>
      <c r="E72" s="2">
        <v>9.41</v>
      </c>
      <c r="F72" s="2">
        <v>2</v>
      </c>
      <c r="G72" s="2" t="s">
        <v>10</v>
      </c>
    </row>
    <row r="73" spans="1:9" x14ac:dyDescent="0.2">
      <c r="A73" s="2" t="s">
        <v>4532</v>
      </c>
      <c r="B73" s="2" t="s">
        <v>2558</v>
      </c>
      <c r="C73" s="2">
        <v>988.25900000000001</v>
      </c>
      <c r="D73" s="2">
        <f>HYPERLINK("http://mcb-m6.bioreg.kyushu-u.ac.jp/M3/20110414/F50958/591/1", 37.83)</f>
        <v>37.83</v>
      </c>
      <c r="E73" s="2">
        <v>9.94</v>
      </c>
      <c r="F73" s="2">
        <v>1</v>
      </c>
      <c r="G73" s="2" t="s">
        <v>12</v>
      </c>
    </row>
    <row r="74" spans="1:9" x14ac:dyDescent="0.2">
      <c r="A74" s="2" t="s">
        <v>3635</v>
      </c>
      <c r="B74" s="2" t="s">
        <v>552</v>
      </c>
      <c r="C74" s="2">
        <v>706.85360000000003</v>
      </c>
      <c r="D74" s="2">
        <f>HYPERLINK("http://mcb-m6.bioreg.kyushu-u.ac.jp/M3/20110411/F50891/1904/1", 44.67)</f>
        <v>44.67</v>
      </c>
      <c r="E74" s="2">
        <v>28.73</v>
      </c>
      <c r="F74" s="2">
        <v>2</v>
      </c>
      <c r="G74" s="2" t="s">
        <v>9</v>
      </c>
      <c r="H74" s="2" t="s">
        <v>4919</v>
      </c>
    </row>
    <row r="75" spans="1:9" x14ac:dyDescent="0.2">
      <c r="A75" s="2" t="s">
        <v>4662</v>
      </c>
      <c r="B75" s="2" t="s">
        <v>2824</v>
      </c>
      <c r="C75" s="2">
        <v>724.67110000000002</v>
      </c>
      <c r="D75" s="2">
        <f>HYPERLINK("http://mcb-m6.bioreg.kyushu-u.ac.jp/M3/20110502/F51172/1986/1", 37.35)</f>
        <v>37.35</v>
      </c>
      <c r="E75" s="2">
        <v>10.54</v>
      </c>
      <c r="F75" s="2">
        <v>2</v>
      </c>
      <c r="G75" s="2" t="s">
        <v>13</v>
      </c>
      <c r="I75" s="2" t="s">
        <v>4893</v>
      </c>
    </row>
    <row r="76" spans="1:9" x14ac:dyDescent="0.2">
      <c r="A76" s="2" t="s">
        <v>4775</v>
      </c>
      <c r="B76" s="2" t="s">
        <v>3004</v>
      </c>
      <c r="C76" s="2">
        <v>950.57460000000003</v>
      </c>
      <c r="D76" s="2">
        <f>HYPERLINK("http://mcb-m6.bioreg.kyushu-u.ac.jp/M3/20110502/F51179/2930/1", 37.35)</f>
        <v>37.35</v>
      </c>
      <c r="E76" s="2">
        <v>20.260000000000002</v>
      </c>
      <c r="F76" s="2">
        <v>2</v>
      </c>
      <c r="G76" s="2" t="s">
        <v>14</v>
      </c>
      <c r="H76" s="2" t="s">
        <v>4938</v>
      </c>
    </row>
    <row r="77" spans="1:9" x14ac:dyDescent="0.2">
      <c r="A77" s="2" t="s">
        <v>4827</v>
      </c>
      <c r="B77" s="2" t="s">
        <v>3086</v>
      </c>
      <c r="C77" s="2">
        <v>523.77170000000001</v>
      </c>
      <c r="D77" s="2">
        <f>HYPERLINK("http://mcb-m6.bioreg.kyushu-u.ac.jp/M3/20110502/F51183/847/1", 43.32)</f>
        <v>43.32</v>
      </c>
      <c r="E77" s="2">
        <v>10.44</v>
      </c>
      <c r="F77" s="2">
        <v>2</v>
      </c>
      <c r="G77" s="2" t="s">
        <v>14</v>
      </c>
    </row>
    <row r="78" spans="1:9" x14ac:dyDescent="0.2">
      <c r="A78" s="2" t="s">
        <v>4716</v>
      </c>
      <c r="B78" s="2" t="s">
        <v>2908</v>
      </c>
      <c r="C78" s="2">
        <v>502.99259999999998</v>
      </c>
      <c r="D78" s="2">
        <f>HYPERLINK("http://mcb-m6.bioreg.kyushu-u.ac.jp/M3/20110502/F51165/1289/1", 47.81)</f>
        <v>47.81</v>
      </c>
      <c r="E78" s="2">
        <v>20.7</v>
      </c>
      <c r="F78" s="2">
        <v>2</v>
      </c>
      <c r="G78" s="2" t="s">
        <v>13</v>
      </c>
    </row>
    <row r="79" spans="1:9" x14ac:dyDescent="0.2">
      <c r="A79" s="2" t="s">
        <v>3386</v>
      </c>
      <c r="B79" s="2" t="s">
        <v>179</v>
      </c>
      <c r="C79" s="2">
        <v>531.33420000000001</v>
      </c>
      <c r="D79" s="2">
        <f>HYPERLINK("http://mcb-m6.bioreg.kyushu-u.ac.jp/M3/20110411/F50889/1648/1", 37.31)</f>
        <v>37.31</v>
      </c>
      <c r="E79" s="2">
        <v>13.87</v>
      </c>
      <c r="F79" s="2">
        <v>2</v>
      </c>
      <c r="G79" s="2" t="s">
        <v>9</v>
      </c>
    </row>
    <row r="80" spans="1:9" x14ac:dyDescent="0.2">
      <c r="A80" s="2" t="s">
        <v>3608</v>
      </c>
      <c r="B80" s="2" t="s">
        <v>507</v>
      </c>
      <c r="C80" s="2">
        <v>466.2466</v>
      </c>
      <c r="D80" s="2">
        <f>HYPERLINK("http://mcb-m6.bioreg.kyushu-u.ac.jp/M3/20110411/F50904/1022/1", 43.46)</f>
        <v>43.46</v>
      </c>
      <c r="E80" s="2">
        <v>11.13</v>
      </c>
      <c r="F80" s="2">
        <v>2</v>
      </c>
      <c r="G80" s="2" t="s">
        <v>9</v>
      </c>
    </row>
    <row r="81" spans="1:7" x14ac:dyDescent="0.2">
      <c r="A81" s="2" t="s">
        <v>3608</v>
      </c>
      <c r="B81" s="2" t="s">
        <v>507</v>
      </c>
      <c r="C81" s="2">
        <v>466.1216</v>
      </c>
      <c r="D81" s="2">
        <f>HYPERLINK("http://mcb-m6.bioreg.kyushu-u.ac.jp/M3/20110411/F50912/959/1", 45.59)</f>
        <v>45.59</v>
      </c>
      <c r="E81" s="2">
        <v>10.39</v>
      </c>
      <c r="F81" s="2">
        <v>2</v>
      </c>
      <c r="G81" s="2" t="s">
        <v>10</v>
      </c>
    </row>
    <row r="82" spans="1:7" x14ac:dyDescent="0.2">
      <c r="A82" s="2" t="s">
        <v>4435</v>
      </c>
      <c r="B82" s="2" t="s">
        <v>2317</v>
      </c>
      <c r="C82" s="2">
        <v>596.11159999999995</v>
      </c>
      <c r="D82" s="2">
        <f>HYPERLINK("http://mcb-m6.bioreg.kyushu-u.ac.jp/M3/20110414/F50927/1726/1", 45.6)</f>
        <v>45.6</v>
      </c>
      <c r="E82" s="2">
        <v>15.12</v>
      </c>
      <c r="F82" s="2">
        <v>2</v>
      </c>
      <c r="G82" s="2" t="s">
        <v>11</v>
      </c>
    </row>
    <row r="83" spans="1:7" x14ac:dyDescent="0.2">
      <c r="A83" s="2" t="s">
        <v>3546</v>
      </c>
      <c r="B83" s="2" t="s">
        <v>403</v>
      </c>
      <c r="C83" s="2">
        <v>473.5641</v>
      </c>
      <c r="D83" s="2">
        <f>HYPERLINK("http://mcb-m6.bioreg.kyushu-u.ac.jp/M3/20110411/F50911/876/1", 41.2)</f>
        <v>41.2</v>
      </c>
      <c r="E83" s="2">
        <v>11.32</v>
      </c>
      <c r="F83" s="2">
        <v>2</v>
      </c>
      <c r="G83" s="2" t="s">
        <v>9</v>
      </c>
    </row>
    <row r="84" spans="1:7" x14ac:dyDescent="0.2">
      <c r="A84" s="2" t="s">
        <v>4847</v>
      </c>
      <c r="B84" s="2" t="s">
        <v>3123</v>
      </c>
      <c r="C84" s="2">
        <v>562.23720000000003</v>
      </c>
      <c r="D84" s="2">
        <f>HYPERLINK("http://mcb-m6.bioreg.kyushu-u.ac.jp/M3/20110502/F51183/1013/1", 47.73)</f>
        <v>47.73</v>
      </c>
      <c r="E84" s="2">
        <v>7.35</v>
      </c>
      <c r="F84" s="2">
        <v>2</v>
      </c>
      <c r="G84" s="2" t="s">
        <v>14</v>
      </c>
    </row>
    <row r="85" spans="1:7" x14ac:dyDescent="0.2">
      <c r="A85" s="2" t="s">
        <v>4645</v>
      </c>
      <c r="B85" s="2" t="s">
        <v>2802</v>
      </c>
      <c r="C85" s="2">
        <v>480.45859999999999</v>
      </c>
      <c r="D85" s="2">
        <f>HYPERLINK("http://mcb-m6.bioreg.kyushu-u.ac.jp/M3/20110502/F51170/921/1", 36.12)</f>
        <v>36.119999999999997</v>
      </c>
      <c r="E85" s="2">
        <v>8.76</v>
      </c>
      <c r="F85" s="2">
        <v>2</v>
      </c>
      <c r="G85" s="2" t="s">
        <v>13</v>
      </c>
    </row>
    <row r="86" spans="1:7" x14ac:dyDescent="0.2">
      <c r="A86" s="2" t="s">
        <v>3732</v>
      </c>
      <c r="B86" s="2" t="s">
        <v>730</v>
      </c>
      <c r="C86" s="2">
        <v>831.53099999999995</v>
      </c>
      <c r="D86" s="2">
        <f>HYPERLINK("http://mcb-m6.bioreg.kyushu-u.ac.jp/M3/20110411/F50915/507/2", 49.51)</f>
        <v>49.51</v>
      </c>
      <c r="E86" s="2">
        <v>14.16</v>
      </c>
      <c r="F86" s="2">
        <v>1</v>
      </c>
      <c r="G86" s="2" t="s">
        <v>9</v>
      </c>
    </row>
    <row r="87" spans="1:7" x14ac:dyDescent="0.2">
      <c r="A87" s="2" t="s">
        <v>3732</v>
      </c>
      <c r="B87" s="2" t="s">
        <v>730</v>
      </c>
      <c r="C87" s="2">
        <v>831.62900000000002</v>
      </c>
      <c r="D87" s="2">
        <f>HYPERLINK("http://mcb-m6.bioreg.kyushu-u.ac.jp/M3/20110411/F50911/719/2", 49.56)</f>
        <v>49.56</v>
      </c>
      <c r="E87" s="2">
        <v>15.82</v>
      </c>
      <c r="F87" s="2">
        <v>1</v>
      </c>
      <c r="G87" s="2" t="s">
        <v>9</v>
      </c>
    </row>
    <row r="88" spans="1:7" x14ac:dyDescent="0.2">
      <c r="A88" s="2" t="s">
        <v>3732</v>
      </c>
      <c r="B88" s="2" t="s">
        <v>730</v>
      </c>
      <c r="C88" s="2">
        <v>831.45299999999997</v>
      </c>
      <c r="D88" s="2">
        <f>HYPERLINK("http://mcb-m6.bioreg.kyushu-u.ac.jp/M3/20110411/F50914/786/2", 49.41)</f>
        <v>49.41</v>
      </c>
      <c r="E88" s="2">
        <v>15.82</v>
      </c>
      <c r="F88" s="2">
        <v>1</v>
      </c>
      <c r="G88" s="2" t="s">
        <v>10</v>
      </c>
    </row>
    <row r="89" spans="1:7" x14ac:dyDescent="0.2">
      <c r="A89" s="2" t="s">
        <v>3732</v>
      </c>
      <c r="B89" s="2" t="s">
        <v>730</v>
      </c>
      <c r="C89" s="2">
        <v>831.471</v>
      </c>
      <c r="D89" s="2">
        <f>HYPERLINK("http://mcb-m6.bioreg.kyushu-u.ac.jp/M3/20110411/F50917/568/2", 49.56)</f>
        <v>49.56</v>
      </c>
      <c r="E89" s="2">
        <v>15.89</v>
      </c>
      <c r="F89" s="2">
        <v>1</v>
      </c>
      <c r="G89" s="2" t="s">
        <v>10</v>
      </c>
    </row>
    <row r="90" spans="1:7" x14ac:dyDescent="0.2">
      <c r="A90" s="2" t="s">
        <v>3732</v>
      </c>
      <c r="B90" s="2" t="s">
        <v>730</v>
      </c>
      <c r="C90" s="2">
        <v>830.322</v>
      </c>
      <c r="D90" s="2">
        <f>HYPERLINK("http://mcb-m6.bioreg.kyushu-u.ac.jp/M3/20110414/F50941/624/2", 45.59)</f>
        <v>45.59</v>
      </c>
      <c r="E90" s="2">
        <v>10.42</v>
      </c>
      <c r="F90" s="2">
        <v>1</v>
      </c>
      <c r="G90" s="2" t="s">
        <v>11</v>
      </c>
    </row>
    <row r="91" spans="1:7" x14ac:dyDescent="0.2">
      <c r="A91" s="2" t="s">
        <v>3732</v>
      </c>
      <c r="B91" s="2" t="s">
        <v>730</v>
      </c>
      <c r="C91" s="2">
        <v>830.36699999999996</v>
      </c>
      <c r="D91" s="2">
        <f>HYPERLINK("http://mcb-m6.bioreg.kyushu-u.ac.jp/M3/20110414/F50942/601/2", 53.84)</f>
        <v>53.84</v>
      </c>
      <c r="E91" s="2">
        <v>18.07</v>
      </c>
      <c r="F91" s="2">
        <v>1</v>
      </c>
      <c r="G91" s="2" t="s">
        <v>11</v>
      </c>
    </row>
    <row r="92" spans="1:7" x14ac:dyDescent="0.2">
      <c r="A92" s="2" t="s">
        <v>3732</v>
      </c>
      <c r="B92" s="2" t="s">
        <v>730</v>
      </c>
      <c r="C92" s="2">
        <v>830.39200000000005</v>
      </c>
      <c r="D92" s="2">
        <f>HYPERLINK("http://mcb-m6.bioreg.kyushu-u.ac.jp/M3/20110414/F50948/555/2", 49.99)</f>
        <v>49.99</v>
      </c>
      <c r="E92" s="2">
        <v>12.36</v>
      </c>
      <c r="F92" s="2">
        <v>1</v>
      </c>
      <c r="G92" s="2" t="s">
        <v>12</v>
      </c>
    </row>
    <row r="93" spans="1:7" x14ac:dyDescent="0.2">
      <c r="A93" s="2" t="s">
        <v>3732</v>
      </c>
      <c r="B93" s="2" t="s">
        <v>730</v>
      </c>
      <c r="C93" s="2">
        <v>831.64599999999996</v>
      </c>
      <c r="D93" s="2">
        <f>HYPERLINK("http://mcb-m6.bioreg.kyushu-u.ac.jp/M3/20110502/F51170/765/2", 49.55)</f>
        <v>49.55</v>
      </c>
      <c r="E93" s="2">
        <v>15.87</v>
      </c>
      <c r="F93" s="2">
        <v>1</v>
      </c>
      <c r="G93" s="2" t="s">
        <v>13</v>
      </c>
    </row>
    <row r="94" spans="1:7" x14ac:dyDescent="0.2">
      <c r="A94" s="2" t="s">
        <v>3732</v>
      </c>
      <c r="B94" s="2" t="s">
        <v>730</v>
      </c>
      <c r="C94" s="2">
        <v>830.63199999999995</v>
      </c>
      <c r="D94" s="2">
        <f>HYPERLINK("http://mcb-m6.bioreg.kyushu-u.ac.jp/M3/20110502/F51171/813/2", 54.08)</f>
        <v>54.08</v>
      </c>
      <c r="E94" s="2">
        <v>18.07</v>
      </c>
      <c r="F94" s="2">
        <v>1</v>
      </c>
      <c r="G94" s="2" t="s">
        <v>13</v>
      </c>
    </row>
    <row r="95" spans="1:7" x14ac:dyDescent="0.2">
      <c r="A95" s="2" t="s">
        <v>3732</v>
      </c>
      <c r="B95" s="2" t="s">
        <v>730</v>
      </c>
      <c r="C95" s="2">
        <v>830.37099999999998</v>
      </c>
      <c r="D95" s="2">
        <f>HYPERLINK("http://mcb-m6.bioreg.kyushu-u.ac.jp/M3/20110502/F51192/418/2", 49.98)</f>
        <v>49.98</v>
      </c>
      <c r="E95" s="2">
        <v>14.07</v>
      </c>
      <c r="F95" s="2">
        <v>1</v>
      </c>
      <c r="G95" s="2" t="s">
        <v>14</v>
      </c>
    </row>
    <row r="96" spans="1:7" x14ac:dyDescent="0.2">
      <c r="A96" s="2" t="s">
        <v>3732</v>
      </c>
      <c r="B96" s="2" t="s">
        <v>730</v>
      </c>
      <c r="C96" s="2">
        <v>830.89599999999996</v>
      </c>
      <c r="D96" s="2">
        <f>HYPERLINK("http://mcb-m6.bioreg.kyushu-u.ac.jp/M3/20110502/F51183/482/2", 50)</f>
        <v>50</v>
      </c>
      <c r="E96" s="2">
        <v>15.71</v>
      </c>
      <c r="F96" s="2">
        <v>1</v>
      </c>
      <c r="G96" s="2" t="s">
        <v>14</v>
      </c>
    </row>
    <row r="97" spans="1:9" x14ac:dyDescent="0.2">
      <c r="A97" s="2" t="s">
        <v>3846</v>
      </c>
      <c r="B97" s="2" t="s">
        <v>938</v>
      </c>
      <c r="C97" s="2">
        <v>509.48009999999999</v>
      </c>
      <c r="D97" s="2">
        <f>HYPERLINK("http://mcb-m6.bioreg.kyushu-u.ac.jp/M3/20110411/F50895/1081/1", 56.11)</f>
        <v>56.11</v>
      </c>
      <c r="E97" s="2">
        <v>1.41</v>
      </c>
      <c r="F97" s="2">
        <v>2</v>
      </c>
      <c r="G97" s="2" t="s">
        <v>9</v>
      </c>
      <c r="I97" s="2" t="s">
        <v>4898</v>
      </c>
    </row>
    <row r="98" spans="1:9" x14ac:dyDescent="0.2">
      <c r="A98" s="2" t="s">
        <v>3846</v>
      </c>
      <c r="B98" s="2" t="s">
        <v>938</v>
      </c>
      <c r="C98" s="2">
        <v>509.9751</v>
      </c>
      <c r="D98" s="2">
        <f>HYPERLINK("http://mcb-m6.bioreg.kyushu-u.ac.jp/M3/20110502/F51188/922/1", 39.9)</f>
        <v>39.9</v>
      </c>
      <c r="E98" s="2">
        <v>9.26</v>
      </c>
      <c r="F98" s="2">
        <v>2</v>
      </c>
      <c r="G98" s="2" t="s">
        <v>13</v>
      </c>
      <c r="I98" s="2" t="s">
        <v>4898</v>
      </c>
    </row>
    <row r="99" spans="1:9" x14ac:dyDescent="0.2">
      <c r="A99" s="2" t="s">
        <v>3670</v>
      </c>
      <c r="B99" s="2" t="s">
        <v>612</v>
      </c>
      <c r="C99" s="2">
        <v>499.07659999999998</v>
      </c>
      <c r="D99" s="2">
        <f>HYPERLINK("http://mcb-m6.bioreg.kyushu-u.ac.jp/M3/20110411/F50905/962/1", 46.17)</f>
        <v>46.17</v>
      </c>
      <c r="E99" s="2">
        <v>4.29</v>
      </c>
      <c r="F99" s="2">
        <v>2</v>
      </c>
      <c r="G99" s="2" t="s">
        <v>9</v>
      </c>
      <c r="H99" s="2" t="s">
        <v>4908</v>
      </c>
    </row>
    <row r="100" spans="1:9" x14ac:dyDescent="0.2">
      <c r="A100" s="2" t="s">
        <v>4639</v>
      </c>
      <c r="B100" s="2" t="s">
        <v>2795</v>
      </c>
      <c r="C100" s="2">
        <v>532.76210000000003</v>
      </c>
      <c r="D100" s="2">
        <f>HYPERLINK("http://mcb-m6.bioreg.kyushu-u.ac.jp/M3/20110502/F51165/1409/1", 35.75)</f>
        <v>35.75</v>
      </c>
      <c r="E100" s="2">
        <v>13.36</v>
      </c>
      <c r="F100" s="2">
        <v>2</v>
      </c>
      <c r="G100" s="2" t="s">
        <v>13</v>
      </c>
    </row>
    <row r="101" spans="1:9" x14ac:dyDescent="0.2">
      <c r="A101" s="2" t="s">
        <v>4191</v>
      </c>
      <c r="B101" s="2" t="s">
        <v>1776</v>
      </c>
      <c r="C101" s="2">
        <v>529.38570000000004</v>
      </c>
      <c r="D101" s="2">
        <f>HYPERLINK("http://mcb-m6.bioreg.kyushu-u.ac.jp/M3/20110411/F50902/1231/1", 38.69)</f>
        <v>38.69</v>
      </c>
      <c r="E101" s="2">
        <v>11.55</v>
      </c>
      <c r="F101" s="2">
        <v>2</v>
      </c>
      <c r="G101" s="2" t="s">
        <v>10</v>
      </c>
      <c r="H101" s="2" t="s">
        <v>4901</v>
      </c>
    </row>
    <row r="102" spans="1:9" x14ac:dyDescent="0.2">
      <c r="A102" s="2" t="s">
        <v>4711</v>
      </c>
      <c r="B102" s="2" t="s">
        <v>2899</v>
      </c>
      <c r="C102" s="2">
        <v>459.00459999999998</v>
      </c>
      <c r="D102" s="2">
        <f>HYPERLINK("http://mcb-m6.bioreg.kyushu-u.ac.jp/M3/20110502/F51173/458/1", 46.42)</f>
        <v>46.42</v>
      </c>
      <c r="E102" s="2">
        <v>11.33</v>
      </c>
      <c r="F102" s="2">
        <v>2</v>
      </c>
      <c r="G102" s="2" t="s">
        <v>13</v>
      </c>
    </row>
    <row r="103" spans="1:9" x14ac:dyDescent="0.2">
      <c r="A103" s="2" t="s">
        <v>4711</v>
      </c>
      <c r="B103" s="2" t="s">
        <v>2899</v>
      </c>
      <c r="C103" s="2">
        <v>459.03710000000001</v>
      </c>
      <c r="D103" s="2">
        <f>HYPERLINK("http://mcb-m6.bioreg.kyushu-u.ac.jp/M3/20110502/F51184/396/1", 70.24)</f>
        <v>70.239999999999995</v>
      </c>
      <c r="E103" s="2">
        <v>17.14</v>
      </c>
      <c r="F103" s="2">
        <v>2</v>
      </c>
      <c r="G103" s="2" t="s">
        <v>14</v>
      </c>
    </row>
    <row r="104" spans="1:9" x14ac:dyDescent="0.2">
      <c r="A104" s="2" t="s">
        <v>4355</v>
      </c>
      <c r="B104" s="2" t="s">
        <v>2172</v>
      </c>
      <c r="C104" s="2">
        <v>515.29859999999996</v>
      </c>
      <c r="D104" s="2">
        <f>HYPERLINK("http://mcb-m6.bioreg.kyushu-u.ac.jp/M3/20110414/F50962/933/1", 35.82)</f>
        <v>35.82</v>
      </c>
      <c r="E104" s="2">
        <v>13.56</v>
      </c>
      <c r="F104" s="2">
        <v>2</v>
      </c>
      <c r="G104" s="2" t="s">
        <v>11</v>
      </c>
    </row>
    <row r="105" spans="1:9" x14ac:dyDescent="0.2">
      <c r="A105" s="2" t="s">
        <v>4355</v>
      </c>
      <c r="B105" s="2" t="s">
        <v>2172</v>
      </c>
      <c r="C105" s="2">
        <v>515.54110000000003</v>
      </c>
      <c r="D105" s="2">
        <f>HYPERLINK("http://mcb-m6.bioreg.kyushu-u.ac.jp/M3/20110502/F51186/881/1", 40.09)</f>
        <v>40.090000000000003</v>
      </c>
      <c r="E105" s="2">
        <v>14.85</v>
      </c>
      <c r="F105" s="2">
        <v>2</v>
      </c>
      <c r="G105" s="2" t="s">
        <v>14</v>
      </c>
    </row>
    <row r="106" spans="1:9" x14ac:dyDescent="0.2">
      <c r="A106" s="2" t="s">
        <v>4153</v>
      </c>
      <c r="B106" s="2" t="s">
        <v>1706</v>
      </c>
      <c r="C106" s="2">
        <v>580.03489999999999</v>
      </c>
      <c r="D106" s="2">
        <f>HYPERLINK("http://mcb-m6.bioreg.kyushu-u.ac.jp/M3/20110411/F50913/2634/1", 35.65)</f>
        <v>35.65</v>
      </c>
      <c r="E106" s="2">
        <v>22.24</v>
      </c>
      <c r="F106" s="2">
        <v>3</v>
      </c>
      <c r="G106" s="2" t="s">
        <v>10</v>
      </c>
      <c r="H106" s="2" t="s">
        <v>4901</v>
      </c>
    </row>
    <row r="107" spans="1:9" x14ac:dyDescent="0.2">
      <c r="A107" s="2" t="s">
        <v>4153</v>
      </c>
      <c r="B107" s="2" t="s">
        <v>1706</v>
      </c>
      <c r="C107" s="2">
        <v>579.93320000000006</v>
      </c>
      <c r="D107" s="2">
        <f>HYPERLINK("http://mcb-m6.bioreg.kyushu-u.ac.jp/M3/20110411/F50918/2486/1", 37.85)</f>
        <v>37.85</v>
      </c>
      <c r="E107" s="2">
        <v>19.04</v>
      </c>
      <c r="F107" s="2">
        <v>3</v>
      </c>
      <c r="G107" s="2" t="s">
        <v>10</v>
      </c>
      <c r="H107" s="2" t="s">
        <v>4901</v>
      </c>
    </row>
    <row r="108" spans="1:9" x14ac:dyDescent="0.2">
      <c r="A108" s="2" t="s">
        <v>4340</v>
      </c>
      <c r="B108" s="2" t="s">
        <v>2155</v>
      </c>
      <c r="C108" s="2">
        <v>774.24599999999998</v>
      </c>
      <c r="D108" s="2">
        <f>HYPERLINK("http://mcb-m6.bioreg.kyushu-u.ac.jp/M3/20110414/F50956/380/1", 35.16)</f>
        <v>35.159999999999997</v>
      </c>
      <c r="E108" s="2">
        <v>8.82</v>
      </c>
      <c r="F108" s="2">
        <v>1</v>
      </c>
      <c r="G108" s="2" t="s">
        <v>11</v>
      </c>
    </row>
    <row r="109" spans="1:9" x14ac:dyDescent="0.2">
      <c r="A109" s="2" t="s">
        <v>4655</v>
      </c>
      <c r="B109" s="2" t="s">
        <v>2813</v>
      </c>
      <c r="C109" s="2">
        <v>514.91610000000003</v>
      </c>
      <c r="D109" s="2">
        <f>HYPERLINK("http://mcb-m6.bioreg.kyushu-u.ac.jp/M3/20110502/F51189/860/1", 36.63)</f>
        <v>36.630000000000003</v>
      </c>
      <c r="E109" s="2">
        <v>11.34</v>
      </c>
      <c r="F109" s="2">
        <v>2</v>
      </c>
      <c r="G109" s="2" t="s">
        <v>13</v>
      </c>
    </row>
    <row r="110" spans="1:9" x14ac:dyDescent="0.2">
      <c r="A110" s="2" t="s">
        <v>4225</v>
      </c>
      <c r="B110" s="2" t="s">
        <v>1832</v>
      </c>
      <c r="C110" s="2">
        <v>480.87310000000002</v>
      </c>
      <c r="D110" s="2">
        <f>HYPERLINK("http://mcb-m6.bioreg.kyushu-u.ac.jp/M3/20110411/F50918/754/1", 41.9)</f>
        <v>41.9</v>
      </c>
      <c r="E110" s="2">
        <v>14.61</v>
      </c>
      <c r="F110" s="2">
        <v>2</v>
      </c>
      <c r="G110" s="2" t="s">
        <v>10</v>
      </c>
    </row>
    <row r="111" spans="1:9" x14ac:dyDescent="0.2">
      <c r="A111" s="2" t="s">
        <v>4347</v>
      </c>
      <c r="B111" s="2" t="s">
        <v>2162</v>
      </c>
      <c r="C111" s="2">
        <v>964.70320000000004</v>
      </c>
      <c r="D111" s="2">
        <f>HYPERLINK("http://mcb-m6.bioreg.kyushu-u.ac.jp/M3/20110414/F50956/3366/1", 35.53)</f>
        <v>35.53</v>
      </c>
      <c r="E111" s="2">
        <v>23.07</v>
      </c>
      <c r="F111" s="2">
        <v>2</v>
      </c>
      <c r="G111" s="2" t="s">
        <v>11</v>
      </c>
      <c r="H111" s="2" t="s">
        <v>4915</v>
      </c>
    </row>
    <row r="112" spans="1:9" x14ac:dyDescent="0.2">
      <c r="A112" s="2" t="s">
        <v>4347</v>
      </c>
      <c r="B112" s="2" t="s">
        <v>2162</v>
      </c>
      <c r="C112" s="2">
        <v>964.84720000000004</v>
      </c>
      <c r="D112" s="2">
        <f>HYPERLINK("http://mcb-m6.bioreg.kyushu-u.ac.jp/M3/20110414/F50957/3277/1", 36.32)</f>
        <v>36.32</v>
      </c>
      <c r="E112" s="2">
        <v>27.33</v>
      </c>
      <c r="F112" s="2">
        <v>2</v>
      </c>
      <c r="G112" s="2" t="s">
        <v>11</v>
      </c>
      <c r="H112" s="2" t="s">
        <v>4915</v>
      </c>
    </row>
    <row r="113" spans="1:9" x14ac:dyDescent="0.2">
      <c r="A113" s="2" t="s">
        <v>4347</v>
      </c>
      <c r="B113" s="2" t="s">
        <v>2162</v>
      </c>
      <c r="C113" s="2">
        <v>964.51819999999998</v>
      </c>
      <c r="D113" s="2">
        <f>HYPERLINK("http://mcb-m6.bioreg.kyushu-u.ac.jp/M3/20110414/F50957/3270/1", 38.61)</f>
        <v>38.61</v>
      </c>
      <c r="E113" s="2">
        <v>27.51</v>
      </c>
      <c r="F113" s="2">
        <v>2</v>
      </c>
      <c r="G113" s="2" t="s">
        <v>11</v>
      </c>
      <c r="H113" s="2" t="s">
        <v>4915</v>
      </c>
    </row>
    <row r="114" spans="1:9" x14ac:dyDescent="0.2">
      <c r="A114" s="2" t="s">
        <v>4820</v>
      </c>
      <c r="B114" s="2" t="s">
        <v>3072</v>
      </c>
      <c r="C114" s="2">
        <v>523.04859999999996</v>
      </c>
      <c r="D114" s="2">
        <f>HYPERLINK("http://mcb-m6.bioreg.kyushu-u.ac.jp/M3/20110502/F51182/812/1", 41.87)</f>
        <v>41.87</v>
      </c>
      <c r="E114" s="2">
        <v>10.35</v>
      </c>
      <c r="F114" s="2">
        <v>2</v>
      </c>
      <c r="G114" s="2" t="s">
        <v>14</v>
      </c>
    </row>
    <row r="115" spans="1:9" x14ac:dyDescent="0.2">
      <c r="A115" s="2" t="s">
        <v>4659</v>
      </c>
      <c r="B115" s="2" t="s">
        <v>2820</v>
      </c>
      <c r="C115" s="2">
        <v>493.86110000000002</v>
      </c>
      <c r="D115" s="2">
        <f>HYPERLINK("http://mcb-m6.bioreg.kyushu-u.ac.jp/M3/20110502/F51171/1017/1", 37.12)</f>
        <v>37.119999999999997</v>
      </c>
      <c r="E115" s="2">
        <v>13.27</v>
      </c>
      <c r="F115" s="2">
        <v>2</v>
      </c>
      <c r="G115" s="2" t="s">
        <v>13</v>
      </c>
    </row>
    <row r="116" spans="1:9" x14ac:dyDescent="0.2">
      <c r="A116" s="2" t="s">
        <v>3255</v>
      </c>
      <c r="B116" s="2" t="s">
        <v>35</v>
      </c>
      <c r="C116" s="2">
        <v>616.50319999999999</v>
      </c>
      <c r="D116" s="2">
        <f>HYPERLINK("http://mcb-m6.bioreg.kyushu-u.ac.jp/M3/20110411/F50905/1429/1", 35.27)</f>
        <v>35.270000000000003</v>
      </c>
      <c r="E116" s="2">
        <v>9.24</v>
      </c>
      <c r="F116" s="2">
        <v>2</v>
      </c>
      <c r="G116" s="2" t="s">
        <v>9</v>
      </c>
      <c r="I116" s="2" t="s">
        <v>4895</v>
      </c>
    </row>
    <row r="117" spans="1:9" x14ac:dyDescent="0.2">
      <c r="A117" s="2" t="s">
        <v>3315</v>
      </c>
      <c r="B117" s="2" t="s">
        <v>99</v>
      </c>
      <c r="C117" s="2">
        <v>523.11270000000002</v>
      </c>
      <c r="D117" s="2">
        <f>HYPERLINK("http://mcb-m6.bioreg.kyushu-u.ac.jp/M3/20110411/F50895/1137/1", 36.04)</f>
        <v>36.04</v>
      </c>
      <c r="E117" s="2">
        <v>13.79</v>
      </c>
      <c r="F117" s="2">
        <v>2</v>
      </c>
      <c r="G117" s="2" t="s">
        <v>9</v>
      </c>
    </row>
    <row r="118" spans="1:9" x14ac:dyDescent="0.2">
      <c r="A118" s="2" t="s">
        <v>4757</v>
      </c>
      <c r="B118" s="2" t="s">
        <v>2984</v>
      </c>
      <c r="C118" s="2">
        <v>467.37079999999997</v>
      </c>
      <c r="D118" s="2">
        <f>HYPERLINK("http://mcb-m6.bioreg.kyushu-u.ac.jp/M3/20110502/F51194/1586/1", 36.23)</f>
        <v>36.229999999999997</v>
      </c>
      <c r="E118" s="2">
        <v>19.52</v>
      </c>
      <c r="F118" s="2">
        <v>3</v>
      </c>
      <c r="G118" s="2" t="s">
        <v>14</v>
      </c>
    </row>
    <row r="119" spans="1:9" x14ac:dyDescent="0.2">
      <c r="A119" s="2" t="s">
        <v>4651</v>
      </c>
      <c r="B119" s="2" t="s">
        <v>2809</v>
      </c>
      <c r="C119" s="2">
        <v>473.03460000000001</v>
      </c>
      <c r="D119" s="2">
        <f>HYPERLINK("http://mcb-m6.bioreg.kyushu-u.ac.jp/M3/20110502/F51172/562/1", 36.46)</f>
        <v>36.46</v>
      </c>
      <c r="E119" s="2">
        <v>8.2100000000000009</v>
      </c>
      <c r="F119" s="2">
        <v>2</v>
      </c>
      <c r="G119" s="2" t="s">
        <v>13</v>
      </c>
      <c r="I119" s="2" t="s">
        <v>4890</v>
      </c>
    </row>
    <row r="120" spans="1:9" x14ac:dyDescent="0.2">
      <c r="A120" s="2" t="s">
        <v>4418</v>
      </c>
      <c r="B120" s="2" t="s">
        <v>2284</v>
      </c>
      <c r="C120" s="2">
        <v>474.14490000000001</v>
      </c>
      <c r="D120" s="2">
        <f>HYPERLINK("http://mcb-m6.bioreg.kyushu-u.ac.jp/M3/20110414/F50929/2148/1", 42.8)</f>
        <v>42.8</v>
      </c>
      <c r="E120" s="2">
        <v>22.73</v>
      </c>
      <c r="F120" s="2">
        <v>3</v>
      </c>
      <c r="G120" s="2" t="s">
        <v>11</v>
      </c>
      <c r="H120" s="2" t="s">
        <v>4896</v>
      </c>
    </row>
    <row r="121" spans="1:9" x14ac:dyDescent="0.2">
      <c r="A121" s="2" t="s">
        <v>3657</v>
      </c>
      <c r="B121" s="2" t="s">
        <v>591</v>
      </c>
      <c r="C121" s="2">
        <v>675.03020000000004</v>
      </c>
      <c r="D121" s="2">
        <f>HYPERLINK("http://mcb-m6.bioreg.kyushu-u.ac.jp/M3/20110411/F50905/1674/1", 45.71)</f>
        <v>45.71</v>
      </c>
      <c r="E121" s="2">
        <v>12.75</v>
      </c>
      <c r="F121" s="2">
        <v>2</v>
      </c>
      <c r="G121" s="2" t="s">
        <v>9</v>
      </c>
    </row>
    <row r="122" spans="1:9" x14ac:dyDescent="0.2">
      <c r="A122" s="2" t="s">
        <v>3465</v>
      </c>
      <c r="B122" s="2" t="s">
        <v>276</v>
      </c>
      <c r="C122" s="2">
        <v>517.42169999999999</v>
      </c>
      <c r="D122" s="2">
        <f>HYPERLINK("http://mcb-m6.bioreg.kyushu-u.ac.jp/M3/20110411/F50905/1026/1", 38.89)</f>
        <v>38.89</v>
      </c>
      <c r="E122" s="2">
        <v>10.17</v>
      </c>
      <c r="F122" s="2">
        <v>2</v>
      </c>
      <c r="G122" s="2" t="s">
        <v>9</v>
      </c>
    </row>
    <row r="123" spans="1:9" x14ac:dyDescent="0.2">
      <c r="A123" s="2" t="s">
        <v>3465</v>
      </c>
      <c r="B123" s="2" t="s">
        <v>276</v>
      </c>
      <c r="C123" s="2">
        <v>517.27809999999999</v>
      </c>
      <c r="D123" s="2">
        <f>HYPERLINK("http://mcb-m6.bioreg.kyushu-u.ac.jp/M3/20110411/F50914/1124/1", 35.31)</f>
        <v>35.31</v>
      </c>
      <c r="E123" s="2">
        <v>8.1199999999999992</v>
      </c>
      <c r="F123" s="2">
        <v>2</v>
      </c>
      <c r="G123" s="2" t="s">
        <v>10</v>
      </c>
    </row>
    <row r="124" spans="1:9" x14ac:dyDescent="0.2">
      <c r="A124" s="2" t="s">
        <v>3465</v>
      </c>
      <c r="B124" s="2" t="s">
        <v>276</v>
      </c>
      <c r="C124" s="2">
        <v>517.34860000000003</v>
      </c>
      <c r="D124" s="2">
        <f>HYPERLINK("http://mcb-m6.bioreg.kyushu-u.ac.jp/M3/20110411/F50896/1334/1", 35.58)</f>
        <v>35.58</v>
      </c>
      <c r="E124" s="2">
        <v>11.03</v>
      </c>
      <c r="F124" s="2">
        <v>2</v>
      </c>
      <c r="G124" s="2" t="s">
        <v>10</v>
      </c>
    </row>
    <row r="125" spans="1:9" x14ac:dyDescent="0.2">
      <c r="A125" s="2" t="s">
        <v>3465</v>
      </c>
      <c r="B125" s="2" t="s">
        <v>276</v>
      </c>
      <c r="C125" s="2">
        <v>517.30110000000002</v>
      </c>
      <c r="D125" s="2">
        <f>HYPERLINK("http://mcb-m6.bioreg.kyushu-u.ac.jp/M3/20110411/F50900/1390/1", 38.82)</f>
        <v>38.82</v>
      </c>
      <c r="E125" s="2">
        <v>10.3</v>
      </c>
      <c r="F125" s="2">
        <v>2</v>
      </c>
      <c r="G125" s="2" t="s">
        <v>10</v>
      </c>
    </row>
    <row r="126" spans="1:9" x14ac:dyDescent="0.2">
      <c r="A126" s="2" t="s">
        <v>3465</v>
      </c>
      <c r="B126" s="2" t="s">
        <v>276</v>
      </c>
      <c r="C126" s="2">
        <v>517.24570000000006</v>
      </c>
      <c r="D126" s="2">
        <f>HYPERLINK("http://mcb-m6.bioreg.kyushu-u.ac.jp/M3/20110502/F51177/715/1", 37.62)</f>
        <v>37.619999999999997</v>
      </c>
      <c r="E126" s="2">
        <v>8.7100000000000009</v>
      </c>
      <c r="F126" s="2">
        <v>2</v>
      </c>
      <c r="G126" s="2" t="s">
        <v>14</v>
      </c>
    </row>
    <row r="127" spans="1:9" x14ac:dyDescent="0.2">
      <c r="A127" s="2" t="s">
        <v>4526</v>
      </c>
      <c r="B127" s="2" t="s">
        <v>2547</v>
      </c>
      <c r="C127" s="2">
        <v>480.65010000000001</v>
      </c>
      <c r="D127" s="2">
        <f>HYPERLINK("http://mcb-m6.bioreg.kyushu-u.ac.jp/M3/20110414/F50958/549/1", 37.14)</f>
        <v>37.14</v>
      </c>
      <c r="E127" s="2">
        <v>13.27</v>
      </c>
      <c r="F127" s="2">
        <v>2</v>
      </c>
      <c r="G127" s="2" t="s">
        <v>12</v>
      </c>
    </row>
    <row r="128" spans="1:9" x14ac:dyDescent="0.2">
      <c r="A128" s="2" t="s">
        <v>4663</v>
      </c>
      <c r="B128" s="2" t="s">
        <v>2825</v>
      </c>
      <c r="C128" s="2">
        <v>547.4606</v>
      </c>
      <c r="D128" s="2">
        <f>HYPERLINK("http://mcb-m6.bioreg.kyushu-u.ac.jp/M3/20110502/F51170/1193/1", 37.37)</f>
        <v>37.369999999999997</v>
      </c>
      <c r="E128" s="2">
        <v>18.190000000000001</v>
      </c>
      <c r="F128" s="2">
        <v>2</v>
      </c>
      <c r="G128" s="2" t="s">
        <v>13</v>
      </c>
      <c r="H128" s="2" t="s">
        <v>4896</v>
      </c>
    </row>
    <row r="129" spans="1:9" x14ac:dyDescent="0.2">
      <c r="A129" s="2" t="s">
        <v>4523</v>
      </c>
      <c r="B129" s="2" t="s">
        <v>2541</v>
      </c>
      <c r="C129" s="2">
        <v>615.34670000000006</v>
      </c>
      <c r="D129" s="2">
        <f>HYPERLINK("http://mcb-m6.bioreg.kyushu-u.ac.jp/M3/20110414/F50946/1416/1", 36.55)</f>
        <v>36.549999999999997</v>
      </c>
      <c r="E129" s="2">
        <v>18.899999999999999</v>
      </c>
      <c r="F129" s="2">
        <v>2</v>
      </c>
      <c r="G129" s="2" t="s">
        <v>12</v>
      </c>
    </row>
    <row r="130" spans="1:9" x14ac:dyDescent="0.2">
      <c r="A130" s="2" t="s">
        <v>4684</v>
      </c>
      <c r="B130" s="2" t="s">
        <v>2855</v>
      </c>
      <c r="C130" s="2">
        <v>551.69709999999998</v>
      </c>
      <c r="D130" s="2">
        <f>HYPERLINK("http://mcb-m6.bioreg.kyushu-u.ac.jp/M3/20110502/F51172/1001/1", 39.44)</f>
        <v>39.44</v>
      </c>
      <c r="E130" s="2">
        <v>19.22</v>
      </c>
      <c r="F130" s="2">
        <v>2</v>
      </c>
      <c r="G130" s="2" t="s">
        <v>13</v>
      </c>
    </row>
    <row r="131" spans="1:9" x14ac:dyDescent="0.2">
      <c r="A131" s="2" t="s">
        <v>4774</v>
      </c>
      <c r="B131" s="2" t="s">
        <v>3003</v>
      </c>
      <c r="C131" s="2">
        <v>800.66110000000003</v>
      </c>
      <c r="D131" s="2">
        <f>HYPERLINK("http://mcb-m6.bioreg.kyushu-u.ac.jp/M3/20110502/F51178/2383/1", 37.32)</f>
        <v>37.32</v>
      </c>
      <c r="E131" s="2">
        <v>10.1</v>
      </c>
      <c r="F131" s="2">
        <v>2</v>
      </c>
      <c r="G131" s="2" t="s">
        <v>14</v>
      </c>
    </row>
    <row r="132" spans="1:9" x14ac:dyDescent="0.2">
      <c r="A132" s="2" t="s">
        <v>3238</v>
      </c>
      <c r="B132" s="2" t="s">
        <v>18</v>
      </c>
      <c r="C132" s="2">
        <v>668.27869999999996</v>
      </c>
      <c r="D132" s="2">
        <f>HYPERLINK("http://mcb-m6.bioreg.kyushu-u.ac.jp/M3/20110411/F50891/1690/1", 35.05)</f>
        <v>35.049999999999997</v>
      </c>
      <c r="E132" s="2">
        <v>21.82</v>
      </c>
      <c r="F132" s="2">
        <v>2</v>
      </c>
      <c r="G132" s="2" t="s">
        <v>9</v>
      </c>
    </row>
    <row r="133" spans="1:9" x14ac:dyDescent="0.2">
      <c r="A133" s="2" t="s">
        <v>3556</v>
      </c>
      <c r="B133" s="2" t="s">
        <v>413</v>
      </c>
      <c r="C133" s="2">
        <v>730.9692</v>
      </c>
      <c r="D133" s="2">
        <f>HYPERLINK("http://mcb-m6.bioreg.kyushu-u.ac.jp/M3/20110411/F50895/2037/1", 41.34)</f>
        <v>41.34</v>
      </c>
      <c r="E133" s="2">
        <v>11.34</v>
      </c>
      <c r="F133" s="2">
        <v>2</v>
      </c>
      <c r="G133" s="2" t="s">
        <v>9</v>
      </c>
    </row>
    <row r="134" spans="1:9" x14ac:dyDescent="0.2">
      <c r="A134" s="2" t="s">
        <v>4408</v>
      </c>
      <c r="B134" s="2" t="s">
        <v>2260</v>
      </c>
      <c r="C134" s="2">
        <v>609.96510000000001</v>
      </c>
      <c r="D134" s="2">
        <f>HYPERLINK("http://mcb-m6.bioreg.kyushu-u.ac.jp/M3/20110414/F50944/1593/1", 40.46)</f>
        <v>40.46</v>
      </c>
      <c r="E134" s="2">
        <v>25.24</v>
      </c>
      <c r="F134" s="2">
        <v>2</v>
      </c>
      <c r="G134" s="2" t="s">
        <v>11</v>
      </c>
    </row>
    <row r="135" spans="1:9" x14ac:dyDescent="0.2">
      <c r="A135" s="2" t="s">
        <v>4192</v>
      </c>
      <c r="B135" s="2" t="s">
        <v>1777</v>
      </c>
      <c r="C135" s="2">
        <v>523.39970000000005</v>
      </c>
      <c r="D135" s="2">
        <f>HYPERLINK("http://mcb-m6.bioreg.kyushu-u.ac.jp/M3/20110411/F50913/1099/1", 38.77)</f>
        <v>38.770000000000003</v>
      </c>
      <c r="E135" s="2">
        <v>13.07</v>
      </c>
      <c r="F135" s="2">
        <v>2</v>
      </c>
      <c r="G135" s="2" t="s">
        <v>10</v>
      </c>
    </row>
    <row r="136" spans="1:9" x14ac:dyDescent="0.2">
      <c r="A136" s="2" t="s">
        <v>4698</v>
      </c>
      <c r="B136" s="2" t="s">
        <v>2874</v>
      </c>
      <c r="C136" s="2">
        <v>820.22360000000003</v>
      </c>
      <c r="D136" s="2">
        <f>HYPERLINK("http://mcb-m6.bioreg.kyushu-u.ac.jp/M3/20110502/F51187/2047/1", 40.64)</f>
        <v>40.64</v>
      </c>
      <c r="E136" s="2">
        <v>12.65</v>
      </c>
      <c r="F136" s="2">
        <v>2</v>
      </c>
      <c r="G136" s="2" t="s">
        <v>13</v>
      </c>
    </row>
    <row r="137" spans="1:9" x14ac:dyDescent="0.2">
      <c r="A137" s="2" t="s">
        <v>4837</v>
      </c>
      <c r="B137" s="2" t="s">
        <v>3102</v>
      </c>
      <c r="C137" s="2">
        <v>565.55359999999996</v>
      </c>
      <c r="D137" s="2">
        <f>HYPERLINK("http://mcb-m6.bioreg.kyushu-u.ac.jp/M3/20110502/F51184/834/1", 45.13)</f>
        <v>45.13</v>
      </c>
      <c r="E137" s="2">
        <v>18.62</v>
      </c>
      <c r="F137" s="2">
        <v>2</v>
      </c>
      <c r="G137" s="2" t="s">
        <v>14</v>
      </c>
    </row>
    <row r="138" spans="1:9" x14ac:dyDescent="0.2">
      <c r="A138" s="2" t="s">
        <v>4140</v>
      </c>
      <c r="B138" s="2" t="s">
        <v>1689</v>
      </c>
      <c r="C138" s="2">
        <v>971.53560000000004</v>
      </c>
      <c r="D138" s="2">
        <f>HYPERLINK("http://mcb-m6.bioreg.kyushu-u.ac.jp/M3/20110411/F50917/3214/1", 35.2)</f>
        <v>35.200000000000003</v>
      </c>
      <c r="E138" s="2">
        <v>18.87</v>
      </c>
      <c r="F138" s="2">
        <v>2</v>
      </c>
      <c r="G138" s="2" t="s">
        <v>10</v>
      </c>
    </row>
    <row r="139" spans="1:9" x14ac:dyDescent="0.2">
      <c r="A139" s="2" t="s">
        <v>4148</v>
      </c>
      <c r="B139" s="2" t="s">
        <v>1700</v>
      </c>
      <c r="C139" s="2">
        <v>485.97859999999997</v>
      </c>
      <c r="D139" s="2">
        <f>HYPERLINK("http://mcb-m6.bioreg.kyushu-u.ac.jp/M3/20110411/F50897/942/1", 35.47)</f>
        <v>35.47</v>
      </c>
      <c r="E139" s="2">
        <v>9.06</v>
      </c>
      <c r="F139" s="2">
        <v>2</v>
      </c>
      <c r="G139" s="2" t="s">
        <v>10</v>
      </c>
    </row>
    <row r="140" spans="1:9" x14ac:dyDescent="0.2">
      <c r="A140" s="2" t="s">
        <v>4143</v>
      </c>
      <c r="B140" s="2" t="s">
        <v>1693</v>
      </c>
      <c r="C140" s="2">
        <v>773.11569999999995</v>
      </c>
      <c r="D140" s="2">
        <f>HYPERLINK("http://mcb-m6.bioreg.kyushu-u.ac.jp/M3/20110411/F50918/2034/1", 35.27)</f>
        <v>35.270000000000003</v>
      </c>
      <c r="E140" s="2">
        <v>20.55</v>
      </c>
      <c r="F140" s="2">
        <v>2</v>
      </c>
      <c r="G140" s="2" t="s">
        <v>10</v>
      </c>
    </row>
    <row r="141" spans="1:9" x14ac:dyDescent="0.2">
      <c r="A141" s="2" t="s">
        <v>4722</v>
      </c>
      <c r="B141" s="2" t="s">
        <v>2922</v>
      </c>
      <c r="C141" s="2">
        <v>470.5421</v>
      </c>
      <c r="D141" s="2">
        <f>HYPERLINK("http://mcb-m6.bioreg.kyushu-u.ac.jp/M3/20110502/F51170/877/2", 51.69)</f>
        <v>51.69</v>
      </c>
      <c r="E141" s="2">
        <v>25.29</v>
      </c>
      <c r="F141" s="2">
        <v>2</v>
      </c>
      <c r="G141" s="2" t="s">
        <v>13</v>
      </c>
    </row>
    <row r="142" spans="1:9" x14ac:dyDescent="0.2">
      <c r="A142" s="2" t="s">
        <v>4189</v>
      </c>
      <c r="B142" s="2" t="s">
        <v>1770</v>
      </c>
      <c r="C142" s="2">
        <v>742.96860000000004</v>
      </c>
      <c r="D142" s="2">
        <f>HYPERLINK("http://mcb-m6.bioreg.kyushu-u.ac.jp/M3/20110411/F50913/3482/1", 38.43)</f>
        <v>38.43</v>
      </c>
      <c r="E142" s="2">
        <v>18.22</v>
      </c>
      <c r="F142" s="2">
        <v>3</v>
      </c>
      <c r="G142" s="2" t="s">
        <v>10</v>
      </c>
      <c r="I142" s="2" t="s">
        <v>4893</v>
      </c>
    </row>
    <row r="143" spans="1:9" x14ac:dyDescent="0.2">
      <c r="A143" s="2" t="s">
        <v>4189</v>
      </c>
      <c r="B143" s="2" t="s">
        <v>1770</v>
      </c>
      <c r="C143" s="2">
        <v>743.11149999999998</v>
      </c>
      <c r="D143" s="2">
        <f>HYPERLINK("http://mcb-m6.bioreg.kyushu-u.ac.jp/M3/20110502/F51187/3018/1", 41.73)</f>
        <v>41.73</v>
      </c>
      <c r="E143" s="2">
        <v>17.39</v>
      </c>
      <c r="F143" s="2">
        <v>3</v>
      </c>
      <c r="G143" s="2" t="s">
        <v>13</v>
      </c>
      <c r="I143" s="2" t="s">
        <v>4893</v>
      </c>
    </row>
    <row r="144" spans="1:9" x14ac:dyDescent="0.2">
      <c r="A144" s="2" t="s">
        <v>3399</v>
      </c>
      <c r="B144" s="2" t="s">
        <v>194</v>
      </c>
      <c r="C144" s="2">
        <v>721.17219999999998</v>
      </c>
      <c r="D144" s="2">
        <f>HYPERLINK("http://mcb-m6.bioreg.kyushu-u.ac.jp/M3/20110411/F50895/1997/1", 37.53)</f>
        <v>37.53</v>
      </c>
      <c r="E144" s="2">
        <v>22.18</v>
      </c>
      <c r="F144" s="2">
        <v>2</v>
      </c>
      <c r="G144" s="2" t="s">
        <v>9</v>
      </c>
      <c r="H144" s="2" t="s">
        <v>4908</v>
      </c>
    </row>
    <row r="145" spans="1:9" x14ac:dyDescent="0.2">
      <c r="A145" s="2" t="s">
        <v>4838</v>
      </c>
      <c r="B145" s="2" t="s">
        <v>3103</v>
      </c>
      <c r="C145" s="2">
        <v>574.32569999999998</v>
      </c>
      <c r="D145" s="2">
        <f>HYPERLINK("http://mcb-m6.bioreg.kyushu-u.ac.jp/M3/20110502/F51183/1061/1", 45.21)</f>
        <v>45.21</v>
      </c>
      <c r="E145" s="2">
        <v>6.2</v>
      </c>
      <c r="F145" s="2">
        <v>2</v>
      </c>
      <c r="G145" s="2" t="s">
        <v>14</v>
      </c>
      <c r="I145" s="2" t="s">
        <v>4890</v>
      </c>
    </row>
    <row r="146" spans="1:9" x14ac:dyDescent="0.2">
      <c r="A146" s="2" t="s">
        <v>3673</v>
      </c>
      <c r="B146" s="2" t="s">
        <v>621</v>
      </c>
      <c r="C146" s="2">
        <v>744.70619999999997</v>
      </c>
      <c r="D146" s="2">
        <f>HYPERLINK("http://mcb-m6.bioreg.kyushu-u.ac.jp/M3/20110411/F50893/2199/1", 46.36)</f>
        <v>46.36</v>
      </c>
      <c r="E146" s="2">
        <v>2.08</v>
      </c>
      <c r="F146" s="2">
        <v>2</v>
      </c>
      <c r="G146" s="2" t="s">
        <v>9</v>
      </c>
      <c r="H146" s="2" t="s">
        <v>4908</v>
      </c>
    </row>
    <row r="147" spans="1:9" x14ac:dyDescent="0.2">
      <c r="A147" s="2" t="s">
        <v>4587</v>
      </c>
      <c r="B147" s="2" t="s">
        <v>2653</v>
      </c>
      <c r="C147" s="2">
        <v>961.13199999999995</v>
      </c>
      <c r="D147" s="2">
        <f>HYPERLINK("http://mcb-m6.bioreg.kyushu-u.ac.jp/M3/20110414/F50949/1666/1", 47.64)</f>
        <v>47.64</v>
      </c>
      <c r="E147" s="2">
        <v>6.73</v>
      </c>
      <c r="F147" s="2">
        <v>1</v>
      </c>
      <c r="G147" s="2" t="s">
        <v>12</v>
      </c>
    </row>
    <row r="148" spans="1:9" x14ac:dyDescent="0.2">
      <c r="A148" s="2" t="s">
        <v>4245</v>
      </c>
      <c r="B148" s="2" t="s">
        <v>1870</v>
      </c>
      <c r="C148" s="2">
        <v>734.42359999999996</v>
      </c>
      <c r="D148" s="2">
        <f>HYPERLINK("http://mcb-m6.bioreg.kyushu-u.ac.jp/M3/20110411/F50897/1934/1", 45.74)</f>
        <v>45.74</v>
      </c>
      <c r="E148" s="2">
        <v>18.93</v>
      </c>
      <c r="F148" s="2">
        <v>2</v>
      </c>
      <c r="G148" s="2" t="s">
        <v>10</v>
      </c>
      <c r="I148" s="2" t="s">
        <v>4905</v>
      </c>
    </row>
    <row r="149" spans="1:9" x14ac:dyDescent="0.2">
      <c r="A149" s="2" t="s">
        <v>4237</v>
      </c>
      <c r="B149" s="2" t="s">
        <v>1853</v>
      </c>
      <c r="C149" s="2">
        <v>625.42970000000003</v>
      </c>
      <c r="D149" s="2">
        <f>HYPERLINK("http://mcb-m6.bioreg.kyushu-u.ac.jp/M3/20110411/F50917/1352/1", 44.56)</f>
        <v>44.56</v>
      </c>
      <c r="E149" s="2">
        <v>10.66</v>
      </c>
      <c r="F149" s="2">
        <v>2</v>
      </c>
      <c r="G149" s="2" t="s">
        <v>10</v>
      </c>
    </row>
    <row r="150" spans="1:9" x14ac:dyDescent="0.2">
      <c r="A150" s="2" t="s">
        <v>4770</v>
      </c>
      <c r="B150" s="2" t="s">
        <v>2999</v>
      </c>
      <c r="C150" s="2">
        <v>602.23609999999996</v>
      </c>
      <c r="D150" s="2">
        <f>HYPERLINK("http://mcb-m6.bioreg.kyushu-u.ac.jp/M3/20110502/F51181/1207/1", 37.18)</f>
        <v>37.18</v>
      </c>
      <c r="E150" s="2">
        <v>9.48</v>
      </c>
      <c r="F150" s="2">
        <v>2</v>
      </c>
      <c r="G150" s="2" t="s">
        <v>14</v>
      </c>
      <c r="H150" s="2" t="s">
        <v>4920</v>
      </c>
    </row>
    <row r="151" spans="1:9" x14ac:dyDescent="0.2">
      <c r="A151" s="2" t="s">
        <v>4519</v>
      </c>
      <c r="B151" s="2" t="s">
        <v>2533</v>
      </c>
      <c r="C151" s="2">
        <v>930.92219999999998</v>
      </c>
      <c r="D151" s="2">
        <f>HYPERLINK("http://mcb-m6.bioreg.kyushu-u.ac.jp/M3/20110414/F50946/2962/1", 36.39)</f>
        <v>36.39</v>
      </c>
      <c r="E151" s="2">
        <v>21.3</v>
      </c>
      <c r="F151" s="2">
        <v>2</v>
      </c>
      <c r="G151" s="2" t="s">
        <v>12</v>
      </c>
    </row>
    <row r="152" spans="1:9" x14ac:dyDescent="0.2">
      <c r="A152" s="2" t="s">
        <v>3617</v>
      </c>
      <c r="B152" s="2" t="s">
        <v>523</v>
      </c>
      <c r="C152" s="2">
        <v>624.34370000000001</v>
      </c>
      <c r="D152" s="2">
        <f>HYPERLINK("http://mcb-m6.bioreg.kyushu-u.ac.jp/M3/20110411/F50916/1288/1", 43.83)</f>
        <v>43.83</v>
      </c>
      <c r="E152" s="2">
        <v>14.14</v>
      </c>
      <c r="F152" s="2">
        <v>2</v>
      </c>
      <c r="G152" s="2" t="s">
        <v>9</v>
      </c>
      <c r="I152" s="2" t="s">
        <v>4895</v>
      </c>
    </row>
    <row r="153" spans="1:9" x14ac:dyDescent="0.2">
      <c r="A153" s="2" t="s">
        <v>4787</v>
      </c>
      <c r="B153" s="2" t="s">
        <v>3022</v>
      </c>
      <c r="C153" s="2">
        <v>500.16559999999998</v>
      </c>
      <c r="D153" s="2">
        <f>HYPERLINK("http://mcb-m6.bioreg.kyushu-u.ac.jp/M3/20110502/F51176/1435/1", 38.38)</f>
        <v>38.380000000000003</v>
      </c>
      <c r="E153" s="2">
        <v>8.0500000000000007</v>
      </c>
      <c r="F153" s="2">
        <v>2</v>
      </c>
      <c r="G153" s="2" t="s">
        <v>14</v>
      </c>
    </row>
    <row r="154" spans="1:9" x14ac:dyDescent="0.2">
      <c r="A154" s="2" t="s">
        <v>3408</v>
      </c>
      <c r="B154" s="2" t="s">
        <v>205</v>
      </c>
      <c r="C154" s="2">
        <v>489.42309999999998</v>
      </c>
      <c r="D154" s="2">
        <f>HYPERLINK("http://mcb-m6.bioreg.kyushu-u.ac.jp/M3/20110411/F50915/711/1", 37.67)</f>
        <v>37.67</v>
      </c>
      <c r="E154" s="2">
        <v>8.4700000000000006</v>
      </c>
      <c r="F154" s="2">
        <v>2</v>
      </c>
      <c r="G154" s="2" t="s">
        <v>9</v>
      </c>
      <c r="H154" s="2" t="s">
        <v>4908</v>
      </c>
    </row>
    <row r="155" spans="1:9" x14ac:dyDescent="0.2">
      <c r="A155" s="2" t="s">
        <v>4831</v>
      </c>
      <c r="B155" s="2" t="s">
        <v>3092</v>
      </c>
      <c r="C155" s="2">
        <v>725.1857</v>
      </c>
      <c r="D155" s="2">
        <f>HYPERLINK("http://mcb-m6.bioreg.kyushu-u.ac.jp/M3/20110502/F51183/1815/1", 43.85)</f>
        <v>43.85</v>
      </c>
      <c r="E155" s="2">
        <v>14.17</v>
      </c>
      <c r="F155" s="2">
        <v>2</v>
      </c>
      <c r="G155" s="2" t="s">
        <v>14</v>
      </c>
    </row>
    <row r="156" spans="1:9" x14ac:dyDescent="0.2">
      <c r="A156" s="2" t="s">
        <v>4255</v>
      </c>
      <c r="B156" s="2" t="s">
        <v>1893</v>
      </c>
      <c r="C156" s="2">
        <v>741.17319999999995</v>
      </c>
      <c r="D156" s="2">
        <f>HYPERLINK("http://mcb-m6.bioreg.kyushu-u.ac.jp/M3/20110411/F50912/2038/1", 46.96)</f>
        <v>46.96</v>
      </c>
      <c r="E156" s="2">
        <v>21.57</v>
      </c>
      <c r="F156" s="2">
        <v>2</v>
      </c>
      <c r="G156" s="2" t="s">
        <v>10</v>
      </c>
      <c r="H156" s="2" t="s">
        <v>4925</v>
      </c>
    </row>
    <row r="157" spans="1:9" x14ac:dyDescent="0.2">
      <c r="A157" s="2" t="s">
        <v>4444</v>
      </c>
      <c r="B157" s="2" t="s">
        <v>2341</v>
      </c>
      <c r="C157" s="2">
        <v>537.65520000000004</v>
      </c>
      <c r="D157" s="2">
        <f>HYPERLINK("http://mcb-m6.bioreg.kyushu-u.ac.jp/M3/20110414/F50956/781/1", 48.69)</f>
        <v>48.69</v>
      </c>
      <c r="E157" s="2">
        <v>22.36</v>
      </c>
      <c r="F157" s="2">
        <v>2</v>
      </c>
      <c r="G157" s="2" t="s">
        <v>11</v>
      </c>
      <c r="H157" s="2" t="s">
        <v>4917</v>
      </c>
    </row>
    <row r="158" spans="1:9" x14ac:dyDescent="0.2">
      <c r="A158" s="2" t="s">
        <v>3668</v>
      </c>
      <c r="B158" s="2" t="s">
        <v>608</v>
      </c>
      <c r="C158" s="2">
        <v>729.49699999999996</v>
      </c>
      <c r="D158" s="2">
        <f>HYPERLINK("http://mcb-m6.bioreg.kyushu-u.ac.jp/M3/20110411/F50916/549/2", 46.1)</f>
        <v>46.1</v>
      </c>
      <c r="E158" s="2">
        <v>7.28</v>
      </c>
      <c r="F158" s="2">
        <v>1</v>
      </c>
      <c r="G158" s="2" t="s">
        <v>9</v>
      </c>
    </row>
    <row r="159" spans="1:9" x14ac:dyDescent="0.2">
      <c r="A159" s="2" t="s">
        <v>3668</v>
      </c>
      <c r="B159" s="2" t="s">
        <v>608</v>
      </c>
      <c r="C159" s="2">
        <v>729.64200000000005</v>
      </c>
      <c r="D159" s="2">
        <f>HYPERLINK("http://mcb-m6.bioreg.kyushu-u.ac.jp/M3/20110411/F50911/610/2", 46.54)</f>
        <v>46.54</v>
      </c>
      <c r="E159" s="2">
        <v>7.26</v>
      </c>
      <c r="F159" s="2">
        <v>1</v>
      </c>
      <c r="G159" s="2" t="s">
        <v>9</v>
      </c>
    </row>
    <row r="160" spans="1:9" x14ac:dyDescent="0.2">
      <c r="A160" s="2" t="s">
        <v>3668</v>
      </c>
      <c r="B160" s="2" t="s">
        <v>608</v>
      </c>
      <c r="C160" s="2">
        <v>729.572</v>
      </c>
      <c r="D160" s="2">
        <f>HYPERLINK("http://mcb-m6.bioreg.kyushu-u.ac.jp/M3/20110411/F50902/777/2", 46.61)</f>
        <v>46.61</v>
      </c>
      <c r="E160" s="2">
        <v>7.24</v>
      </c>
      <c r="F160" s="2">
        <v>1</v>
      </c>
      <c r="G160" s="2" t="s">
        <v>10</v>
      </c>
    </row>
    <row r="161" spans="1:8" x14ac:dyDescent="0.2">
      <c r="A161" s="2" t="s">
        <v>3668</v>
      </c>
      <c r="B161" s="2" t="s">
        <v>608</v>
      </c>
      <c r="C161" s="2">
        <v>729.12400000000002</v>
      </c>
      <c r="D161" s="2">
        <f>HYPERLINK("http://mcb-m6.bioreg.kyushu-u.ac.jp/M3/20110414/F50958/334/2", 46.79)</f>
        <v>46.79</v>
      </c>
      <c r="E161" s="2">
        <v>7.24</v>
      </c>
      <c r="F161" s="2">
        <v>1</v>
      </c>
      <c r="G161" s="2" t="s">
        <v>12</v>
      </c>
    </row>
    <row r="162" spans="1:8" x14ac:dyDescent="0.2">
      <c r="A162" s="2" t="s">
        <v>3668</v>
      </c>
      <c r="B162" s="2" t="s">
        <v>608</v>
      </c>
      <c r="C162" s="2">
        <v>729.66300000000001</v>
      </c>
      <c r="D162" s="2">
        <f>HYPERLINK("http://mcb-m6.bioreg.kyushu-u.ac.jp/M3/20110502/F51193/365/2", 46.73)</f>
        <v>46.73</v>
      </c>
      <c r="E162" s="2">
        <v>7.23</v>
      </c>
      <c r="F162" s="2">
        <v>1</v>
      </c>
      <c r="G162" s="2" t="s">
        <v>14</v>
      </c>
    </row>
    <row r="163" spans="1:8" x14ac:dyDescent="0.2">
      <c r="A163" s="2" t="s">
        <v>4715</v>
      </c>
      <c r="B163" s="2" t="s">
        <v>2907</v>
      </c>
      <c r="C163" s="2">
        <v>648.18470000000002</v>
      </c>
      <c r="D163" s="2">
        <f>HYPERLINK("http://mcb-m6.bioreg.kyushu-u.ac.jp/M3/20110502/F51172/1513/1", 47.76)</f>
        <v>47.76</v>
      </c>
      <c r="E163" s="2">
        <v>19.39</v>
      </c>
      <c r="F163" s="2">
        <v>2</v>
      </c>
      <c r="G163" s="2" t="s">
        <v>13</v>
      </c>
      <c r="H163" s="2" t="s">
        <v>4973</v>
      </c>
    </row>
    <row r="164" spans="1:8" x14ac:dyDescent="0.2">
      <c r="A164" s="2" t="s">
        <v>4715</v>
      </c>
      <c r="B164" s="2" t="s">
        <v>2907</v>
      </c>
      <c r="C164" s="2">
        <v>640.28769999999997</v>
      </c>
      <c r="D164" s="2">
        <f>HYPERLINK("http://mcb-m6.bioreg.kyushu-u.ac.jp/M3/20110502/F51182/1288/1", 45.98)</f>
        <v>45.98</v>
      </c>
      <c r="E164" s="2">
        <v>12.69</v>
      </c>
      <c r="F164" s="2">
        <v>2</v>
      </c>
      <c r="G164" s="2" t="s">
        <v>14</v>
      </c>
      <c r="H164" s="2" t="s">
        <v>4917</v>
      </c>
    </row>
    <row r="165" spans="1:8" x14ac:dyDescent="0.2">
      <c r="A165" s="2" t="s">
        <v>3314</v>
      </c>
      <c r="B165" s="2" t="s">
        <v>98</v>
      </c>
      <c r="C165" s="2">
        <v>533.26170000000002</v>
      </c>
      <c r="D165" s="2">
        <f>HYPERLINK("http://mcb-m6.bioreg.kyushu-u.ac.jp/M3/20110411/F50893/1424/1", 36)</f>
        <v>36</v>
      </c>
      <c r="E165" s="2">
        <v>10.28</v>
      </c>
      <c r="F165" s="2">
        <v>2</v>
      </c>
      <c r="G165" s="2" t="s">
        <v>9</v>
      </c>
    </row>
    <row r="166" spans="1:8" x14ac:dyDescent="0.2">
      <c r="A166" s="2" t="s">
        <v>3297</v>
      </c>
      <c r="B166" s="2" t="s">
        <v>78</v>
      </c>
      <c r="C166" s="2">
        <v>561.49659999999994</v>
      </c>
      <c r="D166" s="2">
        <f>HYPERLINK("http://mcb-m6.bioreg.kyushu-u.ac.jp/M3/20110411/F50894/1628/1", 35.73)</f>
        <v>35.729999999999997</v>
      </c>
      <c r="E166" s="2">
        <v>16.71</v>
      </c>
      <c r="F166" s="2">
        <v>2</v>
      </c>
      <c r="G166" s="2" t="s">
        <v>9</v>
      </c>
      <c r="H166" s="2" t="s">
        <v>4896</v>
      </c>
    </row>
    <row r="167" spans="1:8" x14ac:dyDescent="0.2">
      <c r="A167" s="2" t="s">
        <v>3610</v>
      </c>
      <c r="B167" s="2" t="s">
        <v>511</v>
      </c>
      <c r="C167" s="2">
        <v>460.83760000000001</v>
      </c>
      <c r="D167" s="2">
        <f>HYPERLINK("http://mcb-m6.bioreg.kyushu-u.ac.jp/M3/20110411/F50903/995/1", 43.54)</f>
        <v>43.54</v>
      </c>
      <c r="E167" s="2">
        <v>19.91</v>
      </c>
      <c r="F167" s="2">
        <v>2</v>
      </c>
      <c r="G167" s="2" t="s">
        <v>9</v>
      </c>
      <c r="H167" s="2" t="s">
        <v>4908</v>
      </c>
    </row>
    <row r="168" spans="1:8" x14ac:dyDescent="0.2">
      <c r="A168" s="2" t="s">
        <v>4693</v>
      </c>
      <c r="B168" s="2" t="s">
        <v>2867</v>
      </c>
      <c r="C168" s="2">
        <v>509.88409999999999</v>
      </c>
      <c r="D168" s="2">
        <f>HYPERLINK("http://mcb-m6.bioreg.kyushu-u.ac.jp/M3/20110502/F51168/1207/1", 40.26)</f>
        <v>40.26</v>
      </c>
      <c r="E168" s="2">
        <v>18.28</v>
      </c>
      <c r="F168" s="2">
        <v>2</v>
      </c>
      <c r="G168" s="2" t="s">
        <v>13</v>
      </c>
      <c r="H168" s="2" t="s">
        <v>4901</v>
      </c>
    </row>
    <row r="169" spans="1:8" x14ac:dyDescent="0.2">
      <c r="A169" s="2" t="s">
        <v>4690</v>
      </c>
      <c r="B169" s="2" t="s">
        <v>2862</v>
      </c>
      <c r="C169" s="2">
        <v>900.32069999999999</v>
      </c>
      <c r="D169" s="2">
        <f>HYPERLINK("http://mcb-m6.bioreg.kyushu-u.ac.jp/M3/20110502/F51180/2625/1", 39.91)</f>
        <v>39.909999999999997</v>
      </c>
      <c r="E169" s="2">
        <v>15.77</v>
      </c>
      <c r="F169" s="2">
        <v>2</v>
      </c>
      <c r="G169" s="2" t="s">
        <v>13</v>
      </c>
    </row>
    <row r="170" spans="1:8" x14ac:dyDescent="0.2">
      <c r="A170" s="2" t="s">
        <v>4690</v>
      </c>
      <c r="B170" s="2" t="s">
        <v>2862</v>
      </c>
      <c r="C170" s="2">
        <v>899.66920000000005</v>
      </c>
      <c r="D170" s="2">
        <f>HYPERLINK("http://mcb-m6.bioreg.kyushu-u.ac.jp/M3/20110502/F51177/2742/1", 35.01)</f>
        <v>35.01</v>
      </c>
      <c r="E170" s="2">
        <v>17.96</v>
      </c>
      <c r="F170" s="2">
        <v>2</v>
      </c>
      <c r="G170" s="2" t="s">
        <v>14</v>
      </c>
    </row>
    <row r="171" spans="1:8" x14ac:dyDescent="0.2">
      <c r="A171" s="2" t="s">
        <v>4690</v>
      </c>
      <c r="B171" s="2" t="s">
        <v>2862</v>
      </c>
      <c r="C171" s="2">
        <v>900.35919999999999</v>
      </c>
      <c r="D171" s="2">
        <f>HYPERLINK("http://mcb-m6.bioreg.kyushu-u.ac.jp/M3/20110502/F51181/2521/1", 35.34)</f>
        <v>35.340000000000003</v>
      </c>
      <c r="E171" s="2">
        <v>12.79</v>
      </c>
      <c r="F171" s="2">
        <v>2</v>
      </c>
      <c r="G171" s="2" t="s">
        <v>14</v>
      </c>
    </row>
    <row r="172" spans="1:8" x14ac:dyDescent="0.2">
      <c r="A172" s="2" t="s">
        <v>4690</v>
      </c>
      <c r="B172" s="2" t="s">
        <v>2862</v>
      </c>
      <c r="C172" s="2">
        <v>900.38760000000002</v>
      </c>
      <c r="D172" s="2">
        <f>HYPERLINK("http://mcb-m6.bioreg.kyushu-u.ac.jp/M3/20110502/F51183/2746/1", 41.7)</f>
        <v>41.7</v>
      </c>
      <c r="E172" s="2">
        <v>19.87</v>
      </c>
      <c r="F172" s="2">
        <v>2</v>
      </c>
      <c r="G172" s="2" t="s">
        <v>14</v>
      </c>
    </row>
    <row r="173" spans="1:8" x14ac:dyDescent="0.2">
      <c r="A173" s="2" t="s">
        <v>4190</v>
      </c>
      <c r="B173" s="2" t="s">
        <v>1774</v>
      </c>
      <c r="C173" s="2">
        <v>956.0847</v>
      </c>
      <c r="D173" s="2">
        <f>HYPERLINK("http://mcb-m6.bioreg.kyushu-u.ac.jp/M3/20110411/F50902/3040/1", 38.55)</f>
        <v>38.549999999999997</v>
      </c>
      <c r="E173" s="2">
        <v>10.34</v>
      </c>
      <c r="F173" s="2">
        <v>2</v>
      </c>
      <c r="G173" s="2" t="s">
        <v>10</v>
      </c>
      <c r="H173" s="2" t="s">
        <v>4948</v>
      </c>
    </row>
    <row r="174" spans="1:8" x14ac:dyDescent="0.2">
      <c r="A174" s="2" t="s">
        <v>4190</v>
      </c>
      <c r="B174" s="2" t="s">
        <v>1774</v>
      </c>
      <c r="C174" s="2">
        <v>956.30870000000004</v>
      </c>
      <c r="D174" s="2">
        <f>HYPERLINK("http://mcb-m6.bioreg.kyushu-u.ac.jp/M3/20110414/F50959/3339/1", 42.03)</f>
        <v>42.03</v>
      </c>
      <c r="E174" s="2">
        <v>16.93</v>
      </c>
      <c r="F174" s="2">
        <v>2</v>
      </c>
      <c r="G174" s="2" t="s">
        <v>12</v>
      </c>
      <c r="H174" s="2" t="s">
        <v>4948</v>
      </c>
    </row>
    <row r="175" spans="1:8" x14ac:dyDescent="0.2">
      <c r="A175" s="2" t="s">
        <v>3305</v>
      </c>
      <c r="B175" s="2" t="s">
        <v>86</v>
      </c>
      <c r="C175" s="2">
        <v>476.0256</v>
      </c>
      <c r="D175" s="2">
        <f>HYPERLINK("http://mcb-m6.bioreg.kyushu-u.ac.jp/M3/20110411/F50903/1054/1", 35.83)</f>
        <v>35.83</v>
      </c>
      <c r="E175" s="2">
        <v>8.76</v>
      </c>
      <c r="F175" s="2">
        <v>2</v>
      </c>
      <c r="G175" s="2" t="s">
        <v>9</v>
      </c>
    </row>
    <row r="176" spans="1:8" x14ac:dyDescent="0.2">
      <c r="A176" s="2" t="s">
        <v>4171</v>
      </c>
      <c r="B176" s="2" t="s">
        <v>1743</v>
      </c>
      <c r="C176" s="2">
        <v>695.91359999999997</v>
      </c>
      <c r="D176" s="2">
        <f>HYPERLINK("http://mcb-m6.bioreg.kyushu-u.ac.jp/M3/20110411/F50921/1623/1", 37.22)</f>
        <v>37.22</v>
      </c>
      <c r="E176" s="2">
        <v>14.53</v>
      </c>
      <c r="F176" s="2">
        <v>2</v>
      </c>
      <c r="G176" s="2" t="s">
        <v>10</v>
      </c>
    </row>
    <row r="177" spans="1:9" x14ac:dyDescent="0.2">
      <c r="A177" s="2" t="s">
        <v>4853</v>
      </c>
      <c r="B177" s="2" t="s">
        <v>3134</v>
      </c>
      <c r="C177" s="2">
        <v>468.5566</v>
      </c>
      <c r="D177" s="2">
        <f>HYPERLINK("http://mcb-m6.bioreg.kyushu-u.ac.jp/M3/20110502/F51177/540/1", 49.7)</f>
        <v>49.7</v>
      </c>
      <c r="E177" s="2">
        <v>8.2899999999999991</v>
      </c>
      <c r="F177" s="2">
        <v>2</v>
      </c>
      <c r="G177" s="2" t="s">
        <v>14</v>
      </c>
    </row>
    <row r="178" spans="1:9" x14ac:dyDescent="0.2">
      <c r="A178" s="2" t="s">
        <v>3653</v>
      </c>
      <c r="B178" s="2" t="s">
        <v>586</v>
      </c>
      <c r="C178" s="2">
        <v>517.78420000000006</v>
      </c>
      <c r="D178" s="2">
        <f>HYPERLINK("http://mcb-m6.bioreg.kyushu-u.ac.jp/M3/20110411/F50919/775/1", 45.54)</f>
        <v>45.54</v>
      </c>
      <c r="E178" s="2">
        <v>7.51</v>
      </c>
      <c r="F178" s="2">
        <v>2</v>
      </c>
      <c r="G178" s="2" t="s">
        <v>9</v>
      </c>
      <c r="H178" s="2" t="s">
        <v>4896</v>
      </c>
    </row>
    <row r="179" spans="1:9" x14ac:dyDescent="0.2">
      <c r="A179" s="2" t="s">
        <v>3262</v>
      </c>
      <c r="B179" s="2" t="s">
        <v>42</v>
      </c>
      <c r="C179" s="2">
        <v>552.00250000000005</v>
      </c>
      <c r="D179" s="2">
        <f>HYPERLINK("http://mcb-m6.bioreg.kyushu-u.ac.jp/M3/20110411/F50905/2484/1", 35.33)</f>
        <v>35.33</v>
      </c>
      <c r="E179" s="2">
        <v>8.18</v>
      </c>
      <c r="F179" s="2">
        <v>3</v>
      </c>
      <c r="G179" s="2" t="s">
        <v>9</v>
      </c>
    </row>
    <row r="180" spans="1:9" x14ac:dyDescent="0.2">
      <c r="A180" s="2" t="s">
        <v>4850</v>
      </c>
      <c r="B180" s="2" t="s">
        <v>3126</v>
      </c>
      <c r="C180" s="2">
        <v>695.55409999999995</v>
      </c>
      <c r="D180" s="2">
        <f>HYPERLINK("http://mcb-m6.bioreg.kyushu-u.ac.jp/M3/20110502/F51177/1579/1", 47.94)</f>
        <v>47.94</v>
      </c>
      <c r="E180" s="2">
        <v>31.43</v>
      </c>
      <c r="F180" s="2">
        <v>2</v>
      </c>
      <c r="G180" s="2" t="s">
        <v>14</v>
      </c>
      <c r="I180" s="2" t="s">
        <v>4903</v>
      </c>
    </row>
    <row r="181" spans="1:9" x14ac:dyDescent="0.2">
      <c r="A181" s="2" t="s">
        <v>4801</v>
      </c>
      <c r="B181" s="2" t="s">
        <v>3041</v>
      </c>
      <c r="C181" s="2">
        <v>503.10210000000001</v>
      </c>
      <c r="D181" s="2">
        <f>HYPERLINK("http://mcb-m6.bioreg.kyushu-u.ac.jp/M3/20110502/F51177/657/1", 39.42)</f>
        <v>39.42</v>
      </c>
      <c r="E181" s="2">
        <v>8.83</v>
      </c>
      <c r="F181" s="2">
        <v>2</v>
      </c>
      <c r="G181" s="2" t="s">
        <v>14</v>
      </c>
    </row>
    <row r="182" spans="1:9" x14ac:dyDescent="0.2">
      <c r="A182" s="2" t="s">
        <v>3767</v>
      </c>
      <c r="B182" s="2" t="s">
        <v>788</v>
      </c>
      <c r="C182" s="2">
        <v>704.64419999999996</v>
      </c>
      <c r="D182" s="2">
        <f>HYPERLINK("http://mcb-m6.bioreg.kyushu-u.ac.jp/M3/20110411/F50895/1901/1", 51.35)</f>
        <v>51.35</v>
      </c>
      <c r="E182" s="2">
        <v>12.13</v>
      </c>
      <c r="F182" s="2">
        <v>2</v>
      </c>
      <c r="G182" s="2" t="s">
        <v>9</v>
      </c>
      <c r="H182" s="2" t="s">
        <v>4930</v>
      </c>
    </row>
    <row r="183" spans="1:9" x14ac:dyDescent="0.2">
      <c r="A183" s="2" t="s">
        <v>4804</v>
      </c>
      <c r="B183" s="2" t="s">
        <v>3045</v>
      </c>
      <c r="C183" s="2">
        <v>633.54669999999999</v>
      </c>
      <c r="D183" s="2">
        <f>HYPERLINK("http://mcb-m6.bioreg.kyushu-u.ac.jp/M3/20110502/F51193/1301/1", 39.88)</f>
        <v>39.880000000000003</v>
      </c>
      <c r="E183" s="2">
        <v>20.86</v>
      </c>
      <c r="F183" s="2">
        <v>2</v>
      </c>
      <c r="G183" s="2" t="s">
        <v>14</v>
      </c>
    </row>
    <row r="184" spans="1:9" x14ac:dyDescent="0.2">
      <c r="A184" s="2" t="s">
        <v>4146</v>
      </c>
      <c r="B184" s="2" t="s">
        <v>1697</v>
      </c>
      <c r="C184" s="2">
        <v>610.22770000000003</v>
      </c>
      <c r="D184" s="2">
        <f>HYPERLINK("http://mcb-m6.bioreg.kyushu-u.ac.jp/M3/20110411/F50896/1680/1", 35.42)</f>
        <v>35.42</v>
      </c>
      <c r="E184" s="2">
        <v>13.1</v>
      </c>
      <c r="F184" s="2">
        <v>2</v>
      </c>
      <c r="G184" s="2" t="s">
        <v>10</v>
      </c>
    </row>
    <row r="185" spans="1:9" x14ac:dyDescent="0.2">
      <c r="A185" s="2" t="s">
        <v>3277</v>
      </c>
      <c r="B185" s="2" t="s">
        <v>57</v>
      </c>
      <c r="C185" s="2">
        <v>517.73469999999998</v>
      </c>
      <c r="D185" s="2">
        <f>HYPERLINK("http://mcb-m6.bioreg.kyushu-u.ac.jp/M3/20110411/F50893/1357/1", 35.54)</f>
        <v>35.54</v>
      </c>
      <c r="E185" s="2">
        <v>13.39</v>
      </c>
      <c r="F185" s="2">
        <v>2</v>
      </c>
      <c r="G185" s="2" t="s">
        <v>9</v>
      </c>
      <c r="H185" s="2" t="s">
        <v>4896</v>
      </c>
    </row>
    <row r="186" spans="1:9" x14ac:dyDescent="0.2">
      <c r="A186" s="2" t="s">
        <v>4513</v>
      </c>
      <c r="B186" s="2" t="s">
        <v>2522</v>
      </c>
      <c r="C186" s="2">
        <v>483.67450000000002</v>
      </c>
      <c r="D186" s="2">
        <f>HYPERLINK("http://mcb-m6.bioreg.kyushu-u.ac.jp/M3/20110414/F50959/1781/1", 35.45)</f>
        <v>35.450000000000003</v>
      </c>
      <c r="E186" s="2">
        <v>11.97</v>
      </c>
      <c r="F186" s="2">
        <v>3</v>
      </c>
      <c r="G186" s="2" t="s">
        <v>12</v>
      </c>
      <c r="H186" s="2" t="s">
        <v>4915</v>
      </c>
    </row>
    <row r="187" spans="1:9" x14ac:dyDescent="0.2">
      <c r="A187" s="2" t="s">
        <v>4677</v>
      </c>
      <c r="B187" s="2" t="s">
        <v>2848</v>
      </c>
      <c r="C187" s="2">
        <v>773.90869999999995</v>
      </c>
      <c r="D187" s="2">
        <f>HYPERLINK("http://mcb-m6.bioreg.kyushu-u.ac.jp/M3/20110502/F51180/2038/1", 38.93)</f>
        <v>38.93</v>
      </c>
      <c r="E187" s="2">
        <v>18.62</v>
      </c>
      <c r="F187" s="2">
        <v>2</v>
      </c>
      <c r="G187" s="2" t="s">
        <v>13</v>
      </c>
      <c r="I187" s="2" t="s">
        <v>4893</v>
      </c>
    </row>
    <row r="188" spans="1:9" x14ac:dyDescent="0.2">
      <c r="A188" s="2" t="s">
        <v>3236</v>
      </c>
      <c r="B188" s="2" t="s">
        <v>16</v>
      </c>
      <c r="C188" s="2">
        <v>679.66269999999997</v>
      </c>
      <c r="D188" s="2">
        <f>HYPERLINK("http://mcb-m6.bioreg.kyushu-u.ac.jp/M3/20110411/F50904/1737/1", 35.02)</f>
        <v>35.020000000000003</v>
      </c>
      <c r="E188" s="2">
        <v>8.08</v>
      </c>
      <c r="F188" s="2">
        <v>2</v>
      </c>
      <c r="G188" s="2" t="s">
        <v>9</v>
      </c>
    </row>
    <row r="189" spans="1:9" x14ac:dyDescent="0.2">
      <c r="A189" s="2" t="s">
        <v>4217</v>
      </c>
      <c r="B189" s="2" t="s">
        <v>1816</v>
      </c>
      <c r="C189" s="2">
        <v>458.90260000000001</v>
      </c>
      <c r="D189" s="2">
        <f>HYPERLINK("http://mcb-m6.bioreg.kyushu-u.ac.jp/M3/20110411/F50896/1085/1", 41.24)</f>
        <v>41.24</v>
      </c>
      <c r="E189" s="2">
        <v>15.23</v>
      </c>
      <c r="F189" s="2">
        <v>2</v>
      </c>
      <c r="G189" s="2" t="s">
        <v>10</v>
      </c>
    </row>
    <row r="190" spans="1:9" x14ac:dyDescent="0.2">
      <c r="A190" s="2" t="s">
        <v>4846</v>
      </c>
      <c r="B190" s="2" t="s">
        <v>3121</v>
      </c>
      <c r="C190" s="2">
        <v>490.4461</v>
      </c>
      <c r="D190" s="2">
        <f>HYPERLINK("http://mcb-m6.bioreg.kyushu-u.ac.jp/M3/20110502/F51184/526/1", 47.46)</f>
        <v>47.46</v>
      </c>
      <c r="E190" s="2">
        <v>19.38</v>
      </c>
      <c r="F190" s="2">
        <v>2</v>
      </c>
      <c r="G190" s="2" t="s">
        <v>14</v>
      </c>
    </row>
    <row r="191" spans="1:9" x14ac:dyDescent="0.2">
      <c r="A191" s="2" t="s">
        <v>4530</v>
      </c>
      <c r="B191" s="2" t="s">
        <v>2554</v>
      </c>
      <c r="C191" s="2">
        <v>804.11159999999995</v>
      </c>
      <c r="D191" s="2">
        <f>HYPERLINK("http://mcb-m6.bioreg.kyushu-u.ac.jp/M3/20110414/F50966/2143/1", 37.66)</f>
        <v>37.659999999999997</v>
      </c>
      <c r="E191" s="2">
        <v>22.47</v>
      </c>
      <c r="F191" s="2">
        <v>2</v>
      </c>
      <c r="G191" s="2" t="s">
        <v>12</v>
      </c>
      <c r="I191" s="2" t="s">
        <v>4893</v>
      </c>
    </row>
    <row r="192" spans="1:9" x14ac:dyDescent="0.2">
      <c r="A192" s="2" t="s">
        <v>4530</v>
      </c>
      <c r="B192" s="2" t="s">
        <v>2554</v>
      </c>
      <c r="C192" s="2">
        <v>804.04570000000001</v>
      </c>
      <c r="D192" s="2">
        <f>HYPERLINK("http://mcb-m6.bioreg.kyushu-u.ac.jp/M3/20110502/F51190/2029/1", 46.06)</f>
        <v>46.06</v>
      </c>
      <c r="E192" s="2">
        <v>24.62</v>
      </c>
      <c r="F192" s="2">
        <v>2</v>
      </c>
      <c r="G192" s="2" t="s">
        <v>14</v>
      </c>
      <c r="I192" s="2" t="s">
        <v>4893</v>
      </c>
    </row>
    <row r="193" spans="1:9" x14ac:dyDescent="0.2">
      <c r="A193" s="2" t="s">
        <v>3506</v>
      </c>
      <c r="B193" s="2" t="s">
        <v>343</v>
      </c>
      <c r="C193" s="2">
        <v>802.26670000000001</v>
      </c>
      <c r="D193" s="2">
        <f>HYPERLINK("http://mcb-m6.bioreg.kyushu-u.ac.jp/M3/20110411/F50890/2542/1", 40.01)</f>
        <v>40.01</v>
      </c>
      <c r="E193" s="2">
        <v>16.22</v>
      </c>
      <c r="F193" s="2">
        <v>2</v>
      </c>
      <c r="G193" s="2" t="s">
        <v>9</v>
      </c>
    </row>
    <row r="194" spans="1:9" x14ac:dyDescent="0.2">
      <c r="A194" s="2" t="s">
        <v>4534</v>
      </c>
      <c r="B194" s="2" t="s">
        <v>2560</v>
      </c>
      <c r="C194" s="2">
        <v>595.92179999999996</v>
      </c>
      <c r="D194" s="2">
        <f>HYPERLINK("http://mcb-m6.bioreg.kyushu-u.ac.jp/M3/20110414/F50949/2417/1", 37.92)</f>
        <v>37.92</v>
      </c>
      <c r="E194" s="2">
        <v>22.36</v>
      </c>
      <c r="F194" s="2">
        <v>3</v>
      </c>
      <c r="G194" s="2" t="s">
        <v>12</v>
      </c>
      <c r="H194" s="2" t="s">
        <v>4907</v>
      </c>
      <c r="I194" s="2" t="s">
        <v>4892</v>
      </c>
    </row>
    <row r="195" spans="1:9" x14ac:dyDescent="0.2">
      <c r="A195" s="2" t="s">
        <v>4201</v>
      </c>
      <c r="B195" s="2" t="s">
        <v>1790</v>
      </c>
      <c r="C195" s="2">
        <v>1100.8520000000001</v>
      </c>
      <c r="D195" s="2">
        <f>HYPERLINK("http://mcb-m6.bioreg.kyushu-u.ac.jp/M3/20110411/F50912/1254/1", 39.29)</f>
        <v>39.29</v>
      </c>
      <c r="E195" s="2">
        <v>8.5299999999999994</v>
      </c>
      <c r="F195" s="2">
        <v>1</v>
      </c>
      <c r="G195" s="2" t="s">
        <v>10</v>
      </c>
    </row>
    <row r="196" spans="1:9" x14ac:dyDescent="0.2">
      <c r="A196" s="2" t="s">
        <v>4406</v>
      </c>
      <c r="B196" s="2" t="s">
        <v>2257</v>
      </c>
      <c r="C196" s="2">
        <v>495.20859999999999</v>
      </c>
      <c r="D196" s="2">
        <f>HYPERLINK("http://mcb-m6.bioreg.kyushu-u.ac.jp/M3/20110414/F50956/608/1", 40.09)</f>
        <v>40.090000000000003</v>
      </c>
      <c r="E196" s="2">
        <v>10.59</v>
      </c>
      <c r="F196" s="2">
        <v>2</v>
      </c>
      <c r="G196" s="2" t="s">
        <v>11</v>
      </c>
    </row>
    <row r="197" spans="1:9" x14ac:dyDescent="0.2">
      <c r="A197" s="2" t="s">
        <v>3508</v>
      </c>
      <c r="B197" s="2" t="s">
        <v>346</v>
      </c>
      <c r="C197" s="2">
        <v>487.25560000000002</v>
      </c>
      <c r="D197" s="2">
        <f>HYPERLINK("http://mcb-m6.bioreg.kyushu-u.ac.jp/M3/20110411/F50890/1074/1", 40.03)</f>
        <v>40.03</v>
      </c>
      <c r="E197" s="2">
        <v>8.48</v>
      </c>
      <c r="F197" s="2">
        <v>2</v>
      </c>
      <c r="G197" s="2" t="s">
        <v>9</v>
      </c>
    </row>
    <row r="198" spans="1:9" x14ac:dyDescent="0.2">
      <c r="A198" s="2" t="s">
        <v>3366</v>
      </c>
      <c r="B198" s="2" t="s">
        <v>158</v>
      </c>
      <c r="C198" s="2">
        <v>687.1866</v>
      </c>
      <c r="D198" s="2">
        <f>HYPERLINK("http://mcb-m6.bioreg.kyushu-u.ac.jp/M3/20110411/F50894/2005/1", 36.93)</f>
        <v>36.93</v>
      </c>
      <c r="E198" s="2">
        <v>8.69</v>
      </c>
      <c r="F198" s="2">
        <v>2</v>
      </c>
      <c r="G198" s="2" t="s">
        <v>9</v>
      </c>
    </row>
    <row r="199" spans="1:9" x14ac:dyDescent="0.2">
      <c r="A199" s="2" t="s">
        <v>3471</v>
      </c>
      <c r="B199" s="2" t="s">
        <v>284</v>
      </c>
      <c r="C199" s="2">
        <v>464.10809999999998</v>
      </c>
      <c r="D199" s="2">
        <f>HYPERLINK("http://mcb-m6.bioreg.kyushu-u.ac.jp/M3/20110411/F50890/953/1", 38.97)</f>
        <v>38.97</v>
      </c>
      <c r="E199" s="2">
        <v>15.33</v>
      </c>
      <c r="F199" s="2">
        <v>2</v>
      </c>
      <c r="G199" s="2" t="s">
        <v>9</v>
      </c>
    </row>
    <row r="200" spans="1:9" x14ac:dyDescent="0.2">
      <c r="A200" s="2" t="s">
        <v>4785</v>
      </c>
      <c r="B200" s="2" t="s">
        <v>3017</v>
      </c>
      <c r="C200" s="2">
        <v>521.10919999999999</v>
      </c>
      <c r="D200" s="2">
        <f>HYPERLINK("http://mcb-m6.bioreg.kyushu-u.ac.jp/M3/20110502/F51190/913/2", 38.27)</f>
        <v>38.270000000000003</v>
      </c>
      <c r="E200" s="2">
        <v>13.23</v>
      </c>
      <c r="F200" s="2">
        <v>2</v>
      </c>
      <c r="G200" s="2" t="s">
        <v>14</v>
      </c>
    </row>
    <row r="201" spans="1:9" x14ac:dyDescent="0.2">
      <c r="A201" s="2" t="s">
        <v>4785</v>
      </c>
      <c r="B201" s="2" t="s">
        <v>3017</v>
      </c>
      <c r="C201" s="2">
        <v>521.13509999999997</v>
      </c>
      <c r="D201" s="2">
        <f>HYPERLINK("http://mcb-m6.bioreg.kyushu-u.ac.jp/M3/20110502/F51185/803/1", 49.89)</f>
        <v>49.89</v>
      </c>
      <c r="E201" s="2">
        <v>6.4</v>
      </c>
      <c r="F201" s="2">
        <v>2</v>
      </c>
      <c r="G201" s="2" t="s">
        <v>14</v>
      </c>
    </row>
    <row r="202" spans="1:9" x14ac:dyDescent="0.2">
      <c r="A202" s="2" t="s">
        <v>4696</v>
      </c>
      <c r="B202" s="2" t="s">
        <v>2872</v>
      </c>
      <c r="C202" s="2">
        <v>578.99620000000004</v>
      </c>
      <c r="D202" s="2">
        <f>HYPERLINK("http://mcb-m6.bioreg.kyushu-u.ac.jp/M3/20110502/F51168/1474/1", 40.58)</f>
        <v>40.58</v>
      </c>
      <c r="E202" s="2">
        <v>13.8</v>
      </c>
      <c r="F202" s="2">
        <v>2</v>
      </c>
      <c r="G202" s="2" t="s">
        <v>13</v>
      </c>
    </row>
    <row r="203" spans="1:9" x14ac:dyDescent="0.2">
      <c r="A203" s="2" t="s">
        <v>4224</v>
      </c>
      <c r="B203" s="2" t="s">
        <v>1830</v>
      </c>
      <c r="C203" s="2">
        <v>765.75710000000004</v>
      </c>
      <c r="D203" s="2">
        <f>HYPERLINK("http://mcb-m6.bioreg.kyushu-u.ac.jp/M3/20110411/F50912/2151/1", 41.85)</f>
        <v>41.85</v>
      </c>
      <c r="E203" s="2">
        <v>13.7</v>
      </c>
      <c r="F203" s="2">
        <v>2</v>
      </c>
      <c r="G203" s="2" t="s">
        <v>10</v>
      </c>
      <c r="H203" s="2" t="s">
        <v>4952</v>
      </c>
    </row>
    <row r="204" spans="1:9" x14ac:dyDescent="0.2">
      <c r="A204" s="2" t="s">
        <v>4665</v>
      </c>
      <c r="B204" s="2" t="s">
        <v>2828</v>
      </c>
      <c r="C204" s="2">
        <v>575.26210000000003</v>
      </c>
      <c r="D204" s="2">
        <f>HYPERLINK("http://mcb-m6.bioreg.kyushu-u.ac.jp/M3/20110502/F51180/986/1", 37.61)</f>
        <v>37.61</v>
      </c>
      <c r="E204" s="2">
        <v>15.04</v>
      </c>
      <c r="F204" s="2">
        <v>2</v>
      </c>
      <c r="G204" s="2" t="s">
        <v>13</v>
      </c>
    </row>
    <row r="205" spans="1:9" x14ac:dyDescent="0.2">
      <c r="A205" s="2" t="s">
        <v>3547</v>
      </c>
      <c r="B205" s="2" t="s">
        <v>404</v>
      </c>
      <c r="C205" s="2">
        <v>473.5641</v>
      </c>
      <c r="D205" s="2">
        <f>HYPERLINK("http://mcb-m6.bioreg.kyushu-u.ac.jp/M3/20110411/F50911/876/2", 41.2)</f>
        <v>41.2</v>
      </c>
      <c r="E205" s="2">
        <v>11.32</v>
      </c>
      <c r="F205" s="2">
        <v>2</v>
      </c>
      <c r="G205" s="2" t="s">
        <v>9</v>
      </c>
    </row>
    <row r="206" spans="1:9" x14ac:dyDescent="0.2">
      <c r="A206" s="2" t="s">
        <v>4765</v>
      </c>
      <c r="B206" s="2" t="s">
        <v>2993</v>
      </c>
      <c r="C206" s="2">
        <v>701.05619999999999</v>
      </c>
      <c r="D206" s="2">
        <f>HYPERLINK("http://mcb-m6.bioreg.kyushu-u.ac.jp/M3/20110502/F51185/1673/1", 36.65)</f>
        <v>36.65</v>
      </c>
      <c r="E206" s="2">
        <v>23.33</v>
      </c>
      <c r="F206" s="2">
        <v>2</v>
      </c>
      <c r="G206" s="2" t="s">
        <v>14</v>
      </c>
    </row>
    <row r="207" spans="1:9" x14ac:dyDescent="0.2">
      <c r="A207" s="2" t="s">
        <v>4664</v>
      </c>
      <c r="B207" s="2" t="s">
        <v>2826</v>
      </c>
      <c r="C207" s="2">
        <v>460.99119999999999</v>
      </c>
      <c r="D207" s="2">
        <f>HYPERLINK("http://mcb-m6.bioreg.kyushu-u.ac.jp/M3/20110502/F51189/1557/1", 37.39)</f>
        <v>37.39</v>
      </c>
      <c r="E207" s="2">
        <v>12.24</v>
      </c>
      <c r="F207" s="2">
        <v>3</v>
      </c>
      <c r="G207" s="2" t="s">
        <v>13</v>
      </c>
      <c r="H207" s="2" t="s">
        <v>4901</v>
      </c>
    </row>
    <row r="208" spans="1:9" x14ac:dyDescent="0.2">
      <c r="A208" s="2" t="s">
        <v>4590</v>
      </c>
      <c r="B208" s="2" t="s">
        <v>2660</v>
      </c>
      <c r="C208" s="2">
        <v>568.30409999999995</v>
      </c>
      <c r="D208" s="2">
        <f>HYPERLINK("http://mcb-m6.bioreg.kyushu-u.ac.jp/M3/20110414/F50963/996/1", 48.78)</f>
        <v>48.78</v>
      </c>
      <c r="E208" s="2">
        <v>27.6</v>
      </c>
      <c r="F208" s="2">
        <v>2</v>
      </c>
      <c r="G208" s="2" t="s">
        <v>12</v>
      </c>
    </row>
    <row r="209" spans="1:9" x14ac:dyDescent="0.2">
      <c r="A209" s="2" t="s">
        <v>4204</v>
      </c>
      <c r="B209" s="2" t="s">
        <v>1796</v>
      </c>
      <c r="C209" s="2">
        <v>685.51800000000003</v>
      </c>
      <c r="D209" s="2">
        <f>HYPERLINK("http://mcb-m6.bioreg.kyushu-u.ac.jp/M3/20110411/F50898/917/8", 39.6)</f>
        <v>39.6</v>
      </c>
      <c r="E209" s="2">
        <v>39.6</v>
      </c>
      <c r="F209" s="2">
        <v>1</v>
      </c>
      <c r="G209" s="2" t="s">
        <v>10</v>
      </c>
    </row>
    <row r="210" spans="1:9" x14ac:dyDescent="0.2">
      <c r="A210" s="2" t="s">
        <v>3433</v>
      </c>
      <c r="B210" s="2" t="s">
        <v>241</v>
      </c>
      <c r="C210" s="2">
        <v>516.23170000000005</v>
      </c>
      <c r="D210" s="2">
        <f>HYPERLINK("http://mcb-m6.bioreg.kyushu-u.ac.jp/M3/20110411/F50894/1460/1", 38.36)</f>
        <v>38.36</v>
      </c>
      <c r="E210" s="2">
        <v>18.45</v>
      </c>
      <c r="F210" s="2">
        <v>2</v>
      </c>
      <c r="G210" s="2" t="s">
        <v>9</v>
      </c>
    </row>
    <row r="211" spans="1:9" x14ac:dyDescent="0.2">
      <c r="A211" s="2" t="s">
        <v>4238</v>
      </c>
      <c r="B211" s="2" t="s">
        <v>1861</v>
      </c>
      <c r="C211" s="2">
        <v>907.79</v>
      </c>
      <c r="D211" s="2">
        <f>HYPERLINK("http://mcb-m6.bioreg.kyushu-u.ac.jp/M3/20110411/F50912/909/1", 45.1)</f>
        <v>45.1</v>
      </c>
      <c r="E211" s="2">
        <v>0.32</v>
      </c>
      <c r="F211" s="2">
        <v>1</v>
      </c>
      <c r="G211" s="2" t="s">
        <v>10</v>
      </c>
    </row>
    <row r="212" spans="1:9" x14ac:dyDescent="0.2">
      <c r="A212" s="2" t="s">
        <v>4667</v>
      </c>
      <c r="B212" s="2" t="s">
        <v>2831</v>
      </c>
      <c r="C212" s="2">
        <v>853.84969999999998</v>
      </c>
      <c r="D212" s="2">
        <f>HYPERLINK("http://mcb-m6.bioreg.kyushu-u.ac.jp/M3/20110502/F51169/2567/1", 37.68)</f>
        <v>37.68</v>
      </c>
      <c r="E212" s="2">
        <v>26.26</v>
      </c>
      <c r="F212" s="2">
        <v>2</v>
      </c>
      <c r="G212" s="2" t="s">
        <v>13</v>
      </c>
      <c r="H212" s="2" t="s">
        <v>4891</v>
      </c>
    </row>
    <row r="213" spans="1:9" x14ac:dyDescent="0.2">
      <c r="A213" s="2" t="s">
        <v>4667</v>
      </c>
      <c r="B213" s="2" t="s">
        <v>2831</v>
      </c>
      <c r="C213" s="2">
        <v>853.9307</v>
      </c>
      <c r="D213" s="2">
        <f>HYPERLINK("http://mcb-m6.bioreg.kyushu-u.ac.jp/M3/20110502/F51179/2441/1", 36.34)</f>
        <v>36.340000000000003</v>
      </c>
      <c r="E213" s="2">
        <v>22.36</v>
      </c>
      <c r="F213" s="2">
        <v>2</v>
      </c>
      <c r="G213" s="2" t="s">
        <v>14</v>
      </c>
      <c r="H213" s="2" t="s">
        <v>4891</v>
      </c>
    </row>
    <row r="214" spans="1:9" x14ac:dyDescent="0.2">
      <c r="A214" s="2" t="s">
        <v>4640</v>
      </c>
      <c r="B214" s="2" t="s">
        <v>2796</v>
      </c>
      <c r="C214" s="2">
        <v>620.12379999999996</v>
      </c>
      <c r="D214" s="2">
        <f>HYPERLINK("http://mcb-m6.bioreg.kyushu-u.ac.jp/M3/20110502/F51172/3290/1", 35.79)</f>
        <v>35.79</v>
      </c>
      <c r="E214" s="2">
        <v>14.29</v>
      </c>
      <c r="F214" s="2">
        <v>3</v>
      </c>
      <c r="G214" s="2" t="s">
        <v>13</v>
      </c>
      <c r="H214" s="2" t="s">
        <v>4974</v>
      </c>
      <c r="I214" s="2" t="s">
        <v>4914</v>
      </c>
    </row>
    <row r="215" spans="1:9" x14ac:dyDescent="0.2">
      <c r="A215" s="2" t="s">
        <v>4748</v>
      </c>
      <c r="B215" s="2" t="s">
        <v>2973</v>
      </c>
      <c r="C215" s="2">
        <v>635.58720000000005</v>
      </c>
      <c r="D215" s="2">
        <f>HYPERLINK("http://mcb-m6.bioreg.kyushu-u.ac.jp/M3/20110502/F51179/1210/1", 35.74)</f>
        <v>35.74</v>
      </c>
      <c r="E215" s="2">
        <v>13.45</v>
      </c>
      <c r="F215" s="2">
        <v>2</v>
      </c>
      <c r="G215" s="2" t="s">
        <v>14</v>
      </c>
    </row>
    <row r="216" spans="1:9" x14ac:dyDescent="0.2">
      <c r="A216" s="2" t="s">
        <v>3486</v>
      </c>
      <c r="B216" s="2" t="s">
        <v>314</v>
      </c>
      <c r="C216" s="2">
        <v>460.88510000000002</v>
      </c>
      <c r="D216" s="2">
        <f>HYPERLINK("http://mcb-m6.bioreg.kyushu-u.ac.jp/M3/20110411/F50904/998/1", 39.61)</f>
        <v>39.61</v>
      </c>
      <c r="E216" s="2">
        <v>15.61</v>
      </c>
      <c r="F216" s="2">
        <v>2</v>
      </c>
      <c r="G216" s="2" t="s">
        <v>9</v>
      </c>
    </row>
    <row r="217" spans="1:9" x14ac:dyDescent="0.2">
      <c r="A217" s="2" t="s">
        <v>4178</v>
      </c>
      <c r="B217" s="2" t="s">
        <v>1754</v>
      </c>
      <c r="C217" s="2">
        <v>557.48820000000001</v>
      </c>
      <c r="D217" s="2">
        <f>HYPERLINK("http://mcb-m6.bioreg.kyushu-u.ac.jp/M3/20110411/F50913/1226/1", 37.77)</f>
        <v>37.770000000000003</v>
      </c>
      <c r="E217" s="2">
        <v>16.53</v>
      </c>
      <c r="F217" s="2">
        <v>2</v>
      </c>
      <c r="G217" s="2" t="s">
        <v>10</v>
      </c>
    </row>
    <row r="218" spans="1:9" x14ac:dyDescent="0.2">
      <c r="A218" s="2" t="s">
        <v>4822</v>
      </c>
      <c r="B218" s="2" t="s">
        <v>3077</v>
      </c>
      <c r="C218" s="2">
        <v>871.77009999999996</v>
      </c>
      <c r="D218" s="2">
        <f>HYPERLINK("http://mcb-m6.bioreg.kyushu-u.ac.jp/M3/20110502/F51182/2659/1", 42.28)</f>
        <v>42.28</v>
      </c>
      <c r="E218" s="2">
        <v>21.39</v>
      </c>
      <c r="F218" s="2">
        <v>2</v>
      </c>
      <c r="G218" s="2" t="s">
        <v>14</v>
      </c>
    </row>
    <row r="219" spans="1:9" x14ac:dyDescent="0.2">
      <c r="A219" s="2" t="s">
        <v>4842</v>
      </c>
      <c r="B219" s="2" t="s">
        <v>3110</v>
      </c>
      <c r="C219" s="2">
        <v>962.8</v>
      </c>
      <c r="D219" s="2">
        <f>HYPERLINK("http://mcb-m6.bioreg.kyushu-u.ac.jp/M3/20110502/F51191/675/1", 46.32)</f>
        <v>46.32</v>
      </c>
      <c r="E219" s="2">
        <v>9.36</v>
      </c>
      <c r="F219" s="2">
        <v>1</v>
      </c>
      <c r="G219" s="2" t="s">
        <v>14</v>
      </c>
    </row>
    <row r="220" spans="1:9" x14ac:dyDescent="0.2">
      <c r="A220" s="2" t="s">
        <v>3478</v>
      </c>
      <c r="B220" s="2" t="s">
        <v>298</v>
      </c>
      <c r="C220" s="2">
        <v>752.62570000000005</v>
      </c>
      <c r="D220" s="2">
        <f>HYPERLINK("http://mcb-m6.bioreg.kyushu-u.ac.jp/M3/20110411/F50911/2162/1", 39.27)</f>
        <v>39.270000000000003</v>
      </c>
      <c r="E220" s="2">
        <v>17.670000000000002</v>
      </c>
      <c r="F220" s="2">
        <v>2</v>
      </c>
      <c r="G220" s="2" t="s">
        <v>9</v>
      </c>
    </row>
    <row r="221" spans="1:9" x14ac:dyDescent="0.2">
      <c r="A221" s="2" t="s">
        <v>4742</v>
      </c>
      <c r="B221" s="2" t="s">
        <v>2966</v>
      </c>
      <c r="C221" s="2">
        <v>884.33069999999998</v>
      </c>
      <c r="D221" s="2">
        <f>HYPERLINK("http://mcb-m6.bioreg.kyushu-u.ac.jp/M3/20110502/F51183/2657/1", 35.33)</f>
        <v>35.33</v>
      </c>
      <c r="E221" s="2">
        <v>14.3</v>
      </c>
      <c r="F221" s="2">
        <v>2</v>
      </c>
      <c r="G221" s="2" t="s">
        <v>14</v>
      </c>
      <c r="H221" s="2" t="s">
        <v>4920</v>
      </c>
    </row>
    <row r="222" spans="1:9" x14ac:dyDescent="0.2">
      <c r="A222" s="2" t="s">
        <v>4184</v>
      </c>
      <c r="B222" s="2" t="s">
        <v>1764</v>
      </c>
      <c r="C222" s="2">
        <v>795.0172</v>
      </c>
      <c r="D222" s="2">
        <f>HYPERLINK("http://mcb-m6.bioreg.kyushu-u.ac.jp/M3/20110411/F50899/2457/1", 38.22)</f>
        <v>38.22</v>
      </c>
      <c r="E222" s="2">
        <v>19.440000000000001</v>
      </c>
      <c r="F222" s="2">
        <v>2</v>
      </c>
      <c r="G222" s="2" t="s">
        <v>10</v>
      </c>
      <c r="I222" s="2" t="s">
        <v>4923</v>
      </c>
    </row>
    <row r="223" spans="1:9" x14ac:dyDescent="0.2">
      <c r="A223" s="2" t="s">
        <v>4702</v>
      </c>
      <c r="B223" s="2" t="s">
        <v>2881</v>
      </c>
      <c r="C223" s="2">
        <v>594.99369999999999</v>
      </c>
      <c r="D223" s="2">
        <f>HYPERLINK("http://mcb-m6.bioreg.kyushu-u.ac.jp/M3/20110502/F51169/1579/1", 42.66)</f>
        <v>42.66</v>
      </c>
      <c r="E223" s="2">
        <v>17.86</v>
      </c>
      <c r="F223" s="2">
        <v>2</v>
      </c>
      <c r="G223" s="2" t="s">
        <v>13</v>
      </c>
    </row>
    <row r="224" spans="1:9" x14ac:dyDescent="0.2">
      <c r="A224" s="2" t="s">
        <v>4525</v>
      </c>
      <c r="B224" s="2" t="s">
        <v>2545</v>
      </c>
      <c r="C224" s="2">
        <v>710.41859999999997</v>
      </c>
      <c r="D224" s="2">
        <f>HYPERLINK("http://mcb-m6.bioreg.kyushu-u.ac.jp/M3/20110414/F50947/1742/1", 37.12)</f>
        <v>37.119999999999997</v>
      </c>
      <c r="E224" s="2">
        <v>10.36</v>
      </c>
      <c r="F224" s="2">
        <v>2</v>
      </c>
      <c r="G224" s="2" t="s">
        <v>12</v>
      </c>
    </row>
    <row r="225" spans="1:9" x14ac:dyDescent="0.2">
      <c r="A225" s="2" t="s">
        <v>4738</v>
      </c>
      <c r="B225" s="2" t="s">
        <v>2962</v>
      </c>
      <c r="C225" s="2">
        <v>934.76300000000003</v>
      </c>
      <c r="D225" s="2">
        <f>HYPERLINK("http://mcb-m6.bioreg.kyushu-u.ac.jp/M3/20110502/F51184/448/1", 35.12)</f>
        <v>35.119999999999997</v>
      </c>
      <c r="E225" s="2">
        <v>12.98</v>
      </c>
      <c r="F225" s="2">
        <v>1</v>
      </c>
      <c r="G225" s="2" t="s">
        <v>14</v>
      </c>
    </row>
    <row r="226" spans="1:9" x14ac:dyDescent="0.2">
      <c r="A226" s="2" t="s">
        <v>4758</v>
      </c>
      <c r="B226" s="2" t="s">
        <v>2985</v>
      </c>
      <c r="C226" s="2">
        <v>891.39760000000001</v>
      </c>
      <c r="D226" s="2">
        <f>HYPERLINK("http://mcb-m6.bioreg.kyushu-u.ac.jp/M3/20110502/F51183/2697/1", 36.29)</f>
        <v>36.29</v>
      </c>
      <c r="E226" s="2">
        <v>9.8699999999999992</v>
      </c>
      <c r="F226" s="2">
        <v>2</v>
      </c>
      <c r="G226" s="2" t="s">
        <v>14</v>
      </c>
      <c r="H226" s="2" t="s">
        <v>4975</v>
      </c>
    </row>
    <row r="227" spans="1:9" x14ac:dyDescent="0.2">
      <c r="A227" s="2" t="s">
        <v>4689</v>
      </c>
      <c r="B227" s="2" t="s">
        <v>2861</v>
      </c>
      <c r="C227" s="2">
        <v>540.52170000000001</v>
      </c>
      <c r="D227" s="2">
        <f>HYPERLINK("http://mcb-m6.bioreg.kyushu-u.ac.jp/M3/20110502/F51187/911/1", 39.86)</f>
        <v>39.86</v>
      </c>
      <c r="E227" s="2">
        <v>11.02</v>
      </c>
      <c r="F227" s="2">
        <v>2</v>
      </c>
      <c r="G227" s="2" t="s">
        <v>13</v>
      </c>
    </row>
    <row r="228" spans="1:9" x14ac:dyDescent="0.2">
      <c r="A228" s="2" t="s">
        <v>3714</v>
      </c>
      <c r="B228" s="2" t="s">
        <v>701</v>
      </c>
      <c r="C228" s="2">
        <v>490.99459999999999</v>
      </c>
      <c r="D228" s="2">
        <f>HYPERLINK("http://mcb-m6.bioreg.kyushu-u.ac.jp/M3/20110411/F50904/1104/1", 48.72)</f>
        <v>48.72</v>
      </c>
      <c r="E228" s="2">
        <v>7.99</v>
      </c>
      <c r="F228" s="2">
        <v>2</v>
      </c>
      <c r="G228" s="2" t="s">
        <v>9</v>
      </c>
    </row>
    <row r="229" spans="1:9" x14ac:dyDescent="0.2">
      <c r="A229" s="2" t="s">
        <v>4352</v>
      </c>
      <c r="B229" s="2" t="s">
        <v>2168</v>
      </c>
      <c r="C229" s="2">
        <v>530.97019999999998</v>
      </c>
      <c r="D229" s="2">
        <f>HYPERLINK("http://mcb-m6.bioreg.kyushu-u.ac.jp/M3/20110414/F50929/2514/1", 35.74)</f>
        <v>35.74</v>
      </c>
      <c r="E229" s="2">
        <v>13.03</v>
      </c>
      <c r="F229" s="2">
        <v>3</v>
      </c>
      <c r="G229" s="2" t="s">
        <v>11</v>
      </c>
      <c r="I229" s="2" t="s">
        <v>4893</v>
      </c>
    </row>
    <row r="230" spans="1:9" x14ac:dyDescent="0.2">
      <c r="A230" s="2" t="s">
        <v>4160</v>
      </c>
      <c r="B230" s="2" t="s">
        <v>1718</v>
      </c>
      <c r="C230" s="2">
        <v>747.5652</v>
      </c>
      <c r="D230" s="2">
        <f>HYPERLINK("http://mcb-m6.bioreg.kyushu-u.ac.jp/M3/20110411/F50913/2057/1", 36.21)</f>
        <v>36.21</v>
      </c>
      <c r="E230" s="2">
        <v>16.93</v>
      </c>
      <c r="F230" s="2">
        <v>2</v>
      </c>
      <c r="G230" s="2" t="s">
        <v>10</v>
      </c>
      <c r="I230" s="2" t="s">
        <v>4899</v>
      </c>
    </row>
    <row r="231" spans="1:9" x14ac:dyDescent="0.2">
      <c r="A231" s="2" t="s">
        <v>3652</v>
      </c>
      <c r="B231" s="2" t="s">
        <v>585</v>
      </c>
      <c r="C231" s="2">
        <v>898.55700000000002</v>
      </c>
      <c r="D231" s="2">
        <f>HYPERLINK("http://mcb-m6.bioreg.kyushu-u.ac.jp/M3/20110411/F50911/773/1", 45.51)</f>
        <v>45.51</v>
      </c>
      <c r="E231" s="2">
        <v>15.48</v>
      </c>
      <c r="F231" s="2">
        <v>1</v>
      </c>
      <c r="G231" s="2" t="s">
        <v>9</v>
      </c>
      <c r="H231" s="2" t="s">
        <v>4920</v>
      </c>
    </row>
    <row r="232" spans="1:9" x14ac:dyDescent="0.2">
      <c r="A232" s="2" t="s">
        <v>3652</v>
      </c>
      <c r="B232" s="2" t="s">
        <v>585</v>
      </c>
      <c r="C232" s="2">
        <v>898.64200000000005</v>
      </c>
      <c r="D232" s="2">
        <f>HYPERLINK("http://mcb-m6.bioreg.kyushu-u.ac.jp/M3/20110411/F50917/601/1", 46.36)</f>
        <v>46.36</v>
      </c>
      <c r="E232" s="2">
        <v>13.37</v>
      </c>
      <c r="F232" s="2">
        <v>1</v>
      </c>
      <c r="G232" s="2" t="s">
        <v>10</v>
      </c>
      <c r="H232" s="2" t="s">
        <v>4920</v>
      </c>
    </row>
    <row r="233" spans="1:9" x14ac:dyDescent="0.2">
      <c r="A233" s="2" t="s">
        <v>3490</v>
      </c>
      <c r="B233" s="2" t="s">
        <v>320</v>
      </c>
      <c r="C233" s="2">
        <v>693.51620000000003</v>
      </c>
      <c r="D233" s="2">
        <f>HYPERLINK("http://mcb-m6.bioreg.kyushu-u.ac.jp/M3/20110411/F50903/3303/1", 39.64)</f>
        <v>39.64</v>
      </c>
      <c r="E233" s="2">
        <v>24.97</v>
      </c>
      <c r="F233" s="2">
        <v>3</v>
      </c>
      <c r="G233" s="2" t="s">
        <v>9</v>
      </c>
      <c r="H233" s="2" t="s">
        <v>4917</v>
      </c>
      <c r="I233" s="2" t="s">
        <v>4918</v>
      </c>
    </row>
    <row r="234" spans="1:9" x14ac:dyDescent="0.2">
      <c r="A234" s="2" t="s">
        <v>3490</v>
      </c>
      <c r="B234" s="2" t="s">
        <v>320</v>
      </c>
      <c r="C234" s="2">
        <v>693.40719999999999</v>
      </c>
      <c r="D234" s="2">
        <f>HYPERLINK("http://mcb-m6.bioreg.kyushu-u.ac.jp/M3/20110411/F50920/2851/1", 39.55)</f>
        <v>39.549999999999997</v>
      </c>
      <c r="E234" s="2">
        <v>25.06</v>
      </c>
      <c r="F234" s="2">
        <v>3</v>
      </c>
      <c r="G234" s="2" t="s">
        <v>10</v>
      </c>
      <c r="H234" s="2" t="s">
        <v>4917</v>
      </c>
      <c r="I234" s="2" t="s">
        <v>4918</v>
      </c>
    </row>
    <row r="235" spans="1:9" x14ac:dyDescent="0.2">
      <c r="A235" s="2" t="s">
        <v>3490</v>
      </c>
      <c r="B235" s="2" t="s">
        <v>320</v>
      </c>
      <c r="C235" s="2">
        <v>693.38480000000004</v>
      </c>
      <c r="D235" s="2">
        <f>HYPERLINK("http://mcb-m6.bioreg.kyushu-u.ac.jp/M3/20110411/F50900/3081/1", 40.06)</f>
        <v>40.06</v>
      </c>
      <c r="E235" s="2">
        <v>24.98</v>
      </c>
      <c r="F235" s="2">
        <v>3</v>
      </c>
      <c r="G235" s="2" t="s">
        <v>10</v>
      </c>
      <c r="H235" s="2" t="s">
        <v>4917</v>
      </c>
      <c r="I235" s="2" t="s">
        <v>4918</v>
      </c>
    </row>
    <row r="236" spans="1:9" x14ac:dyDescent="0.2">
      <c r="A236" s="2" t="s">
        <v>3490</v>
      </c>
      <c r="B236" s="2" t="s">
        <v>320</v>
      </c>
      <c r="C236" s="2">
        <v>693.49519999999995</v>
      </c>
      <c r="D236" s="2">
        <f>HYPERLINK("http://mcb-m6.bioreg.kyushu-u.ac.jp/M3/20110411/F50902/3297/1", 40.08)</f>
        <v>40.08</v>
      </c>
      <c r="E236" s="2">
        <v>21.5</v>
      </c>
      <c r="F236" s="2">
        <v>3</v>
      </c>
      <c r="G236" s="2" t="s">
        <v>10</v>
      </c>
      <c r="H236" s="2" t="s">
        <v>4917</v>
      </c>
      <c r="I236" s="2" t="s">
        <v>4918</v>
      </c>
    </row>
    <row r="237" spans="1:9" x14ac:dyDescent="0.2">
      <c r="A237" s="2" t="s">
        <v>3490</v>
      </c>
      <c r="B237" s="2" t="s">
        <v>320</v>
      </c>
      <c r="C237" s="2">
        <v>693.29190000000006</v>
      </c>
      <c r="D237" s="2">
        <f>HYPERLINK("http://mcb-m6.bioreg.kyushu-u.ac.jp/M3/20110414/F50942/3599/1", 37.53)</f>
        <v>37.53</v>
      </c>
      <c r="E237" s="2">
        <v>25.39</v>
      </c>
      <c r="F237" s="2">
        <v>3</v>
      </c>
      <c r="G237" s="2" t="s">
        <v>11</v>
      </c>
      <c r="H237" s="2" t="s">
        <v>4917</v>
      </c>
      <c r="I237" s="2" t="s">
        <v>4918</v>
      </c>
    </row>
    <row r="238" spans="1:9" x14ac:dyDescent="0.2">
      <c r="A238" s="2" t="s">
        <v>3490</v>
      </c>
      <c r="B238" s="2" t="s">
        <v>320</v>
      </c>
      <c r="C238" s="2">
        <v>693.40779999999995</v>
      </c>
      <c r="D238" s="2">
        <f>HYPERLINK("http://mcb-m6.bioreg.kyushu-u.ac.jp/M3/20110502/F51175/2852/1", 36.29)</f>
        <v>36.29</v>
      </c>
      <c r="E238" s="2">
        <v>22.67</v>
      </c>
      <c r="F238" s="2">
        <v>3</v>
      </c>
      <c r="G238" s="2" t="s">
        <v>13</v>
      </c>
      <c r="H238" s="2" t="s">
        <v>4917</v>
      </c>
      <c r="I238" s="2" t="s">
        <v>4918</v>
      </c>
    </row>
    <row r="239" spans="1:9" x14ac:dyDescent="0.2">
      <c r="A239" s="2" t="s">
        <v>3490</v>
      </c>
      <c r="B239" s="2" t="s">
        <v>320</v>
      </c>
      <c r="C239" s="2">
        <v>693.29380000000003</v>
      </c>
      <c r="D239" s="2">
        <f>HYPERLINK("http://mcb-m6.bioreg.kyushu-u.ac.jp/M3/20110502/F51192/3067/1", 37.18)</f>
        <v>37.18</v>
      </c>
      <c r="E239" s="2">
        <v>20.94</v>
      </c>
      <c r="F239" s="2">
        <v>3</v>
      </c>
      <c r="G239" s="2" t="s">
        <v>14</v>
      </c>
      <c r="H239" s="2" t="s">
        <v>4917</v>
      </c>
      <c r="I239" s="2" t="s">
        <v>4918</v>
      </c>
    </row>
    <row r="240" spans="1:9" x14ac:dyDescent="0.2">
      <c r="A240" s="2" t="s">
        <v>4196</v>
      </c>
      <c r="B240" s="2" t="s">
        <v>1781</v>
      </c>
      <c r="C240" s="2">
        <v>473.1071</v>
      </c>
      <c r="D240" s="2">
        <f>HYPERLINK("http://mcb-m6.bioreg.kyushu-u.ac.jp/M3/20110411/F50898/1405/1", 38.92)</f>
        <v>38.92</v>
      </c>
      <c r="E240" s="2">
        <v>12.97</v>
      </c>
      <c r="F240" s="2">
        <v>2</v>
      </c>
      <c r="G240" s="2" t="s">
        <v>10</v>
      </c>
      <c r="H240" s="2" t="s">
        <v>4904</v>
      </c>
    </row>
    <row r="241" spans="1:9" x14ac:dyDescent="0.2">
      <c r="A241" s="2" t="s">
        <v>4592</v>
      </c>
      <c r="B241" s="2" t="s">
        <v>2667</v>
      </c>
      <c r="C241" s="2">
        <v>487.25659999999999</v>
      </c>
      <c r="D241" s="2">
        <f>HYPERLINK("http://mcb-m6.bioreg.kyushu-u.ac.jp/M3/20110414/F50950/829/2", 50.3)</f>
        <v>50.3</v>
      </c>
      <c r="E241" s="2">
        <v>9.75</v>
      </c>
      <c r="F241" s="2">
        <v>2</v>
      </c>
      <c r="G241" s="2" t="s">
        <v>12</v>
      </c>
    </row>
    <row r="242" spans="1:9" x14ac:dyDescent="0.2">
      <c r="A242" s="2" t="s">
        <v>4161</v>
      </c>
      <c r="B242" s="2" t="s">
        <v>1719</v>
      </c>
      <c r="C242" s="2">
        <v>529.08219999999994</v>
      </c>
      <c r="D242" s="2">
        <f>HYPERLINK("http://mcb-m6.bioreg.kyushu-u.ac.jp/M3/20110411/F50913/1127/1", 36.26)</f>
        <v>36.26</v>
      </c>
      <c r="E242" s="2">
        <v>12.29</v>
      </c>
      <c r="F242" s="2">
        <v>2</v>
      </c>
      <c r="G242" s="2" t="s">
        <v>10</v>
      </c>
    </row>
    <row r="243" spans="1:9" x14ac:dyDescent="0.2">
      <c r="A243" s="2" t="s">
        <v>4740</v>
      </c>
      <c r="B243" s="2" t="s">
        <v>2964</v>
      </c>
      <c r="C243" s="2">
        <v>480.90109999999999</v>
      </c>
      <c r="D243" s="2">
        <f>HYPERLINK("http://mcb-m6.bioreg.kyushu-u.ac.jp/M3/20110502/F51176/1384/1", 35.19)</f>
        <v>35.19</v>
      </c>
      <c r="E243" s="2">
        <v>8.76</v>
      </c>
      <c r="F243" s="2">
        <v>2</v>
      </c>
      <c r="G243" s="2" t="s">
        <v>14</v>
      </c>
    </row>
    <row r="244" spans="1:9" x14ac:dyDescent="0.2">
      <c r="A244" s="2" t="s">
        <v>3367</v>
      </c>
      <c r="B244" s="2" t="s">
        <v>159</v>
      </c>
      <c r="C244" s="2">
        <v>526.42819999999995</v>
      </c>
      <c r="D244" s="2">
        <f>HYPERLINK("http://mcb-m6.bioreg.kyushu-u.ac.jp/M3/20110411/F50903/2297/1", 36.93)</f>
        <v>36.93</v>
      </c>
      <c r="E244" s="2">
        <v>21.43</v>
      </c>
      <c r="F244" s="2">
        <v>3</v>
      </c>
      <c r="G244" s="2" t="s">
        <v>9</v>
      </c>
    </row>
    <row r="245" spans="1:9" x14ac:dyDescent="0.2">
      <c r="A245" s="2" t="s">
        <v>4646</v>
      </c>
      <c r="B245" s="2" t="s">
        <v>2803</v>
      </c>
      <c r="C245" s="2">
        <v>557.61220000000003</v>
      </c>
      <c r="D245" s="2">
        <f>HYPERLINK("http://mcb-m6.bioreg.kyushu-u.ac.jp/M3/20110502/F51174/1328/1", 36.15)</f>
        <v>36.15</v>
      </c>
      <c r="E245" s="2">
        <v>10.67</v>
      </c>
      <c r="F245" s="2">
        <v>2</v>
      </c>
      <c r="G245" s="2" t="s">
        <v>13</v>
      </c>
    </row>
    <row r="246" spans="1:9" x14ac:dyDescent="0.2">
      <c r="A246" s="2" t="s">
        <v>4818</v>
      </c>
      <c r="B246" s="2" t="s">
        <v>3070</v>
      </c>
      <c r="C246" s="2">
        <v>695.54909999999995</v>
      </c>
      <c r="D246" s="2">
        <f>HYPERLINK("http://mcb-m6.bioreg.kyushu-u.ac.jp/M3/20110502/F51193/1607/1", 41.72)</f>
        <v>41.72</v>
      </c>
      <c r="E246" s="2">
        <v>8.99</v>
      </c>
      <c r="F246" s="2">
        <v>2</v>
      </c>
      <c r="G246" s="2" t="s">
        <v>14</v>
      </c>
      <c r="I246" s="2" t="s">
        <v>4898</v>
      </c>
    </row>
    <row r="247" spans="1:9" x14ac:dyDescent="0.2">
      <c r="A247" s="2" t="s">
        <v>4198</v>
      </c>
      <c r="B247" s="2" t="s">
        <v>1784</v>
      </c>
      <c r="C247" s="2">
        <v>1106.42</v>
      </c>
      <c r="D247" s="2">
        <f>HYPERLINK("http://mcb-m6.bioreg.kyushu-u.ac.jp/M3/20110411/F50898/3114/1", 39.06)</f>
        <v>39.06</v>
      </c>
      <c r="E247" s="2">
        <v>8.64</v>
      </c>
      <c r="F247" s="2">
        <v>2</v>
      </c>
      <c r="G247" s="2" t="s">
        <v>10</v>
      </c>
    </row>
    <row r="248" spans="1:9" x14ac:dyDescent="0.2">
      <c r="A248" s="2" t="s">
        <v>4841</v>
      </c>
      <c r="B248" s="2" t="s">
        <v>3108</v>
      </c>
      <c r="C248" s="2">
        <v>532.85670000000005</v>
      </c>
      <c r="D248" s="2">
        <f>HYPERLINK("http://mcb-m6.bioreg.kyushu-u.ac.jp/M3/20110502/F51179/752/1", 46.01)</f>
        <v>46.01</v>
      </c>
      <c r="E248" s="2">
        <v>12.56</v>
      </c>
      <c r="F248" s="2">
        <v>2</v>
      </c>
      <c r="G248" s="2" t="s">
        <v>14</v>
      </c>
      <c r="H248" s="2" t="s">
        <v>4908</v>
      </c>
    </row>
    <row r="249" spans="1:9" x14ac:dyDescent="0.2">
      <c r="A249" s="2" t="s">
        <v>3294</v>
      </c>
      <c r="B249" s="2" t="s">
        <v>74</v>
      </c>
      <c r="C249" s="2">
        <v>547.35820000000001</v>
      </c>
      <c r="D249" s="2">
        <f>HYPERLINK("http://mcb-m6.bioreg.kyushu-u.ac.jp/M3/20110411/F50916/972/1", 35.71)</f>
        <v>35.71</v>
      </c>
      <c r="E249" s="2">
        <v>9</v>
      </c>
      <c r="F249" s="2">
        <v>2</v>
      </c>
      <c r="G249" s="2" t="s">
        <v>9</v>
      </c>
    </row>
    <row r="250" spans="1:9" x14ac:dyDescent="0.2">
      <c r="A250" s="2" t="s">
        <v>4637</v>
      </c>
      <c r="B250" s="2" t="s">
        <v>2792</v>
      </c>
      <c r="C250" s="2">
        <v>598.54909999999995</v>
      </c>
      <c r="D250" s="2">
        <f>HYPERLINK("http://mcb-m6.bioreg.kyushu-u.ac.jp/M3/20110502/F51174/1488/1", 35.55)</f>
        <v>35.549999999999997</v>
      </c>
      <c r="E250" s="2">
        <v>17.61</v>
      </c>
      <c r="F250" s="2">
        <v>2</v>
      </c>
      <c r="G250" s="2" t="s">
        <v>13</v>
      </c>
      <c r="I250" s="2" t="s">
        <v>4890</v>
      </c>
    </row>
    <row r="251" spans="1:9" x14ac:dyDescent="0.2">
      <c r="A251" s="2" t="s">
        <v>4366</v>
      </c>
      <c r="B251" s="2" t="s">
        <v>2193</v>
      </c>
      <c r="C251" s="2">
        <v>594.22360000000003</v>
      </c>
      <c r="D251" s="2">
        <f>HYPERLINK("http://mcb-m6.bioreg.kyushu-u.ac.jp/M3/20110414/F50957/944/1", 36.44)</f>
        <v>36.44</v>
      </c>
      <c r="E251" s="2">
        <v>26.08</v>
      </c>
      <c r="F251" s="2">
        <v>2</v>
      </c>
      <c r="G251" s="2" t="s">
        <v>11</v>
      </c>
    </row>
    <row r="252" spans="1:9" x14ac:dyDescent="0.2">
      <c r="A252" s="2" t="s">
        <v>4441</v>
      </c>
      <c r="B252" s="2" t="s">
        <v>2334</v>
      </c>
      <c r="C252" s="2">
        <v>997.48</v>
      </c>
      <c r="D252" s="2">
        <f>HYPERLINK("http://mcb-m6.bioreg.kyushu-u.ac.jp/M3/20110414/F50942/834/1", 47.41)</f>
        <v>47.41</v>
      </c>
      <c r="E252" s="2">
        <v>4.18</v>
      </c>
      <c r="F252" s="2">
        <v>1</v>
      </c>
      <c r="G252" s="2" t="s">
        <v>11</v>
      </c>
      <c r="I252" s="2" t="s">
        <v>4893</v>
      </c>
    </row>
    <row r="253" spans="1:9" x14ac:dyDescent="0.2">
      <c r="A253" s="2" t="s">
        <v>4441</v>
      </c>
      <c r="B253" s="2" t="s">
        <v>2334</v>
      </c>
      <c r="C253" s="2">
        <v>998.29499999999996</v>
      </c>
      <c r="D253" s="2">
        <f>HYPERLINK("http://mcb-m6.bioreg.kyushu-u.ac.jp/M3/20110502/F51188/847/1", 47.32)</f>
        <v>47.32</v>
      </c>
      <c r="E253" s="2">
        <v>4.18</v>
      </c>
      <c r="F253" s="2">
        <v>1</v>
      </c>
      <c r="G253" s="2" t="s">
        <v>13</v>
      </c>
      <c r="I253" s="2" t="s">
        <v>4893</v>
      </c>
    </row>
    <row r="254" spans="1:9" x14ac:dyDescent="0.2">
      <c r="A254" s="2" t="s">
        <v>4721</v>
      </c>
      <c r="B254" s="2" t="s">
        <v>2916</v>
      </c>
      <c r="C254" s="2">
        <v>574.50670000000002</v>
      </c>
      <c r="D254" s="2">
        <f>HYPERLINK("http://mcb-m6.bioreg.kyushu-u.ac.jp/M3/20110502/F51170/1304/1", 50.51)</f>
        <v>50.51</v>
      </c>
      <c r="E254" s="2">
        <v>34.42</v>
      </c>
      <c r="F254" s="2">
        <v>2</v>
      </c>
      <c r="G254" s="2" t="s">
        <v>13</v>
      </c>
    </row>
    <row r="255" spans="1:9" x14ac:dyDescent="0.2">
      <c r="A255" s="2" t="s">
        <v>4762</v>
      </c>
      <c r="B255" s="2" t="s">
        <v>2990</v>
      </c>
      <c r="C255" s="2">
        <v>805.79719999999998</v>
      </c>
      <c r="D255" s="2">
        <f>HYPERLINK("http://mcb-m6.bioreg.kyushu-u.ac.jp/M3/20110502/F51182/2326/1", 36.56)</f>
        <v>36.56</v>
      </c>
      <c r="E255" s="2">
        <v>13.62</v>
      </c>
      <c r="F255" s="2">
        <v>2</v>
      </c>
      <c r="G255" s="2" t="s">
        <v>14</v>
      </c>
    </row>
    <row r="256" spans="1:9" x14ac:dyDescent="0.2">
      <c r="A256" s="2" t="s">
        <v>3353</v>
      </c>
      <c r="B256" s="2" t="s">
        <v>144</v>
      </c>
      <c r="C256" s="2">
        <v>570.03970000000004</v>
      </c>
      <c r="D256" s="2">
        <f>HYPERLINK("http://mcb-m6.bioreg.kyushu-u.ac.jp/M3/20110411/F50904/1334/1", 36.7)</f>
        <v>36.700000000000003</v>
      </c>
      <c r="E256" s="2">
        <v>18.72</v>
      </c>
      <c r="F256" s="2">
        <v>2</v>
      </c>
      <c r="G256" s="2" t="s">
        <v>9</v>
      </c>
    </row>
    <row r="257" spans="1:9" x14ac:dyDescent="0.2">
      <c r="A257" s="2" t="s">
        <v>4136</v>
      </c>
      <c r="B257" s="2" t="s">
        <v>1684</v>
      </c>
      <c r="C257" s="2">
        <v>548.77869999999996</v>
      </c>
      <c r="D257" s="2">
        <f>HYPERLINK("http://mcb-m6.bioreg.kyushu-u.ac.jp/M3/20110411/F50921/1002/1", 35.09)</f>
        <v>35.090000000000003</v>
      </c>
      <c r="E257" s="2">
        <v>8.01</v>
      </c>
      <c r="F257" s="2">
        <v>2</v>
      </c>
      <c r="G257" s="2" t="s">
        <v>10</v>
      </c>
    </row>
    <row r="258" spans="1:9" x14ac:dyDescent="0.2">
      <c r="A258" s="2" t="s">
        <v>3251</v>
      </c>
      <c r="B258" s="2" t="s">
        <v>31</v>
      </c>
      <c r="C258" s="2">
        <v>474.3691</v>
      </c>
      <c r="D258" s="2">
        <f>HYPERLINK("http://mcb-m6.bioreg.kyushu-u.ac.jp/M3/20110411/F50919/611/1", 35.21)</f>
        <v>35.21</v>
      </c>
      <c r="E258" s="2">
        <v>15.26</v>
      </c>
      <c r="F258" s="2">
        <v>2</v>
      </c>
      <c r="G258" s="2" t="s">
        <v>9</v>
      </c>
    </row>
    <row r="259" spans="1:9" x14ac:dyDescent="0.2">
      <c r="A259" s="2" t="s">
        <v>4808</v>
      </c>
      <c r="B259" s="2" t="s">
        <v>3055</v>
      </c>
      <c r="C259" s="2">
        <v>611.51670000000001</v>
      </c>
      <c r="D259" s="2">
        <f>HYPERLINK("http://mcb-m6.bioreg.kyushu-u.ac.jp/M3/20110502/F51182/1181/1", 40.59)</f>
        <v>40.590000000000003</v>
      </c>
      <c r="E259" s="2">
        <v>25.87</v>
      </c>
      <c r="F259" s="2">
        <v>2</v>
      </c>
      <c r="G259" s="2" t="s">
        <v>14</v>
      </c>
    </row>
    <row r="260" spans="1:9" x14ac:dyDescent="0.2">
      <c r="A260" s="2" t="s">
        <v>4687</v>
      </c>
      <c r="B260" s="2" t="s">
        <v>2859</v>
      </c>
      <c r="C260" s="2">
        <v>735.23170000000005</v>
      </c>
      <c r="D260" s="2">
        <f>HYPERLINK("http://mcb-m6.bioreg.kyushu-u.ac.jp/M3/20110502/F51172/2057/1", 39.79)</f>
        <v>39.79</v>
      </c>
      <c r="E260" s="2">
        <v>8.3000000000000007</v>
      </c>
      <c r="F260" s="2">
        <v>2</v>
      </c>
      <c r="G260" s="2" t="s">
        <v>13</v>
      </c>
    </row>
    <row r="261" spans="1:9" x14ac:dyDescent="0.2">
      <c r="A261" s="2" t="s">
        <v>4649</v>
      </c>
      <c r="B261" s="2" t="s">
        <v>2806</v>
      </c>
      <c r="C261" s="2">
        <v>475.94150000000002</v>
      </c>
      <c r="D261" s="2">
        <f>HYPERLINK("http://mcb-m6.bioreg.kyushu-u.ac.jp/M3/20110502/F51173/1636/1", 36.22)</f>
        <v>36.22</v>
      </c>
      <c r="E261" s="2">
        <v>16.45</v>
      </c>
      <c r="F261" s="2">
        <v>3</v>
      </c>
      <c r="G261" s="2" t="s">
        <v>13</v>
      </c>
      <c r="I261" s="2" t="s">
        <v>4918</v>
      </c>
    </row>
    <row r="262" spans="1:9" x14ac:dyDescent="0.2">
      <c r="A262" s="2" t="s">
        <v>4720</v>
      </c>
      <c r="B262" s="2" t="s">
        <v>2915</v>
      </c>
      <c r="C262" s="2">
        <v>488.0711</v>
      </c>
      <c r="D262" s="2">
        <f>HYPERLINK("http://mcb-m6.bioreg.kyushu-u.ac.jp/M3/20110502/F51175/948/1", 50.41)</f>
        <v>50.41</v>
      </c>
      <c r="E262" s="2">
        <v>8.2200000000000006</v>
      </c>
      <c r="F262" s="2">
        <v>2</v>
      </c>
      <c r="G262" s="2" t="s">
        <v>13</v>
      </c>
    </row>
    <row r="263" spans="1:9" x14ac:dyDescent="0.2">
      <c r="A263" s="2" t="s">
        <v>4720</v>
      </c>
      <c r="B263" s="2" t="s">
        <v>2915</v>
      </c>
      <c r="C263" s="2">
        <v>487.59309999999999</v>
      </c>
      <c r="D263" s="2">
        <f>HYPERLINK("http://mcb-m6.bioreg.kyushu-u.ac.jp/M3/20110502/F51177/594/1", 46.08)</f>
        <v>46.08</v>
      </c>
      <c r="E263" s="2">
        <v>9.76</v>
      </c>
      <c r="F263" s="2">
        <v>2</v>
      </c>
      <c r="G263" s="2" t="s">
        <v>14</v>
      </c>
    </row>
    <row r="264" spans="1:9" x14ac:dyDescent="0.2">
      <c r="A264" s="2" t="s">
        <v>4685</v>
      </c>
      <c r="B264" s="2" t="s">
        <v>2856</v>
      </c>
      <c r="C264" s="2">
        <v>624.99270000000001</v>
      </c>
      <c r="D264" s="2">
        <f>HYPERLINK("http://mcb-m6.bioreg.kyushu-u.ac.jp/M3/20110502/F51189/1273/1", 39.46)</f>
        <v>39.46</v>
      </c>
      <c r="E264" s="2">
        <v>22.31</v>
      </c>
      <c r="F264" s="2">
        <v>2</v>
      </c>
      <c r="G264" s="2" t="s">
        <v>13</v>
      </c>
    </row>
    <row r="265" spans="1:9" x14ac:dyDescent="0.2">
      <c r="A265" s="2" t="s">
        <v>4769</v>
      </c>
      <c r="B265" s="2" t="s">
        <v>2998</v>
      </c>
      <c r="C265" s="2">
        <v>735.83219999999994</v>
      </c>
      <c r="D265" s="2">
        <f>HYPERLINK("http://mcb-m6.bioreg.kyushu-u.ac.jp/M3/20110502/F51183/1873/1", 37.08)</f>
        <v>37.08</v>
      </c>
      <c r="E265" s="2">
        <v>15.77</v>
      </c>
      <c r="F265" s="2">
        <v>2</v>
      </c>
      <c r="G265" s="2" t="s">
        <v>14</v>
      </c>
    </row>
    <row r="266" spans="1:9" x14ac:dyDescent="0.2">
      <c r="A266" s="2" t="s">
        <v>4354</v>
      </c>
      <c r="B266" s="2" t="s">
        <v>2171</v>
      </c>
      <c r="C266" s="2">
        <v>571.44460000000004</v>
      </c>
      <c r="D266" s="2">
        <f>HYPERLINK("http://mcb-m6.bioreg.kyushu-u.ac.jp/M3/20110414/F50956/929/1", 35.82)</f>
        <v>35.82</v>
      </c>
      <c r="E266" s="2">
        <v>17.510000000000002</v>
      </c>
      <c r="F266" s="2">
        <v>2</v>
      </c>
      <c r="G266" s="2" t="s">
        <v>11</v>
      </c>
    </row>
    <row r="267" spans="1:9" x14ac:dyDescent="0.2">
      <c r="A267" s="2" t="s">
        <v>4569</v>
      </c>
      <c r="B267" s="2" t="s">
        <v>2613</v>
      </c>
      <c r="C267" s="2">
        <v>957.02809999999999</v>
      </c>
      <c r="D267" s="2">
        <f>HYPERLINK("http://mcb-m6.bioreg.kyushu-u.ac.jp/M3/20110414/F50950/3322/1", 42.98)</f>
        <v>42.98</v>
      </c>
      <c r="E267" s="2">
        <v>23.94</v>
      </c>
      <c r="F267" s="2">
        <v>2</v>
      </c>
      <c r="G267" s="2" t="s">
        <v>12</v>
      </c>
      <c r="I267" s="2" t="s">
        <v>4970</v>
      </c>
    </row>
    <row r="268" spans="1:9" x14ac:dyDescent="0.2">
      <c r="A268" s="2" t="s">
        <v>4739</v>
      </c>
      <c r="B268" s="2" t="s">
        <v>2963</v>
      </c>
      <c r="C268" s="2">
        <v>601.54359999999997</v>
      </c>
      <c r="D268" s="2">
        <f>HYPERLINK("http://mcb-m6.bioreg.kyushu-u.ac.jp/M3/20110502/F51186/1244/1", 35.18)</f>
        <v>35.18</v>
      </c>
      <c r="E268" s="2">
        <v>13.81</v>
      </c>
      <c r="F268" s="2">
        <v>2</v>
      </c>
      <c r="G268" s="2" t="s">
        <v>14</v>
      </c>
    </row>
    <row r="269" spans="1:9" x14ac:dyDescent="0.2">
      <c r="A269" s="2" t="s">
        <v>3279</v>
      </c>
      <c r="B269" s="2" t="s">
        <v>59</v>
      </c>
      <c r="C269" s="2">
        <v>749.59969999999998</v>
      </c>
      <c r="D269" s="2">
        <f>HYPERLINK("http://mcb-m6.bioreg.kyushu-u.ac.jp/M3/20110411/F50911/2139/1", 35.56)</f>
        <v>35.56</v>
      </c>
      <c r="E269" s="2">
        <v>12.05</v>
      </c>
      <c r="F269" s="2">
        <v>2</v>
      </c>
      <c r="G269" s="2" t="s">
        <v>9</v>
      </c>
    </row>
    <row r="270" spans="1:9" x14ac:dyDescent="0.2">
      <c r="A270" s="2" t="s">
        <v>4678</v>
      </c>
      <c r="B270" s="2" t="s">
        <v>2849</v>
      </c>
      <c r="C270" s="2">
        <v>458.30009999999999</v>
      </c>
      <c r="D270" s="2">
        <f>HYPERLINK("http://mcb-m6.bioreg.kyushu-u.ac.jp/M3/20110502/F51189/582/1", 38.99)</f>
        <v>38.99</v>
      </c>
      <c r="E270" s="2">
        <v>12.76</v>
      </c>
      <c r="F270" s="2">
        <v>2</v>
      </c>
      <c r="G270" s="2" t="s">
        <v>13</v>
      </c>
    </row>
    <row r="271" spans="1:9" x14ac:dyDescent="0.2">
      <c r="A271" s="2" t="s">
        <v>3690</v>
      </c>
      <c r="B271" s="2" t="s">
        <v>658</v>
      </c>
      <c r="C271" s="2">
        <v>982.95259999999996</v>
      </c>
      <c r="D271" s="2">
        <f>HYPERLINK("http://mcb-m6.bioreg.kyushu-u.ac.jp/M3/20110411/F50891/3370/1", 47.49)</f>
        <v>47.49</v>
      </c>
      <c r="E271" s="2">
        <v>38.15</v>
      </c>
      <c r="F271" s="2">
        <v>2</v>
      </c>
      <c r="G271" s="2" t="s">
        <v>9</v>
      </c>
    </row>
    <row r="272" spans="1:9" x14ac:dyDescent="0.2">
      <c r="A272" s="2" t="s">
        <v>3690</v>
      </c>
      <c r="B272" s="2" t="s">
        <v>658</v>
      </c>
      <c r="C272" s="2">
        <v>983.17909999999995</v>
      </c>
      <c r="D272" s="2">
        <f>HYPERLINK("http://mcb-m6.bioreg.kyushu-u.ac.jp/M3/20110502/F51177/3046/1", 35.14)</f>
        <v>35.14</v>
      </c>
      <c r="E272" s="2">
        <v>19.62</v>
      </c>
      <c r="F272" s="2">
        <v>2</v>
      </c>
      <c r="G272" s="2" t="s">
        <v>14</v>
      </c>
    </row>
    <row r="273" spans="1:9" x14ac:dyDescent="0.2">
      <c r="A273" s="2" t="s">
        <v>4536</v>
      </c>
      <c r="B273" s="2" t="s">
        <v>2563</v>
      </c>
      <c r="C273" s="2">
        <v>623.27020000000005</v>
      </c>
      <c r="D273" s="2">
        <f>HYPERLINK("http://mcb-m6.bioreg.kyushu-u.ac.jp/M3/20110414/F50959/3198/1", 37.98)</f>
        <v>37.979999999999997</v>
      </c>
      <c r="E273" s="2">
        <v>26.25</v>
      </c>
      <c r="F273" s="2">
        <v>3</v>
      </c>
      <c r="G273" s="2" t="s">
        <v>12</v>
      </c>
      <c r="H273" s="2" t="s">
        <v>4891</v>
      </c>
    </row>
    <row r="274" spans="1:9" x14ac:dyDescent="0.2">
      <c r="A274" s="2" t="s">
        <v>4705</v>
      </c>
      <c r="B274" s="2" t="s">
        <v>2886</v>
      </c>
      <c r="C274" s="2">
        <v>600.51260000000002</v>
      </c>
      <c r="D274" s="2">
        <f>HYPERLINK("http://mcb-m6.bioreg.kyushu-u.ac.jp/M3/20110502/F51187/1144/1", 43.82)</f>
        <v>43.82</v>
      </c>
      <c r="E274" s="2">
        <v>26.88</v>
      </c>
      <c r="F274" s="2">
        <v>2</v>
      </c>
      <c r="G274" s="2" t="s">
        <v>13</v>
      </c>
      <c r="H274" s="2" t="s">
        <v>4920</v>
      </c>
    </row>
    <row r="275" spans="1:9" x14ac:dyDescent="0.2">
      <c r="A275" s="2" t="s">
        <v>4803</v>
      </c>
      <c r="B275" s="2" t="s">
        <v>3044</v>
      </c>
      <c r="C275" s="2">
        <v>478.08010000000002</v>
      </c>
      <c r="D275" s="2">
        <f>HYPERLINK("http://mcb-m6.bioreg.kyushu-u.ac.jp/M3/20110502/F51193/619/1", 39.71)</f>
        <v>39.71</v>
      </c>
      <c r="E275" s="2">
        <v>11.71</v>
      </c>
      <c r="F275" s="2">
        <v>2</v>
      </c>
      <c r="G275" s="2" t="s">
        <v>14</v>
      </c>
    </row>
    <row r="276" spans="1:9" x14ac:dyDescent="0.2">
      <c r="A276" s="2" t="s">
        <v>4741</v>
      </c>
      <c r="B276" s="2" t="s">
        <v>2965</v>
      </c>
      <c r="C276" s="2">
        <v>517.14670000000001</v>
      </c>
      <c r="D276" s="2">
        <f>HYPERLINK("http://mcb-m6.bioreg.kyushu-u.ac.jp/M3/20110502/F51177/713/1", 35.3)</f>
        <v>35.299999999999997</v>
      </c>
      <c r="E276" s="2">
        <v>14.14</v>
      </c>
      <c r="F276" s="2">
        <v>2</v>
      </c>
      <c r="G276" s="2" t="s">
        <v>14</v>
      </c>
      <c r="I276" s="2" t="s">
        <v>4903</v>
      </c>
    </row>
    <row r="277" spans="1:9" x14ac:dyDescent="0.2">
      <c r="A277" s="2" t="s">
        <v>4751</v>
      </c>
      <c r="B277" s="2" t="s">
        <v>2977</v>
      </c>
      <c r="C277" s="2">
        <v>768.62919999999997</v>
      </c>
      <c r="D277" s="2">
        <f>HYPERLINK("http://mcb-m6.bioreg.kyushu-u.ac.jp/M3/20110502/F51192/1964/1", 35.8)</f>
        <v>35.799999999999997</v>
      </c>
      <c r="E277" s="2">
        <v>11.02</v>
      </c>
      <c r="F277" s="2">
        <v>2</v>
      </c>
      <c r="G277" s="2" t="s">
        <v>14</v>
      </c>
    </row>
    <row r="278" spans="1:9" x14ac:dyDescent="0.2">
      <c r="A278" s="2" t="s">
        <v>4751</v>
      </c>
      <c r="B278" s="2" t="s">
        <v>3021</v>
      </c>
      <c r="C278" s="2">
        <v>643.53470000000004</v>
      </c>
      <c r="D278" s="2">
        <f>HYPERLINK("http://mcb-m6.bioreg.kyushu-u.ac.jp/M3/20110502/F51192/1269/1", 38.35)</f>
        <v>38.35</v>
      </c>
      <c r="E278" s="2">
        <v>12.25</v>
      </c>
      <c r="F278" s="2">
        <v>2</v>
      </c>
      <c r="G278" s="2" t="s">
        <v>14</v>
      </c>
    </row>
    <row r="279" spans="1:9" x14ac:dyDescent="0.2">
      <c r="A279" s="2" t="s">
        <v>4231</v>
      </c>
      <c r="B279" s="2" t="s">
        <v>1843</v>
      </c>
      <c r="C279" s="2">
        <v>698.06709999999998</v>
      </c>
      <c r="D279" s="2">
        <f>HYPERLINK("http://mcb-m6.bioreg.kyushu-u.ac.jp/M3/20110411/F50899/2069/1", 43.04)</f>
        <v>43.04</v>
      </c>
      <c r="E279" s="2">
        <v>16.440000000000001</v>
      </c>
      <c r="F279" s="2">
        <v>2</v>
      </c>
      <c r="G279" s="2" t="s">
        <v>10</v>
      </c>
    </row>
    <row r="280" spans="1:9" x14ac:dyDescent="0.2">
      <c r="A280" s="2" t="s">
        <v>4231</v>
      </c>
      <c r="B280" s="2" t="s">
        <v>1843</v>
      </c>
      <c r="C280" s="2">
        <v>698.37869999999998</v>
      </c>
      <c r="D280" s="2">
        <f>HYPERLINK("http://mcb-m6.bioreg.kyushu-u.ac.jp/M3/20110414/F50945/1784/1", 42.6)</f>
        <v>42.6</v>
      </c>
      <c r="E280" s="2">
        <v>20.77</v>
      </c>
      <c r="F280" s="2">
        <v>2</v>
      </c>
      <c r="G280" s="2" t="s">
        <v>11</v>
      </c>
    </row>
    <row r="281" spans="1:9" x14ac:dyDescent="0.2">
      <c r="A281" s="2" t="s">
        <v>4228</v>
      </c>
      <c r="B281" s="2" t="s">
        <v>1838</v>
      </c>
      <c r="C281" s="2">
        <v>648.19619999999998</v>
      </c>
      <c r="D281" s="2">
        <f>HYPERLINK("http://mcb-m6.bioreg.kyushu-u.ac.jp/M3/20110411/F50898/1892/1", 42.6)</f>
        <v>42.6</v>
      </c>
      <c r="E281" s="2">
        <v>17.93</v>
      </c>
      <c r="F281" s="2">
        <v>2</v>
      </c>
      <c r="G281" s="2" t="s">
        <v>10</v>
      </c>
    </row>
    <row r="282" spans="1:9" x14ac:dyDescent="0.2">
      <c r="A282" s="2" t="s">
        <v>4228</v>
      </c>
      <c r="B282" s="2" t="s">
        <v>1838</v>
      </c>
      <c r="C282" s="2">
        <v>648.02009999999996</v>
      </c>
      <c r="D282" s="2">
        <f>HYPERLINK("http://mcb-m6.bioreg.kyushu-u.ac.jp/M3/20110502/F51178/1695/1", 37.08)</f>
        <v>37.08</v>
      </c>
      <c r="E282" s="2">
        <v>12.18</v>
      </c>
      <c r="F282" s="2">
        <v>2</v>
      </c>
      <c r="G282" s="2" t="s">
        <v>14</v>
      </c>
    </row>
    <row r="283" spans="1:9" x14ac:dyDescent="0.2">
      <c r="A283" s="2" t="s">
        <v>3423</v>
      </c>
      <c r="B283" s="2" t="s">
        <v>227</v>
      </c>
      <c r="C283" s="2">
        <v>498.68110000000001</v>
      </c>
      <c r="D283" s="2">
        <f>HYPERLINK("http://mcb-m6.bioreg.kyushu-u.ac.jp/M3/20110411/F50893/1286/1", 38.15)</f>
        <v>38.15</v>
      </c>
      <c r="E283" s="2">
        <v>12.83</v>
      </c>
      <c r="F283" s="2">
        <v>2</v>
      </c>
      <c r="G283" s="2" t="s">
        <v>9</v>
      </c>
    </row>
    <row r="284" spans="1:9" x14ac:dyDescent="0.2">
      <c r="A284" s="2" t="s">
        <v>4848</v>
      </c>
      <c r="B284" s="2" t="s">
        <v>3124</v>
      </c>
      <c r="C284" s="2">
        <v>495.66609999999997</v>
      </c>
      <c r="D284" s="2">
        <f>HYPERLINK("http://mcb-m6.bioreg.kyushu-u.ac.jp/M3/20110502/F51183/716/1", 47.85)</f>
        <v>47.85</v>
      </c>
      <c r="E284" s="2">
        <v>7.56</v>
      </c>
      <c r="F284" s="2">
        <v>2</v>
      </c>
      <c r="G284" s="2" t="s">
        <v>14</v>
      </c>
    </row>
    <row r="285" spans="1:9" x14ac:dyDescent="0.2">
      <c r="A285" s="2" t="s">
        <v>4206</v>
      </c>
      <c r="B285" s="2" t="s">
        <v>1798</v>
      </c>
      <c r="C285" s="2">
        <v>738.71669999999995</v>
      </c>
      <c r="D285" s="2">
        <f>HYPERLINK("http://mcb-m6.bioreg.kyushu-u.ac.jp/M3/20110411/F50901/2027/1", 39.68)</f>
        <v>39.68</v>
      </c>
      <c r="E285" s="2">
        <v>12.79</v>
      </c>
      <c r="F285" s="2">
        <v>2</v>
      </c>
      <c r="G285" s="2" t="s">
        <v>10</v>
      </c>
      <c r="H285" s="2" t="s">
        <v>4900</v>
      </c>
    </row>
    <row r="286" spans="1:9" x14ac:dyDescent="0.2">
      <c r="A286" s="2" t="s">
        <v>4772</v>
      </c>
      <c r="B286" s="2" t="s">
        <v>3001</v>
      </c>
      <c r="C286" s="2">
        <v>763.10919999999999</v>
      </c>
      <c r="D286" s="2">
        <f>HYPERLINK("http://mcb-m6.bioreg.kyushu-u.ac.jp/M3/20110502/F51178/2220/1", 37.22)</f>
        <v>37.22</v>
      </c>
      <c r="E286" s="2">
        <v>11.59</v>
      </c>
      <c r="F286" s="2">
        <v>2</v>
      </c>
      <c r="G286" s="2" t="s">
        <v>14</v>
      </c>
      <c r="H286" s="2" t="s">
        <v>4920</v>
      </c>
    </row>
    <row r="287" spans="1:9" x14ac:dyDescent="0.2">
      <c r="A287" s="2" t="s">
        <v>4772</v>
      </c>
      <c r="B287" s="2" t="s">
        <v>3001</v>
      </c>
      <c r="C287" s="2">
        <v>763.65369999999996</v>
      </c>
      <c r="D287" s="2">
        <f>HYPERLINK("http://mcb-m6.bioreg.kyushu-u.ac.jp/M3/20110502/F51178/2223/1", 41.11)</f>
        <v>41.11</v>
      </c>
      <c r="E287" s="2">
        <v>22.58</v>
      </c>
      <c r="F287" s="2">
        <v>2</v>
      </c>
      <c r="G287" s="2" t="s">
        <v>14</v>
      </c>
      <c r="H287" s="2" t="s">
        <v>4920</v>
      </c>
    </row>
    <row r="288" spans="1:9" x14ac:dyDescent="0.2">
      <c r="A288" s="2" t="s">
        <v>4197</v>
      </c>
      <c r="B288" s="2" t="s">
        <v>1783</v>
      </c>
      <c r="C288" s="2">
        <v>568.60770000000002</v>
      </c>
      <c r="D288" s="2">
        <f>HYPERLINK("http://mcb-m6.bioreg.kyushu-u.ac.jp/M3/20110411/F50912/1305/1", 38.92)</f>
        <v>38.92</v>
      </c>
      <c r="E288" s="2">
        <v>11.62</v>
      </c>
      <c r="F288" s="2">
        <v>2</v>
      </c>
      <c r="G288" s="2" t="s">
        <v>10</v>
      </c>
    </row>
    <row r="289" spans="1:8" x14ac:dyDescent="0.2">
      <c r="A289" s="2" t="s">
        <v>4197</v>
      </c>
      <c r="B289" s="2" t="s">
        <v>1783</v>
      </c>
      <c r="C289" s="2">
        <v>568.32259999999997</v>
      </c>
      <c r="D289" s="2">
        <f>HYPERLINK("http://mcb-m6.bioreg.kyushu-u.ac.jp/M3/20110414/F50945/1274/1", 38.95)</f>
        <v>38.950000000000003</v>
      </c>
      <c r="E289" s="2">
        <v>15.2</v>
      </c>
      <c r="F289" s="2">
        <v>2</v>
      </c>
      <c r="G289" s="2" t="s">
        <v>11</v>
      </c>
    </row>
    <row r="290" spans="1:8" x14ac:dyDescent="0.2">
      <c r="A290" s="2" t="s">
        <v>4197</v>
      </c>
      <c r="B290" s="2" t="s">
        <v>1783</v>
      </c>
      <c r="C290" s="2">
        <v>568.6191</v>
      </c>
      <c r="D290" s="2">
        <f>HYPERLINK("http://mcb-m6.bioreg.kyushu-u.ac.jp/M3/20110502/F51180/961/1", 39.03)</f>
        <v>39.03</v>
      </c>
      <c r="E290" s="2">
        <v>13.69</v>
      </c>
      <c r="F290" s="2">
        <v>2</v>
      </c>
      <c r="G290" s="2" t="s">
        <v>13</v>
      </c>
    </row>
    <row r="291" spans="1:8" x14ac:dyDescent="0.2">
      <c r="A291" s="2" t="s">
        <v>4197</v>
      </c>
      <c r="B291" s="2" t="s">
        <v>1783</v>
      </c>
      <c r="C291" s="2">
        <v>568.70169999999996</v>
      </c>
      <c r="D291" s="2">
        <f>HYPERLINK("http://mcb-m6.bioreg.kyushu-u.ac.jp/M3/20110502/F51180/965/1", 39.2)</f>
        <v>39.200000000000003</v>
      </c>
      <c r="E291" s="2">
        <v>10.43</v>
      </c>
      <c r="F291" s="2">
        <v>2</v>
      </c>
      <c r="G291" s="2" t="s">
        <v>13</v>
      </c>
    </row>
    <row r="292" spans="1:8" x14ac:dyDescent="0.2">
      <c r="A292" s="2" t="s">
        <v>4197</v>
      </c>
      <c r="B292" s="2" t="s">
        <v>1783</v>
      </c>
      <c r="C292" s="2">
        <v>568.59969999999998</v>
      </c>
      <c r="D292" s="2">
        <f>HYPERLINK("http://mcb-m6.bioreg.kyushu-u.ac.jp/M3/20110502/F51180/960/1", 42.4)</f>
        <v>42.4</v>
      </c>
      <c r="E292" s="2">
        <v>13.72</v>
      </c>
      <c r="F292" s="2">
        <v>2</v>
      </c>
      <c r="G292" s="2" t="s">
        <v>13</v>
      </c>
    </row>
    <row r="293" spans="1:8" x14ac:dyDescent="0.2">
      <c r="A293" s="2" t="s">
        <v>4197</v>
      </c>
      <c r="B293" s="2" t="s">
        <v>1783</v>
      </c>
      <c r="C293" s="2">
        <v>568.20119999999997</v>
      </c>
      <c r="D293" s="2">
        <f>HYPERLINK("http://mcb-m6.bioreg.kyushu-u.ac.jp/M3/20110502/F51181/1051/1", 35.2)</f>
        <v>35.200000000000003</v>
      </c>
      <c r="E293" s="2">
        <v>8.01</v>
      </c>
      <c r="F293" s="2">
        <v>2</v>
      </c>
      <c r="G293" s="2" t="s">
        <v>14</v>
      </c>
    </row>
    <row r="294" spans="1:8" x14ac:dyDescent="0.2">
      <c r="A294" s="2" t="s">
        <v>4197</v>
      </c>
      <c r="B294" s="2" t="s">
        <v>1783</v>
      </c>
      <c r="C294" s="2">
        <v>568.74469999999997</v>
      </c>
      <c r="D294" s="2">
        <f>HYPERLINK("http://mcb-m6.bioreg.kyushu-u.ac.jp/M3/20110502/F51182/970/1", 37.73)</f>
        <v>37.729999999999997</v>
      </c>
      <c r="E294" s="2">
        <v>9.3699999999999992</v>
      </c>
      <c r="F294" s="2">
        <v>2</v>
      </c>
      <c r="G294" s="2" t="s">
        <v>14</v>
      </c>
    </row>
    <row r="295" spans="1:8" x14ac:dyDescent="0.2">
      <c r="A295" s="2" t="s">
        <v>4197</v>
      </c>
      <c r="B295" s="2" t="s">
        <v>1783</v>
      </c>
      <c r="C295" s="2">
        <v>568.57569999999998</v>
      </c>
      <c r="D295" s="2">
        <f>HYPERLINK("http://mcb-m6.bioreg.kyushu-u.ac.jp/M3/20110502/F51182/965/1", 39.08)</f>
        <v>39.08</v>
      </c>
      <c r="E295" s="2">
        <v>9.2100000000000009</v>
      </c>
      <c r="F295" s="2">
        <v>2</v>
      </c>
      <c r="G295" s="2" t="s">
        <v>14</v>
      </c>
    </row>
    <row r="296" spans="1:8" x14ac:dyDescent="0.2">
      <c r="A296" s="2" t="s">
        <v>4197</v>
      </c>
      <c r="B296" s="2" t="s">
        <v>1783</v>
      </c>
      <c r="C296" s="2">
        <v>568.43870000000004</v>
      </c>
      <c r="D296" s="2">
        <f>HYPERLINK("http://mcb-m6.bioreg.kyushu-u.ac.jp/M3/20110502/F51182/963/1", 39.43)</f>
        <v>39.43</v>
      </c>
      <c r="E296" s="2">
        <v>9.17</v>
      </c>
      <c r="F296" s="2">
        <v>2</v>
      </c>
      <c r="G296" s="2" t="s">
        <v>14</v>
      </c>
    </row>
    <row r="297" spans="1:8" x14ac:dyDescent="0.2">
      <c r="A297" s="2" t="s">
        <v>4197</v>
      </c>
      <c r="B297" s="2" t="s">
        <v>1783</v>
      </c>
      <c r="C297" s="2">
        <v>568.67409999999995</v>
      </c>
      <c r="D297" s="2">
        <f>HYPERLINK("http://mcb-m6.bioreg.kyushu-u.ac.jp/M3/20110502/F51182/967/1", 40.34)</f>
        <v>40.340000000000003</v>
      </c>
      <c r="E297" s="2">
        <v>11.92</v>
      </c>
      <c r="F297" s="2">
        <v>2</v>
      </c>
      <c r="G297" s="2" t="s">
        <v>14</v>
      </c>
    </row>
    <row r="298" spans="1:8" x14ac:dyDescent="0.2">
      <c r="A298" s="2" t="s">
        <v>4197</v>
      </c>
      <c r="B298" s="2" t="s">
        <v>1783</v>
      </c>
      <c r="C298" s="2">
        <v>568.64120000000003</v>
      </c>
      <c r="D298" s="2">
        <f>HYPERLINK("http://mcb-m6.bioreg.kyushu-u.ac.jp/M3/20110502/F51182/966/1", 41.81)</f>
        <v>41.81</v>
      </c>
      <c r="E298" s="2">
        <v>13.38</v>
      </c>
      <c r="F298" s="2">
        <v>2</v>
      </c>
      <c r="G298" s="2" t="s">
        <v>14</v>
      </c>
    </row>
    <row r="299" spans="1:8" x14ac:dyDescent="0.2">
      <c r="A299" s="2" t="s">
        <v>4197</v>
      </c>
      <c r="B299" s="2" t="s">
        <v>1783</v>
      </c>
      <c r="C299" s="2">
        <v>568.67859999999996</v>
      </c>
      <c r="D299" s="2">
        <f>HYPERLINK("http://mcb-m6.bioreg.kyushu-u.ac.jp/M3/20110502/F51182/968/1", 48.89)</f>
        <v>48.89</v>
      </c>
      <c r="E299" s="2">
        <v>21.34</v>
      </c>
      <c r="F299" s="2">
        <v>2</v>
      </c>
      <c r="G299" s="2" t="s">
        <v>14</v>
      </c>
    </row>
    <row r="300" spans="1:8" x14ac:dyDescent="0.2">
      <c r="A300" s="2" t="s">
        <v>4197</v>
      </c>
      <c r="B300" s="2" t="s">
        <v>1783</v>
      </c>
      <c r="C300" s="2">
        <v>568.82320000000004</v>
      </c>
      <c r="D300" s="2">
        <f>HYPERLINK("http://mcb-m6.bioreg.kyushu-u.ac.jp/M3/20110502/F51183/1039/1", 50.86)</f>
        <v>50.86</v>
      </c>
      <c r="E300" s="2">
        <v>25.94</v>
      </c>
      <c r="F300" s="2">
        <v>2</v>
      </c>
      <c r="G300" s="2" t="s">
        <v>14</v>
      </c>
    </row>
    <row r="301" spans="1:8" x14ac:dyDescent="0.2">
      <c r="A301" s="2" t="s">
        <v>4768</v>
      </c>
      <c r="B301" s="2" t="s">
        <v>2996</v>
      </c>
      <c r="C301" s="2">
        <v>738.80619999999999</v>
      </c>
      <c r="D301" s="2">
        <f>HYPERLINK("http://mcb-m6.bioreg.kyushu-u.ac.jp/M3/20110502/F51183/1891/1", 36.88)</f>
        <v>36.880000000000003</v>
      </c>
      <c r="E301" s="2">
        <v>10.71</v>
      </c>
      <c r="F301" s="2">
        <v>2</v>
      </c>
      <c r="G301" s="2" t="s">
        <v>14</v>
      </c>
      <c r="H301" s="2" t="s">
        <v>4908</v>
      </c>
    </row>
    <row r="302" spans="1:8" x14ac:dyDescent="0.2">
      <c r="A302" s="2" t="s">
        <v>3580</v>
      </c>
      <c r="B302" s="2" t="s">
        <v>458</v>
      </c>
      <c r="C302" s="2">
        <v>594.59310000000005</v>
      </c>
      <c r="D302" s="2">
        <f>HYPERLINK("http://mcb-m6.bioreg.kyushu-u.ac.jp/M3/20110411/F50905/1334/1", 42.36)</f>
        <v>42.36</v>
      </c>
      <c r="E302" s="2">
        <v>10.31</v>
      </c>
      <c r="F302" s="2">
        <v>2</v>
      </c>
      <c r="G302" s="2" t="s">
        <v>9</v>
      </c>
    </row>
    <row r="303" spans="1:8" x14ac:dyDescent="0.2">
      <c r="A303" s="2" t="s">
        <v>4403</v>
      </c>
      <c r="B303" s="2" t="s">
        <v>2253</v>
      </c>
      <c r="C303" s="2">
        <v>771.452</v>
      </c>
      <c r="D303" s="2">
        <f>HYPERLINK("http://mcb-m6.bioreg.kyushu-u.ac.jp/M3/20110414/F50942/558/7", 39.81)</f>
        <v>39.81</v>
      </c>
      <c r="E303" s="2">
        <v>16.13</v>
      </c>
      <c r="F303" s="2">
        <v>1</v>
      </c>
      <c r="G303" s="2" t="s">
        <v>11</v>
      </c>
    </row>
    <row r="304" spans="1:8" x14ac:dyDescent="0.2">
      <c r="A304" s="2" t="s">
        <v>4514</v>
      </c>
      <c r="B304" s="2" t="s">
        <v>2524</v>
      </c>
      <c r="C304" s="2">
        <v>845.92859999999996</v>
      </c>
      <c r="D304" s="2">
        <f>HYPERLINK("http://mcb-m6.bioreg.kyushu-u.ac.jp/M3/20110414/F50958/2743/1", 35.48)</f>
        <v>35.479999999999997</v>
      </c>
      <c r="E304" s="2">
        <v>14.6</v>
      </c>
      <c r="F304" s="2">
        <v>2</v>
      </c>
      <c r="G304" s="2" t="s">
        <v>12</v>
      </c>
    </row>
    <row r="305" spans="1:9" x14ac:dyDescent="0.2">
      <c r="A305" s="2" t="s">
        <v>4210</v>
      </c>
      <c r="B305" s="2" t="s">
        <v>1803</v>
      </c>
      <c r="C305" s="2">
        <v>973.61699999999996</v>
      </c>
      <c r="D305" s="2">
        <f>HYPERLINK("http://mcb-m6.bioreg.kyushu-u.ac.jp/M3/20110411/F50921/799/1", 40.18)</f>
        <v>40.18</v>
      </c>
      <c r="E305" s="2">
        <v>23.48</v>
      </c>
      <c r="F305" s="2">
        <v>1</v>
      </c>
      <c r="G305" s="2" t="s">
        <v>10</v>
      </c>
    </row>
    <row r="306" spans="1:9" x14ac:dyDescent="0.2">
      <c r="A306" s="2" t="s">
        <v>4164</v>
      </c>
      <c r="B306" s="2" t="s">
        <v>1726</v>
      </c>
      <c r="C306" s="2">
        <v>858.70799999999997</v>
      </c>
      <c r="D306" s="2">
        <f>HYPERLINK("http://mcb-m6.bioreg.kyushu-u.ac.jp/M3/20110411/F50901/1002/2", 36.43)</f>
        <v>36.43</v>
      </c>
      <c r="E306" s="2">
        <v>10.56</v>
      </c>
      <c r="F306" s="2">
        <v>1</v>
      </c>
      <c r="G306" s="2" t="s">
        <v>10</v>
      </c>
    </row>
    <row r="307" spans="1:9" x14ac:dyDescent="0.2">
      <c r="A307" s="2" t="s">
        <v>4162</v>
      </c>
      <c r="B307" s="2" t="s">
        <v>1721</v>
      </c>
      <c r="C307" s="2">
        <v>458.35649999999998</v>
      </c>
      <c r="D307" s="2">
        <f>HYPERLINK("http://mcb-m6.bioreg.kyushu-u.ac.jp/M3/20110411/F50897/1691/1", 36.34)</f>
        <v>36.340000000000003</v>
      </c>
      <c r="E307" s="2">
        <v>9.1300000000000008</v>
      </c>
      <c r="F307" s="2">
        <v>3</v>
      </c>
      <c r="G307" s="2" t="s">
        <v>10</v>
      </c>
    </row>
    <row r="308" spans="1:9" x14ac:dyDescent="0.2">
      <c r="A308" s="2" t="s">
        <v>4220</v>
      </c>
      <c r="B308" s="2" t="s">
        <v>1823</v>
      </c>
      <c r="C308" s="2">
        <v>627.62180000000001</v>
      </c>
      <c r="D308" s="2">
        <f>HYPERLINK("http://mcb-m6.bioreg.kyushu-u.ac.jp/M3/20110411/F50920/2461/1", 41.42)</f>
        <v>41.42</v>
      </c>
      <c r="E308" s="2">
        <v>11.29</v>
      </c>
      <c r="F308" s="2">
        <v>3</v>
      </c>
      <c r="G308" s="2" t="s">
        <v>10</v>
      </c>
      <c r="I308" s="2" t="s">
        <v>4903</v>
      </c>
    </row>
    <row r="309" spans="1:9" x14ac:dyDescent="0.2">
      <c r="A309" s="2" t="s">
        <v>4363</v>
      </c>
      <c r="B309" s="2" t="s">
        <v>2189</v>
      </c>
      <c r="C309" s="2">
        <v>731.2482</v>
      </c>
      <c r="D309" s="2">
        <f>HYPERLINK("http://mcb-m6.bioreg.kyushu-u.ac.jp/M3/20110414/F50957/1833/1", 36.29)</f>
        <v>36.29</v>
      </c>
      <c r="E309" s="2">
        <v>19.27</v>
      </c>
      <c r="F309" s="2">
        <v>2</v>
      </c>
      <c r="G309" s="2" t="s">
        <v>11</v>
      </c>
    </row>
    <row r="310" spans="1:9" x14ac:dyDescent="0.2">
      <c r="A310" s="2" t="s">
        <v>3523</v>
      </c>
      <c r="B310" s="2" t="s">
        <v>367</v>
      </c>
      <c r="C310" s="2">
        <v>544.31960000000004</v>
      </c>
      <c r="D310" s="2">
        <f>HYPERLINK("http://mcb-m6.bioreg.kyushu-u.ac.jp/M3/20110411/F50891/1137/1", 40.37)</f>
        <v>40.369999999999997</v>
      </c>
      <c r="E310" s="2">
        <v>9.85</v>
      </c>
      <c r="F310" s="2">
        <v>2</v>
      </c>
      <c r="G310" s="2" t="s">
        <v>9</v>
      </c>
    </row>
    <row r="311" spans="1:9" x14ac:dyDescent="0.2">
      <c r="A311" s="2" t="s">
        <v>4342</v>
      </c>
      <c r="B311" s="2" t="s">
        <v>2157</v>
      </c>
      <c r="C311" s="2">
        <v>896.57069999999999</v>
      </c>
      <c r="D311" s="2">
        <f>HYPERLINK("http://mcb-m6.bioreg.kyushu-u.ac.jp/M3/20110414/F50927/2887/1", 35.28)</f>
        <v>35.28</v>
      </c>
      <c r="E311" s="2">
        <v>19.41</v>
      </c>
      <c r="F311" s="2">
        <v>2</v>
      </c>
      <c r="G311" s="2" t="s">
        <v>11</v>
      </c>
    </row>
    <row r="312" spans="1:9" x14ac:dyDescent="0.2">
      <c r="A312" s="2" t="s">
        <v>4860</v>
      </c>
      <c r="B312" s="2" t="s">
        <v>3147</v>
      </c>
      <c r="C312" s="2">
        <v>566.79859999999996</v>
      </c>
      <c r="D312" s="2">
        <f>HYPERLINK("http://mcb-m6.bioreg.kyushu-u.ac.jp/M3/20110502/F51183/1027/1", 51.94)</f>
        <v>51.94</v>
      </c>
      <c r="E312" s="2">
        <v>12.49</v>
      </c>
      <c r="F312" s="2">
        <v>2</v>
      </c>
      <c r="G312" s="2" t="s">
        <v>14</v>
      </c>
    </row>
    <row r="313" spans="1:9" x14ac:dyDescent="0.2">
      <c r="A313" s="2" t="s">
        <v>4860</v>
      </c>
      <c r="B313" s="2" t="s">
        <v>3156</v>
      </c>
      <c r="C313" s="2">
        <v>999.40120000000002</v>
      </c>
      <c r="D313" s="2">
        <f>HYPERLINK("http://mcb-m6.bioreg.kyushu-u.ac.jp/M3/20110502/F51182/3128/1", 54.3)</f>
        <v>54.3</v>
      </c>
      <c r="E313" s="2">
        <v>22.6</v>
      </c>
      <c r="F313" s="2">
        <v>2</v>
      </c>
      <c r="G313" s="2" t="s">
        <v>14</v>
      </c>
    </row>
    <row r="314" spans="1:9" x14ac:dyDescent="0.2">
      <c r="A314" s="2" t="s">
        <v>3388</v>
      </c>
      <c r="B314" s="2" t="s">
        <v>181</v>
      </c>
      <c r="C314" s="2">
        <v>488.54759999999999</v>
      </c>
      <c r="D314" s="2">
        <f>HYPERLINK("http://mcb-m6.bioreg.kyushu-u.ac.jp/M3/20110411/F50903/1111/1", 37.32)</f>
        <v>37.32</v>
      </c>
      <c r="E314" s="2">
        <v>11.29</v>
      </c>
      <c r="F314" s="2">
        <v>2</v>
      </c>
      <c r="G314" s="2" t="s">
        <v>9</v>
      </c>
    </row>
    <row r="315" spans="1:9" x14ac:dyDescent="0.2">
      <c r="A315" s="2" t="s">
        <v>3836</v>
      </c>
      <c r="B315" s="2" t="s">
        <v>915</v>
      </c>
      <c r="C315" s="2">
        <v>846.02120000000002</v>
      </c>
      <c r="D315" s="2">
        <f>HYPERLINK("http://mcb-m6.bioreg.kyushu-u.ac.jp/M3/20110411/F50916/2440/1", 55.45)</f>
        <v>55.45</v>
      </c>
      <c r="E315" s="2">
        <v>28.89</v>
      </c>
      <c r="F315" s="2">
        <v>2</v>
      </c>
      <c r="G315" s="2" t="s">
        <v>9</v>
      </c>
    </row>
    <row r="316" spans="1:9" x14ac:dyDescent="0.2">
      <c r="A316" s="2" t="s">
        <v>3836</v>
      </c>
      <c r="B316" s="2" t="s">
        <v>915</v>
      </c>
      <c r="C316" s="2">
        <v>846.20320000000004</v>
      </c>
      <c r="D316" s="2">
        <f>HYPERLINK("http://mcb-m6.bioreg.kyushu-u.ac.jp/M3/20110502/F51189/2262/1", 35.8)</f>
        <v>35.799999999999997</v>
      </c>
      <c r="E316" s="2">
        <v>9.65</v>
      </c>
      <c r="F316" s="2">
        <v>2</v>
      </c>
      <c r="G316" s="2" t="s">
        <v>13</v>
      </c>
    </row>
    <row r="317" spans="1:9" x14ac:dyDescent="0.2">
      <c r="A317" s="2" t="s">
        <v>4864</v>
      </c>
      <c r="B317" s="2" t="s">
        <v>3155</v>
      </c>
      <c r="C317" s="2">
        <v>742.63869999999997</v>
      </c>
      <c r="D317" s="2">
        <f>HYPERLINK("http://mcb-m6.bioreg.kyushu-u.ac.jp/M3/20110502/F51184/1856/1", 54.28)</f>
        <v>54.28</v>
      </c>
      <c r="E317" s="2">
        <v>1.22</v>
      </c>
      <c r="F317" s="2">
        <v>2</v>
      </c>
      <c r="G317" s="2" t="s">
        <v>14</v>
      </c>
      <c r="H317" s="2" t="s">
        <v>4919</v>
      </c>
    </row>
    <row r="318" spans="1:9" x14ac:dyDescent="0.2">
      <c r="A318" s="2" t="s">
        <v>4379</v>
      </c>
      <c r="B318" s="2" t="s">
        <v>2213</v>
      </c>
      <c r="C318" s="2">
        <v>472.01260000000002</v>
      </c>
      <c r="D318" s="2">
        <f>HYPERLINK("http://mcb-m6.bioreg.kyushu-u.ac.jp/M3/20110414/F50924/902/1", 37.61)</f>
        <v>37.61</v>
      </c>
      <c r="E318" s="2">
        <v>9.74</v>
      </c>
      <c r="F318" s="2">
        <v>2</v>
      </c>
      <c r="G318" s="2" t="s">
        <v>11</v>
      </c>
    </row>
    <row r="319" spans="1:9" x14ac:dyDescent="0.2">
      <c r="A319" s="2" t="s">
        <v>4658</v>
      </c>
      <c r="B319" s="2" t="s">
        <v>2818</v>
      </c>
      <c r="C319" s="2">
        <v>641.04520000000002</v>
      </c>
      <c r="D319" s="2">
        <f>HYPERLINK("http://mcb-m6.bioreg.kyushu-u.ac.jp/M3/20110502/F51175/1491/1", 36.96)</f>
        <v>36.96</v>
      </c>
      <c r="E319" s="2">
        <v>11.55</v>
      </c>
      <c r="F319" s="2">
        <v>2</v>
      </c>
      <c r="G319" s="2" t="s">
        <v>13</v>
      </c>
    </row>
    <row r="320" spans="1:9" x14ac:dyDescent="0.2">
      <c r="A320" s="2" t="s">
        <v>4516</v>
      </c>
      <c r="B320" s="2" t="s">
        <v>2528</v>
      </c>
      <c r="C320" s="2">
        <v>530.38710000000003</v>
      </c>
      <c r="D320" s="2">
        <f>HYPERLINK("http://mcb-m6.bioreg.kyushu-u.ac.jp/M3/20110414/F50933/1582/1", 35.83)</f>
        <v>35.83</v>
      </c>
      <c r="E320" s="2">
        <v>10.89</v>
      </c>
      <c r="F320" s="2">
        <v>2</v>
      </c>
      <c r="G320" s="2" t="s">
        <v>12</v>
      </c>
    </row>
    <row r="321" spans="1:9" x14ac:dyDescent="0.2">
      <c r="A321" s="2" t="s">
        <v>4635</v>
      </c>
      <c r="B321" s="2" t="s">
        <v>2790</v>
      </c>
      <c r="C321" s="2">
        <v>518.32669999999996</v>
      </c>
      <c r="D321" s="2">
        <f>HYPERLINK("http://mcb-m6.bioreg.kyushu-u.ac.jp/M3/20110502/F51174/1170/1", 35.5)</f>
        <v>35.5</v>
      </c>
      <c r="E321" s="2">
        <v>11.06</v>
      </c>
      <c r="F321" s="2">
        <v>2</v>
      </c>
      <c r="G321" s="2" t="s">
        <v>13</v>
      </c>
    </row>
    <row r="322" spans="1:9" x14ac:dyDescent="0.2">
      <c r="A322" s="2" t="s">
        <v>4221</v>
      </c>
      <c r="B322" s="2" t="s">
        <v>1824</v>
      </c>
      <c r="C322" s="2">
        <v>502.99009999999998</v>
      </c>
      <c r="D322" s="2">
        <f>HYPERLINK("http://mcb-m6.bioreg.kyushu-u.ac.jp/M3/20110411/F50917/803/1", 41.43)</f>
        <v>41.43</v>
      </c>
      <c r="E322" s="2">
        <v>14.97</v>
      </c>
      <c r="F322" s="2">
        <v>2</v>
      </c>
      <c r="G322" s="2" t="s">
        <v>10</v>
      </c>
    </row>
    <row r="323" spans="1:9" x14ac:dyDescent="0.2">
      <c r="A323" s="2" t="s">
        <v>3308</v>
      </c>
      <c r="B323" s="2" t="s">
        <v>91</v>
      </c>
      <c r="C323" s="2">
        <v>765.00070000000005</v>
      </c>
      <c r="D323" s="2">
        <f>HYPERLINK("http://mcb-m6.bioreg.kyushu-u.ac.jp/M3/20110411/F50916/2022/1", 35.93)</f>
        <v>35.93</v>
      </c>
      <c r="E323" s="2">
        <v>14.3</v>
      </c>
      <c r="F323" s="2">
        <v>2</v>
      </c>
      <c r="G323" s="2" t="s">
        <v>9</v>
      </c>
    </row>
    <row r="324" spans="1:9" x14ac:dyDescent="0.2">
      <c r="A324" s="2" t="s">
        <v>3448</v>
      </c>
      <c r="B324" s="2" t="s">
        <v>258</v>
      </c>
      <c r="C324" s="2">
        <v>485.40109999999999</v>
      </c>
      <c r="D324" s="2">
        <f>HYPERLINK("http://mcb-m6.bioreg.kyushu-u.ac.jp/M3/20110411/F50903/1095/1", 38.61)</f>
        <v>38.61</v>
      </c>
      <c r="E324" s="2">
        <v>14.64</v>
      </c>
      <c r="F324" s="2">
        <v>2</v>
      </c>
      <c r="G324" s="2" t="s">
        <v>9</v>
      </c>
    </row>
    <row r="325" spans="1:9" x14ac:dyDescent="0.2">
      <c r="A325" s="2" t="s">
        <v>3448</v>
      </c>
      <c r="B325" s="2" t="s">
        <v>258</v>
      </c>
      <c r="C325" s="2">
        <v>485.38310000000001</v>
      </c>
      <c r="D325" s="2">
        <f>HYPERLINK("http://mcb-m6.bioreg.kyushu-u.ac.jp/M3/20110502/F51167/1415/1", 38.59)</f>
        <v>38.590000000000003</v>
      </c>
      <c r="E325" s="2">
        <v>11.13</v>
      </c>
      <c r="F325" s="2">
        <v>2</v>
      </c>
      <c r="G325" s="2" t="s">
        <v>13</v>
      </c>
    </row>
    <row r="326" spans="1:9" x14ac:dyDescent="0.2">
      <c r="A326" s="2" t="s">
        <v>3448</v>
      </c>
      <c r="B326" s="2" t="s">
        <v>258</v>
      </c>
      <c r="C326" s="2">
        <v>485.42309999999998</v>
      </c>
      <c r="D326" s="2">
        <f>HYPERLINK("http://mcb-m6.bioreg.kyushu-u.ac.jp/M3/20110502/F51166/1470/1", 44.03)</f>
        <v>44.03</v>
      </c>
      <c r="E326" s="2">
        <v>19.73</v>
      </c>
      <c r="F326" s="2">
        <v>2</v>
      </c>
      <c r="G326" s="2" t="s">
        <v>13</v>
      </c>
    </row>
    <row r="327" spans="1:9" x14ac:dyDescent="0.2">
      <c r="A327" s="2" t="s">
        <v>4644</v>
      </c>
      <c r="B327" s="2" t="s">
        <v>2801</v>
      </c>
      <c r="C327" s="2">
        <v>458.91910000000001</v>
      </c>
      <c r="D327" s="2">
        <f>HYPERLINK("http://mcb-m6.bioreg.kyushu-u.ac.jp/M3/20110502/F51187/564/1", 36.08)</f>
        <v>36.08</v>
      </c>
      <c r="E327" s="2">
        <v>10</v>
      </c>
      <c r="F327" s="2">
        <v>2</v>
      </c>
      <c r="G327" s="2" t="s">
        <v>13</v>
      </c>
    </row>
    <row r="328" spans="1:9" x14ac:dyDescent="0.2">
      <c r="A328" s="2" t="s">
        <v>3524</v>
      </c>
      <c r="B328" s="2" t="s">
        <v>369</v>
      </c>
      <c r="C328" s="2">
        <v>841.15719999999999</v>
      </c>
      <c r="D328" s="2">
        <f>HYPERLINK("http://mcb-m6.bioreg.kyushu-u.ac.jp/M3/20110411/F50911/2629/1", 40.42)</f>
        <v>40.42</v>
      </c>
      <c r="E328" s="2">
        <v>19.78</v>
      </c>
      <c r="F328" s="2">
        <v>2</v>
      </c>
      <c r="G328" s="2" t="s">
        <v>9</v>
      </c>
      <c r="H328" s="2" t="s">
        <v>4921</v>
      </c>
    </row>
    <row r="329" spans="1:9" x14ac:dyDescent="0.2">
      <c r="A329" s="2" t="s">
        <v>3684</v>
      </c>
      <c r="B329" s="2" t="s">
        <v>644</v>
      </c>
      <c r="C329" s="2">
        <v>905.64800000000002</v>
      </c>
      <c r="D329" s="2">
        <f>HYPERLINK("http://mcb-m6.bioreg.kyushu-u.ac.jp/M3/20110411/F50904/959/1", 47.09)</f>
        <v>47.09</v>
      </c>
      <c r="E329" s="2">
        <v>2.85</v>
      </c>
      <c r="F329" s="2">
        <v>1</v>
      </c>
      <c r="G329" s="2" t="s">
        <v>9</v>
      </c>
    </row>
    <row r="330" spans="1:9" x14ac:dyDescent="0.2">
      <c r="A330" s="2" t="s">
        <v>3684</v>
      </c>
      <c r="B330" s="2" t="s">
        <v>644</v>
      </c>
      <c r="C330" s="2">
        <v>905.86199999999997</v>
      </c>
      <c r="D330" s="2">
        <f>HYPERLINK("http://mcb-m6.bioreg.kyushu-u.ac.jp/M3/20110411/F50912/902/1", 47.07)</f>
        <v>47.07</v>
      </c>
      <c r="E330" s="2">
        <v>8.33</v>
      </c>
      <c r="F330" s="2">
        <v>1</v>
      </c>
      <c r="G330" s="2" t="s">
        <v>10</v>
      </c>
    </row>
    <row r="331" spans="1:9" x14ac:dyDescent="0.2">
      <c r="A331" s="2" t="s">
        <v>3684</v>
      </c>
      <c r="B331" s="2" t="s">
        <v>644</v>
      </c>
      <c r="C331" s="2">
        <v>905.65700000000004</v>
      </c>
      <c r="D331" s="2">
        <f>HYPERLINK("http://mcb-m6.bioreg.kyushu-u.ac.jp/M3/20110411/F50913/850/1", 47.18)</f>
        <v>47.18</v>
      </c>
      <c r="E331" s="2">
        <v>5.75</v>
      </c>
      <c r="F331" s="2">
        <v>1</v>
      </c>
      <c r="G331" s="2" t="s">
        <v>10</v>
      </c>
    </row>
    <row r="332" spans="1:9" x14ac:dyDescent="0.2">
      <c r="A332" s="2" t="s">
        <v>4179</v>
      </c>
      <c r="B332" s="2" t="s">
        <v>1755</v>
      </c>
      <c r="C332" s="2">
        <v>473.37459999999999</v>
      </c>
      <c r="D332" s="2">
        <f>HYPERLINK("http://mcb-m6.bioreg.kyushu-u.ac.jp/M3/20110411/F50902/1075/1", 37.95)</f>
        <v>37.950000000000003</v>
      </c>
      <c r="E332" s="2">
        <v>12.57</v>
      </c>
      <c r="F332" s="2">
        <v>2</v>
      </c>
      <c r="G332" s="2" t="s">
        <v>10</v>
      </c>
      <c r="I332" s="2" t="s">
        <v>4905</v>
      </c>
    </row>
    <row r="333" spans="1:9" x14ac:dyDescent="0.2">
      <c r="A333" s="2" t="s">
        <v>4750</v>
      </c>
      <c r="B333" s="2" t="s">
        <v>2976</v>
      </c>
      <c r="C333" s="2">
        <v>606.1422</v>
      </c>
      <c r="D333" s="2">
        <f>HYPERLINK("http://mcb-m6.bioreg.kyushu-u.ac.jp/M3/20110502/F51186/1254/1", 35.76)</f>
        <v>35.76</v>
      </c>
      <c r="E333" s="2">
        <v>12.83</v>
      </c>
      <c r="F333" s="2">
        <v>2</v>
      </c>
      <c r="G333" s="2" t="s">
        <v>14</v>
      </c>
    </row>
    <row r="334" spans="1:9" x14ac:dyDescent="0.2">
      <c r="A334" s="2" t="s">
        <v>4563</v>
      </c>
      <c r="B334" s="2" t="s">
        <v>2600</v>
      </c>
      <c r="C334" s="2">
        <v>485.35809999999998</v>
      </c>
      <c r="D334" s="2">
        <f>HYPERLINK("http://mcb-m6.bioreg.kyushu-u.ac.jp/M3/20110414/F50966/882/1", 41.11)</f>
        <v>41.11</v>
      </c>
      <c r="E334" s="2">
        <v>17.7</v>
      </c>
      <c r="F334" s="2">
        <v>2</v>
      </c>
      <c r="G334" s="2" t="s">
        <v>12</v>
      </c>
      <c r="H334" s="2" t="s">
        <v>4920</v>
      </c>
    </row>
    <row r="335" spans="1:9" x14ac:dyDescent="0.2">
      <c r="A335" s="2" t="s">
        <v>4672</v>
      </c>
      <c r="B335" s="2" t="s">
        <v>2841</v>
      </c>
      <c r="C335" s="2">
        <v>660.17020000000002</v>
      </c>
      <c r="D335" s="2">
        <f>HYPERLINK("http://mcb-m6.bioreg.kyushu-u.ac.jp/M3/20110502/F51172/1563/1", 38.42)</f>
        <v>38.42</v>
      </c>
      <c r="E335" s="2">
        <v>22.39</v>
      </c>
      <c r="F335" s="2">
        <v>2</v>
      </c>
      <c r="G335" s="2" t="s">
        <v>13</v>
      </c>
    </row>
    <row r="336" spans="1:9" x14ac:dyDescent="0.2">
      <c r="A336" s="2" t="s">
        <v>3333</v>
      </c>
      <c r="B336" s="2" t="s">
        <v>121</v>
      </c>
      <c r="C336" s="2">
        <v>795.53970000000004</v>
      </c>
      <c r="D336" s="2">
        <f>HYPERLINK("http://mcb-m6.bioreg.kyushu-u.ac.jp/M3/20110411/F50915/2247/1", 36.32)</f>
        <v>36.32</v>
      </c>
      <c r="E336" s="2">
        <v>15.7</v>
      </c>
      <c r="F336" s="2">
        <v>2</v>
      </c>
      <c r="G336" s="2" t="s">
        <v>9</v>
      </c>
    </row>
    <row r="337" spans="1:8" x14ac:dyDescent="0.2">
      <c r="A337" s="2" t="s">
        <v>3333</v>
      </c>
      <c r="B337" s="2" t="s">
        <v>121</v>
      </c>
      <c r="C337" s="2">
        <v>795.03309999999999</v>
      </c>
      <c r="D337" s="2">
        <f>HYPERLINK("http://mcb-m6.bioreg.kyushu-u.ac.jp/M3/20110411/F50915/2245/1", 38.54)</f>
        <v>38.54</v>
      </c>
      <c r="E337" s="2">
        <v>9.8699999999999992</v>
      </c>
      <c r="F337" s="2">
        <v>2</v>
      </c>
      <c r="G337" s="2" t="s">
        <v>9</v>
      </c>
    </row>
    <row r="338" spans="1:8" x14ac:dyDescent="0.2">
      <c r="A338" s="2" t="s">
        <v>3333</v>
      </c>
      <c r="B338" s="2" t="s">
        <v>121</v>
      </c>
      <c r="C338" s="2">
        <v>795.53120000000001</v>
      </c>
      <c r="D338" s="2">
        <f>HYPERLINK("http://mcb-m6.bioreg.kyushu-u.ac.jp/M3/20110411/F50916/2205/1", 48.22)</f>
        <v>48.22</v>
      </c>
      <c r="E338" s="2">
        <v>24.35</v>
      </c>
      <c r="F338" s="2">
        <v>2</v>
      </c>
      <c r="G338" s="2" t="s">
        <v>9</v>
      </c>
    </row>
    <row r="339" spans="1:8" x14ac:dyDescent="0.2">
      <c r="A339" s="2" t="s">
        <v>3333</v>
      </c>
      <c r="B339" s="2" t="s">
        <v>121</v>
      </c>
      <c r="C339" s="2">
        <v>795.3442</v>
      </c>
      <c r="D339" s="2">
        <f>HYPERLINK("http://mcb-m6.bioreg.kyushu-u.ac.jp/M3/20110414/F50948/2455/1", 36.23)</f>
        <v>36.229999999999997</v>
      </c>
      <c r="E339" s="2">
        <v>17.97</v>
      </c>
      <c r="F339" s="2">
        <v>2</v>
      </c>
      <c r="G339" s="2" t="s">
        <v>12</v>
      </c>
    </row>
    <row r="340" spans="1:8" x14ac:dyDescent="0.2">
      <c r="A340" s="2" t="s">
        <v>3333</v>
      </c>
      <c r="B340" s="2" t="s">
        <v>121</v>
      </c>
      <c r="C340" s="2">
        <v>795.57569999999998</v>
      </c>
      <c r="D340" s="2">
        <f>HYPERLINK("http://mcb-m6.bioreg.kyushu-u.ac.jp/M3/20110502/F51171/2259/1", 43.1)</f>
        <v>43.1</v>
      </c>
      <c r="E340" s="2">
        <v>17.260000000000002</v>
      </c>
      <c r="F340" s="2">
        <v>2</v>
      </c>
      <c r="G340" s="2" t="s">
        <v>13</v>
      </c>
    </row>
    <row r="341" spans="1:8" x14ac:dyDescent="0.2">
      <c r="A341" s="2" t="s">
        <v>3333</v>
      </c>
      <c r="B341" s="2" t="s">
        <v>121</v>
      </c>
      <c r="C341" s="2">
        <v>795.80160000000001</v>
      </c>
      <c r="D341" s="2">
        <f>HYPERLINK("http://mcb-m6.bioreg.kyushu-u.ac.jp/M3/20110502/F51189/2075/1", 47.5)</f>
        <v>47.5</v>
      </c>
      <c r="E341" s="2">
        <v>17.71</v>
      </c>
      <c r="F341" s="2">
        <v>2</v>
      </c>
      <c r="G341" s="2" t="s">
        <v>13</v>
      </c>
    </row>
    <row r="342" spans="1:8" x14ac:dyDescent="0.2">
      <c r="A342" s="2" t="s">
        <v>3333</v>
      </c>
      <c r="B342" s="2" t="s">
        <v>121</v>
      </c>
      <c r="C342" s="2">
        <v>795.22170000000006</v>
      </c>
      <c r="D342" s="2">
        <f>HYPERLINK("http://mcb-m6.bioreg.kyushu-u.ac.jp/M3/20110502/F51172/2495/1", 51.2)</f>
        <v>51.2</v>
      </c>
      <c r="E342" s="2">
        <v>24.41</v>
      </c>
      <c r="F342" s="2">
        <v>2</v>
      </c>
      <c r="G342" s="2" t="s">
        <v>13</v>
      </c>
    </row>
    <row r="343" spans="1:8" x14ac:dyDescent="0.2">
      <c r="A343" s="2" t="s">
        <v>3333</v>
      </c>
      <c r="B343" s="2" t="s">
        <v>121</v>
      </c>
      <c r="C343" s="2">
        <v>795.21370000000002</v>
      </c>
      <c r="D343" s="2">
        <f>HYPERLINK("http://mcb-m6.bioreg.kyushu-u.ac.jp/M3/20110502/F51193/2201/1", 42.74)</f>
        <v>42.74</v>
      </c>
      <c r="E343" s="2">
        <v>12.93</v>
      </c>
      <c r="F343" s="2">
        <v>2</v>
      </c>
      <c r="G343" s="2" t="s">
        <v>14</v>
      </c>
    </row>
    <row r="344" spans="1:8" x14ac:dyDescent="0.2">
      <c r="A344" s="2" t="s">
        <v>4793</v>
      </c>
      <c r="B344" s="2" t="s">
        <v>3030</v>
      </c>
      <c r="C344" s="2">
        <v>784.63419999999996</v>
      </c>
      <c r="D344" s="2">
        <f>HYPERLINK("http://mcb-m6.bioreg.kyushu-u.ac.jp/M3/20110502/F51192/2058/1", 38.67)</f>
        <v>38.67</v>
      </c>
      <c r="E344" s="2">
        <v>12.1</v>
      </c>
      <c r="F344" s="2">
        <v>2</v>
      </c>
      <c r="G344" s="2" t="s">
        <v>14</v>
      </c>
      <c r="H344" s="2" t="s">
        <v>4908</v>
      </c>
    </row>
    <row r="345" spans="1:8" x14ac:dyDescent="0.2">
      <c r="A345" s="2" t="s">
        <v>4634</v>
      </c>
      <c r="B345" s="2" t="s">
        <v>2789</v>
      </c>
      <c r="C345" s="2">
        <v>579.08259999999996</v>
      </c>
      <c r="D345" s="2">
        <f>HYPERLINK("http://mcb-m6.bioreg.kyushu-u.ac.jp/M3/20110502/F51180/1021/1", 35.43)</f>
        <v>35.43</v>
      </c>
      <c r="E345" s="2">
        <v>12.38</v>
      </c>
      <c r="F345" s="2">
        <v>2</v>
      </c>
      <c r="G345" s="2" t="s">
        <v>13</v>
      </c>
    </row>
    <row r="346" spans="1:8" x14ac:dyDescent="0.2">
      <c r="A346" s="2" t="s">
        <v>4859</v>
      </c>
      <c r="B346" s="2" t="s">
        <v>3144</v>
      </c>
      <c r="C346" s="2">
        <v>457.41759999999999</v>
      </c>
      <c r="D346" s="2">
        <f>HYPERLINK("http://mcb-m6.bioreg.kyushu-u.ac.jp/M3/20110502/F51177/491/1", 51.29)</f>
        <v>51.29</v>
      </c>
      <c r="E346" s="2">
        <v>17.98</v>
      </c>
      <c r="F346" s="2">
        <v>2</v>
      </c>
      <c r="G346" s="2" t="s">
        <v>14</v>
      </c>
      <c r="H346" s="2" t="s">
        <v>4917</v>
      </c>
    </row>
    <row r="347" spans="1:8" x14ac:dyDescent="0.2">
      <c r="A347" s="2" t="s">
        <v>3391</v>
      </c>
      <c r="B347" s="2" t="s">
        <v>185</v>
      </c>
      <c r="C347" s="2">
        <v>652.79520000000002</v>
      </c>
      <c r="D347" s="2">
        <f>HYPERLINK("http://mcb-m6.bioreg.kyushu-u.ac.jp/M3/20110411/F50891/1628/1", 37.37)</f>
        <v>37.369999999999997</v>
      </c>
      <c r="E347" s="2">
        <v>12.82</v>
      </c>
      <c r="F347" s="2">
        <v>2</v>
      </c>
      <c r="G347" s="2" t="s">
        <v>9</v>
      </c>
    </row>
    <row r="348" spans="1:8" x14ac:dyDescent="0.2">
      <c r="A348" s="2" t="s">
        <v>4753</v>
      </c>
      <c r="B348" s="2" t="s">
        <v>2979</v>
      </c>
      <c r="C348" s="2">
        <v>934.60500000000002</v>
      </c>
      <c r="D348" s="2">
        <f>HYPERLINK("http://mcb-m6.bioreg.kyushu-u.ac.jp/M3/20110502/F51186/728/1", 35.9)</f>
        <v>35.9</v>
      </c>
      <c r="E348" s="2">
        <v>9.31</v>
      </c>
      <c r="F348" s="2">
        <v>1</v>
      </c>
      <c r="G348" s="2" t="s">
        <v>14</v>
      </c>
    </row>
    <row r="349" spans="1:8" x14ac:dyDescent="0.2">
      <c r="A349" s="2" t="s">
        <v>3658</v>
      </c>
      <c r="B349" s="2" t="s">
        <v>592</v>
      </c>
      <c r="C349" s="2">
        <v>544.90809999999999</v>
      </c>
      <c r="D349" s="2">
        <f>HYPERLINK("http://mcb-m6.bioreg.kyushu-u.ac.jp/M3/20110411/F50911/1153/1", 45.84)</f>
        <v>45.84</v>
      </c>
      <c r="E349" s="2">
        <v>15.32</v>
      </c>
      <c r="F349" s="2">
        <v>2</v>
      </c>
      <c r="G349" s="2" t="s">
        <v>9</v>
      </c>
    </row>
    <row r="350" spans="1:8" x14ac:dyDescent="0.2">
      <c r="A350" s="2" t="s">
        <v>3658</v>
      </c>
      <c r="B350" s="2" t="s">
        <v>592</v>
      </c>
      <c r="C350" s="2">
        <v>544.47770000000003</v>
      </c>
      <c r="D350" s="2">
        <f>HYPERLINK("http://mcb-m6.bioreg.kyushu-u.ac.jp/M3/20110411/F50913/1186/1", 41.38)</f>
        <v>41.38</v>
      </c>
      <c r="E350" s="2">
        <v>10.06</v>
      </c>
      <c r="F350" s="2">
        <v>2</v>
      </c>
      <c r="G350" s="2" t="s">
        <v>10</v>
      </c>
    </row>
    <row r="351" spans="1:8" x14ac:dyDescent="0.2">
      <c r="A351" s="2" t="s">
        <v>4585</v>
      </c>
      <c r="B351" s="2" t="s">
        <v>2644</v>
      </c>
      <c r="C351" s="2">
        <v>453.06610000000001</v>
      </c>
      <c r="D351" s="2">
        <f>HYPERLINK("http://mcb-m6.bioreg.kyushu-u.ac.jp/M3/20110414/F50958/427/1", 46.3)</f>
        <v>46.3</v>
      </c>
      <c r="E351" s="2">
        <v>3.45</v>
      </c>
      <c r="F351" s="2">
        <v>2</v>
      </c>
      <c r="G351" s="2" t="s">
        <v>12</v>
      </c>
      <c r="H351" s="2" t="s">
        <v>4891</v>
      </c>
    </row>
    <row r="352" spans="1:8" x14ac:dyDescent="0.2">
      <c r="A352" s="2" t="s">
        <v>4746</v>
      </c>
      <c r="B352" s="2" t="s">
        <v>2971</v>
      </c>
      <c r="C352" s="2">
        <v>515.21010000000001</v>
      </c>
      <c r="D352" s="2">
        <f>HYPERLINK("http://mcb-m6.bioreg.kyushu-u.ac.jp/M3/20110502/F51192/744/1", 35.69)</f>
        <v>35.69</v>
      </c>
      <c r="E352" s="2">
        <v>10.59</v>
      </c>
      <c r="F352" s="2">
        <v>2</v>
      </c>
      <c r="G352" s="2" t="s">
        <v>14</v>
      </c>
    </row>
    <row r="353" spans="1:8" x14ac:dyDescent="0.2">
      <c r="A353" s="2" t="s">
        <v>3382</v>
      </c>
      <c r="B353" s="2" t="s">
        <v>174</v>
      </c>
      <c r="C353" s="2">
        <v>487.31209999999999</v>
      </c>
      <c r="D353" s="2">
        <f>HYPERLINK("http://mcb-m6.bioreg.kyushu-u.ac.jp/M3/20110411/F50890/1075/1", 37.23)</f>
        <v>37.229999999999997</v>
      </c>
      <c r="E353" s="2">
        <v>18.010000000000002</v>
      </c>
      <c r="F353" s="2">
        <v>2</v>
      </c>
      <c r="G353" s="2" t="s">
        <v>9</v>
      </c>
    </row>
    <row r="354" spans="1:8" x14ac:dyDescent="0.2">
      <c r="A354" s="2" t="s">
        <v>4661</v>
      </c>
      <c r="B354" s="2" t="s">
        <v>2823</v>
      </c>
      <c r="C354" s="2">
        <v>680.62270000000001</v>
      </c>
      <c r="D354" s="2">
        <f>HYPERLINK("http://mcb-m6.bioreg.kyushu-u.ac.jp/M3/20110502/F51175/1623/1", 37.3)</f>
        <v>37.299999999999997</v>
      </c>
      <c r="E354" s="2">
        <v>15.84</v>
      </c>
      <c r="F354" s="2">
        <v>2</v>
      </c>
      <c r="G354" s="2" t="s">
        <v>13</v>
      </c>
    </row>
    <row r="355" spans="1:8" x14ac:dyDescent="0.2">
      <c r="A355" s="2" t="s">
        <v>3772</v>
      </c>
      <c r="B355" s="2" t="s">
        <v>796</v>
      </c>
      <c r="C355" s="2">
        <v>760.60400000000004</v>
      </c>
      <c r="D355" s="2">
        <f>HYPERLINK("http://mcb-m6.bioreg.kyushu-u.ac.jp/M3/20110411/F50905/707/1", 51.58)</f>
        <v>51.58</v>
      </c>
      <c r="E355" s="2">
        <v>22.06</v>
      </c>
      <c r="F355" s="2">
        <v>1</v>
      </c>
      <c r="G355" s="2" t="s">
        <v>9</v>
      </c>
    </row>
    <row r="356" spans="1:8" x14ac:dyDescent="0.2">
      <c r="A356" s="2" t="s">
        <v>3772</v>
      </c>
      <c r="B356" s="2" t="s">
        <v>796</v>
      </c>
      <c r="C356" s="2">
        <v>760.51599999999996</v>
      </c>
      <c r="D356" s="2">
        <f>HYPERLINK("http://mcb-m6.bioreg.kyushu-u.ac.jp/M3/20110411/F50904/839/1", 54.97)</f>
        <v>54.97</v>
      </c>
      <c r="E356" s="2">
        <v>21.45</v>
      </c>
      <c r="F356" s="2">
        <v>1</v>
      </c>
      <c r="G356" s="2" t="s">
        <v>9</v>
      </c>
    </row>
    <row r="357" spans="1:8" x14ac:dyDescent="0.2">
      <c r="A357" s="2" t="s">
        <v>3772</v>
      </c>
      <c r="B357" s="2" t="s">
        <v>796</v>
      </c>
      <c r="C357" s="2">
        <v>760.60500000000002</v>
      </c>
      <c r="D357" s="2">
        <f>HYPERLINK("http://mcb-m6.bioreg.kyushu-u.ac.jp/M3/20110411/F50912/776/1", 51.18)</f>
        <v>51.18</v>
      </c>
      <c r="E357" s="2">
        <v>25.27</v>
      </c>
      <c r="F357" s="2">
        <v>1</v>
      </c>
      <c r="G357" s="2" t="s">
        <v>10</v>
      </c>
    </row>
    <row r="358" spans="1:8" x14ac:dyDescent="0.2">
      <c r="A358" s="2" t="s">
        <v>3772</v>
      </c>
      <c r="B358" s="2" t="s">
        <v>796</v>
      </c>
      <c r="C358" s="2">
        <v>760.31100000000004</v>
      </c>
      <c r="D358" s="2">
        <f>HYPERLINK("http://mcb-m6.bioreg.kyushu-u.ac.jp/M3/20110414/F50941/590/1", 45.69)</f>
        <v>45.69</v>
      </c>
      <c r="E358" s="2">
        <v>19.059999999999999</v>
      </c>
      <c r="F358" s="2">
        <v>1</v>
      </c>
      <c r="G358" s="2" t="s">
        <v>11</v>
      </c>
    </row>
    <row r="359" spans="1:8" x14ac:dyDescent="0.2">
      <c r="A359" s="2" t="s">
        <v>3772</v>
      </c>
      <c r="B359" s="2" t="s">
        <v>796</v>
      </c>
      <c r="C359" s="2">
        <v>760.55200000000002</v>
      </c>
      <c r="D359" s="2">
        <f>HYPERLINK("http://mcb-m6.bioreg.kyushu-u.ac.jp/M3/20110502/F51170/717/1", 51.79)</f>
        <v>51.79</v>
      </c>
      <c r="E359" s="2">
        <v>21.91</v>
      </c>
      <c r="F359" s="2">
        <v>1</v>
      </c>
      <c r="G359" s="2" t="s">
        <v>13</v>
      </c>
    </row>
    <row r="360" spans="1:8" x14ac:dyDescent="0.2">
      <c r="A360" s="2" t="s">
        <v>3772</v>
      </c>
      <c r="B360" s="2" t="s">
        <v>796</v>
      </c>
      <c r="C360" s="2">
        <v>760.59699999999998</v>
      </c>
      <c r="D360" s="2">
        <f>HYPERLINK("http://mcb-m6.bioreg.kyushu-u.ac.jp/M3/20110502/F51179/371/1", 51.56)</f>
        <v>51.56</v>
      </c>
      <c r="E360" s="2">
        <v>22.03</v>
      </c>
      <c r="F360" s="2">
        <v>1</v>
      </c>
      <c r="G360" s="2" t="s">
        <v>14</v>
      </c>
    </row>
    <row r="361" spans="1:8" x14ac:dyDescent="0.2">
      <c r="A361" s="2" t="s">
        <v>4653</v>
      </c>
      <c r="B361" s="2" t="s">
        <v>2811</v>
      </c>
      <c r="C361" s="2">
        <v>594.45010000000002</v>
      </c>
      <c r="D361" s="2">
        <f>HYPERLINK("http://mcb-m6.bioreg.kyushu-u.ac.jp/M3/20110502/F51169/1572/1", 36.48)</f>
        <v>36.479999999999997</v>
      </c>
      <c r="E361" s="2">
        <v>12.38</v>
      </c>
      <c r="F361" s="2">
        <v>2</v>
      </c>
      <c r="G361" s="2" t="s">
        <v>13</v>
      </c>
    </row>
    <row r="362" spans="1:8" x14ac:dyDescent="0.2">
      <c r="A362" s="2" t="s">
        <v>4849</v>
      </c>
      <c r="B362" s="2" t="s">
        <v>3125</v>
      </c>
      <c r="C362" s="2">
        <v>868.702</v>
      </c>
      <c r="D362" s="2">
        <f>HYPERLINK("http://mcb-m6.bioreg.kyushu-u.ac.jp/M3/20110502/F51177/445/1", 47.9)</f>
        <v>47.9</v>
      </c>
      <c r="E362" s="2">
        <v>12</v>
      </c>
      <c r="F362" s="2">
        <v>1</v>
      </c>
      <c r="G362" s="2" t="s">
        <v>14</v>
      </c>
      <c r="H362" s="2" t="s">
        <v>4978</v>
      </c>
    </row>
    <row r="363" spans="1:8" x14ac:dyDescent="0.2">
      <c r="A363" s="2" t="s">
        <v>4712</v>
      </c>
      <c r="B363" s="2" t="s">
        <v>2901</v>
      </c>
      <c r="C363" s="2">
        <v>828.82709999999997</v>
      </c>
      <c r="D363" s="2">
        <f>HYPERLINK("http://mcb-m6.bioreg.kyushu-u.ac.jp/M3/20110502/F51180/2299/1", 46.96)</f>
        <v>46.96</v>
      </c>
      <c r="E363" s="2">
        <v>7.7</v>
      </c>
      <c r="F363" s="2">
        <v>2</v>
      </c>
      <c r="G363" s="2" t="s">
        <v>13</v>
      </c>
    </row>
    <row r="364" spans="1:8" x14ac:dyDescent="0.2">
      <c r="A364" s="2" t="s">
        <v>4409</v>
      </c>
      <c r="B364" s="2" t="s">
        <v>2261</v>
      </c>
      <c r="C364" s="2">
        <v>494.79259999999999</v>
      </c>
      <c r="D364" s="2">
        <f>HYPERLINK("http://mcb-m6.bioreg.kyushu-u.ac.jp/M3/20110414/F50925/1425/1", 40.67)</f>
        <v>40.67</v>
      </c>
      <c r="E364" s="2">
        <v>14.07</v>
      </c>
      <c r="F364" s="2">
        <v>2</v>
      </c>
      <c r="G364" s="2" t="s">
        <v>11</v>
      </c>
    </row>
    <row r="365" spans="1:8" x14ac:dyDescent="0.2">
      <c r="A365" s="2" t="s">
        <v>3500</v>
      </c>
      <c r="B365" s="2" t="s">
        <v>336</v>
      </c>
      <c r="C365" s="2">
        <v>696.65120000000002</v>
      </c>
      <c r="D365" s="2">
        <f>HYPERLINK("http://mcb-m6.bioreg.kyushu-u.ac.jp/M3/20110411/F50890/3435/1", 39.89)</f>
        <v>39.89</v>
      </c>
      <c r="E365" s="2">
        <v>28.99</v>
      </c>
      <c r="F365" s="2">
        <v>3</v>
      </c>
      <c r="G365" s="2" t="s">
        <v>9</v>
      </c>
      <c r="H365" s="2" t="s">
        <v>4912</v>
      </c>
    </row>
    <row r="366" spans="1:8" x14ac:dyDescent="0.2">
      <c r="A366" s="2" t="s">
        <v>4445</v>
      </c>
      <c r="B366" s="2" t="s">
        <v>2344</v>
      </c>
      <c r="C366" s="2">
        <v>688.34799999999996</v>
      </c>
      <c r="D366" s="2">
        <f>HYPERLINK("http://mcb-m6.bioreg.kyushu-u.ac.jp/M3/20110414/F50926/1112/1", 48.94)</f>
        <v>48.94</v>
      </c>
      <c r="E366" s="2">
        <v>7.4</v>
      </c>
      <c r="F366" s="2">
        <v>1</v>
      </c>
      <c r="G366" s="2" t="s">
        <v>11</v>
      </c>
    </row>
    <row r="367" spans="1:8" x14ac:dyDescent="0.2">
      <c r="A367" s="2" t="s">
        <v>4445</v>
      </c>
      <c r="B367" s="2" t="s">
        <v>2344</v>
      </c>
      <c r="C367" s="2">
        <v>688.17100000000005</v>
      </c>
      <c r="D367" s="2">
        <f>HYPERLINK("http://mcb-m6.bioreg.kyushu-u.ac.jp/M3/20110414/F50926/1110/1", 49.18)</f>
        <v>49.18</v>
      </c>
      <c r="E367" s="2">
        <v>7.4</v>
      </c>
      <c r="F367" s="2">
        <v>1</v>
      </c>
      <c r="G367" s="2" t="s">
        <v>11</v>
      </c>
    </row>
    <row r="368" spans="1:8" x14ac:dyDescent="0.2">
      <c r="A368" s="2" t="s">
        <v>4445</v>
      </c>
      <c r="B368" s="2" t="s">
        <v>2344</v>
      </c>
      <c r="C368" s="2">
        <v>688.226</v>
      </c>
      <c r="D368" s="2">
        <f>HYPERLINK("http://mcb-m6.bioreg.kyushu-u.ac.jp/M3/20110502/F51167/1172/1", 48.59)</f>
        <v>48.59</v>
      </c>
      <c r="E368" s="2">
        <v>7.4</v>
      </c>
      <c r="F368" s="2">
        <v>1</v>
      </c>
      <c r="G368" s="2" t="s">
        <v>13</v>
      </c>
    </row>
    <row r="369" spans="1:9" x14ac:dyDescent="0.2">
      <c r="A369" s="2" t="s">
        <v>4445</v>
      </c>
      <c r="B369" s="2" t="s">
        <v>2344</v>
      </c>
      <c r="C369" s="2">
        <v>688.21199999999999</v>
      </c>
      <c r="D369" s="2">
        <f>HYPERLINK("http://mcb-m6.bioreg.kyushu-u.ac.jp/M3/20110502/F51167/1171/1", 49.27)</f>
        <v>49.27</v>
      </c>
      <c r="E369" s="2">
        <v>7.4</v>
      </c>
      <c r="F369" s="2">
        <v>1</v>
      </c>
      <c r="G369" s="2" t="s">
        <v>13</v>
      </c>
    </row>
    <row r="370" spans="1:9" x14ac:dyDescent="0.2">
      <c r="A370" s="2" t="s">
        <v>4336</v>
      </c>
      <c r="B370" s="2" t="s">
        <v>2151</v>
      </c>
      <c r="C370" s="2">
        <v>489.92419999999998</v>
      </c>
      <c r="D370" s="2">
        <f>HYPERLINK("http://mcb-m6.bioreg.kyushu-u.ac.jp/M3/20110414/F50926/2184/1", 35.06)</f>
        <v>35.06</v>
      </c>
      <c r="E370" s="2">
        <v>16.12</v>
      </c>
      <c r="F370" s="2">
        <v>3</v>
      </c>
      <c r="G370" s="2" t="s">
        <v>11</v>
      </c>
      <c r="H370" s="2" t="s">
        <v>4915</v>
      </c>
    </row>
    <row r="371" spans="1:9" x14ac:dyDescent="0.2">
      <c r="A371" s="2" t="s">
        <v>4832</v>
      </c>
      <c r="B371" s="2" t="s">
        <v>3093</v>
      </c>
      <c r="C371" s="2">
        <v>453.57560000000001</v>
      </c>
      <c r="D371" s="2">
        <f>HYPERLINK("http://mcb-m6.bioreg.kyushu-u.ac.jp/M3/20110502/F51181/589/1", 44.02)</f>
        <v>44.02</v>
      </c>
      <c r="E371" s="2">
        <v>8.8800000000000008</v>
      </c>
      <c r="F371" s="2">
        <v>2</v>
      </c>
      <c r="G371" s="2" t="s">
        <v>14</v>
      </c>
    </row>
    <row r="372" spans="1:9" x14ac:dyDescent="0.2">
      <c r="A372" s="2" t="s">
        <v>4209</v>
      </c>
      <c r="B372" s="2" t="s">
        <v>1802</v>
      </c>
      <c r="C372" s="2">
        <v>1060.5909999999999</v>
      </c>
      <c r="D372" s="2">
        <f>HYPERLINK("http://mcb-m6.bioreg.kyushu-u.ac.jp/M3/20110411/F50914/1183/1", 39.97)</f>
        <v>39.97</v>
      </c>
      <c r="E372" s="2">
        <v>20.92</v>
      </c>
      <c r="F372" s="2">
        <v>1</v>
      </c>
      <c r="G372" s="2" t="s">
        <v>10</v>
      </c>
    </row>
    <row r="373" spans="1:9" x14ac:dyDescent="0.2">
      <c r="A373" s="2" t="s">
        <v>4816</v>
      </c>
      <c r="B373" s="2" t="s">
        <v>3068</v>
      </c>
      <c r="C373" s="2">
        <v>745.79669999999999</v>
      </c>
      <c r="D373" s="2">
        <f>HYPERLINK("http://mcb-m6.bioreg.kyushu-u.ac.jp/M3/20110502/F51185/1928/1", 41.6)</f>
        <v>41.6</v>
      </c>
      <c r="E373" s="2">
        <v>8.33</v>
      </c>
      <c r="F373" s="2">
        <v>2</v>
      </c>
      <c r="G373" s="2" t="s">
        <v>14</v>
      </c>
      <c r="H373" s="2" t="s">
        <v>4908</v>
      </c>
    </row>
    <row r="374" spans="1:9" x14ac:dyDescent="0.2">
      <c r="A374" s="2" t="s">
        <v>4174</v>
      </c>
      <c r="B374" s="2" t="s">
        <v>1747</v>
      </c>
      <c r="C374" s="2">
        <v>547.17769999999996</v>
      </c>
      <c r="D374" s="2">
        <f>HYPERLINK("http://mcb-m6.bioreg.kyushu-u.ac.jp/M3/20110411/F50901/1352/1", 37.56)</f>
        <v>37.56</v>
      </c>
      <c r="E374" s="2">
        <v>14</v>
      </c>
      <c r="F374" s="2">
        <v>2</v>
      </c>
      <c r="G374" s="2" t="s">
        <v>10</v>
      </c>
      <c r="H374" s="2" t="s">
        <v>4920</v>
      </c>
      <c r="I374" s="2" t="s">
        <v>4892</v>
      </c>
    </row>
    <row r="375" spans="1:9" x14ac:dyDescent="0.2">
      <c r="A375" s="2" t="s">
        <v>3503</v>
      </c>
      <c r="B375" s="2" t="s">
        <v>340</v>
      </c>
      <c r="C375" s="2">
        <v>714.10969999999998</v>
      </c>
      <c r="D375" s="2">
        <f>HYPERLINK("http://mcb-m6.bioreg.kyushu-u.ac.jp/M3/20110411/F50903/1924/1", 39.97)</f>
        <v>39.97</v>
      </c>
      <c r="E375" s="2">
        <v>19.45</v>
      </c>
      <c r="F375" s="2">
        <v>2</v>
      </c>
      <c r="G375" s="2" t="s">
        <v>9</v>
      </c>
    </row>
    <row r="376" spans="1:9" x14ac:dyDescent="0.2">
      <c r="A376" s="2" t="s">
        <v>4194</v>
      </c>
      <c r="B376" s="2" t="s">
        <v>1779</v>
      </c>
      <c r="C376" s="2">
        <v>617.29909999999995</v>
      </c>
      <c r="D376" s="2">
        <f>HYPERLINK("http://mcb-m6.bioreg.kyushu-u.ac.jp/M3/20110411/F50912/1513/1", 38.84)</f>
        <v>38.840000000000003</v>
      </c>
      <c r="E376" s="2">
        <v>12.26</v>
      </c>
      <c r="F376" s="2">
        <v>2</v>
      </c>
      <c r="G376" s="2" t="s">
        <v>10</v>
      </c>
    </row>
    <row r="377" spans="1:9" x14ac:dyDescent="0.2">
      <c r="A377" s="2" t="s">
        <v>4151</v>
      </c>
      <c r="B377" s="2" t="s">
        <v>1704</v>
      </c>
      <c r="C377" s="2">
        <v>692.7192</v>
      </c>
      <c r="D377" s="2">
        <f>HYPERLINK("http://mcb-m6.bioreg.kyushu-u.ac.jp/M3/20110411/F50897/1723/1", 35.58)</f>
        <v>35.58</v>
      </c>
      <c r="E377" s="2">
        <v>8.9</v>
      </c>
      <c r="F377" s="2">
        <v>2</v>
      </c>
      <c r="G377" s="2" t="s">
        <v>10</v>
      </c>
      <c r="H377" s="2" t="s">
        <v>4908</v>
      </c>
    </row>
    <row r="378" spans="1:9" x14ac:dyDescent="0.2">
      <c r="A378" s="2" t="s">
        <v>4809</v>
      </c>
      <c r="B378" s="2" t="s">
        <v>3058</v>
      </c>
      <c r="C378" s="2">
        <v>961.70510000000002</v>
      </c>
      <c r="D378" s="2">
        <f>HYPERLINK("http://mcb-m6.bioreg.kyushu-u.ac.jp/M3/20110502/F51186/2747/1", 40.66)</f>
        <v>40.659999999999997</v>
      </c>
      <c r="E378" s="2">
        <v>20.47</v>
      </c>
      <c r="F378" s="2">
        <v>2</v>
      </c>
      <c r="G378" s="2" t="s">
        <v>14</v>
      </c>
      <c r="H378" s="2" t="s">
        <v>4910</v>
      </c>
    </row>
    <row r="379" spans="1:9" x14ac:dyDescent="0.2">
      <c r="A379" s="2" t="s">
        <v>4356</v>
      </c>
      <c r="B379" s="2" t="s">
        <v>2173</v>
      </c>
      <c r="C379" s="2">
        <v>450.91910000000001</v>
      </c>
      <c r="D379" s="2">
        <f>HYPERLINK("http://mcb-m6.bioreg.kyushu-u.ac.jp/M3/20110414/F50926/1272/1", 35.94)</f>
        <v>35.94</v>
      </c>
      <c r="E379" s="2">
        <v>15.49</v>
      </c>
      <c r="F379" s="2">
        <v>2</v>
      </c>
      <c r="G379" s="2" t="s">
        <v>11</v>
      </c>
    </row>
    <row r="380" spans="1:9" x14ac:dyDescent="0.2">
      <c r="A380" s="2" t="s">
        <v>4226</v>
      </c>
      <c r="B380" s="2" t="s">
        <v>1833</v>
      </c>
      <c r="C380" s="2">
        <v>481.28890000000001</v>
      </c>
      <c r="D380" s="2">
        <f>HYPERLINK("http://mcb-m6.bioreg.kyushu-u.ac.jp/M3/20110411/F50917/1844/1", 41.95)</f>
        <v>41.95</v>
      </c>
      <c r="E380" s="2">
        <v>14.48</v>
      </c>
      <c r="F380" s="2">
        <v>3</v>
      </c>
      <c r="G380" s="2" t="s">
        <v>10</v>
      </c>
    </row>
    <row r="381" spans="1:9" x14ac:dyDescent="0.2">
      <c r="A381" s="2" t="s">
        <v>4843</v>
      </c>
      <c r="B381" s="2" t="s">
        <v>3113</v>
      </c>
      <c r="C381" s="2">
        <v>887.76300000000003</v>
      </c>
      <c r="D381" s="2">
        <f>HYPERLINK("http://mcb-m6.bioreg.kyushu-u.ac.jp/M3/20110502/F51181/552/1", 46.6)</f>
        <v>46.6</v>
      </c>
      <c r="E381" s="2">
        <v>7.69</v>
      </c>
      <c r="F381" s="2">
        <v>1</v>
      </c>
      <c r="G381" s="2" t="s">
        <v>14</v>
      </c>
      <c r="I381" s="2" t="s">
        <v>4893</v>
      </c>
    </row>
    <row r="382" spans="1:9" x14ac:dyDescent="0.2">
      <c r="A382" s="2" t="s">
        <v>4656</v>
      </c>
      <c r="B382" s="2" t="s">
        <v>2814</v>
      </c>
      <c r="C382" s="2">
        <v>548.64469999999994</v>
      </c>
      <c r="D382" s="2">
        <f>HYPERLINK("http://mcb-m6.bioreg.kyushu-u.ac.jp/M3/20110502/F51180/896/1", 36.79)</f>
        <v>36.79</v>
      </c>
      <c r="E382" s="2">
        <v>18.32</v>
      </c>
      <c r="F382" s="2">
        <v>2</v>
      </c>
      <c r="G382" s="2" t="s">
        <v>13</v>
      </c>
    </row>
    <row r="383" spans="1:9" x14ac:dyDescent="0.2">
      <c r="A383" s="2" t="s">
        <v>3760</v>
      </c>
      <c r="B383" s="2" t="s">
        <v>776</v>
      </c>
      <c r="C383" s="2">
        <v>593.55619999999999</v>
      </c>
      <c r="D383" s="2">
        <f>HYPERLINK("http://mcb-m6.bioreg.kyushu-u.ac.jp/M3/20110411/F50905/1329/1", 50.85)</f>
        <v>50.85</v>
      </c>
      <c r="E383" s="2">
        <v>3.57</v>
      </c>
      <c r="F383" s="2">
        <v>2</v>
      </c>
      <c r="G383" s="2" t="s">
        <v>9</v>
      </c>
    </row>
    <row r="384" spans="1:9" x14ac:dyDescent="0.2">
      <c r="A384" s="2" t="s">
        <v>4529</v>
      </c>
      <c r="B384" s="2" t="s">
        <v>2553</v>
      </c>
      <c r="C384" s="2">
        <v>780.03970000000004</v>
      </c>
      <c r="D384" s="2">
        <f>HYPERLINK("http://mcb-m6.bioreg.kyushu-u.ac.jp/M3/20110414/F50950/2371/1", 37.56)</f>
        <v>37.56</v>
      </c>
      <c r="E384" s="2">
        <v>12.11</v>
      </c>
      <c r="F384" s="2">
        <v>2</v>
      </c>
      <c r="G384" s="2" t="s">
        <v>12</v>
      </c>
      <c r="H384" s="2" t="s">
        <v>4904</v>
      </c>
    </row>
    <row r="385" spans="1:8" x14ac:dyDescent="0.2">
      <c r="A385" s="2" t="s">
        <v>4392</v>
      </c>
      <c r="B385" s="2" t="s">
        <v>2233</v>
      </c>
      <c r="C385" s="2">
        <v>667.62070000000006</v>
      </c>
      <c r="D385" s="2">
        <f>HYPERLINK("http://mcb-m6.bioreg.kyushu-u.ac.jp/M3/20110414/F50943/1477/1", 38.89)</f>
        <v>38.89</v>
      </c>
      <c r="E385" s="2">
        <v>21.99</v>
      </c>
      <c r="F385" s="2">
        <v>2</v>
      </c>
      <c r="G385" s="2" t="s">
        <v>11</v>
      </c>
      <c r="H385" s="2" t="s">
        <v>4927</v>
      </c>
    </row>
    <row r="386" spans="1:8" x14ac:dyDescent="0.2">
      <c r="A386" s="2" t="s">
        <v>4375</v>
      </c>
      <c r="B386" s="2" t="s">
        <v>2206</v>
      </c>
      <c r="C386" s="2">
        <v>533.07569999999998</v>
      </c>
      <c r="D386" s="2">
        <f>HYPERLINK("http://mcb-m6.bioreg.kyushu-u.ac.jp/M3/20110414/F50944/1385/1", 37.13)</f>
        <v>37.130000000000003</v>
      </c>
      <c r="E386" s="2">
        <v>20.11</v>
      </c>
      <c r="F386" s="2">
        <v>2</v>
      </c>
      <c r="G386" s="2" t="s">
        <v>11</v>
      </c>
    </row>
    <row r="387" spans="1:8" x14ac:dyDescent="0.2">
      <c r="A387" s="2" t="s">
        <v>4796</v>
      </c>
      <c r="B387" s="2" t="s">
        <v>3033</v>
      </c>
      <c r="C387" s="2">
        <v>533.13210000000004</v>
      </c>
      <c r="D387" s="2">
        <f>HYPERLINK("http://mcb-m6.bioreg.kyushu-u.ac.jp/M3/20110502/F51183/885/1", 38.73)</f>
        <v>38.729999999999997</v>
      </c>
      <c r="E387" s="2">
        <v>14.25</v>
      </c>
      <c r="F387" s="2">
        <v>2</v>
      </c>
      <c r="G387" s="2" t="s">
        <v>14</v>
      </c>
    </row>
    <row r="388" spans="1:8" x14ac:dyDescent="0.2">
      <c r="A388" s="2" t="s">
        <v>3284</v>
      </c>
      <c r="B388" s="2" t="s">
        <v>64</v>
      </c>
      <c r="C388" s="2">
        <v>559.2047</v>
      </c>
      <c r="D388" s="2">
        <f>HYPERLINK("http://mcb-m6.bioreg.kyushu-u.ac.jp/M3/20110411/F50905/1191/1", 35.6)</f>
        <v>35.6</v>
      </c>
      <c r="E388" s="2">
        <v>9.64</v>
      </c>
      <c r="F388" s="2">
        <v>2</v>
      </c>
      <c r="G388" s="2" t="s">
        <v>9</v>
      </c>
    </row>
    <row r="389" spans="1:8" x14ac:dyDescent="0.2">
      <c r="A389" s="2" t="s">
        <v>4812</v>
      </c>
      <c r="B389" s="2" t="s">
        <v>3063</v>
      </c>
      <c r="C389" s="2">
        <v>605.48659999999995</v>
      </c>
      <c r="D389" s="2">
        <f>HYPERLINK("http://mcb-m6.bioreg.kyushu-u.ac.jp/M3/20110502/F51185/1193/1", 41.24)</f>
        <v>41.24</v>
      </c>
      <c r="E389" s="2">
        <v>20.65</v>
      </c>
      <c r="F389" s="2">
        <v>2</v>
      </c>
      <c r="G389" s="2" t="s">
        <v>14</v>
      </c>
      <c r="H389" s="2" t="s">
        <v>4900</v>
      </c>
    </row>
    <row r="390" spans="1:8" x14ac:dyDescent="0.2">
      <c r="A390" s="2" t="s">
        <v>4761</v>
      </c>
      <c r="B390" s="2" t="s">
        <v>2989</v>
      </c>
      <c r="C390" s="2">
        <v>579.54380000000003</v>
      </c>
      <c r="D390" s="2">
        <f>HYPERLINK("http://mcb-m6.bioreg.kyushu-u.ac.jp/M3/20110502/F51193/2540/1", 36.54)</f>
        <v>36.54</v>
      </c>
      <c r="E390" s="2">
        <v>27.48</v>
      </c>
      <c r="F390" s="2">
        <v>3</v>
      </c>
      <c r="G390" s="2" t="s">
        <v>14</v>
      </c>
    </row>
    <row r="391" spans="1:8" x14ac:dyDescent="0.2">
      <c r="A391" s="2" t="s">
        <v>4446</v>
      </c>
      <c r="B391" s="2" t="s">
        <v>2345</v>
      </c>
      <c r="C391" s="2">
        <v>688.34799999999996</v>
      </c>
      <c r="D391" s="2">
        <f>HYPERLINK("http://mcb-m6.bioreg.kyushu-u.ac.jp/M3/20110414/F50926/1112/2", 48.94)</f>
        <v>48.94</v>
      </c>
      <c r="E391" s="2">
        <v>7.4</v>
      </c>
      <c r="F391" s="2">
        <v>1</v>
      </c>
      <c r="G391" s="2" t="s">
        <v>11</v>
      </c>
    </row>
    <row r="392" spans="1:8" x14ac:dyDescent="0.2">
      <c r="A392" s="2" t="s">
        <v>4446</v>
      </c>
      <c r="B392" s="2" t="s">
        <v>2345</v>
      </c>
      <c r="C392" s="2">
        <v>688.17100000000005</v>
      </c>
      <c r="D392" s="2">
        <f>HYPERLINK("http://mcb-m6.bioreg.kyushu-u.ac.jp/M3/20110414/F50926/1110/2", 49.18)</f>
        <v>49.18</v>
      </c>
      <c r="E392" s="2">
        <v>7.4</v>
      </c>
      <c r="F392" s="2">
        <v>1</v>
      </c>
      <c r="G392" s="2" t="s">
        <v>11</v>
      </c>
    </row>
    <row r="393" spans="1:8" x14ac:dyDescent="0.2">
      <c r="A393" s="2" t="s">
        <v>4446</v>
      </c>
      <c r="B393" s="2" t="s">
        <v>2345</v>
      </c>
      <c r="C393" s="2">
        <v>688.226</v>
      </c>
      <c r="D393" s="2">
        <f>HYPERLINK("http://mcb-m6.bioreg.kyushu-u.ac.jp/M3/20110502/F51167/1172/2", 48.59)</f>
        <v>48.59</v>
      </c>
      <c r="E393" s="2">
        <v>7.4</v>
      </c>
      <c r="F393" s="2">
        <v>1</v>
      </c>
      <c r="G393" s="2" t="s">
        <v>13</v>
      </c>
    </row>
    <row r="394" spans="1:8" x14ac:dyDescent="0.2">
      <c r="A394" s="2" t="s">
        <v>4446</v>
      </c>
      <c r="B394" s="2" t="s">
        <v>2345</v>
      </c>
      <c r="C394" s="2">
        <v>688.21199999999999</v>
      </c>
      <c r="D394" s="2">
        <f>HYPERLINK("http://mcb-m6.bioreg.kyushu-u.ac.jp/M3/20110502/F51167/1171/2", 49.27)</f>
        <v>49.27</v>
      </c>
      <c r="E394" s="2">
        <v>7.4</v>
      </c>
      <c r="F394" s="2">
        <v>1</v>
      </c>
      <c r="G394" s="2" t="s">
        <v>13</v>
      </c>
    </row>
    <row r="395" spans="1:8" x14ac:dyDescent="0.2">
      <c r="A395" s="2" t="s">
        <v>4527</v>
      </c>
      <c r="B395" s="2" t="s">
        <v>2549</v>
      </c>
      <c r="C395" s="2">
        <v>866.0847</v>
      </c>
      <c r="D395" s="2">
        <f>HYPERLINK("http://mcb-m6.bioreg.kyushu-u.ac.jp/M3/20110414/F50948/2815/1", 37.23)</f>
        <v>37.229999999999997</v>
      </c>
      <c r="E395" s="2">
        <v>23.16</v>
      </c>
      <c r="F395" s="2">
        <v>2</v>
      </c>
      <c r="G395" s="2" t="s">
        <v>12</v>
      </c>
    </row>
    <row r="396" spans="1:8" x14ac:dyDescent="0.2">
      <c r="A396" s="2" t="s">
        <v>4652</v>
      </c>
      <c r="B396" s="2" t="s">
        <v>2810</v>
      </c>
      <c r="C396" s="2">
        <v>734.31569999999999</v>
      </c>
      <c r="D396" s="2">
        <f>HYPERLINK("http://mcb-m6.bioreg.kyushu-u.ac.jp/M3/20110502/F51180/1766/1", 36.47)</f>
        <v>36.47</v>
      </c>
      <c r="E396" s="2">
        <v>14.59</v>
      </c>
      <c r="F396" s="2">
        <v>2</v>
      </c>
      <c r="G396" s="2" t="s">
        <v>13</v>
      </c>
    </row>
    <row r="397" spans="1:8" x14ac:dyDescent="0.2">
      <c r="A397" s="2" t="s">
        <v>3462</v>
      </c>
      <c r="B397" s="2" t="s">
        <v>273</v>
      </c>
      <c r="C397" s="2">
        <v>658.42110000000002</v>
      </c>
      <c r="D397" s="2">
        <f>HYPERLINK("http://mcb-m6.bioreg.kyushu-u.ac.jp/M3/20110411/F50916/1431/1", 38.84)</f>
        <v>38.840000000000003</v>
      </c>
      <c r="E397" s="2">
        <v>12.01</v>
      </c>
      <c r="F397" s="2">
        <v>2</v>
      </c>
      <c r="G397" s="2" t="s">
        <v>9</v>
      </c>
    </row>
    <row r="398" spans="1:8" x14ac:dyDescent="0.2">
      <c r="A398" s="2" t="s">
        <v>4166</v>
      </c>
      <c r="B398" s="2" t="s">
        <v>1730</v>
      </c>
      <c r="C398" s="2">
        <v>654.45259999999996</v>
      </c>
      <c r="D398" s="2">
        <f>HYPERLINK("http://mcb-m6.bioreg.kyushu-u.ac.jp/M3/20110411/F50912/1647/1", 36.67)</f>
        <v>36.67</v>
      </c>
      <c r="E398" s="2">
        <v>15.64</v>
      </c>
      <c r="F398" s="2">
        <v>2</v>
      </c>
      <c r="G398" s="2" t="s">
        <v>10</v>
      </c>
    </row>
    <row r="399" spans="1:8" x14ac:dyDescent="0.2">
      <c r="A399" s="2" t="s">
        <v>3655</v>
      </c>
      <c r="B399" s="2" t="s">
        <v>588</v>
      </c>
      <c r="C399" s="2">
        <v>753.0702</v>
      </c>
      <c r="D399" s="2">
        <f>HYPERLINK("http://mcb-m6.bioreg.kyushu-u.ac.jp/M3/20110411/F50904/2102/1", 45.57)</f>
        <v>45.57</v>
      </c>
      <c r="E399" s="2">
        <v>22.21</v>
      </c>
      <c r="F399" s="2">
        <v>2</v>
      </c>
      <c r="G399" s="2" t="s">
        <v>9</v>
      </c>
      <c r="H399" s="2" t="s">
        <v>4908</v>
      </c>
    </row>
    <row r="400" spans="1:8" x14ac:dyDescent="0.2">
      <c r="A400" s="2" t="s">
        <v>3655</v>
      </c>
      <c r="B400" s="2" t="s">
        <v>588</v>
      </c>
      <c r="C400" s="2">
        <v>753.11220000000003</v>
      </c>
      <c r="D400" s="2">
        <f>HYPERLINK("http://mcb-m6.bioreg.kyushu-u.ac.jp/M3/20110502/F51187/1806/1", 35.58)</f>
        <v>35.58</v>
      </c>
      <c r="E400" s="2">
        <v>18.02</v>
      </c>
      <c r="F400" s="2">
        <v>2</v>
      </c>
      <c r="G400" s="2" t="s">
        <v>13</v>
      </c>
      <c r="H400" s="2" t="s">
        <v>4908</v>
      </c>
    </row>
    <row r="401" spans="1:8" x14ac:dyDescent="0.2">
      <c r="A401" s="2" t="s">
        <v>3686</v>
      </c>
      <c r="B401" s="2" t="s">
        <v>648</v>
      </c>
      <c r="C401" s="2">
        <v>523.40620000000001</v>
      </c>
      <c r="D401" s="2">
        <f>HYPERLINK("http://mcb-m6.bioreg.kyushu-u.ac.jp/M3/20110411/F50911/1062/1", 47.22)</f>
        <v>47.22</v>
      </c>
      <c r="E401" s="2">
        <v>10.99</v>
      </c>
      <c r="F401" s="2">
        <v>2</v>
      </c>
      <c r="G401" s="2" t="s">
        <v>9</v>
      </c>
      <c r="H401" s="2" t="s">
        <v>4910</v>
      </c>
    </row>
    <row r="402" spans="1:8" x14ac:dyDescent="0.2">
      <c r="A402" s="2" t="s">
        <v>3686</v>
      </c>
      <c r="B402" s="2" t="s">
        <v>648</v>
      </c>
      <c r="C402" s="2">
        <v>523.52009999999996</v>
      </c>
      <c r="D402" s="2">
        <f>HYPERLINK("http://mcb-m6.bioreg.kyushu-u.ac.jp/M3/20110502/F51169/1257/1", 38.06)</f>
        <v>38.06</v>
      </c>
      <c r="E402" s="2">
        <v>10.72</v>
      </c>
      <c r="F402" s="2">
        <v>2</v>
      </c>
      <c r="G402" s="2" t="s">
        <v>13</v>
      </c>
      <c r="H402" s="2" t="s">
        <v>4910</v>
      </c>
    </row>
    <row r="403" spans="1:8" x14ac:dyDescent="0.2">
      <c r="A403" s="2" t="s">
        <v>3686</v>
      </c>
      <c r="B403" s="2" t="s">
        <v>648</v>
      </c>
      <c r="C403" s="2">
        <v>523.6952</v>
      </c>
      <c r="D403" s="2">
        <f>HYPERLINK("http://mcb-m6.bioreg.kyushu-u.ac.jp/M3/20110502/F51180/806/1", 47.27)</f>
        <v>47.27</v>
      </c>
      <c r="E403" s="2">
        <v>10.96</v>
      </c>
      <c r="F403" s="2">
        <v>2</v>
      </c>
      <c r="G403" s="2" t="s">
        <v>13</v>
      </c>
      <c r="H403" s="2" t="s">
        <v>4910</v>
      </c>
    </row>
    <row r="404" spans="1:8" x14ac:dyDescent="0.2">
      <c r="A404" s="2" t="s">
        <v>3686</v>
      </c>
      <c r="B404" s="2" t="s">
        <v>648</v>
      </c>
      <c r="C404" s="2">
        <v>524.37070000000006</v>
      </c>
      <c r="D404" s="2">
        <f>HYPERLINK("http://mcb-m6.bioreg.kyushu-u.ac.jp/M3/20110502/F51194/718/1", 36.15)</f>
        <v>36.15</v>
      </c>
      <c r="E404" s="2">
        <v>9.77</v>
      </c>
      <c r="F404" s="2">
        <v>2</v>
      </c>
      <c r="G404" s="2" t="s">
        <v>14</v>
      </c>
      <c r="H404" s="2" t="s">
        <v>4910</v>
      </c>
    </row>
    <row r="405" spans="1:8" x14ac:dyDescent="0.2">
      <c r="A405" s="2" t="s">
        <v>3686</v>
      </c>
      <c r="B405" s="2" t="s">
        <v>648</v>
      </c>
      <c r="C405" s="2">
        <v>524.01009999999997</v>
      </c>
      <c r="D405" s="2">
        <f>HYPERLINK("http://mcb-m6.bioreg.kyushu-u.ac.jp/M3/20110502/F51181/914/1", 36.37)</f>
        <v>36.369999999999997</v>
      </c>
      <c r="E405" s="2">
        <v>11.72</v>
      </c>
      <c r="F405" s="2">
        <v>2</v>
      </c>
      <c r="G405" s="2" t="s">
        <v>14</v>
      </c>
      <c r="H405" s="2" t="s">
        <v>4910</v>
      </c>
    </row>
    <row r="406" spans="1:8" x14ac:dyDescent="0.2">
      <c r="A406" s="2" t="s">
        <v>3686</v>
      </c>
      <c r="B406" s="2" t="s">
        <v>648</v>
      </c>
      <c r="C406" s="2">
        <v>523.68470000000002</v>
      </c>
      <c r="D406" s="2">
        <f>HYPERLINK("http://mcb-m6.bioreg.kyushu-u.ac.jp/M3/20110502/F51190/927/1", 36.65)</f>
        <v>36.65</v>
      </c>
      <c r="E406" s="2">
        <v>12.19</v>
      </c>
      <c r="F406" s="2">
        <v>2</v>
      </c>
      <c r="G406" s="2" t="s">
        <v>14</v>
      </c>
      <c r="H406" s="2" t="s">
        <v>4910</v>
      </c>
    </row>
    <row r="407" spans="1:8" x14ac:dyDescent="0.2">
      <c r="A407" s="2" t="s">
        <v>3686</v>
      </c>
      <c r="B407" s="2" t="s">
        <v>648</v>
      </c>
      <c r="C407" s="2">
        <v>523.54909999999995</v>
      </c>
      <c r="D407" s="2">
        <f>HYPERLINK("http://mcb-m6.bioreg.kyushu-u.ac.jp/M3/20110502/F51176/1500/1", 45.51)</f>
        <v>45.51</v>
      </c>
      <c r="E407" s="2">
        <v>12.68</v>
      </c>
      <c r="F407" s="2">
        <v>2</v>
      </c>
      <c r="G407" s="2" t="s">
        <v>14</v>
      </c>
      <c r="H407" s="2" t="s">
        <v>4910</v>
      </c>
    </row>
    <row r="408" spans="1:8" x14ac:dyDescent="0.2">
      <c r="A408" s="2" t="s">
        <v>4175</v>
      </c>
      <c r="B408" s="2" t="s">
        <v>1748</v>
      </c>
      <c r="C408" s="2">
        <v>546.94370000000004</v>
      </c>
      <c r="D408" s="2">
        <f>HYPERLINK("http://mcb-m6.bioreg.kyushu-u.ac.jp/M3/20110411/F50914/1237/1", 37.58)</f>
        <v>37.58</v>
      </c>
      <c r="E408" s="2">
        <v>11.92</v>
      </c>
      <c r="F408" s="2">
        <v>2</v>
      </c>
      <c r="G408" s="2" t="s">
        <v>10</v>
      </c>
    </row>
    <row r="409" spans="1:8" x14ac:dyDescent="0.2">
      <c r="A409" s="2" t="s">
        <v>3307</v>
      </c>
      <c r="B409" s="2" t="s">
        <v>88</v>
      </c>
      <c r="C409" s="2">
        <v>743.98910000000001</v>
      </c>
      <c r="D409" s="2">
        <f>HYPERLINK("http://mcb-m6.bioreg.kyushu-u.ac.jp/M3/20110411/F50895/2111/1", 35.9)</f>
        <v>35.9</v>
      </c>
      <c r="E409" s="2">
        <v>11.74</v>
      </c>
      <c r="F409" s="2">
        <v>2</v>
      </c>
      <c r="G409" s="2" t="s">
        <v>9</v>
      </c>
    </row>
    <row r="410" spans="1:8" x14ac:dyDescent="0.2">
      <c r="A410" s="2" t="s">
        <v>3307</v>
      </c>
      <c r="B410" s="2" t="s">
        <v>88</v>
      </c>
      <c r="C410" s="2">
        <v>743.96810000000005</v>
      </c>
      <c r="D410" s="2">
        <f>HYPERLINK("http://mcb-m6.bioreg.kyushu-u.ac.jp/M3/20110411/F50916/1934/1", 44.87)</f>
        <v>44.87</v>
      </c>
      <c r="E410" s="2">
        <v>12.53</v>
      </c>
      <c r="F410" s="2">
        <v>2</v>
      </c>
      <c r="G410" s="2" t="s">
        <v>9</v>
      </c>
    </row>
    <row r="411" spans="1:8" x14ac:dyDescent="0.2">
      <c r="A411" s="2" t="s">
        <v>3307</v>
      </c>
      <c r="B411" s="2" t="s">
        <v>88</v>
      </c>
      <c r="C411" s="2">
        <v>743.98270000000002</v>
      </c>
      <c r="D411" s="2">
        <f>HYPERLINK("http://mcb-m6.bioreg.kyushu-u.ac.jp/M3/20110411/F50900/2160/1", 37.61)</f>
        <v>37.61</v>
      </c>
      <c r="E411" s="2">
        <v>13.13</v>
      </c>
      <c r="F411" s="2">
        <v>2</v>
      </c>
      <c r="G411" s="2" t="s">
        <v>10</v>
      </c>
    </row>
    <row r="412" spans="1:8" x14ac:dyDescent="0.2">
      <c r="A412" s="2" t="s">
        <v>3307</v>
      </c>
      <c r="B412" s="2" t="s">
        <v>88</v>
      </c>
      <c r="C412" s="2">
        <v>744.25210000000004</v>
      </c>
      <c r="D412" s="2">
        <f>HYPERLINK("http://mcb-m6.bioreg.kyushu-u.ac.jp/M3/20110414/F50943/1920/1", 39.4)</f>
        <v>39.4</v>
      </c>
      <c r="E412" s="2">
        <v>17.920000000000002</v>
      </c>
      <c r="F412" s="2">
        <v>2</v>
      </c>
      <c r="G412" s="2" t="s">
        <v>11</v>
      </c>
    </row>
    <row r="413" spans="1:8" x14ac:dyDescent="0.2">
      <c r="A413" s="2" t="s">
        <v>3307</v>
      </c>
      <c r="B413" s="2" t="s">
        <v>88</v>
      </c>
      <c r="C413" s="2">
        <v>744.94870000000003</v>
      </c>
      <c r="D413" s="2">
        <f>HYPERLINK("http://mcb-m6.bioreg.kyushu-u.ac.jp/M3/20110414/F50949/2165/1", 46.12)</f>
        <v>46.12</v>
      </c>
      <c r="E413" s="2">
        <v>13.13</v>
      </c>
      <c r="F413" s="2">
        <v>2</v>
      </c>
      <c r="G413" s="2" t="s">
        <v>12</v>
      </c>
    </row>
    <row r="414" spans="1:8" x14ac:dyDescent="0.2">
      <c r="A414" s="2" t="s">
        <v>3307</v>
      </c>
      <c r="B414" s="2" t="s">
        <v>88</v>
      </c>
      <c r="C414" s="2">
        <v>744.12660000000005</v>
      </c>
      <c r="D414" s="2">
        <f>HYPERLINK("http://mcb-m6.bioreg.kyushu-u.ac.jp/M3/20110502/F51184/1871/1", 53.52)</f>
        <v>53.52</v>
      </c>
      <c r="E414" s="2">
        <v>11.92</v>
      </c>
      <c r="F414" s="2">
        <v>2</v>
      </c>
      <c r="G414" s="2" t="s">
        <v>14</v>
      </c>
    </row>
    <row r="415" spans="1:8" x14ac:dyDescent="0.2">
      <c r="A415" s="2" t="s">
        <v>3368</v>
      </c>
      <c r="B415" s="2" t="s">
        <v>160</v>
      </c>
      <c r="C415" s="2">
        <v>603.61410000000001</v>
      </c>
      <c r="D415" s="2">
        <f>HYPERLINK("http://mcb-m6.bioreg.kyushu-u.ac.jp/M3/20110411/F50905/1377/1", 36.94)</f>
        <v>36.94</v>
      </c>
      <c r="E415" s="2">
        <v>9.49</v>
      </c>
      <c r="F415" s="2">
        <v>2</v>
      </c>
      <c r="G415" s="2" t="s">
        <v>9</v>
      </c>
    </row>
    <row r="416" spans="1:8" x14ac:dyDescent="0.2">
      <c r="A416" s="2" t="s">
        <v>4376</v>
      </c>
      <c r="B416" s="2" t="s">
        <v>2208</v>
      </c>
      <c r="C416" s="2">
        <v>471.88310000000001</v>
      </c>
      <c r="D416" s="2">
        <f>HYPERLINK("http://mcb-m6.bioreg.kyushu-u.ac.jp/M3/20110414/F50925/1301/1", 37.22)</f>
        <v>37.22</v>
      </c>
      <c r="E416" s="2">
        <v>10.14</v>
      </c>
      <c r="F416" s="2">
        <v>2</v>
      </c>
      <c r="G416" s="2" t="s">
        <v>11</v>
      </c>
    </row>
    <row r="417" spans="1:9" x14ac:dyDescent="0.2">
      <c r="A417" s="2" t="s">
        <v>3340</v>
      </c>
      <c r="B417" s="2" t="s">
        <v>128</v>
      </c>
      <c r="C417" s="2">
        <v>796.99570000000006</v>
      </c>
      <c r="D417" s="2">
        <f>HYPERLINK("http://mcb-m6.bioreg.kyushu-u.ac.jp/M3/20110411/F50916/2213/1", 36.48)</f>
        <v>36.479999999999997</v>
      </c>
      <c r="E417" s="2">
        <v>15.31</v>
      </c>
      <c r="F417" s="2">
        <v>2</v>
      </c>
      <c r="G417" s="2" t="s">
        <v>9</v>
      </c>
    </row>
    <row r="418" spans="1:9" x14ac:dyDescent="0.2">
      <c r="A418" s="2" t="s">
        <v>3538</v>
      </c>
      <c r="B418" s="2" t="s">
        <v>392</v>
      </c>
      <c r="C418" s="2">
        <v>683.96310000000005</v>
      </c>
      <c r="D418" s="2">
        <f>HYPERLINK("http://mcb-m6.bioreg.kyushu-u.ac.jp/M3/20110411/F50893/1904/1", 41.03)</f>
        <v>41.03</v>
      </c>
      <c r="E418" s="2">
        <v>13.98</v>
      </c>
      <c r="F418" s="2">
        <v>2</v>
      </c>
      <c r="G418" s="2" t="s">
        <v>9</v>
      </c>
      <c r="H418" s="2" t="s">
        <v>4901</v>
      </c>
    </row>
    <row r="419" spans="1:9" x14ac:dyDescent="0.2">
      <c r="A419" s="2" t="s">
        <v>3538</v>
      </c>
      <c r="B419" s="2" t="s">
        <v>392</v>
      </c>
      <c r="C419" s="2">
        <v>683.45569999999998</v>
      </c>
      <c r="D419" s="2">
        <f>HYPERLINK("http://mcb-m6.bioreg.kyushu-u.ac.jp/M3/20110411/F50911/1764/1", 42.29)</f>
        <v>42.29</v>
      </c>
      <c r="E419" s="2">
        <v>18.579999999999998</v>
      </c>
      <c r="F419" s="2">
        <v>2</v>
      </c>
      <c r="G419" s="2" t="s">
        <v>9</v>
      </c>
      <c r="H419" s="2" t="s">
        <v>4901</v>
      </c>
    </row>
    <row r="420" spans="1:9" x14ac:dyDescent="0.2">
      <c r="A420" s="2" t="s">
        <v>3538</v>
      </c>
      <c r="B420" s="2" t="s">
        <v>392</v>
      </c>
      <c r="C420" s="2">
        <v>683.55269999999996</v>
      </c>
      <c r="D420" s="2">
        <f>HYPERLINK("http://mcb-m6.bioreg.kyushu-u.ac.jp/M3/20110411/F50895/1787/1", 42.96)</f>
        <v>42.96</v>
      </c>
      <c r="E420" s="2">
        <v>13.94</v>
      </c>
      <c r="F420" s="2">
        <v>2</v>
      </c>
      <c r="G420" s="2" t="s">
        <v>9</v>
      </c>
      <c r="H420" s="2" t="s">
        <v>4901</v>
      </c>
    </row>
    <row r="421" spans="1:9" x14ac:dyDescent="0.2">
      <c r="A421" s="2" t="s">
        <v>3538</v>
      </c>
      <c r="B421" s="2" t="s">
        <v>392</v>
      </c>
      <c r="C421" s="2">
        <v>683.42359999999996</v>
      </c>
      <c r="D421" s="2">
        <f>HYPERLINK("http://mcb-m6.bioreg.kyushu-u.ac.jp/M3/20110411/F50901/1770/1", 36.31)</f>
        <v>36.31</v>
      </c>
      <c r="E421" s="2">
        <v>8.98</v>
      </c>
      <c r="F421" s="2">
        <v>2</v>
      </c>
      <c r="G421" s="2" t="s">
        <v>10</v>
      </c>
      <c r="H421" s="2" t="s">
        <v>4901</v>
      </c>
    </row>
    <row r="422" spans="1:9" x14ac:dyDescent="0.2">
      <c r="A422" s="2" t="s">
        <v>3538</v>
      </c>
      <c r="B422" s="2" t="s">
        <v>392</v>
      </c>
      <c r="C422" s="2">
        <v>683.61569999999995</v>
      </c>
      <c r="D422" s="2">
        <f>HYPERLINK("http://mcb-m6.bioreg.kyushu-u.ac.jp/M3/20110411/F50912/1758/1", 41.52)</f>
        <v>41.52</v>
      </c>
      <c r="E422" s="2">
        <v>17.91</v>
      </c>
      <c r="F422" s="2">
        <v>2</v>
      </c>
      <c r="G422" s="2" t="s">
        <v>10</v>
      </c>
      <c r="H422" s="2" t="s">
        <v>4901</v>
      </c>
    </row>
    <row r="423" spans="1:9" x14ac:dyDescent="0.2">
      <c r="A423" s="2" t="s">
        <v>3538</v>
      </c>
      <c r="B423" s="2" t="s">
        <v>392</v>
      </c>
      <c r="C423" s="2">
        <v>683.87519999999995</v>
      </c>
      <c r="D423" s="2">
        <f>HYPERLINK("http://mcb-m6.bioreg.kyushu-u.ac.jp/M3/20110502/F51188/1550/1", 36.89)</f>
        <v>36.89</v>
      </c>
      <c r="E423" s="2">
        <v>13.17</v>
      </c>
      <c r="F423" s="2">
        <v>2</v>
      </c>
      <c r="G423" s="2" t="s">
        <v>13</v>
      </c>
      <c r="H423" s="2" t="s">
        <v>4901</v>
      </c>
    </row>
    <row r="424" spans="1:9" x14ac:dyDescent="0.2">
      <c r="A424" s="2" t="s">
        <v>3538</v>
      </c>
      <c r="B424" s="2" t="s">
        <v>392</v>
      </c>
      <c r="C424" s="2">
        <v>683.56020000000001</v>
      </c>
      <c r="D424" s="2">
        <f>HYPERLINK("http://mcb-m6.bioreg.kyushu-u.ac.jp/M3/20110502/F51172/1721/1", 39.98)</f>
        <v>39.979999999999997</v>
      </c>
      <c r="E424" s="2">
        <v>18.86</v>
      </c>
      <c r="F424" s="2">
        <v>2</v>
      </c>
      <c r="G424" s="2" t="s">
        <v>13</v>
      </c>
      <c r="H424" s="2" t="s">
        <v>4901</v>
      </c>
    </row>
    <row r="425" spans="1:9" x14ac:dyDescent="0.2">
      <c r="A425" s="2" t="s">
        <v>3538</v>
      </c>
      <c r="B425" s="2" t="s">
        <v>392</v>
      </c>
      <c r="C425" s="2">
        <v>684.05219999999997</v>
      </c>
      <c r="D425" s="2">
        <f>HYPERLINK("http://mcb-m6.bioreg.kyushu-u.ac.jp/M3/20110502/F51177/1477/1", 40.86)</f>
        <v>40.86</v>
      </c>
      <c r="E425" s="2">
        <v>15.2</v>
      </c>
      <c r="F425" s="2">
        <v>2</v>
      </c>
      <c r="G425" s="2" t="s">
        <v>14</v>
      </c>
      <c r="H425" s="2" t="s">
        <v>4901</v>
      </c>
    </row>
    <row r="426" spans="1:9" x14ac:dyDescent="0.2">
      <c r="A426" s="2" t="s">
        <v>3538</v>
      </c>
      <c r="B426" s="2" t="s">
        <v>392</v>
      </c>
      <c r="C426" s="2">
        <v>683.68960000000004</v>
      </c>
      <c r="D426" s="2">
        <f>HYPERLINK("http://mcb-m6.bioreg.kyushu-u.ac.jp/M3/20110502/F51182/1488/1", 44.13)</f>
        <v>44.13</v>
      </c>
      <c r="E426" s="2">
        <v>16.72</v>
      </c>
      <c r="F426" s="2">
        <v>2</v>
      </c>
      <c r="G426" s="2" t="s">
        <v>14</v>
      </c>
      <c r="H426" s="2" t="s">
        <v>4901</v>
      </c>
    </row>
    <row r="427" spans="1:9" x14ac:dyDescent="0.2">
      <c r="A427" s="2" t="s">
        <v>3538</v>
      </c>
      <c r="B427" s="2" t="s">
        <v>392</v>
      </c>
      <c r="C427" s="2">
        <v>683.51670000000001</v>
      </c>
      <c r="D427" s="2">
        <f>HYPERLINK("http://mcb-m6.bioreg.kyushu-u.ac.jp/M3/20110502/F51177/1474/1", 47.17)</f>
        <v>47.17</v>
      </c>
      <c r="E427" s="2">
        <v>20.99</v>
      </c>
      <c r="F427" s="2">
        <v>2</v>
      </c>
      <c r="G427" s="2" t="s">
        <v>14</v>
      </c>
      <c r="H427" s="2" t="s">
        <v>4901</v>
      </c>
    </row>
    <row r="428" spans="1:9" x14ac:dyDescent="0.2">
      <c r="A428" s="2" t="s">
        <v>4806</v>
      </c>
      <c r="B428" s="2" t="s">
        <v>3050</v>
      </c>
      <c r="C428" s="2">
        <v>590.97190000000001</v>
      </c>
      <c r="D428" s="2">
        <f>HYPERLINK("http://mcb-m6.bioreg.kyushu-u.ac.jp/M3/20110502/F51177/2667/1", 40.15)</f>
        <v>40.15</v>
      </c>
      <c r="E428" s="2">
        <v>13</v>
      </c>
      <c r="F428" s="2">
        <v>3</v>
      </c>
      <c r="G428" s="2" t="s">
        <v>14</v>
      </c>
      <c r="H428" s="2" t="s">
        <v>4908</v>
      </c>
    </row>
    <row r="429" spans="1:9" x14ac:dyDescent="0.2">
      <c r="A429" s="2" t="s">
        <v>4169</v>
      </c>
      <c r="B429" s="2" t="s">
        <v>1737</v>
      </c>
      <c r="C429" s="2">
        <v>747.87220000000002</v>
      </c>
      <c r="D429" s="2">
        <f>HYPERLINK("http://mcb-m6.bioreg.kyushu-u.ac.jp/M3/20110411/F50897/2021/2", 36.93)</f>
        <v>36.93</v>
      </c>
      <c r="E429" s="2">
        <v>18.809999999999999</v>
      </c>
      <c r="F429" s="2">
        <v>2</v>
      </c>
      <c r="G429" s="2" t="s">
        <v>10</v>
      </c>
    </row>
    <row r="430" spans="1:9" x14ac:dyDescent="0.2">
      <c r="A430" s="2" t="s">
        <v>4127</v>
      </c>
      <c r="B430" s="2" t="s">
        <v>1647</v>
      </c>
      <c r="C430" s="2">
        <v>1314.1369999999999</v>
      </c>
      <c r="D430" s="2">
        <f>HYPERLINK("http://mcb-m6.bioreg.kyushu-u.ac.jp/M3/20110411/F50903/3903/1", 109.43)</f>
        <v>109.43</v>
      </c>
      <c r="E430" s="2">
        <v>100.58</v>
      </c>
      <c r="F430" s="2">
        <v>2</v>
      </c>
      <c r="G430" s="2" t="s">
        <v>9</v>
      </c>
      <c r="I430" s="2" t="s">
        <v>4899</v>
      </c>
    </row>
    <row r="431" spans="1:9" x14ac:dyDescent="0.2">
      <c r="A431" s="2" t="s">
        <v>4127</v>
      </c>
      <c r="B431" s="2" t="s">
        <v>1647</v>
      </c>
      <c r="C431" s="2">
        <v>1313.8810000000001</v>
      </c>
      <c r="D431" s="2">
        <f>HYPERLINK("http://mcb-m6.bioreg.kyushu-u.ac.jp/M3/20110411/F50920/3563/1", 98.56)</f>
        <v>98.56</v>
      </c>
      <c r="E431" s="2">
        <v>89.95</v>
      </c>
      <c r="F431" s="2">
        <v>2</v>
      </c>
      <c r="G431" s="2" t="s">
        <v>10</v>
      </c>
      <c r="I431" s="2" t="s">
        <v>4899</v>
      </c>
    </row>
    <row r="432" spans="1:9" x14ac:dyDescent="0.2">
      <c r="A432" s="2" t="s">
        <v>4127</v>
      </c>
      <c r="B432" s="2" t="s">
        <v>1647</v>
      </c>
      <c r="C432" s="2">
        <v>875.7885</v>
      </c>
      <c r="D432" s="2">
        <f>HYPERLINK("http://mcb-m6.bioreg.kyushu-u.ac.jp/M3/20110414/F50930/3002/1", 65.13)</f>
        <v>65.13</v>
      </c>
      <c r="E432" s="2">
        <v>46.67</v>
      </c>
      <c r="F432" s="2">
        <v>3</v>
      </c>
      <c r="G432" s="2" t="s">
        <v>12</v>
      </c>
      <c r="I432" s="2" t="s">
        <v>4899</v>
      </c>
    </row>
    <row r="433" spans="1:9" x14ac:dyDescent="0.2">
      <c r="A433" s="2" t="s">
        <v>4127</v>
      </c>
      <c r="B433" s="2" t="s">
        <v>1647</v>
      </c>
      <c r="C433" s="2">
        <v>876.3075</v>
      </c>
      <c r="D433" s="2">
        <f>HYPERLINK("http://mcb-m6.bioreg.kyushu-u.ac.jp/M3/20110414/F50930/3004/1", 76.19)</f>
        <v>76.19</v>
      </c>
      <c r="E433" s="2">
        <v>61.57</v>
      </c>
      <c r="F433" s="2">
        <v>3</v>
      </c>
      <c r="G433" s="2" t="s">
        <v>12</v>
      </c>
      <c r="I433" s="2" t="s">
        <v>4899</v>
      </c>
    </row>
    <row r="434" spans="1:9" x14ac:dyDescent="0.2">
      <c r="A434" s="2" t="s">
        <v>4127</v>
      </c>
      <c r="B434" s="2" t="s">
        <v>1647</v>
      </c>
      <c r="C434" s="2">
        <v>1313.8969999999999</v>
      </c>
      <c r="D434" s="2">
        <f>HYPERLINK("http://mcb-m6.bioreg.kyushu-u.ac.jp/M3/20110414/F50930/3003/1", 90.02)</f>
        <v>90.02</v>
      </c>
      <c r="E434" s="2">
        <v>81.48</v>
      </c>
      <c r="F434" s="2">
        <v>2</v>
      </c>
      <c r="G434" s="2" t="s">
        <v>12</v>
      </c>
      <c r="I434" s="2" t="s">
        <v>4899</v>
      </c>
    </row>
    <row r="435" spans="1:9" x14ac:dyDescent="0.2">
      <c r="A435" s="2" t="s">
        <v>3863</v>
      </c>
      <c r="B435" s="2" t="s">
        <v>976</v>
      </c>
      <c r="C435" s="2">
        <v>649.78520000000003</v>
      </c>
      <c r="D435" s="2">
        <f>HYPERLINK("http://mcb-m6.bioreg.kyushu-u.ac.jp/M3/20110411/F50889/1982/1", 57.55)</f>
        <v>57.55</v>
      </c>
      <c r="E435" s="2">
        <v>45.95</v>
      </c>
      <c r="F435" s="2">
        <v>2</v>
      </c>
      <c r="G435" s="2" t="s">
        <v>9</v>
      </c>
    </row>
    <row r="436" spans="1:9" x14ac:dyDescent="0.2">
      <c r="A436" s="2" t="s">
        <v>3863</v>
      </c>
      <c r="B436" s="2" t="s">
        <v>976</v>
      </c>
      <c r="C436" s="2">
        <v>650.45069999999998</v>
      </c>
      <c r="D436" s="2">
        <f>HYPERLINK("http://mcb-m6.bioreg.kyushu-u.ac.jp/M3/20110411/F50904/1616/1", 58.83)</f>
        <v>58.83</v>
      </c>
      <c r="E436" s="2">
        <v>44.02</v>
      </c>
      <c r="F436" s="2">
        <v>2</v>
      </c>
      <c r="G436" s="2" t="s">
        <v>9</v>
      </c>
    </row>
    <row r="437" spans="1:9" x14ac:dyDescent="0.2">
      <c r="A437" s="2" t="s">
        <v>3863</v>
      </c>
      <c r="B437" s="2" t="s">
        <v>976</v>
      </c>
      <c r="C437" s="2">
        <v>650.43470000000002</v>
      </c>
      <c r="D437" s="2">
        <f>HYPERLINK("http://mcb-m6.bioreg.kyushu-u.ac.jp/M3/20110411/F50915/1389/1", 59.67)</f>
        <v>59.67</v>
      </c>
      <c r="E437" s="2">
        <v>41</v>
      </c>
      <c r="F437" s="2">
        <v>2</v>
      </c>
      <c r="G437" s="2" t="s">
        <v>9</v>
      </c>
    </row>
    <row r="438" spans="1:9" x14ac:dyDescent="0.2">
      <c r="A438" s="2" t="s">
        <v>3863</v>
      </c>
      <c r="B438" s="2" t="s">
        <v>976</v>
      </c>
      <c r="C438" s="2">
        <v>650.06269999999995</v>
      </c>
      <c r="D438" s="2">
        <f>HYPERLINK("http://mcb-m6.bioreg.kyushu-u.ac.jp/M3/20110411/F50890/1715/1", 60.51)</f>
        <v>60.51</v>
      </c>
      <c r="E438" s="2">
        <v>52.34</v>
      </c>
      <c r="F438" s="2">
        <v>2</v>
      </c>
      <c r="G438" s="2" t="s">
        <v>9</v>
      </c>
    </row>
    <row r="439" spans="1:9" x14ac:dyDescent="0.2">
      <c r="A439" s="2" t="s">
        <v>3863</v>
      </c>
      <c r="B439" s="2" t="s">
        <v>976</v>
      </c>
      <c r="C439" s="2">
        <v>650.07420000000002</v>
      </c>
      <c r="D439" s="2">
        <f>HYPERLINK("http://mcb-m6.bioreg.kyushu-u.ac.jp/M3/20110411/F50903/1587/1", 72.07)</f>
        <v>72.069999999999993</v>
      </c>
      <c r="E439" s="2">
        <v>49.39</v>
      </c>
      <c r="F439" s="2">
        <v>2</v>
      </c>
      <c r="G439" s="2" t="s">
        <v>9</v>
      </c>
    </row>
    <row r="440" spans="1:9" x14ac:dyDescent="0.2">
      <c r="A440" s="2" t="s">
        <v>3863</v>
      </c>
      <c r="B440" s="2" t="s">
        <v>1330</v>
      </c>
      <c r="C440" s="2">
        <v>714.48419999999999</v>
      </c>
      <c r="D440" s="2">
        <f>HYPERLINK("http://mcb-m6.bioreg.kyushu-u.ac.jp/M3/20110411/F50903/1926/1", 73.44)</f>
        <v>73.44</v>
      </c>
      <c r="E440" s="2">
        <v>51.63</v>
      </c>
      <c r="F440" s="2">
        <v>2</v>
      </c>
      <c r="G440" s="2" t="s">
        <v>9</v>
      </c>
    </row>
    <row r="441" spans="1:9" x14ac:dyDescent="0.2">
      <c r="A441" s="2" t="s">
        <v>3863</v>
      </c>
      <c r="B441" s="2" t="s">
        <v>976</v>
      </c>
      <c r="C441" s="2">
        <v>650.06960000000004</v>
      </c>
      <c r="D441" s="2">
        <f>HYPERLINK("http://mcb-m6.bioreg.kyushu-u.ac.jp/M3/20110411/F50903/1586/1", 73.99)</f>
        <v>73.989999999999995</v>
      </c>
      <c r="E441" s="2">
        <v>54.53</v>
      </c>
      <c r="F441" s="2">
        <v>2</v>
      </c>
      <c r="G441" s="2" t="s">
        <v>9</v>
      </c>
    </row>
    <row r="442" spans="1:9" x14ac:dyDescent="0.2">
      <c r="A442" s="2" t="s">
        <v>3863</v>
      </c>
      <c r="B442" s="2" t="s">
        <v>976</v>
      </c>
      <c r="C442" s="2">
        <v>1298.835</v>
      </c>
      <c r="D442" s="2">
        <f>HYPERLINK("http://mcb-m6.bioreg.kyushu-u.ac.jp/M3/20110411/F50903/1580/1", 75.42)</f>
        <v>75.42</v>
      </c>
      <c r="E442" s="2">
        <v>51.01</v>
      </c>
      <c r="F442" s="2">
        <v>1</v>
      </c>
      <c r="G442" s="2" t="s">
        <v>9</v>
      </c>
    </row>
    <row r="443" spans="1:9" x14ac:dyDescent="0.2">
      <c r="A443" s="2" t="s">
        <v>3863</v>
      </c>
      <c r="B443" s="2" t="s">
        <v>976</v>
      </c>
      <c r="C443" s="2">
        <v>1298.951</v>
      </c>
      <c r="D443" s="2">
        <f>HYPERLINK("http://mcb-m6.bioreg.kyushu-u.ac.jp/M3/20110411/F50903/1582/1", 75.79)</f>
        <v>75.790000000000006</v>
      </c>
      <c r="E443" s="2">
        <v>52.96</v>
      </c>
      <c r="F443" s="2">
        <v>1</v>
      </c>
      <c r="G443" s="2" t="s">
        <v>9</v>
      </c>
    </row>
    <row r="444" spans="1:9" x14ac:dyDescent="0.2">
      <c r="A444" s="2" t="s">
        <v>3863</v>
      </c>
      <c r="B444" s="2" t="s">
        <v>976</v>
      </c>
      <c r="C444" s="2">
        <v>1298.8920000000001</v>
      </c>
      <c r="D444" s="2">
        <f>HYPERLINK("http://mcb-m6.bioreg.kyushu-u.ac.jp/M3/20110411/F50903/1581/1", 76.16)</f>
        <v>76.16</v>
      </c>
      <c r="E444" s="2">
        <v>56.03</v>
      </c>
      <c r="F444" s="2">
        <v>1</v>
      </c>
      <c r="G444" s="2" t="s">
        <v>9</v>
      </c>
    </row>
    <row r="445" spans="1:9" x14ac:dyDescent="0.2">
      <c r="A445" s="2" t="s">
        <v>3863</v>
      </c>
      <c r="B445" s="2" t="s">
        <v>976</v>
      </c>
      <c r="C445" s="2">
        <v>650.02620000000002</v>
      </c>
      <c r="D445" s="2">
        <f>HYPERLINK("http://mcb-m6.bioreg.kyushu-u.ac.jp/M3/20110411/F50903/1584/1", 78.14)</f>
        <v>78.14</v>
      </c>
      <c r="E445" s="2">
        <v>50.93</v>
      </c>
      <c r="F445" s="2">
        <v>2</v>
      </c>
      <c r="G445" s="2" t="s">
        <v>9</v>
      </c>
    </row>
    <row r="446" spans="1:9" x14ac:dyDescent="0.2">
      <c r="A446" s="2" t="s">
        <v>3863</v>
      </c>
      <c r="B446" s="2" t="s">
        <v>976</v>
      </c>
      <c r="C446" s="2">
        <v>650.05160000000001</v>
      </c>
      <c r="D446" s="2">
        <f>HYPERLINK("http://mcb-m6.bioreg.kyushu-u.ac.jp/M3/20110411/F50905/1560/1", 84.72)</f>
        <v>84.72</v>
      </c>
      <c r="E446" s="2">
        <v>66.459999999999994</v>
      </c>
      <c r="F446" s="2">
        <v>2</v>
      </c>
      <c r="G446" s="2" t="s">
        <v>9</v>
      </c>
    </row>
    <row r="447" spans="1:9" x14ac:dyDescent="0.2">
      <c r="A447" s="2" t="s">
        <v>3863</v>
      </c>
      <c r="B447" s="2" t="s">
        <v>976</v>
      </c>
      <c r="C447" s="2">
        <v>650.08420000000001</v>
      </c>
      <c r="D447" s="2">
        <f>HYPERLINK("http://mcb-m6.bioreg.kyushu-u.ac.jp/M3/20110411/F50903/1588/1", 85.73)</f>
        <v>85.73</v>
      </c>
      <c r="E447" s="2">
        <v>60.75</v>
      </c>
      <c r="F447" s="2">
        <v>2</v>
      </c>
      <c r="G447" s="2" t="s">
        <v>9</v>
      </c>
    </row>
    <row r="448" spans="1:9" x14ac:dyDescent="0.2">
      <c r="A448" s="2" t="s">
        <v>3863</v>
      </c>
      <c r="B448" s="2" t="s">
        <v>976</v>
      </c>
      <c r="C448" s="2">
        <v>649.53269999999998</v>
      </c>
      <c r="D448" s="2">
        <f>HYPERLINK("http://mcb-m6.bioreg.kyushu-u.ac.jp/M3/20110411/F50920/1147/1", 41.12)</f>
        <v>41.12</v>
      </c>
      <c r="E448" s="2">
        <v>28.83</v>
      </c>
      <c r="F448" s="2">
        <v>2</v>
      </c>
      <c r="G448" s="2" t="s">
        <v>10</v>
      </c>
    </row>
    <row r="449" spans="1:7" x14ac:dyDescent="0.2">
      <c r="A449" s="2" t="s">
        <v>3863</v>
      </c>
      <c r="B449" s="2" t="s">
        <v>976</v>
      </c>
      <c r="C449" s="2">
        <v>649.80769999999995</v>
      </c>
      <c r="D449" s="2">
        <f>HYPERLINK("http://mcb-m6.bioreg.kyushu-u.ac.jp/M3/20110411/F50921/1394/1", 41.33)</f>
        <v>41.33</v>
      </c>
      <c r="E449" s="2">
        <v>32.31</v>
      </c>
      <c r="F449" s="2">
        <v>2</v>
      </c>
      <c r="G449" s="2" t="s">
        <v>10</v>
      </c>
    </row>
    <row r="450" spans="1:7" x14ac:dyDescent="0.2">
      <c r="A450" s="2" t="s">
        <v>3863</v>
      </c>
      <c r="B450" s="2" t="s">
        <v>976</v>
      </c>
      <c r="C450" s="2">
        <v>650.05970000000002</v>
      </c>
      <c r="D450" s="2">
        <f>HYPERLINK("http://mcb-m6.bioreg.kyushu-u.ac.jp/M3/20110411/F50920/1152/1", 46.21)</f>
        <v>46.21</v>
      </c>
      <c r="E450" s="2">
        <v>36.61</v>
      </c>
      <c r="F450" s="2">
        <v>2</v>
      </c>
      <c r="G450" s="2" t="s">
        <v>10</v>
      </c>
    </row>
    <row r="451" spans="1:7" x14ac:dyDescent="0.2">
      <c r="A451" s="2" t="s">
        <v>3863</v>
      </c>
      <c r="B451" s="2" t="s">
        <v>976</v>
      </c>
      <c r="C451" s="2">
        <v>650.13210000000004</v>
      </c>
      <c r="D451" s="2">
        <f>HYPERLINK("http://mcb-m6.bioreg.kyushu-u.ac.jp/M3/20110411/F50896/1804/1", 50.64)</f>
        <v>50.64</v>
      </c>
      <c r="E451" s="2">
        <v>36.590000000000003</v>
      </c>
      <c r="F451" s="2">
        <v>2</v>
      </c>
      <c r="G451" s="2" t="s">
        <v>10</v>
      </c>
    </row>
    <row r="452" spans="1:7" x14ac:dyDescent="0.2">
      <c r="A452" s="2" t="s">
        <v>3863</v>
      </c>
      <c r="B452" s="2" t="s">
        <v>1330</v>
      </c>
      <c r="C452" s="2">
        <v>713.96370000000002</v>
      </c>
      <c r="D452" s="2">
        <f>HYPERLINK("http://mcb-m6.bioreg.kyushu-u.ac.jp/M3/20110411/F50920/1437/1", 63.38)</f>
        <v>63.38</v>
      </c>
      <c r="E452" s="2">
        <v>39.9</v>
      </c>
      <c r="F452" s="2">
        <v>2</v>
      </c>
      <c r="G452" s="2" t="s">
        <v>10</v>
      </c>
    </row>
    <row r="453" spans="1:7" x14ac:dyDescent="0.2">
      <c r="A453" s="2" t="s">
        <v>3863</v>
      </c>
      <c r="B453" s="2" t="s">
        <v>976</v>
      </c>
      <c r="C453" s="2">
        <v>649.8972</v>
      </c>
      <c r="D453" s="2">
        <f>HYPERLINK("http://mcb-m6.bioreg.kyushu-u.ac.jp/M3/20110411/F50914/1654/1", 64.11)</f>
        <v>64.11</v>
      </c>
      <c r="E453" s="2">
        <v>49.21</v>
      </c>
      <c r="F453" s="2">
        <v>2</v>
      </c>
      <c r="G453" s="2" t="s">
        <v>10</v>
      </c>
    </row>
    <row r="454" spans="1:7" x14ac:dyDescent="0.2">
      <c r="A454" s="2" t="s">
        <v>3863</v>
      </c>
      <c r="B454" s="2" t="s">
        <v>976</v>
      </c>
      <c r="C454" s="2">
        <v>1299.0740000000001</v>
      </c>
      <c r="D454" s="2">
        <f>HYPERLINK("http://mcb-m6.bioreg.kyushu-u.ac.jp/M3/20110411/F50920/1150/1", 75.78)</f>
        <v>75.78</v>
      </c>
      <c r="E454" s="2">
        <v>56.75</v>
      </c>
      <c r="F454" s="2">
        <v>1</v>
      </c>
      <c r="G454" s="2" t="s">
        <v>10</v>
      </c>
    </row>
    <row r="455" spans="1:7" x14ac:dyDescent="0.2">
      <c r="A455" s="2" t="s">
        <v>3863</v>
      </c>
      <c r="B455" s="2" t="s">
        <v>1330</v>
      </c>
      <c r="C455" s="2">
        <v>714.46619999999996</v>
      </c>
      <c r="D455" s="2">
        <f>HYPERLINK("http://mcb-m6.bioreg.kyushu-u.ac.jp/M3/20110411/F50920/1438/1", 79.27)</f>
        <v>79.27</v>
      </c>
      <c r="E455" s="2">
        <v>59.52</v>
      </c>
      <c r="F455" s="2">
        <v>2</v>
      </c>
      <c r="G455" s="2" t="s">
        <v>10</v>
      </c>
    </row>
    <row r="456" spans="1:7" x14ac:dyDescent="0.2">
      <c r="A456" s="2" t="s">
        <v>3863</v>
      </c>
      <c r="B456" s="2" t="s">
        <v>976</v>
      </c>
      <c r="C456" s="2">
        <v>1299.8409999999999</v>
      </c>
      <c r="D456" s="2">
        <f>HYPERLINK("http://mcb-m6.bioreg.kyushu-u.ac.jp/M3/20110411/F50920/1156/1", 83.31)</f>
        <v>83.31</v>
      </c>
      <c r="E456" s="2">
        <v>63.06</v>
      </c>
      <c r="F456" s="2">
        <v>1</v>
      </c>
      <c r="G456" s="2" t="s">
        <v>10</v>
      </c>
    </row>
    <row r="457" spans="1:7" x14ac:dyDescent="0.2">
      <c r="A457" s="2" t="s">
        <v>3863</v>
      </c>
      <c r="B457" s="2" t="s">
        <v>976</v>
      </c>
      <c r="C457" s="2">
        <v>650.13570000000004</v>
      </c>
      <c r="D457" s="2">
        <f>HYPERLINK("http://mcb-m6.bioreg.kyushu-u.ac.jp/M3/20110411/F50920/1154/1", 87.79)</f>
        <v>87.79</v>
      </c>
      <c r="E457" s="2">
        <v>64.599999999999994</v>
      </c>
      <c r="F457" s="2">
        <v>2</v>
      </c>
      <c r="G457" s="2" t="s">
        <v>10</v>
      </c>
    </row>
    <row r="458" spans="1:7" x14ac:dyDescent="0.2">
      <c r="A458" s="2" t="s">
        <v>3863</v>
      </c>
      <c r="B458" s="2" t="s">
        <v>976</v>
      </c>
      <c r="C458" s="2">
        <v>649.92520000000002</v>
      </c>
      <c r="D458" s="2">
        <f>HYPERLINK("http://mcb-m6.bioreg.kyushu-u.ac.jp/M3/20110414/F50925/1863/1", 60.36)</f>
        <v>60.36</v>
      </c>
      <c r="E458" s="2">
        <v>52.73</v>
      </c>
      <c r="F458" s="2">
        <v>2</v>
      </c>
      <c r="G458" s="2" t="s">
        <v>11</v>
      </c>
    </row>
    <row r="459" spans="1:7" x14ac:dyDescent="0.2">
      <c r="A459" s="2" t="s">
        <v>3863</v>
      </c>
      <c r="B459" s="2" t="s">
        <v>976</v>
      </c>
      <c r="C459" s="2">
        <v>1298.588</v>
      </c>
      <c r="D459" s="2">
        <f>HYPERLINK("http://mcb-m6.bioreg.kyushu-u.ac.jp/M3/20110414/F50924/1620/1", 64.42)</f>
        <v>64.42</v>
      </c>
      <c r="E459" s="2">
        <v>44.16</v>
      </c>
      <c r="F459" s="2">
        <v>1</v>
      </c>
      <c r="G459" s="2" t="s">
        <v>11</v>
      </c>
    </row>
    <row r="460" spans="1:7" x14ac:dyDescent="0.2">
      <c r="A460" s="2" t="s">
        <v>3863</v>
      </c>
      <c r="B460" s="2" t="s">
        <v>976</v>
      </c>
      <c r="C460" s="2">
        <v>650.26570000000004</v>
      </c>
      <c r="D460" s="2">
        <f>HYPERLINK("http://mcb-m6.bioreg.kyushu-u.ac.jp/M3/20110414/F50924/1625/1", 65.56)</f>
        <v>65.56</v>
      </c>
      <c r="E460" s="2">
        <v>43.88</v>
      </c>
      <c r="F460" s="2">
        <v>2</v>
      </c>
      <c r="G460" s="2" t="s">
        <v>11</v>
      </c>
    </row>
    <row r="461" spans="1:7" x14ac:dyDescent="0.2">
      <c r="A461" s="2" t="s">
        <v>3863</v>
      </c>
      <c r="B461" s="2" t="s">
        <v>976</v>
      </c>
      <c r="C461" s="2">
        <v>649.7047</v>
      </c>
      <c r="D461" s="2">
        <f>HYPERLINK("http://mcb-m6.bioreg.kyushu-u.ac.jp/M3/20110414/F50924/1616/1", 65.71)</f>
        <v>65.709999999999994</v>
      </c>
      <c r="E461" s="2">
        <v>54.84</v>
      </c>
      <c r="F461" s="2">
        <v>2</v>
      </c>
      <c r="G461" s="2" t="s">
        <v>11</v>
      </c>
    </row>
    <row r="462" spans="1:7" x14ac:dyDescent="0.2">
      <c r="A462" s="2" t="s">
        <v>3863</v>
      </c>
      <c r="B462" s="2" t="s">
        <v>976</v>
      </c>
      <c r="C462" s="2">
        <v>649.79269999999997</v>
      </c>
      <c r="D462" s="2">
        <f>HYPERLINK("http://mcb-m6.bioreg.kyushu-u.ac.jp/M3/20110414/F50924/1619/1", 68.83)</f>
        <v>68.83</v>
      </c>
      <c r="E462" s="2">
        <v>54.44</v>
      </c>
      <c r="F462" s="2">
        <v>2</v>
      </c>
      <c r="G462" s="2" t="s">
        <v>11</v>
      </c>
    </row>
    <row r="463" spans="1:7" x14ac:dyDescent="0.2">
      <c r="A463" s="2" t="s">
        <v>3863</v>
      </c>
      <c r="B463" s="2" t="s">
        <v>976</v>
      </c>
      <c r="C463" s="2">
        <v>649.82870000000003</v>
      </c>
      <c r="D463" s="2">
        <f>HYPERLINK("http://mcb-m6.bioreg.kyushu-u.ac.jp/M3/20110414/F50925/1862/1", 77.93)</f>
        <v>77.930000000000007</v>
      </c>
      <c r="E463" s="2">
        <v>65.37</v>
      </c>
      <c r="F463" s="2">
        <v>2</v>
      </c>
      <c r="G463" s="2" t="s">
        <v>11</v>
      </c>
    </row>
    <row r="464" spans="1:7" x14ac:dyDescent="0.2">
      <c r="A464" s="2" t="s">
        <v>3863</v>
      </c>
      <c r="B464" s="2" t="s">
        <v>976</v>
      </c>
      <c r="C464" s="2">
        <v>649.51760000000002</v>
      </c>
      <c r="D464" s="2">
        <f>HYPERLINK("http://mcb-m6.bioreg.kyushu-u.ac.jp/M3/20110414/F50926/1909/1", 82.23)</f>
        <v>82.23</v>
      </c>
      <c r="E464" s="2">
        <v>69.680000000000007</v>
      </c>
      <c r="F464" s="2">
        <v>2</v>
      </c>
      <c r="G464" s="2" t="s">
        <v>11</v>
      </c>
    </row>
    <row r="465" spans="1:9" x14ac:dyDescent="0.2">
      <c r="A465" s="2" t="s">
        <v>3863</v>
      </c>
      <c r="B465" s="2" t="s">
        <v>976</v>
      </c>
      <c r="C465" s="2">
        <v>649.79819999999995</v>
      </c>
      <c r="D465" s="2">
        <f>HYPERLINK("http://mcb-m6.bioreg.kyushu-u.ac.jp/M3/20110414/F50925/1861/1", 85.44)</f>
        <v>85.44</v>
      </c>
      <c r="E465" s="2">
        <v>69.87</v>
      </c>
      <c r="F465" s="2">
        <v>2</v>
      </c>
      <c r="G465" s="2" t="s">
        <v>11</v>
      </c>
    </row>
    <row r="466" spans="1:9" x14ac:dyDescent="0.2">
      <c r="A466" s="2" t="s">
        <v>3863</v>
      </c>
      <c r="B466" s="2" t="s">
        <v>976</v>
      </c>
      <c r="C466" s="2">
        <v>649.79110000000003</v>
      </c>
      <c r="D466" s="2">
        <f>HYPERLINK("http://mcb-m6.bioreg.kyushu-u.ac.jp/M3/20110414/F50924/1618/1", 90.28)</f>
        <v>90.28</v>
      </c>
      <c r="E466" s="2">
        <v>72.3</v>
      </c>
      <c r="F466" s="2">
        <v>2</v>
      </c>
      <c r="G466" s="2" t="s">
        <v>11</v>
      </c>
    </row>
    <row r="467" spans="1:9" x14ac:dyDescent="0.2">
      <c r="A467" s="2" t="s">
        <v>3863</v>
      </c>
      <c r="B467" s="2" t="s">
        <v>976</v>
      </c>
      <c r="C467" s="2">
        <v>649.98820000000001</v>
      </c>
      <c r="D467" s="2">
        <f>HYPERLINK("http://mcb-m6.bioreg.kyushu-u.ac.jp/M3/20110414/F50930/1961/1", 48.18)</f>
        <v>48.18</v>
      </c>
      <c r="E467" s="2">
        <v>31.4</v>
      </c>
      <c r="F467" s="2">
        <v>2</v>
      </c>
      <c r="G467" s="2" t="s">
        <v>12</v>
      </c>
    </row>
    <row r="468" spans="1:9" x14ac:dyDescent="0.2">
      <c r="A468" s="2" t="s">
        <v>3863</v>
      </c>
      <c r="B468" s="2" t="s">
        <v>976</v>
      </c>
      <c r="C468" s="2">
        <v>650.44960000000003</v>
      </c>
      <c r="D468" s="2">
        <f>HYPERLINK("http://mcb-m6.bioreg.kyushu-u.ac.jp/M3/20110414/F50931/2111/1", 52.71)</f>
        <v>52.71</v>
      </c>
      <c r="E468" s="2">
        <v>43.36</v>
      </c>
      <c r="F468" s="2">
        <v>2</v>
      </c>
      <c r="G468" s="2" t="s">
        <v>12</v>
      </c>
    </row>
    <row r="469" spans="1:9" x14ac:dyDescent="0.2">
      <c r="A469" s="2" t="s">
        <v>3863</v>
      </c>
      <c r="B469" s="2" t="s">
        <v>976</v>
      </c>
      <c r="C469" s="2">
        <v>649.84469999999999</v>
      </c>
      <c r="D469" s="2">
        <f>HYPERLINK("http://mcb-m6.bioreg.kyushu-u.ac.jp/M3/20110414/F50930/1958/1", 53.87)</f>
        <v>53.87</v>
      </c>
      <c r="E469" s="2">
        <v>38.74</v>
      </c>
      <c r="F469" s="2">
        <v>2</v>
      </c>
      <c r="G469" s="2" t="s">
        <v>12</v>
      </c>
    </row>
    <row r="470" spans="1:9" x14ac:dyDescent="0.2">
      <c r="A470" s="2" t="s">
        <v>3863</v>
      </c>
      <c r="B470" s="2" t="s">
        <v>976</v>
      </c>
      <c r="C470" s="2">
        <v>650.35969999999998</v>
      </c>
      <c r="D470" s="2">
        <f>HYPERLINK("http://mcb-m6.bioreg.kyushu-u.ac.jp/M3/20110414/F50930/1962/1", 55.79)</f>
        <v>55.79</v>
      </c>
      <c r="E470" s="2">
        <v>40.4</v>
      </c>
      <c r="F470" s="2">
        <v>2</v>
      </c>
      <c r="G470" s="2" t="s">
        <v>12</v>
      </c>
    </row>
    <row r="471" spans="1:9" x14ac:dyDescent="0.2">
      <c r="A471" s="2" t="s">
        <v>3863</v>
      </c>
      <c r="B471" s="2" t="s">
        <v>976</v>
      </c>
      <c r="C471" s="2">
        <v>649.86069999999995</v>
      </c>
      <c r="D471" s="2">
        <f>HYPERLINK("http://mcb-m6.bioreg.kyushu-u.ac.jp/M3/20110414/F50930/1959/1", 82.98)</f>
        <v>82.98</v>
      </c>
      <c r="E471" s="2">
        <v>70.819999999999993</v>
      </c>
      <c r="F471" s="2">
        <v>2</v>
      </c>
      <c r="G471" s="2" t="s">
        <v>12</v>
      </c>
    </row>
    <row r="472" spans="1:9" x14ac:dyDescent="0.2">
      <c r="A472" s="2" t="s">
        <v>3863</v>
      </c>
      <c r="B472" s="2" t="s">
        <v>976</v>
      </c>
      <c r="C472" s="2">
        <v>650.25519999999995</v>
      </c>
      <c r="D472" s="2">
        <f>HYPERLINK("http://mcb-m6.bioreg.kyushu-u.ac.jp/M3/20110502/F51165/1782/1", 62.66)</f>
        <v>62.66</v>
      </c>
      <c r="E472" s="2">
        <v>40.82</v>
      </c>
      <c r="F472" s="2">
        <v>2</v>
      </c>
      <c r="G472" s="2" t="s">
        <v>13</v>
      </c>
    </row>
    <row r="473" spans="1:9" x14ac:dyDescent="0.2">
      <c r="A473" s="2" t="s">
        <v>3863</v>
      </c>
      <c r="B473" s="2" t="s">
        <v>976</v>
      </c>
      <c r="C473" s="2">
        <v>650.13210000000004</v>
      </c>
      <c r="D473" s="2">
        <f>HYPERLINK("http://mcb-m6.bioreg.kyushu-u.ac.jp/M3/20110502/F51181/1347/1", 54.03)</f>
        <v>54.03</v>
      </c>
      <c r="E473" s="2">
        <v>37.06</v>
      </c>
      <c r="F473" s="2">
        <v>2</v>
      </c>
      <c r="G473" s="2" t="s">
        <v>14</v>
      </c>
    </row>
    <row r="474" spans="1:9" x14ac:dyDescent="0.2">
      <c r="A474" s="2" t="s">
        <v>3863</v>
      </c>
      <c r="B474" s="2" t="s">
        <v>976</v>
      </c>
      <c r="C474" s="2">
        <v>650.02509999999995</v>
      </c>
      <c r="D474" s="2">
        <f>HYPERLINK("http://mcb-m6.bioreg.kyushu-u.ac.jp/M3/20110502/F51190/1313/1", 69.07)</f>
        <v>69.069999999999993</v>
      </c>
      <c r="E474" s="2">
        <v>51.62</v>
      </c>
      <c r="F474" s="2">
        <v>2</v>
      </c>
      <c r="G474" s="2" t="s">
        <v>14</v>
      </c>
    </row>
    <row r="475" spans="1:9" x14ac:dyDescent="0.2">
      <c r="A475" s="2" t="s">
        <v>3863</v>
      </c>
      <c r="B475" s="2" t="s">
        <v>976</v>
      </c>
      <c r="C475" s="2">
        <v>650.33810000000005</v>
      </c>
      <c r="D475" s="2">
        <f>HYPERLINK("http://mcb-m6.bioreg.kyushu-u.ac.jp/M3/20110502/F51182/1313/1", 78.79)</f>
        <v>78.790000000000006</v>
      </c>
      <c r="E475" s="2">
        <v>59.66</v>
      </c>
      <c r="F475" s="2">
        <v>2</v>
      </c>
      <c r="G475" s="2" t="s">
        <v>14</v>
      </c>
    </row>
    <row r="476" spans="1:9" x14ac:dyDescent="0.2">
      <c r="A476" s="2" t="s">
        <v>3863</v>
      </c>
      <c r="B476" s="2" t="s">
        <v>976</v>
      </c>
      <c r="C476" s="2">
        <v>650.16920000000005</v>
      </c>
      <c r="D476" s="2">
        <f>HYPERLINK("http://mcb-m6.bioreg.kyushu-u.ac.jp/M3/20110502/F51181/1348/1", 87.56)</f>
        <v>87.56</v>
      </c>
      <c r="E476" s="2">
        <v>63.1</v>
      </c>
      <c r="F476" s="2">
        <v>2</v>
      </c>
      <c r="G476" s="2" t="s">
        <v>14</v>
      </c>
    </row>
    <row r="477" spans="1:9" x14ac:dyDescent="0.2">
      <c r="A477" s="2" t="s">
        <v>4423</v>
      </c>
      <c r="B477" s="2" t="s">
        <v>2293</v>
      </c>
      <c r="C477" s="2">
        <v>455.59059999999999</v>
      </c>
      <c r="D477" s="2">
        <f>HYPERLINK("http://mcb-m6.bioreg.kyushu-u.ac.jp/M3/20110414/F50924/797/1", 43.73)</f>
        <v>43.73</v>
      </c>
      <c r="E477" s="2">
        <v>8.59</v>
      </c>
      <c r="F477" s="2">
        <v>2</v>
      </c>
      <c r="G477" s="2" t="s">
        <v>11</v>
      </c>
      <c r="H477" s="2" t="s">
        <v>4891</v>
      </c>
    </row>
    <row r="478" spans="1:9" x14ac:dyDescent="0.2">
      <c r="A478" s="2" t="s">
        <v>4423</v>
      </c>
      <c r="B478" s="2" t="s">
        <v>2293</v>
      </c>
      <c r="C478" s="2">
        <v>455.90410000000003</v>
      </c>
      <c r="D478" s="2">
        <f>HYPERLINK("http://mcb-m6.bioreg.kyushu-u.ac.jp/M3/20110414/F50925/1231/1", 55.95)</f>
        <v>55.95</v>
      </c>
      <c r="E478" s="2">
        <v>28.97</v>
      </c>
      <c r="F478" s="2">
        <v>2</v>
      </c>
      <c r="G478" s="2" t="s">
        <v>11</v>
      </c>
      <c r="H478" s="2" t="s">
        <v>4891</v>
      </c>
    </row>
    <row r="479" spans="1:9" x14ac:dyDescent="0.2">
      <c r="A479" s="2" t="s">
        <v>4423</v>
      </c>
      <c r="B479" s="2" t="s">
        <v>2293</v>
      </c>
      <c r="C479" s="2">
        <v>894.39800000000002</v>
      </c>
      <c r="D479" s="2">
        <f>HYPERLINK("http://mcb-m6.bioreg.kyushu-u.ac.jp/M3/20110414/F50930/1576/1", 45.01)</f>
        <v>45.01</v>
      </c>
      <c r="E479" s="2">
        <v>29.08</v>
      </c>
      <c r="F479" s="2">
        <v>1</v>
      </c>
      <c r="G479" s="2" t="s">
        <v>12</v>
      </c>
    </row>
    <row r="480" spans="1:9" x14ac:dyDescent="0.2">
      <c r="A480" s="2" t="s">
        <v>4025</v>
      </c>
      <c r="B480" s="2" t="s">
        <v>1339</v>
      </c>
      <c r="C480" s="2">
        <v>1025.1759999999999</v>
      </c>
      <c r="D480" s="2">
        <f>HYPERLINK("http://mcb-m6.bioreg.kyushu-u.ac.jp/M3/20110411/F50903/3256/1", 74.05)</f>
        <v>74.05</v>
      </c>
      <c r="E480" s="2">
        <v>60.18</v>
      </c>
      <c r="F480" s="2">
        <v>2</v>
      </c>
      <c r="G480" s="2" t="s">
        <v>9</v>
      </c>
      <c r="H480" s="2" t="s">
        <v>4927</v>
      </c>
      <c r="I480" s="2" t="s">
        <v>4905</v>
      </c>
    </row>
    <row r="481" spans="1:9" x14ac:dyDescent="0.2">
      <c r="A481" s="2" t="s">
        <v>4025</v>
      </c>
      <c r="B481" s="2" t="s">
        <v>1339</v>
      </c>
      <c r="C481" s="2">
        <v>1017.099</v>
      </c>
      <c r="D481" s="2">
        <f>HYPERLINK("http://mcb-m6.bioreg.kyushu-u.ac.jp/M3/20110411/F50903/3227/1", 79.93)</f>
        <v>79.930000000000007</v>
      </c>
      <c r="E481" s="2">
        <v>56.1</v>
      </c>
      <c r="F481" s="2">
        <v>2</v>
      </c>
      <c r="G481" s="2" t="s">
        <v>9</v>
      </c>
      <c r="I481" s="2" t="s">
        <v>4905</v>
      </c>
    </row>
    <row r="482" spans="1:9" x14ac:dyDescent="0.2">
      <c r="A482" s="2" t="s">
        <v>4025</v>
      </c>
      <c r="B482" s="2" t="s">
        <v>1516</v>
      </c>
      <c r="C482" s="2">
        <v>1089.1379999999999</v>
      </c>
      <c r="D482" s="2">
        <f>HYPERLINK("http://mcb-m6.bioreg.kyushu-u.ac.jp/M3/20110411/F50903/3427/1", 87.63)</f>
        <v>87.63</v>
      </c>
      <c r="E482" s="2">
        <v>75.38</v>
      </c>
      <c r="F482" s="2">
        <v>2</v>
      </c>
      <c r="G482" s="2" t="s">
        <v>9</v>
      </c>
      <c r="H482" s="2" t="s">
        <v>4925</v>
      </c>
      <c r="I482" s="2" t="s">
        <v>4903</v>
      </c>
    </row>
    <row r="483" spans="1:9" x14ac:dyDescent="0.2">
      <c r="A483" s="2" t="s">
        <v>4025</v>
      </c>
      <c r="B483" s="2" t="s">
        <v>1516</v>
      </c>
      <c r="C483" s="2">
        <v>721.16579999999999</v>
      </c>
      <c r="D483" s="2">
        <f>HYPERLINK("http://mcb-m6.bioreg.kyushu-u.ac.jp/M3/20110414/F50924/3307/1", 54.68)</f>
        <v>54.68</v>
      </c>
      <c r="E483" s="2">
        <v>35.28</v>
      </c>
      <c r="F483" s="2">
        <v>3</v>
      </c>
      <c r="G483" s="2" t="s">
        <v>11</v>
      </c>
      <c r="I483" s="2" t="s">
        <v>4903</v>
      </c>
    </row>
    <row r="484" spans="1:9" x14ac:dyDescent="0.2">
      <c r="A484" s="2" t="s">
        <v>4025</v>
      </c>
      <c r="B484" s="2" t="s">
        <v>1339</v>
      </c>
      <c r="C484" s="2">
        <v>1017.052</v>
      </c>
      <c r="D484" s="2">
        <f>HYPERLINK("http://mcb-m6.bioreg.kyushu-u.ac.jp/M3/20110414/F50924/3173/1", 86.09)</f>
        <v>86.09</v>
      </c>
      <c r="E484" s="2">
        <v>67.12</v>
      </c>
      <c r="F484" s="2">
        <v>2</v>
      </c>
      <c r="G484" s="2" t="s">
        <v>11</v>
      </c>
      <c r="I484" s="2" t="s">
        <v>4905</v>
      </c>
    </row>
    <row r="485" spans="1:9" x14ac:dyDescent="0.2">
      <c r="A485" s="2" t="s">
        <v>4025</v>
      </c>
      <c r="B485" s="2" t="s">
        <v>1339</v>
      </c>
      <c r="C485" s="2">
        <v>1017.266</v>
      </c>
      <c r="D485" s="2">
        <f>HYPERLINK("http://mcb-m6.bioreg.kyushu-u.ac.jp/M3/20110502/F51181/2845/1", 86.67)</f>
        <v>86.67</v>
      </c>
      <c r="E485" s="2">
        <v>62.02</v>
      </c>
      <c r="F485" s="2">
        <v>2</v>
      </c>
      <c r="G485" s="2" t="s">
        <v>14</v>
      </c>
      <c r="I485" s="2" t="s">
        <v>4905</v>
      </c>
    </row>
    <row r="486" spans="1:9" x14ac:dyDescent="0.2">
      <c r="A486" s="2" t="s">
        <v>3505</v>
      </c>
      <c r="B486" s="2" t="s">
        <v>342</v>
      </c>
      <c r="C486" s="2">
        <v>861.13980000000004</v>
      </c>
      <c r="D486" s="2">
        <f>HYPERLINK("http://mcb-m6.bioreg.kyushu-u.ac.jp/M3/20110411/F50919/3808/1", 39.99)</f>
        <v>39.99</v>
      </c>
      <c r="E486" s="2">
        <v>28.87</v>
      </c>
      <c r="F486" s="2">
        <v>3</v>
      </c>
      <c r="G486" s="2" t="s">
        <v>9</v>
      </c>
    </row>
    <row r="487" spans="1:9" x14ac:dyDescent="0.2">
      <c r="A487" s="2" t="s">
        <v>3505</v>
      </c>
      <c r="B487" s="2" t="s">
        <v>342</v>
      </c>
      <c r="C487" s="2">
        <v>860.93849999999998</v>
      </c>
      <c r="D487" s="2">
        <f>HYPERLINK("http://mcb-m6.bioreg.kyushu-u.ac.jp/M3/20110411/F50904/3874/1", 49.95)</f>
        <v>49.95</v>
      </c>
      <c r="E487" s="2">
        <v>34.9</v>
      </c>
      <c r="F487" s="2">
        <v>3</v>
      </c>
      <c r="G487" s="2" t="s">
        <v>9</v>
      </c>
    </row>
    <row r="488" spans="1:9" x14ac:dyDescent="0.2">
      <c r="A488" s="2" t="s">
        <v>3505</v>
      </c>
      <c r="B488" s="2" t="s">
        <v>342</v>
      </c>
      <c r="C488" s="2">
        <v>1290.748</v>
      </c>
      <c r="D488" s="2">
        <f>HYPERLINK("http://mcb-m6.bioreg.kyushu-u.ac.jp/M3/20110411/F50903/3867/1", 57.07)</f>
        <v>57.07</v>
      </c>
      <c r="E488" s="2">
        <v>49.5</v>
      </c>
      <c r="F488" s="2">
        <v>2</v>
      </c>
      <c r="G488" s="2" t="s">
        <v>9</v>
      </c>
    </row>
    <row r="489" spans="1:9" x14ac:dyDescent="0.2">
      <c r="A489" s="2" t="s">
        <v>3505</v>
      </c>
      <c r="B489" s="2" t="s">
        <v>342</v>
      </c>
      <c r="C489" s="2">
        <v>861.1146</v>
      </c>
      <c r="D489" s="2">
        <f>HYPERLINK("http://mcb-m6.bioreg.kyushu-u.ac.jp/M3/20110411/F50903/3868/1", 67.99)</f>
        <v>67.989999999999995</v>
      </c>
      <c r="E489" s="2">
        <v>55.65</v>
      </c>
      <c r="F489" s="2">
        <v>3</v>
      </c>
      <c r="G489" s="2" t="s">
        <v>9</v>
      </c>
    </row>
    <row r="490" spans="1:9" x14ac:dyDescent="0.2">
      <c r="A490" s="2" t="s">
        <v>3505</v>
      </c>
      <c r="B490" s="2" t="s">
        <v>342</v>
      </c>
      <c r="C490" s="2">
        <v>1291.2349999999999</v>
      </c>
      <c r="D490" s="2">
        <f>HYPERLINK("http://mcb-m6.bioreg.kyushu-u.ac.jp/M3/20110411/F50915/4162/1", 125.3)</f>
        <v>125.3</v>
      </c>
      <c r="E490" s="2">
        <v>113.71</v>
      </c>
      <c r="F490" s="2">
        <v>2</v>
      </c>
      <c r="G490" s="2" t="s">
        <v>9</v>
      </c>
    </row>
    <row r="491" spans="1:9" x14ac:dyDescent="0.2">
      <c r="A491" s="2" t="s">
        <v>3505</v>
      </c>
      <c r="B491" s="2" t="s">
        <v>342</v>
      </c>
      <c r="C491" s="2">
        <v>1291.172</v>
      </c>
      <c r="D491" s="2">
        <f>HYPERLINK("http://mcb-m6.bioreg.kyushu-u.ac.jp/M3/20110411/F50905/4080/1", 139.66)</f>
        <v>139.66</v>
      </c>
      <c r="E491" s="2">
        <v>123.06</v>
      </c>
      <c r="F491" s="2">
        <v>2</v>
      </c>
      <c r="G491" s="2" t="s">
        <v>9</v>
      </c>
    </row>
    <row r="492" spans="1:9" x14ac:dyDescent="0.2">
      <c r="A492" s="2" t="s">
        <v>3505</v>
      </c>
      <c r="B492" s="2" t="s">
        <v>342</v>
      </c>
      <c r="C492" s="2">
        <v>1291.1189999999999</v>
      </c>
      <c r="D492" s="2">
        <f>HYPERLINK("http://mcb-m6.bioreg.kyushu-u.ac.jp/M3/20110411/F50920/3526/1", 90.39)</f>
        <v>90.39</v>
      </c>
      <c r="E492" s="2">
        <v>74.59</v>
      </c>
      <c r="F492" s="2">
        <v>2</v>
      </c>
      <c r="G492" s="2" t="s">
        <v>10</v>
      </c>
    </row>
    <row r="493" spans="1:9" x14ac:dyDescent="0.2">
      <c r="A493" s="2" t="s">
        <v>3505</v>
      </c>
      <c r="B493" s="2" t="s">
        <v>342</v>
      </c>
      <c r="C493" s="2">
        <v>1291.0820000000001</v>
      </c>
      <c r="D493" s="2">
        <f>HYPERLINK("http://mcb-m6.bioreg.kyushu-u.ac.jp/M3/20110411/F50920/3525/1", 122.18)</f>
        <v>122.18</v>
      </c>
      <c r="E493" s="2">
        <v>103.96</v>
      </c>
      <c r="F493" s="2">
        <v>2</v>
      </c>
      <c r="G493" s="2" t="s">
        <v>10</v>
      </c>
    </row>
    <row r="494" spans="1:9" x14ac:dyDescent="0.2">
      <c r="A494" s="2" t="s">
        <v>3505</v>
      </c>
      <c r="B494" s="2" t="s">
        <v>342</v>
      </c>
      <c r="C494" s="2">
        <v>1290.7550000000001</v>
      </c>
      <c r="D494" s="2">
        <f>HYPERLINK("http://mcb-m6.bioreg.kyushu-u.ac.jp/M3/20110411/F50913/3840/1", 130.79)</f>
        <v>130.79</v>
      </c>
      <c r="E494" s="2">
        <v>121.51</v>
      </c>
      <c r="F494" s="2">
        <v>2</v>
      </c>
      <c r="G494" s="2" t="s">
        <v>10</v>
      </c>
    </row>
    <row r="495" spans="1:9" x14ac:dyDescent="0.2">
      <c r="A495" s="2" t="s">
        <v>3505</v>
      </c>
      <c r="B495" s="2" t="s">
        <v>342</v>
      </c>
      <c r="C495" s="2">
        <v>1290.7809999999999</v>
      </c>
      <c r="D495" s="2">
        <f>HYPERLINK("http://mcb-m6.bioreg.kyushu-u.ac.jp/M3/20110414/F50930/2998/1", 113.31)</f>
        <v>113.31</v>
      </c>
      <c r="E495" s="2">
        <v>99.79</v>
      </c>
      <c r="F495" s="2">
        <v>2</v>
      </c>
      <c r="G495" s="2" t="s">
        <v>12</v>
      </c>
    </row>
    <row r="496" spans="1:9" x14ac:dyDescent="0.2">
      <c r="A496" s="2" t="s">
        <v>3505</v>
      </c>
      <c r="B496" s="2" t="s">
        <v>342</v>
      </c>
      <c r="C496" s="2">
        <v>1291.06</v>
      </c>
      <c r="D496" s="2">
        <f>HYPERLINK("http://mcb-m6.bioreg.kyushu-u.ac.jp/M3/20110502/F51170/3850/1", 117.75)</f>
        <v>117.75</v>
      </c>
      <c r="E496" s="2">
        <v>105.81</v>
      </c>
      <c r="F496" s="2">
        <v>2</v>
      </c>
      <c r="G496" s="2" t="s">
        <v>13</v>
      </c>
    </row>
    <row r="497" spans="1:7" x14ac:dyDescent="0.2">
      <c r="A497" s="2" t="s">
        <v>3505</v>
      </c>
      <c r="B497" s="2" t="s">
        <v>342</v>
      </c>
      <c r="C497" s="2">
        <v>1291.0909999999999</v>
      </c>
      <c r="D497" s="2">
        <f>HYPERLINK("http://mcb-m6.bioreg.kyushu-u.ac.jp/M3/20110502/F51166/2646/1", 120.49)</f>
        <v>120.49</v>
      </c>
      <c r="E497" s="2">
        <v>104.47</v>
      </c>
      <c r="F497" s="2">
        <v>2</v>
      </c>
      <c r="G497" s="2" t="s">
        <v>13</v>
      </c>
    </row>
    <row r="498" spans="1:7" x14ac:dyDescent="0.2">
      <c r="A498" s="2" t="s">
        <v>3295</v>
      </c>
      <c r="B498" s="2" t="s">
        <v>75</v>
      </c>
      <c r="C498" s="2">
        <v>671.59010000000001</v>
      </c>
      <c r="D498" s="2">
        <f>HYPERLINK("http://mcb-m6.bioreg.kyushu-u.ac.jp/M3/20110411/F50903/1679/1", 35.71)</f>
        <v>35.71</v>
      </c>
      <c r="E498" s="2">
        <v>18.670000000000002</v>
      </c>
      <c r="F498" s="2">
        <v>2</v>
      </c>
      <c r="G498" s="2" t="s">
        <v>9</v>
      </c>
    </row>
    <row r="499" spans="1:7" x14ac:dyDescent="0.2">
      <c r="A499" s="2" t="s">
        <v>3295</v>
      </c>
      <c r="B499" s="2" t="s">
        <v>208</v>
      </c>
      <c r="C499" s="2">
        <v>728.61720000000003</v>
      </c>
      <c r="D499" s="2">
        <f>HYPERLINK("http://mcb-m6.bioreg.kyushu-u.ac.jp/M3/20110411/F50903/2010/1", 37.69)</f>
        <v>37.69</v>
      </c>
      <c r="E499" s="2">
        <v>20.95</v>
      </c>
      <c r="F499" s="2">
        <v>2</v>
      </c>
      <c r="G499" s="2" t="s">
        <v>9</v>
      </c>
    </row>
    <row r="500" spans="1:7" x14ac:dyDescent="0.2">
      <c r="A500" s="2" t="s">
        <v>3295</v>
      </c>
      <c r="B500" s="2" t="s">
        <v>75</v>
      </c>
      <c r="C500" s="2">
        <v>671.59059999999999</v>
      </c>
      <c r="D500" s="2">
        <f>HYPERLINK("http://mcb-m6.bioreg.kyushu-u.ac.jp/M3/20110411/F50903/1681/1", 37.8)</f>
        <v>37.799999999999997</v>
      </c>
      <c r="E500" s="2">
        <v>13.98</v>
      </c>
      <c r="F500" s="2">
        <v>2</v>
      </c>
      <c r="G500" s="2" t="s">
        <v>9</v>
      </c>
    </row>
    <row r="501" spans="1:7" x14ac:dyDescent="0.2">
      <c r="A501" s="2" t="s">
        <v>3295</v>
      </c>
      <c r="B501" s="2" t="s">
        <v>208</v>
      </c>
      <c r="C501" s="2">
        <v>728.62369999999999</v>
      </c>
      <c r="D501" s="2">
        <f>HYPERLINK("http://mcb-m6.bioreg.kyushu-u.ac.jp/M3/20110411/F50903/2011/1", 40.43)</f>
        <v>40.43</v>
      </c>
      <c r="E501" s="2">
        <v>19.07</v>
      </c>
      <c r="F501" s="2">
        <v>2</v>
      </c>
      <c r="G501" s="2" t="s">
        <v>9</v>
      </c>
    </row>
    <row r="502" spans="1:7" x14ac:dyDescent="0.2">
      <c r="A502" s="2" t="s">
        <v>3295</v>
      </c>
      <c r="B502" s="2" t="s">
        <v>75</v>
      </c>
      <c r="C502" s="2">
        <v>1341.962</v>
      </c>
      <c r="D502" s="2">
        <f>HYPERLINK("http://mcb-m6.bioreg.kyushu-u.ac.jp/M3/20110411/F50903/1677/1", 45.47)</f>
        <v>45.47</v>
      </c>
      <c r="E502" s="2">
        <v>22.84</v>
      </c>
      <c r="F502" s="2">
        <v>1</v>
      </c>
      <c r="G502" s="2" t="s">
        <v>9</v>
      </c>
    </row>
    <row r="503" spans="1:7" x14ac:dyDescent="0.2">
      <c r="A503" s="2" t="s">
        <v>3295</v>
      </c>
      <c r="B503" s="2" t="s">
        <v>208</v>
      </c>
      <c r="C503" s="2">
        <v>728.57169999999996</v>
      </c>
      <c r="D503" s="2">
        <f>HYPERLINK("http://mcb-m6.bioreg.kyushu-u.ac.jp/M3/20110411/F50903/2007/1", 54.89)</f>
        <v>54.89</v>
      </c>
      <c r="E503" s="2">
        <v>33.65</v>
      </c>
      <c r="F503" s="2">
        <v>2</v>
      </c>
      <c r="G503" s="2" t="s">
        <v>9</v>
      </c>
    </row>
    <row r="504" spans="1:7" x14ac:dyDescent="0.2">
      <c r="A504" s="2" t="s">
        <v>3295</v>
      </c>
      <c r="B504" s="2" t="s">
        <v>75</v>
      </c>
      <c r="C504" s="2">
        <v>671.59559999999999</v>
      </c>
      <c r="D504" s="2">
        <f>HYPERLINK("http://mcb-m6.bioreg.kyushu-u.ac.jp/M3/20110411/F50903/1683/1", 57.58)</f>
        <v>57.58</v>
      </c>
      <c r="E504" s="2">
        <v>35.96</v>
      </c>
      <c r="F504" s="2">
        <v>2</v>
      </c>
      <c r="G504" s="2" t="s">
        <v>9</v>
      </c>
    </row>
    <row r="505" spans="1:7" x14ac:dyDescent="0.2">
      <c r="A505" s="2" t="s">
        <v>3295</v>
      </c>
      <c r="B505" s="2" t="s">
        <v>208</v>
      </c>
      <c r="C505" s="2">
        <v>728.93709999999999</v>
      </c>
      <c r="D505" s="2">
        <f>HYPERLINK("http://mcb-m6.bioreg.kyushu-u.ac.jp/M3/20110411/F50889/2208/1", 68.49)</f>
        <v>68.489999999999995</v>
      </c>
      <c r="E505" s="2">
        <v>47.48</v>
      </c>
      <c r="F505" s="2">
        <v>2</v>
      </c>
      <c r="G505" s="2" t="s">
        <v>9</v>
      </c>
    </row>
    <row r="506" spans="1:7" x14ac:dyDescent="0.2">
      <c r="A506" s="2" t="s">
        <v>3295</v>
      </c>
      <c r="B506" s="2" t="s">
        <v>208</v>
      </c>
      <c r="C506" s="2">
        <v>728.41470000000004</v>
      </c>
      <c r="D506" s="2">
        <f>HYPERLINK("http://mcb-m6.bioreg.kyushu-u.ac.jp/M3/20110411/F50896/2078/1", 36.31)</f>
        <v>36.31</v>
      </c>
      <c r="E506" s="2">
        <v>16.82</v>
      </c>
      <c r="F506" s="2">
        <v>2</v>
      </c>
      <c r="G506" s="2" t="s">
        <v>10</v>
      </c>
    </row>
    <row r="507" spans="1:7" x14ac:dyDescent="0.2">
      <c r="A507" s="2" t="s">
        <v>3295</v>
      </c>
      <c r="B507" s="2" t="s">
        <v>75</v>
      </c>
      <c r="C507" s="2">
        <v>1342.2539999999999</v>
      </c>
      <c r="D507" s="2">
        <f>HYPERLINK("http://mcb-m6.bioreg.kyushu-u.ac.jp/M3/20110411/F50920/1230/1", 37.16)</f>
        <v>37.159999999999997</v>
      </c>
      <c r="E507" s="2">
        <v>14.76</v>
      </c>
      <c r="F507" s="2">
        <v>1</v>
      </c>
      <c r="G507" s="2" t="s">
        <v>10</v>
      </c>
    </row>
    <row r="508" spans="1:7" x14ac:dyDescent="0.2">
      <c r="A508" s="2" t="s">
        <v>3295</v>
      </c>
      <c r="B508" s="2" t="s">
        <v>75</v>
      </c>
      <c r="C508" s="2">
        <v>671.4547</v>
      </c>
      <c r="D508" s="2">
        <f>HYPERLINK("http://mcb-m6.bioreg.kyushu-u.ac.jp/M3/20110411/F50920/1226/1", 46.52)</f>
        <v>46.52</v>
      </c>
      <c r="E508" s="2">
        <v>25.5</v>
      </c>
      <c r="F508" s="2">
        <v>2</v>
      </c>
      <c r="G508" s="2" t="s">
        <v>10</v>
      </c>
    </row>
    <row r="509" spans="1:7" x14ac:dyDescent="0.2">
      <c r="A509" s="2" t="s">
        <v>3295</v>
      </c>
      <c r="B509" s="2" t="s">
        <v>208</v>
      </c>
      <c r="C509" s="2">
        <v>728.41560000000004</v>
      </c>
      <c r="D509" s="2">
        <f>HYPERLINK("http://mcb-m6.bioreg.kyushu-u.ac.jp/M3/20110411/F50920/1496/1", 67.9)</f>
        <v>67.900000000000006</v>
      </c>
      <c r="E509" s="2">
        <v>45.18</v>
      </c>
      <c r="F509" s="2">
        <v>2</v>
      </c>
      <c r="G509" s="2" t="s">
        <v>10</v>
      </c>
    </row>
    <row r="510" spans="1:7" x14ac:dyDescent="0.2">
      <c r="A510" s="2" t="s">
        <v>3295</v>
      </c>
      <c r="B510" s="2" t="s">
        <v>75</v>
      </c>
      <c r="C510" s="2">
        <v>671.40170000000001</v>
      </c>
      <c r="D510" s="2">
        <f>HYPERLINK("http://mcb-m6.bioreg.kyushu-u.ac.jp/M3/20110414/F50924/1700/1", 36.4)</f>
        <v>36.4</v>
      </c>
      <c r="E510" s="2">
        <v>17.82</v>
      </c>
      <c r="F510" s="2">
        <v>2</v>
      </c>
      <c r="G510" s="2" t="s">
        <v>11</v>
      </c>
    </row>
    <row r="511" spans="1:7" x14ac:dyDescent="0.2">
      <c r="A511" s="2" t="s">
        <v>3295</v>
      </c>
      <c r="B511" s="2" t="s">
        <v>75</v>
      </c>
      <c r="C511" s="2">
        <v>671.15809999999999</v>
      </c>
      <c r="D511" s="2">
        <f>HYPERLINK("http://mcb-m6.bioreg.kyushu-u.ac.jp/M3/20110414/F50924/1694/1", 36.8)</f>
        <v>36.799999999999997</v>
      </c>
      <c r="E511" s="2">
        <v>17.260000000000002</v>
      </c>
      <c r="F511" s="2">
        <v>2</v>
      </c>
      <c r="G511" s="2" t="s">
        <v>11</v>
      </c>
    </row>
    <row r="512" spans="1:7" x14ac:dyDescent="0.2">
      <c r="A512" s="2" t="s">
        <v>3295</v>
      </c>
      <c r="B512" s="2" t="s">
        <v>2228</v>
      </c>
      <c r="C512" s="2">
        <v>828.42899999999997</v>
      </c>
      <c r="D512" s="2">
        <f>HYPERLINK("http://mcb-m6.bioreg.kyushu-u.ac.jp/M3/20110414/F50924/712/1", 38.74)</f>
        <v>38.74</v>
      </c>
      <c r="E512" s="2">
        <v>15.4</v>
      </c>
      <c r="F512" s="2">
        <v>1</v>
      </c>
      <c r="G512" s="2" t="s">
        <v>11</v>
      </c>
    </row>
    <row r="513" spans="1:7" x14ac:dyDescent="0.2">
      <c r="A513" s="2" t="s">
        <v>3295</v>
      </c>
      <c r="B513" s="2" t="s">
        <v>75</v>
      </c>
      <c r="C513" s="2">
        <v>671.41970000000003</v>
      </c>
      <c r="D513" s="2">
        <f>HYPERLINK("http://mcb-m6.bioreg.kyushu-u.ac.jp/M3/20110414/F50924/1701/1", 43.39)</f>
        <v>43.39</v>
      </c>
      <c r="E513" s="2">
        <v>25.79</v>
      </c>
      <c r="F513" s="2">
        <v>2</v>
      </c>
      <c r="G513" s="2" t="s">
        <v>11</v>
      </c>
    </row>
    <row r="514" spans="1:7" x14ac:dyDescent="0.2">
      <c r="A514" s="2" t="s">
        <v>3295</v>
      </c>
      <c r="B514" s="2" t="s">
        <v>75</v>
      </c>
      <c r="C514" s="2">
        <v>671.30470000000003</v>
      </c>
      <c r="D514" s="2">
        <f>HYPERLINK("http://mcb-m6.bioreg.kyushu-u.ac.jp/M3/20110414/F50924/1697/1", 44.32)</f>
        <v>44.32</v>
      </c>
      <c r="E514" s="2">
        <v>19.78</v>
      </c>
      <c r="F514" s="2">
        <v>2</v>
      </c>
      <c r="G514" s="2" t="s">
        <v>11</v>
      </c>
    </row>
    <row r="515" spans="1:7" x14ac:dyDescent="0.2">
      <c r="A515" s="2" t="s">
        <v>3295</v>
      </c>
      <c r="B515" s="2" t="s">
        <v>75</v>
      </c>
      <c r="C515" s="2">
        <v>671.47019999999998</v>
      </c>
      <c r="D515" s="2">
        <f>HYPERLINK("http://mcb-m6.bioreg.kyushu-u.ac.jp/M3/20110414/F50925/1912/1", 47.13)</f>
        <v>47.13</v>
      </c>
      <c r="E515" s="2">
        <v>17.510000000000002</v>
      </c>
      <c r="F515" s="2">
        <v>2</v>
      </c>
      <c r="G515" s="2" t="s">
        <v>11</v>
      </c>
    </row>
    <row r="516" spans="1:7" x14ac:dyDescent="0.2">
      <c r="A516" s="2" t="s">
        <v>3295</v>
      </c>
      <c r="B516" s="2" t="s">
        <v>208</v>
      </c>
      <c r="C516" s="2">
        <v>728.40620000000001</v>
      </c>
      <c r="D516" s="2">
        <f>HYPERLINK("http://mcb-m6.bioreg.kyushu-u.ac.jp/M3/20110414/F50925/2174/1", 50.87)</f>
        <v>50.87</v>
      </c>
      <c r="E516" s="2">
        <v>33.57</v>
      </c>
      <c r="F516" s="2">
        <v>2</v>
      </c>
      <c r="G516" s="2" t="s">
        <v>11</v>
      </c>
    </row>
    <row r="517" spans="1:7" x14ac:dyDescent="0.2">
      <c r="A517" s="2" t="s">
        <v>3295</v>
      </c>
      <c r="B517" s="2" t="s">
        <v>75</v>
      </c>
      <c r="C517" s="2">
        <v>671.4067</v>
      </c>
      <c r="D517" s="2">
        <f>HYPERLINK("http://mcb-m6.bioreg.kyushu-u.ac.jp/M3/20110414/F50925/1911/1", 51.74)</f>
        <v>51.74</v>
      </c>
      <c r="E517" s="2">
        <v>31.54</v>
      </c>
      <c r="F517" s="2">
        <v>2</v>
      </c>
      <c r="G517" s="2" t="s">
        <v>11</v>
      </c>
    </row>
    <row r="518" spans="1:7" x14ac:dyDescent="0.2">
      <c r="A518" s="2" t="s">
        <v>3295</v>
      </c>
      <c r="B518" s="2" t="s">
        <v>208</v>
      </c>
      <c r="C518" s="2">
        <v>728.37620000000004</v>
      </c>
      <c r="D518" s="2">
        <f>HYPERLINK("http://mcb-m6.bioreg.kyushu-u.ac.jp/M3/20110414/F50924/2086/1", 62.52)</f>
        <v>62.52</v>
      </c>
      <c r="E518" s="2">
        <v>39.18</v>
      </c>
      <c r="F518" s="2">
        <v>2</v>
      </c>
      <c r="G518" s="2" t="s">
        <v>11</v>
      </c>
    </row>
    <row r="519" spans="1:7" x14ac:dyDescent="0.2">
      <c r="A519" s="2" t="s">
        <v>3295</v>
      </c>
      <c r="B519" s="2" t="s">
        <v>208</v>
      </c>
      <c r="C519" s="2">
        <v>728.34969999999998</v>
      </c>
      <c r="D519" s="2">
        <f>HYPERLINK("http://mcb-m6.bioreg.kyushu-u.ac.jp/M3/20110414/F50924/2084/1", 62.82)</f>
        <v>62.82</v>
      </c>
      <c r="E519" s="2">
        <v>44.54</v>
      </c>
      <c r="F519" s="2">
        <v>2</v>
      </c>
      <c r="G519" s="2" t="s">
        <v>11</v>
      </c>
    </row>
    <row r="520" spans="1:7" x14ac:dyDescent="0.2">
      <c r="A520" s="2" t="s">
        <v>3295</v>
      </c>
      <c r="B520" s="2" t="s">
        <v>208</v>
      </c>
      <c r="C520" s="2">
        <v>728.66610000000003</v>
      </c>
      <c r="D520" s="2">
        <f>HYPERLINK("http://mcb-m6.bioreg.kyushu-u.ac.jp/M3/20110414/F50924/2088/1", 73.62)</f>
        <v>73.62</v>
      </c>
      <c r="E520" s="2">
        <v>50.66</v>
      </c>
      <c r="F520" s="2">
        <v>2</v>
      </c>
      <c r="G520" s="2" t="s">
        <v>11</v>
      </c>
    </row>
    <row r="521" spans="1:7" x14ac:dyDescent="0.2">
      <c r="A521" s="2" t="s">
        <v>3295</v>
      </c>
      <c r="B521" s="2" t="s">
        <v>208</v>
      </c>
      <c r="C521" s="2">
        <v>728.27970000000005</v>
      </c>
      <c r="D521" s="2">
        <f>HYPERLINK("http://mcb-m6.bioreg.kyushu-u.ac.jp/M3/20110414/F50924/2082/1", 81)</f>
        <v>81</v>
      </c>
      <c r="E521" s="2">
        <v>58.02</v>
      </c>
      <c r="F521" s="2">
        <v>2</v>
      </c>
      <c r="G521" s="2" t="s">
        <v>11</v>
      </c>
    </row>
    <row r="522" spans="1:7" x14ac:dyDescent="0.2">
      <c r="A522" s="2" t="s">
        <v>3295</v>
      </c>
      <c r="B522" s="2" t="s">
        <v>75</v>
      </c>
      <c r="C522" s="2">
        <v>671.3691</v>
      </c>
      <c r="D522" s="2">
        <f>HYPERLINK("http://mcb-m6.bioreg.kyushu-u.ac.jp/M3/20110414/F50930/1999/1", 35.57)</f>
        <v>35.57</v>
      </c>
      <c r="E522" s="2">
        <v>17.05</v>
      </c>
      <c r="F522" s="2">
        <v>2</v>
      </c>
      <c r="G522" s="2" t="s">
        <v>12</v>
      </c>
    </row>
    <row r="523" spans="1:7" x14ac:dyDescent="0.2">
      <c r="A523" s="2" t="s">
        <v>3295</v>
      </c>
      <c r="B523" s="2" t="s">
        <v>2228</v>
      </c>
      <c r="C523" s="2">
        <v>828.40599999999995</v>
      </c>
      <c r="D523" s="2">
        <f>HYPERLINK("http://mcb-m6.bioreg.kyushu-u.ac.jp/M3/20110414/F50930/1525/1", 38.4)</f>
        <v>38.4</v>
      </c>
      <c r="E523" s="2">
        <v>14.64</v>
      </c>
      <c r="F523" s="2">
        <v>1</v>
      </c>
      <c r="G523" s="2" t="s">
        <v>12</v>
      </c>
    </row>
    <row r="524" spans="1:7" x14ac:dyDescent="0.2">
      <c r="A524" s="2" t="s">
        <v>3295</v>
      </c>
      <c r="B524" s="2" t="s">
        <v>2228</v>
      </c>
      <c r="C524" s="2">
        <v>828.34900000000005</v>
      </c>
      <c r="D524" s="2">
        <f>HYPERLINK("http://mcb-m6.bioreg.kyushu-u.ac.jp/M3/20110414/F50930/1523/1", 39.8)</f>
        <v>39.799999999999997</v>
      </c>
      <c r="E524" s="2">
        <v>17.18</v>
      </c>
      <c r="F524" s="2">
        <v>1</v>
      </c>
      <c r="G524" s="2" t="s">
        <v>12</v>
      </c>
    </row>
    <row r="525" spans="1:7" x14ac:dyDescent="0.2">
      <c r="A525" s="2" t="s">
        <v>3295</v>
      </c>
      <c r="B525" s="2" t="s">
        <v>208</v>
      </c>
      <c r="C525" s="2">
        <v>728.42219999999998</v>
      </c>
      <c r="D525" s="2">
        <f>HYPERLINK("http://mcb-m6.bioreg.kyushu-u.ac.jp/M3/20110414/F50931/2196/1", 56.17)</f>
        <v>56.17</v>
      </c>
      <c r="E525" s="2">
        <v>34.78</v>
      </c>
      <c r="F525" s="2">
        <v>2</v>
      </c>
      <c r="G525" s="2" t="s">
        <v>12</v>
      </c>
    </row>
    <row r="526" spans="1:7" x14ac:dyDescent="0.2">
      <c r="A526" s="2" t="s">
        <v>3295</v>
      </c>
      <c r="B526" s="2" t="s">
        <v>208</v>
      </c>
      <c r="C526" s="2">
        <v>728.37459999999999</v>
      </c>
      <c r="D526" s="2">
        <f>HYPERLINK("http://mcb-m6.bioreg.kyushu-u.ac.jp/M3/20110414/F50930/2151/1", 78.37)</f>
        <v>78.37</v>
      </c>
      <c r="E526" s="2">
        <v>55.98</v>
      </c>
      <c r="F526" s="2">
        <v>2</v>
      </c>
      <c r="G526" s="2" t="s">
        <v>12</v>
      </c>
    </row>
    <row r="527" spans="1:7" x14ac:dyDescent="0.2">
      <c r="A527" s="2" t="s">
        <v>3295</v>
      </c>
      <c r="B527" s="2" t="s">
        <v>208</v>
      </c>
      <c r="C527" s="2">
        <v>728.60019999999997</v>
      </c>
      <c r="D527" s="2">
        <f>HYPERLINK("http://mcb-m6.bioreg.kyushu-u.ac.jp/M3/20110502/F51165/2063/1", 55.49)</f>
        <v>55.49</v>
      </c>
      <c r="E527" s="2">
        <v>31.71</v>
      </c>
      <c r="F527" s="2">
        <v>2</v>
      </c>
      <c r="G527" s="2" t="s">
        <v>13</v>
      </c>
    </row>
    <row r="528" spans="1:7" x14ac:dyDescent="0.2">
      <c r="A528" s="2" t="s">
        <v>3295</v>
      </c>
      <c r="B528" s="2" t="s">
        <v>208</v>
      </c>
      <c r="C528" s="2">
        <v>728.47220000000004</v>
      </c>
      <c r="D528" s="2">
        <f>HYPERLINK("http://mcb-m6.bioreg.kyushu-u.ac.jp/M3/20110502/F51167/1965/1", 60.85)</f>
        <v>60.85</v>
      </c>
      <c r="E528" s="2">
        <v>31.46</v>
      </c>
      <c r="F528" s="2">
        <v>2</v>
      </c>
      <c r="G528" s="2" t="s">
        <v>13</v>
      </c>
    </row>
    <row r="529" spans="1:9" x14ac:dyDescent="0.2">
      <c r="A529" s="2" t="s">
        <v>3295</v>
      </c>
      <c r="B529" s="2" t="s">
        <v>75</v>
      </c>
      <c r="C529" s="2">
        <v>671.49659999999994</v>
      </c>
      <c r="D529" s="2">
        <f>HYPERLINK("http://mcb-m6.bioreg.kyushu-u.ac.jp/M3/20110502/F51166/1910/1", 63.89)</f>
        <v>63.89</v>
      </c>
      <c r="E529" s="2">
        <v>42.85</v>
      </c>
      <c r="F529" s="2">
        <v>2</v>
      </c>
      <c r="G529" s="2" t="s">
        <v>13</v>
      </c>
    </row>
    <row r="530" spans="1:9" x14ac:dyDescent="0.2">
      <c r="A530" s="2" t="s">
        <v>3295</v>
      </c>
      <c r="B530" s="2" t="s">
        <v>208</v>
      </c>
      <c r="C530" s="2">
        <v>728.48469999999998</v>
      </c>
      <c r="D530" s="2">
        <f>HYPERLINK("http://mcb-m6.bioreg.kyushu-u.ac.jp/M3/20110502/F51166/2025/1", 75.98)</f>
        <v>75.98</v>
      </c>
      <c r="E530" s="2">
        <v>53.5</v>
      </c>
      <c r="F530" s="2">
        <v>2</v>
      </c>
      <c r="G530" s="2" t="s">
        <v>13</v>
      </c>
    </row>
    <row r="531" spans="1:9" x14ac:dyDescent="0.2">
      <c r="A531" s="2" t="s">
        <v>3295</v>
      </c>
      <c r="B531" s="2" t="s">
        <v>75</v>
      </c>
      <c r="C531" s="2">
        <v>671.69759999999997</v>
      </c>
      <c r="D531" s="2">
        <f>HYPERLINK("http://mcb-m6.bioreg.kyushu-u.ac.jp/M3/20110502/F51181/1443/1", 61.17)</f>
        <v>61.17</v>
      </c>
      <c r="E531" s="2">
        <v>37.01</v>
      </c>
      <c r="F531" s="2">
        <v>2</v>
      </c>
      <c r="G531" s="2" t="s">
        <v>14</v>
      </c>
    </row>
    <row r="532" spans="1:9" x14ac:dyDescent="0.2">
      <c r="A532" s="2" t="s">
        <v>3295</v>
      </c>
      <c r="B532" s="2" t="s">
        <v>208</v>
      </c>
      <c r="C532" s="2">
        <v>728.69820000000004</v>
      </c>
      <c r="D532" s="2">
        <f>HYPERLINK("http://mcb-m6.bioreg.kyushu-u.ac.jp/M3/20110502/F51181/1778/1", 80.93)</f>
        <v>80.930000000000007</v>
      </c>
      <c r="E532" s="2">
        <v>50.82</v>
      </c>
      <c r="F532" s="2">
        <v>2</v>
      </c>
      <c r="G532" s="2" t="s">
        <v>14</v>
      </c>
    </row>
    <row r="533" spans="1:9" x14ac:dyDescent="0.2">
      <c r="A533" s="2" t="s">
        <v>3868</v>
      </c>
      <c r="B533" s="2" t="s">
        <v>984</v>
      </c>
      <c r="C533" s="2">
        <v>761.57320000000004</v>
      </c>
      <c r="D533" s="2">
        <f>HYPERLINK("http://mcb-m6.bioreg.kyushu-u.ac.jp/M3/20110411/F50905/2155/1", 57.91)</f>
        <v>57.91</v>
      </c>
      <c r="E533" s="2">
        <v>39.56</v>
      </c>
      <c r="F533" s="2">
        <v>2</v>
      </c>
      <c r="G533" s="2" t="s">
        <v>9</v>
      </c>
      <c r="I533" s="2" t="s">
        <v>4903</v>
      </c>
    </row>
    <row r="534" spans="1:9" x14ac:dyDescent="0.2">
      <c r="A534" s="2" t="s">
        <v>3868</v>
      </c>
      <c r="B534" s="2" t="s">
        <v>984</v>
      </c>
      <c r="C534" s="2">
        <v>761.68910000000005</v>
      </c>
      <c r="D534" s="2">
        <f>HYPERLINK("http://mcb-m6.bioreg.kyushu-u.ac.jp/M3/20110414/F50941/2230/1", 70.43)</f>
        <v>70.430000000000007</v>
      </c>
      <c r="E534" s="2">
        <v>58.53</v>
      </c>
      <c r="F534" s="2">
        <v>2</v>
      </c>
      <c r="G534" s="2" t="s">
        <v>11</v>
      </c>
      <c r="I534" s="2" t="s">
        <v>4903</v>
      </c>
    </row>
    <row r="535" spans="1:9" x14ac:dyDescent="0.2">
      <c r="A535" s="2" t="s">
        <v>3868</v>
      </c>
      <c r="B535" s="2" t="s">
        <v>3139</v>
      </c>
      <c r="C535" s="2">
        <v>1023.099</v>
      </c>
      <c r="D535" s="2">
        <f>HYPERLINK("http://mcb-m6.bioreg.kyushu-u.ac.jp/M3/20110502/F51179/3195/1", 50.63)</f>
        <v>50.63</v>
      </c>
      <c r="E535" s="2">
        <v>38.94</v>
      </c>
      <c r="F535" s="2">
        <v>2</v>
      </c>
      <c r="G535" s="2" t="s">
        <v>14</v>
      </c>
      <c r="H535" s="2" t="s">
        <v>4979</v>
      </c>
    </row>
    <row r="536" spans="1:9" x14ac:dyDescent="0.2">
      <c r="A536" s="2" t="s">
        <v>3377</v>
      </c>
      <c r="B536" s="2" t="s">
        <v>169</v>
      </c>
      <c r="C536" s="2">
        <v>921.49469999999997</v>
      </c>
      <c r="D536" s="2">
        <f>HYPERLINK("http://mcb-m6.bioreg.kyushu-u.ac.jp/M3/20110411/F50916/2805/1", 37.16)</f>
        <v>37.159999999999997</v>
      </c>
      <c r="E536" s="2">
        <v>25.07</v>
      </c>
      <c r="F536" s="2">
        <v>2</v>
      </c>
      <c r="G536" s="2" t="s">
        <v>9</v>
      </c>
    </row>
    <row r="537" spans="1:9" x14ac:dyDescent="0.2">
      <c r="A537" s="2" t="s">
        <v>3377</v>
      </c>
      <c r="B537" s="2" t="s">
        <v>169</v>
      </c>
      <c r="C537" s="2">
        <v>921.93870000000004</v>
      </c>
      <c r="D537" s="2">
        <f>HYPERLINK("http://mcb-m6.bioreg.kyushu-u.ac.jp/M3/20110411/F50892/2919/1", 43.05)</f>
        <v>43.05</v>
      </c>
      <c r="E537" s="2">
        <v>34.04</v>
      </c>
      <c r="F537" s="2">
        <v>2</v>
      </c>
      <c r="G537" s="2" t="s">
        <v>9</v>
      </c>
    </row>
    <row r="538" spans="1:9" x14ac:dyDescent="0.2">
      <c r="A538" s="2" t="s">
        <v>3377</v>
      </c>
      <c r="B538" s="2" t="s">
        <v>1129</v>
      </c>
      <c r="C538" s="2">
        <v>801.50570000000005</v>
      </c>
      <c r="D538" s="2">
        <f>HYPERLINK("http://mcb-m6.bioreg.kyushu-u.ac.jp/M3/20110411/F50905/2384/1", 64.39)</f>
        <v>64.39</v>
      </c>
      <c r="E538" s="2">
        <v>47.66</v>
      </c>
      <c r="F538" s="2">
        <v>2</v>
      </c>
      <c r="G538" s="2" t="s">
        <v>9</v>
      </c>
      <c r="I538" s="2" t="s">
        <v>4905</v>
      </c>
    </row>
    <row r="539" spans="1:9" x14ac:dyDescent="0.2">
      <c r="A539" s="2" t="s">
        <v>3377</v>
      </c>
      <c r="B539" s="2" t="s">
        <v>169</v>
      </c>
      <c r="C539" s="2">
        <v>922.03420000000006</v>
      </c>
      <c r="D539" s="2">
        <f>HYPERLINK("http://mcb-m6.bioreg.kyushu-u.ac.jp/M3/20110411/F50915/2948/1", 64.53)</f>
        <v>64.53</v>
      </c>
      <c r="E539" s="2">
        <v>51.73</v>
      </c>
      <c r="F539" s="2">
        <v>2</v>
      </c>
      <c r="G539" s="2" t="s">
        <v>9</v>
      </c>
    </row>
    <row r="540" spans="1:9" x14ac:dyDescent="0.2">
      <c r="A540" s="2" t="s">
        <v>3377</v>
      </c>
      <c r="B540" s="2" t="s">
        <v>169</v>
      </c>
      <c r="C540" s="2">
        <v>922.02419999999995</v>
      </c>
      <c r="D540" s="2">
        <f>HYPERLINK("http://mcb-m6.bioreg.kyushu-u.ac.jp/M3/20110411/F50905/2953/1", 71.18)</f>
        <v>71.180000000000007</v>
      </c>
      <c r="E540" s="2">
        <v>54.43</v>
      </c>
      <c r="F540" s="2">
        <v>2</v>
      </c>
      <c r="G540" s="2" t="s">
        <v>9</v>
      </c>
    </row>
    <row r="541" spans="1:9" x14ac:dyDescent="0.2">
      <c r="A541" s="2" t="s">
        <v>3377</v>
      </c>
      <c r="B541" s="2" t="s">
        <v>169</v>
      </c>
      <c r="C541" s="2">
        <v>921.32320000000004</v>
      </c>
      <c r="D541" s="2">
        <f>HYPERLINK("http://mcb-m6.bioreg.kyushu-u.ac.jp/M3/20110411/F50905/2950/1", 72.86)</f>
        <v>72.86</v>
      </c>
      <c r="E541" s="2">
        <v>53.86</v>
      </c>
      <c r="F541" s="2">
        <v>2</v>
      </c>
      <c r="G541" s="2" t="s">
        <v>9</v>
      </c>
    </row>
    <row r="542" spans="1:9" x14ac:dyDescent="0.2">
      <c r="A542" s="2" t="s">
        <v>3377</v>
      </c>
      <c r="B542" s="2" t="s">
        <v>169</v>
      </c>
      <c r="C542" s="2">
        <v>921.73860000000002</v>
      </c>
      <c r="D542" s="2">
        <f>HYPERLINK("http://mcb-m6.bioreg.kyushu-u.ac.jp/M3/20110411/F50911/3047/1", 84.37)</f>
        <v>84.37</v>
      </c>
      <c r="E542" s="2">
        <v>71.33</v>
      </c>
      <c r="F542" s="2">
        <v>2</v>
      </c>
      <c r="G542" s="2" t="s">
        <v>9</v>
      </c>
    </row>
    <row r="543" spans="1:9" x14ac:dyDescent="0.2">
      <c r="A543" s="2" t="s">
        <v>3377</v>
      </c>
      <c r="B543" s="2" t="s">
        <v>1576</v>
      </c>
      <c r="C543" s="2">
        <v>843.42409999999995</v>
      </c>
      <c r="D543" s="2">
        <f>HYPERLINK("http://mcb-m6.bioreg.kyushu-u.ac.jp/M3/20110411/F50905/2557/1", 94.03)</f>
        <v>94.03</v>
      </c>
      <c r="E543" s="2">
        <v>81.37</v>
      </c>
      <c r="F543" s="2">
        <v>2</v>
      </c>
      <c r="G543" s="2" t="s">
        <v>9</v>
      </c>
    </row>
    <row r="544" spans="1:9" x14ac:dyDescent="0.2">
      <c r="A544" s="2" t="s">
        <v>3377</v>
      </c>
      <c r="B544" s="2" t="s">
        <v>1664</v>
      </c>
      <c r="C544" s="2">
        <v>1054.194</v>
      </c>
      <c r="D544" s="2">
        <f>HYPERLINK("http://mcb-m6.bioreg.kyushu-u.ac.jp/M3/20110411/F50905/3460/1", 117.09)</f>
        <v>117.09</v>
      </c>
      <c r="E544" s="2">
        <v>97.56</v>
      </c>
      <c r="F544" s="2">
        <v>2</v>
      </c>
      <c r="G544" s="2" t="s">
        <v>9</v>
      </c>
    </row>
    <row r="545" spans="1:7" x14ac:dyDescent="0.2">
      <c r="A545" s="2" t="s">
        <v>3377</v>
      </c>
      <c r="B545" s="2" t="s">
        <v>169</v>
      </c>
      <c r="C545" s="2">
        <v>921.48360000000002</v>
      </c>
      <c r="D545" s="2">
        <f>HYPERLINK("http://mcb-m6.bioreg.kyushu-u.ac.jp/M3/20110411/F50914/2945/1", 35.05)</f>
        <v>35.049999999999997</v>
      </c>
      <c r="E545" s="2">
        <v>27.83</v>
      </c>
      <c r="F545" s="2">
        <v>2</v>
      </c>
      <c r="G545" s="2" t="s">
        <v>10</v>
      </c>
    </row>
    <row r="546" spans="1:7" x14ac:dyDescent="0.2">
      <c r="A546" s="2" t="s">
        <v>3377</v>
      </c>
      <c r="B546" s="2" t="s">
        <v>169</v>
      </c>
      <c r="C546" s="2">
        <v>921.91819999999996</v>
      </c>
      <c r="D546" s="2">
        <f>HYPERLINK("http://mcb-m6.bioreg.kyushu-u.ac.jp/M3/20110411/F50913/2889/1", 52.22)</f>
        <v>52.22</v>
      </c>
      <c r="E546" s="2">
        <v>29.72</v>
      </c>
      <c r="F546" s="2">
        <v>2</v>
      </c>
      <c r="G546" s="2" t="s">
        <v>10</v>
      </c>
    </row>
    <row r="547" spans="1:7" x14ac:dyDescent="0.2">
      <c r="A547" s="2" t="s">
        <v>3377</v>
      </c>
      <c r="B547" s="2" t="s">
        <v>169</v>
      </c>
      <c r="C547" s="2">
        <v>921.83010000000002</v>
      </c>
      <c r="D547" s="2">
        <f>HYPERLINK("http://mcb-m6.bioreg.kyushu-u.ac.jp/M3/20110411/F50913/2887/1", 85.36)</f>
        <v>85.36</v>
      </c>
      <c r="E547" s="2">
        <v>70.97</v>
      </c>
      <c r="F547" s="2">
        <v>2</v>
      </c>
      <c r="G547" s="2" t="s">
        <v>10</v>
      </c>
    </row>
    <row r="548" spans="1:7" x14ac:dyDescent="0.2">
      <c r="A548" s="2" t="s">
        <v>3377</v>
      </c>
      <c r="B548" s="2" t="s">
        <v>1576</v>
      </c>
      <c r="C548" s="2">
        <v>843.15369999999996</v>
      </c>
      <c r="D548" s="2">
        <f>HYPERLINK("http://mcb-m6.bioreg.kyushu-u.ac.jp/M3/20110411/F50913/2487/1", 113.51)</f>
        <v>113.51</v>
      </c>
      <c r="E548" s="2">
        <v>98.01</v>
      </c>
      <c r="F548" s="2">
        <v>2</v>
      </c>
      <c r="G548" s="2" t="s">
        <v>10</v>
      </c>
    </row>
    <row r="549" spans="1:7" x14ac:dyDescent="0.2">
      <c r="A549" s="2" t="s">
        <v>3377</v>
      </c>
      <c r="B549" s="2" t="s">
        <v>169</v>
      </c>
      <c r="C549" s="2">
        <v>921.89469999999994</v>
      </c>
      <c r="D549" s="2">
        <f>HYPERLINK("http://mcb-m6.bioreg.kyushu-u.ac.jp/M3/20110414/F50941/3097/1", 51.16)</f>
        <v>51.16</v>
      </c>
      <c r="E549" s="2">
        <v>32.61</v>
      </c>
      <c r="F549" s="2">
        <v>2</v>
      </c>
      <c r="G549" s="2" t="s">
        <v>11</v>
      </c>
    </row>
    <row r="550" spans="1:7" x14ac:dyDescent="0.2">
      <c r="A550" s="2" t="s">
        <v>3377</v>
      </c>
      <c r="B550" s="2" t="s">
        <v>169</v>
      </c>
      <c r="C550" s="2">
        <v>921.65369999999996</v>
      </c>
      <c r="D550" s="2">
        <f>HYPERLINK("http://mcb-m6.bioreg.kyushu-u.ac.jp/M3/20110414/F50942/3011/1", 79.28)</f>
        <v>79.28</v>
      </c>
      <c r="E550" s="2">
        <v>65.08</v>
      </c>
      <c r="F550" s="2">
        <v>2</v>
      </c>
      <c r="G550" s="2" t="s">
        <v>11</v>
      </c>
    </row>
    <row r="551" spans="1:7" x14ac:dyDescent="0.2">
      <c r="A551" s="2" t="s">
        <v>3377</v>
      </c>
      <c r="B551" s="2" t="s">
        <v>1576</v>
      </c>
      <c r="C551" s="2">
        <v>842.84010000000001</v>
      </c>
      <c r="D551" s="2">
        <f>HYPERLINK("http://mcb-m6.bioreg.kyushu-u.ac.jp/M3/20110414/F50941/2626/1", 81.18)</f>
        <v>81.180000000000007</v>
      </c>
      <c r="E551" s="2">
        <v>68.239999999999995</v>
      </c>
      <c r="F551" s="2">
        <v>2</v>
      </c>
      <c r="G551" s="2" t="s">
        <v>11</v>
      </c>
    </row>
    <row r="552" spans="1:7" x14ac:dyDescent="0.2">
      <c r="A552" s="2" t="s">
        <v>3377</v>
      </c>
      <c r="B552" s="2" t="s">
        <v>169</v>
      </c>
      <c r="C552" s="2">
        <v>921.29520000000002</v>
      </c>
      <c r="D552" s="2">
        <f>HYPERLINK("http://mcb-m6.bioreg.kyushu-u.ac.jp/M3/20110414/F50941/3093/1", 89.05)</f>
        <v>89.05</v>
      </c>
      <c r="E552" s="2">
        <v>72.25</v>
      </c>
      <c r="F552" s="2">
        <v>2</v>
      </c>
      <c r="G552" s="2" t="s">
        <v>11</v>
      </c>
    </row>
    <row r="553" spans="1:7" x14ac:dyDescent="0.2">
      <c r="A553" s="2" t="s">
        <v>3377</v>
      </c>
      <c r="B553" s="2" t="s">
        <v>169</v>
      </c>
      <c r="C553" s="2">
        <v>921.90769999999998</v>
      </c>
      <c r="D553" s="2">
        <f>HYPERLINK("http://mcb-m6.bioreg.kyushu-u.ac.jp/M3/20110414/F50947/3038/1", 35.37)</f>
        <v>35.369999999999997</v>
      </c>
      <c r="E553" s="2">
        <v>16.329999999999998</v>
      </c>
      <c r="F553" s="2">
        <v>2</v>
      </c>
      <c r="G553" s="2" t="s">
        <v>12</v>
      </c>
    </row>
    <row r="554" spans="1:7" x14ac:dyDescent="0.2">
      <c r="A554" s="2" t="s">
        <v>3377</v>
      </c>
      <c r="B554" s="2" t="s">
        <v>1576</v>
      </c>
      <c r="C554" s="2">
        <v>842.98069999999996</v>
      </c>
      <c r="D554" s="2">
        <f>HYPERLINK("http://mcb-m6.bioreg.kyushu-u.ac.jp/M3/20110414/F50947/2551/1", 94.39)</f>
        <v>94.39</v>
      </c>
      <c r="E554" s="2">
        <v>83.49</v>
      </c>
      <c r="F554" s="2">
        <v>2</v>
      </c>
      <c r="G554" s="2" t="s">
        <v>12</v>
      </c>
    </row>
    <row r="555" spans="1:7" x14ac:dyDescent="0.2">
      <c r="A555" s="2" t="s">
        <v>3377</v>
      </c>
      <c r="B555" s="2" t="s">
        <v>169</v>
      </c>
      <c r="C555" s="2">
        <v>921.48069999999996</v>
      </c>
      <c r="D555" s="2">
        <f>HYPERLINK("http://mcb-m6.bioreg.kyushu-u.ac.jp/M3/20110414/F50950/3129/1", 97.03)</f>
        <v>97.03</v>
      </c>
      <c r="E555" s="2">
        <v>76.67</v>
      </c>
      <c r="F555" s="2">
        <v>2</v>
      </c>
      <c r="G555" s="2" t="s">
        <v>12</v>
      </c>
    </row>
    <row r="556" spans="1:7" x14ac:dyDescent="0.2">
      <c r="A556" s="2" t="s">
        <v>3377</v>
      </c>
      <c r="B556" s="2" t="s">
        <v>169</v>
      </c>
      <c r="C556" s="2">
        <v>921.85469999999998</v>
      </c>
      <c r="D556" s="2">
        <f>HYPERLINK("http://mcb-m6.bioreg.kyushu-u.ac.jp/M3/20110502/F51173/2889/1", 42.07)</f>
        <v>42.07</v>
      </c>
      <c r="E556" s="2">
        <v>30.9</v>
      </c>
      <c r="F556" s="2">
        <v>2</v>
      </c>
      <c r="G556" s="2" t="s">
        <v>13</v>
      </c>
    </row>
    <row r="557" spans="1:7" x14ac:dyDescent="0.2">
      <c r="A557" s="2" t="s">
        <v>3377</v>
      </c>
      <c r="B557" s="2" t="s">
        <v>169</v>
      </c>
      <c r="C557" s="2">
        <v>921.74019999999996</v>
      </c>
      <c r="D557" s="2">
        <f>HYPERLINK("http://mcb-m6.bioreg.kyushu-u.ac.jp/M3/20110502/F51171/2765/1", 67.3)</f>
        <v>67.3</v>
      </c>
      <c r="E557" s="2">
        <v>51.74</v>
      </c>
      <c r="F557" s="2">
        <v>2</v>
      </c>
      <c r="G557" s="2" t="s">
        <v>13</v>
      </c>
    </row>
    <row r="558" spans="1:7" x14ac:dyDescent="0.2">
      <c r="A558" s="2" t="s">
        <v>3377</v>
      </c>
      <c r="B558" s="2" t="s">
        <v>169</v>
      </c>
      <c r="C558" s="2">
        <v>921.99220000000003</v>
      </c>
      <c r="D558" s="2">
        <f>HYPERLINK("http://mcb-m6.bioreg.kyushu-u.ac.jp/M3/20110502/F51170/2987/1", 77.14)</f>
        <v>77.14</v>
      </c>
      <c r="E558" s="2">
        <v>63.27</v>
      </c>
      <c r="F558" s="2">
        <v>2</v>
      </c>
      <c r="G558" s="2" t="s">
        <v>13</v>
      </c>
    </row>
    <row r="559" spans="1:7" x14ac:dyDescent="0.2">
      <c r="A559" s="2" t="s">
        <v>3377</v>
      </c>
      <c r="B559" s="2" t="s">
        <v>169</v>
      </c>
      <c r="C559" s="2">
        <v>921.61569999999995</v>
      </c>
      <c r="D559" s="2">
        <f>HYPERLINK("http://mcb-m6.bioreg.kyushu-u.ac.jp/M3/20110502/F51170/2986/1", 98.04)</f>
        <v>98.04</v>
      </c>
      <c r="E559" s="2">
        <v>84.29</v>
      </c>
      <c r="F559" s="2">
        <v>2</v>
      </c>
      <c r="G559" s="2" t="s">
        <v>13</v>
      </c>
    </row>
    <row r="560" spans="1:7" x14ac:dyDescent="0.2">
      <c r="A560" s="2" t="s">
        <v>3377</v>
      </c>
      <c r="B560" s="2" t="s">
        <v>169</v>
      </c>
      <c r="C560" s="2">
        <v>921.35519999999997</v>
      </c>
      <c r="D560" s="2">
        <f>HYPERLINK("http://mcb-m6.bioreg.kyushu-u.ac.jp/M3/20110502/F51179/2805/1", 86.69)</f>
        <v>86.69</v>
      </c>
      <c r="E560" s="2">
        <v>68.47</v>
      </c>
      <c r="F560" s="2">
        <v>2</v>
      </c>
      <c r="G560" s="2" t="s">
        <v>14</v>
      </c>
    </row>
    <row r="561" spans="1:7" x14ac:dyDescent="0.2">
      <c r="A561" s="2" t="s">
        <v>3613</v>
      </c>
      <c r="B561" s="2" t="s">
        <v>517</v>
      </c>
      <c r="C561" s="2">
        <v>546.98109999999997</v>
      </c>
      <c r="D561" s="2">
        <f>HYPERLINK("http://mcb-m6.bioreg.kyushu-u.ac.jp/M3/20110411/F50911/1164/1", 43.64)</f>
        <v>43.64</v>
      </c>
      <c r="E561" s="2">
        <v>25.89</v>
      </c>
      <c r="F561" s="2">
        <v>2</v>
      </c>
      <c r="G561" s="2" t="s">
        <v>9</v>
      </c>
    </row>
    <row r="562" spans="1:7" x14ac:dyDescent="0.2">
      <c r="A562" s="2" t="s">
        <v>3613</v>
      </c>
      <c r="B562" s="2" t="s">
        <v>517</v>
      </c>
      <c r="C562" s="2">
        <v>547.01819999999998</v>
      </c>
      <c r="D562" s="2">
        <f>HYPERLINK("http://mcb-m6.bioreg.kyushu-u.ac.jp/M3/20110411/F50904/1269/1", 45.97)</f>
        <v>45.97</v>
      </c>
      <c r="E562" s="2">
        <v>17.940000000000001</v>
      </c>
      <c r="F562" s="2">
        <v>2</v>
      </c>
      <c r="G562" s="2" t="s">
        <v>9</v>
      </c>
    </row>
    <row r="563" spans="1:7" x14ac:dyDescent="0.2">
      <c r="A563" s="2" t="s">
        <v>3613</v>
      </c>
      <c r="B563" s="2" t="s">
        <v>517</v>
      </c>
      <c r="C563" s="2">
        <v>1092.8230000000001</v>
      </c>
      <c r="D563" s="2">
        <f>HYPERLINK("http://mcb-m6.bioreg.kyushu-u.ac.jp/M3/20110411/F50905/1135/1", 55.27)</f>
        <v>55.27</v>
      </c>
      <c r="E563" s="2">
        <v>23.58</v>
      </c>
      <c r="F563" s="2">
        <v>1</v>
      </c>
      <c r="G563" s="2" t="s">
        <v>9</v>
      </c>
    </row>
    <row r="564" spans="1:7" x14ac:dyDescent="0.2">
      <c r="A564" s="2" t="s">
        <v>3613</v>
      </c>
      <c r="B564" s="2" t="s">
        <v>517</v>
      </c>
      <c r="C564" s="2">
        <v>547.14070000000004</v>
      </c>
      <c r="D564" s="2">
        <f>HYPERLINK("http://mcb-m6.bioreg.kyushu-u.ac.jp/M3/20110411/F50913/1193/1", 45.15)</f>
        <v>45.15</v>
      </c>
      <c r="E564" s="2">
        <v>20.11</v>
      </c>
      <c r="F564" s="2">
        <v>2</v>
      </c>
      <c r="G564" s="2" t="s">
        <v>10</v>
      </c>
    </row>
    <row r="565" spans="1:7" x14ac:dyDescent="0.2">
      <c r="A565" s="2" t="s">
        <v>3613</v>
      </c>
      <c r="B565" s="2" t="s">
        <v>517</v>
      </c>
      <c r="C565" s="2">
        <v>547.11109999999996</v>
      </c>
      <c r="D565" s="2">
        <f>HYPERLINK("http://mcb-m6.bioreg.kyushu-u.ac.jp/M3/20110411/F50912/1244/1", 51.86)</f>
        <v>51.86</v>
      </c>
      <c r="E565" s="2">
        <v>29.56</v>
      </c>
      <c r="F565" s="2">
        <v>2</v>
      </c>
      <c r="G565" s="2" t="s">
        <v>10</v>
      </c>
    </row>
    <row r="566" spans="1:7" x14ac:dyDescent="0.2">
      <c r="A566" s="2" t="s">
        <v>3613</v>
      </c>
      <c r="B566" s="2" t="s">
        <v>517</v>
      </c>
      <c r="C566" s="2">
        <v>1092.94</v>
      </c>
      <c r="D566" s="2">
        <f>HYPERLINK("http://mcb-m6.bioreg.kyushu-u.ac.jp/M3/20110411/F50913/1192/1", 53.74)</f>
        <v>53.74</v>
      </c>
      <c r="E566" s="2">
        <v>22.27</v>
      </c>
      <c r="F566" s="2">
        <v>1</v>
      </c>
      <c r="G566" s="2" t="s">
        <v>10</v>
      </c>
    </row>
    <row r="567" spans="1:7" x14ac:dyDescent="0.2">
      <c r="A567" s="2" t="s">
        <v>3613</v>
      </c>
      <c r="B567" s="2" t="s">
        <v>517</v>
      </c>
      <c r="C567" s="2">
        <v>547.18960000000004</v>
      </c>
      <c r="D567" s="2">
        <f>HYPERLINK("http://mcb-m6.bioreg.kyushu-u.ac.jp/M3/20110414/F50941/1088/1", 38.71)</f>
        <v>38.71</v>
      </c>
      <c r="E567" s="2">
        <v>20.260000000000002</v>
      </c>
      <c r="F567" s="2">
        <v>2</v>
      </c>
      <c r="G567" s="2" t="s">
        <v>11</v>
      </c>
    </row>
    <row r="568" spans="1:7" x14ac:dyDescent="0.2">
      <c r="A568" s="2" t="s">
        <v>3613</v>
      </c>
      <c r="B568" s="2" t="s">
        <v>517</v>
      </c>
      <c r="C568" s="2">
        <v>546.8492</v>
      </c>
      <c r="D568" s="2">
        <f>HYPERLINK("http://mcb-m6.bioreg.kyushu-u.ac.jp/M3/20110502/F51170/1188/1", 35.95)</f>
        <v>35.950000000000003</v>
      </c>
      <c r="E568" s="2">
        <v>16.13</v>
      </c>
      <c r="F568" s="2">
        <v>2</v>
      </c>
      <c r="G568" s="2" t="s">
        <v>13</v>
      </c>
    </row>
    <row r="569" spans="1:7" x14ac:dyDescent="0.2">
      <c r="A569" s="2" t="s">
        <v>3613</v>
      </c>
      <c r="B569" s="2" t="s">
        <v>517</v>
      </c>
      <c r="C569" s="2">
        <v>547.00819999999999</v>
      </c>
      <c r="D569" s="2">
        <f>HYPERLINK("http://mcb-m6.bioreg.kyushu-u.ac.jp/M3/20110502/F51170/1190/1", 45.06)</f>
        <v>45.06</v>
      </c>
      <c r="E569" s="2">
        <v>24.62</v>
      </c>
      <c r="F569" s="2">
        <v>2</v>
      </c>
      <c r="G569" s="2" t="s">
        <v>13</v>
      </c>
    </row>
    <row r="570" spans="1:7" x14ac:dyDescent="0.2">
      <c r="A570" s="2" t="s">
        <v>3613</v>
      </c>
      <c r="B570" s="2" t="s">
        <v>517</v>
      </c>
      <c r="C570" s="2">
        <v>547.02009999999996</v>
      </c>
      <c r="D570" s="2">
        <f>HYPERLINK("http://mcb-m6.bioreg.kyushu-u.ac.jp/M3/20110502/F51179/806/1", 57.02)</f>
        <v>57.02</v>
      </c>
      <c r="E570" s="2">
        <v>30.3</v>
      </c>
      <c r="F570" s="2">
        <v>2</v>
      </c>
      <c r="G570" s="2" t="s">
        <v>14</v>
      </c>
    </row>
    <row r="571" spans="1:7" x14ac:dyDescent="0.2">
      <c r="A571" s="2" t="s">
        <v>4052</v>
      </c>
      <c r="B571" s="2" t="s">
        <v>1408</v>
      </c>
      <c r="C571" s="2">
        <v>677.58320000000003</v>
      </c>
      <c r="D571" s="2">
        <f>HYPERLINK("http://mcb-m6.bioreg.kyushu-u.ac.jp/M3/20110411/F50891/1739/1", 78.29)</f>
        <v>78.290000000000006</v>
      </c>
      <c r="E571" s="2">
        <v>57.13</v>
      </c>
      <c r="F571" s="2">
        <v>2</v>
      </c>
      <c r="G571" s="2" t="s">
        <v>9</v>
      </c>
    </row>
    <row r="572" spans="1:7" x14ac:dyDescent="0.2">
      <c r="A572" s="2" t="s">
        <v>4589</v>
      </c>
      <c r="B572" s="2" t="s">
        <v>2658</v>
      </c>
      <c r="C572" s="2">
        <v>721.97059999999999</v>
      </c>
      <c r="D572" s="2">
        <f>HYPERLINK("http://mcb-m6.bioreg.kyushu-u.ac.jp/M3/20110414/F50950/2056/1", 48.49)</f>
        <v>48.49</v>
      </c>
      <c r="E572" s="2">
        <v>22.41</v>
      </c>
      <c r="F572" s="2">
        <v>2</v>
      </c>
      <c r="G572" s="2" t="s">
        <v>12</v>
      </c>
    </row>
    <row r="573" spans="1:7" x14ac:dyDescent="0.2">
      <c r="A573" s="4" t="s">
        <v>3545</v>
      </c>
      <c r="B573" s="2" t="s">
        <v>402</v>
      </c>
      <c r="C573" s="2">
        <v>1163.508</v>
      </c>
      <c r="D573" s="2">
        <f>HYPERLINK("http://mcb-m6.bioreg.kyushu-u.ac.jp/M3/20110411/F50889/1782/1", 41.19)</f>
        <v>41.19</v>
      </c>
      <c r="E573" s="2">
        <v>23.95</v>
      </c>
      <c r="F573" s="2">
        <v>1</v>
      </c>
      <c r="G573" s="2" t="s">
        <v>9</v>
      </c>
    </row>
    <row r="574" spans="1:7" x14ac:dyDescent="0.2">
      <c r="A574" s="4" t="s">
        <v>3545</v>
      </c>
      <c r="B574" s="2" t="s">
        <v>402</v>
      </c>
      <c r="C574" s="2">
        <v>582.21259999999995</v>
      </c>
      <c r="D574" s="2">
        <f>HYPERLINK("http://mcb-m6.bioreg.kyushu-u.ac.jp/M3/20110411/F50889/1781/1", 66.92)</f>
        <v>66.92</v>
      </c>
      <c r="E574" s="2">
        <v>47.5</v>
      </c>
      <c r="F574" s="2">
        <v>2</v>
      </c>
      <c r="G574" s="2" t="s">
        <v>9</v>
      </c>
    </row>
    <row r="575" spans="1:7" x14ac:dyDescent="0.2">
      <c r="A575" s="4" t="s">
        <v>3545</v>
      </c>
      <c r="B575" s="2" t="s">
        <v>402</v>
      </c>
      <c r="C575" s="2">
        <v>582.54219999999998</v>
      </c>
      <c r="D575" s="2">
        <f>HYPERLINK("http://mcb-m6.bioreg.kyushu-u.ac.jp/M3/20110411/F50896/1571/1", 57.17)</f>
        <v>57.17</v>
      </c>
      <c r="E575" s="2">
        <v>39.58</v>
      </c>
      <c r="F575" s="2">
        <v>2</v>
      </c>
      <c r="G575" s="2" t="s">
        <v>10</v>
      </c>
    </row>
    <row r="576" spans="1:7" x14ac:dyDescent="0.2">
      <c r="A576" s="4" t="s">
        <v>3545</v>
      </c>
      <c r="B576" s="2" t="s">
        <v>402</v>
      </c>
      <c r="C576" s="2">
        <v>582.31460000000004</v>
      </c>
      <c r="D576" s="2">
        <f>HYPERLINK("http://mcb-m6.bioreg.kyushu-u.ac.jp/M3/20110502/F51167/1647/1", 53.46)</f>
        <v>53.46</v>
      </c>
      <c r="E576" s="2">
        <v>24.39</v>
      </c>
      <c r="F576" s="2">
        <v>2</v>
      </c>
      <c r="G576" s="2" t="s">
        <v>13</v>
      </c>
    </row>
    <row r="577" spans="1:9" x14ac:dyDescent="0.2">
      <c r="A577" s="4" t="s">
        <v>3545</v>
      </c>
      <c r="B577" s="2" t="s">
        <v>402</v>
      </c>
      <c r="C577" s="2">
        <v>582.51319999999998</v>
      </c>
      <c r="D577" s="2">
        <f>HYPERLINK("http://mcb-m6.bioreg.kyushu-u.ac.jp/M3/20110502/F51176/1652/1", 51.6)</f>
        <v>51.6</v>
      </c>
      <c r="E577" s="2">
        <v>26.37</v>
      </c>
      <c r="F577" s="2">
        <v>2</v>
      </c>
      <c r="G577" s="2" t="s">
        <v>14</v>
      </c>
    </row>
    <row r="578" spans="1:9" x14ac:dyDescent="0.2">
      <c r="A578" s="2" t="s">
        <v>4798</v>
      </c>
      <c r="B578" s="2" t="s">
        <v>3035</v>
      </c>
      <c r="C578" s="2">
        <v>1129.8399999999999</v>
      </c>
      <c r="D578" s="2">
        <f>HYPERLINK("http://mcb-m6.bioreg.kyushu-u.ac.jp/M3/20110502/F51194/887/1", 38.98)</f>
        <v>38.979999999999997</v>
      </c>
      <c r="E578" s="2">
        <v>12.95</v>
      </c>
      <c r="F578" s="2">
        <v>1</v>
      </c>
      <c r="G578" s="2" t="s">
        <v>14</v>
      </c>
    </row>
    <row r="579" spans="1:9" x14ac:dyDescent="0.2">
      <c r="A579" s="2" t="s">
        <v>3713</v>
      </c>
      <c r="B579" s="2" t="s">
        <v>700</v>
      </c>
      <c r="C579" s="2">
        <v>668.45510000000002</v>
      </c>
      <c r="D579" s="2">
        <f>HYPERLINK("http://mcb-m6.bioreg.kyushu-u.ac.jp/M3/20110411/F50891/1692/1", 48.7)</f>
        <v>48.7</v>
      </c>
      <c r="E579" s="2">
        <v>18.87</v>
      </c>
      <c r="F579" s="2">
        <v>2</v>
      </c>
      <c r="G579" s="2" t="s">
        <v>9</v>
      </c>
    </row>
    <row r="580" spans="1:9" x14ac:dyDescent="0.2">
      <c r="A580" s="2" t="s">
        <v>4131</v>
      </c>
      <c r="B580" s="2" t="s">
        <v>1660</v>
      </c>
      <c r="C580" s="2">
        <v>818.82370000000003</v>
      </c>
      <c r="D580" s="2">
        <f>HYPERLINK("http://mcb-m6.bioreg.kyushu-u.ac.jp/M3/20110411/F50891/2547/1", 114.24)</f>
        <v>114.24</v>
      </c>
      <c r="E580" s="2">
        <v>88</v>
      </c>
      <c r="F580" s="2">
        <v>2</v>
      </c>
      <c r="G580" s="2" t="s">
        <v>9</v>
      </c>
      <c r="H580" s="2" t="s">
        <v>4908</v>
      </c>
    </row>
    <row r="581" spans="1:9" x14ac:dyDescent="0.2">
      <c r="A581" s="2" t="s">
        <v>4131</v>
      </c>
      <c r="B581" s="2" t="s">
        <v>1660</v>
      </c>
      <c r="C581" s="2">
        <v>819.13070000000005</v>
      </c>
      <c r="D581" s="2">
        <f>HYPERLINK("http://mcb-m6.bioreg.kyushu-u.ac.jp/M3/20110414/F50941/2511/1", 52.6)</f>
        <v>52.6</v>
      </c>
      <c r="E581" s="2">
        <v>44.33</v>
      </c>
      <c r="F581" s="2">
        <v>2</v>
      </c>
      <c r="G581" s="2" t="s">
        <v>11</v>
      </c>
      <c r="H581" s="2" t="s">
        <v>4908</v>
      </c>
    </row>
    <row r="582" spans="1:9" x14ac:dyDescent="0.2">
      <c r="A582" s="2" t="s">
        <v>4284</v>
      </c>
      <c r="B582" s="2" t="s">
        <v>1969</v>
      </c>
      <c r="C582" s="2">
        <v>988.69899999999996</v>
      </c>
      <c r="D582" s="2">
        <f>HYPERLINK("http://mcb-m6.bioreg.kyushu-u.ac.jp/M3/20110411/F50898/1521/1", 55.36)</f>
        <v>55.36</v>
      </c>
      <c r="E582" s="2">
        <v>27.72</v>
      </c>
      <c r="F582" s="2">
        <v>1</v>
      </c>
      <c r="G582" s="2" t="s">
        <v>10</v>
      </c>
    </row>
    <row r="583" spans="1:9" x14ac:dyDescent="0.2">
      <c r="A583" s="2" t="s">
        <v>4023</v>
      </c>
      <c r="B583" s="2" t="s">
        <v>1337</v>
      </c>
      <c r="C583" s="2">
        <v>1234.722</v>
      </c>
      <c r="D583" s="2">
        <f>HYPERLINK("http://mcb-m6.bioreg.kyushu-u.ac.jp/M3/20110411/F50903/1475/1", 73.91)</f>
        <v>73.91</v>
      </c>
      <c r="E583" s="2">
        <v>56.1</v>
      </c>
      <c r="F583" s="2">
        <v>1</v>
      </c>
      <c r="G583" s="2" t="s">
        <v>9</v>
      </c>
    </row>
    <row r="584" spans="1:9" x14ac:dyDescent="0.2">
      <c r="A584" s="2" t="s">
        <v>4023</v>
      </c>
      <c r="B584" s="2" t="s">
        <v>1337</v>
      </c>
      <c r="C584" s="2">
        <v>618.30769999999995</v>
      </c>
      <c r="D584" s="2">
        <f>HYPERLINK("http://mcb-m6.bioreg.kyushu-u.ac.jp/M3/20110414/F50924/1533/1", 54.28)</f>
        <v>54.28</v>
      </c>
      <c r="E584" s="2">
        <v>34.65</v>
      </c>
      <c r="F584" s="2">
        <v>2</v>
      </c>
      <c r="G584" s="2" t="s">
        <v>11</v>
      </c>
    </row>
    <row r="585" spans="1:9" x14ac:dyDescent="0.2">
      <c r="A585" s="2" t="s">
        <v>4023</v>
      </c>
      <c r="B585" s="2" t="s">
        <v>1337</v>
      </c>
      <c r="C585" s="2">
        <v>617.94119999999998</v>
      </c>
      <c r="D585" s="2">
        <f>HYPERLINK("http://mcb-m6.bioreg.kyushu-u.ac.jp/M3/20110502/F51165/1717/1", 78.29)</f>
        <v>78.290000000000006</v>
      </c>
      <c r="E585" s="2">
        <v>48.57</v>
      </c>
      <c r="F585" s="2">
        <v>2</v>
      </c>
      <c r="G585" s="2" t="s">
        <v>13</v>
      </c>
    </row>
    <row r="586" spans="1:9" x14ac:dyDescent="0.2">
      <c r="A586" s="2" t="s">
        <v>4546</v>
      </c>
      <c r="B586" s="2" t="s">
        <v>2576</v>
      </c>
      <c r="C586" s="2">
        <v>715.43499999999995</v>
      </c>
      <c r="D586" s="2">
        <f>HYPERLINK("http://mcb-m6.bioreg.kyushu-u.ac.jp/M3/20110414/F50959/287/1", 38.74)</f>
        <v>38.74</v>
      </c>
      <c r="E586" s="2">
        <v>11.71</v>
      </c>
      <c r="F586" s="2">
        <v>1</v>
      </c>
      <c r="G586" s="2" t="s">
        <v>12</v>
      </c>
    </row>
    <row r="587" spans="1:9" x14ac:dyDescent="0.2">
      <c r="A587" s="2" t="s">
        <v>3682</v>
      </c>
      <c r="B587" s="2" t="s">
        <v>641</v>
      </c>
      <c r="C587" s="2">
        <v>693.51969999999994</v>
      </c>
      <c r="D587" s="2">
        <f>HYPERLINK("http://mcb-m6.bioreg.kyushu-u.ac.jp/M3/20110411/F50904/1798/1", 46.94)</f>
        <v>46.94</v>
      </c>
      <c r="E587" s="2">
        <v>30.85</v>
      </c>
      <c r="F587" s="2">
        <v>2</v>
      </c>
      <c r="G587" s="2" t="s">
        <v>9</v>
      </c>
    </row>
    <row r="588" spans="1:9" x14ac:dyDescent="0.2">
      <c r="A588" s="2" t="s">
        <v>3682</v>
      </c>
      <c r="B588" s="2" t="s">
        <v>1699</v>
      </c>
      <c r="C588" s="2">
        <v>618.53520000000003</v>
      </c>
      <c r="D588" s="2">
        <f>HYPERLINK("http://mcb-m6.bioreg.kyushu-u.ac.jp/M3/20110411/F50912/1518/1", 35.46)</f>
        <v>35.46</v>
      </c>
      <c r="E588" s="2">
        <v>10.9</v>
      </c>
      <c r="F588" s="2">
        <v>2</v>
      </c>
      <c r="G588" s="2" t="s">
        <v>10</v>
      </c>
      <c r="I588" s="2" t="s">
        <v>4926</v>
      </c>
    </row>
    <row r="589" spans="1:9" x14ac:dyDescent="0.2">
      <c r="A589" s="2" t="s">
        <v>3682</v>
      </c>
      <c r="B589" s="2" t="s">
        <v>1995</v>
      </c>
      <c r="C589" s="2">
        <v>845.12660000000005</v>
      </c>
      <c r="D589" s="2">
        <f>HYPERLINK("http://mcb-m6.bioreg.kyushu-u.ac.jp/M3/20110411/F50912/2499/1", 58.38)</f>
        <v>58.38</v>
      </c>
      <c r="E589" s="2">
        <v>38.6</v>
      </c>
      <c r="F589" s="2">
        <v>2</v>
      </c>
      <c r="G589" s="2" t="s">
        <v>10</v>
      </c>
    </row>
    <row r="590" spans="1:9" x14ac:dyDescent="0.2">
      <c r="A590" s="2" t="s">
        <v>3682</v>
      </c>
      <c r="B590" s="2" t="s">
        <v>2088</v>
      </c>
      <c r="C590" s="2">
        <v>1102.6099999999999</v>
      </c>
      <c r="D590" s="2">
        <f>HYPERLINK("http://mcb-m6.bioreg.kyushu-u.ac.jp/M3/20110411/F50912/3401/1", 76.86)</f>
        <v>76.86</v>
      </c>
      <c r="E590" s="2">
        <v>58.04</v>
      </c>
      <c r="F590" s="2">
        <v>2</v>
      </c>
      <c r="G590" s="2" t="s">
        <v>10</v>
      </c>
    </row>
    <row r="591" spans="1:9" x14ac:dyDescent="0.2">
      <c r="A591" s="2" t="s">
        <v>3682</v>
      </c>
      <c r="B591" s="2" t="s">
        <v>2335</v>
      </c>
      <c r="C591" s="2">
        <v>505.76710000000003</v>
      </c>
      <c r="D591" s="2">
        <f>HYPERLINK("http://mcb-m6.bioreg.kyushu-u.ac.jp/M3/20110414/F50941/917/1", 47.68)</f>
        <v>47.68</v>
      </c>
      <c r="E591" s="2">
        <v>18.84</v>
      </c>
      <c r="F591" s="2">
        <v>2</v>
      </c>
      <c r="G591" s="2" t="s">
        <v>11</v>
      </c>
    </row>
    <row r="592" spans="1:9" x14ac:dyDescent="0.2">
      <c r="A592" s="2" t="s">
        <v>3682</v>
      </c>
      <c r="B592" s="2" t="s">
        <v>2741</v>
      </c>
      <c r="C592" s="2">
        <v>972.54319999999996</v>
      </c>
      <c r="D592" s="2">
        <f>HYPERLINK("http://mcb-m6.bioreg.kyushu-u.ac.jp/M3/20110414/F50947/3307/1", 71.84)</f>
        <v>71.84</v>
      </c>
      <c r="E592" s="2">
        <v>65.72</v>
      </c>
      <c r="F592" s="2">
        <v>2</v>
      </c>
      <c r="G592" s="2" t="s">
        <v>12</v>
      </c>
    </row>
    <row r="593" spans="1:9" x14ac:dyDescent="0.2">
      <c r="A593" s="2" t="s">
        <v>3682</v>
      </c>
      <c r="B593" s="2" t="s">
        <v>2857</v>
      </c>
      <c r="C593" s="2">
        <v>496.97809999999998</v>
      </c>
      <c r="D593" s="2">
        <f>HYPERLINK("http://mcb-m6.bioreg.kyushu-u.ac.jp/M3/20110502/F51170/973/1", 39.62)</f>
        <v>39.619999999999997</v>
      </c>
      <c r="E593" s="2">
        <v>17.11</v>
      </c>
      <c r="F593" s="2">
        <v>2</v>
      </c>
      <c r="G593" s="2" t="s">
        <v>13</v>
      </c>
    </row>
    <row r="594" spans="1:9" x14ac:dyDescent="0.2">
      <c r="A594" s="2" t="s">
        <v>3682</v>
      </c>
      <c r="B594" s="2" t="s">
        <v>2741</v>
      </c>
      <c r="C594" s="2">
        <v>973.00519999999995</v>
      </c>
      <c r="D594" s="2">
        <f>HYPERLINK("http://mcb-m6.bioreg.kyushu-u.ac.jp/M3/20110502/F51170/3159/1", 91.42)</f>
        <v>91.42</v>
      </c>
      <c r="E594" s="2">
        <v>76.849999999999994</v>
      </c>
      <c r="F594" s="2">
        <v>2</v>
      </c>
      <c r="G594" s="2" t="s">
        <v>13</v>
      </c>
    </row>
    <row r="595" spans="1:9" x14ac:dyDescent="0.2">
      <c r="A595" s="4" t="s">
        <v>4126</v>
      </c>
      <c r="B595" s="2" t="s">
        <v>1646</v>
      </c>
      <c r="C595" s="2">
        <v>778.8827</v>
      </c>
      <c r="D595" s="2">
        <f>HYPERLINK("http://mcb-m6.bioreg.kyushu-u.ac.jp/M3/20110411/F50892/2387/1", 109.12)</f>
        <v>109.12</v>
      </c>
      <c r="E595" s="2">
        <v>75.83</v>
      </c>
      <c r="F595" s="2">
        <v>2</v>
      </c>
      <c r="G595" s="2" t="s">
        <v>9</v>
      </c>
      <c r="I595" s="2" t="s">
        <v>4906</v>
      </c>
    </row>
    <row r="596" spans="1:9" x14ac:dyDescent="0.2">
      <c r="A596" s="4" t="s">
        <v>4126</v>
      </c>
      <c r="B596" s="2" t="s">
        <v>1646</v>
      </c>
      <c r="C596" s="2">
        <v>779.28920000000005</v>
      </c>
      <c r="D596" s="2">
        <f>HYPERLINK("http://mcb-m6.bioreg.kyushu-u.ac.jp/M3/20110414/F50929/2442/1", 94.4)</f>
        <v>94.4</v>
      </c>
      <c r="E596" s="2">
        <v>61.86</v>
      </c>
      <c r="F596" s="2">
        <v>2</v>
      </c>
      <c r="G596" s="2" t="s">
        <v>11</v>
      </c>
      <c r="I596" s="2" t="s">
        <v>4906</v>
      </c>
    </row>
    <row r="597" spans="1:9" x14ac:dyDescent="0.2">
      <c r="A597" s="4" t="s">
        <v>4126</v>
      </c>
      <c r="B597" s="2" t="s">
        <v>1646</v>
      </c>
      <c r="C597" s="2">
        <v>779.00459999999998</v>
      </c>
      <c r="D597" s="2">
        <f>HYPERLINK("http://mcb-m6.bioreg.kyushu-u.ac.jp/M3/20110414/F50934/2471/1", 96.03)</f>
        <v>96.03</v>
      </c>
      <c r="E597" s="2">
        <v>60.26</v>
      </c>
      <c r="F597" s="2">
        <v>2</v>
      </c>
      <c r="G597" s="2" t="s">
        <v>12</v>
      </c>
      <c r="I597" s="2" t="s">
        <v>4906</v>
      </c>
    </row>
    <row r="598" spans="1:9" x14ac:dyDescent="0.2">
      <c r="A598" s="4" t="s">
        <v>4126</v>
      </c>
      <c r="B598" s="2" t="s">
        <v>1646</v>
      </c>
      <c r="C598" s="2">
        <v>779.33320000000003</v>
      </c>
      <c r="D598" s="2">
        <f>HYPERLINK("http://mcb-m6.bioreg.kyushu-u.ac.jp/M3/20110502/F51182/2186/1", 101.42)</f>
        <v>101.42</v>
      </c>
      <c r="E598" s="2">
        <v>68.290000000000006</v>
      </c>
      <c r="F598" s="2">
        <v>2</v>
      </c>
      <c r="G598" s="2" t="s">
        <v>14</v>
      </c>
      <c r="I598" s="2" t="s">
        <v>4906</v>
      </c>
    </row>
    <row r="599" spans="1:9" x14ac:dyDescent="0.2">
      <c r="A599" s="2" t="s">
        <v>4491</v>
      </c>
      <c r="B599" s="2" t="s">
        <v>2458</v>
      </c>
      <c r="C599" s="2">
        <v>614.82510000000002</v>
      </c>
      <c r="D599" s="2">
        <f>HYPERLINK("http://mcb-m6.bioreg.kyushu-u.ac.jp/M3/20110414/F50925/1790/1", 69.2)</f>
        <v>69.2</v>
      </c>
      <c r="E599" s="2">
        <v>43.01</v>
      </c>
      <c r="F599" s="2">
        <v>2</v>
      </c>
      <c r="G599" s="2" t="s">
        <v>11</v>
      </c>
    </row>
    <row r="600" spans="1:9" x14ac:dyDescent="0.2">
      <c r="A600" s="2" t="s">
        <v>4077</v>
      </c>
      <c r="B600" s="2" t="s">
        <v>1482</v>
      </c>
      <c r="C600" s="2">
        <v>708.66219999999998</v>
      </c>
      <c r="D600" s="2">
        <f>HYPERLINK("http://mcb-m6.bioreg.kyushu-u.ac.jp/M3/20110411/F50903/1887/1", 85.36)</f>
        <v>85.36</v>
      </c>
      <c r="E600" s="2">
        <v>66.290000000000006</v>
      </c>
      <c r="F600" s="2">
        <v>2</v>
      </c>
      <c r="G600" s="2" t="s">
        <v>9</v>
      </c>
    </row>
    <row r="601" spans="1:9" x14ac:dyDescent="0.2">
      <c r="A601" s="2" t="s">
        <v>3902</v>
      </c>
      <c r="B601" s="2" t="s">
        <v>1059</v>
      </c>
      <c r="C601" s="2">
        <v>630.96720000000005</v>
      </c>
      <c r="D601" s="2">
        <f>HYPERLINK("http://mcb-m6.bioreg.kyushu-u.ac.jp/M3/20110411/F50903/1516/1", 60.87)</f>
        <v>60.87</v>
      </c>
      <c r="E601" s="2">
        <v>43.74</v>
      </c>
      <c r="F601" s="2">
        <v>2</v>
      </c>
      <c r="G601" s="2" t="s">
        <v>9</v>
      </c>
    </row>
    <row r="602" spans="1:9" x14ac:dyDescent="0.2">
      <c r="A602" s="2" t="s">
        <v>3902</v>
      </c>
      <c r="B602" s="2" t="s">
        <v>1059</v>
      </c>
      <c r="C602" s="2">
        <v>631.30409999999995</v>
      </c>
      <c r="D602" s="2">
        <f>HYPERLINK("http://mcb-m6.bioreg.kyushu-u.ac.jp/M3/20110411/F50920/1089/1", 55.22)</f>
        <v>55.22</v>
      </c>
      <c r="E602" s="2">
        <v>32.75</v>
      </c>
      <c r="F602" s="2">
        <v>2</v>
      </c>
      <c r="G602" s="2" t="s">
        <v>10</v>
      </c>
    </row>
    <row r="603" spans="1:9" x14ac:dyDescent="0.2">
      <c r="A603" s="2" t="s">
        <v>3603</v>
      </c>
      <c r="B603" s="2" t="s">
        <v>495</v>
      </c>
      <c r="C603" s="2">
        <v>566.00369999999998</v>
      </c>
      <c r="D603" s="2">
        <f>HYPERLINK("http://mcb-m6.bioreg.kyushu-u.ac.jp/M3/20110411/F50911/1241/1", 43.22)</f>
        <v>43.22</v>
      </c>
      <c r="E603" s="2">
        <v>17.63</v>
      </c>
      <c r="F603" s="2">
        <v>2</v>
      </c>
      <c r="G603" s="2" t="s">
        <v>9</v>
      </c>
    </row>
    <row r="604" spans="1:9" x14ac:dyDescent="0.2">
      <c r="A604" s="2" t="s">
        <v>3603</v>
      </c>
      <c r="B604" s="2" t="s">
        <v>495</v>
      </c>
      <c r="C604" s="2">
        <v>565.99220000000003</v>
      </c>
      <c r="D604" s="2">
        <f>HYPERLINK("http://mcb-m6.bioreg.kyushu-u.ac.jp/M3/20110411/F50905/1217/1", 60.96)</f>
        <v>60.96</v>
      </c>
      <c r="E604" s="2">
        <v>31.25</v>
      </c>
      <c r="F604" s="2">
        <v>2</v>
      </c>
      <c r="G604" s="2" t="s">
        <v>9</v>
      </c>
    </row>
    <row r="605" spans="1:9" x14ac:dyDescent="0.2">
      <c r="A605" s="2" t="s">
        <v>3603</v>
      </c>
      <c r="B605" s="2" t="s">
        <v>495</v>
      </c>
      <c r="C605" s="2">
        <v>566.0607</v>
      </c>
      <c r="D605" s="2">
        <f>HYPERLINK("http://mcb-m6.bioreg.kyushu-u.ac.jp/M3/20110411/F50913/1254/1", 38.45)</f>
        <v>38.450000000000003</v>
      </c>
      <c r="E605" s="2">
        <v>19.8</v>
      </c>
      <c r="F605" s="2">
        <v>2</v>
      </c>
      <c r="G605" s="2" t="s">
        <v>10</v>
      </c>
    </row>
    <row r="606" spans="1:9" x14ac:dyDescent="0.2">
      <c r="A606" s="2" t="s">
        <v>3603</v>
      </c>
      <c r="B606" s="2" t="s">
        <v>495</v>
      </c>
      <c r="C606" s="2">
        <v>566.39670000000001</v>
      </c>
      <c r="D606" s="2">
        <f>HYPERLINK("http://mcb-m6.bioreg.kyushu-u.ac.jp/M3/20110411/F50914/1305/1", 41.47)</f>
        <v>41.47</v>
      </c>
      <c r="E606" s="2">
        <v>22.17</v>
      </c>
      <c r="F606" s="2">
        <v>2</v>
      </c>
      <c r="G606" s="2" t="s">
        <v>10</v>
      </c>
    </row>
    <row r="607" spans="1:9" x14ac:dyDescent="0.2">
      <c r="A607" s="2" t="s">
        <v>3603</v>
      </c>
      <c r="B607" s="2" t="s">
        <v>495</v>
      </c>
      <c r="C607" s="2">
        <v>565.97220000000004</v>
      </c>
      <c r="D607" s="2">
        <f>HYPERLINK("http://mcb-m6.bioreg.kyushu-u.ac.jp/M3/20110411/F50913/1253/1", 62.15)</f>
        <v>62.15</v>
      </c>
      <c r="E607" s="2">
        <v>28.88</v>
      </c>
      <c r="F607" s="2">
        <v>2</v>
      </c>
      <c r="G607" s="2" t="s">
        <v>10</v>
      </c>
    </row>
    <row r="608" spans="1:9" x14ac:dyDescent="0.2">
      <c r="A608" s="2" t="s">
        <v>3603</v>
      </c>
      <c r="B608" s="2" t="s">
        <v>495</v>
      </c>
      <c r="C608" s="2">
        <v>565.8347</v>
      </c>
      <c r="D608" s="2">
        <f>HYPERLINK("http://mcb-m6.bioreg.kyushu-u.ac.jp/M3/20110414/F50941/1162/1", 35.36)</f>
        <v>35.36</v>
      </c>
      <c r="E608" s="2">
        <v>16.989999999999998</v>
      </c>
      <c r="F608" s="2">
        <v>2</v>
      </c>
      <c r="G608" s="2" t="s">
        <v>11</v>
      </c>
    </row>
    <row r="609" spans="1:9" x14ac:dyDescent="0.2">
      <c r="A609" s="2" t="s">
        <v>3603</v>
      </c>
      <c r="B609" s="2" t="s">
        <v>495</v>
      </c>
      <c r="C609" s="2">
        <v>566.29359999999997</v>
      </c>
      <c r="D609" s="2">
        <f>HYPERLINK("http://mcb-m6.bioreg.kyushu-u.ac.jp/M3/20110414/F50941/1164/1", 51.69)</f>
        <v>51.69</v>
      </c>
      <c r="E609" s="2">
        <v>24.8</v>
      </c>
      <c r="F609" s="2">
        <v>2</v>
      </c>
      <c r="G609" s="2" t="s">
        <v>11</v>
      </c>
    </row>
    <row r="610" spans="1:9" x14ac:dyDescent="0.2">
      <c r="A610" s="2" t="s">
        <v>3603</v>
      </c>
      <c r="B610" s="2" t="s">
        <v>495</v>
      </c>
      <c r="C610" s="2">
        <v>565.84220000000005</v>
      </c>
      <c r="D610" s="2">
        <f>HYPERLINK("http://mcb-m6.bioreg.kyushu-u.ac.jp/M3/20110414/F50947/1018/1", 41.82)</f>
        <v>41.82</v>
      </c>
      <c r="E610" s="2">
        <v>20.21</v>
      </c>
      <c r="F610" s="2">
        <v>2</v>
      </c>
      <c r="G610" s="2" t="s">
        <v>12</v>
      </c>
    </row>
    <row r="611" spans="1:9" x14ac:dyDescent="0.2">
      <c r="A611" s="2" t="s">
        <v>3603</v>
      </c>
      <c r="B611" s="2" t="s">
        <v>495</v>
      </c>
      <c r="C611" s="2">
        <v>566.10770000000002</v>
      </c>
      <c r="D611" s="2">
        <f>HYPERLINK("http://mcb-m6.bioreg.kyushu-u.ac.jp/M3/20110502/F51170/1262/1", 47.34)</f>
        <v>47.34</v>
      </c>
      <c r="E611" s="2">
        <v>25.48</v>
      </c>
      <c r="F611" s="2">
        <v>2</v>
      </c>
      <c r="G611" s="2" t="s">
        <v>13</v>
      </c>
    </row>
    <row r="612" spans="1:9" x14ac:dyDescent="0.2">
      <c r="A612" s="2" t="s">
        <v>3603</v>
      </c>
      <c r="B612" s="2" t="s">
        <v>495</v>
      </c>
      <c r="C612" s="2">
        <v>566.17859999999996</v>
      </c>
      <c r="D612" s="2">
        <f>HYPERLINK("http://mcb-m6.bioreg.kyushu-u.ac.jp/M3/20110502/F51179/888/1", 44.64)</f>
        <v>44.64</v>
      </c>
      <c r="E612" s="2">
        <v>19.440000000000001</v>
      </c>
      <c r="F612" s="2">
        <v>2</v>
      </c>
      <c r="G612" s="2" t="s">
        <v>14</v>
      </c>
    </row>
    <row r="613" spans="1:9" x14ac:dyDescent="0.2">
      <c r="A613" s="2" t="s">
        <v>3603</v>
      </c>
      <c r="B613" s="2" t="s">
        <v>3109</v>
      </c>
      <c r="C613" s="2">
        <v>580.46770000000004</v>
      </c>
      <c r="D613" s="2">
        <f>HYPERLINK("http://mcb-m6.bioreg.kyushu-u.ac.jp/M3/20110502/F51179/957/1", 46.01)</f>
        <v>46.01</v>
      </c>
      <c r="E613" s="2">
        <v>11.83</v>
      </c>
      <c r="F613" s="2">
        <v>2</v>
      </c>
      <c r="G613" s="2" t="s">
        <v>14</v>
      </c>
      <c r="H613" s="2" t="s">
        <v>4896</v>
      </c>
    </row>
    <row r="614" spans="1:9" x14ac:dyDescent="0.2">
      <c r="A614" s="2" t="s">
        <v>4755</v>
      </c>
      <c r="B614" s="2" t="s">
        <v>2982</v>
      </c>
      <c r="C614" s="2">
        <v>849.20719999999994</v>
      </c>
      <c r="D614" s="2">
        <f>HYPERLINK("http://mcb-m6.bioreg.kyushu-u.ac.jp/M3/20110502/F51179/2396/1", 36.07)</f>
        <v>36.07</v>
      </c>
      <c r="E614" s="2">
        <v>14.72</v>
      </c>
      <c r="F614" s="2">
        <v>2</v>
      </c>
      <c r="G614" s="2" t="s">
        <v>14</v>
      </c>
    </row>
    <row r="615" spans="1:9" x14ac:dyDescent="0.2">
      <c r="A615" s="2" t="s">
        <v>3425</v>
      </c>
      <c r="B615" s="2" t="s">
        <v>230</v>
      </c>
      <c r="C615" s="2">
        <v>514.99220000000003</v>
      </c>
      <c r="D615" s="2">
        <f>HYPERLINK("http://mcb-m6.bioreg.kyushu-u.ac.jp/M3/20110411/F50905/1010/1", 38.19)</f>
        <v>38.19</v>
      </c>
      <c r="E615" s="2">
        <v>13.72</v>
      </c>
      <c r="F615" s="2">
        <v>2</v>
      </c>
      <c r="G615" s="2" t="s">
        <v>9</v>
      </c>
      <c r="I615" s="2" t="s">
        <v>4898</v>
      </c>
    </row>
    <row r="616" spans="1:9" x14ac:dyDescent="0.2">
      <c r="A616" s="2" t="s">
        <v>3425</v>
      </c>
      <c r="B616" s="2" t="s">
        <v>230</v>
      </c>
      <c r="C616" s="2">
        <v>514.92859999999996</v>
      </c>
      <c r="D616" s="2">
        <f>HYPERLINK("http://mcb-m6.bioreg.kyushu-u.ac.jp/M3/20110411/F50913/1068/1", 49.96)</f>
        <v>49.96</v>
      </c>
      <c r="E616" s="2">
        <v>24.51</v>
      </c>
      <c r="F616" s="2">
        <v>2</v>
      </c>
      <c r="G616" s="2" t="s">
        <v>10</v>
      </c>
      <c r="I616" s="2" t="s">
        <v>4898</v>
      </c>
    </row>
    <row r="617" spans="1:9" x14ac:dyDescent="0.2">
      <c r="A617" s="2" t="s">
        <v>3425</v>
      </c>
      <c r="B617" s="2" t="s">
        <v>230</v>
      </c>
      <c r="C617" s="2">
        <v>514.85609999999997</v>
      </c>
      <c r="D617" s="2">
        <f>HYPERLINK("http://mcb-m6.bioreg.kyushu-u.ac.jp/M3/20110411/F50913/1067/1", 50.97)</f>
        <v>50.97</v>
      </c>
      <c r="E617" s="2">
        <v>30.87</v>
      </c>
      <c r="F617" s="2">
        <v>2</v>
      </c>
      <c r="G617" s="2" t="s">
        <v>10</v>
      </c>
      <c r="I617" s="2" t="s">
        <v>4898</v>
      </c>
    </row>
    <row r="618" spans="1:9" x14ac:dyDescent="0.2">
      <c r="A618" s="2" t="s">
        <v>3425</v>
      </c>
      <c r="B618" s="2" t="s">
        <v>230</v>
      </c>
      <c r="C618" s="2">
        <v>514.66110000000003</v>
      </c>
      <c r="D618" s="2">
        <f>HYPERLINK("http://mcb-m6.bioreg.kyushu-u.ac.jp/M3/20110414/F50941/952/1", 54.83)</f>
        <v>54.83</v>
      </c>
      <c r="E618" s="2">
        <v>31.46</v>
      </c>
      <c r="F618" s="2">
        <v>2</v>
      </c>
      <c r="G618" s="2" t="s">
        <v>11</v>
      </c>
      <c r="I618" s="2" t="s">
        <v>4898</v>
      </c>
    </row>
    <row r="619" spans="1:9" x14ac:dyDescent="0.2">
      <c r="A619" s="2" t="s">
        <v>3425</v>
      </c>
      <c r="B619" s="2" t="s">
        <v>230</v>
      </c>
      <c r="C619" s="2">
        <v>515.36270000000002</v>
      </c>
      <c r="D619" s="2">
        <f>HYPERLINK("http://mcb-m6.bioreg.kyushu-u.ac.jp/M3/20110414/F50947/869/1", 36.77)</f>
        <v>36.770000000000003</v>
      </c>
      <c r="E619" s="2">
        <v>8.7899999999999991</v>
      </c>
      <c r="F619" s="2">
        <v>2</v>
      </c>
      <c r="G619" s="2" t="s">
        <v>12</v>
      </c>
      <c r="I619" s="2" t="s">
        <v>4898</v>
      </c>
    </row>
    <row r="620" spans="1:9" x14ac:dyDescent="0.2">
      <c r="A620" s="2" t="s">
        <v>3425</v>
      </c>
      <c r="B620" s="2" t="s">
        <v>230</v>
      </c>
      <c r="C620" s="2">
        <v>514.81209999999999</v>
      </c>
      <c r="D620" s="2">
        <f>HYPERLINK("http://mcb-m6.bioreg.kyushu-u.ac.jp/M3/20110414/F50947/867/1", 55.49)</f>
        <v>55.49</v>
      </c>
      <c r="E620" s="2">
        <v>28.52</v>
      </c>
      <c r="F620" s="2">
        <v>2</v>
      </c>
      <c r="G620" s="2" t="s">
        <v>12</v>
      </c>
      <c r="I620" s="2" t="s">
        <v>4898</v>
      </c>
    </row>
    <row r="621" spans="1:9" x14ac:dyDescent="0.2">
      <c r="A621" s="2" t="s">
        <v>3425</v>
      </c>
      <c r="B621" s="2" t="s">
        <v>230</v>
      </c>
      <c r="C621" s="2">
        <v>514.94759999999997</v>
      </c>
      <c r="D621" s="2">
        <f>HYPERLINK("http://mcb-m6.bioreg.kyushu-u.ac.jp/M3/20110502/F51170/1062/1", 72.14)</f>
        <v>72.14</v>
      </c>
      <c r="E621" s="2">
        <v>38.26</v>
      </c>
      <c r="F621" s="2">
        <v>2</v>
      </c>
      <c r="G621" s="2" t="s">
        <v>13</v>
      </c>
      <c r="I621" s="2" t="s">
        <v>4898</v>
      </c>
    </row>
    <row r="622" spans="1:9" x14ac:dyDescent="0.2">
      <c r="A622" s="2" t="s">
        <v>3425</v>
      </c>
      <c r="B622" s="2" t="s">
        <v>230</v>
      </c>
      <c r="C622" s="2">
        <v>514.96770000000004</v>
      </c>
      <c r="D622" s="2">
        <f>HYPERLINK("http://mcb-m6.bioreg.kyushu-u.ac.jp/M3/20110502/F51179/672/1", 59.11)</f>
        <v>59.11</v>
      </c>
      <c r="E622" s="2">
        <v>31.89</v>
      </c>
      <c r="F622" s="2">
        <v>2</v>
      </c>
      <c r="G622" s="2" t="s">
        <v>14</v>
      </c>
      <c r="I622" s="2" t="s">
        <v>4898</v>
      </c>
    </row>
    <row r="623" spans="1:9" x14ac:dyDescent="0.2">
      <c r="A623" s="2" t="s">
        <v>3965</v>
      </c>
      <c r="B623" s="2" t="s">
        <v>1188</v>
      </c>
      <c r="C623" s="2">
        <v>816.70119999999997</v>
      </c>
      <c r="D623" s="2">
        <f>HYPERLINK("http://mcb-m6.bioreg.kyushu-u.ac.jp/M3/20110411/F50905/2441/1", 66.54)</f>
        <v>66.540000000000006</v>
      </c>
      <c r="E623" s="2">
        <v>53.62</v>
      </c>
      <c r="F623" s="2">
        <v>2</v>
      </c>
      <c r="G623" s="2" t="s">
        <v>9</v>
      </c>
      <c r="H623" s="2" t="s">
        <v>4927</v>
      </c>
    </row>
    <row r="624" spans="1:9" x14ac:dyDescent="0.2">
      <c r="A624" s="2" t="s">
        <v>3965</v>
      </c>
      <c r="B624" s="2" t="s">
        <v>1188</v>
      </c>
      <c r="C624" s="2">
        <v>816.54020000000003</v>
      </c>
      <c r="D624" s="2">
        <f>HYPERLINK("http://mcb-m6.bioreg.kyushu-u.ac.jp/M3/20110411/F50913/2386/1", 69)</f>
        <v>69</v>
      </c>
      <c r="E624" s="2">
        <v>47.27</v>
      </c>
      <c r="F624" s="2">
        <v>2</v>
      </c>
      <c r="G624" s="2" t="s">
        <v>10</v>
      </c>
      <c r="H624" s="2" t="s">
        <v>4927</v>
      </c>
    </row>
    <row r="625" spans="1:8" x14ac:dyDescent="0.2">
      <c r="A625" s="2" t="s">
        <v>3965</v>
      </c>
      <c r="B625" s="2" t="s">
        <v>1188</v>
      </c>
      <c r="C625" s="2">
        <v>808.27560000000005</v>
      </c>
      <c r="D625" s="2">
        <f>HYPERLINK("http://mcb-m6.bioreg.kyushu-u.ac.jp/M3/20110414/F50941/2469/1", 64.02)</f>
        <v>64.02</v>
      </c>
      <c r="E625" s="2">
        <v>52.74</v>
      </c>
      <c r="F625" s="2">
        <v>2</v>
      </c>
      <c r="G625" s="2" t="s">
        <v>11</v>
      </c>
    </row>
    <row r="626" spans="1:8" x14ac:dyDescent="0.2">
      <c r="A626" s="2" t="s">
        <v>3965</v>
      </c>
      <c r="B626" s="2" t="s">
        <v>1188</v>
      </c>
      <c r="C626" s="2">
        <v>816.89670000000001</v>
      </c>
      <c r="D626" s="2">
        <f>HYPERLINK("http://mcb-m6.bioreg.kyushu-u.ac.jp/M3/20110414/F50947/2457/1", 39.52)</f>
        <v>39.520000000000003</v>
      </c>
      <c r="E626" s="2">
        <v>30.72</v>
      </c>
      <c r="F626" s="2">
        <v>2</v>
      </c>
      <c r="G626" s="2" t="s">
        <v>12</v>
      </c>
      <c r="H626" s="2" t="s">
        <v>4927</v>
      </c>
    </row>
    <row r="627" spans="1:8" x14ac:dyDescent="0.2">
      <c r="A627" s="2" t="s">
        <v>3965</v>
      </c>
      <c r="B627" s="2" t="s">
        <v>1188</v>
      </c>
      <c r="C627" s="2">
        <v>816.33810000000005</v>
      </c>
      <c r="D627" s="2">
        <f>HYPERLINK("http://mcb-m6.bioreg.kyushu-u.ac.jp/M3/20110414/F50947/2454/1", 88.23)</f>
        <v>88.23</v>
      </c>
      <c r="E627" s="2">
        <v>71.09</v>
      </c>
      <c r="F627" s="2">
        <v>2</v>
      </c>
      <c r="G627" s="2" t="s">
        <v>12</v>
      </c>
      <c r="H627" s="2" t="s">
        <v>4927</v>
      </c>
    </row>
    <row r="628" spans="1:8" x14ac:dyDescent="0.2">
      <c r="A628" s="2" t="s">
        <v>3965</v>
      </c>
      <c r="B628" s="2" t="s">
        <v>1188</v>
      </c>
      <c r="C628" s="2">
        <v>816.56460000000004</v>
      </c>
      <c r="D628" s="2">
        <f>HYPERLINK("http://mcb-m6.bioreg.kyushu-u.ac.jp/M3/20110502/F51170/2468/1", 57.15)</f>
        <v>57.15</v>
      </c>
      <c r="E628" s="2">
        <v>44.55</v>
      </c>
      <c r="F628" s="2">
        <v>2</v>
      </c>
      <c r="G628" s="2" t="s">
        <v>13</v>
      </c>
      <c r="H628" s="2" t="s">
        <v>4927</v>
      </c>
    </row>
    <row r="629" spans="1:8" x14ac:dyDescent="0.2">
      <c r="A629" s="2" t="s">
        <v>3965</v>
      </c>
      <c r="B629" s="2" t="s">
        <v>1188</v>
      </c>
      <c r="C629" s="2">
        <v>816.96720000000005</v>
      </c>
      <c r="D629" s="2">
        <f>HYPERLINK("http://mcb-m6.bioreg.kyushu-u.ac.jp/M3/20110502/F51179/2219/1", 75.01)</f>
        <v>75.010000000000005</v>
      </c>
      <c r="E629" s="2">
        <v>60.97</v>
      </c>
      <c r="F629" s="2">
        <v>2</v>
      </c>
      <c r="G629" s="2" t="s">
        <v>14</v>
      </c>
      <c r="H629" s="2" t="s">
        <v>4927</v>
      </c>
    </row>
    <row r="630" spans="1:8" x14ac:dyDescent="0.2">
      <c r="A630" s="2" t="s">
        <v>3965</v>
      </c>
      <c r="B630" s="2" t="s">
        <v>1188</v>
      </c>
      <c r="C630" s="2">
        <v>808.71559999999999</v>
      </c>
      <c r="D630" s="2">
        <f>HYPERLINK("http://mcb-m6.bioreg.kyushu-u.ac.jp/M3/20110502/F51179/2176/1", 83.43)</f>
        <v>83.43</v>
      </c>
      <c r="E630" s="2">
        <v>65.36</v>
      </c>
      <c r="F630" s="2">
        <v>2</v>
      </c>
      <c r="G630" s="2" t="s">
        <v>14</v>
      </c>
    </row>
    <row r="631" spans="1:8" x14ac:dyDescent="0.2">
      <c r="A631" s="2" t="s">
        <v>3551</v>
      </c>
      <c r="B631" s="2" t="s">
        <v>408</v>
      </c>
      <c r="C631" s="2">
        <v>539.4982</v>
      </c>
      <c r="D631" s="2">
        <f>HYPERLINK("http://mcb-m6.bioreg.kyushu-u.ac.jp/M3/20110411/F50905/1111/1", 41.25)</f>
        <v>41.25</v>
      </c>
      <c r="E631" s="2">
        <v>15.72</v>
      </c>
      <c r="F631" s="2">
        <v>2</v>
      </c>
      <c r="G631" s="2" t="s">
        <v>9</v>
      </c>
    </row>
    <row r="632" spans="1:8" x14ac:dyDescent="0.2">
      <c r="A632" s="2" t="s">
        <v>4497</v>
      </c>
      <c r="B632" s="2" t="s">
        <v>2478</v>
      </c>
      <c r="C632" s="2">
        <v>723.85109999999997</v>
      </c>
      <c r="D632" s="2">
        <f>HYPERLINK("http://mcb-m6.bioreg.kyushu-u.ac.jp/M3/20110414/F50941/1998/1", 76.01)</f>
        <v>76.010000000000005</v>
      </c>
      <c r="E632" s="2">
        <v>50.01</v>
      </c>
      <c r="F632" s="2">
        <v>2</v>
      </c>
      <c r="G632" s="2" t="s">
        <v>11</v>
      </c>
    </row>
    <row r="633" spans="1:8" x14ac:dyDescent="0.2">
      <c r="A633" s="2" t="s">
        <v>4497</v>
      </c>
      <c r="B633" s="2" t="s">
        <v>2478</v>
      </c>
      <c r="C633" s="2">
        <v>724.2482</v>
      </c>
      <c r="D633" s="2">
        <f>HYPERLINK("http://mcb-m6.bioreg.kyushu-u.ac.jp/M3/20110502/F51170/1986/1", 82.48)</f>
        <v>82.48</v>
      </c>
      <c r="E633" s="2">
        <v>53.46</v>
      </c>
      <c r="F633" s="2">
        <v>2</v>
      </c>
      <c r="G633" s="2" t="s">
        <v>13</v>
      </c>
    </row>
    <row r="634" spans="1:8" x14ac:dyDescent="0.2">
      <c r="A634" s="2" t="s">
        <v>4310</v>
      </c>
      <c r="B634" s="2" t="s">
        <v>2060</v>
      </c>
      <c r="C634" s="2">
        <v>668.53060000000005</v>
      </c>
      <c r="D634" s="2">
        <f>HYPERLINK("http://mcb-m6.bioreg.kyushu-u.ac.jp/M3/20110411/F50913/1646/1", 70.3)</f>
        <v>70.3</v>
      </c>
      <c r="E634" s="2">
        <v>49.25</v>
      </c>
      <c r="F634" s="2">
        <v>2</v>
      </c>
      <c r="G634" s="2" t="s">
        <v>10</v>
      </c>
      <c r="H634" s="2" t="s">
        <v>4917</v>
      </c>
    </row>
    <row r="635" spans="1:8" x14ac:dyDescent="0.2">
      <c r="A635" s="2" t="s">
        <v>4310</v>
      </c>
      <c r="B635" s="2" t="s">
        <v>2060</v>
      </c>
      <c r="C635" s="2">
        <v>668.78520000000003</v>
      </c>
      <c r="D635" s="2">
        <f>HYPERLINK("http://mcb-m6.bioreg.kyushu-u.ac.jp/M3/20110414/F50941/1653/1", 65.42)</f>
        <v>65.42</v>
      </c>
      <c r="E635" s="2">
        <v>46.1</v>
      </c>
      <c r="F635" s="2">
        <v>2</v>
      </c>
      <c r="G635" s="2" t="s">
        <v>11</v>
      </c>
      <c r="H635" s="2" t="s">
        <v>4917</v>
      </c>
    </row>
    <row r="636" spans="1:8" x14ac:dyDescent="0.2">
      <c r="A636" s="2" t="s">
        <v>3824</v>
      </c>
      <c r="B636" s="2" t="s">
        <v>895</v>
      </c>
      <c r="C636" s="2">
        <v>846.77620000000002</v>
      </c>
      <c r="D636" s="2">
        <f>HYPERLINK("http://mcb-m6.bioreg.kyushu-u.ac.jp/M3/20110411/F50905/2573/1", 54.89)</f>
        <v>54.89</v>
      </c>
      <c r="E636" s="2">
        <v>39.24</v>
      </c>
      <c r="F636" s="2">
        <v>2</v>
      </c>
      <c r="G636" s="2" t="s">
        <v>9</v>
      </c>
    </row>
    <row r="637" spans="1:8" x14ac:dyDescent="0.2">
      <c r="A637" s="2" t="s">
        <v>3824</v>
      </c>
      <c r="B637" s="2" t="s">
        <v>895</v>
      </c>
      <c r="C637" s="2">
        <v>846.91420000000005</v>
      </c>
      <c r="D637" s="2">
        <f>HYPERLINK("http://mcb-m6.bioreg.kyushu-u.ac.jp/M3/20110502/F51179/2375/1", 72.8)</f>
        <v>72.8</v>
      </c>
      <c r="E637" s="2">
        <v>54.83</v>
      </c>
      <c r="F637" s="2">
        <v>2</v>
      </c>
      <c r="G637" s="2" t="s">
        <v>14</v>
      </c>
    </row>
    <row r="638" spans="1:8" x14ac:dyDescent="0.2">
      <c r="A638" s="2" t="s">
        <v>4097</v>
      </c>
      <c r="B638" s="2" t="s">
        <v>1555</v>
      </c>
      <c r="C638" s="2">
        <v>924.47860000000003</v>
      </c>
      <c r="D638" s="2">
        <f>HYPERLINK("http://mcb-m6.bioreg.kyushu-u.ac.jp/M3/20110411/F50911/3062/1", 92.04)</f>
        <v>92.04</v>
      </c>
      <c r="E638" s="2">
        <v>75.42</v>
      </c>
      <c r="F638" s="2">
        <v>2</v>
      </c>
      <c r="G638" s="2" t="s">
        <v>9</v>
      </c>
    </row>
    <row r="639" spans="1:8" x14ac:dyDescent="0.2">
      <c r="A639" s="2" t="s">
        <v>3664</v>
      </c>
      <c r="B639" s="2" t="s">
        <v>599</v>
      </c>
      <c r="C639" s="2">
        <v>817.43949999999995</v>
      </c>
      <c r="D639" s="2">
        <f>HYPERLINK("http://mcb-m6.bioreg.kyushu-u.ac.jp/M3/20110411/F50890/3887/1", 45.95)</f>
        <v>45.95</v>
      </c>
      <c r="E639" s="2">
        <v>33.270000000000003</v>
      </c>
      <c r="F639" s="2">
        <v>3</v>
      </c>
      <c r="G639" s="2" t="s">
        <v>9</v>
      </c>
    </row>
    <row r="640" spans="1:8" x14ac:dyDescent="0.2">
      <c r="A640" s="2" t="s">
        <v>3664</v>
      </c>
      <c r="B640" s="2" t="s">
        <v>1047</v>
      </c>
      <c r="C640" s="2">
        <v>1100.471</v>
      </c>
      <c r="D640" s="2">
        <f>HYPERLINK("http://mcb-m6.bioreg.kyushu-u.ac.jp/M3/20110411/F50890/1321/1", 60.27)</f>
        <v>60.27</v>
      </c>
      <c r="E640" s="2">
        <v>41.19</v>
      </c>
      <c r="F640" s="2">
        <v>1</v>
      </c>
      <c r="G640" s="2" t="s">
        <v>9</v>
      </c>
    </row>
    <row r="641" spans="1:7" x14ac:dyDescent="0.2">
      <c r="A641" s="2" t="s">
        <v>3664</v>
      </c>
      <c r="B641" s="2" t="s">
        <v>1346</v>
      </c>
      <c r="C641" s="2">
        <v>833.8492</v>
      </c>
      <c r="D641" s="2">
        <f>HYPERLINK("http://mcb-m6.bioreg.kyushu-u.ac.jp/M3/20110411/F50890/2687/1", 74.31)</f>
        <v>74.31</v>
      </c>
      <c r="E641" s="2">
        <v>51.63</v>
      </c>
      <c r="F641" s="2">
        <v>2</v>
      </c>
      <c r="G641" s="2" t="s">
        <v>9</v>
      </c>
    </row>
    <row r="642" spans="1:7" x14ac:dyDescent="0.2">
      <c r="A642" s="2" t="s">
        <v>3664</v>
      </c>
      <c r="B642" s="2" t="s">
        <v>1047</v>
      </c>
      <c r="C642" s="2">
        <v>551.23019999999997</v>
      </c>
      <c r="D642" s="2">
        <f>HYPERLINK("http://mcb-m6.bioreg.kyushu-u.ac.jp/M3/20110411/F50897/1188/1", 80.66)</f>
        <v>80.66</v>
      </c>
      <c r="E642" s="2">
        <v>60.13</v>
      </c>
      <c r="F642" s="2">
        <v>2</v>
      </c>
      <c r="G642" s="2" t="s">
        <v>10</v>
      </c>
    </row>
    <row r="643" spans="1:7" x14ac:dyDescent="0.2">
      <c r="A643" s="2" t="s">
        <v>3664</v>
      </c>
      <c r="B643" s="2" t="s">
        <v>2145</v>
      </c>
      <c r="C643" s="2">
        <v>818.08420000000001</v>
      </c>
      <c r="D643" s="2">
        <f>HYPERLINK("http://mcb-m6.bioreg.kyushu-u.ac.jp/M3/20110411/F50897/2397/1", 115.76)</f>
        <v>115.76</v>
      </c>
      <c r="E643" s="2">
        <v>100.39</v>
      </c>
      <c r="F643" s="2">
        <v>2</v>
      </c>
      <c r="G643" s="2" t="s">
        <v>10</v>
      </c>
    </row>
    <row r="644" spans="1:7" x14ac:dyDescent="0.2">
      <c r="A644" s="2" t="s">
        <v>3695</v>
      </c>
      <c r="B644" s="2" t="s">
        <v>668</v>
      </c>
      <c r="C644" s="2">
        <v>692.93269999999995</v>
      </c>
      <c r="D644" s="2">
        <f>HYPERLINK("http://mcb-m6.bioreg.kyushu-u.ac.jp/M3/20110411/F50905/1768/1", 47.78)</f>
        <v>47.78</v>
      </c>
      <c r="E644" s="2">
        <v>32.83</v>
      </c>
      <c r="F644" s="2">
        <v>2</v>
      </c>
      <c r="G644" s="2" t="s">
        <v>9</v>
      </c>
    </row>
    <row r="645" spans="1:7" x14ac:dyDescent="0.2">
      <c r="A645" s="2" t="s">
        <v>3695</v>
      </c>
      <c r="B645" s="2" t="s">
        <v>688</v>
      </c>
      <c r="C645" s="2">
        <v>897.23360000000002</v>
      </c>
      <c r="D645" s="2">
        <f>HYPERLINK("http://mcb-m6.bioreg.kyushu-u.ac.jp/M3/20110411/F50905/2830/1", 48.49)</f>
        <v>48.49</v>
      </c>
      <c r="E645" s="2">
        <v>24.59</v>
      </c>
      <c r="F645" s="2">
        <v>2</v>
      </c>
      <c r="G645" s="2" t="s">
        <v>9</v>
      </c>
    </row>
    <row r="646" spans="1:7" x14ac:dyDescent="0.2">
      <c r="A646" s="2" t="s">
        <v>3695</v>
      </c>
      <c r="B646" s="2" t="s">
        <v>668</v>
      </c>
      <c r="C646" s="2">
        <v>693.21770000000004</v>
      </c>
      <c r="D646" s="2">
        <f>HYPERLINK("http://mcb-m6.bioreg.kyushu-u.ac.jp/M3/20110414/F50941/1801/1", 59.12)</f>
        <v>59.12</v>
      </c>
      <c r="E646" s="2">
        <v>46.57</v>
      </c>
      <c r="F646" s="2">
        <v>2</v>
      </c>
      <c r="G646" s="2" t="s">
        <v>11</v>
      </c>
    </row>
    <row r="647" spans="1:7" x14ac:dyDescent="0.2">
      <c r="A647" s="2" t="s">
        <v>3695</v>
      </c>
      <c r="B647" s="2" t="s">
        <v>668</v>
      </c>
      <c r="C647" s="2">
        <v>693.35310000000004</v>
      </c>
      <c r="D647" s="2">
        <f>HYPERLINK("http://mcb-m6.bioreg.kyushu-u.ac.jp/M3/20110414/F50947/1628/1", 48.53)</f>
        <v>48.53</v>
      </c>
      <c r="E647" s="2">
        <v>34.14</v>
      </c>
      <c r="F647" s="2">
        <v>2</v>
      </c>
      <c r="G647" s="2" t="s">
        <v>12</v>
      </c>
    </row>
    <row r="648" spans="1:7" x14ac:dyDescent="0.2">
      <c r="A648" s="2" t="s">
        <v>3857</v>
      </c>
      <c r="B648" s="2" t="s">
        <v>962</v>
      </c>
      <c r="C648" s="2">
        <v>1056.8599999999999</v>
      </c>
      <c r="D648" s="2">
        <f>HYPERLINK("http://mcb-m6.bioreg.kyushu-u.ac.jp/M3/20110411/F50891/3613/1", 57.05)</f>
        <v>57.05</v>
      </c>
      <c r="E648" s="2">
        <v>42.32</v>
      </c>
      <c r="F648" s="2">
        <v>2</v>
      </c>
      <c r="G648" s="2" t="s">
        <v>9</v>
      </c>
    </row>
    <row r="649" spans="1:7" x14ac:dyDescent="0.2">
      <c r="A649" s="2" t="s">
        <v>3857</v>
      </c>
      <c r="B649" s="2" t="s">
        <v>1554</v>
      </c>
      <c r="C649" s="2">
        <v>873.35969999999998</v>
      </c>
      <c r="D649" s="2">
        <f>HYPERLINK("http://mcb-m6.bioreg.kyushu-u.ac.jp/M3/20110411/F50891/2838/1", 91.98)</f>
        <v>91.98</v>
      </c>
      <c r="E649" s="2">
        <v>77.849999999999994</v>
      </c>
      <c r="F649" s="2">
        <v>2</v>
      </c>
      <c r="G649" s="2" t="s">
        <v>9</v>
      </c>
    </row>
    <row r="650" spans="1:7" x14ac:dyDescent="0.2">
      <c r="A650" s="2" t="s">
        <v>3857</v>
      </c>
      <c r="B650" s="2" t="s">
        <v>962</v>
      </c>
      <c r="C650" s="2">
        <v>1056.433</v>
      </c>
      <c r="D650" s="2">
        <f>HYPERLINK("http://mcb-m6.bioreg.kyushu-u.ac.jp/M3/20110414/F50928/3439/1", 61.58)</f>
        <v>61.58</v>
      </c>
      <c r="E650" s="2">
        <v>46.05</v>
      </c>
      <c r="F650" s="2">
        <v>2</v>
      </c>
      <c r="G650" s="2" t="s">
        <v>11</v>
      </c>
    </row>
    <row r="651" spans="1:7" x14ac:dyDescent="0.2">
      <c r="A651" s="2" t="s">
        <v>4358</v>
      </c>
      <c r="B651" s="2" t="s">
        <v>2177</v>
      </c>
      <c r="C651" s="2">
        <v>683.85019999999997</v>
      </c>
      <c r="D651" s="2">
        <f>HYPERLINK("http://mcb-m6.bioreg.kyushu-u.ac.jp/M3/20110414/F50924/1782/1", 36.06)</f>
        <v>36.06</v>
      </c>
      <c r="E651" s="2">
        <v>21.27</v>
      </c>
      <c r="F651" s="2">
        <v>2</v>
      </c>
      <c r="G651" s="2" t="s">
        <v>11</v>
      </c>
    </row>
    <row r="652" spans="1:7" x14ac:dyDescent="0.2">
      <c r="A652" s="2" t="s">
        <v>3934</v>
      </c>
      <c r="B652" s="2" t="s">
        <v>1124</v>
      </c>
      <c r="C652" s="2">
        <v>903.30970000000002</v>
      </c>
      <c r="D652" s="2">
        <f>HYPERLINK("http://mcb-m6.bioreg.kyushu-u.ac.jp/M3/20110411/F50892/2845/1", 64.32)</f>
        <v>64.319999999999993</v>
      </c>
      <c r="E652" s="2">
        <v>51.79</v>
      </c>
      <c r="F652" s="2">
        <v>2</v>
      </c>
      <c r="G652" s="2" t="s">
        <v>9</v>
      </c>
    </row>
    <row r="653" spans="1:7" x14ac:dyDescent="0.2">
      <c r="A653" s="2" t="s">
        <v>3422</v>
      </c>
      <c r="B653" s="2" t="s">
        <v>226</v>
      </c>
      <c r="C653" s="2">
        <v>804.7867</v>
      </c>
      <c r="D653" s="2">
        <f>HYPERLINK("http://mcb-m6.bioreg.kyushu-u.ac.jp/M3/20110411/F50891/2487/1", 38.11)</f>
        <v>38.11</v>
      </c>
      <c r="E653" s="2">
        <v>18.39</v>
      </c>
      <c r="F653" s="2">
        <v>2</v>
      </c>
      <c r="G653" s="2" t="s">
        <v>9</v>
      </c>
    </row>
    <row r="654" spans="1:7" x14ac:dyDescent="0.2">
      <c r="A654" s="2" t="s">
        <v>3422</v>
      </c>
      <c r="B654" s="2" t="s">
        <v>226</v>
      </c>
      <c r="C654" s="2">
        <v>804.13819999999998</v>
      </c>
      <c r="D654" s="2">
        <f>HYPERLINK("http://mcb-m6.bioreg.kyushu-u.ac.jp/M3/20110411/F50891/2486/1", 76.88)</f>
        <v>76.88</v>
      </c>
      <c r="E654" s="2">
        <v>58.02</v>
      </c>
      <c r="F654" s="2">
        <v>2</v>
      </c>
      <c r="G654" s="2" t="s">
        <v>9</v>
      </c>
    </row>
    <row r="655" spans="1:7" x14ac:dyDescent="0.2">
      <c r="A655" s="2" t="s">
        <v>3472</v>
      </c>
      <c r="B655" s="2" t="s">
        <v>286</v>
      </c>
      <c r="C655" s="2">
        <v>863.92570000000001</v>
      </c>
      <c r="D655" s="2">
        <f>HYPERLINK("http://mcb-m6.bioreg.kyushu-u.ac.jp/M3/20110411/F50916/2527/1", 39.01)</f>
        <v>39.01</v>
      </c>
      <c r="E655" s="2">
        <v>26.29</v>
      </c>
      <c r="F655" s="2">
        <v>2</v>
      </c>
      <c r="G655" s="2" t="s">
        <v>9</v>
      </c>
    </row>
    <row r="656" spans="1:7" x14ac:dyDescent="0.2">
      <c r="A656" s="2" t="s">
        <v>4668</v>
      </c>
      <c r="B656" s="2" t="s">
        <v>2832</v>
      </c>
      <c r="C656" s="2">
        <v>665.66769999999997</v>
      </c>
      <c r="D656" s="2">
        <f>HYPERLINK("http://mcb-m6.bioreg.kyushu-u.ac.jp/M3/20110502/F51172/1585/1", 37.71)</f>
        <v>37.71</v>
      </c>
      <c r="E656" s="2">
        <v>9.34</v>
      </c>
      <c r="F656" s="2">
        <v>2</v>
      </c>
      <c r="G656" s="2" t="s">
        <v>13</v>
      </c>
    </row>
    <row r="657" spans="1:8" x14ac:dyDescent="0.2">
      <c r="A657" s="2" t="s">
        <v>3911</v>
      </c>
      <c r="B657" s="2" t="s">
        <v>1080</v>
      </c>
      <c r="C657" s="2">
        <v>845.9067</v>
      </c>
      <c r="D657" s="2">
        <f>HYPERLINK("http://mcb-m6.bioreg.kyushu-u.ac.jp/M3/20110411/F50891/2698/1", 62.03)</f>
        <v>62.03</v>
      </c>
      <c r="E657" s="2">
        <v>46.33</v>
      </c>
      <c r="F657" s="2">
        <v>2</v>
      </c>
      <c r="G657" s="2" t="s">
        <v>9</v>
      </c>
    </row>
    <row r="658" spans="1:8" x14ac:dyDescent="0.2">
      <c r="A658" s="2" t="s">
        <v>3911</v>
      </c>
      <c r="B658" s="2" t="s">
        <v>1201</v>
      </c>
      <c r="C658" s="2">
        <v>1074.425</v>
      </c>
      <c r="D658" s="2">
        <f>HYPERLINK("http://mcb-m6.bioreg.kyushu-u.ac.jp/M3/20110411/F50891/3662/1", 67.15)</f>
        <v>67.150000000000006</v>
      </c>
      <c r="E658" s="2">
        <v>62.43</v>
      </c>
      <c r="F658" s="2">
        <v>2</v>
      </c>
      <c r="G658" s="2" t="s">
        <v>9</v>
      </c>
    </row>
    <row r="659" spans="1:8" x14ac:dyDescent="0.2">
      <c r="A659" s="2" t="s">
        <v>4782</v>
      </c>
      <c r="B659" s="2" t="s">
        <v>3013</v>
      </c>
      <c r="C659" s="2">
        <v>567.2097</v>
      </c>
      <c r="D659" s="2">
        <f>HYPERLINK("http://mcb-m6.bioreg.kyushu-u.ac.jp/M3/20110502/F51182/958/1", 38.13)</f>
        <v>38.130000000000003</v>
      </c>
      <c r="E659" s="2">
        <v>16.079999999999998</v>
      </c>
      <c r="F659" s="2">
        <v>2</v>
      </c>
      <c r="G659" s="2" t="s">
        <v>14</v>
      </c>
      <c r="H659" s="2" t="s">
        <v>4891</v>
      </c>
    </row>
    <row r="660" spans="1:8" x14ac:dyDescent="0.2">
      <c r="A660" s="2" t="s">
        <v>3687</v>
      </c>
      <c r="B660" s="2" t="s">
        <v>649</v>
      </c>
      <c r="C660" s="2">
        <v>546.44269999999995</v>
      </c>
      <c r="D660" s="2">
        <f>HYPERLINK("http://mcb-m6.bioreg.kyushu-u.ac.jp/M3/20110411/F50903/1260/1", 47.22)</f>
        <v>47.22</v>
      </c>
      <c r="E660" s="2">
        <v>32.07</v>
      </c>
      <c r="F660" s="2">
        <v>2</v>
      </c>
      <c r="G660" s="2" t="s">
        <v>9</v>
      </c>
    </row>
    <row r="661" spans="1:8" x14ac:dyDescent="0.2">
      <c r="A661" s="2" t="s">
        <v>3687</v>
      </c>
      <c r="B661" s="2" t="s">
        <v>649</v>
      </c>
      <c r="C661" s="2">
        <v>546.46770000000004</v>
      </c>
      <c r="D661" s="2">
        <f>HYPERLINK("http://mcb-m6.bioreg.kyushu-u.ac.jp/M3/20110502/F51165/1454/1", 37.96)</f>
        <v>37.96</v>
      </c>
      <c r="E661" s="2">
        <v>10.130000000000001</v>
      </c>
      <c r="F661" s="2">
        <v>2</v>
      </c>
      <c r="G661" s="2" t="s">
        <v>13</v>
      </c>
    </row>
    <row r="662" spans="1:8" x14ac:dyDescent="0.2">
      <c r="A662" s="2" t="s">
        <v>3687</v>
      </c>
      <c r="B662" s="2" t="s">
        <v>649</v>
      </c>
      <c r="C662" s="2">
        <v>546.34619999999995</v>
      </c>
      <c r="D662" s="2">
        <f>HYPERLINK("http://mcb-m6.bioreg.kyushu-u.ac.jp/M3/20110502/F51165/1450/1", 50.02)</f>
        <v>50.02</v>
      </c>
      <c r="E662" s="2">
        <v>26.65</v>
      </c>
      <c r="F662" s="2">
        <v>2</v>
      </c>
      <c r="G662" s="2" t="s">
        <v>13</v>
      </c>
    </row>
    <row r="663" spans="1:8" x14ac:dyDescent="0.2">
      <c r="A663" s="2" t="s">
        <v>4095</v>
      </c>
      <c r="B663" s="2" t="s">
        <v>1542</v>
      </c>
      <c r="C663" s="2">
        <v>931.8691</v>
      </c>
      <c r="D663" s="2">
        <f>HYPERLINK("http://mcb-m6.bioreg.kyushu-u.ac.jp/M3/20110411/F50915/2997/1", 90.31)</f>
        <v>90.31</v>
      </c>
      <c r="E663" s="2">
        <v>68.709999999999994</v>
      </c>
      <c r="F663" s="2">
        <v>2</v>
      </c>
      <c r="G663" s="2" t="s">
        <v>9</v>
      </c>
    </row>
    <row r="664" spans="1:8" x14ac:dyDescent="0.2">
      <c r="A664" s="2" t="s">
        <v>4095</v>
      </c>
      <c r="B664" s="2" t="s">
        <v>1542</v>
      </c>
      <c r="C664" s="2">
        <v>931.28970000000004</v>
      </c>
      <c r="D664" s="2">
        <f>HYPERLINK("http://mcb-m6.bioreg.kyushu-u.ac.jp/M3/20110411/F50915/2994/1", 91.87)</f>
        <v>91.87</v>
      </c>
      <c r="E664" s="2">
        <v>79.16</v>
      </c>
      <c r="F664" s="2">
        <v>2</v>
      </c>
      <c r="G664" s="2" t="s">
        <v>9</v>
      </c>
    </row>
    <row r="665" spans="1:8" x14ac:dyDescent="0.2">
      <c r="A665" s="2" t="s">
        <v>4095</v>
      </c>
      <c r="B665" s="2" t="s">
        <v>1542</v>
      </c>
      <c r="C665" s="2">
        <v>932.05269999999996</v>
      </c>
      <c r="D665" s="2">
        <f>HYPERLINK("http://mcb-m6.bioreg.kyushu-u.ac.jp/M3/20110411/F50917/3047/1", 104.2)</f>
        <v>104.2</v>
      </c>
      <c r="E665" s="2">
        <v>85.42</v>
      </c>
      <c r="F665" s="2">
        <v>2</v>
      </c>
      <c r="G665" s="2" t="s">
        <v>10</v>
      </c>
    </row>
    <row r="666" spans="1:8" x14ac:dyDescent="0.2">
      <c r="A666" s="2" t="s">
        <v>3567</v>
      </c>
      <c r="B666" s="2" t="s">
        <v>431</v>
      </c>
      <c r="C666" s="2">
        <v>739.91520000000003</v>
      </c>
      <c r="D666" s="2">
        <f>HYPERLINK("http://mcb-m6.bioreg.kyushu-u.ac.jp/M3/20110411/F50915/1874/1", 41.72)</f>
        <v>41.72</v>
      </c>
      <c r="E666" s="2">
        <v>21.35</v>
      </c>
      <c r="F666" s="2">
        <v>2</v>
      </c>
      <c r="G666" s="2" t="s">
        <v>9</v>
      </c>
    </row>
    <row r="667" spans="1:8" x14ac:dyDescent="0.2">
      <c r="A667" s="2" t="s">
        <v>3567</v>
      </c>
      <c r="B667" s="2" t="s">
        <v>431</v>
      </c>
      <c r="C667" s="2">
        <v>739.33119999999997</v>
      </c>
      <c r="D667" s="2">
        <f>HYPERLINK("http://mcb-m6.bioreg.kyushu-u.ac.jp/M3/20110414/F50942/1888/1", 54.98)</f>
        <v>54.98</v>
      </c>
      <c r="E667" s="2">
        <v>39.81</v>
      </c>
      <c r="F667" s="2">
        <v>2</v>
      </c>
      <c r="G667" s="2" t="s">
        <v>11</v>
      </c>
    </row>
    <row r="668" spans="1:8" x14ac:dyDescent="0.2">
      <c r="A668" s="2" t="s">
        <v>3926</v>
      </c>
      <c r="B668" s="2" t="s">
        <v>1104</v>
      </c>
      <c r="C668" s="2">
        <v>799.94069999999999</v>
      </c>
      <c r="D668" s="2">
        <f>HYPERLINK("http://mcb-m6.bioreg.kyushu-u.ac.jp/M3/20110411/F50890/2527/1", 63.24)</f>
        <v>63.24</v>
      </c>
      <c r="E668" s="2">
        <v>38.74</v>
      </c>
      <c r="F668" s="2">
        <v>2</v>
      </c>
      <c r="G668" s="2" t="s">
        <v>9</v>
      </c>
    </row>
    <row r="669" spans="1:8" x14ac:dyDescent="0.2">
      <c r="A669" s="2" t="s">
        <v>3926</v>
      </c>
      <c r="B669" s="2" t="s">
        <v>1173</v>
      </c>
      <c r="C669" s="2">
        <v>960.43910000000005</v>
      </c>
      <c r="D669" s="2">
        <f>HYPERLINK("http://mcb-m6.bioreg.kyushu-u.ac.jp/M3/20110411/F50890/3204/1", 65.81)</f>
        <v>65.81</v>
      </c>
      <c r="E669" s="2">
        <v>41.84</v>
      </c>
      <c r="F669" s="2">
        <v>2</v>
      </c>
      <c r="G669" s="2" t="s">
        <v>9</v>
      </c>
    </row>
    <row r="670" spans="1:8" x14ac:dyDescent="0.2">
      <c r="A670" s="2" t="s">
        <v>3926</v>
      </c>
      <c r="B670" s="2" t="s">
        <v>1461</v>
      </c>
      <c r="C670" s="2">
        <v>911.38670000000002</v>
      </c>
      <c r="D670" s="2">
        <f>HYPERLINK("http://mcb-m6.bioreg.kyushu-u.ac.jp/M3/20110411/F50890/3012/1", 82.58)</f>
        <v>82.58</v>
      </c>
      <c r="E670" s="2">
        <v>72.09</v>
      </c>
      <c r="F670" s="2">
        <v>2</v>
      </c>
      <c r="G670" s="2" t="s">
        <v>9</v>
      </c>
    </row>
    <row r="671" spans="1:8" x14ac:dyDescent="0.2">
      <c r="A671" s="2" t="s">
        <v>3926</v>
      </c>
      <c r="B671" s="2" t="s">
        <v>1669</v>
      </c>
      <c r="C671" s="2">
        <v>1169.3720000000001</v>
      </c>
      <c r="D671" s="2">
        <f>HYPERLINK("http://mcb-m6.bioreg.kyushu-u.ac.jp/M3/20110411/F50890/3787/1", 121.32)</f>
        <v>121.32</v>
      </c>
      <c r="E671" s="2">
        <v>110.63</v>
      </c>
      <c r="F671" s="2">
        <v>2</v>
      </c>
      <c r="G671" s="2" t="s">
        <v>9</v>
      </c>
    </row>
    <row r="672" spans="1:8" x14ac:dyDescent="0.2">
      <c r="A672" s="2" t="s">
        <v>3926</v>
      </c>
      <c r="B672" s="2" t="s">
        <v>2022</v>
      </c>
      <c r="C672" s="2">
        <v>736.47609999999997</v>
      </c>
      <c r="D672" s="2">
        <f>HYPERLINK("http://mcb-m6.bioreg.kyushu-u.ac.jp/M3/20110411/F50897/1944/1", 63.41)</f>
        <v>63.41</v>
      </c>
      <c r="E672" s="2">
        <v>45.17</v>
      </c>
      <c r="F672" s="2">
        <v>2</v>
      </c>
      <c r="G672" s="2" t="s">
        <v>10</v>
      </c>
    </row>
    <row r="673" spans="1:8" x14ac:dyDescent="0.2">
      <c r="A673" s="2" t="s">
        <v>3926</v>
      </c>
      <c r="B673" s="2" t="s">
        <v>2069</v>
      </c>
      <c r="C673" s="2">
        <v>1223.5319999999999</v>
      </c>
      <c r="D673" s="2">
        <f>HYPERLINK("http://mcb-m6.bioreg.kyushu-u.ac.jp/M3/20110411/F50897/3748/1", 72.59)</f>
        <v>72.59</v>
      </c>
      <c r="E673" s="2">
        <v>64.28</v>
      </c>
      <c r="F673" s="2">
        <v>2</v>
      </c>
      <c r="G673" s="2" t="s">
        <v>10</v>
      </c>
    </row>
    <row r="674" spans="1:8" x14ac:dyDescent="0.2">
      <c r="A674" s="2" t="s">
        <v>4235</v>
      </c>
      <c r="B674" s="2" t="s">
        <v>1848</v>
      </c>
      <c r="C674" s="2">
        <v>1205.585</v>
      </c>
      <c r="D674" s="2">
        <f>HYPERLINK("http://mcb-m6.bioreg.kyushu-u.ac.jp/M3/20110411/F50913/3702/1", 43.87)</f>
        <v>43.87</v>
      </c>
      <c r="E674" s="2">
        <v>31.78</v>
      </c>
      <c r="F674" s="2">
        <v>2</v>
      </c>
      <c r="G674" s="2" t="s">
        <v>10</v>
      </c>
    </row>
    <row r="675" spans="1:8" x14ac:dyDescent="0.2">
      <c r="A675" s="2" t="s">
        <v>4235</v>
      </c>
      <c r="B675" s="2" t="s">
        <v>1911</v>
      </c>
      <c r="C675" s="2">
        <v>913.4452</v>
      </c>
      <c r="D675" s="2">
        <f>HYPERLINK("http://mcb-m6.bioreg.kyushu-u.ac.jp/M3/20110411/F50913/2848/1", 49.1)</f>
        <v>49.1</v>
      </c>
      <c r="E675" s="2">
        <v>31.28</v>
      </c>
      <c r="F675" s="2">
        <v>2</v>
      </c>
      <c r="G675" s="2" t="s">
        <v>10</v>
      </c>
    </row>
    <row r="676" spans="1:8" x14ac:dyDescent="0.2">
      <c r="A676" s="2" t="s">
        <v>4235</v>
      </c>
      <c r="B676" s="2" t="s">
        <v>1911</v>
      </c>
      <c r="C676" s="2">
        <v>913.48969999999997</v>
      </c>
      <c r="D676" s="2">
        <f>HYPERLINK("http://mcb-m6.bioreg.kyushu-u.ac.jp/M3/20110411/F50914/2906/1", 54.76)</f>
        <v>54.76</v>
      </c>
      <c r="E676" s="2">
        <v>39.380000000000003</v>
      </c>
      <c r="F676" s="2">
        <v>2</v>
      </c>
      <c r="G676" s="2" t="s">
        <v>10</v>
      </c>
    </row>
    <row r="677" spans="1:8" x14ac:dyDescent="0.2">
      <c r="A677" s="2" t="s">
        <v>4235</v>
      </c>
      <c r="B677" s="2" t="s">
        <v>1911</v>
      </c>
      <c r="C677" s="2">
        <v>912.91669999999999</v>
      </c>
      <c r="D677" s="2">
        <f>HYPERLINK("http://mcb-m6.bioreg.kyushu-u.ac.jp/M3/20110411/F50914/2902/1", 72.07)</f>
        <v>72.069999999999993</v>
      </c>
      <c r="E677" s="2">
        <v>53.32</v>
      </c>
      <c r="F677" s="2">
        <v>2</v>
      </c>
      <c r="G677" s="2" t="s">
        <v>10</v>
      </c>
    </row>
    <row r="678" spans="1:8" x14ac:dyDescent="0.2">
      <c r="A678" s="2" t="s">
        <v>4235</v>
      </c>
      <c r="B678" s="2" t="s">
        <v>1911</v>
      </c>
      <c r="C678" s="2">
        <v>913.41470000000004</v>
      </c>
      <c r="D678" s="2">
        <f>HYPERLINK("http://mcb-m6.bioreg.kyushu-u.ac.jp/M3/20110414/F50942/2964/1", 45.34)</f>
        <v>45.34</v>
      </c>
      <c r="E678" s="2">
        <v>33.68</v>
      </c>
      <c r="F678" s="2">
        <v>2</v>
      </c>
      <c r="G678" s="2" t="s">
        <v>11</v>
      </c>
    </row>
    <row r="679" spans="1:8" x14ac:dyDescent="0.2">
      <c r="A679" s="2" t="s">
        <v>4235</v>
      </c>
      <c r="B679" s="2" t="s">
        <v>1911</v>
      </c>
      <c r="C679" s="2">
        <v>912.89260000000002</v>
      </c>
      <c r="D679" s="2">
        <f>HYPERLINK("http://mcb-m6.bioreg.kyushu-u.ac.jp/M3/20110414/F50941/3030/1", 81.65)</f>
        <v>81.650000000000006</v>
      </c>
      <c r="E679" s="2">
        <v>67.81</v>
      </c>
      <c r="F679" s="2">
        <v>2</v>
      </c>
      <c r="G679" s="2" t="s">
        <v>11</v>
      </c>
    </row>
    <row r="680" spans="1:8" x14ac:dyDescent="0.2">
      <c r="A680" s="2" t="s">
        <v>4235</v>
      </c>
      <c r="B680" s="2" t="s">
        <v>1911</v>
      </c>
      <c r="C680" s="2">
        <v>913.40869999999995</v>
      </c>
      <c r="D680" s="2">
        <f>HYPERLINK("http://mcb-m6.bioreg.kyushu-u.ac.jp/M3/20110414/F50947/2974/1", 48.88)</f>
        <v>48.88</v>
      </c>
      <c r="E680" s="2">
        <v>37.799999999999997</v>
      </c>
      <c r="F680" s="2">
        <v>2</v>
      </c>
      <c r="G680" s="2" t="s">
        <v>12</v>
      </c>
    </row>
    <row r="681" spans="1:8" x14ac:dyDescent="0.2">
      <c r="A681" s="2" t="s">
        <v>4235</v>
      </c>
      <c r="B681" s="2" t="s">
        <v>1911</v>
      </c>
      <c r="C681" s="2">
        <v>913.19209999999998</v>
      </c>
      <c r="D681" s="2">
        <f>HYPERLINK("http://mcb-m6.bioreg.kyushu-u.ac.jp/M3/20110414/F50948/3100/1", 64.56)</f>
        <v>64.56</v>
      </c>
      <c r="E681" s="2">
        <v>50.02</v>
      </c>
      <c r="F681" s="2">
        <v>2</v>
      </c>
      <c r="G681" s="2" t="s">
        <v>12</v>
      </c>
    </row>
    <row r="682" spans="1:8" x14ac:dyDescent="0.2">
      <c r="A682" s="2" t="s">
        <v>4235</v>
      </c>
      <c r="B682" s="2" t="s">
        <v>1911</v>
      </c>
      <c r="C682" s="2">
        <v>912.90470000000005</v>
      </c>
      <c r="D682" s="2">
        <f>HYPERLINK("http://mcb-m6.bioreg.kyushu-u.ac.jp/M3/20110414/F50947/2972/1", 91.86)</f>
        <v>91.86</v>
      </c>
      <c r="E682" s="2">
        <v>80.34</v>
      </c>
      <c r="F682" s="2">
        <v>2</v>
      </c>
      <c r="G682" s="2" t="s">
        <v>12</v>
      </c>
    </row>
    <row r="683" spans="1:8" x14ac:dyDescent="0.2">
      <c r="A683" s="2" t="s">
        <v>4235</v>
      </c>
      <c r="B683" s="2" t="s">
        <v>1911</v>
      </c>
      <c r="C683" s="2">
        <v>913.52419999999995</v>
      </c>
      <c r="D683" s="2">
        <f>HYPERLINK("http://mcb-m6.bioreg.kyushu-u.ac.jp/M3/20110502/F51171/2724/1", 37.17)</f>
        <v>37.17</v>
      </c>
      <c r="E683" s="2">
        <v>22.7</v>
      </c>
      <c r="F683" s="2">
        <v>2</v>
      </c>
      <c r="G683" s="2" t="s">
        <v>13</v>
      </c>
    </row>
    <row r="684" spans="1:8" x14ac:dyDescent="0.2">
      <c r="A684" s="2" t="s">
        <v>4235</v>
      </c>
      <c r="B684" s="2" t="s">
        <v>1911</v>
      </c>
      <c r="C684" s="2">
        <v>913.09619999999995</v>
      </c>
      <c r="D684" s="2">
        <f>HYPERLINK("http://mcb-m6.bioreg.kyushu-u.ac.jp/M3/20110502/F51170/2944/1", 59.87)</f>
        <v>59.87</v>
      </c>
      <c r="E684" s="2">
        <v>41.27</v>
      </c>
      <c r="F684" s="2">
        <v>2</v>
      </c>
      <c r="G684" s="2" t="s">
        <v>13</v>
      </c>
    </row>
    <row r="685" spans="1:8" x14ac:dyDescent="0.2">
      <c r="A685" s="2" t="s">
        <v>4235</v>
      </c>
      <c r="B685" s="2" t="s">
        <v>1911</v>
      </c>
      <c r="C685" s="2">
        <v>913.16219999999998</v>
      </c>
      <c r="D685" s="2">
        <f>HYPERLINK("http://mcb-m6.bioreg.kyushu-u.ac.jp/M3/20110502/F51179/2752/1", 78.84)</f>
        <v>78.84</v>
      </c>
      <c r="E685" s="2">
        <v>65.75</v>
      </c>
      <c r="F685" s="2">
        <v>2</v>
      </c>
      <c r="G685" s="2" t="s">
        <v>14</v>
      </c>
    </row>
    <row r="686" spans="1:8" x14ac:dyDescent="0.2">
      <c r="A686" s="2" t="s">
        <v>4183</v>
      </c>
      <c r="B686" s="2" t="s">
        <v>1761</v>
      </c>
      <c r="C686" s="2">
        <v>697.62019999999995</v>
      </c>
      <c r="D686" s="2">
        <f>HYPERLINK("http://mcb-m6.bioreg.kyushu-u.ac.jp/M3/20110411/F50913/1804/1", 38.14)</f>
        <v>38.14</v>
      </c>
      <c r="E686" s="2">
        <v>21.98</v>
      </c>
      <c r="F686" s="2">
        <v>2</v>
      </c>
      <c r="G686" s="2" t="s">
        <v>10</v>
      </c>
      <c r="H686" s="2" t="s">
        <v>4904</v>
      </c>
    </row>
    <row r="687" spans="1:8" x14ac:dyDescent="0.2">
      <c r="A687" s="2" t="s">
        <v>4264</v>
      </c>
      <c r="B687" s="2" t="s">
        <v>1921</v>
      </c>
      <c r="C687" s="2">
        <v>879.54169999999999</v>
      </c>
      <c r="D687" s="2">
        <f>HYPERLINK("http://mcb-m6.bioreg.kyushu-u.ac.jp/M3/20110411/F50913/2679/1", 49.73)</f>
        <v>49.73</v>
      </c>
      <c r="E687" s="2">
        <v>36.57</v>
      </c>
      <c r="F687" s="2">
        <v>2</v>
      </c>
      <c r="G687" s="2" t="s">
        <v>10</v>
      </c>
    </row>
    <row r="688" spans="1:8" x14ac:dyDescent="0.2">
      <c r="A688" s="2" t="s">
        <v>4264</v>
      </c>
      <c r="B688" s="2" t="s">
        <v>1921</v>
      </c>
      <c r="C688" s="2">
        <v>879.17219999999998</v>
      </c>
      <c r="D688" s="2">
        <f>HYPERLINK("http://mcb-m6.bioreg.kyushu-u.ac.jp/M3/20110411/F50913/2676/1", 61.84)</f>
        <v>61.84</v>
      </c>
      <c r="E688" s="2">
        <v>51.08</v>
      </c>
      <c r="F688" s="2">
        <v>2</v>
      </c>
      <c r="G688" s="2" t="s">
        <v>10</v>
      </c>
    </row>
    <row r="689" spans="1:7" x14ac:dyDescent="0.2">
      <c r="A689" s="2" t="s">
        <v>4264</v>
      </c>
      <c r="B689" s="2" t="s">
        <v>1921</v>
      </c>
      <c r="C689" s="2">
        <v>879.33010000000002</v>
      </c>
      <c r="D689" s="2">
        <f>HYPERLINK("http://mcb-m6.bioreg.kyushu-u.ac.jp/M3/20110414/F50947/2785/1", 57.27)</f>
        <v>57.27</v>
      </c>
      <c r="E689" s="2">
        <v>47.78</v>
      </c>
      <c r="F689" s="2">
        <v>2</v>
      </c>
      <c r="G689" s="2" t="s">
        <v>12</v>
      </c>
    </row>
    <row r="690" spans="1:7" x14ac:dyDescent="0.2">
      <c r="A690" s="2" t="s">
        <v>4216</v>
      </c>
      <c r="B690" s="2" t="s">
        <v>1815</v>
      </c>
      <c r="C690" s="2">
        <v>455.31459999999998</v>
      </c>
      <c r="D690" s="2">
        <f>HYPERLINK("http://mcb-m6.bioreg.kyushu-u.ac.jp/M3/20110411/F50913/856/1", 41.23)</f>
        <v>41.23</v>
      </c>
      <c r="E690" s="2">
        <v>12.75</v>
      </c>
      <c r="F690" s="2">
        <v>2</v>
      </c>
      <c r="G690" s="2" t="s">
        <v>10</v>
      </c>
    </row>
    <row r="691" spans="1:7" x14ac:dyDescent="0.2">
      <c r="A691" s="2" t="s">
        <v>3788</v>
      </c>
      <c r="B691" s="2" t="s">
        <v>828</v>
      </c>
      <c r="C691" s="2">
        <v>860.15060000000005</v>
      </c>
      <c r="D691" s="2">
        <f>HYPERLINK("http://mcb-m6.bioreg.kyushu-u.ac.jp/M3/20110411/F50911/2722/1", 52.71)</f>
        <v>52.71</v>
      </c>
      <c r="E691" s="2">
        <v>29.73</v>
      </c>
      <c r="F691" s="2">
        <v>2</v>
      </c>
      <c r="G691" s="2" t="s">
        <v>9</v>
      </c>
    </row>
    <row r="692" spans="1:7" x14ac:dyDescent="0.2">
      <c r="A692" s="2" t="s">
        <v>3788</v>
      </c>
      <c r="B692" s="2" t="s">
        <v>828</v>
      </c>
      <c r="C692" s="2">
        <v>860.18119999999999</v>
      </c>
      <c r="D692" s="2">
        <f>HYPERLINK("http://mcb-m6.bioreg.kyushu-u.ac.jp/M3/20110411/F50905/2650/1", 57.34)</f>
        <v>57.34</v>
      </c>
      <c r="E692" s="2">
        <v>35.81</v>
      </c>
      <c r="F692" s="2">
        <v>2</v>
      </c>
      <c r="G692" s="2" t="s">
        <v>9</v>
      </c>
    </row>
    <row r="693" spans="1:7" x14ac:dyDescent="0.2">
      <c r="A693" s="2" t="s">
        <v>3788</v>
      </c>
      <c r="B693" s="2" t="s">
        <v>828</v>
      </c>
      <c r="C693" s="2">
        <v>860.30409999999995</v>
      </c>
      <c r="D693" s="2">
        <f>HYPERLINK("http://mcb-m6.bioreg.kyushu-u.ac.jp/M3/20110411/F50913/2591/1", 46.09)</f>
        <v>46.09</v>
      </c>
      <c r="E693" s="2">
        <v>26.42</v>
      </c>
      <c r="F693" s="2">
        <v>2</v>
      </c>
      <c r="G693" s="2" t="s">
        <v>10</v>
      </c>
    </row>
    <row r="694" spans="1:7" x14ac:dyDescent="0.2">
      <c r="A694" s="2" t="s">
        <v>3788</v>
      </c>
      <c r="B694" s="2" t="s">
        <v>828</v>
      </c>
      <c r="C694" s="2">
        <v>859.98019999999997</v>
      </c>
      <c r="D694" s="2">
        <f>HYPERLINK("http://mcb-m6.bioreg.kyushu-u.ac.jp/M3/20110414/F50947/2674/1", 61.48)</f>
        <v>61.48</v>
      </c>
      <c r="E694" s="2">
        <v>44.6</v>
      </c>
      <c r="F694" s="2">
        <v>2</v>
      </c>
      <c r="G694" s="2" t="s">
        <v>12</v>
      </c>
    </row>
    <row r="695" spans="1:7" x14ac:dyDescent="0.2">
      <c r="A695" s="2" t="s">
        <v>3788</v>
      </c>
      <c r="B695" s="2" t="s">
        <v>828</v>
      </c>
      <c r="C695" s="2">
        <v>860.20370000000003</v>
      </c>
      <c r="D695" s="2">
        <f>HYPERLINK("http://mcb-m6.bioreg.kyushu-u.ac.jp/M3/20110502/F51179/2477/1", 36.64)</f>
        <v>36.64</v>
      </c>
      <c r="E695" s="2">
        <v>8.42</v>
      </c>
      <c r="F695" s="2">
        <v>2</v>
      </c>
      <c r="G695" s="2" t="s">
        <v>14</v>
      </c>
    </row>
    <row r="696" spans="1:7" x14ac:dyDescent="0.2">
      <c r="A696" s="2" t="s">
        <v>4636</v>
      </c>
      <c r="B696" s="2" t="s">
        <v>2791</v>
      </c>
      <c r="C696" s="2">
        <v>1015.682</v>
      </c>
      <c r="D696" s="2">
        <f>HYPERLINK("http://mcb-m6.bioreg.kyushu-u.ac.jp/M3/20110502/F51170/1027/1", 35.53)</f>
        <v>35.53</v>
      </c>
      <c r="E696" s="2">
        <v>17.95</v>
      </c>
      <c r="F696" s="2">
        <v>1</v>
      </c>
      <c r="G696" s="2" t="s">
        <v>13</v>
      </c>
    </row>
    <row r="697" spans="1:7" x14ac:dyDescent="0.2">
      <c r="A697" s="2" t="s">
        <v>4110</v>
      </c>
      <c r="B697" s="2" t="s">
        <v>1594</v>
      </c>
      <c r="C697" s="2">
        <v>851.78920000000005</v>
      </c>
      <c r="D697" s="2">
        <f>HYPERLINK("http://mcb-m6.bioreg.kyushu-u.ac.jp/M3/20110411/F50905/2605/1", 97.11)</f>
        <v>97.11</v>
      </c>
      <c r="E697" s="2">
        <v>77.209999999999994</v>
      </c>
      <c r="F697" s="2">
        <v>2</v>
      </c>
      <c r="G697" s="2" t="s">
        <v>9</v>
      </c>
    </row>
    <row r="698" spans="1:7" x14ac:dyDescent="0.2">
      <c r="A698" s="2" t="s">
        <v>4110</v>
      </c>
      <c r="B698" s="2" t="s">
        <v>1594</v>
      </c>
      <c r="C698" s="2">
        <v>851.79570000000001</v>
      </c>
      <c r="D698" s="2">
        <f>HYPERLINK("http://mcb-m6.bioreg.kyushu-u.ac.jp/M3/20110414/F50941/2693/1", 38.38)</f>
        <v>38.380000000000003</v>
      </c>
      <c r="E698" s="2">
        <v>22.42</v>
      </c>
      <c r="F698" s="2">
        <v>2</v>
      </c>
      <c r="G698" s="2" t="s">
        <v>11</v>
      </c>
    </row>
    <row r="699" spans="1:7" x14ac:dyDescent="0.2">
      <c r="A699" s="2" t="s">
        <v>4110</v>
      </c>
      <c r="B699" s="2" t="s">
        <v>1594</v>
      </c>
      <c r="C699" s="2">
        <v>851.37570000000005</v>
      </c>
      <c r="D699" s="2">
        <f>HYPERLINK("http://mcb-m6.bioreg.kyushu-u.ac.jp/M3/20110414/F50947/2613/1", 70.32)</f>
        <v>70.319999999999993</v>
      </c>
      <c r="E699" s="2">
        <v>54.08</v>
      </c>
      <c r="F699" s="2">
        <v>2</v>
      </c>
      <c r="G699" s="2" t="s">
        <v>12</v>
      </c>
    </row>
    <row r="700" spans="1:7" x14ac:dyDescent="0.2">
      <c r="A700" s="2" t="s">
        <v>4107</v>
      </c>
      <c r="B700" s="2" t="s">
        <v>1587</v>
      </c>
      <c r="C700" s="2">
        <v>1004.684</v>
      </c>
      <c r="D700" s="2">
        <f>HYPERLINK("http://mcb-m6.bioreg.kyushu-u.ac.jp/M3/20110411/F50911/3393/1", 96.2)</f>
        <v>96.2</v>
      </c>
      <c r="E700" s="2">
        <v>84.6</v>
      </c>
      <c r="F700" s="2">
        <v>2</v>
      </c>
      <c r="G700" s="2" t="s">
        <v>9</v>
      </c>
    </row>
    <row r="701" spans="1:7" x14ac:dyDescent="0.2">
      <c r="A701" s="2" t="s">
        <v>4107</v>
      </c>
      <c r="B701" s="2" t="s">
        <v>1587</v>
      </c>
      <c r="C701" s="2">
        <v>1004.558</v>
      </c>
      <c r="D701" s="2">
        <f>HYPERLINK("http://mcb-m6.bioreg.kyushu-u.ac.jp/M3/20110411/F50905/3304/1", 111.6)</f>
        <v>111.6</v>
      </c>
      <c r="E701" s="2">
        <v>98.54</v>
      </c>
      <c r="F701" s="2">
        <v>2</v>
      </c>
      <c r="G701" s="2" t="s">
        <v>9</v>
      </c>
    </row>
    <row r="702" spans="1:7" x14ac:dyDescent="0.2">
      <c r="A702" s="2" t="s">
        <v>4107</v>
      </c>
      <c r="B702" s="2" t="s">
        <v>1587</v>
      </c>
      <c r="C702" s="2">
        <v>1005.038</v>
      </c>
      <c r="D702" s="2">
        <f>HYPERLINK("http://mcb-m6.bioreg.kyushu-u.ac.jp/M3/20110411/F50913/3189/1", 93.88)</f>
        <v>93.88</v>
      </c>
      <c r="E702" s="2">
        <v>84.72</v>
      </c>
      <c r="F702" s="2">
        <v>2</v>
      </c>
      <c r="G702" s="2" t="s">
        <v>10</v>
      </c>
    </row>
    <row r="703" spans="1:7" x14ac:dyDescent="0.2">
      <c r="A703" s="2" t="s">
        <v>4107</v>
      </c>
      <c r="B703" s="2" t="s">
        <v>1587</v>
      </c>
      <c r="C703" s="2">
        <v>1004.526</v>
      </c>
      <c r="D703" s="2">
        <f>HYPERLINK("http://mcb-m6.bioreg.kyushu-u.ac.jp/M3/20110411/F50913/3186/1", 104.96)</f>
        <v>104.96</v>
      </c>
      <c r="E703" s="2">
        <v>91.83</v>
      </c>
      <c r="F703" s="2">
        <v>2</v>
      </c>
      <c r="G703" s="2" t="s">
        <v>10</v>
      </c>
    </row>
    <row r="704" spans="1:7" x14ac:dyDescent="0.2">
      <c r="A704" s="2" t="s">
        <v>4107</v>
      </c>
      <c r="B704" s="2" t="s">
        <v>1587</v>
      </c>
      <c r="C704" s="2">
        <v>1004.378</v>
      </c>
      <c r="D704" s="2">
        <f>HYPERLINK("http://mcb-m6.bioreg.kyushu-u.ac.jp/M3/20110414/F50942/3492/1", 50.73)</f>
        <v>50.73</v>
      </c>
      <c r="E704" s="2">
        <v>45.87</v>
      </c>
      <c r="F704" s="2">
        <v>2</v>
      </c>
      <c r="G704" s="2" t="s">
        <v>11</v>
      </c>
    </row>
    <row r="705" spans="1:9" x14ac:dyDescent="0.2">
      <c r="A705" s="2" t="s">
        <v>4107</v>
      </c>
      <c r="B705" s="2" t="s">
        <v>1587</v>
      </c>
      <c r="C705" s="2">
        <v>1004.2809999999999</v>
      </c>
      <c r="D705" s="2">
        <f>HYPERLINK("http://mcb-m6.bioreg.kyushu-u.ac.jp/M3/20110414/F50941/3503/1", 80.42)</f>
        <v>80.42</v>
      </c>
      <c r="E705" s="2">
        <v>66.19</v>
      </c>
      <c r="F705" s="2">
        <v>2</v>
      </c>
      <c r="G705" s="2" t="s">
        <v>11</v>
      </c>
    </row>
    <row r="706" spans="1:9" x14ac:dyDescent="0.2">
      <c r="A706" s="2" t="s">
        <v>4107</v>
      </c>
      <c r="B706" s="2" t="s">
        <v>1587</v>
      </c>
      <c r="C706" s="2">
        <v>1004.136</v>
      </c>
      <c r="D706" s="2">
        <f>HYPERLINK("http://mcb-m6.bioreg.kyushu-u.ac.jp/M3/20110414/F50948/3589/1", 87.54)</f>
        <v>87.54</v>
      </c>
      <c r="E706" s="2">
        <v>76.34</v>
      </c>
      <c r="F706" s="2">
        <v>2</v>
      </c>
      <c r="G706" s="2" t="s">
        <v>12</v>
      </c>
    </row>
    <row r="707" spans="1:9" x14ac:dyDescent="0.2">
      <c r="A707" s="2" t="s">
        <v>4107</v>
      </c>
      <c r="B707" s="2" t="s">
        <v>1587</v>
      </c>
      <c r="C707" s="2">
        <v>1004.42</v>
      </c>
      <c r="D707" s="2">
        <f>HYPERLINK("http://mcb-m6.bioreg.kyushu-u.ac.jp/M3/20110414/F50947/3460/1", 107.47)</f>
        <v>107.47</v>
      </c>
      <c r="E707" s="2">
        <v>99.01</v>
      </c>
      <c r="F707" s="2">
        <v>2</v>
      </c>
      <c r="G707" s="2" t="s">
        <v>12</v>
      </c>
    </row>
    <row r="708" spans="1:9" x14ac:dyDescent="0.2">
      <c r="A708" s="2" t="s">
        <v>4107</v>
      </c>
      <c r="B708" s="2" t="s">
        <v>1587</v>
      </c>
      <c r="C708" s="2">
        <v>1004.794</v>
      </c>
      <c r="D708" s="2">
        <f>HYPERLINK("http://mcb-m6.bioreg.kyushu-u.ac.jp/M3/20110502/F51170/3268/1", 90.61)</f>
        <v>90.61</v>
      </c>
      <c r="E708" s="2">
        <v>81.63</v>
      </c>
      <c r="F708" s="2">
        <v>2</v>
      </c>
      <c r="G708" s="2" t="s">
        <v>13</v>
      </c>
    </row>
    <row r="709" spans="1:9" x14ac:dyDescent="0.2">
      <c r="A709" s="2" t="s">
        <v>4107</v>
      </c>
      <c r="B709" s="2" t="s">
        <v>1587</v>
      </c>
      <c r="C709" s="2">
        <v>1004.899</v>
      </c>
      <c r="D709" s="2">
        <f>HYPERLINK("http://mcb-m6.bioreg.kyushu-u.ac.jp/M3/20110502/F51183/3131/1", 93.34)</f>
        <v>93.34</v>
      </c>
      <c r="E709" s="2">
        <v>77.599999999999994</v>
      </c>
      <c r="F709" s="2">
        <v>2</v>
      </c>
      <c r="G709" s="2" t="s">
        <v>14</v>
      </c>
    </row>
    <row r="710" spans="1:9" x14ac:dyDescent="0.2">
      <c r="A710" s="2" t="s">
        <v>4107</v>
      </c>
      <c r="B710" s="2" t="s">
        <v>1587</v>
      </c>
      <c r="C710" s="2">
        <v>1004.674</v>
      </c>
      <c r="D710" s="2">
        <f>HYPERLINK("http://mcb-m6.bioreg.kyushu-u.ac.jp/M3/20110502/F51179/3138/1", 117.41)</f>
        <v>117.41</v>
      </c>
      <c r="E710" s="2">
        <v>103.04</v>
      </c>
      <c r="F710" s="2">
        <v>2</v>
      </c>
      <c r="G710" s="2" t="s">
        <v>14</v>
      </c>
    </row>
    <row r="711" spans="1:9" x14ac:dyDescent="0.2">
      <c r="A711" s="2" t="s">
        <v>3632</v>
      </c>
      <c r="B711" s="2" t="s">
        <v>547</v>
      </c>
      <c r="C711" s="2">
        <v>800.33320000000003</v>
      </c>
      <c r="D711" s="2">
        <f>HYPERLINK("http://mcb-m6.bioreg.kyushu-u.ac.jp/M3/20110411/F50911/2435/1", 44.56)</f>
        <v>44.56</v>
      </c>
      <c r="E711" s="2">
        <v>29</v>
      </c>
      <c r="F711" s="2">
        <v>2</v>
      </c>
      <c r="G711" s="2" t="s">
        <v>9</v>
      </c>
      <c r="I711" s="2" t="s">
        <v>4923</v>
      </c>
    </row>
    <row r="712" spans="1:9" x14ac:dyDescent="0.2">
      <c r="A712" s="2" t="s">
        <v>3632</v>
      </c>
      <c r="B712" s="2" t="s">
        <v>547</v>
      </c>
      <c r="C712" s="2">
        <v>800.10770000000002</v>
      </c>
      <c r="D712" s="2">
        <f>HYPERLINK("http://mcb-m6.bioreg.kyushu-u.ac.jp/M3/20110502/F51179/2132/1", 57.82)</f>
        <v>57.82</v>
      </c>
      <c r="E712" s="2">
        <v>45.74</v>
      </c>
      <c r="F712" s="2">
        <v>2</v>
      </c>
      <c r="G712" s="2" t="s">
        <v>14</v>
      </c>
      <c r="I712" s="2" t="s">
        <v>4923</v>
      </c>
    </row>
    <row r="713" spans="1:9" x14ac:dyDescent="0.2">
      <c r="A713" s="2" t="s">
        <v>3539</v>
      </c>
      <c r="B713" s="2" t="s">
        <v>393</v>
      </c>
      <c r="C713" s="2">
        <v>895.77620000000002</v>
      </c>
      <c r="D713" s="2">
        <f>HYPERLINK("http://mcb-m6.bioreg.kyushu-u.ac.jp/M3/20110411/F50919/2436/1", 41.04)</f>
        <v>41.04</v>
      </c>
      <c r="E713" s="2">
        <v>24.36</v>
      </c>
      <c r="F713" s="2">
        <v>2</v>
      </c>
      <c r="G713" s="2" t="s">
        <v>9</v>
      </c>
    </row>
    <row r="714" spans="1:9" x14ac:dyDescent="0.2">
      <c r="A714" s="2" t="s">
        <v>3539</v>
      </c>
      <c r="B714" s="2" t="s">
        <v>393</v>
      </c>
      <c r="C714" s="2">
        <v>896.50210000000004</v>
      </c>
      <c r="D714" s="2">
        <f>HYPERLINK("http://mcb-m6.bioreg.kyushu-u.ac.jp/M3/20110411/F50919/2443/1", 47.65)</f>
        <v>47.65</v>
      </c>
      <c r="E714" s="2">
        <v>19.350000000000001</v>
      </c>
      <c r="F714" s="2">
        <v>2</v>
      </c>
      <c r="G714" s="2" t="s">
        <v>9</v>
      </c>
    </row>
    <row r="715" spans="1:9" x14ac:dyDescent="0.2">
      <c r="A715" s="2" t="s">
        <v>3539</v>
      </c>
      <c r="B715" s="2" t="s">
        <v>393</v>
      </c>
      <c r="C715" s="2">
        <v>896.50459999999998</v>
      </c>
      <c r="D715" s="2">
        <f>HYPERLINK("http://mcb-m6.bioreg.kyushu-u.ac.jp/M3/20110411/F50894/2780/1", 56)</f>
        <v>56</v>
      </c>
      <c r="E715" s="2">
        <v>27.7</v>
      </c>
      <c r="F715" s="2">
        <v>2</v>
      </c>
      <c r="G715" s="2" t="s">
        <v>9</v>
      </c>
    </row>
    <row r="716" spans="1:9" x14ac:dyDescent="0.2">
      <c r="A716" s="2" t="s">
        <v>3539</v>
      </c>
      <c r="B716" s="2" t="s">
        <v>393</v>
      </c>
      <c r="C716" s="2">
        <v>896.37459999999999</v>
      </c>
      <c r="D716" s="2">
        <f>HYPERLINK("http://mcb-m6.bioreg.kyushu-u.ac.jp/M3/20110411/F50919/2442/1", 64.86)</f>
        <v>64.86</v>
      </c>
      <c r="E716" s="2">
        <v>39.090000000000003</v>
      </c>
      <c r="F716" s="2">
        <v>2</v>
      </c>
      <c r="G716" s="2" t="s">
        <v>9</v>
      </c>
    </row>
    <row r="717" spans="1:9" x14ac:dyDescent="0.2">
      <c r="A717" s="2" t="s">
        <v>3539</v>
      </c>
      <c r="B717" s="2" t="s">
        <v>393</v>
      </c>
      <c r="C717" s="2">
        <v>896.50869999999998</v>
      </c>
      <c r="D717" s="2">
        <f>HYPERLINK("http://mcb-m6.bioreg.kyushu-u.ac.jp/M3/20110411/F50919/2444/1", 74.23)</f>
        <v>74.23</v>
      </c>
      <c r="E717" s="2">
        <v>38.020000000000003</v>
      </c>
      <c r="F717" s="2">
        <v>2</v>
      </c>
      <c r="G717" s="2" t="s">
        <v>9</v>
      </c>
    </row>
    <row r="718" spans="1:9" x14ac:dyDescent="0.2">
      <c r="A718" s="2" t="s">
        <v>3539</v>
      </c>
      <c r="B718" s="2" t="s">
        <v>393</v>
      </c>
      <c r="C718" s="2">
        <v>1790.9570000000001</v>
      </c>
      <c r="D718" s="2">
        <f>HYPERLINK("http://mcb-m6.bioreg.kyushu-u.ac.jp/M3/20110411/F50919/2440/1", 76.39)</f>
        <v>76.39</v>
      </c>
      <c r="E718" s="2">
        <v>52.34</v>
      </c>
      <c r="F718" s="2">
        <v>1</v>
      </c>
      <c r="G718" s="2" t="s">
        <v>9</v>
      </c>
    </row>
    <row r="719" spans="1:9" x14ac:dyDescent="0.2">
      <c r="A719" s="2" t="s">
        <v>3539</v>
      </c>
      <c r="B719" s="2" t="s">
        <v>393</v>
      </c>
      <c r="C719" s="2">
        <v>896.38959999999997</v>
      </c>
      <c r="D719" s="2">
        <f>HYPERLINK("http://mcb-m6.bioreg.kyushu-u.ac.jp/M3/20110411/F50892/2818/1", 76.42)</f>
        <v>76.42</v>
      </c>
      <c r="E719" s="2">
        <v>51.8</v>
      </c>
      <c r="F719" s="2">
        <v>2</v>
      </c>
      <c r="G719" s="2" t="s">
        <v>9</v>
      </c>
    </row>
    <row r="720" spans="1:9" x14ac:dyDescent="0.2">
      <c r="A720" s="2" t="s">
        <v>3539</v>
      </c>
      <c r="B720" s="2" t="s">
        <v>393</v>
      </c>
      <c r="C720" s="2">
        <v>598.00210000000004</v>
      </c>
      <c r="D720" s="2">
        <f>HYPERLINK("http://mcb-m6.bioreg.kyushu-u.ac.jp/M3/20110411/F50904/2730/1", 78.13)</f>
        <v>78.13</v>
      </c>
      <c r="E720" s="2">
        <v>56.98</v>
      </c>
      <c r="F720" s="2">
        <v>3</v>
      </c>
      <c r="G720" s="2" t="s">
        <v>9</v>
      </c>
    </row>
    <row r="721" spans="1:7" x14ac:dyDescent="0.2">
      <c r="A721" s="2" t="s">
        <v>3539</v>
      </c>
      <c r="B721" s="2" t="s">
        <v>393</v>
      </c>
      <c r="C721" s="2">
        <v>1791.039</v>
      </c>
      <c r="D721" s="2">
        <f>HYPERLINK("http://mcb-m6.bioreg.kyushu-u.ac.jp/M3/20110411/F50904/2729/1", 79.48)</f>
        <v>79.48</v>
      </c>
      <c r="E721" s="2">
        <v>55.46</v>
      </c>
      <c r="F721" s="2">
        <v>1</v>
      </c>
      <c r="G721" s="2" t="s">
        <v>9</v>
      </c>
    </row>
    <row r="722" spans="1:7" x14ac:dyDescent="0.2">
      <c r="A722" s="2" t="s">
        <v>3539</v>
      </c>
      <c r="B722" s="2" t="s">
        <v>393</v>
      </c>
      <c r="C722" s="2">
        <v>896.22810000000004</v>
      </c>
      <c r="D722" s="2">
        <f>HYPERLINK("http://mcb-m6.bioreg.kyushu-u.ac.jp/M3/20110411/F50889/2671/1", 96.57)</f>
        <v>96.57</v>
      </c>
      <c r="E722" s="2">
        <v>60.98</v>
      </c>
      <c r="F722" s="2">
        <v>2</v>
      </c>
      <c r="G722" s="2" t="s">
        <v>9</v>
      </c>
    </row>
    <row r="723" spans="1:7" x14ac:dyDescent="0.2">
      <c r="A723" s="2" t="s">
        <v>3539</v>
      </c>
      <c r="B723" s="2" t="s">
        <v>393</v>
      </c>
      <c r="C723" s="2">
        <v>895.87120000000004</v>
      </c>
      <c r="D723" s="2">
        <f>HYPERLINK("http://mcb-m6.bioreg.kyushu-u.ac.jp/M3/20110411/F50892/2816/1", 102.97)</f>
        <v>102.97</v>
      </c>
      <c r="E723" s="2">
        <v>78.56</v>
      </c>
      <c r="F723" s="2">
        <v>2</v>
      </c>
      <c r="G723" s="2" t="s">
        <v>9</v>
      </c>
    </row>
    <row r="724" spans="1:7" x14ac:dyDescent="0.2">
      <c r="A724" s="2" t="s">
        <v>3539</v>
      </c>
      <c r="B724" s="2" t="s">
        <v>393</v>
      </c>
      <c r="C724" s="2">
        <v>895.97360000000003</v>
      </c>
      <c r="D724" s="2">
        <f>HYPERLINK("http://mcb-m6.bioreg.kyushu-u.ac.jp/M3/20110411/F50919/2439/1", 109.61)</f>
        <v>109.61</v>
      </c>
      <c r="E724" s="2">
        <v>86.79</v>
      </c>
      <c r="F724" s="2">
        <v>2</v>
      </c>
      <c r="G724" s="2" t="s">
        <v>9</v>
      </c>
    </row>
    <row r="725" spans="1:7" x14ac:dyDescent="0.2">
      <c r="A725" s="2" t="s">
        <v>3539</v>
      </c>
      <c r="B725" s="2" t="s">
        <v>393</v>
      </c>
      <c r="C725" s="2">
        <v>895.92409999999995</v>
      </c>
      <c r="D725" s="2">
        <f>HYPERLINK("http://mcb-m6.bioreg.kyushu-u.ac.jp/M3/20110411/F50921/2488/1", 39.68)</f>
        <v>39.68</v>
      </c>
      <c r="E725" s="2">
        <v>29.95</v>
      </c>
      <c r="F725" s="2">
        <v>2</v>
      </c>
      <c r="G725" s="2" t="s">
        <v>10</v>
      </c>
    </row>
    <row r="726" spans="1:7" x14ac:dyDescent="0.2">
      <c r="A726" s="2" t="s">
        <v>3539</v>
      </c>
      <c r="B726" s="2" t="s">
        <v>393</v>
      </c>
      <c r="C726" s="2">
        <v>896.10019999999997</v>
      </c>
      <c r="D726" s="2">
        <f>HYPERLINK("http://mcb-m6.bioreg.kyushu-u.ac.jp/M3/20110411/F50896/2712/1", 47.47)</f>
        <v>47.47</v>
      </c>
      <c r="E726" s="2">
        <v>28.34</v>
      </c>
      <c r="F726" s="2">
        <v>2</v>
      </c>
      <c r="G726" s="2" t="s">
        <v>10</v>
      </c>
    </row>
    <row r="727" spans="1:7" x14ac:dyDescent="0.2">
      <c r="A727" s="2" t="s">
        <v>3539</v>
      </c>
      <c r="B727" s="2" t="s">
        <v>393</v>
      </c>
      <c r="C727" s="2">
        <v>896.43520000000001</v>
      </c>
      <c r="D727" s="2">
        <f>HYPERLINK("http://mcb-m6.bioreg.kyushu-u.ac.jp/M3/20110411/F50918/2611/1", 56.35)</f>
        <v>56.35</v>
      </c>
      <c r="E727" s="2">
        <v>33.86</v>
      </c>
      <c r="F727" s="2">
        <v>2</v>
      </c>
      <c r="G727" s="2" t="s">
        <v>10</v>
      </c>
    </row>
    <row r="728" spans="1:7" x14ac:dyDescent="0.2">
      <c r="A728" s="2" t="s">
        <v>3539</v>
      </c>
      <c r="B728" s="2" t="s">
        <v>393</v>
      </c>
      <c r="C728" s="2">
        <v>597.59820000000002</v>
      </c>
      <c r="D728" s="2">
        <f>HYPERLINK("http://mcb-m6.bioreg.kyushu-u.ac.jp/M3/20110411/F50921/2487/1", 57.57)</f>
        <v>57.57</v>
      </c>
      <c r="E728" s="2">
        <v>42.3</v>
      </c>
      <c r="F728" s="2">
        <v>3</v>
      </c>
      <c r="G728" s="2" t="s">
        <v>10</v>
      </c>
    </row>
    <row r="729" spans="1:7" x14ac:dyDescent="0.2">
      <c r="A729" s="2" t="s">
        <v>3539</v>
      </c>
      <c r="B729" s="2" t="s">
        <v>393</v>
      </c>
      <c r="C729" s="2">
        <v>896.47810000000004</v>
      </c>
      <c r="D729" s="2">
        <f>HYPERLINK("http://mcb-m6.bioreg.kyushu-u.ac.jp/M3/20110411/F50921/2493/1", 61.16)</f>
        <v>61.16</v>
      </c>
      <c r="E729" s="2">
        <v>34.57</v>
      </c>
      <c r="F729" s="2">
        <v>2</v>
      </c>
      <c r="G729" s="2" t="s">
        <v>10</v>
      </c>
    </row>
    <row r="730" spans="1:7" x14ac:dyDescent="0.2">
      <c r="A730" s="2" t="s">
        <v>3539</v>
      </c>
      <c r="B730" s="2" t="s">
        <v>393</v>
      </c>
      <c r="C730" s="2">
        <v>1790.913</v>
      </c>
      <c r="D730" s="2">
        <f>HYPERLINK("http://mcb-m6.bioreg.kyushu-u.ac.jp/M3/20110411/F50921/2489/1", 62.12)</f>
        <v>62.12</v>
      </c>
      <c r="E730" s="2">
        <v>48.42</v>
      </c>
      <c r="F730" s="2">
        <v>1</v>
      </c>
      <c r="G730" s="2" t="s">
        <v>10</v>
      </c>
    </row>
    <row r="731" spans="1:7" x14ac:dyDescent="0.2">
      <c r="A731" s="2" t="s">
        <v>3539</v>
      </c>
      <c r="B731" s="2" t="s">
        <v>393</v>
      </c>
      <c r="C731" s="2">
        <v>895.98569999999995</v>
      </c>
      <c r="D731" s="2">
        <f>HYPERLINK("http://mcb-m6.bioreg.kyushu-u.ac.jp/M3/20110411/F50917/2869/1", 69.01)</f>
        <v>69.010000000000005</v>
      </c>
      <c r="E731" s="2">
        <v>50.16</v>
      </c>
      <c r="F731" s="2">
        <v>2</v>
      </c>
      <c r="G731" s="2" t="s">
        <v>10</v>
      </c>
    </row>
    <row r="732" spans="1:7" x14ac:dyDescent="0.2">
      <c r="A732" s="2" t="s">
        <v>3539</v>
      </c>
      <c r="B732" s="2" t="s">
        <v>393</v>
      </c>
      <c r="C732" s="2">
        <v>896.5222</v>
      </c>
      <c r="D732" s="2">
        <f>HYPERLINK("http://mcb-m6.bioreg.kyushu-u.ac.jp/M3/20110411/F50899/2661/1", 73.05)</f>
        <v>73.05</v>
      </c>
      <c r="E732" s="2">
        <v>44.39</v>
      </c>
      <c r="F732" s="2">
        <v>2</v>
      </c>
      <c r="G732" s="2" t="s">
        <v>10</v>
      </c>
    </row>
    <row r="733" spans="1:7" x14ac:dyDescent="0.2">
      <c r="A733" s="2" t="s">
        <v>3539</v>
      </c>
      <c r="B733" s="2" t="s">
        <v>393</v>
      </c>
      <c r="C733" s="2">
        <v>896.53269999999998</v>
      </c>
      <c r="D733" s="2">
        <f>HYPERLINK("http://mcb-m6.bioreg.kyushu-u.ac.jp/M3/20110411/F50901/2678/1", 76.4)</f>
        <v>76.400000000000006</v>
      </c>
      <c r="E733" s="2">
        <v>45.4</v>
      </c>
      <c r="F733" s="2">
        <v>2</v>
      </c>
      <c r="G733" s="2" t="s">
        <v>10</v>
      </c>
    </row>
    <row r="734" spans="1:7" x14ac:dyDescent="0.2">
      <c r="A734" s="2" t="s">
        <v>3539</v>
      </c>
      <c r="B734" s="2" t="s">
        <v>393</v>
      </c>
      <c r="C734" s="2">
        <v>896.47059999999999</v>
      </c>
      <c r="D734" s="2">
        <f>HYPERLINK("http://mcb-m6.bioreg.kyushu-u.ac.jp/M3/20110411/F50921/2492/1", 76.94)</f>
        <v>76.94</v>
      </c>
      <c r="E734" s="2">
        <v>54.21</v>
      </c>
      <c r="F734" s="2">
        <v>2</v>
      </c>
      <c r="G734" s="2" t="s">
        <v>10</v>
      </c>
    </row>
    <row r="735" spans="1:7" x14ac:dyDescent="0.2">
      <c r="A735" s="2" t="s">
        <v>3539</v>
      </c>
      <c r="B735" s="2" t="s">
        <v>393</v>
      </c>
      <c r="C735" s="2">
        <v>895.84670000000006</v>
      </c>
      <c r="D735" s="2">
        <f>HYPERLINK("http://mcb-m6.bioreg.kyushu-u.ac.jp/M3/20110411/F50898/2686/1", 79.91)</f>
        <v>79.91</v>
      </c>
      <c r="E735" s="2">
        <v>57.59</v>
      </c>
      <c r="F735" s="2">
        <v>2</v>
      </c>
      <c r="G735" s="2" t="s">
        <v>10</v>
      </c>
    </row>
    <row r="736" spans="1:7" x14ac:dyDescent="0.2">
      <c r="A736" s="2" t="s">
        <v>3539</v>
      </c>
      <c r="B736" s="2" t="s">
        <v>393</v>
      </c>
      <c r="C736" s="2">
        <v>896.03020000000004</v>
      </c>
      <c r="D736" s="2">
        <f>HYPERLINK("http://mcb-m6.bioreg.kyushu-u.ac.jp/M3/20110411/F50900/2714/1", 80.21)</f>
        <v>80.209999999999994</v>
      </c>
      <c r="E736" s="2">
        <v>59.03</v>
      </c>
      <c r="F736" s="2">
        <v>2</v>
      </c>
      <c r="G736" s="2" t="s">
        <v>10</v>
      </c>
    </row>
    <row r="737" spans="1:7" x14ac:dyDescent="0.2">
      <c r="A737" s="2" t="s">
        <v>3539</v>
      </c>
      <c r="B737" s="2" t="s">
        <v>393</v>
      </c>
      <c r="C737" s="2">
        <v>895.9941</v>
      </c>
      <c r="D737" s="2">
        <f>HYPERLINK("http://mcb-m6.bioreg.kyushu-u.ac.jp/M3/20110411/F50921/2490/1", 80.26)</f>
        <v>80.260000000000005</v>
      </c>
      <c r="E737" s="2">
        <v>56.05</v>
      </c>
      <c r="F737" s="2">
        <v>2</v>
      </c>
      <c r="G737" s="2" t="s">
        <v>10</v>
      </c>
    </row>
    <row r="738" spans="1:7" x14ac:dyDescent="0.2">
      <c r="A738" s="2" t="s">
        <v>3539</v>
      </c>
      <c r="B738" s="2" t="s">
        <v>393</v>
      </c>
      <c r="C738" s="2">
        <v>896.52070000000003</v>
      </c>
      <c r="D738" s="2">
        <f>HYPERLINK("http://mcb-m6.bioreg.kyushu-u.ac.jp/M3/20110411/F50921/2494/1", 87.92)</f>
        <v>87.92</v>
      </c>
      <c r="E738" s="2">
        <v>62.91</v>
      </c>
      <c r="F738" s="2">
        <v>2</v>
      </c>
      <c r="G738" s="2" t="s">
        <v>10</v>
      </c>
    </row>
    <row r="739" spans="1:7" x14ac:dyDescent="0.2">
      <c r="A739" s="2" t="s">
        <v>3539</v>
      </c>
      <c r="B739" s="2" t="s">
        <v>393</v>
      </c>
      <c r="C739" s="2">
        <v>896.32709999999997</v>
      </c>
      <c r="D739" s="2">
        <f>HYPERLINK("http://mcb-m6.bioreg.kyushu-u.ac.jp/M3/20110411/F50902/2782/1", 88.84)</f>
        <v>88.84</v>
      </c>
      <c r="E739" s="2">
        <v>68.42</v>
      </c>
      <c r="F739" s="2">
        <v>2</v>
      </c>
      <c r="G739" s="2" t="s">
        <v>10</v>
      </c>
    </row>
    <row r="740" spans="1:7" x14ac:dyDescent="0.2">
      <c r="A740" s="2" t="s">
        <v>3539</v>
      </c>
      <c r="B740" s="2" t="s">
        <v>393</v>
      </c>
      <c r="C740" s="2">
        <v>896.41920000000005</v>
      </c>
      <c r="D740" s="2">
        <f>HYPERLINK("http://mcb-m6.bioreg.kyushu-u.ac.jp/M3/20110411/F50914/2820/1", 99.33)</f>
        <v>99.33</v>
      </c>
      <c r="E740" s="2">
        <v>75.650000000000006</v>
      </c>
      <c r="F740" s="2">
        <v>2</v>
      </c>
      <c r="G740" s="2" t="s">
        <v>10</v>
      </c>
    </row>
    <row r="741" spans="1:7" x14ac:dyDescent="0.2">
      <c r="A741" s="2" t="s">
        <v>3539</v>
      </c>
      <c r="B741" s="2" t="s">
        <v>393</v>
      </c>
      <c r="C741" s="2">
        <v>896.14570000000003</v>
      </c>
      <c r="D741" s="2">
        <f>HYPERLINK("http://mcb-m6.bioreg.kyushu-u.ac.jp/M3/20110411/F50912/2744/1", 116.25)</f>
        <v>116.25</v>
      </c>
      <c r="E741" s="2">
        <v>92.12</v>
      </c>
      <c r="F741" s="2">
        <v>2</v>
      </c>
      <c r="G741" s="2" t="s">
        <v>10</v>
      </c>
    </row>
    <row r="742" spans="1:7" x14ac:dyDescent="0.2">
      <c r="A742" s="2" t="s">
        <v>3539</v>
      </c>
      <c r="B742" s="2" t="s">
        <v>393</v>
      </c>
      <c r="C742" s="2">
        <v>895.81460000000004</v>
      </c>
      <c r="D742" s="2">
        <f>HYPERLINK("http://mcb-m6.bioreg.kyushu-u.ac.jp/M3/20110414/F50945/2770/1", 37.08)</f>
        <v>37.08</v>
      </c>
      <c r="E742" s="2">
        <v>14.54</v>
      </c>
      <c r="F742" s="2">
        <v>2</v>
      </c>
      <c r="G742" s="2" t="s">
        <v>11</v>
      </c>
    </row>
    <row r="743" spans="1:7" x14ac:dyDescent="0.2">
      <c r="A743" s="2" t="s">
        <v>3539</v>
      </c>
      <c r="B743" s="2" t="s">
        <v>393</v>
      </c>
      <c r="C743" s="2">
        <v>895.81269999999995</v>
      </c>
      <c r="D743" s="2">
        <f>HYPERLINK("http://mcb-m6.bioreg.kyushu-u.ac.jp/M3/20110414/F50941/2923/1", 38.29)</f>
        <v>38.29</v>
      </c>
      <c r="E743" s="2">
        <v>18.47</v>
      </c>
      <c r="F743" s="2">
        <v>2</v>
      </c>
      <c r="G743" s="2" t="s">
        <v>11</v>
      </c>
    </row>
    <row r="744" spans="1:7" x14ac:dyDescent="0.2">
      <c r="A744" s="2" t="s">
        <v>3539</v>
      </c>
      <c r="B744" s="2" t="s">
        <v>393</v>
      </c>
      <c r="C744" s="2">
        <v>895.80909999999994</v>
      </c>
      <c r="D744" s="2">
        <f>HYPERLINK("http://mcb-m6.bioreg.kyushu-u.ac.jp/M3/20110414/F50941/2922/1", 39.32)</f>
        <v>39.32</v>
      </c>
      <c r="E744" s="2">
        <v>16.739999999999998</v>
      </c>
      <c r="F744" s="2">
        <v>2</v>
      </c>
      <c r="G744" s="2" t="s">
        <v>11</v>
      </c>
    </row>
    <row r="745" spans="1:7" x14ac:dyDescent="0.2">
      <c r="A745" s="2" t="s">
        <v>3539</v>
      </c>
      <c r="B745" s="2" t="s">
        <v>393</v>
      </c>
      <c r="C745" s="2">
        <v>895.8152</v>
      </c>
      <c r="D745" s="2">
        <f>HYPERLINK("http://mcb-m6.bioreg.kyushu-u.ac.jp/M3/20110414/F50941/2924/1", 41.95)</f>
        <v>41.95</v>
      </c>
      <c r="E745" s="2">
        <v>30.9</v>
      </c>
      <c r="F745" s="2">
        <v>2</v>
      </c>
      <c r="G745" s="2" t="s">
        <v>11</v>
      </c>
    </row>
    <row r="746" spans="1:7" x14ac:dyDescent="0.2">
      <c r="A746" s="2" t="s">
        <v>3539</v>
      </c>
      <c r="B746" s="2" t="s">
        <v>393</v>
      </c>
      <c r="C746" s="2">
        <v>895.79110000000003</v>
      </c>
      <c r="D746" s="2">
        <f>HYPERLINK("http://mcb-m6.bioreg.kyushu-u.ac.jp/M3/20110414/F50928/2957/1", 42.85)</f>
        <v>42.85</v>
      </c>
      <c r="E746" s="2">
        <v>25.96</v>
      </c>
      <c r="F746" s="2">
        <v>2</v>
      </c>
      <c r="G746" s="2" t="s">
        <v>11</v>
      </c>
    </row>
    <row r="747" spans="1:7" x14ac:dyDescent="0.2">
      <c r="A747" s="2" t="s">
        <v>3539</v>
      </c>
      <c r="B747" s="2" t="s">
        <v>393</v>
      </c>
      <c r="C747" s="2">
        <v>896.3981</v>
      </c>
      <c r="D747" s="2">
        <f>HYPERLINK("http://mcb-m6.bioreg.kyushu-u.ac.jp/M3/20110414/F50943/2701/1", 43.15)</f>
        <v>43.15</v>
      </c>
      <c r="E747" s="2">
        <v>26.92</v>
      </c>
      <c r="F747" s="2">
        <v>2</v>
      </c>
      <c r="G747" s="2" t="s">
        <v>11</v>
      </c>
    </row>
    <row r="748" spans="1:7" x14ac:dyDescent="0.2">
      <c r="A748" s="2" t="s">
        <v>3539</v>
      </c>
      <c r="B748" s="2" t="s">
        <v>393</v>
      </c>
      <c r="C748" s="2">
        <v>896.09519999999998</v>
      </c>
      <c r="D748" s="2">
        <f>HYPERLINK("http://mcb-m6.bioreg.kyushu-u.ac.jp/M3/20110414/F50925/2664/1", 45.37)</f>
        <v>45.37</v>
      </c>
      <c r="E748" s="2">
        <v>27.27</v>
      </c>
      <c r="F748" s="2">
        <v>2</v>
      </c>
      <c r="G748" s="2" t="s">
        <v>11</v>
      </c>
    </row>
    <row r="749" spans="1:7" x14ac:dyDescent="0.2">
      <c r="A749" s="2" t="s">
        <v>3539</v>
      </c>
      <c r="B749" s="2" t="s">
        <v>393</v>
      </c>
      <c r="C749" s="2">
        <v>896.34810000000004</v>
      </c>
      <c r="D749" s="2">
        <f>HYPERLINK("http://mcb-m6.bioreg.kyushu-u.ac.jp/M3/20110414/F50941/2929/1", 49.74)</f>
        <v>49.74</v>
      </c>
      <c r="E749" s="2">
        <v>24.66</v>
      </c>
      <c r="F749" s="2">
        <v>2</v>
      </c>
      <c r="G749" s="2" t="s">
        <v>11</v>
      </c>
    </row>
    <row r="750" spans="1:7" x14ac:dyDescent="0.2">
      <c r="A750" s="2" t="s">
        <v>3539</v>
      </c>
      <c r="B750" s="2" t="s">
        <v>393</v>
      </c>
      <c r="C750" s="2">
        <v>895.76919999999996</v>
      </c>
      <c r="D750" s="2">
        <f>HYPERLINK("http://mcb-m6.bioreg.kyushu-u.ac.jp/M3/20110414/F50962/2535/1", 51.9)</f>
        <v>51.9</v>
      </c>
      <c r="E750" s="2">
        <v>36.520000000000003</v>
      </c>
      <c r="F750" s="2">
        <v>2</v>
      </c>
      <c r="G750" s="2" t="s">
        <v>11</v>
      </c>
    </row>
    <row r="751" spans="1:7" x14ac:dyDescent="0.2">
      <c r="A751" s="2" t="s">
        <v>3539</v>
      </c>
      <c r="B751" s="2" t="s">
        <v>393</v>
      </c>
      <c r="C751" s="2">
        <v>597.43880000000001</v>
      </c>
      <c r="D751" s="2">
        <f>HYPERLINK("http://mcb-m6.bioreg.kyushu-u.ac.jp/M3/20110414/F50962/2529/1", 52.08)</f>
        <v>52.08</v>
      </c>
      <c r="E751" s="2">
        <v>40.840000000000003</v>
      </c>
      <c r="F751" s="2">
        <v>3</v>
      </c>
      <c r="G751" s="2" t="s">
        <v>11</v>
      </c>
    </row>
    <row r="752" spans="1:7" x14ac:dyDescent="0.2">
      <c r="A752" s="2" t="s">
        <v>3539</v>
      </c>
      <c r="B752" s="2" t="s">
        <v>393</v>
      </c>
      <c r="C752" s="2">
        <v>896.31320000000005</v>
      </c>
      <c r="D752" s="2">
        <f>HYPERLINK("http://mcb-m6.bioreg.kyushu-u.ac.jp/M3/20110414/F50928/2963/1", 53.48)</f>
        <v>53.48</v>
      </c>
      <c r="E752" s="2">
        <v>27.23</v>
      </c>
      <c r="F752" s="2">
        <v>2</v>
      </c>
      <c r="G752" s="2" t="s">
        <v>11</v>
      </c>
    </row>
    <row r="753" spans="1:7" x14ac:dyDescent="0.2">
      <c r="A753" s="2" t="s">
        <v>3539</v>
      </c>
      <c r="B753" s="2" t="s">
        <v>393</v>
      </c>
      <c r="C753" s="2">
        <v>895.69619999999998</v>
      </c>
      <c r="D753" s="2">
        <f>HYPERLINK("http://mcb-m6.bioreg.kyushu-u.ac.jp/M3/20110414/F50962/2530/1", 55.01)</f>
        <v>55.01</v>
      </c>
      <c r="E753" s="2">
        <v>33.409999999999997</v>
      </c>
      <c r="F753" s="2">
        <v>2</v>
      </c>
      <c r="G753" s="2" t="s">
        <v>11</v>
      </c>
    </row>
    <row r="754" spans="1:7" x14ac:dyDescent="0.2">
      <c r="A754" s="2" t="s">
        <v>3539</v>
      </c>
      <c r="B754" s="2" t="s">
        <v>393</v>
      </c>
      <c r="C754" s="2">
        <v>896.43820000000005</v>
      </c>
      <c r="D754" s="2">
        <f>HYPERLINK("http://mcb-m6.bioreg.kyushu-u.ac.jp/M3/20110414/F50945/2772/1", 55.37)</f>
        <v>55.37</v>
      </c>
      <c r="E754" s="2">
        <v>29.48</v>
      </c>
      <c r="F754" s="2">
        <v>2</v>
      </c>
      <c r="G754" s="2" t="s">
        <v>11</v>
      </c>
    </row>
    <row r="755" spans="1:7" x14ac:dyDescent="0.2">
      <c r="A755" s="2" t="s">
        <v>3539</v>
      </c>
      <c r="B755" s="2" t="s">
        <v>393</v>
      </c>
      <c r="C755" s="2">
        <v>597.98249999999996</v>
      </c>
      <c r="D755" s="2">
        <f>HYPERLINK("http://mcb-m6.bioreg.kyushu-u.ac.jp/M3/20110414/F50962/2541/1", 55.39)</f>
        <v>55.39</v>
      </c>
      <c r="E755" s="2">
        <v>35.950000000000003</v>
      </c>
      <c r="F755" s="2">
        <v>3</v>
      </c>
      <c r="G755" s="2" t="s">
        <v>11</v>
      </c>
    </row>
    <row r="756" spans="1:7" x14ac:dyDescent="0.2">
      <c r="A756" s="2" t="s">
        <v>3539</v>
      </c>
      <c r="B756" s="2" t="s">
        <v>393</v>
      </c>
      <c r="C756" s="2">
        <v>896.34059999999999</v>
      </c>
      <c r="D756" s="2">
        <f>HYPERLINK("http://mcb-m6.bioreg.kyushu-u.ac.jp/M3/20110414/F50928/2964/1", 56)</f>
        <v>56</v>
      </c>
      <c r="E756" s="2">
        <v>36.03</v>
      </c>
      <c r="F756" s="2">
        <v>2</v>
      </c>
      <c r="G756" s="2" t="s">
        <v>11</v>
      </c>
    </row>
    <row r="757" spans="1:7" x14ac:dyDescent="0.2">
      <c r="A757" s="2" t="s">
        <v>3539</v>
      </c>
      <c r="B757" s="2" t="s">
        <v>393</v>
      </c>
      <c r="C757" s="2">
        <v>597.54150000000004</v>
      </c>
      <c r="D757" s="2">
        <f>HYPERLINK("http://mcb-m6.bioreg.kyushu-u.ac.jp/M3/20110414/F50941/2921/1", 56.94)</f>
        <v>56.94</v>
      </c>
      <c r="E757" s="2">
        <v>29.6</v>
      </c>
      <c r="F757" s="2">
        <v>3</v>
      </c>
      <c r="G757" s="2" t="s">
        <v>11</v>
      </c>
    </row>
    <row r="758" spans="1:7" x14ac:dyDescent="0.2">
      <c r="A758" s="2" t="s">
        <v>3539</v>
      </c>
      <c r="B758" s="2" t="s">
        <v>393</v>
      </c>
      <c r="C758" s="2">
        <v>896.0566</v>
      </c>
      <c r="D758" s="2">
        <f>HYPERLINK("http://mcb-m6.bioreg.kyushu-u.ac.jp/M3/20110414/F50927/2885/1", 56.98)</f>
        <v>56.98</v>
      </c>
      <c r="E758" s="2">
        <v>31.14</v>
      </c>
      <c r="F758" s="2">
        <v>2</v>
      </c>
      <c r="G758" s="2" t="s">
        <v>11</v>
      </c>
    </row>
    <row r="759" spans="1:7" x14ac:dyDescent="0.2">
      <c r="A759" s="2" t="s">
        <v>3539</v>
      </c>
      <c r="B759" s="2" t="s">
        <v>393</v>
      </c>
      <c r="C759" s="2">
        <v>896.02869999999996</v>
      </c>
      <c r="D759" s="2">
        <f>HYPERLINK("http://mcb-m6.bioreg.kyushu-u.ac.jp/M3/20110414/F50926/2653/1", 59.52)</f>
        <v>59.52</v>
      </c>
      <c r="E759" s="2">
        <v>33.86</v>
      </c>
      <c r="F759" s="2">
        <v>2</v>
      </c>
      <c r="G759" s="2" t="s">
        <v>11</v>
      </c>
    </row>
    <row r="760" spans="1:7" x14ac:dyDescent="0.2">
      <c r="A760" s="2" t="s">
        <v>3539</v>
      </c>
      <c r="B760" s="2" t="s">
        <v>393</v>
      </c>
      <c r="C760" s="2">
        <v>597.85149999999999</v>
      </c>
      <c r="D760" s="2">
        <f>HYPERLINK("http://mcb-m6.bioreg.kyushu-u.ac.jp/M3/20110414/F50928/2961/1", 60.26)</f>
        <v>60.26</v>
      </c>
      <c r="E760" s="2">
        <v>41.43</v>
      </c>
      <c r="F760" s="2">
        <v>3</v>
      </c>
      <c r="G760" s="2" t="s">
        <v>11</v>
      </c>
    </row>
    <row r="761" spans="1:7" x14ac:dyDescent="0.2">
      <c r="A761" s="2" t="s">
        <v>3539</v>
      </c>
      <c r="B761" s="2" t="s">
        <v>393</v>
      </c>
      <c r="C761" s="2">
        <v>896.2441</v>
      </c>
      <c r="D761" s="2">
        <f>HYPERLINK("http://mcb-m6.bioreg.kyushu-u.ac.jp/M3/20110414/F50941/2925/1", 63.53)</f>
        <v>63.53</v>
      </c>
      <c r="E761" s="2">
        <v>39.880000000000003</v>
      </c>
      <c r="F761" s="2">
        <v>2</v>
      </c>
      <c r="G761" s="2" t="s">
        <v>11</v>
      </c>
    </row>
    <row r="762" spans="1:7" x14ac:dyDescent="0.2">
      <c r="A762" s="2" t="s">
        <v>3539</v>
      </c>
      <c r="B762" s="2" t="s">
        <v>393</v>
      </c>
      <c r="C762" s="2">
        <v>895.80160000000001</v>
      </c>
      <c r="D762" s="2">
        <f>HYPERLINK("http://mcb-m6.bioreg.kyushu-u.ac.jp/M3/20110414/F50941/2920/1", 65.13)</f>
        <v>65.13</v>
      </c>
      <c r="E762" s="2">
        <v>42.17</v>
      </c>
      <c r="F762" s="2">
        <v>2</v>
      </c>
      <c r="G762" s="2" t="s">
        <v>11</v>
      </c>
    </row>
    <row r="763" spans="1:7" x14ac:dyDescent="0.2">
      <c r="A763" s="2" t="s">
        <v>3539</v>
      </c>
      <c r="B763" s="2" t="s">
        <v>393</v>
      </c>
      <c r="C763" s="2">
        <v>895.76170000000002</v>
      </c>
      <c r="D763" s="2">
        <f>HYPERLINK("http://mcb-m6.bioreg.kyushu-u.ac.jp/M3/20110414/F50962/2534/1", 70.68)</f>
        <v>70.680000000000007</v>
      </c>
      <c r="E763" s="2">
        <v>48.68</v>
      </c>
      <c r="F763" s="2">
        <v>2</v>
      </c>
      <c r="G763" s="2" t="s">
        <v>11</v>
      </c>
    </row>
    <row r="764" spans="1:7" x14ac:dyDescent="0.2">
      <c r="A764" s="2" t="s">
        <v>3539</v>
      </c>
      <c r="B764" s="2" t="s">
        <v>393</v>
      </c>
      <c r="C764" s="2">
        <v>896.45370000000003</v>
      </c>
      <c r="D764" s="2">
        <f>HYPERLINK("http://mcb-m6.bioreg.kyushu-u.ac.jp/M3/20110414/F50941/2931/1", 72.97)</f>
        <v>72.97</v>
      </c>
      <c r="E764" s="2">
        <v>48.01</v>
      </c>
      <c r="F764" s="2">
        <v>2</v>
      </c>
      <c r="G764" s="2" t="s">
        <v>11</v>
      </c>
    </row>
    <row r="765" spans="1:7" x14ac:dyDescent="0.2">
      <c r="A765" s="2" t="s">
        <v>3539</v>
      </c>
      <c r="B765" s="2" t="s">
        <v>393</v>
      </c>
      <c r="C765" s="2">
        <v>896.26319999999998</v>
      </c>
      <c r="D765" s="2">
        <f>HYPERLINK("http://mcb-m6.bioreg.kyushu-u.ac.jp/M3/20110414/F50929/2755/1", 74.04)</f>
        <v>74.040000000000006</v>
      </c>
      <c r="E765" s="2">
        <v>50.03</v>
      </c>
      <c r="F765" s="2">
        <v>2</v>
      </c>
      <c r="G765" s="2" t="s">
        <v>11</v>
      </c>
    </row>
    <row r="766" spans="1:7" x14ac:dyDescent="0.2">
      <c r="A766" s="2" t="s">
        <v>3539</v>
      </c>
      <c r="B766" s="2" t="s">
        <v>393</v>
      </c>
      <c r="C766" s="2">
        <v>896.22770000000003</v>
      </c>
      <c r="D766" s="2">
        <f>HYPERLINK("http://mcb-m6.bioreg.kyushu-u.ac.jp/M3/20110414/F50924/2766/1", 74.89)</f>
        <v>74.89</v>
      </c>
      <c r="E766" s="2">
        <v>42.88</v>
      </c>
      <c r="F766" s="2">
        <v>2</v>
      </c>
      <c r="G766" s="2" t="s">
        <v>11</v>
      </c>
    </row>
    <row r="767" spans="1:7" x14ac:dyDescent="0.2">
      <c r="A767" s="2" t="s">
        <v>3539</v>
      </c>
      <c r="B767" s="2" t="s">
        <v>393</v>
      </c>
      <c r="C767" s="2">
        <v>895.78970000000004</v>
      </c>
      <c r="D767" s="2">
        <f>HYPERLINK("http://mcb-m6.bioreg.kyushu-u.ac.jp/M3/20110414/F50941/2919/1", 77.64)</f>
        <v>77.64</v>
      </c>
      <c r="E767" s="2">
        <v>53.45</v>
      </c>
      <c r="F767" s="2">
        <v>2</v>
      </c>
      <c r="G767" s="2" t="s">
        <v>11</v>
      </c>
    </row>
    <row r="768" spans="1:7" x14ac:dyDescent="0.2">
      <c r="A768" s="2" t="s">
        <v>3539</v>
      </c>
      <c r="B768" s="2" t="s">
        <v>393</v>
      </c>
      <c r="C768" s="2">
        <v>896.20719999999994</v>
      </c>
      <c r="D768" s="2">
        <f>HYPERLINK("http://mcb-m6.bioreg.kyushu-u.ac.jp/M3/20110414/F50962/2538/1", 80.17)</f>
        <v>80.17</v>
      </c>
      <c r="E768" s="2">
        <v>54.75</v>
      </c>
      <c r="F768" s="2">
        <v>2</v>
      </c>
      <c r="G768" s="2" t="s">
        <v>11</v>
      </c>
    </row>
    <row r="769" spans="1:7" x14ac:dyDescent="0.2">
      <c r="A769" s="2" t="s">
        <v>3539</v>
      </c>
      <c r="B769" s="2" t="s">
        <v>393</v>
      </c>
      <c r="C769" s="2">
        <v>896.03809999999999</v>
      </c>
      <c r="D769" s="2">
        <f>HYPERLINK("http://mcb-m6.bioreg.kyushu-u.ac.jp/M3/20110414/F50927/2884/1", 80.53)</f>
        <v>80.53</v>
      </c>
      <c r="E769" s="2">
        <v>46.84</v>
      </c>
      <c r="F769" s="2">
        <v>2</v>
      </c>
      <c r="G769" s="2" t="s">
        <v>11</v>
      </c>
    </row>
    <row r="770" spans="1:7" x14ac:dyDescent="0.2">
      <c r="A770" s="2" t="s">
        <v>3539</v>
      </c>
      <c r="B770" s="2" t="s">
        <v>393</v>
      </c>
      <c r="C770" s="2">
        <v>895.75869999999998</v>
      </c>
      <c r="D770" s="2">
        <f>HYPERLINK("http://mcb-m6.bioreg.kyushu-u.ac.jp/M3/20110414/F50962/2533/1", 80.91)</f>
        <v>80.91</v>
      </c>
      <c r="E770" s="2">
        <v>60.4</v>
      </c>
      <c r="F770" s="2">
        <v>2</v>
      </c>
      <c r="G770" s="2" t="s">
        <v>11</v>
      </c>
    </row>
    <row r="771" spans="1:7" x14ac:dyDescent="0.2">
      <c r="A771" s="2" t="s">
        <v>3539</v>
      </c>
      <c r="B771" s="2" t="s">
        <v>393</v>
      </c>
      <c r="C771" s="2">
        <v>895.74469999999997</v>
      </c>
      <c r="D771" s="2">
        <f>HYPERLINK("http://mcb-m6.bioreg.kyushu-u.ac.jp/M3/20110414/F50941/2917/1", 81.21)</f>
        <v>81.209999999999994</v>
      </c>
      <c r="E771" s="2">
        <v>59.02</v>
      </c>
      <c r="F771" s="2">
        <v>2</v>
      </c>
      <c r="G771" s="2" t="s">
        <v>11</v>
      </c>
    </row>
    <row r="772" spans="1:7" x14ac:dyDescent="0.2">
      <c r="A772" s="2" t="s">
        <v>3539</v>
      </c>
      <c r="B772" s="2" t="s">
        <v>393</v>
      </c>
      <c r="C772" s="2">
        <v>896.27560000000005</v>
      </c>
      <c r="D772" s="2">
        <f>HYPERLINK("http://mcb-m6.bioreg.kyushu-u.ac.jp/M3/20110414/F50962/2540/1", 83.08)</f>
        <v>83.08</v>
      </c>
      <c r="E772" s="2">
        <v>59.56</v>
      </c>
      <c r="F772" s="2">
        <v>2</v>
      </c>
      <c r="G772" s="2" t="s">
        <v>11</v>
      </c>
    </row>
    <row r="773" spans="1:7" x14ac:dyDescent="0.2">
      <c r="A773" s="2" t="s">
        <v>3539</v>
      </c>
      <c r="B773" s="2" t="s">
        <v>393</v>
      </c>
      <c r="C773" s="2">
        <v>896.41470000000004</v>
      </c>
      <c r="D773" s="2">
        <f>HYPERLINK("http://mcb-m6.bioreg.kyushu-u.ac.jp/M3/20110414/F50941/2930/1", 83.3)</f>
        <v>83.3</v>
      </c>
      <c r="E773" s="2">
        <v>56.62</v>
      </c>
      <c r="F773" s="2">
        <v>2</v>
      </c>
      <c r="G773" s="2" t="s">
        <v>11</v>
      </c>
    </row>
    <row r="774" spans="1:7" x14ac:dyDescent="0.2">
      <c r="A774" s="2" t="s">
        <v>3539</v>
      </c>
      <c r="B774" s="2" t="s">
        <v>393</v>
      </c>
      <c r="C774" s="2">
        <v>896.27170000000001</v>
      </c>
      <c r="D774" s="2">
        <f>HYPERLINK("http://mcb-m6.bioreg.kyushu-u.ac.jp/M3/20110414/F50941/2926/1", 85.18)</f>
        <v>85.18</v>
      </c>
      <c r="E774" s="2">
        <v>59.76</v>
      </c>
      <c r="F774" s="2">
        <v>2</v>
      </c>
      <c r="G774" s="2" t="s">
        <v>11</v>
      </c>
    </row>
    <row r="775" spans="1:7" x14ac:dyDescent="0.2">
      <c r="A775" s="2" t="s">
        <v>3539</v>
      </c>
      <c r="B775" s="2" t="s">
        <v>393</v>
      </c>
      <c r="C775" s="2">
        <v>895.75120000000004</v>
      </c>
      <c r="D775" s="2">
        <f>HYPERLINK("http://mcb-m6.bioreg.kyushu-u.ac.jp/M3/20110414/F50928/2956/1", 89.26)</f>
        <v>89.26</v>
      </c>
      <c r="E775" s="2">
        <v>66.58</v>
      </c>
      <c r="F775" s="2">
        <v>2</v>
      </c>
      <c r="G775" s="2" t="s">
        <v>11</v>
      </c>
    </row>
    <row r="776" spans="1:7" x14ac:dyDescent="0.2">
      <c r="A776" s="2" t="s">
        <v>3539</v>
      </c>
      <c r="B776" s="2" t="s">
        <v>393</v>
      </c>
      <c r="C776" s="2">
        <v>1790.5909999999999</v>
      </c>
      <c r="D776" s="2">
        <f>HYPERLINK("http://mcb-m6.bioreg.kyushu-u.ac.jp/M3/20110414/F50962/2536/1", 92.57)</f>
        <v>92.57</v>
      </c>
      <c r="E776" s="2">
        <v>78.3</v>
      </c>
      <c r="F776" s="2">
        <v>1</v>
      </c>
      <c r="G776" s="2" t="s">
        <v>11</v>
      </c>
    </row>
    <row r="777" spans="1:7" x14ac:dyDescent="0.2">
      <c r="A777" s="2" t="s">
        <v>3539</v>
      </c>
      <c r="B777" s="2" t="s">
        <v>393</v>
      </c>
      <c r="C777" s="2">
        <v>896.23609999999996</v>
      </c>
      <c r="D777" s="2">
        <f>HYPERLINK("http://mcb-m6.bioreg.kyushu-u.ac.jp/M3/20110414/F50962/2539/1", 96.06)</f>
        <v>96.06</v>
      </c>
      <c r="E777" s="2">
        <v>69.650000000000006</v>
      </c>
      <c r="F777" s="2">
        <v>2</v>
      </c>
      <c r="G777" s="2" t="s">
        <v>11</v>
      </c>
    </row>
    <row r="778" spans="1:7" x14ac:dyDescent="0.2">
      <c r="A778" s="2" t="s">
        <v>3539</v>
      </c>
      <c r="B778" s="2" t="s">
        <v>393</v>
      </c>
      <c r="C778" s="2">
        <v>895.72810000000004</v>
      </c>
      <c r="D778" s="2">
        <f>HYPERLINK("http://mcb-m6.bioreg.kyushu-u.ac.jp/M3/20110414/F50962/2531/1", 112.85)</f>
        <v>112.85</v>
      </c>
      <c r="E778" s="2">
        <v>88.22</v>
      </c>
      <c r="F778" s="2">
        <v>2</v>
      </c>
      <c r="G778" s="2" t="s">
        <v>11</v>
      </c>
    </row>
    <row r="779" spans="1:7" x14ac:dyDescent="0.2">
      <c r="A779" s="2" t="s">
        <v>3539</v>
      </c>
      <c r="B779" s="2" t="s">
        <v>393</v>
      </c>
      <c r="C779" s="2">
        <v>896.09810000000004</v>
      </c>
      <c r="D779" s="2">
        <f>HYPERLINK("http://mcb-m6.bioreg.kyushu-u.ac.jp/M3/20110414/F50966/2456/1", 37.07)</f>
        <v>37.07</v>
      </c>
      <c r="E779" s="2">
        <v>18.57</v>
      </c>
      <c r="F779" s="2">
        <v>2</v>
      </c>
      <c r="G779" s="2" t="s">
        <v>12</v>
      </c>
    </row>
    <row r="780" spans="1:7" x14ac:dyDescent="0.2">
      <c r="A780" s="2" t="s">
        <v>3539</v>
      </c>
      <c r="B780" s="2" t="s">
        <v>393</v>
      </c>
      <c r="C780" s="2">
        <v>895.75819999999999</v>
      </c>
      <c r="D780" s="2">
        <f>HYPERLINK("http://mcb-m6.bioreg.kyushu-u.ac.jp/M3/20110414/F50933/3016/1", 37.21)</f>
        <v>37.21</v>
      </c>
      <c r="E780" s="2">
        <v>13.2</v>
      </c>
      <c r="F780" s="2">
        <v>2</v>
      </c>
      <c r="G780" s="2" t="s">
        <v>12</v>
      </c>
    </row>
    <row r="781" spans="1:7" x14ac:dyDescent="0.2">
      <c r="A781" s="2" t="s">
        <v>3539</v>
      </c>
      <c r="B781" s="2" t="s">
        <v>393</v>
      </c>
      <c r="C781" s="2">
        <v>896.45820000000003</v>
      </c>
      <c r="D781" s="2">
        <f>HYPERLINK("http://mcb-m6.bioreg.kyushu-u.ac.jp/M3/20110414/F50946/2796/1", 38.31)</f>
        <v>38.31</v>
      </c>
      <c r="E781" s="2">
        <v>23.34</v>
      </c>
      <c r="F781" s="2">
        <v>2</v>
      </c>
      <c r="G781" s="2" t="s">
        <v>12</v>
      </c>
    </row>
    <row r="782" spans="1:7" x14ac:dyDescent="0.2">
      <c r="A782" s="2" t="s">
        <v>3539</v>
      </c>
      <c r="B782" s="2" t="s">
        <v>393</v>
      </c>
      <c r="C782" s="2">
        <v>896.42909999999995</v>
      </c>
      <c r="D782" s="2">
        <f>HYPERLINK("http://mcb-m6.bioreg.kyushu-u.ac.jp/M3/20110414/F50950/3007/1", 40.83)</f>
        <v>40.83</v>
      </c>
      <c r="E782" s="2">
        <v>13.39</v>
      </c>
      <c r="F782" s="2">
        <v>2</v>
      </c>
      <c r="G782" s="2" t="s">
        <v>12</v>
      </c>
    </row>
    <row r="783" spans="1:7" x14ac:dyDescent="0.2">
      <c r="A783" s="2" t="s">
        <v>3539</v>
      </c>
      <c r="B783" s="2" t="s">
        <v>393</v>
      </c>
      <c r="C783" s="2">
        <v>896.03560000000004</v>
      </c>
      <c r="D783" s="2">
        <f>HYPERLINK("http://mcb-m6.bioreg.kyushu-u.ac.jp/M3/20110414/F50950/3006/1", 41.77)</f>
        <v>41.77</v>
      </c>
      <c r="E783" s="2">
        <v>19.59</v>
      </c>
      <c r="F783" s="2">
        <v>2</v>
      </c>
      <c r="G783" s="2" t="s">
        <v>12</v>
      </c>
    </row>
    <row r="784" spans="1:7" x14ac:dyDescent="0.2">
      <c r="A784" s="2" t="s">
        <v>3539</v>
      </c>
      <c r="B784" s="2" t="s">
        <v>393</v>
      </c>
      <c r="C784" s="2">
        <v>895.91470000000004</v>
      </c>
      <c r="D784" s="2">
        <f>HYPERLINK("http://mcb-m6.bioreg.kyushu-u.ac.jp/M3/20110414/F50947/2879/1", 45.73)</f>
        <v>45.73</v>
      </c>
      <c r="E784" s="2">
        <v>36.46</v>
      </c>
      <c r="F784" s="2">
        <v>2</v>
      </c>
      <c r="G784" s="2" t="s">
        <v>12</v>
      </c>
    </row>
    <row r="785" spans="1:7" x14ac:dyDescent="0.2">
      <c r="A785" s="2" t="s">
        <v>3539</v>
      </c>
      <c r="B785" s="2" t="s">
        <v>393</v>
      </c>
      <c r="C785" s="2">
        <v>896.13459999999998</v>
      </c>
      <c r="D785" s="2">
        <f>HYPERLINK("http://mcb-m6.bioreg.kyushu-u.ac.jp/M3/20110414/F50930/2515/1", 47.59)</f>
        <v>47.59</v>
      </c>
      <c r="E785" s="2">
        <v>29.86</v>
      </c>
      <c r="F785" s="2">
        <v>2</v>
      </c>
      <c r="G785" s="2" t="s">
        <v>12</v>
      </c>
    </row>
    <row r="786" spans="1:7" x14ac:dyDescent="0.2">
      <c r="A786" s="2" t="s">
        <v>3539</v>
      </c>
      <c r="B786" s="2" t="s">
        <v>393</v>
      </c>
      <c r="C786" s="2">
        <v>896.33370000000002</v>
      </c>
      <c r="D786" s="2">
        <f>HYPERLINK("http://mcb-m6.bioreg.kyushu-u.ac.jp/M3/20110414/F50947/2883/1", 54.09)</f>
        <v>54.09</v>
      </c>
      <c r="E786" s="2">
        <v>37.299999999999997</v>
      </c>
      <c r="F786" s="2">
        <v>2</v>
      </c>
      <c r="G786" s="2" t="s">
        <v>12</v>
      </c>
    </row>
    <row r="787" spans="1:7" x14ac:dyDescent="0.2">
      <c r="A787" s="2" t="s">
        <v>3539</v>
      </c>
      <c r="B787" s="2" t="s">
        <v>393</v>
      </c>
      <c r="C787" s="2">
        <v>895.77009999999996</v>
      </c>
      <c r="D787" s="2">
        <f>HYPERLINK("http://mcb-m6.bioreg.kyushu-u.ac.jp/M3/20110414/F50932/2677/1", 54.88)</f>
        <v>54.88</v>
      </c>
      <c r="E787" s="2">
        <v>44.51</v>
      </c>
      <c r="F787" s="2">
        <v>2</v>
      </c>
      <c r="G787" s="2" t="s">
        <v>12</v>
      </c>
    </row>
    <row r="788" spans="1:7" x14ac:dyDescent="0.2">
      <c r="A788" s="2" t="s">
        <v>3539</v>
      </c>
      <c r="B788" s="2" t="s">
        <v>393</v>
      </c>
      <c r="C788" s="2">
        <v>896.12620000000004</v>
      </c>
      <c r="D788" s="2">
        <f>HYPERLINK("http://mcb-m6.bioreg.kyushu-u.ac.jp/M3/20110414/F50948/3003/1", 55.37)</f>
        <v>55.37</v>
      </c>
      <c r="E788" s="2">
        <v>39.14</v>
      </c>
      <c r="F788" s="2">
        <v>2</v>
      </c>
      <c r="G788" s="2" t="s">
        <v>12</v>
      </c>
    </row>
    <row r="789" spans="1:7" x14ac:dyDescent="0.2">
      <c r="A789" s="2" t="s">
        <v>3539</v>
      </c>
      <c r="B789" s="2" t="s">
        <v>393</v>
      </c>
      <c r="C789" s="2">
        <v>896.28520000000003</v>
      </c>
      <c r="D789" s="2">
        <f>HYPERLINK("http://mcb-m6.bioreg.kyushu-u.ac.jp/M3/20110414/F50966/2459/1", 57.15)</f>
        <v>57.15</v>
      </c>
      <c r="E789" s="2">
        <v>39.71</v>
      </c>
      <c r="F789" s="2">
        <v>2</v>
      </c>
      <c r="G789" s="2" t="s">
        <v>12</v>
      </c>
    </row>
    <row r="790" spans="1:7" x14ac:dyDescent="0.2">
      <c r="A790" s="2" t="s">
        <v>3539</v>
      </c>
      <c r="B790" s="2" t="s">
        <v>393</v>
      </c>
      <c r="C790" s="2">
        <v>896.29269999999997</v>
      </c>
      <c r="D790" s="2">
        <f>HYPERLINK("http://mcb-m6.bioreg.kyushu-u.ac.jp/M3/20110414/F50963/2543/1", 61.66)</f>
        <v>61.66</v>
      </c>
      <c r="E790" s="2">
        <v>35.450000000000003</v>
      </c>
      <c r="F790" s="2">
        <v>2</v>
      </c>
      <c r="G790" s="2" t="s">
        <v>12</v>
      </c>
    </row>
    <row r="791" spans="1:7" x14ac:dyDescent="0.2">
      <c r="A791" s="2" t="s">
        <v>3539</v>
      </c>
      <c r="B791" s="2" t="s">
        <v>393</v>
      </c>
      <c r="C791" s="2">
        <v>1790.6990000000001</v>
      </c>
      <c r="D791" s="2">
        <f>HYPERLINK("http://mcb-m6.bioreg.kyushu-u.ac.jp/M3/20110414/F50947/2877/1", 61.9)</f>
        <v>61.9</v>
      </c>
      <c r="E791" s="2">
        <v>46.36</v>
      </c>
      <c r="F791" s="2">
        <v>1</v>
      </c>
      <c r="G791" s="2" t="s">
        <v>12</v>
      </c>
    </row>
    <row r="792" spans="1:7" x14ac:dyDescent="0.2">
      <c r="A792" s="2" t="s">
        <v>3539</v>
      </c>
      <c r="B792" s="2" t="s">
        <v>393</v>
      </c>
      <c r="C792" s="2">
        <v>896.44460000000004</v>
      </c>
      <c r="D792" s="2">
        <f>HYPERLINK("http://mcb-m6.bioreg.kyushu-u.ac.jp/M3/20110414/F50966/2460/1", 63.62)</f>
        <v>63.62</v>
      </c>
      <c r="E792" s="2">
        <v>35.74</v>
      </c>
      <c r="F792" s="2">
        <v>2</v>
      </c>
      <c r="G792" s="2" t="s">
        <v>12</v>
      </c>
    </row>
    <row r="793" spans="1:7" x14ac:dyDescent="0.2">
      <c r="A793" s="2" t="s">
        <v>3539</v>
      </c>
      <c r="B793" s="2" t="s">
        <v>393</v>
      </c>
      <c r="C793" s="2">
        <v>896.28020000000004</v>
      </c>
      <c r="D793" s="2">
        <f>HYPERLINK("http://mcb-m6.bioreg.kyushu-u.ac.jp/M3/20110414/F50933/3022/1", 63.62)</f>
        <v>63.62</v>
      </c>
      <c r="E793" s="2">
        <v>39.01</v>
      </c>
      <c r="F793" s="2">
        <v>2</v>
      </c>
      <c r="G793" s="2" t="s">
        <v>12</v>
      </c>
    </row>
    <row r="794" spans="1:7" x14ac:dyDescent="0.2">
      <c r="A794" s="2" t="s">
        <v>3539</v>
      </c>
      <c r="B794" s="2" t="s">
        <v>393</v>
      </c>
      <c r="C794" s="2">
        <v>1791.182</v>
      </c>
      <c r="D794" s="2">
        <f>HYPERLINK("http://mcb-m6.bioreg.kyushu-u.ac.jp/M3/20110414/F50963/2538/1", 68.29)</f>
        <v>68.290000000000006</v>
      </c>
      <c r="E794" s="2">
        <v>53.64</v>
      </c>
      <c r="F794" s="2">
        <v>1</v>
      </c>
      <c r="G794" s="2" t="s">
        <v>12</v>
      </c>
    </row>
    <row r="795" spans="1:7" x14ac:dyDescent="0.2">
      <c r="A795" s="2" t="s">
        <v>3539</v>
      </c>
      <c r="B795" s="2" t="s">
        <v>393</v>
      </c>
      <c r="C795" s="2">
        <v>895.71669999999995</v>
      </c>
      <c r="D795" s="2">
        <f>HYPERLINK("http://mcb-m6.bioreg.kyushu-u.ac.jp/M3/20110414/F50947/2875/1", 68.47)</f>
        <v>68.47</v>
      </c>
      <c r="E795" s="2">
        <v>51.01</v>
      </c>
      <c r="F795" s="2">
        <v>2</v>
      </c>
      <c r="G795" s="2" t="s">
        <v>12</v>
      </c>
    </row>
    <row r="796" spans="1:7" x14ac:dyDescent="0.2">
      <c r="A796" s="2" t="s">
        <v>3539</v>
      </c>
      <c r="B796" s="2" t="s">
        <v>393</v>
      </c>
      <c r="C796" s="2">
        <v>896.34670000000006</v>
      </c>
      <c r="D796" s="2">
        <f>HYPERLINK("http://mcb-m6.bioreg.kyushu-u.ac.jp/M3/20110414/F50933/3023/1", 69.38)</f>
        <v>69.38</v>
      </c>
      <c r="E796" s="2">
        <v>46.33</v>
      </c>
      <c r="F796" s="2">
        <v>2</v>
      </c>
      <c r="G796" s="2" t="s">
        <v>12</v>
      </c>
    </row>
    <row r="797" spans="1:7" x14ac:dyDescent="0.2">
      <c r="A797" s="2" t="s">
        <v>3539</v>
      </c>
      <c r="B797" s="2" t="s">
        <v>393</v>
      </c>
      <c r="C797" s="2">
        <v>597.47280000000001</v>
      </c>
      <c r="D797" s="2">
        <f>HYPERLINK("http://mcb-m6.bioreg.kyushu-u.ac.jp/M3/20110414/F50963/2534/1", 70.91)</f>
        <v>70.91</v>
      </c>
      <c r="E797" s="2">
        <v>49.28</v>
      </c>
      <c r="F797" s="2">
        <v>3</v>
      </c>
      <c r="G797" s="2" t="s">
        <v>12</v>
      </c>
    </row>
    <row r="798" spans="1:7" x14ac:dyDescent="0.2">
      <c r="A798" s="2" t="s">
        <v>3539</v>
      </c>
      <c r="B798" s="2" t="s">
        <v>393</v>
      </c>
      <c r="C798" s="2">
        <v>896.14919999999995</v>
      </c>
      <c r="D798" s="2">
        <f>HYPERLINK("http://mcb-m6.bioreg.kyushu-u.ac.jp/M3/20110414/F50963/2539/1", 73.39)</f>
        <v>73.39</v>
      </c>
      <c r="E798" s="2">
        <v>51.06</v>
      </c>
      <c r="F798" s="2">
        <v>2</v>
      </c>
      <c r="G798" s="2" t="s">
        <v>12</v>
      </c>
    </row>
    <row r="799" spans="1:7" x14ac:dyDescent="0.2">
      <c r="A799" s="2" t="s">
        <v>3539</v>
      </c>
      <c r="B799" s="2" t="s">
        <v>393</v>
      </c>
      <c r="C799" s="2">
        <v>895.53309999999999</v>
      </c>
      <c r="D799" s="2">
        <f>HYPERLINK("http://mcb-m6.bioreg.kyushu-u.ac.jp/M3/20110414/F50949/2420/1", 75.96)</f>
        <v>75.959999999999994</v>
      </c>
      <c r="E799" s="2">
        <v>42.34</v>
      </c>
      <c r="F799" s="2">
        <v>2</v>
      </c>
      <c r="G799" s="2" t="s">
        <v>12</v>
      </c>
    </row>
    <row r="800" spans="1:7" x14ac:dyDescent="0.2">
      <c r="A800" s="2" t="s">
        <v>3539</v>
      </c>
      <c r="B800" s="2" t="s">
        <v>393</v>
      </c>
      <c r="C800" s="2">
        <v>896.28420000000006</v>
      </c>
      <c r="D800" s="2">
        <f>HYPERLINK("http://mcb-m6.bioreg.kyushu-u.ac.jp/M3/20110414/F50947/2882/1", 76.52)</f>
        <v>76.52</v>
      </c>
      <c r="E800" s="2">
        <v>54.98</v>
      </c>
      <c r="F800" s="2">
        <v>2</v>
      </c>
      <c r="G800" s="2" t="s">
        <v>12</v>
      </c>
    </row>
    <row r="801" spans="1:7" x14ac:dyDescent="0.2">
      <c r="A801" s="2" t="s">
        <v>3539</v>
      </c>
      <c r="B801" s="2" t="s">
        <v>393</v>
      </c>
      <c r="C801" s="2">
        <v>896.17719999999997</v>
      </c>
      <c r="D801" s="2">
        <f>HYPERLINK("http://mcb-m6.bioreg.kyushu-u.ac.jp/M3/20110414/F50963/2540/1", 77.7)</f>
        <v>77.7</v>
      </c>
      <c r="E801" s="2">
        <v>54.73</v>
      </c>
      <c r="F801" s="2">
        <v>2</v>
      </c>
      <c r="G801" s="2" t="s">
        <v>12</v>
      </c>
    </row>
    <row r="802" spans="1:7" x14ac:dyDescent="0.2">
      <c r="A802" s="2" t="s">
        <v>3539</v>
      </c>
      <c r="B802" s="2" t="s">
        <v>393</v>
      </c>
      <c r="C802" s="2">
        <v>895.68219999999997</v>
      </c>
      <c r="D802" s="2">
        <f>HYPERLINK("http://mcb-m6.bioreg.kyushu-u.ac.jp/M3/20110414/F50963/2532/1", 77.77)</f>
        <v>77.77</v>
      </c>
      <c r="E802" s="2">
        <v>56.93</v>
      </c>
      <c r="F802" s="2">
        <v>2</v>
      </c>
      <c r="G802" s="2" t="s">
        <v>12</v>
      </c>
    </row>
    <row r="803" spans="1:7" x14ac:dyDescent="0.2">
      <c r="A803" s="2" t="s">
        <v>3539</v>
      </c>
      <c r="B803" s="2" t="s">
        <v>393</v>
      </c>
      <c r="C803" s="2">
        <v>896.26819999999998</v>
      </c>
      <c r="D803" s="2">
        <f>HYPERLINK("http://mcb-m6.bioreg.kyushu-u.ac.jp/M3/20110414/F50963/2542/1", 78.76)</f>
        <v>78.760000000000005</v>
      </c>
      <c r="E803" s="2">
        <v>55.7</v>
      </c>
      <c r="F803" s="2">
        <v>2</v>
      </c>
      <c r="G803" s="2" t="s">
        <v>12</v>
      </c>
    </row>
    <row r="804" spans="1:7" x14ac:dyDescent="0.2">
      <c r="A804" s="2" t="s">
        <v>3539</v>
      </c>
      <c r="B804" s="2" t="s">
        <v>393</v>
      </c>
      <c r="C804" s="2">
        <v>895.88869999999997</v>
      </c>
      <c r="D804" s="2">
        <f>HYPERLINK("http://mcb-m6.bioreg.kyushu-u.ac.jp/M3/20110414/F50933/3019/1", 81.87)</f>
        <v>81.87</v>
      </c>
      <c r="E804" s="2">
        <v>62.18</v>
      </c>
      <c r="F804" s="2">
        <v>2</v>
      </c>
      <c r="G804" s="2" t="s">
        <v>12</v>
      </c>
    </row>
    <row r="805" spans="1:7" x14ac:dyDescent="0.2">
      <c r="A805" s="2" t="s">
        <v>3539</v>
      </c>
      <c r="B805" s="2" t="s">
        <v>393</v>
      </c>
      <c r="C805" s="2">
        <v>895.65060000000005</v>
      </c>
      <c r="D805" s="2">
        <f>HYPERLINK("http://mcb-m6.bioreg.kyushu-u.ac.jp/M3/20110414/F50963/2530/1", 83.04)</f>
        <v>83.04</v>
      </c>
      <c r="E805" s="2">
        <v>62.98</v>
      </c>
      <c r="F805" s="2">
        <v>2</v>
      </c>
      <c r="G805" s="2" t="s">
        <v>12</v>
      </c>
    </row>
    <row r="806" spans="1:7" x14ac:dyDescent="0.2">
      <c r="A806" s="2" t="s">
        <v>3539</v>
      </c>
      <c r="B806" s="2" t="s">
        <v>393</v>
      </c>
      <c r="C806" s="2">
        <v>896.4452</v>
      </c>
      <c r="D806" s="2">
        <f>HYPERLINK("http://mcb-m6.bioreg.kyushu-u.ac.jp/M3/20110414/F50933/3024/1", 87.2)</f>
        <v>87.2</v>
      </c>
      <c r="E806" s="2">
        <v>56.96</v>
      </c>
      <c r="F806" s="2">
        <v>2</v>
      </c>
      <c r="G806" s="2" t="s">
        <v>12</v>
      </c>
    </row>
    <row r="807" spans="1:7" x14ac:dyDescent="0.2">
      <c r="A807" s="2" t="s">
        <v>3539</v>
      </c>
      <c r="B807" s="2" t="s">
        <v>393</v>
      </c>
      <c r="C807" s="2">
        <v>895.69069999999999</v>
      </c>
      <c r="D807" s="2">
        <f>HYPERLINK("http://mcb-m6.bioreg.kyushu-u.ac.jp/M3/20110414/F50963/2533/1", 88.09)</f>
        <v>88.09</v>
      </c>
      <c r="E807" s="2">
        <v>65.22</v>
      </c>
      <c r="F807" s="2">
        <v>2</v>
      </c>
      <c r="G807" s="2" t="s">
        <v>12</v>
      </c>
    </row>
    <row r="808" spans="1:7" x14ac:dyDescent="0.2">
      <c r="A808" s="2" t="s">
        <v>3539</v>
      </c>
      <c r="B808" s="2" t="s">
        <v>393</v>
      </c>
      <c r="C808" s="2">
        <v>896.20370000000003</v>
      </c>
      <c r="D808" s="2">
        <f>HYPERLINK("http://mcb-m6.bioreg.kyushu-u.ac.jp/M3/20110414/F50963/2541/1", 88.25)</f>
        <v>88.25</v>
      </c>
      <c r="E808" s="2">
        <v>52.87</v>
      </c>
      <c r="F808" s="2">
        <v>2</v>
      </c>
      <c r="G808" s="2" t="s">
        <v>12</v>
      </c>
    </row>
    <row r="809" spans="1:7" x14ac:dyDescent="0.2">
      <c r="A809" s="2" t="s">
        <v>3539</v>
      </c>
      <c r="B809" s="2" t="s">
        <v>393</v>
      </c>
      <c r="C809" s="2">
        <v>895.64509999999996</v>
      </c>
      <c r="D809" s="2">
        <f>HYPERLINK("http://mcb-m6.bioreg.kyushu-u.ac.jp/M3/20110414/F50963/2529/1", 89.31)</f>
        <v>89.31</v>
      </c>
      <c r="E809" s="2">
        <v>65.37</v>
      </c>
      <c r="F809" s="2">
        <v>2</v>
      </c>
      <c r="G809" s="2" t="s">
        <v>12</v>
      </c>
    </row>
    <row r="810" spans="1:7" x14ac:dyDescent="0.2">
      <c r="A810" s="2" t="s">
        <v>3539</v>
      </c>
      <c r="B810" s="2" t="s">
        <v>393</v>
      </c>
      <c r="C810" s="2">
        <v>896.16269999999997</v>
      </c>
      <c r="D810" s="2">
        <f>HYPERLINK("http://mcb-m6.bioreg.kyushu-u.ac.jp/M3/20110414/F50966/2458/1", 92.46)</f>
        <v>92.46</v>
      </c>
      <c r="E810" s="2">
        <v>67</v>
      </c>
      <c r="F810" s="2">
        <v>2</v>
      </c>
      <c r="G810" s="2" t="s">
        <v>12</v>
      </c>
    </row>
    <row r="811" spans="1:7" x14ac:dyDescent="0.2">
      <c r="A811" s="2" t="s">
        <v>3539</v>
      </c>
      <c r="B811" s="2" t="s">
        <v>393</v>
      </c>
      <c r="C811" s="2">
        <v>895.72770000000003</v>
      </c>
      <c r="D811" s="2">
        <f>HYPERLINK("http://mcb-m6.bioreg.kyushu-u.ac.jp/M3/20110414/F50963/2536/1", 92.65)</f>
        <v>92.65</v>
      </c>
      <c r="E811" s="2">
        <v>72.73</v>
      </c>
      <c r="F811" s="2">
        <v>2</v>
      </c>
      <c r="G811" s="2" t="s">
        <v>12</v>
      </c>
    </row>
    <row r="812" spans="1:7" x14ac:dyDescent="0.2">
      <c r="A812" s="2" t="s">
        <v>3539</v>
      </c>
      <c r="B812" s="2" t="s">
        <v>393</v>
      </c>
      <c r="C812" s="2">
        <v>895.96420000000001</v>
      </c>
      <c r="D812" s="2">
        <f>HYPERLINK("http://mcb-m6.bioreg.kyushu-u.ac.jp/M3/20110414/F50963/2537/1", 97.93)</f>
        <v>97.93</v>
      </c>
      <c r="E812" s="2">
        <v>75.489999999999995</v>
      </c>
      <c r="F812" s="2">
        <v>2</v>
      </c>
      <c r="G812" s="2" t="s">
        <v>12</v>
      </c>
    </row>
    <row r="813" spans="1:7" x14ac:dyDescent="0.2">
      <c r="A813" s="2" t="s">
        <v>3539</v>
      </c>
      <c r="B813" s="2" t="s">
        <v>393</v>
      </c>
      <c r="C813" s="2">
        <v>895.87570000000005</v>
      </c>
      <c r="D813" s="2">
        <f>HYPERLINK("http://mcb-m6.bioreg.kyushu-u.ac.jp/M3/20110414/F50947/2878/1", 105.13)</f>
        <v>105.13</v>
      </c>
      <c r="E813" s="2">
        <v>81.28</v>
      </c>
      <c r="F813" s="2">
        <v>2</v>
      </c>
      <c r="G813" s="2" t="s">
        <v>12</v>
      </c>
    </row>
    <row r="814" spans="1:7" x14ac:dyDescent="0.2">
      <c r="A814" s="2" t="s">
        <v>3539</v>
      </c>
      <c r="B814" s="2" t="s">
        <v>393</v>
      </c>
      <c r="C814" s="2">
        <v>895.61469999999997</v>
      </c>
      <c r="D814" s="2">
        <f>HYPERLINK("http://mcb-m6.bioreg.kyushu-u.ac.jp/M3/20110414/F50966/2454/1", 117.91)</f>
        <v>117.91</v>
      </c>
      <c r="E814" s="2">
        <v>95.36</v>
      </c>
      <c r="F814" s="2">
        <v>2</v>
      </c>
      <c r="G814" s="2" t="s">
        <v>12</v>
      </c>
    </row>
    <row r="815" spans="1:7" x14ac:dyDescent="0.2">
      <c r="A815" s="2" t="s">
        <v>3539</v>
      </c>
      <c r="B815" s="2" t="s">
        <v>393</v>
      </c>
      <c r="C815" s="2">
        <v>896.52170000000001</v>
      </c>
      <c r="D815" s="2">
        <f>HYPERLINK("http://mcb-m6.bioreg.kyushu-u.ac.jp/M3/20110502/F51188/2482/1", 47.04)</f>
        <v>47.04</v>
      </c>
      <c r="E815" s="2">
        <v>32.9</v>
      </c>
      <c r="F815" s="2">
        <v>2</v>
      </c>
      <c r="G815" s="2" t="s">
        <v>13</v>
      </c>
    </row>
    <row r="816" spans="1:7" x14ac:dyDescent="0.2">
      <c r="A816" s="2" t="s">
        <v>3539</v>
      </c>
      <c r="B816" s="2" t="s">
        <v>393</v>
      </c>
      <c r="C816" s="2">
        <v>896.09670000000006</v>
      </c>
      <c r="D816" s="2">
        <f>HYPERLINK("http://mcb-m6.bioreg.kyushu-u.ac.jp/M3/20110502/F51169/2730/1", 51.31)</f>
        <v>51.31</v>
      </c>
      <c r="E816" s="2">
        <v>38.92</v>
      </c>
      <c r="F816" s="2">
        <v>2</v>
      </c>
      <c r="G816" s="2" t="s">
        <v>13</v>
      </c>
    </row>
    <row r="817" spans="1:7" x14ac:dyDescent="0.2">
      <c r="A817" s="2" t="s">
        <v>3539</v>
      </c>
      <c r="B817" s="2" t="s">
        <v>393</v>
      </c>
      <c r="C817" s="2">
        <v>598.02279999999996</v>
      </c>
      <c r="D817" s="2">
        <f>HYPERLINK("http://mcb-m6.bioreg.kyushu-u.ac.jp/M3/20110502/F51187/2340/1", 57.26)</f>
        <v>57.26</v>
      </c>
      <c r="E817" s="2">
        <v>40.909999999999997</v>
      </c>
      <c r="F817" s="2">
        <v>3</v>
      </c>
      <c r="G817" s="2" t="s">
        <v>13</v>
      </c>
    </row>
    <row r="818" spans="1:7" x14ac:dyDescent="0.2">
      <c r="A818" s="2" t="s">
        <v>3539</v>
      </c>
      <c r="B818" s="2" t="s">
        <v>393</v>
      </c>
      <c r="C818" s="2">
        <v>1791.492</v>
      </c>
      <c r="D818" s="2">
        <f>HYPERLINK("http://mcb-m6.bioreg.kyushu-u.ac.jp/M3/20110502/F51187/2337/1", 61.62)</f>
        <v>61.62</v>
      </c>
      <c r="E818" s="2">
        <v>40.35</v>
      </c>
      <c r="F818" s="2">
        <v>1</v>
      </c>
      <c r="G818" s="2" t="s">
        <v>13</v>
      </c>
    </row>
    <row r="819" spans="1:7" x14ac:dyDescent="0.2">
      <c r="A819" s="2" t="s">
        <v>3539</v>
      </c>
      <c r="B819" s="2" t="s">
        <v>393</v>
      </c>
      <c r="C819" s="2">
        <v>895.94169999999997</v>
      </c>
      <c r="D819" s="2">
        <f>HYPERLINK("http://mcb-m6.bioreg.kyushu-u.ac.jp/M3/20110502/F51187/2332/1", 62.19)</f>
        <v>62.19</v>
      </c>
      <c r="E819" s="2">
        <v>36.69</v>
      </c>
      <c r="F819" s="2">
        <v>2</v>
      </c>
      <c r="G819" s="2" t="s">
        <v>13</v>
      </c>
    </row>
    <row r="820" spans="1:7" x14ac:dyDescent="0.2">
      <c r="A820" s="2" t="s">
        <v>3539</v>
      </c>
      <c r="B820" s="2" t="s">
        <v>393</v>
      </c>
      <c r="C820" s="2">
        <v>896.05070000000001</v>
      </c>
      <c r="D820" s="2">
        <f>HYPERLINK("http://mcb-m6.bioreg.kyushu-u.ac.jp/M3/20110502/F51187/2334/1", 64.03)</f>
        <v>64.03</v>
      </c>
      <c r="E820" s="2">
        <v>40.75</v>
      </c>
      <c r="F820" s="2">
        <v>2</v>
      </c>
      <c r="G820" s="2" t="s">
        <v>13</v>
      </c>
    </row>
    <row r="821" spans="1:7" x14ac:dyDescent="0.2">
      <c r="A821" s="2" t="s">
        <v>3539</v>
      </c>
      <c r="B821" s="2" t="s">
        <v>393</v>
      </c>
      <c r="C821" s="2">
        <v>896.51070000000004</v>
      </c>
      <c r="D821" s="2">
        <f>HYPERLINK("http://mcb-m6.bioreg.kyushu-u.ac.jp/M3/20110502/F51187/2339/1", 68.26)</f>
        <v>68.260000000000005</v>
      </c>
      <c r="E821" s="2">
        <v>48.96</v>
      </c>
      <c r="F821" s="2">
        <v>2</v>
      </c>
      <c r="G821" s="2" t="s">
        <v>13</v>
      </c>
    </row>
    <row r="822" spans="1:7" x14ac:dyDescent="0.2">
      <c r="A822" s="2" t="s">
        <v>3539</v>
      </c>
      <c r="B822" s="2" t="s">
        <v>393</v>
      </c>
      <c r="C822" s="2">
        <v>896.48720000000003</v>
      </c>
      <c r="D822" s="2">
        <f>HYPERLINK("http://mcb-m6.bioreg.kyushu-u.ac.jp/M3/20110502/F51169/2734/1", 68.72)</f>
        <v>68.72</v>
      </c>
      <c r="E822" s="2">
        <v>42.51</v>
      </c>
      <c r="F822" s="2">
        <v>2</v>
      </c>
      <c r="G822" s="2" t="s">
        <v>13</v>
      </c>
    </row>
    <row r="823" spans="1:7" x14ac:dyDescent="0.2">
      <c r="A823" s="2" t="s">
        <v>3539</v>
      </c>
      <c r="B823" s="2" t="s">
        <v>393</v>
      </c>
      <c r="C823" s="2">
        <v>896.02970000000005</v>
      </c>
      <c r="D823" s="2">
        <f>HYPERLINK("http://mcb-m6.bioreg.kyushu-u.ac.jp/M3/20110502/F51187/2333/1", 69.77)</f>
        <v>69.77</v>
      </c>
      <c r="E823" s="2">
        <v>46.4</v>
      </c>
      <c r="F823" s="2">
        <v>2</v>
      </c>
      <c r="G823" s="2" t="s">
        <v>13</v>
      </c>
    </row>
    <row r="824" spans="1:7" x14ac:dyDescent="0.2">
      <c r="A824" s="2" t="s">
        <v>3539</v>
      </c>
      <c r="B824" s="2" t="s">
        <v>393</v>
      </c>
      <c r="C824" s="2">
        <v>896.53520000000003</v>
      </c>
      <c r="D824" s="2">
        <f>HYPERLINK("http://mcb-m6.bioreg.kyushu-u.ac.jp/M3/20110502/F51187/2341/1", 70.49)</f>
        <v>70.489999999999995</v>
      </c>
      <c r="E824" s="2">
        <v>46.85</v>
      </c>
      <c r="F824" s="2">
        <v>2</v>
      </c>
      <c r="G824" s="2" t="s">
        <v>13</v>
      </c>
    </row>
    <row r="825" spans="1:7" x14ac:dyDescent="0.2">
      <c r="A825" s="2" t="s">
        <v>3539</v>
      </c>
      <c r="B825" s="2" t="s">
        <v>393</v>
      </c>
      <c r="C825" s="2">
        <v>896.11410000000001</v>
      </c>
      <c r="D825" s="2">
        <f>HYPERLINK("http://mcb-m6.bioreg.kyushu-u.ac.jp/M3/20110502/F51187/2336/1", 76.58)</f>
        <v>76.58</v>
      </c>
      <c r="E825" s="2">
        <v>51.6</v>
      </c>
      <c r="F825" s="2">
        <v>2</v>
      </c>
      <c r="G825" s="2" t="s">
        <v>13</v>
      </c>
    </row>
    <row r="826" spans="1:7" x14ac:dyDescent="0.2">
      <c r="A826" s="2" t="s">
        <v>3539</v>
      </c>
      <c r="B826" s="2" t="s">
        <v>393</v>
      </c>
      <c r="C826" s="2">
        <v>896.11220000000003</v>
      </c>
      <c r="D826" s="2">
        <f>HYPERLINK("http://mcb-m6.bioreg.kyushu-u.ac.jp/M3/20110502/F51170/2866/1", 77.66)</f>
        <v>77.66</v>
      </c>
      <c r="E826" s="2">
        <v>55.98</v>
      </c>
      <c r="F826" s="2">
        <v>2</v>
      </c>
      <c r="G826" s="2" t="s">
        <v>13</v>
      </c>
    </row>
    <row r="827" spans="1:7" x14ac:dyDescent="0.2">
      <c r="A827" s="2" t="s">
        <v>3539</v>
      </c>
      <c r="B827" s="2" t="s">
        <v>393</v>
      </c>
      <c r="C827" s="2">
        <v>896.03719999999998</v>
      </c>
      <c r="D827" s="2">
        <f>HYPERLINK("http://mcb-m6.bioreg.kyushu-u.ac.jp/M3/20110502/F51169/2729/1", 80.87)</f>
        <v>80.87</v>
      </c>
      <c r="E827" s="2">
        <v>58.11</v>
      </c>
      <c r="F827" s="2">
        <v>2</v>
      </c>
      <c r="G827" s="2" t="s">
        <v>13</v>
      </c>
    </row>
    <row r="828" spans="1:7" x14ac:dyDescent="0.2">
      <c r="A828" s="2" t="s">
        <v>3539</v>
      </c>
      <c r="B828" s="2" t="s">
        <v>393</v>
      </c>
      <c r="C828" s="2">
        <v>896.11469999999997</v>
      </c>
      <c r="D828" s="2">
        <f>HYPERLINK("http://mcb-m6.bioreg.kyushu-u.ac.jp/M3/20110502/F51169/2731/1", 85.05)</f>
        <v>85.05</v>
      </c>
      <c r="E828" s="2">
        <v>61.54</v>
      </c>
      <c r="F828" s="2">
        <v>2</v>
      </c>
      <c r="G828" s="2" t="s">
        <v>13</v>
      </c>
    </row>
    <row r="829" spans="1:7" x14ac:dyDescent="0.2">
      <c r="A829" s="2" t="s">
        <v>3539</v>
      </c>
      <c r="B829" s="2" t="s">
        <v>393</v>
      </c>
      <c r="C829" s="2">
        <v>895.8922</v>
      </c>
      <c r="D829" s="2">
        <f>HYPERLINK("http://mcb-m6.bioreg.kyushu-u.ac.jp/M3/20110502/F51169/2728/1", 88.72)</f>
        <v>88.72</v>
      </c>
      <c r="E829" s="2">
        <v>66.91</v>
      </c>
      <c r="F829" s="2">
        <v>2</v>
      </c>
      <c r="G829" s="2" t="s">
        <v>13</v>
      </c>
    </row>
    <row r="830" spans="1:7" x14ac:dyDescent="0.2">
      <c r="A830" s="2" t="s">
        <v>3539</v>
      </c>
      <c r="B830" s="2" t="s">
        <v>393</v>
      </c>
      <c r="C830" s="2">
        <v>896.05319999999995</v>
      </c>
      <c r="D830" s="2">
        <f>HYPERLINK("http://mcb-m6.bioreg.kyushu-u.ac.jp/M3/20110502/F51187/2335/1", 112.81)</f>
        <v>112.81</v>
      </c>
      <c r="E830" s="2">
        <v>78.09</v>
      </c>
      <c r="F830" s="2">
        <v>2</v>
      </c>
      <c r="G830" s="2" t="s">
        <v>13</v>
      </c>
    </row>
    <row r="831" spans="1:7" x14ac:dyDescent="0.2">
      <c r="A831" s="2" t="s">
        <v>3539</v>
      </c>
      <c r="B831" s="2" t="s">
        <v>393</v>
      </c>
      <c r="C831" s="2">
        <v>896.06119999999999</v>
      </c>
      <c r="D831" s="2">
        <f>HYPERLINK("http://mcb-m6.bioreg.kyushu-u.ac.jp/M3/20110502/F51178/2765/1", 35.96)</f>
        <v>35.96</v>
      </c>
      <c r="E831" s="2">
        <v>20.239999999999998</v>
      </c>
      <c r="F831" s="2">
        <v>2</v>
      </c>
      <c r="G831" s="2" t="s">
        <v>14</v>
      </c>
    </row>
    <row r="832" spans="1:7" x14ac:dyDescent="0.2">
      <c r="A832" s="2" t="s">
        <v>3539</v>
      </c>
      <c r="B832" s="2" t="s">
        <v>393</v>
      </c>
      <c r="C832" s="2">
        <v>896.19569999999999</v>
      </c>
      <c r="D832" s="2">
        <f>HYPERLINK("http://mcb-m6.bioreg.kyushu-u.ac.jp/M3/20110502/F51191/2371/1", 41.61)</f>
        <v>41.61</v>
      </c>
      <c r="E832" s="2">
        <v>21.36</v>
      </c>
      <c r="F832" s="2">
        <v>2</v>
      </c>
      <c r="G832" s="2" t="s">
        <v>14</v>
      </c>
    </row>
    <row r="833" spans="1:8" x14ac:dyDescent="0.2">
      <c r="A833" s="2" t="s">
        <v>3539</v>
      </c>
      <c r="B833" s="2" t="s">
        <v>393</v>
      </c>
      <c r="C833" s="2">
        <v>896.13369999999998</v>
      </c>
      <c r="D833" s="2">
        <f>HYPERLINK("http://mcb-m6.bioreg.kyushu-u.ac.jp/M3/20110502/F51191/2368/1", 43.75)</f>
        <v>43.75</v>
      </c>
      <c r="E833" s="2">
        <v>27.27</v>
      </c>
      <c r="F833" s="2">
        <v>2</v>
      </c>
      <c r="G833" s="2" t="s">
        <v>14</v>
      </c>
    </row>
    <row r="834" spans="1:8" x14ac:dyDescent="0.2">
      <c r="A834" s="2" t="s">
        <v>3539</v>
      </c>
      <c r="B834" s="2" t="s">
        <v>393</v>
      </c>
      <c r="C834" s="2">
        <v>896.49519999999995</v>
      </c>
      <c r="D834" s="2">
        <f>HYPERLINK("http://mcb-m6.bioreg.kyushu-u.ac.jp/M3/20110502/F51179/2656/1", 47.86)</f>
        <v>47.86</v>
      </c>
      <c r="E834" s="2">
        <v>27.95</v>
      </c>
      <c r="F834" s="2">
        <v>2</v>
      </c>
      <c r="G834" s="2" t="s">
        <v>14</v>
      </c>
    </row>
    <row r="835" spans="1:8" x14ac:dyDescent="0.2">
      <c r="A835" s="2" t="s">
        <v>3539</v>
      </c>
      <c r="B835" s="2" t="s">
        <v>393</v>
      </c>
      <c r="C835" s="2">
        <v>1791.085</v>
      </c>
      <c r="D835" s="2">
        <f>HYPERLINK("http://mcb-m6.bioreg.kyushu-u.ac.jp/M3/20110502/F51191/2364/1", 59.64)</f>
        <v>59.64</v>
      </c>
      <c r="E835" s="2">
        <v>41.97</v>
      </c>
      <c r="F835" s="2">
        <v>1</v>
      </c>
      <c r="G835" s="2" t="s">
        <v>14</v>
      </c>
    </row>
    <row r="836" spans="1:8" x14ac:dyDescent="0.2">
      <c r="A836" s="2" t="s">
        <v>3539</v>
      </c>
      <c r="B836" s="2" t="s">
        <v>393</v>
      </c>
      <c r="C836" s="2">
        <v>597.85350000000005</v>
      </c>
      <c r="D836" s="2">
        <f>HYPERLINK("http://mcb-m6.bioreg.kyushu-u.ac.jp/M3/20110502/F51191/2372/1", 65.58)</f>
        <v>65.58</v>
      </c>
      <c r="E836" s="2">
        <v>48.76</v>
      </c>
      <c r="F836" s="2">
        <v>3</v>
      </c>
      <c r="G836" s="2" t="s">
        <v>14</v>
      </c>
    </row>
    <row r="837" spans="1:8" x14ac:dyDescent="0.2">
      <c r="A837" s="2" t="s">
        <v>3539</v>
      </c>
      <c r="B837" s="2" t="s">
        <v>393</v>
      </c>
      <c r="C837" s="2">
        <v>896.05110000000002</v>
      </c>
      <c r="D837" s="2">
        <f>HYPERLINK("http://mcb-m6.bioreg.kyushu-u.ac.jp/M3/20110502/F51191/2365/1", 66.42)</f>
        <v>66.42</v>
      </c>
      <c r="E837" s="2">
        <v>46.1</v>
      </c>
      <c r="F837" s="2">
        <v>2</v>
      </c>
      <c r="G837" s="2" t="s">
        <v>14</v>
      </c>
    </row>
    <row r="838" spans="1:8" x14ac:dyDescent="0.2">
      <c r="A838" s="2" t="s">
        <v>3539</v>
      </c>
      <c r="B838" s="2" t="s">
        <v>393</v>
      </c>
      <c r="C838" s="2">
        <v>896.18219999999997</v>
      </c>
      <c r="D838" s="2">
        <f>HYPERLINK("http://mcb-m6.bioreg.kyushu-u.ac.jp/M3/20110502/F51191/2370/1", 85.62)</f>
        <v>85.62</v>
      </c>
      <c r="E838" s="2">
        <v>63.35</v>
      </c>
      <c r="F838" s="2">
        <v>2</v>
      </c>
      <c r="G838" s="2" t="s">
        <v>14</v>
      </c>
    </row>
    <row r="839" spans="1:8" x14ac:dyDescent="0.2">
      <c r="A839" s="2" t="s">
        <v>3539</v>
      </c>
      <c r="B839" s="2" t="s">
        <v>393</v>
      </c>
      <c r="C839" s="2">
        <v>896.16719999999998</v>
      </c>
      <c r="D839" s="2">
        <f>HYPERLINK("http://mcb-m6.bioreg.kyushu-u.ac.jp/M3/20110502/F51191/2369/1", 93.2)</f>
        <v>93.2</v>
      </c>
      <c r="E839" s="2">
        <v>72.41</v>
      </c>
      <c r="F839" s="2">
        <v>2</v>
      </c>
      <c r="G839" s="2" t="s">
        <v>14</v>
      </c>
    </row>
    <row r="840" spans="1:8" x14ac:dyDescent="0.2">
      <c r="A840" s="2" t="s">
        <v>3539</v>
      </c>
      <c r="B840" s="2" t="s">
        <v>393</v>
      </c>
      <c r="C840" s="2">
        <v>896.11019999999996</v>
      </c>
      <c r="D840" s="2">
        <f>HYPERLINK("http://mcb-m6.bioreg.kyushu-u.ac.jp/M3/20110502/F51191/2367/1", 103.19)</f>
        <v>103.19</v>
      </c>
      <c r="E840" s="2">
        <v>81.819999999999993</v>
      </c>
      <c r="F840" s="2">
        <v>2</v>
      </c>
      <c r="G840" s="2" t="s">
        <v>14</v>
      </c>
    </row>
    <row r="841" spans="1:8" x14ac:dyDescent="0.2">
      <c r="A841" s="2" t="s">
        <v>3539</v>
      </c>
      <c r="B841" s="2" t="s">
        <v>393</v>
      </c>
      <c r="C841" s="2">
        <v>896.09559999999999</v>
      </c>
      <c r="D841" s="2">
        <f>HYPERLINK("http://mcb-m6.bioreg.kyushu-u.ac.jp/M3/20110502/F51191/2366/1", 110.49)</f>
        <v>110.49</v>
      </c>
      <c r="E841" s="2">
        <v>85.27</v>
      </c>
      <c r="F841" s="2">
        <v>2</v>
      </c>
      <c r="G841" s="2" t="s">
        <v>14</v>
      </c>
    </row>
    <row r="842" spans="1:8" x14ac:dyDescent="0.2">
      <c r="A842" s="2" t="s">
        <v>3539</v>
      </c>
      <c r="B842" s="2" t="s">
        <v>393</v>
      </c>
      <c r="C842" s="2">
        <v>896.20119999999997</v>
      </c>
      <c r="D842" s="2">
        <f>HYPERLINK("http://mcb-m6.bioreg.kyushu-u.ac.jp/M3/20110502/F51190/2376/1", 112.79)</f>
        <v>112.79</v>
      </c>
      <c r="E842" s="2">
        <v>88.51</v>
      </c>
      <c r="F842" s="2">
        <v>2</v>
      </c>
      <c r="G842" s="2" t="s">
        <v>14</v>
      </c>
    </row>
    <row r="843" spans="1:8" x14ac:dyDescent="0.2">
      <c r="A843" s="2" t="s">
        <v>3467</v>
      </c>
      <c r="B843" s="2" t="s">
        <v>278</v>
      </c>
      <c r="C843" s="2">
        <v>507.86110000000002</v>
      </c>
      <c r="D843" s="2">
        <f>HYPERLINK("http://mcb-m6.bioreg.kyushu-u.ac.jp/M3/20110411/F50919/740/1", 38.91)</f>
        <v>38.909999999999997</v>
      </c>
      <c r="E843" s="2">
        <v>17.12</v>
      </c>
      <c r="F843" s="2">
        <v>2</v>
      </c>
      <c r="G843" s="2" t="s">
        <v>9</v>
      </c>
      <c r="H843" s="2" t="s">
        <v>4915</v>
      </c>
    </row>
    <row r="844" spans="1:8" x14ac:dyDescent="0.2">
      <c r="A844" s="2" t="s">
        <v>3467</v>
      </c>
      <c r="B844" s="2" t="s">
        <v>278</v>
      </c>
      <c r="C844" s="2">
        <v>508.15109999999999</v>
      </c>
      <c r="D844" s="2">
        <f>HYPERLINK("http://mcb-m6.bioreg.kyushu-u.ac.jp/M3/20110411/F50904/1156/1", 45.77)</f>
        <v>45.77</v>
      </c>
      <c r="E844" s="2">
        <v>12.75</v>
      </c>
      <c r="F844" s="2">
        <v>2</v>
      </c>
      <c r="G844" s="2" t="s">
        <v>9</v>
      </c>
      <c r="H844" s="2" t="s">
        <v>4915</v>
      </c>
    </row>
    <row r="845" spans="1:8" x14ac:dyDescent="0.2">
      <c r="A845" s="2" t="s">
        <v>3467</v>
      </c>
      <c r="B845" s="2" t="s">
        <v>278</v>
      </c>
      <c r="C845" s="2">
        <v>1015.631</v>
      </c>
      <c r="D845" s="2">
        <f>HYPERLINK("http://mcb-m6.bioreg.kyushu-u.ac.jp/M3/20110411/F50904/1157/1", 48.43)</f>
        <v>48.43</v>
      </c>
      <c r="E845" s="2">
        <v>29.66</v>
      </c>
      <c r="F845" s="2">
        <v>1</v>
      </c>
      <c r="G845" s="2" t="s">
        <v>9</v>
      </c>
      <c r="H845" s="2" t="s">
        <v>4915</v>
      </c>
    </row>
    <row r="846" spans="1:8" x14ac:dyDescent="0.2">
      <c r="A846" s="2" t="s">
        <v>3467</v>
      </c>
      <c r="B846" s="2" t="s">
        <v>278</v>
      </c>
      <c r="C846" s="2">
        <v>1014.48</v>
      </c>
      <c r="D846" s="2">
        <f>HYPERLINK("http://mcb-m6.bioreg.kyushu-u.ac.jp/M3/20110411/F50919/738/1", 56.41)</f>
        <v>56.41</v>
      </c>
      <c r="E846" s="2">
        <v>37.39</v>
      </c>
      <c r="F846" s="2">
        <v>1</v>
      </c>
      <c r="G846" s="2" t="s">
        <v>9</v>
      </c>
      <c r="H846" s="2" t="s">
        <v>4915</v>
      </c>
    </row>
    <row r="847" spans="1:8" x14ac:dyDescent="0.2">
      <c r="A847" s="2" t="s">
        <v>3467</v>
      </c>
      <c r="B847" s="2" t="s">
        <v>278</v>
      </c>
      <c r="C847" s="2">
        <v>1014.629</v>
      </c>
      <c r="D847" s="2">
        <f>HYPERLINK("http://mcb-m6.bioreg.kyushu-u.ac.jp/M3/20110411/F50904/1155/1", 60.14)</f>
        <v>60.14</v>
      </c>
      <c r="E847" s="2">
        <v>42.76</v>
      </c>
      <c r="F847" s="2">
        <v>1</v>
      </c>
      <c r="G847" s="2" t="s">
        <v>9</v>
      </c>
      <c r="H847" s="2" t="s">
        <v>4915</v>
      </c>
    </row>
    <row r="848" spans="1:8" x14ac:dyDescent="0.2">
      <c r="A848" s="2" t="s">
        <v>3467</v>
      </c>
      <c r="B848" s="2" t="s">
        <v>278</v>
      </c>
      <c r="C848" s="2">
        <v>508.01909999999998</v>
      </c>
      <c r="D848" s="2">
        <f>HYPERLINK("http://mcb-m6.bioreg.kyushu-u.ac.jp/M3/20110411/F50921/887/1", 45.03)</f>
        <v>45.03</v>
      </c>
      <c r="E848" s="2">
        <v>19.399999999999999</v>
      </c>
      <c r="F848" s="2">
        <v>2</v>
      </c>
      <c r="G848" s="2" t="s">
        <v>10</v>
      </c>
      <c r="H848" s="2" t="s">
        <v>4915</v>
      </c>
    </row>
    <row r="849" spans="1:8" x14ac:dyDescent="0.2">
      <c r="A849" s="2" t="s">
        <v>3467</v>
      </c>
      <c r="B849" s="2" t="s">
        <v>278</v>
      </c>
      <c r="C849" s="2">
        <v>1014.391</v>
      </c>
      <c r="D849" s="2">
        <f>HYPERLINK("http://mcb-m6.bioreg.kyushu-u.ac.jp/M3/20110411/F50898/1573/1", 49.3)</f>
        <v>49.3</v>
      </c>
      <c r="E849" s="2">
        <v>29.27</v>
      </c>
      <c r="F849" s="2">
        <v>1</v>
      </c>
      <c r="G849" s="2" t="s">
        <v>10</v>
      </c>
      <c r="H849" s="2" t="s">
        <v>4915</v>
      </c>
    </row>
    <row r="850" spans="1:8" x14ac:dyDescent="0.2">
      <c r="A850" s="2" t="s">
        <v>3467</v>
      </c>
      <c r="B850" s="2" t="s">
        <v>278</v>
      </c>
      <c r="C850" s="2">
        <v>1014.6</v>
      </c>
      <c r="D850" s="2">
        <f>HYPERLINK("http://mcb-m6.bioreg.kyushu-u.ac.jp/M3/20110411/F50913/1045/1", 60.02)</f>
        <v>60.02</v>
      </c>
      <c r="E850" s="2">
        <v>39.270000000000003</v>
      </c>
      <c r="F850" s="2">
        <v>1</v>
      </c>
      <c r="G850" s="2" t="s">
        <v>10</v>
      </c>
      <c r="H850" s="2" t="s">
        <v>4915</v>
      </c>
    </row>
    <row r="851" spans="1:8" x14ac:dyDescent="0.2">
      <c r="A851" s="2" t="s">
        <v>3467</v>
      </c>
      <c r="B851" s="2" t="s">
        <v>278</v>
      </c>
      <c r="C851" s="2">
        <v>1014.6849999999999</v>
      </c>
      <c r="D851" s="2">
        <f>HYPERLINK("http://mcb-m6.bioreg.kyushu-u.ac.jp/M3/20110411/F50912/1096/1", 60.05)</f>
        <v>60.05</v>
      </c>
      <c r="E851" s="2">
        <v>41.64</v>
      </c>
      <c r="F851" s="2">
        <v>1</v>
      </c>
      <c r="G851" s="2" t="s">
        <v>10</v>
      </c>
      <c r="H851" s="2" t="s">
        <v>4915</v>
      </c>
    </row>
    <row r="852" spans="1:8" x14ac:dyDescent="0.2">
      <c r="A852" s="2" t="s">
        <v>3467</v>
      </c>
      <c r="B852" s="2" t="s">
        <v>278</v>
      </c>
      <c r="C852" s="2">
        <v>1014.502</v>
      </c>
      <c r="D852" s="2">
        <f>HYPERLINK("http://mcb-m6.bioreg.kyushu-u.ac.jp/M3/20110411/F50921/885/1", 60.19)</f>
        <v>60.19</v>
      </c>
      <c r="E852" s="2">
        <v>41.12</v>
      </c>
      <c r="F852" s="2">
        <v>1</v>
      </c>
      <c r="G852" s="2" t="s">
        <v>10</v>
      </c>
      <c r="H852" s="2" t="s">
        <v>4915</v>
      </c>
    </row>
    <row r="853" spans="1:8" x14ac:dyDescent="0.2">
      <c r="A853" s="2" t="s">
        <v>3467</v>
      </c>
      <c r="B853" s="2" t="s">
        <v>278</v>
      </c>
      <c r="C853" s="2">
        <v>1014.4930000000001</v>
      </c>
      <c r="D853" s="2">
        <f>HYPERLINK("http://mcb-m6.bioreg.kyushu-u.ac.jp/M3/20110411/F50914/1082/1", 64.99)</f>
        <v>64.989999999999995</v>
      </c>
      <c r="E853" s="2">
        <v>38.92</v>
      </c>
      <c r="F853" s="2">
        <v>1</v>
      </c>
      <c r="G853" s="2" t="s">
        <v>10</v>
      </c>
      <c r="H853" s="2" t="s">
        <v>4915</v>
      </c>
    </row>
    <row r="854" spans="1:8" x14ac:dyDescent="0.2">
      <c r="A854" s="2" t="s">
        <v>3467</v>
      </c>
      <c r="B854" s="2" t="s">
        <v>278</v>
      </c>
      <c r="C854" s="2">
        <v>499.66660000000002</v>
      </c>
      <c r="D854" s="2">
        <f>HYPERLINK("http://mcb-m6.bioreg.kyushu-u.ac.jp/M3/20110414/F50943/945/1", 44.58)</f>
        <v>44.58</v>
      </c>
      <c r="E854" s="2">
        <v>25.73</v>
      </c>
      <c r="F854" s="2">
        <v>2</v>
      </c>
      <c r="G854" s="2" t="s">
        <v>11</v>
      </c>
    </row>
    <row r="855" spans="1:8" x14ac:dyDescent="0.2">
      <c r="A855" s="2" t="s">
        <v>3467</v>
      </c>
      <c r="B855" s="2" t="s">
        <v>278</v>
      </c>
      <c r="C855" s="2">
        <v>508.32909999999998</v>
      </c>
      <c r="D855" s="2">
        <f>HYPERLINK("http://mcb-m6.bioreg.kyushu-u.ac.jp/M3/20110414/F50945/1128/1", 49.56)</f>
        <v>49.56</v>
      </c>
      <c r="E855" s="2">
        <v>19.29</v>
      </c>
      <c r="F855" s="2">
        <v>2</v>
      </c>
      <c r="G855" s="2" t="s">
        <v>11</v>
      </c>
      <c r="H855" s="2" t="s">
        <v>4915</v>
      </c>
    </row>
    <row r="856" spans="1:8" x14ac:dyDescent="0.2">
      <c r="A856" s="2" t="s">
        <v>3467</v>
      </c>
      <c r="B856" s="2" t="s">
        <v>278</v>
      </c>
      <c r="C856" s="2">
        <v>1014.283</v>
      </c>
      <c r="D856" s="2">
        <f>HYPERLINK("http://mcb-m6.bioreg.kyushu-u.ac.jp/M3/20110414/F50929/1544/1", 50.57)</f>
        <v>50.57</v>
      </c>
      <c r="E856" s="2">
        <v>26.96</v>
      </c>
      <c r="F856" s="2">
        <v>1</v>
      </c>
      <c r="G856" s="2" t="s">
        <v>11</v>
      </c>
      <c r="H856" s="2" t="s">
        <v>4915</v>
      </c>
    </row>
    <row r="857" spans="1:8" x14ac:dyDescent="0.2">
      <c r="A857" s="2" t="s">
        <v>3467</v>
      </c>
      <c r="B857" s="2" t="s">
        <v>278</v>
      </c>
      <c r="C857" s="2">
        <v>1014.389</v>
      </c>
      <c r="D857" s="2">
        <f>HYPERLINK("http://mcb-m6.bioreg.kyushu-u.ac.jp/M3/20110414/F50941/927/1", 60.06)</f>
        <v>60.06</v>
      </c>
      <c r="E857" s="2">
        <v>43.64</v>
      </c>
      <c r="F857" s="2">
        <v>1</v>
      </c>
      <c r="G857" s="2" t="s">
        <v>11</v>
      </c>
      <c r="H857" s="2" t="s">
        <v>4915</v>
      </c>
    </row>
    <row r="858" spans="1:8" x14ac:dyDescent="0.2">
      <c r="A858" s="2" t="s">
        <v>3467</v>
      </c>
      <c r="B858" s="2" t="s">
        <v>278</v>
      </c>
      <c r="C858" s="2">
        <v>1014.144</v>
      </c>
      <c r="D858" s="2">
        <f>HYPERLINK("http://mcb-m6.bioreg.kyushu-u.ac.jp/M3/20110414/F50927/1388/1", 60.21)</f>
        <v>60.21</v>
      </c>
      <c r="E858" s="2">
        <v>32.659999999999997</v>
      </c>
      <c r="F858" s="2">
        <v>1</v>
      </c>
      <c r="G858" s="2" t="s">
        <v>11</v>
      </c>
      <c r="H858" s="2" t="s">
        <v>4915</v>
      </c>
    </row>
    <row r="859" spans="1:8" x14ac:dyDescent="0.2">
      <c r="A859" s="2" t="s">
        <v>3467</v>
      </c>
      <c r="B859" s="2" t="s">
        <v>278</v>
      </c>
      <c r="C859" s="2">
        <v>1014.093</v>
      </c>
      <c r="D859" s="2">
        <f>HYPERLINK("http://mcb-m6.bioreg.kyushu-u.ac.jp/M3/20110414/F50928/1256/1", 60.22)</f>
        <v>60.22</v>
      </c>
      <c r="E859" s="2">
        <v>35.64</v>
      </c>
      <c r="F859" s="2">
        <v>1</v>
      </c>
      <c r="G859" s="2" t="s">
        <v>11</v>
      </c>
      <c r="H859" s="2" t="s">
        <v>4915</v>
      </c>
    </row>
    <row r="860" spans="1:8" x14ac:dyDescent="0.2">
      <c r="A860" s="2" t="s">
        <v>3467</v>
      </c>
      <c r="B860" s="2" t="s">
        <v>278</v>
      </c>
      <c r="C860" s="2">
        <v>1014.367</v>
      </c>
      <c r="D860" s="2">
        <f>HYPERLINK("http://mcb-m6.bioreg.kyushu-u.ac.jp/M3/20110414/F50962/905/1", 60.27)</f>
        <v>60.27</v>
      </c>
      <c r="E860" s="2">
        <v>36.479999999999997</v>
      </c>
      <c r="F860" s="2">
        <v>1</v>
      </c>
      <c r="G860" s="2" t="s">
        <v>11</v>
      </c>
      <c r="H860" s="2" t="s">
        <v>4915</v>
      </c>
    </row>
    <row r="861" spans="1:8" x14ac:dyDescent="0.2">
      <c r="A861" s="2" t="s">
        <v>3467</v>
      </c>
      <c r="B861" s="2" t="s">
        <v>278</v>
      </c>
      <c r="C861" s="2">
        <v>998.19</v>
      </c>
      <c r="D861" s="2">
        <f>HYPERLINK("http://mcb-m6.bioreg.kyushu-u.ac.jp/M3/20110414/F50948/814/1", 36.08)</f>
        <v>36.08</v>
      </c>
      <c r="E861" s="2">
        <v>15.73</v>
      </c>
      <c r="F861" s="2">
        <v>1</v>
      </c>
      <c r="G861" s="2" t="s">
        <v>12</v>
      </c>
    </row>
    <row r="862" spans="1:8" x14ac:dyDescent="0.2">
      <c r="A862" s="2" t="s">
        <v>3467</v>
      </c>
      <c r="B862" s="2" t="s">
        <v>278</v>
      </c>
      <c r="C862" s="2">
        <v>998.423</v>
      </c>
      <c r="D862" s="2">
        <f>HYPERLINK("http://mcb-m6.bioreg.kyushu-u.ac.jp/M3/20110414/F50946/1007/1", 38.94)</f>
        <v>38.94</v>
      </c>
      <c r="E862" s="2">
        <v>25.96</v>
      </c>
      <c r="F862" s="2">
        <v>1</v>
      </c>
      <c r="G862" s="2" t="s">
        <v>12</v>
      </c>
    </row>
    <row r="863" spans="1:8" x14ac:dyDescent="0.2">
      <c r="A863" s="2" t="s">
        <v>3467</v>
      </c>
      <c r="B863" s="2" t="s">
        <v>278</v>
      </c>
      <c r="C863" s="2">
        <v>1014.438</v>
      </c>
      <c r="D863" s="2">
        <f>HYPERLINK("http://mcb-m6.bioreg.kyushu-u.ac.jp/M3/20110414/F50947/835/1", 49.62)</f>
        <v>49.62</v>
      </c>
      <c r="E863" s="2">
        <v>33.25</v>
      </c>
      <c r="F863" s="2">
        <v>1</v>
      </c>
      <c r="G863" s="2" t="s">
        <v>12</v>
      </c>
      <c r="H863" s="2" t="s">
        <v>4915</v>
      </c>
    </row>
    <row r="864" spans="1:8" x14ac:dyDescent="0.2">
      <c r="A864" s="2" t="s">
        <v>3467</v>
      </c>
      <c r="B864" s="2" t="s">
        <v>278</v>
      </c>
      <c r="C864" s="2">
        <v>1014.415</v>
      </c>
      <c r="D864" s="2">
        <f>HYPERLINK("http://mcb-m6.bioreg.kyushu-u.ac.jp/M3/20110414/F50933/1494/1", 60.09)</f>
        <v>60.09</v>
      </c>
      <c r="E864" s="2">
        <v>42.12</v>
      </c>
      <c r="F864" s="2">
        <v>1</v>
      </c>
      <c r="G864" s="2" t="s">
        <v>12</v>
      </c>
      <c r="H864" s="2" t="s">
        <v>4915</v>
      </c>
    </row>
    <row r="865" spans="1:8" x14ac:dyDescent="0.2">
      <c r="A865" s="2" t="s">
        <v>3467</v>
      </c>
      <c r="B865" s="2" t="s">
        <v>278</v>
      </c>
      <c r="C865" s="2">
        <v>1014.297</v>
      </c>
      <c r="D865" s="2">
        <f>HYPERLINK("http://mcb-m6.bioreg.kyushu-u.ac.jp/M3/20110414/F50963/794/1", 60.18)</f>
        <v>60.18</v>
      </c>
      <c r="E865" s="2">
        <v>36.42</v>
      </c>
      <c r="F865" s="2">
        <v>1</v>
      </c>
      <c r="G865" s="2" t="s">
        <v>12</v>
      </c>
      <c r="H865" s="2" t="s">
        <v>4915</v>
      </c>
    </row>
    <row r="866" spans="1:8" x14ac:dyDescent="0.2">
      <c r="A866" s="2" t="s">
        <v>3467</v>
      </c>
      <c r="B866" s="2" t="s">
        <v>278</v>
      </c>
      <c r="C866" s="2">
        <v>499.89710000000002</v>
      </c>
      <c r="D866" s="2">
        <f>HYPERLINK("http://mcb-m6.bioreg.kyushu-u.ac.jp/M3/20110502/F51168/1165/1", 35.09)</f>
        <v>35.090000000000003</v>
      </c>
      <c r="E866" s="2">
        <v>10.130000000000001</v>
      </c>
      <c r="F866" s="2">
        <v>2</v>
      </c>
      <c r="G866" s="2" t="s">
        <v>13</v>
      </c>
    </row>
    <row r="867" spans="1:8" x14ac:dyDescent="0.2">
      <c r="A867" s="2" t="s">
        <v>3467</v>
      </c>
      <c r="B867" s="2" t="s">
        <v>278</v>
      </c>
      <c r="C867" s="2">
        <v>507.92860000000002</v>
      </c>
      <c r="D867" s="2">
        <f>HYPERLINK("http://mcb-m6.bioreg.kyushu-u.ac.jp/M3/20110502/F51188/910/1", 38.63)</f>
        <v>38.630000000000003</v>
      </c>
      <c r="E867" s="2">
        <v>15.04</v>
      </c>
      <c r="F867" s="2">
        <v>2</v>
      </c>
      <c r="G867" s="2" t="s">
        <v>13</v>
      </c>
      <c r="H867" s="2" t="s">
        <v>4915</v>
      </c>
    </row>
    <row r="868" spans="1:8" x14ac:dyDescent="0.2">
      <c r="A868" s="2" t="s">
        <v>3467</v>
      </c>
      <c r="B868" s="2" t="s">
        <v>278</v>
      </c>
      <c r="C868" s="2">
        <v>998.71100000000001</v>
      </c>
      <c r="D868" s="2">
        <f>HYPERLINK("http://mcb-m6.bioreg.kyushu-u.ac.jp/M3/20110502/F51180/696/1", 42.38)</f>
        <v>42.38</v>
      </c>
      <c r="E868" s="2">
        <v>14.57</v>
      </c>
      <c r="F868" s="2">
        <v>1</v>
      </c>
      <c r="G868" s="2" t="s">
        <v>13</v>
      </c>
    </row>
    <row r="869" spans="1:8" x14ac:dyDescent="0.2">
      <c r="A869" s="2" t="s">
        <v>3467</v>
      </c>
      <c r="B869" s="2" t="s">
        <v>278</v>
      </c>
      <c r="C869" s="2">
        <v>998.67399999999998</v>
      </c>
      <c r="D869" s="2">
        <f>HYPERLINK("http://mcb-m6.bioreg.kyushu-u.ac.jp/M3/20110502/F51169/1135/1", 42.39)</f>
        <v>42.39</v>
      </c>
      <c r="E869" s="2">
        <v>30.36</v>
      </c>
      <c r="F869" s="2">
        <v>1</v>
      </c>
      <c r="G869" s="2" t="s">
        <v>13</v>
      </c>
    </row>
    <row r="870" spans="1:8" x14ac:dyDescent="0.2">
      <c r="A870" s="2" t="s">
        <v>3467</v>
      </c>
      <c r="B870" s="2" t="s">
        <v>278</v>
      </c>
      <c r="C870" s="2">
        <v>1015.191</v>
      </c>
      <c r="D870" s="2">
        <f>HYPERLINK("http://mcb-m6.bioreg.kyushu-u.ac.jp/M3/20110502/F51187/806/1", 47.03)</f>
        <v>47.03</v>
      </c>
      <c r="E870" s="2">
        <v>28.19</v>
      </c>
      <c r="F870" s="2">
        <v>1</v>
      </c>
      <c r="G870" s="2" t="s">
        <v>13</v>
      </c>
      <c r="H870" s="2" t="s">
        <v>4915</v>
      </c>
    </row>
    <row r="871" spans="1:8" x14ac:dyDescent="0.2">
      <c r="A871" s="2" t="s">
        <v>3467</v>
      </c>
      <c r="B871" s="2" t="s">
        <v>278</v>
      </c>
      <c r="C871" s="2">
        <v>499.86509999999998</v>
      </c>
      <c r="D871" s="2">
        <f>HYPERLINK("http://mcb-m6.bioreg.kyushu-u.ac.jp/M3/20110502/F51187/761/1", 47.5)</f>
        <v>47.5</v>
      </c>
      <c r="E871" s="2">
        <v>27.17</v>
      </c>
      <c r="F871" s="2">
        <v>2</v>
      </c>
      <c r="G871" s="2" t="s">
        <v>13</v>
      </c>
    </row>
    <row r="872" spans="1:8" x14ac:dyDescent="0.2">
      <c r="A872" s="2" t="s">
        <v>3467</v>
      </c>
      <c r="B872" s="2" t="s">
        <v>278</v>
      </c>
      <c r="C872" s="2">
        <v>508.07060000000001</v>
      </c>
      <c r="D872" s="2">
        <f>HYPERLINK("http://mcb-m6.bioreg.kyushu-u.ac.jp/M3/20110502/F51168/1198/1", 48.5)</f>
        <v>48.5</v>
      </c>
      <c r="E872" s="2">
        <v>19.03</v>
      </c>
      <c r="F872" s="2">
        <v>2</v>
      </c>
      <c r="G872" s="2" t="s">
        <v>13</v>
      </c>
      <c r="H872" s="2" t="s">
        <v>4915</v>
      </c>
    </row>
    <row r="873" spans="1:8" x14ac:dyDescent="0.2">
      <c r="A873" s="2" t="s">
        <v>3467</v>
      </c>
      <c r="B873" s="2" t="s">
        <v>278</v>
      </c>
      <c r="C873" s="2">
        <v>1014.5359999999999</v>
      </c>
      <c r="D873" s="2">
        <f>HYPERLINK("http://mcb-m6.bioreg.kyushu-u.ac.jp/M3/20110502/F51169/1182/1", 60.19)</f>
        <v>60.19</v>
      </c>
      <c r="E873" s="2">
        <v>40.07</v>
      </c>
      <c r="F873" s="2">
        <v>1</v>
      </c>
      <c r="G873" s="2" t="s">
        <v>13</v>
      </c>
      <c r="H873" s="2" t="s">
        <v>4915</v>
      </c>
    </row>
    <row r="874" spans="1:8" x14ac:dyDescent="0.2">
      <c r="A874" s="2" t="s">
        <v>3467</v>
      </c>
      <c r="B874" s="2" t="s">
        <v>278</v>
      </c>
      <c r="C874" s="2">
        <v>999.63800000000003</v>
      </c>
      <c r="D874" s="2">
        <f>HYPERLINK("http://mcb-m6.bioreg.kyushu-u.ac.jp/M3/20110502/F51177/639/1", 38.2)</f>
        <v>38.200000000000003</v>
      </c>
      <c r="E874" s="2">
        <v>23.12</v>
      </c>
      <c r="F874" s="2">
        <v>1</v>
      </c>
      <c r="G874" s="2" t="s">
        <v>14</v>
      </c>
    </row>
    <row r="875" spans="1:8" x14ac:dyDescent="0.2">
      <c r="A875" s="2" t="s">
        <v>3467</v>
      </c>
      <c r="B875" s="2" t="s">
        <v>278</v>
      </c>
      <c r="C875" s="2">
        <v>500.1311</v>
      </c>
      <c r="D875" s="2">
        <f>HYPERLINK("http://mcb-m6.bioreg.kyushu-u.ac.jp/M3/20110502/F51182/717/1", 38.89)</f>
        <v>38.89</v>
      </c>
      <c r="E875" s="2">
        <v>15.61</v>
      </c>
      <c r="F875" s="2">
        <v>2</v>
      </c>
      <c r="G875" s="2" t="s">
        <v>14</v>
      </c>
    </row>
    <row r="876" spans="1:8" x14ac:dyDescent="0.2">
      <c r="A876" s="2" t="s">
        <v>3467</v>
      </c>
      <c r="B876" s="2" t="s">
        <v>278</v>
      </c>
      <c r="C876" s="2">
        <v>500.02010000000001</v>
      </c>
      <c r="D876" s="2">
        <f>HYPERLINK("http://mcb-m6.bioreg.kyushu-u.ac.jp/M3/20110502/F51191/741/1", 39.68)</f>
        <v>39.68</v>
      </c>
      <c r="E876" s="2">
        <v>15.07</v>
      </c>
      <c r="F876" s="2">
        <v>2</v>
      </c>
      <c r="G876" s="2" t="s">
        <v>14</v>
      </c>
    </row>
    <row r="877" spans="1:8" x14ac:dyDescent="0.2">
      <c r="A877" s="2" t="s">
        <v>3467</v>
      </c>
      <c r="B877" s="2" t="s">
        <v>278</v>
      </c>
      <c r="C877" s="2">
        <v>508.32709999999997</v>
      </c>
      <c r="D877" s="2">
        <f>HYPERLINK("http://mcb-m6.bioreg.kyushu-u.ac.jp/M3/20110502/F51191/787/1", 53.69)</f>
        <v>53.69</v>
      </c>
      <c r="E877" s="2">
        <v>20.22</v>
      </c>
      <c r="F877" s="2">
        <v>2</v>
      </c>
      <c r="G877" s="2" t="s">
        <v>14</v>
      </c>
      <c r="H877" s="2" t="s">
        <v>4915</v>
      </c>
    </row>
    <row r="878" spans="1:8" x14ac:dyDescent="0.2">
      <c r="A878" s="2" t="s">
        <v>3467</v>
      </c>
      <c r="B878" s="2" t="s">
        <v>278</v>
      </c>
      <c r="C878" s="2">
        <v>1014.657</v>
      </c>
      <c r="D878" s="2">
        <f>HYPERLINK("http://mcb-m6.bioreg.kyushu-u.ac.jp/M3/20110502/F51178/1131/1", 54.31)</f>
        <v>54.31</v>
      </c>
      <c r="E878" s="2">
        <v>30.04</v>
      </c>
      <c r="F878" s="2">
        <v>1</v>
      </c>
      <c r="G878" s="2" t="s">
        <v>14</v>
      </c>
      <c r="H878" s="2" t="s">
        <v>4915</v>
      </c>
    </row>
    <row r="879" spans="1:8" x14ac:dyDescent="0.2">
      <c r="A879" s="2" t="s">
        <v>3467</v>
      </c>
      <c r="B879" s="2" t="s">
        <v>278</v>
      </c>
      <c r="C879" s="2">
        <v>1014.74</v>
      </c>
      <c r="D879" s="2">
        <f>HYPERLINK("http://mcb-m6.bioreg.kyushu-u.ac.jp/M3/20110502/F51191/784/1", 60.25)</f>
        <v>60.25</v>
      </c>
      <c r="E879" s="2">
        <v>36.450000000000003</v>
      </c>
      <c r="F879" s="2">
        <v>1</v>
      </c>
      <c r="G879" s="2" t="s">
        <v>14</v>
      </c>
      <c r="H879" s="2" t="s">
        <v>4915</v>
      </c>
    </row>
    <row r="880" spans="1:8" x14ac:dyDescent="0.2">
      <c r="A880" s="2" t="s">
        <v>3467</v>
      </c>
      <c r="B880" s="2" t="s">
        <v>278</v>
      </c>
      <c r="C880" s="2">
        <v>1014.748</v>
      </c>
      <c r="D880" s="2">
        <f>HYPERLINK("http://mcb-m6.bioreg.kyushu-u.ac.jp/M3/20110502/F51179/644/1", 65.26)</f>
        <v>65.260000000000005</v>
      </c>
      <c r="E880" s="2">
        <v>41.5</v>
      </c>
      <c r="F880" s="2">
        <v>1</v>
      </c>
      <c r="G880" s="2" t="s">
        <v>14</v>
      </c>
      <c r="H880" s="2" t="s">
        <v>4915</v>
      </c>
    </row>
    <row r="881" spans="1:7" x14ac:dyDescent="0.2">
      <c r="A881" s="2" t="s">
        <v>3892</v>
      </c>
      <c r="B881" s="2" t="s">
        <v>1035</v>
      </c>
      <c r="C881" s="2">
        <v>1198.5260000000001</v>
      </c>
      <c r="D881" s="2">
        <f>HYPERLINK("http://mcb-m6.bioreg.kyushu-u.ac.jp/M3/20110411/F50919/1022/1", 59.7)</f>
        <v>59.7</v>
      </c>
      <c r="E881" s="2">
        <v>43.76</v>
      </c>
      <c r="F881" s="2">
        <v>1</v>
      </c>
      <c r="G881" s="2" t="s">
        <v>9</v>
      </c>
    </row>
    <row r="882" spans="1:7" x14ac:dyDescent="0.2">
      <c r="A882" s="2" t="s">
        <v>3892</v>
      </c>
      <c r="B882" s="2" t="s">
        <v>1035</v>
      </c>
      <c r="C882" s="2">
        <v>1198.5239999999999</v>
      </c>
      <c r="D882" s="2">
        <f>HYPERLINK("http://mcb-m6.bioreg.kyushu-u.ac.jp/M3/20110411/F50892/1639/1", 64.06)</f>
        <v>64.06</v>
      </c>
      <c r="E882" s="2">
        <v>51.82</v>
      </c>
      <c r="F882" s="2">
        <v>1</v>
      </c>
      <c r="G882" s="2" t="s">
        <v>9</v>
      </c>
    </row>
    <row r="883" spans="1:7" x14ac:dyDescent="0.2">
      <c r="A883" s="2" t="s">
        <v>3892</v>
      </c>
      <c r="B883" s="2" t="s">
        <v>1035</v>
      </c>
      <c r="C883" s="2">
        <v>1198.874</v>
      </c>
      <c r="D883" s="2">
        <f>HYPERLINK("http://mcb-m6.bioreg.kyushu-u.ac.jp/M3/20110411/F50895/1435/1", 75.64)</f>
        <v>75.64</v>
      </c>
      <c r="E883" s="2">
        <v>52.56</v>
      </c>
      <c r="F883" s="2">
        <v>1</v>
      </c>
      <c r="G883" s="2" t="s">
        <v>9</v>
      </c>
    </row>
    <row r="884" spans="1:7" x14ac:dyDescent="0.2">
      <c r="A884" s="2" t="s">
        <v>3892</v>
      </c>
      <c r="B884" s="2" t="s">
        <v>1035</v>
      </c>
      <c r="C884" s="2">
        <v>599.97559999999999</v>
      </c>
      <c r="D884" s="2">
        <f>HYPERLINK("http://mcb-m6.bioreg.kyushu-u.ac.jp/M3/20110411/F50892/1642/1", 77.2)</f>
        <v>77.2</v>
      </c>
      <c r="E884" s="2">
        <v>62.32</v>
      </c>
      <c r="F884" s="2">
        <v>2</v>
      </c>
      <c r="G884" s="2" t="s">
        <v>9</v>
      </c>
    </row>
    <row r="885" spans="1:7" x14ac:dyDescent="0.2">
      <c r="A885" s="2" t="s">
        <v>3892</v>
      </c>
      <c r="B885" s="2" t="s">
        <v>1035</v>
      </c>
      <c r="C885" s="2">
        <v>1198.828</v>
      </c>
      <c r="D885" s="2">
        <f>HYPERLINK("http://mcb-m6.bioreg.kyushu-u.ac.jp/M3/20110411/F50904/1428/1", 80.43)</f>
        <v>80.430000000000007</v>
      </c>
      <c r="E885" s="2">
        <v>60.66</v>
      </c>
      <c r="F885" s="2">
        <v>1</v>
      </c>
      <c r="G885" s="2" t="s">
        <v>9</v>
      </c>
    </row>
    <row r="886" spans="1:7" x14ac:dyDescent="0.2">
      <c r="A886" s="2" t="s">
        <v>3892</v>
      </c>
      <c r="B886" s="2" t="s">
        <v>1035</v>
      </c>
      <c r="C886" s="2">
        <v>1199.6559999999999</v>
      </c>
      <c r="D886" s="2">
        <f>HYPERLINK("http://mcb-m6.bioreg.kyushu-u.ac.jp/M3/20110411/F50900/1656/1", 55.04)</f>
        <v>55.04</v>
      </c>
      <c r="E886" s="2">
        <v>24.78</v>
      </c>
      <c r="F886" s="2">
        <v>1</v>
      </c>
      <c r="G886" s="2" t="s">
        <v>10</v>
      </c>
    </row>
    <row r="887" spans="1:7" x14ac:dyDescent="0.2">
      <c r="A887" s="2" t="s">
        <v>3892</v>
      </c>
      <c r="B887" s="2" t="s">
        <v>1035</v>
      </c>
      <c r="C887" s="2">
        <v>1198.6659999999999</v>
      </c>
      <c r="D887" s="2">
        <f>HYPERLINK("http://mcb-m6.bioreg.kyushu-u.ac.jp/M3/20110411/F50898/1787/1", 59.87)</f>
        <v>59.87</v>
      </c>
      <c r="E887" s="2">
        <v>43.44</v>
      </c>
      <c r="F887" s="2">
        <v>1</v>
      </c>
      <c r="G887" s="2" t="s">
        <v>10</v>
      </c>
    </row>
    <row r="888" spans="1:7" x14ac:dyDescent="0.2">
      <c r="A888" s="2" t="s">
        <v>3892</v>
      </c>
      <c r="B888" s="2" t="s">
        <v>1035</v>
      </c>
      <c r="C888" s="2">
        <v>600.32669999999996</v>
      </c>
      <c r="D888" s="2">
        <f>HYPERLINK("http://mcb-m6.bioreg.kyushu-u.ac.jp/M3/20110411/F50918/1161/1", 63.53)</f>
        <v>63.53</v>
      </c>
      <c r="E888" s="2">
        <v>48.14</v>
      </c>
      <c r="F888" s="2">
        <v>2</v>
      </c>
      <c r="G888" s="2" t="s">
        <v>10</v>
      </c>
    </row>
    <row r="889" spans="1:7" x14ac:dyDescent="0.2">
      <c r="A889" s="2" t="s">
        <v>3892</v>
      </c>
      <c r="B889" s="2" t="s">
        <v>1035</v>
      </c>
      <c r="C889" s="2">
        <v>1198.771</v>
      </c>
      <c r="D889" s="2">
        <f>HYPERLINK("http://mcb-m6.bioreg.kyushu-u.ac.jp/M3/20110411/F50901/1504/1", 66.98)</f>
        <v>66.98</v>
      </c>
      <c r="E889" s="2">
        <v>50.28</v>
      </c>
      <c r="F889" s="2">
        <v>1</v>
      </c>
      <c r="G889" s="2" t="s">
        <v>10</v>
      </c>
    </row>
    <row r="890" spans="1:7" x14ac:dyDescent="0.2">
      <c r="A890" s="2" t="s">
        <v>3892</v>
      </c>
      <c r="B890" s="2" t="s">
        <v>1035</v>
      </c>
      <c r="C890" s="2">
        <v>1198.655</v>
      </c>
      <c r="D890" s="2">
        <f>HYPERLINK("http://mcb-m6.bioreg.kyushu-u.ac.jp/M3/20110411/F50921/1191/1", 69.94)</f>
        <v>69.94</v>
      </c>
      <c r="E890" s="2">
        <v>53.2</v>
      </c>
      <c r="F890" s="2">
        <v>1</v>
      </c>
      <c r="G890" s="2" t="s">
        <v>10</v>
      </c>
    </row>
    <row r="891" spans="1:7" x14ac:dyDescent="0.2">
      <c r="A891" s="2" t="s">
        <v>3892</v>
      </c>
      <c r="B891" s="2" t="s">
        <v>1035</v>
      </c>
      <c r="C891" s="2">
        <v>600.20010000000002</v>
      </c>
      <c r="D891" s="2">
        <f>HYPERLINK("http://mcb-m6.bioreg.kyushu-u.ac.jp/M3/20110411/F50921/1201/1", 72.41)</f>
        <v>72.41</v>
      </c>
      <c r="E891" s="2">
        <v>55.86</v>
      </c>
      <c r="F891" s="2">
        <v>2</v>
      </c>
      <c r="G891" s="2" t="s">
        <v>10</v>
      </c>
    </row>
    <row r="892" spans="1:7" x14ac:dyDescent="0.2">
      <c r="A892" s="2" t="s">
        <v>3892</v>
      </c>
      <c r="B892" s="2" t="s">
        <v>1035</v>
      </c>
      <c r="C892" s="2">
        <v>1198.4559999999999</v>
      </c>
      <c r="D892" s="2">
        <f>HYPERLINK("http://mcb-m6.bioreg.kyushu-u.ac.jp/M3/20110411/F50914/1466/1", 76.46)</f>
        <v>76.459999999999994</v>
      </c>
      <c r="E892" s="2">
        <v>60.49</v>
      </c>
      <c r="F892" s="2">
        <v>1</v>
      </c>
      <c r="G892" s="2" t="s">
        <v>10</v>
      </c>
    </row>
    <row r="893" spans="1:7" x14ac:dyDescent="0.2">
      <c r="A893" s="2" t="s">
        <v>3892</v>
      </c>
      <c r="B893" s="2" t="s">
        <v>1035</v>
      </c>
      <c r="C893" s="2">
        <v>1198.6189999999999</v>
      </c>
      <c r="D893" s="2">
        <f>HYPERLINK("http://mcb-m6.bioreg.kyushu-u.ac.jp/M3/20110411/F50900/1653/1", 76.53)</f>
        <v>76.53</v>
      </c>
      <c r="E893" s="2">
        <v>53.85</v>
      </c>
      <c r="F893" s="2">
        <v>1</v>
      </c>
      <c r="G893" s="2" t="s">
        <v>10</v>
      </c>
    </row>
    <row r="894" spans="1:7" x14ac:dyDescent="0.2">
      <c r="A894" s="2" t="s">
        <v>3892</v>
      </c>
      <c r="B894" s="2" t="s">
        <v>1035</v>
      </c>
      <c r="C894" s="2">
        <v>1198.902</v>
      </c>
      <c r="D894" s="2">
        <f>HYPERLINK("http://mcb-m6.bioreg.kyushu-u.ac.jp/M3/20110411/F50912/1437/1", 76.58)</f>
        <v>76.58</v>
      </c>
      <c r="E894" s="2">
        <v>45.83</v>
      </c>
      <c r="F894" s="2">
        <v>1</v>
      </c>
      <c r="G894" s="2" t="s">
        <v>10</v>
      </c>
    </row>
    <row r="895" spans="1:7" x14ac:dyDescent="0.2">
      <c r="A895" s="2" t="s">
        <v>3892</v>
      </c>
      <c r="B895" s="2" t="s">
        <v>1035</v>
      </c>
      <c r="C895" s="2">
        <v>1198.69</v>
      </c>
      <c r="D895" s="2">
        <f>HYPERLINK("http://mcb-m6.bioreg.kyushu-u.ac.jp/M3/20110411/F50913/1404/1", 76.59)</f>
        <v>76.59</v>
      </c>
      <c r="E895" s="2">
        <v>55.37</v>
      </c>
      <c r="F895" s="2">
        <v>1</v>
      </c>
      <c r="G895" s="2" t="s">
        <v>10</v>
      </c>
    </row>
    <row r="896" spans="1:7" x14ac:dyDescent="0.2">
      <c r="A896" s="2" t="s">
        <v>3892</v>
      </c>
      <c r="B896" s="2" t="s">
        <v>1035</v>
      </c>
      <c r="C896" s="2">
        <v>1198.671</v>
      </c>
      <c r="D896" s="2">
        <f>HYPERLINK("http://mcb-m6.bioreg.kyushu-u.ac.jp/M3/20110411/F50902/1443/1", 80.47)</f>
        <v>80.47</v>
      </c>
      <c r="E896" s="2">
        <v>55.54</v>
      </c>
      <c r="F896" s="2">
        <v>1</v>
      </c>
      <c r="G896" s="2" t="s">
        <v>10</v>
      </c>
    </row>
    <row r="897" spans="1:7" x14ac:dyDescent="0.2">
      <c r="A897" s="2" t="s">
        <v>3892</v>
      </c>
      <c r="B897" s="2" t="s">
        <v>1035</v>
      </c>
      <c r="C897" s="2">
        <v>599.98910000000001</v>
      </c>
      <c r="D897" s="2">
        <f>HYPERLINK("http://mcb-m6.bioreg.kyushu-u.ac.jp/M3/20110411/F50912/1438/1", 82.31)</f>
        <v>82.31</v>
      </c>
      <c r="E897" s="2">
        <v>63.14</v>
      </c>
      <c r="F897" s="2">
        <v>2</v>
      </c>
      <c r="G897" s="2" t="s">
        <v>10</v>
      </c>
    </row>
    <row r="898" spans="1:7" x14ac:dyDescent="0.2">
      <c r="A898" s="2" t="s">
        <v>3892</v>
      </c>
      <c r="B898" s="2" t="s">
        <v>1035</v>
      </c>
      <c r="C898" s="2">
        <v>599.96119999999996</v>
      </c>
      <c r="D898" s="2">
        <f>HYPERLINK("http://mcb-m6.bioreg.kyushu-u.ac.jp/M3/20110414/F50942/1199/1", 56.17)</f>
        <v>56.17</v>
      </c>
      <c r="E898" s="2">
        <v>41.16</v>
      </c>
      <c r="F898" s="2">
        <v>2</v>
      </c>
      <c r="G898" s="2" t="s">
        <v>11</v>
      </c>
    </row>
    <row r="899" spans="1:7" x14ac:dyDescent="0.2">
      <c r="A899" s="2" t="s">
        <v>3892</v>
      </c>
      <c r="B899" s="2" t="s">
        <v>1035</v>
      </c>
      <c r="C899" s="2">
        <v>600.34010000000001</v>
      </c>
      <c r="D899" s="2">
        <f>HYPERLINK("http://mcb-m6.bioreg.kyushu-u.ac.jp/M3/20110414/F50924/1471/1", 59.47)</f>
        <v>59.47</v>
      </c>
      <c r="E899" s="2">
        <v>43.78</v>
      </c>
      <c r="F899" s="2">
        <v>2</v>
      </c>
      <c r="G899" s="2" t="s">
        <v>11</v>
      </c>
    </row>
    <row r="900" spans="1:7" x14ac:dyDescent="0.2">
      <c r="A900" s="2" t="s">
        <v>3892</v>
      </c>
      <c r="B900" s="2" t="s">
        <v>1035</v>
      </c>
      <c r="C900" s="2">
        <v>600.22609999999997</v>
      </c>
      <c r="D900" s="2">
        <f>HYPERLINK("http://mcb-m6.bioreg.kyushu-u.ac.jp/M3/20110414/F50945/1431/1", 69.01)</f>
        <v>69.010000000000005</v>
      </c>
      <c r="E900" s="2">
        <v>52.75</v>
      </c>
      <c r="F900" s="2">
        <v>2</v>
      </c>
      <c r="G900" s="2" t="s">
        <v>11</v>
      </c>
    </row>
    <row r="901" spans="1:7" x14ac:dyDescent="0.2">
      <c r="A901" s="2" t="s">
        <v>3892</v>
      </c>
      <c r="B901" s="2" t="s">
        <v>1035</v>
      </c>
      <c r="C901" s="2">
        <v>599.79909999999995</v>
      </c>
      <c r="D901" s="2">
        <f>HYPERLINK("http://mcb-m6.bioreg.kyushu-u.ac.jp/M3/20110414/F50943/1227/1", 69.04)</f>
        <v>69.040000000000006</v>
      </c>
      <c r="E901" s="2">
        <v>50.98</v>
      </c>
      <c r="F901" s="2">
        <v>2</v>
      </c>
      <c r="G901" s="2" t="s">
        <v>11</v>
      </c>
    </row>
    <row r="902" spans="1:7" x14ac:dyDescent="0.2">
      <c r="A902" s="2" t="s">
        <v>3892</v>
      </c>
      <c r="B902" s="2" t="s">
        <v>1035</v>
      </c>
      <c r="C902" s="2">
        <v>600.35609999999997</v>
      </c>
      <c r="D902" s="2">
        <f>HYPERLINK("http://mcb-m6.bioreg.kyushu-u.ac.jp/M3/20110414/F50943/1231/1", 71.33)</f>
        <v>71.33</v>
      </c>
      <c r="E902" s="2">
        <v>55.67</v>
      </c>
      <c r="F902" s="2">
        <v>2</v>
      </c>
      <c r="G902" s="2" t="s">
        <v>11</v>
      </c>
    </row>
    <row r="903" spans="1:7" x14ac:dyDescent="0.2">
      <c r="A903" s="2" t="s">
        <v>3892</v>
      </c>
      <c r="B903" s="2" t="s">
        <v>1035</v>
      </c>
      <c r="C903" s="2">
        <v>1198.4929999999999</v>
      </c>
      <c r="D903" s="2">
        <f>HYPERLINK("http://mcb-m6.bioreg.kyushu-u.ac.jp/M3/20110414/F50962/1243/1", 76.61)</f>
        <v>76.61</v>
      </c>
      <c r="E903" s="2">
        <v>51.82</v>
      </c>
      <c r="F903" s="2">
        <v>1</v>
      </c>
      <c r="G903" s="2" t="s">
        <v>11</v>
      </c>
    </row>
    <row r="904" spans="1:7" x14ac:dyDescent="0.2">
      <c r="A904" s="2" t="s">
        <v>3892</v>
      </c>
      <c r="B904" s="2" t="s">
        <v>1035</v>
      </c>
      <c r="C904" s="2">
        <v>599.69960000000003</v>
      </c>
      <c r="D904" s="2">
        <f>HYPERLINK("http://mcb-m6.bioreg.kyushu-u.ac.jp/M3/20110414/F50962/1238/1", 86.93)</f>
        <v>86.93</v>
      </c>
      <c r="E904" s="2">
        <v>68.709999999999994</v>
      </c>
      <c r="F904" s="2">
        <v>2</v>
      </c>
      <c r="G904" s="2" t="s">
        <v>11</v>
      </c>
    </row>
    <row r="905" spans="1:7" x14ac:dyDescent="0.2">
      <c r="A905" s="2" t="s">
        <v>3892</v>
      </c>
      <c r="B905" s="2" t="s">
        <v>1035</v>
      </c>
      <c r="C905" s="2">
        <v>599.68370000000004</v>
      </c>
      <c r="D905" s="2">
        <f>HYPERLINK("http://mcb-m6.bioreg.kyushu-u.ac.jp/M3/20110414/F50947/1173/1", 73.54)</f>
        <v>73.540000000000006</v>
      </c>
      <c r="E905" s="2">
        <v>53.12</v>
      </c>
      <c r="F905" s="2">
        <v>2</v>
      </c>
      <c r="G905" s="2" t="s">
        <v>12</v>
      </c>
    </row>
    <row r="906" spans="1:7" x14ac:dyDescent="0.2">
      <c r="A906" s="2" t="s">
        <v>3892</v>
      </c>
      <c r="B906" s="2" t="s">
        <v>1035</v>
      </c>
      <c r="C906" s="2">
        <v>1198.3420000000001</v>
      </c>
      <c r="D906" s="2">
        <f>HYPERLINK("http://mcb-m6.bioreg.kyushu-u.ac.jp/M3/20110414/F50963/1127/1", 80.64)</f>
        <v>80.64</v>
      </c>
      <c r="E906" s="2">
        <v>62.36</v>
      </c>
      <c r="F906" s="2">
        <v>1</v>
      </c>
      <c r="G906" s="2" t="s">
        <v>12</v>
      </c>
    </row>
    <row r="907" spans="1:7" x14ac:dyDescent="0.2">
      <c r="A907" s="2" t="s">
        <v>3892</v>
      </c>
      <c r="B907" s="2" t="s">
        <v>1035</v>
      </c>
      <c r="C907" s="2">
        <v>599.57709999999997</v>
      </c>
      <c r="D907" s="2">
        <f>HYPERLINK("http://mcb-m6.bioreg.kyushu-u.ac.jp/M3/20110414/F50963/1124/1", 86.83)</f>
        <v>86.83</v>
      </c>
      <c r="E907" s="2">
        <v>66.489999999999995</v>
      </c>
      <c r="F907" s="2">
        <v>2</v>
      </c>
      <c r="G907" s="2" t="s">
        <v>12</v>
      </c>
    </row>
    <row r="908" spans="1:7" x14ac:dyDescent="0.2">
      <c r="A908" s="2" t="s">
        <v>3892</v>
      </c>
      <c r="B908" s="2" t="s">
        <v>1035</v>
      </c>
      <c r="C908" s="2">
        <v>599.95069999999998</v>
      </c>
      <c r="D908" s="2">
        <f>HYPERLINK("http://mcb-m6.bioreg.kyushu-u.ac.jp/M3/20110502/F51174/1489/1", 51.96)</f>
        <v>51.96</v>
      </c>
      <c r="E908" s="2">
        <v>32.06</v>
      </c>
      <c r="F908" s="2">
        <v>2</v>
      </c>
      <c r="G908" s="2" t="s">
        <v>13</v>
      </c>
    </row>
    <row r="909" spans="1:7" x14ac:dyDescent="0.2">
      <c r="A909" s="2" t="s">
        <v>3892</v>
      </c>
      <c r="B909" s="2" t="s">
        <v>1035</v>
      </c>
      <c r="C909" s="2">
        <v>599.94169999999997</v>
      </c>
      <c r="D909" s="2">
        <f>HYPERLINK("http://mcb-m6.bioreg.kyushu-u.ac.jp/M3/20110502/F51173/1052/1", 63.07)</f>
        <v>63.07</v>
      </c>
      <c r="E909" s="2">
        <v>43.07</v>
      </c>
      <c r="F909" s="2">
        <v>2</v>
      </c>
      <c r="G909" s="2" t="s">
        <v>13</v>
      </c>
    </row>
    <row r="910" spans="1:7" x14ac:dyDescent="0.2">
      <c r="A910" s="2" t="s">
        <v>3892</v>
      </c>
      <c r="B910" s="2" t="s">
        <v>1035</v>
      </c>
      <c r="C910" s="2">
        <v>1198.663</v>
      </c>
      <c r="D910" s="2">
        <f>HYPERLINK("http://mcb-m6.bioreg.kyushu-u.ac.jp/M3/20110502/F51170/1430/1", 63.34)</f>
        <v>63.34</v>
      </c>
      <c r="E910" s="2">
        <v>49.99</v>
      </c>
      <c r="F910" s="2">
        <v>1</v>
      </c>
      <c r="G910" s="2" t="s">
        <v>13</v>
      </c>
    </row>
    <row r="911" spans="1:7" x14ac:dyDescent="0.2">
      <c r="A911" s="2" t="s">
        <v>3892</v>
      </c>
      <c r="B911" s="2" t="s">
        <v>1035</v>
      </c>
      <c r="C911" s="2">
        <v>599.79420000000005</v>
      </c>
      <c r="D911" s="2">
        <f>HYPERLINK("http://mcb-m6.bioreg.kyushu-u.ac.jp/M3/20110502/F51171/1455/1", 70.17)</f>
        <v>70.17</v>
      </c>
      <c r="E911" s="2">
        <v>50.81</v>
      </c>
      <c r="F911" s="2">
        <v>2</v>
      </c>
      <c r="G911" s="2" t="s">
        <v>13</v>
      </c>
    </row>
    <row r="912" spans="1:7" x14ac:dyDescent="0.2">
      <c r="A912" s="2" t="s">
        <v>3892</v>
      </c>
      <c r="B912" s="2" t="s">
        <v>1035</v>
      </c>
      <c r="C912" s="2">
        <v>1198.7059999999999</v>
      </c>
      <c r="D912" s="2">
        <f>HYPERLINK("http://mcb-m6.bioreg.kyushu-u.ac.jp/M3/20110502/F51187/1128/1", 71.11)</f>
        <v>71.11</v>
      </c>
      <c r="E912" s="2">
        <v>57.74</v>
      </c>
      <c r="F912" s="2">
        <v>1</v>
      </c>
      <c r="G912" s="2" t="s">
        <v>13</v>
      </c>
    </row>
    <row r="913" spans="1:7" x14ac:dyDescent="0.2">
      <c r="A913" s="2" t="s">
        <v>3892</v>
      </c>
      <c r="B913" s="2" t="s">
        <v>1035</v>
      </c>
      <c r="C913" s="2">
        <v>599.94119999999998</v>
      </c>
      <c r="D913" s="2">
        <f>HYPERLINK("http://mcb-m6.bioreg.kyushu-u.ac.jp/M3/20110502/F51169/1610/1", 79.35)</f>
        <v>79.349999999999994</v>
      </c>
      <c r="E913" s="2">
        <v>58.32</v>
      </c>
      <c r="F913" s="2">
        <v>2</v>
      </c>
      <c r="G913" s="2" t="s">
        <v>13</v>
      </c>
    </row>
    <row r="914" spans="1:7" x14ac:dyDescent="0.2">
      <c r="A914" s="2" t="s">
        <v>3892</v>
      </c>
      <c r="B914" s="2" t="s">
        <v>1035</v>
      </c>
      <c r="C914" s="2">
        <v>600.00620000000004</v>
      </c>
      <c r="D914" s="2">
        <f>HYPERLINK("http://mcb-m6.bioreg.kyushu-u.ac.jp/M3/20110502/F51180/1108/1", 84.13)</f>
        <v>84.13</v>
      </c>
      <c r="E914" s="2">
        <v>67</v>
      </c>
      <c r="F914" s="2">
        <v>2</v>
      </c>
      <c r="G914" s="2" t="s">
        <v>13</v>
      </c>
    </row>
    <row r="915" spans="1:7" x14ac:dyDescent="0.2">
      <c r="A915" s="2" t="s">
        <v>3892</v>
      </c>
      <c r="B915" s="2" t="s">
        <v>1035</v>
      </c>
      <c r="C915" s="2">
        <v>599.8777</v>
      </c>
      <c r="D915" s="2">
        <f>HYPERLINK("http://mcb-m6.bioreg.kyushu-u.ac.jp/M3/20110502/F51170/1431/1", 86.83)</f>
        <v>86.83</v>
      </c>
      <c r="E915" s="2">
        <v>66.69</v>
      </c>
      <c r="F915" s="2">
        <v>2</v>
      </c>
      <c r="G915" s="2" t="s">
        <v>13</v>
      </c>
    </row>
    <row r="916" spans="1:7" x14ac:dyDescent="0.2">
      <c r="A916" s="2" t="s">
        <v>3892</v>
      </c>
      <c r="B916" s="2" t="s">
        <v>1035</v>
      </c>
      <c r="C916" s="2">
        <v>599.89469999999994</v>
      </c>
      <c r="D916" s="2">
        <f>HYPERLINK("http://mcb-m6.bioreg.kyushu-u.ac.jp/M3/20110502/F51187/1129/1", 89.79)</f>
        <v>89.79</v>
      </c>
      <c r="E916" s="2">
        <v>71.069999999999993</v>
      </c>
      <c r="F916" s="2">
        <v>2</v>
      </c>
      <c r="G916" s="2" t="s">
        <v>13</v>
      </c>
    </row>
    <row r="917" spans="1:7" x14ac:dyDescent="0.2">
      <c r="A917" s="2" t="s">
        <v>3892</v>
      </c>
      <c r="B917" s="2" t="s">
        <v>1035</v>
      </c>
      <c r="C917" s="2">
        <v>599.77809999999999</v>
      </c>
      <c r="D917" s="2">
        <f>HYPERLINK("http://mcb-m6.bioreg.kyushu-u.ac.jp/M3/20110502/F51184/1015/1", 37.56)</f>
        <v>37.56</v>
      </c>
      <c r="E917" s="2">
        <v>17.03</v>
      </c>
      <c r="F917" s="2">
        <v>2</v>
      </c>
      <c r="G917" s="2" t="s">
        <v>14</v>
      </c>
    </row>
    <row r="918" spans="1:7" x14ac:dyDescent="0.2">
      <c r="A918" s="2" t="s">
        <v>3892</v>
      </c>
      <c r="B918" s="2" t="s">
        <v>1035</v>
      </c>
      <c r="C918" s="2">
        <v>599.81119999999999</v>
      </c>
      <c r="D918" s="2">
        <f>HYPERLINK("http://mcb-m6.bioreg.kyushu-u.ac.jp/M3/20110502/F51182/1126/1", 40.29)</f>
        <v>40.29</v>
      </c>
      <c r="E918" s="2">
        <v>27.26</v>
      </c>
      <c r="F918" s="2">
        <v>2</v>
      </c>
      <c r="G918" s="2" t="s">
        <v>14</v>
      </c>
    </row>
    <row r="919" spans="1:7" x14ac:dyDescent="0.2">
      <c r="A919" s="2" t="s">
        <v>3892</v>
      </c>
      <c r="B919" s="2" t="s">
        <v>1035</v>
      </c>
      <c r="C919" s="2">
        <v>600.23720000000003</v>
      </c>
      <c r="D919" s="2">
        <f>HYPERLINK("http://mcb-m6.bioreg.kyushu-u.ac.jp/M3/20110502/F51185/1171/1", 72.89)</f>
        <v>72.89</v>
      </c>
      <c r="E919" s="2">
        <v>51.83</v>
      </c>
      <c r="F919" s="2">
        <v>2</v>
      </c>
      <c r="G919" s="2" t="s">
        <v>14</v>
      </c>
    </row>
    <row r="920" spans="1:7" x14ac:dyDescent="0.2">
      <c r="A920" s="2" t="s">
        <v>3892</v>
      </c>
      <c r="B920" s="2" t="s">
        <v>1035</v>
      </c>
      <c r="C920" s="2">
        <v>599.89170000000001</v>
      </c>
      <c r="D920" s="2">
        <f>HYPERLINK("http://mcb-m6.bioreg.kyushu-u.ac.jp/M3/20110502/F51191/1108/1", 75.28)</f>
        <v>75.28</v>
      </c>
      <c r="E920" s="2">
        <v>54.7</v>
      </c>
      <c r="F920" s="2">
        <v>2</v>
      </c>
      <c r="G920" s="2" t="s">
        <v>14</v>
      </c>
    </row>
    <row r="921" spans="1:7" x14ac:dyDescent="0.2">
      <c r="A921" s="2" t="s">
        <v>3892</v>
      </c>
      <c r="B921" s="2" t="s">
        <v>1035</v>
      </c>
      <c r="C921" s="2">
        <v>599.91470000000004</v>
      </c>
      <c r="D921" s="2">
        <f>HYPERLINK("http://mcb-m6.bioreg.kyushu-u.ac.jp/M3/20110502/F51186/1236/1", 77.27)</f>
        <v>77.27</v>
      </c>
      <c r="E921" s="2">
        <v>59.91</v>
      </c>
      <c r="F921" s="2">
        <v>2</v>
      </c>
      <c r="G921" s="2" t="s">
        <v>14</v>
      </c>
    </row>
    <row r="922" spans="1:7" x14ac:dyDescent="0.2">
      <c r="A922" s="2" t="s">
        <v>3892</v>
      </c>
      <c r="B922" s="2" t="s">
        <v>1035</v>
      </c>
      <c r="C922" s="2">
        <v>1198.8109999999999</v>
      </c>
      <c r="D922" s="2">
        <f>HYPERLINK("http://mcb-m6.bioreg.kyushu-u.ac.jp/M3/20110502/F51191/1109/1", 82.25)</f>
        <v>82.25</v>
      </c>
      <c r="E922" s="2">
        <v>59.29</v>
      </c>
      <c r="F922" s="2">
        <v>1</v>
      </c>
      <c r="G922" s="2" t="s">
        <v>14</v>
      </c>
    </row>
    <row r="923" spans="1:7" x14ac:dyDescent="0.2">
      <c r="A923" s="2" t="s">
        <v>3892</v>
      </c>
      <c r="B923" s="2" t="s">
        <v>1035</v>
      </c>
      <c r="C923" s="2">
        <v>599.90869999999995</v>
      </c>
      <c r="D923" s="2">
        <f>HYPERLINK("http://mcb-m6.bioreg.kyushu-u.ac.jp/M3/20110502/F51179/1058/1", 92.02)</f>
        <v>92.02</v>
      </c>
      <c r="E923" s="2">
        <v>74.77</v>
      </c>
      <c r="F923" s="2">
        <v>2</v>
      </c>
      <c r="G923" s="2" t="s">
        <v>14</v>
      </c>
    </row>
    <row r="924" spans="1:7" x14ac:dyDescent="0.2">
      <c r="A924" s="2" t="s">
        <v>3557</v>
      </c>
      <c r="B924" s="2" t="s">
        <v>414</v>
      </c>
      <c r="C924" s="2">
        <v>678.41110000000003</v>
      </c>
      <c r="D924" s="2">
        <f>HYPERLINK("http://mcb-m6.bioreg.kyushu-u.ac.jp/M3/20110411/F50892/1897/1", 41.35)</f>
        <v>41.35</v>
      </c>
      <c r="E924" s="2">
        <v>21.47</v>
      </c>
      <c r="F924" s="2">
        <v>2</v>
      </c>
      <c r="G924" s="2" t="s">
        <v>9</v>
      </c>
    </row>
    <row r="925" spans="1:7" x14ac:dyDescent="0.2">
      <c r="A925" s="2" t="s">
        <v>3557</v>
      </c>
      <c r="B925" s="2" t="s">
        <v>414</v>
      </c>
      <c r="C925" s="2">
        <v>678.01419999999996</v>
      </c>
      <c r="D925" s="2">
        <f>HYPERLINK("http://mcb-m6.bioreg.kyushu-u.ac.jp/M3/20110411/F50911/1734/1", 65.45)</f>
        <v>65.45</v>
      </c>
      <c r="E925" s="2">
        <v>37.409999999999997</v>
      </c>
      <c r="F925" s="2">
        <v>2</v>
      </c>
      <c r="G925" s="2" t="s">
        <v>9</v>
      </c>
    </row>
    <row r="926" spans="1:7" x14ac:dyDescent="0.2">
      <c r="A926" s="2" t="s">
        <v>3557</v>
      </c>
      <c r="B926" s="2" t="s">
        <v>414</v>
      </c>
      <c r="C926" s="2">
        <v>677.9941</v>
      </c>
      <c r="D926" s="2">
        <f>HYPERLINK("http://mcb-m6.bioreg.kyushu-u.ac.jp/M3/20110411/F50915/1529/1", 65.56)</f>
        <v>65.56</v>
      </c>
      <c r="E926" s="2">
        <v>45.3</v>
      </c>
      <c r="F926" s="2">
        <v>2</v>
      </c>
      <c r="G926" s="2" t="s">
        <v>9</v>
      </c>
    </row>
    <row r="927" spans="1:7" x14ac:dyDescent="0.2">
      <c r="A927" s="2" t="s">
        <v>3557</v>
      </c>
      <c r="B927" s="2" t="s">
        <v>414</v>
      </c>
      <c r="C927" s="2">
        <v>678.07420000000002</v>
      </c>
      <c r="D927" s="2">
        <f>HYPERLINK("http://mcb-m6.bioreg.kyushu-u.ac.jp/M3/20110411/F50905/1687/1", 68.44)</f>
        <v>68.44</v>
      </c>
      <c r="E927" s="2">
        <v>40.01</v>
      </c>
      <c r="F927" s="2">
        <v>2</v>
      </c>
      <c r="G927" s="2" t="s">
        <v>9</v>
      </c>
    </row>
    <row r="928" spans="1:7" x14ac:dyDescent="0.2">
      <c r="A928" s="2" t="s">
        <v>3557</v>
      </c>
      <c r="B928" s="2" t="s">
        <v>414</v>
      </c>
      <c r="C928" s="2">
        <v>677.91920000000005</v>
      </c>
      <c r="D928" s="2">
        <f>HYPERLINK("http://mcb-m6.bioreg.kyushu-u.ac.jp/M3/20110411/F50919/1322/1", 72.12)</f>
        <v>72.12</v>
      </c>
      <c r="E928" s="2">
        <v>50.73</v>
      </c>
      <c r="F928" s="2">
        <v>2</v>
      </c>
      <c r="G928" s="2" t="s">
        <v>9</v>
      </c>
    </row>
    <row r="929" spans="1:7" x14ac:dyDescent="0.2">
      <c r="A929" s="2" t="s">
        <v>3557</v>
      </c>
      <c r="B929" s="2" t="s">
        <v>414</v>
      </c>
      <c r="C929" s="2">
        <v>678.03970000000004</v>
      </c>
      <c r="D929" s="2">
        <f>HYPERLINK("http://mcb-m6.bioreg.kyushu-u.ac.jp/M3/20110411/F50904/1728/1", 72.63)</f>
        <v>72.63</v>
      </c>
      <c r="E929" s="2">
        <v>44.19</v>
      </c>
      <c r="F929" s="2">
        <v>2</v>
      </c>
      <c r="G929" s="2" t="s">
        <v>9</v>
      </c>
    </row>
    <row r="930" spans="1:7" x14ac:dyDescent="0.2">
      <c r="A930" s="2" t="s">
        <v>3557</v>
      </c>
      <c r="B930" s="2" t="s">
        <v>414</v>
      </c>
      <c r="C930" s="2">
        <v>677.8981</v>
      </c>
      <c r="D930" s="2">
        <f>HYPERLINK("http://mcb-m6.bioreg.kyushu-u.ac.jp/M3/20110411/F50895/1751/1", 79.77)</f>
        <v>79.77</v>
      </c>
      <c r="E930" s="2">
        <v>47.38</v>
      </c>
      <c r="F930" s="2">
        <v>2</v>
      </c>
      <c r="G930" s="2" t="s">
        <v>9</v>
      </c>
    </row>
    <row r="931" spans="1:7" x14ac:dyDescent="0.2">
      <c r="A931" s="2" t="s">
        <v>3557</v>
      </c>
      <c r="B931" s="2" t="s">
        <v>414</v>
      </c>
      <c r="C931" s="2">
        <v>677.61069999999995</v>
      </c>
      <c r="D931" s="2">
        <f>HYPERLINK("http://mcb-m6.bioreg.kyushu-u.ac.jp/M3/20110411/F50898/1969/1", 43.79)</f>
        <v>43.79</v>
      </c>
      <c r="E931" s="2">
        <v>29.53</v>
      </c>
      <c r="F931" s="2">
        <v>2</v>
      </c>
      <c r="G931" s="2" t="s">
        <v>10</v>
      </c>
    </row>
    <row r="932" spans="1:7" x14ac:dyDescent="0.2">
      <c r="A932" s="2" t="s">
        <v>3557</v>
      </c>
      <c r="B932" s="2" t="s">
        <v>414</v>
      </c>
      <c r="C932" s="2">
        <v>678.04769999999996</v>
      </c>
      <c r="D932" s="2">
        <f>HYPERLINK("http://mcb-m6.bioreg.kyushu-u.ac.jp/M3/20110411/F50902/1742/1", 59.72)</f>
        <v>59.72</v>
      </c>
      <c r="E932" s="2">
        <v>33.65</v>
      </c>
      <c r="F932" s="2">
        <v>2</v>
      </c>
      <c r="G932" s="2" t="s">
        <v>10</v>
      </c>
    </row>
    <row r="933" spans="1:7" x14ac:dyDescent="0.2">
      <c r="A933" s="2" t="s">
        <v>3557</v>
      </c>
      <c r="B933" s="2" t="s">
        <v>414</v>
      </c>
      <c r="C933" s="2">
        <v>677.86410000000001</v>
      </c>
      <c r="D933" s="2">
        <f>HYPERLINK("http://mcb-m6.bioreg.kyushu-u.ac.jp/M3/20110411/F50921/1508/1", 63.9)</f>
        <v>63.9</v>
      </c>
      <c r="E933" s="2">
        <v>35.82</v>
      </c>
      <c r="F933" s="2">
        <v>2</v>
      </c>
      <c r="G933" s="2" t="s">
        <v>10</v>
      </c>
    </row>
    <row r="934" spans="1:7" x14ac:dyDescent="0.2">
      <c r="A934" s="2" t="s">
        <v>3557</v>
      </c>
      <c r="B934" s="2" t="s">
        <v>414</v>
      </c>
      <c r="C934" s="2">
        <v>678.11969999999997</v>
      </c>
      <c r="D934" s="2">
        <f>HYPERLINK("http://mcb-m6.bioreg.kyushu-u.ac.jp/M3/20110411/F50912/1729/1", 65.06)</f>
        <v>65.06</v>
      </c>
      <c r="E934" s="2">
        <v>30.63</v>
      </c>
      <c r="F934" s="2">
        <v>2</v>
      </c>
      <c r="G934" s="2" t="s">
        <v>10</v>
      </c>
    </row>
    <row r="935" spans="1:7" x14ac:dyDescent="0.2">
      <c r="A935" s="2" t="s">
        <v>3557</v>
      </c>
      <c r="B935" s="2" t="s">
        <v>414</v>
      </c>
      <c r="C935" s="2">
        <v>677.96010000000001</v>
      </c>
      <c r="D935" s="2">
        <f>HYPERLINK("http://mcb-m6.bioreg.kyushu-u.ac.jp/M3/20110411/F50914/1771/1", 65.46)</f>
        <v>65.459999999999994</v>
      </c>
      <c r="E935" s="2">
        <v>40.83</v>
      </c>
      <c r="F935" s="2">
        <v>2</v>
      </c>
      <c r="G935" s="2" t="s">
        <v>10</v>
      </c>
    </row>
    <row r="936" spans="1:7" x14ac:dyDescent="0.2">
      <c r="A936" s="2" t="s">
        <v>3557</v>
      </c>
      <c r="B936" s="2" t="s">
        <v>414</v>
      </c>
      <c r="C936" s="2">
        <v>1354.7909999999999</v>
      </c>
      <c r="D936" s="2">
        <f>HYPERLINK("http://mcb-m6.bioreg.kyushu-u.ac.jp/M3/20110411/F50921/1509/1", 66.93)</f>
        <v>66.930000000000007</v>
      </c>
      <c r="E936" s="2">
        <v>45.72</v>
      </c>
      <c r="F936" s="2">
        <v>1</v>
      </c>
      <c r="G936" s="2" t="s">
        <v>10</v>
      </c>
    </row>
    <row r="937" spans="1:7" x14ac:dyDescent="0.2">
      <c r="A937" s="2" t="s">
        <v>3557</v>
      </c>
      <c r="B937" s="2" t="s">
        <v>414</v>
      </c>
      <c r="C937" s="2">
        <v>677.89170000000001</v>
      </c>
      <c r="D937" s="2">
        <f>HYPERLINK("http://mcb-m6.bioreg.kyushu-u.ac.jp/M3/20110411/F50918/1506/1", 68.64)</f>
        <v>68.64</v>
      </c>
      <c r="E937" s="2">
        <v>42.09</v>
      </c>
      <c r="F937" s="2">
        <v>2</v>
      </c>
      <c r="G937" s="2" t="s">
        <v>10</v>
      </c>
    </row>
    <row r="938" spans="1:7" x14ac:dyDescent="0.2">
      <c r="A938" s="2" t="s">
        <v>3557</v>
      </c>
      <c r="B938" s="2" t="s">
        <v>414</v>
      </c>
      <c r="C938" s="2">
        <v>677.89419999999996</v>
      </c>
      <c r="D938" s="2">
        <f>HYPERLINK("http://mcb-m6.bioreg.kyushu-u.ac.jp/M3/20110411/F50913/1687/1", 70.43)</f>
        <v>70.430000000000007</v>
      </c>
      <c r="E938" s="2">
        <v>38.049999999999997</v>
      </c>
      <c r="F938" s="2">
        <v>2</v>
      </c>
      <c r="G938" s="2" t="s">
        <v>10</v>
      </c>
    </row>
    <row r="939" spans="1:7" x14ac:dyDescent="0.2">
      <c r="A939" s="2" t="s">
        <v>3557</v>
      </c>
      <c r="B939" s="2" t="s">
        <v>414</v>
      </c>
      <c r="C939" s="2">
        <v>677.31820000000005</v>
      </c>
      <c r="D939" s="2">
        <f>HYPERLINK("http://mcb-m6.bioreg.kyushu-u.ac.jp/M3/20110411/F50914/1768/1", 71.43)</f>
        <v>71.430000000000007</v>
      </c>
      <c r="E939" s="2">
        <v>56.46</v>
      </c>
      <c r="F939" s="2">
        <v>2</v>
      </c>
      <c r="G939" s="2" t="s">
        <v>10</v>
      </c>
    </row>
    <row r="940" spans="1:7" x14ac:dyDescent="0.2">
      <c r="A940" s="2" t="s">
        <v>3557</v>
      </c>
      <c r="B940" s="2" t="s">
        <v>414</v>
      </c>
      <c r="C940" s="2">
        <v>677.87019999999995</v>
      </c>
      <c r="D940" s="2">
        <f>HYPERLINK("http://mcb-m6.bioreg.kyushu-u.ac.jp/M3/20110411/F50917/1598/1", 72.75)</f>
        <v>72.75</v>
      </c>
      <c r="E940" s="2">
        <v>54.32</v>
      </c>
      <c r="F940" s="2">
        <v>2</v>
      </c>
      <c r="G940" s="2" t="s">
        <v>10</v>
      </c>
    </row>
    <row r="941" spans="1:7" x14ac:dyDescent="0.2">
      <c r="A941" s="2" t="s">
        <v>3557</v>
      </c>
      <c r="B941" s="2" t="s">
        <v>414</v>
      </c>
      <c r="C941" s="2">
        <v>678.35170000000005</v>
      </c>
      <c r="D941" s="2">
        <f>HYPERLINK("http://mcb-m6.bioreg.kyushu-u.ac.jp/M3/20110414/F50962/1579/1", 38.47)</f>
        <v>38.47</v>
      </c>
      <c r="E941" s="2">
        <v>27.48</v>
      </c>
      <c r="F941" s="2">
        <v>2</v>
      </c>
      <c r="G941" s="2" t="s">
        <v>11</v>
      </c>
    </row>
    <row r="942" spans="1:7" x14ac:dyDescent="0.2">
      <c r="A942" s="2" t="s">
        <v>3557</v>
      </c>
      <c r="B942" s="2" t="s">
        <v>414</v>
      </c>
      <c r="C942" s="2">
        <v>678.28920000000005</v>
      </c>
      <c r="D942" s="2">
        <f>HYPERLINK("http://mcb-m6.bioreg.kyushu-u.ac.jp/M3/20110414/F50924/1739/1", 40.45)</f>
        <v>40.450000000000003</v>
      </c>
      <c r="E942" s="2">
        <v>20.99</v>
      </c>
      <c r="F942" s="2">
        <v>2</v>
      </c>
      <c r="G942" s="2" t="s">
        <v>11</v>
      </c>
    </row>
    <row r="943" spans="1:7" x14ac:dyDescent="0.2">
      <c r="A943" s="2" t="s">
        <v>3557</v>
      </c>
      <c r="B943" s="2" t="s">
        <v>414</v>
      </c>
      <c r="C943" s="2">
        <v>678.13509999999997</v>
      </c>
      <c r="D943" s="2">
        <f>HYPERLINK("http://mcb-m6.bioreg.kyushu-u.ac.jp/M3/20110414/F50962/1576/1", 44.31)</f>
        <v>44.31</v>
      </c>
      <c r="E943" s="2">
        <v>29.03</v>
      </c>
      <c r="F943" s="2">
        <v>2</v>
      </c>
      <c r="G943" s="2" t="s">
        <v>11</v>
      </c>
    </row>
    <row r="944" spans="1:7" x14ac:dyDescent="0.2">
      <c r="A944" s="2" t="s">
        <v>3557</v>
      </c>
      <c r="B944" s="2" t="s">
        <v>414</v>
      </c>
      <c r="C944" s="2">
        <v>678.35469999999998</v>
      </c>
      <c r="D944" s="2">
        <f>HYPERLINK("http://mcb-m6.bioreg.kyushu-u.ac.jp/M3/20110414/F50962/1580/1", 54.89)</f>
        <v>54.89</v>
      </c>
      <c r="E944" s="2">
        <v>36.33</v>
      </c>
      <c r="F944" s="2">
        <v>2</v>
      </c>
      <c r="G944" s="2" t="s">
        <v>11</v>
      </c>
    </row>
    <row r="945" spans="1:7" x14ac:dyDescent="0.2">
      <c r="A945" s="2" t="s">
        <v>3557</v>
      </c>
      <c r="B945" s="2" t="s">
        <v>414</v>
      </c>
      <c r="C945" s="2">
        <v>677.85019999999997</v>
      </c>
      <c r="D945" s="2">
        <f>HYPERLINK("http://mcb-m6.bioreg.kyushu-u.ac.jp/M3/20110414/F50962/1574/1", 55.76)</f>
        <v>55.76</v>
      </c>
      <c r="E945" s="2">
        <v>40.08</v>
      </c>
      <c r="F945" s="2">
        <v>2</v>
      </c>
      <c r="G945" s="2" t="s">
        <v>11</v>
      </c>
    </row>
    <row r="946" spans="1:7" x14ac:dyDescent="0.2">
      <c r="A946" s="2" t="s">
        <v>3557</v>
      </c>
      <c r="B946" s="2" t="s">
        <v>414</v>
      </c>
      <c r="C946" s="2">
        <v>678.11720000000003</v>
      </c>
      <c r="D946" s="2">
        <f>HYPERLINK("http://mcb-m6.bioreg.kyushu-u.ac.jp/M3/20110414/F50962/1575/1", 60.43)</f>
        <v>60.43</v>
      </c>
      <c r="E946" s="2">
        <v>44.92</v>
      </c>
      <c r="F946" s="2">
        <v>2</v>
      </c>
      <c r="G946" s="2" t="s">
        <v>11</v>
      </c>
    </row>
    <row r="947" spans="1:7" x14ac:dyDescent="0.2">
      <c r="A947" s="2" t="s">
        <v>3557</v>
      </c>
      <c r="B947" s="2" t="s">
        <v>414</v>
      </c>
      <c r="C947" s="2">
        <v>678.16610000000003</v>
      </c>
      <c r="D947" s="2">
        <f>HYPERLINK("http://mcb-m6.bioreg.kyushu-u.ac.jp/M3/20110414/F50962/1577/1", 62.44)</f>
        <v>62.44</v>
      </c>
      <c r="E947" s="2">
        <v>38.22</v>
      </c>
      <c r="F947" s="2">
        <v>2</v>
      </c>
      <c r="G947" s="2" t="s">
        <v>11</v>
      </c>
    </row>
    <row r="948" spans="1:7" x14ac:dyDescent="0.2">
      <c r="A948" s="2" t="s">
        <v>3557</v>
      </c>
      <c r="B948" s="2" t="s">
        <v>414</v>
      </c>
      <c r="C948" s="2">
        <v>677.78369999999995</v>
      </c>
      <c r="D948" s="2">
        <f>HYPERLINK("http://mcb-m6.bioreg.kyushu-u.ac.jp/M3/20110414/F50962/1572/1", 63.42)</f>
        <v>63.42</v>
      </c>
      <c r="E948" s="2">
        <v>47.59</v>
      </c>
      <c r="F948" s="2">
        <v>2</v>
      </c>
      <c r="G948" s="2" t="s">
        <v>11</v>
      </c>
    </row>
    <row r="949" spans="1:7" x14ac:dyDescent="0.2">
      <c r="A949" s="2" t="s">
        <v>3557</v>
      </c>
      <c r="B949" s="2" t="s">
        <v>414</v>
      </c>
      <c r="C949" s="2">
        <v>677.78920000000005</v>
      </c>
      <c r="D949" s="2">
        <f>HYPERLINK("http://mcb-m6.bioreg.kyushu-u.ac.jp/M3/20110414/F50962/1573/1", 64.78)</f>
        <v>64.78</v>
      </c>
      <c r="E949" s="2">
        <v>47.76</v>
      </c>
      <c r="F949" s="2">
        <v>2</v>
      </c>
      <c r="G949" s="2" t="s">
        <v>11</v>
      </c>
    </row>
    <row r="950" spans="1:7" x14ac:dyDescent="0.2">
      <c r="A950" s="2" t="s">
        <v>3557</v>
      </c>
      <c r="B950" s="2" t="s">
        <v>414</v>
      </c>
      <c r="C950" s="2">
        <v>678.30070000000001</v>
      </c>
      <c r="D950" s="2">
        <f>HYPERLINK("http://mcb-m6.bioreg.kyushu-u.ac.jp/M3/20110414/F50962/1578/1", 65.6)</f>
        <v>65.599999999999994</v>
      </c>
      <c r="E950" s="2">
        <v>43.6</v>
      </c>
      <c r="F950" s="2">
        <v>2</v>
      </c>
      <c r="G950" s="2" t="s">
        <v>11</v>
      </c>
    </row>
    <row r="951" spans="1:7" x14ac:dyDescent="0.2">
      <c r="A951" s="2" t="s">
        <v>3557</v>
      </c>
      <c r="B951" s="2" t="s">
        <v>414</v>
      </c>
      <c r="C951" s="2">
        <v>678.22969999999998</v>
      </c>
      <c r="D951" s="2">
        <f>HYPERLINK("http://mcb-m6.bioreg.kyushu-u.ac.jp/M3/20110414/F50966/1522/1", 43.66)</f>
        <v>43.66</v>
      </c>
      <c r="E951" s="2">
        <v>24.86</v>
      </c>
      <c r="F951" s="2">
        <v>2</v>
      </c>
      <c r="G951" s="2" t="s">
        <v>12</v>
      </c>
    </row>
    <row r="952" spans="1:7" x14ac:dyDescent="0.2">
      <c r="A952" s="2" t="s">
        <v>3557</v>
      </c>
      <c r="B952" s="2" t="s">
        <v>414</v>
      </c>
      <c r="C952" s="2">
        <v>678.28970000000004</v>
      </c>
      <c r="D952" s="2">
        <f>HYPERLINK("http://mcb-m6.bioreg.kyushu-u.ac.jp/M3/20110414/F50963/1491/1", 45.72)</f>
        <v>45.72</v>
      </c>
      <c r="E952" s="2">
        <v>35.71</v>
      </c>
      <c r="F952" s="2">
        <v>2</v>
      </c>
      <c r="G952" s="2" t="s">
        <v>12</v>
      </c>
    </row>
    <row r="953" spans="1:7" x14ac:dyDescent="0.2">
      <c r="A953" s="2" t="s">
        <v>3557</v>
      </c>
      <c r="B953" s="2" t="s">
        <v>414</v>
      </c>
      <c r="C953" s="2">
        <v>678.23519999999996</v>
      </c>
      <c r="D953" s="2">
        <f>HYPERLINK("http://mcb-m6.bioreg.kyushu-u.ac.jp/M3/20110414/F50963/1488/1", 45.89)</f>
        <v>45.89</v>
      </c>
      <c r="E953" s="2">
        <v>31.15</v>
      </c>
      <c r="F953" s="2">
        <v>2</v>
      </c>
      <c r="G953" s="2" t="s">
        <v>12</v>
      </c>
    </row>
    <row r="954" spans="1:7" x14ac:dyDescent="0.2">
      <c r="A954" s="2" t="s">
        <v>3557</v>
      </c>
      <c r="B954" s="2" t="s">
        <v>414</v>
      </c>
      <c r="C954" s="2">
        <v>1355.567</v>
      </c>
      <c r="D954" s="2">
        <f>HYPERLINK("http://mcb-m6.bioreg.kyushu-u.ac.jp/M3/20110414/F50963/1490/1", 48.4)</f>
        <v>48.4</v>
      </c>
      <c r="E954" s="2">
        <v>28.13</v>
      </c>
      <c r="F954" s="2">
        <v>1</v>
      </c>
      <c r="G954" s="2" t="s">
        <v>12</v>
      </c>
    </row>
    <row r="955" spans="1:7" x14ac:dyDescent="0.2">
      <c r="A955" s="2" t="s">
        <v>3557</v>
      </c>
      <c r="B955" s="2" t="s">
        <v>414</v>
      </c>
      <c r="C955" s="2">
        <v>677.56870000000004</v>
      </c>
      <c r="D955" s="2">
        <f>HYPERLINK("http://mcb-m6.bioreg.kyushu-u.ac.jp/M3/20110414/F50963/1474/1", 52.6)</f>
        <v>52.6</v>
      </c>
      <c r="E955" s="2">
        <v>37</v>
      </c>
      <c r="F955" s="2">
        <v>2</v>
      </c>
      <c r="G955" s="2" t="s">
        <v>12</v>
      </c>
    </row>
    <row r="956" spans="1:7" x14ac:dyDescent="0.2">
      <c r="A956" s="2" t="s">
        <v>3557</v>
      </c>
      <c r="B956" s="2" t="s">
        <v>414</v>
      </c>
      <c r="C956" s="2">
        <v>677.78560000000004</v>
      </c>
      <c r="D956" s="2">
        <f>HYPERLINK("http://mcb-m6.bioreg.kyushu-u.ac.jp/M3/20110414/F50963/1479/1", 57.04)</f>
        <v>57.04</v>
      </c>
      <c r="E956" s="2">
        <v>34.869999999999997</v>
      </c>
      <c r="F956" s="2">
        <v>2</v>
      </c>
      <c r="G956" s="2" t="s">
        <v>12</v>
      </c>
    </row>
    <row r="957" spans="1:7" x14ac:dyDescent="0.2">
      <c r="A957" s="2" t="s">
        <v>3557</v>
      </c>
      <c r="B957" s="2" t="s">
        <v>414</v>
      </c>
      <c r="C957" s="2">
        <v>678.17409999999995</v>
      </c>
      <c r="D957" s="2">
        <f>HYPERLINK("http://mcb-m6.bioreg.kyushu-u.ac.jp/M3/20110414/F50963/1486/1", 60.74)</f>
        <v>60.74</v>
      </c>
      <c r="E957" s="2">
        <v>44.62</v>
      </c>
      <c r="F957" s="2">
        <v>2</v>
      </c>
      <c r="G957" s="2" t="s">
        <v>12</v>
      </c>
    </row>
    <row r="958" spans="1:7" x14ac:dyDescent="0.2">
      <c r="A958" s="2" t="s">
        <v>3557</v>
      </c>
      <c r="B958" s="2" t="s">
        <v>414</v>
      </c>
      <c r="C958" s="2">
        <v>677.69759999999997</v>
      </c>
      <c r="D958" s="2">
        <f>HYPERLINK("http://mcb-m6.bioreg.kyushu-u.ac.jp/M3/20110414/F50963/1477/1", 65.27)</f>
        <v>65.27</v>
      </c>
      <c r="E958" s="2">
        <v>49.47</v>
      </c>
      <c r="F958" s="2">
        <v>2</v>
      </c>
      <c r="G958" s="2" t="s">
        <v>12</v>
      </c>
    </row>
    <row r="959" spans="1:7" x14ac:dyDescent="0.2">
      <c r="A959" s="2" t="s">
        <v>3557</v>
      </c>
      <c r="B959" s="2" t="s">
        <v>414</v>
      </c>
      <c r="C959" s="2">
        <v>677.83870000000002</v>
      </c>
      <c r="D959" s="2">
        <f>HYPERLINK("http://mcb-m6.bioreg.kyushu-u.ac.jp/M3/20110414/F50946/1591/1", 68.73)</f>
        <v>68.73</v>
      </c>
      <c r="E959" s="2">
        <v>49.43</v>
      </c>
      <c r="F959" s="2">
        <v>2</v>
      </c>
      <c r="G959" s="2" t="s">
        <v>12</v>
      </c>
    </row>
    <row r="960" spans="1:7" x14ac:dyDescent="0.2">
      <c r="A960" s="2" t="s">
        <v>3557</v>
      </c>
      <c r="B960" s="2" t="s">
        <v>414</v>
      </c>
      <c r="C960" s="2">
        <v>677.69669999999996</v>
      </c>
      <c r="D960" s="2">
        <f>HYPERLINK("http://mcb-m6.bioreg.kyushu-u.ac.jp/M3/20110414/F50963/1476/1", 73.5)</f>
        <v>73.5</v>
      </c>
      <c r="E960" s="2">
        <v>56.17</v>
      </c>
      <c r="F960" s="2">
        <v>2</v>
      </c>
      <c r="G960" s="2" t="s">
        <v>12</v>
      </c>
    </row>
    <row r="961" spans="1:7" x14ac:dyDescent="0.2">
      <c r="A961" s="2" t="s">
        <v>3557</v>
      </c>
      <c r="B961" s="2" t="s">
        <v>414</v>
      </c>
      <c r="C961" s="2">
        <v>677.62220000000002</v>
      </c>
      <c r="D961" s="2">
        <f>HYPERLINK("http://mcb-m6.bioreg.kyushu-u.ac.jp/M3/20110414/F50963/1475/1", 83.15)</f>
        <v>83.15</v>
      </c>
      <c r="E961" s="2">
        <v>65.05</v>
      </c>
      <c r="F961" s="2">
        <v>2</v>
      </c>
      <c r="G961" s="2" t="s">
        <v>12</v>
      </c>
    </row>
    <row r="962" spans="1:7" x14ac:dyDescent="0.2">
      <c r="A962" s="2" t="s">
        <v>3557</v>
      </c>
      <c r="B962" s="2" t="s">
        <v>414</v>
      </c>
      <c r="C962" s="2">
        <v>678.04219999999998</v>
      </c>
      <c r="D962" s="2">
        <f>HYPERLINK("http://mcb-m6.bioreg.kyushu-u.ac.jp/M3/20110502/F51187/1425/1", 40.45)</f>
        <v>40.450000000000003</v>
      </c>
      <c r="E962" s="2">
        <v>24.31</v>
      </c>
      <c r="F962" s="2">
        <v>2</v>
      </c>
      <c r="G962" s="2" t="s">
        <v>13</v>
      </c>
    </row>
    <row r="963" spans="1:7" x14ac:dyDescent="0.2">
      <c r="A963" s="2" t="s">
        <v>3557</v>
      </c>
      <c r="B963" s="2" t="s">
        <v>414</v>
      </c>
      <c r="C963" s="2">
        <v>677.91420000000005</v>
      </c>
      <c r="D963" s="2">
        <f>HYPERLINK("http://mcb-m6.bioreg.kyushu-u.ac.jp/M3/20110502/F51188/1515/1", 49.87)</f>
        <v>49.87</v>
      </c>
      <c r="E963" s="2">
        <v>30.93</v>
      </c>
      <c r="F963" s="2">
        <v>2</v>
      </c>
      <c r="G963" s="2" t="s">
        <v>13</v>
      </c>
    </row>
    <row r="964" spans="1:7" x14ac:dyDescent="0.2">
      <c r="A964" s="2" t="s">
        <v>3557</v>
      </c>
      <c r="B964" s="2" t="s">
        <v>414</v>
      </c>
      <c r="C964" s="2">
        <v>677.94460000000004</v>
      </c>
      <c r="D964" s="2">
        <f>HYPERLINK("http://mcb-m6.bioreg.kyushu-u.ac.jp/M3/20110502/F51187/1422/1", 53.45)</f>
        <v>53.45</v>
      </c>
      <c r="E964" s="2">
        <v>23.12</v>
      </c>
      <c r="F964" s="2">
        <v>2</v>
      </c>
      <c r="G964" s="2" t="s">
        <v>13</v>
      </c>
    </row>
    <row r="965" spans="1:7" x14ac:dyDescent="0.2">
      <c r="A965" s="2" t="s">
        <v>3557</v>
      </c>
      <c r="B965" s="2" t="s">
        <v>414</v>
      </c>
      <c r="C965" s="2">
        <v>678.07259999999997</v>
      </c>
      <c r="D965" s="2">
        <f>HYPERLINK("http://mcb-m6.bioreg.kyushu-u.ac.jp/M3/20110502/F51172/1677/1", 57.4)</f>
        <v>57.4</v>
      </c>
      <c r="E965" s="2">
        <v>31.01</v>
      </c>
      <c r="F965" s="2">
        <v>2</v>
      </c>
      <c r="G965" s="2" t="s">
        <v>13</v>
      </c>
    </row>
    <row r="966" spans="1:7" x14ac:dyDescent="0.2">
      <c r="A966" s="2" t="s">
        <v>3557</v>
      </c>
      <c r="B966" s="2" t="s">
        <v>414</v>
      </c>
      <c r="C966" s="2">
        <v>677.98109999999997</v>
      </c>
      <c r="D966" s="2">
        <f>HYPERLINK("http://mcb-m6.bioreg.kyushu-u.ac.jp/M3/20110502/F51171/1706/1", 58.57)</f>
        <v>58.57</v>
      </c>
      <c r="E966" s="2">
        <v>31.95</v>
      </c>
      <c r="F966" s="2">
        <v>2</v>
      </c>
      <c r="G966" s="2" t="s">
        <v>13</v>
      </c>
    </row>
    <row r="967" spans="1:7" x14ac:dyDescent="0.2">
      <c r="A967" s="2" t="s">
        <v>3557</v>
      </c>
      <c r="B967" s="2" t="s">
        <v>414</v>
      </c>
      <c r="C967" s="2">
        <v>678.11469999999997</v>
      </c>
      <c r="D967" s="2">
        <f>HYPERLINK("http://mcb-m6.bioreg.kyushu-u.ac.jp/M3/20110502/F51173/1418/1", 63.09)</f>
        <v>63.09</v>
      </c>
      <c r="E967" s="2">
        <v>38.58</v>
      </c>
      <c r="F967" s="2">
        <v>2</v>
      </c>
      <c r="G967" s="2" t="s">
        <v>13</v>
      </c>
    </row>
    <row r="968" spans="1:7" x14ac:dyDescent="0.2">
      <c r="A968" s="2" t="s">
        <v>3557</v>
      </c>
      <c r="B968" s="2" t="s">
        <v>414</v>
      </c>
      <c r="C968" s="2">
        <v>678.00710000000004</v>
      </c>
      <c r="D968" s="2">
        <f>HYPERLINK("http://mcb-m6.bioreg.kyushu-u.ac.jp/M3/20110502/F51187/1424/1", 64.47)</f>
        <v>64.47</v>
      </c>
      <c r="E968" s="2">
        <v>40.61</v>
      </c>
      <c r="F968" s="2">
        <v>2</v>
      </c>
      <c r="G968" s="2" t="s">
        <v>13</v>
      </c>
    </row>
    <row r="969" spans="1:7" x14ac:dyDescent="0.2">
      <c r="A969" s="2" t="s">
        <v>3557</v>
      </c>
      <c r="B969" s="2" t="s">
        <v>414</v>
      </c>
      <c r="C969" s="2">
        <v>678.04359999999997</v>
      </c>
      <c r="D969" s="2">
        <f>HYPERLINK("http://mcb-m6.bioreg.kyushu-u.ac.jp/M3/20110502/F51180/1409/1", 65.76)</f>
        <v>65.760000000000005</v>
      </c>
      <c r="E969" s="2">
        <v>29.65</v>
      </c>
      <c r="F969" s="2">
        <v>2</v>
      </c>
      <c r="G969" s="2" t="s">
        <v>13</v>
      </c>
    </row>
    <row r="970" spans="1:7" x14ac:dyDescent="0.2">
      <c r="A970" s="2" t="s">
        <v>3557</v>
      </c>
      <c r="B970" s="2" t="s">
        <v>414</v>
      </c>
      <c r="C970" s="2">
        <v>677.94069999999999</v>
      </c>
      <c r="D970" s="2">
        <f>HYPERLINK("http://mcb-m6.bioreg.kyushu-u.ac.jp/M3/20110502/F51170/1743/1", 69.02)</f>
        <v>69.02</v>
      </c>
      <c r="E970" s="2">
        <v>44.59</v>
      </c>
      <c r="F970" s="2">
        <v>2</v>
      </c>
      <c r="G970" s="2" t="s">
        <v>13</v>
      </c>
    </row>
    <row r="971" spans="1:7" x14ac:dyDescent="0.2">
      <c r="A971" s="2" t="s">
        <v>3557</v>
      </c>
      <c r="B971" s="2" t="s">
        <v>414</v>
      </c>
      <c r="C971" s="2">
        <v>677.97519999999997</v>
      </c>
      <c r="D971" s="2">
        <f>HYPERLINK("http://mcb-m6.bioreg.kyushu-u.ac.jp/M3/20110502/F51187/1423/1", 75.48)</f>
        <v>75.48</v>
      </c>
      <c r="E971" s="2">
        <v>43.31</v>
      </c>
      <c r="F971" s="2">
        <v>2</v>
      </c>
      <c r="G971" s="2" t="s">
        <v>13</v>
      </c>
    </row>
    <row r="972" spans="1:7" x14ac:dyDescent="0.2">
      <c r="A972" s="2" t="s">
        <v>3557</v>
      </c>
      <c r="B972" s="2" t="s">
        <v>414</v>
      </c>
      <c r="C972" s="2">
        <v>452.52890000000002</v>
      </c>
      <c r="D972" s="2">
        <f>HYPERLINK("http://mcb-m6.bioreg.kyushu-u.ac.jp/M3/20110502/F51191/1418/1", 40.16)</f>
        <v>40.159999999999997</v>
      </c>
      <c r="E972" s="2">
        <v>14.95</v>
      </c>
      <c r="F972" s="2">
        <v>3</v>
      </c>
      <c r="G972" s="2" t="s">
        <v>14</v>
      </c>
    </row>
    <row r="973" spans="1:7" x14ac:dyDescent="0.2">
      <c r="A973" s="2" t="s">
        <v>3557</v>
      </c>
      <c r="B973" s="2" t="s">
        <v>414</v>
      </c>
      <c r="C973" s="2">
        <v>678.29169999999999</v>
      </c>
      <c r="D973" s="2">
        <f>HYPERLINK("http://mcb-m6.bioreg.kyushu-u.ac.jp/M3/20110502/F51191/1419/1", 41.87)</f>
        <v>41.87</v>
      </c>
      <c r="E973" s="2">
        <v>23.03</v>
      </c>
      <c r="F973" s="2">
        <v>2</v>
      </c>
      <c r="G973" s="2" t="s">
        <v>14</v>
      </c>
    </row>
    <row r="974" spans="1:7" x14ac:dyDescent="0.2">
      <c r="A974" s="2" t="s">
        <v>3557</v>
      </c>
      <c r="B974" s="2" t="s">
        <v>414</v>
      </c>
      <c r="C974" s="2">
        <v>677.97609999999997</v>
      </c>
      <c r="D974" s="2">
        <f>HYPERLINK("http://mcb-m6.bioreg.kyushu-u.ac.jp/M3/20110502/F51191/1412/1", 53)</f>
        <v>53</v>
      </c>
      <c r="E974" s="2">
        <v>34.4</v>
      </c>
      <c r="F974" s="2">
        <v>2</v>
      </c>
      <c r="G974" s="2" t="s">
        <v>14</v>
      </c>
    </row>
    <row r="975" spans="1:7" x14ac:dyDescent="0.2">
      <c r="A975" s="2" t="s">
        <v>3557</v>
      </c>
      <c r="B975" s="2" t="s">
        <v>414</v>
      </c>
      <c r="C975" s="2">
        <v>678.05719999999997</v>
      </c>
      <c r="D975" s="2">
        <f>HYPERLINK("http://mcb-m6.bioreg.kyushu-u.ac.jp/M3/20110502/F51185/1516/1", 57.65)</f>
        <v>57.65</v>
      </c>
      <c r="E975" s="2">
        <v>31.47</v>
      </c>
      <c r="F975" s="2">
        <v>2</v>
      </c>
      <c r="G975" s="2" t="s">
        <v>14</v>
      </c>
    </row>
    <row r="976" spans="1:7" x14ac:dyDescent="0.2">
      <c r="A976" s="2" t="s">
        <v>3557</v>
      </c>
      <c r="B976" s="2" t="s">
        <v>414</v>
      </c>
      <c r="C976" s="2">
        <v>678.07619999999997</v>
      </c>
      <c r="D976" s="2">
        <f>HYPERLINK("http://mcb-m6.bioreg.kyushu-u.ac.jp/M3/20110502/F51191/1416/1", 59.52)</f>
        <v>59.52</v>
      </c>
      <c r="E976" s="2">
        <v>28.41</v>
      </c>
      <c r="F976" s="2">
        <v>2</v>
      </c>
      <c r="G976" s="2" t="s">
        <v>14</v>
      </c>
    </row>
    <row r="977" spans="1:8" x14ac:dyDescent="0.2">
      <c r="A977" s="2" t="s">
        <v>3557</v>
      </c>
      <c r="B977" s="2" t="s">
        <v>414</v>
      </c>
      <c r="C977" s="2">
        <v>678.32119999999998</v>
      </c>
      <c r="D977" s="2">
        <f>HYPERLINK("http://mcb-m6.bioreg.kyushu-u.ac.jp/M3/20110502/F51183/1519/1", 62.04)</f>
        <v>62.04</v>
      </c>
      <c r="E977" s="2">
        <v>30.68</v>
      </c>
      <c r="F977" s="2">
        <v>2</v>
      </c>
      <c r="G977" s="2" t="s">
        <v>14</v>
      </c>
    </row>
    <row r="978" spans="1:8" x14ac:dyDescent="0.2">
      <c r="A978" s="2" t="s">
        <v>3557</v>
      </c>
      <c r="B978" s="2" t="s">
        <v>414</v>
      </c>
      <c r="C978" s="2">
        <v>678.02120000000002</v>
      </c>
      <c r="D978" s="2">
        <f>HYPERLINK("http://mcb-m6.bioreg.kyushu-u.ac.jp/M3/20110502/F51191/1414/1", 66.04)</f>
        <v>66.040000000000006</v>
      </c>
      <c r="E978" s="2">
        <v>38.79</v>
      </c>
      <c r="F978" s="2">
        <v>2</v>
      </c>
      <c r="G978" s="2" t="s">
        <v>14</v>
      </c>
    </row>
    <row r="979" spans="1:8" x14ac:dyDescent="0.2">
      <c r="A979" s="2" t="s">
        <v>3557</v>
      </c>
      <c r="B979" s="2" t="s">
        <v>414</v>
      </c>
      <c r="C979" s="2">
        <v>678.03020000000004</v>
      </c>
      <c r="D979" s="2">
        <f>HYPERLINK("http://mcb-m6.bioreg.kyushu-u.ac.jp/M3/20110502/F51191/1415/1", 71.31)</f>
        <v>71.31</v>
      </c>
      <c r="E979" s="2">
        <v>39.159999999999997</v>
      </c>
      <c r="F979" s="2">
        <v>2</v>
      </c>
      <c r="G979" s="2" t="s">
        <v>14</v>
      </c>
    </row>
    <row r="980" spans="1:8" x14ac:dyDescent="0.2">
      <c r="A980" s="2" t="s">
        <v>3575</v>
      </c>
      <c r="B980" s="2" t="s">
        <v>444</v>
      </c>
      <c r="C980" s="2">
        <v>1161.519</v>
      </c>
      <c r="D980" s="2">
        <f>HYPERLINK("http://mcb-m6.bioreg.kyushu-u.ac.jp/M3/20110411/F50890/1449/1", 42)</f>
        <v>42</v>
      </c>
      <c r="E980" s="2">
        <v>23.17</v>
      </c>
      <c r="F980" s="2">
        <v>1</v>
      </c>
      <c r="G980" s="2" t="s">
        <v>9</v>
      </c>
    </row>
    <row r="981" spans="1:8" x14ac:dyDescent="0.2">
      <c r="A981" s="2" t="s">
        <v>3575</v>
      </c>
      <c r="B981" s="2" t="s">
        <v>444</v>
      </c>
      <c r="C981" s="2">
        <v>581.76120000000003</v>
      </c>
      <c r="D981" s="2">
        <f>HYPERLINK("http://mcb-m6.bioreg.kyushu-u.ac.jp/M3/20110411/F50892/1570/1", 48.1)</f>
        <v>48.1</v>
      </c>
      <c r="E981" s="2">
        <v>16.28</v>
      </c>
      <c r="F981" s="2">
        <v>2</v>
      </c>
      <c r="G981" s="2" t="s">
        <v>9</v>
      </c>
    </row>
    <row r="982" spans="1:8" x14ac:dyDescent="0.2">
      <c r="A982" s="2" t="s">
        <v>3575</v>
      </c>
      <c r="B982" s="2" t="s">
        <v>444</v>
      </c>
      <c r="C982" s="2">
        <v>1177.627</v>
      </c>
      <c r="D982" s="2">
        <f>HYPERLINK("http://mcb-m6.bioreg.kyushu-u.ac.jp/M3/20110411/F50919/987/1", 49.69)</f>
        <v>49.69</v>
      </c>
      <c r="E982" s="2">
        <v>38</v>
      </c>
      <c r="F982" s="2">
        <v>1</v>
      </c>
      <c r="G982" s="2" t="s">
        <v>9</v>
      </c>
      <c r="H982" s="2" t="s">
        <v>4919</v>
      </c>
    </row>
    <row r="983" spans="1:8" x14ac:dyDescent="0.2">
      <c r="A983" s="2" t="s">
        <v>3575</v>
      </c>
      <c r="B983" s="2" t="s">
        <v>444</v>
      </c>
      <c r="C983" s="2">
        <v>1161.5419999999999</v>
      </c>
      <c r="D983" s="2">
        <f>HYPERLINK("http://mcb-m6.bioreg.kyushu-u.ac.jp/M3/20110411/F50892/1569/1", 51.28)</f>
        <v>51.28</v>
      </c>
      <c r="E983" s="2">
        <v>23.91</v>
      </c>
      <c r="F983" s="2">
        <v>1</v>
      </c>
      <c r="G983" s="2" t="s">
        <v>9</v>
      </c>
    </row>
    <row r="984" spans="1:8" x14ac:dyDescent="0.2">
      <c r="A984" s="2" t="s">
        <v>3575</v>
      </c>
      <c r="B984" s="2" t="s">
        <v>444</v>
      </c>
      <c r="C984" s="2">
        <v>1162.8009999999999</v>
      </c>
      <c r="D984" s="2">
        <f>HYPERLINK("http://mcb-m6.bioreg.kyushu-u.ac.jp/M3/20110411/F50911/1307/1", 52.93)</f>
        <v>52.93</v>
      </c>
      <c r="E984" s="2">
        <v>27.25</v>
      </c>
      <c r="F984" s="2">
        <v>1</v>
      </c>
      <c r="G984" s="2" t="s">
        <v>9</v>
      </c>
    </row>
    <row r="985" spans="1:8" x14ac:dyDescent="0.2">
      <c r="A985" s="2" t="s">
        <v>3575</v>
      </c>
      <c r="B985" s="2" t="s">
        <v>444</v>
      </c>
      <c r="C985" s="2">
        <v>1161.627</v>
      </c>
      <c r="D985" s="2">
        <f>HYPERLINK("http://mcb-m6.bioreg.kyushu-u.ac.jp/M3/20110411/F50904/1368/1", 53.34)</f>
        <v>53.34</v>
      </c>
      <c r="E985" s="2">
        <v>28.2</v>
      </c>
      <c r="F985" s="2">
        <v>1</v>
      </c>
      <c r="G985" s="2" t="s">
        <v>9</v>
      </c>
    </row>
    <row r="986" spans="1:8" x14ac:dyDescent="0.2">
      <c r="A986" s="2" t="s">
        <v>3575</v>
      </c>
      <c r="B986" s="2" t="s">
        <v>444</v>
      </c>
      <c r="C986" s="2">
        <v>1161.7370000000001</v>
      </c>
      <c r="D986" s="2">
        <f>HYPERLINK("http://mcb-m6.bioreg.kyushu-u.ac.jp/M3/20110411/F50905/1280/1", 53.37)</f>
        <v>53.37</v>
      </c>
      <c r="E986" s="2">
        <v>31.77</v>
      </c>
      <c r="F986" s="2">
        <v>1</v>
      </c>
      <c r="G986" s="2" t="s">
        <v>9</v>
      </c>
    </row>
    <row r="987" spans="1:8" x14ac:dyDescent="0.2">
      <c r="A987" s="2" t="s">
        <v>3575</v>
      </c>
      <c r="B987" s="2" t="s">
        <v>444</v>
      </c>
      <c r="C987" s="2">
        <v>1161.7829999999999</v>
      </c>
      <c r="D987" s="2">
        <f>HYPERLINK("http://mcb-m6.bioreg.kyushu-u.ac.jp/M3/20110411/F50911/1303/1", 55.28)</f>
        <v>55.28</v>
      </c>
      <c r="E987" s="2">
        <v>25.8</v>
      </c>
      <c r="F987" s="2">
        <v>1</v>
      </c>
      <c r="G987" s="2" t="s">
        <v>9</v>
      </c>
    </row>
    <row r="988" spans="1:8" x14ac:dyDescent="0.2">
      <c r="A988" s="2" t="s">
        <v>3575</v>
      </c>
      <c r="B988" s="2" t="s">
        <v>444</v>
      </c>
      <c r="C988" s="2">
        <v>589.61609999999996</v>
      </c>
      <c r="D988" s="2">
        <f>HYPERLINK("http://mcb-m6.bioreg.kyushu-u.ac.jp/M3/20110411/F50919/988/1", 56.15)</f>
        <v>56.15</v>
      </c>
      <c r="E988" s="2">
        <v>36.840000000000003</v>
      </c>
      <c r="F988" s="2">
        <v>2</v>
      </c>
      <c r="G988" s="2" t="s">
        <v>9</v>
      </c>
      <c r="H988" s="2" t="s">
        <v>4919</v>
      </c>
    </row>
    <row r="989" spans="1:8" x14ac:dyDescent="0.2">
      <c r="A989" s="2" t="s">
        <v>3575</v>
      </c>
      <c r="B989" s="2" t="s">
        <v>444</v>
      </c>
      <c r="C989" s="2">
        <v>1161.6130000000001</v>
      </c>
      <c r="D989" s="2">
        <f>HYPERLINK("http://mcb-m6.bioreg.kyushu-u.ac.jp/M3/20110411/F50919/963/1", 58.34)</f>
        <v>58.34</v>
      </c>
      <c r="E989" s="2">
        <v>29.04</v>
      </c>
      <c r="F989" s="2">
        <v>1</v>
      </c>
      <c r="G989" s="2" t="s">
        <v>9</v>
      </c>
    </row>
    <row r="990" spans="1:8" x14ac:dyDescent="0.2">
      <c r="A990" s="2" t="s">
        <v>3575</v>
      </c>
      <c r="B990" s="2" t="s">
        <v>444</v>
      </c>
      <c r="C990" s="2">
        <v>1177.6010000000001</v>
      </c>
      <c r="D990" s="2">
        <f>HYPERLINK("http://mcb-m6.bioreg.kyushu-u.ac.jp/M3/20110411/F50921/1131/1", 39.89)</f>
        <v>39.89</v>
      </c>
      <c r="E990" s="2">
        <v>29.27</v>
      </c>
      <c r="F990" s="2">
        <v>1</v>
      </c>
      <c r="G990" s="2" t="s">
        <v>10</v>
      </c>
      <c r="H990" s="2" t="s">
        <v>4919</v>
      </c>
    </row>
    <row r="991" spans="1:8" x14ac:dyDescent="0.2">
      <c r="A991" s="2" t="s">
        <v>3575</v>
      </c>
      <c r="B991" s="2" t="s">
        <v>444</v>
      </c>
      <c r="C991" s="2">
        <v>1177.702</v>
      </c>
      <c r="D991" s="2">
        <f>HYPERLINK("http://mcb-m6.bioreg.kyushu-u.ac.jp/M3/20110411/F50913/1355/1", 40.3)</f>
        <v>40.299999999999997</v>
      </c>
      <c r="E991" s="2">
        <v>21.46</v>
      </c>
      <c r="F991" s="2">
        <v>1</v>
      </c>
      <c r="G991" s="2" t="s">
        <v>10</v>
      </c>
      <c r="H991" s="2" t="s">
        <v>4919</v>
      </c>
    </row>
    <row r="992" spans="1:8" x14ac:dyDescent="0.2">
      <c r="A992" s="2" t="s">
        <v>3575</v>
      </c>
      <c r="B992" s="2" t="s">
        <v>444</v>
      </c>
      <c r="C992" s="2">
        <v>581.81370000000004</v>
      </c>
      <c r="D992" s="2">
        <f>HYPERLINK("http://mcb-m6.bioreg.kyushu-u.ac.jp/M3/20110411/F50900/1590/1", 44.23)</f>
        <v>44.23</v>
      </c>
      <c r="E992" s="2">
        <v>23.76</v>
      </c>
      <c r="F992" s="2">
        <v>2</v>
      </c>
      <c r="G992" s="2" t="s">
        <v>10</v>
      </c>
    </row>
    <row r="993" spans="1:8" x14ac:dyDescent="0.2">
      <c r="A993" s="2" t="s">
        <v>3575</v>
      </c>
      <c r="B993" s="2" t="s">
        <v>444</v>
      </c>
      <c r="C993" s="2">
        <v>1161.7180000000001</v>
      </c>
      <c r="D993" s="2">
        <f>HYPERLINK("http://mcb-m6.bioreg.kyushu-u.ac.jp/M3/20110411/F50898/1744/1", 44.37)</f>
        <v>44.37</v>
      </c>
      <c r="E993" s="2">
        <v>17.010000000000002</v>
      </c>
      <c r="F993" s="2">
        <v>1</v>
      </c>
      <c r="G993" s="2" t="s">
        <v>10</v>
      </c>
    </row>
    <row r="994" spans="1:8" x14ac:dyDescent="0.2">
      <c r="A994" s="2" t="s">
        <v>3575</v>
      </c>
      <c r="B994" s="2" t="s">
        <v>444</v>
      </c>
      <c r="C994" s="2">
        <v>1177.8779999999999</v>
      </c>
      <c r="D994" s="2">
        <f>HYPERLINK("http://mcb-m6.bioreg.kyushu-u.ac.jp/M3/20110411/F50912/1381/1", 45.71)</f>
        <v>45.71</v>
      </c>
      <c r="E994" s="2">
        <v>26.55</v>
      </c>
      <c r="F994" s="2">
        <v>1</v>
      </c>
      <c r="G994" s="2" t="s">
        <v>10</v>
      </c>
      <c r="H994" s="2" t="s">
        <v>4919</v>
      </c>
    </row>
    <row r="995" spans="1:8" x14ac:dyDescent="0.2">
      <c r="A995" s="2" t="s">
        <v>3575</v>
      </c>
      <c r="B995" s="2" t="s">
        <v>444</v>
      </c>
      <c r="C995" s="2">
        <v>1161.7349999999999</v>
      </c>
      <c r="D995" s="2">
        <f>HYPERLINK("http://mcb-m6.bioreg.kyushu-u.ac.jp/M3/20110411/F50901/1438/1", 48.42)</f>
        <v>48.42</v>
      </c>
      <c r="E995" s="2">
        <v>21.05</v>
      </c>
      <c r="F995" s="2">
        <v>1</v>
      </c>
      <c r="G995" s="2" t="s">
        <v>10</v>
      </c>
    </row>
    <row r="996" spans="1:8" x14ac:dyDescent="0.2">
      <c r="A996" s="2" t="s">
        <v>3575</v>
      </c>
      <c r="B996" s="2" t="s">
        <v>444</v>
      </c>
      <c r="C996" s="2">
        <v>1177.5840000000001</v>
      </c>
      <c r="D996" s="2">
        <f>HYPERLINK("http://mcb-m6.bioreg.kyushu-u.ac.jp/M3/20110411/F50914/1402/1", 50.53)</f>
        <v>50.53</v>
      </c>
      <c r="E996" s="2">
        <v>31.33</v>
      </c>
      <c r="F996" s="2">
        <v>1</v>
      </c>
      <c r="G996" s="2" t="s">
        <v>10</v>
      </c>
      <c r="H996" s="2" t="s">
        <v>4919</v>
      </c>
    </row>
    <row r="997" spans="1:8" x14ac:dyDescent="0.2">
      <c r="A997" s="2" t="s">
        <v>3575</v>
      </c>
      <c r="B997" s="2" t="s">
        <v>444</v>
      </c>
      <c r="C997" s="2">
        <v>1161.6990000000001</v>
      </c>
      <c r="D997" s="2">
        <f>HYPERLINK("http://mcb-m6.bioreg.kyushu-u.ac.jp/M3/20110411/F50900/1589/1", 51.18)</f>
        <v>51.18</v>
      </c>
      <c r="E997" s="2">
        <v>22.02</v>
      </c>
      <c r="F997" s="2">
        <v>1</v>
      </c>
      <c r="G997" s="2" t="s">
        <v>10</v>
      </c>
    </row>
    <row r="998" spans="1:8" x14ac:dyDescent="0.2">
      <c r="A998" s="2" t="s">
        <v>3575</v>
      </c>
      <c r="B998" s="2" t="s">
        <v>444</v>
      </c>
      <c r="C998" s="2">
        <v>1161.864</v>
      </c>
      <c r="D998" s="2">
        <f>HYPERLINK("http://mcb-m6.bioreg.kyushu-u.ac.jp/M3/20110411/F50912/1356/1", 53.38)</f>
        <v>53.38</v>
      </c>
      <c r="E998" s="2">
        <v>27.88</v>
      </c>
      <c r="F998" s="2">
        <v>1</v>
      </c>
      <c r="G998" s="2" t="s">
        <v>10</v>
      </c>
    </row>
    <row r="999" spans="1:8" x14ac:dyDescent="0.2">
      <c r="A999" s="2" t="s">
        <v>3575</v>
      </c>
      <c r="B999" s="2" t="s">
        <v>444</v>
      </c>
      <c r="C999" s="2">
        <v>1161.6389999999999</v>
      </c>
      <c r="D999" s="2">
        <f>HYPERLINK("http://mcb-m6.bioreg.kyushu-u.ac.jp/M3/20110411/F50921/1104/1", 53.49)</f>
        <v>53.49</v>
      </c>
      <c r="E999" s="2">
        <v>28.02</v>
      </c>
      <c r="F999" s="2">
        <v>1</v>
      </c>
      <c r="G999" s="2" t="s">
        <v>10</v>
      </c>
    </row>
    <row r="1000" spans="1:8" x14ac:dyDescent="0.2">
      <c r="A1000" s="2" t="s">
        <v>3575</v>
      </c>
      <c r="B1000" s="2" t="s">
        <v>444</v>
      </c>
      <c r="C1000" s="2">
        <v>589.28020000000004</v>
      </c>
      <c r="D1000" s="2">
        <f>HYPERLINK("http://mcb-m6.bioreg.kyushu-u.ac.jp/M3/20110411/F50914/1401/1", 54.07)</f>
        <v>54.07</v>
      </c>
      <c r="E1000" s="2">
        <v>35.51</v>
      </c>
      <c r="F1000" s="2">
        <v>2</v>
      </c>
      <c r="G1000" s="2" t="s">
        <v>10</v>
      </c>
      <c r="H1000" s="2" t="s">
        <v>4919</v>
      </c>
    </row>
    <row r="1001" spans="1:8" x14ac:dyDescent="0.2">
      <c r="A1001" s="2" t="s">
        <v>3575</v>
      </c>
      <c r="B1001" s="2" t="s">
        <v>444</v>
      </c>
      <c r="C1001" s="2">
        <v>1161.5170000000001</v>
      </c>
      <c r="D1001" s="2">
        <f>HYPERLINK("http://mcb-m6.bioreg.kyushu-u.ac.jp/M3/20110411/F50914/1364/1", 54.3)</f>
        <v>54.3</v>
      </c>
      <c r="E1001" s="2">
        <v>34.22</v>
      </c>
      <c r="F1001" s="2">
        <v>1</v>
      </c>
      <c r="G1001" s="2" t="s">
        <v>10</v>
      </c>
    </row>
    <row r="1002" spans="1:8" x14ac:dyDescent="0.2">
      <c r="A1002" s="2" t="s">
        <v>3575</v>
      </c>
      <c r="B1002" s="2" t="s">
        <v>444</v>
      </c>
      <c r="C1002" s="2">
        <v>589.49159999999995</v>
      </c>
      <c r="D1002" s="2">
        <f>HYPERLINK("http://mcb-m6.bioreg.kyushu-u.ac.jp/M3/20110411/F50913/1357/1", 59.71)</f>
        <v>59.71</v>
      </c>
      <c r="E1002" s="2">
        <v>41.76</v>
      </c>
      <c r="F1002" s="2">
        <v>2</v>
      </c>
      <c r="G1002" s="2" t="s">
        <v>10</v>
      </c>
      <c r="H1002" s="2" t="s">
        <v>4919</v>
      </c>
    </row>
    <row r="1003" spans="1:8" x14ac:dyDescent="0.2">
      <c r="A1003" s="2" t="s">
        <v>3575</v>
      </c>
      <c r="B1003" s="2" t="s">
        <v>444</v>
      </c>
      <c r="C1003" s="2">
        <v>1161.7829999999999</v>
      </c>
      <c r="D1003" s="2">
        <f>HYPERLINK("http://mcb-m6.bioreg.kyushu-u.ac.jp/M3/20110411/F50913/1322/1", 60.35)</f>
        <v>60.35</v>
      </c>
      <c r="E1003" s="2">
        <v>32.99</v>
      </c>
      <c r="F1003" s="2">
        <v>1</v>
      </c>
      <c r="G1003" s="2" t="s">
        <v>10</v>
      </c>
    </row>
    <row r="1004" spans="1:8" x14ac:dyDescent="0.2">
      <c r="A1004" s="2" t="s">
        <v>3575</v>
      </c>
      <c r="B1004" s="2" t="s">
        <v>444</v>
      </c>
      <c r="C1004" s="2">
        <v>1161.8440000000001</v>
      </c>
      <c r="D1004" s="2">
        <f>HYPERLINK("http://mcb-m6.bioreg.kyushu-u.ac.jp/M3/20110411/F50902/1375/1", 60.47)</f>
        <v>60.47</v>
      </c>
      <c r="E1004" s="2">
        <v>33.08</v>
      </c>
      <c r="F1004" s="2">
        <v>1</v>
      </c>
      <c r="G1004" s="2" t="s">
        <v>10</v>
      </c>
    </row>
    <row r="1005" spans="1:8" x14ac:dyDescent="0.2">
      <c r="A1005" s="2" t="s">
        <v>3575</v>
      </c>
      <c r="B1005" s="2" t="s">
        <v>444</v>
      </c>
      <c r="C1005" s="2">
        <v>589.83810000000005</v>
      </c>
      <c r="D1005" s="2">
        <f>HYPERLINK("http://mcb-m6.bioreg.kyushu-u.ac.jp/M3/20110411/F50914/1405/1", 62.76)</f>
        <v>62.76</v>
      </c>
      <c r="E1005" s="2">
        <v>45.04</v>
      </c>
      <c r="F1005" s="2">
        <v>2</v>
      </c>
      <c r="G1005" s="2" t="s">
        <v>10</v>
      </c>
      <c r="H1005" s="2" t="s">
        <v>4919</v>
      </c>
    </row>
    <row r="1006" spans="1:8" x14ac:dyDescent="0.2">
      <c r="A1006" s="2" t="s">
        <v>3575</v>
      </c>
      <c r="B1006" s="2" t="s">
        <v>444</v>
      </c>
      <c r="C1006" s="2">
        <v>589.28859999999997</v>
      </c>
      <c r="D1006" s="2">
        <f>HYPERLINK("http://mcb-m6.bioreg.kyushu-u.ac.jp/M3/20110411/F50921/1130/1", 66.95)</f>
        <v>66.95</v>
      </c>
      <c r="E1006" s="2">
        <v>47.33</v>
      </c>
      <c r="F1006" s="2">
        <v>2</v>
      </c>
      <c r="G1006" s="2" t="s">
        <v>10</v>
      </c>
      <c r="H1006" s="2" t="s">
        <v>4919</v>
      </c>
    </row>
    <row r="1007" spans="1:8" x14ac:dyDescent="0.2">
      <c r="A1007" s="2" t="s">
        <v>3575</v>
      </c>
      <c r="B1007" s="2" t="s">
        <v>444</v>
      </c>
      <c r="C1007" s="2">
        <v>581.72360000000003</v>
      </c>
      <c r="D1007" s="2">
        <f>HYPERLINK("http://mcb-m6.bioreg.kyushu-u.ac.jp/M3/20110414/F50942/1106/1", 39.21)</f>
        <v>39.21</v>
      </c>
      <c r="E1007" s="2">
        <v>15.76</v>
      </c>
      <c r="F1007" s="2">
        <v>2</v>
      </c>
      <c r="G1007" s="2" t="s">
        <v>11</v>
      </c>
    </row>
    <row r="1008" spans="1:8" x14ac:dyDescent="0.2">
      <c r="A1008" s="2" t="s">
        <v>3575</v>
      </c>
      <c r="B1008" s="2" t="s">
        <v>444</v>
      </c>
      <c r="C1008" s="2">
        <v>581.77260000000001</v>
      </c>
      <c r="D1008" s="2">
        <f>HYPERLINK("http://mcb-m6.bioreg.kyushu-u.ac.jp/M3/20110414/F50941/1241/1", 44.18)</f>
        <v>44.18</v>
      </c>
      <c r="E1008" s="2">
        <v>25.81</v>
      </c>
      <c r="F1008" s="2">
        <v>2</v>
      </c>
      <c r="G1008" s="2" t="s">
        <v>11</v>
      </c>
    </row>
    <row r="1009" spans="1:8" x14ac:dyDescent="0.2">
      <c r="A1009" s="2" t="s">
        <v>3575</v>
      </c>
      <c r="B1009" s="2" t="s">
        <v>444</v>
      </c>
      <c r="C1009" s="2">
        <v>1161.4590000000001</v>
      </c>
      <c r="D1009" s="2">
        <f>HYPERLINK("http://mcb-m6.bioreg.kyushu-u.ac.jp/M3/20110414/F50962/1154/1", 44.54)</f>
        <v>44.54</v>
      </c>
      <c r="E1009" s="2">
        <v>25.21</v>
      </c>
      <c r="F1009" s="2">
        <v>1</v>
      </c>
      <c r="G1009" s="2" t="s">
        <v>11</v>
      </c>
    </row>
    <row r="1010" spans="1:8" x14ac:dyDescent="0.2">
      <c r="A1010" s="2" t="s">
        <v>3575</v>
      </c>
      <c r="B1010" s="2" t="s">
        <v>444</v>
      </c>
      <c r="C1010" s="2">
        <v>1177.4349999999999</v>
      </c>
      <c r="D1010" s="2">
        <f>HYPERLINK("http://mcb-m6.bioreg.kyushu-u.ac.jp/M3/20110414/F50941/1266/1", 48.77)</f>
        <v>48.77</v>
      </c>
      <c r="E1010" s="2">
        <v>38.01</v>
      </c>
      <c r="F1010" s="2">
        <v>1</v>
      </c>
      <c r="G1010" s="2" t="s">
        <v>11</v>
      </c>
      <c r="H1010" s="2" t="s">
        <v>4919</v>
      </c>
    </row>
    <row r="1011" spans="1:8" x14ac:dyDescent="0.2">
      <c r="A1011" s="2" t="s">
        <v>3575</v>
      </c>
      <c r="B1011" s="2" t="s">
        <v>444</v>
      </c>
      <c r="C1011" s="2">
        <v>581.21259999999995</v>
      </c>
      <c r="D1011" s="2">
        <f>HYPERLINK("http://mcb-m6.bioreg.kyushu-u.ac.jp/M3/20110414/F50962/1153/1", 52.76)</f>
        <v>52.76</v>
      </c>
      <c r="E1011" s="2">
        <v>31.63</v>
      </c>
      <c r="F1011" s="2">
        <v>2</v>
      </c>
      <c r="G1011" s="2" t="s">
        <v>11</v>
      </c>
    </row>
    <row r="1012" spans="1:8" x14ac:dyDescent="0.2">
      <c r="A1012" s="2" t="s">
        <v>3575</v>
      </c>
      <c r="B1012" s="2" t="s">
        <v>444</v>
      </c>
      <c r="C1012" s="2">
        <v>581.87710000000004</v>
      </c>
      <c r="D1012" s="2">
        <f>HYPERLINK("http://mcb-m6.bioreg.kyushu-u.ac.jp/M3/20110414/F50944/1497/1", 53.85)</f>
        <v>53.85</v>
      </c>
      <c r="E1012" s="2">
        <v>19.59</v>
      </c>
      <c r="F1012" s="2">
        <v>2</v>
      </c>
      <c r="G1012" s="2" t="s">
        <v>11</v>
      </c>
    </row>
    <row r="1013" spans="1:8" x14ac:dyDescent="0.2">
      <c r="A1013" s="2" t="s">
        <v>3575</v>
      </c>
      <c r="B1013" s="2" t="s">
        <v>444</v>
      </c>
      <c r="C1013" s="2">
        <v>1161.4670000000001</v>
      </c>
      <c r="D1013" s="2">
        <f>HYPERLINK("http://mcb-m6.bioreg.kyushu-u.ac.jp/M3/20110414/F50943/1161/1", 56.44)</f>
        <v>56.44</v>
      </c>
      <c r="E1013" s="2">
        <v>39.619999999999997</v>
      </c>
      <c r="F1013" s="2">
        <v>1</v>
      </c>
      <c r="G1013" s="2" t="s">
        <v>11</v>
      </c>
    </row>
    <row r="1014" spans="1:8" x14ac:dyDescent="0.2">
      <c r="A1014" s="2" t="s">
        <v>3575</v>
      </c>
      <c r="B1014" s="2" t="s">
        <v>444</v>
      </c>
      <c r="C1014" s="2">
        <v>581.7192</v>
      </c>
      <c r="D1014" s="2">
        <f>HYPERLINK("http://mcb-m6.bioreg.kyushu-u.ac.jp/M3/20110414/F50962/1155/1", 57.47)</f>
        <v>57.47</v>
      </c>
      <c r="E1014" s="2">
        <v>31.71</v>
      </c>
      <c r="F1014" s="2">
        <v>2</v>
      </c>
      <c r="G1014" s="2" t="s">
        <v>11</v>
      </c>
    </row>
    <row r="1015" spans="1:8" x14ac:dyDescent="0.2">
      <c r="A1015" s="2" t="s">
        <v>3575</v>
      </c>
      <c r="B1015" s="2" t="s">
        <v>444</v>
      </c>
      <c r="C1015" s="2">
        <v>589.51969999999994</v>
      </c>
      <c r="D1015" s="2">
        <f>HYPERLINK("http://mcb-m6.bioreg.kyushu-u.ac.jp/M3/20110414/F50927/1694/1", 60.1)</f>
        <v>60.1</v>
      </c>
      <c r="E1015" s="2">
        <v>43.28</v>
      </c>
      <c r="F1015" s="2">
        <v>2</v>
      </c>
      <c r="G1015" s="2" t="s">
        <v>11</v>
      </c>
      <c r="H1015" s="2" t="s">
        <v>4919</v>
      </c>
    </row>
    <row r="1016" spans="1:8" x14ac:dyDescent="0.2">
      <c r="A1016" s="2" t="s">
        <v>3575</v>
      </c>
      <c r="B1016" s="2" t="s">
        <v>444</v>
      </c>
      <c r="C1016" s="2">
        <v>1161.48</v>
      </c>
      <c r="D1016" s="2">
        <f>HYPERLINK("http://mcb-m6.bioreg.kyushu-u.ac.jp/M3/20110414/F50941/1238/1", 67.03)</f>
        <v>67.03</v>
      </c>
      <c r="E1016" s="2">
        <v>46.8</v>
      </c>
      <c r="F1016" s="2">
        <v>1</v>
      </c>
      <c r="G1016" s="2" t="s">
        <v>11</v>
      </c>
    </row>
    <row r="1017" spans="1:8" x14ac:dyDescent="0.2">
      <c r="A1017" s="2" t="s">
        <v>3575</v>
      </c>
      <c r="B1017" s="2" t="s">
        <v>444</v>
      </c>
      <c r="C1017" s="2">
        <v>589.22019999999998</v>
      </c>
      <c r="D1017" s="2">
        <f>HYPERLINK("http://mcb-m6.bioreg.kyushu-u.ac.jp/M3/20110414/F50962/1177/1", 67.2)</f>
        <v>67.2</v>
      </c>
      <c r="E1017" s="2">
        <v>47.82</v>
      </c>
      <c r="F1017" s="2">
        <v>2</v>
      </c>
      <c r="G1017" s="2" t="s">
        <v>11</v>
      </c>
      <c r="H1017" s="2" t="s">
        <v>4919</v>
      </c>
    </row>
    <row r="1018" spans="1:8" x14ac:dyDescent="0.2">
      <c r="A1018" s="2" t="s">
        <v>3575</v>
      </c>
      <c r="B1018" s="2" t="s">
        <v>444</v>
      </c>
      <c r="C1018" s="2">
        <v>1177.4870000000001</v>
      </c>
      <c r="D1018" s="2">
        <f>HYPERLINK("http://mcb-m6.bioreg.kyushu-u.ac.jp/M3/20110414/F50962/1178/1", 69.08)</f>
        <v>69.08</v>
      </c>
      <c r="E1018" s="2">
        <v>52.43</v>
      </c>
      <c r="F1018" s="2">
        <v>1</v>
      </c>
      <c r="G1018" s="2" t="s">
        <v>11</v>
      </c>
      <c r="H1018" s="2" t="s">
        <v>4919</v>
      </c>
    </row>
    <row r="1019" spans="1:8" x14ac:dyDescent="0.2">
      <c r="A1019" s="2" t="s">
        <v>3575</v>
      </c>
      <c r="B1019" s="2" t="s">
        <v>444</v>
      </c>
      <c r="C1019" s="2">
        <v>581.22310000000004</v>
      </c>
      <c r="D1019" s="2">
        <f>HYPERLINK("http://mcb-m6.bioreg.kyushu-u.ac.jp/M3/20110414/F50941/1237/1", 73.11)</f>
        <v>73.11</v>
      </c>
      <c r="E1019" s="2">
        <v>47.98</v>
      </c>
      <c r="F1019" s="2">
        <v>2</v>
      </c>
      <c r="G1019" s="2" t="s">
        <v>11</v>
      </c>
    </row>
    <row r="1020" spans="1:8" x14ac:dyDescent="0.2">
      <c r="A1020" s="2" t="s">
        <v>3575</v>
      </c>
      <c r="B1020" s="2" t="s">
        <v>2497</v>
      </c>
      <c r="C1020" s="2">
        <v>775.32259999999997</v>
      </c>
      <c r="D1020" s="2">
        <f>HYPERLINK("http://mcb-m6.bioreg.kyushu-u.ac.jp/M3/20110414/F50962/2075/1", 85.84)</f>
        <v>85.84</v>
      </c>
      <c r="E1020" s="2">
        <v>57.99</v>
      </c>
      <c r="F1020" s="2">
        <v>2</v>
      </c>
      <c r="G1020" s="2" t="s">
        <v>11</v>
      </c>
    </row>
    <row r="1021" spans="1:8" x14ac:dyDescent="0.2">
      <c r="A1021" s="2" t="s">
        <v>3575</v>
      </c>
      <c r="B1021" s="2" t="s">
        <v>444</v>
      </c>
      <c r="C1021" s="2">
        <v>581.26570000000004</v>
      </c>
      <c r="D1021" s="2">
        <f>HYPERLINK("http://mcb-m6.bioreg.kyushu-u.ac.jp/M3/20110414/F50932/1860/1", 35.43)</f>
        <v>35.43</v>
      </c>
      <c r="E1021" s="2">
        <v>17.03</v>
      </c>
      <c r="F1021" s="2">
        <v>2</v>
      </c>
      <c r="G1021" s="2" t="s">
        <v>12</v>
      </c>
    </row>
    <row r="1022" spans="1:8" x14ac:dyDescent="0.2">
      <c r="A1022" s="2" t="s">
        <v>3575</v>
      </c>
      <c r="B1022" s="2" t="s">
        <v>444</v>
      </c>
      <c r="C1022" s="2">
        <v>1177.4179999999999</v>
      </c>
      <c r="D1022" s="2">
        <f>HYPERLINK("http://mcb-m6.bioreg.kyushu-u.ac.jp/M3/20110414/F50963/1066/1", 41.75)</f>
        <v>41.75</v>
      </c>
      <c r="E1022" s="2">
        <v>31.22</v>
      </c>
      <c r="F1022" s="2">
        <v>1</v>
      </c>
      <c r="G1022" s="2" t="s">
        <v>12</v>
      </c>
      <c r="H1022" s="2" t="s">
        <v>4919</v>
      </c>
    </row>
    <row r="1023" spans="1:8" x14ac:dyDescent="0.2">
      <c r="A1023" s="2" t="s">
        <v>3575</v>
      </c>
      <c r="B1023" s="2" t="s">
        <v>444</v>
      </c>
      <c r="C1023" s="2">
        <v>589.28920000000005</v>
      </c>
      <c r="D1023" s="2">
        <f>HYPERLINK("http://mcb-m6.bioreg.kyushu-u.ac.jp/M3/20110414/F50948/1191/1", 43.58)</f>
        <v>43.58</v>
      </c>
      <c r="E1023" s="2">
        <v>24.4</v>
      </c>
      <c r="F1023" s="2">
        <v>2</v>
      </c>
      <c r="G1023" s="2" t="s">
        <v>12</v>
      </c>
      <c r="H1023" s="2" t="s">
        <v>4919</v>
      </c>
    </row>
    <row r="1024" spans="1:8" x14ac:dyDescent="0.2">
      <c r="A1024" s="2" t="s">
        <v>3575</v>
      </c>
      <c r="B1024" s="2" t="s">
        <v>444</v>
      </c>
      <c r="C1024" s="2">
        <v>581.87710000000004</v>
      </c>
      <c r="D1024" s="2">
        <f>HYPERLINK("http://mcb-m6.bioreg.kyushu-u.ac.jp/M3/20110414/F50963/1040/1", 44.15)</f>
        <v>44.15</v>
      </c>
      <c r="E1024" s="2">
        <v>25.74</v>
      </c>
      <c r="F1024" s="2">
        <v>2</v>
      </c>
      <c r="G1024" s="2" t="s">
        <v>12</v>
      </c>
    </row>
    <row r="1025" spans="1:8" x14ac:dyDescent="0.2">
      <c r="A1025" s="2" t="s">
        <v>3575</v>
      </c>
      <c r="B1025" s="2" t="s">
        <v>444</v>
      </c>
      <c r="C1025" s="2">
        <v>1177.546</v>
      </c>
      <c r="D1025" s="2">
        <f>HYPERLINK("http://mcb-m6.bioreg.kyushu-u.ac.jp/M3/20110414/F50947/1139/1", 45.62)</f>
        <v>45.62</v>
      </c>
      <c r="E1025" s="2">
        <v>26.57</v>
      </c>
      <c r="F1025" s="2">
        <v>1</v>
      </c>
      <c r="G1025" s="2" t="s">
        <v>12</v>
      </c>
      <c r="H1025" s="2" t="s">
        <v>4919</v>
      </c>
    </row>
    <row r="1026" spans="1:8" x14ac:dyDescent="0.2">
      <c r="A1026" s="2" t="s">
        <v>3575</v>
      </c>
      <c r="B1026" s="2" t="s">
        <v>444</v>
      </c>
      <c r="C1026" s="2">
        <v>581.85969999999998</v>
      </c>
      <c r="D1026" s="2">
        <f>HYPERLINK("http://mcb-m6.bioreg.kyushu-u.ac.jp/M3/20110414/F50933/1745/1", 48.45)</f>
        <v>48.45</v>
      </c>
      <c r="E1026" s="2">
        <v>27.24</v>
      </c>
      <c r="F1026" s="2">
        <v>2</v>
      </c>
      <c r="G1026" s="2" t="s">
        <v>12</v>
      </c>
    </row>
    <row r="1027" spans="1:8" x14ac:dyDescent="0.2">
      <c r="A1027" s="2" t="s">
        <v>3575</v>
      </c>
      <c r="B1027" s="2" t="s">
        <v>444</v>
      </c>
      <c r="C1027" s="2">
        <v>1161.4829999999999</v>
      </c>
      <c r="D1027" s="2">
        <f>HYPERLINK("http://mcb-m6.bioreg.kyushu-u.ac.jp/M3/20110414/F50963/1035/1", 55.35)</f>
        <v>55.35</v>
      </c>
      <c r="E1027" s="2">
        <v>39.119999999999997</v>
      </c>
      <c r="F1027" s="2">
        <v>1</v>
      </c>
      <c r="G1027" s="2" t="s">
        <v>12</v>
      </c>
    </row>
    <row r="1028" spans="1:8" x14ac:dyDescent="0.2">
      <c r="A1028" s="2" t="s">
        <v>3575</v>
      </c>
      <c r="B1028" s="2" t="s">
        <v>444</v>
      </c>
      <c r="C1028" s="2">
        <v>589.19420000000002</v>
      </c>
      <c r="D1028" s="2">
        <f>HYPERLINK("http://mcb-m6.bioreg.kyushu-u.ac.jp/M3/20110414/F50963/1065/1", 62.26)</f>
        <v>62.26</v>
      </c>
      <c r="E1028" s="2">
        <v>34.86</v>
      </c>
      <c r="F1028" s="2">
        <v>2</v>
      </c>
      <c r="G1028" s="2" t="s">
        <v>12</v>
      </c>
      <c r="H1028" s="2" t="s">
        <v>4919</v>
      </c>
    </row>
    <row r="1029" spans="1:8" x14ac:dyDescent="0.2">
      <c r="A1029" s="2" t="s">
        <v>3575</v>
      </c>
      <c r="B1029" s="2" t="s">
        <v>444</v>
      </c>
      <c r="C1029" s="2">
        <v>581.16020000000003</v>
      </c>
      <c r="D1029" s="2">
        <f>HYPERLINK("http://mcb-m6.bioreg.kyushu-u.ac.jp/M3/20110414/F50963/1034/1", 89.75)</f>
        <v>89.75</v>
      </c>
      <c r="E1029" s="2">
        <v>71.290000000000006</v>
      </c>
      <c r="F1029" s="2">
        <v>2</v>
      </c>
      <c r="G1029" s="2" t="s">
        <v>12</v>
      </c>
    </row>
    <row r="1030" spans="1:8" x14ac:dyDescent="0.2">
      <c r="A1030" s="2" t="s">
        <v>3575</v>
      </c>
      <c r="B1030" s="2" t="s">
        <v>444</v>
      </c>
      <c r="C1030" s="2">
        <v>1161.664</v>
      </c>
      <c r="D1030" s="2">
        <f>HYPERLINK("http://mcb-m6.bioreg.kyushu-u.ac.jp/M3/20110502/F51187/1050/1", 35.1)</f>
        <v>35.1</v>
      </c>
      <c r="E1030" s="2">
        <v>10.02</v>
      </c>
      <c r="F1030" s="2">
        <v>1</v>
      </c>
      <c r="G1030" s="2" t="s">
        <v>13</v>
      </c>
    </row>
    <row r="1031" spans="1:8" x14ac:dyDescent="0.2">
      <c r="A1031" s="2" t="s">
        <v>3575</v>
      </c>
      <c r="B1031" s="2" t="s">
        <v>444</v>
      </c>
      <c r="C1031" s="2">
        <v>581.51459999999997</v>
      </c>
      <c r="D1031" s="2">
        <f>HYPERLINK("http://mcb-m6.bioreg.kyushu-u.ac.jp/M3/20110502/F51174/1406/1", 45.19)</f>
        <v>45.19</v>
      </c>
      <c r="E1031" s="2">
        <v>21.37</v>
      </c>
      <c r="F1031" s="2">
        <v>2</v>
      </c>
      <c r="G1031" s="2" t="s">
        <v>13</v>
      </c>
    </row>
    <row r="1032" spans="1:8" x14ac:dyDescent="0.2">
      <c r="A1032" s="2" t="s">
        <v>3575</v>
      </c>
      <c r="B1032" s="2" t="s">
        <v>444</v>
      </c>
      <c r="C1032" s="2">
        <v>1161.691</v>
      </c>
      <c r="D1032" s="2">
        <f>HYPERLINK("http://mcb-m6.bioreg.kyushu-u.ac.jp/M3/20110502/F51187/1051/1", 48.47)</f>
        <v>48.47</v>
      </c>
      <c r="E1032" s="2">
        <v>23.15</v>
      </c>
      <c r="F1032" s="2">
        <v>1</v>
      </c>
      <c r="G1032" s="2" t="s">
        <v>13</v>
      </c>
    </row>
    <row r="1033" spans="1:8" x14ac:dyDescent="0.2">
      <c r="A1033" s="2" t="s">
        <v>3575</v>
      </c>
      <c r="B1033" s="2" t="s">
        <v>444</v>
      </c>
      <c r="C1033" s="2">
        <v>1161.623</v>
      </c>
      <c r="D1033" s="2">
        <f>HYPERLINK("http://mcb-m6.bioreg.kyushu-u.ac.jp/M3/20110502/F51169/1507/1", 52.25)</f>
        <v>52.25</v>
      </c>
      <c r="E1033" s="2">
        <v>25.53</v>
      </c>
      <c r="F1033" s="2">
        <v>1</v>
      </c>
      <c r="G1033" s="2" t="s">
        <v>13</v>
      </c>
    </row>
    <row r="1034" spans="1:8" x14ac:dyDescent="0.2">
      <c r="A1034" s="2" t="s">
        <v>3575</v>
      </c>
      <c r="B1034" s="2" t="s">
        <v>444</v>
      </c>
      <c r="C1034" s="2">
        <v>1161.67</v>
      </c>
      <c r="D1034" s="2">
        <f>HYPERLINK("http://mcb-m6.bioreg.kyushu-u.ac.jp/M3/20110502/F51170/1335/1", 53.28)</f>
        <v>53.28</v>
      </c>
      <c r="E1034" s="2">
        <v>30.92</v>
      </c>
      <c r="F1034" s="2">
        <v>1</v>
      </c>
      <c r="G1034" s="2" t="s">
        <v>13</v>
      </c>
    </row>
    <row r="1035" spans="1:8" x14ac:dyDescent="0.2">
      <c r="A1035" s="2" t="s">
        <v>3575</v>
      </c>
      <c r="B1035" s="2" t="s">
        <v>444</v>
      </c>
      <c r="C1035" s="2">
        <v>589.51369999999997</v>
      </c>
      <c r="D1035" s="2">
        <f>HYPERLINK("http://mcb-m6.bioreg.kyushu-u.ac.jp/M3/20110502/F51180/1056/1", 53.41)</f>
        <v>53.41</v>
      </c>
      <c r="E1035" s="2">
        <v>29.39</v>
      </c>
      <c r="F1035" s="2">
        <v>2</v>
      </c>
      <c r="G1035" s="2" t="s">
        <v>13</v>
      </c>
      <c r="H1035" s="2" t="s">
        <v>4919</v>
      </c>
    </row>
    <row r="1036" spans="1:8" x14ac:dyDescent="0.2">
      <c r="A1036" s="2" t="s">
        <v>3575</v>
      </c>
      <c r="B1036" s="2" t="s">
        <v>444</v>
      </c>
      <c r="C1036" s="2">
        <v>589.37869999999998</v>
      </c>
      <c r="D1036" s="2">
        <f>HYPERLINK("http://mcb-m6.bioreg.kyushu-u.ac.jp/M3/20110502/F51165/1603/1", 57.07)</f>
        <v>57.07</v>
      </c>
      <c r="E1036" s="2">
        <v>28.44</v>
      </c>
      <c r="F1036" s="2">
        <v>2</v>
      </c>
      <c r="G1036" s="2" t="s">
        <v>13</v>
      </c>
      <c r="H1036" s="2" t="s">
        <v>4919</v>
      </c>
    </row>
    <row r="1037" spans="1:8" x14ac:dyDescent="0.2">
      <c r="A1037" s="2" t="s">
        <v>3575</v>
      </c>
      <c r="B1037" s="2" t="s">
        <v>444</v>
      </c>
      <c r="C1037" s="2">
        <v>1177.6980000000001</v>
      </c>
      <c r="D1037" s="2">
        <f>HYPERLINK("http://mcb-m6.bioreg.kyushu-u.ac.jp/M3/20110502/F51187/1074/1", 72.37)</f>
        <v>72.37</v>
      </c>
      <c r="E1037" s="2">
        <v>53.43</v>
      </c>
      <c r="F1037" s="2">
        <v>1</v>
      </c>
      <c r="G1037" s="2" t="s">
        <v>13</v>
      </c>
      <c r="H1037" s="2" t="s">
        <v>4919</v>
      </c>
    </row>
    <row r="1038" spans="1:8" x14ac:dyDescent="0.2">
      <c r="A1038" s="2" t="s">
        <v>3575</v>
      </c>
      <c r="B1038" s="2" t="s">
        <v>444</v>
      </c>
      <c r="C1038" s="2">
        <v>581.41520000000003</v>
      </c>
      <c r="D1038" s="2">
        <f>HYPERLINK("http://mcb-m6.bioreg.kyushu-u.ac.jp/M3/20110502/F51187/1052/1", 72.92)</f>
        <v>72.92</v>
      </c>
      <c r="E1038" s="2">
        <v>41.42</v>
      </c>
      <c r="F1038" s="2">
        <v>2</v>
      </c>
      <c r="G1038" s="2" t="s">
        <v>13</v>
      </c>
    </row>
    <row r="1039" spans="1:8" x14ac:dyDescent="0.2">
      <c r="A1039" s="2" t="s">
        <v>3575</v>
      </c>
      <c r="B1039" s="2" t="s">
        <v>444</v>
      </c>
      <c r="C1039" s="2">
        <v>1177.7270000000001</v>
      </c>
      <c r="D1039" s="2">
        <f>HYPERLINK("http://mcb-m6.bioreg.kyushu-u.ac.jp/M3/20110502/F51179/999/1", 40.34)</f>
        <v>40.340000000000003</v>
      </c>
      <c r="E1039" s="2">
        <v>23.95</v>
      </c>
      <c r="F1039" s="2">
        <v>1</v>
      </c>
      <c r="G1039" s="2" t="s">
        <v>14</v>
      </c>
      <c r="H1039" s="2" t="s">
        <v>4919</v>
      </c>
    </row>
    <row r="1040" spans="1:8" x14ac:dyDescent="0.2">
      <c r="A1040" s="2" t="s">
        <v>3575</v>
      </c>
      <c r="B1040" s="2" t="s">
        <v>444</v>
      </c>
      <c r="C1040" s="2">
        <v>589.56920000000002</v>
      </c>
      <c r="D1040" s="2">
        <f>HYPERLINK("http://mcb-m6.bioreg.kyushu-u.ac.jp/M3/20110502/F51191/1048/1", 44.93)</f>
        <v>44.93</v>
      </c>
      <c r="E1040" s="2">
        <v>17.25</v>
      </c>
      <c r="F1040" s="2">
        <v>2</v>
      </c>
      <c r="G1040" s="2" t="s">
        <v>14</v>
      </c>
      <c r="H1040" s="2" t="s">
        <v>4919</v>
      </c>
    </row>
    <row r="1041" spans="1:8" x14ac:dyDescent="0.2">
      <c r="A1041" s="2" t="s">
        <v>3575</v>
      </c>
      <c r="B1041" s="2" t="s">
        <v>444</v>
      </c>
      <c r="C1041" s="2">
        <v>1161.7049999999999</v>
      </c>
      <c r="D1041" s="2">
        <f>HYPERLINK("http://mcb-m6.bioreg.kyushu-u.ac.jp/M3/20110502/F51179/962/1", 46.84)</f>
        <v>46.84</v>
      </c>
      <c r="E1041" s="2">
        <v>19.7</v>
      </c>
      <c r="F1041" s="2">
        <v>1</v>
      </c>
      <c r="G1041" s="2" t="s">
        <v>14</v>
      </c>
    </row>
    <row r="1042" spans="1:8" x14ac:dyDescent="0.2">
      <c r="A1042" s="2" t="s">
        <v>3575</v>
      </c>
      <c r="B1042" s="2" t="s">
        <v>444</v>
      </c>
      <c r="C1042" s="2">
        <v>581.44920000000002</v>
      </c>
      <c r="D1042" s="2">
        <f>HYPERLINK("http://mcb-m6.bioreg.kyushu-u.ac.jp/M3/20110502/F51194/955/1", 47.75)</f>
        <v>47.75</v>
      </c>
      <c r="E1042" s="2">
        <v>31.86</v>
      </c>
      <c r="F1042" s="2">
        <v>2</v>
      </c>
      <c r="G1042" s="2" t="s">
        <v>14</v>
      </c>
    </row>
    <row r="1043" spans="1:8" x14ac:dyDescent="0.2">
      <c r="A1043" s="2" t="s">
        <v>3575</v>
      </c>
      <c r="B1043" s="2" t="s">
        <v>444</v>
      </c>
      <c r="C1043" s="2">
        <v>581.45119999999997</v>
      </c>
      <c r="D1043" s="2">
        <f>HYPERLINK("http://mcb-m6.bioreg.kyushu-u.ac.jp/M3/20110502/F51191/1021/1", 48.93)</f>
        <v>48.93</v>
      </c>
      <c r="E1043" s="2">
        <v>19.12</v>
      </c>
      <c r="F1043" s="2">
        <v>2</v>
      </c>
      <c r="G1043" s="2" t="s">
        <v>14</v>
      </c>
    </row>
    <row r="1044" spans="1:8" x14ac:dyDescent="0.2">
      <c r="A1044" s="2" t="s">
        <v>3575</v>
      </c>
      <c r="B1044" s="2" t="s">
        <v>444</v>
      </c>
      <c r="C1044" s="2">
        <v>1161.779</v>
      </c>
      <c r="D1044" s="2">
        <f>HYPERLINK("http://mcb-m6.bioreg.kyushu-u.ac.jp/M3/20110502/F51191/1020/1", 51.32)</f>
        <v>51.32</v>
      </c>
      <c r="E1044" s="2">
        <v>21.99</v>
      </c>
      <c r="F1044" s="2">
        <v>1</v>
      </c>
      <c r="G1044" s="2" t="s">
        <v>14</v>
      </c>
    </row>
    <row r="1045" spans="1:8" x14ac:dyDescent="0.2">
      <c r="A1045" s="2" t="s">
        <v>3575</v>
      </c>
      <c r="B1045" s="2" t="s">
        <v>444</v>
      </c>
      <c r="C1045" s="2">
        <v>581.35469999999998</v>
      </c>
      <c r="D1045" s="2">
        <f>HYPERLINK("http://mcb-m6.bioreg.kyushu-u.ac.jp/M3/20110502/F51192/1021/1", 60.95)</f>
        <v>60.95</v>
      </c>
      <c r="E1045" s="2">
        <v>40.75</v>
      </c>
      <c r="F1045" s="2">
        <v>2</v>
      </c>
      <c r="G1045" s="2" t="s">
        <v>14</v>
      </c>
    </row>
    <row r="1046" spans="1:8" x14ac:dyDescent="0.2">
      <c r="A1046" s="2" t="s">
        <v>3575</v>
      </c>
      <c r="B1046" s="2" t="s">
        <v>444</v>
      </c>
      <c r="C1046" s="2">
        <v>589.89009999999996</v>
      </c>
      <c r="D1046" s="2">
        <f>HYPERLINK("http://mcb-m6.bioreg.kyushu-u.ac.jp/M3/20110502/F51178/1476/1", 61.39)</f>
        <v>61.39</v>
      </c>
      <c r="E1046" s="2">
        <v>40.880000000000003</v>
      </c>
      <c r="F1046" s="2">
        <v>2</v>
      </c>
      <c r="G1046" s="2" t="s">
        <v>14</v>
      </c>
      <c r="H1046" s="2" t="s">
        <v>4919</v>
      </c>
    </row>
    <row r="1047" spans="1:8" x14ac:dyDescent="0.2">
      <c r="A1047" s="2" t="s">
        <v>3575</v>
      </c>
      <c r="B1047" s="2" t="s">
        <v>444</v>
      </c>
      <c r="C1047" s="2">
        <v>1177.731</v>
      </c>
      <c r="D1047" s="2">
        <f>HYPERLINK("http://mcb-m6.bioreg.kyushu-u.ac.jp/M3/20110502/F51191/1046/1", 68.03)</f>
        <v>68.03</v>
      </c>
      <c r="E1047" s="2">
        <v>46.9</v>
      </c>
      <c r="F1047" s="2">
        <v>1</v>
      </c>
      <c r="G1047" s="2" t="s">
        <v>14</v>
      </c>
      <c r="H1047" s="2" t="s">
        <v>4919</v>
      </c>
    </row>
    <row r="1048" spans="1:8" x14ac:dyDescent="0.2">
      <c r="A1048" s="2" t="s">
        <v>3575</v>
      </c>
      <c r="B1048" s="2" t="s">
        <v>444</v>
      </c>
      <c r="C1048" s="2">
        <v>589.48820000000001</v>
      </c>
      <c r="D1048" s="2">
        <f>HYPERLINK("http://mcb-m6.bioreg.kyushu-u.ac.jp/M3/20110502/F51191/1047/1", 68.54)</f>
        <v>68.540000000000006</v>
      </c>
      <c r="E1048" s="2">
        <v>37.4</v>
      </c>
      <c r="F1048" s="2">
        <v>2</v>
      </c>
      <c r="G1048" s="2" t="s">
        <v>14</v>
      </c>
      <c r="H1048" s="2" t="s">
        <v>4919</v>
      </c>
    </row>
    <row r="1049" spans="1:8" x14ac:dyDescent="0.2">
      <c r="A1049" s="2" t="s">
        <v>3707</v>
      </c>
      <c r="B1049" s="2" t="s">
        <v>689</v>
      </c>
      <c r="C1049" s="2">
        <v>602.4597</v>
      </c>
      <c r="D1049" s="2">
        <f>HYPERLINK("http://mcb-m6.bioreg.kyushu-u.ac.jp/M3/20110411/F50919/1044/1", 48.49)</f>
        <v>48.49</v>
      </c>
      <c r="E1049" s="2">
        <v>35.43</v>
      </c>
      <c r="F1049" s="2">
        <v>2</v>
      </c>
      <c r="G1049" s="2" t="s">
        <v>9</v>
      </c>
      <c r="H1049" s="2" t="s">
        <v>4928</v>
      </c>
    </row>
    <row r="1050" spans="1:8" x14ac:dyDescent="0.2">
      <c r="A1050" s="2" t="s">
        <v>3707</v>
      </c>
      <c r="B1050" s="2" t="s">
        <v>689</v>
      </c>
      <c r="C1050" s="2">
        <v>1171.6500000000001</v>
      </c>
      <c r="D1050" s="2">
        <f>HYPERLINK("http://mcb-m6.bioreg.kyushu-u.ac.jp/M3/20110411/F50919/978/1", 61.84)</f>
        <v>61.84</v>
      </c>
      <c r="E1050" s="2">
        <v>42.83</v>
      </c>
      <c r="F1050" s="2">
        <v>1</v>
      </c>
      <c r="G1050" s="2" t="s">
        <v>9</v>
      </c>
    </row>
    <row r="1051" spans="1:8" x14ac:dyDescent="0.2">
      <c r="A1051" s="2" t="s">
        <v>3707</v>
      </c>
      <c r="B1051" s="2" t="s">
        <v>689</v>
      </c>
      <c r="C1051" s="2">
        <v>586.38369999999998</v>
      </c>
      <c r="D1051" s="2">
        <f>HYPERLINK("http://mcb-m6.bioreg.kyushu-u.ac.jp/M3/20110411/F50919/980/1", 69.41)</f>
        <v>69.41</v>
      </c>
      <c r="E1051" s="2">
        <v>49.82</v>
      </c>
      <c r="F1051" s="2">
        <v>2</v>
      </c>
      <c r="G1051" s="2" t="s">
        <v>9</v>
      </c>
    </row>
    <row r="1052" spans="1:8" x14ac:dyDescent="0.2">
      <c r="A1052" s="2" t="s">
        <v>3707</v>
      </c>
      <c r="B1052" s="2" t="s">
        <v>689</v>
      </c>
      <c r="C1052" s="2">
        <v>1187.5139999999999</v>
      </c>
      <c r="D1052" s="2">
        <f>HYPERLINK("http://mcb-m6.bioreg.kyushu-u.ac.jp/M3/20110411/F50921/1161/1", 50.22)</f>
        <v>50.22</v>
      </c>
      <c r="E1052" s="2">
        <v>38.17</v>
      </c>
      <c r="F1052" s="2">
        <v>1</v>
      </c>
      <c r="G1052" s="2" t="s">
        <v>10</v>
      </c>
      <c r="H1052" s="2" t="s">
        <v>4896</v>
      </c>
    </row>
    <row r="1053" spans="1:8" x14ac:dyDescent="0.2">
      <c r="A1053" s="2" t="s">
        <v>3707</v>
      </c>
      <c r="B1053" s="2" t="s">
        <v>689</v>
      </c>
      <c r="C1053" s="2">
        <v>594.54269999999997</v>
      </c>
      <c r="D1053" s="2">
        <f>HYPERLINK("http://mcb-m6.bioreg.kyushu-u.ac.jp/M3/20110411/F50914/1436/1", 50.49)</f>
        <v>50.49</v>
      </c>
      <c r="E1053" s="2">
        <v>35.06</v>
      </c>
      <c r="F1053" s="2">
        <v>2</v>
      </c>
      <c r="G1053" s="2" t="s">
        <v>10</v>
      </c>
      <c r="H1053" s="2" t="s">
        <v>4896</v>
      </c>
    </row>
    <row r="1054" spans="1:8" x14ac:dyDescent="0.2">
      <c r="A1054" s="2" t="s">
        <v>3707</v>
      </c>
      <c r="B1054" s="2" t="s">
        <v>689</v>
      </c>
      <c r="C1054" s="2">
        <v>586.34770000000003</v>
      </c>
      <c r="D1054" s="2">
        <f>HYPERLINK("http://mcb-m6.bioreg.kyushu-u.ac.jp/M3/20110411/F50917/1182/1", 51.43)</f>
        <v>51.43</v>
      </c>
      <c r="E1054" s="2">
        <v>38.270000000000003</v>
      </c>
      <c r="F1054" s="2">
        <v>2</v>
      </c>
      <c r="G1054" s="2" t="s">
        <v>10</v>
      </c>
    </row>
    <row r="1055" spans="1:8" x14ac:dyDescent="0.2">
      <c r="A1055" s="2" t="s">
        <v>3707</v>
      </c>
      <c r="B1055" s="2" t="s">
        <v>689</v>
      </c>
      <c r="C1055" s="2">
        <v>1171.9860000000001</v>
      </c>
      <c r="D1055" s="2">
        <f>HYPERLINK("http://mcb-m6.bioreg.kyushu-u.ac.jp/M3/20110411/F50912/1371/1", 58.69)</f>
        <v>58.69</v>
      </c>
      <c r="E1055" s="2">
        <v>23.9</v>
      </c>
      <c r="F1055" s="2">
        <v>1</v>
      </c>
      <c r="G1055" s="2" t="s">
        <v>10</v>
      </c>
    </row>
    <row r="1056" spans="1:8" x14ac:dyDescent="0.2">
      <c r="A1056" s="2" t="s">
        <v>3707</v>
      </c>
      <c r="B1056" s="2" t="s">
        <v>689</v>
      </c>
      <c r="C1056" s="2">
        <v>594.39970000000005</v>
      </c>
      <c r="D1056" s="2">
        <f>HYPERLINK("http://mcb-m6.bioreg.kyushu-u.ac.jp/M3/20110411/F50921/1163/1", 58.83)</f>
        <v>58.83</v>
      </c>
      <c r="E1056" s="2">
        <v>42.02</v>
      </c>
      <c r="F1056" s="2">
        <v>2</v>
      </c>
      <c r="G1056" s="2" t="s">
        <v>10</v>
      </c>
      <c r="H1056" s="2" t="s">
        <v>4896</v>
      </c>
    </row>
    <row r="1057" spans="1:8" x14ac:dyDescent="0.2">
      <c r="A1057" s="2" t="s">
        <v>3707</v>
      </c>
      <c r="B1057" s="2" t="s">
        <v>689</v>
      </c>
      <c r="C1057" s="2">
        <v>1171.6020000000001</v>
      </c>
      <c r="D1057" s="2">
        <f>HYPERLINK("http://mcb-m6.bioreg.kyushu-u.ac.jp/M3/20110411/F50921/1123/1", 61.85)</f>
        <v>61.85</v>
      </c>
      <c r="E1057" s="2">
        <v>39.03</v>
      </c>
      <c r="F1057" s="2">
        <v>1</v>
      </c>
      <c r="G1057" s="2" t="s">
        <v>10</v>
      </c>
    </row>
    <row r="1058" spans="1:8" x14ac:dyDescent="0.2">
      <c r="A1058" s="2" t="s">
        <v>3707</v>
      </c>
      <c r="B1058" s="2" t="s">
        <v>689</v>
      </c>
      <c r="C1058" s="2">
        <v>586.55219999999997</v>
      </c>
      <c r="D1058" s="2">
        <f>HYPERLINK("http://mcb-m6.bioreg.kyushu-u.ac.jp/M3/20110411/F50913/1343/1", 65.36)</f>
        <v>65.36</v>
      </c>
      <c r="E1058" s="2">
        <v>46.56</v>
      </c>
      <c r="F1058" s="2">
        <v>2</v>
      </c>
      <c r="G1058" s="2" t="s">
        <v>10</v>
      </c>
    </row>
    <row r="1059" spans="1:8" x14ac:dyDescent="0.2">
      <c r="A1059" s="2" t="s">
        <v>3707</v>
      </c>
      <c r="B1059" s="2" t="s">
        <v>689</v>
      </c>
      <c r="C1059" s="2">
        <v>586.40060000000005</v>
      </c>
      <c r="D1059" s="2">
        <f>HYPERLINK("http://mcb-m6.bioreg.kyushu-u.ac.jp/M3/20110411/F50914/1386/1", 73.45)</f>
        <v>73.45</v>
      </c>
      <c r="E1059" s="2">
        <v>55.09</v>
      </c>
      <c r="F1059" s="2">
        <v>2</v>
      </c>
      <c r="G1059" s="2" t="s">
        <v>10</v>
      </c>
    </row>
    <row r="1060" spans="1:8" x14ac:dyDescent="0.2">
      <c r="A1060" s="2" t="s">
        <v>3707</v>
      </c>
      <c r="B1060" s="2" t="s">
        <v>689</v>
      </c>
      <c r="C1060" s="2">
        <v>586.65009999999995</v>
      </c>
      <c r="D1060" s="2">
        <f>HYPERLINK("http://mcb-m6.bioreg.kyushu-u.ac.jp/M3/20110411/F50912/1373/1", 74.09)</f>
        <v>74.09</v>
      </c>
      <c r="E1060" s="2">
        <v>53.76</v>
      </c>
      <c r="F1060" s="2">
        <v>2</v>
      </c>
      <c r="G1060" s="2" t="s">
        <v>10</v>
      </c>
    </row>
    <row r="1061" spans="1:8" x14ac:dyDescent="0.2">
      <c r="A1061" s="2" t="s">
        <v>3707</v>
      </c>
      <c r="B1061" s="2" t="s">
        <v>689</v>
      </c>
      <c r="C1061" s="2">
        <v>586.29909999999995</v>
      </c>
      <c r="D1061" s="2">
        <f>HYPERLINK("http://mcb-m6.bioreg.kyushu-u.ac.jp/M3/20110411/F50921/1122/1", 77.41)</f>
        <v>77.41</v>
      </c>
      <c r="E1061" s="2">
        <v>51.96</v>
      </c>
      <c r="F1061" s="2">
        <v>2</v>
      </c>
      <c r="G1061" s="2" t="s">
        <v>10</v>
      </c>
    </row>
    <row r="1062" spans="1:8" x14ac:dyDescent="0.2">
      <c r="A1062" s="2" t="s">
        <v>3707</v>
      </c>
      <c r="B1062" s="2" t="s">
        <v>689</v>
      </c>
      <c r="C1062" s="2">
        <v>594.38459999999998</v>
      </c>
      <c r="D1062" s="2">
        <f>HYPERLINK("http://mcb-m6.bioreg.kyushu-u.ac.jp/M3/20110414/F50962/1211/1", 42.57)</f>
        <v>42.57</v>
      </c>
      <c r="E1062" s="2">
        <v>19.510000000000002</v>
      </c>
      <c r="F1062" s="2">
        <v>2</v>
      </c>
      <c r="G1062" s="2" t="s">
        <v>11</v>
      </c>
      <c r="H1062" s="2" t="s">
        <v>4901</v>
      </c>
    </row>
    <row r="1063" spans="1:8" x14ac:dyDescent="0.2">
      <c r="A1063" s="2" t="s">
        <v>3707</v>
      </c>
      <c r="B1063" s="2" t="s">
        <v>689</v>
      </c>
      <c r="C1063" s="2">
        <v>586.20209999999997</v>
      </c>
      <c r="D1063" s="2">
        <f>HYPERLINK("http://mcb-m6.bioreg.kyushu-u.ac.jp/M3/20110414/F50962/1167/1", 60.18)</f>
        <v>60.18</v>
      </c>
      <c r="E1063" s="2">
        <v>40.82</v>
      </c>
      <c r="F1063" s="2">
        <v>2</v>
      </c>
      <c r="G1063" s="2" t="s">
        <v>11</v>
      </c>
    </row>
    <row r="1064" spans="1:8" x14ac:dyDescent="0.2">
      <c r="A1064" s="2" t="s">
        <v>3707</v>
      </c>
      <c r="B1064" s="2" t="s">
        <v>689</v>
      </c>
      <c r="C1064" s="2">
        <v>594.29610000000002</v>
      </c>
      <c r="D1064" s="2">
        <f>HYPERLINK("http://mcb-m6.bioreg.kyushu-u.ac.jp/M3/20110414/F50963/1094/1", 51.84)</f>
        <v>51.84</v>
      </c>
      <c r="E1064" s="2">
        <v>36.32</v>
      </c>
      <c r="F1064" s="2">
        <v>2</v>
      </c>
      <c r="G1064" s="2" t="s">
        <v>12</v>
      </c>
      <c r="H1064" s="2" t="s">
        <v>4901</v>
      </c>
    </row>
    <row r="1065" spans="1:8" x14ac:dyDescent="0.2">
      <c r="A1065" s="2" t="s">
        <v>3707</v>
      </c>
      <c r="B1065" s="2" t="s">
        <v>689</v>
      </c>
      <c r="C1065" s="2">
        <v>1171.481</v>
      </c>
      <c r="D1065" s="2">
        <f>HYPERLINK("http://mcb-m6.bioreg.kyushu-u.ac.jp/M3/20110414/F50963/1057/1", 57.73)</f>
        <v>57.73</v>
      </c>
      <c r="E1065" s="2">
        <v>38.24</v>
      </c>
      <c r="F1065" s="2">
        <v>1</v>
      </c>
      <c r="G1065" s="2" t="s">
        <v>12</v>
      </c>
    </row>
    <row r="1066" spans="1:8" x14ac:dyDescent="0.2">
      <c r="A1066" s="2" t="s">
        <v>3707</v>
      </c>
      <c r="B1066" s="2" t="s">
        <v>689</v>
      </c>
      <c r="C1066" s="2">
        <v>586.14009999999996</v>
      </c>
      <c r="D1066" s="2">
        <f>HYPERLINK("http://mcb-m6.bioreg.kyushu-u.ac.jp/M3/20110414/F50966/1218/1", 66.76)</f>
        <v>66.760000000000005</v>
      </c>
      <c r="E1066" s="2">
        <v>46.88</v>
      </c>
      <c r="F1066" s="2">
        <v>2</v>
      </c>
      <c r="G1066" s="2" t="s">
        <v>12</v>
      </c>
    </row>
    <row r="1067" spans="1:8" x14ac:dyDescent="0.2">
      <c r="A1067" s="2" t="s">
        <v>3707</v>
      </c>
      <c r="B1067" s="2" t="s">
        <v>689</v>
      </c>
      <c r="C1067" s="2">
        <v>586.1902</v>
      </c>
      <c r="D1067" s="2">
        <f>HYPERLINK("http://mcb-m6.bioreg.kyushu-u.ac.jp/M3/20110414/F50963/1055/1", 67.44)</f>
        <v>67.44</v>
      </c>
      <c r="E1067" s="2">
        <v>47.65</v>
      </c>
      <c r="F1067" s="2">
        <v>2</v>
      </c>
      <c r="G1067" s="2" t="s">
        <v>12</v>
      </c>
    </row>
    <row r="1068" spans="1:8" x14ac:dyDescent="0.2">
      <c r="A1068" s="2" t="s">
        <v>3707</v>
      </c>
      <c r="B1068" s="2" t="s">
        <v>689</v>
      </c>
      <c r="C1068" s="2">
        <v>602.50919999999996</v>
      </c>
      <c r="D1068" s="2">
        <f>HYPERLINK("http://mcb-m6.bioreg.kyushu-u.ac.jp/M3/20110502/F51187/1153/1", 48.6)</f>
        <v>48.6</v>
      </c>
      <c r="E1068" s="2">
        <v>30.78</v>
      </c>
      <c r="F1068" s="2">
        <v>2</v>
      </c>
      <c r="G1068" s="2" t="s">
        <v>13</v>
      </c>
      <c r="H1068" s="2" t="s">
        <v>4928</v>
      </c>
    </row>
    <row r="1069" spans="1:8" x14ac:dyDescent="0.2">
      <c r="A1069" s="2" t="s">
        <v>3707</v>
      </c>
      <c r="B1069" s="2" t="s">
        <v>689</v>
      </c>
      <c r="C1069" s="2">
        <v>594.51260000000002</v>
      </c>
      <c r="D1069" s="2">
        <f>HYPERLINK("http://mcb-m6.bioreg.kyushu-u.ac.jp/M3/20110502/F51187/1100/1", 54.89)</f>
        <v>54.89</v>
      </c>
      <c r="E1069" s="2">
        <v>32.42</v>
      </c>
      <c r="F1069" s="2">
        <v>2</v>
      </c>
      <c r="G1069" s="2" t="s">
        <v>13</v>
      </c>
      <c r="H1069" s="2" t="s">
        <v>4901</v>
      </c>
    </row>
    <row r="1070" spans="1:8" x14ac:dyDescent="0.2">
      <c r="A1070" s="2" t="s">
        <v>3707</v>
      </c>
      <c r="B1070" s="2" t="s">
        <v>689</v>
      </c>
      <c r="C1070" s="2">
        <v>586.47720000000004</v>
      </c>
      <c r="D1070" s="2">
        <f>HYPERLINK("http://mcb-m6.bioreg.kyushu-u.ac.jp/M3/20110502/F51187/1068/1", 68.14)</f>
        <v>68.14</v>
      </c>
      <c r="E1070" s="2">
        <v>48.41</v>
      </c>
      <c r="F1070" s="2">
        <v>2</v>
      </c>
      <c r="G1070" s="2" t="s">
        <v>13</v>
      </c>
    </row>
    <row r="1071" spans="1:8" x14ac:dyDescent="0.2">
      <c r="A1071" s="2" t="s">
        <v>3707</v>
      </c>
      <c r="B1071" s="2" t="s">
        <v>689</v>
      </c>
      <c r="C1071" s="2">
        <v>594.64419999999996</v>
      </c>
      <c r="D1071" s="2">
        <f>HYPERLINK("http://mcb-m6.bioreg.kyushu-u.ac.jp/M3/20110502/F51191/1076/1", 38.16)</f>
        <v>38.159999999999997</v>
      </c>
      <c r="E1071" s="2">
        <v>21.45</v>
      </c>
      <c r="F1071" s="2">
        <v>2</v>
      </c>
      <c r="G1071" s="2" t="s">
        <v>14</v>
      </c>
      <c r="H1071" s="2" t="s">
        <v>4896</v>
      </c>
    </row>
    <row r="1072" spans="1:8" x14ac:dyDescent="0.2">
      <c r="A1072" s="2" t="s">
        <v>3707</v>
      </c>
      <c r="B1072" s="2" t="s">
        <v>689</v>
      </c>
      <c r="C1072" s="2">
        <v>1171.798</v>
      </c>
      <c r="D1072" s="2">
        <f>HYPERLINK("http://mcb-m6.bioreg.kyushu-u.ac.jp/M3/20110502/F51191/1035/1", 53.84)</f>
        <v>53.84</v>
      </c>
      <c r="E1072" s="2">
        <v>31.96</v>
      </c>
      <c r="F1072" s="2">
        <v>1</v>
      </c>
      <c r="G1072" s="2" t="s">
        <v>14</v>
      </c>
    </row>
    <row r="1073" spans="1:7" x14ac:dyDescent="0.2">
      <c r="A1073" s="2" t="s">
        <v>3707</v>
      </c>
      <c r="B1073" s="2" t="s">
        <v>689</v>
      </c>
      <c r="C1073" s="2">
        <v>586.52470000000005</v>
      </c>
      <c r="D1073" s="2">
        <f>HYPERLINK("http://mcb-m6.bioreg.kyushu-u.ac.jp/M3/20110502/F51191/1037/1", 70.65)</f>
        <v>70.650000000000006</v>
      </c>
      <c r="E1073" s="2">
        <v>47.04</v>
      </c>
      <c r="F1073" s="2">
        <v>2</v>
      </c>
      <c r="G1073" s="2" t="s">
        <v>14</v>
      </c>
    </row>
    <row r="1074" spans="1:7" x14ac:dyDescent="0.2">
      <c r="A1074" s="2" t="s">
        <v>3565</v>
      </c>
      <c r="B1074" s="2" t="s">
        <v>429</v>
      </c>
      <c r="C1074" s="2">
        <v>599.98069999999996</v>
      </c>
      <c r="D1074" s="2">
        <f>HYPERLINK("http://mcb-m6.bioreg.kyushu-u.ac.jp/M3/20110411/F50919/1026/1", 41.71)</f>
        <v>41.71</v>
      </c>
      <c r="E1074" s="2">
        <v>28.9</v>
      </c>
      <c r="F1074" s="2">
        <v>2</v>
      </c>
      <c r="G1074" s="2" t="s">
        <v>9</v>
      </c>
    </row>
    <row r="1075" spans="1:7" x14ac:dyDescent="0.2">
      <c r="A1075" s="2" t="s">
        <v>3565</v>
      </c>
      <c r="B1075" s="2" t="s">
        <v>429</v>
      </c>
      <c r="C1075" s="2">
        <v>600.12159999999994</v>
      </c>
      <c r="D1075" s="2">
        <f>HYPERLINK("http://mcb-m6.bioreg.kyushu-u.ac.jp/M3/20110411/F50911/1392/1", 43.42)</f>
        <v>43.42</v>
      </c>
      <c r="E1075" s="2">
        <v>28.78</v>
      </c>
      <c r="F1075" s="2">
        <v>2</v>
      </c>
      <c r="G1075" s="2" t="s">
        <v>9</v>
      </c>
    </row>
    <row r="1076" spans="1:7" x14ac:dyDescent="0.2">
      <c r="A1076" s="2" t="s">
        <v>3565</v>
      </c>
      <c r="B1076" s="2" t="s">
        <v>429</v>
      </c>
      <c r="C1076" s="2">
        <v>600.07920000000001</v>
      </c>
      <c r="D1076" s="2">
        <f>HYPERLINK("http://mcb-m6.bioreg.kyushu-u.ac.jp/M3/20110411/F50916/1173/1", 45)</f>
        <v>45</v>
      </c>
      <c r="E1076" s="2">
        <v>30.03</v>
      </c>
      <c r="F1076" s="2">
        <v>2</v>
      </c>
      <c r="G1076" s="2" t="s">
        <v>9</v>
      </c>
    </row>
    <row r="1077" spans="1:7" x14ac:dyDescent="0.2">
      <c r="A1077" s="2" t="s">
        <v>3565</v>
      </c>
      <c r="B1077" s="2" t="s">
        <v>429</v>
      </c>
      <c r="C1077" s="2">
        <v>600.11109999999996</v>
      </c>
      <c r="D1077" s="2">
        <f>HYPERLINK("http://mcb-m6.bioreg.kyushu-u.ac.jp/M3/20110411/F50903/1418/1", 45.73)</f>
        <v>45.73</v>
      </c>
      <c r="E1077" s="2">
        <v>32.49</v>
      </c>
      <c r="F1077" s="2">
        <v>2</v>
      </c>
      <c r="G1077" s="2" t="s">
        <v>9</v>
      </c>
    </row>
    <row r="1078" spans="1:7" x14ac:dyDescent="0.2">
      <c r="A1078" s="2" t="s">
        <v>3565</v>
      </c>
      <c r="B1078" s="2" t="s">
        <v>429</v>
      </c>
      <c r="C1078" s="2">
        <v>600.45569999999998</v>
      </c>
      <c r="D1078" s="2">
        <f>HYPERLINK("http://mcb-m6.bioreg.kyushu-u.ac.jp/M3/20110411/F50919/1031/1", 46.31)</f>
        <v>46.31</v>
      </c>
      <c r="E1078" s="2">
        <v>24.61</v>
      </c>
      <c r="F1078" s="2">
        <v>2</v>
      </c>
      <c r="G1078" s="2" t="s">
        <v>9</v>
      </c>
    </row>
    <row r="1079" spans="1:7" x14ac:dyDescent="0.2">
      <c r="A1079" s="2" t="s">
        <v>3565</v>
      </c>
      <c r="B1079" s="2" t="s">
        <v>429</v>
      </c>
      <c r="C1079" s="2">
        <v>600.13509999999997</v>
      </c>
      <c r="D1079" s="2">
        <f>HYPERLINK("http://mcb-m6.bioreg.kyushu-u.ac.jp/M3/20110411/F50904/1430/1", 46.38)</f>
        <v>46.38</v>
      </c>
      <c r="E1079" s="2">
        <v>22.34</v>
      </c>
      <c r="F1079" s="2">
        <v>2</v>
      </c>
      <c r="G1079" s="2" t="s">
        <v>9</v>
      </c>
    </row>
    <row r="1080" spans="1:7" x14ac:dyDescent="0.2">
      <c r="A1080" s="2" t="s">
        <v>3565</v>
      </c>
      <c r="B1080" s="2" t="s">
        <v>429</v>
      </c>
      <c r="C1080" s="2">
        <v>600.0231</v>
      </c>
      <c r="D1080" s="2">
        <f>HYPERLINK("http://mcb-m6.bioreg.kyushu-u.ac.jp/M3/20110411/F50915/1173/1", 56.67)</f>
        <v>56.67</v>
      </c>
      <c r="E1080" s="2">
        <v>42.29</v>
      </c>
      <c r="F1080" s="2">
        <v>2</v>
      </c>
      <c r="G1080" s="2" t="s">
        <v>9</v>
      </c>
    </row>
    <row r="1081" spans="1:7" x14ac:dyDescent="0.2">
      <c r="A1081" s="2" t="s">
        <v>3565</v>
      </c>
      <c r="B1081" s="2" t="s">
        <v>429</v>
      </c>
      <c r="C1081" s="2">
        <v>600.08759999999995</v>
      </c>
      <c r="D1081" s="2">
        <f>HYPERLINK("http://mcb-m6.bioreg.kyushu-u.ac.jp/M3/20110411/F50905/1359/1", 58.5)</f>
        <v>58.5</v>
      </c>
      <c r="E1081" s="2">
        <v>33.869999999999997</v>
      </c>
      <c r="F1081" s="2">
        <v>2</v>
      </c>
      <c r="G1081" s="2" t="s">
        <v>9</v>
      </c>
    </row>
    <row r="1082" spans="1:7" x14ac:dyDescent="0.2">
      <c r="A1082" s="2" t="s">
        <v>3565</v>
      </c>
      <c r="B1082" s="2" t="s">
        <v>429</v>
      </c>
      <c r="C1082" s="2">
        <v>600.04060000000004</v>
      </c>
      <c r="D1082" s="2">
        <f>HYPERLINK("http://mcb-m6.bioreg.kyushu-u.ac.jp/M3/20110411/F50919/1027/1", 64.81)</f>
        <v>64.81</v>
      </c>
      <c r="E1082" s="2">
        <v>42.44</v>
      </c>
      <c r="F1082" s="2">
        <v>2</v>
      </c>
      <c r="G1082" s="2" t="s">
        <v>9</v>
      </c>
    </row>
    <row r="1083" spans="1:7" x14ac:dyDescent="0.2">
      <c r="A1083" s="2" t="s">
        <v>3565</v>
      </c>
      <c r="B1083" s="2" t="s">
        <v>429</v>
      </c>
      <c r="C1083" s="2">
        <v>599.42970000000003</v>
      </c>
      <c r="D1083" s="2">
        <f>HYPERLINK("http://mcb-m6.bioreg.kyushu-u.ac.jp/M3/20110411/F50918/1157/1", 37.18)</f>
        <v>37.18</v>
      </c>
      <c r="E1083" s="2">
        <v>22.01</v>
      </c>
      <c r="F1083" s="2">
        <v>2</v>
      </c>
      <c r="G1083" s="2" t="s">
        <v>10</v>
      </c>
    </row>
    <row r="1084" spans="1:7" x14ac:dyDescent="0.2">
      <c r="A1084" s="2" t="s">
        <v>3565</v>
      </c>
      <c r="B1084" s="2" t="s">
        <v>429</v>
      </c>
      <c r="C1084" s="2">
        <v>600.18409999999994</v>
      </c>
      <c r="D1084" s="2">
        <f>HYPERLINK("http://mcb-m6.bioreg.kyushu-u.ac.jp/M3/20110411/F50899/1818/1", 39.15)</f>
        <v>39.15</v>
      </c>
      <c r="E1084" s="2">
        <v>19.829999999999998</v>
      </c>
      <c r="F1084" s="2">
        <v>2</v>
      </c>
      <c r="G1084" s="2" t="s">
        <v>10</v>
      </c>
    </row>
    <row r="1085" spans="1:7" x14ac:dyDescent="0.2">
      <c r="A1085" s="2" t="s">
        <v>3565</v>
      </c>
      <c r="B1085" s="2" t="s">
        <v>429</v>
      </c>
      <c r="C1085" s="2">
        <v>599.94619999999998</v>
      </c>
      <c r="D1085" s="2">
        <f>HYPERLINK("http://mcb-m6.bioreg.kyushu-u.ac.jp/M3/20110411/F50921/1195/1", 39.22)</f>
        <v>39.22</v>
      </c>
      <c r="E1085" s="2">
        <v>23.49</v>
      </c>
      <c r="F1085" s="2">
        <v>2</v>
      </c>
      <c r="G1085" s="2" t="s">
        <v>10</v>
      </c>
    </row>
    <row r="1086" spans="1:7" x14ac:dyDescent="0.2">
      <c r="A1086" s="2" t="s">
        <v>3565</v>
      </c>
      <c r="B1086" s="2" t="s">
        <v>429</v>
      </c>
      <c r="C1086" s="2">
        <v>599.65309999999999</v>
      </c>
      <c r="D1086" s="2">
        <f>HYPERLINK("http://mcb-m6.bioreg.kyushu-u.ac.jp/M3/20110411/F50914/1465/1", 40.99)</f>
        <v>40.99</v>
      </c>
      <c r="E1086" s="2">
        <v>25.29</v>
      </c>
      <c r="F1086" s="2">
        <v>2</v>
      </c>
      <c r="G1086" s="2" t="s">
        <v>10</v>
      </c>
    </row>
    <row r="1087" spans="1:7" x14ac:dyDescent="0.2">
      <c r="A1087" s="2" t="s">
        <v>3565</v>
      </c>
      <c r="B1087" s="2" t="s">
        <v>429</v>
      </c>
      <c r="C1087" s="2">
        <v>599.98069999999996</v>
      </c>
      <c r="D1087" s="2">
        <f>HYPERLINK("http://mcb-m6.bioreg.kyushu-u.ac.jp/M3/20110411/F50901/1505/1", 44.1)</f>
        <v>44.1</v>
      </c>
      <c r="E1087" s="2">
        <v>22.15</v>
      </c>
      <c r="F1087" s="2">
        <v>2</v>
      </c>
      <c r="G1087" s="2" t="s">
        <v>10</v>
      </c>
    </row>
    <row r="1088" spans="1:7" x14ac:dyDescent="0.2">
      <c r="A1088" s="2" t="s">
        <v>3565</v>
      </c>
      <c r="B1088" s="2" t="s">
        <v>429</v>
      </c>
      <c r="C1088" s="2">
        <v>600.15369999999996</v>
      </c>
      <c r="D1088" s="2">
        <f>HYPERLINK("http://mcb-m6.bioreg.kyushu-u.ac.jp/M3/20110411/F50913/1408/1", 44.29)</f>
        <v>44.29</v>
      </c>
      <c r="E1088" s="2">
        <v>18.29</v>
      </c>
      <c r="F1088" s="2">
        <v>2</v>
      </c>
      <c r="G1088" s="2" t="s">
        <v>10</v>
      </c>
    </row>
    <row r="1089" spans="1:7" x14ac:dyDescent="0.2">
      <c r="A1089" s="2" t="s">
        <v>3565</v>
      </c>
      <c r="B1089" s="2" t="s">
        <v>429</v>
      </c>
      <c r="C1089" s="2">
        <v>600.09270000000004</v>
      </c>
      <c r="D1089" s="2">
        <f>HYPERLINK("http://mcb-m6.bioreg.kyushu-u.ac.jp/M3/20110411/F50902/1446/1", 47.65)</f>
        <v>47.65</v>
      </c>
      <c r="E1089" s="2">
        <v>30.71</v>
      </c>
      <c r="F1089" s="2">
        <v>2</v>
      </c>
      <c r="G1089" s="2" t="s">
        <v>10</v>
      </c>
    </row>
    <row r="1090" spans="1:7" x14ac:dyDescent="0.2">
      <c r="A1090" s="2" t="s">
        <v>3565</v>
      </c>
      <c r="B1090" s="2" t="s">
        <v>429</v>
      </c>
      <c r="C1090" s="2">
        <v>599.90170000000001</v>
      </c>
      <c r="D1090" s="2">
        <f>HYPERLINK("http://mcb-m6.bioreg.kyushu-u.ac.jp/M3/20110411/F50921/1193/1", 49.47)</f>
        <v>49.47</v>
      </c>
      <c r="E1090" s="2">
        <v>35.06</v>
      </c>
      <c r="F1090" s="2">
        <v>2</v>
      </c>
      <c r="G1090" s="2" t="s">
        <v>10</v>
      </c>
    </row>
    <row r="1091" spans="1:7" x14ac:dyDescent="0.2">
      <c r="A1091" s="2" t="s">
        <v>3565</v>
      </c>
      <c r="B1091" s="2" t="s">
        <v>429</v>
      </c>
      <c r="C1091" s="2">
        <v>599.94619999999998</v>
      </c>
      <c r="D1091" s="2">
        <f>HYPERLINK("http://mcb-m6.bioreg.kyushu-u.ac.jp/M3/20110411/F50921/1196/1", 50.76)</f>
        <v>50.76</v>
      </c>
      <c r="E1091" s="2">
        <v>33.76</v>
      </c>
      <c r="F1091" s="2">
        <v>2</v>
      </c>
      <c r="G1091" s="2" t="s">
        <v>10</v>
      </c>
    </row>
    <row r="1092" spans="1:7" x14ac:dyDescent="0.2">
      <c r="A1092" s="2" t="s">
        <v>3565</v>
      </c>
      <c r="B1092" s="2" t="s">
        <v>429</v>
      </c>
      <c r="C1092" s="2">
        <v>600.01509999999996</v>
      </c>
      <c r="D1092" s="2">
        <f>HYPERLINK("http://mcb-m6.bioreg.kyushu-u.ac.jp/M3/20110411/F50918/1160/1", 53.8)</f>
        <v>53.8</v>
      </c>
      <c r="E1092" s="2">
        <v>34.33</v>
      </c>
      <c r="F1092" s="2">
        <v>2</v>
      </c>
      <c r="G1092" s="2" t="s">
        <v>10</v>
      </c>
    </row>
    <row r="1093" spans="1:7" x14ac:dyDescent="0.2">
      <c r="A1093" s="2" t="s">
        <v>3565</v>
      </c>
      <c r="B1093" s="2" t="s">
        <v>429</v>
      </c>
      <c r="C1093" s="2">
        <v>599.97919999999999</v>
      </c>
      <c r="D1093" s="2">
        <f>HYPERLINK("http://mcb-m6.bioreg.kyushu-u.ac.jp/M3/20110411/F50921/1197/1", 54.55)</f>
        <v>54.55</v>
      </c>
      <c r="E1093" s="2">
        <v>30.16</v>
      </c>
      <c r="F1093" s="2">
        <v>2</v>
      </c>
      <c r="G1093" s="2" t="s">
        <v>10</v>
      </c>
    </row>
    <row r="1094" spans="1:7" x14ac:dyDescent="0.2">
      <c r="A1094" s="2" t="s">
        <v>3565</v>
      </c>
      <c r="B1094" s="2" t="s">
        <v>429</v>
      </c>
      <c r="C1094" s="2">
        <v>600.4357</v>
      </c>
      <c r="D1094" s="2">
        <f>HYPERLINK("http://mcb-m6.bioreg.kyushu-u.ac.jp/M3/20110411/F50921/1204/1", 55.36)</f>
        <v>55.36</v>
      </c>
      <c r="E1094" s="2">
        <v>34.6</v>
      </c>
      <c r="F1094" s="2">
        <v>2</v>
      </c>
      <c r="G1094" s="2" t="s">
        <v>10</v>
      </c>
    </row>
    <row r="1095" spans="1:7" x14ac:dyDescent="0.2">
      <c r="A1095" s="2" t="s">
        <v>3565</v>
      </c>
      <c r="B1095" s="2" t="s">
        <v>429</v>
      </c>
      <c r="C1095" s="2">
        <v>600.13070000000005</v>
      </c>
      <c r="D1095" s="2">
        <f>HYPERLINK("http://mcb-m6.bioreg.kyushu-u.ac.jp/M3/20110411/F50913/1407/1", 60.77)</f>
        <v>60.77</v>
      </c>
      <c r="E1095" s="2">
        <v>31.99</v>
      </c>
      <c r="F1095" s="2">
        <v>2</v>
      </c>
      <c r="G1095" s="2" t="s">
        <v>10</v>
      </c>
    </row>
    <row r="1096" spans="1:7" x14ac:dyDescent="0.2">
      <c r="A1096" s="2" t="s">
        <v>3565</v>
      </c>
      <c r="B1096" s="2" t="s">
        <v>429</v>
      </c>
      <c r="C1096" s="2">
        <v>599.99959999999999</v>
      </c>
      <c r="D1096" s="2">
        <f>HYPERLINK("http://mcb-m6.bioreg.kyushu-u.ac.jp/M3/20110411/F50921/1198/1", 60.83)</f>
        <v>60.83</v>
      </c>
      <c r="E1096" s="2">
        <v>42.52</v>
      </c>
      <c r="F1096" s="2">
        <v>2</v>
      </c>
      <c r="G1096" s="2" t="s">
        <v>10</v>
      </c>
    </row>
    <row r="1097" spans="1:7" x14ac:dyDescent="0.2">
      <c r="A1097" s="2" t="s">
        <v>3565</v>
      </c>
      <c r="B1097" s="2" t="s">
        <v>429</v>
      </c>
      <c r="C1097" s="2">
        <v>600.19709999999998</v>
      </c>
      <c r="D1097" s="2">
        <f>HYPERLINK("http://mcb-m6.bioreg.kyushu-u.ac.jp/M3/20110411/F50912/1442/1", 62.11)</f>
        <v>62.11</v>
      </c>
      <c r="E1097" s="2">
        <v>33.229999999999997</v>
      </c>
      <c r="F1097" s="2">
        <v>2</v>
      </c>
      <c r="G1097" s="2" t="s">
        <v>10</v>
      </c>
    </row>
    <row r="1098" spans="1:7" x14ac:dyDescent="0.2">
      <c r="A1098" s="2" t="s">
        <v>3565</v>
      </c>
      <c r="B1098" s="2" t="s">
        <v>429</v>
      </c>
      <c r="C1098" s="2">
        <v>600.01369999999997</v>
      </c>
      <c r="D1098" s="2">
        <f>HYPERLINK("http://mcb-m6.bioreg.kyushu-u.ac.jp/M3/20110411/F50917/1242/1", 64.8)</f>
        <v>64.8</v>
      </c>
      <c r="E1098" s="2">
        <v>39.82</v>
      </c>
      <c r="F1098" s="2">
        <v>2</v>
      </c>
      <c r="G1098" s="2" t="s">
        <v>10</v>
      </c>
    </row>
    <row r="1099" spans="1:7" x14ac:dyDescent="0.2">
      <c r="A1099" s="2" t="s">
        <v>3565</v>
      </c>
      <c r="B1099" s="2" t="s">
        <v>429</v>
      </c>
      <c r="C1099" s="2">
        <v>600.05319999999995</v>
      </c>
      <c r="D1099" s="2">
        <f>HYPERLINK("http://mcb-m6.bioreg.kyushu-u.ac.jp/M3/20110411/F50921/1199/1", 65.21)</f>
        <v>65.209999999999994</v>
      </c>
      <c r="E1099" s="2">
        <v>41.48</v>
      </c>
      <c r="F1099" s="2">
        <v>2</v>
      </c>
      <c r="G1099" s="2" t="s">
        <v>10</v>
      </c>
    </row>
    <row r="1100" spans="1:7" x14ac:dyDescent="0.2">
      <c r="A1100" s="2" t="s">
        <v>3565</v>
      </c>
      <c r="B1100" s="2" t="s">
        <v>429</v>
      </c>
      <c r="C1100" s="2">
        <v>599.80269999999996</v>
      </c>
      <c r="D1100" s="2">
        <f>HYPERLINK("http://mcb-m6.bioreg.kyushu-u.ac.jp/M3/20110414/F50941/1324/1", 36.97)</f>
        <v>36.97</v>
      </c>
      <c r="E1100" s="2">
        <v>23.61</v>
      </c>
      <c r="F1100" s="2">
        <v>2</v>
      </c>
      <c r="G1100" s="2" t="s">
        <v>11</v>
      </c>
    </row>
    <row r="1101" spans="1:7" x14ac:dyDescent="0.2">
      <c r="A1101" s="2" t="s">
        <v>3565</v>
      </c>
      <c r="B1101" s="2" t="s">
        <v>429</v>
      </c>
      <c r="C1101" s="2">
        <v>600.30070000000001</v>
      </c>
      <c r="D1101" s="2">
        <f>HYPERLINK("http://mcb-m6.bioreg.kyushu-u.ac.jp/M3/20110414/F50944/1562/1", 39.55)</f>
        <v>39.549999999999997</v>
      </c>
      <c r="E1101" s="2">
        <v>24.28</v>
      </c>
      <c r="F1101" s="2">
        <v>2</v>
      </c>
      <c r="G1101" s="2" t="s">
        <v>11</v>
      </c>
    </row>
    <row r="1102" spans="1:7" x14ac:dyDescent="0.2">
      <c r="A1102" s="2" t="s">
        <v>3565</v>
      </c>
      <c r="B1102" s="2" t="s">
        <v>429</v>
      </c>
      <c r="C1102" s="2">
        <v>599.86360000000002</v>
      </c>
      <c r="D1102" s="2">
        <f>HYPERLINK("http://mcb-m6.bioreg.kyushu-u.ac.jp/M3/20110414/F50941/1328/1", 39.71)</f>
        <v>39.71</v>
      </c>
      <c r="E1102" s="2">
        <v>24.82</v>
      </c>
      <c r="F1102" s="2">
        <v>2</v>
      </c>
      <c r="G1102" s="2" t="s">
        <v>11</v>
      </c>
    </row>
    <row r="1103" spans="1:7" x14ac:dyDescent="0.2">
      <c r="A1103" s="2" t="s">
        <v>3565</v>
      </c>
      <c r="B1103" s="2" t="s">
        <v>429</v>
      </c>
      <c r="C1103" s="2">
        <v>599.29970000000003</v>
      </c>
      <c r="D1103" s="2">
        <f>HYPERLINK("http://mcb-m6.bioreg.kyushu-u.ac.jp/M3/20110414/F50941/1318/1", 40.98)</f>
        <v>40.98</v>
      </c>
      <c r="E1103" s="2">
        <v>27.83</v>
      </c>
      <c r="F1103" s="2">
        <v>2</v>
      </c>
      <c r="G1103" s="2" t="s">
        <v>11</v>
      </c>
    </row>
    <row r="1104" spans="1:7" x14ac:dyDescent="0.2">
      <c r="A1104" s="2" t="s">
        <v>3565</v>
      </c>
      <c r="B1104" s="2" t="s">
        <v>429</v>
      </c>
      <c r="C1104" s="2">
        <v>599.72670000000005</v>
      </c>
      <c r="D1104" s="2">
        <f>HYPERLINK("http://mcb-m6.bioreg.kyushu-u.ac.jp/M3/20110414/F50962/1240/1", 41.08)</f>
        <v>41.08</v>
      </c>
      <c r="E1104" s="2">
        <v>28.34</v>
      </c>
      <c r="F1104" s="2">
        <v>2</v>
      </c>
      <c r="G1104" s="2" t="s">
        <v>11</v>
      </c>
    </row>
    <row r="1105" spans="1:7" x14ac:dyDescent="0.2">
      <c r="A1105" s="2" t="s">
        <v>3565</v>
      </c>
      <c r="B1105" s="2" t="s">
        <v>429</v>
      </c>
      <c r="C1105" s="2">
        <v>600.31820000000005</v>
      </c>
      <c r="D1105" s="2">
        <f>HYPERLINK("http://mcb-m6.bioreg.kyushu-u.ac.jp/M3/20110414/F50941/1333/1", 42.44)</f>
        <v>42.44</v>
      </c>
      <c r="E1105" s="2">
        <v>22.74</v>
      </c>
      <c r="F1105" s="2">
        <v>2</v>
      </c>
      <c r="G1105" s="2" t="s">
        <v>11</v>
      </c>
    </row>
    <row r="1106" spans="1:7" x14ac:dyDescent="0.2">
      <c r="A1106" s="2" t="s">
        <v>3565</v>
      </c>
      <c r="B1106" s="2" t="s">
        <v>429</v>
      </c>
      <c r="C1106" s="2">
        <v>600.38570000000004</v>
      </c>
      <c r="D1106" s="2">
        <f>HYPERLINK("http://mcb-m6.bioreg.kyushu-u.ac.jp/M3/20110414/F50962/1257/1", 47.39)</f>
        <v>47.39</v>
      </c>
      <c r="E1106" s="2">
        <v>24.45</v>
      </c>
      <c r="F1106" s="2">
        <v>2</v>
      </c>
      <c r="G1106" s="2" t="s">
        <v>11</v>
      </c>
    </row>
    <row r="1107" spans="1:7" x14ac:dyDescent="0.2">
      <c r="A1107" s="2" t="s">
        <v>3565</v>
      </c>
      <c r="B1107" s="2" t="s">
        <v>429</v>
      </c>
      <c r="C1107" s="2">
        <v>600.2482</v>
      </c>
      <c r="D1107" s="2">
        <f>HYPERLINK("http://mcb-m6.bioreg.kyushu-u.ac.jp/M3/20110414/F50962/1254/1", 48.15)</f>
        <v>48.15</v>
      </c>
      <c r="E1107" s="2">
        <v>27.99</v>
      </c>
      <c r="F1107" s="2">
        <v>2</v>
      </c>
      <c r="G1107" s="2" t="s">
        <v>11</v>
      </c>
    </row>
    <row r="1108" spans="1:7" x14ac:dyDescent="0.2">
      <c r="A1108" s="2" t="s">
        <v>3565</v>
      </c>
      <c r="B1108" s="2" t="s">
        <v>429</v>
      </c>
      <c r="C1108" s="2">
        <v>599.75160000000005</v>
      </c>
      <c r="D1108" s="2">
        <f>HYPERLINK("http://mcb-m6.bioreg.kyushu-u.ac.jp/M3/20110414/F50962/1244/1", 48.43)</f>
        <v>48.43</v>
      </c>
      <c r="E1108" s="2">
        <v>34.19</v>
      </c>
      <c r="F1108" s="2">
        <v>2</v>
      </c>
      <c r="G1108" s="2" t="s">
        <v>11</v>
      </c>
    </row>
    <row r="1109" spans="1:7" x14ac:dyDescent="0.2">
      <c r="A1109" s="2" t="s">
        <v>3565</v>
      </c>
      <c r="B1109" s="2" t="s">
        <v>429</v>
      </c>
      <c r="C1109" s="2">
        <v>599.86159999999995</v>
      </c>
      <c r="D1109" s="2">
        <f>HYPERLINK("http://mcb-m6.bioreg.kyushu-u.ac.jp/M3/20110414/F50962/1251/1", 52.06)</f>
        <v>52.06</v>
      </c>
      <c r="E1109" s="2">
        <v>39.68</v>
      </c>
      <c r="F1109" s="2">
        <v>2</v>
      </c>
      <c r="G1109" s="2" t="s">
        <v>11</v>
      </c>
    </row>
    <row r="1110" spans="1:7" x14ac:dyDescent="0.2">
      <c r="A1110" s="2" t="s">
        <v>3565</v>
      </c>
      <c r="B1110" s="2" t="s">
        <v>429</v>
      </c>
      <c r="C1110" s="2">
        <v>600.4316</v>
      </c>
      <c r="D1110" s="2">
        <f>HYPERLINK("http://mcb-m6.bioreg.kyushu-u.ac.jp/M3/20110414/F50962/1258/1", 53.02)</f>
        <v>53.02</v>
      </c>
      <c r="E1110" s="2">
        <v>22.54</v>
      </c>
      <c r="F1110" s="2">
        <v>2</v>
      </c>
      <c r="G1110" s="2" t="s">
        <v>11</v>
      </c>
    </row>
    <row r="1111" spans="1:7" x14ac:dyDescent="0.2">
      <c r="A1111" s="2" t="s">
        <v>3565</v>
      </c>
      <c r="B1111" s="2" t="s">
        <v>429</v>
      </c>
      <c r="C1111" s="2">
        <v>599.94269999999995</v>
      </c>
      <c r="D1111" s="2">
        <f>HYPERLINK("http://mcb-m6.bioreg.kyushu-u.ac.jp/M3/20110414/F50945/1428/1", 54.1)</f>
        <v>54.1</v>
      </c>
      <c r="E1111" s="2">
        <v>36.81</v>
      </c>
      <c r="F1111" s="2">
        <v>2</v>
      </c>
      <c r="G1111" s="2" t="s">
        <v>11</v>
      </c>
    </row>
    <row r="1112" spans="1:7" x14ac:dyDescent="0.2">
      <c r="A1112" s="2" t="s">
        <v>3565</v>
      </c>
      <c r="B1112" s="2" t="s">
        <v>429</v>
      </c>
      <c r="C1112" s="2">
        <v>599.73609999999996</v>
      </c>
      <c r="D1112" s="2">
        <f>HYPERLINK("http://mcb-m6.bioreg.kyushu-u.ac.jp/M3/20110414/F50962/1241/1", 54.12)</f>
        <v>54.12</v>
      </c>
      <c r="E1112" s="2">
        <v>42.34</v>
      </c>
      <c r="F1112" s="2">
        <v>2</v>
      </c>
      <c r="G1112" s="2" t="s">
        <v>11</v>
      </c>
    </row>
    <row r="1113" spans="1:7" x14ac:dyDescent="0.2">
      <c r="A1113" s="2" t="s">
        <v>3565</v>
      </c>
      <c r="B1113" s="2" t="s">
        <v>429</v>
      </c>
      <c r="C1113" s="2">
        <v>599.83259999999996</v>
      </c>
      <c r="D1113" s="2">
        <f>HYPERLINK("http://mcb-m6.bioreg.kyushu-u.ac.jp/M3/20110414/F50941/1325/1", 54.83)</f>
        <v>54.83</v>
      </c>
      <c r="E1113" s="2">
        <v>41.12</v>
      </c>
      <c r="F1113" s="2">
        <v>2</v>
      </c>
      <c r="G1113" s="2" t="s">
        <v>11</v>
      </c>
    </row>
    <row r="1114" spans="1:7" x14ac:dyDescent="0.2">
      <c r="A1114" s="2" t="s">
        <v>3565</v>
      </c>
      <c r="B1114" s="2" t="s">
        <v>429</v>
      </c>
      <c r="C1114" s="2">
        <v>599.69619999999998</v>
      </c>
      <c r="D1114" s="2">
        <f>HYPERLINK("http://mcb-m6.bioreg.kyushu-u.ac.jp/M3/20110414/F50956/1057/1", 57.19)</f>
        <v>57.19</v>
      </c>
      <c r="E1114" s="2">
        <v>42.02</v>
      </c>
      <c r="F1114" s="2">
        <v>2</v>
      </c>
      <c r="G1114" s="2" t="s">
        <v>11</v>
      </c>
    </row>
    <row r="1115" spans="1:7" x14ac:dyDescent="0.2">
      <c r="A1115" s="2" t="s">
        <v>3565</v>
      </c>
      <c r="B1115" s="2" t="s">
        <v>429</v>
      </c>
      <c r="C1115" s="2">
        <v>599.74220000000003</v>
      </c>
      <c r="D1115" s="2">
        <f>HYPERLINK("http://mcb-m6.bioreg.kyushu-u.ac.jp/M3/20110414/F50962/1242/1", 57.28)</f>
        <v>57.28</v>
      </c>
      <c r="E1115" s="2">
        <v>43.08</v>
      </c>
      <c r="F1115" s="2">
        <v>2</v>
      </c>
      <c r="G1115" s="2" t="s">
        <v>11</v>
      </c>
    </row>
    <row r="1116" spans="1:7" x14ac:dyDescent="0.2">
      <c r="A1116" s="2" t="s">
        <v>3565</v>
      </c>
      <c r="B1116" s="2" t="s">
        <v>429</v>
      </c>
      <c r="C1116" s="2">
        <v>599.87369999999999</v>
      </c>
      <c r="D1116" s="2">
        <f>HYPERLINK("http://mcb-m6.bioreg.kyushu-u.ac.jp/M3/20110414/F50941/1330/1", 58.3)</f>
        <v>58.3</v>
      </c>
      <c r="E1116" s="2">
        <v>41.41</v>
      </c>
      <c r="F1116" s="2">
        <v>2</v>
      </c>
      <c r="G1116" s="2" t="s">
        <v>11</v>
      </c>
    </row>
    <row r="1117" spans="1:7" x14ac:dyDescent="0.2">
      <c r="A1117" s="2" t="s">
        <v>3565</v>
      </c>
      <c r="B1117" s="2" t="s">
        <v>429</v>
      </c>
      <c r="C1117" s="2">
        <v>600.1422</v>
      </c>
      <c r="D1117" s="2">
        <f>HYPERLINK("http://mcb-m6.bioreg.kyushu-u.ac.jp/M3/20110414/F50962/1253/1", 58.64)</f>
        <v>58.64</v>
      </c>
      <c r="E1117" s="2">
        <v>39.43</v>
      </c>
      <c r="F1117" s="2">
        <v>2</v>
      </c>
      <c r="G1117" s="2" t="s">
        <v>11</v>
      </c>
    </row>
    <row r="1118" spans="1:7" x14ac:dyDescent="0.2">
      <c r="A1118" s="2" t="s">
        <v>3565</v>
      </c>
      <c r="B1118" s="2" t="s">
        <v>429</v>
      </c>
      <c r="C1118" s="2">
        <v>599.83320000000003</v>
      </c>
      <c r="D1118" s="2">
        <f>HYPERLINK("http://mcb-m6.bioreg.kyushu-u.ac.jp/M3/20110414/F50962/1249/1", 60.43)</f>
        <v>60.43</v>
      </c>
      <c r="E1118" s="2">
        <v>40.479999999999997</v>
      </c>
      <c r="F1118" s="2">
        <v>2</v>
      </c>
      <c r="G1118" s="2" t="s">
        <v>11</v>
      </c>
    </row>
    <row r="1119" spans="1:7" x14ac:dyDescent="0.2">
      <c r="A1119" s="2" t="s">
        <v>3565</v>
      </c>
      <c r="B1119" s="2" t="s">
        <v>429</v>
      </c>
      <c r="C1119" s="2">
        <v>599.76620000000003</v>
      </c>
      <c r="D1119" s="2">
        <f>HYPERLINK("http://mcb-m6.bioreg.kyushu-u.ac.jp/M3/20110414/F50962/1245/1", 63.37)</f>
        <v>63.37</v>
      </c>
      <c r="E1119" s="2">
        <v>44.06</v>
      </c>
      <c r="F1119" s="2">
        <v>2</v>
      </c>
      <c r="G1119" s="2" t="s">
        <v>11</v>
      </c>
    </row>
    <row r="1120" spans="1:7" x14ac:dyDescent="0.2">
      <c r="A1120" s="2" t="s">
        <v>3565</v>
      </c>
      <c r="B1120" s="2" t="s">
        <v>429</v>
      </c>
      <c r="C1120" s="2">
        <v>599.72609999999997</v>
      </c>
      <c r="D1120" s="2">
        <f>HYPERLINK("http://mcb-m6.bioreg.kyushu-u.ac.jp/M3/20110414/F50962/1239/1", 65.23)</f>
        <v>65.23</v>
      </c>
      <c r="E1120" s="2">
        <v>50.08</v>
      </c>
      <c r="F1120" s="2">
        <v>2</v>
      </c>
      <c r="G1120" s="2" t="s">
        <v>11</v>
      </c>
    </row>
    <row r="1121" spans="1:7" x14ac:dyDescent="0.2">
      <c r="A1121" s="2" t="s">
        <v>3565</v>
      </c>
      <c r="B1121" s="2" t="s">
        <v>429</v>
      </c>
      <c r="C1121" s="2">
        <v>599.85270000000003</v>
      </c>
      <c r="D1121" s="2">
        <f>HYPERLINK("http://mcb-m6.bioreg.kyushu-u.ac.jp/M3/20110414/F50962/1250/1", 67.24)</f>
        <v>67.239999999999995</v>
      </c>
      <c r="E1121" s="2">
        <v>49.1</v>
      </c>
      <c r="F1121" s="2">
        <v>2</v>
      </c>
      <c r="G1121" s="2" t="s">
        <v>11</v>
      </c>
    </row>
    <row r="1122" spans="1:7" x14ac:dyDescent="0.2">
      <c r="A1122" s="2" t="s">
        <v>3565</v>
      </c>
      <c r="B1122" s="2" t="s">
        <v>429</v>
      </c>
      <c r="C1122" s="2">
        <v>599.79110000000003</v>
      </c>
      <c r="D1122" s="2">
        <f>HYPERLINK("http://mcb-m6.bioreg.kyushu-u.ac.jp/M3/20110414/F50966/1283/1", 37.75)</f>
        <v>37.75</v>
      </c>
      <c r="E1122" s="2">
        <v>24.12</v>
      </c>
      <c r="F1122" s="2">
        <v>2</v>
      </c>
      <c r="G1122" s="2" t="s">
        <v>12</v>
      </c>
    </row>
    <row r="1123" spans="1:7" x14ac:dyDescent="0.2">
      <c r="A1123" s="2" t="s">
        <v>3565</v>
      </c>
      <c r="B1123" s="2" t="s">
        <v>429</v>
      </c>
      <c r="C1123" s="2">
        <v>599.75019999999995</v>
      </c>
      <c r="D1123" s="2">
        <f>HYPERLINK("http://mcb-m6.bioreg.kyushu-u.ac.jp/M3/20110414/F50948/1245/1", 38.54)</f>
        <v>38.54</v>
      </c>
      <c r="E1123" s="2">
        <v>23.3</v>
      </c>
      <c r="F1123" s="2">
        <v>2</v>
      </c>
      <c r="G1123" s="2" t="s">
        <v>12</v>
      </c>
    </row>
    <row r="1124" spans="1:7" x14ac:dyDescent="0.2">
      <c r="A1124" s="2" t="s">
        <v>3565</v>
      </c>
      <c r="B1124" s="2" t="s">
        <v>429</v>
      </c>
      <c r="C1124" s="2">
        <v>599.61519999999996</v>
      </c>
      <c r="D1124" s="2">
        <f>HYPERLINK("http://mcb-m6.bioreg.kyushu-u.ac.jp/M3/20110414/F50950/1332/1", 41.02)</f>
        <v>41.02</v>
      </c>
      <c r="E1124" s="2">
        <v>25.47</v>
      </c>
      <c r="F1124" s="2">
        <v>2</v>
      </c>
      <c r="G1124" s="2" t="s">
        <v>12</v>
      </c>
    </row>
    <row r="1125" spans="1:7" x14ac:dyDescent="0.2">
      <c r="A1125" s="2" t="s">
        <v>3565</v>
      </c>
      <c r="B1125" s="2" t="s">
        <v>429</v>
      </c>
      <c r="C1125" s="2">
        <v>600.08810000000005</v>
      </c>
      <c r="D1125" s="2">
        <f>HYPERLINK("http://mcb-m6.bioreg.kyushu-u.ac.jp/M3/20110414/F50966/1285/1", 41.57)</f>
        <v>41.57</v>
      </c>
      <c r="E1125" s="2">
        <v>27.98</v>
      </c>
      <c r="F1125" s="2">
        <v>2</v>
      </c>
      <c r="G1125" s="2" t="s">
        <v>12</v>
      </c>
    </row>
    <row r="1126" spans="1:7" x14ac:dyDescent="0.2">
      <c r="A1126" s="2" t="s">
        <v>3565</v>
      </c>
      <c r="B1126" s="2" t="s">
        <v>429</v>
      </c>
      <c r="C1126" s="2">
        <v>600.27560000000005</v>
      </c>
      <c r="D1126" s="2">
        <f>HYPERLINK("http://mcb-m6.bioreg.kyushu-u.ac.jp/M3/20110414/F50963/1142/1", 42.94)</f>
        <v>42.94</v>
      </c>
      <c r="E1126" s="2">
        <v>25.07</v>
      </c>
      <c r="F1126" s="2">
        <v>2</v>
      </c>
      <c r="G1126" s="2" t="s">
        <v>12</v>
      </c>
    </row>
    <row r="1127" spans="1:7" x14ac:dyDescent="0.2">
      <c r="A1127" s="2" t="s">
        <v>3565</v>
      </c>
      <c r="B1127" s="2" t="s">
        <v>429</v>
      </c>
      <c r="C1127" s="2">
        <v>599.80020000000002</v>
      </c>
      <c r="D1127" s="2">
        <f>HYPERLINK("http://mcb-m6.bioreg.kyushu-u.ac.jp/M3/20110414/F50963/1136/1", 43.47)</f>
        <v>43.47</v>
      </c>
      <c r="E1127" s="2">
        <v>31.22</v>
      </c>
      <c r="F1127" s="2">
        <v>2</v>
      </c>
      <c r="G1127" s="2" t="s">
        <v>12</v>
      </c>
    </row>
    <row r="1128" spans="1:7" x14ac:dyDescent="0.2">
      <c r="A1128" s="2" t="s">
        <v>3565</v>
      </c>
      <c r="B1128" s="2" t="s">
        <v>429</v>
      </c>
      <c r="C1128" s="2">
        <v>600.28120000000001</v>
      </c>
      <c r="D1128" s="2">
        <f>HYPERLINK("http://mcb-m6.bioreg.kyushu-u.ac.jp/M3/20110414/F50948/1252/1", 44.87)</f>
        <v>44.87</v>
      </c>
      <c r="E1128" s="2">
        <v>30.5</v>
      </c>
      <c r="F1128" s="2">
        <v>2</v>
      </c>
      <c r="G1128" s="2" t="s">
        <v>12</v>
      </c>
    </row>
    <row r="1129" spans="1:7" x14ac:dyDescent="0.2">
      <c r="A1129" s="2" t="s">
        <v>3565</v>
      </c>
      <c r="B1129" s="2" t="s">
        <v>429</v>
      </c>
      <c r="C1129" s="2">
        <v>599.76969999999994</v>
      </c>
      <c r="D1129" s="2">
        <f>HYPERLINK("http://mcb-m6.bioreg.kyushu-u.ac.jp/M3/20110414/F50966/1282/1", 46.2)</f>
        <v>46.2</v>
      </c>
      <c r="E1129" s="2">
        <v>24.61</v>
      </c>
      <c r="F1129" s="2">
        <v>2</v>
      </c>
      <c r="G1129" s="2" t="s">
        <v>12</v>
      </c>
    </row>
    <row r="1130" spans="1:7" x14ac:dyDescent="0.2">
      <c r="A1130" s="2" t="s">
        <v>3565</v>
      </c>
      <c r="B1130" s="2" t="s">
        <v>429</v>
      </c>
      <c r="C1130" s="2">
        <v>599.86109999999996</v>
      </c>
      <c r="D1130" s="2">
        <f>HYPERLINK("http://mcb-m6.bioreg.kyushu-u.ac.jp/M3/20110414/F50947/1174/1", 47.79)</f>
        <v>47.79</v>
      </c>
      <c r="E1130" s="2">
        <v>28.97</v>
      </c>
      <c r="F1130" s="2">
        <v>2</v>
      </c>
      <c r="G1130" s="2" t="s">
        <v>12</v>
      </c>
    </row>
    <row r="1131" spans="1:7" x14ac:dyDescent="0.2">
      <c r="A1131" s="2" t="s">
        <v>3565</v>
      </c>
      <c r="B1131" s="2" t="s">
        <v>429</v>
      </c>
      <c r="C1131" s="2">
        <v>599.67610000000002</v>
      </c>
      <c r="D1131" s="2">
        <f>HYPERLINK("http://mcb-m6.bioreg.kyushu-u.ac.jp/M3/20110414/F50966/1278/1", 47.8)</f>
        <v>47.8</v>
      </c>
      <c r="E1131" s="2">
        <v>27.57</v>
      </c>
      <c r="F1131" s="2">
        <v>2</v>
      </c>
      <c r="G1131" s="2" t="s">
        <v>12</v>
      </c>
    </row>
    <row r="1132" spans="1:7" x14ac:dyDescent="0.2">
      <c r="A1132" s="2" t="s">
        <v>3565</v>
      </c>
      <c r="B1132" s="2" t="s">
        <v>429</v>
      </c>
      <c r="C1132" s="2">
        <v>600.04110000000003</v>
      </c>
      <c r="D1132" s="2">
        <f>HYPERLINK("http://mcb-m6.bioreg.kyushu-u.ac.jp/M3/20110414/F50947/1176/1", 51.03)</f>
        <v>51.03</v>
      </c>
      <c r="E1132" s="2">
        <v>34.42</v>
      </c>
      <c r="F1132" s="2">
        <v>2</v>
      </c>
      <c r="G1132" s="2" t="s">
        <v>12</v>
      </c>
    </row>
    <row r="1133" spans="1:7" x14ac:dyDescent="0.2">
      <c r="A1133" s="2" t="s">
        <v>3565</v>
      </c>
      <c r="B1133" s="2" t="s">
        <v>429</v>
      </c>
      <c r="C1133" s="2">
        <v>599.79859999999996</v>
      </c>
      <c r="D1133" s="2">
        <f>HYPERLINK("http://mcb-m6.bioreg.kyushu-u.ac.jp/M3/20110414/F50963/1135/1", 52.3)</f>
        <v>52.3</v>
      </c>
      <c r="E1133" s="2">
        <v>35.14</v>
      </c>
      <c r="F1133" s="2">
        <v>2</v>
      </c>
      <c r="G1133" s="2" t="s">
        <v>12</v>
      </c>
    </row>
    <row r="1134" spans="1:7" x14ac:dyDescent="0.2">
      <c r="A1134" s="2" t="s">
        <v>3565</v>
      </c>
      <c r="B1134" s="2" t="s">
        <v>429</v>
      </c>
      <c r="C1134" s="2">
        <v>599.74469999999997</v>
      </c>
      <c r="D1134" s="2">
        <f>HYPERLINK("http://mcb-m6.bioreg.kyushu-u.ac.jp/M3/20110414/F50963/1130/1", 54.62)</f>
        <v>54.62</v>
      </c>
      <c r="E1134" s="2">
        <v>35.35</v>
      </c>
      <c r="F1134" s="2">
        <v>2</v>
      </c>
      <c r="G1134" s="2" t="s">
        <v>12</v>
      </c>
    </row>
    <row r="1135" spans="1:7" x14ac:dyDescent="0.2">
      <c r="A1135" s="2" t="s">
        <v>3565</v>
      </c>
      <c r="B1135" s="2" t="s">
        <v>429</v>
      </c>
      <c r="C1135" s="2">
        <v>599.7432</v>
      </c>
      <c r="D1135" s="2">
        <f>HYPERLINK("http://mcb-m6.bioreg.kyushu-u.ac.jp/M3/20110414/F50966/1281/1", 55.57)</f>
        <v>55.57</v>
      </c>
      <c r="E1135" s="2">
        <v>37.869999999999997</v>
      </c>
      <c r="F1135" s="2">
        <v>2</v>
      </c>
      <c r="G1135" s="2" t="s">
        <v>12</v>
      </c>
    </row>
    <row r="1136" spans="1:7" x14ac:dyDescent="0.2">
      <c r="A1136" s="2" t="s">
        <v>3565</v>
      </c>
      <c r="B1136" s="2" t="s">
        <v>429</v>
      </c>
      <c r="C1136" s="2">
        <v>600.10419999999999</v>
      </c>
      <c r="D1136" s="2">
        <f>HYPERLINK("http://mcb-m6.bioreg.kyushu-u.ac.jp/M3/20110414/F50963/1141/1", 55.62)</f>
        <v>55.62</v>
      </c>
      <c r="E1136" s="2">
        <v>37.69</v>
      </c>
      <c r="F1136" s="2">
        <v>2</v>
      </c>
      <c r="G1136" s="2" t="s">
        <v>12</v>
      </c>
    </row>
    <row r="1137" spans="1:7" x14ac:dyDescent="0.2">
      <c r="A1137" s="2" t="s">
        <v>3565</v>
      </c>
      <c r="B1137" s="2" t="s">
        <v>429</v>
      </c>
      <c r="C1137" s="2">
        <v>599.83920000000001</v>
      </c>
      <c r="D1137" s="2">
        <f>HYPERLINK("http://mcb-m6.bioreg.kyushu-u.ac.jp/M3/20110414/F50966/1284/1", 55.88)</f>
        <v>55.88</v>
      </c>
      <c r="E1137" s="2">
        <v>38.35</v>
      </c>
      <c r="F1137" s="2">
        <v>2</v>
      </c>
      <c r="G1137" s="2" t="s">
        <v>12</v>
      </c>
    </row>
    <row r="1138" spans="1:7" x14ac:dyDescent="0.2">
      <c r="A1138" s="2" t="s">
        <v>3565</v>
      </c>
      <c r="B1138" s="2" t="s">
        <v>429</v>
      </c>
      <c r="C1138" s="2">
        <v>599.77970000000005</v>
      </c>
      <c r="D1138" s="2">
        <f>HYPERLINK("http://mcb-m6.bioreg.kyushu-u.ac.jp/M3/20110414/F50963/1133/1", 59.2)</f>
        <v>59.2</v>
      </c>
      <c r="E1138" s="2">
        <v>37.1</v>
      </c>
      <c r="F1138" s="2">
        <v>2</v>
      </c>
      <c r="G1138" s="2" t="s">
        <v>12</v>
      </c>
    </row>
    <row r="1139" spans="1:7" x14ac:dyDescent="0.2">
      <c r="A1139" s="2" t="s">
        <v>3565</v>
      </c>
      <c r="B1139" s="2" t="s">
        <v>429</v>
      </c>
      <c r="C1139" s="2">
        <v>599.65809999999999</v>
      </c>
      <c r="D1139" s="2">
        <f>HYPERLINK("http://mcb-m6.bioreg.kyushu-u.ac.jp/M3/20110414/F50966/1277/1", 59.36)</f>
        <v>59.36</v>
      </c>
      <c r="E1139" s="2">
        <v>42.66</v>
      </c>
      <c r="F1139" s="2">
        <v>2</v>
      </c>
      <c r="G1139" s="2" t="s">
        <v>12</v>
      </c>
    </row>
    <row r="1140" spans="1:7" x14ac:dyDescent="0.2">
      <c r="A1140" s="2" t="s">
        <v>3565</v>
      </c>
      <c r="B1140" s="2" t="s">
        <v>429</v>
      </c>
      <c r="C1140" s="2">
        <v>599.79020000000003</v>
      </c>
      <c r="D1140" s="2">
        <f>HYPERLINK("http://mcb-m6.bioreg.kyushu-u.ac.jp/M3/20110414/F50963/1134/1", 59.73)</f>
        <v>59.73</v>
      </c>
      <c r="E1140" s="2">
        <v>40.229999999999997</v>
      </c>
      <c r="F1140" s="2">
        <v>2</v>
      </c>
      <c r="G1140" s="2" t="s">
        <v>12</v>
      </c>
    </row>
    <row r="1141" spans="1:7" x14ac:dyDescent="0.2">
      <c r="A1141" s="2" t="s">
        <v>3565</v>
      </c>
      <c r="B1141" s="2" t="s">
        <v>429</v>
      </c>
      <c r="C1141" s="2">
        <v>599.84670000000006</v>
      </c>
      <c r="D1141" s="2">
        <f>HYPERLINK("http://mcb-m6.bioreg.kyushu-u.ac.jp/M3/20110414/F50963/1139/1", 60.24)</f>
        <v>60.24</v>
      </c>
      <c r="E1141" s="2">
        <v>37.549999999999997</v>
      </c>
      <c r="F1141" s="2">
        <v>2</v>
      </c>
      <c r="G1141" s="2" t="s">
        <v>12</v>
      </c>
    </row>
    <row r="1142" spans="1:7" x14ac:dyDescent="0.2">
      <c r="A1142" s="2" t="s">
        <v>3565</v>
      </c>
      <c r="B1142" s="2" t="s">
        <v>429</v>
      </c>
      <c r="C1142" s="2">
        <v>599.74069999999995</v>
      </c>
      <c r="D1142" s="2">
        <f>HYPERLINK("http://mcb-m6.bioreg.kyushu-u.ac.jp/M3/20110414/F50963/1129/1", 61.83)</f>
        <v>61.83</v>
      </c>
      <c r="E1142" s="2">
        <v>45.17</v>
      </c>
      <c r="F1142" s="2">
        <v>2</v>
      </c>
      <c r="G1142" s="2" t="s">
        <v>12</v>
      </c>
    </row>
    <row r="1143" spans="1:7" x14ac:dyDescent="0.2">
      <c r="A1143" s="2" t="s">
        <v>3565</v>
      </c>
      <c r="B1143" s="2" t="s">
        <v>429</v>
      </c>
      <c r="C1143" s="2">
        <v>600.25819999999999</v>
      </c>
      <c r="D1143" s="2">
        <f>HYPERLINK("http://mcb-m6.bioreg.kyushu-u.ac.jp/M3/20110414/F50966/1286/1", 64.62)</f>
        <v>64.62</v>
      </c>
      <c r="E1143" s="2">
        <v>43.82</v>
      </c>
      <c r="F1143" s="2">
        <v>2</v>
      </c>
      <c r="G1143" s="2" t="s">
        <v>12</v>
      </c>
    </row>
    <row r="1144" spans="1:7" x14ac:dyDescent="0.2">
      <c r="A1144" s="2" t="s">
        <v>3565</v>
      </c>
      <c r="B1144" s="2" t="s">
        <v>429</v>
      </c>
      <c r="C1144" s="2">
        <v>599.72360000000003</v>
      </c>
      <c r="D1144" s="2">
        <f>HYPERLINK("http://mcb-m6.bioreg.kyushu-u.ac.jp/M3/20110414/F50963/1128/1", 64.93)</f>
        <v>64.930000000000007</v>
      </c>
      <c r="E1144" s="2">
        <v>43.53</v>
      </c>
      <c r="F1144" s="2">
        <v>2</v>
      </c>
      <c r="G1144" s="2" t="s">
        <v>12</v>
      </c>
    </row>
    <row r="1145" spans="1:7" x14ac:dyDescent="0.2">
      <c r="A1145" s="2" t="s">
        <v>3565</v>
      </c>
      <c r="B1145" s="2" t="s">
        <v>429</v>
      </c>
      <c r="C1145" s="2">
        <v>599.72670000000005</v>
      </c>
      <c r="D1145" s="2">
        <f>HYPERLINK("http://mcb-m6.bioreg.kyushu-u.ac.jp/M3/20110414/F50966/1280/1", 66.36)</f>
        <v>66.36</v>
      </c>
      <c r="E1145" s="2">
        <v>48.61</v>
      </c>
      <c r="F1145" s="2">
        <v>2</v>
      </c>
      <c r="G1145" s="2" t="s">
        <v>12</v>
      </c>
    </row>
    <row r="1146" spans="1:7" x14ac:dyDescent="0.2">
      <c r="A1146" s="2" t="s">
        <v>3565</v>
      </c>
      <c r="B1146" s="2" t="s">
        <v>429</v>
      </c>
      <c r="C1146" s="2">
        <v>599.80269999999996</v>
      </c>
      <c r="D1146" s="2">
        <f>HYPERLINK("http://mcb-m6.bioreg.kyushu-u.ac.jp/M3/20110414/F50963/1137/1", 66.95)</f>
        <v>66.95</v>
      </c>
      <c r="E1146" s="2">
        <v>38.68</v>
      </c>
      <c r="F1146" s="2">
        <v>2</v>
      </c>
      <c r="G1146" s="2" t="s">
        <v>12</v>
      </c>
    </row>
    <row r="1147" spans="1:7" x14ac:dyDescent="0.2">
      <c r="A1147" s="2" t="s">
        <v>3565</v>
      </c>
      <c r="B1147" s="2" t="s">
        <v>429</v>
      </c>
      <c r="C1147" s="2">
        <v>599.70510000000002</v>
      </c>
      <c r="D1147" s="2">
        <f>HYPERLINK("http://mcb-m6.bioreg.kyushu-u.ac.jp/M3/20110414/F50966/1279/1", 68.12)</f>
        <v>68.12</v>
      </c>
      <c r="E1147" s="2">
        <v>47.67</v>
      </c>
      <c r="F1147" s="2">
        <v>2</v>
      </c>
      <c r="G1147" s="2" t="s">
        <v>12</v>
      </c>
    </row>
    <row r="1148" spans="1:7" x14ac:dyDescent="0.2">
      <c r="A1148" s="2" t="s">
        <v>3565</v>
      </c>
      <c r="B1148" s="2" t="s">
        <v>429</v>
      </c>
      <c r="C1148" s="2">
        <v>599.94169999999997</v>
      </c>
      <c r="D1148" s="2">
        <f>HYPERLINK("http://mcb-m6.bioreg.kyushu-u.ac.jp/M3/20110414/F50946/1345/1", 68.16)</f>
        <v>68.16</v>
      </c>
      <c r="E1148" s="2">
        <v>50.67</v>
      </c>
      <c r="F1148" s="2">
        <v>2</v>
      </c>
      <c r="G1148" s="2" t="s">
        <v>12</v>
      </c>
    </row>
    <row r="1149" spans="1:7" x14ac:dyDescent="0.2">
      <c r="A1149" s="2" t="s">
        <v>3565</v>
      </c>
      <c r="B1149" s="2" t="s">
        <v>429</v>
      </c>
      <c r="C1149" s="2">
        <v>599.77369999999996</v>
      </c>
      <c r="D1149" s="2">
        <f>HYPERLINK("http://mcb-m6.bioreg.kyushu-u.ac.jp/M3/20110414/F50963/1132/1", 72.08)</f>
        <v>72.08</v>
      </c>
      <c r="E1149" s="2">
        <v>53.05</v>
      </c>
      <c r="F1149" s="2">
        <v>2</v>
      </c>
      <c r="G1149" s="2" t="s">
        <v>12</v>
      </c>
    </row>
    <row r="1150" spans="1:7" x14ac:dyDescent="0.2">
      <c r="A1150" s="2" t="s">
        <v>3565</v>
      </c>
      <c r="B1150" s="2" t="s">
        <v>429</v>
      </c>
      <c r="C1150" s="2">
        <v>599.67319999999995</v>
      </c>
      <c r="D1150" s="2">
        <f>HYPERLINK("http://mcb-m6.bioreg.kyushu-u.ac.jp/M3/20110414/F50963/1126/1", 73.57)</f>
        <v>73.569999999999993</v>
      </c>
      <c r="E1150" s="2">
        <v>56.33</v>
      </c>
      <c r="F1150" s="2">
        <v>2</v>
      </c>
      <c r="G1150" s="2" t="s">
        <v>12</v>
      </c>
    </row>
    <row r="1151" spans="1:7" x14ac:dyDescent="0.2">
      <c r="A1151" s="2" t="s">
        <v>3565</v>
      </c>
      <c r="B1151" s="2" t="s">
        <v>429</v>
      </c>
      <c r="C1151" s="2">
        <v>599.76869999999997</v>
      </c>
      <c r="D1151" s="2">
        <f>HYPERLINK("http://mcb-m6.bioreg.kyushu-u.ac.jp/M3/20110414/F50963/1131/1", 77.49)</f>
        <v>77.489999999999995</v>
      </c>
      <c r="E1151" s="2">
        <v>58.77</v>
      </c>
      <c r="F1151" s="2">
        <v>2</v>
      </c>
      <c r="G1151" s="2" t="s">
        <v>12</v>
      </c>
    </row>
    <row r="1152" spans="1:7" x14ac:dyDescent="0.2">
      <c r="A1152" s="2" t="s">
        <v>3565</v>
      </c>
      <c r="B1152" s="2" t="s">
        <v>429</v>
      </c>
      <c r="C1152" s="2">
        <v>600.13509999999997</v>
      </c>
      <c r="D1152" s="2">
        <f>HYPERLINK("http://mcb-m6.bioreg.kyushu-u.ac.jp/M3/20110502/F51187/1136/1", 37.24)</f>
        <v>37.24</v>
      </c>
      <c r="E1152" s="2">
        <v>22.6</v>
      </c>
      <c r="F1152" s="2">
        <v>2</v>
      </c>
      <c r="G1152" s="2" t="s">
        <v>13</v>
      </c>
    </row>
    <row r="1153" spans="1:7" x14ac:dyDescent="0.2">
      <c r="A1153" s="2" t="s">
        <v>3565</v>
      </c>
      <c r="B1153" s="2" t="s">
        <v>429</v>
      </c>
      <c r="C1153" s="2">
        <v>600.13019999999995</v>
      </c>
      <c r="D1153" s="2">
        <f>HYPERLINK("http://mcb-m6.bioreg.kyushu-u.ac.jp/M3/20110502/F51187/1135/1", 37.27)</f>
        <v>37.270000000000003</v>
      </c>
      <c r="E1153" s="2">
        <v>18.8</v>
      </c>
      <c r="F1153" s="2">
        <v>2</v>
      </c>
      <c r="G1153" s="2" t="s">
        <v>13</v>
      </c>
    </row>
    <row r="1154" spans="1:7" x14ac:dyDescent="0.2">
      <c r="A1154" s="2" t="s">
        <v>3565</v>
      </c>
      <c r="B1154" s="2" t="s">
        <v>429</v>
      </c>
      <c r="C1154" s="2">
        <v>599.92859999999996</v>
      </c>
      <c r="D1154" s="2">
        <f>HYPERLINK("http://mcb-m6.bioreg.kyushu-u.ac.jp/M3/20110502/F51187/1130/1", 37.45)</f>
        <v>37.450000000000003</v>
      </c>
      <c r="E1154" s="2">
        <v>16.690000000000001</v>
      </c>
      <c r="F1154" s="2">
        <v>2</v>
      </c>
      <c r="G1154" s="2" t="s">
        <v>13</v>
      </c>
    </row>
    <row r="1155" spans="1:7" x14ac:dyDescent="0.2">
      <c r="A1155" s="2" t="s">
        <v>3565</v>
      </c>
      <c r="B1155" s="2" t="s">
        <v>429</v>
      </c>
      <c r="C1155" s="2">
        <v>600.04769999999996</v>
      </c>
      <c r="D1155" s="2">
        <f>HYPERLINK("http://mcb-m6.bioreg.kyushu-u.ac.jp/M3/20110502/F51189/1188/1", 40.3)</f>
        <v>40.299999999999997</v>
      </c>
      <c r="E1155" s="2">
        <v>18.739999999999998</v>
      </c>
      <c r="F1155" s="2">
        <v>2</v>
      </c>
      <c r="G1155" s="2" t="s">
        <v>13</v>
      </c>
    </row>
    <row r="1156" spans="1:7" x14ac:dyDescent="0.2">
      <c r="A1156" s="2" t="s">
        <v>3565</v>
      </c>
      <c r="B1156" s="2" t="s">
        <v>429</v>
      </c>
      <c r="C1156" s="2">
        <v>600.12959999999998</v>
      </c>
      <c r="D1156" s="2">
        <f>HYPERLINK("http://mcb-m6.bioreg.kyushu-u.ac.jp/M3/20110502/F51187/1134/1", 41.29)</f>
        <v>41.29</v>
      </c>
      <c r="E1156" s="2">
        <v>22.84</v>
      </c>
      <c r="F1156" s="2">
        <v>2</v>
      </c>
      <c r="G1156" s="2" t="s">
        <v>13</v>
      </c>
    </row>
    <row r="1157" spans="1:7" x14ac:dyDescent="0.2">
      <c r="A1157" s="2" t="s">
        <v>3565</v>
      </c>
      <c r="B1157" s="2" t="s">
        <v>429</v>
      </c>
      <c r="C1157" s="2">
        <v>600.30070000000001</v>
      </c>
      <c r="D1157" s="2">
        <f>HYPERLINK("http://mcb-m6.bioreg.kyushu-u.ac.jp/M3/20110502/F51188/1275/1", 44.4)</f>
        <v>44.4</v>
      </c>
      <c r="E1157" s="2">
        <v>22.34</v>
      </c>
      <c r="F1157" s="2">
        <v>2</v>
      </c>
      <c r="G1157" s="2" t="s">
        <v>13</v>
      </c>
    </row>
    <row r="1158" spans="1:7" x14ac:dyDescent="0.2">
      <c r="A1158" s="2" t="s">
        <v>3565</v>
      </c>
      <c r="B1158" s="2" t="s">
        <v>429</v>
      </c>
      <c r="C1158" s="2">
        <v>600.21510000000001</v>
      </c>
      <c r="D1158" s="2">
        <f>HYPERLINK("http://mcb-m6.bioreg.kyushu-u.ac.jp/M3/20110502/F51188/1272/1", 45.02)</f>
        <v>45.02</v>
      </c>
      <c r="E1158" s="2">
        <v>17.79</v>
      </c>
      <c r="F1158" s="2">
        <v>2</v>
      </c>
      <c r="G1158" s="2" t="s">
        <v>13</v>
      </c>
    </row>
    <row r="1159" spans="1:7" x14ac:dyDescent="0.2">
      <c r="A1159" s="2" t="s">
        <v>3565</v>
      </c>
      <c r="B1159" s="2" t="s">
        <v>429</v>
      </c>
      <c r="C1159" s="2">
        <v>600.06209999999999</v>
      </c>
      <c r="D1159" s="2">
        <f>HYPERLINK("http://mcb-m6.bioreg.kyushu-u.ac.jp/M3/20110502/F51188/1269/1", 46.51)</f>
        <v>46.51</v>
      </c>
      <c r="E1159" s="2">
        <v>26.72</v>
      </c>
      <c r="F1159" s="2">
        <v>2</v>
      </c>
      <c r="G1159" s="2" t="s">
        <v>13</v>
      </c>
    </row>
    <row r="1160" spans="1:7" x14ac:dyDescent="0.2">
      <c r="A1160" s="2" t="s">
        <v>3565</v>
      </c>
      <c r="B1160" s="2" t="s">
        <v>429</v>
      </c>
      <c r="C1160" s="2">
        <v>599.98770000000002</v>
      </c>
      <c r="D1160" s="2">
        <f>HYPERLINK("http://mcb-m6.bioreg.kyushu-u.ac.jp/M3/20110502/F51187/1131/1", 46.79)</f>
        <v>46.79</v>
      </c>
      <c r="E1160" s="2">
        <v>28.92</v>
      </c>
      <c r="F1160" s="2">
        <v>2</v>
      </c>
      <c r="G1160" s="2" t="s">
        <v>13</v>
      </c>
    </row>
    <row r="1161" spans="1:7" x14ac:dyDescent="0.2">
      <c r="A1161" s="2" t="s">
        <v>3565</v>
      </c>
      <c r="B1161" s="2" t="s">
        <v>429</v>
      </c>
      <c r="C1161" s="2">
        <v>600.19169999999997</v>
      </c>
      <c r="D1161" s="2">
        <f>HYPERLINK("http://mcb-m6.bioreg.kyushu-u.ac.jp/M3/20110502/F51180/1110/1", 47.3)</f>
        <v>47.3</v>
      </c>
      <c r="E1161" s="2">
        <v>23.83</v>
      </c>
      <c r="F1161" s="2">
        <v>2</v>
      </c>
      <c r="G1161" s="2" t="s">
        <v>13</v>
      </c>
    </row>
    <row r="1162" spans="1:7" x14ac:dyDescent="0.2">
      <c r="A1162" s="2" t="s">
        <v>3565</v>
      </c>
      <c r="B1162" s="2" t="s">
        <v>429</v>
      </c>
      <c r="C1162" s="2">
        <v>600.41470000000004</v>
      </c>
      <c r="D1162" s="2">
        <f>HYPERLINK("http://mcb-m6.bioreg.kyushu-u.ac.jp/M3/20110502/F51173/1053/1", 48.38)</f>
        <v>48.38</v>
      </c>
      <c r="E1162" s="2">
        <v>18.8</v>
      </c>
      <c r="F1162" s="2">
        <v>2</v>
      </c>
      <c r="G1162" s="2" t="s">
        <v>13</v>
      </c>
    </row>
    <row r="1163" spans="1:7" x14ac:dyDescent="0.2">
      <c r="A1163" s="2" t="s">
        <v>3565</v>
      </c>
      <c r="B1163" s="2" t="s">
        <v>429</v>
      </c>
      <c r="C1163" s="2">
        <v>600.14170000000001</v>
      </c>
      <c r="D1163" s="2">
        <f>HYPERLINK("http://mcb-m6.bioreg.kyushu-u.ac.jp/M3/20110502/F51188/1271/1", 48.65)</f>
        <v>48.65</v>
      </c>
      <c r="E1163" s="2">
        <v>31.69</v>
      </c>
      <c r="F1163" s="2">
        <v>2</v>
      </c>
      <c r="G1163" s="2" t="s">
        <v>13</v>
      </c>
    </row>
    <row r="1164" spans="1:7" x14ac:dyDescent="0.2">
      <c r="A1164" s="2" t="s">
        <v>3565</v>
      </c>
      <c r="B1164" s="2" t="s">
        <v>429</v>
      </c>
      <c r="C1164" s="2">
        <v>600.37620000000004</v>
      </c>
      <c r="D1164" s="2">
        <f>HYPERLINK("http://mcb-m6.bioreg.kyushu-u.ac.jp/M3/20110502/F51170/1438/1", 50.05)</f>
        <v>50.05</v>
      </c>
      <c r="E1164" s="2">
        <v>20.2</v>
      </c>
      <c r="F1164" s="2">
        <v>2</v>
      </c>
      <c r="G1164" s="2" t="s">
        <v>13</v>
      </c>
    </row>
    <row r="1165" spans="1:7" x14ac:dyDescent="0.2">
      <c r="A1165" s="2" t="s">
        <v>3565</v>
      </c>
      <c r="B1165" s="2" t="s">
        <v>429</v>
      </c>
      <c r="C1165" s="2">
        <v>600.1481</v>
      </c>
      <c r="D1165" s="2">
        <f>HYPERLINK("http://mcb-m6.bioreg.kyushu-u.ac.jp/M3/20110502/F51187/1137/1", 57.79)</f>
        <v>57.79</v>
      </c>
      <c r="E1165" s="2">
        <v>37.78</v>
      </c>
      <c r="F1165" s="2">
        <v>2</v>
      </c>
      <c r="G1165" s="2" t="s">
        <v>13</v>
      </c>
    </row>
    <row r="1166" spans="1:7" x14ac:dyDescent="0.2">
      <c r="A1166" s="2" t="s">
        <v>3565</v>
      </c>
      <c r="B1166" s="2" t="s">
        <v>429</v>
      </c>
      <c r="C1166" s="2">
        <v>600.35270000000003</v>
      </c>
      <c r="D1166" s="2">
        <f>HYPERLINK("http://mcb-m6.bioreg.kyushu-u.ac.jp/M3/20110502/F51187/1140/1", 59.04)</f>
        <v>59.04</v>
      </c>
      <c r="E1166" s="2">
        <v>26.61</v>
      </c>
      <c r="F1166" s="2">
        <v>2</v>
      </c>
      <c r="G1166" s="2" t="s">
        <v>13</v>
      </c>
    </row>
    <row r="1167" spans="1:7" x14ac:dyDescent="0.2">
      <c r="A1167" s="2" t="s">
        <v>3565</v>
      </c>
      <c r="B1167" s="2" t="s">
        <v>429</v>
      </c>
      <c r="C1167" s="2">
        <v>600.11069999999995</v>
      </c>
      <c r="D1167" s="2">
        <f>HYPERLINK("http://mcb-m6.bioreg.kyushu-u.ac.jp/M3/20110502/F51187/1133/1", 63.5)</f>
        <v>63.5</v>
      </c>
      <c r="E1167" s="2">
        <v>42.46</v>
      </c>
      <c r="F1167" s="2">
        <v>2</v>
      </c>
      <c r="G1167" s="2" t="s">
        <v>13</v>
      </c>
    </row>
    <row r="1168" spans="1:7" x14ac:dyDescent="0.2">
      <c r="A1168" s="2" t="s">
        <v>3565</v>
      </c>
      <c r="B1168" s="2" t="s">
        <v>429</v>
      </c>
      <c r="C1168" s="2">
        <v>600.25369999999998</v>
      </c>
      <c r="D1168" s="2">
        <f>HYPERLINK("http://mcb-m6.bioreg.kyushu-u.ac.jp/M3/20110502/F51188/1274/1", 71.14)</f>
        <v>71.14</v>
      </c>
      <c r="E1168" s="2">
        <v>42.55</v>
      </c>
      <c r="F1168" s="2">
        <v>2</v>
      </c>
      <c r="G1168" s="2" t="s">
        <v>13</v>
      </c>
    </row>
    <row r="1169" spans="1:7" x14ac:dyDescent="0.2">
      <c r="A1169" s="2" t="s">
        <v>3565</v>
      </c>
      <c r="B1169" s="2" t="s">
        <v>429</v>
      </c>
      <c r="C1169" s="2">
        <v>600.05970000000002</v>
      </c>
      <c r="D1169" s="2">
        <f>HYPERLINK("http://mcb-m6.bioreg.kyushu-u.ac.jp/M3/20110502/F51191/1112/1", 39.6)</f>
        <v>39.6</v>
      </c>
      <c r="E1169" s="2">
        <v>24.28</v>
      </c>
      <c r="F1169" s="2">
        <v>2</v>
      </c>
      <c r="G1169" s="2" t="s">
        <v>14</v>
      </c>
    </row>
    <row r="1170" spans="1:7" x14ac:dyDescent="0.2">
      <c r="A1170" s="2" t="s">
        <v>3565</v>
      </c>
      <c r="B1170" s="2" t="s">
        <v>429</v>
      </c>
      <c r="C1170" s="2">
        <v>600.08320000000003</v>
      </c>
      <c r="D1170" s="2">
        <f>HYPERLINK("http://mcb-m6.bioreg.kyushu-u.ac.jp/M3/20110502/F51191/1114/1", 44.3)</f>
        <v>44.3</v>
      </c>
      <c r="E1170" s="2">
        <v>26.8</v>
      </c>
      <c r="F1170" s="2">
        <v>2</v>
      </c>
      <c r="G1170" s="2" t="s">
        <v>14</v>
      </c>
    </row>
    <row r="1171" spans="1:7" x14ac:dyDescent="0.2">
      <c r="A1171" s="2" t="s">
        <v>3565</v>
      </c>
      <c r="B1171" s="2" t="s">
        <v>429</v>
      </c>
      <c r="C1171" s="2">
        <v>599.40620000000001</v>
      </c>
      <c r="D1171" s="2">
        <f>HYPERLINK("http://mcb-m6.bioreg.kyushu-u.ac.jp/M3/20110502/F51192/1111/1", 48.52)</f>
        <v>48.52</v>
      </c>
      <c r="E1171" s="2">
        <v>30.22</v>
      </c>
      <c r="F1171" s="2">
        <v>2</v>
      </c>
      <c r="G1171" s="2" t="s">
        <v>14</v>
      </c>
    </row>
    <row r="1172" spans="1:7" x14ac:dyDescent="0.2">
      <c r="A1172" s="2" t="s">
        <v>3565</v>
      </c>
      <c r="B1172" s="2" t="s">
        <v>429</v>
      </c>
      <c r="C1172" s="2">
        <v>600.17169999999999</v>
      </c>
      <c r="D1172" s="2">
        <f>HYPERLINK("http://mcb-m6.bioreg.kyushu-u.ac.jp/M3/20110502/F51191/1120/1", 49)</f>
        <v>49</v>
      </c>
      <c r="E1172" s="2">
        <v>32.51</v>
      </c>
      <c r="F1172" s="2">
        <v>2</v>
      </c>
      <c r="G1172" s="2" t="s">
        <v>14</v>
      </c>
    </row>
    <row r="1173" spans="1:7" x14ac:dyDescent="0.2">
      <c r="A1173" s="2" t="s">
        <v>3565</v>
      </c>
      <c r="B1173" s="2" t="s">
        <v>429</v>
      </c>
      <c r="C1173" s="2">
        <v>600.17269999999996</v>
      </c>
      <c r="D1173" s="2">
        <f>HYPERLINK("http://mcb-m6.bioreg.kyushu-u.ac.jp/M3/20110502/F51193/1185/1", 49.33)</f>
        <v>49.33</v>
      </c>
      <c r="E1173" s="2">
        <v>30.13</v>
      </c>
      <c r="F1173" s="2">
        <v>2</v>
      </c>
      <c r="G1173" s="2" t="s">
        <v>14</v>
      </c>
    </row>
    <row r="1174" spans="1:7" x14ac:dyDescent="0.2">
      <c r="A1174" s="2" t="s">
        <v>3565</v>
      </c>
      <c r="B1174" s="2" t="s">
        <v>429</v>
      </c>
      <c r="C1174" s="2">
        <v>600.14970000000005</v>
      </c>
      <c r="D1174" s="2">
        <f>HYPERLINK("http://mcb-m6.bioreg.kyushu-u.ac.jp/M3/20110502/F51191/1118/1", 52.19)</f>
        <v>52.19</v>
      </c>
      <c r="E1174" s="2">
        <v>33.880000000000003</v>
      </c>
      <c r="F1174" s="2">
        <v>2</v>
      </c>
      <c r="G1174" s="2" t="s">
        <v>14</v>
      </c>
    </row>
    <row r="1175" spans="1:7" x14ac:dyDescent="0.2">
      <c r="A1175" s="2" t="s">
        <v>3565</v>
      </c>
      <c r="B1175" s="2" t="s">
        <v>429</v>
      </c>
      <c r="C1175" s="2">
        <v>600.12459999999999</v>
      </c>
      <c r="D1175" s="2">
        <f>HYPERLINK("http://mcb-m6.bioreg.kyushu-u.ac.jp/M3/20110502/F51191/1116/1", 52.95)</f>
        <v>52.95</v>
      </c>
      <c r="E1175" s="2">
        <v>25.72</v>
      </c>
      <c r="F1175" s="2">
        <v>2</v>
      </c>
      <c r="G1175" s="2" t="s">
        <v>14</v>
      </c>
    </row>
    <row r="1176" spans="1:7" x14ac:dyDescent="0.2">
      <c r="A1176" s="2" t="s">
        <v>3565</v>
      </c>
      <c r="B1176" s="2" t="s">
        <v>429</v>
      </c>
      <c r="C1176" s="2">
        <v>600.1472</v>
      </c>
      <c r="D1176" s="2">
        <f>HYPERLINK("http://mcb-m6.bioreg.kyushu-u.ac.jp/M3/20110502/F51179/1060/1", 53.3)</f>
        <v>53.3</v>
      </c>
      <c r="E1176" s="2">
        <v>29.18</v>
      </c>
      <c r="F1176" s="2">
        <v>2</v>
      </c>
      <c r="G1176" s="2" t="s">
        <v>14</v>
      </c>
    </row>
    <row r="1177" spans="1:7" x14ac:dyDescent="0.2">
      <c r="A1177" s="2" t="s">
        <v>3565</v>
      </c>
      <c r="B1177" s="2" t="s">
        <v>429</v>
      </c>
      <c r="C1177" s="2">
        <v>600.37459999999999</v>
      </c>
      <c r="D1177" s="2">
        <f>HYPERLINK("http://mcb-m6.bioreg.kyushu-u.ac.jp/M3/20110502/F51192/1122/1", 54.66)</f>
        <v>54.66</v>
      </c>
      <c r="E1177" s="2">
        <v>32.85</v>
      </c>
      <c r="F1177" s="2">
        <v>2</v>
      </c>
      <c r="G1177" s="2" t="s">
        <v>14</v>
      </c>
    </row>
    <row r="1178" spans="1:7" x14ac:dyDescent="0.2">
      <c r="A1178" s="2" t="s">
        <v>3565</v>
      </c>
      <c r="B1178" s="2" t="s">
        <v>429</v>
      </c>
      <c r="C1178" s="2">
        <v>600.0607</v>
      </c>
      <c r="D1178" s="2">
        <f>HYPERLINK("http://mcb-m6.bioreg.kyushu-u.ac.jp/M3/20110502/F51191/1113/1", 57.08)</f>
        <v>57.08</v>
      </c>
      <c r="E1178" s="2">
        <v>27.22</v>
      </c>
      <c r="F1178" s="2">
        <v>2</v>
      </c>
      <c r="G1178" s="2" t="s">
        <v>14</v>
      </c>
    </row>
    <row r="1179" spans="1:7" x14ac:dyDescent="0.2">
      <c r="A1179" s="2" t="s">
        <v>3565</v>
      </c>
      <c r="B1179" s="2" t="s">
        <v>429</v>
      </c>
      <c r="C1179" s="2">
        <v>600.17610000000002</v>
      </c>
      <c r="D1179" s="2">
        <f>HYPERLINK("http://mcb-m6.bioreg.kyushu-u.ac.jp/M3/20110502/F51192/1118/1", 58.96)</f>
        <v>58.96</v>
      </c>
      <c r="E1179" s="2">
        <v>40.92</v>
      </c>
      <c r="F1179" s="2">
        <v>2</v>
      </c>
      <c r="G1179" s="2" t="s">
        <v>14</v>
      </c>
    </row>
    <row r="1180" spans="1:7" x14ac:dyDescent="0.2">
      <c r="A1180" s="2" t="s">
        <v>3565</v>
      </c>
      <c r="B1180" s="2" t="s">
        <v>429</v>
      </c>
      <c r="C1180" s="2">
        <v>599.81619999999998</v>
      </c>
      <c r="D1180" s="2">
        <f>HYPERLINK("http://mcb-m6.bioreg.kyushu-u.ac.jp/M3/20110502/F51191/1107/1", 68.02)</f>
        <v>68.02</v>
      </c>
      <c r="E1180" s="2">
        <v>51.98</v>
      </c>
      <c r="F1180" s="2">
        <v>2</v>
      </c>
      <c r="G1180" s="2" t="s">
        <v>14</v>
      </c>
    </row>
    <row r="1181" spans="1:7" x14ac:dyDescent="0.2">
      <c r="A1181" s="2" t="s">
        <v>3565</v>
      </c>
      <c r="B1181" s="2" t="s">
        <v>429</v>
      </c>
      <c r="C1181" s="2">
        <v>600.12620000000004</v>
      </c>
      <c r="D1181" s="2">
        <f>HYPERLINK("http://mcb-m6.bioreg.kyushu-u.ac.jp/M3/20110502/F51191/1117/1", 69.63)</f>
        <v>69.63</v>
      </c>
      <c r="E1181" s="2">
        <v>44.65</v>
      </c>
      <c r="F1181" s="2">
        <v>2</v>
      </c>
      <c r="G1181" s="2" t="s">
        <v>14</v>
      </c>
    </row>
    <row r="1182" spans="1:7" x14ac:dyDescent="0.2">
      <c r="A1182" s="2" t="s">
        <v>3288</v>
      </c>
      <c r="B1182" s="2" t="s">
        <v>68</v>
      </c>
      <c r="C1182" s="2">
        <v>976.69200000000001</v>
      </c>
      <c r="D1182" s="2">
        <f>HYPERLINK("http://mcb-m6.bioreg.kyushu-u.ac.jp/M3/20110411/F50895/1013/1", 35.65)</f>
        <v>35.65</v>
      </c>
      <c r="E1182" s="2">
        <v>9.07</v>
      </c>
      <c r="F1182" s="2">
        <v>1</v>
      </c>
      <c r="G1182" s="2" t="s">
        <v>9</v>
      </c>
    </row>
    <row r="1183" spans="1:7" x14ac:dyDescent="0.2">
      <c r="A1183" s="2" t="s">
        <v>3288</v>
      </c>
      <c r="B1183" s="2" t="s">
        <v>68</v>
      </c>
      <c r="C1183" s="2">
        <v>489.14260000000002</v>
      </c>
      <c r="D1183" s="2">
        <f>HYPERLINK("http://mcb-m6.bioreg.kyushu-u.ac.jp/M3/20110411/F50890/1080/1", 40.23)</f>
        <v>40.229999999999997</v>
      </c>
      <c r="E1183" s="2">
        <v>12.73</v>
      </c>
      <c r="F1183" s="2">
        <v>2</v>
      </c>
      <c r="G1183" s="2" t="s">
        <v>9</v>
      </c>
    </row>
    <row r="1184" spans="1:7" x14ac:dyDescent="0.2">
      <c r="A1184" s="2" t="s">
        <v>3288</v>
      </c>
      <c r="B1184" s="2" t="s">
        <v>68</v>
      </c>
      <c r="C1184" s="2">
        <v>488.94709999999998</v>
      </c>
      <c r="D1184" s="2">
        <f>HYPERLINK("http://mcb-m6.bioreg.kyushu-u.ac.jp/M3/20110411/F50919/668/1", 40.94)</f>
        <v>40.94</v>
      </c>
      <c r="E1184" s="2">
        <v>16.690000000000001</v>
      </c>
      <c r="F1184" s="2">
        <v>2</v>
      </c>
      <c r="G1184" s="2" t="s">
        <v>9</v>
      </c>
    </row>
    <row r="1185" spans="1:7" x14ac:dyDescent="0.2">
      <c r="A1185" s="2" t="s">
        <v>3288</v>
      </c>
      <c r="B1185" s="2" t="s">
        <v>68</v>
      </c>
      <c r="C1185" s="2">
        <v>976.70899999999995</v>
      </c>
      <c r="D1185" s="2">
        <f>HYPERLINK("http://mcb-m6.bioreg.kyushu-u.ac.jp/M3/20110411/F50911/939/1", 41.55)</f>
        <v>41.55</v>
      </c>
      <c r="E1185" s="2">
        <v>9.18</v>
      </c>
      <c r="F1185" s="2">
        <v>1</v>
      </c>
      <c r="G1185" s="2" t="s">
        <v>9</v>
      </c>
    </row>
    <row r="1186" spans="1:7" x14ac:dyDescent="0.2">
      <c r="A1186" s="2" t="s">
        <v>3288</v>
      </c>
      <c r="B1186" s="2" t="s">
        <v>68</v>
      </c>
      <c r="C1186" s="2">
        <v>488.83210000000003</v>
      </c>
      <c r="D1186" s="2">
        <f>HYPERLINK("http://mcb-m6.bioreg.kyushu-u.ac.jp/M3/20110411/F50919/666/1", 42.46)</f>
        <v>42.46</v>
      </c>
      <c r="E1186" s="2">
        <v>18.100000000000001</v>
      </c>
      <c r="F1186" s="2">
        <v>2</v>
      </c>
      <c r="G1186" s="2" t="s">
        <v>9</v>
      </c>
    </row>
    <row r="1187" spans="1:7" x14ac:dyDescent="0.2">
      <c r="A1187" s="2" t="s">
        <v>3288</v>
      </c>
      <c r="B1187" s="2" t="s">
        <v>68</v>
      </c>
      <c r="C1187" s="2">
        <v>976.58799999999997</v>
      </c>
      <c r="D1187" s="2">
        <f>HYPERLINK("http://mcb-m6.bioreg.kyushu-u.ac.jp/M3/20110411/F50919/664/1", 43.04)</f>
        <v>43.04</v>
      </c>
      <c r="E1187" s="2">
        <v>15.66</v>
      </c>
      <c r="F1187" s="2">
        <v>1</v>
      </c>
      <c r="G1187" s="2" t="s">
        <v>9</v>
      </c>
    </row>
    <row r="1188" spans="1:7" x14ac:dyDescent="0.2">
      <c r="A1188" s="2" t="s">
        <v>3288</v>
      </c>
      <c r="B1188" s="2" t="s">
        <v>68</v>
      </c>
      <c r="C1188" s="2">
        <v>488.9316</v>
      </c>
      <c r="D1188" s="2">
        <f>HYPERLINK("http://mcb-m6.bioreg.kyushu-u.ac.jp/M3/20110411/F50903/1113/1", 61.98)</f>
        <v>61.98</v>
      </c>
      <c r="E1188" s="2">
        <v>32.369999999999997</v>
      </c>
      <c r="F1188" s="2">
        <v>2</v>
      </c>
      <c r="G1188" s="2" t="s">
        <v>9</v>
      </c>
    </row>
    <row r="1189" spans="1:7" x14ac:dyDescent="0.2">
      <c r="A1189" s="2" t="s">
        <v>3288</v>
      </c>
      <c r="B1189" s="2" t="s">
        <v>68</v>
      </c>
      <c r="C1189" s="2">
        <v>488.83760000000001</v>
      </c>
      <c r="D1189" s="2">
        <f>HYPERLINK("http://mcb-m6.bioreg.kyushu-u.ac.jp/M3/20110411/F50904/1097/1", 76.97)</f>
        <v>76.97</v>
      </c>
      <c r="E1189" s="2">
        <v>43.26</v>
      </c>
      <c r="F1189" s="2">
        <v>2</v>
      </c>
      <c r="G1189" s="2" t="s">
        <v>9</v>
      </c>
    </row>
    <row r="1190" spans="1:7" x14ac:dyDescent="0.2">
      <c r="A1190" s="2" t="s">
        <v>3288</v>
      </c>
      <c r="B1190" s="2" t="s">
        <v>68</v>
      </c>
      <c r="C1190" s="2">
        <v>488.9341</v>
      </c>
      <c r="D1190" s="2">
        <f>HYPERLINK("http://mcb-m6.bioreg.kyushu-u.ac.jp/M3/20110411/F50919/667/1", 83.82)</f>
        <v>83.82</v>
      </c>
      <c r="E1190" s="2">
        <v>53.04</v>
      </c>
      <c r="F1190" s="2">
        <v>2</v>
      </c>
      <c r="G1190" s="2" t="s">
        <v>9</v>
      </c>
    </row>
    <row r="1191" spans="1:7" x14ac:dyDescent="0.2">
      <c r="A1191" s="2" t="s">
        <v>3288</v>
      </c>
      <c r="B1191" s="2" t="s">
        <v>68</v>
      </c>
      <c r="C1191" s="2">
        <v>488.79109999999997</v>
      </c>
      <c r="D1191" s="2">
        <f>HYPERLINK("http://mcb-m6.bioreg.kyushu-u.ac.jp/M3/20110411/F50895/1011/1", 86.14)</f>
        <v>86.14</v>
      </c>
      <c r="E1191" s="2">
        <v>49.87</v>
      </c>
      <c r="F1191" s="2">
        <v>2</v>
      </c>
      <c r="G1191" s="2" t="s">
        <v>9</v>
      </c>
    </row>
    <row r="1192" spans="1:7" x14ac:dyDescent="0.2">
      <c r="A1192" s="2" t="s">
        <v>3288</v>
      </c>
      <c r="B1192" s="2" t="s">
        <v>68</v>
      </c>
      <c r="C1192" s="2">
        <v>488.77010000000001</v>
      </c>
      <c r="D1192" s="2">
        <f>HYPERLINK("http://mcb-m6.bioreg.kyushu-u.ac.jp/M3/20110411/F50916/788/1", 86.4)</f>
        <v>86.4</v>
      </c>
      <c r="E1192" s="2">
        <v>42.02</v>
      </c>
      <c r="F1192" s="2">
        <v>2</v>
      </c>
      <c r="G1192" s="2" t="s">
        <v>9</v>
      </c>
    </row>
    <row r="1193" spans="1:7" x14ac:dyDescent="0.2">
      <c r="A1193" s="2" t="s">
        <v>3288</v>
      </c>
      <c r="B1193" s="2" t="s">
        <v>68</v>
      </c>
      <c r="C1193" s="2">
        <v>976.524</v>
      </c>
      <c r="D1193" s="2">
        <f>HYPERLINK("http://mcb-m6.bioreg.kyushu-u.ac.jp/M3/20110411/F50921/803/1", 38.04)</f>
        <v>38.04</v>
      </c>
      <c r="E1193" s="2">
        <v>16.8</v>
      </c>
      <c r="F1193" s="2">
        <v>1</v>
      </c>
      <c r="G1193" s="2" t="s">
        <v>10</v>
      </c>
    </row>
    <row r="1194" spans="1:7" x14ac:dyDescent="0.2">
      <c r="A1194" s="2" t="s">
        <v>3288</v>
      </c>
      <c r="B1194" s="2" t="s">
        <v>68</v>
      </c>
      <c r="C1194" s="2">
        <v>489.17559999999997</v>
      </c>
      <c r="D1194" s="2">
        <f>HYPERLINK("http://mcb-m6.bioreg.kyushu-u.ac.jp/M3/20110411/F50921/807/1", 50.3)</f>
        <v>50.3</v>
      </c>
      <c r="E1194" s="2">
        <v>17.95</v>
      </c>
      <c r="F1194" s="2">
        <v>2</v>
      </c>
      <c r="G1194" s="2" t="s">
        <v>10</v>
      </c>
    </row>
    <row r="1195" spans="1:7" x14ac:dyDescent="0.2">
      <c r="A1195" s="2" t="s">
        <v>3288</v>
      </c>
      <c r="B1195" s="2" t="s">
        <v>68</v>
      </c>
      <c r="C1195" s="2">
        <v>488.66660000000002</v>
      </c>
      <c r="D1195" s="2">
        <f>HYPERLINK("http://mcb-m6.bioreg.kyushu-u.ac.jp/M3/20110411/F50921/802/1", 51.18)</f>
        <v>51.18</v>
      </c>
      <c r="E1195" s="2">
        <v>26.13</v>
      </c>
      <c r="F1195" s="2">
        <v>2</v>
      </c>
      <c r="G1195" s="2" t="s">
        <v>10</v>
      </c>
    </row>
    <row r="1196" spans="1:7" x14ac:dyDescent="0.2">
      <c r="A1196" s="2" t="s">
        <v>3288</v>
      </c>
      <c r="B1196" s="2" t="s">
        <v>68</v>
      </c>
      <c r="C1196" s="2">
        <v>488.7611</v>
      </c>
      <c r="D1196" s="2">
        <f>HYPERLINK("http://mcb-m6.bioreg.kyushu-u.ac.jp/M3/20110411/F50920/671/1", 56.64)</f>
        <v>56.64</v>
      </c>
      <c r="E1196" s="2">
        <v>25.17</v>
      </c>
      <c r="F1196" s="2">
        <v>2</v>
      </c>
      <c r="G1196" s="2" t="s">
        <v>10</v>
      </c>
    </row>
    <row r="1197" spans="1:7" x14ac:dyDescent="0.2">
      <c r="A1197" s="2" t="s">
        <v>3288</v>
      </c>
      <c r="B1197" s="2" t="s">
        <v>68</v>
      </c>
      <c r="C1197" s="2">
        <v>489.01060000000001</v>
      </c>
      <c r="D1197" s="2">
        <f>HYPERLINK("http://mcb-m6.bioreg.kyushu-u.ac.jp/M3/20110411/F50900/1295/1", 78.6)</f>
        <v>78.599999999999994</v>
      </c>
      <c r="E1197" s="2">
        <v>44.15</v>
      </c>
      <c r="F1197" s="2">
        <v>2</v>
      </c>
      <c r="G1197" s="2" t="s">
        <v>10</v>
      </c>
    </row>
    <row r="1198" spans="1:7" x14ac:dyDescent="0.2">
      <c r="A1198" s="2" t="s">
        <v>3288</v>
      </c>
      <c r="B1198" s="2" t="s">
        <v>68</v>
      </c>
      <c r="C1198" s="2">
        <v>488.77910000000003</v>
      </c>
      <c r="D1198" s="2">
        <f>HYPERLINK("http://mcb-m6.bioreg.kyushu-u.ac.jp/M3/20110411/F50921/804/1", 81.02)</f>
        <v>81.02</v>
      </c>
      <c r="E1198" s="2">
        <v>44.98</v>
      </c>
      <c r="F1198" s="2">
        <v>2</v>
      </c>
      <c r="G1198" s="2" t="s">
        <v>10</v>
      </c>
    </row>
    <row r="1199" spans="1:7" x14ac:dyDescent="0.2">
      <c r="A1199" s="2" t="s">
        <v>3288</v>
      </c>
      <c r="B1199" s="2" t="s">
        <v>68</v>
      </c>
      <c r="C1199" s="2">
        <v>488.7371</v>
      </c>
      <c r="D1199" s="2">
        <f>HYPERLINK("http://mcb-m6.bioreg.kyushu-u.ac.jp/M3/20110411/F50898/1494/1", 86.1)</f>
        <v>86.1</v>
      </c>
      <c r="E1199" s="2">
        <v>51.71</v>
      </c>
      <c r="F1199" s="2">
        <v>2</v>
      </c>
      <c r="G1199" s="2" t="s">
        <v>10</v>
      </c>
    </row>
    <row r="1200" spans="1:7" x14ac:dyDescent="0.2">
      <c r="A1200" s="2" t="s">
        <v>3288</v>
      </c>
      <c r="B1200" s="2" t="s">
        <v>68</v>
      </c>
      <c r="C1200" s="2">
        <v>488.6651</v>
      </c>
      <c r="D1200" s="2">
        <f>HYPERLINK("http://mcb-m6.bioreg.kyushu-u.ac.jp/M3/20110414/F50941/849/1", 37.25)</f>
        <v>37.25</v>
      </c>
      <c r="E1200" s="2">
        <v>15.75</v>
      </c>
      <c r="F1200" s="2">
        <v>2</v>
      </c>
      <c r="G1200" s="2" t="s">
        <v>11</v>
      </c>
    </row>
    <row r="1201" spans="1:7" x14ac:dyDescent="0.2">
      <c r="A1201" s="2" t="s">
        <v>3288</v>
      </c>
      <c r="B1201" s="2" t="s">
        <v>68</v>
      </c>
      <c r="C1201" s="2">
        <v>488.9511</v>
      </c>
      <c r="D1201" s="2">
        <f>HYPERLINK("http://mcb-m6.bioreg.kyushu-u.ac.jp/M3/20110414/F50927/1292/1", 38.95)</f>
        <v>38.950000000000003</v>
      </c>
      <c r="E1201" s="2">
        <v>12.61</v>
      </c>
      <c r="F1201" s="2">
        <v>2</v>
      </c>
      <c r="G1201" s="2" t="s">
        <v>11</v>
      </c>
    </row>
    <row r="1202" spans="1:7" x14ac:dyDescent="0.2">
      <c r="A1202" s="2" t="s">
        <v>3288</v>
      </c>
      <c r="B1202" s="2" t="s">
        <v>68</v>
      </c>
      <c r="C1202" s="2">
        <v>488.56509999999997</v>
      </c>
      <c r="D1202" s="2">
        <f>HYPERLINK("http://mcb-m6.bioreg.kyushu-u.ac.jp/M3/20110414/F50926/1405/1", 44.05)</f>
        <v>44.05</v>
      </c>
      <c r="E1202" s="2">
        <v>17.73</v>
      </c>
      <c r="F1202" s="2">
        <v>2</v>
      </c>
      <c r="G1202" s="2" t="s">
        <v>11</v>
      </c>
    </row>
    <row r="1203" spans="1:7" x14ac:dyDescent="0.2">
      <c r="A1203" s="2" t="s">
        <v>3288</v>
      </c>
      <c r="B1203" s="2" t="s">
        <v>68</v>
      </c>
      <c r="C1203" s="2">
        <v>489.18509999999998</v>
      </c>
      <c r="D1203" s="2">
        <f>HYPERLINK("http://mcb-m6.bioreg.kyushu-u.ac.jp/M3/20110414/F50925/1407/1", 45.54)</f>
        <v>45.54</v>
      </c>
      <c r="E1203" s="2">
        <v>12.09</v>
      </c>
      <c r="F1203" s="2">
        <v>2</v>
      </c>
      <c r="G1203" s="2" t="s">
        <v>11</v>
      </c>
    </row>
    <row r="1204" spans="1:7" x14ac:dyDescent="0.2">
      <c r="A1204" s="2" t="s">
        <v>3288</v>
      </c>
      <c r="B1204" s="2" t="s">
        <v>68</v>
      </c>
      <c r="C1204" s="2">
        <v>488.6696</v>
      </c>
      <c r="D1204" s="2">
        <f>HYPERLINK("http://mcb-m6.bioreg.kyushu-u.ac.jp/M3/20110414/F50941/850/1", 47.76)</f>
        <v>47.76</v>
      </c>
      <c r="E1204" s="2">
        <v>26.05</v>
      </c>
      <c r="F1204" s="2">
        <v>2</v>
      </c>
      <c r="G1204" s="2" t="s">
        <v>11</v>
      </c>
    </row>
    <row r="1205" spans="1:7" x14ac:dyDescent="0.2">
      <c r="A1205" s="2" t="s">
        <v>3288</v>
      </c>
      <c r="B1205" s="2" t="s">
        <v>68</v>
      </c>
      <c r="C1205" s="2">
        <v>488.6576</v>
      </c>
      <c r="D1205" s="2">
        <f>HYPERLINK("http://mcb-m6.bioreg.kyushu-u.ac.jp/M3/20110414/F50962/827/1", 48.02)</f>
        <v>48.02</v>
      </c>
      <c r="E1205" s="2">
        <v>21.47</v>
      </c>
      <c r="F1205" s="2">
        <v>2</v>
      </c>
      <c r="G1205" s="2" t="s">
        <v>11</v>
      </c>
    </row>
    <row r="1206" spans="1:7" x14ac:dyDescent="0.2">
      <c r="A1206" s="2" t="s">
        <v>3288</v>
      </c>
      <c r="B1206" s="2" t="s">
        <v>68</v>
      </c>
      <c r="C1206" s="2">
        <v>488.82159999999999</v>
      </c>
      <c r="D1206" s="2">
        <f>HYPERLINK("http://mcb-m6.bioreg.kyushu-u.ac.jp/M3/20110414/F50945/1068/1", 49.27)</f>
        <v>49.27</v>
      </c>
      <c r="E1206" s="2">
        <v>24.44</v>
      </c>
      <c r="F1206" s="2">
        <v>2</v>
      </c>
      <c r="G1206" s="2" t="s">
        <v>11</v>
      </c>
    </row>
    <row r="1207" spans="1:7" x14ac:dyDescent="0.2">
      <c r="A1207" s="2" t="s">
        <v>3288</v>
      </c>
      <c r="B1207" s="2" t="s">
        <v>68</v>
      </c>
      <c r="C1207" s="2">
        <v>488.65859999999998</v>
      </c>
      <c r="D1207" s="2">
        <f>HYPERLINK("http://mcb-m6.bioreg.kyushu-u.ac.jp/M3/20110414/F50941/847/1", 49.36)</f>
        <v>49.36</v>
      </c>
      <c r="E1207" s="2">
        <v>19.68</v>
      </c>
      <c r="F1207" s="2">
        <v>2</v>
      </c>
      <c r="G1207" s="2" t="s">
        <v>11</v>
      </c>
    </row>
    <row r="1208" spans="1:7" x14ac:dyDescent="0.2">
      <c r="A1208" s="2" t="s">
        <v>3288</v>
      </c>
      <c r="B1208" s="2" t="s">
        <v>68</v>
      </c>
      <c r="C1208" s="2">
        <v>488.58109999999999</v>
      </c>
      <c r="D1208" s="2">
        <f>HYPERLINK("http://mcb-m6.bioreg.kyushu-u.ac.jp/M3/20110414/F50962/822/1", 51.21)</f>
        <v>51.21</v>
      </c>
      <c r="E1208" s="2">
        <v>26.29</v>
      </c>
      <c r="F1208" s="2">
        <v>2</v>
      </c>
      <c r="G1208" s="2" t="s">
        <v>11</v>
      </c>
    </row>
    <row r="1209" spans="1:7" x14ac:dyDescent="0.2">
      <c r="A1209" s="2" t="s">
        <v>3288</v>
      </c>
      <c r="B1209" s="2" t="s">
        <v>68</v>
      </c>
      <c r="C1209" s="2">
        <v>488.51209999999998</v>
      </c>
      <c r="D1209" s="2">
        <f>HYPERLINK("http://mcb-m6.bioreg.kyushu-u.ac.jp/M3/20110414/F50928/1149/1", 51.25)</f>
        <v>51.25</v>
      </c>
      <c r="E1209" s="2">
        <v>24.73</v>
      </c>
      <c r="F1209" s="2">
        <v>2</v>
      </c>
      <c r="G1209" s="2" t="s">
        <v>11</v>
      </c>
    </row>
    <row r="1210" spans="1:7" x14ac:dyDescent="0.2">
      <c r="A1210" s="2" t="s">
        <v>3288</v>
      </c>
      <c r="B1210" s="2" t="s">
        <v>68</v>
      </c>
      <c r="C1210" s="2">
        <v>488.80410000000001</v>
      </c>
      <c r="D1210" s="2">
        <f>HYPERLINK("http://mcb-m6.bioreg.kyushu-u.ac.jp/M3/20110414/F50957/575/1", 51.29)</f>
        <v>51.29</v>
      </c>
      <c r="E1210" s="2">
        <v>13.67</v>
      </c>
      <c r="F1210" s="2">
        <v>2</v>
      </c>
      <c r="G1210" s="2" t="s">
        <v>11</v>
      </c>
    </row>
    <row r="1211" spans="1:7" x14ac:dyDescent="0.2">
      <c r="A1211" s="2" t="s">
        <v>3288</v>
      </c>
      <c r="B1211" s="2" t="s">
        <v>68</v>
      </c>
      <c r="C1211" s="2">
        <v>489.01409999999998</v>
      </c>
      <c r="D1211" s="2">
        <f>HYPERLINK("http://mcb-m6.bioreg.kyushu-u.ac.jp/M3/20110414/F50928/1155/1", 52.86)</f>
        <v>52.86</v>
      </c>
      <c r="E1211" s="2">
        <v>22.6</v>
      </c>
      <c r="F1211" s="2">
        <v>2</v>
      </c>
      <c r="G1211" s="2" t="s">
        <v>11</v>
      </c>
    </row>
    <row r="1212" spans="1:7" x14ac:dyDescent="0.2">
      <c r="A1212" s="2" t="s">
        <v>3288</v>
      </c>
      <c r="B1212" s="2" t="s">
        <v>68</v>
      </c>
      <c r="C1212" s="2">
        <v>489.00709999999998</v>
      </c>
      <c r="D1212" s="2">
        <f>HYPERLINK("http://mcb-m6.bioreg.kyushu-u.ac.jp/M3/20110414/F50941/855/1", 53.05)</f>
        <v>53.05</v>
      </c>
      <c r="E1212" s="2">
        <v>26.61</v>
      </c>
      <c r="F1212" s="2">
        <v>2</v>
      </c>
      <c r="G1212" s="2" t="s">
        <v>11</v>
      </c>
    </row>
    <row r="1213" spans="1:7" x14ac:dyDescent="0.2">
      <c r="A1213" s="2" t="s">
        <v>3288</v>
      </c>
      <c r="B1213" s="2" t="s">
        <v>68</v>
      </c>
      <c r="C1213" s="2">
        <v>489.16910000000001</v>
      </c>
      <c r="D1213" s="2">
        <f>HYPERLINK("http://mcb-m6.bioreg.kyushu-u.ac.jp/M3/20110414/F50942/800/1", 55.26)</f>
        <v>55.26</v>
      </c>
      <c r="E1213" s="2">
        <v>28.19</v>
      </c>
      <c r="F1213" s="2">
        <v>2</v>
      </c>
      <c r="G1213" s="2" t="s">
        <v>11</v>
      </c>
    </row>
    <row r="1214" spans="1:7" x14ac:dyDescent="0.2">
      <c r="A1214" s="2" t="s">
        <v>3288</v>
      </c>
      <c r="B1214" s="2" t="s">
        <v>68</v>
      </c>
      <c r="C1214" s="2">
        <v>488.63510000000002</v>
      </c>
      <c r="D1214" s="2">
        <f>HYPERLINK("http://mcb-m6.bioreg.kyushu-u.ac.jp/M3/20110414/F50941/844/1", 56.4)</f>
        <v>56.4</v>
      </c>
      <c r="E1214" s="2">
        <v>30.01</v>
      </c>
      <c r="F1214" s="2">
        <v>2</v>
      </c>
      <c r="G1214" s="2" t="s">
        <v>11</v>
      </c>
    </row>
    <row r="1215" spans="1:7" x14ac:dyDescent="0.2">
      <c r="A1215" s="2" t="s">
        <v>3288</v>
      </c>
      <c r="B1215" s="2" t="s">
        <v>68</v>
      </c>
      <c r="C1215" s="2">
        <v>488.39760000000001</v>
      </c>
      <c r="D1215" s="2">
        <f>HYPERLINK("http://mcb-m6.bioreg.kyushu-u.ac.jp/M3/20110414/F50927/1291/1", 57.32)</f>
        <v>57.32</v>
      </c>
      <c r="E1215" s="2">
        <v>29.68</v>
      </c>
      <c r="F1215" s="2">
        <v>2</v>
      </c>
      <c r="G1215" s="2" t="s">
        <v>11</v>
      </c>
    </row>
    <row r="1216" spans="1:7" x14ac:dyDescent="0.2">
      <c r="A1216" s="2" t="s">
        <v>3288</v>
      </c>
      <c r="B1216" s="2" t="s">
        <v>68</v>
      </c>
      <c r="C1216" s="2">
        <v>488.62110000000001</v>
      </c>
      <c r="D1216" s="2">
        <f>HYPERLINK("http://mcb-m6.bioreg.kyushu-u.ac.jp/M3/20110414/F50962/824/1", 58.76)</f>
        <v>58.76</v>
      </c>
      <c r="E1216" s="2">
        <v>28.91</v>
      </c>
      <c r="F1216" s="2">
        <v>2</v>
      </c>
      <c r="G1216" s="2" t="s">
        <v>11</v>
      </c>
    </row>
    <row r="1217" spans="1:7" x14ac:dyDescent="0.2">
      <c r="A1217" s="2" t="s">
        <v>3288</v>
      </c>
      <c r="B1217" s="2" t="s">
        <v>68</v>
      </c>
      <c r="C1217" s="2">
        <v>488.76010000000002</v>
      </c>
      <c r="D1217" s="2">
        <f>HYPERLINK("http://mcb-m6.bioreg.kyushu-u.ac.jp/M3/20110414/F50962/831/1", 59.32)</f>
        <v>59.32</v>
      </c>
      <c r="E1217" s="2">
        <v>31.94</v>
      </c>
      <c r="F1217" s="2">
        <v>2</v>
      </c>
      <c r="G1217" s="2" t="s">
        <v>11</v>
      </c>
    </row>
    <row r="1218" spans="1:7" x14ac:dyDescent="0.2">
      <c r="A1218" s="2" t="s">
        <v>3288</v>
      </c>
      <c r="B1218" s="2" t="s">
        <v>68</v>
      </c>
      <c r="C1218" s="2">
        <v>488.67509999999999</v>
      </c>
      <c r="D1218" s="2">
        <f>HYPERLINK("http://mcb-m6.bioreg.kyushu-u.ac.jp/M3/20110414/F50941/851/1", 60.14)</f>
        <v>60.14</v>
      </c>
      <c r="E1218" s="2">
        <v>35.56</v>
      </c>
      <c r="F1218" s="2">
        <v>2</v>
      </c>
      <c r="G1218" s="2" t="s">
        <v>11</v>
      </c>
    </row>
    <row r="1219" spans="1:7" x14ac:dyDescent="0.2">
      <c r="A1219" s="2" t="s">
        <v>3288</v>
      </c>
      <c r="B1219" s="2" t="s">
        <v>68</v>
      </c>
      <c r="C1219" s="2">
        <v>489.11959999999999</v>
      </c>
      <c r="D1219" s="2">
        <f>HYPERLINK("http://mcb-m6.bioreg.kyushu-u.ac.jp/M3/20110414/F50941/857/1", 61.17)</f>
        <v>61.17</v>
      </c>
      <c r="E1219" s="2">
        <v>39.049999999999997</v>
      </c>
      <c r="F1219" s="2">
        <v>2</v>
      </c>
      <c r="G1219" s="2" t="s">
        <v>11</v>
      </c>
    </row>
    <row r="1220" spans="1:7" x14ac:dyDescent="0.2">
      <c r="A1220" s="2" t="s">
        <v>3288</v>
      </c>
      <c r="B1220" s="2" t="s">
        <v>68</v>
      </c>
      <c r="C1220" s="2">
        <v>488.46859999999998</v>
      </c>
      <c r="D1220" s="2">
        <f>HYPERLINK("http://mcb-m6.bioreg.kyushu-u.ac.jp/M3/20110414/F50928/1146/1", 61.21)</f>
        <v>61.21</v>
      </c>
      <c r="E1220" s="2">
        <v>29.47</v>
      </c>
      <c r="F1220" s="2">
        <v>2</v>
      </c>
      <c r="G1220" s="2" t="s">
        <v>11</v>
      </c>
    </row>
    <row r="1221" spans="1:7" x14ac:dyDescent="0.2">
      <c r="A1221" s="2" t="s">
        <v>3288</v>
      </c>
      <c r="B1221" s="2" t="s">
        <v>68</v>
      </c>
      <c r="C1221" s="2">
        <v>489.15660000000003</v>
      </c>
      <c r="D1221" s="2">
        <f>HYPERLINK("http://mcb-m6.bioreg.kyushu-u.ac.jp/M3/20110414/F50941/858/1", 63.4)</f>
        <v>63.4</v>
      </c>
      <c r="E1221" s="2">
        <v>38.9</v>
      </c>
      <c r="F1221" s="2">
        <v>2</v>
      </c>
      <c r="G1221" s="2" t="s">
        <v>11</v>
      </c>
    </row>
    <row r="1222" spans="1:7" x14ac:dyDescent="0.2">
      <c r="A1222" s="2" t="s">
        <v>3288</v>
      </c>
      <c r="B1222" s="2" t="s">
        <v>68</v>
      </c>
      <c r="C1222" s="2">
        <v>488.7466</v>
      </c>
      <c r="D1222" s="2">
        <f>HYPERLINK("http://mcb-m6.bioreg.kyushu-u.ac.jp/M3/20110414/F50928/1152/1", 66.22)</f>
        <v>66.22</v>
      </c>
      <c r="E1222" s="2">
        <v>36.67</v>
      </c>
      <c r="F1222" s="2">
        <v>2</v>
      </c>
      <c r="G1222" s="2" t="s">
        <v>11</v>
      </c>
    </row>
    <row r="1223" spans="1:7" x14ac:dyDescent="0.2">
      <c r="A1223" s="2" t="s">
        <v>3288</v>
      </c>
      <c r="B1223" s="2" t="s">
        <v>68</v>
      </c>
      <c r="C1223" s="2">
        <v>488.94260000000003</v>
      </c>
      <c r="D1223" s="2">
        <f>HYPERLINK("http://mcb-m6.bioreg.kyushu-u.ac.jp/M3/20110414/F50941/854/1", 66.42)</f>
        <v>66.42</v>
      </c>
      <c r="E1223" s="2">
        <v>40.85</v>
      </c>
      <c r="F1223" s="2">
        <v>2</v>
      </c>
      <c r="G1223" s="2" t="s">
        <v>11</v>
      </c>
    </row>
    <row r="1224" spans="1:7" x14ac:dyDescent="0.2">
      <c r="A1224" s="2" t="s">
        <v>3288</v>
      </c>
      <c r="B1224" s="2" t="s">
        <v>68</v>
      </c>
      <c r="C1224" s="2">
        <v>488.66160000000002</v>
      </c>
      <c r="D1224" s="2">
        <f>HYPERLINK("http://mcb-m6.bioreg.kyushu-u.ac.jp/M3/20110414/F50941/848/1", 68.69)</f>
        <v>68.69</v>
      </c>
      <c r="E1224" s="2">
        <v>46.68</v>
      </c>
      <c r="F1224" s="2">
        <v>2</v>
      </c>
      <c r="G1224" s="2" t="s">
        <v>11</v>
      </c>
    </row>
    <row r="1225" spans="1:7" x14ac:dyDescent="0.2">
      <c r="A1225" s="2" t="s">
        <v>3288</v>
      </c>
      <c r="B1225" s="2" t="s">
        <v>68</v>
      </c>
      <c r="C1225" s="2">
        <v>488.66609999999997</v>
      </c>
      <c r="D1225" s="2">
        <f>HYPERLINK("http://mcb-m6.bioreg.kyushu-u.ac.jp/M3/20110414/F50928/1151/1", 69.62)</f>
        <v>69.62</v>
      </c>
      <c r="E1225" s="2">
        <v>38.72</v>
      </c>
      <c r="F1225" s="2">
        <v>2</v>
      </c>
      <c r="G1225" s="2" t="s">
        <v>11</v>
      </c>
    </row>
    <row r="1226" spans="1:7" x14ac:dyDescent="0.2">
      <c r="A1226" s="2" t="s">
        <v>3288</v>
      </c>
      <c r="B1226" s="2" t="s">
        <v>68</v>
      </c>
      <c r="C1226" s="2">
        <v>489.05509999999998</v>
      </c>
      <c r="D1226" s="2">
        <f>HYPERLINK("http://mcb-m6.bioreg.kyushu-u.ac.jp/M3/20110414/F50941/856/1", 72.04)</f>
        <v>72.040000000000006</v>
      </c>
      <c r="E1226" s="2">
        <v>43.39</v>
      </c>
      <c r="F1226" s="2">
        <v>2</v>
      </c>
      <c r="G1226" s="2" t="s">
        <v>11</v>
      </c>
    </row>
    <row r="1227" spans="1:7" x14ac:dyDescent="0.2">
      <c r="A1227" s="2" t="s">
        <v>3288</v>
      </c>
      <c r="B1227" s="2" t="s">
        <v>68</v>
      </c>
      <c r="C1227" s="2">
        <v>488.64460000000003</v>
      </c>
      <c r="D1227" s="2">
        <f>HYPERLINK("http://mcb-m6.bioreg.kyushu-u.ac.jp/M3/20110414/F50941/846/1", 74.96)</f>
        <v>74.959999999999994</v>
      </c>
      <c r="E1227" s="2">
        <v>41.91</v>
      </c>
      <c r="F1227" s="2">
        <v>2</v>
      </c>
      <c r="G1227" s="2" t="s">
        <v>11</v>
      </c>
    </row>
    <row r="1228" spans="1:7" x14ac:dyDescent="0.2">
      <c r="A1228" s="2" t="s">
        <v>3288</v>
      </c>
      <c r="B1228" s="2" t="s">
        <v>68</v>
      </c>
      <c r="C1228" s="2">
        <v>488.61860000000001</v>
      </c>
      <c r="D1228" s="2">
        <f>HYPERLINK("http://mcb-m6.bioreg.kyushu-u.ac.jp/M3/20110414/F50962/823/1", 76.99)</f>
        <v>76.989999999999995</v>
      </c>
      <c r="E1228" s="2">
        <v>40.67</v>
      </c>
      <c r="F1228" s="2">
        <v>2</v>
      </c>
      <c r="G1228" s="2" t="s">
        <v>11</v>
      </c>
    </row>
    <row r="1229" spans="1:7" x14ac:dyDescent="0.2">
      <c r="A1229" s="2" t="s">
        <v>3288</v>
      </c>
      <c r="B1229" s="2" t="s">
        <v>68</v>
      </c>
      <c r="C1229" s="2">
        <v>488.65210000000002</v>
      </c>
      <c r="D1229" s="2">
        <f>HYPERLINK("http://mcb-m6.bioreg.kyushu-u.ac.jp/M3/20110414/F50962/826/1", 80.95)</f>
        <v>80.95</v>
      </c>
      <c r="E1229" s="2">
        <v>48.43</v>
      </c>
      <c r="F1229" s="2">
        <v>2</v>
      </c>
      <c r="G1229" s="2" t="s">
        <v>11</v>
      </c>
    </row>
    <row r="1230" spans="1:7" x14ac:dyDescent="0.2">
      <c r="A1230" s="2" t="s">
        <v>3288</v>
      </c>
      <c r="B1230" s="2" t="s">
        <v>68</v>
      </c>
      <c r="C1230" s="2">
        <v>488.70409999999998</v>
      </c>
      <c r="D1230" s="2">
        <f>HYPERLINK("http://mcb-m6.bioreg.kyushu-u.ac.jp/M3/20110414/F50941/853/1", 82.56)</f>
        <v>82.56</v>
      </c>
      <c r="E1230" s="2">
        <v>48.31</v>
      </c>
      <c r="F1230" s="2">
        <v>2</v>
      </c>
      <c r="G1230" s="2" t="s">
        <v>11</v>
      </c>
    </row>
    <row r="1231" spans="1:7" x14ac:dyDescent="0.2">
      <c r="A1231" s="2" t="s">
        <v>3288</v>
      </c>
      <c r="B1231" s="2" t="s">
        <v>68</v>
      </c>
      <c r="C1231" s="2">
        <v>489.1771</v>
      </c>
      <c r="D1231" s="2">
        <f>HYPERLINK("http://mcb-m6.bioreg.kyushu-u.ac.jp/M3/20110414/F50933/1401/1", 35.09)</f>
        <v>35.090000000000003</v>
      </c>
      <c r="E1231" s="2">
        <v>13.08</v>
      </c>
      <c r="F1231" s="2">
        <v>2</v>
      </c>
      <c r="G1231" s="2" t="s">
        <v>12</v>
      </c>
    </row>
    <row r="1232" spans="1:7" x14ac:dyDescent="0.2">
      <c r="A1232" s="2" t="s">
        <v>3288</v>
      </c>
      <c r="B1232" s="2" t="s">
        <v>68</v>
      </c>
      <c r="C1232" s="2">
        <v>489.28960000000001</v>
      </c>
      <c r="D1232" s="2">
        <f>HYPERLINK("http://mcb-m6.bioreg.kyushu-u.ac.jp/M3/20110414/F50947/781/1", 35.93)</f>
        <v>35.93</v>
      </c>
      <c r="E1232" s="2">
        <v>13.47</v>
      </c>
      <c r="F1232" s="2">
        <v>2</v>
      </c>
      <c r="G1232" s="2" t="s">
        <v>12</v>
      </c>
    </row>
    <row r="1233" spans="1:7" x14ac:dyDescent="0.2">
      <c r="A1233" s="2" t="s">
        <v>3288</v>
      </c>
      <c r="B1233" s="2" t="s">
        <v>68</v>
      </c>
      <c r="C1233" s="2">
        <v>489.00760000000002</v>
      </c>
      <c r="D1233" s="2">
        <f>HYPERLINK("http://mcb-m6.bioreg.kyushu-u.ac.jp/M3/20110414/F50966/890/1", 36.06)</f>
        <v>36.06</v>
      </c>
      <c r="E1233" s="2">
        <v>16.91</v>
      </c>
      <c r="F1233" s="2">
        <v>2</v>
      </c>
      <c r="G1233" s="2" t="s">
        <v>12</v>
      </c>
    </row>
    <row r="1234" spans="1:7" x14ac:dyDescent="0.2">
      <c r="A1234" s="2" t="s">
        <v>3288</v>
      </c>
      <c r="B1234" s="2" t="s">
        <v>68</v>
      </c>
      <c r="C1234" s="2">
        <v>488.5951</v>
      </c>
      <c r="D1234" s="2">
        <f>HYPERLINK("http://mcb-m6.bioreg.kyushu-u.ac.jp/M3/20110414/F50963/713/1", 37.93)</f>
        <v>37.93</v>
      </c>
      <c r="E1234" s="2">
        <v>17.170000000000002</v>
      </c>
      <c r="F1234" s="2">
        <v>2</v>
      </c>
      <c r="G1234" s="2" t="s">
        <v>12</v>
      </c>
    </row>
    <row r="1235" spans="1:7" x14ac:dyDescent="0.2">
      <c r="A1235" s="2" t="s">
        <v>3288</v>
      </c>
      <c r="B1235" s="2" t="s">
        <v>68</v>
      </c>
      <c r="C1235" s="2">
        <v>488.7851</v>
      </c>
      <c r="D1235" s="2">
        <f>HYPERLINK("http://mcb-m6.bioreg.kyushu-u.ac.jp/M3/20110414/F50948/776/1", 38.31)</f>
        <v>38.31</v>
      </c>
      <c r="E1235" s="2">
        <v>14.41</v>
      </c>
      <c r="F1235" s="2">
        <v>2</v>
      </c>
      <c r="G1235" s="2" t="s">
        <v>12</v>
      </c>
    </row>
    <row r="1236" spans="1:7" x14ac:dyDescent="0.2">
      <c r="A1236" s="2" t="s">
        <v>3288</v>
      </c>
      <c r="B1236" s="2" t="s">
        <v>68</v>
      </c>
      <c r="C1236" s="2">
        <v>489.24509999999998</v>
      </c>
      <c r="D1236" s="2">
        <f>HYPERLINK("http://mcb-m6.bioreg.kyushu-u.ac.jp/M3/20110414/F50966/892/1", 38.92)</f>
        <v>38.92</v>
      </c>
      <c r="E1236" s="2">
        <v>16.489999999999998</v>
      </c>
      <c r="F1236" s="2">
        <v>2</v>
      </c>
      <c r="G1236" s="2" t="s">
        <v>12</v>
      </c>
    </row>
    <row r="1237" spans="1:7" x14ac:dyDescent="0.2">
      <c r="A1237" s="2" t="s">
        <v>3288</v>
      </c>
      <c r="B1237" s="2" t="s">
        <v>68</v>
      </c>
      <c r="C1237" s="2">
        <v>488.97109999999998</v>
      </c>
      <c r="D1237" s="2">
        <f>HYPERLINK("http://mcb-m6.bioreg.kyushu-u.ac.jp/M3/20110414/F50963/721/1", 38.99)</f>
        <v>38.99</v>
      </c>
      <c r="E1237" s="2">
        <v>22.72</v>
      </c>
      <c r="F1237" s="2">
        <v>2</v>
      </c>
      <c r="G1237" s="2" t="s">
        <v>12</v>
      </c>
    </row>
    <row r="1238" spans="1:7" x14ac:dyDescent="0.2">
      <c r="A1238" s="2" t="s">
        <v>3288</v>
      </c>
      <c r="B1238" s="2" t="s">
        <v>68</v>
      </c>
      <c r="C1238" s="2">
        <v>488.80560000000003</v>
      </c>
      <c r="D1238" s="2">
        <f>HYPERLINK("http://mcb-m6.bioreg.kyushu-u.ac.jp/M3/20110414/F50930/1729/1", 40.4)</f>
        <v>40.4</v>
      </c>
      <c r="E1238" s="2">
        <v>14.36</v>
      </c>
      <c r="F1238" s="2">
        <v>2</v>
      </c>
      <c r="G1238" s="2" t="s">
        <v>12</v>
      </c>
    </row>
    <row r="1239" spans="1:7" x14ac:dyDescent="0.2">
      <c r="A1239" s="2" t="s">
        <v>3288</v>
      </c>
      <c r="B1239" s="2" t="s">
        <v>68</v>
      </c>
      <c r="C1239" s="2">
        <v>488.5206</v>
      </c>
      <c r="D1239" s="2">
        <f>HYPERLINK("http://mcb-m6.bioreg.kyushu-u.ac.jp/M3/20110414/F50948/774/1", 41.89)</f>
        <v>41.89</v>
      </c>
      <c r="E1239" s="2">
        <v>14.71</v>
      </c>
      <c r="F1239" s="2">
        <v>2</v>
      </c>
      <c r="G1239" s="2" t="s">
        <v>12</v>
      </c>
    </row>
    <row r="1240" spans="1:7" x14ac:dyDescent="0.2">
      <c r="A1240" s="2" t="s">
        <v>3288</v>
      </c>
      <c r="B1240" s="2" t="s">
        <v>68</v>
      </c>
      <c r="C1240" s="2">
        <v>488.76859999999999</v>
      </c>
      <c r="D1240" s="2">
        <f>HYPERLINK("http://mcb-m6.bioreg.kyushu-u.ac.jp/M3/20110414/F50946/972/1", 42.76)</f>
        <v>42.76</v>
      </c>
      <c r="E1240" s="2">
        <v>9.5500000000000007</v>
      </c>
      <c r="F1240" s="2">
        <v>2</v>
      </c>
      <c r="G1240" s="2" t="s">
        <v>12</v>
      </c>
    </row>
    <row r="1241" spans="1:7" x14ac:dyDescent="0.2">
      <c r="A1241" s="2" t="s">
        <v>3288</v>
      </c>
      <c r="B1241" s="2" t="s">
        <v>68</v>
      </c>
      <c r="C1241" s="2">
        <v>489.1551</v>
      </c>
      <c r="D1241" s="2">
        <f>HYPERLINK("http://mcb-m6.bioreg.kyushu-u.ac.jp/M3/20110414/F50948/780/1", 42.83)</f>
        <v>42.83</v>
      </c>
      <c r="E1241" s="2">
        <v>19.91</v>
      </c>
      <c r="F1241" s="2">
        <v>2</v>
      </c>
      <c r="G1241" s="2" t="s">
        <v>12</v>
      </c>
    </row>
    <row r="1242" spans="1:7" x14ac:dyDescent="0.2">
      <c r="A1242" s="2" t="s">
        <v>3288</v>
      </c>
      <c r="B1242" s="2" t="s">
        <v>68</v>
      </c>
      <c r="C1242" s="2">
        <v>488.66559999999998</v>
      </c>
      <c r="D1242" s="2">
        <f>HYPERLINK("http://mcb-m6.bioreg.kyushu-u.ac.jp/M3/20110414/F50963/716/1", 44.23)</f>
        <v>44.23</v>
      </c>
      <c r="E1242" s="2">
        <v>24.15</v>
      </c>
      <c r="F1242" s="2">
        <v>2</v>
      </c>
      <c r="G1242" s="2" t="s">
        <v>12</v>
      </c>
    </row>
    <row r="1243" spans="1:7" x14ac:dyDescent="0.2">
      <c r="A1243" s="2" t="s">
        <v>3288</v>
      </c>
      <c r="B1243" s="2" t="s">
        <v>68</v>
      </c>
      <c r="C1243" s="2">
        <v>488.4246</v>
      </c>
      <c r="D1243" s="2">
        <f>HYPERLINK("http://mcb-m6.bioreg.kyushu-u.ac.jp/M3/20110414/F50934/1671/1", 44.35)</f>
        <v>44.35</v>
      </c>
      <c r="E1243" s="2">
        <v>14.92</v>
      </c>
      <c r="F1243" s="2">
        <v>2</v>
      </c>
      <c r="G1243" s="2" t="s">
        <v>12</v>
      </c>
    </row>
    <row r="1244" spans="1:7" x14ac:dyDescent="0.2">
      <c r="A1244" s="2" t="s">
        <v>3288</v>
      </c>
      <c r="B1244" s="2" t="s">
        <v>68</v>
      </c>
      <c r="C1244" s="2">
        <v>976.41700000000003</v>
      </c>
      <c r="D1244" s="2">
        <f>HYPERLINK("http://mcb-m6.bioreg.kyushu-u.ac.jp/M3/20110414/F50963/718/1", 46.24)</f>
        <v>46.24</v>
      </c>
      <c r="E1244" s="2">
        <v>24.04</v>
      </c>
      <c r="F1244" s="2">
        <v>1</v>
      </c>
      <c r="G1244" s="2" t="s">
        <v>12</v>
      </c>
    </row>
    <row r="1245" spans="1:7" x14ac:dyDescent="0.2">
      <c r="A1245" s="2" t="s">
        <v>3288</v>
      </c>
      <c r="B1245" s="2" t="s">
        <v>68</v>
      </c>
      <c r="C1245" s="2">
        <v>488.62009999999998</v>
      </c>
      <c r="D1245" s="2">
        <f>HYPERLINK("http://mcb-m6.bioreg.kyushu-u.ac.jp/M3/20110414/F50963/714/1", 47.53)</f>
        <v>47.53</v>
      </c>
      <c r="E1245" s="2">
        <v>18.73</v>
      </c>
      <c r="F1245" s="2">
        <v>2</v>
      </c>
      <c r="G1245" s="2" t="s">
        <v>12</v>
      </c>
    </row>
    <row r="1246" spans="1:7" x14ac:dyDescent="0.2">
      <c r="A1246" s="2" t="s">
        <v>3288</v>
      </c>
      <c r="B1246" s="2" t="s">
        <v>68</v>
      </c>
      <c r="C1246" s="2">
        <v>488.72160000000002</v>
      </c>
      <c r="D1246" s="2">
        <f>HYPERLINK("http://mcb-m6.bioreg.kyushu-u.ac.jp/M3/20110414/F50949/1679/1", 51.4)</f>
        <v>51.4</v>
      </c>
      <c r="E1246" s="2">
        <v>17.36</v>
      </c>
      <c r="F1246" s="2">
        <v>2</v>
      </c>
      <c r="G1246" s="2" t="s">
        <v>12</v>
      </c>
    </row>
    <row r="1247" spans="1:7" x14ac:dyDescent="0.2">
      <c r="A1247" s="2" t="s">
        <v>3288</v>
      </c>
      <c r="B1247" s="2" t="s">
        <v>68</v>
      </c>
      <c r="C1247" s="2">
        <v>489.11110000000002</v>
      </c>
      <c r="D1247" s="2">
        <f>HYPERLINK("http://mcb-m6.bioreg.kyushu-u.ac.jp/M3/20110414/F50948/779/1", 51.6)</f>
        <v>51.6</v>
      </c>
      <c r="E1247" s="2">
        <v>19.440000000000001</v>
      </c>
      <c r="F1247" s="2">
        <v>2</v>
      </c>
      <c r="G1247" s="2" t="s">
        <v>12</v>
      </c>
    </row>
    <row r="1248" spans="1:7" x14ac:dyDescent="0.2">
      <c r="A1248" s="2" t="s">
        <v>3288</v>
      </c>
      <c r="B1248" s="2" t="s">
        <v>68</v>
      </c>
      <c r="C1248" s="2">
        <v>489.1721</v>
      </c>
      <c r="D1248" s="2">
        <f>HYPERLINK("http://mcb-m6.bioreg.kyushu-u.ac.jp/M3/20110414/F50932/1682/1", 59.86)</f>
        <v>59.86</v>
      </c>
      <c r="E1248" s="2">
        <v>30.31</v>
      </c>
      <c r="F1248" s="2">
        <v>2</v>
      </c>
      <c r="G1248" s="2" t="s">
        <v>12</v>
      </c>
    </row>
    <row r="1249" spans="1:7" x14ac:dyDescent="0.2">
      <c r="A1249" s="2" t="s">
        <v>3288</v>
      </c>
      <c r="B1249" s="2" t="s">
        <v>68</v>
      </c>
      <c r="C1249" s="2">
        <v>488.7251</v>
      </c>
      <c r="D1249" s="2">
        <f>HYPERLINK("http://mcb-m6.bioreg.kyushu-u.ac.jp/M3/20110414/F50947/779/1", 62.39)</f>
        <v>62.39</v>
      </c>
      <c r="E1249" s="2">
        <v>29.68</v>
      </c>
      <c r="F1249" s="2">
        <v>2</v>
      </c>
      <c r="G1249" s="2" t="s">
        <v>12</v>
      </c>
    </row>
    <row r="1250" spans="1:7" x14ac:dyDescent="0.2">
      <c r="A1250" s="2" t="s">
        <v>3288</v>
      </c>
      <c r="B1250" s="2" t="s">
        <v>68</v>
      </c>
      <c r="C1250" s="2">
        <v>488.7346</v>
      </c>
      <c r="D1250" s="2">
        <f>HYPERLINK("http://mcb-m6.bioreg.kyushu-u.ac.jp/M3/20110414/F50933/1399/1", 66.17)</f>
        <v>66.17</v>
      </c>
      <c r="E1250" s="2">
        <v>34.200000000000003</v>
      </c>
      <c r="F1250" s="2">
        <v>2</v>
      </c>
      <c r="G1250" s="2" t="s">
        <v>12</v>
      </c>
    </row>
    <row r="1251" spans="1:7" x14ac:dyDescent="0.2">
      <c r="A1251" s="2" t="s">
        <v>3288</v>
      </c>
      <c r="B1251" s="2" t="s">
        <v>68</v>
      </c>
      <c r="C1251" s="2">
        <v>488.7371</v>
      </c>
      <c r="D1251" s="2">
        <f>HYPERLINK("http://mcb-m6.bioreg.kyushu-u.ac.jp/M3/20110414/F50963/719/1", 68.77)</f>
        <v>68.77</v>
      </c>
      <c r="E1251" s="2">
        <v>34.28</v>
      </c>
      <c r="F1251" s="2">
        <v>2</v>
      </c>
      <c r="G1251" s="2" t="s">
        <v>12</v>
      </c>
    </row>
    <row r="1252" spans="1:7" x14ac:dyDescent="0.2">
      <c r="A1252" s="2" t="s">
        <v>3288</v>
      </c>
      <c r="B1252" s="2" t="s">
        <v>68</v>
      </c>
      <c r="C1252" s="2">
        <v>488.98410000000001</v>
      </c>
      <c r="D1252" s="2">
        <f>HYPERLINK("http://mcb-m6.bioreg.kyushu-u.ac.jp/M3/20110414/F50963/722/1", 69.94)</f>
        <v>69.94</v>
      </c>
      <c r="E1252" s="2">
        <v>41.37</v>
      </c>
      <c r="F1252" s="2">
        <v>2</v>
      </c>
      <c r="G1252" s="2" t="s">
        <v>12</v>
      </c>
    </row>
    <row r="1253" spans="1:7" x14ac:dyDescent="0.2">
      <c r="A1253" s="2" t="s">
        <v>3288</v>
      </c>
      <c r="B1253" s="2" t="s">
        <v>68</v>
      </c>
      <c r="C1253" s="2">
        <v>488.54910000000001</v>
      </c>
      <c r="D1253" s="2">
        <f>HYPERLINK("http://mcb-m6.bioreg.kyushu-u.ac.jp/M3/20110414/F50963/709/1", 72.6)</f>
        <v>72.599999999999994</v>
      </c>
      <c r="E1253" s="2">
        <v>41.53</v>
      </c>
      <c r="F1253" s="2">
        <v>2</v>
      </c>
      <c r="G1253" s="2" t="s">
        <v>12</v>
      </c>
    </row>
    <row r="1254" spans="1:7" x14ac:dyDescent="0.2">
      <c r="A1254" s="2" t="s">
        <v>3288</v>
      </c>
      <c r="B1254" s="2" t="s">
        <v>68</v>
      </c>
      <c r="C1254" s="2">
        <v>489.28660000000002</v>
      </c>
      <c r="D1254" s="2">
        <f>HYPERLINK("http://mcb-m6.bioreg.kyushu-u.ac.jp/M3/20110414/F50933/1402/1", 73.67)</f>
        <v>73.67</v>
      </c>
      <c r="E1254" s="2">
        <v>40.270000000000003</v>
      </c>
      <c r="F1254" s="2">
        <v>2</v>
      </c>
      <c r="G1254" s="2" t="s">
        <v>12</v>
      </c>
    </row>
    <row r="1255" spans="1:7" x14ac:dyDescent="0.2">
      <c r="A1255" s="2" t="s">
        <v>3288</v>
      </c>
      <c r="B1255" s="2" t="s">
        <v>68</v>
      </c>
      <c r="C1255" s="2">
        <v>488.65210000000002</v>
      </c>
      <c r="D1255" s="2">
        <f>HYPERLINK("http://mcb-m6.bioreg.kyushu-u.ac.jp/M3/20110414/F50963/715/1", 75.27)</f>
        <v>75.27</v>
      </c>
      <c r="E1255" s="2">
        <v>40.57</v>
      </c>
      <c r="F1255" s="2">
        <v>2</v>
      </c>
      <c r="G1255" s="2" t="s">
        <v>12</v>
      </c>
    </row>
    <row r="1256" spans="1:7" x14ac:dyDescent="0.2">
      <c r="A1256" s="2" t="s">
        <v>3288</v>
      </c>
      <c r="B1256" s="2" t="s">
        <v>68</v>
      </c>
      <c r="C1256" s="2">
        <v>488.70760000000001</v>
      </c>
      <c r="D1256" s="2">
        <f>HYPERLINK("http://mcb-m6.bioreg.kyushu-u.ac.jp/M3/20110414/F50947/778/1", 80.62)</f>
        <v>80.62</v>
      </c>
      <c r="E1256" s="2">
        <v>49.65</v>
      </c>
      <c r="F1256" s="2">
        <v>2</v>
      </c>
      <c r="G1256" s="2" t="s">
        <v>12</v>
      </c>
    </row>
    <row r="1257" spans="1:7" x14ac:dyDescent="0.2">
      <c r="A1257" s="2" t="s">
        <v>3288</v>
      </c>
      <c r="B1257" s="2" t="s">
        <v>68</v>
      </c>
      <c r="C1257" s="2">
        <v>488.57760000000002</v>
      </c>
      <c r="D1257" s="2">
        <f>HYPERLINK("http://mcb-m6.bioreg.kyushu-u.ac.jp/M3/20110414/F50963/710/1", 89.35)</f>
        <v>89.35</v>
      </c>
      <c r="E1257" s="2">
        <v>52.12</v>
      </c>
      <c r="F1257" s="2">
        <v>2</v>
      </c>
      <c r="G1257" s="2" t="s">
        <v>12</v>
      </c>
    </row>
    <row r="1258" spans="1:7" x14ac:dyDescent="0.2">
      <c r="A1258" s="2" t="s">
        <v>3288</v>
      </c>
      <c r="B1258" s="2" t="s">
        <v>68</v>
      </c>
      <c r="C1258" s="2">
        <v>976.68799999999999</v>
      </c>
      <c r="D1258" s="2">
        <f>HYPERLINK("http://mcb-m6.bioreg.kyushu-u.ac.jp/M3/20110502/F51170/947/1", 35.28)</f>
        <v>35.28</v>
      </c>
      <c r="E1258" s="2">
        <v>10.43</v>
      </c>
      <c r="F1258" s="2">
        <v>1</v>
      </c>
      <c r="G1258" s="2" t="s">
        <v>13</v>
      </c>
    </row>
    <row r="1259" spans="1:7" x14ac:dyDescent="0.2">
      <c r="A1259" s="2" t="s">
        <v>3288</v>
      </c>
      <c r="B1259" s="2" t="s">
        <v>68</v>
      </c>
      <c r="C1259" s="2">
        <v>976.63099999999997</v>
      </c>
      <c r="D1259" s="2">
        <f>HYPERLINK("http://mcb-m6.bioreg.kyushu-u.ac.jp/M3/20110502/F51187/723/1", 37.66)</f>
        <v>37.659999999999997</v>
      </c>
      <c r="E1259" s="2">
        <v>8.77</v>
      </c>
      <c r="F1259" s="2">
        <v>1</v>
      </c>
      <c r="G1259" s="2" t="s">
        <v>13</v>
      </c>
    </row>
    <row r="1260" spans="1:7" x14ac:dyDescent="0.2">
      <c r="A1260" s="2" t="s">
        <v>3288</v>
      </c>
      <c r="B1260" s="2" t="s">
        <v>68</v>
      </c>
      <c r="C1260" s="2">
        <v>489.25459999999998</v>
      </c>
      <c r="D1260" s="2">
        <f>HYPERLINK("http://mcb-m6.bioreg.kyushu-u.ac.jp/M3/20110502/F51166/1482/1", 44.54)</f>
        <v>44.54</v>
      </c>
      <c r="E1260" s="2">
        <v>24.24</v>
      </c>
      <c r="F1260" s="2">
        <v>2</v>
      </c>
      <c r="G1260" s="2" t="s">
        <v>13</v>
      </c>
    </row>
    <row r="1261" spans="1:7" x14ac:dyDescent="0.2">
      <c r="A1261" s="2" t="s">
        <v>3288</v>
      </c>
      <c r="B1261" s="2" t="s">
        <v>68</v>
      </c>
      <c r="C1261" s="2">
        <v>489.22660000000002</v>
      </c>
      <c r="D1261" s="2">
        <f>HYPERLINK("http://mcb-m6.bioreg.kyushu-u.ac.jp/M3/20110502/F51165/1249/1", 51.77)</f>
        <v>51.77</v>
      </c>
      <c r="E1261" s="2">
        <v>18.690000000000001</v>
      </c>
      <c r="F1261" s="2">
        <v>2</v>
      </c>
      <c r="G1261" s="2" t="s">
        <v>13</v>
      </c>
    </row>
    <row r="1262" spans="1:7" x14ac:dyDescent="0.2">
      <c r="A1262" s="2" t="s">
        <v>3288</v>
      </c>
      <c r="B1262" s="2" t="s">
        <v>68</v>
      </c>
      <c r="C1262" s="2">
        <v>489.17360000000002</v>
      </c>
      <c r="D1262" s="2">
        <f>HYPERLINK("http://mcb-m6.bioreg.kyushu-u.ac.jp/M3/20110502/F51167/1429/1", 57.18)</f>
        <v>57.18</v>
      </c>
      <c r="E1262" s="2">
        <v>25.94</v>
      </c>
      <c r="F1262" s="2">
        <v>2</v>
      </c>
      <c r="G1262" s="2" t="s">
        <v>13</v>
      </c>
    </row>
    <row r="1263" spans="1:7" x14ac:dyDescent="0.2">
      <c r="A1263" s="2" t="s">
        <v>3288</v>
      </c>
      <c r="B1263" s="2" t="s">
        <v>68</v>
      </c>
      <c r="C1263" s="2">
        <v>489.2226</v>
      </c>
      <c r="D1263" s="2">
        <f>HYPERLINK("http://mcb-m6.bioreg.kyushu-u.ac.jp/M3/20110502/F51187/730/1", 57.35)</f>
        <v>57.35</v>
      </c>
      <c r="E1263" s="2">
        <v>14.84</v>
      </c>
      <c r="F1263" s="2">
        <v>2</v>
      </c>
      <c r="G1263" s="2" t="s">
        <v>13</v>
      </c>
    </row>
    <row r="1264" spans="1:7" x14ac:dyDescent="0.2">
      <c r="A1264" s="2" t="s">
        <v>3288</v>
      </c>
      <c r="B1264" s="2" t="s">
        <v>68</v>
      </c>
      <c r="C1264" s="2">
        <v>488.9631</v>
      </c>
      <c r="D1264" s="2">
        <f>HYPERLINK("http://mcb-m6.bioreg.kyushu-u.ac.jp/M3/20110502/F51187/727/1", 63.34)</f>
        <v>63.34</v>
      </c>
      <c r="E1264" s="2">
        <v>35.97</v>
      </c>
      <c r="F1264" s="2">
        <v>2</v>
      </c>
      <c r="G1264" s="2" t="s">
        <v>13</v>
      </c>
    </row>
    <row r="1265" spans="1:7" x14ac:dyDescent="0.2">
      <c r="A1265" s="2" t="s">
        <v>3288</v>
      </c>
      <c r="B1265" s="2" t="s">
        <v>68</v>
      </c>
      <c r="C1265" s="2">
        <v>488.80309999999997</v>
      </c>
      <c r="D1265" s="2">
        <f>HYPERLINK("http://mcb-m6.bioreg.kyushu-u.ac.jp/M3/20110502/F51187/722/1", 73.1)</f>
        <v>73.099999999999994</v>
      </c>
      <c r="E1265" s="2">
        <v>34.68</v>
      </c>
      <c r="F1265" s="2">
        <v>2</v>
      </c>
      <c r="G1265" s="2" t="s">
        <v>13</v>
      </c>
    </row>
    <row r="1266" spans="1:7" x14ac:dyDescent="0.2">
      <c r="A1266" s="2" t="s">
        <v>3288</v>
      </c>
      <c r="B1266" s="2" t="s">
        <v>68</v>
      </c>
      <c r="C1266" s="2">
        <v>488.81909999999999</v>
      </c>
      <c r="D1266" s="2">
        <f>HYPERLINK("http://mcb-m6.bioreg.kyushu-u.ac.jp/M3/20110502/F51188/799/1", 74.95)</f>
        <v>74.95</v>
      </c>
      <c r="E1266" s="2">
        <v>35.76</v>
      </c>
      <c r="F1266" s="2">
        <v>2</v>
      </c>
      <c r="G1266" s="2" t="s">
        <v>13</v>
      </c>
    </row>
    <row r="1267" spans="1:7" x14ac:dyDescent="0.2">
      <c r="A1267" s="2" t="s">
        <v>3288</v>
      </c>
      <c r="B1267" s="2" t="s">
        <v>68</v>
      </c>
      <c r="C1267" s="2">
        <v>488.60410000000002</v>
      </c>
      <c r="D1267" s="2">
        <f>HYPERLINK("http://mcb-m6.bioreg.kyushu-u.ac.jp/M3/20110502/F51174/1067/1", 76.31)</f>
        <v>76.31</v>
      </c>
      <c r="E1267" s="2">
        <v>41.4</v>
      </c>
      <c r="F1267" s="2">
        <v>2</v>
      </c>
      <c r="G1267" s="2" t="s">
        <v>13</v>
      </c>
    </row>
    <row r="1268" spans="1:7" x14ac:dyDescent="0.2">
      <c r="A1268" s="2" t="s">
        <v>3288</v>
      </c>
      <c r="B1268" s="2" t="s">
        <v>68</v>
      </c>
      <c r="C1268" s="2">
        <v>489.0951</v>
      </c>
      <c r="D1268" s="2">
        <f>HYPERLINK("http://mcb-m6.bioreg.kyushu-u.ac.jp/M3/20110502/F51169/1093/1", 77.69)</f>
        <v>77.69</v>
      </c>
      <c r="E1268" s="2">
        <v>43.65</v>
      </c>
      <c r="F1268" s="2">
        <v>2</v>
      </c>
      <c r="G1268" s="2" t="s">
        <v>13</v>
      </c>
    </row>
    <row r="1269" spans="1:7" x14ac:dyDescent="0.2">
      <c r="A1269" s="2" t="s">
        <v>3288</v>
      </c>
      <c r="B1269" s="2" t="s">
        <v>68</v>
      </c>
      <c r="C1269" s="2">
        <v>488.85160000000002</v>
      </c>
      <c r="D1269" s="2">
        <f>HYPERLINK("http://mcb-m6.bioreg.kyushu-u.ac.jp/M3/20110502/F51168/1127/1", 80.37)</f>
        <v>80.37</v>
      </c>
      <c r="E1269" s="2">
        <v>50.19</v>
      </c>
      <c r="F1269" s="2">
        <v>2</v>
      </c>
      <c r="G1269" s="2" t="s">
        <v>13</v>
      </c>
    </row>
    <row r="1270" spans="1:7" x14ac:dyDescent="0.2">
      <c r="A1270" s="2" t="s">
        <v>3288</v>
      </c>
      <c r="B1270" s="2" t="s">
        <v>68</v>
      </c>
      <c r="C1270" s="2">
        <v>488.85759999999999</v>
      </c>
      <c r="D1270" s="2">
        <f>HYPERLINK("http://mcb-m6.bioreg.kyushu-u.ac.jp/M3/20110502/F51170/948/1", 86.47)</f>
        <v>86.47</v>
      </c>
      <c r="E1270" s="2">
        <v>51</v>
      </c>
      <c r="F1270" s="2">
        <v>2</v>
      </c>
      <c r="G1270" s="2" t="s">
        <v>13</v>
      </c>
    </row>
    <row r="1271" spans="1:7" x14ac:dyDescent="0.2">
      <c r="A1271" s="2" t="s">
        <v>3288</v>
      </c>
      <c r="B1271" s="2" t="s">
        <v>68</v>
      </c>
      <c r="C1271" s="2">
        <v>488.85109999999997</v>
      </c>
      <c r="D1271" s="2">
        <f>HYPERLINK("http://mcb-m6.bioreg.kyushu-u.ac.jp/M3/20110502/F51191/697/1", 37.36)</f>
        <v>37.36</v>
      </c>
      <c r="E1271" s="2">
        <v>12.44</v>
      </c>
      <c r="F1271" s="2">
        <v>2</v>
      </c>
      <c r="G1271" s="2" t="s">
        <v>14</v>
      </c>
    </row>
    <row r="1272" spans="1:7" x14ac:dyDescent="0.2">
      <c r="A1272" s="2" t="s">
        <v>3288</v>
      </c>
      <c r="B1272" s="2" t="s">
        <v>68</v>
      </c>
      <c r="C1272" s="2">
        <v>488.86860000000001</v>
      </c>
      <c r="D1272" s="2">
        <f>HYPERLINK("http://mcb-m6.bioreg.kyushu-u.ac.jp/M3/20110502/F51191/698/1", 42.12)</f>
        <v>42.12</v>
      </c>
      <c r="E1272" s="2">
        <v>18.72</v>
      </c>
      <c r="F1272" s="2">
        <v>2</v>
      </c>
      <c r="G1272" s="2" t="s">
        <v>14</v>
      </c>
    </row>
    <row r="1273" spans="1:7" x14ac:dyDescent="0.2">
      <c r="A1273" s="2" t="s">
        <v>3288</v>
      </c>
      <c r="B1273" s="2" t="s">
        <v>68</v>
      </c>
      <c r="C1273" s="2">
        <v>976.63099999999997</v>
      </c>
      <c r="D1273" s="2">
        <f>HYPERLINK("http://mcb-m6.bioreg.kyushu-u.ac.jp/M3/20110502/F51179/580/1", 43.14)</f>
        <v>43.14</v>
      </c>
      <c r="E1273" s="2">
        <v>17.46</v>
      </c>
      <c r="F1273" s="2">
        <v>1</v>
      </c>
      <c r="G1273" s="2" t="s">
        <v>14</v>
      </c>
    </row>
    <row r="1274" spans="1:7" x14ac:dyDescent="0.2">
      <c r="A1274" s="2" t="s">
        <v>3288</v>
      </c>
      <c r="B1274" s="2" t="s">
        <v>68</v>
      </c>
      <c r="C1274" s="2">
        <v>489.06810000000002</v>
      </c>
      <c r="D1274" s="2">
        <f>HYPERLINK("http://mcb-m6.bioreg.kyushu-u.ac.jp/M3/20110502/F51191/704/1", 51.78)</f>
        <v>51.78</v>
      </c>
      <c r="E1274" s="2">
        <v>19.93</v>
      </c>
      <c r="F1274" s="2">
        <v>2</v>
      </c>
      <c r="G1274" s="2" t="s">
        <v>14</v>
      </c>
    </row>
    <row r="1275" spans="1:7" x14ac:dyDescent="0.2">
      <c r="A1275" s="2" t="s">
        <v>3288</v>
      </c>
      <c r="B1275" s="2" t="s">
        <v>68</v>
      </c>
      <c r="C1275" s="2">
        <v>488.9896</v>
      </c>
      <c r="D1275" s="2">
        <f>HYPERLINK("http://mcb-m6.bioreg.kyushu-u.ac.jp/M3/20110502/F51191/703/1", 56.9)</f>
        <v>56.9</v>
      </c>
      <c r="E1275" s="2">
        <v>31.35</v>
      </c>
      <c r="F1275" s="2">
        <v>2</v>
      </c>
      <c r="G1275" s="2" t="s">
        <v>14</v>
      </c>
    </row>
    <row r="1276" spans="1:7" x14ac:dyDescent="0.2">
      <c r="A1276" s="2" t="s">
        <v>3288</v>
      </c>
      <c r="B1276" s="2" t="s">
        <v>68</v>
      </c>
      <c r="C1276" s="2">
        <v>489.28660000000002</v>
      </c>
      <c r="D1276" s="2">
        <f>HYPERLINK("http://mcb-m6.bioreg.kyushu-u.ac.jp/M3/20110502/F51191/707/1", 59.3)</f>
        <v>59.3</v>
      </c>
      <c r="E1276" s="2">
        <v>26.45</v>
      </c>
      <c r="F1276" s="2">
        <v>2</v>
      </c>
      <c r="G1276" s="2" t="s">
        <v>14</v>
      </c>
    </row>
    <row r="1277" spans="1:7" x14ac:dyDescent="0.2">
      <c r="A1277" s="2" t="s">
        <v>3288</v>
      </c>
      <c r="B1277" s="2" t="s">
        <v>68</v>
      </c>
      <c r="C1277" s="2">
        <v>489.16160000000002</v>
      </c>
      <c r="D1277" s="2">
        <f>HYPERLINK("http://mcb-m6.bioreg.kyushu-u.ac.jp/M3/20110502/F51191/706/1", 67.19)</f>
        <v>67.19</v>
      </c>
      <c r="E1277" s="2">
        <v>35.090000000000003</v>
      </c>
      <c r="F1277" s="2">
        <v>2</v>
      </c>
      <c r="G1277" s="2" t="s">
        <v>14</v>
      </c>
    </row>
    <row r="1278" spans="1:7" x14ac:dyDescent="0.2">
      <c r="A1278" s="2" t="s">
        <v>3288</v>
      </c>
      <c r="B1278" s="2" t="s">
        <v>68</v>
      </c>
      <c r="C1278" s="2">
        <v>488.96359999999999</v>
      </c>
      <c r="D1278" s="2">
        <f>HYPERLINK("http://mcb-m6.bioreg.kyushu-u.ac.jp/M3/20110502/F51191/701/1", 67.23)</f>
        <v>67.23</v>
      </c>
      <c r="E1278" s="2">
        <v>39.86</v>
      </c>
      <c r="F1278" s="2">
        <v>2</v>
      </c>
      <c r="G1278" s="2" t="s">
        <v>14</v>
      </c>
    </row>
    <row r="1279" spans="1:7" x14ac:dyDescent="0.2">
      <c r="A1279" s="2" t="s">
        <v>3288</v>
      </c>
      <c r="B1279" s="2" t="s">
        <v>68</v>
      </c>
      <c r="C1279" s="2">
        <v>489.00360000000001</v>
      </c>
      <c r="D1279" s="2">
        <f>HYPERLINK("http://mcb-m6.bioreg.kyushu-u.ac.jp/M3/20110502/F51178/1031/1", 71.87)</f>
        <v>71.87</v>
      </c>
      <c r="E1279" s="2">
        <v>33.65</v>
      </c>
      <c r="F1279" s="2">
        <v>2</v>
      </c>
      <c r="G1279" s="2" t="s">
        <v>14</v>
      </c>
    </row>
    <row r="1280" spans="1:7" x14ac:dyDescent="0.2">
      <c r="A1280" s="2" t="s">
        <v>3288</v>
      </c>
      <c r="B1280" s="2" t="s">
        <v>68</v>
      </c>
      <c r="C1280" s="2">
        <v>489.12259999999998</v>
      </c>
      <c r="D1280" s="2">
        <f>HYPERLINK("http://mcb-m6.bioreg.kyushu-u.ac.jp/M3/20110502/F51191/705/1", 80.29)</f>
        <v>80.290000000000006</v>
      </c>
      <c r="E1280" s="2">
        <v>52.6</v>
      </c>
      <c r="F1280" s="2">
        <v>2</v>
      </c>
      <c r="G1280" s="2" t="s">
        <v>14</v>
      </c>
    </row>
    <row r="1281" spans="1:8" x14ac:dyDescent="0.2">
      <c r="A1281" s="2" t="s">
        <v>3288</v>
      </c>
      <c r="B1281" s="2" t="s">
        <v>68</v>
      </c>
      <c r="C1281" s="2">
        <v>488.75009999999997</v>
      </c>
      <c r="D1281" s="2">
        <f>HYPERLINK("http://mcb-m6.bioreg.kyushu-u.ac.jp/M3/20110502/F51179/579/1", 81.35)</f>
        <v>81.349999999999994</v>
      </c>
      <c r="E1281" s="2">
        <v>45.98</v>
      </c>
      <c r="F1281" s="2">
        <v>2</v>
      </c>
      <c r="G1281" s="2" t="s">
        <v>14</v>
      </c>
    </row>
    <row r="1282" spans="1:8" x14ac:dyDescent="0.2">
      <c r="A1282" s="2" t="s">
        <v>3288</v>
      </c>
      <c r="B1282" s="2" t="s">
        <v>68</v>
      </c>
      <c r="C1282" s="2">
        <v>489.29610000000002</v>
      </c>
      <c r="D1282" s="2">
        <f>HYPERLINK("http://mcb-m6.bioreg.kyushu-u.ac.jp/M3/20110502/F51179/582/1", 83.38)</f>
        <v>83.38</v>
      </c>
      <c r="E1282" s="2">
        <v>47.03</v>
      </c>
      <c r="F1282" s="2">
        <v>2</v>
      </c>
      <c r="G1282" s="2" t="s">
        <v>14</v>
      </c>
    </row>
    <row r="1283" spans="1:8" x14ac:dyDescent="0.2">
      <c r="A1283" s="2" t="s">
        <v>3287</v>
      </c>
      <c r="B1283" s="2" t="s">
        <v>67</v>
      </c>
      <c r="C1283" s="2">
        <v>758.62120000000004</v>
      </c>
      <c r="D1283" s="2">
        <f>HYPERLINK("http://mcb-m6.bioreg.kyushu-u.ac.jp/M3/20110411/F50919/1704/1", 35.63)</f>
        <v>35.630000000000003</v>
      </c>
      <c r="E1283" s="2">
        <v>26.69</v>
      </c>
      <c r="F1283" s="2">
        <v>2</v>
      </c>
      <c r="G1283" s="2" t="s">
        <v>9</v>
      </c>
    </row>
    <row r="1284" spans="1:8" x14ac:dyDescent="0.2">
      <c r="A1284" s="2" t="s">
        <v>3287</v>
      </c>
      <c r="B1284" s="2" t="s">
        <v>67</v>
      </c>
      <c r="C1284" s="2">
        <v>506.02420000000001</v>
      </c>
      <c r="D1284" s="2">
        <f>HYPERLINK("http://mcb-m6.bioreg.kyushu-u.ac.jp/M3/20110411/F50919/1703/1", 37.26)</f>
        <v>37.26</v>
      </c>
      <c r="E1284" s="2">
        <v>9.56</v>
      </c>
      <c r="F1284" s="2">
        <v>3</v>
      </c>
      <c r="G1284" s="2" t="s">
        <v>9</v>
      </c>
    </row>
    <row r="1285" spans="1:8" x14ac:dyDescent="0.2">
      <c r="A1285" s="2" t="s">
        <v>3287</v>
      </c>
      <c r="B1285" s="2" t="s">
        <v>67</v>
      </c>
      <c r="C1285" s="2">
        <v>758.86019999999996</v>
      </c>
      <c r="D1285" s="2">
        <f>HYPERLINK("http://mcb-m6.bioreg.kyushu-u.ac.jp/M3/20110411/F50919/1711/1", 38.19)</f>
        <v>38.19</v>
      </c>
      <c r="E1285" s="2">
        <v>25.37</v>
      </c>
      <c r="F1285" s="2">
        <v>2</v>
      </c>
      <c r="G1285" s="2" t="s">
        <v>9</v>
      </c>
    </row>
    <row r="1286" spans="1:8" x14ac:dyDescent="0.2">
      <c r="A1286" s="2" t="s">
        <v>3287</v>
      </c>
      <c r="B1286" s="2" t="s">
        <v>67</v>
      </c>
      <c r="C1286" s="2">
        <v>758.40470000000005</v>
      </c>
      <c r="D1286" s="2">
        <f>HYPERLINK("http://mcb-m6.bioreg.kyushu-u.ac.jp/M3/20110411/F50919/1698/1", 44.79)</f>
        <v>44.79</v>
      </c>
      <c r="E1286" s="2">
        <v>30.38</v>
      </c>
      <c r="F1286" s="2">
        <v>2</v>
      </c>
      <c r="G1286" s="2" t="s">
        <v>9</v>
      </c>
    </row>
    <row r="1287" spans="1:8" x14ac:dyDescent="0.2">
      <c r="A1287" s="2" t="s">
        <v>3287</v>
      </c>
      <c r="B1287" s="2" t="s">
        <v>67</v>
      </c>
      <c r="C1287" s="2">
        <v>758.49019999999996</v>
      </c>
      <c r="D1287" s="2">
        <f>HYPERLINK("http://mcb-m6.bioreg.kyushu-u.ac.jp/M3/20110411/F50919/1702/1", 46.33)</f>
        <v>46.33</v>
      </c>
      <c r="E1287" s="2">
        <v>33.22</v>
      </c>
      <c r="F1287" s="2">
        <v>2</v>
      </c>
      <c r="G1287" s="2" t="s">
        <v>9</v>
      </c>
    </row>
    <row r="1288" spans="1:8" x14ac:dyDescent="0.2">
      <c r="A1288" s="2" t="s">
        <v>3365</v>
      </c>
      <c r="B1288" s="2" t="s">
        <v>157</v>
      </c>
      <c r="C1288" s="2">
        <v>989.4357</v>
      </c>
      <c r="D1288" s="2">
        <f>HYPERLINK("http://mcb-m6.bioreg.kyushu-u.ac.jp/M3/20110411/F50904/3117/1", 36.91)</f>
        <v>36.909999999999997</v>
      </c>
      <c r="E1288" s="2">
        <v>13.28</v>
      </c>
      <c r="F1288" s="2">
        <v>2</v>
      </c>
      <c r="G1288" s="2" t="s">
        <v>9</v>
      </c>
      <c r="H1288" s="2" t="s">
        <v>4907</v>
      </c>
    </row>
    <row r="1289" spans="1:8" x14ac:dyDescent="0.2">
      <c r="A1289" s="2" t="s">
        <v>3365</v>
      </c>
      <c r="B1289" s="2" t="s">
        <v>310</v>
      </c>
      <c r="C1289" s="2">
        <v>978.9606</v>
      </c>
      <c r="D1289" s="2">
        <f>HYPERLINK("http://mcb-m6.bioreg.kyushu-u.ac.jp/M3/20110411/F50891/3358/1", 39.47)</f>
        <v>39.47</v>
      </c>
      <c r="E1289" s="2">
        <v>33.61</v>
      </c>
      <c r="F1289" s="2">
        <v>2</v>
      </c>
      <c r="G1289" s="2" t="s">
        <v>9</v>
      </c>
    </row>
    <row r="1290" spans="1:8" x14ac:dyDescent="0.2">
      <c r="A1290" s="2" t="s">
        <v>3365</v>
      </c>
      <c r="B1290" s="2" t="s">
        <v>310</v>
      </c>
      <c r="C1290" s="2">
        <v>979.10569999999996</v>
      </c>
      <c r="D1290" s="2">
        <f>HYPERLINK("http://mcb-m6.bioreg.kyushu-u.ac.jp/M3/20110411/F50915/3203/1", 41.39)</f>
        <v>41.39</v>
      </c>
      <c r="E1290" s="2">
        <v>22.14</v>
      </c>
      <c r="F1290" s="2">
        <v>2</v>
      </c>
      <c r="G1290" s="2" t="s">
        <v>9</v>
      </c>
    </row>
    <row r="1291" spans="1:8" x14ac:dyDescent="0.2">
      <c r="A1291" s="2" t="s">
        <v>3365</v>
      </c>
      <c r="B1291" s="2" t="s">
        <v>310</v>
      </c>
      <c r="C1291" s="2">
        <v>979.11360000000002</v>
      </c>
      <c r="D1291" s="2">
        <f>HYPERLINK("http://mcb-m6.bioreg.kyushu-u.ac.jp/M3/20110411/F50916/3042/1", 42.07)</f>
        <v>42.07</v>
      </c>
      <c r="E1291" s="2">
        <v>37.340000000000003</v>
      </c>
      <c r="F1291" s="2">
        <v>2</v>
      </c>
      <c r="G1291" s="2" t="s">
        <v>9</v>
      </c>
    </row>
    <row r="1292" spans="1:8" x14ac:dyDescent="0.2">
      <c r="A1292" s="2" t="s">
        <v>3365</v>
      </c>
      <c r="B1292" s="2" t="s">
        <v>157</v>
      </c>
      <c r="C1292" s="2">
        <v>989.55409999999995</v>
      </c>
      <c r="D1292" s="2">
        <f>HYPERLINK("http://mcb-m6.bioreg.kyushu-u.ac.jp/M3/20110411/F50919/2925/1", 44.26)</f>
        <v>44.26</v>
      </c>
      <c r="E1292" s="2">
        <v>24.39</v>
      </c>
      <c r="F1292" s="2">
        <v>2</v>
      </c>
      <c r="G1292" s="2" t="s">
        <v>9</v>
      </c>
      <c r="H1292" s="2" t="s">
        <v>4907</v>
      </c>
    </row>
    <row r="1293" spans="1:8" x14ac:dyDescent="0.2">
      <c r="A1293" s="2" t="s">
        <v>3365</v>
      </c>
      <c r="B1293" s="2" t="s">
        <v>157</v>
      </c>
      <c r="C1293" s="2">
        <v>981.1472</v>
      </c>
      <c r="D1293" s="2">
        <f>HYPERLINK("http://mcb-m6.bioreg.kyushu-u.ac.jp/M3/20110411/F50905/3194/1", 48.16)</f>
        <v>48.16</v>
      </c>
      <c r="E1293" s="2">
        <v>21.72</v>
      </c>
      <c r="F1293" s="2">
        <v>2</v>
      </c>
      <c r="G1293" s="2" t="s">
        <v>9</v>
      </c>
    </row>
    <row r="1294" spans="1:8" x14ac:dyDescent="0.2">
      <c r="A1294" s="2" t="s">
        <v>3365</v>
      </c>
      <c r="B1294" s="2" t="s">
        <v>157</v>
      </c>
      <c r="C1294" s="2">
        <v>981.13670000000002</v>
      </c>
      <c r="D1294" s="2">
        <f>HYPERLINK("http://mcb-m6.bioreg.kyushu-u.ac.jp/M3/20110411/F50904/3090/1", 57.14)</f>
        <v>57.14</v>
      </c>
      <c r="E1294" s="2">
        <v>36.549999999999997</v>
      </c>
      <c r="F1294" s="2">
        <v>2</v>
      </c>
      <c r="G1294" s="2" t="s">
        <v>9</v>
      </c>
    </row>
    <row r="1295" spans="1:8" x14ac:dyDescent="0.2">
      <c r="A1295" s="2" t="s">
        <v>3365</v>
      </c>
      <c r="B1295" s="2" t="s">
        <v>157</v>
      </c>
      <c r="C1295" s="2">
        <v>989.02260000000001</v>
      </c>
      <c r="D1295" s="2">
        <f>HYPERLINK("http://mcb-m6.bioreg.kyushu-u.ac.jp/M3/20110411/F50919/2921/1", 60.27)</f>
        <v>60.27</v>
      </c>
      <c r="E1295" s="2">
        <v>35.42</v>
      </c>
      <c r="F1295" s="2">
        <v>2</v>
      </c>
      <c r="G1295" s="2" t="s">
        <v>9</v>
      </c>
      <c r="H1295" s="2" t="s">
        <v>4907</v>
      </c>
    </row>
    <row r="1296" spans="1:8" x14ac:dyDescent="0.2">
      <c r="A1296" s="2" t="s">
        <v>3365</v>
      </c>
      <c r="B1296" s="2" t="s">
        <v>310</v>
      </c>
      <c r="C1296" s="2">
        <v>978.22059999999999</v>
      </c>
      <c r="D1296" s="2">
        <f>HYPERLINK("http://mcb-m6.bioreg.kyushu-u.ac.jp/M3/20110411/F50895/3118/1", 61.8)</f>
        <v>61.8</v>
      </c>
      <c r="E1296" s="2">
        <v>52.94</v>
      </c>
      <c r="F1296" s="2">
        <v>2</v>
      </c>
      <c r="G1296" s="2" t="s">
        <v>9</v>
      </c>
    </row>
    <row r="1297" spans="1:8" x14ac:dyDescent="0.2">
      <c r="A1297" s="2" t="s">
        <v>3365</v>
      </c>
      <c r="B1297" s="2" t="s">
        <v>310</v>
      </c>
      <c r="C1297" s="2">
        <v>652.5992</v>
      </c>
      <c r="D1297" s="2">
        <f>HYPERLINK("http://mcb-m6.bioreg.kyushu-u.ac.jp/M3/20110411/F50912/3070/1", 35.03)</f>
        <v>35.03</v>
      </c>
      <c r="E1297" s="2">
        <v>19.510000000000002</v>
      </c>
      <c r="F1297" s="2">
        <v>3</v>
      </c>
      <c r="G1297" s="2" t="s">
        <v>10</v>
      </c>
    </row>
    <row r="1298" spans="1:8" x14ac:dyDescent="0.2">
      <c r="A1298" s="2" t="s">
        <v>3365</v>
      </c>
      <c r="B1298" s="2" t="s">
        <v>310</v>
      </c>
      <c r="C1298" s="2">
        <v>979.09119999999996</v>
      </c>
      <c r="D1298" s="2">
        <f>HYPERLINK("http://mcb-m6.bioreg.kyushu-u.ac.jp/M3/20110411/F50914/3145/1", 35.82)</f>
        <v>35.82</v>
      </c>
      <c r="E1298" s="2">
        <v>28.11</v>
      </c>
      <c r="F1298" s="2">
        <v>2</v>
      </c>
      <c r="G1298" s="2" t="s">
        <v>10</v>
      </c>
    </row>
    <row r="1299" spans="1:8" x14ac:dyDescent="0.2">
      <c r="A1299" s="2" t="s">
        <v>3365</v>
      </c>
      <c r="B1299" s="2" t="s">
        <v>310</v>
      </c>
      <c r="C1299" s="2">
        <v>978.27560000000005</v>
      </c>
      <c r="D1299" s="2">
        <f>HYPERLINK("http://mcb-m6.bioreg.kyushu-u.ac.jp/M3/20110411/F50912/3069/1", 37.89)</f>
        <v>37.89</v>
      </c>
      <c r="E1299" s="2">
        <v>20.84</v>
      </c>
      <c r="F1299" s="2">
        <v>2</v>
      </c>
      <c r="G1299" s="2" t="s">
        <v>10</v>
      </c>
    </row>
    <row r="1300" spans="1:8" x14ac:dyDescent="0.2">
      <c r="A1300" s="2" t="s">
        <v>3365</v>
      </c>
      <c r="B1300" s="2" t="s">
        <v>157</v>
      </c>
      <c r="C1300" s="2">
        <v>981.12220000000002</v>
      </c>
      <c r="D1300" s="2">
        <f>HYPERLINK("http://mcb-m6.bioreg.kyushu-u.ac.jp/M3/20110411/F50912/3079/1", 38.64)</f>
        <v>38.64</v>
      </c>
      <c r="E1300" s="2">
        <v>22.66</v>
      </c>
      <c r="F1300" s="2">
        <v>2</v>
      </c>
      <c r="G1300" s="2" t="s">
        <v>10</v>
      </c>
    </row>
    <row r="1301" spans="1:8" x14ac:dyDescent="0.2">
      <c r="A1301" s="2" t="s">
        <v>3365</v>
      </c>
      <c r="B1301" s="2" t="s">
        <v>310</v>
      </c>
      <c r="C1301" s="2">
        <v>978.17570000000001</v>
      </c>
      <c r="D1301" s="2">
        <f>HYPERLINK("http://mcb-m6.bioreg.kyushu-u.ac.jp/M3/20110411/F50921/2895/1", 41.7)</f>
        <v>41.7</v>
      </c>
      <c r="E1301" s="2">
        <v>35.9</v>
      </c>
      <c r="F1301" s="2">
        <v>2</v>
      </c>
      <c r="G1301" s="2" t="s">
        <v>10</v>
      </c>
    </row>
    <row r="1302" spans="1:8" x14ac:dyDescent="0.2">
      <c r="A1302" s="2" t="s">
        <v>3365</v>
      </c>
      <c r="B1302" s="2" t="s">
        <v>310</v>
      </c>
      <c r="C1302" s="2">
        <v>978.20010000000002</v>
      </c>
      <c r="D1302" s="2">
        <f>HYPERLINK("http://mcb-m6.bioreg.kyushu-u.ac.jp/M3/20110411/F50913/3100/1", 42.44)</f>
        <v>42.44</v>
      </c>
      <c r="E1302" s="2">
        <v>33.11</v>
      </c>
      <c r="F1302" s="2">
        <v>2</v>
      </c>
      <c r="G1302" s="2" t="s">
        <v>10</v>
      </c>
    </row>
    <row r="1303" spans="1:8" x14ac:dyDescent="0.2">
      <c r="A1303" s="2" t="s">
        <v>3365</v>
      </c>
      <c r="B1303" s="2" t="s">
        <v>157</v>
      </c>
      <c r="C1303" s="2">
        <v>981.03369999999995</v>
      </c>
      <c r="D1303" s="2">
        <f>HYPERLINK("http://mcb-m6.bioreg.kyushu-u.ac.jp/M3/20110411/F50921/2904/1", 46.04)</f>
        <v>46.04</v>
      </c>
      <c r="E1303" s="2">
        <v>20.52</v>
      </c>
      <c r="F1303" s="2">
        <v>2</v>
      </c>
      <c r="G1303" s="2" t="s">
        <v>10</v>
      </c>
    </row>
    <row r="1304" spans="1:8" x14ac:dyDescent="0.2">
      <c r="A1304" s="2" t="s">
        <v>3365</v>
      </c>
      <c r="B1304" s="2" t="s">
        <v>157</v>
      </c>
      <c r="C1304" s="2">
        <v>981.07259999999997</v>
      </c>
      <c r="D1304" s="2">
        <f>HYPERLINK("http://mcb-m6.bioreg.kyushu-u.ac.jp/M3/20110411/F50921/2907/1", 46.27)</f>
        <v>46.27</v>
      </c>
      <c r="E1304" s="2">
        <v>25.97</v>
      </c>
      <c r="F1304" s="2">
        <v>2</v>
      </c>
      <c r="G1304" s="2" t="s">
        <v>10</v>
      </c>
    </row>
    <row r="1305" spans="1:8" x14ac:dyDescent="0.2">
      <c r="A1305" s="2" t="s">
        <v>3365</v>
      </c>
      <c r="B1305" s="2" t="s">
        <v>310</v>
      </c>
      <c r="C1305" s="2">
        <v>978.22019999999998</v>
      </c>
      <c r="D1305" s="2">
        <f>HYPERLINK("http://mcb-m6.bioreg.kyushu-u.ac.jp/M3/20110411/F50899/2837/1", 47.32)</f>
        <v>47.32</v>
      </c>
      <c r="E1305" s="2">
        <v>38.51</v>
      </c>
      <c r="F1305" s="2">
        <v>2</v>
      </c>
      <c r="G1305" s="2" t="s">
        <v>10</v>
      </c>
    </row>
    <row r="1306" spans="1:8" x14ac:dyDescent="0.2">
      <c r="A1306" s="2" t="s">
        <v>3365</v>
      </c>
      <c r="B1306" s="2" t="s">
        <v>310</v>
      </c>
      <c r="C1306" s="2">
        <v>978.18370000000004</v>
      </c>
      <c r="D1306" s="2">
        <f>HYPERLINK("http://mcb-m6.bioreg.kyushu-u.ac.jp/M3/20110411/F50912/3068/1", 48.27)</f>
        <v>48.27</v>
      </c>
      <c r="E1306" s="2">
        <v>37.28</v>
      </c>
      <c r="F1306" s="2">
        <v>2</v>
      </c>
      <c r="G1306" s="2" t="s">
        <v>10</v>
      </c>
    </row>
    <row r="1307" spans="1:8" x14ac:dyDescent="0.2">
      <c r="A1307" s="2" t="s">
        <v>3365</v>
      </c>
      <c r="B1307" s="2" t="s">
        <v>157</v>
      </c>
      <c r="C1307" s="2">
        <v>981.0077</v>
      </c>
      <c r="D1307" s="2">
        <f>HYPERLINK("http://mcb-m6.bioreg.kyushu-u.ac.jp/M3/20110411/F50914/3151/1", 50.11)</f>
        <v>50.11</v>
      </c>
      <c r="E1307" s="2">
        <v>40</v>
      </c>
      <c r="F1307" s="2">
        <v>2</v>
      </c>
      <c r="G1307" s="2" t="s">
        <v>10</v>
      </c>
    </row>
    <row r="1308" spans="1:8" x14ac:dyDescent="0.2">
      <c r="A1308" s="2" t="s">
        <v>3365</v>
      </c>
      <c r="B1308" s="2" t="s">
        <v>157</v>
      </c>
      <c r="C1308" s="2">
        <v>989.0172</v>
      </c>
      <c r="D1308" s="2">
        <f>HYPERLINK("http://mcb-m6.bioreg.kyushu-u.ac.jp/M3/20110411/F50921/2935/1", 50.78)</f>
        <v>50.78</v>
      </c>
      <c r="E1308" s="2">
        <v>33.31</v>
      </c>
      <c r="F1308" s="2">
        <v>2</v>
      </c>
      <c r="G1308" s="2" t="s">
        <v>10</v>
      </c>
      <c r="H1308" s="2" t="s">
        <v>4907</v>
      </c>
    </row>
    <row r="1309" spans="1:8" x14ac:dyDescent="0.2">
      <c r="A1309" s="2" t="s">
        <v>3365</v>
      </c>
      <c r="B1309" s="2" t="s">
        <v>310</v>
      </c>
      <c r="C1309" s="2">
        <v>978.73170000000005</v>
      </c>
      <c r="D1309" s="2">
        <f>HYPERLINK("http://mcb-m6.bioreg.kyushu-u.ac.jp/M3/20110411/F50901/2964/1", 51.22)</f>
        <v>51.22</v>
      </c>
      <c r="E1309" s="2">
        <v>42.54</v>
      </c>
      <c r="F1309" s="2">
        <v>2</v>
      </c>
      <c r="G1309" s="2" t="s">
        <v>10</v>
      </c>
    </row>
    <row r="1310" spans="1:8" x14ac:dyDescent="0.2">
      <c r="A1310" s="2" t="s">
        <v>3365</v>
      </c>
      <c r="B1310" s="2" t="s">
        <v>157</v>
      </c>
      <c r="C1310" s="2">
        <v>981.05409999999995</v>
      </c>
      <c r="D1310" s="2">
        <f>HYPERLINK("http://mcb-m6.bioreg.kyushu-u.ac.jp/M3/20110411/F50921/2905/1", 59.66)</f>
        <v>59.66</v>
      </c>
      <c r="E1310" s="2">
        <v>41.51</v>
      </c>
      <c r="F1310" s="2">
        <v>2</v>
      </c>
      <c r="G1310" s="2" t="s">
        <v>10</v>
      </c>
    </row>
    <row r="1311" spans="1:8" x14ac:dyDescent="0.2">
      <c r="A1311" s="2" t="s">
        <v>3365</v>
      </c>
      <c r="B1311" s="2" t="s">
        <v>310</v>
      </c>
      <c r="C1311" s="2">
        <v>978.56370000000004</v>
      </c>
      <c r="D1311" s="2">
        <f>HYPERLINK("http://mcb-m6.bioreg.kyushu-u.ac.jp/M3/20110414/F50941/3384/1", 36)</f>
        <v>36</v>
      </c>
      <c r="E1311" s="2">
        <v>29.14</v>
      </c>
      <c r="F1311" s="2">
        <v>2</v>
      </c>
      <c r="G1311" s="2" t="s">
        <v>11</v>
      </c>
    </row>
    <row r="1312" spans="1:8" x14ac:dyDescent="0.2">
      <c r="A1312" s="2" t="s">
        <v>3365</v>
      </c>
      <c r="B1312" s="2" t="s">
        <v>157</v>
      </c>
      <c r="C1312" s="2">
        <v>981.21169999999995</v>
      </c>
      <c r="D1312" s="2">
        <f>HYPERLINK("http://mcb-m6.bioreg.kyushu-u.ac.jp/M3/20110414/F50962/2985/1", 36.75)</f>
        <v>36.75</v>
      </c>
      <c r="E1312" s="2">
        <v>21.17</v>
      </c>
      <c r="F1312" s="2">
        <v>2</v>
      </c>
      <c r="G1312" s="2" t="s">
        <v>11</v>
      </c>
    </row>
    <row r="1313" spans="1:8" x14ac:dyDescent="0.2">
      <c r="A1313" s="2" t="s">
        <v>3365</v>
      </c>
      <c r="B1313" s="2" t="s">
        <v>157</v>
      </c>
      <c r="C1313" s="2">
        <v>981.47519999999997</v>
      </c>
      <c r="D1313" s="2">
        <f>HYPERLINK("http://mcb-m6.bioreg.kyushu-u.ac.jp/M3/20110414/F50962/2988/1", 42.24)</f>
        <v>42.24</v>
      </c>
      <c r="E1313" s="2">
        <v>25.96</v>
      </c>
      <c r="F1313" s="2">
        <v>2</v>
      </c>
      <c r="G1313" s="2" t="s">
        <v>11</v>
      </c>
    </row>
    <row r="1314" spans="1:8" x14ac:dyDescent="0.2">
      <c r="A1314" s="2" t="s">
        <v>3365</v>
      </c>
      <c r="B1314" s="2" t="s">
        <v>157</v>
      </c>
      <c r="C1314" s="2">
        <v>988.76120000000003</v>
      </c>
      <c r="D1314" s="2">
        <f>HYPERLINK("http://mcb-m6.bioreg.kyushu-u.ac.jp/M3/20110414/F50962/3017/1", 42.34)</f>
        <v>42.34</v>
      </c>
      <c r="E1314" s="2">
        <v>24.04</v>
      </c>
      <c r="F1314" s="2">
        <v>2</v>
      </c>
      <c r="G1314" s="2" t="s">
        <v>11</v>
      </c>
      <c r="H1314" s="2" t="s">
        <v>4907</v>
      </c>
    </row>
    <row r="1315" spans="1:8" x14ac:dyDescent="0.2">
      <c r="A1315" s="2" t="s">
        <v>3365</v>
      </c>
      <c r="B1315" s="2" t="s">
        <v>157</v>
      </c>
      <c r="C1315" s="2">
        <v>981.37070000000006</v>
      </c>
      <c r="D1315" s="2">
        <f>HYPERLINK("http://mcb-m6.bioreg.kyushu-u.ac.jp/M3/20110414/F50962/2987/1", 43.65)</f>
        <v>43.65</v>
      </c>
      <c r="E1315" s="2">
        <v>29.38</v>
      </c>
      <c r="F1315" s="2">
        <v>2</v>
      </c>
      <c r="G1315" s="2" t="s">
        <v>11</v>
      </c>
    </row>
    <row r="1316" spans="1:8" x14ac:dyDescent="0.2">
      <c r="A1316" s="2" t="s">
        <v>3365</v>
      </c>
      <c r="B1316" s="2" t="s">
        <v>157</v>
      </c>
      <c r="C1316" s="2">
        <v>980.95169999999996</v>
      </c>
      <c r="D1316" s="2">
        <f>HYPERLINK("http://mcb-m6.bioreg.kyushu-u.ac.jp/M3/20110414/F50962/2983/1", 44.65)</f>
        <v>44.65</v>
      </c>
      <c r="E1316" s="2">
        <v>25.77</v>
      </c>
      <c r="F1316" s="2">
        <v>2</v>
      </c>
      <c r="G1316" s="2" t="s">
        <v>11</v>
      </c>
    </row>
    <row r="1317" spans="1:8" x14ac:dyDescent="0.2">
      <c r="A1317" s="2" t="s">
        <v>3365</v>
      </c>
      <c r="B1317" s="2" t="s">
        <v>157</v>
      </c>
      <c r="C1317" s="2">
        <v>981.18619999999999</v>
      </c>
      <c r="D1317" s="2">
        <f>HYPERLINK("http://mcb-m6.bioreg.kyushu-u.ac.jp/M3/20110414/F50962/2984/1", 50.33)</f>
        <v>50.33</v>
      </c>
      <c r="E1317" s="2">
        <v>32.67</v>
      </c>
      <c r="F1317" s="2">
        <v>2</v>
      </c>
      <c r="G1317" s="2" t="s">
        <v>11</v>
      </c>
    </row>
    <row r="1318" spans="1:8" x14ac:dyDescent="0.2">
      <c r="A1318" s="2" t="s">
        <v>3365</v>
      </c>
      <c r="B1318" s="2" t="s">
        <v>157</v>
      </c>
      <c r="C1318" s="2">
        <v>981.31320000000005</v>
      </c>
      <c r="D1318" s="2">
        <f>HYPERLINK("http://mcb-m6.bioreg.kyushu-u.ac.jp/M3/20110414/F50962/2986/1", 52.39)</f>
        <v>52.39</v>
      </c>
      <c r="E1318" s="2">
        <v>31.64</v>
      </c>
      <c r="F1318" s="2">
        <v>2</v>
      </c>
      <c r="G1318" s="2" t="s">
        <v>11</v>
      </c>
    </row>
    <row r="1319" spans="1:8" x14ac:dyDescent="0.2">
      <c r="A1319" s="2" t="s">
        <v>3365</v>
      </c>
      <c r="B1319" s="2" t="s">
        <v>157</v>
      </c>
      <c r="C1319" s="2">
        <v>980.7672</v>
      </c>
      <c r="D1319" s="2">
        <f>HYPERLINK("http://mcb-m6.bioreg.kyushu-u.ac.jp/M3/20110414/F50962/2979/1", 57.12)</f>
        <v>57.12</v>
      </c>
      <c r="E1319" s="2">
        <v>40.85</v>
      </c>
      <c r="F1319" s="2">
        <v>2</v>
      </c>
      <c r="G1319" s="2" t="s">
        <v>11</v>
      </c>
    </row>
    <row r="1320" spans="1:8" x14ac:dyDescent="0.2">
      <c r="A1320" s="2" t="s">
        <v>3365</v>
      </c>
      <c r="B1320" s="2" t="s">
        <v>157</v>
      </c>
      <c r="C1320" s="2">
        <v>980.8691</v>
      </c>
      <c r="D1320" s="2">
        <f>HYPERLINK("http://mcb-m6.bioreg.kyushu-u.ac.jp/M3/20110414/F50962/2981/1", 57.3)</f>
        <v>57.3</v>
      </c>
      <c r="E1320" s="2">
        <v>44.6</v>
      </c>
      <c r="F1320" s="2">
        <v>2</v>
      </c>
      <c r="G1320" s="2" t="s">
        <v>11</v>
      </c>
    </row>
    <row r="1321" spans="1:8" x14ac:dyDescent="0.2">
      <c r="A1321" s="2" t="s">
        <v>3365</v>
      </c>
      <c r="B1321" s="2" t="s">
        <v>157</v>
      </c>
      <c r="C1321" s="2">
        <v>981.33669999999995</v>
      </c>
      <c r="D1321" s="2">
        <f>HYPERLINK("http://mcb-m6.bioreg.kyushu-u.ac.jp/M3/20110414/F50966/2747/1", 35.59)</f>
        <v>35.590000000000003</v>
      </c>
      <c r="E1321" s="2">
        <v>16.5</v>
      </c>
      <c r="F1321" s="2">
        <v>2</v>
      </c>
      <c r="G1321" s="2" t="s">
        <v>12</v>
      </c>
    </row>
    <row r="1322" spans="1:8" x14ac:dyDescent="0.2">
      <c r="A1322" s="2" t="s">
        <v>3365</v>
      </c>
      <c r="B1322" s="2" t="s">
        <v>157</v>
      </c>
      <c r="C1322" s="2">
        <v>980.59519999999998</v>
      </c>
      <c r="D1322" s="2">
        <f>HYPERLINK("http://mcb-m6.bioreg.kyushu-u.ac.jp/M3/20110414/F50966/2739/1", 38.98)</f>
        <v>38.979999999999997</v>
      </c>
      <c r="E1322" s="2">
        <v>15.85</v>
      </c>
      <c r="F1322" s="2">
        <v>2</v>
      </c>
      <c r="G1322" s="2" t="s">
        <v>12</v>
      </c>
    </row>
    <row r="1323" spans="1:8" x14ac:dyDescent="0.2">
      <c r="A1323" s="2" t="s">
        <v>3365</v>
      </c>
      <c r="B1323" s="2" t="s">
        <v>157</v>
      </c>
      <c r="C1323" s="2">
        <v>981.23170000000005</v>
      </c>
      <c r="D1323" s="2">
        <f>HYPERLINK("http://mcb-m6.bioreg.kyushu-u.ac.jp/M3/20110414/F50963/3027/1", 40.81)</f>
        <v>40.81</v>
      </c>
      <c r="E1323" s="2">
        <v>18.07</v>
      </c>
      <c r="F1323" s="2">
        <v>2</v>
      </c>
      <c r="G1323" s="2" t="s">
        <v>12</v>
      </c>
    </row>
    <row r="1324" spans="1:8" x14ac:dyDescent="0.2">
      <c r="A1324" s="2" t="s">
        <v>3365</v>
      </c>
      <c r="B1324" s="2" t="s">
        <v>157</v>
      </c>
      <c r="C1324" s="2">
        <v>980.80020000000002</v>
      </c>
      <c r="D1324" s="2">
        <f>HYPERLINK("http://mcb-m6.bioreg.kyushu-u.ac.jp/M3/20110414/F50966/2741/1", 46.48)</f>
        <v>46.48</v>
      </c>
      <c r="E1324" s="2">
        <v>22.71</v>
      </c>
      <c r="F1324" s="2">
        <v>2</v>
      </c>
      <c r="G1324" s="2" t="s">
        <v>12</v>
      </c>
    </row>
    <row r="1325" spans="1:8" x14ac:dyDescent="0.2">
      <c r="A1325" s="2" t="s">
        <v>3365</v>
      </c>
      <c r="B1325" s="2" t="s">
        <v>157</v>
      </c>
      <c r="C1325" s="2">
        <v>981.15419999999995</v>
      </c>
      <c r="D1325" s="2">
        <f>HYPERLINK("http://mcb-m6.bioreg.kyushu-u.ac.jp/M3/20110414/F50966/2745/1", 47.45)</f>
        <v>47.45</v>
      </c>
      <c r="E1325" s="2">
        <v>23.35</v>
      </c>
      <c r="F1325" s="2">
        <v>2</v>
      </c>
      <c r="G1325" s="2" t="s">
        <v>12</v>
      </c>
    </row>
    <row r="1326" spans="1:8" x14ac:dyDescent="0.2">
      <c r="A1326" s="2" t="s">
        <v>3365</v>
      </c>
      <c r="B1326" s="2" t="s">
        <v>157</v>
      </c>
      <c r="C1326" s="2">
        <v>981.2482</v>
      </c>
      <c r="D1326" s="2">
        <f>HYPERLINK("http://mcb-m6.bioreg.kyushu-u.ac.jp/M3/20110414/F50963/3028/1", 48.82)</f>
        <v>48.82</v>
      </c>
      <c r="E1326" s="2">
        <v>30.11</v>
      </c>
      <c r="F1326" s="2">
        <v>2</v>
      </c>
      <c r="G1326" s="2" t="s">
        <v>12</v>
      </c>
    </row>
    <row r="1327" spans="1:8" x14ac:dyDescent="0.2">
      <c r="A1327" s="2" t="s">
        <v>3365</v>
      </c>
      <c r="B1327" s="2" t="s">
        <v>157</v>
      </c>
      <c r="C1327" s="2">
        <v>988.81370000000004</v>
      </c>
      <c r="D1327" s="2">
        <f>HYPERLINK("http://mcb-m6.bioreg.kyushu-u.ac.jp/M3/20110414/F50963/3061/1", 49.39)</f>
        <v>49.39</v>
      </c>
      <c r="E1327" s="2">
        <v>32.58</v>
      </c>
      <c r="F1327" s="2">
        <v>2</v>
      </c>
      <c r="G1327" s="2" t="s">
        <v>12</v>
      </c>
      <c r="H1327" s="2" t="s">
        <v>4907</v>
      </c>
    </row>
    <row r="1328" spans="1:8" x14ac:dyDescent="0.2">
      <c r="A1328" s="2" t="s">
        <v>3365</v>
      </c>
      <c r="B1328" s="2" t="s">
        <v>157</v>
      </c>
      <c r="C1328" s="2">
        <v>980.91920000000005</v>
      </c>
      <c r="D1328" s="2">
        <f>HYPERLINK("http://mcb-m6.bioreg.kyushu-u.ac.jp/M3/20110414/F50963/3023/1", 52.98)</f>
        <v>52.98</v>
      </c>
      <c r="E1328" s="2">
        <v>26.5</v>
      </c>
      <c r="F1328" s="2">
        <v>2</v>
      </c>
      <c r="G1328" s="2" t="s">
        <v>12</v>
      </c>
    </row>
    <row r="1329" spans="1:7" x14ac:dyDescent="0.2">
      <c r="A1329" s="2" t="s">
        <v>3365</v>
      </c>
      <c r="B1329" s="2" t="s">
        <v>157</v>
      </c>
      <c r="C1329" s="2">
        <v>981.37570000000005</v>
      </c>
      <c r="D1329" s="2">
        <f>HYPERLINK("http://mcb-m6.bioreg.kyushu-u.ac.jp/M3/20110414/F50966/2748/1", 54.18)</f>
        <v>54.18</v>
      </c>
      <c r="E1329" s="2">
        <v>33.520000000000003</v>
      </c>
      <c r="F1329" s="2">
        <v>2</v>
      </c>
      <c r="G1329" s="2" t="s">
        <v>12</v>
      </c>
    </row>
    <row r="1330" spans="1:7" x14ac:dyDescent="0.2">
      <c r="A1330" s="2" t="s">
        <v>3365</v>
      </c>
      <c r="B1330" s="2" t="s">
        <v>157</v>
      </c>
      <c r="C1330" s="2">
        <v>981.02120000000002</v>
      </c>
      <c r="D1330" s="2">
        <f>HYPERLINK("http://mcb-m6.bioreg.kyushu-u.ac.jp/M3/20110414/F50966/2744/1", 55.65)</f>
        <v>55.65</v>
      </c>
      <c r="E1330" s="2">
        <v>38.119999999999997</v>
      </c>
      <c r="F1330" s="2">
        <v>2</v>
      </c>
      <c r="G1330" s="2" t="s">
        <v>12</v>
      </c>
    </row>
    <row r="1331" spans="1:7" x14ac:dyDescent="0.2">
      <c r="A1331" s="2" t="s">
        <v>3365</v>
      </c>
      <c r="B1331" s="2" t="s">
        <v>157</v>
      </c>
      <c r="C1331" s="2">
        <v>980.81569999999999</v>
      </c>
      <c r="D1331" s="2">
        <f>HYPERLINK("http://mcb-m6.bioreg.kyushu-u.ac.jp/M3/20110414/F50963/3022/1", 56.33)</f>
        <v>56.33</v>
      </c>
      <c r="E1331" s="2">
        <v>37.04</v>
      </c>
      <c r="F1331" s="2">
        <v>2</v>
      </c>
      <c r="G1331" s="2" t="s">
        <v>12</v>
      </c>
    </row>
    <row r="1332" spans="1:7" x14ac:dyDescent="0.2">
      <c r="A1332" s="2" t="s">
        <v>3365</v>
      </c>
      <c r="B1332" s="2" t="s">
        <v>157</v>
      </c>
      <c r="C1332" s="2">
        <v>981.40060000000005</v>
      </c>
      <c r="D1332" s="2">
        <f>HYPERLINK("http://mcb-m6.bioreg.kyushu-u.ac.jp/M3/20110414/F50963/3030/1", 58.47)</f>
        <v>58.47</v>
      </c>
      <c r="E1332" s="2">
        <v>41.79</v>
      </c>
      <c r="F1332" s="2">
        <v>2</v>
      </c>
      <c r="G1332" s="2" t="s">
        <v>12</v>
      </c>
    </row>
    <row r="1333" spans="1:7" x14ac:dyDescent="0.2">
      <c r="A1333" s="2" t="s">
        <v>3365</v>
      </c>
      <c r="B1333" s="2" t="s">
        <v>157</v>
      </c>
      <c r="C1333" s="2">
        <v>981.29060000000004</v>
      </c>
      <c r="D1333" s="2">
        <f>HYPERLINK("http://mcb-m6.bioreg.kyushu-u.ac.jp/M3/20110414/F50963/3029/1", 61.4)</f>
        <v>61.4</v>
      </c>
      <c r="E1333" s="2">
        <v>36.82</v>
      </c>
      <c r="F1333" s="2">
        <v>2</v>
      </c>
      <c r="G1333" s="2" t="s">
        <v>12</v>
      </c>
    </row>
    <row r="1334" spans="1:7" x14ac:dyDescent="0.2">
      <c r="A1334" s="2" t="s">
        <v>3365</v>
      </c>
      <c r="B1334" s="2" t="s">
        <v>310</v>
      </c>
      <c r="C1334" s="2">
        <v>978.70169999999996</v>
      </c>
      <c r="D1334" s="2">
        <f>HYPERLINK("http://mcb-m6.bioreg.kyushu-u.ac.jp/M3/20110502/F51169/2941/1", 35.36)</f>
        <v>35.36</v>
      </c>
      <c r="E1334" s="2">
        <v>22.31</v>
      </c>
      <c r="F1334" s="2">
        <v>2</v>
      </c>
      <c r="G1334" s="2" t="s">
        <v>13</v>
      </c>
    </row>
    <row r="1335" spans="1:7" x14ac:dyDescent="0.2">
      <c r="A1335" s="2" t="s">
        <v>3365</v>
      </c>
      <c r="B1335" s="2" t="s">
        <v>310</v>
      </c>
      <c r="C1335" s="2">
        <v>652.47749999999996</v>
      </c>
      <c r="D1335" s="2">
        <f>HYPERLINK("http://mcb-m6.bioreg.kyushu-u.ac.jp/M3/20110502/F51187/2711/1", 38.39)</f>
        <v>38.39</v>
      </c>
      <c r="E1335" s="2">
        <v>27.68</v>
      </c>
      <c r="F1335" s="2">
        <v>3</v>
      </c>
      <c r="G1335" s="2" t="s">
        <v>13</v>
      </c>
    </row>
    <row r="1336" spans="1:7" x14ac:dyDescent="0.2">
      <c r="A1336" s="2" t="s">
        <v>3365</v>
      </c>
      <c r="B1336" s="2" t="s">
        <v>310</v>
      </c>
      <c r="C1336" s="2">
        <v>978.29520000000002</v>
      </c>
      <c r="D1336" s="2">
        <f>HYPERLINK("http://mcb-m6.bioreg.kyushu-u.ac.jp/M3/20110502/F51187/2714/1", 39.49)</f>
        <v>39.49</v>
      </c>
      <c r="E1336" s="2">
        <v>29.63</v>
      </c>
      <c r="F1336" s="2">
        <v>2</v>
      </c>
      <c r="G1336" s="2" t="s">
        <v>13</v>
      </c>
    </row>
    <row r="1337" spans="1:7" x14ac:dyDescent="0.2">
      <c r="A1337" s="2" t="s">
        <v>3365</v>
      </c>
      <c r="B1337" s="2" t="s">
        <v>310</v>
      </c>
      <c r="C1337" s="2">
        <v>978.62459999999999</v>
      </c>
      <c r="D1337" s="2">
        <f>HYPERLINK("http://mcb-m6.bioreg.kyushu-u.ac.jp/M3/20110502/F51171/2912/1", 40.69)</f>
        <v>40.69</v>
      </c>
      <c r="E1337" s="2">
        <v>31.72</v>
      </c>
      <c r="F1337" s="2">
        <v>2</v>
      </c>
      <c r="G1337" s="2" t="s">
        <v>13</v>
      </c>
    </row>
    <row r="1338" spans="1:7" x14ac:dyDescent="0.2">
      <c r="A1338" s="2" t="s">
        <v>3365</v>
      </c>
      <c r="B1338" s="2" t="s">
        <v>310</v>
      </c>
      <c r="C1338" s="2">
        <v>652.56020000000001</v>
      </c>
      <c r="D1338" s="2">
        <f>HYPERLINK("http://mcb-m6.bioreg.kyushu-u.ac.jp/M3/20110502/F51187/2715/1", 47.49)</f>
        <v>47.49</v>
      </c>
      <c r="E1338" s="2">
        <v>33.97</v>
      </c>
      <c r="F1338" s="2">
        <v>3</v>
      </c>
      <c r="G1338" s="2" t="s">
        <v>13</v>
      </c>
    </row>
    <row r="1339" spans="1:7" x14ac:dyDescent="0.2">
      <c r="A1339" s="2" t="s">
        <v>3365</v>
      </c>
      <c r="B1339" s="2" t="s">
        <v>157</v>
      </c>
      <c r="C1339" s="2">
        <v>981.09310000000005</v>
      </c>
      <c r="D1339" s="2">
        <f>HYPERLINK("http://mcb-m6.bioreg.kyushu-u.ac.jp/M3/20110502/F51187/2724/1", 48.46)</f>
        <v>48.46</v>
      </c>
      <c r="E1339" s="2">
        <v>30.22</v>
      </c>
      <c r="F1339" s="2">
        <v>2</v>
      </c>
      <c r="G1339" s="2" t="s">
        <v>13</v>
      </c>
    </row>
    <row r="1340" spans="1:7" x14ac:dyDescent="0.2">
      <c r="A1340" s="2" t="s">
        <v>3365</v>
      </c>
      <c r="B1340" s="2" t="s">
        <v>157</v>
      </c>
      <c r="C1340" s="2">
        <v>981.26070000000004</v>
      </c>
      <c r="D1340" s="2">
        <f>HYPERLINK("http://mcb-m6.bioreg.kyushu-u.ac.jp/M3/20110502/F51188/2724/1", 51.18)</f>
        <v>51.18</v>
      </c>
      <c r="E1340" s="2">
        <v>36.79</v>
      </c>
      <c r="F1340" s="2">
        <v>2</v>
      </c>
      <c r="G1340" s="2" t="s">
        <v>13</v>
      </c>
    </row>
    <row r="1341" spans="1:7" x14ac:dyDescent="0.2">
      <c r="A1341" s="2" t="s">
        <v>3365</v>
      </c>
      <c r="B1341" s="2" t="s">
        <v>310</v>
      </c>
      <c r="C1341" s="2">
        <v>978.2722</v>
      </c>
      <c r="D1341" s="2">
        <f>HYPERLINK("http://mcb-m6.bioreg.kyushu-u.ac.jp/M3/20110502/F51173/3104/1", 51.45)</f>
        <v>51.45</v>
      </c>
      <c r="E1341" s="2">
        <v>45.25</v>
      </c>
      <c r="F1341" s="2">
        <v>2</v>
      </c>
      <c r="G1341" s="2" t="s">
        <v>13</v>
      </c>
    </row>
    <row r="1342" spans="1:7" x14ac:dyDescent="0.2">
      <c r="A1342" s="2" t="s">
        <v>3365</v>
      </c>
      <c r="B1342" s="2" t="s">
        <v>310</v>
      </c>
      <c r="C1342" s="2">
        <v>978.50319999999999</v>
      </c>
      <c r="D1342" s="2">
        <f>HYPERLINK("http://mcb-m6.bioreg.kyushu-u.ac.jp/M3/20110502/F51189/2680/1", 61.98)</f>
        <v>61.98</v>
      </c>
      <c r="E1342" s="2">
        <v>49.88</v>
      </c>
      <c r="F1342" s="2">
        <v>2</v>
      </c>
      <c r="G1342" s="2" t="s">
        <v>13</v>
      </c>
    </row>
    <row r="1343" spans="1:7" x14ac:dyDescent="0.2">
      <c r="A1343" s="2" t="s">
        <v>3365</v>
      </c>
      <c r="B1343" s="2" t="s">
        <v>310</v>
      </c>
      <c r="C1343" s="2">
        <v>978.23170000000005</v>
      </c>
      <c r="D1343" s="2">
        <f>HYPERLINK("http://mcb-m6.bioreg.kyushu-u.ac.jp/M3/20110502/F51177/3026/1", 37.54)</f>
        <v>37.54</v>
      </c>
      <c r="E1343" s="2">
        <v>29.34</v>
      </c>
      <c r="F1343" s="2">
        <v>2</v>
      </c>
      <c r="G1343" s="2" t="s">
        <v>14</v>
      </c>
    </row>
    <row r="1344" spans="1:7" x14ac:dyDescent="0.2">
      <c r="A1344" s="2" t="s">
        <v>3365</v>
      </c>
      <c r="B1344" s="2" t="s">
        <v>310</v>
      </c>
      <c r="C1344" s="2">
        <v>653.05119999999999</v>
      </c>
      <c r="D1344" s="2">
        <f>HYPERLINK("http://mcb-m6.bioreg.kyushu-u.ac.jp/M3/20110502/F51191/2770/1", 39.15)</f>
        <v>39.15</v>
      </c>
      <c r="E1344" s="2">
        <v>22.81</v>
      </c>
      <c r="F1344" s="2">
        <v>3</v>
      </c>
      <c r="G1344" s="2" t="s">
        <v>14</v>
      </c>
    </row>
    <row r="1345" spans="1:9" x14ac:dyDescent="0.2">
      <c r="A1345" s="2" t="s">
        <v>3365</v>
      </c>
      <c r="B1345" s="2" t="s">
        <v>310</v>
      </c>
      <c r="C1345" s="2">
        <v>978.2491</v>
      </c>
      <c r="D1345" s="2">
        <f>HYPERLINK("http://mcb-m6.bioreg.kyushu-u.ac.jp/M3/20110502/F51179/3037/1", 41.05)</f>
        <v>41.05</v>
      </c>
      <c r="E1345" s="2">
        <v>30.46</v>
      </c>
      <c r="F1345" s="2">
        <v>2</v>
      </c>
      <c r="G1345" s="2" t="s">
        <v>14</v>
      </c>
    </row>
    <row r="1346" spans="1:9" x14ac:dyDescent="0.2">
      <c r="A1346" s="2" t="s">
        <v>3365</v>
      </c>
      <c r="B1346" s="2" t="s">
        <v>310</v>
      </c>
      <c r="C1346" s="2">
        <v>978.3442</v>
      </c>
      <c r="D1346" s="2">
        <f>HYPERLINK("http://mcb-m6.bioreg.kyushu-u.ac.jp/M3/20110502/F51178/2981/1", 41.15)</f>
        <v>41.15</v>
      </c>
      <c r="E1346" s="2">
        <v>27.51</v>
      </c>
      <c r="F1346" s="2">
        <v>2</v>
      </c>
      <c r="G1346" s="2" t="s">
        <v>14</v>
      </c>
    </row>
    <row r="1347" spans="1:9" x14ac:dyDescent="0.2">
      <c r="A1347" s="2" t="s">
        <v>3365</v>
      </c>
      <c r="B1347" s="2" t="s">
        <v>310</v>
      </c>
      <c r="C1347" s="2">
        <v>978.36410000000001</v>
      </c>
      <c r="D1347" s="2">
        <f>HYPERLINK("http://mcb-m6.bioreg.kyushu-u.ac.jp/M3/20110502/F51193/2891/1", 42.3)</f>
        <v>42.3</v>
      </c>
      <c r="E1347" s="2">
        <v>31.74</v>
      </c>
      <c r="F1347" s="2">
        <v>2</v>
      </c>
      <c r="G1347" s="2" t="s">
        <v>14</v>
      </c>
    </row>
    <row r="1348" spans="1:9" x14ac:dyDescent="0.2">
      <c r="A1348" s="2" t="s">
        <v>3365</v>
      </c>
      <c r="B1348" s="2" t="s">
        <v>310</v>
      </c>
      <c r="C1348" s="2">
        <v>978.27419999999995</v>
      </c>
      <c r="D1348" s="2">
        <f>HYPERLINK("http://mcb-m6.bioreg.kyushu-u.ac.jp/M3/20110502/F51191/2766/1", 47.47)</f>
        <v>47.47</v>
      </c>
      <c r="E1348" s="2">
        <v>37.479999999999997</v>
      </c>
      <c r="F1348" s="2">
        <v>2</v>
      </c>
      <c r="G1348" s="2" t="s">
        <v>14</v>
      </c>
    </row>
    <row r="1349" spans="1:9" x14ac:dyDescent="0.2">
      <c r="A1349" s="2" t="s">
        <v>3365</v>
      </c>
      <c r="B1349" s="2" t="s">
        <v>310</v>
      </c>
      <c r="C1349" s="2">
        <v>979.09119999999996</v>
      </c>
      <c r="D1349" s="2">
        <f>HYPERLINK("http://mcb-m6.bioreg.kyushu-u.ac.jp/M3/20110502/F51181/2746/1", 50.13)</f>
        <v>50.13</v>
      </c>
      <c r="E1349" s="2">
        <v>40.29</v>
      </c>
      <c r="F1349" s="2">
        <v>2</v>
      </c>
      <c r="G1349" s="2" t="s">
        <v>14</v>
      </c>
    </row>
    <row r="1350" spans="1:9" x14ac:dyDescent="0.2">
      <c r="A1350" s="2" t="s">
        <v>3365</v>
      </c>
      <c r="B1350" s="2" t="s">
        <v>157</v>
      </c>
      <c r="C1350" s="2">
        <v>981.16970000000003</v>
      </c>
      <c r="D1350" s="2">
        <f>HYPERLINK("http://mcb-m6.bioreg.kyushu-u.ac.jp/M3/20110502/F51191/2778/1", 51.9)</f>
        <v>51.9</v>
      </c>
      <c r="E1350" s="2">
        <v>29.25</v>
      </c>
      <c r="F1350" s="2">
        <v>2</v>
      </c>
      <c r="G1350" s="2" t="s">
        <v>14</v>
      </c>
    </row>
    <row r="1351" spans="1:9" x14ac:dyDescent="0.2">
      <c r="A1351" s="2" t="s">
        <v>3365</v>
      </c>
      <c r="B1351" s="2" t="s">
        <v>310</v>
      </c>
      <c r="C1351" s="2">
        <v>978.82370000000003</v>
      </c>
      <c r="D1351" s="2">
        <f>HYPERLINK("http://mcb-m6.bioreg.kyushu-u.ac.jp/M3/20110502/F51191/2769/1", 53.01)</f>
        <v>53.01</v>
      </c>
      <c r="E1351" s="2">
        <v>41.95</v>
      </c>
      <c r="F1351" s="2">
        <v>2</v>
      </c>
      <c r="G1351" s="2" t="s">
        <v>14</v>
      </c>
    </row>
    <row r="1352" spans="1:9" x14ac:dyDescent="0.2">
      <c r="A1352" s="2" t="s">
        <v>3365</v>
      </c>
      <c r="B1352" s="2" t="s">
        <v>310</v>
      </c>
      <c r="C1352" s="2">
        <v>978.21770000000004</v>
      </c>
      <c r="D1352" s="2">
        <f>HYPERLINK("http://mcb-m6.bioreg.kyushu-u.ac.jp/M3/20110502/F51191/2762/1", 55.2)</f>
        <v>55.2</v>
      </c>
      <c r="E1352" s="2">
        <v>46.82</v>
      </c>
      <c r="F1352" s="2">
        <v>2</v>
      </c>
      <c r="G1352" s="2" t="s">
        <v>14</v>
      </c>
    </row>
    <row r="1353" spans="1:9" x14ac:dyDescent="0.2">
      <c r="A1353" s="2" t="s">
        <v>3365</v>
      </c>
      <c r="B1353" s="2" t="s">
        <v>310</v>
      </c>
      <c r="C1353" s="2">
        <v>978.3116</v>
      </c>
      <c r="D1353" s="2">
        <f>HYPERLINK("http://mcb-m6.bioreg.kyushu-u.ac.jp/M3/20110502/F51185/2950/1", 57.25)</f>
        <v>57.25</v>
      </c>
      <c r="E1353" s="2">
        <v>36.840000000000003</v>
      </c>
      <c r="F1353" s="2">
        <v>2</v>
      </c>
      <c r="G1353" s="2" t="s">
        <v>14</v>
      </c>
    </row>
    <row r="1354" spans="1:9" x14ac:dyDescent="0.2">
      <c r="A1354" s="2" t="s">
        <v>3365</v>
      </c>
      <c r="B1354" s="2" t="s">
        <v>310</v>
      </c>
      <c r="C1354" s="2">
        <v>978.15369999999996</v>
      </c>
      <c r="D1354" s="2">
        <f>HYPERLINK("http://mcb-m6.bioreg.kyushu-u.ac.jp/M3/20110502/F51182/3063/1", 58.31)</f>
        <v>58.31</v>
      </c>
      <c r="E1354" s="2">
        <v>47.87</v>
      </c>
      <c r="F1354" s="2">
        <v>2</v>
      </c>
      <c r="G1354" s="2" t="s">
        <v>14</v>
      </c>
    </row>
    <row r="1355" spans="1:9" x14ac:dyDescent="0.2">
      <c r="A1355" s="2" t="s">
        <v>3365</v>
      </c>
      <c r="B1355" s="2" t="s">
        <v>310</v>
      </c>
      <c r="C1355" s="2">
        <v>978.20920000000001</v>
      </c>
      <c r="D1355" s="2">
        <f>HYPERLINK("http://mcb-m6.bioreg.kyushu-u.ac.jp/M3/20110502/F51183/3051/1", 66.72)</f>
        <v>66.72</v>
      </c>
      <c r="E1355" s="2">
        <v>54.77</v>
      </c>
      <c r="F1355" s="2">
        <v>2</v>
      </c>
      <c r="G1355" s="2" t="s">
        <v>14</v>
      </c>
    </row>
    <row r="1356" spans="1:9" x14ac:dyDescent="0.2">
      <c r="A1356" s="2" t="s">
        <v>3418</v>
      </c>
      <c r="B1356" s="2" t="s">
        <v>219</v>
      </c>
      <c r="C1356" s="2">
        <v>936.85550000000001</v>
      </c>
      <c r="D1356" s="2">
        <f>HYPERLINK("http://mcb-m6.bioreg.kyushu-u.ac.jp/M3/20110411/F50919/4071/1", 38.03)</f>
        <v>38.03</v>
      </c>
      <c r="E1356" s="2">
        <v>26.42</v>
      </c>
      <c r="F1356" s="2">
        <v>3</v>
      </c>
      <c r="G1356" s="2" t="s">
        <v>9</v>
      </c>
      <c r="H1356" s="2" t="s">
        <v>4907</v>
      </c>
      <c r="I1356" s="2" t="s">
        <v>4898</v>
      </c>
    </row>
    <row r="1357" spans="1:9" x14ac:dyDescent="0.2">
      <c r="A1357" s="2" t="s">
        <v>3418</v>
      </c>
      <c r="B1357" s="2" t="s">
        <v>460</v>
      </c>
      <c r="C1357" s="2">
        <v>1276.653</v>
      </c>
      <c r="D1357" s="2">
        <f>HYPERLINK("http://mcb-m6.bioreg.kyushu-u.ac.jp/M3/20110411/F50919/3772/1", 42.38)</f>
        <v>42.38</v>
      </c>
      <c r="E1357" s="2">
        <v>36.85</v>
      </c>
      <c r="F1357" s="2">
        <v>2</v>
      </c>
      <c r="G1357" s="2" t="s">
        <v>9</v>
      </c>
      <c r="H1357" s="2" t="s">
        <v>4925</v>
      </c>
      <c r="I1357" s="2" t="s">
        <v>4890</v>
      </c>
    </row>
    <row r="1358" spans="1:9" x14ac:dyDescent="0.2">
      <c r="A1358" s="2" t="s">
        <v>3418</v>
      </c>
      <c r="B1358" s="2" t="s">
        <v>460</v>
      </c>
      <c r="C1358" s="2">
        <v>851.30409999999995</v>
      </c>
      <c r="D1358" s="2">
        <f>HYPERLINK("http://mcb-m6.bioreg.kyushu-u.ac.jp/M3/20110411/F50919/3767/1", 44.08)</f>
        <v>44.08</v>
      </c>
      <c r="E1358" s="2">
        <v>32.72</v>
      </c>
      <c r="F1358" s="2">
        <v>3</v>
      </c>
      <c r="G1358" s="2" t="s">
        <v>9</v>
      </c>
      <c r="H1358" s="2" t="s">
        <v>4925</v>
      </c>
      <c r="I1358" s="2" t="s">
        <v>4890</v>
      </c>
    </row>
    <row r="1359" spans="1:9" x14ac:dyDescent="0.2">
      <c r="A1359" s="2" t="s">
        <v>3418</v>
      </c>
      <c r="B1359" s="2" t="s">
        <v>460</v>
      </c>
      <c r="C1359" s="2">
        <v>851.30380000000002</v>
      </c>
      <c r="D1359" s="2">
        <f>HYPERLINK("http://mcb-m6.bioreg.kyushu-u.ac.jp/M3/20110411/F50919/3766/1", 44.46)</f>
        <v>44.46</v>
      </c>
      <c r="E1359" s="2">
        <v>34.01</v>
      </c>
      <c r="F1359" s="2">
        <v>3</v>
      </c>
      <c r="G1359" s="2" t="s">
        <v>9</v>
      </c>
      <c r="H1359" s="2" t="s">
        <v>4925</v>
      </c>
      <c r="I1359" s="2" t="s">
        <v>4890</v>
      </c>
    </row>
    <row r="1360" spans="1:9" x14ac:dyDescent="0.2">
      <c r="A1360" s="2" t="s">
        <v>3418</v>
      </c>
      <c r="B1360" s="2" t="s">
        <v>460</v>
      </c>
      <c r="C1360" s="2">
        <v>1276.42</v>
      </c>
      <c r="D1360" s="2">
        <f>HYPERLINK("http://mcb-m6.bioreg.kyushu-u.ac.jp/M3/20110411/F50915/4127/1", 48.39)</f>
        <v>48.39</v>
      </c>
      <c r="E1360" s="2">
        <v>43.01</v>
      </c>
      <c r="F1360" s="2">
        <v>2</v>
      </c>
      <c r="G1360" s="2" t="s">
        <v>9</v>
      </c>
      <c r="H1360" s="2" t="s">
        <v>4925</v>
      </c>
      <c r="I1360" s="2" t="s">
        <v>4890</v>
      </c>
    </row>
    <row r="1361" spans="1:9" x14ac:dyDescent="0.2">
      <c r="A1361" s="2" t="s">
        <v>3418</v>
      </c>
      <c r="B1361" s="2" t="s">
        <v>460</v>
      </c>
      <c r="C1361" s="2">
        <v>1276.681</v>
      </c>
      <c r="D1361" s="2">
        <f>HYPERLINK("http://mcb-m6.bioreg.kyushu-u.ac.jp/M3/20110411/F50913/3808/1", 39.48)</f>
        <v>39.479999999999997</v>
      </c>
      <c r="E1361" s="2">
        <v>33.46</v>
      </c>
      <c r="F1361" s="2">
        <v>2</v>
      </c>
      <c r="G1361" s="2" t="s">
        <v>10</v>
      </c>
      <c r="H1361" s="2" t="s">
        <v>4925</v>
      </c>
      <c r="I1361" s="2" t="s">
        <v>4890</v>
      </c>
    </row>
    <row r="1362" spans="1:9" x14ac:dyDescent="0.2">
      <c r="A1362" s="2" t="s">
        <v>3418</v>
      </c>
      <c r="B1362" s="2" t="s">
        <v>460</v>
      </c>
      <c r="C1362" s="2">
        <v>851.45590000000004</v>
      </c>
      <c r="D1362" s="2">
        <f>HYPERLINK("http://mcb-m6.bioreg.kyushu-u.ac.jp/M3/20110411/F50921/3629/1", 41.79)</f>
        <v>41.79</v>
      </c>
      <c r="E1362" s="2">
        <v>31.48</v>
      </c>
      <c r="F1362" s="2">
        <v>3</v>
      </c>
      <c r="G1362" s="2" t="s">
        <v>10</v>
      </c>
      <c r="H1362" s="2" t="s">
        <v>4925</v>
      </c>
      <c r="I1362" s="2" t="s">
        <v>4890</v>
      </c>
    </row>
    <row r="1363" spans="1:9" x14ac:dyDescent="0.2">
      <c r="A1363" s="2" t="s">
        <v>3418</v>
      </c>
      <c r="B1363" s="2" t="s">
        <v>460</v>
      </c>
      <c r="C1363" s="2">
        <v>851.20150000000001</v>
      </c>
      <c r="D1363" s="2">
        <f>HYPERLINK("http://mcb-m6.bioreg.kyushu-u.ac.jp/M3/20110411/F50920/3496/1", 44.08)</f>
        <v>44.08</v>
      </c>
      <c r="E1363" s="2">
        <v>24.86</v>
      </c>
      <c r="F1363" s="2">
        <v>3</v>
      </c>
      <c r="G1363" s="2" t="s">
        <v>10</v>
      </c>
      <c r="H1363" s="2" t="s">
        <v>4925</v>
      </c>
      <c r="I1363" s="2" t="s">
        <v>4890</v>
      </c>
    </row>
    <row r="1364" spans="1:9" x14ac:dyDescent="0.2">
      <c r="A1364" s="2" t="s">
        <v>3418</v>
      </c>
      <c r="B1364" s="2" t="s">
        <v>460</v>
      </c>
      <c r="C1364" s="2">
        <v>851.56349999999998</v>
      </c>
      <c r="D1364" s="2">
        <f>HYPERLINK("http://mcb-m6.bioreg.kyushu-u.ac.jp/M3/20110411/F50921/3631/1", 50.07)</f>
        <v>50.07</v>
      </c>
      <c r="E1364" s="2">
        <v>29.08</v>
      </c>
      <c r="F1364" s="2">
        <v>3</v>
      </c>
      <c r="G1364" s="2" t="s">
        <v>10</v>
      </c>
      <c r="H1364" s="2" t="s">
        <v>4925</v>
      </c>
      <c r="I1364" s="2" t="s">
        <v>4890</v>
      </c>
    </row>
    <row r="1365" spans="1:9" x14ac:dyDescent="0.2">
      <c r="A1365" s="2" t="s">
        <v>3418</v>
      </c>
      <c r="B1365" s="2" t="s">
        <v>460</v>
      </c>
      <c r="C1365" s="2">
        <v>1276.6880000000001</v>
      </c>
      <c r="D1365" s="2">
        <f>HYPERLINK("http://mcb-m6.bioreg.kyushu-u.ac.jp/M3/20110411/F50912/3799/1", 57.05)</f>
        <v>57.05</v>
      </c>
      <c r="E1365" s="2">
        <v>44.16</v>
      </c>
      <c r="F1365" s="2">
        <v>2</v>
      </c>
      <c r="G1365" s="2" t="s">
        <v>10</v>
      </c>
      <c r="H1365" s="2" t="s">
        <v>4925</v>
      </c>
      <c r="I1365" s="2" t="s">
        <v>4890</v>
      </c>
    </row>
    <row r="1366" spans="1:9" x14ac:dyDescent="0.2">
      <c r="A1366" s="2" t="s">
        <v>3418</v>
      </c>
      <c r="B1366" s="2" t="s">
        <v>460</v>
      </c>
      <c r="C1366" s="2">
        <v>1276.345</v>
      </c>
      <c r="D1366" s="2">
        <f>HYPERLINK("http://mcb-m6.bioreg.kyushu-u.ac.jp/M3/20110414/F50962/3573/1", 40.85)</f>
        <v>40.85</v>
      </c>
      <c r="E1366" s="2">
        <v>27.95</v>
      </c>
      <c r="F1366" s="2">
        <v>2</v>
      </c>
      <c r="G1366" s="2" t="s">
        <v>11</v>
      </c>
      <c r="H1366" s="2" t="s">
        <v>4925</v>
      </c>
      <c r="I1366" s="2" t="s">
        <v>4890</v>
      </c>
    </row>
    <row r="1367" spans="1:9" x14ac:dyDescent="0.2">
      <c r="A1367" s="2" t="s">
        <v>3418</v>
      </c>
      <c r="B1367" s="2" t="s">
        <v>460</v>
      </c>
      <c r="C1367" s="2">
        <v>851.6635</v>
      </c>
      <c r="D1367" s="2">
        <f>HYPERLINK("http://mcb-m6.bioreg.kyushu-u.ac.jp/M3/20110414/F50966/3262/1", 37.56)</f>
        <v>37.56</v>
      </c>
      <c r="E1367" s="2">
        <v>27.84</v>
      </c>
      <c r="F1367" s="2">
        <v>3</v>
      </c>
      <c r="G1367" s="2" t="s">
        <v>12</v>
      </c>
      <c r="H1367" s="2" t="s">
        <v>4925</v>
      </c>
      <c r="I1367" s="2" t="s">
        <v>4890</v>
      </c>
    </row>
    <row r="1368" spans="1:9" x14ac:dyDescent="0.2">
      <c r="A1368" s="2" t="s">
        <v>3418</v>
      </c>
      <c r="B1368" s="2" t="s">
        <v>460</v>
      </c>
      <c r="C1368" s="2">
        <v>1276.8810000000001</v>
      </c>
      <c r="D1368" s="2">
        <f>HYPERLINK("http://mcb-m6.bioreg.kyushu-u.ac.jp/M3/20110414/F50966/3261/1", 47.76)</f>
        <v>47.76</v>
      </c>
      <c r="E1368" s="2">
        <v>39.94</v>
      </c>
      <c r="F1368" s="2">
        <v>2</v>
      </c>
      <c r="G1368" s="2" t="s">
        <v>12</v>
      </c>
      <c r="H1368" s="2" t="s">
        <v>4925</v>
      </c>
      <c r="I1368" s="2" t="s">
        <v>4890</v>
      </c>
    </row>
    <row r="1369" spans="1:9" x14ac:dyDescent="0.2">
      <c r="A1369" s="2" t="s">
        <v>3418</v>
      </c>
      <c r="B1369" s="2" t="s">
        <v>460</v>
      </c>
      <c r="C1369" s="2">
        <v>851.39949999999999</v>
      </c>
      <c r="D1369" s="2">
        <f>HYPERLINK("http://mcb-m6.bioreg.kyushu-u.ac.jp/M3/20110502/F51187/3236/1", 46.87)</f>
        <v>46.87</v>
      </c>
      <c r="E1369" s="2">
        <v>35.56</v>
      </c>
      <c r="F1369" s="2">
        <v>3</v>
      </c>
      <c r="G1369" s="2" t="s">
        <v>13</v>
      </c>
      <c r="H1369" s="2" t="s">
        <v>4925</v>
      </c>
      <c r="I1369" s="2" t="s">
        <v>4890</v>
      </c>
    </row>
    <row r="1370" spans="1:9" x14ac:dyDescent="0.2">
      <c r="A1370" s="2" t="s">
        <v>3418</v>
      </c>
      <c r="B1370" s="2" t="s">
        <v>460</v>
      </c>
      <c r="C1370" s="2">
        <v>851.67219999999998</v>
      </c>
      <c r="D1370" s="2">
        <f>HYPERLINK("http://mcb-m6.bioreg.kyushu-u.ac.jp/M3/20110502/F51173/4008/1", 50.04)</f>
        <v>50.04</v>
      </c>
      <c r="E1370" s="2">
        <v>40.049999999999997</v>
      </c>
      <c r="F1370" s="2">
        <v>3</v>
      </c>
      <c r="G1370" s="2" t="s">
        <v>13</v>
      </c>
      <c r="H1370" s="2" t="s">
        <v>4925</v>
      </c>
      <c r="I1370" s="2" t="s">
        <v>4890</v>
      </c>
    </row>
    <row r="1371" spans="1:9" x14ac:dyDescent="0.2">
      <c r="A1371" s="2" t="s">
        <v>3418</v>
      </c>
      <c r="B1371" s="2" t="s">
        <v>460</v>
      </c>
      <c r="C1371" s="2">
        <v>851.42319999999995</v>
      </c>
      <c r="D1371" s="2">
        <f>HYPERLINK("http://mcb-m6.bioreg.kyushu-u.ac.jp/M3/20110502/F51180/3650/1", 50.63)</f>
        <v>50.63</v>
      </c>
      <c r="E1371" s="2">
        <v>30.6</v>
      </c>
      <c r="F1371" s="2">
        <v>3</v>
      </c>
      <c r="G1371" s="2" t="s">
        <v>13</v>
      </c>
      <c r="H1371" s="2" t="s">
        <v>4925</v>
      </c>
      <c r="I1371" s="2" t="s">
        <v>4890</v>
      </c>
    </row>
    <row r="1372" spans="1:9" x14ac:dyDescent="0.2">
      <c r="A1372" s="2" t="s">
        <v>3418</v>
      </c>
      <c r="B1372" s="2" t="s">
        <v>460</v>
      </c>
      <c r="C1372" s="2">
        <v>1276.615</v>
      </c>
      <c r="D1372" s="2">
        <f>HYPERLINK("http://mcb-m6.bioreg.kyushu-u.ac.jp/M3/20110502/F51187/3237/1", 55.95)</f>
        <v>55.95</v>
      </c>
      <c r="E1372" s="2">
        <v>46.99</v>
      </c>
      <c r="F1372" s="2">
        <v>2</v>
      </c>
      <c r="G1372" s="2" t="s">
        <v>13</v>
      </c>
      <c r="H1372" s="2" t="s">
        <v>4925</v>
      </c>
      <c r="I1372" s="2" t="s">
        <v>4890</v>
      </c>
    </row>
    <row r="1373" spans="1:9" x14ac:dyDescent="0.2">
      <c r="A1373" s="2" t="s">
        <v>3418</v>
      </c>
      <c r="B1373" s="2" t="s">
        <v>460</v>
      </c>
      <c r="C1373" s="2">
        <v>1276.221</v>
      </c>
      <c r="D1373" s="2">
        <f>HYPERLINK("http://mcb-m6.bioreg.kyushu-u.ac.jp/M3/20110502/F51189/3223/1", 56.77)</f>
        <v>56.77</v>
      </c>
      <c r="E1373" s="2">
        <v>45</v>
      </c>
      <c r="F1373" s="2">
        <v>2</v>
      </c>
      <c r="G1373" s="2" t="s">
        <v>13</v>
      </c>
      <c r="H1373" s="2" t="s">
        <v>4925</v>
      </c>
      <c r="I1373" s="2" t="s">
        <v>4890</v>
      </c>
    </row>
    <row r="1374" spans="1:9" x14ac:dyDescent="0.2">
      <c r="A1374" s="2" t="s">
        <v>3418</v>
      </c>
      <c r="B1374" s="2" t="s">
        <v>460</v>
      </c>
      <c r="C1374" s="2">
        <v>851.33150000000001</v>
      </c>
      <c r="D1374" s="2">
        <f>HYPERLINK("http://mcb-m6.bioreg.kyushu-u.ac.jp/M3/20110502/F51182/3952/1", 38.22)</f>
        <v>38.22</v>
      </c>
      <c r="E1374" s="2">
        <v>29.85</v>
      </c>
      <c r="F1374" s="2">
        <v>3</v>
      </c>
      <c r="G1374" s="2" t="s">
        <v>14</v>
      </c>
      <c r="H1374" s="2" t="s">
        <v>4925</v>
      </c>
      <c r="I1374" s="2" t="s">
        <v>4890</v>
      </c>
    </row>
    <row r="1375" spans="1:9" x14ac:dyDescent="0.2">
      <c r="A1375" s="2" t="s">
        <v>3418</v>
      </c>
      <c r="B1375" s="2" t="s">
        <v>460</v>
      </c>
      <c r="C1375" s="2">
        <v>1276.567</v>
      </c>
      <c r="D1375" s="2">
        <f>HYPERLINK("http://mcb-m6.bioreg.kyushu-u.ac.jp/M3/20110502/F51191/3310/1", 56.04)</f>
        <v>56.04</v>
      </c>
      <c r="E1375" s="2">
        <v>44.85</v>
      </c>
      <c r="F1375" s="2">
        <v>2</v>
      </c>
      <c r="G1375" s="2" t="s">
        <v>14</v>
      </c>
      <c r="H1375" s="2" t="s">
        <v>4925</v>
      </c>
      <c r="I1375" s="2" t="s">
        <v>4890</v>
      </c>
    </row>
    <row r="1376" spans="1:9" x14ac:dyDescent="0.2">
      <c r="A1376" s="2" t="s">
        <v>3418</v>
      </c>
      <c r="B1376" s="2" t="s">
        <v>460</v>
      </c>
      <c r="C1376" s="2">
        <v>1276.7650000000001</v>
      </c>
      <c r="D1376" s="2">
        <f>HYPERLINK("http://mcb-m6.bioreg.kyushu-u.ac.jp/M3/20110502/F51190/3154/1", 60.65)</f>
        <v>60.65</v>
      </c>
      <c r="E1376" s="2">
        <v>52.35</v>
      </c>
      <c r="F1376" s="2">
        <v>2</v>
      </c>
      <c r="G1376" s="2" t="s">
        <v>14</v>
      </c>
      <c r="H1376" s="2" t="s">
        <v>4925</v>
      </c>
      <c r="I1376" s="2" t="s">
        <v>4890</v>
      </c>
    </row>
    <row r="1377" spans="1:8" x14ac:dyDescent="0.2">
      <c r="A1377" s="2" t="s">
        <v>3745</v>
      </c>
      <c r="B1377" s="2" t="s">
        <v>751</v>
      </c>
      <c r="C1377" s="2">
        <v>1061.9259999999999</v>
      </c>
      <c r="D1377" s="2">
        <f>HYPERLINK("http://mcb-m6.bioreg.kyushu-u.ac.jp/M3/20110411/F50919/4272/1", 50.12)</f>
        <v>50.12</v>
      </c>
      <c r="E1377" s="2">
        <v>41.8</v>
      </c>
      <c r="F1377" s="2">
        <v>3</v>
      </c>
      <c r="G1377" s="2" t="s">
        <v>9</v>
      </c>
    </row>
    <row r="1378" spans="1:8" x14ac:dyDescent="0.2">
      <c r="A1378" s="2" t="s">
        <v>3745</v>
      </c>
      <c r="B1378" s="2" t="s">
        <v>751</v>
      </c>
      <c r="C1378" s="2">
        <v>1062.21</v>
      </c>
      <c r="D1378" s="2">
        <f>HYPERLINK("http://mcb-m6.bioreg.kyushu-u.ac.jp/M3/20110411/F50919/4276/1", 53.34)</f>
        <v>53.34</v>
      </c>
      <c r="E1378" s="2">
        <v>44.36</v>
      </c>
      <c r="F1378" s="2">
        <v>3</v>
      </c>
      <c r="G1378" s="2" t="s">
        <v>9</v>
      </c>
    </row>
    <row r="1379" spans="1:8" x14ac:dyDescent="0.2">
      <c r="A1379" s="2" t="s">
        <v>3745</v>
      </c>
      <c r="B1379" s="2" t="s">
        <v>751</v>
      </c>
      <c r="C1379" s="2">
        <v>1062.2059999999999</v>
      </c>
      <c r="D1379" s="2">
        <f>HYPERLINK("http://mcb-m6.bioreg.kyushu-u.ac.jp/M3/20110411/F50919/4275/1", 62.2)</f>
        <v>62.2</v>
      </c>
      <c r="E1379" s="2">
        <v>45.42</v>
      </c>
      <c r="F1379" s="2">
        <v>3</v>
      </c>
      <c r="G1379" s="2" t="s">
        <v>9</v>
      </c>
    </row>
    <row r="1380" spans="1:8" x14ac:dyDescent="0.2">
      <c r="A1380" s="2" t="s">
        <v>3745</v>
      </c>
      <c r="B1380" s="2" t="s">
        <v>751</v>
      </c>
      <c r="C1380" s="2">
        <v>1062.204</v>
      </c>
      <c r="D1380" s="2">
        <f>HYPERLINK("http://mcb-m6.bioreg.kyushu-u.ac.jp/M3/20110411/F50919/4274/1", 95.48)</f>
        <v>95.48</v>
      </c>
      <c r="E1380" s="2">
        <v>83.74</v>
      </c>
      <c r="F1380" s="2">
        <v>3</v>
      </c>
      <c r="G1380" s="2" t="s">
        <v>9</v>
      </c>
    </row>
    <row r="1381" spans="1:8" x14ac:dyDescent="0.2">
      <c r="A1381" s="2" t="s">
        <v>3745</v>
      </c>
      <c r="B1381" s="2" t="s">
        <v>751</v>
      </c>
      <c r="C1381" s="2">
        <v>1067.4259999999999</v>
      </c>
      <c r="D1381" s="2">
        <f>HYPERLINK("http://mcb-m6.bioreg.kyushu-u.ac.jp/M3/20110411/F50921/3984/1", 46.96)</f>
        <v>46.96</v>
      </c>
      <c r="E1381" s="2">
        <v>40.93</v>
      </c>
      <c r="F1381" s="2">
        <v>3</v>
      </c>
      <c r="G1381" s="2" t="s">
        <v>10</v>
      </c>
      <c r="H1381" s="2" t="s">
        <v>4910</v>
      </c>
    </row>
    <row r="1382" spans="1:8" x14ac:dyDescent="0.2">
      <c r="A1382" s="2" t="s">
        <v>3745</v>
      </c>
      <c r="B1382" s="2" t="s">
        <v>751</v>
      </c>
      <c r="C1382" s="2">
        <v>1061.883</v>
      </c>
      <c r="D1382" s="2">
        <f>HYPERLINK("http://mcb-m6.bioreg.kyushu-u.ac.jp/M3/20110411/F50913/4117/1", 58.23)</f>
        <v>58.23</v>
      </c>
      <c r="E1382" s="2">
        <v>53.47</v>
      </c>
      <c r="F1382" s="2">
        <v>3</v>
      </c>
      <c r="G1382" s="2" t="s">
        <v>10</v>
      </c>
    </row>
    <row r="1383" spans="1:8" x14ac:dyDescent="0.2">
      <c r="A1383" s="2" t="s">
        <v>3745</v>
      </c>
      <c r="B1383" s="2" t="s">
        <v>751</v>
      </c>
      <c r="C1383" s="2">
        <v>1062.203</v>
      </c>
      <c r="D1383" s="2">
        <f>HYPERLINK("http://mcb-m6.bioreg.kyushu-u.ac.jp/M3/20110411/F50921/3975/1", 73.86)</f>
        <v>73.86</v>
      </c>
      <c r="E1383" s="2">
        <v>58.7</v>
      </c>
      <c r="F1383" s="2">
        <v>3</v>
      </c>
      <c r="G1383" s="2" t="s">
        <v>10</v>
      </c>
    </row>
    <row r="1384" spans="1:8" x14ac:dyDescent="0.2">
      <c r="A1384" s="2" t="s">
        <v>3745</v>
      </c>
      <c r="B1384" s="2" t="s">
        <v>751</v>
      </c>
      <c r="C1384" s="2">
        <v>1067.2090000000001</v>
      </c>
      <c r="D1384" s="2">
        <f>HYPERLINK("http://mcb-m6.bioreg.kyushu-u.ac.jp/M3/20110411/F50921/3983/1", 83.52)</f>
        <v>83.52</v>
      </c>
      <c r="E1384" s="2">
        <v>70.7</v>
      </c>
      <c r="F1384" s="2">
        <v>3</v>
      </c>
      <c r="G1384" s="2" t="s">
        <v>10</v>
      </c>
      <c r="H1384" s="2" t="s">
        <v>4910</v>
      </c>
    </row>
    <row r="1385" spans="1:8" x14ac:dyDescent="0.2">
      <c r="A1385" s="2" t="s">
        <v>3745</v>
      </c>
      <c r="B1385" s="2" t="s">
        <v>751</v>
      </c>
      <c r="C1385" s="2">
        <v>1062.0139999999999</v>
      </c>
      <c r="D1385" s="2">
        <f>HYPERLINK("http://mcb-m6.bioreg.kyushu-u.ac.jp/M3/20110411/F50912/4082/1", 86.2)</f>
        <v>86.2</v>
      </c>
      <c r="E1385" s="2">
        <v>73.33</v>
      </c>
      <c r="F1385" s="2">
        <v>3</v>
      </c>
      <c r="G1385" s="2" t="s">
        <v>10</v>
      </c>
    </row>
    <row r="1386" spans="1:8" x14ac:dyDescent="0.2">
      <c r="A1386" s="2" t="s">
        <v>3745</v>
      </c>
      <c r="B1386" s="2" t="s">
        <v>751</v>
      </c>
      <c r="C1386" s="2">
        <v>1061.5989999999999</v>
      </c>
      <c r="D1386" s="2">
        <f>HYPERLINK("http://mcb-m6.bioreg.kyushu-u.ac.jp/M3/20110414/F50962/3910/1", 41.91)</f>
        <v>41.91</v>
      </c>
      <c r="E1386" s="2">
        <v>36.76</v>
      </c>
      <c r="F1386" s="2">
        <v>3</v>
      </c>
      <c r="G1386" s="2" t="s">
        <v>11</v>
      </c>
    </row>
    <row r="1387" spans="1:8" x14ac:dyDescent="0.2">
      <c r="A1387" s="2" t="s">
        <v>3745</v>
      </c>
      <c r="B1387" s="2" t="s">
        <v>751</v>
      </c>
      <c r="C1387" s="2">
        <v>1067.346</v>
      </c>
      <c r="D1387" s="2">
        <f>HYPERLINK("http://mcb-m6.bioreg.kyushu-u.ac.jp/M3/20110414/F50962/3915/1", 78.85)</f>
        <v>78.849999999999994</v>
      </c>
      <c r="E1387" s="2">
        <v>71.11</v>
      </c>
      <c r="F1387" s="2">
        <v>3</v>
      </c>
      <c r="G1387" s="2" t="s">
        <v>11</v>
      </c>
      <c r="H1387" s="2" t="s">
        <v>4910</v>
      </c>
    </row>
    <row r="1388" spans="1:8" x14ac:dyDescent="0.2">
      <c r="A1388" s="2" t="s">
        <v>3745</v>
      </c>
      <c r="B1388" s="2" t="s">
        <v>751</v>
      </c>
      <c r="C1388" s="2">
        <v>1067.192</v>
      </c>
      <c r="D1388" s="2">
        <f>HYPERLINK("http://mcb-m6.bioreg.kyushu-u.ac.jp/M3/20110414/F50962/3914/1", 85.33)</f>
        <v>85.33</v>
      </c>
      <c r="E1388" s="2">
        <v>73.319999999999993</v>
      </c>
      <c r="F1388" s="2">
        <v>3</v>
      </c>
      <c r="G1388" s="2" t="s">
        <v>11</v>
      </c>
      <c r="H1388" s="2" t="s">
        <v>4910</v>
      </c>
    </row>
    <row r="1389" spans="1:8" x14ac:dyDescent="0.2">
      <c r="A1389" s="2" t="s">
        <v>3745</v>
      </c>
      <c r="B1389" s="2" t="s">
        <v>751</v>
      </c>
      <c r="C1389" s="2">
        <v>1061.856</v>
      </c>
      <c r="D1389" s="2">
        <f>HYPERLINK("http://mcb-m6.bioreg.kyushu-u.ac.jp/M3/20110414/F50962/3911/1", 90.62)</f>
        <v>90.62</v>
      </c>
      <c r="E1389" s="2">
        <v>81.05</v>
      </c>
      <c r="F1389" s="2">
        <v>3</v>
      </c>
      <c r="G1389" s="2" t="s">
        <v>11</v>
      </c>
    </row>
    <row r="1390" spans="1:8" x14ac:dyDescent="0.2">
      <c r="A1390" s="2" t="s">
        <v>3745</v>
      </c>
      <c r="B1390" s="2" t="s">
        <v>751</v>
      </c>
      <c r="C1390" s="2">
        <v>1061.8589999999999</v>
      </c>
      <c r="D1390" s="2">
        <f>HYPERLINK("http://mcb-m6.bioreg.kyushu-u.ac.jp/M3/20110414/F50966/3478/1", 37.18)</f>
        <v>37.18</v>
      </c>
      <c r="E1390" s="2">
        <v>27.27</v>
      </c>
      <c r="F1390" s="2">
        <v>3</v>
      </c>
      <c r="G1390" s="2" t="s">
        <v>12</v>
      </c>
    </row>
    <row r="1391" spans="1:8" x14ac:dyDescent="0.2">
      <c r="A1391" s="2" t="s">
        <v>3745</v>
      </c>
      <c r="B1391" s="2" t="s">
        <v>751</v>
      </c>
      <c r="C1391" s="2">
        <v>1067.164</v>
      </c>
      <c r="D1391" s="2">
        <f>HYPERLINK("http://mcb-m6.bioreg.kyushu-u.ac.jp/M3/20110414/F50966/3489/1", 37.71)</f>
        <v>37.71</v>
      </c>
      <c r="E1391" s="2">
        <v>31.33</v>
      </c>
      <c r="F1391" s="2">
        <v>3</v>
      </c>
      <c r="G1391" s="2" t="s">
        <v>12</v>
      </c>
      <c r="H1391" s="2" t="s">
        <v>4910</v>
      </c>
    </row>
    <row r="1392" spans="1:8" x14ac:dyDescent="0.2">
      <c r="A1392" s="2" t="s">
        <v>3745</v>
      </c>
      <c r="B1392" s="2" t="s">
        <v>751</v>
      </c>
      <c r="C1392" s="2">
        <v>1061.6199999999999</v>
      </c>
      <c r="D1392" s="2">
        <f>HYPERLINK("http://mcb-m6.bioreg.kyushu-u.ac.jp/M3/20110414/F50966/3477/1", 46.64)</f>
        <v>46.64</v>
      </c>
      <c r="E1392" s="2">
        <v>36.35</v>
      </c>
      <c r="F1392" s="2">
        <v>3</v>
      </c>
      <c r="G1392" s="2" t="s">
        <v>12</v>
      </c>
    </row>
    <row r="1393" spans="1:8" x14ac:dyDescent="0.2">
      <c r="A1393" s="2" t="s">
        <v>3745</v>
      </c>
      <c r="B1393" s="2" t="s">
        <v>751</v>
      </c>
      <c r="C1393" s="2">
        <v>1061.6759999999999</v>
      </c>
      <c r="D1393" s="2">
        <f>HYPERLINK("http://mcb-m6.bioreg.kyushu-u.ac.jp/M3/20110414/F50963/4124/1", 52.88)</f>
        <v>52.88</v>
      </c>
      <c r="E1393" s="2">
        <v>43.47</v>
      </c>
      <c r="F1393" s="2">
        <v>3</v>
      </c>
      <c r="G1393" s="2" t="s">
        <v>12</v>
      </c>
    </row>
    <row r="1394" spans="1:8" x14ac:dyDescent="0.2">
      <c r="A1394" s="2" t="s">
        <v>3745</v>
      </c>
      <c r="B1394" s="2" t="s">
        <v>751</v>
      </c>
      <c r="C1394" s="2">
        <v>1062.174</v>
      </c>
      <c r="D1394" s="2">
        <f>HYPERLINK("http://mcb-m6.bioreg.kyushu-u.ac.jp/M3/20110414/F50966/3480/1", 53.29)</f>
        <v>53.29</v>
      </c>
      <c r="E1394" s="2">
        <v>43.47</v>
      </c>
      <c r="F1394" s="2">
        <v>3</v>
      </c>
      <c r="G1394" s="2" t="s">
        <v>12</v>
      </c>
    </row>
    <row r="1395" spans="1:8" x14ac:dyDescent="0.2">
      <c r="A1395" s="2" t="s">
        <v>3745</v>
      </c>
      <c r="B1395" s="2" t="s">
        <v>751</v>
      </c>
      <c r="C1395" s="2">
        <v>1067.1600000000001</v>
      </c>
      <c r="D1395" s="2">
        <f>HYPERLINK("http://mcb-m6.bioreg.kyushu-u.ac.jp/M3/20110414/F50966/3488/1", 57.94)</f>
        <v>57.94</v>
      </c>
      <c r="E1395" s="2">
        <v>51.75</v>
      </c>
      <c r="F1395" s="2">
        <v>3</v>
      </c>
      <c r="G1395" s="2" t="s">
        <v>12</v>
      </c>
      <c r="H1395" s="2" t="s">
        <v>4910</v>
      </c>
    </row>
    <row r="1396" spans="1:8" x14ac:dyDescent="0.2">
      <c r="A1396" s="2" t="s">
        <v>3745</v>
      </c>
      <c r="B1396" s="2" t="s">
        <v>751</v>
      </c>
      <c r="C1396" s="2">
        <v>1067.268</v>
      </c>
      <c r="D1396" s="2">
        <f>HYPERLINK("http://mcb-m6.bioreg.kyushu-u.ac.jp/M3/20110414/F50963/4132/1", 71.85)</f>
        <v>71.849999999999994</v>
      </c>
      <c r="E1396" s="2">
        <v>60.6</v>
      </c>
      <c r="F1396" s="2">
        <v>3</v>
      </c>
      <c r="G1396" s="2" t="s">
        <v>12</v>
      </c>
      <c r="H1396" s="2" t="s">
        <v>4910</v>
      </c>
    </row>
    <row r="1397" spans="1:8" x14ac:dyDescent="0.2">
      <c r="A1397" s="2" t="s">
        <v>3745</v>
      </c>
      <c r="B1397" s="2" t="s">
        <v>751</v>
      </c>
      <c r="C1397" s="2">
        <v>1062.0940000000001</v>
      </c>
      <c r="D1397" s="2">
        <f>HYPERLINK("http://mcb-m6.bioreg.kyushu-u.ac.jp/M3/20110414/F50963/4125/1", 77.25)</f>
        <v>77.25</v>
      </c>
      <c r="E1397" s="2">
        <v>61.51</v>
      </c>
      <c r="F1397" s="2">
        <v>3</v>
      </c>
      <c r="G1397" s="2" t="s">
        <v>12</v>
      </c>
    </row>
    <row r="1398" spans="1:8" x14ac:dyDescent="0.2">
      <c r="A1398" s="2" t="s">
        <v>3745</v>
      </c>
      <c r="B1398" s="2" t="s">
        <v>751</v>
      </c>
      <c r="C1398" s="2">
        <v>1067.1279999999999</v>
      </c>
      <c r="D1398" s="2">
        <f>HYPERLINK("http://mcb-m6.bioreg.kyushu-u.ac.jp/M3/20110414/F50963/4130/1", 81.68)</f>
        <v>81.680000000000007</v>
      </c>
      <c r="E1398" s="2">
        <v>67.53</v>
      </c>
      <c r="F1398" s="2">
        <v>3</v>
      </c>
      <c r="G1398" s="2" t="s">
        <v>12</v>
      </c>
      <c r="H1398" s="2" t="s">
        <v>4910</v>
      </c>
    </row>
    <row r="1399" spans="1:8" x14ac:dyDescent="0.2">
      <c r="A1399" s="2" t="s">
        <v>3745</v>
      </c>
      <c r="B1399" s="2" t="s">
        <v>751</v>
      </c>
      <c r="C1399" s="2">
        <v>1067.201</v>
      </c>
      <c r="D1399" s="2">
        <f>HYPERLINK("http://mcb-m6.bioreg.kyushu-u.ac.jp/M3/20110414/F50963/4131/1", 86.14)</f>
        <v>86.14</v>
      </c>
      <c r="E1399" s="2">
        <v>72.81</v>
      </c>
      <c r="F1399" s="2">
        <v>3</v>
      </c>
      <c r="G1399" s="2" t="s">
        <v>12</v>
      </c>
      <c r="H1399" s="2" t="s">
        <v>4910</v>
      </c>
    </row>
    <row r="1400" spans="1:8" x14ac:dyDescent="0.2">
      <c r="A1400" s="2" t="s">
        <v>3745</v>
      </c>
      <c r="B1400" s="2" t="s">
        <v>751</v>
      </c>
      <c r="C1400" s="2">
        <v>1062.2449999999999</v>
      </c>
      <c r="D1400" s="2">
        <f>HYPERLINK("http://mcb-m6.bioreg.kyushu-u.ac.jp/M3/20110414/F50963/4126/1", 90.34)</f>
        <v>90.34</v>
      </c>
      <c r="E1400" s="2">
        <v>83.98</v>
      </c>
      <c r="F1400" s="2">
        <v>3</v>
      </c>
      <c r="G1400" s="2" t="s">
        <v>12</v>
      </c>
    </row>
    <row r="1401" spans="1:8" x14ac:dyDescent="0.2">
      <c r="A1401" s="2" t="s">
        <v>3745</v>
      </c>
      <c r="B1401" s="2" t="s">
        <v>751</v>
      </c>
      <c r="C1401" s="2">
        <v>1061.5889999999999</v>
      </c>
      <c r="D1401" s="2">
        <f>HYPERLINK("http://mcb-m6.bioreg.kyushu-u.ac.jp/M3/20110414/F50963/4122/1", 94.54)</f>
        <v>94.54</v>
      </c>
      <c r="E1401" s="2">
        <v>82.21</v>
      </c>
      <c r="F1401" s="2">
        <v>3</v>
      </c>
      <c r="G1401" s="2" t="s">
        <v>12</v>
      </c>
    </row>
    <row r="1402" spans="1:8" x14ac:dyDescent="0.2">
      <c r="A1402" s="2" t="s">
        <v>3745</v>
      </c>
      <c r="B1402" s="2" t="s">
        <v>751</v>
      </c>
      <c r="C1402" s="2">
        <v>1061.6130000000001</v>
      </c>
      <c r="D1402" s="2">
        <f>HYPERLINK("http://mcb-m6.bioreg.kyushu-u.ac.jp/M3/20110414/F50963/4123/1", 118.51)</f>
        <v>118.51</v>
      </c>
      <c r="E1402" s="2">
        <v>108.88</v>
      </c>
      <c r="F1402" s="2">
        <v>3</v>
      </c>
      <c r="G1402" s="2" t="s">
        <v>12</v>
      </c>
    </row>
    <row r="1403" spans="1:8" x14ac:dyDescent="0.2">
      <c r="A1403" s="2" t="s">
        <v>3745</v>
      </c>
      <c r="B1403" s="2" t="s">
        <v>751</v>
      </c>
      <c r="C1403" s="2">
        <v>1062.0119999999999</v>
      </c>
      <c r="D1403" s="2">
        <f>HYPERLINK("http://mcb-m6.bioreg.kyushu-u.ac.jp/M3/20110502/F51191/3649/1", 43.66)</f>
        <v>43.66</v>
      </c>
      <c r="E1403" s="2">
        <v>34.72</v>
      </c>
      <c r="F1403" s="2">
        <v>3</v>
      </c>
      <c r="G1403" s="2" t="s">
        <v>14</v>
      </c>
    </row>
    <row r="1404" spans="1:8" x14ac:dyDescent="0.2">
      <c r="A1404" s="2" t="s">
        <v>3745</v>
      </c>
      <c r="B1404" s="2" t="s">
        <v>751</v>
      </c>
      <c r="C1404" s="2">
        <v>1067.287</v>
      </c>
      <c r="D1404" s="2">
        <f>HYPERLINK("http://mcb-m6.bioreg.kyushu-u.ac.jp/M3/20110502/F51192/3825/1", 83.07)</f>
        <v>83.07</v>
      </c>
      <c r="E1404" s="2">
        <v>69.680000000000007</v>
      </c>
      <c r="F1404" s="2">
        <v>3</v>
      </c>
      <c r="G1404" s="2" t="s">
        <v>14</v>
      </c>
      <c r="H1404" s="2" t="s">
        <v>4910</v>
      </c>
    </row>
    <row r="1405" spans="1:8" x14ac:dyDescent="0.2">
      <c r="A1405" s="2" t="s">
        <v>3745</v>
      </c>
      <c r="B1405" s="2" t="s">
        <v>751</v>
      </c>
      <c r="C1405" s="2">
        <v>1062.1369999999999</v>
      </c>
      <c r="D1405" s="2">
        <f>HYPERLINK("http://mcb-m6.bioreg.kyushu-u.ac.jp/M3/20110502/F51192/3820/1", 97.9)</f>
        <v>97.9</v>
      </c>
      <c r="E1405" s="2">
        <v>89.43</v>
      </c>
      <c r="F1405" s="2">
        <v>3</v>
      </c>
      <c r="G1405" s="2" t="s">
        <v>14</v>
      </c>
    </row>
    <row r="1406" spans="1:8" x14ac:dyDescent="0.2">
      <c r="A1406" s="2" t="s">
        <v>3737</v>
      </c>
      <c r="B1406" s="2" t="s">
        <v>739</v>
      </c>
      <c r="C1406" s="2">
        <v>566.60919999999999</v>
      </c>
      <c r="D1406" s="2">
        <f>HYPERLINK("http://mcb-m6.bioreg.kyushu-u.ac.jp/M3/20110411/F50891/1224/1", 49.81)</f>
        <v>49.81</v>
      </c>
      <c r="E1406" s="2">
        <v>29.89</v>
      </c>
      <c r="F1406" s="2">
        <v>2</v>
      </c>
      <c r="G1406" s="2" t="s">
        <v>9</v>
      </c>
    </row>
    <row r="1407" spans="1:8" x14ac:dyDescent="0.2">
      <c r="A1407" s="2" t="s">
        <v>3737</v>
      </c>
      <c r="B1407" s="2" t="s">
        <v>739</v>
      </c>
      <c r="C1407" s="2">
        <v>567.07709999999997</v>
      </c>
      <c r="D1407" s="2">
        <f>HYPERLINK("http://mcb-m6.bioreg.kyushu-u.ac.jp/M3/20110411/F50890/1388/1", 67.51)</f>
        <v>67.510000000000005</v>
      </c>
      <c r="E1407" s="2">
        <v>42.99</v>
      </c>
      <c r="F1407" s="2">
        <v>2</v>
      </c>
      <c r="G1407" s="2" t="s">
        <v>9</v>
      </c>
    </row>
    <row r="1408" spans="1:8" x14ac:dyDescent="0.2">
      <c r="A1408" s="2" t="s">
        <v>3737</v>
      </c>
      <c r="B1408" s="2" t="s">
        <v>739</v>
      </c>
      <c r="C1408" s="2">
        <v>566.74270000000001</v>
      </c>
      <c r="D1408" s="2">
        <f>HYPERLINK("http://mcb-m6.bioreg.kyushu-u.ac.jp/M3/20110411/F50891/1226/1", 67.89)</f>
        <v>67.89</v>
      </c>
      <c r="E1408" s="2">
        <v>44.79</v>
      </c>
      <c r="F1408" s="2">
        <v>2</v>
      </c>
      <c r="G1408" s="2" t="s">
        <v>9</v>
      </c>
    </row>
    <row r="1409" spans="1:9" x14ac:dyDescent="0.2">
      <c r="A1409" s="2" t="s">
        <v>3737</v>
      </c>
      <c r="B1409" s="2" t="s">
        <v>739</v>
      </c>
      <c r="C1409" s="2">
        <v>566.88620000000003</v>
      </c>
      <c r="D1409" s="2">
        <f>HYPERLINK("http://mcb-m6.bioreg.kyushu-u.ac.jp/M3/20110411/F50916/1040/1", 72.71)</f>
        <v>72.709999999999994</v>
      </c>
      <c r="E1409" s="2">
        <v>48.8</v>
      </c>
      <c r="F1409" s="2">
        <v>2</v>
      </c>
      <c r="G1409" s="2" t="s">
        <v>9</v>
      </c>
    </row>
    <row r="1410" spans="1:9" x14ac:dyDescent="0.2">
      <c r="A1410" s="2" t="s">
        <v>3737</v>
      </c>
      <c r="B1410" s="2" t="s">
        <v>739</v>
      </c>
      <c r="C1410" s="2">
        <v>566.82209999999998</v>
      </c>
      <c r="D1410" s="2">
        <f>HYPERLINK("http://mcb-m6.bioreg.kyushu-u.ac.jp/M3/20110411/F50904/1324/1", 72.88)</f>
        <v>72.88</v>
      </c>
      <c r="E1410" s="2">
        <v>50.42</v>
      </c>
      <c r="F1410" s="2">
        <v>2</v>
      </c>
      <c r="G1410" s="2" t="s">
        <v>9</v>
      </c>
    </row>
    <row r="1411" spans="1:9" x14ac:dyDescent="0.2">
      <c r="A1411" s="2" t="s">
        <v>3737</v>
      </c>
      <c r="B1411" s="2" t="s">
        <v>739</v>
      </c>
      <c r="C1411" s="2">
        <v>566.85310000000004</v>
      </c>
      <c r="D1411" s="2">
        <f>HYPERLINK("http://mcb-m6.bioreg.kyushu-u.ac.jp/M3/20110411/F50919/901/1", 75.48)</f>
        <v>75.48</v>
      </c>
      <c r="E1411" s="2">
        <v>48.29</v>
      </c>
      <c r="F1411" s="2">
        <v>2</v>
      </c>
      <c r="G1411" s="2" t="s">
        <v>9</v>
      </c>
    </row>
    <row r="1412" spans="1:9" x14ac:dyDescent="0.2">
      <c r="A1412" s="2" t="s">
        <v>3737</v>
      </c>
      <c r="B1412" s="2" t="s">
        <v>739</v>
      </c>
      <c r="C1412" s="2">
        <v>566.85220000000004</v>
      </c>
      <c r="D1412" s="2">
        <f>HYPERLINK("http://mcb-m6.bioreg.kyushu-u.ac.jp/M3/20110411/F50892/1525/1", 75.52)</f>
        <v>75.52</v>
      </c>
      <c r="E1412" s="2">
        <v>50.45</v>
      </c>
      <c r="F1412" s="2">
        <v>2</v>
      </c>
      <c r="G1412" s="2" t="s">
        <v>9</v>
      </c>
    </row>
    <row r="1413" spans="1:9" x14ac:dyDescent="0.2">
      <c r="A1413" s="2" t="s">
        <v>3737</v>
      </c>
      <c r="B1413" s="2" t="s">
        <v>1681</v>
      </c>
      <c r="C1413" s="2">
        <v>1276.1869999999999</v>
      </c>
      <c r="D1413" s="2">
        <f>HYPERLINK("http://mcb-m6.bioreg.kyushu-u.ac.jp/M3/20110411/F50904/3852/1", 146.11)</f>
        <v>146.11000000000001</v>
      </c>
      <c r="E1413" s="2">
        <v>98.54</v>
      </c>
      <c r="F1413" s="2">
        <v>2</v>
      </c>
      <c r="G1413" s="2" t="s">
        <v>9</v>
      </c>
      <c r="I1413" s="2" t="s">
        <v>4890</v>
      </c>
    </row>
    <row r="1414" spans="1:9" x14ac:dyDescent="0.2">
      <c r="A1414" s="2" t="s">
        <v>3737</v>
      </c>
      <c r="B1414" s="2" t="s">
        <v>1681</v>
      </c>
      <c r="C1414" s="2">
        <v>1276.174</v>
      </c>
      <c r="D1414" s="2">
        <f>HYPERLINK("http://mcb-m6.bioreg.kyushu-u.ac.jp/M3/20110411/F50919/3764/1", 150.06)</f>
        <v>150.06</v>
      </c>
      <c r="E1414" s="2">
        <v>99.15</v>
      </c>
      <c r="F1414" s="2">
        <v>2</v>
      </c>
      <c r="G1414" s="2" t="s">
        <v>9</v>
      </c>
      <c r="I1414" s="2" t="s">
        <v>4890</v>
      </c>
    </row>
    <row r="1415" spans="1:9" x14ac:dyDescent="0.2">
      <c r="A1415" s="2" t="s">
        <v>3737</v>
      </c>
      <c r="B1415" s="2" t="s">
        <v>1681</v>
      </c>
      <c r="C1415" s="2">
        <v>850.97590000000002</v>
      </c>
      <c r="D1415" s="2">
        <f>HYPERLINK("http://mcb-m6.bioreg.kyushu-u.ac.jp/M3/20110411/F50921/3624/1", 37.41)</f>
        <v>37.409999999999997</v>
      </c>
      <c r="E1415" s="2">
        <v>27.63</v>
      </c>
      <c r="F1415" s="2">
        <v>3</v>
      </c>
      <c r="G1415" s="2" t="s">
        <v>10</v>
      </c>
      <c r="I1415" s="2" t="s">
        <v>4890</v>
      </c>
    </row>
    <row r="1416" spans="1:9" x14ac:dyDescent="0.2">
      <c r="A1416" s="2" t="s">
        <v>3737</v>
      </c>
      <c r="B1416" s="2" t="s">
        <v>739</v>
      </c>
      <c r="C1416" s="2">
        <v>566.81460000000004</v>
      </c>
      <c r="D1416" s="2">
        <f>HYPERLINK("http://mcb-m6.bioreg.kyushu-u.ac.jp/M3/20110411/F50897/1226/1", 46.08)</f>
        <v>46.08</v>
      </c>
      <c r="E1416" s="2">
        <v>28.05</v>
      </c>
      <c r="F1416" s="2">
        <v>2</v>
      </c>
      <c r="G1416" s="2" t="s">
        <v>10</v>
      </c>
    </row>
    <row r="1417" spans="1:9" x14ac:dyDescent="0.2">
      <c r="A1417" s="2" t="s">
        <v>3737</v>
      </c>
      <c r="B1417" s="2" t="s">
        <v>739</v>
      </c>
      <c r="C1417" s="2">
        <v>566.9941</v>
      </c>
      <c r="D1417" s="2">
        <f>HYPERLINK("http://mcb-m6.bioreg.kyushu-u.ac.jp/M3/20110411/F50912/1300/1", 62.02)</f>
        <v>62.02</v>
      </c>
      <c r="E1417" s="2">
        <v>42.92</v>
      </c>
      <c r="F1417" s="2">
        <v>2</v>
      </c>
      <c r="G1417" s="2" t="s">
        <v>10</v>
      </c>
    </row>
    <row r="1418" spans="1:9" x14ac:dyDescent="0.2">
      <c r="A1418" s="2" t="s">
        <v>3737</v>
      </c>
      <c r="B1418" s="2" t="s">
        <v>739</v>
      </c>
      <c r="C1418" s="2">
        <v>566.9366</v>
      </c>
      <c r="D1418" s="2">
        <f>HYPERLINK("http://mcb-m6.bioreg.kyushu-u.ac.jp/M3/20110411/F50901/1397/1", 64.22)</f>
        <v>64.22</v>
      </c>
      <c r="E1418" s="2">
        <v>42.35</v>
      </c>
      <c r="F1418" s="2">
        <v>2</v>
      </c>
      <c r="G1418" s="2" t="s">
        <v>10</v>
      </c>
    </row>
    <row r="1419" spans="1:9" x14ac:dyDescent="0.2">
      <c r="A1419" s="2" t="s">
        <v>3737</v>
      </c>
      <c r="B1419" s="2" t="s">
        <v>739</v>
      </c>
      <c r="C1419" s="2">
        <v>566.79669999999999</v>
      </c>
      <c r="D1419" s="2">
        <f>HYPERLINK("http://mcb-m6.bioreg.kyushu-u.ac.jp/M3/20110411/F50898/1713/1", 72.69)</f>
        <v>72.69</v>
      </c>
      <c r="E1419" s="2">
        <v>47.63</v>
      </c>
      <c r="F1419" s="2">
        <v>2</v>
      </c>
      <c r="G1419" s="2" t="s">
        <v>10</v>
      </c>
    </row>
    <row r="1420" spans="1:9" x14ac:dyDescent="0.2">
      <c r="A1420" s="2" t="s">
        <v>3737</v>
      </c>
      <c r="B1420" s="2" t="s">
        <v>739</v>
      </c>
      <c r="C1420" s="2">
        <v>566.83759999999995</v>
      </c>
      <c r="D1420" s="2">
        <f>HYPERLINK("http://mcb-m6.bioreg.kyushu-u.ac.jp/M3/20110411/F50921/1043/1", 75.28)</f>
        <v>75.28</v>
      </c>
      <c r="E1420" s="2">
        <v>47.5</v>
      </c>
      <c r="F1420" s="2">
        <v>2</v>
      </c>
      <c r="G1420" s="2" t="s">
        <v>10</v>
      </c>
    </row>
    <row r="1421" spans="1:9" x14ac:dyDescent="0.2">
      <c r="A1421" s="2" t="s">
        <v>3737</v>
      </c>
      <c r="B1421" s="2" t="s">
        <v>739</v>
      </c>
      <c r="C1421" s="2">
        <v>566.93219999999997</v>
      </c>
      <c r="D1421" s="2">
        <f>HYPERLINK("http://mcb-m6.bioreg.kyushu-u.ac.jp/M3/20110411/F50902/1323/1", 75.37)</f>
        <v>75.37</v>
      </c>
      <c r="E1421" s="2">
        <v>51.73</v>
      </c>
      <c r="F1421" s="2">
        <v>2</v>
      </c>
      <c r="G1421" s="2" t="s">
        <v>10</v>
      </c>
    </row>
    <row r="1422" spans="1:9" x14ac:dyDescent="0.2">
      <c r="A1422" s="2" t="s">
        <v>3737</v>
      </c>
      <c r="B1422" s="2" t="s">
        <v>739</v>
      </c>
      <c r="C1422" s="2">
        <v>566.79470000000003</v>
      </c>
      <c r="D1422" s="2">
        <f>HYPERLINK("http://mcb-m6.bioreg.kyushu-u.ac.jp/M3/20110411/F50900/1536/1", 75.44)</f>
        <v>75.44</v>
      </c>
      <c r="E1422" s="2">
        <v>51.75</v>
      </c>
      <c r="F1422" s="2">
        <v>2</v>
      </c>
      <c r="G1422" s="2" t="s">
        <v>10</v>
      </c>
    </row>
    <row r="1423" spans="1:9" x14ac:dyDescent="0.2">
      <c r="A1423" s="2" t="s">
        <v>3737</v>
      </c>
      <c r="B1423" s="2" t="s">
        <v>739</v>
      </c>
      <c r="C1423" s="2">
        <v>566.7722</v>
      </c>
      <c r="D1423" s="2">
        <f>HYPERLINK("http://mcb-m6.bioreg.kyushu-u.ac.jp/M3/20110411/F50918/1021/1", 75.49)</f>
        <v>75.489999999999995</v>
      </c>
      <c r="E1423" s="2">
        <v>50.48</v>
      </c>
      <c r="F1423" s="2">
        <v>2</v>
      </c>
      <c r="G1423" s="2" t="s">
        <v>10</v>
      </c>
    </row>
    <row r="1424" spans="1:9" x14ac:dyDescent="0.2">
      <c r="A1424" s="2" t="s">
        <v>3737</v>
      </c>
      <c r="B1424" s="2" t="s">
        <v>739</v>
      </c>
      <c r="C1424" s="2">
        <v>566.83219999999994</v>
      </c>
      <c r="D1424" s="2">
        <f>HYPERLINK("http://mcb-m6.bioreg.kyushu-u.ac.jp/M3/20110411/F50921/1041/1", 78.52)</f>
        <v>78.52</v>
      </c>
      <c r="E1424" s="2">
        <v>54.65</v>
      </c>
      <c r="F1424" s="2">
        <v>2</v>
      </c>
      <c r="G1424" s="2" t="s">
        <v>10</v>
      </c>
    </row>
    <row r="1425" spans="1:9" x14ac:dyDescent="0.2">
      <c r="A1425" s="2" t="s">
        <v>3737</v>
      </c>
      <c r="B1425" s="2" t="s">
        <v>1681</v>
      </c>
      <c r="C1425" s="2">
        <v>1276.067</v>
      </c>
      <c r="D1425" s="2">
        <f>HYPERLINK("http://mcb-m6.bioreg.kyushu-u.ac.jp/M3/20110411/F50921/3625/1", 131.56)</f>
        <v>131.56</v>
      </c>
      <c r="E1425" s="2">
        <v>91.48</v>
      </c>
      <c r="F1425" s="2">
        <v>2</v>
      </c>
      <c r="G1425" s="2" t="s">
        <v>10</v>
      </c>
      <c r="I1425" s="2" t="s">
        <v>4890</v>
      </c>
    </row>
    <row r="1426" spans="1:9" x14ac:dyDescent="0.2">
      <c r="A1426" s="2" t="s">
        <v>3737</v>
      </c>
      <c r="B1426" s="2" t="s">
        <v>1681</v>
      </c>
      <c r="C1426" s="2">
        <v>1276.143</v>
      </c>
      <c r="D1426" s="2">
        <f>HYPERLINK("http://mcb-m6.bioreg.kyushu-u.ac.jp/M3/20110411/F50912/3795/1", 142.56)</f>
        <v>142.56</v>
      </c>
      <c r="E1426" s="2">
        <v>97.67</v>
      </c>
      <c r="F1426" s="2">
        <v>2</v>
      </c>
      <c r="G1426" s="2" t="s">
        <v>10</v>
      </c>
      <c r="I1426" s="2" t="s">
        <v>4890</v>
      </c>
    </row>
    <row r="1427" spans="1:9" x14ac:dyDescent="0.2">
      <c r="A1427" s="2" t="s">
        <v>3737</v>
      </c>
      <c r="B1427" s="2" t="s">
        <v>1681</v>
      </c>
      <c r="C1427" s="2">
        <v>1275.9939999999999</v>
      </c>
      <c r="D1427" s="2">
        <f>HYPERLINK("http://mcb-m6.bioreg.kyushu-u.ac.jp/M3/20110411/F50913/3805/1", 149.71)</f>
        <v>149.71</v>
      </c>
      <c r="E1427" s="2">
        <v>105.35</v>
      </c>
      <c r="F1427" s="2">
        <v>2</v>
      </c>
      <c r="G1427" s="2" t="s">
        <v>10</v>
      </c>
      <c r="I1427" s="2" t="s">
        <v>4890</v>
      </c>
    </row>
    <row r="1428" spans="1:9" x14ac:dyDescent="0.2">
      <c r="A1428" s="2" t="s">
        <v>3737</v>
      </c>
      <c r="B1428" s="2" t="s">
        <v>739</v>
      </c>
      <c r="C1428" s="2">
        <v>566.66269999999997</v>
      </c>
      <c r="D1428" s="2">
        <f>HYPERLINK("http://mcb-m6.bioreg.kyushu-u.ac.jp/M3/20110414/F50962/1084/1", 36.03)</f>
        <v>36.03</v>
      </c>
      <c r="E1428" s="2">
        <v>22.61</v>
      </c>
      <c r="F1428" s="2">
        <v>2</v>
      </c>
      <c r="G1428" s="2" t="s">
        <v>11</v>
      </c>
    </row>
    <row r="1429" spans="1:9" x14ac:dyDescent="0.2">
      <c r="A1429" s="2" t="s">
        <v>3737</v>
      </c>
      <c r="B1429" s="2" t="s">
        <v>739</v>
      </c>
      <c r="C1429" s="2">
        <v>566.72770000000003</v>
      </c>
      <c r="D1429" s="2">
        <f>HYPERLINK("http://mcb-m6.bioreg.kyushu-u.ac.jp/M3/20110414/F50942/1044/1", 38.13)</f>
        <v>38.130000000000003</v>
      </c>
      <c r="E1429" s="2">
        <v>13.3</v>
      </c>
      <c r="F1429" s="2">
        <v>2</v>
      </c>
      <c r="G1429" s="2" t="s">
        <v>11</v>
      </c>
    </row>
    <row r="1430" spans="1:9" x14ac:dyDescent="0.2">
      <c r="A1430" s="2" t="s">
        <v>3737</v>
      </c>
      <c r="B1430" s="2" t="s">
        <v>739</v>
      </c>
      <c r="C1430" s="2">
        <v>1132.807</v>
      </c>
      <c r="D1430" s="2">
        <f>HYPERLINK("http://mcb-m6.bioreg.kyushu-u.ac.jp/M3/20110414/F50928/1498/1", 41.45)</f>
        <v>41.45</v>
      </c>
      <c r="E1430" s="2">
        <v>29.45</v>
      </c>
      <c r="F1430" s="2">
        <v>1</v>
      </c>
      <c r="G1430" s="2" t="s">
        <v>11</v>
      </c>
    </row>
    <row r="1431" spans="1:9" x14ac:dyDescent="0.2">
      <c r="A1431" s="2" t="s">
        <v>3737</v>
      </c>
      <c r="B1431" s="2" t="s">
        <v>739</v>
      </c>
      <c r="C1431" s="2">
        <v>566.71669999999995</v>
      </c>
      <c r="D1431" s="2">
        <f>HYPERLINK("http://mcb-m6.bioreg.kyushu-u.ac.jp/M3/20110414/F50941/1171/1", 51.57)</f>
        <v>51.57</v>
      </c>
      <c r="E1431" s="2">
        <v>30.68</v>
      </c>
      <c r="F1431" s="2">
        <v>2</v>
      </c>
      <c r="G1431" s="2" t="s">
        <v>11</v>
      </c>
    </row>
    <row r="1432" spans="1:9" x14ac:dyDescent="0.2">
      <c r="A1432" s="2" t="s">
        <v>3737</v>
      </c>
      <c r="B1432" s="2" t="s">
        <v>739</v>
      </c>
      <c r="C1432" s="2">
        <v>566.62919999999997</v>
      </c>
      <c r="D1432" s="2">
        <f>HYPERLINK("http://mcb-m6.bioreg.kyushu-u.ac.jp/M3/20110414/F50957/841/1", 52.77)</f>
        <v>52.77</v>
      </c>
      <c r="E1432" s="2">
        <v>34.450000000000003</v>
      </c>
      <c r="F1432" s="2">
        <v>2</v>
      </c>
      <c r="G1432" s="2" t="s">
        <v>11</v>
      </c>
    </row>
    <row r="1433" spans="1:9" x14ac:dyDescent="0.2">
      <c r="A1433" s="2" t="s">
        <v>3737</v>
      </c>
      <c r="B1433" s="2" t="s">
        <v>739</v>
      </c>
      <c r="C1433" s="2">
        <v>567.15260000000001</v>
      </c>
      <c r="D1433" s="2">
        <f>HYPERLINK("http://mcb-m6.bioreg.kyushu-u.ac.jp/M3/20110414/F50962/1091/1", 53.82)</f>
        <v>53.82</v>
      </c>
      <c r="E1433" s="2">
        <v>36.25</v>
      </c>
      <c r="F1433" s="2">
        <v>2</v>
      </c>
      <c r="G1433" s="2" t="s">
        <v>11</v>
      </c>
    </row>
    <row r="1434" spans="1:9" x14ac:dyDescent="0.2">
      <c r="A1434" s="2" t="s">
        <v>3737</v>
      </c>
      <c r="B1434" s="2" t="s">
        <v>739</v>
      </c>
      <c r="C1434" s="2">
        <v>566.59969999999998</v>
      </c>
      <c r="D1434" s="2">
        <f>HYPERLINK("http://mcb-m6.bioreg.kyushu-u.ac.jp/M3/20110414/F50941/1167/1", 59.91)</f>
        <v>59.91</v>
      </c>
      <c r="E1434" s="2">
        <v>39.31</v>
      </c>
      <c r="F1434" s="2">
        <v>2</v>
      </c>
      <c r="G1434" s="2" t="s">
        <v>11</v>
      </c>
    </row>
    <row r="1435" spans="1:9" x14ac:dyDescent="0.2">
      <c r="A1435" s="2" t="s">
        <v>3737</v>
      </c>
      <c r="B1435" s="2" t="s">
        <v>739</v>
      </c>
      <c r="C1435" s="2">
        <v>566.67070000000001</v>
      </c>
      <c r="D1435" s="2">
        <f>HYPERLINK("http://mcb-m6.bioreg.kyushu-u.ac.jp/M3/20110414/F50944/1458/1", 62.74)</f>
        <v>62.74</v>
      </c>
      <c r="E1435" s="2">
        <v>39.46</v>
      </c>
      <c r="F1435" s="2">
        <v>2</v>
      </c>
      <c r="G1435" s="2" t="s">
        <v>11</v>
      </c>
    </row>
    <row r="1436" spans="1:9" x14ac:dyDescent="0.2">
      <c r="A1436" s="2" t="s">
        <v>3737</v>
      </c>
      <c r="B1436" s="2" t="s">
        <v>739</v>
      </c>
      <c r="C1436" s="2">
        <v>566.67859999999996</v>
      </c>
      <c r="D1436" s="2">
        <f>HYPERLINK("http://mcb-m6.bioreg.kyushu-u.ac.jp/M3/20110414/F50962/1085/1", 65.07)</f>
        <v>65.069999999999993</v>
      </c>
      <c r="E1436" s="2">
        <v>28.4</v>
      </c>
      <c r="F1436" s="2">
        <v>2</v>
      </c>
      <c r="G1436" s="2" t="s">
        <v>11</v>
      </c>
    </row>
    <row r="1437" spans="1:9" x14ac:dyDescent="0.2">
      <c r="A1437" s="2" t="s">
        <v>3737</v>
      </c>
      <c r="B1437" s="2" t="s">
        <v>739</v>
      </c>
      <c r="C1437" s="2">
        <v>567.05970000000002</v>
      </c>
      <c r="D1437" s="2">
        <f>HYPERLINK("http://mcb-m6.bioreg.kyushu-u.ac.jp/M3/20110414/F50962/1089/1", 67.51)</f>
        <v>67.510000000000005</v>
      </c>
      <c r="E1437" s="2">
        <v>44.72</v>
      </c>
      <c r="F1437" s="2">
        <v>2</v>
      </c>
      <c r="G1437" s="2" t="s">
        <v>11</v>
      </c>
    </row>
    <row r="1438" spans="1:9" x14ac:dyDescent="0.2">
      <c r="A1438" s="2" t="s">
        <v>3737</v>
      </c>
      <c r="B1438" s="2" t="s">
        <v>739</v>
      </c>
      <c r="C1438" s="2">
        <v>566.46420000000001</v>
      </c>
      <c r="D1438" s="2">
        <f>HYPERLINK("http://mcb-m6.bioreg.kyushu-u.ac.jp/M3/20110414/F50927/1613/1", 67.96)</f>
        <v>67.959999999999994</v>
      </c>
      <c r="E1438" s="2">
        <v>43.04</v>
      </c>
      <c r="F1438" s="2">
        <v>2</v>
      </c>
      <c r="G1438" s="2" t="s">
        <v>11</v>
      </c>
    </row>
    <row r="1439" spans="1:9" x14ac:dyDescent="0.2">
      <c r="A1439" s="2" t="s">
        <v>3737</v>
      </c>
      <c r="B1439" s="2" t="s">
        <v>739</v>
      </c>
      <c r="C1439" s="2">
        <v>566.84119999999996</v>
      </c>
      <c r="D1439" s="2">
        <f>HYPERLINK("http://mcb-m6.bioreg.kyushu-u.ac.jp/M3/20110414/F50928/1495/1", 72.6)</f>
        <v>72.599999999999994</v>
      </c>
      <c r="E1439" s="2">
        <v>47.25</v>
      </c>
      <c r="F1439" s="2">
        <v>2</v>
      </c>
      <c r="G1439" s="2" t="s">
        <v>11</v>
      </c>
    </row>
    <row r="1440" spans="1:9" x14ac:dyDescent="0.2">
      <c r="A1440" s="2" t="s">
        <v>3737</v>
      </c>
      <c r="B1440" s="2" t="s">
        <v>739</v>
      </c>
      <c r="C1440" s="2">
        <v>567.16219999999998</v>
      </c>
      <c r="D1440" s="2">
        <f>HYPERLINK("http://mcb-m6.bioreg.kyushu-u.ac.jp/M3/20110414/F50962/1092/1", 72.7)</f>
        <v>72.7</v>
      </c>
      <c r="E1440" s="2">
        <v>49.55</v>
      </c>
      <c r="F1440" s="2">
        <v>2</v>
      </c>
      <c r="G1440" s="2" t="s">
        <v>11</v>
      </c>
    </row>
    <row r="1441" spans="1:9" x14ac:dyDescent="0.2">
      <c r="A1441" s="2" t="s">
        <v>3737</v>
      </c>
      <c r="B1441" s="2" t="s">
        <v>739</v>
      </c>
      <c r="C1441" s="2">
        <v>566.79319999999996</v>
      </c>
      <c r="D1441" s="2">
        <f>HYPERLINK("http://mcb-m6.bioreg.kyushu-u.ac.jp/M3/20110414/F50945/1267/1", 72.87)</f>
        <v>72.87</v>
      </c>
      <c r="E1441" s="2">
        <v>48.64</v>
      </c>
      <c r="F1441" s="2">
        <v>2</v>
      </c>
      <c r="G1441" s="2" t="s">
        <v>11</v>
      </c>
    </row>
    <row r="1442" spans="1:9" x14ac:dyDescent="0.2">
      <c r="A1442" s="2" t="s">
        <v>3737</v>
      </c>
      <c r="B1442" s="2" t="s">
        <v>739</v>
      </c>
      <c r="C1442" s="2">
        <v>566.63070000000005</v>
      </c>
      <c r="D1442" s="2">
        <f>HYPERLINK("http://mcb-m6.bioreg.kyushu-u.ac.jp/M3/20110414/F50962/1083/1", 72.9)</f>
        <v>72.900000000000006</v>
      </c>
      <c r="E1442" s="2">
        <v>49.85</v>
      </c>
      <c r="F1442" s="2">
        <v>2</v>
      </c>
      <c r="G1442" s="2" t="s">
        <v>11</v>
      </c>
    </row>
    <row r="1443" spans="1:9" x14ac:dyDescent="0.2">
      <c r="A1443" s="2" t="s">
        <v>3737</v>
      </c>
      <c r="B1443" s="2" t="s">
        <v>739</v>
      </c>
      <c r="C1443" s="2">
        <v>567.10419999999999</v>
      </c>
      <c r="D1443" s="2">
        <f>HYPERLINK("http://mcb-m6.bioreg.kyushu-u.ac.jp/M3/20110414/F50962/1090/1", 75.34)</f>
        <v>75.34</v>
      </c>
      <c r="E1443" s="2">
        <v>50.1</v>
      </c>
      <c r="F1443" s="2">
        <v>2</v>
      </c>
      <c r="G1443" s="2" t="s">
        <v>11</v>
      </c>
    </row>
    <row r="1444" spans="1:9" x14ac:dyDescent="0.2">
      <c r="A1444" s="2" t="s">
        <v>3737</v>
      </c>
      <c r="B1444" s="2" t="s">
        <v>1681</v>
      </c>
      <c r="C1444" s="2">
        <v>856.18550000000005</v>
      </c>
      <c r="D1444" s="2">
        <f>HYPERLINK("http://mcb-m6.bioreg.kyushu-u.ac.jp/M3/20110414/F50962/3582/1", 91.07)</f>
        <v>91.07</v>
      </c>
      <c r="E1444" s="2">
        <v>63.79</v>
      </c>
      <c r="F1444" s="2">
        <v>3</v>
      </c>
      <c r="G1444" s="2" t="s">
        <v>11</v>
      </c>
      <c r="H1444" s="2" t="s">
        <v>4925</v>
      </c>
      <c r="I1444" s="2" t="s">
        <v>4890</v>
      </c>
    </row>
    <row r="1445" spans="1:9" x14ac:dyDescent="0.2">
      <c r="A1445" s="2" t="s">
        <v>3737</v>
      </c>
      <c r="B1445" s="2" t="s">
        <v>1681</v>
      </c>
      <c r="C1445" s="2">
        <v>1275.837</v>
      </c>
      <c r="D1445" s="2">
        <f>HYPERLINK("http://mcb-m6.bioreg.kyushu-u.ac.jp/M3/20110414/F50962/3572/1", 144.14)</f>
        <v>144.13999999999999</v>
      </c>
      <c r="E1445" s="2">
        <v>131.58000000000001</v>
      </c>
      <c r="F1445" s="2">
        <v>2</v>
      </c>
      <c r="G1445" s="2" t="s">
        <v>11</v>
      </c>
      <c r="I1445" s="2" t="s">
        <v>4890</v>
      </c>
    </row>
    <row r="1446" spans="1:9" x14ac:dyDescent="0.2">
      <c r="A1446" s="2" t="s">
        <v>3737</v>
      </c>
      <c r="B1446" s="2" t="s">
        <v>1681</v>
      </c>
      <c r="C1446" s="2">
        <v>851.09649999999999</v>
      </c>
      <c r="D1446" s="2">
        <f>HYPERLINK("http://mcb-m6.bioreg.kyushu-u.ac.jp/M3/20110414/F50959/4612/1", 35.41)</f>
        <v>35.409999999999997</v>
      </c>
      <c r="E1446" s="2">
        <v>25.41</v>
      </c>
      <c r="F1446" s="2">
        <v>3</v>
      </c>
      <c r="G1446" s="2" t="s">
        <v>12</v>
      </c>
      <c r="I1446" s="2" t="s">
        <v>4890</v>
      </c>
    </row>
    <row r="1447" spans="1:9" x14ac:dyDescent="0.2">
      <c r="A1447" s="2" t="s">
        <v>3737</v>
      </c>
      <c r="B1447" s="2" t="s">
        <v>1681</v>
      </c>
      <c r="C1447" s="2">
        <v>856.15319999999997</v>
      </c>
      <c r="D1447" s="2">
        <f>HYPERLINK("http://mcb-m6.bioreg.kyushu-u.ac.jp/M3/20110414/F50963/3737/1", 36.83)</f>
        <v>36.83</v>
      </c>
      <c r="E1447" s="2">
        <v>21.42</v>
      </c>
      <c r="F1447" s="2">
        <v>3</v>
      </c>
      <c r="G1447" s="2" t="s">
        <v>12</v>
      </c>
      <c r="H1447" s="2" t="s">
        <v>4925</v>
      </c>
      <c r="I1447" s="2" t="s">
        <v>4890</v>
      </c>
    </row>
    <row r="1448" spans="1:9" x14ac:dyDescent="0.2">
      <c r="A1448" s="2" t="s">
        <v>3737</v>
      </c>
      <c r="B1448" s="2" t="s">
        <v>739</v>
      </c>
      <c r="C1448" s="2">
        <v>566.66110000000003</v>
      </c>
      <c r="D1448" s="2">
        <f>HYPERLINK("http://mcb-m6.bioreg.kyushu-u.ac.jp/M3/20110414/F50963/974/1", 37.73)</f>
        <v>37.729999999999997</v>
      </c>
      <c r="E1448" s="2">
        <v>23.14</v>
      </c>
      <c r="F1448" s="2">
        <v>2</v>
      </c>
      <c r="G1448" s="2" t="s">
        <v>12</v>
      </c>
    </row>
    <row r="1449" spans="1:9" x14ac:dyDescent="0.2">
      <c r="A1449" s="2" t="s">
        <v>3737</v>
      </c>
      <c r="B1449" s="2" t="s">
        <v>739</v>
      </c>
      <c r="C1449" s="2">
        <v>567.12120000000004</v>
      </c>
      <c r="D1449" s="2">
        <f>HYPERLINK("http://mcb-m6.bioreg.kyushu-u.ac.jp/M3/20110414/F50966/1164/1", 38.64)</f>
        <v>38.64</v>
      </c>
      <c r="E1449" s="2">
        <v>24.6</v>
      </c>
      <c r="F1449" s="2">
        <v>2</v>
      </c>
      <c r="G1449" s="2" t="s">
        <v>12</v>
      </c>
    </row>
    <row r="1450" spans="1:9" x14ac:dyDescent="0.2">
      <c r="A1450" s="2" t="s">
        <v>3737</v>
      </c>
      <c r="B1450" s="2" t="s">
        <v>739</v>
      </c>
      <c r="C1450" s="2">
        <v>567.04470000000003</v>
      </c>
      <c r="D1450" s="2">
        <f>HYPERLINK("http://mcb-m6.bioreg.kyushu-u.ac.jp/M3/20110414/F50958/948/1", 48.86)</f>
        <v>48.86</v>
      </c>
      <c r="E1450" s="2">
        <v>30.3</v>
      </c>
      <c r="F1450" s="2">
        <v>2</v>
      </c>
      <c r="G1450" s="2" t="s">
        <v>12</v>
      </c>
    </row>
    <row r="1451" spans="1:9" x14ac:dyDescent="0.2">
      <c r="A1451" s="2" t="s">
        <v>3737</v>
      </c>
      <c r="B1451" s="2" t="s">
        <v>739</v>
      </c>
      <c r="C1451" s="2">
        <v>567.10609999999997</v>
      </c>
      <c r="D1451" s="2">
        <f>HYPERLINK("http://mcb-m6.bioreg.kyushu-u.ac.jp/M3/20110414/F50963/981/1", 49.46)</f>
        <v>49.46</v>
      </c>
      <c r="E1451" s="2">
        <v>26.99</v>
      </c>
      <c r="F1451" s="2">
        <v>2</v>
      </c>
      <c r="G1451" s="2" t="s">
        <v>12</v>
      </c>
    </row>
    <row r="1452" spans="1:9" x14ac:dyDescent="0.2">
      <c r="A1452" s="2" t="s">
        <v>3737</v>
      </c>
      <c r="B1452" s="2" t="s">
        <v>739</v>
      </c>
      <c r="C1452" s="2">
        <v>567.01760000000002</v>
      </c>
      <c r="D1452" s="2">
        <f>HYPERLINK("http://mcb-m6.bioreg.kyushu-u.ac.jp/M3/20110414/F50947/1028/1", 51.34)</f>
        <v>51.34</v>
      </c>
      <c r="E1452" s="2">
        <v>28.98</v>
      </c>
      <c r="F1452" s="2">
        <v>2</v>
      </c>
      <c r="G1452" s="2" t="s">
        <v>12</v>
      </c>
    </row>
    <row r="1453" spans="1:9" x14ac:dyDescent="0.2">
      <c r="A1453" s="2" t="s">
        <v>3737</v>
      </c>
      <c r="B1453" s="2" t="s">
        <v>739</v>
      </c>
      <c r="C1453" s="2">
        <v>566.62919999999997</v>
      </c>
      <c r="D1453" s="2">
        <f>HYPERLINK("http://mcb-m6.bioreg.kyushu-u.ac.jp/M3/20110414/F50948/1085/1", 57.31)</f>
        <v>57.31</v>
      </c>
      <c r="E1453" s="2">
        <v>34.270000000000003</v>
      </c>
      <c r="F1453" s="2">
        <v>2</v>
      </c>
      <c r="G1453" s="2" t="s">
        <v>12</v>
      </c>
    </row>
    <row r="1454" spans="1:9" x14ac:dyDescent="0.2">
      <c r="A1454" s="2" t="s">
        <v>3737</v>
      </c>
      <c r="B1454" s="2" t="s">
        <v>739</v>
      </c>
      <c r="C1454" s="2">
        <v>566.94460000000004</v>
      </c>
      <c r="D1454" s="2">
        <f>HYPERLINK("http://mcb-m6.bioreg.kyushu-u.ac.jp/M3/20110414/F50966/1163/1", 58.71)</f>
        <v>58.71</v>
      </c>
      <c r="E1454" s="2">
        <v>36.89</v>
      </c>
      <c r="F1454" s="2">
        <v>2</v>
      </c>
      <c r="G1454" s="2" t="s">
        <v>12</v>
      </c>
    </row>
    <row r="1455" spans="1:9" x14ac:dyDescent="0.2">
      <c r="A1455" s="2" t="s">
        <v>3737</v>
      </c>
      <c r="B1455" s="2" t="s">
        <v>1681</v>
      </c>
      <c r="C1455" s="2">
        <v>851.0788</v>
      </c>
      <c r="D1455" s="2">
        <f>HYPERLINK("http://mcb-m6.bioreg.kyushu-u.ac.jp/M3/20110414/F50963/3725/1", 61.21)</f>
        <v>61.21</v>
      </c>
      <c r="E1455" s="2">
        <v>25.86</v>
      </c>
      <c r="F1455" s="2">
        <v>3</v>
      </c>
      <c r="G1455" s="2" t="s">
        <v>12</v>
      </c>
      <c r="I1455" s="2" t="s">
        <v>4890</v>
      </c>
    </row>
    <row r="1456" spans="1:9" x14ac:dyDescent="0.2">
      <c r="A1456" s="2" t="s">
        <v>3737</v>
      </c>
      <c r="B1456" s="2" t="s">
        <v>739</v>
      </c>
      <c r="C1456" s="2">
        <v>566.49369999999999</v>
      </c>
      <c r="D1456" s="2">
        <f>HYPERLINK("http://mcb-m6.bioreg.kyushu-u.ac.jp/M3/20110414/F50963/970/1", 63.27)</f>
        <v>63.27</v>
      </c>
      <c r="E1456" s="2">
        <v>42.02</v>
      </c>
      <c r="F1456" s="2">
        <v>2</v>
      </c>
      <c r="G1456" s="2" t="s">
        <v>12</v>
      </c>
    </row>
    <row r="1457" spans="1:9" x14ac:dyDescent="0.2">
      <c r="A1457" s="2" t="s">
        <v>3737</v>
      </c>
      <c r="B1457" s="2" t="s">
        <v>739</v>
      </c>
      <c r="C1457" s="2">
        <v>567.32920000000001</v>
      </c>
      <c r="D1457" s="2">
        <f>HYPERLINK("http://mcb-m6.bioreg.kyushu-u.ac.jp/M3/20110414/F50963/984/1", 64.42)</f>
        <v>64.42</v>
      </c>
      <c r="E1457" s="2">
        <v>42.97</v>
      </c>
      <c r="F1457" s="2">
        <v>2</v>
      </c>
      <c r="G1457" s="2" t="s">
        <v>12</v>
      </c>
    </row>
    <row r="1458" spans="1:9" x14ac:dyDescent="0.2">
      <c r="A1458" s="2" t="s">
        <v>3737</v>
      </c>
      <c r="B1458" s="2" t="s">
        <v>1681</v>
      </c>
      <c r="C1458" s="2">
        <v>851.10979999999995</v>
      </c>
      <c r="D1458" s="2">
        <f>HYPERLINK("http://mcb-m6.bioreg.kyushu-u.ac.jp/M3/20110414/F50963/3726/1", 64.7)</f>
        <v>64.7</v>
      </c>
      <c r="E1458" s="2">
        <v>17.010000000000002</v>
      </c>
      <c r="F1458" s="2">
        <v>3</v>
      </c>
      <c r="G1458" s="2" t="s">
        <v>12</v>
      </c>
      <c r="I1458" s="2" t="s">
        <v>4890</v>
      </c>
    </row>
    <row r="1459" spans="1:9" x14ac:dyDescent="0.2">
      <c r="A1459" s="2" t="s">
        <v>3737</v>
      </c>
      <c r="B1459" s="2" t="s">
        <v>739</v>
      </c>
      <c r="C1459" s="2">
        <v>566.86270000000002</v>
      </c>
      <c r="D1459" s="2">
        <f>HYPERLINK("http://mcb-m6.bioreg.kyushu-u.ac.jp/M3/20110414/F50963/980/1", 65.04)</f>
        <v>65.040000000000006</v>
      </c>
      <c r="E1459" s="2">
        <v>40.85</v>
      </c>
      <c r="F1459" s="2">
        <v>2</v>
      </c>
      <c r="G1459" s="2" t="s">
        <v>12</v>
      </c>
    </row>
    <row r="1460" spans="1:9" x14ac:dyDescent="0.2">
      <c r="A1460" s="2" t="s">
        <v>3737</v>
      </c>
      <c r="B1460" s="2" t="s">
        <v>739</v>
      </c>
      <c r="C1460" s="2">
        <v>567.15060000000005</v>
      </c>
      <c r="D1460" s="2">
        <f>HYPERLINK("http://mcb-m6.bioreg.kyushu-u.ac.jp/M3/20110414/F50963/983/1", 67.67)</f>
        <v>67.67</v>
      </c>
      <c r="E1460" s="2">
        <v>45.86</v>
      </c>
      <c r="F1460" s="2">
        <v>2</v>
      </c>
      <c r="G1460" s="2" t="s">
        <v>12</v>
      </c>
    </row>
    <row r="1461" spans="1:9" x14ac:dyDescent="0.2">
      <c r="A1461" s="2" t="s">
        <v>3737</v>
      </c>
      <c r="B1461" s="2" t="s">
        <v>739</v>
      </c>
      <c r="C1461" s="2">
        <v>566.5172</v>
      </c>
      <c r="D1461" s="2">
        <f>HYPERLINK("http://mcb-m6.bioreg.kyushu-u.ac.jp/M3/20110414/F50963/971/1", 70.54)</f>
        <v>70.540000000000006</v>
      </c>
      <c r="E1461" s="2">
        <v>43.06</v>
      </c>
      <c r="F1461" s="2">
        <v>2</v>
      </c>
      <c r="G1461" s="2" t="s">
        <v>12</v>
      </c>
    </row>
    <row r="1462" spans="1:9" x14ac:dyDescent="0.2">
      <c r="A1462" s="2" t="s">
        <v>3737</v>
      </c>
      <c r="B1462" s="2" t="s">
        <v>1681</v>
      </c>
      <c r="C1462" s="2">
        <v>850.90750000000003</v>
      </c>
      <c r="D1462" s="2">
        <f>HYPERLINK("http://mcb-m6.bioreg.kyushu-u.ac.jp/M3/20110414/F50966/3260/1", 72.59)</f>
        <v>72.59</v>
      </c>
      <c r="E1462" s="2">
        <v>61.83</v>
      </c>
      <c r="F1462" s="2">
        <v>3</v>
      </c>
      <c r="G1462" s="2" t="s">
        <v>12</v>
      </c>
      <c r="I1462" s="2" t="s">
        <v>4890</v>
      </c>
    </row>
    <row r="1463" spans="1:9" x14ac:dyDescent="0.2">
      <c r="A1463" s="2" t="s">
        <v>3737</v>
      </c>
      <c r="B1463" s="2" t="s">
        <v>739</v>
      </c>
      <c r="C1463" s="2">
        <v>566.62519999999995</v>
      </c>
      <c r="D1463" s="2">
        <f>HYPERLINK("http://mcb-m6.bioreg.kyushu-u.ac.jp/M3/20110414/F50963/973/1", 72.71)</f>
        <v>72.709999999999994</v>
      </c>
      <c r="E1463" s="2">
        <v>46.58</v>
      </c>
      <c r="F1463" s="2">
        <v>2</v>
      </c>
      <c r="G1463" s="2" t="s">
        <v>12</v>
      </c>
    </row>
    <row r="1464" spans="1:9" x14ac:dyDescent="0.2">
      <c r="A1464" s="2" t="s">
        <v>3737</v>
      </c>
      <c r="B1464" s="2" t="s">
        <v>739</v>
      </c>
      <c r="C1464" s="2">
        <v>567.18820000000005</v>
      </c>
      <c r="D1464" s="2">
        <f>HYPERLINK("http://mcb-m6.bioreg.kyushu-u.ac.jp/M3/20110414/F50933/1689/1", 75.32)</f>
        <v>75.319999999999993</v>
      </c>
      <c r="E1464" s="2">
        <v>51.25</v>
      </c>
      <c r="F1464" s="2">
        <v>2</v>
      </c>
      <c r="G1464" s="2" t="s">
        <v>12</v>
      </c>
    </row>
    <row r="1465" spans="1:9" x14ac:dyDescent="0.2">
      <c r="A1465" s="2" t="s">
        <v>3737</v>
      </c>
      <c r="B1465" s="2" t="s">
        <v>739</v>
      </c>
      <c r="C1465" s="2">
        <v>566.75710000000004</v>
      </c>
      <c r="D1465" s="2">
        <f>HYPERLINK("http://mcb-m6.bioreg.kyushu-u.ac.jp/M3/20110414/F50947/1023/1", 75.39)</f>
        <v>75.39</v>
      </c>
      <c r="E1465" s="2">
        <v>48.14</v>
      </c>
      <c r="F1465" s="2">
        <v>2</v>
      </c>
      <c r="G1465" s="2" t="s">
        <v>12</v>
      </c>
    </row>
    <row r="1466" spans="1:9" x14ac:dyDescent="0.2">
      <c r="A1466" s="2" t="s">
        <v>3737</v>
      </c>
      <c r="B1466" s="2" t="s">
        <v>1681</v>
      </c>
      <c r="C1466" s="2">
        <v>1275.3489999999999</v>
      </c>
      <c r="D1466" s="2">
        <f>HYPERLINK("http://mcb-m6.bioreg.kyushu-u.ac.jp/M3/20110414/F50966/3259/1", 77.1)</f>
        <v>77.099999999999994</v>
      </c>
      <c r="E1466" s="2">
        <v>65.47</v>
      </c>
      <c r="F1466" s="2">
        <v>2</v>
      </c>
      <c r="G1466" s="2" t="s">
        <v>12</v>
      </c>
      <c r="I1466" s="2" t="s">
        <v>4890</v>
      </c>
    </row>
    <row r="1467" spans="1:9" x14ac:dyDescent="0.2">
      <c r="A1467" s="2" t="s">
        <v>3737</v>
      </c>
      <c r="B1467" s="2" t="s">
        <v>1681</v>
      </c>
      <c r="C1467" s="2">
        <v>1275.703</v>
      </c>
      <c r="D1467" s="2">
        <f>HYPERLINK("http://mcb-m6.bioreg.kyushu-u.ac.jp/M3/20110414/F50963/3724/1", 151.38)</f>
        <v>151.38</v>
      </c>
      <c r="E1467" s="2">
        <v>138.44</v>
      </c>
      <c r="F1467" s="2">
        <v>2</v>
      </c>
      <c r="G1467" s="2" t="s">
        <v>12</v>
      </c>
      <c r="I1467" s="2" t="s">
        <v>4890</v>
      </c>
    </row>
    <row r="1468" spans="1:9" x14ac:dyDescent="0.2">
      <c r="A1468" s="2" t="s">
        <v>3737</v>
      </c>
      <c r="B1468" s="2" t="s">
        <v>739</v>
      </c>
      <c r="C1468" s="2">
        <v>567.19870000000003</v>
      </c>
      <c r="D1468" s="2">
        <f>HYPERLINK("http://mcb-m6.bioreg.kyushu-u.ac.jp/M3/20110502/F51169/1446/1", 39.08)</f>
        <v>39.08</v>
      </c>
      <c r="E1468" s="2">
        <v>21.31</v>
      </c>
      <c r="F1468" s="2">
        <v>2</v>
      </c>
      <c r="G1468" s="2" t="s">
        <v>13</v>
      </c>
    </row>
    <row r="1469" spans="1:9" x14ac:dyDescent="0.2">
      <c r="A1469" s="2" t="s">
        <v>3737</v>
      </c>
      <c r="B1469" s="2" t="s">
        <v>739</v>
      </c>
      <c r="C1469" s="2">
        <v>566.95669999999996</v>
      </c>
      <c r="D1469" s="2">
        <f>HYPERLINK("http://mcb-m6.bioreg.kyushu-u.ac.jp/M3/20110502/F51170/1270/1", 43.48)</f>
        <v>43.48</v>
      </c>
      <c r="E1469" s="2">
        <v>25.36</v>
      </c>
      <c r="F1469" s="2">
        <v>2</v>
      </c>
      <c r="G1469" s="2" t="s">
        <v>13</v>
      </c>
    </row>
    <row r="1470" spans="1:9" x14ac:dyDescent="0.2">
      <c r="A1470" s="2" t="s">
        <v>3737</v>
      </c>
      <c r="B1470" s="2" t="s">
        <v>1681</v>
      </c>
      <c r="C1470" s="2">
        <v>850.83849999999995</v>
      </c>
      <c r="D1470" s="2">
        <f>HYPERLINK("http://mcb-m6.bioreg.kyushu-u.ac.jp/M3/20110502/F51187/3232/1", 58.48)</f>
        <v>58.48</v>
      </c>
      <c r="E1470" s="2">
        <v>47.49</v>
      </c>
      <c r="F1470" s="2">
        <v>3</v>
      </c>
      <c r="G1470" s="2" t="s">
        <v>13</v>
      </c>
      <c r="I1470" s="2" t="s">
        <v>4890</v>
      </c>
    </row>
    <row r="1471" spans="1:9" x14ac:dyDescent="0.2">
      <c r="A1471" s="2" t="s">
        <v>3737</v>
      </c>
      <c r="B1471" s="2" t="s">
        <v>739</v>
      </c>
      <c r="C1471" s="2">
        <v>566.86519999999996</v>
      </c>
      <c r="D1471" s="2">
        <f>HYPERLINK("http://mcb-m6.bioreg.kyushu-u.ac.jp/M3/20110502/F51187/975/1", 64.09)</f>
        <v>64.09</v>
      </c>
      <c r="E1471" s="2">
        <v>35.97</v>
      </c>
      <c r="F1471" s="2">
        <v>2</v>
      </c>
      <c r="G1471" s="2" t="s">
        <v>13</v>
      </c>
    </row>
    <row r="1472" spans="1:9" x14ac:dyDescent="0.2">
      <c r="A1472" s="2" t="s">
        <v>3737</v>
      </c>
      <c r="B1472" s="2" t="s">
        <v>1681</v>
      </c>
      <c r="C1472" s="2">
        <v>856.38850000000002</v>
      </c>
      <c r="D1472" s="2">
        <f>HYPERLINK("http://mcb-m6.bioreg.kyushu-u.ac.jp/M3/20110502/F51187/3246/1", 70.39)</f>
        <v>70.39</v>
      </c>
      <c r="E1472" s="2">
        <v>63.33</v>
      </c>
      <c r="F1472" s="2">
        <v>3</v>
      </c>
      <c r="G1472" s="2" t="s">
        <v>13</v>
      </c>
      <c r="H1472" s="2" t="s">
        <v>4925</v>
      </c>
      <c r="I1472" s="2" t="s">
        <v>4890</v>
      </c>
    </row>
    <row r="1473" spans="1:7" x14ac:dyDescent="0.2">
      <c r="A1473" s="2" t="s">
        <v>3737</v>
      </c>
      <c r="B1473" s="2" t="s">
        <v>739</v>
      </c>
      <c r="C1473" s="2">
        <v>566.96169999999995</v>
      </c>
      <c r="D1473" s="2">
        <f>HYPERLINK("http://mcb-m6.bioreg.kyushu-u.ac.jp/M3/20110502/F51175/1237/1", 72.7)</f>
        <v>72.7</v>
      </c>
      <c r="E1473" s="2">
        <v>46.65</v>
      </c>
      <c r="F1473" s="2">
        <v>2</v>
      </c>
      <c r="G1473" s="2" t="s">
        <v>13</v>
      </c>
    </row>
    <row r="1474" spans="1:7" x14ac:dyDescent="0.2">
      <c r="A1474" s="2" t="s">
        <v>3737</v>
      </c>
      <c r="B1474" s="2" t="s">
        <v>739</v>
      </c>
      <c r="C1474" s="2">
        <v>566.96720000000005</v>
      </c>
      <c r="D1474" s="2">
        <f>HYPERLINK("http://mcb-m6.bioreg.kyushu-u.ac.jp/M3/20110502/F51174/1359/1", 72.88)</f>
        <v>72.88</v>
      </c>
      <c r="E1474" s="2">
        <v>48.64</v>
      </c>
      <c r="F1474" s="2">
        <v>2</v>
      </c>
      <c r="G1474" s="2" t="s">
        <v>13</v>
      </c>
    </row>
    <row r="1475" spans="1:7" x14ac:dyDescent="0.2">
      <c r="A1475" s="2" t="s">
        <v>3737</v>
      </c>
      <c r="B1475" s="2" t="s">
        <v>739</v>
      </c>
      <c r="C1475" s="2">
        <v>567.0077</v>
      </c>
      <c r="D1475" s="2">
        <f>HYPERLINK("http://mcb-m6.bioreg.kyushu-u.ac.jp/M3/20110502/F51180/950/1", 72.89)</f>
        <v>72.89</v>
      </c>
      <c r="E1475" s="2">
        <v>49.97</v>
      </c>
      <c r="F1475" s="2">
        <v>2</v>
      </c>
      <c r="G1475" s="2" t="s">
        <v>13</v>
      </c>
    </row>
    <row r="1476" spans="1:7" x14ac:dyDescent="0.2">
      <c r="A1476" s="2" t="s">
        <v>3737</v>
      </c>
      <c r="B1476" s="2" t="s">
        <v>739</v>
      </c>
      <c r="C1476" s="2">
        <v>566.92219999999998</v>
      </c>
      <c r="D1476" s="2">
        <f>HYPERLINK("http://mcb-m6.bioreg.kyushu-u.ac.jp/M3/20110502/F51189/1055/1", 75.13)</f>
        <v>75.13</v>
      </c>
      <c r="E1476" s="2">
        <v>48.05</v>
      </c>
      <c r="F1476" s="2">
        <v>2</v>
      </c>
      <c r="G1476" s="2" t="s">
        <v>13</v>
      </c>
    </row>
    <row r="1477" spans="1:7" x14ac:dyDescent="0.2">
      <c r="A1477" s="2" t="s">
        <v>3737</v>
      </c>
      <c r="B1477" s="2" t="s">
        <v>739</v>
      </c>
      <c r="C1477" s="2">
        <v>566.90769999999998</v>
      </c>
      <c r="D1477" s="2">
        <f>HYPERLINK("http://mcb-m6.bioreg.kyushu-u.ac.jp/M3/20110502/F51187/979/1", 75.37)</f>
        <v>75.37</v>
      </c>
      <c r="E1477" s="2">
        <v>48.77</v>
      </c>
      <c r="F1477" s="2">
        <v>2</v>
      </c>
      <c r="G1477" s="2" t="s">
        <v>13</v>
      </c>
    </row>
    <row r="1478" spans="1:7" x14ac:dyDescent="0.2">
      <c r="A1478" s="2" t="s">
        <v>3737</v>
      </c>
      <c r="B1478" s="2" t="s">
        <v>739</v>
      </c>
      <c r="C1478" s="2">
        <v>566.94269999999995</v>
      </c>
      <c r="D1478" s="2">
        <f>HYPERLINK("http://mcb-m6.bioreg.kyushu-u.ac.jp/M3/20110502/F51168/1429/1", 75.38)</f>
        <v>75.38</v>
      </c>
      <c r="E1478" s="2">
        <v>48.16</v>
      </c>
      <c r="F1478" s="2">
        <v>2</v>
      </c>
      <c r="G1478" s="2" t="s">
        <v>13</v>
      </c>
    </row>
    <row r="1479" spans="1:7" x14ac:dyDescent="0.2">
      <c r="A1479" s="2" t="s">
        <v>3737</v>
      </c>
      <c r="B1479" s="2" t="s">
        <v>739</v>
      </c>
      <c r="C1479" s="2">
        <v>566.92769999999996</v>
      </c>
      <c r="D1479" s="2">
        <f>HYPERLINK("http://mcb-m6.bioreg.kyushu-u.ac.jp/M3/20110502/F51169/1442/1", 75.41)</f>
        <v>75.41</v>
      </c>
      <c r="E1479" s="2">
        <v>48.24</v>
      </c>
      <c r="F1479" s="2">
        <v>2</v>
      </c>
      <c r="G1479" s="2" t="s">
        <v>13</v>
      </c>
    </row>
    <row r="1480" spans="1:7" x14ac:dyDescent="0.2">
      <c r="A1480" s="2" t="s">
        <v>3737</v>
      </c>
      <c r="B1480" s="2" t="s">
        <v>739</v>
      </c>
      <c r="C1480" s="2">
        <v>566.96370000000002</v>
      </c>
      <c r="D1480" s="2">
        <f>HYPERLINK("http://mcb-m6.bioreg.kyushu-u.ac.jp/M3/20110502/F51171/1298/1", 75.41)</f>
        <v>75.41</v>
      </c>
      <c r="E1480" s="2">
        <v>51.51</v>
      </c>
      <c r="F1480" s="2">
        <v>2</v>
      </c>
      <c r="G1480" s="2" t="s">
        <v>13</v>
      </c>
    </row>
    <row r="1481" spans="1:7" x14ac:dyDescent="0.2">
      <c r="A1481" s="2" t="s">
        <v>3737</v>
      </c>
      <c r="B1481" s="2" t="s">
        <v>739</v>
      </c>
      <c r="C1481" s="2">
        <v>567.36659999999995</v>
      </c>
      <c r="D1481" s="2">
        <f>HYPERLINK("http://mcb-m6.bioreg.kyushu-u.ac.jp/M3/20110502/F51187/984/1", 75.41)</f>
        <v>75.41</v>
      </c>
      <c r="E1481" s="2">
        <v>50.07</v>
      </c>
      <c r="F1481" s="2">
        <v>2</v>
      </c>
      <c r="G1481" s="2" t="s">
        <v>13</v>
      </c>
    </row>
    <row r="1482" spans="1:7" x14ac:dyDescent="0.2">
      <c r="A1482" s="2" t="s">
        <v>3737</v>
      </c>
      <c r="B1482" s="2" t="s">
        <v>739</v>
      </c>
      <c r="C1482" s="2">
        <v>566.82370000000003</v>
      </c>
      <c r="D1482" s="2">
        <f>HYPERLINK("http://mcb-m6.bioreg.kyushu-u.ac.jp/M3/20110502/F51187/974/1", 75.44)</f>
        <v>75.44</v>
      </c>
      <c r="E1482" s="2">
        <v>48.23</v>
      </c>
      <c r="F1482" s="2">
        <v>2</v>
      </c>
      <c r="G1482" s="2" t="s">
        <v>13</v>
      </c>
    </row>
    <row r="1483" spans="1:7" x14ac:dyDescent="0.2">
      <c r="A1483" s="2" t="s">
        <v>3737</v>
      </c>
      <c r="B1483" s="2" t="s">
        <v>739</v>
      </c>
      <c r="C1483" s="2">
        <v>566.92769999999996</v>
      </c>
      <c r="D1483" s="2">
        <f>HYPERLINK("http://mcb-m6.bioreg.kyushu-u.ac.jp/M3/20110502/F51187/980/1", 78.44)</f>
        <v>78.44</v>
      </c>
      <c r="E1483" s="2">
        <v>52.86</v>
      </c>
      <c r="F1483" s="2">
        <v>2</v>
      </c>
      <c r="G1483" s="2" t="s">
        <v>13</v>
      </c>
    </row>
    <row r="1484" spans="1:7" x14ac:dyDescent="0.2">
      <c r="A1484" s="2" t="s">
        <v>3737</v>
      </c>
      <c r="B1484" s="2" t="s">
        <v>739</v>
      </c>
      <c r="C1484" s="2">
        <v>566.85569999999996</v>
      </c>
      <c r="D1484" s="2">
        <f>HYPERLINK("http://mcb-m6.bioreg.kyushu-u.ac.jp/M3/20110502/F51188/1135/1", 85.85)</f>
        <v>85.85</v>
      </c>
      <c r="E1484" s="2">
        <v>57.24</v>
      </c>
      <c r="F1484" s="2">
        <v>2</v>
      </c>
      <c r="G1484" s="2" t="s">
        <v>13</v>
      </c>
    </row>
    <row r="1485" spans="1:7" x14ac:dyDescent="0.2">
      <c r="A1485" s="2" t="s">
        <v>3737</v>
      </c>
      <c r="B1485" s="2" t="s">
        <v>739</v>
      </c>
      <c r="C1485" s="2">
        <v>567.34119999999996</v>
      </c>
      <c r="D1485" s="2">
        <f>HYPERLINK("http://mcb-m6.bioreg.kyushu-u.ac.jp/M3/20110502/F51191/960/1", 35.82)</f>
        <v>35.82</v>
      </c>
      <c r="E1485" s="2">
        <v>21.1</v>
      </c>
      <c r="F1485" s="2">
        <v>2</v>
      </c>
      <c r="G1485" s="2" t="s">
        <v>14</v>
      </c>
    </row>
    <row r="1486" spans="1:7" x14ac:dyDescent="0.2">
      <c r="A1486" s="2" t="s">
        <v>3737</v>
      </c>
      <c r="B1486" s="2" t="s">
        <v>739</v>
      </c>
      <c r="C1486" s="2">
        <v>1132.75</v>
      </c>
      <c r="D1486" s="2">
        <f>HYPERLINK("http://mcb-m6.bioreg.kyushu-u.ac.jp/M3/20110502/F51179/893/1", 36.78)</f>
        <v>36.78</v>
      </c>
      <c r="E1486" s="2">
        <v>22.53</v>
      </c>
      <c r="F1486" s="2">
        <v>1</v>
      </c>
      <c r="G1486" s="2" t="s">
        <v>14</v>
      </c>
    </row>
    <row r="1487" spans="1:7" x14ac:dyDescent="0.2">
      <c r="A1487" s="2" t="s">
        <v>3737</v>
      </c>
      <c r="B1487" s="2" t="s">
        <v>739</v>
      </c>
      <c r="C1487" s="2">
        <v>1132.809</v>
      </c>
      <c r="D1487" s="2">
        <f>HYPERLINK("http://mcb-m6.bioreg.kyushu-u.ac.jp/M3/20110502/F51191/953/1", 36.96)</f>
        <v>36.96</v>
      </c>
      <c r="E1487" s="2">
        <v>21.18</v>
      </c>
      <c r="F1487" s="2">
        <v>1</v>
      </c>
      <c r="G1487" s="2" t="s">
        <v>14</v>
      </c>
    </row>
    <row r="1488" spans="1:7" x14ac:dyDescent="0.2">
      <c r="A1488" s="2" t="s">
        <v>3737</v>
      </c>
      <c r="B1488" s="2" t="s">
        <v>739</v>
      </c>
      <c r="C1488" s="2">
        <v>567.14419999999996</v>
      </c>
      <c r="D1488" s="2">
        <f>HYPERLINK("http://mcb-m6.bioreg.kyushu-u.ac.jp/M3/20110502/F51179/896/1", 37.36)</f>
        <v>37.36</v>
      </c>
      <c r="E1488" s="2">
        <v>16.48</v>
      </c>
      <c r="F1488" s="2">
        <v>2</v>
      </c>
      <c r="G1488" s="2" t="s">
        <v>14</v>
      </c>
    </row>
    <row r="1489" spans="1:9" x14ac:dyDescent="0.2">
      <c r="A1489" s="2" t="s">
        <v>3737</v>
      </c>
      <c r="B1489" s="2" t="s">
        <v>739</v>
      </c>
      <c r="C1489" s="2">
        <v>567.03120000000001</v>
      </c>
      <c r="D1489" s="2">
        <f>HYPERLINK("http://mcb-m6.bioreg.kyushu-u.ac.jp/M3/20110502/F51191/957/1", 37.81)</f>
        <v>37.81</v>
      </c>
      <c r="E1489" s="2">
        <v>24.31</v>
      </c>
      <c r="F1489" s="2">
        <v>2</v>
      </c>
      <c r="G1489" s="2" t="s">
        <v>14</v>
      </c>
    </row>
    <row r="1490" spans="1:9" x14ac:dyDescent="0.2">
      <c r="A1490" s="2" t="s">
        <v>3737</v>
      </c>
      <c r="B1490" s="2" t="s">
        <v>1681</v>
      </c>
      <c r="C1490" s="2">
        <v>1283.845</v>
      </c>
      <c r="D1490" s="2">
        <f>HYPERLINK("http://mcb-m6.bioreg.kyushu-u.ac.jp/M3/20110502/F51192/3579/1", 39.46)</f>
        <v>39.46</v>
      </c>
      <c r="E1490" s="2">
        <v>32.22</v>
      </c>
      <c r="F1490" s="2">
        <v>2</v>
      </c>
      <c r="G1490" s="2" t="s">
        <v>14</v>
      </c>
      <c r="H1490" s="2" t="s">
        <v>4925</v>
      </c>
      <c r="I1490" s="2" t="s">
        <v>4890</v>
      </c>
    </row>
    <row r="1491" spans="1:9" x14ac:dyDescent="0.2">
      <c r="A1491" s="2" t="s">
        <v>3737</v>
      </c>
      <c r="B1491" s="2" t="s">
        <v>3062</v>
      </c>
      <c r="C1491" s="2">
        <v>815.98770000000002</v>
      </c>
      <c r="D1491" s="2">
        <f>HYPERLINK("http://mcb-m6.bioreg.kyushu-u.ac.jp/M3/20110502/F51191/2025/1", 40.99)</f>
        <v>40.99</v>
      </c>
      <c r="E1491" s="2">
        <v>17.32</v>
      </c>
      <c r="F1491" s="2">
        <v>2</v>
      </c>
      <c r="G1491" s="2" t="s">
        <v>14</v>
      </c>
    </row>
    <row r="1492" spans="1:9" x14ac:dyDescent="0.2">
      <c r="A1492" s="2" t="s">
        <v>3737</v>
      </c>
      <c r="B1492" s="2" t="s">
        <v>739</v>
      </c>
      <c r="C1492" s="2">
        <v>567.3297</v>
      </c>
      <c r="D1492" s="2">
        <f>HYPERLINK("http://mcb-m6.bioreg.kyushu-u.ac.jp/M3/20110502/F51178/1382/1", 55.68)</f>
        <v>55.68</v>
      </c>
      <c r="E1492" s="2">
        <v>34.369999999999997</v>
      </c>
      <c r="F1492" s="2">
        <v>2</v>
      </c>
      <c r="G1492" s="2" t="s">
        <v>14</v>
      </c>
    </row>
    <row r="1493" spans="1:9" x14ac:dyDescent="0.2">
      <c r="A1493" s="2" t="s">
        <v>3737</v>
      </c>
      <c r="B1493" s="2" t="s">
        <v>739</v>
      </c>
      <c r="C1493" s="2">
        <v>567.04520000000002</v>
      </c>
      <c r="D1493" s="2">
        <f>HYPERLINK("http://mcb-m6.bioreg.kyushu-u.ac.jp/M3/20110502/F51192/965/1", 56.97)</f>
        <v>56.97</v>
      </c>
      <c r="E1493" s="2">
        <v>35.880000000000003</v>
      </c>
      <c r="F1493" s="2">
        <v>2</v>
      </c>
      <c r="G1493" s="2" t="s">
        <v>14</v>
      </c>
    </row>
    <row r="1494" spans="1:9" x14ac:dyDescent="0.2">
      <c r="A1494" s="2" t="s">
        <v>3737</v>
      </c>
      <c r="B1494" s="2" t="s">
        <v>739</v>
      </c>
      <c r="C1494" s="2">
        <v>567.0856</v>
      </c>
      <c r="D1494" s="2">
        <f>HYPERLINK("http://mcb-m6.bioreg.kyushu-u.ac.jp/M3/20110502/F51182/957/1", 59.87)</f>
        <v>59.87</v>
      </c>
      <c r="E1494" s="2">
        <v>40.229999999999997</v>
      </c>
      <c r="F1494" s="2">
        <v>2</v>
      </c>
      <c r="G1494" s="2" t="s">
        <v>14</v>
      </c>
    </row>
    <row r="1495" spans="1:9" x14ac:dyDescent="0.2">
      <c r="A1495" s="2" t="s">
        <v>3737</v>
      </c>
      <c r="B1495" s="2" t="s">
        <v>739</v>
      </c>
      <c r="C1495" s="2">
        <v>566.48569999999995</v>
      </c>
      <c r="D1495" s="2">
        <f>HYPERLINK("http://mcb-m6.bioreg.kyushu-u.ac.jp/M3/20110502/F51179/891/1", 65.64)</f>
        <v>65.64</v>
      </c>
      <c r="E1495" s="2">
        <v>42.21</v>
      </c>
      <c r="F1495" s="2">
        <v>2</v>
      </c>
      <c r="G1495" s="2" t="s">
        <v>14</v>
      </c>
    </row>
    <row r="1496" spans="1:9" x14ac:dyDescent="0.2">
      <c r="A1496" s="2" t="s">
        <v>3737</v>
      </c>
      <c r="B1496" s="2" t="s">
        <v>1681</v>
      </c>
      <c r="C1496" s="2">
        <v>850.9778</v>
      </c>
      <c r="D1496" s="2">
        <f>HYPERLINK("http://mcb-m6.bioreg.kyushu-u.ac.jp/M3/20110502/F51192/3563/1", 67.52)</f>
        <v>67.52</v>
      </c>
      <c r="E1496" s="2">
        <v>61.57</v>
      </c>
      <c r="F1496" s="2">
        <v>3</v>
      </c>
      <c r="G1496" s="2" t="s">
        <v>14</v>
      </c>
      <c r="I1496" s="2" t="s">
        <v>4890</v>
      </c>
    </row>
    <row r="1497" spans="1:9" x14ac:dyDescent="0.2">
      <c r="A1497" s="2" t="s">
        <v>3737</v>
      </c>
      <c r="B1497" s="2" t="s">
        <v>739</v>
      </c>
      <c r="C1497" s="2">
        <v>567.00319999999999</v>
      </c>
      <c r="D1497" s="2">
        <f>HYPERLINK("http://mcb-m6.bioreg.kyushu-u.ac.jp/M3/20110502/F51185/997/1", 70.24)</f>
        <v>70.239999999999995</v>
      </c>
      <c r="E1497" s="2">
        <v>47.1</v>
      </c>
      <c r="F1497" s="2">
        <v>2</v>
      </c>
      <c r="G1497" s="2" t="s">
        <v>14</v>
      </c>
    </row>
    <row r="1498" spans="1:9" x14ac:dyDescent="0.2">
      <c r="A1498" s="2" t="s">
        <v>3737</v>
      </c>
      <c r="B1498" s="2" t="s">
        <v>739</v>
      </c>
      <c r="C1498" s="2">
        <v>566.94420000000002</v>
      </c>
      <c r="D1498" s="2">
        <f>HYPERLINK("http://mcb-m6.bioreg.kyushu-u.ac.jp/M3/20110502/F51191/954/1", 75.47)</f>
        <v>75.47</v>
      </c>
      <c r="E1498" s="2">
        <v>48.27</v>
      </c>
      <c r="F1498" s="2">
        <v>2</v>
      </c>
      <c r="G1498" s="2" t="s">
        <v>14</v>
      </c>
    </row>
    <row r="1499" spans="1:9" x14ac:dyDescent="0.2">
      <c r="A1499" s="2" t="s">
        <v>3737</v>
      </c>
      <c r="B1499" s="2" t="s">
        <v>1681</v>
      </c>
      <c r="C1499" s="2">
        <v>1276.165</v>
      </c>
      <c r="D1499" s="2">
        <f>HYPERLINK("http://mcb-m6.bioreg.kyushu-u.ac.jp/M3/20110502/F51181/3301/1", 145.71)</f>
        <v>145.71</v>
      </c>
      <c r="E1499" s="2">
        <v>97.1</v>
      </c>
      <c r="F1499" s="2">
        <v>2</v>
      </c>
      <c r="G1499" s="2" t="s">
        <v>14</v>
      </c>
      <c r="I1499" s="2" t="s">
        <v>4890</v>
      </c>
    </row>
    <row r="1500" spans="1:9" x14ac:dyDescent="0.2">
      <c r="A1500" s="2" t="s">
        <v>3737</v>
      </c>
      <c r="B1500" s="2" t="s">
        <v>1681</v>
      </c>
      <c r="C1500" s="2">
        <v>1276.056</v>
      </c>
      <c r="D1500" s="2">
        <f>HYPERLINK("http://mcb-m6.bioreg.kyushu-u.ac.jp/M3/20110502/F51192/3564/1", 163.34)</f>
        <v>163.34</v>
      </c>
      <c r="E1500" s="2">
        <v>113.98</v>
      </c>
      <c r="F1500" s="2">
        <v>2</v>
      </c>
      <c r="G1500" s="2" t="s">
        <v>14</v>
      </c>
      <c r="I1500" s="2" t="s">
        <v>4890</v>
      </c>
    </row>
    <row r="1501" spans="1:9" x14ac:dyDescent="0.2">
      <c r="A1501" s="2" t="s">
        <v>3430</v>
      </c>
      <c r="B1501" s="2" t="s">
        <v>238</v>
      </c>
      <c r="C1501" s="2">
        <v>1083.058</v>
      </c>
      <c r="D1501" s="2">
        <f>HYPERLINK("http://mcb-m6.bioreg.kyushu-u.ac.jp/M3/20110411/F50919/4297/1", 38.31)</f>
        <v>38.31</v>
      </c>
      <c r="E1501" s="2">
        <v>24.97</v>
      </c>
      <c r="F1501" s="2">
        <v>3</v>
      </c>
      <c r="G1501" s="2" t="s">
        <v>9</v>
      </c>
      <c r="H1501" s="2" t="s">
        <v>4912</v>
      </c>
      <c r="I1501" s="2" t="s">
        <v>4913</v>
      </c>
    </row>
    <row r="1502" spans="1:9" x14ac:dyDescent="0.2">
      <c r="A1502" s="2" t="s">
        <v>3266</v>
      </c>
      <c r="B1502" s="2" t="s">
        <v>46</v>
      </c>
      <c r="C1502" s="2">
        <v>977.84220000000005</v>
      </c>
      <c r="D1502" s="2">
        <f>HYPERLINK("http://mcb-m6.bioreg.kyushu-u.ac.jp/M3/20110411/F50919/2863/1", 35.4)</f>
        <v>35.4</v>
      </c>
      <c r="E1502" s="2">
        <v>21.98</v>
      </c>
      <c r="F1502" s="2">
        <v>2</v>
      </c>
      <c r="G1502" s="2" t="s">
        <v>9</v>
      </c>
    </row>
    <row r="1503" spans="1:9" x14ac:dyDescent="0.2">
      <c r="A1503" s="2" t="s">
        <v>3266</v>
      </c>
      <c r="B1503" s="2" t="s">
        <v>46</v>
      </c>
      <c r="C1503" s="2">
        <v>977.70820000000003</v>
      </c>
      <c r="D1503" s="2">
        <f>HYPERLINK("http://mcb-m6.bioreg.kyushu-u.ac.jp/M3/20110411/F50895/3112/1", 40.66)</f>
        <v>40.659999999999997</v>
      </c>
      <c r="E1503" s="2">
        <v>21.77</v>
      </c>
      <c r="F1503" s="2">
        <v>2</v>
      </c>
      <c r="G1503" s="2" t="s">
        <v>9</v>
      </c>
    </row>
    <row r="1504" spans="1:9" x14ac:dyDescent="0.2">
      <c r="A1504" s="2" t="s">
        <v>3266</v>
      </c>
      <c r="B1504" s="2" t="s">
        <v>46</v>
      </c>
      <c r="C1504" s="2">
        <v>1954.9970000000001</v>
      </c>
      <c r="D1504" s="2">
        <f>HYPERLINK("http://mcb-m6.bioreg.kyushu-u.ac.jp/M3/20110411/F50919/2864/1", 53.22)</f>
        <v>53.22</v>
      </c>
      <c r="E1504" s="2">
        <v>21.44</v>
      </c>
      <c r="F1504" s="2">
        <v>1</v>
      </c>
      <c r="G1504" s="2" t="s">
        <v>9</v>
      </c>
    </row>
    <row r="1505" spans="1:7" x14ac:dyDescent="0.2">
      <c r="A1505" s="2" t="s">
        <v>3266</v>
      </c>
      <c r="B1505" s="2" t="s">
        <v>46</v>
      </c>
      <c r="C1505" s="2">
        <v>977.79669999999999</v>
      </c>
      <c r="D1505" s="2">
        <f>HYPERLINK("http://mcb-m6.bioreg.kyushu-u.ac.jp/M3/20110411/F50911/3283/1", 61.73)</f>
        <v>61.73</v>
      </c>
      <c r="E1505" s="2">
        <v>40.06</v>
      </c>
      <c r="F1505" s="2">
        <v>2</v>
      </c>
      <c r="G1505" s="2" t="s">
        <v>9</v>
      </c>
    </row>
    <row r="1506" spans="1:7" x14ac:dyDescent="0.2">
      <c r="A1506" s="2" t="s">
        <v>3266</v>
      </c>
      <c r="B1506" s="2" t="s">
        <v>46</v>
      </c>
      <c r="C1506" s="2">
        <v>977.67409999999995</v>
      </c>
      <c r="D1506" s="2">
        <f>HYPERLINK("http://mcb-m6.bioreg.kyushu-u.ac.jp/M3/20110411/F50894/2965/1", 64.82)</f>
        <v>64.819999999999993</v>
      </c>
      <c r="E1506" s="2">
        <v>38.909999999999997</v>
      </c>
      <c r="F1506" s="2">
        <v>2</v>
      </c>
      <c r="G1506" s="2" t="s">
        <v>9</v>
      </c>
    </row>
    <row r="1507" spans="1:7" x14ac:dyDescent="0.2">
      <c r="A1507" s="2" t="s">
        <v>3266</v>
      </c>
      <c r="B1507" s="2" t="s">
        <v>46</v>
      </c>
      <c r="C1507" s="2">
        <v>977.92610000000002</v>
      </c>
      <c r="D1507" s="2">
        <f>HYPERLINK("http://mcb-m6.bioreg.kyushu-u.ac.jp/M3/20110411/F50890/3255/1", 65.94)</f>
        <v>65.94</v>
      </c>
      <c r="E1507" s="2">
        <v>46.57</v>
      </c>
      <c r="F1507" s="2">
        <v>2</v>
      </c>
      <c r="G1507" s="2" t="s">
        <v>9</v>
      </c>
    </row>
    <row r="1508" spans="1:7" x14ac:dyDescent="0.2">
      <c r="A1508" s="2" t="s">
        <v>3266</v>
      </c>
      <c r="B1508" s="2" t="s">
        <v>46</v>
      </c>
      <c r="C1508" s="2">
        <v>977.6277</v>
      </c>
      <c r="D1508" s="2">
        <f>HYPERLINK("http://mcb-m6.bioreg.kyushu-u.ac.jp/M3/20110411/F50919/2858/1", 70.28)</f>
        <v>70.28</v>
      </c>
      <c r="E1508" s="2">
        <v>47.91</v>
      </c>
      <c r="F1508" s="2">
        <v>2</v>
      </c>
      <c r="G1508" s="2" t="s">
        <v>9</v>
      </c>
    </row>
    <row r="1509" spans="1:7" x14ac:dyDescent="0.2">
      <c r="A1509" s="2" t="s">
        <v>3266</v>
      </c>
      <c r="B1509" s="2" t="s">
        <v>46</v>
      </c>
      <c r="C1509" s="2">
        <v>977.57709999999997</v>
      </c>
      <c r="D1509" s="2">
        <f>HYPERLINK("http://mcb-m6.bioreg.kyushu-u.ac.jp/M3/20110411/F50916/3039/1", 70.58)</f>
        <v>70.58</v>
      </c>
      <c r="E1509" s="2">
        <v>47.82</v>
      </c>
      <c r="F1509" s="2">
        <v>2</v>
      </c>
      <c r="G1509" s="2" t="s">
        <v>9</v>
      </c>
    </row>
    <row r="1510" spans="1:7" x14ac:dyDescent="0.2">
      <c r="A1510" s="2" t="s">
        <v>3266</v>
      </c>
      <c r="B1510" s="2" t="s">
        <v>46</v>
      </c>
      <c r="C1510" s="2">
        <v>977.67110000000002</v>
      </c>
      <c r="D1510" s="2">
        <f>HYPERLINK("http://mcb-m6.bioreg.kyushu-u.ac.jp/M3/20110411/F50905/3181/1", 71.84)</f>
        <v>71.84</v>
      </c>
      <c r="E1510" s="2">
        <v>48.1</v>
      </c>
      <c r="F1510" s="2">
        <v>2</v>
      </c>
      <c r="G1510" s="2" t="s">
        <v>9</v>
      </c>
    </row>
    <row r="1511" spans="1:7" x14ac:dyDescent="0.2">
      <c r="A1511" s="2" t="s">
        <v>3266</v>
      </c>
      <c r="B1511" s="2" t="s">
        <v>46</v>
      </c>
      <c r="C1511" s="2">
        <v>977.50210000000004</v>
      </c>
      <c r="D1511" s="2">
        <f>HYPERLINK("http://mcb-m6.bioreg.kyushu-u.ac.jp/M3/20110411/F50915/3196/1", 73.91)</f>
        <v>73.91</v>
      </c>
      <c r="E1511" s="2">
        <v>48.53</v>
      </c>
      <c r="F1511" s="2">
        <v>2</v>
      </c>
      <c r="G1511" s="2" t="s">
        <v>9</v>
      </c>
    </row>
    <row r="1512" spans="1:7" x14ac:dyDescent="0.2">
      <c r="A1512" s="2" t="s">
        <v>3266</v>
      </c>
      <c r="B1512" s="2" t="s">
        <v>46</v>
      </c>
      <c r="C1512" s="2">
        <v>977.41060000000004</v>
      </c>
      <c r="D1512" s="2">
        <f>HYPERLINK("http://mcb-m6.bioreg.kyushu-u.ac.jp/M3/20110411/F50891/3345/1", 74.1)</f>
        <v>74.099999999999994</v>
      </c>
      <c r="E1512" s="2">
        <v>50.36</v>
      </c>
      <c r="F1512" s="2">
        <v>2</v>
      </c>
      <c r="G1512" s="2" t="s">
        <v>9</v>
      </c>
    </row>
    <row r="1513" spans="1:7" x14ac:dyDescent="0.2">
      <c r="A1513" s="2" t="s">
        <v>3266</v>
      </c>
      <c r="B1513" s="2" t="s">
        <v>46</v>
      </c>
      <c r="C1513" s="2">
        <v>977.95820000000003</v>
      </c>
      <c r="D1513" s="2">
        <f>HYPERLINK("http://mcb-m6.bioreg.kyushu-u.ac.jp/M3/20110411/F50904/3079/1", 76.86)</f>
        <v>76.86</v>
      </c>
      <c r="E1513" s="2">
        <v>15.93</v>
      </c>
      <c r="F1513" s="2">
        <v>2</v>
      </c>
      <c r="G1513" s="2" t="s">
        <v>9</v>
      </c>
    </row>
    <row r="1514" spans="1:7" x14ac:dyDescent="0.2">
      <c r="A1514" s="2" t="s">
        <v>3266</v>
      </c>
      <c r="B1514" s="2" t="s">
        <v>46</v>
      </c>
      <c r="C1514" s="2">
        <v>977.69460000000004</v>
      </c>
      <c r="D1514" s="2">
        <f>HYPERLINK("http://mcb-m6.bioreg.kyushu-u.ac.jp/M3/20110411/F50895/3111/1", 90.45)</f>
        <v>90.45</v>
      </c>
      <c r="E1514" s="2">
        <v>51.94</v>
      </c>
      <c r="F1514" s="2">
        <v>2</v>
      </c>
      <c r="G1514" s="2" t="s">
        <v>9</v>
      </c>
    </row>
    <row r="1515" spans="1:7" x14ac:dyDescent="0.2">
      <c r="A1515" s="2" t="s">
        <v>3266</v>
      </c>
      <c r="B1515" s="2" t="s">
        <v>46</v>
      </c>
      <c r="C1515" s="2">
        <v>977.55820000000006</v>
      </c>
      <c r="D1515" s="2">
        <f>HYPERLINK("http://mcb-m6.bioreg.kyushu-u.ac.jp/M3/20110411/F50892/3050/1", 93.46)</f>
        <v>93.46</v>
      </c>
      <c r="E1515" s="2">
        <v>59.63</v>
      </c>
      <c r="F1515" s="2">
        <v>2</v>
      </c>
      <c r="G1515" s="2" t="s">
        <v>9</v>
      </c>
    </row>
    <row r="1516" spans="1:7" x14ac:dyDescent="0.2">
      <c r="A1516" s="2" t="s">
        <v>3266</v>
      </c>
      <c r="B1516" s="2" t="s">
        <v>46</v>
      </c>
      <c r="C1516" s="2">
        <v>977.48109999999997</v>
      </c>
      <c r="D1516" s="2">
        <f>HYPERLINK("http://mcb-m6.bioreg.kyushu-u.ac.jp/M3/20110411/F50921/2878/1", 42.59)</f>
        <v>42.59</v>
      </c>
      <c r="E1516" s="2">
        <v>19.32</v>
      </c>
      <c r="F1516" s="2">
        <v>2</v>
      </c>
      <c r="G1516" s="2" t="s">
        <v>10</v>
      </c>
    </row>
    <row r="1517" spans="1:7" x14ac:dyDescent="0.2">
      <c r="A1517" s="2" t="s">
        <v>3266</v>
      </c>
      <c r="B1517" s="2" t="s">
        <v>46</v>
      </c>
      <c r="C1517" s="2">
        <v>978.03219999999999</v>
      </c>
      <c r="D1517" s="2">
        <f>HYPERLINK("http://mcb-m6.bioreg.kyushu-u.ac.jp/M3/20110411/F50921/2893/1", 44.12)</f>
        <v>44.12</v>
      </c>
      <c r="E1517" s="2">
        <v>30.83</v>
      </c>
      <c r="F1517" s="2">
        <v>2</v>
      </c>
      <c r="G1517" s="2" t="s">
        <v>10</v>
      </c>
    </row>
    <row r="1518" spans="1:7" x14ac:dyDescent="0.2">
      <c r="A1518" s="2" t="s">
        <v>3266</v>
      </c>
      <c r="B1518" s="2" t="s">
        <v>46</v>
      </c>
      <c r="C1518" s="2">
        <v>977.70719999999994</v>
      </c>
      <c r="D1518" s="2">
        <f>HYPERLINK("http://mcb-m6.bioreg.kyushu-u.ac.jp/M3/20110411/F50901/2955/1", 45.36)</f>
        <v>45.36</v>
      </c>
      <c r="E1518" s="2">
        <v>30.5</v>
      </c>
      <c r="F1518" s="2">
        <v>2</v>
      </c>
      <c r="G1518" s="2" t="s">
        <v>10</v>
      </c>
    </row>
    <row r="1519" spans="1:7" x14ac:dyDescent="0.2">
      <c r="A1519" s="2" t="s">
        <v>3266</v>
      </c>
      <c r="B1519" s="2" t="s">
        <v>46</v>
      </c>
      <c r="C1519" s="2">
        <v>652.3442</v>
      </c>
      <c r="D1519" s="2">
        <f>HYPERLINK("http://mcb-m6.bioreg.kyushu-u.ac.jp/M3/20110411/F50914/3142/1", 47.57)</f>
        <v>47.57</v>
      </c>
      <c r="E1519" s="2">
        <v>6.44</v>
      </c>
      <c r="F1519" s="2">
        <v>3</v>
      </c>
      <c r="G1519" s="2" t="s">
        <v>10</v>
      </c>
    </row>
    <row r="1520" spans="1:7" x14ac:dyDescent="0.2">
      <c r="A1520" s="2" t="s">
        <v>3266</v>
      </c>
      <c r="B1520" s="2" t="s">
        <v>46</v>
      </c>
      <c r="C1520" s="2">
        <v>977.64120000000003</v>
      </c>
      <c r="D1520" s="2">
        <f>HYPERLINK("http://mcb-m6.bioreg.kyushu-u.ac.jp/M3/20110411/F50918/2974/1", 56.47)</f>
        <v>56.47</v>
      </c>
      <c r="E1520" s="2">
        <v>39.86</v>
      </c>
      <c r="F1520" s="2">
        <v>2</v>
      </c>
      <c r="G1520" s="2" t="s">
        <v>10</v>
      </c>
    </row>
    <row r="1521" spans="1:7" x14ac:dyDescent="0.2">
      <c r="A1521" s="2" t="s">
        <v>3266</v>
      </c>
      <c r="B1521" s="2" t="s">
        <v>46</v>
      </c>
      <c r="C1521" s="2">
        <v>978.09860000000003</v>
      </c>
      <c r="D1521" s="2">
        <f>HYPERLINK("http://mcb-m6.bioreg.kyushu-u.ac.jp/M3/20110411/F50917/3239/1", 58.27)</f>
        <v>58.27</v>
      </c>
      <c r="E1521" s="2">
        <v>23.97</v>
      </c>
      <c r="F1521" s="2">
        <v>2</v>
      </c>
      <c r="G1521" s="2" t="s">
        <v>10</v>
      </c>
    </row>
    <row r="1522" spans="1:7" x14ac:dyDescent="0.2">
      <c r="A1522" s="2" t="s">
        <v>3266</v>
      </c>
      <c r="B1522" s="2" t="s">
        <v>46</v>
      </c>
      <c r="C1522" s="2">
        <v>978.02470000000005</v>
      </c>
      <c r="D1522" s="2">
        <f>HYPERLINK("http://mcb-m6.bioreg.kyushu-u.ac.jp/M3/20110411/F50921/2892/1", 58.66)</f>
        <v>58.66</v>
      </c>
      <c r="E1522" s="2">
        <v>27.87</v>
      </c>
      <c r="F1522" s="2">
        <v>2</v>
      </c>
      <c r="G1522" s="2" t="s">
        <v>10</v>
      </c>
    </row>
    <row r="1523" spans="1:7" x14ac:dyDescent="0.2">
      <c r="A1523" s="2" t="s">
        <v>3266</v>
      </c>
      <c r="B1523" s="2" t="s">
        <v>46</v>
      </c>
      <c r="C1523" s="2">
        <v>977.70420000000001</v>
      </c>
      <c r="D1523" s="2">
        <f>HYPERLINK("http://mcb-m6.bioreg.kyushu-u.ac.jp/M3/20110411/F50901/2954/1", 58.85)</f>
        <v>58.85</v>
      </c>
      <c r="E1523" s="2">
        <v>37.950000000000003</v>
      </c>
      <c r="F1523" s="2">
        <v>2</v>
      </c>
      <c r="G1523" s="2" t="s">
        <v>10</v>
      </c>
    </row>
    <row r="1524" spans="1:7" x14ac:dyDescent="0.2">
      <c r="A1524" s="2" t="s">
        <v>3266</v>
      </c>
      <c r="B1524" s="2" t="s">
        <v>46</v>
      </c>
      <c r="C1524" s="2">
        <v>978.08669999999995</v>
      </c>
      <c r="D1524" s="2">
        <f>HYPERLINK("http://mcb-m6.bioreg.kyushu-u.ac.jp/M3/20110411/F50901/2959/1", 59.85)</f>
        <v>59.85</v>
      </c>
      <c r="E1524" s="2">
        <v>31.71</v>
      </c>
      <c r="F1524" s="2">
        <v>2</v>
      </c>
      <c r="G1524" s="2" t="s">
        <v>10</v>
      </c>
    </row>
    <row r="1525" spans="1:7" x14ac:dyDescent="0.2">
      <c r="A1525" s="2" t="s">
        <v>3266</v>
      </c>
      <c r="B1525" s="2" t="s">
        <v>46</v>
      </c>
      <c r="C1525" s="2">
        <v>977.56870000000004</v>
      </c>
      <c r="D1525" s="2">
        <f>HYPERLINK("http://mcb-m6.bioreg.kyushu-u.ac.jp/M3/20110411/F50917/3236/1", 61.76)</f>
        <v>61.76</v>
      </c>
      <c r="E1525" s="2">
        <v>42.52</v>
      </c>
      <c r="F1525" s="2">
        <v>2</v>
      </c>
      <c r="G1525" s="2" t="s">
        <v>10</v>
      </c>
    </row>
    <row r="1526" spans="1:7" x14ac:dyDescent="0.2">
      <c r="A1526" s="2" t="s">
        <v>3266</v>
      </c>
      <c r="B1526" s="2" t="s">
        <v>46</v>
      </c>
      <c r="C1526" s="2">
        <v>978.05719999999997</v>
      </c>
      <c r="D1526" s="2">
        <f>HYPERLINK("http://mcb-m6.bioreg.kyushu-u.ac.jp/M3/20110411/F50900/2956/1", 62.29)</f>
        <v>62.29</v>
      </c>
      <c r="E1526" s="2">
        <v>33.380000000000003</v>
      </c>
      <c r="F1526" s="2">
        <v>2</v>
      </c>
      <c r="G1526" s="2" t="s">
        <v>10</v>
      </c>
    </row>
    <row r="1527" spans="1:7" x14ac:dyDescent="0.2">
      <c r="A1527" s="2" t="s">
        <v>3266</v>
      </c>
      <c r="B1527" s="2" t="s">
        <v>46</v>
      </c>
      <c r="C1527" s="2">
        <v>977.69169999999997</v>
      </c>
      <c r="D1527" s="2">
        <f>HYPERLINK("http://mcb-m6.bioreg.kyushu-u.ac.jp/M3/20110411/F50902/3112/1", 66.59)</f>
        <v>66.59</v>
      </c>
      <c r="E1527" s="2">
        <v>42.67</v>
      </c>
      <c r="F1527" s="2">
        <v>2</v>
      </c>
      <c r="G1527" s="2" t="s">
        <v>10</v>
      </c>
    </row>
    <row r="1528" spans="1:7" x14ac:dyDescent="0.2">
      <c r="A1528" s="2" t="s">
        <v>3266</v>
      </c>
      <c r="B1528" s="2" t="s">
        <v>46</v>
      </c>
      <c r="C1528" s="2">
        <v>977.89419999999996</v>
      </c>
      <c r="D1528" s="2">
        <f>HYPERLINK("http://mcb-m6.bioreg.kyushu-u.ac.jp/M3/20110411/F50898/2902/1", 66.7)</f>
        <v>66.7</v>
      </c>
      <c r="E1528" s="2">
        <v>41.6</v>
      </c>
      <c r="F1528" s="2">
        <v>2</v>
      </c>
      <c r="G1528" s="2" t="s">
        <v>10</v>
      </c>
    </row>
    <row r="1529" spans="1:7" x14ac:dyDescent="0.2">
      <c r="A1529" s="2" t="s">
        <v>3266</v>
      </c>
      <c r="B1529" s="2" t="s">
        <v>46</v>
      </c>
      <c r="C1529" s="2">
        <v>977.41769999999997</v>
      </c>
      <c r="D1529" s="2">
        <f>HYPERLINK("http://mcb-m6.bioreg.kyushu-u.ac.jp/M3/20110411/F50898/2895/1", 67.01)</f>
        <v>67.010000000000005</v>
      </c>
      <c r="E1529" s="2">
        <v>36.43</v>
      </c>
      <c r="F1529" s="2">
        <v>2</v>
      </c>
      <c r="G1529" s="2" t="s">
        <v>10</v>
      </c>
    </row>
    <row r="1530" spans="1:7" x14ac:dyDescent="0.2">
      <c r="A1530" s="2" t="s">
        <v>3266</v>
      </c>
      <c r="B1530" s="2" t="s">
        <v>46</v>
      </c>
      <c r="C1530" s="2">
        <v>977.63570000000004</v>
      </c>
      <c r="D1530" s="2">
        <f>HYPERLINK("http://mcb-m6.bioreg.kyushu-u.ac.jp/M3/20110411/F50900/2953/1", 68.37)</f>
        <v>68.37</v>
      </c>
      <c r="E1530" s="2">
        <v>46.08</v>
      </c>
      <c r="F1530" s="2">
        <v>2</v>
      </c>
      <c r="G1530" s="2" t="s">
        <v>10</v>
      </c>
    </row>
    <row r="1531" spans="1:7" x14ac:dyDescent="0.2">
      <c r="A1531" s="2" t="s">
        <v>3266</v>
      </c>
      <c r="B1531" s="2" t="s">
        <v>46</v>
      </c>
      <c r="C1531" s="2">
        <v>977.91610000000003</v>
      </c>
      <c r="D1531" s="2">
        <f>HYPERLINK("http://mcb-m6.bioreg.kyushu-u.ac.jp/M3/20110411/F50912/3067/1", 70.69)</f>
        <v>70.69</v>
      </c>
      <c r="E1531" s="2">
        <v>48</v>
      </c>
      <c r="F1531" s="2">
        <v>2</v>
      </c>
      <c r="G1531" s="2" t="s">
        <v>10</v>
      </c>
    </row>
    <row r="1532" spans="1:7" x14ac:dyDescent="0.2">
      <c r="A1532" s="2" t="s">
        <v>3266</v>
      </c>
      <c r="B1532" s="2" t="s">
        <v>46</v>
      </c>
      <c r="C1532" s="2">
        <v>977.52560000000005</v>
      </c>
      <c r="D1532" s="2">
        <f>HYPERLINK("http://mcb-m6.bioreg.kyushu-u.ac.jp/M3/20110411/F50900/2951/1", 70.99)</f>
        <v>70.989999999999995</v>
      </c>
      <c r="E1532" s="2">
        <v>40.04</v>
      </c>
      <c r="F1532" s="2">
        <v>2</v>
      </c>
      <c r="G1532" s="2" t="s">
        <v>10</v>
      </c>
    </row>
    <row r="1533" spans="1:7" x14ac:dyDescent="0.2">
      <c r="A1533" s="2" t="s">
        <v>3266</v>
      </c>
      <c r="B1533" s="2" t="s">
        <v>46</v>
      </c>
      <c r="C1533" s="2">
        <v>977.37220000000002</v>
      </c>
      <c r="D1533" s="2">
        <f>HYPERLINK("http://mcb-m6.bioreg.kyushu-u.ac.jp/M3/20110411/F50898/2894/1", 71.94)</f>
        <v>71.94</v>
      </c>
      <c r="E1533" s="2">
        <v>46.94</v>
      </c>
      <c r="F1533" s="2">
        <v>2</v>
      </c>
      <c r="G1533" s="2" t="s">
        <v>10</v>
      </c>
    </row>
    <row r="1534" spans="1:7" x14ac:dyDescent="0.2">
      <c r="A1534" s="2" t="s">
        <v>3266</v>
      </c>
      <c r="B1534" s="2" t="s">
        <v>46</v>
      </c>
      <c r="C1534" s="2">
        <v>977.48019999999997</v>
      </c>
      <c r="D1534" s="2">
        <f>HYPERLINK("http://mcb-m6.bioreg.kyushu-u.ac.jp/M3/20110411/F50920/2625/1", 72.36)</f>
        <v>72.36</v>
      </c>
      <c r="E1534" s="2">
        <v>41.16</v>
      </c>
      <c r="F1534" s="2">
        <v>2</v>
      </c>
      <c r="G1534" s="2" t="s">
        <v>10</v>
      </c>
    </row>
    <row r="1535" spans="1:7" x14ac:dyDescent="0.2">
      <c r="A1535" s="2" t="s">
        <v>3266</v>
      </c>
      <c r="B1535" s="2" t="s">
        <v>46</v>
      </c>
      <c r="C1535" s="2">
        <v>977.71969999999999</v>
      </c>
      <c r="D1535" s="2">
        <f>HYPERLINK("http://mcb-m6.bioreg.kyushu-u.ac.jp/M3/20110411/F50898/2899/1", 73.96)</f>
        <v>73.959999999999994</v>
      </c>
      <c r="E1535" s="2">
        <v>47.76</v>
      </c>
      <c r="F1535" s="2">
        <v>2</v>
      </c>
      <c r="G1535" s="2" t="s">
        <v>10</v>
      </c>
    </row>
    <row r="1536" spans="1:7" x14ac:dyDescent="0.2">
      <c r="A1536" s="2" t="s">
        <v>3266</v>
      </c>
      <c r="B1536" s="2" t="s">
        <v>46</v>
      </c>
      <c r="C1536" s="2">
        <v>977.87459999999999</v>
      </c>
      <c r="D1536" s="2">
        <f>HYPERLINK("http://mcb-m6.bioreg.kyushu-u.ac.jp/M3/20110411/F50913/3097/1", 76.48)</f>
        <v>76.48</v>
      </c>
      <c r="E1536" s="2">
        <v>45.5</v>
      </c>
      <c r="F1536" s="2">
        <v>2</v>
      </c>
      <c r="G1536" s="2" t="s">
        <v>10</v>
      </c>
    </row>
    <row r="1537" spans="1:7" x14ac:dyDescent="0.2">
      <c r="A1537" s="2" t="s">
        <v>3266</v>
      </c>
      <c r="B1537" s="2" t="s">
        <v>46</v>
      </c>
      <c r="C1537" s="2">
        <v>977.50710000000004</v>
      </c>
      <c r="D1537" s="2">
        <f>HYPERLINK("http://mcb-m6.bioreg.kyushu-u.ac.jp/M3/20110411/F50921/2881/1", 77.97)</f>
        <v>77.97</v>
      </c>
      <c r="E1537" s="2">
        <v>54.43</v>
      </c>
      <c r="F1537" s="2">
        <v>2</v>
      </c>
      <c r="G1537" s="2" t="s">
        <v>10</v>
      </c>
    </row>
    <row r="1538" spans="1:7" x14ac:dyDescent="0.2">
      <c r="A1538" s="2" t="s">
        <v>3266</v>
      </c>
      <c r="B1538" s="2" t="s">
        <v>46</v>
      </c>
      <c r="C1538" s="2">
        <v>977.56769999999995</v>
      </c>
      <c r="D1538" s="2">
        <f>HYPERLINK("http://mcb-m6.bioreg.kyushu-u.ac.jp/M3/20110411/F50914/3139/1", 78.5)</f>
        <v>78.5</v>
      </c>
      <c r="E1538" s="2">
        <v>51.69</v>
      </c>
      <c r="F1538" s="2">
        <v>2</v>
      </c>
      <c r="G1538" s="2" t="s">
        <v>10</v>
      </c>
    </row>
    <row r="1539" spans="1:7" x14ac:dyDescent="0.2">
      <c r="A1539" s="2" t="s">
        <v>3266</v>
      </c>
      <c r="B1539" s="2" t="s">
        <v>46</v>
      </c>
      <c r="C1539" s="2">
        <v>977.62519999999995</v>
      </c>
      <c r="D1539" s="2">
        <f>HYPERLINK("http://mcb-m6.bioreg.kyushu-u.ac.jp/M3/20110411/F50921/2884/1", 82.28)</f>
        <v>82.28</v>
      </c>
      <c r="E1539" s="2">
        <v>51.48</v>
      </c>
      <c r="F1539" s="2">
        <v>2</v>
      </c>
      <c r="G1539" s="2" t="s">
        <v>10</v>
      </c>
    </row>
    <row r="1540" spans="1:7" x14ac:dyDescent="0.2">
      <c r="A1540" s="2" t="s">
        <v>3266</v>
      </c>
      <c r="B1540" s="2" t="s">
        <v>46</v>
      </c>
      <c r="C1540" s="2">
        <v>977.8972</v>
      </c>
      <c r="D1540" s="2">
        <f>HYPERLINK("http://mcb-m6.bioreg.kyushu-u.ac.jp/M3/20110414/F50945/3084/1", 38.48)</f>
        <v>38.479999999999997</v>
      </c>
      <c r="E1540" s="2">
        <v>26.95</v>
      </c>
      <c r="F1540" s="2">
        <v>2</v>
      </c>
      <c r="G1540" s="2" t="s">
        <v>11</v>
      </c>
    </row>
    <row r="1541" spans="1:7" x14ac:dyDescent="0.2">
      <c r="A1541" s="2" t="s">
        <v>3266</v>
      </c>
      <c r="B1541" s="2" t="s">
        <v>46</v>
      </c>
      <c r="C1541" s="2">
        <v>977.40560000000005</v>
      </c>
      <c r="D1541" s="2">
        <f>HYPERLINK("http://mcb-m6.bioreg.kyushu-u.ac.jp/M3/20110414/F50941/3367/1", 39.8)</f>
        <v>39.799999999999997</v>
      </c>
      <c r="E1541" s="2">
        <v>24.43</v>
      </c>
      <c r="F1541" s="2">
        <v>2</v>
      </c>
      <c r="G1541" s="2" t="s">
        <v>11</v>
      </c>
    </row>
    <row r="1542" spans="1:7" x14ac:dyDescent="0.2">
      <c r="A1542" s="2" t="s">
        <v>3266</v>
      </c>
      <c r="B1542" s="2" t="s">
        <v>46</v>
      </c>
      <c r="C1542" s="2">
        <v>977.99159999999995</v>
      </c>
      <c r="D1542" s="2">
        <f>HYPERLINK("http://mcb-m6.bioreg.kyushu-u.ac.jp/M3/20110414/F50942/3340/1", 41.02)</f>
        <v>41.02</v>
      </c>
      <c r="E1542" s="2">
        <v>28.51</v>
      </c>
      <c r="F1542" s="2">
        <v>2</v>
      </c>
      <c r="G1542" s="2" t="s">
        <v>11</v>
      </c>
    </row>
    <row r="1543" spans="1:7" x14ac:dyDescent="0.2">
      <c r="A1543" s="2" t="s">
        <v>3266</v>
      </c>
      <c r="B1543" s="2" t="s">
        <v>46</v>
      </c>
      <c r="C1543" s="2">
        <v>977.43020000000001</v>
      </c>
      <c r="D1543" s="2">
        <f>HYPERLINK("http://mcb-m6.bioreg.kyushu-u.ac.jp/M3/20110414/F50928/3244/1", 41.54)</f>
        <v>41.54</v>
      </c>
      <c r="E1543" s="2">
        <v>18.93</v>
      </c>
      <c r="F1543" s="2">
        <v>2</v>
      </c>
      <c r="G1543" s="2" t="s">
        <v>11</v>
      </c>
    </row>
    <row r="1544" spans="1:7" x14ac:dyDescent="0.2">
      <c r="A1544" s="2" t="s">
        <v>3266</v>
      </c>
      <c r="B1544" s="2" t="s">
        <v>46</v>
      </c>
      <c r="C1544" s="2">
        <v>977.46259999999995</v>
      </c>
      <c r="D1544" s="2">
        <f>HYPERLINK("http://mcb-m6.bioreg.kyushu-u.ac.jp/M3/20110414/F50941/3369/1", 44.16)</f>
        <v>44.16</v>
      </c>
      <c r="E1544" s="2">
        <v>22.63</v>
      </c>
      <c r="F1544" s="2">
        <v>2</v>
      </c>
      <c r="G1544" s="2" t="s">
        <v>11</v>
      </c>
    </row>
    <row r="1545" spans="1:7" x14ac:dyDescent="0.2">
      <c r="A1545" s="2" t="s">
        <v>3266</v>
      </c>
      <c r="B1545" s="2" t="s">
        <v>46</v>
      </c>
      <c r="C1545" s="2">
        <v>652.21119999999996</v>
      </c>
      <c r="D1545" s="2">
        <f>HYPERLINK("http://mcb-m6.bioreg.kyushu-u.ac.jp/M3/20110414/F50941/3370/1", 44.65)</f>
        <v>44.65</v>
      </c>
      <c r="E1545" s="2">
        <v>12.01</v>
      </c>
      <c r="F1545" s="2">
        <v>3</v>
      </c>
      <c r="G1545" s="2" t="s">
        <v>11</v>
      </c>
    </row>
    <row r="1546" spans="1:7" x14ac:dyDescent="0.2">
      <c r="A1546" s="2" t="s">
        <v>3266</v>
      </c>
      <c r="B1546" s="2" t="s">
        <v>46</v>
      </c>
      <c r="C1546" s="2">
        <v>652.09720000000004</v>
      </c>
      <c r="D1546" s="2">
        <f>HYPERLINK("http://mcb-m6.bioreg.kyushu-u.ac.jp/M3/20110414/F50956/3434/1", 46.47)</f>
        <v>46.47</v>
      </c>
      <c r="E1546" s="2">
        <v>7.79</v>
      </c>
      <c r="F1546" s="2">
        <v>3</v>
      </c>
      <c r="G1546" s="2" t="s">
        <v>11</v>
      </c>
    </row>
    <row r="1547" spans="1:7" x14ac:dyDescent="0.2">
      <c r="A1547" s="2" t="s">
        <v>3266</v>
      </c>
      <c r="B1547" s="2" t="s">
        <v>46</v>
      </c>
      <c r="C1547" s="2">
        <v>977.91819999999996</v>
      </c>
      <c r="D1547" s="2">
        <f>HYPERLINK("http://mcb-m6.bioreg.kyushu-u.ac.jp/M3/20110414/F50941/3374/1", 48.77)</f>
        <v>48.77</v>
      </c>
      <c r="E1547" s="2">
        <v>27.92</v>
      </c>
      <c r="F1547" s="2">
        <v>2</v>
      </c>
      <c r="G1547" s="2" t="s">
        <v>11</v>
      </c>
    </row>
    <row r="1548" spans="1:7" x14ac:dyDescent="0.2">
      <c r="A1548" s="2" t="s">
        <v>3266</v>
      </c>
      <c r="B1548" s="2" t="s">
        <v>46</v>
      </c>
      <c r="C1548" s="2">
        <v>977.91859999999997</v>
      </c>
      <c r="D1548" s="2">
        <f>HYPERLINK("http://mcb-m6.bioreg.kyushu-u.ac.jp/M3/20110414/F50941/3375/1", 49.35)</f>
        <v>49.35</v>
      </c>
      <c r="E1548" s="2">
        <v>32.64</v>
      </c>
      <c r="F1548" s="2">
        <v>2</v>
      </c>
      <c r="G1548" s="2" t="s">
        <v>11</v>
      </c>
    </row>
    <row r="1549" spans="1:7" x14ac:dyDescent="0.2">
      <c r="A1549" s="2" t="s">
        <v>3266</v>
      </c>
      <c r="B1549" s="2" t="s">
        <v>46</v>
      </c>
      <c r="C1549" s="2">
        <v>977.93870000000004</v>
      </c>
      <c r="D1549" s="2">
        <f>HYPERLINK("http://mcb-m6.bioreg.kyushu-u.ac.jp/M3/20110414/F50941/3376/1", 49.98)</f>
        <v>49.98</v>
      </c>
      <c r="E1549" s="2">
        <v>26.17</v>
      </c>
      <c r="F1549" s="2">
        <v>2</v>
      </c>
      <c r="G1549" s="2" t="s">
        <v>11</v>
      </c>
    </row>
    <row r="1550" spans="1:7" x14ac:dyDescent="0.2">
      <c r="A1550" s="2" t="s">
        <v>3266</v>
      </c>
      <c r="B1550" s="2" t="s">
        <v>46</v>
      </c>
      <c r="C1550" s="2">
        <v>977.97770000000003</v>
      </c>
      <c r="D1550" s="2">
        <f>HYPERLINK("http://mcb-m6.bioreg.kyushu-u.ac.jp/M3/20110414/F50941/3379/1", 52.31)</f>
        <v>52.31</v>
      </c>
      <c r="E1550" s="2">
        <v>29.65</v>
      </c>
      <c r="F1550" s="2">
        <v>2</v>
      </c>
      <c r="G1550" s="2" t="s">
        <v>11</v>
      </c>
    </row>
    <row r="1551" spans="1:7" x14ac:dyDescent="0.2">
      <c r="A1551" s="2" t="s">
        <v>3266</v>
      </c>
      <c r="B1551" s="2" t="s">
        <v>46</v>
      </c>
      <c r="C1551" s="2">
        <v>977.91560000000004</v>
      </c>
      <c r="D1551" s="2">
        <f>HYPERLINK("http://mcb-m6.bioreg.kyushu-u.ac.jp/M3/20110414/F50929/2968/1", 54.84)</f>
        <v>54.84</v>
      </c>
      <c r="E1551" s="2">
        <v>34.44</v>
      </c>
      <c r="F1551" s="2">
        <v>2</v>
      </c>
      <c r="G1551" s="2" t="s">
        <v>11</v>
      </c>
    </row>
    <row r="1552" spans="1:7" x14ac:dyDescent="0.2">
      <c r="A1552" s="2" t="s">
        <v>3266</v>
      </c>
      <c r="B1552" s="2" t="s">
        <v>46</v>
      </c>
      <c r="C1552" s="2">
        <v>977.89970000000005</v>
      </c>
      <c r="D1552" s="2">
        <f>HYPERLINK("http://mcb-m6.bioreg.kyushu-u.ac.jp/M3/20110414/F50941/3373/1", 56.01)</f>
        <v>56.01</v>
      </c>
      <c r="E1552" s="2">
        <v>42.62</v>
      </c>
      <c r="F1552" s="2">
        <v>2</v>
      </c>
      <c r="G1552" s="2" t="s">
        <v>11</v>
      </c>
    </row>
    <row r="1553" spans="1:7" x14ac:dyDescent="0.2">
      <c r="A1553" s="2" t="s">
        <v>3266</v>
      </c>
      <c r="B1553" s="2" t="s">
        <v>46</v>
      </c>
      <c r="C1553" s="2">
        <v>977.31320000000005</v>
      </c>
      <c r="D1553" s="2">
        <f>HYPERLINK("http://mcb-m6.bioreg.kyushu-u.ac.jp/M3/20110414/F50962/2950/1", 56.38)</f>
        <v>56.38</v>
      </c>
      <c r="E1553" s="2">
        <v>38.270000000000003</v>
      </c>
      <c r="F1553" s="2">
        <v>2</v>
      </c>
      <c r="G1553" s="2" t="s">
        <v>11</v>
      </c>
    </row>
    <row r="1554" spans="1:7" x14ac:dyDescent="0.2">
      <c r="A1554" s="2" t="s">
        <v>3266</v>
      </c>
      <c r="B1554" s="2" t="s">
        <v>46</v>
      </c>
      <c r="C1554" s="2">
        <v>977.39419999999996</v>
      </c>
      <c r="D1554" s="2">
        <f>HYPERLINK("http://mcb-m6.bioreg.kyushu-u.ac.jp/M3/20110414/F50941/3365/1", 58.16)</f>
        <v>58.16</v>
      </c>
      <c r="E1554" s="2">
        <v>40.18</v>
      </c>
      <c r="F1554" s="2">
        <v>2</v>
      </c>
      <c r="G1554" s="2" t="s">
        <v>11</v>
      </c>
    </row>
    <row r="1555" spans="1:7" x14ac:dyDescent="0.2">
      <c r="A1555" s="2" t="s">
        <v>3266</v>
      </c>
      <c r="B1555" s="2" t="s">
        <v>46</v>
      </c>
      <c r="C1555" s="2">
        <v>977.4067</v>
      </c>
      <c r="D1555" s="2">
        <f>HYPERLINK("http://mcb-m6.bioreg.kyushu-u.ac.jp/M3/20110414/F50941/3368/1", 58.46)</f>
        <v>58.46</v>
      </c>
      <c r="E1555" s="2">
        <v>39.840000000000003</v>
      </c>
      <c r="F1555" s="2">
        <v>2</v>
      </c>
      <c r="G1555" s="2" t="s">
        <v>11</v>
      </c>
    </row>
    <row r="1556" spans="1:7" x14ac:dyDescent="0.2">
      <c r="A1556" s="2" t="s">
        <v>3266</v>
      </c>
      <c r="B1556" s="2" t="s">
        <v>46</v>
      </c>
      <c r="C1556" s="2">
        <v>977.85109999999997</v>
      </c>
      <c r="D1556" s="2">
        <f>HYPERLINK("http://mcb-m6.bioreg.kyushu-u.ac.jp/M3/20110414/F50962/2962/1", 63.14)</f>
        <v>63.14</v>
      </c>
      <c r="E1556" s="2">
        <v>42.45</v>
      </c>
      <c r="F1556" s="2">
        <v>2</v>
      </c>
      <c r="G1556" s="2" t="s">
        <v>11</v>
      </c>
    </row>
    <row r="1557" spans="1:7" x14ac:dyDescent="0.2">
      <c r="A1557" s="2" t="s">
        <v>3266</v>
      </c>
      <c r="B1557" s="2" t="s">
        <v>46</v>
      </c>
      <c r="C1557" s="2">
        <v>977.89070000000004</v>
      </c>
      <c r="D1557" s="2">
        <f>HYPERLINK("http://mcb-m6.bioreg.kyushu-u.ac.jp/M3/20110414/F50962/2966/1", 65.06)</f>
        <v>65.06</v>
      </c>
      <c r="E1557" s="2">
        <v>42.74</v>
      </c>
      <c r="F1557" s="2">
        <v>2</v>
      </c>
      <c r="G1557" s="2" t="s">
        <v>11</v>
      </c>
    </row>
    <row r="1558" spans="1:7" x14ac:dyDescent="0.2">
      <c r="A1558" s="2" t="s">
        <v>3266</v>
      </c>
      <c r="B1558" s="2" t="s">
        <v>46</v>
      </c>
      <c r="C1558" s="2">
        <v>977.31410000000005</v>
      </c>
      <c r="D1558" s="2">
        <f>HYPERLINK("http://mcb-m6.bioreg.kyushu-u.ac.jp/M3/20110414/F50962/2951/1", 66.15)</f>
        <v>66.150000000000006</v>
      </c>
      <c r="E1558" s="2">
        <v>45.03</v>
      </c>
      <c r="F1558" s="2">
        <v>2</v>
      </c>
      <c r="G1558" s="2" t="s">
        <v>11</v>
      </c>
    </row>
    <row r="1559" spans="1:7" x14ac:dyDescent="0.2">
      <c r="A1559" s="2" t="s">
        <v>3266</v>
      </c>
      <c r="B1559" s="2" t="s">
        <v>46</v>
      </c>
      <c r="C1559" s="2">
        <v>977.3922</v>
      </c>
      <c r="D1559" s="2">
        <f>HYPERLINK("http://mcb-m6.bioreg.kyushu-u.ac.jp/M3/20110414/F50941/3364/1", 66.37)</f>
        <v>66.37</v>
      </c>
      <c r="E1559" s="2">
        <v>40.82</v>
      </c>
      <c r="F1559" s="2">
        <v>2</v>
      </c>
      <c r="G1559" s="2" t="s">
        <v>11</v>
      </c>
    </row>
    <row r="1560" spans="1:7" x14ac:dyDescent="0.2">
      <c r="A1560" s="2" t="s">
        <v>3266</v>
      </c>
      <c r="B1560" s="2" t="s">
        <v>46</v>
      </c>
      <c r="C1560" s="2">
        <v>977.85670000000005</v>
      </c>
      <c r="D1560" s="2">
        <f>HYPERLINK("http://mcb-m6.bioreg.kyushu-u.ac.jp/M3/20110414/F50962/2963/1", 67.64)</f>
        <v>67.64</v>
      </c>
      <c r="E1560" s="2">
        <v>42.27</v>
      </c>
      <c r="F1560" s="2">
        <v>2</v>
      </c>
      <c r="G1560" s="2" t="s">
        <v>11</v>
      </c>
    </row>
    <row r="1561" spans="1:7" x14ac:dyDescent="0.2">
      <c r="A1561" s="2" t="s">
        <v>3266</v>
      </c>
      <c r="B1561" s="2" t="s">
        <v>46</v>
      </c>
      <c r="C1561" s="2">
        <v>977.40369999999996</v>
      </c>
      <c r="D1561" s="2">
        <f>HYPERLINK("http://mcb-m6.bioreg.kyushu-u.ac.jp/M3/20110414/F50962/2957/1", 69.64)</f>
        <v>69.64</v>
      </c>
      <c r="E1561" s="2">
        <v>41.7</v>
      </c>
      <c r="F1561" s="2">
        <v>2</v>
      </c>
      <c r="G1561" s="2" t="s">
        <v>11</v>
      </c>
    </row>
    <row r="1562" spans="1:7" x14ac:dyDescent="0.2">
      <c r="A1562" s="2" t="s">
        <v>3266</v>
      </c>
      <c r="B1562" s="2" t="s">
        <v>46</v>
      </c>
      <c r="C1562" s="2">
        <v>977.69320000000005</v>
      </c>
      <c r="D1562" s="2">
        <f>HYPERLINK("http://mcb-m6.bioreg.kyushu-u.ac.jp/M3/20110414/F50944/2911/1", 69.73)</f>
        <v>69.73</v>
      </c>
      <c r="E1562" s="2">
        <v>40.36</v>
      </c>
      <c r="F1562" s="2">
        <v>2</v>
      </c>
      <c r="G1562" s="2" t="s">
        <v>11</v>
      </c>
    </row>
    <row r="1563" spans="1:7" x14ac:dyDescent="0.2">
      <c r="A1563" s="2" t="s">
        <v>3266</v>
      </c>
      <c r="B1563" s="2" t="s">
        <v>46</v>
      </c>
      <c r="C1563" s="2">
        <v>977.36519999999996</v>
      </c>
      <c r="D1563" s="2">
        <f>HYPERLINK("http://mcb-m6.bioreg.kyushu-u.ac.jp/M3/20110414/F50962/2954/1", 71.54)</f>
        <v>71.540000000000006</v>
      </c>
      <c r="E1563" s="2">
        <v>48.07</v>
      </c>
      <c r="F1563" s="2">
        <v>2</v>
      </c>
      <c r="G1563" s="2" t="s">
        <v>11</v>
      </c>
    </row>
    <row r="1564" spans="1:7" x14ac:dyDescent="0.2">
      <c r="A1564" s="2" t="s">
        <v>3266</v>
      </c>
      <c r="B1564" s="2" t="s">
        <v>46</v>
      </c>
      <c r="C1564" s="2">
        <v>977.36270000000002</v>
      </c>
      <c r="D1564" s="2">
        <f>HYPERLINK("http://mcb-m6.bioreg.kyushu-u.ac.jp/M3/20110414/F50962/2953/1", 71.86)</f>
        <v>71.86</v>
      </c>
      <c r="E1564" s="2">
        <v>49.46</v>
      </c>
      <c r="F1564" s="2">
        <v>2</v>
      </c>
      <c r="G1564" s="2" t="s">
        <v>11</v>
      </c>
    </row>
    <row r="1565" spans="1:7" x14ac:dyDescent="0.2">
      <c r="A1565" s="2" t="s">
        <v>3266</v>
      </c>
      <c r="B1565" s="2" t="s">
        <v>46</v>
      </c>
      <c r="C1565" s="2">
        <v>977.35220000000004</v>
      </c>
      <c r="D1565" s="2">
        <f>HYPERLINK("http://mcb-m6.bioreg.kyushu-u.ac.jp/M3/20110414/F50962/2952/1", 72.5)</f>
        <v>72.5</v>
      </c>
      <c r="E1565" s="2">
        <v>48.66</v>
      </c>
      <c r="F1565" s="2">
        <v>2</v>
      </c>
      <c r="G1565" s="2" t="s">
        <v>11</v>
      </c>
    </row>
    <row r="1566" spans="1:7" x14ac:dyDescent="0.2">
      <c r="A1566" s="2" t="s">
        <v>3266</v>
      </c>
      <c r="B1566" s="2" t="s">
        <v>46</v>
      </c>
      <c r="C1566" s="2">
        <v>977.41359999999997</v>
      </c>
      <c r="D1566" s="2">
        <f>HYPERLINK("http://mcb-m6.bioreg.kyushu-u.ac.jp/M3/20110414/F50929/2965/1", 72.53)</f>
        <v>72.53</v>
      </c>
      <c r="E1566" s="2">
        <v>48.47</v>
      </c>
      <c r="F1566" s="2">
        <v>2</v>
      </c>
      <c r="G1566" s="2" t="s">
        <v>11</v>
      </c>
    </row>
    <row r="1567" spans="1:7" x14ac:dyDescent="0.2">
      <c r="A1567" s="2" t="s">
        <v>3266</v>
      </c>
      <c r="B1567" s="2" t="s">
        <v>46</v>
      </c>
      <c r="C1567" s="2">
        <v>977.83669999999995</v>
      </c>
      <c r="D1567" s="2">
        <f>HYPERLINK("http://mcb-m6.bioreg.kyushu-u.ac.jp/M3/20110414/F50962/2961/1", 73.06)</f>
        <v>73.06</v>
      </c>
      <c r="E1567" s="2">
        <v>44.88</v>
      </c>
      <c r="F1567" s="2">
        <v>2</v>
      </c>
      <c r="G1567" s="2" t="s">
        <v>11</v>
      </c>
    </row>
    <row r="1568" spans="1:7" x14ac:dyDescent="0.2">
      <c r="A1568" s="2" t="s">
        <v>3266</v>
      </c>
      <c r="B1568" s="2" t="s">
        <v>46</v>
      </c>
      <c r="C1568" s="2">
        <v>977.22770000000003</v>
      </c>
      <c r="D1568" s="2">
        <f>HYPERLINK("http://mcb-m6.bioreg.kyushu-u.ac.jp/M3/20110414/F50927/3097/1", 73.7)</f>
        <v>73.7</v>
      </c>
      <c r="E1568" s="2">
        <v>45.81</v>
      </c>
      <c r="F1568" s="2">
        <v>2</v>
      </c>
      <c r="G1568" s="2" t="s">
        <v>11</v>
      </c>
    </row>
    <row r="1569" spans="1:7" x14ac:dyDescent="0.2">
      <c r="A1569" s="2" t="s">
        <v>3266</v>
      </c>
      <c r="B1569" s="2" t="s">
        <v>46</v>
      </c>
      <c r="C1569" s="2">
        <v>977.51670000000001</v>
      </c>
      <c r="D1569" s="2">
        <f>HYPERLINK("http://mcb-m6.bioreg.kyushu-u.ac.jp/M3/20110414/F50943/3095/1", 76.4)</f>
        <v>76.400000000000006</v>
      </c>
      <c r="E1569" s="2">
        <v>39.380000000000003</v>
      </c>
      <c r="F1569" s="2">
        <v>2</v>
      </c>
      <c r="G1569" s="2" t="s">
        <v>11</v>
      </c>
    </row>
    <row r="1570" spans="1:7" x14ac:dyDescent="0.2">
      <c r="A1570" s="2" t="s">
        <v>3266</v>
      </c>
      <c r="B1570" s="2" t="s">
        <v>46</v>
      </c>
      <c r="C1570" s="2">
        <v>977.42470000000003</v>
      </c>
      <c r="D1570" s="2">
        <f>HYPERLINK("http://mcb-m6.bioreg.kyushu-u.ac.jp/M3/20110414/F50957/3356/1", 76.49)</f>
        <v>76.489999999999995</v>
      </c>
      <c r="E1570" s="2">
        <v>51.06</v>
      </c>
      <c r="F1570" s="2">
        <v>2</v>
      </c>
      <c r="G1570" s="2" t="s">
        <v>11</v>
      </c>
    </row>
    <row r="1571" spans="1:7" x14ac:dyDescent="0.2">
      <c r="A1571" s="2" t="s">
        <v>3266</v>
      </c>
      <c r="B1571" s="2" t="s">
        <v>46</v>
      </c>
      <c r="C1571" s="2">
        <v>977.55719999999997</v>
      </c>
      <c r="D1571" s="2">
        <f>HYPERLINK("http://mcb-m6.bioreg.kyushu-u.ac.jp/M3/20110414/F50942/3337/1", 76.5)</f>
        <v>76.5</v>
      </c>
      <c r="E1571" s="2">
        <v>49.19</v>
      </c>
      <c r="F1571" s="2">
        <v>2</v>
      </c>
      <c r="G1571" s="2" t="s">
        <v>11</v>
      </c>
    </row>
    <row r="1572" spans="1:7" x14ac:dyDescent="0.2">
      <c r="A1572" s="2" t="s">
        <v>3266</v>
      </c>
      <c r="B1572" s="2" t="s">
        <v>46</v>
      </c>
      <c r="C1572" s="2">
        <v>977.38959999999997</v>
      </c>
      <c r="D1572" s="2">
        <f>HYPERLINK("http://mcb-m6.bioreg.kyushu-u.ac.jp/M3/20110414/F50962/2956/1", 77.84)</f>
        <v>77.84</v>
      </c>
      <c r="E1572" s="2">
        <v>51.55</v>
      </c>
      <c r="F1572" s="2">
        <v>2</v>
      </c>
      <c r="G1572" s="2" t="s">
        <v>11</v>
      </c>
    </row>
    <row r="1573" spans="1:7" x14ac:dyDescent="0.2">
      <c r="A1573" s="2" t="s">
        <v>3266</v>
      </c>
      <c r="B1573" s="2" t="s">
        <v>46</v>
      </c>
      <c r="C1573" s="2">
        <v>977.81209999999999</v>
      </c>
      <c r="D1573" s="2">
        <f>HYPERLINK("http://mcb-m6.bioreg.kyushu-u.ac.jp/M3/20110414/F50956/3437/1", 78.74)</f>
        <v>78.739999999999995</v>
      </c>
      <c r="E1573" s="2">
        <v>50.95</v>
      </c>
      <c r="F1573" s="2">
        <v>2</v>
      </c>
      <c r="G1573" s="2" t="s">
        <v>11</v>
      </c>
    </row>
    <row r="1574" spans="1:7" x14ac:dyDescent="0.2">
      <c r="A1574" s="2" t="s">
        <v>3266</v>
      </c>
      <c r="B1574" s="2" t="s">
        <v>46</v>
      </c>
      <c r="C1574" s="2">
        <v>977.10419999999999</v>
      </c>
      <c r="D1574" s="2">
        <f>HYPERLINK("http://mcb-m6.bioreg.kyushu-u.ac.jp/M3/20110414/F50928/3243/1", 85.91)</f>
        <v>85.91</v>
      </c>
      <c r="E1574" s="2">
        <v>55.53</v>
      </c>
      <c r="F1574" s="2">
        <v>2</v>
      </c>
      <c r="G1574" s="2" t="s">
        <v>11</v>
      </c>
    </row>
    <row r="1575" spans="1:7" x14ac:dyDescent="0.2">
      <c r="A1575" s="2" t="s">
        <v>3266</v>
      </c>
      <c r="B1575" s="2" t="s">
        <v>46</v>
      </c>
      <c r="C1575" s="2">
        <v>977.3827</v>
      </c>
      <c r="D1575" s="2">
        <f>HYPERLINK("http://mcb-m6.bioreg.kyushu-u.ac.jp/M3/20110414/F50962/2955/1", 87.36)</f>
        <v>87.36</v>
      </c>
      <c r="E1575" s="2">
        <v>53.95</v>
      </c>
      <c r="F1575" s="2">
        <v>2</v>
      </c>
      <c r="G1575" s="2" t="s">
        <v>11</v>
      </c>
    </row>
    <row r="1576" spans="1:7" x14ac:dyDescent="0.2">
      <c r="A1576" s="2" t="s">
        <v>3266</v>
      </c>
      <c r="B1576" s="2" t="s">
        <v>46</v>
      </c>
      <c r="C1576" s="2">
        <v>977.47119999999995</v>
      </c>
      <c r="D1576" s="2">
        <f>HYPERLINK("http://mcb-m6.bioreg.kyushu-u.ac.jp/M3/20110414/F50928/3245/1", 94.95)</f>
        <v>94.95</v>
      </c>
      <c r="E1576" s="2">
        <v>59.96</v>
      </c>
      <c r="F1576" s="2">
        <v>2</v>
      </c>
      <c r="G1576" s="2" t="s">
        <v>11</v>
      </c>
    </row>
    <row r="1577" spans="1:7" x14ac:dyDescent="0.2">
      <c r="A1577" s="2" t="s">
        <v>3266</v>
      </c>
      <c r="B1577" s="2" t="s">
        <v>46</v>
      </c>
      <c r="C1577" s="2">
        <v>977.26919999999996</v>
      </c>
      <c r="D1577" s="2">
        <f>HYPERLINK("http://mcb-m6.bioreg.kyushu-u.ac.jp/M3/20110414/F50962/2948/1", 98.59)</f>
        <v>98.59</v>
      </c>
      <c r="E1577" s="2">
        <v>59.54</v>
      </c>
      <c r="F1577" s="2">
        <v>2</v>
      </c>
      <c r="G1577" s="2" t="s">
        <v>11</v>
      </c>
    </row>
    <row r="1578" spans="1:7" x14ac:dyDescent="0.2">
      <c r="A1578" s="2" t="s">
        <v>3266</v>
      </c>
      <c r="B1578" s="2" t="s">
        <v>46</v>
      </c>
      <c r="C1578" s="2">
        <v>977.39670000000001</v>
      </c>
      <c r="D1578" s="2">
        <f>HYPERLINK("http://mcb-m6.bioreg.kyushu-u.ac.jp/M3/20110414/F50941/3366/1", 99.79)</f>
        <v>99.79</v>
      </c>
      <c r="E1578" s="2">
        <v>62.85</v>
      </c>
      <c r="F1578" s="2">
        <v>2</v>
      </c>
      <c r="G1578" s="2" t="s">
        <v>11</v>
      </c>
    </row>
    <row r="1579" spans="1:7" x14ac:dyDescent="0.2">
      <c r="A1579" s="2" t="s">
        <v>3266</v>
      </c>
      <c r="B1579" s="2" t="s">
        <v>46</v>
      </c>
      <c r="C1579" s="2">
        <v>977.31119999999999</v>
      </c>
      <c r="D1579" s="2">
        <f>HYPERLINK("http://mcb-m6.bioreg.kyushu-u.ac.jp/M3/20110414/F50956/3433/1", 104.16)</f>
        <v>104.16</v>
      </c>
      <c r="E1579" s="2">
        <v>60.46</v>
      </c>
      <c r="F1579" s="2">
        <v>2</v>
      </c>
      <c r="G1579" s="2" t="s">
        <v>11</v>
      </c>
    </row>
    <row r="1580" spans="1:7" x14ac:dyDescent="0.2">
      <c r="A1580" s="2" t="s">
        <v>3266</v>
      </c>
      <c r="B1580" s="2" t="s">
        <v>46</v>
      </c>
      <c r="C1580" s="2">
        <v>978.01819999999998</v>
      </c>
      <c r="D1580" s="2">
        <f>HYPERLINK("http://mcb-m6.bioreg.kyushu-u.ac.jp/M3/20110414/F50947/3341/1", 35.6)</f>
        <v>35.6</v>
      </c>
      <c r="E1580" s="2">
        <v>19.2</v>
      </c>
      <c r="F1580" s="2">
        <v>2</v>
      </c>
      <c r="G1580" s="2" t="s">
        <v>12</v>
      </c>
    </row>
    <row r="1581" spans="1:7" x14ac:dyDescent="0.2">
      <c r="A1581" s="2" t="s">
        <v>3266</v>
      </c>
      <c r="B1581" s="2" t="s">
        <v>46</v>
      </c>
      <c r="C1581" s="2">
        <v>977.6241</v>
      </c>
      <c r="D1581" s="2">
        <f>HYPERLINK("http://mcb-m6.bioreg.kyushu-u.ac.jp/M3/20110414/F50934/2889/1", 37.5)</f>
        <v>37.5</v>
      </c>
      <c r="E1581" s="2">
        <v>21.88</v>
      </c>
      <c r="F1581" s="2">
        <v>2</v>
      </c>
      <c r="G1581" s="2" t="s">
        <v>12</v>
      </c>
    </row>
    <row r="1582" spans="1:7" x14ac:dyDescent="0.2">
      <c r="A1582" s="2" t="s">
        <v>3266</v>
      </c>
      <c r="B1582" s="2" t="s">
        <v>46</v>
      </c>
      <c r="C1582" s="2">
        <v>977.89170000000001</v>
      </c>
      <c r="D1582" s="2">
        <f>HYPERLINK("http://mcb-m6.bioreg.kyushu-u.ac.jp/M3/20110414/F50933/3282/1", 37.92)</f>
        <v>37.92</v>
      </c>
      <c r="E1582" s="2">
        <v>26.86</v>
      </c>
      <c r="F1582" s="2">
        <v>2</v>
      </c>
      <c r="G1582" s="2" t="s">
        <v>12</v>
      </c>
    </row>
    <row r="1583" spans="1:7" x14ac:dyDescent="0.2">
      <c r="A1583" s="2" t="s">
        <v>3266</v>
      </c>
      <c r="B1583" s="2" t="s">
        <v>46</v>
      </c>
      <c r="C1583" s="2">
        <v>978.08619999999996</v>
      </c>
      <c r="D1583" s="2">
        <f>HYPERLINK("http://mcb-m6.bioreg.kyushu-u.ac.jp/M3/20110414/F50933/3284/1", 40.33)</f>
        <v>40.33</v>
      </c>
      <c r="E1583" s="2">
        <v>16.28</v>
      </c>
      <c r="F1583" s="2">
        <v>2</v>
      </c>
      <c r="G1583" s="2" t="s">
        <v>12</v>
      </c>
    </row>
    <row r="1584" spans="1:7" x14ac:dyDescent="0.2">
      <c r="A1584" s="2" t="s">
        <v>3266</v>
      </c>
      <c r="B1584" s="2" t="s">
        <v>46</v>
      </c>
      <c r="C1584" s="2">
        <v>977.47969999999998</v>
      </c>
      <c r="D1584" s="2">
        <f>HYPERLINK("http://mcb-m6.bioreg.kyushu-u.ac.jp/M3/20110414/F50933/3276/1", 41.2)</f>
        <v>41.2</v>
      </c>
      <c r="E1584" s="2">
        <v>23.72</v>
      </c>
      <c r="F1584" s="2">
        <v>2</v>
      </c>
      <c r="G1584" s="2" t="s">
        <v>12</v>
      </c>
    </row>
    <row r="1585" spans="1:7" x14ac:dyDescent="0.2">
      <c r="A1585" s="2" t="s">
        <v>3266</v>
      </c>
      <c r="B1585" s="2" t="s">
        <v>46</v>
      </c>
      <c r="C1585" s="2">
        <v>978.00620000000004</v>
      </c>
      <c r="D1585" s="2">
        <f>HYPERLINK("http://mcb-m6.bioreg.kyushu-u.ac.jp/M3/20110414/F50947/3340/1", 43.82)</f>
        <v>43.82</v>
      </c>
      <c r="E1585" s="2">
        <v>27.58</v>
      </c>
      <c r="F1585" s="2">
        <v>2</v>
      </c>
      <c r="G1585" s="2" t="s">
        <v>12</v>
      </c>
    </row>
    <row r="1586" spans="1:7" x14ac:dyDescent="0.2">
      <c r="A1586" s="2" t="s">
        <v>3266</v>
      </c>
      <c r="B1586" s="2" t="s">
        <v>46</v>
      </c>
      <c r="C1586" s="2">
        <v>978.08119999999997</v>
      </c>
      <c r="D1586" s="2">
        <f>HYPERLINK("http://mcb-m6.bioreg.kyushu-u.ac.jp/M3/20110414/F50947/3344/1", 46.62)</f>
        <v>46.62</v>
      </c>
      <c r="E1586" s="2">
        <v>30.53</v>
      </c>
      <c r="F1586" s="2">
        <v>2</v>
      </c>
      <c r="G1586" s="2" t="s">
        <v>12</v>
      </c>
    </row>
    <row r="1587" spans="1:7" x14ac:dyDescent="0.2">
      <c r="A1587" s="2" t="s">
        <v>3266</v>
      </c>
      <c r="B1587" s="2" t="s">
        <v>46</v>
      </c>
      <c r="C1587" s="2">
        <v>977.41819999999996</v>
      </c>
      <c r="D1587" s="2">
        <f>HYPERLINK("http://mcb-m6.bioreg.kyushu-u.ac.jp/M3/20110414/F50933/3275/1", 47.91)</f>
        <v>47.91</v>
      </c>
      <c r="E1587" s="2">
        <v>37.57</v>
      </c>
      <c r="F1587" s="2">
        <v>2</v>
      </c>
      <c r="G1587" s="2" t="s">
        <v>12</v>
      </c>
    </row>
    <row r="1588" spans="1:7" x14ac:dyDescent="0.2">
      <c r="A1588" s="2" t="s">
        <v>3266</v>
      </c>
      <c r="B1588" s="2" t="s">
        <v>46</v>
      </c>
      <c r="C1588" s="2">
        <v>652.27390000000003</v>
      </c>
      <c r="D1588" s="2">
        <f>HYPERLINK("http://mcb-m6.bioreg.kyushu-u.ac.jp/M3/20110414/F50963/3006/1", 48.2)</f>
        <v>48.2</v>
      </c>
      <c r="E1588" s="2">
        <v>7.93</v>
      </c>
      <c r="F1588" s="2">
        <v>3</v>
      </c>
      <c r="G1588" s="2" t="s">
        <v>12</v>
      </c>
    </row>
    <row r="1589" spans="1:7" x14ac:dyDescent="0.2">
      <c r="A1589" s="2" t="s">
        <v>3266</v>
      </c>
      <c r="B1589" s="2" t="s">
        <v>46</v>
      </c>
      <c r="C1589" s="2">
        <v>977.8066</v>
      </c>
      <c r="D1589" s="2">
        <f>HYPERLINK("http://mcb-m6.bioreg.kyushu-u.ac.jp/M3/20110414/F50933/3281/1", 51.34)</f>
        <v>51.34</v>
      </c>
      <c r="E1589" s="2">
        <v>31.67</v>
      </c>
      <c r="F1589" s="2">
        <v>2</v>
      </c>
      <c r="G1589" s="2" t="s">
        <v>12</v>
      </c>
    </row>
    <row r="1590" spans="1:7" x14ac:dyDescent="0.2">
      <c r="A1590" s="2" t="s">
        <v>3266</v>
      </c>
      <c r="B1590" s="2" t="s">
        <v>46</v>
      </c>
      <c r="C1590" s="2">
        <v>977.73519999999996</v>
      </c>
      <c r="D1590" s="2">
        <f>HYPERLINK("http://mcb-m6.bioreg.kyushu-u.ac.jp/M3/20110414/F50963/2999/1", 51.74)</f>
        <v>51.74</v>
      </c>
      <c r="E1590" s="2">
        <v>35.659999999999997</v>
      </c>
      <c r="F1590" s="2">
        <v>2</v>
      </c>
      <c r="G1590" s="2" t="s">
        <v>12</v>
      </c>
    </row>
    <row r="1591" spans="1:7" x14ac:dyDescent="0.2">
      <c r="A1591" s="2" t="s">
        <v>3266</v>
      </c>
      <c r="B1591" s="2" t="s">
        <v>46</v>
      </c>
      <c r="C1591" s="2">
        <v>977.69960000000003</v>
      </c>
      <c r="D1591" s="2">
        <f>HYPERLINK("http://mcb-m6.bioreg.kyushu-u.ac.jp/M3/20110414/F50963/2998/1", 54.69)</f>
        <v>54.69</v>
      </c>
      <c r="E1591" s="2">
        <v>40.53</v>
      </c>
      <c r="F1591" s="2">
        <v>2</v>
      </c>
      <c r="G1591" s="2" t="s">
        <v>12</v>
      </c>
    </row>
    <row r="1592" spans="1:7" x14ac:dyDescent="0.2">
      <c r="A1592" s="2" t="s">
        <v>3266</v>
      </c>
      <c r="B1592" s="2" t="s">
        <v>46</v>
      </c>
      <c r="C1592" s="2">
        <v>977.50120000000004</v>
      </c>
      <c r="D1592" s="2">
        <f>HYPERLINK("http://mcb-m6.bioreg.kyushu-u.ac.jp/M3/20110414/F50947/3335/1", 54.88)</f>
        <v>54.88</v>
      </c>
      <c r="E1592" s="2">
        <v>38.68</v>
      </c>
      <c r="F1592" s="2">
        <v>2</v>
      </c>
      <c r="G1592" s="2" t="s">
        <v>12</v>
      </c>
    </row>
    <row r="1593" spans="1:7" x14ac:dyDescent="0.2">
      <c r="A1593" s="2" t="s">
        <v>3266</v>
      </c>
      <c r="B1593" s="2" t="s">
        <v>46</v>
      </c>
      <c r="C1593" s="2">
        <v>977.90009999999995</v>
      </c>
      <c r="D1593" s="2">
        <f>HYPERLINK("http://mcb-m6.bioreg.kyushu-u.ac.jp/M3/20110414/F50966/2730/1", 60.44)</f>
        <v>60.44</v>
      </c>
      <c r="E1593" s="2">
        <v>38.479999999999997</v>
      </c>
      <c r="F1593" s="2">
        <v>2</v>
      </c>
      <c r="G1593" s="2" t="s">
        <v>12</v>
      </c>
    </row>
    <row r="1594" spans="1:7" x14ac:dyDescent="0.2">
      <c r="A1594" s="2" t="s">
        <v>3266</v>
      </c>
      <c r="B1594" s="2" t="s">
        <v>46</v>
      </c>
      <c r="C1594" s="2">
        <v>977.84469999999999</v>
      </c>
      <c r="D1594" s="2">
        <f>HYPERLINK("http://mcb-m6.bioreg.kyushu-u.ac.jp/M3/20110414/F50963/3002/1", 67)</f>
        <v>67</v>
      </c>
      <c r="E1594" s="2">
        <v>48.24</v>
      </c>
      <c r="F1594" s="2">
        <v>2</v>
      </c>
      <c r="G1594" s="2" t="s">
        <v>12</v>
      </c>
    </row>
    <row r="1595" spans="1:7" x14ac:dyDescent="0.2">
      <c r="A1595" s="2" t="s">
        <v>3266</v>
      </c>
      <c r="B1595" s="2" t="s">
        <v>46</v>
      </c>
      <c r="C1595" s="2">
        <v>977.8777</v>
      </c>
      <c r="D1595" s="2">
        <f>HYPERLINK("http://mcb-m6.bioreg.kyushu-u.ac.jp/M3/20110414/F50963/3005/1", 67.36)</f>
        <v>67.36</v>
      </c>
      <c r="E1595" s="2">
        <v>43.13</v>
      </c>
      <c r="F1595" s="2">
        <v>2</v>
      </c>
      <c r="G1595" s="2" t="s">
        <v>12</v>
      </c>
    </row>
    <row r="1596" spans="1:7" x14ac:dyDescent="0.2">
      <c r="A1596" s="2" t="s">
        <v>3266</v>
      </c>
      <c r="B1596" s="2" t="s">
        <v>46</v>
      </c>
      <c r="C1596" s="2">
        <v>977.84220000000005</v>
      </c>
      <c r="D1596" s="2">
        <f>HYPERLINK("http://mcb-m6.bioreg.kyushu-u.ac.jp/M3/20110414/F50966/2729/1", 67.88)</f>
        <v>67.88</v>
      </c>
      <c r="E1596" s="2">
        <v>44.36</v>
      </c>
      <c r="F1596" s="2">
        <v>2</v>
      </c>
      <c r="G1596" s="2" t="s">
        <v>12</v>
      </c>
    </row>
    <row r="1597" spans="1:7" x14ac:dyDescent="0.2">
      <c r="A1597" s="2" t="s">
        <v>3266</v>
      </c>
      <c r="B1597" s="2" t="s">
        <v>46</v>
      </c>
      <c r="C1597" s="2">
        <v>977.43269999999995</v>
      </c>
      <c r="D1597" s="2">
        <f>HYPERLINK("http://mcb-m6.bioreg.kyushu-u.ac.jp/M3/20110414/F50947/3334/1", 68.78)</f>
        <v>68.78</v>
      </c>
      <c r="E1597" s="2">
        <v>46.31</v>
      </c>
      <c r="F1597" s="2">
        <v>2</v>
      </c>
      <c r="G1597" s="2" t="s">
        <v>12</v>
      </c>
    </row>
    <row r="1598" spans="1:7" x14ac:dyDescent="0.2">
      <c r="A1598" s="2" t="s">
        <v>3266</v>
      </c>
      <c r="B1598" s="2" t="s">
        <v>46</v>
      </c>
      <c r="C1598" s="2">
        <v>977.33010000000002</v>
      </c>
      <c r="D1598" s="2">
        <f>HYPERLINK("http://mcb-m6.bioreg.kyushu-u.ac.jp/M3/20110414/F50966/2724/1", 69.11)</f>
        <v>69.11</v>
      </c>
      <c r="E1598" s="2">
        <v>43.06</v>
      </c>
      <c r="F1598" s="2">
        <v>2</v>
      </c>
      <c r="G1598" s="2" t="s">
        <v>12</v>
      </c>
    </row>
    <row r="1599" spans="1:7" x14ac:dyDescent="0.2">
      <c r="A1599" s="2" t="s">
        <v>3266</v>
      </c>
      <c r="B1599" s="2" t="s">
        <v>46</v>
      </c>
      <c r="C1599" s="2">
        <v>977.90419999999995</v>
      </c>
      <c r="D1599" s="2">
        <f>HYPERLINK("http://mcb-m6.bioreg.kyushu-u.ac.jp/M3/20110414/F50948/3466/1", 69.17)</f>
        <v>69.17</v>
      </c>
      <c r="E1599" s="2">
        <v>46.32</v>
      </c>
      <c r="F1599" s="2">
        <v>2</v>
      </c>
      <c r="G1599" s="2" t="s">
        <v>12</v>
      </c>
    </row>
    <row r="1600" spans="1:7" x14ac:dyDescent="0.2">
      <c r="A1600" s="2" t="s">
        <v>3266</v>
      </c>
      <c r="B1600" s="2" t="s">
        <v>46</v>
      </c>
      <c r="C1600" s="2">
        <v>977.21810000000005</v>
      </c>
      <c r="D1600" s="2">
        <f>HYPERLINK("http://mcb-m6.bioreg.kyushu-u.ac.jp/M3/20110414/F50963/2983/1", 70.62)</f>
        <v>70.62</v>
      </c>
      <c r="E1600" s="2">
        <v>45.27</v>
      </c>
      <c r="F1600" s="2">
        <v>2</v>
      </c>
      <c r="G1600" s="2" t="s">
        <v>12</v>
      </c>
    </row>
    <row r="1601" spans="1:7" x14ac:dyDescent="0.2">
      <c r="A1601" s="2" t="s">
        <v>3266</v>
      </c>
      <c r="B1601" s="2" t="s">
        <v>46</v>
      </c>
      <c r="C1601" s="2">
        <v>977.40260000000001</v>
      </c>
      <c r="D1601" s="2">
        <f>HYPERLINK("http://mcb-m6.bioreg.kyushu-u.ac.jp/M3/20110414/F50963/2990/1", 71.26)</f>
        <v>71.260000000000005</v>
      </c>
      <c r="E1601" s="2">
        <v>45.21</v>
      </c>
      <c r="F1601" s="2">
        <v>2</v>
      </c>
      <c r="G1601" s="2" t="s">
        <v>12</v>
      </c>
    </row>
    <row r="1602" spans="1:7" x14ac:dyDescent="0.2">
      <c r="A1602" s="2" t="s">
        <v>3266</v>
      </c>
      <c r="B1602" s="2" t="s">
        <v>46</v>
      </c>
      <c r="C1602" s="2">
        <v>977.97969999999998</v>
      </c>
      <c r="D1602" s="2">
        <f>HYPERLINK("http://mcb-m6.bioreg.kyushu-u.ac.jp/M3/20110414/F50959/3465/1", 72.93)</f>
        <v>72.930000000000007</v>
      </c>
      <c r="E1602" s="2">
        <v>44.12</v>
      </c>
      <c r="F1602" s="2">
        <v>2</v>
      </c>
      <c r="G1602" s="2" t="s">
        <v>12</v>
      </c>
    </row>
    <row r="1603" spans="1:7" x14ac:dyDescent="0.2">
      <c r="A1603" s="2" t="s">
        <v>3266</v>
      </c>
      <c r="B1603" s="2" t="s">
        <v>46</v>
      </c>
      <c r="C1603" s="2">
        <v>977.94420000000002</v>
      </c>
      <c r="D1603" s="2">
        <f>HYPERLINK("http://mcb-m6.bioreg.kyushu-u.ac.jp/M3/20110414/F50947/3339/1", 74.58)</f>
        <v>74.58</v>
      </c>
      <c r="E1603" s="2">
        <v>49.05</v>
      </c>
      <c r="F1603" s="2">
        <v>2</v>
      </c>
      <c r="G1603" s="2" t="s">
        <v>12</v>
      </c>
    </row>
    <row r="1604" spans="1:7" x14ac:dyDescent="0.2">
      <c r="A1604" s="2" t="s">
        <v>3266</v>
      </c>
      <c r="B1604" s="2" t="s">
        <v>46</v>
      </c>
      <c r="C1604" s="2">
        <v>1953.703</v>
      </c>
      <c r="D1604" s="2">
        <f>HYPERLINK("http://mcb-m6.bioreg.kyushu-u.ac.jp/M3/20110414/F50963/2989/1", 78.09)</f>
        <v>78.09</v>
      </c>
      <c r="E1604" s="2">
        <v>21.91</v>
      </c>
      <c r="F1604" s="2">
        <v>1</v>
      </c>
      <c r="G1604" s="2" t="s">
        <v>12</v>
      </c>
    </row>
    <row r="1605" spans="1:7" x14ac:dyDescent="0.2">
      <c r="A1605" s="2" t="s">
        <v>3266</v>
      </c>
      <c r="B1605" s="2" t="s">
        <v>46</v>
      </c>
      <c r="C1605" s="2">
        <v>977.94460000000004</v>
      </c>
      <c r="D1605" s="2">
        <f>HYPERLINK("http://mcb-m6.bioreg.kyushu-u.ac.jp/M3/20110414/F50932/2841/1", 78.21)</f>
        <v>78.209999999999994</v>
      </c>
      <c r="E1605" s="2">
        <v>46.38</v>
      </c>
      <c r="F1605" s="2">
        <v>2</v>
      </c>
      <c r="G1605" s="2" t="s">
        <v>12</v>
      </c>
    </row>
    <row r="1606" spans="1:7" x14ac:dyDescent="0.2">
      <c r="A1606" s="2" t="s">
        <v>3266</v>
      </c>
      <c r="B1606" s="2" t="s">
        <v>46</v>
      </c>
      <c r="C1606" s="2">
        <v>977.44709999999998</v>
      </c>
      <c r="D1606" s="2">
        <f>HYPERLINK("http://mcb-m6.bioreg.kyushu-u.ac.jp/M3/20110414/F50959/3460/1", 78.4)</f>
        <v>78.400000000000006</v>
      </c>
      <c r="E1606" s="2">
        <v>48.82</v>
      </c>
      <c r="F1606" s="2">
        <v>2</v>
      </c>
      <c r="G1606" s="2" t="s">
        <v>12</v>
      </c>
    </row>
    <row r="1607" spans="1:7" x14ac:dyDescent="0.2">
      <c r="A1607" s="2" t="s">
        <v>3266</v>
      </c>
      <c r="B1607" s="2" t="s">
        <v>46</v>
      </c>
      <c r="C1607" s="2">
        <v>977.32510000000002</v>
      </c>
      <c r="D1607" s="2">
        <f>HYPERLINK("http://mcb-m6.bioreg.kyushu-u.ac.jp/M3/20110414/F50963/2988/1", 78.4)</f>
        <v>78.400000000000006</v>
      </c>
      <c r="E1607" s="2">
        <v>48.5</v>
      </c>
      <c r="F1607" s="2">
        <v>2</v>
      </c>
      <c r="G1607" s="2" t="s">
        <v>12</v>
      </c>
    </row>
    <row r="1608" spans="1:7" x14ac:dyDescent="0.2">
      <c r="A1608" s="2" t="s">
        <v>3266</v>
      </c>
      <c r="B1608" s="2" t="s">
        <v>46</v>
      </c>
      <c r="C1608" s="2">
        <v>977.26009999999997</v>
      </c>
      <c r="D1608" s="2">
        <f>HYPERLINK("http://mcb-m6.bioreg.kyushu-u.ac.jp/M3/20110414/F50963/2986/1", 78.44)</f>
        <v>78.44</v>
      </c>
      <c r="E1608" s="2">
        <v>46.34</v>
      </c>
      <c r="F1608" s="2">
        <v>2</v>
      </c>
      <c r="G1608" s="2" t="s">
        <v>12</v>
      </c>
    </row>
    <row r="1609" spans="1:7" x14ac:dyDescent="0.2">
      <c r="A1609" s="2" t="s">
        <v>3266</v>
      </c>
      <c r="B1609" s="2" t="s">
        <v>46</v>
      </c>
      <c r="C1609" s="2">
        <v>977.36969999999997</v>
      </c>
      <c r="D1609" s="2">
        <f>HYPERLINK("http://mcb-m6.bioreg.kyushu-u.ac.jp/M3/20110414/F50958/3502/1", 79.62)</f>
        <v>79.62</v>
      </c>
      <c r="E1609" s="2">
        <v>47.78</v>
      </c>
      <c r="F1609" s="2">
        <v>2</v>
      </c>
      <c r="G1609" s="2" t="s">
        <v>12</v>
      </c>
    </row>
    <row r="1610" spans="1:7" x14ac:dyDescent="0.2">
      <c r="A1610" s="2" t="s">
        <v>3266</v>
      </c>
      <c r="B1610" s="2" t="s">
        <v>46</v>
      </c>
      <c r="C1610" s="2">
        <v>977.49369999999999</v>
      </c>
      <c r="D1610" s="2">
        <f>HYPERLINK("http://mcb-m6.bioreg.kyushu-u.ac.jp/M3/20110414/F50963/2993/1", 80.06)</f>
        <v>80.06</v>
      </c>
      <c r="E1610" s="2">
        <v>52.11</v>
      </c>
      <c r="F1610" s="2">
        <v>2</v>
      </c>
      <c r="G1610" s="2" t="s">
        <v>12</v>
      </c>
    </row>
    <row r="1611" spans="1:7" x14ac:dyDescent="0.2">
      <c r="A1611" s="2" t="s">
        <v>3266</v>
      </c>
      <c r="B1611" s="2" t="s">
        <v>46</v>
      </c>
      <c r="C1611" s="2">
        <v>977.23659999999995</v>
      </c>
      <c r="D1611" s="2">
        <f>HYPERLINK("http://mcb-m6.bioreg.kyushu-u.ac.jp/M3/20110414/F50963/2984/1", 80.16)</f>
        <v>80.16</v>
      </c>
      <c r="E1611" s="2">
        <v>51.19</v>
      </c>
      <c r="F1611" s="2">
        <v>2</v>
      </c>
      <c r="G1611" s="2" t="s">
        <v>12</v>
      </c>
    </row>
    <row r="1612" spans="1:7" x14ac:dyDescent="0.2">
      <c r="A1612" s="2" t="s">
        <v>3266</v>
      </c>
      <c r="B1612" s="2" t="s">
        <v>46</v>
      </c>
      <c r="C1612" s="2">
        <v>977.60170000000005</v>
      </c>
      <c r="D1612" s="2">
        <f>HYPERLINK("http://mcb-m6.bioreg.kyushu-u.ac.jp/M3/20110414/F50933/3278/1", 80.22)</f>
        <v>80.22</v>
      </c>
      <c r="E1612" s="2">
        <v>53.39</v>
      </c>
      <c r="F1612" s="2">
        <v>2</v>
      </c>
      <c r="G1612" s="2" t="s">
        <v>12</v>
      </c>
    </row>
    <row r="1613" spans="1:7" x14ac:dyDescent="0.2">
      <c r="A1613" s="2" t="s">
        <v>3266</v>
      </c>
      <c r="B1613" s="2" t="s">
        <v>46</v>
      </c>
      <c r="C1613" s="2">
        <v>977.03719999999998</v>
      </c>
      <c r="D1613" s="2">
        <f>HYPERLINK("http://mcb-m6.bioreg.kyushu-u.ac.jp/M3/20110414/F50950/3405/1", 80.67)</f>
        <v>80.67</v>
      </c>
      <c r="E1613" s="2">
        <v>56</v>
      </c>
      <c r="F1613" s="2">
        <v>2</v>
      </c>
      <c r="G1613" s="2" t="s">
        <v>12</v>
      </c>
    </row>
    <row r="1614" spans="1:7" x14ac:dyDescent="0.2">
      <c r="A1614" s="2" t="s">
        <v>3266</v>
      </c>
      <c r="B1614" s="2" t="s">
        <v>46</v>
      </c>
      <c r="C1614" s="2">
        <v>977.6472</v>
      </c>
      <c r="D1614" s="2">
        <f>HYPERLINK("http://mcb-m6.bioreg.kyushu-u.ac.jp/M3/20110414/F50963/2994/1", 81.97)</f>
        <v>81.97</v>
      </c>
      <c r="E1614" s="2">
        <v>47.19</v>
      </c>
      <c r="F1614" s="2">
        <v>2</v>
      </c>
      <c r="G1614" s="2" t="s">
        <v>12</v>
      </c>
    </row>
    <row r="1615" spans="1:7" x14ac:dyDescent="0.2">
      <c r="A1615" s="2" t="s">
        <v>3266</v>
      </c>
      <c r="B1615" s="2" t="s">
        <v>46</v>
      </c>
      <c r="C1615" s="2">
        <v>977.86519999999996</v>
      </c>
      <c r="D1615" s="2">
        <f>HYPERLINK("http://mcb-m6.bioreg.kyushu-u.ac.jp/M3/20110414/F50963/3004/1", 86.5)</f>
        <v>86.5</v>
      </c>
      <c r="E1615" s="2">
        <v>52.64</v>
      </c>
      <c r="F1615" s="2">
        <v>2</v>
      </c>
      <c r="G1615" s="2" t="s">
        <v>12</v>
      </c>
    </row>
    <row r="1616" spans="1:7" x14ac:dyDescent="0.2">
      <c r="A1616" s="2" t="s">
        <v>3266</v>
      </c>
      <c r="B1616" s="2" t="s">
        <v>46</v>
      </c>
      <c r="C1616" s="2">
        <v>977.39260000000002</v>
      </c>
      <c r="D1616" s="2">
        <f>HYPERLINK("http://mcb-m6.bioreg.kyushu-u.ac.jp/M3/20110414/F50948/3461/1", 87.96)</f>
        <v>87.96</v>
      </c>
      <c r="E1616" s="2">
        <v>54.25</v>
      </c>
      <c r="F1616" s="2">
        <v>2</v>
      </c>
      <c r="G1616" s="2" t="s">
        <v>12</v>
      </c>
    </row>
    <row r="1617" spans="1:7" x14ac:dyDescent="0.2">
      <c r="A1617" s="2" t="s">
        <v>3266</v>
      </c>
      <c r="B1617" s="2" t="s">
        <v>46</v>
      </c>
      <c r="C1617" s="2">
        <v>977.41819999999996</v>
      </c>
      <c r="D1617" s="2">
        <f>HYPERLINK("http://mcb-m6.bioreg.kyushu-u.ac.jp/M3/20110414/F50963/2991/1", 97.94)</f>
        <v>97.94</v>
      </c>
      <c r="E1617" s="2">
        <v>56.57</v>
      </c>
      <c r="F1617" s="2">
        <v>2</v>
      </c>
      <c r="G1617" s="2" t="s">
        <v>12</v>
      </c>
    </row>
    <row r="1618" spans="1:7" x14ac:dyDescent="0.2">
      <c r="A1618" s="2" t="s">
        <v>3266</v>
      </c>
      <c r="B1618" s="2" t="s">
        <v>46</v>
      </c>
      <c r="C1618" s="2">
        <v>977.29359999999997</v>
      </c>
      <c r="D1618" s="2">
        <f>HYPERLINK("http://mcb-m6.bioreg.kyushu-u.ac.jp/M3/20110414/F50963/2987/1", 106.27)</f>
        <v>106.27</v>
      </c>
      <c r="E1618" s="2">
        <v>62.7</v>
      </c>
      <c r="F1618" s="2">
        <v>2</v>
      </c>
      <c r="G1618" s="2" t="s">
        <v>12</v>
      </c>
    </row>
    <row r="1619" spans="1:7" x14ac:dyDescent="0.2">
      <c r="A1619" s="2" t="s">
        <v>3266</v>
      </c>
      <c r="B1619" s="2" t="s">
        <v>46</v>
      </c>
      <c r="C1619" s="2">
        <v>978.0992</v>
      </c>
      <c r="D1619" s="2">
        <f>HYPERLINK("http://mcb-m6.bioreg.kyushu-u.ac.jp/M3/20110502/F51187/2708/1", 43.66)</f>
        <v>43.66</v>
      </c>
      <c r="E1619" s="2">
        <v>26.28</v>
      </c>
      <c r="F1619" s="2">
        <v>2</v>
      </c>
      <c r="G1619" s="2" t="s">
        <v>13</v>
      </c>
    </row>
    <row r="1620" spans="1:7" x14ac:dyDescent="0.2">
      <c r="A1620" s="2" t="s">
        <v>3266</v>
      </c>
      <c r="B1620" s="2" t="s">
        <v>46</v>
      </c>
      <c r="C1620" s="2">
        <v>652.32749999999999</v>
      </c>
      <c r="D1620" s="2">
        <f>HYPERLINK("http://mcb-m6.bioreg.kyushu-u.ac.jp/M3/20110502/F51188/2713/1", 45.62)</f>
        <v>45.62</v>
      </c>
      <c r="E1620" s="2">
        <v>5.76</v>
      </c>
      <c r="F1620" s="2">
        <v>3</v>
      </c>
      <c r="G1620" s="2" t="s">
        <v>13</v>
      </c>
    </row>
    <row r="1621" spans="1:7" x14ac:dyDescent="0.2">
      <c r="A1621" s="2" t="s">
        <v>3266</v>
      </c>
      <c r="B1621" s="2" t="s">
        <v>46</v>
      </c>
      <c r="C1621" s="2">
        <v>977.80970000000002</v>
      </c>
      <c r="D1621" s="2">
        <f>HYPERLINK("http://mcb-m6.bioreg.kyushu-u.ac.jp/M3/20110502/F51170/3183/1", 50.49)</f>
        <v>50.49</v>
      </c>
      <c r="E1621" s="2">
        <v>31.82</v>
      </c>
      <c r="F1621" s="2">
        <v>2</v>
      </c>
      <c r="G1621" s="2" t="s">
        <v>13</v>
      </c>
    </row>
    <row r="1622" spans="1:7" x14ac:dyDescent="0.2">
      <c r="A1622" s="2" t="s">
        <v>3266</v>
      </c>
      <c r="B1622" s="2" t="s">
        <v>46</v>
      </c>
      <c r="C1622" s="2">
        <v>977.79970000000003</v>
      </c>
      <c r="D1622" s="2">
        <f>HYPERLINK("http://mcb-m6.bioreg.kyushu-u.ac.jp/M3/20110502/F51188/2712/1", 55.54)</f>
        <v>55.54</v>
      </c>
      <c r="E1622" s="2">
        <v>36.83</v>
      </c>
      <c r="F1622" s="2">
        <v>2</v>
      </c>
      <c r="G1622" s="2" t="s">
        <v>13</v>
      </c>
    </row>
    <row r="1623" spans="1:7" x14ac:dyDescent="0.2">
      <c r="A1623" s="2" t="s">
        <v>3266</v>
      </c>
      <c r="B1623" s="2" t="s">
        <v>46</v>
      </c>
      <c r="C1623" s="2">
        <v>977.74019999999996</v>
      </c>
      <c r="D1623" s="2">
        <f>HYPERLINK("http://mcb-m6.bioreg.kyushu-u.ac.jp/M3/20110502/F51188/2711/1", 56.46)</f>
        <v>56.46</v>
      </c>
      <c r="E1623" s="2">
        <v>31.5</v>
      </c>
      <c r="F1623" s="2">
        <v>2</v>
      </c>
      <c r="G1623" s="2" t="s">
        <v>13</v>
      </c>
    </row>
    <row r="1624" spans="1:7" x14ac:dyDescent="0.2">
      <c r="A1624" s="2" t="s">
        <v>3266</v>
      </c>
      <c r="B1624" s="2" t="s">
        <v>46</v>
      </c>
      <c r="C1624" s="2">
        <v>978.12959999999998</v>
      </c>
      <c r="D1624" s="2">
        <f>HYPERLINK("http://mcb-m6.bioreg.kyushu-u.ac.jp/M3/20110502/F51188/2714/1", 58.44)</f>
        <v>58.44</v>
      </c>
      <c r="E1624" s="2">
        <v>24.07</v>
      </c>
      <c r="F1624" s="2">
        <v>2</v>
      </c>
      <c r="G1624" s="2" t="s">
        <v>13</v>
      </c>
    </row>
    <row r="1625" spans="1:7" x14ac:dyDescent="0.2">
      <c r="A1625" s="2" t="s">
        <v>3266</v>
      </c>
      <c r="B1625" s="2" t="s">
        <v>46</v>
      </c>
      <c r="C1625" s="2">
        <v>978.07209999999998</v>
      </c>
      <c r="D1625" s="2">
        <f>HYPERLINK("http://mcb-m6.bioreg.kyushu-u.ac.jp/M3/20110502/F51168/2763/1", 59.86)</f>
        <v>59.86</v>
      </c>
      <c r="E1625" s="2">
        <v>32.28</v>
      </c>
      <c r="F1625" s="2">
        <v>2</v>
      </c>
      <c r="G1625" s="2" t="s">
        <v>13</v>
      </c>
    </row>
    <row r="1626" spans="1:7" x14ac:dyDescent="0.2">
      <c r="A1626" s="2" t="s">
        <v>3266</v>
      </c>
      <c r="B1626" s="2" t="s">
        <v>46</v>
      </c>
      <c r="C1626" s="2">
        <v>977.60770000000002</v>
      </c>
      <c r="D1626" s="2">
        <f>HYPERLINK("http://mcb-m6.bioreg.kyushu-u.ac.jp/M3/20110502/F51187/2698/1", 60.12)</f>
        <v>60.12</v>
      </c>
      <c r="E1626" s="2">
        <v>33.53</v>
      </c>
      <c r="F1626" s="2">
        <v>2</v>
      </c>
      <c r="G1626" s="2" t="s">
        <v>13</v>
      </c>
    </row>
    <row r="1627" spans="1:7" x14ac:dyDescent="0.2">
      <c r="A1627" s="2" t="s">
        <v>3266</v>
      </c>
      <c r="B1627" s="2" t="s">
        <v>46</v>
      </c>
      <c r="C1627" s="2">
        <v>977.58969999999999</v>
      </c>
      <c r="D1627" s="2">
        <f>HYPERLINK("http://mcb-m6.bioreg.kyushu-u.ac.jp/M3/20110502/F51187/2697/1", 64.18)</f>
        <v>64.180000000000007</v>
      </c>
      <c r="E1627" s="2">
        <v>39.68</v>
      </c>
      <c r="F1627" s="2">
        <v>2</v>
      </c>
      <c r="G1627" s="2" t="s">
        <v>13</v>
      </c>
    </row>
    <row r="1628" spans="1:7" x14ac:dyDescent="0.2">
      <c r="A1628" s="2" t="s">
        <v>3266</v>
      </c>
      <c r="B1628" s="2" t="s">
        <v>46</v>
      </c>
      <c r="C1628" s="2">
        <v>978.09059999999999</v>
      </c>
      <c r="D1628" s="2">
        <f>HYPERLINK("http://mcb-m6.bioreg.kyushu-u.ac.jp/M3/20110502/F51169/2935/1", 64.22)</f>
        <v>64.22</v>
      </c>
      <c r="E1628" s="2">
        <v>46.04</v>
      </c>
      <c r="F1628" s="2">
        <v>2</v>
      </c>
      <c r="G1628" s="2" t="s">
        <v>13</v>
      </c>
    </row>
    <row r="1629" spans="1:7" x14ac:dyDescent="0.2">
      <c r="A1629" s="2" t="s">
        <v>3266</v>
      </c>
      <c r="B1629" s="2" t="s">
        <v>46</v>
      </c>
      <c r="C1629" s="2">
        <v>978.12620000000004</v>
      </c>
      <c r="D1629" s="2">
        <f>HYPERLINK("http://mcb-m6.bioreg.kyushu-u.ac.jp/M3/20110502/F51187/2709/1", 65.83)</f>
        <v>65.83</v>
      </c>
      <c r="E1629" s="2">
        <v>25.08</v>
      </c>
      <c r="F1629" s="2">
        <v>2</v>
      </c>
      <c r="G1629" s="2" t="s">
        <v>13</v>
      </c>
    </row>
    <row r="1630" spans="1:7" x14ac:dyDescent="0.2">
      <c r="A1630" s="2" t="s">
        <v>3266</v>
      </c>
      <c r="B1630" s="2" t="s">
        <v>46</v>
      </c>
      <c r="C1630" s="2">
        <v>977.69759999999997</v>
      </c>
      <c r="D1630" s="2">
        <f>HYPERLINK("http://mcb-m6.bioreg.kyushu-u.ac.jp/M3/20110502/F51171/2910/1", 66.58)</f>
        <v>66.58</v>
      </c>
      <c r="E1630" s="2">
        <v>44.4</v>
      </c>
      <c r="F1630" s="2">
        <v>2</v>
      </c>
      <c r="G1630" s="2" t="s">
        <v>13</v>
      </c>
    </row>
    <row r="1631" spans="1:7" x14ac:dyDescent="0.2">
      <c r="A1631" s="2" t="s">
        <v>3266</v>
      </c>
      <c r="B1631" s="2" t="s">
        <v>46</v>
      </c>
      <c r="C1631" s="2">
        <v>977.95209999999997</v>
      </c>
      <c r="D1631" s="2">
        <f>HYPERLINK("http://mcb-m6.bioreg.kyushu-u.ac.jp/M3/20110502/F51187/2707/1", 68.2)</f>
        <v>68.2</v>
      </c>
      <c r="E1631" s="2">
        <v>28.23</v>
      </c>
      <c r="F1631" s="2">
        <v>2</v>
      </c>
      <c r="G1631" s="2" t="s">
        <v>13</v>
      </c>
    </row>
    <row r="1632" spans="1:7" x14ac:dyDescent="0.2">
      <c r="A1632" s="2" t="s">
        <v>3266</v>
      </c>
      <c r="B1632" s="2" t="s">
        <v>46</v>
      </c>
      <c r="C1632" s="2">
        <v>977.72770000000003</v>
      </c>
      <c r="D1632" s="2">
        <f>HYPERLINK("http://mcb-m6.bioreg.kyushu-u.ac.jp/M3/20110502/F51173/3101/1", 68.99)</f>
        <v>68.989999999999995</v>
      </c>
      <c r="E1632" s="2">
        <v>41.28</v>
      </c>
      <c r="F1632" s="2">
        <v>2</v>
      </c>
      <c r="G1632" s="2" t="s">
        <v>13</v>
      </c>
    </row>
    <row r="1633" spans="1:7" x14ac:dyDescent="0.2">
      <c r="A1633" s="2" t="s">
        <v>3266</v>
      </c>
      <c r="B1633" s="2" t="s">
        <v>46</v>
      </c>
      <c r="C1633" s="2">
        <v>977.89170000000001</v>
      </c>
      <c r="D1633" s="2">
        <f>HYPERLINK("http://mcb-m6.bioreg.kyushu-u.ac.jp/M3/20110502/F51172/3468/1", 69.91)</f>
        <v>69.91</v>
      </c>
      <c r="E1633" s="2">
        <v>44.32</v>
      </c>
      <c r="F1633" s="2">
        <v>2</v>
      </c>
      <c r="G1633" s="2" t="s">
        <v>13</v>
      </c>
    </row>
    <row r="1634" spans="1:7" x14ac:dyDescent="0.2">
      <c r="A1634" s="2" t="s">
        <v>3266</v>
      </c>
      <c r="B1634" s="2" t="s">
        <v>46</v>
      </c>
      <c r="C1634" s="2">
        <v>977.72469999999998</v>
      </c>
      <c r="D1634" s="2">
        <f>HYPERLINK("http://mcb-m6.bioreg.kyushu-u.ac.jp/M3/20110502/F51187/2703/1", 71.2)</f>
        <v>71.2</v>
      </c>
      <c r="E1634" s="2">
        <v>47.55</v>
      </c>
      <c r="F1634" s="2">
        <v>2</v>
      </c>
      <c r="G1634" s="2" t="s">
        <v>13</v>
      </c>
    </row>
    <row r="1635" spans="1:7" x14ac:dyDescent="0.2">
      <c r="A1635" s="2" t="s">
        <v>3266</v>
      </c>
      <c r="B1635" s="2" t="s">
        <v>46</v>
      </c>
      <c r="C1635" s="2">
        <v>977.72059999999999</v>
      </c>
      <c r="D1635" s="2">
        <f>HYPERLINK("http://mcb-m6.bioreg.kyushu-u.ac.jp/M3/20110502/F51174/2671/1", 72.12)</f>
        <v>72.12</v>
      </c>
      <c r="E1635" s="2">
        <v>46.22</v>
      </c>
      <c r="F1635" s="2">
        <v>2</v>
      </c>
      <c r="G1635" s="2" t="s">
        <v>13</v>
      </c>
    </row>
    <row r="1636" spans="1:7" x14ac:dyDescent="0.2">
      <c r="A1636" s="2" t="s">
        <v>3266</v>
      </c>
      <c r="B1636" s="2" t="s">
        <v>46</v>
      </c>
      <c r="C1636" s="2">
        <v>977.66060000000004</v>
      </c>
      <c r="D1636" s="2">
        <f>HYPERLINK("http://mcb-m6.bioreg.kyushu-u.ac.jp/M3/20110502/F51187/2700/1", 72.47)</f>
        <v>72.47</v>
      </c>
      <c r="E1636" s="2">
        <v>42.06</v>
      </c>
      <c r="F1636" s="2">
        <v>2</v>
      </c>
      <c r="G1636" s="2" t="s">
        <v>13</v>
      </c>
    </row>
    <row r="1637" spans="1:7" x14ac:dyDescent="0.2">
      <c r="A1637" s="2" t="s">
        <v>3266</v>
      </c>
      <c r="B1637" s="2" t="s">
        <v>46</v>
      </c>
      <c r="C1637" s="2">
        <v>977.63670000000002</v>
      </c>
      <c r="D1637" s="2">
        <f>HYPERLINK("http://mcb-m6.bioreg.kyushu-u.ac.jp/M3/20110502/F51170/3180/1", 76.03)</f>
        <v>76.03</v>
      </c>
      <c r="E1637" s="2">
        <v>47.87</v>
      </c>
      <c r="F1637" s="2">
        <v>2</v>
      </c>
      <c r="G1637" s="2" t="s">
        <v>13</v>
      </c>
    </row>
    <row r="1638" spans="1:7" x14ac:dyDescent="0.2">
      <c r="A1638" s="2" t="s">
        <v>3266</v>
      </c>
      <c r="B1638" s="2" t="s">
        <v>46</v>
      </c>
      <c r="C1638" s="2">
        <v>977.71310000000005</v>
      </c>
      <c r="D1638" s="2">
        <f>HYPERLINK("http://mcb-m6.bioreg.kyushu-u.ac.jp/M3/20110502/F51188/2710/1", 76.03)</f>
        <v>76.03</v>
      </c>
      <c r="E1638" s="2">
        <v>48.21</v>
      </c>
      <c r="F1638" s="2">
        <v>2</v>
      </c>
      <c r="G1638" s="2" t="s">
        <v>13</v>
      </c>
    </row>
    <row r="1639" spans="1:7" x14ac:dyDescent="0.2">
      <c r="A1639" s="2" t="s">
        <v>3266</v>
      </c>
      <c r="B1639" s="2" t="s">
        <v>46</v>
      </c>
      <c r="C1639" s="2">
        <v>977.50869999999998</v>
      </c>
      <c r="D1639" s="2">
        <f>HYPERLINK("http://mcb-m6.bioreg.kyushu-u.ac.jp/M3/20110502/F51169/2931/1", 76.95)</f>
        <v>76.95</v>
      </c>
      <c r="E1639" s="2">
        <v>49.72</v>
      </c>
      <c r="F1639" s="2">
        <v>2</v>
      </c>
      <c r="G1639" s="2" t="s">
        <v>13</v>
      </c>
    </row>
    <row r="1640" spans="1:7" x14ac:dyDescent="0.2">
      <c r="A1640" s="2" t="s">
        <v>3266</v>
      </c>
      <c r="B1640" s="2" t="s">
        <v>46</v>
      </c>
      <c r="C1640" s="2">
        <v>977.77760000000001</v>
      </c>
      <c r="D1640" s="2">
        <f>HYPERLINK("http://mcb-m6.bioreg.kyushu-u.ac.jp/M3/20110502/F51180/2888/1", 77.4)</f>
        <v>77.400000000000006</v>
      </c>
      <c r="E1640" s="2">
        <v>50.73</v>
      </c>
      <c r="F1640" s="2">
        <v>2</v>
      </c>
      <c r="G1640" s="2" t="s">
        <v>13</v>
      </c>
    </row>
    <row r="1641" spans="1:7" x14ac:dyDescent="0.2">
      <c r="A1641" s="2" t="s">
        <v>3266</v>
      </c>
      <c r="B1641" s="2" t="s">
        <v>46</v>
      </c>
      <c r="C1641" s="2">
        <v>977.66020000000003</v>
      </c>
      <c r="D1641" s="2">
        <f>HYPERLINK("http://mcb-m6.bioreg.kyushu-u.ac.jp/M3/20110502/F51175/2708/1", 79.17)</f>
        <v>79.17</v>
      </c>
      <c r="E1641" s="2">
        <v>50.77</v>
      </c>
      <c r="F1641" s="2">
        <v>2</v>
      </c>
      <c r="G1641" s="2" t="s">
        <v>13</v>
      </c>
    </row>
    <row r="1642" spans="1:7" x14ac:dyDescent="0.2">
      <c r="A1642" s="2" t="s">
        <v>3266</v>
      </c>
      <c r="B1642" s="2" t="s">
        <v>46</v>
      </c>
      <c r="C1642" s="2">
        <v>977.7097</v>
      </c>
      <c r="D1642" s="2">
        <f>HYPERLINK("http://mcb-m6.bioreg.kyushu-u.ac.jp/M3/20110502/F51187/2702/1", 86.14)</f>
        <v>86.14</v>
      </c>
      <c r="E1642" s="2">
        <v>52.72</v>
      </c>
      <c r="F1642" s="2">
        <v>2</v>
      </c>
      <c r="G1642" s="2" t="s">
        <v>13</v>
      </c>
    </row>
    <row r="1643" spans="1:7" x14ac:dyDescent="0.2">
      <c r="A1643" s="2" t="s">
        <v>3266</v>
      </c>
      <c r="B1643" s="2" t="s">
        <v>46</v>
      </c>
      <c r="C1643" s="2">
        <v>977.62159999999994</v>
      </c>
      <c r="D1643" s="2">
        <f>HYPERLINK("http://mcb-m6.bioreg.kyushu-u.ac.jp/M3/20110502/F51187/2699/1", 86.83)</f>
        <v>86.83</v>
      </c>
      <c r="E1643" s="2">
        <v>52.21</v>
      </c>
      <c r="F1643" s="2">
        <v>2</v>
      </c>
      <c r="G1643" s="2" t="s">
        <v>13</v>
      </c>
    </row>
    <row r="1644" spans="1:7" x14ac:dyDescent="0.2">
      <c r="A1644" s="2" t="s">
        <v>3266</v>
      </c>
      <c r="B1644" s="2" t="s">
        <v>46</v>
      </c>
      <c r="C1644" s="2">
        <v>977.7047</v>
      </c>
      <c r="D1644" s="2">
        <f>HYPERLINK("http://mcb-m6.bioreg.kyushu-u.ac.jp/M3/20110502/F51187/2701/1", 89.89)</f>
        <v>89.89</v>
      </c>
      <c r="E1644" s="2">
        <v>54.01</v>
      </c>
      <c r="F1644" s="2">
        <v>2</v>
      </c>
      <c r="G1644" s="2" t="s">
        <v>13</v>
      </c>
    </row>
    <row r="1645" spans="1:7" x14ac:dyDescent="0.2">
      <c r="A1645" s="2" t="s">
        <v>3266</v>
      </c>
      <c r="B1645" s="2" t="s">
        <v>46</v>
      </c>
      <c r="C1645" s="2">
        <v>977.84310000000005</v>
      </c>
      <c r="D1645" s="2">
        <f>HYPERLINK("http://mcb-m6.bioreg.kyushu-u.ac.jp/M3/20110502/F51192/2885/1", 41.87)</f>
        <v>41.87</v>
      </c>
      <c r="E1645" s="2">
        <v>26.34</v>
      </c>
      <c r="F1645" s="2">
        <v>2</v>
      </c>
      <c r="G1645" s="2" t="s">
        <v>14</v>
      </c>
    </row>
    <row r="1646" spans="1:7" x14ac:dyDescent="0.2">
      <c r="A1646" s="2" t="s">
        <v>3266</v>
      </c>
      <c r="B1646" s="2" t="s">
        <v>46</v>
      </c>
      <c r="C1646" s="2">
        <v>977.90369999999996</v>
      </c>
      <c r="D1646" s="2">
        <f>HYPERLINK("http://mcb-m6.bioreg.kyushu-u.ac.jp/M3/20110502/F51191/2760/1", 53.98)</f>
        <v>53.98</v>
      </c>
      <c r="E1646" s="2">
        <v>34.83</v>
      </c>
      <c r="F1646" s="2">
        <v>2</v>
      </c>
      <c r="G1646" s="2" t="s">
        <v>14</v>
      </c>
    </row>
    <row r="1647" spans="1:7" x14ac:dyDescent="0.2">
      <c r="A1647" s="2" t="s">
        <v>3266</v>
      </c>
      <c r="B1647" s="2" t="s">
        <v>46</v>
      </c>
      <c r="C1647" s="2">
        <v>977.79020000000003</v>
      </c>
      <c r="D1647" s="2">
        <f>HYPERLINK("http://mcb-m6.bioreg.kyushu-u.ac.jp/M3/20110502/F51191/2755/1", 59.38)</f>
        <v>59.38</v>
      </c>
      <c r="E1647" s="2">
        <v>38.08</v>
      </c>
      <c r="F1647" s="2">
        <v>2</v>
      </c>
      <c r="G1647" s="2" t="s">
        <v>14</v>
      </c>
    </row>
    <row r="1648" spans="1:7" x14ac:dyDescent="0.2">
      <c r="A1648" s="2" t="s">
        <v>3266</v>
      </c>
      <c r="B1648" s="2" t="s">
        <v>46</v>
      </c>
      <c r="C1648" s="2">
        <v>978.02470000000005</v>
      </c>
      <c r="D1648" s="2">
        <f>HYPERLINK("http://mcb-m6.bioreg.kyushu-u.ac.jp/M3/20110502/F51184/3184/1", 62.8)</f>
        <v>62.8</v>
      </c>
      <c r="E1648" s="2">
        <v>28.82</v>
      </c>
      <c r="F1648" s="2">
        <v>2</v>
      </c>
      <c r="G1648" s="2" t="s">
        <v>14</v>
      </c>
    </row>
    <row r="1649" spans="1:8" x14ac:dyDescent="0.2">
      <c r="A1649" s="2" t="s">
        <v>3266</v>
      </c>
      <c r="B1649" s="2" t="s">
        <v>46</v>
      </c>
      <c r="C1649" s="2">
        <v>977.72810000000004</v>
      </c>
      <c r="D1649" s="2">
        <f>HYPERLINK("http://mcb-m6.bioreg.kyushu-u.ac.jp/M3/20110502/F51191/2752/1", 63.53)</f>
        <v>63.53</v>
      </c>
      <c r="E1649" s="2">
        <v>43.63</v>
      </c>
      <c r="F1649" s="2">
        <v>2</v>
      </c>
      <c r="G1649" s="2" t="s">
        <v>14</v>
      </c>
    </row>
    <row r="1650" spans="1:8" x14ac:dyDescent="0.2">
      <c r="A1650" s="2" t="s">
        <v>3266</v>
      </c>
      <c r="B1650" s="2" t="s">
        <v>46</v>
      </c>
      <c r="C1650" s="2">
        <v>977.96619999999996</v>
      </c>
      <c r="D1650" s="2">
        <f>HYPERLINK("http://mcb-m6.bioreg.kyushu-u.ac.jp/M3/20110502/F51192/2886/1", 67.77)</f>
        <v>67.77</v>
      </c>
      <c r="E1650" s="2">
        <v>38.770000000000003</v>
      </c>
      <c r="F1650" s="2">
        <v>2</v>
      </c>
      <c r="G1650" s="2" t="s">
        <v>14</v>
      </c>
    </row>
    <row r="1651" spans="1:8" x14ac:dyDescent="0.2">
      <c r="A1651" s="2" t="s">
        <v>3266</v>
      </c>
      <c r="B1651" s="2" t="s">
        <v>46</v>
      </c>
      <c r="C1651" s="2">
        <v>977.75869999999998</v>
      </c>
      <c r="D1651" s="2">
        <f>HYPERLINK("http://mcb-m6.bioreg.kyushu-u.ac.jp/M3/20110502/F51191/2754/1", 68.66)</f>
        <v>68.66</v>
      </c>
      <c r="E1651" s="2">
        <v>44.93</v>
      </c>
      <c r="F1651" s="2">
        <v>2</v>
      </c>
      <c r="G1651" s="2" t="s">
        <v>14</v>
      </c>
    </row>
    <row r="1652" spans="1:8" x14ac:dyDescent="0.2">
      <c r="A1652" s="2" t="s">
        <v>3266</v>
      </c>
      <c r="B1652" s="2" t="s">
        <v>46</v>
      </c>
      <c r="C1652" s="2">
        <v>977.85770000000002</v>
      </c>
      <c r="D1652" s="2">
        <f>HYPERLINK("http://mcb-m6.bioreg.kyushu-u.ac.jp/M3/20110502/F51181/2740/1", 69.11)</f>
        <v>69.11</v>
      </c>
      <c r="E1652" s="2">
        <v>46.46</v>
      </c>
      <c r="F1652" s="2">
        <v>2</v>
      </c>
      <c r="G1652" s="2" t="s">
        <v>14</v>
      </c>
    </row>
    <row r="1653" spans="1:8" x14ac:dyDescent="0.2">
      <c r="A1653" s="2" t="s">
        <v>3266</v>
      </c>
      <c r="B1653" s="2" t="s">
        <v>46</v>
      </c>
      <c r="C1653" s="2">
        <v>977.78809999999999</v>
      </c>
      <c r="D1653" s="2">
        <f>HYPERLINK("http://mcb-m6.bioreg.kyushu-u.ac.jp/M3/20110502/F51185/2946/1", 69.28)</f>
        <v>69.28</v>
      </c>
      <c r="E1653" s="2">
        <v>42.96</v>
      </c>
      <c r="F1653" s="2">
        <v>2</v>
      </c>
      <c r="G1653" s="2" t="s">
        <v>14</v>
      </c>
    </row>
    <row r="1654" spans="1:8" x14ac:dyDescent="0.2">
      <c r="A1654" s="2" t="s">
        <v>3266</v>
      </c>
      <c r="B1654" s="2" t="s">
        <v>46</v>
      </c>
      <c r="C1654" s="2">
        <v>977.43709999999999</v>
      </c>
      <c r="D1654" s="2">
        <f>HYPERLINK("http://mcb-m6.bioreg.kyushu-u.ac.jp/M3/20110502/F51192/2884/1", 71.44)</f>
        <v>71.44</v>
      </c>
      <c r="E1654" s="2">
        <v>45.3</v>
      </c>
      <c r="F1654" s="2">
        <v>2</v>
      </c>
      <c r="G1654" s="2" t="s">
        <v>14</v>
      </c>
    </row>
    <row r="1655" spans="1:8" x14ac:dyDescent="0.2">
      <c r="A1655" s="2" t="s">
        <v>3266</v>
      </c>
      <c r="B1655" s="2" t="s">
        <v>46</v>
      </c>
      <c r="C1655" s="2">
        <v>977.75869999999998</v>
      </c>
      <c r="D1655" s="2">
        <f>HYPERLINK("http://mcb-m6.bioreg.kyushu-u.ac.jp/M3/20110502/F51191/2753/1", 79.51)</f>
        <v>79.510000000000005</v>
      </c>
      <c r="E1655" s="2">
        <v>42.66</v>
      </c>
      <c r="F1655" s="2">
        <v>2</v>
      </c>
      <c r="G1655" s="2" t="s">
        <v>14</v>
      </c>
    </row>
    <row r="1656" spans="1:8" x14ac:dyDescent="0.2">
      <c r="A1656" s="2" t="s">
        <v>3266</v>
      </c>
      <c r="B1656" s="2" t="s">
        <v>46</v>
      </c>
      <c r="C1656" s="2">
        <v>977.7192</v>
      </c>
      <c r="D1656" s="2">
        <f>HYPERLINK("http://mcb-m6.bioreg.kyushu-u.ac.jp/M3/20110502/F51179/3032/1", 84.78)</f>
        <v>84.78</v>
      </c>
      <c r="E1656" s="2">
        <v>56.98</v>
      </c>
      <c r="F1656" s="2">
        <v>2</v>
      </c>
      <c r="G1656" s="2" t="s">
        <v>14</v>
      </c>
    </row>
    <row r="1657" spans="1:8" x14ac:dyDescent="0.2">
      <c r="A1657" s="2" t="s">
        <v>3266</v>
      </c>
      <c r="B1657" s="2" t="s">
        <v>46</v>
      </c>
      <c r="C1657" s="2">
        <v>977.69569999999999</v>
      </c>
      <c r="D1657" s="2">
        <f>HYPERLINK("http://mcb-m6.bioreg.kyushu-u.ac.jp/M3/20110502/F51186/2781/1", 84.84)</f>
        <v>84.84</v>
      </c>
      <c r="E1657" s="2">
        <v>55.24</v>
      </c>
      <c r="F1657" s="2">
        <v>2</v>
      </c>
      <c r="G1657" s="2" t="s">
        <v>14</v>
      </c>
    </row>
    <row r="1658" spans="1:8" x14ac:dyDescent="0.2">
      <c r="A1658" s="2" t="s">
        <v>3266</v>
      </c>
      <c r="B1658" s="2" t="s">
        <v>46</v>
      </c>
      <c r="C1658" s="2">
        <v>977.70119999999997</v>
      </c>
      <c r="D1658" s="2">
        <f>HYPERLINK("http://mcb-m6.bioreg.kyushu-u.ac.jp/M3/20110502/F51194/2982/1", 85.19)</f>
        <v>85.19</v>
      </c>
      <c r="E1658" s="2">
        <v>55.8</v>
      </c>
      <c r="F1658" s="2">
        <v>2</v>
      </c>
      <c r="G1658" s="2" t="s">
        <v>14</v>
      </c>
    </row>
    <row r="1659" spans="1:8" x14ac:dyDescent="0.2">
      <c r="A1659" s="2" t="s">
        <v>3741</v>
      </c>
      <c r="B1659" s="2" t="s">
        <v>743</v>
      </c>
      <c r="C1659" s="2">
        <v>823.00919999999996</v>
      </c>
      <c r="D1659" s="2">
        <f>HYPERLINK("http://mcb-m6.bioreg.kyushu-u.ac.jp/M3/20110411/F50919/2061/1", 49.87)</f>
        <v>49.87</v>
      </c>
      <c r="E1659" s="2">
        <v>25.97</v>
      </c>
      <c r="F1659" s="2">
        <v>2</v>
      </c>
      <c r="G1659" s="2" t="s">
        <v>9</v>
      </c>
    </row>
    <row r="1660" spans="1:8" x14ac:dyDescent="0.2">
      <c r="A1660" s="2" t="s">
        <v>3741</v>
      </c>
      <c r="B1660" s="2" t="s">
        <v>743</v>
      </c>
      <c r="C1660" s="2">
        <v>814.51670000000001</v>
      </c>
      <c r="D1660" s="2">
        <f>HYPERLINK("http://mcb-m6.bioreg.kyushu-u.ac.jp/M3/20110411/F50919/2021/1", 52.01)</f>
        <v>52.01</v>
      </c>
      <c r="E1660" s="2">
        <v>27.62</v>
      </c>
      <c r="F1660" s="2">
        <v>2</v>
      </c>
      <c r="G1660" s="2" t="s">
        <v>9</v>
      </c>
      <c r="H1660" s="2" t="s">
        <v>4904</v>
      </c>
    </row>
    <row r="1661" spans="1:8" x14ac:dyDescent="0.2">
      <c r="A1661" s="2" t="s">
        <v>3741</v>
      </c>
      <c r="B1661" s="2" t="s">
        <v>743</v>
      </c>
      <c r="C1661" s="2">
        <v>814.89369999999997</v>
      </c>
      <c r="D1661" s="2">
        <f>HYPERLINK("http://mcb-m6.bioreg.kyushu-u.ac.jp/M3/20110414/F50962/2223/1", 40.31)</f>
        <v>40.31</v>
      </c>
      <c r="E1661" s="2">
        <v>20.8</v>
      </c>
      <c r="F1661" s="2">
        <v>2</v>
      </c>
      <c r="G1661" s="2" t="s">
        <v>11</v>
      </c>
      <c r="H1661" s="2" t="s">
        <v>4904</v>
      </c>
    </row>
    <row r="1662" spans="1:8" x14ac:dyDescent="0.2">
      <c r="A1662" s="2" t="s">
        <v>3741</v>
      </c>
      <c r="B1662" s="2" t="s">
        <v>743</v>
      </c>
      <c r="C1662" s="2">
        <v>814.38070000000005</v>
      </c>
      <c r="D1662" s="2">
        <f>HYPERLINK("http://mcb-m6.bioreg.kyushu-u.ac.jp/M3/20110414/F50962/2222/1", 53.94)</f>
        <v>53.94</v>
      </c>
      <c r="E1662" s="2">
        <v>30.83</v>
      </c>
      <c r="F1662" s="2">
        <v>2</v>
      </c>
      <c r="G1662" s="2" t="s">
        <v>11</v>
      </c>
      <c r="H1662" s="2" t="s">
        <v>4904</v>
      </c>
    </row>
    <row r="1663" spans="1:8" x14ac:dyDescent="0.2">
      <c r="A1663" s="2" t="s">
        <v>3741</v>
      </c>
      <c r="B1663" s="2" t="s">
        <v>743</v>
      </c>
      <c r="C1663" s="2">
        <v>549.05290000000002</v>
      </c>
      <c r="D1663" s="2">
        <f>HYPERLINK("http://mcb-m6.bioreg.kyushu-u.ac.jp/M3/20110414/F50963/2222/1", 38.72)</f>
        <v>38.72</v>
      </c>
      <c r="E1663" s="2">
        <v>24.46</v>
      </c>
      <c r="F1663" s="2">
        <v>3</v>
      </c>
      <c r="G1663" s="2" t="s">
        <v>12</v>
      </c>
    </row>
    <row r="1664" spans="1:8" x14ac:dyDescent="0.2">
      <c r="A1664" s="2" t="s">
        <v>3741</v>
      </c>
      <c r="B1664" s="2" t="s">
        <v>743</v>
      </c>
      <c r="C1664" s="2">
        <v>814.30020000000002</v>
      </c>
      <c r="D1664" s="2">
        <f>HYPERLINK("http://mcb-m6.bioreg.kyushu-u.ac.jp/M3/20110414/F50963/2187/1", 55.81)</f>
        <v>55.81</v>
      </c>
      <c r="E1664" s="2">
        <v>38.229999999999997</v>
      </c>
      <c r="F1664" s="2">
        <v>2</v>
      </c>
      <c r="G1664" s="2" t="s">
        <v>12</v>
      </c>
      <c r="H1664" s="2" t="s">
        <v>4904</v>
      </c>
    </row>
    <row r="1665" spans="1:8" x14ac:dyDescent="0.2">
      <c r="A1665" s="2" t="s">
        <v>3659</v>
      </c>
      <c r="B1665" s="2" t="s">
        <v>594</v>
      </c>
      <c r="C1665" s="2">
        <v>758.69209999999998</v>
      </c>
      <c r="D1665" s="2">
        <f>HYPERLINK("http://mcb-m6.bioreg.kyushu-u.ac.jp/M3/20110411/F50919/1707/1", 45.89)</f>
        <v>45.89</v>
      </c>
      <c r="E1665" s="2">
        <v>24.82</v>
      </c>
      <c r="F1665" s="2">
        <v>2</v>
      </c>
      <c r="G1665" s="2" t="s">
        <v>9</v>
      </c>
    </row>
    <row r="1666" spans="1:8" x14ac:dyDescent="0.2">
      <c r="A1666" s="2" t="s">
        <v>3659</v>
      </c>
      <c r="B1666" s="2" t="s">
        <v>594</v>
      </c>
      <c r="C1666" s="2">
        <v>750.57619999999997</v>
      </c>
      <c r="D1666" s="2">
        <f>HYPERLINK("http://mcb-m6.bioreg.kyushu-u.ac.jp/M3/20110411/F50903/2132/1", 47.01)</f>
        <v>47.01</v>
      </c>
      <c r="E1666" s="2">
        <v>28.08</v>
      </c>
      <c r="F1666" s="2">
        <v>2</v>
      </c>
      <c r="G1666" s="2" t="s">
        <v>9</v>
      </c>
      <c r="H1666" s="2" t="s">
        <v>4904</v>
      </c>
    </row>
    <row r="1667" spans="1:8" x14ac:dyDescent="0.2">
      <c r="A1667" s="2" t="s">
        <v>3659</v>
      </c>
      <c r="B1667" s="2" t="s">
        <v>594</v>
      </c>
      <c r="C1667" s="2">
        <v>750.37570000000005</v>
      </c>
      <c r="D1667" s="2">
        <f>HYPERLINK("http://mcb-m6.bioreg.kyushu-u.ac.jp/M3/20110411/F50892/2264/1", 50.01)</f>
        <v>50.01</v>
      </c>
      <c r="E1667" s="2">
        <v>36.229999999999997</v>
      </c>
      <c r="F1667" s="2">
        <v>2</v>
      </c>
      <c r="G1667" s="2" t="s">
        <v>9</v>
      </c>
      <c r="H1667" s="2" t="s">
        <v>4904</v>
      </c>
    </row>
    <row r="1668" spans="1:8" x14ac:dyDescent="0.2">
      <c r="A1668" s="2" t="s">
        <v>3659</v>
      </c>
      <c r="B1668" s="2" t="s">
        <v>594</v>
      </c>
      <c r="C1668" s="2">
        <v>750.57320000000004</v>
      </c>
      <c r="D1668" s="2">
        <f>HYPERLINK("http://mcb-m6.bioreg.kyushu-u.ac.jp/M3/20110411/F50895/2148/1", 51.52)</f>
        <v>51.52</v>
      </c>
      <c r="E1668" s="2">
        <v>30.02</v>
      </c>
      <c r="F1668" s="2">
        <v>2</v>
      </c>
      <c r="G1668" s="2" t="s">
        <v>9</v>
      </c>
      <c r="H1668" s="2" t="s">
        <v>4904</v>
      </c>
    </row>
    <row r="1669" spans="1:8" x14ac:dyDescent="0.2">
      <c r="A1669" s="2" t="s">
        <v>3659</v>
      </c>
      <c r="B1669" s="2" t="s">
        <v>594</v>
      </c>
      <c r="C1669" s="2">
        <v>750.57669999999996</v>
      </c>
      <c r="D1669" s="2">
        <f>HYPERLINK("http://mcb-m6.bioreg.kyushu-u.ac.jp/M3/20110411/F50905/2102/1", 53.33)</f>
        <v>53.33</v>
      </c>
      <c r="E1669" s="2">
        <v>35.119999999999997</v>
      </c>
      <c r="F1669" s="2">
        <v>2</v>
      </c>
      <c r="G1669" s="2" t="s">
        <v>9</v>
      </c>
      <c r="H1669" s="2" t="s">
        <v>4904</v>
      </c>
    </row>
    <row r="1670" spans="1:8" x14ac:dyDescent="0.2">
      <c r="A1670" s="2" t="s">
        <v>3659</v>
      </c>
      <c r="B1670" s="2" t="s">
        <v>594</v>
      </c>
      <c r="C1670" s="2">
        <v>759.13459999999998</v>
      </c>
      <c r="D1670" s="2">
        <f>HYPERLINK("http://mcb-m6.bioreg.kyushu-u.ac.jp/M3/20110411/F50904/2137/1", 55.26)</f>
        <v>55.26</v>
      </c>
      <c r="E1670" s="2">
        <v>37.93</v>
      </c>
      <c r="F1670" s="2">
        <v>2</v>
      </c>
      <c r="G1670" s="2" t="s">
        <v>9</v>
      </c>
    </row>
    <row r="1671" spans="1:8" x14ac:dyDescent="0.2">
      <c r="A1671" s="2" t="s">
        <v>3659</v>
      </c>
      <c r="B1671" s="2" t="s">
        <v>594</v>
      </c>
      <c r="C1671" s="2">
        <v>750.43320000000006</v>
      </c>
      <c r="D1671" s="2">
        <f>HYPERLINK("http://mcb-m6.bioreg.kyushu-u.ac.jp/M3/20110411/F50919/1663/1", 55.62)</f>
        <v>55.62</v>
      </c>
      <c r="E1671" s="2">
        <v>33.92</v>
      </c>
      <c r="F1671" s="2">
        <v>2</v>
      </c>
      <c r="G1671" s="2" t="s">
        <v>9</v>
      </c>
      <c r="H1671" s="2" t="s">
        <v>4904</v>
      </c>
    </row>
    <row r="1672" spans="1:8" x14ac:dyDescent="0.2">
      <c r="A1672" s="2" t="s">
        <v>3659</v>
      </c>
      <c r="B1672" s="2" t="s">
        <v>594</v>
      </c>
      <c r="C1672" s="2">
        <v>750.39260000000002</v>
      </c>
      <c r="D1672" s="2">
        <f>HYPERLINK("http://mcb-m6.bioreg.kyushu-u.ac.jp/M3/20110411/F50891/2165/1", 59.4)</f>
        <v>59.4</v>
      </c>
      <c r="E1672" s="2">
        <v>40.21</v>
      </c>
      <c r="F1672" s="2">
        <v>2</v>
      </c>
      <c r="G1672" s="2" t="s">
        <v>9</v>
      </c>
      <c r="H1672" s="2" t="s">
        <v>4904</v>
      </c>
    </row>
    <row r="1673" spans="1:8" x14ac:dyDescent="0.2">
      <c r="A1673" s="2" t="s">
        <v>3659</v>
      </c>
      <c r="B1673" s="2" t="s">
        <v>594</v>
      </c>
      <c r="C1673" s="2">
        <v>750.67169999999999</v>
      </c>
      <c r="D1673" s="2">
        <f>HYPERLINK("http://mcb-m6.bioreg.kyushu-u.ac.jp/M3/20110411/F50911/2148/1", 59.46)</f>
        <v>59.46</v>
      </c>
      <c r="E1673" s="2">
        <v>36.380000000000003</v>
      </c>
      <c r="F1673" s="2">
        <v>2</v>
      </c>
      <c r="G1673" s="2" t="s">
        <v>9</v>
      </c>
      <c r="H1673" s="2" t="s">
        <v>4904</v>
      </c>
    </row>
    <row r="1674" spans="1:8" x14ac:dyDescent="0.2">
      <c r="A1674" s="2" t="s">
        <v>3659</v>
      </c>
      <c r="B1674" s="2" t="s">
        <v>594</v>
      </c>
      <c r="C1674" s="2">
        <v>1516.79</v>
      </c>
      <c r="D1674" s="2">
        <f>HYPERLINK("http://mcb-m6.bioreg.kyushu-u.ac.jp/M3/20110411/F50919/1712/1", 61.24)</f>
        <v>61.24</v>
      </c>
      <c r="E1674" s="2">
        <v>44.27</v>
      </c>
      <c r="F1674" s="2">
        <v>1</v>
      </c>
      <c r="G1674" s="2" t="s">
        <v>9</v>
      </c>
    </row>
    <row r="1675" spans="1:8" x14ac:dyDescent="0.2">
      <c r="A1675" s="2" t="s">
        <v>3659</v>
      </c>
      <c r="B1675" s="2" t="s">
        <v>594</v>
      </c>
      <c r="C1675" s="2">
        <v>506.57920000000001</v>
      </c>
      <c r="D1675" s="2">
        <f>HYPERLINK("http://mcb-m6.bioreg.kyushu-u.ac.jp/M3/20110411/F50911/2196/1", 67.46)</f>
        <v>67.459999999999994</v>
      </c>
      <c r="E1675" s="2">
        <v>53.01</v>
      </c>
      <c r="F1675" s="2">
        <v>3</v>
      </c>
      <c r="G1675" s="2" t="s">
        <v>9</v>
      </c>
    </row>
    <row r="1676" spans="1:8" x14ac:dyDescent="0.2">
      <c r="A1676" s="2" t="s">
        <v>3659</v>
      </c>
      <c r="B1676" s="2" t="s">
        <v>1472</v>
      </c>
      <c r="C1676" s="2">
        <v>1115.9559999999999</v>
      </c>
      <c r="D1676" s="2">
        <f>HYPERLINK("http://mcb-m6.bioreg.kyushu-u.ac.jp/M3/20110411/F50919/3255/1", 83.78)</f>
        <v>83.78</v>
      </c>
      <c r="E1676" s="2">
        <v>70.760000000000005</v>
      </c>
      <c r="F1676" s="2">
        <v>2</v>
      </c>
      <c r="G1676" s="2" t="s">
        <v>9</v>
      </c>
      <c r="H1676" s="2" t="s">
        <v>4907</v>
      </c>
    </row>
    <row r="1677" spans="1:8" x14ac:dyDescent="0.2">
      <c r="A1677" s="2" t="s">
        <v>3659</v>
      </c>
      <c r="B1677" s="2" t="s">
        <v>1545</v>
      </c>
      <c r="C1677" s="2">
        <v>1180.386</v>
      </c>
      <c r="D1677" s="2">
        <f>HYPERLINK("http://mcb-m6.bioreg.kyushu-u.ac.jp/M3/20110411/F50904/3675/1", 90.85)</f>
        <v>90.85</v>
      </c>
      <c r="E1677" s="2">
        <v>79.42</v>
      </c>
      <c r="F1677" s="2">
        <v>2</v>
      </c>
      <c r="G1677" s="2" t="s">
        <v>9</v>
      </c>
      <c r="H1677" s="2" t="s">
        <v>4938</v>
      </c>
    </row>
    <row r="1678" spans="1:8" x14ac:dyDescent="0.2">
      <c r="A1678" s="2" t="s">
        <v>3659</v>
      </c>
      <c r="B1678" s="2" t="s">
        <v>1472</v>
      </c>
      <c r="C1678" s="2">
        <v>1108.258</v>
      </c>
      <c r="D1678" s="2">
        <f>HYPERLINK("http://mcb-m6.bioreg.kyushu-u.ac.jp/M3/20110411/F50919/3228/1", 102.86)</f>
        <v>102.86</v>
      </c>
      <c r="E1678" s="2">
        <v>90.39</v>
      </c>
      <c r="F1678" s="2">
        <v>2</v>
      </c>
      <c r="G1678" s="2" t="s">
        <v>9</v>
      </c>
    </row>
    <row r="1679" spans="1:8" x14ac:dyDescent="0.2">
      <c r="A1679" s="2" t="s">
        <v>3659</v>
      </c>
      <c r="B1679" s="2" t="s">
        <v>1545</v>
      </c>
      <c r="C1679" s="2">
        <v>1180.1610000000001</v>
      </c>
      <c r="D1679" s="2">
        <f>HYPERLINK("http://mcb-m6.bioreg.kyushu-u.ac.jp/M3/20110411/F50919/3511/1", 114.83)</f>
        <v>114.83</v>
      </c>
      <c r="E1679" s="2">
        <v>106.68</v>
      </c>
      <c r="F1679" s="2">
        <v>2</v>
      </c>
      <c r="G1679" s="2" t="s">
        <v>9</v>
      </c>
      <c r="H1679" s="2" t="s">
        <v>4938</v>
      </c>
    </row>
    <row r="1680" spans="1:8" x14ac:dyDescent="0.2">
      <c r="A1680" s="2" t="s">
        <v>3659</v>
      </c>
      <c r="B1680" s="2" t="s">
        <v>1472</v>
      </c>
      <c r="C1680" s="2">
        <v>1116.4659999999999</v>
      </c>
      <c r="D1680" s="2">
        <f>HYPERLINK("http://mcb-m6.bioreg.kyushu-u.ac.jp/M3/20110411/F50919/3258/1", 138.61)</f>
        <v>138.61000000000001</v>
      </c>
      <c r="E1680" s="2">
        <v>128.02000000000001</v>
      </c>
      <c r="F1680" s="2">
        <v>2</v>
      </c>
      <c r="G1680" s="2" t="s">
        <v>9</v>
      </c>
      <c r="H1680" s="2" t="s">
        <v>4907</v>
      </c>
    </row>
    <row r="1681" spans="1:8" x14ac:dyDescent="0.2">
      <c r="A1681" s="2" t="s">
        <v>3659</v>
      </c>
      <c r="B1681" s="2" t="s">
        <v>594</v>
      </c>
      <c r="C1681" s="2">
        <v>758.35720000000003</v>
      </c>
      <c r="D1681" s="2">
        <f>HYPERLINK("http://mcb-m6.bioreg.kyushu-u.ac.jp/M3/20110411/F50921/1940/1", 36)</f>
        <v>36</v>
      </c>
      <c r="E1681" s="2">
        <v>20.55</v>
      </c>
      <c r="F1681" s="2">
        <v>2</v>
      </c>
      <c r="G1681" s="2" t="s">
        <v>10</v>
      </c>
    </row>
    <row r="1682" spans="1:8" x14ac:dyDescent="0.2">
      <c r="A1682" s="2" t="s">
        <v>3659</v>
      </c>
      <c r="B1682" s="2" t="s">
        <v>594</v>
      </c>
      <c r="C1682" s="2">
        <v>758.66420000000005</v>
      </c>
      <c r="D1682" s="2">
        <f>HYPERLINK("http://mcb-m6.bioreg.kyushu-u.ac.jp/M3/20110411/F50912/2117/1", 39.53)</f>
        <v>39.53</v>
      </c>
      <c r="E1682" s="2">
        <v>23.95</v>
      </c>
      <c r="F1682" s="2">
        <v>2</v>
      </c>
      <c r="G1682" s="2" t="s">
        <v>10</v>
      </c>
    </row>
    <row r="1683" spans="1:8" x14ac:dyDescent="0.2">
      <c r="A1683" s="2" t="s">
        <v>3659</v>
      </c>
      <c r="B1683" s="2" t="s">
        <v>594</v>
      </c>
      <c r="C1683" s="2">
        <v>1516.83</v>
      </c>
      <c r="D1683" s="2">
        <f>HYPERLINK("http://mcb-m6.bioreg.kyushu-u.ac.jp/M3/20110411/F50921/1945/1", 45.17)</f>
        <v>45.17</v>
      </c>
      <c r="E1683" s="2">
        <v>30.86</v>
      </c>
      <c r="F1683" s="2">
        <v>1</v>
      </c>
      <c r="G1683" s="2" t="s">
        <v>10</v>
      </c>
    </row>
    <row r="1684" spans="1:8" x14ac:dyDescent="0.2">
      <c r="A1684" s="2" t="s">
        <v>3659</v>
      </c>
      <c r="B1684" s="2" t="s">
        <v>1472</v>
      </c>
      <c r="C1684" s="2">
        <v>1116.316</v>
      </c>
      <c r="D1684" s="2">
        <f>HYPERLINK("http://mcb-m6.bioreg.kyushu-u.ac.jp/M3/20110411/F50900/3237/1", 45.62)</f>
        <v>45.62</v>
      </c>
      <c r="E1684" s="2">
        <v>33.97</v>
      </c>
      <c r="F1684" s="2">
        <v>2</v>
      </c>
      <c r="G1684" s="2" t="s">
        <v>10</v>
      </c>
      <c r="H1684" s="2" t="s">
        <v>4907</v>
      </c>
    </row>
    <row r="1685" spans="1:8" x14ac:dyDescent="0.2">
      <c r="A1685" s="2" t="s">
        <v>3659</v>
      </c>
      <c r="B1685" s="2" t="s">
        <v>594</v>
      </c>
      <c r="C1685" s="2">
        <v>750.42719999999997</v>
      </c>
      <c r="D1685" s="2">
        <f>HYPERLINK("http://mcb-m6.bioreg.kyushu-u.ac.jp/M3/20110411/F50900/2192/1", 45.77)</f>
        <v>45.77</v>
      </c>
      <c r="E1685" s="2">
        <v>30.57</v>
      </c>
      <c r="F1685" s="2">
        <v>2</v>
      </c>
      <c r="G1685" s="2" t="s">
        <v>10</v>
      </c>
      <c r="H1685" s="2" t="s">
        <v>4904</v>
      </c>
    </row>
    <row r="1686" spans="1:8" x14ac:dyDescent="0.2">
      <c r="A1686" s="2" t="s">
        <v>3659</v>
      </c>
      <c r="B1686" s="2" t="s">
        <v>1545</v>
      </c>
      <c r="C1686" s="2">
        <v>781.76020000000005</v>
      </c>
      <c r="D1686" s="2">
        <f>HYPERLINK("http://mcb-m6.bioreg.kyushu-u.ac.jp/M3/20110411/F50921/3460/1", 49.82)</f>
        <v>49.82</v>
      </c>
      <c r="E1686" s="2">
        <v>34.18</v>
      </c>
      <c r="F1686" s="2">
        <v>3</v>
      </c>
      <c r="G1686" s="2" t="s">
        <v>10</v>
      </c>
    </row>
    <row r="1687" spans="1:8" x14ac:dyDescent="0.2">
      <c r="A1687" s="2" t="s">
        <v>3659</v>
      </c>
      <c r="B1687" s="2" t="s">
        <v>594</v>
      </c>
      <c r="C1687" s="2">
        <v>750.56709999999998</v>
      </c>
      <c r="D1687" s="2">
        <f>HYPERLINK("http://mcb-m6.bioreg.kyushu-u.ac.jp/M3/20110411/F50902/2097/1", 50.63)</f>
        <v>50.63</v>
      </c>
      <c r="E1687" s="2">
        <v>35.57</v>
      </c>
      <c r="F1687" s="2">
        <v>2</v>
      </c>
      <c r="G1687" s="2" t="s">
        <v>10</v>
      </c>
      <c r="H1687" s="2" t="s">
        <v>4904</v>
      </c>
    </row>
    <row r="1688" spans="1:8" x14ac:dyDescent="0.2">
      <c r="A1688" s="2" t="s">
        <v>3659</v>
      </c>
      <c r="B1688" s="2" t="s">
        <v>594</v>
      </c>
      <c r="C1688" s="2">
        <v>750.8682</v>
      </c>
      <c r="D1688" s="2">
        <f>HYPERLINK("http://mcb-m6.bioreg.kyushu-u.ac.jp/M3/20110411/F50918/1942/1", 52.18)</f>
        <v>52.18</v>
      </c>
      <c r="E1688" s="2">
        <v>32.770000000000003</v>
      </c>
      <c r="F1688" s="2">
        <v>2</v>
      </c>
      <c r="G1688" s="2" t="s">
        <v>10</v>
      </c>
      <c r="H1688" s="2" t="s">
        <v>4904</v>
      </c>
    </row>
    <row r="1689" spans="1:8" x14ac:dyDescent="0.2">
      <c r="A1689" s="2" t="s">
        <v>3659</v>
      </c>
      <c r="B1689" s="2" t="s">
        <v>594</v>
      </c>
      <c r="C1689" s="2">
        <v>750.3827</v>
      </c>
      <c r="D1689" s="2">
        <f>HYPERLINK("http://mcb-m6.bioreg.kyushu-u.ac.jp/M3/20110411/F50898/2279/1", 52.81)</f>
        <v>52.81</v>
      </c>
      <c r="E1689" s="2">
        <v>31.94</v>
      </c>
      <c r="F1689" s="2">
        <v>2</v>
      </c>
      <c r="G1689" s="2" t="s">
        <v>10</v>
      </c>
      <c r="H1689" s="2" t="s">
        <v>4904</v>
      </c>
    </row>
    <row r="1690" spans="1:8" x14ac:dyDescent="0.2">
      <c r="A1690" s="2" t="s">
        <v>3659</v>
      </c>
      <c r="B1690" s="2" t="s">
        <v>1472</v>
      </c>
      <c r="C1690" s="2">
        <v>1108.4490000000001</v>
      </c>
      <c r="D1690" s="2">
        <f>HYPERLINK("http://mcb-m6.bioreg.kyushu-u.ac.jp/M3/20110411/F50921/3237/1", 53.97)</f>
        <v>53.97</v>
      </c>
      <c r="E1690" s="2">
        <v>45.17</v>
      </c>
      <c r="F1690" s="2">
        <v>2</v>
      </c>
      <c r="G1690" s="2" t="s">
        <v>10</v>
      </c>
    </row>
    <row r="1691" spans="1:8" x14ac:dyDescent="0.2">
      <c r="A1691" s="2" t="s">
        <v>3659</v>
      </c>
      <c r="B1691" s="2" t="s">
        <v>594</v>
      </c>
      <c r="C1691" s="2">
        <v>750.68020000000001</v>
      </c>
      <c r="D1691" s="2">
        <f>HYPERLINK("http://mcb-m6.bioreg.kyushu-u.ac.jp/M3/20110411/F50913/2072/1", 59.52)</f>
        <v>59.52</v>
      </c>
      <c r="E1691" s="2">
        <v>38.39</v>
      </c>
      <c r="F1691" s="2">
        <v>2</v>
      </c>
      <c r="G1691" s="2" t="s">
        <v>10</v>
      </c>
      <c r="H1691" s="2" t="s">
        <v>4904</v>
      </c>
    </row>
    <row r="1692" spans="1:8" x14ac:dyDescent="0.2">
      <c r="A1692" s="2" t="s">
        <v>3659</v>
      </c>
      <c r="B1692" s="2" t="s">
        <v>594</v>
      </c>
      <c r="C1692" s="2">
        <v>750.44370000000004</v>
      </c>
      <c r="D1692" s="2">
        <f>HYPERLINK("http://mcb-m6.bioreg.kyushu-u.ac.jp/M3/20110411/F50921/1896/1", 61.13)</f>
        <v>61.13</v>
      </c>
      <c r="E1692" s="2">
        <v>39.520000000000003</v>
      </c>
      <c r="F1692" s="2">
        <v>2</v>
      </c>
      <c r="G1692" s="2" t="s">
        <v>10</v>
      </c>
      <c r="H1692" s="2" t="s">
        <v>4904</v>
      </c>
    </row>
    <row r="1693" spans="1:8" x14ac:dyDescent="0.2">
      <c r="A1693" s="2" t="s">
        <v>3659</v>
      </c>
      <c r="B1693" s="2" t="s">
        <v>594</v>
      </c>
      <c r="C1693" s="2">
        <v>750.6902</v>
      </c>
      <c r="D1693" s="2">
        <f>HYPERLINK("http://mcb-m6.bioreg.kyushu-u.ac.jp/M3/20110411/F50912/2079/1", 63.12)</f>
        <v>63.12</v>
      </c>
      <c r="E1693" s="2">
        <v>31.76</v>
      </c>
      <c r="F1693" s="2">
        <v>2</v>
      </c>
      <c r="G1693" s="2" t="s">
        <v>10</v>
      </c>
      <c r="H1693" s="2" t="s">
        <v>4904</v>
      </c>
    </row>
    <row r="1694" spans="1:8" x14ac:dyDescent="0.2">
      <c r="A1694" s="2" t="s">
        <v>3659</v>
      </c>
      <c r="B1694" s="2" t="s">
        <v>594</v>
      </c>
      <c r="C1694" s="2">
        <v>750.22969999999998</v>
      </c>
      <c r="D1694" s="2">
        <f>HYPERLINK("http://mcb-m6.bioreg.kyushu-u.ac.jp/M3/20110411/F50901/2098/1", 63.35)</f>
        <v>63.35</v>
      </c>
      <c r="E1694" s="2">
        <v>45.5</v>
      </c>
      <c r="F1694" s="2">
        <v>2</v>
      </c>
      <c r="G1694" s="2" t="s">
        <v>10</v>
      </c>
      <c r="H1694" s="2" t="s">
        <v>4904</v>
      </c>
    </row>
    <row r="1695" spans="1:8" x14ac:dyDescent="0.2">
      <c r="A1695" s="2" t="s">
        <v>3659</v>
      </c>
      <c r="B1695" s="2" t="s">
        <v>594</v>
      </c>
      <c r="C1695" s="2">
        <v>759.01620000000003</v>
      </c>
      <c r="D1695" s="2">
        <f>HYPERLINK("http://mcb-m6.bioreg.kyushu-u.ac.jp/M3/20110411/F50918/1974/1", 65.87)</f>
        <v>65.87</v>
      </c>
      <c r="E1695" s="2">
        <v>45.29</v>
      </c>
      <c r="F1695" s="2">
        <v>2</v>
      </c>
      <c r="G1695" s="2" t="s">
        <v>10</v>
      </c>
    </row>
    <row r="1696" spans="1:8" x14ac:dyDescent="0.2">
      <c r="A1696" s="2" t="s">
        <v>3659</v>
      </c>
      <c r="B1696" s="2" t="s">
        <v>594</v>
      </c>
      <c r="C1696" s="2">
        <v>759.05909999999994</v>
      </c>
      <c r="D1696" s="2">
        <f>HYPERLINK("http://mcb-m6.bioreg.kyushu-u.ac.jp/M3/20110411/F50902/2132/1", 67.19)</f>
        <v>67.19</v>
      </c>
      <c r="E1696" s="2">
        <v>48.07</v>
      </c>
      <c r="F1696" s="2">
        <v>2</v>
      </c>
      <c r="G1696" s="2" t="s">
        <v>10</v>
      </c>
    </row>
    <row r="1697" spans="1:8" x14ac:dyDescent="0.2">
      <c r="A1697" s="2" t="s">
        <v>3659</v>
      </c>
      <c r="B1697" s="2" t="s">
        <v>594</v>
      </c>
      <c r="C1697" s="2">
        <v>750.49069999999995</v>
      </c>
      <c r="D1697" s="2">
        <f>HYPERLINK("http://mcb-m6.bioreg.kyushu-u.ac.jp/M3/20110411/F50917/2017/1", 70.53)</f>
        <v>70.53</v>
      </c>
      <c r="E1697" s="2">
        <v>55.81</v>
      </c>
      <c r="F1697" s="2">
        <v>2</v>
      </c>
      <c r="G1697" s="2" t="s">
        <v>10</v>
      </c>
      <c r="H1697" s="2" t="s">
        <v>4904</v>
      </c>
    </row>
    <row r="1698" spans="1:8" x14ac:dyDescent="0.2">
      <c r="A1698" s="2" t="s">
        <v>3659</v>
      </c>
      <c r="B1698" s="2" t="s">
        <v>1472</v>
      </c>
      <c r="C1698" s="2">
        <v>1115.9649999999999</v>
      </c>
      <c r="D1698" s="2">
        <f>HYPERLINK("http://mcb-m6.bioreg.kyushu-u.ac.jp/M3/20110411/F50921/3273/1", 113.23)</f>
        <v>113.23</v>
      </c>
      <c r="E1698" s="2">
        <v>103.34</v>
      </c>
      <c r="F1698" s="2">
        <v>2</v>
      </c>
      <c r="G1698" s="2" t="s">
        <v>10</v>
      </c>
      <c r="H1698" s="2" t="s">
        <v>4907</v>
      </c>
    </row>
    <row r="1699" spans="1:8" x14ac:dyDescent="0.2">
      <c r="A1699" s="2" t="s">
        <v>3659</v>
      </c>
      <c r="B1699" s="2" t="s">
        <v>1545</v>
      </c>
      <c r="C1699" s="2">
        <v>1172.117</v>
      </c>
      <c r="D1699" s="2">
        <f>HYPERLINK("http://mcb-m6.bioreg.kyushu-u.ac.jp/M3/20110411/F50921/3459/1", 132.55)</f>
        <v>132.55000000000001</v>
      </c>
      <c r="E1699" s="2">
        <v>117.2</v>
      </c>
      <c r="F1699" s="2">
        <v>2</v>
      </c>
      <c r="G1699" s="2" t="s">
        <v>10</v>
      </c>
    </row>
    <row r="1700" spans="1:8" x14ac:dyDescent="0.2">
      <c r="A1700" s="2" t="s">
        <v>3659</v>
      </c>
      <c r="B1700" s="2" t="s">
        <v>1472</v>
      </c>
      <c r="C1700" s="2">
        <v>1116.4829999999999</v>
      </c>
      <c r="D1700" s="2">
        <f>HYPERLINK("http://mcb-m6.bioreg.kyushu-u.ac.jp/M3/20110411/F50921/3275/1", 141.47)</f>
        <v>141.47</v>
      </c>
      <c r="E1700" s="2">
        <v>132.33000000000001</v>
      </c>
      <c r="F1700" s="2">
        <v>2</v>
      </c>
      <c r="G1700" s="2" t="s">
        <v>10</v>
      </c>
      <c r="H1700" s="2" t="s">
        <v>4907</v>
      </c>
    </row>
    <row r="1701" spans="1:8" x14ac:dyDescent="0.2">
      <c r="A1701" s="2" t="s">
        <v>3659</v>
      </c>
      <c r="B1701" s="2" t="s">
        <v>594</v>
      </c>
      <c r="C1701" s="2">
        <v>506.28219999999999</v>
      </c>
      <c r="D1701" s="2">
        <f>HYPERLINK("http://mcb-m6.bioreg.kyushu-u.ac.jp/M3/20110414/F50945/2153/1", 36.78)</f>
        <v>36.78</v>
      </c>
      <c r="E1701" s="2">
        <v>21.41</v>
      </c>
      <c r="F1701" s="2">
        <v>3</v>
      </c>
      <c r="G1701" s="2" t="s">
        <v>11</v>
      </c>
    </row>
    <row r="1702" spans="1:8" x14ac:dyDescent="0.2">
      <c r="A1702" s="2" t="s">
        <v>3659</v>
      </c>
      <c r="B1702" s="2" t="s">
        <v>594</v>
      </c>
      <c r="C1702" s="2">
        <v>500.56189999999998</v>
      </c>
      <c r="D1702" s="2">
        <f>HYPERLINK("http://mcb-m6.bioreg.kyushu-u.ac.jp/M3/20110414/F50962/1956/1", 39.39)</f>
        <v>39.39</v>
      </c>
      <c r="E1702" s="2">
        <v>21.12</v>
      </c>
      <c r="F1702" s="2">
        <v>3</v>
      </c>
      <c r="G1702" s="2" t="s">
        <v>11</v>
      </c>
      <c r="H1702" s="2" t="s">
        <v>4904</v>
      </c>
    </row>
    <row r="1703" spans="1:8" x14ac:dyDescent="0.2">
      <c r="A1703" s="2" t="s">
        <v>3659</v>
      </c>
      <c r="B1703" s="2" t="s">
        <v>594</v>
      </c>
      <c r="C1703" s="2">
        <v>759.28920000000005</v>
      </c>
      <c r="D1703" s="2">
        <f>HYPERLINK("http://mcb-m6.bioreg.kyushu-u.ac.jp/M3/20110414/F50962/2005/1", 39.92)</f>
        <v>39.92</v>
      </c>
      <c r="E1703" s="2">
        <v>26.13</v>
      </c>
      <c r="F1703" s="2">
        <v>2</v>
      </c>
      <c r="G1703" s="2" t="s">
        <v>11</v>
      </c>
    </row>
    <row r="1704" spans="1:8" x14ac:dyDescent="0.2">
      <c r="A1704" s="2" t="s">
        <v>3659</v>
      </c>
      <c r="B1704" s="2" t="s">
        <v>1472</v>
      </c>
      <c r="C1704" s="2">
        <v>1116.1310000000001</v>
      </c>
      <c r="D1704" s="2">
        <f>HYPERLINK("http://mcb-m6.bioreg.kyushu-u.ac.jp/M3/20110414/F50962/3324/1", 41.15)</f>
        <v>41.15</v>
      </c>
      <c r="E1704" s="2">
        <v>35.770000000000003</v>
      </c>
      <c r="F1704" s="2">
        <v>2</v>
      </c>
      <c r="G1704" s="2" t="s">
        <v>11</v>
      </c>
      <c r="H1704" s="2" t="s">
        <v>4907</v>
      </c>
    </row>
    <row r="1705" spans="1:8" x14ac:dyDescent="0.2">
      <c r="A1705" s="2" t="s">
        <v>3659</v>
      </c>
      <c r="B1705" s="2" t="s">
        <v>594</v>
      </c>
      <c r="C1705" s="2">
        <v>750.76819999999998</v>
      </c>
      <c r="D1705" s="2">
        <f>HYPERLINK("http://mcb-m6.bioreg.kyushu-u.ac.jp/M3/20110414/F50957/1964/1", 47.43)</f>
        <v>47.43</v>
      </c>
      <c r="E1705" s="2">
        <v>30.44</v>
      </c>
      <c r="F1705" s="2">
        <v>2</v>
      </c>
      <c r="G1705" s="2" t="s">
        <v>11</v>
      </c>
      <c r="H1705" s="2" t="s">
        <v>4904</v>
      </c>
    </row>
    <row r="1706" spans="1:8" x14ac:dyDescent="0.2">
      <c r="A1706" s="2" t="s">
        <v>3659</v>
      </c>
      <c r="B1706" s="2" t="s">
        <v>594</v>
      </c>
      <c r="C1706" s="2">
        <v>1517.6759999999999</v>
      </c>
      <c r="D1706" s="2">
        <f>HYPERLINK("http://mcb-m6.bioreg.kyushu-u.ac.jp/M3/20110414/F50962/2006/1", 49.8)</f>
        <v>49.8</v>
      </c>
      <c r="E1706" s="2">
        <v>37.31</v>
      </c>
      <c r="F1706" s="2">
        <v>1</v>
      </c>
      <c r="G1706" s="2" t="s">
        <v>11</v>
      </c>
    </row>
    <row r="1707" spans="1:8" x14ac:dyDescent="0.2">
      <c r="A1707" s="2" t="s">
        <v>3659</v>
      </c>
      <c r="B1707" s="2" t="s">
        <v>594</v>
      </c>
      <c r="C1707" s="2">
        <v>506.62389999999999</v>
      </c>
      <c r="D1707" s="2">
        <f>HYPERLINK("http://mcb-m6.bioreg.kyushu-u.ac.jp/M3/20110414/F50962/2007/1", 52.73)</f>
        <v>52.73</v>
      </c>
      <c r="E1707" s="2">
        <v>36.58</v>
      </c>
      <c r="F1707" s="2">
        <v>3</v>
      </c>
      <c r="G1707" s="2" t="s">
        <v>11</v>
      </c>
    </row>
    <row r="1708" spans="1:8" x14ac:dyDescent="0.2">
      <c r="A1708" s="2" t="s">
        <v>3659</v>
      </c>
      <c r="B1708" s="2" t="s">
        <v>594</v>
      </c>
      <c r="C1708" s="2">
        <v>750.39570000000003</v>
      </c>
      <c r="D1708" s="2">
        <f>HYPERLINK("http://mcb-m6.bioreg.kyushu-u.ac.jp/M3/20110414/F50928/2370/1", 52.84)</f>
        <v>52.84</v>
      </c>
      <c r="E1708" s="2">
        <v>33.909999999999997</v>
      </c>
      <c r="F1708" s="2">
        <v>2</v>
      </c>
      <c r="G1708" s="2" t="s">
        <v>11</v>
      </c>
      <c r="H1708" s="2" t="s">
        <v>4904</v>
      </c>
    </row>
    <row r="1709" spans="1:8" x14ac:dyDescent="0.2">
      <c r="A1709" s="2" t="s">
        <v>3659</v>
      </c>
      <c r="B1709" s="2" t="s">
        <v>594</v>
      </c>
      <c r="C1709" s="2">
        <v>750.30110000000002</v>
      </c>
      <c r="D1709" s="2">
        <f>HYPERLINK("http://mcb-m6.bioreg.kyushu-u.ac.jp/M3/20110414/F50962/1955/1", 53.4)</f>
        <v>53.4</v>
      </c>
      <c r="E1709" s="2">
        <v>30.71</v>
      </c>
      <c r="F1709" s="2">
        <v>2</v>
      </c>
      <c r="G1709" s="2" t="s">
        <v>11</v>
      </c>
      <c r="H1709" s="2" t="s">
        <v>4904</v>
      </c>
    </row>
    <row r="1710" spans="1:8" x14ac:dyDescent="0.2">
      <c r="A1710" s="2" t="s">
        <v>3659</v>
      </c>
      <c r="B1710" s="2" t="s">
        <v>594</v>
      </c>
      <c r="C1710" s="2">
        <v>750.2527</v>
      </c>
      <c r="D1710" s="2">
        <f>HYPERLINK("http://mcb-m6.bioreg.kyushu-u.ac.jp/M3/20110414/F50941/2160/1", 53.94)</f>
        <v>53.94</v>
      </c>
      <c r="E1710" s="2">
        <v>38.68</v>
      </c>
      <c r="F1710" s="2">
        <v>2</v>
      </c>
      <c r="G1710" s="2" t="s">
        <v>11</v>
      </c>
      <c r="H1710" s="2" t="s">
        <v>4904</v>
      </c>
    </row>
    <row r="1711" spans="1:8" x14ac:dyDescent="0.2">
      <c r="A1711" s="2" t="s">
        <v>3659</v>
      </c>
      <c r="B1711" s="2" t="s">
        <v>594</v>
      </c>
      <c r="C1711" s="2">
        <v>749.94619999999998</v>
      </c>
      <c r="D1711" s="2">
        <f>HYPERLINK("http://mcb-m6.bioreg.kyushu-u.ac.jp/M3/20110414/F50927/2356/1", 56.55)</f>
        <v>56.55</v>
      </c>
      <c r="E1711" s="2">
        <v>37.36</v>
      </c>
      <c r="F1711" s="2">
        <v>2</v>
      </c>
      <c r="G1711" s="2" t="s">
        <v>11</v>
      </c>
      <c r="H1711" s="2" t="s">
        <v>4904</v>
      </c>
    </row>
    <row r="1712" spans="1:8" x14ac:dyDescent="0.2">
      <c r="A1712" s="2" t="s">
        <v>3659</v>
      </c>
      <c r="B1712" s="2" t="s">
        <v>594</v>
      </c>
      <c r="C1712" s="2">
        <v>759.0027</v>
      </c>
      <c r="D1712" s="2">
        <f>HYPERLINK("http://mcb-m6.bioreg.kyushu-u.ac.jp/M3/20110414/F50945/2154/1", 57.6)</f>
        <v>57.6</v>
      </c>
      <c r="E1712" s="2">
        <v>37.36</v>
      </c>
      <c r="F1712" s="2">
        <v>2</v>
      </c>
      <c r="G1712" s="2" t="s">
        <v>11</v>
      </c>
    </row>
    <row r="1713" spans="1:8" x14ac:dyDescent="0.2">
      <c r="A1713" s="2" t="s">
        <v>3659</v>
      </c>
      <c r="B1713" s="2" t="s">
        <v>594</v>
      </c>
      <c r="C1713" s="2">
        <v>750.36159999999995</v>
      </c>
      <c r="D1713" s="2">
        <f>HYPERLINK("http://mcb-m6.bioreg.kyushu-u.ac.jp/M3/20110414/F50942/1971/1", 60.57)</f>
        <v>60.57</v>
      </c>
      <c r="E1713" s="2">
        <v>38.6</v>
      </c>
      <c r="F1713" s="2">
        <v>2</v>
      </c>
      <c r="G1713" s="2" t="s">
        <v>11</v>
      </c>
      <c r="H1713" s="2" t="s">
        <v>4904</v>
      </c>
    </row>
    <row r="1714" spans="1:8" x14ac:dyDescent="0.2">
      <c r="A1714" s="2" t="s">
        <v>3659</v>
      </c>
      <c r="B1714" s="2" t="s">
        <v>594</v>
      </c>
      <c r="C1714" s="2">
        <v>506.10149999999999</v>
      </c>
      <c r="D1714" s="2">
        <f>HYPERLINK("http://mcb-m6.bioreg.kyushu-u.ac.jp/M3/20110414/F50962/2000/1", 62.38)</f>
        <v>62.38</v>
      </c>
      <c r="E1714" s="2">
        <v>48.33</v>
      </c>
      <c r="F1714" s="2">
        <v>3</v>
      </c>
      <c r="G1714" s="2" t="s">
        <v>11</v>
      </c>
    </row>
    <row r="1715" spans="1:8" x14ac:dyDescent="0.2">
      <c r="A1715" s="2" t="s">
        <v>3659</v>
      </c>
      <c r="B1715" s="2" t="s">
        <v>594</v>
      </c>
      <c r="C1715" s="2">
        <v>750.29470000000003</v>
      </c>
      <c r="D1715" s="2">
        <f>HYPERLINK("http://mcb-m6.bioreg.kyushu-u.ac.jp/M3/20110414/F50929/2354/1", 67.68)</f>
        <v>67.680000000000007</v>
      </c>
      <c r="E1715" s="2">
        <v>51.08</v>
      </c>
      <c r="F1715" s="2">
        <v>2</v>
      </c>
      <c r="G1715" s="2" t="s">
        <v>11</v>
      </c>
      <c r="H1715" s="2" t="s">
        <v>4904</v>
      </c>
    </row>
    <row r="1716" spans="1:8" x14ac:dyDescent="0.2">
      <c r="A1716" s="2" t="s">
        <v>3659</v>
      </c>
      <c r="B1716" s="2" t="s">
        <v>594</v>
      </c>
      <c r="C1716" s="2">
        <v>750.44269999999995</v>
      </c>
      <c r="D1716" s="2">
        <f>HYPERLINK("http://mcb-m6.bioreg.kyushu-u.ac.jp/M3/20110414/F50945/2117/1", 67.98)</f>
        <v>67.98</v>
      </c>
      <c r="E1716" s="2">
        <v>52.89</v>
      </c>
      <c r="F1716" s="2">
        <v>2</v>
      </c>
      <c r="G1716" s="2" t="s">
        <v>11</v>
      </c>
      <c r="H1716" s="2" t="s">
        <v>4904</v>
      </c>
    </row>
    <row r="1717" spans="1:8" x14ac:dyDescent="0.2">
      <c r="A1717" s="2" t="s">
        <v>3659</v>
      </c>
      <c r="B1717" s="2" t="s">
        <v>1545</v>
      </c>
      <c r="C1717" s="2">
        <v>1172.52</v>
      </c>
      <c r="D1717" s="2">
        <f>HYPERLINK("http://mcb-m6.bioreg.kyushu-u.ac.jp/M3/20110414/F50962/3439/1", 93.43)</f>
        <v>93.43</v>
      </c>
      <c r="E1717" s="2">
        <v>76.900000000000006</v>
      </c>
      <c r="F1717" s="2">
        <v>2</v>
      </c>
      <c r="G1717" s="2" t="s">
        <v>11</v>
      </c>
    </row>
    <row r="1718" spans="1:8" x14ac:dyDescent="0.2">
      <c r="A1718" s="2" t="s">
        <v>3659</v>
      </c>
      <c r="B1718" s="2" t="s">
        <v>1472</v>
      </c>
      <c r="C1718" s="2">
        <v>1116.211</v>
      </c>
      <c r="D1718" s="2">
        <f>HYPERLINK("http://mcb-m6.bioreg.kyushu-u.ac.jp/M3/20110414/F50924/3399/1", 111.26)</f>
        <v>111.26</v>
      </c>
      <c r="E1718" s="2">
        <v>99.49</v>
      </c>
      <c r="F1718" s="2">
        <v>2</v>
      </c>
      <c r="G1718" s="2" t="s">
        <v>11</v>
      </c>
      <c r="H1718" s="2" t="s">
        <v>4907</v>
      </c>
    </row>
    <row r="1719" spans="1:8" x14ac:dyDescent="0.2">
      <c r="A1719" s="2" t="s">
        <v>3659</v>
      </c>
      <c r="B1719" s="2" t="s">
        <v>1472</v>
      </c>
      <c r="C1719" s="2">
        <v>1116.4000000000001</v>
      </c>
      <c r="D1719" s="2">
        <f>HYPERLINK("http://mcb-m6.bioreg.kyushu-u.ac.jp/M3/20110414/F50945/3466/1", 116.48)</f>
        <v>116.48</v>
      </c>
      <c r="E1719" s="2">
        <v>110.3</v>
      </c>
      <c r="F1719" s="2">
        <v>2</v>
      </c>
      <c r="G1719" s="2" t="s">
        <v>11</v>
      </c>
      <c r="H1719" s="2" t="s">
        <v>4907</v>
      </c>
    </row>
    <row r="1720" spans="1:8" x14ac:dyDescent="0.2">
      <c r="A1720" s="2" t="s">
        <v>3659</v>
      </c>
      <c r="B1720" s="2" t="s">
        <v>594</v>
      </c>
      <c r="C1720" s="2">
        <v>1516.4949999999999</v>
      </c>
      <c r="D1720" s="2">
        <f>HYPERLINK("http://mcb-m6.bioreg.kyushu-u.ac.jp/M3/20110414/F50963/1932/1", 37.86)</f>
        <v>37.86</v>
      </c>
      <c r="E1720" s="2">
        <v>25.82</v>
      </c>
      <c r="F1720" s="2">
        <v>1</v>
      </c>
      <c r="G1720" s="2" t="s">
        <v>12</v>
      </c>
    </row>
    <row r="1721" spans="1:8" x14ac:dyDescent="0.2">
      <c r="A1721" s="2" t="s">
        <v>3659</v>
      </c>
      <c r="B1721" s="2" t="s">
        <v>594</v>
      </c>
      <c r="C1721" s="2">
        <v>500.30489999999998</v>
      </c>
      <c r="D1721" s="2">
        <f>HYPERLINK("http://mcb-m6.bioreg.kyushu-u.ac.jp/M3/20110414/F50963/1878/1", 40.23)</f>
        <v>40.229999999999997</v>
      </c>
      <c r="E1721" s="2">
        <v>21.75</v>
      </c>
      <c r="F1721" s="2">
        <v>3</v>
      </c>
      <c r="G1721" s="2" t="s">
        <v>12</v>
      </c>
      <c r="H1721" s="2" t="s">
        <v>4904</v>
      </c>
    </row>
    <row r="1722" spans="1:8" x14ac:dyDescent="0.2">
      <c r="A1722" s="2" t="s">
        <v>3659</v>
      </c>
      <c r="B1722" s="2" t="s">
        <v>594</v>
      </c>
      <c r="C1722" s="2">
        <v>750.03809999999999</v>
      </c>
      <c r="D1722" s="2">
        <f>HYPERLINK("http://mcb-m6.bioreg.kyushu-u.ac.jp/M3/20110414/F50958/2063/1", 40.44)</f>
        <v>40.44</v>
      </c>
      <c r="E1722" s="2">
        <v>25.58</v>
      </c>
      <c r="F1722" s="2">
        <v>2</v>
      </c>
      <c r="G1722" s="2" t="s">
        <v>12</v>
      </c>
      <c r="H1722" s="2" t="s">
        <v>4904</v>
      </c>
    </row>
    <row r="1723" spans="1:8" x14ac:dyDescent="0.2">
      <c r="A1723" s="2" t="s">
        <v>3659</v>
      </c>
      <c r="B1723" s="2" t="s">
        <v>594</v>
      </c>
      <c r="C1723" s="2">
        <v>506.25490000000002</v>
      </c>
      <c r="D1723" s="2">
        <f>HYPERLINK("http://mcb-m6.bioreg.kyushu-u.ac.jp/M3/20110414/F50946/2077/1", 48.05)</f>
        <v>48.05</v>
      </c>
      <c r="E1723" s="2">
        <v>28.08</v>
      </c>
      <c r="F1723" s="2">
        <v>3</v>
      </c>
      <c r="G1723" s="2" t="s">
        <v>12</v>
      </c>
    </row>
    <row r="1724" spans="1:8" x14ac:dyDescent="0.2">
      <c r="A1724" s="2" t="s">
        <v>3659</v>
      </c>
      <c r="B1724" s="2" t="s">
        <v>1472</v>
      </c>
      <c r="C1724" s="2">
        <v>1108.2719999999999</v>
      </c>
      <c r="D1724" s="2">
        <f>HYPERLINK("http://mcb-m6.bioreg.kyushu-u.ac.jp/M3/20110414/F50963/3383/1", 48.62)</f>
        <v>48.62</v>
      </c>
      <c r="E1724" s="2">
        <v>41.41</v>
      </c>
      <c r="F1724" s="2">
        <v>2</v>
      </c>
      <c r="G1724" s="2" t="s">
        <v>12</v>
      </c>
    </row>
    <row r="1725" spans="1:8" x14ac:dyDescent="0.2">
      <c r="A1725" s="2" t="s">
        <v>3659</v>
      </c>
      <c r="B1725" s="2" t="s">
        <v>594</v>
      </c>
      <c r="C1725" s="2">
        <v>506.38749999999999</v>
      </c>
      <c r="D1725" s="2">
        <f>HYPERLINK("http://mcb-m6.bioreg.kyushu-u.ac.jp/M3/20110414/F50963/1936/1", 51.01)</f>
        <v>51.01</v>
      </c>
      <c r="E1725" s="2">
        <v>39.770000000000003</v>
      </c>
      <c r="F1725" s="2">
        <v>3</v>
      </c>
      <c r="G1725" s="2" t="s">
        <v>12</v>
      </c>
    </row>
    <row r="1726" spans="1:8" x14ac:dyDescent="0.2">
      <c r="A1726" s="2" t="s">
        <v>3659</v>
      </c>
      <c r="B1726" s="2" t="s">
        <v>594</v>
      </c>
      <c r="C1726" s="2">
        <v>750.85519999999997</v>
      </c>
      <c r="D1726" s="2">
        <f>HYPERLINK("http://mcb-m6.bioreg.kyushu-u.ac.jp/M3/20110414/F50947/2039/1", 51.16)</f>
        <v>51.16</v>
      </c>
      <c r="E1726" s="2">
        <v>34.36</v>
      </c>
      <c r="F1726" s="2">
        <v>2</v>
      </c>
      <c r="G1726" s="2" t="s">
        <v>12</v>
      </c>
      <c r="H1726" s="2" t="s">
        <v>4904</v>
      </c>
    </row>
    <row r="1727" spans="1:8" x14ac:dyDescent="0.2">
      <c r="A1727" s="2" t="s">
        <v>3659</v>
      </c>
      <c r="B1727" s="2" t="s">
        <v>594</v>
      </c>
      <c r="C1727" s="2">
        <v>750.33920000000001</v>
      </c>
      <c r="D1727" s="2">
        <f>HYPERLINK("http://mcb-m6.bioreg.kyushu-u.ac.jp/M3/20110414/F50947/2034/1", 51.33)</f>
        <v>51.33</v>
      </c>
      <c r="E1727" s="2">
        <v>35.229999999999997</v>
      </c>
      <c r="F1727" s="2">
        <v>2</v>
      </c>
      <c r="G1727" s="2" t="s">
        <v>12</v>
      </c>
      <c r="H1727" s="2" t="s">
        <v>4904</v>
      </c>
    </row>
    <row r="1728" spans="1:8" x14ac:dyDescent="0.2">
      <c r="A1728" s="2" t="s">
        <v>3659</v>
      </c>
      <c r="B1728" s="2" t="s">
        <v>594</v>
      </c>
      <c r="C1728" s="2">
        <v>750.18520000000001</v>
      </c>
      <c r="D1728" s="2">
        <f>HYPERLINK("http://mcb-m6.bioreg.kyushu-u.ac.jp/M3/20110414/F50948/2158/1", 52.04)</f>
        <v>52.04</v>
      </c>
      <c r="E1728" s="2">
        <v>33.840000000000003</v>
      </c>
      <c r="F1728" s="2">
        <v>2</v>
      </c>
      <c r="G1728" s="2" t="s">
        <v>12</v>
      </c>
      <c r="H1728" s="2" t="s">
        <v>4904</v>
      </c>
    </row>
    <row r="1729" spans="1:8" x14ac:dyDescent="0.2">
      <c r="A1729" s="2" t="s">
        <v>3659</v>
      </c>
      <c r="B1729" s="2" t="s">
        <v>594</v>
      </c>
      <c r="C1729" s="2">
        <v>750.42610000000002</v>
      </c>
      <c r="D1729" s="2">
        <f>HYPERLINK("http://mcb-m6.bioreg.kyushu-u.ac.jp/M3/20110414/F50933/2480/1", 54.1)</f>
        <v>54.1</v>
      </c>
      <c r="E1729" s="2">
        <v>37.42</v>
      </c>
      <c r="F1729" s="2">
        <v>2</v>
      </c>
      <c r="G1729" s="2" t="s">
        <v>12</v>
      </c>
      <c r="H1729" s="2" t="s">
        <v>4904</v>
      </c>
    </row>
    <row r="1730" spans="1:8" x14ac:dyDescent="0.2">
      <c r="A1730" s="2" t="s">
        <v>3659</v>
      </c>
      <c r="B1730" s="2" t="s">
        <v>1545</v>
      </c>
      <c r="C1730" s="2">
        <v>781.92909999999995</v>
      </c>
      <c r="D1730" s="2">
        <f>HYPERLINK("http://mcb-m6.bioreg.kyushu-u.ac.jp/M3/20110414/F50963/3575/1", 56.16)</f>
        <v>56.16</v>
      </c>
      <c r="E1730" s="2">
        <v>40.17</v>
      </c>
      <c r="F1730" s="2">
        <v>3</v>
      </c>
      <c r="G1730" s="2" t="s">
        <v>12</v>
      </c>
    </row>
    <row r="1731" spans="1:8" x14ac:dyDescent="0.2">
      <c r="A1731" s="2" t="s">
        <v>3659</v>
      </c>
      <c r="B1731" s="2" t="s">
        <v>594</v>
      </c>
      <c r="C1731" s="2">
        <v>750.26620000000003</v>
      </c>
      <c r="D1731" s="2">
        <f>HYPERLINK("http://mcb-m6.bioreg.kyushu-u.ac.jp/M3/20110414/F50963/1880/1", 56.47)</f>
        <v>56.47</v>
      </c>
      <c r="E1731" s="2">
        <v>38.07</v>
      </c>
      <c r="F1731" s="2">
        <v>2</v>
      </c>
      <c r="G1731" s="2" t="s">
        <v>12</v>
      </c>
      <c r="H1731" s="2" t="s">
        <v>4904</v>
      </c>
    </row>
    <row r="1732" spans="1:8" x14ac:dyDescent="0.2">
      <c r="A1732" s="2" t="s">
        <v>3659</v>
      </c>
      <c r="B1732" s="2" t="s">
        <v>594</v>
      </c>
      <c r="C1732" s="2">
        <v>750.33969999999999</v>
      </c>
      <c r="D1732" s="2">
        <f>HYPERLINK("http://mcb-m6.bioreg.kyushu-u.ac.jp/M3/20110414/F50946/2033/1", 56.63)</f>
        <v>56.63</v>
      </c>
      <c r="E1732" s="2">
        <v>40.630000000000003</v>
      </c>
      <c r="F1732" s="2">
        <v>2</v>
      </c>
      <c r="G1732" s="2" t="s">
        <v>12</v>
      </c>
      <c r="H1732" s="2" t="s">
        <v>4904</v>
      </c>
    </row>
    <row r="1733" spans="1:8" x14ac:dyDescent="0.2">
      <c r="A1733" s="2" t="s">
        <v>3659</v>
      </c>
      <c r="B1733" s="2" t="s">
        <v>594</v>
      </c>
      <c r="C1733" s="2">
        <v>749.96669999999995</v>
      </c>
      <c r="D1733" s="2">
        <f>HYPERLINK("http://mcb-m6.bioreg.kyushu-u.ac.jp/M3/20110414/F50949/2181/1", 66.2)</f>
        <v>66.2</v>
      </c>
      <c r="E1733" s="2">
        <v>49.76</v>
      </c>
      <c r="F1733" s="2">
        <v>2</v>
      </c>
      <c r="G1733" s="2" t="s">
        <v>12</v>
      </c>
      <c r="H1733" s="2" t="s">
        <v>4904</v>
      </c>
    </row>
    <row r="1734" spans="1:8" x14ac:dyDescent="0.2">
      <c r="A1734" s="2" t="s">
        <v>3659</v>
      </c>
      <c r="B1734" s="2" t="s">
        <v>594</v>
      </c>
      <c r="C1734" s="2">
        <v>758.94169999999997</v>
      </c>
      <c r="D1734" s="2">
        <f>HYPERLINK("http://mcb-m6.bioreg.kyushu-u.ac.jp/M3/20110414/F50947/2094/1", 66.78)</f>
        <v>66.78</v>
      </c>
      <c r="E1734" s="2">
        <v>53.32</v>
      </c>
      <c r="F1734" s="2">
        <v>2</v>
      </c>
      <c r="G1734" s="2" t="s">
        <v>12</v>
      </c>
    </row>
    <row r="1735" spans="1:8" x14ac:dyDescent="0.2">
      <c r="A1735" s="2" t="s">
        <v>3659</v>
      </c>
      <c r="B1735" s="2" t="s">
        <v>1472</v>
      </c>
      <c r="C1735" s="2">
        <v>1116.201</v>
      </c>
      <c r="D1735" s="2">
        <f>HYPERLINK("http://mcb-m6.bioreg.kyushu-u.ac.jp/M3/20110414/F50963/3405/1", 80.86)</f>
        <v>80.86</v>
      </c>
      <c r="E1735" s="2">
        <v>71.91</v>
      </c>
      <c r="F1735" s="2">
        <v>2</v>
      </c>
      <c r="G1735" s="2" t="s">
        <v>12</v>
      </c>
      <c r="H1735" s="2" t="s">
        <v>4907</v>
      </c>
    </row>
    <row r="1736" spans="1:8" x14ac:dyDescent="0.2">
      <c r="A1736" s="2" t="s">
        <v>3659</v>
      </c>
      <c r="B1736" s="2" t="s">
        <v>1472</v>
      </c>
      <c r="C1736" s="2">
        <v>1108.5840000000001</v>
      </c>
      <c r="D1736" s="2">
        <f>HYPERLINK("http://mcb-m6.bioreg.kyushu-u.ac.jp/M3/20110414/F50966/3038/1", 99.01)</f>
        <v>99.01</v>
      </c>
      <c r="E1736" s="2">
        <v>83.01</v>
      </c>
      <c r="F1736" s="2">
        <v>2</v>
      </c>
      <c r="G1736" s="2" t="s">
        <v>12</v>
      </c>
    </row>
    <row r="1737" spans="1:8" x14ac:dyDescent="0.2">
      <c r="A1737" s="2" t="s">
        <v>3659</v>
      </c>
      <c r="B1737" s="2" t="s">
        <v>1472</v>
      </c>
      <c r="C1737" s="2">
        <v>1116.3589999999999</v>
      </c>
      <c r="D1737" s="2">
        <f>HYPERLINK("http://mcb-m6.bioreg.kyushu-u.ac.jp/M3/20110414/F50947/3875/1", 99.08)</f>
        <v>99.08</v>
      </c>
      <c r="E1737" s="2">
        <v>88.34</v>
      </c>
      <c r="F1737" s="2">
        <v>2</v>
      </c>
      <c r="G1737" s="2" t="s">
        <v>12</v>
      </c>
      <c r="H1737" s="2" t="s">
        <v>4907</v>
      </c>
    </row>
    <row r="1738" spans="1:8" x14ac:dyDescent="0.2">
      <c r="A1738" s="2" t="s">
        <v>3659</v>
      </c>
      <c r="B1738" s="2" t="s">
        <v>1472</v>
      </c>
      <c r="C1738" s="2">
        <v>1115.8599999999999</v>
      </c>
      <c r="D1738" s="2">
        <f>HYPERLINK("http://mcb-m6.bioreg.kyushu-u.ac.jp/M3/20110414/F50963/3403/1", 113.85)</f>
        <v>113.85</v>
      </c>
      <c r="E1738" s="2">
        <v>104.8</v>
      </c>
      <c r="F1738" s="2">
        <v>2</v>
      </c>
      <c r="G1738" s="2" t="s">
        <v>12</v>
      </c>
      <c r="H1738" s="2" t="s">
        <v>4907</v>
      </c>
    </row>
    <row r="1739" spans="1:8" x14ac:dyDescent="0.2">
      <c r="A1739" s="2" t="s">
        <v>3659</v>
      </c>
      <c r="B1739" s="2" t="s">
        <v>594</v>
      </c>
      <c r="C1739" s="2">
        <v>750.5847</v>
      </c>
      <c r="D1739" s="2">
        <f>HYPERLINK("http://mcb-m6.bioreg.kyushu-u.ac.jp/M3/20110502/F51187/1791/1", 35.82)</f>
        <v>35.82</v>
      </c>
      <c r="E1739" s="2">
        <v>21.78</v>
      </c>
      <c r="F1739" s="2">
        <v>2</v>
      </c>
      <c r="G1739" s="2" t="s">
        <v>13</v>
      </c>
      <c r="H1739" s="2" t="s">
        <v>4904</v>
      </c>
    </row>
    <row r="1740" spans="1:8" x14ac:dyDescent="0.2">
      <c r="A1740" s="2" t="s">
        <v>3659</v>
      </c>
      <c r="B1740" s="2" t="s">
        <v>594</v>
      </c>
      <c r="C1740" s="2">
        <v>758.63710000000003</v>
      </c>
      <c r="D1740" s="2">
        <f>HYPERLINK("http://mcb-m6.bioreg.kyushu-u.ac.jp/M3/20110502/F51170/2173/1", 37.39)</f>
        <v>37.39</v>
      </c>
      <c r="E1740" s="2">
        <v>20.11</v>
      </c>
      <c r="F1740" s="2">
        <v>2</v>
      </c>
      <c r="G1740" s="2" t="s">
        <v>13</v>
      </c>
    </row>
    <row r="1741" spans="1:8" x14ac:dyDescent="0.2">
      <c r="A1741" s="2" t="s">
        <v>3659</v>
      </c>
      <c r="B1741" s="2" t="s">
        <v>594</v>
      </c>
      <c r="C1741" s="2">
        <v>758.55820000000006</v>
      </c>
      <c r="D1741" s="2">
        <f>HYPERLINK("http://mcb-m6.bioreg.kyushu-u.ac.jp/M3/20110502/F51187/1831/1", 37.73)</f>
        <v>37.729999999999997</v>
      </c>
      <c r="E1741" s="2">
        <v>25.65</v>
      </c>
      <c r="F1741" s="2">
        <v>2</v>
      </c>
      <c r="G1741" s="2" t="s">
        <v>13</v>
      </c>
    </row>
    <row r="1742" spans="1:8" x14ac:dyDescent="0.2">
      <c r="A1742" s="2" t="s">
        <v>3659</v>
      </c>
      <c r="B1742" s="2" t="s">
        <v>1472</v>
      </c>
      <c r="C1742" s="2">
        <v>1108.394</v>
      </c>
      <c r="D1742" s="2">
        <f>HYPERLINK("http://mcb-m6.bioreg.kyushu-u.ac.jp/M3/20110502/F51188/2958/1", 38.75)</f>
        <v>38.75</v>
      </c>
      <c r="E1742" s="2">
        <v>29.02</v>
      </c>
      <c r="F1742" s="2">
        <v>2</v>
      </c>
      <c r="G1742" s="2" t="s">
        <v>13</v>
      </c>
    </row>
    <row r="1743" spans="1:8" x14ac:dyDescent="0.2">
      <c r="A1743" s="2" t="s">
        <v>3659</v>
      </c>
      <c r="B1743" s="2" t="s">
        <v>594</v>
      </c>
      <c r="C1743" s="2">
        <v>750.63170000000002</v>
      </c>
      <c r="D1743" s="2">
        <f>HYPERLINK("http://mcb-m6.bioreg.kyushu-u.ac.jp/M3/20110502/F51172/2158/1", 53.14)</f>
        <v>53.14</v>
      </c>
      <c r="E1743" s="2">
        <v>36.97</v>
      </c>
      <c r="F1743" s="2">
        <v>2</v>
      </c>
      <c r="G1743" s="2" t="s">
        <v>13</v>
      </c>
      <c r="H1743" s="2" t="s">
        <v>4904</v>
      </c>
    </row>
    <row r="1744" spans="1:8" x14ac:dyDescent="0.2">
      <c r="A1744" s="2" t="s">
        <v>3659</v>
      </c>
      <c r="B1744" s="2" t="s">
        <v>1472</v>
      </c>
      <c r="C1744" s="2">
        <v>1116.3900000000001</v>
      </c>
      <c r="D1744" s="2">
        <f>HYPERLINK("http://mcb-m6.bioreg.kyushu-u.ac.jp/M3/20110502/F51170/3528/1", 53.76)</f>
        <v>53.76</v>
      </c>
      <c r="E1744" s="2">
        <v>38.93</v>
      </c>
      <c r="F1744" s="2">
        <v>2</v>
      </c>
      <c r="G1744" s="2" t="s">
        <v>13</v>
      </c>
      <c r="H1744" s="2" t="s">
        <v>4907</v>
      </c>
    </row>
    <row r="1745" spans="1:8" x14ac:dyDescent="0.2">
      <c r="A1745" s="2" t="s">
        <v>3659</v>
      </c>
      <c r="B1745" s="2" t="s">
        <v>594</v>
      </c>
      <c r="C1745" s="2">
        <v>750.52719999999999</v>
      </c>
      <c r="D1745" s="2">
        <f>HYPERLINK("http://mcb-m6.bioreg.kyushu-u.ac.jp/M3/20110502/F51188/1915/1", 54.39)</f>
        <v>54.39</v>
      </c>
      <c r="E1745" s="2">
        <v>37.17</v>
      </c>
      <c r="F1745" s="2">
        <v>2</v>
      </c>
      <c r="G1745" s="2" t="s">
        <v>13</v>
      </c>
      <c r="H1745" s="2" t="s">
        <v>4904</v>
      </c>
    </row>
    <row r="1746" spans="1:8" x14ac:dyDescent="0.2">
      <c r="A1746" s="2" t="s">
        <v>3659</v>
      </c>
      <c r="B1746" s="2" t="s">
        <v>1472</v>
      </c>
      <c r="C1746" s="2">
        <v>1116.02</v>
      </c>
      <c r="D1746" s="2">
        <f>HYPERLINK("http://mcb-m6.bioreg.kyushu-u.ac.jp/M3/20110502/F51187/3023/1", 56.07)</f>
        <v>56.07</v>
      </c>
      <c r="E1746" s="2">
        <v>49.4</v>
      </c>
      <c r="F1746" s="2">
        <v>2</v>
      </c>
      <c r="G1746" s="2" t="s">
        <v>13</v>
      </c>
      <c r="H1746" s="2" t="s">
        <v>4907</v>
      </c>
    </row>
    <row r="1747" spans="1:8" x14ac:dyDescent="0.2">
      <c r="A1747" s="2" t="s">
        <v>3659</v>
      </c>
      <c r="B1747" s="2" t="s">
        <v>594</v>
      </c>
      <c r="C1747" s="2">
        <v>506.60019999999997</v>
      </c>
      <c r="D1747" s="2">
        <f>HYPERLINK("http://mcb-m6.bioreg.kyushu-u.ac.jp/M3/20110502/F51187/1836/1", 56.63)</f>
        <v>56.63</v>
      </c>
      <c r="E1747" s="2">
        <v>45.15</v>
      </c>
      <c r="F1747" s="2">
        <v>3</v>
      </c>
      <c r="G1747" s="2" t="s">
        <v>13</v>
      </c>
    </row>
    <row r="1748" spans="1:8" x14ac:dyDescent="0.2">
      <c r="A1748" s="2" t="s">
        <v>3659</v>
      </c>
      <c r="B1748" s="2" t="s">
        <v>594</v>
      </c>
      <c r="C1748" s="2">
        <v>750.50620000000004</v>
      </c>
      <c r="D1748" s="2">
        <f>HYPERLINK("http://mcb-m6.bioreg.kyushu-u.ac.jp/M3/20110502/F51168/2086/1", 56.99)</f>
        <v>56.99</v>
      </c>
      <c r="E1748" s="2">
        <v>35.22</v>
      </c>
      <c r="F1748" s="2">
        <v>2</v>
      </c>
      <c r="G1748" s="2" t="s">
        <v>13</v>
      </c>
      <c r="H1748" s="2" t="s">
        <v>4904</v>
      </c>
    </row>
    <row r="1749" spans="1:8" x14ac:dyDescent="0.2">
      <c r="A1749" s="2" t="s">
        <v>3659</v>
      </c>
      <c r="B1749" s="2" t="s">
        <v>594</v>
      </c>
      <c r="C1749" s="2">
        <v>750.55070000000001</v>
      </c>
      <c r="D1749" s="2">
        <f>HYPERLINK("http://mcb-m6.bioreg.kyushu-u.ac.jp/M3/20110502/F51170/2126/1", 57.13)</f>
        <v>57.13</v>
      </c>
      <c r="E1749" s="2">
        <v>33.46</v>
      </c>
      <c r="F1749" s="2">
        <v>2</v>
      </c>
      <c r="G1749" s="2" t="s">
        <v>13</v>
      </c>
      <c r="H1749" s="2" t="s">
        <v>4904</v>
      </c>
    </row>
    <row r="1750" spans="1:8" x14ac:dyDescent="0.2">
      <c r="A1750" s="2" t="s">
        <v>3659</v>
      </c>
      <c r="B1750" s="2" t="s">
        <v>594</v>
      </c>
      <c r="C1750" s="2">
        <v>750.47919999999999</v>
      </c>
      <c r="D1750" s="2">
        <f>HYPERLINK("http://mcb-m6.bioreg.kyushu-u.ac.jp/M3/20110502/F51187/1789/1", 59.33)</f>
        <v>59.33</v>
      </c>
      <c r="E1750" s="2">
        <v>40.049999999999997</v>
      </c>
      <c r="F1750" s="2">
        <v>2</v>
      </c>
      <c r="G1750" s="2" t="s">
        <v>13</v>
      </c>
      <c r="H1750" s="2" t="s">
        <v>4904</v>
      </c>
    </row>
    <row r="1751" spans="1:8" x14ac:dyDescent="0.2">
      <c r="A1751" s="2" t="s">
        <v>3659</v>
      </c>
      <c r="B1751" s="2" t="s">
        <v>594</v>
      </c>
      <c r="C1751" s="2">
        <v>750.60860000000002</v>
      </c>
      <c r="D1751" s="2">
        <f>HYPERLINK("http://mcb-m6.bioreg.kyushu-u.ac.jp/M3/20110502/F51173/1863/1", 63.09)</f>
        <v>63.09</v>
      </c>
      <c r="E1751" s="2">
        <v>41.12</v>
      </c>
      <c r="F1751" s="2">
        <v>2</v>
      </c>
      <c r="G1751" s="2" t="s">
        <v>13</v>
      </c>
      <c r="H1751" s="2" t="s">
        <v>4904</v>
      </c>
    </row>
    <row r="1752" spans="1:8" x14ac:dyDescent="0.2">
      <c r="A1752" s="2" t="s">
        <v>3659</v>
      </c>
      <c r="B1752" s="2" t="s">
        <v>594</v>
      </c>
      <c r="C1752" s="2">
        <v>506.39350000000002</v>
      </c>
      <c r="D1752" s="2">
        <f>HYPERLINK("http://mcb-m6.bioreg.kyushu-u.ac.jp/M3/20110502/F51187/1833/1", 63.71)</f>
        <v>63.71</v>
      </c>
      <c r="E1752" s="2">
        <v>47.66</v>
      </c>
      <c r="F1752" s="2">
        <v>3</v>
      </c>
      <c r="G1752" s="2" t="s">
        <v>13</v>
      </c>
    </row>
    <row r="1753" spans="1:8" x14ac:dyDescent="0.2">
      <c r="A1753" s="2" t="s">
        <v>3659</v>
      </c>
      <c r="B1753" s="2" t="s">
        <v>594</v>
      </c>
      <c r="C1753" s="2">
        <v>750.56209999999999</v>
      </c>
      <c r="D1753" s="2">
        <f>HYPERLINK("http://mcb-m6.bioreg.kyushu-u.ac.jp/M3/20110502/F51171/2060/1", 68.08)</f>
        <v>68.08</v>
      </c>
      <c r="E1753" s="2">
        <v>49.08</v>
      </c>
      <c r="F1753" s="2">
        <v>2</v>
      </c>
      <c r="G1753" s="2" t="s">
        <v>13</v>
      </c>
      <c r="H1753" s="2" t="s">
        <v>4904</v>
      </c>
    </row>
    <row r="1754" spans="1:8" x14ac:dyDescent="0.2">
      <c r="A1754" s="2" t="s">
        <v>3659</v>
      </c>
      <c r="B1754" s="2" t="s">
        <v>594</v>
      </c>
      <c r="C1754" s="2">
        <v>750.53020000000004</v>
      </c>
      <c r="D1754" s="2">
        <f>HYPERLINK("http://mcb-m6.bioreg.kyushu-u.ac.jp/M3/20110502/F51169/2155/1", 69.37)</f>
        <v>69.37</v>
      </c>
      <c r="E1754" s="2">
        <v>47.68</v>
      </c>
      <c r="F1754" s="2">
        <v>2</v>
      </c>
      <c r="G1754" s="2" t="s">
        <v>13</v>
      </c>
      <c r="H1754" s="2" t="s">
        <v>4904</v>
      </c>
    </row>
    <row r="1755" spans="1:8" x14ac:dyDescent="0.2">
      <c r="A1755" s="2" t="s">
        <v>3659</v>
      </c>
      <c r="B1755" s="2" t="s">
        <v>594</v>
      </c>
      <c r="C1755" s="2">
        <v>750.5942</v>
      </c>
      <c r="D1755" s="2">
        <f>HYPERLINK("http://mcb-m6.bioreg.kyushu-u.ac.jp/M3/20110502/F51180/1889/1", 70.59)</f>
        <v>70.59</v>
      </c>
      <c r="E1755" s="2">
        <v>45.23</v>
      </c>
      <c r="F1755" s="2">
        <v>2</v>
      </c>
      <c r="G1755" s="2" t="s">
        <v>13</v>
      </c>
      <c r="H1755" s="2" t="s">
        <v>4904</v>
      </c>
    </row>
    <row r="1756" spans="1:8" x14ac:dyDescent="0.2">
      <c r="A1756" s="2" t="s">
        <v>3659</v>
      </c>
      <c r="B1756" s="2" t="s">
        <v>594</v>
      </c>
      <c r="C1756" s="2">
        <v>750.55319999999995</v>
      </c>
      <c r="D1756" s="2">
        <f>HYPERLINK("http://mcb-m6.bioreg.kyushu-u.ac.jp/M3/20110502/F51187/1790/1", 71.56)</f>
        <v>71.56</v>
      </c>
      <c r="E1756" s="2">
        <v>48.49</v>
      </c>
      <c r="F1756" s="2">
        <v>2</v>
      </c>
      <c r="G1756" s="2" t="s">
        <v>13</v>
      </c>
      <c r="H1756" s="2" t="s">
        <v>4904</v>
      </c>
    </row>
    <row r="1757" spans="1:8" x14ac:dyDescent="0.2">
      <c r="A1757" s="2" t="s">
        <v>3659</v>
      </c>
      <c r="B1757" s="2" t="s">
        <v>1472</v>
      </c>
      <c r="C1757" s="2">
        <v>1116.596</v>
      </c>
      <c r="D1757" s="2">
        <f>HYPERLINK("http://mcb-m6.bioreg.kyushu-u.ac.jp/M3/20110502/F51187/3029/1", 86.16)</f>
        <v>86.16</v>
      </c>
      <c r="E1757" s="2">
        <v>74.5</v>
      </c>
      <c r="F1757" s="2">
        <v>2</v>
      </c>
      <c r="G1757" s="2" t="s">
        <v>13</v>
      </c>
      <c r="H1757" s="2" t="s">
        <v>4907</v>
      </c>
    </row>
    <row r="1758" spans="1:8" x14ac:dyDescent="0.2">
      <c r="A1758" s="2" t="s">
        <v>3659</v>
      </c>
      <c r="B1758" s="2" t="s">
        <v>1472</v>
      </c>
      <c r="C1758" s="2">
        <v>1116.6210000000001</v>
      </c>
      <c r="D1758" s="2">
        <f>HYPERLINK("http://mcb-m6.bioreg.kyushu-u.ac.jp/M3/20110502/F51173/3599/1", 109.8)</f>
        <v>109.8</v>
      </c>
      <c r="E1758" s="2">
        <v>99.54</v>
      </c>
      <c r="F1758" s="2">
        <v>2</v>
      </c>
      <c r="G1758" s="2" t="s">
        <v>13</v>
      </c>
      <c r="H1758" s="2" t="s">
        <v>4907</v>
      </c>
    </row>
    <row r="1759" spans="1:8" x14ac:dyDescent="0.2">
      <c r="A1759" s="2" t="s">
        <v>3659</v>
      </c>
      <c r="B1759" s="2" t="s">
        <v>1472</v>
      </c>
      <c r="C1759" s="2">
        <v>1116.127</v>
      </c>
      <c r="D1759" s="2">
        <f>HYPERLINK("http://mcb-m6.bioreg.kyushu-u.ac.jp/M3/20110502/F51188/2989/1", 126.99)</f>
        <v>126.99</v>
      </c>
      <c r="E1759" s="2">
        <v>114.94</v>
      </c>
      <c r="F1759" s="2">
        <v>2</v>
      </c>
      <c r="G1759" s="2" t="s">
        <v>13</v>
      </c>
      <c r="H1759" s="2" t="s">
        <v>4907</v>
      </c>
    </row>
    <row r="1760" spans="1:8" x14ac:dyDescent="0.2">
      <c r="A1760" s="2" t="s">
        <v>3659</v>
      </c>
      <c r="B1760" s="2" t="s">
        <v>1472</v>
      </c>
      <c r="C1760" s="2">
        <v>1116.116</v>
      </c>
      <c r="D1760" s="2">
        <f>HYPERLINK("http://mcb-m6.bioreg.kyushu-u.ac.jp/M3/20110502/F51187/3026/1", 128.28)</f>
        <v>128.28</v>
      </c>
      <c r="E1760" s="2">
        <v>117.55</v>
      </c>
      <c r="F1760" s="2">
        <v>2</v>
      </c>
      <c r="G1760" s="2" t="s">
        <v>13</v>
      </c>
      <c r="H1760" s="2" t="s">
        <v>4907</v>
      </c>
    </row>
    <row r="1761" spans="1:8" x14ac:dyDescent="0.2">
      <c r="A1761" s="2" t="s">
        <v>3659</v>
      </c>
      <c r="B1761" s="2" t="s">
        <v>1472</v>
      </c>
      <c r="C1761" s="2">
        <v>1116.6310000000001</v>
      </c>
      <c r="D1761" s="2">
        <f>HYPERLINK("http://mcb-m6.bioreg.kyushu-u.ac.jp/M3/20110502/F51188/2995/1", 142.03)</f>
        <v>142.03</v>
      </c>
      <c r="E1761" s="2">
        <v>131.37</v>
      </c>
      <c r="F1761" s="2">
        <v>2</v>
      </c>
      <c r="G1761" s="2" t="s">
        <v>13</v>
      </c>
      <c r="H1761" s="2" t="s">
        <v>4907</v>
      </c>
    </row>
    <row r="1762" spans="1:8" x14ac:dyDescent="0.2">
      <c r="A1762" s="2" t="s">
        <v>3659</v>
      </c>
      <c r="B1762" s="2" t="s">
        <v>594</v>
      </c>
      <c r="C1762" s="2">
        <v>758.56960000000004</v>
      </c>
      <c r="D1762" s="2">
        <f>HYPERLINK("http://mcb-m6.bioreg.kyushu-u.ac.jp/M3/20110502/F51191/1816/1", 41.23)</f>
        <v>41.23</v>
      </c>
      <c r="E1762" s="2">
        <v>23.35</v>
      </c>
      <c r="F1762" s="2">
        <v>2</v>
      </c>
      <c r="G1762" s="2" t="s">
        <v>14</v>
      </c>
    </row>
    <row r="1763" spans="1:8" x14ac:dyDescent="0.2">
      <c r="A1763" s="2" t="s">
        <v>3659</v>
      </c>
      <c r="B1763" s="2" t="s">
        <v>594</v>
      </c>
      <c r="C1763" s="2">
        <v>750.5856</v>
      </c>
      <c r="D1763" s="2">
        <f>HYPERLINK("http://mcb-m6.bioreg.kyushu-u.ac.jp/M3/20110502/F51177/1914/1", 46.12)</f>
        <v>46.12</v>
      </c>
      <c r="E1763" s="2">
        <v>23.16</v>
      </c>
      <c r="F1763" s="2">
        <v>2</v>
      </c>
      <c r="G1763" s="2" t="s">
        <v>14</v>
      </c>
      <c r="H1763" s="2" t="s">
        <v>4904</v>
      </c>
    </row>
    <row r="1764" spans="1:8" x14ac:dyDescent="0.2">
      <c r="A1764" s="2" t="s">
        <v>3659</v>
      </c>
      <c r="B1764" s="2" t="s">
        <v>1472</v>
      </c>
      <c r="C1764" s="2">
        <v>1115.8579999999999</v>
      </c>
      <c r="D1764" s="2">
        <f>HYPERLINK("http://mcb-m6.bioreg.kyushu-u.ac.jp/M3/20110502/F51192/3268/1", 46.48)</f>
        <v>46.48</v>
      </c>
      <c r="E1764" s="2">
        <v>43.16</v>
      </c>
      <c r="F1764" s="2">
        <v>2</v>
      </c>
      <c r="G1764" s="2" t="s">
        <v>14</v>
      </c>
      <c r="H1764" s="2" t="s">
        <v>4907</v>
      </c>
    </row>
    <row r="1765" spans="1:8" x14ac:dyDescent="0.2">
      <c r="A1765" s="2" t="s">
        <v>3659</v>
      </c>
      <c r="B1765" s="2" t="s">
        <v>594</v>
      </c>
      <c r="C1765" s="2">
        <v>750.45370000000003</v>
      </c>
      <c r="D1765" s="2">
        <f>HYPERLINK("http://mcb-m6.bioreg.kyushu-u.ac.jp/M3/20110502/F51192/1847/1", 46.77)</f>
        <v>46.77</v>
      </c>
      <c r="E1765" s="2">
        <v>27.03</v>
      </c>
      <c r="F1765" s="2">
        <v>2</v>
      </c>
      <c r="G1765" s="2" t="s">
        <v>14</v>
      </c>
      <c r="H1765" s="2" t="s">
        <v>4904</v>
      </c>
    </row>
    <row r="1766" spans="1:8" x14ac:dyDescent="0.2">
      <c r="A1766" s="2" t="s">
        <v>3659</v>
      </c>
      <c r="B1766" s="2" t="s">
        <v>594</v>
      </c>
      <c r="C1766" s="2">
        <v>500.68419999999998</v>
      </c>
      <c r="D1766" s="2">
        <f>HYPERLINK("http://mcb-m6.bioreg.kyushu-u.ac.jp/M3/20110502/F51191/1772/1", 54.33)</f>
        <v>54.33</v>
      </c>
      <c r="E1766" s="2">
        <v>19.59</v>
      </c>
      <c r="F1766" s="2">
        <v>3</v>
      </c>
      <c r="G1766" s="2" t="s">
        <v>14</v>
      </c>
      <c r="H1766" s="2" t="s">
        <v>4904</v>
      </c>
    </row>
    <row r="1767" spans="1:8" x14ac:dyDescent="0.2">
      <c r="A1767" s="2" t="s">
        <v>3659</v>
      </c>
      <c r="B1767" s="2" t="s">
        <v>594</v>
      </c>
      <c r="C1767" s="2">
        <v>750.82069999999999</v>
      </c>
      <c r="D1767" s="2">
        <f>HYPERLINK("http://mcb-m6.bioreg.kyushu-u.ac.jp/M3/20110502/F51178/2162/1", 55.4)</f>
        <v>55.4</v>
      </c>
      <c r="E1767" s="2">
        <v>29.34</v>
      </c>
      <c r="F1767" s="2">
        <v>2</v>
      </c>
      <c r="G1767" s="2" t="s">
        <v>14</v>
      </c>
      <c r="H1767" s="2" t="s">
        <v>4904</v>
      </c>
    </row>
    <row r="1768" spans="1:8" x14ac:dyDescent="0.2">
      <c r="A1768" s="2" t="s">
        <v>3659</v>
      </c>
      <c r="B1768" s="2" t="s">
        <v>594</v>
      </c>
      <c r="C1768" s="2">
        <v>750.58259999999996</v>
      </c>
      <c r="D1768" s="2">
        <f>HYPERLINK("http://mcb-m6.bioreg.kyushu-u.ac.jp/M3/20110502/F51191/1773/1", 55.81)</f>
        <v>55.81</v>
      </c>
      <c r="E1768" s="2">
        <v>36.049999999999997</v>
      </c>
      <c r="F1768" s="2">
        <v>2</v>
      </c>
      <c r="G1768" s="2" t="s">
        <v>14</v>
      </c>
      <c r="H1768" s="2" t="s">
        <v>4904</v>
      </c>
    </row>
    <row r="1769" spans="1:8" x14ac:dyDescent="0.2">
      <c r="A1769" s="2" t="s">
        <v>3659</v>
      </c>
      <c r="B1769" s="2" t="s">
        <v>594</v>
      </c>
      <c r="C1769" s="2">
        <v>750.58169999999996</v>
      </c>
      <c r="D1769" s="2">
        <f>HYPERLINK("http://mcb-m6.bioreg.kyushu-u.ac.jp/M3/20110502/F51185/1948/1", 57.47)</f>
        <v>57.47</v>
      </c>
      <c r="E1769" s="2">
        <v>32.74</v>
      </c>
      <c r="F1769" s="2">
        <v>2</v>
      </c>
      <c r="G1769" s="2" t="s">
        <v>14</v>
      </c>
      <c r="H1769" s="2" t="s">
        <v>4904</v>
      </c>
    </row>
    <row r="1770" spans="1:8" x14ac:dyDescent="0.2">
      <c r="A1770" s="2" t="s">
        <v>3659</v>
      </c>
      <c r="B1770" s="2" t="s">
        <v>1472</v>
      </c>
      <c r="C1770" s="2">
        <v>1116.0830000000001</v>
      </c>
      <c r="D1770" s="2">
        <f>HYPERLINK("http://mcb-m6.bioreg.kyushu-u.ac.jp/M3/20110502/F51191/3070/1", 60.01)</f>
        <v>60.01</v>
      </c>
      <c r="E1770" s="2">
        <v>49.22</v>
      </c>
      <c r="F1770" s="2">
        <v>2</v>
      </c>
      <c r="G1770" s="2" t="s">
        <v>14</v>
      </c>
      <c r="H1770" s="2" t="s">
        <v>4907</v>
      </c>
    </row>
    <row r="1771" spans="1:8" x14ac:dyDescent="0.2">
      <c r="A1771" s="2" t="s">
        <v>3659</v>
      </c>
      <c r="B1771" s="2" t="s">
        <v>594</v>
      </c>
      <c r="C1771" s="2">
        <v>506.40249999999997</v>
      </c>
      <c r="D1771" s="2">
        <f>HYPERLINK("http://mcb-m6.bioreg.kyushu-u.ac.jp/M3/20110502/F51192/1902/1", 61.09)</f>
        <v>61.09</v>
      </c>
      <c r="E1771" s="2">
        <v>46.33</v>
      </c>
      <c r="F1771" s="2">
        <v>3</v>
      </c>
      <c r="G1771" s="2" t="s">
        <v>14</v>
      </c>
    </row>
    <row r="1772" spans="1:8" x14ac:dyDescent="0.2">
      <c r="A1772" s="2" t="s">
        <v>3659</v>
      </c>
      <c r="B1772" s="2" t="s">
        <v>1472</v>
      </c>
      <c r="C1772" s="2">
        <v>1116.1959999999999</v>
      </c>
      <c r="D1772" s="2">
        <f>HYPERLINK("http://mcb-m6.bioreg.kyushu-u.ac.jp/M3/20110502/F51179/3491/1", 62.79)</f>
        <v>62.79</v>
      </c>
      <c r="E1772" s="2">
        <v>54.86</v>
      </c>
      <c r="F1772" s="2">
        <v>2</v>
      </c>
      <c r="G1772" s="2" t="s">
        <v>14</v>
      </c>
      <c r="H1772" s="2" t="s">
        <v>4907</v>
      </c>
    </row>
    <row r="1773" spans="1:8" x14ac:dyDescent="0.2">
      <c r="A1773" s="2" t="s">
        <v>3659</v>
      </c>
      <c r="B1773" s="2" t="s">
        <v>594</v>
      </c>
      <c r="C1773" s="2">
        <v>506.60719999999998</v>
      </c>
      <c r="D1773" s="2">
        <f>HYPERLINK("http://mcb-m6.bioreg.kyushu-u.ac.jp/M3/20110502/F51191/1821/1", 64.61)</f>
        <v>64.61</v>
      </c>
      <c r="E1773" s="2">
        <v>50.89</v>
      </c>
      <c r="F1773" s="2">
        <v>3</v>
      </c>
      <c r="G1773" s="2" t="s">
        <v>14</v>
      </c>
    </row>
    <row r="1774" spans="1:8" x14ac:dyDescent="0.2">
      <c r="A1774" s="2" t="s">
        <v>3659</v>
      </c>
      <c r="B1774" s="2" t="s">
        <v>594</v>
      </c>
      <c r="C1774" s="2">
        <v>750.60270000000003</v>
      </c>
      <c r="D1774" s="2">
        <f>HYPERLINK("http://mcb-m6.bioreg.kyushu-u.ac.jp/M3/20110502/F51193/1954/1", 66.47)</f>
        <v>66.47</v>
      </c>
      <c r="E1774" s="2">
        <v>41.74</v>
      </c>
      <c r="F1774" s="2">
        <v>2</v>
      </c>
      <c r="G1774" s="2" t="s">
        <v>14</v>
      </c>
      <c r="H1774" s="2" t="s">
        <v>4904</v>
      </c>
    </row>
    <row r="1775" spans="1:8" x14ac:dyDescent="0.2">
      <c r="A1775" s="2" t="s">
        <v>3659</v>
      </c>
      <c r="B1775" s="2" t="s">
        <v>594</v>
      </c>
      <c r="C1775" s="2">
        <v>750.5367</v>
      </c>
      <c r="D1775" s="2">
        <f>HYPERLINK("http://mcb-m6.bioreg.kyushu-u.ac.jp/M3/20110502/F51179/1826/1", 67.73)</f>
        <v>67.73</v>
      </c>
      <c r="E1775" s="2">
        <v>46.07</v>
      </c>
      <c r="F1775" s="2">
        <v>2</v>
      </c>
      <c r="G1775" s="2" t="s">
        <v>14</v>
      </c>
      <c r="H1775" s="2" t="s">
        <v>4904</v>
      </c>
    </row>
    <row r="1776" spans="1:8" x14ac:dyDescent="0.2">
      <c r="A1776" s="2" t="s">
        <v>3659</v>
      </c>
      <c r="B1776" s="2" t="s">
        <v>594</v>
      </c>
      <c r="C1776" s="2">
        <v>506.4778</v>
      </c>
      <c r="D1776" s="2">
        <f>HYPERLINK("http://mcb-m6.bioreg.kyushu-u.ac.jp/M3/20110502/F51179/1877/1", 69.8)</f>
        <v>69.8</v>
      </c>
      <c r="E1776" s="2">
        <v>56.28</v>
      </c>
      <c r="F1776" s="2">
        <v>3</v>
      </c>
      <c r="G1776" s="2" t="s">
        <v>14</v>
      </c>
    </row>
    <row r="1777" spans="1:8" x14ac:dyDescent="0.2">
      <c r="A1777" s="2" t="s">
        <v>3659</v>
      </c>
      <c r="B1777" s="2" t="s">
        <v>1545</v>
      </c>
      <c r="C1777" s="2">
        <v>787.40949999999998</v>
      </c>
      <c r="D1777" s="2">
        <f>HYPERLINK("http://mcb-m6.bioreg.kyushu-u.ac.jp/M3/20110502/F51191/3193/1", 94.88)</f>
        <v>94.88</v>
      </c>
      <c r="E1777" s="2">
        <v>78.900000000000006</v>
      </c>
      <c r="F1777" s="2">
        <v>3</v>
      </c>
      <c r="G1777" s="2" t="s">
        <v>14</v>
      </c>
      <c r="H1777" s="2" t="s">
        <v>4938</v>
      </c>
    </row>
    <row r="1778" spans="1:8" x14ac:dyDescent="0.2">
      <c r="A1778" s="2" t="s">
        <v>3659</v>
      </c>
      <c r="B1778" s="2" t="s">
        <v>1545</v>
      </c>
      <c r="C1778" s="2">
        <v>1180.3420000000001</v>
      </c>
      <c r="D1778" s="2">
        <f>HYPERLINK("http://mcb-m6.bioreg.kyushu-u.ac.jp/M3/20110502/F51191/3192/1", 113.73)</f>
        <v>113.73</v>
      </c>
      <c r="E1778" s="2">
        <v>100.62</v>
      </c>
      <c r="F1778" s="2">
        <v>2</v>
      </c>
      <c r="G1778" s="2" t="s">
        <v>14</v>
      </c>
      <c r="H1778" s="2" t="s">
        <v>4938</v>
      </c>
    </row>
    <row r="1779" spans="1:8" x14ac:dyDescent="0.2">
      <c r="A1779" s="2" t="s">
        <v>3659</v>
      </c>
      <c r="B1779" s="2" t="s">
        <v>1472</v>
      </c>
      <c r="C1779" s="2">
        <v>1115.9949999999999</v>
      </c>
      <c r="D1779" s="2">
        <f>HYPERLINK("http://mcb-m6.bioreg.kyushu-u.ac.jp/M3/20110502/F51185/3330/1", 119.57)</f>
        <v>119.57</v>
      </c>
      <c r="E1779" s="2">
        <v>108.35</v>
      </c>
      <c r="F1779" s="2">
        <v>2</v>
      </c>
      <c r="G1779" s="2" t="s">
        <v>14</v>
      </c>
      <c r="H1779" s="2" t="s">
        <v>4907</v>
      </c>
    </row>
    <row r="1780" spans="1:8" x14ac:dyDescent="0.2">
      <c r="A1780" s="2" t="s">
        <v>3659</v>
      </c>
      <c r="B1780" s="2" t="s">
        <v>1472</v>
      </c>
      <c r="C1780" s="2">
        <v>1116.604</v>
      </c>
      <c r="D1780" s="2">
        <f>HYPERLINK("http://mcb-m6.bioreg.kyushu-u.ac.jp/M3/20110502/F51191/3072/1", 128.81)</f>
        <v>128.81</v>
      </c>
      <c r="E1780" s="2">
        <v>118.12</v>
      </c>
      <c r="F1780" s="2">
        <v>2</v>
      </c>
      <c r="G1780" s="2" t="s">
        <v>14</v>
      </c>
      <c r="H1780" s="2" t="s">
        <v>4907</v>
      </c>
    </row>
    <row r="1781" spans="1:8" x14ac:dyDescent="0.2">
      <c r="A1781" s="2" t="s">
        <v>3659</v>
      </c>
      <c r="B1781" s="2" t="s">
        <v>1472</v>
      </c>
      <c r="C1781" s="2">
        <v>1116.377</v>
      </c>
      <c r="D1781" s="2">
        <f>HYPERLINK("http://mcb-m6.bioreg.kyushu-u.ac.jp/M3/20110502/F51192/3272/1", 135.61)</f>
        <v>135.61000000000001</v>
      </c>
      <c r="E1781" s="2">
        <v>129.26</v>
      </c>
      <c r="F1781" s="2">
        <v>2</v>
      </c>
      <c r="G1781" s="2" t="s">
        <v>14</v>
      </c>
      <c r="H1781" s="2" t="s">
        <v>4907</v>
      </c>
    </row>
    <row r="1782" spans="1:8" x14ac:dyDescent="0.2">
      <c r="A1782" s="2" t="s">
        <v>3454</v>
      </c>
      <c r="B1782" s="2" t="s">
        <v>265</v>
      </c>
      <c r="C1782" s="2">
        <v>587.2527</v>
      </c>
      <c r="D1782" s="2">
        <f>HYPERLINK("http://mcb-m6.bioreg.kyushu-u.ac.jp/M3/20110411/F50916/1116/2", 38.7)</f>
        <v>38.700000000000003</v>
      </c>
      <c r="E1782" s="2">
        <v>27.24</v>
      </c>
      <c r="F1782" s="2">
        <v>2</v>
      </c>
      <c r="G1782" s="2" t="s">
        <v>9</v>
      </c>
    </row>
    <row r="1783" spans="1:8" x14ac:dyDescent="0.2">
      <c r="A1783" s="2" t="s">
        <v>3454</v>
      </c>
      <c r="B1783" s="2" t="s">
        <v>265</v>
      </c>
      <c r="C1783" s="2">
        <v>587.09010000000001</v>
      </c>
      <c r="D1783" s="2">
        <f>HYPERLINK("http://mcb-m6.bioreg.kyushu-u.ac.jp/M3/20110414/F50956/991/2", 41.42)</f>
        <v>41.42</v>
      </c>
      <c r="E1783" s="2">
        <v>24.61</v>
      </c>
      <c r="F1783" s="2">
        <v>2</v>
      </c>
      <c r="G1783" s="2" t="s">
        <v>11</v>
      </c>
    </row>
    <row r="1784" spans="1:8" x14ac:dyDescent="0.2">
      <c r="A1784" s="2" t="s">
        <v>4117</v>
      </c>
      <c r="B1784" s="2" t="s">
        <v>1617</v>
      </c>
      <c r="C1784" s="2">
        <v>564.4307</v>
      </c>
      <c r="D1784" s="2">
        <f>HYPERLINK("http://mcb-m6.bioreg.kyushu-u.ac.jp/M3/20110411/F50903/1315/1", 101.45)</f>
        <v>101.45</v>
      </c>
      <c r="E1784" s="2">
        <v>58.59</v>
      </c>
      <c r="F1784" s="2">
        <v>2</v>
      </c>
      <c r="G1784" s="2" t="s">
        <v>9</v>
      </c>
    </row>
    <row r="1785" spans="1:8" x14ac:dyDescent="0.2">
      <c r="A1785" s="2" t="s">
        <v>4117</v>
      </c>
      <c r="B1785" s="2" t="s">
        <v>1617</v>
      </c>
      <c r="C1785" s="2">
        <v>564.12660000000005</v>
      </c>
      <c r="D1785" s="2">
        <f>HYPERLINK("http://mcb-m6.bioreg.kyushu-u.ac.jp/M3/20110411/F50920/874/1", 93.37)</f>
        <v>93.37</v>
      </c>
      <c r="E1785" s="2">
        <v>51.18</v>
      </c>
      <c r="F1785" s="2">
        <v>2</v>
      </c>
      <c r="G1785" s="2" t="s">
        <v>10</v>
      </c>
    </row>
    <row r="1786" spans="1:8" x14ac:dyDescent="0.2">
      <c r="A1786" s="2" t="s">
        <v>4117</v>
      </c>
      <c r="B1786" s="2" t="s">
        <v>2142</v>
      </c>
      <c r="C1786" s="2">
        <v>731.53560000000004</v>
      </c>
      <c r="D1786" s="2">
        <f>HYPERLINK("http://mcb-m6.bioreg.kyushu-u.ac.jp/M3/20110411/F50920/1514/1", 112.33)</f>
        <v>112.33</v>
      </c>
      <c r="E1786" s="2">
        <v>75.73</v>
      </c>
      <c r="F1786" s="2">
        <v>2</v>
      </c>
      <c r="G1786" s="2" t="s">
        <v>10</v>
      </c>
    </row>
    <row r="1787" spans="1:8" x14ac:dyDescent="0.2">
      <c r="A1787" s="2" t="s">
        <v>4117</v>
      </c>
      <c r="B1787" s="2" t="s">
        <v>1617</v>
      </c>
      <c r="C1787" s="2">
        <v>563.63319999999999</v>
      </c>
      <c r="D1787" s="2">
        <f>HYPERLINK("http://mcb-m6.bioreg.kyushu-u.ac.jp/M3/20110414/F50925/1645/1", 56.57)</f>
        <v>56.57</v>
      </c>
      <c r="E1787" s="2">
        <v>31.64</v>
      </c>
      <c r="F1787" s="2">
        <v>2</v>
      </c>
      <c r="G1787" s="2" t="s">
        <v>11</v>
      </c>
    </row>
    <row r="1788" spans="1:8" x14ac:dyDescent="0.2">
      <c r="A1788" s="2" t="s">
        <v>4117</v>
      </c>
      <c r="B1788" s="2" t="s">
        <v>2142</v>
      </c>
      <c r="C1788" s="2">
        <v>731.2106</v>
      </c>
      <c r="D1788" s="2">
        <f>HYPERLINK("http://mcb-m6.bioreg.kyushu-u.ac.jp/M3/20110414/F50925/2191/1", 79.26)</f>
        <v>79.260000000000005</v>
      </c>
      <c r="E1788" s="2">
        <v>49.1</v>
      </c>
      <c r="F1788" s="2">
        <v>2</v>
      </c>
      <c r="G1788" s="2" t="s">
        <v>11</v>
      </c>
    </row>
    <row r="1789" spans="1:8" x14ac:dyDescent="0.2">
      <c r="A1789" s="2" t="s">
        <v>4117</v>
      </c>
      <c r="B1789" s="2" t="s">
        <v>1617</v>
      </c>
      <c r="C1789" s="2">
        <v>564.15769999999998</v>
      </c>
      <c r="D1789" s="2">
        <f>HYPERLINK("http://mcb-m6.bioreg.kyushu-u.ac.jp/M3/20110414/F50924/1330/1", 88.8)</f>
        <v>88.8</v>
      </c>
      <c r="E1789" s="2">
        <v>59.32</v>
      </c>
      <c r="F1789" s="2">
        <v>2</v>
      </c>
      <c r="G1789" s="2" t="s">
        <v>11</v>
      </c>
    </row>
    <row r="1790" spans="1:8" x14ac:dyDescent="0.2">
      <c r="A1790" s="2" t="s">
        <v>4117</v>
      </c>
      <c r="B1790" s="2" t="s">
        <v>1617</v>
      </c>
      <c r="C1790" s="2">
        <v>563.63459999999998</v>
      </c>
      <c r="D1790" s="2">
        <f>HYPERLINK("http://mcb-m6.bioreg.kyushu-u.ac.jp/M3/20110414/F50925/1646/1", 90.98)</f>
        <v>90.98</v>
      </c>
      <c r="E1790" s="2">
        <v>63.26</v>
      </c>
      <c r="F1790" s="2">
        <v>2</v>
      </c>
      <c r="G1790" s="2" t="s">
        <v>11</v>
      </c>
    </row>
    <row r="1791" spans="1:8" x14ac:dyDescent="0.2">
      <c r="A1791" s="2" t="s">
        <v>4117</v>
      </c>
      <c r="B1791" s="2" t="s">
        <v>2142</v>
      </c>
      <c r="C1791" s="2">
        <v>731.25620000000004</v>
      </c>
      <c r="D1791" s="2">
        <f>HYPERLINK("http://mcb-m6.bioreg.kyushu-u.ac.jp/M3/20110414/F50924/2104/1", 91.25)</f>
        <v>91.25</v>
      </c>
      <c r="E1791" s="2">
        <v>63.48</v>
      </c>
      <c r="F1791" s="2">
        <v>2</v>
      </c>
      <c r="G1791" s="2" t="s">
        <v>11</v>
      </c>
    </row>
    <row r="1792" spans="1:8" x14ac:dyDescent="0.2">
      <c r="A1792" s="2" t="s">
        <v>4117</v>
      </c>
      <c r="B1792" s="2" t="s">
        <v>2142</v>
      </c>
      <c r="C1792" s="2">
        <v>731.79470000000003</v>
      </c>
      <c r="D1792" s="2">
        <f>HYPERLINK("http://mcb-m6.bioreg.kyushu-u.ac.jp/M3/20110414/F50924/2111/1", 98.08)</f>
        <v>98.08</v>
      </c>
      <c r="E1792" s="2">
        <v>67.23</v>
      </c>
      <c r="F1792" s="2">
        <v>2</v>
      </c>
      <c r="G1792" s="2" t="s">
        <v>11</v>
      </c>
    </row>
    <row r="1793" spans="1:8" x14ac:dyDescent="0.2">
      <c r="A1793" s="2" t="s">
        <v>4117</v>
      </c>
      <c r="B1793" s="2" t="s">
        <v>2645</v>
      </c>
      <c r="C1793" s="2">
        <v>460.6816</v>
      </c>
      <c r="D1793" s="2">
        <f>HYPERLINK("http://mcb-m6.bioreg.kyushu-u.ac.jp/M3/20110414/F50966/753/1", 46.47)</f>
        <v>46.47</v>
      </c>
      <c r="E1793" s="2">
        <v>23.09</v>
      </c>
      <c r="F1793" s="2">
        <v>2</v>
      </c>
      <c r="G1793" s="2" t="s">
        <v>12</v>
      </c>
      <c r="H1793" s="2" t="s">
        <v>4915</v>
      </c>
    </row>
    <row r="1794" spans="1:8" x14ac:dyDescent="0.2">
      <c r="A1794" s="2" t="s">
        <v>4117</v>
      </c>
      <c r="B1794" s="2" t="s">
        <v>1617</v>
      </c>
      <c r="C1794" s="2">
        <v>563.86270000000002</v>
      </c>
      <c r="D1794" s="2">
        <f>HYPERLINK("http://mcb-m6.bioreg.kyushu-u.ac.jp/M3/20110414/F50930/1872/1", 46.9)</f>
        <v>46.9</v>
      </c>
      <c r="E1794" s="2">
        <v>24.28</v>
      </c>
      <c r="F1794" s="2">
        <v>2</v>
      </c>
      <c r="G1794" s="2" t="s">
        <v>12</v>
      </c>
    </row>
    <row r="1795" spans="1:8" x14ac:dyDescent="0.2">
      <c r="A1795" s="2" t="s">
        <v>4117</v>
      </c>
      <c r="B1795" s="2" t="s">
        <v>2142</v>
      </c>
      <c r="C1795" s="2">
        <v>731.27919999999995</v>
      </c>
      <c r="D1795" s="2">
        <f>HYPERLINK("http://mcb-m6.bioreg.kyushu-u.ac.jp/M3/20110414/F50930/2165/1", 62.02)</f>
        <v>62.02</v>
      </c>
      <c r="E1795" s="2">
        <v>29.57</v>
      </c>
      <c r="F1795" s="2">
        <v>2</v>
      </c>
      <c r="G1795" s="2" t="s">
        <v>12</v>
      </c>
    </row>
    <row r="1796" spans="1:8" x14ac:dyDescent="0.2">
      <c r="A1796" s="2" t="s">
        <v>4117</v>
      </c>
      <c r="B1796" s="2" t="s">
        <v>1617</v>
      </c>
      <c r="C1796" s="2">
        <v>564.12120000000004</v>
      </c>
      <c r="D1796" s="2">
        <f>HYPERLINK("http://mcb-m6.bioreg.kyushu-u.ac.jp/M3/20110414/F50966/1157/1", 92.3)</f>
        <v>92.3</v>
      </c>
      <c r="E1796" s="2">
        <v>50.94</v>
      </c>
      <c r="F1796" s="2">
        <v>2</v>
      </c>
      <c r="G1796" s="2" t="s">
        <v>12</v>
      </c>
    </row>
    <row r="1797" spans="1:8" x14ac:dyDescent="0.2">
      <c r="A1797" s="2" t="s">
        <v>4117</v>
      </c>
      <c r="B1797" s="2" t="s">
        <v>1617</v>
      </c>
      <c r="C1797" s="2">
        <v>564.29669999999999</v>
      </c>
      <c r="D1797" s="2">
        <f>HYPERLINK("http://mcb-m6.bioreg.kyushu-u.ac.jp/M3/20110502/F51165/1520/1", 38.36)</f>
        <v>38.36</v>
      </c>
      <c r="E1797" s="2">
        <v>22.3</v>
      </c>
      <c r="F1797" s="2">
        <v>2</v>
      </c>
      <c r="G1797" s="2" t="s">
        <v>13</v>
      </c>
    </row>
    <row r="1798" spans="1:8" x14ac:dyDescent="0.2">
      <c r="A1798" s="2" t="s">
        <v>4117</v>
      </c>
      <c r="B1798" s="2" t="s">
        <v>2142</v>
      </c>
      <c r="C1798" s="2">
        <v>731.51509999999996</v>
      </c>
      <c r="D1798" s="2">
        <f>HYPERLINK("http://mcb-m6.bioreg.kyushu-u.ac.jp/M3/20110502/F51165/2074/1", 44.41)</f>
        <v>44.41</v>
      </c>
      <c r="E1798" s="2">
        <v>18.41</v>
      </c>
      <c r="F1798" s="2">
        <v>2</v>
      </c>
      <c r="G1798" s="2" t="s">
        <v>13</v>
      </c>
    </row>
    <row r="1799" spans="1:8" x14ac:dyDescent="0.2">
      <c r="A1799" s="2" t="s">
        <v>4117</v>
      </c>
      <c r="B1799" s="2" t="s">
        <v>1617</v>
      </c>
      <c r="C1799" s="2">
        <v>564.34519999999998</v>
      </c>
      <c r="D1799" s="2">
        <f>HYPERLINK("http://mcb-m6.bioreg.kyushu-u.ac.jp/M3/20110502/F51181/1036/1", 83.33)</f>
        <v>83.33</v>
      </c>
      <c r="E1799" s="2">
        <v>50.19</v>
      </c>
      <c r="F1799" s="2">
        <v>2</v>
      </c>
      <c r="G1799" s="2" t="s">
        <v>14</v>
      </c>
    </row>
    <row r="1800" spans="1:8" x14ac:dyDescent="0.2">
      <c r="A1800" s="2" t="s">
        <v>4794</v>
      </c>
      <c r="B1800" s="2" t="s">
        <v>3031</v>
      </c>
      <c r="C1800" s="2">
        <v>922.33969999999999</v>
      </c>
      <c r="D1800" s="2">
        <f>HYPERLINK("http://mcb-m6.bioreg.kyushu-u.ac.jp/M3/20110502/F51179/2811/1", 38.72)</f>
        <v>38.72</v>
      </c>
      <c r="E1800" s="2">
        <v>23.86</v>
      </c>
      <c r="F1800" s="2">
        <v>2</v>
      </c>
      <c r="G1800" s="2" t="s">
        <v>14</v>
      </c>
    </row>
    <row r="1801" spans="1:8" x14ac:dyDescent="0.2">
      <c r="A1801" s="2" t="s">
        <v>4794</v>
      </c>
      <c r="B1801" s="2" t="s">
        <v>3222</v>
      </c>
      <c r="C1801" s="2">
        <v>800.61159999999995</v>
      </c>
      <c r="D1801" s="2">
        <f>HYPERLINK("http://mcb-m6.bioreg.kyushu-u.ac.jp/M3/20110502/F51179/2136/1", 88.21)</f>
        <v>88.21</v>
      </c>
      <c r="E1801" s="2">
        <v>79.930000000000007</v>
      </c>
      <c r="F1801" s="2">
        <v>2</v>
      </c>
      <c r="G1801" s="2" t="s">
        <v>14</v>
      </c>
    </row>
    <row r="1802" spans="1:8" x14ac:dyDescent="0.2">
      <c r="A1802" s="2" t="s">
        <v>4374</v>
      </c>
      <c r="B1802" s="2" t="s">
        <v>2205</v>
      </c>
      <c r="C1802" s="2">
        <v>530.73220000000003</v>
      </c>
      <c r="D1802" s="2">
        <f>HYPERLINK("http://mcb-m6.bioreg.kyushu-u.ac.jp/M3/20110414/F50924/1200/1", 37.08)</f>
        <v>37.08</v>
      </c>
      <c r="E1802" s="2">
        <v>11.66</v>
      </c>
      <c r="F1802" s="2">
        <v>2</v>
      </c>
      <c r="G1802" s="2" t="s">
        <v>11</v>
      </c>
    </row>
    <row r="1803" spans="1:8" x14ac:dyDescent="0.2">
      <c r="A1803" s="2" t="s">
        <v>4374</v>
      </c>
      <c r="B1803" s="2" t="s">
        <v>2205</v>
      </c>
      <c r="C1803" s="2">
        <v>531.33759999999995</v>
      </c>
      <c r="D1803" s="2">
        <f>HYPERLINK("http://mcb-m6.bioreg.kyushu-u.ac.jp/M3/20110502/F51165/1401/1", 46.85)</f>
        <v>46.85</v>
      </c>
      <c r="E1803" s="2">
        <v>12.92</v>
      </c>
      <c r="F1803" s="2">
        <v>2</v>
      </c>
      <c r="G1803" s="2" t="s">
        <v>13</v>
      </c>
    </row>
    <row r="1804" spans="1:8" x14ac:dyDescent="0.2">
      <c r="A1804" s="2" t="s">
        <v>4407</v>
      </c>
      <c r="B1804" s="2" t="s">
        <v>2258</v>
      </c>
      <c r="C1804" s="2">
        <v>474.17059999999998</v>
      </c>
      <c r="D1804" s="2">
        <f>HYPERLINK("http://mcb-m6.bioreg.kyushu-u.ac.jp/M3/20110414/F50924/919/1", 40.2)</f>
        <v>40.200000000000003</v>
      </c>
      <c r="E1804" s="2">
        <v>14.34</v>
      </c>
      <c r="F1804" s="2">
        <v>2</v>
      </c>
      <c r="G1804" s="2" t="s">
        <v>11</v>
      </c>
    </row>
    <row r="1805" spans="1:8" x14ac:dyDescent="0.2">
      <c r="A1805" s="2" t="s">
        <v>4086</v>
      </c>
      <c r="B1805" s="2" t="s">
        <v>1520</v>
      </c>
      <c r="C1805" s="2">
        <v>874.38869999999997</v>
      </c>
      <c r="D1805" s="2">
        <f>HYPERLINK("http://mcb-m6.bioreg.kyushu-u.ac.jp/M3/20110411/F50892/2741/1", 87.79)</f>
        <v>87.79</v>
      </c>
      <c r="E1805" s="2">
        <v>64</v>
      </c>
      <c r="F1805" s="2">
        <v>2</v>
      </c>
      <c r="G1805" s="2" t="s">
        <v>9</v>
      </c>
    </row>
    <row r="1806" spans="1:8" x14ac:dyDescent="0.2">
      <c r="A1806" s="2" t="s">
        <v>4086</v>
      </c>
      <c r="B1806" s="2" t="s">
        <v>2758</v>
      </c>
      <c r="C1806" s="2">
        <v>796.21969999999999</v>
      </c>
      <c r="D1806" s="2">
        <f>HYPERLINK("http://mcb-m6.bioreg.kyushu-u.ac.jp/M3/20110414/F50934/2518/1", 80.11)</f>
        <v>80.11</v>
      </c>
      <c r="E1806" s="2">
        <v>64.94</v>
      </c>
      <c r="F1806" s="2">
        <v>2</v>
      </c>
      <c r="G1806" s="2" t="s">
        <v>12</v>
      </c>
    </row>
    <row r="1807" spans="1:8" x14ac:dyDescent="0.2">
      <c r="A1807" s="2" t="s">
        <v>4611</v>
      </c>
      <c r="B1807" s="2" t="s">
        <v>2725</v>
      </c>
      <c r="C1807" s="2">
        <v>599.5566</v>
      </c>
      <c r="D1807" s="2">
        <f>HYPERLINK("http://mcb-m6.bioreg.kyushu-u.ac.jp/M3/20110414/F50946/1343/1", 65.57)</f>
        <v>65.569999999999993</v>
      </c>
      <c r="E1807" s="2">
        <v>37.42</v>
      </c>
      <c r="F1807" s="2">
        <v>2</v>
      </c>
      <c r="G1807" s="2" t="s">
        <v>12</v>
      </c>
    </row>
    <row r="1808" spans="1:8" x14ac:dyDescent="0.2">
      <c r="A1808" s="2" t="s">
        <v>3446</v>
      </c>
      <c r="B1808" s="2" t="s">
        <v>256</v>
      </c>
      <c r="C1808" s="2">
        <v>530.55160000000001</v>
      </c>
      <c r="D1808" s="2">
        <f>HYPERLINK("http://mcb-m6.bioreg.kyushu-u.ac.jp/M3/20110411/F50904/1222/1", 38.6)</f>
        <v>38.6</v>
      </c>
      <c r="E1808" s="2">
        <v>20.28</v>
      </c>
      <c r="F1808" s="2">
        <v>2</v>
      </c>
      <c r="G1808" s="2" t="s">
        <v>9</v>
      </c>
    </row>
    <row r="1809" spans="1:9" x14ac:dyDescent="0.2">
      <c r="A1809" s="2" t="s">
        <v>3446</v>
      </c>
      <c r="B1809" s="2" t="s">
        <v>672</v>
      </c>
      <c r="C1809" s="2">
        <v>659.17020000000002</v>
      </c>
      <c r="D1809" s="2">
        <f>HYPERLINK("http://mcb-m6.bioreg.kyushu-u.ac.jp/M3/20110411/F50904/1650/1", 47.86)</f>
        <v>47.86</v>
      </c>
      <c r="E1809" s="2">
        <v>34.47</v>
      </c>
      <c r="F1809" s="2">
        <v>2</v>
      </c>
      <c r="G1809" s="2" t="s">
        <v>9</v>
      </c>
      <c r="I1809" s="2" t="s">
        <v>4890</v>
      </c>
    </row>
    <row r="1810" spans="1:9" x14ac:dyDescent="0.2">
      <c r="A1810" s="2" t="s">
        <v>3446</v>
      </c>
      <c r="B1810" s="2" t="s">
        <v>1001</v>
      </c>
      <c r="C1810" s="2">
        <v>635.18910000000005</v>
      </c>
      <c r="D1810" s="2">
        <f>HYPERLINK("http://mcb-m6.bioreg.kyushu-u.ac.jp/M3/20110411/F50904/1562/1", 58.38)</f>
        <v>58.38</v>
      </c>
      <c r="E1810" s="2">
        <v>39.56</v>
      </c>
      <c r="F1810" s="2">
        <v>2</v>
      </c>
      <c r="G1810" s="2" t="s">
        <v>9</v>
      </c>
    </row>
    <row r="1811" spans="1:9" x14ac:dyDescent="0.2">
      <c r="A1811" s="2" t="s">
        <v>3446</v>
      </c>
      <c r="B1811" s="2" t="s">
        <v>1019</v>
      </c>
      <c r="C1811" s="2">
        <v>641.11320000000001</v>
      </c>
      <c r="D1811" s="2">
        <f>HYPERLINK("http://mcb-m6.bioreg.kyushu-u.ac.jp/M3/20110411/F50904/1580/1", 59.11)</f>
        <v>59.11</v>
      </c>
      <c r="E1811" s="2">
        <v>38.31</v>
      </c>
      <c r="F1811" s="2">
        <v>2</v>
      </c>
      <c r="G1811" s="2" t="s">
        <v>9</v>
      </c>
    </row>
    <row r="1812" spans="1:9" x14ac:dyDescent="0.2">
      <c r="A1812" s="2" t="s">
        <v>3446</v>
      </c>
      <c r="B1812" s="2" t="s">
        <v>1054</v>
      </c>
      <c r="C1812" s="2">
        <v>803.56669999999997</v>
      </c>
      <c r="D1812" s="2">
        <f>HYPERLINK("http://mcb-m6.bioreg.kyushu-u.ac.jp/M3/20110411/F50904/2348/1", 60.43)</f>
        <v>60.43</v>
      </c>
      <c r="E1812" s="2">
        <v>41</v>
      </c>
      <c r="F1812" s="2">
        <v>2</v>
      </c>
      <c r="G1812" s="2" t="s">
        <v>9</v>
      </c>
      <c r="I1812" s="2" t="s">
        <v>4899</v>
      </c>
    </row>
    <row r="1813" spans="1:9" x14ac:dyDescent="0.2">
      <c r="A1813" s="2" t="s">
        <v>3446</v>
      </c>
      <c r="B1813" s="2" t="s">
        <v>1187</v>
      </c>
      <c r="C1813" s="2">
        <v>805.05269999999996</v>
      </c>
      <c r="D1813" s="2">
        <f>HYPERLINK("http://mcb-m6.bioreg.kyushu-u.ac.jp/M3/20110411/F50904/2351/1", 66.48)</f>
        <v>66.48</v>
      </c>
      <c r="E1813" s="2">
        <v>42.27</v>
      </c>
      <c r="F1813" s="2">
        <v>2</v>
      </c>
      <c r="G1813" s="2" t="s">
        <v>9</v>
      </c>
    </row>
    <row r="1814" spans="1:9" x14ac:dyDescent="0.2">
      <c r="A1814" s="2" t="s">
        <v>3446</v>
      </c>
      <c r="B1814" s="2" t="s">
        <v>1203</v>
      </c>
      <c r="C1814" s="2">
        <v>1187.9169999999999</v>
      </c>
      <c r="D1814" s="2">
        <f>HYPERLINK("http://mcb-m6.bioreg.kyushu-u.ac.jp/M3/20110411/F50904/1410/1", 67.26)</f>
        <v>67.260000000000005</v>
      </c>
      <c r="E1814" s="2">
        <v>42.02</v>
      </c>
      <c r="F1814" s="2">
        <v>1</v>
      </c>
      <c r="G1814" s="2" t="s">
        <v>9</v>
      </c>
    </row>
    <row r="1815" spans="1:9" x14ac:dyDescent="0.2">
      <c r="A1815" s="2" t="s">
        <v>3446</v>
      </c>
      <c r="B1815" s="2" t="s">
        <v>1244</v>
      </c>
      <c r="C1815" s="2">
        <v>881.96169999999995</v>
      </c>
      <c r="D1815" s="2">
        <f>HYPERLINK("http://mcb-m6.bioreg.kyushu-u.ac.jp/M3/20110411/F50904/2658/1", 68.72)</f>
        <v>68.72</v>
      </c>
      <c r="E1815" s="2">
        <v>45.6</v>
      </c>
      <c r="F1815" s="2">
        <v>2</v>
      </c>
      <c r="G1815" s="2" t="s">
        <v>9</v>
      </c>
      <c r="I1815" s="2" t="s">
        <v>4898</v>
      </c>
    </row>
    <row r="1816" spans="1:9" x14ac:dyDescent="0.2">
      <c r="A1816" s="2" t="s">
        <v>3446</v>
      </c>
      <c r="B1816" s="2" t="s">
        <v>1635</v>
      </c>
      <c r="C1816" s="2">
        <v>969.17859999999996</v>
      </c>
      <c r="D1816" s="2">
        <f>HYPERLINK("http://mcb-m6.bioreg.kyushu-u.ac.jp/M3/20110411/F50904/3039/1", 105.67)</f>
        <v>105.67</v>
      </c>
      <c r="E1816" s="2">
        <v>94.05</v>
      </c>
      <c r="F1816" s="2">
        <v>2</v>
      </c>
      <c r="G1816" s="2" t="s">
        <v>9</v>
      </c>
      <c r="I1816" s="2" t="s">
        <v>4898</v>
      </c>
    </row>
    <row r="1817" spans="1:9" x14ac:dyDescent="0.2">
      <c r="A1817" s="2" t="s">
        <v>3446</v>
      </c>
      <c r="B1817" s="2" t="s">
        <v>1001</v>
      </c>
      <c r="C1817" s="2">
        <v>1268.9269999999999</v>
      </c>
      <c r="D1817" s="2">
        <f>HYPERLINK("http://mcb-m6.bioreg.kyushu-u.ac.jp/M3/20110411/F50912/1576/1", 54.17)</f>
        <v>54.17</v>
      </c>
      <c r="E1817" s="2">
        <v>20.59</v>
      </c>
      <c r="F1817" s="2">
        <v>1</v>
      </c>
      <c r="G1817" s="2" t="s">
        <v>10</v>
      </c>
    </row>
    <row r="1818" spans="1:9" x14ac:dyDescent="0.2">
      <c r="A1818" s="2" t="s">
        <v>3446</v>
      </c>
      <c r="B1818" s="2" t="s">
        <v>1054</v>
      </c>
      <c r="C1818" s="2">
        <v>803.5616</v>
      </c>
      <c r="D1818" s="2">
        <f>HYPERLINK("http://mcb-m6.bioreg.kyushu-u.ac.jp/M3/20110411/F50912/2354/1", 73.47)</f>
        <v>73.47</v>
      </c>
      <c r="E1818" s="2">
        <v>47.62</v>
      </c>
      <c r="F1818" s="2">
        <v>2</v>
      </c>
      <c r="G1818" s="2" t="s">
        <v>10</v>
      </c>
      <c r="I1818" s="2" t="s">
        <v>4899</v>
      </c>
    </row>
    <row r="1819" spans="1:9" x14ac:dyDescent="0.2">
      <c r="A1819" s="2" t="s">
        <v>3446</v>
      </c>
      <c r="B1819" s="2" t="s">
        <v>1203</v>
      </c>
      <c r="C1819" s="2">
        <v>594.72559999999999</v>
      </c>
      <c r="D1819" s="2">
        <f>HYPERLINK("http://mcb-m6.bioreg.kyushu-u.ac.jp/M3/20110411/F50912/1412/1", 84.56)</f>
        <v>84.56</v>
      </c>
      <c r="E1819" s="2">
        <v>55.88</v>
      </c>
      <c r="F1819" s="2">
        <v>2</v>
      </c>
      <c r="G1819" s="2" t="s">
        <v>10</v>
      </c>
    </row>
    <row r="1820" spans="1:9" x14ac:dyDescent="0.2">
      <c r="A1820" s="2" t="s">
        <v>3446</v>
      </c>
      <c r="B1820" s="2" t="s">
        <v>256</v>
      </c>
      <c r="C1820" s="2">
        <v>530.60170000000005</v>
      </c>
      <c r="D1820" s="2">
        <f>HYPERLINK("http://mcb-m6.bioreg.kyushu-u.ac.jp/M3/20110411/F50912/1195/1", 90.37)</f>
        <v>90.37</v>
      </c>
      <c r="E1820" s="2">
        <v>53.55</v>
      </c>
      <c r="F1820" s="2">
        <v>2</v>
      </c>
      <c r="G1820" s="2" t="s">
        <v>10</v>
      </c>
    </row>
    <row r="1821" spans="1:9" x14ac:dyDescent="0.2">
      <c r="A1821" s="2" t="s">
        <v>3446</v>
      </c>
      <c r="B1821" s="2" t="s">
        <v>1635</v>
      </c>
      <c r="C1821" s="2">
        <v>969.30319999999995</v>
      </c>
      <c r="D1821" s="2">
        <f>HYPERLINK("http://mcb-m6.bioreg.kyushu-u.ac.jp/M3/20110411/F50912/3036/1", 95.69)</f>
        <v>95.69</v>
      </c>
      <c r="E1821" s="2">
        <v>83.7</v>
      </c>
      <c r="F1821" s="2">
        <v>2</v>
      </c>
      <c r="G1821" s="2" t="s">
        <v>10</v>
      </c>
      <c r="I1821" s="2" t="s">
        <v>4898</v>
      </c>
    </row>
    <row r="1822" spans="1:9" x14ac:dyDescent="0.2">
      <c r="A1822" s="2" t="s">
        <v>3446</v>
      </c>
      <c r="B1822" s="2" t="s">
        <v>1187</v>
      </c>
      <c r="C1822" s="2">
        <v>805.42409999999995</v>
      </c>
      <c r="D1822" s="2">
        <f>HYPERLINK("http://mcb-m6.bioreg.kyushu-u.ac.jp/M3/20110414/F50941/2464/1", 39.64)</f>
        <v>39.64</v>
      </c>
      <c r="E1822" s="2">
        <v>19.71</v>
      </c>
      <c r="F1822" s="2">
        <v>2</v>
      </c>
      <c r="G1822" s="2" t="s">
        <v>11</v>
      </c>
    </row>
    <row r="1823" spans="1:9" x14ac:dyDescent="0.2">
      <c r="A1823" s="2" t="s">
        <v>3446</v>
      </c>
      <c r="B1823" s="2" t="s">
        <v>1244</v>
      </c>
      <c r="C1823" s="2">
        <v>881.43470000000002</v>
      </c>
      <c r="D1823" s="2">
        <f>HYPERLINK("http://mcb-m6.bioreg.kyushu-u.ac.jp/M3/20110414/F50947/2796/1", 39.57)</f>
        <v>39.57</v>
      </c>
      <c r="E1823" s="2">
        <v>18.559999999999999</v>
      </c>
      <c r="F1823" s="2">
        <v>2</v>
      </c>
      <c r="G1823" s="2" t="s">
        <v>12</v>
      </c>
      <c r="I1823" s="2" t="s">
        <v>4898</v>
      </c>
    </row>
    <row r="1824" spans="1:9" x14ac:dyDescent="0.2">
      <c r="A1824" s="2" t="s">
        <v>3446</v>
      </c>
      <c r="B1824" s="2" t="s">
        <v>1054</v>
      </c>
      <c r="C1824" s="2">
        <v>803.8057</v>
      </c>
      <c r="D1824" s="2">
        <f>HYPERLINK("http://mcb-m6.bioreg.kyushu-u.ac.jp/M3/20110414/F50947/2409/1", 42.14)</f>
        <v>42.14</v>
      </c>
      <c r="E1824" s="2">
        <v>20.41</v>
      </c>
      <c r="F1824" s="2">
        <v>2</v>
      </c>
      <c r="G1824" s="2" t="s">
        <v>12</v>
      </c>
      <c r="I1824" s="2" t="s">
        <v>4899</v>
      </c>
    </row>
    <row r="1825" spans="1:9" x14ac:dyDescent="0.2">
      <c r="A1825" s="2" t="s">
        <v>3446</v>
      </c>
      <c r="B1825" s="2" t="s">
        <v>1635</v>
      </c>
      <c r="C1825" s="2">
        <v>977.56920000000002</v>
      </c>
      <c r="D1825" s="2">
        <f>HYPERLINK("http://mcb-m6.bioreg.kyushu-u.ac.jp/M3/20110414/F50947/3336/1", 44.17)</f>
        <v>44.17</v>
      </c>
      <c r="E1825" s="2">
        <v>19.98</v>
      </c>
      <c r="F1825" s="2">
        <v>2</v>
      </c>
      <c r="G1825" s="2" t="s">
        <v>12</v>
      </c>
      <c r="H1825" s="2" t="s">
        <v>4971</v>
      </c>
      <c r="I1825" s="2" t="s">
        <v>4898</v>
      </c>
    </row>
    <row r="1826" spans="1:9" x14ac:dyDescent="0.2">
      <c r="A1826" s="2" t="s">
        <v>3446</v>
      </c>
      <c r="B1826" s="2" t="s">
        <v>1001</v>
      </c>
      <c r="C1826" s="2">
        <v>1268.7280000000001</v>
      </c>
      <c r="D1826" s="2">
        <f>HYPERLINK("http://mcb-m6.bioreg.kyushu-u.ac.jp/M3/20110414/F50947/1335/1", 47.09)</f>
        <v>47.09</v>
      </c>
      <c r="E1826" s="2">
        <v>25.48</v>
      </c>
      <c r="F1826" s="2">
        <v>1</v>
      </c>
      <c r="G1826" s="2" t="s">
        <v>12</v>
      </c>
    </row>
    <row r="1827" spans="1:9" x14ac:dyDescent="0.2">
      <c r="A1827" s="2" t="s">
        <v>3446</v>
      </c>
      <c r="B1827" s="2" t="s">
        <v>1635</v>
      </c>
      <c r="C1827" s="2">
        <v>977.03719999999998</v>
      </c>
      <c r="D1827" s="2">
        <f>HYPERLINK("http://mcb-m6.bioreg.kyushu-u.ac.jp/M3/20110414/F50947/3329/1", 60.86)</f>
        <v>60.86</v>
      </c>
      <c r="E1827" s="2">
        <v>52.02</v>
      </c>
      <c r="F1827" s="2">
        <v>2</v>
      </c>
      <c r="G1827" s="2" t="s">
        <v>12</v>
      </c>
      <c r="H1827" s="2" t="s">
        <v>4971</v>
      </c>
      <c r="I1827" s="2" t="s">
        <v>4898</v>
      </c>
    </row>
    <row r="1828" spans="1:9" x14ac:dyDescent="0.2">
      <c r="A1828" s="2" t="s">
        <v>3446</v>
      </c>
      <c r="B1828" s="2" t="s">
        <v>1203</v>
      </c>
      <c r="C1828" s="2">
        <v>594.37660000000005</v>
      </c>
      <c r="D1828" s="2">
        <f>HYPERLINK("http://mcb-m6.bioreg.kyushu-u.ac.jp/M3/20110414/F50947/1158/1", 70.51)</f>
        <v>70.510000000000005</v>
      </c>
      <c r="E1828" s="2">
        <v>47.39</v>
      </c>
      <c r="F1828" s="2">
        <v>2</v>
      </c>
      <c r="G1828" s="2" t="s">
        <v>12</v>
      </c>
    </row>
    <row r="1829" spans="1:9" x14ac:dyDescent="0.2">
      <c r="A1829" s="2" t="s">
        <v>4638</v>
      </c>
      <c r="B1829" s="2" t="s">
        <v>2793</v>
      </c>
      <c r="C1829" s="2">
        <v>476.16609999999997</v>
      </c>
      <c r="D1829" s="2">
        <f>HYPERLINK("http://mcb-m6.bioreg.kyushu-u.ac.jp/M3/20110502/F51189/690/1", 35.59)</f>
        <v>35.590000000000003</v>
      </c>
      <c r="E1829" s="2">
        <v>9.56</v>
      </c>
      <c r="F1829" s="2">
        <v>2</v>
      </c>
      <c r="G1829" s="2" t="s">
        <v>13</v>
      </c>
      <c r="H1829" s="2" t="s">
        <v>4908</v>
      </c>
    </row>
    <row r="1830" spans="1:9" x14ac:dyDescent="0.2">
      <c r="A1830" s="2" t="s">
        <v>4371</v>
      </c>
      <c r="B1830" s="2" t="s">
        <v>2198</v>
      </c>
      <c r="C1830" s="2">
        <v>833.40800000000002</v>
      </c>
      <c r="D1830" s="2">
        <f>HYPERLINK("http://mcb-m6.bioreg.kyushu-u.ac.jp/M3/20110414/F50925/1166/1", 36.82)</f>
        <v>36.82</v>
      </c>
      <c r="E1830" s="2">
        <v>9.43</v>
      </c>
      <c r="F1830" s="2">
        <v>1</v>
      </c>
      <c r="G1830" s="2" t="s">
        <v>11</v>
      </c>
    </row>
    <row r="1831" spans="1:9" x14ac:dyDescent="0.2">
      <c r="A1831" s="2" t="s">
        <v>4288</v>
      </c>
      <c r="B1831" s="2" t="s">
        <v>1979</v>
      </c>
      <c r="C1831" s="2">
        <v>467.23110000000003</v>
      </c>
      <c r="D1831" s="2">
        <f>HYPERLINK("http://mcb-m6.bioreg.kyushu-u.ac.jp/M3/20110411/F50920/616/1", 56.17)</f>
        <v>56.17</v>
      </c>
      <c r="E1831" s="2">
        <v>20.34</v>
      </c>
      <c r="F1831" s="2">
        <v>2</v>
      </c>
      <c r="G1831" s="2" t="s">
        <v>10</v>
      </c>
    </row>
    <row r="1832" spans="1:9" x14ac:dyDescent="0.2">
      <c r="A1832" s="2" t="s">
        <v>4288</v>
      </c>
      <c r="B1832" s="2" t="s">
        <v>2446</v>
      </c>
      <c r="C1832" s="2">
        <v>1131.348</v>
      </c>
      <c r="D1832" s="2">
        <f>HYPERLINK("http://mcb-m6.bioreg.kyushu-u.ac.jp/M3/20110414/F50924/3418/1", 65.7)</f>
        <v>65.7</v>
      </c>
      <c r="E1832" s="2">
        <v>59.22</v>
      </c>
      <c r="F1832" s="2">
        <v>2</v>
      </c>
      <c r="G1832" s="2" t="s">
        <v>11</v>
      </c>
    </row>
    <row r="1833" spans="1:9" x14ac:dyDescent="0.2">
      <c r="A1833" s="2" t="s">
        <v>4288</v>
      </c>
      <c r="B1833" s="2" t="s">
        <v>2446</v>
      </c>
      <c r="C1833" s="2">
        <v>1131.922</v>
      </c>
      <c r="D1833" s="2">
        <f>HYPERLINK("http://mcb-m6.bioreg.kyushu-u.ac.jp/M3/20110414/F50924/3419/1", 87.88)</f>
        <v>87.88</v>
      </c>
      <c r="E1833" s="2">
        <v>80.349999999999994</v>
      </c>
      <c r="F1833" s="2">
        <v>2</v>
      </c>
      <c r="G1833" s="2" t="s">
        <v>11</v>
      </c>
    </row>
    <row r="1834" spans="1:9" x14ac:dyDescent="0.2">
      <c r="A1834" s="2" t="s">
        <v>4288</v>
      </c>
      <c r="B1834" s="2" t="s">
        <v>1979</v>
      </c>
      <c r="C1834" s="2">
        <v>467.10610000000003</v>
      </c>
      <c r="D1834" s="2">
        <f>HYPERLINK("http://mcb-m6.bioreg.kyushu-u.ac.jp/M3/20110414/F50930/1632/1", 45.02)</f>
        <v>45.02</v>
      </c>
      <c r="E1834" s="2">
        <v>11.86</v>
      </c>
      <c r="F1834" s="2">
        <v>2</v>
      </c>
      <c r="G1834" s="2" t="s">
        <v>12</v>
      </c>
    </row>
    <row r="1835" spans="1:9" x14ac:dyDescent="0.2">
      <c r="A1835" s="2" t="s">
        <v>3376</v>
      </c>
      <c r="B1835" s="2" t="s">
        <v>168</v>
      </c>
      <c r="C1835" s="2">
        <v>680.45920000000001</v>
      </c>
      <c r="D1835" s="2">
        <f>HYPERLINK("http://mcb-m6.bioreg.kyushu-u.ac.jp/M3/20110411/F50903/1741/1", 37.15)</f>
        <v>37.15</v>
      </c>
      <c r="E1835" s="2">
        <v>16.190000000000001</v>
      </c>
      <c r="F1835" s="2">
        <v>2</v>
      </c>
      <c r="G1835" s="2" t="s">
        <v>9</v>
      </c>
    </row>
    <row r="1836" spans="1:9" x14ac:dyDescent="0.2">
      <c r="A1836" s="2" t="s">
        <v>3376</v>
      </c>
      <c r="B1836" s="2" t="s">
        <v>168</v>
      </c>
      <c r="C1836" s="2">
        <v>680.22969999999998</v>
      </c>
      <c r="D1836" s="2">
        <f>HYPERLINK("http://mcb-m6.bioreg.kyushu-u.ac.jp/M3/20110414/F50930/2026/1", 39.42)</f>
        <v>39.42</v>
      </c>
      <c r="E1836" s="2">
        <v>21.11</v>
      </c>
      <c r="F1836" s="2">
        <v>2</v>
      </c>
      <c r="G1836" s="2" t="s">
        <v>12</v>
      </c>
    </row>
    <row r="1837" spans="1:9" x14ac:dyDescent="0.2">
      <c r="A1837" s="2" t="s">
        <v>3376</v>
      </c>
      <c r="B1837" s="2" t="s">
        <v>168</v>
      </c>
      <c r="C1837" s="2">
        <v>680.36519999999996</v>
      </c>
      <c r="D1837" s="2">
        <f>HYPERLINK("http://mcb-m6.bioreg.kyushu-u.ac.jp/M3/20110502/F51165/1873/1", 47.38)</f>
        <v>47.38</v>
      </c>
      <c r="E1837" s="2">
        <v>29.12</v>
      </c>
      <c r="F1837" s="2">
        <v>2</v>
      </c>
      <c r="G1837" s="2" t="s">
        <v>13</v>
      </c>
    </row>
    <row r="1838" spans="1:9" x14ac:dyDescent="0.2">
      <c r="A1838" s="2" t="s">
        <v>3694</v>
      </c>
      <c r="B1838" s="2" t="s">
        <v>667</v>
      </c>
      <c r="C1838" s="2">
        <v>670.91769999999997</v>
      </c>
      <c r="D1838" s="2">
        <f>HYPERLINK("http://mcb-m6.bioreg.kyushu-u.ac.jp/M3/20110411/F50892/1876/1", 47.76)</f>
        <v>47.76</v>
      </c>
      <c r="E1838" s="2">
        <v>36.24</v>
      </c>
      <c r="F1838" s="2">
        <v>2</v>
      </c>
      <c r="G1838" s="2" t="s">
        <v>9</v>
      </c>
    </row>
    <row r="1839" spans="1:9" x14ac:dyDescent="0.2">
      <c r="A1839" s="2" t="s">
        <v>3694</v>
      </c>
      <c r="B1839" s="2" t="s">
        <v>667</v>
      </c>
      <c r="C1839" s="2">
        <v>671.36519999999996</v>
      </c>
      <c r="D1839" s="2">
        <f>HYPERLINK("http://mcb-m6.bioreg.kyushu-u.ac.jp/M3/20110414/F50929/1997/1", 48.54)</f>
        <v>48.54</v>
      </c>
      <c r="E1839" s="2">
        <v>32.75</v>
      </c>
      <c r="F1839" s="2">
        <v>2</v>
      </c>
      <c r="G1839" s="2" t="s">
        <v>11</v>
      </c>
    </row>
    <row r="1840" spans="1:9" x14ac:dyDescent="0.2">
      <c r="A1840" s="2" t="s">
        <v>4463</v>
      </c>
      <c r="B1840" s="2" t="s">
        <v>2394</v>
      </c>
      <c r="C1840" s="2">
        <v>853.81569999999999</v>
      </c>
      <c r="D1840" s="2">
        <f>HYPERLINK("http://mcb-m6.bioreg.kyushu-u.ac.jp/M3/20110414/F50928/2801/1", 54.46)</f>
        <v>54.46</v>
      </c>
      <c r="E1840" s="2">
        <v>42.82</v>
      </c>
      <c r="F1840" s="2">
        <v>2</v>
      </c>
      <c r="G1840" s="2" t="s">
        <v>11</v>
      </c>
    </row>
    <row r="1841" spans="1:7" x14ac:dyDescent="0.2">
      <c r="A1841" s="2" t="s">
        <v>3415</v>
      </c>
      <c r="B1841" s="2" t="s">
        <v>214</v>
      </c>
      <c r="C1841" s="2">
        <v>484.32859999999999</v>
      </c>
      <c r="D1841" s="2">
        <f>HYPERLINK("http://mcb-m6.bioreg.kyushu-u.ac.jp/M3/20110411/F50889/1460/1", 37.89)</f>
        <v>37.89</v>
      </c>
      <c r="E1841" s="2">
        <v>11.22</v>
      </c>
      <c r="F1841" s="2">
        <v>2</v>
      </c>
      <c r="G1841" s="2" t="s">
        <v>9</v>
      </c>
    </row>
    <row r="1842" spans="1:7" x14ac:dyDescent="0.2">
      <c r="A1842" s="2" t="s">
        <v>3415</v>
      </c>
      <c r="B1842" s="2" t="s">
        <v>214</v>
      </c>
      <c r="C1842" s="2">
        <v>966.56200000000001</v>
      </c>
      <c r="D1842" s="2">
        <f>HYPERLINK("http://mcb-m6.bioreg.kyushu-u.ac.jp/M3/20110411/F50889/1457/1", 39.09)</f>
        <v>39.090000000000003</v>
      </c>
      <c r="E1842" s="2">
        <v>10.31</v>
      </c>
      <c r="F1842" s="2">
        <v>1</v>
      </c>
      <c r="G1842" s="2" t="s">
        <v>9</v>
      </c>
    </row>
    <row r="1843" spans="1:7" x14ac:dyDescent="0.2">
      <c r="A1843" s="2" t="s">
        <v>3826</v>
      </c>
      <c r="B1843" s="2" t="s">
        <v>898</v>
      </c>
      <c r="C1843" s="2">
        <v>833.85059999999999</v>
      </c>
      <c r="D1843" s="2">
        <f>HYPERLINK("http://mcb-m6.bioreg.kyushu-u.ac.jp/M3/20110411/F50890/2688/1", 54.94)</f>
        <v>54.94</v>
      </c>
      <c r="E1843" s="2">
        <v>27.04</v>
      </c>
      <c r="F1843" s="2">
        <v>2</v>
      </c>
      <c r="G1843" s="2" t="s">
        <v>9</v>
      </c>
    </row>
    <row r="1844" spans="1:7" x14ac:dyDescent="0.2">
      <c r="A1844" s="2" t="s">
        <v>3935</v>
      </c>
      <c r="B1844" s="2" t="s">
        <v>1126</v>
      </c>
      <c r="C1844" s="2">
        <v>551.78120000000001</v>
      </c>
      <c r="D1844" s="2">
        <f>HYPERLINK("http://mcb-m6.bioreg.kyushu-u.ac.jp/M3/20110411/F50889/1708/1", 64.36)</f>
        <v>64.36</v>
      </c>
      <c r="E1844" s="2">
        <v>24.21</v>
      </c>
      <c r="F1844" s="2">
        <v>2</v>
      </c>
      <c r="G1844" s="2" t="s">
        <v>9</v>
      </c>
    </row>
    <row r="1845" spans="1:7" x14ac:dyDescent="0.2">
      <c r="A1845" s="2" t="s">
        <v>3815</v>
      </c>
      <c r="B1845" s="2" t="s">
        <v>875</v>
      </c>
      <c r="C1845" s="2">
        <v>541.39509999999996</v>
      </c>
      <c r="D1845" s="2">
        <f>HYPERLINK("http://mcb-m6.bioreg.kyushu-u.ac.jp/M3/20110411/F50916/955/1", 54.13)</f>
        <v>54.13</v>
      </c>
      <c r="E1845" s="2">
        <v>31.74</v>
      </c>
      <c r="F1845" s="2">
        <v>2</v>
      </c>
      <c r="G1845" s="2" t="s">
        <v>9</v>
      </c>
    </row>
    <row r="1846" spans="1:7" x14ac:dyDescent="0.2">
      <c r="A1846" s="2" t="s">
        <v>3815</v>
      </c>
      <c r="B1846" s="2" t="s">
        <v>1916</v>
      </c>
      <c r="C1846" s="2">
        <v>674.00819999999999</v>
      </c>
      <c r="D1846" s="2">
        <f>HYPERLINK("http://mcb-m6.bioreg.kyushu-u.ac.jp/M3/20110411/F50918/1485/1", 49.36)</f>
        <v>49.36</v>
      </c>
      <c r="E1846" s="2">
        <v>25.1</v>
      </c>
      <c r="F1846" s="2">
        <v>2</v>
      </c>
      <c r="G1846" s="2" t="s">
        <v>10</v>
      </c>
    </row>
    <row r="1847" spans="1:7" x14ac:dyDescent="0.2">
      <c r="A1847" s="2" t="s">
        <v>3815</v>
      </c>
      <c r="B1847" s="2" t="s">
        <v>875</v>
      </c>
      <c r="C1847" s="2">
        <v>541.06820000000005</v>
      </c>
      <c r="D1847" s="2">
        <f>HYPERLINK("http://mcb-m6.bioreg.kyushu-u.ac.jp/M3/20110502/F51173/775/1", 71.71)</f>
        <v>71.709999999999994</v>
      </c>
      <c r="E1847" s="2">
        <v>37.659999999999997</v>
      </c>
      <c r="F1847" s="2">
        <v>2</v>
      </c>
      <c r="G1847" s="2" t="s">
        <v>13</v>
      </c>
    </row>
    <row r="1848" spans="1:7" x14ac:dyDescent="0.2">
      <c r="A1848" s="2" t="s">
        <v>3329</v>
      </c>
      <c r="B1848" s="2" t="s">
        <v>116</v>
      </c>
      <c r="C1848" s="2">
        <v>620.09469999999999</v>
      </c>
      <c r="D1848" s="2">
        <f>HYPERLINK("http://mcb-m6.bioreg.kyushu-u.ac.jp/M3/20110411/F50916/1269/1", 36.29)</f>
        <v>36.29</v>
      </c>
      <c r="E1848" s="2">
        <v>19.260000000000002</v>
      </c>
      <c r="F1848" s="2">
        <v>2</v>
      </c>
      <c r="G1848" s="2" t="s">
        <v>9</v>
      </c>
    </row>
    <row r="1849" spans="1:7" x14ac:dyDescent="0.2">
      <c r="A1849" s="2" t="s">
        <v>3329</v>
      </c>
      <c r="B1849" s="2" t="s">
        <v>1113</v>
      </c>
      <c r="C1849" s="2">
        <v>524.88819999999998</v>
      </c>
      <c r="D1849" s="2">
        <f>HYPERLINK("http://mcb-m6.bioreg.kyushu-u.ac.jp/M3/20110411/F50916/896/1", 63.73)</f>
        <v>63.73</v>
      </c>
      <c r="E1849" s="2">
        <v>34.07</v>
      </c>
      <c r="F1849" s="2">
        <v>2</v>
      </c>
      <c r="G1849" s="2" t="s">
        <v>9</v>
      </c>
    </row>
    <row r="1850" spans="1:7" x14ac:dyDescent="0.2">
      <c r="A1850" s="2" t="s">
        <v>3329</v>
      </c>
      <c r="B1850" s="2" t="s">
        <v>1650</v>
      </c>
      <c r="C1850" s="2">
        <v>754.42520000000002</v>
      </c>
      <c r="D1850" s="2">
        <f>HYPERLINK("http://mcb-m6.bioreg.kyushu-u.ac.jp/M3/20110411/F50916/1977/1", 109.86)</f>
        <v>109.86</v>
      </c>
      <c r="E1850" s="2">
        <v>81.67</v>
      </c>
      <c r="F1850" s="2">
        <v>2</v>
      </c>
      <c r="G1850" s="2" t="s">
        <v>9</v>
      </c>
    </row>
    <row r="1851" spans="1:7" x14ac:dyDescent="0.2">
      <c r="A1851" s="2" t="s">
        <v>3329</v>
      </c>
      <c r="B1851" s="2" t="s">
        <v>1650</v>
      </c>
      <c r="C1851" s="2">
        <v>754.47919999999999</v>
      </c>
      <c r="D1851" s="2">
        <f>HYPERLINK("http://mcb-m6.bioreg.kyushu-u.ac.jp/M3/20110411/F50918/1956/1", 98.92)</f>
        <v>98.92</v>
      </c>
      <c r="E1851" s="2">
        <v>70.64</v>
      </c>
      <c r="F1851" s="2">
        <v>2</v>
      </c>
      <c r="G1851" s="2" t="s">
        <v>10</v>
      </c>
    </row>
    <row r="1852" spans="1:7" x14ac:dyDescent="0.2">
      <c r="A1852" s="2" t="s">
        <v>3329</v>
      </c>
      <c r="B1852" s="2" t="s">
        <v>2351</v>
      </c>
      <c r="C1852" s="2">
        <v>560.69820000000004</v>
      </c>
      <c r="D1852" s="2">
        <f>HYPERLINK("http://mcb-m6.bioreg.kyushu-u.ac.jp/M3/20110414/F50957/824/1", 49.38)</f>
        <v>49.38</v>
      </c>
      <c r="E1852" s="2">
        <v>16.510000000000002</v>
      </c>
      <c r="F1852" s="2">
        <v>2</v>
      </c>
      <c r="G1852" s="2" t="s">
        <v>11</v>
      </c>
    </row>
    <row r="1853" spans="1:7" x14ac:dyDescent="0.2">
      <c r="A1853" s="2" t="s">
        <v>3329</v>
      </c>
      <c r="B1853" s="2" t="s">
        <v>1650</v>
      </c>
      <c r="C1853" s="2">
        <v>754.43020000000001</v>
      </c>
      <c r="D1853" s="2">
        <f>HYPERLINK("http://mcb-m6.bioreg.kyushu-u.ac.jp/M3/20110414/F50957/1989/1", 101.27)</f>
        <v>101.27</v>
      </c>
      <c r="E1853" s="2">
        <v>72.930000000000007</v>
      </c>
      <c r="F1853" s="2">
        <v>2</v>
      </c>
      <c r="G1853" s="2" t="s">
        <v>11</v>
      </c>
    </row>
    <row r="1854" spans="1:7" x14ac:dyDescent="0.2">
      <c r="A1854" s="2" t="s">
        <v>3329</v>
      </c>
      <c r="B1854" s="2" t="s">
        <v>1650</v>
      </c>
      <c r="C1854" s="2">
        <v>754.60519999999997</v>
      </c>
      <c r="D1854" s="2">
        <f>HYPERLINK("http://mcb-m6.bioreg.kyushu-u.ac.jp/M3/20110502/F51173/1884/1", 101.36)</f>
        <v>101.36</v>
      </c>
      <c r="E1854" s="2">
        <v>73.319999999999993</v>
      </c>
      <c r="F1854" s="2">
        <v>2</v>
      </c>
      <c r="G1854" s="2" t="s">
        <v>13</v>
      </c>
    </row>
    <row r="1855" spans="1:7" x14ac:dyDescent="0.2">
      <c r="A1855" s="2" t="s">
        <v>3946</v>
      </c>
      <c r="B1855" s="2" t="s">
        <v>1147</v>
      </c>
      <c r="C1855" s="2">
        <v>1040.53</v>
      </c>
      <c r="D1855" s="2">
        <f>HYPERLINK("http://mcb-m6.bioreg.kyushu-u.ac.jp/M3/20110411/F50916/3288/1", 65.01)</f>
        <v>65.010000000000005</v>
      </c>
      <c r="E1855" s="2">
        <v>47.04</v>
      </c>
      <c r="F1855" s="2">
        <v>2</v>
      </c>
      <c r="G1855" s="2" t="s">
        <v>9</v>
      </c>
    </row>
    <row r="1856" spans="1:7" x14ac:dyDescent="0.2">
      <c r="A1856" s="2" t="s">
        <v>3946</v>
      </c>
      <c r="B1856" s="2" t="s">
        <v>1147</v>
      </c>
      <c r="C1856" s="2">
        <v>1039.998</v>
      </c>
      <c r="D1856" s="2">
        <f>HYPERLINK("http://mcb-m6.bioreg.kyushu-u.ac.jp/M3/20110411/F50916/3285/1", 71.27)</f>
        <v>71.27</v>
      </c>
      <c r="E1856" s="2">
        <v>57.01</v>
      </c>
      <c r="F1856" s="2">
        <v>2</v>
      </c>
      <c r="G1856" s="2" t="s">
        <v>9</v>
      </c>
    </row>
    <row r="1857" spans="1:7" x14ac:dyDescent="0.2">
      <c r="A1857" s="2" t="s">
        <v>3946</v>
      </c>
      <c r="B1857" s="2" t="s">
        <v>1147</v>
      </c>
      <c r="C1857" s="2">
        <v>1039.9839999999999</v>
      </c>
      <c r="D1857" s="2">
        <f>HYPERLINK("http://mcb-m6.bioreg.kyushu-u.ac.jp/M3/20110411/F50918/3201/1", 57.54)</f>
        <v>57.54</v>
      </c>
      <c r="E1857" s="2">
        <v>42.79</v>
      </c>
      <c r="F1857" s="2">
        <v>2</v>
      </c>
      <c r="G1857" s="2" t="s">
        <v>10</v>
      </c>
    </row>
    <row r="1858" spans="1:7" x14ac:dyDescent="0.2">
      <c r="A1858" s="2" t="s">
        <v>3946</v>
      </c>
      <c r="B1858" s="2" t="s">
        <v>1147</v>
      </c>
      <c r="C1858" s="2">
        <v>1040.319</v>
      </c>
      <c r="D1858" s="2">
        <f>HYPERLINK("http://mcb-m6.bioreg.kyushu-u.ac.jp/M3/20110414/F50957/3694/1", 54.86)</f>
        <v>54.86</v>
      </c>
      <c r="E1858" s="2">
        <v>38.9</v>
      </c>
      <c r="F1858" s="2">
        <v>2</v>
      </c>
      <c r="G1858" s="2" t="s">
        <v>11</v>
      </c>
    </row>
    <row r="1859" spans="1:7" x14ac:dyDescent="0.2">
      <c r="A1859" s="2" t="s">
        <v>3946</v>
      </c>
      <c r="B1859" s="2" t="s">
        <v>1147</v>
      </c>
      <c r="C1859" s="2">
        <v>1040.3720000000001</v>
      </c>
      <c r="D1859" s="2">
        <f>HYPERLINK("http://mcb-m6.bioreg.kyushu-u.ac.jp/M3/20110414/F50956/3748/1", 78.07)</f>
        <v>78.069999999999993</v>
      </c>
      <c r="E1859" s="2">
        <v>63.15</v>
      </c>
      <c r="F1859" s="2">
        <v>2</v>
      </c>
      <c r="G1859" s="2" t="s">
        <v>11</v>
      </c>
    </row>
    <row r="1860" spans="1:7" x14ac:dyDescent="0.2">
      <c r="A1860" s="2" t="s">
        <v>3946</v>
      </c>
      <c r="B1860" s="2" t="s">
        <v>1147</v>
      </c>
      <c r="C1860" s="2">
        <v>1039.865</v>
      </c>
      <c r="D1860" s="2">
        <f>HYPERLINK("http://mcb-m6.bioreg.kyushu-u.ac.jp/M3/20110414/F50958/3785/1", 42.98)</f>
        <v>42.98</v>
      </c>
      <c r="E1860" s="2">
        <v>30.63</v>
      </c>
      <c r="F1860" s="2">
        <v>2</v>
      </c>
      <c r="G1860" s="2" t="s">
        <v>12</v>
      </c>
    </row>
    <row r="1861" spans="1:7" x14ac:dyDescent="0.2">
      <c r="A1861" s="2" t="s">
        <v>3946</v>
      </c>
      <c r="B1861" s="2" t="s">
        <v>1147</v>
      </c>
      <c r="C1861" s="2">
        <v>1040.3510000000001</v>
      </c>
      <c r="D1861" s="2">
        <f>HYPERLINK("http://mcb-m6.bioreg.kyushu-u.ac.jp/M3/20110414/F50959/3780/1", 48.74)</f>
        <v>48.74</v>
      </c>
      <c r="E1861" s="2">
        <v>38.24</v>
      </c>
      <c r="F1861" s="2">
        <v>2</v>
      </c>
      <c r="G1861" s="2" t="s">
        <v>12</v>
      </c>
    </row>
    <row r="1862" spans="1:7" x14ac:dyDescent="0.2">
      <c r="A1862" s="2" t="s">
        <v>3946</v>
      </c>
      <c r="B1862" s="2" t="s">
        <v>1147</v>
      </c>
      <c r="C1862" s="2">
        <v>1040.105</v>
      </c>
      <c r="D1862" s="2">
        <f>HYPERLINK("http://mcb-m6.bioreg.kyushu-u.ac.jp/M3/20110502/F51173/3340/1", 66.56)</f>
        <v>66.56</v>
      </c>
      <c r="E1862" s="2">
        <v>51.87</v>
      </c>
      <c r="F1862" s="2">
        <v>2</v>
      </c>
      <c r="G1862" s="2" t="s">
        <v>13</v>
      </c>
    </row>
    <row r="1863" spans="1:7" x14ac:dyDescent="0.2">
      <c r="A1863" s="2" t="s">
        <v>3946</v>
      </c>
      <c r="B1863" s="2" t="s">
        <v>1147</v>
      </c>
      <c r="C1863" s="2">
        <v>1040.1849999999999</v>
      </c>
      <c r="D1863" s="2">
        <f>HYPERLINK("http://mcb-m6.bioreg.kyushu-u.ac.jp/M3/20110502/F51172/3694/1", 66.91)</f>
        <v>66.91</v>
      </c>
      <c r="E1863" s="2">
        <v>48.56</v>
      </c>
      <c r="F1863" s="2">
        <v>2</v>
      </c>
      <c r="G1863" s="2" t="s">
        <v>13</v>
      </c>
    </row>
    <row r="1864" spans="1:7" x14ac:dyDescent="0.2">
      <c r="A1864" s="2" t="s">
        <v>3946</v>
      </c>
      <c r="B1864" s="2" t="s">
        <v>1147</v>
      </c>
      <c r="C1864" s="2">
        <v>1040.174</v>
      </c>
      <c r="D1864" s="2">
        <f>HYPERLINK("http://mcb-m6.bioreg.kyushu-u.ac.jp/M3/20110502/F51194/3191/1", 55.43)</f>
        <v>55.43</v>
      </c>
      <c r="E1864" s="2">
        <v>37.590000000000003</v>
      </c>
      <c r="F1864" s="2">
        <v>2</v>
      </c>
      <c r="G1864" s="2" t="s">
        <v>14</v>
      </c>
    </row>
    <row r="1865" spans="1:7" x14ac:dyDescent="0.2">
      <c r="A1865" s="2" t="s">
        <v>3969</v>
      </c>
      <c r="B1865" s="2" t="s">
        <v>1202</v>
      </c>
      <c r="C1865" s="2">
        <v>715.47559999999999</v>
      </c>
      <c r="D1865" s="2">
        <f>HYPERLINK("http://mcb-m6.bioreg.kyushu-u.ac.jp/M3/20110411/F50903/1930/1", 67.24)</f>
        <v>67.239999999999995</v>
      </c>
      <c r="E1865" s="2">
        <v>46.62</v>
      </c>
      <c r="F1865" s="2">
        <v>2</v>
      </c>
      <c r="G1865" s="2" t="s">
        <v>9</v>
      </c>
    </row>
    <row r="1866" spans="1:7" x14ac:dyDescent="0.2">
      <c r="A1866" s="2" t="s">
        <v>3969</v>
      </c>
      <c r="B1866" s="2" t="s">
        <v>1202</v>
      </c>
      <c r="C1866" s="2">
        <v>715.21770000000004</v>
      </c>
      <c r="D1866" s="2">
        <f>HYPERLINK("http://mcb-m6.bioreg.kyushu-u.ac.jp/M3/20110414/F50924/2002/1", 76.3)</f>
        <v>76.3</v>
      </c>
      <c r="E1866" s="2">
        <v>62.23</v>
      </c>
      <c r="F1866" s="2">
        <v>2</v>
      </c>
      <c r="G1866" s="2" t="s">
        <v>11</v>
      </c>
    </row>
    <row r="1867" spans="1:7" x14ac:dyDescent="0.2">
      <c r="A1867" s="2" t="s">
        <v>3969</v>
      </c>
      <c r="B1867" s="2" t="s">
        <v>1202</v>
      </c>
      <c r="C1867" s="2">
        <v>715.7441</v>
      </c>
      <c r="D1867" s="2">
        <f>HYPERLINK("http://mcb-m6.bioreg.kyushu-u.ac.jp/M3/20110414/F50924/2004/1", 85.42)</f>
        <v>85.42</v>
      </c>
      <c r="E1867" s="2">
        <v>67.91</v>
      </c>
      <c r="F1867" s="2">
        <v>2</v>
      </c>
      <c r="G1867" s="2" t="s">
        <v>11</v>
      </c>
    </row>
    <row r="1868" spans="1:7" x14ac:dyDescent="0.2">
      <c r="A1868" s="2" t="s">
        <v>3969</v>
      </c>
      <c r="B1868" s="2" t="s">
        <v>1202</v>
      </c>
      <c r="C1868" s="2">
        <v>715.21259999999995</v>
      </c>
      <c r="D1868" s="2">
        <f>HYPERLINK("http://mcb-m6.bioreg.kyushu-u.ac.jp/M3/20110414/F50930/2111/1", 65.83)</f>
        <v>65.83</v>
      </c>
      <c r="E1868" s="2">
        <v>54.29</v>
      </c>
      <c r="F1868" s="2">
        <v>2</v>
      </c>
      <c r="G1868" s="2" t="s">
        <v>12</v>
      </c>
    </row>
    <row r="1869" spans="1:7" x14ac:dyDescent="0.2">
      <c r="A1869" s="2" t="s">
        <v>3969</v>
      </c>
      <c r="B1869" s="2" t="s">
        <v>1202</v>
      </c>
      <c r="C1869" s="2">
        <v>715.59010000000001</v>
      </c>
      <c r="D1869" s="2">
        <f>HYPERLINK("http://mcb-m6.bioreg.kyushu-u.ac.jp/M3/20110502/F51165/2019/1", 67.73)</f>
        <v>67.73</v>
      </c>
      <c r="E1869" s="2">
        <v>42.79</v>
      </c>
      <c r="F1869" s="2">
        <v>2</v>
      </c>
      <c r="G1869" s="2" t="s">
        <v>13</v>
      </c>
    </row>
    <row r="1870" spans="1:7" x14ac:dyDescent="0.2">
      <c r="A1870" s="2" t="s">
        <v>4493</v>
      </c>
      <c r="B1870" s="2" t="s">
        <v>2470</v>
      </c>
      <c r="C1870" s="2">
        <v>528.0077</v>
      </c>
      <c r="D1870" s="2">
        <f>HYPERLINK("http://mcb-m6.bioreg.kyushu-u.ac.jp/M3/20110414/F50924/1184/1", 73.94)</f>
        <v>73.94</v>
      </c>
      <c r="E1870" s="2">
        <v>42.25</v>
      </c>
      <c r="F1870" s="2">
        <v>2</v>
      </c>
      <c r="G1870" s="2" t="s">
        <v>11</v>
      </c>
    </row>
    <row r="1871" spans="1:7" x14ac:dyDescent="0.2">
      <c r="A1871" s="2" t="s">
        <v>4493</v>
      </c>
      <c r="B1871" s="2" t="s">
        <v>2470</v>
      </c>
      <c r="C1871" s="2">
        <v>527.90719999999999</v>
      </c>
      <c r="D1871" s="2">
        <f>HYPERLINK("http://mcb-m6.bioreg.kyushu-u.ac.jp/M3/20110414/F50930/1823/1", 75.72)</f>
        <v>75.72</v>
      </c>
      <c r="E1871" s="2">
        <v>48.88</v>
      </c>
      <c r="F1871" s="2">
        <v>2</v>
      </c>
      <c r="G1871" s="2" t="s">
        <v>12</v>
      </c>
    </row>
    <row r="1872" spans="1:7" x14ac:dyDescent="0.2">
      <c r="A1872" s="2" t="s">
        <v>4507</v>
      </c>
      <c r="B1872" s="2" t="s">
        <v>2511</v>
      </c>
      <c r="C1872" s="2">
        <v>785.89369999999997</v>
      </c>
      <c r="D1872" s="2">
        <f>HYPERLINK("http://mcb-m6.bioreg.kyushu-u.ac.jp/M3/20110414/F50924/2350/1", 99.5)</f>
        <v>99.5</v>
      </c>
      <c r="E1872" s="2">
        <v>76.97</v>
      </c>
      <c r="F1872" s="2">
        <v>2</v>
      </c>
      <c r="G1872" s="2" t="s">
        <v>11</v>
      </c>
    </row>
    <row r="1873" spans="1:9" x14ac:dyDescent="0.2">
      <c r="A1873" s="2" t="s">
        <v>4400</v>
      </c>
      <c r="B1873" s="2" t="s">
        <v>2250</v>
      </c>
      <c r="C1873" s="2">
        <v>867.82759999999996</v>
      </c>
      <c r="D1873" s="2">
        <f>HYPERLINK("http://mcb-m6.bioreg.kyushu-u.ac.jp/M3/20110414/F50924/2671/1", 39.67)</f>
        <v>39.67</v>
      </c>
      <c r="E1873" s="2">
        <v>23.55</v>
      </c>
      <c r="F1873" s="2">
        <v>2</v>
      </c>
      <c r="G1873" s="2" t="s">
        <v>11</v>
      </c>
    </row>
    <row r="1874" spans="1:9" x14ac:dyDescent="0.2">
      <c r="A1874" s="2" t="s">
        <v>4400</v>
      </c>
      <c r="B1874" s="2" t="s">
        <v>2250</v>
      </c>
      <c r="C1874" s="2">
        <v>867.30219999999997</v>
      </c>
      <c r="D1874" s="2">
        <f>HYPERLINK("http://mcb-m6.bioreg.kyushu-u.ac.jp/M3/20110414/F50924/2668/1", 40.93)</f>
        <v>40.93</v>
      </c>
      <c r="E1874" s="2">
        <v>28.03</v>
      </c>
      <c r="F1874" s="2">
        <v>2</v>
      </c>
      <c r="G1874" s="2" t="s">
        <v>11</v>
      </c>
    </row>
    <row r="1875" spans="1:9" x14ac:dyDescent="0.2">
      <c r="A1875" s="2" t="s">
        <v>4397</v>
      </c>
      <c r="B1875" s="2" t="s">
        <v>2246</v>
      </c>
      <c r="C1875" s="2">
        <v>554.76070000000004</v>
      </c>
      <c r="D1875" s="2">
        <f>HYPERLINK("http://mcb-m6.bioreg.kyushu-u.ac.jp/M3/20110414/F50928/1448/1", 39.31)</f>
        <v>39.31</v>
      </c>
      <c r="E1875" s="2">
        <v>17.29</v>
      </c>
      <c r="F1875" s="2">
        <v>2</v>
      </c>
      <c r="G1875" s="2" t="s">
        <v>11</v>
      </c>
    </row>
    <row r="1876" spans="1:9" x14ac:dyDescent="0.2">
      <c r="A1876" s="2" t="s">
        <v>3938</v>
      </c>
      <c r="B1876" s="2" t="s">
        <v>1134</v>
      </c>
      <c r="C1876" s="2">
        <v>920.4067</v>
      </c>
      <c r="D1876" s="2">
        <f>HYPERLINK("http://mcb-m6.bioreg.kyushu-u.ac.jp/M3/20110411/F50891/3106/1", 64.49)</f>
        <v>64.489999999999995</v>
      </c>
      <c r="E1876" s="2">
        <v>51.98</v>
      </c>
      <c r="F1876" s="2">
        <v>2</v>
      </c>
      <c r="G1876" s="2" t="s">
        <v>9</v>
      </c>
      <c r="I1876" s="2" t="s">
        <v>4906</v>
      </c>
    </row>
    <row r="1877" spans="1:9" x14ac:dyDescent="0.2">
      <c r="A1877" s="2" t="s">
        <v>3928</v>
      </c>
      <c r="B1877" s="2" t="s">
        <v>1108</v>
      </c>
      <c r="C1877" s="2">
        <v>810.03560000000004</v>
      </c>
      <c r="D1877" s="2">
        <f>HYPERLINK("http://mcb-m6.bioreg.kyushu-u.ac.jp/M3/20110411/F50905/2415/1", 63.47)</f>
        <v>63.47</v>
      </c>
      <c r="E1877" s="2">
        <v>47.27</v>
      </c>
      <c r="F1877" s="2">
        <v>2</v>
      </c>
      <c r="G1877" s="2" t="s">
        <v>9</v>
      </c>
    </row>
    <row r="1878" spans="1:9" x14ac:dyDescent="0.2">
      <c r="A1878" s="2" t="s">
        <v>3928</v>
      </c>
      <c r="B1878" s="2" t="s">
        <v>2623</v>
      </c>
      <c r="C1878" s="2">
        <v>539.75570000000005</v>
      </c>
      <c r="D1878" s="2">
        <f>HYPERLINK("http://mcb-m6.bioreg.kyushu-u.ac.jp/M3/20110414/F50947/949/1", 43.64)</f>
        <v>43.64</v>
      </c>
      <c r="E1878" s="2">
        <v>20.99</v>
      </c>
      <c r="F1878" s="2">
        <v>2</v>
      </c>
      <c r="G1878" s="2" t="s">
        <v>12</v>
      </c>
    </row>
    <row r="1879" spans="1:9" x14ac:dyDescent="0.2">
      <c r="A1879" s="2" t="s">
        <v>3928</v>
      </c>
      <c r="B1879" s="2" t="s">
        <v>1108</v>
      </c>
      <c r="C1879" s="2">
        <v>810.40369999999996</v>
      </c>
      <c r="D1879" s="2">
        <f>HYPERLINK("http://mcb-m6.bioreg.kyushu-u.ac.jp/M3/20110414/F50947/2426/1", 91.35)</f>
        <v>91.35</v>
      </c>
      <c r="E1879" s="2">
        <v>69.760000000000005</v>
      </c>
      <c r="F1879" s="2">
        <v>2</v>
      </c>
      <c r="G1879" s="2" t="s">
        <v>12</v>
      </c>
    </row>
    <row r="1880" spans="1:9" x14ac:dyDescent="0.2">
      <c r="A1880" s="2" t="s">
        <v>3928</v>
      </c>
      <c r="B1880" s="2" t="s">
        <v>2623</v>
      </c>
      <c r="C1880" s="2">
        <v>539.52719999999999</v>
      </c>
      <c r="D1880" s="2">
        <f>HYPERLINK("http://mcb-m6.bioreg.kyushu-u.ac.jp/M3/20110502/F51170/1158/1", 37.17)</f>
        <v>37.17</v>
      </c>
      <c r="E1880" s="2">
        <v>14.68</v>
      </c>
      <c r="F1880" s="2">
        <v>2</v>
      </c>
      <c r="G1880" s="2" t="s">
        <v>13</v>
      </c>
    </row>
    <row r="1881" spans="1:9" x14ac:dyDescent="0.2">
      <c r="A1881" s="2" t="s">
        <v>3739</v>
      </c>
      <c r="B1881" s="2" t="s">
        <v>741</v>
      </c>
      <c r="C1881" s="2">
        <v>735.9692</v>
      </c>
      <c r="D1881" s="2">
        <f>HYPERLINK("http://mcb-m6.bioreg.kyushu-u.ac.jp/M3/20110411/F50891/2055/1", 49.86)</f>
        <v>49.86</v>
      </c>
      <c r="E1881" s="2">
        <v>7.17</v>
      </c>
      <c r="F1881" s="2">
        <v>2</v>
      </c>
      <c r="G1881" s="2" t="s">
        <v>9</v>
      </c>
      <c r="I1881" s="2" t="s">
        <v>4899</v>
      </c>
    </row>
    <row r="1882" spans="1:9" x14ac:dyDescent="0.2">
      <c r="A1882" s="4" t="s">
        <v>4249</v>
      </c>
      <c r="B1882" s="2" t="s">
        <v>1878</v>
      </c>
      <c r="C1882" s="2">
        <v>807.48199999999997</v>
      </c>
      <c r="D1882" s="2">
        <f>HYPERLINK("http://mcb-m6.bioreg.kyushu-u.ac.jp/M3/20110411/F50920/481/1", 46.31)</f>
        <v>46.31</v>
      </c>
      <c r="E1882" s="2">
        <v>22.24</v>
      </c>
      <c r="F1882" s="2">
        <v>1</v>
      </c>
      <c r="G1882" s="2" t="s">
        <v>10</v>
      </c>
    </row>
    <row r="1883" spans="1:9" x14ac:dyDescent="0.2">
      <c r="A1883" s="4" t="s">
        <v>4249</v>
      </c>
      <c r="B1883" s="2" t="s">
        <v>1878</v>
      </c>
      <c r="C1883" s="2">
        <v>807.45</v>
      </c>
      <c r="D1883" s="2">
        <f>HYPERLINK("http://mcb-m6.bioreg.kyushu-u.ac.jp/M3/20110414/F50933/1159/1", 46.17)</f>
        <v>46.17</v>
      </c>
      <c r="E1883" s="2">
        <v>25.08</v>
      </c>
      <c r="F1883" s="2">
        <v>1</v>
      </c>
      <c r="G1883" s="2" t="s">
        <v>12</v>
      </c>
    </row>
    <row r="1884" spans="1:9" x14ac:dyDescent="0.2">
      <c r="A1884" s="4" t="s">
        <v>4249</v>
      </c>
      <c r="B1884" s="2" t="s">
        <v>1878</v>
      </c>
      <c r="C1884" s="2">
        <v>807.73900000000003</v>
      </c>
      <c r="D1884" s="2">
        <f>HYPERLINK("http://mcb-m6.bioreg.kyushu-u.ac.jp/M3/20110502/F51177/410/1", 50)</f>
        <v>50</v>
      </c>
      <c r="E1884" s="2">
        <v>28.7</v>
      </c>
      <c r="F1884" s="2">
        <v>1</v>
      </c>
      <c r="G1884" s="2" t="s">
        <v>14</v>
      </c>
    </row>
    <row r="1885" spans="1:9" x14ac:dyDescent="0.2">
      <c r="A1885" s="2" t="s">
        <v>3781</v>
      </c>
      <c r="B1885" s="2" t="s">
        <v>817</v>
      </c>
      <c r="C1885" s="2">
        <v>561.75959999999998</v>
      </c>
      <c r="D1885" s="2">
        <f>HYPERLINK("http://mcb-m6.bioreg.kyushu-u.ac.jp/M3/20110411/F50891/1210/1", 52.27)</f>
        <v>52.27</v>
      </c>
      <c r="E1885" s="2">
        <v>36.57</v>
      </c>
      <c r="F1885" s="2">
        <v>2</v>
      </c>
      <c r="G1885" s="2" t="s">
        <v>9</v>
      </c>
    </row>
    <row r="1886" spans="1:9" x14ac:dyDescent="0.2">
      <c r="A1886" s="2" t="s">
        <v>3781</v>
      </c>
      <c r="B1886" s="2" t="s">
        <v>817</v>
      </c>
      <c r="C1886" s="2">
        <v>561.93820000000005</v>
      </c>
      <c r="D1886" s="2">
        <f>HYPERLINK("http://mcb-m6.bioreg.kyushu-u.ac.jp/M3/20110411/F50904/1309/1", 53.68)</f>
        <v>53.68</v>
      </c>
      <c r="E1886" s="2">
        <v>31.29</v>
      </c>
      <c r="F1886" s="2">
        <v>2</v>
      </c>
      <c r="G1886" s="2" t="s">
        <v>9</v>
      </c>
    </row>
    <row r="1887" spans="1:9" x14ac:dyDescent="0.2">
      <c r="A1887" s="2" t="s">
        <v>3781</v>
      </c>
      <c r="B1887" s="2" t="s">
        <v>817</v>
      </c>
      <c r="C1887" s="2">
        <v>561.78920000000005</v>
      </c>
      <c r="D1887" s="2">
        <f>HYPERLINK("http://mcb-m6.bioreg.kyushu-u.ac.jp/M3/20110411/F50920/868/1", 51.41)</f>
        <v>51.41</v>
      </c>
      <c r="E1887" s="2">
        <v>28.53</v>
      </c>
      <c r="F1887" s="2">
        <v>2</v>
      </c>
      <c r="G1887" s="2" t="s">
        <v>10</v>
      </c>
    </row>
    <row r="1888" spans="1:9" x14ac:dyDescent="0.2">
      <c r="A1888" s="2" t="s">
        <v>3781</v>
      </c>
      <c r="B1888" s="2" t="s">
        <v>817</v>
      </c>
      <c r="C1888" s="2">
        <v>561.98109999999997</v>
      </c>
      <c r="D1888" s="2">
        <f>HYPERLINK("http://mcb-m6.bioreg.kyushu-u.ac.jp/M3/20110502/F51177/921/1", 43.17)</f>
        <v>43.17</v>
      </c>
      <c r="E1888" s="2">
        <v>18.47</v>
      </c>
      <c r="F1888" s="2">
        <v>2</v>
      </c>
      <c r="G1888" s="2" t="s">
        <v>14</v>
      </c>
    </row>
    <row r="1889" spans="1:7" x14ac:dyDescent="0.2">
      <c r="A1889" s="2" t="s">
        <v>3855</v>
      </c>
      <c r="B1889" s="2" t="s">
        <v>957</v>
      </c>
      <c r="C1889" s="2">
        <v>532.91219999999998</v>
      </c>
      <c r="D1889" s="2">
        <f>HYPERLINK("http://mcb-m6.bioreg.kyushu-u.ac.jp/M3/20110411/F50891/1104/1", 56.83)</f>
        <v>56.83</v>
      </c>
      <c r="E1889" s="2">
        <v>31.38</v>
      </c>
      <c r="F1889" s="2">
        <v>2</v>
      </c>
      <c r="G1889" s="2" t="s">
        <v>9</v>
      </c>
    </row>
    <row r="1890" spans="1:7" x14ac:dyDescent="0.2">
      <c r="A1890" s="2" t="s">
        <v>3855</v>
      </c>
      <c r="B1890" s="2" t="s">
        <v>957</v>
      </c>
      <c r="C1890" s="2">
        <v>532.95209999999997</v>
      </c>
      <c r="D1890" s="2">
        <f>HYPERLINK("http://mcb-m6.bioreg.kyushu-u.ac.jp/M3/20110411/F50899/1667/1", 49.13)</f>
        <v>49.13</v>
      </c>
      <c r="E1890" s="2">
        <v>26.73</v>
      </c>
      <c r="F1890" s="2">
        <v>2</v>
      </c>
      <c r="G1890" s="2" t="s">
        <v>10</v>
      </c>
    </row>
    <row r="1891" spans="1:7" x14ac:dyDescent="0.2">
      <c r="A1891" s="2" t="s">
        <v>3855</v>
      </c>
      <c r="B1891" s="2" t="s">
        <v>957</v>
      </c>
      <c r="C1891" s="2">
        <v>532.93409999999994</v>
      </c>
      <c r="D1891" s="2">
        <f>HYPERLINK("http://mcb-m6.bioreg.kyushu-u.ac.jp/M3/20110414/F50945/1196/1", 46.99)</f>
        <v>46.99</v>
      </c>
      <c r="E1891" s="2">
        <v>24</v>
      </c>
      <c r="F1891" s="2">
        <v>2</v>
      </c>
      <c r="G1891" s="2" t="s">
        <v>11</v>
      </c>
    </row>
    <row r="1892" spans="1:7" x14ac:dyDescent="0.2">
      <c r="A1892" s="2" t="s">
        <v>3855</v>
      </c>
      <c r="B1892" s="2" t="s">
        <v>957</v>
      </c>
      <c r="C1892" s="2">
        <v>532.84969999999998</v>
      </c>
      <c r="D1892" s="2">
        <f>HYPERLINK("http://mcb-m6.bioreg.kyushu-u.ac.jp/M3/20110414/F50933/1594/1", 61.49)</f>
        <v>61.49</v>
      </c>
      <c r="E1892" s="2">
        <v>28.77</v>
      </c>
      <c r="F1892" s="2">
        <v>2</v>
      </c>
      <c r="G1892" s="2" t="s">
        <v>12</v>
      </c>
    </row>
    <row r="1893" spans="1:7" x14ac:dyDescent="0.2">
      <c r="A1893" s="2" t="s">
        <v>3855</v>
      </c>
      <c r="B1893" s="2" t="s">
        <v>957</v>
      </c>
      <c r="C1893" s="2">
        <v>533.14369999999997</v>
      </c>
      <c r="D1893" s="2">
        <f>HYPERLINK("http://mcb-m6.bioreg.kyushu-u.ac.jp/M3/20110502/F51177/791/1", 35.48)</f>
        <v>35.479999999999997</v>
      </c>
      <c r="E1893" s="2">
        <v>11.48</v>
      </c>
      <c r="F1893" s="2">
        <v>2</v>
      </c>
      <c r="G1893" s="2" t="s">
        <v>14</v>
      </c>
    </row>
    <row r="1894" spans="1:7" x14ac:dyDescent="0.2">
      <c r="A1894" s="2" t="s">
        <v>3855</v>
      </c>
      <c r="B1894" s="2" t="s">
        <v>957</v>
      </c>
      <c r="C1894" s="2">
        <v>533.31569999999999</v>
      </c>
      <c r="D1894" s="2">
        <f>HYPERLINK("http://mcb-m6.bioreg.kyushu-u.ac.jp/M3/20110502/F51177/793/1", 38.77)</f>
        <v>38.770000000000003</v>
      </c>
      <c r="E1894" s="2">
        <v>17.25</v>
      </c>
      <c r="F1894" s="2">
        <v>2</v>
      </c>
      <c r="G1894" s="2" t="s">
        <v>14</v>
      </c>
    </row>
    <row r="1895" spans="1:7" x14ac:dyDescent="0.2">
      <c r="A1895" s="2" t="s">
        <v>3855</v>
      </c>
      <c r="B1895" s="2" t="s">
        <v>957</v>
      </c>
      <c r="C1895" s="2">
        <v>533.25710000000004</v>
      </c>
      <c r="D1895" s="2">
        <f>HYPERLINK("http://mcb-m6.bioreg.kyushu-u.ac.jp/M3/20110502/F51178/1254/1", 38.83)</f>
        <v>38.83</v>
      </c>
      <c r="E1895" s="2">
        <v>12.09</v>
      </c>
      <c r="F1895" s="2">
        <v>2</v>
      </c>
      <c r="G1895" s="2" t="s">
        <v>14</v>
      </c>
    </row>
    <row r="1896" spans="1:7" x14ac:dyDescent="0.2">
      <c r="A1896" s="2" t="s">
        <v>3855</v>
      </c>
      <c r="B1896" s="2" t="s">
        <v>957</v>
      </c>
      <c r="C1896" s="2">
        <v>532.88419999999996</v>
      </c>
      <c r="D1896" s="2">
        <f>HYPERLINK("http://mcb-m6.bioreg.kyushu-u.ac.jp/M3/20110502/F51177/787/1", 50.16)</f>
        <v>50.16</v>
      </c>
      <c r="E1896" s="2">
        <v>25.36</v>
      </c>
      <c r="F1896" s="2">
        <v>2</v>
      </c>
      <c r="G1896" s="2" t="s">
        <v>14</v>
      </c>
    </row>
    <row r="1897" spans="1:7" x14ac:dyDescent="0.2">
      <c r="A1897" s="2" t="s">
        <v>3855</v>
      </c>
      <c r="B1897" s="2" t="s">
        <v>957</v>
      </c>
      <c r="C1897" s="2">
        <v>533.07320000000004</v>
      </c>
      <c r="D1897" s="2">
        <f>HYPERLINK("http://mcb-m6.bioreg.kyushu-u.ac.jp/M3/20110502/F51177/790/1", 50.17)</f>
        <v>50.17</v>
      </c>
      <c r="E1897" s="2">
        <v>26.78</v>
      </c>
      <c r="F1897" s="2">
        <v>2</v>
      </c>
      <c r="G1897" s="2" t="s">
        <v>14</v>
      </c>
    </row>
    <row r="1898" spans="1:7" x14ac:dyDescent="0.2">
      <c r="A1898" s="2" t="s">
        <v>3855</v>
      </c>
      <c r="B1898" s="2" t="s">
        <v>957</v>
      </c>
      <c r="C1898" s="2">
        <v>533.06269999999995</v>
      </c>
      <c r="D1898" s="2">
        <f>HYPERLINK("http://mcb-m6.bioreg.kyushu-u.ac.jp/M3/20110502/F51179/756/1", 53.08)</f>
        <v>53.08</v>
      </c>
      <c r="E1898" s="2">
        <v>26.25</v>
      </c>
      <c r="F1898" s="2">
        <v>2</v>
      </c>
      <c r="G1898" s="2" t="s">
        <v>14</v>
      </c>
    </row>
    <row r="1899" spans="1:7" x14ac:dyDescent="0.2">
      <c r="A1899" s="2" t="s">
        <v>4299</v>
      </c>
      <c r="B1899" s="2" t="s">
        <v>2019</v>
      </c>
      <c r="C1899" s="2">
        <v>515.36519999999996</v>
      </c>
      <c r="D1899" s="2">
        <f>HYPERLINK("http://mcb-m6.bioreg.kyushu-u.ac.jp/M3/20110411/F50912/1127/1", 62.4)</f>
        <v>62.4</v>
      </c>
      <c r="E1899" s="2">
        <v>23.03</v>
      </c>
      <c r="F1899" s="2">
        <v>2</v>
      </c>
      <c r="G1899" s="2" t="s">
        <v>10</v>
      </c>
    </row>
    <row r="1900" spans="1:7" x14ac:dyDescent="0.2">
      <c r="A1900" s="2" t="s">
        <v>4299</v>
      </c>
      <c r="B1900" s="2" t="s">
        <v>2019</v>
      </c>
      <c r="C1900" s="2">
        <v>515.4402</v>
      </c>
      <c r="D1900" s="2">
        <f>HYPERLINK("http://mcb-m6.bioreg.kyushu-u.ac.jp/M3/20110414/F50933/1518/1", 48.33)</f>
        <v>48.33</v>
      </c>
      <c r="E1900" s="2">
        <v>27.5</v>
      </c>
      <c r="F1900" s="2">
        <v>2</v>
      </c>
      <c r="G1900" s="2" t="s">
        <v>12</v>
      </c>
    </row>
    <row r="1901" spans="1:7" x14ac:dyDescent="0.2">
      <c r="A1901" s="2" t="s">
        <v>4299</v>
      </c>
      <c r="B1901" s="2" t="s">
        <v>2019</v>
      </c>
      <c r="C1901" s="2">
        <v>515.61869999999999</v>
      </c>
      <c r="D1901" s="2">
        <f>HYPERLINK("http://mcb-m6.bioreg.kyushu-u.ac.jp/M3/20110502/F51177/702/1", 68.67)</f>
        <v>68.67</v>
      </c>
      <c r="E1901" s="2">
        <v>33.130000000000003</v>
      </c>
      <c r="F1901" s="2">
        <v>2</v>
      </c>
      <c r="G1901" s="2" t="s">
        <v>14</v>
      </c>
    </row>
    <row r="1902" spans="1:7" x14ac:dyDescent="0.2">
      <c r="A1902" s="2" t="s">
        <v>3460</v>
      </c>
      <c r="B1902" s="2" t="s">
        <v>271</v>
      </c>
      <c r="C1902" s="2">
        <v>743.07420000000002</v>
      </c>
      <c r="D1902" s="2">
        <f>HYPERLINK("http://mcb-m6.bioreg.kyushu-u.ac.jp/M3/20110411/F50915/1918/1", 38.8)</f>
        <v>38.799999999999997</v>
      </c>
      <c r="E1902" s="2">
        <v>26.97</v>
      </c>
      <c r="F1902" s="2">
        <v>2</v>
      </c>
      <c r="G1902" s="2" t="s">
        <v>9</v>
      </c>
    </row>
    <row r="1903" spans="1:7" x14ac:dyDescent="0.2">
      <c r="A1903" s="2" t="s">
        <v>3460</v>
      </c>
      <c r="B1903" s="2" t="s">
        <v>1357</v>
      </c>
      <c r="C1903" s="2">
        <v>726.45320000000004</v>
      </c>
      <c r="D1903" s="2">
        <f>HYPERLINK("http://mcb-m6.bioreg.kyushu-u.ac.jp/M3/20110411/F50915/1792/1", 75.06)</f>
        <v>75.06</v>
      </c>
      <c r="E1903" s="2">
        <v>62.69</v>
      </c>
      <c r="F1903" s="2">
        <v>2</v>
      </c>
      <c r="G1903" s="2" t="s">
        <v>9</v>
      </c>
    </row>
    <row r="1904" spans="1:7" x14ac:dyDescent="0.2">
      <c r="A1904" s="2" t="s">
        <v>3460</v>
      </c>
      <c r="B1904" s="2" t="s">
        <v>271</v>
      </c>
      <c r="C1904" s="2">
        <v>743.15219999999999</v>
      </c>
      <c r="D1904" s="2">
        <f>HYPERLINK("http://mcb-m6.bioreg.kyushu-u.ac.jp/M3/20110502/F51172/2112/1", 52.82)</f>
        <v>52.82</v>
      </c>
      <c r="E1904" s="2">
        <v>24.39</v>
      </c>
      <c r="F1904" s="2">
        <v>2</v>
      </c>
      <c r="G1904" s="2" t="s">
        <v>13</v>
      </c>
    </row>
    <row r="1905" spans="1:7" x14ac:dyDescent="0.2">
      <c r="A1905" s="2" t="s">
        <v>3460</v>
      </c>
      <c r="B1905" s="2" t="s">
        <v>1357</v>
      </c>
      <c r="C1905" s="2">
        <v>726.13019999999995</v>
      </c>
      <c r="D1905" s="2">
        <f>HYPERLINK("http://mcb-m6.bioreg.kyushu-u.ac.jp/M3/20110502/F51172/1995/1", 72.71)</f>
        <v>72.709999999999994</v>
      </c>
      <c r="E1905" s="2">
        <v>46.15</v>
      </c>
      <c r="F1905" s="2">
        <v>2</v>
      </c>
      <c r="G1905" s="2" t="s">
        <v>13</v>
      </c>
    </row>
    <row r="1906" spans="1:7" x14ac:dyDescent="0.2">
      <c r="A1906" s="2" t="s">
        <v>4430</v>
      </c>
      <c r="B1906" s="2" t="s">
        <v>2307</v>
      </c>
      <c r="C1906" s="2">
        <v>650.84860000000003</v>
      </c>
      <c r="D1906" s="2">
        <f>HYPERLINK("http://mcb-m6.bioreg.kyushu-u.ac.jp/M3/20110414/F50929/1937/1", 44.87)</f>
        <v>44.87</v>
      </c>
      <c r="E1906" s="2">
        <v>23.75</v>
      </c>
      <c r="F1906" s="2">
        <v>2</v>
      </c>
      <c r="G1906" s="2" t="s">
        <v>11</v>
      </c>
    </row>
    <row r="1907" spans="1:7" x14ac:dyDescent="0.2">
      <c r="A1907" s="2" t="s">
        <v>4302</v>
      </c>
      <c r="B1907" s="2" t="s">
        <v>2038</v>
      </c>
      <c r="C1907" s="2">
        <v>486.26909999999998</v>
      </c>
      <c r="D1907" s="2">
        <f>HYPERLINK("http://mcb-m6.bioreg.kyushu-u.ac.jp/M3/20110411/F50920/660/1", 66.21)</f>
        <v>66.209999999999994</v>
      </c>
      <c r="E1907" s="2">
        <v>34.39</v>
      </c>
      <c r="F1907" s="2">
        <v>2</v>
      </c>
      <c r="G1907" s="2" t="s">
        <v>10</v>
      </c>
    </row>
    <row r="1908" spans="1:7" x14ac:dyDescent="0.2">
      <c r="A1908" s="2" t="s">
        <v>4704</v>
      </c>
      <c r="B1908" s="2" t="s">
        <v>2884</v>
      </c>
      <c r="C1908" s="2">
        <v>472.07510000000002</v>
      </c>
      <c r="D1908" s="2">
        <f>HYPERLINK("http://mcb-m6.bioreg.kyushu-u.ac.jp/M3/20110502/F51165/1182/1", 43.04)</f>
        <v>43.04</v>
      </c>
      <c r="E1908" s="2">
        <v>20.85</v>
      </c>
      <c r="F1908" s="2">
        <v>2</v>
      </c>
      <c r="G1908" s="2" t="s">
        <v>13</v>
      </c>
    </row>
    <row r="1909" spans="1:7" x14ac:dyDescent="0.2">
      <c r="A1909" s="2" t="s">
        <v>3808</v>
      </c>
      <c r="B1909" s="2" t="s">
        <v>866</v>
      </c>
      <c r="C1909" s="2">
        <v>567.8777</v>
      </c>
      <c r="D1909" s="2">
        <f>HYPERLINK("http://mcb-m6.bioreg.kyushu-u.ac.jp/M3/20110411/F50903/1326/1", 53.9)</f>
        <v>53.9</v>
      </c>
      <c r="E1909" s="2">
        <v>18.920000000000002</v>
      </c>
      <c r="F1909" s="2">
        <v>2</v>
      </c>
      <c r="G1909" s="2" t="s">
        <v>9</v>
      </c>
    </row>
    <row r="1910" spans="1:7" x14ac:dyDescent="0.2">
      <c r="A1910" s="2" t="s">
        <v>3808</v>
      </c>
      <c r="B1910" s="2" t="s">
        <v>866</v>
      </c>
      <c r="C1910" s="2">
        <v>567.63509999999997</v>
      </c>
      <c r="D1910" s="2">
        <f>HYPERLINK("http://mcb-m6.bioreg.kyushu-u.ac.jp/M3/20110414/F50924/1351/1", 50.95)</f>
        <v>50.95</v>
      </c>
      <c r="E1910" s="2">
        <v>25.2</v>
      </c>
      <c r="F1910" s="2">
        <v>2</v>
      </c>
      <c r="G1910" s="2" t="s">
        <v>11</v>
      </c>
    </row>
    <row r="1911" spans="1:7" x14ac:dyDescent="0.2">
      <c r="A1911" s="2" t="s">
        <v>3901</v>
      </c>
      <c r="B1911" s="2" t="s">
        <v>1055</v>
      </c>
      <c r="C1911" s="2">
        <v>662.88670000000002</v>
      </c>
      <c r="D1911" s="2">
        <f>HYPERLINK("http://mcb-m6.bioreg.kyushu-u.ac.jp/M3/20110411/F50892/1842/1", 60.49)</f>
        <v>60.49</v>
      </c>
      <c r="E1911" s="2">
        <v>46.19</v>
      </c>
      <c r="F1911" s="2">
        <v>2</v>
      </c>
      <c r="G1911" s="2" t="s">
        <v>9</v>
      </c>
    </row>
    <row r="1912" spans="1:7" x14ac:dyDescent="0.2">
      <c r="A1912" s="2" t="s">
        <v>3901</v>
      </c>
      <c r="B1912" s="2" t="s">
        <v>1055</v>
      </c>
      <c r="C1912" s="2">
        <v>663.33510000000001</v>
      </c>
      <c r="D1912" s="2">
        <f>HYPERLINK("http://mcb-m6.bioreg.kyushu-u.ac.jp/M3/20110411/F50891/1667/1", 79.84)</f>
        <v>79.84</v>
      </c>
      <c r="E1912" s="2">
        <v>58.9</v>
      </c>
      <c r="F1912" s="2">
        <v>2</v>
      </c>
      <c r="G1912" s="2" t="s">
        <v>9</v>
      </c>
    </row>
    <row r="1913" spans="1:7" x14ac:dyDescent="0.2">
      <c r="A1913" s="2" t="s">
        <v>3901</v>
      </c>
      <c r="B1913" s="2" t="s">
        <v>1055</v>
      </c>
      <c r="C1913" s="2">
        <v>663.39509999999996</v>
      </c>
      <c r="D1913" s="2">
        <f>HYPERLINK("http://mcb-m6.bioreg.kyushu-u.ac.jp/M3/20110411/F50899/1965/1", 46.84)</f>
        <v>46.84</v>
      </c>
      <c r="E1913" s="2">
        <v>26.43</v>
      </c>
      <c r="F1913" s="2">
        <v>2</v>
      </c>
      <c r="G1913" s="2" t="s">
        <v>10</v>
      </c>
    </row>
    <row r="1914" spans="1:7" x14ac:dyDescent="0.2">
      <c r="A1914" s="2" t="s">
        <v>3901</v>
      </c>
      <c r="B1914" s="2" t="s">
        <v>1055</v>
      </c>
      <c r="C1914" s="2">
        <v>663.19169999999997</v>
      </c>
      <c r="D1914" s="2">
        <f>HYPERLINK("http://mcb-m6.bioreg.kyushu-u.ac.jp/M3/20110414/F50929/1973/1", 73.91)</f>
        <v>73.91</v>
      </c>
      <c r="E1914" s="2">
        <v>53.02</v>
      </c>
      <c r="F1914" s="2">
        <v>2</v>
      </c>
      <c r="G1914" s="2" t="s">
        <v>11</v>
      </c>
    </row>
    <row r="1915" spans="1:7" x14ac:dyDescent="0.2">
      <c r="A1915" s="2" t="s">
        <v>3901</v>
      </c>
      <c r="B1915" s="2" t="s">
        <v>1055</v>
      </c>
      <c r="C1915" s="2">
        <v>663.29719999999998</v>
      </c>
      <c r="D1915" s="2">
        <f>HYPERLINK("http://mcb-m6.bioreg.kyushu-u.ac.jp/M3/20110414/F50934/2056/1", 66.71)</f>
        <v>66.709999999999994</v>
      </c>
      <c r="E1915" s="2">
        <v>46.55</v>
      </c>
      <c r="F1915" s="2">
        <v>2</v>
      </c>
      <c r="G1915" s="2" t="s">
        <v>12</v>
      </c>
    </row>
    <row r="1916" spans="1:7" x14ac:dyDescent="0.2">
      <c r="A1916" s="2" t="s">
        <v>3947</v>
      </c>
      <c r="B1916" s="2" t="s">
        <v>1148</v>
      </c>
      <c r="C1916" s="2">
        <v>838.58420000000001</v>
      </c>
      <c r="D1916" s="2">
        <f>HYPERLINK("http://mcb-m6.bioreg.kyushu-u.ac.jp/M3/20110411/F50903/2499/1", 65.06)</f>
        <v>65.06</v>
      </c>
      <c r="E1916" s="2">
        <v>52</v>
      </c>
      <c r="F1916" s="2">
        <v>2</v>
      </c>
      <c r="G1916" s="2" t="s">
        <v>9</v>
      </c>
    </row>
    <row r="1917" spans="1:7" x14ac:dyDescent="0.2">
      <c r="A1917" s="2" t="s">
        <v>3947</v>
      </c>
      <c r="B1917" s="2" t="s">
        <v>1148</v>
      </c>
      <c r="C1917" s="2">
        <v>838.53560000000004</v>
      </c>
      <c r="D1917" s="2">
        <f>HYPERLINK("http://mcb-m6.bioreg.kyushu-u.ac.jp/M3/20110411/F50920/2030/1", 75.52)</f>
        <v>75.52</v>
      </c>
      <c r="E1917" s="2">
        <v>61.92</v>
      </c>
      <c r="F1917" s="2">
        <v>2</v>
      </c>
      <c r="G1917" s="2" t="s">
        <v>10</v>
      </c>
    </row>
    <row r="1918" spans="1:7" x14ac:dyDescent="0.2">
      <c r="A1918" s="2" t="s">
        <v>3947</v>
      </c>
      <c r="B1918" s="2" t="s">
        <v>1148</v>
      </c>
      <c r="C1918" s="2">
        <v>838.63919999999996</v>
      </c>
      <c r="D1918" s="2">
        <f>HYPERLINK("http://mcb-m6.bioreg.kyushu-u.ac.jp/M3/20110414/F50930/2452/1", 41.79)</f>
        <v>41.79</v>
      </c>
      <c r="E1918" s="2">
        <v>28.87</v>
      </c>
      <c r="F1918" s="2">
        <v>2</v>
      </c>
      <c r="G1918" s="2" t="s">
        <v>12</v>
      </c>
    </row>
    <row r="1919" spans="1:7" x14ac:dyDescent="0.2">
      <c r="A1919" s="2" t="s">
        <v>3947</v>
      </c>
      <c r="B1919" s="2" t="s">
        <v>1148</v>
      </c>
      <c r="C1919" s="2">
        <v>838.95759999999996</v>
      </c>
      <c r="D1919" s="2">
        <f>HYPERLINK("http://mcb-m6.bioreg.kyushu-u.ac.jp/M3/20110502/F51165/2409/1", 36.56)</f>
        <v>36.56</v>
      </c>
      <c r="E1919" s="2">
        <v>24.5</v>
      </c>
      <c r="F1919" s="2">
        <v>2</v>
      </c>
      <c r="G1919" s="2" t="s">
        <v>13</v>
      </c>
    </row>
    <row r="1920" spans="1:7" x14ac:dyDescent="0.2">
      <c r="A1920" s="2" t="s">
        <v>3947</v>
      </c>
      <c r="B1920" s="2" t="s">
        <v>1148</v>
      </c>
      <c r="C1920" s="2">
        <v>838.42719999999997</v>
      </c>
      <c r="D1920" s="2">
        <f>HYPERLINK("http://mcb-m6.bioreg.kyushu-u.ac.jp/M3/20110502/F51165/2407/1", 56.81)</f>
        <v>56.81</v>
      </c>
      <c r="E1920" s="2">
        <v>44.6</v>
      </c>
      <c r="F1920" s="2">
        <v>2</v>
      </c>
      <c r="G1920" s="2" t="s">
        <v>13</v>
      </c>
    </row>
    <row r="1921" spans="1:9" x14ac:dyDescent="0.2">
      <c r="A1921" s="2" t="s">
        <v>3947</v>
      </c>
      <c r="B1921" s="2" t="s">
        <v>1148</v>
      </c>
      <c r="C1921" s="2">
        <v>838.95820000000003</v>
      </c>
      <c r="D1921" s="2">
        <f>HYPERLINK("http://mcb-m6.bioreg.kyushu-u.ac.jp/M3/20110502/F51181/2282/1", 55.3)</f>
        <v>55.3</v>
      </c>
      <c r="E1921" s="2">
        <v>34.130000000000003</v>
      </c>
      <c r="F1921" s="2">
        <v>2</v>
      </c>
      <c r="G1921" s="2" t="s">
        <v>14</v>
      </c>
    </row>
    <row r="1922" spans="1:9" x14ac:dyDescent="0.2">
      <c r="A1922" s="2" t="s">
        <v>4862</v>
      </c>
      <c r="B1922" s="2" t="s">
        <v>3152</v>
      </c>
      <c r="C1922" s="2">
        <v>964.22519999999997</v>
      </c>
      <c r="D1922" s="2">
        <f>HYPERLINK("http://mcb-m6.bioreg.kyushu-u.ac.jp/M3/20110502/F51186/2750/1", 53.91)</f>
        <v>53.91</v>
      </c>
      <c r="E1922" s="2">
        <v>16.09</v>
      </c>
      <c r="F1922" s="2">
        <v>2</v>
      </c>
      <c r="G1922" s="2" t="s">
        <v>14</v>
      </c>
    </row>
    <row r="1923" spans="1:9" x14ac:dyDescent="0.2">
      <c r="A1923" s="2" t="s">
        <v>4862</v>
      </c>
      <c r="B1923" s="2" t="s">
        <v>3180</v>
      </c>
      <c r="C1923" s="2">
        <v>772.94069999999999</v>
      </c>
      <c r="D1923" s="2">
        <f>HYPERLINK("http://mcb-m6.bioreg.kyushu-u.ac.jp/M3/20110502/F51186/2007/1", 63.29)</f>
        <v>63.29</v>
      </c>
      <c r="E1923" s="2">
        <v>37.14</v>
      </c>
      <c r="F1923" s="2">
        <v>2</v>
      </c>
      <c r="G1923" s="2" t="s">
        <v>14</v>
      </c>
    </row>
    <row r="1924" spans="1:9" x14ac:dyDescent="0.2">
      <c r="A1924" s="2" t="s">
        <v>3897</v>
      </c>
      <c r="B1924" s="2" t="s">
        <v>1044</v>
      </c>
      <c r="C1924" s="2">
        <v>884.2577</v>
      </c>
      <c r="D1924" s="2">
        <f>HYPERLINK("http://mcb-m6.bioreg.kyushu-u.ac.jp/M3/20110411/F50889/2628/1", 60.15)</f>
        <v>60.15</v>
      </c>
      <c r="E1924" s="2">
        <v>27.71</v>
      </c>
      <c r="F1924" s="2">
        <v>2</v>
      </c>
      <c r="G1924" s="2" t="s">
        <v>9</v>
      </c>
    </row>
    <row r="1925" spans="1:9" x14ac:dyDescent="0.2">
      <c r="A1925" s="2" t="s">
        <v>3897</v>
      </c>
      <c r="B1925" s="2" t="s">
        <v>1044</v>
      </c>
      <c r="C1925" s="2">
        <v>883.78020000000004</v>
      </c>
      <c r="D1925" s="2">
        <f>HYPERLINK("http://mcb-m6.bioreg.kyushu-u.ac.jp/M3/20110411/F50890/2887/1", 61.03)</f>
        <v>61.03</v>
      </c>
      <c r="E1925" s="2">
        <v>45.62</v>
      </c>
      <c r="F1925" s="2">
        <v>2</v>
      </c>
      <c r="G1925" s="2" t="s">
        <v>9</v>
      </c>
    </row>
    <row r="1926" spans="1:9" x14ac:dyDescent="0.2">
      <c r="A1926" s="2" t="s">
        <v>3897</v>
      </c>
      <c r="B1926" s="2" t="s">
        <v>1044</v>
      </c>
      <c r="C1926" s="2">
        <v>884.53269999999998</v>
      </c>
      <c r="D1926" s="2">
        <f>HYPERLINK("http://mcb-m6.bioreg.kyushu-u.ac.jp/M3/20110411/F50896/2657/1", 51.08)</f>
        <v>51.08</v>
      </c>
      <c r="E1926" s="2">
        <v>25.12</v>
      </c>
      <c r="F1926" s="2">
        <v>2</v>
      </c>
      <c r="G1926" s="2" t="s">
        <v>10</v>
      </c>
    </row>
    <row r="1927" spans="1:9" x14ac:dyDescent="0.2">
      <c r="A1927" s="2" t="s">
        <v>3897</v>
      </c>
      <c r="B1927" s="2" t="s">
        <v>1044</v>
      </c>
      <c r="C1927" s="2">
        <v>884.02560000000005</v>
      </c>
      <c r="D1927" s="2">
        <f>HYPERLINK("http://mcb-m6.bioreg.kyushu-u.ac.jp/M3/20110411/F50897/2697/1", 77.6)</f>
        <v>77.599999999999994</v>
      </c>
      <c r="E1927" s="2">
        <v>43.64</v>
      </c>
      <c r="F1927" s="2">
        <v>2</v>
      </c>
      <c r="G1927" s="2" t="s">
        <v>10</v>
      </c>
    </row>
    <row r="1928" spans="1:9" x14ac:dyDescent="0.2">
      <c r="A1928" s="2" t="s">
        <v>3897</v>
      </c>
      <c r="B1928" s="2" t="s">
        <v>1044</v>
      </c>
      <c r="C1928" s="2">
        <v>884.02009999999996</v>
      </c>
      <c r="D1928" s="2">
        <f>HYPERLINK("http://mcb-m6.bioreg.kyushu-u.ac.jp/M3/20110502/F51168/2550/1", 67.57)</f>
        <v>67.569999999999993</v>
      </c>
      <c r="E1928" s="2">
        <v>45.91</v>
      </c>
      <c r="F1928" s="2">
        <v>2</v>
      </c>
      <c r="G1928" s="2" t="s">
        <v>13</v>
      </c>
    </row>
    <row r="1929" spans="1:9" x14ac:dyDescent="0.2">
      <c r="A1929" s="2" t="s">
        <v>4014</v>
      </c>
      <c r="B1929" s="2" t="s">
        <v>1315</v>
      </c>
      <c r="C1929" s="2">
        <v>835.38509999999997</v>
      </c>
      <c r="D1929" s="2">
        <f>HYPERLINK("http://mcb-m6.bioreg.kyushu-u.ac.jp/M3/20110411/F50891/2643/1", 72.48)</f>
        <v>72.48</v>
      </c>
      <c r="E1929" s="2">
        <v>40.58</v>
      </c>
      <c r="F1929" s="2">
        <v>2</v>
      </c>
      <c r="G1929" s="2" t="s">
        <v>9</v>
      </c>
    </row>
    <row r="1930" spans="1:9" x14ac:dyDescent="0.2">
      <c r="A1930" s="2" t="s">
        <v>4014</v>
      </c>
      <c r="B1930" s="2" t="s">
        <v>1315</v>
      </c>
      <c r="C1930" s="2">
        <v>834.86360000000002</v>
      </c>
      <c r="D1930" s="2">
        <f>HYPERLINK("http://mcb-m6.bioreg.kyushu-u.ac.jp/M3/20110411/F50891/2641/1", 106.43)</f>
        <v>106.43</v>
      </c>
      <c r="E1930" s="2">
        <v>80.61</v>
      </c>
      <c r="F1930" s="2">
        <v>2</v>
      </c>
      <c r="G1930" s="2" t="s">
        <v>9</v>
      </c>
    </row>
    <row r="1931" spans="1:9" x14ac:dyDescent="0.2">
      <c r="A1931" s="2" t="s">
        <v>4369</v>
      </c>
      <c r="B1931" s="2" t="s">
        <v>2196</v>
      </c>
      <c r="C1931" s="2">
        <v>644.09469999999999</v>
      </c>
      <c r="D1931" s="2">
        <f>HYPERLINK("http://mcb-m6.bioreg.kyushu-u.ac.jp/M3/20110414/F50928/1804/1", 36.69)</f>
        <v>36.69</v>
      </c>
      <c r="E1931" s="2">
        <v>10.37</v>
      </c>
      <c r="F1931" s="2">
        <v>2</v>
      </c>
      <c r="G1931" s="2" t="s">
        <v>11</v>
      </c>
    </row>
    <row r="1932" spans="1:9" x14ac:dyDescent="0.2">
      <c r="A1932" s="2" t="s">
        <v>4241</v>
      </c>
      <c r="B1932" s="2" t="s">
        <v>1864</v>
      </c>
      <c r="C1932" s="2">
        <v>904.00120000000004</v>
      </c>
      <c r="D1932" s="2">
        <f>HYPERLINK("http://mcb-m6.bioreg.kyushu-u.ac.jp/M3/20110411/F50914/2864/1", 45.18)</f>
        <v>45.18</v>
      </c>
      <c r="E1932" s="2">
        <v>18.97</v>
      </c>
      <c r="F1932" s="2">
        <v>2</v>
      </c>
      <c r="G1932" s="2" t="s">
        <v>10</v>
      </c>
    </row>
    <row r="1933" spans="1:9" x14ac:dyDescent="0.2">
      <c r="A1933" s="2" t="s">
        <v>3971</v>
      </c>
      <c r="B1933" s="2" t="s">
        <v>1209</v>
      </c>
      <c r="C1933" s="2">
        <v>933.52560000000005</v>
      </c>
      <c r="D1933" s="2">
        <f>HYPERLINK("http://mcb-m6.bioreg.kyushu-u.ac.jp/M3/20110411/F50889/2763/1", 67.52)</f>
        <v>67.52</v>
      </c>
      <c r="E1933" s="2">
        <v>48.92</v>
      </c>
      <c r="F1933" s="2">
        <v>2</v>
      </c>
      <c r="G1933" s="2" t="s">
        <v>9</v>
      </c>
      <c r="I1933" s="2" t="s">
        <v>4933</v>
      </c>
    </row>
    <row r="1934" spans="1:9" x14ac:dyDescent="0.2">
      <c r="A1934" s="2" t="s">
        <v>3971</v>
      </c>
      <c r="B1934" s="2" t="s">
        <v>1368</v>
      </c>
      <c r="C1934" s="2">
        <v>833.46310000000005</v>
      </c>
      <c r="D1934" s="2">
        <f>HYPERLINK("http://mcb-m6.bioreg.kyushu-u.ac.jp/M3/20110411/F50889/2517/1", 76.11)</f>
        <v>76.11</v>
      </c>
      <c r="E1934" s="2">
        <v>55.95</v>
      </c>
      <c r="F1934" s="2">
        <v>2</v>
      </c>
      <c r="G1934" s="2" t="s">
        <v>9</v>
      </c>
    </row>
    <row r="1935" spans="1:9" x14ac:dyDescent="0.2">
      <c r="A1935" s="2" t="s">
        <v>3971</v>
      </c>
      <c r="B1935" s="2" t="s">
        <v>1434</v>
      </c>
      <c r="C1935" s="2">
        <v>573.71969999999999</v>
      </c>
      <c r="D1935" s="2">
        <f>HYPERLINK("http://mcb-m6.bioreg.kyushu-u.ac.jp/M3/20110411/F50889/1763/1", 80.14)</f>
        <v>80.14</v>
      </c>
      <c r="E1935" s="2">
        <v>54.61</v>
      </c>
      <c r="F1935" s="2">
        <v>2</v>
      </c>
      <c r="G1935" s="2" t="s">
        <v>9</v>
      </c>
    </row>
    <row r="1936" spans="1:9" x14ac:dyDescent="0.2">
      <c r="A1936" s="2" t="s">
        <v>3971</v>
      </c>
      <c r="B1936" s="2" t="s">
        <v>1447</v>
      </c>
      <c r="C1936" s="2">
        <v>773.4692</v>
      </c>
      <c r="D1936" s="2">
        <f>HYPERLINK("http://mcb-m6.bioreg.kyushu-u.ac.jp/M3/20110411/F50889/2353/1", 81.04)</f>
        <v>81.040000000000006</v>
      </c>
      <c r="E1936" s="2">
        <v>65.790000000000006</v>
      </c>
      <c r="F1936" s="2">
        <v>2</v>
      </c>
      <c r="G1936" s="2" t="s">
        <v>9</v>
      </c>
    </row>
    <row r="1937" spans="1:9" x14ac:dyDescent="0.2">
      <c r="A1937" s="2" t="s">
        <v>3971</v>
      </c>
      <c r="B1937" s="2" t="s">
        <v>1447</v>
      </c>
      <c r="C1937" s="2">
        <v>773.48820000000001</v>
      </c>
      <c r="D1937" s="2">
        <f>HYPERLINK("http://mcb-m6.bioreg.kyushu-u.ac.jp/M3/20110411/F50896/2264/1", 89.14)</f>
        <v>89.14</v>
      </c>
      <c r="E1937" s="2">
        <v>74.44</v>
      </c>
      <c r="F1937" s="2">
        <v>2</v>
      </c>
      <c r="G1937" s="2" t="s">
        <v>10</v>
      </c>
    </row>
    <row r="1938" spans="1:9" x14ac:dyDescent="0.2">
      <c r="A1938" s="2" t="s">
        <v>3971</v>
      </c>
      <c r="B1938" s="2" t="s">
        <v>1447</v>
      </c>
      <c r="C1938" s="2">
        <v>773.66110000000003</v>
      </c>
      <c r="D1938" s="2">
        <f>HYPERLINK("http://mcb-m6.bioreg.kyushu-u.ac.jp/M3/20110414/F50932/2450/1", 82.88)</f>
        <v>82.88</v>
      </c>
      <c r="E1938" s="2">
        <v>69.27</v>
      </c>
      <c r="F1938" s="2">
        <v>2</v>
      </c>
      <c r="G1938" s="2" t="s">
        <v>12</v>
      </c>
    </row>
    <row r="1939" spans="1:9" x14ac:dyDescent="0.2">
      <c r="A1939" s="2" t="s">
        <v>3971</v>
      </c>
      <c r="B1939" s="2" t="s">
        <v>1447</v>
      </c>
      <c r="C1939" s="2">
        <v>773.44420000000002</v>
      </c>
      <c r="D1939" s="2">
        <f>HYPERLINK("http://mcb-m6.bioreg.kyushu-u.ac.jp/M3/20110502/F51168/2165/1", 82.72)</f>
        <v>82.72</v>
      </c>
      <c r="E1939" s="2">
        <v>60.37</v>
      </c>
      <c r="F1939" s="2">
        <v>2</v>
      </c>
      <c r="G1939" s="2" t="s">
        <v>13</v>
      </c>
    </row>
    <row r="1940" spans="1:9" x14ac:dyDescent="0.2">
      <c r="A1940" s="2" t="s">
        <v>3560</v>
      </c>
      <c r="B1940" s="2" t="s">
        <v>423</v>
      </c>
      <c r="C1940" s="2">
        <v>813.72720000000004</v>
      </c>
      <c r="D1940" s="2">
        <f>HYPERLINK("http://mcb-m6.bioreg.kyushu-u.ac.jp/M3/20110411/F50889/2457/1", 41.59)</f>
        <v>41.59</v>
      </c>
      <c r="E1940" s="2">
        <v>24.68</v>
      </c>
      <c r="F1940" s="2">
        <v>2</v>
      </c>
      <c r="G1940" s="2" t="s">
        <v>9</v>
      </c>
    </row>
    <row r="1941" spans="1:9" x14ac:dyDescent="0.2">
      <c r="A1941" s="2" t="s">
        <v>4087</v>
      </c>
      <c r="B1941" s="2" t="s">
        <v>1522</v>
      </c>
      <c r="C1941" s="2">
        <v>631.59059999999999</v>
      </c>
      <c r="D1941" s="2">
        <f>HYPERLINK("http://mcb-m6.bioreg.kyushu-u.ac.jp/M3/20110411/F50891/1524/1", 87.89)</f>
        <v>87.89</v>
      </c>
      <c r="E1941" s="2">
        <v>44.33</v>
      </c>
      <c r="F1941" s="2">
        <v>2</v>
      </c>
      <c r="G1941" s="2" t="s">
        <v>9</v>
      </c>
      <c r="I1941" s="2" t="s">
        <v>4893</v>
      </c>
    </row>
    <row r="1942" spans="1:9" x14ac:dyDescent="0.2">
      <c r="A1942" s="2" t="s">
        <v>4087</v>
      </c>
      <c r="B1942" s="2" t="s">
        <v>1655</v>
      </c>
      <c r="C1942" s="2">
        <v>1038.4449999999999</v>
      </c>
      <c r="D1942" s="2">
        <f>HYPERLINK("http://mcb-m6.bioreg.kyushu-u.ac.jp/M3/20110411/F50891/3539/1", 112.05)</f>
        <v>112.05</v>
      </c>
      <c r="E1942" s="2">
        <v>96.44</v>
      </c>
      <c r="F1942" s="2">
        <v>2</v>
      </c>
      <c r="G1942" s="2" t="s">
        <v>9</v>
      </c>
    </row>
    <row r="1943" spans="1:9" x14ac:dyDescent="0.2">
      <c r="A1943" s="2" t="s">
        <v>4087</v>
      </c>
      <c r="B1943" s="2" t="s">
        <v>1655</v>
      </c>
      <c r="C1943" s="2">
        <v>1037.931</v>
      </c>
      <c r="D1943" s="2">
        <f>HYPERLINK("http://mcb-m6.bioreg.kyushu-u.ac.jp/M3/20110411/F50891/3535/1", 122.34)</f>
        <v>122.34</v>
      </c>
      <c r="E1943" s="2">
        <v>91.3</v>
      </c>
      <c r="F1943" s="2">
        <v>2</v>
      </c>
      <c r="G1943" s="2" t="s">
        <v>9</v>
      </c>
    </row>
    <row r="1944" spans="1:9" x14ac:dyDescent="0.2">
      <c r="A1944" s="2" t="s">
        <v>4087</v>
      </c>
      <c r="B1944" s="2" t="s">
        <v>1522</v>
      </c>
      <c r="C1944" s="2">
        <v>631.23770000000002</v>
      </c>
      <c r="D1944" s="2">
        <f>HYPERLINK("http://mcb-m6.bioreg.kyushu-u.ac.jp/M3/20110411/F50898/1848/1", 61.32)</f>
        <v>61.32</v>
      </c>
      <c r="E1944" s="2">
        <v>25.98</v>
      </c>
      <c r="F1944" s="2">
        <v>2</v>
      </c>
      <c r="G1944" s="2" t="s">
        <v>10</v>
      </c>
      <c r="I1944" s="2" t="s">
        <v>4893</v>
      </c>
    </row>
    <row r="1945" spans="1:9" x14ac:dyDescent="0.2">
      <c r="A1945" s="2" t="s">
        <v>4087</v>
      </c>
      <c r="B1945" s="2" t="s">
        <v>1522</v>
      </c>
      <c r="C1945" s="2">
        <v>631.25670000000002</v>
      </c>
      <c r="D1945" s="2">
        <f>HYPERLINK("http://mcb-m6.bioreg.kyushu-u.ac.jp/M3/20110414/F50929/1890/1", 58.52)</f>
        <v>58.52</v>
      </c>
      <c r="E1945" s="2">
        <v>24.29</v>
      </c>
      <c r="F1945" s="2">
        <v>2</v>
      </c>
      <c r="G1945" s="2" t="s">
        <v>11</v>
      </c>
      <c r="I1945" s="2" t="s">
        <v>4893</v>
      </c>
    </row>
    <row r="1946" spans="1:9" x14ac:dyDescent="0.2">
      <c r="A1946" s="2" t="s">
        <v>4087</v>
      </c>
      <c r="B1946" s="2" t="s">
        <v>1655</v>
      </c>
      <c r="C1946" s="2">
        <v>1037.7070000000001</v>
      </c>
      <c r="D1946" s="2">
        <f>HYPERLINK("http://mcb-m6.bioreg.kyushu-u.ac.jp/M3/20110414/F50928/3396/1", 83.6)</f>
        <v>83.6</v>
      </c>
      <c r="E1946" s="2">
        <v>65.41</v>
      </c>
      <c r="F1946" s="2">
        <v>2</v>
      </c>
      <c r="G1946" s="2" t="s">
        <v>11</v>
      </c>
    </row>
    <row r="1947" spans="1:9" x14ac:dyDescent="0.2">
      <c r="A1947" s="2" t="s">
        <v>4087</v>
      </c>
      <c r="B1947" s="2" t="s">
        <v>1655</v>
      </c>
      <c r="C1947" s="2">
        <v>1037.8330000000001</v>
      </c>
      <c r="D1947" s="2">
        <f>HYPERLINK("http://mcb-m6.bioreg.kyushu-u.ac.jp/M3/20110414/F50929/3079/1", 93.34)</f>
        <v>93.34</v>
      </c>
      <c r="E1947" s="2">
        <v>72.25</v>
      </c>
      <c r="F1947" s="2">
        <v>2</v>
      </c>
      <c r="G1947" s="2" t="s">
        <v>11</v>
      </c>
    </row>
    <row r="1948" spans="1:9" x14ac:dyDescent="0.2">
      <c r="A1948" s="2" t="s">
        <v>4087</v>
      </c>
      <c r="B1948" s="2" t="s">
        <v>2877</v>
      </c>
      <c r="C1948" s="2">
        <v>487.92160000000001</v>
      </c>
      <c r="D1948" s="2">
        <f>HYPERLINK("http://mcb-m6.bioreg.kyushu-u.ac.jp/M3/20110502/F51169/1087/1", 40.88)</f>
        <v>40.880000000000003</v>
      </c>
      <c r="E1948" s="2">
        <v>15.62</v>
      </c>
      <c r="F1948" s="2">
        <v>2</v>
      </c>
      <c r="G1948" s="2" t="s">
        <v>13</v>
      </c>
    </row>
    <row r="1949" spans="1:9" x14ac:dyDescent="0.2">
      <c r="A1949" s="2" t="s">
        <v>4087</v>
      </c>
      <c r="B1949" s="2" t="s">
        <v>1522</v>
      </c>
      <c r="C1949" s="2">
        <v>631.39469999999994</v>
      </c>
      <c r="D1949" s="2">
        <f>HYPERLINK("http://mcb-m6.bioreg.kyushu-u.ac.jp/M3/20110502/F51169/1709/1", 82.31)</f>
        <v>82.31</v>
      </c>
      <c r="E1949" s="2">
        <v>45.08</v>
      </c>
      <c r="F1949" s="2">
        <v>2</v>
      </c>
      <c r="G1949" s="2" t="s">
        <v>13</v>
      </c>
      <c r="I1949" s="2" t="s">
        <v>4893</v>
      </c>
    </row>
    <row r="1950" spans="1:9" x14ac:dyDescent="0.2">
      <c r="A1950" s="2" t="s">
        <v>4087</v>
      </c>
      <c r="B1950" s="2" t="s">
        <v>1655</v>
      </c>
      <c r="C1950" s="2">
        <v>1038.595</v>
      </c>
      <c r="D1950" s="2">
        <f>HYPERLINK("http://mcb-m6.bioreg.kyushu-u.ac.jp/M3/20110502/F51169/3035/1", 89.15)</f>
        <v>89.15</v>
      </c>
      <c r="E1950" s="2">
        <v>68.94</v>
      </c>
      <c r="F1950" s="2">
        <v>2</v>
      </c>
      <c r="G1950" s="2" t="s">
        <v>13</v>
      </c>
    </row>
    <row r="1951" spans="1:9" x14ac:dyDescent="0.2">
      <c r="A1951" s="2" t="s">
        <v>4087</v>
      </c>
      <c r="B1951" s="2" t="s">
        <v>1655</v>
      </c>
      <c r="C1951" s="2">
        <v>1038.038</v>
      </c>
      <c r="D1951" s="2">
        <f>HYPERLINK("http://mcb-m6.bioreg.kyushu-u.ac.jp/M3/20110502/F51178/3100/1", 112.33)</f>
        <v>112.33</v>
      </c>
      <c r="E1951" s="2">
        <v>91.25</v>
      </c>
      <c r="F1951" s="2">
        <v>2</v>
      </c>
      <c r="G1951" s="2" t="s">
        <v>14</v>
      </c>
    </row>
    <row r="1952" spans="1:9" x14ac:dyDescent="0.2">
      <c r="A1952" s="2" t="s">
        <v>4064</v>
      </c>
      <c r="B1952" s="2" t="s">
        <v>1438</v>
      </c>
      <c r="C1952" s="2">
        <v>793.09619999999995</v>
      </c>
      <c r="D1952" s="2">
        <f>HYPERLINK("http://mcb-m6.bioreg.kyushu-u.ac.jp/M3/20110411/F50891/2430/1", 80.51)</f>
        <v>80.510000000000005</v>
      </c>
      <c r="E1952" s="2">
        <v>70.180000000000007</v>
      </c>
      <c r="F1952" s="2">
        <v>2</v>
      </c>
      <c r="G1952" s="2" t="s">
        <v>9</v>
      </c>
      <c r="I1952" s="2" t="s">
        <v>4906</v>
      </c>
    </row>
    <row r="1953" spans="1:9" x14ac:dyDescent="0.2">
      <c r="A1953" s="2" t="s">
        <v>4064</v>
      </c>
      <c r="B1953" s="2" t="s">
        <v>1553</v>
      </c>
      <c r="C1953" s="2">
        <v>647.33119999999997</v>
      </c>
      <c r="D1953" s="2">
        <f>HYPERLINK("http://mcb-m6.bioreg.kyushu-u.ac.jp/M3/20110411/F50891/1598/1", 91.98)</f>
        <v>91.98</v>
      </c>
      <c r="E1953" s="2">
        <v>70.53</v>
      </c>
      <c r="F1953" s="2">
        <v>2</v>
      </c>
      <c r="G1953" s="2" t="s">
        <v>9</v>
      </c>
    </row>
    <row r="1954" spans="1:9" x14ac:dyDescent="0.2">
      <c r="A1954" s="2" t="s">
        <v>4064</v>
      </c>
      <c r="B1954" s="2" t="s">
        <v>1438</v>
      </c>
      <c r="C1954" s="2">
        <v>792.88070000000005</v>
      </c>
      <c r="D1954" s="2">
        <f>HYPERLINK("http://mcb-m6.bioreg.kyushu-u.ac.jp/M3/20110411/F50898/2443/1", 60.47)</f>
        <v>60.47</v>
      </c>
      <c r="E1954" s="2">
        <v>47.11</v>
      </c>
      <c r="F1954" s="2">
        <v>2</v>
      </c>
      <c r="G1954" s="2" t="s">
        <v>10</v>
      </c>
      <c r="I1954" s="2" t="s">
        <v>4906</v>
      </c>
    </row>
    <row r="1955" spans="1:9" x14ac:dyDescent="0.2">
      <c r="A1955" s="2" t="s">
        <v>4064</v>
      </c>
      <c r="B1955" s="2" t="s">
        <v>1553</v>
      </c>
      <c r="C1955" s="2">
        <v>647.76620000000003</v>
      </c>
      <c r="D1955" s="2">
        <f>HYPERLINK("http://mcb-m6.bioreg.kyushu-u.ac.jp/M3/20110414/F50929/1929/1", 46.76)</f>
        <v>46.76</v>
      </c>
      <c r="E1955" s="2">
        <v>16.559999999999999</v>
      </c>
      <c r="F1955" s="2">
        <v>2</v>
      </c>
      <c r="G1955" s="2" t="s">
        <v>11</v>
      </c>
    </row>
    <row r="1956" spans="1:9" x14ac:dyDescent="0.2">
      <c r="A1956" s="2" t="s">
        <v>4064</v>
      </c>
      <c r="B1956" s="2" t="s">
        <v>1438</v>
      </c>
      <c r="C1956" s="2">
        <v>793.28920000000005</v>
      </c>
      <c r="D1956" s="2">
        <f>HYPERLINK("http://mcb-m6.bioreg.kyushu-u.ac.jp/M3/20110414/F50929/2504/1", 57.44)</f>
        <v>57.44</v>
      </c>
      <c r="E1956" s="2">
        <v>45.88</v>
      </c>
      <c r="F1956" s="2">
        <v>2</v>
      </c>
      <c r="G1956" s="2" t="s">
        <v>11</v>
      </c>
      <c r="I1956" s="2" t="s">
        <v>4906</v>
      </c>
    </row>
    <row r="1957" spans="1:9" x14ac:dyDescent="0.2">
      <c r="A1957" s="2" t="s">
        <v>4064</v>
      </c>
      <c r="B1957" s="2" t="s">
        <v>1438</v>
      </c>
      <c r="C1957" s="2">
        <v>792.73910000000001</v>
      </c>
      <c r="D1957" s="2">
        <f>HYPERLINK("http://mcb-m6.bioreg.kyushu-u.ac.jp/M3/20110414/F50928/2570/1", 68.64)</f>
        <v>68.64</v>
      </c>
      <c r="E1957" s="2">
        <v>54.41</v>
      </c>
      <c r="F1957" s="2">
        <v>2</v>
      </c>
      <c r="G1957" s="2" t="s">
        <v>11</v>
      </c>
      <c r="I1957" s="2" t="s">
        <v>4906</v>
      </c>
    </row>
    <row r="1958" spans="1:9" x14ac:dyDescent="0.2">
      <c r="A1958" s="2" t="s">
        <v>3803</v>
      </c>
      <c r="B1958" s="2" t="s">
        <v>858</v>
      </c>
      <c r="C1958" s="2">
        <v>546.2672</v>
      </c>
      <c r="D1958" s="2">
        <f>HYPERLINK("http://mcb-m6.bioreg.kyushu-u.ac.jp/M3/20110411/F50890/1309/1", 53.6)</f>
        <v>53.6</v>
      </c>
      <c r="E1958" s="2">
        <v>27.95</v>
      </c>
      <c r="F1958" s="2">
        <v>2</v>
      </c>
      <c r="G1958" s="2" t="s">
        <v>9</v>
      </c>
      <c r="H1958" s="2" t="s">
        <v>4908</v>
      </c>
    </row>
    <row r="1959" spans="1:9" x14ac:dyDescent="0.2">
      <c r="A1959" s="2" t="s">
        <v>3803</v>
      </c>
      <c r="B1959" s="2" t="s">
        <v>1515</v>
      </c>
      <c r="C1959" s="2">
        <v>778.13819999999998</v>
      </c>
      <c r="D1959" s="2">
        <f>HYPERLINK("http://mcb-m6.bioreg.kyushu-u.ac.jp/M3/20110411/F50890/2410/1", 87.6)</f>
        <v>87.6</v>
      </c>
      <c r="E1959" s="2">
        <v>71.319999999999993</v>
      </c>
      <c r="F1959" s="2">
        <v>2</v>
      </c>
      <c r="G1959" s="2" t="s">
        <v>9</v>
      </c>
    </row>
    <row r="1960" spans="1:9" x14ac:dyDescent="0.2">
      <c r="A1960" s="2" t="s">
        <v>3803</v>
      </c>
      <c r="B1960" s="2" t="s">
        <v>1515</v>
      </c>
      <c r="C1960" s="2">
        <v>785.85469999999998</v>
      </c>
      <c r="D1960" s="2">
        <f>HYPERLINK("http://mcb-m6.bioreg.kyushu-u.ac.jp/M3/20110411/F50890/2447/1", 103.93)</f>
        <v>103.93</v>
      </c>
      <c r="E1960" s="2">
        <v>73.709999999999994</v>
      </c>
      <c r="F1960" s="2">
        <v>2</v>
      </c>
      <c r="G1960" s="2" t="s">
        <v>9</v>
      </c>
      <c r="H1960" s="2" t="s">
        <v>4915</v>
      </c>
    </row>
    <row r="1961" spans="1:9" x14ac:dyDescent="0.2">
      <c r="A1961" s="2" t="s">
        <v>3803</v>
      </c>
      <c r="B1961" s="2" t="s">
        <v>1515</v>
      </c>
      <c r="C1961" s="2">
        <v>786.01459999999997</v>
      </c>
      <c r="D1961" s="2">
        <f>HYPERLINK("http://mcb-m6.bioreg.kyushu-u.ac.jp/M3/20110411/F50897/2231/1", 41.74)</f>
        <v>41.74</v>
      </c>
      <c r="E1961" s="2">
        <v>30.9</v>
      </c>
      <c r="F1961" s="2">
        <v>2</v>
      </c>
      <c r="G1961" s="2" t="s">
        <v>10</v>
      </c>
      <c r="H1961" s="2" t="s">
        <v>4915</v>
      </c>
    </row>
    <row r="1962" spans="1:9" x14ac:dyDescent="0.2">
      <c r="A1962" s="2" t="s">
        <v>3803</v>
      </c>
      <c r="B1962" s="2" t="s">
        <v>1515</v>
      </c>
      <c r="C1962" s="2">
        <v>785.56370000000004</v>
      </c>
      <c r="D1962" s="2">
        <f>HYPERLINK("http://mcb-m6.bioreg.kyushu-u.ac.jp/M3/20110414/F50927/2497/1", 74.76)</f>
        <v>74.760000000000005</v>
      </c>
      <c r="E1962" s="2">
        <v>55.03</v>
      </c>
      <c r="F1962" s="2">
        <v>2</v>
      </c>
      <c r="G1962" s="2" t="s">
        <v>11</v>
      </c>
      <c r="H1962" s="2" t="s">
        <v>4915</v>
      </c>
    </row>
    <row r="1963" spans="1:9" x14ac:dyDescent="0.2">
      <c r="A1963" s="2" t="s">
        <v>3803</v>
      </c>
      <c r="B1963" s="2" t="s">
        <v>1515</v>
      </c>
      <c r="C1963" s="2">
        <v>778.02760000000001</v>
      </c>
      <c r="D1963" s="2">
        <f>HYPERLINK("http://mcb-m6.bioreg.kyushu-u.ac.jp/M3/20110414/F50927/2458/1", 86.73)</f>
        <v>86.73</v>
      </c>
      <c r="E1963" s="2">
        <v>65.989999999999995</v>
      </c>
      <c r="F1963" s="2">
        <v>2</v>
      </c>
      <c r="G1963" s="2" t="s">
        <v>11</v>
      </c>
    </row>
    <row r="1964" spans="1:9" x14ac:dyDescent="0.2">
      <c r="A1964" s="2" t="s">
        <v>3803</v>
      </c>
      <c r="B1964" s="2" t="s">
        <v>1515</v>
      </c>
      <c r="C1964" s="2">
        <v>785.99469999999997</v>
      </c>
      <c r="D1964" s="2">
        <f>HYPERLINK("http://mcb-m6.bioreg.kyushu-u.ac.jp/M3/20110414/F50932/2478/1", 68.43)</f>
        <v>68.430000000000007</v>
      </c>
      <c r="E1964" s="2">
        <v>51.14</v>
      </c>
      <c r="F1964" s="2">
        <v>2</v>
      </c>
      <c r="G1964" s="2" t="s">
        <v>12</v>
      </c>
      <c r="H1964" s="2" t="s">
        <v>4915</v>
      </c>
    </row>
    <row r="1965" spans="1:9" x14ac:dyDescent="0.2">
      <c r="A1965" s="2" t="s">
        <v>3803</v>
      </c>
      <c r="B1965" s="2" t="s">
        <v>1515</v>
      </c>
      <c r="C1965" s="2">
        <v>786.02009999999996</v>
      </c>
      <c r="D1965" s="2">
        <f>HYPERLINK("http://mcb-m6.bioreg.kyushu-u.ac.jp/M3/20110502/F51168/2213/1", 125.17)</f>
        <v>125.17</v>
      </c>
      <c r="E1965" s="2">
        <v>97.4</v>
      </c>
      <c r="F1965" s="2">
        <v>2</v>
      </c>
      <c r="G1965" s="2" t="s">
        <v>13</v>
      </c>
      <c r="H1965" s="2" t="s">
        <v>4915</v>
      </c>
    </row>
    <row r="1966" spans="1:9" x14ac:dyDescent="0.2">
      <c r="A1966" s="2" t="s">
        <v>3803</v>
      </c>
      <c r="B1966" s="2" t="s">
        <v>1515</v>
      </c>
      <c r="C1966" s="2">
        <v>777.98770000000002</v>
      </c>
      <c r="D1966" s="2">
        <f>HYPERLINK("http://mcb-m6.bioreg.kyushu-u.ac.jp/M3/20110502/F51177/2085/1", 84.68)</f>
        <v>84.68</v>
      </c>
      <c r="E1966" s="2">
        <v>61.39</v>
      </c>
      <c r="F1966" s="2">
        <v>2</v>
      </c>
      <c r="G1966" s="2" t="s">
        <v>14</v>
      </c>
    </row>
    <row r="1967" spans="1:9" x14ac:dyDescent="0.2">
      <c r="A1967" s="2" t="s">
        <v>3803</v>
      </c>
      <c r="B1967" s="2" t="s">
        <v>1515</v>
      </c>
      <c r="C1967" s="2">
        <v>786.13210000000004</v>
      </c>
      <c r="D1967" s="2">
        <f>HYPERLINK("http://mcb-m6.bioreg.kyushu-u.ac.jp/M3/20110502/F51177/2129/1", 96.74)</f>
        <v>96.74</v>
      </c>
      <c r="E1967" s="2">
        <v>82.39</v>
      </c>
      <c r="F1967" s="2">
        <v>2</v>
      </c>
      <c r="G1967" s="2" t="s">
        <v>14</v>
      </c>
      <c r="H1967" s="2" t="s">
        <v>4915</v>
      </c>
    </row>
    <row r="1968" spans="1:9" x14ac:dyDescent="0.2">
      <c r="A1968" s="2" t="s">
        <v>3243</v>
      </c>
      <c r="B1968" s="2" t="s">
        <v>23</v>
      </c>
      <c r="C1968" s="2">
        <v>1241.8499999999999</v>
      </c>
      <c r="D1968" s="2">
        <f>HYPERLINK("http://mcb-m6.bioreg.kyushu-u.ac.jp/M3/20110411/F50905/1457/1", 35.15)</f>
        <v>35.15</v>
      </c>
      <c r="E1968" s="2">
        <v>24.02</v>
      </c>
      <c r="F1968" s="2">
        <v>1</v>
      </c>
      <c r="G1968" s="2" t="s">
        <v>9</v>
      </c>
    </row>
    <row r="1969" spans="1:9" x14ac:dyDescent="0.2">
      <c r="A1969" s="2" t="s">
        <v>3243</v>
      </c>
      <c r="B1969" s="2" t="s">
        <v>376</v>
      </c>
      <c r="C1969" s="2">
        <v>818.67200000000003</v>
      </c>
      <c r="D1969" s="2">
        <f>HYPERLINK("http://mcb-m6.bioreg.kyushu-u.ac.jp/M3/20110411/F50905/757/1", 40.66)</f>
        <v>40.659999999999997</v>
      </c>
      <c r="E1969" s="2">
        <v>14.6</v>
      </c>
      <c r="F1969" s="2">
        <v>1</v>
      </c>
      <c r="G1969" s="2" t="s">
        <v>9</v>
      </c>
    </row>
    <row r="1970" spans="1:9" x14ac:dyDescent="0.2">
      <c r="A1970" s="2" t="s">
        <v>3243</v>
      </c>
      <c r="B1970" s="2" t="s">
        <v>952</v>
      </c>
      <c r="C1970" s="2">
        <v>959.00919999999996</v>
      </c>
      <c r="D1970" s="2">
        <f>HYPERLINK("http://mcb-m6.bioreg.kyushu-u.ac.jp/M3/20110411/F50911/3191/1", 56.51)</f>
        <v>56.51</v>
      </c>
      <c r="E1970" s="2">
        <v>41.86</v>
      </c>
      <c r="F1970" s="2">
        <v>2</v>
      </c>
      <c r="G1970" s="2" t="s">
        <v>9</v>
      </c>
    </row>
    <row r="1971" spans="1:9" x14ac:dyDescent="0.2">
      <c r="A1971" s="2" t="s">
        <v>3243</v>
      </c>
      <c r="B1971" s="2" t="s">
        <v>952</v>
      </c>
      <c r="C1971" s="2">
        <v>958.63210000000004</v>
      </c>
      <c r="D1971" s="2">
        <f>HYPERLINK("http://mcb-m6.bioreg.kyushu-u.ac.jp/M3/20110411/F50905/3106/1", 63.49)</f>
        <v>63.49</v>
      </c>
      <c r="E1971" s="2">
        <v>47.62</v>
      </c>
      <c r="F1971" s="2">
        <v>2</v>
      </c>
      <c r="G1971" s="2" t="s">
        <v>9</v>
      </c>
    </row>
    <row r="1972" spans="1:9" x14ac:dyDescent="0.2">
      <c r="A1972" s="2" t="s">
        <v>3243</v>
      </c>
      <c r="B1972" s="2" t="s">
        <v>23</v>
      </c>
      <c r="C1972" s="2">
        <v>621.44370000000004</v>
      </c>
      <c r="D1972" s="2">
        <f>HYPERLINK("http://mcb-m6.bioreg.kyushu-u.ac.jp/M3/20110411/F50905/1459/1", 65.98)</f>
        <v>65.98</v>
      </c>
      <c r="E1972" s="2">
        <v>44.86</v>
      </c>
      <c r="F1972" s="2">
        <v>2</v>
      </c>
      <c r="G1972" s="2" t="s">
        <v>9</v>
      </c>
    </row>
    <row r="1973" spans="1:9" x14ac:dyDescent="0.2">
      <c r="A1973" s="2" t="s">
        <v>3243</v>
      </c>
      <c r="B1973" s="2" t="s">
        <v>1212</v>
      </c>
      <c r="C1973" s="2">
        <v>482.7516</v>
      </c>
      <c r="D1973" s="2">
        <f>HYPERLINK("http://mcb-m6.bioreg.kyushu-u.ac.jp/M3/20110411/F50905/910/1", 67.67)</f>
        <v>67.67</v>
      </c>
      <c r="E1973" s="2">
        <v>35.42</v>
      </c>
      <c r="F1973" s="2">
        <v>2</v>
      </c>
      <c r="G1973" s="2" t="s">
        <v>9</v>
      </c>
    </row>
    <row r="1974" spans="1:9" x14ac:dyDescent="0.2">
      <c r="A1974" s="2" t="s">
        <v>3243</v>
      </c>
      <c r="B1974" s="2" t="s">
        <v>1212</v>
      </c>
      <c r="C1974" s="2">
        <v>482.42259999999999</v>
      </c>
      <c r="D1974" s="2">
        <f>HYPERLINK("http://mcb-m6.bioreg.kyushu-u.ac.jp/M3/20110411/F50913/968/1", 36.55)</f>
        <v>36.549999999999997</v>
      </c>
      <c r="E1974" s="2">
        <v>11.49</v>
      </c>
      <c r="F1974" s="2">
        <v>2</v>
      </c>
      <c r="G1974" s="2" t="s">
        <v>10</v>
      </c>
    </row>
    <row r="1975" spans="1:9" x14ac:dyDescent="0.2">
      <c r="A1975" s="2" t="s">
        <v>3243</v>
      </c>
      <c r="B1975" s="2" t="s">
        <v>1872</v>
      </c>
      <c r="C1975" s="2">
        <v>875.35519999999997</v>
      </c>
      <c r="D1975" s="2">
        <f>HYPERLINK("http://mcb-m6.bioreg.kyushu-u.ac.jp/M3/20110411/F50913/2661/1", 45.91)</f>
        <v>45.91</v>
      </c>
      <c r="E1975" s="2">
        <v>29.99</v>
      </c>
      <c r="F1975" s="2">
        <v>2</v>
      </c>
      <c r="G1975" s="2" t="s">
        <v>10</v>
      </c>
    </row>
    <row r="1976" spans="1:9" x14ac:dyDescent="0.2">
      <c r="A1976" s="2" t="s">
        <v>3243</v>
      </c>
      <c r="B1976" s="2" t="s">
        <v>376</v>
      </c>
      <c r="C1976" s="2">
        <v>818.56</v>
      </c>
      <c r="D1976" s="2">
        <f>HYPERLINK("http://mcb-m6.bioreg.kyushu-u.ac.jp/M3/20110411/F50913/783/1", 48.45)</f>
        <v>48.45</v>
      </c>
      <c r="E1976" s="2">
        <v>19.309999999999999</v>
      </c>
      <c r="F1976" s="2">
        <v>1</v>
      </c>
      <c r="G1976" s="2" t="s">
        <v>10</v>
      </c>
    </row>
    <row r="1977" spans="1:9" x14ac:dyDescent="0.2">
      <c r="A1977" s="2" t="s">
        <v>3243</v>
      </c>
      <c r="B1977" s="2" t="s">
        <v>23</v>
      </c>
      <c r="C1977" s="2">
        <v>621.49869999999999</v>
      </c>
      <c r="D1977" s="2">
        <f>HYPERLINK("http://mcb-m6.bioreg.kyushu-u.ac.jp/M3/20110411/F50913/1484/1", 70.89)</f>
        <v>70.89</v>
      </c>
      <c r="E1977" s="2">
        <v>57.29</v>
      </c>
      <c r="F1977" s="2">
        <v>2</v>
      </c>
      <c r="G1977" s="2" t="s">
        <v>10</v>
      </c>
    </row>
    <row r="1978" spans="1:9" x14ac:dyDescent="0.2">
      <c r="A1978" s="2" t="s">
        <v>3243</v>
      </c>
      <c r="B1978" s="2" t="s">
        <v>952</v>
      </c>
      <c r="C1978" s="2">
        <v>958.69069999999999</v>
      </c>
      <c r="D1978" s="2">
        <f>HYPERLINK("http://mcb-m6.bioreg.kyushu-u.ac.jp/M3/20110411/F50913/3039/1", 74.52)</f>
        <v>74.52</v>
      </c>
      <c r="E1978" s="2">
        <v>56.37</v>
      </c>
      <c r="F1978" s="2">
        <v>2</v>
      </c>
      <c r="G1978" s="2" t="s">
        <v>10</v>
      </c>
    </row>
    <row r="1979" spans="1:9" x14ac:dyDescent="0.2">
      <c r="A1979" s="2" t="s">
        <v>3243</v>
      </c>
      <c r="B1979" s="2" t="s">
        <v>1212</v>
      </c>
      <c r="C1979" s="2">
        <v>482.19659999999999</v>
      </c>
      <c r="D1979" s="2">
        <f>HYPERLINK("http://mcb-m6.bioreg.kyushu-u.ac.jp/M3/20110414/F50941/816/1", 36.35)</f>
        <v>36.35</v>
      </c>
      <c r="E1979" s="2">
        <v>16.760000000000002</v>
      </c>
      <c r="F1979" s="2">
        <v>2</v>
      </c>
      <c r="G1979" s="2" t="s">
        <v>11</v>
      </c>
    </row>
    <row r="1980" spans="1:9" x14ac:dyDescent="0.2">
      <c r="A1980" s="2" t="s">
        <v>3243</v>
      </c>
      <c r="B1980" s="2" t="s">
        <v>23</v>
      </c>
      <c r="C1980" s="2">
        <v>621.27120000000002</v>
      </c>
      <c r="D1980" s="2">
        <f>HYPERLINK("http://mcb-m6.bioreg.kyushu-u.ac.jp/M3/20110414/F50941/1445/1", 41.49)</f>
        <v>41.49</v>
      </c>
      <c r="E1980" s="2">
        <v>28.56</v>
      </c>
      <c r="F1980" s="2">
        <v>2</v>
      </c>
      <c r="G1980" s="2" t="s">
        <v>11</v>
      </c>
    </row>
    <row r="1981" spans="1:9" x14ac:dyDescent="0.2">
      <c r="A1981" s="2" t="s">
        <v>3243</v>
      </c>
      <c r="B1981" s="2" t="s">
        <v>2436</v>
      </c>
      <c r="C1981" s="2">
        <v>1051.3009999999999</v>
      </c>
      <c r="D1981" s="2">
        <f>HYPERLINK("http://mcb-m6.bioreg.kyushu-u.ac.jp/M3/20110414/F50941/3634/1", 62.93)</f>
        <v>62.93</v>
      </c>
      <c r="E1981" s="2">
        <v>45.24</v>
      </c>
      <c r="F1981" s="2">
        <v>2</v>
      </c>
      <c r="G1981" s="2" t="s">
        <v>11</v>
      </c>
      <c r="I1981" s="2" t="s">
        <v>4893</v>
      </c>
    </row>
    <row r="1982" spans="1:9" x14ac:dyDescent="0.2">
      <c r="A1982" s="2" t="s">
        <v>3243</v>
      </c>
      <c r="B1982" s="2" t="s">
        <v>952</v>
      </c>
      <c r="C1982" s="2">
        <v>958.25710000000004</v>
      </c>
      <c r="D1982" s="2">
        <f>HYPERLINK("http://mcb-m6.bioreg.kyushu-u.ac.jp/M3/20110414/F50941/3269/1", 65.04)</f>
        <v>65.040000000000006</v>
      </c>
      <c r="E1982" s="2">
        <v>51.31</v>
      </c>
      <c r="F1982" s="2">
        <v>2</v>
      </c>
      <c r="G1982" s="2" t="s">
        <v>11</v>
      </c>
    </row>
    <row r="1983" spans="1:9" x14ac:dyDescent="0.2">
      <c r="A1983" s="2" t="s">
        <v>3243</v>
      </c>
      <c r="B1983" s="2" t="s">
        <v>952</v>
      </c>
      <c r="C1983" s="2">
        <v>958.80070000000001</v>
      </c>
      <c r="D1983" s="2">
        <f>HYPERLINK("http://mcb-m6.bioreg.kyushu-u.ac.jp/M3/20110414/F50941/3272/1", 70.89)</f>
        <v>70.89</v>
      </c>
      <c r="E1983" s="2">
        <v>50.09</v>
      </c>
      <c r="F1983" s="2">
        <v>2</v>
      </c>
      <c r="G1983" s="2" t="s">
        <v>11</v>
      </c>
    </row>
    <row r="1984" spans="1:9" x14ac:dyDescent="0.2">
      <c r="A1984" s="2" t="s">
        <v>3243</v>
      </c>
      <c r="B1984" s="2" t="s">
        <v>23</v>
      </c>
      <c r="C1984" s="2">
        <v>621.43409999999994</v>
      </c>
      <c r="D1984" s="2">
        <f>HYPERLINK("http://mcb-m6.bioreg.kyushu-u.ac.jp/M3/20110414/F50947/1268/1", 43.73)</f>
        <v>43.73</v>
      </c>
      <c r="E1984" s="2">
        <v>30.49</v>
      </c>
      <c r="F1984" s="2">
        <v>2</v>
      </c>
      <c r="G1984" s="2" t="s">
        <v>12</v>
      </c>
    </row>
    <row r="1985" spans="1:9" x14ac:dyDescent="0.2">
      <c r="A1985" s="2" t="s">
        <v>3243</v>
      </c>
      <c r="B1985" s="2" t="s">
        <v>1212</v>
      </c>
      <c r="C1985" s="2">
        <v>482.2611</v>
      </c>
      <c r="D1985" s="2">
        <f>HYPERLINK("http://mcb-m6.bioreg.kyushu-u.ac.jp/M3/20110414/F50947/751/1", 44.04)</f>
        <v>44.04</v>
      </c>
      <c r="E1985" s="2">
        <v>17.66</v>
      </c>
      <c r="F1985" s="2">
        <v>2</v>
      </c>
      <c r="G1985" s="2" t="s">
        <v>12</v>
      </c>
    </row>
    <row r="1986" spans="1:9" x14ac:dyDescent="0.2">
      <c r="A1986" s="2" t="s">
        <v>3243</v>
      </c>
      <c r="B1986" s="2" t="s">
        <v>2657</v>
      </c>
      <c r="C1986" s="2">
        <v>610.3827</v>
      </c>
      <c r="D1986" s="2">
        <f>HYPERLINK("http://mcb-m6.bioreg.kyushu-u.ac.jp/M3/20110414/F50947/1225/1", 48.19)</f>
        <v>48.19</v>
      </c>
      <c r="E1986" s="2">
        <v>32.42</v>
      </c>
      <c r="F1986" s="2">
        <v>2</v>
      </c>
      <c r="G1986" s="2" t="s">
        <v>12</v>
      </c>
      <c r="I1986" s="2" t="s">
        <v>4893</v>
      </c>
    </row>
    <row r="1987" spans="1:9" x14ac:dyDescent="0.2">
      <c r="A1987" s="2" t="s">
        <v>3243</v>
      </c>
      <c r="B1987" s="2" t="s">
        <v>2436</v>
      </c>
      <c r="C1987" s="2">
        <v>1051.317</v>
      </c>
      <c r="D1987" s="2">
        <f>HYPERLINK("http://mcb-m6.bioreg.kyushu-u.ac.jp/M3/20110414/F50947/3615/1", 64.92)</f>
        <v>64.92</v>
      </c>
      <c r="E1987" s="2">
        <v>46.72</v>
      </c>
      <c r="F1987" s="2">
        <v>2</v>
      </c>
      <c r="G1987" s="2" t="s">
        <v>12</v>
      </c>
      <c r="I1987" s="2" t="s">
        <v>4893</v>
      </c>
    </row>
    <row r="1988" spans="1:9" x14ac:dyDescent="0.2">
      <c r="A1988" s="2" t="s">
        <v>3243</v>
      </c>
      <c r="B1988" s="2" t="s">
        <v>1212</v>
      </c>
      <c r="C1988" s="2">
        <v>482.4511</v>
      </c>
      <c r="D1988" s="2">
        <f>HYPERLINK("http://mcb-m6.bioreg.kyushu-u.ac.jp/M3/20110502/F51170/927/1", 49.09)</f>
        <v>49.09</v>
      </c>
      <c r="E1988" s="2">
        <v>16.32</v>
      </c>
      <c r="F1988" s="2">
        <v>2</v>
      </c>
      <c r="G1988" s="2" t="s">
        <v>13</v>
      </c>
    </row>
    <row r="1989" spans="1:9" x14ac:dyDescent="0.2">
      <c r="A1989" s="2" t="s">
        <v>3243</v>
      </c>
      <c r="B1989" s="2" t="s">
        <v>376</v>
      </c>
      <c r="C1989" s="2">
        <v>818.54100000000005</v>
      </c>
      <c r="D1989" s="2">
        <f>HYPERLINK("http://mcb-m6.bioreg.kyushu-u.ac.jp/M3/20110502/F51179/404/1", 39.43)</f>
        <v>39.43</v>
      </c>
      <c r="E1989" s="2">
        <v>13.2</v>
      </c>
      <c r="F1989" s="2">
        <v>1</v>
      </c>
      <c r="G1989" s="2" t="s">
        <v>14</v>
      </c>
    </row>
    <row r="1990" spans="1:9" x14ac:dyDescent="0.2">
      <c r="A1990" s="2" t="s">
        <v>3243</v>
      </c>
      <c r="B1990" s="2" t="s">
        <v>2657</v>
      </c>
      <c r="C1990" s="2">
        <v>610.63419999999996</v>
      </c>
      <c r="D1990" s="2">
        <f>HYPERLINK("http://mcb-m6.bioreg.kyushu-u.ac.jp/M3/20110502/F51179/1115/1", 46.23)</f>
        <v>46.23</v>
      </c>
      <c r="E1990" s="2">
        <v>13.23</v>
      </c>
      <c r="F1990" s="2">
        <v>2</v>
      </c>
      <c r="G1990" s="2" t="s">
        <v>14</v>
      </c>
      <c r="I1990" s="2" t="s">
        <v>4893</v>
      </c>
    </row>
    <row r="1991" spans="1:9" x14ac:dyDescent="0.2">
      <c r="A1991" s="2" t="s">
        <v>3243</v>
      </c>
      <c r="B1991" s="2" t="s">
        <v>952</v>
      </c>
      <c r="C1991" s="2">
        <v>958.63959999999997</v>
      </c>
      <c r="D1991" s="2">
        <f>HYPERLINK("http://mcb-m6.bioreg.kyushu-u.ac.jp/M3/20110502/F51179/2965/1", 78.96)</f>
        <v>78.959999999999994</v>
      </c>
      <c r="E1991" s="2">
        <v>61.75</v>
      </c>
      <c r="F1991" s="2">
        <v>2</v>
      </c>
      <c r="G1991" s="2" t="s">
        <v>14</v>
      </c>
    </row>
    <row r="1992" spans="1:9" x14ac:dyDescent="0.2">
      <c r="A1992" s="2" t="s">
        <v>3243</v>
      </c>
      <c r="B1992" s="2" t="s">
        <v>952</v>
      </c>
      <c r="C1992" s="2">
        <v>966.57820000000004</v>
      </c>
      <c r="D1992" s="2">
        <f>HYPERLINK("http://mcb-m6.bioreg.kyushu-u.ac.jp/M3/20110502/F51179/2995/1", 80.87)</f>
        <v>80.87</v>
      </c>
      <c r="E1992" s="2">
        <v>65.709999999999994</v>
      </c>
      <c r="F1992" s="2">
        <v>2</v>
      </c>
      <c r="G1992" s="2" t="s">
        <v>14</v>
      </c>
      <c r="H1992" s="2" t="s">
        <v>4907</v>
      </c>
    </row>
    <row r="1993" spans="1:9" x14ac:dyDescent="0.2">
      <c r="A1993" s="2" t="s">
        <v>3243</v>
      </c>
      <c r="B1993" s="2" t="s">
        <v>23</v>
      </c>
      <c r="C1993" s="2">
        <v>621.48320000000001</v>
      </c>
      <c r="D1993" s="2">
        <f>HYPERLINK("http://mcb-m6.bioreg.kyushu-u.ac.jp/M3/20110502/F51179/1157/1", 81.17)</f>
        <v>81.17</v>
      </c>
      <c r="E1993" s="2">
        <v>66.650000000000006</v>
      </c>
      <c r="F1993" s="2">
        <v>2</v>
      </c>
      <c r="G1993" s="2" t="s">
        <v>14</v>
      </c>
    </row>
    <row r="1994" spans="1:9" x14ac:dyDescent="0.2">
      <c r="A1994" s="2" t="s">
        <v>3243</v>
      </c>
      <c r="B1994" s="2" t="s">
        <v>2436</v>
      </c>
      <c r="C1994" s="2">
        <v>1051.8409999999999</v>
      </c>
      <c r="D1994" s="2">
        <f>HYPERLINK("http://mcb-m6.bioreg.kyushu-u.ac.jp/M3/20110502/F51179/3279/1", 84.56)</f>
        <v>84.56</v>
      </c>
      <c r="E1994" s="2">
        <v>75.69</v>
      </c>
      <c r="F1994" s="2">
        <v>2</v>
      </c>
      <c r="G1994" s="2" t="s">
        <v>14</v>
      </c>
      <c r="I1994" s="2" t="s">
        <v>4893</v>
      </c>
    </row>
    <row r="1995" spans="1:9" x14ac:dyDescent="0.2">
      <c r="A1995" s="2" t="s">
        <v>3562</v>
      </c>
      <c r="B1995" s="2" t="s">
        <v>425</v>
      </c>
      <c r="C1995" s="2">
        <v>540.36320000000001</v>
      </c>
      <c r="D1995" s="2">
        <f>HYPERLINK("http://mcb-m6.bioreg.kyushu-u.ac.jp/M3/20110411/F50905/1112/1", 41.63)</f>
        <v>41.63</v>
      </c>
      <c r="E1995" s="2">
        <v>24.17</v>
      </c>
      <c r="F1995" s="2">
        <v>2</v>
      </c>
      <c r="G1995" s="2" t="s">
        <v>9</v>
      </c>
    </row>
    <row r="1996" spans="1:9" x14ac:dyDescent="0.2">
      <c r="A1996" s="2" t="s">
        <v>3562</v>
      </c>
      <c r="B1996" s="2" t="s">
        <v>425</v>
      </c>
      <c r="C1996" s="2">
        <v>1079.807</v>
      </c>
      <c r="D1996" s="2">
        <f>HYPERLINK("http://mcb-m6.bioreg.kyushu-u.ac.jp/M3/20110411/F50905/1113/1", 47.12)</f>
        <v>47.12</v>
      </c>
      <c r="E1996" s="2">
        <v>25.51</v>
      </c>
      <c r="F1996" s="2">
        <v>1</v>
      </c>
      <c r="G1996" s="2" t="s">
        <v>9</v>
      </c>
    </row>
    <row r="1997" spans="1:9" x14ac:dyDescent="0.2">
      <c r="A1997" s="2" t="s">
        <v>3562</v>
      </c>
      <c r="B1997" s="2" t="s">
        <v>676</v>
      </c>
      <c r="C1997" s="2">
        <v>575.65449999999998</v>
      </c>
      <c r="D1997" s="2">
        <f>HYPERLINK("http://mcb-m6.bioreg.kyushu-u.ac.jp/M3/20110411/F50905/2663/1", 47.92)</f>
        <v>47.92</v>
      </c>
      <c r="E1997" s="2">
        <v>24.03</v>
      </c>
      <c r="F1997" s="2">
        <v>3</v>
      </c>
      <c r="G1997" s="2" t="s">
        <v>9</v>
      </c>
    </row>
    <row r="1998" spans="1:9" x14ac:dyDescent="0.2">
      <c r="A1998" s="2" t="s">
        <v>3562</v>
      </c>
      <c r="B1998" s="2" t="s">
        <v>676</v>
      </c>
      <c r="C1998" s="2">
        <v>862.71370000000002</v>
      </c>
      <c r="D1998" s="2">
        <f>HYPERLINK("http://mcb-m6.bioreg.kyushu-u.ac.jp/M3/20110411/F50905/2661/1", 76.21)</f>
        <v>76.209999999999994</v>
      </c>
      <c r="E1998" s="2">
        <v>58.61</v>
      </c>
      <c r="F1998" s="2">
        <v>2</v>
      </c>
      <c r="G1998" s="2" t="s">
        <v>9</v>
      </c>
    </row>
    <row r="1999" spans="1:9" x14ac:dyDescent="0.2">
      <c r="A1999" s="2" t="s">
        <v>3562</v>
      </c>
      <c r="B1999" s="2" t="s">
        <v>676</v>
      </c>
      <c r="C1999" s="2">
        <v>862.64970000000005</v>
      </c>
      <c r="D1999" s="2">
        <f>HYPERLINK("http://mcb-m6.bioreg.kyushu-u.ac.jp/M3/20110411/F50913/2602/1", 50.39)</f>
        <v>50.39</v>
      </c>
      <c r="E1999" s="2">
        <v>35.31</v>
      </c>
      <c r="F1999" s="2">
        <v>2</v>
      </c>
      <c r="G1999" s="2" t="s">
        <v>10</v>
      </c>
    </row>
    <row r="2000" spans="1:9" x14ac:dyDescent="0.2">
      <c r="A2000" s="2" t="s">
        <v>3562</v>
      </c>
      <c r="B2000" s="2" t="s">
        <v>425</v>
      </c>
      <c r="C2000" s="2">
        <v>1079.742</v>
      </c>
      <c r="D2000" s="2">
        <f>HYPERLINK("http://mcb-m6.bioreg.kyushu-u.ac.jp/M3/20110411/F50913/1171/1", 53.63)</f>
        <v>53.63</v>
      </c>
      <c r="E2000" s="2">
        <v>24.33</v>
      </c>
      <c r="F2000" s="2">
        <v>1</v>
      </c>
      <c r="G2000" s="2" t="s">
        <v>10</v>
      </c>
    </row>
    <row r="2001" spans="1:9" x14ac:dyDescent="0.2">
      <c r="A2001" s="2" t="s">
        <v>3562</v>
      </c>
      <c r="B2001" s="2" t="s">
        <v>425</v>
      </c>
      <c r="C2001" s="2">
        <v>1079.4349999999999</v>
      </c>
      <c r="D2001" s="2">
        <f>HYPERLINK("http://mcb-m6.bioreg.kyushu-u.ac.jp/M3/20110414/F50941/1063/1", 47.88)</f>
        <v>47.88</v>
      </c>
      <c r="E2001" s="2">
        <v>27.09</v>
      </c>
      <c r="F2001" s="2">
        <v>1</v>
      </c>
      <c r="G2001" s="2" t="s">
        <v>11</v>
      </c>
    </row>
    <row r="2002" spans="1:9" x14ac:dyDescent="0.2">
      <c r="A2002" s="2" t="s">
        <v>3562</v>
      </c>
      <c r="B2002" s="2" t="s">
        <v>676</v>
      </c>
      <c r="C2002" s="2">
        <v>862.50620000000004</v>
      </c>
      <c r="D2002" s="2">
        <f>HYPERLINK("http://mcb-m6.bioreg.kyushu-u.ac.jp/M3/20110414/F50947/2688/1", 61.25)</f>
        <v>61.25</v>
      </c>
      <c r="E2002" s="2">
        <v>48.37</v>
      </c>
      <c r="F2002" s="2">
        <v>2</v>
      </c>
      <c r="G2002" s="2" t="s">
        <v>12</v>
      </c>
    </row>
    <row r="2003" spans="1:9" x14ac:dyDescent="0.2">
      <c r="A2003" s="2" t="s">
        <v>3562</v>
      </c>
      <c r="B2003" s="2" t="s">
        <v>425</v>
      </c>
      <c r="C2003" s="2">
        <v>1080.7170000000001</v>
      </c>
      <c r="D2003" s="2">
        <f>HYPERLINK("http://mcb-m6.bioreg.kyushu-u.ac.jp/M3/20110502/F51179/784/1", 43.44)</f>
        <v>43.44</v>
      </c>
      <c r="E2003" s="2">
        <v>22.87</v>
      </c>
      <c r="F2003" s="2">
        <v>1</v>
      </c>
      <c r="G2003" s="2" t="s">
        <v>14</v>
      </c>
    </row>
    <row r="2004" spans="1:9" x14ac:dyDescent="0.2">
      <c r="A2004" s="2" t="s">
        <v>3562</v>
      </c>
      <c r="B2004" s="2" t="s">
        <v>425</v>
      </c>
      <c r="C2004" s="2">
        <v>1079.597</v>
      </c>
      <c r="D2004" s="2">
        <f>HYPERLINK("http://mcb-m6.bioreg.kyushu-u.ac.jp/M3/20110502/F51179/781/1", 50.41)</f>
        <v>50.41</v>
      </c>
      <c r="E2004" s="2">
        <v>26.78</v>
      </c>
      <c r="F2004" s="2">
        <v>1</v>
      </c>
      <c r="G2004" s="2" t="s">
        <v>14</v>
      </c>
    </row>
    <row r="2005" spans="1:9" x14ac:dyDescent="0.2">
      <c r="A2005" s="2" t="s">
        <v>3701</v>
      </c>
      <c r="B2005" s="2" t="s">
        <v>679</v>
      </c>
      <c r="C2005" s="2">
        <v>530.49369999999999</v>
      </c>
      <c r="D2005" s="2">
        <f>HYPERLINK("http://mcb-m6.bioreg.kyushu-u.ac.jp/M3/20110411/F50905/1081/1", 47.99)</f>
        <v>47.99</v>
      </c>
      <c r="E2005" s="2">
        <v>18.600000000000001</v>
      </c>
      <c r="F2005" s="2">
        <v>2</v>
      </c>
      <c r="G2005" s="2" t="s">
        <v>9</v>
      </c>
    </row>
    <row r="2006" spans="1:9" x14ac:dyDescent="0.2">
      <c r="A2006" s="2" t="s">
        <v>3701</v>
      </c>
      <c r="B2006" s="2" t="s">
        <v>717</v>
      </c>
      <c r="C2006" s="2">
        <v>748.36749999999995</v>
      </c>
      <c r="D2006" s="2">
        <f>HYPERLINK("http://mcb-m6.bioreg.kyushu-u.ac.jp/M3/20110411/F50905/3700/1", 49.21)</f>
        <v>49.21</v>
      </c>
      <c r="E2006" s="2">
        <v>29.2</v>
      </c>
      <c r="F2006" s="2">
        <v>3</v>
      </c>
      <c r="G2006" s="2" t="s">
        <v>9</v>
      </c>
    </row>
    <row r="2007" spans="1:9" x14ac:dyDescent="0.2">
      <c r="A2007" s="2" t="s">
        <v>3701</v>
      </c>
      <c r="B2007" s="2" t="s">
        <v>717</v>
      </c>
      <c r="C2007" s="2">
        <v>1121.8409999999999</v>
      </c>
      <c r="D2007" s="2">
        <f>HYPERLINK("http://mcb-m6.bioreg.kyushu-u.ac.jp/M3/20110411/F50905/3699/1", 91.77)</f>
        <v>91.77</v>
      </c>
      <c r="E2007" s="2">
        <v>73.06</v>
      </c>
      <c r="F2007" s="2">
        <v>2</v>
      </c>
      <c r="G2007" s="2" t="s">
        <v>9</v>
      </c>
    </row>
    <row r="2008" spans="1:9" x14ac:dyDescent="0.2">
      <c r="A2008" s="2" t="s">
        <v>3701</v>
      </c>
      <c r="B2008" s="2" t="s">
        <v>679</v>
      </c>
      <c r="C2008" s="2">
        <v>530.52260000000001</v>
      </c>
      <c r="D2008" s="2">
        <f>HYPERLINK("http://mcb-m6.bioreg.kyushu-u.ac.jp/M3/20110411/F50913/1134/1", 51.2)</f>
        <v>51.2</v>
      </c>
      <c r="E2008" s="2">
        <v>24</v>
      </c>
      <c r="F2008" s="2">
        <v>2</v>
      </c>
      <c r="G2008" s="2" t="s">
        <v>10</v>
      </c>
    </row>
    <row r="2009" spans="1:9" x14ac:dyDescent="0.2">
      <c r="A2009" s="2" t="s">
        <v>4718</v>
      </c>
      <c r="B2009" s="2" t="s">
        <v>2913</v>
      </c>
      <c r="C2009" s="2">
        <v>688.41669999999999</v>
      </c>
      <c r="D2009" s="2">
        <f>HYPERLINK("http://mcb-m6.bioreg.kyushu-u.ac.jp/M3/20110502/F51171/1778/1", 49.59)</f>
        <v>49.59</v>
      </c>
      <c r="E2009" s="2">
        <v>27.93</v>
      </c>
      <c r="F2009" s="2">
        <v>2</v>
      </c>
      <c r="G2009" s="2" t="s">
        <v>13</v>
      </c>
    </row>
    <row r="2010" spans="1:9" x14ac:dyDescent="0.2">
      <c r="A2010" s="2" t="s">
        <v>3246</v>
      </c>
      <c r="B2010" s="2" t="s">
        <v>26</v>
      </c>
      <c r="C2010" s="2">
        <v>503.36759999999998</v>
      </c>
      <c r="D2010" s="2">
        <f>HYPERLINK("http://mcb-m6.bioreg.kyushu-u.ac.jp/M3/20110411/F50911/980/1", 35.17)</f>
        <v>35.17</v>
      </c>
      <c r="E2010" s="2">
        <v>8.07</v>
      </c>
      <c r="F2010" s="2">
        <v>2</v>
      </c>
      <c r="G2010" s="2" t="s">
        <v>9</v>
      </c>
      <c r="I2010" s="2" t="s">
        <v>4892</v>
      </c>
    </row>
    <row r="2011" spans="1:9" x14ac:dyDescent="0.2">
      <c r="A2011" s="2" t="s">
        <v>3246</v>
      </c>
      <c r="B2011" s="2" t="s">
        <v>26</v>
      </c>
      <c r="C2011" s="2">
        <v>503.4101</v>
      </c>
      <c r="D2011" s="2">
        <f>HYPERLINK("http://mcb-m6.bioreg.kyushu-u.ac.jp/M3/20110502/F51184/563/1", 43.09)</f>
        <v>43.09</v>
      </c>
      <c r="E2011" s="2">
        <v>18.79</v>
      </c>
      <c r="F2011" s="2">
        <v>2</v>
      </c>
      <c r="G2011" s="2" t="s">
        <v>14</v>
      </c>
      <c r="I2011" s="2" t="s">
        <v>4892</v>
      </c>
    </row>
    <row r="2012" spans="1:9" x14ac:dyDescent="0.2">
      <c r="A2012" s="2" t="s">
        <v>4442</v>
      </c>
      <c r="B2012" s="2" t="s">
        <v>2336</v>
      </c>
      <c r="C2012" s="2">
        <v>681.1422</v>
      </c>
      <c r="D2012" s="2">
        <f>HYPERLINK("http://mcb-m6.bioreg.kyushu-u.ac.jp/M3/20110414/F50928/1967/1", 47.74)</f>
        <v>47.74</v>
      </c>
      <c r="E2012" s="2">
        <v>25.95</v>
      </c>
      <c r="F2012" s="2">
        <v>2</v>
      </c>
      <c r="G2012" s="2" t="s">
        <v>11</v>
      </c>
    </row>
    <row r="2013" spans="1:9" x14ac:dyDescent="0.2">
      <c r="A2013" s="2" t="s">
        <v>4442</v>
      </c>
      <c r="B2013" s="2" t="s">
        <v>2336</v>
      </c>
      <c r="C2013" s="2">
        <v>681.53520000000003</v>
      </c>
      <c r="D2013" s="2">
        <f>HYPERLINK("http://mcb-m6.bioreg.kyushu-u.ac.jp/M3/20110502/F51169/1854/1", 55.89)</f>
        <v>55.89</v>
      </c>
      <c r="E2013" s="2">
        <v>35.1</v>
      </c>
      <c r="F2013" s="2">
        <v>2</v>
      </c>
      <c r="G2013" s="2" t="s">
        <v>13</v>
      </c>
    </row>
    <row r="2014" spans="1:9" x14ac:dyDescent="0.2">
      <c r="A2014" s="2" t="s">
        <v>4442</v>
      </c>
      <c r="B2014" s="2" t="s">
        <v>2336</v>
      </c>
      <c r="C2014" s="2">
        <v>681.5222</v>
      </c>
      <c r="D2014" s="2">
        <f>HYPERLINK("http://mcb-m6.bioreg.kyushu-u.ac.jp/M3/20110502/F51178/1830/1", 47.98)</f>
        <v>47.98</v>
      </c>
      <c r="E2014" s="2">
        <v>29.31</v>
      </c>
      <c r="F2014" s="2">
        <v>2</v>
      </c>
      <c r="G2014" s="2" t="s">
        <v>14</v>
      </c>
    </row>
    <row r="2015" spans="1:9" x14ac:dyDescent="0.2">
      <c r="A2015" s="2" t="s">
        <v>4447</v>
      </c>
      <c r="B2015" s="2" t="s">
        <v>2346</v>
      </c>
      <c r="C2015" s="2">
        <v>871.40009999999995</v>
      </c>
      <c r="D2015" s="2">
        <f>HYPERLINK("http://mcb-m6.bioreg.kyushu-u.ac.jp/M3/20110414/F50943/2579/1", 49)</f>
        <v>49</v>
      </c>
      <c r="E2015" s="2">
        <v>38.67</v>
      </c>
      <c r="F2015" s="2">
        <v>2</v>
      </c>
      <c r="G2015" s="2" t="s">
        <v>11</v>
      </c>
    </row>
    <row r="2016" spans="1:9" x14ac:dyDescent="0.2">
      <c r="A2016" s="2" t="s">
        <v>3719</v>
      </c>
      <c r="B2016" s="2" t="s">
        <v>708</v>
      </c>
      <c r="C2016" s="2">
        <v>677.80909999999994</v>
      </c>
      <c r="D2016" s="2">
        <f>HYPERLINK("http://mcb-m6.bioreg.kyushu-u.ac.jp/M3/20110411/F50890/1824/1", 48.92)</f>
        <v>48.92</v>
      </c>
      <c r="E2016" s="2">
        <v>29.48</v>
      </c>
      <c r="F2016" s="2">
        <v>2</v>
      </c>
      <c r="G2016" s="2" t="s">
        <v>9</v>
      </c>
    </row>
    <row r="2017" spans="1:9" x14ac:dyDescent="0.2">
      <c r="A2017" s="2" t="s">
        <v>4468</v>
      </c>
      <c r="B2017" s="2" t="s">
        <v>2405</v>
      </c>
      <c r="C2017" s="2">
        <v>712.10569999999996</v>
      </c>
      <c r="D2017" s="2">
        <f>HYPERLINK("http://mcb-m6.bioreg.kyushu-u.ac.jp/M3/20110414/F50924/1976/1", 57.62)</f>
        <v>57.62</v>
      </c>
      <c r="E2017" s="2">
        <v>41.42</v>
      </c>
      <c r="F2017" s="2">
        <v>2</v>
      </c>
      <c r="G2017" s="2" t="s">
        <v>11</v>
      </c>
      <c r="I2017" s="2" t="s">
        <v>4905</v>
      </c>
    </row>
    <row r="2018" spans="1:9" x14ac:dyDescent="0.2">
      <c r="A2018" s="2" t="s">
        <v>4428</v>
      </c>
      <c r="B2018" s="2" t="s">
        <v>2305</v>
      </c>
      <c r="C2018" s="2">
        <v>902.80499999999995</v>
      </c>
      <c r="D2018" s="2">
        <f>HYPERLINK("http://mcb-m6.bioreg.kyushu-u.ac.jp/M3/20110414/F50924/773/1", 44.73)</f>
        <v>44.73</v>
      </c>
      <c r="E2018" s="2">
        <v>32.44</v>
      </c>
      <c r="F2018" s="2">
        <v>1</v>
      </c>
      <c r="G2018" s="2" t="s">
        <v>11</v>
      </c>
      <c r="I2018" s="2" t="s">
        <v>4903</v>
      </c>
    </row>
    <row r="2019" spans="1:9" x14ac:dyDescent="0.2">
      <c r="A2019" s="2" t="s">
        <v>4298</v>
      </c>
      <c r="B2019" s="2" t="s">
        <v>2011</v>
      </c>
      <c r="C2019" s="2">
        <v>666.17970000000003</v>
      </c>
      <c r="D2019" s="2">
        <f>HYPERLINK("http://mcb-m6.bioreg.kyushu-u.ac.jp/M3/20110411/F50898/1932/1", 61.26)</f>
        <v>61.26</v>
      </c>
      <c r="E2019" s="2">
        <v>47.68</v>
      </c>
      <c r="F2019" s="2">
        <v>2</v>
      </c>
      <c r="G2019" s="2" t="s">
        <v>10</v>
      </c>
    </row>
    <row r="2020" spans="1:9" x14ac:dyDescent="0.2">
      <c r="A2020" s="2" t="s">
        <v>4298</v>
      </c>
      <c r="B2020" s="2" t="s">
        <v>2011</v>
      </c>
      <c r="C2020" s="2">
        <v>666.39319999999998</v>
      </c>
      <c r="D2020" s="2">
        <f>HYPERLINK("http://mcb-m6.bioreg.kyushu-u.ac.jp/M3/20110414/F50928/1895/1", 37.29)</f>
        <v>37.29</v>
      </c>
      <c r="E2020" s="2">
        <v>21.68</v>
      </c>
      <c r="F2020" s="2">
        <v>2</v>
      </c>
      <c r="G2020" s="2" t="s">
        <v>11</v>
      </c>
    </row>
    <row r="2021" spans="1:9" x14ac:dyDescent="0.2">
      <c r="A2021" s="2" t="s">
        <v>3328</v>
      </c>
      <c r="B2021" s="2" t="s">
        <v>115</v>
      </c>
      <c r="C2021" s="2">
        <v>905.98910000000001</v>
      </c>
      <c r="D2021" s="2">
        <f>HYPERLINK("http://mcb-m6.bioreg.kyushu-u.ac.jp/M3/20110411/F50891/3029/1", 36.25)</f>
        <v>36.25</v>
      </c>
      <c r="E2021" s="2">
        <v>23.54</v>
      </c>
      <c r="F2021" s="2">
        <v>2</v>
      </c>
      <c r="G2021" s="2" t="s">
        <v>9</v>
      </c>
    </row>
    <row r="2022" spans="1:9" x14ac:dyDescent="0.2">
      <c r="A2022" s="2" t="s">
        <v>3328</v>
      </c>
      <c r="B2022" s="2" t="s">
        <v>115</v>
      </c>
      <c r="C2022" s="2">
        <v>604.36789999999996</v>
      </c>
      <c r="D2022" s="2">
        <f>HYPERLINK("http://mcb-m6.bioreg.kyushu-u.ac.jp/M3/20110411/F50891/3030/1", 40.08)</f>
        <v>40.08</v>
      </c>
      <c r="E2022" s="2">
        <v>28.12</v>
      </c>
      <c r="F2022" s="2">
        <v>3</v>
      </c>
      <c r="G2022" s="2" t="s">
        <v>9</v>
      </c>
    </row>
    <row r="2023" spans="1:9" x14ac:dyDescent="0.2">
      <c r="A2023" s="2" t="s">
        <v>3328</v>
      </c>
      <c r="B2023" s="2" t="s">
        <v>115</v>
      </c>
      <c r="C2023" s="2">
        <v>906.50869999999998</v>
      </c>
      <c r="D2023" s="2">
        <f>HYPERLINK("http://mcb-m6.bioreg.kyushu-u.ac.jp/M3/20110411/F50891/3032/1", 55.05)</f>
        <v>55.05</v>
      </c>
      <c r="E2023" s="2">
        <v>37.28</v>
      </c>
      <c r="F2023" s="2">
        <v>2</v>
      </c>
      <c r="G2023" s="2" t="s">
        <v>9</v>
      </c>
    </row>
    <row r="2024" spans="1:9" x14ac:dyDescent="0.2">
      <c r="A2024" s="2" t="s">
        <v>3328</v>
      </c>
      <c r="B2024" s="2" t="s">
        <v>1462</v>
      </c>
      <c r="C2024" s="2">
        <v>893.64919999999995</v>
      </c>
      <c r="D2024" s="2">
        <f>HYPERLINK("http://mcb-m6.bioreg.kyushu-u.ac.jp/M3/20110411/F50891/2937/1", 82.89)</f>
        <v>82.89</v>
      </c>
      <c r="E2024" s="2">
        <v>60.37</v>
      </c>
      <c r="F2024" s="2">
        <v>2</v>
      </c>
      <c r="G2024" s="2" t="s">
        <v>9</v>
      </c>
    </row>
    <row r="2025" spans="1:9" x14ac:dyDescent="0.2">
      <c r="A2025" s="2" t="s">
        <v>3328</v>
      </c>
      <c r="B2025" s="2" t="s">
        <v>2150</v>
      </c>
      <c r="C2025" s="2">
        <v>706.58969999999999</v>
      </c>
      <c r="D2025" s="2">
        <f>HYPERLINK("http://mcb-m6.bioreg.kyushu-u.ac.jp/M3/20110414/F50928/2113/1", 35.05)</f>
        <v>35.049999999999997</v>
      </c>
      <c r="E2025" s="2">
        <v>12.23</v>
      </c>
      <c r="F2025" s="2">
        <v>2</v>
      </c>
      <c r="G2025" s="2" t="s">
        <v>11</v>
      </c>
    </row>
    <row r="2026" spans="1:9" x14ac:dyDescent="0.2">
      <c r="A2026" s="2" t="s">
        <v>3328</v>
      </c>
      <c r="B2026" s="2" t="s">
        <v>2869</v>
      </c>
      <c r="C2026" s="2">
        <v>515.26260000000002</v>
      </c>
      <c r="D2026" s="2">
        <f>HYPERLINK("http://mcb-m6.bioreg.kyushu-u.ac.jp/M3/20110502/F51169/1219/1", 40.44)</f>
        <v>40.44</v>
      </c>
      <c r="E2026" s="2">
        <v>18.940000000000001</v>
      </c>
      <c r="F2026" s="2">
        <v>2</v>
      </c>
      <c r="G2026" s="2" t="s">
        <v>13</v>
      </c>
    </row>
    <row r="2027" spans="1:9" x14ac:dyDescent="0.2">
      <c r="A2027" s="2" t="s">
        <v>3328</v>
      </c>
      <c r="B2027" s="2" t="s">
        <v>3205</v>
      </c>
      <c r="C2027" s="2">
        <v>759.12869999999998</v>
      </c>
      <c r="D2027" s="2">
        <f>HYPERLINK("http://mcb-m6.bioreg.kyushu-u.ac.jp/M3/20110502/F51178/2205/1", 73.41)</f>
        <v>73.41</v>
      </c>
      <c r="E2027" s="2">
        <v>47.58</v>
      </c>
      <c r="F2027" s="2">
        <v>2</v>
      </c>
      <c r="G2027" s="2" t="s">
        <v>14</v>
      </c>
    </row>
    <row r="2028" spans="1:9" x14ac:dyDescent="0.2">
      <c r="A2028" s="2" t="s">
        <v>3948</v>
      </c>
      <c r="B2028" s="2" t="s">
        <v>1149</v>
      </c>
      <c r="C2028" s="2">
        <v>593.31569999999999</v>
      </c>
      <c r="D2028" s="2">
        <f>HYPERLINK("http://mcb-m6.bioreg.kyushu-u.ac.jp/M3/20110411/F50892/1626/1", 65.07)</f>
        <v>65.069999999999993</v>
      </c>
      <c r="E2028" s="2">
        <v>44.44</v>
      </c>
      <c r="F2028" s="2">
        <v>2</v>
      </c>
      <c r="G2028" s="2" t="s">
        <v>9</v>
      </c>
    </row>
    <row r="2029" spans="1:9" x14ac:dyDescent="0.2">
      <c r="A2029" s="2" t="s">
        <v>3948</v>
      </c>
      <c r="B2029" s="2" t="s">
        <v>1269</v>
      </c>
      <c r="C2029" s="2">
        <v>505.37909999999999</v>
      </c>
      <c r="D2029" s="2">
        <f>HYPERLINK("http://mcb-m6.bioreg.kyushu-u.ac.jp/M3/20110411/F50892/1324/1", 69.8)</f>
        <v>69.8</v>
      </c>
      <c r="E2029" s="2">
        <v>38.94</v>
      </c>
      <c r="F2029" s="2">
        <v>2</v>
      </c>
      <c r="G2029" s="2" t="s">
        <v>9</v>
      </c>
    </row>
    <row r="2030" spans="1:9" x14ac:dyDescent="0.2">
      <c r="A2030" s="2" t="s">
        <v>3948</v>
      </c>
      <c r="B2030" s="2" t="s">
        <v>1149</v>
      </c>
      <c r="C2030" s="2">
        <v>593.90060000000005</v>
      </c>
      <c r="D2030" s="2">
        <f>HYPERLINK("http://mcb-m6.bioreg.kyushu-u.ac.jp/M3/20110411/F50892/1629/1", 81.38)</f>
        <v>81.38</v>
      </c>
      <c r="E2030" s="2">
        <v>57.76</v>
      </c>
      <c r="F2030" s="2">
        <v>2</v>
      </c>
      <c r="G2030" s="2" t="s">
        <v>9</v>
      </c>
    </row>
    <row r="2031" spans="1:9" x14ac:dyDescent="0.2">
      <c r="A2031" s="2" t="s">
        <v>3948</v>
      </c>
      <c r="B2031" s="2" t="s">
        <v>1508</v>
      </c>
      <c r="C2031" s="2">
        <v>661.42570000000001</v>
      </c>
      <c r="D2031" s="2">
        <f>HYPERLINK("http://mcb-m6.bioreg.kyushu-u.ac.jp/M3/20110411/F50892/1835/1", 87)</f>
        <v>87</v>
      </c>
      <c r="E2031" s="2">
        <v>69.150000000000006</v>
      </c>
      <c r="F2031" s="2">
        <v>2</v>
      </c>
      <c r="G2031" s="2" t="s">
        <v>9</v>
      </c>
    </row>
    <row r="2032" spans="1:9" x14ac:dyDescent="0.2">
      <c r="A2032" s="2" t="s">
        <v>3948</v>
      </c>
      <c r="B2032" s="2" t="s">
        <v>1614</v>
      </c>
      <c r="C2032" s="2">
        <v>717.52760000000001</v>
      </c>
      <c r="D2032" s="2">
        <f>HYPERLINK("http://mcb-m6.bioreg.kyushu-u.ac.jp/M3/20110411/F50892/2105/1", 100.55)</f>
        <v>100.55</v>
      </c>
      <c r="E2032" s="2">
        <v>80.61</v>
      </c>
      <c r="F2032" s="2">
        <v>2</v>
      </c>
      <c r="G2032" s="2" t="s">
        <v>9</v>
      </c>
    </row>
    <row r="2033" spans="1:9" x14ac:dyDescent="0.2">
      <c r="A2033" s="2" t="s">
        <v>3948</v>
      </c>
      <c r="B2033" s="2" t="s">
        <v>1614</v>
      </c>
      <c r="C2033" s="2">
        <v>717.49959999999999</v>
      </c>
      <c r="D2033" s="2">
        <f>HYPERLINK("http://mcb-m6.bioreg.kyushu-u.ac.jp/M3/20110411/F50899/2149/1", 79.59)</f>
        <v>79.59</v>
      </c>
      <c r="E2033" s="2">
        <v>45.27</v>
      </c>
      <c r="F2033" s="2">
        <v>2</v>
      </c>
      <c r="G2033" s="2" t="s">
        <v>10</v>
      </c>
    </row>
    <row r="2034" spans="1:9" x14ac:dyDescent="0.2">
      <c r="A2034" s="2" t="s">
        <v>3948</v>
      </c>
      <c r="B2034" s="2" t="s">
        <v>1508</v>
      </c>
      <c r="C2034" s="2">
        <v>661.31820000000005</v>
      </c>
      <c r="D2034" s="2">
        <f>HYPERLINK("http://mcb-m6.bioreg.kyushu-u.ac.jp/M3/20110414/F50945/1613/1", 36.99)</f>
        <v>36.99</v>
      </c>
      <c r="E2034" s="2">
        <v>20.21</v>
      </c>
      <c r="F2034" s="2">
        <v>2</v>
      </c>
      <c r="G2034" s="2" t="s">
        <v>11</v>
      </c>
    </row>
    <row r="2035" spans="1:9" x14ac:dyDescent="0.2">
      <c r="A2035" s="2" t="s">
        <v>3978</v>
      </c>
      <c r="B2035" s="2" t="s">
        <v>1225</v>
      </c>
      <c r="C2035" s="2">
        <v>637.73519999999996</v>
      </c>
      <c r="D2035" s="2">
        <f>HYPERLINK("http://mcb-m6.bioreg.kyushu-u.ac.jp/M3/20110411/F50911/1554/1", 68.1)</f>
        <v>68.099999999999994</v>
      </c>
      <c r="E2035" s="2">
        <v>30.83</v>
      </c>
      <c r="F2035" s="2">
        <v>2</v>
      </c>
      <c r="G2035" s="2" t="s">
        <v>9</v>
      </c>
    </row>
    <row r="2036" spans="1:9" x14ac:dyDescent="0.2">
      <c r="A2036" s="2" t="s">
        <v>3978</v>
      </c>
      <c r="B2036" s="2" t="s">
        <v>1225</v>
      </c>
      <c r="C2036" s="2">
        <v>637.51260000000002</v>
      </c>
      <c r="D2036" s="2">
        <f>HYPERLINK("http://mcb-m6.bioreg.kyushu-u.ac.jp/M3/20110411/F50904/1570/1", 72.15)</f>
        <v>72.150000000000006</v>
      </c>
      <c r="E2036" s="2">
        <v>33.26</v>
      </c>
      <c r="F2036" s="2">
        <v>2</v>
      </c>
      <c r="G2036" s="2" t="s">
        <v>9</v>
      </c>
    </row>
    <row r="2037" spans="1:9" x14ac:dyDescent="0.2">
      <c r="A2037" s="2" t="s">
        <v>3978</v>
      </c>
      <c r="B2037" s="2" t="s">
        <v>1225</v>
      </c>
      <c r="C2037" s="2">
        <v>645.59370000000001</v>
      </c>
      <c r="D2037" s="2">
        <f>HYPERLINK("http://mcb-m6.bioreg.kyushu-u.ac.jp/M3/20110411/F50904/1593/1", 75.59)</f>
        <v>75.59</v>
      </c>
      <c r="E2037" s="2">
        <v>52.95</v>
      </c>
      <c r="F2037" s="2">
        <v>2</v>
      </c>
      <c r="G2037" s="2" t="s">
        <v>9</v>
      </c>
      <c r="H2037" s="2" t="s">
        <v>4900</v>
      </c>
    </row>
    <row r="2038" spans="1:9" x14ac:dyDescent="0.2">
      <c r="A2038" s="2" t="s">
        <v>3978</v>
      </c>
      <c r="B2038" s="2" t="s">
        <v>2002</v>
      </c>
      <c r="C2038" s="2">
        <v>452.35509999999999</v>
      </c>
      <c r="D2038" s="2">
        <f>HYPERLINK("http://mcb-m6.bioreg.kyushu-u.ac.jp/M3/20110411/F50921/627/1", 59.24)</f>
        <v>59.24</v>
      </c>
      <c r="E2038" s="2">
        <v>20.239999999999998</v>
      </c>
      <c r="F2038" s="2">
        <v>2</v>
      </c>
      <c r="G2038" s="2" t="s">
        <v>10</v>
      </c>
    </row>
    <row r="2039" spans="1:9" x14ac:dyDescent="0.2">
      <c r="A2039" s="2" t="s">
        <v>3978</v>
      </c>
      <c r="B2039" s="2" t="s">
        <v>1225</v>
      </c>
      <c r="C2039" s="2">
        <v>637.89120000000003</v>
      </c>
      <c r="D2039" s="2">
        <f>HYPERLINK("http://mcb-m6.bioreg.kyushu-u.ac.jp/M3/20110411/F50921/1362/1", 63.04)</f>
        <v>63.04</v>
      </c>
      <c r="E2039" s="2">
        <v>25.47</v>
      </c>
      <c r="F2039" s="2">
        <v>2</v>
      </c>
      <c r="G2039" s="2" t="s">
        <v>10</v>
      </c>
    </row>
    <row r="2040" spans="1:9" x14ac:dyDescent="0.2">
      <c r="A2040" s="2" t="s">
        <v>3978</v>
      </c>
      <c r="B2040" s="2" t="s">
        <v>1225</v>
      </c>
      <c r="C2040" s="2">
        <v>637.54020000000003</v>
      </c>
      <c r="D2040" s="2">
        <f>HYPERLINK("http://mcb-m6.bioreg.kyushu-u.ac.jp/M3/20110411/F50912/1584/1", 74.94)</f>
        <v>74.94</v>
      </c>
      <c r="E2040" s="2">
        <v>34.69</v>
      </c>
      <c r="F2040" s="2">
        <v>2</v>
      </c>
      <c r="G2040" s="2" t="s">
        <v>10</v>
      </c>
    </row>
    <row r="2041" spans="1:9" x14ac:dyDescent="0.2">
      <c r="A2041" s="2" t="s">
        <v>3978</v>
      </c>
      <c r="B2041" s="2" t="s">
        <v>2101</v>
      </c>
      <c r="C2041" s="2">
        <v>593.08119999999997</v>
      </c>
      <c r="D2041" s="2">
        <f>HYPERLINK("http://mcb-m6.bioreg.kyushu-u.ac.jp/M3/20110411/F50912/1401/1", 81.07)</f>
        <v>81.069999999999993</v>
      </c>
      <c r="E2041" s="2">
        <v>48.42</v>
      </c>
      <c r="F2041" s="2">
        <v>2</v>
      </c>
      <c r="G2041" s="2" t="s">
        <v>10</v>
      </c>
    </row>
    <row r="2042" spans="1:9" x14ac:dyDescent="0.2">
      <c r="A2042" s="2" t="s">
        <v>3978</v>
      </c>
      <c r="B2042" s="2" t="s">
        <v>1225</v>
      </c>
      <c r="C2042" s="2">
        <v>637.40009999999995</v>
      </c>
      <c r="D2042" s="2">
        <f>HYPERLINK("http://mcb-m6.bioreg.kyushu-u.ac.jp/M3/20110411/F50914/1610/1", 85.31)</f>
        <v>85.31</v>
      </c>
      <c r="E2042" s="2">
        <v>39.29</v>
      </c>
      <c r="F2042" s="2">
        <v>2</v>
      </c>
      <c r="G2042" s="2" t="s">
        <v>10</v>
      </c>
    </row>
    <row r="2043" spans="1:9" x14ac:dyDescent="0.2">
      <c r="A2043" s="2" t="s">
        <v>3978</v>
      </c>
      <c r="B2043" s="2" t="s">
        <v>1225</v>
      </c>
      <c r="C2043" s="2">
        <v>637.23170000000005</v>
      </c>
      <c r="D2043" s="2">
        <f>HYPERLINK("http://mcb-m6.bioreg.kyushu-u.ac.jp/M3/20110414/F50962/1415/1", 51.43)</f>
        <v>51.43</v>
      </c>
      <c r="E2043" s="2">
        <v>26.69</v>
      </c>
      <c r="F2043" s="2">
        <v>2</v>
      </c>
      <c r="G2043" s="2" t="s">
        <v>11</v>
      </c>
    </row>
    <row r="2044" spans="1:9" x14ac:dyDescent="0.2">
      <c r="A2044" s="2" t="s">
        <v>3978</v>
      </c>
      <c r="B2044" s="2" t="s">
        <v>1225</v>
      </c>
      <c r="C2044" s="2">
        <v>637.76760000000002</v>
      </c>
      <c r="D2044" s="2">
        <f>HYPERLINK("http://mcb-m6.bioreg.kyushu-u.ac.jp/M3/20110414/F50962/1416/1", 57.77)</f>
        <v>57.77</v>
      </c>
      <c r="E2044" s="2">
        <v>25.69</v>
      </c>
      <c r="F2044" s="2">
        <v>2</v>
      </c>
      <c r="G2044" s="2" t="s">
        <v>11</v>
      </c>
    </row>
    <row r="2045" spans="1:9" x14ac:dyDescent="0.2">
      <c r="A2045" s="2" t="s">
        <v>3978</v>
      </c>
      <c r="B2045" s="2" t="s">
        <v>2002</v>
      </c>
      <c r="C2045" s="2">
        <v>452.14760000000001</v>
      </c>
      <c r="D2045" s="2">
        <f>HYPERLINK("http://mcb-m6.bioreg.kyushu-u.ac.jp/M3/20110414/F50962/622/1", 58.67)</f>
        <v>58.67</v>
      </c>
      <c r="E2045" s="2">
        <v>24.59</v>
      </c>
      <c r="F2045" s="2">
        <v>2</v>
      </c>
      <c r="G2045" s="2" t="s">
        <v>11</v>
      </c>
    </row>
    <row r="2046" spans="1:9" x14ac:dyDescent="0.2">
      <c r="A2046" s="2" t="s">
        <v>3978</v>
      </c>
      <c r="B2046" s="2" t="s">
        <v>1225</v>
      </c>
      <c r="C2046" s="2">
        <v>637.48270000000002</v>
      </c>
      <c r="D2046" s="2">
        <f>HYPERLINK("http://mcb-m6.bioreg.kyushu-u.ac.jp/M3/20110502/F51191/1273/1", 46.27)</f>
        <v>46.27</v>
      </c>
      <c r="E2046" s="2">
        <v>25.4</v>
      </c>
      <c r="F2046" s="2">
        <v>2</v>
      </c>
      <c r="G2046" s="2" t="s">
        <v>14</v>
      </c>
    </row>
    <row r="2047" spans="1:9" x14ac:dyDescent="0.2">
      <c r="A2047" s="2" t="s">
        <v>3457</v>
      </c>
      <c r="B2047" s="2" t="s">
        <v>268</v>
      </c>
      <c r="C2047" s="2">
        <v>665.40769999999998</v>
      </c>
      <c r="D2047" s="2">
        <f>HYPERLINK("http://mcb-m6.bioreg.kyushu-u.ac.jp/M3/20110411/F50919/1277/1", 38.77)</f>
        <v>38.770000000000003</v>
      </c>
      <c r="E2047" s="2">
        <v>20.87</v>
      </c>
      <c r="F2047" s="2">
        <v>2</v>
      </c>
      <c r="G2047" s="2" t="s">
        <v>9</v>
      </c>
      <c r="I2047" s="2" t="s">
        <v>4893</v>
      </c>
    </row>
    <row r="2048" spans="1:9" x14ac:dyDescent="0.2">
      <c r="A2048" s="2" t="s">
        <v>3457</v>
      </c>
      <c r="B2048" s="2" t="s">
        <v>890</v>
      </c>
      <c r="C2048" s="2">
        <v>929.96420000000001</v>
      </c>
      <c r="D2048" s="2">
        <f>HYPERLINK("http://mcb-m6.bioreg.kyushu-u.ac.jp/M3/20110411/F50919/4051/1", 54.73)</f>
        <v>54.73</v>
      </c>
      <c r="E2048" s="2">
        <v>41.78</v>
      </c>
      <c r="F2048" s="2">
        <v>3</v>
      </c>
      <c r="G2048" s="2" t="s">
        <v>9</v>
      </c>
    </row>
    <row r="2049" spans="1:9" x14ac:dyDescent="0.2">
      <c r="A2049" s="2" t="s">
        <v>3457</v>
      </c>
      <c r="B2049" s="2" t="s">
        <v>1037</v>
      </c>
      <c r="C2049" s="2">
        <v>1447.97</v>
      </c>
      <c r="D2049" s="2">
        <f>HYPERLINK("http://mcb-m6.bioreg.kyushu-u.ac.jp/M3/20110411/F50904/1962/1", 59.8)</f>
        <v>59.8</v>
      </c>
      <c r="E2049" s="2">
        <v>40.229999999999997</v>
      </c>
      <c r="F2049" s="2">
        <v>1</v>
      </c>
      <c r="G2049" s="2" t="s">
        <v>9</v>
      </c>
    </row>
    <row r="2050" spans="1:9" x14ac:dyDescent="0.2">
      <c r="A2050" s="2" t="s">
        <v>3457</v>
      </c>
      <c r="B2050" s="2" t="s">
        <v>1037</v>
      </c>
      <c r="C2050" s="2">
        <v>724.24659999999994</v>
      </c>
      <c r="D2050" s="2">
        <f>HYPERLINK("http://mcb-m6.bioreg.kyushu-u.ac.jp/M3/20110411/F50889/2199/1", 62.39)</f>
        <v>62.39</v>
      </c>
      <c r="E2050" s="2">
        <v>39.72</v>
      </c>
      <c r="F2050" s="2">
        <v>2</v>
      </c>
      <c r="G2050" s="2" t="s">
        <v>9</v>
      </c>
    </row>
    <row r="2051" spans="1:9" x14ac:dyDescent="0.2">
      <c r="A2051" s="2" t="s">
        <v>3457</v>
      </c>
      <c r="B2051" s="2" t="s">
        <v>1037</v>
      </c>
      <c r="C2051" s="2">
        <v>1447.8209999999999</v>
      </c>
      <c r="D2051" s="2">
        <f>HYPERLINK("http://mcb-m6.bioreg.kyushu-u.ac.jp/M3/20110411/F50919/1535/1", 67.06)</f>
        <v>67.06</v>
      </c>
      <c r="E2051" s="2">
        <v>53.75</v>
      </c>
      <c r="F2051" s="2">
        <v>1</v>
      </c>
      <c r="G2051" s="2" t="s">
        <v>9</v>
      </c>
    </row>
    <row r="2052" spans="1:9" x14ac:dyDescent="0.2">
      <c r="A2052" s="2" t="s">
        <v>3457</v>
      </c>
      <c r="B2052" s="2" t="s">
        <v>1276</v>
      </c>
      <c r="C2052" s="2">
        <v>1169.3119999999999</v>
      </c>
      <c r="D2052" s="2">
        <f>HYPERLINK("http://mcb-m6.bioreg.kyushu-u.ac.jp/M3/20110411/F50919/4399/1", 70.12)</f>
        <v>70.12</v>
      </c>
      <c r="E2052" s="2">
        <v>51.93</v>
      </c>
      <c r="F2052" s="2">
        <v>3</v>
      </c>
      <c r="G2052" s="2" t="s">
        <v>9</v>
      </c>
      <c r="I2052" s="2" t="s">
        <v>4935</v>
      </c>
    </row>
    <row r="2053" spans="1:9" x14ac:dyDescent="0.2">
      <c r="A2053" s="2" t="s">
        <v>3457</v>
      </c>
      <c r="B2053" s="2" t="s">
        <v>1037</v>
      </c>
      <c r="C2053" s="2">
        <v>724.48910000000001</v>
      </c>
      <c r="D2053" s="2">
        <f>HYPERLINK("http://mcb-m6.bioreg.kyushu-u.ac.jp/M3/20110411/F50919/1536/1", 71.41)</f>
        <v>71.41</v>
      </c>
      <c r="E2053" s="2">
        <v>41.81</v>
      </c>
      <c r="F2053" s="2">
        <v>2</v>
      </c>
      <c r="G2053" s="2" t="s">
        <v>9</v>
      </c>
    </row>
    <row r="2054" spans="1:9" x14ac:dyDescent="0.2">
      <c r="A2054" s="2" t="s">
        <v>3457</v>
      </c>
      <c r="B2054" s="2" t="s">
        <v>890</v>
      </c>
      <c r="C2054" s="2">
        <v>1394.6379999999999</v>
      </c>
      <c r="D2054" s="2">
        <f>HYPERLINK("http://mcb-m6.bioreg.kyushu-u.ac.jp/M3/20110411/F50919/4052/1", 72.05)</f>
        <v>72.05</v>
      </c>
      <c r="E2054" s="2">
        <v>64.099999999999994</v>
      </c>
      <c r="F2054" s="2">
        <v>2</v>
      </c>
      <c r="G2054" s="2" t="s">
        <v>9</v>
      </c>
    </row>
    <row r="2055" spans="1:9" x14ac:dyDescent="0.2">
      <c r="A2055" s="2" t="s">
        <v>3457</v>
      </c>
      <c r="B2055" s="2" t="s">
        <v>1037</v>
      </c>
      <c r="C2055" s="2">
        <v>724.5607</v>
      </c>
      <c r="D2055" s="2">
        <f>HYPERLINK("http://mcb-m6.bioreg.kyushu-u.ac.jp/M3/20110411/F50911/1999/1", 72.17)</f>
        <v>72.17</v>
      </c>
      <c r="E2055" s="2">
        <v>37.42</v>
      </c>
      <c r="F2055" s="2">
        <v>2</v>
      </c>
      <c r="G2055" s="2" t="s">
        <v>9</v>
      </c>
    </row>
    <row r="2056" spans="1:9" x14ac:dyDescent="0.2">
      <c r="A2056" s="2" t="s">
        <v>3457</v>
      </c>
      <c r="B2056" s="2" t="s">
        <v>1037</v>
      </c>
      <c r="C2056" s="2">
        <v>724.91309999999999</v>
      </c>
      <c r="D2056" s="2">
        <f>HYPERLINK("http://mcb-m6.bioreg.kyushu-u.ac.jp/M3/20110411/F50916/1828/1", 76.17)</f>
        <v>76.17</v>
      </c>
      <c r="E2056" s="2">
        <v>45.21</v>
      </c>
      <c r="F2056" s="2">
        <v>2</v>
      </c>
      <c r="G2056" s="2" t="s">
        <v>9</v>
      </c>
    </row>
    <row r="2057" spans="1:9" x14ac:dyDescent="0.2">
      <c r="A2057" s="2" t="s">
        <v>3457</v>
      </c>
      <c r="B2057" s="2" t="s">
        <v>1037</v>
      </c>
      <c r="C2057" s="2">
        <v>724.45719999999994</v>
      </c>
      <c r="D2057" s="2">
        <f>HYPERLINK("http://mcb-m6.bioreg.kyushu-u.ac.jp/M3/20110411/F50915/1783/1", 78.13)</f>
        <v>78.13</v>
      </c>
      <c r="E2057" s="2">
        <v>49.76</v>
      </c>
      <c r="F2057" s="2">
        <v>2</v>
      </c>
      <c r="G2057" s="2" t="s">
        <v>9</v>
      </c>
    </row>
    <row r="2058" spans="1:9" x14ac:dyDescent="0.2">
      <c r="A2058" s="2" t="s">
        <v>3457</v>
      </c>
      <c r="B2058" s="2" t="s">
        <v>1037</v>
      </c>
      <c r="C2058" s="2">
        <v>724.56920000000002</v>
      </c>
      <c r="D2058" s="2">
        <f>HYPERLINK("http://mcb-m6.bioreg.kyushu-u.ac.jp/M3/20110411/F50904/1963/1", 81.82)</f>
        <v>81.819999999999993</v>
      </c>
      <c r="E2058" s="2">
        <v>39.950000000000003</v>
      </c>
      <c r="F2058" s="2">
        <v>2</v>
      </c>
      <c r="G2058" s="2" t="s">
        <v>9</v>
      </c>
    </row>
    <row r="2059" spans="1:9" x14ac:dyDescent="0.2">
      <c r="A2059" s="2" t="s">
        <v>3457</v>
      </c>
      <c r="B2059" s="2" t="s">
        <v>1037</v>
      </c>
      <c r="C2059" s="2">
        <v>724.55160000000001</v>
      </c>
      <c r="D2059" s="2">
        <f>HYPERLINK("http://mcb-m6.bioreg.kyushu-u.ac.jp/M3/20110411/F50905/1936/1", 83.65)</f>
        <v>83.65</v>
      </c>
      <c r="E2059" s="2">
        <v>54.86</v>
      </c>
      <c r="F2059" s="2">
        <v>2</v>
      </c>
      <c r="G2059" s="2" t="s">
        <v>9</v>
      </c>
    </row>
    <row r="2060" spans="1:9" x14ac:dyDescent="0.2">
      <c r="A2060" s="2" t="s">
        <v>3457</v>
      </c>
      <c r="B2060" s="2" t="s">
        <v>1037</v>
      </c>
      <c r="C2060" s="2">
        <v>724.91470000000004</v>
      </c>
      <c r="D2060" s="2">
        <f>HYPERLINK("http://mcb-m6.bioreg.kyushu-u.ac.jp/M3/20110411/F50891/2006/1", 90.42)</f>
        <v>90.42</v>
      </c>
      <c r="E2060" s="2">
        <v>57.97</v>
      </c>
      <c r="F2060" s="2">
        <v>2</v>
      </c>
      <c r="G2060" s="2" t="s">
        <v>9</v>
      </c>
    </row>
    <row r="2061" spans="1:9" x14ac:dyDescent="0.2">
      <c r="A2061" s="2" t="s">
        <v>3457</v>
      </c>
      <c r="B2061" s="2" t="s">
        <v>1037</v>
      </c>
      <c r="C2061" s="2">
        <v>724.66020000000003</v>
      </c>
      <c r="D2061" s="2">
        <f>HYPERLINK("http://mcb-m6.bioreg.kyushu-u.ac.jp/M3/20110411/F50895/2010/1", 97.92)</f>
        <v>97.92</v>
      </c>
      <c r="E2061" s="2">
        <v>64.099999999999994</v>
      </c>
      <c r="F2061" s="2">
        <v>2</v>
      </c>
      <c r="G2061" s="2" t="s">
        <v>9</v>
      </c>
    </row>
    <row r="2062" spans="1:9" x14ac:dyDescent="0.2">
      <c r="A2062" s="2" t="s">
        <v>3457</v>
      </c>
      <c r="B2062" s="2" t="s">
        <v>890</v>
      </c>
      <c r="C2062" s="2">
        <v>1394.7149999999999</v>
      </c>
      <c r="D2062" s="2">
        <f>HYPERLINK("http://mcb-m6.bioreg.kyushu-u.ac.jp/M3/20110411/F50919/4054/1", 99.95)</f>
        <v>99.95</v>
      </c>
      <c r="E2062" s="2">
        <v>92.28</v>
      </c>
      <c r="F2062" s="2">
        <v>2</v>
      </c>
      <c r="G2062" s="2" t="s">
        <v>9</v>
      </c>
    </row>
    <row r="2063" spans="1:9" x14ac:dyDescent="0.2">
      <c r="A2063" s="2" t="s">
        <v>3457</v>
      </c>
      <c r="B2063" s="2" t="s">
        <v>1037</v>
      </c>
      <c r="C2063" s="2">
        <v>1448.02</v>
      </c>
      <c r="D2063" s="2">
        <f>HYPERLINK("http://mcb-m6.bioreg.kyushu-u.ac.jp/M3/20110411/F50912/1967/1", 43.91)</f>
        <v>43.91</v>
      </c>
      <c r="E2063" s="2">
        <v>28.99</v>
      </c>
      <c r="F2063" s="2">
        <v>1</v>
      </c>
      <c r="G2063" s="2" t="s">
        <v>10</v>
      </c>
    </row>
    <row r="2064" spans="1:9" x14ac:dyDescent="0.2">
      <c r="A2064" s="2" t="s">
        <v>3457</v>
      </c>
      <c r="B2064" s="2" t="s">
        <v>1037</v>
      </c>
      <c r="C2064" s="2">
        <v>1447.825</v>
      </c>
      <c r="D2064" s="2">
        <f>HYPERLINK("http://mcb-m6.bioreg.kyushu-u.ac.jp/M3/20110411/F50921/1752/1", 60.33)</f>
        <v>60.33</v>
      </c>
      <c r="E2064" s="2">
        <v>47.34</v>
      </c>
      <c r="F2064" s="2">
        <v>1</v>
      </c>
      <c r="G2064" s="2" t="s">
        <v>10</v>
      </c>
    </row>
    <row r="2065" spans="1:7" x14ac:dyDescent="0.2">
      <c r="A2065" s="2" t="s">
        <v>3457</v>
      </c>
      <c r="B2065" s="2" t="s">
        <v>1037</v>
      </c>
      <c r="C2065" s="2">
        <v>724.37120000000004</v>
      </c>
      <c r="D2065" s="2">
        <f>HYPERLINK("http://mcb-m6.bioreg.kyushu-u.ac.jp/M3/20110411/F50914/2014/1", 64.36)</f>
        <v>64.36</v>
      </c>
      <c r="E2065" s="2">
        <v>33.4</v>
      </c>
      <c r="F2065" s="2">
        <v>2</v>
      </c>
      <c r="G2065" s="2" t="s">
        <v>10</v>
      </c>
    </row>
    <row r="2066" spans="1:7" x14ac:dyDescent="0.2">
      <c r="A2066" s="2" t="s">
        <v>3457</v>
      </c>
      <c r="B2066" s="2" t="s">
        <v>1037</v>
      </c>
      <c r="C2066" s="2">
        <v>724.4117</v>
      </c>
      <c r="D2066" s="2">
        <f>HYPERLINK("http://mcb-m6.bioreg.kyushu-u.ac.jp/M3/20110411/F50918/1807/1", 68.15)</f>
        <v>68.150000000000006</v>
      </c>
      <c r="E2066" s="2">
        <v>29.16</v>
      </c>
      <c r="F2066" s="2">
        <v>2</v>
      </c>
      <c r="G2066" s="2" t="s">
        <v>10</v>
      </c>
    </row>
    <row r="2067" spans="1:7" x14ac:dyDescent="0.2">
      <c r="A2067" s="2" t="s">
        <v>3457</v>
      </c>
      <c r="B2067" s="2" t="s">
        <v>1037</v>
      </c>
      <c r="C2067" s="2">
        <v>724.55070000000001</v>
      </c>
      <c r="D2067" s="2">
        <f>HYPERLINK("http://mcb-m6.bioreg.kyushu-u.ac.jp/M3/20110411/F50902/1977/1", 83.81)</f>
        <v>83.81</v>
      </c>
      <c r="E2067" s="2">
        <v>43.44</v>
      </c>
      <c r="F2067" s="2">
        <v>2</v>
      </c>
      <c r="G2067" s="2" t="s">
        <v>10</v>
      </c>
    </row>
    <row r="2068" spans="1:7" x14ac:dyDescent="0.2">
      <c r="A2068" s="2" t="s">
        <v>3457</v>
      </c>
      <c r="B2068" s="2" t="s">
        <v>1037</v>
      </c>
      <c r="C2068" s="2">
        <v>724.59969999999998</v>
      </c>
      <c r="D2068" s="2">
        <f>HYPERLINK("http://mcb-m6.bioreg.kyushu-u.ac.jp/M3/20110411/F50912/1969/1", 84.41)</f>
        <v>84.41</v>
      </c>
      <c r="E2068" s="2">
        <v>53.77</v>
      </c>
      <c r="F2068" s="2">
        <v>2</v>
      </c>
      <c r="G2068" s="2" t="s">
        <v>10</v>
      </c>
    </row>
    <row r="2069" spans="1:7" x14ac:dyDescent="0.2">
      <c r="A2069" s="2" t="s">
        <v>3457</v>
      </c>
      <c r="B2069" s="2" t="s">
        <v>1037</v>
      </c>
      <c r="C2069" s="2">
        <v>724.69709999999998</v>
      </c>
      <c r="D2069" s="2">
        <f>HYPERLINK("http://mcb-m6.bioreg.kyushu-u.ac.jp/M3/20110411/F50921/1754/1", 88.55)</f>
        <v>88.55</v>
      </c>
      <c r="E2069" s="2">
        <v>56.18</v>
      </c>
      <c r="F2069" s="2">
        <v>2</v>
      </c>
      <c r="G2069" s="2" t="s">
        <v>10</v>
      </c>
    </row>
    <row r="2070" spans="1:7" x14ac:dyDescent="0.2">
      <c r="A2070" s="2" t="s">
        <v>3457</v>
      </c>
      <c r="B2070" s="2" t="s">
        <v>1037</v>
      </c>
      <c r="C2070" s="2">
        <v>724.66020000000003</v>
      </c>
      <c r="D2070" s="2">
        <f>HYPERLINK("http://mcb-m6.bioreg.kyushu-u.ac.jp/M3/20110411/F50920/1483/1", 90.81)</f>
        <v>90.81</v>
      </c>
      <c r="E2070" s="2">
        <v>48.48</v>
      </c>
      <c r="F2070" s="2">
        <v>2</v>
      </c>
      <c r="G2070" s="2" t="s">
        <v>10</v>
      </c>
    </row>
    <row r="2071" spans="1:7" x14ac:dyDescent="0.2">
      <c r="A2071" s="2" t="s">
        <v>3457</v>
      </c>
      <c r="B2071" s="2" t="s">
        <v>1037</v>
      </c>
      <c r="C2071" s="2">
        <v>724.9357</v>
      </c>
      <c r="D2071" s="2">
        <f>HYPERLINK("http://mcb-m6.bioreg.kyushu-u.ac.jp/M3/20110411/F50917/1858/1", 95.03)</f>
        <v>95.03</v>
      </c>
      <c r="E2071" s="2">
        <v>57.29</v>
      </c>
      <c r="F2071" s="2">
        <v>2</v>
      </c>
      <c r="G2071" s="2" t="s">
        <v>10</v>
      </c>
    </row>
    <row r="2072" spans="1:7" x14ac:dyDescent="0.2">
      <c r="A2072" s="2" t="s">
        <v>3457</v>
      </c>
      <c r="B2072" s="2" t="s">
        <v>1037</v>
      </c>
      <c r="C2072" s="2">
        <v>724.14670000000001</v>
      </c>
      <c r="D2072" s="2">
        <f>HYPERLINK("http://mcb-m6.bioreg.kyushu-u.ac.jp/M3/20110414/F50928/2218/1", 36.83)</f>
        <v>36.83</v>
      </c>
      <c r="E2072" s="2">
        <v>21.89</v>
      </c>
      <c r="F2072" s="2">
        <v>2</v>
      </c>
      <c r="G2072" s="2" t="s">
        <v>11</v>
      </c>
    </row>
    <row r="2073" spans="1:7" x14ac:dyDescent="0.2">
      <c r="A2073" s="2" t="s">
        <v>3457</v>
      </c>
      <c r="B2073" s="2" t="s">
        <v>1037</v>
      </c>
      <c r="C2073" s="2">
        <v>1447.6579999999999</v>
      </c>
      <c r="D2073" s="2">
        <f>HYPERLINK("http://mcb-m6.bioreg.kyushu-u.ac.jp/M3/20110414/F50941/2005/1", 48.14)</f>
        <v>48.14</v>
      </c>
      <c r="E2073" s="2">
        <v>40.270000000000003</v>
      </c>
      <c r="F2073" s="2">
        <v>1</v>
      </c>
      <c r="G2073" s="2" t="s">
        <v>11</v>
      </c>
    </row>
    <row r="2074" spans="1:7" x14ac:dyDescent="0.2">
      <c r="A2074" s="2" t="s">
        <v>3457</v>
      </c>
      <c r="B2074" s="2" t="s">
        <v>1037</v>
      </c>
      <c r="C2074" s="2">
        <v>724.27670000000001</v>
      </c>
      <c r="D2074" s="2">
        <f>HYPERLINK("http://mcb-m6.bioreg.kyushu-u.ac.jp/M3/20110414/F50929/2219/1", 55.74)</f>
        <v>55.74</v>
      </c>
      <c r="E2074" s="2">
        <v>28.34</v>
      </c>
      <c r="F2074" s="2">
        <v>2</v>
      </c>
      <c r="G2074" s="2" t="s">
        <v>11</v>
      </c>
    </row>
    <row r="2075" spans="1:7" x14ac:dyDescent="0.2">
      <c r="A2075" s="2" t="s">
        <v>3457</v>
      </c>
      <c r="B2075" s="2" t="s">
        <v>1037</v>
      </c>
      <c r="C2075" s="2">
        <v>1447.604</v>
      </c>
      <c r="D2075" s="2">
        <f>HYPERLINK("http://mcb-m6.bioreg.kyushu-u.ac.jp/M3/20110414/F50962/1841/1", 58.73)</f>
        <v>58.73</v>
      </c>
      <c r="E2075" s="2">
        <v>45.85</v>
      </c>
      <c r="F2075" s="2">
        <v>1</v>
      </c>
      <c r="G2075" s="2" t="s">
        <v>11</v>
      </c>
    </row>
    <row r="2076" spans="1:7" x14ac:dyDescent="0.2">
      <c r="A2076" s="2" t="s">
        <v>3457</v>
      </c>
      <c r="B2076" s="2" t="s">
        <v>1037</v>
      </c>
      <c r="C2076" s="2">
        <v>724.22969999999998</v>
      </c>
      <c r="D2076" s="2">
        <f>HYPERLINK("http://mcb-m6.bioreg.kyushu-u.ac.jp/M3/20110414/F50925/2152/1", 68.36)</f>
        <v>68.36</v>
      </c>
      <c r="E2076" s="2">
        <v>48.07</v>
      </c>
      <c r="F2076" s="2">
        <v>2</v>
      </c>
      <c r="G2076" s="2" t="s">
        <v>11</v>
      </c>
    </row>
    <row r="2077" spans="1:7" x14ac:dyDescent="0.2">
      <c r="A2077" s="2" t="s">
        <v>3457</v>
      </c>
      <c r="B2077" s="2" t="s">
        <v>1037</v>
      </c>
      <c r="C2077" s="2">
        <v>724.8347</v>
      </c>
      <c r="D2077" s="2">
        <f>HYPERLINK("http://mcb-m6.bioreg.kyushu-u.ac.jp/M3/20110414/F50942/1803/1", 71.01)</f>
        <v>71.010000000000005</v>
      </c>
      <c r="E2077" s="2">
        <v>38.380000000000003</v>
      </c>
      <c r="F2077" s="2">
        <v>2</v>
      </c>
      <c r="G2077" s="2" t="s">
        <v>11</v>
      </c>
    </row>
    <row r="2078" spans="1:7" x14ac:dyDescent="0.2">
      <c r="A2078" s="2" t="s">
        <v>3457</v>
      </c>
      <c r="B2078" s="2" t="s">
        <v>1037</v>
      </c>
      <c r="C2078" s="2">
        <v>724.94420000000002</v>
      </c>
      <c r="D2078" s="2">
        <f>HYPERLINK("http://mcb-m6.bioreg.kyushu-u.ac.jp/M3/20110414/F50945/1927/1", 75.98)</f>
        <v>75.98</v>
      </c>
      <c r="E2078" s="2">
        <v>43.25</v>
      </c>
      <c r="F2078" s="2">
        <v>2</v>
      </c>
      <c r="G2078" s="2" t="s">
        <v>11</v>
      </c>
    </row>
    <row r="2079" spans="1:7" x14ac:dyDescent="0.2">
      <c r="A2079" s="2" t="s">
        <v>3457</v>
      </c>
      <c r="B2079" s="2" t="s">
        <v>1037</v>
      </c>
      <c r="C2079" s="2">
        <v>724.28719999999998</v>
      </c>
      <c r="D2079" s="2">
        <f>HYPERLINK("http://mcb-m6.bioreg.kyushu-u.ac.jp/M3/20110414/F50942/1800/1", 76.03)</f>
        <v>76.03</v>
      </c>
      <c r="E2079" s="2">
        <v>47.2</v>
      </c>
      <c r="F2079" s="2">
        <v>2</v>
      </c>
      <c r="G2079" s="2" t="s">
        <v>11</v>
      </c>
    </row>
    <row r="2080" spans="1:7" x14ac:dyDescent="0.2">
      <c r="A2080" s="2" t="s">
        <v>3457</v>
      </c>
      <c r="B2080" s="2" t="s">
        <v>1037</v>
      </c>
      <c r="C2080" s="2">
        <v>724.30970000000002</v>
      </c>
      <c r="D2080" s="2">
        <f>HYPERLINK("http://mcb-m6.bioreg.kyushu-u.ac.jp/M3/20110414/F50941/2004/1", 77.99)</f>
        <v>77.989999999999995</v>
      </c>
      <c r="E2080" s="2">
        <v>48.55</v>
      </c>
      <c r="F2080" s="2">
        <v>2</v>
      </c>
      <c r="G2080" s="2" t="s">
        <v>11</v>
      </c>
    </row>
    <row r="2081" spans="1:7" x14ac:dyDescent="0.2">
      <c r="A2081" s="2" t="s">
        <v>3457</v>
      </c>
      <c r="B2081" s="2" t="s">
        <v>1037</v>
      </c>
      <c r="C2081" s="2">
        <v>724.20669999999996</v>
      </c>
      <c r="D2081" s="2">
        <f>HYPERLINK("http://mcb-m6.bioreg.kyushu-u.ac.jp/M3/20110414/F50962/1840/1", 84.19)</f>
        <v>84.19</v>
      </c>
      <c r="E2081" s="2">
        <v>51.21</v>
      </c>
      <c r="F2081" s="2">
        <v>2</v>
      </c>
      <c r="G2081" s="2" t="s">
        <v>11</v>
      </c>
    </row>
    <row r="2082" spans="1:7" x14ac:dyDescent="0.2">
      <c r="A2082" s="2" t="s">
        <v>3457</v>
      </c>
      <c r="B2082" s="2" t="s">
        <v>1037</v>
      </c>
      <c r="C2082" s="2">
        <v>724.52070000000003</v>
      </c>
      <c r="D2082" s="2">
        <f>HYPERLINK("http://mcb-m6.bioreg.kyushu-u.ac.jp/M3/20110414/F50927/2219/1", 84.78)</f>
        <v>84.78</v>
      </c>
      <c r="E2082" s="2">
        <v>52.03</v>
      </c>
      <c r="F2082" s="2">
        <v>2</v>
      </c>
      <c r="G2082" s="2" t="s">
        <v>11</v>
      </c>
    </row>
    <row r="2083" spans="1:7" x14ac:dyDescent="0.2">
      <c r="A2083" s="2" t="s">
        <v>3457</v>
      </c>
      <c r="B2083" s="2" t="s">
        <v>1037</v>
      </c>
      <c r="C2083" s="2">
        <v>724.40869999999995</v>
      </c>
      <c r="D2083" s="2">
        <f>HYPERLINK("http://mcb-m6.bioreg.kyushu-u.ac.jp/M3/20110414/F50945/1926/1", 89.85)</f>
        <v>89.85</v>
      </c>
      <c r="E2083" s="2">
        <v>50.71</v>
      </c>
      <c r="F2083" s="2">
        <v>2</v>
      </c>
      <c r="G2083" s="2" t="s">
        <v>11</v>
      </c>
    </row>
    <row r="2084" spans="1:7" x14ac:dyDescent="0.2">
      <c r="A2084" s="2" t="s">
        <v>3457</v>
      </c>
      <c r="B2084" s="2" t="s">
        <v>1037</v>
      </c>
      <c r="C2084" s="2">
        <v>724.20169999999996</v>
      </c>
      <c r="D2084" s="2">
        <f>HYPERLINK("http://mcb-m6.bioreg.kyushu-u.ac.jp/M3/20110414/F50962/1839/1", 90.72)</f>
        <v>90.72</v>
      </c>
      <c r="E2084" s="2">
        <v>51.95</v>
      </c>
      <c r="F2084" s="2">
        <v>2</v>
      </c>
      <c r="G2084" s="2" t="s">
        <v>11</v>
      </c>
    </row>
    <row r="2085" spans="1:7" x14ac:dyDescent="0.2">
      <c r="A2085" s="2" t="s">
        <v>3457</v>
      </c>
      <c r="B2085" s="2" t="s">
        <v>1037</v>
      </c>
      <c r="C2085" s="2">
        <v>724.70719999999994</v>
      </c>
      <c r="D2085" s="2">
        <f>HYPERLINK("http://mcb-m6.bioreg.kyushu-u.ac.jp/M3/20110414/F50962/1843/1", 109.79)</f>
        <v>109.79</v>
      </c>
      <c r="E2085" s="2">
        <v>75.06</v>
      </c>
      <c r="F2085" s="2">
        <v>2</v>
      </c>
      <c r="G2085" s="2" t="s">
        <v>11</v>
      </c>
    </row>
    <row r="2086" spans="1:7" x14ac:dyDescent="0.2">
      <c r="A2086" s="2" t="s">
        <v>3457</v>
      </c>
      <c r="B2086" s="2" t="s">
        <v>890</v>
      </c>
      <c r="C2086" s="2">
        <v>1393.9079999999999</v>
      </c>
      <c r="D2086" s="2">
        <f>HYPERLINK("http://mcb-m6.bioreg.kyushu-u.ac.jp/M3/20110414/F50963/3912/1", 40.77)</f>
        <v>40.770000000000003</v>
      </c>
      <c r="E2086" s="2">
        <v>34.159999999999997</v>
      </c>
      <c r="F2086" s="2">
        <v>2</v>
      </c>
      <c r="G2086" s="2" t="s">
        <v>12</v>
      </c>
    </row>
    <row r="2087" spans="1:7" x14ac:dyDescent="0.2">
      <c r="A2087" s="2" t="s">
        <v>3457</v>
      </c>
      <c r="B2087" s="2" t="s">
        <v>2661</v>
      </c>
      <c r="C2087" s="2">
        <v>884.16470000000004</v>
      </c>
      <c r="D2087" s="2">
        <f>HYPERLINK("http://mcb-m6.bioreg.kyushu-u.ac.jp/M3/20110414/F50963/2457/1", 49.41)</f>
        <v>49.41</v>
      </c>
      <c r="E2087" s="2">
        <v>41.25</v>
      </c>
      <c r="F2087" s="2">
        <v>2</v>
      </c>
      <c r="G2087" s="2" t="s">
        <v>12</v>
      </c>
    </row>
    <row r="2088" spans="1:7" x14ac:dyDescent="0.2">
      <c r="A2088" s="2" t="s">
        <v>3457</v>
      </c>
      <c r="B2088" s="2" t="s">
        <v>1037</v>
      </c>
      <c r="C2088" s="2">
        <v>1447.502</v>
      </c>
      <c r="D2088" s="2">
        <f>HYPERLINK("http://mcb-m6.bioreg.kyushu-u.ac.jp/M3/20110414/F50963/1760/1", 61.74)</f>
        <v>61.74</v>
      </c>
      <c r="E2088" s="2">
        <v>52.58</v>
      </c>
      <c r="F2088" s="2">
        <v>1</v>
      </c>
      <c r="G2088" s="2" t="s">
        <v>12</v>
      </c>
    </row>
    <row r="2089" spans="1:7" x14ac:dyDescent="0.2">
      <c r="A2089" s="2" t="s">
        <v>3457</v>
      </c>
      <c r="B2089" s="2" t="s">
        <v>1037</v>
      </c>
      <c r="C2089" s="2">
        <v>724.17319999999995</v>
      </c>
      <c r="D2089" s="2">
        <f>HYPERLINK("http://mcb-m6.bioreg.kyushu-u.ac.jp/M3/20110414/F50948/1977/1", 73.29)</f>
        <v>73.290000000000006</v>
      </c>
      <c r="E2089" s="2">
        <v>37.909999999999997</v>
      </c>
      <c r="F2089" s="2">
        <v>2</v>
      </c>
      <c r="G2089" s="2" t="s">
        <v>12</v>
      </c>
    </row>
    <row r="2090" spans="1:7" x14ac:dyDescent="0.2">
      <c r="A2090" s="2" t="s">
        <v>3457</v>
      </c>
      <c r="B2090" s="2" t="s">
        <v>1037</v>
      </c>
      <c r="C2090" s="2">
        <v>724.92269999999996</v>
      </c>
      <c r="D2090" s="2">
        <f>HYPERLINK("http://mcb-m6.bioreg.kyushu-u.ac.jp/M3/20110414/F50950/2078/1", 75.69)</f>
        <v>75.69</v>
      </c>
      <c r="E2090" s="2">
        <v>42.83</v>
      </c>
      <c r="F2090" s="2">
        <v>2</v>
      </c>
      <c r="G2090" s="2" t="s">
        <v>12</v>
      </c>
    </row>
    <row r="2091" spans="1:7" x14ac:dyDescent="0.2">
      <c r="A2091" s="2" t="s">
        <v>3457</v>
      </c>
      <c r="B2091" s="2" t="s">
        <v>1037</v>
      </c>
      <c r="C2091" s="2">
        <v>724.68409999999994</v>
      </c>
      <c r="D2091" s="2">
        <f>HYPERLINK("http://mcb-m6.bioreg.kyushu-u.ac.jp/M3/20110414/F50963/1761/1", 78.34)</f>
        <v>78.34</v>
      </c>
      <c r="E2091" s="2">
        <v>41.07</v>
      </c>
      <c r="F2091" s="2">
        <v>2</v>
      </c>
      <c r="G2091" s="2" t="s">
        <v>12</v>
      </c>
    </row>
    <row r="2092" spans="1:7" x14ac:dyDescent="0.2">
      <c r="A2092" s="2" t="s">
        <v>3457</v>
      </c>
      <c r="B2092" s="2" t="s">
        <v>1037</v>
      </c>
      <c r="C2092" s="2">
        <v>724.17769999999996</v>
      </c>
      <c r="D2092" s="2">
        <f>HYPERLINK("http://mcb-m6.bioreg.kyushu-u.ac.jp/M3/20110414/F50963/1758/1", 79.12)</f>
        <v>79.12</v>
      </c>
      <c r="E2092" s="2">
        <v>53.71</v>
      </c>
      <c r="F2092" s="2">
        <v>2</v>
      </c>
      <c r="G2092" s="2" t="s">
        <v>12</v>
      </c>
    </row>
    <row r="2093" spans="1:7" x14ac:dyDescent="0.2">
      <c r="A2093" s="2" t="s">
        <v>3457</v>
      </c>
      <c r="B2093" s="2" t="s">
        <v>1037</v>
      </c>
      <c r="C2093" s="2">
        <v>724.10220000000004</v>
      </c>
      <c r="D2093" s="2">
        <f>HYPERLINK("http://mcb-m6.bioreg.kyushu-u.ac.jp/M3/20110414/F50950/2075/1", 80.15)</f>
        <v>80.150000000000006</v>
      </c>
      <c r="E2093" s="2">
        <v>44.4</v>
      </c>
      <c r="F2093" s="2">
        <v>2</v>
      </c>
      <c r="G2093" s="2" t="s">
        <v>12</v>
      </c>
    </row>
    <row r="2094" spans="1:7" x14ac:dyDescent="0.2">
      <c r="A2094" s="2" t="s">
        <v>3457</v>
      </c>
      <c r="B2094" s="2" t="s">
        <v>1037</v>
      </c>
      <c r="C2094" s="2">
        <v>724.77620000000002</v>
      </c>
      <c r="D2094" s="2">
        <f>HYPERLINK("http://mcb-m6.bioreg.kyushu-u.ac.jp/M3/20110414/F50946/1847/1", 92.91)</f>
        <v>92.91</v>
      </c>
      <c r="E2094" s="2">
        <v>50.76</v>
      </c>
      <c r="F2094" s="2">
        <v>2</v>
      </c>
      <c r="G2094" s="2" t="s">
        <v>12</v>
      </c>
    </row>
    <row r="2095" spans="1:7" x14ac:dyDescent="0.2">
      <c r="A2095" s="2" t="s">
        <v>3457</v>
      </c>
      <c r="B2095" s="2" t="s">
        <v>1037</v>
      </c>
      <c r="C2095" s="2">
        <v>724.21720000000005</v>
      </c>
      <c r="D2095" s="2">
        <f>HYPERLINK("http://mcb-m6.bioreg.kyushu-u.ac.jp/M3/20110414/F50966/1792/1", 96.67)</f>
        <v>96.67</v>
      </c>
      <c r="E2095" s="2">
        <v>61.59</v>
      </c>
      <c r="F2095" s="2">
        <v>2</v>
      </c>
      <c r="G2095" s="2" t="s">
        <v>12</v>
      </c>
    </row>
    <row r="2096" spans="1:7" x14ac:dyDescent="0.2">
      <c r="A2096" s="2" t="s">
        <v>3457</v>
      </c>
      <c r="B2096" s="2" t="s">
        <v>1037</v>
      </c>
      <c r="C2096" s="2">
        <v>724.42859999999996</v>
      </c>
      <c r="D2096" s="2">
        <f>HYPERLINK("http://mcb-m6.bioreg.kyushu-u.ac.jp/M3/20110414/F50947/1835/1", 99.3)</f>
        <v>99.3</v>
      </c>
      <c r="E2096" s="2">
        <v>66.400000000000006</v>
      </c>
      <c r="F2096" s="2">
        <v>2</v>
      </c>
      <c r="G2096" s="2" t="s">
        <v>12</v>
      </c>
    </row>
    <row r="2097" spans="1:9" x14ac:dyDescent="0.2">
      <c r="A2097" s="2" t="s">
        <v>3457</v>
      </c>
      <c r="B2097" s="2" t="s">
        <v>1037</v>
      </c>
      <c r="C2097" s="2">
        <v>724.44759999999997</v>
      </c>
      <c r="D2097" s="2">
        <f>HYPERLINK("http://mcb-m6.bioreg.kyushu-u.ac.jp/M3/20110502/F51189/1757/1", 49.26)</f>
        <v>49.26</v>
      </c>
      <c r="E2097" s="2">
        <v>34.01</v>
      </c>
      <c r="F2097" s="2">
        <v>2</v>
      </c>
      <c r="G2097" s="2" t="s">
        <v>13</v>
      </c>
    </row>
    <row r="2098" spans="1:9" x14ac:dyDescent="0.2">
      <c r="A2098" s="2" t="s">
        <v>3457</v>
      </c>
      <c r="B2098" s="2" t="s">
        <v>1037</v>
      </c>
      <c r="C2098" s="2">
        <v>724.76570000000004</v>
      </c>
      <c r="D2098" s="2">
        <f>HYPERLINK("http://mcb-m6.bioreg.kyushu-u.ac.jp/M3/20110502/F51175/1868/1", 68.03)</f>
        <v>68.03</v>
      </c>
      <c r="E2098" s="2">
        <v>34.86</v>
      </c>
      <c r="F2098" s="2">
        <v>2</v>
      </c>
      <c r="G2098" s="2" t="s">
        <v>13</v>
      </c>
    </row>
    <row r="2099" spans="1:9" x14ac:dyDescent="0.2">
      <c r="A2099" s="2" t="s">
        <v>3457</v>
      </c>
      <c r="B2099" s="2" t="s">
        <v>1037</v>
      </c>
      <c r="C2099" s="2">
        <v>724.56320000000005</v>
      </c>
      <c r="D2099" s="2">
        <f>HYPERLINK("http://mcb-m6.bioreg.kyushu-u.ac.jp/M3/20110502/F51187/1682/1", 84.37)</f>
        <v>84.37</v>
      </c>
      <c r="E2099" s="2">
        <v>41.42</v>
      </c>
      <c r="F2099" s="2">
        <v>2</v>
      </c>
      <c r="G2099" s="2" t="s">
        <v>13</v>
      </c>
    </row>
    <row r="2100" spans="1:9" x14ac:dyDescent="0.2">
      <c r="A2100" s="2" t="s">
        <v>3457</v>
      </c>
      <c r="B2100" s="2" t="s">
        <v>1037</v>
      </c>
      <c r="C2100" s="2">
        <v>724.59619999999995</v>
      </c>
      <c r="D2100" s="2">
        <f>HYPERLINK("http://mcb-m6.bioreg.kyushu-u.ac.jp/M3/20110502/F51168/1979/1", 88.56)</f>
        <v>88.56</v>
      </c>
      <c r="E2100" s="2">
        <v>47.99</v>
      </c>
      <c r="F2100" s="2">
        <v>2</v>
      </c>
      <c r="G2100" s="2" t="s">
        <v>13</v>
      </c>
    </row>
    <row r="2101" spans="1:9" x14ac:dyDescent="0.2">
      <c r="A2101" s="2" t="s">
        <v>3457</v>
      </c>
      <c r="B2101" s="2" t="s">
        <v>1037</v>
      </c>
      <c r="C2101" s="2">
        <v>724.52170000000001</v>
      </c>
      <c r="D2101" s="2">
        <f>HYPERLINK("http://mcb-m6.bioreg.kyushu-u.ac.jp/M3/20110502/F51188/1766/1", 93.19)</f>
        <v>93.19</v>
      </c>
      <c r="E2101" s="2">
        <v>50.96</v>
      </c>
      <c r="F2101" s="2">
        <v>2</v>
      </c>
      <c r="G2101" s="2" t="s">
        <v>13</v>
      </c>
    </row>
    <row r="2102" spans="1:9" x14ac:dyDescent="0.2">
      <c r="A2102" s="2" t="s">
        <v>3457</v>
      </c>
      <c r="B2102" s="2" t="s">
        <v>1037</v>
      </c>
      <c r="C2102" s="2">
        <v>724.93820000000005</v>
      </c>
      <c r="D2102" s="2">
        <f>HYPERLINK("http://mcb-m6.bioreg.kyushu-u.ac.jp/M3/20110502/F51187/1684/1", 99.2)</f>
        <v>99.2</v>
      </c>
      <c r="E2102" s="2">
        <v>58.69</v>
      </c>
      <c r="F2102" s="2">
        <v>2</v>
      </c>
      <c r="G2102" s="2" t="s">
        <v>13</v>
      </c>
    </row>
    <row r="2103" spans="1:9" x14ac:dyDescent="0.2">
      <c r="A2103" s="2" t="s">
        <v>3457</v>
      </c>
      <c r="B2103" s="2" t="s">
        <v>890</v>
      </c>
      <c r="C2103" s="2">
        <v>1394.7619999999999</v>
      </c>
      <c r="D2103" s="2">
        <f>HYPERLINK("http://mcb-m6.bioreg.kyushu-u.ac.jp/M3/20110502/F51187/3404/1", 107.65)</f>
        <v>107.65</v>
      </c>
      <c r="E2103" s="2">
        <v>98.56</v>
      </c>
      <c r="F2103" s="2">
        <v>2</v>
      </c>
      <c r="G2103" s="2" t="s">
        <v>13</v>
      </c>
    </row>
    <row r="2104" spans="1:9" x14ac:dyDescent="0.2">
      <c r="A2104" s="2" t="s">
        <v>3457</v>
      </c>
      <c r="B2104" s="2" t="s">
        <v>1037</v>
      </c>
      <c r="C2104" s="2">
        <v>724.54060000000004</v>
      </c>
      <c r="D2104" s="2">
        <f>HYPERLINK("http://mcb-m6.bioreg.kyushu-u.ac.jp/M3/20110502/F51187/1681/1", 113.83)</f>
        <v>113.83</v>
      </c>
      <c r="E2104" s="2">
        <v>76.28</v>
      </c>
      <c r="F2104" s="2">
        <v>2</v>
      </c>
      <c r="G2104" s="2" t="s">
        <v>13</v>
      </c>
    </row>
    <row r="2105" spans="1:9" x14ac:dyDescent="0.2">
      <c r="A2105" s="2" t="s">
        <v>3457</v>
      </c>
      <c r="B2105" s="2" t="s">
        <v>1037</v>
      </c>
      <c r="C2105" s="2">
        <v>724.72559999999999</v>
      </c>
      <c r="D2105" s="2">
        <f>HYPERLINK("http://mcb-m6.bioreg.kyushu-u.ac.jp/M3/20110502/F51182/1779/1", 58.58)</f>
        <v>58.58</v>
      </c>
      <c r="E2105" s="2">
        <v>31.51</v>
      </c>
      <c r="F2105" s="2">
        <v>2</v>
      </c>
      <c r="G2105" s="2" t="s">
        <v>14</v>
      </c>
    </row>
    <row r="2106" spans="1:9" x14ac:dyDescent="0.2">
      <c r="A2106" s="2" t="s">
        <v>3457</v>
      </c>
      <c r="B2106" s="2" t="s">
        <v>1037</v>
      </c>
      <c r="C2106" s="2">
        <v>724.94820000000004</v>
      </c>
      <c r="D2106" s="2">
        <f>HYPERLINK("http://mcb-m6.bioreg.kyushu-u.ac.jp/M3/20110502/F51186/1798/1", 69.58)</f>
        <v>69.58</v>
      </c>
      <c r="E2106" s="2">
        <v>49.11</v>
      </c>
      <c r="F2106" s="2">
        <v>2</v>
      </c>
      <c r="G2106" s="2" t="s">
        <v>14</v>
      </c>
    </row>
    <row r="2107" spans="1:9" x14ac:dyDescent="0.2">
      <c r="A2107" s="2" t="s">
        <v>3457</v>
      </c>
      <c r="B2107" s="2" t="s">
        <v>1037</v>
      </c>
      <c r="C2107" s="2">
        <v>1447.9870000000001</v>
      </c>
      <c r="D2107" s="2">
        <f>HYPERLINK("http://mcb-m6.bioreg.kyushu-u.ac.jp/M3/20110502/F51191/1672/1", 72.9)</f>
        <v>72.900000000000006</v>
      </c>
      <c r="E2107" s="2">
        <v>60.08</v>
      </c>
      <c r="F2107" s="2">
        <v>1</v>
      </c>
      <c r="G2107" s="2" t="s">
        <v>14</v>
      </c>
    </row>
    <row r="2108" spans="1:9" x14ac:dyDescent="0.2">
      <c r="A2108" s="2" t="s">
        <v>3457</v>
      </c>
      <c r="B2108" s="2" t="s">
        <v>1037</v>
      </c>
      <c r="C2108" s="2">
        <v>724.39260000000002</v>
      </c>
      <c r="D2108" s="2">
        <f>HYPERLINK("http://mcb-m6.bioreg.kyushu-u.ac.jp/M3/20110502/F51192/1694/1", 87.42)</f>
        <v>87.42</v>
      </c>
      <c r="E2108" s="2">
        <v>49.12</v>
      </c>
      <c r="F2108" s="2">
        <v>2</v>
      </c>
      <c r="G2108" s="2" t="s">
        <v>14</v>
      </c>
    </row>
    <row r="2109" spans="1:9" x14ac:dyDescent="0.2">
      <c r="A2109" s="2" t="s">
        <v>3457</v>
      </c>
      <c r="B2109" s="2" t="s">
        <v>1037</v>
      </c>
      <c r="C2109" s="2">
        <v>724.91470000000004</v>
      </c>
      <c r="D2109" s="2">
        <f>HYPERLINK("http://mcb-m6.bioreg.kyushu-u.ac.jp/M3/20110502/F51179/1678/1", 89.91)</f>
        <v>89.91</v>
      </c>
      <c r="E2109" s="2">
        <v>43.53</v>
      </c>
      <c r="F2109" s="2">
        <v>2</v>
      </c>
      <c r="G2109" s="2" t="s">
        <v>14</v>
      </c>
    </row>
    <row r="2110" spans="1:9" x14ac:dyDescent="0.2">
      <c r="A2110" s="2" t="s">
        <v>3457</v>
      </c>
      <c r="B2110" s="2" t="s">
        <v>2661</v>
      </c>
      <c r="C2110" s="2">
        <v>884.45619999999997</v>
      </c>
      <c r="D2110" s="2">
        <f>HYPERLINK("http://mcb-m6.bioreg.kyushu-u.ac.jp/M3/20110502/F51191/2298/1", 102.04)</f>
        <v>102.04</v>
      </c>
      <c r="E2110" s="2">
        <v>70.180000000000007</v>
      </c>
      <c r="F2110" s="2">
        <v>2</v>
      </c>
      <c r="G2110" s="2" t="s">
        <v>14</v>
      </c>
    </row>
    <row r="2111" spans="1:9" x14ac:dyDescent="0.2">
      <c r="A2111" s="2" t="s">
        <v>3403</v>
      </c>
      <c r="B2111" s="2" t="s">
        <v>200</v>
      </c>
      <c r="C2111" s="2">
        <v>701.53769999999997</v>
      </c>
      <c r="D2111" s="2">
        <f>HYPERLINK("http://mcb-m6.bioreg.kyushu-u.ac.jp/M3/20110411/F50905/1818/1", 37.62)</f>
        <v>37.619999999999997</v>
      </c>
      <c r="E2111" s="2">
        <v>21.22</v>
      </c>
      <c r="F2111" s="2">
        <v>2</v>
      </c>
      <c r="G2111" s="2" t="s">
        <v>9</v>
      </c>
      <c r="I2111" s="2" t="s">
        <v>4892</v>
      </c>
    </row>
    <row r="2112" spans="1:9" x14ac:dyDescent="0.2">
      <c r="A2112" s="2" t="s">
        <v>3403</v>
      </c>
      <c r="B2112" s="2" t="s">
        <v>200</v>
      </c>
      <c r="C2112" s="2">
        <v>1401.7090000000001</v>
      </c>
      <c r="D2112" s="2">
        <f>HYPERLINK("http://mcb-m6.bioreg.kyushu-u.ac.jp/M3/20110411/F50919/1438/1", 37.96)</f>
        <v>37.96</v>
      </c>
      <c r="E2112" s="2">
        <v>28.09</v>
      </c>
      <c r="F2112" s="2">
        <v>1</v>
      </c>
      <c r="G2112" s="2" t="s">
        <v>9</v>
      </c>
      <c r="I2112" s="2" t="s">
        <v>4892</v>
      </c>
    </row>
    <row r="2113" spans="1:9" x14ac:dyDescent="0.2">
      <c r="A2113" s="2" t="s">
        <v>3403</v>
      </c>
      <c r="B2113" s="2" t="s">
        <v>287</v>
      </c>
      <c r="C2113" s="2">
        <v>459.2826</v>
      </c>
      <c r="D2113" s="2">
        <f>HYPERLINK("http://mcb-m6.bioreg.kyushu-u.ac.jp/M3/20110411/F50905/833/1", 39.02)</f>
        <v>39.020000000000003</v>
      </c>
      <c r="E2113" s="2">
        <v>11.24</v>
      </c>
      <c r="F2113" s="2">
        <v>2</v>
      </c>
      <c r="G2113" s="2" t="s">
        <v>9</v>
      </c>
    </row>
    <row r="2114" spans="1:9" x14ac:dyDescent="0.2">
      <c r="A2114" s="2" t="s">
        <v>3403</v>
      </c>
      <c r="B2114" s="2" t="s">
        <v>287</v>
      </c>
      <c r="C2114" s="2">
        <v>458.75810000000001</v>
      </c>
      <c r="D2114" s="2">
        <f>HYPERLINK("http://mcb-m6.bioreg.kyushu-u.ac.jp/M3/20110411/F50891/809/1", 42.22)</f>
        <v>42.22</v>
      </c>
      <c r="E2114" s="2">
        <v>9.2799999999999994</v>
      </c>
      <c r="F2114" s="2">
        <v>2</v>
      </c>
      <c r="G2114" s="2" t="s">
        <v>9</v>
      </c>
    </row>
    <row r="2115" spans="1:9" x14ac:dyDescent="0.2">
      <c r="A2115" s="2" t="s">
        <v>3403</v>
      </c>
      <c r="B2115" s="2" t="s">
        <v>200</v>
      </c>
      <c r="C2115" s="2">
        <v>1401.8810000000001</v>
      </c>
      <c r="D2115" s="2">
        <f>HYPERLINK("http://mcb-m6.bioreg.kyushu-u.ac.jp/M3/20110411/F50904/1839/1", 44.27)</f>
        <v>44.27</v>
      </c>
      <c r="E2115" s="2">
        <v>23.34</v>
      </c>
      <c r="F2115" s="2">
        <v>1</v>
      </c>
      <c r="G2115" s="2" t="s">
        <v>9</v>
      </c>
      <c r="I2115" s="2" t="s">
        <v>4892</v>
      </c>
    </row>
    <row r="2116" spans="1:9" x14ac:dyDescent="0.2">
      <c r="A2116" s="2" t="s">
        <v>3403</v>
      </c>
      <c r="B2116" s="2" t="s">
        <v>287</v>
      </c>
      <c r="C2116" s="2">
        <v>459.00409999999999</v>
      </c>
      <c r="D2116" s="2">
        <f>HYPERLINK("http://mcb-m6.bioreg.kyushu-u.ac.jp/M3/20110411/F50904/985/1", 45.45)</f>
        <v>45.45</v>
      </c>
      <c r="E2116" s="2">
        <v>17.03</v>
      </c>
      <c r="F2116" s="2">
        <v>2</v>
      </c>
      <c r="G2116" s="2" t="s">
        <v>9</v>
      </c>
    </row>
    <row r="2117" spans="1:9" x14ac:dyDescent="0.2">
      <c r="A2117" s="2" t="s">
        <v>3403</v>
      </c>
      <c r="B2117" s="2" t="s">
        <v>287</v>
      </c>
      <c r="C2117" s="2">
        <v>459.17759999999998</v>
      </c>
      <c r="D2117" s="2">
        <f>HYPERLINK("http://mcb-m6.bioreg.kyushu-u.ac.jp/M3/20110411/F50890/929/1", 51.61)</f>
        <v>51.61</v>
      </c>
      <c r="E2117" s="2">
        <v>25.61</v>
      </c>
      <c r="F2117" s="2">
        <v>2</v>
      </c>
      <c r="G2117" s="2" t="s">
        <v>9</v>
      </c>
    </row>
    <row r="2118" spans="1:9" x14ac:dyDescent="0.2">
      <c r="A2118" s="2" t="s">
        <v>3403</v>
      </c>
      <c r="B2118" s="2" t="s">
        <v>841</v>
      </c>
      <c r="C2118" s="2">
        <v>767.29110000000003</v>
      </c>
      <c r="D2118" s="2">
        <f>HYPERLINK("http://mcb-m6.bioreg.kyushu-u.ac.jp/M3/20110411/F50905/2191/1", 53.08)</f>
        <v>53.08</v>
      </c>
      <c r="E2118" s="2">
        <v>34.840000000000003</v>
      </c>
      <c r="F2118" s="2">
        <v>2</v>
      </c>
      <c r="G2118" s="2" t="s">
        <v>9</v>
      </c>
      <c r="I2118" s="2" t="s">
        <v>4923</v>
      </c>
    </row>
    <row r="2119" spans="1:9" x14ac:dyDescent="0.2">
      <c r="A2119" s="2" t="s">
        <v>3403</v>
      </c>
      <c r="B2119" s="2" t="s">
        <v>200</v>
      </c>
      <c r="C2119" s="2">
        <v>701.25819999999999</v>
      </c>
      <c r="D2119" s="2">
        <f>HYPERLINK("http://mcb-m6.bioreg.kyushu-u.ac.jp/M3/20110411/F50890/1963/1", 54.78)</f>
        <v>54.78</v>
      </c>
      <c r="E2119" s="2">
        <v>42.57</v>
      </c>
      <c r="F2119" s="2">
        <v>2</v>
      </c>
      <c r="G2119" s="2" t="s">
        <v>9</v>
      </c>
      <c r="I2119" s="2" t="s">
        <v>4892</v>
      </c>
    </row>
    <row r="2120" spans="1:9" x14ac:dyDescent="0.2">
      <c r="A2120" s="2" t="s">
        <v>3403</v>
      </c>
      <c r="B2120" s="2" t="s">
        <v>200</v>
      </c>
      <c r="C2120" s="2">
        <v>701.25710000000004</v>
      </c>
      <c r="D2120" s="2">
        <f>HYPERLINK("http://mcb-m6.bioreg.kyushu-u.ac.jp/M3/20110411/F50892/2018/1", 58.9)</f>
        <v>58.9</v>
      </c>
      <c r="E2120" s="2">
        <v>41.62</v>
      </c>
      <c r="F2120" s="2">
        <v>2</v>
      </c>
      <c r="G2120" s="2" t="s">
        <v>9</v>
      </c>
      <c r="I2120" s="2" t="s">
        <v>4892</v>
      </c>
    </row>
    <row r="2121" spans="1:9" x14ac:dyDescent="0.2">
      <c r="A2121" s="2" t="s">
        <v>3403</v>
      </c>
      <c r="B2121" s="2" t="s">
        <v>200</v>
      </c>
      <c r="C2121" s="2">
        <v>701.78970000000004</v>
      </c>
      <c r="D2121" s="2">
        <f>HYPERLINK("http://mcb-m6.bioreg.kyushu-u.ac.jp/M3/20110411/F50890/1964/1", 59.2)</f>
        <v>59.2</v>
      </c>
      <c r="E2121" s="2">
        <v>40.58</v>
      </c>
      <c r="F2121" s="2">
        <v>2</v>
      </c>
      <c r="G2121" s="2" t="s">
        <v>9</v>
      </c>
      <c r="I2121" s="2" t="s">
        <v>4892</v>
      </c>
    </row>
    <row r="2122" spans="1:9" x14ac:dyDescent="0.2">
      <c r="A2122" s="2" t="s">
        <v>3403</v>
      </c>
      <c r="B2122" s="2" t="s">
        <v>1144</v>
      </c>
      <c r="C2122" s="2">
        <v>887.91920000000005</v>
      </c>
      <c r="D2122" s="2">
        <f>HYPERLINK("http://mcb-m6.bioreg.kyushu-u.ac.jp/M3/20110411/F50891/2904/1", 64.9)</f>
        <v>64.900000000000006</v>
      </c>
      <c r="E2122" s="2">
        <v>48.23</v>
      </c>
      <c r="F2122" s="2">
        <v>2</v>
      </c>
      <c r="G2122" s="2" t="s">
        <v>9</v>
      </c>
      <c r="I2122" s="2" t="s">
        <v>4898</v>
      </c>
    </row>
    <row r="2123" spans="1:9" x14ac:dyDescent="0.2">
      <c r="A2123" s="2" t="s">
        <v>3403</v>
      </c>
      <c r="B2123" s="2" t="s">
        <v>1246</v>
      </c>
      <c r="C2123" s="2">
        <v>1692.9580000000001</v>
      </c>
      <c r="D2123" s="2">
        <f>HYPERLINK("http://mcb-m6.bioreg.kyushu-u.ac.jp/M3/20110411/F50919/2166/1", 68.91)</f>
        <v>68.91</v>
      </c>
      <c r="E2123" s="2">
        <v>55.52</v>
      </c>
      <c r="F2123" s="2">
        <v>1</v>
      </c>
      <c r="G2123" s="2" t="s">
        <v>9</v>
      </c>
    </row>
    <row r="2124" spans="1:9" x14ac:dyDescent="0.2">
      <c r="A2124" s="2" t="s">
        <v>3403</v>
      </c>
      <c r="B2124" s="2" t="s">
        <v>1246</v>
      </c>
      <c r="C2124" s="2">
        <v>847.44460000000004</v>
      </c>
      <c r="D2124" s="2">
        <f>HYPERLINK("http://mcb-m6.bioreg.kyushu-u.ac.jp/M3/20110411/F50916/2449/1", 69.41)</f>
        <v>69.41</v>
      </c>
      <c r="E2124" s="2">
        <v>51.11</v>
      </c>
      <c r="F2124" s="2">
        <v>2</v>
      </c>
      <c r="G2124" s="2" t="s">
        <v>9</v>
      </c>
    </row>
    <row r="2125" spans="1:9" x14ac:dyDescent="0.2">
      <c r="A2125" s="2" t="s">
        <v>3403</v>
      </c>
      <c r="B2125" s="2" t="s">
        <v>841</v>
      </c>
      <c r="C2125" s="2">
        <v>767.10919999999999</v>
      </c>
      <c r="D2125" s="2">
        <f>HYPERLINK("http://mcb-m6.bioreg.kyushu-u.ac.jp/M3/20110411/F50892/2342/1", 69.92)</f>
        <v>69.92</v>
      </c>
      <c r="E2125" s="2">
        <v>60.5</v>
      </c>
      <c r="F2125" s="2">
        <v>2</v>
      </c>
      <c r="G2125" s="2" t="s">
        <v>9</v>
      </c>
      <c r="I2125" s="2" t="s">
        <v>4923</v>
      </c>
    </row>
    <row r="2126" spans="1:9" x14ac:dyDescent="0.2">
      <c r="A2126" s="2" t="s">
        <v>3403</v>
      </c>
      <c r="B2126" s="2" t="s">
        <v>200</v>
      </c>
      <c r="C2126" s="2">
        <v>701.33920000000001</v>
      </c>
      <c r="D2126" s="2">
        <f>HYPERLINK("http://mcb-m6.bioreg.kyushu-u.ac.jp/M3/20110411/F50919/1437/1", 71.64)</f>
        <v>71.64</v>
      </c>
      <c r="E2126" s="2">
        <v>51.9</v>
      </c>
      <c r="F2126" s="2">
        <v>2</v>
      </c>
      <c r="G2126" s="2" t="s">
        <v>9</v>
      </c>
      <c r="I2126" s="2" t="s">
        <v>4892</v>
      </c>
    </row>
    <row r="2127" spans="1:9" x14ac:dyDescent="0.2">
      <c r="A2127" s="2" t="s">
        <v>3403</v>
      </c>
      <c r="B2127" s="2" t="s">
        <v>1144</v>
      </c>
      <c r="C2127" s="2">
        <v>888.1232</v>
      </c>
      <c r="D2127" s="2">
        <f>HYPERLINK("http://mcb-m6.bioreg.kyushu-u.ac.jp/M3/20110411/F50895/2755/1", 72.74)</f>
        <v>72.739999999999995</v>
      </c>
      <c r="E2127" s="2">
        <v>45.36</v>
      </c>
      <c r="F2127" s="2">
        <v>2</v>
      </c>
      <c r="G2127" s="2" t="s">
        <v>9</v>
      </c>
      <c r="I2127" s="2" t="s">
        <v>4898</v>
      </c>
    </row>
    <row r="2128" spans="1:9" x14ac:dyDescent="0.2">
      <c r="A2128" s="2" t="s">
        <v>3403</v>
      </c>
      <c r="B2128" s="2" t="s">
        <v>1144</v>
      </c>
      <c r="C2128" s="2">
        <v>888.43219999999997</v>
      </c>
      <c r="D2128" s="2">
        <f>HYPERLINK("http://mcb-m6.bioreg.kyushu-u.ac.jp/M3/20110411/F50891/2905/1", 76.85)</f>
        <v>76.849999999999994</v>
      </c>
      <c r="E2128" s="2">
        <v>51.79</v>
      </c>
      <c r="F2128" s="2">
        <v>2</v>
      </c>
      <c r="G2128" s="2" t="s">
        <v>9</v>
      </c>
      <c r="I2128" s="2" t="s">
        <v>4898</v>
      </c>
    </row>
    <row r="2129" spans="1:9" x14ac:dyDescent="0.2">
      <c r="A2129" s="2" t="s">
        <v>3403</v>
      </c>
      <c r="B2129" s="2" t="s">
        <v>200</v>
      </c>
      <c r="C2129" s="2">
        <v>701.45370000000003</v>
      </c>
      <c r="D2129" s="2">
        <f>HYPERLINK("http://mcb-m6.bioreg.kyushu-u.ac.jp/M3/20110411/F50904/1840/1", 78.62)</f>
        <v>78.62</v>
      </c>
      <c r="E2129" s="2">
        <v>57.49</v>
      </c>
      <c r="F2129" s="2">
        <v>2</v>
      </c>
      <c r="G2129" s="2" t="s">
        <v>9</v>
      </c>
      <c r="I2129" s="2" t="s">
        <v>4892</v>
      </c>
    </row>
    <row r="2130" spans="1:9" x14ac:dyDescent="0.2">
      <c r="A2130" s="2" t="s">
        <v>3403</v>
      </c>
      <c r="B2130" s="2" t="s">
        <v>1144</v>
      </c>
      <c r="C2130" s="2">
        <v>888.45320000000004</v>
      </c>
      <c r="D2130" s="2">
        <f>HYPERLINK("http://mcb-m6.bioreg.kyushu-u.ac.jp/M3/20110411/F50892/2788/1", 83.26)</f>
        <v>83.26</v>
      </c>
      <c r="E2130" s="2">
        <v>68.430000000000007</v>
      </c>
      <c r="F2130" s="2">
        <v>2</v>
      </c>
      <c r="G2130" s="2" t="s">
        <v>9</v>
      </c>
      <c r="I2130" s="2" t="s">
        <v>4898</v>
      </c>
    </row>
    <row r="2131" spans="1:9" x14ac:dyDescent="0.2">
      <c r="A2131" s="2" t="s">
        <v>3403</v>
      </c>
      <c r="B2131" s="2" t="s">
        <v>1246</v>
      </c>
      <c r="C2131" s="2">
        <v>847.37660000000005</v>
      </c>
      <c r="D2131" s="2">
        <f>HYPERLINK("http://mcb-m6.bioreg.kyushu-u.ac.jp/M3/20110411/F50891/2704/1", 88.11)</f>
        <v>88.11</v>
      </c>
      <c r="E2131" s="2">
        <v>76.95</v>
      </c>
      <c r="F2131" s="2">
        <v>2</v>
      </c>
      <c r="G2131" s="2" t="s">
        <v>9</v>
      </c>
    </row>
    <row r="2132" spans="1:9" x14ac:dyDescent="0.2">
      <c r="A2132" s="2" t="s">
        <v>3403</v>
      </c>
      <c r="B2132" s="2" t="s">
        <v>1246</v>
      </c>
      <c r="C2132" s="2">
        <v>847.46469999999999</v>
      </c>
      <c r="D2132" s="2">
        <f>HYPERLINK("http://mcb-m6.bioreg.kyushu-u.ac.jp/M3/20110411/F50915/2536/1", 89.05)</f>
        <v>89.05</v>
      </c>
      <c r="E2132" s="2">
        <v>77.209999999999994</v>
      </c>
      <c r="F2132" s="2">
        <v>2</v>
      </c>
      <c r="G2132" s="2" t="s">
        <v>9</v>
      </c>
    </row>
    <row r="2133" spans="1:9" x14ac:dyDescent="0.2">
      <c r="A2133" s="2" t="s">
        <v>3403</v>
      </c>
      <c r="B2133" s="2" t="s">
        <v>1144</v>
      </c>
      <c r="C2133" s="2">
        <v>888.09860000000003</v>
      </c>
      <c r="D2133" s="2">
        <f>HYPERLINK("http://mcb-m6.bioreg.kyushu-u.ac.jp/M3/20110411/F50905/2776/1", 96.81)</f>
        <v>96.81</v>
      </c>
      <c r="E2133" s="2">
        <v>78.53</v>
      </c>
      <c r="F2133" s="2">
        <v>2</v>
      </c>
      <c r="G2133" s="2" t="s">
        <v>9</v>
      </c>
      <c r="I2133" s="2" t="s">
        <v>4898</v>
      </c>
    </row>
    <row r="2134" spans="1:9" x14ac:dyDescent="0.2">
      <c r="A2134" s="2" t="s">
        <v>3403</v>
      </c>
      <c r="B2134" s="2" t="s">
        <v>1144</v>
      </c>
      <c r="C2134" s="2">
        <v>887.8116</v>
      </c>
      <c r="D2134" s="2">
        <f>HYPERLINK("http://mcb-m6.bioreg.kyushu-u.ac.jp/M3/20110411/F50890/2907/1", 103.54)</f>
        <v>103.54</v>
      </c>
      <c r="E2134" s="2">
        <v>85.68</v>
      </c>
      <c r="F2134" s="2">
        <v>2</v>
      </c>
      <c r="G2134" s="2" t="s">
        <v>9</v>
      </c>
      <c r="I2134" s="2" t="s">
        <v>4898</v>
      </c>
    </row>
    <row r="2135" spans="1:9" x14ac:dyDescent="0.2">
      <c r="A2135" s="2" t="s">
        <v>3403</v>
      </c>
      <c r="B2135" s="2" t="s">
        <v>1633</v>
      </c>
      <c r="C2135" s="2">
        <v>1241.104</v>
      </c>
      <c r="D2135" s="2">
        <f>HYPERLINK("http://mcb-m6.bioreg.kyushu-u.ac.jp/M3/20110411/F50915/4041/1", 105.48)</f>
        <v>105.48</v>
      </c>
      <c r="E2135" s="2">
        <v>100.14</v>
      </c>
      <c r="F2135" s="2">
        <v>2</v>
      </c>
      <c r="G2135" s="2" t="s">
        <v>9</v>
      </c>
    </row>
    <row r="2136" spans="1:9" x14ac:dyDescent="0.2">
      <c r="A2136" s="2" t="s">
        <v>3403</v>
      </c>
      <c r="B2136" s="2" t="s">
        <v>1633</v>
      </c>
      <c r="C2136" s="2">
        <v>1241.1189999999999</v>
      </c>
      <c r="D2136" s="2">
        <f>HYPERLINK("http://mcb-m6.bioreg.kyushu-u.ac.jp/M3/20110411/F50892/3643/1", 108.82)</f>
        <v>108.82</v>
      </c>
      <c r="E2136" s="2">
        <v>97.18</v>
      </c>
      <c r="F2136" s="2">
        <v>2</v>
      </c>
      <c r="G2136" s="2" t="s">
        <v>9</v>
      </c>
    </row>
    <row r="2137" spans="1:9" x14ac:dyDescent="0.2">
      <c r="A2137" s="2" t="s">
        <v>3403</v>
      </c>
      <c r="B2137" s="2" t="s">
        <v>1246</v>
      </c>
      <c r="C2137" s="2">
        <v>847.3442</v>
      </c>
      <c r="D2137" s="2">
        <f>HYPERLINK("http://mcb-m6.bioreg.kyushu-u.ac.jp/M3/20110411/F50904/2513/1", 111.38)</f>
        <v>111.38</v>
      </c>
      <c r="E2137" s="2">
        <v>92.45</v>
      </c>
      <c r="F2137" s="2">
        <v>2</v>
      </c>
      <c r="G2137" s="2" t="s">
        <v>9</v>
      </c>
    </row>
    <row r="2138" spans="1:9" x14ac:dyDescent="0.2">
      <c r="A2138" s="2" t="s">
        <v>3403</v>
      </c>
      <c r="B2138" s="2" t="s">
        <v>1144</v>
      </c>
      <c r="C2138" s="2">
        <v>888.1567</v>
      </c>
      <c r="D2138" s="2">
        <f>HYPERLINK("http://mcb-m6.bioreg.kyushu-u.ac.jp/M3/20110411/F50904/2686/1", 113.52)</f>
        <v>113.52</v>
      </c>
      <c r="E2138" s="2">
        <v>89.46</v>
      </c>
      <c r="F2138" s="2">
        <v>2</v>
      </c>
      <c r="G2138" s="2" t="s">
        <v>9</v>
      </c>
      <c r="I2138" s="2" t="s">
        <v>4898</v>
      </c>
    </row>
    <row r="2139" spans="1:9" x14ac:dyDescent="0.2">
      <c r="A2139" s="2" t="s">
        <v>3403</v>
      </c>
      <c r="B2139" s="2" t="s">
        <v>1144</v>
      </c>
      <c r="C2139" s="2">
        <v>887.98419999999999</v>
      </c>
      <c r="D2139" s="2">
        <f>HYPERLINK("http://mcb-m6.bioreg.kyushu-u.ac.jp/M3/20110411/F50919/2391/1", 114.78)</f>
        <v>114.78</v>
      </c>
      <c r="E2139" s="2">
        <v>98.55</v>
      </c>
      <c r="F2139" s="2">
        <v>2</v>
      </c>
      <c r="G2139" s="2" t="s">
        <v>9</v>
      </c>
      <c r="I2139" s="2" t="s">
        <v>4898</v>
      </c>
    </row>
    <row r="2140" spans="1:9" x14ac:dyDescent="0.2">
      <c r="A2140" s="2" t="s">
        <v>3403</v>
      </c>
      <c r="B2140" s="2" t="s">
        <v>1633</v>
      </c>
      <c r="C2140" s="2">
        <v>1240.6300000000001</v>
      </c>
      <c r="D2140" s="2">
        <f>HYPERLINK("http://mcb-m6.bioreg.kyushu-u.ac.jp/M3/20110411/F50919/3671/1", 115.98)</f>
        <v>115.98</v>
      </c>
      <c r="E2140" s="2">
        <v>104.71</v>
      </c>
      <c r="F2140" s="2">
        <v>2</v>
      </c>
      <c r="G2140" s="2" t="s">
        <v>9</v>
      </c>
    </row>
    <row r="2141" spans="1:9" x14ac:dyDescent="0.2">
      <c r="A2141" s="2" t="s">
        <v>3403</v>
      </c>
      <c r="B2141" s="2" t="s">
        <v>1246</v>
      </c>
      <c r="C2141" s="2">
        <v>846.85019999999997</v>
      </c>
      <c r="D2141" s="2">
        <f>HYPERLINK("http://mcb-m6.bioreg.kyushu-u.ac.jp/M3/20110411/F50890/2734/1", 117.06)</f>
        <v>117.06</v>
      </c>
      <c r="E2141" s="2">
        <v>102.52</v>
      </c>
      <c r="F2141" s="2">
        <v>2</v>
      </c>
      <c r="G2141" s="2" t="s">
        <v>9</v>
      </c>
    </row>
    <row r="2142" spans="1:9" x14ac:dyDescent="0.2">
      <c r="A2142" s="2" t="s">
        <v>3403</v>
      </c>
      <c r="B2142" s="2" t="s">
        <v>1633</v>
      </c>
      <c r="C2142" s="2">
        <v>1241.039</v>
      </c>
      <c r="D2142" s="2">
        <f>HYPERLINK("http://mcb-m6.bioreg.kyushu-u.ac.jp/M3/20110411/F50905/3985/1", 121.71)</f>
        <v>121.71</v>
      </c>
      <c r="E2142" s="2">
        <v>107.32</v>
      </c>
      <c r="F2142" s="2">
        <v>2</v>
      </c>
      <c r="G2142" s="2" t="s">
        <v>9</v>
      </c>
    </row>
    <row r="2143" spans="1:9" x14ac:dyDescent="0.2">
      <c r="A2143" s="2" t="s">
        <v>3403</v>
      </c>
      <c r="B2143" s="2" t="s">
        <v>1246</v>
      </c>
      <c r="C2143" s="2">
        <v>847.46010000000001</v>
      </c>
      <c r="D2143" s="2">
        <f>HYPERLINK("http://mcb-m6.bioreg.kyushu-u.ac.jp/M3/20110411/F50919/2168/1", 129.8)</f>
        <v>129.80000000000001</v>
      </c>
      <c r="E2143" s="2">
        <v>111.97</v>
      </c>
      <c r="F2143" s="2">
        <v>2</v>
      </c>
      <c r="G2143" s="2" t="s">
        <v>9</v>
      </c>
    </row>
    <row r="2144" spans="1:9" x14ac:dyDescent="0.2">
      <c r="A2144" s="2" t="s">
        <v>3403</v>
      </c>
      <c r="B2144" s="2" t="s">
        <v>1633</v>
      </c>
      <c r="C2144" s="2">
        <v>1241.155</v>
      </c>
      <c r="D2144" s="2">
        <f>HYPERLINK("http://mcb-m6.bioreg.kyushu-u.ac.jp/M3/20110411/F50916/3799/1", 135.56)</f>
        <v>135.56</v>
      </c>
      <c r="E2144" s="2">
        <v>119.7</v>
      </c>
      <c r="F2144" s="2">
        <v>2</v>
      </c>
      <c r="G2144" s="2" t="s">
        <v>9</v>
      </c>
    </row>
    <row r="2145" spans="1:9" x14ac:dyDescent="0.2">
      <c r="A2145" s="2" t="s">
        <v>3403</v>
      </c>
      <c r="B2145" s="2" t="s">
        <v>1633</v>
      </c>
      <c r="C2145" s="2">
        <v>1240.8040000000001</v>
      </c>
      <c r="D2145" s="2">
        <f>HYPERLINK("http://mcb-m6.bioreg.kyushu-u.ac.jp/M3/20110411/F50904/3777/1", 135.81)</f>
        <v>135.81</v>
      </c>
      <c r="E2145" s="2">
        <v>122.42</v>
      </c>
      <c r="F2145" s="2">
        <v>2</v>
      </c>
      <c r="G2145" s="2" t="s">
        <v>9</v>
      </c>
    </row>
    <row r="2146" spans="1:9" x14ac:dyDescent="0.2">
      <c r="A2146" s="2" t="s">
        <v>3403</v>
      </c>
      <c r="B2146" s="2" t="s">
        <v>1633</v>
      </c>
      <c r="C2146" s="2">
        <v>1241.171</v>
      </c>
      <c r="D2146" s="2">
        <f>HYPERLINK("http://mcb-m6.bioreg.kyushu-u.ac.jp/M3/20110411/F50919/3674/1", 143.87)</f>
        <v>143.87</v>
      </c>
      <c r="E2146" s="2">
        <v>134.63</v>
      </c>
      <c r="F2146" s="2">
        <v>2</v>
      </c>
      <c r="G2146" s="2" t="s">
        <v>9</v>
      </c>
    </row>
    <row r="2147" spans="1:9" x14ac:dyDescent="0.2">
      <c r="A2147" s="2" t="s">
        <v>3403</v>
      </c>
      <c r="B2147" s="2" t="s">
        <v>841</v>
      </c>
      <c r="C2147" s="2">
        <v>512.25379999999996</v>
      </c>
      <c r="D2147" s="2">
        <f>HYPERLINK("http://mcb-m6.bioreg.kyushu-u.ac.jp/M3/20110411/F50912/2169/1", 36.59)</f>
        <v>36.590000000000003</v>
      </c>
      <c r="E2147" s="2">
        <v>17.239999999999998</v>
      </c>
      <c r="F2147" s="2">
        <v>3</v>
      </c>
      <c r="G2147" s="2" t="s">
        <v>10</v>
      </c>
      <c r="I2147" s="2" t="s">
        <v>4923</v>
      </c>
    </row>
    <row r="2148" spans="1:9" x14ac:dyDescent="0.2">
      <c r="A2148" s="2" t="s">
        <v>3403</v>
      </c>
      <c r="B2148" s="2" t="s">
        <v>287</v>
      </c>
      <c r="C2148" s="2">
        <v>458.82159999999999</v>
      </c>
      <c r="D2148" s="2">
        <f>HYPERLINK("http://mcb-m6.bioreg.kyushu-u.ac.jp/M3/20110411/F50901/1071/1", 37.26)</f>
        <v>37.26</v>
      </c>
      <c r="E2148" s="2">
        <v>9.7200000000000006</v>
      </c>
      <c r="F2148" s="2">
        <v>2</v>
      </c>
      <c r="G2148" s="2" t="s">
        <v>10</v>
      </c>
    </row>
    <row r="2149" spans="1:9" x14ac:dyDescent="0.2">
      <c r="A2149" s="2" t="s">
        <v>3403</v>
      </c>
      <c r="B2149" s="2" t="s">
        <v>200</v>
      </c>
      <c r="C2149" s="2">
        <v>701.46969999999999</v>
      </c>
      <c r="D2149" s="2">
        <f>HYPERLINK("http://mcb-m6.bioreg.kyushu-u.ac.jp/M3/20110411/F50901/1867/1", 37.29)</f>
        <v>37.29</v>
      </c>
      <c r="E2149" s="2">
        <v>14.08</v>
      </c>
      <c r="F2149" s="2">
        <v>2</v>
      </c>
      <c r="G2149" s="2" t="s">
        <v>10</v>
      </c>
      <c r="I2149" s="2" t="s">
        <v>4892</v>
      </c>
    </row>
    <row r="2150" spans="1:9" x14ac:dyDescent="0.2">
      <c r="A2150" s="2" t="s">
        <v>3403</v>
      </c>
      <c r="B2150" s="2" t="s">
        <v>1633</v>
      </c>
      <c r="C2150" s="2">
        <v>827.77480000000003</v>
      </c>
      <c r="D2150" s="2">
        <f>HYPERLINK("http://mcb-m6.bioreg.kyushu-u.ac.jp/M3/20110411/F50918/3682/1", 39.16)</f>
        <v>39.159999999999997</v>
      </c>
      <c r="E2150" s="2">
        <v>27.1</v>
      </c>
      <c r="F2150" s="2">
        <v>3</v>
      </c>
      <c r="G2150" s="2" t="s">
        <v>10</v>
      </c>
    </row>
    <row r="2151" spans="1:9" x14ac:dyDescent="0.2">
      <c r="A2151" s="2" t="s">
        <v>3403</v>
      </c>
      <c r="B2151" s="2" t="s">
        <v>287</v>
      </c>
      <c r="C2151" s="2">
        <v>459.32260000000002</v>
      </c>
      <c r="D2151" s="2">
        <f>HYPERLINK("http://mcb-m6.bioreg.kyushu-u.ac.jp/M3/20110411/F50901/1081/1", 39.2)</f>
        <v>39.200000000000003</v>
      </c>
      <c r="E2151" s="2">
        <v>11.47</v>
      </c>
      <c r="F2151" s="2">
        <v>2</v>
      </c>
      <c r="G2151" s="2" t="s">
        <v>10</v>
      </c>
    </row>
    <row r="2152" spans="1:9" x14ac:dyDescent="0.2">
      <c r="A2152" s="2" t="s">
        <v>3403</v>
      </c>
      <c r="B2152" s="2" t="s">
        <v>287</v>
      </c>
      <c r="C2152" s="2">
        <v>459.29160000000002</v>
      </c>
      <c r="D2152" s="2">
        <f>HYPERLINK("http://mcb-m6.bioreg.kyushu-u.ac.jp/M3/20110411/F50914/899/1", 39.2)</f>
        <v>39.200000000000003</v>
      </c>
      <c r="E2152" s="2">
        <v>11.64</v>
      </c>
      <c r="F2152" s="2">
        <v>2</v>
      </c>
      <c r="G2152" s="2" t="s">
        <v>10</v>
      </c>
    </row>
    <row r="2153" spans="1:9" x14ac:dyDescent="0.2">
      <c r="A2153" s="2" t="s">
        <v>3403</v>
      </c>
      <c r="B2153" s="2" t="s">
        <v>200</v>
      </c>
      <c r="C2153" s="2">
        <v>1401.8420000000001</v>
      </c>
      <c r="D2153" s="2">
        <f>HYPERLINK("http://mcb-m6.bioreg.kyushu-u.ac.jp/M3/20110411/F50912/1853/1", 40.97)</f>
        <v>40.97</v>
      </c>
      <c r="E2153" s="2">
        <v>17.59</v>
      </c>
      <c r="F2153" s="2">
        <v>1</v>
      </c>
      <c r="G2153" s="2" t="s">
        <v>10</v>
      </c>
      <c r="I2153" s="2" t="s">
        <v>4892</v>
      </c>
    </row>
    <row r="2154" spans="1:9" x14ac:dyDescent="0.2">
      <c r="A2154" s="2" t="s">
        <v>3403</v>
      </c>
      <c r="B2154" s="2" t="s">
        <v>200</v>
      </c>
      <c r="C2154" s="2">
        <v>701.68370000000004</v>
      </c>
      <c r="D2154" s="2">
        <f>HYPERLINK("http://mcb-m6.bioreg.kyushu-u.ac.jp/M3/20110411/F50900/1965/1", 41.49)</f>
        <v>41.49</v>
      </c>
      <c r="E2154" s="2">
        <v>26.9</v>
      </c>
      <c r="F2154" s="2">
        <v>2</v>
      </c>
      <c r="G2154" s="2" t="s">
        <v>10</v>
      </c>
      <c r="I2154" s="2" t="s">
        <v>4892</v>
      </c>
    </row>
    <row r="2155" spans="1:9" x14ac:dyDescent="0.2">
      <c r="A2155" s="2" t="s">
        <v>3403</v>
      </c>
      <c r="B2155" s="2" t="s">
        <v>1633</v>
      </c>
      <c r="C2155" s="2">
        <v>827.50350000000003</v>
      </c>
      <c r="D2155" s="2">
        <f>HYPERLINK("http://mcb-m6.bioreg.kyushu-u.ac.jp/M3/20110411/F50917/4034/1", 42.47)</f>
        <v>42.47</v>
      </c>
      <c r="E2155" s="2">
        <v>33.24</v>
      </c>
      <c r="F2155" s="2">
        <v>3</v>
      </c>
      <c r="G2155" s="2" t="s">
        <v>10</v>
      </c>
    </row>
    <row r="2156" spans="1:9" x14ac:dyDescent="0.2">
      <c r="A2156" s="2" t="s">
        <v>3403</v>
      </c>
      <c r="B2156" s="2" t="s">
        <v>1246</v>
      </c>
      <c r="C2156" s="2">
        <v>847.02170000000001</v>
      </c>
      <c r="D2156" s="2">
        <f>HYPERLINK("http://mcb-m6.bioreg.kyushu-u.ac.jp/M3/20110411/F50901/2480/1", 43.54)</f>
        <v>43.54</v>
      </c>
      <c r="E2156" s="2">
        <v>29.6</v>
      </c>
      <c r="F2156" s="2">
        <v>2</v>
      </c>
      <c r="G2156" s="2" t="s">
        <v>10</v>
      </c>
    </row>
    <row r="2157" spans="1:9" x14ac:dyDescent="0.2">
      <c r="A2157" s="2" t="s">
        <v>3403</v>
      </c>
      <c r="B2157" s="2" t="s">
        <v>1144</v>
      </c>
      <c r="C2157" s="2">
        <v>592.62819999999999</v>
      </c>
      <c r="D2157" s="2">
        <f>HYPERLINK("http://mcb-m6.bioreg.kyushu-u.ac.jp/M3/20110411/F50917/2822/1", 43.96)</f>
        <v>43.96</v>
      </c>
      <c r="E2157" s="2">
        <v>28.01</v>
      </c>
      <c r="F2157" s="2">
        <v>3</v>
      </c>
      <c r="G2157" s="2" t="s">
        <v>10</v>
      </c>
      <c r="I2157" s="2" t="s">
        <v>4898</v>
      </c>
    </row>
    <row r="2158" spans="1:9" x14ac:dyDescent="0.2">
      <c r="A2158" s="2" t="s">
        <v>3403</v>
      </c>
      <c r="B2158" s="2" t="s">
        <v>1633</v>
      </c>
      <c r="C2158" s="2">
        <v>827.6925</v>
      </c>
      <c r="D2158" s="2">
        <f>HYPERLINK("http://mcb-m6.bioreg.kyushu-u.ac.jp/M3/20110411/F50914/3754/1", 44.92)</f>
        <v>44.92</v>
      </c>
      <c r="E2158" s="2">
        <v>33.56</v>
      </c>
      <c r="F2158" s="2">
        <v>3</v>
      </c>
      <c r="G2158" s="2" t="s">
        <v>10</v>
      </c>
    </row>
    <row r="2159" spans="1:9" x14ac:dyDescent="0.2">
      <c r="A2159" s="2" t="s">
        <v>3403</v>
      </c>
      <c r="B2159" s="2" t="s">
        <v>200</v>
      </c>
      <c r="C2159" s="2">
        <v>701.82320000000004</v>
      </c>
      <c r="D2159" s="2">
        <f>HYPERLINK("http://mcb-m6.bioreg.kyushu-u.ac.jp/M3/20110411/F50917/1733/1", 48.02)</f>
        <v>48.02</v>
      </c>
      <c r="E2159" s="2">
        <v>32.270000000000003</v>
      </c>
      <c r="F2159" s="2">
        <v>2</v>
      </c>
      <c r="G2159" s="2" t="s">
        <v>10</v>
      </c>
      <c r="I2159" s="2" t="s">
        <v>4892</v>
      </c>
    </row>
    <row r="2160" spans="1:9" x14ac:dyDescent="0.2">
      <c r="A2160" s="2" t="s">
        <v>3403</v>
      </c>
      <c r="B2160" s="2" t="s">
        <v>287</v>
      </c>
      <c r="C2160" s="2">
        <v>458.7731</v>
      </c>
      <c r="D2160" s="2">
        <f>HYPERLINK("http://mcb-m6.bioreg.kyushu-u.ac.jp/M3/20110411/F50914/891/1", 48.49)</f>
        <v>48.49</v>
      </c>
      <c r="E2160" s="2">
        <v>19.52</v>
      </c>
      <c r="F2160" s="2">
        <v>2</v>
      </c>
      <c r="G2160" s="2" t="s">
        <v>10</v>
      </c>
    </row>
    <row r="2161" spans="1:9" x14ac:dyDescent="0.2">
      <c r="A2161" s="2" t="s">
        <v>3403</v>
      </c>
      <c r="B2161" s="2" t="s">
        <v>1246</v>
      </c>
      <c r="C2161" s="2">
        <v>847.43960000000004</v>
      </c>
      <c r="D2161" s="2">
        <f>HYPERLINK("http://mcb-m6.bioreg.kyushu-u.ac.jp/M3/20110411/F50912/2515/1", 50.05)</f>
        <v>50.05</v>
      </c>
      <c r="E2161" s="2">
        <v>34.200000000000003</v>
      </c>
      <c r="F2161" s="2">
        <v>2</v>
      </c>
      <c r="G2161" s="2" t="s">
        <v>10</v>
      </c>
    </row>
    <row r="2162" spans="1:9" x14ac:dyDescent="0.2">
      <c r="A2162" s="2" t="s">
        <v>3403</v>
      </c>
      <c r="B2162" s="2" t="s">
        <v>841</v>
      </c>
      <c r="C2162" s="2">
        <v>767.1567</v>
      </c>
      <c r="D2162" s="2">
        <f>HYPERLINK("http://mcb-m6.bioreg.kyushu-u.ac.jp/M3/20110411/F50899/2355/1", 50.06)</f>
        <v>50.06</v>
      </c>
      <c r="E2162" s="2">
        <v>37.03</v>
      </c>
      <c r="F2162" s="2">
        <v>2</v>
      </c>
      <c r="G2162" s="2" t="s">
        <v>10</v>
      </c>
      <c r="I2162" s="2" t="s">
        <v>4923</v>
      </c>
    </row>
    <row r="2163" spans="1:9" x14ac:dyDescent="0.2">
      <c r="A2163" s="2" t="s">
        <v>3403</v>
      </c>
      <c r="B2163" s="2" t="s">
        <v>1144</v>
      </c>
      <c r="C2163" s="2">
        <v>592.33510000000001</v>
      </c>
      <c r="D2163" s="2">
        <f>HYPERLINK("http://mcb-m6.bioreg.kyushu-u.ac.jp/M3/20110411/F50913/2716/1", 51.78)</f>
        <v>51.78</v>
      </c>
      <c r="E2163" s="2">
        <v>28.66</v>
      </c>
      <c r="F2163" s="2">
        <v>3</v>
      </c>
      <c r="G2163" s="2" t="s">
        <v>10</v>
      </c>
      <c r="I2163" s="2" t="s">
        <v>4898</v>
      </c>
    </row>
    <row r="2164" spans="1:9" x14ac:dyDescent="0.2">
      <c r="A2164" s="2" t="s">
        <v>3403</v>
      </c>
      <c r="B2164" s="2" t="s">
        <v>200</v>
      </c>
      <c r="C2164" s="2">
        <v>701.4316</v>
      </c>
      <c r="D2164" s="2">
        <f>HYPERLINK("http://mcb-m6.bioreg.kyushu-u.ac.jp/M3/20110411/F50897/1757/1", 52.66)</f>
        <v>52.66</v>
      </c>
      <c r="E2164" s="2">
        <v>27.68</v>
      </c>
      <c r="F2164" s="2">
        <v>2</v>
      </c>
      <c r="G2164" s="2" t="s">
        <v>10</v>
      </c>
      <c r="I2164" s="2" t="s">
        <v>4892</v>
      </c>
    </row>
    <row r="2165" spans="1:9" x14ac:dyDescent="0.2">
      <c r="A2165" s="2" t="s">
        <v>3403</v>
      </c>
      <c r="B2165" s="2" t="s">
        <v>1246</v>
      </c>
      <c r="C2165" s="2">
        <v>847.5367</v>
      </c>
      <c r="D2165" s="2">
        <f>HYPERLINK("http://mcb-m6.bioreg.kyushu-u.ac.jp/M3/20110411/F50902/2572/1", 56.31)</f>
        <v>56.31</v>
      </c>
      <c r="E2165" s="2">
        <v>41.19</v>
      </c>
      <c r="F2165" s="2">
        <v>2</v>
      </c>
      <c r="G2165" s="2" t="s">
        <v>10</v>
      </c>
    </row>
    <row r="2166" spans="1:9" x14ac:dyDescent="0.2">
      <c r="A2166" s="2" t="s">
        <v>3403</v>
      </c>
      <c r="B2166" s="2" t="s">
        <v>1144</v>
      </c>
      <c r="C2166" s="2">
        <v>592.55579999999998</v>
      </c>
      <c r="D2166" s="2">
        <f>HYPERLINK("http://mcb-m6.bioreg.kyushu-u.ac.jp/M3/20110411/F50912/2690/1", 59.28)</f>
        <v>59.28</v>
      </c>
      <c r="E2166" s="2">
        <v>40.380000000000003</v>
      </c>
      <c r="F2166" s="2">
        <v>3</v>
      </c>
      <c r="G2166" s="2" t="s">
        <v>10</v>
      </c>
      <c r="I2166" s="2" t="s">
        <v>4898</v>
      </c>
    </row>
    <row r="2167" spans="1:9" x14ac:dyDescent="0.2">
      <c r="A2167" s="2" t="s">
        <v>3403</v>
      </c>
      <c r="B2167" s="2" t="s">
        <v>200</v>
      </c>
      <c r="C2167" s="2">
        <v>701.3356</v>
      </c>
      <c r="D2167" s="2">
        <f>HYPERLINK("http://mcb-m6.bioreg.kyushu-u.ac.jp/M3/20110411/F50914/1897/1", 59.87)</f>
        <v>59.87</v>
      </c>
      <c r="E2167" s="2">
        <v>43.42</v>
      </c>
      <c r="F2167" s="2">
        <v>2</v>
      </c>
      <c r="G2167" s="2" t="s">
        <v>10</v>
      </c>
      <c r="I2167" s="2" t="s">
        <v>4892</v>
      </c>
    </row>
    <row r="2168" spans="1:9" x14ac:dyDescent="0.2">
      <c r="A2168" s="2" t="s">
        <v>3403</v>
      </c>
      <c r="B2168" s="2" t="s">
        <v>200</v>
      </c>
      <c r="C2168" s="2">
        <v>701.49019999999996</v>
      </c>
      <c r="D2168" s="2">
        <f>HYPERLINK("http://mcb-m6.bioreg.kyushu-u.ac.jp/M3/20110411/F50913/1821/1", 63.07)</f>
        <v>63.07</v>
      </c>
      <c r="E2168" s="2">
        <v>43.07</v>
      </c>
      <c r="F2168" s="2">
        <v>2</v>
      </c>
      <c r="G2168" s="2" t="s">
        <v>10</v>
      </c>
      <c r="I2168" s="2" t="s">
        <v>4892</v>
      </c>
    </row>
    <row r="2169" spans="1:9" x14ac:dyDescent="0.2">
      <c r="A2169" s="2" t="s">
        <v>3403</v>
      </c>
      <c r="B2169" s="2" t="s">
        <v>1246</v>
      </c>
      <c r="C2169" s="2">
        <v>847.50620000000004</v>
      </c>
      <c r="D2169" s="2">
        <f>HYPERLINK("http://mcb-m6.bioreg.kyushu-u.ac.jp/M3/20110411/F50918/2383/1", 64.94)</f>
        <v>64.94</v>
      </c>
      <c r="E2169" s="2">
        <v>50.58</v>
      </c>
      <c r="F2169" s="2">
        <v>2</v>
      </c>
      <c r="G2169" s="2" t="s">
        <v>10</v>
      </c>
    </row>
    <row r="2170" spans="1:9" x14ac:dyDescent="0.2">
      <c r="A2170" s="2" t="s">
        <v>3403</v>
      </c>
      <c r="B2170" s="2" t="s">
        <v>1633</v>
      </c>
      <c r="C2170" s="2">
        <v>827.60490000000004</v>
      </c>
      <c r="D2170" s="2">
        <f>HYPERLINK("http://mcb-m6.bioreg.kyushu-u.ac.jp/M3/20110411/F50921/3583/1", 67.66)</f>
        <v>67.66</v>
      </c>
      <c r="E2170" s="2">
        <v>57.92</v>
      </c>
      <c r="F2170" s="2">
        <v>3</v>
      </c>
      <c r="G2170" s="2" t="s">
        <v>10</v>
      </c>
    </row>
    <row r="2171" spans="1:9" x14ac:dyDescent="0.2">
      <c r="A2171" s="2" t="s">
        <v>3403</v>
      </c>
      <c r="B2171" s="2" t="s">
        <v>1246</v>
      </c>
      <c r="C2171" s="2">
        <v>847.44320000000005</v>
      </c>
      <c r="D2171" s="2">
        <f>HYPERLINK("http://mcb-m6.bioreg.kyushu-u.ac.jp/M3/20110411/F50914/2575/1", 67.69)</f>
        <v>67.69</v>
      </c>
      <c r="E2171" s="2">
        <v>57.58</v>
      </c>
      <c r="F2171" s="2">
        <v>2</v>
      </c>
      <c r="G2171" s="2" t="s">
        <v>10</v>
      </c>
    </row>
    <row r="2172" spans="1:9" x14ac:dyDescent="0.2">
      <c r="A2172" s="2" t="s">
        <v>3403</v>
      </c>
      <c r="B2172" s="2" t="s">
        <v>1144</v>
      </c>
      <c r="C2172" s="2">
        <v>888.05319999999995</v>
      </c>
      <c r="D2172" s="2">
        <f>HYPERLINK("http://mcb-m6.bioreg.kyushu-u.ac.jp/M3/20110411/F50917/2819/1", 68.98)</f>
        <v>68.98</v>
      </c>
      <c r="E2172" s="2">
        <v>52.37</v>
      </c>
      <c r="F2172" s="2">
        <v>2</v>
      </c>
      <c r="G2172" s="2" t="s">
        <v>10</v>
      </c>
      <c r="I2172" s="2" t="s">
        <v>4898</v>
      </c>
    </row>
    <row r="2173" spans="1:9" x14ac:dyDescent="0.2">
      <c r="A2173" s="2" t="s">
        <v>3403</v>
      </c>
      <c r="B2173" s="2" t="s">
        <v>1633</v>
      </c>
      <c r="C2173" s="2">
        <v>1240.7840000000001</v>
      </c>
      <c r="D2173" s="2">
        <f>HYPERLINK("http://mcb-m6.bioreg.kyushu-u.ac.jp/M3/20110411/F50912/3722/1", 68.99)</f>
        <v>68.989999999999995</v>
      </c>
      <c r="E2173" s="2">
        <v>57.91</v>
      </c>
      <c r="F2173" s="2">
        <v>2</v>
      </c>
      <c r="G2173" s="2" t="s">
        <v>10</v>
      </c>
    </row>
    <row r="2174" spans="1:9" x14ac:dyDescent="0.2">
      <c r="A2174" s="2" t="s">
        <v>3403</v>
      </c>
      <c r="B2174" s="2" t="s">
        <v>200</v>
      </c>
      <c r="C2174" s="2">
        <v>701.36519999999996</v>
      </c>
      <c r="D2174" s="2">
        <f>HYPERLINK("http://mcb-m6.bioreg.kyushu-u.ac.jp/M3/20110411/F50921/1633/1", 77.71)</f>
        <v>77.709999999999994</v>
      </c>
      <c r="E2174" s="2">
        <v>60.51</v>
      </c>
      <c r="F2174" s="2">
        <v>2</v>
      </c>
      <c r="G2174" s="2" t="s">
        <v>10</v>
      </c>
      <c r="I2174" s="2" t="s">
        <v>4892</v>
      </c>
    </row>
    <row r="2175" spans="1:9" x14ac:dyDescent="0.2">
      <c r="A2175" s="2" t="s">
        <v>3403</v>
      </c>
      <c r="B2175" s="2" t="s">
        <v>841</v>
      </c>
      <c r="C2175" s="2">
        <v>767.50210000000004</v>
      </c>
      <c r="D2175" s="2">
        <f>HYPERLINK("http://mcb-m6.bioreg.kyushu-u.ac.jp/M3/20110411/F50902/2173/1", 81.02)</f>
        <v>81.02</v>
      </c>
      <c r="E2175" s="2">
        <v>62.26</v>
      </c>
      <c r="F2175" s="2">
        <v>2</v>
      </c>
      <c r="G2175" s="2" t="s">
        <v>10</v>
      </c>
      <c r="I2175" s="2" t="s">
        <v>4923</v>
      </c>
    </row>
    <row r="2176" spans="1:9" x14ac:dyDescent="0.2">
      <c r="A2176" s="2" t="s">
        <v>3403</v>
      </c>
      <c r="B2176" s="2" t="s">
        <v>1246</v>
      </c>
      <c r="C2176" s="2">
        <v>846.93269999999995</v>
      </c>
      <c r="D2176" s="2">
        <f>HYPERLINK("http://mcb-m6.bioreg.kyushu-u.ac.jp/M3/20110411/F50914/2570/1", 82.06)</f>
        <v>82.06</v>
      </c>
      <c r="E2176" s="2">
        <v>71.069999999999993</v>
      </c>
      <c r="F2176" s="2">
        <v>2</v>
      </c>
      <c r="G2176" s="2" t="s">
        <v>10</v>
      </c>
    </row>
    <row r="2177" spans="1:9" x14ac:dyDescent="0.2">
      <c r="A2177" s="2" t="s">
        <v>3403</v>
      </c>
      <c r="B2177" s="2" t="s">
        <v>1144</v>
      </c>
      <c r="C2177" s="2">
        <v>888.43960000000004</v>
      </c>
      <c r="D2177" s="2">
        <f>HYPERLINK("http://mcb-m6.bioreg.kyushu-u.ac.jp/M3/20110411/F50918/2561/1", 82.62)</f>
        <v>82.62</v>
      </c>
      <c r="E2177" s="2">
        <v>67.59</v>
      </c>
      <c r="F2177" s="2">
        <v>2</v>
      </c>
      <c r="G2177" s="2" t="s">
        <v>10</v>
      </c>
      <c r="I2177" s="2" t="s">
        <v>4898</v>
      </c>
    </row>
    <row r="2178" spans="1:9" x14ac:dyDescent="0.2">
      <c r="A2178" s="2" t="s">
        <v>3403</v>
      </c>
      <c r="B2178" s="2" t="s">
        <v>200</v>
      </c>
      <c r="C2178" s="2">
        <v>701.58619999999996</v>
      </c>
      <c r="D2178" s="2">
        <f>HYPERLINK("http://mcb-m6.bioreg.kyushu-u.ac.jp/M3/20110411/F50912/1855/1", 86.3)</f>
        <v>86.3</v>
      </c>
      <c r="E2178" s="2">
        <v>60.11</v>
      </c>
      <c r="F2178" s="2">
        <v>2</v>
      </c>
      <c r="G2178" s="2" t="s">
        <v>10</v>
      </c>
      <c r="I2178" s="2" t="s">
        <v>4892</v>
      </c>
    </row>
    <row r="2179" spans="1:9" x14ac:dyDescent="0.2">
      <c r="A2179" s="2" t="s">
        <v>3403</v>
      </c>
      <c r="B2179" s="2" t="s">
        <v>1246</v>
      </c>
      <c r="C2179" s="2">
        <v>847.0077</v>
      </c>
      <c r="D2179" s="2">
        <f>HYPERLINK("http://mcb-m6.bioreg.kyushu-u.ac.jp/M3/20110411/F50899/2555/1", 89.37)</f>
        <v>89.37</v>
      </c>
      <c r="E2179" s="2">
        <v>76.75</v>
      </c>
      <c r="F2179" s="2">
        <v>2</v>
      </c>
      <c r="G2179" s="2" t="s">
        <v>10</v>
      </c>
    </row>
    <row r="2180" spans="1:9" x14ac:dyDescent="0.2">
      <c r="A2180" s="2" t="s">
        <v>3403</v>
      </c>
      <c r="B2180" s="2" t="s">
        <v>1144</v>
      </c>
      <c r="C2180" s="2">
        <v>888.00570000000005</v>
      </c>
      <c r="D2180" s="2">
        <f>HYPERLINK("http://mcb-m6.bioreg.kyushu-u.ac.jp/M3/20110411/F50921/2438/1", 94.23)</f>
        <v>94.23</v>
      </c>
      <c r="E2180" s="2">
        <v>70.55</v>
      </c>
      <c r="F2180" s="2">
        <v>2</v>
      </c>
      <c r="G2180" s="2" t="s">
        <v>10</v>
      </c>
      <c r="I2180" s="2" t="s">
        <v>4898</v>
      </c>
    </row>
    <row r="2181" spans="1:9" x14ac:dyDescent="0.2">
      <c r="A2181" s="2" t="s">
        <v>3403</v>
      </c>
      <c r="B2181" s="2" t="s">
        <v>1246</v>
      </c>
      <c r="C2181" s="2">
        <v>846.97469999999998</v>
      </c>
      <c r="D2181" s="2">
        <f>HYPERLINK("http://mcb-m6.bioreg.kyushu-u.ac.jp/M3/20110411/F50921/2270/1", 102.92)</f>
        <v>102.92</v>
      </c>
      <c r="E2181" s="2">
        <v>89.13</v>
      </c>
      <c r="F2181" s="2">
        <v>2</v>
      </c>
      <c r="G2181" s="2" t="s">
        <v>10</v>
      </c>
    </row>
    <row r="2182" spans="1:9" x14ac:dyDescent="0.2">
      <c r="A2182" s="2" t="s">
        <v>3403</v>
      </c>
      <c r="B2182" s="2" t="s">
        <v>1246</v>
      </c>
      <c r="C2182" s="2">
        <v>846.92719999999997</v>
      </c>
      <c r="D2182" s="2">
        <f>HYPERLINK("http://mcb-m6.bioreg.kyushu-u.ac.jp/M3/20110411/F50918/2381/1", 103.16)</f>
        <v>103.16</v>
      </c>
      <c r="E2182" s="2">
        <v>86.71</v>
      </c>
      <c r="F2182" s="2">
        <v>2</v>
      </c>
      <c r="G2182" s="2" t="s">
        <v>10</v>
      </c>
    </row>
    <row r="2183" spans="1:9" x14ac:dyDescent="0.2">
      <c r="A2183" s="2" t="s">
        <v>3403</v>
      </c>
      <c r="B2183" s="2" t="s">
        <v>1246</v>
      </c>
      <c r="C2183" s="2">
        <v>847.02719999999999</v>
      </c>
      <c r="D2183" s="2">
        <f>HYPERLINK("http://mcb-m6.bioreg.kyushu-u.ac.jp/M3/20110411/F50902/2569/1", 106.86)</f>
        <v>106.86</v>
      </c>
      <c r="E2183" s="2">
        <v>87.36</v>
      </c>
      <c r="F2183" s="2">
        <v>2</v>
      </c>
      <c r="G2183" s="2" t="s">
        <v>10</v>
      </c>
    </row>
    <row r="2184" spans="1:9" x14ac:dyDescent="0.2">
      <c r="A2184" s="2" t="s">
        <v>3403</v>
      </c>
      <c r="B2184" s="2" t="s">
        <v>1144</v>
      </c>
      <c r="C2184" s="2">
        <v>888.20209999999997</v>
      </c>
      <c r="D2184" s="2">
        <f>HYPERLINK("http://mcb-m6.bioreg.kyushu-u.ac.jp/M3/20110411/F50912/2688/1", 109.51)</f>
        <v>109.51</v>
      </c>
      <c r="E2184" s="2">
        <v>86.94</v>
      </c>
      <c r="F2184" s="2">
        <v>2</v>
      </c>
      <c r="G2184" s="2" t="s">
        <v>10</v>
      </c>
      <c r="I2184" s="2" t="s">
        <v>4898</v>
      </c>
    </row>
    <row r="2185" spans="1:9" x14ac:dyDescent="0.2">
      <c r="A2185" s="2" t="s">
        <v>3403</v>
      </c>
      <c r="B2185" s="2" t="s">
        <v>1246</v>
      </c>
      <c r="C2185" s="2">
        <v>847.10019999999997</v>
      </c>
      <c r="D2185" s="2">
        <f>HYPERLINK("http://mcb-m6.bioreg.kyushu-u.ac.jp/M3/20110411/F50920/2059/1", 110.42)</f>
        <v>110.42</v>
      </c>
      <c r="E2185" s="2">
        <v>95.17</v>
      </c>
      <c r="F2185" s="2">
        <v>2</v>
      </c>
      <c r="G2185" s="2" t="s">
        <v>10</v>
      </c>
    </row>
    <row r="2186" spans="1:9" x14ac:dyDescent="0.2">
      <c r="A2186" s="2" t="s">
        <v>3403</v>
      </c>
      <c r="B2186" s="2" t="s">
        <v>1246</v>
      </c>
      <c r="C2186" s="2">
        <v>846.96469999999999</v>
      </c>
      <c r="D2186" s="2">
        <f>HYPERLINK("http://mcb-m6.bioreg.kyushu-u.ac.jp/M3/20110411/F50917/2580/1", 111.7)</f>
        <v>111.7</v>
      </c>
      <c r="E2186" s="2">
        <v>100.56</v>
      </c>
      <c r="F2186" s="2">
        <v>2</v>
      </c>
      <c r="G2186" s="2" t="s">
        <v>10</v>
      </c>
    </row>
    <row r="2187" spans="1:9" x14ac:dyDescent="0.2">
      <c r="A2187" s="2" t="s">
        <v>3403</v>
      </c>
      <c r="B2187" s="2" t="s">
        <v>1246</v>
      </c>
      <c r="C2187" s="2">
        <v>847.02919999999995</v>
      </c>
      <c r="D2187" s="2">
        <f>HYPERLINK("http://mcb-m6.bioreg.kyushu-u.ac.jp/M3/20110411/F50913/2504/1", 112.59)</f>
        <v>112.59</v>
      </c>
      <c r="E2187" s="2">
        <v>93.82</v>
      </c>
      <c r="F2187" s="2">
        <v>2</v>
      </c>
      <c r="G2187" s="2" t="s">
        <v>10</v>
      </c>
    </row>
    <row r="2188" spans="1:9" x14ac:dyDescent="0.2">
      <c r="A2188" s="2" t="s">
        <v>3403</v>
      </c>
      <c r="B2188" s="2" t="s">
        <v>1246</v>
      </c>
      <c r="C2188" s="2">
        <v>847.13019999999995</v>
      </c>
      <c r="D2188" s="2">
        <f>HYPERLINK("http://mcb-m6.bioreg.kyushu-u.ac.jp/M3/20110411/F50912/2510/1", 115.77)</f>
        <v>115.77</v>
      </c>
      <c r="E2188" s="2">
        <v>94.91</v>
      </c>
      <c r="F2188" s="2">
        <v>2</v>
      </c>
      <c r="G2188" s="2" t="s">
        <v>10</v>
      </c>
    </row>
    <row r="2189" spans="1:9" x14ac:dyDescent="0.2">
      <c r="A2189" s="2" t="s">
        <v>3403</v>
      </c>
      <c r="B2189" s="2" t="s">
        <v>1633</v>
      </c>
      <c r="C2189" s="2">
        <v>1241.056</v>
      </c>
      <c r="D2189" s="2">
        <f>HYPERLINK("http://mcb-m6.bioreg.kyushu-u.ac.jp/M3/20110411/F50914/3755/1", 124.46)</f>
        <v>124.46</v>
      </c>
      <c r="E2189" s="2">
        <v>113.01</v>
      </c>
      <c r="F2189" s="2">
        <v>2</v>
      </c>
      <c r="G2189" s="2" t="s">
        <v>10</v>
      </c>
    </row>
    <row r="2190" spans="1:9" x14ac:dyDescent="0.2">
      <c r="A2190" s="2" t="s">
        <v>3403</v>
      </c>
      <c r="B2190" s="2" t="s">
        <v>1633</v>
      </c>
      <c r="C2190" s="2">
        <v>1240.933</v>
      </c>
      <c r="D2190" s="2">
        <f>HYPERLINK("http://mcb-m6.bioreg.kyushu-u.ac.jp/M3/20110411/F50921/3584/1", 132.13)</f>
        <v>132.13</v>
      </c>
      <c r="E2190" s="2">
        <v>126.39</v>
      </c>
      <c r="F2190" s="2">
        <v>2</v>
      </c>
      <c r="G2190" s="2" t="s">
        <v>10</v>
      </c>
    </row>
    <row r="2191" spans="1:9" x14ac:dyDescent="0.2">
      <c r="A2191" s="2" t="s">
        <v>3403</v>
      </c>
      <c r="B2191" s="2" t="s">
        <v>287</v>
      </c>
      <c r="C2191" s="2">
        <v>459.03809999999999</v>
      </c>
      <c r="D2191" s="2">
        <f>HYPERLINK("http://mcb-m6.bioreg.kyushu-u.ac.jp/M3/20110414/F50944/1120/1", 35.6)</f>
        <v>35.6</v>
      </c>
      <c r="E2191" s="2">
        <v>10.57</v>
      </c>
      <c r="F2191" s="2">
        <v>2</v>
      </c>
      <c r="G2191" s="2" t="s">
        <v>11</v>
      </c>
    </row>
    <row r="2192" spans="1:9" x14ac:dyDescent="0.2">
      <c r="A2192" s="2" t="s">
        <v>3403</v>
      </c>
      <c r="B2192" s="2" t="s">
        <v>287</v>
      </c>
      <c r="C2192" s="2">
        <v>458.65660000000003</v>
      </c>
      <c r="D2192" s="2">
        <f>HYPERLINK("http://mcb-m6.bioreg.kyushu-u.ac.jp/M3/20110414/F50962/665/1", 38.36)</f>
        <v>38.36</v>
      </c>
      <c r="E2192" s="2">
        <v>17.95</v>
      </c>
      <c r="F2192" s="2">
        <v>2</v>
      </c>
      <c r="G2192" s="2" t="s">
        <v>11</v>
      </c>
    </row>
    <row r="2193" spans="1:9" x14ac:dyDescent="0.2">
      <c r="A2193" s="2" t="s">
        <v>3403</v>
      </c>
      <c r="B2193" s="2" t="s">
        <v>287</v>
      </c>
      <c r="C2193" s="2">
        <v>458.72410000000002</v>
      </c>
      <c r="D2193" s="2">
        <f>HYPERLINK("http://mcb-m6.bioreg.kyushu-u.ac.jp/M3/20110414/F50942/675/1", 39.96)</f>
        <v>39.96</v>
      </c>
      <c r="E2193" s="2">
        <v>10.01</v>
      </c>
      <c r="F2193" s="2">
        <v>2</v>
      </c>
      <c r="G2193" s="2" t="s">
        <v>11</v>
      </c>
    </row>
    <row r="2194" spans="1:9" x14ac:dyDescent="0.2">
      <c r="A2194" s="2" t="s">
        <v>3403</v>
      </c>
      <c r="B2194" s="2" t="s">
        <v>1246</v>
      </c>
      <c r="C2194" s="2">
        <v>847.36969999999997</v>
      </c>
      <c r="D2194" s="2">
        <f>HYPERLINK("http://mcb-m6.bioreg.kyushu-u.ac.jp/M3/20110414/F50941/2652/1", 44.36)</f>
        <v>44.36</v>
      </c>
      <c r="E2194" s="2">
        <v>35.22</v>
      </c>
      <c r="F2194" s="2">
        <v>2</v>
      </c>
      <c r="G2194" s="2" t="s">
        <v>11</v>
      </c>
    </row>
    <row r="2195" spans="1:9" x14ac:dyDescent="0.2">
      <c r="A2195" s="2" t="s">
        <v>3403</v>
      </c>
      <c r="B2195" s="2" t="s">
        <v>200</v>
      </c>
      <c r="C2195" s="2">
        <v>701.38959999999997</v>
      </c>
      <c r="D2195" s="2">
        <f>HYPERLINK("http://mcb-m6.bioreg.kyushu-u.ac.jp/M3/20110414/F50945/1796/1", 45.51)</f>
        <v>45.51</v>
      </c>
      <c r="E2195" s="2">
        <v>31.95</v>
      </c>
      <c r="F2195" s="2">
        <v>2</v>
      </c>
      <c r="G2195" s="2" t="s">
        <v>11</v>
      </c>
      <c r="I2195" s="2" t="s">
        <v>4892</v>
      </c>
    </row>
    <row r="2196" spans="1:9" x14ac:dyDescent="0.2">
      <c r="A2196" s="2" t="s">
        <v>3403</v>
      </c>
      <c r="B2196" s="2" t="s">
        <v>1246</v>
      </c>
      <c r="C2196" s="2">
        <v>847.46669999999995</v>
      </c>
      <c r="D2196" s="2">
        <f>HYPERLINK("http://mcb-m6.bioreg.kyushu-u.ac.jp/M3/20110414/F50927/2726/1", 45.96)</f>
        <v>45.96</v>
      </c>
      <c r="E2196" s="2">
        <v>32.79</v>
      </c>
      <c r="F2196" s="2">
        <v>2</v>
      </c>
      <c r="G2196" s="2" t="s">
        <v>11</v>
      </c>
    </row>
    <row r="2197" spans="1:9" x14ac:dyDescent="0.2">
      <c r="A2197" s="2" t="s">
        <v>3403</v>
      </c>
      <c r="B2197" s="2" t="s">
        <v>1144</v>
      </c>
      <c r="C2197" s="2">
        <v>887.93769999999995</v>
      </c>
      <c r="D2197" s="2">
        <f>HYPERLINK("http://mcb-m6.bioreg.kyushu-u.ac.jp/M3/20110414/F50942/2784/1", 49.17)</f>
        <v>49.17</v>
      </c>
      <c r="E2197" s="2">
        <v>38.1</v>
      </c>
      <c r="F2197" s="2">
        <v>2</v>
      </c>
      <c r="G2197" s="2" t="s">
        <v>11</v>
      </c>
      <c r="I2197" s="2" t="s">
        <v>4898</v>
      </c>
    </row>
    <row r="2198" spans="1:9" x14ac:dyDescent="0.2">
      <c r="A2198" s="2" t="s">
        <v>3403</v>
      </c>
      <c r="B2198" s="2" t="s">
        <v>1246</v>
      </c>
      <c r="C2198" s="2">
        <v>847.22559999999999</v>
      </c>
      <c r="D2198" s="2">
        <f>HYPERLINK("http://mcb-m6.bioreg.kyushu-u.ac.jp/M3/20110414/F50927/2725/1", 50.58)</f>
        <v>50.58</v>
      </c>
      <c r="E2198" s="2">
        <v>37.69</v>
      </c>
      <c r="F2198" s="2">
        <v>2</v>
      </c>
      <c r="G2198" s="2" t="s">
        <v>11</v>
      </c>
    </row>
    <row r="2199" spans="1:9" x14ac:dyDescent="0.2">
      <c r="A2199" s="2" t="s">
        <v>3403</v>
      </c>
      <c r="B2199" s="2" t="s">
        <v>1246</v>
      </c>
      <c r="C2199" s="2">
        <v>847.29859999999996</v>
      </c>
      <c r="D2199" s="2">
        <f>HYPERLINK("http://mcb-m6.bioreg.kyushu-u.ac.jp/M3/20110414/F50941/2650/1", 51.87)</f>
        <v>51.87</v>
      </c>
      <c r="E2199" s="2">
        <v>44.38</v>
      </c>
      <c r="F2199" s="2">
        <v>2</v>
      </c>
      <c r="G2199" s="2" t="s">
        <v>11</v>
      </c>
    </row>
    <row r="2200" spans="1:9" x14ac:dyDescent="0.2">
      <c r="A2200" s="2" t="s">
        <v>3403</v>
      </c>
      <c r="B2200" s="2" t="s">
        <v>200</v>
      </c>
      <c r="C2200" s="2">
        <v>701.07569999999998</v>
      </c>
      <c r="D2200" s="2">
        <f>HYPERLINK("http://mcb-m6.bioreg.kyushu-u.ac.jp/M3/20110414/F50962/1719/1", 55.37)</f>
        <v>55.37</v>
      </c>
      <c r="E2200" s="2">
        <v>33.380000000000003</v>
      </c>
      <c r="F2200" s="2">
        <v>2</v>
      </c>
      <c r="G2200" s="2" t="s">
        <v>11</v>
      </c>
      <c r="I2200" s="2" t="s">
        <v>4892</v>
      </c>
    </row>
    <row r="2201" spans="1:9" x14ac:dyDescent="0.2">
      <c r="A2201" s="2" t="s">
        <v>3403</v>
      </c>
      <c r="B2201" s="2" t="s">
        <v>1246</v>
      </c>
      <c r="C2201" s="2">
        <v>847.39170000000001</v>
      </c>
      <c r="D2201" s="2">
        <f>HYPERLINK("http://mcb-m6.bioreg.kyushu-u.ac.jp/M3/20110414/F50941/2653/1", 57.28)</f>
        <v>57.28</v>
      </c>
      <c r="E2201" s="2">
        <v>39.22</v>
      </c>
      <c r="F2201" s="2">
        <v>2</v>
      </c>
      <c r="G2201" s="2" t="s">
        <v>11</v>
      </c>
    </row>
    <row r="2202" spans="1:9" x14ac:dyDescent="0.2">
      <c r="A2202" s="2" t="s">
        <v>3403</v>
      </c>
      <c r="B2202" s="2" t="s">
        <v>1144</v>
      </c>
      <c r="C2202" s="2">
        <v>592.66719999999998</v>
      </c>
      <c r="D2202" s="2">
        <f>HYPERLINK("http://mcb-m6.bioreg.kyushu-u.ac.jp/M3/20110414/F50962/2481/1", 58.58)</f>
        <v>58.58</v>
      </c>
      <c r="E2202" s="2">
        <v>41.79</v>
      </c>
      <c r="F2202" s="2">
        <v>3</v>
      </c>
      <c r="G2202" s="2" t="s">
        <v>11</v>
      </c>
      <c r="I2202" s="2" t="s">
        <v>4898</v>
      </c>
    </row>
    <row r="2203" spans="1:9" x14ac:dyDescent="0.2">
      <c r="A2203" s="2" t="s">
        <v>3403</v>
      </c>
      <c r="B2203" s="2" t="s">
        <v>1144</v>
      </c>
      <c r="C2203" s="2">
        <v>888.32069999999999</v>
      </c>
      <c r="D2203" s="2">
        <f>HYPERLINK("http://mcb-m6.bioreg.kyushu-u.ac.jp/M3/20110414/F50941/2864/1", 60.17)</f>
        <v>60.17</v>
      </c>
      <c r="E2203" s="2">
        <v>43.39</v>
      </c>
      <c r="F2203" s="2">
        <v>2</v>
      </c>
      <c r="G2203" s="2" t="s">
        <v>11</v>
      </c>
      <c r="I2203" s="2" t="s">
        <v>4898</v>
      </c>
    </row>
    <row r="2204" spans="1:9" x14ac:dyDescent="0.2">
      <c r="A2204" s="2" t="s">
        <v>3403</v>
      </c>
      <c r="B2204" s="2" t="s">
        <v>200</v>
      </c>
      <c r="C2204" s="2">
        <v>701.22119999999995</v>
      </c>
      <c r="D2204" s="2">
        <f>HYPERLINK("http://mcb-m6.bioreg.kyushu-u.ac.jp/M3/20110414/F50929/2100/1", 60.76)</f>
        <v>60.76</v>
      </c>
      <c r="E2204" s="2">
        <v>44.99</v>
      </c>
      <c r="F2204" s="2">
        <v>2</v>
      </c>
      <c r="G2204" s="2" t="s">
        <v>11</v>
      </c>
      <c r="I2204" s="2" t="s">
        <v>4892</v>
      </c>
    </row>
    <row r="2205" spans="1:9" x14ac:dyDescent="0.2">
      <c r="A2205" s="2" t="s">
        <v>3403</v>
      </c>
      <c r="B2205" s="2" t="s">
        <v>1246</v>
      </c>
      <c r="C2205" s="2">
        <v>846.73609999999996</v>
      </c>
      <c r="D2205" s="2">
        <f>HYPERLINK("http://mcb-m6.bioreg.kyushu-u.ac.jp/M3/20110414/F50929/2615/1", 61.29)</f>
        <v>61.29</v>
      </c>
      <c r="E2205" s="2">
        <v>52.31</v>
      </c>
      <c r="F2205" s="2">
        <v>2</v>
      </c>
      <c r="G2205" s="2" t="s">
        <v>11</v>
      </c>
    </row>
    <row r="2206" spans="1:9" x14ac:dyDescent="0.2">
      <c r="A2206" s="2" t="s">
        <v>3403</v>
      </c>
      <c r="B2206" s="2" t="s">
        <v>1246</v>
      </c>
      <c r="C2206" s="2">
        <v>847.27170000000001</v>
      </c>
      <c r="D2206" s="2">
        <f>HYPERLINK("http://mcb-m6.bioreg.kyushu-u.ac.jp/M3/20110414/F50943/2468/1", 62.84)</f>
        <v>62.84</v>
      </c>
      <c r="E2206" s="2">
        <v>49.34</v>
      </c>
      <c r="F2206" s="2">
        <v>2</v>
      </c>
      <c r="G2206" s="2" t="s">
        <v>11</v>
      </c>
    </row>
    <row r="2207" spans="1:9" x14ac:dyDescent="0.2">
      <c r="A2207" s="2" t="s">
        <v>3403</v>
      </c>
      <c r="B2207" s="2" t="s">
        <v>1144</v>
      </c>
      <c r="C2207" s="2">
        <v>888.43370000000004</v>
      </c>
      <c r="D2207" s="2">
        <f>HYPERLINK("http://mcb-m6.bioreg.kyushu-u.ac.jp/M3/20110414/F50962/2478/1", 67.57)</f>
        <v>67.569999999999993</v>
      </c>
      <c r="E2207" s="2">
        <v>48.81</v>
      </c>
      <c r="F2207" s="2">
        <v>2</v>
      </c>
      <c r="G2207" s="2" t="s">
        <v>11</v>
      </c>
      <c r="I2207" s="2" t="s">
        <v>4898</v>
      </c>
    </row>
    <row r="2208" spans="1:9" x14ac:dyDescent="0.2">
      <c r="A2208" s="2" t="s">
        <v>3403</v>
      </c>
      <c r="B2208" s="2" t="s">
        <v>1246</v>
      </c>
      <c r="C2208" s="2">
        <v>565.15279999999996</v>
      </c>
      <c r="D2208" s="2">
        <f>HYPERLINK("http://mcb-m6.bioreg.kyushu-u.ac.jp/M3/20110414/F50962/2317/1", 68.63)</f>
        <v>68.63</v>
      </c>
      <c r="E2208" s="2">
        <v>47.13</v>
      </c>
      <c r="F2208" s="2">
        <v>3</v>
      </c>
      <c r="G2208" s="2" t="s">
        <v>11</v>
      </c>
    </row>
    <row r="2209" spans="1:9" x14ac:dyDescent="0.2">
      <c r="A2209" s="2" t="s">
        <v>3403</v>
      </c>
      <c r="B2209" s="2" t="s">
        <v>1246</v>
      </c>
      <c r="C2209" s="2">
        <v>846.81569999999999</v>
      </c>
      <c r="D2209" s="2">
        <f>HYPERLINK("http://mcb-m6.bioreg.kyushu-u.ac.jp/M3/20110414/F50941/2647/1", 72.5)</f>
        <v>72.5</v>
      </c>
      <c r="E2209" s="2">
        <v>67.19</v>
      </c>
      <c r="F2209" s="2">
        <v>2</v>
      </c>
      <c r="G2209" s="2" t="s">
        <v>11</v>
      </c>
    </row>
    <row r="2210" spans="1:9" x14ac:dyDescent="0.2">
      <c r="A2210" s="2" t="s">
        <v>3403</v>
      </c>
      <c r="B2210" s="2" t="s">
        <v>841</v>
      </c>
      <c r="C2210" s="2">
        <v>767.35360000000003</v>
      </c>
      <c r="D2210" s="2">
        <f>HYPERLINK("http://mcb-m6.bioreg.kyushu-u.ac.jp/M3/20110414/F50962/2042/1", 77.81)</f>
        <v>77.81</v>
      </c>
      <c r="E2210" s="2">
        <v>62.15</v>
      </c>
      <c r="F2210" s="2">
        <v>2</v>
      </c>
      <c r="G2210" s="2" t="s">
        <v>11</v>
      </c>
      <c r="I2210" s="2" t="s">
        <v>4923</v>
      </c>
    </row>
    <row r="2211" spans="1:9" x14ac:dyDescent="0.2">
      <c r="A2211" s="2" t="s">
        <v>3403</v>
      </c>
      <c r="B2211" s="2" t="s">
        <v>1144</v>
      </c>
      <c r="C2211" s="2">
        <v>888.36519999999996</v>
      </c>
      <c r="D2211" s="2">
        <f>HYPERLINK("http://mcb-m6.bioreg.kyushu-u.ac.jp/M3/20110414/F50943/2659/1", 79.98)</f>
        <v>79.98</v>
      </c>
      <c r="E2211" s="2">
        <v>65.97</v>
      </c>
      <c r="F2211" s="2">
        <v>2</v>
      </c>
      <c r="G2211" s="2" t="s">
        <v>11</v>
      </c>
      <c r="I2211" s="2" t="s">
        <v>4898</v>
      </c>
    </row>
    <row r="2212" spans="1:9" x14ac:dyDescent="0.2">
      <c r="A2212" s="2" t="s">
        <v>3403</v>
      </c>
      <c r="B2212" s="2" t="s">
        <v>1144</v>
      </c>
      <c r="C2212" s="2">
        <v>888.1567</v>
      </c>
      <c r="D2212" s="2">
        <f>HYPERLINK("http://mcb-m6.bioreg.kyushu-u.ac.jp/M3/20110414/F50928/2905/1", 81.7)</f>
        <v>81.7</v>
      </c>
      <c r="E2212" s="2">
        <v>60.81</v>
      </c>
      <c r="F2212" s="2">
        <v>2</v>
      </c>
      <c r="G2212" s="2" t="s">
        <v>11</v>
      </c>
      <c r="I2212" s="2" t="s">
        <v>4898</v>
      </c>
    </row>
    <row r="2213" spans="1:9" x14ac:dyDescent="0.2">
      <c r="A2213" s="2" t="s">
        <v>3403</v>
      </c>
      <c r="B2213" s="2" t="s">
        <v>1144</v>
      </c>
      <c r="C2213" s="2">
        <v>887.85310000000004</v>
      </c>
      <c r="D2213" s="2">
        <f>HYPERLINK("http://mcb-m6.bioreg.kyushu-u.ac.jp/M3/20110414/F50962/2468/1", 85.92)</f>
        <v>85.92</v>
      </c>
      <c r="E2213" s="2">
        <v>71.11</v>
      </c>
      <c r="F2213" s="2">
        <v>2</v>
      </c>
      <c r="G2213" s="2" t="s">
        <v>11</v>
      </c>
      <c r="I2213" s="2" t="s">
        <v>4898</v>
      </c>
    </row>
    <row r="2214" spans="1:9" x14ac:dyDescent="0.2">
      <c r="A2214" s="2" t="s">
        <v>3403</v>
      </c>
      <c r="B2214" s="2" t="s">
        <v>1144</v>
      </c>
      <c r="C2214" s="2">
        <v>888.36469999999997</v>
      </c>
      <c r="D2214" s="2">
        <f>HYPERLINK("http://mcb-m6.bioreg.kyushu-u.ac.jp/M3/20110414/F50962/2475/1", 88.67)</f>
        <v>88.67</v>
      </c>
      <c r="E2214" s="2">
        <v>77.44</v>
      </c>
      <c r="F2214" s="2">
        <v>2</v>
      </c>
      <c r="G2214" s="2" t="s">
        <v>11</v>
      </c>
      <c r="I2214" s="2" t="s">
        <v>4898</v>
      </c>
    </row>
    <row r="2215" spans="1:9" x14ac:dyDescent="0.2">
      <c r="A2215" s="2" t="s">
        <v>3403</v>
      </c>
      <c r="B2215" s="2" t="s">
        <v>1246</v>
      </c>
      <c r="C2215" s="2">
        <v>847.36869999999999</v>
      </c>
      <c r="D2215" s="2">
        <f>HYPERLINK("http://mcb-m6.bioreg.kyushu-u.ac.jp/M3/20110414/F50944/2488/1", 88.8)</f>
        <v>88.8</v>
      </c>
      <c r="E2215" s="2">
        <v>75.95</v>
      </c>
      <c r="F2215" s="2">
        <v>2</v>
      </c>
      <c r="G2215" s="2" t="s">
        <v>11</v>
      </c>
    </row>
    <row r="2216" spans="1:9" x14ac:dyDescent="0.2">
      <c r="A2216" s="2" t="s">
        <v>3403</v>
      </c>
      <c r="B2216" s="2" t="s">
        <v>1246</v>
      </c>
      <c r="C2216" s="2">
        <v>847.34810000000004</v>
      </c>
      <c r="D2216" s="2">
        <f>HYPERLINK("http://mcb-m6.bioreg.kyushu-u.ac.jp/M3/20110414/F50941/2651/1", 89.49)</f>
        <v>89.49</v>
      </c>
      <c r="E2216" s="2">
        <v>78.62</v>
      </c>
      <c r="F2216" s="2">
        <v>2</v>
      </c>
      <c r="G2216" s="2" t="s">
        <v>11</v>
      </c>
    </row>
    <row r="2217" spans="1:9" x14ac:dyDescent="0.2">
      <c r="A2217" s="2" t="s">
        <v>3403</v>
      </c>
      <c r="B2217" s="2" t="s">
        <v>1246</v>
      </c>
      <c r="C2217" s="2">
        <v>846.70510000000002</v>
      </c>
      <c r="D2217" s="2">
        <f>HYPERLINK("http://mcb-m6.bioreg.kyushu-u.ac.jp/M3/20110414/F50962/2314/1", 90.9)</f>
        <v>90.9</v>
      </c>
      <c r="E2217" s="2">
        <v>73.97</v>
      </c>
      <c r="F2217" s="2">
        <v>2</v>
      </c>
      <c r="G2217" s="2" t="s">
        <v>11</v>
      </c>
    </row>
    <row r="2218" spans="1:9" x14ac:dyDescent="0.2">
      <c r="A2218" s="2" t="s">
        <v>3403</v>
      </c>
      <c r="B2218" s="2" t="s">
        <v>1144</v>
      </c>
      <c r="C2218" s="2">
        <v>888.11320000000001</v>
      </c>
      <c r="D2218" s="2">
        <f>HYPERLINK("http://mcb-m6.bioreg.kyushu-u.ac.jp/M3/20110414/F50941/2861/1", 93.07)</f>
        <v>93.07</v>
      </c>
      <c r="E2218" s="2">
        <v>77.59</v>
      </c>
      <c r="F2218" s="2">
        <v>2</v>
      </c>
      <c r="G2218" s="2" t="s">
        <v>11</v>
      </c>
      <c r="I2218" s="2" t="s">
        <v>4898</v>
      </c>
    </row>
    <row r="2219" spans="1:9" x14ac:dyDescent="0.2">
      <c r="A2219" s="2" t="s">
        <v>3403</v>
      </c>
      <c r="B2219" s="2" t="s">
        <v>1246</v>
      </c>
      <c r="C2219" s="2">
        <v>846.67110000000002</v>
      </c>
      <c r="D2219" s="2">
        <f>HYPERLINK("http://mcb-m6.bioreg.kyushu-u.ac.jp/M3/20110414/F50962/2313/1", 95.88)</f>
        <v>95.88</v>
      </c>
      <c r="E2219" s="2">
        <v>83.76</v>
      </c>
      <c r="F2219" s="2">
        <v>2</v>
      </c>
      <c r="G2219" s="2" t="s">
        <v>11</v>
      </c>
    </row>
    <row r="2220" spans="1:9" x14ac:dyDescent="0.2">
      <c r="A2220" s="2" t="s">
        <v>3403</v>
      </c>
      <c r="B2220" s="2" t="s">
        <v>1246</v>
      </c>
      <c r="C2220" s="2">
        <v>847.22059999999999</v>
      </c>
      <c r="D2220" s="2">
        <f>HYPERLINK("http://mcb-m6.bioreg.kyushu-u.ac.jp/M3/20110414/F50928/2768/1", 98.15)</f>
        <v>98.15</v>
      </c>
      <c r="E2220" s="2">
        <v>82.29</v>
      </c>
      <c r="F2220" s="2">
        <v>2</v>
      </c>
      <c r="G2220" s="2" t="s">
        <v>11</v>
      </c>
    </row>
    <row r="2221" spans="1:9" x14ac:dyDescent="0.2">
      <c r="A2221" s="2" t="s">
        <v>3403</v>
      </c>
      <c r="B2221" s="2" t="s">
        <v>1144</v>
      </c>
      <c r="C2221" s="2">
        <v>887.79269999999997</v>
      </c>
      <c r="D2221" s="2">
        <f>HYPERLINK("http://mcb-m6.bioreg.kyushu-u.ac.jp/M3/20110414/F50929/2713/1", 100.58)</f>
        <v>100.58</v>
      </c>
      <c r="E2221" s="2">
        <v>84.44</v>
      </c>
      <c r="F2221" s="2">
        <v>2</v>
      </c>
      <c r="G2221" s="2" t="s">
        <v>11</v>
      </c>
      <c r="I2221" s="2" t="s">
        <v>4898</v>
      </c>
    </row>
    <row r="2222" spans="1:9" x14ac:dyDescent="0.2">
      <c r="A2222" s="2" t="s">
        <v>3403</v>
      </c>
      <c r="B2222" s="2" t="s">
        <v>1246</v>
      </c>
      <c r="C2222" s="2">
        <v>847.09310000000005</v>
      </c>
      <c r="D2222" s="2">
        <f>HYPERLINK("http://mcb-m6.bioreg.kyushu-u.ac.jp/M3/20110414/F50962/2316/1", 101.18)</f>
        <v>101.18</v>
      </c>
      <c r="E2222" s="2">
        <v>85.39</v>
      </c>
      <c r="F2222" s="2">
        <v>2</v>
      </c>
      <c r="G2222" s="2" t="s">
        <v>11</v>
      </c>
    </row>
    <row r="2223" spans="1:9" x14ac:dyDescent="0.2">
      <c r="A2223" s="2" t="s">
        <v>3403</v>
      </c>
      <c r="B2223" s="2" t="s">
        <v>1144</v>
      </c>
      <c r="C2223" s="2">
        <v>888.01969999999994</v>
      </c>
      <c r="D2223" s="2">
        <f>HYPERLINK("http://mcb-m6.bioreg.kyushu-u.ac.jp/M3/20110414/F50945/2723/1", 102.92)</f>
        <v>102.92</v>
      </c>
      <c r="E2223" s="2">
        <v>87.9</v>
      </c>
      <c r="F2223" s="2">
        <v>2</v>
      </c>
      <c r="G2223" s="2" t="s">
        <v>11</v>
      </c>
      <c r="I2223" s="2" t="s">
        <v>4898</v>
      </c>
    </row>
    <row r="2224" spans="1:9" x14ac:dyDescent="0.2">
      <c r="A2224" s="2" t="s">
        <v>3403</v>
      </c>
      <c r="B2224" s="2" t="s">
        <v>1246</v>
      </c>
      <c r="C2224" s="2">
        <v>846.6232</v>
      </c>
      <c r="D2224" s="2">
        <f>HYPERLINK("http://mcb-m6.bioreg.kyushu-u.ac.jp/M3/20110414/F50928/2767/1", 103.01)</f>
        <v>103.01</v>
      </c>
      <c r="E2224" s="2">
        <v>92.6</v>
      </c>
      <c r="F2224" s="2">
        <v>2</v>
      </c>
      <c r="G2224" s="2" t="s">
        <v>11</v>
      </c>
    </row>
    <row r="2225" spans="1:9" x14ac:dyDescent="0.2">
      <c r="A2225" s="2" t="s">
        <v>3403</v>
      </c>
      <c r="B2225" s="2" t="s">
        <v>1144</v>
      </c>
      <c r="C2225" s="2">
        <v>887.69269999999995</v>
      </c>
      <c r="D2225" s="2">
        <f>HYPERLINK("http://mcb-m6.bioreg.kyushu-u.ac.jp/M3/20110414/F50957/2798/1", 106.61)</f>
        <v>106.61</v>
      </c>
      <c r="E2225" s="2">
        <v>95.41</v>
      </c>
      <c r="F2225" s="2">
        <v>2</v>
      </c>
      <c r="G2225" s="2" t="s">
        <v>11</v>
      </c>
      <c r="I2225" s="2" t="s">
        <v>4898</v>
      </c>
    </row>
    <row r="2226" spans="1:9" x14ac:dyDescent="0.2">
      <c r="A2226" s="2" t="s">
        <v>3403</v>
      </c>
      <c r="B2226" s="2" t="s">
        <v>1246</v>
      </c>
      <c r="C2226" s="2">
        <v>846.6182</v>
      </c>
      <c r="D2226" s="2">
        <f>HYPERLINK("http://mcb-m6.bioreg.kyushu-u.ac.jp/M3/20110414/F50927/2724/1", 106.67)</f>
        <v>106.67</v>
      </c>
      <c r="E2226" s="2">
        <v>90.83</v>
      </c>
      <c r="F2226" s="2">
        <v>2</v>
      </c>
      <c r="G2226" s="2" t="s">
        <v>11</v>
      </c>
    </row>
    <row r="2227" spans="1:9" x14ac:dyDescent="0.2">
      <c r="A2227" s="2" t="s">
        <v>3403</v>
      </c>
      <c r="B2227" s="2" t="s">
        <v>1246</v>
      </c>
      <c r="C2227" s="2">
        <v>846.88459999999998</v>
      </c>
      <c r="D2227" s="2">
        <f>HYPERLINK("http://mcb-m6.bioreg.kyushu-u.ac.jp/M3/20110414/F50945/2539/1", 110.68)</f>
        <v>110.68</v>
      </c>
      <c r="E2227" s="2">
        <v>98.96</v>
      </c>
      <c r="F2227" s="2">
        <v>2</v>
      </c>
      <c r="G2227" s="2" t="s">
        <v>11</v>
      </c>
    </row>
    <row r="2228" spans="1:9" x14ac:dyDescent="0.2">
      <c r="A2228" s="2" t="s">
        <v>3403</v>
      </c>
      <c r="B2228" s="2" t="s">
        <v>1246</v>
      </c>
      <c r="C2228" s="2">
        <v>846.75070000000005</v>
      </c>
      <c r="D2228" s="2">
        <f>HYPERLINK("http://mcb-m6.bioreg.kyushu-u.ac.jp/M3/20110414/F50962/2315/1", 110.74)</f>
        <v>110.74</v>
      </c>
      <c r="E2228" s="2">
        <v>92.74</v>
      </c>
      <c r="F2228" s="2">
        <v>2</v>
      </c>
      <c r="G2228" s="2" t="s">
        <v>11</v>
      </c>
    </row>
    <row r="2229" spans="1:9" x14ac:dyDescent="0.2">
      <c r="A2229" s="2" t="s">
        <v>3403</v>
      </c>
      <c r="B2229" s="2" t="s">
        <v>1144</v>
      </c>
      <c r="C2229" s="2">
        <v>887.90560000000005</v>
      </c>
      <c r="D2229" s="2">
        <f>HYPERLINK("http://mcb-m6.bioreg.kyushu-u.ac.jp/M3/20110414/F50947/2830/1", 35.76)</f>
        <v>35.76</v>
      </c>
      <c r="E2229" s="2">
        <v>17.96</v>
      </c>
      <c r="F2229" s="2">
        <v>2</v>
      </c>
      <c r="G2229" s="2" t="s">
        <v>12</v>
      </c>
      <c r="I2229" s="2" t="s">
        <v>4898</v>
      </c>
    </row>
    <row r="2230" spans="1:9" x14ac:dyDescent="0.2">
      <c r="A2230" s="2" t="s">
        <v>3403</v>
      </c>
      <c r="B2230" s="2" t="s">
        <v>841</v>
      </c>
      <c r="C2230" s="2">
        <v>767.77760000000001</v>
      </c>
      <c r="D2230" s="2">
        <f>HYPERLINK("http://mcb-m6.bioreg.kyushu-u.ac.jp/M3/20110414/F50963/1984/1", 37.76)</f>
        <v>37.76</v>
      </c>
      <c r="E2230" s="2">
        <v>25.09</v>
      </c>
      <c r="F2230" s="2">
        <v>2</v>
      </c>
      <c r="G2230" s="2" t="s">
        <v>12</v>
      </c>
      <c r="I2230" s="2" t="s">
        <v>4923</v>
      </c>
    </row>
    <row r="2231" spans="1:9" x14ac:dyDescent="0.2">
      <c r="A2231" s="2" t="s">
        <v>3403</v>
      </c>
      <c r="B2231" s="2" t="s">
        <v>287</v>
      </c>
      <c r="C2231" s="2">
        <v>458.52409999999998</v>
      </c>
      <c r="D2231" s="2">
        <f>HYPERLINK("http://mcb-m6.bioreg.kyushu-u.ac.jp/M3/20110414/F50963/563/1", 38.33)</f>
        <v>38.33</v>
      </c>
      <c r="E2231" s="2">
        <v>10.81</v>
      </c>
      <c r="F2231" s="2">
        <v>2</v>
      </c>
      <c r="G2231" s="2" t="s">
        <v>12</v>
      </c>
    </row>
    <row r="2232" spans="1:9" x14ac:dyDescent="0.2">
      <c r="A2232" s="2" t="s">
        <v>3403</v>
      </c>
      <c r="B2232" s="2" t="s">
        <v>287</v>
      </c>
      <c r="C2232" s="2">
        <v>458.5401</v>
      </c>
      <c r="D2232" s="2">
        <f>HYPERLINK("http://mcb-m6.bioreg.kyushu-u.ac.jp/M3/20110414/F50963/564/1", 45.94)</f>
        <v>45.94</v>
      </c>
      <c r="E2232" s="2">
        <v>16.86</v>
      </c>
      <c r="F2232" s="2">
        <v>2</v>
      </c>
      <c r="G2232" s="2" t="s">
        <v>12</v>
      </c>
    </row>
    <row r="2233" spans="1:9" x14ac:dyDescent="0.2">
      <c r="A2233" s="2" t="s">
        <v>3403</v>
      </c>
      <c r="B2233" s="2" t="s">
        <v>200</v>
      </c>
      <c r="C2233" s="2">
        <v>701.67169999999999</v>
      </c>
      <c r="D2233" s="2">
        <f>HYPERLINK("http://mcb-m6.bioreg.kyushu-u.ac.jp/M3/20110414/F50963/1636/1", 46.04)</f>
        <v>46.04</v>
      </c>
      <c r="E2233" s="2">
        <v>31.39</v>
      </c>
      <c r="F2233" s="2">
        <v>2</v>
      </c>
      <c r="G2233" s="2" t="s">
        <v>12</v>
      </c>
      <c r="I2233" s="2" t="s">
        <v>4892</v>
      </c>
    </row>
    <row r="2234" spans="1:9" x14ac:dyDescent="0.2">
      <c r="A2234" s="2" t="s">
        <v>3403</v>
      </c>
      <c r="B2234" s="2" t="s">
        <v>200</v>
      </c>
      <c r="C2234" s="2">
        <v>701.75570000000005</v>
      </c>
      <c r="D2234" s="2">
        <f>HYPERLINK("http://mcb-m6.bioreg.kyushu-u.ac.jp/M3/20110414/F50947/1682/1", 47.68)</f>
        <v>47.68</v>
      </c>
      <c r="E2234" s="2">
        <v>34.369999999999997</v>
      </c>
      <c r="F2234" s="2">
        <v>2</v>
      </c>
      <c r="G2234" s="2" t="s">
        <v>12</v>
      </c>
      <c r="I2234" s="2" t="s">
        <v>4892</v>
      </c>
    </row>
    <row r="2235" spans="1:9" x14ac:dyDescent="0.2">
      <c r="A2235" s="2" t="s">
        <v>3403</v>
      </c>
      <c r="B2235" s="2" t="s">
        <v>1246</v>
      </c>
      <c r="C2235" s="2">
        <v>847.0847</v>
      </c>
      <c r="D2235" s="2">
        <f>HYPERLINK("http://mcb-m6.bioreg.kyushu-u.ac.jp/M3/20110414/F50948/2693/1", 48.65)</f>
        <v>48.65</v>
      </c>
      <c r="E2235" s="2">
        <v>36.549999999999997</v>
      </c>
      <c r="F2235" s="2">
        <v>2</v>
      </c>
      <c r="G2235" s="2" t="s">
        <v>12</v>
      </c>
    </row>
    <row r="2236" spans="1:9" x14ac:dyDescent="0.2">
      <c r="A2236" s="2" t="s">
        <v>3403</v>
      </c>
      <c r="B2236" s="2" t="s">
        <v>1246</v>
      </c>
      <c r="C2236" s="2">
        <v>846.64120000000003</v>
      </c>
      <c r="D2236" s="2">
        <f>HYPERLINK("http://mcb-m6.bioreg.kyushu-u.ac.jp/M3/20110414/F50966/2300/1", 49.28)</f>
        <v>49.28</v>
      </c>
      <c r="E2236" s="2">
        <v>35.53</v>
      </c>
      <c r="F2236" s="2">
        <v>2</v>
      </c>
      <c r="G2236" s="2" t="s">
        <v>12</v>
      </c>
    </row>
    <row r="2237" spans="1:9" x14ac:dyDescent="0.2">
      <c r="A2237" s="2" t="s">
        <v>3403</v>
      </c>
      <c r="B2237" s="2" t="s">
        <v>1246</v>
      </c>
      <c r="C2237" s="2">
        <v>846.57870000000003</v>
      </c>
      <c r="D2237" s="2">
        <f>HYPERLINK("http://mcb-m6.bioreg.kyushu-u.ac.jp/M3/20110414/F50963/2288/1", 50.85)</f>
        <v>50.85</v>
      </c>
      <c r="E2237" s="2">
        <v>35.6</v>
      </c>
      <c r="F2237" s="2">
        <v>2</v>
      </c>
      <c r="G2237" s="2" t="s">
        <v>12</v>
      </c>
    </row>
    <row r="2238" spans="1:9" x14ac:dyDescent="0.2">
      <c r="A2238" s="2" t="s">
        <v>3403</v>
      </c>
      <c r="B2238" s="2" t="s">
        <v>1144</v>
      </c>
      <c r="C2238" s="2">
        <v>592.32849999999996</v>
      </c>
      <c r="D2238" s="2">
        <f>HYPERLINK("http://mcb-m6.bioreg.kyushu-u.ac.jp/M3/20110414/F50948/2946/1", 52.2)</f>
        <v>52.2</v>
      </c>
      <c r="E2238" s="2">
        <v>37.520000000000003</v>
      </c>
      <c r="F2238" s="2">
        <v>3</v>
      </c>
      <c r="G2238" s="2" t="s">
        <v>12</v>
      </c>
      <c r="I2238" s="2" t="s">
        <v>4898</v>
      </c>
    </row>
    <row r="2239" spans="1:9" x14ac:dyDescent="0.2">
      <c r="A2239" s="2" t="s">
        <v>3403</v>
      </c>
      <c r="B2239" s="2" t="s">
        <v>1144</v>
      </c>
      <c r="C2239" s="2">
        <v>592.66150000000005</v>
      </c>
      <c r="D2239" s="2">
        <f>HYPERLINK("http://mcb-m6.bioreg.kyushu-u.ac.jp/M3/20110414/F50947/2837/1", 54.14)</f>
        <v>54.14</v>
      </c>
      <c r="E2239" s="2">
        <v>40.380000000000003</v>
      </c>
      <c r="F2239" s="2">
        <v>3</v>
      </c>
      <c r="G2239" s="2" t="s">
        <v>12</v>
      </c>
      <c r="I2239" s="2" t="s">
        <v>4898</v>
      </c>
    </row>
    <row r="2240" spans="1:9" x14ac:dyDescent="0.2">
      <c r="A2240" s="2" t="s">
        <v>3403</v>
      </c>
      <c r="B2240" s="2" t="s">
        <v>1246</v>
      </c>
      <c r="C2240" s="2">
        <v>847.29719999999998</v>
      </c>
      <c r="D2240" s="2">
        <f>HYPERLINK("http://mcb-m6.bioreg.kyushu-u.ac.jp/M3/20110414/F50933/2832/1", 54.47)</f>
        <v>54.47</v>
      </c>
      <c r="E2240" s="2">
        <v>45.75</v>
      </c>
      <c r="F2240" s="2">
        <v>2</v>
      </c>
      <c r="G2240" s="2" t="s">
        <v>12</v>
      </c>
    </row>
    <row r="2241" spans="1:9" x14ac:dyDescent="0.2">
      <c r="A2241" s="2" t="s">
        <v>3403</v>
      </c>
      <c r="B2241" s="2" t="s">
        <v>1144</v>
      </c>
      <c r="C2241" s="2">
        <v>888.28309999999999</v>
      </c>
      <c r="D2241" s="2">
        <f>HYPERLINK("http://mcb-m6.bioreg.kyushu-u.ac.jp/M3/20110414/F50963/2475/1", 59.19)</f>
        <v>59.19</v>
      </c>
      <c r="E2241" s="2">
        <v>42.75</v>
      </c>
      <c r="F2241" s="2">
        <v>2</v>
      </c>
      <c r="G2241" s="2" t="s">
        <v>12</v>
      </c>
      <c r="I2241" s="2" t="s">
        <v>4898</v>
      </c>
    </row>
    <row r="2242" spans="1:9" x14ac:dyDescent="0.2">
      <c r="A2242" s="2" t="s">
        <v>3403</v>
      </c>
      <c r="B2242" s="2" t="s">
        <v>1246</v>
      </c>
      <c r="C2242" s="2">
        <v>846.71010000000001</v>
      </c>
      <c r="D2242" s="2">
        <f>HYPERLINK("http://mcb-m6.bioreg.kyushu-u.ac.jp/M3/20110414/F50963/2289/1", 62.08)</f>
        <v>62.08</v>
      </c>
      <c r="E2242" s="2">
        <v>45.71</v>
      </c>
      <c r="F2242" s="2">
        <v>2</v>
      </c>
      <c r="G2242" s="2" t="s">
        <v>12</v>
      </c>
    </row>
    <row r="2243" spans="1:9" x14ac:dyDescent="0.2">
      <c r="A2243" s="2" t="s">
        <v>3403</v>
      </c>
      <c r="B2243" s="2" t="s">
        <v>1246</v>
      </c>
      <c r="C2243" s="2">
        <v>847.26120000000003</v>
      </c>
      <c r="D2243" s="2">
        <f>HYPERLINK("http://mcb-m6.bioreg.kyushu-u.ac.jp/M3/20110414/F50946/2519/1", 68.55)</f>
        <v>68.55</v>
      </c>
      <c r="E2243" s="2">
        <v>51.14</v>
      </c>
      <c r="F2243" s="2">
        <v>2</v>
      </c>
      <c r="G2243" s="2" t="s">
        <v>12</v>
      </c>
    </row>
    <row r="2244" spans="1:9" x14ac:dyDescent="0.2">
      <c r="A2244" s="2" t="s">
        <v>3403</v>
      </c>
      <c r="B2244" s="2" t="s">
        <v>1144</v>
      </c>
      <c r="C2244" s="2">
        <v>888.40920000000006</v>
      </c>
      <c r="D2244" s="2">
        <f>HYPERLINK("http://mcb-m6.bioreg.kyushu-u.ac.jp/M3/20110414/F50947/2834/1", 68.98)</f>
        <v>68.98</v>
      </c>
      <c r="E2244" s="2">
        <v>52.83</v>
      </c>
      <c r="F2244" s="2">
        <v>2</v>
      </c>
      <c r="G2244" s="2" t="s">
        <v>12</v>
      </c>
      <c r="I2244" s="2" t="s">
        <v>4898</v>
      </c>
    </row>
    <row r="2245" spans="1:9" x14ac:dyDescent="0.2">
      <c r="A2245" s="2" t="s">
        <v>3403</v>
      </c>
      <c r="B2245" s="2" t="s">
        <v>1246</v>
      </c>
      <c r="C2245" s="2">
        <v>847.27260000000001</v>
      </c>
      <c r="D2245" s="2">
        <f>HYPERLINK("http://mcb-m6.bioreg.kyushu-u.ac.jp/M3/20110414/F50963/2298/1", 71.5)</f>
        <v>71.5</v>
      </c>
      <c r="E2245" s="2">
        <v>57.11</v>
      </c>
      <c r="F2245" s="2">
        <v>2</v>
      </c>
      <c r="G2245" s="2" t="s">
        <v>12</v>
      </c>
    </row>
    <row r="2246" spans="1:9" x14ac:dyDescent="0.2">
      <c r="A2246" s="2" t="s">
        <v>3403</v>
      </c>
      <c r="B2246" s="2" t="s">
        <v>1246</v>
      </c>
      <c r="C2246" s="2">
        <v>847.3107</v>
      </c>
      <c r="D2246" s="2">
        <f>HYPERLINK("http://mcb-m6.bioreg.kyushu-u.ac.jp/M3/20110414/F50966/2303/1", 73.15)</f>
        <v>73.150000000000006</v>
      </c>
      <c r="E2246" s="2">
        <v>60.35</v>
      </c>
      <c r="F2246" s="2">
        <v>2</v>
      </c>
      <c r="G2246" s="2" t="s">
        <v>12</v>
      </c>
    </row>
    <row r="2247" spans="1:9" x14ac:dyDescent="0.2">
      <c r="A2247" s="2" t="s">
        <v>3403</v>
      </c>
      <c r="B2247" s="2" t="s">
        <v>1144</v>
      </c>
      <c r="C2247" s="2">
        <v>887.90560000000005</v>
      </c>
      <c r="D2247" s="2">
        <f>HYPERLINK("http://mcb-m6.bioreg.kyushu-u.ac.jp/M3/20110414/F50948/2945/1", 76.36)</f>
        <v>76.36</v>
      </c>
      <c r="E2247" s="2">
        <v>66.7</v>
      </c>
      <c r="F2247" s="2">
        <v>2</v>
      </c>
      <c r="G2247" s="2" t="s">
        <v>12</v>
      </c>
      <c r="I2247" s="2" t="s">
        <v>4898</v>
      </c>
    </row>
    <row r="2248" spans="1:9" x14ac:dyDescent="0.2">
      <c r="A2248" s="2" t="s">
        <v>3403</v>
      </c>
      <c r="B2248" s="2" t="s">
        <v>1246</v>
      </c>
      <c r="C2248" s="2">
        <v>847.50670000000002</v>
      </c>
      <c r="D2248" s="2">
        <f>HYPERLINK("http://mcb-m6.bioreg.kyushu-u.ac.jp/M3/20110414/F50947/2581/1", 79.67)</f>
        <v>79.67</v>
      </c>
      <c r="E2248" s="2">
        <v>68.59</v>
      </c>
      <c r="F2248" s="2">
        <v>2</v>
      </c>
      <c r="G2248" s="2" t="s">
        <v>12</v>
      </c>
    </row>
    <row r="2249" spans="1:9" x14ac:dyDescent="0.2">
      <c r="A2249" s="2" t="s">
        <v>3403</v>
      </c>
      <c r="B2249" s="2" t="s">
        <v>1246</v>
      </c>
      <c r="C2249" s="2">
        <v>846.50120000000004</v>
      </c>
      <c r="D2249" s="2">
        <f>HYPERLINK("http://mcb-m6.bioreg.kyushu-u.ac.jp/M3/20110414/F50948/2689/1", 82.71)</f>
        <v>82.71</v>
      </c>
      <c r="E2249" s="2">
        <v>66.55</v>
      </c>
      <c r="F2249" s="2">
        <v>2</v>
      </c>
      <c r="G2249" s="2" t="s">
        <v>12</v>
      </c>
    </row>
    <row r="2250" spans="1:9" x14ac:dyDescent="0.2">
      <c r="A2250" s="2" t="s">
        <v>3403</v>
      </c>
      <c r="B2250" s="2" t="s">
        <v>1246</v>
      </c>
      <c r="C2250" s="2">
        <v>847.15170000000001</v>
      </c>
      <c r="D2250" s="2">
        <f>HYPERLINK("http://mcb-m6.bioreg.kyushu-u.ac.jp/M3/20110414/F50963/2294/1", 86.25)</f>
        <v>86.25</v>
      </c>
      <c r="E2250" s="2">
        <v>68.83</v>
      </c>
      <c r="F2250" s="2">
        <v>2</v>
      </c>
      <c r="G2250" s="2" t="s">
        <v>12</v>
      </c>
    </row>
    <row r="2251" spans="1:9" x14ac:dyDescent="0.2">
      <c r="A2251" s="2" t="s">
        <v>3403</v>
      </c>
      <c r="B2251" s="2" t="s">
        <v>841</v>
      </c>
      <c r="C2251" s="2">
        <v>766.9932</v>
      </c>
      <c r="D2251" s="2">
        <f>HYPERLINK("http://mcb-m6.bioreg.kyushu-u.ac.jp/M3/20110414/F50963/1977/1", 86.79)</f>
        <v>86.79</v>
      </c>
      <c r="E2251" s="2">
        <v>74.97</v>
      </c>
      <c r="F2251" s="2">
        <v>2</v>
      </c>
      <c r="G2251" s="2" t="s">
        <v>12</v>
      </c>
      <c r="I2251" s="2" t="s">
        <v>4923</v>
      </c>
    </row>
    <row r="2252" spans="1:9" x14ac:dyDescent="0.2">
      <c r="A2252" s="2" t="s">
        <v>3403</v>
      </c>
      <c r="B2252" s="2" t="s">
        <v>841</v>
      </c>
      <c r="C2252" s="2">
        <v>767.73860000000002</v>
      </c>
      <c r="D2252" s="2">
        <f>HYPERLINK("http://mcb-m6.bioreg.kyushu-u.ac.jp/M3/20110414/F50946/2156/1", 87.8)</f>
        <v>87.8</v>
      </c>
      <c r="E2252" s="2">
        <v>76.349999999999994</v>
      </c>
      <c r="F2252" s="2">
        <v>2</v>
      </c>
      <c r="G2252" s="2" t="s">
        <v>12</v>
      </c>
      <c r="I2252" s="2" t="s">
        <v>4923</v>
      </c>
    </row>
    <row r="2253" spans="1:9" x14ac:dyDescent="0.2">
      <c r="A2253" s="2" t="s">
        <v>3403</v>
      </c>
      <c r="B2253" s="2" t="s">
        <v>1144</v>
      </c>
      <c r="C2253" s="2">
        <v>887.98170000000005</v>
      </c>
      <c r="D2253" s="2">
        <f>HYPERLINK("http://mcb-m6.bioreg.kyushu-u.ac.jp/M3/20110414/F50933/2976/1", 88.08)</f>
        <v>88.08</v>
      </c>
      <c r="E2253" s="2">
        <v>64.25</v>
      </c>
      <c r="F2253" s="2">
        <v>2</v>
      </c>
      <c r="G2253" s="2" t="s">
        <v>12</v>
      </c>
      <c r="I2253" s="2" t="s">
        <v>4898</v>
      </c>
    </row>
    <row r="2254" spans="1:9" x14ac:dyDescent="0.2">
      <c r="A2254" s="2" t="s">
        <v>3403</v>
      </c>
      <c r="B2254" s="2" t="s">
        <v>1246</v>
      </c>
      <c r="C2254" s="2">
        <v>847.11569999999995</v>
      </c>
      <c r="D2254" s="2">
        <f>HYPERLINK("http://mcb-m6.bioreg.kyushu-u.ac.jp/M3/20110414/F50963/2293/1", 89.07)</f>
        <v>89.07</v>
      </c>
      <c r="E2254" s="2">
        <v>72.13</v>
      </c>
      <c r="F2254" s="2">
        <v>2</v>
      </c>
      <c r="G2254" s="2" t="s">
        <v>12</v>
      </c>
    </row>
    <row r="2255" spans="1:9" x14ac:dyDescent="0.2">
      <c r="A2255" s="2" t="s">
        <v>3403</v>
      </c>
      <c r="B2255" s="2" t="s">
        <v>841</v>
      </c>
      <c r="C2255" s="2">
        <v>767.69420000000002</v>
      </c>
      <c r="D2255" s="2">
        <f>HYPERLINK("http://mcb-m6.bioreg.kyushu-u.ac.jp/M3/20110414/F50963/1983/1", 90)</f>
        <v>90</v>
      </c>
      <c r="E2255" s="2">
        <v>77.2</v>
      </c>
      <c r="F2255" s="2">
        <v>2</v>
      </c>
      <c r="G2255" s="2" t="s">
        <v>12</v>
      </c>
      <c r="I2255" s="2" t="s">
        <v>4923</v>
      </c>
    </row>
    <row r="2256" spans="1:9" x14ac:dyDescent="0.2">
      <c r="A2256" s="2" t="s">
        <v>3403</v>
      </c>
      <c r="B2256" s="2" t="s">
        <v>1246</v>
      </c>
      <c r="C2256" s="2">
        <v>846.84220000000005</v>
      </c>
      <c r="D2256" s="2">
        <f>HYPERLINK("http://mcb-m6.bioreg.kyushu-u.ac.jp/M3/20110414/F50963/2290/1", 92.9)</f>
        <v>92.9</v>
      </c>
      <c r="E2256" s="2">
        <v>80.06</v>
      </c>
      <c r="F2256" s="2">
        <v>2</v>
      </c>
      <c r="G2256" s="2" t="s">
        <v>12</v>
      </c>
    </row>
    <row r="2257" spans="1:9" x14ac:dyDescent="0.2">
      <c r="A2257" s="2" t="s">
        <v>3403</v>
      </c>
      <c r="B2257" s="2" t="s">
        <v>1144</v>
      </c>
      <c r="C2257" s="2">
        <v>887.88570000000004</v>
      </c>
      <c r="D2257" s="2">
        <f>HYPERLINK("http://mcb-m6.bioreg.kyushu-u.ac.jp/M3/20110414/F50963/2470/1", 93.75)</f>
        <v>93.75</v>
      </c>
      <c r="E2257" s="2">
        <v>76.78</v>
      </c>
      <c r="F2257" s="2">
        <v>2</v>
      </c>
      <c r="G2257" s="2" t="s">
        <v>12</v>
      </c>
      <c r="I2257" s="2" t="s">
        <v>4898</v>
      </c>
    </row>
    <row r="2258" spans="1:9" x14ac:dyDescent="0.2">
      <c r="A2258" s="2" t="s">
        <v>3403</v>
      </c>
      <c r="B2258" s="2" t="s">
        <v>1144</v>
      </c>
      <c r="C2258" s="2">
        <v>888.40219999999999</v>
      </c>
      <c r="D2258" s="2">
        <f>HYPERLINK("http://mcb-m6.bioreg.kyushu-u.ac.jp/M3/20110414/F50966/2420/1", 95)</f>
        <v>95</v>
      </c>
      <c r="E2258" s="2">
        <v>76.900000000000006</v>
      </c>
      <c r="F2258" s="2">
        <v>2</v>
      </c>
      <c r="G2258" s="2" t="s">
        <v>12</v>
      </c>
      <c r="I2258" s="2" t="s">
        <v>4898</v>
      </c>
    </row>
    <row r="2259" spans="1:9" x14ac:dyDescent="0.2">
      <c r="A2259" s="2" t="s">
        <v>3403</v>
      </c>
      <c r="B2259" s="2" t="s">
        <v>1246</v>
      </c>
      <c r="C2259" s="2">
        <v>847.13570000000004</v>
      </c>
      <c r="D2259" s="2">
        <f>HYPERLINK("http://mcb-m6.bioreg.kyushu-u.ac.jp/M3/20110414/F50950/2744/1", 95.7)</f>
        <v>95.7</v>
      </c>
      <c r="E2259" s="2">
        <v>69.739999999999995</v>
      </c>
      <c r="F2259" s="2">
        <v>2</v>
      </c>
      <c r="G2259" s="2" t="s">
        <v>12</v>
      </c>
    </row>
    <row r="2260" spans="1:9" x14ac:dyDescent="0.2">
      <c r="A2260" s="2" t="s">
        <v>3403</v>
      </c>
      <c r="B2260" s="2" t="s">
        <v>1246</v>
      </c>
      <c r="C2260" s="2">
        <v>847.18409999999994</v>
      </c>
      <c r="D2260" s="2">
        <f>HYPERLINK("http://mcb-m6.bioreg.kyushu-u.ac.jp/M3/20110414/F50963/2295/1", 99.97)</f>
        <v>99.97</v>
      </c>
      <c r="E2260" s="2">
        <v>81.75</v>
      </c>
      <c r="F2260" s="2">
        <v>2</v>
      </c>
      <c r="G2260" s="2" t="s">
        <v>12</v>
      </c>
    </row>
    <row r="2261" spans="1:9" x14ac:dyDescent="0.2">
      <c r="A2261" s="2" t="s">
        <v>3403</v>
      </c>
      <c r="B2261" s="2" t="s">
        <v>1246</v>
      </c>
      <c r="C2261" s="2">
        <v>846.84310000000005</v>
      </c>
      <c r="D2261" s="2">
        <f>HYPERLINK("http://mcb-m6.bioreg.kyushu-u.ac.jp/M3/20110414/F50963/2291/1", 102.24)</f>
        <v>102.24</v>
      </c>
      <c r="E2261" s="2">
        <v>88.21</v>
      </c>
      <c r="F2261" s="2">
        <v>2</v>
      </c>
      <c r="G2261" s="2" t="s">
        <v>12</v>
      </c>
    </row>
    <row r="2262" spans="1:9" x14ac:dyDescent="0.2">
      <c r="A2262" s="2" t="s">
        <v>3403</v>
      </c>
      <c r="B2262" s="2" t="s">
        <v>1246</v>
      </c>
      <c r="C2262" s="2">
        <v>846.84270000000004</v>
      </c>
      <c r="D2262" s="2">
        <f>HYPERLINK("http://mcb-m6.bioreg.kyushu-u.ac.jp/M3/20110414/F50947/2572/1", 102.96)</f>
        <v>102.96</v>
      </c>
      <c r="E2262" s="2">
        <v>86.25</v>
      </c>
      <c r="F2262" s="2">
        <v>2</v>
      </c>
      <c r="G2262" s="2" t="s">
        <v>12</v>
      </c>
    </row>
    <row r="2263" spans="1:9" x14ac:dyDescent="0.2">
      <c r="A2263" s="2" t="s">
        <v>3403</v>
      </c>
      <c r="B2263" s="2" t="s">
        <v>1144</v>
      </c>
      <c r="C2263" s="2">
        <v>887.9991</v>
      </c>
      <c r="D2263" s="2">
        <f>HYPERLINK("http://mcb-m6.bioreg.kyushu-u.ac.jp/M3/20110414/F50946/2754/1", 105.71)</f>
        <v>105.71</v>
      </c>
      <c r="E2263" s="2">
        <v>88.54</v>
      </c>
      <c r="F2263" s="2">
        <v>2</v>
      </c>
      <c r="G2263" s="2" t="s">
        <v>12</v>
      </c>
      <c r="I2263" s="2" t="s">
        <v>4898</v>
      </c>
    </row>
    <row r="2264" spans="1:9" x14ac:dyDescent="0.2">
      <c r="A2264" s="2" t="s">
        <v>3403</v>
      </c>
      <c r="B2264" s="2" t="s">
        <v>1246</v>
      </c>
      <c r="C2264" s="2">
        <v>847.01459999999997</v>
      </c>
      <c r="D2264" s="2">
        <f>HYPERLINK("http://mcb-m6.bioreg.kyushu-u.ac.jp/M3/20110414/F50963/2292/1", 106.87)</f>
        <v>106.87</v>
      </c>
      <c r="E2264" s="2">
        <v>95.67</v>
      </c>
      <c r="F2264" s="2">
        <v>2</v>
      </c>
      <c r="G2264" s="2" t="s">
        <v>12</v>
      </c>
    </row>
    <row r="2265" spans="1:9" x14ac:dyDescent="0.2">
      <c r="A2265" s="2" t="s">
        <v>3403</v>
      </c>
      <c r="B2265" s="2" t="s">
        <v>1144</v>
      </c>
      <c r="C2265" s="2">
        <v>887.49720000000002</v>
      </c>
      <c r="D2265" s="2">
        <f>HYPERLINK("http://mcb-m6.bioreg.kyushu-u.ac.jp/M3/20110414/F50950/2942/1", 110.51)</f>
        <v>110.51</v>
      </c>
      <c r="E2265" s="2">
        <v>87.31</v>
      </c>
      <c r="F2265" s="2">
        <v>2</v>
      </c>
      <c r="G2265" s="2" t="s">
        <v>12</v>
      </c>
      <c r="I2265" s="2" t="s">
        <v>4898</v>
      </c>
    </row>
    <row r="2266" spans="1:9" x14ac:dyDescent="0.2">
      <c r="A2266" s="2" t="s">
        <v>3403</v>
      </c>
      <c r="B2266" s="2" t="s">
        <v>841</v>
      </c>
      <c r="C2266" s="2">
        <v>767.36720000000003</v>
      </c>
      <c r="D2266" s="2">
        <f>HYPERLINK("http://mcb-m6.bioreg.kyushu-u.ac.jp/M3/20110502/F51180/1989/1", 35.13)</f>
        <v>35.130000000000003</v>
      </c>
      <c r="E2266" s="2">
        <v>20.420000000000002</v>
      </c>
      <c r="F2266" s="2">
        <v>2</v>
      </c>
      <c r="G2266" s="2" t="s">
        <v>13</v>
      </c>
      <c r="I2266" s="2" t="s">
        <v>4923</v>
      </c>
    </row>
    <row r="2267" spans="1:9" x14ac:dyDescent="0.2">
      <c r="A2267" s="2" t="s">
        <v>3403</v>
      </c>
      <c r="B2267" s="2" t="s">
        <v>287</v>
      </c>
      <c r="C2267" s="2">
        <v>458.92910000000001</v>
      </c>
      <c r="D2267" s="2">
        <f>HYPERLINK("http://mcb-m6.bioreg.kyushu-u.ac.jp/M3/20110502/F51173/455/1", 35.26)</f>
        <v>35.26</v>
      </c>
      <c r="E2267" s="2">
        <v>12</v>
      </c>
      <c r="F2267" s="2">
        <v>2</v>
      </c>
      <c r="G2267" s="2" t="s">
        <v>13</v>
      </c>
    </row>
    <row r="2268" spans="1:9" x14ac:dyDescent="0.2">
      <c r="A2268" s="2" t="s">
        <v>3403</v>
      </c>
      <c r="B2268" s="2" t="s">
        <v>200</v>
      </c>
      <c r="C2268" s="2">
        <v>701.4932</v>
      </c>
      <c r="D2268" s="2">
        <f>HYPERLINK("http://mcb-m6.bioreg.kyushu-u.ac.jp/M3/20110502/F51169/1947/1", 35.52)</f>
        <v>35.520000000000003</v>
      </c>
      <c r="E2268" s="2">
        <v>24.75</v>
      </c>
      <c r="F2268" s="2">
        <v>2</v>
      </c>
      <c r="G2268" s="2" t="s">
        <v>13</v>
      </c>
      <c r="I2268" s="2" t="s">
        <v>4892</v>
      </c>
    </row>
    <row r="2269" spans="1:9" x14ac:dyDescent="0.2">
      <c r="A2269" s="2" t="s">
        <v>3403</v>
      </c>
      <c r="B2269" s="2" t="s">
        <v>287</v>
      </c>
      <c r="C2269" s="2">
        <v>458.88159999999999</v>
      </c>
      <c r="D2269" s="2">
        <f>HYPERLINK("http://mcb-m6.bioreg.kyushu-u.ac.jp/M3/20110502/F51187/561/1", 39.36)</f>
        <v>39.36</v>
      </c>
      <c r="E2269" s="2">
        <v>9</v>
      </c>
      <c r="F2269" s="2">
        <v>2</v>
      </c>
      <c r="G2269" s="2" t="s">
        <v>13</v>
      </c>
    </row>
    <row r="2270" spans="1:9" x14ac:dyDescent="0.2">
      <c r="A2270" s="2" t="s">
        <v>3403</v>
      </c>
      <c r="B2270" s="2" t="s">
        <v>287</v>
      </c>
      <c r="C2270" s="2">
        <v>458.69659999999999</v>
      </c>
      <c r="D2270" s="2">
        <f>HYPERLINK("http://mcb-m6.bioreg.kyushu-u.ac.jp/M3/20110502/F51187/554/1", 39.39)</f>
        <v>39.39</v>
      </c>
      <c r="E2270" s="2">
        <v>15.37</v>
      </c>
      <c r="F2270" s="2">
        <v>2</v>
      </c>
      <c r="G2270" s="2" t="s">
        <v>13</v>
      </c>
    </row>
    <row r="2271" spans="1:9" x14ac:dyDescent="0.2">
      <c r="A2271" s="2" t="s">
        <v>3403</v>
      </c>
      <c r="B2271" s="2" t="s">
        <v>287</v>
      </c>
      <c r="C2271" s="2">
        <v>458.8861</v>
      </c>
      <c r="D2271" s="2">
        <f>HYPERLINK("http://mcb-m6.bioreg.kyushu-u.ac.jp/M3/20110502/F51187/562/1", 39.48)</f>
        <v>39.479999999999997</v>
      </c>
      <c r="E2271" s="2">
        <v>15.19</v>
      </c>
      <c r="F2271" s="2">
        <v>2</v>
      </c>
      <c r="G2271" s="2" t="s">
        <v>13</v>
      </c>
    </row>
    <row r="2272" spans="1:9" x14ac:dyDescent="0.2">
      <c r="A2272" s="2" t="s">
        <v>3403</v>
      </c>
      <c r="B2272" s="2" t="s">
        <v>1633</v>
      </c>
      <c r="C2272" s="2">
        <v>827.72109999999998</v>
      </c>
      <c r="D2272" s="2">
        <f>HYPERLINK("http://mcb-m6.bioreg.kyushu-u.ac.jp/M3/20110502/F51187/3195/1", 41.39)</f>
        <v>41.39</v>
      </c>
      <c r="E2272" s="2">
        <v>32.090000000000003</v>
      </c>
      <c r="F2272" s="2">
        <v>3</v>
      </c>
      <c r="G2272" s="2" t="s">
        <v>13</v>
      </c>
    </row>
    <row r="2273" spans="1:9" x14ac:dyDescent="0.2">
      <c r="A2273" s="2" t="s">
        <v>3403</v>
      </c>
      <c r="B2273" s="2" t="s">
        <v>1246</v>
      </c>
      <c r="C2273" s="2">
        <v>847.50120000000004</v>
      </c>
      <c r="D2273" s="2">
        <f>HYPERLINK("http://mcb-m6.bioreg.kyushu-u.ac.jp/M3/20110502/F51189/2266/1", 50.06)</f>
        <v>50.06</v>
      </c>
      <c r="E2273" s="2">
        <v>35.950000000000003</v>
      </c>
      <c r="F2273" s="2">
        <v>2</v>
      </c>
      <c r="G2273" s="2" t="s">
        <v>13</v>
      </c>
    </row>
    <row r="2274" spans="1:9" x14ac:dyDescent="0.2">
      <c r="A2274" s="2" t="s">
        <v>3403</v>
      </c>
      <c r="B2274" s="2" t="s">
        <v>1144</v>
      </c>
      <c r="C2274" s="2">
        <v>592.52689999999996</v>
      </c>
      <c r="D2274" s="2">
        <f>HYPERLINK("http://mcb-m6.bioreg.kyushu-u.ac.jp/M3/20110502/F51188/2427/1", 53.04)</f>
        <v>53.04</v>
      </c>
      <c r="E2274" s="2">
        <v>38.07</v>
      </c>
      <c r="F2274" s="2">
        <v>3</v>
      </c>
      <c r="G2274" s="2" t="s">
        <v>13</v>
      </c>
      <c r="I2274" s="2" t="s">
        <v>4898</v>
      </c>
    </row>
    <row r="2275" spans="1:9" x14ac:dyDescent="0.2">
      <c r="A2275" s="2" t="s">
        <v>3403</v>
      </c>
      <c r="B2275" s="2" t="s">
        <v>200</v>
      </c>
      <c r="C2275" s="2">
        <v>701.8827</v>
      </c>
      <c r="D2275" s="2">
        <f>HYPERLINK("http://mcb-m6.bioreg.kyushu-u.ac.jp/M3/20110502/F51168/1895/1", 56.2)</f>
        <v>56.2</v>
      </c>
      <c r="E2275" s="2">
        <v>38.020000000000003</v>
      </c>
      <c r="F2275" s="2">
        <v>2</v>
      </c>
      <c r="G2275" s="2" t="s">
        <v>13</v>
      </c>
      <c r="I2275" s="2" t="s">
        <v>4892</v>
      </c>
    </row>
    <row r="2276" spans="1:9" x14ac:dyDescent="0.2">
      <c r="A2276" s="2" t="s">
        <v>3403</v>
      </c>
      <c r="B2276" s="2" t="s">
        <v>1246</v>
      </c>
      <c r="C2276" s="2">
        <v>847.08119999999997</v>
      </c>
      <c r="D2276" s="2">
        <f>HYPERLINK("http://mcb-m6.bioreg.kyushu-u.ac.jp/M3/20110502/F51187/2114/1", 59.01)</f>
        <v>59.01</v>
      </c>
      <c r="E2276" s="2">
        <v>48.71</v>
      </c>
      <c r="F2276" s="2">
        <v>2</v>
      </c>
      <c r="G2276" s="2" t="s">
        <v>13</v>
      </c>
    </row>
    <row r="2277" spans="1:9" x14ac:dyDescent="0.2">
      <c r="A2277" s="2" t="s">
        <v>3403</v>
      </c>
      <c r="B2277" s="2" t="s">
        <v>1246</v>
      </c>
      <c r="C2277" s="2">
        <v>847.12459999999999</v>
      </c>
      <c r="D2277" s="2">
        <f>HYPERLINK("http://mcb-m6.bioreg.kyushu-u.ac.jp/M3/20110502/F51170/2606/1", 68.67)</f>
        <v>68.67</v>
      </c>
      <c r="E2277" s="2">
        <v>58.37</v>
      </c>
      <c r="F2277" s="2">
        <v>2</v>
      </c>
      <c r="G2277" s="2" t="s">
        <v>13</v>
      </c>
    </row>
    <row r="2278" spans="1:9" x14ac:dyDescent="0.2">
      <c r="A2278" s="2" t="s">
        <v>3403</v>
      </c>
      <c r="B2278" s="2" t="s">
        <v>1246</v>
      </c>
      <c r="C2278" s="2">
        <v>847.47270000000003</v>
      </c>
      <c r="D2278" s="2">
        <f>HYPERLINK("http://mcb-m6.bioreg.kyushu-u.ac.jp/M3/20110502/F51188/2287/1", 68.67)</f>
        <v>68.67</v>
      </c>
      <c r="E2278" s="2">
        <v>42.02</v>
      </c>
      <c r="F2278" s="2">
        <v>2</v>
      </c>
      <c r="G2278" s="2" t="s">
        <v>13</v>
      </c>
    </row>
    <row r="2279" spans="1:9" x14ac:dyDescent="0.2">
      <c r="A2279" s="2" t="s">
        <v>3403</v>
      </c>
      <c r="B2279" s="2" t="s">
        <v>1246</v>
      </c>
      <c r="C2279" s="2">
        <v>847.52120000000002</v>
      </c>
      <c r="D2279" s="2">
        <f>HYPERLINK("http://mcb-m6.bioreg.kyushu-u.ac.jp/M3/20110502/F51169/2525/1", 72.78)</f>
        <v>72.78</v>
      </c>
      <c r="E2279" s="2">
        <v>65.430000000000007</v>
      </c>
      <c r="F2279" s="2">
        <v>2</v>
      </c>
      <c r="G2279" s="2" t="s">
        <v>13</v>
      </c>
    </row>
    <row r="2280" spans="1:9" x14ac:dyDescent="0.2">
      <c r="A2280" s="2" t="s">
        <v>3403</v>
      </c>
      <c r="B2280" s="2" t="s">
        <v>200</v>
      </c>
      <c r="C2280" s="2">
        <v>701.23770000000002</v>
      </c>
      <c r="D2280" s="2">
        <f>HYPERLINK("http://mcb-m6.bioreg.kyushu-u.ac.jp/M3/20110502/F51187/1552/1", 77.39)</f>
        <v>77.39</v>
      </c>
      <c r="E2280" s="2">
        <v>54.12</v>
      </c>
      <c r="F2280" s="2">
        <v>2</v>
      </c>
      <c r="G2280" s="2" t="s">
        <v>13</v>
      </c>
      <c r="I2280" s="2" t="s">
        <v>4892</v>
      </c>
    </row>
    <row r="2281" spans="1:9" x14ac:dyDescent="0.2">
      <c r="A2281" s="2" t="s">
        <v>3403</v>
      </c>
      <c r="B2281" s="2" t="s">
        <v>1144</v>
      </c>
      <c r="C2281" s="2">
        <v>888.20619999999997</v>
      </c>
      <c r="D2281" s="2">
        <f>HYPERLINK("http://mcb-m6.bioreg.kyushu-u.ac.jp/M3/20110502/F51188/2424/1", 80.99)</f>
        <v>80.989999999999995</v>
      </c>
      <c r="E2281" s="2">
        <v>59.41</v>
      </c>
      <c r="F2281" s="2">
        <v>2</v>
      </c>
      <c r="G2281" s="2" t="s">
        <v>13</v>
      </c>
      <c r="I2281" s="2" t="s">
        <v>4898</v>
      </c>
    </row>
    <row r="2282" spans="1:9" x14ac:dyDescent="0.2">
      <c r="A2282" s="2" t="s">
        <v>3403</v>
      </c>
      <c r="B2282" s="2" t="s">
        <v>1144</v>
      </c>
      <c r="C2282" s="2">
        <v>888.13070000000005</v>
      </c>
      <c r="D2282" s="2">
        <f>HYPERLINK("http://mcb-m6.bioreg.kyushu-u.ac.jp/M3/20110502/F51187/2275/1", 81.22)</f>
        <v>81.22</v>
      </c>
      <c r="E2282" s="2">
        <v>60.75</v>
      </c>
      <c r="F2282" s="2">
        <v>2</v>
      </c>
      <c r="G2282" s="2" t="s">
        <v>13</v>
      </c>
      <c r="I2282" s="2" t="s">
        <v>4898</v>
      </c>
    </row>
    <row r="2283" spans="1:9" x14ac:dyDescent="0.2">
      <c r="A2283" s="2" t="s">
        <v>3403</v>
      </c>
      <c r="B2283" s="2" t="s">
        <v>1144</v>
      </c>
      <c r="C2283" s="2">
        <v>888.1481</v>
      </c>
      <c r="D2283" s="2">
        <f>HYPERLINK("http://mcb-m6.bioreg.kyushu-u.ac.jp/M3/20110502/F51174/2458/1", 86.38)</f>
        <v>86.38</v>
      </c>
      <c r="E2283" s="2">
        <v>69.36</v>
      </c>
      <c r="F2283" s="2">
        <v>2</v>
      </c>
      <c r="G2283" s="2" t="s">
        <v>13</v>
      </c>
      <c r="I2283" s="2" t="s">
        <v>4898</v>
      </c>
    </row>
    <row r="2284" spans="1:9" x14ac:dyDescent="0.2">
      <c r="A2284" s="2" t="s">
        <v>3403</v>
      </c>
      <c r="B2284" s="2" t="s">
        <v>1246</v>
      </c>
      <c r="C2284" s="2">
        <v>846.89620000000002</v>
      </c>
      <c r="D2284" s="2">
        <f>HYPERLINK("http://mcb-m6.bioreg.kyushu-u.ac.jp/M3/20110502/F51187/2112/1", 88.97)</f>
        <v>88.97</v>
      </c>
      <c r="E2284" s="2">
        <v>68.930000000000007</v>
      </c>
      <c r="F2284" s="2">
        <v>2</v>
      </c>
      <c r="G2284" s="2" t="s">
        <v>13</v>
      </c>
    </row>
    <row r="2285" spans="1:9" x14ac:dyDescent="0.2">
      <c r="A2285" s="2" t="s">
        <v>3403</v>
      </c>
      <c r="B2285" s="2" t="s">
        <v>1246</v>
      </c>
      <c r="C2285" s="2">
        <v>847.37270000000001</v>
      </c>
      <c r="D2285" s="2">
        <f>HYPERLINK("http://mcb-m6.bioreg.kyushu-u.ac.jp/M3/20110502/F51173/2465/1", 102.38)</f>
        <v>102.38</v>
      </c>
      <c r="E2285" s="2">
        <v>80.459999999999994</v>
      </c>
      <c r="F2285" s="2">
        <v>2</v>
      </c>
      <c r="G2285" s="2" t="s">
        <v>13</v>
      </c>
    </row>
    <row r="2286" spans="1:9" x14ac:dyDescent="0.2">
      <c r="A2286" s="2" t="s">
        <v>3403</v>
      </c>
      <c r="B2286" s="2" t="s">
        <v>1246</v>
      </c>
      <c r="C2286" s="2">
        <v>847.5027</v>
      </c>
      <c r="D2286" s="2">
        <f>HYPERLINK("http://mcb-m6.bioreg.kyushu-u.ac.jp/M3/20110502/F51188/2288/1", 102.4)</f>
        <v>102.4</v>
      </c>
      <c r="E2286" s="2">
        <v>84.27</v>
      </c>
      <c r="F2286" s="2">
        <v>2</v>
      </c>
      <c r="G2286" s="2" t="s">
        <v>13</v>
      </c>
    </row>
    <row r="2287" spans="1:9" x14ac:dyDescent="0.2">
      <c r="A2287" s="2" t="s">
        <v>3403</v>
      </c>
      <c r="B2287" s="2" t="s">
        <v>1144</v>
      </c>
      <c r="C2287" s="2">
        <v>888.13760000000002</v>
      </c>
      <c r="D2287" s="2">
        <f>HYPERLINK("http://mcb-m6.bioreg.kyushu-u.ac.jp/M3/20110502/F51170/2818/1", 107.97)</f>
        <v>107.97</v>
      </c>
      <c r="E2287" s="2">
        <v>93.86</v>
      </c>
      <c r="F2287" s="2">
        <v>2</v>
      </c>
      <c r="G2287" s="2" t="s">
        <v>13</v>
      </c>
      <c r="I2287" s="2" t="s">
        <v>4898</v>
      </c>
    </row>
    <row r="2288" spans="1:9" x14ac:dyDescent="0.2">
      <c r="A2288" s="2" t="s">
        <v>3403</v>
      </c>
      <c r="B2288" s="2" t="s">
        <v>1144</v>
      </c>
      <c r="C2288" s="2">
        <v>592.61580000000004</v>
      </c>
      <c r="D2288" s="2">
        <f>HYPERLINK("http://mcb-m6.bioreg.kyushu-u.ac.jp/M3/20110502/F51191/2306/1", 36.47)</f>
        <v>36.47</v>
      </c>
      <c r="E2288" s="2">
        <v>23.23</v>
      </c>
      <c r="F2288" s="2">
        <v>3</v>
      </c>
      <c r="G2288" s="2" t="s">
        <v>14</v>
      </c>
      <c r="I2288" s="2" t="s">
        <v>4898</v>
      </c>
    </row>
    <row r="2289" spans="1:9" x14ac:dyDescent="0.2">
      <c r="A2289" s="2" t="s">
        <v>3403</v>
      </c>
      <c r="B2289" s="2" t="s">
        <v>287</v>
      </c>
      <c r="C2289" s="2">
        <v>459.04759999999999</v>
      </c>
      <c r="D2289" s="2">
        <f>HYPERLINK("http://mcb-m6.bioreg.kyushu-u.ac.jp/M3/20110502/F51184/397/1", 38.09)</f>
        <v>38.090000000000003</v>
      </c>
      <c r="E2289" s="2">
        <v>8.91</v>
      </c>
      <c r="F2289" s="2">
        <v>2</v>
      </c>
      <c r="G2289" s="2" t="s">
        <v>14</v>
      </c>
    </row>
    <row r="2290" spans="1:9" x14ac:dyDescent="0.2">
      <c r="A2290" s="2" t="s">
        <v>3403</v>
      </c>
      <c r="B2290" s="2" t="s">
        <v>287</v>
      </c>
      <c r="C2290" s="2">
        <v>458.85610000000003</v>
      </c>
      <c r="D2290" s="2">
        <f>HYPERLINK("http://mcb-m6.bioreg.kyushu-u.ac.jp/M3/20110502/F51194/432/1", 38.47)</f>
        <v>38.47</v>
      </c>
      <c r="E2290" s="2">
        <v>12.25</v>
      </c>
      <c r="F2290" s="2">
        <v>2</v>
      </c>
      <c r="G2290" s="2" t="s">
        <v>14</v>
      </c>
    </row>
    <row r="2291" spans="1:9" x14ac:dyDescent="0.2">
      <c r="A2291" s="2" t="s">
        <v>3403</v>
      </c>
      <c r="B2291" s="2" t="s">
        <v>200</v>
      </c>
      <c r="C2291" s="2">
        <v>701.58420000000001</v>
      </c>
      <c r="D2291" s="2">
        <f>HYPERLINK("http://mcb-m6.bioreg.kyushu-u.ac.jp/M3/20110502/F51185/1675/1", 38.96)</f>
        <v>38.96</v>
      </c>
      <c r="E2291" s="2">
        <v>12.56</v>
      </c>
      <c r="F2291" s="2">
        <v>2</v>
      </c>
      <c r="G2291" s="2" t="s">
        <v>14</v>
      </c>
      <c r="I2291" s="2" t="s">
        <v>4892</v>
      </c>
    </row>
    <row r="2292" spans="1:9" x14ac:dyDescent="0.2">
      <c r="A2292" s="2" t="s">
        <v>3403</v>
      </c>
      <c r="B2292" s="2" t="s">
        <v>287</v>
      </c>
      <c r="C2292" s="2">
        <v>458.95710000000003</v>
      </c>
      <c r="D2292" s="2">
        <f>HYPERLINK("http://mcb-m6.bioreg.kyushu-u.ac.jp/M3/20110502/F51191/540/1", 42.43)</f>
        <v>42.43</v>
      </c>
      <c r="E2292" s="2">
        <v>14.08</v>
      </c>
      <c r="F2292" s="2">
        <v>2</v>
      </c>
      <c r="G2292" s="2" t="s">
        <v>14</v>
      </c>
    </row>
    <row r="2293" spans="1:9" x14ac:dyDescent="0.2">
      <c r="A2293" s="2" t="s">
        <v>3403</v>
      </c>
      <c r="B2293" s="2" t="s">
        <v>287</v>
      </c>
      <c r="C2293" s="2">
        <v>458.7706</v>
      </c>
      <c r="D2293" s="2">
        <f>HYPERLINK("http://mcb-m6.bioreg.kyushu-u.ac.jp/M3/20110502/F51191/535/1", 43.17)</f>
        <v>43.17</v>
      </c>
      <c r="E2293" s="2">
        <v>12.96</v>
      </c>
      <c r="F2293" s="2">
        <v>2</v>
      </c>
      <c r="G2293" s="2" t="s">
        <v>14</v>
      </c>
    </row>
    <row r="2294" spans="1:9" x14ac:dyDescent="0.2">
      <c r="A2294" s="2" t="s">
        <v>3403</v>
      </c>
      <c r="B2294" s="2" t="s">
        <v>1246</v>
      </c>
      <c r="C2294" s="2">
        <v>847.45759999999996</v>
      </c>
      <c r="D2294" s="2">
        <f>HYPERLINK("http://mcb-m6.bioreg.kyushu-u.ac.jp/M3/20110502/F51193/2441/1", 43.51)</f>
        <v>43.51</v>
      </c>
      <c r="E2294" s="2">
        <v>31.87</v>
      </c>
      <c r="F2294" s="2">
        <v>2</v>
      </c>
      <c r="G2294" s="2" t="s">
        <v>14</v>
      </c>
    </row>
    <row r="2295" spans="1:9" x14ac:dyDescent="0.2">
      <c r="A2295" s="2" t="s">
        <v>3403</v>
      </c>
      <c r="B2295" s="2" t="s">
        <v>287</v>
      </c>
      <c r="C2295" s="2">
        <v>458.73259999999999</v>
      </c>
      <c r="D2295" s="2">
        <f>HYPERLINK("http://mcb-m6.bioreg.kyushu-u.ac.jp/M3/20110502/F51192/480/1", 44.3)</f>
        <v>44.3</v>
      </c>
      <c r="E2295" s="2">
        <v>13.24</v>
      </c>
      <c r="F2295" s="2">
        <v>2</v>
      </c>
      <c r="G2295" s="2" t="s">
        <v>14</v>
      </c>
    </row>
    <row r="2296" spans="1:9" x14ac:dyDescent="0.2">
      <c r="A2296" s="2" t="s">
        <v>3403</v>
      </c>
      <c r="B2296" s="2" t="s">
        <v>200</v>
      </c>
      <c r="C2296" s="2">
        <v>701.52419999999995</v>
      </c>
      <c r="D2296" s="2">
        <f>HYPERLINK("http://mcb-m6.bioreg.kyushu-u.ac.jp/M3/20110502/F51186/1680/1", 46.73)</f>
        <v>46.73</v>
      </c>
      <c r="E2296" s="2">
        <v>27.54</v>
      </c>
      <c r="F2296" s="2">
        <v>2</v>
      </c>
      <c r="G2296" s="2" t="s">
        <v>14</v>
      </c>
      <c r="I2296" s="2" t="s">
        <v>4892</v>
      </c>
    </row>
    <row r="2297" spans="1:9" x14ac:dyDescent="0.2">
      <c r="A2297" s="2" t="s">
        <v>3403</v>
      </c>
      <c r="B2297" s="2" t="s">
        <v>1246</v>
      </c>
      <c r="C2297" s="2">
        <v>847.03970000000004</v>
      </c>
      <c r="D2297" s="2">
        <f>HYPERLINK("http://mcb-m6.bioreg.kyushu-u.ac.jp/M3/20110502/F51191/2119/1", 50.61)</f>
        <v>50.61</v>
      </c>
      <c r="E2297" s="2">
        <v>27.16</v>
      </c>
      <c r="F2297" s="2">
        <v>2</v>
      </c>
      <c r="G2297" s="2" t="s">
        <v>14</v>
      </c>
    </row>
    <row r="2298" spans="1:9" x14ac:dyDescent="0.2">
      <c r="A2298" s="2" t="s">
        <v>3403</v>
      </c>
      <c r="B2298" s="2" t="s">
        <v>841</v>
      </c>
      <c r="C2298" s="2">
        <v>767.26009999999997</v>
      </c>
      <c r="D2298" s="2">
        <f>HYPERLINK("http://mcb-m6.bioreg.kyushu-u.ac.jp/M3/20110502/F51191/1855/1", 51.7)</f>
        <v>51.7</v>
      </c>
      <c r="E2298" s="2">
        <v>45.43</v>
      </c>
      <c r="F2298" s="2">
        <v>2</v>
      </c>
      <c r="G2298" s="2" t="s">
        <v>14</v>
      </c>
      <c r="I2298" s="2" t="s">
        <v>4923</v>
      </c>
    </row>
    <row r="2299" spans="1:9" x14ac:dyDescent="0.2">
      <c r="A2299" s="2" t="s">
        <v>3403</v>
      </c>
      <c r="B2299" s="2" t="s">
        <v>200</v>
      </c>
      <c r="C2299" s="2">
        <v>701.36220000000003</v>
      </c>
      <c r="D2299" s="2">
        <f>HYPERLINK("http://mcb-m6.bioreg.kyushu-u.ac.jp/M3/20110502/F51192/1561/1", 61.68)</f>
        <v>61.68</v>
      </c>
      <c r="E2299" s="2">
        <v>45.43</v>
      </c>
      <c r="F2299" s="2">
        <v>2</v>
      </c>
      <c r="G2299" s="2" t="s">
        <v>14</v>
      </c>
      <c r="I2299" s="2" t="s">
        <v>4892</v>
      </c>
    </row>
    <row r="2300" spans="1:9" x14ac:dyDescent="0.2">
      <c r="A2300" s="2" t="s">
        <v>3403</v>
      </c>
      <c r="B2300" s="2" t="s">
        <v>1246</v>
      </c>
      <c r="C2300" s="2">
        <v>847.42660000000001</v>
      </c>
      <c r="D2300" s="2">
        <f>HYPERLINK("http://mcb-m6.bioreg.kyushu-u.ac.jp/M3/20110502/F51191/2124/1", 70.4)</f>
        <v>70.400000000000006</v>
      </c>
      <c r="E2300" s="2">
        <v>52.32</v>
      </c>
      <c r="F2300" s="2">
        <v>2</v>
      </c>
      <c r="G2300" s="2" t="s">
        <v>14</v>
      </c>
    </row>
    <row r="2301" spans="1:9" x14ac:dyDescent="0.2">
      <c r="A2301" s="2" t="s">
        <v>3403</v>
      </c>
      <c r="B2301" s="2" t="s">
        <v>200</v>
      </c>
      <c r="C2301" s="2">
        <v>701.58759999999995</v>
      </c>
      <c r="D2301" s="2">
        <f>HYPERLINK("http://mcb-m6.bioreg.kyushu-u.ac.jp/M3/20110502/F51182/1615/1", 71)</f>
        <v>71</v>
      </c>
      <c r="E2301" s="2">
        <v>47.28</v>
      </c>
      <c r="F2301" s="2">
        <v>2</v>
      </c>
      <c r="G2301" s="2" t="s">
        <v>14</v>
      </c>
      <c r="I2301" s="2" t="s">
        <v>4892</v>
      </c>
    </row>
    <row r="2302" spans="1:9" x14ac:dyDescent="0.2">
      <c r="A2302" s="2" t="s">
        <v>3403</v>
      </c>
      <c r="B2302" s="2" t="s">
        <v>200</v>
      </c>
      <c r="C2302" s="2">
        <v>701.49159999999995</v>
      </c>
      <c r="D2302" s="2">
        <f>HYPERLINK("http://mcb-m6.bioreg.kyushu-u.ac.jp/M3/20110502/F51191/1538/1", 83.98)</f>
        <v>83.98</v>
      </c>
      <c r="E2302" s="2">
        <v>61.85</v>
      </c>
      <c r="F2302" s="2">
        <v>2</v>
      </c>
      <c r="G2302" s="2" t="s">
        <v>14</v>
      </c>
      <c r="I2302" s="2" t="s">
        <v>4892</v>
      </c>
    </row>
    <row r="2303" spans="1:9" x14ac:dyDescent="0.2">
      <c r="A2303" s="2" t="s">
        <v>3403</v>
      </c>
      <c r="B2303" s="2" t="s">
        <v>1144</v>
      </c>
      <c r="C2303" s="2">
        <v>888.1191</v>
      </c>
      <c r="D2303" s="2">
        <f>HYPERLINK("http://mcb-m6.bioreg.kyushu-u.ac.jp/M3/20110502/F51179/2600/1", 88.16)</f>
        <v>88.16</v>
      </c>
      <c r="E2303" s="2">
        <v>69.06</v>
      </c>
      <c r="F2303" s="2">
        <v>2</v>
      </c>
      <c r="G2303" s="2" t="s">
        <v>14</v>
      </c>
      <c r="I2303" s="2" t="s">
        <v>4898</v>
      </c>
    </row>
    <row r="2304" spans="1:9" x14ac:dyDescent="0.2">
      <c r="A2304" s="2" t="s">
        <v>3403</v>
      </c>
      <c r="B2304" s="2" t="s">
        <v>1246</v>
      </c>
      <c r="C2304" s="2">
        <v>846.65769999999998</v>
      </c>
      <c r="D2304" s="2">
        <f>HYPERLINK("http://mcb-m6.bioreg.kyushu-u.ac.jp/M3/20110502/F51191/2118/1", 88.62)</f>
        <v>88.62</v>
      </c>
      <c r="E2304" s="2">
        <v>70.650000000000006</v>
      </c>
      <c r="F2304" s="2">
        <v>2</v>
      </c>
      <c r="G2304" s="2" t="s">
        <v>14</v>
      </c>
    </row>
    <row r="2305" spans="1:9" x14ac:dyDescent="0.2">
      <c r="A2305" s="2" t="s">
        <v>3403</v>
      </c>
      <c r="B2305" s="2" t="s">
        <v>1246</v>
      </c>
      <c r="C2305" s="2">
        <v>847.0847</v>
      </c>
      <c r="D2305" s="2">
        <f>HYPERLINK("http://mcb-m6.bioreg.kyushu-u.ac.jp/M3/20110502/F51177/2464/1", 90.34)</f>
        <v>90.34</v>
      </c>
      <c r="E2305" s="2">
        <v>70.2</v>
      </c>
      <c r="F2305" s="2">
        <v>2</v>
      </c>
      <c r="G2305" s="2" t="s">
        <v>14</v>
      </c>
    </row>
    <row r="2306" spans="1:9" x14ac:dyDescent="0.2">
      <c r="A2306" s="2" t="s">
        <v>3403</v>
      </c>
      <c r="B2306" s="2" t="s">
        <v>1246</v>
      </c>
      <c r="C2306" s="2">
        <v>847.38919999999996</v>
      </c>
      <c r="D2306" s="2">
        <f>HYPERLINK("http://mcb-m6.bioreg.kyushu-u.ac.jp/M3/20110502/F51191/2123/1", 98.69)</f>
        <v>98.69</v>
      </c>
      <c r="E2306" s="2">
        <v>89.13</v>
      </c>
      <c r="F2306" s="2">
        <v>2</v>
      </c>
      <c r="G2306" s="2" t="s">
        <v>14</v>
      </c>
    </row>
    <row r="2307" spans="1:9" x14ac:dyDescent="0.2">
      <c r="A2307" s="2" t="s">
        <v>3403</v>
      </c>
      <c r="B2307" s="2" t="s">
        <v>1144</v>
      </c>
      <c r="C2307" s="2">
        <v>888.16520000000003</v>
      </c>
      <c r="D2307" s="2">
        <f>HYPERLINK("http://mcb-m6.bioreg.kyushu-u.ac.jp/M3/20110502/F51191/2304/1", 104.23)</f>
        <v>104.23</v>
      </c>
      <c r="E2307" s="2">
        <v>86.25</v>
      </c>
      <c r="F2307" s="2">
        <v>2</v>
      </c>
      <c r="G2307" s="2" t="s">
        <v>14</v>
      </c>
      <c r="I2307" s="2" t="s">
        <v>4898</v>
      </c>
    </row>
    <row r="2308" spans="1:9" x14ac:dyDescent="0.2">
      <c r="A2308" s="2" t="s">
        <v>3403</v>
      </c>
      <c r="B2308" s="2" t="s">
        <v>1246</v>
      </c>
      <c r="C2308" s="2">
        <v>847.05470000000003</v>
      </c>
      <c r="D2308" s="2">
        <f>HYPERLINK("http://mcb-m6.bioreg.kyushu-u.ac.jp/M3/20110502/F51185/2393/1", 106.48)</f>
        <v>106.48</v>
      </c>
      <c r="E2308" s="2">
        <v>93.56</v>
      </c>
      <c r="F2308" s="2">
        <v>2</v>
      </c>
      <c r="G2308" s="2" t="s">
        <v>14</v>
      </c>
    </row>
    <row r="2309" spans="1:9" x14ac:dyDescent="0.2">
      <c r="A2309" s="2" t="s">
        <v>3403</v>
      </c>
      <c r="B2309" s="2" t="s">
        <v>1246</v>
      </c>
      <c r="C2309" s="2">
        <v>847.41719999999998</v>
      </c>
      <c r="D2309" s="2">
        <f>HYPERLINK("http://mcb-m6.bioreg.kyushu-u.ac.jp/M3/20110502/F51182/2487/1", 107.8)</f>
        <v>107.8</v>
      </c>
      <c r="E2309" s="2">
        <v>80.55</v>
      </c>
      <c r="F2309" s="2">
        <v>2</v>
      </c>
      <c r="G2309" s="2" t="s">
        <v>14</v>
      </c>
    </row>
    <row r="2310" spans="1:9" x14ac:dyDescent="0.2">
      <c r="A2310" s="2" t="s">
        <v>3403</v>
      </c>
      <c r="B2310" s="2" t="s">
        <v>1246</v>
      </c>
      <c r="C2310" s="2">
        <v>847.1472</v>
      </c>
      <c r="D2310" s="2">
        <f>HYPERLINK("http://mcb-m6.bioreg.kyushu-u.ac.jp/M3/20110502/F51179/2378/1", 114.72)</f>
        <v>114.72</v>
      </c>
      <c r="E2310" s="2">
        <v>95.28</v>
      </c>
      <c r="F2310" s="2">
        <v>2</v>
      </c>
      <c r="G2310" s="2" t="s">
        <v>14</v>
      </c>
    </row>
    <row r="2311" spans="1:9" x14ac:dyDescent="0.2">
      <c r="A2311" s="2" t="s">
        <v>3511</v>
      </c>
      <c r="B2311" s="2" t="s">
        <v>352</v>
      </c>
      <c r="C2311" s="2">
        <v>843.2482</v>
      </c>
      <c r="D2311" s="2">
        <f>HYPERLINK("http://mcb-m6.bioreg.kyushu-u.ac.jp/M3/20110411/F50904/2494/1", 40.11)</f>
        <v>40.11</v>
      </c>
      <c r="E2311" s="2">
        <v>11.84</v>
      </c>
      <c r="F2311" s="2">
        <v>2</v>
      </c>
      <c r="G2311" s="2" t="s">
        <v>9</v>
      </c>
      <c r="I2311" s="2" t="s">
        <v>4914</v>
      </c>
    </row>
    <row r="2312" spans="1:9" x14ac:dyDescent="0.2">
      <c r="A2312" s="2" t="s">
        <v>3511</v>
      </c>
      <c r="B2312" s="2" t="s">
        <v>461</v>
      </c>
      <c r="C2312" s="2">
        <v>679.8732</v>
      </c>
      <c r="D2312" s="2">
        <f>HYPERLINK("http://mcb-m6.bioreg.kyushu-u.ac.jp/M3/20110411/F50890/1841/1", 42.38)</f>
        <v>42.38</v>
      </c>
      <c r="E2312" s="2">
        <v>18.21</v>
      </c>
      <c r="F2312" s="2">
        <v>2</v>
      </c>
      <c r="G2312" s="2" t="s">
        <v>9</v>
      </c>
    </row>
    <row r="2313" spans="1:9" x14ac:dyDescent="0.2">
      <c r="A2313" s="2" t="s">
        <v>3511</v>
      </c>
      <c r="B2313" s="2" t="s">
        <v>533</v>
      </c>
      <c r="C2313" s="2">
        <v>616.40620000000001</v>
      </c>
      <c r="D2313" s="2">
        <f>HYPERLINK("http://mcb-m6.bioreg.kyushu-u.ac.jp/M3/20110411/F50892/1710/1", 44.07)</f>
        <v>44.07</v>
      </c>
      <c r="E2313" s="2">
        <v>23.3</v>
      </c>
      <c r="F2313" s="2">
        <v>2</v>
      </c>
      <c r="G2313" s="2" t="s">
        <v>9</v>
      </c>
    </row>
    <row r="2314" spans="1:9" x14ac:dyDescent="0.2">
      <c r="A2314" s="2" t="s">
        <v>3511</v>
      </c>
      <c r="B2314" s="2" t="s">
        <v>533</v>
      </c>
      <c r="C2314" s="2">
        <v>1230.8579999999999</v>
      </c>
      <c r="D2314" s="2">
        <f>HYPERLINK("http://mcb-m6.bioreg.kyushu-u.ac.jp/M3/20110411/F50904/1488/1", 51.21)</f>
        <v>51.21</v>
      </c>
      <c r="E2314" s="2">
        <v>27.21</v>
      </c>
      <c r="F2314" s="2">
        <v>1</v>
      </c>
      <c r="G2314" s="2" t="s">
        <v>9</v>
      </c>
    </row>
    <row r="2315" spans="1:9" x14ac:dyDescent="0.2">
      <c r="A2315" s="2" t="s">
        <v>3511</v>
      </c>
      <c r="B2315" s="2" t="s">
        <v>533</v>
      </c>
      <c r="C2315" s="2">
        <v>1230.8510000000001</v>
      </c>
      <c r="D2315" s="2">
        <f>HYPERLINK("http://mcb-m6.bioreg.kyushu-u.ac.jp/M3/20110411/F50919/1109/1", 51.27)</f>
        <v>51.27</v>
      </c>
      <c r="E2315" s="2">
        <v>29.63</v>
      </c>
      <c r="F2315" s="2">
        <v>1</v>
      </c>
      <c r="G2315" s="2" t="s">
        <v>9</v>
      </c>
    </row>
    <row r="2316" spans="1:9" x14ac:dyDescent="0.2">
      <c r="A2316" s="2" t="s">
        <v>3511</v>
      </c>
      <c r="B2316" s="2" t="s">
        <v>461</v>
      </c>
      <c r="C2316" s="2">
        <v>680.04970000000003</v>
      </c>
      <c r="D2316" s="2">
        <f>HYPERLINK("http://mcb-m6.bioreg.kyushu-u.ac.jp/M3/20110411/F50916/1540/1", 52.46)</f>
        <v>52.46</v>
      </c>
      <c r="E2316" s="2">
        <v>17.739999999999998</v>
      </c>
      <c r="F2316" s="2">
        <v>2</v>
      </c>
      <c r="G2316" s="2" t="s">
        <v>9</v>
      </c>
    </row>
    <row r="2317" spans="1:9" x14ac:dyDescent="0.2">
      <c r="A2317" s="2" t="s">
        <v>3511</v>
      </c>
      <c r="B2317" s="2" t="s">
        <v>352</v>
      </c>
      <c r="C2317" s="2">
        <v>843.15920000000006</v>
      </c>
      <c r="D2317" s="2">
        <f>HYPERLINK("http://mcb-m6.bioreg.kyushu-u.ac.jp/M3/20110411/F50919/2149/1", 74.06)</f>
        <v>74.06</v>
      </c>
      <c r="E2317" s="2">
        <v>44.16</v>
      </c>
      <c r="F2317" s="2">
        <v>2</v>
      </c>
      <c r="G2317" s="2" t="s">
        <v>9</v>
      </c>
      <c r="I2317" s="2" t="s">
        <v>4914</v>
      </c>
    </row>
    <row r="2318" spans="1:9" x14ac:dyDescent="0.2">
      <c r="A2318" s="2" t="s">
        <v>3511</v>
      </c>
      <c r="B2318" s="2" t="s">
        <v>461</v>
      </c>
      <c r="C2318" s="2">
        <v>680.04610000000002</v>
      </c>
      <c r="D2318" s="2">
        <f>HYPERLINK("http://mcb-m6.bioreg.kyushu-u.ac.jp/M3/20110411/F50918/1520/1", 39.88)</f>
        <v>39.880000000000003</v>
      </c>
      <c r="E2318" s="2">
        <v>15.24</v>
      </c>
      <c r="F2318" s="2">
        <v>2</v>
      </c>
      <c r="G2318" s="2" t="s">
        <v>10</v>
      </c>
    </row>
    <row r="2319" spans="1:9" x14ac:dyDescent="0.2">
      <c r="A2319" s="2" t="s">
        <v>3511</v>
      </c>
      <c r="B2319" s="2" t="s">
        <v>461</v>
      </c>
      <c r="C2319" s="2">
        <v>679.63120000000004</v>
      </c>
      <c r="D2319" s="2">
        <f>HYPERLINK("http://mcb-m6.bioreg.kyushu-u.ac.jp/M3/20110411/F50921/1532/1", 47.59)</f>
        <v>47.59</v>
      </c>
      <c r="E2319" s="2">
        <v>28.63</v>
      </c>
      <c r="F2319" s="2">
        <v>2</v>
      </c>
      <c r="G2319" s="2" t="s">
        <v>10</v>
      </c>
    </row>
    <row r="2320" spans="1:9" x14ac:dyDescent="0.2">
      <c r="A2320" s="2" t="s">
        <v>3511</v>
      </c>
      <c r="B2320" s="2" t="s">
        <v>352</v>
      </c>
      <c r="C2320" s="2">
        <v>842.9357</v>
      </c>
      <c r="D2320" s="2">
        <f>HYPERLINK("http://mcb-m6.bioreg.kyushu-u.ac.jp/M3/20110411/F50913/2485/1", 48.46)</f>
        <v>48.46</v>
      </c>
      <c r="E2320" s="2">
        <v>23.56</v>
      </c>
      <c r="F2320" s="2">
        <v>2</v>
      </c>
      <c r="G2320" s="2" t="s">
        <v>10</v>
      </c>
      <c r="I2320" s="2" t="s">
        <v>4914</v>
      </c>
    </row>
    <row r="2321" spans="1:9" x14ac:dyDescent="0.2">
      <c r="A2321" s="2" t="s">
        <v>3511</v>
      </c>
      <c r="B2321" s="2" t="s">
        <v>352</v>
      </c>
      <c r="C2321" s="2">
        <v>843.37959999999998</v>
      </c>
      <c r="D2321" s="2">
        <f>HYPERLINK("http://mcb-m6.bioreg.kyushu-u.ac.jp/M3/20110411/F50921/2258/1", 50.63)</f>
        <v>50.63</v>
      </c>
      <c r="E2321" s="2">
        <v>18.82</v>
      </c>
      <c r="F2321" s="2">
        <v>2</v>
      </c>
      <c r="G2321" s="2" t="s">
        <v>10</v>
      </c>
      <c r="I2321" s="2" t="s">
        <v>4914</v>
      </c>
    </row>
    <row r="2322" spans="1:9" x14ac:dyDescent="0.2">
      <c r="A2322" s="2" t="s">
        <v>3511</v>
      </c>
      <c r="B2322" s="2" t="s">
        <v>352</v>
      </c>
      <c r="C2322" s="2">
        <v>843.02719999999999</v>
      </c>
      <c r="D2322" s="2">
        <f>HYPERLINK("http://mcb-m6.bioreg.kyushu-u.ac.jp/M3/20110411/F50902/2556/1", 51)</f>
        <v>51</v>
      </c>
      <c r="E2322" s="2">
        <v>21.64</v>
      </c>
      <c r="F2322" s="2">
        <v>2</v>
      </c>
      <c r="G2322" s="2" t="s">
        <v>10</v>
      </c>
      <c r="I2322" s="2" t="s">
        <v>4914</v>
      </c>
    </row>
    <row r="2323" spans="1:9" x14ac:dyDescent="0.2">
      <c r="A2323" s="2" t="s">
        <v>3511</v>
      </c>
      <c r="B2323" s="2" t="s">
        <v>533</v>
      </c>
      <c r="C2323" s="2">
        <v>1231.069</v>
      </c>
      <c r="D2323" s="2">
        <f>HYPERLINK("http://mcb-m6.bioreg.kyushu-u.ac.jp/M3/20110411/F50912/1510/1", 51.22)</f>
        <v>51.22</v>
      </c>
      <c r="E2323" s="2">
        <v>32.090000000000003</v>
      </c>
      <c r="F2323" s="2">
        <v>1</v>
      </c>
      <c r="G2323" s="2" t="s">
        <v>10</v>
      </c>
    </row>
    <row r="2324" spans="1:9" x14ac:dyDescent="0.2">
      <c r="A2324" s="2" t="s">
        <v>3511</v>
      </c>
      <c r="B2324" s="2" t="s">
        <v>533</v>
      </c>
      <c r="C2324" s="2">
        <v>1230.787</v>
      </c>
      <c r="D2324" s="2">
        <f>HYPERLINK("http://mcb-m6.bioreg.kyushu-u.ac.jp/M3/20110411/F50921/1283/1", 51.33)</f>
        <v>51.33</v>
      </c>
      <c r="E2324" s="2">
        <v>28.97</v>
      </c>
      <c r="F2324" s="2">
        <v>1</v>
      </c>
      <c r="G2324" s="2" t="s">
        <v>10</v>
      </c>
    </row>
    <row r="2325" spans="1:9" x14ac:dyDescent="0.2">
      <c r="A2325" s="2" t="s">
        <v>3511</v>
      </c>
      <c r="B2325" s="2" t="s">
        <v>352</v>
      </c>
      <c r="C2325" s="2">
        <v>851.1857</v>
      </c>
      <c r="D2325" s="2">
        <f>HYPERLINK("http://mcb-m6.bioreg.kyushu-u.ac.jp/M3/20110411/F50912/2544/1", 51.81)</f>
        <v>51.81</v>
      </c>
      <c r="E2325" s="2">
        <v>24.67</v>
      </c>
      <c r="F2325" s="2">
        <v>2</v>
      </c>
      <c r="G2325" s="2" t="s">
        <v>10</v>
      </c>
      <c r="H2325" s="2" t="s">
        <v>4925</v>
      </c>
      <c r="I2325" s="2" t="s">
        <v>4914</v>
      </c>
    </row>
    <row r="2326" spans="1:9" x14ac:dyDescent="0.2">
      <c r="A2326" s="2" t="s">
        <v>3511</v>
      </c>
      <c r="B2326" s="2" t="s">
        <v>352</v>
      </c>
      <c r="C2326" s="2">
        <v>843.32870000000003</v>
      </c>
      <c r="D2326" s="2">
        <f>HYPERLINK("http://mcb-m6.bioreg.kyushu-u.ac.jp/M3/20110411/F50921/2257/1", 56.36)</f>
        <v>56.36</v>
      </c>
      <c r="E2326" s="2">
        <v>29.8</v>
      </c>
      <c r="F2326" s="2">
        <v>2</v>
      </c>
      <c r="G2326" s="2" t="s">
        <v>10</v>
      </c>
      <c r="I2326" s="2" t="s">
        <v>4914</v>
      </c>
    </row>
    <row r="2327" spans="1:9" x14ac:dyDescent="0.2">
      <c r="A2327" s="2" t="s">
        <v>3511</v>
      </c>
      <c r="B2327" s="2" t="s">
        <v>533</v>
      </c>
      <c r="C2327" s="2">
        <v>615.7731</v>
      </c>
      <c r="D2327" s="2">
        <f>HYPERLINK("http://mcb-m6.bioreg.kyushu-u.ac.jp/M3/20110411/F50921/1282/1", 57.2)</f>
        <v>57.2</v>
      </c>
      <c r="E2327" s="2">
        <v>29.78</v>
      </c>
      <c r="F2327" s="2">
        <v>2</v>
      </c>
      <c r="G2327" s="2" t="s">
        <v>10</v>
      </c>
    </row>
    <row r="2328" spans="1:9" x14ac:dyDescent="0.2">
      <c r="A2328" s="2" t="s">
        <v>3511</v>
      </c>
      <c r="B2328" s="2" t="s">
        <v>352</v>
      </c>
      <c r="C2328" s="2">
        <v>843.00570000000005</v>
      </c>
      <c r="D2328" s="2">
        <f>HYPERLINK("http://mcb-m6.bioreg.kyushu-u.ac.jp/M3/20110411/F50912/2488/1", 58.53)</f>
        <v>58.53</v>
      </c>
      <c r="E2328" s="2">
        <v>38.69</v>
      </c>
      <c r="F2328" s="2">
        <v>2</v>
      </c>
      <c r="G2328" s="2" t="s">
        <v>10</v>
      </c>
      <c r="I2328" s="2" t="s">
        <v>4914</v>
      </c>
    </row>
    <row r="2329" spans="1:9" x14ac:dyDescent="0.2">
      <c r="A2329" s="2" t="s">
        <v>3511</v>
      </c>
      <c r="B2329" s="2" t="s">
        <v>461</v>
      </c>
      <c r="C2329" s="2">
        <v>680.3981</v>
      </c>
      <c r="D2329" s="2">
        <f>HYPERLINK("http://mcb-m6.bioreg.kyushu-u.ac.jp/M3/20110411/F50921/1537/1", 60.02)</f>
        <v>60.02</v>
      </c>
      <c r="E2329" s="2">
        <v>25.61</v>
      </c>
      <c r="F2329" s="2">
        <v>2</v>
      </c>
      <c r="G2329" s="2" t="s">
        <v>10</v>
      </c>
    </row>
    <row r="2330" spans="1:9" x14ac:dyDescent="0.2">
      <c r="A2330" s="2" t="s">
        <v>3511</v>
      </c>
      <c r="B2330" s="2" t="s">
        <v>352</v>
      </c>
      <c r="C2330" s="2">
        <v>843.27260000000001</v>
      </c>
      <c r="D2330" s="2">
        <f>HYPERLINK("http://mcb-m6.bioreg.kyushu-u.ac.jp/M3/20110411/F50912/2491/1", 71.19)</f>
        <v>71.19</v>
      </c>
      <c r="E2330" s="2">
        <v>50.57</v>
      </c>
      <c r="F2330" s="2">
        <v>2</v>
      </c>
      <c r="G2330" s="2" t="s">
        <v>10</v>
      </c>
      <c r="I2330" s="2" t="s">
        <v>4914</v>
      </c>
    </row>
    <row r="2331" spans="1:9" x14ac:dyDescent="0.2">
      <c r="A2331" s="2" t="s">
        <v>3511</v>
      </c>
      <c r="B2331" s="2" t="s">
        <v>461</v>
      </c>
      <c r="C2331" s="2">
        <v>679.78610000000003</v>
      </c>
      <c r="D2331" s="2">
        <f>HYPERLINK("http://mcb-m6.bioreg.kyushu-u.ac.jp/M3/20110414/F50943/1522/1", 35.31)</f>
        <v>35.31</v>
      </c>
      <c r="E2331" s="2">
        <v>14.35</v>
      </c>
      <c r="F2331" s="2">
        <v>2</v>
      </c>
      <c r="G2331" s="2" t="s">
        <v>11</v>
      </c>
    </row>
    <row r="2332" spans="1:9" x14ac:dyDescent="0.2">
      <c r="A2332" s="2" t="s">
        <v>3511</v>
      </c>
      <c r="B2332" s="2" t="s">
        <v>533</v>
      </c>
      <c r="C2332" s="2">
        <v>615.63959999999997</v>
      </c>
      <c r="D2332" s="2">
        <f>HYPERLINK("http://mcb-m6.bioreg.kyushu-u.ac.jp/M3/20110414/F50962/1346/1", 37.42)</f>
        <v>37.42</v>
      </c>
      <c r="E2332" s="2">
        <v>20.89</v>
      </c>
      <c r="F2332" s="2">
        <v>2</v>
      </c>
      <c r="G2332" s="2" t="s">
        <v>11</v>
      </c>
    </row>
    <row r="2333" spans="1:9" x14ac:dyDescent="0.2">
      <c r="A2333" s="2" t="s">
        <v>3511</v>
      </c>
      <c r="B2333" s="2" t="s">
        <v>352</v>
      </c>
      <c r="C2333" s="2">
        <v>850.6422</v>
      </c>
      <c r="D2333" s="2">
        <f>HYPERLINK("http://mcb-m6.bioreg.kyushu-u.ac.jp/M3/20110414/F50962/2345/1", 42.7)</f>
        <v>42.7</v>
      </c>
      <c r="E2333" s="2">
        <v>26.15</v>
      </c>
      <c r="F2333" s="2">
        <v>2</v>
      </c>
      <c r="G2333" s="2" t="s">
        <v>11</v>
      </c>
      <c r="H2333" s="2" t="s">
        <v>4925</v>
      </c>
      <c r="I2333" s="2" t="s">
        <v>4914</v>
      </c>
    </row>
    <row r="2334" spans="1:9" x14ac:dyDescent="0.2">
      <c r="A2334" s="2" t="s">
        <v>3511</v>
      </c>
      <c r="B2334" s="2" t="s">
        <v>461</v>
      </c>
      <c r="C2334" s="2">
        <v>679.84860000000003</v>
      </c>
      <c r="D2334" s="2">
        <f>HYPERLINK("http://mcb-m6.bioreg.kyushu-u.ac.jp/M3/20110414/F50941/1720/1", 43.99)</f>
        <v>43.99</v>
      </c>
      <c r="E2334" s="2">
        <v>18.95</v>
      </c>
      <c r="F2334" s="2">
        <v>2</v>
      </c>
      <c r="G2334" s="2" t="s">
        <v>11</v>
      </c>
    </row>
    <row r="2335" spans="1:9" x14ac:dyDescent="0.2">
      <c r="A2335" s="2" t="s">
        <v>3511</v>
      </c>
      <c r="B2335" s="2" t="s">
        <v>461</v>
      </c>
      <c r="C2335" s="2">
        <v>680.40309999999999</v>
      </c>
      <c r="D2335" s="2">
        <f>HYPERLINK("http://mcb-m6.bioreg.kyushu-u.ac.jp/M3/20110414/F50942/1562/1", 44.36)</f>
        <v>44.36</v>
      </c>
      <c r="E2335" s="2">
        <v>21.62</v>
      </c>
      <c r="F2335" s="2">
        <v>2</v>
      </c>
      <c r="G2335" s="2" t="s">
        <v>11</v>
      </c>
    </row>
    <row r="2336" spans="1:9" x14ac:dyDescent="0.2">
      <c r="A2336" s="2" t="s">
        <v>3511</v>
      </c>
      <c r="B2336" s="2" t="s">
        <v>461</v>
      </c>
      <c r="C2336" s="2">
        <v>679.84860000000003</v>
      </c>
      <c r="D2336" s="2">
        <f>HYPERLINK("http://mcb-m6.bioreg.kyushu-u.ac.jp/M3/20110414/F50942/1559/1", 52.54)</f>
        <v>52.54</v>
      </c>
      <c r="E2336" s="2">
        <v>25.79</v>
      </c>
      <c r="F2336" s="2">
        <v>2</v>
      </c>
      <c r="G2336" s="2" t="s">
        <v>11</v>
      </c>
    </row>
    <row r="2337" spans="1:9" x14ac:dyDescent="0.2">
      <c r="A2337" s="2" t="s">
        <v>3511</v>
      </c>
      <c r="B2337" s="2" t="s">
        <v>352</v>
      </c>
      <c r="C2337" s="2">
        <v>842.77869999999996</v>
      </c>
      <c r="D2337" s="2">
        <f>HYPERLINK("http://mcb-m6.bioreg.kyushu-u.ac.jp/M3/20110414/F50962/2301/1", 55.2)</f>
        <v>55.2</v>
      </c>
      <c r="E2337" s="2">
        <v>29.82</v>
      </c>
      <c r="F2337" s="2">
        <v>2</v>
      </c>
      <c r="G2337" s="2" t="s">
        <v>11</v>
      </c>
      <c r="I2337" s="2" t="s">
        <v>4914</v>
      </c>
    </row>
    <row r="2338" spans="1:9" x14ac:dyDescent="0.2">
      <c r="A2338" s="2" t="s">
        <v>3511</v>
      </c>
      <c r="B2338" s="2" t="s">
        <v>352</v>
      </c>
      <c r="C2338" s="2">
        <v>842.62959999999998</v>
      </c>
      <c r="D2338" s="2">
        <f>HYPERLINK("http://mcb-m6.bioreg.kyushu-u.ac.jp/M3/20110414/F50962/2300/1", 57.24)</f>
        <v>57.24</v>
      </c>
      <c r="E2338" s="2">
        <v>32.869999999999997</v>
      </c>
      <c r="F2338" s="2">
        <v>2</v>
      </c>
      <c r="G2338" s="2" t="s">
        <v>11</v>
      </c>
      <c r="I2338" s="2" t="s">
        <v>4914</v>
      </c>
    </row>
    <row r="2339" spans="1:9" x14ac:dyDescent="0.2">
      <c r="A2339" s="2" t="s">
        <v>3511</v>
      </c>
      <c r="B2339" s="2" t="s">
        <v>461</v>
      </c>
      <c r="C2339" s="2">
        <v>680.38170000000002</v>
      </c>
      <c r="D2339" s="2">
        <f>HYPERLINK("http://mcb-m6.bioreg.kyushu-u.ac.jp/M3/20110414/F50941/1726/1", 59.33)</f>
        <v>59.33</v>
      </c>
      <c r="E2339" s="2">
        <v>34.82</v>
      </c>
      <c r="F2339" s="2">
        <v>2</v>
      </c>
      <c r="G2339" s="2" t="s">
        <v>11</v>
      </c>
    </row>
    <row r="2340" spans="1:9" x14ac:dyDescent="0.2">
      <c r="A2340" s="2" t="s">
        <v>3511</v>
      </c>
      <c r="B2340" s="2" t="s">
        <v>461</v>
      </c>
      <c r="C2340" s="2">
        <v>680.07709999999997</v>
      </c>
      <c r="D2340" s="2">
        <f>HYPERLINK("http://mcb-m6.bioreg.kyushu-u.ac.jp/M3/20110414/F50945/1702/1", 59.56)</f>
        <v>59.56</v>
      </c>
      <c r="E2340" s="2">
        <v>23.79</v>
      </c>
      <c r="F2340" s="2">
        <v>2</v>
      </c>
      <c r="G2340" s="2" t="s">
        <v>11</v>
      </c>
    </row>
    <row r="2341" spans="1:9" x14ac:dyDescent="0.2">
      <c r="A2341" s="2" t="s">
        <v>3511</v>
      </c>
      <c r="B2341" s="2" t="s">
        <v>352</v>
      </c>
      <c r="C2341" s="2">
        <v>851.46870000000001</v>
      </c>
      <c r="D2341" s="2">
        <f>HYPERLINK("http://mcb-m6.bioreg.kyushu-u.ac.jp/M3/20110414/F50963/2335/1", 38.82)</f>
        <v>38.82</v>
      </c>
      <c r="E2341" s="2">
        <v>22.33</v>
      </c>
      <c r="F2341" s="2">
        <v>2</v>
      </c>
      <c r="G2341" s="2" t="s">
        <v>12</v>
      </c>
      <c r="H2341" s="2" t="s">
        <v>4925</v>
      </c>
      <c r="I2341" s="2" t="s">
        <v>4914</v>
      </c>
    </row>
    <row r="2342" spans="1:9" x14ac:dyDescent="0.2">
      <c r="A2342" s="2" t="s">
        <v>3511</v>
      </c>
      <c r="B2342" s="2" t="s">
        <v>461</v>
      </c>
      <c r="C2342" s="2">
        <v>679.59169999999995</v>
      </c>
      <c r="D2342" s="2">
        <f>HYPERLINK("http://mcb-m6.bioreg.kyushu-u.ac.jp/M3/20110414/F50950/1761/1", 47.82)</f>
        <v>47.82</v>
      </c>
      <c r="E2342" s="2">
        <v>23.14</v>
      </c>
      <c r="F2342" s="2">
        <v>2</v>
      </c>
      <c r="G2342" s="2" t="s">
        <v>12</v>
      </c>
    </row>
    <row r="2343" spans="1:9" x14ac:dyDescent="0.2">
      <c r="A2343" s="2" t="s">
        <v>3511</v>
      </c>
      <c r="B2343" s="2" t="s">
        <v>352</v>
      </c>
      <c r="C2343" s="2">
        <v>843.16859999999997</v>
      </c>
      <c r="D2343" s="2">
        <f>HYPERLINK("http://mcb-m6.bioreg.kyushu-u.ac.jp/M3/20110414/F50963/2277/1", 48.83)</f>
        <v>48.83</v>
      </c>
      <c r="E2343" s="2">
        <v>27.56</v>
      </c>
      <c r="F2343" s="2">
        <v>2</v>
      </c>
      <c r="G2343" s="2" t="s">
        <v>12</v>
      </c>
      <c r="I2343" s="2" t="s">
        <v>4914</v>
      </c>
    </row>
    <row r="2344" spans="1:9" x14ac:dyDescent="0.2">
      <c r="A2344" s="2" t="s">
        <v>3511</v>
      </c>
      <c r="B2344" s="2" t="s">
        <v>533</v>
      </c>
      <c r="C2344" s="2">
        <v>1230.578</v>
      </c>
      <c r="D2344" s="2">
        <f>HYPERLINK("http://mcb-m6.bioreg.kyushu-u.ac.jp/M3/20110414/F50963/1236/1", 51.37)</f>
        <v>51.37</v>
      </c>
      <c r="E2344" s="2">
        <v>35.58</v>
      </c>
      <c r="F2344" s="2">
        <v>1</v>
      </c>
      <c r="G2344" s="2" t="s">
        <v>12</v>
      </c>
    </row>
    <row r="2345" spans="1:9" x14ac:dyDescent="0.2">
      <c r="A2345" s="2" t="s">
        <v>3511</v>
      </c>
      <c r="B2345" s="2" t="s">
        <v>461</v>
      </c>
      <c r="C2345" s="2">
        <v>680.4742</v>
      </c>
      <c r="D2345" s="2">
        <f>HYPERLINK("http://mcb-m6.bioreg.kyushu-u.ac.jp/M3/20110414/F50932/2055/1", 52.21)</f>
        <v>52.21</v>
      </c>
      <c r="E2345" s="2">
        <v>27.1</v>
      </c>
      <c r="F2345" s="2">
        <v>2</v>
      </c>
      <c r="G2345" s="2" t="s">
        <v>12</v>
      </c>
    </row>
    <row r="2346" spans="1:9" x14ac:dyDescent="0.2">
      <c r="A2346" s="2" t="s">
        <v>3511</v>
      </c>
      <c r="B2346" s="2" t="s">
        <v>352</v>
      </c>
      <c r="C2346" s="2">
        <v>843.22559999999999</v>
      </c>
      <c r="D2346" s="2">
        <f>HYPERLINK("http://mcb-m6.bioreg.kyushu-u.ac.jp/M3/20110414/F50963/2278/1", 52.74)</f>
        <v>52.74</v>
      </c>
      <c r="E2346" s="2">
        <v>31.31</v>
      </c>
      <c r="F2346" s="2">
        <v>2</v>
      </c>
      <c r="G2346" s="2" t="s">
        <v>12</v>
      </c>
      <c r="I2346" s="2" t="s">
        <v>4914</v>
      </c>
    </row>
    <row r="2347" spans="1:9" x14ac:dyDescent="0.2">
      <c r="A2347" s="2" t="s">
        <v>3511</v>
      </c>
      <c r="B2347" s="2" t="s">
        <v>461</v>
      </c>
      <c r="C2347" s="2">
        <v>679.85519999999997</v>
      </c>
      <c r="D2347" s="2">
        <f>HYPERLINK("http://mcb-m6.bioreg.kyushu-u.ac.jp/M3/20110414/F50963/1508/1", 54.69)</f>
        <v>54.69</v>
      </c>
      <c r="E2347" s="2">
        <v>31.73</v>
      </c>
      <c r="F2347" s="2">
        <v>2</v>
      </c>
      <c r="G2347" s="2" t="s">
        <v>12</v>
      </c>
    </row>
    <row r="2348" spans="1:9" x14ac:dyDescent="0.2">
      <c r="A2348" s="2" t="s">
        <v>3511</v>
      </c>
      <c r="B2348" s="2" t="s">
        <v>533</v>
      </c>
      <c r="C2348" s="2">
        <v>615.64509999999996</v>
      </c>
      <c r="D2348" s="2">
        <f>HYPERLINK("http://mcb-m6.bioreg.kyushu-u.ac.jp/M3/20110414/F50963/1233/1", 66.32)</f>
        <v>66.319999999999993</v>
      </c>
      <c r="E2348" s="2">
        <v>47.17</v>
      </c>
      <c r="F2348" s="2">
        <v>2</v>
      </c>
      <c r="G2348" s="2" t="s">
        <v>12</v>
      </c>
    </row>
    <row r="2349" spans="1:9" x14ac:dyDescent="0.2">
      <c r="A2349" s="2" t="s">
        <v>3511</v>
      </c>
      <c r="B2349" s="2" t="s">
        <v>352</v>
      </c>
      <c r="C2349" s="2">
        <v>842.61659999999995</v>
      </c>
      <c r="D2349" s="2">
        <f>HYPERLINK("http://mcb-m6.bioreg.kyushu-u.ac.jp/M3/20110414/F50963/2275/1", 82.82)</f>
        <v>82.82</v>
      </c>
      <c r="E2349" s="2">
        <v>59.64</v>
      </c>
      <c r="F2349" s="2">
        <v>2</v>
      </c>
      <c r="G2349" s="2" t="s">
        <v>12</v>
      </c>
      <c r="I2349" s="2" t="s">
        <v>4914</v>
      </c>
    </row>
    <row r="2350" spans="1:9" x14ac:dyDescent="0.2">
      <c r="A2350" s="2" t="s">
        <v>3511</v>
      </c>
      <c r="B2350" s="2" t="s">
        <v>533</v>
      </c>
      <c r="C2350" s="2">
        <v>1230.798</v>
      </c>
      <c r="D2350" s="2">
        <f>HYPERLINK("http://mcb-m6.bioreg.kyushu-u.ac.jp/M3/20110502/F51187/1211/1", 36.6)</f>
        <v>36.6</v>
      </c>
      <c r="E2350" s="2">
        <v>14.26</v>
      </c>
      <c r="F2350" s="2">
        <v>1</v>
      </c>
      <c r="G2350" s="2" t="s">
        <v>13</v>
      </c>
    </row>
    <row r="2351" spans="1:9" x14ac:dyDescent="0.2">
      <c r="A2351" s="2" t="s">
        <v>3511</v>
      </c>
      <c r="B2351" s="2" t="s">
        <v>461</v>
      </c>
      <c r="C2351" s="2">
        <v>680.21220000000005</v>
      </c>
      <c r="D2351" s="2">
        <f>HYPERLINK("http://mcb-m6.bioreg.kyushu-u.ac.jp/M3/20110502/F51172/1693/1", 37.53)</f>
        <v>37.53</v>
      </c>
      <c r="E2351" s="2">
        <v>9.74</v>
      </c>
      <c r="F2351" s="2">
        <v>2</v>
      </c>
      <c r="G2351" s="2" t="s">
        <v>13</v>
      </c>
    </row>
    <row r="2352" spans="1:9" x14ac:dyDescent="0.2">
      <c r="A2352" s="2" t="s">
        <v>3511</v>
      </c>
      <c r="B2352" s="2" t="s">
        <v>461</v>
      </c>
      <c r="C2352" s="2">
        <v>680.17769999999996</v>
      </c>
      <c r="D2352" s="2">
        <f>HYPERLINK("http://mcb-m6.bioreg.kyushu-u.ac.jp/M3/20110502/F51173/1430/1", 38.49)</f>
        <v>38.49</v>
      </c>
      <c r="E2352" s="2">
        <v>8.6999999999999993</v>
      </c>
      <c r="F2352" s="2">
        <v>2</v>
      </c>
      <c r="G2352" s="2" t="s">
        <v>13</v>
      </c>
    </row>
    <row r="2353" spans="1:9" x14ac:dyDescent="0.2">
      <c r="A2353" s="2" t="s">
        <v>3511</v>
      </c>
      <c r="B2353" s="2" t="s">
        <v>461</v>
      </c>
      <c r="C2353" s="2">
        <v>680.01509999999996</v>
      </c>
      <c r="D2353" s="2">
        <f>HYPERLINK("http://mcb-m6.bioreg.kyushu-u.ac.jp/M3/20110502/F51170/1755/1", 44.63)</f>
        <v>44.63</v>
      </c>
      <c r="E2353" s="2">
        <v>9.41</v>
      </c>
      <c r="F2353" s="2">
        <v>2</v>
      </c>
      <c r="G2353" s="2" t="s">
        <v>13</v>
      </c>
    </row>
    <row r="2354" spans="1:9" x14ac:dyDescent="0.2">
      <c r="A2354" s="2" t="s">
        <v>3511</v>
      </c>
      <c r="B2354" s="2" t="s">
        <v>352</v>
      </c>
      <c r="C2354" s="2">
        <v>850.94759999999997</v>
      </c>
      <c r="D2354" s="2">
        <f>HYPERLINK("http://mcb-m6.bioreg.kyushu-u.ac.jp/M3/20110502/F51187/2150/1", 46.45)</f>
        <v>46.45</v>
      </c>
      <c r="E2354" s="2">
        <v>29.66</v>
      </c>
      <c r="F2354" s="2">
        <v>2</v>
      </c>
      <c r="G2354" s="2" t="s">
        <v>13</v>
      </c>
      <c r="H2354" s="2" t="s">
        <v>4925</v>
      </c>
      <c r="I2354" s="2" t="s">
        <v>4914</v>
      </c>
    </row>
    <row r="2355" spans="1:9" x14ac:dyDescent="0.2">
      <c r="A2355" s="2" t="s">
        <v>3511</v>
      </c>
      <c r="B2355" s="2" t="s">
        <v>352</v>
      </c>
      <c r="C2355" s="2">
        <v>842.9606</v>
      </c>
      <c r="D2355" s="2">
        <f>HYPERLINK("http://mcb-m6.bioreg.kyushu-u.ac.jp/M3/20110502/F51187/2101/1", 82.96)</f>
        <v>82.96</v>
      </c>
      <c r="E2355" s="2">
        <v>52.32</v>
      </c>
      <c r="F2355" s="2">
        <v>2</v>
      </c>
      <c r="G2355" s="2" t="s">
        <v>13</v>
      </c>
      <c r="I2355" s="2" t="s">
        <v>4914</v>
      </c>
    </row>
    <row r="2356" spans="1:9" x14ac:dyDescent="0.2">
      <c r="A2356" s="2" t="s">
        <v>3511</v>
      </c>
      <c r="B2356" s="2" t="s">
        <v>352</v>
      </c>
      <c r="C2356" s="2">
        <v>843.13710000000003</v>
      </c>
      <c r="D2356" s="2">
        <f>HYPERLINK("http://mcb-m6.bioreg.kyushu-u.ac.jp/M3/20110502/F51191/2107/1", 39.1)</f>
        <v>39.1</v>
      </c>
      <c r="E2356" s="2">
        <v>18.559999999999999</v>
      </c>
      <c r="F2356" s="2">
        <v>2</v>
      </c>
      <c r="G2356" s="2" t="s">
        <v>14</v>
      </c>
      <c r="I2356" s="2" t="s">
        <v>4914</v>
      </c>
    </row>
    <row r="2357" spans="1:9" x14ac:dyDescent="0.2">
      <c r="A2357" s="2" t="s">
        <v>3511</v>
      </c>
      <c r="B2357" s="2" t="s">
        <v>352</v>
      </c>
      <c r="C2357" s="2">
        <v>843.0847</v>
      </c>
      <c r="D2357" s="2">
        <f>HYPERLINK("http://mcb-m6.bioreg.kyushu-u.ac.jp/M3/20110502/F51179/2354/1", 45.38)</f>
        <v>45.38</v>
      </c>
      <c r="E2357" s="2">
        <v>23.77</v>
      </c>
      <c r="F2357" s="2">
        <v>2</v>
      </c>
      <c r="G2357" s="2" t="s">
        <v>14</v>
      </c>
      <c r="I2357" s="2" t="s">
        <v>4914</v>
      </c>
    </row>
    <row r="2358" spans="1:9" x14ac:dyDescent="0.2">
      <c r="A2358" s="2" t="s">
        <v>3511</v>
      </c>
      <c r="B2358" s="2" t="s">
        <v>533</v>
      </c>
      <c r="C2358" s="2">
        <v>1230.884</v>
      </c>
      <c r="D2358" s="2">
        <f>HYPERLINK("http://mcb-m6.bioreg.kyushu-u.ac.jp/M3/20110502/F51191/1199/1", 51.3)</f>
        <v>51.3</v>
      </c>
      <c r="E2358" s="2">
        <v>27.22</v>
      </c>
      <c r="F2358" s="2">
        <v>1</v>
      </c>
      <c r="G2358" s="2" t="s">
        <v>14</v>
      </c>
    </row>
    <row r="2359" spans="1:9" x14ac:dyDescent="0.2">
      <c r="A2359" s="2" t="s">
        <v>3511</v>
      </c>
      <c r="B2359" s="2" t="s">
        <v>352</v>
      </c>
      <c r="C2359" s="2">
        <v>850.95420000000001</v>
      </c>
      <c r="D2359" s="2">
        <f>HYPERLINK("http://mcb-m6.bioreg.kyushu-u.ac.jp/M3/20110502/F51191/2155/1", 54.14)</f>
        <v>54.14</v>
      </c>
      <c r="E2359" s="2">
        <v>38.15</v>
      </c>
      <c r="F2359" s="2">
        <v>2</v>
      </c>
      <c r="G2359" s="2" t="s">
        <v>14</v>
      </c>
      <c r="H2359" s="2" t="s">
        <v>4925</v>
      </c>
      <c r="I2359" s="2" t="s">
        <v>4914</v>
      </c>
    </row>
    <row r="2360" spans="1:9" x14ac:dyDescent="0.2">
      <c r="A2360" s="2" t="s">
        <v>3511</v>
      </c>
      <c r="B2360" s="2" t="s">
        <v>352</v>
      </c>
      <c r="C2360" s="2">
        <v>843.05719999999997</v>
      </c>
      <c r="D2360" s="2">
        <f>HYPERLINK("http://mcb-m6.bioreg.kyushu-u.ac.jp/M3/20110502/F51191/2106/1", 56.39)</f>
        <v>56.39</v>
      </c>
      <c r="E2360" s="2">
        <v>32.08</v>
      </c>
      <c r="F2360" s="2">
        <v>2</v>
      </c>
      <c r="G2360" s="2" t="s">
        <v>14</v>
      </c>
      <c r="I2360" s="2" t="s">
        <v>4914</v>
      </c>
    </row>
    <row r="2361" spans="1:9" x14ac:dyDescent="0.2">
      <c r="A2361" s="2" t="s">
        <v>3511</v>
      </c>
      <c r="B2361" s="2" t="s">
        <v>461</v>
      </c>
      <c r="C2361" s="2">
        <v>680.19460000000004</v>
      </c>
      <c r="D2361" s="2">
        <f>HYPERLINK("http://mcb-m6.bioreg.kyushu-u.ac.jp/M3/20110502/F51191/1435/1", 71.23)</f>
        <v>71.23</v>
      </c>
      <c r="E2361" s="2">
        <v>33.200000000000003</v>
      </c>
      <c r="F2361" s="2">
        <v>2</v>
      </c>
      <c r="G2361" s="2" t="s">
        <v>14</v>
      </c>
    </row>
    <row r="2362" spans="1:9" x14ac:dyDescent="0.2">
      <c r="A2362" s="2" t="s">
        <v>4735</v>
      </c>
      <c r="B2362" s="2" t="s">
        <v>2956</v>
      </c>
      <c r="C2362" s="2">
        <v>864.55160000000001</v>
      </c>
      <c r="D2362" s="2">
        <f>HYPERLINK("http://mcb-m6.bioreg.kyushu-u.ac.jp/M3/20110502/F51174/2393/1", 86.35)</f>
        <v>86.35</v>
      </c>
      <c r="E2362" s="2">
        <v>68.64</v>
      </c>
      <c r="F2362" s="2">
        <v>2</v>
      </c>
      <c r="G2362" s="2" t="s">
        <v>13</v>
      </c>
    </row>
    <row r="2363" spans="1:9" x14ac:dyDescent="0.2">
      <c r="A2363" s="2" t="s">
        <v>4735</v>
      </c>
      <c r="B2363" s="2" t="s">
        <v>2956</v>
      </c>
      <c r="C2363" s="2">
        <v>864.2242</v>
      </c>
      <c r="D2363" s="2">
        <f>HYPERLINK("http://mcb-m6.bioreg.kyushu-u.ac.jp/M3/20110502/F51185/2478/1", 101.72)</f>
        <v>101.72</v>
      </c>
      <c r="E2363" s="2">
        <v>85.09</v>
      </c>
      <c r="F2363" s="2">
        <v>2</v>
      </c>
      <c r="G2363" s="2" t="s">
        <v>14</v>
      </c>
    </row>
    <row r="2364" spans="1:9" x14ac:dyDescent="0.2">
      <c r="A2364" s="2" t="s">
        <v>3905</v>
      </c>
      <c r="B2364" s="2" t="s">
        <v>1063</v>
      </c>
      <c r="C2364" s="2">
        <v>582.36969999999997</v>
      </c>
      <c r="D2364" s="2">
        <f>HYPERLINK("http://mcb-m6.bioreg.kyushu-u.ac.jp/M3/20110411/F50892/1578/1", 61.03)</f>
        <v>61.03</v>
      </c>
      <c r="E2364" s="2">
        <v>25.89</v>
      </c>
      <c r="F2364" s="2">
        <v>2</v>
      </c>
      <c r="G2364" s="2" t="s">
        <v>9</v>
      </c>
    </row>
    <row r="2365" spans="1:9" x14ac:dyDescent="0.2">
      <c r="A2365" s="2" t="s">
        <v>3905</v>
      </c>
      <c r="B2365" s="2" t="s">
        <v>1093</v>
      </c>
      <c r="C2365" s="2">
        <v>826.50019999999995</v>
      </c>
      <c r="D2365" s="2">
        <f>HYPERLINK("http://mcb-m6.bioreg.kyushu-u.ac.jp/M3/20110411/F50892/2568/1", 62.52)</f>
        <v>62.52</v>
      </c>
      <c r="E2365" s="2">
        <v>38.94</v>
      </c>
      <c r="F2365" s="2">
        <v>2</v>
      </c>
      <c r="G2365" s="2" t="s">
        <v>9</v>
      </c>
    </row>
    <row r="2366" spans="1:9" x14ac:dyDescent="0.2">
      <c r="A2366" s="2" t="s">
        <v>3905</v>
      </c>
      <c r="B2366" s="2" t="s">
        <v>1063</v>
      </c>
      <c r="C2366" s="2">
        <v>581.82209999999998</v>
      </c>
      <c r="D2366" s="2">
        <f>HYPERLINK("http://mcb-m6.bioreg.kyushu-u.ac.jp/M3/20110411/F50892/1571/1", 63.18)</f>
        <v>63.18</v>
      </c>
      <c r="E2366" s="2">
        <v>27.8</v>
      </c>
      <c r="F2366" s="2">
        <v>2</v>
      </c>
      <c r="G2366" s="2" t="s">
        <v>9</v>
      </c>
    </row>
    <row r="2367" spans="1:9" x14ac:dyDescent="0.2">
      <c r="A2367" s="2" t="s">
        <v>3905</v>
      </c>
      <c r="B2367" s="2" t="s">
        <v>1184</v>
      </c>
      <c r="C2367" s="2">
        <v>781.5652</v>
      </c>
      <c r="D2367" s="2">
        <f>HYPERLINK("http://mcb-m6.bioreg.kyushu-u.ac.jp/M3/20110411/F50892/2405/1", 66.33)</f>
        <v>66.33</v>
      </c>
      <c r="E2367" s="2">
        <v>46.92</v>
      </c>
      <c r="F2367" s="2">
        <v>2</v>
      </c>
      <c r="G2367" s="2" t="s">
        <v>9</v>
      </c>
    </row>
    <row r="2368" spans="1:9" x14ac:dyDescent="0.2">
      <c r="A2368" s="2" t="s">
        <v>3905</v>
      </c>
      <c r="B2368" s="2" t="s">
        <v>2498</v>
      </c>
      <c r="C2368" s="2">
        <v>704.3691</v>
      </c>
      <c r="D2368" s="2">
        <f>HYPERLINK("http://mcb-m6.bioreg.kyushu-u.ac.jp/M3/20110414/F50945/1810/1", 86.29)</f>
        <v>86.29</v>
      </c>
      <c r="E2368" s="2">
        <v>72.430000000000007</v>
      </c>
      <c r="F2368" s="2">
        <v>2</v>
      </c>
      <c r="G2368" s="2" t="s">
        <v>11</v>
      </c>
    </row>
    <row r="2369" spans="1:9" x14ac:dyDescent="0.2">
      <c r="A2369" s="2" t="s">
        <v>3905</v>
      </c>
      <c r="B2369" s="2" t="s">
        <v>2498</v>
      </c>
      <c r="C2369" s="2">
        <v>704.29859999999996</v>
      </c>
      <c r="D2369" s="2">
        <f>HYPERLINK("http://mcb-m6.bioreg.kyushu-u.ac.jp/M3/20110414/F50946/1739/1", 91.25)</f>
        <v>91.25</v>
      </c>
      <c r="E2369" s="2">
        <v>74.849999999999994</v>
      </c>
      <c r="F2369" s="2">
        <v>2</v>
      </c>
      <c r="G2369" s="2" t="s">
        <v>12</v>
      </c>
    </row>
    <row r="2370" spans="1:9" x14ac:dyDescent="0.2">
      <c r="A2370" s="2" t="s">
        <v>3905</v>
      </c>
      <c r="B2370" s="2" t="s">
        <v>2498</v>
      </c>
      <c r="C2370" s="2">
        <v>704.56769999999995</v>
      </c>
      <c r="D2370" s="2">
        <f>HYPERLINK("http://mcb-m6.bioreg.kyushu-u.ac.jp/M3/20110502/F51180/1587/1", 86.83)</f>
        <v>86.83</v>
      </c>
      <c r="E2370" s="2">
        <v>65.819999999999993</v>
      </c>
      <c r="F2370" s="2">
        <v>2</v>
      </c>
      <c r="G2370" s="2" t="s">
        <v>13</v>
      </c>
    </row>
    <row r="2371" spans="1:9" x14ac:dyDescent="0.2">
      <c r="A2371" s="2" t="s">
        <v>3905</v>
      </c>
      <c r="B2371" s="2" t="s">
        <v>2498</v>
      </c>
      <c r="C2371" s="2">
        <v>704.66560000000004</v>
      </c>
      <c r="D2371" s="2">
        <f>HYPERLINK("http://mcb-m6.bioreg.kyushu-u.ac.jp/M3/20110502/F51182/1630/1", 91.02)</f>
        <v>91.02</v>
      </c>
      <c r="E2371" s="2">
        <v>62.97</v>
      </c>
      <c r="F2371" s="2">
        <v>2</v>
      </c>
      <c r="G2371" s="2" t="s">
        <v>14</v>
      </c>
    </row>
    <row r="2372" spans="1:9" x14ac:dyDescent="0.2">
      <c r="A2372" s="2" t="s">
        <v>4062</v>
      </c>
      <c r="B2372" s="2" t="s">
        <v>1428</v>
      </c>
      <c r="C2372" s="2">
        <v>748.86519999999996</v>
      </c>
      <c r="D2372" s="2">
        <f>HYPERLINK("http://mcb-m6.bioreg.kyushu-u.ac.jp/M3/20110411/F50892/2260/1", 79.77)</f>
        <v>79.77</v>
      </c>
      <c r="E2372" s="2">
        <v>62.71</v>
      </c>
      <c r="F2372" s="2">
        <v>2</v>
      </c>
      <c r="G2372" s="2" t="s">
        <v>9</v>
      </c>
      <c r="I2372" s="2" t="s">
        <v>4914</v>
      </c>
    </row>
    <row r="2373" spans="1:9" x14ac:dyDescent="0.2">
      <c r="A2373" s="2" t="s">
        <v>4062</v>
      </c>
      <c r="B2373" s="2" t="s">
        <v>1428</v>
      </c>
      <c r="C2373" s="2">
        <v>748.78420000000006</v>
      </c>
      <c r="D2373" s="2">
        <f>HYPERLINK("http://mcb-m6.bioreg.kyushu-u.ac.jp/M3/20110502/F51181/1892/1", 44.79)</f>
        <v>44.79</v>
      </c>
      <c r="E2373" s="2">
        <v>33.94</v>
      </c>
      <c r="F2373" s="2">
        <v>2</v>
      </c>
      <c r="G2373" s="2" t="s">
        <v>14</v>
      </c>
      <c r="I2373" s="2" t="s">
        <v>4914</v>
      </c>
    </row>
    <row r="2374" spans="1:9" x14ac:dyDescent="0.2">
      <c r="A2374" s="2" t="s">
        <v>3708</v>
      </c>
      <c r="B2374" s="2" t="s">
        <v>691</v>
      </c>
      <c r="C2374" s="2">
        <v>591.7672</v>
      </c>
      <c r="D2374" s="2">
        <f>HYPERLINK("http://mcb-m6.bioreg.kyushu-u.ac.jp/M3/20110411/F50892/1612/1", 48.49)</f>
        <v>48.49</v>
      </c>
      <c r="E2374" s="2">
        <v>35.06</v>
      </c>
      <c r="F2374" s="2">
        <v>2</v>
      </c>
      <c r="G2374" s="2" t="s">
        <v>9</v>
      </c>
    </row>
    <row r="2375" spans="1:9" x14ac:dyDescent="0.2">
      <c r="A2375" s="2" t="s">
        <v>4104</v>
      </c>
      <c r="B2375" s="2" t="s">
        <v>1579</v>
      </c>
      <c r="C2375" s="2">
        <v>835.90470000000005</v>
      </c>
      <c r="D2375" s="2">
        <f>HYPERLINK("http://mcb-m6.bioreg.kyushu-u.ac.jp/M3/20110411/F50892/2604/1", 94.86)</f>
        <v>94.86</v>
      </c>
      <c r="E2375" s="2">
        <v>78.45</v>
      </c>
      <c r="F2375" s="2">
        <v>2</v>
      </c>
      <c r="G2375" s="2" t="s">
        <v>9</v>
      </c>
    </row>
    <row r="2376" spans="1:9" x14ac:dyDescent="0.2">
      <c r="A2376" s="2" t="s">
        <v>4541</v>
      </c>
      <c r="B2376" s="2" t="s">
        <v>2569</v>
      </c>
      <c r="C2376" s="2">
        <v>831.42219999999998</v>
      </c>
      <c r="D2376" s="2">
        <f>HYPERLINK("http://mcb-m6.bioreg.kyushu-u.ac.jp/M3/20110414/F50946/2475/1", 38.26)</f>
        <v>38.26</v>
      </c>
      <c r="E2376" s="2">
        <v>29.46</v>
      </c>
      <c r="F2376" s="2">
        <v>2</v>
      </c>
      <c r="G2376" s="2" t="s">
        <v>12</v>
      </c>
    </row>
    <row r="2377" spans="1:9" x14ac:dyDescent="0.2">
      <c r="A2377" s="2" t="s">
        <v>4541</v>
      </c>
      <c r="B2377" s="2" t="s">
        <v>2569</v>
      </c>
      <c r="C2377" s="2">
        <v>830.83320000000003</v>
      </c>
      <c r="D2377" s="2">
        <f>HYPERLINK("http://mcb-m6.bioreg.kyushu-u.ac.jp/M3/20110414/F50946/2470/1", 54.44)</f>
        <v>54.44</v>
      </c>
      <c r="E2377" s="2">
        <v>45.28</v>
      </c>
      <c r="F2377" s="2">
        <v>2</v>
      </c>
      <c r="G2377" s="2" t="s">
        <v>12</v>
      </c>
    </row>
    <row r="2378" spans="1:9" x14ac:dyDescent="0.2">
      <c r="A2378" s="2" t="s">
        <v>4729</v>
      </c>
      <c r="B2378" s="2" t="s">
        <v>2941</v>
      </c>
      <c r="C2378" s="2">
        <v>650.10419999999999</v>
      </c>
      <c r="D2378" s="2">
        <f>HYPERLINK("http://mcb-m6.bioreg.kyushu-u.ac.jp/M3/20110502/F51180/1299/1", 64.4)</f>
        <v>64.400000000000006</v>
      </c>
      <c r="E2378" s="2">
        <v>38.299999999999997</v>
      </c>
      <c r="F2378" s="2">
        <v>2</v>
      </c>
      <c r="G2378" s="2" t="s">
        <v>13</v>
      </c>
    </row>
    <row r="2379" spans="1:9" x14ac:dyDescent="0.2">
      <c r="A2379" s="2" t="s">
        <v>4562</v>
      </c>
      <c r="B2379" s="2" t="s">
        <v>2599</v>
      </c>
      <c r="C2379" s="2">
        <v>639.87270000000001</v>
      </c>
      <c r="D2379" s="2">
        <f>HYPERLINK("http://mcb-m6.bioreg.kyushu-u.ac.jp/M3/20110414/F50946/1484/1", 41.02)</f>
        <v>41.02</v>
      </c>
      <c r="E2379" s="2">
        <v>17.25</v>
      </c>
      <c r="F2379" s="2">
        <v>2</v>
      </c>
      <c r="G2379" s="2" t="s">
        <v>12</v>
      </c>
    </row>
    <row r="2380" spans="1:9" x14ac:dyDescent="0.2">
      <c r="A2380" s="2" t="s">
        <v>4602</v>
      </c>
      <c r="B2380" s="2" t="s">
        <v>2699</v>
      </c>
      <c r="C2380" s="2">
        <v>790.45870000000002</v>
      </c>
      <c r="D2380" s="2">
        <f>HYPERLINK("http://mcb-m6.bioreg.kyushu-u.ac.jp/M3/20110414/F50948/2433/1", 56.04)</f>
        <v>56.04</v>
      </c>
      <c r="E2380" s="2">
        <v>27.14</v>
      </c>
      <c r="F2380" s="2">
        <v>2</v>
      </c>
      <c r="G2380" s="2" t="s">
        <v>12</v>
      </c>
    </row>
    <row r="2381" spans="1:9" x14ac:dyDescent="0.2">
      <c r="A2381" s="2" t="s">
        <v>3316</v>
      </c>
      <c r="B2381" s="2" t="s">
        <v>100</v>
      </c>
      <c r="C2381" s="2">
        <v>1080.7860000000001</v>
      </c>
      <c r="D2381" s="2">
        <f>HYPERLINK("http://mcb-m6.bioreg.kyushu-u.ac.jp/M3/20110411/F50904/1247/1", 36.07)</f>
        <v>36.07</v>
      </c>
      <c r="E2381" s="2">
        <v>16.52</v>
      </c>
      <c r="F2381" s="2">
        <v>1</v>
      </c>
      <c r="G2381" s="2" t="s">
        <v>9</v>
      </c>
    </row>
    <row r="2382" spans="1:9" x14ac:dyDescent="0.2">
      <c r="A2382" s="2" t="s">
        <v>3316</v>
      </c>
      <c r="B2382" s="2" t="s">
        <v>220</v>
      </c>
      <c r="C2382" s="2">
        <v>1214.83</v>
      </c>
      <c r="D2382" s="2">
        <f>HYPERLINK("http://mcb-m6.bioreg.kyushu-u.ac.jp/M3/20110411/F50904/1460/1", 38.03)</f>
        <v>38.03</v>
      </c>
      <c r="E2382" s="2">
        <v>12.78</v>
      </c>
      <c r="F2382" s="2">
        <v>1</v>
      </c>
      <c r="G2382" s="2" t="s">
        <v>9</v>
      </c>
    </row>
    <row r="2383" spans="1:9" x14ac:dyDescent="0.2">
      <c r="A2383" s="2" t="s">
        <v>3316</v>
      </c>
      <c r="B2383" s="2" t="s">
        <v>229</v>
      </c>
      <c r="C2383" s="2">
        <v>947.63499999999999</v>
      </c>
      <c r="D2383" s="2">
        <f>HYPERLINK("http://mcb-m6.bioreg.kyushu-u.ac.jp/M3/20110411/F50905/883/1", 38.19)</f>
        <v>38.19</v>
      </c>
      <c r="E2383" s="2">
        <v>8.2799999999999994</v>
      </c>
      <c r="F2383" s="2">
        <v>1</v>
      </c>
      <c r="G2383" s="2" t="s">
        <v>9</v>
      </c>
    </row>
    <row r="2384" spans="1:9" x14ac:dyDescent="0.2">
      <c r="A2384" s="2" t="s">
        <v>3316</v>
      </c>
      <c r="B2384" s="2" t="s">
        <v>432</v>
      </c>
      <c r="C2384" s="2">
        <v>1041.595</v>
      </c>
      <c r="D2384" s="2">
        <f>HYPERLINK("http://mcb-m6.bioreg.kyushu-u.ac.jp/M3/20110411/F50904/1186/1", 41.73)</f>
        <v>41.73</v>
      </c>
      <c r="E2384" s="2">
        <v>18.2</v>
      </c>
      <c r="F2384" s="2">
        <v>1</v>
      </c>
      <c r="G2384" s="2" t="s">
        <v>9</v>
      </c>
    </row>
    <row r="2385" spans="1:9" x14ac:dyDescent="0.2">
      <c r="A2385" s="2" t="s">
        <v>3316</v>
      </c>
      <c r="B2385" s="2" t="s">
        <v>220</v>
      </c>
      <c r="C2385" s="2">
        <v>1214.7819999999999</v>
      </c>
      <c r="D2385" s="2">
        <f>HYPERLINK("http://mcb-m6.bioreg.kyushu-u.ac.jp/M3/20110411/F50905/1392/1", 42.3)</f>
        <v>42.3</v>
      </c>
      <c r="E2385" s="2">
        <v>13.77</v>
      </c>
      <c r="F2385" s="2">
        <v>1</v>
      </c>
      <c r="G2385" s="2" t="s">
        <v>9</v>
      </c>
    </row>
    <row r="2386" spans="1:9" x14ac:dyDescent="0.2">
      <c r="A2386" s="2" t="s">
        <v>3316</v>
      </c>
      <c r="B2386" s="2" t="s">
        <v>603</v>
      </c>
      <c r="C2386" s="2">
        <v>669.91610000000003</v>
      </c>
      <c r="D2386" s="2">
        <f>HYPERLINK("http://mcb-m6.bioreg.kyushu-u.ac.jp/M3/20110411/F50905/1654/1", 46.01)</f>
        <v>46.01</v>
      </c>
      <c r="E2386" s="2">
        <v>29.25</v>
      </c>
      <c r="F2386" s="2">
        <v>2</v>
      </c>
      <c r="G2386" s="2" t="s">
        <v>9</v>
      </c>
      <c r="I2386" s="2" t="s">
        <v>4926</v>
      </c>
    </row>
    <row r="2387" spans="1:9" x14ac:dyDescent="0.2">
      <c r="A2387" s="2" t="s">
        <v>3316</v>
      </c>
      <c r="B2387" s="2" t="s">
        <v>639</v>
      </c>
      <c r="C2387" s="2">
        <v>497.46449999999999</v>
      </c>
      <c r="D2387" s="2">
        <f>HYPERLINK("http://mcb-m6.bioreg.kyushu-u.ac.jp/M3/20110411/F50904/2069/1", 46.88)</f>
        <v>46.88</v>
      </c>
      <c r="E2387" s="2">
        <v>20.53</v>
      </c>
      <c r="F2387" s="2">
        <v>3</v>
      </c>
      <c r="G2387" s="2" t="s">
        <v>9</v>
      </c>
      <c r="H2387" s="2" t="s">
        <v>4917</v>
      </c>
    </row>
    <row r="2388" spans="1:9" x14ac:dyDescent="0.2">
      <c r="A2388" s="2" t="s">
        <v>3316</v>
      </c>
      <c r="B2388" s="2" t="s">
        <v>775</v>
      </c>
      <c r="C2388" s="2">
        <v>622.41819999999996</v>
      </c>
      <c r="D2388" s="2">
        <f>HYPERLINK("http://mcb-m6.bioreg.kyushu-u.ac.jp/M3/20110411/F50905/1466/1", 50.74)</f>
        <v>50.74</v>
      </c>
      <c r="E2388" s="2">
        <v>33.74</v>
      </c>
      <c r="F2388" s="2">
        <v>2</v>
      </c>
      <c r="G2388" s="2" t="s">
        <v>9</v>
      </c>
      <c r="I2388" s="2" t="s">
        <v>4905</v>
      </c>
    </row>
    <row r="2389" spans="1:9" x14ac:dyDescent="0.2">
      <c r="A2389" s="2" t="s">
        <v>3316</v>
      </c>
      <c r="B2389" s="2" t="s">
        <v>790</v>
      </c>
      <c r="C2389" s="2">
        <v>828.0992</v>
      </c>
      <c r="D2389" s="2">
        <f>HYPERLINK("http://mcb-m6.bioreg.kyushu-u.ac.jp/M3/20110411/F50904/3781/1", 51.39)</f>
        <v>51.39</v>
      </c>
      <c r="E2389" s="2">
        <v>35.18</v>
      </c>
      <c r="F2389" s="2">
        <v>3</v>
      </c>
      <c r="G2389" s="2" t="s">
        <v>9</v>
      </c>
    </row>
    <row r="2390" spans="1:9" x14ac:dyDescent="0.2">
      <c r="A2390" s="2" t="s">
        <v>3316</v>
      </c>
      <c r="B2390" s="2" t="s">
        <v>432</v>
      </c>
      <c r="C2390" s="2">
        <v>521.45510000000002</v>
      </c>
      <c r="D2390" s="2">
        <f>HYPERLINK("http://mcb-m6.bioreg.kyushu-u.ac.jp/M3/20110411/F50905/1039/1", 51.8)</f>
        <v>51.8</v>
      </c>
      <c r="E2390" s="2">
        <v>24.49</v>
      </c>
      <c r="F2390" s="2">
        <v>2</v>
      </c>
      <c r="G2390" s="2" t="s">
        <v>9</v>
      </c>
    </row>
    <row r="2391" spans="1:9" x14ac:dyDescent="0.2">
      <c r="A2391" s="2" t="s">
        <v>3316</v>
      </c>
      <c r="B2391" s="2" t="s">
        <v>432</v>
      </c>
      <c r="C2391" s="2">
        <v>529.43020000000001</v>
      </c>
      <c r="D2391" s="2">
        <f>HYPERLINK("http://mcb-m6.bioreg.kyushu-u.ac.jp/M3/20110411/F50904/1219/1", 52.91)</f>
        <v>52.91</v>
      </c>
      <c r="E2391" s="2">
        <v>24.41</v>
      </c>
      <c r="F2391" s="2">
        <v>2</v>
      </c>
      <c r="G2391" s="2" t="s">
        <v>9</v>
      </c>
      <c r="H2391" s="2" t="s">
        <v>4917</v>
      </c>
    </row>
    <row r="2392" spans="1:9" x14ac:dyDescent="0.2">
      <c r="A2392" s="2" t="s">
        <v>3316</v>
      </c>
      <c r="B2392" s="2" t="s">
        <v>983</v>
      </c>
      <c r="C2392" s="2">
        <v>596.62459999999999</v>
      </c>
      <c r="D2392" s="2">
        <f>HYPERLINK("http://mcb-m6.bioreg.kyushu-u.ac.jp/M3/20110411/F50905/1343/1", 57.83)</f>
        <v>57.83</v>
      </c>
      <c r="E2392" s="2">
        <v>22.02</v>
      </c>
      <c r="F2392" s="2">
        <v>2</v>
      </c>
      <c r="G2392" s="2" t="s">
        <v>9</v>
      </c>
      <c r="H2392" s="2" t="s">
        <v>4904</v>
      </c>
    </row>
    <row r="2393" spans="1:9" x14ac:dyDescent="0.2">
      <c r="A2393" s="2" t="s">
        <v>3316</v>
      </c>
      <c r="B2393" s="2" t="s">
        <v>1031</v>
      </c>
      <c r="C2393" s="2">
        <v>641.42909999999995</v>
      </c>
      <c r="D2393" s="2">
        <f>HYPERLINK("http://mcb-m6.bioreg.kyushu-u.ac.jp/M3/20110411/F50905/1532/1", 59.53)</f>
        <v>59.53</v>
      </c>
      <c r="E2393" s="2">
        <v>32.799999999999997</v>
      </c>
      <c r="F2393" s="2">
        <v>2</v>
      </c>
      <c r="G2393" s="2" t="s">
        <v>9</v>
      </c>
    </row>
    <row r="2394" spans="1:9" x14ac:dyDescent="0.2">
      <c r="A2394" s="2" t="s">
        <v>3316</v>
      </c>
      <c r="B2394" s="2" t="s">
        <v>775</v>
      </c>
      <c r="C2394" s="2">
        <v>622.40120000000002</v>
      </c>
      <c r="D2394" s="2">
        <f>HYPERLINK("http://mcb-m6.bioreg.kyushu-u.ac.jp/M3/20110411/F50904/1519/1", 59.87)</f>
        <v>59.87</v>
      </c>
      <c r="E2394" s="2">
        <v>28.86</v>
      </c>
      <c r="F2394" s="2">
        <v>2</v>
      </c>
      <c r="G2394" s="2" t="s">
        <v>9</v>
      </c>
      <c r="I2394" s="2" t="s">
        <v>4905</v>
      </c>
    </row>
    <row r="2395" spans="1:9" x14ac:dyDescent="0.2">
      <c r="A2395" s="2" t="s">
        <v>3316</v>
      </c>
      <c r="B2395" s="2" t="s">
        <v>229</v>
      </c>
      <c r="C2395" s="2">
        <v>474.81959999999998</v>
      </c>
      <c r="D2395" s="2">
        <f>HYPERLINK("http://mcb-m6.bioreg.kyushu-u.ac.jp/M3/20110411/F50905/884/1", 61.02)</f>
        <v>61.02</v>
      </c>
      <c r="E2395" s="2">
        <v>25.16</v>
      </c>
      <c r="F2395" s="2">
        <v>2</v>
      </c>
      <c r="G2395" s="2" t="s">
        <v>9</v>
      </c>
    </row>
    <row r="2396" spans="1:9" x14ac:dyDescent="0.2">
      <c r="A2396" s="2" t="s">
        <v>3316</v>
      </c>
      <c r="B2396" s="2" t="s">
        <v>603</v>
      </c>
      <c r="C2396" s="2">
        <v>669.89670000000001</v>
      </c>
      <c r="D2396" s="2">
        <f>HYPERLINK("http://mcb-m6.bioreg.kyushu-u.ac.jp/M3/20110411/F50904/1688/1", 61.59)</f>
        <v>61.59</v>
      </c>
      <c r="E2396" s="2">
        <v>42.47</v>
      </c>
      <c r="F2396" s="2">
        <v>2</v>
      </c>
      <c r="G2396" s="2" t="s">
        <v>9</v>
      </c>
      <c r="I2396" s="2" t="s">
        <v>4926</v>
      </c>
    </row>
    <row r="2397" spans="1:9" x14ac:dyDescent="0.2">
      <c r="A2397" s="2" t="s">
        <v>3316</v>
      </c>
      <c r="B2397" s="2" t="s">
        <v>1031</v>
      </c>
      <c r="C2397" s="2">
        <v>649.45420000000001</v>
      </c>
      <c r="D2397" s="2">
        <f>HYPERLINK("http://mcb-m6.bioreg.kyushu-u.ac.jp/M3/20110411/F50904/1607/1", 63.62)</f>
        <v>63.62</v>
      </c>
      <c r="E2397" s="2">
        <v>33.06</v>
      </c>
      <c r="F2397" s="2">
        <v>2</v>
      </c>
      <c r="G2397" s="2" t="s">
        <v>9</v>
      </c>
      <c r="H2397" s="2" t="s">
        <v>4919</v>
      </c>
    </row>
    <row r="2398" spans="1:9" x14ac:dyDescent="0.2">
      <c r="A2398" s="2" t="s">
        <v>3316</v>
      </c>
      <c r="B2398" s="2" t="s">
        <v>100</v>
      </c>
      <c r="C2398" s="2">
        <v>1063.7159999999999</v>
      </c>
      <c r="D2398" s="2">
        <f>HYPERLINK("http://mcb-m6.bioreg.kyushu-u.ac.jp/M3/20110411/F50904/1229/1", 63.74)</f>
        <v>63.74</v>
      </c>
      <c r="E2398" s="2">
        <v>37.17</v>
      </c>
      <c r="F2398" s="2">
        <v>1</v>
      </c>
      <c r="G2398" s="2" t="s">
        <v>9</v>
      </c>
      <c r="H2398" s="2" t="s">
        <v>4904</v>
      </c>
    </row>
    <row r="2399" spans="1:9" x14ac:dyDescent="0.2">
      <c r="A2399" s="2" t="s">
        <v>3316</v>
      </c>
      <c r="B2399" s="2" t="s">
        <v>1194</v>
      </c>
      <c r="C2399" s="2">
        <v>1222.816</v>
      </c>
      <c r="D2399" s="2">
        <f>HYPERLINK("http://mcb-m6.bioreg.kyushu-u.ac.jp/M3/20110411/F50905/3958/1", 66.87)</f>
        <v>66.87</v>
      </c>
      <c r="E2399" s="2">
        <v>58.06</v>
      </c>
      <c r="F2399" s="2">
        <v>2</v>
      </c>
      <c r="G2399" s="2" t="s">
        <v>9</v>
      </c>
    </row>
    <row r="2400" spans="1:9" x14ac:dyDescent="0.2">
      <c r="A2400" s="2" t="s">
        <v>3316</v>
      </c>
      <c r="B2400" s="2" t="s">
        <v>1031</v>
      </c>
      <c r="C2400" s="2">
        <v>649.35820000000001</v>
      </c>
      <c r="D2400" s="2">
        <f>HYPERLINK("http://mcb-m6.bioreg.kyushu-u.ac.jp/M3/20110411/F50905/1557/1", 70.84)</f>
        <v>70.84</v>
      </c>
      <c r="E2400" s="2">
        <v>36.14</v>
      </c>
      <c r="F2400" s="2">
        <v>2</v>
      </c>
      <c r="G2400" s="2" t="s">
        <v>9</v>
      </c>
      <c r="H2400" s="2" t="s">
        <v>4919</v>
      </c>
    </row>
    <row r="2401" spans="1:9" x14ac:dyDescent="0.2">
      <c r="A2401" s="2" t="s">
        <v>3316</v>
      </c>
      <c r="B2401" s="2" t="s">
        <v>790</v>
      </c>
      <c r="C2401" s="2">
        <v>1241.9000000000001</v>
      </c>
      <c r="D2401" s="2">
        <f>HYPERLINK("http://mcb-m6.bioreg.kyushu-u.ac.jp/M3/20110411/F50904/3782/1", 76.2)</f>
        <v>76.2</v>
      </c>
      <c r="E2401" s="2">
        <v>64.489999999999995</v>
      </c>
      <c r="F2401" s="2">
        <v>2</v>
      </c>
      <c r="G2401" s="2" t="s">
        <v>9</v>
      </c>
    </row>
    <row r="2402" spans="1:9" x14ac:dyDescent="0.2">
      <c r="A2402" s="2" t="s">
        <v>3316</v>
      </c>
      <c r="B2402" s="2" t="s">
        <v>1523</v>
      </c>
      <c r="C2402" s="2">
        <v>771.08420000000001</v>
      </c>
      <c r="D2402" s="2">
        <f>HYPERLINK("http://mcb-m6.bioreg.kyushu-u.ac.jp/M3/20110411/F50904/2201/1", 87.91)</f>
        <v>87.91</v>
      </c>
      <c r="E2402" s="2">
        <v>66.930000000000007</v>
      </c>
      <c r="F2402" s="2">
        <v>2</v>
      </c>
      <c r="G2402" s="2" t="s">
        <v>9</v>
      </c>
      <c r="I2402" s="2" t="s">
        <v>4940</v>
      </c>
    </row>
    <row r="2403" spans="1:9" x14ac:dyDescent="0.2">
      <c r="A2403" s="2" t="s">
        <v>3316</v>
      </c>
      <c r="B2403" s="2" t="s">
        <v>1529</v>
      </c>
      <c r="C2403" s="2">
        <v>1096.6279999999999</v>
      </c>
      <c r="D2403" s="2">
        <f>HYPERLINK("http://mcb-m6.bioreg.kyushu-u.ac.jp/M3/20110411/F50905/3583/1", 88.65)</f>
        <v>88.65</v>
      </c>
      <c r="E2403" s="2">
        <v>60.79</v>
      </c>
      <c r="F2403" s="2">
        <v>2</v>
      </c>
      <c r="G2403" s="2" t="s">
        <v>9</v>
      </c>
      <c r="I2403" s="2" t="s">
        <v>4941</v>
      </c>
    </row>
    <row r="2404" spans="1:9" x14ac:dyDescent="0.2">
      <c r="A2404" s="2" t="s">
        <v>3316</v>
      </c>
      <c r="B2404" s="2" t="s">
        <v>1523</v>
      </c>
      <c r="C2404" s="2">
        <v>771.02369999999996</v>
      </c>
      <c r="D2404" s="2">
        <f>HYPERLINK("http://mcb-m6.bioreg.kyushu-u.ac.jp/M3/20110411/F50905/2216/1", 91.13)</f>
        <v>91.13</v>
      </c>
      <c r="E2404" s="2">
        <v>76.92</v>
      </c>
      <c r="F2404" s="2">
        <v>2</v>
      </c>
      <c r="G2404" s="2" t="s">
        <v>9</v>
      </c>
      <c r="I2404" s="2" t="s">
        <v>4940</v>
      </c>
    </row>
    <row r="2405" spans="1:9" x14ac:dyDescent="0.2">
      <c r="A2405" s="2" t="s">
        <v>3316</v>
      </c>
      <c r="B2405" s="2" t="s">
        <v>1577</v>
      </c>
      <c r="C2405" s="2">
        <v>885.22810000000004</v>
      </c>
      <c r="D2405" s="2">
        <f>HYPERLINK("http://mcb-m6.bioreg.kyushu-u.ac.jp/M3/20110411/F50905/2761/1", 94.08)</f>
        <v>94.08</v>
      </c>
      <c r="E2405" s="2">
        <v>71.05</v>
      </c>
      <c r="F2405" s="2">
        <v>2</v>
      </c>
      <c r="G2405" s="2" t="s">
        <v>9</v>
      </c>
    </row>
    <row r="2406" spans="1:9" x14ac:dyDescent="0.2">
      <c r="A2406" s="2" t="s">
        <v>3316</v>
      </c>
      <c r="B2406" s="2" t="s">
        <v>1577</v>
      </c>
      <c r="C2406" s="2">
        <v>885.21169999999995</v>
      </c>
      <c r="D2406" s="2">
        <f>HYPERLINK("http://mcb-m6.bioreg.kyushu-u.ac.jp/M3/20110411/F50904/2671/1", 94.82)</f>
        <v>94.82</v>
      </c>
      <c r="E2406" s="2">
        <v>78.510000000000005</v>
      </c>
      <c r="F2406" s="2">
        <v>2</v>
      </c>
      <c r="G2406" s="2" t="s">
        <v>9</v>
      </c>
    </row>
    <row r="2407" spans="1:9" x14ac:dyDescent="0.2">
      <c r="A2407" s="2" t="s">
        <v>3316</v>
      </c>
      <c r="B2407" s="2" t="s">
        <v>1194</v>
      </c>
      <c r="C2407" s="2">
        <v>1222.751</v>
      </c>
      <c r="D2407" s="2">
        <f>HYPERLINK("http://mcb-m6.bioreg.kyushu-u.ac.jp/M3/20110411/F50904/3742/1", 96.8)</f>
        <v>96.8</v>
      </c>
      <c r="E2407" s="2">
        <v>88.36</v>
      </c>
      <c r="F2407" s="2">
        <v>2</v>
      </c>
      <c r="G2407" s="2" t="s">
        <v>9</v>
      </c>
    </row>
    <row r="2408" spans="1:9" x14ac:dyDescent="0.2">
      <c r="A2408" s="2" t="s">
        <v>3316</v>
      </c>
      <c r="B2408" s="2" t="s">
        <v>1628</v>
      </c>
      <c r="C2408" s="2">
        <v>734.14670000000001</v>
      </c>
      <c r="D2408" s="2">
        <f>HYPERLINK("http://mcb-m6.bioreg.kyushu-u.ac.jp/M3/20110411/F50905/2003/1", 104.14)</f>
        <v>104.14</v>
      </c>
      <c r="E2408" s="2">
        <v>80.91</v>
      </c>
      <c r="F2408" s="2">
        <v>2</v>
      </c>
      <c r="G2408" s="2" t="s">
        <v>9</v>
      </c>
      <c r="I2408" s="2" t="s">
        <v>4914</v>
      </c>
    </row>
    <row r="2409" spans="1:9" x14ac:dyDescent="0.2">
      <c r="A2409" s="2" t="s">
        <v>3316</v>
      </c>
      <c r="B2409" s="2" t="s">
        <v>220</v>
      </c>
      <c r="C2409" s="2">
        <v>1214.7829999999999</v>
      </c>
      <c r="D2409" s="2">
        <f>HYPERLINK("http://mcb-m6.bioreg.kyushu-u.ac.jp/M3/20110411/F50912/1476/1", 38.2)</f>
        <v>38.200000000000003</v>
      </c>
      <c r="E2409" s="2">
        <v>10.130000000000001</v>
      </c>
      <c r="F2409" s="2">
        <v>1</v>
      </c>
      <c r="G2409" s="2" t="s">
        <v>10</v>
      </c>
    </row>
    <row r="2410" spans="1:9" x14ac:dyDescent="0.2">
      <c r="A2410" s="2" t="s">
        <v>3316</v>
      </c>
      <c r="B2410" s="2" t="s">
        <v>100</v>
      </c>
      <c r="C2410" s="2">
        <v>541.03470000000004</v>
      </c>
      <c r="D2410" s="2">
        <f>HYPERLINK("http://mcb-m6.bioreg.kyushu-u.ac.jp/M3/20110411/F50912/1224/1", 39.76)</f>
        <v>39.76</v>
      </c>
      <c r="E2410" s="2">
        <v>14.36</v>
      </c>
      <c r="F2410" s="2">
        <v>2</v>
      </c>
      <c r="G2410" s="2" t="s">
        <v>10</v>
      </c>
    </row>
    <row r="2411" spans="1:9" x14ac:dyDescent="0.2">
      <c r="A2411" s="2" t="s">
        <v>3316</v>
      </c>
      <c r="B2411" s="2" t="s">
        <v>775</v>
      </c>
      <c r="C2411" s="2">
        <v>622.37070000000006</v>
      </c>
      <c r="D2411" s="2">
        <f>HYPERLINK("http://mcb-m6.bioreg.kyushu-u.ac.jp/M3/20110411/F50914/1553/1", 40.87)</f>
        <v>40.869999999999997</v>
      </c>
      <c r="E2411" s="2">
        <v>28.03</v>
      </c>
      <c r="F2411" s="2">
        <v>2</v>
      </c>
      <c r="G2411" s="2" t="s">
        <v>10</v>
      </c>
      <c r="I2411" s="2" t="s">
        <v>4905</v>
      </c>
    </row>
    <row r="2412" spans="1:9" x14ac:dyDescent="0.2">
      <c r="A2412" s="2" t="s">
        <v>3316</v>
      </c>
      <c r="B2412" s="2" t="s">
        <v>432</v>
      </c>
      <c r="C2412" s="2">
        <v>521.49019999999996</v>
      </c>
      <c r="D2412" s="2">
        <f>HYPERLINK("http://mcb-m6.bioreg.kyushu-u.ac.jp/M3/20110411/F50912/1150/1", 44.31)</f>
        <v>44.31</v>
      </c>
      <c r="E2412" s="2">
        <v>14.75</v>
      </c>
      <c r="F2412" s="2">
        <v>2</v>
      </c>
      <c r="G2412" s="2" t="s">
        <v>10</v>
      </c>
    </row>
    <row r="2413" spans="1:9" x14ac:dyDescent="0.2">
      <c r="A2413" s="2" t="s">
        <v>3316</v>
      </c>
      <c r="B2413" s="2" t="s">
        <v>229</v>
      </c>
      <c r="C2413" s="2">
        <v>947.9</v>
      </c>
      <c r="D2413" s="2">
        <f>HYPERLINK("http://mcb-m6.bioreg.kyushu-u.ac.jp/M3/20110411/F50912/998/1", 47.43)</f>
        <v>47.43</v>
      </c>
      <c r="E2413" s="2">
        <v>15.45</v>
      </c>
      <c r="F2413" s="2">
        <v>1</v>
      </c>
      <c r="G2413" s="2" t="s">
        <v>10</v>
      </c>
    </row>
    <row r="2414" spans="1:9" x14ac:dyDescent="0.2">
      <c r="A2414" s="2" t="s">
        <v>3316</v>
      </c>
      <c r="B2414" s="2" t="s">
        <v>220</v>
      </c>
      <c r="C2414" s="2">
        <v>607.96169999999995</v>
      </c>
      <c r="D2414" s="2">
        <f>HYPERLINK("http://mcb-m6.bioreg.kyushu-u.ac.jp/M3/20110411/F50912/1478/1", 48.23)</f>
        <v>48.23</v>
      </c>
      <c r="E2414" s="2">
        <v>33.36</v>
      </c>
      <c r="F2414" s="2">
        <v>2</v>
      </c>
      <c r="G2414" s="2" t="s">
        <v>10</v>
      </c>
    </row>
    <row r="2415" spans="1:9" x14ac:dyDescent="0.2">
      <c r="A2415" s="2" t="s">
        <v>3316</v>
      </c>
      <c r="B2415" s="2" t="s">
        <v>1031</v>
      </c>
      <c r="C2415" s="2">
        <v>649.46669999999995</v>
      </c>
      <c r="D2415" s="2">
        <f>HYPERLINK("http://mcb-m6.bioreg.kyushu-u.ac.jp/M3/20110411/F50912/1622/1", 48.6)</f>
        <v>48.6</v>
      </c>
      <c r="E2415" s="2">
        <v>24.58</v>
      </c>
      <c r="F2415" s="2">
        <v>2</v>
      </c>
      <c r="G2415" s="2" t="s">
        <v>10</v>
      </c>
      <c r="H2415" s="2" t="s">
        <v>4919</v>
      </c>
    </row>
    <row r="2416" spans="1:9" x14ac:dyDescent="0.2">
      <c r="A2416" s="2" t="s">
        <v>3316</v>
      </c>
      <c r="B2416" s="2" t="s">
        <v>432</v>
      </c>
      <c r="C2416" s="2">
        <v>529.53309999999999</v>
      </c>
      <c r="D2416" s="2">
        <f>HYPERLINK("http://mcb-m6.bioreg.kyushu-u.ac.jp/M3/20110411/F50912/1187/1", 53.18)</f>
        <v>53.18</v>
      </c>
      <c r="E2416" s="2">
        <v>8.5399999999999991</v>
      </c>
      <c r="F2416" s="2">
        <v>2</v>
      </c>
      <c r="G2416" s="2" t="s">
        <v>10</v>
      </c>
      <c r="H2416" s="2" t="s">
        <v>4917</v>
      </c>
    </row>
    <row r="2417" spans="1:9" x14ac:dyDescent="0.2">
      <c r="A2417" s="2" t="s">
        <v>3316</v>
      </c>
      <c r="B2417" s="2" t="s">
        <v>1952</v>
      </c>
      <c r="C2417" s="2">
        <v>1303.9110000000001</v>
      </c>
      <c r="D2417" s="2">
        <f>HYPERLINK("http://mcb-m6.bioreg.kyushu-u.ac.jp/M3/20110411/F50912/1639/1", 53.91)</f>
        <v>53.91</v>
      </c>
      <c r="E2417" s="2">
        <v>27.53</v>
      </c>
      <c r="F2417" s="2">
        <v>1</v>
      </c>
      <c r="G2417" s="2" t="s">
        <v>10</v>
      </c>
    </row>
    <row r="2418" spans="1:9" x14ac:dyDescent="0.2">
      <c r="A2418" s="2" t="s">
        <v>3316</v>
      </c>
      <c r="B2418" s="2" t="s">
        <v>1031</v>
      </c>
      <c r="C2418" s="2">
        <v>1281.903</v>
      </c>
      <c r="D2418" s="2">
        <f>HYPERLINK("http://mcb-m6.bioreg.kyushu-u.ac.jp/M3/20110411/F50912/1602/1", 54.89)</f>
        <v>54.89</v>
      </c>
      <c r="E2418" s="2">
        <v>38.65</v>
      </c>
      <c r="F2418" s="2">
        <v>1</v>
      </c>
      <c r="G2418" s="2" t="s">
        <v>10</v>
      </c>
    </row>
    <row r="2419" spans="1:9" x14ac:dyDescent="0.2">
      <c r="A2419" s="2" t="s">
        <v>3316</v>
      </c>
      <c r="B2419" s="2" t="s">
        <v>775</v>
      </c>
      <c r="C2419" s="2">
        <v>622.46310000000005</v>
      </c>
      <c r="D2419" s="2">
        <f>HYPERLINK("http://mcb-m6.bioreg.kyushu-u.ac.jp/M3/20110411/F50913/1492/1", 54.92)</f>
        <v>54.92</v>
      </c>
      <c r="E2419" s="2">
        <v>36.26</v>
      </c>
      <c r="F2419" s="2">
        <v>2</v>
      </c>
      <c r="G2419" s="2" t="s">
        <v>10</v>
      </c>
      <c r="I2419" s="2" t="s">
        <v>4905</v>
      </c>
    </row>
    <row r="2420" spans="1:9" x14ac:dyDescent="0.2">
      <c r="A2420" s="2" t="s">
        <v>3316</v>
      </c>
      <c r="B2420" s="2" t="s">
        <v>1523</v>
      </c>
      <c r="C2420" s="2">
        <v>1540.9649999999999</v>
      </c>
      <c r="D2420" s="2">
        <f>HYPERLINK("http://mcb-m6.bioreg.kyushu-u.ac.jp/M3/20110411/F50912/2186/1", 56.56)</f>
        <v>56.56</v>
      </c>
      <c r="E2420" s="2">
        <v>37.4</v>
      </c>
      <c r="F2420" s="2">
        <v>1</v>
      </c>
      <c r="G2420" s="2" t="s">
        <v>10</v>
      </c>
      <c r="I2420" s="2" t="s">
        <v>4940</v>
      </c>
    </row>
    <row r="2421" spans="1:9" x14ac:dyDescent="0.2">
      <c r="A2421" s="2" t="s">
        <v>3316</v>
      </c>
      <c r="B2421" s="2" t="s">
        <v>100</v>
      </c>
      <c r="C2421" s="2">
        <v>1063.829</v>
      </c>
      <c r="D2421" s="2">
        <f>HYPERLINK("http://mcb-m6.bioreg.kyushu-u.ac.jp/M3/20110411/F50912/1200/1", 63.65)</f>
        <v>63.65</v>
      </c>
      <c r="E2421" s="2">
        <v>25.05</v>
      </c>
      <c r="F2421" s="2">
        <v>1</v>
      </c>
      <c r="G2421" s="2" t="s">
        <v>10</v>
      </c>
      <c r="H2421" s="2" t="s">
        <v>4904</v>
      </c>
    </row>
    <row r="2422" spans="1:9" x14ac:dyDescent="0.2">
      <c r="A2422" s="2" t="s">
        <v>3316</v>
      </c>
      <c r="B2422" s="2" t="s">
        <v>1031</v>
      </c>
      <c r="C2422" s="2">
        <v>641.51919999999996</v>
      </c>
      <c r="D2422" s="2">
        <f>HYPERLINK("http://mcb-m6.bioreg.kyushu-u.ac.jp/M3/20110411/F50912/1603/1", 64.28)</f>
        <v>64.28</v>
      </c>
      <c r="E2422" s="2">
        <v>39.93</v>
      </c>
      <c r="F2422" s="2">
        <v>2</v>
      </c>
      <c r="G2422" s="2" t="s">
        <v>10</v>
      </c>
    </row>
    <row r="2423" spans="1:9" x14ac:dyDescent="0.2">
      <c r="A2423" s="2" t="s">
        <v>3316</v>
      </c>
      <c r="B2423" s="2" t="s">
        <v>229</v>
      </c>
      <c r="C2423" s="2">
        <v>474.43509999999998</v>
      </c>
      <c r="D2423" s="2">
        <f>HYPERLINK("http://mcb-m6.bioreg.kyushu-u.ac.jp/M3/20110411/F50912/997/1", 74.33)</f>
        <v>74.33</v>
      </c>
      <c r="E2423" s="2">
        <v>34.299999999999997</v>
      </c>
      <c r="F2423" s="2">
        <v>2</v>
      </c>
      <c r="G2423" s="2" t="s">
        <v>10</v>
      </c>
    </row>
    <row r="2424" spans="1:9" x14ac:dyDescent="0.2">
      <c r="A2424" s="2" t="s">
        <v>3316</v>
      </c>
      <c r="B2424" s="2" t="s">
        <v>1577</v>
      </c>
      <c r="C2424" s="2">
        <v>885.25959999999998</v>
      </c>
      <c r="D2424" s="2">
        <f>HYPERLINK("http://mcb-m6.bioreg.kyushu-u.ac.jp/M3/20110411/F50913/2709/1", 76.52)</f>
        <v>76.52</v>
      </c>
      <c r="E2424" s="2">
        <v>62.01</v>
      </c>
      <c r="F2424" s="2">
        <v>2</v>
      </c>
      <c r="G2424" s="2" t="s">
        <v>10</v>
      </c>
    </row>
    <row r="2425" spans="1:9" x14ac:dyDescent="0.2">
      <c r="A2425" s="2" t="s">
        <v>3316</v>
      </c>
      <c r="B2425" s="2" t="s">
        <v>2100</v>
      </c>
      <c r="C2425" s="2">
        <v>1020.1369999999999</v>
      </c>
      <c r="D2425" s="2">
        <f>HYPERLINK("http://mcb-m6.bioreg.kyushu-u.ac.jp/M3/20110411/F50912/4051/1", 80.39)</f>
        <v>80.39</v>
      </c>
      <c r="E2425" s="2">
        <v>64.7</v>
      </c>
      <c r="F2425" s="2">
        <v>3</v>
      </c>
      <c r="G2425" s="2" t="s">
        <v>10</v>
      </c>
      <c r="I2425" s="2" t="s">
        <v>4955</v>
      </c>
    </row>
    <row r="2426" spans="1:9" x14ac:dyDescent="0.2">
      <c r="A2426" s="2" t="s">
        <v>3316</v>
      </c>
      <c r="B2426" s="2" t="s">
        <v>1523</v>
      </c>
      <c r="C2426" s="2">
        <v>771.17520000000002</v>
      </c>
      <c r="D2426" s="2">
        <f>HYPERLINK("http://mcb-m6.bioreg.kyushu-u.ac.jp/M3/20110411/F50912/2187/1", 88.87)</f>
        <v>88.87</v>
      </c>
      <c r="E2426" s="2">
        <v>66.760000000000005</v>
      </c>
      <c r="F2426" s="2">
        <v>2</v>
      </c>
      <c r="G2426" s="2" t="s">
        <v>10</v>
      </c>
      <c r="I2426" s="2" t="s">
        <v>4940</v>
      </c>
    </row>
    <row r="2427" spans="1:9" x14ac:dyDescent="0.2">
      <c r="A2427" s="2" t="s">
        <v>3316</v>
      </c>
      <c r="B2427" s="2" t="s">
        <v>1194</v>
      </c>
      <c r="C2427" s="2">
        <v>1223.192</v>
      </c>
      <c r="D2427" s="2">
        <f>HYPERLINK("http://mcb-m6.bioreg.kyushu-u.ac.jp/M3/20110411/F50912/3696/1", 89.85)</f>
        <v>89.85</v>
      </c>
      <c r="E2427" s="2">
        <v>78.58</v>
      </c>
      <c r="F2427" s="2">
        <v>2</v>
      </c>
      <c r="G2427" s="2" t="s">
        <v>10</v>
      </c>
    </row>
    <row r="2428" spans="1:9" x14ac:dyDescent="0.2">
      <c r="A2428" s="2" t="s">
        <v>3316</v>
      </c>
      <c r="B2428" s="2" t="s">
        <v>1577</v>
      </c>
      <c r="C2428" s="2">
        <v>885.33969999999999</v>
      </c>
      <c r="D2428" s="2">
        <f>HYPERLINK("http://mcb-m6.bioreg.kyushu-u.ac.jp/M3/20110411/F50912/2682/1", 94.62)</f>
        <v>94.62</v>
      </c>
      <c r="E2428" s="2">
        <v>76.099999999999994</v>
      </c>
      <c r="F2428" s="2">
        <v>2</v>
      </c>
      <c r="G2428" s="2" t="s">
        <v>10</v>
      </c>
    </row>
    <row r="2429" spans="1:9" x14ac:dyDescent="0.2">
      <c r="A2429" s="2" t="s">
        <v>3316</v>
      </c>
      <c r="B2429" s="2" t="s">
        <v>1628</v>
      </c>
      <c r="C2429" s="2">
        <v>734.18709999999999</v>
      </c>
      <c r="D2429" s="2">
        <f>HYPERLINK("http://mcb-m6.bioreg.kyushu-u.ac.jp/M3/20110411/F50912/2003/1", 106.39)</f>
        <v>106.39</v>
      </c>
      <c r="E2429" s="2">
        <v>81.16</v>
      </c>
      <c r="F2429" s="2">
        <v>2</v>
      </c>
      <c r="G2429" s="2" t="s">
        <v>10</v>
      </c>
      <c r="I2429" s="2" t="s">
        <v>4914</v>
      </c>
    </row>
    <row r="2430" spans="1:9" x14ac:dyDescent="0.2">
      <c r="A2430" s="2" t="s">
        <v>3316</v>
      </c>
      <c r="B2430" s="2" t="s">
        <v>1628</v>
      </c>
      <c r="C2430" s="2">
        <v>733.78120000000001</v>
      </c>
      <c r="D2430" s="2">
        <f>HYPERLINK("http://mcb-m6.bioreg.kyushu-u.ac.jp/M3/20110414/F50941/2073/1", 43.68)</f>
        <v>43.68</v>
      </c>
      <c r="E2430" s="2">
        <v>30.87</v>
      </c>
      <c r="F2430" s="2">
        <v>2</v>
      </c>
      <c r="G2430" s="2" t="s">
        <v>11</v>
      </c>
      <c r="I2430" s="2" t="s">
        <v>4914</v>
      </c>
    </row>
    <row r="2431" spans="1:9" x14ac:dyDescent="0.2">
      <c r="A2431" s="2" t="s">
        <v>3316</v>
      </c>
      <c r="B2431" s="2" t="s">
        <v>229</v>
      </c>
      <c r="C2431" s="2">
        <v>474.24160000000001</v>
      </c>
      <c r="D2431" s="2">
        <f>HYPERLINK("http://mcb-m6.bioreg.kyushu-u.ac.jp/M3/20110414/F50941/778/1", 45.54)</f>
        <v>45.54</v>
      </c>
      <c r="E2431" s="2">
        <v>22.79</v>
      </c>
      <c r="F2431" s="2">
        <v>2</v>
      </c>
      <c r="G2431" s="2" t="s">
        <v>11</v>
      </c>
    </row>
    <row r="2432" spans="1:9" x14ac:dyDescent="0.2">
      <c r="A2432" s="2" t="s">
        <v>3316</v>
      </c>
      <c r="B2432" s="2" t="s">
        <v>983</v>
      </c>
      <c r="C2432" s="2">
        <v>596.25919999999996</v>
      </c>
      <c r="D2432" s="2">
        <f>HYPERLINK("http://mcb-m6.bioreg.kyushu-u.ac.jp/M3/20110414/F50941/1307/1", 50.05)</f>
        <v>50.05</v>
      </c>
      <c r="E2432" s="2">
        <v>25.68</v>
      </c>
      <c r="F2432" s="2">
        <v>2</v>
      </c>
      <c r="G2432" s="2" t="s">
        <v>11</v>
      </c>
      <c r="H2432" s="2" t="s">
        <v>4904</v>
      </c>
    </row>
    <row r="2433" spans="1:9" x14ac:dyDescent="0.2">
      <c r="A2433" s="2" t="s">
        <v>3316</v>
      </c>
      <c r="B2433" s="2" t="s">
        <v>1529</v>
      </c>
      <c r="C2433" s="2">
        <v>1096.9570000000001</v>
      </c>
      <c r="D2433" s="2">
        <f>HYPERLINK("http://mcb-m6.bioreg.kyushu-u.ac.jp/M3/20110414/F50941/3769/1", 67.55)</f>
        <v>67.55</v>
      </c>
      <c r="E2433" s="2">
        <v>51.98</v>
      </c>
      <c r="F2433" s="2">
        <v>2</v>
      </c>
      <c r="G2433" s="2" t="s">
        <v>11</v>
      </c>
      <c r="I2433" s="2" t="s">
        <v>4941</v>
      </c>
    </row>
    <row r="2434" spans="1:9" x14ac:dyDescent="0.2">
      <c r="A2434" s="2" t="s">
        <v>3316</v>
      </c>
      <c r="B2434" s="2" t="s">
        <v>1529</v>
      </c>
      <c r="C2434" s="2">
        <v>1096.4659999999999</v>
      </c>
      <c r="D2434" s="2">
        <f>HYPERLINK("http://mcb-m6.bioreg.kyushu-u.ac.jp/M3/20110414/F50941/3766/1", 68.92)</f>
        <v>68.92</v>
      </c>
      <c r="E2434" s="2">
        <v>50.76</v>
      </c>
      <c r="F2434" s="2">
        <v>2</v>
      </c>
      <c r="G2434" s="2" t="s">
        <v>11</v>
      </c>
      <c r="I2434" s="2" t="s">
        <v>4941</v>
      </c>
    </row>
    <row r="2435" spans="1:9" x14ac:dyDescent="0.2">
      <c r="A2435" s="2" t="s">
        <v>3316</v>
      </c>
      <c r="B2435" s="2" t="s">
        <v>1577</v>
      </c>
      <c r="C2435" s="2">
        <v>885.37519999999995</v>
      </c>
      <c r="D2435" s="2">
        <f>HYPERLINK("http://mcb-m6.bioreg.kyushu-u.ac.jp/M3/20110414/F50941/2851/1", 72.86)</f>
        <v>72.86</v>
      </c>
      <c r="E2435" s="2">
        <v>50.27</v>
      </c>
      <c r="F2435" s="2">
        <v>2</v>
      </c>
      <c r="G2435" s="2" t="s">
        <v>11</v>
      </c>
    </row>
    <row r="2436" spans="1:9" x14ac:dyDescent="0.2">
      <c r="A2436" s="2" t="s">
        <v>3316</v>
      </c>
      <c r="B2436" s="2" t="s">
        <v>1031</v>
      </c>
      <c r="C2436" s="2">
        <v>641.75120000000004</v>
      </c>
      <c r="D2436" s="2">
        <f>HYPERLINK("http://mcb-m6.bioreg.kyushu-u.ac.jp/M3/20110414/F50941/1524/1", 74.19)</f>
        <v>74.19</v>
      </c>
      <c r="E2436" s="2">
        <v>47.87</v>
      </c>
      <c r="F2436" s="2">
        <v>2</v>
      </c>
      <c r="G2436" s="2" t="s">
        <v>11</v>
      </c>
    </row>
    <row r="2437" spans="1:9" x14ac:dyDescent="0.2">
      <c r="A2437" s="2" t="s">
        <v>3316</v>
      </c>
      <c r="B2437" s="2" t="s">
        <v>1031</v>
      </c>
      <c r="C2437" s="2">
        <v>649.20669999999996</v>
      </c>
      <c r="D2437" s="2">
        <f>HYPERLINK("http://mcb-m6.bioreg.kyushu-u.ac.jp/M3/20110414/F50941/1552/1", 77.99)</f>
        <v>77.989999999999995</v>
      </c>
      <c r="E2437" s="2">
        <v>50.65</v>
      </c>
      <c r="F2437" s="2">
        <v>2</v>
      </c>
      <c r="G2437" s="2" t="s">
        <v>11</v>
      </c>
      <c r="H2437" s="2" t="s">
        <v>4919</v>
      </c>
    </row>
    <row r="2438" spans="1:9" x14ac:dyDescent="0.2">
      <c r="A2438" s="2" t="s">
        <v>3316</v>
      </c>
      <c r="B2438" s="2" t="s">
        <v>603</v>
      </c>
      <c r="C2438" s="2">
        <v>669.72810000000004</v>
      </c>
      <c r="D2438" s="2">
        <f>HYPERLINK("http://mcb-m6.bioreg.kyushu-u.ac.jp/M3/20110414/F50941/1658/1", 78)</f>
        <v>78</v>
      </c>
      <c r="E2438" s="2">
        <v>58.2</v>
      </c>
      <c r="F2438" s="2">
        <v>2</v>
      </c>
      <c r="G2438" s="2" t="s">
        <v>11</v>
      </c>
      <c r="I2438" s="2" t="s">
        <v>4926</v>
      </c>
    </row>
    <row r="2439" spans="1:9" x14ac:dyDescent="0.2">
      <c r="A2439" s="2" t="s">
        <v>3316</v>
      </c>
      <c r="B2439" s="2" t="s">
        <v>1523</v>
      </c>
      <c r="C2439" s="2">
        <v>771.29020000000003</v>
      </c>
      <c r="D2439" s="2">
        <f>HYPERLINK("http://mcb-m6.bioreg.kyushu-u.ac.jp/M3/20110414/F50941/2278/1", 80.1)</f>
        <v>80.099999999999994</v>
      </c>
      <c r="E2439" s="2">
        <v>63.98</v>
      </c>
      <c r="F2439" s="2">
        <v>2</v>
      </c>
      <c r="G2439" s="2" t="s">
        <v>11</v>
      </c>
      <c r="I2439" s="2" t="s">
        <v>4940</v>
      </c>
    </row>
    <row r="2440" spans="1:9" x14ac:dyDescent="0.2">
      <c r="A2440" s="2" t="s">
        <v>3316</v>
      </c>
      <c r="B2440" s="2" t="s">
        <v>1529</v>
      </c>
      <c r="C2440" s="2">
        <v>1096.4259999999999</v>
      </c>
      <c r="D2440" s="2">
        <f>HYPERLINK("http://mcb-m6.bioreg.kyushu-u.ac.jp/M3/20110414/F50941/3764/1", 84.31)</f>
        <v>84.31</v>
      </c>
      <c r="E2440" s="2">
        <v>68.5</v>
      </c>
      <c r="F2440" s="2">
        <v>2</v>
      </c>
      <c r="G2440" s="2" t="s">
        <v>11</v>
      </c>
      <c r="I2440" s="2" t="s">
        <v>4941</v>
      </c>
    </row>
    <row r="2441" spans="1:9" x14ac:dyDescent="0.2">
      <c r="A2441" s="2" t="s">
        <v>3316</v>
      </c>
      <c r="B2441" s="2" t="s">
        <v>1523</v>
      </c>
      <c r="C2441" s="2">
        <v>770.6807</v>
      </c>
      <c r="D2441" s="2">
        <f>HYPERLINK("http://mcb-m6.bioreg.kyushu-u.ac.jp/M3/20110414/F50941/2276/1", 90.58)</f>
        <v>90.58</v>
      </c>
      <c r="E2441" s="2">
        <v>72.069999999999993</v>
      </c>
      <c r="F2441" s="2">
        <v>2</v>
      </c>
      <c r="G2441" s="2" t="s">
        <v>11</v>
      </c>
      <c r="I2441" s="2" t="s">
        <v>4940</v>
      </c>
    </row>
    <row r="2442" spans="1:9" x14ac:dyDescent="0.2">
      <c r="A2442" s="2" t="s">
        <v>3316</v>
      </c>
      <c r="B2442" s="2" t="s">
        <v>1577</v>
      </c>
      <c r="C2442" s="2">
        <v>884.87220000000002</v>
      </c>
      <c r="D2442" s="2">
        <f>HYPERLINK("http://mcb-m6.bioreg.kyushu-u.ac.jp/M3/20110414/F50941/2847/1", 98.17)</f>
        <v>98.17</v>
      </c>
      <c r="E2442" s="2">
        <v>84.57</v>
      </c>
      <c r="F2442" s="2">
        <v>2</v>
      </c>
      <c r="G2442" s="2" t="s">
        <v>11</v>
      </c>
    </row>
    <row r="2443" spans="1:9" x14ac:dyDescent="0.2">
      <c r="A2443" s="2" t="s">
        <v>3316</v>
      </c>
      <c r="B2443" s="2" t="s">
        <v>775</v>
      </c>
      <c r="C2443" s="2">
        <v>1243.549</v>
      </c>
      <c r="D2443" s="2">
        <f>HYPERLINK("http://mcb-m6.bioreg.kyushu-u.ac.jp/M3/20110414/F50947/1272/1", 38.52)</f>
        <v>38.520000000000003</v>
      </c>
      <c r="E2443" s="2">
        <v>23.85</v>
      </c>
      <c r="F2443" s="2">
        <v>1</v>
      </c>
      <c r="G2443" s="2" t="s">
        <v>12</v>
      </c>
      <c r="I2443" s="2" t="s">
        <v>4905</v>
      </c>
    </row>
    <row r="2444" spans="1:9" x14ac:dyDescent="0.2">
      <c r="A2444" s="2" t="s">
        <v>3316</v>
      </c>
      <c r="B2444" s="2" t="s">
        <v>229</v>
      </c>
      <c r="C2444" s="2">
        <v>947.51</v>
      </c>
      <c r="D2444" s="2">
        <f>HYPERLINK("http://mcb-m6.bioreg.kyushu-u.ac.jp/M3/20110414/F50947/712/1", 38.76)</f>
        <v>38.76</v>
      </c>
      <c r="E2444" s="2">
        <v>8.9</v>
      </c>
      <c r="F2444" s="2">
        <v>1</v>
      </c>
      <c r="G2444" s="2" t="s">
        <v>12</v>
      </c>
    </row>
    <row r="2445" spans="1:9" x14ac:dyDescent="0.2">
      <c r="A2445" s="2" t="s">
        <v>3316</v>
      </c>
      <c r="B2445" s="2" t="s">
        <v>432</v>
      </c>
      <c r="C2445" s="2">
        <v>529.87220000000002</v>
      </c>
      <c r="D2445" s="2">
        <f>HYPERLINK("http://mcb-m6.bioreg.kyushu-u.ac.jp/M3/20110414/F50947/925/1", 49.65)</f>
        <v>49.65</v>
      </c>
      <c r="E2445" s="2">
        <v>21.54</v>
      </c>
      <c r="F2445" s="2">
        <v>2</v>
      </c>
      <c r="G2445" s="2" t="s">
        <v>12</v>
      </c>
      <c r="H2445" s="2" t="s">
        <v>4917</v>
      </c>
    </row>
    <row r="2446" spans="1:9" x14ac:dyDescent="0.2">
      <c r="A2446" s="2" t="s">
        <v>3316</v>
      </c>
      <c r="B2446" s="2" t="s">
        <v>775</v>
      </c>
      <c r="C2446" s="2">
        <v>621.9547</v>
      </c>
      <c r="D2446" s="2">
        <f>HYPERLINK("http://mcb-m6.bioreg.kyushu-u.ac.jp/M3/20110414/F50947/1269/1", 55.47)</f>
        <v>55.47</v>
      </c>
      <c r="E2446" s="2">
        <v>34.65</v>
      </c>
      <c r="F2446" s="2">
        <v>2</v>
      </c>
      <c r="G2446" s="2" t="s">
        <v>12</v>
      </c>
      <c r="I2446" s="2" t="s">
        <v>4905</v>
      </c>
    </row>
    <row r="2447" spans="1:9" x14ac:dyDescent="0.2">
      <c r="A2447" s="2" t="s">
        <v>3316</v>
      </c>
      <c r="B2447" s="2" t="s">
        <v>983</v>
      </c>
      <c r="C2447" s="2">
        <v>596.32119999999998</v>
      </c>
      <c r="D2447" s="2">
        <f>HYPERLINK("http://mcb-m6.bioreg.kyushu-u.ac.jp/M3/20110414/F50947/1162/1", 56.68)</f>
        <v>56.68</v>
      </c>
      <c r="E2447" s="2">
        <v>31.09</v>
      </c>
      <c r="F2447" s="2">
        <v>2</v>
      </c>
      <c r="G2447" s="2" t="s">
        <v>12</v>
      </c>
      <c r="H2447" s="2" t="s">
        <v>4904</v>
      </c>
    </row>
    <row r="2448" spans="1:9" x14ac:dyDescent="0.2">
      <c r="A2448" s="2" t="s">
        <v>3316</v>
      </c>
      <c r="B2448" s="2" t="s">
        <v>1529</v>
      </c>
      <c r="C2448" s="2">
        <v>1096.9939999999999</v>
      </c>
      <c r="D2448" s="2">
        <f>HYPERLINK("http://mcb-m6.bioreg.kyushu-u.ac.jp/M3/20110414/F50947/3779/1", 67.2)</f>
        <v>67.2</v>
      </c>
      <c r="E2448" s="2">
        <v>44.2</v>
      </c>
      <c r="F2448" s="2">
        <v>2</v>
      </c>
      <c r="G2448" s="2" t="s">
        <v>12</v>
      </c>
      <c r="I2448" s="2" t="s">
        <v>4941</v>
      </c>
    </row>
    <row r="2449" spans="1:9" x14ac:dyDescent="0.2">
      <c r="A2449" s="2" t="s">
        <v>3316</v>
      </c>
      <c r="B2449" s="2" t="s">
        <v>1031</v>
      </c>
      <c r="C2449" s="2">
        <v>641.78520000000003</v>
      </c>
      <c r="D2449" s="2">
        <f>HYPERLINK("http://mcb-m6.bioreg.kyushu-u.ac.jp/M3/20110414/F50947/1360/1", 68.26)</f>
        <v>68.260000000000005</v>
      </c>
      <c r="E2449" s="2">
        <v>43.02</v>
      </c>
      <c r="F2449" s="2">
        <v>2</v>
      </c>
      <c r="G2449" s="2" t="s">
        <v>12</v>
      </c>
    </row>
    <row r="2450" spans="1:9" x14ac:dyDescent="0.2">
      <c r="A2450" s="2" t="s">
        <v>3316</v>
      </c>
      <c r="B2450" s="2" t="s">
        <v>1031</v>
      </c>
      <c r="C2450" s="2">
        <v>649.27719999999999</v>
      </c>
      <c r="D2450" s="2">
        <f>HYPERLINK("http://mcb-m6.bioreg.kyushu-u.ac.jp/M3/20110414/F50947/1382/1", 68.48)</f>
        <v>68.48</v>
      </c>
      <c r="E2450" s="2">
        <v>37.57</v>
      </c>
      <c r="F2450" s="2">
        <v>2</v>
      </c>
      <c r="G2450" s="2" t="s">
        <v>12</v>
      </c>
      <c r="H2450" s="2" t="s">
        <v>4919</v>
      </c>
    </row>
    <row r="2451" spans="1:9" x14ac:dyDescent="0.2">
      <c r="A2451" s="2" t="s">
        <v>3316</v>
      </c>
      <c r="B2451" s="2" t="s">
        <v>790</v>
      </c>
      <c r="C2451" s="2">
        <v>1241.7380000000001</v>
      </c>
      <c r="D2451" s="2">
        <f>HYPERLINK("http://mcb-m6.bioreg.kyushu-u.ac.jp/M3/20110414/F50947/4272/1", 68.55)</f>
        <v>68.55</v>
      </c>
      <c r="E2451" s="2">
        <v>61.58</v>
      </c>
      <c r="F2451" s="2">
        <v>2</v>
      </c>
      <c r="G2451" s="2" t="s">
        <v>12</v>
      </c>
    </row>
    <row r="2452" spans="1:9" x14ac:dyDescent="0.2">
      <c r="A2452" s="2" t="s">
        <v>3316</v>
      </c>
      <c r="B2452" s="2" t="s">
        <v>1529</v>
      </c>
      <c r="C2452" s="2">
        <v>1096.46</v>
      </c>
      <c r="D2452" s="2">
        <f>HYPERLINK("http://mcb-m6.bioreg.kyushu-u.ac.jp/M3/20110414/F50947/3775/1", 81.85)</f>
        <v>81.849999999999994</v>
      </c>
      <c r="E2452" s="2">
        <v>63.98</v>
      </c>
      <c r="F2452" s="2">
        <v>2</v>
      </c>
      <c r="G2452" s="2" t="s">
        <v>12</v>
      </c>
      <c r="I2452" s="2" t="s">
        <v>4941</v>
      </c>
    </row>
    <row r="2453" spans="1:9" x14ac:dyDescent="0.2">
      <c r="A2453" s="2" t="s">
        <v>3316</v>
      </c>
      <c r="B2453" s="2" t="s">
        <v>1523</v>
      </c>
      <c r="C2453" s="2">
        <v>770.84670000000006</v>
      </c>
      <c r="D2453" s="2">
        <f>HYPERLINK("http://mcb-m6.bioreg.kyushu-u.ac.jp/M3/20110414/F50947/2214/1", 83.68)</f>
        <v>83.68</v>
      </c>
      <c r="E2453" s="2">
        <v>72.37</v>
      </c>
      <c r="F2453" s="2">
        <v>2</v>
      </c>
      <c r="G2453" s="2" t="s">
        <v>12</v>
      </c>
      <c r="I2453" s="2" t="s">
        <v>4940</v>
      </c>
    </row>
    <row r="2454" spans="1:9" x14ac:dyDescent="0.2">
      <c r="A2454" s="2" t="s">
        <v>3316</v>
      </c>
      <c r="B2454" s="2" t="s">
        <v>1628</v>
      </c>
      <c r="C2454" s="2">
        <v>733.90260000000001</v>
      </c>
      <c r="D2454" s="2">
        <f>HYPERLINK("http://mcb-m6.bioreg.kyushu-u.ac.jp/M3/20110414/F50947/1909/1", 88.02)</f>
        <v>88.02</v>
      </c>
      <c r="E2454" s="2">
        <v>70.77</v>
      </c>
      <c r="F2454" s="2">
        <v>2</v>
      </c>
      <c r="G2454" s="2" t="s">
        <v>12</v>
      </c>
      <c r="I2454" s="2" t="s">
        <v>4914</v>
      </c>
    </row>
    <row r="2455" spans="1:9" x14ac:dyDescent="0.2">
      <c r="A2455" s="2" t="s">
        <v>3316</v>
      </c>
      <c r="B2455" s="2" t="s">
        <v>1577</v>
      </c>
      <c r="C2455" s="2">
        <v>885.29269999999997</v>
      </c>
      <c r="D2455" s="2">
        <f>HYPERLINK("http://mcb-m6.bioreg.kyushu-u.ac.jp/M3/20110414/F50947/2819/1", 90.18)</f>
        <v>90.18</v>
      </c>
      <c r="E2455" s="2">
        <v>75.760000000000005</v>
      </c>
      <c r="F2455" s="2">
        <v>2</v>
      </c>
      <c r="G2455" s="2" t="s">
        <v>12</v>
      </c>
    </row>
    <row r="2456" spans="1:9" x14ac:dyDescent="0.2">
      <c r="A2456" s="2" t="s">
        <v>3316</v>
      </c>
      <c r="B2456" s="2" t="s">
        <v>983</v>
      </c>
      <c r="C2456" s="2">
        <v>605.01760000000002</v>
      </c>
      <c r="D2456" s="2">
        <f>HYPERLINK("http://mcb-m6.bioreg.kyushu-u.ac.jp/M3/20110502/F51170/1458/1", 38.72)</f>
        <v>38.72</v>
      </c>
      <c r="E2456" s="2">
        <v>11.46</v>
      </c>
      <c r="F2456" s="2">
        <v>2</v>
      </c>
      <c r="G2456" s="2" t="s">
        <v>13</v>
      </c>
    </row>
    <row r="2457" spans="1:9" x14ac:dyDescent="0.2">
      <c r="A2457" s="2" t="s">
        <v>3316</v>
      </c>
      <c r="B2457" s="2" t="s">
        <v>1529</v>
      </c>
      <c r="C2457" s="2">
        <v>1096.7149999999999</v>
      </c>
      <c r="D2457" s="2">
        <f>HYPERLINK("http://mcb-m6.bioreg.kyushu-u.ac.jp/M3/20110502/F51187/2975/1", 43.26)</f>
        <v>43.26</v>
      </c>
      <c r="E2457" s="2">
        <v>30.17</v>
      </c>
      <c r="F2457" s="2">
        <v>2</v>
      </c>
      <c r="G2457" s="2" t="s">
        <v>13</v>
      </c>
      <c r="I2457" s="2" t="s">
        <v>4941</v>
      </c>
    </row>
    <row r="2458" spans="1:9" x14ac:dyDescent="0.2">
      <c r="A2458" s="2" t="s">
        <v>3316</v>
      </c>
      <c r="B2458" s="2" t="s">
        <v>2100</v>
      </c>
      <c r="C2458" s="2">
        <v>1020.48</v>
      </c>
      <c r="D2458" s="2">
        <f>HYPERLINK("http://mcb-m6.bioreg.kyushu-u.ac.jp/M3/20110502/F51170/4038/1", 49.05)</f>
        <v>49.05</v>
      </c>
      <c r="E2458" s="2">
        <v>35.93</v>
      </c>
      <c r="F2458" s="2">
        <v>3</v>
      </c>
      <c r="G2458" s="2" t="s">
        <v>13</v>
      </c>
      <c r="I2458" s="2" t="s">
        <v>4955</v>
      </c>
    </row>
    <row r="2459" spans="1:9" x14ac:dyDescent="0.2">
      <c r="A2459" s="2" t="s">
        <v>3316</v>
      </c>
      <c r="B2459" s="2" t="s">
        <v>775</v>
      </c>
      <c r="C2459" s="2">
        <v>622.44920000000002</v>
      </c>
      <c r="D2459" s="2">
        <f>HYPERLINK("http://mcb-m6.bioreg.kyushu-u.ac.jp/M3/20110502/F51170/1526/1", 58.17)</f>
        <v>58.17</v>
      </c>
      <c r="E2459" s="2">
        <v>34.380000000000003</v>
      </c>
      <c r="F2459" s="2">
        <v>2</v>
      </c>
      <c r="G2459" s="2" t="s">
        <v>13</v>
      </c>
      <c r="I2459" s="2" t="s">
        <v>4905</v>
      </c>
    </row>
    <row r="2460" spans="1:9" x14ac:dyDescent="0.2">
      <c r="A2460" s="2" t="s">
        <v>3316</v>
      </c>
      <c r="B2460" s="2" t="s">
        <v>983</v>
      </c>
      <c r="C2460" s="2">
        <v>596.54420000000005</v>
      </c>
      <c r="D2460" s="2">
        <f>HYPERLINK("http://mcb-m6.bioreg.kyushu-u.ac.jp/M3/20110502/F51170/1416/1", 58.74)</f>
        <v>58.74</v>
      </c>
      <c r="E2460" s="2">
        <v>35.46</v>
      </c>
      <c r="F2460" s="2">
        <v>2</v>
      </c>
      <c r="G2460" s="2" t="s">
        <v>13</v>
      </c>
      <c r="H2460" s="2" t="s">
        <v>4904</v>
      </c>
    </row>
    <row r="2461" spans="1:9" x14ac:dyDescent="0.2">
      <c r="A2461" s="2" t="s">
        <v>3316</v>
      </c>
      <c r="B2461" s="2" t="s">
        <v>1031</v>
      </c>
      <c r="C2461" s="2">
        <v>649.34810000000004</v>
      </c>
      <c r="D2461" s="2">
        <f>HYPERLINK("http://mcb-m6.bioreg.kyushu-u.ac.jp/M3/20110502/F51170/1619/1", 71.76)</f>
        <v>71.760000000000005</v>
      </c>
      <c r="E2461" s="2">
        <v>42.93</v>
      </c>
      <c r="F2461" s="2">
        <v>2</v>
      </c>
      <c r="G2461" s="2" t="s">
        <v>13</v>
      </c>
      <c r="H2461" s="2" t="s">
        <v>4919</v>
      </c>
    </row>
    <row r="2462" spans="1:9" x14ac:dyDescent="0.2">
      <c r="A2462" s="2" t="s">
        <v>3316</v>
      </c>
      <c r="B2462" s="2" t="s">
        <v>1523</v>
      </c>
      <c r="C2462" s="2">
        <v>771.30870000000004</v>
      </c>
      <c r="D2462" s="2">
        <f>HYPERLINK("http://mcb-m6.bioreg.kyushu-u.ac.jp/M3/20110502/F51187/1879/1", 87.51)</f>
        <v>87.51</v>
      </c>
      <c r="E2462" s="2">
        <v>70.25</v>
      </c>
      <c r="F2462" s="2">
        <v>2</v>
      </c>
      <c r="G2462" s="2" t="s">
        <v>13</v>
      </c>
      <c r="I2462" s="2" t="s">
        <v>4940</v>
      </c>
    </row>
    <row r="2463" spans="1:9" x14ac:dyDescent="0.2">
      <c r="A2463" s="2" t="s">
        <v>3316</v>
      </c>
      <c r="B2463" s="2" t="s">
        <v>1523</v>
      </c>
      <c r="C2463" s="2">
        <v>771.31269999999995</v>
      </c>
      <c r="D2463" s="2">
        <f>HYPERLINK("http://mcb-m6.bioreg.kyushu-u.ac.jp/M3/20110502/F51170/2253/1", 89.11)</f>
        <v>89.11</v>
      </c>
      <c r="E2463" s="2">
        <v>79.62</v>
      </c>
      <c r="F2463" s="2">
        <v>2</v>
      </c>
      <c r="G2463" s="2" t="s">
        <v>13</v>
      </c>
      <c r="I2463" s="2" t="s">
        <v>4940</v>
      </c>
    </row>
    <row r="2464" spans="1:9" x14ac:dyDescent="0.2">
      <c r="A2464" s="2" t="s">
        <v>3316</v>
      </c>
      <c r="B2464" s="2" t="s">
        <v>1577</v>
      </c>
      <c r="C2464" s="2">
        <v>885.40419999999995</v>
      </c>
      <c r="D2464" s="2">
        <f>HYPERLINK("http://mcb-m6.bioreg.kyushu-u.ac.jp/M3/20110502/F51170/2811/1", 94.42)</f>
        <v>94.42</v>
      </c>
      <c r="E2464" s="2">
        <v>78.33</v>
      </c>
      <c r="F2464" s="2">
        <v>2</v>
      </c>
      <c r="G2464" s="2" t="s">
        <v>13</v>
      </c>
    </row>
    <row r="2465" spans="1:9" x14ac:dyDescent="0.2">
      <c r="A2465" s="2" t="s">
        <v>3316</v>
      </c>
      <c r="B2465" s="2" t="s">
        <v>220</v>
      </c>
      <c r="C2465" s="2">
        <v>607.93020000000001</v>
      </c>
      <c r="D2465" s="2">
        <f>HYPERLINK("http://mcb-m6.bioreg.kyushu-u.ac.jp/M3/20110502/F51179/1095/1", 36.43)</f>
        <v>36.43</v>
      </c>
      <c r="E2465" s="2">
        <v>18.34</v>
      </c>
      <c r="F2465" s="2">
        <v>2</v>
      </c>
      <c r="G2465" s="2" t="s">
        <v>14</v>
      </c>
    </row>
    <row r="2466" spans="1:9" x14ac:dyDescent="0.2">
      <c r="A2466" s="2" t="s">
        <v>3316</v>
      </c>
      <c r="B2466" s="2" t="s">
        <v>1529</v>
      </c>
      <c r="C2466" s="2">
        <v>1096.7159999999999</v>
      </c>
      <c r="D2466" s="2">
        <f>HYPERLINK("http://mcb-m6.bioreg.kyushu-u.ac.jp/M3/20110502/F51179/3397/1", 42.95)</f>
        <v>42.95</v>
      </c>
      <c r="E2466" s="2">
        <v>28.88</v>
      </c>
      <c r="F2466" s="2">
        <v>2</v>
      </c>
      <c r="G2466" s="2" t="s">
        <v>14</v>
      </c>
      <c r="I2466" s="2" t="s">
        <v>4941</v>
      </c>
    </row>
    <row r="2467" spans="1:9" x14ac:dyDescent="0.2">
      <c r="A2467" s="2" t="s">
        <v>3316</v>
      </c>
      <c r="B2467" s="2" t="s">
        <v>1031</v>
      </c>
      <c r="C2467" s="2">
        <v>641.41859999999997</v>
      </c>
      <c r="D2467" s="2">
        <f>HYPERLINK("http://mcb-m6.bioreg.kyushu-u.ac.jp/M3/20110502/F51179/1233/1", 51.56)</f>
        <v>51.56</v>
      </c>
      <c r="E2467" s="2">
        <v>25.08</v>
      </c>
      <c r="F2467" s="2">
        <v>2</v>
      </c>
      <c r="G2467" s="2" t="s">
        <v>14</v>
      </c>
    </row>
    <row r="2468" spans="1:9" x14ac:dyDescent="0.2">
      <c r="A2468" s="2" t="s">
        <v>3316</v>
      </c>
      <c r="B2468" s="2" t="s">
        <v>1529</v>
      </c>
      <c r="C2468" s="2">
        <v>1096.711</v>
      </c>
      <c r="D2468" s="2">
        <f>HYPERLINK("http://mcb-m6.bioreg.kyushu-u.ac.jp/M3/20110502/F51191/3025/1", 60.67)</f>
        <v>60.67</v>
      </c>
      <c r="E2468" s="2">
        <v>40.22</v>
      </c>
      <c r="F2468" s="2">
        <v>2</v>
      </c>
      <c r="G2468" s="2" t="s">
        <v>14</v>
      </c>
      <c r="I2468" s="2" t="s">
        <v>4941</v>
      </c>
    </row>
    <row r="2469" spans="1:9" x14ac:dyDescent="0.2">
      <c r="A2469" s="2" t="s">
        <v>3316</v>
      </c>
      <c r="B2469" s="2" t="s">
        <v>603</v>
      </c>
      <c r="C2469" s="2">
        <v>670.12220000000002</v>
      </c>
      <c r="D2469" s="2">
        <f>HYPERLINK("http://mcb-m6.bioreg.kyushu-u.ac.jp/M3/20110502/F51179/1359/1", 68.62)</f>
        <v>68.62</v>
      </c>
      <c r="E2469" s="2">
        <v>49.77</v>
      </c>
      <c r="F2469" s="2">
        <v>2</v>
      </c>
      <c r="G2469" s="2" t="s">
        <v>14</v>
      </c>
      <c r="I2469" s="2" t="s">
        <v>4926</v>
      </c>
    </row>
    <row r="2470" spans="1:9" x14ac:dyDescent="0.2">
      <c r="A2470" s="2" t="s">
        <v>3316</v>
      </c>
      <c r="B2470" s="2" t="s">
        <v>1031</v>
      </c>
      <c r="C2470" s="2">
        <v>649.55820000000006</v>
      </c>
      <c r="D2470" s="2">
        <f>HYPERLINK("http://mcb-m6.bioreg.kyushu-u.ac.jp/M3/20110502/F51179/1258/1", 81.63)</f>
        <v>81.63</v>
      </c>
      <c r="E2470" s="2">
        <v>53.4</v>
      </c>
      <c r="F2470" s="2">
        <v>2</v>
      </c>
      <c r="G2470" s="2" t="s">
        <v>14</v>
      </c>
      <c r="H2470" s="2" t="s">
        <v>4919</v>
      </c>
    </row>
    <row r="2471" spans="1:9" x14ac:dyDescent="0.2">
      <c r="A2471" s="2" t="s">
        <v>3316</v>
      </c>
      <c r="B2471" s="2" t="s">
        <v>1523</v>
      </c>
      <c r="C2471" s="2">
        <v>771.07569999999998</v>
      </c>
      <c r="D2471" s="2">
        <f>HYPERLINK("http://mcb-m6.bioreg.kyushu-u.ac.jp/M3/20110502/F51179/1960/1", 90.81)</f>
        <v>90.81</v>
      </c>
      <c r="E2471" s="2">
        <v>76.61</v>
      </c>
      <c r="F2471" s="2">
        <v>2</v>
      </c>
      <c r="G2471" s="2" t="s">
        <v>14</v>
      </c>
      <c r="I2471" s="2" t="s">
        <v>4940</v>
      </c>
    </row>
    <row r="2472" spans="1:9" x14ac:dyDescent="0.2">
      <c r="A2472" s="2" t="s">
        <v>3316</v>
      </c>
      <c r="B2472" s="2" t="s">
        <v>1577</v>
      </c>
      <c r="C2472" s="2">
        <v>885.21469999999999</v>
      </c>
      <c r="D2472" s="2">
        <f>HYPERLINK("http://mcb-m6.bioreg.kyushu-u.ac.jp/M3/20110502/F51179/2587/1", 91.42)</f>
        <v>91.42</v>
      </c>
      <c r="E2472" s="2">
        <v>76.849999999999994</v>
      </c>
      <c r="F2472" s="2">
        <v>2</v>
      </c>
      <c r="G2472" s="2" t="s">
        <v>14</v>
      </c>
    </row>
    <row r="2473" spans="1:9" x14ac:dyDescent="0.2">
      <c r="A2473" s="2" t="s">
        <v>3326</v>
      </c>
      <c r="B2473" s="2" t="s">
        <v>112</v>
      </c>
      <c r="C2473" s="2">
        <v>987.601</v>
      </c>
      <c r="D2473" s="2">
        <f>HYPERLINK("http://mcb-m6.bioreg.kyushu-u.ac.jp/M3/20110411/F50904/1115/1", 36.21)</f>
        <v>36.21</v>
      </c>
      <c r="E2473" s="2">
        <v>30.95</v>
      </c>
      <c r="F2473" s="2">
        <v>1</v>
      </c>
      <c r="G2473" s="2" t="s">
        <v>9</v>
      </c>
    </row>
    <row r="2474" spans="1:9" x14ac:dyDescent="0.2">
      <c r="A2474" s="2" t="s">
        <v>3326</v>
      </c>
      <c r="B2474" s="2" t="s">
        <v>1078</v>
      </c>
      <c r="C2474" s="2">
        <v>749.97019999999998</v>
      </c>
      <c r="D2474" s="2">
        <f>HYPERLINK("http://mcb-m6.bioreg.kyushu-u.ac.jp/M3/20110411/F50904/2088/1", 61.96)</f>
        <v>61.96</v>
      </c>
      <c r="E2474" s="2">
        <v>47.91</v>
      </c>
      <c r="F2474" s="2">
        <v>2</v>
      </c>
      <c r="G2474" s="2" t="s">
        <v>9</v>
      </c>
    </row>
    <row r="2475" spans="1:9" x14ac:dyDescent="0.2">
      <c r="A2475" s="2" t="s">
        <v>3326</v>
      </c>
      <c r="B2475" s="2" t="s">
        <v>112</v>
      </c>
      <c r="C2475" s="2">
        <v>1003.77</v>
      </c>
      <c r="D2475" s="2">
        <f>HYPERLINK("http://mcb-m6.bioreg.kyushu-u.ac.jp/M3/20110411/F50912/1072/1", 35.87)</f>
        <v>35.869999999999997</v>
      </c>
      <c r="E2475" s="2">
        <v>18.79</v>
      </c>
      <c r="F2475" s="2">
        <v>1</v>
      </c>
      <c r="G2475" s="2" t="s">
        <v>10</v>
      </c>
      <c r="H2475" s="2" t="s">
        <v>4901</v>
      </c>
    </row>
    <row r="2476" spans="1:9" x14ac:dyDescent="0.2">
      <c r="A2476" s="2" t="s">
        <v>3326</v>
      </c>
      <c r="B2476" s="2" t="s">
        <v>1946</v>
      </c>
      <c r="C2476" s="2">
        <v>750.94320000000005</v>
      </c>
      <c r="D2476" s="2">
        <f>HYPERLINK("http://mcb-m6.bioreg.kyushu-u.ac.jp/M3/20110411/F50912/2080/1", 52.8)</f>
        <v>52.8</v>
      </c>
      <c r="E2476" s="2">
        <v>37.369999999999997</v>
      </c>
      <c r="F2476" s="2">
        <v>2</v>
      </c>
      <c r="G2476" s="2" t="s">
        <v>10</v>
      </c>
    </row>
    <row r="2477" spans="1:9" x14ac:dyDescent="0.2">
      <c r="A2477" s="2" t="s">
        <v>3326</v>
      </c>
      <c r="B2477" s="2" t="s">
        <v>1946</v>
      </c>
      <c r="C2477" s="2">
        <v>750.59370000000001</v>
      </c>
      <c r="D2477" s="2">
        <f>HYPERLINK("http://mcb-m6.bioreg.kyushu-u.ac.jp/M3/20110411/F50912/2078/1", 97.19)</f>
        <v>97.19</v>
      </c>
      <c r="E2477" s="2">
        <v>78.3</v>
      </c>
      <c r="F2477" s="2">
        <v>2</v>
      </c>
      <c r="G2477" s="2" t="s">
        <v>10</v>
      </c>
    </row>
    <row r="2478" spans="1:9" x14ac:dyDescent="0.2">
      <c r="A2478" s="2" t="s">
        <v>3326</v>
      </c>
      <c r="B2478" s="2" t="s">
        <v>2302</v>
      </c>
      <c r="C2478" s="2">
        <v>1410.521</v>
      </c>
      <c r="D2478" s="2">
        <f>HYPERLINK("http://mcb-m6.bioreg.kyushu-u.ac.jp/M3/20110414/F50941/1887/1", 44.39)</f>
        <v>44.39</v>
      </c>
      <c r="E2478" s="2">
        <v>34.35</v>
      </c>
      <c r="F2478" s="2">
        <v>1</v>
      </c>
      <c r="G2478" s="2" t="s">
        <v>11</v>
      </c>
    </row>
    <row r="2479" spans="1:9" x14ac:dyDescent="0.2">
      <c r="A2479" s="2" t="s">
        <v>3326</v>
      </c>
      <c r="B2479" s="2" t="s">
        <v>2302</v>
      </c>
      <c r="C2479" s="2">
        <v>705.72609999999997</v>
      </c>
      <c r="D2479" s="2">
        <f>HYPERLINK("http://mcb-m6.bioreg.kyushu-u.ac.jp/M3/20110414/F50941/1886/1", 46.66)</f>
        <v>46.66</v>
      </c>
      <c r="E2479" s="2">
        <v>28.92</v>
      </c>
      <c r="F2479" s="2">
        <v>2</v>
      </c>
      <c r="G2479" s="2" t="s">
        <v>11</v>
      </c>
    </row>
    <row r="2480" spans="1:9" x14ac:dyDescent="0.2">
      <c r="A2480" s="2" t="s">
        <v>3326</v>
      </c>
      <c r="B2480" s="2" t="s">
        <v>2302</v>
      </c>
      <c r="C2480" s="2">
        <v>1409.663</v>
      </c>
      <c r="D2480" s="2">
        <f>HYPERLINK("http://mcb-m6.bioreg.kyushu-u.ac.jp/M3/20110414/F50947/1709/1", 42.05)</f>
        <v>42.05</v>
      </c>
      <c r="E2480" s="2">
        <v>31</v>
      </c>
      <c r="F2480" s="2">
        <v>1</v>
      </c>
      <c r="G2480" s="2" t="s">
        <v>12</v>
      </c>
    </row>
    <row r="2481" spans="1:9" x14ac:dyDescent="0.2">
      <c r="A2481" s="2" t="s">
        <v>3326</v>
      </c>
      <c r="B2481" s="2" t="s">
        <v>2302</v>
      </c>
      <c r="C2481" s="2">
        <v>705.8356</v>
      </c>
      <c r="D2481" s="2">
        <f>HYPERLINK("http://mcb-m6.bioreg.kyushu-u.ac.jp/M3/20110502/F51170/1891/1", 81.54)</f>
        <v>81.540000000000006</v>
      </c>
      <c r="E2481" s="2">
        <v>49.63</v>
      </c>
      <c r="F2481" s="2">
        <v>2</v>
      </c>
      <c r="G2481" s="2" t="s">
        <v>13</v>
      </c>
    </row>
    <row r="2482" spans="1:9" x14ac:dyDescent="0.2">
      <c r="A2482" s="2" t="s">
        <v>4036</v>
      </c>
      <c r="B2482" s="2" t="s">
        <v>1366</v>
      </c>
      <c r="C2482" s="2">
        <v>528.37159999999994</v>
      </c>
      <c r="D2482" s="2">
        <f>HYPERLINK("http://mcb-m6.bioreg.kyushu-u.ac.jp/M3/20110411/F50892/1417/1", 75.76)</f>
        <v>75.760000000000005</v>
      </c>
      <c r="E2482" s="2">
        <v>44.9</v>
      </c>
      <c r="F2482" s="2">
        <v>2</v>
      </c>
      <c r="G2482" s="2" t="s">
        <v>9</v>
      </c>
    </row>
    <row r="2483" spans="1:9" x14ac:dyDescent="0.2">
      <c r="A2483" s="2" t="s">
        <v>4036</v>
      </c>
      <c r="B2483" s="2" t="s">
        <v>1366</v>
      </c>
      <c r="C2483" s="2">
        <v>528.53719999999998</v>
      </c>
      <c r="D2483" s="2">
        <f>HYPERLINK("http://mcb-m6.bioreg.kyushu-u.ac.jp/M3/20110502/F51180/825/1", 48.58)</f>
        <v>48.58</v>
      </c>
      <c r="E2483" s="2">
        <v>30.78</v>
      </c>
      <c r="F2483" s="2">
        <v>2</v>
      </c>
      <c r="G2483" s="2" t="s">
        <v>13</v>
      </c>
    </row>
    <row r="2484" spans="1:9" x14ac:dyDescent="0.2">
      <c r="A2484" s="2" t="s">
        <v>4036</v>
      </c>
      <c r="B2484" s="2" t="s">
        <v>1366</v>
      </c>
      <c r="C2484" s="2">
        <v>528.69209999999998</v>
      </c>
      <c r="D2484" s="2">
        <f>HYPERLINK("http://mcb-m6.bioreg.kyushu-u.ac.jp/M3/20110502/F51182/835/1", 36.21)</f>
        <v>36.21</v>
      </c>
      <c r="E2484" s="2">
        <v>14.31</v>
      </c>
      <c r="F2484" s="2">
        <v>2</v>
      </c>
      <c r="G2484" s="2" t="s">
        <v>14</v>
      </c>
    </row>
    <row r="2485" spans="1:9" x14ac:dyDescent="0.2">
      <c r="A2485" s="2" t="s">
        <v>4419</v>
      </c>
      <c r="B2485" s="2" t="s">
        <v>2285</v>
      </c>
      <c r="C2485" s="2">
        <v>837.6422</v>
      </c>
      <c r="D2485" s="2">
        <f>HYPERLINK("http://mcb-m6.bioreg.kyushu-u.ac.jp/M3/20110414/F50944/2465/1", 43.12)</f>
        <v>43.12</v>
      </c>
      <c r="E2485" s="2">
        <v>31.4</v>
      </c>
      <c r="F2485" s="2">
        <v>2</v>
      </c>
      <c r="G2485" s="2" t="s">
        <v>11</v>
      </c>
    </row>
    <row r="2486" spans="1:9" x14ac:dyDescent="0.2">
      <c r="A2486" s="2" t="s">
        <v>4576</v>
      </c>
      <c r="B2486" s="2" t="s">
        <v>2627</v>
      </c>
      <c r="C2486" s="2">
        <v>583.23419999999999</v>
      </c>
      <c r="D2486" s="2">
        <f>HYPERLINK("http://mcb-m6.bioreg.kyushu-u.ac.jp/M3/20110414/F50959/875/1", 43.83)</f>
        <v>43.83</v>
      </c>
      <c r="E2486" s="2">
        <v>26.04</v>
      </c>
      <c r="F2486" s="2">
        <v>2</v>
      </c>
      <c r="G2486" s="2" t="s">
        <v>12</v>
      </c>
      <c r="I2486" s="2" t="s">
        <v>4934</v>
      </c>
    </row>
    <row r="2487" spans="1:9" x14ac:dyDescent="0.2">
      <c r="A2487" s="2" t="s">
        <v>3939</v>
      </c>
      <c r="B2487" s="2" t="s">
        <v>1136</v>
      </c>
      <c r="C2487" s="2">
        <v>660.06619999999998</v>
      </c>
      <c r="D2487" s="2">
        <f>HYPERLINK("http://mcb-m6.bioreg.kyushu-u.ac.jp/M3/20110411/F50903/1636/1", 64.56)</f>
        <v>64.56</v>
      </c>
      <c r="E2487" s="2">
        <v>34.159999999999997</v>
      </c>
      <c r="F2487" s="2">
        <v>2</v>
      </c>
      <c r="G2487" s="2" t="s">
        <v>9</v>
      </c>
    </row>
    <row r="2488" spans="1:9" x14ac:dyDescent="0.2">
      <c r="A2488" s="2" t="s">
        <v>4618</v>
      </c>
      <c r="B2488" s="2" t="s">
        <v>2744</v>
      </c>
      <c r="C2488" s="2">
        <v>543.12660000000005</v>
      </c>
      <c r="D2488" s="2">
        <f>HYPERLINK("http://mcb-m6.bioreg.kyushu-u.ac.jp/M3/20110414/F50930/1848/1", 72.86)</f>
        <v>72.86</v>
      </c>
      <c r="E2488" s="2">
        <v>46.75</v>
      </c>
      <c r="F2488" s="2">
        <v>2</v>
      </c>
      <c r="G2488" s="2" t="s">
        <v>12</v>
      </c>
    </row>
    <row r="2489" spans="1:9" x14ac:dyDescent="0.2">
      <c r="A2489" s="2" t="s">
        <v>3332</v>
      </c>
      <c r="B2489" s="2" t="s">
        <v>120</v>
      </c>
      <c r="C2489" s="2">
        <v>692.95259999999996</v>
      </c>
      <c r="D2489" s="2">
        <f>HYPERLINK("http://mcb-m6.bioreg.kyushu-u.ac.jp/M3/20110411/F50916/1638/1", 36.31)</f>
        <v>36.31</v>
      </c>
      <c r="E2489" s="2">
        <v>14.7</v>
      </c>
      <c r="F2489" s="2">
        <v>2</v>
      </c>
      <c r="G2489" s="2" t="s">
        <v>9</v>
      </c>
    </row>
    <row r="2490" spans="1:9" x14ac:dyDescent="0.2">
      <c r="A2490" s="2" t="s">
        <v>3332</v>
      </c>
      <c r="B2490" s="2" t="s">
        <v>120</v>
      </c>
      <c r="C2490" s="2">
        <v>692.23770000000002</v>
      </c>
      <c r="D2490" s="2">
        <f>HYPERLINK("http://mcb-m6.bioreg.kyushu-u.ac.jp/M3/20110414/F50957/1575/1", 46.23)</f>
        <v>46.23</v>
      </c>
      <c r="E2490" s="2">
        <v>31.87</v>
      </c>
      <c r="F2490" s="2">
        <v>2</v>
      </c>
      <c r="G2490" s="2" t="s">
        <v>11</v>
      </c>
    </row>
    <row r="2491" spans="1:9" x14ac:dyDescent="0.2">
      <c r="A2491" s="2" t="s">
        <v>3332</v>
      </c>
      <c r="B2491" s="2" t="s">
        <v>120</v>
      </c>
      <c r="C2491" s="2">
        <v>692.94209999999998</v>
      </c>
      <c r="D2491" s="2">
        <f>HYPERLINK("http://mcb-m6.bioreg.kyushu-u.ac.jp/M3/20110502/F51184/1549/1", 35.35)</f>
        <v>35.35</v>
      </c>
      <c r="E2491" s="2">
        <v>8.44</v>
      </c>
      <c r="F2491" s="2">
        <v>2</v>
      </c>
      <c r="G2491" s="2" t="s">
        <v>14</v>
      </c>
    </row>
    <row r="2492" spans="1:9" x14ac:dyDescent="0.2">
      <c r="A2492" s="2" t="s">
        <v>3322</v>
      </c>
      <c r="B2492" s="2" t="s">
        <v>108</v>
      </c>
      <c r="C2492" s="2">
        <v>921.61400000000003</v>
      </c>
      <c r="D2492" s="2">
        <f>HYPERLINK("http://mcb-m6.bioreg.kyushu-u.ac.jp/M3/20110411/F50916/687/1", 36.18)</f>
        <v>36.18</v>
      </c>
      <c r="E2492" s="2">
        <v>16.96</v>
      </c>
      <c r="F2492" s="2">
        <v>1</v>
      </c>
      <c r="G2492" s="2" t="s">
        <v>9</v>
      </c>
    </row>
    <row r="2493" spans="1:9" x14ac:dyDescent="0.2">
      <c r="A2493" s="2" t="s">
        <v>3322</v>
      </c>
      <c r="B2493" s="2" t="s">
        <v>673</v>
      </c>
      <c r="C2493" s="2">
        <v>683.51620000000003</v>
      </c>
      <c r="D2493" s="2">
        <f>HYPERLINK("http://mcb-m6.bioreg.kyushu-u.ac.jp/M3/20110411/F50916/1562/1", 47.87)</f>
        <v>47.87</v>
      </c>
      <c r="E2493" s="2">
        <v>32.700000000000003</v>
      </c>
      <c r="F2493" s="2">
        <v>2</v>
      </c>
      <c r="G2493" s="2" t="s">
        <v>9</v>
      </c>
    </row>
    <row r="2494" spans="1:9" x14ac:dyDescent="0.2">
      <c r="A2494" s="2" t="s">
        <v>3322</v>
      </c>
      <c r="B2494" s="2" t="s">
        <v>1238</v>
      </c>
      <c r="C2494" s="2">
        <v>545.8691</v>
      </c>
      <c r="D2494" s="2">
        <f>HYPERLINK("http://mcb-m6.bioreg.kyushu-u.ac.jp/M3/20110411/F50916/969/1", 68.38)</f>
        <v>68.38</v>
      </c>
      <c r="E2494" s="2">
        <v>49.65</v>
      </c>
      <c r="F2494" s="2">
        <v>2</v>
      </c>
      <c r="G2494" s="2" t="s">
        <v>9</v>
      </c>
    </row>
    <row r="2495" spans="1:9" x14ac:dyDescent="0.2">
      <c r="A2495" s="2" t="s">
        <v>3322</v>
      </c>
      <c r="B2495" s="2" t="s">
        <v>1404</v>
      </c>
      <c r="C2495" s="2">
        <v>664.98019999999997</v>
      </c>
      <c r="D2495" s="2">
        <f>HYPERLINK("http://mcb-m6.bioreg.kyushu-u.ac.jp/M3/20110411/F50916/1459/1", 78.12)</f>
        <v>78.12</v>
      </c>
      <c r="E2495" s="2">
        <v>33.44</v>
      </c>
      <c r="F2495" s="2">
        <v>2</v>
      </c>
      <c r="G2495" s="2" t="s">
        <v>9</v>
      </c>
    </row>
    <row r="2496" spans="1:9" x14ac:dyDescent="0.2">
      <c r="A2496" s="2" t="s">
        <v>3322</v>
      </c>
      <c r="B2496" s="2" t="s">
        <v>2044</v>
      </c>
      <c r="C2496" s="2">
        <v>656.90309999999999</v>
      </c>
      <c r="D2496" s="2">
        <f>HYPERLINK("http://mcb-m6.bioreg.kyushu-u.ac.jp/M3/20110411/F50918/1402/1", 67.93)</f>
        <v>67.930000000000007</v>
      </c>
      <c r="E2496" s="2">
        <v>50.83</v>
      </c>
      <c r="F2496" s="2">
        <v>2</v>
      </c>
      <c r="G2496" s="2" t="s">
        <v>10</v>
      </c>
    </row>
    <row r="2497" spans="1:7" x14ac:dyDescent="0.2">
      <c r="A2497" s="2" t="s">
        <v>3322</v>
      </c>
      <c r="B2497" s="2" t="s">
        <v>1238</v>
      </c>
      <c r="C2497" s="2">
        <v>545.88620000000003</v>
      </c>
      <c r="D2497" s="2">
        <f>HYPERLINK("http://mcb-m6.bioreg.kyushu-u.ac.jp/M3/20110411/F50918/948/1", 68.89)</f>
        <v>68.89</v>
      </c>
      <c r="E2497" s="2">
        <v>47.43</v>
      </c>
      <c r="F2497" s="2">
        <v>2</v>
      </c>
      <c r="G2497" s="2" t="s">
        <v>10</v>
      </c>
    </row>
    <row r="2498" spans="1:7" x14ac:dyDescent="0.2">
      <c r="A2498" s="2" t="s">
        <v>3322</v>
      </c>
      <c r="B2498" s="2" t="s">
        <v>2044</v>
      </c>
      <c r="C2498" s="2">
        <v>657.41020000000003</v>
      </c>
      <c r="D2498" s="2">
        <f>HYPERLINK("http://mcb-m6.bioreg.kyushu-u.ac.jp/M3/20110411/F50918/1404/1", 82.54)</f>
        <v>82.54</v>
      </c>
      <c r="E2498" s="2">
        <v>62.43</v>
      </c>
      <c r="F2498" s="2">
        <v>2</v>
      </c>
      <c r="G2498" s="2" t="s">
        <v>10</v>
      </c>
    </row>
    <row r="2499" spans="1:7" x14ac:dyDescent="0.2">
      <c r="A2499" s="2" t="s">
        <v>3322</v>
      </c>
      <c r="B2499" s="2" t="s">
        <v>2118</v>
      </c>
      <c r="C2499" s="2">
        <v>784.01570000000004</v>
      </c>
      <c r="D2499" s="2">
        <f>HYPERLINK("http://mcb-m6.bioreg.kyushu-u.ac.jp/M3/20110411/F50918/2095/1", 86.31)</f>
        <v>86.31</v>
      </c>
      <c r="E2499" s="2">
        <v>68.430000000000007</v>
      </c>
      <c r="F2499" s="2">
        <v>2</v>
      </c>
      <c r="G2499" s="2" t="s">
        <v>10</v>
      </c>
    </row>
    <row r="2500" spans="1:7" x14ac:dyDescent="0.2">
      <c r="A2500" s="2" t="s">
        <v>3322</v>
      </c>
      <c r="B2500" s="2" t="s">
        <v>1404</v>
      </c>
      <c r="C2500" s="2">
        <v>665.01969999999994</v>
      </c>
      <c r="D2500" s="2">
        <f>HYPERLINK("http://mcb-m6.bioreg.kyushu-u.ac.jp/M3/20110411/F50918/1430/1", 86.52)</f>
        <v>86.52</v>
      </c>
      <c r="E2500" s="2">
        <v>25.05</v>
      </c>
      <c r="F2500" s="2">
        <v>2</v>
      </c>
      <c r="G2500" s="2" t="s">
        <v>10</v>
      </c>
    </row>
    <row r="2501" spans="1:7" x14ac:dyDescent="0.2">
      <c r="A2501" s="2" t="s">
        <v>3322</v>
      </c>
      <c r="B2501" s="2" t="s">
        <v>1238</v>
      </c>
      <c r="C2501" s="2">
        <v>545.48069999999996</v>
      </c>
      <c r="D2501" s="2">
        <f>HYPERLINK("http://mcb-m6.bioreg.kyushu-u.ac.jp/M3/20110414/F50943/1061/1", 42.84)</f>
        <v>42.84</v>
      </c>
      <c r="E2501" s="2">
        <v>24.45</v>
      </c>
      <c r="F2501" s="2">
        <v>2</v>
      </c>
      <c r="G2501" s="2" t="s">
        <v>11</v>
      </c>
    </row>
    <row r="2502" spans="1:7" x14ac:dyDescent="0.2">
      <c r="A2502" s="2" t="s">
        <v>3322</v>
      </c>
      <c r="B2502" s="2" t="s">
        <v>2044</v>
      </c>
      <c r="C2502" s="2">
        <v>656.80719999999997</v>
      </c>
      <c r="D2502" s="2">
        <f>HYPERLINK("http://mcb-m6.bioreg.kyushu-u.ac.jp/M3/20110414/F50957/1316/1", 44.54)</f>
        <v>44.54</v>
      </c>
      <c r="E2502" s="2">
        <v>31.3</v>
      </c>
      <c r="F2502" s="2">
        <v>2</v>
      </c>
      <c r="G2502" s="2" t="s">
        <v>11</v>
      </c>
    </row>
    <row r="2503" spans="1:7" x14ac:dyDescent="0.2">
      <c r="A2503" s="2" t="s">
        <v>3322</v>
      </c>
      <c r="B2503" s="2" t="s">
        <v>2380</v>
      </c>
      <c r="C2503" s="2">
        <v>765.14319999999998</v>
      </c>
      <c r="D2503" s="2">
        <f>HYPERLINK("http://mcb-m6.bioreg.kyushu-u.ac.jp/M3/20110414/F50957/2045/1", 52.34)</f>
        <v>52.34</v>
      </c>
      <c r="E2503" s="2">
        <v>39.71</v>
      </c>
      <c r="F2503" s="2">
        <v>2</v>
      </c>
      <c r="G2503" s="2" t="s">
        <v>11</v>
      </c>
    </row>
    <row r="2504" spans="1:7" x14ac:dyDescent="0.2">
      <c r="A2504" s="2" t="s">
        <v>3322</v>
      </c>
      <c r="B2504" s="2" t="s">
        <v>2462</v>
      </c>
      <c r="C2504" s="2">
        <v>720.0797</v>
      </c>
      <c r="D2504" s="2">
        <f>HYPERLINK("http://mcb-m6.bioreg.kyushu-u.ac.jp/M3/20110414/F50962/1827/1", 71.23)</f>
        <v>71.23</v>
      </c>
      <c r="E2504" s="2">
        <v>37.97</v>
      </c>
      <c r="F2504" s="2">
        <v>2</v>
      </c>
      <c r="G2504" s="2" t="s">
        <v>11</v>
      </c>
    </row>
    <row r="2505" spans="1:7" x14ac:dyDescent="0.2">
      <c r="A2505" s="2" t="s">
        <v>3322</v>
      </c>
      <c r="B2505" s="2" t="s">
        <v>1404</v>
      </c>
      <c r="C2505" s="2">
        <v>665.31619999999998</v>
      </c>
      <c r="D2505" s="2">
        <f>HYPERLINK("http://mcb-m6.bioreg.kyushu-u.ac.jp/M3/20110414/F50957/1376/1", 73.53)</f>
        <v>73.53</v>
      </c>
      <c r="E2505" s="2">
        <v>28.19</v>
      </c>
      <c r="F2505" s="2">
        <v>2</v>
      </c>
      <c r="G2505" s="2" t="s">
        <v>11</v>
      </c>
    </row>
    <row r="2506" spans="1:7" x14ac:dyDescent="0.2">
      <c r="A2506" s="2" t="s">
        <v>3322</v>
      </c>
      <c r="B2506" s="2" t="s">
        <v>2462</v>
      </c>
      <c r="C2506" s="2">
        <v>720.29470000000003</v>
      </c>
      <c r="D2506" s="2">
        <f>HYPERLINK("http://mcb-m6.bioreg.kyushu-u.ac.jp/M3/20110414/F50943/1756/1", 103.04)</f>
        <v>103.04</v>
      </c>
      <c r="E2506" s="2">
        <v>58.76</v>
      </c>
      <c r="F2506" s="2">
        <v>2</v>
      </c>
      <c r="G2506" s="2" t="s">
        <v>11</v>
      </c>
    </row>
    <row r="2507" spans="1:7" x14ac:dyDescent="0.2">
      <c r="A2507" s="2" t="s">
        <v>3322</v>
      </c>
      <c r="B2507" s="2" t="s">
        <v>2462</v>
      </c>
      <c r="C2507" s="2">
        <v>719.71310000000005</v>
      </c>
      <c r="D2507" s="2">
        <f>HYPERLINK("http://mcb-m6.bioreg.kyushu-u.ac.jp/M3/20110414/F50957/1768/1", 109.08)</f>
        <v>109.08</v>
      </c>
      <c r="E2507" s="2">
        <v>64.510000000000005</v>
      </c>
      <c r="F2507" s="2">
        <v>2</v>
      </c>
      <c r="G2507" s="2" t="s">
        <v>11</v>
      </c>
    </row>
    <row r="2508" spans="1:7" x14ac:dyDescent="0.2">
      <c r="A2508" s="2" t="s">
        <v>3322</v>
      </c>
      <c r="B2508" s="2" t="s">
        <v>1238</v>
      </c>
      <c r="C2508" s="2">
        <v>545.66359999999997</v>
      </c>
      <c r="D2508" s="2">
        <f>HYPERLINK("http://mcb-m6.bioreg.kyushu-u.ac.jp/M3/20110414/F50959/717/1", 40.56)</f>
        <v>40.56</v>
      </c>
      <c r="E2508" s="2">
        <v>23.89</v>
      </c>
      <c r="F2508" s="2">
        <v>2</v>
      </c>
      <c r="G2508" s="2" t="s">
        <v>12</v>
      </c>
    </row>
    <row r="2509" spans="1:7" x14ac:dyDescent="0.2">
      <c r="A2509" s="2" t="s">
        <v>3322</v>
      </c>
      <c r="B2509" s="2" t="s">
        <v>2044</v>
      </c>
      <c r="C2509" s="2">
        <v>656.73419999999999</v>
      </c>
      <c r="D2509" s="2">
        <f>HYPERLINK("http://mcb-m6.bioreg.kyushu-u.ac.jp/M3/20110414/F50959/1313/1", 47.76)</f>
        <v>47.76</v>
      </c>
      <c r="E2509" s="2">
        <v>33.54</v>
      </c>
      <c r="F2509" s="2">
        <v>2</v>
      </c>
      <c r="G2509" s="2" t="s">
        <v>12</v>
      </c>
    </row>
    <row r="2510" spans="1:7" x14ac:dyDescent="0.2">
      <c r="A2510" s="2" t="s">
        <v>3322</v>
      </c>
      <c r="B2510" s="2" t="s">
        <v>1404</v>
      </c>
      <c r="C2510" s="2">
        <v>664.83320000000003</v>
      </c>
      <c r="D2510" s="2">
        <f>HYPERLINK("http://mcb-m6.bioreg.kyushu-u.ac.jp/M3/20110414/F50959/1364/1", 59.3)</f>
        <v>59.3</v>
      </c>
      <c r="E2510" s="2">
        <v>21.1</v>
      </c>
      <c r="F2510" s="2">
        <v>2</v>
      </c>
      <c r="G2510" s="2" t="s">
        <v>12</v>
      </c>
    </row>
    <row r="2511" spans="1:7" x14ac:dyDescent="0.2">
      <c r="A2511" s="2" t="s">
        <v>3322</v>
      </c>
      <c r="B2511" s="2" t="s">
        <v>2044</v>
      </c>
      <c r="C2511" s="2">
        <v>657.2482</v>
      </c>
      <c r="D2511" s="2">
        <f>HYPERLINK("http://mcb-m6.bioreg.kyushu-u.ac.jp/M3/20110414/F50959/1314/1", 61.1)</f>
        <v>61.1</v>
      </c>
      <c r="E2511" s="2">
        <v>39.81</v>
      </c>
      <c r="F2511" s="2">
        <v>2</v>
      </c>
      <c r="G2511" s="2" t="s">
        <v>12</v>
      </c>
    </row>
    <row r="2512" spans="1:7" x14ac:dyDescent="0.2">
      <c r="A2512" s="2" t="s">
        <v>3322</v>
      </c>
      <c r="B2512" s="2" t="s">
        <v>1404</v>
      </c>
      <c r="C2512" s="2">
        <v>665.36659999999995</v>
      </c>
      <c r="D2512" s="2">
        <f>HYPERLINK("http://mcb-m6.bioreg.kyushu-u.ac.jp/M3/20110414/F50959/1368/1", 66.48)</f>
        <v>66.48</v>
      </c>
      <c r="E2512" s="2">
        <v>17.29</v>
      </c>
      <c r="F2512" s="2">
        <v>2</v>
      </c>
      <c r="G2512" s="2" t="s">
        <v>12</v>
      </c>
    </row>
    <row r="2513" spans="1:9" x14ac:dyDescent="0.2">
      <c r="A2513" s="2" t="s">
        <v>3322</v>
      </c>
      <c r="B2513" s="2" t="s">
        <v>2044</v>
      </c>
      <c r="C2513" s="2">
        <v>657.01009999999997</v>
      </c>
      <c r="D2513" s="2">
        <f>HYPERLINK("http://mcb-m6.bioreg.kyushu-u.ac.jp/M3/20110502/F51173/1311/1", 35.4)</f>
        <v>35.4</v>
      </c>
      <c r="E2513" s="2">
        <v>12.93</v>
      </c>
      <c r="F2513" s="2">
        <v>2</v>
      </c>
      <c r="G2513" s="2" t="s">
        <v>13</v>
      </c>
    </row>
    <row r="2514" spans="1:9" x14ac:dyDescent="0.2">
      <c r="A2514" s="2" t="s">
        <v>3322</v>
      </c>
      <c r="B2514" s="2" t="s">
        <v>108</v>
      </c>
      <c r="C2514" s="2">
        <v>921.78</v>
      </c>
      <c r="D2514" s="2">
        <f>HYPERLINK("http://mcb-m6.bioreg.kyushu-u.ac.jp/M3/20110502/F51173/475/1", 39.05)</f>
        <v>39.049999999999997</v>
      </c>
      <c r="E2514" s="2">
        <v>17.149999999999999</v>
      </c>
      <c r="F2514" s="2">
        <v>1</v>
      </c>
      <c r="G2514" s="2" t="s">
        <v>13</v>
      </c>
    </row>
    <row r="2515" spans="1:9" x14ac:dyDescent="0.2">
      <c r="A2515" s="2" t="s">
        <v>3322</v>
      </c>
      <c r="B2515" s="2" t="s">
        <v>2882</v>
      </c>
      <c r="C2515" s="2">
        <v>482.96609999999998</v>
      </c>
      <c r="D2515" s="2">
        <f>HYPERLINK("http://mcb-m6.bioreg.kyushu-u.ac.jp/M3/20110502/F51173/544/1", 42.9)</f>
        <v>42.9</v>
      </c>
      <c r="E2515" s="2">
        <v>15.12</v>
      </c>
      <c r="F2515" s="2">
        <v>2</v>
      </c>
      <c r="G2515" s="2" t="s">
        <v>13</v>
      </c>
    </row>
    <row r="2516" spans="1:9" x14ac:dyDescent="0.2">
      <c r="A2516" s="2" t="s">
        <v>3322</v>
      </c>
      <c r="B2516" s="2" t="s">
        <v>1238</v>
      </c>
      <c r="C2516" s="2">
        <v>545.93470000000002</v>
      </c>
      <c r="D2516" s="2">
        <f>HYPERLINK("http://mcb-m6.bioreg.kyushu-u.ac.jp/M3/20110502/F51184/748/1", 42.26)</f>
        <v>42.26</v>
      </c>
      <c r="E2516" s="2">
        <v>15.72</v>
      </c>
      <c r="F2516" s="2">
        <v>2</v>
      </c>
      <c r="G2516" s="2" t="s">
        <v>14</v>
      </c>
    </row>
    <row r="2517" spans="1:9" x14ac:dyDescent="0.2">
      <c r="A2517" s="2" t="s">
        <v>3322</v>
      </c>
      <c r="B2517" s="2" t="s">
        <v>673</v>
      </c>
      <c r="C2517" s="2">
        <v>683.61410000000001</v>
      </c>
      <c r="D2517" s="2">
        <f>HYPERLINK("http://mcb-m6.bioreg.kyushu-u.ac.jp/M3/20110502/F51184/1462/1", 64.06)</f>
        <v>64.06</v>
      </c>
      <c r="E2517" s="2">
        <v>51.07</v>
      </c>
      <c r="F2517" s="2">
        <v>2</v>
      </c>
      <c r="G2517" s="2" t="s">
        <v>14</v>
      </c>
    </row>
    <row r="2518" spans="1:9" x14ac:dyDescent="0.2">
      <c r="A2518" s="2" t="s">
        <v>3322</v>
      </c>
      <c r="B2518" s="2" t="s">
        <v>2462</v>
      </c>
      <c r="C2518" s="2">
        <v>720.45010000000002</v>
      </c>
      <c r="D2518" s="2">
        <f>HYPERLINK("http://mcb-m6.bioreg.kyushu-u.ac.jp/M3/20110502/F51194/1739/1", 71.59)</f>
        <v>71.59</v>
      </c>
      <c r="E2518" s="2">
        <v>52.81</v>
      </c>
      <c r="F2518" s="2">
        <v>2</v>
      </c>
      <c r="G2518" s="2" t="s">
        <v>14</v>
      </c>
    </row>
    <row r="2519" spans="1:9" x14ac:dyDescent="0.2">
      <c r="A2519" s="2" t="s">
        <v>3322</v>
      </c>
      <c r="B2519" s="2" t="s">
        <v>2044</v>
      </c>
      <c r="C2519" s="2">
        <v>657.05160000000001</v>
      </c>
      <c r="D2519" s="2">
        <f>HYPERLINK("http://mcb-m6.bioreg.kyushu-u.ac.jp/M3/20110502/F51184/1304/1", 79.83)</f>
        <v>79.83</v>
      </c>
      <c r="E2519" s="2">
        <v>58.9</v>
      </c>
      <c r="F2519" s="2">
        <v>2</v>
      </c>
      <c r="G2519" s="2" t="s">
        <v>14</v>
      </c>
    </row>
    <row r="2520" spans="1:9" x14ac:dyDescent="0.2">
      <c r="A2520" s="2" t="s">
        <v>3322</v>
      </c>
      <c r="B2520" s="2" t="s">
        <v>2462</v>
      </c>
      <c r="C2520" s="2">
        <v>720.06870000000004</v>
      </c>
      <c r="D2520" s="2">
        <f>HYPERLINK("http://mcb-m6.bioreg.kyushu-u.ac.jp/M3/20110502/F51184/1730/1", 121.08)</f>
        <v>121.08</v>
      </c>
      <c r="E2520" s="2">
        <v>75.88</v>
      </c>
      <c r="F2520" s="2">
        <v>2</v>
      </c>
      <c r="G2520" s="2" t="s">
        <v>14</v>
      </c>
    </row>
    <row r="2521" spans="1:9" x14ac:dyDescent="0.2">
      <c r="A2521" s="2" t="s">
        <v>3887</v>
      </c>
      <c r="B2521" s="2" t="s">
        <v>1028</v>
      </c>
      <c r="C2521" s="2">
        <v>596.41970000000003</v>
      </c>
      <c r="D2521" s="2">
        <f>HYPERLINK("http://mcb-m6.bioreg.kyushu-u.ac.jp/M3/20110411/F50916/1155/1", 59.43)</f>
        <v>59.43</v>
      </c>
      <c r="E2521" s="2">
        <v>31.7</v>
      </c>
      <c r="F2521" s="2">
        <v>2</v>
      </c>
      <c r="G2521" s="2" t="s">
        <v>9</v>
      </c>
      <c r="I2521" s="2" t="s">
        <v>4892</v>
      </c>
    </row>
    <row r="2522" spans="1:9" x14ac:dyDescent="0.2">
      <c r="A2522" s="2" t="s">
        <v>3887</v>
      </c>
      <c r="B2522" s="2" t="s">
        <v>1142</v>
      </c>
      <c r="C2522" s="2">
        <v>865.01369999999997</v>
      </c>
      <c r="D2522" s="2">
        <f>HYPERLINK("http://mcb-m6.bioreg.kyushu-u.ac.jp/M3/20110411/F50916/2541/1", 64.9)</f>
        <v>64.900000000000006</v>
      </c>
      <c r="E2522" s="2">
        <v>44.37</v>
      </c>
      <c r="F2522" s="2">
        <v>2</v>
      </c>
      <c r="G2522" s="2" t="s">
        <v>9</v>
      </c>
    </row>
    <row r="2523" spans="1:9" x14ac:dyDescent="0.2">
      <c r="A2523" s="2" t="s">
        <v>3887</v>
      </c>
      <c r="B2523" s="2" t="s">
        <v>1432</v>
      </c>
      <c r="C2523" s="2">
        <v>863.0367</v>
      </c>
      <c r="D2523" s="2">
        <f>HYPERLINK("http://mcb-m6.bioreg.kyushu-u.ac.jp/M3/20110411/F50916/2521/1", 79.94)</f>
        <v>79.94</v>
      </c>
      <c r="E2523" s="2">
        <v>62.88</v>
      </c>
      <c r="F2523" s="2">
        <v>2</v>
      </c>
      <c r="G2523" s="2" t="s">
        <v>9</v>
      </c>
    </row>
    <row r="2524" spans="1:9" x14ac:dyDescent="0.2">
      <c r="A2524" s="2" t="s">
        <v>3887</v>
      </c>
      <c r="B2524" s="2" t="s">
        <v>1480</v>
      </c>
      <c r="C2524" s="2">
        <v>987.59860000000003</v>
      </c>
      <c r="D2524" s="2">
        <f>HYPERLINK("http://mcb-m6.bioreg.kyushu-u.ac.jp/M3/20110411/F50916/3084/1", 84.82)</f>
        <v>84.82</v>
      </c>
      <c r="E2524" s="2">
        <v>75.83</v>
      </c>
      <c r="F2524" s="2">
        <v>2</v>
      </c>
      <c r="G2524" s="2" t="s">
        <v>9</v>
      </c>
    </row>
    <row r="2525" spans="1:9" x14ac:dyDescent="0.2">
      <c r="A2525" s="2" t="s">
        <v>3887</v>
      </c>
      <c r="B2525" s="2" t="s">
        <v>1876</v>
      </c>
      <c r="C2525" s="2">
        <v>584.87819999999999</v>
      </c>
      <c r="D2525" s="2">
        <f>HYPERLINK("http://mcb-m6.bioreg.kyushu-u.ac.jp/M3/20110411/F50914/1379/1", 46.27)</f>
        <v>46.27</v>
      </c>
      <c r="E2525" s="2">
        <v>28.08</v>
      </c>
      <c r="F2525" s="2">
        <v>2</v>
      </c>
      <c r="G2525" s="2" t="s">
        <v>10</v>
      </c>
    </row>
    <row r="2526" spans="1:9" x14ac:dyDescent="0.2">
      <c r="A2526" s="2" t="s">
        <v>3887</v>
      </c>
      <c r="B2526" s="2" t="s">
        <v>1432</v>
      </c>
      <c r="C2526" s="2">
        <v>863.32759999999996</v>
      </c>
      <c r="D2526" s="2">
        <f>HYPERLINK("http://mcb-m6.bioreg.kyushu-u.ac.jp/M3/20110411/F50918/2460/1", 47.93)</f>
        <v>47.93</v>
      </c>
      <c r="E2526" s="2">
        <v>36.92</v>
      </c>
      <c r="F2526" s="2">
        <v>2</v>
      </c>
      <c r="G2526" s="2" t="s">
        <v>10</v>
      </c>
    </row>
    <row r="2527" spans="1:9" x14ac:dyDescent="0.2">
      <c r="A2527" s="2" t="s">
        <v>3887</v>
      </c>
      <c r="B2527" s="2" t="s">
        <v>2052</v>
      </c>
      <c r="C2527" s="2">
        <v>590.98820000000001</v>
      </c>
      <c r="D2527" s="2">
        <f>HYPERLINK("http://mcb-m6.bioreg.kyushu-u.ac.jp/M3/20110411/F50918/1108/1", 69.55)</f>
        <v>69.55</v>
      </c>
      <c r="E2527" s="2">
        <v>46.95</v>
      </c>
      <c r="F2527" s="2">
        <v>2</v>
      </c>
      <c r="G2527" s="2" t="s">
        <v>10</v>
      </c>
    </row>
    <row r="2528" spans="1:9" x14ac:dyDescent="0.2">
      <c r="A2528" s="2" t="s">
        <v>3887</v>
      </c>
      <c r="B2528" s="2" t="s">
        <v>1480</v>
      </c>
      <c r="C2528" s="2">
        <v>987.59059999999999</v>
      </c>
      <c r="D2528" s="2">
        <f>HYPERLINK("http://mcb-m6.bioreg.kyushu-u.ac.jp/M3/20110411/F50918/3016/1", 73.48)</f>
        <v>73.48</v>
      </c>
      <c r="E2528" s="2">
        <v>62.41</v>
      </c>
      <c r="F2528" s="2">
        <v>2</v>
      </c>
      <c r="G2528" s="2" t="s">
        <v>10</v>
      </c>
    </row>
    <row r="2529" spans="1:7" x14ac:dyDescent="0.2">
      <c r="A2529" s="2" t="s">
        <v>3887</v>
      </c>
      <c r="B2529" s="2" t="s">
        <v>1142</v>
      </c>
      <c r="C2529" s="2">
        <v>864.95619999999997</v>
      </c>
      <c r="D2529" s="2">
        <f>HYPERLINK("http://mcb-m6.bioreg.kyushu-u.ac.jp/M3/20110411/F50918/2468/1", 86.12)</f>
        <v>86.12</v>
      </c>
      <c r="E2529" s="2">
        <v>64.069999999999993</v>
      </c>
      <c r="F2529" s="2">
        <v>2</v>
      </c>
      <c r="G2529" s="2" t="s">
        <v>10</v>
      </c>
    </row>
    <row r="2530" spans="1:7" x14ac:dyDescent="0.2">
      <c r="A2530" s="2" t="s">
        <v>3887</v>
      </c>
      <c r="B2530" s="2" t="s">
        <v>1142</v>
      </c>
      <c r="C2530" s="2">
        <v>864.38509999999997</v>
      </c>
      <c r="D2530" s="2">
        <f>HYPERLINK("http://mcb-m6.bioreg.kyushu-u.ac.jp/M3/20110414/F50943/2549/1", 71.99)</f>
        <v>71.989999999999995</v>
      </c>
      <c r="E2530" s="2">
        <v>51.32</v>
      </c>
      <c r="F2530" s="2">
        <v>2</v>
      </c>
      <c r="G2530" s="2" t="s">
        <v>11</v>
      </c>
    </row>
    <row r="2531" spans="1:7" x14ac:dyDescent="0.2">
      <c r="A2531" s="2" t="s">
        <v>3887</v>
      </c>
      <c r="B2531" s="2" t="s">
        <v>1142</v>
      </c>
      <c r="C2531" s="2">
        <v>864.51760000000002</v>
      </c>
      <c r="D2531" s="2">
        <f>HYPERLINK("http://mcb-m6.bioreg.kyushu-u.ac.jp/M3/20110414/F50957/2686/1", 78.18)</f>
        <v>78.180000000000007</v>
      </c>
      <c r="E2531" s="2">
        <v>58.97</v>
      </c>
      <c r="F2531" s="2">
        <v>2</v>
      </c>
      <c r="G2531" s="2" t="s">
        <v>11</v>
      </c>
    </row>
    <row r="2532" spans="1:7" x14ac:dyDescent="0.2">
      <c r="A2532" s="2" t="s">
        <v>3887</v>
      </c>
      <c r="B2532" s="2" t="s">
        <v>1142</v>
      </c>
      <c r="C2532" s="2">
        <v>864.32169999999996</v>
      </c>
      <c r="D2532" s="2">
        <f>HYPERLINK("http://mcb-m6.bioreg.kyushu-u.ac.jp/M3/20110414/F50959/2760/1", 77.68)</f>
        <v>77.680000000000007</v>
      </c>
      <c r="E2532" s="2">
        <v>55.05</v>
      </c>
      <c r="F2532" s="2">
        <v>2</v>
      </c>
      <c r="G2532" s="2" t="s">
        <v>12</v>
      </c>
    </row>
    <row r="2533" spans="1:7" x14ac:dyDescent="0.2">
      <c r="A2533" s="2" t="s">
        <v>3887</v>
      </c>
      <c r="B2533" s="2" t="s">
        <v>1142</v>
      </c>
      <c r="C2533" s="2">
        <v>864.82619999999997</v>
      </c>
      <c r="D2533" s="2">
        <f>HYPERLINK("http://mcb-m6.bioreg.kyushu-u.ac.jp/M3/20110414/F50959/2765/1", 85.54)</f>
        <v>85.54</v>
      </c>
      <c r="E2533" s="2">
        <v>67.930000000000007</v>
      </c>
      <c r="F2533" s="2">
        <v>2</v>
      </c>
      <c r="G2533" s="2" t="s">
        <v>12</v>
      </c>
    </row>
    <row r="2534" spans="1:7" x14ac:dyDescent="0.2">
      <c r="A2534" s="2" t="s">
        <v>3887</v>
      </c>
      <c r="B2534" s="2" t="s">
        <v>2787</v>
      </c>
      <c r="C2534" s="2">
        <v>1245.875</v>
      </c>
      <c r="D2534" s="2">
        <f>HYPERLINK("http://mcb-m6.bioreg.kyushu-u.ac.jp/M3/20110414/F50959/4521/1", 128.98)</f>
        <v>128.97999999999999</v>
      </c>
      <c r="E2534" s="2">
        <v>120.27</v>
      </c>
      <c r="F2534" s="2">
        <v>2</v>
      </c>
      <c r="G2534" s="2" t="s">
        <v>12</v>
      </c>
    </row>
    <row r="2535" spans="1:7" x14ac:dyDescent="0.2">
      <c r="A2535" s="2" t="s">
        <v>3887</v>
      </c>
      <c r="B2535" s="2" t="s">
        <v>1142</v>
      </c>
      <c r="C2535" s="2">
        <v>864.64509999999996</v>
      </c>
      <c r="D2535" s="2">
        <f>HYPERLINK("http://mcb-m6.bioreg.kyushu-u.ac.jp/M3/20110502/F51173/2582/1", 71.65)</f>
        <v>71.650000000000006</v>
      </c>
      <c r="E2535" s="2">
        <v>54.54</v>
      </c>
      <c r="F2535" s="2">
        <v>2</v>
      </c>
      <c r="G2535" s="2" t="s">
        <v>13</v>
      </c>
    </row>
    <row r="2536" spans="1:7" x14ac:dyDescent="0.2">
      <c r="A2536" s="2" t="s">
        <v>3887</v>
      </c>
      <c r="B2536" s="2" t="s">
        <v>1432</v>
      </c>
      <c r="C2536" s="2">
        <v>863.48969999999997</v>
      </c>
      <c r="D2536" s="2">
        <f>HYPERLINK("http://mcb-m6.bioreg.kyushu-u.ac.jp/M3/20110502/F51173/2574/1", 73.46)</f>
        <v>73.459999999999994</v>
      </c>
      <c r="E2536" s="2">
        <v>59.59</v>
      </c>
      <c r="F2536" s="2">
        <v>2</v>
      </c>
      <c r="G2536" s="2" t="s">
        <v>13</v>
      </c>
    </row>
    <row r="2537" spans="1:7" x14ac:dyDescent="0.2">
      <c r="A2537" s="2" t="s">
        <v>3887</v>
      </c>
      <c r="B2537" s="2" t="s">
        <v>2052</v>
      </c>
      <c r="C2537" s="2">
        <v>591.09559999999999</v>
      </c>
      <c r="D2537" s="2">
        <f>HYPERLINK("http://mcb-m6.bioreg.kyushu-u.ac.jp/M3/20110502/F51184/960/1", 59.9)</f>
        <v>59.9</v>
      </c>
      <c r="E2537" s="2">
        <v>32.47</v>
      </c>
      <c r="F2537" s="2">
        <v>2</v>
      </c>
      <c r="G2537" s="2" t="s">
        <v>14</v>
      </c>
    </row>
    <row r="2538" spans="1:7" x14ac:dyDescent="0.2">
      <c r="A2538" s="2" t="s">
        <v>3887</v>
      </c>
      <c r="B2538" s="2" t="s">
        <v>1142</v>
      </c>
      <c r="C2538" s="2">
        <v>864.99369999999999</v>
      </c>
      <c r="D2538" s="2">
        <f>HYPERLINK("http://mcb-m6.bioreg.kyushu-u.ac.jp/M3/20110502/F51185/2480/1", 60.49)</f>
        <v>60.49</v>
      </c>
      <c r="E2538" s="2">
        <v>49.04</v>
      </c>
      <c r="F2538" s="2">
        <v>2</v>
      </c>
      <c r="G2538" s="2" t="s">
        <v>14</v>
      </c>
    </row>
    <row r="2539" spans="1:7" x14ac:dyDescent="0.2">
      <c r="A2539" s="2" t="s">
        <v>3887</v>
      </c>
      <c r="B2539" s="2" t="s">
        <v>1142</v>
      </c>
      <c r="C2539" s="2">
        <v>864.41309999999999</v>
      </c>
      <c r="D2539" s="2">
        <f>HYPERLINK("http://mcb-m6.bioreg.kyushu-u.ac.jp/M3/20110502/F51194/2474/1", 74.59)</f>
        <v>74.59</v>
      </c>
      <c r="E2539" s="2">
        <v>53.3</v>
      </c>
      <c r="F2539" s="2">
        <v>2</v>
      </c>
      <c r="G2539" s="2" t="s">
        <v>14</v>
      </c>
    </row>
    <row r="2540" spans="1:7" x14ac:dyDescent="0.2">
      <c r="A2540" s="2" t="s">
        <v>3887</v>
      </c>
      <c r="B2540" s="2" t="s">
        <v>1142</v>
      </c>
      <c r="C2540" s="2">
        <v>864.64469999999994</v>
      </c>
      <c r="D2540" s="2">
        <f>HYPERLINK("http://mcb-m6.bioreg.kyushu-u.ac.jp/M3/20110502/F51184/2612/1", 75.05)</f>
        <v>75.05</v>
      </c>
      <c r="E2540" s="2">
        <v>56.52</v>
      </c>
      <c r="F2540" s="2">
        <v>2</v>
      </c>
      <c r="G2540" s="2" t="s">
        <v>14</v>
      </c>
    </row>
    <row r="2541" spans="1:7" x14ac:dyDescent="0.2">
      <c r="A2541" s="2" t="s">
        <v>4858</v>
      </c>
      <c r="B2541" s="2" t="s">
        <v>3141</v>
      </c>
      <c r="C2541" s="2">
        <v>680.6191</v>
      </c>
      <c r="D2541" s="2">
        <f>HYPERLINK("http://mcb-m6.bioreg.kyushu-u.ac.jp/M3/20110502/F51184/1446/1", 51.07)</f>
        <v>51.07</v>
      </c>
      <c r="E2541" s="2">
        <v>25.66</v>
      </c>
      <c r="F2541" s="2">
        <v>2</v>
      </c>
      <c r="G2541" s="2" t="s">
        <v>14</v>
      </c>
    </row>
    <row r="2542" spans="1:7" x14ac:dyDescent="0.2">
      <c r="A2542" s="2" t="s">
        <v>4725</v>
      </c>
      <c r="B2542" s="2" t="s">
        <v>2929</v>
      </c>
      <c r="C2542" s="2">
        <v>801.67570000000001</v>
      </c>
      <c r="D2542" s="2">
        <f>HYPERLINK("http://mcb-m6.bioreg.kyushu-u.ac.jp/M3/20110502/F51172/2539/1", 57.42)</f>
        <v>57.42</v>
      </c>
      <c r="E2542" s="2">
        <v>47.73</v>
      </c>
      <c r="F2542" s="2">
        <v>2</v>
      </c>
      <c r="G2542" s="2" t="s">
        <v>13</v>
      </c>
    </row>
    <row r="2543" spans="1:7" x14ac:dyDescent="0.2">
      <c r="A2543" s="2" t="s">
        <v>4281</v>
      </c>
      <c r="B2543" s="2" t="s">
        <v>1961</v>
      </c>
      <c r="C2543" s="2">
        <v>918.13919999999996</v>
      </c>
      <c r="D2543" s="2">
        <f>HYPERLINK("http://mcb-m6.bioreg.kyushu-u.ac.jp/M3/20110411/F50913/2871/1", 54.53)</f>
        <v>54.53</v>
      </c>
      <c r="E2543" s="2">
        <v>33.65</v>
      </c>
      <c r="F2543" s="2">
        <v>2</v>
      </c>
      <c r="G2543" s="2" t="s">
        <v>10</v>
      </c>
    </row>
    <row r="2544" spans="1:7" x14ac:dyDescent="0.2">
      <c r="A2544" s="2" t="s">
        <v>4281</v>
      </c>
      <c r="B2544" s="2" t="s">
        <v>2117</v>
      </c>
      <c r="C2544" s="2">
        <v>854.36109999999996</v>
      </c>
      <c r="D2544" s="2">
        <f>HYPERLINK("http://mcb-m6.bioreg.kyushu-u.ac.jp/M3/20110411/F50913/2559/1", 85.62)</f>
        <v>85.62</v>
      </c>
      <c r="E2544" s="2">
        <v>66.81</v>
      </c>
      <c r="F2544" s="2">
        <v>2</v>
      </c>
      <c r="G2544" s="2" t="s">
        <v>10</v>
      </c>
    </row>
    <row r="2545" spans="1:8" x14ac:dyDescent="0.2">
      <c r="A2545" s="2" t="s">
        <v>4281</v>
      </c>
      <c r="B2545" s="2" t="s">
        <v>1961</v>
      </c>
      <c r="C2545" s="2">
        <v>918.13959999999997</v>
      </c>
      <c r="D2545" s="2">
        <f>HYPERLINK("http://mcb-m6.bioreg.kyushu-u.ac.jp/M3/20110411/F50912/2858/1", 93.67)</f>
        <v>93.67</v>
      </c>
      <c r="E2545" s="2">
        <v>75.569999999999993</v>
      </c>
      <c r="F2545" s="2">
        <v>2</v>
      </c>
      <c r="G2545" s="2" t="s">
        <v>10</v>
      </c>
    </row>
    <row r="2546" spans="1:8" x14ac:dyDescent="0.2">
      <c r="A2546" s="2" t="s">
        <v>4281</v>
      </c>
      <c r="B2546" s="2" t="s">
        <v>2117</v>
      </c>
      <c r="C2546" s="2">
        <v>854.30110000000002</v>
      </c>
      <c r="D2546" s="2">
        <f>HYPERLINK("http://mcb-m6.bioreg.kyushu-u.ac.jp/M3/20110414/F50947/2637/1", 65.44)</f>
        <v>65.44</v>
      </c>
      <c r="E2546" s="2">
        <v>51.24</v>
      </c>
      <c r="F2546" s="2">
        <v>2</v>
      </c>
      <c r="G2546" s="2" t="s">
        <v>12</v>
      </c>
    </row>
    <row r="2547" spans="1:8" x14ac:dyDescent="0.2">
      <c r="A2547" s="2" t="s">
        <v>4281</v>
      </c>
      <c r="B2547" s="2" t="s">
        <v>1961</v>
      </c>
      <c r="C2547" s="2">
        <v>917.85609999999997</v>
      </c>
      <c r="D2547" s="2">
        <f>HYPERLINK("http://mcb-m6.bioreg.kyushu-u.ac.jp/M3/20110414/F50947/3008/1", 91.89)</f>
        <v>91.89</v>
      </c>
      <c r="E2547" s="2">
        <v>73.72</v>
      </c>
      <c r="F2547" s="2">
        <v>2</v>
      </c>
      <c r="G2547" s="2" t="s">
        <v>12</v>
      </c>
    </row>
    <row r="2548" spans="1:8" x14ac:dyDescent="0.2">
      <c r="A2548" s="2" t="s">
        <v>4281</v>
      </c>
      <c r="B2548" s="2" t="s">
        <v>3060</v>
      </c>
      <c r="C2548" s="2">
        <v>792.17970000000003</v>
      </c>
      <c r="D2548" s="2">
        <f>HYPERLINK("http://mcb-m6.bioreg.kyushu-u.ac.jp/M3/20110502/F51179/2093/1", 40.93)</f>
        <v>40.93</v>
      </c>
      <c r="E2548" s="2">
        <v>20.59</v>
      </c>
      <c r="F2548" s="2">
        <v>2</v>
      </c>
      <c r="G2548" s="2" t="s">
        <v>14</v>
      </c>
    </row>
    <row r="2549" spans="1:8" x14ac:dyDescent="0.2">
      <c r="A2549" s="2" t="s">
        <v>4281</v>
      </c>
      <c r="B2549" s="2" t="s">
        <v>2117</v>
      </c>
      <c r="C2549" s="2">
        <v>854.09469999999999</v>
      </c>
      <c r="D2549" s="2">
        <f>HYPERLINK("http://mcb-m6.bioreg.kyushu-u.ac.jp/M3/20110502/F51179/2443/1", 91.2)</f>
        <v>91.2</v>
      </c>
      <c r="E2549" s="2">
        <v>69.61</v>
      </c>
      <c r="F2549" s="2">
        <v>2</v>
      </c>
      <c r="G2549" s="2" t="s">
        <v>14</v>
      </c>
    </row>
    <row r="2550" spans="1:8" x14ac:dyDescent="0.2">
      <c r="A2550" s="2" t="s">
        <v>4021</v>
      </c>
      <c r="B2550" s="2" t="s">
        <v>1332</v>
      </c>
      <c r="C2550" s="2">
        <v>738.89620000000002</v>
      </c>
      <c r="D2550" s="2">
        <f>HYPERLINK("http://mcb-m6.bioreg.kyushu-u.ac.jp/M3/20110411/F50889/2239/1", 73.5)</f>
        <v>73.5</v>
      </c>
      <c r="E2550" s="2">
        <v>51.46</v>
      </c>
      <c r="F2550" s="2">
        <v>2</v>
      </c>
      <c r="G2550" s="2" t="s">
        <v>9</v>
      </c>
    </row>
    <row r="2551" spans="1:8" x14ac:dyDescent="0.2">
      <c r="A2551" s="2" t="s">
        <v>3439</v>
      </c>
      <c r="B2551" s="2" t="s">
        <v>247</v>
      </c>
      <c r="C2551" s="2">
        <v>460.96359999999999</v>
      </c>
      <c r="D2551" s="2">
        <f>HYPERLINK("http://mcb-m6.bioreg.kyushu-u.ac.jp/M3/20110411/F50889/1358/1", 38.42)</f>
        <v>38.42</v>
      </c>
      <c r="E2551" s="2">
        <v>12.3</v>
      </c>
      <c r="F2551" s="2">
        <v>2</v>
      </c>
      <c r="G2551" s="2" t="s">
        <v>9</v>
      </c>
    </row>
    <row r="2552" spans="1:8" x14ac:dyDescent="0.2">
      <c r="A2552" s="2" t="s">
        <v>3439</v>
      </c>
      <c r="B2552" s="2" t="s">
        <v>247</v>
      </c>
      <c r="C2552" s="2">
        <v>460.73660000000001</v>
      </c>
      <c r="D2552" s="2">
        <f>HYPERLINK("http://mcb-m6.bioreg.kyushu-u.ac.jp/M3/20110411/F50896/1096/1", 54.59)</f>
        <v>54.59</v>
      </c>
      <c r="E2552" s="2">
        <v>14.91</v>
      </c>
      <c r="F2552" s="2">
        <v>2</v>
      </c>
      <c r="G2552" s="2" t="s">
        <v>10</v>
      </c>
    </row>
    <row r="2553" spans="1:8" x14ac:dyDescent="0.2">
      <c r="A2553" s="2" t="s">
        <v>3439</v>
      </c>
      <c r="B2553" s="2" t="s">
        <v>247</v>
      </c>
      <c r="C2553" s="2">
        <v>920.19200000000001</v>
      </c>
      <c r="D2553" s="2">
        <f>HYPERLINK("http://mcb-m6.bioreg.kyushu-u.ac.jp/M3/20110414/F50926/1290/1", 39.77)</f>
        <v>39.770000000000003</v>
      </c>
      <c r="E2553" s="2">
        <v>8.34</v>
      </c>
      <c r="F2553" s="2">
        <v>1</v>
      </c>
      <c r="G2553" s="2" t="s">
        <v>11</v>
      </c>
    </row>
    <row r="2554" spans="1:8" x14ac:dyDescent="0.2">
      <c r="A2554" s="2" t="s">
        <v>3439</v>
      </c>
      <c r="B2554" s="2" t="s">
        <v>247</v>
      </c>
      <c r="C2554" s="2">
        <v>460.49059999999997</v>
      </c>
      <c r="D2554" s="2">
        <f>HYPERLINK("http://mcb-m6.bioreg.kyushu-u.ac.jp/M3/20110414/F50926/1289/1", 43.87)</f>
        <v>43.87</v>
      </c>
      <c r="E2554" s="2">
        <v>12.55</v>
      </c>
      <c r="F2554" s="2">
        <v>2</v>
      </c>
      <c r="G2554" s="2" t="s">
        <v>11</v>
      </c>
    </row>
    <row r="2555" spans="1:8" x14ac:dyDescent="0.2">
      <c r="A2555" s="2" t="s">
        <v>3439</v>
      </c>
      <c r="B2555" s="2" t="s">
        <v>247</v>
      </c>
      <c r="C2555" s="2">
        <v>920.44899999999996</v>
      </c>
      <c r="D2555" s="2">
        <f>HYPERLINK("http://mcb-m6.bioreg.kyushu-u.ac.jp/M3/20110414/F50931/1940/1", 42.65)</f>
        <v>42.65</v>
      </c>
      <c r="E2555" s="2">
        <v>10.76</v>
      </c>
      <c r="F2555" s="2">
        <v>1</v>
      </c>
      <c r="G2555" s="2" t="s">
        <v>12</v>
      </c>
    </row>
    <row r="2556" spans="1:8" x14ac:dyDescent="0.2">
      <c r="A2556" s="2" t="s">
        <v>3572</v>
      </c>
      <c r="B2556" s="2" t="s">
        <v>440</v>
      </c>
      <c r="C2556" s="2">
        <v>1208.5830000000001</v>
      </c>
      <c r="D2556" s="2">
        <f>HYPERLINK("http://mcb-m6.bioreg.kyushu-u.ac.jp/M3/20110411/F50889/1874/2", 41.89)</f>
        <v>41.89</v>
      </c>
      <c r="E2556" s="2">
        <v>26.4</v>
      </c>
      <c r="F2556" s="2">
        <v>1</v>
      </c>
      <c r="G2556" s="2" t="s">
        <v>9</v>
      </c>
      <c r="H2556" s="2" t="s">
        <v>4904</v>
      </c>
    </row>
    <row r="2557" spans="1:8" x14ac:dyDescent="0.2">
      <c r="A2557" s="2" t="s">
        <v>3572</v>
      </c>
      <c r="B2557" s="2" t="s">
        <v>440</v>
      </c>
      <c r="C2557" s="2">
        <v>613.8297</v>
      </c>
      <c r="D2557" s="2">
        <f>HYPERLINK("http://mcb-m6.bioreg.kyushu-u.ac.jp/M3/20110411/F50890/1584/2", 55.88)</f>
        <v>55.88</v>
      </c>
      <c r="E2557" s="2">
        <v>33.1</v>
      </c>
      <c r="F2557" s="2">
        <v>2</v>
      </c>
      <c r="G2557" s="2" t="s">
        <v>9</v>
      </c>
    </row>
    <row r="2558" spans="1:8" x14ac:dyDescent="0.2">
      <c r="A2558" s="2" t="s">
        <v>3572</v>
      </c>
      <c r="B2558" s="2" t="s">
        <v>440</v>
      </c>
      <c r="C2558" s="2">
        <v>613.29819999999995</v>
      </c>
      <c r="D2558" s="2">
        <f>HYPERLINK("http://mcb-m6.bioreg.kyushu-u.ac.jp/M3/20110411/F50889/1905/2", 56.44)</f>
        <v>56.44</v>
      </c>
      <c r="E2558" s="2">
        <v>34.369999999999997</v>
      </c>
      <c r="F2558" s="2">
        <v>2</v>
      </c>
      <c r="G2558" s="2" t="s">
        <v>9</v>
      </c>
    </row>
    <row r="2559" spans="1:8" x14ac:dyDescent="0.2">
      <c r="A2559" s="2" t="s">
        <v>3572</v>
      </c>
      <c r="B2559" s="2" t="s">
        <v>440</v>
      </c>
      <c r="C2559" s="2">
        <v>1225.915</v>
      </c>
      <c r="D2559" s="2">
        <f>HYPERLINK("http://mcb-m6.bioreg.kyushu-u.ac.jp/M3/20110411/F50896/1696/2", 41.92)</f>
        <v>41.92</v>
      </c>
      <c r="E2559" s="2">
        <v>20.079999999999998</v>
      </c>
      <c r="F2559" s="2">
        <v>1</v>
      </c>
      <c r="G2559" s="2" t="s">
        <v>10</v>
      </c>
    </row>
    <row r="2560" spans="1:8" x14ac:dyDescent="0.2">
      <c r="A2560" s="2" t="s">
        <v>3572</v>
      </c>
      <c r="B2560" s="2" t="s">
        <v>440</v>
      </c>
      <c r="C2560" s="2">
        <v>1208.874</v>
      </c>
      <c r="D2560" s="2">
        <f>HYPERLINK("http://mcb-m6.bioreg.kyushu-u.ac.jp/M3/20110411/F50896/1658/2", 43.59)</f>
        <v>43.59</v>
      </c>
      <c r="E2560" s="2">
        <v>21.14</v>
      </c>
      <c r="F2560" s="2">
        <v>1</v>
      </c>
      <c r="G2560" s="2" t="s">
        <v>10</v>
      </c>
      <c r="H2560" s="2" t="s">
        <v>4904</v>
      </c>
    </row>
    <row r="2561" spans="1:9" x14ac:dyDescent="0.2">
      <c r="A2561" s="2" t="s">
        <v>3572</v>
      </c>
      <c r="B2561" s="2" t="s">
        <v>440</v>
      </c>
      <c r="C2561" s="2">
        <v>613.1481</v>
      </c>
      <c r="D2561" s="2">
        <f>HYPERLINK("http://mcb-m6.bioreg.kyushu-u.ac.jp/M3/20110411/F50896/1694/2", 64.41)</f>
        <v>64.41</v>
      </c>
      <c r="E2561" s="2">
        <v>40.68</v>
      </c>
      <c r="F2561" s="2">
        <v>2</v>
      </c>
      <c r="G2561" s="2" t="s">
        <v>10</v>
      </c>
    </row>
    <row r="2562" spans="1:9" x14ac:dyDescent="0.2">
      <c r="A2562" s="2" t="s">
        <v>3572</v>
      </c>
      <c r="B2562" s="2" t="s">
        <v>440</v>
      </c>
      <c r="C2562" s="2">
        <v>613.66309999999999</v>
      </c>
      <c r="D2562" s="2">
        <f>HYPERLINK("http://mcb-m6.bioreg.kyushu-u.ac.jp/M3/20110411/F50896/1697/2", 64.85)</f>
        <v>64.849999999999994</v>
      </c>
      <c r="E2562" s="2">
        <v>44.93</v>
      </c>
      <c r="F2562" s="2">
        <v>2</v>
      </c>
      <c r="G2562" s="2" t="s">
        <v>10</v>
      </c>
    </row>
    <row r="2563" spans="1:9" x14ac:dyDescent="0.2">
      <c r="A2563" s="2" t="s">
        <v>3572</v>
      </c>
      <c r="B2563" s="2" t="s">
        <v>440</v>
      </c>
      <c r="C2563" s="2">
        <v>1208.289</v>
      </c>
      <c r="D2563" s="2">
        <f>HYPERLINK("http://mcb-m6.bioreg.kyushu-u.ac.jp/M3/20110414/F50926/1803/2", 51.64)</f>
        <v>51.64</v>
      </c>
      <c r="E2563" s="2">
        <v>36.24</v>
      </c>
      <c r="F2563" s="2">
        <v>1</v>
      </c>
      <c r="G2563" s="2" t="s">
        <v>11</v>
      </c>
      <c r="H2563" s="2" t="s">
        <v>4904</v>
      </c>
    </row>
    <row r="2564" spans="1:9" x14ac:dyDescent="0.2">
      <c r="A2564" s="2" t="s">
        <v>3572</v>
      </c>
      <c r="B2564" s="2" t="s">
        <v>440</v>
      </c>
      <c r="C2564" s="2">
        <v>613.63869999999997</v>
      </c>
      <c r="D2564" s="2">
        <f>HYPERLINK("http://mcb-m6.bioreg.kyushu-u.ac.jp/M3/20110414/F50926/1839/2", 62.92)</f>
        <v>62.92</v>
      </c>
      <c r="E2564" s="2">
        <v>37.840000000000003</v>
      </c>
      <c r="F2564" s="2">
        <v>2</v>
      </c>
      <c r="G2564" s="2" t="s">
        <v>11</v>
      </c>
    </row>
    <row r="2565" spans="1:9" x14ac:dyDescent="0.2">
      <c r="A2565" s="2" t="s">
        <v>3572</v>
      </c>
      <c r="B2565" s="2" t="s">
        <v>440</v>
      </c>
      <c r="C2565" s="2">
        <v>613.58370000000002</v>
      </c>
      <c r="D2565" s="2">
        <f>HYPERLINK("http://mcb-m6.bioreg.kyushu-u.ac.jp/M3/20110414/F50926/1837/2", 78.03)</f>
        <v>78.03</v>
      </c>
      <c r="E2565" s="2">
        <v>59.19</v>
      </c>
      <c r="F2565" s="2">
        <v>2</v>
      </c>
      <c r="G2565" s="2" t="s">
        <v>11</v>
      </c>
    </row>
    <row r="2566" spans="1:9" x14ac:dyDescent="0.2">
      <c r="A2566" s="2" t="s">
        <v>3572</v>
      </c>
      <c r="B2566" s="2" t="s">
        <v>440</v>
      </c>
      <c r="C2566" s="2">
        <v>613.07259999999997</v>
      </c>
      <c r="D2566" s="2">
        <f>HYPERLINK("http://mcb-m6.bioreg.kyushu-u.ac.jp/M3/20110414/F50926/1834/2", 79.65)</f>
        <v>79.650000000000006</v>
      </c>
      <c r="E2566" s="2">
        <v>48.92</v>
      </c>
      <c r="F2566" s="2">
        <v>2</v>
      </c>
      <c r="G2566" s="2" t="s">
        <v>11</v>
      </c>
    </row>
    <row r="2567" spans="1:9" x14ac:dyDescent="0.2">
      <c r="A2567" s="2" t="s">
        <v>3572</v>
      </c>
      <c r="B2567" s="2" t="s">
        <v>440</v>
      </c>
      <c r="C2567" s="2">
        <v>1208.5889999999999</v>
      </c>
      <c r="D2567" s="2">
        <f>HYPERLINK("http://mcb-m6.bioreg.kyushu-u.ac.jp/M3/20110414/F50931/2084/2", 35.06)</f>
        <v>35.06</v>
      </c>
      <c r="E2567" s="2">
        <v>13.54</v>
      </c>
      <c r="F2567" s="2">
        <v>1</v>
      </c>
      <c r="G2567" s="2" t="s">
        <v>12</v>
      </c>
      <c r="H2567" s="2" t="s">
        <v>4904</v>
      </c>
    </row>
    <row r="2568" spans="1:9" x14ac:dyDescent="0.2">
      <c r="A2568" s="2" t="s">
        <v>3572</v>
      </c>
      <c r="B2568" s="2" t="s">
        <v>440</v>
      </c>
      <c r="C2568" s="2">
        <v>613.38419999999996</v>
      </c>
      <c r="D2568" s="2">
        <f>HYPERLINK("http://mcb-m6.bioreg.kyushu-u.ac.jp/M3/20110414/F50931/2095/2", 48.8)</f>
        <v>48.8</v>
      </c>
      <c r="E2568" s="2">
        <v>28.07</v>
      </c>
      <c r="F2568" s="2">
        <v>2</v>
      </c>
      <c r="G2568" s="2" t="s">
        <v>12</v>
      </c>
    </row>
    <row r="2569" spans="1:9" x14ac:dyDescent="0.2">
      <c r="A2569" s="2" t="s">
        <v>3572</v>
      </c>
      <c r="B2569" s="2" t="s">
        <v>440</v>
      </c>
      <c r="C2569" s="2">
        <v>613.85220000000004</v>
      </c>
      <c r="D2569" s="2">
        <f>HYPERLINK("http://mcb-m6.bioreg.kyushu-u.ac.jp/M3/20110414/F50931/2096/2", 53.88)</f>
        <v>53.88</v>
      </c>
      <c r="E2569" s="2">
        <v>34.840000000000003</v>
      </c>
      <c r="F2569" s="2">
        <v>2</v>
      </c>
      <c r="G2569" s="2" t="s">
        <v>12</v>
      </c>
    </row>
    <row r="2570" spans="1:9" x14ac:dyDescent="0.2">
      <c r="A2570" s="2" t="s">
        <v>3572</v>
      </c>
      <c r="B2570" s="2" t="s">
        <v>440</v>
      </c>
      <c r="C2570" s="2">
        <v>1208.7439999999999</v>
      </c>
      <c r="D2570" s="2">
        <f>HYPERLINK("http://mcb-m6.bioreg.kyushu-u.ac.jp/M3/20110502/F51167/1734/2", 39.71)</f>
        <v>39.71</v>
      </c>
      <c r="E2570" s="2">
        <v>23.63</v>
      </c>
      <c r="F2570" s="2">
        <v>1</v>
      </c>
      <c r="G2570" s="2" t="s">
        <v>13</v>
      </c>
      <c r="H2570" s="2" t="s">
        <v>4904</v>
      </c>
    </row>
    <row r="2571" spans="1:9" x14ac:dyDescent="0.2">
      <c r="A2571" s="2" t="s">
        <v>3572</v>
      </c>
      <c r="B2571" s="2" t="s">
        <v>440</v>
      </c>
      <c r="C2571" s="2">
        <v>613.46310000000005</v>
      </c>
      <c r="D2571" s="2">
        <f>HYPERLINK("http://mcb-m6.bioreg.kyushu-u.ac.jp/M3/20110502/F51167/1760/2", 50.85)</f>
        <v>50.85</v>
      </c>
      <c r="E2571" s="2">
        <v>30.24</v>
      </c>
      <c r="F2571" s="2">
        <v>2</v>
      </c>
      <c r="G2571" s="2" t="s">
        <v>13</v>
      </c>
    </row>
    <row r="2572" spans="1:9" x14ac:dyDescent="0.2">
      <c r="A2572" s="2" t="s">
        <v>3572</v>
      </c>
      <c r="B2572" s="2" t="s">
        <v>440</v>
      </c>
      <c r="C2572" s="2">
        <v>613.46619999999996</v>
      </c>
      <c r="D2572" s="2">
        <f>HYPERLINK("http://mcb-m6.bioreg.kyushu-u.ac.jp/M3/20110502/F51167/1761/2", 74.29)</f>
        <v>74.290000000000006</v>
      </c>
      <c r="E2572" s="2">
        <v>49.46</v>
      </c>
      <c r="F2572" s="2">
        <v>2</v>
      </c>
      <c r="G2572" s="2" t="s">
        <v>13</v>
      </c>
    </row>
    <row r="2573" spans="1:9" x14ac:dyDescent="0.2">
      <c r="A2573" s="2" t="s">
        <v>3572</v>
      </c>
      <c r="B2573" s="2" t="s">
        <v>440</v>
      </c>
      <c r="C2573" s="2">
        <v>1208.8430000000001</v>
      </c>
      <c r="D2573" s="2">
        <f>HYPERLINK("http://mcb-m6.bioreg.kyushu-u.ac.jp/M3/20110502/F51176/1734/2", 57.93)</f>
        <v>57.93</v>
      </c>
      <c r="E2573" s="2">
        <v>30.89</v>
      </c>
      <c r="F2573" s="2">
        <v>1</v>
      </c>
      <c r="G2573" s="2" t="s">
        <v>14</v>
      </c>
      <c r="H2573" s="2" t="s">
        <v>4904</v>
      </c>
    </row>
    <row r="2574" spans="1:9" x14ac:dyDescent="0.2">
      <c r="A2574" s="2" t="s">
        <v>3572</v>
      </c>
      <c r="B2574" s="2" t="s">
        <v>440</v>
      </c>
      <c r="C2574" s="2">
        <v>613.78920000000005</v>
      </c>
      <c r="D2574" s="2">
        <f>HYPERLINK("http://mcb-m6.bioreg.kyushu-u.ac.jp/M3/20110502/F51176/1761/2", 67.92)</f>
        <v>67.92</v>
      </c>
      <c r="E2574" s="2">
        <v>41.98</v>
      </c>
      <c r="F2574" s="2">
        <v>2</v>
      </c>
      <c r="G2574" s="2" t="s">
        <v>14</v>
      </c>
    </row>
    <row r="2575" spans="1:9" x14ac:dyDescent="0.2">
      <c r="A2575" s="2" t="s">
        <v>3974</v>
      </c>
      <c r="B2575" s="2" t="s">
        <v>1218</v>
      </c>
      <c r="C2575" s="2">
        <v>679.50710000000004</v>
      </c>
      <c r="D2575" s="2">
        <f>HYPERLINK("http://mcb-m6.bioreg.kyushu-u.ac.jp/M3/20110411/F50911/1745/1", 67.86)</f>
        <v>67.86</v>
      </c>
      <c r="E2575" s="2">
        <v>45.07</v>
      </c>
      <c r="F2575" s="2">
        <v>2</v>
      </c>
      <c r="G2575" s="2" t="s">
        <v>9</v>
      </c>
    </row>
    <row r="2576" spans="1:9" x14ac:dyDescent="0.2">
      <c r="A2576" s="2" t="s">
        <v>3974</v>
      </c>
      <c r="B2576" s="2" t="s">
        <v>1808</v>
      </c>
      <c r="C2576" s="2">
        <v>777.09310000000005</v>
      </c>
      <c r="D2576" s="2">
        <f>HYPERLINK("http://mcb-m6.bioreg.kyushu-u.ac.jp/M3/20110411/F50914/2275/1", 40.42)</f>
        <v>40.42</v>
      </c>
      <c r="E2576" s="2">
        <v>17.829999999999998</v>
      </c>
      <c r="F2576" s="2">
        <v>2</v>
      </c>
      <c r="G2576" s="2" t="s">
        <v>10</v>
      </c>
      <c r="I2576" s="2" t="s">
        <v>4914</v>
      </c>
    </row>
    <row r="2577" spans="1:9" x14ac:dyDescent="0.2">
      <c r="A2577" s="2" t="s">
        <v>3974</v>
      </c>
      <c r="B2577" s="2" t="s">
        <v>1218</v>
      </c>
      <c r="C2577" s="2">
        <v>679.85310000000004</v>
      </c>
      <c r="D2577" s="2">
        <f>HYPERLINK("http://mcb-m6.bioreg.kyushu-u.ac.jp/M3/20110411/F50914/1785/1", 43.91)</f>
        <v>43.91</v>
      </c>
      <c r="E2577" s="2">
        <v>30.62</v>
      </c>
      <c r="F2577" s="2">
        <v>2</v>
      </c>
      <c r="G2577" s="2" t="s">
        <v>10</v>
      </c>
    </row>
    <row r="2578" spans="1:9" x14ac:dyDescent="0.2">
      <c r="A2578" s="2" t="s">
        <v>3974</v>
      </c>
      <c r="B2578" s="2" t="s">
        <v>1218</v>
      </c>
      <c r="C2578" s="2">
        <v>679.78920000000005</v>
      </c>
      <c r="D2578" s="2">
        <f>HYPERLINK("http://mcb-m6.bioreg.kyushu-u.ac.jp/M3/20110414/F50942/1558/1", 63.34)</f>
        <v>63.34</v>
      </c>
      <c r="E2578" s="2">
        <v>37.14</v>
      </c>
      <c r="F2578" s="2">
        <v>2</v>
      </c>
      <c r="G2578" s="2" t="s">
        <v>11</v>
      </c>
    </row>
    <row r="2579" spans="1:9" x14ac:dyDescent="0.2">
      <c r="A2579" s="2" t="s">
        <v>3974</v>
      </c>
      <c r="B2579" s="2" t="s">
        <v>2618</v>
      </c>
      <c r="C2579" s="2">
        <v>775.75120000000004</v>
      </c>
      <c r="D2579" s="2">
        <f>HYPERLINK("http://mcb-m6.bioreg.kyushu-u.ac.jp/M3/20110414/F50948/2323/1", 43.3)</f>
        <v>43.3</v>
      </c>
      <c r="E2579" s="2">
        <v>26.12</v>
      </c>
      <c r="F2579" s="2">
        <v>2</v>
      </c>
      <c r="G2579" s="2" t="s">
        <v>12</v>
      </c>
    </row>
    <row r="2580" spans="1:9" x14ac:dyDescent="0.2">
      <c r="A2580" s="2" t="s">
        <v>3974</v>
      </c>
      <c r="B2580" s="2" t="s">
        <v>1218</v>
      </c>
      <c r="C2580" s="2">
        <v>679.42020000000002</v>
      </c>
      <c r="D2580" s="2">
        <f>HYPERLINK("http://mcb-m6.bioreg.kyushu-u.ac.jp/M3/20110502/F51171/1715/1", 42.85)</f>
        <v>42.85</v>
      </c>
      <c r="E2580" s="2">
        <v>28.1</v>
      </c>
      <c r="F2580" s="2">
        <v>2</v>
      </c>
      <c r="G2580" s="2" t="s">
        <v>13</v>
      </c>
    </row>
    <row r="2581" spans="1:9" x14ac:dyDescent="0.2">
      <c r="A2581" s="2" t="s">
        <v>3974</v>
      </c>
      <c r="B2581" s="2" t="s">
        <v>1218</v>
      </c>
      <c r="C2581" s="2">
        <v>679.9402</v>
      </c>
      <c r="D2581" s="2">
        <f>HYPERLINK("http://mcb-m6.bioreg.kyushu-u.ac.jp/M3/20110502/F51171/1721/1", 55.45)</f>
        <v>55.45</v>
      </c>
      <c r="E2581" s="2">
        <v>40.950000000000003</v>
      </c>
      <c r="F2581" s="2">
        <v>2</v>
      </c>
      <c r="G2581" s="2" t="s">
        <v>13</v>
      </c>
    </row>
    <row r="2582" spans="1:9" x14ac:dyDescent="0.2">
      <c r="A2582" s="2" t="s">
        <v>3974</v>
      </c>
      <c r="B2582" s="2" t="s">
        <v>2944</v>
      </c>
      <c r="C2582" s="2">
        <v>466.30110000000002</v>
      </c>
      <c r="D2582" s="2">
        <f>HYPERLINK("http://mcb-m6.bioreg.kyushu-u.ac.jp/M3/20110502/F51171/918/1", 65.5)</f>
        <v>65.5</v>
      </c>
      <c r="E2582" s="2">
        <v>41.92</v>
      </c>
      <c r="F2582" s="2">
        <v>2</v>
      </c>
      <c r="G2582" s="2" t="s">
        <v>13</v>
      </c>
    </row>
    <row r="2583" spans="1:9" x14ac:dyDescent="0.2">
      <c r="A2583" s="2" t="s">
        <v>3974</v>
      </c>
      <c r="B2583" s="2" t="s">
        <v>3118</v>
      </c>
      <c r="C2583" s="2">
        <v>480.08460000000002</v>
      </c>
      <c r="D2583" s="2">
        <f>HYPERLINK("http://mcb-m6.bioreg.kyushu-u.ac.jp/M3/20110502/F51183/664/1", 47.2)</f>
        <v>47.2</v>
      </c>
      <c r="E2583" s="2">
        <v>12.05</v>
      </c>
      <c r="F2583" s="2">
        <v>2</v>
      </c>
      <c r="G2583" s="2" t="s">
        <v>14</v>
      </c>
    </row>
    <row r="2584" spans="1:9" x14ac:dyDescent="0.2">
      <c r="A2584" s="2" t="s">
        <v>3974</v>
      </c>
      <c r="B2584" s="2" t="s">
        <v>1218</v>
      </c>
      <c r="C2584" s="2">
        <v>679.83010000000002</v>
      </c>
      <c r="D2584" s="2">
        <f>HYPERLINK("http://mcb-m6.bioreg.kyushu-u.ac.jp/M3/20110502/F51179/1417/1", 58.46)</f>
        <v>58.46</v>
      </c>
      <c r="E2584" s="2">
        <v>42.61</v>
      </c>
      <c r="F2584" s="2">
        <v>2</v>
      </c>
      <c r="G2584" s="2" t="s">
        <v>14</v>
      </c>
    </row>
    <row r="2585" spans="1:9" x14ac:dyDescent="0.2">
      <c r="A2585" s="2" t="s">
        <v>3974</v>
      </c>
      <c r="B2585" s="2" t="s">
        <v>3171</v>
      </c>
      <c r="C2585" s="2">
        <v>729.08969999999999</v>
      </c>
      <c r="D2585" s="2">
        <f>HYPERLINK("http://mcb-m6.bioreg.kyushu-u.ac.jp/M3/20110502/F51179/1700/1", 59.16)</f>
        <v>59.16</v>
      </c>
      <c r="E2585" s="2">
        <v>26.82</v>
      </c>
      <c r="F2585" s="2">
        <v>2</v>
      </c>
      <c r="G2585" s="2" t="s">
        <v>14</v>
      </c>
    </row>
    <row r="2586" spans="1:9" x14ac:dyDescent="0.2">
      <c r="A2586" s="2" t="s">
        <v>3449</v>
      </c>
      <c r="B2586" s="2" t="s">
        <v>259</v>
      </c>
      <c r="C2586" s="2">
        <v>806.17660000000001</v>
      </c>
      <c r="D2586" s="2">
        <f>HYPERLINK("http://mcb-m6.bioreg.kyushu-u.ac.jp/M3/20110411/F50911/2459/1", 38.64)</f>
        <v>38.64</v>
      </c>
      <c r="E2586" s="2">
        <v>24.84</v>
      </c>
      <c r="F2586" s="2">
        <v>2</v>
      </c>
      <c r="G2586" s="2" t="s">
        <v>9</v>
      </c>
      <c r="I2586" s="2" t="s">
        <v>4903</v>
      </c>
    </row>
    <row r="2587" spans="1:9" x14ac:dyDescent="0.2">
      <c r="A2587" s="2" t="s">
        <v>3449</v>
      </c>
      <c r="B2587" s="2" t="s">
        <v>421</v>
      </c>
      <c r="C2587" s="2">
        <v>967.45569999999998</v>
      </c>
      <c r="D2587" s="2">
        <f>HYPERLINK("http://mcb-m6.bioreg.kyushu-u.ac.jp/M3/20110411/F50911/3228/1", 41.56)</f>
        <v>41.56</v>
      </c>
      <c r="E2587" s="2">
        <v>24.66</v>
      </c>
      <c r="F2587" s="2">
        <v>2</v>
      </c>
      <c r="G2587" s="2" t="s">
        <v>9</v>
      </c>
    </row>
    <row r="2588" spans="1:9" x14ac:dyDescent="0.2">
      <c r="A2588" s="2" t="s">
        <v>3449</v>
      </c>
      <c r="B2588" s="2" t="s">
        <v>944</v>
      </c>
      <c r="C2588" s="2">
        <v>638.35919999999999</v>
      </c>
      <c r="D2588" s="2">
        <f>HYPERLINK("http://mcb-m6.bioreg.kyushu-u.ac.jp/M3/20110411/F50911/1556/1", 56.31)</f>
        <v>56.31</v>
      </c>
      <c r="E2588" s="2">
        <v>38.200000000000003</v>
      </c>
      <c r="F2588" s="2">
        <v>2</v>
      </c>
      <c r="G2588" s="2" t="s">
        <v>9</v>
      </c>
    </row>
    <row r="2589" spans="1:9" x14ac:dyDescent="0.2">
      <c r="A2589" s="2" t="s">
        <v>3449</v>
      </c>
      <c r="B2589" s="2" t="s">
        <v>1393</v>
      </c>
      <c r="C2589" s="2">
        <v>827.63509999999997</v>
      </c>
      <c r="D2589" s="2">
        <f>HYPERLINK("http://mcb-m6.bioreg.kyushu-u.ac.jp/M3/20110411/F50911/2567/1", 77.55)</f>
        <v>77.55</v>
      </c>
      <c r="E2589" s="2">
        <v>67.94</v>
      </c>
      <c r="F2589" s="2">
        <v>2</v>
      </c>
      <c r="G2589" s="2" t="s">
        <v>9</v>
      </c>
    </row>
    <row r="2590" spans="1:9" x14ac:dyDescent="0.2">
      <c r="A2590" s="2" t="s">
        <v>3449</v>
      </c>
      <c r="B2590" s="2" t="s">
        <v>1393</v>
      </c>
      <c r="C2590" s="2">
        <v>827.9452</v>
      </c>
      <c r="D2590" s="2">
        <f>HYPERLINK("http://mcb-m6.bioreg.kyushu-u.ac.jp/M3/20110411/F50914/2494/1", 39.15)</f>
        <v>39.15</v>
      </c>
      <c r="E2590" s="2">
        <v>28.7</v>
      </c>
      <c r="F2590" s="2">
        <v>2</v>
      </c>
      <c r="G2590" s="2" t="s">
        <v>10</v>
      </c>
    </row>
    <row r="2591" spans="1:9" x14ac:dyDescent="0.2">
      <c r="A2591" s="2" t="s">
        <v>3449</v>
      </c>
      <c r="B2591" s="2" t="s">
        <v>259</v>
      </c>
      <c r="C2591" s="2">
        <v>806.42520000000002</v>
      </c>
      <c r="D2591" s="2">
        <f>HYPERLINK("http://mcb-m6.bioreg.kyushu-u.ac.jp/M3/20110411/F50914/2418/1", 48.24)</f>
        <v>48.24</v>
      </c>
      <c r="E2591" s="2">
        <v>32.49</v>
      </c>
      <c r="F2591" s="2">
        <v>2</v>
      </c>
      <c r="G2591" s="2" t="s">
        <v>10</v>
      </c>
      <c r="I2591" s="2" t="s">
        <v>4903</v>
      </c>
    </row>
    <row r="2592" spans="1:9" x14ac:dyDescent="0.2">
      <c r="A2592" s="2" t="s">
        <v>3449</v>
      </c>
      <c r="B2592" s="2" t="s">
        <v>1935</v>
      </c>
      <c r="C2592" s="2">
        <v>727.44619999999998</v>
      </c>
      <c r="D2592" s="2">
        <f>HYPERLINK("http://mcb-m6.bioreg.kyushu-u.ac.jp/M3/20110411/F50914/2026/1", 51.1)</f>
        <v>51.1</v>
      </c>
      <c r="E2592" s="2">
        <v>32.69</v>
      </c>
      <c r="F2592" s="2">
        <v>2</v>
      </c>
      <c r="G2592" s="2" t="s">
        <v>10</v>
      </c>
      <c r="I2592" s="2" t="s">
        <v>4926</v>
      </c>
    </row>
    <row r="2593" spans="1:9" x14ac:dyDescent="0.2">
      <c r="A2593" s="2" t="s">
        <v>3449</v>
      </c>
      <c r="B2593" s="2" t="s">
        <v>1947</v>
      </c>
      <c r="C2593" s="2">
        <v>471.32859999999999</v>
      </c>
      <c r="D2593" s="2">
        <f>HYPERLINK("http://mcb-m6.bioreg.kyushu-u.ac.jp/M3/20110411/F50914/953/1", 52.95)</f>
        <v>52.95</v>
      </c>
      <c r="E2593" s="2">
        <v>24.73</v>
      </c>
      <c r="F2593" s="2">
        <v>2</v>
      </c>
      <c r="G2593" s="2" t="s">
        <v>10</v>
      </c>
    </row>
    <row r="2594" spans="1:9" x14ac:dyDescent="0.2">
      <c r="A2594" s="2" t="s">
        <v>3449</v>
      </c>
      <c r="B2594" s="2" t="s">
        <v>1935</v>
      </c>
      <c r="C2594" s="2">
        <v>727.45759999999996</v>
      </c>
      <c r="D2594" s="2">
        <f>HYPERLINK("http://mcb-m6.bioreg.kyushu-u.ac.jp/M3/20110414/F50942/1807/1", 51.11)</f>
        <v>51.11</v>
      </c>
      <c r="E2594" s="2">
        <v>36.42</v>
      </c>
      <c r="F2594" s="2">
        <v>2</v>
      </c>
      <c r="G2594" s="2" t="s">
        <v>11</v>
      </c>
      <c r="I2594" s="2" t="s">
        <v>4926</v>
      </c>
    </row>
    <row r="2595" spans="1:9" x14ac:dyDescent="0.2">
      <c r="A2595" s="2" t="s">
        <v>3449</v>
      </c>
      <c r="B2595" s="2" t="s">
        <v>1393</v>
      </c>
      <c r="C2595" s="2">
        <v>827.88210000000004</v>
      </c>
      <c r="D2595" s="2">
        <f>HYPERLINK("http://mcb-m6.bioreg.kyushu-u.ac.jp/M3/20110414/F50943/2381/1", 61.31)</f>
        <v>61.31</v>
      </c>
      <c r="E2595" s="2">
        <v>48.6</v>
      </c>
      <c r="F2595" s="2">
        <v>2</v>
      </c>
      <c r="G2595" s="2" t="s">
        <v>11</v>
      </c>
    </row>
    <row r="2596" spans="1:9" x14ac:dyDescent="0.2">
      <c r="A2596" s="2" t="s">
        <v>3449</v>
      </c>
      <c r="B2596" s="2" t="s">
        <v>1393</v>
      </c>
      <c r="C2596" s="2">
        <v>827.84810000000004</v>
      </c>
      <c r="D2596" s="2">
        <f>HYPERLINK("http://mcb-m6.bioreg.kyushu-u.ac.jp/M3/20110414/F50942/2415/1", 91.82)</f>
        <v>91.82</v>
      </c>
      <c r="E2596" s="2">
        <v>79.69</v>
      </c>
      <c r="F2596" s="2">
        <v>2</v>
      </c>
      <c r="G2596" s="2" t="s">
        <v>11</v>
      </c>
    </row>
    <row r="2597" spans="1:9" x14ac:dyDescent="0.2">
      <c r="A2597" s="2" t="s">
        <v>3449</v>
      </c>
      <c r="B2597" s="2" t="s">
        <v>2651</v>
      </c>
      <c r="C2597" s="2">
        <v>870.21259999999995</v>
      </c>
      <c r="D2597" s="2">
        <f>HYPERLINK("http://mcb-m6.bioreg.kyushu-u.ac.jp/M3/20110414/F50948/2832/1", 47.12)</f>
        <v>47.12</v>
      </c>
      <c r="E2597" s="2">
        <v>41.01</v>
      </c>
      <c r="F2597" s="2">
        <v>2</v>
      </c>
      <c r="G2597" s="2" t="s">
        <v>12</v>
      </c>
    </row>
    <row r="2598" spans="1:9" x14ac:dyDescent="0.2">
      <c r="A2598" s="2" t="s">
        <v>3449</v>
      </c>
      <c r="B2598" s="2" t="s">
        <v>1935</v>
      </c>
      <c r="C2598" s="2">
        <v>727.29470000000003</v>
      </c>
      <c r="D2598" s="2">
        <f>HYPERLINK("http://mcb-m6.bioreg.kyushu-u.ac.jp/M3/20110414/F50948/1992/1", 56.96)</f>
        <v>56.96</v>
      </c>
      <c r="E2598" s="2">
        <v>35.020000000000003</v>
      </c>
      <c r="F2598" s="2">
        <v>2</v>
      </c>
      <c r="G2598" s="2" t="s">
        <v>12</v>
      </c>
      <c r="I2598" s="2" t="s">
        <v>4926</v>
      </c>
    </row>
    <row r="2599" spans="1:9" x14ac:dyDescent="0.2">
      <c r="A2599" s="2" t="s">
        <v>3449</v>
      </c>
      <c r="B2599" s="2" t="s">
        <v>1935</v>
      </c>
      <c r="C2599" s="2">
        <v>727.86360000000002</v>
      </c>
      <c r="D2599" s="2">
        <f>HYPERLINK("http://mcb-m6.bioreg.kyushu-u.ac.jp/M3/20110502/F51183/1828/1", 63.73)</f>
        <v>63.73</v>
      </c>
      <c r="E2599" s="2">
        <v>32.51</v>
      </c>
      <c r="F2599" s="2">
        <v>2</v>
      </c>
      <c r="G2599" s="2" t="s">
        <v>14</v>
      </c>
      <c r="I2599" s="2" t="s">
        <v>4926</v>
      </c>
    </row>
    <row r="2600" spans="1:9" x14ac:dyDescent="0.2">
      <c r="A2600" s="2" t="s">
        <v>3449</v>
      </c>
      <c r="B2600" s="2" t="s">
        <v>2651</v>
      </c>
      <c r="C2600" s="2">
        <v>870.41359999999997</v>
      </c>
      <c r="D2600" s="2">
        <f>HYPERLINK("http://mcb-m6.bioreg.kyushu-u.ac.jp/M3/20110502/F51183/2588/1", 67.79)</f>
        <v>67.790000000000006</v>
      </c>
      <c r="E2600" s="2">
        <v>52.08</v>
      </c>
      <c r="F2600" s="2">
        <v>2</v>
      </c>
      <c r="G2600" s="2" t="s">
        <v>14</v>
      </c>
    </row>
    <row r="2601" spans="1:9" x14ac:dyDescent="0.2">
      <c r="A2601" s="2" t="s">
        <v>3449</v>
      </c>
      <c r="B2601" s="2" t="s">
        <v>1393</v>
      </c>
      <c r="C2601" s="2">
        <v>827.84670000000006</v>
      </c>
      <c r="D2601" s="2">
        <f>HYPERLINK("http://mcb-m6.bioreg.kyushu-u.ac.jp/M3/20110502/F51183/2367/1", 100.48)</f>
        <v>100.48</v>
      </c>
      <c r="E2601" s="2">
        <v>80.84</v>
      </c>
      <c r="F2601" s="2">
        <v>2</v>
      </c>
      <c r="G2601" s="2" t="s">
        <v>14</v>
      </c>
    </row>
    <row r="2602" spans="1:9" x14ac:dyDescent="0.2">
      <c r="A2602" s="2" t="s">
        <v>3997</v>
      </c>
      <c r="B2602" s="2" t="s">
        <v>1284</v>
      </c>
      <c r="C2602" s="2">
        <v>696.65560000000005</v>
      </c>
      <c r="D2602" s="2">
        <f>HYPERLINK("http://mcb-m6.bioreg.kyushu-u.ac.jp/M3/20110411/F50911/1842/1", 70.54)</f>
        <v>70.540000000000006</v>
      </c>
      <c r="E2602" s="2">
        <v>50.59</v>
      </c>
      <c r="F2602" s="2">
        <v>2</v>
      </c>
      <c r="G2602" s="2" t="s">
        <v>9</v>
      </c>
    </row>
    <row r="2603" spans="1:9" x14ac:dyDescent="0.2">
      <c r="A2603" s="2" t="s">
        <v>3997</v>
      </c>
      <c r="B2603" s="2" t="s">
        <v>1509</v>
      </c>
      <c r="C2603" s="2">
        <v>547.43470000000002</v>
      </c>
      <c r="D2603" s="2">
        <f>HYPERLINK("http://mcb-m6.bioreg.kyushu-u.ac.jp/M3/20110411/F50911/1166/1", 87.12)</f>
        <v>87.12</v>
      </c>
      <c r="E2603" s="2">
        <v>57.58</v>
      </c>
      <c r="F2603" s="2">
        <v>2</v>
      </c>
      <c r="G2603" s="2" t="s">
        <v>9</v>
      </c>
    </row>
    <row r="2604" spans="1:9" x14ac:dyDescent="0.2">
      <c r="A2604" s="2" t="s">
        <v>3997</v>
      </c>
      <c r="B2604" s="2" t="s">
        <v>2018</v>
      </c>
      <c r="C2604" s="2">
        <v>883.05870000000004</v>
      </c>
      <c r="D2604" s="2">
        <f>HYPERLINK("http://mcb-m6.bioreg.kyushu-u.ac.jp/M3/20110411/F50914/2742/1", 62.05)</f>
        <v>62.05</v>
      </c>
      <c r="E2604" s="2">
        <v>50.4</v>
      </c>
      <c r="F2604" s="2">
        <v>2</v>
      </c>
      <c r="G2604" s="2" t="s">
        <v>10</v>
      </c>
    </row>
    <row r="2605" spans="1:9" x14ac:dyDescent="0.2">
      <c r="A2605" s="2" t="s">
        <v>3997</v>
      </c>
      <c r="B2605" s="2" t="s">
        <v>1284</v>
      </c>
      <c r="C2605" s="2">
        <v>696.46370000000002</v>
      </c>
      <c r="D2605" s="2">
        <f>HYPERLINK("http://mcb-m6.bioreg.kyushu-u.ac.jp/M3/20110411/F50914/1873/1", 62.93)</f>
        <v>62.93</v>
      </c>
      <c r="E2605" s="2">
        <v>44.35</v>
      </c>
      <c r="F2605" s="2">
        <v>2</v>
      </c>
      <c r="G2605" s="2" t="s">
        <v>10</v>
      </c>
    </row>
    <row r="2606" spans="1:9" x14ac:dyDescent="0.2">
      <c r="A2606" s="2" t="s">
        <v>3997</v>
      </c>
      <c r="B2606" s="2" t="s">
        <v>2018</v>
      </c>
      <c r="C2606" s="2">
        <v>882.88070000000005</v>
      </c>
      <c r="D2606" s="2">
        <f>HYPERLINK("http://mcb-m6.bioreg.kyushu-u.ac.jp/M3/20110414/F50942/2758/1", 78)</f>
        <v>78</v>
      </c>
      <c r="E2606" s="2">
        <v>62.05</v>
      </c>
      <c r="F2606" s="2">
        <v>2</v>
      </c>
      <c r="G2606" s="2" t="s">
        <v>11</v>
      </c>
    </row>
    <row r="2607" spans="1:9" x14ac:dyDescent="0.2">
      <c r="A2607" s="2" t="s">
        <v>3997</v>
      </c>
      <c r="B2607" s="2" t="s">
        <v>2018</v>
      </c>
      <c r="C2607" s="2">
        <v>882.51459999999997</v>
      </c>
      <c r="D2607" s="2">
        <f>HYPERLINK("http://mcb-m6.bioreg.kyushu-u.ac.jp/M3/20110414/F50948/2917/1", 89.61)</f>
        <v>89.61</v>
      </c>
      <c r="E2607" s="2">
        <v>64.02</v>
      </c>
      <c r="F2607" s="2">
        <v>2</v>
      </c>
      <c r="G2607" s="2" t="s">
        <v>12</v>
      </c>
    </row>
    <row r="2608" spans="1:9" x14ac:dyDescent="0.2">
      <c r="A2608" s="2" t="s">
        <v>3997</v>
      </c>
      <c r="B2608" s="2" t="s">
        <v>2018</v>
      </c>
      <c r="C2608" s="2">
        <v>882.54110000000003</v>
      </c>
      <c r="D2608" s="2">
        <f>HYPERLINK("http://mcb-m6.bioreg.kyushu-u.ac.jp/M3/20110502/F51171/2596/1", 64.04)</f>
        <v>64.040000000000006</v>
      </c>
      <c r="E2608" s="2">
        <v>40.03</v>
      </c>
      <c r="F2608" s="2">
        <v>2</v>
      </c>
      <c r="G2608" s="2" t="s">
        <v>13</v>
      </c>
    </row>
    <row r="2609" spans="1:9" x14ac:dyDescent="0.2">
      <c r="A2609" s="2" t="s">
        <v>3997</v>
      </c>
      <c r="B2609" s="2" t="s">
        <v>1509</v>
      </c>
      <c r="C2609" s="2">
        <v>547.42319999999995</v>
      </c>
      <c r="D2609" s="2">
        <f>HYPERLINK("http://mcb-m6.bioreg.kyushu-u.ac.jp/M3/20110502/F51171/1217/1", 89.86)</f>
        <v>89.86</v>
      </c>
      <c r="E2609" s="2">
        <v>53.31</v>
      </c>
      <c r="F2609" s="2">
        <v>2</v>
      </c>
      <c r="G2609" s="2" t="s">
        <v>13</v>
      </c>
    </row>
    <row r="2610" spans="1:9" x14ac:dyDescent="0.2">
      <c r="A2610" s="2" t="s">
        <v>3997</v>
      </c>
      <c r="B2610" s="2" t="s">
        <v>1509</v>
      </c>
      <c r="C2610" s="2">
        <v>547.77760000000001</v>
      </c>
      <c r="D2610" s="2">
        <f>HYPERLINK("http://mcb-m6.bioreg.kyushu-u.ac.jp/M3/20110502/F51183/947/1", 89.91)</f>
        <v>89.91</v>
      </c>
      <c r="E2610" s="2">
        <v>50.61</v>
      </c>
      <c r="F2610" s="2">
        <v>2</v>
      </c>
      <c r="G2610" s="2" t="s">
        <v>14</v>
      </c>
    </row>
    <row r="2611" spans="1:9" x14ac:dyDescent="0.2">
      <c r="A2611" s="2" t="s">
        <v>4331</v>
      </c>
      <c r="B2611" s="2" t="s">
        <v>2131</v>
      </c>
      <c r="C2611" s="2">
        <v>881.43769999999995</v>
      </c>
      <c r="D2611" s="2">
        <f>HYPERLINK("http://mcb-m6.bioreg.kyushu-u.ac.jp/M3/20110411/F50914/2731/1", 94.27)</f>
        <v>94.27</v>
      </c>
      <c r="E2611" s="2">
        <v>84.43</v>
      </c>
      <c r="F2611" s="2">
        <v>2</v>
      </c>
      <c r="G2611" s="2" t="s">
        <v>10</v>
      </c>
    </row>
    <row r="2612" spans="1:9" x14ac:dyDescent="0.2">
      <c r="A2612" s="2" t="s">
        <v>4331</v>
      </c>
      <c r="B2612" s="2" t="s">
        <v>2131</v>
      </c>
      <c r="C2612" s="2">
        <v>881.36320000000001</v>
      </c>
      <c r="D2612" s="2">
        <f>HYPERLINK("http://mcb-m6.bioreg.kyushu-u.ac.jp/M3/20110414/F50942/2749/1", 94.99)</f>
        <v>94.99</v>
      </c>
      <c r="E2612" s="2">
        <v>81.37</v>
      </c>
      <c r="F2612" s="2">
        <v>2</v>
      </c>
      <c r="G2612" s="2" t="s">
        <v>11</v>
      </c>
    </row>
    <row r="2613" spans="1:9" x14ac:dyDescent="0.2">
      <c r="A2613" s="2" t="s">
        <v>4331</v>
      </c>
      <c r="B2613" s="2" t="s">
        <v>2131</v>
      </c>
      <c r="C2613" s="2">
        <v>881.8741</v>
      </c>
      <c r="D2613" s="2">
        <f>HYPERLINK("http://mcb-m6.bioreg.kyushu-u.ac.jp/M3/20110502/F51183/2641/1", 83.62)</f>
        <v>83.62</v>
      </c>
      <c r="E2613" s="2">
        <v>48.64</v>
      </c>
      <c r="F2613" s="2">
        <v>2</v>
      </c>
      <c r="G2613" s="2" t="s">
        <v>14</v>
      </c>
    </row>
    <row r="2614" spans="1:9" x14ac:dyDescent="0.2">
      <c r="A2614" s="2" t="s">
        <v>3435</v>
      </c>
      <c r="B2614" s="2" t="s">
        <v>243</v>
      </c>
      <c r="C2614" s="2">
        <v>774.99659999999994</v>
      </c>
      <c r="D2614" s="2">
        <f>HYPERLINK("http://mcb-m6.bioreg.kyushu-u.ac.jp/M3/20110411/F50911/2281/1", 38.39)</f>
        <v>38.39</v>
      </c>
      <c r="E2614" s="2">
        <v>25.2</v>
      </c>
      <c r="F2614" s="2">
        <v>2</v>
      </c>
      <c r="G2614" s="2" t="s">
        <v>9</v>
      </c>
      <c r="I2614" s="2" t="s">
        <v>4903</v>
      </c>
    </row>
    <row r="2615" spans="1:9" x14ac:dyDescent="0.2">
      <c r="A2615" s="2" t="s">
        <v>3435</v>
      </c>
      <c r="B2615" s="2" t="s">
        <v>2728</v>
      </c>
      <c r="C2615" s="2">
        <v>714.75459999999998</v>
      </c>
      <c r="D2615" s="2">
        <f>HYPERLINK("http://mcb-m6.bioreg.kyushu-u.ac.jp/M3/20110414/F50948/1904/1", 67.86)</f>
        <v>67.86</v>
      </c>
      <c r="E2615" s="2">
        <v>46.9</v>
      </c>
      <c r="F2615" s="2">
        <v>2</v>
      </c>
      <c r="G2615" s="2" t="s">
        <v>12</v>
      </c>
      <c r="I2615" s="2" t="s">
        <v>4926</v>
      </c>
    </row>
    <row r="2616" spans="1:9" x14ac:dyDescent="0.2">
      <c r="A2616" s="2" t="s">
        <v>3435</v>
      </c>
      <c r="B2616" s="2" t="s">
        <v>243</v>
      </c>
      <c r="C2616" s="2">
        <v>774.60860000000002</v>
      </c>
      <c r="D2616" s="2">
        <f>HYPERLINK("http://mcb-m6.bioreg.kyushu-u.ac.jp/M3/20110502/F51171/2153/1", 58.64)</f>
        <v>58.64</v>
      </c>
      <c r="E2616" s="2">
        <v>43.19</v>
      </c>
      <c r="F2616" s="2">
        <v>2</v>
      </c>
      <c r="G2616" s="2" t="s">
        <v>13</v>
      </c>
      <c r="I2616" s="2" t="s">
        <v>4903</v>
      </c>
    </row>
    <row r="2617" spans="1:9" x14ac:dyDescent="0.2">
      <c r="A2617" s="2" t="s">
        <v>3435</v>
      </c>
      <c r="B2617" s="2" t="s">
        <v>3208</v>
      </c>
      <c r="C2617" s="2">
        <v>667.76419999999996</v>
      </c>
      <c r="D2617" s="2">
        <f>HYPERLINK("http://mcb-m6.bioreg.kyushu-u.ac.jp/M3/20110502/F51183/1462/1", 73.95)</f>
        <v>73.95</v>
      </c>
      <c r="E2617" s="2">
        <v>41.73</v>
      </c>
      <c r="F2617" s="2">
        <v>2</v>
      </c>
      <c r="G2617" s="2" t="s">
        <v>14</v>
      </c>
      <c r="I2617" s="2" t="s">
        <v>4903</v>
      </c>
    </row>
    <row r="2618" spans="1:9" x14ac:dyDescent="0.2">
      <c r="A2618" s="2" t="s">
        <v>4425</v>
      </c>
      <c r="B2618" s="2" t="s">
        <v>2296</v>
      </c>
      <c r="C2618" s="2">
        <v>737.25819999999999</v>
      </c>
      <c r="D2618" s="2">
        <f>HYPERLINK("http://mcb-m6.bioreg.kyushu-u.ac.jp/M3/20110414/F50956/1889/1", 44.08)</f>
        <v>44.08</v>
      </c>
      <c r="E2618" s="2">
        <v>27.11</v>
      </c>
      <c r="F2618" s="2">
        <v>2</v>
      </c>
      <c r="G2618" s="2" t="s">
        <v>11</v>
      </c>
    </row>
    <row r="2619" spans="1:9" x14ac:dyDescent="0.2">
      <c r="A2619" s="2" t="s">
        <v>4425</v>
      </c>
      <c r="B2619" s="2" t="s">
        <v>3186</v>
      </c>
      <c r="C2619" s="2">
        <v>781.86569999999995</v>
      </c>
      <c r="D2619" s="2">
        <f>HYPERLINK("http://mcb-m6.bioreg.kyushu-u.ac.jp/M3/20110502/F51192/2036/1", 65.2)</f>
        <v>65.2</v>
      </c>
      <c r="E2619" s="2">
        <v>40.130000000000003</v>
      </c>
      <c r="F2619" s="2">
        <v>2</v>
      </c>
      <c r="G2619" s="2" t="s">
        <v>14</v>
      </c>
    </row>
    <row r="2620" spans="1:9" x14ac:dyDescent="0.2">
      <c r="A2620" s="2" t="s">
        <v>3342</v>
      </c>
      <c r="B2620" s="2" t="s">
        <v>131</v>
      </c>
      <c r="C2620" s="2">
        <v>828.4547</v>
      </c>
      <c r="D2620" s="2">
        <f>HYPERLINK("http://mcb-m6.bioreg.kyushu-u.ac.jp/M3/20110411/F50916/2367/1", 36.49)</f>
        <v>36.49</v>
      </c>
      <c r="E2620" s="2">
        <v>10.119999999999999</v>
      </c>
      <c r="F2620" s="2">
        <v>2</v>
      </c>
      <c r="G2620" s="2" t="s">
        <v>9</v>
      </c>
    </row>
    <row r="2621" spans="1:9" x14ac:dyDescent="0.2">
      <c r="A2621" s="2" t="s">
        <v>3342</v>
      </c>
      <c r="B2621" s="2" t="s">
        <v>2652</v>
      </c>
      <c r="C2621" s="2">
        <v>814.24220000000003</v>
      </c>
      <c r="D2621" s="2">
        <f>HYPERLINK("http://mcb-m6.bioreg.kyushu-u.ac.jp/M3/20110414/F50958/2513/1", 47.33)</f>
        <v>47.33</v>
      </c>
      <c r="E2621" s="2">
        <v>38.44</v>
      </c>
      <c r="F2621" s="2">
        <v>2</v>
      </c>
      <c r="G2621" s="2" t="s">
        <v>12</v>
      </c>
    </row>
    <row r="2622" spans="1:9" x14ac:dyDescent="0.2">
      <c r="A2622" s="2" t="s">
        <v>4285</v>
      </c>
      <c r="B2622" s="2" t="s">
        <v>1971</v>
      </c>
      <c r="C2622" s="2">
        <v>767.39919999999995</v>
      </c>
      <c r="D2622" s="2">
        <f>HYPERLINK("http://mcb-m6.bioreg.kyushu-u.ac.jp/M3/20110411/F50918/2007/1", 55.42)</f>
        <v>55.42</v>
      </c>
      <c r="E2622" s="2">
        <v>39.28</v>
      </c>
      <c r="F2622" s="2">
        <v>2</v>
      </c>
      <c r="G2622" s="2" t="s">
        <v>10</v>
      </c>
    </row>
    <row r="2623" spans="1:9" x14ac:dyDescent="0.2">
      <c r="A2623" s="2" t="s">
        <v>4285</v>
      </c>
      <c r="B2623" s="2" t="s">
        <v>1971</v>
      </c>
      <c r="C2623" s="2">
        <v>767.51869999999997</v>
      </c>
      <c r="D2623" s="2">
        <f>HYPERLINK("http://mcb-m6.bioreg.kyushu-u.ac.jp/M3/20110411/F50917/2125/1", 87.05)</f>
        <v>87.05</v>
      </c>
      <c r="E2623" s="2">
        <v>59.66</v>
      </c>
      <c r="F2623" s="2">
        <v>2</v>
      </c>
      <c r="G2623" s="2" t="s">
        <v>10</v>
      </c>
    </row>
    <row r="2624" spans="1:9" x14ac:dyDescent="0.2">
      <c r="A2624" s="2" t="s">
        <v>4285</v>
      </c>
      <c r="B2624" s="2" t="s">
        <v>2766</v>
      </c>
      <c r="C2624" s="2">
        <v>856.69420000000002</v>
      </c>
      <c r="D2624" s="2">
        <f>HYPERLINK("http://mcb-m6.bioreg.kyushu-u.ac.jp/M3/20110414/F50958/2829/1", 83.3)</f>
        <v>83.3</v>
      </c>
      <c r="E2624" s="2">
        <v>56.48</v>
      </c>
      <c r="F2624" s="2">
        <v>2</v>
      </c>
      <c r="G2624" s="2" t="s">
        <v>12</v>
      </c>
      <c r="I2624" s="2" t="s">
        <v>4903</v>
      </c>
    </row>
    <row r="2625" spans="1:9" x14ac:dyDescent="0.2">
      <c r="A2625" s="2" t="s">
        <v>3933</v>
      </c>
      <c r="B2625" s="2" t="s">
        <v>1123</v>
      </c>
      <c r="C2625" s="2">
        <v>879.25959999999998</v>
      </c>
      <c r="D2625" s="2">
        <f>HYPERLINK("http://mcb-m6.bioreg.kyushu-u.ac.jp/M3/20110411/F50905/2735/1", 64.26)</f>
        <v>64.260000000000005</v>
      </c>
      <c r="E2625" s="2">
        <v>44.36</v>
      </c>
      <c r="F2625" s="2">
        <v>2</v>
      </c>
      <c r="G2625" s="2" t="s">
        <v>9</v>
      </c>
    </row>
    <row r="2626" spans="1:9" x14ac:dyDescent="0.2">
      <c r="A2626" s="2" t="s">
        <v>3933</v>
      </c>
      <c r="B2626" s="2" t="s">
        <v>1491</v>
      </c>
      <c r="C2626" s="2">
        <v>868.21770000000004</v>
      </c>
      <c r="D2626" s="2">
        <f>HYPERLINK("http://mcb-m6.bioreg.kyushu-u.ac.jp/M3/20110411/F50904/2602/1", 86.24)</f>
        <v>86.24</v>
      </c>
      <c r="E2626" s="2">
        <v>57.06</v>
      </c>
      <c r="F2626" s="2">
        <v>2</v>
      </c>
      <c r="G2626" s="2" t="s">
        <v>9</v>
      </c>
    </row>
    <row r="2627" spans="1:9" x14ac:dyDescent="0.2">
      <c r="A2627" s="2" t="s">
        <v>3933</v>
      </c>
      <c r="B2627" s="2" t="s">
        <v>1123</v>
      </c>
      <c r="C2627" s="2">
        <v>879.2867</v>
      </c>
      <c r="D2627" s="2">
        <f>HYPERLINK("http://mcb-m6.bioreg.kyushu-u.ac.jp/M3/20110411/F50904/2646/1", 86.59)</f>
        <v>86.59</v>
      </c>
      <c r="E2627" s="2">
        <v>60.59</v>
      </c>
      <c r="F2627" s="2">
        <v>2</v>
      </c>
      <c r="G2627" s="2" t="s">
        <v>9</v>
      </c>
    </row>
    <row r="2628" spans="1:9" x14ac:dyDescent="0.2">
      <c r="A2628" s="2" t="s">
        <v>3933</v>
      </c>
      <c r="B2628" s="2" t="s">
        <v>2065</v>
      </c>
      <c r="C2628" s="2">
        <v>666.65309999999999</v>
      </c>
      <c r="D2628" s="2">
        <f>HYPERLINK("http://mcb-m6.bioreg.kyushu-u.ac.jp/M3/20110411/F50912/1679/1", 71.35)</f>
        <v>71.349999999999994</v>
      </c>
      <c r="E2628" s="2">
        <v>42.57</v>
      </c>
      <c r="F2628" s="2">
        <v>2</v>
      </c>
      <c r="G2628" s="2" t="s">
        <v>10</v>
      </c>
      <c r="I2628" s="2" t="s">
        <v>4926</v>
      </c>
    </row>
    <row r="2629" spans="1:9" x14ac:dyDescent="0.2">
      <c r="A2629" s="2" t="s">
        <v>3933</v>
      </c>
      <c r="B2629" s="2" t="s">
        <v>1123</v>
      </c>
      <c r="C2629" s="2">
        <v>879.08370000000002</v>
      </c>
      <c r="D2629" s="2">
        <f>HYPERLINK("http://mcb-m6.bioreg.kyushu-u.ac.jp/M3/20110411/F50912/2657/1", 92.65)</f>
        <v>92.65</v>
      </c>
      <c r="E2629" s="2">
        <v>69.17</v>
      </c>
      <c r="F2629" s="2">
        <v>2</v>
      </c>
      <c r="G2629" s="2" t="s">
        <v>10</v>
      </c>
    </row>
    <row r="2630" spans="1:9" x14ac:dyDescent="0.2">
      <c r="A2630" s="2" t="s">
        <v>3933</v>
      </c>
      <c r="B2630" s="2" t="s">
        <v>1123</v>
      </c>
      <c r="C2630" s="2">
        <v>879.23770000000002</v>
      </c>
      <c r="D2630" s="2">
        <f>HYPERLINK("http://mcb-m6.bioreg.kyushu-u.ac.jp/M3/20110414/F50941/2827/1", 51.28)</f>
        <v>51.28</v>
      </c>
      <c r="E2630" s="2">
        <v>38.29</v>
      </c>
      <c r="F2630" s="2">
        <v>2</v>
      </c>
      <c r="G2630" s="2" t="s">
        <v>11</v>
      </c>
    </row>
    <row r="2631" spans="1:9" x14ac:dyDescent="0.2">
      <c r="A2631" s="2" t="s">
        <v>3933</v>
      </c>
      <c r="B2631" s="2" t="s">
        <v>2378</v>
      </c>
      <c r="C2631" s="2">
        <v>658.16420000000005</v>
      </c>
      <c r="D2631" s="2">
        <f>HYPERLINK("http://mcb-m6.bioreg.kyushu-u.ac.jp/M3/20110414/F50941/1596/1", 51.66)</f>
        <v>51.66</v>
      </c>
      <c r="E2631" s="2">
        <v>26.05</v>
      </c>
      <c r="F2631" s="2">
        <v>2</v>
      </c>
      <c r="G2631" s="2" t="s">
        <v>11</v>
      </c>
    </row>
    <row r="2632" spans="1:9" x14ac:dyDescent="0.2">
      <c r="A2632" s="2" t="s">
        <v>3933</v>
      </c>
      <c r="B2632" s="2" t="s">
        <v>2065</v>
      </c>
      <c r="C2632" s="2">
        <v>666.37019999999995</v>
      </c>
      <c r="D2632" s="2">
        <f>HYPERLINK("http://mcb-m6.bioreg.kyushu-u.ac.jp/M3/20110414/F50941/1637/1", 73.78)</f>
        <v>73.78</v>
      </c>
      <c r="E2632" s="2">
        <v>54.09</v>
      </c>
      <c r="F2632" s="2">
        <v>2</v>
      </c>
      <c r="G2632" s="2" t="s">
        <v>11</v>
      </c>
      <c r="I2632" s="2" t="s">
        <v>4926</v>
      </c>
    </row>
    <row r="2633" spans="1:9" x14ac:dyDescent="0.2">
      <c r="A2633" s="2" t="s">
        <v>3933</v>
      </c>
      <c r="B2633" s="2" t="s">
        <v>1123</v>
      </c>
      <c r="C2633" s="2">
        <v>878.71420000000001</v>
      </c>
      <c r="D2633" s="2">
        <f>HYPERLINK("http://mcb-m6.bioreg.kyushu-u.ac.jp/M3/20110414/F50941/2824/1", 78.34)</f>
        <v>78.34</v>
      </c>
      <c r="E2633" s="2">
        <v>56.16</v>
      </c>
      <c r="F2633" s="2">
        <v>2</v>
      </c>
      <c r="G2633" s="2" t="s">
        <v>11</v>
      </c>
    </row>
    <row r="2634" spans="1:9" x14ac:dyDescent="0.2">
      <c r="A2634" s="2" t="s">
        <v>3933</v>
      </c>
      <c r="B2634" s="2" t="s">
        <v>1123</v>
      </c>
      <c r="C2634" s="2">
        <v>879.36220000000003</v>
      </c>
      <c r="D2634" s="2">
        <f>HYPERLINK("http://mcb-m6.bioreg.kyushu-u.ac.jp/M3/20110414/F50947/2786/1", 87.7)</f>
        <v>87.7</v>
      </c>
      <c r="E2634" s="2">
        <v>66.150000000000006</v>
      </c>
      <c r="F2634" s="2">
        <v>2</v>
      </c>
      <c r="G2634" s="2" t="s">
        <v>12</v>
      </c>
    </row>
    <row r="2635" spans="1:9" x14ac:dyDescent="0.2">
      <c r="A2635" s="2" t="s">
        <v>3933</v>
      </c>
      <c r="B2635" s="2" t="s">
        <v>2065</v>
      </c>
      <c r="C2635" s="2">
        <v>666.54970000000003</v>
      </c>
      <c r="D2635" s="2">
        <f>HYPERLINK("http://mcb-m6.bioreg.kyushu-u.ac.jp/M3/20110502/F51179/1334/1", 43.74)</f>
        <v>43.74</v>
      </c>
      <c r="E2635" s="2">
        <v>19.510000000000002</v>
      </c>
      <c r="F2635" s="2">
        <v>2</v>
      </c>
      <c r="G2635" s="2" t="s">
        <v>14</v>
      </c>
      <c r="I2635" s="2" t="s">
        <v>4926</v>
      </c>
    </row>
    <row r="2636" spans="1:9" x14ac:dyDescent="0.2">
      <c r="A2636" s="2" t="s">
        <v>3933</v>
      </c>
      <c r="B2636" s="2" t="s">
        <v>2378</v>
      </c>
      <c r="C2636" s="2">
        <v>658.54219999999998</v>
      </c>
      <c r="D2636" s="2">
        <f>HYPERLINK("http://mcb-m6.bioreg.kyushu-u.ac.jp/M3/20110502/F51179/1300/1", 44.25)</f>
        <v>44.25</v>
      </c>
      <c r="E2636" s="2">
        <v>22.03</v>
      </c>
      <c r="F2636" s="2">
        <v>2</v>
      </c>
      <c r="G2636" s="2" t="s">
        <v>14</v>
      </c>
    </row>
    <row r="2637" spans="1:9" x14ac:dyDescent="0.2">
      <c r="A2637" s="2" t="s">
        <v>4433</v>
      </c>
      <c r="B2637" s="2" t="s">
        <v>2313</v>
      </c>
      <c r="C2637" s="2">
        <v>697.23220000000003</v>
      </c>
      <c r="D2637" s="2">
        <f>HYPERLINK("http://mcb-m6.bioreg.kyushu-u.ac.jp/M3/20110414/F50929/2086/1", 45.25)</f>
        <v>45.25</v>
      </c>
      <c r="E2637" s="2">
        <v>23.05</v>
      </c>
      <c r="F2637" s="2">
        <v>2</v>
      </c>
      <c r="G2637" s="2" t="s">
        <v>11</v>
      </c>
    </row>
    <row r="2638" spans="1:9" x14ac:dyDescent="0.2">
      <c r="A2638" s="2" t="s">
        <v>3584</v>
      </c>
      <c r="B2638" s="2" t="s">
        <v>464</v>
      </c>
      <c r="C2638" s="2">
        <v>876.61900000000003</v>
      </c>
      <c r="D2638" s="2">
        <f>HYPERLINK("http://mcb-m6.bioreg.kyushu-u.ac.jp/M3/20110411/F50904/937/1", 42.41)</f>
        <v>42.41</v>
      </c>
      <c r="E2638" s="2">
        <v>8.52</v>
      </c>
      <c r="F2638" s="2">
        <v>1</v>
      </c>
      <c r="G2638" s="2" t="s">
        <v>9</v>
      </c>
    </row>
    <row r="2639" spans="1:9" x14ac:dyDescent="0.2">
      <c r="A2639" s="2" t="s">
        <v>3584</v>
      </c>
      <c r="B2639" s="2" t="s">
        <v>464</v>
      </c>
      <c r="C2639" s="2">
        <v>876.72900000000004</v>
      </c>
      <c r="D2639" s="2">
        <f>HYPERLINK("http://mcb-m6.bioreg.kyushu-u.ac.jp/M3/20110411/F50912/877/1", 47.05)</f>
        <v>47.05</v>
      </c>
      <c r="E2639" s="2">
        <v>14.3</v>
      </c>
      <c r="F2639" s="2">
        <v>1</v>
      </c>
      <c r="G2639" s="2" t="s">
        <v>10</v>
      </c>
    </row>
    <row r="2640" spans="1:9" x14ac:dyDescent="0.2">
      <c r="A2640" s="2" t="s">
        <v>3402</v>
      </c>
      <c r="B2640" s="2" t="s">
        <v>199</v>
      </c>
      <c r="C2640" s="2">
        <v>907.48599999999999</v>
      </c>
      <c r="D2640" s="2">
        <f>HYPERLINK("http://mcb-m6.bioreg.kyushu-u.ac.jp/M3/20110411/F50891/796/1", 37.6)</f>
        <v>37.6</v>
      </c>
      <c r="E2640" s="2">
        <v>23.66</v>
      </c>
      <c r="F2640" s="2">
        <v>1</v>
      </c>
      <c r="G2640" s="2" t="s">
        <v>9</v>
      </c>
    </row>
    <row r="2641" spans="1:8" x14ac:dyDescent="0.2">
      <c r="A2641" s="2" t="s">
        <v>3402</v>
      </c>
      <c r="B2641" s="2" t="s">
        <v>199</v>
      </c>
      <c r="C2641" s="2">
        <v>454.25360000000001</v>
      </c>
      <c r="D2641" s="2">
        <f>HYPERLINK("http://mcb-m6.bioreg.kyushu-u.ac.jp/M3/20110411/F50891/797/1", 42.87)</f>
        <v>42.87</v>
      </c>
      <c r="E2641" s="2">
        <v>11.78</v>
      </c>
      <c r="F2641" s="2">
        <v>2</v>
      </c>
      <c r="G2641" s="2" t="s">
        <v>9</v>
      </c>
    </row>
    <row r="2642" spans="1:8" x14ac:dyDescent="0.2">
      <c r="A2642" s="2" t="s">
        <v>3402</v>
      </c>
      <c r="B2642" s="2" t="s">
        <v>199</v>
      </c>
      <c r="C2642" s="2">
        <v>907.96199999999999</v>
      </c>
      <c r="D2642" s="2">
        <f>HYPERLINK("http://mcb-m6.bioreg.kyushu-u.ac.jp/M3/20110411/F50890/897/1", 43.66)</f>
        <v>43.66</v>
      </c>
      <c r="E2642" s="2">
        <v>29.66</v>
      </c>
      <c r="F2642" s="2">
        <v>1</v>
      </c>
      <c r="G2642" s="2" t="s">
        <v>9</v>
      </c>
    </row>
    <row r="2643" spans="1:8" x14ac:dyDescent="0.2">
      <c r="A2643" s="2" t="s">
        <v>3402</v>
      </c>
      <c r="B2643" s="2" t="s">
        <v>199</v>
      </c>
      <c r="C2643" s="2">
        <v>907.68100000000004</v>
      </c>
      <c r="D2643" s="2">
        <f>HYPERLINK("http://mcb-m6.bioreg.kyushu-u.ac.jp/M3/20110411/F50897/770/1", 42.41)</f>
        <v>42.41</v>
      </c>
      <c r="E2643" s="2">
        <v>25.88</v>
      </c>
      <c r="F2643" s="2">
        <v>1</v>
      </c>
      <c r="G2643" s="2" t="s">
        <v>10</v>
      </c>
    </row>
    <row r="2644" spans="1:8" x14ac:dyDescent="0.2">
      <c r="A2644" s="2" t="s">
        <v>3402</v>
      </c>
      <c r="B2644" s="2" t="s">
        <v>199</v>
      </c>
      <c r="C2644" s="2">
        <v>907.2</v>
      </c>
      <c r="D2644" s="2">
        <f>HYPERLINK("http://mcb-m6.bioreg.kyushu-u.ac.jp/M3/20110414/F50928/965/1", 36.07)</f>
        <v>36.07</v>
      </c>
      <c r="E2644" s="2">
        <v>20.99</v>
      </c>
      <c r="F2644" s="2">
        <v>1</v>
      </c>
      <c r="G2644" s="2" t="s">
        <v>11</v>
      </c>
    </row>
    <row r="2645" spans="1:8" x14ac:dyDescent="0.2">
      <c r="A2645" s="2" t="s">
        <v>3402</v>
      </c>
      <c r="B2645" s="2" t="s">
        <v>199</v>
      </c>
      <c r="C2645" s="2">
        <v>454.67610000000002</v>
      </c>
      <c r="D2645" s="2">
        <f>HYPERLINK("http://mcb-m6.bioreg.kyushu-u.ac.jp/M3/20110414/F50927/1132/1", 36.74)</f>
        <v>36.74</v>
      </c>
      <c r="E2645" s="2">
        <v>10.41</v>
      </c>
      <c r="F2645" s="2">
        <v>2</v>
      </c>
      <c r="G2645" s="2" t="s">
        <v>11</v>
      </c>
    </row>
    <row r="2646" spans="1:8" x14ac:dyDescent="0.2">
      <c r="A2646" s="2" t="s">
        <v>3402</v>
      </c>
      <c r="B2646" s="2" t="s">
        <v>199</v>
      </c>
      <c r="C2646" s="2">
        <v>907.66200000000003</v>
      </c>
      <c r="D2646" s="2">
        <f>HYPERLINK("http://mcb-m6.bioreg.kyushu-u.ac.jp/M3/20110502/F51168/977/1", 35.04)</f>
        <v>35.04</v>
      </c>
      <c r="E2646" s="2">
        <v>17.809999999999999</v>
      </c>
      <c r="F2646" s="2">
        <v>1</v>
      </c>
      <c r="G2646" s="2" t="s">
        <v>13</v>
      </c>
    </row>
    <row r="2647" spans="1:8" x14ac:dyDescent="0.2">
      <c r="A2647" s="2" t="s">
        <v>3402</v>
      </c>
      <c r="B2647" s="2" t="s">
        <v>199</v>
      </c>
      <c r="C2647" s="2">
        <v>907.63499999999999</v>
      </c>
      <c r="D2647" s="2">
        <f>HYPERLINK("http://mcb-m6.bioreg.kyushu-u.ac.jp/M3/20110502/F51169/926/1", 36.17)</f>
        <v>36.17</v>
      </c>
      <c r="E2647" s="2">
        <v>17.27</v>
      </c>
      <c r="F2647" s="2">
        <v>1</v>
      </c>
      <c r="G2647" s="2" t="s">
        <v>13</v>
      </c>
    </row>
    <row r="2648" spans="1:8" x14ac:dyDescent="0.2">
      <c r="A2648" s="2" t="s">
        <v>3402</v>
      </c>
      <c r="B2648" s="2" t="s">
        <v>199</v>
      </c>
      <c r="C2648" s="2">
        <v>907.73500000000001</v>
      </c>
      <c r="D2648" s="2">
        <f>HYPERLINK("http://mcb-m6.bioreg.kyushu-u.ac.jp/M3/20110502/F51177/479/1", 39.13)</f>
        <v>39.130000000000003</v>
      </c>
      <c r="E2648" s="2">
        <v>16.04</v>
      </c>
      <c r="F2648" s="2">
        <v>1</v>
      </c>
      <c r="G2648" s="2" t="s">
        <v>14</v>
      </c>
    </row>
    <row r="2649" spans="1:8" x14ac:dyDescent="0.2">
      <c r="A2649" s="2" t="s">
        <v>3402</v>
      </c>
      <c r="B2649" s="2" t="s">
        <v>199</v>
      </c>
      <c r="C2649" s="2">
        <v>907.63800000000003</v>
      </c>
      <c r="D2649" s="2">
        <f>HYPERLINK("http://mcb-m6.bioreg.kyushu-u.ac.jp/M3/20110502/F51178/868/1", 40.8)</f>
        <v>40.799999999999997</v>
      </c>
      <c r="E2649" s="2">
        <v>12</v>
      </c>
      <c r="F2649" s="2">
        <v>1</v>
      </c>
      <c r="G2649" s="2" t="s">
        <v>14</v>
      </c>
    </row>
    <row r="2650" spans="1:8" x14ac:dyDescent="0.2">
      <c r="A2650" s="2" t="s">
        <v>3945</v>
      </c>
      <c r="B2650" s="2" t="s">
        <v>1146</v>
      </c>
      <c r="C2650" s="2">
        <v>603.86320000000001</v>
      </c>
      <c r="D2650" s="2">
        <f>HYPERLINK("http://mcb-m6.bioreg.kyushu-u.ac.jp/M3/20110411/F50891/1408/1", 64.91)</f>
        <v>64.91</v>
      </c>
      <c r="E2650" s="2">
        <v>31.7</v>
      </c>
      <c r="F2650" s="2">
        <v>2</v>
      </c>
      <c r="G2650" s="2" t="s">
        <v>9</v>
      </c>
      <c r="H2650" s="2" t="s">
        <v>4910</v>
      </c>
    </row>
    <row r="2651" spans="1:8" x14ac:dyDescent="0.2">
      <c r="A2651" s="2" t="s">
        <v>4073</v>
      </c>
      <c r="B2651" s="2" t="s">
        <v>1464</v>
      </c>
      <c r="C2651" s="2">
        <v>774.72670000000005</v>
      </c>
      <c r="D2651" s="2">
        <f>HYPERLINK("http://mcb-m6.bioreg.kyushu-u.ac.jp/M3/20110411/F50890/2389/1", 83.02)</f>
        <v>83.02</v>
      </c>
      <c r="E2651" s="2">
        <v>60.11</v>
      </c>
      <c r="F2651" s="2">
        <v>2</v>
      </c>
      <c r="G2651" s="2" t="s">
        <v>9</v>
      </c>
    </row>
    <row r="2652" spans="1:8" x14ac:dyDescent="0.2">
      <c r="A2652" s="2" t="s">
        <v>4073</v>
      </c>
      <c r="B2652" s="2" t="s">
        <v>1464</v>
      </c>
      <c r="C2652" s="2">
        <v>775.16219999999998</v>
      </c>
      <c r="D2652" s="2">
        <f>HYPERLINK("http://mcb-m6.bioreg.kyushu-u.ac.jp/M3/20110411/F50897/2160/1", 101.05)</f>
        <v>101.05</v>
      </c>
      <c r="E2652" s="2">
        <v>62.76</v>
      </c>
      <c r="F2652" s="2">
        <v>2</v>
      </c>
      <c r="G2652" s="2" t="s">
        <v>10</v>
      </c>
    </row>
    <row r="2653" spans="1:8" x14ac:dyDescent="0.2">
      <c r="A2653" s="2" t="s">
        <v>4073</v>
      </c>
      <c r="B2653" s="2" t="s">
        <v>1464</v>
      </c>
      <c r="C2653" s="2">
        <v>774.5992</v>
      </c>
      <c r="D2653" s="2">
        <f>HYPERLINK("http://mcb-m6.bioreg.kyushu-u.ac.jp/M3/20110414/F50928/2484/1", 80.43)</f>
        <v>80.430000000000007</v>
      </c>
      <c r="E2653" s="2">
        <v>56.25</v>
      </c>
      <c r="F2653" s="2">
        <v>2</v>
      </c>
      <c r="G2653" s="2" t="s">
        <v>11</v>
      </c>
    </row>
    <row r="2654" spans="1:8" x14ac:dyDescent="0.2">
      <c r="A2654" s="2" t="s">
        <v>4073</v>
      </c>
      <c r="B2654" s="2" t="s">
        <v>1464</v>
      </c>
      <c r="C2654" s="2">
        <v>775.05520000000001</v>
      </c>
      <c r="D2654" s="2">
        <f>HYPERLINK("http://mcb-m6.bioreg.kyushu-u.ac.jp/M3/20110414/F50927/2446/1", 100.09)</f>
        <v>100.09</v>
      </c>
      <c r="E2654" s="2">
        <v>62.99</v>
      </c>
      <c r="F2654" s="2">
        <v>2</v>
      </c>
      <c r="G2654" s="2" t="s">
        <v>11</v>
      </c>
    </row>
    <row r="2655" spans="1:8" x14ac:dyDescent="0.2">
      <c r="A2655" s="2" t="s">
        <v>4073</v>
      </c>
      <c r="B2655" s="2" t="s">
        <v>1464</v>
      </c>
      <c r="C2655" s="2">
        <v>774.49869999999999</v>
      </c>
      <c r="D2655" s="2">
        <f>HYPERLINK("http://mcb-m6.bioreg.kyushu-u.ac.jp/M3/20110414/F50927/2445/1", 107.11)</f>
        <v>107.11</v>
      </c>
      <c r="E2655" s="2">
        <v>70.38</v>
      </c>
      <c r="F2655" s="2">
        <v>2</v>
      </c>
      <c r="G2655" s="2" t="s">
        <v>11</v>
      </c>
    </row>
    <row r="2656" spans="1:8" x14ac:dyDescent="0.2">
      <c r="A2656" s="2" t="s">
        <v>4073</v>
      </c>
      <c r="B2656" s="2" t="s">
        <v>1464</v>
      </c>
      <c r="C2656" s="2">
        <v>775.2491</v>
      </c>
      <c r="D2656" s="2">
        <f>HYPERLINK("http://mcb-m6.bioreg.kyushu-u.ac.jp/M3/20110414/F50932/2454/1", 96.67)</f>
        <v>96.67</v>
      </c>
      <c r="E2656" s="2">
        <v>66.099999999999994</v>
      </c>
      <c r="F2656" s="2">
        <v>2</v>
      </c>
      <c r="G2656" s="2" t="s">
        <v>12</v>
      </c>
    </row>
    <row r="2657" spans="1:9" x14ac:dyDescent="0.2">
      <c r="A2657" s="2" t="s">
        <v>4073</v>
      </c>
      <c r="B2657" s="2" t="s">
        <v>1464</v>
      </c>
      <c r="C2657" s="2">
        <v>775.02670000000001</v>
      </c>
      <c r="D2657" s="2">
        <f>HYPERLINK("http://mcb-m6.bioreg.kyushu-u.ac.jp/M3/20110502/F51168/2167/1", 103.58)</f>
        <v>103.58</v>
      </c>
      <c r="E2657" s="2">
        <v>76.22</v>
      </c>
      <c r="F2657" s="2">
        <v>2</v>
      </c>
      <c r="G2657" s="2" t="s">
        <v>13</v>
      </c>
    </row>
    <row r="2658" spans="1:9" x14ac:dyDescent="0.2">
      <c r="A2658" s="2" t="s">
        <v>4073</v>
      </c>
      <c r="B2658" s="2" t="s">
        <v>1464</v>
      </c>
      <c r="C2658" s="2">
        <v>775.02260000000001</v>
      </c>
      <c r="D2658" s="2">
        <f>HYPERLINK("http://mcb-m6.bioreg.kyushu-u.ac.jp/M3/20110502/F51177/2050/1", 100.91)</f>
        <v>100.91</v>
      </c>
      <c r="E2658" s="2">
        <v>66.72</v>
      </c>
      <c r="F2658" s="2">
        <v>2</v>
      </c>
      <c r="G2658" s="2" t="s">
        <v>14</v>
      </c>
    </row>
    <row r="2659" spans="1:9" x14ac:dyDescent="0.2">
      <c r="A2659" s="2" t="s">
        <v>3357</v>
      </c>
      <c r="B2659" s="2" t="s">
        <v>149</v>
      </c>
      <c r="C2659" s="2">
        <v>889.43100000000004</v>
      </c>
      <c r="D2659" s="2">
        <f>HYPERLINK("http://mcb-m6.bioreg.kyushu-u.ac.jp/M3/20110411/F50890/864/1", 36.81)</f>
        <v>36.81</v>
      </c>
      <c r="E2659" s="2">
        <v>13.13</v>
      </c>
      <c r="F2659" s="2">
        <v>1</v>
      </c>
      <c r="G2659" s="2" t="s">
        <v>9</v>
      </c>
    </row>
    <row r="2660" spans="1:9" x14ac:dyDescent="0.2">
      <c r="A2660" s="2" t="s">
        <v>3357</v>
      </c>
      <c r="B2660" s="2" t="s">
        <v>149</v>
      </c>
      <c r="C2660" s="2">
        <v>889.649</v>
      </c>
      <c r="D2660" s="2">
        <f>HYPERLINK("http://mcb-m6.bioreg.kyushu-u.ac.jp/M3/20110411/F50897/732/1", 46.82)</f>
        <v>46.82</v>
      </c>
      <c r="E2660" s="2">
        <v>13.41</v>
      </c>
      <c r="F2660" s="2">
        <v>1</v>
      </c>
      <c r="G2660" s="2" t="s">
        <v>10</v>
      </c>
    </row>
    <row r="2661" spans="1:9" x14ac:dyDescent="0.2">
      <c r="A2661" s="2" t="s">
        <v>3348</v>
      </c>
      <c r="B2661" s="2" t="s">
        <v>137</v>
      </c>
      <c r="C2661" s="2">
        <v>1330.9829999999999</v>
      </c>
      <c r="D2661" s="2">
        <f>HYPERLINK("http://mcb-m6.bioreg.kyushu-u.ac.jp/M3/20110411/F50890/1774/1", 36.54)</f>
        <v>36.54</v>
      </c>
      <c r="E2661" s="2">
        <v>19.23</v>
      </c>
      <c r="F2661" s="2">
        <v>1</v>
      </c>
      <c r="G2661" s="2" t="s">
        <v>9</v>
      </c>
    </row>
    <row r="2662" spans="1:9" x14ac:dyDescent="0.2">
      <c r="A2662" s="2" t="s">
        <v>3348</v>
      </c>
      <c r="B2662" s="2" t="s">
        <v>137</v>
      </c>
      <c r="C2662" s="2">
        <v>666.35170000000005</v>
      </c>
      <c r="D2662" s="2">
        <f>HYPERLINK("http://mcb-m6.bioreg.kyushu-u.ac.jp/M3/20110411/F50891/1680/1", 47.99)</f>
        <v>47.99</v>
      </c>
      <c r="E2662" s="2">
        <v>21.32</v>
      </c>
      <c r="F2662" s="2">
        <v>2</v>
      </c>
      <c r="G2662" s="2" t="s">
        <v>9</v>
      </c>
    </row>
    <row r="2663" spans="1:9" x14ac:dyDescent="0.2">
      <c r="A2663" s="2" t="s">
        <v>3348</v>
      </c>
      <c r="B2663" s="2" t="s">
        <v>930</v>
      </c>
      <c r="C2663" s="2">
        <v>1084.9480000000001</v>
      </c>
      <c r="D2663" s="2">
        <f>HYPERLINK("http://mcb-m6.bioreg.kyushu-u.ac.jp/M3/20110411/F50890/3527/1", 55.91)</f>
        <v>55.91</v>
      </c>
      <c r="E2663" s="2">
        <v>48.87</v>
      </c>
      <c r="F2663" s="2">
        <v>2</v>
      </c>
      <c r="G2663" s="2" t="s">
        <v>9</v>
      </c>
    </row>
    <row r="2664" spans="1:9" x14ac:dyDescent="0.2">
      <c r="A2664" s="2" t="s">
        <v>3348</v>
      </c>
      <c r="B2664" s="2" t="s">
        <v>1125</v>
      </c>
      <c r="C2664" s="2">
        <v>640.37070000000006</v>
      </c>
      <c r="D2664" s="2">
        <f>HYPERLINK("http://mcb-m6.bioreg.kyushu-u.ac.jp/M3/20110411/F50890/1680/1", 64.33)</f>
        <v>64.33</v>
      </c>
      <c r="E2664" s="2">
        <v>38.020000000000003</v>
      </c>
      <c r="F2664" s="2">
        <v>2</v>
      </c>
      <c r="G2664" s="2" t="s">
        <v>9</v>
      </c>
    </row>
    <row r="2665" spans="1:9" x14ac:dyDescent="0.2">
      <c r="A2665" s="2" t="s">
        <v>3348</v>
      </c>
      <c r="B2665" s="2" t="s">
        <v>1248</v>
      </c>
      <c r="C2665" s="2">
        <v>709.8202</v>
      </c>
      <c r="D2665" s="2">
        <f>HYPERLINK("http://mcb-m6.bioreg.kyushu-u.ac.jp/M3/20110411/F50890/2007/1", 69.02)</f>
        <v>69.02</v>
      </c>
      <c r="E2665" s="2">
        <v>45.05</v>
      </c>
      <c r="F2665" s="2">
        <v>2</v>
      </c>
      <c r="G2665" s="2" t="s">
        <v>9</v>
      </c>
      <c r="I2665" s="2" t="s">
        <v>4899</v>
      </c>
    </row>
    <row r="2666" spans="1:9" x14ac:dyDescent="0.2">
      <c r="A2666" s="2" t="s">
        <v>3348</v>
      </c>
      <c r="B2666" s="2" t="s">
        <v>1590</v>
      </c>
      <c r="C2666" s="2">
        <v>1020.894</v>
      </c>
      <c r="D2666" s="2">
        <f>HYPERLINK("http://mcb-m6.bioreg.kyushu-u.ac.jp/M3/20110411/F50891/3496/1", 96.73)</f>
        <v>96.73</v>
      </c>
      <c r="E2666" s="2">
        <v>80.8</v>
      </c>
      <c r="F2666" s="2">
        <v>2</v>
      </c>
      <c r="G2666" s="2" t="s">
        <v>9</v>
      </c>
    </row>
    <row r="2667" spans="1:9" x14ac:dyDescent="0.2">
      <c r="A2667" s="2" t="s">
        <v>3348</v>
      </c>
      <c r="B2667" s="2" t="s">
        <v>137</v>
      </c>
      <c r="C2667" s="2">
        <v>666.01869999999997</v>
      </c>
      <c r="D2667" s="2">
        <f>HYPERLINK("http://mcb-m6.bioreg.kyushu-u.ac.jp/M3/20110411/F50897/1584/1", 41.05)</f>
        <v>41.05</v>
      </c>
      <c r="E2667" s="2">
        <v>12.9</v>
      </c>
      <c r="F2667" s="2">
        <v>2</v>
      </c>
      <c r="G2667" s="2" t="s">
        <v>10</v>
      </c>
    </row>
    <row r="2668" spans="1:9" x14ac:dyDescent="0.2">
      <c r="A2668" s="2" t="s">
        <v>3348</v>
      </c>
      <c r="B2668" s="2" t="s">
        <v>1248</v>
      </c>
      <c r="C2668" s="2">
        <v>709.75120000000004</v>
      </c>
      <c r="D2668" s="2">
        <f>HYPERLINK("http://mcb-m6.bioreg.kyushu-u.ac.jp/M3/20110411/F50897/1802/1", 64.7)</f>
        <v>64.7</v>
      </c>
      <c r="E2668" s="2">
        <v>37.130000000000003</v>
      </c>
      <c r="F2668" s="2">
        <v>2</v>
      </c>
      <c r="G2668" s="2" t="s">
        <v>10</v>
      </c>
      <c r="I2668" s="2" t="s">
        <v>4899</v>
      </c>
    </row>
    <row r="2669" spans="1:9" x14ac:dyDescent="0.2">
      <c r="A2669" s="2" t="s">
        <v>3348</v>
      </c>
      <c r="B2669" s="2" t="s">
        <v>1590</v>
      </c>
      <c r="C2669" s="2">
        <v>1021.091</v>
      </c>
      <c r="D2669" s="2">
        <f>HYPERLINK("http://mcb-m6.bioreg.kyushu-u.ac.jp/M3/20110411/F50897/3206/1", 85.85)</f>
        <v>85.85</v>
      </c>
      <c r="E2669" s="2">
        <v>66.81</v>
      </c>
      <c r="F2669" s="2">
        <v>2</v>
      </c>
      <c r="G2669" s="2" t="s">
        <v>10</v>
      </c>
    </row>
    <row r="2670" spans="1:9" x14ac:dyDescent="0.2">
      <c r="A2670" s="2" t="s">
        <v>3348</v>
      </c>
      <c r="B2670" s="2" t="s">
        <v>137</v>
      </c>
      <c r="C2670" s="2">
        <v>665.48019999999997</v>
      </c>
      <c r="D2670" s="2">
        <f>HYPERLINK("http://mcb-m6.bioreg.kyushu-u.ac.jp/M3/20110414/F50927/1954/1", 37.83)</f>
        <v>37.83</v>
      </c>
      <c r="E2670" s="2">
        <v>10.1</v>
      </c>
      <c r="F2670" s="2">
        <v>2</v>
      </c>
      <c r="G2670" s="2" t="s">
        <v>11</v>
      </c>
    </row>
    <row r="2671" spans="1:9" x14ac:dyDescent="0.2">
      <c r="A2671" s="2" t="s">
        <v>3348</v>
      </c>
      <c r="B2671" s="2" t="s">
        <v>137</v>
      </c>
      <c r="C2671" s="2">
        <v>665.99659999999994</v>
      </c>
      <c r="D2671" s="2">
        <f>HYPERLINK("http://mcb-m6.bioreg.kyushu-u.ac.jp/M3/20110414/F50927/1957/1", 66.64)</f>
        <v>66.64</v>
      </c>
      <c r="E2671" s="2">
        <v>39.29</v>
      </c>
      <c r="F2671" s="2">
        <v>2</v>
      </c>
      <c r="G2671" s="2" t="s">
        <v>11</v>
      </c>
    </row>
    <row r="2672" spans="1:9" x14ac:dyDescent="0.2">
      <c r="A2672" s="2" t="s">
        <v>3348</v>
      </c>
      <c r="B2672" s="2" t="s">
        <v>1590</v>
      </c>
      <c r="C2672" s="2">
        <v>1021.22</v>
      </c>
      <c r="D2672" s="2">
        <f>HYPERLINK("http://mcb-m6.bioreg.kyushu-u.ac.jp/M3/20110414/F50928/3365/1", 87.84)</f>
        <v>87.84</v>
      </c>
      <c r="E2672" s="2">
        <v>71.930000000000007</v>
      </c>
      <c r="F2672" s="2">
        <v>2</v>
      </c>
      <c r="G2672" s="2" t="s">
        <v>11</v>
      </c>
    </row>
    <row r="2673" spans="1:9" x14ac:dyDescent="0.2">
      <c r="A2673" s="2" t="s">
        <v>3348</v>
      </c>
      <c r="B2673" s="2" t="s">
        <v>137</v>
      </c>
      <c r="C2673" s="2">
        <v>666.33969999999999</v>
      </c>
      <c r="D2673" s="2">
        <f>HYPERLINK("http://mcb-m6.bioreg.kyushu-u.ac.jp/M3/20110414/F50932/2017/1", 43.72)</f>
        <v>43.72</v>
      </c>
      <c r="E2673" s="2">
        <v>21.19</v>
      </c>
      <c r="F2673" s="2">
        <v>2</v>
      </c>
      <c r="G2673" s="2" t="s">
        <v>12</v>
      </c>
    </row>
    <row r="2674" spans="1:9" x14ac:dyDescent="0.2">
      <c r="A2674" s="2" t="s">
        <v>3348</v>
      </c>
      <c r="B2674" s="2" t="s">
        <v>137</v>
      </c>
      <c r="C2674" s="2">
        <v>665.73360000000002</v>
      </c>
      <c r="D2674" s="2">
        <f>HYPERLINK("http://mcb-m6.bioreg.kyushu-u.ac.jp/M3/20110414/F50932/2013/1", 44.16)</f>
        <v>44.16</v>
      </c>
      <c r="E2674" s="2">
        <v>24.84</v>
      </c>
      <c r="F2674" s="2">
        <v>2</v>
      </c>
      <c r="G2674" s="2" t="s">
        <v>12</v>
      </c>
    </row>
    <row r="2675" spans="1:9" x14ac:dyDescent="0.2">
      <c r="A2675" s="2" t="s">
        <v>3348</v>
      </c>
      <c r="B2675" s="2" t="s">
        <v>137</v>
      </c>
      <c r="C2675" s="2">
        <v>666.44460000000004</v>
      </c>
      <c r="D2675" s="2">
        <f>HYPERLINK("http://mcb-m6.bioreg.kyushu-u.ac.jp/M3/20110502/F51168/1724/1", 63.45)</f>
        <v>63.45</v>
      </c>
      <c r="E2675" s="2">
        <v>35.68</v>
      </c>
      <c r="F2675" s="2">
        <v>2</v>
      </c>
      <c r="G2675" s="2" t="s">
        <v>13</v>
      </c>
    </row>
    <row r="2676" spans="1:9" x14ac:dyDescent="0.2">
      <c r="A2676" s="2" t="s">
        <v>3348</v>
      </c>
      <c r="B2676" s="2" t="s">
        <v>1125</v>
      </c>
      <c r="C2676" s="2">
        <v>640.48069999999996</v>
      </c>
      <c r="D2676" s="2">
        <f>HYPERLINK("http://mcb-m6.bioreg.kyushu-u.ac.jp/M3/20110502/F51168/1660/1", 66.71)</f>
        <v>66.709999999999994</v>
      </c>
      <c r="E2676" s="2">
        <v>40.130000000000003</v>
      </c>
      <c r="F2676" s="2">
        <v>2</v>
      </c>
      <c r="G2676" s="2" t="s">
        <v>13</v>
      </c>
    </row>
    <row r="2677" spans="1:9" x14ac:dyDescent="0.2">
      <c r="A2677" s="2" t="s">
        <v>3348</v>
      </c>
      <c r="B2677" s="2" t="s">
        <v>1590</v>
      </c>
      <c r="C2677" s="2">
        <v>1021.47</v>
      </c>
      <c r="D2677" s="2">
        <f>HYPERLINK("http://mcb-m6.bioreg.kyushu-u.ac.jp/M3/20110502/F51168/2842/1", 122.97)</f>
        <v>122.97</v>
      </c>
      <c r="E2677" s="2">
        <v>111.98</v>
      </c>
      <c r="F2677" s="2">
        <v>2</v>
      </c>
      <c r="G2677" s="2" t="s">
        <v>13</v>
      </c>
    </row>
    <row r="2678" spans="1:9" x14ac:dyDescent="0.2">
      <c r="A2678" s="2" t="s">
        <v>3348</v>
      </c>
      <c r="B2678" s="2" t="s">
        <v>137</v>
      </c>
      <c r="C2678" s="2">
        <v>666.06320000000005</v>
      </c>
      <c r="D2678" s="2">
        <f>HYPERLINK("http://mcb-m6.bioreg.kyushu-u.ac.jp/M3/20110502/F51178/1749/1", 44.01)</f>
        <v>44.01</v>
      </c>
      <c r="E2678" s="2">
        <v>20.83</v>
      </c>
      <c r="F2678" s="2">
        <v>2</v>
      </c>
      <c r="G2678" s="2" t="s">
        <v>14</v>
      </c>
    </row>
    <row r="2679" spans="1:9" x14ac:dyDescent="0.2">
      <c r="A2679" s="2" t="s">
        <v>3348</v>
      </c>
      <c r="B2679" s="2" t="s">
        <v>1248</v>
      </c>
      <c r="C2679" s="2">
        <v>710.34770000000003</v>
      </c>
      <c r="D2679" s="2">
        <f>HYPERLINK("http://mcb-m6.bioreg.kyushu-u.ac.jp/M3/20110502/F51177/1673/1", 55.87)</f>
        <v>55.87</v>
      </c>
      <c r="E2679" s="2">
        <v>28.76</v>
      </c>
      <c r="F2679" s="2">
        <v>2</v>
      </c>
      <c r="G2679" s="2" t="s">
        <v>14</v>
      </c>
      <c r="I2679" s="2" t="s">
        <v>4899</v>
      </c>
    </row>
    <row r="2680" spans="1:9" x14ac:dyDescent="0.2">
      <c r="A2680" s="2" t="s">
        <v>3348</v>
      </c>
      <c r="B2680" s="2" t="s">
        <v>1590</v>
      </c>
      <c r="C2680" s="2">
        <v>1021.131</v>
      </c>
      <c r="D2680" s="2">
        <f>HYPERLINK("http://mcb-m6.bioreg.kyushu-u.ac.jp/M3/20110502/F51177/3190/1", 115.84)</f>
        <v>115.84</v>
      </c>
      <c r="E2680" s="2">
        <v>105.53</v>
      </c>
      <c r="F2680" s="2">
        <v>2</v>
      </c>
      <c r="G2680" s="2" t="s">
        <v>14</v>
      </c>
    </row>
    <row r="2681" spans="1:9" x14ac:dyDescent="0.2">
      <c r="A2681" s="2" t="s">
        <v>4856</v>
      </c>
      <c r="B2681" s="2" t="s">
        <v>3138</v>
      </c>
      <c r="C2681" s="2">
        <v>554.69320000000005</v>
      </c>
      <c r="D2681" s="2">
        <f>HYPERLINK("http://mcb-m6.bioreg.kyushu-u.ac.jp/M3/20110502/F51182/920/1", 50.57)</f>
        <v>50.57</v>
      </c>
      <c r="E2681" s="2">
        <v>21.62</v>
      </c>
      <c r="F2681" s="2">
        <v>2</v>
      </c>
      <c r="G2681" s="2" t="s">
        <v>14</v>
      </c>
    </row>
    <row r="2682" spans="1:9" x14ac:dyDescent="0.2">
      <c r="A2682" s="2" t="s">
        <v>4457</v>
      </c>
      <c r="B2682" s="2" t="s">
        <v>2368</v>
      </c>
      <c r="C2682" s="2">
        <v>1017.32</v>
      </c>
      <c r="D2682" s="2">
        <f>HYPERLINK("http://mcb-m6.bioreg.kyushu-u.ac.jp/M3/20110414/F50945/3179/1", 51.09)</f>
        <v>51.09</v>
      </c>
      <c r="E2682" s="2">
        <v>21.19</v>
      </c>
      <c r="F2682" s="2">
        <v>2</v>
      </c>
      <c r="G2682" s="2" t="s">
        <v>11</v>
      </c>
    </row>
    <row r="2683" spans="1:9" x14ac:dyDescent="0.2">
      <c r="A2683" s="2" t="s">
        <v>4457</v>
      </c>
      <c r="B2683" s="2" t="s">
        <v>2368</v>
      </c>
      <c r="C2683" s="2">
        <v>1017.407</v>
      </c>
      <c r="D2683" s="2">
        <f>HYPERLINK("http://mcb-m6.bioreg.kyushu-u.ac.jp/M3/20110414/F50946/3205/1", 71.98)</f>
        <v>71.98</v>
      </c>
      <c r="E2683" s="2">
        <v>52.38</v>
      </c>
      <c r="F2683" s="2">
        <v>2</v>
      </c>
      <c r="G2683" s="2" t="s">
        <v>12</v>
      </c>
    </row>
    <row r="2684" spans="1:9" x14ac:dyDescent="0.2">
      <c r="A2684" s="2" t="s">
        <v>3638</v>
      </c>
      <c r="B2684" s="2" t="s">
        <v>556</v>
      </c>
      <c r="C2684" s="2">
        <v>611.30020000000002</v>
      </c>
      <c r="D2684" s="2">
        <f>HYPERLINK("http://mcb-m6.bioreg.kyushu-u.ac.jp/M3/20110411/F50911/1436/1", 44.75)</f>
        <v>44.75</v>
      </c>
      <c r="E2684" s="2">
        <v>24.85</v>
      </c>
      <c r="F2684" s="2">
        <v>2</v>
      </c>
      <c r="G2684" s="2" t="s">
        <v>9</v>
      </c>
    </row>
    <row r="2685" spans="1:9" x14ac:dyDescent="0.2">
      <c r="A2685" s="2" t="s">
        <v>3440</v>
      </c>
      <c r="B2685" s="2" t="s">
        <v>248</v>
      </c>
      <c r="C2685" s="2">
        <v>1042.643</v>
      </c>
      <c r="D2685" s="2">
        <f>HYPERLINK("http://mcb-m6.bioreg.kyushu-u.ac.jp/M3/20110411/F50903/1192/1", 38.43)</f>
        <v>38.43</v>
      </c>
      <c r="E2685" s="2">
        <v>21.69</v>
      </c>
      <c r="F2685" s="2">
        <v>1</v>
      </c>
      <c r="G2685" s="2" t="s">
        <v>9</v>
      </c>
    </row>
    <row r="2686" spans="1:9" x14ac:dyDescent="0.2">
      <c r="A2686" s="2" t="s">
        <v>3440</v>
      </c>
      <c r="B2686" s="2" t="s">
        <v>449</v>
      </c>
      <c r="C2686" s="2">
        <v>531.46510000000001</v>
      </c>
      <c r="D2686" s="2">
        <f>HYPERLINK("http://mcb-m6.bioreg.kyushu-u.ac.jp/M3/20110411/F50903/1225/1", 42.08)</f>
        <v>42.08</v>
      </c>
      <c r="E2686" s="2">
        <v>9.65</v>
      </c>
      <c r="F2686" s="2">
        <v>2</v>
      </c>
      <c r="G2686" s="2" t="s">
        <v>9</v>
      </c>
      <c r="I2686" s="2" t="s">
        <v>4923</v>
      </c>
    </row>
    <row r="2687" spans="1:9" x14ac:dyDescent="0.2">
      <c r="A2687" s="2" t="s">
        <v>3895</v>
      </c>
      <c r="B2687" s="2" t="s">
        <v>1041</v>
      </c>
      <c r="C2687" s="2">
        <v>876.09969999999998</v>
      </c>
      <c r="D2687" s="2">
        <f>HYPERLINK("http://mcb-m6.bioreg.kyushu-u.ac.jp/M3/20110411/F50903/2637/1", 60.07)</f>
        <v>60.07</v>
      </c>
      <c r="E2687" s="2">
        <v>40.11</v>
      </c>
      <c r="F2687" s="2">
        <v>2</v>
      </c>
      <c r="G2687" s="2" t="s">
        <v>9</v>
      </c>
      <c r="I2687" s="2" t="s">
        <v>4903</v>
      </c>
    </row>
    <row r="2688" spans="1:9" x14ac:dyDescent="0.2">
      <c r="A2688" s="2" t="s">
        <v>3895</v>
      </c>
      <c r="B2688" s="2" t="s">
        <v>1041</v>
      </c>
      <c r="C2688" s="2">
        <v>875.94209999999998</v>
      </c>
      <c r="D2688" s="2">
        <f>HYPERLINK("http://mcb-m6.bioreg.kyushu-u.ac.jp/M3/20110411/F50920/2177/1", 63.97)</f>
        <v>63.97</v>
      </c>
      <c r="E2688" s="2">
        <v>46.25</v>
      </c>
      <c r="F2688" s="2">
        <v>2</v>
      </c>
      <c r="G2688" s="2" t="s">
        <v>10</v>
      </c>
      <c r="I2688" s="2" t="s">
        <v>4903</v>
      </c>
    </row>
    <row r="2689" spans="1:9" x14ac:dyDescent="0.2">
      <c r="A2689" s="2" t="s">
        <v>3895</v>
      </c>
      <c r="B2689" s="2" t="s">
        <v>1041</v>
      </c>
      <c r="C2689" s="2">
        <v>876.3356</v>
      </c>
      <c r="D2689" s="2">
        <f>HYPERLINK("http://mcb-m6.bioreg.kyushu-u.ac.jp/M3/20110414/F50924/2691/1", 68.81)</f>
        <v>68.81</v>
      </c>
      <c r="E2689" s="2">
        <v>41.88</v>
      </c>
      <c r="F2689" s="2">
        <v>2</v>
      </c>
      <c r="G2689" s="2" t="s">
        <v>11</v>
      </c>
      <c r="I2689" s="2" t="s">
        <v>4903</v>
      </c>
    </row>
    <row r="2690" spans="1:9" x14ac:dyDescent="0.2">
      <c r="A2690" s="2" t="s">
        <v>3895</v>
      </c>
      <c r="B2690" s="2" t="s">
        <v>1041</v>
      </c>
      <c r="C2690" s="2">
        <v>875.80219999999997</v>
      </c>
      <c r="D2690" s="2">
        <f>HYPERLINK("http://mcb-m6.bioreg.kyushu-u.ac.jp/M3/20110414/F50924/2690/1", 100.16)</f>
        <v>100.16</v>
      </c>
      <c r="E2690" s="2">
        <v>77.069999999999993</v>
      </c>
      <c r="F2690" s="2">
        <v>2</v>
      </c>
      <c r="G2690" s="2" t="s">
        <v>11</v>
      </c>
      <c r="I2690" s="2" t="s">
        <v>4903</v>
      </c>
    </row>
    <row r="2691" spans="1:9" x14ac:dyDescent="0.2">
      <c r="A2691" s="2" t="s">
        <v>3477</v>
      </c>
      <c r="B2691" s="2" t="s">
        <v>295</v>
      </c>
      <c r="C2691" s="2">
        <v>639.91520000000003</v>
      </c>
      <c r="D2691" s="2">
        <f>HYPERLINK("http://mcb-m6.bioreg.kyushu-u.ac.jp/M3/20110411/F50911/1563/1", 39.2)</f>
        <v>39.200000000000003</v>
      </c>
      <c r="E2691" s="2">
        <v>21.22</v>
      </c>
      <c r="F2691" s="2">
        <v>2</v>
      </c>
      <c r="G2691" s="2" t="s">
        <v>9</v>
      </c>
    </row>
    <row r="2692" spans="1:9" x14ac:dyDescent="0.2">
      <c r="A2692" s="2" t="s">
        <v>3477</v>
      </c>
      <c r="B2692" s="2" t="s">
        <v>295</v>
      </c>
      <c r="C2692" s="2">
        <v>1277.665</v>
      </c>
      <c r="D2692" s="2">
        <f>HYPERLINK("http://mcb-m6.bioreg.kyushu-u.ac.jp/M3/20110411/F50891/1566/1", 46.29)</f>
        <v>46.29</v>
      </c>
      <c r="E2692" s="2">
        <v>28.07</v>
      </c>
      <c r="F2692" s="2">
        <v>1</v>
      </c>
      <c r="G2692" s="2" t="s">
        <v>9</v>
      </c>
    </row>
    <row r="2693" spans="1:9" x14ac:dyDescent="0.2">
      <c r="A2693" s="2" t="s">
        <v>3477</v>
      </c>
      <c r="B2693" s="2" t="s">
        <v>295</v>
      </c>
      <c r="C2693" s="2">
        <v>639.44119999999998</v>
      </c>
      <c r="D2693" s="2">
        <f>HYPERLINK("http://mcb-m6.bioreg.kyushu-u.ac.jp/M3/20110411/F50891/1568/1", 48.44)</f>
        <v>48.44</v>
      </c>
      <c r="E2693" s="2">
        <v>37.479999999999997</v>
      </c>
      <c r="F2693" s="2">
        <v>2</v>
      </c>
      <c r="G2693" s="2" t="s">
        <v>9</v>
      </c>
    </row>
    <row r="2694" spans="1:9" x14ac:dyDescent="0.2">
      <c r="A2694" s="2" t="s">
        <v>3477</v>
      </c>
      <c r="B2694" s="2" t="s">
        <v>295</v>
      </c>
      <c r="C2694" s="2">
        <v>639.64760000000001</v>
      </c>
      <c r="D2694" s="2">
        <f>HYPERLINK("http://mcb-m6.bioreg.kyushu-u.ac.jp/M3/20110411/F50893/1752/1", 51.74)</f>
        <v>51.74</v>
      </c>
      <c r="E2694" s="2">
        <v>35.76</v>
      </c>
      <c r="F2694" s="2">
        <v>2</v>
      </c>
      <c r="G2694" s="2" t="s">
        <v>9</v>
      </c>
    </row>
    <row r="2695" spans="1:9" x14ac:dyDescent="0.2">
      <c r="A2695" s="2" t="s">
        <v>3477</v>
      </c>
      <c r="B2695" s="2" t="s">
        <v>295</v>
      </c>
      <c r="C2695" s="2">
        <v>639.43520000000001</v>
      </c>
      <c r="D2695" s="2">
        <f>HYPERLINK("http://mcb-m6.bioreg.kyushu-u.ac.jp/M3/20110411/F50894/1874/1", 58.32)</f>
        <v>58.32</v>
      </c>
      <c r="E2695" s="2">
        <v>41.99</v>
      </c>
      <c r="F2695" s="2">
        <v>2</v>
      </c>
      <c r="G2695" s="2" t="s">
        <v>9</v>
      </c>
    </row>
    <row r="2696" spans="1:9" x14ac:dyDescent="0.2">
      <c r="A2696" s="2" t="s">
        <v>3477</v>
      </c>
      <c r="B2696" s="2" t="s">
        <v>295</v>
      </c>
      <c r="C2696" s="2">
        <v>639.91470000000004</v>
      </c>
      <c r="D2696" s="2">
        <f>HYPERLINK("http://mcb-m6.bioreg.kyushu-u.ac.jp/M3/20110411/F50892/1778/1", 65.3)</f>
        <v>65.3</v>
      </c>
      <c r="E2696" s="2">
        <v>40.229999999999997</v>
      </c>
      <c r="F2696" s="2">
        <v>2</v>
      </c>
      <c r="G2696" s="2" t="s">
        <v>9</v>
      </c>
    </row>
    <row r="2697" spans="1:9" x14ac:dyDescent="0.2">
      <c r="A2697" s="2" t="s">
        <v>3477</v>
      </c>
      <c r="B2697" s="2" t="s">
        <v>295</v>
      </c>
      <c r="C2697" s="2">
        <v>639.32460000000003</v>
      </c>
      <c r="D2697" s="2">
        <f>HYPERLINK("http://mcb-m6.bioreg.kyushu-u.ac.jp/M3/20110411/F50891/1565/1", 70.12)</f>
        <v>70.12</v>
      </c>
      <c r="E2697" s="2">
        <v>52.52</v>
      </c>
      <c r="F2697" s="2">
        <v>2</v>
      </c>
      <c r="G2697" s="2" t="s">
        <v>9</v>
      </c>
    </row>
    <row r="2698" spans="1:9" x14ac:dyDescent="0.2">
      <c r="A2698" s="2" t="s">
        <v>3477</v>
      </c>
      <c r="B2698" s="2" t="s">
        <v>295</v>
      </c>
      <c r="C2698" s="2">
        <v>639.90520000000004</v>
      </c>
      <c r="D2698" s="2">
        <f>HYPERLINK("http://mcb-m6.bioreg.kyushu-u.ac.jp/M3/20110411/F50904/1576/1", 77.1)</f>
        <v>77.099999999999994</v>
      </c>
      <c r="E2698" s="2">
        <v>38.49</v>
      </c>
      <c r="F2698" s="2">
        <v>2</v>
      </c>
      <c r="G2698" s="2" t="s">
        <v>9</v>
      </c>
    </row>
    <row r="2699" spans="1:9" x14ac:dyDescent="0.2">
      <c r="A2699" s="2" t="s">
        <v>3477</v>
      </c>
      <c r="B2699" s="2" t="s">
        <v>295</v>
      </c>
      <c r="C2699" s="2">
        <v>639.56619999999998</v>
      </c>
      <c r="D2699" s="2">
        <f>HYPERLINK("http://mcb-m6.bioreg.kyushu-u.ac.jp/M3/20110411/F50914/1621/1", 42.17)</f>
        <v>42.17</v>
      </c>
      <c r="E2699" s="2">
        <v>34.880000000000003</v>
      </c>
      <c r="F2699" s="2">
        <v>2</v>
      </c>
      <c r="G2699" s="2" t="s">
        <v>10</v>
      </c>
    </row>
    <row r="2700" spans="1:9" x14ac:dyDescent="0.2">
      <c r="A2700" s="2" t="s">
        <v>3477</v>
      </c>
      <c r="B2700" s="2" t="s">
        <v>295</v>
      </c>
      <c r="C2700" s="2">
        <v>639.52369999999996</v>
      </c>
      <c r="D2700" s="2">
        <f>HYPERLINK("http://mcb-m6.bioreg.kyushu-u.ac.jp/M3/20110411/F50901/1633/1", 48.41)</f>
        <v>48.41</v>
      </c>
      <c r="E2700" s="2">
        <v>27.8</v>
      </c>
      <c r="F2700" s="2">
        <v>2</v>
      </c>
      <c r="G2700" s="2" t="s">
        <v>10</v>
      </c>
    </row>
    <row r="2701" spans="1:9" x14ac:dyDescent="0.2">
      <c r="A2701" s="2" t="s">
        <v>3477</v>
      </c>
      <c r="B2701" s="2" t="s">
        <v>295</v>
      </c>
      <c r="C2701" s="2">
        <v>1278.123</v>
      </c>
      <c r="D2701" s="2">
        <f>HYPERLINK("http://mcb-m6.bioreg.kyushu-u.ac.jp/M3/20110411/F50920/1125/1", 51.02)</f>
        <v>51.02</v>
      </c>
      <c r="E2701" s="2">
        <v>27.03</v>
      </c>
      <c r="F2701" s="2">
        <v>1</v>
      </c>
      <c r="G2701" s="2" t="s">
        <v>10</v>
      </c>
    </row>
    <row r="2702" spans="1:9" x14ac:dyDescent="0.2">
      <c r="A2702" s="2" t="s">
        <v>3477</v>
      </c>
      <c r="B2702" s="2" t="s">
        <v>295</v>
      </c>
      <c r="C2702" s="2">
        <v>639.62819999999999</v>
      </c>
      <c r="D2702" s="2">
        <f>HYPERLINK("http://mcb-m6.bioreg.kyushu-u.ac.jp/M3/20110411/F50920/1128/1", 68.3)</f>
        <v>68.3</v>
      </c>
      <c r="E2702" s="2">
        <v>35.25</v>
      </c>
      <c r="F2702" s="2">
        <v>2</v>
      </c>
      <c r="G2702" s="2" t="s">
        <v>10</v>
      </c>
    </row>
    <row r="2703" spans="1:9" x14ac:dyDescent="0.2">
      <c r="A2703" s="2" t="s">
        <v>3477</v>
      </c>
      <c r="B2703" s="2" t="s">
        <v>295</v>
      </c>
      <c r="C2703" s="2">
        <v>639.26319999999998</v>
      </c>
      <c r="D2703" s="2">
        <f>HYPERLINK("http://mcb-m6.bioreg.kyushu-u.ac.jp/M3/20110414/F50933/1947/1", 53.5)</f>
        <v>53.5</v>
      </c>
      <c r="E2703" s="2">
        <v>35.28</v>
      </c>
      <c r="F2703" s="2">
        <v>2</v>
      </c>
      <c r="G2703" s="2" t="s">
        <v>12</v>
      </c>
    </row>
    <row r="2704" spans="1:9" x14ac:dyDescent="0.2">
      <c r="A2704" s="2" t="s">
        <v>3477</v>
      </c>
      <c r="B2704" s="2" t="s">
        <v>295</v>
      </c>
      <c r="C2704" s="2">
        <v>639.43520000000001</v>
      </c>
      <c r="D2704" s="2">
        <f>HYPERLINK("http://mcb-m6.bioreg.kyushu-u.ac.jp/M3/20110502/F51179/1228/1", 38.67)</f>
        <v>38.67</v>
      </c>
      <c r="E2704" s="2">
        <v>21.5</v>
      </c>
      <c r="F2704" s="2">
        <v>2</v>
      </c>
      <c r="G2704" s="2" t="s">
        <v>14</v>
      </c>
    </row>
    <row r="2705" spans="1:7" x14ac:dyDescent="0.2">
      <c r="A2705" s="2" t="s">
        <v>3477</v>
      </c>
      <c r="B2705" s="2" t="s">
        <v>295</v>
      </c>
      <c r="C2705" s="2">
        <v>639.70619999999997</v>
      </c>
      <c r="D2705" s="2">
        <f>HYPERLINK("http://mcb-m6.bioreg.kyushu-u.ac.jp/M3/20110502/F51182/1284/1", 39.24)</f>
        <v>39.24</v>
      </c>
      <c r="E2705" s="2">
        <v>24.47</v>
      </c>
      <c r="F2705" s="2">
        <v>2</v>
      </c>
      <c r="G2705" s="2" t="s">
        <v>14</v>
      </c>
    </row>
    <row r="2706" spans="1:7" x14ac:dyDescent="0.2">
      <c r="A2706" s="2" t="s">
        <v>3477</v>
      </c>
      <c r="B2706" s="2" t="s">
        <v>295</v>
      </c>
      <c r="C2706" s="2">
        <v>639.91020000000003</v>
      </c>
      <c r="D2706" s="2">
        <f>HYPERLINK("http://mcb-m6.bioreg.kyushu-u.ac.jp/M3/20110502/F51193/1321/1", 40.69)</f>
        <v>40.69</v>
      </c>
      <c r="E2706" s="2">
        <v>28.56</v>
      </c>
      <c r="F2706" s="2">
        <v>2</v>
      </c>
      <c r="G2706" s="2" t="s">
        <v>14</v>
      </c>
    </row>
    <row r="2707" spans="1:7" x14ac:dyDescent="0.2">
      <c r="A2707" s="2" t="s">
        <v>3477</v>
      </c>
      <c r="B2707" s="2" t="s">
        <v>295</v>
      </c>
      <c r="C2707" s="2">
        <v>639.66560000000004</v>
      </c>
      <c r="D2707" s="2">
        <f>HYPERLINK("http://mcb-m6.bioreg.kyushu-u.ac.jp/M3/20110502/F51184/1216/1", 40.87)</f>
        <v>40.869999999999997</v>
      </c>
      <c r="E2707" s="2">
        <v>21.24</v>
      </c>
      <c r="F2707" s="2">
        <v>2</v>
      </c>
      <c r="G2707" s="2" t="s">
        <v>14</v>
      </c>
    </row>
    <row r="2708" spans="1:7" x14ac:dyDescent="0.2">
      <c r="A2708" s="2" t="s">
        <v>3477</v>
      </c>
      <c r="B2708" s="2" t="s">
        <v>295</v>
      </c>
      <c r="C2708" s="2">
        <v>639.48609999999996</v>
      </c>
      <c r="D2708" s="2">
        <f>HYPERLINK("http://mcb-m6.bioreg.kyushu-u.ac.jp/M3/20110502/F51178/1675/1", 43.34)</f>
        <v>43.34</v>
      </c>
      <c r="E2708" s="2">
        <v>25.8</v>
      </c>
      <c r="F2708" s="2">
        <v>2</v>
      </c>
      <c r="G2708" s="2" t="s">
        <v>14</v>
      </c>
    </row>
    <row r="2709" spans="1:7" x14ac:dyDescent="0.2">
      <c r="A2709" s="2" t="s">
        <v>3477</v>
      </c>
      <c r="B2709" s="2" t="s">
        <v>295</v>
      </c>
      <c r="C2709" s="2">
        <v>639.62070000000006</v>
      </c>
      <c r="D2709" s="2">
        <f>HYPERLINK("http://mcb-m6.bioreg.kyushu-u.ac.jp/M3/20110502/F51177/1247/1", 56.69)</f>
        <v>56.69</v>
      </c>
      <c r="E2709" s="2">
        <v>36.14</v>
      </c>
      <c r="F2709" s="2">
        <v>2</v>
      </c>
      <c r="G2709" s="2" t="s">
        <v>14</v>
      </c>
    </row>
    <row r="2710" spans="1:7" x14ac:dyDescent="0.2">
      <c r="A2710" s="2" t="s">
        <v>3477</v>
      </c>
      <c r="B2710" s="2" t="s">
        <v>295</v>
      </c>
      <c r="C2710" s="2">
        <v>639.24019999999996</v>
      </c>
      <c r="D2710" s="2">
        <f>HYPERLINK("http://mcb-m6.bioreg.kyushu-u.ac.jp/M3/20110502/F51178/1674/1", 63.58)</f>
        <v>63.58</v>
      </c>
      <c r="E2710" s="2">
        <v>43.61</v>
      </c>
      <c r="F2710" s="2">
        <v>2</v>
      </c>
      <c r="G2710" s="2" t="s">
        <v>14</v>
      </c>
    </row>
    <row r="2711" spans="1:7" x14ac:dyDescent="0.2">
      <c r="A2711" s="2" t="s">
        <v>3477</v>
      </c>
      <c r="B2711" s="2" t="s">
        <v>295</v>
      </c>
      <c r="C2711" s="2">
        <v>639.56020000000001</v>
      </c>
      <c r="D2711" s="2">
        <f>HYPERLINK("http://mcb-m6.bioreg.kyushu-u.ac.jp/M3/20110502/F51177/1244/1", 64.47)</f>
        <v>64.47</v>
      </c>
      <c r="E2711" s="2">
        <v>38.9</v>
      </c>
      <c r="F2711" s="2">
        <v>2</v>
      </c>
      <c r="G2711" s="2" t="s">
        <v>14</v>
      </c>
    </row>
    <row r="2712" spans="1:7" x14ac:dyDescent="0.2">
      <c r="A2712" s="2" t="s">
        <v>3477</v>
      </c>
      <c r="B2712" s="2" t="s">
        <v>295</v>
      </c>
      <c r="C2712" s="2">
        <v>639.57920000000001</v>
      </c>
      <c r="D2712" s="2">
        <f>HYPERLINK("http://mcb-m6.bioreg.kyushu-u.ac.jp/M3/20110502/F51178/1678/1", 67.09)</f>
        <v>67.09</v>
      </c>
      <c r="E2712" s="2">
        <v>49.44</v>
      </c>
      <c r="F2712" s="2">
        <v>2</v>
      </c>
      <c r="G2712" s="2" t="s">
        <v>14</v>
      </c>
    </row>
    <row r="2713" spans="1:7" x14ac:dyDescent="0.2">
      <c r="A2713" s="2" t="s">
        <v>4303</v>
      </c>
      <c r="B2713" s="2" t="s">
        <v>2039</v>
      </c>
      <c r="C2713" s="2">
        <v>854.52509999999995</v>
      </c>
      <c r="D2713" s="2">
        <f>HYPERLINK("http://mcb-m6.bioreg.kyushu-u.ac.jp/M3/20110411/F50912/2564/1", 66.41)</f>
        <v>66.41</v>
      </c>
      <c r="E2713" s="2">
        <v>51.26</v>
      </c>
      <c r="F2713" s="2">
        <v>2</v>
      </c>
      <c r="G2713" s="2" t="s">
        <v>10</v>
      </c>
    </row>
    <row r="2714" spans="1:7" x14ac:dyDescent="0.2">
      <c r="A2714" s="2" t="s">
        <v>4303</v>
      </c>
      <c r="B2714" s="2" t="s">
        <v>2401</v>
      </c>
      <c r="C2714" s="2">
        <v>1134.9280000000001</v>
      </c>
      <c r="D2714" s="2">
        <f>HYPERLINK("http://mcb-m6.bioreg.kyushu-u.ac.jp/M3/20110414/F50941/3875/1", 56.35)</f>
        <v>56.35</v>
      </c>
      <c r="E2714" s="2">
        <v>49.31</v>
      </c>
      <c r="F2714" s="2">
        <v>2</v>
      </c>
      <c r="G2714" s="2" t="s">
        <v>11</v>
      </c>
    </row>
    <row r="2715" spans="1:7" x14ac:dyDescent="0.2">
      <c r="A2715" s="2" t="s">
        <v>4303</v>
      </c>
      <c r="B2715" s="2" t="s">
        <v>2401</v>
      </c>
      <c r="C2715" s="2">
        <v>1135.0630000000001</v>
      </c>
      <c r="D2715" s="2">
        <f>HYPERLINK("http://mcb-m6.bioreg.kyushu-u.ac.jp/M3/20110414/F50947/3954/1", 68.74)</f>
        <v>68.739999999999995</v>
      </c>
      <c r="E2715" s="2">
        <v>64.819999999999993</v>
      </c>
      <c r="F2715" s="2">
        <v>2</v>
      </c>
      <c r="G2715" s="2" t="s">
        <v>12</v>
      </c>
    </row>
    <row r="2716" spans="1:7" x14ac:dyDescent="0.2">
      <c r="A2716" s="2" t="s">
        <v>4303</v>
      </c>
      <c r="B2716" s="2" t="s">
        <v>2401</v>
      </c>
      <c r="C2716" s="2">
        <v>1135.674</v>
      </c>
      <c r="D2716" s="2">
        <f>HYPERLINK("http://mcb-m6.bioreg.kyushu-u.ac.jp/M3/20110414/F50947/3958/1", 72.39)</f>
        <v>72.39</v>
      </c>
      <c r="E2716" s="2">
        <v>64.58</v>
      </c>
      <c r="F2716" s="2">
        <v>2</v>
      </c>
      <c r="G2716" s="2" t="s">
        <v>12</v>
      </c>
    </row>
    <row r="2717" spans="1:7" x14ac:dyDescent="0.2">
      <c r="A2717" s="2" t="s">
        <v>3310</v>
      </c>
      <c r="B2717" s="2" t="s">
        <v>93</v>
      </c>
      <c r="C2717" s="2">
        <v>868.43600000000004</v>
      </c>
      <c r="D2717" s="2">
        <f>HYPERLINK("http://mcb-m6.bioreg.kyushu-u.ac.jp/M3/20110411/F50916/619/1", 35.94)</f>
        <v>35.94</v>
      </c>
      <c r="E2717" s="2">
        <v>15</v>
      </c>
      <c r="F2717" s="2">
        <v>1</v>
      </c>
      <c r="G2717" s="2" t="s">
        <v>9</v>
      </c>
    </row>
    <row r="2718" spans="1:7" x14ac:dyDescent="0.2">
      <c r="A2718" s="2" t="s">
        <v>3310</v>
      </c>
      <c r="B2718" s="2" t="s">
        <v>114</v>
      </c>
      <c r="C2718" s="2">
        <v>638.34310000000005</v>
      </c>
      <c r="D2718" s="2">
        <f>HYPERLINK("http://mcb-m6.bioreg.kyushu-u.ac.jp/M3/20110411/F50891/1560/1", 36.23)</f>
        <v>36.229999999999997</v>
      </c>
      <c r="E2718" s="2">
        <v>25.31</v>
      </c>
      <c r="F2718" s="2">
        <v>2</v>
      </c>
      <c r="G2718" s="2" t="s">
        <v>9</v>
      </c>
    </row>
    <row r="2719" spans="1:7" x14ac:dyDescent="0.2">
      <c r="A2719" s="2" t="s">
        <v>3310</v>
      </c>
      <c r="B2719" s="2" t="s">
        <v>279</v>
      </c>
      <c r="C2719" s="2">
        <v>850.59500000000003</v>
      </c>
      <c r="D2719" s="2">
        <f>HYPERLINK("http://mcb-m6.bioreg.kyushu-u.ac.jp/M3/20110411/F50915/521/1", 38.92)</f>
        <v>38.92</v>
      </c>
      <c r="E2719" s="2">
        <v>18.78</v>
      </c>
      <c r="F2719" s="2">
        <v>1</v>
      </c>
      <c r="G2719" s="2" t="s">
        <v>9</v>
      </c>
    </row>
    <row r="2720" spans="1:7" x14ac:dyDescent="0.2">
      <c r="A2720" s="2" t="s">
        <v>3310</v>
      </c>
      <c r="B2720" s="2" t="s">
        <v>316</v>
      </c>
      <c r="C2720" s="2">
        <v>471.49509999999998</v>
      </c>
      <c r="D2720" s="2">
        <f>HYPERLINK("http://mcb-m6.bioreg.kyushu-u.ac.jp/M3/20110411/F50915/639/1", 39.63)</f>
        <v>39.630000000000003</v>
      </c>
      <c r="E2720" s="2">
        <v>15.6</v>
      </c>
      <c r="F2720" s="2">
        <v>2</v>
      </c>
      <c r="G2720" s="2" t="s">
        <v>9</v>
      </c>
    </row>
    <row r="2721" spans="1:9" x14ac:dyDescent="0.2">
      <c r="A2721" s="2" t="s">
        <v>3310</v>
      </c>
      <c r="B2721" s="2" t="s">
        <v>333</v>
      </c>
      <c r="C2721" s="2">
        <v>915.91610000000003</v>
      </c>
      <c r="D2721" s="2">
        <f>HYPERLINK("http://mcb-m6.bioreg.kyushu-u.ac.jp/M3/20110411/F50891/3082/1", 39.85)</f>
        <v>39.85</v>
      </c>
      <c r="E2721" s="2">
        <v>28.85</v>
      </c>
      <c r="F2721" s="2">
        <v>2</v>
      </c>
      <c r="G2721" s="2" t="s">
        <v>9</v>
      </c>
    </row>
    <row r="2722" spans="1:9" x14ac:dyDescent="0.2">
      <c r="A2722" s="2" t="s">
        <v>3310</v>
      </c>
      <c r="B2722" s="2" t="s">
        <v>333</v>
      </c>
      <c r="C2722" s="2">
        <v>915.69320000000005</v>
      </c>
      <c r="D2722" s="2">
        <f>HYPERLINK("http://mcb-m6.bioreg.kyushu-u.ac.jp/M3/20110411/F50905/2922/1", 44.59)</f>
        <v>44.59</v>
      </c>
      <c r="E2722" s="2">
        <v>33.229999999999997</v>
      </c>
      <c r="F2722" s="2">
        <v>2</v>
      </c>
      <c r="G2722" s="2" t="s">
        <v>9</v>
      </c>
    </row>
    <row r="2723" spans="1:9" x14ac:dyDescent="0.2">
      <c r="A2723" s="2" t="s">
        <v>3310</v>
      </c>
      <c r="B2723" s="2" t="s">
        <v>582</v>
      </c>
      <c r="C2723" s="2">
        <v>905.02620000000002</v>
      </c>
      <c r="D2723" s="2">
        <f>HYPERLINK("http://mcb-m6.bioreg.kyushu-u.ac.jp/M3/20110411/F50915/2867/1", 45.44)</f>
        <v>45.44</v>
      </c>
      <c r="E2723" s="2">
        <v>29.63</v>
      </c>
      <c r="F2723" s="2">
        <v>2</v>
      </c>
      <c r="G2723" s="2" t="s">
        <v>9</v>
      </c>
    </row>
    <row r="2724" spans="1:9" x14ac:dyDescent="0.2">
      <c r="A2724" s="2" t="s">
        <v>3310</v>
      </c>
      <c r="B2724" s="2" t="s">
        <v>642</v>
      </c>
      <c r="C2724" s="2">
        <v>674.87270000000001</v>
      </c>
      <c r="D2724" s="2">
        <f>HYPERLINK("http://mcb-m6.bioreg.kyushu-u.ac.jp/M3/20110411/F50916/1513/1", 47.04)</f>
        <v>47.04</v>
      </c>
      <c r="E2724" s="2">
        <v>36.31</v>
      </c>
      <c r="F2724" s="2">
        <v>2</v>
      </c>
      <c r="G2724" s="2" t="s">
        <v>9</v>
      </c>
      <c r="I2724" s="2" t="s">
        <v>4898</v>
      </c>
    </row>
    <row r="2725" spans="1:9" x14ac:dyDescent="0.2">
      <c r="A2725" s="2" t="s">
        <v>3310</v>
      </c>
      <c r="B2725" s="2" t="s">
        <v>114</v>
      </c>
      <c r="C2725" s="2">
        <v>638.29570000000001</v>
      </c>
      <c r="D2725" s="2">
        <f>HYPERLINK("http://mcb-m6.bioreg.kyushu-u.ac.jp/M3/20110411/F50892/1772/1", 47.54)</f>
        <v>47.54</v>
      </c>
      <c r="E2725" s="2">
        <v>30.67</v>
      </c>
      <c r="F2725" s="2">
        <v>2</v>
      </c>
      <c r="G2725" s="2" t="s">
        <v>9</v>
      </c>
    </row>
    <row r="2726" spans="1:9" x14ac:dyDescent="0.2">
      <c r="A2726" s="2" t="s">
        <v>3310</v>
      </c>
      <c r="B2726" s="2" t="s">
        <v>333</v>
      </c>
      <c r="C2726" s="2">
        <v>915.51120000000003</v>
      </c>
      <c r="D2726" s="2">
        <f>HYPERLINK("http://mcb-m6.bioreg.kyushu-u.ac.jp/M3/20110411/F50915/2914/1", 51.22)</f>
        <v>51.22</v>
      </c>
      <c r="E2726" s="2">
        <v>39.35</v>
      </c>
      <c r="F2726" s="2">
        <v>2</v>
      </c>
      <c r="G2726" s="2" t="s">
        <v>9</v>
      </c>
    </row>
    <row r="2727" spans="1:9" x14ac:dyDescent="0.2">
      <c r="A2727" s="2" t="s">
        <v>3310</v>
      </c>
      <c r="B2727" s="2" t="s">
        <v>821</v>
      </c>
      <c r="C2727" s="2">
        <v>539.74159999999995</v>
      </c>
      <c r="D2727" s="2">
        <f>HYPERLINK("http://mcb-m6.bioreg.kyushu-u.ac.jp/M3/20110411/F50916/950/1", 52.47)</f>
        <v>52.47</v>
      </c>
      <c r="E2727" s="2">
        <v>32.35</v>
      </c>
      <c r="F2727" s="2">
        <v>2</v>
      </c>
      <c r="G2727" s="2" t="s">
        <v>9</v>
      </c>
    </row>
    <row r="2728" spans="1:9" x14ac:dyDescent="0.2">
      <c r="A2728" s="2" t="s">
        <v>3310</v>
      </c>
      <c r="B2728" s="2" t="s">
        <v>333</v>
      </c>
      <c r="C2728" s="2">
        <v>915.55909999999994</v>
      </c>
      <c r="D2728" s="2">
        <f>HYPERLINK("http://mcb-m6.bioreg.kyushu-u.ac.jp/M3/20110411/F50916/2777/1", 52.67)</f>
        <v>52.67</v>
      </c>
      <c r="E2728" s="2">
        <v>37.78</v>
      </c>
      <c r="F2728" s="2">
        <v>2</v>
      </c>
      <c r="G2728" s="2" t="s">
        <v>9</v>
      </c>
    </row>
    <row r="2729" spans="1:9" x14ac:dyDescent="0.2">
      <c r="A2729" s="2" t="s">
        <v>3310</v>
      </c>
      <c r="B2729" s="2" t="s">
        <v>333</v>
      </c>
      <c r="C2729" s="2">
        <v>916.08320000000003</v>
      </c>
      <c r="D2729" s="2">
        <f>HYPERLINK("http://mcb-m6.bioreg.kyushu-u.ac.jp/M3/20110411/F50895/2903/1", 55.16)</f>
        <v>55.16</v>
      </c>
      <c r="E2729" s="2">
        <v>40.700000000000003</v>
      </c>
      <c r="F2729" s="2">
        <v>2</v>
      </c>
      <c r="G2729" s="2" t="s">
        <v>9</v>
      </c>
    </row>
    <row r="2730" spans="1:9" x14ac:dyDescent="0.2">
      <c r="A2730" s="2" t="s">
        <v>3310</v>
      </c>
      <c r="B2730" s="2" t="s">
        <v>114</v>
      </c>
      <c r="C2730" s="2">
        <v>638.44709999999998</v>
      </c>
      <c r="D2730" s="2">
        <f>HYPERLINK("http://mcb-m6.bioreg.kyushu-u.ac.jp/M3/20110411/F50915/1341/1", 56.12)</f>
        <v>56.12</v>
      </c>
      <c r="E2730" s="2">
        <v>33.21</v>
      </c>
      <c r="F2730" s="2">
        <v>2</v>
      </c>
      <c r="G2730" s="2" t="s">
        <v>9</v>
      </c>
    </row>
    <row r="2731" spans="1:9" x14ac:dyDescent="0.2">
      <c r="A2731" s="2" t="s">
        <v>3310</v>
      </c>
      <c r="B2731" s="2" t="s">
        <v>642</v>
      </c>
      <c r="C2731" s="2">
        <v>674.84519999999998</v>
      </c>
      <c r="D2731" s="2">
        <f>HYPERLINK("http://mcb-m6.bioreg.kyushu-u.ac.jp/M3/20110411/F50915/1505/1", 59.24)</f>
        <v>59.24</v>
      </c>
      <c r="E2731" s="2">
        <v>45.51</v>
      </c>
      <c r="F2731" s="2">
        <v>2</v>
      </c>
      <c r="G2731" s="2" t="s">
        <v>9</v>
      </c>
      <c r="I2731" s="2" t="s">
        <v>4898</v>
      </c>
    </row>
    <row r="2732" spans="1:9" x14ac:dyDescent="0.2">
      <c r="A2732" s="2" t="s">
        <v>3310</v>
      </c>
      <c r="B2732" s="2" t="s">
        <v>1061</v>
      </c>
      <c r="C2732" s="2">
        <v>556.13649999999996</v>
      </c>
      <c r="D2732" s="2">
        <f>HYPERLINK("http://mcb-m6.bioreg.kyushu-u.ac.jp/M3/20110411/F50916/2394/1", 60.93)</f>
        <v>60.93</v>
      </c>
      <c r="E2732" s="2">
        <v>42.77</v>
      </c>
      <c r="F2732" s="2">
        <v>3</v>
      </c>
      <c r="G2732" s="2" t="s">
        <v>9</v>
      </c>
    </row>
    <row r="2733" spans="1:9" x14ac:dyDescent="0.2">
      <c r="A2733" s="2" t="s">
        <v>3310</v>
      </c>
      <c r="B2733" s="2" t="s">
        <v>1369</v>
      </c>
      <c r="C2733" s="2">
        <v>1351.124</v>
      </c>
      <c r="D2733" s="2">
        <f>HYPERLINK("http://mcb-m6.bioreg.kyushu-u.ac.jp/M3/20110411/F50919/3956/1", 76.16)</f>
        <v>76.16</v>
      </c>
      <c r="E2733" s="2">
        <v>61.96</v>
      </c>
      <c r="F2733" s="2">
        <v>2</v>
      </c>
      <c r="G2733" s="2" t="s">
        <v>9</v>
      </c>
    </row>
    <row r="2734" spans="1:9" x14ac:dyDescent="0.2">
      <c r="A2734" s="2" t="s">
        <v>3310</v>
      </c>
      <c r="B2734" s="2" t="s">
        <v>333</v>
      </c>
      <c r="C2734" s="2">
        <v>915.65419999999995</v>
      </c>
      <c r="D2734" s="2">
        <f>HYPERLINK("http://mcb-m6.bioreg.kyushu-u.ac.jp/M3/20110411/F50911/3022/1", 77.43)</f>
        <v>77.430000000000007</v>
      </c>
      <c r="E2734" s="2">
        <v>56.2</v>
      </c>
      <c r="F2734" s="2">
        <v>2</v>
      </c>
      <c r="G2734" s="2" t="s">
        <v>9</v>
      </c>
    </row>
    <row r="2735" spans="1:9" x14ac:dyDescent="0.2">
      <c r="A2735" s="2" t="s">
        <v>3310</v>
      </c>
      <c r="B2735" s="2" t="s">
        <v>1061</v>
      </c>
      <c r="C2735" s="2">
        <v>833.63419999999996</v>
      </c>
      <c r="D2735" s="2">
        <f>HYPERLINK("http://mcb-m6.bioreg.kyushu-u.ac.jp/M3/20110411/F50895/2529/1", 79.18)</f>
        <v>79.180000000000007</v>
      </c>
      <c r="E2735" s="2">
        <v>58.06</v>
      </c>
      <c r="F2735" s="2">
        <v>2</v>
      </c>
      <c r="G2735" s="2" t="s">
        <v>9</v>
      </c>
    </row>
    <row r="2736" spans="1:9" x14ac:dyDescent="0.2">
      <c r="A2736" s="2" t="s">
        <v>3310</v>
      </c>
      <c r="B2736" s="2" t="s">
        <v>333</v>
      </c>
      <c r="C2736" s="2">
        <v>915.67520000000002</v>
      </c>
      <c r="D2736" s="2">
        <f>HYPERLINK("http://mcb-m6.bioreg.kyushu-u.ac.jp/M3/20110411/F50904/2820/1", 82.19)</f>
        <v>82.19</v>
      </c>
      <c r="E2736" s="2">
        <v>63.94</v>
      </c>
      <c r="F2736" s="2">
        <v>2</v>
      </c>
      <c r="G2736" s="2" t="s">
        <v>9</v>
      </c>
    </row>
    <row r="2737" spans="1:9" x14ac:dyDescent="0.2">
      <c r="A2737" s="2" t="s">
        <v>3310</v>
      </c>
      <c r="B2737" s="2" t="s">
        <v>582</v>
      </c>
      <c r="C2737" s="2">
        <v>904.52560000000005</v>
      </c>
      <c r="D2737" s="2">
        <f>HYPERLINK("http://mcb-m6.bioreg.kyushu-u.ac.jp/M3/20110411/F50915/2864/1", 84.4)</f>
        <v>84.4</v>
      </c>
      <c r="E2737" s="2">
        <v>69.28</v>
      </c>
      <c r="F2737" s="2">
        <v>2</v>
      </c>
      <c r="G2737" s="2" t="s">
        <v>9</v>
      </c>
    </row>
    <row r="2738" spans="1:9" x14ac:dyDescent="0.2">
      <c r="A2738" s="2" t="s">
        <v>3310</v>
      </c>
      <c r="B2738" s="2" t="s">
        <v>1061</v>
      </c>
      <c r="C2738" s="2">
        <v>833.63760000000002</v>
      </c>
      <c r="D2738" s="2">
        <f>HYPERLINK("http://mcb-m6.bioreg.kyushu-u.ac.jp/M3/20110411/F50905/2516/1", 84.47)</f>
        <v>84.47</v>
      </c>
      <c r="E2738" s="2">
        <v>60.62</v>
      </c>
      <c r="F2738" s="2">
        <v>2</v>
      </c>
      <c r="G2738" s="2" t="s">
        <v>9</v>
      </c>
    </row>
    <row r="2739" spans="1:9" x14ac:dyDescent="0.2">
      <c r="A2739" s="2" t="s">
        <v>3310</v>
      </c>
      <c r="B2739" s="2" t="s">
        <v>1061</v>
      </c>
      <c r="C2739" s="2">
        <v>833.52560000000005</v>
      </c>
      <c r="D2739" s="2">
        <f>HYPERLINK("http://mcb-m6.bioreg.kyushu-u.ac.jp/M3/20110411/F50916/2393/1", 88.76)</f>
        <v>88.76</v>
      </c>
      <c r="E2739" s="2">
        <v>77.319999999999993</v>
      </c>
      <c r="F2739" s="2">
        <v>2</v>
      </c>
      <c r="G2739" s="2" t="s">
        <v>9</v>
      </c>
    </row>
    <row r="2740" spans="1:9" x14ac:dyDescent="0.2">
      <c r="A2740" s="2" t="s">
        <v>3310</v>
      </c>
      <c r="B2740" s="2" t="s">
        <v>1061</v>
      </c>
      <c r="C2740" s="2">
        <v>833.64260000000002</v>
      </c>
      <c r="D2740" s="2">
        <f>HYPERLINK("http://mcb-m6.bioreg.kyushu-u.ac.jp/M3/20110411/F50904/2462/1", 88.79)</f>
        <v>88.79</v>
      </c>
      <c r="E2740" s="2">
        <v>63.87</v>
      </c>
      <c r="F2740" s="2">
        <v>2</v>
      </c>
      <c r="G2740" s="2" t="s">
        <v>9</v>
      </c>
    </row>
    <row r="2741" spans="1:9" x14ac:dyDescent="0.2">
      <c r="A2741" s="2" t="s">
        <v>3310</v>
      </c>
      <c r="B2741" s="2" t="s">
        <v>1061</v>
      </c>
      <c r="C2741" s="2">
        <v>833.53809999999999</v>
      </c>
      <c r="D2741" s="2">
        <f>HYPERLINK("http://mcb-m6.bioreg.kyushu-u.ac.jp/M3/20110411/F50915/2470/1", 96.29)</f>
        <v>96.29</v>
      </c>
      <c r="E2741" s="2">
        <v>79.989999999999995</v>
      </c>
      <c r="F2741" s="2">
        <v>2</v>
      </c>
      <c r="G2741" s="2" t="s">
        <v>9</v>
      </c>
    </row>
    <row r="2742" spans="1:9" x14ac:dyDescent="0.2">
      <c r="A2742" s="2" t="s">
        <v>3310</v>
      </c>
      <c r="B2742" s="2" t="s">
        <v>582</v>
      </c>
      <c r="C2742" s="2">
        <v>904.4941</v>
      </c>
      <c r="D2742" s="2">
        <f>HYPERLINK("http://mcb-m6.bioreg.kyushu-u.ac.jp/M3/20110411/F50916/2722/1", 106.84)</f>
        <v>106.84</v>
      </c>
      <c r="E2742" s="2">
        <v>80.180000000000007</v>
      </c>
      <c r="F2742" s="2">
        <v>2</v>
      </c>
      <c r="G2742" s="2" t="s">
        <v>9</v>
      </c>
    </row>
    <row r="2743" spans="1:9" x14ac:dyDescent="0.2">
      <c r="A2743" s="2" t="s">
        <v>3310</v>
      </c>
      <c r="B2743" s="2" t="s">
        <v>93</v>
      </c>
      <c r="C2743" s="2">
        <v>868.67399999999998</v>
      </c>
      <c r="D2743" s="2">
        <f>HYPERLINK("http://mcb-m6.bioreg.kyushu-u.ac.jp/M3/20110411/F50912/873/1", 35.9)</f>
        <v>35.9</v>
      </c>
      <c r="E2743" s="2">
        <v>15.24</v>
      </c>
      <c r="F2743" s="2">
        <v>1</v>
      </c>
      <c r="G2743" s="2" t="s">
        <v>10</v>
      </c>
    </row>
    <row r="2744" spans="1:9" x14ac:dyDescent="0.2">
      <c r="A2744" s="2" t="s">
        <v>3310</v>
      </c>
      <c r="B2744" s="2" t="s">
        <v>1713</v>
      </c>
      <c r="C2744" s="2">
        <v>722.40499999999997</v>
      </c>
      <c r="D2744" s="2">
        <f>HYPERLINK("http://mcb-m6.bioreg.kyushu-u.ac.jp/M3/20110411/F50918/513/1", 36.04)</f>
        <v>36.04</v>
      </c>
      <c r="E2744" s="2">
        <v>15.34</v>
      </c>
      <c r="F2744" s="2">
        <v>1</v>
      </c>
      <c r="G2744" s="2" t="s">
        <v>10</v>
      </c>
    </row>
    <row r="2745" spans="1:9" x14ac:dyDescent="0.2">
      <c r="A2745" s="2" t="s">
        <v>3310</v>
      </c>
      <c r="B2745" s="2" t="s">
        <v>333</v>
      </c>
      <c r="C2745" s="2">
        <v>907.30319999999995</v>
      </c>
      <c r="D2745" s="2">
        <f>HYPERLINK("http://mcb-m6.bioreg.kyushu-u.ac.jp/M3/20110411/F50917/2936/1", 36.12)</f>
        <v>36.119999999999997</v>
      </c>
      <c r="E2745" s="2">
        <v>25.14</v>
      </c>
      <c r="F2745" s="2">
        <v>2</v>
      </c>
      <c r="G2745" s="2" t="s">
        <v>10</v>
      </c>
      <c r="H2745" s="2" t="s">
        <v>4904</v>
      </c>
    </row>
    <row r="2746" spans="1:9" x14ac:dyDescent="0.2">
      <c r="A2746" s="2" t="s">
        <v>3310</v>
      </c>
      <c r="B2746" s="2" t="s">
        <v>1729</v>
      </c>
      <c r="C2746" s="2">
        <v>832.06219999999996</v>
      </c>
      <c r="D2746" s="2">
        <f>HYPERLINK("http://mcb-m6.bioreg.kyushu-u.ac.jp/M3/20110411/F50912/3735/1", 36.55)</f>
        <v>36.549999999999997</v>
      </c>
      <c r="E2746" s="2">
        <v>20.41</v>
      </c>
      <c r="F2746" s="2">
        <v>3</v>
      </c>
      <c r="G2746" s="2" t="s">
        <v>10</v>
      </c>
      <c r="H2746" s="2" t="s">
        <v>4901</v>
      </c>
    </row>
    <row r="2747" spans="1:9" x14ac:dyDescent="0.2">
      <c r="A2747" s="2" t="s">
        <v>3310</v>
      </c>
      <c r="B2747" s="2" t="s">
        <v>642</v>
      </c>
      <c r="C2747" s="2">
        <v>674.50519999999995</v>
      </c>
      <c r="D2747" s="2">
        <f>HYPERLINK("http://mcb-m6.bioreg.kyushu-u.ac.jp/M3/20110411/F50918/1486/1", 38.11)</f>
        <v>38.11</v>
      </c>
      <c r="E2747" s="2">
        <v>25.73</v>
      </c>
      <c r="F2747" s="2">
        <v>2</v>
      </c>
      <c r="G2747" s="2" t="s">
        <v>10</v>
      </c>
      <c r="I2747" s="2" t="s">
        <v>4898</v>
      </c>
    </row>
    <row r="2748" spans="1:9" x14ac:dyDescent="0.2">
      <c r="A2748" s="2" t="s">
        <v>3310</v>
      </c>
      <c r="B2748" s="2" t="s">
        <v>333</v>
      </c>
      <c r="C2748" s="2">
        <v>907.5231</v>
      </c>
      <c r="D2748" s="2">
        <f>HYPERLINK("http://mcb-m6.bioreg.kyushu-u.ac.jp/M3/20110411/F50913/2818/1", 38.28)</f>
        <v>38.28</v>
      </c>
      <c r="E2748" s="2">
        <v>17.25</v>
      </c>
      <c r="F2748" s="2">
        <v>2</v>
      </c>
      <c r="G2748" s="2" t="s">
        <v>10</v>
      </c>
      <c r="H2748" s="2" t="s">
        <v>4904</v>
      </c>
    </row>
    <row r="2749" spans="1:9" x14ac:dyDescent="0.2">
      <c r="A2749" s="2" t="s">
        <v>3310</v>
      </c>
      <c r="B2749" s="2" t="s">
        <v>1713</v>
      </c>
      <c r="C2749" s="2">
        <v>722.46</v>
      </c>
      <c r="D2749" s="2">
        <f>HYPERLINK("http://mcb-m6.bioreg.kyushu-u.ac.jp/M3/20110411/F50917/495/1", 38.64)</f>
        <v>38.64</v>
      </c>
      <c r="E2749" s="2">
        <v>11.04</v>
      </c>
      <c r="F2749" s="2">
        <v>1</v>
      </c>
      <c r="G2749" s="2" t="s">
        <v>10</v>
      </c>
    </row>
    <row r="2750" spans="1:9" x14ac:dyDescent="0.2">
      <c r="A2750" s="2" t="s">
        <v>3310</v>
      </c>
      <c r="B2750" s="2" t="s">
        <v>93</v>
      </c>
      <c r="C2750" s="2">
        <v>868.68100000000004</v>
      </c>
      <c r="D2750" s="2">
        <f>HYPERLINK("http://mcb-m6.bioreg.kyushu-u.ac.jp/M3/20110411/F50901/1011/1", 38.77)</f>
        <v>38.770000000000003</v>
      </c>
      <c r="E2750" s="2">
        <v>13.54</v>
      </c>
      <c r="F2750" s="2">
        <v>1</v>
      </c>
      <c r="G2750" s="2" t="s">
        <v>10</v>
      </c>
    </row>
    <row r="2751" spans="1:9" x14ac:dyDescent="0.2">
      <c r="A2751" s="2" t="s">
        <v>3310</v>
      </c>
      <c r="B2751" s="2" t="s">
        <v>333</v>
      </c>
      <c r="C2751" s="2">
        <v>915.67859999999996</v>
      </c>
      <c r="D2751" s="2">
        <f>HYPERLINK("http://mcb-m6.bioreg.kyushu-u.ac.jp/M3/20110411/F50913/2864/1", 44.4)</f>
        <v>44.4</v>
      </c>
      <c r="E2751" s="2">
        <v>33.549999999999997</v>
      </c>
      <c r="F2751" s="2">
        <v>2</v>
      </c>
      <c r="G2751" s="2" t="s">
        <v>10</v>
      </c>
    </row>
    <row r="2752" spans="1:9" x14ac:dyDescent="0.2">
      <c r="A2752" s="2" t="s">
        <v>3310</v>
      </c>
      <c r="B2752" s="2" t="s">
        <v>642</v>
      </c>
      <c r="C2752" s="2">
        <v>674.95119999999997</v>
      </c>
      <c r="D2752" s="2">
        <f>HYPERLINK("http://mcb-m6.bioreg.kyushu-u.ac.jp/M3/20110411/F50917/1579/1", 45.13)</f>
        <v>45.13</v>
      </c>
      <c r="E2752" s="2">
        <v>22.42</v>
      </c>
      <c r="F2752" s="2">
        <v>2</v>
      </c>
      <c r="G2752" s="2" t="s">
        <v>10</v>
      </c>
      <c r="I2752" s="2" t="s">
        <v>4898</v>
      </c>
    </row>
    <row r="2753" spans="1:7" x14ac:dyDescent="0.2">
      <c r="A2753" s="2" t="s">
        <v>3310</v>
      </c>
      <c r="B2753" s="2" t="s">
        <v>114</v>
      </c>
      <c r="C2753" s="2">
        <v>638.57510000000002</v>
      </c>
      <c r="D2753" s="2">
        <f>HYPERLINK("http://mcb-m6.bioreg.kyushu-u.ac.jp/M3/20110411/F50912/1589/1", 45.56)</f>
        <v>45.56</v>
      </c>
      <c r="E2753" s="2">
        <v>24.35</v>
      </c>
      <c r="F2753" s="2">
        <v>2</v>
      </c>
      <c r="G2753" s="2" t="s">
        <v>10</v>
      </c>
    </row>
    <row r="2754" spans="1:7" x14ac:dyDescent="0.2">
      <c r="A2754" s="2" t="s">
        <v>3310</v>
      </c>
      <c r="B2754" s="2" t="s">
        <v>1910</v>
      </c>
      <c r="C2754" s="2">
        <v>628.04169999999999</v>
      </c>
      <c r="D2754" s="2">
        <f>HYPERLINK("http://mcb-m6.bioreg.kyushu-u.ac.jp/M3/20110411/F50918/1285/1", 49.02)</f>
        <v>49.02</v>
      </c>
      <c r="E2754" s="2">
        <v>31.74</v>
      </c>
      <c r="F2754" s="2">
        <v>2</v>
      </c>
      <c r="G2754" s="2" t="s">
        <v>10</v>
      </c>
    </row>
    <row r="2755" spans="1:7" x14ac:dyDescent="0.2">
      <c r="A2755" s="2" t="s">
        <v>3310</v>
      </c>
      <c r="B2755" s="2" t="s">
        <v>333</v>
      </c>
      <c r="C2755" s="2">
        <v>915.68520000000001</v>
      </c>
      <c r="D2755" s="2">
        <f>HYPERLINK("http://mcb-m6.bioreg.kyushu-u.ac.jp/M3/20110411/F50917/2967/1", 50.5)</f>
        <v>50.5</v>
      </c>
      <c r="E2755" s="2">
        <v>38.47</v>
      </c>
      <c r="F2755" s="2">
        <v>2</v>
      </c>
      <c r="G2755" s="2" t="s">
        <v>10</v>
      </c>
    </row>
    <row r="2756" spans="1:7" x14ac:dyDescent="0.2">
      <c r="A2756" s="2" t="s">
        <v>3310</v>
      </c>
      <c r="B2756" s="2" t="s">
        <v>1932</v>
      </c>
      <c r="C2756" s="2">
        <v>924.64419999999996</v>
      </c>
      <c r="D2756" s="2">
        <f>HYPERLINK("http://mcb-m6.bioreg.kyushu-u.ac.jp/M3/20110411/F50917/4296/1", 50.97)</f>
        <v>50.97</v>
      </c>
      <c r="E2756" s="2">
        <v>41.56</v>
      </c>
      <c r="F2756" s="2">
        <v>3</v>
      </c>
      <c r="G2756" s="2" t="s">
        <v>10</v>
      </c>
    </row>
    <row r="2757" spans="1:7" x14ac:dyDescent="0.2">
      <c r="A2757" s="2" t="s">
        <v>3310</v>
      </c>
      <c r="B2757" s="2" t="s">
        <v>114</v>
      </c>
      <c r="C2757" s="2">
        <v>638.91859999999997</v>
      </c>
      <c r="D2757" s="2">
        <f>HYPERLINK("http://mcb-m6.bioreg.kyushu-u.ac.jp/M3/20110411/F50914/1615/1", 53.48)</f>
        <v>53.48</v>
      </c>
      <c r="E2757" s="2">
        <v>40.049999999999997</v>
      </c>
      <c r="F2757" s="2">
        <v>2</v>
      </c>
      <c r="G2757" s="2" t="s">
        <v>10</v>
      </c>
    </row>
    <row r="2758" spans="1:7" x14ac:dyDescent="0.2">
      <c r="A2758" s="2" t="s">
        <v>3310</v>
      </c>
      <c r="B2758" s="2" t="s">
        <v>333</v>
      </c>
      <c r="C2758" s="2">
        <v>915.58669999999995</v>
      </c>
      <c r="D2758" s="2">
        <f>HYPERLINK("http://mcb-m6.bioreg.kyushu-u.ac.jp/M3/20110411/F50902/2878/1", 54.33)</f>
        <v>54.33</v>
      </c>
      <c r="E2758" s="2">
        <v>36.090000000000003</v>
      </c>
      <c r="F2758" s="2">
        <v>2</v>
      </c>
      <c r="G2758" s="2" t="s">
        <v>10</v>
      </c>
    </row>
    <row r="2759" spans="1:7" x14ac:dyDescent="0.2">
      <c r="A2759" s="2" t="s">
        <v>3310</v>
      </c>
      <c r="B2759" s="2" t="s">
        <v>1992</v>
      </c>
      <c r="C2759" s="2">
        <v>668.8741</v>
      </c>
      <c r="D2759" s="2">
        <f>HYPERLINK("http://mcb-m6.bioreg.kyushu-u.ac.jp/M3/20110411/F50917/1547/1", 57.55)</f>
        <v>57.55</v>
      </c>
      <c r="E2759" s="2">
        <v>32.97</v>
      </c>
      <c r="F2759" s="2">
        <v>2</v>
      </c>
      <c r="G2759" s="2" t="s">
        <v>10</v>
      </c>
    </row>
    <row r="2760" spans="1:7" x14ac:dyDescent="0.2">
      <c r="A2760" s="2" t="s">
        <v>3310</v>
      </c>
      <c r="B2760" s="2" t="s">
        <v>1932</v>
      </c>
      <c r="C2760" s="2">
        <v>924.84720000000004</v>
      </c>
      <c r="D2760" s="2">
        <f>HYPERLINK("http://mcb-m6.bioreg.kyushu-u.ac.jp/M3/20110411/F50918/3905/1", 58.95)</f>
        <v>58.95</v>
      </c>
      <c r="E2760" s="2">
        <v>33.92</v>
      </c>
      <c r="F2760" s="2">
        <v>3</v>
      </c>
      <c r="G2760" s="2" t="s">
        <v>10</v>
      </c>
    </row>
    <row r="2761" spans="1:7" x14ac:dyDescent="0.2">
      <c r="A2761" s="2" t="s">
        <v>3310</v>
      </c>
      <c r="B2761" s="2" t="s">
        <v>1992</v>
      </c>
      <c r="C2761" s="2">
        <v>668.39760000000001</v>
      </c>
      <c r="D2761" s="2">
        <f>HYPERLINK("http://mcb-m6.bioreg.kyushu-u.ac.jp/M3/20110411/F50902/1702/1", 60.19)</f>
        <v>60.19</v>
      </c>
      <c r="E2761" s="2">
        <v>42.46</v>
      </c>
      <c r="F2761" s="2">
        <v>2</v>
      </c>
      <c r="G2761" s="2" t="s">
        <v>10</v>
      </c>
    </row>
    <row r="2762" spans="1:7" x14ac:dyDescent="0.2">
      <c r="A2762" s="2" t="s">
        <v>3310</v>
      </c>
      <c r="B2762" s="2" t="s">
        <v>821</v>
      </c>
      <c r="C2762" s="2">
        <v>539.84619999999995</v>
      </c>
      <c r="D2762" s="2">
        <f>HYPERLINK("http://mcb-m6.bioreg.kyushu-u.ac.jp/M3/20110411/F50918/928/1", 61.13)</f>
        <v>61.13</v>
      </c>
      <c r="E2762" s="2">
        <v>31.27</v>
      </c>
      <c r="F2762" s="2">
        <v>2</v>
      </c>
      <c r="G2762" s="2" t="s">
        <v>10</v>
      </c>
    </row>
    <row r="2763" spans="1:7" x14ac:dyDescent="0.2">
      <c r="A2763" s="2" t="s">
        <v>3310</v>
      </c>
      <c r="B2763" s="2" t="s">
        <v>1061</v>
      </c>
      <c r="C2763" s="2">
        <v>556.32550000000003</v>
      </c>
      <c r="D2763" s="2">
        <f>HYPERLINK("http://mcb-m6.bioreg.kyushu-u.ac.jp/M3/20110411/F50918/2332/1", 61.82)</f>
        <v>61.82</v>
      </c>
      <c r="E2763" s="2">
        <v>48.18</v>
      </c>
      <c r="F2763" s="2">
        <v>3</v>
      </c>
      <c r="G2763" s="2" t="s">
        <v>10</v>
      </c>
    </row>
    <row r="2764" spans="1:7" x14ac:dyDescent="0.2">
      <c r="A2764" s="2" t="s">
        <v>3310</v>
      </c>
      <c r="B2764" s="2" t="s">
        <v>582</v>
      </c>
      <c r="C2764" s="2">
        <v>904.75869999999998</v>
      </c>
      <c r="D2764" s="2">
        <f>HYPERLINK("http://mcb-m6.bioreg.kyushu-u.ac.jp/M3/20110411/F50918/2655/1", 62.58)</f>
        <v>62.58</v>
      </c>
      <c r="E2764" s="2">
        <v>46.8</v>
      </c>
      <c r="F2764" s="2">
        <v>2</v>
      </c>
      <c r="G2764" s="2" t="s">
        <v>10</v>
      </c>
    </row>
    <row r="2765" spans="1:7" x14ac:dyDescent="0.2">
      <c r="A2765" s="2" t="s">
        <v>3310</v>
      </c>
      <c r="B2765" s="2" t="s">
        <v>333</v>
      </c>
      <c r="C2765" s="2">
        <v>915.66859999999997</v>
      </c>
      <c r="D2765" s="2">
        <f>HYPERLINK("http://mcb-m6.bioreg.kyushu-u.ac.jp/M3/20110411/F50912/2846/1", 63.55)</f>
        <v>63.55</v>
      </c>
      <c r="E2765" s="2">
        <v>49.46</v>
      </c>
      <c r="F2765" s="2">
        <v>2</v>
      </c>
      <c r="G2765" s="2" t="s">
        <v>10</v>
      </c>
    </row>
    <row r="2766" spans="1:7" x14ac:dyDescent="0.2">
      <c r="A2766" s="2" t="s">
        <v>3310</v>
      </c>
      <c r="B2766" s="2" t="s">
        <v>582</v>
      </c>
      <c r="C2766" s="2">
        <v>904.52070000000003</v>
      </c>
      <c r="D2766" s="2">
        <f>HYPERLINK("http://mcb-m6.bioreg.kyushu-u.ac.jp/M3/20110411/F50918/2653/1", 64.21)</f>
        <v>64.209999999999994</v>
      </c>
      <c r="E2766" s="2">
        <v>47.41</v>
      </c>
      <c r="F2766" s="2">
        <v>2</v>
      </c>
      <c r="G2766" s="2" t="s">
        <v>10</v>
      </c>
    </row>
    <row r="2767" spans="1:7" x14ac:dyDescent="0.2">
      <c r="A2767" s="2" t="s">
        <v>3310</v>
      </c>
      <c r="B2767" s="2" t="s">
        <v>1992</v>
      </c>
      <c r="C2767" s="2">
        <v>668.60670000000005</v>
      </c>
      <c r="D2767" s="2">
        <f>HYPERLINK("http://mcb-m6.bioreg.kyushu-u.ac.jp/M3/20110411/F50912/1688/1", 64.59)</f>
        <v>64.59</v>
      </c>
      <c r="E2767" s="2">
        <v>44.53</v>
      </c>
      <c r="F2767" s="2">
        <v>2</v>
      </c>
      <c r="G2767" s="2" t="s">
        <v>10</v>
      </c>
    </row>
    <row r="2768" spans="1:7" x14ac:dyDescent="0.2">
      <c r="A2768" s="2" t="s">
        <v>3310</v>
      </c>
      <c r="B2768" s="2" t="s">
        <v>1992</v>
      </c>
      <c r="C2768" s="2">
        <v>668.47810000000004</v>
      </c>
      <c r="D2768" s="2">
        <f>HYPERLINK("http://mcb-m6.bioreg.kyushu-u.ac.jp/M3/20110411/F50918/1456/1", 68)</f>
        <v>68</v>
      </c>
      <c r="E2768" s="2">
        <v>43.05</v>
      </c>
      <c r="F2768" s="2">
        <v>2</v>
      </c>
      <c r="G2768" s="2" t="s">
        <v>10</v>
      </c>
    </row>
    <row r="2769" spans="1:7" x14ac:dyDescent="0.2">
      <c r="A2769" s="2" t="s">
        <v>3310</v>
      </c>
      <c r="B2769" s="2" t="s">
        <v>333</v>
      </c>
      <c r="C2769" s="2">
        <v>915.60170000000005</v>
      </c>
      <c r="D2769" s="2">
        <f>HYPERLINK("http://mcb-m6.bioreg.kyushu-u.ac.jp/M3/20110411/F50900/2785/1", 68.47)</f>
        <v>68.47</v>
      </c>
      <c r="E2769" s="2">
        <v>50.85</v>
      </c>
      <c r="F2769" s="2">
        <v>2</v>
      </c>
      <c r="G2769" s="2" t="s">
        <v>10</v>
      </c>
    </row>
    <row r="2770" spans="1:7" x14ac:dyDescent="0.2">
      <c r="A2770" s="2" t="s">
        <v>3310</v>
      </c>
      <c r="B2770" s="2" t="s">
        <v>2048</v>
      </c>
      <c r="C2770" s="2">
        <v>857.44759999999997</v>
      </c>
      <c r="D2770" s="2">
        <f>HYPERLINK("http://mcb-m6.bioreg.kyushu-u.ac.jp/M3/20110411/F50917/2655/1", 69.02)</f>
        <v>69.02</v>
      </c>
      <c r="E2770" s="2">
        <v>57.5</v>
      </c>
      <c r="F2770" s="2">
        <v>2</v>
      </c>
      <c r="G2770" s="2" t="s">
        <v>10</v>
      </c>
    </row>
    <row r="2771" spans="1:7" x14ac:dyDescent="0.2">
      <c r="A2771" s="2" t="s">
        <v>3310</v>
      </c>
      <c r="B2771" s="2" t="s">
        <v>1369</v>
      </c>
      <c r="C2771" s="2">
        <v>1351.184</v>
      </c>
      <c r="D2771" s="2">
        <f>HYPERLINK("http://mcb-m6.bioreg.kyushu-u.ac.jp/M3/20110411/F50918/3864/1", 76.54)</f>
        <v>76.540000000000006</v>
      </c>
      <c r="E2771" s="2">
        <v>63.14</v>
      </c>
      <c r="F2771" s="2">
        <v>2</v>
      </c>
      <c r="G2771" s="2" t="s">
        <v>10</v>
      </c>
    </row>
    <row r="2772" spans="1:7" x14ac:dyDescent="0.2">
      <c r="A2772" s="2" t="s">
        <v>3310</v>
      </c>
      <c r="B2772" s="2" t="s">
        <v>333</v>
      </c>
      <c r="C2772" s="2">
        <v>915.49469999999997</v>
      </c>
      <c r="D2772" s="2">
        <f>HYPERLINK("http://mcb-m6.bioreg.kyushu-u.ac.jp/M3/20110411/F50918/2705/1", 78.06)</f>
        <v>78.06</v>
      </c>
      <c r="E2772" s="2">
        <v>58.37</v>
      </c>
      <c r="F2772" s="2">
        <v>2</v>
      </c>
      <c r="G2772" s="2" t="s">
        <v>10</v>
      </c>
    </row>
    <row r="2773" spans="1:7" x14ac:dyDescent="0.2">
      <c r="A2773" s="2" t="s">
        <v>3310</v>
      </c>
      <c r="B2773" s="2" t="s">
        <v>333</v>
      </c>
      <c r="C2773" s="2">
        <v>916.03120000000001</v>
      </c>
      <c r="D2773" s="2">
        <f>HYPERLINK("http://mcb-m6.bioreg.kyushu-u.ac.jp/M3/20110411/F50918/2708/1", 79.58)</f>
        <v>79.58</v>
      </c>
      <c r="E2773" s="2">
        <v>64.47</v>
      </c>
      <c r="F2773" s="2">
        <v>2</v>
      </c>
      <c r="G2773" s="2" t="s">
        <v>10</v>
      </c>
    </row>
    <row r="2774" spans="1:7" x14ac:dyDescent="0.2">
      <c r="A2774" s="2" t="s">
        <v>3310</v>
      </c>
      <c r="B2774" s="2" t="s">
        <v>2048</v>
      </c>
      <c r="C2774" s="2">
        <v>856.9067</v>
      </c>
      <c r="D2774" s="2">
        <f>HYPERLINK("http://mcb-m6.bioreg.kyushu-u.ac.jp/M3/20110411/F50917/2652/1", 80.65)</f>
        <v>80.650000000000006</v>
      </c>
      <c r="E2774" s="2">
        <v>63.82</v>
      </c>
      <c r="F2774" s="2">
        <v>2</v>
      </c>
      <c r="G2774" s="2" t="s">
        <v>10</v>
      </c>
    </row>
    <row r="2775" spans="1:7" x14ac:dyDescent="0.2">
      <c r="A2775" s="2" t="s">
        <v>3310</v>
      </c>
      <c r="B2775" s="2" t="s">
        <v>1061</v>
      </c>
      <c r="C2775" s="2">
        <v>833.98069999999996</v>
      </c>
      <c r="D2775" s="2">
        <f>HYPERLINK("http://mcb-m6.bioreg.kyushu-u.ac.jp/M3/20110411/F50918/2331/1", 81.63)</f>
        <v>81.63</v>
      </c>
      <c r="E2775" s="2">
        <v>59.39</v>
      </c>
      <c r="F2775" s="2">
        <v>2</v>
      </c>
      <c r="G2775" s="2" t="s">
        <v>10</v>
      </c>
    </row>
    <row r="2776" spans="1:7" x14ac:dyDescent="0.2">
      <c r="A2776" s="2" t="s">
        <v>3310</v>
      </c>
      <c r="B2776" s="2" t="s">
        <v>1061</v>
      </c>
      <c r="C2776" s="2">
        <v>833.62019999999995</v>
      </c>
      <c r="D2776" s="2">
        <f>HYPERLINK("http://mcb-m6.bioreg.kyushu-u.ac.jp/M3/20110411/F50902/2509/1", 83.81)</f>
        <v>83.81</v>
      </c>
      <c r="E2776" s="2">
        <v>62.38</v>
      </c>
      <c r="F2776" s="2">
        <v>2</v>
      </c>
      <c r="G2776" s="2" t="s">
        <v>10</v>
      </c>
    </row>
    <row r="2777" spans="1:7" x14ac:dyDescent="0.2">
      <c r="A2777" s="2" t="s">
        <v>3310</v>
      </c>
      <c r="B2777" s="2" t="s">
        <v>582</v>
      </c>
      <c r="C2777" s="2">
        <v>904.51009999999997</v>
      </c>
      <c r="D2777" s="2">
        <f>HYPERLINK("http://mcb-m6.bioreg.kyushu-u.ac.jp/M3/20110411/F50917/2923/1", 86.57)</f>
        <v>86.57</v>
      </c>
      <c r="E2777" s="2">
        <v>73.67</v>
      </c>
      <c r="F2777" s="2">
        <v>2</v>
      </c>
      <c r="G2777" s="2" t="s">
        <v>10</v>
      </c>
    </row>
    <row r="2778" spans="1:7" x14ac:dyDescent="0.2">
      <c r="A2778" s="2" t="s">
        <v>3310</v>
      </c>
      <c r="B2778" s="2" t="s">
        <v>1061</v>
      </c>
      <c r="C2778" s="2">
        <v>833.65170000000001</v>
      </c>
      <c r="D2778" s="2">
        <f>HYPERLINK("http://mcb-m6.bioreg.kyushu-u.ac.jp/M3/20110411/F50912/2460/1", 89.27)</f>
        <v>89.27</v>
      </c>
      <c r="E2778" s="2">
        <v>64.89</v>
      </c>
      <c r="F2778" s="2">
        <v>2</v>
      </c>
      <c r="G2778" s="2" t="s">
        <v>10</v>
      </c>
    </row>
    <row r="2779" spans="1:7" x14ac:dyDescent="0.2">
      <c r="A2779" s="2" t="s">
        <v>3310</v>
      </c>
      <c r="B2779" s="2" t="s">
        <v>2048</v>
      </c>
      <c r="C2779" s="2">
        <v>856.90560000000005</v>
      </c>
      <c r="D2779" s="2">
        <f>HYPERLINK("http://mcb-m6.bioreg.kyushu-u.ac.jp/M3/20110411/F50918/2427/1", 91.58)</f>
        <v>91.58</v>
      </c>
      <c r="E2779" s="2">
        <v>79.069999999999993</v>
      </c>
      <c r="F2779" s="2">
        <v>2</v>
      </c>
      <c r="G2779" s="2" t="s">
        <v>10</v>
      </c>
    </row>
    <row r="2780" spans="1:7" x14ac:dyDescent="0.2">
      <c r="A2780" s="2" t="s">
        <v>3310</v>
      </c>
      <c r="B2780" s="2" t="s">
        <v>1061</v>
      </c>
      <c r="C2780" s="2">
        <v>833.39869999999996</v>
      </c>
      <c r="D2780" s="2">
        <f>HYPERLINK("http://mcb-m6.bioreg.kyushu-u.ac.jp/M3/20110411/F50900/2499/1", 92.62)</f>
        <v>92.62</v>
      </c>
      <c r="E2780" s="2">
        <v>63.1</v>
      </c>
      <c r="F2780" s="2">
        <v>2</v>
      </c>
      <c r="G2780" s="2" t="s">
        <v>10</v>
      </c>
    </row>
    <row r="2781" spans="1:7" x14ac:dyDescent="0.2">
      <c r="A2781" s="2" t="s">
        <v>3310</v>
      </c>
      <c r="B2781" s="2" t="s">
        <v>1061</v>
      </c>
      <c r="C2781" s="2">
        <v>833.41819999999996</v>
      </c>
      <c r="D2781" s="2">
        <f>HYPERLINK("http://mcb-m6.bioreg.kyushu-u.ac.jp/M3/20110411/F50918/2328/1", 94.46)</f>
        <v>94.46</v>
      </c>
      <c r="E2781" s="2">
        <v>73.05</v>
      </c>
      <c r="F2781" s="2">
        <v>2</v>
      </c>
      <c r="G2781" s="2" t="s">
        <v>10</v>
      </c>
    </row>
    <row r="2782" spans="1:7" x14ac:dyDescent="0.2">
      <c r="A2782" s="2" t="s">
        <v>3310</v>
      </c>
      <c r="B2782" s="2" t="s">
        <v>1061</v>
      </c>
      <c r="C2782" s="2">
        <v>833.50670000000002</v>
      </c>
      <c r="D2782" s="2">
        <f>HYPERLINK("http://mcb-m6.bioreg.kyushu-u.ac.jp/M3/20110411/F50917/2514/1", 94.58)</f>
        <v>94.58</v>
      </c>
      <c r="E2782" s="2">
        <v>70.16</v>
      </c>
      <c r="F2782" s="2">
        <v>2</v>
      </c>
      <c r="G2782" s="2" t="s">
        <v>10</v>
      </c>
    </row>
    <row r="2783" spans="1:7" x14ac:dyDescent="0.2">
      <c r="A2783" s="2" t="s">
        <v>3310</v>
      </c>
      <c r="B2783" s="2" t="s">
        <v>1061</v>
      </c>
      <c r="C2783" s="2">
        <v>833.64070000000004</v>
      </c>
      <c r="D2783" s="2">
        <f>HYPERLINK("http://mcb-m6.bioreg.kyushu-u.ac.jp/M3/20110411/F50901/2434/1", 95.24)</f>
        <v>95.24</v>
      </c>
      <c r="E2783" s="2">
        <v>79.739999999999995</v>
      </c>
      <c r="F2783" s="2">
        <v>2</v>
      </c>
      <c r="G2783" s="2" t="s">
        <v>10</v>
      </c>
    </row>
    <row r="2784" spans="1:7" x14ac:dyDescent="0.2">
      <c r="A2784" s="2" t="s">
        <v>3310</v>
      </c>
      <c r="B2784" s="2" t="s">
        <v>582</v>
      </c>
      <c r="C2784" s="2">
        <v>904.46469999999999</v>
      </c>
      <c r="D2784" s="2">
        <f>HYPERLINK("http://mcb-m6.bioreg.kyushu-u.ac.jp/M3/20110411/F50918/2651/1", 110.71)</f>
        <v>110.71</v>
      </c>
      <c r="E2784" s="2">
        <v>92.73</v>
      </c>
      <c r="F2784" s="2">
        <v>2</v>
      </c>
      <c r="G2784" s="2" t="s">
        <v>10</v>
      </c>
    </row>
    <row r="2785" spans="1:9" x14ac:dyDescent="0.2">
      <c r="A2785" s="2" t="s">
        <v>3310</v>
      </c>
      <c r="B2785" s="2" t="s">
        <v>582</v>
      </c>
      <c r="C2785" s="2">
        <v>904.65260000000001</v>
      </c>
      <c r="D2785" s="2">
        <f>HYPERLINK("http://mcb-m6.bioreg.kyushu-u.ac.jp/M3/20110411/F50902/2827/1", 111.9)</f>
        <v>111.9</v>
      </c>
      <c r="E2785" s="2">
        <v>92.3</v>
      </c>
      <c r="F2785" s="2">
        <v>2</v>
      </c>
      <c r="G2785" s="2" t="s">
        <v>10</v>
      </c>
    </row>
    <row r="2786" spans="1:9" x14ac:dyDescent="0.2">
      <c r="A2786" s="2" t="s">
        <v>3310</v>
      </c>
      <c r="B2786" s="2" t="s">
        <v>333</v>
      </c>
      <c r="C2786" s="2">
        <v>915.56769999999995</v>
      </c>
      <c r="D2786" s="2">
        <f>HYPERLINK("http://mcb-m6.bioreg.kyushu-u.ac.jp/M3/20110414/F50956/3093/1", 35.12)</f>
        <v>35.119999999999997</v>
      </c>
      <c r="E2786" s="2">
        <v>23.19</v>
      </c>
      <c r="F2786" s="2">
        <v>2</v>
      </c>
      <c r="G2786" s="2" t="s">
        <v>11</v>
      </c>
    </row>
    <row r="2787" spans="1:9" x14ac:dyDescent="0.2">
      <c r="A2787" s="2" t="s">
        <v>3310</v>
      </c>
      <c r="B2787" s="2" t="s">
        <v>1992</v>
      </c>
      <c r="C2787" s="2">
        <v>668.62459999999999</v>
      </c>
      <c r="D2787" s="2">
        <f>HYPERLINK("http://mcb-m6.bioreg.kyushu-u.ac.jp/M3/20110414/F50962/1525/1", 37.81)</f>
        <v>37.81</v>
      </c>
      <c r="E2787" s="2">
        <v>19.87</v>
      </c>
      <c r="F2787" s="2">
        <v>2</v>
      </c>
      <c r="G2787" s="2" t="s">
        <v>11</v>
      </c>
    </row>
    <row r="2788" spans="1:9" x14ac:dyDescent="0.2">
      <c r="A2788" s="2" t="s">
        <v>3310</v>
      </c>
      <c r="B2788" s="2" t="s">
        <v>114</v>
      </c>
      <c r="C2788" s="2">
        <v>638.77260000000001</v>
      </c>
      <c r="D2788" s="2">
        <f>HYPERLINK("http://mcb-m6.bioreg.kyushu-u.ac.jp/M3/20110414/F50956/1267/1", 39.52)</f>
        <v>39.520000000000003</v>
      </c>
      <c r="E2788" s="2">
        <v>23.67</v>
      </c>
      <c r="F2788" s="2">
        <v>2</v>
      </c>
      <c r="G2788" s="2" t="s">
        <v>11</v>
      </c>
    </row>
    <row r="2789" spans="1:9" x14ac:dyDescent="0.2">
      <c r="A2789" s="2" t="s">
        <v>3310</v>
      </c>
      <c r="B2789" s="2" t="s">
        <v>333</v>
      </c>
      <c r="C2789" s="2">
        <v>915.82069999999999</v>
      </c>
      <c r="D2789" s="2">
        <f>HYPERLINK("http://mcb-m6.bioreg.kyushu-u.ac.jp/M3/20110414/F50956/3096/1", 41.29)</f>
        <v>41.29</v>
      </c>
      <c r="E2789" s="2">
        <v>24.42</v>
      </c>
      <c r="F2789" s="2">
        <v>2</v>
      </c>
      <c r="G2789" s="2" t="s">
        <v>11</v>
      </c>
    </row>
    <row r="2790" spans="1:9" x14ac:dyDescent="0.2">
      <c r="A2790" s="2" t="s">
        <v>3310</v>
      </c>
      <c r="B2790" s="2" t="s">
        <v>333</v>
      </c>
      <c r="C2790" s="2">
        <v>915.37270000000001</v>
      </c>
      <c r="D2790" s="2">
        <f>HYPERLINK("http://mcb-m6.bioreg.kyushu-u.ac.jp/M3/20110414/F50941/3056/1", 43.74)</f>
        <v>43.74</v>
      </c>
      <c r="E2790" s="2">
        <v>33.49</v>
      </c>
      <c r="F2790" s="2">
        <v>2</v>
      </c>
      <c r="G2790" s="2" t="s">
        <v>11</v>
      </c>
    </row>
    <row r="2791" spans="1:9" x14ac:dyDescent="0.2">
      <c r="A2791" s="2" t="s">
        <v>3310</v>
      </c>
      <c r="B2791" s="2" t="s">
        <v>582</v>
      </c>
      <c r="C2791" s="2">
        <v>904.3972</v>
      </c>
      <c r="D2791" s="2">
        <f>HYPERLINK("http://mcb-m6.bioreg.kyushu-u.ac.jp/M3/20110414/F50956/3034/1", 45.04)</f>
        <v>45.04</v>
      </c>
      <c r="E2791" s="2">
        <v>34.21</v>
      </c>
      <c r="F2791" s="2">
        <v>2</v>
      </c>
      <c r="G2791" s="2" t="s">
        <v>11</v>
      </c>
    </row>
    <row r="2792" spans="1:9" x14ac:dyDescent="0.2">
      <c r="A2792" s="2" t="s">
        <v>3310</v>
      </c>
      <c r="B2792" s="2" t="s">
        <v>1910</v>
      </c>
      <c r="C2792" s="2">
        <v>627.74959999999999</v>
      </c>
      <c r="D2792" s="2">
        <f>HYPERLINK("http://mcb-m6.bioreg.kyushu-u.ac.jp/M3/20110414/F50956/1207/1", 45.56)</f>
        <v>45.56</v>
      </c>
      <c r="E2792" s="2">
        <v>29.37</v>
      </c>
      <c r="F2792" s="2">
        <v>2</v>
      </c>
      <c r="G2792" s="2" t="s">
        <v>11</v>
      </c>
    </row>
    <row r="2793" spans="1:9" x14ac:dyDescent="0.2">
      <c r="A2793" s="2" t="s">
        <v>3310</v>
      </c>
      <c r="B2793" s="2" t="s">
        <v>333</v>
      </c>
      <c r="C2793" s="2">
        <v>915.17470000000003</v>
      </c>
      <c r="D2793" s="2">
        <f>HYPERLINK("http://mcb-m6.bioreg.kyushu-u.ac.jp/M3/20110414/F50956/3090/1", 45.92)</f>
        <v>45.92</v>
      </c>
      <c r="E2793" s="2">
        <v>29.83</v>
      </c>
      <c r="F2793" s="2">
        <v>2</v>
      </c>
      <c r="G2793" s="2" t="s">
        <v>11</v>
      </c>
    </row>
    <row r="2794" spans="1:9" x14ac:dyDescent="0.2">
      <c r="A2794" s="2" t="s">
        <v>3310</v>
      </c>
      <c r="B2794" s="2" t="s">
        <v>582</v>
      </c>
      <c r="C2794" s="2">
        <v>904.93320000000006</v>
      </c>
      <c r="D2794" s="2">
        <f>HYPERLINK("http://mcb-m6.bioreg.kyushu-u.ac.jp/M3/20110414/F50956/3038/1", 47.93)</f>
        <v>47.93</v>
      </c>
      <c r="E2794" s="2">
        <v>19.420000000000002</v>
      </c>
      <c r="F2794" s="2">
        <v>2</v>
      </c>
      <c r="G2794" s="2" t="s">
        <v>11</v>
      </c>
    </row>
    <row r="2795" spans="1:9" x14ac:dyDescent="0.2">
      <c r="A2795" s="2" t="s">
        <v>3310</v>
      </c>
      <c r="B2795" s="2" t="s">
        <v>333</v>
      </c>
      <c r="C2795" s="2">
        <v>915.90719999999999</v>
      </c>
      <c r="D2795" s="2">
        <f>HYPERLINK("http://mcb-m6.bioreg.kyushu-u.ac.jp/M3/20110414/F50942/2981/1", 48.06)</f>
        <v>48.06</v>
      </c>
      <c r="E2795" s="2">
        <v>31.96</v>
      </c>
      <c r="F2795" s="2">
        <v>2</v>
      </c>
      <c r="G2795" s="2" t="s">
        <v>11</v>
      </c>
    </row>
    <row r="2796" spans="1:9" x14ac:dyDescent="0.2">
      <c r="A2796" s="2" t="s">
        <v>3310</v>
      </c>
      <c r="B2796" s="2" t="s">
        <v>114</v>
      </c>
      <c r="C2796" s="2">
        <v>638.19669999999996</v>
      </c>
      <c r="D2796" s="2">
        <f>HYPERLINK("http://mcb-m6.bioreg.kyushu-u.ac.jp/M3/20110414/F50956/1264/1", 53.89)</f>
        <v>53.89</v>
      </c>
      <c r="E2796" s="2">
        <v>38.29</v>
      </c>
      <c r="F2796" s="2">
        <v>2</v>
      </c>
      <c r="G2796" s="2" t="s">
        <v>11</v>
      </c>
    </row>
    <row r="2797" spans="1:9" x14ac:dyDescent="0.2">
      <c r="A2797" s="2" t="s">
        <v>3310</v>
      </c>
      <c r="B2797" s="2" t="s">
        <v>333</v>
      </c>
      <c r="C2797" s="2">
        <v>915.53420000000006</v>
      </c>
      <c r="D2797" s="2">
        <f>HYPERLINK("http://mcb-m6.bioreg.kyushu-u.ac.jp/M3/20110414/F50943/2807/1", 56.61)</f>
        <v>56.61</v>
      </c>
      <c r="E2797" s="2">
        <v>39.94</v>
      </c>
      <c r="F2797" s="2">
        <v>2</v>
      </c>
      <c r="G2797" s="2" t="s">
        <v>11</v>
      </c>
    </row>
    <row r="2798" spans="1:9" x14ac:dyDescent="0.2">
      <c r="A2798" s="2" t="s">
        <v>3310</v>
      </c>
      <c r="B2798" s="2" t="s">
        <v>333</v>
      </c>
      <c r="C2798" s="2">
        <v>915.59519999999998</v>
      </c>
      <c r="D2798" s="2">
        <f>HYPERLINK("http://mcb-m6.bioreg.kyushu-u.ac.jp/M3/20110414/F50944/2715/1", 57.19)</f>
        <v>57.19</v>
      </c>
      <c r="E2798" s="2">
        <v>39.46</v>
      </c>
      <c r="F2798" s="2">
        <v>2</v>
      </c>
      <c r="G2798" s="2" t="s">
        <v>11</v>
      </c>
    </row>
    <row r="2799" spans="1:9" x14ac:dyDescent="0.2">
      <c r="A2799" s="2" t="s">
        <v>3310</v>
      </c>
      <c r="B2799" s="2" t="s">
        <v>642</v>
      </c>
      <c r="C2799" s="2">
        <v>674.59010000000001</v>
      </c>
      <c r="D2799" s="2">
        <f>HYPERLINK("http://mcb-m6.bioreg.kyushu-u.ac.jp/M3/20110414/F50956/1464/1", 58.69)</f>
        <v>58.69</v>
      </c>
      <c r="E2799" s="2">
        <v>42.99</v>
      </c>
      <c r="F2799" s="2">
        <v>2</v>
      </c>
      <c r="G2799" s="2" t="s">
        <v>11</v>
      </c>
      <c r="I2799" s="2" t="s">
        <v>4898</v>
      </c>
    </row>
    <row r="2800" spans="1:9" x14ac:dyDescent="0.2">
      <c r="A2800" s="2" t="s">
        <v>3310</v>
      </c>
      <c r="B2800" s="2" t="s">
        <v>1992</v>
      </c>
      <c r="C2800" s="2">
        <v>668.1807</v>
      </c>
      <c r="D2800" s="2">
        <f>HYPERLINK("http://mcb-m6.bioreg.kyushu-u.ac.jp/M3/20110414/F50956/1422/1", 59.71)</f>
        <v>59.71</v>
      </c>
      <c r="E2800" s="2">
        <v>32.729999999999997</v>
      </c>
      <c r="F2800" s="2">
        <v>2</v>
      </c>
      <c r="G2800" s="2" t="s">
        <v>11</v>
      </c>
    </row>
    <row r="2801" spans="1:8" x14ac:dyDescent="0.2">
      <c r="A2801" s="2" t="s">
        <v>3310</v>
      </c>
      <c r="B2801" s="2" t="s">
        <v>333</v>
      </c>
      <c r="C2801" s="2">
        <v>915.29219999999998</v>
      </c>
      <c r="D2801" s="2">
        <f>HYPERLINK("http://mcb-m6.bioreg.kyushu-u.ac.jp/M3/20110414/F50957/2991/1", 64.52)</f>
        <v>64.52</v>
      </c>
      <c r="E2801" s="2">
        <v>54.76</v>
      </c>
      <c r="F2801" s="2">
        <v>2</v>
      </c>
      <c r="G2801" s="2" t="s">
        <v>11</v>
      </c>
    </row>
    <row r="2802" spans="1:8" x14ac:dyDescent="0.2">
      <c r="A2802" s="2" t="s">
        <v>3310</v>
      </c>
      <c r="B2802" s="2" t="s">
        <v>333</v>
      </c>
      <c r="C2802" s="2">
        <v>915.81870000000004</v>
      </c>
      <c r="D2802" s="2">
        <f>HYPERLINK("http://mcb-m6.bioreg.kyushu-u.ac.jp/M3/20110414/F50957/2996/1", 66.44)</f>
        <v>66.44</v>
      </c>
      <c r="E2802" s="2">
        <v>49.08</v>
      </c>
      <c r="F2802" s="2">
        <v>2</v>
      </c>
      <c r="G2802" s="2" t="s">
        <v>11</v>
      </c>
    </row>
    <row r="2803" spans="1:8" x14ac:dyDescent="0.2">
      <c r="A2803" s="2" t="s">
        <v>3310</v>
      </c>
      <c r="B2803" s="2" t="s">
        <v>333</v>
      </c>
      <c r="C2803" s="2">
        <v>915.63170000000002</v>
      </c>
      <c r="D2803" s="2">
        <f>HYPERLINK("http://mcb-m6.bioreg.kyushu-u.ac.jp/M3/20110414/F50962/2667/1", 66.68)</f>
        <v>66.680000000000007</v>
      </c>
      <c r="E2803" s="2">
        <v>44.66</v>
      </c>
      <c r="F2803" s="2">
        <v>2</v>
      </c>
      <c r="G2803" s="2" t="s">
        <v>11</v>
      </c>
    </row>
    <row r="2804" spans="1:8" x14ac:dyDescent="0.2">
      <c r="A2804" s="2" t="s">
        <v>3310</v>
      </c>
      <c r="B2804" s="2" t="s">
        <v>333</v>
      </c>
      <c r="C2804" s="2">
        <v>907.23969999999997</v>
      </c>
      <c r="D2804" s="2">
        <f>HYPERLINK("http://mcb-m6.bioreg.kyushu-u.ac.jp/M3/20110414/F50956/3051/1", 70.9)</f>
        <v>70.900000000000006</v>
      </c>
      <c r="E2804" s="2">
        <v>51.22</v>
      </c>
      <c r="F2804" s="2">
        <v>2</v>
      </c>
      <c r="G2804" s="2" t="s">
        <v>11</v>
      </c>
      <c r="H2804" s="2" t="s">
        <v>4904</v>
      </c>
    </row>
    <row r="2805" spans="1:8" x14ac:dyDescent="0.2">
      <c r="A2805" s="2" t="s">
        <v>3310</v>
      </c>
      <c r="B2805" s="2" t="s">
        <v>1061</v>
      </c>
      <c r="C2805" s="2">
        <v>833.40809999999999</v>
      </c>
      <c r="D2805" s="2">
        <f>HYPERLINK("http://mcb-m6.bioreg.kyushu-u.ac.jp/M3/20110414/F50943/2406/1", 76.02)</f>
        <v>76.02</v>
      </c>
      <c r="E2805" s="2">
        <v>61.62</v>
      </c>
      <c r="F2805" s="2">
        <v>2</v>
      </c>
      <c r="G2805" s="2" t="s">
        <v>11</v>
      </c>
    </row>
    <row r="2806" spans="1:8" x14ac:dyDescent="0.2">
      <c r="A2806" s="2" t="s">
        <v>3310</v>
      </c>
      <c r="B2806" s="2" t="s">
        <v>1061</v>
      </c>
      <c r="C2806" s="2">
        <v>833.73360000000002</v>
      </c>
      <c r="D2806" s="2">
        <f>HYPERLINK("http://mcb-m6.bioreg.kyushu-u.ac.jp/M3/20110414/F50956/2589/1", 80.54)</f>
        <v>80.540000000000006</v>
      </c>
      <c r="E2806" s="2">
        <v>67.260000000000005</v>
      </c>
      <c r="F2806" s="2">
        <v>2</v>
      </c>
      <c r="G2806" s="2" t="s">
        <v>11</v>
      </c>
    </row>
    <row r="2807" spans="1:8" x14ac:dyDescent="0.2">
      <c r="A2807" s="2" t="s">
        <v>3310</v>
      </c>
      <c r="B2807" s="2" t="s">
        <v>333</v>
      </c>
      <c r="C2807" s="2">
        <v>915.69669999999996</v>
      </c>
      <c r="D2807" s="2">
        <f>HYPERLINK("http://mcb-m6.bioreg.kyushu-u.ac.jp/M3/20110414/F50956/3094/1", 88.57)</f>
        <v>88.57</v>
      </c>
      <c r="E2807" s="2">
        <v>72.86</v>
      </c>
      <c r="F2807" s="2">
        <v>2</v>
      </c>
      <c r="G2807" s="2" t="s">
        <v>11</v>
      </c>
    </row>
    <row r="2808" spans="1:8" x14ac:dyDescent="0.2">
      <c r="A2808" s="2" t="s">
        <v>3310</v>
      </c>
      <c r="B2808" s="2" t="s">
        <v>333</v>
      </c>
      <c r="C2808" s="2">
        <v>915.44870000000003</v>
      </c>
      <c r="D2808" s="2">
        <f>HYPERLINK("http://mcb-m6.bioreg.kyushu-u.ac.jp/M3/20110414/F50945/2851/1", 88.65)</f>
        <v>88.65</v>
      </c>
      <c r="E2808" s="2">
        <v>76.23</v>
      </c>
      <c r="F2808" s="2">
        <v>2</v>
      </c>
      <c r="G2808" s="2" t="s">
        <v>11</v>
      </c>
    </row>
    <row r="2809" spans="1:8" x14ac:dyDescent="0.2">
      <c r="A2809" s="2" t="s">
        <v>3310</v>
      </c>
      <c r="B2809" s="2" t="s">
        <v>1061</v>
      </c>
      <c r="C2809" s="2">
        <v>833.18960000000004</v>
      </c>
      <c r="D2809" s="2">
        <f>HYPERLINK("http://mcb-m6.bioreg.kyushu-u.ac.jp/M3/20110414/F50956/2586/1", 92.45)</f>
        <v>92.45</v>
      </c>
      <c r="E2809" s="2">
        <v>65.53</v>
      </c>
      <c r="F2809" s="2">
        <v>2</v>
      </c>
      <c r="G2809" s="2" t="s">
        <v>11</v>
      </c>
    </row>
    <row r="2810" spans="1:8" x14ac:dyDescent="0.2">
      <c r="A2810" s="2" t="s">
        <v>3310</v>
      </c>
      <c r="B2810" s="2" t="s">
        <v>582</v>
      </c>
      <c r="C2810" s="2">
        <v>904.28369999999995</v>
      </c>
      <c r="D2810" s="2">
        <f>HYPERLINK("http://mcb-m6.bioreg.kyushu-u.ac.jp/M3/20110414/F50956/3032/1", 109.04)</f>
        <v>109.04</v>
      </c>
      <c r="E2810" s="2">
        <v>86</v>
      </c>
      <c r="F2810" s="2">
        <v>2</v>
      </c>
      <c r="G2810" s="2" t="s">
        <v>11</v>
      </c>
    </row>
    <row r="2811" spans="1:8" x14ac:dyDescent="0.2">
      <c r="A2811" s="2" t="s">
        <v>3310</v>
      </c>
      <c r="B2811" s="2" t="s">
        <v>582</v>
      </c>
      <c r="C2811" s="2">
        <v>904.20370000000003</v>
      </c>
      <c r="D2811" s="2">
        <f>HYPERLINK("http://mcb-m6.bioreg.kyushu-u.ac.jp/M3/20110414/F50957/2925/1", 111.83)</f>
        <v>111.83</v>
      </c>
      <c r="E2811" s="2">
        <v>91.17</v>
      </c>
      <c r="F2811" s="2">
        <v>2</v>
      </c>
      <c r="G2811" s="2" t="s">
        <v>11</v>
      </c>
    </row>
    <row r="2812" spans="1:8" x14ac:dyDescent="0.2">
      <c r="A2812" s="2" t="s">
        <v>3310</v>
      </c>
      <c r="B2812" s="2" t="s">
        <v>1369</v>
      </c>
      <c r="C2812" s="2">
        <v>1350.3789999999999</v>
      </c>
      <c r="D2812" s="2">
        <f>HYPERLINK("http://mcb-m6.bioreg.kyushu-u.ac.jp/M3/20110414/F50958/4740/1", 35.74)</f>
        <v>35.74</v>
      </c>
      <c r="E2812" s="2">
        <v>27.73</v>
      </c>
      <c r="F2812" s="2">
        <v>2</v>
      </c>
      <c r="G2812" s="2" t="s">
        <v>12</v>
      </c>
    </row>
    <row r="2813" spans="1:8" x14ac:dyDescent="0.2">
      <c r="A2813" s="2" t="s">
        <v>3310</v>
      </c>
      <c r="B2813" s="2" t="s">
        <v>333</v>
      </c>
      <c r="C2813" s="2">
        <v>915.16610000000003</v>
      </c>
      <c r="D2813" s="2">
        <f>HYPERLINK("http://mcb-m6.bioreg.kyushu-u.ac.jp/M3/20110414/F50948/3107/1", 39.95)</f>
        <v>39.950000000000003</v>
      </c>
      <c r="E2813" s="2">
        <v>25.6</v>
      </c>
      <c r="F2813" s="2">
        <v>2</v>
      </c>
      <c r="G2813" s="2" t="s">
        <v>12</v>
      </c>
    </row>
    <row r="2814" spans="1:8" x14ac:dyDescent="0.2">
      <c r="A2814" s="2" t="s">
        <v>3310</v>
      </c>
      <c r="B2814" s="2" t="s">
        <v>333</v>
      </c>
      <c r="C2814" s="2">
        <v>915.01919999999996</v>
      </c>
      <c r="D2814" s="2">
        <f>HYPERLINK("http://mcb-m6.bioreg.kyushu-u.ac.jp/M3/20110414/F50950/3101/1", 41.53)</f>
        <v>41.53</v>
      </c>
      <c r="E2814" s="2">
        <v>15.55</v>
      </c>
      <c r="F2814" s="2">
        <v>2</v>
      </c>
      <c r="G2814" s="2" t="s">
        <v>12</v>
      </c>
    </row>
    <row r="2815" spans="1:8" x14ac:dyDescent="0.2">
      <c r="A2815" s="2" t="s">
        <v>3310</v>
      </c>
      <c r="B2815" s="2" t="s">
        <v>2604</v>
      </c>
      <c r="C2815" s="2">
        <v>883.72850000000005</v>
      </c>
      <c r="D2815" s="2">
        <f>HYPERLINK("http://mcb-m6.bioreg.kyushu-u.ac.jp/M3/20110414/F50958/4692/1", 41.94)</f>
        <v>41.94</v>
      </c>
      <c r="E2815" s="2">
        <v>35.17</v>
      </c>
      <c r="F2815" s="2">
        <v>3</v>
      </c>
      <c r="G2815" s="2" t="s">
        <v>12</v>
      </c>
    </row>
    <row r="2816" spans="1:8" x14ac:dyDescent="0.2">
      <c r="A2816" s="2" t="s">
        <v>3310</v>
      </c>
      <c r="B2816" s="2" t="s">
        <v>2607</v>
      </c>
      <c r="C2816" s="2">
        <v>499.68459999999999</v>
      </c>
      <c r="D2816" s="2">
        <f>HYPERLINK("http://mcb-m6.bioreg.kyushu-u.ac.jp/M3/20110414/F50959/539/1", 42.12)</f>
        <v>42.12</v>
      </c>
      <c r="E2816" s="2">
        <v>11.25</v>
      </c>
      <c r="F2816" s="2">
        <v>2</v>
      </c>
      <c r="G2816" s="2" t="s">
        <v>12</v>
      </c>
    </row>
    <row r="2817" spans="1:9" x14ac:dyDescent="0.2">
      <c r="A2817" s="2" t="s">
        <v>3310</v>
      </c>
      <c r="B2817" s="2" t="s">
        <v>582</v>
      </c>
      <c r="C2817" s="2">
        <v>904.93619999999999</v>
      </c>
      <c r="D2817" s="2">
        <f>HYPERLINK("http://mcb-m6.bioreg.kyushu-u.ac.jp/M3/20110414/F50959/3010/1", 42.48)</f>
        <v>42.48</v>
      </c>
      <c r="E2817" s="2">
        <v>29.85</v>
      </c>
      <c r="F2817" s="2">
        <v>2</v>
      </c>
      <c r="G2817" s="2" t="s">
        <v>12</v>
      </c>
    </row>
    <row r="2818" spans="1:9" x14ac:dyDescent="0.2">
      <c r="A2818" s="2" t="s">
        <v>3310</v>
      </c>
      <c r="B2818" s="2" t="s">
        <v>333</v>
      </c>
      <c r="C2818" s="2">
        <v>610.79750000000001</v>
      </c>
      <c r="D2818" s="2">
        <f>HYPERLINK("http://mcb-m6.bioreg.kyushu-u.ac.jp/M3/20110414/F50958/3189/1", 42.57)</f>
        <v>42.57</v>
      </c>
      <c r="E2818" s="2">
        <v>32.49</v>
      </c>
      <c r="F2818" s="2">
        <v>3</v>
      </c>
      <c r="G2818" s="2" t="s">
        <v>12</v>
      </c>
    </row>
    <row r="2819" spans="1:9" x14ac:dyDescent="0.2">
      <c r="A2819" s="2" t="s">
        <v>3310</v>
      </c>
      <c r="B2819" s="2" t="s">
        <v>821</v>
      </c>
      <c r="C2819" s="2">
        <v>539.67520000000002</v>
      </c>
      <c r="D2819" s="2">
        <f>HYPERLINK("http://mcb-m6.bioreg.kyushu-u.ac.jp/M3/20110414/F50958/813/1", 43.51)</f>
        <v>43.51</v>
      </c>
      <c r="E2819" s="2">
        <v>21.28</v>
      </c>
      <c r="F2819" s="2">
        <v>2</v>
      </c>
      <c r="G2819" s="2" t="s">
        <v>12</v>
      </c>
    </row>
    <row r="2820" spans="1:9" x14ac:dyDescent="0.2">
      <c r="A2820" s="2" t="s">
        <v>3310</v>
      </c>
      <c r="B2820" s="2" t="s">
        <v>582</v>
      </c>
      <c r="C2820" s="2">
        <v>904.29819999999995</v>
      </c>
      <c r="D2820" s="2">
        <f>HYPERLINK("http://mcb-m6.bioreg.kyushu-u.ac.jp/M3/20110414/F50958/3123/1", 43.6)</f>
        <v>43.6</v>
      </c>
      <c r="E2820" s="2">
        <v>29.21</v>
      </c>
      <c r="F2820" s="2">
        <v>2</v>
      </c>
      <c r="G2820" s="2" t="s">
        <v>12</v>
      </c>
    </row>
    <row r="2821" spans="1:9" x14ac:dyDescent="0.2">
      <c r="A2821" s="2" t="s">
        <v>3310</v>
      </c>
      <c r="B2821" s="2" t="s">
        <v>333</v>
      </c>
      <c r="C2821" s="2">
        <v>915.34270000000004</v>
      </c>
      <c r="D2821" s="2">
        <f>HYPERLINK("http://mcb-m6.bioreg.kyushu-u.ac.jp/M3/20110414/F50958/3186/1", 46.11)</f>
        <v>46.11</v>
      </c>
      <c r="E2821" s="2">
        <v>33.479999999999997</v>
      </c>
      <c r="F2821" s="2">
        <v>2</v>
      </c>
      <c r="G2821" s="2" t="s">
        <v>12</v>
      </c>
    </row>
    <row r="2822" spans="1:9" x14ac:dyDescent="0.2">
      <c r="A2822" s="2" t="s">
        <v>3310</v>
      </c>
      <c r="B2822" s="2" t="s">
        <v>333</v>
      </c>
      <c r="C2822" s="2">
        <v>915.81209999999999</v>
      </c>
      <c r="D2822" s="2">
        <f>HYPERLINK("http://mcb-m6.bioreg.kyushu-u.ac.jp/M3/20110414/F50963/2669/1", 50.53)</f>
        <v>50.53</v>
      </c>
      <c r="E2822" s="2">
        <v>28.57</v>
      </c>
      <c r="F2822" s="2">
        <v>2</v>
      </c>
      <c r="G2822" s="2" t="s">
        <v>12</v>
      </c>
    </row>
    <row r="2823" spans="1:9" x14ac:dyDescent="0.2">
      <c r="A2823" s="2" t="s">
        <v>3310</v>
      </c>
      <c r="B2823" s="2" t="s">
        <v>582</v>
      </c>
      <c r="C2823" s="2">
        <v>904.89570000000003</v>
      </c>
      <c r="D2823" s="2">
        <f>HYPERLINK("http://mcb-m6.bioreg.kyushu-u.ac.jp/M3/20110414/F50958/3131/1", 53.76)</f>
        <v>53.76</v>
      </c>
      <c r="E2823" s="2">
        <v>43.82</v>
      </c>
      <c r="F2823" s="2">
        <v>2</v>
      </c>
      <c r="G2823" s="2" t="s">
        <v>12</v>
      </c>
    </row>
    <row r="2824" spans="1:9" x14ac:dyDescent="0.2">
      <c r="A2824" s="2" t="s">
        <v>3310</v>
      </c>
      <c r="B2824" s="2" t="s">
        <v>2691</v>
      </c>
      <c r="C2824" s="2">
        <v>1019.825</v>
      </c>
      <c r="D2824" s="2">
        <f>HYPERLINK("http://mcb-m6.bioreg.kyushu-u.ac.jp/M3/20110414/F50958/4950/1", 54.13)</f>
        <v>54.13</v>
      </c>
      <c r="E2824" s="2">
        <v>47.08</v>
      </c>
      <c r="F2824" s="2">
        <v>3</v>
      </c>
      <c r="G2824" s="2" t="s">
        <v>12</v>
      </c>
    </row>
    <row r="2825" spans="1:9" x14ac:dyDescent="0.2">
      <c r="A2825" s="2" t="s">
        <v>3310</v>
      </c>
      <c r="B2825" s="2" t="s">
        <v>582</v>
      </c>
      <c r="C2825" s="2">
        <v>904.3202</v>
      </c>
      <c r="D2825" s="2">
        <f>HYPERLINK("http://mcb-m6.bioreg.kyushu-u.ac.jp/M3/20110414/F50958/3124/1", 54.26)</f>
        <v>54.26</v>
      </c>
      <c r="E2825" s="2">
        <v>37.49</v>
      </c>
      <c r="F2825" s="2">
        <v>2</v>
      </c>
      <c r="G2825" s="2" t="s">
        <v>12</v>
      </c>
    </row>
    <row r="2826" spans="1:9" x14ac:dyDescent="0.2">
      <c r="A2826" s="2" t="s">
        <v>3310</v>
      </c>
      <c r="B2826" s="2" t="s">
        <v>642</v>
      </c>
      <c r="C2826" s="2">
        <v>675.31460000000004</v>
      </c>
      <c r="D2826" s="2">
        <f>HYPERLINK("http://mcb-m6.bioreg.kyushu-u.ac.jp/M3/20110414/F50959/1428/1", 54.27)</f>
        <v>54.27</v>
      </c>
      <c r="E2826" s="2">
        <v>40.93</v>
      </c>
      <c r="F2826" s="2">
        <v>2</v>
      </c>
      <c r="G2826" s="2" t="s">
        <v>12</v>
      </c>
      <c r="I2826" s="2" t="s">
        <v>4898</v>
      </c>
    </row>
    <row r="2827" spans="1:9" x14ac:dyDescent="0.2">
      <c r="A2827" s="2" t="s">
        <v>3310</v>
      </c>
      <c r="B2827" s="2" t="s">
        <v>1910</v>
      </c>
      <c r="C2827" s="2">
        <v>628.16669999999999</v>
      </c>
      <c r="D2827" s="2">
        <f>HYPERLINK("http://mcb-m6.bioreg.kyushu-u.ac.jp/M3/20110414/F50958/1269/1", 55.55)</f>
        <v>55.55</v>
      </c>
      <c r="E2827" s="2">
        <v>35.979999999999997</v>
      </c>
      <c r="F2827" s="2">
        <v>2</v>
      </c>
      <c r="G2827" s="2" t="s">
        <v>12</v>
      </c>
    </row>
    <row r="2828" spans="1:9" x14ac:dyDescent="0.2">
      <c r="A2828" s="2" t="s">
        <v>3310</v>
      </c>
      <c r="B2828" s="2" t="s">
        <v>1992</v>
      </c>
      <c r="C2828" s="2">
        <v>668.30719999999997</v>
      </c>
      <c r="D2828" s="2">
        <f>HYPERLINK("http://mcb-m6.bioreg.kyushu-u.ac.jp/M3/20110414/F50959/1381/1", 56.96)</f>
        <v>56.96</v>
      </c>
      <c r="E2828" s="2">
        <v>29.39</v>
      </c>
      <c r="F2828" s="2">
        <v>2</v>
      </c>
      <c r="G2828" s="2" t="s">
        <v>12</v>
      </c>
    </row>
    <row r="2829" spans="1:9" x14ac:dyDescent="0.2">
      <c r="A2829" s="2" t="s">
        <v>3310</v>
      </c>
      <c r="B2829" s="2" t="s">
        <v>333</v>
      </c>
      <c r="C2829" s="2">
        <v>915.96720000000005</v>
      </c>
      <c r="D2829" s="2">
        <f>HYPERLINK("http://mcb-m6.bioreg.kyushu-u.ac.jp/M3/20110414/F50947/2991/1", 57.05)</f>
        <v>57.05</v>
      </c>
      <c r="E2829" s="2">
        <v>39.64</v>
      </c>
      <c r="F2829" s="2">
        <v>2</v>
      </c>
      <c r="G2829" s="2" t="s">
        <v>12</v>
      </c>
    </row>
    <row r="2830" spans="1:9" x14ac:dyDescent="0.2">
      <c r="A2830" s="2" t="s">
        <v>3310</v>
      </c>
      <c r="B2830" s="2" t="s">
        <v>1369</v>
      </c>
      <c r="C2830" s="2">
        <v>900.60879999999997</v>
      </c>
      <c r="D2830" s="2">
        <f>HYPERLINK("http://mcb-m6.bioreg.kyushu-u.ac.jp/M3/20110414/F50958/4741/1", 57.54)</f>
        <v>57.54</v>
      </c>
      <c r="E2830" s="2">
        <v>42.87</v>
      </c>
      <c r="F2830" s="2">
        <v>3</v>
      </c>
      <c r="G2830" s="2" t="s">
        <v>12</v>
      </c>
    </row>
    <row r="2831" spans="1:9" x14ac:dyDescent="0.2">
      <c r="A2831" s="2" t="s">
        <v>3310</v>
      </c>
      <c r="B2831" s="2" t="s">
        <v>1061</v>
      </c>
      <c r="C2831" s="2">
        <v>556.18290000000002</v>
      </c>
      <c r="D2831" s="2">
        <f>HYPERLINK("http://mcb-m6.bioreg.kyushu-u.ac.jp/M3/20110414/F50958/2668/1", 58.55)</f>
        <v>58.55</v>
      </c>
      <c r="E2831" s="2">
        <v>44.61</v>
      </c>
      <c r="F2831" s="2">
        <v>3</v>
      </c>
      <c r="G2831" s="2" t="s">
        <v>12</v>
      </c>
    </row>
    <row r="2832" spans="1:9" x14ac:dyDescent="0.2">
      <c r="A2832" s="2" t="s">
        <v>3310</v>
      </c>
      <c r="B2832" s="2" t="s">
        <v>582</v>
      </c>
      <c r="C2832" s="2">
        <v>904.79020000000003</v>
      </c>
      <c r="D2832" s="2">
        <f>HYPERLINK("http://mcb-m6.bioreg.kyushu-u.ac.jp/M3/20110414/F50959/3008/1", 59.6)</f>
        <v>59.6</v>
      </c>
      <c r="E2832" s="2">
        <v>45.65</v>
      </c>
      <c r="F2832" s="2">
        <v>2</v>
      </c>
      <c r="G2832" s="2" t="s">
        <v>12</v>
      </c>
    </row>
    <row r="2833" spans="1:9" x14ac:dyDescent="0.2">
      <c r="A2833" s="2" t="s">
        <v>3310</v>
      </c>
      <c r="B2833" s="2" t="s">
        <v>642</v>
      </c>
      <c r="C2833" s="2">
        <v>675.11109999999996</v>
      </c>
      <c r="D2833" s="2">
        <f>HYPERLINK("http://mcb-m6.bioreg.kyushu-u.ac.jp/M3/20110414/F50958/1534/1", 59.89)</f>
        <v>59.89</v>
      </c>
      <c r="E2833" s="2">
        <v>30.66</v>
      </c>
      <c r="F2833" s="2">
        <v>2</v>
      </c>
      <c r="G2833" s="2" t="s">
        <v>12</v>
      </c>
      <c r="I2833" s="2" t="s">
        <v>4898</v>
      </c>
    </row>
    <row r="2834" spans="1:9" x14ac:dyDescent="0.2">
      <c r="A2834" s="2" t="s">
        <v>3310</v>
      </c>
      <c r="B2834" s="2" t="s">
        <v>333</v>
      </c>
      <c r="C2834" s="2">
        <v>906.99570000000006</v>
      </c>
      <c r="D2834" s="2">
        <f>HYPERLINK("http://mcb-m6.bioreg.kyushu-u.ac.jp/M3/20110414/F50963/2605/1", 60.19)</f>
        <v>60.19</v>
      </c>
      <c r="E2834" s="2">
        <v>43.62</v>
      </c>
      <c r="F2834" s="2">
        <v>2</v>
      </c>
      <c r="G2834" s="2" t="s">
        <v>12</v>
      </c>
      <c r="H2834" s="2" t="s">
        <v>4904</v>
      </c>
    </row>
    <row r="2835" spans="1:9" x14ac:dyDescent="0.2">
      <c r="A2835" s="2" t="s">
        <v>3310</v>
      </c>
      <c r="B2835" s="2" t="s">
        <v>582</v>
      </c>
      <c r="C2835" s="2">
        <v>904.82920000000001</v>
      </c>
      <c r="D2835" s="2">
        <f>HYPERLINK("http://mcb-m6.bioreg.kyushu-u.ac.jp/M3/20110414/F50958/3129/1", 60.56)</f>
        <v>60.56</v>
      </c>
      <c r="E2835" s="2">
        <v>43.85</v>
      </c>
      <c r="F2835" s="2">
        <v>2</v>
      </c>
      <c r="G2835" s="2" t="s">
        <v>12</v>
      </c>
    </row>
    <row r="2836" spans="1:9" x14ac:dyDescent="0.2">
      <c r="A2836" s="2" t="s">
        <v>3310</v>
      </c>
      <c r="B2836" s="2" t="s">
        <v>333</v>
      </c>
      <c r="C2836" s="2">
        <v>907.1807</v>
      </c>
      <c r="D2836" s="2">
        <f>HYPERLINK("http://mcb-m6.bioreg.kyushu-u.ac.jp/M3/20110414/F50958/3141/1", 68.32)</f>
        <v>68.319999999999993</v>
      </c>
      <c r="E2836" s="2">
        <v>49.69</v>
      </c>
      <c r="F2836" s="2">
        <v>2</v>
      </c>
      <c r="G2836" s="2" t="s">
        <v>12</v>
      </c>
      <c r="H2836" s="2" t="s">
        <v>4904</v>
      </c>
    </row>
    <row r="2837" spans="1:9" x14ac:dyDescent="0.2">
      <c r="A2837" s="2" t="s">
        <v>3310</v>
      </c>
      <c r="B2837" s="2" t="s">
        <v>333</v>
      </c>
      <c r="C2837" s="2">
        <v>915.30269999999996</v>
      </c>
      <c r="D2837" s="2">
        <f>HYPERLINK("http://mcb-m6.bioreg.kyushu-u.ac.jp/M3/20110414/F50959/3085/1", 69.1)</f>
        <v>69.099999999999994</v>
      </c>
      <c r="E2837" s="2">
        <v>55.27</v>
      </c>
      <c r="F2837" s="2">
        <v>2</v>
      </c>
      <c r="G2837" s="2" t="s">
        <v>12</v>
      </c>
    </row>
    <row r="2838" spans="1:9" x14ac:dyDescent="0.2">
      <c r="A2838" s="2" t="s">
        <v>3310</v>
      </c>
      <c r="B2838" s="2" t="s">
        <v>333</v>
      </c>
      <c r="C2838" s="2">
        <v>915.87819999999999</v>
      </c>
      <c r="D2838" s="2">
        <f>HYPERLINK("http://mcb-m6.bioreg.kyushu-u.ac.jp/M3/20110414/F50959/3089/1", 69.53)</f>
        <v>69.53</v>
      </c>
      <c r="E2838" s="2">
        <v>55.12</v>
      </c>
      <c r="F2838" s="2">
        <v>2</v>
      </c>
      <c r="G2838" s="2" t="s">
        <v>12</v>
      </c>
    </row>
    <row r="2839" spans="1:9" x14ac:dyDescent="0.2">
      <c r="A2839" s="2" t="s">
        <v>3310</v>
      </c>
      <c r="B2839" s="2" t="s">
        <v>333</v>
      </c>
      <c r="C2839" s="2">
        <v>915.75819999999999</v>
      </c>
      <c r="D2839" s="2">
        <f>HYPERLINK("http://mcb-m6.bioreg.kyushu-u.ac.jp/M3/20110414/F50959/3087/1", 71.38)</f>
        <v>71.38</v>
      </c>
      <c r="E2839" s="2">
        <v>58.26</v>
      </c>
      <c r="F2839" s="2">
        <v>2</v>
      </c>
      <c r="G2839" s="2" t="s">
        <v>12</v>
      </c>
    </row>
    <row r="2840" spans="1:9" x14ac:dyDescent="0.2">
      <c r="A2840" s="2" t="s">
        <v>3310</v>
      </c>
      <c r="B2840" s="2" t="s">
        <v>1992</v>
      </c>
      <c r="C2840" s="2">
        <v>668.09270000000004</v>
      </c>
      <c r="D2840" s="2">
        <f>HYPERLINK("http://mcb-m6.bioreg.kyushu-u.ac.jp/M3/20110414/F50958/1495/1", 71.66)</f>
        <v>71.66</v>
      </c>
      <c r="E2840" s="2">
        <v>48.66</v>
      </c>
      <c r="F2840" s="2">
        <v>2</v>
      </c>
      <c r="G2840" s="2" t="s">
        <v>12</v>
      </c>
    </row>
    <row r="2841" spans="1:9" x14ac:dyDescent="0.2">
      <c r="A2841" s="2" t="s">
        <v>3310</v>
      </c>
      <c r="B2841" s="2" t="s">
        <v>1061</v>
      </c>
      <c r="C2841" s="2">
        <v>833.89509999999996</v>
      </c>
      <c r="D2841" s="2">
        <f>HYPERLINK("http://mcb-m6.bioreg.kyushu-u.ac.jp/M3/20110414/F50959/2554/1", 71.91)</f>
        <v>71.91</v>
      </c>
      <c r="E2841" s="2">
        <v>56.81</v>
      </c>
      <c r="F2841" s="2">
        <v>2</v>
      </c>
      <c r="G2841" s="2" t="s">
        <v>12</v>
      </c>
    </row>
    <row r="2842" spans="1:9" x14ac:dyDescent="0.2">
      <c r="A2842" s="2" t="s">
        <v>3310</v>
      </c>
      <c r="B2842" s="2" t="s">
        <v>333</v>
      </c>
      <c r="C2842" s="2">
        <v>915.08920000000001</v>
      </c>
      <c r="D2842" s="2">
        <f>HYPERLINK("http://mcb-m6.bioreg.kyushu-u.ac.jp/M3/20110414/F50963/2664/1", 73.38)</f>
        <v>73.38</v>
      </c>
      <c r="E2842" s="2">
        <v>61.42</v>
      </c>
      <c r="F2842" s="2">
        <v>2</v>
      </c>
      <c r="G2842" s="2" t="s">
        <v>12</v>
      </c>
    </row>
    <row r="2843" spans="1:9" x14ac:dyDescent="0.2">
      <c r="A2843" s="2" t="s">
        <v>3310</v>
      </c>
      <c r="B2843" s="2" t="s">
        <v>333</v>
      </c>
      <c r="C2843" s="2">
        <v>915.73170000000005</v>
      </c>
      <c r="D2843" s="2">
        <f>HYPERLINK("http://mcb-m6.bioreg.kyushu-u.ac.jp/M3/20110414/F50948/3111/1", 73.96)</f>
        <v>73.959999999999994</v>
      </c>
      <c r="E2843" s="2">
        <v>55.22</v>
      </c>
      <c r="F2843" s="2">
        <v>2</v>
      </c>
      <c r="G2843" s="2" t="s">
        <v>12</v>
      </c>
    </row>
    <row r="2844" spans="1:9" x14ac:dyDescent="0.2">
      <c r="A2844" s="2" t="s">
        <v>3310</v>
      </c>
      <c r="B2844" s="2" t="s">
        <v>114</v>
      </c>
      <c r="C2844" s="2">
        <v>638.20569999999998</v>
      </c>
      <c r="D2844" s="2">
        <f>HYPERLINK("http://mcb-m6.bioreg.kyushu-u.ac.jp/M3/20110414/F50958/1325/1", 74.49)</f>
        <v>74.489999999999995</v>
      </c>
      <c r="E2844" s="2">
        <v>59.5</v>
      </c>
      <c r="F2844" s="2">
        <v>2</v>
      </c>
      <c r="G2844" s="2" t="s">
        <v>12</v>
      </c>
    </row>
    <row r="2845" spans="1:9" x14ac:dyDescent="0.2">
      <c r="A2845" s="2" t="s">
        <v>3310</v>
      </c>
      <c r="B2845" s="2" t="s">
        <v>1992</v>
      </c>
      <c r="C2845" s="2">
        <v>668.65769999999998</v>
      </c>
      <c r="D2845" s="2">
        <f>HYPERLINK("http://mcb-m6.bioreg.kyushu-u.ac.jp/M3/20110414/F50958/1500/1", 75.55)</f>
        <v>75.55</v>
      </c>
      <c r="E2845" s="2">
        <v>41.64</v>
      </c>
      <c r="F2845" s="2">
        <v>2</v>
      </c>
      <c r="G2845" s="2" t="s">
        <v>12</v>
      </c>
    </row>
    <row r="2846" spans="1:9" x14ac:dyDescent="0.2">
      <c r="A2846" s="2" t="s">
        <v>3310</v>
      </c>
      <c r="B2846" s="2" t="s">
        <v>1061</v>
      </c>
      <c r="C2846" s="2">
        <v>833.65769999999998</v>
      </c>
      <c r="D2846" s="2">
        <f>HYPERLINK("http://mcb-m6.bioreg.kyushu-u.ac.jp/M3/20110414/F50958/2666/1", 81.19)</f>
        <v>81.19</v>
      </c>
      <c r="E2846" s="2">
        <v>66.44</v>
      </c>
      <c r="F2846" s="2">
        <v>2</v>
      </c>
      <c r="G2846" s="2" t="s">
        <v>12</v>
      </c>
    </row>
    <row r="2847" spans="1:9" x14ac:dyDescent="0.2">
      <c r="A2847" s="2" t="s">
        <v>3310</v>
      </c>
      <c r="B2847" s="2" t="s">
        <v>333</v>
      </c>
      <c r="C2847" s="2">
        <v>915.56920000000002</v>
      </c>
      <c r="D2847" s="2">
        <f>HYPERLINK("http://mcb-m6.bioreg.kyushu-u.ac.jp/M3/20110414/F50950/3107/1", 83.6)</f>
        <v>83.6</v>
      </c>
      <c r="E2847" s="2">
        <v>62.46</v>
      </c>
      <c r="F2847" s="2">
        <v>2</v>
      </c>
      <c r="G2847" s="2" t="s">
        <v>12</v>
      </c>
    </row>
    <row r="2848" spans="1:9" x14ac:dyDescent="0.2">
      <c r="A2848" s="2" t="s">
        <v>3310</v>
      </c>
      <c r="B2848" s="2" t="s">
        <v>582</v>
      </c>
      <c r="C2848" s="2">
        <v>904.52560000000005</v>
      </c>
      <c r="D2848" s="2">
        <f>HYPERLINK("http://mcb-m6.bioreg.kyushu-u.ac.jp/M3/20110414/F50958/3127/1", 84.13)</f>
        <v>84.13</v>
      </c>
      <c r="E2848" s="2">
        <v>61.81</v>
      </c>
      <c r="F2848" s="2">
        <v>2</v>
      </c>
      <c r="G2848" s="2" t="s">
        <v>12</v>
      </c>
    </row>
    <row r="2849" spans="1:9" x14ac:dyDescent="0.2">
      <c r="A2849" s="2" t="s">
        <v>3310</v>
      </c>
      <c r="B2849" s="2" t="s">
        <v>582</v>
      </c>
      <c r="C2849" s="2">
        <v>904.39260000000002</v>
      </c>
      <c r="D2849" s="2">
        <f>HYPERLINK("http://mcb-m6.bioreg.kyushu-u.ac.jp/M3/20110414/F50959/3004/1", 92.59)</f>
        <v>92.59</v>
      </c>
      <c r="E2849" s="2">
        <v>65.7</v>
      </c>
      <c r="F2849" s="2">
        <v>2</v>
      </c>
      <c r="G2849" s="2" t="s">
        <v>12</v>
      </c>
    </row>
    <row r="2850" spans="1:9" x14ac:dyDescent="0.2">
      <c r="A2850" s="2" t="s">
        <v>3310</v>
      </c>
      <c r="B2850" s="2" t="s">
        <v>582</v>
      </c>
      <c r="C2850" s="2">
        <v>904.38419999999996</v>
      </c>
      <c r="D2850" s="2">
        <f>HYPERLINK("http://mcb-m6.bioreg.kyushu-u.ac.jp/M3/20110414/F50958/3126/1", 92.98)</f>
        <v>92.98</v>
      </c>
      <c r="E2850" s="2">
        <v>79.16</v>
      </c>
      <c r="F2850" s="2">
        <v>2</v>
      </c>
      <c r="G2850" s="2" t="s">
        <v>12</v>
      </c>
    </row>
    <row r="2851" spans="1:9" x14ac:dyDescent="0.2">
      <c r="A2851" s="2" t="s">
        <v>3310</v>
      </c>
      <c r="B2851" s="2" t="s">
        <v>1061</v>
      </c>
      <c r="C2851" s="2">
        <v>833.15120000000002</v>
      </c>
      <c r="D2851" s="2">
        <f>HYPERLINK("http://mcb-m6.bioreg.kyushu-u.ac.jp/M3/20110414/F50958/2660/1", 94.24)</f>
        <v>94.24</v>
      </c>
      <c r="E2851" s="2">
        <v>65.7</v>
      </c>
      <c r="F2851" s="2">
        <v>2</v>
      </c>
      <c r="G2851" s="2" t="s">
        <v>12</v>
      </c>
    </row>
    <row r="2852" spans="1:9" x14ac:dyDescent="0.2">
      <c r="A2852" s="2" t="s">
        <v>3310</v>
      </c>
      <c r="B2852" s="2" t="s">
        <v>582</v>
      </c>
      <c r="C2852" s="2">
        <v>904.29020000000003</v>
      </c>
      <c r="D2852" s="2">
        <f>HYPERLINK("http://mcb-m6.bioreg.kyushu-u.ac.jp/M3/20110414/F50958/3122/1", 115.29)</f>
        <v>115.29</v>
      </c>
      <c r="E2852" s="2">
        <v>99.5</v>
      </c>
      <c r="F2852" s="2">
        <v>2</v>
      </c>
      <c r="G2852" s="2" t="s">
        <v>12</v>
      </c>
    </row>
    <row r="2853" spans="1:9" x14ac:dyDescent="0.2">
      <c r="A2853" s="2" t="s">
        <v>3310</v>
      </c>
      <c r="B2853" s="2" t="s">
        <v>582</v>
      </c>
      <c r="C2853" s="2">
        <v>904.32920000000001</v>
      </c>
      <c r="D2853" s="2">
        <f>HYPERLINK("http://mcb-m6.bioreg.kyushu-u.ac.jp/M3/20110414/F50963/2595/1", 118.61)</f>
        <v>118.61</v>
      </c>
      <c r="E2853" s="2">
        <v>93.33</v>
      </c>
      <c r="F2853" s="2">
        <v>2</v>
      </c>
      <c r="G2853" s="2" t="s">
        <v>12</v>
      </c>
    </row>
    <row r="2854" spans="1:9" x14ac:dyDescent="0.2">
      <c r="A2854" s="2" t="s">
        <v>3310</v>
      </c>
      <c r="B2854" s="2" t="s">
        <v>114</v>
      </c>
      <c r="C2854" s="2">
        <v>638.64469999999994</v>
      </c>
      <c r="D2854" s="2">
        <f>HYPERLINK("http://mcb-m6.bioreg.kyushu-u.ac.jp/M3/20110502/F51175/1486/1", 36.1)</f>
        <v>36.1</v>
      </c>
      <c r="E2854" s="2">
        <v>19.850000000000001</v>
      </c>
      <c r="F2854" s="2">
        <v>2</v>
      </c>
      <c r="G2854" s="2" t="s">
        <v>13</v>
      </c>
    </row>
    <row r="2855" spans="1:9" x14ac:dyDescent="0.2">
      <c r="A2855" s="2" t="s">
        <v>3310</v>
      </c>
      <c r="B2855" s="2" t="s">
        <v>316</v>
      </c>
      <c r="C2855" s="2">
        <v>471.68860000000001</v>
      </c>
      <c r="D2855" s="2">
        <f>HYPERLINK("http://mcb-m6.bioreg.kyushu-u.ac.jp/M3/20110502/F51172/557/1", 36.35)</f>
        <v>36.35</v>
      </c>
      <c r="E2855" s="2">
        <v>12.31</v>
      </c>
      <c r="F2855" s="2">
        <v>2</v>
      </c>
      <c r="G2855" s="2" t="s">
        <v>13</v>
      </c>
    </row>
    <row r="2856" spans="1:9" x14ac:dyDescent="0.2">
      <c r="A2856" s="2" t="s">
        <v>3310</v>
      </c>
      <c r="B2856" s="2" t="s">
        <v>821</v>
      </c>
      <c r="C2856" s="2">
        <v>540.05870000000004</v>
      </c>
      <c r="D2856" s="2">
        <f>HYPERLINK("http://mcb-m6.bioreg.kyushu-u.ac.jp/M3/20110502/F51172/933/1", 47.08)</f>
        <v>47.08</v>
      </c>
      <c r="E2856" s="2">
        <v>19.37</v>
      </c>
      <c r="F2856" s="2">
        <v>2</v>
      </c>
      <c r="G2856" s="2" t="s">
        <v>13</v>
      </c>
    </row>
    <row r="2857" spans="1:9" x14ac:dyDescent="0.2">
      <c r="A2857" s="2" t="s">
        <v>3310</v>
      </c>
      <c r="B2857" s="2" t="s">
        <v>333</v>
      </c>
      <c r="C2857" s="2">
        <v>915.79420000000005</v>
      </c>
      <c r="D2857" s="2">
        <f>HYPERLINK("http://mcb-m6.bioreg.kyushu-u.ac.jp/M3/20110502/F51174/2560/1", 47.68)</f>
        <v>47.68</v>
      </c>
      <c r="E2857" s="2">
        <v>30.01</v>
      </c>
      <c r="F2857" s="2">
        <v>2</v>
      </c>
      <c r="G2857" s="2" t="s">
        <v>13</v>
      </c>
    </row>
    <row r="2858" spans="1:9" x14ac:dyDescent="0.2">
      <c r="A2858" s="2" t="s">
        <v>3310</v>
      </c>
      <c r="B2858" s="2" t="s">
        <v>642</v>
      </c>
      <c r="C2858" s="2">
        <v>675.09810000000004</v>
      </c>
      <c r="D2858" s="2">
        <f>HYPERLINK("http://mcb-m6.bioreg.kyushu-u.ac.jp/M3/20110502/F51172/1655/1", 51.4)</f>
        <v>51.4</v>
      </c>
      <c r="E2858" s="2">
        <v>34.42</v>
      </c>
      <c r="F2858" s="2">
        <v>2</v>
      </c>
      <c r="G2858" s="2" t="s">
        <v>13</v>
      </c>
      <c r="I2858" s="2" t="s">
        <v>4898</v>
      </c>
    </row>
    <row r="2859" spans="1:9" x14ac:dyDescent="0.2">
      <c r="A2859" s="2" t="s">
        <v>3310</v>
      </c>
      <c r="B2859" s="2" t="s">
        <v>333</v>
      </c>
      <c r="C2859" s="2">
        <v>916.00919999999996</v>
      </c>
      <c r="D2859" s="2">
        <f>HYPERLINK("http://mcb-m6.bioreg.kyushu-u.ac.jp/M3/20110502/F51169/2805/1", 51.44)</f>
        <v>51.44</v>
      </c>
      <c r="E2859" s="2">
        <v>40.33</v>
      </c>
      <c r="F2859" s="2">
        <v>2</v>
      </c>
      <c r="G2859" s="2" t="s">
        <v>13</v>
      </c>
    </row>
    <row r="2860" spans="1:9" x14ac:dyDescent="0.2">
      <c r="A2860" s="2" t="s">
        <v>3310</v>
      </c>
      <c r="B2860" s="2" t="s">
        <v>333</v>
      </c>
      <c r="C2860" s="2">
        <v>915.98109999999997</v>
      </c>
      <c r="D2860" s="2">
        <f>HYPERLINK("http://mcb-m6.bioreg.kyushu-u.ac.jp/M3/20110502/F51189/2516/1", 52.43)</f>
        <v>52.43</v>
      </c>
      <c r="E2860" s="2">
        <v>39.92</v>
      </c>
      <c r="F2860" s="2">
        <v>2</v>
      </c>
      <c r="G2860" s="2" t="s">
        <v>13</v>
      </c>
    </row>
    <row r="2861" spans="1:9" x14ac:dyDescent="0.2">
      <c r="A2861" s="2" t="s">
        <v>3310</v>
      </c>
      <c r="B2861" s="2" t="s">
        <v>114</v>
      </c>
      <c r="C2861" s="2">
        <v>638.71010000000001</v>
      </c>
      <c r="D2861" s="2">
        <f>HYPERLINK("http://mcb-m6.bioreg.kyushu-u.ac.jp/M3/20110502/F51172/1480/1", 55.25)</f>
        <v>55.25</v>
      </c>
      <c r="E2861" s="2">
        <v>31.9</v>
      </c>
      <c r="F2861" s="2">
        <v>2</v>
      </c>
      <c r="G2861" s="2" t="s">
        <v>13</v>
      </c>
    </row>
    <row r="2862" spans="1:9" x14ac:dyDescent="0.2">
      <c r="A2862" s="2" t="s">
        <v>3310</v>
      </c>
      <c r="B2862" s="2" t="s">
        <v>114</v>
      </c>
      <c r="C2862" s="2">
        <v>638.65219999999999</v>
      </c>
      <c r="D2862" s="2">
        <f>HYPERLINK("http://mcb-m6.bioreg.kyushu-u.ac.jp/M3/20110502/F51189/1320/1", 56.89)</f>
        <v>56.89</v>
      </c>
      <c r="E2862" s="2">
        <v>40.15</v>
      </c>
      <c r="F2862" s="2">
        <v>2</v>
      </c>
      <c r="G2862" s="2" t="s">
        <v>13</v>
      </c>
    </row>
    <row r="2863" spans="1:9" x14ac:dyDescent="0.2">
      <c r="A2863" s="2" t="s">
        <v>3310</v>
      </c>
      <c r="B2863" s="2" t="s">
        <v>582</v>
      </c>
      <c r="C2863" s="2">
        <v>904.76570000000004</v>
      </c>
      <c r="D2863" s="2">
        <f>HYPERLINK("http://mcb-m6.bioreg.kyushu-u.ac.jp/M3/20110502/F51172/3169/1", 62.48)</f>
        <v>62.48</v>
      </c>
      <c r="E2863" s="2">
        <v>49.93</v>
      </c>
      <c r="F2863" s="2">
        <v>2</v>
      </c>
      <c r="G2863" s="2" t="s">
        <v>13</v>
      </c>
    </row>
    <row r="2864" spans="1:9" x14ac:dyDescent="0.2">
      <c r="A2864" s="2" t="s">
        <v>3310</v>
      </c>
      <c r="B2864" s="2" t="s">
        <v>1992</v>
      </c>
      <c r="C2864" s="2">
        <v>668.65369999999996</v>
      </c>
      <c r="D2864" s="2">
        <f>HYPERLINK("http://mcb-m6.bioreg.kyushu-u.ac.jp/M3/20110502/F51172/1601/1", 72.21)</f>
        <v>72.209999999999994</v>
      </c>
      <c r="E2864" s="2">
        <v>42.51</v>
      </c>
      <c r="F2864" s="2">
        <v>2</v>
      </c>
      <c r="G2864" s="2" t="s">
        <v>13</v>
      </c>
    </row>
    <row r="2865" spans="1:7" x14ac:dyDescent="0.2">
      <c r="A2865" s="2" t="s">
        <v>3310</v>
      </c>
      <c r="B2865" s="2" t="s">
        <v>333</v>
      </c>
      <c r="C2865" s="2">
        <v>915.66359999999997</v>
      </c>
      <c r="D2865" s="2">
        <f>HYPERLINK("http://mcb-m6.bioreg.kyushu-u.ac.jp/M3/20110502/F51173/2853/1", 74.58)</f>
        <v>74.58</v>
      </c>
      <c r="E2865" s="2">
        <v>55</v>
      </c>
      <c r="F2865" s="2">
        <v>2</v>
      </c>
      <c r="G2865" s="2" t="s">
        <v>13</v>
      </c>
    </row>
    <row r="2866" spans="1:7" x14ac:dyDescent="0.2">
      <c r="A2866" s="2" t="s">
        <v>3310</v>
      </c>
      <c r="B2866" s="2" t="s">
        <v>333</v>
      </c>
      <c r="C2866" s="2">
        <v>915.71420000000001</v>
      </c>
      <c r="D2866" s="2">
        <f>HYPERLINK("http://mcb-m6.bioreg.kyushu-u.ac.jp/M3/20110502/F51170/2960/1", 79.18)</f>
        <v>79.180000000000007</v>
      </c>
      <c r="E2866" s="2">
        <v>65.73</v>
      </c>
      <c r="F2866" s="2">
        <v>2</v>
      </c>
      <c r="G2866" s="2" t="s">
        <v>13</v>
      </c>
    </row>
    <row r="2867" spans="1:7" x14ac:dyDescent="0.2">
      <c r="A2867" s="2" t="s">
        <v>3310</v>
      </c>
      <c r="B2867" s="2" t="s">
        <v>1061</v>
      </c>
      <c r="C2867" s="2">
        <v>833.74019999999996</v>
      </c>
      <c r="D2867" s="2">
        <f>HYPERLINK("http://mcb-m6.bioreg.kyushu-u.ac.jp/M3/20110502/F51173/2394/1", 80.42)</f>
        <v>80.42</v>
      </c>
      <c r="E2867" s="2">
        <v>61.72</v>
      </c>
      <c r="F2867" s="2">
        <v>2</v>
      </c>
      <c r="G2867" s="2" t="s">
        <v>13</v>
      </c>
    </row>
    <row r="2868" spans="1:7" x14ac:dyDescent="0.2">
      <c r="A2868" s="2" t="s">
        <v>3310</v>
      </c>
      <c r="B2868" s="2" t="s">
        <v>333</v>
      </c>
      <c r="C2868" s="2">
        <v>915.58669999999995</v>
      </c>
      <c r="D2868" s="2">
        <f>HYPERLINK("http://mcb-m6.bioreg.kyushu-u.ac.jp/M3/20110502/F51187/2448/1", 83.97)</f>
        <v>83.97</v>
      </c>
      <c r="E2868" s="2">
        <v>65.36</v>
      </c>
      <c r="F2868" s="2">
        <v>2</v>
      </c>
      <c r="G2868" s="2" t="s">
        <v>13</v>
      </c>
    </row>
    <row r="2869" spans="1:7" x14ac:dyDescent="0.2">
      <c r="A2869" s="2" t="s">
        <v>3310</v>
      </c>
      <c r="B2869" s="2" t="s">
        <v>333</v>
      </c>
      <c r="C2869" s="2">
        <v>915.63509999999997</v>
      </c>
      <c r="D2869" s="2">
        <f>HYPERLINK("http://mcb-m6.bioreg.kyushu-u.ac.jp/M3/20110502/F51171/2736/1", 85.85)</f>
        <v>85.85</v>
      </c>
      <c r="E2869" s="2">
        <v>73.05</v>
      </c>
      <c r="F2869" s="2">
        <v>2</v>
      </c>
      <c r="G2869" s="2" t="s">
        <v>13</v>
      </c>
    </row>
    <row r="2870" spans="1:7" x14ac:dyDescent="0.2">
      <c r="A2870" s="2" t="s">
        <v>3310</v>
      </c>
      <c r="B2870" s="2" t="s">
        <v>333</v>
      </c>
      <c r="C2870" s="2">
        <v>915.62369999999999</v>
      </c>
      <c r="D2870" s="2">
        <f>HYPERLINK("http://mcb-m6.bioreg.kyushu-u.ac.jp/M3/20110502/F51189/2515/1", 95.46)</f>
        <v>95.46</v>
      </c>
      <c r="E2870" s="2">
        <v>79.22</v>
      </c>
      <c r="F2870" s="2">
        <v>2</v>
      </c>
      <c r="G2870" s="2" t="s">
        <v>13</v>
      </c>
    </row>
    <row r="2871" spans="1:7" x14ac:dyDescent="0.2">
      <c r="A2871" s="2" t="s">
        <v>3310</v>
      </c>
      <c r="B2871" s="2" t="s">
        <v>582</v>
      </c>
      <c r="C2871" s="2">
        <v>904.66269999999997</v>
      </c>
      <c r="D2871" s="2">
        <f>HYPERLINK("http://mcb-m6.bioreg.kyushu-u.ac.jp/M3/20110502/F51172/3168/1", 101.24)</f>
        <v>101.24</v>
      </c>
      <c r="E2871" s="2">
        <v>85.02</v>
      </c>
      <c r="F2871" s="2">
        <v>2</v>
      </c>
      <c r="G2871" s="2" t="s">
        <v>13</v>
      </c>
    </row>
    <row r="2872" spans="1:7" x14ac:dyDescent="0.2">
      <c r="A2872" s="2" t="s">
        <v>3310</v>
      </c>
      <c r="B2872" s="2" t="s">
        <v>1061</v>
      </c>
      <c r="C2872" s="2">
        <v>833.71559999999999</v>
      </c>
      <c r="D2872" s="2">
        <f>HYPERLINK("http://mcb-m6.bioreg.kyushu-u.ac.jp/M3/20110502/F51172/2777/1", 102.79)</f>
        <v>102.79</v>
      </c>
      <c r="E2872" s="2">
        <v>72.790000000000006</v>
      </c>
      <c r="F2872" s="2">
        <v>2</v>
      </c>
      <c r="G2872" s="2" t="s">
        <v>13</v>
      </c>
    </row>
    <row r="2873" spans="1:7" x14ac:dyDescent="0.2">
      <c r="A2873" s="2" t="s">
        <v>3310</v>
      </c>
      <c r="B2873" s="2" t="s">
        <v>1061</v>
      </c>
      <c r="C2873" s="2">
        <v>833.56410000000005</v>
      </c>
      <c r="D2873" s="2">
        <f>HYPERLINK("http://mcb-m6.bioreg.kyushu-u.ac.jp/M3/20110502/F51189/2224/1", 107.45)</f>
        <v>107.45</v>
      </c>
      <c r="E2873" s="2">
        <v>75.319999999999993</v>
      </c>
      <c r="F2873" s="2">
        <v>2</v>
      </c>
      <c r="G2873" s="2" t="s">
        <v>13</v>
      </c>
    </row>
    <row r="2874" spans="1:7" x14ac:dyDescent="0.2">
      <c r="A2874" s="2" t="s">
        <v>3310</v>
      </c>
      <c r="B2874" s="2" t="s">
        <v>582</v>
      </c>
      <c r="C2874" s="2">
        <v>904.67610000000002</v>
      </c>
      <c r="D2874" s="2">
        <f>HYPERLINK("http://mcb-m6.bioreg.kyushu-u.ac.jp/M3/20110502/F51173/2792/1", 121.23)</f>
        <v>121.23</v>
      </c>
      <c r="E2874" s="2">
        <v>102.04</v>
      </c>
      <c r="F2874" s="2">
        <v>2</v>
      </c>
      <c r="G2874" s="2" t="s">
        <v>13</v>
      </c>
    </row>
    <row r="2875" spans="1:7" x14ac:dyDescent="0.2">
      <c r="A2875" s="2" t="s">
        <v>3310</v>
      </c>
      <c r="B2875" s="2" t="s">
        <v>582</v>
      </c>
      <c r="C2875" s="2">
        <v>904.61519999999996</v>
      </c>
      <c r="D2875" s="2">
        <f>HYPERLINK("http://mcb-m6.bioreg.kyushu-u.ac.jp/M3/20110502/F51189/2478/1", 156.06)</f>
        <v>156.06</v>
      </c>
      <c r="E2875" s="2">
        <v>130.94</v>
      </c>
      <c r="F2875" s="2">
        <v>2</v>
      </c>
      <c r="G2875" s="2" t="s">
        <v>13</v>
      </c>
    </row>
    <row r="2876" spans="1:7" x14ac:dyDescent="0.2">
      <c r="A2876" s="2" t="s">
        <v>3310</v>
      </c>
      <c r="B2876" s="2" t="s">
        <v>333</v>
      </c>
      <c r="C2876" s="2">
        <v>915.49570000000006</v>
      </c>
      <c r="D2876" s="2">
        <f>HYPERLINK("http://mcb-m6.bioreg.kyushu-u.ac.jp/M3/20110502/F51192/2672/1", 38.1)</f>
        <v>38.1</v>
      </c>
      <c r="E2876" s="2">
        <v>24.12</v>
      </c>
      <c r="F2876" s="2">
        <v>2</v>
      </c>
      <c r="G2876" s="2" t="s">
        <v>14</v>
      </c>
    </row>
    <row r="2877" spans="1:7" x14ac:dyDescent="0.2">
      <c r="A2877" s="2" t="s">
        <v>3310</v>
      </c>
      <c r="B2877" s="2" t="s">
        <v>114</v>
      </c>
      <c r="C2877" s="2">
        <v>638.61220000000003</v>
      </c>
      <c r="D2877" s="2">
        <f>HYPERLINK("http://mcb-m6.bioreg.kyushu-u.ac.jp/M3/20110502/F51193/1316/1", 53.69)</f>
        <v>53.69</v>
      </c>
      <c r="E2877" s="2">
        <v>29.37</v>
      </c>
      <c r="F2877" s="2">
        <v>2</v>
      </c>
      <c r="G2877" s="2" t="s">
        <v>14</v>
      </c>
    </row>
    <row r="2878" spans="1:7" x14ac:dyDescent="0.2">
      <c r="A2878" s="2" t="s">
        <v>3310</v>
      </c>
      <c r="B2878" s="2" t="s">
        <v>821</v>
      </c>
      <c r="C2878" s="2">
        <v>539.79269999999997</v>
      </c>
      <c r="D2878" s="2">
        <f>HYPERLINK("http://mcb-m6.bioreg.kyushu-u.ac.jp/M3/20110502/F51194/785/1", 55.58)</f>
        <v>55.58</v>
      </c>
      <c r="E2878" s="2">
        <v>31.03</v>
      </c>
      <c r="F2878" s="2">
        <v>2</v>
      </c>
      <c r="G2878" s="2" t="s">
        <v>14</v>
      </c>
    </row>
    <row r="2879" spans="1:7" x14ac:dyDescent="0.2">
      <c r="A2879" s="2" t="s">
        <v>3310</v>
      </c>
      <c r="B2879" s="2" t="s">
        <v>333</v>
      </c>
      <c r="C2879" s="2">
        <v>915.75319999999999</v>
      </c>
      <c r="D2879" s="2">
        <f>HYPERLINK("http://mcb-m6.bioreg.kyushu-u.ac.jp/M3/20110502/F51193/2721/1", 56.87)</f>
        <v>56.87</v>
      </c>
      <c r="E2879" s="2">
        <v>41.08</v>
      </c>
      <c r="F2879" s="2">
        <v>2</v>
      </c>
      <c r="G2879" s="2" t="s">
        <v>14</v>
      </c>
    </row>
    <row r="2880" spans="1:7" x14ac:dyDescent="0.2">
      <c r="A2880" s="2" t="s">
        <v>3310</v>
      </c>
      <c r="B2880" s="2" t="s">
        <v>333</v>
      </c>
      <c r="C2880" s="2">
        <v>915.71310000000005</v>
      </c>
      <c r="D2880" s="2">
        <f>HYPERLINK("http://mcb-m6.bioreg.kyushu-u.ac.jp/M3/20110502/F51179/2772/1", 59.43)</f>
        <v>59.43</v>
      </c>
      <c r="E2880" s="2">
        <v>40.46</v>
      </c>
      <c r="F2880" s="2">
        <v>2</v>
      </c>
      <c r="G2880" s="2" t="s">
        <v>14</v>
      </c>
    </row>
    <row r="2881" spans="1:8" x14ac:dyDescent="0.2">
      <c r="A2881" s="2" t="s">
        <v>3310</v>
      </c>
      <c r="B2881" s="2" t="s">
        <v>333</v>
      </c>
      <c r="C2881" s="2">
        <v>916.01620000000003</v>
      </c>
      <c r="D2881" s="2">
        <f>HYPERLINK("http://mcb-m6.bioreg.kyushu-u.ac.jp/M3/20110502/F51191/2482/1", 61.23)</f>
        <v>61.23</v>
      </c>
      <c r="E2881" s="2">
        <v>42.11</v>
      </c>
      <c r="F2881" s="2">
        <v>2</v>
      </c>
      <c r="G2881" s="2" t="s">
        <v>14</v>
      </c>
    </row>
    <row r="2882" spans="1:8" x14ac:dyDescent="0.2">
      <c r="A2882" s="2" t="s">
        <v>3310</v>
      </c>
      <c r="B2882" s="2" t="s">
        <v>114</v>
      </c>
      <c r="C2882" s="2">
        <v>638.51170000000002</v>
      </c>
      <c r="D2882" s="2">
        <f>HYPERLINK("http://mcb-m6.bioreg.kyushu-u.ac.jp/M3/20110502/F51194/1259/1", 65.71)</f>
        <v>65.709999999999994</v>
      </c>
      <c r="E2882" s="2">
        <v>49.06</v>
      </c>
      <c r="F2882" s="2">
        <v>2</v>
      </c>
      <c r="G2882" s="2" t="s">
        <v>14</v>
      </c>
    </row>
    <row r="2883" spans="1:8" x14ac:dyDescent="0.2">
      <c r="A2883" s="2" t="s">
        <v>3310</v>
      </c>
      <c r="B2883" s="2" t="s">
        <v>1992</v>
      </c>
      <c r="C2883" s="2">
        <v>668.54970000000003</v>
      </c>
      <c r="D2883" s="2">
        <f>HYPERLINK("http://mcb-m6.bioreg.kyushu-u.ac.jp/M3/20110502/F51193/1426/1", 68.42)</f>
        <v>68.42</v>
      </c>
      <c r="E2883" s="2">
        <v>38.729999999999997</v>
      </c>
      <c r="F2883" s="2">
        <v>2</v>
      </c>
      <c r="G2883" s="2" t="s">
        <v>14</v>
      </c>
    </row>
    <row r="2884" spans="1:8" x14ac:dyDescent="0.2">
      <c r="A2884" s="2" t="s">
        <v>3310</v>
      </c>
      <c r="B2884" s="2" t="s">
        <v>333</v>
      </c>
      <c r="C2884" s="2">
        <v>907.26969999999994</v>
      </c>
      <c r="D2884" s="2">
        <f>HYPERLINK("http://mcb-m6.bioreg.kyushu-u.ac.jp/M3/20110502/F51193/2686/1", 69.32)</f>
        <v>69.319999999999993</v>
      </c>
      <c r="E2884" s="2">
        <v>49.8</v>
      </c>
      <c r="F2884" s="2">
        <v>2</v>
      </c>
      <c r="G2884" s="2" t="s">
        <v>14</v>
      </c>
      <c r="H2884" s="2" t="s">
        <v>4904</v>
      </c>
    </row>
    <row r="2885" spans="1:8" x14ac:dyDescent="0.2">
      <c r="A2885" s="2" t="s">
        <v>3310</v>
      </c>
      <c r="B2885" s="2" t="s">
        <v>1061</v>
      </c>
      <c r="C2885" s="2">
        <v>556.18719999999996</v>
      </c>
      <c r="D2885" s="2">
        <f>HYPERLINK("http://mcb-m6.bioreg.kyushu-u.ac.jp/M3/20110502/F51193/2391/1", 72.31)</f>
        <v>72.31</v>
      </c>
      <c r="E2885" s="2">
        <v>44.98</v>
      </c>
      <c r="F2885" s="2">
        <v>3</v>
      </c>
      <c r="G2885" s="2" t="s">
        <v>14</v>
      </c>
    </row>
    <row r="2886" spans="1:8" x14ac:dyDescent="0.2">
      <c r="A2886" s="2" t="s">
        <v>3310</v>
      </c>
      <c r="B2886" s="2" t="s">
        <v>333</v>
      </c>
      <c r="C2886" s="2">
        <v>915.86410000000001</v>
      </c>
      <c r="D2886" s="2">
        <f>HYPERLINK("http://mcb-m6.bioreg.kyushu-u.ac.jp/M3/20110502/F51185/2727/1", 73.41)</f>
        <v>73.41</v>
      </c>
      <c r="E2886" s="2">
        <v>53.36</v>
      </c>
      <c r="F2886" s="2">
        <v>2</v>
      </c>
      <c r="G2886" s="2" t="s">
        <v>14</v>
      </c>
    </row>
    <row r="2887" spans="1:8" x14ac:dyDescent="0.2">
      <c r="A2887" s="2" t="s">
        <v>3310</v>
      </c>
      <c r="B2887" s="2" t="s">
        <v>333</v>
      </c>
      <c r="C2887" s="2">
        <v>916.08259999999996</v>
      </c>
      <c r="D2887" s="2">
        <f>HYPERLINK("http://mcb-m6.bioreg.kyushu-u.ac.jp/M3/20110502/F51194/2713/1", 74.48)</f>
        <v>74.48</v>
      </c>
      <c r="E2887" s="2">
        <v>60.87</v>
      </c>
      <c r="F2887" s="2">
        <v>2</v>
      </c>
      <c r="G2887" s="2" t="s">
        <v>14</v>
      </c>
    </row>
    <row r="2888" spans="1:8" x14ac:dyDescent="0.2">
      <c r="A2888" s="2" t="s">
        <v>3310</v>
      </c>
      <c r="B2888" s="2" t="s">
        <v>333</v>
      </c>
      <c r="C2888" s="2">
        <v>915.97810000000004</v>
      </c>
      <c r="D2888" s="2">
        <f>HYPERLINK("http://mcb-m6.bioreg.kyushu-u.ac.jp/M3/20110502/F51193/2722/1", 81.78)</f>
        <v>81.78</v>
      </c>
      <c r="E2888" s="2">
        <v>59.79</v>
      </c>
      <c r="F2888" s="2">
        <v>2</v>
      </c>
      <c r="G2888" s="2" t="s">
        <v>14</v>
      </c>
    </row>
    <row r="2889" spans="1:8" x14ac:dyDescent="0.2">
      <c r="A2889" s="2" t="s">
        <v>3310</v>
      </c>
      <c r="B2889" s="2" t="s">
        <v>333</v>
      </c>
      <c r="C2889" s="2">
        <v>915.67909999999995</v>
      </c>
      <c r="D2889" s="2">
        <f>HYPERLINK("http://mcb-m6.bioreg.kyushu-u.ac.jp/M3/20110502/F51184/2884/1", 82.78)</f>
        <v>82.78</v>
      </c>
      <c r="E2889" s="2">
        <v>63.98</v>
      </c>
      <c r="F2889" s="2">
        <v>2</v>
      </c>
      <c r="G2889" s="2" t="s">
        <v>14</v>
      </c>
    </row>
    <row r="2890" spans="1:8" x14ac:dyDescent="0.2">
      <c r="A2890" s="2" t="s">
        <v>3310</v>
      </c>
      <c r="B2890" s="2" t="s">
        <v>1729</v>
      </c>
      <c r="C2890" s="2">
        <v>1247.07</v>
      </c>
      <c r="D2890" s="2">
        <f>HYPERLINK("http://mcb-m6.bioreg.kyushu-u.ac.jp/M3/20110502/F51194/3657/1", 90.98)</f>
        <v>90.98</v>
      </c>
      <c r="E2890" s="2">
        <v>72.5</v>
      </c>
      <c r="F2890" s="2">
        <v>2</v>
      </c>
      <c r="G2890" s="2" t="s">
        <v>14</v>
      </c>
      <c r="H2890" s="2" t="s">
        <v>4901</v>
      </c>
    </row>
    <row r="2891" spans="1:8" x14ac:dyDescent="0.2">
      <c r="A2891" s="2" t="s">
        <v>3310</v>
      </c>
      <c r="B2891" s="2" t="s">
        <v>582</v>
      </c>
      <c r="C2891" s="2">
        <v>904.55269999999996</v>
      </c>
      <c r="D2891" s="2">
        <f>HYPERLINK("http://mcb-m6.bioreg.kyushu-u.ac.jp/M3/20110502/F51193/2677/1", 92.09)</f>
        <v>92.09</v>
      </c>
      <c r="E2891" s="2">
        <v>75.55</v>
      </c>
      <c r="F2891" s="2">
        <v>2</v>
      </c>
      <c r="G2891" s="2" t="s">
        <v>14</v>
      </c>
    </row>
    <row r="2892" spans="1:8" x14ac:dyDescent="0.2">
      <c r="A2892" s="2" t="s">
        <v>3310</v>
      </c>
      <c r="B2892" s="2" t="s">
        <v>333</v>
      </c>
      <c r="C2892" s="2">
        <v>915.54669999999999</v>
      </c>
      <c r="D2892" s="2">
        <f>HYPERLINK("http://mcb-m6.bioreg.kyushu-u.ac.jp/M3/20110502/F51194/2709/1", 92.26)</f>
        <v>92.26</v>
      </c>
      <c r="E2892" s="2">
        <v>72.489999999999995</v>
      </c>
      <c r="F2892" s="2">
        <v>2</v>
      </c>
      <c r="G2892" s="2" t="s">
        <v>14</v>
      </c>
    </row>
    <row r="2893" spans="1:8" x14ac:dyDescent="0.2">
      <c r="A2893" s="2" t="s">
        <v>3310</v>
      </c>
      <c r="B2893" s="2" t="s">
        <v>1061</v>
      </c>
      <c r="C2893" s="2">
        <v>833.92520000000002</v>
      </c>
      <c r="D2893" s="2">
        <f>HYPERLINK("http://mcb-m6.bioreg.kyushu-u.ac.jp/M3/20110502/F51193/2392/1", 99.29)</f>
        <v>99.29</v>
      </c>
      <c r="E2893" s="2">
        <v>77.19</v>
      </c>
      <c r="F2893" s="2">
        <v>2</v>
      </c>
      <c r="G2893" s="2" t="s">
        <v>14</v>
      </c>
    </row>
    <row r="2894" spans="1:8" x14ac:dyDescent="0.2">
      <c r="A2894" s="2" t="s">
        <v>3310</v>
      </c>
      <c r="B2894" s="2" t="s">
        <v>582</v>
      </c>
      <c r="C2894" s="2">
        <v>904.70010000000002</v>
      </c>
      <c r="D2894" s="2">
        <f>HYPERLINK("http://mcb-m6.bioreg.kyushu-u.ac.jp/M3/20110502/F51184/2824/1", 104.26)</f>
        <v>104.26</v>
      </c>
      <c r="E2894" s="2">
        <v>81.739999999999995</v>
      </c>
      <c r="F2894" s="2">
        <v>2</v>
      </c>
      <c r="G2894" s="2" t="s">
        <v>14</v>
      </c>
    </row>
    <row r="2895" spans="1:8" x14ac:dyDescent="0.2">
      <c r="A2895" s="2" t="s">
        <v>3310</v>
      </c>
      <c r="B2895" s="2" t="s">
        <v>1729</v>
      </c>
      <c r="C2895" s="2">
        <v>1247.3309999999999</v>
      </c>
      <c r="D2895" s="2">
        <f>HYPERLINK("http://mcb-m6.bioreg.kyushu-u.ac.jp/M3/20110502/F51193/3456/1", 107.81)</f>
        <v>107.81</v>
      </c>
      <c r="E2895" s="2">
        <v>91.57</v>
      </c>
      <c r="F2895" s="2">
        <v>2</v>
      </c>
      <c r="G2895" s="2" t="s">
        <v>14</v>
      </c>
      <c r="H2895" s="2" t="s">
        <v>4901</v>
      </c>
    </row>
    <row r="2896" spans="1:8" x14ac:dyDescent="0.2">
      <c r="A2896" s="2" t="s">
        <v>3421</v>
      </c>
      <c r="B2896" s="2" t="s">
        <v>225</v>
      </c>
      <c r="C2896" s="2">
        <v>944.46010000000001</v>
      </c>
      <c r="D2896" s="2">
        <f>HYPERLINK("http://mcb-m6.bioreg.kyushu-u.ac.jp/M3/20110411/F50903/2927/1", 38.1)</f>
        <v>38.1</v>
      </c>
      <c r="E2896" s="2">
        <v>17.690000000000001</v>
      </c>
      <c r="F2896" s="2">
        <v>2</v>
      </c>
      <c r="G2896" s="2" t="s">
        <v>9</v>
      </c>
    </row>
    <row r="2897" spans="1:8" x14ac:dyDescent="0.2">
      <c r="A2897" s="2" t="s">
        <v>3421</v>
      </c>
      <c r="B2897" s="2" t="s">
        <v>786</v>
      </c>
      <c r="C2897" s="2">
        <v>514.97469999999998</v>
      </c>
      <c r="D2897" s="2">
        <f>HYPERLINK("http://mcb-m6.bioreg.kyushu-u.ac.jp/M3/20110411/F50903/1180/1", 51.32)</f>
        <v>51.32</v>
      </c>
      <c r="E2897" s="2">
        <v>19.22</v>
      </c>
      <c r="F2897" s="2">
        <v>2</v>
      </c>
      <c r="G2897" s="2" t="s">
        <v>9</v>
      </c>
    </row>
    <row r="2898" spans="1:8" x14ac:dyDescent="0.2">
      <c r="A2898" s="2" t="s">
        <v>3421</v>
      </c>
      <c r="B2898" s="2" t="s">
        <v>918</v>
      </c>
      <c r="C2898" s="2">
        <v>634.5856</v>
      </c>
      <c r="D2898" s="2">
        <f>HYPERLINK("http://mcb-m6.bioreg.kyushu-u.ac.jp/M3/20110411/F50903/1530/1", 55.52)</f>
        <v>55.52</v>
      </c>
      <c r="E2898" s="2">
        <v>30.03</v>
      </c>
      <c r="F2898" s="2">
        <v>2</v>
      </c>
      <c r="G2898" s="2" t="s">
        <v>9</v>
      </c>
      <c r="H2898" s="2" t="s">
        <v>4904</v>
      </c>
    </row>
    <row r="2899" spans="1:8" x14ac:dyDescent="0.2">
      <c r="A2899" s="2" t="s">
        <v>4505</v>
      </c>
      <c r="B2899" s="2" t="s">
        <v>2508</v>
      </c>
      <c r="C2899" s="2">
        <v>823.10170000000005</v>
      </c>
      <c r="D2899" s="2">
        <f>HYPERLINK("http://mcb-m6.bioreg.kyushu-u.ac.jp/M3/20110414/F50943/2358/1", 97.4)</f>
        <v>97.4</v>
      </c>
      <c r="E2899" s="2">
        <v>83.64</v>
      </c>
      <c r="F2899" s="2">
        <v>2</v>
      </c>
      <c r="G2899" s="2" t="s">
        <v>11</v>
      </c>
    </row>
    <row r="2900" spans="1:8" x14ac:dyDescent="0.2">
      <c r="A2900" s="2" t="s">
        <v>4495</v>
      </c>
      <c r="B2900" s="2" t="s">
        <v>2474</v>
      </c>
      <c r="C2900" s="2">
        <v>840.78769999999997</v>
      </c>
      <c r="D2900" s="2">
        <f>HYPERLINK("http://mcb-m6.bioreg.kyushu-u.ac.jp/M3/20110414/F50943/2435/1", 75.05)</f>
        <v>75.05</v>
      </c>
      <c r="E2900" s="2">
        <v>66.8</v>
      </c>
      <c r="F2900" s="2">
        <v>2</v>
      </c>
      <c r="G2900" s="2" t="s">
        <v>11</v>
      </c>
    </row>
    <row r="2901" spans="1:8" x14ac:dyDescent="0.2">
      <c r="A2901" s="2" t="s">
        <v>4495</v>
      </c>
      <c r="B2901" s="2" t="s">
        <v>2474</v>
      </c>
      <c r="C2901" s="2">
        <v>841.33219999999994</v>
      </c>
      <c r="D2901" s="2">
        <f>HYPERLINK("http://mcb-m6.bioreg.kyushu-u.ac.jp/M3/20110414/F50943/2436/1", 105.57)</f>
        <v>105.57</v>
      </c>
      <c r="E2901" s="2">
        <v>90.98</v>
      </c>
      <c r="F2901" s="2">
        <v>2</v>
      </c>
      <c r="G2901" s="2" t="s">
        <v>11</v>
      </c>
    </row>
    <row r="2902" spans="1:8" x14ac:dyDescent="0.2">
      <c r="A2902" s="2" t="s">
        <v>3921</v>
      </c>
      <c r="B2902" s="2" t="s">
        <v>1096</v>
      </c>
      <c r="C2902" s="2">
        <v>1319.7860000000001</v>
      </c>
      <c r="D2902" s="2">
        <f>HYPERLINK("http://mcb-m6.bioreg.kyushu-u.ac.jp/M3/20110411/F50895/1678/1", 62.91)</f>
        <v>62.91</v>
      </c>
      <c r="E2902" s="2">
        <v>38.729999999999997</v>
      </c>
      <c r="F2902" s="2">
        <v>1</v>
      </c>
      <c r="G2902" s="2" t="s">
        <v>9</v>
      </c>
    </row>
    <row r="2903" spans="1:8" x14ac:dyDescent="0.2">
      <c r="A2903" s="2" t="s">
        <v>3921</v>
      </c>
      <c r="B2903" s="2" t="s">
        <v>1096</v>
      </c>
      <c r="C2903" s="2">
        <v>660.68020000000001</v>
      </c>
      <c r="D2903" s="2">
        <f>HYPERLINK("http://mcb-m6.bioreg.kyushu-u.ac.jp/M3/20110411/F50911/1651/1", 70.64)</f>
        <v>70.64</v>
      </c>
      <c r="E2903" s="2">
        <v>45.79</v>
      </c>
      <c r="F2903" s="2">
        <v>2</v>
      </c>
      <c r="G2903" s="2" t="s">
        <v>9</v>
      </c>
    </row>
    <row r="2904" spans="1:8" x14ac:dyDescent="0.2">
      <c r="A2904" s="2" t="s">
        <v>3921</v>
      </c>
      <c r="B2904" s="2" t="s">
        <v>1096</v>
      </c>
      <c r="C2904" s="2">
        <v>660.43409999999994</v>
      </c>
      <c r="D2904" s="2">
        <f>HYPERLINK("http://mcb-m6.bioreg.kyushu-u.ac.jp/M3/20110411/F50895/1679/1", 82)</f>
        <v>82</v>
      </c>
      <c r="E2904" s="2">
        <v>42.31</v>
      </c>
      <c r="F2904" s="2">
        <v>2</v>
      </c>
      <c r="G2904" s="2" t="s">
        <v>9</v>
      </c>
    </row>
    <row r="2905" spans="1:8" x14ac:dyDescent="0.2">
      <c r="A2905" s="2" t="s">
        <v>3921</v>
      </c>
      <c r="B2905" s="2" t="s">
        <v>1096</v>
      </c>
      <c r="C2905" s="2">
        <v>660.47670000000005</v>
      </c>
      <c r="D2905" s="2">
        <f>HYPERLINK("http://mcb-m6.bioreg.kyushu-u.ac.jp/M3/20110411/F50905/1609/1", 83.76)</f>
        <v>83.76</v>
      </c>
      <c r="E2905" s="2">
        <v>57.74</v>
      </c>
      <c r="F2905" s="2">
        <v>2</v>
      </c>
      <c r="G2905" s="2" t="s">
        <v>9</v>
      </c>
    </row>
    <row r="2906" spans="1:8" x14ac:dyDescent="0.2">
      <c r="A2906" s="2" t="s">
        <v>3921</v>
      </c>
      <c r="B2906" s="2" t="s">
        <v>1096</v>
      </c>
      <c r="C2906" s="2">
        <v>660.54859999999996</v>
      </c>
      <c r="D2906" s="2">
        <f>HYPERLINK("http://mcb-m6.bioreg.kyushu-u.ac.jp/M3/20110411/F50893/1816/1", 85.31)</f>
        <v>85.31</v>
      </c>
      <c r="E2906" s="2">
        <v>52.72</v>
      </c>
      <c r="F2906" s="2">
        <v>2</v>
      </c>
      <c r="G2906" s="2" t="s">
        <v>9</v>
      </c>
    </row>
    <row r="2907" spans="1:8" x14ac:dyDescent="0.2">
      <c r="A2907" s="2" t="s">
        <v>3921</v>
      </c>
      <c r="B2907" s="2" t="s">
        <v>1096</v>
      </c>
      <c r="C2907" s="2">
        <v>660.36360000000002</v>
      </c>
      <c r="D2907" s="2">
        <f>HYPERLINK("http://mcb-m6.bioreg.kyushu-u.ac.jp/M3/20110411/F50894/1919/1", 86.28)</f>
        <v>86.28</v>
      </c>
      <c r="E2907" s="2">
        <v>57.04</v>
      </c>
      <c r="F2907" s="2">
        <v>2</v>
      </c>
      <c r="G2907" s="2" t="s">
        <v>9</v>
      </c>
    </row>
    <row r="2908" spans="1:8" x14ac:dyDescent="0.2">
      <c r="A2908" s="2" t="s">
        <v>3921</v>
      </c>
      <c r="B2908" s="2" t="s">
        <v>1096</v>
      </c>
      <c r="C2908" s="2">
        <v>668.49519999999995</v>
      </c>
      <c r="D2908" s="2">
        <f>HYPERLINK("http://mcb-m6.bioreg.kyushu-u.ac.jp/M3/20110411/F50895/1712/1", 89.22)</f>
        <v>89.22</v>
      </c>
      <c r="E2908" s="2">
        <v>49.81</v>
      </c>
      <c r="F2908" s="2">
        <v>2</v>
      </c>
      <c r="G2908" s="2" t="s">
        <v>9</v>
      </c>
      <c r="H2908" s="2" t="s">
        <v>4917</v>
      </c>
    </row>
    <row r="2909" spans="1:8" x14ac:dyDescent="0.2">
      <c r="A2909" s="2" t="s">
        <v>3921</v>
      </c>
      <c r="B2909" s="2" t="s">
        <v>1096</v>
      </c>
      <c r="C2909" s="2">
        <v>668.59010000000001</v>
      </c>
      <c r="D2909" s="2">
        <f>HYPERLINK("http://mcb-m6.bioreg.kyushu-u.ac.jp/M3/20110411/F50905/1648/1", 91.5)</f>
        <v>91.5</v>
      </c>
      <c r="E2909" s="2">
        <v>59.58</v>
      </c>
      <c r="F2909" s="2">
        <v>2</v>
      </c>
      <c r="G2909" s="2" t="s">
        <v>9</v>
      </c>
      <c r="H2909" s="2" t="s">
        <v>4917</v>
      </c>
    </row>
    <row r="2910" spans="1:8" x14ac:dyDescent="0.2">
      <c r="A2910" s="2" t="s">
        <v>3921</v>
      </c>
      <c r="B2910" s="2" t="s">
        <v>1096</v>
      </c>
      <c r="C2910" s="2">
        <v>660.84310000000005</v>
      </c>
      <c r="D2910" s="2">
        <f>HYPERLINK("http://mcb-m6.bioreg.kyushu-u.ac.jp/M3/20110411/F50912/1664/1", 70.27)</f>
        <v>70.27</v>
      </c>
      <c r="E2910" s="2">
        <v>33.58</v>
      </c>
      <c r="F2910" s="2">
        <v>2</v>
      </c>
      <c r="G2910" s="2" t="s">
        <v>10</v>
      </c>
    </row>
    <row r="2911" spans="1:8" x14ac:dyDescent="0.2">
      <c r="A2911" s="2" t="s">
        <v>3921</v>
      </c>
      <c r="B2911" s="2" t="s">
        <v>1096</v>
      </c>
      <c r="C2911" s="2">
        <v>660.43219999999997</v>
      </c>
      <c r="D2911" s="2">
        <f>HYPERLINK("http://mcb-m6.bioreg.kyushu-u.ac.jp/M3/20110411/F50902/1673/1", 75.56)</f>
        <v>75.56</v>
      </c>
      <c r="E2911" s="2">
        <v>50.72</v>
      </c>
      <c r="F2911" s="2">
        <v>2</v>
      </c>
      <c r="G2911" s="2" t="s">
        <v>10</v>
      </c>
    </row>
    <row r="2912" spans="1:8" x14ac:dyDescent="0.2">
      <c r="A2912" s="2" t="s">
        <v>3921</v>
      </c>
      <c r="B2912" s="2" t="s">
        <v>1096</v>
      </c>
      <c r="C2912" s="2">
        <v>668.8691</v>
      </c>
      <c r="D2912" s="2">
        <f>HYPERLINK("http://mcb-m6.bioreg.kyushu-u.ac.jp/M3/20110411/F50918/1460/1", 80.61)</f>
        <v>80.61</v>
      </c>
      <c r="E2912" s="2">
        <v>59.53</v>
      </c>
      <c r="F2912" s="2">
        <v>2</v>
      </c>
      <c r="G2912" s="2" t="s">
        <v>10</v>
      </c>
      <c r="H2912" s="2" t="s">
        <v>4917</v>
      </c>
    </row>
    <row r="2913" spans="1:8" x14ac:dyDescent="0.2">
      <c r="A2913" s="2" t="s">
        <v>3921</v>
      </c>
      <c r="B2913" s="2" t="s">
        <v>1096</v>
      </c>
      <c r="C2913" s="2">
        <v>660.31269999999995</v>
      </c>
      <c r="D2913" s="2">
        <f>HYPERLINK("http://mcb-m6.bioreg.kyushu-u.ac.jp/M3/20110411/F50914/1692/1", 82.24)</f>
        <v>82.24</v>
      </c>
      <c r="E2913" s="2">
        <v>58.74</v>
      </c>
      <c r="F2913" s="2">
        <v>2</v>
      </c>
      <c r="G2913" s="2" t="s">
        <v>10</v>
      </c>
    </row>
    <row r="2914" spans="1:8" x14ac:dyDescent="0.2">
      <c r="A2914" s="2" t="s">
        <v>3921</v>
      </c>
      <c r="B2914" s="2" t="s">
        <v>1096</v>
      </c>
      <c r="C2914" s="2">
        <v>660.44709999999998</v>
      </c>
      <c r="D2914" s="2">
        <f>HYPERLINK("http://mcb-m6.bioreg.kyushu-u.ac.jp/M3/20110411/F50901/1690/1", 83.14)</f>
        <v>83.14</v>
      </c>
      <c r="E2914" s="2">
        <v>51.38</v>
      </c>
      <c r="F2914" s="2">
        <v>2</v>
      </c>
      <c r="G2914" s="2" t="s">
        <v>10</v>
      </c>
    </row>
    <row r="2915" spans="1:8" x14ac:dyDescent="0.2">
      <c r="A2915" s="2" t="s">
        <v>3921</v>
      </c>
      <c r="B2915" s="2" t="s">
        <v>1096</v>
      </c>
      <c r="C2915" s="2">
        <v>668.45420000000001</v>
      </c>
      <c r="D2915" s="2">
        <f>HYPERLINK("http://mcb-m6.bioreg.kyushu-u.ac.jp/M3/20110411/F50912/1686/1", 83.37)</f>
        <v>83.37</v>
      </c>
      <c r="E2915" s="2">
        <v>52.13</v>
      </c>
      <c r="F2915" s="2">
        <v>2</v>
      </c>
      <c r="G2915" s="2" t="s">
        <v>10</v>
      </c>
      <c r="H2915" s="2" t="s">
        <v>4917</v>
      </c>
    </row>
    <row r="2916" spans="1:8" x14ac:dyDescent="0.2">
      <c r="A2916" s="2" t="s">
        <v>3921</v>
      </c>
      <c r="B2916" s="2" t="s">
        <v>1096</v>
      </c>
      <c r="C2916" s="2">
        <v>660.44870000000003</v>
      </c>
      <c r="D2916" s="2">
        <f>HYPERLINK("http://mcb-m6.bioreg.kyushu-u.ac.jp/M3/20110411/F50913/1617/1", 85.42)</f>
        <v>85.42</v>
      </c>
      <c r="E2916" s="2">
        <v>58.6</v>
      </c>
      <c r="F2916" s="2">
        <v>2</v>
      </c>
      <c r="G2916" s="2" t="s">
        <v>10</v>
      </c>
    </row>
    <row r="2917" spans="1:8" x14ac:dyDescent="0.2">
      <c r="A2917" s="2" t="s">
        <v>3921</v>
      </c>
      <c r="B2917" s="2" t="s">
        <v>1096</v>
      </c>
      <c r="C2917" s="2">
        <v>660.8827</v>
      </c>
      <c r="D2917" s="2">
        <f>HYPERLINK("http://mcb-m6.bioreg.kyushu-u.ac.jp/M3/20110411/F50900/1826/1", 89.67)</f>
        <v>89.67</v>
      </c>
      <c r="E2917" s="2">
        <v>64.150000000000006</v>
      </c>
      <c r="F2917" s="2">
        <v>2</v>
      </c>
      <c r="G2917" s="2" t="s">
        <v>10</v>
      </c>
    </row>
    <row r="2918" spans="1:8" x14ac:dyDescent="0.2">
      <c r="A2918" s="2" t="s">
        <v>3921</v>
      </c>
      <c r="B2918" s="2" t="s">
        <v>1096</v>
      </c>
      <c r="C2918" s="2">
        <v>660.31020000000001</v>
      </c>
      <c r="D2918" s="2">
        <f>HYPERLINK("http://mcb-m6.bioreg.kyushu-u.ac.jp/M3/20110411/F50918/1411/1", 97.52)</f>
        <v>97.52</v>
      </c>
      <c r="E2918" s="2">
        <v>70.92</v>
      </c>
      <c r="F2918" s="2">
        <v>2</v>
      </c>
      <c r="G2918" s="2" t="s">
        <v>10</v>
      </c>
    </row>
    <row r="2919" spans="1:8" x14ac:dyDescent="0.2">
      <c r="A2919" s="2" t="s">
        <v>3921</v>
      </c>
      <c r="B2919" s="2" t="s">
        <v>1096</v>
      </c>
      <c r="C2919" s="2">
        <v>660.82920000000001</v>
      </c>
      <c r="D2919" s="2">
        <f>HYPERLINK("http://mcb-m6.bioreg.kyushu-u.ac.jp/M3/20110411/F50918/1415/1", 106.42)</f>
        <v>106.42</v>
      </c>
      <c r="E2919" s="2">
        <v>82.69</v>
      </c>
      <c r="F2919" s="2">
        <v>2</v>
      </c>
      <c r="G2919" s="2" t="s">
        <v>10</v>
      </c>
    </row>
    <row r="2920" spans="1:8" x14ac:dyDescent="0.2">
      <c r="A2920" s="2" t="s">
        <v>3921</v>
      </c>
      <c r="B2920" s="2" t="s">
        <v>1096</v>
      </c>
      <c r="C2920" s="2">
        <v>668.23569999999995</v>
      </c>
      <c r="D2920" s="2">
        <f>HYPERLINK("http://mcb-m6.bioreg.kyushu-u.ac.jp/M3/20110414/F50957/1390/1", 36.12)</f>
        <v>36.119999999999997</v>
      </c>
      <c r="E2920" s="2">
        <v>11.74</v>
      </c>
      <c r="F2920" s="2">
        <v>2</v>
      </c>
      <c r="G2920" s="2" t="s">
        <v>11</v>
      </c>
      <c r="H2920" s="2" t="s">
        <v>4917</v>
      </c>
    </row>
    <row r="2921" spans="1:8" x14ac:dyDescent="0.2">
      <c r="A2921" s="2" t="s">
        <v>3921</v>
      </c>
      <c r="B2921" s="2" t="s">
        <v>1096</v>
      </c>
      <c r="C2921" s="2">
        <v>660.1857</v>
      </c>
      <c r="D2921" s="2">
        <f>HYPERLINK("http://mcb-m6.bioreg.kyushu-u.ac.jp/M3/20110414/F50943/1450/1", 64.87)</f>
        <v>64.87</v>
      </c>
      <c r="E2921" s="2">
        <v>38.19</v>
      </c>
      <c r="F2921" s="2">
        <v>2</v>
      </c>
      <c r="G2921" s="2" t="s">
        <v>11</v>
      </c>
    </row>
    <row r="2922" spans="1:8" x14ac:dyDescent="0.2">
      <c r="A2922" s="2" t="s">
        <v>3921</v>
      </c>
      <c r="B2922" s="2" t="s">
        <v>1096</v>
      </c>
      <c r="C2922" s="2">
        <v>660.65260000000001</v>
      </c>
      <c r="D2922" s="2">
        <f>HYPERLINK("http://mcb-m6.bioreg.kyushu-u.ac.jp/M3/20110414/F50941/1609/1", 66.62)</f>
        <v>66.62</v>
      </c>
      <c r="E2922" s="2">
        <v>40.42</v>
      </c>
      <c r="F2922" s="2">
        <v>2</v>
      </c>
      <c r="G2922" s="2" t="s">
        <v>11</v>
      </c>
    </row>
    <row r="2923" spans="1:8" x14ac:dyDescent="0.2">
      <c r="A2923" s="2" t="s">
        <v>3921</v>
      </c>
      <c r="B2923" s="2" t="s">
        <v>1096</v>
      </c>
      <c r="C2923" s="2">
        <v>660.38170000000002</v>
      </c>
      <c r="D2923" s="2">
        <f>HYPERLINK("http://mcb-m6.bioreg.kyushu-u.ac.jp/M3/20110414/F50929/1967/1", 69.66)</f>
        <v>69.66</v>
      </c>
      <c r="E2923" s="2">
        <v>47.66</v>
      </c>
      <c r="F2923" s="2">
        <v>2</v>
      </c>
      <c r="G2923" s="2" t="s">
        <v>11</v>
      </c>
    </row>
    <row r="2924" spans="1:8" x14ac:dyDescent="0.2">
      <c r="A2924" s="2" t="s">
        <v>3921</v>
      </c>
      <c r="B2924" s="2" t="s">
        <v>1096</v>
      </c>
      <c r="C2924" s="2">
        <v>1319.5429999999999</v>
      </c>
      <c r="D2924" s="2">
        <f>HYPERLINK("http://mcb-m6.bioreg.kyushu-u.ac.jp/M3/20110414/F50943/1451/1", 77.62)</f>
        <v>77.62</v>
      </c>
      <c r="E2924" s="2">
        <v>53.91</v>
      </c>
      <c r="F2924" s="2">
        <v>1</v>
      </c>
      <c r="G2924" s="2" t="s">
        <v>11</v>
      </c>
    </row>
    <row r="2925" spans="1:8" x14ac:dyDescent="0.2">
      <c r="A2925" s="2" t="s">
        <v>3921</v>
      </c>
      <c r="B2925" s="2" t="s">
        <v>1096</v>
      </c>
      <c r="C2925" s="2">
        <v>668.58420000000001</v>
      </c>
      <c r="D2925" s="2">
        <f>HYPERLINK("http://mcb-m6.bioreg.kyushu-u.ac.jp/M3/20110414/F50943/1482/1", 84.38)</f>
        <v>84.38</v>
      </c>
      <c r="E2925" s="2">
        <v>65.930000000000007</v>
      </c>
      <c r="F2925" s="2">
        <v>2</v>
      </c>
      <c r="G2925" s="2" t="s">
        <v>11</v>
      </c>
      <c r="H2925" s="2" t="s">
        <v>4917</v>
      </c>
    </row>
    <row r="2926" spans="1:8" x14ac:dyDescent="0.2">
      <c r="A2926" s="2" t="s">
        <v>3921</v>
      </c>
      <c r="B2926" s="2" t="s">
        <v>2504</v>
      </c>
      <c r="C2926" s="2">
        <v>724.77869999999996</v>
      </c>
      <c r="D2926" s="2">
        <f>HYPERLINK("http://mcb-m6.bioreg.kyushu-u.ac.jp/M3/20110414/F50943/1779/1", 89.01)</f>
        <v>89.01</v>
      </c>
      <c r="E2926" s="2">
        <v>59.35</v>
      </c>
      <c r="F2926" s="2">
        <v>2</v>
      </c>
      <c r="G2926" s="2" t="s">
        <v>11</v>
      </c>
    </row>
    <row r="2927" spans="1:8" x14ac:dyDescent="0.2">
      <c r="A2927" s="2" t="s">
        <v>3921</v>
      </c>
      <c r="B2927" s="2" t="s">
        <v>1096</v>
      </c>
      <c r="C2927" s="2">
        <v>1319.0830000000001</v>
      </c>
      <c r="D2927" s="2">
        <f>HYPERLINK("http://mcb-m6.bioreg.kyushu-u.ac.jp/M3/20110414/F50949/1958/1", 61.96)</f>
        <v>61.96</v>
      </c>
      <c r="E2927" s="2">
        <v>35.729999999999997</v>
      </c>
      <c r="F2927" s="2">
        <v>1</v>
      </c>
      <c r="G2927" s="2" t="s">
        <v>12</v>
      </c>
    </row>
    <row r="2928" spans="1:8" x14ac:dyDescent="0.2">
      <c r="A2928" s="2" t="s">
        <v>3921</v>
      </c>
      <c r="B2928" s="2" t="s">
        <v>1096</v>
      </c>
      <c r="C2928" s="2">
        <v>668.76120000000003</v>
      </c>
      <c r="D2928" s="2">
        <f>HYPERLINK("http://mcb-m6.bioreg.kyushu-u.ac.jp/M3/20110414/F50959/1386/1", 62.12)</f>
        <v>62.12</v>
      </c>
      <c r="E2928" s="2">
        <v>36.950000000000003</v>
      </c>
      <c r="F2928" s="2">
        <v>2</v>
      </c>
      <c r="G2928" s="2" t="s">
        <v>12</v>
      </c>
      <c r="H2928" s="2" t="s">
        <v>4917</v>
      </c>
    </row>
    <row r="2929" spans="1:8" x14ac:dyDescent="0.2">
      <c r="A2929" s="2" t="s">
        <v>3921</v>
      </c>
      <c r="B2929" s="2" t="s">
        <v>1096</v>
      </c>
      <c r="C2929" s="2">
        <v>667.76570000000004</v>
      </c>
      <c r="D2929" s="2">
        <f>HYPERLINK("http://mcb-m6.bioreg.kyushu-u.ac.jp/M3/20110414/F50949/1973/1", 75.66)</f>
        <v>75.66</v>
      </c>
      <c r="E2929" s="2">
        <v>21.75</v>
      </c>
      <c r="F2929" s="2">
        <v>2</v>
      </c>
      <c r="G2929" s="2" t="s">
        <v>12</v>
      </c>
      <c r="H2929" s="2" t="s">
        <v>4917</v>
      </c>
    </row>
    <row r="2930" spans="1:8" x14ac:dyDescent="0.2">
      <c r="A2930" s="2" t="s">
        <v>3921</v>
      </c>
      <c r="B2930" s="2" t="s">
        <v>1096</v>
      </c>
      <c r="C2930" s="2">
        <v>660.69759999999997</v>
      </c>
      <c r="D2930" s="2">
        <f>HYPERLINK("http://mcb-m6.bioreg.kyushu-u.ac.jp/M3/20110414/F50959/1334/1", 80.56)</f>
        <v>80.56</v>
      </c>
      <c r="E2930" s="2">
        <v>46.11</v>
      </c>
      <c r="F2930" s="2">
        <v>2</v>
      </c>
      <c r="G2930" s="2" t="s">
        <v>12</v>
      </c>
    </row>
    <row r="2931" spans="1:8" x14ac:dyDescent="0.2">
      <c r="A2931" s="2" t="s">
        <v>3921</v>
      </c>
      <c r="B2931" s="2" t="s">
        <v>1096</v>
      </c>
      <c r="C2931" s="2">
        <v>668.32619999999997</v>
      </c>
      <c r="D2931" s="2">
        <f>HYPERLINK("http://mcb-m6.bioreg.kyushu-u.ac.jp/M3/20110414/F50947/1471/1", 84.94)</f>
        <v>84.94</v>
      </c>
      <c r="E2931" s="2">
        <v>50.01</v>
      </c>
      <c r="F2931" s="2">
        <v>2</v>
      </c>
      <c r="G2931" s="2" t="s">
        <v>12</v>
      </c>
      <c r="H2931" s="2" t="s">
        <v>4917</v>
      </c>
    </row>
    <row r="2932" spans="1:8" x14ac:dyDescent="0.2">
      <c r="A2932" s="2" t="s">
        <v>3921</v>
      </c>
      <c r="B2932" s="2" t="s">
        <v>1096</v>
      </c>
      <c r="C2932" s="2">
        <v>668.33169999999996</v>
      </c>
      <c r="D2932" s="2">
        <f>HYPERLINK("http://mcb-m6.bioreg.kyushu-u.ac.jp/M3/20110414/F50949/1976/1", 91.04)</f>
        <v>91.04</v>
      </c>
      <c r="E2932" s="2">
        <v>29.32</v>
      </c>
      <c r="F2932" s="2">
        <v>2</v>
      </c>
      <c r="G2932" s="2" t="s">
        <v>12</v>
      </c>
      <c r="H2932" s="2" t="s">
        <v>4917</v>
      </c>
    </row>
    <row r="2933" spans="1:8" x14ac:dyDescent="0.2">
      <c r="A2933" s="2" t="s">
        <v>3921</v>
      </c>
      <c r="B2933" s="2" t="s">
        <v>1096</v>
      </c>
      <c r="C2933" s="2">
        <v>668.48770000000002</v>
      </c>
      <c r="D2933" s="2">
        <f>HYPERLINK("http://mcb-m6.bioreg.kyushu-u.ac.jp/M3/20110502/F51168/1738/1", 57.84)</f>
        <v>57.84</v>
      </c>
      <c r="E2933" s="2">
        <v>36.53</v>
      </c>
      <c r="F2933" s="2">
        <v>2</v>
      </c>
      <c r="G2933" s="2" t="s">
        <v>13</v>
      </c>
      <c r="H2933" s="2" t="s">
        <v>4917</v>
      </c>
    </row>
    <row r="2934" spans="1:8" x14ac:dyDescent="0.2">
      <c r="A2934" s="2" t="s">
        <v>3921</v>
      </c>
      <c r="B2934" s="2" t="s">
        <v>1096</v>
      </c>
      <c r="C2934" s="2">
        <v>660.69209999999998</v>
      </c>
      <c r="D2934" s="2">
        <f>HYPERLINK("http://mcb-m6.bioreg.kyushu-u.ac.jp/M3/20110502/F51180/1324/1", 59.31)</f>
        <v>59.31</v>
      </c>
      <c r="E2934" s="2">
        <v>30.84</v>
      </c>
      <c r="F2934" s="2">
        <v>2</v>
      </c>
      <c r="G2934" s="2" t="s">
        <v>13</v>
      </c>
    </row>
    <row r="2935" spans="1:8" x14ac:dyDescent="0.2">
      <c r="A2935" s="2" t="s">
        <v>3921</v>
      </c>
      <c r="B2935" s="2" t="s">
        <v>1096</v>
      </c>
      <c r="C2935" s="2">
        <v>1319.8219999999999</v>
      </c>
      <c r="D2935" s="2">
        <f>HYPERLINK("http://mcb-m6.bioreg.kyushu-u.ac.jp/M3/20110502/F51173/1327/1", 65.61)</f>
        <v>65.61</v>
      </c>
      <c r="E2935" s="2">
        <v>44.06</v>
      </c>
      <c r="F2935" s="2">
        <v>1</v>
      </c>
      <c r="G2935" s="2" t="s">
        <v>13</v>
      </c>
    </row>
    <row r="2936" spans="1:8" x14ac:dyDescent="0.2">
      <c r="A2936" s="2" t="s">
        <v>3921</v>
      </c>
      <c r="B2936" s="2" t="s">
        <v>1096</v>
      </c>
      <c r="C2936" s="2">
        <v>668.62220000000002</v>
      </c>
      <c r="D2936" s="2">
        <f>HYPERLINK("http://mcb-m6.bioreg.kyushu-u.ac.jp/M3/20110502/F51174/1664/1", 85.62)</f>
        <v>85.62</v>
      </c>
      <c r="E2936" s="2">
        <v>57.33</v>
      </c>
      <c r="F2936" s="2">
        <v>2</v>
      </c>
      <c r="G2936" s="2" t="s">
        <v>13</v>
      </c>
      <c r="H2936" s="2" t="s">
        <v>4917</v>
      </c>
    </row>
    <row r="2937" spans="1:8" x14ac:dyDescent="0.2">
      <c r="A2937" s="2" t="s">
        <v>3921</v>
      </c>
      <c r="B2937" s="2" t="s">
        <v>1096</v>
      </c>
      <c r="C2937" s="2">
        <v>668.44320000000005</v>
      </c>
      <c r="D2937" s="2">
        <f>HYPERLINK("http://mcb-m6.bioreg.kyushu-u.ac.jp/M3/20110502/F51170/1695/1", 86.64)</f>
        <v>86.64</v>
      </c>
      <c r="E2937" s="2">
        <v>30.87</v>
      </c>
      <c r="F2937" s="2">
        <v>2</v>
      </c>
      <c r="G2937" s="2" t="s">
        <v>13</v>
      </c>
      <c r="H2937" s="2" t="s">
        <v>4917</v>
      </c>
    </row>
    <row r="2938" spans="1:8" x14ac:dyDescent="0.2">
      <c r="A2938" s="2" t="s">
        <v>3921</v>
      </c>
      <c r="B2938" s="2" t="s">
        <v>1096</v>
      </c>
      <c r="C2938" s="2">
        <v>660.48170000000005</v>
      </c>
      <c r="D2938" s="2">
        <f>HYPERLINK("http://mcb-m6.bioreg.kyushu-u.ac.jp/M3/20110502/F51174/1638/1", 86.98)</f>
        <v>86.98</v>
      </c>
      <c r="E2938" s="2">
        <v>53.62</v>
      </c>
      <c r="F2938" s="2">
        <v>2</v>
      </c>
      <c r="G2938" s="2" t="s">
        <v>13</v>
      </c>
    </row>
    <row r="2939" spans="1:8" x14ac:dyDescent="0.2">
      <c r="A2939" s="2" t="s">
        <v>3921</v>
      </c>
      <c r="B2939" s="2" t="s">
        <v>1096</v>
      </c>
      <c r="C2939" s="2">
        <v>668.45870000000002</v>
      </c>
      <c r="D2939" s="2">
        <f>HYPERLINK("http://mcb-m6.bioreg.kyushu-u.ac.jp/M3/20110502/F51173/1367/1", 88.22)</f>
        <v>88.22</v>
      </c>
      <c r="E2939" s="2">
        <v>59.85</v>
      </c>
      <c r="F2939" s="2">
        <v>2</v>
      </c>
      <c r="G2939" s="2" t="s">
        <v>13</v>
      </c>
      <c r="H2939" s="2" t="s">
        <v>4917</v>
      </c>
    </row>
    <row r="2940" spans="1:8" x14ac:dyDescent="0.2">
      <c r="A2940" s="2" t="s">
        <v>3921</v>
      </c>
      <c r="B2940" s="2" t="s">
        <v>1096</v>
      </c>
      <c r="C2940" s="2">
        <v>660.83669999999995</v>
      </c>
      <c r="D2940" s="2">
        <f>HYPERLINK("http://mcb-m6.bioreg.kyushu-u.ac.jp/M3/20110502/F51170/1669/1", 88.53)</f>
        <v>88.53</v>
      </c>
      <c r="E2940" s="2">
        <v>60.06</v>
      </c>
      <c r="F2940" s="2">
        <v>2</v>
      </c>
      <c r="G2940" s="2" t="s">
        <v>13</v>
      </c>
    </row>
    <row r="2941" spans="1:8" x14ac:dyDescent="0.2">
      <c r="A2941" s="2" t="s">
        <v>3921</v>
      </c>
      <c r="B2941" s="2" t="s">
        <v>1096</v>
      </c>
      <c r="C2941" s="2">
        <v>660.36360000000002</v>
      </c>
      <c r="D2941" s="2">
        <f>HYPERLINK("http://mcb-m6.bioreg.kyushu-u.ac.jp/M3/20110502/F51185/1427/1", 50.69)</f>
        <v>50.69</v>
      </c>
      <c r="E2941" s="2">
        <v>22.3</v>
      </c>
      <c r="F2941" s="2">
        <v>2</v>
      </c>
      <c r="G2941" s="2" t="s">
        <v>14</v>
      </c>
    </row>
    <row r="2942" spans="1:8" x14ac:dyDescent="0.2">
      <c r="A2942" s="2" t="s">
        <v>3921</v>
      </c>
      <c r="B2942" s="2" t="s">
        <v>1096</v>
      </c>
      <c r="C2942" s="2">
        <v>668.58969999999999</v>
      </c>
      <c r="D2942" s="2">
        <f>HYPERLINK("http://mcb-m6.bioreg.kyushu-u.ac.jp/M3/20110502/F51184/1370/1", 65.23)</f>
        <v>65.23</v>
      </c>
      <c r="E2942" s="2">
        <v>26.69</v>
      </c>
      <c r="F2942" s="2">
        <v>2</v>
      </c>
      <c r="G2942" s="2" t="s">
        <v>14</v>
      </c>
      <c r="H2942" s="2" t="s">
        <v>4917</v>
      </c>
    </row>
    <row r="2943" spans="1:8" x14ac:dyDescent="0.2">
      <c r="A2943" s="2" t="s">
        <v>3921</v>
      </c>
      <c r="B2943" s="2" t="s">
        <v>1096</v>
      </c>
      <c r="C2943" s="2">
        <v>660.55219999999997</v>
      </c>
      <c r="D2943" s="2">
        <f>HYPERLINK("http://mcb-m6.bioreg.kyushu-u.ac.jp/M3/20110502/F51182/1353/1", 70.66)</f>
        <v>70.66</v>
      </c>
      <c r="E2943" s="2">
        <v>45.58</v>
      </c>
      <c r="F2943" s="2">
        <v>2</v>
      </c>
      <c r="G2943" s="2" t="s">
        <v>14</v>
      </c>
    </row>
    <row r="2944" spans="1:8" x14ac:dyDescent="0.2">
      <c r="A2944" s="2" t="s">
        <v>3921</v>
      </c>
      <c r="B2944" s="2" t="s">
        <v>1096</v>
      </c>
      <c r="C2944" s="2">
        <v>660.76369999999997</v>
      </c>
      <c r="D2944" s="2">
        <f>HYPERLINK("http://mcb-m6.bioreg.kyushu-u.ac.jp/M3/20110502/F51183/1433/1", 72.17)</f>
        <v>72.17</v>
      </c>
      <c r="E2944" s="2">
        <v>34.22</v>
      </c>
      <c r="F2944" s="2">
        <v>2</v>
      </c>
      <c r="G2944" s="2" t="s">
        <v>14</v>
      </c>
    </row>
    <row r="2945" spans="1:8" x14ac:dyDescent="0.2">
      <c r="A2945" s="2" t="s">
        <v>3921</v>
      </c>
      <c r="B2945" s="2" t="s">
        <v>1096</v>
      </c>
      <c r="C2945" s="2">
        <v>660.6857</v>
      </c>
      <c r="D2945" s="2">
        <f>HYPERLINK("http://mcb-m6.bioreg.kyushu-u.ac.jp/M3/20110502/F51179/1311/1", 75.75)</f>
        <v>75.75</v>
      </c>
      <c r="E2945" s="2">
        <v>48.86</v>
      </c>
      <c r="F2945" s="2">
        <v>2</v>
      </c>
      <c r="G2945" s="2" t="s">
        <v>14</v>
      </c>
    </row>
    <row r="2946" spans="1:8" x14ac:dyDescent="0.2">
      <c r="A2946" s="2" t="s">
        <v>3921</v>
      </c>
      <c r="B2946" s="2" t="s">
        <v>1096</v>
      </c>
      <c r="C2946" s="2">
        <v>668.78120000000001</v>
      </c>
      <c r="D2946" s="2">
        <f>HYPERLINK("http://mcb-m6.bioreg.kyushu-u.ac.jp/M3/20110502/F51185/1470/1", 92.17)</f>
        <v>92.17</v>
      </c>
      <c r="E2946" s="2">
        <v>59.45</v>
      </c>
      <c r="F2946" s="2">
        <v>2</v>
      </c>
      <c r="G2946" s="2" t="s">
        <v>14</v>
      </c>
      <c r="H2946" s="2" t="s">
        <v>4917</v>
      </c>
    </row>
    <row r="2947" spans="1:8" x14ac:dyDescent="0.2">
      <c r="A2947" s="2" t="s">
        <v>3656</v>
      </c>
      <c r="B2947" s="2" t="s">
        <v>589</v>
      </c>
      <c r="C2947" s="2">
        <v>613.31590000000006</v>
      </c>
      <c r="D2947" s="2">
        <f>HYPERLINK("http://mcb-m6.bioreg.kyushu-u.ac.jp/M3/20110411/F50895/2919/1", 45.59)</f>
        <v>45.59</v>
      </c>
      <c r="E2947" s="2">
        <v>33.28</v>
      </c>
      <c r="F2947" s="2">
        <v>3</v>
      </c>
      <c r="G2947" s="2" t="s">
        <v>9</v>
      </c>
      <c r="H2947" s="2" t="s">
        <v>4917</v>
      </c>
    </row>
    <row r="2948" spans="1:8" x14ac:dyDescent="0.2">
      <c r="A2948" s="2" t="s">
        <v>3656</v>
      </c>
      <c r="B2948" s="2" t="s">
        <v>1574</v>
      </c>
      <c r="C2948" s="2">
        <v>902.42169999999999</v>
      </c>
      <c r="D2948" s="2">
        <f>HYPERLINK("http://mcb-m6.bioreg.kyushu-u.ac.jp/M3/20110411/F50895/2842/1", 93.97)</f>
        <v>93.97</v>
      </c>
      <c r="E2948" s="2">
        <v>69.97</v>
      </c>
      <c r="F2948" s="2">
        <v>2</v>
      </c>
      <c r="G2948" s="2" t="s">
        <v>9</v>
      </c>
    </row>
    <row r="2949" spans="1:8" x14ac:dyDescent="0.2">
      <c r="A2949" s="2" t="s">
        <v>3656</v>
      </c>
      <c r="B2949" s="2" t="s">
        <v>589</v>
      </c>
      <c r="C2949" s="2">
        <v>919.01670000000001</v>
      </c>
      <c r="D2949" s="2">
        <f>HYPERLINK("http://mcb-m6.bioreg.kyushu-u.ac.jp/M3/20110411/F50905/2940/1", 94.39)</f>
        <v>94.39</v>
      </c>
      <c r="E2949" s="2">
        <v>73.36</v>
      </c>
      <c r="F2949" s="2">
        <v>2</v>
      </c>
      <c r="G2949" s="2" t="s">
        <v>9</v>
      </c>
      <c r="H2949" s="2" t="s">
        <v>4917</v>
      </c>
    </row>
    <row r="2950" spans="1:8" x14ac:dyDescent="0.2">
      <c r="A2950" s="2" t="s">
        <v>3656</v>
      </c>
      <c r="B2950" s="2" t="s">
        <v>589</v>
      </c>
      <c r="C2950" s="2">
        <v>911.26170000000002</v>
      </c>
      <c r="D2950" s="2">
        <f>HYPERLINK("http://mcb-m6.bioreg.kyushu-u.ac.jp/M3/20110411/F50893/2857/1", 95.12)</f>
        <v>95.12</v>
      </c>
      <c r="E2950" s="2">
        <v>74.95</v>
      </c>
      <c r="F2950" s="2">
        <v>2</v>
      </c>
      <c r="G2950" s="2" t="s">
        <v>9</v>
      </c>
    </row>
    <row r="2951" spans="1:8" x14ac:dyDescent="0.2">
      <c r="A2951" s="2" t="s">
        <v>3656</v>
      </c>
      <c r="B2951" s="2" t="s">
        <v>589</v>
      </c>
      <c r="C2951" s="2">
        <v>910.85720000000003</v>
      </c>
      <c r="D2951" s="2">
        <f>HYPERLINK("http://mcb-m6.bioreg.kyushu-u.ac.jp/M3/20110411/F50892/2864/1", 102.75)</f>
        <v>102.75</v>
      </c>
      <c r="E2951" s="2">
        <v>88.69</v>
      </c>
      <c r="F2951" s="2">
        <v>2</v>
      </c>
      <c r="G2951" s="2" t="s">
        <v>9</v>
      </c>
    </row>
    <row r="2952" spans="1:8" x14ac:dyDescent="0.2">
      <c r="A2952" s="2" t="s">
        <v>3656</v>
      </c>
      <c r="B2952" s="2" t="s">
        <v>589</v>
      </c>
      <c r="C2952" s="2">
        <v>911.0992</v>
      </c>
      <c r="D2952" s="2">
        <f>HYPERLINK("http://mcb-m6.bioreg.kyushu-u.ac.jp/M3/20110411/F50895/2873/1", 112.3)</f>
        <v>112.3</v>
      </c>
      <c r="E2952" s="2">
        <v>103.53</v>
      </c>
      <c r="F2952" s="2">
        <v>2</v>
      </c>
      <c r="G2952" s="2" t="s">
        <v>9</v>
      </c>
    </row>
    <row r="2953" spans="1:8" x14ac:dyDescent="0.2">
      <c r="A2953" s="2" t="s">
        <v>3656</v>
      </c>
      <c r="B2953" s="2" t="s">
        <v>589</v>
      </c>
      <c r="C2953" s="2">
        <v>911.08920000000001</v>
      </c>
      <c r="D2953" s="2">
        <f>HYPERLINK("http://mcb-m6.bioreg.kyushu-u.ac.jp/M3/20110411/F50905/2901/1", 115.92)</f>
        <v>115.92</v>
      </c>
      <c r="E2953" s="2">
        <v>102.53</v>
      </c>
      <c r="F2953" s="2">
        <v>2</v>
      </c>
      <c r="G2953" s="2" t="s">
        <v>9</v>
      </c>
    </row>
    <row r="2954" spans="1:8" x14ac:dyDescent="0.2">
      <c r="A2954" s="2" t="s">
        <v>3656</v>
      </c>
      <c r="B2954" s="2" t="s">
        <v>589</v>
      </c>
      <c r="C2954" s="2">
        <v>911.52560000000005</v>
      </c>
      <c r="D2954" s="2">
        <f>HYPERLINK("http://mcb-m6.bioreg.kyushu-u.ac.jp/M3/20110411/F50894/2814/1", 117.44)</f>
        <v>117.44</v>
      </c>
      <c r="E2954" s="2">
        <v>99.5</v>
      </c>
      <c r="F2954" s="2">
        <v>2</v>
      </c>
      <c r="G2954" s="2" t="s">
        <v>9</v>
      </c>
    </row>
    <row r="2955" spans="1:8" x14ac:dyDescent="0.2">
      <c r="A2955" s="2" t="s">
        <v>3656</v>
      </c>
      <c r="B2955" s="2" t="s">
        <v>589</v>
      </c>
      <c r="C2955" s="2">
        <v>911.08320000000003</v>
      </c>
      <c r="D2955" s="2">
        <f>HYPERLINK("http://mcb-m6.bioreg.kyushu-u.ac.jp/M3/20110411/F50894/2812/1", 138.59)</f>
        <v>138.59</v>
      </c>
      <c r="E2955" s="2">
        <v>119.13</v>
      </c>
      <c r="F2955" s="2">
        <v>2</v>
      </c>
      <c r="G2955" s="2" t="s">
        <v>9</v>
      </c>
    </row>
    <row r="2956" spans="1:8" x14ac:dyDescent="0.2">
      <c r="A2956" s="2" t="s">
        <v>3656</v>
      </c>
      <c r="B2956" s="2" t="s">
        <v>589</v>
      </c>
      <c r="C2956" s="2">
        <v>919.49959999999999</v>
      </c>
      <c r="D2956" s="2">
        <f>HYPERLINK("http://mcb-m6.bioreg.kyushu-u.ac.jp/M3/20110411/F50893/2893/1", 142.44)</f>
        <v>142.44</v>
      </c>
      <c r="E2956" s="2">
        <v>114.42</v>
      </c>
      <c r="F2956" s="2">
        <v>2</v>
      </c>
      <c r="G2956" s="2" t="s">
        <v>9</v>
      </c>
      <c r="H2956" s="2" t="s">
        <v>4917</v>
      </c>
    </row>
    <row r="2957" spans="1:8" x14ac:dyDescent="0.2">
      <c r="A2957" s="2" t="s">
        <v>3656</v>
      </c>
      <c r="B2957" s="2" t="s">
        <v>589</v>
      </c>
      <c r="C2957" s="2">
        <v>919.29470000000003</v>
      </c>
      <c r="D2957" s="2">
        <f>HYPERLINK("http://mcb-m6.bioreg.kyushu-u.ac.jp/M3/20110411/F50894/2842/1", 156.91)</f>
        <v>156.91</v>
      </c>
      <c r="E2957" s="2">
        <v>128.99</v>
      </c>
      <c r="F2957" s="2">
        <v>2</v>
      </c>
      <c r="G2957" s="2" t="s">
        <v>9</v>
      </c>
      <c r="H2957" s="2" t="s">
        <v>4917</v>
      </c>
    </row>
    <row r="2958" spans="1:8" x14ac:dyDescent="0.2">
      <c r="A2958" s="2" t="s">
        <v>3656</v>
      </c>
      <c r="B2958" s="2" t="s">
        <v>1574</v>
      </c>
      <c r="C2958" s="2">
        <v>911.00319999999999</v>
      </c>
      <c r="D2958" s="2">
        <f>HYPERLINK("http://mcb-m6.bioreg.kyushu-u.ac.jp/M3/20110411/F50902/2854/1", 43.56)</f>
        <v>43.56</v>
      </c>
      <c r="E2958" s="2">
        <v>12.75</v>
      </c>
      <c r="F2958" s="2">
        <v>2</v>
      </c>
      <c r="G2958" s="2" t="s">
        <v>10</v>
      </c>
      <c r="H2958" s="2" t="s">
        <v>4917</v>
      </c>
    </row>
    <row r="2959" spans="1:8" x14ac:dyDescent="0.2">
      <c r="A2959" s="2" t="s">
        <v>3656</v>
      </c>
      <c r="B2959" s="2" t="s">
        <v>589</v>
      </c>
      <c r="C2959" s="2">
        <v>918.85360000000003</v>
      </c>
      <c r="D2959" s="2">
        <f>HYPERLINK("http://mcb-m6.bioreg.kyushu-u.ac.jp/M3/20110411/F50898/2750/1", 47.98)</f>
        <v>47.98</v>
      </c>
      <c r="E2959" s="2">
        <v>36.979999999999997</v>
      </c>
      <c r="F2959" s="2">
        <v>2</v>
      </c>
      <c r="G2959" s="2" t="s">
        <v>10</v>
      </c>
      <c r="H2959" s="2" t="s">
        <v>4917</v>
      </c>
    </row>
    <row r="2960" spans="1:8" x14ac:dyDescent="0.2">
      <c r="A2960" s="2" t="s">
        <v>3656</v>
      </c>
      <c r="B2960" s="2" t="s">
        <v>2051</v>
      </c>
      <c r="C2960" s="2">
        <v>688.47270000000003</v>
      </c>
      <c r="D2960" s="2">
        <f>HYPERLINK("http://mcb-m6.bioreg.kyushu-u.ac.jp/M3/20110411/F50901/1809/1", 69.3)</f>
        <v>69.3</v>
      </c>
      <c r="E2960" s="2">
        <v>47.17</v>
      </c>
      <c r="F2960" s="2">
        <v>2</v>
      </c>
      <c r="G2960" s="2" t="s">
        <v>10</v>
      </c>
      <c r="H2960" s="2" t="s">
        <v>4891</v>
      </c>
    </row>
    <row r="2961" spans="1:8" x14ac:dyDescent="0.2">
      <c r="A2961" s="2" t="s">
        <v>3656</v>
      </c>
      <c r="B2961" s="2" t="s">
        <v>2075</v>
      </c>
      <c r="C2961" s="2">
        <v>552.37450000000001</v>
      </c>
      <c r="D2961" s="2">
        <f>HYPERLINK("http://mcb-m6.bioreg.kyushu-u.ac.jp/M3/20110411/F50918/2303/1", 74.4)</f>
        <v>74.400000000000006</v>
      </c>
      <c r="E2961" s="2">
        <v>52.02</v>
      </c>
      <c r="F2961" s="2">
        <v>3</v>
      </c>
      <c r="G2961" s="2" t="s">
        <v>10</v>
      </c>
    </row>
    <row r="2962" spans="1:8" x14ac:dyDescent="0.2">
      <c r="A2962" s="2" t="s">
        <v>3656</v>
      </c>
      <c r="B2962" s="2" t="s">
        <v>589</v>
      </c>
      <c r="C2962" s="2">
        <v>911.00319999999999</v>
      </c>
      <c r="D2962" s="2">
        <f>HYPERLINK("http://mcb-m6.bioreg.kyushu-u.ac.jp/M3/20110411/F50900/2766/1", 82.13)</f>
        <v>82.13</v>
      </c>
      <c r="E2962" s="2">
        <v>73.22</v>
      </c>
      <c r="F2962" s="2">
        <v>2</v>
      </c>
      <c r="G2962" s="2" t="s">
        <v>10</v>
      </c>
    </row>
    <row r="2963" spans="1:8" x14ac:dyDescent="0.2">
      <c r="A2963" s="2" t="s">
        <v>3656</v>
      </c>
      <c r="B2963" s="2" t="s">
        <v>2075</v>
      </c>
      <c r="C2963" s="2">
        <v>828.01419999999996</v>
      </c>
      <c r="D2963" s="2">
        <f>HYPERLINK("http://mcb-m6.bioreg.kyushu-u.ac.jp/M3/20110411/F50918/2302/1", 91.17)</f>
        <v>91.17</v>
      </c>
      <c r="E2963" s="2">
        <v>71.569999999999993</v>
      </c>
      <c r="F2963" s="2">
        <v>2</v>
      </c>
      <c r="G2963" s="2" t="s">
        <v>10</v>
      </c>
    </row>
    <row r="2964" spans="1:8" x14ac:dyDescent="0.2">
      <c r="A2964" s="2" t="s">
        <v>3656</v>
      </c>
      <c r="B2964" s="2" t="s">
        <v>589</v>
      </c>
      <c r="C2964" s="2">
        <v>911.11720000000003</v>
      </c>
      <c r="D2964" s="2">
        <f>HYPERLINK("http://mcb-m6.bioreg.kyushu-u.ac.jp/M3/20110411/F50902/2855/1", 92.34)</f>
        <v>92.34</v>
      </c>
      <c r="E2964" s="2">
        <v>77.53</v>
      </c>
      <c r="F2964" s="2">
        <v>2</v>
      </c>
      <c r="G2964" s="2" t="s">
        <v>10</v>
      </c>
    </row>
    <row r="2965" spans="1:8" x14ac:dyDescent="0.2">
      <c r="A2965" s="2" t="s">
        <v>3656</v>
      </c>
      <c r="B2965" s="2" t="s">
        <v>589</v>
      </c>
      <c r="C2965" s="2">
        <v>911.33510000000001</v>
      </c>
      <c r="D2965" s="2">
        <f>HYPERLINK("http://mcb-m6.bioreg.kyushu-u.ac.jp/M3/20110411/F50901/2739/1", 93.58)</f>
        <v>93.58</v>
      </c>
      <c r="E2965" s="2">
        <v>75.010000000000005</v>
      </c>
      <c r="F2965" s="2">
        <v>2</v>
      </c>
      <c r="G2965" s="2" t="s">
        <v>10</v>
      </c>
    </row>
    <row r="2966" spans="1:8" x14ac:dyDescent="0.2">
      <c r="A2966" s="2" t="s">
        <v>3656</v>
      </c>
      <c r="B2966" s="2" t="s">
        <v>589</v>
      </c>
      <c r="C2966" s="2">
        <v>911.26260000000002</v>
      </c>
      <c r="D2966" s="2">
        <f>HYPERLINK("http://mcb-m6.bioreg.kyushu-u.ac.jp/M3/20110411/F50913/2840/1", 114.9)</f>
        <v>114.9</v>
      </c>
      <c r="E2966" s="2">
        <v>100.31</v>
      </c>
      <c r="F2966" s="2">
        <v>2</v>
      </c>
      <c r="G2966" s="2" t="s">
        <v>10</v>
      </c>
    </row>
    <row r="2967" spans="1:8" x14ac:dyDescent="0.2">
      <c r="A2967" s="2" t="s">
        <v>3656</v>
      </c>
      <c r="B2967" s="2" t="s">
        <v>589</v>
      </c>
      <c r="C2967" s="2">
        <v>919.11069999999995</v>
      </c>
      <c r="D2967" s="2">
        <f>HYPERLINK("http://mcb-m6.bioreg.kyushu-u.ac.jp/M3/20110411/F50902/2882/1", 117.09)</f>
        <v>117.09</v>
      </c>
      <c r="E2967" s="2">
        <v>96.63</v>
      </c>
      <c r="F2967" s="2">
        <v>2</v>
      </c>
      <c r="G2967" s="2" t="s">
        <v>10</v>
      </c>
      <c r="H2967" s="2" t="s">
        <v>4917</v>
      </c>
    </row>
    <row r="2968" spans="1:8" x14ac:dyDescent="0.2">
      <c r="A2968" s="2" t="s">
        <v>3656</v>
      </c>
      <c r="B2968" s="2" t="s">
        <v>589</v>
      </c>
      <c r="C2968" s="2">
        <v>918.98069999999996</v>
      </c>
      <c r="D2968" s="2">
        <f>HYPERLINK("http://mcb-m6.bioreg.kyushu-u.ac.jp/M3/20110411/F50918/2727/1", 126.28)</f>
        <v>126.28</v>
      </c>
      <c r="E2968" s="2">
        <v>105.17</v>
      </c>
      <c r="F2968" s="2">
        <v>2</v>
      </c>
      <c r="G2968" s="2" t="s">
        <v>10</v>
      </c>
      <c r="H2968" s="2" t="s">
        <v>4917</v>
      </c>
    </row>
    <row r="2969" spans="1:8" x14ac:dyDescent="0.2">
      <c r="A2969" s="2" t="s">
        <v>3656</v>
      </c>
      <c r="B2969" s="2" t="s">
        <v>589</v>
      </c>
      <c r="C2969" s="2">
        <v>919.04909999999995</v>
      </c>
      <c r="D2969" s="2">
        <f>HYPERLINK("http://mcb-m6.bioreg.kyushu-u.ac.jp/M3/20110411/F50900/2796/1", 126.32)</f>
        <v>126.32</v>
      </c>
      <c r="E2969" s="2">
        <v>108.65</v>
      </c>
      <c r="F2969" s="2">
        <v>2</v>
      </c>
      <c r="G2969" s="2" t="s">
        <v>10</v>
      </c>
      <c r="H2969" s="2" t="s">
        <v>4917</v>
      </c>
    </row>
    <row r="2970" spans="1:8" x14ac:dyDescent="0.2">
      <c r="A2970" s="2" t="s">
        <v>3656</v>
      </c>
      <c r="B2970" s="2" t="s">
        <v>589</v>
      </c>
      <c r="C2970" s="2">
        <v>919.32709999999997</v>
      </c>
      <c r="D2970" s="2">
        <f>HYPERLINK("http://mcb-m6.bioreg.kyushu-u.ac.jp/M3/20110411/F50901/2772/1", 131.56)</f>
        <v>131.56</v>
      </c>
      <c r="E2970" s="2">
        <v>110.08</v>
      </c>
      <c r="F2970" s="2">
        <v>2</v>
      </c>
      <c r="G2970" s="2" t="s">
        <v>10</v>
      </c>
      <c r="H2970" s="2" t="s">
        <v>4917</v>
      </c>
    </row>
    <row r="2971" spans="1:8" x14ac:dyDescent="0.2">
      <c r="A2971" s="2" t="s">
        <v>3656</v>
      </c>
      <c r="B2971" s="2" t="s">
        <v>589</v>
      </c>
      <c r="C2971" s="2">
        <v>919.0992</v>
      </c>
      <c r="D2971" s="2">
        <f>HYPERLINK("http://mcb-m6.bioreg.kyushu-u.ac.jp/M3/20110411/F50913/2875/1", 140.29)</f>
        <v>140.29</v>
      </c>
      <c r="E2971" s="2">
        <v>119.71</v>
      </c>
      <c r="F2971" s="2">
        <v>2</v>
      </c>
      <c r="G2971" s="2" t="s">
        <v>10</v>
      </c>
      <c r="H2971" s="2" t="s">
        <v>4917</v>
      </c>
    </row>
    <row r="2972" spans="1:8" x14ac:dyDescent="0.2">
      <c r="A2972" s="2" t="s">
        <v>3656</v>
      </c>
      <c r="B2972" s="2" t="s">
        <v>589</v>
      </c>
      <c r="C2972" s="2">
        <v>919.50620000000004</v>
      </c>
      <c r="D2972" s="2">
        <f>HYPERLINK("http://mcb-m6.bioreg.kyushu-u.ac.jp/M3/20110411/F50918/2731/1", 141.87)</f>
        <v>141.87</v>
      </c>
      <c r="E2972" s="2">
        <v>121.33</v>
      </c>
      <c r="F2972" s="2">
        <v>2</v>
      </c>
      <c r="G2972" s="2" t="s">
        <v>10</v>
      </c>
      <c r="H2972" s="2" t="s">
        <v>4917</v>
      </c>
    </row>
    <row r="2973" spans="1:8" x14ac:dyDescent="0.2">
      <c r="A2973" s="2" t="s">
        <v>3656</v>
      </c>
      <c r="B2973" s="2" t="s">
        <v>589</v>
      </c>
      <c r="C2973" s="2">
        <v>911.01210000000003</v>
      </c>
      <c r="D2973" s="2">
        <f>HYPERLINK("http://mcb-m6.bioreg.kyushu-u.ac.jp/M3/20110411/F50918/2680/1", 145)</f>
        <v>145</v>
      </c>
      <c r="E2973" s="2">
        <v>133.38999999999999</v>
      </c>
      <c r="F2973" s="2">
        <v>2</v>
      </c>
      <c r="G2973" s="2" t="s">
        <v>10</v>
      </c>
    </row>
    <row r="2974" spans="1:8" x14ac:dyDescent="0.2">
      <c r="A2974" s="2" t="s">
        <v>3656</v>
      </c>
      <c r="B2974" s="2" t="s">
        <v>589</v>
      </c>
      <c r="C2974" s="2">
        <v>911.29470000000003</v>
      </c>
      <c r="D2974" s="2">
        <f>HYPERLINK("http://mcb-m6.bioreg.kyushu-u.ac.jp/M3/20110414/F50944/2697/1", 38.4)</f>
        <v>38.4</v>
      </c>
      <c r="E2974" s="2">
        <v>30.48</v>
      </c>
      <c r="F2974" s="2">
        <v>2</v>
      </c>
      <c r="G2974" s="2" t="s">
        <v>11</v>
      </c>
    </row>
    <row r="2975" spans="1:8" x14ac:dyDescent="0.2">
      <c r="A2975" s="2" t="s">
        <v>3656</v>
      </c>
      <c r="B2975" s="2" t="s">
        <v>2051</v>
      </c>
      <c r="C2975" s="2">
        <v>688.2731</v>
      </c>
      <c r="D2975" s="2">
        <f>HYPERLINK("http://mcb-m6.bioreg.kyushu-u.ac.jp/M3/20110414/F50943/1567/1", 43.37)</f>
        <v>43.37</v>
      </c>
      <c r="E2975" s="2">
        <v>29.41</v>
      </c>
      <c r="F2975" s="2">
        <v>2</v>
      </c>
      <c r="G2975" s="2" t="s">
        <v>11</v>
      </c>
      <c r="H2975" s="2" t="s">
        <v>4891</v>
      </c>
    </row>
    <row r="2976" spans="1:8" x14ac:dyDescent="0.2">
      <c r="A2976" s="2" t="s">
        <v>3656</v>
      </c>
      <c r="B2976" s="2" t="s">
        <v>1574</v>
      </c>
      <c r="C2976" s="2">
        <v>902.36320000000001</v>
      </c>
      <c r="D2976" s="2">
        <f>HYPERLINK("http://mcb-m6.bioreg.kyushu-u.ac.jp/M3/20110414/F50943/2736/1", 61.53)</f>
        <v>61.53</v>
      </c>
      <c r="E2976" s="2">
        <v>36.85</v>
      </c>
      <c r="F2976" s="2">
        <v>2</v>
      </c>
      <c r="G2976" s="2" t="s">
        <v>11</v>
      </c>
    </row>
    <row r="2977" spans="1:8" x14ac:dyDescent="0.2">
      <c r="A2977" s="2" t="s">
        <v>3656</v>
      </c>
      <c r="B2977" s="2" t="s">
        <v>1574</v>
      </c>
      <c r="C2977" s="2">
        <v>902.24069999999995</v>
      </c>
      <c r="D2977" s="2">
        <f>HYPERLINK("http://mcb-m6.bioreg.kyushu-u.ac.jp/M3/20110414/F50957/2920/1", 62.92)</f>
        <v>62.92</v>
      </c>
      <c r="E2977" s="2">
        <v>38.64</v>
      </c>
      <c r="F2977" s="2">
        <v>2</v>
      </c>
      <c r="G2977" s="2" t="s">
        <v>11</v>
      </c>
    </row>
    <row r="2978" spans="1:8" x14ac:dyDescent="0.2">
      <c r="A2978" s="2" t="s">
        <v>3656</v>
      </c>
      <c r="B2978" s="2" t="s">
        <v>2051</v>
      </c>
      <c r="C2978" s="2">
        <v>680.78269999999998</v>
      </c>
      <c r="D2978" s="2">
        <f>HYPERLINK("http://mcb-m6.bioreg.kyushu-u.ac.jp/M3/20110414/F50943/1527/1", 70.15)</f>
        <v>70.150000000000006</v>
      </c>
      <c r="E2978" s="2">
        <v>37.9</v>
      </c>
      <c r="F2978" s="2">
        <v>2</v>
      </c>
      <c r="G2978" s="2" t="s">
        <v>11</v>
      </c>
    </row>
    <row r="2979" spans="1:8" x14ac:dyDescent="0.2">
      <c r="A2979" s="2" t="s">
        <v>3656</v>
      </c>
      <c r="B2979" s="2" t="s">
        <v>589</v>
      </c>
      <c r="C2979" s="2">
        <v>910.77620000000002</v>
      </c>
      <c r="D2979" s="2">
        <f>HYPERLINK("http://mcb-m6.bioreg.kyushu-u.ac.jp/M3/20110414/F50957/2959/1", 73.11)</f>
        <v>73.11</v>
      </c>
      <c r="E2979" s="2">
        <v>65.5</v>
      </c>
      <c r="F2979" s="2">
        <v>2</v>
      </c>
      <c r="G2979" s="2" t="s">
        <v>11</v>
      </c>
    </row>
    <row r="2980" spans="1:8" x14ac:dyDescent="0.2">
      <c r="A2980" s="2" t="s">
        <v>3656</v>
      </c>
      <c r="B2980" s="2" t="s">
        <v>1574</v>
      </c>
      <c r="C2980" s="2">
        <v>910.57069999999999</v>
      </c>
      <c r="D2980" s="2">
        <f>HYPERLINK("http://mcb-m6.bioreg.kyushu-u.ac.jp/M3/20110414/F50943/2774/1", 74.39)</f>
        <v>74.39</v>
      </c>
      <c r="E2980" s="2">
        <v>49.25</v>
      </c>
      <c r="F2980" s="2">
        <v>2</v>
      </c>
      <c r="G2980" s="2" t="s">
        <v>11</v>
      </c>
      <c r="H2980" s="2" t="s">
        <v>4917</v>
      </c>
    </row>
    <row r="2981" spans="1:8" x14ac:dyDescent="0.2">
      <c r="A2981" s="2" t="s">
        <v>3656</v>
      </c>
      <c r="B2981" s="2" t="s">
        <v>589</v>
      </c>
      <c r="C2981" s="2">
        <v>918.76819999999998</v>
      </c>
      <c r="D2981" s="2">
        <f>HYPERLINK("http://mcb-m6.bioreg.kyushu-u.ac.jp/M3/20110414/F50941/3076/1", 90.86)</f>
        <v>90.86</v>
      </c>
      <c r="E2981" s="2">
        <v>70.569999999999993</v>
      </c>
      <c r="F2981" s="2">
        <v>2</v>
      </c>
      <c r="G2981" s="2" t="s">
        <v>11</v>
      </c>
      <c r="H2981" s="2" t="s">
        <v>4917</v>
      </c>
    </row>
    <row r="2982" spans="1:8" x14ac:dyDescent="0.2">
      <c r="A2982" s="2" t="s">
        <v>3656</v>
      </c>
      <c r="B2982" s="2" t="s">
        <v>589</v>
      </c>
      <c r="C2982" s="2">
        <v>918.83420000000001</v>
      </c>
      <c r="D2982" s="2">
        <f>HYPERLINK("http://mcb-m6.bioreg.kyushu-u.ac.jp/M3/20110414/F50944/2728/1", 116.59)</f>
        <v>116.59</v>
      </c>
      <c r="E2982" s="2">
        <v>94.62</v>
      </c>
      <c r="F2982" s="2">
        <v>2</v>
      </c>
      <c r="G2982" s="2" t="s">
        <v>11</v>
      </c>
      <c r="H2982" s="2" t="s">
        <v>4917</v>
      </c>
    </row>
    <row r="2983" spans="1:8" x14ac:dyDescent="0.2">
      <c r="A2983" s="2" t="s">
        <v>3656</v>
      </c>
      <c r="B2983" s="2" t="s">
        <v>589</v>
      </c>
      <c r="C2983" s="2">
        <v>910.87660000000005</v>
      </c>
      <c r="D2983" s="2">
        <f>HYPERLINK("http://mcb-m6.bioreg.kyushu-u.ac.jp/M3/20110414/F50944/2696/1", 123.02)</f>
        <v>123.02</v>
      </c>
      <c r="E2983" s="2">
        <v>107.89</v>
      </c>
      <c r="F2983" s="2">
        <v>2</v>
      </c>
      <c r="G2983" s="2" t="s">
        <v>11</v>
      </c>
    </row>
    <row r="2984" spans="1:8" x14ac:dyDescent="0.2">
      <c r="A2984" s="2" t="s">
        <v>3656</v>
      </c>
      <c r="B2984" s="2" t="s">
        <v>589</v>
      </c>
      <c r="C2984" s="2">
        <v>910.87819999999999</v>
      </c>
      <c r="D2984" s="2">
        <f>HYPERLINK("http://mcb-m6.bioreg.kyushu-u.ac.jp/M3/20110414/F50943/2775/1", 123.7)</f>
        <v>123.7</v>
      </c>
      <c r="E2984" s="2">
        <v>109.62</v>
      </c>
      <c r="F2984" s="2">
        <v>2</v>
      </c>
      <c r="G2984" s="2" t="s">
        <v>11</v>
      </c>
    </row>
    <row r="2985" spans="1:8" x14ac:dyDescent="0.2">
      <c r="A2985" s="2" t="s">
        <v>3656</v>
      </c>
      <c r="B2985" s="2" t="s">
        <v>589</v>
      </c>
      <c r="C2985" s="2">
        <v>918.79520000000002</v>
      </c>
      <c r="D2985" s="2">
        <f>HYPERLINK("http://mcb-m6.bioreg.kyushu-u.ac.jp/M3/20110414/F50943/2817/1", 148.59)</f>
        <v>148.59</v>
      </c>
      <c r="E2985" s="2">
        <v>129.38</v>
      </c>
      <c r="F2985" s="2">
        <v>2</v>
      </c>
      <c r="G2985" s="2" t="s">
        <v>11</v>
      </c>
      <c r="H2985" s="2" t="s">
        <v>4917</v>
      </c>
    </row>
    <row r="2986" spans="1:8" x14ac:dyDescent="0.2">
      <c r="A2986" s="2" t="s">
        <v>3656</v>
      </c>
      <c r="B2986" s="2" t="s">
        <v>589</v>
      </c>
      <c r="C2986" s="2">
        <v>911.27970000000005</v>
      </c>
      <c r="D2986" s="2">
        <f>HYPERLINK("http://mcb-m6.bioreg.kyushu-u.ac.jp/M3/20110414/F50957/2963/1", 160.49)</f>
        <v>160.49</v>
      </c>
      <c r="E2986" s="2">
        <v>152.13</v>
      </c>
      <c r="F2986" s="2">
        <v>2</v>
      </c>
      <c r="G2986" s="2" t="s">
        <v>11</v>
      </c>
    </row>
    <row r="2987" spans="1:8" x14ac:dyDescent="0.2">
      <c r="A2987" s="2" t="s">
        <v>3656</v>
      </c>
      <c r="B2987" s="2" t="s">
        <v>589</v>
      </c>
      <c r="C2987" s="2">
        <v>911.54470000000003</v>
      </c>
      <c r="D2987" s="2">
        <f>HYPERLINK("http://mcb-m6.bioreg.kyushu-u.ac.jp/M3/20110414/F50950/3084/1", 58.93)</f>
        <v>58.93</v>
      </c>
      <c r="E2987" s="2">
        <v>52.19</v>
      </c>
      <c r="F2987" s="2">
        <v>2</v>
      </c>
      <c r="G2987" s="2" t="s">
        <v>12</v>
      </c>
    </row>
    <row r="2988" spans="1:8" x14ac:dyDescent="0.2">
      <c r="A2988" s="2" t="s">
        <v>3656</v>
      </c>
      <c r="B2988" s="2" t="s">
        <v>1574</v>
      </c>
      <c r="C2988" s="2">
        <v>902.99659999999994</v>
      </c>
      <c r="D2988" s="2">
        <f>HYPERLINK("http://mcb-m6.bioreg.kyushu-u.ac.jp/M3/20110414/F50947/2924/1", 59.7)</f>
        <v>59.7</v>
      </c>
      <c r="E2988" s="2">
        <v>36</v>
      </c>
      <c r="F2988" s="2">
        <v>2</v>
      </c>
      <c r="G2988" s="2" t="s">
        <v>12</v>
      </c>
    </row>
    <row r="2989" spans="1:8" x14ac:dyDescent="0.2">
      <c r="A2989" s="2" t="s">
        <v>3656</v>
      </c>
      <c r="B2989" s="2" t="s">
        <v>589</v>
      </c>
      <c r="C2989" s="2">
        <v>910.47310000000004</v>
      </c>
      <c r="D2989" s="2">
        <f>HYPERLINK("http://mcb-m6.bioreg.kyushu-u.ac.jp/M3/20110414/F50949/2442/1", 60.52)</f>
        <v>60.52</v>
      </c>
      <c r="E2989" s="2">
        <v>45.91</v>
      </c>
      <c r="F2989" s="2">
        <v>2</v>
      </c>
      <c r="G2989" s="2" t="s">
        <v>12</v>
      </c>
    </row>
    <row r="2990" spans="1:8" x14ac:dyDescent="0.2">
      <c r="A2990" s="2" t="s">
        <v>3656</v>
      </c>
      <c r="B2990" s="2" t="s">
        <v>589</v>
      </c>
      <c r="C2990" s="2">
        <v>919.37459999999999</v>
      </c>
      <c r="D2990" s="2">
        <f>HYPERLINK("http://mcb-m6.bioreg.kyushu-u.ac.jp/M3/20110414/F50950/3123/1", 72.27)</f>
        <v>72.27</v>
      </c>
      <c r="E2990" s="2">
        <v>52.85</v>
      </c>
      <c r="F2990" s="2">
        <v>2</v>
      </c>
      <c r="G2990" s="2" t="s">
        <v>12</v>
      </c>
      <c r="H2990" s="2" t="s">
        <v>4917</v>
      </c>
    </row>
    <row r="2991" spans="1:8" x14ac:dyDescent="0.2">
      <c r="A2991" s="2" t="s">
        <v>3656</v>
      </c>
      <c r="B2991" s="2" t="s">
        <v>589</v>
      </c>
      <c r="C2991" s="2">
        <v>918.83759999999995</v>
      </c>
      <c r="D2991" s="2">
        <f>HYPERLINK("http://mcb-m6.bioreg.kyushu-u.ac.jp/M3/20110414/F50959/3105/1", 75.44)</f>
        <v>75.44</v>
      </c>
      <c r="E2991" s="2">
        <v>57.83</v>
      </c>
      <c r="F2991" s="2">
        <v>2</v>
      </c>
      <c r="G2991" s="2" t="s">
        <v>12</v>
      </c>
      <c r="H2991" s="2" t="s">
        <v>4917</v>
      </c>
    </row>
    <row r="2992" spans="1:8" x14ac:dyDescent="0.2">
      <c r="A2992" s="2" t="s">
        <v>3656</v>
      </c>
      <c r="B2992" s="2" t="s">
        <v>589</v>
      </c>
      <c r="C2992" s="2">
        <v>910.98720000000003</v>
      </c>
      <c r="D2992" s="2">
        <f>HYPERLINK("http://mcb-m6.bioreg.kyushu-u.ac.jp/M3/20110414/F50947/2957/1", 76.97)</f>
        <v>76.97</v>
      </c>
      <c r="E2992" s="2">
        <v>66.489999999999995</v>
      </c>
      <c r="F2992" s="2">
        <v>2</v>
      </c>
      <c r="G2992" s="2" t="s">
        <v>12</v>
      </c>
    </row>
    <row r="2993" spans="1:8" x14ac:dyDescent="0.2">
      <c r="A2993" s="2" t="s">
        <v>3656</v>
      </c>
      <c r="B2993" s="2" t="s">
        <v>589</v>
      </c>
      <c r="C2993" s="2">
        <v>910.82370000000003</v>
      </c>
      <c r="D2993" s="2">
        <f>HYPERLINK("http://mcb-m6.bioreg.kyushu-u.ac.jp/M3/20110414/F50959/3044/1", 93.25)</f>
        <v>93.25</v>
      </c>
      <c r="E2993" s="2">
        <v>76.260000000000005</v>
      </c>
      <c r="F2993" s="2">
        <v>2</v>
      </c>
      <c r="G2993" s="2" t="s">
        <v>12</v>
      </c>
    </row>
    <row r="2994" spans="1:8" x14ac:dyDescent="0.2">
      <c r="A2994" s="2" t="s">
        <v>3656</v>
      </c>
      <c r="B2994" s="2" t="s">
        <v>589</v>
      </c>
      <c r="C2994" s="2">
        <v>911.25519999999995</v>
      </c>
      <c r="D2994" s="2">
        <f>HYPERLINK("http://mcb-m6.bioreg.kyushu-u.ac.jp/M3/20110414/F50958/3162/1", 94.64)</f>
        <v>94.64</v>
      </c>
      <c r="E2994" s="2">
        <v>82.68</v>
      </c>
      <c r="F2994" s="2">
        <v>2</v>
      </c>
      <c r="G2994" s="2" t="s">
        <v>12</v>
      </c>
    </row>
    <row r="2995" spans="1:8" x14ac:dyDescent="0.2">
      <c r="A2995" s="2" t="s">
        <v>3656</v>
      </c>
      <c r="B2995" s="2" t="s">
        <v>589</v>
      </c>
      <c r="C2995" s="2">
        <v>918.40309999999999</v>
      </c>
      <c r="D2995" s="2">
        <f>HYPERLINK("http://mcb-m6.bioreg.kyushu-u.ac.jp/M3/20110414/F50950/3118/1", 99.03)</f>
        <v>99.03</v>
      </c>
      <c r="E2995" s="2">
        <v>78.34</v>
      </c>
      <c r="F2995" s="2">
        <v>2</v>
      </c>
      <c r="G2995" s="2" t="s">
        <v>12</v>
      </c>
      <c r="H2995" s="2" t="s">
        <v>4917</v>
      </c>
    </row>
    <row r="2996" spans="1:8" x14ac:dyDescent="0.2">
      <c r="A2996" s="2" t="s">
        <v>3656</v>
      </c>
      <c r="B2996" s="2" t="s">
        <v>589</v>
      </c>
      <c r="C2996" s="2">
        <v>918.97609999999997</v>
      </c>
      <c r="D2996" s="2">
        <f>HYPERLINK("http://mcb-m6.bioreg.kyushu-u.ac.jp/M3/20110414/F50950/3121/1", 115.35)</f>
        <v>115.35</v>
      </c>
      <c r="E2996" s="2">
        <v>87</v>
      </c>
      <c r="F2996" s="2">
        <v>2</v>
      </c>
      <c r="G2996" s="2" t="s">
        <v>12</v>
      </c>
      <c r="H2996" s="2" t="s">
        <v>4917</v>
      </c>
    </row>
    <row r="2997" spans="1:8" x14ac:dyDescent="0.2">
      <c r="A2997" s="2" t="s">
        <v>3656</v>
      </c>
      <c r="B2997" s="2" t="s">
        <v>2051</v>
      </c>
      <c r="C2997" s="2">
        <v>688.52509999999995</v>
      </c>
      <c r="D2997" s="2">
        <f>HYPERLINK("http://mcb-m6.bioreg.kyushu-u.ac.jp/M3/20110502/F51173/1496/1", 43.77)</f>
        <v>43.77</v>
      </c>
      <c r="E2997" s="2">
        <v>21.94</v>
      </c>
      <c r="F2997" s="2">
        <v>2</v>
      </c>
      <c r="G2997" s="2" t="s">
        <v>13</v>
      </c>
      <c r="H2997" s="2" t="s">
        <v>4891</v>
      </c>
    </row>
    <row r="2998" spans="1:8" x14ac:dyDescent="0.2">
      <c r="A2998" s="2" t="s">
        <v>3656</v>
      </c>
      <c r="B2998" s="2" t="s">
        <v>1574</v>
      </c>
      <c r="C2998" s="2">
        <v>602.13419999999996</v>
      </c>
      <c r="D2998" s="2">
        <f>HYPERLINK("http://mcb-m6.bioreg.kyushu-u.ac.jp/M3/20110502/F51173/2787/1", 47.08)</f>
        <v>47.08</v>
      </c>
      <c r="E2998" s="2">
        <v>30.43</v>
      </c>
      <c r="F2998" s="2">
        <v>3</v>
      </c>
      <c r="G2998" s="2" t="s">
        <v>13</v>
      </c>
    </row>
    <row r="2999" spans="1:8" x14ac:dyDescent="0.2">
      <c r="A2999" s="2" t="s">
        <v>3656</v>
      </c>
      <c r="B2999" s="2" t="s">
        <v>2051</v>
      </c>
      <c r="C2999" s="2">
        <v>680.60820000000001</v>
      </c>
      <c r="D2999" s="2">
        <f>HYPERLINK("http://mcb-m6.bioreg.kyushu-u.ac.jp/M3/20110502/F51173/1433/1", 50.08)</f>
        <v>50.08</v>
      </c>
      <c r="E2999" s="2">
        <v>25.7</v>
      </c>
      <c r="F2999" s="2">
        <v>2</v>
      </c>
      <c r="G2999" s="2" t="s">
        <v>13</v>
      </c>
    </row>
    <row r="3000" spans="1:8" x14ac:dyDescent="0.2">
      <c r="A3000" s="2" t="s">
        <v>3656</v>
      </c>
      <c r="B3000" s="2" t="s">
        <v>1574</v>
      </c>
      <c r="C3000" s="2">
        <v>902.5367</v>
      </c>
      <c r="D3000" s="2">
        <f>HYPERLINK("http://mcb-m6.bioreg.kyushu-u.ac.jp/M3/20110502/F51173/2784/1", 58.17)</f>
        <v>58.17</v>
      </c>
      <c r="E3000" s="2">
        <v>29.12</v>
      </c>
      <c r="F3000" s="2">
        <v>2</v>
      </c>
      <c r="G3000" s="2" t="s">
        <v>13</v>
      </c>
    </row>
    <row r="3001" spans="1:8" x14ac:dyDescent="0.2">
      <c r="A3001" s="2" t="s">
        <v>3656</v>
      </c>
      <c r="B3001" s="2" t="s">
        <v>589</v>
      </c>
      <c r="C3001" s="2">
        <v>911.12660000000005</v>
      </c>
      <c r="D3001" s="2">
        <f>HYPERLINK("http://mcb-m6.bioreg.kyushu-u.ac.jp/M3/20110502/F51174/2542/1", 60.25)</f>
        <v>60.25</v>
      </c>
      <c r="E3001" s="2">
        <v>48.06</v>
      </c>
      <c r="F3001" s="2">
        <v>2</v>
      </c>
      <c r="G3001" s="2" t="s">
        <v>13</v>
      </c>
    </row>
    <row r="3002" spans="1:8" x14ac:dyDescent="0.2">
      <c r="A3002" s="2" t="s">
        <v>3656</v>
      </c>
      <c r="B3002" s="2" t="s">
        <v>589</v>
      </c>
      <c r="C3002" s="2">
        <v>911.05719999999997</v>
      </c>
      <c r="D3002" s="2">
        <f>HYPERLINK("http://mcb-m6.bioreg.kyushu-u.ac.jp/M3/20110502/F51175/2561/1", 108.09)</f>
        <v>108.09</v>
      </c>
      <c r="E3002" s="2">
        <v>96.7</v>
      </c>
      <c r="F3002" s="2">
        <v>2</v>
      </c>
      <c r="G3002" s="2" t="s">
        <v>13</v>
      </c>
    </row>
    <row r="3003" spans="1:8" x14ac:dyDescent="0.2">
      <c r="A3003" s="2" t="s">
        <v>3656</v>
      </c>
      <c r="B3003" s="2" t="s">
        <v>589</v>
      </c>
      <c r="C3003" s="2">
        <v>919.11410000000001</v>
      </c>
      <c r="D3003" s="2">
        <f>HYPERLINK("http://mcb-m6.bioreg.kyushu-u.ac.jp/M3/20110502/F51173/2869/1", 112.24)</f>
        <v>112.24</v>
      </c>
      <c r="E3003" s="2">
        <v>94.47</v>
      </c>
      <c r="F3003" s="2">
        <v>2</v>
      </c>
      <c r="G3003" s="2" t="s">
        <v>13</v>
      </c>
      <c r="H3003" s="2" t="s">
        <v>4917</v>
      </c>
    </row>
    <row r="3004" spans="1:8" x14ac:dyDescent="0.2">
      <c r="A3004" s="2" t="s">
        <v>3656</v>
      </c>
      <c r="B3004" s="2" t="s">
        <v>589</v>
      </c>
      <c r="C3004" s="2">
        <v>919.15920000000006</v>
      </c>
      <c r="D3004" s="2">
        <f>HYPERLINK("http://mcb-m6.bioreg.kyushu-u.ac.jp/M3/20110502/F51174/2571/1", 160.06)</f>
        <v>160.06</v>
      </c>
      <c r="E3004" s="2">
        <v>138.77000000000001</v>
      </c>
      <c r="F3004" s="2">
        <v>2</v>
      </c>
      <c r="G3004" s="2" t="s">
        <v>13</v>
      </c>
      <c r="H3004" s="2" t="s">
        <v>4917</v>
      </c>
    </row>
    <row r="3005" spans="1:8" x14ac:dyDescent="0.2">
      <c r="A3005" s="2" t="s">
        <v>3656</v>
      </c>
      <c r="B3005" s="2" t="s">
        <v>589</v>
      </c>
      <c r="C3005" s="2">
        <v>919.51419999999996</v>
      </c>
      <c r="D3005" s="2">
        <f>HYPERLINK("http://mcb-m6.bioreg.kyushu-u.ac.jp/M3/20110502/F51185/2746/1", 41.17)</f>
        <v>41.17</v>
      </c>
      <c r="E3005" s="2">
        <v>20.309999999999999</v>
      </c>
      <c r="F3005" s="2">
        <v>2</v>
      </c>
      <c r="G3005" s="2" t="s">
        <v>14</v>
      </c>
      <c r="H3005" s="2" t="s">
        <v>4917</v>
      </c>
    </row>
    <row r="3006" spans="1:8" x14ac:dyDescent="0.2">
      <c r="A3006" s="2" t="s">
        <v>3656</v>
      </c>
      <c r="B3006" s="2" t="s">
        <v>589</v>
      </c>
      <c r="C3006" s="2">
        <v>910.93820000000005</v>
      </c>
      <c r="D3006" s="2">
        <f>HYPERLINK("http://mcb-m6.bioreg.kyushu-u.ac.jp/M3/20110502/F51185/2696/1", 45.2)</f>
        <v>45.2</v>
      </c>
      <c r="E3006" s="2">
        <v>36.97</v>
      </c>
      <c r="F3006" s="2">
        <v>2</v>
      </c>
      <c r="G3006" s="2" t="s">
        <v>14</v>
      </c>
    </row>
    <row r="3007" spans="1:8" x14ac:dyDescent="0.2">
      <c r="A3007" s="2" t="s">
        <v>3656</v>
      </c>
      <c r="B3007" s="2" t="s">
        <v>589</v>
      </c>
      <c r="C3007" s="2">
        <v>911.44759999999997</v>
      </c>
      <c r="D3007" s="2">
        <f>HYPERLINK("http://mcb-m6.bioreg.kyushu-u.ac.jp/M3/20110502/F51186/2566/1", 117.39)</f>
        <v>117.39</v>
      </c>
      <c r="E3007" s="2">
        <v>104.18</v>
      </c>
      <c r="F3007" s="2">
        <v>2</v>
      </c>
      <c r="G3007" s="2" t="s">
        <v>14</v>
      </c>
    </row>
    <row r="3008" spans="1:8" x14ac:dyDescent="0.2">
      <c r="A3008" s="2" t="s">
        <v>3656</v>
      </c>
      <c r="B3008" s="2" t="s">
        <v>589</v>
      </c>
      <c r="C3008" s="2">
        <v>919.11069999999995</v>
      </c>
      <c r="D3008" s="2">
        <f>HYPERLINK("http://mcb-m6.bioreg.kyushu-u.ac.jp/M3/20110502/F51185/2741/1", 123.16)</f>
        <v>123.16</v>
      </c>
      <c r="E3008" s="2">
        <v>93.56</v>
      </c>
      <c r="F3008" s="2">
        <v>2</v>
      </c>
      <c r="G3008" s="2" t="s">
        <v>14</v>
      </c>
      <c r="H3008" s="2" t="s">
        <v>4917</v>
      </c>
    </row>
    <row r="3009" spans="1:8" x14ac:dyDescent="0.2">
      <c r="A3009" s="2" t="s">
        <v>3656</v>
      </c>
      <c r="B3009" s="2" t="s">
        <v>589</v>
      </c>
      <c r="C3009" s="2">
        <v>919.11869999999999</v>
      </c>
      <c r="D3009" s="2">
        <f>HYPERLINK("http://mcb-m6.bioreg.kyushu-u.ac.jp/M3/20110502/F51184/2904/1", 136.04)</f>
        <v>136.04</v>
      </c>
      <c r="E3009" s="2">
        <v>96.35</v>
      </c>
      <c r="F3009" s="2">
        <v>2</v>
      </c>
      <c r="G3009" s="2" t="s">
        <v>14</v>
      </c>
      <c r="H3009" s="2" t="s">
        <v>4917</v>
      </c>
    </row>
    <row r="3010" spans="1:8" x14ac:dyDescent="0.2">
      <c r="A3010" s="2" t="s">
        <v>3656</v>
      </c>
      <c r="B3010" s="2" t="s">
        <v>589</v>
      </c>
      <c r="C3010" s="2">
        <v>919.10059999999999</v>
      </c>
      <c r="D3010" s="2">
        <f>HYPERLINK("http://mcb-m6.bioreg.kyushu-u.ac.jp/M3/20110502/F51179/2790/1", 165.85)</f>
        <v>165.85</v>
      </c>
      <c r="E3010" s="2">
        <v>141.1</v>
      </c>
      <c r="F3010" s="2">
        <v>2</v>
      </c>
      <c r="G3010" s="2" t="s">
        <v>14</v>
      </c>
      <c r="H3010" s="2" t="s">
        <v>4917</v>
      </c>
    </row>
    <row r="3011" spans="1:8" x14ac:dyDescent="0.2">
      <c r="A3011" s="2" t="s">
        <v>3323</v>
      </c>
      <c r="B3011" s="2" t="s">
        <v>109</v>
      </c>
      <c r="C3011" s="2">
        <v>580.28420000000006</v>
      </c>
      <c r="D3011" s="2">
        <f>HYPERLINK("http://mcb-m6.bioreg.kyushu-u.ac.jp/M3/20110411/F50894/1685/1", 36.18)</f>
        <v>36.18</v>
      </c>
      <c r="E3011" s="2">
        <v>11.39</v>
      </c>
      <c r="F3011" s="2">
        <v>2</v>
      </c>
      <c r="G3011" s="2" t="s">
        <v>9</v>
      </c>
    </row>
    <row r="3012" spans="1:8" x14ac:dyDescent="0.2">
      <c r="A3012" s="2" t="s">
        <v>3323</v>
      </c>
      <c r="B3012" s="2" t="s">
        <v>109</v>
      </c>
      <c r="C3012" s="2">
        <v>579.99109999999996</v>
      </c>
      <c r="D3012" s="2">
        <f>HYPERLINK("http://mcb-m6.bioreg.kyushu-u.ac.jp/M3/20110411/F50895/1344/1", 41.85)</f>
        <v>41.85</v>
      </c>
      <c r="E3012" s="2">
        <v>12.21</v>
      </c>
      <c r="F3012" s="2">
        <v>2</v>
      </c>
      <c r="G3012" s="2" t="s">
        <v>9</v>
      </c>
    </row>
    <row r="3013" spans="1:8" x14ac:dyDescent="0.2">
      <c r="A3013" s="2" t="s">
        <v>3323</v>
      </c>
      <c r="B3013" s="2" t="s">
        <v>109</v>
      </c>
      <c r="C3013" s="2">
        <v>1158.837</v>
      </c>
      <c r="D3013" s="2">
        <f>HYPERLINK("http://mcb-m6.bioreg.kyushu-u.ac.jp/M3/20110411/F50895/1342/1", 42.32)</f>
        <v>42.32</v>
      </c>
      <c r="E3013" s="2">
        <v>8.06</v>
      </c>
      <c r="F3013" s="2">
        <v>1</v>
      </c>
      <c r="G3013" s="2" t="s">
        <v>9</v>
      </c>
    </row>
    <row r="3014" spans="1:8" x14ac:dyDescent="0.2">
      <c r="A3014" s="2" t="s">
        <v>3323</v>
      </c>
      <c r="B3014" s="2" t="s">
        <v>109</v>
      </c>
      <c r="C3014" s="2">
        <v>580.06709999999998</v>
      </c>
      <c r="D3014" s="2">
        <f>HYPERLINK("http://mcb-m6.bioreg.kyushu-u.ac.jp/M3/20110411/F50905/1278/1", 49.07)</f>
        <v>49.07</v>
      </c>
      <c r="E3014" s="2">
        <v>21.26</v>
      </c>
      <c r="F3014" s="2">
        <v>2</v>
      </c>
      <c r="G3014" s="2" t="s">
        <v>9</v>
      </c>
    </row>
    <row r="3015" spans="1:8" x14ac:dyDescent="0.2">
      <c r="A3015" s="2" t="s">
        <v>3323</v>
      </c>
      <c r="B3015" s="2" t="s">
        <v>109</v>
      </c>
      <c r="C3015" s="2">
        <v>580.14319999999998</v>
      </c>
      <c r="D3015" s="2">
        <f>HYPERLINK("http://mcb-m6.bioreg.kyushu-u.ac.jp/M3/20110411/F50893/1556/1", 53.13)</f>
        <v>53.13</v>
      </c>
      <c r="E3015" s="2">
        <v>25.77</v>
      </c>
      <c r="F3015" s="2">
        <v>2</v>
      </c>
      <c r="G3015" s="2" t="s">
        <v>9</v>
      </c>
    </row>
    <row r="3016" spans="1:8" x14ac:dyDescent="0.2">
      <c r="A3016" s="2" t="s">
        <v>3323</v>
      </c>
      <c r="B3016" s="2" t="s">
        <v>109</v>
      </c>
      <c r="C3016" s="2">
        <v>580.02470000000005</v>
      </c>
      <c r="D3016" s="2">
        <f>HYPERLINK("http://mcb-m6.bioreg.kyushu-u.ac.jp/M3/20110411/F50892/1565/1", 54.53)</f>
        <v>54.53</v>
      </c>
      <c r="E3016" s="2">
        <v>31.53</v>
      </c>
      <c r="F3016" s="2">
        <v>2</v>
      </c>
      <c r="G3016" s="2" t="s">
        <v>9</v>
      </c>
    </row>
    <row r="3017" spans="1:8" x14ac:dyDescent="0.2">
      <c r="A3017" s="2" t="s">
        <v>3323</v>
      </c>
      <c r="B3017" s="2" t="s">
        <v>109</v>
      </c>
      <c r="C3017" s="2">
        <v>579.95669999999996</v>
      </c>
      <c r="D3017" s="2">
        <f>HYPERLINK("http://mcb-m6.bioreg.kyushu-u.ac.jp/M3/20110411/F50916/1088/1", 55.94)</f>
        <v>55.94</v>
      </c>
      <c r="E3017" s="2">
        <v>33.450000000000003</v>
      </c>
      <c r="F3017" s="2">
        <v>2</v>
      </c>
      <c r="G3017" s="2" t="s">
        <v>9</v>
      </c>
    </row>
    <row r="3018" spans="1:8" x14ac:dyDescent="0.2">
      <c r="A3018" s="2" t="s">
        <v>3323</v>
      </c>
      <c r="B3018" s="2" t="s">
        <v>109</v>
      </c>
      <c r="C3018" s="2">
        <v>579.97609999999997</v>
      </c>
      <c r="D3018" s="2">
        <f>HYPERLINK("http://mcb-m6.bioreg.kyushu-u.ac.jp/M3/20110411/F50894/1682/1", 66.85)</f>
        <v>66.849999999999994</v>
      </c>
      <c r="E3018" s="2">
        <v>29.94</v>
      </c>
      <c r="F3018" s="2">
        <v>2</v>
      </c>
      <c r="G3018" s="2" t="s">
        <v>9</v>
      </c>
    </row>
    <row r="3019" spans="1:8" x14ac:dyDescent="0.2">
      <c r="A3019" s="2" t="s">
        <v>3323</v>
      </c>
      <c r="B3019" s="2" t="s">
        <v>1692</v>
      </c>
      <c r="C3019" s="2">
        <v>817.38099999999997</v>
      </c>
      <c r="D3019" s="2">
        <f>HYPERLINK("http://mcb-m6.bioreg.kyushu-u.ac.jp/M3/20110411/F50918/565/1", 35.26)</f>
        <v>35.26</v>
      </c>
      <c r="E3019" s="2">
        <v>12.71</v>
      </c>
      <c r="F3019" s="2">
        <v>1</v>
      </c>
      <c r="G3019" s="2" t="s">
        <v>10</v>
      </c>
    </row>
    <row r="3020" spans="1:8" x14ac:dyDescent="0.2">
      <c r="A3020" s="2" t="s">
        <v>3323</v>
      </c>
      <c r="B3020" s="2" t="s">
        <v>109</v>
      </c>
      <c r="C3020" s="2">
        <v>579.92610000000002</v>
      </c>
      <c r="D3020" s="2">
        <f>HYPERLINK("http://mcb-m6.bioreg.kyushu-u.ac.jp/M3/20110411/F50914/1359/1", 42.85)</f>
        <v>42.85</v>
      </c>
      <c r="E3020" s="2">
        <v>19.510000000000002</v>
      </c>
      <c r="F3020" s="2">
        <v>2</v>
      </c>
      <c r="G3020" s="2" t="s">
        <v>10</v>
      </c>
    </row>
    <row r="3021" spans="1:8" x14ac:dyDescent="0.2">
      <c r="A3021" s="2" t="s">
        <v>3323</v>
      </c>
      <c r="B3021" s="2" t="s">
        <v>109</v>
      </c>
      <c r="C3021" s="2">
        <v>580.4307</v>
      </c>
      <c r="D3021" s="2">
        <f>HYPERLINK("http://mcb-m6.bioreg.kyushu-u.ac.jp/M3/20110411/F50914/1362/1", 52.73)</f>
        <v>52.73</v>
      </c>
      <c r="E3021" s="2">
        <v>30.7</v>
      </c>
      <c r="F3021" s="2">
        <v>2</v>
      </c>
      <c r="G3021" s="2" t="s">
        <v>10</v>
      </c>
    </row>
    <row r="3022" spans="1:8" x14ac:dyDescent="0.2">
      <c r="A3022" s="2" t="s">
        <v>3323</v>
      </c>
      <c r="B3022" s="2" t="s">
        <v>109</v>
      </c>
      <c r="C3022" s="2">
        <v>1159.2180000000001</v>
      </c>
      <c r="D3022" s="2">
        <f>HYPERLINK("http://mcb-m6.bioreg.kyushu-u.ac.jp/M3/20110411/F50918/1069/1", 53.32)</f>
        <v>53.32</v>
      </c>
      <c r="E3022" s="2">
        <v>23.36</v>
      </c>
      <c r="F3022" s="2">
        <v>1</v>
      </c>
      <c r="G3022" s="2" t="s">
        <v>10</v>
      </c>
    </row>
    <row r="3023" spans="1:8" x14ac:dyDescent="0.2">
      <c r="A3023" s="2" t="s">
        <v>3323</v>
      </c>
      <c r="B3023" s="2" t="s">
        <v>109</v>
      </c>
      <c r="C3023" s="2">
        <v>580.02470000000005</v>
      </c>
      <c r="D3023" s="2">
        <f>HYPERLINK("http://mcb-m6.bioreg.kyushu-u.ac.jp/M3/20110411/F50901/1432/1", 54.37)</f>
        <v>54.37</v>
      </c>
      <c r="E3023" s="2">
        <v>20.88</v>
      </c>
      <c r="F3023" s="2">
        <v>2</v>
      </c>
      <c r="G3023" s="2" t="s">
        <v>10</v>
      </c>
    </row>
    <row r="3024" spans="1:8" x14ac:dyDescent="0.2">
      <c r="A3024" s="2" t="s">
        <v>3323</v>
      </c>
      <c r="B3024" s="2" t="s">
        <v>109</v>
      </c>
      <c r="C3024" s="2">
        <v>579.84770000000003</v>
      </c>
      <c r="D3024" s="2">
        <f>HYPERLINK("http://mcb-m6.bioreg.kyushu-u.ac.jp/M3/20110411/F50900/1581/1", 54.72)</f>
        <v>54.72</v>
      </c>
      <c r="E3024" s="2">
        <v>27.94</v>
      </c>
      <c r="F3024" s="2">
        <v>2</v>
      </c>
      <c r="G3024" s="2" t="s">
        <v>10</v>
      </c>
    </row>
    <row r="3025" spans="1:9" x14ac:dyDescent="0.2">
      <c r="A3025" s="2" t="s">
        <v>3323</v>
      </c>
      <c r="B3025" s="2" t="s">
        <v>109</v>
      </c>
      <c r="C3025" s="2">
        <v>580.12919999999997</v>
      </c>
      <c r="D3025" s="2">
        <f>HYPERLINK("http://mcb-m6.bioreg.kyushu-u.ac.jp/M3/20110411/F50912/1350/1", 55.1)</f>
        <v>55.1</v>
      </c>
      <c r="E3025" s="2">
        <v>23.06</v>
      </c>
      <c r="F3025" s="2">
        <v>2</v>
      </c>
      <c r="G3025" s="2" t="s">
        <v>10</v>
      </c>
    </row>
    <row r="3026" spans="1:9" x14ac:dyDescent="0.2">
      <c r="A3026" s="2" t="s">
        <v>3323</v>
      </c>
      <c r="B3026" s="2" t="s">
        <v>109</v>
      </c>
      <c r="C3026" s="2">
        <v>580.01509999999996</v>
      </c>
      <c r="D3026" s="2">
        <f>HYPERLINK("http://mcb-m6.bioreg.kyushu-u.ac.jp/M3/20110411/F50898/1740/1", 56.24)</f>
        <v>56.24</v>
      </c>
      <c r="E3026" s="2">
        <v>19.32</v>
      </c>
      <c r="F3026" s="2">
        <v>2</v>
      </c>
      <c r="G3026" s="2" t="s">
        <v>10</v>
      </c>
    </row>
    <row r="3027" spans="1:9" x14ac:dyDescent="0.2">
      <c r="A3027" s="2" t="s">
        <v>3323</v>
      </c>
      <c r="B3027" s="2" t="s">
        <v>109</v>
      </c>
      <c r="C3027" s="2">
        <v>579.93320000000006</v>
      </c>
      <c r="D3027" s="2">
        <f>HYPERLINK("http://mcb-m6.bioreg.kyushu-u.ac.jp/M3/20110411/F50918/1068/1", 58.28)</f>
        <v>58.28</v>
      </c>
      <c r="E3027" s="2">
        <v>31.45</v>
      </c>
      <c r="F3027" s="2">
        <v>2</v>
      </c>
      <c r="G3027" s="2" t="s">
        <v>10</v>
      </c>
    </row>
    <row r="3028" spans="1:9" x14ac:dyDescent="0.2">
      <c r="A3028" s="2" t="s">
        <v>3323</v>
      </c>
      <c r="B3028" s="2" t="s">
        <v>109</v>
      </c>
      <c r="C3028" s="2">
        <v>580.03470000000004</v>
      </c>
      <c r="D3028" s="2">
        <f>HYPERLINK("http://mcb-m6.bioreg.kyushu-u.ac.jp/M3/20110411/F50913/1317/1", 59.19)</f>
        <v>59.19</v>
      </c>
      <c r="E3028" s="2">
        <v>33.29</v>
      </c>
      <c r="F3028" s="2">
        <v>2</v>
      </c>
      <c r="G3028" s="2" t="s">
        <v>10</v>
      </c>
    </row>
    <row r="3029" spans="1:9" x14ac:dyDescent="0.2">
      <c r="A3029" s="2" t="s">
        <v>3323</v>
      </c>
      <c r="B3029" s="2" t="s">
        <v>109</v>
      </c>
      <c r="C3029" s="2">
        <v>580.0616</v>
      </c>
      <c r="D3029" s="2">
        <f>HYPERLINK("http://mcb-m6.bioreg.kyushu-u.ac.jp/M3/20110411/F50902/1372/1", 60.23)</f>
        <v>60.23</v>
      </c>
      <c r="E3029" s="2">
        <v>29.99</v>
      </c>
      <c r="F3029" s="2">
        <v>2</v>
      </c>
      <c r="G3029" s="2" t="s">
        <v>10</v>
      </c>
    </row>
    <row r="3030" spans="1:9" x14ac:dyDescent="0.2">
      <c r="A3030" s="2" t="s">
        <v>3323</v>
      </c>
      <c r="B3030" s="2" t="s">
        <v>109</v>
      </c>
      <c r="C3030" s="2">
        <v>1158.6010000000001</v>
      </c>
      <c r="D3030" s="2">
        <f>HYPERLINK("http://mcb-m6.bioreg.kyushu-u.ac.jp/M3/20110414/F50943/1153/1", 41.28)</f>
        <v>41.28</v>
      </c>
      <c r="E3030" s="2">
        <v>12.06</v>
      </c>
      <c r="F3030" s="2">
        <v>1</v>
      </c>
      <c r="G3030" s="2" t="s">
        <v>11</v>
      </c>
    </row>
    <row r="3031" spans="1:9" x14ac:dyDescent="0.2">
      <c r="A3031" s="2" t="s">
        <v>3323</v>
      </c>
      <c r="B3031" s="2" t="s">
        <v>109</v>
      </c>
      <c r="C3031" s="2">
        <v>579.76969999999994</v>
      </c>
      <c r="D3031" s="2">
        <f>HYPERLINK("http://mcb-m6.bioreg.kyushu-u.ac.jp/M3/20110414/F50957/891/1", 43.54)</f>
        <v>43.54</v>
      </c>
      <c r="E3031" s="2">
        <v>20.51</v>
      </c>
      <c r="F3031" s="2">
        <v>2</v>
      </c>
      <c r="G3031" s="2" t="s">
        <v>11</v>
      </c>
    </row>
    <row r="3032" spans="1:9" x14ac:dyDescent="0.2">
      <c r="A3032" s="2" t="s">
        <v>3323</v>
      </c>
      <c r="B3032" s="2" t="s">
        <v>109</v>
      </c>
      <c r="C3032" s="2">
        <v>580.24770000000001</v>
      </c>
      <c r="D3032" s="2">
        <f>HYPERLINK("http://mcb-m6.bioreg.kyushu-u.ac.jp/M3/20110414/F50943/1157/1", 52.67)</f>
        <v>52.67</v>
      </c>
      <c r="E3032" s="2">
        <v>30.12</v>
      </c>
      <c r="F3032" s="2">
        <v>2</v>
      </c>
      <c r="G3032" s="2" t="s">
        <v>11</v>
      </c>
    </row>
    <row r="3033" spans="1:9" x14ac:dyDescent="0.2">
      <c r="A3033" s="2" t="s">
        <v>3323</v>
      </c>
      <c r="B3033" s="2" t="s">
        <v>109</v>
      </c>
      <c r="C3033" s="2">
        <v>580.36659999999995</v>
      </c>
      <c r="D3033" s="2">
        <f>HYPERLINK("http://mcb-m6.bioreg.kyushu-u.ac.jp/M3/20110414/F50947/1101/1", 46.72)</f>
        <v>46.72</v>
      </c>
      <c r="E3033" s="2">
        <v>25.07</v>
      </c>
      <c r="F3033" s="2">
        <v>2</v>
      </c>
      <c r="G3033" s="2" t="s">
        <v>12</v>
      </c>
    </row>
    <row r="3034" spans="1:9" x14ac:dyDescent="0.2">
      <c r="A3034" s="2" t="s">
        <v>3323</v>
      </c>
      <c r="B3034" s="2" t="s">
        <v>109</v>
      </c>
      <c r="C3034" s="2">
        <v>579.52170000000001</v>
      </c>
      <c r="D3034" s="2">
        <f>HYPERLINK("http://mcb-m6.bioreg.kyushu-u.ac.jp/M3/20110414/F50950/1197/1", 66.72)</f>
        <v>66.72</v>
      </c>
      <c r="E3034" s="2">
        <v>31.14</v>
      </c>
      <c r="F3034" s="2">
        <v>2</v>
      </c>
      <c r="G3034" s="2" t="s">
        <v>12</v>
      </c>
    </row>
    <row r="3035" spans="1:9" x14ac:dyDescent="0.2">
      <c r="A3035" s="2" t="s">
        <v>3323</v>
      </c>
      <c r="B3035" s="2" t="s">
        <v>109</v>
      </c>
      <c r="C3035" s="2">
        <v>580.05870000000004</v>
      </c>
      <c r="D3035" s="2">
        <f>HYPERLINK("http://mcb-m6.bioreg.kyushu-u.ac.jp/M3/20110502/F51173/946/1", 52.34)</f>
        <v>52.34</v>
      </c>
      <c r="E3035" s="2">
        <v>20.86</v>
      </c>
      <c r="F3035" s="2">
        <v>2</v>
      </c>
      <c r="G3035" s="2" t="s">
        <v>13</v>
      </c>
    </row>
    <row r="3036" spans="1:9" x14ac:dyDescent="0.2">
      <c r="A3036" s="2" t="s">
        <v>3323</v>
      </c>
      <c r="B3036" s="2" t="s">
        <v>109</v>
      </c>
      <c r="C3036" s="2">
        <v>580.10059999999999</v>
      </c>
      <c r="D3036" s="2">
        <f>HYPERLINK("http://mcb-m6.bioreg.kyushu-u.ac.jp/M3/20110502/F51174/1402/1", 58.51)</f>
        <v>58.51</v>
      </c>
      <c r="E3036" s="2">
        <v>19.7</v>
      </c>
      <c r="F3036" s="2">
        <v>2</v>
      </c>
      <c r="G3036" s="2" t="s">
        <v>13</v>
      </c>
    </row>
    <row r="3037" spans="1:9" x14ac:dyDescent="0.2">
      <c r="A3037" s="2" t="s">
        <v>3323</v>
      </c>
      <c r="B3037" s="2" t="s">
        <v>109</v>
      </c>
      <c r="C3037" s="2">
        <v>580.13019999999995</v>
      </c>
      <c r="D3037" s="2">
        <f>HYPERLINK("http://mcb-m6.bioreg.kyushu-u.ac.jp/M3/20110502/F51184/910/1", 75.13)</f>
        <v>75.13</v>
      </c>
      <c r="E3037" s="2">
        <v>37.78</v>
      </c>
      <c r="F3037" s="2">
        <v>2</v>
      </c>
      <c r="G3037" s="2" t="s">
        <v>14</v>
      </c>
    </row>
    <row r="3038" spans="1:9" x14ac:dyDescent="0.2">
      <c r="A3038" s="2" t="s">
        <v>3558</v>
      </c>
      <c r="B3038" s="2" t="s">
        <v>417</v>
      </c>
      <c r="C3038" s="2">
        <v>659.56020000000001</v>
      </c>
      <c r="D3038" s="2">
        <f>HYPERLINK("http://mcb-m6.bioreg.kyushu-u.ac.jp/M3/20110411/F50905/1604/1", 41.48)</f>
        <v>41.48</v>
      </c>
      <c r="E3038" s="2">
        <v>26.57</v>
      </c>
      <c r="F3038" s="2">
        <v>2</v>
      </c>
      <c r="G3038" s="2" t="s">
        <v>9</v>
      </c>
      <c r="I3038" s="2" t="s">
        <v>4898</v>
      </c>
    </row>
    <row r="3039" spans="1:9" x14ac:dyDescent="0.2">
      <c r="A3039" s="2" t="s">
        <v>3558</v>
      </c>
      <c r="B3039" s="2" t="s">
        <v>417</v>
      </c>
      <c r="C3039" s="2">
        <v>659.34770000000003</v>
      </c>
      <c r="D3039" s="2">
        <f>HYPERLINK("http://mcb-m6.bioreg.kyushu-u.ac.jp/M3/20110414/F50944/1725/1", 47.56)</f>
        <v>47.56</v>
      </c>
      <c r="E3039" s="2">
        <v>22.3</v>
      </c>
      <c r="F3039" s="2">
        <v>2</v>
      </c>
      <c r="G3039" s="2" t="s">
        <v>11</v>
      </c>
      <c r="I3039" s="2" t="s">
        <v>4898</v>
      </c>
    </row>
    <row r="3040" spans="1:9" x14ac:dyDescent="0.2">
      <c r="A3040" s="2" t="s">
        <v>3558</v>
      </c>
      <c r="B3040" s="2" t="s">
        <v>417</v>
      </c>
      <c r="C3040" s="2">
        <v>1317.07</v>
      </c>
      <c r="D3040" s="2">
        <f>HYPERLINK("http://mcb-m6.bioreg.kyushu-u.ac.jp/M3/20110414/F50949/1956/1", 50.88)</f>
        <v>50.88</v>
      </c>
      <c r="E3040" s="2">
        <v>25.94</v>
      </c>
      <c r="F3040" s="2">
        <v>1</v>
      </c>
      <c r="G3040" s="2" t="s">
        <v>12</v>
      </c>
      <c r="I3040" s="2" t="s">
        <v>4898</v>
      </c>
    </row>
    <row r="3041" spans="1:9" x14ac:dyDescent="0.2">
      <c r="A3041" s="2" t="s">
        <v>3558</v>
      </c>
      <c r="B3041" s="2" t="s">
        <v>417</v>
      </c>
      <c r="C3041" s="2">
        <v>658.99519999999995</v>
      </c>
      <c r="D3041" s="2">
        <f>HYPERLINK("http://mcb-m6.bioreg.kyushu-u.ac.jp/M3/20110414/F50949/1955/1", 50.97)</f>
        <v>50.97</v>
      </c>
      <c r="E3041" s="2">
        <v>20.02</v>
      </c>
      <c r="F3041" s="2">
        <v>2</v>
      </c>
      <c r="G3041" s="2" t="s">
        <v>12</v>
      </c>
      <c r="I3041" s="2" t="s">
        <v>4898</v>
      </c>
    </row>
    <row r="3042" spans="1:9" x14ac:dyDescent="0.2">
      <c r="A3042" s="2" t="s">
        <v>3558</v>
      </c>
      <c r="B3042" s="2" t="s">
        <v>417</v>
      </c>
      <c r="C3042" s="2">
        <v>659.63319999999999</v>
      </c>
      <c r="D3042" s="2">
        <f>HYPERLINK("http://mcb-m6.bioreg.kyushu-u.ac.jp/M3/20110414/F50950/1656/1", 61.69)</f>
        <v>61.69</v>
      </c>
      <c r="E3042" s="2">
        <v>34.01</v>
      </c>
      <c r="F3042" s="2">
        <v>2</v>
      </c>
      <c r="G3042" s="2" t="s">
        <v>12</v>
      </c>
      <c r="I3042" s="2" t="s">
        <v>4898</v>
      </c>
    </row>
    <row r="3043" spans="1:9" x14ac:dyDescent="0.2">
      <c r="A3043" s="2" t="s">
        <v>3533</v>
      </c>
      <c r="B3043" s="2" t="s">
        <v>385</v>
      </c>
      <c r="C3043" s="2">
        <v>450.9581</v>
      </c>
      <c r="D3043" s="2">
        <f>HYPERLINK("http://mcb-m6.bioreg.kyushu-u.ac.jp/M3/20110411/F50905/803/1", 40.91)</f>
        <v>40.909999999999997</v>
      </c>
      <c r="E3043" s="2">
        <v>8.49</v>
      </c>
      <c r="F3043" s="2">
        <v>2</v>
      </c>
      <c r="G3043" s="2" t="s">
        <v>9</v>
      </c>
    </row>
    <row r="3044" spans="1:9" x14ac:dyDescent="0.2">
      <c r="A3044" s="2" t="s">
        <v>3533</v>
      </c>
      <c r="B3044" s="2" t="s">
        <v>610</v>
      </c>
      <c r="C3044" s="2">
        <v>493.46910000000003</v>
      </c>
      <c r="D3044" s="2">
        <f>HYPERLINK("http://mcb-m6.bioreg.kyushu-u.ac.jp/M3/20110411/F50905/943/1", 46.14)</f>
        <v>46.14</v>
      </c>
      <c r="E3044" s="2">
        <v>0.92</v>
      </c>
      <c r="F3044" s="2">
        <v>2</v>
      </c>
      <c r="G3044" s="2" t="s">
        <v>9</v>
      </c>
    </row>
    <row r="3045" spans="1:9" x14ac:dyDescent="0.2">
      <c r="A3045" s="2" t="s">
        <v>3533</v>
      </c>
      <c r="B3045" s="2" t="s">
        <v>674</v>
      </c>
      <c r="C3045" s="2">
        <v>657.27049999999997</v>
      </c>
      <c r="D3045" s="2">
        <f>HYPERLINK("http://mcb-m6.bioreg.kyushu-u.ac.jp/M3/20110411/F50905/3214/1", 47.89)</f>
        <v>47.89</v>
      </c>
      <c r="E3045" s="2">
        <v>24.58</v>
      </c>
      <c r="F3045" s="2">
        <v>3</v>
      </c>
      <c r="G3045" s="2" t="s">
        <v>9</v>
      </c>
    </row>
    <row r="3046" spans="1:9" x14ac:dyDescent="0.2">
      <c r="A3046" s="2" t="s">
        <v>3533</v>
      </c>
      <c r="B3046" s="2" t="s">
        <v>808</v>
      </c>
      <c r="C3046" s="2">
        <v>815.57510000000002</v>
      </c>
      <c r="D3046" s="2">
        <f>HYPERLINK("http://mcb-m6.bioreg.kyushu-u.ac.jp/M3/20110411/F50904/2384/1", 51.91)</f>
        <v>51.91</v>
      </c>
      <c r="E3046" s="2">
        <v>34.18</v>
      </c>
      <c r="F3046" s="2">
        <v>2</v>
      </c>
      <c r="G3046" s="2" t="s">
        <v>9</v>
      </c>
    </row>
    <row r="3047" spans="1:9" x14ac:dyDescent="0.2">
      <c r="A3047" s="2" t="s">
        <v>3533</v>
      </c>
      <c r="B3047" s="2" t="s">
        <v>808</v>
      </c>
      <c r="C3047" s="2">
        <v>815.6232</v>
      </c>
      <c r="D3047" s="2">
        <f>HYPERLINK("http://mcb-m6.bioreg.kyushu-u.ac.jp/M3/20110411/F50905/2434/1", 73.92)</f>
        <v>73.92</v>
      </c>
      <c r="E3047" s="2">
        <v>38.86</v>
      </c>
      <c r="F3047" s="2">
        <v>2</v>
      </c>
      <c r="G3047" s="2" t="s">
        <v>9</v>
      </c>
    </row>
    <row r="3048" spans="1:9" x14ac:dyDescent="0.2">
      <c r="A3048" s="2" t="s">
        <v>3533</v>
      </c>
      <c r="B3048" s="2" t="s">
        <v>1459</v>
      </c>
      <c r="C3048" s="2">
        <v>879.63819999999998</v>
      </c>
      <c r="D3048" s="2">
        <f>HYPERLINK("http://mcb-m6.bioreg.kyushu-u.ac.jp/M3/20110411/F50905/2737/1", 82.47)</f>
        <v>82.47</v>
      </c>
      <c r="E3048" s="2">
        <v>60.59</v>
      </c>
      <c r="F3048" s="2">
        <v>2</v>
      </c>
      <c r="G3048" s="2" t="s">
        <v>9</v>
      </c>
    </row>
    <row r="3049" spans="1:9" x14ac:dyDescent="0.2">
      <c r="A3049" s="2" t="s">
        <v>3533</v>
      </c>
      <c r="B3049" s="2" t="s">
        <v>1459</v>
      </c>
      <c r="C3049" s="2">
        <v>879.40470000000005</v>
      </c>
      <c r="D3049" s="2">
        <f>HYPERLINK("http://mcb-m6.bioreg.kyushu-u.ac.jp/M3/20110411/F50891/2860/1", 83.02)</f>
        <v>83.02</v>
      </c>
      <c r="E3049" s="2">
        <v>66.13</v>
      </c>
      <c r="F3049" s="2">
        <v>2</v>
      </c>
      <c r="G3049" s="2" t="s">
        <v>9</v>
      </c>
    </row>
    <row r="3050" spans="1:9" x14ac:dyDescent="0.2">
      <c r="A3050" s="2" t="s">
        <v>3533</v>
      </c>
      <c r="B3050" s="2" t="s">
        <v>1459</v>
      </c>
      <c r="C3050" s="2">
        <v>879.97919999999999</v>
      </c>
      <c r="D3050" s="2">
        <f>HYPERLINK("http://mcb-m6.bioreg.kyushu-u.ac.jp/M3/20110411/F50916/2608/1", 84.27)</f>
        <v>84.27</v>
      </c>
      <c r="E3050" s="2">
        <v>61.76</v>
      </c>
      <c r="F3050" s="2">
        <v>2</v>
      </c>
      <c r="G3050" s="2" t="s">
        <v>9</v>
      </c>
    </row>
    <row r="3051" spans="1:9" x14ac:dyDescent="0.2">
      <c r="A3051" s="2" t="s">
        <v>3533</v>
      </c>
      <c r="B3051" s="2" t="s">
        <v>1459</v>
      </c>
      <c r="C3051" s="2">
        <v>879.18219999999997</v>
      </c>
      <c r="D3051" s="2">
        <f>HYPERLINK("http://mcb-m6.bioreg.kyushu-u.ac.jp/M3/20110411/F50895/2722/1", 98.36)</f>
        <v>98.36</v>
      </c>
      <c r="E3051" s="2">
        <v>80.28</v>
      </c>
      <c r="F3051" s="2">
        <v>2</v>
      </c>
      <c r="G3051" s="2" t="s">
        <v>9</v>
      </c>
    </row>
    <row r="3052" spans="1:9" x14ac:dyDescent="0.2">
      <c r="A3052" s="2" t="s">
        <v>3533</v>
      </c>
      <c r="B3052" s="2" t="s">
        <v>1459</v>
      </c>
      <c r="C3052" s="2">
        <v>879.40560000000005</v>
      </c>
      <c r="D3052" s="2">
        <f>HYPERLINK("http://mcb-m6.bioreg.kyushu-u.ac.jp/M3/20110411/F50901/2609/1", 46.29)</f>
        <v>46.29</v>
      </c>
      <c r="E3052" s="2">
        <v>34.22</v>
      </c>
      <c r="F3052" s="2">
        <v>2</v>
      </c>
      <c r="G3052" s="2" t="s">
        <v>10</v>
      </c>
    </row>
    <row r="3053" spans="1:9" x14ac:dyDescent="0.2">
      <c r="A3053" s="2" t="s">
        <v>3533</v>
      </c>
      <c r="B3053" s="2" t="s">
        <v>1913</v>
      </c>
      <c r="C3053" s="2">
        <v>815.46280000000002</v>
      </c>
      <c r="D3053" s="2">
        <f>HYPERLINK("http://mcb-m6.bioreg.kyushu-u.ac.jp/M3/20110411/F50914/3736/1", 49.15)</f>
        <v>49.15</v>
      </c>
      <c r="E3053" s="2">
        <v>33.299999999999997</v>
      </c>
      <c r="F3053" s="2">
        <v>3</v>
      </c>
      <c r="G3053" s="2" t="s">
        <v>10</v>
      </c>
    </row>
    <row r="3054" spans="1:9" x14ac:dyDescent="0.2">
      <c r="A3054" s="2" t="s">
        <v>3533</v>
      </c>
      <c r="B3054" s="2" t="s">
        <v>1922</v>
      </c>
      <c r="C3054" s="2">
        <v>1074.8610000000001</v>
      </c>
      <c r="D3054" s="2">
        <f>HYPERLINK("http://mcb-m6.bioreg.kyushu-u.ac.jp/M3/20110411/F50913/1158/1", 49.75)</f>
        <v>49.75</v>
      </c>
      <c r="E3054" s="2">
        <v>5.9</v>
      </c>
      <c r="F3054" s="2">
        <v>1</v>
      </c>
      <c r="G3054" s="2" t="s">
        <v>10</v>
      </c>
    </row>
    <row r="3055" spans="1:9" x14ac:dyDescent="0.2">
      <c r="A3055" s="2" t="s">
        <v>3533</v>
      </c>
      <c r="B3055" s="2" t="s">
        <v>1981</v>
      </c>
      <c r="C3055" s="2">
        <v>774.08969999999999</v>
      </c>
      <c r="D3055" s="2">
        <f>HYPERLINK("http://mcb-m6.bioreg.kyushu-u.ac.jp/M3/20110411/F50912/2203/1", 56.5)</f>
        <v>56.5</v>
      </c>
      <c r="E3055" s="2">
        <v>29.66</v>
      </c>
      <c r="F3055" s="2">
        <v>2</v>
      </c>
      <c r="G3055" s="2" t="s">
        <v>10</v>
      </c>
    </row>
    <row r="3056" spans="1:9" x14ac:dyDescent="0.2">
      <c r="A3056" s="2" t="s">
        <v>3533</v>
      </c>
      <c r="B3056" s="2" t="s">
        <v>1999</v>
      </c>
      <c r="C3056" s="2">
        <v>503.0086</v>
      </c>
      <c r="D3056" s="2">
        <f>HYPERLINK("http://mcb-m6.bioreg.kyushu-u.ac.jp/M3/20110411/F50912/1078/1", 58.89)</f>
        <v>58.89</v>
      </c>
      <c r="E3056" s="2">
        <v>29.41</v>
      </c>
      <c r="F3056" s="2">
        <v>2</v>
      </c>
      <c r="G3056" s="2" t="s">
        <v>10</v>
      </c>
    </row>
    <row r="3057" spans="1:9" x14ac:dyDescent="0.2">
      <c r="A3057" s="2" t="s">
        <v>3533</v>
      </c>
      <c r="B3057" s="2" t="s">
        <v>1913</v>
      </c>
      <c r="C3057" s="2">
        <v>815.34820000000002</v>
      </c>
      <c r="D3057" s="2">
        <f>HYPERLINK("http://mcb-m6.bioreg.kyushu-u.ac.jp/M3/20110411/F50913/3717/1", 61.9)</f>
        <v>61.9</v>
      </c>
      <c r="E3057" s="2">
        <v>41.93</v>
      </c>
      <c r="F3057" s="2">
        <v>3</v>
      </c>
      <c r="G3057" s="2" t="s">
        <v>10</v>
      </c>
    </row>
    <row r="3058" spans="1:9" x14ac:dyDescent="0.2">
      <c r="A3058" s="2" t="s">
        <v>3533</v>
      </c>
      <c r="B3058" s="2" t="s">
        <v>1459</v>
      </c>
      <c r="C3058" s="2">
        <v>879.67169999999999</v>
      </c>
      <c r="D3058" s="2">
        <f>HYPERLINK("http://mcb-m6.bioreg.kyushu-u.ac.jp/M3/20110411/F50902/2711/1", 70.62)</f>
        <v>70.62</v>
      </c>
      <c r="E3058" s="2">
        <v>47.46</v>
      </c>
      <c r="F3058" s="2">
        <v>2</v>
      </c>
      <c r="G3058" s="2" t="s">
        <v>10</v>
      </c>
    </row>
    <row r="3059" spans="1:9" x14ac:dyDescent="0.2">
      <c r="A3059" s="2" t="s">
        <v>3533</v>
      </c>
      <c r="B3059" s="2" t="s">
        <v>1459</v>
      </c>
      <c r="C3059" s="2">
        <v>879.79669999999999</v>
      </c>
      <c r="D3059" s="2">
        <f>HYPERLINK("http://mcb-m6.bioreg.kyushu-u.ac.jp/M3/20110411/F50900/2658/1", 73.03)</f>
        <v>73.03</v>
      </c>
      <c r="E3059" s="2">
        <v>56.85</v>
      </c>
      <c r="F3059" s="2">
        <v>2</v>
      </c>
      <c r="G3059" s="2" t="s">
        <v>10</v>
      </c>
    </row>
    <row r="3060" spans="1:9" x14ac:dyDescent="0.2">
      <c r="A3060" s="2" t="s">
        <v>3533</v>
      </c>
      <c r="B3060" s="2" t="s">
        <v>808</v>
      </c>
      <c r="C3060" s="2">
        <v>815.58320000000003</v>
      </c>
      <c r="D3060" s="2">
        <f>HYPERLINK("http://mcb-m6.bioreg.kyushu-u.ac.jp/M3/20110411/F50912/2393/1", 75.47)</f>
        <v>75.47</v>
      </c>
      <c r="E3060" s="2">
        <v>48.1</v>
      </c>
      <c r="F3060" s="2">
        <v>2</v>
      </c>
      <c r="G3060" s="2" t="s">
        <v>10</v>
      </c>
    </row>
    <row r="3061" spans="1:9" x14ac:dyDescent="0.2">
      <c r="A3061" s="2" t="s">
        <v>3533</v>
      </c>
      <c r="B3061" s="2" t="s">
        <v>1459</v>
      </c>
      <c r="C3061" s="2">
        <v>879.6952</v>
      </c>
      <c r="D3061" s="2">
        <f>HYPERLINK("http://mcb-m6.bioreg.kyushu-u.ac.jp/M3/20110411/F50913/2682/1", 76.46)</f>
        <v>76.459999999999994</v>
      </c>
      <c r="E3061" s="2">
        <v>56.03</v>
      </c>
      <c r="F3061" s="2">
        <v>2</v>
      </c>
      <c r="G3061" s="2" t="s">
        <v>10</v>
      </c>
    </row>
    <row r="3062" spans="1:9" x14ac:dyDescent="0.2">
      <c r="A3062" s="2" t="s">
        <v>3533</v>
      </c>
      <c r="B3062" s="2" t="s">
        <v>808</v>
      </c>
      <c r="C3062" s="2">
        <v>815.46259999999995</v>
      </c>
      <c r="D3062" s="2">
        <f>HYPERLINK("http://mcb-m6.bioreg.kyushu-u.ac.jp/M3/20110411/F50914/2449/1", 80.41)</f>
        <v>80.41</v>
      </c>
      <c r="E3062" s="2">
        <v>47.09</v>
      </c>
      <c r="F3062" s="2">
        <v>2</v>
      </c>
      <c r="G3062" s="2" t="s">
        <v>10</v>
      </c>
    </row>
    <row r="3063" spans="1:9" x14ac:dyDescent="0.2">
      <c r="A3063" s="2" t="s">
        <v>3533</v>
      </c>
      <c r="B3063" s="2" t="s">
        <v>1459</v>
      </c>
      <c r="C3063" s="2">
        <v>879.54610000000002</v>
      </c>
      <c r="D3063" s="2">
        <f>HYPERLINK("http://mcb-m6.bioreg.kyushu-u.ac.jp/M3/20110411/F50918/2532/1", 85.39)</f>
        <v>85.39</v>
      </c>
      <c r="E3063" s="2">
        <v>67.02</v>
      </c>
      <c r="F3063" s="2">
        <v>2</v>
      </c>
      <c r="G3063" s="2" t="s">
        <v>10</v>
      </c>
    </row>
    <row r="3064" spans="1:9" x14ac:dyDescent="0.2">
      <c r="A3064" s="2" t="s">
        <v>3533</v>
      </c>
      <c r="B3064" s="2" t="s">
        <v>1459</v>
      </c>
      <c r="C3064" s="2">
        <v>879.64869999999996</v>
      </c>
      <c r="D3064" s="2">
        <f>HYPERLINK("http://mcb-m6.bioreg.kyushu-u.ac.jp/M3/20110411/F50901/2611/1", 93.03)</f>
        <v>93.03</v>
      </c>
      <c r="E3064" s="2">
        <v>79.260000000000005</v>
      </c>
      <c r="F3064" s="2">
        <v>2</v>
      </c>
      <c r="G3064" s="2" t="s">
        <v>10</v>
      </c>
    </row>
    <row r="3065" spans="1:9" x14ac:dyDescent="0.2">
      <c r="A3065" s="2" t="s">
        <v>3533</v>
      </c>
      <c r="B3065" s="2" t="s">
        <v>808</v>
      </c>
      <c r="C3065" s="2">
        <v>815.34810000000004</v>
      </c>
      <c r="D3065" s="2">
        <f>HYPERLINK("http://mcb-m6.bioreg.kyushu-u.ac.jp/M3/20110411/F50913/2379/1", 95.3)</f>
        <v>95.3</v>
      </c>
      <c r="E3065" s="2">
        <v>67.69</v>
      </c>
      <c r="F3065" s="2">
        <v>2</v>
      </c>
      <c r="G3065" s="2" t="s">
        <v>10</v>
      </c>
    </row>
    <row r="3066" spans="1:9" x14ac:dyDescent="0.2">
      <c r="A3066" s="2" t="s">
        <v>3533</v>
      </c>
      <c r="B3066" s="2" t="s">
        <v>808</v>
      </c>
      <c r="C3066" s="2">
        <v>815.47360000000003</v>
      </c>
      <c r="D3066" s="2">
        <f>HYPERLINK("http://mcb-m6.bioreg.kyushu-u.ac.jp/M3/20110414/F50941/2500/1", 67.05)</f>
        <v>67.05</v>
      </c>
      <c r="E3066" s="2">
        <v>42.39</v>
      </c>
      <c r="F3066" s="2">
        <v>2</v>
      </c>
      <c r="G3066" s="2" t="s">
        <v>11</v>
      </c>
    </row>
    <row r="3067" spans="1:9" x14ac:dyDescent="0.2">
      <c r="A3067" s="2" t="s">
        <v>3533</v>
      </c>
      <c r="B3067" s="2" t="s">
        <v>1459</v>
      </c>
      <c r="C3067" s="2">
        <v>879.43269999999995</v>
      </c>
      <c r="D3067" s="2">
        <f>HYPERLINK("http://mcb-m6.bioreg.kyushu-u.ac.jp/M3/20110414/F50943/2619/1", 93.83)</f>
        <v>93.83</v>
      </c>
      <c r="E3067" s="2">
        <v>80.36</v>
      </c>
      <c r="F3067" s="2">
        <v>2</v>
      </c>
      <c r="G3067" s="2" t="s">
        <v>11</v>
      </c>
    </row>
    <row r="3068" spans="1:9" x14ac:dyDescent="0.2">
      <c r="A3068" s="2" t="s">
        <v>3533</v>
      </c>
      <c r="B3068" s="2" t="s">
        <v>1459</v>
      </c>
      <c r="C3068" s="2">
        <v>879.30909999999994</v>
      </c>
      <c r="D3068" s="2">
        <f>HYPERLINK("http://mcb-m6.bioreg.kyushu-u.ac.jp/M3/20110414/F50957/2771/1", 102.3)</f>
        <v>102.3</v>
      </c>
      <c r="E3068" s="2">
        <v>85.54</v>
      </c>
      <c r="F3068" s="2">
        <v>2</v>
      </c>
      <c r="G3068" s="2" t="s">
        <v>11</v>
      </c>
    </row>
    <row r="3069" spans="1:9" x14ac:dyDescent="0.2">
      <c r="A3069" s="2" t="s">
        <v>3533</v>
      </c>
      <c r="B3069" s="2" t="s">
        <v>1913</v>
      </c>
      <c r="C3069" s="2">
        <v>815.40750000000003</v>
      </c>
      <c r="D3069" s="2">
        <f>HYPERLINK("http://mcb-m6.bioreg.kyushu-u.ac.jp/M3/20110414/F50947/4239/1", 43.77)</f>
        <v>43.77</v>
      </c>
      <c r="E3069" s="2">
        <v>30.43</v>
      </c>
      <c r="F3069" s="2">
        <v>3</v>
      </c>
      <c r="G3069" s="2" t="s">
        <v>12</v>
      </c>
    </row>
    <row r="3070" spans="1:9" x14ac:dyDescent="0.2">
      <c r="A3070" s="2" t="s">
        <v>3533</v>
      </c>
      <c r="B3070" s="2" t="s">
        <v>1999</v>
      </c>
      <c r="C3070" s="2">
        <v>502.98360000000002</v>
      </c>
      <c r="D3070" s="2">
        <f>HYPERLINK("http://mcb-m6.bioreg.kyushu-u.ac.jp/M3/20110414/F50947/820/1", 43.89)</f>
        <v>43.89</v>
      </c>
      <c r="E3070" s="2">
        <v>18.61</v>
      </c>
      <c r="F3070" s="2">
        <v>2</v>
      </c>
      <c r="G3070" s="2" t="s">
        <v>12</v>
      </c>
    </row>
    <row r="3071" spans="1:9" x14ac:dyDescent="0.2">
      <c r="A3071" s="2" t="s">
        <v>3533</v>
      </c>
      <c r="B3071" s="2" t="s">
        <v>674</v>
      </c>
      <c r="C3071" s="2">
        <v>985.54219999999998</v>
      </c>
      <c r="D3071" s="2">
        <f>HYPERLINK("http://mcb-m6.bioreg.kyushu-u.ac.jp/M3/20110414/F50947/3370/1", 47.83)</f>
        <v>47.83</v>
      </c>
      <c r="E3071" s="2">
        <v>37.409999999999997</v>
      </c>
      <c r="F3071" s="2">
        <v>2</v>
      </c>
      <c r="G3071" s="2" t="s">
        <v>12</v>
      </c>
    </row>
    <row r="3072" spans="1:9" x14ac:dyDescent="0.2">
      <c r="A3072" s="2" t="s">
        <v>3533</v>
      </c>
      <c r="B3072" s="2" t="s">
        <v>2682</v>
      </c>
      <c r="C3072" s="2">
        <v>581.40869999999995</v>
      </c>
      <c r="D3072" s="2">
        <f>HYPERLINK("http://mcb-m6.bioreg.kyushu-u.ac.jp/M3/20110414/F50947/1105/1", 52.65)</f>
        <v>52.65</v>
      </c>
      <c r="E3072" s="2">
        <v>15.38</v>
      </c>
      <c r="F3072" s="2">
        <v>2</v>
      </c>
      <c r="G3072" s="2" t="s">
        <v>12</v>
      </c>
      <c r="I3072" s="2" t="s">
        <v>4890</v>
      </c>
    </row>
    <row r="3073" spans="1:9" x14ac:dyDescent="0.2">
      <c r="A3073" s="2" t="s">
        <v>3533</v>
      </c>
      <c r="B3073" s="2" t="s">
        <v>1981</v>
      </c>
      <c r="C3073" s="2">
        <v>773.93119999999999</v>
      </c>
      <c r="D3073" s="2">
        <f>HYPERLINK("http://mcb-m6.bioreg.kyushu-u.ac.jp/M3/20110414/F50947/2236/1", 68.97)</f>
        <v>68.97</v>
      </c>
      <c r="E3073" s="2">
        <v>49.88</v>
      </c>
      <c r="F3073" s="2">
        <v>2</v>
      </c>
      <c r="G3073" s="2" t="s">
        <v>12</v>
      </c>
    </row>
    <row r="3074" spans="1:9" x14ac:dyDescent="0.2">
      <c r="A3074" s="2" t="s">
        <v>3533</v>
      </c>
      <c r="B3074" s="2" t="s">
        <v>1459</v>
      </c>
      <c r="C3074" s="2">
        <v>879.49109999999996</v>
      </c>
      <c r="D3074" s="2">
        <f>HYPERLINK("http://mcb-m6.bioreg.kyushu-u.ac.jp/M3/20110414/F50947/2787/1", 82.37)</f>
        <v>82.37</v>
      </c>
      <c r="E3074" s="2">
        <v>67.91</v>
      </c>
      <c r="F3074" s="2">
        <v>2</v>
      </c>
      <c r="G3074" s="2" t="s">
        <v>12</v>
      </c>
    </row>
    <row r="3075" spans="1:9" x14ac:dyDescent="0.2">
      <c r="A3075" s="2" t="s">
        <v>3533</v>
      </c>
      <c r="B3075" s="2" t="s">
        <v>1459</v>
      </c>
      <c r="C3075" s="2">
        <v>879.00570000000005</v>
      </c>
      <c r="D3075" s="2">
        <f>HYPERLINK("http://mcb-m6.bioreg.kyushu-u.ac.jp/M3/20110414/F50950/2908/1", 93.01)</f>
        <v>93.01</v>
      </c>
      <c r="E3075" s="2">
        <v>73.739999999999995</v>
      </c>
      <c r="F3075" s="2">
        <v>2</v>
      </c>
      <c r="G3075" s="2" t="s">
        <v>12</v>
      </c>
    </row>
    <row r="3076" spans="1:9" x14ac:dyDescent="0.2">
      <c r="A3076" s="2" t="s">
        <v>3533</v>
      </c>
      <c r="B3076" s="2" t="s">
        <v>1459</v>
      </c>
      <c r="C3076" s="2">
        <v>879.55219999999997</v>
      </c>
      <c r="D3076" s="2">
        <f>HYPERLINK("http://mcb-m6.bioreg.kyushu-u.ac.jp/M3/20110414/F50950/2912/1", 94.34)</f>
        <v>94.34</v>
      </c>
      <c r="E3076" s="2">
        <v>73.73</v>
      </c>
      <c r="F3076" s="2">
        <v>2</v>
      </c>
      <c r="G3076" s="2" t="s">
        <v>12</v>
      </c>
    </row>
    <row r="3077" spans="1:9" x14ac:dyDescent="0.2">
      <c r="A3077" s="2" t="s">
        <v>3533</v>
      </c>
      <c r="B3077" s="2" t="s">
        <v>808</v>
      </c>
      <c r="C3077" s="2">
        <v>815.40769999999998</v>
      </c>
      <c r="D3077" s="2">
        <f>HYPERLINK("http://mcb-m6.bioreg.kyushu-u.ac.jp/M3/20110414/F50947/2446/1", 98.49)</f>
        <v>98.49</v>
      </c>
      <c r="E3077" s="2">
        <v>75.52</v>
      </c>
      <c r="F3077" s="2">
        <v>2</v>
      </c>
      <c r="G3077" s="2" t="s">
        <v>12</v>
      </c>
    </row>
    <row r="3078" spans="1:9" x14ac:dyDescent="0.2">
      <c r="A3078" s="2" t="s">
        <v>3533</v>
      </c>
      <c r="B3078" s="2" t="s">
        <v>1459</v>
      </c>
      <c r="C3078" s="2">
        <v>879.44169999999997</v>
      </c>
      <c r="D3078" s="2">
        <f>HYPERLINK("http://mcb-m6.bioreg.kyushu-u.ac.jp/M3/20110414/F50959/2856/1", 101.57)</f>
        <v>101.57</v>
      </c>
      <c r="E3078" s="2">
        <v>88.79</v>
      </c>
      <c r="F3078" s="2">
        <v>2</v>
      </c>
      <c r="G3078" s="2" t="s">
        <v>12</v>
      </c>
    </row>
    <row r="3079" spans="1:9" x14ac:dyDescent="0.2">
      <c r="A3079" s="2" t="s">
        <v>3533</v>
      </c>
      <c r="B3079" s="2" t="s">
        <v>808</v>
      </c>
      <c r="C3079" s="2">
        <v>815.6277</v>
      </c>
      <c r="D3079" s="2">
        <f>HYPERLINK("http://mcb-m6.bioreg.kyushu-u.ac.jp/M3/20110502/F51170/2461/1", 47.8)</f>
        <v>47.8</v>
      </c>
      <c r="E3079" s="2">
        <v>27.02</v>
      </c>
      <c r="F3079" s="2">
        <v>2</v>
      </c>
      <c r="G3079" s="2" t="s">
        <v>13</v>
      </c>
    </row>
    <row r="3080" spans="1:9" x14ac:dyDescent="0.2">
      <c r="A3080" s="2" t="s">
        <v>3533</v>
      </c>
      <c r="B3080" s="2" t="s">
        <v>1459</v>
      </c>
      <c r="C3080" s="2">
        <v>879.71969999999999</v>
      </c>
      <c r="D3080" s="2">
        <f>HYPERLINK("http://mcb-m6.bioreg.kyushu-u.ac.jp/M3/20110502/F51173/2663/1", 84.97)</f>
        <v>84.97</v>
      </c>
      <c r="E3080" s="2">
        <v>66.040000000000006</v>
      </c>
      <c r="F3080" s="2">
        <v>2</v>
      </c>
      <c r="G3080" s="2" t="s">
        <v>13</v>
      </c>
    </row>
    <row r="3081" spans="1:9" x14ac:dyDescent="0.2">
      <c r="A3081" s="2" t="s">
        <v>3533</v>
      </c>
      <c r="B3081" s="2" t="s">
        <v>2682</v>
      </c>
      <c r="C3081" s="2">
        <v>581.15260000000001</v>
      </c>
      <c r="D3081" s="2">
        <f>HYPERLINK("http://mcb-m6.bioreg.kyushu-u.ac.jp/M3/20110502/F51179/961/1", 41.16)</f>
        <v>41.16</v>
      </c>
      <c r="E3081" s="2">
        <v>8.73</v>
      </c>
      <c r="F3081" s="2">
        <v>2</v>
      </c>
      <c r="G3081" s="2" t="s">
        <v>14</v>
      </c>
      <c r="I3081" s="2" t="s">
        <v>4890</v>
      </c>
    </row>
    <row r="3082" spans="1:9" x14ac:dyDescent="0.2">
      <c r="A3082" s="2" t="s">
        <v>3533</v>
      </c>
      <c r="B3082" s="2" t="s">
        <v>1459</v>
      </c>
      <c r="C3082" s="2">
        <v>879.60770000000002</v>
      </c>
      <c r="D3082" s="2">
        <f>HYPERLINK("http://mcb-m6.bioreg.kyushu-u.ac.jp/M3/20110502/F51179/2563/1", 83.68)</f>
        <v>83.68</v>
      </c>
      <c r="E3082" s="2">
        <v>68.28</v>
      </c>
      <c r="F3082" s="2">
        <v>2</v>
      </c>
      <c r="G3082" s="2" t="s">
        <v>14</v>
      </c>
    </row>
    <row r="3083" spans="1:9" x14ac:dyDescent="0.2">
      <c r="A3083" s="2" t="s">
        <v>3533</v>
      </c>
      <c r="B3083" s="2" t="s">
        <v>1459</v>
      </c>
      <c r="C3083" s="2">
        <v>879.72670000000005</v>
      </c>
      <c r="D3083" s="2">
        <f>HYPERLINK("http://mcb-m6.bioreg.kyushu-u.ac.jp/M3/20110502/F51185/2542/1", 106.51)</f>
        <v>106.51</v>
      </c>
      <c r="E3083" s="2">
        <v>91.35</v>
      </c>
      <c r="F3083" s="2">
        <v>2</v>
      </c>
      <c r="G3083" s="2" t="s">
        <v>14</v>
      </c>
    </row>
    <row r="3084" spans="1:9" x14ac:dyDescent="0.2">
      <c r="A3084" s="2" t="s">
        <v>3533</v>
      </c>
      <c r="B3084" s="2" t="s">
        <v>1459</v>
      </c>
      <c r="C3084" s="2">
        <v>879.82069999999999</v>
      </c>
      <c r="D3084" s="2">
        <f>HYPERLINK("http://mcb-m6.bioreg.kyushu-u.ac.jp/M3/20110502/F51184/2685/1", 109.24)</f>
        <v>109.24</v>
      </c>
      <c r="E3084" s="2">
        <v>77.459999999999994</v>
      </c>
      <c r="F3084" s="2">
        <v>2</v>
      </c>
      <c r="G3084" s="2" t="s">
        <v>14</v>
      </c>
    </row>
    <row r="3085" spans="1:9" x14ac:dyDescent="0.2">
      <c r="A3085" s="2" t="s">
        <v>4440</v>
      </c>
      <c r="B3085" s="2" t="s">
        <v>2333</v>
      </c>
      <c r="C3085" s="2">
        <v>576.84559999999999</v>
      </c>
      <c r="D3085" s="2">
        <f>HYPERLINK("http://mcb-m6.bioreg.kyushu-u.ac.jp/M3/20110414/F50943/1142/1", 47.38)</f>
        <v>47.38</v>
      </c>
      <c r="E3085" s="2">
        <v>27.15</v>
      </c>
      <c r="F3085" s="2">
        <v>2</v>
      </c>
      <c r="G3085" s="2" t="s">
        <v>11</v>
      </c>
      <c r="H3085" s="2" t="s">
        <v>4904</v>
      </c>
    </row>
    <row r="3086" spans="1:9" x14ac:dyDescent="0.2">
      <c r="A3086" s="2" t="s">
        <v>4440</v>
      </c>
      <c r="B3086" s="2" t="s">
        <v>2333</v>
      </c>
      <c r="C3086" s="2">
        <v>577.08420000000001</v>
      </c>
      <c r="D3086" s="2">
        <f>HYPERLINK("http://mcb-m6.bioreg.kyushu-u.ac.jp/M3/20110502/F51173/934/1", 47.19)</f>
        <v>47.19</v>
      </c>
      <c r="E3086" s="2">
        <v>13.28</v>
      </c>
      <c r="F3086" s="2">
        <v>2</v>
      </c>
      <c r="G3086" s="2" t="s">
        <v>13</v>
      </c>
      <c r="H3086" s="2" t="s">
        <v>4904</v>
      </c>
    </row>
    <row r="3087" spans="1:9" x14ac:dyDescent="0.2">
      <c r="A3087" s="2" t="s">
        <v>3320</v>
      </c>
      <c r="B3087" s="2" t="s">
        <v>106</v>
      </c>
      <c r="C3087" s="2">
        <v>1167.5239999999999</v>
      </c>
      <c r="D3087" s="2">
        <f>HYPERLINK("http://mcb-m6.bioreg.kyushu-u.ac.jp/M3/20110411/F50892/1584/1", 36.17)</f>
        <v>36.17</v>
      </c>
      <c r="E3087" s="2">
        <v>24.28</v>
      </c>
      <c r="F3087" s="2">
        <v>1</v>
      </c>
      <c r="G3087" s="2" t="s">
        <v>9</v>
      </c>
      <c r="I3087" s="2" t="s">
        <v>4892</v>
      </c>
    </row>
    <row r="3088" spans="1:9" x14ac:dyDescent="0.2">
      <c r="A3088" s="2" t="s">
        <v>3320</v>
      </c>
      <c r="B3088" s="2" t="s">
        <v>106</v>
      </c>
      <c r="C3088" s="2">
        <v>584.35720000000003</v>
      </c>
      <c r="D3088" s="2">
        <f>HYPERLINK("http://mcb-m6.bioreg.kyushu-u.ac.jp/M3/20110411/F50892/1586/1", 65.68)</f>
        <v>65.680000000000007</v>
      </c>
      <c r="E3088" s="2">
        <v>38.24</v>
      </c>
      <c r="F3088" s="2">
        <v>2</v>
      </c>
      <c r="G3088" s="2" t="s">
        <v>9</v>
      </c>
      <c r="I3088" s="2" t="s">
        <v>4892</v>
      </c>
    </row>
    <row r="3089" spans="1:9" x14ac:dyDescent="0.2">
      <c r="A3089" s="2" t="s">
        <v>3320</v>
      </c>
      <c r="B3089" s="2" t="s">
        <v>106</v>
      </c>
      <c r="C3089" s="2">
        <v>584.38120000000004</v>
      </c>
      <c r="D3089" s="2">
        <f>HYPERLINK("http://mcb-m6.bioreg.kyushu-u.ac.jp/M3/20110414/F50945/1367/1", 47.01)</f>
        <v>47.01</v>
      </c>
      <c r="E3089" s="2">
        <v>28.32</v>
      </c>
      <c r="F3089" s="2">
        <v>2</v>
      </c>
      <c r="G3089" s="2" t="s">
        <v>11</v>
      </c>
      <c r="I3089" s="2" t="s">
        <v>4892</v>
      </c>
    </row>
    <row r="3090" spans="1:9" x14ac:dyDescent="0.2">
      <c r="A3090" s="2" t="s">
        <v>4039</v>
      </c>
      <c r="B3090" s="2" t="s">
        <v>1377</v>
      </c>
      <c r="C3090" s="2">
        <v>752.87819999999999</v>
      </c>
      <c r="D3090" s="2">
        <f>HYPERLINK("http://mcb-m6.bioreg.kyushu-u.ac.jp/M3/20110411/F50892/2275/1", 76.67)</f>
        <v>76.67</v>
      </c>
      <c r="E3090" s="2">
        <v>53.4</v>
      </c>
      <c r="F3090" s="2">
        <v>2</v>
      </c>
      <c r="G3090" s="2" t="s">
        <v>9</v>
      </c>
    </row>
    <row r="3091" spans="1:9" x14ac:dyDescent="0.2">
      <c r="A3091" s="2" t="s">
        <v>4039</v>
      </c>
      <c r="B3091" s="2" t="s">
        <v>1421</v>
      </c>
      <c r="C3091" s="2">
        <v>750.91719999999998</v>
      </c>
      <c r="D3091" s="2">
        <f>HYPERLINK("http://mcb-m6.bioreg.kyushu-u.ac.jp/M3/20110411/F50892/2267/1", 79.45)</f>
        <v>79.45</v>
      </c>
      <c r="E3091" s="2">
        <v>66.17</v>
      </c>
      <c r="F3091" s="2">
        <v>2</v>
      </c>
      <c r="G3091" s="2" t="s">
        <v>9</v>
      </c>
    </row>
    <row r="3092" spans="1:9" x14ac:dyDescent="0.2">
      <c r="A3092" s="2" t="s">
        <v>4039</v>
      </c>
      <c r="B3092" s="2" t="s">
        <v>1377</v>
      </c>
      <c r="C3092" s="2">
        <v>752.36969999999997</v>
      </c>
      <c r="D3092" s="2">
        <f>HYPERLINK("http://mcb-m6.bioreg.kyushu-u.ac.jp/M3/20110411/F50892/2273/1", 101.72)</f>
        <v>101.72</v>
      </c>
      <c r="E3092" s="2">
        <v>77.17</v>
      </c>
      <c r="F3092" s="2">
        <v>2</v>
      </c>
      <c r="G3092" s="2" t="s">
        <v>9</v>
      </c>
    </row>
    <row r="3093" spans="1:9" x14ac:dyDescent="0.2">
      <c r="A3093" s="2" t="s">
        <v>4039</v>
      </c>
      <c r="B3093" s="2" t="s">
        <v>1620</v>
      </c>
      <c r="C3093" s="2">
        <v>1098.124</v>
      </c>
      <c r="D3093" s="2">
        <f>HYPERLINK("http://mcb-m6.bioreg.kyushu-u.ac.jp/M3/20110411/F50892/3341/1", 102.08)</f>
        <v>102.08</v>
      </c>
      <c r="E3093" s="2">
        <v>87.82</v>
      </c>
      <c r="F3093" s="2">
        <v>2</v>
      </c>
      <c r="G3093" s="2" t="s">
        <v>9</v>
      </c>
    </row>
    <row r="3094" spans="1:9" x14ac:dyDescent="0.2">
      <c r="A3094" s="2" t="s">
        <v>4039</v>
      </c>
      <c r="B3094" s="2" t="s">
        <v>1377</v>
      </c>
      <c r="C3094" s="2">
        <v>752.54610000000002</v>
      </c>
      <c r="D3094" s="2">
        <f>HYPERLINK("http://mcb-m6.bioreg.kyushu-u.ac.jp/M3/20110411/F50899/2305/1", 43.83)</f>
        <v>43.83</v>
      </c>
      <c r="E3094" s="2">
        <v>23.73</v>
      </c>
      <c r="F3094" s="2">
        <v>2</v>
      </c>
      <c r="G3094" s="2" t="s">
        <v>10</v>
      </c>
    </row>
    <row r="3095" spans="1:9" x14ac:dyDescent="0.2">
      <c r="A3095" s="2" t="s">
        <v>4039</v>
      </c>
      <c r="B3095" s="2" t="s">
        <v>1620</v>
      </c>
      <c r="C3095" s="2">
        <v>1098.4929999999999</v>
      </c>
      <c r="D3095" s="2">
        <f>HYPERLINK("http://mcb-m6.bioreg.kyushu-u.ac.jp/M3/20110414/F50945/3403/1", 64.75)</f>
        <v>64.75</v>
      </c>
      <c r="E3095" s="2">
        <v>50.27</v>
      </c>
      <c r="F3095" s="2">
        <v>2</v>
      </c>
      <c r="G3095" s="2" t="s">
        <v>11</v>
      </c>
    </row>
    <row r="3096" spans="1:9" x14ac:dyDescent="0.2">
      <c r="A3096" s="2" t="s">
        <v>4039</v>
      </c>
      <c r="B3096" s="2" t="s">
        <v>1421</v>
      </c>
      <c r="C3096" s="2">
        <v>750.42970000000003</v>
      </c>
      <c r="D3096" s="2">
        <f>HYPERLINK("http://mcb-m6.bioreg.kyushu-u.ac.jp/M3/20110414/F50945/2116/1", 67.96)</f>
        <v>67.959999999999994</v>
      </c>
      <c r="E3096" s="2">
        <v>48.81</v>
      </c>
      <c r="F3096" s="2">
        <v>2</v>
      </c>
      <c r="G3096" s="2" t="s">
        <v>11</v>
      </c>
    </row>
    <row r="3097" spans="1:9" x14ac:dyDescent="0.2">
      <c r="A3097" s="2" t="s">
        <v>4039</v>
      </c>
      <c r="B3097" s="2" t="s">
        <v>1377</v>
      </c>
      <c r="C3097" s="2">
        <v>752.81619999999998</v>
      </c>
      <c r="D3097" s="2">
        <f>HYPERLINK("http://mcb-m6.bioreg.kyushu-u.ac.jp/M3/20110414/F50946/2047/1", 42.34)</f>
        <v>42.34</v>
      </c>
      <c r="E3097" s="2">
        <v>24.77</v>
      </c>
      <c r="F3097" s="2">
        <v>2</v>
      </c>
      <c r="G3097" s="2" t="s">
        <v>12</v>
      </c>
    </row>
    <row r="3098" spans="1:9" x14ac:dyDescent="0.2">
      <c r="A3098" s="2" t="s">
        <v>4039</v>
      </c>
      <c r="B3098" s="2" t="s">
        <v>1421</v>
      </c>
      <c r="C3098" s="2">
        <v>750.60969999999998</v>
      </c>
      <c r="D3098" s="2">
        <f>HYPERLINK("http://mcb-m6.bioreg.kyushu-u.ac.jp/M3/20110502/F51180/1890/1", 67.37)</f>
        <v>67.37</v>
      </c>
      <c r="E3098" s="2">
        <v>38.14</v>
      </c>
      <c r="F3098" s="2">
        <v>2</v>
      </c>
      <c r="G3098" s="2" t="s">
        <v>13</v>
      </c>
    </row>
    <row r="3099" spans="1:9" x14ac:dyDescent="0.2">
      <c r="A3099" s="2" t="s">
        <v>4039</v>
      </c>
      <c r="B3099" s="2" t="s">
        <v>1421</v>
      </c>
      <c r="C3099" s="2">
        <v>750.77760000000001</v>
      </c>
      <c r="D3099" s="2">
        <f>HYPERLINK("http://mcb-m6.bioreg.kyushu-u.ac.jp/M3/20110502/F51182/1970/1", 65.03)</f>
        <v>65.03</v>
      </c>
      <c r="E3099" s="2">
        <v>41.6</v>
      </c>
      <c r="F3099" s="2">
        <v>2</v>
      </c>
      <c r="G3099" s="2" t="s">
        <v>14</v>
      </c>
    </row>
    <row r="3100" spans="1:9" x14ac:dyDescent="0.2">
      <c r="A3100" s="2" t="s">
        <v>4385</v>
      </c>
      <c r="B3100" s="2" t="s">
        <v>2221</v>
      </c>
      <c r="C3100" s="2">
        <v>491.33159999999998</v>
      </c>
      <c r="D3100" s="2">
        <f>HYPERLINK("http://mcb-m6.bioreg.kyushu-u.ac.jp/M3/20110414/F50945/1071/1", 38.1)</f>
        <v>38.1</v>
      </c>
      <c r="E3100" s="2">
        <v>15.09</v>
      </c>
      <c r="F3100" s="2">
        <v>2</v>
      </c>
      <c r="G3100" s="2" t="s">
        <v>11</v>
      </c>
      <c r="I3100" s="2" t="s">
        <v>4923</v>
      </c>
    </row>
    <row r="3101" spans="1:9" x14ac:dyDescent="0.2">
      <c r="A3101" s="2" t="s">
        <v>4603</v>
      </c>
      <c r="B3101" s="2" t="s">
        <v>2702</v>
      </c>
      <c r="C3101" s="2">
        <v>793.04110000000003</v>
      </c>
      <c r="D3101" s="2">
        <f>HYPERLINK("http://mcb-m6.bioreg.kyushu-u.ac.jp/M3/20110414/F50947/2357/1", 57.42)</f>
        <v>57.42</v>
      </c>
      <c r="E3101" s="2">
        <v>46.38</v>
      </c>
      <c r="F3101" s="2">
        <v>2</v>
      </c>
      <c r="G3101" s="2" t="s">
        <v>12</v>
      </c>
      <c r="I3101" s="2" t="s">
        <v>4923</v>
      </c>
    </row>
    <row r="3102" spans="1:9" x14ac:dyDescent="0.2">
      <c r="A3102" s="2" t="s">
        <v>3759</v>
      </c>
      <c r="B3102" s="2" t="s">
        <v>774</v>
      </c>
      <c r="C3102" s="2">
        <v>493.45609999999999</v>
      </c>
      <c r="D3102" s="2">
        <f>HYPERLINK("http://mcb-m6.bioreg.kyushu-u.ac.jp/M3/20110411/F50905/942/1", 50.73)</f>
        <v>50.73</v>
      </c>
      <c r="E3102" s="2">
        <v>30.81</v>
      </c>
      <c r="F3102" s="2">
        <v>2</v>
      </c>
      <c r="G3102" s="2" t="s">
        <v>9</v>
      </c>
    </row>
    <row r="3103" spans="1:9" x14ac:dyDescent="0.2">
      <c r="A3103" s="2" t="s">
        <v>3943</v>
      </c>
      <c r="B3103" s="2" t="s">
        <v>1141</v>
      </c>
      <c r="C3103" s="2">
        <v>1302.777</v>
      </c>
      <c r="D3103" s="2">
        <f>HYPERLINK("http://mcb-m6.bioreg.kyushu-u.ac.jp/M3/20110411/F50905/1572/1", 64.8)</f>
        <v>64.8</v>
      </c>
      <c r="E3103" s="2">
        <v>48.35</v>
      </c>
      <c r="F3103" s="2">
        <v>1</v>
      </c>
      <c r="G3103" s="2" t="s">
        <v>9</v>
      </c>
    </row>
    <row r="3104" spans="1:9" x14ac:dyDescent="0.2">
      <c r="A3104" s="2" t="s">
        <v>3943</v>
      </c>
      <c r="B3104" s="2" t="s">
        <v>1141</v>
      </c>
      <c r="C3104" s="2">
        <v>651.48469999999998</v>
      </c>
      <c r="D3104" s="2">
        <f>HYPERLINK("http://mcb-m6.bioreg.kyushu-u.ac.jp/M3/20110411/F50905/1570/1", 65.9)</f>
        <v>65.900000000000006</v>
      </c>
      <c r="E3104" s="2">
        <v>51.33</v>
      </c>
      <c r="F3104" s="2">
        <v>2</v>
      </c>
      <c r="G3104" s="2" t="s">
        <v>9</v>
      </c>
    </row>
    <row r="3105" spans="1:9" x14ac:dyDescent="0.2">
      <c r="A3105" s="2" t="s">
        <v>3943</v>
      </c>
      <c r="B3105" s="2" t="s">
        <v>1731</v>
      </c>
      <c r="C3105" s="2">
        <v>830.87919999999997</v>
      </c>
      <c r="D3105" s="2">
        <f>HYPERLINK("http://mcb-m6.bioreg.kyushu-u.ac.jp/M3/20110411/F50914/2509/1", 36.73)</f>
        <v>36.729999999999997</v>
      </c>
      <c r="E3105" s="2">
        <v>22.4</v>
      </c>
      <c r="F3105" s="2">
        <v>2</v>
      </c>
      <c r="G3105" s="2" t="s">
        <v>10</v>
      </c>
    </row>
    <row r="3106" spans="1:9" x14ac:dyDescent="0.2">
      <c r="A3106" s="2" t="s">
        <v>3943</v>
      </c>
      <c r="B3106" s="2" t="s">
        <v>1141</v>
      </c>
      <c r="C3106" s="2">
        <v>651.48360000000002</v>
      </c>
      <c r="D3106" s="2">
        <f>HYPERLINK("http://mcb-m6.bioreg.kyushu-u.ac.jp/M3/20110411/F50914/1661/1", 40.23)</f>
        <v>40.229999999999997</v>
      </c>
      <c r="E3106" s="2">
        <v>29.68</v>
      </c>
      <c r="F3106" s="2">
        <v>2</v>
      </c>
      <c r="G3106" s="2" t="s">
        <v>10</v>
      </c>
    </row>
    <row r="3107" spans="1:9" x14ac:dyDescent="0.2">
      <c r="A3107" s="2" t="s">
        <v>3943</v>
      </c>
      <c r="B3107" s="2" t="s">
        <v>1141</v>
      </c>
      <c r="C3107" s="2">
        <v>1301.749</v>
      </c>
      <c r="D3107" s="2">
        <f>HYPERLINK("http://mcb-m6.bioreg.kyushu-u.ac.jp/M3/20110411/F50913/1590/1", 48.95)</f>
        <v>48.95</v>
      </c>
      <c r="E3107" s="2">
        <v>32.049999999999997</v>
      </c>
      <c r="F3107" s="2">
        <v>1</v>
      </c>
      <c r="G3107" s="2" t="s">
        <v>10</v>
      </c>
    </row>
    <row r="3108" spans="1:9" x14ac:dyDescent="0.2">
      <c r="A3108" s="2" t="s">
        <v>3943</v>
      </c>
      <c r="B3108" s="2" t="s">
        <v>1141</v>
      </c>
      <c r="C3108" s="2">
        <v>651.41269999999997</v>
      </c>
      <c r="D3108" s="2">
        <f>HYPERLINK("http://mcb-m6.bioreg.kyushu-u.ac.jp/M3/20110411/F50913/1592/1", 74.95)</f>
        <v>74.95</v>
      </c>
      <c r="E3108" s="2">
        <v>59.57</v>
      </c>
      <c r="F3108" s="2">
        <v>2</v>
      </c>
      <c r="G3108" s="2" t="s">
        <v>10</v>
      </c>
    </row>
    <row r="3109" spans="1:9" x14ac:dyDescent="0.2">
      <c r="A3109" s="2" t="s">
        <v>3943</v>
      </c>
      <c r="B3109" s="2" t="s">
        <v>2135</v>
      </c>
      <c r="C3109" s="2">
        <v>943.78369999999995</v>
      </c>
      <c r="D3109" s="2">
        <f>HYPERLINK("http://mcb-m6.bioreg.kyushu-u.ac.jp/M3/20110411/F50913/2980/1", 100.97)</f>
        <v>100.97</v>
      </c>
      <c r="E3109" s="2">
        <v>83.19</v>
      </c>
      <c r="F3109" s="2">
        <v>2</v>
      </c>
      <c r="G3109" s="2" t="s">
        <v>10</v>
      </c>
      <c r="H3109" s="2" t="s">
        <v>4908</v>
      </c>
    </row>
    <row r="3110" spans="1:9" x14ac:dyDescent="0.2">
      <c r="A3110" s="2" t="s">
        <v>3943</v>
      </c>
      <c r="B3110" s="2" t="s">
        <v>1731</v>
      </c>
      <c r="C3110" s="2">
        <v>831.05110000000002</v>
      </c>
      <c r="D3110" s="2">
        <f>HYPERLINK("http://mcb-m6.bioreg.kyushu-u.ac.jp/M3/20110414/F50941/2579/1", 37.99)</f>
        <v>37.99</v>
      </c>
      <c r="E3110" s="2">
        <v>26.95</v>
      </c>
      <c r="F3110" s="2">
        <v>2</v>
      </c>
      <c r="G3110" s="2" t="s">
        <v>11</v>
      </c>
    </row>
    <row r="3111" spans="1:9" x14ac:dyDescent="0.2">
      <c r="A3111" s="2" t="s">
        <v>3943</v>
      </c>
      <c r="B3111" s="2" t="s">
        <v>1731</v>
      </c>
      <c r="C3111" s="2">
        <v>830.80769999999995</v>
      </c>
      <c r="D3111" s="2">
        <f>HYPERLINK("http://mcb-m6.bioreg.kyushu-u.ac.jp/M3/20110414/F50941/2575/1", 58.55)</f>
        <v>58.55</v>
      </c>
      <c r="E3111" s="2">
        <v>36.75</v>
      </c>
      <c r="F3111" s="2">
        <v>2</v>
      </c>
      <c r="G3111" s="2" t="s">
        <v>11</v>
      </c>
    </row>
    <row r="3112" spans="1:9" x14ac:dyDescent="0.2">
      <c r="A3112" s="2" t="s">
        <v>3943</v>
      </c>
      <c r="B3112" s="2" t="s">
        <v>1731</v>
      </c>
      <c r="C3112" s="2">
        <v>830.3777</v>
      </c>
      <c r="D3112" s="2">
        <f>HYPERLINK("http://mcb-m6.bioreg.kyushu-u.ac.jp/M3/20110414/F50947/2511/1", 53.78)</f>
        <v>53.78</v>
      </c>
      <c r="E3112" s="2">
        <v>40.26</v>
      </c>
      <c r="F3112" s="2">
        <v>2</v>
      </c>
      <c r="G3112" s="2" t="s">
        <v>12</v>
      </c>
    </row>
    <row r="3113" spans="1:9" x14ac:dyDescent="0.2">
      <c r="A3113" s="2" t="s">
        <v>3943</v>
      </c>
      <c r="B3113" s="2" t="s">
        <v>1731</v>
      </c>
      <c r="C3113" s="2">
        <v>830.88459999999998</v>
      </c>
      <c r="D3113" s="2">
        <f>HYPERLINK("http://mcb-m6.bioreg.kyushu-u.ac.jp/M3/20110414/F50947/2512/1", 69.42)</f>
        <v>69.42</v>
      </c>
      <c r="E3113" s="2">
        <v>47.49</v>
      </c>
      <c r="F3113" s="2">
        <v>2</v>
      </c>
      <c r="G3113" s="2" t="s">
        <v>12</v>
      </c>
    </row>
    <row r="3114" spans="1:9" x14ac:dyDescent="0.2">
      <c r="A3114" s="2" t="s">
        <v>3943</v>
      </c>
      <c r="B3114" s="2" t="s">
        <v>1731</v>
      </c>
      <c r="C3114" s="2">
        <v>830.9307</v>
      </c>
      <c r="D3114" s="2">
        <f>HYPERLINK("http://mcb-m6.bioreg.kyushu-u.ac.jp/M3/20110502/F51170/2540/1", 41.33)</f>
        <v>41.33</v>
      </c>
      <c r="E3114" s="2">
        <v>12.47</v>
      </c>
      <c r="F3114" s="2">
        <v>2</v>
      </c>
      <c r="G3114" s="2" t="s">
        <v>13</v>
      </c>
    </row>
    <row r="3115" spans="1:9" x14ac:dyDescent="0.2">
      <c r="A3115" s="2" t="s">
        <v>3943</v>
      </c>
      <c r="B3115" s="2" t="s">
        <v>2135</v>
      </c>
      <c r="C3115" s="2">
        <v>944.02760000000001</v>
      </c>
      <c r="D3115" s="2">
        <f>HYPERLINK("http://mcb-m6.bioreg.kyushu-u.ac.jp/M3/20110502/F51170/3062/1", 53.18)</f>
        <v>53.18</v>
      </c>
      <c r="E3115" s="2">
        <v>27</v>
      </c>
      <c r="F3115" s="2">
        <v>2</v>
      </c>
      <c r="G3115" s="2" t="s">
        <v>13</v>
      </c>
      <c r="H3115" s="2" t="s">
        <v>4908</v>
      </c>
    </row>
    <row r="3116" spans="1:9" x14ac:dyDescent="0.2">
      <c r="A3116" s="2" t="s">
        <v>3943</v>
      </c>
      <c r="B3116" s="2" t="s">
        <v>1141</v>
      </c>
      <c r="C3116" s="2">
        <v>651.72860000000003</v>
      </c>
      <c r="D3116" s="2">
        <f>HYPERLINK("http://mcb-m6.bioreg.kyushu-u.ac.jp/M3/20110502/F51170/1634/1", 63.43)</f>
        <v>63.43</v>
      </c>
      <c r="E3116" s="2">
        <v>52.01</v>
      </c>
      <c r="F3116" s="2">
        <v>2</v>
      </c>
      <c r="G3116" s="2" t="s">
        <v>13</v>
      </c>
    </row>
    <row r="3117" spans="1:9" x14ac:dyDescent="0.2">
      <c r="A3117" s="2" t="s">
        <v>3943</v>
      </c>
      <c r="B3117" s="2" t="s">
        <v>2135</v>
      </c>
      <c r="C3117" s="2">
        <v>943.68409999999994</v>
      </c>
      <c r="D3117" s="2">
        <f>HYPERLINK("http://mcb-m6.bioreg.kyushu-u.ac.jp/M3/20110502/F51179/2904/1", 52.95)</f>
        <v>52.95</v>
      </c>
      <c r="E3117" s="2">
        <v>41.14</v>
      </c>
      <c r="F3117" s="2">
        <v>2</v>
      </c>
      <c r="G3117" s="2" t="s">
        <v>14</v>
      </c>
      <c r="H3117" s="2" t="s">
        <v>4908</v>
      </c>
    </row>
    <row r="3118" spans="1:9" x14ac:dyDescent="0.2">
      <c r="A3118" s="2" t="s">
        <v>3943</v>
      </c>
      <c r="B3118" s="2" t="s">
        <v>1141</v>
      </c>
      <c r="C3118" s="2">
        <v>651.46669999999995</v>
      </c>
      <c r="D3118" s="2">
        <f>HYPERLINK("http://mcb-m6.bioreg.kyushu-u.ac.jp/M3/20110502/F51179/1270/1", 65.2)</f>
        <v>65.2</v>
      </c>
      <c r="E3118" s="2">
        <v>51.58</v>
      </c>
      <c r="F3118" s="2">
        <v>2</v>
      </c>
      <c r="G3118" s="2" t="s">
        <v>14</v>
      </c>
    </row>
    <row r="3119" spans="1:9" x14ac:dyDescent="0.2">
      <c r="A3119" s="2" t="s">
        <v>4699</v>
      </c>
      <c r="B3119" s="2" t="s">
        <v>2875</v>
      </c>
      <c r="C3119" s="2">
        <v>526.51760000000002</v>
      </c>
      <c r="D3119" s="2">
        <f>HYPERLINK("http://mcb-m6.bioreg.kyushu-u.ac.jp/M3/20110502/F51165/1380/1", 40.7)</f>
        <v>40.700000000000003</v>
      </c>
      <c r="E3119" s="2">
        <v>9.83</v>
      </c>
      <c r="F3119" s="2">
        <v>2</v>
      </c>
      <c r="G3119" s="2" t="s">
        <v>13</v>
      </c>
      <c r="I3119" s="2" t="s">
        <v>4893</v>
      </c>
    </row>
    <row r="3120" spans="1:9" x14ac:dyDescent="0.2">
      <c r="A3120" s="2" t="s">
        <v>4389</v>
      </c>
      <c r="B3120" s="2" t="s">
        <v>2227</v>
      </c>
      <c r="C3120" s="2">
        <v>537.8107</v>
      </c>
      <c r="D3120" s="2">
        <f>HYPERLINK("http://mcb-m6.bioreg.kyushu-u.ac.jp/M3/20110414/F50925/1578/1", 38.63)</f>
        <v>38.630000000000003</v>
      </c>
      <c r="E3120" s="2">
        <v>8.51</v>
      </c>
      <c r="F3120" s="2">
        <v>2</v>
      </c>
      <c r="G3120" s="2" t="s">
        <v>11</v>
      </c>
    </row>
    <row r="3121" spans="1:9" x14ac:dyDescent="0.2">
      <c r="A3121" s="2" t="s">
        <v>4475</v>
      </c>
      <c r="B3121" s="2" t="s">
        <v>2417</v>
      </c>
      <c r="C3121" s="2">
        <v>575.74019999999996</v>
      </c>
      <c r="D3121" s="2">
        <f>HYPERLINK("http://mcb-m6.bioreg.kyushu-u.ac.jp/M3/20110414/F50925/1671/1", 59.36)</f>
        <v>59.36</v>
      </c>
      <c r="E3121" s="2">
        <v>38.83</v>
      </c>
      <c r="F3121" s="2">
        <v>2</v>
      </c>
      <c r="G3121" s="2" t="s">
        <v>11</v>
      </c>
      <c r="I3121" s="2" t="s">
        <v>4893</v>
      </c>
    </row>
    <row r="3122" spans="1:9" x14ac:dyDescent="0.2">
      <c r="A3122" s="2" t="s">
        <v>4475</v>
      </c>
      <c r="B3122" s="2" t="s">
        <v>2481</v>
      </c>
      <c r="C3122" s="2">
        <v>994.11969999999997</v>
      </c>
      <c r="D3122" s="2">
        <f>HYPERLINK("http://mcb-m6.bioreg.kyushu-u.ac.jp/M3/20110414/F50924/3101/1", 77.95)</f>
        <v>77.95</v>
      </c>
      <c r="E3122" s="2">
        <v>68.5</v>
      </c>
      <c r="F3122" s="2">
        <v>2</v>
      </c>
      <c r="G3122" s="2" t="s">
        <v>11</v>
      </c>
      <c r="I3122" s="2" t="s">
        <v>4906</v>
      </c>
    </row>
    <row r="3123" spans="1:9" x14ac:dyDescent="0.2">
      <c r="A3123" s="2" t="s">
        <v>4475</v>
      </c>
      <c r="B3123" s="2" t="s">
        <v>2481</v>
      </c>
      <c r="C3123" s="2">
        <v>993.47310000000004</v>
      </c>
      <c r="D3123" s="2">
        <f>HYPERLINK("http://mcb-m6.bioreg.kyushu-u.ac.jp/M3/20110414/F50924/3099/1", 81.66)</f>
        <v>81.66</v>
      </c>
      <c r="E3123" s="2">
        <v>74.81</v>
      </c>
      <c r="F3123" s="2">
        <v>2</v>
      </c>
      <c r="G3123" s="2" t="s">
        <v>11</v>
      </c>
      <c r="I3123" s="2" t="s">
        <v>4906</v>
      </c>
    </row>
    <row r="3124" spans="1:9" x14ac:dyDescent="0.2">
      <c r="A3124" s="2" t="s">
        <v>4475</v>
      </c>
      <c r="B3124" s="2" t="s">
        <v>2481</v>
      </c>
      <c r="C3124" s="2">
        <v>993.38120000000004</v>
      </c>
      <c r="D3124" s="2">
        <f>HYPERLINK("http://mcb-m6.bioreg.kyushu-u.ac.jp/M3/20110414/F50925/2833/1", 90.41)</f>
        <v>90.41</v>
      </c>
      <c r="E3124" s="2">
        <v>84.18</v>
      </c>
      <c r="F3124" s="2">
        <v>2</v>
      </c>
      <c r="G3124" s="2" t="s">
        <v>11</v>
      </c>
      <c r="I3124" s="2" t="s">
        <v>4906</v>
      </c>
    </row>
    <row r="3125" spans="1:9" x14ac:dyDescent="0.2">
      <c r="A3125" s="2" t="s">
        <v>3530</v>
      </c>
      <c r="B3125" s="2" t="s">
        <v>378</v>
      </c>
      <c r="C3125" s="2">
        <v>634.04719999999998</v>
      </c>
      <c r="D3125" s="2">
        <f>HYPERLINK("http://mcb-m6.bioreg.kyushu-u.ac.jp/M3/20110411/F50903/1526/1", 40.75)</f>
        <v>40.75</v>
      </c>
      <c r="E3125" s="2">
        <v>22.23</v>
      </c>
      <c r="F3125" s="2">
        <v>2</v>
      </c>
      <c r="G3125" s="2" t="s">
        <v>9</v>
      </c>
    </row>
    <row r="3126" spans="1:9" x14ac:dyDescent="0.2">
      <c r="A3126" s="2" t="s">
        <v>3530</v>
      </c>
      <c r="B3126" s="2" t="s">
        <v>1122</v>
      </c>
      <c r="C3126" s="2">
        <v>733.64170000000001</v>
      </c>
      <c r="D3126" s="2">
        <f>HYPERLINK("http://mcb-m6.bioreg.kyushu-u.ac.jp/M3/20110411/F50903/2047/1", 64.15)</f>
        <v>64.150000000000006</v>
      </c>
      <c r="E3126" s="2">
        <v>39.28</v>
      </c>
      <c r="F3126" s="2">
        <v>2</v>
      </c>
      <c r="G3126" s="2" t="s">
        <v>9</v>
      </c>
    </row>
    <row r="3127" spans="1:9" x14ac:dyDescent="0.2">
      <c r="A3127" s="2" t="s">
        <v>3530</v>
      </c>
      <c r="B3127" s="2" t="s">
        <v>378</v>
      </c>
      <c r="C3127" s="2">
        <v>634.35419999999999</v>
      </c>
      <c r="D3127" s="2">
        <f>HYPERLINK("http://mcb-m6.bioreg.kyushu-u.ac.jp/M3/20110411/F50920/1104/1", 41.79)</f>
        <v>41.79</v>
      </c>
      <c r="E3127" s="2">
        <v>23.58</v>
      </c>
      <c r="F3127" s="2">
        <v>2</v>
      </c>
      <c r="G3127" s="2" t="s">
        <v>10</v>
      </c>
    </row>
    <row r="3128" spans="1:9" x14ac:dyDescent="0.2">
      <c r="A3128" s="2" t="s">
        <v>3530</v>
      </c>
      <c r="B3128" s="2" t="s">
        <v>378</v>
      </c>
      <c r="C3128" s="2">
        <v>633.93820000000005</v>
      </c>
      <c r="D3128" s="2">
        <f>HYPERLINK("http://mcb-m6.bioreg.kyushu-u.ac.jp/M3/20110414/F50925/1841/1", 48.32)</f>
        <v>48.32</v>
      </c>
      <c r="E3128" s="2">
        <v>28.53</v>
      </c>
      <c r="F3128" s="2">
        <v>2</v>
      </c>
      <c r="G3128" s="2" t="s">
        <v>11</v>
      </c>
    </row>
    <row r="3129" spans="1:9" x14ac:dyDescent="0.2">
      <c r="A3129" s="2" t="s">
        <v>3384</v>
      </c>
      <c r="B3129" s="2" t="s">
        <v>177</v>
      </c>
      <c r="C3129" s="2">
        <v>1170.4490000000001</v>
      </c>
      <c r="D3129" s="2">
        <f>HYPERLINK("http://mcb-m6.bioreg.kyushu-u.ac.jp/M3/20110411/F50889/1795/1", 37.28)</f>
        <v>37.28</v>
      </c>
      <c r="E3129" s="2">
        <v>15.98</v>
      </c>
      <c r="F3129" s="2">
        <v>1</v>
      </c>
      <c r="G3129" s="2" t="s">
        <v>9</v>
      </c>
    </row>
    <row r="3130" spans="1:9" x14ac:dyDescent="0.2">
      <c r="A3130" s="2" t="s">
        <v>3384</v>
      </c>
      <c r="B3130" s="2" t="s">
        <v>177</v>
      </c>
      <c r="C3130" s="2">
        <v>1171.482</v>
      </c>
      <c r="D3130" s="2">
        <f>HYPERLINK("http://mcb-m6.bioreg.kyushu-u.ac.jp/M3/20110411/F50889/1800/1", 49.35)</f>
        <v>49.35</v>
      </c>
      <c r="E3130" s="2">
        <v>28.81</v>
      </c>
      <c r="F3130" s="2">
        <v>1</v>
      </c>
      <c r="G3130" s="2" t="s">
        <v>9</v>
      </c>
    </row>
    <row r="3131" spans="1:9" x14ac:dyDescent="0.2">
      <c r="A3131" s="2" t="s">
        <v>3384</v>
      </c>
      <c r="B3131" s="2" t="s">
        <v>177</v>
      </c>
      <c r="C3131" s="2">
        <v>585.68409999999994</v>
      </c>
      <c r="D3131" s="2">
        <f>HYPERLINK("http://mcb-m6.bioreg.kyushu-u.ac.jp/M3/20110411/F50889/1793/1", 84.85)</f>
        <v>84.85</v>
      </c>
      <c r="E3131" s="2">
        <v>51.82</v>
      </c>
      <c r="F3131" s="2">
        <v>2</v>
      </c>
      <c r="G3131" s="2" t="s">
        <v>9</v>
      </c>
    </row>
    <row r="3132" spans="1:9" x14ac:dyDescent="0.2">
      <c r="A3132" s="2" t="s">
        <v>3384</v>
      </c>
      <c r="B3132" s="2" t="s">
        <v>177</v>
      </c>
      <c r="C3132" s="2">
        <v>586.38570000000004</v>
      </c>
      <c r="D3132" s="2">
        <f>HYPERLINK("http://mcb-m6.bioreg.kyushu-u.ac.jp/M3/20110411/F50896/1583/1", 63.87)</f>
        <v>63.87</v>
      </c>
      <c r="E3132" s="2">
        <v>42.93</v>
      </c>
      <c r="F3132" s="2">
        <v>2</v>
      </c>
      <c r="G3132" s="2" t="s">
        <v>10</v>
      </c>
    </row>
    <row r="3133" spans="1:9" x14ac:dyDescent="0.2">
      <c r="A3133" s="2" t="s">
        <v>3384</v>
      </c>
      <c r="B3133" s="2" t="s">
        <v>177</v>
      </c>
      <c r="C3133" s="2">
        <v>585.46810000000005</v>
      </c>
      <c r="D3133" s="2">
        <f>HYPERLINK("http://mcb-m6.bioreg.kyushu-u.ac.jp/M3/20110414/F50926/1723/1", 62.64)</f>
        <v>62.64</v>
      </c>
      <c r="E3133" s="2">
        <v>37.229999999999997</v>
      </c>
      <c r="F3133" s="2">
        <v>2</v>
      </c>
      <c r="G3133" s="2" t="s">
        <v>11</v>
      </c>
    </row>
    <row r="3134" spans="1:9" x14ac:dyDescent="0.2">
      <c r="A3134" s="2" t="s">
        <v>3384</v>
      </c>
      <c r="B3134" s="2" t="s">
        <v>177</v>
      </c>
      <c r="C3134" s="2">
        <v>586.05909999999994</v>
      </c>
      <c r="D3134" s="2">
        <f>HYPERLINK("http://mcb-m6.bioreg.kyushu-u.ac.jp/M3/20110502/F51176/1667/1", 80.3)</f>
        <v>80.3</v>
      </c>
      <c r="E3134" s="2">
        <v>53.2</v>
      </c>
      <c r="F3134" s="2">
        <v>2</v>
      </c>
      <c r="G3134" s="2" t="s">
        <v>14</v>
      </c>
    </row>
    <row r="3135" spans="1:9" x14ac:dyDescent="0.2">
      <c r="A3135" s="2" t="s">
        <v>3816</v>
      </c>
      <c r="B3135" s="2" t="s">
        <v>876</v>
      </c>
      <c r="C3135" s="2">
        <v>665.81960000000004</v>
      </c>
      <c r="D3135" s="2">
        <f>HYPERLINK("http://mcb-m6.bioreg.kyushu-u.ac.jp/M3/20110411/F50889/2006/1", 54.17)</f>
        <v>54.17</v>
      </c>
      <c r="E3135" s="2">
        <v>34.020000000000003</v>
      </c>
      <c r="F3135" s="2">
        <v>2</v>
      </c>
      <c r="G3135" s="2" t="s">
        <v>9</v>
      </c>
      <c r="I3135" s="2" t="s">
        <v>4899</v>
      </c>
    </row>
    <row r="3136" spans="1:9" x14ac:dyDescent="0.2">
      <c r="A3136" s="2" t="s">
        <v>4884</v>
      </c>
      <c r="B3136" s="2" t="s">
        <v>3215</v>
      </c>
      <c r="C3136" s="2">
        <v>618.50120000000004</v>
      </c>
      <c r="D3136" s="2">
        <f>HYPERLINK("http://mcb-m6.bioreg.kyushu-u.ac.jp/M3/20110502/F51176/1773/1", 82.03)</f>
        <v>82.03</v>
      </c>
      <c r="E3136" s="2">
        <v>44.39</v>
      </c>
      <c r="F3136" s="2">
        <v>2</v>
      </c>
      <c r="G3136" s="2" t="s">
        <v>14</v>
      </c>
      <c r="I3136" s="2" t="s">
        <v>4905</v>
      </c>
    </row>
    <row r="3137" spans="1:9" x14ac:dyDescent="0.2">
      <c r="A3137" s="2" t="s">
        <v>3241</v>
      </c>
      <c r="B3137" s="2" t="s">
        <v>21</v>
      </c>
      <c r="C3137" s="2">
        <v>669.62070000000006</v>
      </c>
      <c r="D3137" s="2">
        <f>HYPERLINK("http://mcb-m6.bioreg.kyushu-u.ac.jp/M3/20110411/F50905/1653/1", 35.08)</f>
        <v>35.08</v>
      </c>
      <c r="E3137" s="2">
        <v>12.41</v>
      </c>
      <c r="F3137" s="2">
        <v>2</v>
      </c>
      <c r="G3137" s="2" t="s">
        <v>9</v>
      </c>
      <c r="H3137" s="2" t="s">
        <v>4891</v>
      </c>
    </row>
    <row r="3138" spans="1:9" x14ac:dyDescent="0.2">
      <c r="A3138" s="2" t="s">
        <v>4149</v>
      </c>
      <c r="B3138" s="2" t="s">
        <v>1701</v>
      </c>
      <c r="C3138" s="2">
        <v>502.62220000000002</v>
      </c>
      <c r="D3138" s="2">
        <f>HYPERLINK("http://mcb-m6.bioreg.kyushu-u.ac.jp/M3/20110411/F50918/1950/1", 35.48)</f>
        <v>35.479999999999997</v>
      </c>
      <c r="E3138" s="2">
        <v>10.86</v>
      </c>
      <c r="F3138" s="2">
        <v>3</v>
      </c>
      <c r="G3138" s="2" t="s">
        <v>10</v>
      </c>
      <c r="H3138" s="2" t="s">
        <v>4910</v>
      </c>
    </row>
    <row r="3139" spans="1:9" x14ac:dyDescent="0.2">
      <c r="A3139" s="2" t="s">
        <v>4054</v>
      </c>
      <c r="B3139" s="2" t="s">
        <v>1410</v>
      </c>
      <c r="C3139" s="2">
        <v>767.54719999999998</v>
      </c>
      <c r="D3139" s="2">
        <f>HYPERLINK("http://mcb-m6.bioreg.kyushu-u.ac.jp/M3/20110411/F50911/2243/1", 78.3)</f>
        <v>78.3</v>
      </c>
      <c r="E3139" s="2">
        <v>52.53</v>
      </c>
      <c r="F3139" s="2">
        <v>2</v>
      </c>
      <c r="G3139" s="2" t="s">
        <v>9</v>
      </c>
    </row>
    <row r="3140" spans="1:9" x14ac:dyDescent="0.2">
      <c r="A3140" s="2" t="s">
        <v>4054</v>
      </c>
      <c r="B3140" s="2" t="s">
        <v>1410</v>
      </c>
      <c r="C3140" s="2">
        <v>767.51319999999998</v>
      </c>
      <c r="D3140" s="2">
        <f>HYPERLINK("http://mcb-m6.bioreg.kyushu-u.ac.jp/M3/20110502/F51170/2229/1", 69.51)</f>
        <v>69.510000000000005</v>
      </c>
      <c r="E3140" s="2">
        <v>47.18</v>
      </c>
      <c r="F3140" s="2">
        <v>2</v>
      </c>
      <c r="G3140" s="2" t="s">
        <v>13</v>
      </c>
    </row>
    <row r="3141" spans="1:9" x14ac:dyDescent="0.2">
      <c r="A3141" s="2" t="s">
        <v>3909</v>
      </c>
      <c r="B3141" s="2" t="s">
        <v>1073</v>
      </c>
      <c r="C3141" s="2">
        <v>895.42470000000003</v>
      </c>
      <c r="D3141" s="2">
        <f>HYPERLINK("http://mcb-m6.bioreg.kyushu-u.ac.jp/M3/20110411/F50890/2950/1", 61.76)</f>
        <v>61.76</v>
      </c>
      <c r="E3141" s="2">
        <v>46.32</v>
      </c>
      <c r="F3141" s="2">
        <v>2</v>
      </c>
      <c r="G3141" s="2" t="s">
        <v>9</v>
      </c>
    </row>
    <row r="3142" spans="1:9" x14ac:dyDescent="0.2">
      <c r="A3142" s="2" t="s">
        <v>3387</v>
      </c>
      <c r="B3142" s="2" t="s">
        <v>180</v>
      </c>
      <c r="C3142" s="2">
        <v>549.70119999999997</v>
      </c>
      <c r="D3142" s="2">
        <f>HYPERLINK("http://mcb-m6.bioreg.kyushu-u.ac.jp/M3/20110411/F50890/1313/1", 37.32)</f>
        <v>37.32</v>
      </c>
      <c r="E3142" s="2">
        <v>15.52</v>
      </c>
      <c r="F3142" s="2">
        <v>2</v>
      </c>
      <c r="G3142" s="2" t="s">
        <v>9</v>
      </c>
    </row>
    <row r="3143" spans="1:9" x14ac:dyDescent="0.2">
      <c r="A3143" s="2" t="s">
        <v>3387</v>
      </c>
      <c r="B3143" s="2" t="s">
        <v>350</v>
      </c>
      <c r="C3143" s="2">
        <v>698.5702</v>
      </c>
      <c r="D3143" s="2">
        <f>HYPERLINK("http://mcb-m6.bioreg.kyushu-u.ac.jp/M3/20110411/F50891/3585/1", 40.1)</f>
        <v>40.1</v>
      </c>
      <c r="E3143" s="2">
        <v>31.15</v>
      </c>
      <c r="F3143" s="2">
        <v>3</v>
      </c>
      <c r="G3143" s="2" t="s">
        <v>9</v>
      </c>
      <c r="I3143" s="2" t="s">
        <v>4903</v>
      </c>
    </row>
    <row r="3144" spans="1:9" x14ac:dyDescent="0.2">
      <c r="A3144" s="2" t="s">
        <v>3387</v>
      </c>
      <c r="B3144" s="2" t="s">
        <v>180</v>
      </c>
      <c r="C3144" s="2">
        <v>1099.049</v>
      </c>
      <c r="D3144" s="2">
        <f>HYPERLINK("http://mcb-m6.bioreg.kyushu-u.ac.jp/M3/20110411/F50891/1153/1", 55.08)</f>
        <v>55.08</v>
      </c>
      <c r="E3144" s="2">
        <v>26.04</v>
      </c>
      <c r="F3144" s="2">
        <v>1</v>
      </c>
      <c r="G3144" s="2" t="s">
        <v>9</v>
      </c>
    </row>
    <row r="3145" spans="1:9" x14ac:dyDescent="0.2">
      <c r="A3145" s="2" t="s">
        <v>3387</v>
      </c>
      <c r="B3145" s="2" t="s">
        <v>1066</v>
      </c>
      <c r="C3145" s="2">
        <v>694.33420000000001</v>
      </c>
      <c r="D3145" s="2">
        <f>HYPERLINK("http://mcb-m6.bioreg.kyushu-u.ac.jp/M3/20110411/F50890/1921/1", 61.3)</f>
        <v>61.3</v>
      </c>
      <c r="E3145" s="2">
        <v>46.78</v>
      </c>
      <c r="F3145" s="2">
        <v>2</v>
      </c>
      <c r="G3145" s="2" t="s">
        <v>9</v>
      </c>
      <c r="H3145" s="2" t="s">
        <v>4919</v>
      </c>
    </row>
    <row r="3146" spans="1:9" x14ac:dyDescent="0.2">
      <c r="A3146" s="2" t="s">
        <v>3387</v>
      </c>
      <c r="B3146" s="2" t="s">
        <v>1066</v>
      </c>
      <c r="C3146" s="2">
        <v>686.45119999999997</v>
      </c>
      <c r="D3146" s="2">
        <f>HYPERLINK("http://mcb-m6.bioreg.kyushu-u.ac.jp/M3/20110411/F50891/1780/1", 63.74)</f>
        <v>63.74</v>
      </c>
      <c r="E3146" s="2">
        <v>49.42</v>
      </c>
      <c r="F3146" s="2">
        <v>2</v>
      </c>
      <c r="G3146" s="2" t="s">
        <v>9</v>
      </c>
    </row>
    <row r="3147" spans="1:9" x14ac:dyDescent="0.2">
      <c r="A3147" s="2" t="s">
        <v>3387</v>
      </c>
      <c r="B3147" s="2" t="s">
        <v>180</v>
      </c>
      <c r="C3147" s="2">
        <v>550.30470000000003</v>
      </c>
      <c r="D3147" s="2">
        <f>HYPERLINK("http://mcb-m6.bioreg.kyushu-u.ac.jp/M3/20110411/F50891/1154/1", 66.43)</f>
        <v>66.430000000000007</v>
      </c>
      <c r="E3147" s="2">
        <v>42.59</v>
      </c>
      <c r="F3147" s="2">
        <v>2</v>
      </c>
      <c r="G3147" s="2" t="s">
        <v>9</v>
      </c>
    </row>
    <row r="3148" spans="1:9" x14ac:dyDescent="0.2">
      <c r="A3148" s="2" t="s">
        <v>3387</v>
      </c>
      <c r="B3148" s="2" t="s">
        <v>350</v>
      </c>
      <c r="C3148" s="2">
        <v>1047.412</v>
      </c>
      <c r="D3148" s="2">
        <f>HYPERLINK("http://mcb-m6.bioreg.kyushu-u.ac.jp/M3/20110411/F50891/3586/1", 70.86)</f>
        <v>70.86</v>
      </c>
      <c r="E3148" s="2">
        <v>57.77</v>
      </c>
      <c r="F3148" s="2">
        <v>2</v>
      </c>
      <c r="G3148" s="2" t="s">
        <v>9</v>
      </c>
      <c r="I3148" s="2" t="s">
        <v>4903</v>
      </c>
    </row>
    <row r="3149" spans="1:9" x14ac:dyDescent="0.2">
      <c r="A3149" s="2" t="s">
        <v>3387</v>
      </c>
      <c r="B3149" s="2" t="s">
        <v>1437</v>
      </c>
      <c r="C3149" s="2">
        <v>928.42970000000003</v>
      </c>
      <c r="D3149" s="2">
        <f>HYPERLINK("http://mcb-m6.bioreg.kyushu-u.ac.jp/M3/20110411/F50890/3101/1", 80.33)</f>
        <v>80.33</v>
      </c>
      <c r="E3149" s="2">
        <v>58.51</v>
      </c>
      <c r="F3149" s="2">
        <v>2</v>
      </c>
      <c r="G3149" s="2" t="s">
        <v>9</v>
      </c>
    </row>
    <row r="3150" spans="1:9" x14ac:dyDescent="0.2">
      <c r="A3150" s="2" t="s">
        <v>3387</v>
      </c>
      <c r="B3150" s="2" t="s">
        <v>180</v>
      </c>
      <c r="C3150" s="2">
        <v>549.77670000000001</v>
      </c>
      <c r="D3150" s="2">
        <f>HYPERLINK("http://mcb-m6.bioreg.kyushu-u.ac.jp/M3/20110411/F50891/1152/1", 82.73)</f>
        <v>82.73</v>
      </c>
      <c r="E3150" s="2">
        <v>52.93</v>
      </c>
      <c r="F3150" s="2">
        <v>2</v>
      </c>
      <c r="G3150" s="2" t="s">
        <v>9</v>
      </c>
    </row>
    <row r="3151" spans="1:9" x14ac:dyDescent="0.2">
      <c r="A3151" s="2" t="s">
        <v>3387</v>
      </c>
      <c r="B3151" s="2" t="s">
        <v>350</v>
      </c>
      <c r="C3151" s="2">
        <v>1047.345</v>
      </c>
      <c r="D3151" s="2">
        <f>HYPERLINK("http://mcb-m6.bioreg.kyushu-u.ac.jp/M3/20110411/F50890/3442/1", 85.17)</f>
        <v>85.17</v>
      </c>
      <c r="E3151" s="2">
        <v>77.2</v>
      </c>
      <c r="F3151" s="2">
        <v>2</v>
      </c>
      <c r="G3151" s="2" t="s">
        <v>9</v>
      </c>
      <c r="I3151" s="2" t="s">
        <v>4903</v>
      </c>
    </row>
    <row r="3152" spans="1:9" x14ac:dyDescent="0.2">
      <c r="A3152" s="2" t="s">
        <v>3387</v>
      </c>
      <c r="B3152" s="2" t="s">
        <v>1437</v>
      </c>
      <c r="C3152" s="2">
        <v>929.05870000000004</v>
      </c>
      <c r="D3152" s="2">
        <f>HYPERLINK("http://mcb-m6.bioreg.kyushu-u.ac.jp/M3/20110411/F50897/2907/1", 36.68)</f>
        <v>36.68</v>
      </c>
      <c r="E3152" s="2">
        <v>17.510000000000002</v>
      </c>
      <c r="F3152" s="2">
        <v>2</v>
      </c>
      <c r="G3152" s="2" t="s">
        <v>10</v>
      </c>
    </row>
    <row r="3153" spans="1:7" x14ac:dyDescent="0.2">
      <c r="A3153" s="2" t="s">
        <v>3387</v>
      </c>
      <c r="B3153" s="2" t="s">
        <v>180</v>
      </c>
      <c r="C3153" s="2">
        <v>549.66110000000003</v>
      </c>
      <c r="D3153" s="2">
        <f>HYPERLINK("http://mcb-m6.bioreg.kyushu-u.ac.jp/M3/20110411/F50898/1676/1", 72.58)</f>
        <v>72.58</v>
      </c>
      <c r="E3153" s="2">
        <v>46.41</v>
      </c>
      <c r="F3153" s="2">
        <v>2</v>
      </c>
      <c r="G3153" s="2" t="s">
        <v>10</v>
      </c>
    </row>
    <row r="3154" spans="1:7" x14ac:dyDescent="0.2">
      <c r="A3154" s="2" t="s">
        <v>3387</v>
      </c>
      <c r="B3154" s="2" t="s">
        <v>1437</v>
      </c>
      <c r="C3154" s="2">
        <v>928.61770000000001</v>
      </c>
      <c r="D3154" s="2">
        <f>HYPERLINK("http://mcb-m6.bioreg.kyushu-u.ac.jp/M3/20110411/F50898/2769/1", 80.41)</f>
        <v>80.41</v>
      </c>
      <c r="E3154" s="2">
        <v>65.27</v>
      </c>
      <c r="F3154" s="2">
        <v>2</v>
      </c>
      <c r="G3154" s="2" t="s">
        <v>10</v>
      </c>
    </row>
    <row r="3155" spans="1:7" x14ac:dyDescent="0.2">
      <c r="A3155" s="2" t="s">
        <v>3387</v>
      </c>
      <c r="B3155" s="2" t="s">
        <v>180</v>
      </c>
      <c r="C3155" s="2">
        <v>549.43520000000001</v>
      </c>
      <c r="D3155" s="2">
        <f>HYPERLINK("http://mcb-m6.bioreg.kyushu-u.ac.jp/M3/20110414/F50928/1416/1", 43.48)</f>
        <v>43.48</v>
      </c>
      <c r="E3155" s="2">
        <v>16.87</v>
      </c>
      <c r="F3155" s="2">
        <v>2</v>
      </c>
      <c r="G3155" s="2" t="s">
        <v>11</v>
      </c>
    </row>
    <row r="3156" spans="1:7" x14ac:dyDescent="0.2">
      <c r="A3156" s="2" t="s">
        <v>3387</v>
      </c>
      <c r="B3156" s="2" t="s">
        <v>180</v>
      </c>
      <c r="C3156" s="2">
        <v>549.73569999999995</v>
      </c>
      <c r="D3156" s="2">
        <f>HYPERLINK("http://mcb-m6.bioreg.kyushu-u.ac.jp/M3/20110414/F50929/1651/1", 56.2)</f>
        <v>56.2</v>
      </c>
      <c r="E3156" s="2">
        <v>37.18</v>
      </c>
      <c r="F3156" s="2">
        <v>2</v>
      </c>
      <c r="G3156" s="2" t="s">
        <v>11</v>
      </c>
    </row>
    <row r="3157" spans="1:7" x14ac:dyDescent="0.2">
      <c r="A3157" s="2" t="s">
        <v>3387</v>
      </c>
      <c r="B3157" s="2" t="s">
        <v>180</v>
      </c>
      <c r="C3157" s="2">
        <v>549.52919999999995</v>
      </c>
      <c r="D3157" s="2">
        <f>HYPERLINK("http://mcb-m6.bioreg.kyushu-u.ac.jp/M3/20110414/F50927/1547/1", 59.17)</f>
        <v>59.17</v>
      </c>
      <c r="E3157" s="2">
        <v>30.36</v>
      </c>
      <c r="F3157" s="2">
        <v>2</v>
      </c>
      <c r="G3157" s="2" t="s">
        <v>11</v>
      </c>
    </row>
    <row r="3158" spans="1:7" x14ac:dyDescent="0.2">
      <c r="A3158" s="2" t="s">
        <v>3387</v>
      </c>
      <c r="B3158" s="2" t="s">
        <v>1437</v>
      </c>
      <c r="C3158" s="2">
        <v>928.50319999999999</v>
      </c>
      <c r="D3158" s="2">
        <f>HYPERLINK("http://mcb-m6.bioreg.kyushu-u.ac.jp/M3/20110414/F50928/3100/1", 68.32)</f>
        <v>68.319999999999993</v>
      </c>
      <c r="E3158" s="2">
        <v>44.4</v>
      </c>
      <c r="F3158" s="2">
        <v>2</v>
      </c>
      <c r="G3158" s="2" t="s">
        <v>11</v>
      </c>
    </row>
    <row r="3159" spans="1:7" x14ac:dyDescent="0.2">
      <c r="A3159" s="2" t="s">
        <v>3387</v>
      </c>
      <c r="B3159" s="2" t="s">
        <v>180</v>
      </c>
      <c r="C3159" s="2">
        <v>549.98069999999996</v>
      </c>
      <c r="D3159" s="2">
        <f>HYPERLINK("http://mcb-m6.bioreg.kyushu-u.ac.jp/M3/20110414/F50933/1638/1", 37.62)</f>
        <v>37.619999999999997</v>
      </c>
      <c r="E3159" s="2">
        <v>19.670000000000002</v>
      </c>
      <c r="F3159" s="2">
        <v>2</v>
      </c>
      <c r="G3159" s="2" t="s">
        <v>12</v>
      </c>
    </row>
    <row r="3160" spans="1:7" x14ac:dyDescent="0.2">
      <c r="A3160" s="2" t="s">
        <v>3387</v>
      </c>
      <c r="B3160" s="2" t="s">
        <v>1437</v>
      </c>
      <c r="C3160" s="2">
        <v>928.33169999999996</v>
      </c>
      <c r="D3160" s="2">
        <f>HYPERLINK("http://mcb-m6.bioreg.kyushu-u.ac.jp/M3/20110414/F50933/3143/1", 42.7)</f>
        <v>42.7</v>
      </c>
      <c r="E3160" s="2">
        <v>23.26</v>
      </c>
      <c r="F3160" s="2">
        <v>2</v>
      </c>
      <c r="G3160" s="2" t="s">
        <v>12</v>
      </c>
    </row>
    <row r="3161" spans="1:7" x14ac:dyDescent="0.2">
      <c r="A3161" s="2" t="s">
        <v>3387</v>
      </c>
      <c r="B3161" s="2" t="s">
        <v>1437</v>
      </c>
      <c r="C3161" s="2">
        <v>928.88070000000005</v>
      </c>
      <c r="D3161" s="2">
        <f>HYPERLINK("http://mcb-m6.bioreg.kyushu-u.ac.jp/M3/20110414/F50932/2747/1", 64.73)</f>
        <v>64.73</v>
      </c>
      <c r="E3161" s="2">
        <v>45.98</v>
      </c>
      <c r="F3161" s="2">
        <v>2</v>
      </c>
      <c r="G3161" s="2" t="s">
        <v>12</v>
      </c>
    </row>
    <row r="3162" spans="1:7" x14ac:dyDescent="0.2">
      <c r="A3162" s="2" t="s">
        <v>3387</v>
      </c>
      <c r="B3162" s="2" t="s">
        <v>1437</v>
      </c>
      <c r="C3162" s="2">
        <v>928.85419999999999</v>
      </c>
      <c r="D3162" s="2">
        <f>HYPERLINK("http://mcb-m6.bioreg.kyushu-u.ac.jp/M3/20110414/F50933/3145/1", 65.81)</f>
        <v>65.81</v>
      </c>
      <c r="E3162" s="2">
        <v>51.87</v>
      </c>
      <c r="F3162" s="2">
        <v>2</v>
      </c>
      <c r="G3162" s="2" t="s">
        <v>12</v>
      </c>
    </row>
    <row r="3163" spans="1:7" x14ac:dyDescent="0.2">
      <c r="A3163" s="2" t="s">
        <v>3387</v>
      </c>
      <c r="B3163" s="2" t="s">
        <v>180</v>
      </c>
      <c r="C3163" s="2">
        <v>549.94320000000005</v>
      </c>
      <c r="D3163" s="2">
        <f>HYPERLINK("http://mcb-m6.bioreg.kyushu-u.ac.jp/M3/20110502/F51169/1370/1", 35.74)</f>
        <v>35.74</v>
      </c>
      <c r="E3163" s="2">
        <v>20.04</v>
      </c>
      <c r="F3163" s="2">
        <v>2</v>
      </c>
      <c r="G3163" s="2" t="s">
        <v>13</v>
      </c>
    </row>
    <row r="3164" spans="1:7" x14ac:dyDescent="0.2">
      <c r="A3164" s="2" t="s">
        <v>3387</v>
      </c>
      <c r="B3164" s="2" t="s">
        <v>1437</v>
      </c>
      <c r="C3164" s="2">
        <v>928.77719999999999</v>
      </c>
      <c r="D3164" s="2">
        <f>HYPERLINK("http://mcb-m6.bioreg.kyushu-u.ac.jp/M3/20110502/F51169/2846/1", 73.28)</f>
        <v>73.28</v>
      </c>
      <c r="E3164" s="2">
        <v>54.98</v>
      </c>
      <c r="F3164" s="2">
        <v>2</v>
      </c>
      <c r="G3164" s="2" t="s">
        <v>13</v>
      </c>
    </row>
    <row r="3165" spans="1:7" x14ac:dyDescent="0.2">
      <c r="A3165" s="2" t="s">
        <v>3387</v>
      </c>
      <c r="B3165" s="2" t="s">
        <v>1437</v>
      </c>
      <c r="C3165" s="2">
        <v>929.06709999999998</v>
      </c>
      <c r="D3165" s="2">
        <f>HYPERLINK("http://mcb-m6.bioreg.kyushu-u.ac.jp/M3/20110502/F51177/2864/1", 45.44)</f>
        <v>45.44</v>
      </c>
      <c r="E3165" s="2">
        <v>30.58</v>
      </c>
      <c r="F3165" s="2">
        <v>2</v>
      </c>
      <c r="G3165" s="2" t="s">
        <v>14</v>
      </c>
    </row>
    <row r="3166" spans="1:7" x14ac:dyDescent="0.2">
      <c r="A3166" s="2" t="s">
        <v>3387</v>
      </c>
      <c r="B3166" s="2" t="s">
        <v>180</v>
      </c>
      <c r="C3166" s="2">
        <v>550.0172</v>
      </c>
      <c r="D3166" s="2">
        <f>HYPERLINK("http://mcb-m6.bioreg.kyushu-u.ac.jp/M3/20110502/F51178/1305/1", 79.22)</f>
        <v>79.22</v>
      </c>
      <c r="E3166" s="2">
        <v>46.11</v>
      </c>
      <c r="F3166" s="2">
        <v>2</v>
      </c>
      <c r="G3166" s="2" t="s">
        <v>14</v>
      </c>
    </row>
    <row r="3167" spans="1:7" x14ac:dyDescent="0.2">
      <c r="A3167" s="2" t="s">
        <v>3387</v>
      </c>
      <c r="B3167" s="2" t="s">
        <v>1437</v>
      </c>
      <c r="C3167" s="2">
        <v>928.48569999999995</v>
      </c>
      <c r="D3167" s="2">
        <f>HYPERLINK("http://mcb-m6.bioreg.kyushu-u.ac.jp/M3/20110502/F51178/2879/1", 83.11)</f>
        <v>83.11</v>
      </c>
      <c r="E3167" s="2">
        <v>55.44</v>
      </c>
      <c r="F3167" s="2">
        <v>2</v>
      </c>
      <c r="G3167" s="2" t="s">
        <v>14</v>
      </c>
    </row>
    <row r="3168" spans="1:7" x14ac:dyDescent="0.2">
      <c r="A3168" s="2" t="s">
        <v>3456</v>
      </c>
      <c r="B3168" s="2" t="s">
        <v>267</v>
      </c>
      <c r="C3168" s="2">
        <v>583.93870000000004</v>
      </c>
      <c r="D3168" s="2">
        <f>HYPERLINK("http://mcb-m6.bioreg.kyushu-u.ac.jp/M3/20110411/F50895/1361/1", 38.73)</f>
        <v>38.729999999999997</v>
      </c>
      <c r="E3168" s="2">
        <v>13</v>
      </c>
      <c r="F3168" s="2">
        <v>2</v>
      </c>
      <c r="G3168" s="2" t="s">
        <v>9</v>
      </c>
    </row>
    <row r="3169" spans="1:7" x14ac:dyDescent="0.2">
      <c r="A3169" s="2" t="s">
        <v>3456</v>
      </c>
      <c r="B3169" s="2" t="s">
        <v>267</v>
      </c>
      <c r="C3169" s="2">
        <v>583.97469999999998</v>
      </c>
      <c r="D3169" s="2">
        <f>HYPERLINK("http://mcb-m6.bioreg.kyushu-u.ac.jp/M3/20110411/F50901/1447/1", 50.2)</f>
        <v>50.2</v>
      </c>
      <c r="E3169" s="2">
        <v>22.45</v>
      </c>
      <c r="F3169" s="2">
        <v>2</v>
      </c>
      <c r="G3169" s="2" t="s">
        <v>10</v>
      </c>
    </row>
    <row r="3170" spans="1:7" x14ac:dyDescent="0.2">
      <c r="A3170" s="2" t="s">
        <v>3350</v>
      </c>
      <c r="B3170" s="2" t="s">
        <v>140</v>
      </c>
      <c r="C3170" s="2">
        <v>504.2122</v>
      </c>
      <c r="D3170" s="2">
        <f>HYPERLINK("http://mcb-m6.bioreg.kyushu-u.ac.jp/M3/20110411/F50890/2279/1", 36.63)</f>
        <v>36.630000000000003</v>
      </c>
      <c r="E3170" s="2">
        <v>16.82</v>
      </c>
      <c r="F3170" s="2">
        <v>3</v>
      </c>
      <c r="G3170" s="2" t="s">
        <v>9</v>
      </c>
    </row>
    <row r="3171" spans="1:7" x14ac:dyDescent="0.2">
      <c r="A3171" s="2" t="s">
        <v>3844</v>
      </c>
      <c r="B3171" s="2" t="s">
        <v>936</v>
      </c>
      <c r="C3171" s="2">
        <v>606.71469999999999</v>
      </c>
      <c r="D3171" s="2">
        <f>HYPERLINK("http://mcb-m6.bioreg.kyushu-u.ac.jp/M3/20110411/F50889/1877/1", 56.1)</f>
        <v>56.1</v>
      </c>
      <c r="E3171" s="2">
        <v>32.840000000000003</v>
      </c>
      <c r="F3171" s="2">
        <v>2</v>
      </c>
      <c r="G3171" s="2" t="s">
        <v>9</v>
      </c>
    </row>
    <row r="3172" spans="1:7" x14ac:dyDescent="0.2">
      <c r="A3172" s="2" t="s">
        <v>3844</v>
      </c>
      <c r="B3172" s="2" t="s">
        <v>936</v>
      </c>
      <c r="C3172" s="2">
        <v>606.49770000000001</v>
      </c>
      <c r="D3172" s="2">
        <f>HYPERLINK("http://mcb-m6.bioreg.kyushu-u.ac.jp/M3/20110411/F50896/1664/1", 80.69)</f>
        <v>80.69</v>
      </c>
      <c r="E3172" s="2">
        <v>50.84</v>
      </c>
      <c r="F3172" s="2">
        <v>2</v>
      </c>
      <c r="G3172" s="2" t="s">
        <v>10</v>
      </c>
    </row>
    <row r="3173" spans="1:7" x14ac:dyDescent="0.2">
      <c r="A3173" s="2" t="s">
        <v>3844</v>
      </c>
      <c r="B3173" s="2" t="s">
        <v>936</v>
      </c>
      <c r="C3173" s="2">
        <v>606.03120000000001</v>
      </c>
      <c r="D3173" s="2">
        <f>HYPERLINK("http://mcb-m6.bioreg.kyushu-u.ac.jp/M3/20110414/F50926/1805/1", 50.01)</f>
        <v>50.01</v>
      </c>
      <c r="E3173" s="2">
        <v>24.81</v>
      </c>
      <c r="F3173" s="2">
        <v>2</v>
      </c>
      <c r="G3173" s="2" t="s">
        <v>11</v>
      </c>
    </row>
    <row r="3174" spans="1:7" x14ac:dyDescent="0.2">
      <c r="A3174" s="2" t="s">
        <v>3844</v>
      </c>
      <c r="B3174" s="2" t="s">
        <v>936</v>
      </c>
      <c r="C3174" s="2">
        <v>606.92909999999995</v>
      </c>
      <c r="D3174" s="2">
        <f>HYPERLINK("http://mcb-m6.bioreg.kyushu-u.ac.jp/M3/20110414/F50931/2085/1", 57.97)</f>
        <v>57.97</v>
      </c>
      <c r="E3174" s="2">
        <v>37.57</v>
      </c>
      <c r="F3174" s="2">
        <v>2</v>
      </c>
      <c r="G3174" s="2" t="s">
        <v>12</v>
      </c>
    </row>
    <row r="3175" spans="1:7" x14ac:dyDescent="0.2">
      <c r="A3175" s="2" t="s">
        <v>3844</v>
      </c>
      <c r="B3175" s="2" t="s">
        <v>936</v>
      </c>
      <c r="C3175" s="2">
        <v>606.30909999999994</v>
      </c>
      <c r="D3175" s="2">
        <f>HYPERLINK("http://mcb-m6.bioreg.kyushu-u.ac.jp/M3/20110502/F51167/1739/1", 54.65)</f>
        <v>54.65</v>
      </c>
      <c r="E3175" s="2">
        <v>26.57</v>
      </c>
      <c r="F3175" s="2">
        <v>2</v>
      </c>
      <c r="G3175" s="2" t="s">
        <v>13</v>
      </c>
    </row>
    <row r="3176" spans="1:7" x14ac:dyDescent="0.2">
      <c r="A3176" s="2" t="s">
        <v>3844</v>
      </c>
      <c r="B3176" s="2" t="s">
        <v>936</v>
      </c>
      <c r="C3176" s="2">
        <v>606.43960000000004</v>
      </c>
      <c r="D3176" s="2">
        <f>HYPERLINK("http://mcb-m6.bioreg.kyushu-u.ac.jp/M3/20110502/F51176/1736/1", 45.6)</f>
        <v>45.6</v>
      </c>
      <c r="E3176" s="2">
        <v>27.89</v>
      </c>
      <c r="F3176" s="2">
        <v>2</v>
      </c>
      <c r="G3176" s="2" t="s">
        <v>14</v>
      </c>
    </row>
    <row r="3177" spans="1:7" x14ac:dyDescent="0.2">
      <c r="A3177" s="2" t="s">
        <v>4016</v>
      </c>
      <c r="B3177" s="2" t="s">
        <v>1321</v>
      </c>
      <c r="C3177" s="2">
        <v>984.32619999999997</v>
      </c>
      <c r="D3177" s="2">
        <f>HYPERLINK("http://mcb-m6.bioreg.kyushu-u.ac.jp/M3/20110411/F50889/2851/1", 72.94)</f>
        <v>72.94</v>
      </c>
      <c r="E3177" s="2">
        <v>57.44</v>
      </c>
      <c r="F3177" s="2">
        <v>2</v>
      </c>
      <c r="G3177" s="2" t="s">
        <v>9</v>
      </c>
    </row>
    <row r="3178" spans="1:7" x14ac:dyDescent="0.2">
      <c r="A3178" s="2" t="s">
        <v>4016</v>
      </c>
      <c r="B3178" s="2" t="s">
        <v>1468</v>
      </c>
      <c r="C3178" s="2">
        <v>853.77620000000002</v>
      </c>
      <c r="D3178" s="2">
        <f>HYPERLINK("http://mcb-m6.bioreg.kyushu-u.ac.jp/M3/20110411/F50889/2570/1", 83.3)</f>
        <v>83.3</v>
      </c>
      <c r="E3178" s="2">
        <v>73.459999999999994</v>
      </c>
      <c r="F3178" s="2">
        <v>2</v>
      </c>
      <c r="G3178" s="2" t="s">
        <v>9</v>
      </c>
    </row>
    <row r="3179" spans="1:7" x14ac:dyDescent="0.2">
      <c r="A3179" s="2" t="s">
        <v>4016</v>
      </c>
      <c r="B3179" s="2" t="s">
        <v>1610</v>
      </c>
      <c r="C3179" s="2">
        <v>918.35720000000003</v>
      </c>
      <c r="D3179" s="2">
        <f>HYPERLINK("http://mcb-m6.bioreg.kyushu-u.ac.jp/M3/20110411/F50889/2732/1", 99.67)</f>
        <v>99.67</v>
      </c>
      <c r="E3179" s="2">
        <v>81.459999999999994</v>
      </c>
      <c r="F3179" s="2">
        <v>2</v>
      </c>
      <c r="G3179" s="2" t="s">
        <v>9</v>
      </c>
    </row>
    <row r="3180" spans="1:7" x14ac:dyDescent="0.2">
      <c r="A3180" s="2" t="s">
        <v>4016</v>
      </c>
      <c r="B3180" s="2" t="s">
        <v>1610</v>
      </c>
      <c r="C3180" s="2">
        <v>917.8442</v>
      </c>
      <c r="D3180" s="2">
        <f>HYPERLINK("http://mcb-m6.bioreg.kyushu-u.ac.jp/M3/20110411/F50889/2731/1", 103.93)</f>
        <v>103.93</v>
      </c>
      <c r="E3180" s="2">
        <v>90.81</v>
      </c>
      <c r="F3180" s="2">
        <v>2</v>
      </c>
      <c r="G3180" s="2" t="s">
        <v>9</v>
      </c>
    </row>
    <row r="3181" spans="1:7" x14ac:dyDescent="0.2">
      <c r="A3181" s="2" t="s">
        <v>4016</v>
      </c>
      <c r="B3181" s="2" t="s">
        <v>1657</v>
      </c>
      <c r="C3181" s="2">
        <v>798.88670000000002</v>
      </c>
      <c r="D3181" s="2">
        <f>HYPERLINK("http://mcb-m6.bioreg.kyushu-u.ac.jp/M3/20110411/F50889/2423/1", 112.42)</f>
        <v>112.42</v>
      </c>
      <c r="E3181" s="2">
        <v>95.89</v>
      </c>
      <c r="F3181" s="2">
        <v>2</v>
      </c>
      <c r="G3181" s="2" t="s">
        <v>9</v>
      </c>
    </row>
    <row r="3182" spans="1:7" x14ac:dyDescent="0.2">
      <c r="A3182" s="2" t="s">
        <v>4016</v>
      </c>
      <c r="B3182" s="2" t="s">
        <v>1894</v>
      </c>
      <c r="C3182" s="2">
        <v>555.03470000000004</v>
      </c>
      <c r="D3182" s="2">
        <f>HYPERLINK("http://mcb-m6.bioreg.kyushu-u.ac.jp/M3/20110411/F50896/1495/1", 46.99)</f>
        <v>46.99</v>
      </c>
      <c r="E3182" s="2">
        <v>9.14</v>
      </c>
      <c r="F3182" s="2">
        <v>2</v>
      </c>
      <c r="G3182" s="2" t="s">
        <v>10</v>
      </c>
    </row>
    <row r="3183" spans="1:7" x14ac:dyDescent="0.2">
      <c r="A3183" s="2" t="s">
        <v>4016</v>
      </c>
      <c r="B3183" s="2" t="s">
        <v>1898</v>
      </c>
      <c r="C3183" s="2">
        <v>469.36610000000002</v>
      </c>
      <c r="D3183" s="2">
        <f>HYPERLINK("http://mcb-m6.bioreg.kyushu-u.ac.jp/M3/20110411/F50896/1139/1", 47.15)</f>
        <v>47.15</v>
      </c>
      <c r="E3183" s="2">
        <v>6.68</v>
      </c>
      <c r="F3183" s="2">
        <v>2</v>
      </c>
      <c r="G3183" s="2" t="s">
        <v>10</v>
      </c>
    </row>
    <row r="3184" spans="1:7" x14ac:dyDescent="0.2">
      <c r="A3184" s="2" t="s">
        <v>4016</v>
      </c>
      <c r="B3184" s="2" t="s">
        <v>1468</v>
      </c>
      <c r="C3184" s="2">
        <v>854.19709999999998</v>
      </c>
      <c r="D3184" s="2">
        <f>HYPERLINK("http://mcb-m6.bioreg.kyushu-u.ac.jp/M3/20110411/F50896/2582/1", 84.81)</f>
        <v>84.81</v>
      </c>
      <c r="E3184" s="2">
        <v>70.59</v>
      </c>
      <c r="F3184" s="2">
        <v>2</v>
      </c>
      <c r="G3184" s="2" t="s">
        <v>10</v>
      </c>
    </row>
    <row r="3185" spans="1:8" x14ac:dyDescent="0.2">
      <c r="A3185" s="2" t="s">
        <v>4016</v>
      </c>
      <c r="B3185" s="2" t="s">
        <v>1610</v>
      </c>
      <c r="C3185" s="2">
        <v>918.19269999999995</v>
      </c>
      <c r="D3185" s="2">
        <f>HYPERLINK("http://mcb-m6.bioreg.kyushu-u.ac.jp/M3/20110411/F50896/2778/1", 89.87)</f>
        <v>89.87</v>
      </c>
      <c r="E3185" s="2">
        <v>67.77</v>
      </c>
      <c r="F3185" s="2">
        <v>2</v>
      </c>
      <c r="G3185" s="2" t="s">
        <v>10</v>
      </c>
    </row>
    <row r="3186" spans="1:8" x14ac:dyDescent="0.2">
      <c r="A3186" s="2" t="s">
        <v>4016</v>
      </c>
      <c r="B3186" s="2" t="s">
        <v>1894</v>
      </c>
      <c r="C3186" s="2">
        <v>554.73910000000001</v>
      </c>
      <c r="D3186" s="2">
        <f>HYPERLINK("http://mcb-m6.bioreg.kyushu-u.ac.jp/M3/20110414/F50926/1647/1", 47.77)</f>
        <v>47.77</v>
      </c>
      <c r="E3186" s="2">
        <v>16.29</v>
      </c>
      <c r="F3186" s="2">
        <v>2</v>
      </c>
      <c r="G3186" s="2" t="s">
        <v>11</v>
      </c>
    </row>
    <row r="3187" spans="1:8" x14ac:dyDescent="0.2">
      <c r="A3187" s="2" t="s">
        <v>4016</v>
      </c>
      <c r="B3187" s="2" t="s">
        <v>1468</v>
      </c>
      <c r="C3187" s="2">
        <v>853.68709999999999</v>
      </c>
      <c r="D3187" s="2">
        <f>HYPERLINK("http://mcb-m6.bioreg.kyushu-u.ac.jp/M3/20110414/F50926/2559/1", 65.73)</f>
        <v>65.73</v>
      </c>
      <c r="E3187" s="2">
        <v>49.32</v>
      </c>
      <c r="F3187" s="2">
        <v>2</v>
      </c>
      <c r="G3187" s="2" t="s">
        <v>11</v>
      </c>
    </row>
    <row r="3188" spans="1:8" x14ac:dyDescent="0.2">
      <c r="A3188" s="2" t="s">
        <v>4016</v>
      </c>
      <c r="B3188" s="2" t="s">
        <v>1321</v>
      </c>
      <c r="C3188" s="2">
        <v>984.16970000000003</v>
      </c>
      <c r="D3188" s="2">
        <f>HYPERLINK("http://mcb-m6.bioreg.kyushu-u.ac.jp/M3/20110414/F50926/2843/1", 88.75)</f>
        <v>88.75</v>
      </c>
      <c r="E3188" s="2">
        <v>70.83</v>
      </c>
      <c r="F3188" s="2">
        <v>2</v>
      </c>
      <c r="G3188" s="2" t="s">
        <v>11</v>
      </c>
    </row>
    <row r="3189" spans="1:8" x14ac:dyDescent="0.2">
      <c r="A3189" s="2" t="s">
        <v>4016</v>
      </c>
      <c r="B3189" s="2" t="s">
        <v>1898</v>
      </c>
      <c r="C3189" s="2">
        <v>469.51560000000001</v>
      </c>
      <c r="D3189" s="2">
        <f>HYPERLINK("http://mcb-m6.bioreg.kyushu-u.ac.jp/M3/20110502/F51167/1374/1", 51.67)</f>
        <v>51.67</v>
      </c>
      <c r="E3189" s="2">
        <v>27.93</v>
      </c>
      <c r="F3189" s="2">
        <v>2</v>
      </c>
      <c r="G3189" s="2" t="s">
        <v>13</v>
      </c>
    </row>
    <row r="3190" spans="1:8" x14ac:dyDescent="0.2">
      <c r="A3190" s="2" t="s">
        <v>4016</v>
      </c>
      <c r="B3190" s="2" t="s">
        <v>1657</v>
      </c>
      <c r="C3190" s="2">
        <v>799.09370000000001</v>
      </c>
      <c r="D3190" s="2">
        <f>HYPERLINK("http://mcb-m6.bioreg.kyushu-u.ac.jp/M3/20110502/F51176/2166/1", 59.59)</f>
        <v>59.59</v>
      </c>
      <c r="E3190" s="2">
        <v>47.43</v>
      </c>
      <c r="F3190" s="2">
        <v>2</v>
      </c>
      <c r="G3190" s="2" t="s">
        <v>14</v>
      </c>
    </row>
    <row r="3191" spans="1:8" x14ac:dyDescent="0.2">
      <c r="A3191" s="2" t="s">
        <v>4016</v>
      </c>
      <c r="B3191" s="2" t="s">
        <v>1468</v>
      </c>
      <c r="C3191" s="2">
        <v>854.11469999999997</v>
      </c>
      <c r="D3191" s="2">
        <f>HYPERLINK("http://mcb-m6.bioreg.kyushu-u.ac.jp/M3/20110502/F51176/2295/1", 81.86)</f>
        <v>81.86</v>
      </c>
      <c r="E3191" s="2">
        <v>70.44</v>
      </c>
      <c r="F3191" s="2">
        <v>2</v>
      </c>
      <c r="G3191" s="2" t="s">
        <v>14</v>
      </c>
    </row>
    <row r="3192" spans="1:8" x14ac:dyDescent="0.2">
      <c r="A3192" s="2" t="s">
        <v>3396</v>
      </c>
      <c r="B3192" s="2" t="s">
        <v>190</v>
      </c>
      <c r="C3192" s="2">
        <v>664.03150000000005</v>
      </c>
      <c r="D3192" s="2">
        <f>HYPERLINK("http://mcb-m6.bioreg.kyushu-u.ac.jp/M3/20110411/F50892/3101/1", 37.45)</f>
        <v>37.450000000000003</v>
      </c>
      <c r="E3192" s="2">
        <v>25.4</v>
      </c>
      <c r="F3192" s="2">
        <v>3</v>
      </c>
      <c r="G3192" s="2" t="s">
        <v>9</v>
      </c>
    </row>
    <row r="3193" spans="1:8" x14ac:dyDescent="0.2">
      <c r="A3193" s="2" t="s">
        <v>3396</v>
      </c>
      <c r="B3193" s="2" t="s">
        <v>606</v>
      </c>
      <c r="C3193" s="2">
        <v>669.46010000000001</v>
      </c>
      <c r="D3193" s="2">
        <f>HYPERLINK("http://mcb-m6.bioreg.kyushu-u.ac.jp/M3/20110411/F50892/1867/1", 46.08)</f>
        <v>46.08</v>
      </c>
      <c r="E3193" s="2">
        <v>37.799999999999997</v>
      </c>
      <c r="F3193" s="2">
        <v>2</v>
      </c>
      <c r="G3193" s="2" t="s">
        <v>9</v>
      </c>
    </row>
    <row r="3194" spans="1:8" x14ac:dyDescent="0.2">
      <c r="A3194" s="2" t="s">
        <v>3396</v>
      </c>
      <c r="B3194" s="2" t="s">
        <v>606</v>
      </c>
      <c r="C3194" s="2">
        <v>669.3682</v>
      </c>
      <c r="D3194" s="2">
        <f>HYPERLINK("http://mcb-m6.bioreg.kyushu-u.ac.jp/M3/20110411/F50891/1696/1", 48.28)</f>
        <v>48.28</v>
      </c>
      <c r="E3194" s="2">
        <v>32.869999999999997</v>
      </c>
      <c r="F3194" s="2">
        <v>2</v>
      </c>
      <c r="G3194" s="2" t="s">
        <v>9</v>
      </c>
    </row>
    <row r="3195" spans="1:8" x14ac:dyDescent="0.2">
      <c r="A3195" s="2" t="s">
        <v>3396</v>
      </c>
      <c r="B3195" s="2" t="s">
        <v>882</v>
      </c>
      <c r="C3195" s="2">
        <v>1412.64</v>
      </c>
      <c r="D3195" s="2">
        <f>HYPERLINK("http://mcb-m6.bioreg.kyushu-u.ac.jp/M3/20110411/F50892/2043/1", 54.34)</f>
        <v>54.34</v>
      </c>
      <c r="E3195" s="2">
        <v>39.479999999999997</v>
      </c>
      <c r="F3195" s="2">
        <v>1</v>
      </c>
      <c r="G3195" s="2" t="s">
        <v>9</v>
      </c>
    </row>
    <row r="3196" spans="1:8" x14ac:dyDescent="0.2">
      <c r="A3196" s="2" t="s">
        <v>3396</v>
      </c>
      <c r="B3196" s="2" t="s">
        <v>606</v>
      </c>
      <c r="C3196" s="2">
        <v>669.31119999999999</v>
      </c>
      <c r="D3196" s="2">
        <f>HYPERLINK("http://mcb-m6.bioreg.kyushu-u.ac.jp/M3/20110411/F50892/1863/1", 68.11)</f>
        <v>68.11</v>
      </c>
      <c r="E3196" s="2">
        <v>57.34</v>
      </c>
      <c r="F3196" s="2">
        <v>2</v>
      </c>
      <c r="G3196" s="2" t="s">
        <v>9</v>
      </c>
    </row>
    <row r="3197" spans="1:8" x14ac:dyDescent="0.2">
      <c r="A3197" s="2" t="s">
        <v>3396</v>
      </c>
      <c r="B3197" s="2" t="s">
        <v>606</v>
      </c>
      <c r="C3197" s="2">
        <v>669.59270000000004</v>
      </c>
      <c r="D3197" s="2">
        <f>HYPERLINK("http://mcb-m6.bioreg.kyushu-u.ac.jp/M3/20110411/F50893/1844/1", 75.68)</f>
        <v>75.680000000000007</v>
      </c>
      <c r="E3197" s="2">
        <v>50.96</v>
      </c>
      <c r="F3197" s="2">
        <v>2</v>
      </c>
      <c r="G3197" s="2" t="s">
        <v>9</v>
      </c>
    </row>
    <row r="3198" spans="1:8" x14ac:dyDescent="0.2">
      <c r="A3198" s="2" t="s">
        <v>3396</v>
      </c>
      <c r="B3198" s="2" t="s">
        <v>606</v>
      </c>
      <c r="C3198" s="2">
        <v>669.51120000000003</v>
      </c>
      <c r="D3198" s="2">
        <f>HYPERLINK("http://mcb-m6.bioreg.kyushu-u.ac.jp/M3/20110411/F50903/1670/1", 79.76)</f>
        <v>79.760000000000005</v>
      </c>
      <c r="E3198" s="2">
        <v>54.1</v>
      </c>
      <c r="F3198" s="2">
        <v>2</v>
      </c>
      <c r="G3198" s="2" t="s">
        <v>9</v>
      </c>
    </row>
    <row r="3199" spans="1:8" x14ac:dyDescent="0.2">
      <c r="A3199" s="2" t="s">
        <v>3396</v>
      </c>
      <c r="B3199" s="2" t="s">
        <v>1475</v>
      </c>
      <c r="C3199" s="2">
        <v>1036.9580000000001</v>
      </c>
      <c r="D3199" s="2">
        <f>HYPERLINK("http://mcb-m6.bioreg.kyushu-u.ac.jp/M3/20110411/F50892/3201/1", 83.81)</f>
        <v>83.81</v>
      </c>
      <c r="E3199" s="2">
        <v>73.33</v>
      </c>
      <c r="F3199" s="2">
        <v>2</v>
      </c>
      <c r="G3199" s="2" t="s">
        <v>9</v>
      </c>
      <c r="H3199" s="2" t="s">
        <v>4938</v>
      </c>
    </row>
    <row r="3200" spans="1:8" x14ac:dyDescent="0.2">
      <c r="A3200" s="2" t="s">
        <v>3396</v>
      </c>
      <c r="B3200" s="2" t="s">
        <v>190</v>
      </c>
      <c r="C3200" s="2">
        <v>995.1807</v>
      </c>
      <c r="D3200" s="2">
        <f>HYPERLINK("http://mcb-m6.bioreg.kyushu-u.ac.jp/M3/20110411/F50892/3099/1", 84.48)</f>
        <v>84.48</v>
      </c>
      <c r="E3200" s="2">
        <v>69.03</v>
      </c>
      <c r="F3200" s="2">
        <v>2</v>
      </c>
      <c r="G3200" s="2" t="s">
        <v>9</v>
      </c>
    </row>
    <row r="3201" spans="1:8" x14ac:dyDescent="0.2">
      <c r="A3201" s="2" t="s">
        <v>3396</v>
      </c>
      <c r="B3201" s="2" t="s">
        <v>606</v>
      </c>
      <c r="C3201" s="2">
        <v>669.32669999999996</v>
      </c>
      <c r="D3201" s="2">
        <f>HYPERLINK("http://mcb-m6.bioreg.kyushu-u.ac.jp/M3/20110411/F50892/1865/1", 84.71)</f>
        <v>84.71</v>
      </c>
      <c r="E3201" s="2">
        <v>67.72</v>
      </c>
      <c r="F3201" s="2">
        <v>2</v>
      </c>
      <c r="G3201" s="2" t="s">
        <v>9</v>
      </c>
    </row>
    <row r="3202" spans="1:8" x14ac:dyDescent="0.2">
      <c r="A3202" s="2" t="s">
        <v>3396</v>
      </c>
      <c r="B3202" s="2" t="s">
        <v>1563</v>
      </c>
      <c r="C3202" s="2">
        <v>1393.4359999999999</v>
      </c>
      <c r="D3202" s="2">
        <f>HYPERLINK("http://mcb-m6.bioreg.kyushu-u.ac.jp/M3/20110411/F50892/3818/1", 92.92)</f>
        <v>92.92</v>
      </c>
      <c r="E3202" s="2">
        <v>85.69</v>
      </c>
      <c r="F3202" s="2">
        <v>2</v>
      </c>
      <c r="G3202" s="2" t="s">
        <v>9</v>
      </c>
      <c r="H3202" s="2" t="s">
        <v>4910</v>
      </c>
    </row>
    <row r="3203" spans="1:8" x14ac:dyDescent="0.2">
      <c r="A3203" s="2" t="s">
        <v>3396</v>
      </c>
      <c r="B3203" s="2" t="s">
        <v>1475</v>
      </c>
      <c r="C3203" s="2">
        <v>1029.22</v>
      </c>
      <c r="D3203" s="2">
        <f>HYPERLINK("http://mcb-m6.bioreg.kyushu-u.ac.jp/M3/20110411/F50892/3179/1", 94.79)</f>
        <v>94.79</v>
      </c>
      <c r="E3203" s="2">
        <v>83.4</v>
      </c>
      <c r="F3203" s="2">
        <v>2</v>
      </c>
      <c r="G3203" s="2" t="s">
        <v>9</v>
      </c>
    </row>
    <row r="3204" spans="1:8" x14ac:dyDescent="0.2">
      <c r="A3204" s="2" t="s">
        <v>3396</v>
      </c>
      <c r="B3204" s="2" t="s">
        <v>1563</v>
      </c>
      <c r="C3204" s="2">
        <v>1385.2090000000001</v>
      </c>
      <c r="D3204" s="2">
        <f>HYPERLINK("http://mcb-m6.bioreg.kyushu-u.ac.jp/M3/20110411/F50892/3811/1", 95.72)</f>
        <v>95.72</v>
      </c>
      <c r="E3204" s="2">
        <v>80.03</v>
      </c>
      <c r="F3204" s="2">
        <v>2</v>
      </c>
      <c r="G3204" s="2" t="s">
        <v>9</v>
      </c>
    </row>
    <row r="3205" spans="1:8" x14ac:dyDescent="0.2">
      <c r="A3205" s="2" t="s">
        <v>3396</v>
      </c>
      <c r="B3205" s="2" t="s">
        <v>882</v>
      </c>
      <c r="C3205" s="2">
        <v>1412.807</v>
      </c>
      <c r="D3205" s="2">
        <f>HYPERLINK("http://mcb-m6.bioreg.kyushu-u.ac.jp/M3/20110411/F50899/2099/1", 41.81)</f>
        <v>41.81</v>
      </c>
      <c r="E3205" s="2">
        <v>20.77</v>
      </c>
      <c r="F3205" s="2">
        <v>1</v>
      </c>
      <c r="G3205" s="2" t="s">
        <v>10</v>
      </c>
    </row>
    <row r="3206" spans="1:8" x14ac:dyDescent="0.2">
      <c r="A3206" s="2" t="s">
        <v>3396</v>
      </c>
      <c r="B3206" s="2" t="s">
        <v>606</v>
      </c>
      <c r="C3206" s="2">
        <v>669.49019999999996</v>
      </c>
      <c r="D3206" s="2">
        <f>HYPERLINK("http://mcb-m6.bioreg.kyushu-u.ac.jp/M3/20110411/F50914/1725/1", 49.85)</f>
        <v>49.85</v>
      </c>
      <c r="E3206" s="2">
        <v>34.619999999999997</v>
      </c>
      <c r="F3206" s="2">
        <v>2</v>
      </c>
      <c r="G3206" s="2" t="s">
        <v>10</v>
      </c>
    </row>
    <row r="3207" spans="1:8" x14ac:dyDescent="0.2">
      <c r="A3207" s="2" t="s">
        <v>3396</v>
      </c>
      <c r="B3207" s="2" t="s">
        <v>606</v>
      </c>
      <c r="C3207" s="2">
        <v>669.42409999999995</v>
      </c>
      <c r="D3207" s="2">
        <f>HYPERLINK("http://mcb-m6.bioreg.kyushu-u.ac.jp/M3/20110411/F50900/1852/1", 52.02)</f>
        <v>52.02</v>
      </c>
      <c r="E3207" s="2">
        <v>28.28</v>
      </c>
      <c r="F3207" s="2">
        <v>2</v>
      </c>
      <c r="G3207" s="2" t="s">
        <v>10</v>
      </c>
    </row>
    <row r="3208" spans="1:8" x14ac:dyDescent="0.2">
      <c r="A3208" s="2" t="s">
        <v>3396</v>
      </c>
      <c r="B3208" s="2" t="s">
        <v>882</v>
      </c>
      <c r="C3208" s="2">
        <v>706.94069999999999</v>
      </c>
      <c r="D3208" s="2">
        <f>HYPERLINK("http://mcb-m6.bioreg.kyushu-u.ac.jp/M3/20110411/F50899/2101/1", 58.45)</f>
        <v>58.45</v>
      </c>
      <c r="E3208" s="2">
        <v>39.89</v>
      </c>
      <c r="F3208" s="2">
        <v>2</v>
      </c>
      <c r="G3208" s="2" t="s">
        <v>10</v>
      </c>
    </row>
    <row r="3209" spans="1:8" x14ac:dyDescent="0.2">
      <c r="A3209" s="2" t="s">
        <v>3396</v>
      </c>
      <c r="B3209" s="2" t="s">
        <v>606</v>
      </c>
      <c r="C3209" s="2">
        <v>669.48170000000005</v>
      </c>
      <c r="D3209" s="2">
        <f>HYPERLINK("http://mcb-m6.bioreg.kyushu-u.ac.jp/M3/20110411/F50899/1983/1", 61.58)</f>
        <v>61.58</v>
      </c>
      <c r="E3209" s="2">
        <v>34.44</v>
      </c>
      <c r="F3209" s="2">
        <v>2</v>
      </c>
      <c r="G3209" s="2" t="s">
        <v>10</v>
      </c>
    </row>
    <row r="3210" spans="1:8" x14ac:dyDescent="0.2">
      <c r="A3210" s="2" t="s">
        <v>3396</v>
      </c>
      <c r="B3210" s="2" t="s">
        <v>606</v>
      </c>
      <c r="C3210" s="2">
        <v>669.34220000000005</v>
      </c>
      <c r="D3210" s="2">
        <f>HYPERLINK("http://mcb-m6.bioreg.kyushu-u.ac.jp/M3/20110411/F50899/1980/1", 76.47)</f>
        <v>76.47</v>
      </c>
      <c r="E3210" s="2">
        <v>54.34</v>
      </c>
      <c r="F3210" s="2">
        <v>2</v>
      </c>
      <c r="G3210" s="2" t="s">
        <v>10</v>
      </c>
    </row>
    <row r="3211" spans="1:8" x14ac:dyDescent="0.2">
      <c r="A3211" s="2" t="s">
        <v>3396</v>
      </c>
      <c r="B3211" s="2" t="s">
        <v>190</v>
      </c>
      <c r="C3211" s="2">
        <v>995.03369999999995</v>
      </c>
      <c r="D3211" s="2">
        <f>HYPERLINK("http://mcb-m6.bioreg.kyushu-u.ac.jp/M3/20110411/F50899/2859/1", 88.61)</f>
        <v>88.61</v>
      </c>
      <c r="E3211" s="2">
        <v>72.95</v>
      </c>
      <c r="F3211" s="2">
        <v>2</v>
      </c>
      <c r="G3211" s="2" t="s">
        <v>10</v>
      </c>
    </row>
    <row r="3212" spans="1:8" x14ac:dyDescent="0.2">
      <c r="A3212" s="2" t="s">
        <v>3396</v>
      </c>
      <c r="B3212" s="2" t="s">
        <v>606</v>
      </c>
      <c r="C3212" s="2">
        <v>669.48569999999995</v>
      </c>
      <c r="D3212" s="2">
        <f>HYPERLINK("http://mcb-m6.bioreg.kyushu-u.ac.jp/M3/20110411/F50920/1215/1", 89.83)</f>
        <v>89.83</v>
      </c>
      <c r="E3212" s="2">
        <v>66.37</v>
      </c>
      <c r="F3212" s="2">
        <v>2</v>
      </c>
      <c r="G3212" s="2" t="s">
        <v>10</v>
      </c>
    </row>
    <row r="3213" spans="1:8" x14ac:dyDescent="0.2">
      <c r="A3213" s="2" t="s">
        <v>3396</v>
      </c>
      <c r="B3213" s="2" t="s">
        <v>606</v>
      </c>
      <c r="C3213" s="2">
        <v>669.43520000000001</v>
      </c>
      <c r="D3213" s="2">
        <f>HYPERLINK("http://mcb-m6.bioreg.kyushu-u.ac.jp/M3/20110411/F50899/1981/1", 98.31)</f>
        <v>98.31</v>
      </c>
      <c r="E3213" s="2">
        <v>74.150000000000006</v>
      </c>
      <c r="F3213" s="2">
        <v>2</v>
      </c>
      <c r="G3213" s="2" t="s">
        <v>10</v>
      </c>
    </row>
    <row r="3214" spans="1:8" x14ac:dyDescent="0.2">
      <c r="A3214" s="2" t="s">
        <v>3396</v>
      </c>
      <c r="B3214" s="2" t="s">
        <v>2240</v>
      </c>
      <c r="C3214" s="2">
        <v>600.73270000000002</v>
      </c>
      <c r="D3214" s="2">
        <f>HYPERLINK("http://mcb-m6.bioreg.kyushu-u.ac.jp/M3/20110414/F50945/1434/1", 39.05)</f>
        <v>39.049999999999997</v>
      </c>
      <c r="E3214" s="2">
        <v>15.32</v>
      </c>
      <c r="F3214" s="2">
        <v>2</v>
      </c>
      <c r="G3214" s="2" t="s">
        <v>11</v>
      </c>
    </row>
    <row r="3215" spans="1:8" x14ac:dyDescent="0.2">
      <c r="A3215" s="2" t="s">
        <v>3396</v>
      </c>
      <c r="B3215" s="2" t="s">
        <v>606</v>
      </c>
      <c r="C3215" s="2">
        <v>669.24220000000003</v>
      </c>
      <c r="D3215" s="2">
        <f>HYPERLINK("http://mcb-m6.bioreg.kyushu-u.ac.jp/M3/20110414/F50929/1989/1", 69.31)</f>
        <v>69.31</v>
      </c>
      <c r="E3215" s="2">
        <v>49.75</v>
      </c>
      <c r="F3215" s="2">
        <v>2</v>
      </c>
      <c r="G3215" s="2" t="s">
        <v>11</v>
      </c>
    </row>
    <row r="3216" spans="1:8" x14ac:dyDescent="0.2">
      <c r="A3216" s="2" t="s">
        <v>3396</v>
      </c>
      <c r="B3216" s="2" t="s">
        <v>606</v>
      </c>
      <c r="C3216" s="2">
        <v>669.79970000000003</v>
      </c>
      <c r="D3216" s="2">
        <f>HYPERLINK("http://mcb-m6.bioreg.kyushu-u.ac.jp/M3/20110414/F50945/1650/1", 74.14)</f>
        <v>74.14</v>
      </c>
      <c r="E3216" s="2">
        <v>54.84</v>
      </c>
      <c r="F3216" s="2">
        <v>2</v>
      </c>
      <c r="G3216" s="2" t="s">
        <v>11</v>
      </c>
    </row>
    <row r="3217" spans="1:7" x14ac:dyDescent="0.2">
      <c r="A3217" s="2" t="s">
        <v>3396</v>
      </c>
      <c r="B3217" s="2" t="s">
        <v>606</v>
      </c>
      <c r="C3217" s="2">
        <v>669.23569999999995</v>
      </c>
      <c r="D3217" s="2">
        <f>HYPERLINK("http://mcb-m6.bioreg.kyushu-u.ac.jp/M3/20110414/F50929/1988/1", 83.83)</f>
        <v>83.83</v>
      </c>
      <c r="E3217" s="2">
        <v>62.19</v>
      </c>
      <c r="F3217" s="2">
        <v>2</v>
      </c>
      <c r="G3217" s="2" t="s">
        <v>11</v>
      </c>
    </row>
    <row r="3218" spans="1:7" x14ac:dyDescent="0.2">
      <c r="A3218" s="2" t="s">
        <v>3396</v>
      </c>
      <c r="B3218" s="2" t="s">
        <v>606</v>
      </c>
      <c r="C3218" s="2">
        <v>669.76869999999997</v>
      </c>
      <c r="D3218" s="2">
        <f>HYPERLINK("http://mcb-m6.bioreg.kyushu-u.ac.jp/M3/20110414/F50946/1561/1", 73.73)</f>
        <v>73.73</v>
      </c>
      <c r="E3218" s="2">
        <v>57</v>
      </c>
      <c r="F3218" s="2">
        <v>2</v>
      </c>
      <c r="G3218" s="2" t="s">
        <v>12</v>
      </c>
    </row>
    <row r="3219" spans="1:7" x14ac:dyDescent="0.2">
      <c r="A3219" s="2" t="s">
        <v>3396</v>
      </c>
      <c r="B3219" s="2" t="s">
        <v>606</v>
      </c>
      <c r="C3219" s="2">
        <v>669.28020000000004</v>
      </c>
      <c r="D3219" s="2">
        <f>HYPERLINK("http://mcb-m6.bioreg.kyushu-u.ac.jp/M3/20110414/F50947/1474/1", 82.31)</f>
        <v>82.31</v>
      </c>
      <c r="E3219" s="2">
        <v>64.31</v>
      </c>
      <c r="F3219" s="2">
        <v>2</v>
      </c>
      <c r="G3219" s="2" t="s">
        <v>12</v>
      </c>
    </row>
    <row r="3220" spans="1:7" x14ac:dyDescent="0.2">
      <c r="A3220" s="2" t="s">
        <v>3396</v>
      </c>
      <c r="B3220" s="2" t="s">
        <v>606</v>
      </c>
      <c r="C3220" s="2">
        <v>669.43370000000004</v>
      </c>
      <c r="D3220" s="2">
        <f>HYPERLINK("http://mcb-m6.bioreg.kyushu-u.ac.jp/M3/20110414/F50934/2070/1", 85.24)</f>
        <v>85.24</v>
      </c>
      <c r="E3220" s="2">
        <v>65.760000000000005</v>
      </c>
      <c r="F3220" s="2">
        <v>2</v>
      </c>
      <c r="G3220" s="2" t="s">
        <v>12</v>
      </c>
    </row>
    <row r="3221" spans="1:7" x14ac:dyDescent="0.2">
      <c r="A3221" s="2" t="s">
        <v>3396</v>
      </c>
      <c r="B3221" s="2" t="s">
        <v>606</v>
      </c>
      <c r="C3221" s="2">
        <v>669.77470000000005</v>
      </c>
      <c r="D3221" s="2">
        <f>HYPERLINK("http://mcb-m6.bioreg.kyushu-u.ac.jp/M3/20110502/F51180/1367/1", 81.89)</f>
        <v>81.89</v>
      </c>
      <c r="E3221" s="2">
        <v>54.91</v>
      </c>
      <c r="F3221" s="2">
        <v>2</v>
      </c>
      <c r="G3221" s="2" t="s">
        <v>13</v>
      </c>
    </row>
    <row r="3222" spans="1:7" x14ac:dyDescent="0.2">
      <c r="A3222" s="2" t="s">
        <v>3396</v>
      </c>
      <c r="B3222" s="2" t="s">
        <v>606</v>
      </c>
      <c r="C3222" s="2">
        <v>669.6857</v>
      </c>
      <c r="D3222" s="2">
        <f>HYPERLINK("http://mcb-m6.bioreg.kyushu-u.ac.jp/M3/20110502/F51181/1427/1", 86.08)</f>
        <v>86.08</v>
      </c>
      <c r="E3222" s="2">
        <v>59.9</v>
      </c>
      <c r="F3222" s="2">
        <v>2</v>
      </c>
      <c r="G3222" s="2" t="s">
        <v>14</v>
      </c>
    </row>
    <row r="3223" spans="1:7" x14ac:dyDescent="0.2">
      <c r="A3223" s="2" t="s">
        <v>3396</v>
      </c>
      <c r="B3223" s="2" t="s">
        <v>882</v>
      </c>
      <c r="C3223" s="2">
        <v>707.17769999999996</v>
      </c>
      <c r="D3223" s="2">
        <f>HYPERLINK("http://mcb-m6.bioreg.kyushu-u.ac.jp/M3/20110502/F51182/1641/1", 92.92)</f>
        <v>92.92</v>
      </c>
      <c r="E3223" s="2">
        <v>53.79</v>
      </c>
      <c r="F3223" s="2">
        <v>2</v>
      </c>
      <c r="G3223" s="2" t="s">
        <v>14</v>
      </c>
    </row>
    <row r="3224" spans="1:7" x14ac:dyDescent="0.2">
      <c r="A3224" s="2" t="s">
        <v>4096</v>
      </c>
      <c r="B3224" s="2" t="s">
        <v>1548</v>
      </c>
      <c r="C3224" s="2">
        <v>865.90060000000005</v>
      </c>
      <c r="D3224" s="2">
        <f>HYPERLINK("http://mcb-m6.bioreg.kyushu-u.ac.jp/M3/20110411/F50891/2801/1", 91.06)</f>
        <v>91.06</v>
      </c>
      <c r="E3224" s="2">
        <v>78.34</v>
      </c>
      <c r="F3224" s="2">
        <v>2</v>
      </c>
      <c r="G3224" s="2" t="s">
        <v>9</v>
      </c>
    </row>
    <row r="3225" spans="1:7" x14ac:dyDescent="0.2">
      <c r="A3225" s="2" t="s">
        <v>3553</v>
      </c>
      <c r="B3225" s="2" t="s">
        <v>410</v>
      </c>
      <c r="C3225" s="2">
        <v>1117.08</v>
      </c>
      <c r="D3225" s="2">
        <f>HYPERLINK("http://mcb-m6.bioreg.kyushu-u.ac.jp/M3/20110411/F50915/4564/1", 41.27)</f>
        <v>41.27</v>
      </c>
      <c r="E3225" s="2">
        <v>18.37</v>
      </c>
      <c r="F3225" s="2">
        <v>3</v>
      </c>
      <c r="G3225" s="2" t="s">
        <v>9</v>
      </c>
    </row>
    <row r="3226" spans="1:7" x14ac:dyDescent="0.2">
      <c r="A3226" s="2" t="s">
        <v>3553</v>
      </c>
      <c r="B3226" s="2" t="s">
        <v>418</v>
      </c>
      <c r="C3226" s="2">
        <v>785.45370000000003</v>
      </c>
      <c r="D3226" s="2">
        <f>HYPERLINK("http://mcb-m6.bioreg.kyushu-u.ac.jp/M3/20110411/F50915/2190/1", 41.5)</f>
        <v>41.5</v>
      </c>
      <c r="E3226" s="2">
        <v>21.77</v>
      </c>
      <c r="F3226" s="2">
        <v>2</v>
      </c>
      <c r="G3226" s="2" t="s">
        <v>9</v>
      </c>
    </row>
    <row r="3227" spans="1:7" x14ac:dyDescent="0.2">
      <c r="A3227" s="2" t="s">
        <v>3553</v>
      </c>
      <c r="B3227" s="2" t="s">
        <v>448</v>
      </c>
      <c r="C3227" s="2">
        <v>597.47559999999999</v>
      </c>
      <c r="D3227" s="2">
        <f>HYPERLINK("http://mcb-m6.bioreg.kyushu-u.ac.jp/M3/20110411/F50915/1156/1", 42.08)</f>
        <v>42.08</v>
      </c>
      <c r="E3227" s="2">
        <v>22.95</v>
      </c>
      <c r="F3227" s="2">
        <v>2</v>
      </c>
      <c r="G3227" s="2" t="s">
        <v>9</v>
      </c>
    </row>
    <row r="3228" spans="1:7" x14ac:dyDescent="0.2">
      <c r="A3228" s="2" t="s">
        <v>3553</v>
      </c>
      <c r="B3228" s="2" t="s">
        <v>472</v>
      </c>
      <c r="C3228" s="2">
        <v>453.83760000000001</v>
      </c>
      <c r="D3228" s="2">
        <f>HYPERLINK("http://mcb-m6.bioreg.kyushu-u.ac.jp/M3/20110411/F50916/643/1", 42.57)</f>
        <v>42.57</v>
      </c>
      <c r="E3228" s="2">
        <v>11.28</v>
      </c>
      <c r="F3228" s="2">
        <v>2</v>
      </c>
      <c r="G3228" s="2" t="s">
        <v>9</v>
      </c>
    </row>
    <row r="3229" spans="1:7" x14ac:dyDescent="0.2">
      <c r="A3229" s="2" t="s">
        <v>3553</v>
      </c>
      <c r="B3229" s="2" t="s">
        <v>539</v>
      </c>
      <c r="C3229" s="2">
        <v>721.39120000000003</v>
      </c>
      <c r="D3229" s="2">
        <f>HYPERLINK("http://mcb-m6.bioreg.kyushu-u.ac.jp/M3/20110411/F50915/1769/1", 44.24)</f>
        <v>44.24</v>
      </c>
      <c r="E3229" s="2">
        <v>26.6</v>
      </c>
      <c r="F3229" s="2">
        <v>2</v>
      </c>
      <c r="G3229" s="2" t="s">
        <v>9</v>
      </c>
    </row>
    <row r="3230" spans="1:7" x14ac:dyDescent="0.2">
      <c r="A3230" s="2" t="s">
        <v>3553</v>
      </c>
      <c r="B3230" s="2" t="s">
        <v>627</v>
      </c>
      <c r="C3230" s="2">
        <v>842.98720000000003</v>
      </c>
      <c r="D3230" s="2">
        <f>HYPERLINK("http://mcb-m6.bioreg.kyushu-u.ac.jp/M3/20110411/F50915/2513/1", 46.59)</f>
        <v>46.59</v>
      </c>
      <c r="E3230" s="2">
        <v>24.53</v>
      </c>
      <c r="F3230" s="2">
        <v>2</v>
      </c>
      <c r="G3230" s="2" t="s">
        <v>9</v>
      </c>
    </row>
    <row r="3231" spans="1:7" x14ac:dyDescent="0.2">
      <c r="A3231" s="2" t="s">
        <v>3553</v>
      </c>
      <c r="B3231" s="2" t="s">
        <v>763</v>
      </c>
      <c r="C3231" s="2">
        <v>917.51</v>
      </c>
      <c r="D3231" s="2">
        <f>HYPERLINK("http://mcb-m6.bioreg.kyushu-u.ac.jp/M3/20110411/F50915/595/1", 50.54)</f>
        <v>50.54</v>
      </c>
      <c r="E3231" s="2">
        <v>33.24</v>
      </c>
      <c r="F3231" s="2">
        <v>1</v>
      </c>
      <c r="G3231" s="2" t="s">
        <v>9</v>
      </c>
    </row>
    <row r="3232" spans="1:7" x14ac:dyDescent="0.2">
      <c r="A3232" s="2" t="s">
        <v>3553</v>
      </c>
      <c r="B3232" s="2" t="s">
        <v>787</v>
      </c>
      <c r="C3232" s="2">
        <v>1071.547</v>
      </c>
      <c r="D3232" s="2">
        <f>HYPERLINK("http://mcb-m6.bioreg.kyushu-u.ac.jp/M3/20110411/F50915/908/1", 51.33)</f>
        <v>51.33</v>
      </c>
      <c r="E3232" s="2">
        <v>39.33</v>
      </c>
      <c r="F3232" s="2">
        <v>1</v>
      </c>
      <c r="G3232" s="2" t="s">
        <v>9</v>
      </c>
    </row>
    <row r="3233" spans="1:9" x14ac:dyDescent="0.2">
      <c r="A3233" s="2" t="s">
        <v>3553</v>
      </c>
      <c r="B3233" s="2" t="s">
        <v>891</v>
      </c>
      <c r="C3233" s="2">
        <v>544.43219999999997</v>
      </c>
      <c r="D3233" s="2">
        <f>HYPERLINK("http://mcb-m6.bioreg.kyushu-u.ac.jp/M3/20110411/F50915/942/1", 54.79)</f>
        <v>54.79</v>
      </c>
      <c r="E3233" s="2">
        <v>30.82</v>
      </c>
      <c r="F3233" s="2">
        <v>2</v>
      </c>
      <c r="G3233" s="2" t="s">
        <v>9</v>
      </c>
      <c r="I3233" s="2" t="s">
        <v>4890</v>
      </c>
    </row>
    <row r="3234" spans="1:9" x14ac:dyDescent="0.2">
      <c r="A3234" s="2" t="s">
        <v>3553</v>
      </c>
      <c r="B3234" s="2" t="s">
        <v>472</v>
      </c>
      <c r="C3234" s="2">
        <v>453.85359999999997</v>
      </c>
      <c r="D3234" s="2">
        <f>HYPERLINK("http://mcb-m6.bioreg.kyushu-u.ac.jp/M3/20110411/F50915/561/1", 55.65)</f>
        <v>55.65</v>
      </c>
      <c r="E3234" s="2">
        <v>18.12</v>
      </c>
      <c r="F3234" s="2">
        <v>2</v>
      </c>
      <c r="G3234" s="2" t="s">
        <v>9</v>
      </c>
    </row>
    <row r="3235" spans="1:9" x14ac:dyDescent="0.2">
      <c r="A3235" s="2" t="s">
        <v>3553</v>
      </c>
      <c r="B3235" s="2" t="s">
        <v>998</v>
      </c>
      <c r="C3235" s="2">
        <v>553.44820000000004</v>
      </c>
      <c r="D3235" s="2">
        <f>HYPERLINK("http://mcb-m6.bioreg.kyushu-u.ac.jp/M3/20110411/F50915/977/1", 58.24)</f>
        <v>58.24</v>
      </c>
      <c r="E3235" s="2">
        <v>36.21</v>
      </c>
      <c r="F3235" s="2">
        <v>2</v>
      </c>
      <c r="G3235" s="2" t="s">
        <v>9</v>
      </c>
    </row>
    <row r="3236" spans="1:9" x14ac:dyDescent="0.2">
      <c r="A3236" s="2" t="s">
        <v>3553</v>
      </c>
      <c r="B3236" s="2" t="s">
        <v>1053</v>
      </c>
      <c r="C3236" s="2">
        <v>543.35469999999998</v>
      </c>
      <c r="D3236" s="2">
        <f>HYPERLINK("http://mcb-m6.bioreg.kyushu-u.ac.jp/M3/20110411/F50916/962/1", 60.42)</f>
        <v>60.42</v>
      </c>
      <c r="E3236" s="2">
        <v>41.97</v>
      </c>
      <c r="F3236" s="2">
        <v>2</v>
      </c>
      <c r="G3236" s="2" t="s">
        <v>9</v>
      </c>
    </row>
    <row r="3237" spans="1:9" x14ac:dyDescent="0.2">
      <c r="A3237" s="2" t="s">
        <v>3553</v>
      </c>
      <c r="B3237" s="2" t="s">
        <v>1053</v>
      </c>
      <c r="C3237" s="2">
        <v>1085.5609999999999</v>
      </c>
      <c r="D3237" s="2">
        <f>HYPERLINK("http://mcb-m6.bioreg.kyushu-u.ac.jp/M3/20110411/F50915/936/1", 61.17)</f>
        <v>61.17</v>
      </c>
      <c r="E3237" s="2">
        <v>43.73</v>
      </c>
      <c r="F3237" s="2">
        <v>1</v>
      </c>
      <c r="G3237" s="2" t="s">
        <v>9</v>
      </c>
    </row>
    <row r="3238" spans="1:9" x14ac:dyDescent="0.2">
      <c r="A3238" s="2" t="s">
        <v>3553</v>
      </c>
      <c r="B3238" s="2" t="s">
        <v>1265</v>
      </c>
      <c r="C3238" s="2">
        <v>1427.752</v>
      </c>
      <c r="D3238" s="2">
        <f>HYPERLINK("http://mcb-m6.bioreg.kyushu-u.ac.jp/M3/20110411/F50915/1732/1", 69.68)</f>
        <v>69.680000000000007</v>
      </c>
      <c r="E3238" s="2">
        <v>54.83</v>
      </c>
      <c r="F3238" s="2">
        <v>1</v>
      </c>
      <c r="G3238" s="2" t="s">
        <v>9</v>
      </c>
    </row>
    <row r="3239" spans="1:9" x14ac:dyDescent="0.2">
      <c r="A3239" s="2" t="s">
        <v>3553</v>
      </c>
      <c r="B3239" s="2" t="s">
        <v>1266</v>
      </c>
      <c r="C3239" s="2">
        <v>1427.752</v>
      </c>
      <c r="D3239" s="2">
        <f>HYPERLINK("http://mcb-m6.bioreg.kyushu-u.ac.jp/M3/20110411/F50915/1732/2", 69.68)</f>
        <v>69.680000000000007</v>
      </c>
      <c r="E3239" s="2">
        <v>54.83</v>
      </c>
      <c r="F3239" s="2">
        <v>1</v>
      </c>
      <c r="G3239" s="2" t="s">
        <v>9</v>
      </c>
    </row>
    <row r="3240" spans="1:9" x14ac:dyDescent="0.2">
      <c r="A3240" s="2" t="s">
        <v>3553</v>
      </c>
      <c r="B3240" s="2" t="s">
        <v>1266</v>
      </c>
      <c r="C3240" s="2">
        <v>714.88919999999996</v>
      </c>
      <c r="D3240" s="2">
        <f>HYPERLINK("http://mcb-m6.bioreg.kyushu-u.ac.jp/M3/20110411/F50916/1766/1", 70.02)</f>
        <v>70.02</v>
      </c>
      <c r="E3240" s="2">
        <v>1.01</v>
      </c>
      <c r="F3240" s="2">
        <v>2</v>
      </c>
      <c r="G3240" s="2" t="s">
        <v>9</v>
      </c>
    </row>
    <row r="3241" spans="1:9" x14ac:dyDescent="0.2">
      <c r="A3241" s="2" t="s">
        <v>3553</v>
      </c>
      <c r="B3241" s="2" t="s">
        <v>1265</v>
      </c>
      <c r="C3241" s="2">
        <v>714.38070000000005</v>
      </c>
      <c r="D3241" s="2">
        <f>HYPERLINK("http://mcb-m6.bioreg.kyushu-u.ac.jp/M3/20110411/F50916/1762/1", 71.8)</f>
        <v>71.8</v>
      </c>
      <c r="E3241" s="2">
        <v>58.83</v>
      </c>
      <c r="F3241" s="2">
        <v>2</v>
      </c>
      <c r="G3241" s="2" t="s">
        <v>9</v>
      </c>
    </row>
    <row r="3242" spans="1:9" x14ac:dyDescent="0.2">
      <c r="A3242" s="2" t="s">
        <v>3553</v>
      </c>
      <c r="B3242" s="2" t="s">
        <v>1266</v>
      </c>
      <c r="C3242" s="2">
        <v>714.38070000000005</v>
      </c>
      <c r="D3242" s="2">
        <f>HYPERLINK("http://mcb-m6.bioreg.kyushu-u.ac.jp/M3/20110411/F50916/1762/2", 71.8)</f>
        <v>71.8</v>
      </c>
      <c r="E3242" s="2">
        <v>58.83</v>
      </c>
      <c r="F3242" s="2">
        <v>2</v>
      </c>
      <c r="G3242" s="2" t="s">
        <v>9</v>
      </c>
    </row>
    <row r="3243" spans="1:9" x14ac:dyDescent="0.2">
      <c r="A3243" s="2" t="s">
        <v>3553</v>
      </c>
      <c r="B3243" s="2" t="s">
        <v>1470</v>
      </c>
      <c r="C3243" s="2">
        <v>949.20010000000002</v>
      </c>
      <c r="D3243" s="2">
        <f>HYPERLINK("http://mcb-m6.bioreg.kyushu-u.ac.jp/M3/20110411/F50915/3076/1", 83.37)</f>
        <v>83.37</v>
      </c>
      <c r="E3243" s="2">
        <v>66.510000000000005</v>
      </c>
      <c r="F3243" s="2">
        <v>2</v>
      </c>
      <c r="G3243" s="2" t="s">
        <v>9</v>
      </c>
    </row>
    <row r="3244" spans="1:9" x14ac:dyDescent="0.2">
      <c r="A3244" s="2" t="s">
        <v>3553</v>
      </c>
      <c r="B3244" s="2" t="s">
        <v>1265</v>
      </c>
      <c r="C3244" s="2">
        <v>714.38819999999998</v>
      </c>
      <c r="D3244" s="2">
        <f>HYPERLINK("http://mcb-m6.bioreg.kyushu-u.ac.jp/M3/20110411/F50915/1733/1", 90.22)</f>
        <v>90.22</v>
      </c>
      <c r="E3244" s="2">
        <v>78.260000000000005</v>
      </c>
      <c r="F3244" s="2">
        <v>2</v>
      </c>
      <c r="G3244" s="2" t="s">
        <v>9</v>
      </c>
    </row>
    <row r="3245" spans="1:9" x14ac:dyDescent="0.2">
      <c r="A3245" s="2" t="s">
        <v>3553</v>
      </c>
      <c r="B3245" s="2" t="s">
        <v>1266</v>
      </c>
      <c r="C3245" s="2">
        <v>714.38819999999998</v>
      </c>
      <c r="D3245" s="2">
        <f>HYPERLINK("http://mcb-m6.bioreg.kyushu-u.ac.jp/M3/20110411/F50915/1733/2", 90.22)</f>
        <v>90.22</v>
      </c>
      <c r="E3245" s="2">
        <v>78.260000000000005</v>
      </c>
      <c r="F3245" s="2">
        <v>2</v>
      </c>
      <c r="G3245" s="2" t="s">
        <v>9</v>
      </c>
    </row>
    <row r="3246" spans="1:9" x14ac:dyDescent="0.2">
      <c r="A3246" s="2" t="s">
        <v>3553</v>
      </c>
      <c r="B3246" s="2" t="s">
        <v>448</v>
      </c>
      <c r="C3246" s="2">
        <v>597.54169999999999</v>
      </c>
      <c r="D3246" s="2">
        <f>HYPERLINK("http://mcb-m6.bioreg.kyushu-u.ac.jp/M3/20110411/F50918/1145/1", 38.89)</f>
        <v>38.89</v>
      </c>
      <c r="E3246" s="2">
        <v>16.86</v>
      </c>
      <c r="F3246" s="2">
        <v>2</v>
      </c>
      <c r="G3246" s="2" t="s">
        <v>10</v>
      </c>
    </row>
    <row r="3247" spans="1:9" x14ac:dyDescent="0.2">
      <c r="A3247" s="2" t="s">
        <v>3553</v>
      </c>
      <c r="B3247" s="2" t="s">
        <v>448</v>
      </c>
      <c r="C3247" s="2">
        <v>597.47670000000005</v>
      </c>
      <c r="D3247" s="2">
        <f>HYPERLINK("http://mcb-m6.bioreg.kyushu-u.ac.jp/M3/20110411/F50917/1229/1", 39.15)</f>
        <v>39.15</v>
      </c>
      <c r="E3247" s="2">
        <v>14.16</v>
      </c>
      <c r="F3247" s="2">
        <v>2</v>
      </c>
      <c r="G3247" s="2" t="s">
        <v>10</v>
      </c>
    </row>
    <row r="3248" spans="1:9" x14ac:dyDescent="0.2">
      <c r="A3248" s="2" t="s">
        <v>3553</v>
      </c>
      <c r="B3248" s="2" t="s">
        <v>1791</v>
      </c>
      <c r="C3248" s="2">
        <v>982.66800000000001</v>
      </c>
      <c r="D3248" s="2">
        <f>HYPERLINK("http://mcb-m6.bioreg.kyushu-u.ac.jp/M3/20110411/F50917/760/1", 39.29)</f>
        <v>39.29</v>
      </c>
      <c r="E3248" s="2">
        <v>14.67</v>
      </c>
      <c r="F3248" s="2">
        <v>1</v>
      </c>
      <c r="G3248" s="2" t="s">
        <v>10</v>
      </c>
    </row>
    <row r="3249" spans="1:9" x14ac:dyDescent="0.2">
      <c r="A3249" s="2" t="s">
        <v>3553</v>
      </c>
      <c r="B3249" s="2" t="s">
        <v>539</v>
      </c>
      <c r="C3249" s="2">
        <v>721.58259999999996</v>
      </c>
      <c r="D3249" s="2">
        <f>HYPERLINK("http://mcb-m6.bioreg.kyushu-u.ac.jp/M3/20110411/F50918/1798/1", 44.17)</f>
        <v>44.17</v>
      </c>
      <c r="E3249" s="2">
        <v>27.09</v>
      </c>
      <c r="F3249" s="2">
        <v>2</v>
      </c>
      <c r="G3249" s="2" t="s">
        <v>10</v>
      </c>
    </row>
    <row r="3250" spans="1:9" x14ac:dyDescent="0.2">
      <c r="A3250" s="2" t="s">
        <v>3553</v>
      </c>
      <c r="B3250" s="2" t="s">
        <v>891</v>
      </c>
      <c r="C3250" s="2">
        <v>544.49019999999996</v>
      </c>
      <c r="D3250" s="2">
        <f>HYPERLINK("http://mcb-m6.bioreg.kyushu-u.ac.jp/M3/20110411/F50917/986/1", 47.39)</f>
        <v>47.39</v>
      </c>
      <c r="E3250" s="2">
        <v>30.3</v>
      </c>
      <c r="F3250" s="2">
        <v>2</v>
      </c>
      <c r="G3250" s="2" t="s">
        <v>10</v>
      </c>
      <c r="I3250" s="2" t="s">
        <v>4890</v>
      </c>
    </row>
    <row r="3251" spans="1:9" x14ac:dyDescent="0.2">
      <c r="A3251" s="2" t="s">
        <v>3553</v>
      </c>
      <c r="B3251" s="2" t="s">
        <v>998</v>
      </c>
      <c r="C3251" s="2">
        <v>553.83870000000002</v>
      </c>
      <c r="D3251" s="2">
        <f>HYPERLINK("http://mcb-m6.bioreg.kyushu-u.ac.jp/M3/20110411/F50917/1022/1", 49.77)</f>
        <v>49.77</v>
      </c>
      <c r="E3251" s="2">
        <v>26.5</v>
      </c>
      <c r="F3251" s="2">
        <v>2</v>
      </c>
      <c r="G3251" s="2" t="s">
        <v>10</v>
      </c>
    </row>
    <row r="3252" spans="1:9" x14ac:dyDescent="0.2">
      <c r="A3252" s="2" t="s">
        <v>3553</v>
      </c>
      <c r="B3252" s="2" t="s">
        <v>787</v>
      </c>
      <c r="C3252" s="2">
        <v>1071.654</v>
      </c>
      <c r="D3252" s="2">
        <f>HYPERLINK("http://mcb-m6.bioreg.kyushu-u.ac.jp/M3/20110411/F50917/949/1", 52.99)</f>
        <v>52.99</v>
      </c>
      <c r="E3252" s="2">
        <v>34</v>
      </c>
      <c r="F3252" s="2">
        <v>1</v>
      </c>
      <c r="G3252" s="2" t="s">
        <v>10</v>
      </c>
    </row>
    <row r="3253" spans="1:9" x14ac:dyDescent="0.2">
      <c r="A3253" s="2" t="s">
        <v>3553</v>
      </c>
      <c r="B3253" s="2" t="s">
        <v>763</v>
      </c>
      <c r="C3253" s="2">
        <v>917.51099999999997</v>
      </c>
      <c r="D3253" s="2">
        <f>HYPERLINK("http://mcb-m6.bioreg.kyushu-u.ac.jp/M3/20110411/F50917/647/1", 53.7)</f>
        <v>53.7</v>
      </c>
      <c r="E3253" s="2">
        <v>21.96</v>
      </c>
      <c r="F3253" s="2">
        <v>1</v>
      </c>
      <c r="G3253" s="2" t="s">
        <v>10</v>
      </c>
    </row>
    <row r="3254" spans="1:9" x14ac:dyDescent="0.2">
      <c r="A3254" s="2" t="s">
        <v>3553</v>
      </c>
      <c r="B3254" s="2" t="s">
        <v>1053</v>
      </c>
      <c r="C3254" s="2">
        <v>1085.644</v>
      </c>
      <c r="D3254" s="2">
        <f>HYPERLINK("http://mcb-m6.bioreg.kyushu-u.ac.jp/M3/20110411/F50917/981/1", 55.31)</f>
        <v>55.31</v>
      </c>
      <c r="E3254" s="2">
        <v>38.22</v>
      </c>
      <c r="F3254" s="2">
        <v>1</v>
      </c>
      <c r="G3254" s="2" t="s">
        <v>10</v>
      </c>
    </row>
    <row r="3255" spans="1:9" x14ac:dyDescent="0.2">
      <c r="A3255" s="2" t="s">
        <v>3553</v>
      </c>
      <c r="B3255" s="2" t="s">
        <v>418</v>
      </c>
      <c r="C3255" s="2">
        <v>785.52170000000001</v>
      </c>
      <c r="D3255" s="2">
        <f>HYPERLINK("http://mcb-m6.bioreg.kyushu-u.ac.jp/M3/20110411/F50917/2243/1", 70.43)</f>
        <v>70.430000000000007</v>
      </c>
      <c r="E3255" s="2">
        <v>50.31</v>
      </c>
      <c r="F3255" s="2">
        <v>2</v>
      </c>
      <c r="G3255" s="2" t="s">
        <v>10</v>
      </c>
    </row>
    <row r="3256" spans="1:9" x14ac:dyDescent="0.2">
      <c r="A3256" s="2" t="s">
        <v>3553</v>
      </c>
      <c r="B3256" s="2" t="s">
        <v>1266</v>
      </c>
      <c r="C3256" s="2">
        <v>714.47919999999999</v>
      </c>
      <c r="D3256" s="2">
        <f>HYPERLINK("http://mcb-m6.bioreg.kyushu-u.ac.jp/M3/20110411/F50918/1741/1", 78.75)</f>
        <v>78.75</v>
      </c>
      <c r="E3256" s="2">
        <v>2.1</v>
      </c>
      <c r="F3256" s="2">
        <v>2</v>
      </c>
      <c r="G3256" s="2" t="s">
        <v>10</v>
      </c>
    </row>
    <row r="3257" spans="1:9" x14ac:dyDescent="0.2">
      <c r="A3257" s="2" t="s">
        <v>3553</v>
      </c>
      <c r="B3257" s="2" t="s">
        <v>1265</v>
      </c>
      <c r="C3257" s="2">
        <v>714.51760000000002</v>
      </c>
      <c r="D3257" s="2">
        <f>HYPERLINK("http://mcb-m6.bioreg.kyushu-u.ac.jp/M3/20110411/F50917/1808/1", 80.06)</f>
        <v>80.06</v>
      </c>
      <c r="E3257" s="2">
        <v>65.13</v>
      </c>
      <c r="F3257" s="2">
        <v>2</v>
      </c>
      <c r="G3257" s="2" t="s">
        <v>10</v>
      </c>
    </row>
    <row r="3258" spans="1:9" x14ac:dyDescent="0.2">
      <c r="A3258" s="2" t="s">
        <v>3553</v>
      </c>
      <c r="B3258" s="2" t="s">
        <v>1266</v>
      </c>
      <c r="C3258" s="2">
        <v>714.51760000000002</v>
      </c>
      <c r="D3258" s="2">
        <f>HYPERLINK("http://mcb-m6.bioreg.kyushu-u.ac.jp/M3/20110411/F50917/1808/2", 80.06)</f>
        <v>80.06</v>
      </c>
      <c r="E3258" s="2">
        <v>65.13</v>
      </c>
      <c r="F3258" s="2">
        <v>2</v>
      </c>
      <c r="G3258" s="2" t="s">
        <v>10</v>
      </c>
    </row>
    <row r="3259" spans="1:9" x14ac:dyDescent="0.2">
      <c r="A3259" s="2" t="s">
        <v>3553</v>
      </c>
      <c r="B3259" s="2" t="s">
        <v>1470</v>
      </c>
      <c r="C3259" s="2">
        <v>949.0172</v>
      </c>
      <c r="D3259" s="2">
        <f>HYPERLINK("http://mcb-m6.bioreg.kyushu-u.ac.jp/M3/20110411/F50917/3117/1", 99.84)</f>
        <v>99.84</v>
      </c>
      <c r="E3259" s="2">
        <v>77.05</v>
      </c>
      <c r="F3259" s="2">
        <v>2</v>
      </c>
      <c r="G3259" s="2" t="s">
        <v>10</v>
      </c>
    </row>
    <row r="3260" spans="1:9" x14ac:dyDescent="0.2">
      <c r="A3260" s="2" t="s">
        <v>3553</v>
      </c>
      <c r="B3260" s="2" t="s">
        <v>448</v>
      </c>
      <c r="C3260" s="2">
        <v>597.20569999999998</v>
      </c>
      <c r="D3260" s="2">
        <f>HYPERLINK("http://mcb-m6.bioreg.kyushu-u.ac.jp/M3/20110414/F50956/1039/1", 36.05)</f>
        <v>36.049999999999997</v>
      </c>
      <c r="E3260" s="2">
        <v>14.26</v>
      </c>
      <c r="F3260" s="2">
        <v>2</v>
      </c>
      <c r="G3260" s="2" t="s">
        <v>11</v>
      </c>
    </row>
    <row r="3261" spans="1:9" x14ac:dyDescent="0.2">
      <c r="A3261" s="2" t="s">
        <v>3553</v>
      </c>
      <c r="B3261" s="2" t="s">
        <v>2264</v>
      </c>
      <c r="C3261" s="2">
        <v>687.26760000000002</v>
      </c>
      <c r="D3261" s="2">
        <f>HYPERLINK("http://mcb-m6.bioreg.kyushu-u.ac.jp/M3/20110414/F50957/1523/1", 40.81)</f>
        <v>40.81</v>
      </c>
      <c r="E3261" s="2">
        <v>17.3</v>
      </c>
      <c r="F3261" s="2">
        <v>2</v>
      </c>
      <c r="G3261" s="2" t="s">
        <v>11</v>
      </c>
    </row>
    <row r="3262" spans="1:9" x14ac:dyDescent="0.2">
      <c r="A3262" s="2" t="s">
        <v>3553</v>
      </c>
      <c r="B3262" s="2" t="s">
        <v>2265</v>
      </c>
      <c r="C3262" s="2">
        <v>622.78420000000006</v>
      </c>
      <c r="D3262" s="2">
        <f>HYPERLINK("http://mcb-m6.bioreg.kyushu-u.ac.jp/M3/20110414/F50956/1175/1", 41.04)</f>
        <v>41.04</v>
      </c>
      <c r="E3262" s="2">
        <v>17.55</v>
      </c>
      <c r="F3262" s="2">
        <v>2</v>
      </c>
      <c r="G3262" s="2" t="s">
        <v>11</v>
      </c>
      <c r="I3262" s="2" t="s">
        <v>4893</v>
      </c>
    </row>
    <row r="3263" spans="1:9" x14ac:dyDescent="0.2">
      <c r="A3263" s="2" t="s">
        <v>3553</v>
      </c>
      <c r="B3263" s="2" t="s">
        <v>891</v>
      </c>
      <c r="C3263" s="2">
        <v>544.32169999999996</v>
      </c>
      <c r="D3263" s="2">
        <f>HYPERLINK("http://mcb-m6.bioreg.kyushu-u.ac.jp/M3/20110414/F50956/813/1", 43.76)</f>
        <v>43.76</v>
      </c>
      <c r="E3263" s="2">
        <v>24.57</v>
      </c>
      <c r="F3263" s="2">
        <v>2</v>
      </c>
      <c r="G3263" s="2" t="s">
        <v>11</v>
      </c>
      <c r="I3263" s="2" t="s">
        <v>4890</v>
      </c>
    </row>
    <row r="3264" spans="1:9" x14ac:dyDescent="0.2">
      <c r="A3264" s="2" t="s">
        <v>3553</v>
      </c>
      <c r="B3264" s="2" t="s">
        <v>1470</v>
      </c>
      <c r="C3264" s="2">
        <v>948.82709999999997</v>
      </c>
      <c r="D3264" s="2">
        <f>HYPERLINK("http://mcb-m6.bioreg.kyushu-u.ac.jp/M3/20110414/F50942/3171/1", 53.56)</f>
        <v>53.56</v>
      </c>
      <c r="E3264" s="2">
        <v>42.81</v>
      </c>
      <c r="F3264" s="2">
        <v>2</v>
      </c>
      <c r="G3264" s="2" t="s">
        <v>11</v>
      </c>
    </row>
    <row r="3265" spans="1:9" x14ac:dyDescent="0.2">
      <c r="A3265" s="2" t="s">
        <v>3553</v>
      </c>
      <c r="B3265" s="2" t="s">
        <v>472</v>
      </c>
      <c r="C3265" s="2">
        <v>453.60559999999998</v>
      </c>
      <c r="D3265" s="2">
        <f>HYPERLINK("http://mcb-m6.bioreg.kyushu-u.ac.jp/M3/20110414/F50956/449/1", 54.46)</f>
        <v>54.46</v>
      </c>
      <c r="E3265" s="2">
        <v>30.87</v>
      </c>
      <c r="F3265" s="2">
        <v>2</v>
      </c>
      <c r="G3265" s="2" t="s">
        <v>11</v>
      </c>
    </row>
    <row r="3266" spans="1:9" x14ac:dyDescent="0.2">
      <c r="A3266" s="2" t="s">
        <v>3553</v>
      </c>
      <c r="B3266" s="2" t="s">
        <v>1053</v>
      </c>
      <c r="C3266" s="2">
        <v>543.61609999999996</v>
      </c>
      <c r="D3266" s="2">
        <f>HYPERLINK("http://mcb-m6.bioreg.kyushu-u.ac.jp/M3/20110414/F50956/812/1", 62.12)</f>
        <v>62.12</v>
      </c>
      <c r="E3266" s="2">
        <v>43.4</v>
      </c>
      <c r="F3266" s="2">
        <v>2</v>
      </c>
      <c r="G3266" s="2" t="s">
        <v>11</v>
      </c>
    </row>
    <row r="3267" spans="1:9" x14ac:dyDescent="0.2">
      <c r="A3267" s="2" t="s">
        <v>3553</v>
      </c>
      <c r="B3267" s="2" t="s">
        <v>1265</v>
      </c>
      <c r="C3267" s="2">
        <v>714.7242</v>
      </c>
      <c r="D3267" s="2">
        <f>HYPERLINK("http://mcb-m6.bioreg.kyushu-u.ac.jp/M3/20110414/F50957/1714/1", 64.03)</f>
        <v>64.03</v>
      </c>
      <c r="E3267" s="2">
        <v>1.53</v>
      </c>
      <c r="F3267" s="2">
        <v>2</v>
      </c>
      <c r="G3267" s="2" t="s">
        <v>11</v>
      </c>
    </row>
    <row r="3268" spans="1:9" x14ac:dyDescent="0.2">
      <c r="A3268" s="2" t="s">
        <v>3553</v>
      </c>
      <c r="B3268" s="2" t="s">
        <v>539</v>
      </c>
      <c r="C3268" s="2">
        <v>721.14469999999994</v>
      </c>
      <c r="D3268" s="2">
        <f>HYPERLINK("http://mcb-m6.bioreg.kyushu-u.ac.jp/M3/20110414/F50956/1785/1", 66.42)</f>
        <v>66.42</v>
      </c>
      <c r="E3268" s="2">
        <v>44.48</v>
      </c>
      <c r="F3268" s="2">
        <v>2</v>
      </c>
      <c r="G3268" s="2" t="s">
        <v>11</v>
      </c>
    </row>
    <row r="3269" spans="1:9" x14ac:dyDescent="0.2">
      <c r="A3269" s="2" t="s">
        <v>3553</v>
      </c>
      <c r="B3269" s="2" t="s">
        <v>1265</v>
      </c>
      <c r="C3269" s="2">
        <v>714.16060000000004</v>
      </c>
      <c r="D3269" s="2">
        <f>HYPERLINK("http://mcb-m6.bioreg.kyushu-u.ac.jp/M3/20110414/F50956/1728/1", 101.2)</f>
        <v>101.2</v>
      </c>
      <c r="E3269" s="2">
        <v>86.43</v>
      </c>
      <c r="F3269" s="2">
        <v>2</v>
      </c>
      <c r="G3269" s="2" t="s">
        <v>11</v>
      </c>
    </row>
    <row r="3270" spans="1:9" x14ac:dyDescent="0.2">
      <c r="A3270" s="2" t="s">
        <v>3553</v>
      </c>
      <c r="B3270" s="2" t="s">
        <v>1266</v>
      </c>
      <c r="C3270" s="2">
        <v>714.16060000000004</v>
      </c>
      <c r="D3270" s="2">
        <f>HYPERLINK("http://mcb-m6.bioreg.kyushu-u.ac.jp/M3/20110414/F50956/1728/2", 101.2)</f>
        <v>101.2</v>
      </c>
      <c r="E3270" s="2">
        <v>86.43</v>
      </c>
      <c r="F3270" s="2">
        <v>2</v>
      </c>
      <c r="G3270" s="2" t="s">
        <v>11</v>
      </c>
    </row>
    <row r="3271" spans="1:9" x14ac:dyDescent="0.2">
      <c r="A3271" s="2" t="s">
        <v>3553</v>
      </c>
      <c r="B3271" s="2" t="s">
        <v>2551</v>
      </c>
      <c r="C3271" s="2">
        <v>773.23400000000004</v>
      </c>
      <c r="D3271" s="2">
        <f>HYPERLINK("http://mcb-m6.bioreg.kyushu-u.ac.jp/M3/20110414/F50958/355/1", 37.4)</f>
        <v>37.4</v>
      </c>
      <c r="E3271" s="2">
        <v>10.77</v>
      </c>
      <c r="F3271" s="2">
        <v>1</v>
      </c>
      <c r="G3271" s="2" t="s">
        <v>12</v>
      </c>
    </row>
    <row r="3272" spans="1:9" x14ac:dyDescent="0.2">
      <c r="A3272" s="2" t="s">
        <v>3553</v>
      </c>
      <c r="B3272" s="2" t="s">
        <v>2265</v>
      </c>
      <c r="C3272" s="2">
        <v>622.28369999999995</v>
      </c>
      <c r="D3272" s="2">
        <f>HYPERLINK("http://mcb-m6.bioreg.kyushu-u.ac.jp/M3/20110414/F50958/1238/1", 41.57)</f>
        <v>41.57</v>
      </c>
      <c r="E3272" s="2">
        <v>14.55</v>
      </c>
      <c r="F3272" s="2">
        <v>2</v>
      </c>
      <c r="G3272" s="2" t="s">
        <v>12</v>
      </c>
      <c r="I3272" s="2" t="s">
        <v>4893</v>
      </c>
    </row>
    <row r="3273" spans="1:9" x14ac:dyDescent="0.2">
      <c r="A3273" s="2" t="s">
        <v>3553</v>
      </c>
      <c r="B3273" s="2" t="s">
        <v>418</v>
      </c>
      <c r="C3273" s="2">
        <v>785.31709999999998</v>
      </c>
      <c r="D3273" s="2">
        <f>HYPERLINK("http://mcb-m6.bioreg.kyushu-u.ac.jp/M3/20110414/F50958/2338/1", 41.57)</f>
        <v>41.57</v>
      </c>
      <c r="E3273" s="2">
        <v>25.64</v>
      </c>
      <c r="F3273" s="2">
        <v>2</v>
      </c>
      <c r="G3273" s="2" t="s">
        <v>12</v>
      </c>
    </row>
    <row r="3274" spans="1:9" x14ac:dyDescent="0.2">
      <c r="A3274" s="2" t="s">
        <v>3553</v>
      </c>
      <c r="B3274" s="2" t="s">
        <v>472</v>
      </c>
      <c r="C3274" s="2">
        <v>454.0566</v>
      </c>
      <c r="D3274" s="2">
        <f>HYPERLINK("http://mcb-m6.bioreg.kyushu-u.ac.jp/M3/20110414/F50958/434/1", 50.38)</f>
        <v>50.38</v>
      </c>
      <c r="E3274" s="2">
        <v>16.170000000000002</v>
      </c>
      <c r="F3274" s="2">
        <v>2</v>
      </c>
      <c r="G3274" s="2" t="s">
        <v>12</v>
      </c>
    </row>
    <row r="3275" spans="1:9" x14ac:dyDescent="0.2">
      <c r="A3275" s="2" t="s">
        <v>3553</v>
      </c>
      <c r="B3275" s="2" t="s">
        <v>763</v>
      </c>
      <c r="C3275" s="2">
        <v>917.096</v>
      </c>
      <c r="D3275" s="2">
        <f>HYPERLINK("http://mcb-m6.bioreg.kyushu-u.ac.jp/M3/20110414/F50958/462/1", 50.49)</f>
        <v>50.49</v>
      </c>
      <c r="E3275" s="2">
        <v>28.25</v>
      </c>
      <c r="F3275" s="2">
        <v>1</v>
      </c>
      <c r="G3275" s="2" t="s">
        <v>12</v>
      </c>
    </row>
    <row r="3276" spans="1:9" x14ac:dyDescent="0.2">
      <c r="A3276" s="2" t="s">
        <v>3553</v>
      </c>
      <c r="B3276" s="2" t="s">
        <v>2677</v>
      </c>
      <c r="C3276" s="2">
        <v>575.58510000000001</v>
      </c>
      <c r="D3276" s="2">
        <f>HYPERLINK("http://mcb-m6.bioreg.kyushu-u.ac.jp/M3/20110414/F50958/995/1", 51.37)</f>
        <v>51.37</v>
      </c>
      <c r="E3276" s="2">
        <v>32.29</v>
      </c>
      <c r="F3276" s="2">
        <v>2</v>
      </c>
      <c r="G3276" s="2" t="s">
        <v>12</v>
      </c>
    </row>
    <row r="3277" spans="1:9" x14ac:dyDescent="0.2">
      <c r="A3277" s="2" t="s">
        <v>3553</v>
      </c>
      <c r="B3277" s="2" t="s">
        <v>891</v>
      </c>
      <c r="C3277" s="2">
        <v>544.0942</v>
      </c>
      <c r="D3277" s="2">
        <f>HYPERLINK("http://mcb-m6.bioreg.kyushu-u.ac.jp/M3/20110414/F50958/838/1", 54.29)</f>
        <v>54.29</v>
      </c>
      <c r="E3277" s="2">
        <v>29.78</v>
      </c>
      <c r="F3277" s="2">
        <v>2</v>
      </c>
      <c r="G3277" s="2" t="s">
        <v>12</v>
      </c>
      <c r="I3277" s="2" t="s">
        <v>4890</v>
      </c>
    </row>
    <row r="3278" spans="1:9" x14ac:dyDescent="0.2">
      <c r="A3278" s="2" t="s">
        <v>3553</v>
      </c>
      <c r="B3278" s="2" t="s">
        <v>2264</v>
      </c>
      <c r="C3278" s="2">
        <v>687.21119999999996</v>
      </c>
      <c r="D3278" s="2">
        <f>HYPERLINK("http://mcb-m6.bioreg.kyushu-u.ac.jp/M3/20110414/F50958/1625/1", 54.67)</f>
        <v>54.67</v>
      </c>
      <c r="E3278" s="2">
        <v>28.24</v>
      </c>
      <c r="F3278" s="2">
        <v>2</v>
      </c>
      <c r="G3278" s="2" t="s">
        <v>12</v>
      </c>
    </row>
    <row r="3279" spans="1:9" x14ac:dyDescent="0.2">
      <c r="A3279" s="2" t="s">
        <v>3553</v>
      </c>
      <c r="B3279" s="2" t="s">
        <v>787</v>
      </c>
      <c r="C3279" s="2">
        <v>1071.2539999999999</v>
      </c>
      <c r="D3279" s="2">
        <f>HYPERLINK("http://mcb-m6.bioreg.kyushu-u.ac.jp/M3/20110414/F50958/801/1", 56.29)</f>
        <v>56.29</v>
      </c>
      <c r="E3279" s="2">
        <v>37</v>
      </c>
      <c r="F3279" s="2">
        <v>1</v>
      </c>
      <c r="G3279" s="2" t="s">
        <v>12</v>
      </c>
    </row>
    <row r="3280" spans="1:9" x14ac:dyDescent="0.2">
      <c r="A3280" s="2" t="s">
        <v>3553</v>
      </c>
      <c r="B3280" s="2" t="s">
        <v>472</v>
      </c>
      <c r="C3280" s="2">
        <v>453.51960000000003</v>
      </c>
      <c r="D3280" s="2">
        <f>HYPERLINK("http://mcb-m6.bioreg.kyushu-u.ac.jp/M3/20110414/F50958/432/1", 61.2)</f>
        <v>61.2</v>
      </c>
      <c r="E3280" s="2">
        <v>23.1</v>
      </c>
      <c r="F3280" s="2">
        <v>2</v>
      </c>
      <c r="G3280" s="2" t="s">
        <v>12</v>
      </c>
    </row>
    <row r="3281" spans="1:9" x14ac:dyDescent="0.2">
      <c r="A3281" s="2" t="s">
        <v>3553</v>
      </c>
      <c r="B3281" s="2" t="s">
        <v>1265</v>
      </c>
      <c r="C3281" s="2">
        <v>714.58370000000002</v>
      </c>
      <c r="D3281" s="2">
        <f>HYPERLINK("http://mcb-m6.bioreg.kyushu-u.ac.jp/M3/20110414/F50959/1685/1", 61.28)</f>
        <v>61.28</v>
      </c>
      <c r="E3281" s="2">
        <v>1.26</v>
      </c>
      <c r="F3281" s="2">
        <v>2</v>
      </c>
      <c r="G3281" s="2" t="s">
        <v>12</v>
      </c>
    </row>
    <row r="3282" spans="1:9" x14ac:dyDescent="0.2">
      <c r="A3282" s="2" t="s">
        <v>3553</v>
      </c>
      <c r="B3282" s="2" t="s">
        <v>2264</v>
      </c>
      <c r="C3282" s="2">
        <v>686.66819999999996</v>
      </c>
      <c r="D3282" s="2">
        <f>HYPERLINK("http://mcb-m6.bioreg.kyushu-u.ac.jp/M3/20110414/F50958/1621/1", 62.24)</f>
        <v>62.24</v>
      </c>
      <c r="E3282" s="2">
        <v>25.37</v>
      </c>
      <c r="F3282" s="2">
        <v>2</v>
      </c>
      <c r="G3282" s="2" t="s">
        <v>12</v>
      </c>
    </row>
    <row r="3283" spans="1:9" x14ac:dyDescent="0.2">
      <c r="A3283" s="2" t="s">
        <v>3553</v>
      </c>
      <c r="B3283" s="2" t="s">
        <v>1470</v>
      </c>
      <c r="C3283" s="2">
        <v>949.35770000000002</v>
      </c>
      <c r="D3283" s="2">
        <f>HYPERLINK("http://mcb-m6.bioreg.kyushu-u.ac.jp/M3/20110414/F50958/3363/1", 64.68)</f>
        <v>64.680000000000007</v>
      </c>
      <c r="E3283" s="2">
        <v>49.04</v>
      </c>
      <c r="F3283" s="2">
        <v>2</v>
      </c>
      <c r="G3283" s="2" t="s">
        <v>12</v>
      </c>
    </row>
    <row r="3284" spans="1:9" x14ac:dyDescent="0.2">
      <c r="A3284" s="2" t="s">
        <v>3553</v>
      </c>
      <c r="B3284" s="2" t="s">
        <v>998</v>
      </c>
      <c r="C3284" s="2">
        <v>553.10569999999996</v>
      </c>
      <c r="D3284" s="2">
        <f>HYPERLINK("http://mcb-m6.bioreg.kyushu-u.ac.jp/M3/20110414/F50958/883/1", 69.79)</f>
        <v>69.790000000000006</v>
      </c>
      <c r="E3284" s="2">
        <v>42.29</v>
      </c>
      <c r="F3284" s="2">
        <v>2</v>
      </c>
      <c r="G3284" s="2" t="s">
        <v>12</v>
      </c>
    </row>
    <row r="3285" spans="1:9" x14ac:dyDescent="0.2">
      <c r="A3285" s="2" t="s">
        <v>3553</v>
      </c>
      <c r="B3285" s="2" t="s">
        <v>1265</v>
      </c>
      <c r="C3285" s="2">
        <v>714.30520000000001</v>
      </c>
      <c r="D3285" s="2">
        <f>HYPERLINK("http://mcb-m6.bioreg.kyushu-u.ac.jp/M3/20110414/F50958/1802/1", 76.43)</f>
        <v>76.430000000000007</v>
      </c>
      <c r="E3285" s="2">
        <v>2.02</v>
      </c>
      <c r="F3285" s="2">
        <v>2</v>
      </c>
      <c r="G3285" s="2" t="s">
        <v>12</v>
      </c>
    </row>
    <row r="3286" spans="1:9" x14ac:dyDescent="0.2">
      <c r="A3286" s="2" t="s">
        <v>3553</v>
      </c>
      <c r="B3286" s="2" t="s">
        <v>763</v>
      </c>
      <c r="C3286" s="2">
        <v>459.4966</v>
      </c>
      <c r="D3286" s="2">
        <f>HYPERLINK("http://mcb-m6.bioreg.kyushu-u.ac.jp/M3/20110502/F51172/506/1", 37.59)</f>
        <v>37.590000000000003</v>
      </c>
      <c r="E3286" s="2">
        <v>20.329999999999998</v>
      </c>
      <c r="F3286" s="2">
        <v>2</v>
      </c>
      <c r="G3286" s="2" t="s">
        <v>13</v>
      </c>
    </row>
    <row r="3287" spans="1:9" x14ac:dyDescent="0.2">
      <c r="A3287" s="2" t="s">
        <v>3553</v>
      </c>
      <c r="B3287" s="2" t="s">
        <v>891</v>
      </c>
      <c r="C3287" s="2">
        <v>544.62459999999999</v>
      </c>
      <c r="D3287" s="2">
        <f>HYPERLINK("http://mcb-m6.bioreg.kyushu-u.ac.jp/M3/20110502/F51172/960/1", 49.66)</f>
        <v>49.66</v>
      </c>
      <c r="E3287" s="2">
        <v>19.71</v>
      </c>
      <c r="F3287" s="2">
        <v>2</v>
      </c>
      <c r="G3287" s="2" t="s">
        <v>13</v>
      </c>
      <c r="I3287" s="2" t="s">
        <v>4890</v>
      </c>
    </row>
    <row r="3288" spans="1:9" x14ac:dyDescent="0.2">
      <c r="A3288" s="2" t="s">
        <v>3553</v>
      </c>
      <c r="B3288" s="2" t="s">
        <v>1470</v>
      </c>
      <c r="C3288" s="2">
        <v>949.15970000000004</v>
      </c>
      <c r="D3288" s="2">
        <f>HYPERLINK("http://mcb-m6.bioreg.kyushu-u.ac.jp/M3/20110502/F51172/3362/1", 53.12)</f>
        <v>53.12</v>
      </c>
      <c r="E3288" s="2">
        <v>41.3</v>
      </c>
      <c r="F3288" s="2">
        <v>2</v>
      </c>
      <c r="G3288" s="2" t="s">
        <v>13</v>
      </c>
    </row>
    <row r="3289" spans="1:9" x14ac:dyDescent="0.2">
      <c r="A3289" s="2" t="s">
        <v>3553</v>
      </c>
      <c r="B3289" s="2" t="s">
        <v>1470</v>
      </c>
      <c r="C3289" s="2">
        <v>949.25959999999998</v>
      </c>
      <c r="D3289" s="2">
        <f>HYPERLINK("http://mcb-m6.bioreg.kyushu-u.ac.jp/M3/20110502/F51173/2996/1", 53.43)</f>
        <v>53.43</v>
      </c>
      <c r="E3289" s="2">
        <v>38.39</v>
      </c>
      <c r="F3289" s="2">
        <v>2</v>
      </c>
      <c r="G3289" s="2" t="s">
        <v>13</v>
      </c>
    </row>
    <row r="3290" spans="1:9" x14ac:dyDescent="0.2">
      <c r="A3290" s="2" t="s">
        <v>3553</v>
      </c>
      <c r="B3290" s="2" t="s">
        <v>2264</v>
      </c>
      <c r="C3290" s="2">
        <v>687.19119999999998</v>
      </c>
      <c r="D3290" s="2">
        <f>HYPERLINK("http://mcb-m6.bioreg.kyushu-u.ac.jp/M3/20110502/F51172/1753/1", 57.66)</f>
        <v>57.66</v>
      </c>
      <c r="E3290" s="2">
        <v>24.06</v>
      </c>
      <c r="F3290" s="2">
        <v>2</v>
      </c>
      <c r="G3290" s="2" t="s">
        <v>13</v>
      </c>
    </row>
    <row r="3291" spans="1:9" x14ac:dyDescent="0.2">
      <c r="A3291" s="2" t="s">
        <v>3553</v>
      </c>
      <c r="B3291" s="2" t="s">
        <v>1265</v>
      </c>
      <c r="C3291" s="2">
        <v>714.58870000000002</v>
      </c>
      <c r="D3291" s="2">
        <f>HYPERLINK("http://mcb-m6.bioreg.kyushu-u.ac.jp/M3/20110502/F51189/1694/1", 63.12)</f>
        <v>63.12</v>
      </c>
      <c r="E3291" s="2">
        <v>52.17</v>
      </c>
      <c r="F3291" s="2">
        <v>2</v>
      </c>
      <c r="G3291" s="2" t="s">
        <v>13</v>
      </c>
    </row>
    <row r="3292" spans="1:9" x14ac:dyDescent="0.2">
      <c r="A3292" s="2" t="s">
        <v>3553</v>
      </c>
      <c r="B3292" s="2" t="s">
        <v>1266</v>
      </c>
      <c r="C3292" s="2">
        <v>714.58870000000002</v>
      </c>
      <c r="D3292" s="2">
        <f>HYPERLINK("http://mcb-m6.bioreg.kyushu-u.ac.jp/M3/20110502/F51189/1694/2", 63.12)</f>
        <v>63.12</v>
      </c>
      <c r="E3292" s="2">
        <v>52.17</v>
      </c>
      <c r="F3292" s="2">
        <v>2</v>
      </c>
      <c r="G3292" s="2" t="s">
        <v>13</v>
      </c>
    </row>
    <row r="3293" spans="1:9" x14ac:dyDescent="0.2">
      <c r="A3293" s="2" t="s">
        <v>3553</v>
      </c>
      <c r="B3293" s="2" t="s">
        <v>1470</v>
      </c>
      <c r="C3293" s="2">
        <v>949.20420000000001</v>
      </c>
      <c r="D3293" s="2">
        <f>HYPERLINK("http://mcb-m6.bioreg.kyushu-u.ac.jp/M3/20110502/F51193/2818/1", 56.31)</f>
        <v>56.31</v>
      </c>
      <c r="E3293" s="2">
        <v>39.090000000000003</v>
      </c>
      <c r="F3293" s="2">
        <v>2</v>
      </c>
      <c r="G3293" s="2" t="s">
        <v>14</v>
      </c>
    </row>
    <row r="3294" spans="1:9" x14ac:dyDescent="0.2">
      <c r="A3294" s="2" t="s">
        <v>3553</v>
      </c>
      <c r="B3294" s="2" t="s">
        <v>472</v>
      </c>
      <c r="C3294" s="2">
        <v>453.86610000000002</v>
      </c>
      <c r="D3294" s="2">
        <f>HYPERLINK("http://mcb-m6.bioreg.kyushu-u.ac.jp/M3/20110502/F51193/456/1", 57.51)</f>
        <v>57.51</v>
      </c>
      <c r="E3294" s="2">
        <v>27.8</v>
      </c>
      <c r="F3294" s="2">
        <v>2</v>
      </c>
      <c r="G3294" s="2" t="s">
        <v>14</v>
      </c>
    </row>
    <row r="3295" spans="1:9" x14ac:dyDescent="0.2">
      <c r="A3295" s="2" t="s">
        <v>3553</v>
      </c>
      <c r="B3295" s="2" t="s">
        <v>1265</v>
      </c>
      <c r="C3295" s="2">
        <v>714.56370000000004</v>
      </c>
      <c r="D3295" s="2">
        <f>HYPERLINK("http://mcb-m6.bioreg.kyushu-u.ac.jp/M3/20110502/F51193/1749/1", 64.69)</f>
        <v>64.69</v>
      </c>
      <c r="E3295" s="2">
        <v>51.59</v>
      </c>
      <c r="F3295" s="2">
        <v>2</v>
      </c>
      <c r="G3295" s="2" t="s">
        <v>14</v>
      </c>
    </row>
    <row r="3296" spans="1:9" x14ac:dyDescent="0.2">
      <c r="A3296" s="2" t="s">
        <v>3553</v>
      </c>
      <c r="B3296" s="2" t="s">
        <v>1266</v>
      </c>
      <c r="C3296" s="2">
        <v>714.56370000000004</v>
      </c>
      <c r="D3296" s="2">
        <f>HYPERLINK("http://mcb-m6.bioreg.kyushu-u.ac.jp/M3/20110502/F51193/1749/2", 64.69)</f>
        <v>64.69</v>
      </c>
      <c r="E3296" s="2">
        <v>51.59</v>
      </c>
      <c r="F3296" s="2">
        <v>2</v>
      </c>
      <c r="G3296" s="2" t="s">
        <v>14</v>
      </c>
    </row>
    <row r="3297" spans="1:8" x14ac:dyDescent="0.2">
      <c r="A3297" s="2" t="s">
        <v>3553</v>
      </c>
      <c r="B3297" s="2" t="s">
        <v>1053</v>
      </c>
      <c r="C3297" s="2">
        <v>543.63710000000003</v>
      </c>
      <c r="D3297" s="2">
        <f>HYPERLINK("http://mcb-m6.bioreg.kyushu-u.ac.jp/M3/20110502/F51193/947/1", 68.25)</f>
        <v>68.25</v>
      </c>
      <c r="E3297" s="2">
        <v>47.38</v>
      </c>
      <c r="F3297" s="2">
        <v>2</v>
      </c>
      <c r="G3297" s="2" t="s">
        <v>14</v>
      </c>
    </row>
    <row r="3298" spans="1:8" x14ac:dyDescent="0.2">
      <c r="A3298" s="2" t="s">
        <v>3553</v>
      </c>
      <c r="B3298" s="2" t="s">
        <v>418</v>
      </c>
      <c r="C3298" s="2">
        <v>785.68269999999995</v>
      </c>
      <c r="D3298" s="2">
        <f>HYPERLINK("http://mcb-m6.bioreg.kyushu-u.ac.jp/M3/20110502/F51193/2158/1", 71.52)</f>
        <v>71.52</v>
      </c>
      <c r="E3298" s="2">
        <v>48.4</v>
      </c>
      <c r="F3298" s="2">
        <v>2</v>
      </c>
      <c r="G3298" s="2" t="s">
        <v>14</v>
      </c>
    </row>
    <row r="3299" spans="1:8" x14ac:dyDescent="0.2">
      <c r="A3299" s="2" t="s">
        <v>3553</v>
      </c>
      <c r="B3299" s="2" t="s">
        <v>539</v>
      </c>
      <c r="C3299" s="2">
        <v>721.82320000000004</v>
      </c>
      <c r="D3299" s="2">
        <f>HYPERLINK("http://mcb-m6.bioreg.kyushu-u.ac.jp/M3/20110502/F51193/1795/1", 72.9)</f>
        <v>72.900000000000006</v>
      </c>
      <c r="E3299" s="2">
        <v>51.73</v>
      </c>
      <c r="F3299" s="2">
        <v>2</v>
      </c>
      <c r="G3299" s="2" t="s">
        <v>14</v>
      </c>
    </row>
    <row r="3300" spans="1:8" x14ac:dyDescent="0.2">
      <c r="A3300" s="2" t="s">
        <v>3553</v>
      </c>
      <c r="B3300" s="2" t="s">
        <v>1265</v>
      </c>
      <c r="C3300" s="2">
        <v>714.33969999999999</v>
      </c>
      <c r="D3300" s="2">
        <f>HYPERLINK("http://mcb-m6.bioreg.kyushu-u.ac.jp/M3/20110502/F51192/1638/1", 87.29)</f>
        <v>87.29</v>
      </c>
      <c r="E3300" s="2">
        <v>79.680000000000007</v>
      </c>
      <c r="F3300" s="2">
        <v>2</v>
      </c>
      <c r="G3300" s="2" t="s">
        <v>14</v>
      </c>
    </row>
    <row r="3301" spans="1:8" x14ac:dyDescent="0.2">
      <c r="A3301" s="2" t="s">
        <v>3553</v>
      </c>
      <c r="B3301" s="2" t="s">
        <v>1266</v>
      </c>
      <c r="C3301" s="2">
        <v>714.33969999999999</v>
      </c>
      <c r="D3301" s="2">
        <f>HYPERLINK("http://mcb-m6.bioreg.kyushu-u.ac.jp/M3/20110502/F51192/1638/2", 87.29)</f>
        <v>87.29</v>
      </c>
      <c r="E3301" s="2">
        <v>79.680000000000007</v>
      </c>
      <c r="F3301" s="2">
        <v>2</v>
      </c>
      <c r="G3301" s="2" t="s">
        <v>14</v>
      </c>
    </row>
    <row r="3302" spans="1:8" x14ac:dyDescent="0.2">
      <c r="A3302" s="2" t="s">
        <v>4035</v>
      </c>
      <c r="B3302" s="2" t="s">
        <v>1365</v>
      </c>
      <c r="C3302" s="2">
        <v>695.01419999999996</v>
      </c>
      <c r="D3302" s="2">
        <f>HYPERLINK("http://mcb-m6.bioreg.kyushu-u.ac.jp/M3/20110411/F50915/1621/1", 75.68)</f>
        <v>75.680000000000007</v>
      </c>
      <c r="E3302" s="2">
        <v>54.27</v>
      </c>
      <c r="F3302" s="2">
        <v>2</v>
      </c>
      <c r="G3302" s="2" t="s">
        <v>9</v>
      </c>
    </row>
    <row r="3303" spans="1:8" x14ac:dyDescent="0.2">
      <c r="A3303" s="2" t="s">
        <v>4035</v>
      </c>
      <c r="B3303" s="2" t="s">
        <v>1703</v>
      </c>
      <c r="C3303" s="2">
        <v>1216.508</v>
      </c>
      <c r="D3303" s="2">
        <f>HYPERLINK("http://mcb-m6.bioreg.kyushu-u.ac.jp/M3/20110411/F50917/1285/1", 35.53)</f>
        <v>35.53</v>
      </c>
      <c r="E3303" s="2">
        <v>21.23</v>
      </c>
      <c r="F3303" s="2">
        <v>1</v>
      </c>
      <c r="G3303" s="2" t="s">
        <v>10</v>
      </c>
    </row>
    <row r="3304" spans="1:8" x14ac:dyDescent="0.2">
      <c r="A3304" s="2" t="s">
        <v>4035</v>
      </c>
      <c r="B3304" s="2" t="s">
        <v>2033</v>
      </c>
      <c r="C3304" s="2">
        <v>751.82420000000002</v>
      </c>
      <c r="D3304" s="2">
        <f>HYPERLINK("http://mcb-m6.bioreg.kyushu-u.ac.jp/M3/20110411/F50917/2023/1", 64.93)</f>
        <v>64.930000000000007</v>
      </c>
      <c r="E3304" s="2">
        <v>46.52</v>
      </c>
      <c r="F3304" s="2">
        <v>2</v>
      </c>
      <c r="G3304" s="2" t="s">
        <v>10</v>
      </c>
    </row>
    <row r="3305" spans="1:8" x14ac:dyDescent="0.2">
      <c r="A3305" s="2" t="s">
        <v>4035</v>
      </c>
      <c r="B3305" s="2" t="s">
        <v>1365</v>
      </c>
      <c r="C3305" s="2">
        <v>694.98770000000002</v>
      </c>
      <c r="D3305" s="2">
        <f>HYPERLINK("http://mcb-m6.bioreg.kyushu-u.ac.jp/M3/20110411/F50917/1684/1", 72.43)</f>
        <v>72.430000000000007</v>
      </c>
      <c r="E3305" s="2">
        <v>47.37</v>
      </c>
      <c r="F3305" s="2">
        <v>2</v>
      </c>
      <c r="G3305" s="2" t="s">
        <v>10</v>
      </c>
    </row>
    <row r="3306" spans="1:8" x14ac:dyDescent="0.2">
      <c r="A3306" s="2" t="s">
        <v>4035</v>
      </c>
      <c r="B3306" s="2" t="s">
        <v>2033</v>
      </c>
      <c r="C3306" s="2">
        <v>751.94209999999998</v>
      </c>
      <c r="D3306" s="2">
        <f>HYPERLINK("http://mcb-m6.bioreg.kyushu-u.ac.jp/M3/20110411/F50918/1945/1", 74.84)</f>
        <v>74.84</v>
      </c>
      <c r="E3306" s="2">
        <v>55.16</v>
      </c>
      <c r="F3306" s="2">
        <v>2</v>
      </c>
      <c r="G3306" s="2" t="s">
        <v>10</v>
      </c>
    </row>
    <row r="3307" spans="1:8" x14ac:dyDescent="0.2">
      <c r="A3307" s="2" t="s">
        <v>4035</v>
      </c>
      <c r="B3307" s="2" t="s">
        <v>1365</v>
      </c>
      <c r="C3307" s="2">
        <v>694.7106</v>
      </c>
      <c r="D3307" s="2">
        <f>HYPERLINK("http://mcb-m6.bioreg.kyushu-u.ac.jp/M3/20110414/F50956/1604/1", 67.58)</f>
        <v>67.58</v>
      </c>
      <c r="E3307" s="2">
        <v>45.75</v>
      </c>
      <c r="F3307" s="2">
        <v>2</v>
      </c>
      <c r="G3307" s="2" t="s">
        <v>11</v>
      </c>
    </row>
    <row r="3308" spans="1:8" x14ac:dyDescent="0.2">
      <c r="A3308" s="2" t="s">
        <v>4035</v>
      </c>
      <c r="B3308" s="2" t="s">
        <v>2033</v>
      </c>
      <c r="C3308" s="2">
        <v>743.20820000000003</v>
      </c>
      <c r="D3308" s="2">
        <f>HYPERLINK("http://mcb-m6.bioreg.kyushu-u.ac.jp/M3/20110414/F50958/2012/1", 35.3)</f>
        <v>35.299999999999997</v>
      </c>
      <c r="E3308" s="2">
        <v>14.79</v>
      </c>
      <c r="F3308" s="2">
        <v>2</v>
      </c>
      <c r="G3308" s="2" t="s">
        <v>12</v>
      </c>
      <c r="H3308" s="2" t="s">
        <v>4904</v>
      </c>
    </row>
    <row r="3309" spans="1:8" x14ac:dyDescent="0.2">
      <c r="A3309" s="2" t="s">
        <v>4035</v>
      </c>
      <c r="B3309" s="2" t="s">
        <v>1365</v>
      </c>
      <c r="C3309" s="2">
        <v>694.61360000000002</v>
      </c>
      <c r="D3309" s="2">
        <f>HYPERLINK("http://mcb-m6.bioreg.kyushu-u.ac.jp/M3/20110414/F50958/1674/1", 45.83)</f>
        <v>45.83</v>
      </c>
      <c r="E3309" s="2">
        <v>25.99</v>
      </c>
      <c r="F3309" s="2">
        <v>2</v>
      </c>
      <c r="G3309" s="2" t="s">
        <v>12</v>
      </c>
    </row>
    <row r="3310" spans="1:8" x14ac:dyDescent="0.2">
      <c r="A3310" s="2" t="s">
        <v>4035</v>
      </c>
      <c r="B3310" s="2" t="s">
        <v>1365</v>
      </c>
      <c r="C3310" s="2">
        <v>695.17570000000001</v>
      </c>
      <c r="D3310" s="2">
        <f>HYPERLINK("http://mcb-m6.bioreg.kyushu-u.ac.jp/M3/20110502/F51172/1801/1", 66.79)</f>
        <v>66.790000000000006</v>
      </c>
      <c r="E3310" s="2">
        <v>31.31</v>
      </c>
      <c r="F3310" s="2">
        <v>2</v>
      </c>
      <c r="G3310" s="2" t="s">
        <v>13</v>
      </c>
    </row>
    <row r="3311" spans="1:8" x14ac:dyDescent="0.2">
      <c r="A3311" s="2" t="s">
        <v>4035</v>
      </c>
      <c r="B3311" s="2" t="s">
        <v>2033</v>
      </c>
      <c r="C3311" s="2">
        <v>751.6952</v>
      </c>
      <c r="D3311" s="2">
        <f>HYPERLINK("http://mcb-m6.bioreg.kyushu-u.ac.jp/M3/20110502/F51172/2165/1", 67.89)</f>
        <v>67.89</v>
      </c>
      <c r="E3311" s="2">
        <v>45.55</v>
      </c>
      <c r="F3311" s="2">
        <v>2</v>
      </c>
      <c r="G3311" s="2" t="s">
        <v>13</v>
      </c>
    </row>
    <row r="3312" spans="1:8" x14ac:dyDescent="0.2">
      <c r="A3312" s="2" t="s">
        <v>4472</v>
      </c>
      <c r="B3312" s="2" t="s">
        <v>2413</v>
      </c>
      <c r="C3312" s="2">
        <v>541.6191</v>
      </c>
      <c r="D3312" s="2">
        <f>HYPERLINK("http://mcb-m6.bioreg.kyushu-u.ac.jp/M3/20110414/F50925/1587/1", 58.84)</f>
        <v>58.84</v>
      </c>
      <c r="E3312" s="2">
        <v>25.61</v>
      </c>
      <c r="F3312" s="2">
        <v>2</v>
      </c>
      <c r="G3312" s="2" t="s">
        <v>11</v>
      </c>
    </row>
    <row r="3313" spans="1:8" x14ac:dyDescent="0.2">
      <c r="A3313" s="2" t="s">
        <v>3648</v>
      </c>
      <c r="B3313" s="2" t="s">
        <v>574</v>
      </c>
      <c r="C3313" s="2">
        <v>903.43</v>
      </c>
      <c r="D3313" s="2">
        <f>HYPERLINK("http://mcb-m6.bioreg.kyushu-u.ac.jp/M3/20110411/F50890/883/3", 45.18)</f>
        <v>45.18</v>
      </c>
      <c r="E3313" s="2">
        <v>16.079999999999998</v>
      </c>
      <c r="F3313" s="2">
        <v>1</v>
      </c>
      <c r="G3313" s="2" t="s">
        <v>9</v>
      </c>
    </row>
    <row r="3314" spans="1:8" x14ac:dyDescent="0.2">
      <c r="A3314" s="2" t="s">
        <v>3648</v>
      </c>
      <c r="B3314" s="2" t="s">
        <v>574</v>
      </c>
      <c r="C3314" s="2">
        <v>903.59900000000005</v>
      </c>
      <c r="D3314" s="2">
        <f>HYPERLINK("http://mcb-m6.bioreg.kyushu-u.ac.jp/M3/20110411/F50897/756/3", 51.61)</f>
        <v>51.61</v>
      </c>
      <c r="E3314" s="2">
        <v>23.76</v>
      </c>
      <c r="F3314" s="2">
        <v>1</v>
      </c>
      <c r="G3314" s="2" t="s">
        <v>10</v>
      </c>
    </row>
    <row r="3315" spans="1:8" x14ac:dyDescent="0.2">
      <c r="A3315" s="2" t="s">
        <v>3648</v>
      </c>
      <c r="B3315" s="2" t="s">
        <v>574</v>
      </c>
      <c r="C3315" s="2">
        <v>452.3476</v>
      </c>
      <c r="D3315" s="2">
        <f>HYPERLINK("http://mcb-m6.bioreg.kyushu-u.ac.jp/M3/20110502/F51168/968/3", 53.49)</f>
        <v>53.49</v>
      </c>
      <c r="E3315" s="2">
        <v>17.97</v>
      </c>
      <c r="F3315" s="2">
        <v>2</v>
      </c>
      <c r="G3315" s="2" t="s">
        <v>13</v>
      </c>
    </row>
    <row r="3316" spans="1:8" x14ac:dyDescent="0.2">
      <c r="A3316" s="2" t="s">
        <v>3648</v>
      </c>
      <c r="B3316" s="2" t="s">
        <v>574</v>
      </c>
      <c r="C3316" s="2">
        <v>452.47410000000002</v>
      </c>
      <c r="D3316" s="2">
        <f>HYPERLINK("http://mcb-m6.bioreg.kyushu-u.ac.jp/M3/20110502/F51177/467/3", 53.9)</f>
        <v>53.9</v>
      </c>
      <c r="E3316" s="2">
        <v>17.850000000000001</v>
      </c>
      <c r="F3316" s="2">
        <v>2</v>
      </c>
      <c r="G3316" s="2" t="s">
        <v>14</v>
      </c>
    </row>
    <row r="3317" spans="1:8" x14ac:dyDescent="0.2">
      <c r="A3317" s="2" t="s">
        <v>3936</v>
      </c>
      <c r="B3317" s="2" t="s">
        <v>1127</v>
      </c>
      <c r="C3317" s="2">
        <v>725.55110000000002</v>
      </c>
      <c r="D3317" s="2">
        <f>HYPERLINK("http://mcb-m6.bioreg.kyushu-u.ac.jp/M3/20110411/F50895/2012/1", 64.36)</f>
        <v>64.36</v>
      </c>
      <c r="E3317" s="2">
        <v>39.5</v>
      </c>
      <c r="F3317" s="2">
        <v>2</v>
      </c>
      <c r="G3317" s="2" t="s">
        <v>9</v>
      </c>
    </row>
    <row r="3318" spans="1:8" x14ac:dyDescent="0.2">
      <c r="A3318" s="2" t="s">
        <v>3936</v>
      </c>
      <c r="B3318" s="2" t="s">
        <v>1349</v>
      </c>
      <c r="C3318" s="2">
        <v>897.62369999999999</v>
      </c>
      <c r="D3318" s="2">
        <f>HYPERLINK("http://mcb-m6.bioreg.kyushu-u.ac.jp/M3/20110411/F50895/2810/1", 74.39)</f>
        <v>74.39</v>
      </c>
      <c r="E3318" s="2">
        <v>59.88</v>
      </c>
      <c r="F3318" s="2">
        <v>2</v>
      </c>
      <c r="G3318" s="2" t="s">
        <v>9</v>
      </c>
    </row>
    <row r="3319" spans="1:8" x14ac:dyDescent="0.2">
      <c r="A3319" s="2" t="s">
        <v>3936</v>
      </c>
      <c r="B3319" s="2" t="s">
        <v>1127</v>
      </c>
      <c r="C3319" s="2">
        <v>725.58669999999995</v>
      </c>
      <c r="D3319" s="2">
        <f>HYPERLINK("http://mcb-m6.bioreg.kyushu-u.ac.jp/M3/20110502/F51175/1871/1", 45.92)</f>
        <v>45.92</v>
      </c>
      <c r="E3319" s="2">
        <v>26.95</v>
      </c>
      <c r="F3319" s="2">
        <v>2</v>
      </c>
      <c r="G3319" s="2" t="s">
        <v>13</v>
      </c>
    </row>
    <row r="3320" spans="1:8" x14ac:dyDescent="0.2">
      <c r="A3320" s="2" t="s">
        <v>3619</v>
      </c>
      <c r="B3320" s="2" t="s">
        <v>528</v>
      </c>
      <c r="C3320" s="2">
        <v>1194.4290000000001</v>
      </c>
      <c r="D3320" s="2">
        <f>HYPERLINK("http://mcb-m6.bioreg.kyushu-u.ac.jp/M3/20110411/F50891/1368/1", 43.94)</f>
        <v>43.94</v>
      </c>
      <c r="E3320" s="2">
        <v>28.9</v>
      </c>
      <c r="F3320" s="2">
        <v>1</v>
      </c>
      <c r="G3320" s="2" t="s">
        <v>9</v>
      </c>
    </row>
    <row r="3321" spans="1:8" x14ac:dyDescent="0.2">
      <c r="A3321" s="2" t="s">
        <v>3619</v>
      </c>
      <c r="B3321" s="2" t="s">
        <v>1672</v>
      </c>
      <c r="C3321" s="2">
        <v>1044.9079999999999</v>
      </c>
      <c r="D3321" s="2">
        <f>HYPERLINK("http://mcb-m6.bioreg.kyushu-u.ac.jp/M3/20110411/F50891/3574/1", 124.91)</f>
        <v>124.91</v>
      </c>
      <c r="E3321" s="2">
        <v>109.45</v>
      </c>
      <c r="F3321" s="2">
        <v>2</v>
      </c>
      <c r="G3321" s="2" t="s">
        <v>9</v>
      </c>
    </row>
    <row r="3322" spans="1:8" x14ac:dyDescent="0.2">
      <c r="A3322" s="2" t="s">
        <v>3619</v>
      </c>
      <c r="B3322" s="2" t="s">
        <v>1672</v>
      </c>
      <c r="C3322" s="2">
        <v>1044.251</v>
      </c>
      <c r="D3322" s="2">
        <f>HYPERLINK("http://mcb-m6.bioreg.kyushu-u.ac.jp/M3/20110411/F50891/3572/1", 133.3)</f>
        <v>133.30000000000001</v>
      </c>
      <c r="E3322" s="2">
        <v>118.05</v>
      </c>
      <c r="F3322" s="2">
        <v>2</v>
      </c>
      <c r="G3322" s="2" t="s">
        <v>9</v>
      </c>
    </row>
    <row r="3323" spans="1:8" x14ac:dyDescent="0.2">
      <c r="A3323" s="2" t="s">
        <v>3619</v>
      </c>
      <c r="B3323" s="2" t="s">
        <v>528</v>
      </c>
      <c r="C3323" s="2">
        <v>1194.712</v>
      </c>
      <c r="D3323" s="2">
        <f>HYPERLINK("http://mcb-m6.bioreg.kyushu-u.ac.jp/M3/20110411/F50898/1782/1", 41.46)</f>
        <v>41.46</v>
      </c>
      <c r="E3323" s="2">
        <v>22.62</v>
      </c>
      <c r="F3323" s="2">
        <v>1</v>
      </c>
      <c r="G3323" s="2" t="s">
        <v>10</v>
      </c>
    </row>
    <row r="3324" spans="1:8" x14ac:dyDescent="0.2">
      <c r="A3324" s="2" t="s">
        <v>3619</v>
      </c>
      <c r="B3324" s="2" t="s">
        <v>528</v>
      </c>
      <c r="C3324" s="2">
        <v>597.87660000000005</v>
      </c>
      <c r="D3324" s="2">
        <f>HYPERLINK("http://mcb-m6.bioreg.kyushu-u.ac.jp/M3/20110411/F50898/1783/1", 57.36)</f>
        <v>57.36</v>
      </c>
      <c r="E3324" s="2">
        <v>36.979999999999997</v>
      </c>
      <c r="F3324" s="2">
        <v>2</v>
      </c>
      <c r="G3324" s="2" t="s">
        <v>10</v>
      </c>
    </row>
    <row r="3325" spans="1:8" x14ac:dyDescent="0.2">
      <c r="A3325" s="2" t="s">
        <v>3619</v>
      </c>
      <c r="B3325" s="2" t="s">
        <v>2289</v>
      </c>
      <c r="C3325" s="2">
        <v>918.17660000000001</v>
      </c>
      <c r="D3325" s="2">
        <f>HYPERLINK("http://mcb-m6.bioreg.kyushu-u.ac.jp/M3/20110414/F50928/3060/1", 43.34)</f>
        <v>43.34</v>
      </c>
      <c r="E3325" s="2">
        <v>32.39</v>
      </c>
      <c r="F3325" s="2">
        <v>2</v>
      </c>
      <c r="G3325" s="2" t="s">
        <v>11</v>
      </c>
      <c r="H3325" s="2" t="s">
        <v>4915</v>
      </c>
    </row>
    <row r="3326" spans="1:8" x14ac:dyDescent="0.2">
      <c r="A3326" s="2" t="s">
        <v>3619</v>
      </c>
      <c r="B3326" s="2" t="s">
        <v>528</v>
      </c>
      <c r="C3326" s="2">
        <v>598.09220000000005</v>
      </c>
      <c r="D3326" s="2">
        <f>HYPERLINK("http://mcb-m6.bioreg.kyushu-u.ac.jp/M3/20110414/F50928/1642/1", 48.14)</f>
        <v>48.14</v>
      </c>
      <c r="E3326" s="2">
        <v>30.31</v>
      </c>
      <c r="F3326" s="2">
        <v>2</v>
      </c>
      <c r="G3326" s="2" t="s">
        <v>11</v>
      </c>
    </row>
    <row r="3327" spans="1:8" x14ac:dyDescent="0.2">
      <c r="A3327" s="2" t="s">
        <v>3619</v>
      </c>
      <c r="B3327" s="2" t="s">
        <v>528</v>
      </c>
      <c r="C3327" s="2">
        <v>1194.2850000000001</v>
      </c>
      <c r="D3327" s="2">
        <f>HYPERLINK("http://mcb-m6.bioreg.kyushu-u.ac.jp/M3/20110414/F50928/1637/1", 59.19)</f>
        <v>59.19</v>
      </c>
      <c r="E3327" s="2">
        <v>41.88</v>
      </c>
      <c r="F3327" s="2">
        <v>1</v>
      </c>
      <c r="G3327" s="2" t="s">
        <v>11</v>
      </c>
    </row>
    <row r="3328" spans="1:8" x14ac:dyDescent="0.2">
      <c r="A3328" s="2" t="s">
        <v>3619</v>
      </c>
      <c r="B3328" s="2" t="s">
        <v>528</v>
      </c>
      <c r="C3328" s="2">
        <v>597.97170000000006</v>
      </c>
      <c r="D3328" s="2">
        <f>HYPERLINK("http://mcb-m6.bioreg.kyushu-u.ac.jp/M3/20110414/F50933/1812/1", 44.95)</f>
        <v>44.95</v>
      </c>
      <c r="E3328" s="2">
        <v>28.64</v>
      </c>
      <c r="F3328" s="2">
        <v>2</v>
      </c>
      <c r="G3328" s="2" t="s">
        <v>12</v>
      </c>
    </row>
    <row r="3329" spans="1:9" x14ac:dyDescent="0.2">
      <c r="A3329" s="2" t="s">
        <v>3437</v>
      </c>
      <c r="B3329" s="2" t="s">
        <v>245</v>
      </c>
      <c r="C3329" s="2">
        <v>619.36019999999996</v>
      </c>
      <c r="D3329" s="2">
        <f>HYPERLINK("http://mcb-m6.bioreg.kyushu-u.ac.jp/M3/20110411/F50891/1483/1", 38.39)</f>
        <v>38.39</v>
      </c>
      <c r="E3329" s="2">
        <v>24.58</v>
      </c>
      <c r="F3329" s="2">
        <v>2</v>
      </c>
      <c r="G3329" s="2" t="s">
        <v>9</v>
      </c>
    </row>
    <row r="3330" spans="1:9" x14ac:dyDescent="0.2">
      <c r="A3330" s="2" t="s">
        <v>3437</v>
      </c>
      <c r="B3330" s="2" t="s">
        <v>498</v>
      </c>
      <c r="C3330" s="2">
        <v>692.8347</v>
      </c>
      <c r="D3330" s="2">
        <f>HYPERLINK("http://mcb-m6.bioreg.kyushu-u.ac.jp/M3/20110411/F50891/1816/1", 43.24)</f>
        <v>43.24</v>
      </c>
      <c r="E3330" s="2">
        <v>25.42</v>
      </c>
      <c r="F3330" s="2">
        <v>2</v>
      </c>
      <c r="G3330" s="2" t="s">
        <v>9</v>
      </c>
    </row>
    <row r="3331" spans="1:9" x14ac:dyDescent="0.2">
      <c r="A3331" s="2" t="s">
        <v>3437</v>
      </c>
      <c r="B3331" s="2" t="s">
        <v>498</v>
      </c>
      <c r="C3331" s="2">
        <v>693.35019999999997</v>
      </c>
      <c r="D3331" s="2">
        <f>HYPERLINK("http://mcb-m6.bioreg.kyushu-u.ac.jp/M3/20110411/F50891/1823/1", 45.4)</f>
        <v>45.4</v>
      </c>
      <c r="E3331" s="2">
        <v>26.01</v>
      </c>
      <c r="F3331" s="2">
        <v>2</v>
      </c>
      <c r="G3331" s="2" t="s">
        <v>9</v>
      </c>
    </row>
    <row r="3332" spans="1:9" x14ac:dyDescent="0.2">
      <c r="A3332" s="2" t="s">
        <v>3437</v>
      </c>
      <c r="B3332" s="2" t="s">
        <v>245</v>
      </c>
      <c r="C3332" s="2">
        <v>1237.576</v>
      </c>
      <c r="D3332" s="2">
        <f>HYPERLINK("http://mcb-m6.bioreg.kyushu-u.ac.jp/M3/20110411/F50891/1482/1", 57.77)</f>
        <v>57.77</v>
      </c>
      <c r="E3332" s="2">
        <v>46.26</v>
      </c>
      <c r="F3332" s="2">
        <v>1</v>
      </c>
      <c r="G3332" s="2" t="s">
        <v>9</v>
      </c>
    </row>
    <row r="3333" spans="1:9" x14ac:dyDescent="0.2">
      <c r="A3333" s="2" t="s">
        <v>3437</v>
      </c>
      <c r="B3333" s="2" t="s">
        <v>498</v>
      </c>
      <c r="C3333" s="2">
        <v>693.41269999999997</v>
      </c>
      <c r="D3333" s="2">
        <f>HYPERLINK("http://mcb-m6.bioreg.kyushu-u.ac.jp/M3/20110411/F50898/2014/1", 43.23)</f>
        <v>43.23</v>
      </c>
      <c r="E3333" s="2">
        <v>12.58</v>
      </c>
      <c r="F3333" s="2">
        <v>2</v>
      </c>
      <c r="G3333" s="2" t="s">
        <v>10</v>
      </c>
    </row>
    <row r="3334" spans="1:9" x14ac:dyDescent="0.2">
      <c r="A3334" s="2" t="s">
        <v>3437</v>
      </c>
      <c r="B3334" s="2" t="s">
        <v>498</v>
      </c>
      <c r="C3334" s="2">
        <v>693.26260000000002</v>
      </c>
      <c r="D3334" s="2">
        <f>HYPERLINK("http://mcb-m6.bioreg.kyushu-u.ac.jp/M3/20110414/F50928/2041/1", 45.06)</f>
        <v>45.06</v>
      </c>
      <c r="E3334" s="2">
        <v>16.579999999999998</v>
      </c>
      <c r="F3334" s="2">
        <v>2</v>
      </c>
      <c r="G3334" s="2" t="s">
        <v>11</v>
      </c>
    </row>
    <row r="3335" spans="1:9" x14ac:dyDescent="0.2">
      <c r="A3335" s="2" t="s">
        <v>3437</v>
      </c>
      <c r="B3335" s="2" t="s">
        <v>498</v>
      </c>
      <c r="C3335" s="2">
        <v>692.74069999999995</v>
      </c>
      <c r="D3335" s="2">
        <f>HYPERLINK("http://mcb-m6.bioreg.kyushu-u.ac.jp/M3/20110414/F50928/2040/1", 51.36)</f>
        <v>51.36</v>
      </c>
      <c r="E3335" s="2">
        <v>27.08</v>
      </c>
      <c r="F3335" s="2">
        <v>2</v>
      </c>
      <c r="G3335" s="2" t="s">
        <v>11</v>
      </c>
    </row>
    <row r="3336" spans="1:9" x14ac:dyDescent="0.2">
      <c r="A3336" s="2" t="s">
        <v>3437</v>
      </c>
      <c r="B3336" s="2" t="s">
        <v>2421</v>
      </c>
      <c r="C3336" s="2">
        <v>629.1866</v>
      </c>
      <c r="D3336" s="2">
        <f>HYPERLINK("http://mcb-m6.bioreg.kyushu-u.ac.jp/M3/20110414/F50928/1759/1", 60.01)</f>
        <v>60.01</v>
      </c>
      <c r="E3336" s="2">
        <v>36.97</v>
      </c>
      <c r="F3336" s="2">
        <v>2</v>
      </c>
      <c r="G3336" s="2" t="s">
        <v>11</v>
      </c>
    </row>
    <row r="3337" spans="1:9" x14ac:dyDescent="0.2">
      <c r="A3337" s="2" t="s">
        <v>3437</v>
      </c>
      <c r="B3337" s="2" t="s">
        <v>2421</v>
      </c>
      <c r="C3337" s="2">
        <v>628.56920000000002</v>
      </c>
      <c r="D3337" s="2">
        <f>HYPERLINK("http://mcb-m6.bioreg.kyushu-u.ac.jp/M3/20110414/F50928/1756/1", 64.94)</f>
        <v>64.94</v>
      </c>
      <c r="E3337" s="2">
        <v>33.950000000000003</v>
      </c>
      <c r="F3337" s="2">
        <v>2</v>
      </c>
      <c r="G3337" s="2" t="s">
        <v>11</v>
      </c>
    </row>
    <row r="3338" spans="1:9" x14ac:dyDescent="0.2">
      <c r="A3338" s="2" t="s">
        <v>3437</v>
      </c>
      <c r="B3338" s="2" t="s">
        <v>2421</v>
      </c>
      <c r="C3338" s="2">
        <v>629.29219999999998</v>
      </c>
      <c r="D3338" s="2">
        <f>HYPERLINK("http://mcb-m6.bioreg.kyushu-u.ac.jp/M3/20110414/F50933/1917/1", 69.15)</f>
        <v>69.150000000000006</v>
      </c>
      <c r="E3338" s="2">
        <v>46.69</v>
      </c>
      <c r="F3338" s="2">
        <v>2</v>
      </c>
      <c r="G3338" s="2" t="s">
        <v>12</v>
      </c>
    </row>
    <row r="3339" spans="1:9" x14ac:dyDescent="0.2">
      <c r="A3339" s="2" t="s">
        <v>3499</v>
      </c>
      <c r="B3339" s="2" t="s">
        <v>334</v>
      </c>
      <c r="C3339" s="2">
        <v>917.452</v>
      </c>
      <c r="D3339" s="2">
        <f>HYPERLINK("http://mcb-m6.bioreg.kyushu-u.ac.jp/M3/20110411/F50891/815/1", 39.88)</f>
        <v>39.880000000000003</v>
      </c>
      <c r="E3339" s="2">
        <v>11.2</v>
      </c>
      <c r="F3339" s="2">
        <v>1</v>
      </c>
      <c r="G3339" s="2" t="s">
        <v>9</v>
      </c>
    </row>
    <row r="3340" spans="1:9" x14ac:dyDescent="0.2">
      <c r="A3340" s="2" t="s">
        <v>3499</v>
      </c>
      <c r="B3340" s="2" t="s">
        <v>1645</v>
      </c>
      <c r="C3340" s="2">
        <v>738.83759999999995</v>
      </c>
      <c r="D3340" s="2">
        <f>HYPERLINK("http://mcb-m6.bioreg.kyushu-u.ac.jp/M3/20110411/F50891/2078/1", 107.46)</f>
        <v>107.46</v>
      </c>
      <c r="E3340" s="2">
        <v>82.19</v>
      </c>
      <c r="F3340" s="2">
        <v>2</v>
      </c>
      <c r="G3340" s="2" t="s">
        <v>9</v>
      </c>
      <c r="I3340" s="2" t="s">
        <v>4943</v>
      </c>
    </row>
    <row r="3341" spans="1:9" x14ac:dyDescent="0.2">
      <c r="A3341" s="2" t="s">
        <v>3499</v>
      </c>
      <c r="B3341" s="2" t="s">
        <v>1732</v>
      </c>
      <c r="C3341" s="2">
        <v>732.55160000000001</v>
      </c>
      <c r="D3341" s="2">
        <f>HYPERLINK("http://mcb-m6.bioreg.kyushu-u.ac.jp/M3/20110411/F50898/2173/1", 36.82)</f>
        <v>36.82</v>
      </c>
      <c r="E3341" s="2">
        <v>14.82</v>
      </c>
      <c r="F3341" s="2">
        <v>2</v>
      </c>
      <c r="G3341" s="2" t="s">
        <v>10</v>
      </c>
      <c r="H3341" s="2" t="s">
        <v>4891</v>
      </c>
    </row>
    <row r="3342" spans="1:9" x14ac:dyDescent="0.2">
      <c r="A3342" s="2" t="s">
        <v>3499</v>
      </c>
      <c r="B3342" s="2" t="s">
        <v>1645</v>
      </c>
      <c r="C3342" s="2">
        <v>738.9452</v>
      </c>
      <c r="D3342" s="2">
        <f>HYPERLINK("http://mcb-m6.bioreg.kyushu-u.ac.jp/M3/20110411/F50898/2220/1", 84.36)</f>
        <v>84.36</v>
      </c>
      <c r="E3342" s="2">
        <v>56.27</v>
      </c>
      <c r="F3342" s="2">
        <v>2</v>
      </c>
      <c r="G3342" s="2" t="s">
        <v>10</v>
      </c>
      <c r="I3342" s="2" t="s">
        <v>4943</v>
      </c>
    </row>
    <row r="3343" spans="1:9" x14ac:dyDescent="0.2">
      <c r="A3343" s="2" t="s">
        <v>3499</v>
      </c>
      <c r="B3343" s="2" t="s">
        <v>334</v>
      </c>
      <c r="C3343" s="2">
        <v>917.19399999999996</v>
      </c>
      <c r="D3343" s="2">
        <f>HYPERLINK("http://mcb-m6.bioreg.kyushu-u.ac.jp/M3/20110414/F50928/992/1", 46.27)</f>
        <v>46.27</v>
      </c>
      <c r="E3343" s="2">
        <v>15.56</v>
      </c>
      <c r="F3343" s="2">
        <v>1</v>
      </c>
      <c r="G3343" s="2" t="s">
        <v>11</v>
      </c>
    </row>
    <row r="3344" spans="1:9" x14ac:dyDescent="0.2">
      <c r="A3344" s="2" t="s">
        <v>3499</v>
      </c>
      <c r="B3344" s="2" t="s">
        <v>1645</v>
      </c>
      <c r="C3344" s="2">
        <v>738.95920000000001</v>
      </c>
      <c r="D3344" s="2">
        <f>HYPERLINK("http://mcb-m6.bioreg.kyushu-u.ac.jp/M3/20110414/F50928/2300/1", 49.35)</f>
        <v>49.35</v>
      </c>
      <c r="E3344" s="2">
        <v>30.62</v>
      </c>
      <c r="F3344" s="2">
        <v>2</v>
      </c>
      <c r="G3344" s="2" t="s">
        <v>11</v>
      </c>
      <c r="I3344" s="2" t="s">
        <v>4943</v>
      </c>
    </row>
    <row r="3345" spans="1:9" x14ac:dyDescent="0.2">
      <c r="A3345" s="2" t="s">
        <v>3499</v>
      </c>
      <c r="B3345" s="2" t="s">
        <v>1645</v>
      </c>
      <c r="C3345" s="2">
        <v>739.17909999999995</v>
      </c>
      <c r="D3345" s="2">
        <f>HYPERLINK("http://mcb-m6.bioreg.kyushu-u.ac.jp/M3/20110414/F50933/2402/1", 50.61)</f>
        <v>50.61</v>
      </c>
      <c r="E3345" s="2">
        <v>28.8</v>
      </c>
      <c r="F3345" s="2">
        <v>2</v>
      </c>
      <c r="G3345" s="2" t="s">
        <v>12</v>
      </c>
      <c r="I3345" s="2" t="s">
        <v>4943</v>
      </c>
    </row>
    <row r="3346" spans="1:9" x14ac:dyDescent="0.2">
      <c r="A3346" s="2" t="s">
        <v>3499</v>
      </c>
      <c r="B3346" s="2" t="s">
        <v>1645</v>
      </c>
      <c r="C3346" s="2">
        <v>739.45119999999997</v>
      </c>
      <c r="D3346" s="2">
        <f>HYPERLINK("http://mcb-m6.bioreg.kyushu-u.ac.jp/M3/20110502/F51169/2096/1", 54.69)</f>
        <v>54.69</v>
      </c>
      <c r="E3346" s="2">
        <v>32.76</v>
      </c>
      <c r="F3346" s="2">
        <v>2</v>
      </c>
      <c r="G3346" s="2" t="s">
        <v>13</v>
      </c>
      <c r="I3346" s="2" t="s">
        <v>4943</v>
      </c>
    </row>
    <row r="3347" spans="1:9" x14ac:dyDescent="0.2">
      <c r="A3347" s="2" t="s">
        <v>4609</v>
      </c>
      <c r="B3347" s="2" t="s">
        <v>2720</v>
      </c>
      <c r="C3347" s="2">
        <v>498.96660000000003</v>
      </c>
      <c r="D3347" s="2">
        <f>HYPERLINK("http://mcb-m6.bioreg.kyushu-u.ac.jp/M3/20110414/F50949/1699/1", 63.47)</f>
        <v>63.47</v>
      </c>
      <c r="E3347" s="2">
        <v>36.32</v>
      </c>
      <c r="F3347" s="2">
        <v>2</v>
      </c>
      <c r="G3347" s="2" t="s">
        <v>12</v>
      </c>
    </row>
    <row r="3348" spans="1:9" x14ac:dyDescent="0.2">
      <c r="A3348" s="2" t="s">
        <v>4609</v>
      </c>
      <c r="B3348" s="2" t="s">
        <v>3095</v>
      </c>
      <c r="C3348" s="2">
        <v>798.56870000000004</v>
      </c>
      <c r="D3348" s="2">
        <f>HYPERLINK("http://mcb-m6.bioreg.kyushu-u.ac.jp/M3/20110502/F51185/2187/1", 44.26)</f>
        <v>44.26</v>
      </c>
      <c r="E3348" s="2">
        <v>29.97</v>
      </c>
      <c r="F3348" s="2">
        <v>2</v>
      </c>
      <c r="G3348" s="2" t="s">
        <v>14</v>
      </c>
    </row>
    <row r="3349" spans="1:9" x14ac:dyDescent="0.2">
      <c r="A3349" s="2" t="s">
        <v>4609</v>
      </c>
      <c r="B3349" s="2" t="s">
        <v>3142</v>
      </c>
      <c r="C3349" s="2">
        <v>838.4982</v>
      </c>
      <c r="D3349" s="2">
        <f>HYPERLINK("http://mcb-m6.bioreg.kyushu-u.ac.jp/M3/20110502/F51185/2365/1", 51.11)</f>
        <v>51.11</v>
      </c>
      <c r="E3349" s="2">
        <v>36.29</v>
      </c>
      <c r="F3349" s="2">
        <v>2</v>
      </c>
      <c r="G3349" s="2" t="s">
        <v>14</v>
      </c>
    </row>
    <row r="3350" spans="1:9" x14ac:dyDescent="0.2">
      <c r="A3350" s="2" t="s">
        <v>4609</v>
      </c>
      <c r="B3350" s="2" t="s">
        <v>3169</v>
      </c>
      <c r="C3350" s="2">
        <v>698.31460000000004</v>
      </c>
      <c r="D3350" s="2">
        <f>HYPERLINK("http://mcb-m6.bioreg.kyushu-u.ac.jp/M3/20110502/F51185/1657/1", 58.7)</f>
        <v>58.7</v>
      </c>
      <c r="E3350" s="2">
        <v>33.409999999999997</v>
      </c>
      <c r="F3350" s="2">
        <v>2</v>
      </c>
      <c r="G3350" s="2" t="s">
        <v>14</v>
      </c>
    </row>
    <row r="3351" spans="1:9" x14ac:dyDescent="0.2">
      <c r="A3351" s="2" t="s">
        <v>3394</v>
      </c>
      <c r="B3351" s="2" t="s">
        <v>188</v>
      </c>
      <c r="C3351" s="2">
        <v>472.17910000000001</v>
      </c>
      <c r="D3351" s="2">
        <f>HYPERLINK("http://mcb-m6.bioreg.kyushu-u.ac.jp/M3/20110411/F50889/1409/1", 37.42)</f>
        <v>37.42</v>
      </c>
      <c r="E3351" s="2">
        <v>13.22</v>
      </c>
      <c r="F3351" s="2">
        <v>2</v>
      </c>
      <c r="G3351" s="2" t="s">
        <v>9</v>
      </c>
    </row>
    <row r="3352" spans="1:9" x14ac:dyDescent="0.2">
      <c r="A3352" s="2" t="s">
        <v>3515</v>
      </c>
      <c r="B3352" s="2" t="s">
        <v>357</v>
      </c>
      <c r="C3352" s="2">
        <v>488.45209999999997</v>
      </c>
      <c r="D3352" s="2">
        <f>HYPERLINK("http://mcb-m6.bioreg.kyushu-u.ac.jp/M3/20110411/F50903/1110/1", 40.21)</f>
        <v>40.21</v>
      </c>
      <c r="E3352" s="2">
        <v>19.04</v>
      </c>
      <c r="F3352" s="2">
        <v>2</v>
      </c>
      <c r="G3352" s="2" t="s">
        <v>9</v>
      </c>
    </row>
    <row r="3353" spans="1:9" x14ac:dyDescent="0.2">
      <c r="A3353" s="2" t="s">
        <v>3515</v>
      </c>
      <c r="B3353" s="2" t="s">
        <v>357</v>
      </c>
      <c r="C3353" s="2">
        <v>488.74310000000003</v>
      </c>
      <c r="D3353" s="2">
        <f>HYPERLINK("http://mcb-m6.bioreg.kyushu-u.ac.jp/M3/20110414/F50925/1401/1", 41.76)</f>
        <v>41.76</v>
      </c>
      <c r="E3353" s="2">
        <v>20.77</v>
      </c>
      <c r="F3353" s="2">
        <v>2</v>
      </c>
      <c r="G3353" s="2" t="s">
        <v>11</v>
      </c>
    </row>
    <row r="3354" spans="1:9" x14ac:dyDescent="0.2">
      <c r="A3354" s="2" t="s">
        <v>3515</v>
      </c>
      <c r="B3354" s="2" t="s">
        <v>357</v>
      </c>
      <c r="C3354" s="2">
        <v>488.4391</v>
      </c>
      <c r="D3354" s="2">
        <f>HYPERLINK("http://mcb-m6.bioreg.kyushu-u.ac.jp/M3/20110502/F51166/1479/1", 35.65)</f>
        <v>35.65</v>
      </c>
      <c r="E3354" s="2">
        <v>16.02</v>
      </c>
      <c r="F3354" s="2">
        <v>2</v>
      </c>
      <c r="G3354" s="2" t="s">
        <v>13</v>
      </c>
    </row>
    <row r="3355" spans="1:9" x14ac:dyDescent="0.2">
      <c r="A3355" s="2" t="s">
        <v>4876</v>
      </c>
      <c r="B3355" s="2" t="s">
        <v>3189</v>
      </c>
      <c r="C3355" s="2">
        <v>588.25419999999997</v>
      </c>
      <c r="D3355" s="2">
        <f>HYPERLINK("http://mcb-m6.bioreg.kyushu-u.ac.jp/M3/20110502/F51183/1129/1", 66.9)</f>
        <v>66.900000000000006</v>
      </c>
      <c r="E3355" s="2">
        <v>42.27</v>
      </c>
      <c r="F3355" s="2">
        <v>2</v>
      </c>
      <c r="G3355" s="2" t="s">
        <v>14</v>
      </c>
    </row>
    <row r="3356" spans="1:9" x14ac:dyDescent="0.2">
      <c r="A3356" s="2" t="s">
        <v>3451</v>
      </c>
      <c r="B3356" s="2" t="s">
        <v>261</v>
      </c>
      <c r="C3356" s="2">
        <v>1073.8589999999999</v>
      </c>
      <c r="D3356" s="2">
        <f>HYPERLINK("http://mcb-m6.bioreg.kyushu-u.ac.jp/M3/20110411/F50904/1239/1", 38.65)</f>
        <v>38.65</v>
      </c>
      <c r="E3356" s="2">
        <v>16.809999999999999</v>
      </c>
      <c r="F3356" s="2">
        <v>1</v>
      </c>
      <c r="G3356" s="2" t="s">
        <v>9</v>
      </c>
    </row>
    <row r="3357" spans="1:9" x14ac:dyDescent="0.2">
      <c r="A3357" s="2" t="s">
        <v>3451</v>
      </c>
      <c r="B3357" s="2" t="s">
        <v>434</v>
      </c>
      <c r="C3357" s="2">
        <v>645.46370000000002</v>
      </c>
      <c r="D3357" s="2">
        <f>HYPERLINK("http://mcb-m6.bioreg.kyushu-u.ac.jp/M3/20110411/F50905/1543/1", 41.78)</f>
        <v>41.78</v>
      </c>
      <c r="E3357" s="2">
        <v>8.8800000000000008</v>
      </c>
      <c r="F3357" s="2">
        <v>2</v>
      </c>
      <c r="G3357" s="2" t="s">
        <v>9</v>
      </c>
    </row>
    <row r="3358" spans="1:9" x14ac:dyDescent="0.2">
      <c r="A3358" s="2" t="s">
        <v>3451</v>
      </c>
      <c r="B3358" s="2" t="s">
        <v>465</v>
      </c>
      <c r="C3358" s="2">
        <v>876.61900000000003</v>
      </c>
      <c r="D3358" s="2">
        <f>HYPERLINK("http://mcb-m6.bioreg.kyushu-u.ac.jp/M3/20110411/F50904/937/2", 42.41)</f>
        <v>42.41</v>
      </c>
      <c r="E3358" s="2">
        <v>8.52</v>
      </c>
      <c r="F3358" s="2">
        <v>1</v>
      </c>
      <c r="G3358" s="2" t="s">
        <v>9</v>
      </c>
    </row>
    <row r="3359" spans="1:9" x14ac:dyDescent="0.2">
      <c r="A3359" s="2" t="s">
        <v>3451</v>
      </c>
      <c r="B3359" s="2" t="s">
        <v>590</v>
      </c>
      <c r="C3359" s="2">
        <v>909.76919999999996</v>
      </c>
      <c r="D3359" s="2">
        <f>HYPERLINK("http://mcb-m6.bioreg.kyushu-u.ac.jp/M3/20110411/F50904/2792/1", 45.59)</f>
        <v>45.59</v>
      </c>
      <c r="E3359" s="2">
        <v>31.84</v>
      </c>
      <c r="F3359" s="2">
        <v>2</v>
      </c>
      <c r="G3359" s="2" t="s">
        <v>9</v>
      </c>
    </row>
    <row r="3360" spans="1:9" x14ac:dyDescent="0.2">
      <c r="A3360" s="2" t="s">
        <v>3451</v>
      </c>
      <c r="B3360" s="2" t="s">
        <v>590</v>
      </c>
      <c r="C3360" s="2">
        <v>909.66219999999998</v>
      </c>
      <c r="D3360" s="2">
        <f>HYPERLINK("http://mcb-m6.bioreg.kyushu-u.ac.jp/M3/20110411/F50911/2990/1", 48.7)</f>
        <v>48.7</v>
      </c>
      <c r="E3360" s="2">
        <v>31.2</v>
      </c>
      <c r="F3360" s="2">
        <v>2</v>
      </c>
      <c r="G3360" s="2" t="s">
        <v>9</v>
      </c>
    </row>
    <row r="3361" spans="1:9" x14ac:dyDescent="0.2">
      <c r="A3361" s="2" t="s">
        <v>3451</v>
      </c>
      <c r="B3361" s="2" t="s">
        <v>434</v>
      </c>
      <c r="C3361" s="2">
        <v>1289.8040000000001</v>
      </c>
      <c r="D3361" s="2">
        <f>HYPERLINK("http://mcb-m6.bioreg.kyushu-u.ac.jp/M3/20110411/F50904/1592/1", 50.16)</f>
        <v>50.16</v>
      </c>
      <c r="E3361" s="2">
        <v>29.14</v>
      </c>
      <c r="F3361" s="2">
        <v>1</v>
      </c>
      <c r="G3361" s="2" t="s">
        <v>9</v>
      </c>
    </row>
    <row r="3362" spans="1:9" x14ac:dyDescent="0.2">
      <c r="A3362" s="2" t="s">
        <v>3451</v>
      </c>
      <c r="B3362" s="2" t="s">
        <v>919</v>
      </c>
      <c r="C3362" s="2">
        <v>665.11770000000001</v>
      </c>
      <c r="D3362" s="2">
        <f>HYPERLINK("http://mcb-m6.bioreg.kyushu-u.ac.jp/M3/20110411/F50911/1670/1", 55.57)</f>
        <v>55.57</v>
      </c>
      <c r="E3362" s="2">
        <v>31.03</v>
      </c>
      <c r="F3362" s="2">
        <v>2</v>
      </c>
      <c r="G3362" s="2" t="s">
        <v>9</v>
      </c>
    </row>
    <row r="3363" spans="1:9" x14ac:dyDescent="0.2">
      <c r="A3363" s="2" t="s">
        <v>3451</v>
      </c>
      <c r="B3363" s="2" t="s">
        <v>965</v>
      </c>
      <c r="C3363" s="2">
        <v>1022.073</v>
      </c>
      <c r="D3363" s="2">
        <f>HYPERLINK("http://mcb-m6.bioreg.kyushu-u.ac.jp/M3/20110411/F50905/3360/1", 57.15)</f>
        <v>57.15</v>
      </c>
      <c r="E3363" s="2">
        <v>43.46</v>
      </c>
      <c r="F3363" s="2">
        <v>2</v>
      </c>
      <c r="G3363" s="2" t="s">
        <v>9</v>
      </c>
    </row>
    <row r="3364" spans="1:9" x14ac:dyDescent="0.2">
      <c r="A3364" s="2" t="s">
        <v>3451</v>
      </c>
      <c r="B3364" s="2" t="s">
        <v>1057</v>
      </c>
      <c r="C3364" s="2">
        <v>459.00659999999999</v>
      </c>
      <c r="D3364" s="2">
        <f>HYPERLINK("http://mcb-m6.bioreg.kyushu-u.ac.jp/M3/20110411/F50904/986/1", 60.83)</f>
        <v>60.83</v>
      </c>
      <c r="E3364" s="2">
        <v>22.27</v>
      </c>
      <c r="F3364" s="2">
        <v>2</v>
      </c>
      <c r="G3364" s="2" t="s">
        <v>9</v>
      </c>
    </row>
    <row r="3365" spans="1:9" x14ac:dyDescent="0.2">
      <c r="A3365" s="2" t="s">
        <v>3451</v>
      </c>
      <c r="B3365" s="2" t="s">
        <v>919</v>
      </c>
      <c r="C3365" s="2">
        <v>665.01319999999998</v>
      </c>
      <c r="D3365" s="2">
        <f>HYPERLINK("http://mcb-m6.bioreg.kyushu-u.ac.jp/M3/20110411/F50919/1274/1", 61.14)</f>
        <v>61.14</v>
      </c>
      <c r="E3365" s="2">
        <v>36.75</v>
      </c>
      <c r="F3365" s="2">
        <v>2</v>
      </c>
      <c r="G3365" s="2" t="s">
        <v>9</v>
      </c>
    </row>
    <row r="3366" spans="1:9" x14ac:dyDescent="0.2">
      <c r="A3366" s="2" t="s">
        <v>3451</v>
      </c>
      <c r="B3366" s="2" t="s">
        <v>965</v>
      </c>
      <c r="C3366" s="2">
        <v>1022.019</v>
      </c>
      <c r="D3366" s="2">
        <f>HYPERLINK("http://mcb-m6.bioreg.kyushu-u.ac.jp/M3/20110411/F50892/3162/1", 62.79)</f>
        <v>62.79</v>
      </c>
      <c r="E3366" s="2">
        <v>48.96</v>
      </c>
      <c r="F3366" s="2">
        <v>2</v>
      </c>
      <c r="G3366" s="2" t="s">
        <v>9</v>
      </c>
    </row>
    <row r="3367" spans="1:9" x14ac:dyDescent="0.2">
      <c r="A3367" s="2" t="s">
        <v>3451</v>
      </c>
      <c r="B3367" s="2" t="s">
        <v>919</v>
      </c>
      <c r="C3367" s="2">
        <v>665.06920000000002</v>
      </c>
      <c r="D3367" s="2">
        <f>HYPERLINK("http://mcb-m6.bioreg.kyushu-u.ac.jp/M3/20110411/F50904/1668/1", 65.48)</f>
        <v>65.48</v>
      </c>
      <c r="E3367" s="2">
        <v>36.11</v>
      </c>
      <c r="F3367" s="2">
        <v>2</v>
      </c>
      <c r="G3367" s="2" t="s">
        <v>9</v>
      </c>
    </row>
    <row r="3368" spans="1:9" x14ac:dyDescent="0.2">
      <c r="A3368" s="2" t="s">
        <v>3451</v>
      </c>
      <c r="B3368" s="2" t="s">
        <v>965</v>
      </c>
      <c r="C3368" s="2">
        <v>1021.765</v>
      </c>
      <c r="D3368" s="2">
        <f>HYPERLINK("http://mcb-m6.bioreg.kyushu-u.ac.jp/M3/20110411/F50904/3223/1", 78.21)</f>
        <v>78.209999999999994</v>
      </c>
      <c r="E3368" s="2">
        <v>64.2</v>
      </c>
      <c r="F3368" s="2">
        <v>2</v>
      </c>
      <c r="G3368" s="2" t="s">
        <v>9</v>
      </c>
    </row>
    <row r="3369" spans="1:9" x14ac:dyDescent="0.2">
      <c r="A3369" s="2" t="s">
        <v>3451</v>
      </c>
      <c r="B3369" s="2" t="s">
        <v>1436</v>
      </c>
      <c r="C3369" s="2">
        <v>765.01509999999996</v>
      </c>
      <c r="D3369" s="2">
        <f>HYPERLINK("http://mcb-m6.bioreg.kyushu-u.ac.jp/M3/20110411/F50904/2161/1", 80.25)</f>
        <v>80.25</v>
      </c>
      <c r="E3369" s="2">
        <v>59.79</v>
      </c>
      <c r="F3369" s="2">
        <v>2</v>
      </c>
      <c r="G3369" s="2" t="s">
        <v>9</v>
      </c>
    </row>
    <row r="3370" spans="1:9" x14ac:dyDescent="0.2">
      <c r="A3370" s="2" t="s">
        <v>3451</v>
      </c>
      <c r="B3370" s="2" t="s">
        <v>1584</v>
      </c>
      <c r="C3370" s="2">
        <v>841.36569999999995</v>
      </c>
      <c r="D3370" s="2">
        <f>HYPERLINK("http://mcb-m6.bioreg.kyushu-u.ac.jp/M3/20110411/F50904/2489/1", 95.51)</f>
        <v>95.51</v>
      </c>
      <c r="E3370" s="2">
        <v>76.67</v>
      </c>
      <c r="F3370" s="2">
        <v>2</v>
      </c>
      <c r="G3370" s="2" t="s">
        <v>9</v>
      </c>
      <c r="I3370" s="2" t="s">
        <v>4895</v>
      </c>
    </row>
    <row r="3371" spans="1:9" x14ac:dyDescent="0.2">
      <c r="A3371" s="2" t="s">
        <v>3451</v>
      </c>
      <c r="B3371" s="2" t="s">
        <v>1735</v>
      </c>
      <c r="C3371" s="2">
        <v>944.447</v>
      </c>
      <c r="D3371" s="2">
        <f>HYPERLINK("http://mcb-m6.bioreg.kyushu-u.ac.jp/M3/20110411/F50914/957/1", 36.92)</f>
        <v>36.92</v>
      </c>
      <c r="E3371" s="2">
        <v>15.07</v>
      </c>
      <c r="F3371" s="2">
        <v>1</v>
      </c>
      <c r="G3371" s="2" t="s">
        <v>10</v>
      </c>
    </row>
    <row r="3372" spans="1:9" x14ac:dyDescent="0.2">
      <c r="A3372" s="2" t="s">
        <v>3451</v>
      </c>
      <c r="B3372" s="2" t="s">
        <v>1735</v>
      </c>
      <c r="C3372" s="2">
        <v>944.66600000000005</v>
      </c>
      <c r="D3372" s="2">
        <f>HYPERLINK("http://mcb-m6.bioreg.kyushu-u.ac.jp/M3/20110411/F50912/991/1", 37.91)</f>
        <v>37.909999999999997</v>
      </c>
      <c r="E3372" s="2">
        <v>18.41</v>
      </c>
      <c r="F3372" s="2">
        <v>1</v>
      </c>
      <c r="G3372" s="2" t="s">
        <v>10</v>
      </c>
    </row>
    <row r="3373" spans="1:9" x14ac:dyDescent="0.2">
      <c r="A3373" s="2" t="s">
        <v>3451</v>
      </c>
      <c r="B3373" s="2" t="s">
        <v>261</v>
      </c>
      <c r="C3373" s="2">
        <v>1074.0139999999999</v>
      </c>
      <c r="D3373" s="2">
        <f>HYPERLINK("http://mcb-m6.bioreg.kyushu-u.ac.jp/M3/20110411/F50912/1210/1", 38.64)</f>
        <v>38.64</v>
      </c>
      <c r="E3373" s="2">
        <v>10.98</v>
      </c>
      <c r="F3373" s="2">
        <v>1</v>
      </c>
      <c r="G3373" s="2" t="s">
        <v>10</v>
      </c>
    </row>
    <row r="3374" spans="1:9" x14ac:dyDescent="0.2">
      <c r="A3374" s="2" t="s">
        <v>3451</v>
      </c>
      <c r="B3374" s="2" t="s">
        <v>1436</v>
      </c>
      <c r="C3374" s="2">
        <v>765.02809999999999</v>
      </c>
      <c r="D3374" s="2">
        <f>HYPERLINK("http://mcb-m6.bioreg.kyushu-u.ac.jp/M3/20110411/F50913/2137/1", 40.33)</f>
        <v>40.33</v>
      </c>
      <c r="E3374" s="2">
        <v>26.92</v>
      </c>
      <c r="F3374" s="2">
        <v>2</v>
      </c>
      <c r="G3374" s="2" t="s">
        <v>10</v>
      </c>
    </row>
    <row r="3375" spans="1:9" x14ac:dyDescent="0.2">
      <c r="A3375" s="2" t="s">
        <v>3451</v>
      </c>
      <c r="B3375" s="2" t="s">
        <v>261</v>
      </c>
      <c r="C3375" s="2">
        <v>537.70169999999996</v>
      </c>
      <c r="D3375" s="2">
        <f>HYPERLINK("http://mcb-m6.bioreg.kyushu-u.ac.jp/M3/20110411/F50912/1211/1", 41.82)</f>
        <v>41.82</v>
      </c>
      <c r="E3375" s="2">
        <v>18.809999999999999</v>
      </c>
      <c r="F3375" s="2">
        <v>2</v>
      </c>
      <c r="G3375" s="2" t="s">
        <v>10</v>
      </c>
    </row>
    <row r="3376" spans="1:9" x14ac:dyDescent="0.2">
      <c r="A3376" s="2" t="s">
        <v>3451</v>
      </c>
      <c r="B3376" s="2" t="s">
        <v>1436</v>
      </c>
      <c r="C3376" s="2">
        <v>510.44279999999998</v>
      </c>
      <c r="D3376" s="2">
        <f>HYPERLINK("http://mcb-m6.bioreg.kyushu-u.ac.jp/M3/20110411/F50912/2149/1", 44.91)</f>
        <v>44.91</v>
      </c>
      <c r="E3376" s="2">
        <v>25.41</v>
      </c>
      <c r="F3376" s="2">
        <v>3</v>
      </c>
      <c r="G3376" s="2" t="s">
        <v>10</v>
      </c>
    </row>
    <row r="3377" spans="1:9" x14ac:dyDescent="0.2">
      <c r="A3377" s="2" t="s">
        <v>3451</v>
      </c>
      <c r="B3377" s="2" t="s">
        <v>465</v>
      </c>
      <c r="C3377" s="2">
        <v>876.72900000000004</v>
      </c>
      <c r="D3377" s="2">
        <f>HYPERLINK("http://mcb-m6.bioreg.kyushu-u.ac.jp/M3/20110411/F50912/877/2", 47.05)</f>
        <v>47.05</v>
      </c>
      <c r="E3377" s="2">
        <v>14.3</v>
      </c>
      <c r="F3377" s="2">
        <v>1</v>
      </c>
      <c r="G3377" s="2" t="s">
        <v>10</v>
      </c>
    </row>
    <row r="3378" spans="1:9" x14ac:dyDescent="0.2">
      <c r="A3378" s="2" t="s">
        <v>3451</v>
      </c>
      <c r="B3378" s="2" t="s">
        <v>590</v>
      </c>
      <c r="C3378" s="2">
        <v>909.48320000000001</v>
      </c>
      <c r="D3378" s="2">
        <f>HYPERLINK("http://mcb-m6.bioreg.kyushu-u.ac.jp/M3/20110411/F50914/2880/1", 48.26)</f>
        <v>48.26</v>
      </c>
      <c r="E3378" s="2">
        <v>34.86</v>
      </c>
      <c r="F3378" s="2">
        <v>2</v>
      </c>
      <c r="G3378" s="2" t="s">
        <v>10</v>
      </c>
    </row>
    <row r="3379" spans="1:9" x14ac:dyDescent="0.2">
      <c r="A3379" s="2" t="s">
        <v>3451</v>
      </c>
      <c r="B3379" s="2" t="s">
        <v>1057</v>
      </c>
      <c r="C3379" s="2">
        <v>459.79059999999998</v>
      </c>
      <c r="D3379" s="2">
        <f>HYPERLINK("http://mcb-m6.bioreg.kyushu-u.ac.jp/M3/20110411/F50921/681/1", 52.82)</f>
        <v>52.82</v>
      </c>
      <c r="E3379" s="2">
        <v>16.71</v>
      </c>
      <c r="F3379" s="2">
        <v>2</v>
      </c>
      <c r="G3379" s="2" t="s">
        <v>10</v>
      </c>
    </row>
    <row r="3380" spans="1:9" x14ac:dyDescent="0.2">
      <c r="A3380" s="2" t="s">
        <v>3451</v>
      </c>
      <c r="B3380" s="2" t="s">
        <v>434</v>
      </c>
      <c r="C3380" s="2">
        <v>645.10170000000005</v>
      </c>
      <c r="D3380" s="2">
        <f>HYPERLINK("http://mcb-m6.bioreg.kyushu-u.ac.jp/M3/20110411/F50912/1610/1", 52.98)</f>
        <v>52.98</v>
      </c>
      <c r="E3380" s="2">
        <v>22.54</v>
      </c>
      <c r="F3380" s="2">
        <v>2</v>
      </c>
      <c r="G3380" s="2" t="s">
        <v>10</v>
      </c>
    </row>
    <row r="3381" spans="1:9" x14ac:dyDescent="0.2">
      <c r="A3381" s="2" t="s">
        <v>3451</v>
      </c>
      <c r="B3381" s="2" t="s">
        <v>434</v>
      </c>
      <c r="C3381" s="2">
        <v>1289.992</v>
      </c>
      <c r="D3381" s="2">
        <f>HYPERLINK("http://mcb-m6.bioreg.kyushu-u.ac.jp/M3/20110411/F50912/1611/1", 54.12)</f>
        <v>54.12</v>
      </c>
      <c r="E3381" s="2">
        <v>28.27</v>
      </c>
      <c r="F3381" s="2">
        <v>1</v>
      </c>
      <c r="G3381" s="2" t="s">
        <v>10</v>
      </c>
    </row>
    <row r="3382" spans="1:9" x14ac:dyDescent="0.2">
      <c r="A3382" s="2" t="s">
        <v>3451</v>
      </c>
      <c r="B3382" s="2" t="s">
        <v>434</v>
      </c>
      <c r="C3382" s="2">
        <v>645.44069999999999</v>
      </c>
      <c r="D3382" s="2">
        <f>HYPERLINK("http://mcb-m6.bioreg.kyushu-u.ac.jp/M3/20110411/F50913/1573/1", 56.13)</f>
        <v>56.13</v>
      </c>
      <c r="E3382" s="2">
        <v>20.32</v>
      </c>
      <c r="F3382" s="2">
        <v>2</v>
      </c>
      <c r="G3382" s="2" t="s">
        <v>10</v>
      </c>
    </row>
    <row r="3383" spans="1:9" x14ac:dyDescent="0.2">
      <c r="A3383" s="2" t="s">
        <v>3451</v>
      </c>
      <c r="B3383" s="2" t="s">
        <v>1057</v>
      </c>
      <c r="C3383" s="2">
        <v>459.04309999999998</v>
      </c>
      <c r="D3383" s="2">
        <f>HYPERLINK("http://mcb-m6.bioreg.kyushu-u.ac.jp/M3/20110411/F50912/928/1", 56.24)</f>
        <v>56.24</v>
      </c>
      <c r="E3383" s="2">
        <v>0.4</v>
      </c>
      <c r="F3383" s="2">
        <v>2</v>
      </c>
      <c r="G3383" s="2" t="s">
        <v>10</v>
      </c>
    </row>
    <row r="3384" spans="1:9" x14ac:dyDescent="0.2">
      <c r="A3384" s="2" t="s">
        <v>3451</v>
      </c>
      <c r="B3384" s="2" t="s">
        <v>434</v>
      </c>
      <c r="C3384" s="2">
        <v>645.41769999999997</v>
      </c>
      <c r="D3384" s="2">
        <f>HYPERLINK("http://mcb-m6.bioreg.kyushu-u.ac.jp/M3/20110411/F50921/1386/1", 58.78)</f>
        <v>58.78</v>
      </c>
      <c r="E3384" s="2">
        <v>27.2</v>
      </c>
      <c r="F3384" s="2">
        <v>2</v>
      </c>
      <c r="G3384" s="2" t="s">
        <v>10</v>
      </c>
    </row>
    <row r="3385" spans="1:9" x14ac:dyDescent="0.2">
      <c r="A3385" s="2" t="s">
        <v>3451</v>
      </c>
      <c r="B3385" s="2" t="s">
        <v>965</v>
      </c>
      <c r="C3385" s="2">
        <v>1021.485</v>
      </c>
      <c r="D3385" s="2">
        <f>HYPERLINK("http://mcb-m6.bioreg.kyushu-u.ac.jp/M3/20110411/F50914/3277/1", 66.25)</f>
        <v>66.25</v>
      </c>
      <c r="E3385" s="2">
        <v>50.19</v>
      </c>
      <c r="F3385" s="2">
        <v>2</v>
      </c>
      <c r="G3385" s="2" t="s">
        <v>10</v>
      </c>
    </row>
    <row r="3386" spans="1:9" x14ac:dyDescent="0.2">
      <c r="A3386" s="2" t="s">
        <v>3451</v>
      </c>
      <c r="B3386" s="2" t="s">
        <v>1436</v>
      </c>
      <c r="C3386" s="2">
        <v>764.86320000000001</v>
      </c>
      <c r="D3386" s="2">
        <f>HYPERLINK("http://mcb-m6.bioreg.kyushu-u.ac.jp/M3/20110411/F50914/2205/1", 66.97)</f>
        <v>66.97</v>
      </c>
      <c r="E3386" s="2">
        <v>53.94</v>
      </c>
      <c r="F3386" s="2">
        <v>2</v>
      </c>
      <c r="G3386" s="2" t="s">
        <v>10</v>
      </c>
    </row>
    <row r="3387" spans="1:9" x14ac:dyDescent="0.2">
      <c r="A3387" s="2" t="s">
        <v>3451</v>
      </c>
      <c r="B3387" s="2" t="s">
        <v>1584</v>
      </c>
      <c r="C3387" s="2">
        <v>848.95619999999997</v>
      </c>
      <c r="D3387" s="2">
        <f>HYPERLINK("http://mcb-m6.bioreg.kyushu-u.ac.jp/M3/20110411/F50912/2524/1", 68.23)</f>
        <v>68.23</v>
      </c>
      <c r="E3387" s="2">
        <v>51.03</v>
      </c>
      <c r="F3387" s="2">
        <v>2</v>
      </c>
      <c r="G3387" s="2" t="s">
        <v>10</v>
      </c>
      <c r="H3387" s="2" t="s">
        <v>4920</v>
      </c>
      <c r="I3387" s="2" t="s">
        <v>4895</v>
      </c>
    </row>
    <row r="3388" spans="1:9" x14ac:dyDescent="0.2">
      <c r="A3388" s="2" t="s">
        <v>3451</v>
      </c>
      <c r="B3388" s="2" t="s">
        <v>1436</v>
      </c>
      <c r="C3388" s="2">
        <v>765.02970000000005</v>
      </c>
      <c r="D3388" s="2">
        <f>HYPERLINK("http://mcb-m6.bioreg.kyushu-u.ac.jp/M3/20110411/F50912/2147/1", 70.55)</f>
        <v>70.55</v>
      </c>
      <c r="E3388" s="2">
        <v>48.34</v>
      </c>
      <c r="F3388" s="2">
        <v>2</v>
      </c>
      <c r="G3388" s="2" t="s">
        <v>10</v>
      </c>
    </row>
    <row r="3389" spans="1:9" x14ac:dyDescent="0.2">
      <c r="A3389" s="2" t="s">
        <v>3451</v>
      </c>
      <c r="B3389" s="2" t="s">
        <v>1436</v>
      </c>
      <c r="C3389" s="2">
        <v>764.76210000000003</v>
      </c>
      <c r="D3389" s="2">
        <f>HYPERLINK("http://mcb-m6.bioreg.kyushu-u.ac.jp/M3/20110411/F50921/1975/1", 75.95)</f>
        <v>75.95</v>
      </c>
      <c r="E3389" s="2">
        <v>58.77</v>
      </c>
      <c r="F3389" s="2">
        <v>2</v>
      </c>
      <c r="G3389" s="2" t="s">
        <v>10</v>
      </c>
    </row>
    <row r="3390" spans="1:9" x14ac:dyDescent="0.2">
      <c r="A3390" s="2" t="s">
        <v>3451</v>
      </c>
      <c r="B3390" s="2" t="s">
        <v>1584</v>
      </c>
      <c r="C3390" s="2">
        <v>841.28970000000004</v>
      </c>
      <c r="D3390" s="2">
        <f>HYPERLINK("http://mcb-m6.bioreg.kyushu-u.ac.jp/M3/20110411/F50914/2547/1", 85.77)</f>
        <v>85.77</v>
      </c>
      <c r="E3390" s="2">
        <v>63</v>
      </c>
      <c r="F3390" s="2">
        <v>2</v>
      </c>
      <c r="G3390" s="2" t="s">
        <v>10</v>
      </c>
      <c r="I3390" s="2" t="s">
        <v>4895</v>
      </c>
    </row>
    <row r="3391" spans="1:9" x14ac:dyDescent="0.2">
      <c r="A3391" s="2" t="s">
        <v>3451</v>
      </c>
      <c r="B3391" s="2" t="s">
        <v>2130</v>
      </c>
      <c r="C3391" s="2">
        <v>838.31320000000005</v>
      </c>
      <c r="D3391" s="2">
        <f>HYPERLINK("http://mcb-m6.bioreg.kyushu-u.ac.jp/M3/20110411/F50912/2471/1", 94.14)</f>
        <v>94.14</v>
      </c>
      <c r="E3391" s="2">
        <v>67.78</v>
      </c>
      <c r="F3391" s="2">
        <v>2</v>
      </c>
      <c r="G3391" s="2" t="s">
        <v>10</v>
      </c>
    </row>
    <row r="3392" spans="1:9" x14ac:dyDescent="0.2">
      <c r="A3392" s="2" t="s">
        <v>3451</v>
      </c>
      <c r="B3392" s="2" t="s">
        <v>965</v>
      </c>
      <c r="C3392" s="2">
        <v>1021.662</v>
      </c>
      <c r="D3392" s="2">
        <f>HYPERLINK("http://mcb-m6.bioreg.kyushu-u.ac.jp/M3/20110411/F50912/3189/1", 97.82)</f>
        <v>97.82</v>
      </c>
      <c r="E3392" s="2">
        <v>76.13</v>
      </c>
      <c r="F3392" s="2">
        <v>2</v>
      </c>
      <c r="G3392" s="2" t="s">
        <v>10</v>
      </c>
    </row>
    <row r="3393" spans="1:9" x14ac:dyDescent="0.2">
      <c r="A3393" s="2" t="s">
        <v>3451</v>
      </c>
      <c r="B3393" s="2" t="s">
        <v>1584</v>
      </c>
      <c r="C3393" s="2">
        <v>841.15369999999996</v>
      </c>
      <c r="D3393" s="2">
        <f>HYPERLINK("http://mcb-m6.bioreg.kyushu-u.ac.jp/M3/20110411/F50912/2478/1", 106.49)</f>
        <v>106.49</v>
      </c>
      <c r="E3393" s="2">
        <v>90.02</v>
      </c>
      <c r="F3393" s="2">
        <v>2</v>
      </c>
      <c r="G3393" s="2" t="s">
        <v>10</v>
      </c>
      <c r="I3393" s="2" t="s">
        <v>4895</v>
      </c>
    </row>
    <row r="3394" spans="1:9" x14ac:dyDescent="0.2">
      <c r="A3394" s="2" t="s">
        <v>3451</v>
      </c>
      <c r="B3394" s="2" t="s">
        <v>1584</v>
      </c>
      <c r="C3394" s="2">
        <v>841.30970000000002</v>
      </c>
      <c r="D3394" s="2">
        <f>HYPERLINK("http://mcb-m6.bioreg.kyushu-u.ac.jp/M3/20110414/F50962/2297/1", 37.81)</f>
        <v>37.81</v>
      </c>
      <c r="E3394" s="2">
        <v>24.76</v>
      </c>
      <c r="F3394" s="2">
        <v>2</v>
      </c>
      <c r="G3394" s="2" t="s">
        <v>11</v>
      </c>
      <c r="I3394" s="2" t="s">
        <v>4895</v>
      </c>
    </row>
    <row r="3395" spans="1:9" x14ac:dyDescent="0.2">
      <c r="A3395" s="2" t="s">
        <v>3451</v>
      </c>
      <c r="B3395" s="2" t="s">
        <v>590</v>
      </c>
      <c r="C3395" s="2">
        <v>909.88459999999998</v>
      </c>
      <c r="D3395" s="2">
        <f>HYPERLINK("http://mcb-m6.bioreg.kyushu-u.ac.jp/M3/20110414/F50962/2620/1", 42.28)</f>
        <v>42.28</v>
      </c>
      <c r="E3395" s="2">
        <v>27.41</v>
      </c>
      <c r="F3395" s="2">
        <v>2</v>
      </c>
      <c r="G3395" s="2" t="s">
        <v>11</v>
      </c>
    </row>
    <row r="3396" spans="1:9" x14ac:dyDescent="0.2">
      <c r="A3396" s="2" t="s">
        <v>3451</v>
      </c>
      <c r="B3396" s="2" t="s">
        <v>1057</v>
      </c>
      <c r="C3396" s="2">
        <v>459.72809999999998</v>
      </c>
      <c r="D3396" s="2">
        <f>HYPERLINK("http://mcb-m6.bioreg.kyushu-u.ac.jp/M3/20110414/F50962/676/1", 47.61)</f>
        <v>47.61</v>
      </c>
      <c r="E3396" s="2">
        <v>17.989999999999998</v>
      </c>
      <c r="F3396" s="2">
        <v>2</v>
      </c>
      <c r="G3396" s="2" t="s">
        <v>11</v>
      </c>
    </row>
    <row r="3397" spans="1:9" x14ac:dyDescent="0.2">
      <c r="A3397" s="2" t="s">
        <v>3451</v>
      </c>
      <c r="B3397" s="2" t="s">
        <v>965</v>
      </c>
      <c r="C3397" s="2">
        <v>1021.846</v>
      </c>
      <c r="D3397" s="2">
        <f>HYPERLINK("http://mcb-m6.bioreg.kyushu-u.ac.jp/M3/20110414/F50943/3269/1", 51.57)</f>
        <v>51.57</v>
      </c>
      <c r="E3397" s="2">
        <v>38.85</v>
      </c>
      <c r="F3397" s="2">
        <v>2</v>
      </c>
      <c r="G3397" s="2" t="s">
        <v>11</v>
      </c>
    </row>
    <row r="3398" spans="1:9" x14ac:dyDescent="0.2">
      <c r="A3398" s="2" t="s">
        <v>3451</v>
      </c>
      <c r="B3398" s="2" t="s">
        <v>1436</v>
      </c>
      <c r="C3398" s="2">
        <v>765.07669999999996</v>
      </c>
      <c r="D3398" s="2">
        <f>HYPERLINK("http://mcb-m6.bioreg.kyushu-u.ac.jp/M3/20110414/F50962/2029/1", 54.97)</f>
        <v>54.97</v>
      </c>
      <c r="E3398" s="2">
        <v>34.22</v>
      </c>
      <c r="F3398" s="2">
        <v>2</v>
      </c>
      <c r="G3398" s="2" t="s">
        <v>11</v>
      </c>
    </row>
    <row r="3399" spans="1:9" x14ac:dyDescent="0.2">
      <c r="A3399" s="2" t="s">
        <v>3451</v>
      </c>
      <c r="B3399" s="2" t="s">
        <v>965</v>
      </c>
      <c r="C3399" s="2">
        <v>1021.962</v>
      </c>
      <c r="D3399" s="2">
        <f>HYPERLINK("http://mcb-m6.bioreg.kyushu-u.ac.jp/M3/20110414/F50941/3565/1", 56.03)</f>
        <v>56.03</v>
      </c>
      <c r="E3399" s="2">
        <v>42.23</v>
      </c>
      <c r="F3399" s="2">
        <v>2</v>
      </c>
      <c r="G3399" s="2" t="s">
        <v>11</v>
      </c>
    </row>
    <row r="3400" spans="1:9" x14ac:dyDescent="0.2">
      <c r="A3400" s="2" t="s">
        <v>3451</v>
      </c>
      <c r="B3400" s="2" t="s">
        <v>434</v>
      </c>
      <c r="C3400" s="2">
        <v>645.2817</v>
      </c>
      <c r="D3400" s="2">
        <f>HYPERLINK("http://mcb-m6.bioreg.kyushu-u.ac.jp/M3/20110414/F50941/1541/1", 64.44)</f>
        <v>64.44</v>
      </c>
      <c r="E3400" s="2">
        <v>32.619999999999997</v>
      </c>
      <c r="F3400" s="2">
        <v>2</v>
      </c>
      <c r="G3400" s="2" t="s">
        <v>11</v>
      </c>
    </row>
    <row r="3401" spans="1:9" x14ac:dyDescent="0.2">
      <c r="A3401" s="2" t="s">
        <v>3451</v>
      </c>
      <c r="B3401" s="2" t="s">
        <v>965</v>
      </c>
      <c r="C3401" s="2">
        <v>1021.864</v>
      </c>
      <c r="D3401" s="2">
        <f>HYPERLINK("http://mcb-m6.bioreg.kyushu-u.ac.jp/M3/20110414/F50962/3128/1", 73.81)</f>
        <v>73.81</v>
      </c>
      <c r="E3401" s="2">
        <v>63.32</v>
      </c>
      <c r="F3401" s="2">
        <v>2</v>
      </c>
      <c r="G3401" s="2" t="s">
        <v>11</v>
      </c>
    </row>
    <row r="3402" spans="1:9" x14ac:dyDescent="0.2">
      <c r="A3402" s="2" t="s">
        <v>3451</v>
      </c>
      <c r="B3402" s="2" t="s">
        <v>2130</v>
      </c>
      <c r="C3402" s="2">
        <v>837.86220000000003</v>
      </c>
      <c r="D3402" s="2">
        <f>HYPERLINK("http://mcb-m6.bioreg.kyushu-u.ac.jp/M3/20110414/F50962/2292/1", 87.9)</f>
        <v>87.9</v>
      </c>
      <c r="E3402" s="2">
        <v>70.760000000000005</v>
      </c>
      <c r="F3402" s="2">
        <v>2</v>
      </c>
      <c r="G3402" s="2" t="s">
        <v>11</v>
      </c>
    </row>
    <row r="3403" spans="1:9" x14ac:dyDescent="0.2">
      <c r="A3403" s="2" t="s">
        <v>3451</v>
      </c>
      <c r="B3403" s="2" t="s">
        <v>965</v>
      </c>
      <c r="C3403" s="2">
        <v>1021.316</v>
      </c>
      <c r="D3403" s="2">
        <f>HYPERLINK("http://mcb-m6.bioreg.kyushu-u.ac.jp/M3/20110414/F50962/3126/1", 92.93)</f>
        <v>92.93</v>
      </c>
      <c r="E3403" s="2">
        <v>77.19</v>
      </c>
      <c r="F3403" s="2">
        <v>2</v>
      </c>
      <c r="G3403" s="2" t="s">
        <v>11</v>
      </c>
    </row>
    <row r="3404" spans="1:9" x14ac:dyDescent="0.2">
      <c r="A3404" s="2" t="s">
        <v>3451</v>
      </c>
      <c r="B3404" s="2" t="s">
        <v>261</v>
      </c>
      <c r="C3404" s="2">
        <v>537.77170000000001</v>
      </c>
      <c r="D3404" s="2">
        <f>HYPERLINK("http://mcb-m6.bioreg.kyushu-u.ac.jp/M3/20110414/F50963/898/1", 35.53)</f>
        <v>35.53</v>
      </c>
      <c r="E3404" s="2">
        <v>24.52</v>
      </c>
      <c r="F3404" s="2">
        <v>2</v>
      </c>
      <c r="G3404" s="2" t="s">
        <v>12</v>
      </c>
    </row>
    <row r="3405" spans="1:9" x14ac:dyDescent="0.2">
      <c r="A3405" s="2" t="s">
        <v>3451</v>
      </c>
      <c r="B3405" s="2" t="s">
        <v>2572</v>
      </c>
      <c r="C3405" s="2">
        <v>658.95680000000004</v>
      </c>
      <c r="D3405" s="2">
        <f>HYPERLINK("http://mcb-m6.bioreg.kyushu-u.ac.jp/M3/20110414/F50963/3057/1", 38.53)</f>
        <v>38.53</v>
      </c>
      <c r="E3405" s="2">
        <v>24.97</v>
      </c>
      <c r="F3405" s="2">
        <v>3</v>
      </c>
      <c r="G3405" s="2" t="s">
        <v>12</v>
      </c>
    </row>
    <row r="3406" spans="1:9" x14ac:dyDescent="0.2">
      <c r="A3406" s="2" t="s">
        <v>3451</v>
      </c>
      <c r="B3406" s="2" t="s">
        <v>590</v>
      </c>
      <c r="C3406" s="2">
        <v>909.93619999999999</v>
      </c>
      <c r="D3406" s="2">
        <f>HYPERLINK("http://mcb-m6.bioreg.kyushu-u.ac.jp/M3/20110414/F50947/2953/1", 47.35)</f>
        <v>47.35</v>
      </c>
      <c r="E3406" s="2">
        <v>37.79</v>
      </c>
      <c r="F3406" s="2">
        <v>2</v>
      </c>
      <c r="G3406" s="2" t="s">
        <v>12</v>
      </c>
    </row>
    <row r="3407" spans="1:9" x14ac:dyDescent="0.2">
      <c r="A3407" s="2" t="s">
        <v>3451</v>
      </c>
      <c r="B3407" s="2" t="s">
        <v>965</v>
      </c>
      <c r="C3407" s="2">
        <v>1021.216</v>
      </c>
      <c r="D3407" s="2">
        <f>HYPERLINK("http://mcb-m6.bioreg.kyushu-u.ac.jp/M3/20110414/F50948/3642/1", 51.12)</f>
        <v>51.12</v>
      </c>
      <c r="E3407" s="2">
        <v>34.08</v>
      </c>
      <c r="F3407" s="2">
        <v>2</v>
      </c>
      <c r="G3407" s="2" t="s">
        <v>12</v>
      </c>
    </row>
    <row r="3408" spans="1:9" x14ac:dyDescent="0.2">
      <c r="A3408" s="2" t="s">
        <v>3451</v>
      </c>
      <c r="B3408" s="2" t="s">
        <v>434</v>
      </c>
      <c r="C3408" s="2">
        <v>645.3741</v>
      </c>
      <c r="D3408" s="2">
        <f>HYPERLINK("http://mcb-m6.bioreg.kyushu-u.ac.jp/M3/20110414/F50947/1372/1", 60.47)</f>
        <v>60.47</v>
      </c>
      <c r="E3408" s="2">
        <v>28.51</v>
      </c>
      <c r="F3408" s="2">
        <v>2</v>
      </c>
      <c r="G3408" s="2" t="s">
        <v>12</v>
      </c>
    </row>
    <row r="3409" spans="1:9" x14ac:dyDescent="0.2">
      <c r="A3409" s="2" t="s">
        <v>3451</v>
      </c>
      <c r="B3409" s="2" t="s">
        <v>965</v>
      </c>
      <c r="C3409" s="2">
        <v>1021.938</v>
      </c>
      <c r="D3409" s="2">
        <f>HYPERLINK("http://mcb-m6.bioreg.kyushu-u.ac.jp/M3/20110414/F50947/3536/1", 71.92)</f>
        <v>71.92</v>
      </c>
      <c r="E3409" s="2">
        <v>60.81</v>
      </c>
      <c r="F3409" s="2">
        <v>2</v>
      </c>
      <c r="G3409" s="2" t="s">
        <v>12</v>
      </c>
    </row>
    <row r="3410" spans="1:9" x14ac:dyDescent="0.2">
      <c r="A3410" s="2" t="s">
        <v>3451</v>
      </c>
      <c r="B3410" s="2" t="s">
        <v>965</v>
      </c>
      <c r="C3410" s="2">
        <v>1021.394</v>
      </c>
      <c r="D3410" s="2">
        <f>HYPERLINK("http://mcb-m6.bioreg.kyushu-u.ac.jp/M3/20110414/F50947/3534/1", 73.16)</f>
        <v>73.16</v>
      </c>
      <c r="E3410" s="2">
        <v>66.5</v>
      </c>
      <c r="F3410" s="2">
        <v>2</v>
      </c>
      <c r="G3410" s="2" t="s">
        <v>12</v>
      </c>
    </row>
    <row r="3411" spans="1:9" x14ac:dyDescent="0.2">
      <c r="A3411" s="2" t="s">
        <v>3451</v>
      </c>
      <c r="B3411" s="2" t="s">
        <v>965</v>
      </c>
      <c r="C3411" s="2">
        <v>1021.244</v>
      </c>
      <c r="D3411" s="2">
        <f>HYPERLINK("http://mcb-m6.bioreg.kyushu-u.ac.jp/M3/20110414/F50963/3172/1", 74.14)</f>
        <v>74.14</v>
      </c>
      <c r="E3411" s="2">
        <v>59.94</v>
      </c>
      <c r="F3411" s="2">
        <v>2</v>
      </c>
      <c r="G3411" s="2" t="s">
        <v>12</v>
      </c>
    </row>
    <row r="3412" spans="1:9" x14ac:dyDescent="0.2">
      <c r="A3412" s="2" t="s">
        <v>3451</v>
      </c>
      <c r="B3412" s="2" t="s">
        <v>1584</v>
      </c>
      <c r="C3412" s="2">
        <v>841.13620000000003</v>
      </c>
      <c r="D3412" s="2">
        <f>HYPERLINK("http://mcb-m6.bioreg.kyushu-u.ac.jp/M3/20110414/F50963/2270/1", 89.02)</f>
        <v>89.02</v>
      </c>
      <c r="E3412" s="2">
        <v>59.86</v>
      </c>
      <c r="F3412" s="2">
        <v>2</v>
      </c>
      <c r="G3412" s="2" t="s">
        <v>12</v>
      </c>
      <c r="I3412" s="2" t="s">
        <v>4895</v>
      </c>
    </row>
    <row r="3413" spans="1:9" x14ac:dyDescent="0.2">
      <c r="A3413" s="2" t="s">
        <v>3451</v>
      </c>
      <c r="B3413" s="2" t="s">
        <v>1735</v>
      </c>
      <c r="C3413" s="2">
        <v>944.62599999999998</v>
      </c>
      <c r="D3413" s="2">
        <f>HYPERLINK("http://mcb-m6.bioreg.kyushu-u.ac.jp/M3/20110502/F51187/650/1", 37.81)</f>
        <v>37.81</v>
      </c>
      <c r="E3413" s="2">
        <v>18.07</v>
      </c>
      <c r="F3413" s="2">
        <v>1</v>
      </c>
      <c r="G3413" s="2" t="s">
        <v>13</v>
      </c>
    </row>
    <row r="3414" spans="1:9" x14ac:dyDescent="0.2">
      <c r="A3414" s="2" t="s">
        <v>3451</v>
      </c>
      <c r="B3414" s="2" t="s">
        <v>590</v>
      </c>
      <c r="C3414" s="2">
        <v>909.69669999999996</v>
      </c>
      <c r="D3414" s="2">
        <f>HYPERLINK("http://mcb-m6.bioreg.kyushu-u.ac.jp/M3/20110502/F51171/2712/1", 44.6)</f>
        <v>44.6</v>
      </c>
      <c r="E3414" s="2">
        <v>32.39</v>
      </c>
      <c r="F3414" s="2">
        <v>2</v>
      </c>
      <c r="G3414" s="2" t="s">
        <v>13</v>
      </c>
    </row>
    <row r="3415" spans="1:9" x14ac:dyDescent="0.2">
      <c r="A3415" s="2" t="s">
        <v>3451</v>
      </c>
      <c r="B3415" s="2" t="s">
        <v>434</v>
      </c>
      <c r="C3415" s="2">
        <v>645.52970000000005</v>
      </c>
      <c r="D3415" s="2">
        <f>HYPERLINK("http://mcb-m6.bioreg.kyushu-u.ac.jp/M3/20110502/F51187/1296/1", 54.24)</f>
        <v>54.24</v>
      </c>
      <c r="E3415" s="2">
        <v>20.03</v>
      </c>
      <c r="F3415" s="2">
        <v>2</v>
      </c>
      <c r="G3415" s="2" t="s">
        <v>13</v>
      </c>
    </row>
    <row r="3416" spans="1:9" x14ac:dyDescent="0.2">
      <c r="A3416" s="2" t="s">
        <v>3451</v>
      </c>
      <c r="B3416" s="2" t="s">
        <v>590</v>
      </c>
      <c r="C3416" s="2">
        <v>910.05970000000002</v>
      </c>
      <c r="D3416" s="2">
        <f>HYPERLINK("http://mcb-m6.bioreg.kyushu-u.ac.jp/M3/20110502/F51170/2927/1", 82.75)</f>
        <v>82.75</v>
      </c>
      <c r="E3416" s="2">
        <v>67.959999999999994</v>
      </c>
      <c r="F3416" s="2">
        <v>2</v>
      </c>
      <c r="G3416" s="2" t="s">
        <v>13</v>
      </c>
    </row>
    <row r="3417" spans="1:9" x14ac:dyDescent="0.2">
      <c r="A3417" s="2" t="s">
        <v>3451</v>
      </c>
      <c r="B3417" s="2" t="s">
        <v>434</v>
      </c>
      <c r="C3417" s="2">
        <v>645.62869999999998</v>
      </c>
      <c r="D3417" s="2">
        <f>HYPERLINK("http://mcb-m6.bioreg.kyushu-u.ac.jp/M3/20110502/F51182/1302/1", 43.28)</f>
        <v>43.28</v>
      </c>
      <c r="E3417" s="2">
        <v>18.829999999999998</v>
      </c>
      <c r="F3417" s="2">
        <v>2</v>
      </c>
      <c r="G3417" s="2" t="s">
        <v>14</v>
      </c>
    </row>
    <row r="3418" spans="1:9" x14ac:dyDescent="0.2">
      <c r="A3418" s="2" t="s">
        <v>3451</v>
      </c>
      <c r="B3418" s="2" t="s">
        <v>434</v>
      </c>
      <c r="C3418" s="2">
        <v>645.60360000000003</v>
      </c>
      <c r="D3418" s="2">
        <f>HYPERLINK("http://mcb-m6.bioreg.kyushu-u.ac.jp/M3/20110502/F51191/1296/1", 62.97)</f>
        <v>62.97</v>
      </c>
      <c r="E3418" s="2">
        <v>35.11</v>
      </c>
      <c r="F3418" s="2">
        <v>2</v>
      </c>
      <c r="G3418" s="2" t="s">
        <v>14</v>
      </c>
    </row>
    <row r="3419" spans="1:9" x14ac:dyDescent="0.2">
      <c r="A3419" s="2" t="s">
        <v>3451</v>
      </c>
      <c r="B3419" s="2" t="s">
        <v>965</v>
      </c>
      <c r="C3419" s="2">
        <v>1022.028</v>
      </c>
      <c r="D3419" s="2">
        <f>HYPERLINK("http://mcb-m6.bioreg.kyushu-u.ac.jp/M3/20110502/F51191/2900/1", 71.82)</f>
        <v>71.819999999999993</v>
      </c>
      <c r="E3419" s="2">
        <v>57.12</v>
      </c>
      <c r="F3419" s="2">
        <v>2</v>
      </c>
      <c r="G3419" s="2" t="s">
        <v>14</v>
      </c>
    </row>
    <row r="3420" spans="1:9" x14ac:dyDescent="0.2">
      <c r="A3420" s="2" t="s">
        <v>3451</v>
      </c>
      <c r="B3420" s="2" t="s">
        <v>2130</v>
      </c>
      <c r="C3420" s="2">
        <v>838.24770000000001</v>
      </c>
      <c r="D3420" s="2">
        <f>HYPERLINK("http://mcb-m6.bioreg.kyushu-u.ac.jp/M3/20110502/F51191/2098/1", 84.18)</f>
        <v>84.18</v>
      </c>
      <c r="E3420" s="2">
        <v>58.78</v>
      </c>
      <c r="F3420" s="2">
        <v>2</v>
      </c>
      <c r="G3420" s="2" t="s">
        <v>14</v>
      </c>
    </row>
    <row r="3421" spans="1:9" x14ac:dyDescent="0.2">
      <c r="A3421" s="2" t="s">
        <v>4084</v>
      </c>
      <c r="B3421" s="2" t="s">
        <v>1505</v>
      </c>
      <c r="C3421" s="2">
        <v>879.99959999999999</v>
      </c>
      <c r="D3421" s="2">
        <f>HYPERLINK("http://mcb-m6.bioreg.kyushu-u.ac.jp/M3/20110411/F50903/2650/1", 86.88)</f>
        <v>86.88</v>
      </c>
      <c r="E3421" s="2">
        <v>40.69</v>
      </c>
      <c r="F3421" s="2">
        <v>2</v>
      </c>
      <c r="G3421" s="2" t="s">
        <v>9</v>
      </c>
      <c r="I3421" s="2" t="s">
        <v>4890</v>
      </c>
    </row>
    <row r="3422" spans="1:9" x14ac:dyDescent="0.2">
      <c r="A3422" s="2" t="s">
        <v>4084</v>
      </c>
      <c r="B3422" s="2" t="s">
        <v>1505</v>
      </c>
      <c r="C3422" s="2">
        <v>879.79169999999999</v>
      </c>
      <c r="D3422" s="2">
        <f>HYPERLINK("http://mcb-m6.bioreg.kyushu-u.ac.jp/M3/20110414/F50924/2701/1", 100.39)</f>
        <v>100.39</v>
      </c>
      <c r="E3422" s="2">
        <v>68.739999999999995</v>
      </c>
      <c r="F3422" s="2">
        <v>2</v>
      </c>
      <c r="G3422" s="2" t="s">
        <v>11</v>
      </c>
      <c r="I3422" s="2" t="s">
        <v>4890</v>
      </c>
    </row>
    <row r="3423" spans="1:9" x14ac:dyDescent="0.2">
      <c r="A3423" s="2" t="s">
        <v>3962</v>
      </c>
      <c r="B3423" s="2" t="s">
        <v>1182</v>
      </c>
      <c r="C3423" s="2">
        <v>686.29020000000003</v>
      </c>
      <c r="D3423" s="2">
        <f>HYPERLINK("http://mcb-m6.bioreg.kyushu-u.ac.jp/M3/20110411/F50892/1935/1", 66.32)</f>
        <v>66.319999999999993</v>
      </c>
      <c r="E3423" s="2">
        <v>50.05</v>
      </c>
      <c r="F3423" s="2">
        <v>2</v>
      </c>
      <c r="G3423" s="2" t="s">
        <v>9</v>
      </c>
    </row>
    <row r="3424" spans="1:9" x14ac:dyDescent="0.2">
      <c r="A3424" s="2" t="s">
        <v>3866</v>
      </c>
      <c r="B3424" s="2" t="s">
        <v>981</v>
      </c>
      <c r="C3424" s="2">
        <v>608.36320000000001</v>
      </c>
      <c r="D3424" s="2">
        <f>HYPERLINK("http://mcb-m6.bioreg.kyushu-u.ac.jp/M3/20110411/F50892/1669/1", 57.75)</f>
        <v>57.75</v>
      </c>
      <c r="E3424" s="2">
        <v>38.590000000000003</v>
      </c>
      <c r="F3424" s="2">
        <v>2</v>
      </c>
      <c r="G3424" s="2" t="s">
        <v>9</v>
      </c>
    </row>
    <row r="3425" spans="1:9" x14ac:dyDescent="0.2">
      <c r="A3425" s="2" t="s">
        <v>3870</v>
      </c>
      <c r="B3425" s="2" t="s">
        <v>988</v>
      </c>
      <c r="C3425" s="2">
        <v>708.28309999999999</v>
      </c>
      <c r="D3425" s="2">
        <f>HYPERLINK("http://mcb-m6.bioreg.kyushu-u.ac.jp/M3/20110411/F50891/1915/1", 57.98)</f>
        <v>57.98</v>
      </c>
      <c r="E3425" s="2">
        <v>31.13</v>
      </c>
      <c r="F3425" s="2">
        <v>2</v>
      </c>
      <c r="G3425" s="2" t="s">
        <v>9</v>
      </c>
    </row>
    <row r="3426" spans="1:9" x14ac:dyDescent="0.2">
      <c r="A3426" s="2" t="s">
        <v>3870</v>
      </c>
      <c r="B3426" s="2" t="s">
        <v>1006</v>
      </c>
      <c r="C3426" s="2">
        <v>643.32209999999998</v>
      </c>
      <c r="D3426" s="2">
        <f>HYPERLINK("http://mcb-m6.bioreg.kyushu-u.ac.jp/M3/20110411/F50892/1789/1", 58.57)</f>
        <v>58.57</v>
      </c>
      <c r="E3426" s="2">
        <v>31.25</v>
      </c>
      <c r="F3426" s="2">
        <v>2</v>
      </c>
      <c r="G3426" s="2" t="s">
        <v>9</v>
      </c>
    </row>
    <row r="3427" spans="1:9" x14ac:dyDescent="0.2">
      <c r="A3427" s="2" t="s">
        <v>3870</v>
      </c>
      <c r="B3427" s="2" t="s">
        <v>1006</v>
      </c>
      <c r="C3427" s="2">
        <v>643.90170000000001</v>
      </c>
      <c r="D3427" s="2">
        <f>HYPERLINK("http://mcb-m6.bioreg.kyushu-u.ac.jp/M3/20110411/F50899/1931/1", 42.75)</f>
        <v>42.75</v>
      </c>
      <c r="E3427" s="2">
        <v>21.21</v>
      </c>
      <c r="F3427" s="2">
        <v>2</v>
      </c>
      <c r="G3427" s="2" t="s">
        <v>10</v>
      </c>
    </row>
    <row r="3428" spans="1:9" x14ac:dyDescent="0.2">
      <c r="A3428" s="2" t="s">
        <v>3870</v>
      </c>
      <c r="B3428" s="2" t="s">
        <v>988</v>
      </c>
      <c r="C3428" s="2">
        <v>708.2432</v>
      </c>
      <c r="D3428" s="2">
        <f>HYPERLINK("http://mcb-m6.bioreg.kyushu-u.ac.jp/M3/20110414/F50929/2137/1", 60.21)</f>
        <v>60.21</v>
      </c>
      <c r="E3428" s="2">
        <v>42.43</v>
      </c>
      <c r="F3428" s="2">
        <v>2</v>
      </c>
      <c r="G3428" s="2" t="s">
        <v>11</v>
      </c>
    </row>
    <row r="3429" spans="1:9" x14ac:dyDescent="0.2">
      <c r="A3429" s="2" t="s">
        <v>3870</v>
      </c>
      <c r="B3429" s="2" t="s">
        <v>988</v>
      </c>
      <c r="C3429" s="2">
        <v>708.31410000000005</v>
      </c>
      <c r="D3429" s="2">
        <f>HYPERLINK("http://mcb-m6.bioreg.kyushu-u.ac.jp/M3/20110414/F50934/2194/1", 45.65)</f>
        <v>45.65</v>
      </c>
      <c r="E3429" s="2">
        <v>24.68</v>
      </c>
      <c r="F3429" s="2">
        <v>2</v>
      </c>
      <c r="G3429" s="2" t="s">
        <v>12</v>
      </c>
    </row>
    <row r="3430" spans="1:9" x14ac:dyDescent="0.2">
      <c r="A3430" s="2" t="s">
        <v>3870</v>
      </c>
      <c r="B3430" s="2" t="s">
        <v>1006</v>
      </c>
      <c r="C3430" s="2">
        <v>643.63959999999997</v>
      </c>
      <c r="D3430" s="2">
        <f>HYPERLINK("http://mcb-m6.bioreg.kyushu-u.ac.jp/M3/20110502/F51180/1286/1", 43.74)</f>
        <v>43.74</v>
      </c>
      <c r="E3430" s="2">
        <v>17.34</v>
      </c>
      <c r="F3430" s="2">
        <v>2</v>
      </c>
      <c r="G3430" s="2" t="s">
        <v>13</v>
      </c>
    </row>
    <row r="3431" spans="1:9" x14ac:dyDescent="0.2">
      <c r="A3431" s="2" t="s">
        <v>4133</v>
      </c>
      <c r="B3431" s="2" t="s">
        <v>1663</v>
      </c>
      <c r="C3431" s="2">
        <v>1098.0419999999999</v>
      </c>
      <c r="D3431" s="2">
        <f>HYPERLINK("http://mcb-m6.bioreg.kyushu-u.ac.jp/M3/20110411/F50892/3340/1", 116.76)</f>
        <v>116.76</v>
      </c>
      <c r="E3431" s="2">
        <v>105.1</v>
      </c>
      <c r="F3431" s="2">
        <v>2</v>
      </c>
      <c r="G3431" s="2" t="s">
        <v>9</v>
      </c>
    </row>
    <row r="3432" spans="1:9" x14ac:dyDescent="0.2">
      <c r="A3432" s="2" t="s">
        <v>4372</v>
      </c>
      <c r="B3432" s="2" t="s">
        <v>2201</v>
      </c>
      <c r="C3432" s="2">
        <v>871.71770000000004</v>
      </c>
      <c r="D3432" s="2">
        <f>HYPERLINK("http://mcb-m6.bioreg.kyushu-u.ac.jp/M3/20110414/F50957/2730/1", 36.9)</f>
        <v>36.9</v>
      </c>
      <c r="E3432" s="2">
        <v>22.36</v>
      </c>
      <c r="F3432" s="2">
        <v>2</v>
      </c>
      <c r="G3432" s="2" t="s">
        <v>11</v>
      </c>
    </row>
    <row r="3433" spans="1:9" x14ac:dyDescent="0.2">
      <c r="A3433" s="2" t="s">
        <v>4607</v>
      </c>
      <c r="B3433" s="2" t="s">
        <v>2714</v>
      </c>
      <c r="C3433" s="2">
        <v>769.87459999999999</v>
      </c>
      <c r="D3433" s="2">
        <f>HYPERLINK("http://mcb-m6.bioreg.kyushu-u.ac.jp/M3/20110414/F50959/2075/1", 61.47)</f>
        <v>61.47</v>
      </c>
      <c r="E3433" s="2">
        <v>32.81</v>
      </c>
      <c r="F3433" s="2">
        <v>2</v>
      </c>
      <c r="G3433" s="2" t="s">
        <v>12</v>
      </c>
    </row>
    <row r="3434" spans="1:9" x14ac:dyDescent="0.2">
      <c r="A3434" s="2" t="s">
        <v>4042</v>
      </c>
      <c r="B3434" s="2" t="s">
        <v>1385</v>
      </c>
      <c r="C3434" s="2">
        <v>694.07119999999998</v>
      </c>
      <c r="D3434" s="2">
        <f>HYPERLINK("http://mcb-m6.bioreg.kyushu-u.ac.jp/M3/20110411/F50916/1641/1", 77.12)</f>
        <v>77.12</v>
      </c>
      <c r="E3434" s="2">
        <v>55.79</v>
      </c>
      <c r="F3434" s="2">
        <v>2</v>
      </c>
      <c r="G3434" s="2" t="s">
        <v>9</v>
      </c>
    </row>
    <row r="3435" spans="1:9" x14ac:dyDescent="0.2">
      <c r="A3435" s="2" t="s">
        <v>4042</v>
      </c>
      <c r="B3435" s="2" t="s">
        <v>1385</v>
      </c>
      <c r="C3435" s="2">
        <v>694.21810000000005</v>
      </c>
      <c r="D3435" s="2">
        <f>HYPERLINK("http://mcb-m6.bioreg.kyushu-u.ac.jp/M3/20110414/F50959/1562/1", 55.72)</f>
        <v>55.72</v>
      </c>
      <c r="E3435" s="2">
        <v>31.58</v>
      </c>
      <c r="F3435" s="2">
        <v>2</v>
      </c>
      <c r="G3435" s="2" t="s">
        <v>12</v>
      </c>
    </row>
    <row r="3436" spans="1:9" x14ac:dyDescent="0.2">
      <c r="A3436" s="2" t="s">
        <v>4345</v>
      </c>
      <c r="B3436" s="2" t="s">
        <v>2160</v>
      </c>
      <c r="C3436" s="2">
        <v>608.76570000000004</v>
      </c>
      <c r="D3436" s="2">
        <f>HYPERLINK("http://mcb-m6.bioreg.kyushu-u.ac.jp/M3/20110414/F50957/1036/1", 35.41)</f>
        <v>35.409999999999997</v>
      </c>
      <c r="E3436" s="2">
        <v>11.11</v>
      </c>
      <c r="F3436" s="2">
        <v>2</v>
      </c>
      <c r="G3436" s="2" t="s">
        <v>11</v>
      </c>
    </row>
    <row r="3437" spans="1:9" x14ac:dyDescent="0.2">
      <c r="A3437" s="2" t="s">
        <v>3845</v>
      </c>
      <c r="B3437" s="2" t="s">
        <v>937</v>
      </c>
      <c r="C3437" s="2">
        <v>674.27120000000002</v>
      </c>
      <c r="D3437" s="2">
        <f>HYPERLINK("http://mcb-m6.bioreg.kyushu-u.ac.jp/M3/20110411/F50889/2020/1", 56.1)</f>
        <v>56.1</v>
      </c>
      <c r="E3437" s="2">
        <v>42.53</v>
      </c>
      <c r="F3437" s="2">
        <v>2</v>
      </c>
      <c r="G3437" s="2" t="s">
        <v>9</v>
      </c>
    </row>
    <row r="3438" spans="1:9" x14ac:dyDescent="0.2">
      <c r="A3438" s="2" t="s">
        <v>3662</v>
      </c>
      <c r="B3438" s="2" t="s">
        <v>597</v>
      </c>
      <c r="C3438" s="2">
        <v>786.31410000000005</v>
      </c>
      <c r="D3438" s="2">
        <f>HYPERLINK("http://mcb-m6.bioreg.kyushu-u.ac.jp/M3/20110411/F50891/2381/1", 45.93)</f>
        <v>45.93</v>
      </c>
      <c r="E3438" s="2">
        <v>28.13</v>
      </c>
      <c r="F3438" s="2">
        <v>2</v>
      </c>
      <c r="G3438" s="2" t="s">
        <v>9</v>
      </c>
    </row>
    <row r="3439" spans="1:9" x14ac:dyDescent="0.2">
      <c r="A3439" s="2" t="s">
        <v>3426</v>
      </c>
      <c r="B3439" s="2" t="s">
        <v>231</v>
      </c>
      <c r="C3439" s="2">
        <v>665.69619999999998</v>
      </c>
      <c r="D3439" s="2">
        <f>HYPERLINK("http://mcb-m6.bioreg.kyushu-u.ac.jp/M3/20110411/F50891/1677/1", 38.21)</f>
        <v>38.21</v>
      </c>
      <c r="E3439" s="2">
        <v>18.850000000000001</v>
      </c>
      <c r="F3439" s="2">
        <v>2</v>
      </c>
      <c r="G3439" s="2" t="s">
        <v>9</v>
      </c>
    </row>
    <row r="3440" spans="1:9" x14ac:dyDescent="0.2">
      <c r="A3440" s="2" t="s">
        <v>3426</v>
      </c>
      <c r="B3440" s="2" t="s">
        <v>580</v>
      </c>
      <c r="C3440" s="2">
        <v>510.74009999999998</v>
      </c>
      <c r="D3440" s="2">
        <f>HYPERLINK("http://mcb-m6.bioreg.kyushu-u.ac.jp/M3/20110411/F50891/1016/1", 45.39)</f>
        <v>45.39</v>
      </c>
      <c r="E3440" s="2">
        <v>10.23</v>
      </c>
      <c r="F3440" s="2">
        <v>2</v>
      </c>
      <c r="G3440" s="2" t="s">
        <v>9</v>
      </c>
      <c r="I3440" s="2" t="s">
        <v>4903</v>
      </c>
    </row>
    <row r="3441" spans="1:9" x14ac:dyDescent="0.2">
      <c r="A3441" s="2" t="s">
        <v>3426</v>
      </c>
      <c r="B3441" s="2" t="s">
        <v>813</v>
      </c>
      <c r="C3441" s="2">
        <v>493.76760000000002</v>
      </c>
      <c r="D3441" s="2">
        <f>HYPERLINK("http://mcb-m6.bioreg.kyushu-u.ac.jp/M3/20110411/F50891/947/1", 52.19)</f>
        <v>52.19</v>
      </c>
      <c r="E3441" s="2">
        <v>29.49</v>
      </c>
      <c r="F3441" s="2">
        <v>2</v>
      </c>
      <c r="G3441" s="2" t="s">
        <v>9</v>
      </c>
    </row>
    <row r="3442" spans="1:9" x14ac:dyDescent="0.2">
      <c r="A3442" s="2" t="s">
        <v>3680</v>
      </c>
      <c r="B3442" s="2" t="s">
        <v>635</v>
      </c>
      <c r="C3442" s="2">
        <v>470.17559999999997</v>
      </c>
      <c r="D3442" s="2">
        <f>HYPERLINK("http://mcb-m6.bioreg.kyushu-u.ac.jp/M3/20110411/F50892/1212/1", 46.78)</f>
        <v>46.78</v>
      </c>
      <c r="E3442" s="2">
        <v>31.29</v>
      </c>
      <c r="F3442" s="2">
        <v>2</v>
      </c>
      <c r="G3442" s="2" t="s">
        <v>9</v>
      </c>
    </row>
    <row r="3443" spans="1:9" x14ac:dyDescent="0.2">
      <c r="A3443" s="2" t="s">
        <v>3680</v>
      </c>
      <c r="B3443" s="2" t="s">
        <v>995</v>
      </c>
      <c r="C3443" s="2">
        <v>633.90260000000001</v>
      </c>
      <c r="D3443" s="2">
        <f>HYPERLINK("http://mcb-m6.bioreg.kyushu-u.ac.jp/M3/20110411/F50892/1759/1", 58.08)</f>
        <v>58.08</v>
      </c>
      <c r="E3443" s="2">
        <v>35.520000000000003</v>
      </c>
      <c r="F3443" s="2">
        <v>2</v>
      </c>
      <c r="G3443" s="2" t="s">
        <v>9</v>
      </c>
    </row>
    <row r="3444" spans="1:9" x14ac:dyDescent="0.2">
      <c r="A3444" s="2" t="s">
        <v>3680</v>
      </c>
      <c r="B3444" s="2" t="s">
        <v>1011</v>
      </c>
      <c r="C3444" s="2">
        <v>644.5702</v>
      </c>
      <c r="D3444" s="2">
        <f>HYPERLINK("http://mcb-m6.bioreg.kyushu-u.ac.jp/M3/20110411/F50892/1791/1", 58.74)</f>
        <v>58.74</v>
      </c>
      <c r="E3444" s="2">
        <v>25.69</v>
      </c>
      <c r="F3444" s="2">
        <v>2</v>
      </c>
      <c r="G3444" s="2" t="s">
        <v>9</v>
      </c>
      <c r="I3444" s="2" t="s">
        <v>4903</v>
      </c>
    </row>
    <row r="3445" spans="1:9" x14ac:dyDescent="0.2">
      <c r="A3445" s="2" t="s">
        <v>3680</v>
      </c>
      <c r="B3445" s="2" t="s">
        <v>1011</v>
      </c>
      <c r="C3445" s="2">
        <v>644.64970000000005</v>
      </c>
      <c r="D3445" s="2">
        <f>HYPERLINK("http://mcb-m6.bioreg.kyushu-u.ac.jp/M3/20110502/F51180/1287/1", 42.5)</f>
        <v>42.5</v>
      </c>
      <c r="E3445" s="2">
        <v>15.63</v>
      </c>
      <c r="F3445" s="2">
        <v>2</v>
      </c>
      <c r="G3445" s="2" t="s">
        <v>13</v>
      </c>
      <c r="I3445" s="2" t="s">
        <v>4903</v>
      </c>
    </row>
    <row r="3446" spans="1:9" x14ac:dyDescent="0.2">
      <c r="A3446" s="2" t="s">
        <v>3881</v>
      </c>
      <c r="B3446" s="2" t="s">
        <v>1016</v>
      </c>
      <c r="C3446" s="2">
        <v>912.94709999999998</v>
      </c>
      <c r="D3446" s="2">
        <f>HYPERLINK("http://mcb-m6.bioreg.kyushu-u.ac.jp/M3/20110411/F50891/3066/1", 58.96)</f>
        <v>58.96</v>
      </c>
      <c r="E3446" s="2">
        <v>36.96</v>
      </c>
      <c r="F3446" s="2">
        <v>2</v>
      </c>
      <c r="G3446" s="2" t="s">
        <v>9</v>
      </c>
      <c r="H3446" s="2" t="s">
        <v>4904</v>
      </c>
    </row>
    <row r="3447" spans="1:9" x14ac:dyDescent="0.2">
      <c r="A3447" s="2" t="s">
        <v>3881</v>
      </c>
      <c r="B3447" s="2" t="s">
        <v>1016</v>
      </c>
      <c r="C3447" s="2">
        <v>920.98569999999995</v>
      </c>
      <c r="D3447" s="2">
        <f>HYPERLINK("http://mcb-m6.bioreg.kyushu-u.ac.jp/M3/20110411/F50890/3063/1", 70.72)</f>
        <v>70.72</v>
      </c>
      <c r="E3447" s="2">
        <v>53.11</v>
      </c>
      <c r="F3447" s="2">
        <v>2</v>
      </c>
      <c r="G3447" s="2" t="s">
        <v>9</v>
      </c>
    </row>
    <row r="3448" spans="1:9" x14ac:dyDescent="0.2">
      <c r="A3448" s="2" t="s">
        <v>4040</v>
      </c>
      <c r="B3448" s="2" t="s">
        <v>1382</v>
      </c>
      <c r="C3448" s="2">
        <v>816.05619999999999</v>
      </c>
      <c r="D3448" s="2">
        <f>HYPERLINK("http://mcb-m6.bioreg.kyushu-u.ac.jp/M3/20110411/F50890/2592/1", 77.08)</f>
        <v>77.08</v>
      </c>
      <c r="E3448" s="2">
        <v>67.650000000000006</v>
      </c>
      <c r="F3448" s="2">
        <v>2</v>
      </c>
      <c r="G3448" s="2" t="s">
        <v>9</v>
      </c>
    </row>
    <row r="3449" spans="1:9" x14ac:dyDescent="0.2">
      <c r="A3449" s="2" t="s">
        <v>4063</v>
      </c>
      <c r="B3449" s="2" t="s">
        <v>1431</v>
      </c>
      <c r="C3449" s="2">
        <v>952.38620000000003</v>
      </c>
      <c r="D3449" s="2">
        <f>HYPERLINK("http://mcb-m6.bioreg.kyushu-u.ac.jp/M3/20110411/F50890/3174/1", 79.84)</f>
        <v>79.84</v>
      </c>
      <c r="E3449" s="2">
        <v>68.260000000000005</v>
      </c>
      <c r="F3449" s="2">
        <v>2</v>
      </c>
      <c r="G3449" s="2" t="s">
        <v>9</v>
      </c>
      <c r="H3449" s="2" t="s">
        <v>4904</v>
      </c>
    </row>
    <row r="3450" spans="1:9" x14ac:dyDescent="0.2">
      <c r="A3450" s="2" t="s">
        <v>4063</v>
      </c>
      <c r="B3450" s="2" t="s">
        <v>1431</v>
      </c>
      <c r="C3450" s="2">
        <v>960.86659999999995</v>
      </c>
      <c r="D3450" s="2">
        <f>HYPERLINK("http://mcb-m6.bioreg.kyushu-u.ac.jp/M3/20110411/F50890/3205/1", 100.66)</f>
        <v>100.66</v>
      </c>
      <c r="E3450" s="2">
        <v>89.71</v>
      </c>
      <c r="F3450" s="2">
        <v>2</v>
      </c>
      <c r="G3450" s="2" t="s">
        <v>9</v>
      </c>
    </row>
    <row r="3451" spans="1:9" x14ac:dyDescent="0.2">
      <c r="A3451" s="2" t="s">
        <v>4063</v>
      </c>
      <c r="B3451" s="2" t="s">
        <v>1431</v>
      </c>
      <c r="C3451" s="2">
        <v>961.33370000000002</v>
      </c>
      <c r="D3451" s="2">
        <f>HYPERLINK("http://mcb-m6.bioreg.kyushu-u.ac.jp/M3/20110411/F50891/3281/1", 119.51)</f>
        <v>119.51</v>
      </c>
      <c r="E3451" s="2">
        <v>105.07</v>
      </c>
      <c r="F3451" s="2">
        <v>2</v>
      </c>
      <c r="G3451" s="2" t="s">
        <v>9</v>
      </c>
    </row>
    <row r="3452" spans="1:9" x14ac:dyDescent="0.2">
      <c r="A3452" s="2" t="s">
        <v>4063</v>
      </c>
      <c r="B3452" s="2" t="s">
        <v>1431</v>
      </c>
      <c r="C3452" s="2">
        <v>960.79269999999997</v>
      </c>
      <c r="D3452" s="2">
        <f>HYPERLINK("http://mcb-m6.bioreg.kyushu-u.ac.jp/M3/20110411/F50891/3280/1", 127.36)</f>
        <v>127.36</v>
      </c>
      <c r="E3452" s="2">
        <v>112.49</v>
      </c>
      <c r="F3452" s="2">
        <v>2</v>
      </c>
      <c r="G3452" s="2" t="s">
        <v>9</v>
      </c>
    </row>
    <row r="3453" spans="1:9" x14ac:dyDescent="0.2">
      <c r="A3453" s="2" t="s">
        <v>4114</v>
      </c>
      <c r="B3453" s="2" t="s">
        <v>1607</v>
      </c>
      <c r="C3453" s="2">
        <v>920.98969999999997</v>
      </c>
      <c r="D3453" s="2">
        <f>HYPERLINK("http://mcb-m6.bioreg.kyushu-u.ac.jp/M3/20110411/F50890/3064/1", 98.77)</f>
        <v>98.77</v>
      </c>
      <c r="E3453" s="2">
        <v>69.55</v>
      </c>
      <c r="F3453" s="2">
        <v>2</v>
      </c>
      <c r="G3453" s="2" t="s">
        <v>9</v>
      </c>
    </row>
    <row r="3454" spans="1:9" x14ac:dyDescent="0.2">
      <c r="A3454" s="2" t="s">
        <v>4114</v>
      </c>
      <c r="B3454" s="2" t="s">
        <v>1607</v>
      </c>
      <c r="C3454" s="2">
        <v>921.14260000000002</v>
      </c>
      <c r="D3454" s="2">
        <f>HYPERLINK("http://mcb-m6.bioreg.kyushu-u.ac.jp/M3/20110414/F50927/2976/1", 63.62)</f>
        <v>63.62</v>
      </c>
      <c r="E3454" s="2">
        <v>45.8</v>
      </c>
      <c r="F3454" s="2">
        <v>2</v>
      </c>
      <c r="G3454" s="2" t="s">
        <v>11</v>
      </c>
    </row>
    <row r="3455" spans="1:9" x14ac:dyDescent="0.2">
      <c r="A3455" s="2" t="s">
        <v>3961</v>
      </c>
      <c r="B3455" s="2" t="s">
        <v>1178</v>
      </c>
      <c r="C3455" s="2">
        <v>610.26919999999996</v>
      </c>
      <c r="D3455" s="2">
        <f>HYPERLINK("http://mcb-m6.bioreg.kyushu-u.ac.jp/M3/20110411/F50903/1448/1", 66)</f>
        <v>66</v>
      </c>
      <c r="E3455" s="2">
        <v>41.1</v>
      </c>
      <c r="F3455" s="2">
        <v>2</v>
      </c>
      <c r="G3455" s="2" t="s">
        <v>9</v>
      </c>
    </row>
    <row r="3456" spans="1:9" x14ac:dyDescent="0.2">
      <c r="A3456" s="2" t="s">
        <v>3961</v>
      </c>
      <c r="B3456" s="2" t="s">
        <v>1178</v>
      </c>
      <c r="C3456" s="2">
        <v>610.22559999999999</v>
      </c>
      <c r="D3456" s="2">
        <f>HYPERLINK("http://mcb-m6.bioreg.kyushu-u.ac.jp/M3/20110414/F50924/1503/1", 52.56)</f>
        <v>52.56</v>
      </c>
      <c r="E3456" s="2">
        <v>28.25</v>
      </c>
      <c r="F3456" s="2">
        <v>2</v>
      </c>
      <c r="G3456" s="2" t="s">
        <v>11</v>
      </c>
    </row>
    <row r="3457" spans="1:7" x14ac:dyDescent="0.2">
      <c r="A3457" s="2" t="s">
        <v>3961</v>
      </c>
      <c r="B3457" s="2" t="s">
        <v>1178</v>
      </c>
      <c r="C3457" s="2">
        <v>609.70870000000002</v>
      </c>
      <c r="D3457" s="2">
        <f>HYPERLINK("http://mcb-m6.bioreg.kyushu-u.ac.jp/M3/20110414/F50924/1494/1", 54.68)</f>
        <v>54.68</v>
      </c>
      <c r="E3457" s="2">
        <v>29.07</v>
      </c>
      <c r="F3457" s="2">
        <v>2</v>
      </c>
      <c r="G3457" s="2" t="s">
        <v>11</v>
      </c>
    </row>
    <row r="3458" spans="1:7" x14ac:dyDescent="0.2">
      <c r="A3458" s="2" t="s">
        <v>3961</v>
      </c>
      <c r="B3458" s="2" t="s">
        <v>1178</v>
      </c>
      <c r="C3458" s="2">
        <v>609.71770000000004</v>
      </c>
      <c r="D3458" s="2">
        <f>HYPERLINK("http://mcb-m6.bioreg.kyushu-u.ac.jp/M3/20110414/F50924/1495/1", 83.32)</f>
        <v>83.32</v>
      </c>
      <c r="E3458" s="2">
        <v>53.26</v>
      </c>
      <c r="F3458" s="2">
        <v>2</v>
      </c>
      <c r="G3458" s="2" t="s">
        <v>11</v>
      </c>
    </row>
    <row r="3459" spans="1:7" x14ac:dyDescent="0.2">
      <c r="A3459" s="2" t="s">
        <v>3961</v>
      </c>
      <c r="B3459" s="2" t="s">
        <v>1178</v>
      </c>
      <c r="C3459" s="2">
        <v>609.79169999999999</v>
      </c>
      <c r="D3459" s="2">
        <f>HYPERLINK("http://mcb-m6.bioreg.kyushu-u.ac.jp/M3/20110414/F50930/1908/1", 52.86)</f>
        <v>52.86</v>
      </c>
      <c r="E3459" s="2">
        <v>22.93</v>
      </c>
      <c r="F3459" s="2">
        <v>2</v>
      </c>
      <c r="G3459" s="2" t="s">
        <v>12</v>
      </c>
    </row>
    <row r="3460" spans="1:7" x14ac:dyDescent="0.2">
      <c r="A3460" s="2" t="s">
        <v>3961</v>
      </c>
      <c r="B3460" s="2" t="s">
        <v>1178</v>
      </c>
      <c r="C3460" s="2">
        <v>610.18370000000004</v>
      </c>
      <c r="D3460" s="2">
        <f>HYPERLINK("http://mcb-m6.bioreg.kyushu-u.ac.jp/M3/20110502/F51165/1687/1", 40.88)</f>
        <v>40.880000000000003</v>
      </c>
      <c r="E3460" s="2">
        <v>23.23</v>
      </c>
      <c r="F3460" s="2">
        <v>2</v>
      </c>
      <c r="G3460" s="2" t="s">
        <v>13</v>
      </c>
    </row>
    <row r="3461" spans="1:7" x14ac:dyDescent="0.2">
      <c r="A3461" s="2" t="s">
        <v>3961</v>
      </c>
      <c r="B3461" s="2" t="s">
        <v>1178</v>
      </c>
      <c r="C3461" s="2">
        <v>610.41309999999999</v>
      </c>
      <c r="D3461" s="2">
        <f>HYPERLINK("http://mcb-m6.bioreg.kyushu-u.ac.jp/M3/20110502/F51165/1690/1", 50.57)</f>
        <v>50.57</v>
      </c>
      <c r="E3461" s="2">
        <v>24.2</v>
      </c>
      <c r="F3461" s="2">
        <v>2</v>
      </c>
      <c r="G3461" s="2" t="s">
        <v>13</v>
      </c>
    </row>
    <row r="3462" spans="1:7" x14ac:dyDescent="0.2">
      <c r="A3462" s="2" t="s">
        <v>3961</v>
      </c>
      <c r="B3462" s="2" t="s">
        <v>1178</v>
      </c>
      <c r="C3462" s="2">
        <v>610.0607</v>
      </c>
      <c r="D3462" s="2">
        <f>HYPERLINK("http://mcb-m6.bioreg.kyushu-u.ac.jp/M3/20110502/F51166/1815/1", 76.56)</f>
        <v>76.56</v>
      </c>
      <c r="E3462" s="2">
        <v>49.11</v>
      </c>
      <c r="F3462" s="2">
        <v>2</v>
      </c>
      <c r="G3462" s="2" t="s">
        <v>13</v>
      </c>
    </row>
    <row r="3463" spans="1:7" x14ac:dyDescent="0.2">
      <c r="A3463" s="2" t="s">
        <v>3961</v>
      </c>
      <c r="B3463" s="2" t="s">
        <v>1178</v>
      </c>
      <c r="C3463" s="2">
        <v>609.95370000000003</v>
      </c>
      <c r="D3463" s="2">
        <f>HYPERLINK("http://mcb-m6.bioreg.kyushu-u.ac.jp/M3/20110502/F51165/1681/1", 77.36)</f>
        <v>77.36</v>
      </c>
      <c r="E3463" s="2">
        <v>49.16</v>
      </c>
      <c r="F3463" s="2">
        <v>2</v>
      </c>
      <c r="G3463" s="2" t="s">
        <v>13</v>
      </c>
    </row>
    <row r="3464" spans="1:7" x14ac:dyDescent="0.2">
      <c r="A3464" s="2" t="s">
        <v>4411</v>
      </c>
      <c r="B3464" s="2" t="s">
        <v>2266</v>
      </c>
      <c r="C3464" s="2">
        <v>556.06569999999999</v>
      </c>
      <c r="D3464" s="2">
        <f>HYPERLINK("http://mcb-m6.bioreg.kyushu-u.ac.jp/M3/20110414/F50926/1654/1", 41.25)</f>
        <v>41.25</v>
      </c>
      <c r="E3464" s="2">
        <v>23.12</v>
      </c>
      <c r="F3464" s="2">
        <v>2</v>
      </c>
      <c r="G3464" s="2" t="s">
        <v>11</v>
      </c>
    </row>
    <row r="3465" spans="1:7" x14ac:dyDescent="0.2">
      <c r="A3465" s="2" t="s">
        <v>4411</v>
      </c>
      <c r="B3465" s="2" t="s">
        <v>2479</v>
      </c>
      <c r="C3465" s="2">
        <v>586.60609999999997</v>
      </c>
      <c r="D3465" s="2">
        <f>HYPERLINK("http://mcb-m6.bioreg.kyushu-u.ac.jp/M3/20110414/F50926/1727/1", 77.33)</f>
        <v>77.33</v>
      </c>
      <c r="E3465" s="2">
        <v>55.45</v>
      </c>
      <c r="F3465" s="2">
        <v>2</v>
      </c>
      <c r="G3465" s="2" t="s">
        <v>11</v>
      </c>
    </row>
    <row r="3466" spans="1:7" x14ac:dyDescent="0.2">
      <c r="A3466" s="2" t="s">
        <v>4411</v>
      </c>
      <c r="B3466" s="2" t="s">
        <v>2479</v>
      </c>
      <c r="C3466" s="2">
        <v>587.03369999999995</v>
      </c>
      <c r="D3466" s="2">
        <f>HYPERLINK("http://mcb-m6.bioreg.kyushu-u.ac.jp/M3/20110502/F51176/1670/1", 108.76)</f>
        <v>108.76</v>
      </c>
      <c r="E3466" s="2">
        <v>82.87</v>
      </c>
      <c r="F3466" s="2">
        <v>2</v>
      </c>
      <c r="G3466" s="2" t="s">
        <v>14</v>
      </c>
    </row>
    <row r="3467" spans="1:7" x14ac:dyDescent="0.2">
      <c r="A3467" s="2" t="s">
        <v>3343</v>
      </c>
      <c r="B3467" s="2" t="s">
        <v>132</v>
      </c>
      <c r="C3467" s="2">
        <v>1155.559</v>
      </c>
      <c r="D3467" s="2">
        <f>HYPERLINK("http://mcb-m6.bioreg.kyushu-u.ac.jp/M3/20110411/F50890/1432/1", 36.49)</f>
        <v>36.49</v>
      </c>
      <c r="E3467" s="2">
        <v>18.5</v>
      </c>
      <c r="F3467" s="2">
        <v>1</v>
      </c>
      <c r="G3467" s="2" t="s">
        <v>9</v>
      </c>
    </row>
    <row r="3468" spans="1:7" x14ac:dyDescent="0.2">
      <c r="A3468" s="2" t="s">
        <v>3343</v>
      </c>
      <c r="B3468" s="2" t="s">
        <v>210</v>
      </c>
      <c r="C3468" s="2">
        <v>1092.403</v>
      </c>
      <c r="D3468" s="2">
        <f>HYPERLINK("http://mcb-m6.bioreg.kyushu-u.ac.jp/M3/20110411/F50889/1692/1", 37.75)</f>
        <v>37.75</v>
      </c>
      <c r="E3468" s="2">
        <v>13.24</v>
      </c>
      <c r="F3468" s="2">
        <v>1</v>
      </c>
      <c r="G3468" s="2" t="s">
        <v>9</v>
      </c>
    </row>
    <row r="3469" spans="1:7" x14ac:dyDescent="0.2">
      <c r="A3469" s="2" t="s">
        <v>3343</v>
      </c>
      <c r="B3469" s="2" t="s">
        <v>132</v>
      </c>
      <c r="C3469" s="2">
        <v>1155.6690000000001</v>
      </c>
      <c r="D3469" s="2">
        <f>HYPERLINK("http://mcb-m6.bioreg.kyushu-u.ac.jp/M3/20110411/F50892/1558/1", 38.1)</f>
        <v>38.1</v>
      </c>
      <c r="E3469" s="2">
        <v>19.809999999999999</v>
      </c>
      <c r="F3469" s="2">
        <v>1</v>
      </c>
      <c r="G3469" s="2" t="s">
        <v>9</v>
      </c>
    </row>
    <row r="3470" spans="1:7" x14ac:dyDescent="0.2">
      <c r="A3470" s="2" t="s">
        <v>3343</v>
      </c>
      <c r="B3470" s="2" t="s">
        <v>297</v>
      </c>
      <c r="C3470" s="2">
        <v>1186.5170000000001</v>
      </c>
      <c r="D3470" s="2">
        <f>HYPERLINK("http://mcb-m6.bioreg.kyushu-u.ac.jp/M3/20110411/F50919/1004/1", 39.24)</f>
        <v>39.24</v>
      </c>
      <c r="E3470" s="2">
        <v>20.94</v>
      </c>
      <c r="F3470" s="2">
        <v>1</v>
      </c>
      <c r="G3470" s="2" t="s">
        <v>9</v>
      </c>
    </row>
    <row r="3471" spans="1:7" x14ac:dyDescent="0.2">
      <c r="A3471" s="2" t="s">
        <v>3343</v>
      </c>
      <c r="B3471" s="2" t="s">
        <v>325</v>
      </c>
      <c r="C3471" s="2">
        <v>739.50160000000005</v>
      </c>
      <c r="D3471" s="2">
        <f>HYPERLINK("http://mcb-m6.bioreg.kyushu-u.ac.jp/M3/20110411/F50911/2085/1", 39.7)</f>
        <v>39.700000000000003</v>
      </c>
      <c r="E3471" s="2">
        <v>27.89</v>
      </c>
      <c r="F3471" s="2">
        <v>2</v>
      </c>
      <c r="G3471" s="2" t="s">
        <v>9</v>
      </c>
    </row>
    <row r="3472" spans="1:7" x14ac:dyDescent="0.2">
      <c r="A3472" s="2" t="s">
        <v>3343</v>
      </c>
      <c r="B3472" s="2" t="s">
        <v>328</v>
      </c>
      <c r="C3472" s="2">
        <v>1146.5550000000001</v>
      </c>
      <c r="D3472" s="2">
        <f>HYPERLINK("http://mcb-m6.bioreg.kyushu-u.ac.jp/M3/20110411/F50919/920/1", 39.73)</f>
        <v>39.729999999999997</v>
      </c>
      <c r="E3472" s="2">
        <v>11.8</v>
      </c>
      <c r="F3472" s="2">
        <v>1</v>
      </c>
      <c r="G3472" s="2" t="s">
        <v>9</v>
      </c>
    </row>
    <row r="3473" spans="1:8" x14ac:dyDescent="0.2">
      <c r="A3473" s="2" t="s">
        <v>3343</v>
      </c>
      <c r="B3473" s="2" t="s">
        <v>210</v>
      </c>
      <c r="C3473" s="2">
        <v>1108.557</v>
      </c>
      <c r="D3473" s="2">
        <f>HYPERLINK("http://mcb-m6.bioreg.kyushu-u.ac.jp/M3/20110411/F50919/873/1", 40)</f>
        <v>40</v>
      </c>
      <c r="E3473" s="2">
        <v>19.32</v>
      </c>
      <c r="F3473" s="2">
        <v>1</v>
      </c>
      <c r="G3473" s="2" t="s">
        <v>9</v>
      </c>
      <c r="H3473" s="2" t="s">
        <v>4910</v>
      </c>
    </row>
    <row r="3474" spans="1:8" x14ac:dyDescent="0.2">
      <c r="A3474" s="2" t="s">
        <v>3343</v>
      </c>
      <c r="B3474" s="2" t="s">
        <v>344</v>
      </c>
      <c r="C3474" s="2">
        <v>919.07069999999999</v>
      </c>
      <c r="D3474" s="2">
        <f>HYPERLINK("http://mcb-m6.bioreg.kyushu-u.ac.jp/M3/20110411/F50919/2575/1", 40.02)</f>
        <v>40.020000000000003</v>
      </c>
      <c r="E3474" s="2">
        <v>18.89</v>
      </c>
      <c r="F3474" s="2">
        <v>2</v>
      </c>
      <c r="G3474" s="2" t="s">
        <v>9</v>
      </c>
    </row>
    <row r="3475" spans="1:8" x14ac:dyDescent="0.2">
      <c r="A3475" s="2" t="s">
        <v>3343</v>
      </c>
      <c r="B3475" s="2" t="s">
        <v>132</v>
      </c>
      <c r="C3475" s="2">
        <v>1155.414</v>
      </c>
      <c r="D3475" s="2">
        <f>HYPERLINK("http://mcb-m6.bioreg.kyushu-u.ac.jp/M3/20110411/F50889/1769/1", 40.96)</f>
        <v>40.96</v>
      </c>
      <c r="E3475" s="2">
        <v>23.42</v>
      </c>
      <c r="F3475" s="2">
        <v>1</v>
      </c>
      <c r="G3475" s="2" t="s">
        <v>9</v>
      </c>
    </row>
    <row r="3476" spans="1:8" x14ac:dyDescent="0.2">
      <c r="A3476" s="2" t="s">
        <v>3343</v>
      </c>
      <c r="B3476" s="2" t="s">
        <v>132</v>
      </c>
      <c r="C3476" s="2">
        <v>1155.731</v>
      </c>
      <c r="D3476" s="2">
        <f>HYPERLINK("http://mcb-m6.bioreg.kyushu-u.ac.jp/M3/20110411/F50919/941/1", 41.09)</f>
        <v>41.09</v>
      </c>
      <c r="E3476" s="2">
        <v>15.07</v>
      </c>
      <c r="F3476" s="2">
        <v>1</v>
      </c>
      <c r="G3476" s="2" t="s">
        <v>9</v>
      </c>
    </row>
    <row r="3477" spans="1:8" x14ac:dyDescent="0.2">
      <c r="A3477" s="2" t="s">
        <v>3343</v>
      </c>
      <c r="B3477" s="2" t="s">
        <v>132</v>
      </c>
      <c r="C3477" s="2">
        <v>1155.7860000000001</v>
      </c>
      <c r="D3477" s="2">
        <f>HYPERLINK("http://mcb-m6.bioreg.kyushu-u.ac.jp/M3/20110411/F50904/1358/1", 41.43)</f>
        <v>41.43</v>
      </c>
      <c r="E3477" s="2">
        <v>19.16</v>
      </c>
      <c r="F3477" s="2">
        <v>1</v>
      </c>
      <c r="G3477" s="2" t="s">
        <v>9</v>
      </c>
    </row>
    <row r="3478" spans="1:8" x14ac:dyDescent="0.2">
      <c r="A3478" s="2" t="s">
        <v>3343</v>
      </c>
      <c r="B3478" s="2" t="s">
        <v>428</v>
      </c>
      <c r="C3478" s="2">
        <v>451.2971</v>
      </c>
      <c r="D3478" s="2">
        <f>HYPERLINK("http://mcb-m6.bioreg.kyushu-u.ac.jp/M3/20110411/F50892/1126/1", 41.67)</f>
        <v>41.67</v>
      </c>
      <c r="E3478" s="2">
        <v>16.079999999999998</v>
      </c>
      <c r="F3478" s="2">
        <v>2</v>
      </c>
      <c r="G3478" s="2" t="s">
        <v>9</v>
      </c>
    </row>
    <row r="3479" spans="1:8" x14ac:dyDescent="0.2">
      <c r="A3479" s="2" t="s">
        <v>3343</v>
      </c>
      <c r="B3479" s="2" t="s">
        <v>443</v>
      </c>
      <c r="C3479" s="2">
        <v>1017.6609999999999</v>
      </c>
      <c r="D3479" s="2">
        <f>HYPERLINK("http://mcb-m6.bioreg.kyushu-u.ac.jp/M3/20110411/F50919/746/1", 41.97)</f>
        <v>41.97</v>
      </c>
      <c r="E3479" s="2">
        <v>14.52</v>
      </c>
      <c r="F3479" s="2">
        <v>1</v>
      </c>
      <c r="G3479" s="2" t="s">
        <v>9</v>
      </c>
    </row>
    <row r="3480" spans="1:8" x14ac:dyDescent="0.2">
      <c r="A3480" s="2" t="s">
        <v>3343</v>
      </c>
      <c r="B3480" s="2" t="s">
        <v>344</v>
      </c>
      <c r="C3480" s="2">
        <v>919.66610000000003</v>
      </c>
      <c r="D3480" s="2">
        <f>HYPERLINK("http://mcb-m6.bioreg.kyushu-u.ac.jp/M3/20110411/F50919/2581/1", 42.89)</f>
        <v>42.89</v>
      </c>
      <c r="E3480" s="2">
        <v>23.69</v>
      </c>
      <c r="F3480" s="2">
        <v>2</v>
      </c>
      <c r="G3480" s="2" t="s">
        <v>9</v>
      </c>
    </row>
    <row r="3481" spans="1:8" x14ac:dyDescent="0.2">
      <c r="A3481" s="2" t="s">
        <v>3343</v>
      </c>
      <c r="B3481" s="2" t="s">
        <v>428</v>
      </c>
      <c r="C3481" s="2">
        <v>902.59400000000005</v>
      </c>
      <c r="D3481" s="2">
        <f>HYPERLINK("http://mcb-m6.bioreg.kyushu-u.ac.jp/M3/20110411/F50919/513/1", 42.93)</f>
        <v>42.93</v>
      </c>
      <c r="E3481" s="2">
        <v>20.25</v>
      </c>
      <c r="F3481" s="2">
        <v>1</v>
      </c>
      <c r="G3481" s="2" t="s">
        <v>9</v>
      </c>
    </row>
    <row r="3482" spans="1:8" x14ac:dyDescent="0.2">
      <c r="A3482" s="2" t="s">
        <v>3343</v>
      </c>
      <c r="B3482" s="2" t="s">
        <v>509</v>
      </c>
      <c r="C3482" s="2">
        <v>1433.6990000000001</v>
      </c>
      <c r="D3482" s="2">
        <f>HYPERLINK("http://mcb-m6.bioreg.kyushu-u.ac.jp/M3/20110411/F50919/1504/1", 43.5)</f>
        <v>43.5</v>
      </c>
      <c r="E3482" s="2">
        <v>22.42</v>
      </c>
      <c r="F3482" s="2">
        <v>1</v>
      </c>
      <c r="G3482" s="2" t="s">
        <v>9</v>
      </c>
    </row>
    <row r="3483" spans="1:8" x14ac:dyDescent="0.2">
      <c r="A3483" s="2" t="s">
        <v>3343</v>
      </c>
      <c r="B3483" s="2" t="s">
        <v>210</v>
      </c>
      <c r="C3483" s="2">
        <v>554.87959999999998</v>
      </c>
      <c r="D3483" s="2">
        <f>HYPERLINK("http://mcb-m6.bioreg.kyushu-u.ac.jp/M3/20110411/F50892/1495/1", 43.65)</f>
        <v>43.65</v>
      </c>
      <c r="E3483" s="2">
        <v>18.09</v>
      </c>
      <c r="F3483" s="2">
        <v>2</v>
      </c>
      <c r="G3483" s="2" t="s">
        <v>9</v>
      </c>
      <c r="H3483" s="2" t="s">
        <v>4910</v>
      </c>
    </row>
    <row r="3484" spans="1:8" x14ac:dyDescent="0.2">
      <c r="A3484" s="2" t="s">
        <v>3343</v>
      </c>
      <c r="B3484" s="2" t="s">
        <v>428</v>
      </c>
      <c r="C3484" s="2">
        <v>451.87709999999998</v>
      </c>
      <c r="D3484" s="2">
        <f>HYPERLINK("http://mcb-m6.bioreg.kyushu-u.ac.jp/M3/20110411/F50919/515/1", 43.8)</f>
        <v>43.8</v>
      </c>
      <c r="E3484" s="2">
        <v>16.43</v>
      </c>
      <c r="F3484" s="2">
        <v>2</v>
      </c>
      <c r="G3484" s="2" t="s">
        <v>9</v>
      </c>
    </row>
    <row r="3485" spans="1:8" x14ac:dyDescent="0.2">
      <c r="A3485" s="2" t="s">
        <v>3343</v>
      </c>
      <c r="B3485" s="2" t="s">
        <v>210</v>
      </c>
      <c r="C3485" s="2">
        <v>1092.4960000000001</v>
      </c>
      <c r="D3485" s="2">
        <f>HYPERLINK("http://mcb-m6.bioreg.kyushu-u.ac.jp/M3/20110411/F50892/1466/1", 43.95)</f>
        <v>43.95</v>
      </c>
      <c r="E3485" s="2">
        <v>21.22</v>
      </c>
      <c r="F3485" s="2">
        <v>1</v>
      </c>
      <c r="G3485" s="2" t="s">
        <v>9</v>
      </c>
    </row>
    <row r="3486" spans="1:8" x14ac:dyDescent="0.2">
      <c r="A3486" s="2" t="s">
        <v>3343</v>
      </c>
      <c r="B3486" s="2" t="s">
        <v>546</v>
      </c>
      <c r="C3486" s="2">
        <v>1328.7650000000001</v>
      </c>
      <c r="D3486" s="2">
        <f>HYPERLINK("http://mcb-m6.bioreg.kyushu-u.ac.jp/M3/20110411/F50919/1272/2", 44.52)</f>
        <v>44.52</v>
      </c>
      <c r="E3486" s="2">
        <v>30.28</v>
      </c>
      <c r="F3486" s="2">
        <v>1</v>
      </c>
      <c r="G3486" s="2" t="s">
        <v>9</v>
      </c>
    </row>
    <row r="3487" spans="1:8" x14ac:dyDescent="0.2">
      <c r="A3487" s="2" t="s">
        <v>3343</v>
      </c>
      <c r="B3487" s="2" t="s">
        <v>558</v>
      </c>
      <c r="C3487" s="2">
        <v>729.60720000000003</v>
      </c>
      <c r="D3487" s="2">
        <f>HYPERLINK("http://mcb-m6.bioreg.kyushu-u.ac.jp/M3/20110411/F50919/1554/1", 44.82)</f>
        <v>44.82</v>
      </c>
      <c r="E3487" s="2">
        <v>27.97</v>
      </c>
      <c r="F3487" s="2">
        <v>2</v>
      </c>
      <c r="G3487" s="2" t="s">
        <v>9</v>
      </c>
    </row>
    <row r="3488" spans="1:8" x14ac:dyDescent="0.2">
      <c r="A3488" s="2" t="s">
        <v>3343</v>
      </c>
      <c r="B3488" s="2" t="s">
        <v>328</v>
      </c>
      <c r="C3488" s="2">
        <v>1146.52</v>
      </c>
      <c r="D3488" s="2">
        <f>HYPERLINK("http://mcb-m6.bioreg.kyushu-u.ac.jp/M3/20110411/F50892/1545/1", 44.89)</f>
        <v>44.89</v>
      </c>
      <c r="E3488" s="2">
        <v>19.329999999999998</v>
      </c>
      <c r="F3488" s="2">
        <v>1</v>
      </c>
      <c r="G3488" s="2" t="s">
        <v>9</v>
      </c>
    </row>
    <row r="3489" spans="1:8" x14ac:dyDescent="0.2">
      <c r="A3489" s="2" t="s">
        <v>3343</v>
      </c>
      <c r="B3489" s="2" t="s">
        <v>428</v>
      </c>
      <c r="C3489" s="2">
        <v>451.86309999999997</v>
      </c>
      <c r="D3489" s="2">
        <f>HYPERLINK("http://mcb-m6.bioreg.kyushu-u.ac.jp/M3/20110411/F50919/514/1", 46.04)</f>
        <v>46.04</v>
      </c>
      <c r="E3489" s="2">
        <v>13.22</v>
      </c>
      <c r="F3489" s="2">
        <v>2</v>
      </c>
      <c r="G3489" s="2" t="s">
        <v>9</v>
      </c>
    </row>
    <row r="3490" spans="1:8" x14ac:dyDescent="0.2">
      <c r="A3490" s="2" t="s">
        <v>3343</v>
      </c>
      <c r="B3490" s="2" t="s">
        <v>509</v>
      </c>
      <c r="C3490" s="2">
        <v>1449.722</v>
      </c>
      <c r="D3490" s="2">
        <f>HYPERLINK("http://mcb-m6.bioreg.kyushu-u.ac.jp/M3/20110411/F50919/1540/1", 46.06)</f>
        <v>46.06</v>
      </c>
      <c r="E3490" s="2">
        <v>32.22</v>
      </c>
      <c r="F3490" s="2">
        <v>1</v>
      </c>
      <c r="G3490" s="2" t="s">
        <v>9</v>
      </c>
      <c r="H3490" s="2" t="s">
        <v>4927</v>
      </c>
    </row>
    <row r="3491" spans="1:8" x14ac:dyDescent="0.2">
      <c r="A3491" s="2" t="s">
        <v>3343</v>
      </c>
      <c r="B3491" s="2" t="s">
        <v>132</v>
      </c>
      <c r="C3491" s="2">
        <v>1155.5630000000001</v>
      </c>
      <c r="D3491" s="2">
        <f>HYPERLINK("http://mcb-m6.bioreg.kyushu-u.ac.jp/M3/20110411/F50891/1270/1", 46.38)</f>
        <v>46.38</v>
      </c>
      <c r="E3491" s="2">
        <v>26.01</v>
      </c>
      <c r="F3491" s="2">
        <v>1</v>
      </c>
      <c r="G3491" s="2" t="s">
        <v>9</v>
      </c>
    </row>
    <row r="3492" spans="1:8" x14ac:dyDescent="0.2">
      <c r="A3492" s="2" t="s">
        <v>3343</v>
      </c>
      <c r="B3492" s="2" t="s">
        <v>509</v>
      </c>
      <c r="C3492" s="2">
        <v>717.38620000000003</v>
      </c>
      <c r="D3492" s="2">
        <f>HYPERLINK("http://mcb-m6.bioreg.kyushu-u.ac.jp/M3/20110411/F50892/2104/1", 46.69)</f>
        <v>46.69</v>
      </c>
      <c r="E3492" s="2">
        <v>21.66</v>
      </c>
      <c r="F3492" s="2">
        <v>2</v>
      </c>
      <c r="G3492" s="2" t="s">
        <v>9</v>
      </c>
    </row>
    <row r="3493" spans="1:8" x14ac:dyDescent="0.2">
      <c r="A3493" s="2" t="s">
        <v>3343</v>
      </c>
      <c r="B3493" s="2" t="s">
        <v>132</v>
      </c>
      <c r="C3493" s="2">
        <v>578.26459999999997</v>
      </c>
      <c r="D3493" s="2">
        <f>HYPERLINK("http://mcb-m6.bioreg.kyushu-u.ac.jp/M3/20110411/F50919/939/1", 46.93)</f>
        <v>46.93</v>
      </c>
      <c r="E3493" s="2">
        <v>17.23</v>
      </c>
      <c r="F3493" s="2">
        <v>2</v>
      </c>
      <c r="G3493" s="2" t="s">
        <v>9</v>
      </c>
    </row>
    <row r="3494" spans="1:8" x14ac:dyDescent="0.2">
      <c r="A3494" s="2" t="s">
        <v>3343</v>
      </c>
      <c r="B3494" s="2" t="s">
        <v>344</v>
      </c>
      <c r="C3494" s="2">
        <v>919.91769999999997</v>
      </c>
      <c r="D3494" s="2">
        <f>HYPERLINK("http://mcb-m6.bioreg.kyushu-u.ac.jp/M3/20110411/F50919/2583/1", 47.67)</f>
        <v>47.67</v>
      </c>
      <c r="E3494" s="2">
        <v>34.130000000000003</v>
      </c>
      <c r="F3494" s="2">
        <v>2</v>
      </c>
      <c r="G3494" s="2" t="s">
        <v>9</v>
      </c>
    </row>
    <row r="3495" spans="1:8" x14ac:dyDescent="0.2">
      <c r="A3495" s="2" t="s">
        <v>3343</v>
      </c>
      <c r="B3495" s="2" t="s">
        <v>344</v>
      </c>
      <c r="C3495" s="2">
        <v>919.97469999999998</v>
      </c>
      <c r="D3495" s="2">
        <f>HYPERLINK("http://mcb-m6.bioreg.kyushu-u.ac.jp/M3/20110411/F50919/2584/1", 47.7)</f>
        <v>47.7</v>
      </c>
      <c r="E3495" s="2">
        <v>33.99</v>
      </c>
      <c r="F3495" s="2">
        <v>2</v>
      </c>
      <c r="G3495" s="2" t="s">
        <v>9</v>
      </c>
    </row>
    <row r="3496" spans="1:8" x14ac:dyDescent="0.2">
      <c r="A3496" s="2" t="s">
        <v>3343</v>
      </c>
      <c r="B3496" s="2" t="s">
        <v>428</v>
      </c>
      <c r="C3496" s="2">
        <v>451.92110000000002</v>
      </c>
      <c r="D3496" s="2">
        <f>HYPERLINK("http://mcb-m6.bioreg.kyushu-u.ac.jp/M3/20110411/F50919/516/1", 48.3)</f>
        <v>48.3</v>
      </c>
      <c r="E3496" s="2">
        <v>21.54</v>
      </c>
      <c r="F3496" s="2">
        <v>2</v>
      </c>
      <c r="G3496" s="2" t="s">
        <v>9</v>
      </c>
    </row>
    <row r="3497" spans="1:8" x14ac:dyDescent="0.2">
      <c r="A3497" s="2" t="s">
        <v>3343</v>
      </c>
      <c r="B3497" s="2" t="s">
        <v>344</v>
      </c>
      <c r="C3497" s="2">
        <v>919.47559999999999</v>
      </c>
      <c r="D3497" s="2">
        <f>HYPERLINK("http://mcb-m6.bioreg.kyushu-u.ac.jp/M3/20110411/F50919/2579/1", 48.33)</f>
        <v>48.33</v>
      </c>
      <c r="E3497" s="2">
        <v>29.99</v>
      </c>
      <c r="F3497" s="2">
        <v>2</v>
      </c>
      <c r="G3497" s="2" t="s">
        <v>9</v>
      </c>
    </row>
    <row r="3498" spans="1:8" x14ac:dyDescent="0.2">
      <c r="A3498" s="2" t="s">
        <v>3343</v>
      </c>
      <c r="B3498" s="2" t="s">
        <v>428</v>
      </c>
      <c r="C3498" s="2">
        <v>451.83609999999999</v>
      </c>
      <c r="D3498" s="2">
        <f>HYPERLINK("http://mcb-m6.bioreg.kyushu-u.ac.jp/M3/20110411/F50889/1319/1", 48.44)</f>
        <v>48.44</v>
      </c>
      <c r="E3498" s="2">
        <v>13.06</v>
      </c>
      <c r="F3498" s="2">
        <v>2</v>
      </c>
      <c r="G3498" s="2" t="s">
        <v>9</v>
      </c>
    </row>
    <row r="3499" spans="1:8" x14ac:dyDescent="0.2">
      <c r="A3499" s="2" t="s">
        <v>3343</v>
      </c>
      <c r="B3499" s="2" t="s">
        <v>428</v>
      </c>
      <c r="C3499" s="2">
        <v>451.91660000000002</v>
      </c>
      <c r="D3499" s="2">
        <f>HYPERLINK("http://mcb-m6.bioreg.kyushu-u.ac.jp/M3/20110411/F50892/1130/1", 48.63)</f>
        <v>48.63</v>
      </c>
      <c r="E3499" s="2">
        <v>21.39</v>
      </c>
      <c r="F3499" s="2">
        <v>2</v>
      </c>
      <c r="G3499" s="2" t="s">
        <v>9</v>
      </c>
    </row>
    <row r="3500" spans="1:8" x14ac:dyDescent="0.2">
      <c r="A3500" s="2" t="s">
        <v>3343</v>
      </c>
      <c r="B3500" s="2" t="s">
        <v>704</v>
      </c>
      <c r="C3500" s="2">
        <v>603.03309999999999</v>
      </c>
      <c r="D3500" s="2">
        <f>HYPERLINK("http://mcb-m6.bioreg.kyushu-u.ac.jp/M3/20110411/F50905/1374/1", 48.82)</f>
        <v>48.82</v>
      </c>
      <c r="E3500" s="2">
        <v>15.11</v>
      </c>
      <c r="F3500" s="2">
        <v>2</v>
      </c>
      <c r="G3500" s="2" t="s">
        <v>9</v>
      </c>
    </row>
    <row r="3501" spans="1:8" x14ac:dyDescent="0.2">
      <c r="A3501" s="2" t="s">
        <v>3343</v>
      </c>
      <c r="B3501" s="2" t="s">
        <v>558</v>
      </c>
      <c r="C3501" s="2">
        <v>729.65060000000005</v>
      </c>
      <c r="D3501" s="2">
        <f>HYPERLINK("http://mcb-m6.bioreg.kyushu-u.ac.jp/M3/20110411/F50903/2022/1", 49.16)</f>
        <v>49.16</v>
      </c>
      <c r="E3501" s="2">
        <v>34.880000000000003</v>
      </c>
      <c r="F3501" s="2">
        <v>2</v>
      </c>
      <c r="G3501" s="2" t="s">
        <v>9</v>
      </c>
    </row>
    <row r="3502" spans="1:8" x14ac:dyDescent="0.2">
      <c r="A3502" s="2" t="s">
        <v>3343</v>
      </c>
      <c r="B3502" s="2" t="s">
        <v>132</v>
      </c>
      <c r="C3502" s="2">
        <v>578.44920000000002</v>
      </c>
      <c r="D3502" s="2">
        <f>HYPERLINK("http://mcb-m6.bioreg.kyushu-u.ac.jp/M3/20110411/F50905/1269/1", 51.23)</f>
        <v>51.23</v>
      </c>
      <c r="E3502" s="2">
        <v>22.36</v>
      </c>
      <c r="F3502" s="2">
        <v>2</v>
      </c>
      <c r="G3502" s="2" t="s">
        <v>9</v>
      </c>
    </row>
    <row r="3503" spans="1:8" x14ac:dyDescent="0.2">
      <c r="A3503" s="2" t="s">
        <v>3343</v>
      </c>
      <c r="B3503" s="2" t="s">
        <v>509</v>
      </c>
      <c r="C3503" s="2">
        <v>1416.7159999999999</v>
      </c>
      <c r="D3503" s="2">
        <f>HYPERLINK("http://mcb-m6.bioreg.kyushu-u.ac.jp/M3/20110411/F50919/1460/1", 52.4)</f>
        <v>52.4</v>
      </c>
      <c r="E3503" s="2">
        <v>40.81</v>
      </c>
      <c r="F3503" s="2">
        <v>1</v>
      </c>
      <c r="G3503" s="2" t="s">
        <v>9</v>
      </c>
      <c r="H3503" s="2" t="s">
        <v>4904</v>
      </c>
    </row>
    <row r="3504" spans="1:8" x14ac:dyDescent="0.2">
      <c r="A3504" s="2" t="s">
        <v>3343</v>
      </c>
      <c r="B3504" s="2" t="s">
        <v>325</v>
      </c>
      <c r="C3504" s="2">
        <v>493.57190000000003</v>
      </c>
      <c r="D3504" s="2">
        <f>HYPERLINK("http://mcb-m6.bioreg.kyushu-u.ac.jp/M3/20110411/F50919/1601/1", 52.55)</f>
        <v>52.55</v>
      </c>
      <c r="E3504" s="2">
        <v>27.02</v>
      </c>
      <c r="F3504" s="2">
        <v>3</v>
      </c>
      <c r="G3504" s="2" t="s">
        <v>9</v>
      </c>
    </row>
    <row r="3505" spans="1:8" x14ac:dyDescent="0.2">
      <c r="A3505" s="2" t="s">
        <v>3343</v>
      </c>
      <c r="B3505" s="2" t="s">
        <v>132</v>
      </c>
      <c r="C3505" s="2">
        <v>578.39970000000005</v>
      </c>
      <c r="D3505" s="2">
        <f>HYPERLINK("http://mcb-m6.bioreg.kyushu-u.ac.jp/M3/20110411/F50903/1351/1", 52.83)</f>
        <v>52.83</v>
      </c>
      <c r="E3505" s="2">
        <v>25.3</v>
      </c>
      <c r="F3505" s="2">
        <v>2</v>
      </c>
      <c r="G3505" s="2" t="s">
        <v>9</v>
      </c>
    </row>
    <row r="3506" spans="1:8" x14ac:dyDescent="0.2">
      <c r="A3506" s="2" t="s">
        <v>3343</v>
      </c>
      <c r="B3506" s="2" t="s">
        <v>325</v>
      </c>
      <c r="C3506" s="2">
        <v>1478.644</v>
      </c>
      <c r="D3506" s="2">
        <f>HYPERLINK("http://mcb-m6.bioreg.kyushu-u.ac.jp/M3/20110411/F50919/1600/1", 53.16)</f>
        <v>53.16</v>
      </c>
      <c r="E3506" s="2">
        <v>43.52</v>
      </c>
      <c r="F3506" s="2">
        <v>1</v>
      </c>
      <c r="G3506" s="2" t="s">
        <v>9</v>
      </c>
    </row>
    <row r="3507" spans="1:8" x14ac:dyDescent="0.2">
      <c r="A3507" s="2" t="s">
        <v>3343</v>
      </c>
      <c r="B3507" s="2" t="s">
        <v>558</v>
      </c>
      <c r="C3507" s="2">
        <v>1457.6780000000001</v>
      </c>
      <c r="D3507" s="2">
        <f>HYPERLINK("http://mcb-m6.bioreg.kyushu-u.ac.jp/M3/20110411/F50919/1550/1", 53.3)</f>
        <v>53.3</v>
      </c>
      <c r="E3507" s="2">
        <v>37.409999999999997</v>
      </c>
      <c r="F3507" s="2">
        <v>1</v>
      </c>
      <c r="G3507" s="2" t="s">
        <v>9</v>
      </c>
    </row>
    <row r="3508" spans="1:8" x14ac:dyDescent="0.2">
      <c r="A3508" s="2" t="s">
        <v>3343</v>
      </c>
      <c r="B3508" s="2" t="s">
        <v>344</v>
      </c>
      <c r="C3508" s="2">
        <v>919.48270000000002</v>
      </c>
      <c r="D3508" s="2">
        <f>HYPERLINK("http://mcb-m6.bioreg.kyushu-u.ac.jp/M3/20110411/F50890/3057/1", 54.16)</f>
        <v>54.16</v>
      </c>
      <c r="E3508" s="2">
        <v>22.62</v>
      </c>
      <c r="F3508" s="2">
        <v>2</v>
      </c>
      <c r="G3508" s="2" t="s">
        <v>9</v>
      </c>
    </row>
    <row r="3509" spans="1:8" x14ac:dyDescent="0.2">
      <c r="A3509" s="2" t="s">
        <v>3343</v>
      </c>
      <c r="B3509" s="2" t="s">
        <v>509</v>
      </c>
      <c r="C3509" s="2">
        <v>1432.76</v>
      </c>
      <c r="D3509" s="2">
        <f>HYPERLINK("http://mcb-m6.bioreg.kyushu-u.ac.jp/M3/20110411/F50919/1500/1", 54.56)</f>
        <v>54.56</v>
      </c>
      <c r="E3509" s="2">
        <v>43.53</v>
      </c>
      <c r="F3509" s="2">
        <v>1</v>
      </c>
      <c r="G3509" s="2" t="s">
        <v>9</v>
      </c>
      <c r="H3509" s="2" t="s">
        <v>4931</v>
      </c>
    </row>
    <row r="3510" spans="1:8" x14ac:dyDescent="0.2">
      <c r="A3510" s="2" t="s">
        <v>3343</v>
      </c>
      <c r="B3510" s="2" t="s">
        <v>344</v>
      </c>
      <c r="C3510" s="2">
        <v>613.60350000000005</v>
      </c>
      <c r="D3510" s="2">
        <f>HYPERLINK("http://mcb-m6.bioreg.kyushu-u.ac.jp/M3/20110411/F50890/3058/1", 54.75)</f>
        <v>54.75</v>
      </c>
      <c r="E3510" s="2">
        <v>34.729999999999997</v>
      </c>
      <c r="F3510" s="2">
        <v>3</v>
      </c>
      <c r="G3510" s="2" t="s">
        <v>9</v>
      </c>
    </row>
    <row r="3511" spans="1:8" x14ac:dyDescent="0.2">
      <c r="A3511" s="2" t="s">
        <v>3343</v>
      </c>
      <c r="B3511" s="2" t="s">
        <v>704</v>
      </c>
      <c r="C3511" s="2">
        <v>610.90419999999995</v>
      </c>
      <c r="D3511" s="2">
        <f>HYPERLINK("http://mcb-m6.bioreg.kyushu-u.ac.jp/M3/20110411/F50919/1085/1", 55.84)</f>
        <v>55.84</v>
      </c>
      <c r="E3511" s="2">
        <v>31.31</v>
      </c>
      <c r="F3511" s="2">
        <v>2</v>
      </c>
      <c r="G3511" s="2" t="s">
        <v>9</v>
      </c>
      <c r="H3511" s="2" t="s">
        <v>4908</v>
      </c>
    </row>
    <row r="3512" spans="1:8" x14ac:dyDescent="0.2">
      <c r="A3512" s="2" t="s">
        <v>3343</v>
      </c>
      <c r="B3512" s="2" t="s">
        <v>943</v>
      </c>
      <c r="C3512" s="2">
        <v>506.79660000000001</v>
      </c>
      <c r="D3512" s="2">
        <f>HYPERLINK("http://mcb-m6.bioreg.kyushu-u.ac.jp/M3/20110411/F50891/1001/1", 56.25)</f>
        <v>56.25</v>
      </c>
      <c r="E3512" s="2">
        <v>30.03</v>
      </c>
      <c r="F3512" s="2">
        <v>2</v>
      </c>
      <c r="G3512" s="2" t="s">
        <v>9</v>
      </c>
    </row>
    <row r="3513" spans="1:8" x14ac:dyDescent="0.2">
      <c r="A3513" s="2" t="s">
        <v>3343</v>
      </c>
      <c r="B3513" s="2" t="s">
        <v>132</v>
      </c>
      <c r="C3513" s="2">
        <v>578.82709999999997</v>
      </c>
      <c r="D3513" s="2">
        <f>HYPERLINK("http://mcb-m6.bioreg.kyushu-u.ac.jp/M3/20110411/F50890/1434/1", 56.64)</f>
        <v>56.64</v>
      </c>
      <c r="E3513" s="2">
        <v>30.22</v>
      </c>
      <c r="F3513" s="2">
        <v>2</v>
      </c>
      <c r="G3513" s="2" t="s">
        <v>9</v>
      </c>
    </row>
    <row r="3514" spans="1:8" x14ac:dyDescent="0.2">
      <c r="A3514" s="2" t="s">
        <v>3343</v>
      </c>
      <c r="B3514" s="2" t="s">
        <v>558</v>
      </c>
      <c r="C3514" s="2">
        <v>729.39319999999998</v>
      </c>
      <c r="D3514" s="2">
        <f>HYPERLINK("http://mcb-m6.bioreg.kyushu-u.ac.jp/M3/20110411/F50891/2021/1", 56.82)</f>
        <v>56.82</v>
      </c>
      <c r="E3514" s="2">
        <v>38.270000000000003</v>
      </c>
      <c r="F3514" s="2">
        <v>2</v>
      </c>
      <c r="G3514" s="2" t="s">
        <v>9</v>
      </c>
    </row>
    <row r="3515" spans="1:8" x14ac:dyDescent="0.2">
      <c r="A3515" s="2" t="s">
        <v>3343</v>
      </c>
      <c r="B3515" s="2" t="s">
        <v>509</v>
      </c>
      <c r="C3515" s="2">
        <v>717.49019999999996</v>
      </c>
      <c r="D3515" s="2">
        <f>HYPERLINK("http://mcb-m6.bioreg.kyushu-u.ac.jp/M3/20110411/F50919/1506/1", 57.28)</f>
        <v>57.28</v>
      </c>
      <c r="E3515" s="2">
        <v>31.05</v>
      </c>
      <c r="F3515" s="2">
        <v>2</v>
      </c>
      <c r="G3515" s="2" t="s">
        <v>9</v>
      </c>
    </row>
    <row r="3516" spans="1:8" x14ac:dyDescent="0.2">
      <c r="A3516" s="2" t="s">
        <v>3343</v>
      </c>
      <c r="B3516" s="2" t="s">
        <v>1002</v>
      </c>
      <c r="C3516" s="2">
        <v>1148.191</v>
      </c>
      <c r="D3516" s="2">
        <f>HYPERLINK("http://mcb-m6.bioreg.kyushu-u.ac.jp/M3/20110411/F50919/3361/1", 58.44)</f>
        <v>58.44</v>
      </c>
      <c r="E3516" s="2">
        <v>45.16</v>
      </c>
      <c r="F3516" s="2">
        <v>2</v>
      </c>
      <c r="G3516" s="2" t="s">
        <v>9</v>
      </c>
    </row>
    <row r="3517" spans="1:8" x14ac:dyDescent="0.2">
      <c r="A3517" s="2" t="s">
        <v>3343</v>
      </c>
      <c r="B3517" s="2" t="s">
        <v>943</v>
      </c>
      <c r="C3517" s="2">
        <v>506.78160000000003</v>
      </c>
      <c r="D3517" s="2">
        <f>HYPERLINK("http://mcb-m6.bioreg.kyushu-u.ac.jp/M3/20110411/F50890/1149/1", 58.5)</f>
        <v>58.5</v>
      </c>
      <c r="E3517" s="2">
        <v>38.26</v>
      </c>
      <c r="F3517" s="2">
        <v>2</v>
      </c>
      <c r="G3517" s="2" t="s">
        <v>9</v>
      </c>
    </row>
    <row r="3518" spans="1:8" x14ac:dyDescent="0.2">
      <c r="A3518" s="2" t="s">
        <v>3343</v>
      </c>
      <c r="B3518" s="2" t="s">
        <v>210</v>
      </c>
      <c r="C3518" s="2">
        <v>547.0027</v>
      </c>
      <c r="D3518" s="2">
        <f>HYPERLINK("http://mcb-m6.bioreg.kyushu-u.ac.jp/M3/20110411/F50892/1468/1", 58.52)</f>
        <v>58.52</v>
      </c>
      <c r="E3518" s="2">
        <v>24.56</v>
      </c>
      <c r="F3518" s="2">
        <v>2</v>
      </c>
      <c r="G3518" s="2" t="s">
        <v>9</v>
      </c>
    </row>
    <row r="3519" spans="1:8" x14ac:dyDescent="0.2">
      <c r="A3519" s="2" t="s">
        <v>3343</v>
      </c>
      <c r="B3519" s="2" t="s">
        <v>704</v>
      </c>
      <c r="C3519" s="2">
        <v>603.07119999999998</v>
      </c>
      <c r="D3519" s="2">
        <f>HYPERLINK("http://mcb-m6.bioreg.kyushu-u.ac.jp/M3/20110411/F50911/1406/1", 59.55)</f>
        <v>59.55</v>
      </c>
      <c r="E3519" s="2">
        <v>20.170000000000002</v>
      </c>
      <c r="F3519" s="2">
        <v>2</v>
      </c>
      <c r="G3519" s="2" t="s">
        <v>9</v>
      </c>
    </row>
    <row r="3520" spans="1:8" x14ac:dyDescent="0.2">
      <c r="A3520" s="2" t="s">
        <v>3343</v>
      </c>
      <c r="B3520" s="2" t="s">
        <v>1032</v>
      </c>
      <c r="C3520" s="2">
        <v>1163.3920000000001</v>
      </c>
      <c r="D3520" s="2">
        <f>HYPERLINK("http://mcb-m6.bioreg.kyushu-u.ac.jp/M3/20110411/F50890/3769/1", 59.56)</f>
        <v>59.56</v>
      </c>
      <c r="E3520" s="2">
        <v>50.52</v>
      </c>
      <c r="F3520" s="2">
        <v>2</v>
      </c>
      <c r="G3520" s="2" t="s">
        <v>9</v>
      </c>
    </row>
    <row r="3521" spans="1:8" x14ac:dyDescent="0.2">
      <c r="A3521" s="2" t="s">
        <v>3343</v>
      </c>
      <c r="B3521" s="2" t="s">
        <v>1032</v>
      </c>
      <c r="C3521" s="2">
        <v>1164.0930000000001</v>
      </c>
      <c r="D3521" s="2">
        <f>HYPERLINK("http://mcb-m6.bioreg.kyushu-u.ac.jp/M3/20110411/F50919/3434/1", 60.6)</f>
        <v>60.6</v>
      </c>
      <c r="E3521" s="2">
        <v>51.7</v>
      </c>
      <c r="F3521" s="2">
        <v>2</v>
      </c>
      <c r="G3521" s="2" t="s">
        <v>9</v>
      </c>
    </row>
    <row r="3522" spans="1:8" x14ac:dyDescent="0.2">
      <c r="A3522" s="2" t="s">
        <v>3343</v>
      </c>
      <c r="B3522" s="2" t="s">
        <v>704</v>
      </c>
      <c r="C3522" s="2">
        <v>610.88319999999999</v>
      </c>
      <c r="D3522" s="2">
        <f>HYPERLINK("http://mcb-m6.bioreg.kyushu-u.ac.jp/M3/20110411/F50892/1682/1", 60.69)</f>
        <v>60.69</v>
      </c>
      <c r="E3522" s="2">
        <v>29.11</v>
      </c>
      <c r="F3522" s="2">
        <v>2</v>
      </c>
      <c r="G3522" s="2" t="s">
        <v>9</v>
      </c>
      <c r="H3522" s="2" t="s">
        <v>4908</v>
      </c>
    </row>
    <row r="3523" spans="1:8" x14ac:dyDescent="0.2">
      <c r="A3523" s="2" t="s">
        <v>3343</v>
      </c>
      <c r="B3523" s="2" t="s">
        <v>1002</v>
      </c>
      <c r="C3523" s="2">
        <v>1148.154</v>
      </c>
      <c r="D3523" s="2">
        <f>HYPERLINK("http://mcb-m6.bioreg.kyushu-u.ac.jp/M3/20110411/F50891/3929/1", 61.04)</f>
        <v>61.04</v>
      </c>
      <c r="E3523" s="2">
        <v>49.3</v>
      </c>
      <c r="F3523" s="2">
        <v>2</v>
      </c>
      <c r="G3523" s="2" t="s">
        <v>9</v>
      </c>
    </row>
    <row r="3524" spans="1:8" x14ac:dyDescent="0.2">
      <c r="A3524" s="2" t="s">
        <v>3343</v>
      </c>
      <c r="B3524" s="2" t="s">
        <v>1002</v>
      </c>
      <c r="C3524" s="2">
        <v>1147.4459999999999</v>
      </c>
      <c r="D3524" s="2">
        <f>HYPERLINK("http://mcb-m6.bioreg.kyushu-u.ac.jp/M3/20110411/F50891/3923/1", 61.29)</f>
        <v>61.29</v>
      </c>
      <c r="E3524" s="2">
        <v>52.04</v>
      </c>
      <c r="F3524" s="2">
        <v>2</v>
      </c>
      <c r="G3524" s="2" t="s">
        <v>9</v>
      </c>
    </row>
    <row r="3525" spans="1:8" x14ac:dyDescent="0.2">
      <c r="A3525" s="2" t="s">
        <v>3343</v>
      </c>
      <c r="B3525" s="2" t="s">
        <v>1002</v>
      </c>
      <c r="C3525" s="2">
        <v>1148.086</v>
      </c>
      <c r="D3525" s="2">
        <f>HYPERLINK("http://mcb-m6.bioreg.kyushu-u.ac.jp/M3/20110411/F50905/3778/1", 61.61)</f>
        <v>61.61</v>
      </c>
      <c r="E3525" s="2">
        <v>48.03</v>
      </c>
      <c r="F3525" s="2">
        <v>2</v>
      </c>
      <c r="G3525" s="2" t="s">
        <v>9</v>
      </c>
    </row>
    <row r="3526" spans="1:8" x14ac:dyDescent="0.2">
      <c r="A3526" s="2" t="s">
        <v>3343</v>
      </c>
      <c r="B3526" s="2" t="s">
        <v>704</v>
      </c>
      <c r="C3526" s="2">
        <v>603.22469999999998</v>
      </c>
      <c r="D3526" s="2">
        <f>HYPERLINK("http://mcb-m6.bioreg.kyushu-u.ac.jp/M3/20110411/F50889/1868/1", 61.72)</f>
        <v>61.72</v>
      </c>
      <c r="E3526" s="2">
        <v>32.85</v>
      </c>
      <c r="F3526" s="2">
        <v>2</v>
      </c>
      <c r="G3526" s="2" t="s">
        <v>9</v>
      </c>
    </row>
    <row r="3527" spans="1:8" x14ac:dyDescent="0.2">
      <c r="A3527" s="2" t="s">
        <v>3343</v>
      </c>
      <c r="B3527" s="2" t="s">
        <v>325</v>
      </c>
      <c r="C3527" s="2">
        <v>1494.8040000000001</v>
      </c>
      <c r="D3527" s="2">
        <f>HYPERLINK("http://mcb-m6.bioreg.kyushu-u.ac.jp/M3/20110411/F50919/1653/1", 63.43)</f>
        <v>63.43</v>
      </c>
      <c r="E3527" s="2">
        <v>55.12</v>
      </c>
      <c r="F3527" s="2">
        <v>1</v>
      </c>
      <c r="G3527" s="2" t="s">
        <v>9</v>
      </c>
      <c r="H3527" s="2" t="s">
        <v>4925</v>
      </c>
    </row>
    <row r="3528" spans="1:8" x14ac:dyDescent="0.2">
      <c r="A3528" s="2" t="s">
        <v>3343</v>
      </c>
      <c r="B3528" s="2" t="s">
        <v>509</v>
      </c>
      <c r="C3528" s="2">
        <v>725.69269999999995</v>
      </c>
      <c r="D3528" s="2">
        <f>HYPERLINK("http://mcb-m6.bioreg.kyushu-u.ac.jp/M3/20110411/F50904/1971/1", 63.84)</f>
        <v>63.84</v>
      </c>
      <c r="E3528" s="2">
        <v>43.43</v>
      </c>
      <c r="F3528" s="2">
        <v>2</v>
      </c>
      <c r="G3528" s="2" t="s">
        <v>9</v>
      </c>
      <c r="H3528" s="2" t="s">
        <v>4927</v>
      </c>
    </row>
    <row r="3529" spans="1:8" x14ac:dyDescent="0.2">
      <c r="A3529" s="2" t="s">
        <v>3343</v>
      </c>
      <c r="B3529" s="2" t="s">
        <v>1032</v>
      </c>
      <c r="C3529" s="2">
        <v>1163.885</v>
      </c>
      <c r="D3529" s="2">
        <f>HYPERLINK("http://mcb-m6.bioreg.kyushu-u.ac.jp/M3/20110411/F50891/3989/1", 64.04)</f>
        <v>64.040000000000006</v>
      </c>
      <c r="E3529" s="2">
        <v>54.2</v>
      </c>
      <c r="F3529" s="2">
        <v>2</v>
      </c>
      <c r="G3529" s="2" t="s">
        <v>9</v>
      </c>
    </row>
    <row r="3530" spans="1:8" x14ac:dyDescent="0.2">
      <c r="A3530" s="2" t="s">
        <v>3343</v>
      </c>
      <c r="B3530" s="2" t="s">
        <v>210</v>
      </c>
      <c r="C3530" s="2">
        <v>546.8741</v>
      </c>
      <c r="D3530" s="2">
        <f>HYPERLINK("http://mcb-m6.bioreg.kyushu-u.ac.jp/M3/20110411/F50919/850/1", 64.06)</f>
        <v>64.06</v>
      </c>
      <c r="E3530" s="2">
        <v>33.119999999999997</v>
      </c>
      <c r="F3530" s="2">
        <v>2</v>
      </c>
      <c r="G3530" s="2" t="s">
        <v>9</v>
      </c>
    </row>
    <row r="3531" spans="1:8" x14ac:dyDescent="0.2">
      <c r="A3531" s="2" t="s">
        <v>3343</v>
      </c>
      <c r="B3531" s="2" t="s">
        <v>1032</v>
      </c>
      <c r="C3531" s="2">
        <v>1155.182</v>
      </c>
      <c r="D3531" s="2">
        <f>HYPERLINK("http://mcb-m6.bioreg.kyushu-u.ac.jp/M3/20110411/F50919/3395/1", 64.29)</f>
        <v>64.290000000000006</v>
      </c>
      <c r="E3531" s="2">
        <v>50.22</v>
      </c>
      <c r="F3531" s="2">
        <v>2</v>
      </c>
      <c r="G3531" s="2" t="s">
        <v>9</v>
      </c>
      <c r="H3531" s="2" t="s">
        <v>4904</v>
      </c>
    </row>
    <row r="3532" spans="1:8" x14ac:dyDescent="0.2">
      <c r="A3532" s="2" t="s">
        <v>3343</v>
      </c>
      <c r="B3532" s="2" t="s">
        <v>325</v>
      </c>
      <c r="C3532" s="2">
        <v>739.8356</v>
      </c>
      <c r="D3532" s="2">
        <f>HYPERLINK("http://mcb-m6.bioreg.kyushu-u.ac.jp/M3/20110411/F50891/2084/1", 64.41)</f>
        <v>64.41</v>
      </c>
      <c r="E3532" s="2">
        <v>53.02</v>
      </c>
      <c r="F3532" s="2">
        <v>2</v>
      </c>
      <c r="G3532" s="2" t="s">
        <v>9</v>
      </c>
    </row>
    <row r="3533" spans="1:8" x14ac:dyDescent="0.2">
      <c r="A3533" s="2" t="s">
        <v>3343</v>
      </c>
      <c r="B3533" s="2" t="s">
        <v>943</v>
      </c>
      <c r="C3533" s="2">
        <v>506.99709999999999</v>
      </c>
      <c r="D3533" s="2">
        <f>HYPERLINK("http://mcb-m6.bioreg.kyushu-u.ac.jp/M3/20110411/F50904/1151/1", 65.41)</f>
        <v>65.41</v>
      </c>
      <c r="E3533" s="2">
        <v>40.29</v>
      </c>
      <c r="F3533" s="2">
        <v>2</v>
      </c>
      <c r="G3533" s="2" t="s">
        <v>9</v>
      </c>
    </row>
    <row r="3534" spans="1:8" x14ac:dyDescent="0.2">
      <c r="A3534" s="2" t="s">
        <v>3343</v>
      </c>
      <c r="B3534" s="2" t="s">
        <v>943</v>
      </c>
      <c r="C3534" s="2">
        <v>507.01909999999998</v>
      </c>
      <c r="D3534" s="2">
        <f>HYPERLINK("http://mcb-m6.bioreg.kyushu-u.ac.jp/M3/20110411/F50905/982/1", 65.43)</f>
        <v>65.430000000000007</v>
      </c>
      <c r="E3534" s="2">
        <v>42.75</v>
      </c>
      <c r="F3534" s="2">
        <v>2</v>
      </c>
      <c r="G3534" s="2" t="s">
        <v>9</v>
      </c>
    </row>
    <row r="3535" spans="1:8" x14ac:dyDescent="0.2">
      <c r="A3535" s="2" t="s">
        <v>3343</v>
      </c>
      <c r="B3535" s="2" t="s">
        <v>546</v>
      </c>
      <c r="C3535" s="2">
        <v>665.34469999999999</v>
      </c>
      <c r="D3535" s="2">
        <f>HYPERLINK("http://mcb-m6.bioreg.kyushu-u.ac.jp/M3/20110411/F50904/1670/2", 65.66)</f>
        <v>65.66</v>
      </c>
      <c r="E3535" s="2">
        <v>46.82</v>
      </c>
      <c r="F3535" s="2">
        <v>2</v>
      </c>
      <c r="G3535" s="2" t="s">
        <v>9</v>
      </c>
    </row>
    <row r="3536" spans="1:8" x14ac:dyDescent="0.2">
      <c r="A3536" s="2" t="s">
        <v>3343</v>
      </c>
      <c r="B3536" s="2" t="s">
        <v>132</v>
      </c>
      <c r="C3536" s="2">
        <v>578.27170000000001</v>
      </c>
      <c r="D3536" s="2">
        <f>HYPERLINK("http://mcb-m6.bioreg.kyushu-u.ac.jp/M3/20110411/F50892/1557/1", 65.67)</f>
        <v>65.67</v>
      </c>
      <c r="E3536" s="2">
        <v>40.74</v>
      </c>
      <c r="F3536" s="2">
        <v>2</v>
      </c>
      <c r="G3536" s="2" t="s">
        <v>9</v>
      </c>
    </row>
    <row r="3537" spans="1:8" x14ac:dyDescent="0.2">
      <c r="A3537" s="2" t="s">
        <v>3343</v>
      </c>
      <c r="B3537" s="2" t="s">
        <v>509</v>
      </c>
      <c r="C3537" s="2">
        <v>725.47310000000004</v>
      </c>
      <c r="D3537" s="2">
        <f>HYPERLINK("http://mcb-m6.bioreg.kyushu-u.ac.jp/M3/20110411/F50919/1542/1", 66.01)</f>
        <v>66.010000000000005</v>
      </c>
      <c r="E3537" s="2">
        <v>52.91</v>
      </c>
      <c r="F3537" s="2">
        <v>2</v>
      </c>
      <c r="G3537" s="2" t="s">
        <v>9</v>
      </c>
      <c r="H3537" s="2" t="s">
        <v>4927</v>
      </c>
    </row>
    <row r="3538" spans="1:8" x14ac:dyDescent="0.2">
      <c r="A3538" s="2" t="s">
        <v>3343</v>
      </c>
      <c r="B3538" s="2" t="s">
        <v>1002</v>
      </c>
      <c r="C3538" s="2">
        <v>1148.0329999999999</v>
      </c>
      <c r="D3538" s="2">
        <f>HYPERLINK("http://mcb-m6.bioreg.kyushu-u.ac.jp/M3/20110411/F50892/3492/1", 66.04)</f>
        <v>66.040000000000006</v>
      </c>
      <c r="E3538" s="2">
        <v>57.11</v>
      </c>
      <c r="F3538" s="2">
        <v>2</v>
      </c>
      <c r="G3538" s="2" t="s">
        <v>9</v>
      </c>
    </row>
    <row r="3539" spans="1:8" x14ac:dyDescent="0.2">
      <c r="A3539" s="2" t="s">
        <v>3343</v>
      </c>
      <c r="B3539" s="2" t="s">
        <v>546</v>
      </c>
      <c r="C3539" s="2">
        <v>664.79570000000001</v>
      </c>
      <c r="D3539" s="2">
        <f>HYPERLINK("http://mcb-m6.bioreg.kyushu-u.ac.jp/M3/20110411/F50891/1672/2", 66.3)</f>
        <v>66.3</v>
      </c>
      <c r="E3539" s="2">
        <v>48.51</v>
      </c>
      <c r="F3539" s="2">
        <v>2</v>
      </c>
      <c r="G3539" s="2" t="s">
        <v>9</v>
      </c>
    </row>
    <row r="3540" spans="1:8" x14ac:dyDescent="0.2">
      <c r="A3540" s="2" t="s">
        <v>3343</v>
      </c>
      <c r="B3540" s="2" t="s">
        <v>1189</v>
      </c>
      <c r="C3540" s="2">
        <v>1069.3910000000001</v>
      </c>
      <c r="D3540" s="2">
        <f>HYPERLINK("http://mcb-m6.bioreg.kyushu-u.ac.jp/M3/20110411/F50892/3274/1", 66.68)</f>
        <v>66.680000000000007</v>
      </c>
      <c r="E3540" s="2">
        <v>58.55</v>
      </c>
      <c r="F3540" s="2">
        <v>2</v>
      </c>
      <c r="G3540" s="2" t="s">
        <v>9</v>
      </c>
    </row>
    <row r="3541" spans="1:8" x14ac:dyDescent="0.2">
      <c r="A3541" s="2" t="s">
        <v>3343</v>
      </c>
      <c r="B3541" s="2" t="s">
        <v>210</v>
      </c>
      <c r="C3541" s="2">
        <v>554.79470000000003</v>
      </c>
      <c r="D3541" s="2">
        <f>HYPERLINK("http://mcb-m6.bioreg.kyushu-u.ac.jp/M3/20110411/F50919/874/1", 66.9)</f>
        <v>66.900000000000006</v>
      </c>
      <c r="E3541" s="2">
        <v>31.13</v>
      </c>
      <c r="F3541" s="2">
        <v>2</v>
      </c>
      <c r="G3541" s="2" t="s">
        <v>9</v>
      </c>
      <c r="H3541" s="2" t="s">
        <v>4910</v>
      </c>
    </row>
    <row r="3542" spans="1:8" x14ac:dyDescent="0.2">
      <c r="A3542" s="2" t="s">
        <v>3343</v>
      </c>
      <c r="B3542" s="2" t="s">
        <v>132</v>
      </c>
      <c r="C3542" s="2">
        <v>578.4357</v>
      </c>
      <c r="D3542" s="2">
        <f>HYPERLINK("http://mcb-m6.bioreg.kyushu-u.ac.jp/M3/20110411/F50889/1770/1", 67.53)</f>
        <v>67.53</v>
      </c>
      <c r="E3542" s="2">
        <v>42.33</v>
      </c>
      <c r="F3542" s="2">
        <v>2</v>
      </c>
      <c r="G3542" s="2" t="s">
        <v>9</v>
      </c>
    </row>
    <row r="3543" spans="1:8" x14ac:dyDescent="0.2">
      <c r="A3543" s="2" t="s">
        <v>3343</v>
      </c>
      <c r="B3543" s="2" t="s">
        <v>943</v>
      </c>
      <c r="C3543" s="2">
        <v>506.9151</v>
      </c>
      <c r="D3543" s="2">
        <f>HYPERLINK("http://mcb-m6.bioreg.kyushu-u.ac.jp/M3/20110411/F50911/990/1", 67.57)</f>
        <v>67.569999999999993</v>
      </c>
      <c r="E3543" s="2">
        <v>35.9</v>
      </c>
      <c r="F3543" s="2">
        <v>2</v>
      </c>
      <c r="G3543" s="2" t="s">
        <v>9</v>
      </c>
    </row>
    <row r="3544" spans="1:8" x14ac:dyDescent="0.2">
      <c r="A3544" s="2" t="s">
        <v>3343</v>
      </c>
      <c r="B3544" s="2" t="s">
        <v>1211</v>
      </c>
      <c r="C3544" s="2">
        <v>769.38649999999996</v>
      </c>
      <c r="D3544" s="2">
        <f>HYPERLINK("http://mcb-m6.bioreg.kyushu-u.ac.jp/M3/20110411/F50919/3388/1", 67.66)</f>
        <v>67.66</v>
      </c>
      <c r="E3544" s="2">
        <v>33.17</v>
      </c>
      <c r="F3544" s="2">
        <v>3</v>
      </c>
      <c r="G3544" s="2" t="s">
        <v>9</v>
      </c>
    </row>
    <row r="3545" spans="1:8" x14ac:dyDescent="0.2">
      <c r="A3545" s="2" t="s">
        <v>3343</v>
      </c>
      <c r="B3545" s="2" t="s">
        <v>344</v>
      </c>
      <c r="C3545" s="2">
        <v>919.4606</v>
      </c>
      <c r="D3545" s="2">
        <f>HYPERLINK("http://mcb-m6.bioreg.kyushu-u.ac.jp/M3/20110411/F50891/3099/1", 67.89)</f>
        <v>67.89</v>
      </c>
      <c r="E3545" s="2">
        <v>45.93</v>
      </c>
      <c r="F3545" s="2">
        <v>2</v>
      </c>
      <c r="G3545" s="2" t="s">
        <v>9</v>
      </c>
    </row>
    <row r="3546" spans="1:8" x14ac:dyDescent="0.2">
      <c r="A3546" s="2" t="s">
        <v>3343</v>
      </c>
      <c r="B3546" s="2" t="s">
        <v>1002</v>
      </c>
      <c r="C3546" s="2">
        <v>1147.9280000000001</v>
      </c>
      <c r="D3546" s="2">
        <f>HYPERLINK("http://mcb-m6.bioreg.kyushu-u.ac.jp/M3/20110411/F50889/3029/1", 68.29)</f>
        <v>68.290000000000006</v>
      </c>
      <c r="E3546" s="2">
        <v>60.74</v>
      </c>
      <c r="F3546" s="2">
        <v>2</v>
      </c>
      <c r="G3546" s="2" t="s">
        <v>9</v>
      </c>
    </row>
    <row r="3547" spans="1:8" x14ac:dyDescent="0.2">
      <c r="A3547" s="2" t="s">
        <v>3343</v>
      </c>
      <c r="B3547" s="2" t="s">
        <v>132</v>
      </c>
      <c r="C3547" s="2">
        <v>578.35860000000002</v>
      </c>
      <c r="D3547" s="2">
        <f>HYPERLINK("http://mcb-m6.bioreg.kyushu-u.ac.jp/M3/20110411/F50919/940/1", 69.3)</f>
        <v>69.3</v>
      </c>
      <c r="E3547" s="2">
        <v>41.86</v>
      </c>
      <c r="F3547" s="2">
        <v>2</v>
      </c>
      <c r="G3547" s="2" t="s">
        <v>9</v>
      </c>
    </row>
    <row r="3548" spans="1:8" x14ac:dyDescent="0.2">
      <c r="A3548" s="2" t="s">
        <v>3343</v>
      </c>
      <c r="B3548" s="2" t="s">
        <v>546</v>
      </c>
      <c r="C3548" s="2">
        <v>665.01319999999998</v>
      </c>
      <c r="D3548" s="2">
        <f>HYPERLINK("http://mcb-m6.bioreg.kyushu-u.ac.jp/M3/20110411/F50911/1668/2", 69.42)</f>
        <v>69.42</v>
      </c>
      <c r="E3548" s="2">
        <v>42.21</v>
      </c>
      <c r="F3548" s="2">
        <v>2</v>
      </c>
      <c r="G3548" s="2" t="s">
        <v>9</v>
      </c>
    </row>
    <row r="3549" spans="1:8" x14ac:dyDescent="0.2">
      <c r="A3549" s="2" t="s">
        <v>3343</v>
      </c>
      <c r="B3549" s="2" t="s">
        <v>558</v>
      </c>
      <c r="C3549" s="2">
        <v>729.35820000000001</v>
      </c>
      <c r="D3549" s="2">
        <f>HYPERLINK("http://mcb-m6.bioreg.kyushu-u.ac.jp/M3/20110411/F50890/2124/1", 70.05)</f>
        <v>70.05</v>
      </c>
      <c r="E3549" s="2">
        <v>57.16</v>
      </c>
      <c r="F3549" s="2">
        <v>2</v>
      </c>
      <c r="G3549" s="2" t="s">
        <v>9</v>
      </c>
    </row>
    <row r="3550" spans="1:8" x14ac:dyDescent="0.2">
      <c r="A3550" s="2" t="s">
        <v>3343</v>
      </c>
      <c r="B3550" s="2" t="s">
        <v>328</v>
      </c>
      <c r="C3550" s="2">
        <v>573.84370000000001</v>
      </c>
      <c r="D3550" s="2">
        <f>HYPERLINK("http://mcb-m6.bioreg.kyushu-u.ac.jp/M3/20110411/F50919/922/1", 70.27)</f>
        <v>70.27</v>
      </c>
      <c r="E3550" s="2">
        <v>40.08</v>
      </c>
      <c r="F3550" s="2">
        <v>2</v>
      </c>
      <c r="G3550" s="2" t="s">
        <v>9</v>
      </c>
    </row>
    <row r="3551" spans="1:8" x14ac:dyDescent="0.2">
      <c r="A3551" s="2" t="s">
        <v>3343</v>
      </c>
      <c r="B3551" s="2" t="s">
        <v>1189</v>
      </c>
      <c r="C3551" s="2">
        <v>1069.8610000000001</v>
      </c>
      <c r="D3551" s="2">
        <f>HYPERLINK("http://mcb-m6.bioreg.kyushu-u.ac.jp/M3/20110411/F50890/3493/1", 70.49)</f>
        <v>70.489999999999995</v>
      </c>
      <c r="E3551" s="2">
        <v>58</v>
      </c>
      <c r="F3551" s="2">
        <v>2</v>
      </c>
      <c r="G3551" s="2" t="s">
        <v>9</v>
      </c>
    </row>
    <row r="3552" spans="1:8" x14ac:dyDescent="0.2">
      <c r="A3552" s="2" t="s">
        <v>3343</v>
      </c>
      <c r="B3552" s="2" t="s">
        <v>546</v>
      </c>
      <c r="C3552" s="2">
        <v>665.07619999999997</v>
      </c>
      <c r="D3552" s="2">
        <f>HYPERLINK("http://mcb-m6.bioreg.kyushu-u.ac.jp/M3/20110411/F50903/1661/2", 70.99)</f>
        <v>70.989999999999995</v>
      </c>
      <c r="E3552" s="2">
        <v>49.89</v>
      </c>
      <c r="F3552" s="2">
        <v>2</v>
      </c>
      <c r="G3552" s="2" t="s">
        <v>9</v>
      </c>
    </row>
    <row r="3553" spans="1:8" x14ac:dyDescent="0.2">
      <c r="A3553" s="2" t="s">
        <v>3343</v>
      </c>
      <c r="B3553" s="2" t="s">
        <v>943</v>
      </c>
      <c r="C3553" s="2">
        <v>506.87360000000001</v>
      </c>
      <c r="D3553" s="2">
        <f>HYPERLINK("http://mcb-m6.bioreg.kyushu-u.ac.jp/M3/20110411/F50892/1330/1", 71.52)</f>
        <v>71.52</v>
      </c>
      <c r="E3553" s="2">
        <v>50.22</v>
      </c>
      <c r="F3553" s="2">
        <v>2</v>
      </c>
      <c r="G3553" s="2" t="s">
        <v>9</v>
      </c>
    </row>
    <row r="3554" spans="1:8" x14ac:dyDescent="0.2">
      <c r="A3554" s="2" t="s">
        <v>3343</v>
      </c>
      <c r="B3554" s="2" t="s">
        <v>558</v>
      </c>
      <c r="C3554" s="2">
        <v>729.63509999999997</v>
      </c>
      <c r="D3554" s="2">
        <f>HYPERLINK("http://mcb-m6.bioreg.kyushu-u.ac.jp/M3/20110411/F50904/1984/1", 72.36)</f>
        <v>72.36</v>
      </c>
      <c r="E3554" s="2">
        <v>52.72</v>
      </c>
      <c r="F3554" s="2">
        <v>2</v>
      </c>
      <c r="G3554" s="2" t="s">
        <v>9</v>
      </c>
    </row>
    <row r="3555" spans="1:8" x14ac:dyDescent="0.2">
      <c r="A3555" s="2" t="s">
        <v>3343</v>
      </c>
      <c r="B3555" s="2" t="s">
        <v>943</v>
      </c>
      <c r="C3555" s="2">
        <v>506.90159999999997</v>
      </c>
      <c r="D3555" s="2">
        <f>HYPERLINK("http://mcb-m6.bioreg.kyushu-u.ac.jp/M3/20110411/F50919/736/1", 74.02)</f>
        <v>74.02</v>
      </c>
      <c r="E3555" s="2">
        <v>43.03</v>
      </c>
      <c r="F3555" s="2">
        <v>2</v>
      </c>
      <c r="G3555" s="2" t="s">
        <v>9</v>
      </c>
    </row>
    <row r="3556" spans="1:8" x14ac:dyDescent="0.2">
      <c r="A3556" s="2" t="s">
        <v>3343</v>
      </c>
      <c r="B3556" s="2" t="s">
        <v>325</v>
      </c>
      <c r="C3556" s="2">
        <v>1477.7460000000001</v>
      </c>
      <c r="D3556" s="2">
        <f>HYPERLINK("http://mcb-m6.bioreg.kyushu-u.ac.jp/M3/20110411/F50919/1597/1", 74.15)</f>
        <v>74.150000000000006</v>
      </c>
      <c r="E3556" s="2">
        <v>56.61</v>
      </c>
      <c r="F3556" s="2">
        <v>1</v>
      </c>
      <c r="G3556" s="2" t="s">
        <v>9</v>
      </c>
    </row>
    <row r="3557" spans="1:8" x14ac:dyDescent="0.2">
      <c r="A3557" s="2" t="s">
        <v>3343</v>
      </c>
      <c r="B3557" s="2" t="s">
        <v>1348</v>
      </c>
      <c r="C3557" s="2">
        <v>1132.5730000000001</v>
      </c>
      <c r="D3557" s="2">
        <f>HYPERLINK("http://mcb-m6.bioreg.kyushu-u.ac.jp/M3/20110411/F50919/4348/1", 74.34)</f>
        <v>74.34</v>
      </c>
      <c r="E3557" s="2">
        <v>59.95</v>
      </c>
      <c r="F3557" s="2">
        <v>3</v>
      </c>
      <c r="G3557" s="2" t="s">
        <v>9</v>
      </c>
      <c r="H3557" s="2" t="s">
        <v>4891</v>
      </c>
    </row>
    <row r="3558" spans="1:8" x14ac:dyDescent="0.2">
      <c r="A3558" s="2" t="s">
        <v>3343</v>
      </c>
      <c r="B3558" s="2" t="s">
        <v>558</v>
      </c>
      <c r="C3558" s="2">
        <v>729.43269999999995</v>
      </c>
      <c r="D3558" s="2">
        <f>HYPERLINK("http://mcb-m6.bioreg.kyushu-u.ac.jp/M3/20110411/F50892/2157/1", 74.39)</f>
        <v>74.39</v>
      </c>
      <c r="E3558" s="2">
        <v>58.53</v>
      </c>
      <c r="F3558" s="2">
        <v>2</v>
      </c>
      <c r="G3558" s="2" t="s">
        <v>9</v>
      </c>
    </row>
    <row r="3559" spans="1:8" x14ac:dyDescent="0.2">
      <c r="A3559" s="2" t="s">
        <v>3343</v>
      </c>
      <c r="B3559" s="2" t="s">
        <v>558</v>
      </c>
      <c r="C3559" s="2">
        <v>729.39620000000002</v>
      </c>
      <c r="D3559" s="2">
        <f>HYPERLINK("http://mcb-m6.bioreg.kyushu-u.ac.jp/M3/20110411/F50919/1551/1", 74.79)</f>
        <v>74.790000000000006</v>
      </c>
      <c r="E3559" s="2">
        <v>60.1</v>
      </c>
      <c r="F3559" s="2">
        <v>2</v>
      </c>
      <c r="G3559" s="2" t="s">
        <v>9</v>
      </c>
    </row>
    <row r="3560" spans="1:8" x14ac:dyDescent="0.2">
      <c r="A3560" s="2" t="s">
        <v>3343</v>
      </c>
      <c r="B3560" s="2" t="s">
        <v>558</v>
      </c>
      <c r="C3560" s="2">
        <v>729.5172</v>
      </c>
      <c r="D3560" s="2">
        <f>HYPERLINK("http://mcb-m6.bioreg.kyushu-u.ac.jp/M3/20110411/F50919/1552/1", 76.39)</f>
        <v>76.39</v>
      </c>
      <c r="E3560" s="2">
        <v>59.26</v>
      </c>
      <c r="F3560" s="2">
        <v>2</v>
      </c>
      <c r="G3560" s="2" t="s">
        <v>9</v>
      </c>
    </row>
    <row r="3561" spans="1:8" x14ac:dyDescent="0.2">
      <c r="A3561" s="2" t="s">
        <v>3343</v>
      </c>
      <c r="B3561" s="2" t="s">
        <v>546</v>
      </c>
      <c r="C3561" s="2">
        <v>665.00419999999997</v>
      </c>
      <c r="D3561" s="2">
        <f>HYPERLINK("http://mcb-m6.bioreg.kyushu-u.ac.jp/M3/20110411/F50905/1629/2", 76.46)</f>
        <v>76.459999999999994</v>
      </c>
      <c r="E3561" s="2">
        <v>51.53</v>
      </c>
      <c r="F3561" s="2">
        <v>2</v>
      </c>
      <c r="G3561" s="2" t="s">
        <v>9</v>
      </c>
    </row>
    <row r="3562" spans="1:8" x14ac:dyDescent="0.2">
      <c r="A3562" s="2" t="s">
        <v>3343</v>
      </c>
      <c r="B3562" s="2" t="s">
        <v>546</v>
      </c>
      <c r="C3562" s="2">
        <v>664.85720000000003</v>
      </c>
      <c r="D3562" s="2">
        <f>HYPERLINK("http://mcb-m6.bioreg.kyushu-u.ac.jp/M3/20110411/F50890/1766/2", 77.35)</f>
        <v>77.349999999999994</v>
      </c>
      <c r="E3562" s="2">
        <v>62.57</v>
      </c>
      <c r="F3562" s="2">
        <v>2</v>
      </c>
      <c r="G3562" s="2" t="s">
        <v>9</v>
      </c>
    </row>
    <row r="3563" spans="1:8" x14ac:dyDescent="0.2">
      <c r="A3563" s="2" t="s">
        <v>3343</v>
      </c>
      <c r="B3563" s="2" t="s">
        <v>1002</v>
      </c>
      <c r="C3563" s="2">
        <v>1147.721</v>
      </c>
      <c r="D3563" s="2">
        <f>HYPERLINK("http://mcb-m6.bioreg.kyushu-u.ac.jp/M3/20110411/F50904/3580/1", 77.64)</f>
        <v>77.64</v>
      </c>
      <c r="E3563" s="2">
        <v>62.49</v>
      </c>
      <c r="F3563" s="2">
        <v>2</v>
      </c>
      <c r="G3563" s="2" t="s">
        <v>9</v>
      </c>
    </row>
    <row r="3564" spans="1:8" x14ac:dyDescent="0.2">
      <c r="A3564" s="2" t="s">
        <v>3343</v>
      </c>
      <c r="B3564" s="2" t="s">
        <v>546</v>
      </c>
      <c r="C3564" s="2">
        <v>664.93119999999999</v>
      </c>
      <c r="D3564" s="2">
        <f>HYPERLINK("http://mcb-m6.bioreg.kyushu-u.ac.jp/M3/20110411/F50919/1273/2", 78.06)</f>
        <v>78.06</v>
      </c>
      <c r="E3564" s="2">
        <v>55.58</v>
      </c>
      <c r="F3564" s="2">
        <v>2</v>
      </c>
      <c r="G3564" s="2" t="s">
        <v>9</v>
      </c>
    </row>
    <row r="3565" spans="1:8" x14ac:dyDescent="0.2">
      <c r="A3565" s="2" t="s">
        <v>3343</v>
      </c>
      <c r="B3565" s="2" t="s">
        <v>1348</v>
      </c>
      <c r="C3565" s="2">
        <v>1137.6389999999999</v>
      </c>
      <c r="D3565" s="2">
        <f>HYPERLINK("http://mcb-m6.bioreg.kyushu-u.ac.jp/M3/20110411/F50919/4359/1", 78.36)</f>
        <v>78.36</v>
      </c>
      <c r="E3565" s="2">
        <v>64.930000000000007</v>
      </c>
      <c r="F3565" s="2">
        <v>3</v>
      </c>
      <c r="G3565" s="2" t="s">
        <v>9</v>
      </c>
      <c r="H3565" s="2" t="s">
        <v>4936</v>
      </c>
    </row>
    <row r="3566" spans="1:8" x14ac:dyDescent="0.2">
      <c r="A3566" s="2" t="s">
        <v>3343</v>
      </c>
      <c r="B3566" s="2" t="s">
        <v>546</v>
      </c>
      <c r="C3566" s="2">
        <v>664.84220000000005</v>
      </c>
      <c r="D3566" s="2">
        <f>HYPERLINK("http://mcb-m6.bioreg.kyushu-u.ac.jp/M3/20110411/F50892/1848/2", 78.67)</f>
        <v>78.67</v>
      </c>
      <c r="E3566" s="2">
        <v>54.06</v>
      </c>
      <c r="F3566" s="2">
        <v>2</v>
      </c>
      <c r="G3566" s="2" t="s">
        <v>9</v>
      </c>
    </row>
    <row r="3567" spans="1:8" x14ac:dyDescent="0.2">
      <c r="A3567" s="2" t="s">
        <v>3343</v>
      </c>
      <c r="B3567" s="2" t="s">
        <v>1189</v>
      </c>
      <c r="C3567" s="2">
        <v>1069.9770000000001</v>
      </c>
      <c r="D3567" s="2">
        <f>HYPERLINK("http://mcb-m6.bioreg.kyushu-u.ac.jp/M3/20110411/F50891/3647/1", 79.69)</f>
        <v>79.69</v>
      </c>
      <c r="E3567" s="2">
        <v>70.19</v>
      </c>
      <c r="F3567" s="2">
        <v>2</v>
      </c>
      <c r="G3567" s="2" t="s">
        <v>9</v>
      </c>
    </row>
    <row r="3568" spans="1:8" x14ac:dyDescent="0.2">
      <c r="A3568" s="2" t="s">
        <v>3343</v>
      </c>
      <c r="B3568" s="2" t="s">
        <v>344</v>
      </c>
      <c r="C3568" s="2">
        <v>919.37369999999999</v>
      </c>
      <c r="D3568" s="2">
        <f>HYPERLINK("http://mcb-m6.bioreg.kyushu-u.ac.jp/M3/20110411/F50890/3053/1", 81.27)</f>
        <v>81.27</v>
      </c>
      <c r="E3568" s="2">
        <v>52.51</v>
      </c>
      <c r="F3568" s="2">
        <v>2</v>
      </c>
      <c r="G3568" s="2" t="s">
        <v>9</v>
      </c>
    </row>
    <row r="3569" spans="1:8" x14ac:dyDescent="0.2">
      <c r="A3569" s="2" t="s">
        <v>3343</v>
      </c>
      <c r="B3569" s="2" t="s">
        <v>344</v>
      </c>
      <c r="C3569" s="2">
        <v>919.91020000000003</v>
      </c>
      <c r="D3569" s="2">
        <f>HYPERLINK("http://mcb-m6.bioreg.kyushu-u.ac.jp/M3/20110411/F50903/2826/1", 81.8)</f>
        <v>81.8</v>
      </c>
      <c r="E3569" s="2">
        <v>53.8</v>
      </c>
      <c r="F3569" s="2">
        <v>2</v>
      </c>
      <c r="G3569" s="2" t="s">
        <v>9</v>
      </c>
    </row>
    <row r="3570" spans="1:8" x14ac:dyDescent="0.2">
      <c r="A3570" s="2" t="s">
        <v>3343</v>
      </c>
      <c r="B3570" s="2" t="s">
        <v>344</v>
      </c>
      <c r="C3570" s="2">
        <v>919.56709999999998</v>
      </c>
      <c r="D3570" s="2">
        <f>HYPERLINK("http://mcb-m6.bioreg.kyushu-u.ac.jp/M3/20110411/F50919/2580/1", 83.01)</f>
        <v>83.01</v>
      </c>
      <c r="E3570" s="2">
        <v>61.4</v>
      </c>
      <c r="F3570" s="2">
        <v>2</v>
      </c>
      <c r="G3570" s="2" t="s">
        <v>9</v>
      </c>
    </row>
    <row r="3571" spans="1:8" x14ac:dyDescent="0.2">
      <c r="A3571" s="2" t="s">
        <v>3343</v>
      </c>
      <c r="B3571" s="2" t="s">
        <v>344</v>
      </c>
      <c r="C3571" s="2">
        <v>919.45069999999998</v>
      </c>
      <c r="D3571" s="2">
        <f>HYPERLINK("http://mcb-m6.bioreg.kyushu-u.ac.jp/M3/20110411/F50892/2907/1", 84.91)</f>
        <v>84.91</v>
      </c>
      <c r="E3571" s="2">
        <v>59.08</v>
      </c>
      <c r="F3571" s="2">
        <v>2</v>
      </c>
      <c r="G3571" s="2" t="s">
        <v>9</v>
      </c>
    </row>
    <row r="3572" spans="1:8" x14ac:dyDescent="0.2">
      <c r="A3572" s="2" t="s">
        <v>3343</v>
      </c>
      <c r="B3572" s="2" t="s">
        <v>1496</v>
      </c>
      <c r="C3572" s="2">
        <v>967.09270000000004</v>
      </c>
      <c r="D3572" s="2">
        <f>HYPERLINK("http://mcb-m6.bioreg.kyushu-u.ac.jp/M3/20110411/F50919/2811/1", 86.33)</f>
        <v>86.33</v>
      </c>
      <c r="E3572" s="2">
        <v>66.760000000000005</v>
      </c>
      <c r="F3572" s="2">
        <v>2</v>
      </c>
      <c r="G3572" s="2" t="s">
        <v>9</v>
      </c>
    </row>
    <row r="3573" spans="1:8" x14ac:dyDescent="0.2">
      <c r="A3573" s="2" t="s">
        <v>3343</v>
      </c>
      <c r="B3573" s="2" t="s">
        <v>1002</v>
      </c>
      <c r="C3573" s="2">
        <v>1147.615</v>
      </c>
      <c r="D3573" s="2">
        <f>HYPERLINK("http://mcb-m6.bioreg.kyushu-u.ac.jp/M3/20110411/F50919/3356/1", 87.41)</f>
        <v>87.41</v>
      </c>
      <c r="E3573" s="2">
        <v>78.11</v>
      </c>
      <c r="F3573" s="2">
        <v>2</v>
      </c>
      <c r="G3573" s="2" t="s">
        <v>9</v>
      </c>
    </row>
    <row r="3574" spans="1:8" x14ac:dyDescent="0.2">
      <c r="A3574" s="2" t="s">
        <v>3343</v>
      </c>
      <c r="B3574" s="2" t="s">
        <v>1002</v>
      </c>
      <c r="C3574" s="2">
        <v>1147.3589999999999</v>
      </c>
      <c r="D3574" s="2">
        <f>HYPERLINK("http://mcb-m6.bioreg.kyushu-u.ac.jp/M3/20110411/F50890/3726/1", 88.72)</f>
        <v>88.72</v>
      </c>
      <c r="E3574" s="2">
        <v>80.97</v>
      </c>
      <c r="F3574" s="2">
        <v>2</v>
      </c>
      <c r="G3574" s="2" t="s">
        <v>9</v>
      </c>
    </row>
    <row r="3575" spans="1:8" x14ac:dyDescent="0.2">
      <c r="A3575" s="2" t="s">
        <v>3343</v>
      </c>
      <c r="B3575" s="2" t="s">
        <v>1211</v>
      </c>
      <c r="C3575" s="2">
        <v>1161.508</v>
      </c>
      <c r="D3575" s="2">
        <f>HYPERLINK("http://mcb-m6.bioreg.kyushu-u.ac.jp/M3/20110411/F50919/3414/1", 91.53)</f>
        <v>91.53</v>
      </c>
      <c r="E3575" s="2">
        <v>66.02</v>
      </c>
      <c r="F3575" s="2">
        <v>2</v>
      </c>
      <c r="G3575" s="2" t="s">
        <v>9</v>
      </c>
      <c r="H3575" s="2" t="s">
        <v>4891</v>
      </c>
    </row>
    <row r="3576" spans="1:8" x14ac:dyDescent="0.2">
      <c r="A3576" s="2" t="s">
        <v>3343</v>
      </c>
      <c r="B3576" s="2" t="s">
        <v>1032</v>
      </c>
      <c r="C3576" s="2">
        <v>1164.1690000000001</v>
      </c>
      <c r="D3576" s="2">
        <f>HYPERLINK("http://mcb-m6.bioreg.kyushu-u.ac.jp/M3/20110411/F50919/3435/1", 92.56)</f>
        <v>92.56</v>
      </c>
      <c r="E3576" s="2">
        <v>82.02</v>
      </c>
      <c r="F3576" s="2">
        <v>2</v>
      </c>
      <c r="G3576" s="2" t="s">
        <v>9</v>
      </c>
    </row>
    <row r="3577" spans="1:8" x14ac:dyDescent="0.2">
      <c r="A3577" s="2" t="s">
        <v>3343</v>
      </c>
      <c r="B3577" s="2" t="s">
        <v>1032</v>
      </c>
      <c r="C3577" s="2">
        <v>1164.0340000000001</v>
      </c>
      <c r="D3577" s="2">
        <f>HYPERLINK("http://mcb-m6.bioreg.kyushu-u.ac.jp/M3/20110411/F50919/3431/1", 93.49)</f>
        <v>93.49</v>
      </c>
      <c r="E3577" s="2">
        <v>87.32</v>
      </c>
      <c r="F3577" s="2">
        <v>2</v>
      </c>
      <c r="G3577" s="2" t="s">
        <v>9</v>
      </c>
    </row>
    <row r="3578" spans="1:8" x14ac:dyDescent="0.2">
      <c r="A3578" s="2" t="s">
        <v>3343</v>
      </c>
      <c r="B3578" s="2" t="s">
        <v>1189</v>
      </c>
      <c r="C3578" s="2">
        <v>1069.5920000000001</v>
      </c>
      <c r="D3578" s="2">
        <f>HYPERLINK("http://mcb-m6.bioreg.kyushu-u.ac.jp/M3/20110411/F50919/3122/1", 94.18)</f>
        <v>94.18</v>
      </c>
      <c r="E3578" s="2">
        <v>82.71</v>
      </c>
      <c r="F3578" s="2">
        <v>2</v>
      </c>
      <c r="G3578" s="2" t="s">
        <v>9</v>
      </c>
    </row>
    <row r="3579" spans="1:8" x14ac:dyDescent="0.2">
      <c r="A3579" s="2" t="s">
        <v>3343</v>
      </c>
      <c r="B3579" s="2" t="s">
        <v>344</v>
      </c>
      <c r="C3579" s="2">
        <v>1838.3389999999999</v>
      </c>
      <c r="D3579" s="2">
        <f>HYPERLINK("http://mcb-m6.bioreg.kyushu-u.ac.jp/M3/20110411/F50919/2582/1", 94.61)</f>
        <v>94.61</v>
      </c>
      <c r="E3579" s="2">
        <v>81.84</v>
      </c>
      <c r="F3579" s="2">
        <v>1</v>
      </c>
      <c r="G3579" s="2" t="s">
        <v>9</v>
      </c>
    </row>
    <row r="3580" spans="1:8" x14ac:dyDescent="0.2">
      <c r="A3580" s="2" t="s">
        <v>3343</v>
      </c>
      <c r="B3580" s="2" t="s">
        <v>344</v>
      </c>
      <c r="C3580" s="2">
        <v>919.49869999999999</v>
      </c>
      <c r="D3580" s="2">
        <f>HYPERLINK("http://mcb-m6.bioreg.kyushu-u.ac.jp/M3/20110411/F50889/2736/1", 102.12)</f>
        <v>102.12</v>
      </c>
      <c r="E3580" s="2">
        <v>73.569999999999993</v>
      </c>
      <c r="F3580" s="2">
        <v>2</v>
      </c>
      <c r="G3580" s="2" t="s">
        <v>9</v>
      </c>
    </row>
    <row r="3581" spans="1:8" x14ac:dyDescent="0.2">
      <c r="A3581" s="2" t="s">
        <v>3343</v>
      </c>
      <c r="B3581" s="2" t="s">
        <v>1211</v>
      </c>
      <c r="C3581" s="2">
        <v>1161.0029999999999</v>
      </c>
      <c r="D3581" s="2">
        <f>HYPERLINK("http://mcb-m6.bioreg.kyushu-u.ac.jp/M3/20110411/F50919/3409/1", 102.5)</f>
        <v>102.5</v>
      </c>
      <c r="E3581" s="2">
        <v>84.16</v>
      </c>
      <c r="F3581" s="2">
        <v>2</v>
      </c>
      <c r="G3581" s="2" t="s">
        <v>9</v>
      </c>
      <c r="H3581" s="2" t="s">
        <v>4891</v>
      </c>
    </row>
    <row r="3582" spans="1:8" x14ac:dyDescent="0.2">
      <c r="A3582" s="2" t="s">
        <v>3343</v>
      </c>
      <c r="B3582" s="2" t="s">
        <v>1032</v>
      </c>
      <c r="C3582" s="2">
        <v>1163.941</v>
      </c>
      <c r="D3582" s="2">
        <f>HYPERLINK("http://mcb-m6.bioreg.kyushu-u.ac.jp/M3/20110411/F50890/3771/1", 102.84)</f>
        <v>102.84</v>
      </c>
      <c r="E3582" s="2">
        <v>93.26</v>
      </c>
      <c r="F3582" s="2">
        <v>2</v>
      </c>
      <c r="G3582" s="2" t="s">
        <v>9</v>
      </c>
    </row>
    <row r="3583" spans="1:8" x14ac:dyDescent="0.2">
      <c r="A3583" s="2" t="s">
        <v>3343</v>
      </c>
      <c r="B3583" s="2" t="s">
        <v>325</v>
      </c>
      <c r="C3583" s="2">
        <v>739.3202</v>
      </c>
      <c r="D3583" s="2">
        <f>HYPERLINK("http://mcb-m6.bioreg.kyushu-u.ac.jp/M3/20110411/F50919/1594/1", 102.99)</f>
        <v>102.99</v>
      </c>
      <c r="E3583" s="2">
        <v>93.37</v>
      </c>
      <c r="F3583" s="2">
        <v>2</v>
      </c>
      <c r="G3583" s="2" t="s">
        <v>9</v>
      </c>
    </row>
    <row r="3584" spans="1:8" x14ac:dyDescent="0.2">
      <c r="A3584" s="2" t="s">
        <v>3343</v>
      </c>
      <c r="B3584" s="2" t="s">
        <v>1002</v>
      </c>
      <c r="C3584" s="2">
        <v>1147.5129999999999</v>
      </c>
      <c r="D3584" s="2">
        <f>HYPERLINK("http://mcb-m6.bioreg.kyushu-u.ac.jp/M3/20110411/F50892/3491/1", 107.05)</f>
        <v>107.05</v>
      </c>
      <c r="E3584" s="2">
        <v>93.52</v>
      </c>
      <c r="F3584" s="2">
        <v>2</v>
      </c>
      <c r="G3584" s="2" t="s">
        <v>9</v>
      </c>
    </row>
    <row r="3585" spans="1:7" x14ac:dyDescent="0.2">
      <c r="A3585" s="2" t="s">
        <v>3343</v>
      </c>
      <c r="B3585" s="2" t="s">
        <v>1211</v>
      </c>
      <c r="C3585" s="2">
        <v>1153.4670000000001</v>
      </c>
      <c r="D3585" s="2">
        <f>HYPERLINK("http://mcb-m6.bioreg.kyushu-u.ac.jp/M3/20110411/F50919/3387/1", 112.73)</f>
        <v>112.73</v>
      </c>
      <c r="E3585" s="2">
        <v>96.01</v>
      </c>
      <c r="F3585" s="2">
        <v>2</v>
      </c>
      <c r="G3585" s="2" t="s">
        <v>9</v>
      </c>
    </row>
    <row r="3586" spans="1:7" x14ac:dyDescent="0.2">
      <c r="A3586" s="2" t="s">
        <v>3343</v>
      </c>
      <c r="B3586" s="2" t="s">
        <v>428</v>
      </c>
      <c r="C3586" s="2">
        <v>902.62400000000002</v>
      </c>
      <c r="D3586" s="2">
        <f>HYPERLINK("http://mcb-m6.bioreg.kyushu-u.ac.jp/M3/20110411/F50921/620/1", 35.31)</f>
        <v>35.31</v>
      </c>
      <c r="E3586" s="2">
        <v>14.4</v>
      </c>
      <c r="F3586" s="2">
        <v>1</v>
      </c>
      <c r="G3586" s="2" t="s">
        <v>10</v>
      </c>
    </row>
    <row r="3587" spans="1:7" x14ac:dyDescent="0.2">
      <c r="A3587" s="2" t="s">
        <v>3343</v>
      </c>
      <c r="B3587" s="2" t="s">
        <v>704</v>
      </c>
      <c r="C3587" s="2">
        <v>1204.634</v>
      </c>
      <c r="D3587" s="2">
        <f>HYPERLINK("http://mcb-m6.bioreg.kyushu-u.ac.jp/M3/20110411/F50921/1214/1", 35.47)</f>
        <v>35.47</v>
      </c>
      <c r="E3587" s="2">
        <v>14.45</v>
      </c>
      <c r="F3587" s="2">
        <v>1</v>
      </c>
      <c r="G3587" s="2" t="s">
        <v>10</v>
      </c>
    </row>
    <row r="3588" spans="1:7" x14ac:dyDescent="0.2">
      <c r="A3588" s="2" t="s">
        <v>3343</v>
      </c>
      <c r="B3588" s="2" t="s">
        <v>132</v>
      </c>
      <c r="C3588" s="2">
        <v>578.84059999999999</v>
      </c>
      <c r="D3588" s="2">
        <f>HYPERLINK("http://mcb-m6.bioreg.kyushu-u.ac.jp/M3/20110411/F50921/1088/1", 35.59)</f>
        <v>35.590000000000003</v>
      </c>
      <c r="E3588" s="2">
        <v>18.48</v>
      </c>
      <c r="F3588" s="2">
        <v>2</v>
      </c>
      <c r="G3588" s="2" t="s">
        <v>10</v>
      </c>
    </row>
    <row r="3589" spans="1:7" x14ac:dyDescent="0.2">
      <c r="A3589" s="2" t="s">
        <v>3343</v>
      </c>
      <c r="B3589" s="2" t="s">
        <v>546</v>
      </c>
      <c r="C3589" s="2">
        <v>664.64419999999996</v>
      </c>
      <c r="D3589" s="2">
        <f>HYPERLINK("http://mcb-m6.bioreg.kyushu-u.ac.jp/M3/20110411/F50921/1446/2", 35.69)</f>
        <v>35.69</v>
      </c>
      <c r="E3589" s="2">
        <v>24.58</v>
      </c>
      <c r="F3589" s="2">
        <v>2</v>
      </c>
      <c r="G3589" s="2" t="s">
        <v>10</v>
      </c>
    </row>
    <row r="3590" spans="1:7" x14ac:dyDescent="0.2">
      <c r="A3590" s="2" t="s">
        <v>3343</v>
      </c>
      <c r="B3590" s="2" t="s">
        <v>546</v>
      </c>
      <c r="C3590" s="2">
        <v>1328.6479999999999</v>
      </c>
      <c r="D3590" s="2">
        <f>HYPERLINK("http://mcb-m6.bioreg.kyushu-u.ac.jp/M3/20110411/F50921/1450/2", 35.81)</f>
        <v>35.81</v>
      </c>
      <c r="E3590" s="2">
        <v>28.28</v>
      </c>
      <c r="F3590" s="2">
        <v>1</v>
      </c>
      <c r="G3590" s="2" t="s">
        <v>10</v>
      </c>
    </row>
    <row r="3591" spans="1:7" x14ac:dyDescent="0.2">
      <c r="A3591" s="2" t="s">
        <v>3343</v>
      </c>
      <c r="B3591" s="2" t="s">
        <v>1211</v>
      </c>
      <c r="C3591" s="2">
        <v>769.21010000000001</v>
      </c>
      <c r="D3591" s="2">
        <f>HYPERLINK("http://mcb-m6.bioreg.kyushu-u.ac.jp/M3/20110411/F50920/3238/1", 35.83)</f>
        <v>35.83</v>
      </c>
      <c r="E3591" s="2">
        <v>14.41</v>
      </c>
      <c r="F3591" s="2">
        <v>3</v>
      </c>
      <c r="G3591" s="2" t="s">
        <v>10</v>
      </c>
    </row>
    <row r="3592" spans="1:7" x14ac:dyDescent="0.2">
      <c r="A3592" s="2" t="s">
        <v>3343</v>
      </c>
      <c r="B3592" s="2" t="s">
        <v>546</v>
      </c>
      <c r="C3592" s="2">
        <v>665.24069999999995</v>
      </c>
      <c r="D3592" s="2">
        <f>HYPERLINK("http://mcb-m6.bioreg.kyushu-u.ac.jp/M3/20110411/F50901/1711/2", 35.9)</f>
        <v>35.9</v>
      </c>
      <c r="E3592" s="2">
        <v>22.99</v>
      </c>
      <c r="F3592" s="2">
        <v>2</v>
      </c>
      <c r="G3592" s="2" t="s">
        <v>10</v>
      </c>
    </row>
    <row r="3593" spans="1:7" x14ac:dyDescent="0.2">
      <c r="A3593" s="2" t="s">
        <v>3343</v>
      </c>
      <c r="B3593" s="2" t="s">
        <v>1002</v>
      </c>
      <c r="C3593" s="2">
        <v>1147.57</v>
      </c>
      <c r="D3593" s="2">
        <f>HYPERLINK("http://mcb-m6.bioreg.kyushu-u.ac.jp/M3/20110411/F50921/3354/1", 36.6)</f>
        <v>36.6</v>
      </c>
      <c r="E3593" s="2">
        <v>25.07</v>
      </c>
      <c r="F3593" s="2">
        <v>2</v>
      </c>
      <c r="G3593" s="2" t="s">
        <v>10</v>
      </c>
    </row>
    <row r="3594" spans="1:7" x14ac:dyDescent="0.2">
      <c r="A3594" s="2" t="s">
        <v>3343</v>
      </c>
      <c r="B3594" s="2" t="s">
        <v>1032</v>
      </c>
      <c r="C3594" s="2">
        <v>1163.586</v>
      </c>
      <c r="D3594" s="2">
        <f>HYPERLINK("http://mcb-m6.bioreg.kyushu-u.ac.jp/M3/20110411/F50912/3597/1", 36.91)</f>
        <v>36.909999999999997</v>
      </c>
      <c r="E3594" s="2">
        <v>19.38</v>
      </c>
      <c r="F3594" s="2">
        <v>2</v>
      </c>
      <c r="G3594" s="2" t="s">
        <v>10</v>
      </c>
    </row>
    <row r="3595" spans="1:7" x14ac:dyDescent="0.2">
      <c r="A3595" s="2" t="s">
        <v>3343</v>
      </c>
      <c r="B3595" s="2" t="s">
        <v>132</v>
      </c>
      <c r="C3595" s="2">
        <v>1156.729</v>
      </c>
      <c r="D3595" s="2">
        <f>HYPERLINK("http://mcb-m6.bioreg.kyushu-u.ac.jp/M3/20110411/F50920/916/1", 37.37)</f>
        <v>37.369999999999997</v>
      </c>
      <c r="E3595" s="2">
        <v>19.170000000000002</v>
      </c>
      <c r="F3595" s="2">
        <v>1</v>
      </c>
      <c r="G3595" s="2" t="s">
        <v>10</v>
      </c>
    </row>
    <row r="3596" spans="1:7" x14ac:dyDescent="0.2">
      <c r="A3596" s="2" t="s">
        <v>3343</v>
      </c>
      <c r="B3596" s="2" t="s">
        <v>132</v>
      </c>
      <c r="C3596" s="2">
        <v>1155.8989999999999</v>
      </c>
      <c r="D3596" s="2">
        <f>HYPERLINK("http://mcb-m6.bioreg.kyushu-u.ac.jp/M3/20110411/F50912/1337/1", 38.03)</f>
        <v>38.03</v>
      </c>
      <c r="E3596" s="2">
        <v>10.39</v>
      </c>
      <c r="F3596" s="2">
        <v>1</v>
      </c>
      <c r="G3596" s="2" t="s">
        <v>10</v>
      </c>
    </row>
    <row r="3597" spans="1:7" x14ac:dyDescent="0.2">
      <c r="A3597" s="2" t="s">
        <v>3343</v>
      </c>
      <c r="B3597" s="2" t="s">
        <v>558</v>
      </c>
      <c r="C3597" s="2">
        <v>729.83169999999996</v>
      </c>
      <c r="D3597" s="2">
        <f>HYPERLINK("http://mcb-m6.bioreg.kyushu-u.ac.jp/M3/20110411/F50921/1773/1", 38.26)</f>
        <v>38.26</v>
      </c>
      <c r="E3597" s="2">
        <v>19.32</v>
      </c>
      <c r="F3597" s="2">
        <v>2</v>
      </c>
      <c r="G3597" s="2" t="s">
        <v>10</v>
      </c>
    </row>
    <row r="3598" spans="1:7" x14ac:dyDescent="0.2">
      <c r="A3598" s="2" t="s">
        <v>3343</v>
      </c>
      <c r="B3598" s="2" t="s">
        <v>132</v>
      </c>
      <c r="C3598" s="2">
        <v>1155.8330000000001</v>
      </c>
      <c r="D3598" s="2">
        <f>HYPERLINK("http://mcb-m6.bioreg.kyushu-u.ac.jp/M3/20110411/F50902/1359/1", 38.41)</f>
        <v>38.409999999999997</v>
      </c>
      <c r="E3598" s="2">
        <v>14.82</v>
      </c>
      <c r="F3598" s="2">
        <v>1</v>
      </c>
      <c r="G3598" s="2" t="s">
        <v>10</v>
      </c>
    </row>
    <row r="3599" spans="1:7" x14ac:dyDescent="0.2">
      <c r="A3599" s="2" t="s">
        <v>3343</v>
      </c>
      <c r="B3599" s="2" t="s">
        <v>509</v>
      </c>
      <c r="C3599" s="2">
        <v>717.41719999999998</v>
      </c>
      <c r="D3599" s="2">
        <f>HYPERLINK("http://mcb-m6.bioreg.kyushu-u.ac.jp/M3/20110411/F50921/1710/1", 38.64)</f>
        <v>38.64</v>
      </c>
      <c r="E3599" s="2">
        <v>22.62</v>
      </c>
      <c r="F3599" s="2">
        <v>2</v>
      </c>
      <c r="G3599" s="2" t="s">
        <v>10</v>
      </c>
    </row>
    <row r="3600" spans="1:7" x14ac:dyDescent="0.2">
      <c r="A3600" s="2" t="s">
        <v>3343</v>
      </c>
      <c r="B3600" s="2" t="s">
        <v>297</v>
      </c>
      <c r="C3600" s="2">
        <v>1186.5139999999999</v>
      </c>
      <c r="D3600" s="2">
        <f>HYPERLINK("http://mcb-m6.bioreg.kyushu-u.ac.jp/M3/20110411/F50921/1157/1", 39.75)</f>
        <v>39.75</v>
      </c>
      <c r="E3600" s="2">
        <v>27.66</v>
      </c>
      <c r="F3600" s="2">
        <v>1</v>
      </c>
      <c r="G3600" s="2" t="s">
        <v>10</v>
      </c>
    </row>
    <row r="3601" spans="1:8" x14ac:dyDescent="0.2">
      <c r="A3601" s="2" t="s">
        <v>3343</v>
      </c>
      <c r="B3601" s="2" t="s">
        <v>546</v>
      </c>
      <c r="C3601" s="2">
        <v>664.80409999999995</v>
      </c>
      <c r="D3601" s="2">
        <f>HYPERLINK("http://mcb-m6.bioreg.kyushu-u.ac.jp/M3/20110411/F50921/1448/2", 39.82)</f>
        <v>39.82</v>
      </c>
      <c r="E3601" s="2">
        <v>25.79</v>
      </c>
      <c r="F3601" s="2">
        <v>2</v>
      </c>
      <c r="G3601" s="2" t="s">
        <v>10</v>
      </c>
    </row>
    <row r="3602" spans="1:8" x14ac:dyDescent="0.2">
      <c r="A3602" s="2" t="s">
        <v>3343</v>
      </c>
      <c r="B3602" s="2" t="s">
        <v>1002</v>
      </c>
      <c r="C3602" s="2">
        <v>765.58050000000003</v>
      </c>
      <c r="D3602" s="2">
        <f>HYPERLINK("http://mcb-m6.bioreg.kyushu-u.ac.jp/M3/20110411/F50917/3807/1", 39.97)</f>
        <v>39.97</v>
      </c>
      <c r="E3602" s="2">
        <v>26.44</v>
      </c>
      <c r="F3602" s="2">
        <v>3</v>
      </c>
      <c r="G3602" s="2" t="s">
        <v>10</v>
      </c>
    </row>
    <row r="3603" spans="1:8" x14ac:dyDescent="0.2">
      <c r="A3603" s="2" t="s">
        <v>3343</v>
      </c>
      <c r="B3603" s="2" t="s">
        <v>704</v>
      </c>
      <c r="C3603" s="2">
        <v>1204.758</v>
      </c>
      <c r="D3603" s="2">
        <f>HYPERLINK("http://mcb-m6.bioreg.kyushu-u.ac.jp/M3/20110411/F50913/1421/1", 40.02)</f>
        <v>40.020000000000003</v>
      </c>
      <c r="E3603" s="2">
        <v>8.93</v>
      </c>
      <c r="F3603" s="2">
        <v>1</v>
      </c>
      <c r="G3603" s="2" t="s">
        <v>10</v>
      </c>
    </row>
    <row r="3604" spans="1:8" x14ac:dyDescent="0.2">
      <c r="A3604" s="2" t="s">
        <v>3343</v>
      </c>
      <c r="B3604" s="2" t="s">
        <v>210</v>
      </c>
      <c r="C3604" s="2">
        <v>1092.5809999999999</v>
      </c>
      <c r="D3604" s="2">
        <f>HYPERLINK("http://mcb-m6.bioreg.kyushu-u.ac.jp/M3/20110411/F50914/1236/1", 40.06)</f>
        <v>40.06</v>
      </c>
      <c r="E3604" s="2">
        <v>19.62</v>
      </c>
      <c r="F3604" s="2">
        <v>1</v>
      </c>
      <c r="G3604" s="2" t="s">
        <v>10</v>
      </c>
    </row>
    <row r="3605" spans="1:8" x14ac:dyDescent="0.2">
      <c r="A3605" s="2" t="s">
        <v>3343</v>
      </c>
      <c r="B3605" s="2" t="s">
        <v>132</v>
      </c>
      <c r="C3605" s="2">
        <v>1155.681</v>
      </c>
      <c r="D3605" s="2">
        <f>HYPERLINK("http://mcb-m6.bioreg.kyushu-u.ac.jp/M3/20110411/F50921/1080/1", 40.35)</f>
        <v>40.35</v>
      </c>
      <c r="E3605" s="2">
        <v>10.92</v>
      </c>
      <c r="F3605" s="2">
        <v>1</v>
      </c>
      <c r="G3605" s="2" t="s">
        <v>10</v>
      </c>
    </row>
    <row r="3606" spans="1:8" x14ac:dyDescent="0.2">
      <c r="A3606" s="2" t="s">
        <v>3343</v>
      </c>
      <c r="B3606" s="2" t="s">
        <v>297</v>
      </c>
      <c r="C3606" s="2">
        <v>1187.472</v>
      </c>
      <c r="D3606" s="2">
        <f>HYPERLINK("http://mcb-m6.bioreg.kyushu-u.ac.jp/M3/20110411/F50921/1160/1", 40.35)</f>
        <v>40.35</v>
      </c>
      <c r="E3606" s="2">
        <v>23.69</v>
      </c>
      <c r="F3606" s="2">
        <v>1</v>
      </c>
      <c r="G3606" s="2" t="s">
        <v>10</v>
      </c>
    </row>
    <row r="3607" spans="1:8" x14ac:dyDescent="0.2">
      <c r="A3607" s="2" t="s">
        <v>3343</v>
      </c>
      <c r="B3607" s="2" t="s">
        <v>509</v>
      </c>
      <c r="C3607" s="2">
        <v>1434.759</v>
      </c>
      <c r="D3607" s="2">
        <f>HYPERLINK("http://mcb-m6.bioreg.kyushu-u.ac.jp/M3/20110411/F50921/1719/1", 41.62)</f>
        <v>41.62</v>
      </c>
      <c r="E3607" s="2">
        <v>27.08</v>
      </c>
      <c r="F3607" s="2">
        <v>1</v>
      </c>
      <c r="G3607" s="2" t="s">
        <v>10</v>
      </c>
    </row>
    <row r="3608" spans="1:8" x14ac:dyDescent="0.2">
      <c r="A3608" s="2" t="s">
        <v>3343</v>
      </c>
      <c r="B3608" s="2" t="s">
        <v>428</v>
      </c>
      <c r="C3608" s="2">
        <v>451.98259999999999</v>
      </c>
      <c r="D3608" s="2">
        <f>HYPERLINK("http://mcb-m6.bioreg.kyushu-u.ac.jp/M3/20110411/F50917/610/1", 42.22)</f>
        <v>42.22</v>
      </c>
      <c r="E3608" s="2">
        <v>16.61</v>
      </c>
      <c r="F3608" s="2">
        <v>2</v>
      </c>
      <c r="G3608" s="2" t="s">
        <v>10</v>
      </c>
    </row>
    <row r="3609" spans="1:8" x14ac:dyDescent="0.2">
      <c r="A3609" s="2" t="s">
        <v>3343</v>
      </c>
      <c r="B3609" s="2" t="s">
        <v>344</v>
      </c>
      <c r="C3609" s="2">
        <v>919.27869999999996</v>
      </c>
      <c r="D3609" s="2">
        <f>HYPERLINK("http://mcb-m6.bioreg.kyushu-u.ac.jp/M3/20110411/F50921/2611/1", 42.44)</f>
        <v>42.44</v>
      </c>
      <c r="E3609" s="2">
        <v>25.81</v>
      </c>
      <c r="F3609" s="2">
        <v>2</v>
      </c>
      <c r="G3609" s="2" t="s">
        <v>10</v>
      </c>
    </row>
    <row r="3610" spans="1:8" x14ac:dyDescent="0.2">
      <c r="A3610" s="2" t="s">
        <v>3343</v>
      </c>
      <c r="B3610" s="2" t="s">
        <v>210</v>
      </c>
      <c r="C3610" s="2">
        <v>1092.5630000000001</v>
      </c>
      <c r="D3610" s="2">
        <f>HYPERLINK("http://mcb-m6.bioreg.kyushu-u.ac.jp/M3/20110411/F50921/998/1", 42.51)</f>
        <v>42.51</v>
      </c>
      <c r="E3610" s="2">
        <v>13.55</v>
      </c>
      <c r="F3610" s="2">
        <v>1</v>
      </c>
      <c r="G3610" s="2" t="s">
        <v>10</v>
      </c>
    </row>
    <row r="3611" spans="1:8" x14ac:dyDescent="0.2">
      <c r="A3611" s="2" t="s">
        <v>3343</v>
      </c>
      <c r="B3611" s="2" t="s">
        <v>509</v>
      </c>
      <c r="C3611" s="2">
        <v>1449.731</v>
      </c>
      <c r="D3611" s="2">
        <f>HYPERLINK("http://mcb-m6.bioreg.kyushu-u.ac.jp/M3/20110411/F50921/1756/1", 42.74)</f>
        <v>42.74</v>
      </c>
      <c r="E3611" s="2">
        <v>27.19</v>
      </c>
      <c r="F3611" s="2">
        <v>1</v>
      </c>
      <c r="G3611" s="2" t="s">
        <v>10</v>
      </c>
      <c r="H3611" s="2" t="s">
        <v>4927</v>
      </c>
    </row>
    <row r="3612" spans="1:8" x14ac:dyDescent="0.2">
      <c r="A3612" s="2" t="s">
        <v>3343</v>
      </c>
      <c r="B3612" s="2" t="s">
        <v>132</v>
      </c>
      <c r="C3612" s="2">
        <v>578.41859999999997</v>
      </c>
      <c r="D3612" s="2">
        <f>HYPERLINK("http://mcb-m6.bioreg.kyushu-u.ac.jp/M3/20110411/F50921/1084/1", 43.06)</f>
        <v>43.06</v>
      </c>
      <c r="E3612" s="2">
        <v>22.62</v>
      </c>
      <c r="F3612" s="2">
        <v>2</v>
      </c>
      <c r="G3612" s="2" t="s">
        <v>10</v>
      </c>
    </row>
    <row r="3613" spans="1:8" x14ac:dyDescent="0.2">
      <c r="A3613" s="2" t="s">
        <v>3343</v>
      </c>
      <c r="B3613" s="2" t="s">
        <v>325</v>
      </c>
      <c r="C3613" s="2">
        <v>739.36519999999996</v>
      </c>
      <c r="D3613" s="2">
        <f>HYPERLINK("http://mcb-m6.bioreg.kyushu-u.ac.jp/M3/20110411/F50913/2006/1", 43.94)</f>
        <v>43.94</v>
      </c>
      <c r="E3613" s="2">
        <v>33.15</v>
      </c>
      <c r="F3613" s="2">
        <v>2</v>
      </c>
      <c r="G3613" s="2" t="s">
        <v>10</v>
      </c>
    </row>
    <row r="3614" spans="1:8" x14ac:dyDescent="0.2">
      <c r="A3614" s="2" t="s">
        <v>3343</v>
      </c>
      <c r="B3614" s="2" t="s">
        <v>132</v>
      </c>
      <c r="C3614" s="2">
        <v>1155.82</v>
      </c>
      <c r="D3614" s="2">
        <f>HYPERLINK("http://mcb-m6.bioreg.kyushu-u.ac.jp/M3/20110411/F50913/1306/1", 44.06)</f>
        <v>44.06</v>
      </c>
      <c r="E3614" s="2">
        <v>18.329999999999998</v>
      </c>
      <c r="F3614" s="2">
        <v>1</v>
      </c>
      <c r="G3614" s="2" t="s">
        <v>10</v>
      </c>
    </row>
    <row r="3615" spans="1:8" x14ac:dyDescent="0.2">
      <c r="A3615" s="2" t="s">
        <v>3343</v>
      </c>
      <c r="B3615" s="2" t="s">
        <v>428</v>
      </c>
      <c r="C3615" s="2">
        <v>451.99509999999998</v>
      </c>
      <c r="D3615" s="2">
        <f>HYPERLINK("http://mcb-m6.bioreg.kyushu-u.ac.jp/M3/20110411/F50913/843/1", 44.6)</f>
        <v>44.6</v>
      </c>
      <c r="E3615" s="2">
        <v>15.88</v>
      </c>
      <c r="F3615" s="2">
        <v>2</v>
      </c>
      <c r="G3615" s="2" t="s">
        <v>10</v>
      </c>
    </row>
    <row r="3616" spans="1:8" x14ac:dyDescent="0.2">
      <c r="A3616" s="2" t="s">
        <v>3343</v>
      </c>
      <c r="B3616" s="2" t="s">
        <v>344</v>
      </c>
      <c r="C3616" s="2">
        <v>919.47059999999999</v>
      </c>
      <c r="D3616" s="2">
        <f>HYPERLINK("http://mcb-m6.bioreg.kyushu-u.ac.jp/M3/20110411/F50921/2615/1", 44.99)</f>
        <v>44.99</v>
      </c>
      <c r="E3616" s="2">
        <v>30.27</v>
      </c>
      <c r="F3616" s="2">
        <v>2</v>
      </c>
      <c r="G3616" s="2" t="s">
        <v>10</v>
      </c>
    </row>
    <row r="3617" spans="1:8" x14ac:dyDescent="0.2">
      <c r="A3617" s="2" t="s">
        <v>3343</v>
      </c>
      <c r="B3617" s="2" t="s">
        <v>1002</v>
      </c>
      <c r="C3617" s="2">
        <v>1148.144</v>
      </c>
      <c r="D3617" s="2">
        <f>HYPERLINK("http://mcb-m6.bioreg.kyushu-u.ac.jp/M3/20110411/F50921/3364/1", 45.17)</f>
        <v>45.17</v>
      </c>
      <c r="E3617" s="2">
        <v>29.44</v>
      </c>
      <c r="F3617" s="2">
        <v>2</v>
      </c>
      <c r="G3617" s="2" t="s">
        <v>10</v>
      </c>
    </row>
    <row r="3618" spans="1:8" x14ac:dyDescent="0.2">
      <c r="A3618" s="2" t="s">
        <v>3343</v>
      </c>
      <c r="B3618" s="2" t="s">
        <v>210</v>
      </c>
      <c r="C3618" s="2">
        <v>1092.82</v>
      </c>
      <c r="D3618" s="2">
        <f>HYPERLINK("http://mcb-m6.bioreg.kyushu-u.ac.jp/M3/20110411/F50912/1242/1", 45.27)</f>
        <v>45.27</v>
      </c>
      <c r="E3618" s="2">
        <v>12.82</v>
      </c>
      <c r="F3618" s="2">
        <v>1</v>
      </c>
      <c r="G3618" s="2" t="s">
        <v>10</v>
      </c>
    </row>
    <row r="3619" spans="1:8" x14ac:dyDescent="0.2">
      <c r="A3619" s="2" t="s">
        <v>3343</v>
      </c>
      <c r="B3619" s="2" t="s">
        <v>325</v>
      </c>
      <c r="C3619" s="2">
        <v>747.38959999999997</v>
      </c>
      <c r="D3619" s="2">
        <f>HYPERLINK("http://mcb-m6.bioreg.kyushu-u.ac.jp/M3/20110411/F50914/2123/1", 45.32)</f>
        <v>45.32</v>
      </c>
      <c r="E3619" s="2">
        <v>36.57</v>
      </c>
      <c r="F3619" s="2">
        <v>2</v>
      </c>
      <c r="G3619" s="2" t="s">
        <v>10</v>
      </c>
      <c r="H3619" s="2" t="s">
        <v>4925</v>
      </c>
    </row>
    <row r="3620" spans="1:8" x14ac:dyDescent="0.2">
      <c r="A3620" s="2" t="s">
        <v>3343</v>
      </c>
      <c r="B3620" s="2" t="s">
        <v>558</v>
      </c>
      <c r="C3620" s="2">
        <v>1457.7329999999999</v>
      </c>
      <c r="D3620" s="2">
        <f>HYPERLINK("http://mcb-m6.bioreg.kyushu-u.ac.jp/M3/20110411/F50921/1768/1", 45.76)</f>
        <v>45.76</v>
      </c>
      <c r="E3620" s="2">
        <v>29.49</v>
      </c>
      <c r="F3620" s="2">
        <v>1</v>
      </c>
      <c r="G3620" s="2" t="s">
        <v>10</v>
      </c>
    </row>
    <row r="3621" spans="1:8" x14ac:dyDescent="0.2">
      <c r="A3621" s="2" t="s">
        <v>3343</v>
      </c>
      <c r="B3621" s="2" t="s">
        <v>443</v>
      </c>
      <c r="C3621" s="2">
        <v>1017.655</v>
      </c>
      <c r="D3621" s="2">
        <f>HYPERLINK("http://mcb-m6.bioreg.kyushu-u.ac.jp/M3/20110411/F50921/893/1", 45.79)</f>
        <v>45.79</v>
      </c>
      <c r="E3621" s="2">
        <v>24.33</v>
      </c>
      <c r="F3621" s="2">
        <v>1</v>
      </c>
      <c r="G3621" s="2" t="s">
        <v>10</v>
      </c>
    </row>
    <row r="3622" spans="1:8" x14ac:dyDescent="0.2">
      <c r="A3622" s="2" t="s">
        <v>3343</v>
      </c>
      <c r="B3622" s="2" t="s">
        <v>428</v>
      </c>
      <c r="C3622" s="2">
        <v>451.89010000000002</v>
      </c>
      <c r="D3622" s="2">
        <f>HYPERLINK("http://mcb-m6.bioreg.kyushu-u.ac.jp/M3/20110411/F50921/625/1", 46.16)</f>
        <v>46.16</v>
      </c>
      <c r="E3622" s="2">
        <v>18.739999999999998</v>
      </c>
      <c r="F3622" s="2">
        <v>2</v>
      </c>
      <c r="G3622" s="2" t="s">
        <v>10</v>
      </c>
    </row>
    <row r="3623" spans="1:8" x14ac:dyDescent="0.2">
      <c r="A3623" s="2" t="s">
        <v>3343</v>
      </c>
      <c r="B3623" s="2" t="s">
        <v>428</v>
      </c>
      <c r="C3623" s="2">
        <v>451.82560000000001</v>
      </c>
      <c r="D3623" s="2">
        <f>HYPERLINK("http://mcb-m6.bioreg.kyushu-u.ac.jp/M3/20110411/F50921/621/1", 47.19)</f>
        <v>47.19</v>
      </c>
      <c r="E3623" s="2">
        <v>22.24</v>
      </c>
      <c r="F3623" s="2">
        <v>2</v>
      </c>
      <c r="G3623" s="2" t="s">
        <v>10</v>
      </c>
    </row>
    <row r="3624" spans="1:8" x14ac:dyDescent="0.2">
      <c r="A3624" s="2" t="s">
        <v>3343</v>
      </c>
      <c r="B3624" s="2" t="s">
        <v>704</v>
      </c>
      <c r="C3624" s="2">
        <v>602.5231</v>
      </c>
      <c r="D3624" s="2">
        <f>HYPERLINK("http://mcb-m6.bioreg.kyushu-u.ac.jp/M3/20110411/F50914/1480/1", 47.25)</f>
        <v>47.25</v>
      </c>
      <c r="E3624" s="2">
        <v>23.74</v>
      </c>
      <c r="F3624" s="2">
        <v>2</v>
      </c>
      <c r="G3624" s="2" t="s">
        <v>10</v>
      </c>
    </row>
    <row r="3625" spans="1:8" x14ac:dyDescent="0.2">
      <c r="A3625" s="2" t="s">
        <v>3343</v>
      </c>
      <c r="B3625" s="2" t="s">
        <v>132</v>
      </c>
      <c r="C3625" s="2">
        <v>1155.684</v>
      </c>
      <c r="D3625" s="2">
        <f>HYPERLINK("http://mcb-m6.bioreg.kyushu-u.ac.jp/M3/20110411/F50914/1348/1", 48.11)</f>
        <v>48.11</v>
      </c>
      <c r="E3625" s="2">
        <v>27.09</v>
      </c>
      <c r="F3625" s="2">
        <v>1</v>
      </c>
      <c r="G3625" s="2" t="s">
        <v>10</v>
      </c>
    </row>
    <row r="3626" spans="1:8" x14ac:dyDescent="0.2">
      <c r="A3626" s="2" t="s">
        <v>3343</v>
      </c>
      <c r="B3626" s="2" t="s">
        <v>509</v>
      </c>
      <c r="C3626" s="2">
        <v>717.62070000000006</v>
      </c>
      <c r="D3626" s="2">
        <f>HYPERLINK("http://mcb-m6.bioreg.kyushu-u.ac.jp/M3/20110411/F50912/1941/1", 48.3)</f>
        <v>48.3</v>
      </c>
      <c r="E3626" s="2">
        <v>28.28</v>
      </c>
      <c r="F3626" s="2">
        <v>2</v>
      </c>
      <c r="G3626" s="2" t="s">
        <v>10</v>
      </c>
    </row>
    <row r="3627" spans="1:8" x14ac:dyDescent="0.2">
      <c r="A3627" s="2" t="s">
        <v>3343</v>
      </c>
      <c r="B3627" s="2" t="s">
        <v>509</v>
      </c>
      <c r="C3627" s="2">
        <v>717.7097</v>
      </c>
      <c r="D3627" s="2">
        <f>HYPERLINK("http://mcb-m6.bioreg.kyushu-u.ac.jp/M3/20110411/F50921/1713/1", 48.44)</f>
        <v>48.44</v>
      </c>
      <c r="E3627" s="2">
        <v>32.979999999999997</v>
      </c>
      <c r="F3627" s="2">
        <v>2</v>
      </c>
      <c r="G3627" s="2" t="s">
        <v>10</v>
      </c>
    </row>
    <row r="3628" spans="1:8" x14ac:dyDescent="0.2">
      <c r="A3628" s="2" t="s">
        <v>3343</v>
      </c>
      <c r="B3628" s="2" t="s">
        <v>1002</v>
      </c>
      <c r="C3628" s="2">
        <v>1148.192</v>
      </c>
      <c r="D3628" s="2">
        <f>HYPERLINK("http://mcb-m6.bioreg.kyushu-u.ac.jp/M3/20110411/F50901/3390/1", 48.6)</f>
        <v>48.6</v>
      </c>
      <c r="E3628" s="2">
        <v>38.47</v>
      </c>
      <c r="F3628" s="2">
        <v>2</v>
      </c>
      <c r="G3628" s="2" t="s">
        <v>10</v>
      </c>
    </row>
    <row r="3629" spans="1:8" x14ac:dyDescent="0.2">
      <c r="A3629" s="2" t="s">
        <v>3343</v>
      </c>
      <c r="B3629" s="2" t="s">
        <v>428</v>
      </c>
      <c r="C3629" s="2">
        <v>451.70310000000001</v>
      </c>
      <c r="D3629" s="2">
        <f>HYPERLINK("http://mcb-m6.bioreg.kyushu-u.ac.jp/M3/20110411/F50921/619/1", 48.91)</f>
        <v>48.91</v>
      </c>
      <c r="E3629" s="2">
        <v>25.45</v>
      </c>
      <c r="F3629" s="2">
        <v>2</v>
      </c>
      <c r="G3629" s="2" t="s">
        <v>10</v>
      </c>
    </row>
    <row r="3630" spans="1:8" x14ac:dyDescent="0.2">
      <c r="A3630" s="2" t="s">
        <v>3343</v>
      </c>
      <c r="B3630" s="2" t="s">
        <v>704</v>
      </c>
      <c r="C3630" s="2">
        <v>603.05219999999997</v>
      </c>
      <c r="D3630" s="2">
        <f>HYPERLINK("http://mcb-m6.bioreg.kyushu-u.ac.jp/M3/20110411/F50901/1517/1", 48.92)</f>
        <v>48.92</v>
      </c>
      <c r="E3630" s="2">
        <v>8.27</v>
      </c>
      <c r="F3630" s="2">
        <v>2</v>
      </c>
      <c r="G3630" s="2" t="s">
        <v>10</v>
      </c>
    </row>
    <row r="3631" spans="1:8" x14ac:dyDescent="0.2">
      <c r="A3631" s="2" t="s">
        <v>3343</v>
      </c>
      <c r="B3631" s="2" t="s">
        <v>704</v>
      </c>
      <c r="C3631" s="2">
        <v>602.87919999999997</v>
      </c>
      <c r="D3631" s="2">
        <f>HYPERLINK("http://mcb-m6.bioreg.kyushu-u.ac.jp/M3/20110411/F50913/1420/1", 49.53)</f>
        <v>49.53</v>
      </c>
      <c r="E3631" s="2">
        <v>20.329999999999998</v>
      </c>
      <c r="F3631" s="2">
        <v>2</v>
      </c>
      <c r="G3631" s="2" t="s">
        <v>10</v>
      </c>
    </row>
    <row r="3632" spans="1:8" x14ac:dyDescent="0.2">
      <c r="A3632" s="2" t="s">
        <v>3343</v>
      </c>
      <c r="B3632" s="2" t="s">
        <v>428</v>
      </c>
      <c r="C3632" s="2">
        <v>451.83960000000002</v>
      </c>
      <c r="D3632" s="2">
        <f>HYPERLINK("http://mcb-m6.bioreg.kyushu-u.ac.jp/M3/20110411/F50921/623/1", 50.74)</f>
        <v>50.74</v>
      </c>
      <c r="E3632" s="2">
        <v>24</v>
      </c>
      <c r="F3632" s="2">
        <v>2</v>
      </c>
      <c r="G3632" s="2" t="s">
        <v>10</v>
      </c>
    </row>
    <row r="3633" spans="1:8" x14ac:dyDescent="0.2">
      <c r="A3633" s="2" t="s">
        <v>3343</v>
      </c>
      <c r="B3633" s="2" t="s">
        <v>943</v>
      </c>
      <c r="C3633" s="2">
        <v>506.88709999999998</v>
      </c>
      <c r="D3633" s="2">
        <f>HYPERLINK("http://mcb-m6.bioreg.kyushu-u.ac.jp/M3/20110411/F50917/815/1", 51.67)</f>
        <v>51.67</v>
      </c>
      <c r="E3633" s="2">
        <v>28.77</v>
      </c>
      <c r="F3633" s="2">
        <v>2</v>
      </c>
      <c r="G3633" s="2" t="s">
        <v>10</v>
      </c>
    </row>
    <row r="3634" spans="1:8" x14ac:dyDescent="0.2">
      <c r="A3634" s="2" t="s">
        <v>3343</v>
      </c>
      <c r="B3634" s="2" t="s">
        <v>943</v>
      </c>
      <c r="C3634" s="2">
        <v>506.87860000000001</v>
      </c>
      <c r="D3634" s="2">
        <f>HYPERLINK("http://mcb-m6.bioreg.kyushu-u.ac.jp/M3/20110411/F50918/829/1", 52.15)</f>
        <v>52.15</v>
      </c>
      <c r="E3634" s="2">
        <v>31.25</v>
      </c>
      <c r="F3634" s="2">
        <v>2</v>
      </c>
      <c r="G3634" s="2" t="s">
        <v>10</v>
      </c>
    </row>
    <row r="3635" spans="1:8" x14ac:dyDescent="0.2">
      <c r="A3635" s="2" t="s">
        <v>3343</v>
      </c>
      <c r="B3635" s="2" t="s">
        <v>132</v>
      </c>
      <c r="C3635" s="2">
        <v>578.49069999999995</v>
      </c>
      <c r="D3635" s="2">
        <f>HYPERLINK("http://mcb-m6.bioreg.kyushu-u.ac.jp/M3/20110411/F50918/1060/1", 52.42)</f>
        <v>52.42</v>
      </c>
      <c r="E3635" s="2">
        <v>25.91</v>
      </c>
      <c r="F3635" s="2">
        <v>2</v>
      </c>
      <c r="G3635" s="2" t="s">
        <v>10</v>
      </c>
    </row>
    <row r="3636" spans="1:8" x14ac:dyDescent="0.2">
      <c r="A3636" s="2" t="s">
        <v>3343</v>
      </c>
      <c r="B3636" s="2" t="s">
        <v>132</v>
      </c>
      <c r="C3636" s="2">
        <v>578.60059999999999</v>
      </c>
      <c r="D3636" s="2">
        <f>HYPERLINK("http://mcb-m6.bioreg.kyushu-u.ac.jp/M3/20110411/F50921/1086/1", 52.5)</f>
        <v>52.5</v>
      </c>
      <c r="E3636" s="2">
        <v>26.72</v>
      </c>
      <c r="F3636" s="2">
        <v>2</v>
      </c>
      <c r="G3636" s="2" t="s">
        <v>10</v>
      </c>
    </row>
    <row r="3637" spans="1:8" x14ac:dyDescent="0.2">
      <c r="A3637" s="2" t="s">
        <v>3343</v>
      </c>
      <c r="B3637" s="2" t="s">
        <v>509</v>
      </c>
      <c r="C3637" s="2">
        <v>1416.7329999999999</v>
      </c>
      <c r="D3637" s="2">
        <f>HYPERLINK("http://mcb-m6.bioreg.kyushu-u.ac.jp/M3/20110411/F50921/1661/1", 52.51)</f>
        <v>52.51</v>
      </c>
      <c r="E3637" s="2">
        <v>42.57</v>
      </c>
      <c r="F3637" s="2">
        <v>1</v>
      </c>
      <c r="G3637" s="2" t="s">
        <v>10</v>
      </c>
      <c r="H3637" s="2" t="s">
        <v>4904</v>
      </c>
    </row>
    <row r="3638" spans="1:8" x14ac:dyDescent="0.2">
      <c r="A3638" s="2" t="s">
        <v>3343</v>
      </c>
      <c r="B3638" s="2" t="s">
        <v>1002</v>
      </c>
      <c r="C3638" s="2">
        <v>1148.057</v>
      </c>
      <c r="D3638" s="2">
        <f>HYPERLINK("http://mcb-m6.bioreg.kyushu-u.ac.jp/M3/20110411/F50921/3360/1", 52.93)</f>
        <v>52.93</v>
      </c>
      <c r="E3638" s="2">
        <v>41.57</v>
      </c>
      <c r="F3638" s="2">
        <v>2</v>
      </c>
      <c r="G3638" s="2" t="s">
        <v>10</v>
      </c>
    </row>
    <row r="3639" spans="1:8" x14ac:dyDescent="0.2">
      <c r="A3639" s="2" t="s">
        <v>3343</v>
      </c>
      <c r="B3639" s="2" t="s">
        <v>509</v>
      </c>
      <c r="C3639" s="2">
        <v>1433.7629999999999</v>
      </c>
      <c r="D3639" s="2">
        <f>HYPERLINK("http://mcb-m6.bioreg.kyushu-u.ac.jp/M3/20110411/F50921/1709/1", 53.4)</f>
        <v>53.4</v>
      </c>
      <c r="E3639" s="2">
        <v>37.06</v>
      </c>
      <c r="F3639" s="2">
        <v>1</v>
      </c>
      <c r="G3639" s="2" t="s">
        <v>10</v>
      </c>
    </row>
    <row r="3640" spans="1:8" x14ac:dyDescent="0.2">
      <c r="A3640" s="2" t="s">
        <v>3343</v>
      </c>
      <c r="B3640" s="2" t="s">
        <v>943</v>
      </c>
      <c r="C3640" s="2">
        <v>506.92660000000001</v>
      </c>
      <c r="D3640" s="2">
        <f>HYPERLINK("http://mcb-m6.bioreg.kyushu-u.ac.jp/M3/20110411/F50913/1038/1", 53.56)</f>
        <v>53.56</v>
      </c>
      <c r="E3640" s="2">
        <v>27.47</v>
      </c>
      <c r="F3640" s="2">
        <v>2</v>
      </c>
      <c r="G3640" s="2" t="s">
        <v>10</v>
      </c>
    </row>
    <row r="3641" spans="1:8" x14ac:dyDescent="0.2">
      <c r="A3641" s="2" t="s">
        <v>3343</v>
      </c>
      <c r="B3641" s="2" t="s">
        <v>704</v>
      </c>
      <c r="C3641" s="2">
        <v>602.92520000000002</v>
      </c>
      <c r="D3641" s="2">
        <f>HYPERLINK("http://mcb-m6.bioreg.kyushu-u.ac.jp/M3/20110411/F50921/1215/1", 53.57)</f>
        <v>53.57</v>
      </c>
      <c r="E3641" s="2">
        <v>12.55</v>
      </c>
      <c r="F3641" s="2">
        <v>2</v>
      </c>
      <c r="G3641" s="2" t="s">
        <v>10</v>
      </c>
    </row>
    <row r="3642" spans="1:8" x14ac:dyDescent="0.2">
      <c r="A3642" s="2" t="s">
        <v>3343</v>
      </c>
      <c r="B3642" s="2" t="s">
        <v>509</v>
      </c>
      <c r="C3642" s="2">
        <v>725.49519999999995</v>
      </c>
      <c r="D3642" s="2">
        <f>HYPERLINK("http://mcb-m6.bioreg.kyushu-u.ac.jp/M3/20110411/F50914/2017/1", 53.68)</f>
        <v>53.68</v>
      </c>
      <c r="E3642" s="2">
        <v>39.19</v>
      </c>
      <c r="F3642" s="2">
        <v>2</v>
      </c>
      <c r="G3642" s="2" t="s">
        <v>10</v>
      </c>
      <c r="H3642" s="2" t="s">
        <v>4927</v>
      </c>
    </row>
    <row r="3643" spans="1:8" x14ac:dyDescent="0.2">
      <c r="A3643" s="2" t="s">
        <v>3343</v>
      </c>
      <c r="B3643" s="2" t="s">
        <v>132</v>
      </c>
      <c r="C3643" s="2">
        <v>578.25419999999997</v>
      </c>
      <c r="D3643" s="2">
        <f>HYPERLINK("http://mcb-m6.bioreg.kyushu-u.ac.jp/M3/20110411/F50921/1077/1", 54.37)</f>
        <v>54.37</v>
      </c>
      <c r="E3643" s="2">
        <v>12.29</v>
      </c>
      <c r="F3643" s="2">
        <v>2</v>
      </c>
      <c r="G3643" s="2" t="s">
        <v>10</v>
      </c>
    </row>
    <row r="3644" spans="1:8" x14ac:dyDescent="0.2">
      <c r="A3644" s="2" t="s">
        <v>3343</v>
      </c>
      <c r="B3644" s="2" t="s">
        <v>1002</v>
      </c>
      <c r="C3644" s="2">
        <v>1148.145</v>
      </c>
      <c r="D3644" s="2">
        <f>HYPERLINK("http://mcb-m6.bioreg.kyushu-u.ac.jp/M3/20110411/F50921/3365/1", 54.71)</f>
        <v>54.71</v>
      </c>
      <c r="E3644" s="2">
        <v>42.24</v>
      </c>
      <c r="F3644" s="2">
        <v>2</v>
      </c>
      <c r="G3644" s="2" t="s">
        <v>10</v>
      </c>
    </row>
    <row r="3645" spans="1:8" x14ac:dyDescent="0.2">
      <c r="A3645" s="2" t="s">
        <v>3343</v>
      </c>
      <c r="B3645" s="2" t="s">
        <v>704</v>
      </c>
      <c r="C3645" s="2">
        <v>603.06370000000004</v>
      </c>
      <c r="D3645" s="2">
        <f>HYPERLINK("http://mcb-m6.bioreg.kyushu-u.ac.jp/M3/20110411/F50912/1459/1", 55.4)</f>
        <v>55.4</v>
      </c>
      <c r="E3645" s="2">
        <v>16.98</v>
      </c>
      <c r="F3645" s="2">
        <v>2</v>
      </c>
      <c r="G3645" s="2" t="s">
        <v>10</v>
      </c>
    </row>
    <row r="3646" spans="1:8" x14ac:dyDescent="0.2">
      <c r="A3646" s="2" t="s">
        <v>3343</v>
      </c>
      <c r="B3646" s="2" t="s">
        <v>344</v>
      </c>
      <c r="C3646" s="2">
        <v>919.48270000000002</v>
      </c>
      <c r="D3646" s="2">
        <f>HYPERLINK("http://mcb-m6.bioreg.kyushu-u.ac.jp/M3/20110411/F50921/2616/1", 55.47)</f>
        <v>55.47</v>
      </c>
      <c r="E3646" s="2">
        <v>40.06</v>
      </c>
      <c r="F3646" s="2">
        <v>2</v>
      </c>
      <c r="G3646" s="2" t="s">
        <v>10</v>
      </c>
    </row>
    <row r="3647" spans="1:8" x14ac:dyDescent="0.2">
      <c r="A3647" s="2" t="s">
        <v>3343</v>
      </c>
      <c r="B3647" s="2" t="s">
        <v>943</v>
      </c>
      <c r="C3647" s="2">
        <v>506.89659999999998</v>
      </c>
      <c r="D3647" s="2">
        <f>HYPERLINK("http://mcb-m6.bioreg.kyushu-u.ac.jp/M3/20110411/F50896/1304/1", 55.62)</f>
        <v>55.62</v>
      </c>
      <c r="E3647" s="2">
        <v>27.72</v>
      </c>
      <c r="F3647" s="2">
        <v>2</v>
      </c>
      <c r="G3647" s="2" t="s">
        <v>10</v>
      </c>
    </row>
    <row r="3648" spans="1:8" x14ac:dyDescent="0.2">
      <c r="A3648" s="2" t="s">
        <v>3343</v>
      </c>
      <c r="B3648" s="2" t="s">
        <v>344</v>
      </c>
      <c r="C3648" s="2">
        <v>613.58050000000003</v>
      </c>
      <c r="D3648" s="2">
        <f>HYPERLINK("http://mcb-m6.bioreg.kyushu-u.ac.jp/M3/20110411/F50920/2375/1", 56.42)</f>
        <v>56.42</v>
      </c>
      <c r="E3648" s="2">
        <v>36.69</v>
      </c>
      <c r="F3648" s="2">
        <v>3</v>
      </c>
      <c r="G3648" s="2" t="s">
        <v>10</v>
      </c>
    </row>
    <row r="3649" spans="1:8" x14ac:dyDescent="0.2">
      <c r="A3649" s="2" t="s">
        <v>3343</v>
      </c>
      <c r="B3649" s="2" t="s">
        <v>943</v>
      </c>
      <c r="C3649" s="2">
        <v>507.0521</v>
      </c>
      <c r="D3649" s="2">
        <f>HYPERLINK("http://mcb-m6.bioreg.kyushu-u.ac.jp/M3/20110411/F50901/1234/1", 56.52)</f>
        <v>56.52</v>
      </c>
      <c r="E3649" s="2">
        <v>32.07</v>
      </c>
      <c r="F3649" s="2">
        <v>2</v>
      </c>
      <c r="G3649" s="2" t="s">
        <v>10</v>
      </c>
    </row>
    <row r="3650" spans="1:8" x14ac:dyDescent="0.2">
      <c r="A3650" s="2" t="s">
        <v>3343</v>
      </c>
      <c r="B3650" s="2" t="s">
        <v>943</v>
      </c>
      <c r="C3650" s="2">
        <v>507.30560000000003</v>
      </c>
      <c r="D3650" s="2">
        <f>HYPERLINK("http://mcb-m6.bioreg.kyushu-u.ac.jp/M3/20110411/F50921/883/1", 56.67)</f>
        <v>56.67</v>
      </c>
      <c r="E3650" s="2">
        <v>30.53</v>
      </c>
      <c r="F3650" s="2">
        <v>2</v>
      </c>
      <c r="G3650" s="2" t="s">
        <v>10</v>
      </c>
    </row>
    <row r="3651" spans="1:8" x14ac:dyDescent="0.2">
      <c r="A3651" s="2" t="s">
        <v>3343</v>
      </c>
      <c r="B3651" s="2" t="s">
        <v>704</v>
      </c>
      <c r="C3651" s="2">
        <v>611.38019999999995</v>
      </c>
      <c r="D3651" s="2">
        <f>HYPERLINK("http://mcb-m6.bioreg.kyushu-u.ac.jp/M3/20110411/F50921/1266/1", 56.72)</f>
        <v>56.72</v>
      </c>
      <c r="E3651" s="2">
        <v>25.74</v>
      </c>
      <c r="F3651" s="2">
        <v>2</v>
      </c>
      <c r="G3651" s="2" t="s">
        <v>10</v>
      </c>
      <c r="H3651" s="2" t="s">
        <v>4908</v>
      </c>
    </row>
    <row r="3652" spans="1:8" x14ac:dyDescent="0.2">
      <c r="A3652" s="2" t="s">
        <v>3343</v>
      </c>
      <c r="B3652" s="2" t="s">
        <v>344</v>
      </c>
      <c r="C3652" s="2">
        <v>919.55970000000002</v>
      </c>
      <c r="D3652" s="2">
        <f>HYPERLINK("http://mcb-m6.bioreg.kyushu-u.ac.jp/M3/20110411/F50921/2619/1", 57.05)</f>
        <v>57.05</v>
      </c>
      <c r="E3652" s="2">
        <v>28.35</v>
      </c>
      <c r="F3652" s="2">
        <v>2</v>
      </c>
      <c r="G3652" s="2" t="s">
        <v>10</v>
      </c>
    </row>
    <row r="3653" spans="1:8" x14ac:dyDescent="0.2">
      <c r="A3653" s="2" t="s">
        <v>3343</v>
      </c>
      <c r="B3653" s="2" t="s">
        <v>704</v>
      </c>
      <c r="C3653" s="2">
        <v>603.00620000000004</v>
      </c>
      <c r="D3653" s="2">
        <f>HYPERLINK("http://mcb-m6.bioreg.kyushu-u.ac.jp/M3/20110411/F50902/1460/1", 57.19)</f>
        <v>57.19</v>
      </c>
      <c r="E3653" s="2">
        <v>21.68</v>
      </c>
      <c r="F3653" s="2">
        <v>2</v>
      </c>
      <c r="G3653" s="2" t="s">
        <v>10</v>
      </c>
    </row>
    <row r="3654" spans="1:8" x14ac:dyDescent="0.2">
      <c r="A3654" s="2" t="s">
        <v>3343</v>
      </c>
      <c r="B3654" s="2" t="s">
        <v>509</v>
      </c>
      <c r="C3654" s="2">
        <v>717.42070000000001</v>
      </c>
      <c r="D3654" s="2">
        <f>HYPERLINK("http://mcb-m6.bioreg.kyushu-u.ac.jp/M3/20110411/F50921/1711/1", 58.74)</f>
        <v>58.74</v>
      </c>
      <c r="E3654" s="2">
        <v>35.32</v>
      </c>
      <c r="F3654" s="2">
        <v>2</v>
      </c>
      <c r="G3654" s="2" t="s">
        <v>10</v>
      </c>
    </row>
    <row r="3655" spans="1:8" x14ac:dyDescent="0.2">
      <c r="A3655" s="2" t="s">
        <v>3343</v>
      </c>
      <c r="B3655" s="2" t="s">
        <v>509</v>
      </c>
      <c r="C3655" s="2">
        <v>725.6241</v>
      </c>
      <c r="D3655" s="2">
        <f>HYPERLINK("http://mcb-m6.bioreg.kyushu-u.ac.jp/M3/20110411/F50913/1945/1", 59)</f>
        <v>59</v>
      </c>
      <c r="E3655" s="2">
        <v>42.63</v>
      </c>
      <c r="F3655" s="2">
        <v>2</v>
      </c>
      <c r="G3655" s="2" t="s">
        <v>10</v>
      </c>
      <c r="H3655" s="2" t="s">
        <v>4927</v>
      </c>
    </row>
    <row r="3656" spans="1:8" x14ac:dyDescent="0.2">
      <c r="A3656" s="2" t="s">
        <v>3343</v>
      </c>
      <c r="B3656" s="2" t="s">
        <v>943</v>
      </c>
      <c r="C3656" s="2">
        <v>506.82659999999998</v>
      </c>
      <c r="D3656" s="2">
        <f>HYPERLINK("http://mcb-m6.bioreg.kyushu-u.ac.jp/M3/20110411/F50897/1022/1", 59.01)</f>
        <v>59.01</v>
      </c>
      <c r="E3656" s="2">
        <v>27.12</v>
      </c>
      <c r="F3656" s="2">
        <v>2</v>
      </c>
      <c r="G3656" s="2" t="s">
        <v>10</v>
      </c>
    </row>
    <row r="3657" spans="1:8" x14ac:dyDescent="0.2">
      <c r="A3657" s="2" t="s">
        <v>3343</v>
      </c>
      <c r="B3657" s="2" t="s">
        <v>132</v>
      </c>
      <c r="C3657" s="2">
        <v>578.38710000000003</v>
      </c>
      <c r="D3657" s="2">
        <f>HYPERLINK("http://mcb-m6.bioreg.kyushu-u.ac.jp/M3/20110411/F50897/1259/1", 59.15)</f>
        <v>59.15</v>
      </c>
      <c r="E3657" s="2">
        <v>29.51</v>
      </c>
      <c r="F3657" s="2">
        <v>2</v>
      </c>
      <c r="G3657" s="2" t="s">
        <v>10</v>
      </c>
    </row>
    <row r="3658" spans="1:8" x14ac:dyDescent="0.2">
      <c r="A3658" s="2" t="s">
        <v>3343</v>
      </c>
      <c r="B3658" s="2" t="s">
        <v>328</v>
      </c>
      <c r="C3658" s="2">
        <v>1146.6500000000001</v>
      </c>
      <c r="D3658" s="2">
        <f>HYPERLINK("http://mcb-m6.bioreg.kyushu-u.ac.jp/M3/20110411/F50921/1064/1", 59.55)</f>
        <v>59.55</v>
      </c>
      <c r="E3658" s="2">
        <v>20.74</v>
      </c>
      <c r="F3658" s="2">
        <v>1</v>
      </c>
      <c r="G3658" s="2" t="s">
        <v>10</v>
      </c>
    </row>
    <row r="3659" spans="1:8" x14ac:dyDescent="0.2">
      <c r="A3659" s="2" t="s">
        <v>3343</v>
      </c>
      <c r="B3659" s="2" t="s">
        <v>1002</v>
      </c>
      <c r="C3659" s="2">
        <v>1148.184</v>
      </c>
      <c r="D3659" s="2">
        <f>HYPERLINK("http://mcb-m6.bioreg.kyushu-u.ac.jp/M3/20110411/F50917/3809/1", 59.61)</f>
        <v>59.61</v>
      </c>
      <c r="E3659" s="2">
        <v>45.94</v>
      </c>
      <c r="F3659" s="2">
        <v>2</v>
      </c>
      <c r="G3659" s="2" t="s">
        <v>10</v>
      </c>
    </row>
    <row r="3660" spans="1:8" x14ac:dyDescent="0.2">
      <c r="A3660" s="2" t="s">
        <v>3343</v>
      </c>
      <c r="B3660" s="2" t="s">
        <v>558</v>
      </c>
      <c r="C3660" s="2">
        <v>729.2047</v>
      </c>
      <c r="D3660" s="2">
        <f>HYPERLINK("http://mcb-m6.bioreg.kyushu-u.ac.jp/M3/20110411/F50897/1910/1", 59.84)</f>
        <v>59.84</v>
      </c>
      <c r="E3660" s="2">
        <v>43.13</v>
      </c>
      <c r="F3660" s="2">
        <v>2</v>
      </c>
      <c r="G3660" s="2" t="s">
        <v>10</v>
      </c>
    </row>
    <row r="3661" spans="1:8" x14ac:dyDescent="0.2">
      <c r="A3661" s="2" t="s">
        <v>3343</v>
      </c>
      <c r="B3661" s="2" t="s">
        <v>509</v>
      </c>
      <c r="C3661" s="2">
        <v>717.83069999999998</v>
      </c>
      <c r="D3661" s="2">
        <f>HYPERLINK("http://mcb-m6.bioreg.kyushu-u.ac.jp/M3/20110411/F50921/1716/1", 60.46)</f>
        <v>60.46</v>
      </c>
      <c r="E3661" s="2">
        <v>43.38</v>
      </c>
      <c r="F3661" s="2">
        <v>2</v>
      </c>
      <c r="G3661" s="2" t="s">
        <v>10</v>
      </c>
    </row>
    <row r="3662" spans="1:8" x14ac:dyDescent="0.2">
      <c r="A3662" s="2" t="s">
        <v>3343</v>
      </c>
      <c r="B3662" s="2" t="s">
        <v>1002</v>
      </c>
      <c r="C3662" s="2">
        <v>1148.133</v>
      </c>
      <c r="D3662" s="2">
        <f>HYPERLINK("http://mcb-m6.bioreg.kyushu-u.ac.jp/M3/20110411/F50918/3479/1", 60.84)</f>
        <v>60.84</v>
      </c>
      <c r="E3662" s="2">
        <v>46.95</v>
      </c>
      <c r="F3662" s="2">
        <v>2</v>
      </c>
      <c r="G3662" s="2" t="s">
        <v>10</v>
      </c>
    </row>
    <row r="3663" spans="1:8" x14ac:dyDescent="0.2">
      <c r="A3663" s="2" t="s">
        <v>3343</v>
      </c>
      <c r="B3663" s="2" t="s">
        <v>344</v>
      </c>
      <c r="C3663" s="2">
        <v>613.36850000000004</v>
      </c>
      <c r="D3663" s="2">
        <f>HYPERLINK("http://mcb-m6.bioreg.kyushu-u.ac.jp/M3/20110411/F50921/2618/1", 61.2)</f>
        <v>61.2</v>
      </c>
      <c r="E3663" s="2">
        <v>41.87</v>
      </c>
      <c r="F3663" s="2">
        <v>3</v>
      </c>
      <c r="G3663" s="2" t="s">
        <v>10</v>
      </c>
    </row>
    <row r="3664" spans="1:8" x14ac:dyDescent="0.2">
      <c r="A3664" s="2" t="s">
        <v>3343</v>
      </c>
      <c r="B3664" s="2" t="s">
        <v>325</v>
      </c>
      <c r="C3664" s="2">
        <v>739.37869999999998</v>
      </c>
      <c r="D3664" s="2">
        <f>HYPERLINK("http://mcb-m6.bioreg.kyushu-u.ac.jp/M3/20110411/F50921/1823/1", 62.24)</f>
        <v>62.24</v>
      </c>
      <c r="E3664" s="2">
        <v>51.95</v>
      </c>
      <c r="F3664" s="2">
        <v>2</v>
      </c>
      <c r="G3664" s="2" t="s">
        <v>10</v>
      </c>
    </row>
    <row r="3665" spans="1:7" x14ac:dyDescent="0.2">
      <c r="A3665" s="2" t="s">
        <v>3343</v>
      </c>
      <c r="B3665" s="2" t="s">
        <v>325</v>
      </c>
      <c r="C3665" s="2">
        <v>739.35360000000003</v>
      </c>
      <c r="D3665" s="2">
        <f>HYPERLINK("http://mcb-m6.bioreg.kyushu-u.ac.jp/M3/20110411/F50921/1822/1", 62.56)</f>
        <v>62.56</v>
      </c>
      <c r="E3665" s="2">
        <v>45.79</v>
      </c>
      <c r="F3665" s="2">
        <v>2</v>
      </c>
      <c r="G3665" s="2" t="s">
        <v>10</v>
      </c>
    </row>
    <row r="3666" spans="1:7" x14ac:dyDescent="0.2">
      <c r="A3666" s="2" t="s">
        <v>3343</v>
      </c>
      <c r="B3666" s="2" t="s">
        <v>1002</v>
      </c>
      <c r="C3666" s="2">
        <v>1148.0989999999999</v>
      </c>
      <c r="D3666" s="2">
        <f>HYPERLINK("http://mcb-m6.bioreg.kyushu-u.ac.jp/M3/20110411/F50921/3362/1", 63.13)</f>
        <v>63.13</v>
      </c>
      <c r="E3666" s="2">
        <v>54.18</v>
      </c>
      <c r="F3666" s="2">
        <v>2</v>
      </c>
      <c r="G3666" s="2" t="s">
        <v>10</v>
      </c>
    </row>
    <row r="3667" spans="1:7" x14ac:dyDescent="0.2">
      <c r="A3667" s="2" t="s">
        <v>3343</v>
      </c>
      <c r="B3667" s="2" t="s">
        <v>328</v>
      </c>
      <c r="C3667" s="2">
        <v>573.94960000000003</v>
      </c>
      <c r="D3667" s="2">
        <f>HYPERLINK("http://mcb-m6.bioreg.kyushu-u.ac.jp/M3/20110411/F50921/1065/1", 63.25)</f>
        <v>63.25</v>
      </c>
      <c r="E3667" s="2">
        <v>35.61</v>
      </c>
      <c r="F3667" s="2">
        <v>2</v>
      </c>
      <c r="G3667" s="2" t="s">
        <v>10</v>
      </c>
    </row>
    <row r="3668" spans="1:7" x14ac:dyDescent="0.2">
      <c r="A3668" s="2" t="s">
        <v>3343</v>
      </c>
      <c r="B3668" s="2" t="s">
        <v>344</v>
      </c>
      <c r="C3668" s="2">
        <v>919.73469999999998</v>
      </c>
      <c r="D3668" s="2">
        <f>HYPERLINK("http://mcb-m6.bioreg.kyushu-u.ac.jp/M3/20110411/F50920/2372/1", 63.28)</f>
        <v>63.28</v>
      </c>
      <c r="E3668" s="2">
        <v>38.25</v>
      </c>
      <c r="F3668" s="2">
        <v>2</v>
      </c>
      <c r="G3668" s="2" t="s">
        <v>10</v>
      </c>
    </row>
    <row r="3669" spans="1:7" x14ac:dyDescent="0.2">
      <c r="A3669" s="2" t="s">
        <v>3343</v>
      </c>
      <c r="B3669" s="2" t="s">
        <v>509</v>
      </c>
      <c r="C3669" s="2">
        <v>717.85820000000001</v>
      </c>
      <c r="D3669" s="2">
        <f>HYPERLINK("http://mcb-m6.bioreg.kyushu-u.ac.jp/M3/20110411/F50921/1717/1", 63.78)</f>
        <v>63.78</v>
      </c>
      <c r="E3669" s="2">
        <v>46.35</v>
      </c>
      <c r="F3669" s="2">
        <v>2</v>
      </c>
      <c r="G3669" s="2" t="s">
        <v>10</v>
      </c>
    </row>
    <row r="3670" spans="1:7" x14ac:dyDescent="0.2">
      <c r="A3670" s="2" t="s">
        <v>3343</v>
      </c>
      <c r="B3670" s="2" t="s">
        <v>132</v>
      </c>
      <c r="C3670" s="2">
        <v>578.51670000000001</v>
      </c>
      <c r="D3670" s="2">
        <f>HYPERLINK("http://mcb-m6.bioreg.kyushu-u.ac.jp/M3/20110411/F50912/1339/1", 63.84)</f>
        <v>63.84</v>
      </c>
      <c r="E3670" s="2">
        <v>30.79</v>
      </c>
      <c r="F3670" s="2">
        <v>2</v>
      </c>
      <c r="G3670" s="2" t="s">
        <v>10</v>
      </c>
    </row>
    <row r="3671" spans="1:7" x14ac:dyDescent="0.2">
      <c r="A3671" s="2" t="s">
        <v>3343</v>
      </c>
      <c r="B3671" s="2" t="s">
        <v>132</v>
      </c>
      <c r="C3671" s="2">
        <v>578.33119999999997</v>
      </c>
      <c r="D3671" s="2">
        <f>HYPERLINK("http://mcb-m6.bioreg.kyushu-u.ac.jp/M3/20110411/F50917/1135/1", 64.33)</f>
        <v>64.33</v>
      </c>
      <c r="E3671" s="2">
        <v>39.53</v>
      </c>
      <c r="F3671" s="2">
        <v>2</v>
      </c>
      <c r="G3671" s="2" t="s">
        <v>10</v>
      </c>
    </row>
    <row r="3672" spans="1:7" x14ac:dyDescent="0.2">
      <c r="A3672" s="2" t="s">
        <v>3343</v>
      </c>
      <c r="B3672" s="2" t="s">
        <v>1002</v>
      </c>
      <c r="C3672" s="2">
        <v>1147.712</v>
      </c>
      <c r="D3672" s="2">
        <f>HYPERLINK("http://mcb-m6.bioreg.kyushu-u.ac.jp/M3/20110411/F50913/3569/1", 64.45)</f>
        <v>64.45</v>
      </c>
      <c r="E3672" s="2">
        <v>54.72</v>
      </c>
      <c r="F3672" s="2">
        <v>2</v>
      </c>
      <c r="G3672" s="2" t="s">
        <v>10</v>
      </c>
    </row>
    <row r="3673" spans="1:7" x14ac:dyDescent="0.2">
      <c r="A3673" s="2" t="s">
        <v>3343</v>
      </c>
      <c r="B3673" s="2" t="s">
        <v>558</v>
      </c>
      <c r="C3673" s="2">
        <v>729.46810000000005</v>
      </c>
      <c r="D3673" s="2">
        <f>HYPERLINK("http://mcb-m6.bioreg.kyushu-u.ac.jp/M3/20110411/F50921/1770/1", 64.48)</f>
        <v>64.48</v>
      </c>
      <c r="E3673" s="2">
        <v>47.51</v>
      </c>
      <c r="F3673" s="2">
        <v>2</v>
      </c>
      <c r="G3673" s="2" t="s">
        <v>10</v>
      </c>
    </row>
    <row r="3674" spans="1:7" x14ac:dyDescent="0.2">
      <c r="A3674" s="2" t="s">
        <v>3343</v>
      </c>
      <c r="B3674" s="2" t="s">
        <v>210</v>
      </c>
      <c r="C3674" s="2">
        <v>546.77170000000001</v>
      </c>
      <c r="D3674" s="2">
        <f>HYPERLINK("http://mcb-m6.bioreg.kyushu-u.ac.jp/M3/20110411/F50921/997/1", 64.5)</f>
        <v>64.5</v>
      </c>
      <c r="E3674" s="2">
        <v>33.25</v>
      </c>
      <c r="F3674" s="2">
        <v>2</v>
      </c>
      <c r="G3674" s="2" t="s">
        <v>10</v>
      </c>
    </row>
    <row r="3675" spans="1:7" x14ac:dyDescent="0.2">
      <c r="A3675" s="2" t="s">
        <v>3343</v>
      </c>
      <c r="B3675" s="2" t="s">
        <v>546</v>
      </c>
      <c r="C3675" s="2">
        <v>664.97969999999998</v>
      </c>
      <c r="D3675" s="2">
        <f>HYPERLINK("http://mcb-m6.bioreg.kyushu-u.ac.jp/M3/20110411/F50898/1929/2", 64.82)</f>
        <v>64.819999999999993</v>
      </c>
      <c r="E3675" s="2">
        <v>43.65</v>
      </c>
      <c r="F3675" s="2">
        <v>2</v>
      </c>
      <c r="G3675" s="2" t="s">
        <v>10</v>
      </c>
    </row>
    <row r="3676" spans="1:7" x14ac:dyDescent="0.2">
      <c r="A3676" s="2" t="s">
        <v>3343</v>
      </c>
      <c r="B3676" s="2" t="s">
        <v>1002</v>
      </c>
      <c r="C3676" s="2">
        <v>1148.1320000000001</v>
      </c>
      <c r="D3676" s="2">
        <f>HYPERLINK("http://mcb-m6.bioreg.kyushu-u.ac.jp/M3/20110411/F50914/3594/1", 65.23)</f>
        <v>65.23</v>
      </c>
      <c r="E3676" s="2">
        <v>55.64</v>
      </c>
      <c r="F3676" s="2">
        <v>2</v>
      </c>
      <c r="G3676" s="2" t="s">
        <v>10</v>
      </c>
    </row>
    <row r="3677" spans="1:7" x14ac:dyDescent="0.2">
      <c r="A3677" s="2" t="s">
        <v>3343</v>
      </c>
      <c r="B3677" s="2" t="s">
        <v>943</v>
      </c>
      <c r="C3677" s="2">
        <v>507.06009999999998</v>
      </c>
      <c r="D3677" s="2">
        <f>HYPERLINK("http://mcb-m6.bioreg.kyushu-u.ac.jp/M3/20110411/F50912/1093/1", 65.45)</f>
        <v>65.45</v>
      </c>
      <c r="E3677" s="2">
        <v>39.74</v>
      </c>
      <c r="F3677" s="2">
        <v>2</v>
      </c>
      <c r="G3677" s="2" t="s">
        <v>10</v>
      </c>
    </row>
    <row r="3678" spans="1:7" x14ac:dyDescent="0.2">
      <c r="A3678" s="2" t="s">
        <v>3343</v>
      </c>
      <c r="B3678" s="2" t="s">
        <v>943</v>
      </c>
      <c r="C3678" s="2">
        <v>506.87060000000002</v>
      </c>
      <c r="D3678" s="2">
        <f>HYPERLINK("http://mcb-m6.bioreg.kyushu-u.ac.jp/M3/20110411/F50914/1077/1", 65.63)</f>
        <v>65.63</v>
      </c>
      <c r="E3678" s="2">
        <v>42.92</v>
      </c>
      <c r="F3678" s="2">
        <v>2</v>
      </c>
      <c r="G3678" s="2" t="s">
        <v>10</v>
      </c>
    </row>
    <row r="3679" spans="1:7" x14ac:dyDescent="0.2">
      <c r="A3679" s="2" t="s">
        <v>3343</v>
      </c>
      <c r="B3679" s="2" t="s">
        <v>558</v>
      </c>
      <c r="C3679" s="2">
        <v>729.58870000000002</v>
      </c>
      <c r="D3679" s="2">
        <f>HYPERLINK("http://mcb-m6.bioreg.kyushu-u.ac.jp/M3/20110411/F50917/1878/1", 65.87)</f>
        <v>65.87</v>
      </c>
      <c r="E3679" s="2">
        <v>47.65</v>
      </c>
      <c r="F3679" s="2">
        <v>2</v>
      </c>
      <c r="G3679" s="2" t="s">
        <v>10</v>
      </c>
    </row>
    <row r="3680" spans="1:7" x14ac:dyDescent="0.2">
      <c r="A3680" s="2" t="s">
        <v>3343</v>
      </c>
      <c r="B3680" s="2" t="s">
        <v>1002</v>
      </c>
      <c r="C3680" s="2">
        <v>1147.6199999999999</v>
      </c>
      <c r="D3680" s="2">
        <f>HYPERLINK("http://mcb-m6.bioreg.kyushu-u.ac.jp/M3/20110411/F50921/3355/1", 66.41)</f>
        <v>66.41</v>
      </c>
      <c r="E3680" s="2">
        <v>56.29</v>
      </c>
      <c r="F3680" s="2">
        <v>2</v>
      </c>
      <c r="G3680" s="2" t="s">
        <v>10</v>
      </c>
    </row>
    <row r="3681" spans="1:8" x14ac:dyDescent="0.2">
      <c r="A3681" s="2" t="s">
        <v>3343</v>
      </c>
      <c r="B3681" s="2" t="s">
        <v>132</v>
      </c>
      <c r="C3681" s="2">
        <v>578.42020000000002</v>
      </c>
      <c r="D3681" s="2">
        <f>HYPERLINK("http://mcb-m6.bioreg.kyushu-u.ac.jp/M3/20110411/F50921/1085/1", 66.45)</f>
        <v>66.45</v>
      </c>
      <c r="E3681" s="2">
        <v>37.200000000000003</v>
      </c>
      <c r="F3681" s="2">
        <v>2</v>
      </c>
      <c r="G3681" s="2" t="s">
        <v>10</v>
      </c>
    </row>
    <row r="3682" spans="1:8" x14ac:dyDescent="0.2">
      <c r="A3682" s="2" t="s">
        <v>3343</v>
      </c>
      <c r="B3682" s="2" t="s">
        <v>943</v>
      </c>
      <c r="C3682" s="2">
        <v>506.6866</v>
      </c>
      <c r="D3682" s="2">
        <f>HYPERLINK("http://mcb-m6.bioreg.kyushu-u.ac.jp/M3/20110411/F50921/877/1", 67.15)</f>
        <v>67.150000000000006</v>
      </c>
      <c r="E3682" s="2">
        <v>46.81</v>
      </c>
      <c r="F3682" s="2">
        <v>2</v>
      </c>
      <c r="G3682" s="2" t="s">
        <v>10</v>
      </c>
    </row>
    <row r="3683" spans="1:8" x14ac:dyDescent="0.2">
      <c r="A3683" s="2" t="s">
        <v>3343</v>
      </c>
      <c r="B3683" s="2" t="s">
        <v>210</v>
      </c>
      <c r="C3683" s="2">
        <v>554.7482</v>
      </c>
      <c r="D3683" s="2">
        <f>HYPERLINK("http://mcb-m6.bioreg.kyushu-u.ac.jp/M3/20110411/F50921/1011/1", 67.26)</f>
        <v>67.260000000000005</v>
      </c>
      <c r="E3683" s="2">
        <v>37.369999999999997</v>
      </c>
      <c r="F3683" s="2">
        <v>2</v>
      </c>
      <c r="G3683" s="2" t="s">
        <v>10</v>
      </c>
      <c r="H3683" s="2" t="s">
        <v>4910</v>
      </c>
    </row>
    <row r="3684" spans="1:8" x14ac:dyDescent="0.2">
      <c r="A3684" s="2" t="s">
        <v>3343</v>
      </c>
      <c r="B3684" s="2" t="s">
        <v>325</v>
      </c>
      <c r="C3684" s="2">
        <v>1478.229</v>
      </c>
      <c r="D3684" s="2">
        <f>HYPERLINK("http://mcb-m6.bioreg.kyushu-u.ac.jp/M3/20110411/F50921/1827/1", 67.58)</f>
        <v>67.58</v>
      </c>
      <c r="E3684" s="2">
        <v>50.5</v>
      </c>
      <c r="F3684" s="2">
        <v>1</v>
      </c>
      <c r="G3684" s="2" t="s">
        <v>10</v>
      </c>
    </row>
    <row r="3685" spans="1:8" x14ac:dyDescent="0.2">
      <c r="A3685" s="2" t="s">
        <v>3343</v>
      </c>
      <c r="B3685" s="2" t="s">
        <v>325</v>
      </c>
      <c r="C3685" s="2">
        <v>1493.799</v>
      </c>
      <c r="D3685" s="2">
        <f>HYPERLINK("http://mcb-m6.bioreg.kyushu-u.ac.jp/M3/20110411/F50921/1884/1", 67.79)</f>
        <v>67.790000000000006</v>
      </c>
      <c r="E3685" s="2">
        <v>55.34</v>
      </c>
      <c r="F3685" s="2">
        <v>1</v>
      </c>
      <c r="G3685" s="2" t="s">
        <v>10</v>
      </c>
      <c r="H3685" s="2" t="s">
        <v>4925</v>
      </c>
    </row>
    <row r="3686" spans="1:8" x14ac:dyDescent="0.2">
      <c r="A3686" s="2" t="s">
        <v>3343</v>
      </c>
      <c r="B3686" s="2" t="s">
        <v>1002</v>
      </c>
      <c r="C3686" s="2">
        <v>1148.202</v>
      </c>
      <c r="D3686" s="2">
        <f>HYPERLINK("http://mcb-m6.bioreg.kyushu-u.ac.jp/M3/20110411/F50921/3366/1", 68.62)</f>
        <v>68.62</v>
      </c>
      <c r="E3686" s="2">
        <v>57.66</v>
      </c>
      <c r="F3686" s="2">
        <v>2</v>
      </c>
      <c r="G3686" s="2" t="s">
        <v>10</v>
      </c>
    </row>
    <row r="3687" spans="1:8" x14ac:dyDescent="0.2">
      <c r="A3687" s="2" t="s">
        <v>3343</v>
      </c>
      <c r="B3687" s="2" t="s">
        <v>1002</v>
      </c>
      <c r="C3687" s="2">
        <v>1147.627</v>
      </c>
      <c r="D3687" s="2">
        <f>HYPERLINK("http://mcb-m6.bioreg.kyushu-u.ac.jp/M3/20110411/F50921/3356/1", 69.19)</f>
        <v>69.19</v>
      </c>
      <c r="E3687" s="2">
        <v>51.27</v>
      </c>
      <c r="F3687" s="2">
        <v>2</v>
      </c>
      <c r="G3687" s="2" t="s">
        <v>10</v>
      </c>
    </row>
    <row r="3688" spans="1:8" x14ac:dyDescent="0.2">
      <c r="A3688" s="2" t="s">
        <v>3343</v>
      </c>
      <c r="B3688" s="2" t="s">
        <v>1002</v>
      </c>
      <c r="C3688" s="2">
        <v>1147.729</v>
      </c>
      <c r="D3688" s="2">
        <f>HYPERLINK("http://mcb-m6.bioreg.kyushu-u.ac.jp/M3/20110411/F50921/3358/1", 69.25)</f>
        <v>69.25</v>
      </c>
      <c r="E3688" s="2">
        <v>59.97</v>
      </c>
      <c r="F3688" s="2">
        <v>2</v>
      </c>
      <c r="G3688" s="2" t="s">
        <v>10</v>
      </c>
    </row>
    <row r="3689" spans="1:8" x14ac:dyDescent="0.2">
      <c r="A3689" s="2" t="s">
        <v>3343</v>
      </c>
      <c r="B3689" s="2" t="s">
        <v>546</v>
      </c>
      <c r="C3689" s="2">
        <v>665.32709999999997</v>
      </c>
      <c r="D3689" s="2">
        <f>HYPERLINK("http://mcb-m6.bioreg.kyushu-u.ac.jp/M3/20110411/F50921/1451/2", 69.65)</f>
        <v>69.650000000000006</v>
      </c>
      <c r="E3689" s="2">
        <v>55.39</v>
      </c>
      <c r="F3689" s="2">
        <v>2</v>
      </c>
      <c r="G3689" s="2" t="s">
        <v>10</v>
      </c>
    </row>
    <row r="3690" spans="1:8" x14ac:dyDescent="0.2">
      <c r="A3690" s="2" t="s">
        <v>3343</v>
      </c>
      <c r="B3690" s="2" t="s">
        <v>546</v>
      </c>
      <c r="C3690" s="2">
        <v>665.08759999999995</v>
      </c>
      <c r="D3690" s="2">
        <f>HYPERLINK("http://mcb-m6.bioreg.kyushu-u.ac.jp/M3/20110411/F50920/1198/2", 69.9)</f>
        <v>69.900000000000006</v>
      </c>
      <c r="E3690" s="2">
        <v>51.36</v>
      </c>
      <c r="F3690" s="2">
        <v>2</v>
      </c>
      <c r="G3690" s="2" t="s">
        <v>10</v>
      </c>
    </row>
    <row r="3691" spans="1:8" x14ac:dyDescent="0.2">
      <c r="A3691" s="2" t="s">
        <v>3343</v>
      </c>
      <c r="B3691" s="2" t="s">
        <v>546</v>
      </c>
      <c r="C3691" s="2">
        <v>664.85820000000001</v>
      </c>
      <c r="D3691" s="2">
        <f>HYPERLINK("http://mcb-m6.bioreg.kyushu-u.ac.jp/M3/20110411/F50899/1968/2", 71.11)</f>
        <v>71.11</v>
      </c>
      <c r="E3691" s="2">
        <v>54.03</v>
      </c>
      <c r="F3691" s="2">
        <v>2</v>
      </c>
      <c r="G3691" s="2" t="s">
        <v>10</v>
      </c>
    </row>
    <row r="3692" spans="1:8" x14ac:dyDescent="0.2">
      <c r="A3692" s="2" t="s">
        <v>3343</v>
      </c>
      <c r="B3692" s="2" t="s">
        <v>132</v>
      </c>
      <c r="C3692" s="2">
        <v>578.07460000000003</v>
      </c>
      <c r="D3692" s="2">
        <f>HYPERLINK("http://mcb-m6.bioreg.kyushu-u.ac.jp/M3/20110411/F50921/1076/1", 71.4)</f>
        <v>71.400000000000006</v>
      </c>
      <c r="E3692" s="2">
        <v>36.96</v>
      </c>
      <c r="F3692" s="2">
        <v>2</v>
      </c>
      <c r="G3692" s="2" t="s">
        <v>10</v>
      </c>
    </row>
    <row r="3693" spans="1:8" x14ac:dyDescent="0.2">
      <c r="A3693" s="2" t="s">
        <v>3343</v>
      </c>
      <c r="B3693" s="2" t="s">
        <v>546</v>
      </c>
      <c r="C3693" s="2">
        <v>665.00959999999998</v>
      </c>
      <c r="D3693" s="2">
        <f>HYPERLINK("http://mcb-m6.bioreg.kyushu-u.ac.jp/M3/20110411/F50897/1579/2", 71.48)</f>
        <v>71.48</v>
      </c>
      <c r="E3693" s="2">
        <v>49.22</v>
      </c>
      <c r="F3693" s="2">
        <v>2</v>
      </c>
      <c r="G3693" s="2" t="s">
        <v>10</v>
      </c>
    </row>
    <row r="3694" spans="1:8" x14ac:dyDescent="0.2">
      <c r="A3694" s="2" t="s">
        <v>3343</v>
      </c>
      <c r="B3694" s="2" t="s">
        <v>344</v>
      </c>
      <c r="C3694" s="2">
        <v>919.46169999999995</v>
      </c>
      <c r="D3694" s="2">
        <f>HYPERLINK("http://mcb-m6.bioreg.kyushu-u.ac.jp/M3/20110411/F50921/2614/1", 73.48)</f>
        <v>73.48</v>
      </c>
      <c r="E3694" s="2">
        <v>56.28</v>
      </c>
      <c r="F3694" s="2">
        <v>2</v>
      </c>
      <c r="G3694" s="2" t="s">
        <v>10</v>
      </c>
    </row>
    <row r="3695" spans="1:8" x14ac:dyDescent="0.2">
      <c r="A3695" s="2" t="s">
        <v>3343</v>
      </c>
      <c r="B3695" s="2" t="s">
        <v>943</v>
      </c>
      <c r="C3695" s="2">
        <v>506.9151</v>
      </c>
      <c r="D3695" s="2">
        <f>HYPERLINK("http://mcb-m6.bioreg.kyushu-u.ac.jp/M3/20110411/F50902/1162/1", 73.74)</f>
        <v>73.739999999999995</v>
      </c>
      <c r="E3695" s="2">
        <v>44.07</v>
      </c>
      <c r="F3695" s="2">
        <v>2</v>
      </c>
      <c r="G3695" s="2" t="s">
        <v>10</v>
      </c>
    </row>
    <row r="3696" spans="1:8" x14ac:dyDescent="0.2">
      <c r="A3696" s="2" t="s">
        <v>3343</v>
      </c>
      <c r="B3696" s="2" t="s">
        <v>558</v>
      </c>
      <c r="C3696" s="2">
        <v>729.58969999999999</v>
      </c>
      <c r="D3696" s="2">
        <f>HYPERLINK("http://mcb-m6.bioreg.kyushu-u.ac.jp/M3/20110411/F50901/1980/1", 74.34)</f>
        <v>74.34</v>
      </c>
      <c r="E3696" s="2">
        <v>53.09</v>
      </c>
      <c r="F3696" s="2">
        <v>2</v>
      </c>
      <c r="G3696" s="2" t="s">
        <v>10</v>
      </c>
    </row>
    <row r="3697" spans="1:8" x14ac:dyDescent="0.2">
      <c r="A3697" s="2" t="s">
        <v>3343</v>
      </c>
      <c r="B3697" s="2" t="s">
        <v>344</v>
      </c>
      <c r="C3697" s="2">
        <v>919.50459999999998</v>
      </c>
      <c r="D3697" s="2">
        <f>HYPERLINK("http://mcb-m6.bioreg.kyushu-u.ac.jp/M3/20110411/F50921/2617/1", 74.85)</f>
        <v>74.849999999999994</v>
      </c>
      <c r="E3697" s="2">
        <v>51.06</v>
      </c>
      <c r="F3697" s="2">
        <v>2</v>
      </c>
      <c r="G3697" s="2" t="s">
        <v>10</v>
      </c>
    </row>
    <row r="3698" spans="1:8" x14ac:dyDescent="0.2">
      <c r="A3698" s="2" t="s">
        <v>3343</v>
      </c>
      <c r="B3698" s="2" t="s">
        <v>344</v>
      </c>
      <c r="C3698" s="2">
        <v>919.46810000000005</v>
      </c>
      <c r="D3698" s="2">
        <f>HYPERLINK("http://mcb-m6.bioreg.kyushu-u.ac.jp/M3/20110411/F50914/2936/1", 75.23)</f>
        <v>75.23</v>
      </c>
      <c r="E3698" s="2">
        <v>49.63</v>
      </c>
      <c r="F3698" s="2">
        <v>2</v>
      </c>
      <c r="G3698" s="2" t="s">
        <v>10</v>
      </c>
    </row>
    <row r="3699" spans="1:8" x14ac:dyDescent="0.2">
      <c r="A3699" s="2" t="s">
        <v>3343</v>
      </c>
      <c r="B3699" s="2" t="s">
        <v>1189</v>
      </c>
      <c r="C3699" s="2">
        <v>1070.136</v>
      </c>
      <c r="D3699" s="2">
        <f>HYPERLINK("http://mcb-m6.bioreg.kyushu-u.ac.jp/M3/20110411/F50896/3063/1", 76.1)</f>
        <v>76.099999999999994</v>
      </c>
      <c r="E3699" s="2">
        <v>61.22</v>
      </c>
      <c r="F3699" s="2">
        <v>2</v>
      </c>
      <c r="G3699" s="2" t="s">
        <v>10</v>
      </c>
    </row>
    <row r="3700" spans="1:8" x14ac:dyDescent="0.2">
      <c r="A3700" s="2" t="s">
        <v>3343</v>
      </c>
      <c r="B3700" s="2" t="s">
        <v>546</v>
      </c>
      <c r="C3700" s="2">
        <v>664.79719999999998</v>
      </c>
      <c r="D3700" s="2">
        <f>HYPERLINK("http://mcb-m6.bioreg.kyushu-u.ac.jp/M3/20110411/F50921/1447/2", 76.71)</f>
        <v>76.709999999999994</v>
      </c>
      <c r="E3700" s="2">
        <v>57.21</v>
      </c>
      <c r="F3700" s="2">
        <v>2</v>
      </c>
      <c r="G3700" s="2" t="s">
        <v>10</v>
      </c>
    </row>
    <row r="3701" spans="1:8" x14ac:dyDescent="0.2">
      <c r="A3701" s="2" t="s">
        <v>3343</v>
      </c>
      <c r="B3701" s="2" t="s">
        <v>558</v>
      </c>
      <c r="C3701" s="2">
        <v>729.67169999999999</v>
      </c>
      <c r="D3701" s="2">
        <f>HYPERLINK("http://mcb-m6.bioreg.kyushu-u.ac.jp/M3/20110411/F50912/1984/1", 76.9)</f>
        <v>76.900000000000006</v>
      </c>
      <c r="E3701" s="2">
        <v>51.96</v>
      </c>
      <c r="F3701" s="2">
        <v>2</v>
      </c>
      <c r="G3701" s="2" t="s">
        <v>10</v>
      </c>
    </row>
    <row r="3702" spans="1:8" x14ac:dyDescent="0.2">
      <c r="A3702" s="2" t="s">
        <v>3343</v>
      </c>
      <c r="B3702" s="2" t="s">
        <v>1002</v>
      </c>
      <c r="C3702" s="2">
        <v>1147.54</v>
      </c>
      <c r="D3702" s="2">
        <f>HYPERLINK("http://mcb-m6.bioreg.kyushu-u.ac.jp/M3/20110411/F50921/3353/1", 77.63)</f>
        <v>77.63</v>
      </c>
      <c r="E3702" s="2">
        <v>70.510000000000005</v>
      </c>
      <c r="F3702" s="2">
        <v>2</v>
      </c>
      <c r="G3702" s="2" t="s">
        <v>10</v>
      </c>
    </row>
    <row r="3703" spans="1:8" x14ac:dyDescent="0.2">
      <c r="A3703" s="2" t="s">
        <v>3343</v>
      </c>
      <c r="B3703" s="2" t="s">
        <v>704</v>
      </c>
      <c r="C3703" s="2">
        <v>610.84969999999998</v>
      </c>
      <c r="D3703" s="2">
        <f>HYPERLINK("http://mcb-m6.bioreg.kyushu-u.ac.jp/M3/20110411/F50921/1263/1", 77.9)</f>
        <v>77.900000000000006</v>
      </c>
      <c r="E3703" s="2">
        <v>43.05</v>
      </c>
      <c r="F3703" s="2">
        <v>2</v>
      </c>
      <c r="G3703" s="2" t="s">
        <v>10</v>
      </c>
      <c r="H3703" s="2" t="s">
        <v>4908</v>
      </c>
    </row>
    <row r="3704" spans="1:8" x14ac:dyDescent="0.2">
      <c r="A3704" s="2" t="s">
        <v>3343</v>
      </c>
      <c r="B3704" s="2" t="s">
        <v>558</v>
      </c>
      <c r="C3704" s="2">
        <v>729.52470000000005</v>
      </c>
      <c r="D3704" s="2">
        <f>HYPERLINK("http://mcb-m6.bioreg.kyushu-u.ac.jp/M3/20110411/F50902/1994/1", 78.58)</f>
        <v>78.58</v>
      </c>
      <c r="E3704" s="2">
        <v>59.64</v>
      </c>
      <c r="F3704" s="2">
        <v>2</v>
      </c>
      <c r="G3704" s="2" t="s">
        <v>10</v>
      </c>
    </row>
    <row r="3705" spans="1:8" x14ac:dyDescent="0.2">
      <c r="A3705" s="2" t="s">
        <v>3343</v>
      </c>
      <c r="B3705" s="2" t="s">
        <v>558</v>
      </c>
      <c r="C3705" s="2">
        <v>729.45510000000002</v>
      </c>
      <c r="D3705" s="2">
        <f>HYPERLINK("http://mcb-m6.bioreg.kyushu-u.ac.jp/M3/20110411/F50921/1769/1", 78.63)</f>
        <v>78.63</v>
      </c>
      <c r="E3705" s="2">
        <v>64.349999999999994</v>
      </c>
      <c r="F3705" s="2">
        <v>2</v>
      </c>
      <c r="G3705" s="2" t="s">
        <v>10</v>
      </c>
    </row>
    <row r="3706" spans="1:8" x14ac:dyDescent="0.2">
      <c r="A3706" s="2" t="s">
        <v>3343</v>
      </c>
      <c r="B3706" s="2" t="s">
        <v>1002</v>
      </c>
      <c r="C3706" s="2">
        <v>1147.7329999999999</v>
      </c>
      <c r="D3706" s="2">
        <f>HYPERLINK("http://mcb-m6.bioreg.kyushu-u.ac.jp/M3/20110411/F50913/3570/1", 81.21)</f>
        <v>81.209999999999994</v>
      </c>
      <c r="E3706" s="2">
        <v>65.48</v>
      </c>
      <c r="F3706" s="2">
        <v>2</v>
      </c>
      <c r="G3706" s="2" t="s">
        <v>10</v>
      </c>
    </row>
    <row r="3707" spans="1:8" x14ac:dyDescent="0.2">
      <c r="A3707" s="2" t="s">
        <v>3343</v>
      </c>
      <c r="B3707" s="2" t="s">
        <v>546</v>
      </c>
      <c r="C3707" s="2">
        <v>665.09010000000001</v>
      </c>
      <c r="D3707" s="2">
        <f>HYPERLINK("http://mcb-m6.bioreg.kyushu-u.ac.jp/M3/20110411/F50913/1632/2", 81.55)</f>
        <v>81.55</v>
      </c>
      <c r="E3707" s="2">
        <v>56.7</v>
      </c>
      <c r="F3707" s="2">
        <v>2</v>
      </c>
      <c r="G3707" s="2" t="s">
        <v>10</v>
      </c>
    </row>
    <row r="3708" spans="1:8" x14ac:dyDescent="0.2">
      <c r="A3708" s="2" t="s">
        <v>3343</v>
      </c>
      <c r="B3708" s="2" t="s">
        <v>344</v>
      </c>
      <c r="C3708" s="2">
        <v>919.54020000000003</v>
      </c>
      <c r="D3708" s="2">
        <f>HYPERLINK("http://mcb-m6.bioreg.kyushu-u.ac.jp/M3/20110411/F50917/2986/1", 81.8)</f>
        <v>81.8</v>
      </c>
      <c r="E3708" s="2">
        <v>57.2</v>
      </c>
      <c r="F3708" s="2">
        <v>2</v>
      </c>
      <c r="G3708" s="2" t="s">
        <v>10</v>
      </c>
    </row>
    <row r="3709" spans="1:8" x14ac:dyDescent="0.2">
      <c r="A3709" s="2" t="s">
        <v>3343</v>
      </c>
      <c r="B3709" s="2" t="s">
        <v>1002</v>
      </c>
      <c r="C3709" s="2">
        <v>1147.71</v>
      </c>
      <c r="D3709" s="2">
        <f>HYPERLINK("http://mcb-m6.bioreg.kyushu-u.ac.jp/M3/20110411/F50912/3549/1", 82.25)</f>
        <v>82.25</v>
      </c>
      <c r="E3709" s="2">
        <v>67.989999999999995</v>
      </c>
      <c r="F3709" s="2">
        <v>2</v>
      </c>
      <c r="G3709" s="2" t="s">
        <v>10</v>
      </c>
    </row>
    <row r="3710" spans="1:8" x14ac:dyDescent="0.2">
      <c r="A3710" s="2" t="s">
        <v>3343</v>
      </c>
      <c r="B3710" s="2" t="s">
        <v>546</v>
      </c>
      <c r="C3710" s="2">
        <v>664.81370000000004</v>
      </c>
      <c r="D3710" s="2">
        <f>HYPERLINK("http://mcb-m6.bioreg.kyushu-u.ac.jp/M3/20110411/F50921/1449/2", 82.56)</f>
        <v>82.56</v>
      </c>
      <c r="E3710" s="2">
        <v>68.87</v>
      </c>
      <c r="F3710" s="2">
        <v>2</v>
      </c>
      <c r="G3710" s="2" t="s">
        <v>10</v>
      </c>
    </row>
    <row r="3711" spans="1:8" x14ac:dyDescent="0.2">
      <c r="A3711" s="2" t="s">
        <v>3343</v>
      </c>
      <c r="B3711" s="2" t="s">
        <v>1189</v>
      </c>
      <c r="C3711" s="2">
        <v>1069.556</v>
      </c>
      <c r="D3711" s="2">
        <f>HYPERLINK("http://mcb-m6.bioreg.kyushu-u.ac.jp/M3/20110411/F50917/3551/1", 83.01)</f>
        <v>83.01</v>
      </c>
      <c r="E3711" s="2">
        <v>71.010000000000005</v>
      </c>
      <c r="F3711" s="2">
        <v>2</v>
      </c>
      <c r="G3711" s="2" t="s">
        <v>10</v>
      </c>
    </row>
    <row r="3712" spans="1:8" x14ac:dyDescent="0.2">
      <c r="A3712" s="2" t="s">
        <v>3343</v>
      </c>
      <c r="B3712" s="2" t="s">
        <v>344</v>
      </c>
      <c r="C3712" s="2">
        <v>919.53719999999998</v>
      </c>
      <c r="D3712" s="2">
        <f>HYPERLINK("http://mcb-m6.bioreg.kyushu-u.ac.jp/M3/20110411/F50897/2867/1", 84.34)</f>
        <v>84.34</v>
      </c>
      <c r="E3712" s="2">
        <v>59.05</v>
      </c>
      <c r="F3712" s="2">
        <v>2</v>
      </c>
      <c r="G3712" s="2" t="s">
        <v>10</v>
      </c>
    </row>
    <row r="3713" spans="1:8" x14ac:dyDescent="0.2">
      <c r="A3713" s="2" t="s">
        <v>3343</v>
      </c>
      <c r="B3713" s="2" t="s">
        <v>546</v>
      </c>
      <c r="C3713" s="2">
        <v>664.93709999999999</v>
      </c>
      <c r="D3713" s="2">
        <f>HYPERLINK("http://mcb-m6.bioreg.kyushu-u.ac.jp/M3/20110411/F50900/1835/2", 84.56)</f>
        <v>84.56</v>
      </c>
      <c r="E3713" s="2">
        <v>64.41</v>
      </c>
      <c r="F3713" s="2">
        <v>2</v>
      </c>
      <c r="G3713" s="2" t="s">
        <v>10</v>
      </c>
    </row>
    <row r="3714" spans="1:8" x14ac:dyDescent="0.2">
      <c r="A3714" s="2" t="s">
        <v>3343</v>
      </c>
      <c r="B3714" s="2" t="s">
        <v>325</v>
      </c>
      <c r="C3714" s="2">
        <v>739.45320000000004</v>
      </c>
      <c r="D3714" s="2">
        <f>HYPERLINK("http://mcb-m6.bioreg.kyushu-u.ac.jp/M3/20110411/F50912/2023/1", 85.05)</f>
        <v>85.05</v>
      </c>
      <c r="E3714" s="2">
        <v>69.36</v>
      </c>
      <c r="F3714" s="2">
        <v>2</v>
      </c>
      <c r="G3714" s="2" t="s">
        <v>10</v>
      </c>
    </row>
    <row r="3715" spans="1:8" x14ac:dyDescent="0.2">
      <c r="A3715" s="2" t="s">
        <v>3343</v>
      </c>
      <c r="B3715" s="2" t="s">
        <v>509</v>
      </c>
      <c r="C3715" s="2">
        <v>725.4307</v>
      </c>
      <c r="D3715" s="2">
        <f>HYPERLINK("http://mcb-m6.bioreg.kyushu-u.ac.jp/M3/20110411/F50921/1758/1", 88.02)</f>
        <v>88.02</v>
      </c>
      <c r="E3715" s="2">
        <v>69.44</v>
      </c>
      <c r="F3715" s="2">
        <v>2</v>
      </c>
      <c r="G3715" s="2" t="s">
        <v>10</v>
      </c>
      <c r="H3715" s="2" t="s">
        <v>4927</v>
      </c>
    </row>
    <row r="3716" spans="1:8" x14ac:dyDescent="0.2">
      <c r="A3716" s="2" t="s">
        <v>3343</v>
      </c>
      <c r="B3716" s="2" t="s">
        <v>546</v>
      </c>
      <c r="C3716" s="2">
        <v>665.03859999999997</v>
      </c>
      <c r="D3716" s="2">
        <f>HYPERLINK("http://mcb-m6.bioreg.kyushu-u.ac.jp/M3/20110411/F50902/1688/2", 88.11)</f>
        <v>88.11</v>
      </c>
      <c r="E3716" s="2">
        <v>69.540000000000006</v>
      </c>
      <c r="F3716" s="2">
        <v>2</v>
      </c>
      <c r="G3716" s="2" t="s">
        <v>10</v>
      </c>
    </row>
    <row r="3717" spans="1:8" x14ac:dyDescent="0.2">
      <c r="A3717" s="2" t="s">
        <v>3343</v>
      </c>
      <c r="B3717" s="2" t="s">
        <v>1032</v>
      </c>
      <c r="C3717" s="2">
        <v>1164.1379999999999</v>
      </c>
      <c r="D3717" s="2">
        <f>HYPERLINK("http://mcb-m6.bioreg.kyushu-u.ac.jp/M3/20110411/F50920/3258/1", 89.92)</f>
        <v>89.92</v>
      </c>
      <c r="E3717" s="2">
        <v>77.400000000000006</v>
      </c>
      <c r="F3717" s="2">
        <v>2</v>
      </c>
      <c r="G3717" s="2" t="s">
        <v>10</v>
      </c>
    </row>
    <row r="3718" spans="1:8" x14ac:dyDescent="0.2">
      <c r="A3718" s="2" t="s">
        <v>3343</v>
      </c>
      <c r="B3718" s="2" t="s">
        <v>1032</v>
      </c>
      <c r="C3718" s="2">
        <v>1164.164</v>
      </c>
      <c r="D3718" s="2">
        <f>HYPERLINK("http://mcb-m6.bioreg.kyushu-u.ac.jp/M3/20110411/F50913/3617/1", 92.39)</f>
        <v>92.39</v>
      </c>
      <c r="E3718" s="2">
        <v>78.989999999999995</v>
      </c>
      <c r="F3718" s="2">
        <v>2</v>
      </c>
      <c r="G3718" s="2" t="s">
        <v>10</v>
      </c>
    </row>
    <row r="3719" spans="1:8" x14ac:dyDescent="0.2">
      <c r="A3719" s="2" t="s">
        <v>3343</v>
      </c>
      <c r="B3719" s="2" t="s">
        <v>325</v>
      </c>
      <c r="C3719" s="2">
        <v>739.65419999999995</v>
      </c>
      <c r="D3719" s="2">
        <f>HYPERLINK("http://mcb-m6.bioreg.kyushu-u.ac.jp/M3/20110411/F50917/1939/1", 93.13)</f>
        <v>93.13</v>
      </c>
      <c r="E3719" s="2">
        <v>75.72</v>
      </c>
      <c r="F3719" s="2">
        <v>2</v>
      </c>
      <c r="G3719" s="2" t="s">
        <v>10</v>
      </c>
    </row>
    <row r="3720" spans="1:8" x14ac:dyDescent="0.2">
      <c r="A3720" s="2" t="s">
        <v>3343</v>
      </c>
      <c r="B3720" s="2" t="s">
        <v>325</v>
      </c>
      <c r="C3720" s="2">
        <v>739.64620000000002</v>
      </c>
      <c r="D3720" s="2">
        <f>HYPERLINK("http://mcb-m6.bioreg.kyushu-u.ac.jp/M3/20110411/F50914/2081/1", 93.44)</f>
        <v>93.44</v>
      </c>
      <c r="E3720" s="2">
        <v>80.88</v>
      </c>
      <c r="F3720" s="2">
        <v>2</v>
      </c>
      <c r="G3720" s="2" t="s">
        <v>10</v>
      </c>
    </row>
    <row r="3721" spans="1:8" x14ac:dyDescent="0.2">
      <c r="A3721" s="2" t="s">
        <v>3343</v>
      </c>
      <c r="B3721" s="2" t="s">
        <v>325</v>
      </c>
      <c r="C3721" s="2">
        <v>739.51509999999996</v>
      </c>
      <c r="D3721" s="2">
        <f>HYPERLINK("http://mcb-m6.bioreg.kyushu-u.ac.jp/M3/20110411/F50921/1826/1", 93.45)</f>
        <v>93.45</v>
      </c>
      <c r="E3721" s="2">
        <v>68.86</v>
      </c>
      <c r="F3721" s="2">
        <v>2</v>
      </c>
      <c r="G3721" s="2" t="s">
        <v>10</v>
      </c>
    </row>
    <row r="3722" spans="1:8" x14ac:dyDescent="0.2">
      <c r="A3722" s="2" t="s">
        <v>3343</v>
      </c>
      <c r="B3722" s="2" t="s">
        <v>325</v>
      </c>
      <c r="C3722" s="2">
        <v>739.38570000000004</v>
      </c>
      <c r="D3722" s="2">
        <f>HYPERLINK("http://mcb-m6.bioreg.kyushu-u.ac.jp/M3/20110411/F50899/2254/1", 94.79)</f>
        <v>94.79</v>
      </c>
      <c r="E3722" s="2">
        <v>80.72</v>
      </c>
      <c r="F3722" s="2">
        <v>2</v>
      </c>
      <c r="G3722" s="2" t="s">
        <v>10</v>
      </c>
    </row>
    <row r="3723" spans="1:8" x14ac:dyDescent="0.2">
      <c r="A3723" s="2" t="s">
        <v>3343</v>
      </c>
      <c r="B3723" s="2" t="s">
        <v>1189</v>
      </c>
      <c r="C3723" s="2">
        <v>1069.5360000000001</v>
      </c>
      <c r="D3723" s="2">
        <f>HYPERLINK("http://mcb-m6.bioreg.kyushu-u.ac.jp/M3/20110411/F50921/3128/1", 95.31)</f>
        <v>95.31</v>
      </c>
      <c r="E3723" s="2">
        <v>82.64</v>
      </c>
      <c r="F3723" s="2">
        <v>2</v>
      </c>
      <c r="G3723" s="2" t="s">
        <v>10</v>
      </c>
    </row>
    <row r="3724" spans="1:8" x14ac:dyDescent="0.2">
      <c r="A3724" s="2" t="s">
        <v>3343</v>
      </c>
      <c r="B3724" s="2" t="s">
        <v>344</v>
      </c>
      <c r="C3724" s="2">
        <v>919.63570000000004</v>
      </c>
      <c r="D3724" s="2">
        <f>HYPERLINK("http://mcb-m6.bioreg.kyushu-u.ac.jp/M3/20110411/F50912/2866/1", 96.93)</f>
        <v>96.93</v>
      </c>
      <c r="E3724" s="2">
        <v>65.97</v>
      </c>
      <c r="F3724" s="2">
        <v>2</v>
      </c>
      <c r="G3724" s="2" t="s">
        <v>10</v>
      </c>
    </row>
    <row r="3725" spans="1:8" x14ac:dyDescent="0.2">
      <c r="A3725" s="2" t="s">
        <v>3343</v>
      </c>
      <c r="B3725" s="2" t="s">
        <v>509</v>
      </c>
      <c r="C3725" s="2">
        <v>725.77419999999995</v>
      </c>
      <c r="D3725" s="2">
        <f>HYPERLINK("http://mcb-m6.bioreg.kyushu-u.ac.jp/M3/20110411/F50912/1974/1", 97.24)</f>
        <v>97.24</v>
      </c>
      <c r="E3725" s="2">
        <v>75.569999999999993</v>
      </c>
      <c r="F3725" s="2">
        <v>2</v>
      </c>
      <c r="G3725" s="2" t="s">
        <v>10</v>
      </c>
      <c r="H3725" s="2" t="s">
        <v>4927</v>
      </c>
    </row>
    <row r="3726" spans="1:8" x14ac:dyDescent="0.2">
      <c r="A3726" s="2" t="s">
        <v>3343</v>
      </c>
      <c r="B3726" s="2" t="s">
        <v>1032</v>
      </c>
      <c r="C3726" s="2">
        <v>1163.511</v>
      </c>
      <c r="D3726" s="2">
        <f>HYPERLINK("http://mcb-m6.bioreg.kyushu-u.ac.jp/M3/20110411/F50921/3420/1", 97.69)</f>
        <v>97.69</v>
      </c>
      <c r="E3726" s="2">
        <v>87.32</v>
      </c>
      <c r="F3726" s="2">
        <v>2</v>
      </c>
      <c r="G3726" s="2" t="s">
        <v>10</v>
      </c>
    </row>
    <row r="3727" spans="1:8" x14ac:dyDescent="0.2">
      <c r="A3727" s="2" t="s">
        <v>3343</v>
      </c>
      <c r="B3727" s="2" t="s">
        <v>325</v>
      </c>
      <c r="C3727" s="2">
        <v>739.25070000000005</v>
      </c>
      <c r="D3727" s="2">
        <f>HYPERLINK("http://mcb-m6.bioreg.kyushu-u.ac.jp/M3/20110411/F50921/1820/1", 98.15)</f>
        <v>98.15</v>
      </c>
      <c r="E3727" s="2">
        <v>83.24</v>
      </c>
      <c r="F3727" s="2">
        <v>2</v>
      </c>
      <c r="G3727" s="2" t="s">
        <v>10</v>
      </c>
    </row>
    <row r="3728" spans="1:8" x14ac:dyDescent="0.2">
      <c r="A3728" s="2" t="s">
        <v>3343</v>
      </c>
      <c r="B3728" s="2" t="s">
        <v>1032</v>
      </c>
      <c r="C3728" s="2">
        <v>1164.153</v>
      </c>
      <c r="D3728" s="2">
        <f>HYPERLINK("http://mcb-m6.bioreg.kyushu-u.ac.jp/M3/20110411/F50921/3429/1", 98.75)</f>
        <v>98.75</v>
      </c>
      <c r="E3728" s="2">
        <v>82.54</v>
      </c>
      <c r="F3728" s="2">
        <v>2</v>
      </c>
      <c r="G3728" s="2" t="s">
        <v>10</v>
      </c>
    </row>
    <row r="3729" spans="1:8" x14ac:dyDescent="0.2">
      <c r="A3729" s="2" t="s">
        <v>3343</v>
      </c>
      <c r="B3729" s="2" t="s">
        <v>1032</v>
      </c>
      <c r="C3729" s="2">
        <v>1163.585</v>
      </c>
      <c r="D3729" s="2">
        <f>HYPERLINK("http://mcb-m6.bioreg.kyushu-u.ac.jp/M3/20110411/F50917/3857/1", 98.88)</f>
        <v>98.88</v>
      </c>
      <c r="E3729" s="2">
        <v>84.86</v>
      </c>
      <c r="F3729" s="2">
        <v>2</v>
      </c>
      <c r="G3729" s="2" t="s">
        <v>10</v>
      </c>
    </row>
    <row r="3730" spans="1:8" x14ac:dyDescent="0.2">
      <c r="A3730" s="2" t="s">
        <v>3343</v>
      </c>
      <c r="B3730" s="2" t="s">
        <v>325</v>
      </c>
      <c r="C3730" s="2">
        <v>739.8682</v>
      </c>
      <c r="D3730" s="2">
        <f>HYPERLINK("http://mcb-m6.bioreg.kyushu-u.ac.jp/M3/20110411/F50921/1828/1", 99.96)</f>
        <v>99.96</v>
      </c>
      <c r="E3730" s="2">
        <v>85.71</v>
      </c>
      <c r="F3730" s="2">
        <v>2</v>
      </c>
      <c r="G3730" s="2" t="s">
        <v>10</v>
      </c>
    </row>
    <row r="3731" spans="1:8" x14ac:dyDescent="0.2">
      <c r="A3731" s="2" t="s">
        <v>3343</v>
      </c>
      <c r="B3731" s="2" t="s">
        <v>1032</v>
      </c>
      <c r="C3731" s="2">
        <v>1164.0260000000001</v>
      </c>
      <c r="D3731" s="2">
        <f>HYPERLINK("http://mcb-m6.bioreg.kyushu-u.ac.jp/M3/20110411/F50921/3426/1", 100.27)</f>
        <v>100.27</v>
      </c>
      <c r="E3731" s="2">
        <v>82.52</v>
      </c>
      <c r="F3731" s="2">
        <v>2</v>
      </c>
      <c r="G3731" s="2" t="s">
        <v>10</v>
      </c>
    </row>
    <row r="3732" spans="1:8" x14ac:dyDescent="0.2">
      <c r="A3732" s="2" t="s">
        <v>3343</v>
      </c>
      <c r="B3732" s="2" t="s">
        <v>1189</v>
      </c>
      <c r="C3732" s="2">
        <v>1070.037</v>
      </c>
      <c r="D3732" s="2">
        <f>HYPERLINK("http://mcb-m6.bioreg.kyushu-u.ac.jp/M3/20110411/F50921/3131/1", 100.59)</f>
        <v>100.59</v>
      </c>
      <c r="E3732" s="2">
        <v>86</v>
      </c>
      <c r="F3732" s="2">
        <v>2</v>
      </c>
      <c r="G3732" s="2" t="s">
        <v>10</v>
      </c>
    </row>
    <row r="3733" spans="1:8" x14ac:dyDescent="0.2">
      <c r="A3733" s="2" t="s">
        <v>3343</v>
      </c>
      <c r="B3733" s="2" t="s">
        <v>1032</v>
      </c>
      <c r="C3733" s="2">
        <v>1164.0129999999999</v>
      </c>
      <c r="D3733" s="2">
        <f>HYPERLINK("http://mcb-m6.bioreg.kyushu-u.ac.jp/M3/20110411/F50921/3425/1", 102.57)</f>
        <v>102.57</v>
      </c>
      <c r="E3733" s="2">
        <v>88.49</v>
      </c>
      <c r="F3733" s="2">
        <v>2</v>
      </c>
      <c r="G3733" s="2" t="s">
        <v>10</v>
      </c>
    </row>
    <row r="3734" spans="1:8" x14ac:dyDescent="0.2">
      <c r="A3734" s="2" t="s">
        <v>3343</v>
      </c>
      <c r="B3734" s="2" t="s">
        <v>325</v>
      </c>
      <c r="C3734" s="2">
        <v>739.94069999999999</v>
      </c>
      <c r="D3734" s="2">
        <f>HYPERLINK("http://mcb-m6.bioreg.kyushu-u.ac.jp/M3/20110411/F50921/1829/1", 103.81)</f>
        <v>103.81</v>
      </c>
      <c r="E3734" s="2">
        <v>92.17</v>
      </c>
      <c r="F3734" s="2">
        <v>2</v>
      </c>
      <c r="G3734" s="2" t="s">
        <v>10</v>
      </c>
    </row>
    <row r="3735" spans="1:8" x14ac:dyDescent="0.2">
      <c r="A3735" s="2" t="s">
        <v>3343</v>
      </c>
      <c r="B3735" s="2" t="s">
        <v>325</v>
      </c>
      <c r="C3735" s="2">
        <v>739.9597</v>
      </c>
      <c r="D3735" s="2">
        <f>HYPERLINK("http://mcb-m6.bioreg.kyushu-u.ac.jp/M3/20110411/F50912/2027/1", 104)</f>
        <v>104</v>
      </c>
      <c r="E3735" s="2">
        <v>89.85</v>
      </c>
      <c r="F3735" s="2">
        <v>2</v>
      </c>
      <c r="G3735" s="2" t="s">
        <v>10</v>
      </c>
    </row>
    <row r="3736" spans="1:8" x14ac:dyDescent="0.2">
      <c r="A3736" s="2" t="s">
        <v>3343</v>
      </c>
      <c r="B3736" s="2" t="s">
        <v>325</v>
      </c>
      <c r="C3736" s="2">
        <v>739.42169999999999</v>
      </c>
      <c r="D3736" s="2">
        <f>HYPERLINK("http://mcb-m6.bioreg.kyushu-u.ac.jp/M3/20110411/F50921/1824/1", 104.11)</f>
        <v>104.11</v>
      </c>
      <c r="E3736" s="2">
        <v>88.29</v>
      </c>
      <c r="F3736" s="2">
        <v>2</v>
      </c>
      <c r="G3736" s="2" t="s">
        <v>10</v>
      </c>
    </row>
    <row r="3737" spans="1:8" x14ac:dyDescent="0.2">
      <c r="A3737" s="2" t="s">
        <v>3343</v>
      </c>
      <c r="B3737" s="2" t="s">
        <v>1032</v>
      </c>
      <c r="C3737" s="2">
        <v>1163.8320000000001</v>
      </c>
      <c r="D3737" s="2">
        <f>HYPERLINK("http://mcb-m6.bioreg.kyushu-u.ac.jp/M3/20110411/F50897/3604/1", 116.41)</f>
        <v>116.41</v>
      </c>
      <c r="E3737" s="2">
        <v>107.72</v>
      </c>
      <c r="F3737" s="2">
        <v>2</v>
      </c>
      <c r="G3737" s="2" t="s">
        <v>10</v>
      </c>
    </row>
    <row r="3738" spans="1:8" x14ac:dyDescent="0.2">
      <c r="A3738" s="2" t="s">
        <v>3343</v>
      </c>
      <c r="B3738" s="2" t="s">
        <v>1032</v>
      </c>
      <c r="C3738" s="2">
        <v>1163.4829999999999</v>
      </c>
      <c r="D3738" s="2">
        <f>HYPERLINK("http://mcb-m6.bioreg.kyushu-u.ac.jp/M3/20110411/F50913/3615/1", 118.73)</f>
        <v>118.73</v>
      </c>
      <c r="E3738" s="2">
        <v>106.24</v>
      </c>
      <c r="F3738" s="2">
        <v>2</v>
      </c>
      <c r="G3738" s="2" t="s">
        <v>10</v>
      </c>
    </row>
    <row r="3739" spans="1:8" x14ac:dyDescent="0.2">
      <c r="A3739" s="2" t="s">
        <v>3343</v>
      </c>
      <c r="B3739" s="2" t="s">
        <v>1032</v>
      </c>
      <c r="C3739" s="2">
        <v>1163.6600000000001</v>
      </c>
      <c r="D3739" s="2">
        <f>HYPERLINK("http://mcb-m6.bioreg.kyushu-u.ac.jp/M3/20110411/F50921/3421/1", 133.03)</f>
        <v>133.03</v>
      </c>
      <c r="E3739" s="2">
        <v>117.24</v>
      </c>
      <c r="F3739" s="2">
        <v>2</v>
      </c>
      <c r="G3739" s="2" t="s">
        <v>10</v>
      </c>
    </row>
    <row r="3740" spans="1:8" x14ac:dyDescent="0.2">
      <c r="A3740" s="2" t="s">
        <v>3343</v>
      </c>
      <c r="B3740" s="2" t="s">
        <v>428</v>
      </c>
      <c r="C3740" s="2">
        <v>902.56100000000004</v>
      </c>
      <c r="D3740" s="2">
        <f>HYPERLINK("http://mcb-m6.bioreg.kyushu-u.ac.jp/M3/20110414/F50945/893/1", 35.13)</f>
        <v>35.130000000000003</v>
      </c>
      <c r="E3740" s="2">
        <v>13.75</v>
      </c>
      <c r="F3740" s="2">
        <v>1</v>
      </c>
      <c r="G3740" s="2" t="s">
        <v>11</v>
      </c>
    </row>
    <row r="3741" spans="1:8" x14ac:dyDescent="0.2">
      <c r="A3741" s="2" t="s">
        <v>3343</v>
      </c>
      <c r="B3741" s="2" t="s">
        <v>509</v>
      </c>
      <c r="C3741" s="2">
        <v>1449.6759999999999</v>
      </c>
      <c r="D3741" s="2">
        <f>HYPERLINK("http://mcb-m6.bioreg.kyushu-u.ac.jp/M3/20110414/F50945/1931/1", 35.19)</f>
        <v>35.19</v>
      </c>
      <c r="E3741" s="2">
        <v>18.8</v>
      </c>
      <c r="F3741" s="2">
        <v>1</v>
      </c>
      <c r="G3741" s="2" t="s">
        <v>11</v>
      </c>
      <c r="H3741" s="2" t="s">
        <v>4927</v>
      </c>
    </row>
    <row r="3742" spans="1:8" x14ac:dyDescent="0.2">
      <c r="A3742" s="2" t="s">
        <v>3343</v>
      </c>
      <c r="B3742" s="2" t="s">
        <v>428</v>
      </c>
      <c r="C3742" s="2">
        <v>902.48500000000001</v>
      </c>
      <c r="D3742" s="2">
        <f>HYPERLINK("http://mcb-m6.bioreg.kyushu-u.ac.jp/M3/20110414/F50945/891/1", 35.34)</f>
        <v>35.340000000000003</v>
      </c>
      <c r="E3742" s="2">
        <v>17.25</v>
      </c>
      <c r="F3742" s="2">
        <v>1</v>
      </c>
      <c r="G3742" s="2" t="s">
        <v>11</v>
      </c>
    </row>
    <row r="3743" spans="1:8" x14ac:dyDescent="0.2">
      <c r="A3743" s="2" t="s">
        <v>3343</v>
      </c>
      <c r="B3743" s="2" t="s">
        <v>132</v>
      </c>
      <c r="C3743" s="2">
        <v>578.28859999999997</v>
      </c>
      <c r="D3743" s="2">
        <f>HYPERLINK("http://mcb-m6.bioreg.kyushu-u.ac.jp/M3/20110414/F50943/1148/1", 35.39)</f>
        <v>35.39</v>
      </c>
      <c r="E3743" s="2">
        <v>8.6199999999999992</v>
      </c>
      <c r="F3743" s="2">
        <v>2</v>
      </c>
      <c r="G3743" s="2" t="s">
        <v>11</v>
      </c>
    </row>
    <row r="3744" spans="1:8" x14ac:dyDescent="0.2">
      <c r="A3744" s="2" t="s">
        <v>3343</v>
      </c>
      <c r="B3744" s="2" t="s">
        <v>704</v>
      </c>
      <c r="C3744" s="2">
        <v>1220.6679999999999</v>
      </c>
      <c r="D3744" s="2">
        <f>HYPERLINK("http://mcb-m6.bioreg.kyushu-u.ac.jp/M3/20110414/F50945/1475/1", 35.69)</f>
        <v>35.69</v>
      </c>
      <c r="E3744" s="2">
        <v>9.9700000000000006</v>
      </c>
      <c r="F3744" s="2">
        <v>1</v>
      </c>
      <c r="G3744" s="2" t="s">
        <v>11</v>
      </c>
      <c r="H3744" s="2" t="s">
        <v>4908</v>
      </c>
    </row>
    <row r="3745" spans="1:8" x14ac:dyDescent="0.2">
      <c r="A3745" s="2" t="s">
        <v>3343</v>
      </c>
      <c r="B3745" s="2" t="s">
        <v>704</v>
      </c>
      <c r="C3745" s="2">
        <v>1204.5830000000001</v>
      </c>
      <c r="D3745" s="2">
        <f>HYPERLINK("http://mcb-m6.bioreg.kyushu-u.ac.jp/M3/20110414/F50945/1443/1", 35.79)</f>
        <v>35.79</v>
      </c>
      <c r="E3745" s="2">
        <v>13.6</v>
      </c>
      <c r="F3745" s="2">
        <v>1</v>
      </c>
      <c r="G3745" s="2" t="s">
        <v>11</v>
      </c>
    </row>
    <row r="3746" spans="1:8" x14ac:dyDescent="0.2">
      <c r="A3746" s="2" t="s">
        <v>3343</v>
      </c>
      <c r="B3746" s="2" t="s">
        <v>2183</v>
      </c>
      <c r="C3746" s="2">
        <v>688.46900000000005</v>
      </c>
      <c r="D3746" s="2">
        <f>HYPERLINK("http://mcb-m6.bioreg.kyushu-u.ac.jp/M3/20110414/F50945/558/1", 36.14)</f>
        <v>36.14</v>
      </c>
      <c r="E3746" s="2">
        <v>14.74</v>
      </c>
      <c r="F3746" s="2">
        <v>1</v>
      </c>
      <c r="G3746" s="2" t="s">
        <v>11</v>
      </c>
    </row>
    <row r="3747" spans="1:8" x14ac:dyDescent="0.2">
      <c r="A3747" s="2" t="s">
        <v>3343</v>
      </c>
      <c r="B3747" s="2" t="s">
        <v>210</v>
      </c>
      <c r="C3747" s="2">
        <v>1108.538</v>
      </c>
      <c r="D3747" s="2">
        <f>HYPERLINK("http://mcb-m6.bioreg.kyushu-u.ac.jp/M3/20110414/F50945/1238/1", 36.22)</f>
        <v>36.22</v>
      </c>
      <c r="E3747" s="2">
        <v>19.84</v>
      </c>
      <c r="F3747" s="2">
        <v>1</v>
      </c>
      <c r="G3747" s="2" t="s">
        <v>11</v>
      </c>
      <c r="H3747" s="2" t="s">
        <v>4910</v>
      </c>
    </row>
    <row r="3748" spans="1:8" x14ac:dyDescent="0.2">
      <c r="A3748" s="2" t="s">
        <v>3343</v>
      </c>
      <c r="B3748" s="2" t="s">
        <v>704</v>
      </c>
      <c r="C3748" s="2">
        <v>610.60569999999996</v>
      </c>
      <c r="D3748" s="2">
        <f>HYPERLINK("http://mcb-m6.bioreg.kyushu-u.ac.jp/M3/20110414/F50928/1703/1", 36.38)</f>
        <v>36.380000000000003</v>
      </c>
      <c r="E3748" s="2">
        <v>8.14</v>
      </c>
      <c r="F3748" s="2">
        <v>2</v>
      </c>
      <c r="G3748" s="2" t="s">
        <v>11</v>
      </c>
      <c r="H3748" s="2" t="s">
        <v>4908</v>
      </c>
    </row>
    <row r="3749" spans="1:8" x14ac:dyDescent="0.2">
      <c r="A3749" s="2" t="s">
        <v>3343</v>
      </c>
      <c r="B3749" s="2" t="s">
        <v>558</v>
      </c>
      <c r="C3749" s="2">
        <v>1457.7760000000001</v>
      </c>
      <c r="D3749" s="2">
        <f>HYPERLINK("http://mcb-m6.bioreg.kyushu-u.ac.jp/M3/20110414/F50945/1955/1", 36.6)</f>
        <v>36.6</v>
      </c>
      <c r="E3749" s="2">
        <v>20.39</v>
      </c>
      <c r="F3749" s="2">
        <v>1</v>
      </c>
      <c r="G3749" s="2" t="s">
        <v>11</v>
      </c>
    </row>
    <row r="3750" spans="1:8" x14ac:dyDescent="0.2">
      <c r="A3750" s="2" t="s">
        <v>3343</v>
      </c>
      <c r="B3750" s="2" t="s">
        <v>328</v>
      </c>
      <c r="C3750" s="2">
        <v>1146.499</v>
      </c>
      <c r="D3750" s="2">
        <f>HYPERLINK("http://mcb-m6.bioreg.kyushu-u.ac.jp/M3/20110414/F50945/1292/1", 36.65)</f>
        <v>36.65</v>
      </c>
      <c r="E3750" s="2">
        <v>13.66</v>
      </c>
      <c r="F3750" s="2">
        <v>1</v>
      </c>
      <c r="G3750" s="2" t="s">
        <v>11</v>
      </c>
    </row>
    <row r="3751" spans="1:8" x14ac:dyDescent="0.2">
      <c r="A3751" s="2" t="s">
        <v>3343</v>
      </c>
      <c r="B3751" s="2" t="s">
        <v>210</v>
      </c>
      <c r="C3751" s="2">
        <v>1092.25</v>
      </c>
      <c r="D3751" s="2">
        <f>HYPERLINK("http://mcb-m6.bioreg.kyushu-u.ac.jp/M3/20110414/F50962/1026/1", 36.76)</f>
        <v>36.76</v>
      </c>
      <c r="E3751" s="2">
        <v>13.18</v>
      </c>
      <c r="F3751" s="2">
        <v>1</v>
      </c>
      <c r="G3751" s="2" t="s">
        <v>11</v>
      </c>
    </row>
    <row r="3752" spans="1:8" x14ac:dyDescent="0.2">
      <c r="A3752" s="2" t="s">
        <v>3343</v>
      </c>
      <c r="B3752" s="2" t="s">
        <v>132</v>
      </c>
      <c r="C3752" s="2">
        <v>1156.6010000000001</v>
      </c>
      <c r="D3752" s="2">
        <f>HYPERLINK("http://mcb-m6.bioreg.kyushu-u.ac.jp/M3/20110414/F50945/1334/1", 37.29)</f>
        <v>37.29</v>
      </c>
      <c r="E3752" s="2">
        <v>19.02</v>
      </c>
      <c r="F3752" s="2">
        <v>1</v>
      </c>
      <c r="G3752" s="2" t="s">
        <v>11</v>
      </c>
    </row>
    <row r="3753" spans="1:8" x14ac:dyDescent="0.2">
      <c r="A3753" s="2" t="s">
        <v>3343</v>
      </c>
      <c r="B3753" s="2" t="s">
        <v>344</v>
      </c>
      <c r="C3753" s="2">
        <v>919.83169999999996</v>
      </c>
      <c r="D3753" s="2">
        <f>HYPERLINK("http://mcb-m6.bioreg.kyushu-u.ac.jp/M3/20110414/F50962/2698/1", 37.32)</f>
        <v>37.32</v>
      </c>
      <c r="E3753" s="2">
        <v>10.81</v>
      </c>
      <c r="F3753" s="2">
        <v>2</v>
      </c>
      <c r="G3753" s="2" t="s">
        <v>11</v>
      </c>
    </row>
    <row r="3754" spans="1:8" x14ac:dyDescent="0.2">
      <c r="A3754" s="2" t="s">
        <v>3343</v>
      </c>
      <c r="B3754" s="2" t="s">
        <v>132</v>
      </c>
      <c r="C3754" s="2">
        <v>578.59810000000004</v>
      </c>
      <c r="D3754" s="2">
        <f>HYPERLINK("http://mcb-m6.bioreg.kyushu-u.ac.jp/M3/20110414/F50941/1224/1", 37.64)</f>
        <v>37.64</v>
      </c>
      <c r="E3754" s="2">
        <v>14.09</v>
      </c>
      <c r="F3754" s="2">
        <v>2</v>
      </c>
      <c r="G3754" s="2" t="s">
        <v>11</v>
      </c>
    </row>
    <row r="3755" spans="1:8" x14ac:dyDescent="0.2">
      <c r="A3755" s="2" t="s">
        <v>3343</v>
      </c>
      <c r="B3755" s="2" t="s">
        <v>509</v>
      </c>
      <c r="C3755" s="2">
        <v>725.32569999999998</v>
      </c>
      <c r="D3755" s="2">
        <f>HYPERLINK("http://mcb-m6.bioreg.kyushu-u.ac.jp/M3/20110414/F50945/1930/1", 37.78)</f>
        <v>37.78</v>
      </c>
      <c r="E3755" s="2">
        <v>22.06</v>
      </c>
      <c r="F3755" s="2">
        <v>2</v>
      </c>
      <c r="G3755" s="2" t="s">
        <v>11</v>
      </c>
      <c r="H3755" s="2" t="s">
        <v>4927</v>
      </c>
    </row>
    <row r="3756" spans="1:8" x14ac:dyDescent="0.2">
      <c r="A3756" s="2" t="s">
        <v>3343</v>
      </c>
      <c r="B3756" s="2" t="s">
        <v>1002</v>
      </c>
      <c r="C3756" s="2">
        <v>765.21720000000005</v>
      </c>
      <c r="D3756" s="2">
        <f>HYPERLINK("http://mcb-m6.bioreg.kyushu-u.ac.jp/M3/20110414/F50962/3382/1", 38)</f>
        <v>38</v>
      </c>
      <c r="E3756" s="2">
        <v>27.25</v>
      </c>
      <c r="F3756" s="2">
        <v>3</v>
      </c>
      <c r="G3756" s="2" t="s">
        <v>11</v>
      </c>
    </row>
    <row r="3757" spans="1:8" x14ac:dyDescent="0.2">
      <c r="A3757" s="2" t="s">
        <v>3343</v>
      </c>
      <c r="B3757" s="2" t="s">
        <v>943</v>
      </c>
      <c r="C3757" s="2">
        <v>506.77159999999998</v>
      </c>
      <c r="D3757" s="2">
        <f>HYPERLINK("http://mcb-m6.bioreg.kyushu-u.ac.jp/M3/20110414/F50945/1116/1", 38.53)</f>
        <v>38.53</v>
      </c>
      <c r="E3757" s="2">
        <v>23.37</v>
      </c>
      <c r="F3757" s="2">
        <v>2</v>
      </c>
      <c r="G3757" s="2" t="s">
        <v>11</v>
      </c>
    </row>
    <row r="3758" spans="1:8" x14ac:dyDescent="0.2">
      <c r="A3758" s="2" t="s">
        <v>3343</v>
      </c>
      <c r="B3758" s="2" t="s">
        <v>546</v>
      </c>
      <c r="C3758" s="2">
        <v>1328.54</v>
      </c>
      <c r="D3758" s="2">
        <f>HYPERLINK("http://mcb-m6.bioreg.kyushu-u.ac.jp/M3/20110414/F50962/1502/2", 38.75)</f>
        <v>38.75</v>
      </c>
      <c r="E3758" s="2">
        <v>28.78</v>
      </c>
      <c r="F3758" s="2">
        <v>1</v>
      </c>
      <c r="G3758" s="2" t="s">
        <v>11</v>
      </c>
    </row>
    <row r="3759" spans="1:8" x14ac:dyDescent="0.2">
      <c r="A3759" s="2" t="s">
        <v>3343</v>
      </c>
      <c r="B3759" s="2" t="s">
        <v>704</v>
      </c>
      <c r="C3759" s="2">
        <v>1220.539</v>
      </c>
      <c r="D3759" s="2">
        <f>HYPERLINK("http://mcb-m6.bioreg.kyushu-u.ac.jp/M3/20110414/F50962/1321/1", 39.16)</f>
        <v>39.159999999999997</v>
      </c>
      <c r="E3759" s="2">
        <v>19.079999999999998</v>
      </c>
      <c r="F3759" s="2">
        <v>1</v>
      </c>
      <c r="G3759" s="2" t="s">
        <v>11</v>
      </c>
      <c r="H3759" s="2" t="s">
        <v>4908</v>
      </c>
    </row>
    <row r="3760" spans="1:8" x14ac:dyDescent="0.2">
      <c r="A3760" s="2" t="s">
        <v>3343</v>
      </c>
      <c r="B3760" s="2" t="s">
        <v>428</v>
      </c>
      <c r="C3760" s="2">
        <v>451.78309999999999</v>
      </c>
      <c r="D3760" s="2">
        <f>HYPERLINK("http://mcb-m6.bioreg.kyushu-u.ac.jp/M3/20110414/F50945/892/1", 39.48)</f>
        <v>39.479999999999997</v>
      </c>
      <c r="E3760" s="2">
        <v>13.51</v>
      </c>
      <c r="F3760" s="2">
        <v>2</v>
      </c>
      <c r="G3760" s="2" t="s">
        <v>11</v>
      </c>
    </row>
    <row r="3761" spans="1:8" x14ac:dyDescent="0.2">
      <c r="A3761" s="2" t="s">
        <v>3343</v>
      </c>
      <c r="B3761" s="2" t="s">
        <v>428</v>
      </c>
      <c r="C3761" s="2">
        <v>451.84109999999998</v>
      </c>
      <c r="D3761" s="2">
        <f>HYPERLINK("http://mcb-m6.bioreg.kyushu-u.ac.jp/M3/20110414/F50945/896/1", 39.94)</f>
        <v>39.94</v>
      </c>
      <c r="E3761" s="2">
        <v>16.82</v>
      </c>
      <c r="F3761" s="2">
        <v>2</v>
      </c>
      <c r="G3761" s="2" t="s">
        <v>11</v>
      </c>
    </row>
    <row r="3762" spans="1:8" x14ac:dyDescent="0.2">
      <c r="A3762" s="2" t="s">
        <v>3343</v>
      </c>
      <c r="B3762" s="2" t="s">
        <v>297</v>
      </c>
      <c r="C3762" s="2">
        <v>1186.568</v>
      </c>
      <c r="D3762" s="2">
        <f>HYPERLINK("http://mcb-m6.bioreg.kyushu-u.ac.jp/M3/20110414/F50945/1407/1", 41.07)</f>
        <v>41.07</v>
      </c>
      <c r="E3762" s="2">
        <v>29.32</v>
      </c>
      <c r="F3762" s="2">
        <v>1</v>
      </c>
      <c r="G3762" s="2" t="s">
        <v>11</v>
      </c>
    </row>
    <row r="3763" spans="1:8" x14ac:dyDescent="0.2">
      <c r="A3763" s="2" t="s">
        <v>3343</v>
      </c>
      <c r="B3763" s="2" t="s">
        <v>443</v>
      </c>
      <c r="C3763" s="2">
        <v>509.88959999999997</v>
      </c>
      <c r="D3763" s="2">
        <f>HYPERLINK("http://mcb-m6.bioreg.kyushu-u.ac.jp/M3/20110414/F50945/1136/1", 41.23)</f>
        <v>41.23</v>
      </c>
      <c r="E3763" s="2">
        <v>11.11</v>
      </c>
      <c r="F3763" s="2">
        <v>2</v>
      </c>
      <c r="G3763" s="2" t="s">
        <v>11</v>
      </c>
    </row>
    <row r="3764" spans="1:8" x14ac:dyDescent="0.2">
      <c r="A3764" s="2" t="s">
        <v>3343</v>
      </c>
      <c r="B3764" s="2" t="s">
        <v>509</v>
      </c>
      <c r="C3764" s="2">
        <v>717.92610000000002</v>
      </c>
      <c r="D3764" s="2">
        <f>HYPERLINK("http://mcb-m6.bioreg.kyushu-u.ac.jp/M3/20110414/F50945/1892/1", 42.05)</f>
        <v>42.05</v>
      </c>
      <c r="E3764" s="2">
        <v>28.05</v>
      </c>
      <c r="F3764" s="2">
        <v>2</v>
      </c>
      <c r="G3764" s="2" t="s">
        <v>11</v>
      </c>
    </row>
    <row r="3765" spans="1:8" x14ac:dyDescent="0.2">
      <c r="A3765" s="2" t="s">
        <v>3343</v>
      </c>
      <c r="B3765" s="2" t="s">
        <v>132</v>
      </c>
      <c r="C3765" s="2">
        <v>1155.4939999999999</v>
      </c>
      <c r="D3765" s="2">
        <f>HYPERLINK("http://mcb-m6.bioreg.kyushu-u.ac.jp/M3/20110414/F50941/1221/1", 42.43)</f>
        <v>42.43</v>
      </c>
      <c r="E3765" s="2">
        <v>22</v>
      </c>
      <c r="F3765" s="2">
        <v>1</v>
      </c>
      <c r="G3765" s="2" t="s">
        <v>11</v>
      </c>
    </row>
    <row r="3766" spans="1:8" x14ac:dyDescent="0.2">
      <c r="A3766" s="2" t="s">
        <v>3343</v>
      </c>
      <c r="B3766" s="2" t="s">
        <v>132</v>
      </c>
      <c r="C3766" s="2">
        <v>1155.5519999999999</v>
      </c>
      <c r="D3766" s="2">
        <f>HYPERLINK("http://mcb-m6.bioreg.kyushu-u.ac.jp/M3/20110414/F50945/1320/1", 42.48)</f>
        <v>42.48</v>
      </c>
      <c r="E3766" s="2">
        <v>21.19</v>
      </c>
      <c r="F3766" s="2">
        <v>1</v>
      </c>
      <c r="G3766" s="2" t="s">
        <v>11</v>
      </c>
    </row>
    <row r="3767" spans="1:8" x14ac:dyDescent="0.2">
      <c r="A3767" s="2" t="s">
        <v>3343</v>
      </c>
      <c r="B3767" s="2" t="s">
        <v>1002</v>
      </c>
      <c r="C3767" s="2">
        <v>765.35609999999997</v>
      </c>
      <c r="D3767" s="2">
        <f>HYPERLINK("http://mcb-m6.bioreg.kyushu-u.ac.jp/M3/20110414/F50962/3385/1", 42.67)</f>
        <v>42.67</v>
      </c>
      <c r="E3767" s="2">
        <v>27.06</v>
      </c>
      <c r="F3767" s="2">
        <v>3</v>
      </c>
      <c r="G3767" s="2" t="s">
        <v>11</v>
      </c>
    </row>
    <row r="3768" spans="1:8" x14ac:dyDescent="0.2">
      <c r="A3768" s="2" t="s">
        <v>3343</v>
      </c>
      <c r="B3768" s="2" t="s">
        <v>210</v>
      </c>
      <c r="C3768" s="2">
        <v>546.69460000000004</v>
      </c>
      <c r="D3768" s="2">
        <f>HYPERLINK("http://mcb-m6.bioreg.kyushu-u.ac.jp/M3/20110414/F50945/1218/1", 42.68)</f>
        <v>42.68</v>
      </c>
      <c r="E3768" s="2">
        <v>20.38</v>
      </c>
      <c r="F3768" s="2">
        <v>2</v>
      </c>
      <c r="G3768" s="2" t="s">
        <v>11</v>
      </c>
    </row>
    <row r="3769" spans="1:8" x14ac:dyDescent="0.2">
      <c r="A3769" s="2" t="s">
        <v>3343</v>
      </c>
      <c r="B3769" s="2" t="s">
        <v>210</v>
      </c>
      <c r="C3769" s="2">
        <v>546.80219999999997</v>
      </c>
      <c r="D3769" s="2">
        <f>HYPERLINK("http://mcb-m6.bioreg.kyushu-u.ac.jp/M3/20110414/F50945/1223/1", 42.76)</f>
        <v>42.76</v>
      </c>
      <c r="E3769" s="2">
        <v>17.809999999999999</v>
      </c>
      <c r="F3769" s="2">
        <v>2</v>
      </c>
      <c r="G3769" s="2" t="s">
        <v>11</v>
      </c>
    </row>
    <row r="3770" spans="1:8" x14ac:dyDescent="0.2">
      <c r="A3770" s="2" t="s">
        <v>3343</v>
      </c>
      <c r="B3770" s="2" t="s">
        <v>509</v>
      </c>
      <c r="C3770" s="2">
        <v>1432.6489999999999</v>
      </c>
      <c r="D3770" s="2">
        <f>HYPERLINK("http://mcb-m6.bioreg.kyushu-u.ac.jp/M3/20110414/F50945/1873/1", 42.9)</f>
        <v>42.9</v>
      </c>
      <c r="E3770" s="2">
        <v>35.229999999999997</v>
      </c>
      <c r="F3770" s="2">
        <v>1</v>
      </c>
      <c r="G3770" s="2" t="s">
        <v>11</v>
      </c>
      <c r="H3770" s="2" t="s">
        <v>4931</v>
      </c>
    </row>
    <row r="3771" spans="1:8" x14ac:dyDescent="0.2">
      <c r="A3771" s="2" t="s">
        <v>3343</v>
      </c>
      <c r="B3771" s="2" t="s">
        <v>443</v>
      </c>
      <c r="C3771" s="2">
        <v>509.2756</v>
      </c>
      <c r="D3771" s="2">
        <f>HYPERLINK("http://mcb-m6.bioreg.kyushu-u.ac.jp/M3/20110414/F50962/912/1", 43.71)</f>
        <v>43.71</v>
      </c>
      <c r="E3771" s="2">
        <v>13.66</v>
      </c>
      <c r="F3771" s="2">
        <v>2</v>
      </c>
      <c r="G3771" s="2" t="s">
        <v>11</v>
      </c>
    </row>
    <row r="3772" spans="1:8" x14ac:dyDescent="0.2">
      <c r="A3772" s="2" t="s">
        <v>3343</v>
      </c>
      <c r="B3772" s="2" t="s">
        <v>509</v>
      </c>
      <c r="C3772" s="2">
        <v>717.77009999999996</v>
      </c>
      <c r="D3772" s="2">
        <f>HYPERLINK("http://mcb-m6.bioreg.kyushu-u.ac.jp/M3/20110414/F50945/1890/1", 43.96)</f>
        <v>43.96</v>
      </c>
      <c r="E3772" s="2">
        <v>27.57</v>
      </c>
      <c r="F3772" s="2">
        <v>2</v>
      </c>
      <c r="G3772" s="2" t="s">
        <v>11</v>
      </c>
    </row>
    <row r="3773" spans="1:8" x14ac:dyDescent="0.2">
      <c r="A3773" s="2" t="s">
        <v>3343</v>
      </c>
      <c r="B3773" s="2" t="s">
        <v>210</v>
      </c>
      <c r="C3773" s="2">
        <v>1092.46</v>
      </c>
      <c r="D3773" s="2">
        <f>HYPERLINK("http://mcb-m6.bioreg.kyushu-u.ac.jp/M3/20110414/F50945/1220/1", 44.05)</f>
        <v>44.05</v>
      </c>
      <c r="E3773" s="2">
        <v>20.100000000000001</v>
      </c>
      <c r="F3773" s="2">
        <v>1</v>
      </c>
      <c r="G3773" s="2" t="s">
        <v>11</v>
      </c>
    </row>
    <row r="3774" spans="1:8" x14ac:dyDescent="0.2">
      <c r="A3774" s="2" t="s">
        <v>3343</v>
      </c>
      <c r="B3774" s="2" t="s">
        <v>325</v>
      </c>
      <c r="C3774" s="2">
        <v>739.91769999999997</v>
      </c>
      <c r="D3774" s="2">
        <f>HYPERLINK("http://mcb-m6.bioreg.kyushu-u.ac.jp/M3/20110414/F50941/2116/1", 44.27)</f>
        <v>44.27</v>
      </c>
      <c r="E3774" s="2">
        <v>30.29</v>
      </c>
      <c r="F3774" s="2">
        <v>2</v>
      </c>
      <c r="G3774" s="2" t="s">
        <v>11</v>
      </c>
    </row>
    <row r="3775" spans="1:8" x14ac:dyDescent="0.2">
      <c r="A3775" s="2" t="s">
        <v>3343</v>
      </c>
      <c r="B3775" s="2" t="s">
        <v>428</v>
      </c>
      <c r="C3775" s="2">
        <v>451.83159999999998</v>
      </c>
      <c r="D3775" s="2">
        <f>HYPERLINK("http://mcb-m6.bioreg.kyushu-u.ac.jp/M3/20110414/F50945/895/1", 44.31)</f>
        <v>44.31</v>
      </c>
      <c r="E3775" s="2">
        <v>14.57</v>
      </c>
      <c r="F3775" s="2">
        <v>2</v>
      </c>
      <c r="G3775" s="2" t="s">
        <v>11</v>
      </c>
    </row>
    <row r="3776" spans="1:8" x14ac:dyDescent="0.2">
      <c r="A3776" s="2" t="s">
        <v>3343</v>
      </c>
      <c r="B3776" s="2" t="s">
        <v>132</v>
      </c>
      <c r="C3776" s="2">
        <v>1155.472</v>
      </c>
      <c r="D3776" s="2">
        <f>HYPERLINK("http://mcb-m6.bioreg.kyushu-u.ac.jp/M3/20110414/F50962/1137/1", 44.31)</f>
        <v>44.31</v>
      </c>
      <c r="E3776" s="2">
        <v>21.94</v>
      </c>
      <c r="F3776" s="2">
        <v>1</v>
      </c>
      <c r="G3776" s="2" t="s">
        <v>11</v>
      </c>
    </row>
    <row r="3777" spans="1:8" x14ac:dyDescent="0.2">
      <c r="A3777" s="2" t="s">
        <v>3343</v>
      </c>
      <c r="B3777" s="2" t="s">
        <v>325</v>
      </c>
      <c r="C3777" s="2">
        <v>747.07619999999997</v>
      </c>
      <c r="D3777" s="2">
        <f>HYPERLINK("http://mcb-m6.bioreg.kyushu-u.ac.jp/M3/20110414/F50928/2357/1", 44.42)</f>
        <v>44.42</v>
      </c>
      <c r="E3777" s="2">
        <v>29.68</v>
      </c>
      <c r="F3777" s="2">
        <v>2</v>
      </c>
      <c r="G3777" s="2" t="s">
        <v>11</v>
      </c>
      <c r="H3777" s="2" t="s">
        <v>4925</v>
      </c>
    </row>
    <row r="3778" spans="1:8" x14ac:dyDescent="0.2">
      <c r="A3778" s="2" t="s">
        <v>3343</v>
      </c>
      <c r="B3778" s="2" t="s">
        <v>509</v>
      </c>
      <c r="C3778" s="2">
        <v>1433.712</v>
      </c>
      <c r="D3778" s="2">
        <f>HYPERLINK("http://mcb-m6.bioreg.kyushu-u.ac.jp/M3/20110414/F50945/1882/1", 44.59)</f>
        <v>44.59</v>
      </c>
      <c r="E3778" s="2">
        <v>35.72</v>
      </c>
      <c r="F3778" s="2">
        <v>1</v>
      </c>
      <c r="G3778" s="2" t="s">
        <v>11</v>
      </c>
      <c r="H3778" s="2" t="s">
        <v>4931</v>
      </c>
    </row>
    <row r="3779" spans="1:8" x14ac:dyDescent="0.2">
      <c r="A3779" s="2" t="s">
        <v>3343</v>
      </c>
      <c r="B3779" s="2" t="s">
        <v>132</v>
      </c>
      <c r="C3779" s="2">
        <v>1156.123</v>
      </c>
      <c r="D3779" s="2">
        <f>HYPERLINK("http://mcb-m6.bioreg.kyushu-u.ac.jp/M3/20110414/F50945/1331/1", 44.77)</f>
        <v>44.77</v>
      </c>
      <c r="E3779" s="2">
        <v>26.63</v>
      </c>
      <c r="F3779" s="2">
        <v>1</v>
      </c>
      <c r="G3779" s="2" t="s">
        <v>11</v>
      </c>
    </row>
    <row r="3780" spans="1:8" x14ac:dyDescent="0.2">
      <c r="A3780" s="2" t="s">
        <v>3343</v>
      </c>
      <c r="B3780" s="2" t="s">
        <v>1002</v>
      </c>
      <c r="C3780" s="2">
        <v>1147.9739999999999</v>
      </c>
      <c r="D3780" s="2">
        <f>HYPERLINK("http://mcb-m6.bioreg.kyushu-u.ac.jp/M3/20110414/F50942/3987/1", 45.4)</f>
        <v>45.4</v>
      </c>
      <c r="E3780" s="2">
        <v>38.51</v>
      </c>
      <c r="F3780" s="2">
        <v>2</v>
      </c>
      <c r="G3780" s="2" t="s">
        <v>11</v>
      </c>
    </row>
    <row r="3781" spans="1:8" x14ac:dyDescent="0.2">
      <c r="A3781" s="2" t="s">
        <v>3343</v>
      </c>
      <c r="B3781" s="2" t="s">
        <v>132</v>
      </c>
      <c r="C3781" s="2">
        <v>578.32069999999999</v>
      </c>
      <c r="D3781" s="2">
        <f>HYPERLINK("http://mcb-m6.bioreg.kyushu-u.ac.jp/M3/20110414/F50942/1096/1", 45.47)</f>
        <v>45.47</v>
      </c>
      <c r="E3781" s="2">
        <v>22.3</v>
      </c>
      <c r="F3781" s="2">
        <v>2</v>
      </c>
      <c r="G3781" s="2" t="s">
        <v>11</v>
      </c>
    </row>
    <row r="3782" spans="1:8" x14ac:dyDescent="0.2">
      <c r="A3782" s="2" t="s">
        <v>3343</v>
      </c>
      <c r="B3782" s="2" t="s">
        <v>558</v>
      </c>
      <c r="C3782" s="2">
        <v>729.92909999999995</v>
      </c>
      <c r="D3782" s="2">
        <f>HYPERLINK("http://mcb-m6.bioreg.kyushu-u.ac.jp/M3/20110414/F50945/1964/1", 45.58)</f>
        <v>45.58</v>
      </c>
      <c r="E3782" s="2">
        <v>28.76</v>
      </c>
      <c r="F3782" s="2">
        <v>2</v>
      </c>
      <c r="G3782" s="2" t="s">
        <v>11</v>
      </c>
    </row>
    <row r="3783" spans="1:8" x14ac:dyDescent="0.2">
      <c r="A3783" s="2" t="s">
        <v>3343</v>
      </c>
      <c r="B3783" s="2" t="s">
        <v>132</v>
      </c>
      <c r="C3783" s="2">
        <v>578.63070000000005</v>
      </c>
      <c r="D3783" s="2">
        <f>HYPERLINK("http://mcb-m6.bioreg.kyushu-u.ac.jp/M3/20110414/F50941/1225/1", 45.69)</f>
        <v>45.69</v>
      </c>
      <c r="E3783" s="2">
        <v>20.11</v>
      </c>
      <c r="F3783" s="2">
        <v>2</v>
      </c>
      <c r="G3783" s="2" t="s">
        <v>11</v>
      </c>
    </row>
    <row r="3784" spans="1:8" x14ac:dyDescent="0.2">
      <c r="A3784" s="2" t="s">
        <v>3343</v>
      </c>
      <c r="B3784" s="2" t="s">
        <v>704</v>
      </c>
      <c r="C3784" s="2">
        <v>610.87919999999997</v>
      </c>
      <c r="D3784" s="2">
        <f>HYPERLINK("http://mcb-m6.bioreg.kyushu-u.ac.jp/M3/20110414/F50945/1477/1", 45.8)</f>
        <v>45.8</v>
      </c>
      <c r="E3784" s="2">
        <v>14.29</v>
      </c>
      <c r="F3784" s="2">
        <v>2</v>
      </c>
      <c r="G3784" s="2" t="s">
        <v>11</v>
      </c>
      <c r="H3784" s="2" t="s">
        <v>4908</v>
      </c>
    </row>
    <row r="3785" spans="1:8" x14ac:dyDescent="0.2">
      <c r="A3785" s="2" t="s">
        <v>3343</v>
      </c>
      <c r="B3785" s="2" t="s">
        <v>325</v>
      </c>
      <c r="C3785" s="2">
        <v>739.2106</v>
      </c>
      <c r="D3785" s="2">
        <f>HYPERLINK("http://mcb-m6.bioreg.kyushu-u.ac.jp/M3/20110414/F50941/2109/1", 45.92)</f>
        <v>45.92</v>
      </c>
      <c r="E3785" s="2">
        <v>36.35</v>
      </c>
      <c r="F3785" s="2">
        <v>2</v>
      </c>
      <c r="G3785" s="2" t="s">
        <v>11</v>
      </c>
    </row>
    <row r="3786" spans="1:8" x14ac:dyDescent="0.2">
      <c r="A3786" s="2" t="s">
        <v>3343</v>
      </c>
      <c r="B3786" s="2" t="s">
        <v>704</v>
      </c>
      <c r="C3786" s="2">
        <v>602.85360000000003</v>
      </c>
      <c r="D3786" s="2">
        <f>HYPERLINK("http://mcb-m6.bioreg.kyushu-u.ac.jp/M3/20110414/F50945/1445/1", 45.93)</f>
        <v>45.93</v>
      </c>
      <c r="E3786" s="2">
        <v>20.84</v>
      </c>
      <c r="F3786" s="2">
        <v>2</v>
      </c>
      <c r="G3786" s="2" t="s">
        <v>11</v>
      </c>
    </row>
    <row r="3787" spans="1:8" x14ac:dyDescent="0.2">
      <c r="A3787" s="2" t="s">
        <v>3343</v>
      </c>
      <c r="B3787" s="2" t="s">
        <v>558</v>
      </c>
      <c r="C3787" s="2">
        <v>729.41719999999998</v>
      </c>
      <c r="D3787" s="2">
        <f>HYPERLINK("http://mcb-m6.bioreg.kyushu-u.ac.jp/M3/20110414/F50945/1956/1", 46.87)</f>
        <v>46.87</v>
      </c>
      <c r="E3787" s="2">
        <v>30.64</v>
      </c>
      <c r="F3787" s="2">
        <v>2</v>
      </c>
      <c r="G3787" s="2" t="s">
        <v>11</v>
      </c>
    </row>
    <row r="3788" spans="1:8" x14ac:dyDescent="0.2">
      <c r="A3788" s="2" t="s">
        <v>3343</v>
      </c>
      <c r="B3788" s="2" t="s">
        <v>704</v>
      </c>
      <c r="C3788" s="2">
        <v>603.08510000000001</v>
      </c>
      <c r="D3788" s="2">
        <f>HYPERLINK("http://mcb-m6.bioreg.kyushu-u.ac.jp/M3/20110414/F50928/1667/1", 47.2)</f>
        <v>47.2</v>
      </c>
      <c r="E3788" s="2">
        <v>15.16</v>
      </c>
      <c r="F3788" s="2">
        <v>2</v>
      </c>
      <c r="G3788" s="2" t="s">
        <v>11</v>
      </c>
    </row>
    <row r="3789" spans="1:8" x14ac:dyDescent="0.2">
      <c r="A3789" s="2" t="s">
        <v>3343</v>
      </c>
      <c r="B3789" s="2" t="s">
        <v>509</v>
      </c>
      <c r="C3789" s="2">
        <v>725.93820000000005</v>
      </c>
      <c r="D3789" s="2">
        <f>HYPERLINK("http://mcb-m6.bioreg.kyushu-u.ac.jp/M3/20110414/F50945/1937/1", 48)</f>
        <v>48</v>
      </c>
      <c r="E3789" s="2">
        <v>33.07</v>
      </c>
      <c r="F3789" s="2">
        <v>2</v>
      </c>
      <c r="G3789" s="2" t="s">
        <v>11</v>
      </c>
      <c r="H3789" s="2" t="s">
        <v>4927</v>
      </c>
    </row>
    <row r="3790" spans="1:8" x14ac:dyDescent="0.2">
      <c r="A3790" s="2" t="s">
        <v>3343</v>
      </c>
      <c r="B3790" s="2" t="s">
        <v>344</v>
      </c>
      <c r="C3790" s="2">
        <v>919.75919999999996</v>
      </c>
      <c r="D3790" s="2">
        <f>HYPERLINK("http://mcb-m6.bioreg.kyushu-u.ac.jp/M3/20110414/F50941/3083/1", 48.2)</f>
        <v>48.2</v>
      </c>
      <c r="E3790" s="2">
        <v>25.77</v>
      </c>
      <c r="F3790" s="2">
        <v>2</v>
      </c>
      <c r="G3790" s="2" t="s">
        <v>11</v>
      </c>
    </row>
    <row r="3791" spans="1:8" x14ac:dyDescent="0.2">
      <c r="A3791" s="2" t="s">
        <v>3343</v>
      </c>
      <c r="B3791" s="2" t="s">
        <v>132</v>
      </c>
      <c r="C3791" s="2">
        <v>1155.68</v>
      </c>
      <c r="D3791" s="2">
        <f>HYPERLINK("http://mcb-m6.bioreg.kyushu-u.ac.jp/M3/20110414/F50945/1327/1", 48.3)</f>
        <v>48.3</v>
      </c>
      <c r="E3791" s="2">
        <v>26.53</v>
      </c>
      <c r="F3791" s="2">
        <v>1</v>
      </c>
      <c r="G3791" s="2" t="s">
        <v>11</v>
      </c>
    </row>
    <row r="3792" spans="1:8" x14ac:dyDescent="0.2">
      <c r="A3792" s="2" t="s">
        <v>3343</v>
      </c>
      <c r="B3792" s="2" t="s">
        <v>428</v>
      </c>
      <c r="C3792" s="2">
        <v>451.70909999999998</v>
      </c>
      <c r="D3792" s="2">
        <f>HYPERLINK("http://mcb-m6.bioreg.kyushu-u.ac.jp/M3/20110414/F50962/615/1", 48.36)</f>
        <v>48.36</v>
      </c>
      <c r="E3792" s="2">
        <v>22.2</v>
      </c>
      <c r="F3792" s="2">
        <v>2</v>
      </c>
      <c r="G3792" s="2" t="s">
        <v>11</v>
      </c>
    </row>
    <row r="3793" spans="1:8" x14ac:dyDescent="0.2">
      <c r="A3793" s="2" t="s">
        <v>3343</v>
      </c>
      <c r="B3793" s="2" t="s">
        <v>132</v>
      </c>
      <c r="C3793" s="2">
        <v>578.23569999999995</v>
      </c>
      <c r="D3793" s="2">
        <f>HYPERLINK("http://mcb-m6.bioreg.kyushu-u.ac.jp/M3/20110414/F50945/1318/1", 48.69)</f>
        <v>48.69</v>
      </c>
      <c r="E3793" s="2">
        <v>29.51</v>
      </c>
      <c r="F3793" s="2">
        <v>2</v>
      </c>
      <c r="G3793" s="2" t="s">
        <v>11</v>
      </c>
    </row>
    <row r="3794" spans="1:8" x14ac:dyDescent="0.2">
      <c r="A3794" s="2" t="s">
        <v>3343</v>
      </c>
      <c r="B3794" s="2" t="s">
        <v>509</v>
      </c>
      <c r="C3794" s="2">
        <v>725.32209999999998</v>
      </c>
      <c r="D3794" s="2">
        <f>HYPERLINK("http://mcb-m6.bioreg.kyushu-u.ac.jp/M3/20110414/F50941/2011/1", 48.73)</f>
        <v>48.73</v>
      </c>
      <c r="E3794" s="2">
        <v>37.479999999999997</v>
      </c>
      <c r="F3794" s="2">
        <v>2</v>
      </c>
      <c r="G3794" s="2" t="s">
        <v>11</v>
      </c>
      <c r="H3794" s="2" t="s">
        <v>4927</v>
      </c>
    </row>
    <row r="3795" spans="1:8" x14ac:dyDescent="0.2">
      <c r="A3795" s="2" t="s">
        <v>3343</v>
      </c>
      <c r="B3795" s="2" t="s">
        <v>704</v>
      </c>
      <c r="C3795" s="2">
        <v>602.57420000000002</v>
      </c>
      <c r="D3795" s="2">
        <f>HYPERLINK("http://mcb-m6.bioreg.kyushu-u.ac.jp/M3/20110414/F50928/1665/1", 49.06)</f>
        <v>49.06</v>
      </c>
      <c r="E3795" s="2">
        <v>7.05</v>
      </c>
      <c r="F3795" s="2">
        <v>2</v>
      </c>
      <c r="G3795" s="2" t="s">
        <v>11</v>
      </c>
    </row>
    <row r="3796" spans="1:8" x14ac:dyDescent="0.2">
      <c r="A3796" s="2" t="s">
        <v>3343</v>
      </c>
      <c r="B3796" s="2" t="s">
        <v>210</v>
      </c>
      <c r="C3796" s="2">
        <v>554.71619999999996</v>
      </c>
      <c r="D3796" s="2">
        <f>HYPERLINK("http://mcb-m6.bioreg.kyushu-u.ac.jp/M3/20110414/F50962/1052/1", 49.38)</f>
        <v>49.38</v>
      </c>
      <c r="E3796" s="2">
        <v>25.02</v>
      </c>
      <c r="F3796" s="2">
        <v>2</v>
      </c>
      <c r="G3796" s="2" t="s">
        <v>11</v>
      </c>
      <c r="H3796" s="2" t="s">
        <v>4910</v>
      </c>
    </row>
    <row r="3797" spans="1:8" x14ac:dyDescent="0.2">
      <c r="A3797" s="2" t="s">
        <v>3343</v>
      </c>
      <c r="B3797" s="2" t="s">
        <v>328</v>
      </c>
      <c r="C3797" s="2">
        <v>573.8691</v>
      </c>
      <c r="D3797" s="2">
        <f>HYPERLINK("http://mcb-m6.bioreg.kyushu-u.ac.jp/M3/20110414/F50945/1295/1", 49.39)</f>
        <v>49.39</v>
      </c>
      <c r="E3797" s="2">
        <v>13.54</v>
      </c>
      <c r="F3797" s="2">
        <v>2</v>
      </c>
      <c r="G3797" s="2" t="s">
        <v>11</v>
      </c>
    </row>
    <row r="3798" spans="1:8" x14ac:dyDescent="0.2">
      <c r="A3798" s="2" t="s">
        <v>3343</v>
      </c>
      <c r="B3798" s="2" t="s">
        <v>428</v>
      </c>
      <c r="C3798" s="2">
        <v>902.45</v>
      </c>
      <c r="D3798" s="2">
        <f>HYPERLINK("http://mcb-m6.bioreg.kyushu-u.ac.jp/M3/20110414/F50962/617/1", 49.39)</f>
        <v>49.39</v>
      </c>
      <c r="E3798" s="2">
        <v>30.62</v>
      </c>
      <c r="F3798" s="2">
        <v>1</v>
      </c>
      <c r="G3798" s="2" t="s">
        <v>11</v>
      </c>
    </row>
    <row r="3799" spans="1:8" x14ac:dyDescent="0.2">
      <c r="A3799" s="2" t="s">
        <v>3343</v>
      </c>
      <c r="B3799" s="2" t="s">
        <v>428</v>
      </c>
      <c r="C3799" s="2">
        <v>451.84809999999999</v>
      </c>
      <c r="D3799" s="2">
        <f>HYPERLINK("http://mcb-m6.bioreg.kyushu-u.ac.jp/M3/20110414/F50945/897/1", 49.64)</f>
        <v>49.64</v>
      </c>
      <c r="E3799" s="2">
        <v>28.06</v>
      </c>
      <c r="F3799" s="2">
        <v>2</v>
      </c>
      <c r="G3799" s="2" t="s">
        <v>11</v>
      </c>
    </row>
    <row r="3800" spans="1:8" x14ac:dyDescent="0.2">
      <c r="A3800" s="2" t="s">
        <v>3343</v>
      </c>
      <c r="B3800" s="2" t="s">
        <v>325</v>
      </c>
      <c r="C3800" s="2">
        <v>739.65719999999999</v>
      </c>
      <c r="D3800" s="2">
        <f>HYPERLINK("http://mcb-m6.bioreg.kyushu-u.ac.jp/M3/20110414/F50956/1909/1", 49.7)</f>
        <v>49.7</v>
      </c>
      <c r="E3800" s="2">
        <v>37.04</v>
      </c>
      <c r="F3800" s="2">
        <v>2</v>
      </c>
      <c r="G3800" s="2" t="s">
        <v>11</v>
      </c>
    </row>
    <row r="3801" spans="1:8" x14ac:dyDescent="0.2">
      <c r="A3801" s="2" t="s">
        <v>3343</v>
      </c>
      <c r="B3801" s="2" t="s">
        <v>1002</v>
      </c>
      <c r="C3801" s="2">
        <v>765.67319999999995</v>
      </c>
      <c r="D3801" s="2">
        <f>HYPERLINK("http://mcb-m6.bioreg.kyushu-u.ac.jp/M3/20110414/F50945/3584/1", 49.74)</f>
        <v>49.74</v>
      </c>
      <c r="E3801" s="2">
        <v>36.770000000000003</v>
      </c>
      <c r="F3801" s="2">
        <v>3</v>
      </c>
      <c r="G3801" s="2" t="s">
        <v>11</v>
      </c>
    </row>
    <row r="3802" spans="1:8" x14ac:dyDescent="0.2">
      <c r="A3802" s="2" t="s">
        <v>3343</v>
      </c>
      <c r="B3802" s="2" t="s">
        <v>2359</v>
      </c>
      <c r="C3802" s="2">
        <v>679.16610000000003</v>
      </c>
      <c r="D3802" s="2">
        <f>HYPERLINK("http://mcb-m6.bioreg.kyushu-u.ac.jp/M3/20110414/F50945/1696/1", 50.22)</f>
        <v>50.22</v>
      </c>
      <c r="E3802" s="2">
        <v>27.81</v>
      </c>
      <c r="F3802" s="2">
        <v>2</v>
      </c>
      <c r="G3802" s="2" t="s">
        <v>11</v>
      </c>
    </row>
    <row r="3803" spans="1:8" x14ac:dyDescent="0.2">
      <c r="A3803" s="2" t="s">
        <v>3343</v>
      </c>
      <c r="B3803" s="2" t="s">
        <v>428</v>
      </c>
      <c r="C3803" s="2">
        <v>451.86259999999999</v>
      </c>
      <c r="D3803" s="2">
        <f>HYPERLINK("http://mcb-m6.bioreg.kyushu-u.ac.jp/M3/20110414/F50945/898/1", 50.63)</f>
        <v>50.63</v>
      </c>
      <c r="E3803" s="2">
        <v>23.96</v>
      </c>
      <c r="F3803" s="2">
        <v>2</v>
      </c>
      <c r="G3803" s="2" t="s">
        <v>11</v>
      </c>
    </row>
    <row r="3804" spans="1:8" x14ac:dyDescent="0.2">
      <c r="A3804" s="2" t="s">
        <v>3343</v>
      </c>
      <c r="B3804" s="2" t="s">
        <v>558</v>
      </c>
      <c r="C3804" s="2">
        <v>729.72519999999997</v>
      </c>
      <c r="D3804" s="2">
        <f>HYPERLINK("http://mcb-m6.bioreg.kyushu-u.ac.jp/M3/20110414/F50945/1963/1", 50.75)</f>
        <v>50.75</v>
      </c>
      <c r="E3804" s="2">
        <v>33.869999999999997</v>
      </c>
      <c r="F3804" s="2">
        <v>2</v>
      </c>
      <c r="G3804" s="2" t="s">
        <v>11</v>
      </c>
    </row>
    <row r="3805" spans="1:8" x14ac:dyDescent="0.2">
      <c r="A3805" s="2" t="s">
        <v>3343</v>
      </c>
      <c r="B3805" s="2" t="s">
        <v>509</v>
      </c>
      <c r="C3805" s="2">
        <v>717.3691</v>
      </c>
      <c r="D3805" s="2">
        <f>HYPERLINK("http://mcb-m6.bioreg.kyushu-u.ac.jp/M3/20110414/F50945/1883/1", 50.82)</f>
        <v>50.82</v>
      </c>
      <c r="E3805" s="2">
        <v>32.6</v>
      </c>
      <c r="F3805" s="2">
        <v>2</v>
      </c>
      <c r="G3805" s="2" t="s">
        <v>11</v>
      </c>
    </row>
    <row r="3806" spans="1:8" x14ac:dyDescent="0.2">
      <c r="A3806" s="2" t="s">
        <v>3343</v>
      </c>
      <c r="B3806" s="2" t="s">
        <v>443</v>
      </c>
      <c r="C3806" s="2">
        <v>509.3836</v>
      </c>
      <c r="D3806" s="2">
        <f>HYPERLINK("http://mcb-m6.bioreg.kyushu-u.ac.jp/M3/20110414/F50945/1133/1", 50.93)</f>
        <v>50.93</v>
      </c>
      <c r="E3806" s="2">
        <v>23.74</v>
      </c>
      <c r="F3806" s="2">
        <v>2</v>
      </c>
      <c r="G3806" s="2" t="s">
        <v>11</v>
      </c>
    </row>
    <row r="3807" spans="1:8" x14ac:dyDescent="0.2">
      <c r="A3807" s="2" t="s">
        <v>3343</v>
      </c>
      <c r="B3807" s="2" t="s">
        <v>704</v>
      </c>
      <c r="C3807" s="2">
        <v>610.78520000000003</v>
      </c>
      <c r="D3807" s="2">
        <f>HYPERLINK("http://mcb-m6.bioreg.kyushu-u.ac.jp/M3/20110414/F50925/1778/1", 51.13)</f>
        <v>51.13</v>
      </c>
      <c r="E3807" s="2">
        <v>24.57</v>
      </c>
      <c r="F3807" s="2">
        <v>2</v>
      </c>
      <c r="G3807" s="2" t="s">
        <v>11</v>
      </c>
      <c r="H3807" s="2" t="s">
        <v>4908</v>
      </c>
    </row>
    <row r="3808" spans="1:8" x14ac:dyDescent="0.2">
      <c r="A3808" s="2" t="s">
        <v>3343</v>
      </c>
      <c r="B3808" s="2" t="s">
        <v>1002</v>
      </c>
      <c r="C3808" s="2">
        <v>765.49720000000002</v>
      </c>
      <c r="D3808" s="2">
        <f>HYPERLINK("http://mcb-m6.bioreg.kyushu-u.ac.jp/M3/20110414/F50941/3901/1", 51.38)</f>
        <v>51.38</v>
      </c>
      <c r="E3808" s="2">
        <v>36.049999999999997</v>
      </c>
      <c r="F3808" s="2">
        <v>3</v>
      </c>
      <c r="G3808" s="2" t="s">
        <v>11</v>
      </c>
    </row>
    <row r="3809" spans="1:8" x14ac:dyDescent="0.2">
      <c r="A3809" s="2" t="s">
        <v>3343</v>
      </c>
      <c r="B3809" s="2" t="s">
        <v>509</v>
      </c>
      <c r="C3809" s="2">
        <v>725.81460000000004</v>
      </c>
      <c r="D3809" s="2">
        <f>HYPERLINK("http://mcb-m6.bioreg.kyushu-u.ac.jp/M3/20110414/F50945/1936/1", 51.49)</f>
        <v>51.49</v>
      </c>
      <c r="E3809" s="2">
        <v>40.270000000000003</v>
      </c>
      <c r="F3809" s="2">
        <v>2</v>
      </c>
      <c r="G3809" s="2" t="s">
        <v>11</v>
      </c>
      <c r="H3809" s="2" t="s">
        <v>4927</v>
      </c>
    </row>
    <row r="3810" spans="1:8" x14ac:dyDescent="0.2">
      <c r="A3810" s="2" t="s">
        <v>3343</v>
      </c>
      <c r="B3810" s="2" t="s">
        <v>1002</v>
      </c>
      <c r="C3810" s="2">
        <v>765.68619999999999</v>
      </c>
      <c r="D3810" s="2">
        <f>HYPERLINK("http://mcb-m6.bioreg.kyushu-u.ac.jp/M3/20110414/F50945/3586/1", 51.7)</f>
        <v>51.7</v>
      </c>
      <c r="E3810" s="2">
        <v>35.229999999999997</v>
      </c>
      <c r="F3810" s="2">
        <v>3</v>
      </c>
      <c r="G3810" s="2" t="s">
        <v>11</v>
      </c>
    </row>
    <row r="3811" spans="1:8" x14ac:dyDescent="0.2">
      <c r="A3811" s="2" t="s">
        <v>3343</v>
      </c>
      <c r="B3811" s="2" t="s">
        <v>325</v>
      </c>
      <c r="C3811" s="2">
        <v>747.95619999999997</v>
      </c>
      <c r="D3811" s="2">
        <f>HYPERLINK("http://mcb-m6.bioreg.kyushu-u.ac.jp/M3/20110414/F50927/2344/1", 51.76)</f>
        <v>51.76</v>
      </c>
      <c r="E3811" s="2">
        <v>36.64</v>
      </c>
      <c r="F3811" s="2">
        <v>2</v>
      </c>
      <c r="G3811" s="2" t="s">
        <v>11</v>
      </c>
      <c r="H3811" s="2" t="s">
        <v>4925</v>
      </c>
    </row>
    <row r="3812" spans="1:8" x14ac:dyDescent="0.2">
      <c r="A3812" s="2" t="s">
        <v>3343</v>
      </c>
      <c r="B3812" s="2" t="s">
        <v>546</v>
      </c>
      <c r="C3812" s="2">
        <v>665.21119999999996</v>
      </c>
      <c r="D3812" s="2">
        <f>HYPERLINK("http://mcb-m6.bioreg.kyushu-u.ac.jp/M3/20110414/F50926/1946/2", 52.23)</f>
        <v>52.23</v>
      </c>
      <c r="E3812" s="2">
        <v>37.53</v>
      </c>
      <c r="F3812" s="2">
        <v>2</v>
      </c>
      <c r="G3812" s="2" t="s">
        <v>11</v>
      </c>
    </row>
    <row r="3813" spans="1:8" x14ac:dyDescent="0.2">
      <c r="A3813" s="2" t="s">
        <v>3343</v>
      </c>
      <c r="B3813" s="2" t="s">
        <v>443</v>
      </c>
      <c r="C3813" s="2">
        <v>509.81310000000002</v>
      </c>
      <c r="D3813" s="2">
        <f>HYPERLINK("http://mcb-m6.bioreg.kyushu-u.ac.jp/M3/20110414/F50941/936/1", 52.54)</f>
        <v>52.54</v>
      </c>
      <c r="E3813" s="2">
        <v>24.84</v>
      </c>
      <c r="F3813" s="2">
        <v>2</v>
      </c>
      <c r="G3813" s="2" t="s">
        <v>11</v>
      </c>
    </row>
    <row r="3814" spans="1:8" x14ac:dyDescent="0.2">
      <c r="A3814" s="2" t="s">
        <v>3343</v>
      </c>
      <c r="B3814" s="2" t="s">
        <v>132</v>
      </c>
      <c r="C3814" s="2">
        <v>1155.3869999999999</v>
      </c>
      <c r="D3814" s="2">
        <f>HYPERLINK("http://mcb-m6.bioreg.kyushu-u.ac.jp/M3/20110414/F50928/1540/1", 52.57)</f>
        <v>52.57</v>
      </c>
      <c r="E3814" s="2">
        <v>25.21</v>
      </c>
      <c r="F3814" s="2">
        <v>1</v>
      </c>
      <c r="G3814" s="2" t="s">
        <v>11</v>
      </c>
    </row>
    <row r="3815" spans="1:8" x14ac:dyDescent="0.2">
      <c r="A3815" s="2" t="s">
        <v>3343</v>
      </c>
      <c r="B3815" s="2" t="s">
        <v>509</v>
      </c>
      <c r="C3815" s="2">
        <v>717.21259999999995</v>
      </c>
      <c r="D3815" s="2">
        <f>HYPERLINK("http://mcb-m6.bioreg.kyushu-u.ac.jp/M3/20110414/F50962/1809/1", 52.59)</f>
        <v>52.59</v>
      </c>
      <c r="E3815" s="2">
        <v>38.090000000000003</v>
      </c>
      <c r="F3815" s="2">
        <v>2</v>
      </c>
      <c r="G3815" s="2" t="s">
        <v>11</v>
      </c>
    </row>
    <row r="3816" spans="1:8" x14ac:dyDescent="0.2">
      <c r="A3816" s="2" t="s">
        <v>3343</v>
      </c>
      <c r="B3816" s="2" t="s">
        <v>344</v>
      </c>
      <c r="C3816" s="2">
        <v>613.45619999999997</v>
      </c>
      <c r="D3816" s="2">
        <f>HYPERLINK("http://mcb-m6.bioreg.kyushu-u.ac.jp/M3/20110414/F50945/2886/1", 52.91)</f>
        <v>52.91</v>
      </c>
      <c r="E3816" s="2">
        <v>37.19</v>
      </c>
      <c r="F3816" s="2">
        <v>3</v>
      </c>
      <c r="G3816" s="2" t="s">
        <v>11</v>
      </c>
    </row>
    <row r="3817" spans="1:8" x14ac:dyDescent="0.2">
      <c r="A3817" s="2" t="s">
        <v>3343</v>
      </c>
      <c r="B3817" s="2" t="s">
        <v>704</v>
      </c>
      <c r="C3817" s="2">
        <v>602.83920000000001</v>
      </c>
      <c r="D3817" s="2">
        <f>HYPERLINK("http://mcb-m6.bioreg.kyushu-u.ac.jp/M3/20110414/F50945/1444/1", 53.36)</f>
        <v>53.36</v>
      </c>
      <c r="E3817" s="2">
        <v>20.58</v>
      </c>
      <c r="F3817" s="2">
        <v>2</v>
      </c>
      <c r="G3817" s="2" t="s">
        <v>11</v>
      </c>
    </row>
    <row r="3818" spans="1:8" x14ac:dyDescent="0.2">
      <c r="A3818" s="2" t="s">
        <v>3343</v>
      </c>
      <c r="B3818" s="2" t="s">
        <v>2388</v>
      </c>
      <c r="C3818" s="2">
        <v>700.50570000000005</v>
      </c>
      <c r="D3818" s="2">
        <f>HYPERLINK("http://mcb-m6.bioreg.kyushu-u.ac.jp/M3/20110414/F50945/1792/1", 53.38)</f>
        <v>53.38</v>
      </c>
      <c r="E3818" s="2">
        <v>41.13</v>
      </c>
      <c r="F3818" s="2">
        <v>2</v>
      </c>
      <c r="G3818" s="2" t="s">
        <v>11</v>
      </c>
    </row>
    <row r="3819" spans="1:8" x14ac:dyDescent="0.2">
      <c r="A3819" s="2" t="s">
        <v>3343</v>
      </c>
      <c r="B3819" s="2" t="s">
        <v>704</v>
      </c>
      <c r="C3819" s="2">
        <v>611.06569999999999</v>
      </c>
      <c r="D3819" s="2">
        <f>HYPERLINK("http://mcb-m6.bioreg.kyushu-u.ac.jp/M3/20110414/F50927/1788/1", 53.53)</f>
        <v>53.53</v>
      </c>
      <c r="E3819" s="2">
        <v>12.77</v>
      </c>
      <c r="F3819" s="2">
        <v>2</v>
      </c>
      <c r="G3819" s="2" t="s">
        <v>11</v>
      </c>
      <c r="H3819" s="2" t="s">
        <v>4908</v>
      </c>
    </row>
    <row r="3820" spans="1:8" x14ac:dyDescent="0.2">
      <c r="A3820" s="2" t="s">
        <v>3343</v>
      </c>
      <c r="B3820" s="2" t="s">
        <v>558</v>
      </c>
      <c r="C3820" s="2">
        <v>729.4991</v>
      </c>
      <c r="D3820" s="2">
        <f>HYPERLINK("http://mcb-m6.bioreg.kyushu-u.ac.jp/M3/20110414/F50945/1959/1", 53.56)</f>
        <v>53.56</v>
      </c>
      <c r="E3820" s="2">
        <v>35.909999999999997</v>
      </c>
      <c r="F3820" s="2">
        <v>2</v>
      </c>
      <c r="G3820" s="2" t="s">
        <v>11</v>
      </c>
    </row>
    <row r="3821" spans="1:8" x14ac:dyDescent="0.2">
      <c r="A3821" s="2" t="s">
        <v>3343</v>
      </c>
      <c r="B3821" s="2" t="s">
        <v>210</v>
      </c>
      <c r="C3821" s="2">
        <v>555.04769999999996</v>
      </c>
      <c r="D3821" s="2">
        <f>HYPERLINK("http://mcb-m6.bioreg.kyushu-u.ac.jp/M3/20110414/F50945/1242/1", 53.61)</f>
        <v>53.61</v>
      </c>
      <c r="E3821" s="2">
        <v>24.99</v>
      </c>
      <c r="F3821" s="2">
        <v>2</v>
      </c>
      <c r="G3821" s="2" t="s">
        <v>11</v>
      </c>
      <c r="H3821" s="2" t="s">
        <v>4910</v>
      </c>
    </row>
    <row r="3822" spans="1:8" x14ac:dyDescent="0.2">
      <c r="A3822" s="2" t="s">
        <v>3343</v>
      </c>
      <c r="B3822" s="2" t="s">
        <v>132</v>
      </c>
      <c r="C3822" s="2">
        <v>1155.558</v>
      </c>
      <c r="D3822" s="2">
        <f>HYPERLINK("http://mcb-m6.bioreg.kyushu-u.ac.jp/M3/20110414/F50945/1321/1", 53.65)</f>
        <v>53.65</v>
      </c>
      <c r="E3822" s="2">
        <v>35.18</v>
      </c>
      <c r="F3822" s="2">
        <v>1</v>
      </c>
      <c r="G3822" s="2" t="s">
        <v>11</v>
      </c>
    </row>
    <row r="3823" spans="1:8" x14ac:dyDescent="0.2">
      <c r="A3823" s="2" t="s">
        <v>3343</v>
      </c>
      <c r="B3823" s="2" t="s">
        <v>704</v>
      </c>
      <c r="C3823" s="2">
        <v>602.57069999999999</v>
      </c>
      <c r="D3823" s="2">
        <f>HYPERLINK("http://mcb-m6.bioreg.kyushu-u.ac.jp/M3/20110414/F50927/1746/1", 53.74)</f>
        <v>53.74</v>
      </c>
      <c r="E3823" s="2">
        <v>11.31</v>
      </c>
      <c r="F3823" s="2">
        <v>2</v>
      </c>
      <c r="G3823" s="2" t="s">
        <v>11</v>
      </c>
    </row>
    <row r="3824" spans="1:8" x14ac:dyDescent="0.2">
      <c r="A3824" s="2" t="s">
        <v>3343</v>
      </c>
      <c r="B3824" s="2" t="s">
        <v>558</v>
      </c>
      <c r="C3824" s="2">
        <v>729.42520000000002</v>
      </c>
      <c r="D3824" s="2">
        <f>HYPERLINK("http://mcb-m6.bioreg.kyushu-u.ac.jp/M3/20110414/F50945/1957/1", 53.86)</f>
        <v>53.86</v>
      </c>
      <c r="E3824" s="2">
        <v>38.950000000000003</v>
      </c>
      <c r="F3824" s="2">
        <v>2</v>
      </c>
      <c r="G3824" s="2" t="s">
        <v>11</v>
      </c>
    </row>
    <row r="3825" spans="1:8" x14ac:dyDescent="0.2">
      <c r="A3825" s="2" t="s">
        <v>3343</v>
      </c>
      <c r="B3825" s="2" t="s">
        <v>344</v>
      </c>
      <c r="C3825" s="2">
        <v>613.47119999999995</v>
      </c>
      <c r="D3825" s="2">
        <f>HYPERLINK("http://mcb-m6.bioreg.kyushu-u.ac.jp/M3/20110414/F50945/2887/1", 53.9)</f>
        <v>53.9</v>
      </c>
      <c r="E3825" s="2">
        <v>36.42</v>
      </c>
      <c r="F3825" s="2">
        <v>3</v>
      </c>
      <c r="G3825" s="2" t="s">
        <v>11</v>
      </c>
    </row>
    <row r="3826" spans="1:8" x14ac:dyDescent="0.2">
      <c r="A3826" s="2" t="s">
        <v>3343</v>
      </c>
      <c r="B3826" s="2" t="s">
        <v>1189</v>
      </c>
      <c r="C3826" s="2">
        <v>1069.4590000000001</v>
      </c>
      <c r="D3826" s="2">
        <f>HYPERLINK("http://mcb-m6.bioreg.kyushu-u.ac.jp/M3/20110414/F50941/3687/1", 53.99)</f>
        <v>53.99</v>
      </c>
      <c r="E3826" s="2">
        <v>42.34</v>
      </c>
      <c r="F3826" s="2">
        <v>2</v>
      </c>
      <c r="G3826" s="2" t="s">
        <v>11</v>
      </c>
    </row>
    <row r="3827" spans="1:8" x14ac:dyDescent="0.2">
      <c r="A3827" s="2" t="s">
        <v>3343</v>
      </c>
      <c r="B3827" s="2" t="s">
        <v>1211</v>
      </c>
      <c r="C3827" s="2">
        <v>774.69090000000006</v>
      </c>
      <c r="D3827" s="2">
        <f>HYPERLINK("http://mcb-m6.bioreg.kyushu-u.ac.jp/M3/20110414/F50945/3672/1", 54.35)</f>
        <v>54.35</v>
      </c>
      <c r="E3827" s="2">
        <v>34.82</v>
      </c>
      <c r="F3827" s="2">
        <v>3</v>
      </c>
      <c r="G3827" s="2" t="s">
        <v>11</v>
      </c>
      <c r="H3827" s="2" t="s">
        <v>4891</v>
      </c>
    </row>
    <row r="3828" spans="1:8" x14ac:dyDescent="0.2">
      <c r="A3828" s="2" t="s">
        <v>3343</v>
      </c>
      <c r="B3828" s="2" t="s">
        <v>943</v>
      </c>
      <c r="C3828" s="2">
        <v>506.76609999999999</v>
      </c>
      <c r="D3828" s="2">
        <f>HYPERLINK("http://mcb-m6.bioreg.kyushu-u.ac.jp/M3/20110414/F50945/1115/1", 54.43)</f>
        <v>54.43</v>
      </c>
      <c r="E3828" s="2">
        <v>34.299999999999997</v>
      </c>
      <c r="F3828" s="2">
        <v>2</v>
      </c>
      <c r="G3828" s="2" t="s">
        <v>11</v>
      </c>
    </row>
    <row r="3829" spans="1:8" x14ac:dyDescent="0.2">
      <c r="A3829" s="2" t="s">
        <v>3343</v>
      </c>
      <c r="B3829" s="2" t="s">
        <v>132</v>
      </c>
      <c r="C3829" s="2">
        <v>578.67319999999995</v>
      </c>
      <c r="D3829" s="2">
        <f>HYPERLINK("http://mcb-m6.bioreg.kyushu-u.ac.jp/M3/20110414/F50957/889/1", 54.89)</f>
        <v>54.89</v>
      </c>
      <c r="E3829" s="2">
        <v>30.88</v>
      </c>
      <c r="F3829" s="2">
        <v>2</v>
      </c>
      <c r="G3829" s="2" t="s">
        <v>11</v>
      </c>
    </row>
    <row r="3830" spans="1:8" x14ac:dyDescent="0.2">
      <c r="A3830" s="2" t="s">
        <v>3343</v>
      </c>
      <c r="B3830" s="2" t="s">
        <v>704</v>
      </c>
      <c r="C3830" s="2">
        <v>602.62869999999998</v>
      </c>
      <c r="D3830" s="2">
        <f>HYPERLINK("http://mcb-m6.bioreg.kyushu-u.ac.jp/M3/20110414/F50926/1799/1", 54.96)</f>
        <v>54.96</v>
      </c>
      <c r="E3830" s="2">
        <v>23.57</v>
      </c>
      <c r="F3830" s="2">
        <v>2</v>
      </c>
      <c r="G3830" s="2" t="s">
        <v>11</v>
      </c>
    </row>
    <row r="3831" spans="1:8" x14ac:dyDescent="0.2">
      <c r="A3831" s="2" t="s">
        <v>3343</v>
      </c>
      <c r="B3831" s="2" t="s">
        <v>132</v>
      </c>
      <c r="C3831" s="2">
        <v>578.51919999999996</v>
      </c>
      <c r="D3831" s="2">
        <f>HYPERLINK("http://mcb-m6.bioreg.kyushu-u.ac.jp/M3/20110414/F50945/1329/1", 55.06)</f>
        <v>55.06</v>
      </c>
      <c r="E3831" s="2">
        <v>27.06</v>
      </c>
      <c r="F3831" s="2">
        <v>2</v>
      </c>
      <c r="G3831" s="2" t="s">
        <v>11</v>
      </c>
    </row>
    <row r="3832" spans="1:8" x14ac:dyDescent="0.2">
      <c r="A3832" s="2" t="s">
        <v>3343</v>
      </c>
      <c r="B3832" s="2" t="s">
        <v>132</v>
      </c>
      <c r="C3832" s="2">
        <v>578.76969999999994</v>
      </c>
      <c r="D3832" s="2">
        <f>HYPERLINK("http://mcb-m6.bioreg.kyushu-u.ac.jp/M3/20110414/F50945/1333/1", 55.12)</f>
        <v>55.12</v>
      </c>
      <c r="E3832" s="2">
        <v>27.93</v>
      </c>
      <c r="F3832" s="2">
        <v>2</v>
      </c>
      <c r="G3832" s="2" t="s">
        <v>11</v>
      </c>
    </row>
    <row r="3833" spans="1:8" x14ac:dyDescent="0.2">
      <c r="A3833" s="2" t="s">
        <v>3343</v>
      </c>
      <c r="B3833" s="2" t="s">
        <v>132</v>
      </c>
      <c r="C3833" s="2">
        <v>578.51419999999996</v>
      </c>
      <c r="D3833" s="2">
        <f>HYPERLINK("http://mcb-m6.bioreg.kyushu-u.ac.jp/M3/20110414/F50945/1328/1", 55.56)</f>
        <v>55.56</v>
      </c>
      <c r="E3833" s="2">
        <v>27.18</v>
      </c>
      <c r="F3833" s="2">
        <v>2</v>
      </c>
      <c r="G3833" s="2" t="s">
        <v>11</v>
      </c>
    </row>
    <row r="3834" spans="1:8" x14ac:dyDescent="0.2">
      <c r="A3834" s="2" t="s">
        <v>3343</v>
      </c>
      <c r="B3834" s="2" t="s">
        <v>344</v>
      </c>
      <c r="C3834" s="2">
        <v>919.1617</v>
      </c>
      <c r="D3834" s="2">
        <f>HYPERLINK("http://mcb-m6.bioreg.kyushu-u.ac.jp/M3/20110414/F50962/2691/1", 55.6)</f>
        <v>55.6</v>
      </c>
      <c r="E3834" s="2">
        <v>37.299999999999997</v>
      </c>
      <c r="F3834" s="2">
        <v>2</v>
      </c>
      <c r="G3834" s="2" t="s">
        <v>11</v>
      </c>
    </row>
    <row r="3835" spans="1:8" x14ac:dyDescent="0.2">
      <c r="A3835" s="2" t="s">
        <v>3343</v>
      </c>
      <c r="B3835" s="2" t="s">
        <v>704</v>
      </c>
      <c r="C3835" s="2">
        <v>602.66719999999998</v>
      </c>
      <c r="D3835" s="2">
        <f>HYPERLINK("http://mcb-m6.bioreg.kyushu-u.ac.jp/M3/20110414/F50962/1268/1", 55.66)</f>
        <v>55.66</v>
      </c>
      <c r="E3835" s="2">
        <v>24.12</v>
      </c>
      <c r="F3835" s="2">
        <v>2</v>
      </c>
      <c r="G3835" s="2" t="s">
        <v>11</v>
      </c>
    </row>
    <row r="3836" spans="1:8" x14ac:dyDescent="0.2">
      <c r="A3836" s="2" t="s">
        <v>3343</v>
      </c>
      <c r="B3836" s="2" t="s">
        <v>509</v>
      </c>
      <c r="C3836" s="2">
        <v>725.50070000000005</v>
      </c>
      <c r="D3836" s="2">
        <f>HYPERLINK("http://mcb-m6.bioreg.kyushu-u.ac.jp/M3/20110414/F50925/2158/1", 56.27)</f>
        <v>56.27</v>
      </c>
      <c r="E3836" s="2">
        <v>31.18</v>
      </c>
      <c r="F3836" s="2">
        <v>2</v>
      </c>
      <c r="G3836" s="2" t="s">
        <v>11</v>
      </c>
      <c r="H3836" s="2" t="s">
        <v>4927</v>
      </c>
    </row>
    <row r="3837" spans="1:8" x14ac:dyDescent="0.2">
      <c r="A3837" s="2" t="s">
        <v>3343</v>
      </c>
      <c r="B3837" s="2" t="s">
        <v>943</v>
      </c>
      <c r="C3837" s="2">
        <v>506.81310000000002</v>
      </c>
      <c r="D3837" s="2">
        <f>HYPERLINK("http://mcb-m6.bioreg.kyushu-u.ac.jp/M3/20110414/F50945/1120/1", 56.69)</f>
        <v>56.69</v>
      </c>
      <c r="E3837" s="2">
        <v>35.130000000000003</v>
      </c>
      <c r="F3837" s="2">
        <v>2</v>
      </c>
      <c r="G3837" s="2" t="s">
        <v>11</v>
      </c>
    </row>
    <row r="3838" spans="1:8" x14ac:dyDescent="0.2">
      <c r="A3838" s="2" t="s">
        <v>3343</v>
      </c>
      <c r="B3838" s="2" t="s">
        <v>132</v>
      </c>
      <c r="C3838" s="2">
        <v>1155.6389999999999</v>
      </c>
      <c r="D3838" s="2">
        <f>HYPERLINK("http://mcb-m6.bioreg.kyushu-u.ac.jp/M3/20110414/F50945/1326/1", 56.7)</f>
        <v>56.7</v>
      </c>
      <c r="E3838" s="2">
        <v>35.57</v>
      </c>
      <c r="F3838" s="2">
        <v>1</v>
      </c>
      <c r="G3838" s="2" t="s">
        <v>11</v>
      </c>
    </row>
    <row r="3839" spans="1:8" x14ac:dyDescent="0.2">
      <c r="A3839" s="2" t="s">
        <v>3343</v>
      </c>
      <c r="B3839" s="2" t="s">
        <v>558</v>
      </c>
      <c r="C3839" s="2">
        <v>729.50670000000002</v>
      </c>
      <c r="D3839" s="2">
        <f>HYPERLINK("http://mcb-m6.bioreg.kyushu-u.ac.jp/M3/20110414/F50945/1960/1", 56.94)</f>
        <v>56.94</v>
      </c>
      <c r="E3839" s="2">
        <v>40.76</v>
      </c>
      <c r="F3839" s="2">
        <v>2</v>
      </c>
      <c r="G3839" s="2" t="s">
        <v>11</v>
      </c>
    </row>
    <row r="3840" spans="1:8" x14ac:dyDescent="0.2">
      <c r="A3840" s="2" t="s">
        <v>3343</v>
      </c>
      <c r="B3840" s="2" t="s">
        <v>344</v>
      </c>
      <c r="C3840" s="2">
        <v>919.79610000000002</v>
      </c>
      <c r="D3840" s="2">
        <f>HYPERLINK("http://mcb-m6.bioreg.kyushu-u.ac.jp/M3/20110414/F50941/3084/1", 57.01)</f>
        <v>57.01</v>
      </c>
      <c r="E3840" s="2">
        <v>33.54</v>
      </c>
      <c r="F3840" s="2">
        <v>2</v>
      </c>
      <c r="G3840" s="2" t="s">
        <v>11</v>
      </c>
    </row>
    <row r="3841" spans="1:8" x14ac:dyDescent="0.2">
      <c r="A3841" s="2" t="s">
        <v>3343</v>
      </c>
      <c r="B3841" s="2" t="s">
        <v>132</v>
      </c>
      <c r="C3841" s="2">
        <v>578.56370000000004</v>
      </c>
      <c r="D3841" s="2">
        <f>HYPERLINK("http://mcb-m6.bioreg.kyushu-u.ac.jp/M3/20110414/F50945/1330/1", 57.56)</f>
        <v>57.56</v>
      </c>
      <c r="E3841" s="2">
        <v>28.13</v>
      </c>
      <c r="F3841" s="2">
        <v>2</v>
      </c>
      <c r="G3841" s="2" t="s">
        <v>11</v>
      </c>
    </row>
    <row r="3842" spans="1:8" x14ac:dyDescent="0.2">
      <c r="A3842" s="2" t="s">
        <v>3343</v>
      </c>
      <c r="B3842" s="2" t="s">
        <v>546</v>
      </c>
      <c r="C3842" s="2">
        <v>664.76919999999996</v>
      </c>
      <c r="D3842" s="2">
        <f>HYPERLINK("http://mcb-m6.bioreg.kyushu-u.ac.jp/M3/20110414/F50929/1977/2", 57.75)</f>
        <v>57.75</v>
      </c>
      <c r="E3842" s="2">
        <v>41.86</v>
      </c>
      <c r="F3842" s="2">
        <v>2</v>
      </c>
      <c r="G3842" s="2" t="s">
        <v>11</v>
      </c>
    </row>
    <row r="3843" spans="1:8" x14ac:dyDescent="0.2">
      <c r="A3843" s="2" t="s">
        <v>3343</v>
      </c>
      <c r="B3843" s="2" t="s">
        <v>546</v>
      </c>
      <c r="C3843" s="2">
        <v>665.22059999999999</v>
      </c>
      <c r="D3843" s="2">
        <f>HYPERLINK("http://mcb-m6.bioreg.kyushu-u.ac.jp/M3/20110414/F50945/1632/2", 57.93)</f>
        <v>57.93</v>
      </c>
      <c r="E3843" s="2">
        <v>46.74</v>
      </c>
      <c r="F3843" s="2">
        <v>2</v>
      </c>
      <c r="G3843" s="2" t="s">
        <v>11</v>
      </c>
    </row>
    <row r="3844" spans="1:8" x14ac:dyDescent="0.2">
      <c r="A3844" s="2" t="s">
        <v>3343</v>
      </c>
      <c r="B3844" s="2" t="s">
        <v>132</v>
      </c>
      <c r="C3844" s="2">
        <v>578.29110000000003</v>
      </c>
      <c r="D3844" s="2">
        <f>HYPERLINK("http://mcb-m6.bioreg.kyushu-u.ac.jp/M3/20110414/F50945/1322/1", 59.29)</f>
        <v>59.29</v>
      </c>
      <c r="E3844" s="2">
        <v>35.61</v>
      </c>
      <c r="F3844" s="2">
        <v>2</v>
      </c>
      <c r="G3844" s="2" t="s">
        <v>11</v>
      </c>
    </row>
    <row r="3845" spans="1:8" x14ac:dyDescent="0.2">
      <c r="A3845" s="2" t="s">
        <v>3343</v>
      </c>
      <c r="B3845" s="2" t="s">
        <v>325</v>
      </c>
      <c r="C3845" s="2">
        <v>739.78560000000004</v>
      </c>
      <c r="D3845" s="2">
        <f>HYPERLINK("http://mcb-m6.bioreg.kyushu-u.ac.jp/M3/20110414/F50942/1890/1", 59.71)</f>
        <v>59.71</v>
      </c>
      <c r="E3845" s="2">
        <v>48.74</v>
      </c>
      <c r="F3845" s="2">
        <v>2</v>
      </c>
      <c r="G3845" s="2" t="s">
        <v>11</v>
      </c>
    </row>
    <row r="3846" spans="1:8" x14ac:dyDescent="0.2">
      <c r="A3846" s="2" t="s">
        <v>3343</v>
      </c>
      <c r="B3846" s="2" t="s">
        <v>325</v>
      </c>
      <c r="C3846" s="2">
        <v>747.82460000000003</v>
      </c>
      <c r="D3846" s="2">
        <f>HYPERLINK("http://mcb-m6.bioreg.kyushu-u.ac.jp/M3/20110414/F50942/1959/1", 59.8)</f>
        <v>59.8</v>
      </c>
      <c r="E3846" s="2">
        <v>49.34</v>
      </c>
      <c r="F3846" s="2">
        <v>2</v>
      </c>
      <c r="G3846" s="2" t="s">
        <v>11</v>
      </c>
      <c r="H3846" s="2" t="s">
        <v>4925</v>
      </c>
    </row>
    <row r="3847" spans="1:8" x14ac:dyDescent="0.2">
      <c r="A3847" s="2" t="s">
        <v>3343</v>
      </c>
      <c r="B3847" s="2" t="s">
        <v>1002</v>
      </c>
      <c r="C3847" s="2">
        <v>1147.749</v>
      </c>
      <c r="D3847" s="2">
        <f>HYPERLINK("http://mcb-m6.bioreg.kyushu-u.ac.jp/M3/20110414/F50956/4148/1", 59.95)</f>
        <v>59.95</v>
      </c>
      <c r="E3847" s="2">
        <v>52.68</v>
      </c>
      <c r="F3847" s="2">
        <v>2</v>
      </c>
      <c r="G3847" s="2" t="s">
        <v>11</v>
      </c>
    </row>
    <row r="3848" spans="1:8" x14ac:dyDescent="0.2">
      <c r="A3848" s="2" t="s">
        <v>3343</v>
      </c>
      <c r="B3848" s="2" t="s">
        <v>546</v>
      </c>
      <c r="C3848" s="2">
        <v>664.7482</v>
      </c>
      <c r="D3848" s="2">
        <f>HYPERLINK("http://mcb-m6.bioreg.kyushu-u.ac.jp/M3/20110414/F50962/1500/2", 60.1)</f>
        <v>60.1</v>
      </c>
      <c r="E3848" s="2">
        <v>42.31</v>
      </c>
      <c r="F3848" s="2">
        <v>2</v>
      </c>
      <c r="G3848" s="2" t="s">
        <v>11</v>
      </c>
    </row>
    <row r="3849" spans="1:8" x14ac:dyDescent="0.2">
      <c r="A3849" s="2" t="s">
        <v>3343</v>
      </c>
      <c r="B3849" s="2" t="s">
        <v>325</v>
      </c>
      <c r="C3849" s="2">
        <v>747.75570000000005</v>
      </c>
      <c r="D3849" s="2">
        <f>HYPERLINK("http://mcb-m6.bioreg.kyushu-u.ac.jp/M3/20110414/F50945/2103/1", 60.5)</f>
        <v>60.5</v>
      </c>
      <c r="E3849" s="2">
        <v>45.37</v>
      </c>
      <c r="F3849" s="2">
        <v>2</v>
      </c>
      <c r="G3849" s="2" t="s">
        <v>11</v>
      </c>
      <c r="H3849" s="2" t="s">
        <v>4925</v>
      </c>
    </row>
    <row r="3850" spans="1:8" x14ac:dyDescent="0.2">
      <c r="A3850" s="2" t="s">
        <v>3343</v>
      </c>
      <c r="B3850" s="2" t="s">
        <v>509</v>
      </c>
      <c r="C3850" s="2">
        <v>1416.6489999999999</v>
      </c>
      <c r="D3850" s="2">
        <f>HYPERLINK("http://mcb-m6.bioreg.kyushu-u.ac.jp/M3/20110414/F50945/1831/1", 60.65)</f>
        <v>60.65</v>
      </c>
      <c r="E3850" s="2">
        <v>47.88</v>
      </c>
      <c r="F3850" s="2">
        <v>1</v>
      </c>
      <c r="G3850" s="2" t="s">
        <v>11</v>
      </c>
      <c r="H3850" s="2" t="s">
        <v>4904</v>
      </c>
    </row>
    <row r="3851" spans="1:8" x14ac:dyDescent="0.2">
      <c r="A3851" s="2" t="s">
        <v>3343</v>
      </c>
      <c r="B3851" s="2" t="s">
        <v>325</v>
      </c>
      <c r="C3851" s="2">
        <v>739.67110000000002</v>
      </c>
      <c r="D3851" s="2">
        <f>HYPERLINK("http://mcb-m6.bioreg.kyushu-u.ac.jp/M3/20110414/F50941/2113/1", 60.96)</f>
        <v>60.96</v>
      </c>
      <c r="E3851" s="2">
        <v>44.17</v>
      </c>
      <c r="F3851" s="2">
        <v>2</v>
      </c>
      <c r="G3851" s="2" t="s">
        <v>11</v>
      </c>
    </row>
    <row r="3852" spans="1:8" x14ac:dyDescent="0.2">
      <c r="A3852" s="2" t="s">
        <v>3343</v>
      </c>
      <c r="B3852" s="2" t="s">
        <v>325</v>
      </c>
      <c r="C3852" s="2">
        <v>739.54020000000003</v>
      </c>
      <c r="D3852" s="2">
        <f>HYPERLINK("http://mcb-m6.bioreg.kyushu-u.ac.jp/M3/20110414/F50962/1913/1", 61.51)</f>
        <v>61.51</v>
      </c>
      <c r="E3852" s="2">
        <v>51.94</v>
      </c>
      <c r="F3852" s="2">
        <v>2</v>
      </c>
      <c r="G3852" s="2" t="s">
        <v>11</v>
      </c>
    </row>
    <row r="3853" spans="1:8" x14ac:dyDescent="0.2">
      <c r="A3853" s="2" t="s">
        <v>3343</v>
      </c>
      <c r="B3853" s="2" t="s">
        <v>558</v>
      </c>
      <c r="C3853" s="2">
        <v>729.34169999999995</v>
      </c>
      <c r="D3853" s="2">
        <f>HYPERLINK("http://mcb-m6.bioreg.kyushu-u.ac.jp/M3/20110414/F50942/1814/1", 61.64)</f>
        <v>61.64</v>
      </c>
      <c r="E3853" s="2">
        <v>45.11</v>
      </c>
      <c r="F3853" s="2">
        <v>2</v>
      </c>
      <c r="G3853" s="2" t="s">
        <v>11</v>
      </c>
    </row>
    <row r="3854" spans="1:8" x14ac:dyDescent="0.2">
      <c r="A3854" s="2" t="s">
        <v>3343</v>
      </c>
      <c r="B3854" s="2" t="s">
        <v>558</v>
      </c>
      <c r="C3854" s="2">
        <v>729.51819999999998</v>
      </c>
      <c r="D3854" s="2">
        <f>HYPERLINK("http://mcb-m6.bioreg.kyushu-u.ac.jp/M3/20110414/F50945/1962/1", 62.3)</f>
        <v>62.3</v>
      </c>
      <c r="E3854" s="2">
        <v>48.68</v>
      </c>
      <c r="F3854" s="2">
        <v>2</v>
      </c>
      <c r="G3854" s="2" t="s">
        <v>11</v>
      </c>
    </row>
    <row r="3855" spans="1:8" x14ac:dyDescent="0.2">
      <c r="A3855" s="2" t="s">
        <v>3343</v>
      </c>
      <c r="B3855" s="2" t="s">
        <v>558</v>
      </c>
      <c r="C3855" s="2">
        <v>729.39419999999996</v>
      </c>
      <c r="D3855" s="2">
        <f>HYPERLINK("http://mcb-m6.bioreg.kyushu-u.ac.jp/M3/20110414/F50941/2033/1", 62.72)</f>
        <v>62.72</v>
      </c>
      <c r="E3855" s="2">
        <v>38.82</v>
      </c>
      <c r="F3855" s="2">
        <v>2</v>
      </c>
      <c r="G3855" s="2" t="s">
        <v>11</v>
      </c>
    </row>
    <row r="3856" spans="1:8" x14ac:dyDescent="0.2">
      <c r="A3856" s="2" t="s">
        <v>3343</v>
      </c>
      <c r="B3856" s="2" t="s">
        <v>546</v>
      </c>
      <c r="C3856" s="2">
        <v>664.67319999999995</v>
      </c>
      <c r="D3856" s="2">
        <f>HYPERLINK("http://mcb-m6.bioreg.kyushu-u.ac.jp/M3/20110414/F50945/1616/2", 62.82)</f>
        <v>62.82</v>
      </c>
      <c r="E3856" s="2">
        <v>43.23</v>
      </c>
      <c r="F3856" s="2">
        <v>2</v>
      </c>
      <c r="G3856" s="2" t="s">
        <v>11</v>
      </c>
    </row>
    <row r="3857" spans="1:8" x14ac:dyDescent="0.2">
      <c r="A3857" s="2" t="s">
        <v>3343</v>
      </c>
      <c r="B3857" s="2" t="s">
        <v>546</v>
      </c>
      <c r="C3857" s="2">
        <v>664.87710000000004</v>
      </c>
      <c r="D3857" s="2">
        <f>HYPERLINK("http://mcb-m6.bioreg.kyushu-u.ac.jp/M3/20110414/F50945/1628/2", 63.27)</f>
        <v>63.27</v>
      </c>
      <c r="E3857" s="2">
        <v>46.41</v>
      </c>
      <c r="F3857" s="2">
        <v>2</v>
      </c>
      <c r="G3857" s="2" t="s">
        <v>11</v>
      </c>
    </row>
    <row r="3858" spans="1:8" x14ac:dyDescent="0.2">
      <c r="A3858" s="2" t="s">
        <v>3343</v>
      </c>
      <c r="B3858" s="2" t="s">
        <v>132</v>
      </c>
      <c r="C3858" s="2">
        <v>578.56410000000005</v>
      </c>
      <c r="D3858" s="2">
        <f>HYPERLINK("http://mcb-m6.bioreg.kyushu-u.ac.jp/M3/20110414/F50928/1543/1", 63.3)</f>
        <v>63.3</v>
      </c>
      <c r="E3858" s="2">
        <v>30.92</v>
      </c>
      <c r="F3858" s="2">
        <v>2</v>
      </c>
      <c r="G3858" s="2" t="s">
        <v>11</v>
      </c>
    </row>
    <row r="3859" spans="1:8" x14ac:dyDescent="0.2">
      <c r="A3859" s="2" t="s">
        <v>3343</v>
      </c>
      <c r="B3859" s="2" t="s">
        <v>509</v>
      </c>
      <c r="C3859" s="2">
        <v>709.20259999999996</v>
      </c>
      <c r="D3859" s="2">
        <f>HYPERLINK("http://mcb-m6.bioreg.kyushu-u.ac.jp/M3/20110414/F50962/1757/1", 63.51)</f>
        <v>63.51</v>
      </c>
      <c r="E3859" s="2">
        <v>39.11</v>
      </c>
      <c r="F3859" s="2">
        <v>2</v>
      </c>
      <c r="G3859" s="2" t="s">
        <v>11</v>
      </c>
      <c r="H3859" s="2" t="s">
        <v>4904</v>
      </c>
    </row>
    <row r="3860" spans="1:8" x14ac:dyDescent="0.2">
      <c r="A3860" s="2" t="s">
        <v>3343</v>
      </c>
      <c r="B3860" s="2" t="s">
        <v>132</v>
      </c>
      <c r="C3860" s="2">
        <v>578.20569999999998</v>
      </c>
      <c r="D3860" s="2">
        <f>HYPERLINK("http://mcb-m6.bioreg.kyushu-u.ac.jp/M3/20110414/F50925/1675/1", 63.61)</f>
        <v>63.61</v>
      </c>
      <c r="E3860" s="2">
        <v>38.979999999999997</v>
      </c>
      <c r="F3860" s="2">
        <v>2</v>
      </c>
      <c r="G3860" s="2" t="s">
        <v>11</v>
      </c>
    </row>
    <row r="3861" spans="1:8" x14ac:dyDescent="0.2">
      <c r="A3861" s="2" t="s">
        <v>3343</v>
      </c>
      <c r="B3861" s="2" t="s">
        <v>132</v>
      </c>
      <c r="C3861" s="2">
        <v>578.21810000000005</v>
      </c>
      <c r="D3861" s="2">
        <f>HYPERLINK("http://mcb-m6.bioreg.kyushu-u.ac.jp/M3/20110414/F50929/1718/1", 63.64)</f>
        <v>63.64</v>
      </c>
      <c r="E3861" s="2">
        <v>34.07</v>
      </c>
      <c r="F3861" s="2">
        <v>2</v>
      </c>
      <c r="G3861" s="2" t="s">
        <v>11</v>
      </c>
    </row>
    <row r="3862" spans="1:8" x14ac:dyDescent="0.2">
      <c r="A3862" s="2" t="s">
        <v>3343</v>
      </c>
      <c r="B3862" s="2" t="s">
        <v>344</v>
      </c>
      <c r="C3862" s="2">
        <v>919.56569999999999</v>
      </c>
      <c r="D3862" s="2">
        <f>HYPERLINK("http://mcb-m6.bioreg.kyushu-u.ac.jp/M3/20110414/F50941/3082/1", 64.02)</f>
        <v>64.02</v>
      </c>
      <c r="E3862" s="2">
        <v>41.41</v>
      </c>
      <c r="F3862" s="2">
        <v>2</v>
      </c>
      <c r="G3862" s="2" t="s">
        <v>11</v>
      </c>
    </row>
    <row r="3863" spans="1:8" x14ac:dyDescent="0.2">
      <c r="A3863" s="2" t="s">
        <v>3343</v>
      </c>
      <c r="B3863" s="2" t="s">
        <v>1002</v>
      </c>
      <c r="C3863" s="2">
        <v>1148.008</v>
      </c>
      <c r="D3863" s="2">
        <f>HYPERLINK("http://mcb-m6.bioreg.kyushu-u.ac.jp/M3/20110414/F50945/3585/1", 64.02)</f>
        <v>64.02</v>
      </c>
      <c r="E3863" s="2">
        <v>45.77</v>
      </c>
      <c r="F3863" s="2">
        <v>2</v>
      </c>
      <c r="G3863" s="2" t="s">
        <v>11</v>
      </c>
    </row>
    <row r="3864" spans="1:8" x14ac:dyDescent="0.2">
      <c r="A3864" s="2" t="s">
        <v>3343</v>
      </c>
      <c r="B3864" s="2" t="s">
        <v>132</v>
      </c>
      <c r="C3864" s="2">
        <v>578.74159999999995</v>
      </c>
      <c r="D3864" s="2">
        <f>HYPERLINK("http://mcb-m6.bioreg.kyushu-u.ac.jp/M3/20110414/F50945/1332/1", 64.88)</f>
        <v>64.88</v>
      </c>
      <c r="E3864" s="2">
        <v>36.07</v>
      </c>
      <c r="F3864" s="2">
        <v>2</v>
      </c>
      <c r="G3864" s="2" t="s">
        <v>11</v>
      </c>
    </row>
    <row r="3865" spans="1:8" x14ac:dyDescent="0.2">
      <c r="A3865" s="2" t="s">
        <v>3343</v>
      </c>
      <c r="B3865" s="2" t="s">
        <v>546</v>
      </c>
      <c r="C3865" s="2">
        <v>664.77919999999995</v>
      </c>
      <c r="D3865" s="2">
        <f>HYPERLINK("http://mcb-m6.bioreg.kyushu-u.ac.jp/M3/20110414/F50943/1470/2", 65.45)</f>
        <v>65.45</v>
      </c>
      <c r="E3865" s="2">
        <v>47.03</v>
      </c>
      <c r="F3865" s="2">
        <v>2</v>
      </c>
      <c r="G3865" s="2" t="s">
        <v>11</v>
      </c>
    </row>
    <row r="3866" spans="1:8" x14ac:dyDescent="0.2">
      <c r="A3866" s="2" t="s">
        <v>3343</v>
      </c>
      <c r="B3866" s="2" t="s">
        <v>509</v>
      </c>
      <c r="C3866" s="2">
        <v>725.47270000000003</v>
      </c>
      <c r="D3866" s="2">
        <f>HYPERLINK("http://mcb-m6.bioreg.kyushu-u.ac.jp/M3/20110414/F50945/1933/1", 66.08)</f>
        <v>66.08</v>
      </c>
      <c r="E3866" s="2">
        <v>53.79</v>
      </c>
      <c r="F3866" s="2">
        <v>2</v>
      </c>
      <c r="G3866" s="2" t="s">
        <v>11</v>
      </c>
      <c r="H3866" s="2" t="s">
        <v>4927</v>
      </c>
    </row>
    <row r="3867" spans="1:8" x14ac:dyDescent="0.2">
      <c r="A3867" s="2" t="s">
        <v>3343</v>
      </c>
      <c r="B3867" s="2" t="s">
        <v>1189</v>
      </c>
      <c r="C3867" s="2">
        <v>1069.3820000000001</v>
      </c>
      <c r="D3867" s="2">
        <f>HYPERLINK("http://mcb-m6.bioreg.kyushu-u.ac.jp/M3/20110414/F50945/3288/1", 66.37)</f>
        <v>66.37</v>
      </c>
      <c r="E3867" s="2">
        <v>55.83</v>
      </c>
      <c r="F3867" s="2">
        <v>2</v>
      </c>
      <c r="G3867" s="2" t="s">
        <v>11</v>
      </c>
    </row>
    <row r="3868" spans="1:8" x14ac:dyDescent="0.2">
      <c r="A3868" s="2" t="s">
        <v>3343</v>
      </c>
      <c r="B3868" s="2" t="s">
        <v>344</v>
      </c>
      <c r="C3868" s="2">
        <v>919.46619999999996</v>
      </c>
      <c r="D3868" s="2">
        <f>HYPERLINK("http://mcb-m6.bioreg.kyushu-u.ac.jp/M3/20110414/F50945/2882/1", 66.61)</f>
        <v>66.61</v>
      </c>
      <c r="E3868" s="2">
        <v>40.450000000000003</v>
      </c>
      <c r="F3868" s="2">
        <v>2</v>
      </c>
      <c r="G3868" s="2" t="s">
        <v>11</v>
      </c>
    </row>
    <row r="3869" spans="1:8" x14ac:dyDescent="0.2">
      <c r="A3869" s="2" t="s">
        <v>3343</v>
      </c>
      <c r="B3869" s="2" t="s">
        <v>210</v>
      </c>
      <c r="C3869" s="2">
        <v>546.76760000000002</v>
      </c>
      <c r="D3869" s="2">
        <f>HYPERLINK("http://mcb-m6.bioreg.kyushu-u.ac.jp/M3/20110414/F50945/1222/1", 67.26)</f>
        <v>67.260000000000005</v>
      </c>
      <c r="E3869" s="2">
        <v>34.51</v>
      </c>
      <c r="F3869" s="2">
        <v>2</v>
      </c>
      <c r="G3869" s="2" t="s">
        <v>11</v>
      </c>
    </row>
    <row r="3870" spans="1:8" x14ac:dyDescent="0.2">
      <c r="A3870" s="2" t="s">
        <v>3343</v>
      </c>
      <c r="B3870" s="2" t="s">
        <v>325</v>
      </c>
      <c r="C3870" s="2">
        <v>739.20010000000002</v>
      </c>
      <c r="D3870" s="2">
        <f>HYPERLINK("http://mcb-m6.bioreg.kyushu-u.ac.jp/M3/20110414/F50962/1910/1", 67.44)</f>
        <v>67.44</v>
      </c>
      <c r="E3870" s="2">
        <v>53.92</v>
      </c>
      <c r="F3870" s="2">
        <v>2</v>
      </c>
      <c r="G3870" s="2" t="s">
        <v>11</v>
      </c>
    </row>
    <row r="3871" spans="1:8" x14ac:dyDescent="0.2">
      <c r="A3871" s="2" t="s">
        <v>3343</v>
      </c>
      <c r="B3871" s="2" t="s">
        <v>1002</v>
      </c>
      <c r="C3871" s="2">
        <v>1148.0219999999999</v>
      </c>
      <c r="D3871" s="2">
        <f>HYPERLINK("http://mcb-m6.bioreg.kyushu-u.ac.jp/M3/20110414/F50941/3902/1", 67.56)</f>
        <v>67.56</v>
      </c>
      <c r="E3871" s="2">
        <v>51.99</v>
      </c>
      <c r="F3871" s="2">
        <v>2</v>
      </c>
      <c r="G3871" s="2" t="s">
        <v>11</v>
      </c>
    </row>
    <row r="3872" spans="1:8" x14ac:dyDescent="0.2">
      <c r="A3872" s="2" t="s">
        <v>3343</v>
      </c>
      <c r="B3872" s="2" t="s">
        <v>132</v>
      </c>
      <c r="C3872" s="2">
        <v>578.1472</v>
      </c>
      <c r="D3872" s="2">
        <f>HYPERLINK("http://mcb-m6.bioreg.kyushu-u.ac.jp/M3/20110414/F50962/1135/1", 67.63)</f>
        <v>67.63</v>
      </c>
      <c r="E3872" s="2">
        <v>26.92</v>
      </c>
      <c r="F3872" s="2">
        <v>2</v>
      </c>
      <c r="G3872" s="2" t="s">
        <v>11</v>
      </c>
    </row>
    <row r="3873" spans="1:8" x14ac:dyDescent="0.2">
      <c r="A3873" s="2" t="s">
        <v>3343</v>
      </c>
      <c r="B3873" s="2" t="s">
        <v>546</v>
      </c>
      <c r="C3873" s="2">
        <v>664.6241</v>
      </c>
      <c r="D3873" s="2">
        <f>HYPERLINK("http://mcb-m6.bioreg.kyushu-u.ac.jp/M3/20110414/F50928/1888/2", 67.93)</f>
        <v>67.930000000000007</v>
      </c>
      <c r="E3873" s="2">
        <v>38.979999999999997</v>
      </c>
      <c r="F3873" s="2">
        <v>2</v>
      </c>
      <c r="G3873" s="2" t="s">
        <v>11</v>
      </c>
    </row>
    <row r="3874" spans="1:8" x14ac:dyDescent="0.2">
      <c r="A3874" s="2" t="s">
        <v>3343</v>
      </c>
      <c r="B3874" s="2" t="s">
        <v>132</v>
      </c>
      <c r="C3874" s="2">
        <v>578.18910000000005</v>
      </c>
      <c r="D3874" s="2">
        <f>HYPERLINK("http://mcb-m6.bioreg.kyushu-u.ac.jp/M3/20110414/F50945/1315/1", 68.21)</f>
        <v>68.209999999999994</v>
      </c>
      <c r="E3874" s="2">
        <v>45.62</v>
      </c>
      <c r="F3874" s="2">
        <v>2</v>
      </c>
      <c r="G3874" s="2" t="s">
        <v>11</v>
      </c>
    </row>
    <row r="3875" spans="1:8" x14ac:dyDescent="0.2">
      <c r="A3875" s="2" t="s">
        <v>3343</v>
      </c>
      <c r="B3875" s="2" t="s">
        <v>325</v>
      </c>
      <c r="C3875" s="2">
        <v>747.30769999999995</v>
      </c>
      <c r="D3875" s="2">
        <f>HYPERLINK("http://mcb-m6.bioreg.kyushu-u.ac.jp/M3/20110414/F50945/2096/1", 69.16)</f>
        <v>69.16</v>
      </c>
      <c r="E3875" s="2">
        <v>55.52</v>
      </c>
      <c r="F3875" s="2">
        <v>2</v>
      </c>
      <c r="G3875" s="2" t="s">
        <v>11</v>
      </c>
      <c r="H3875" s="2" t="s">
        <v>4925</v>
      </c>
    </row>
    <row r="3876" spans="1:8" x14ac:dyDescent="0.2">
      <c r="A3876" s="2" t="s">
        <v>3343</v>
      </c>
      <c r="B3876" s="2" t="s">
        <v>546</v>
      </c>
      <c r="C3876" s="2">
        <v>664.77009999999996</v>
      </c>
      <c r="D3876" s="2">
        <f>HYPERLINK("http://mcb-m6.bioreg.kyushu-u.ac.jp/M3/20110414/F50941/1628/2", 69.53)</f>
        <v>69.53</v>
      </c>
      <c r="E3876" s="2">
        <v>55.23</v>
      </c>
      <c r="F3876" s="2">
        <v>2</v>
      </c>
      <c r="G3876" s="2" t="s">
        <v>11</v>
      </c>
    </row>
    <row r="3877" spans="1:8" x14ac:dyDescent="0.2">
      <c r="A3877" s="2" t="s">
        <v>3343</v>
      </c>
      <c r="B3877" s="2" t="s">
        <v>344</v>
      </c>
      <c r="C3877" s="2">
        <v>919.93320000000006</v>
      </c>
      <c r="D3877" s="2">
        <f>HYPERLINK("http://mcb-m6.bioreg.kyushu-u.ac.jp/M3/20110414/F50945/2888/1", 69.54)</f>
        <v>69.540000000000006</v>
      </c>
      <c r="E3877" s="2">
        <v>39.14</v>
      </c>
      <c r="F3877" s="2">
        <v>2</v>
      </c>
      <c r="G3877" s="2" t="s">
        <v>11</v>
      </c>
    </row>
    <row r="3878" spans="1:8" x14ac:dyDescent="0.2">
      <c r="A3878" s="2" t="s">
        <v>3343</v>
      </c>
      <c r="B3878" s="2" t="s">
        <v>1032</v>
      </c>
      <c r="C3878" s="2">
        <v>1163.8779999999999</v>
      </c>
      <c r="D3878" s="2">
        <f>HYPERLINK("http://mcb-m6.bioreg.kyushu-u.ac.jp/M3/20110414/F50945/3682/1", 69.56)</f>
        <v>69.56</v>
      </c>
      <c r="E3878" s="2">
        <v>57.98</v>
      </c>
      <c r="F3878" s="2">
        <v>2</v>
      </c>
      <c r="G3878" s="2" t="s">
        <v>11</v>
      </c>
    </row>
    <row r="3879" spans="1:8" x14ac:dyDescent="0.2">
      <c r="A3879" s="2" t="s">
        <v>3343</v>
      </c>
      <c r="B3879" s="2" t="s">
        <v>546</v>
      </c>
      <c r="C3879" s="2">
        <v>664.75419999999997</v>
      </c>
      <c r="D3879" s="2">
        <f>HYPERLINK("http://mcb-m6.bioreg.kyushu-u.ac.jp/M3/20110414/F50927/1949/2", 69.68)</f>
        <v>69.680000000000007</v>
      </c>
      <c r="E3879" s="2">
        <v>51.14</v>
      </c>
      <c r="F3879" s="2">
        <v>2</v>
      </c>
      <c r="G3879" s="2" t="s">
        <v>11</v>
      </c>
    </row>
    <row r="3880" spans="1:8" x14ac:dyDescent="0.2">
      <c r="A3880" s="2" t="s">
        <v>3343</v>
      </c>
      <c r="B3880" s="2" t="s">
        <v>132</v>
      </c>
      <c r="C3880" s="2">
        <v>578.03859999999997</v>
      </c>
      <c r="D3880" s="2">
        <f>HYPERLINK("http://mcb-m6.bioreg.kyushu-u.ac.jp/M3/20110414/F50928/1535/1", 70.34)</f>
        <v>70.34</v>
      </c>
      <c r="E3880" s="2">
        <v>33.380000000000003</v>
      </c>
      <c r="F3880" s="2">
        <v>2</v>
      </c>
      <c r="G3880" s="2" t="s">
        <v>11</v>
      </c>
    </row>
    <row r="3881" spans="1:8" x14ac:dyDescent="0.2">
      <c r="A3881" s="2" t="s">
        <v>3343</v>
      </c>
      <c r="B3881" s="2" t="s">
        <v>344</v>
      </c>
      <c r="C3881" s="2">
        <v>613.67719999999997</v>
      </c>
      <c r="D3881" s="2">
        <f>HYPERLINK("http://mcb-m6.bioreg.kyushu-u.ac.jp/M3/20110414/F50962/2700/1", 70.74)</f>
        <v>70.739999999999995</v>
      </c>
      <c r="E3881" s="2">
        <v>48.45</v>
      </c>
      <c r="F3881" s="2">
        <v>3</v>
      </c>
      <c r="G3881" s="2" t="s">
        <v>11</v>
      </c>
    </row>
    <row r="3882" spans="1:8" x14ac:dyDescent="0.2">
      <c r="A3882" s="2" t="s">
        <v>3343</v>
      </c>
      <c r="B3882" s="2" t="s">
        <v>132</v>
      </c>
      <c r="C3882" s="2">
        <v>578.00120000000004</v>
      </c>
      <c r="D3882" s="2">
        <f>HYPERLINK("http://mcb-m6.bioreg.kyushu-u.ac.jp/M3/20110414/F50945/1314/1", 70.81)</f>
        <v>70.81</v>
      </c>
      <c r="E3882" s="2">
        <v>41.8</v>
      </c>
      <c r="F3882" s="2">
        <v>2</v>
      </c>
      <c r="G3882" s="2" t="s">
        <v>11</v>
      </c>
    </row>
    <row r="3883" spans="1:8" x14ac:dyDescent="0.2">
      <c r="A3883" s="2" t="s">
        <v>3343</v>
      </c>
      <c r="B3883" s="2" t="s">
        <v>325</v>
      </c>
      <c r="C3883" s="2">
        <v>747.81460000000004</v>
      </c>
      <c r="D3883" s="2">
        <f>HYPERLINK("http://mcb-m6.bioreg.kyushu-u.ac.jp/M3/20110414/F50945/2104/1", 71.13)</f>
        <v>71.13</v>
      </c>
      <c r="E3883" s="2">
        <v>57.97</v>
      </c>
      <c r="F3883" s="2">
        <v>2</v>
      </c>
      <c r="G3883" s="2" t="s">
        <v>11</v>
      </c>
      <c r="H3883" s="2" t="s">
        <v>4925</v>
      </c>
    </row>
    <row r="3884" spans="1:8" x14ac:dyDescent="0.2">
      <c r="A3884" s="2" t="s">
        <v>3343</v>
      </c>
      <c r="B3884" s="2" t="s">
        <v>1002</v>
      </c>
      <c r="C3884" s="2">
        <v>1147.4469999999999</v>
      </c>
      <c r="D3884" s="2">
        <f>HYPERLINK("http://mcb-m6.bioreg.kyushu-u.ac.jp/M3/20110414/F50962/3384/1", 71.25)</f>
        <v>71.25</v>
      </c>
      <c r="E3884" s="2">
        <v>60.4</v>
      </c>
      <c r="F3884" s="2">
        <v>2</v>
      </c>
      <c r="G3884" s="2" t="s">
        <v>11</v>
      </c>
    </row>
    <row r="3885" spans="1:8" x14ac:dyDescent="0.2">
      <c r="A3885" s="2" t="s">
        <v>3343</v>
      </c>
      <c r="B3885" s="2" t="s">
        <v>1002</v>
      </c>
      <c r="C3885" s="2">
        <v>1147.999</v>
      </c>
      <c r="D3885" s="2">
        <f>HYPERLINK("http://mcb-m6.bioreg.kyushu-u.ac.jp/M3/20110414/F50945/3583/1", 71.37)</f>
        <v>71.37</v>
      </c>
      <c r="E3885" s="2">
        <v>54.23</v>
      </c>
      <c r="F3885" s="2">
        <v>2</v>
      </c>
      <c r="G3885" s="2" t="s">
        <v>11</v>
      </c>
    </row>
    <row r="3886" spans="1:8" x14ac:dyDescent="0.2">
      <c r="A3886" s="2" t="s">
        <v>3343</v>
      </c>
      <c r="B3886" s="2" t="s">
        <v>325</v>
      </c>
      <c r="C3886" s="2">
        <v>747.54970000000003</v>
      </c>
      <c r="D3886" s="2">
        <f>HYPERLINK("http://mcb-m6.bioreg.kyushu-u.ac.jp/M3/20110414/F50945/2100/1", 71.66)</f>
        <v>71.66</v>
      </c>
      <c r="E3886" s="2">
        <v>64.02</v>
      </c>
      <c r="F3886" s="2">
        <v>2</v>
      </c>
      <c r="G3886" s="2" t="s">
        <v>11</v>
      </c>
      <c r="H3886" s="2" t="s">
        <v>4925</v>
      </c>
    </row>
    <row r="3887" spans="1:8" x14ac:dyDescent="0.2">
      <c r="A3887" s="2" t="s">
        <v>3343</v>
      </c>
      <c r="B3887" s="2" t="s">
        <v>1002</v>
      </c>
      <c r="C3887" s="2">
        <v>1147.77</v>
      </c>
      <c r="D3887" s="2">
        <f>HYPERLINK("http://mcb-m6.bioreg.kyushu-u.ac.jp/M3/20110414/F50945/3581/1", 71.91)</f>
        <v>71.91</v>
      </c>
      <c r="E3887" s="2">
        <v>65.97</v>
      </c>
      <c r="F3887" s="2">
        <v>2</v>
      </c>
      <c r="G3887" s="2" t="s">
        <v>11</v>
      </c>
    </row>
    <row r="3888" spans="1:8" x14ac:dyDescent="0.2">
      <c r="A3888" s="2" t="s">
        <v>3343</v>
      </c>
      <c r="B3888" s="2" t="s">
        <v>546</v>
      </c>
      <c r="C3888" s="2">
        <v>664.8202</v>
      </c>
      <c r="D3888" s="2">
        <f>HYPERLINK("http://mcb-m6.bioreg.kyushu-u.ac.jp/M3/20110414/F50945/1620/2", 71.93)</f>
        <v>71.930000000000007</v>
      </c>
      <c r="E3888" s="2">
        <v>54.13</v>
      </c>
      <c r="F3888" s="2">
        <v>2</v>
      </c>
      <c r="G3888" s="2" t="s">
        <v>11</v>
      </c>
    </row>
    <row r="3889" spans="1:8" x14ac:dyDescent="0.2">
      <c r="A3889" s="2" t="s">
        <v>3343</v>
      </c>
      <c r="B3889" s="2" t="s">
        <v>1002</v>
      </c>
      <c r="C3889" s="2">
        <v>1148.037</v>
      </c>
      <c r="D3889" s="2">
        <f>HYPERLINK("http://mcb-m6.bioreg.kyushu-u.ac.jp/M3/20110414/F50945/3587/1", 71.98)</f>
        <v>71.98</v>
      </c>
      <c r="E3889" s="2">
        <v>62.2</v>
      </c>
      <c r="F3889" s="2">
        <v>2</v>
      </c>
      <c r="G3889" s="2" t="s">
        <v>11</v>
      </c>
    </row>
    <row r="3890" spans="1:8" x14ac:dyDescent="0.2">
      <c r="A3890" s="2" t="s">
        <v>3343</v>
      </c>
      <c r="B3890" s="2" t="s">
        <v>558</v>
      </c>
      <c r="C3890" s="2">
        <v>729.51170000000002</v>
      </c>
      <c r="D3890" s="2">
        <f>HYPERLINK("http://mcb-m6.bioreg.kyushu-u.ac.jp/M3/20110414/F50945/1961/1", 72)</f>
        <v>72</v>
      </c>
      <c r="E3890" s="2">
        <v>60</v>
      </c>
      <c r="F3890" s="2">
        <v>2</v>
      </c>
      <c r="G3890" s="2" t="s">
        <v>11</v>
      </c>
    </row>
    <row r="3891" spans="1:8" x14ac:dyDescent="0.2">
      <c r="A3891" s="2" t="s">
        <v>3343</v>
      </c>
      <c r="B3891" s="2" t="s">
        <v>344</v>
      </c>
      <c r="C3891" s="2">
        <v>613.16579999999999</v>
      </c>
      <c r="D3891" s="2">
        <f>HYPERLINK("http://mcb-m6.bioreg.kyushu-u.ac.jp/M3/20110414/F50962/2692/1", 72.78)</f>
        <v>72.78</v>
      </c>
      <c r="E3891" s="2">
        <v>54.13</v>
      </c>
      <c r="F3891" s="2">
        <v>3</v>
      </c>
      <c r="G3891" s="2" t="s">
        <v>11</v>
      </c>
    </row>
    <row r="3892" spans="1:8" x14ac:dyDescent="0.2">
      <c r="A3892" s="2" t="s">
        <v>3343</v>
      </c>
      <c r="B3892" s="2" t="s">
        <v>1002</v>
      </c>
      <c r="C3892" s="2">
        <v>1147.521</v>
      </c>
      <c r="D3892" s="2">
        <f>HYPERLINK("http://mcb-m6.bioreg.kyushu-u.ac.jp/M3/20110414/F50945/3572/1", 73.4)</f>
        <v>73.400000000000006</v>
      </c>
      <c r="E3892" s="2">
        <v>60.96</v>
      </c>
      <c r="F3892" s="2">
        <v>2</v>
      </c>
      <c r="G3892" s="2" t="s">
        <v>11</v>
      </c>
    </row>
    <row r="3893" spans="1:8" x14ac:dyDescent="0.2">
      <c r="A3893" s="2" t="s">
        <v>3343</v>
      </c>
      <c r="B3893" s="2" t="s">
        <v>1002</v>
      </c>
      <c r="C3893" s="2">
        <v>1147.6559999999999</v>
      </c>
      <c r="D3893" s="2">
        <f>HYPERLINK("http://mcb-m6.bioreg.kyushu-u.ac.jp/M3/20110414/F50927/3360/1", 73.57)</f>
        <v>73.569999999999993</v>
      </c>
      <c r="E3893" s="2">
        <v>56.91</v>
      </c>
      <c r="F3893" s="2">
        <v>2</v>
      </c>
      <c r="G3893" s="2" t="s">
        <v>11</v>
      </c>
    </row>
    <row r="3894" spans="1:8" x14ac:dyDescent="0.2">
      <c r="A3894" s="2" t="s">
        <v>3343</v>
      </c>
      <c r="B3894" s="2" t="s">
        <v>1002</v>
      </c>
      <c r="C3894" s="2">
        <v>1147.77</v>
      </c>
      <c r="D3894" s="2">
        <f>HYPERLINK("http://mcb-m6.bioreg.kyushu-u.ac.jp/M3/20110414/F50945/3580/1", 73.58)</f>
        <v>73.58</v>
      </c>
      <c r="E3894" s="2">
        <v>55.69</v>
      </c>
      <c r="F3894" s="2">
        <v>2</v>
      </c>
      <c r="G3894" s="2" t="s">
        <v>11</v>
      </c>
    </row>
    <row r="3895" spans="1:8" x14ac:dyDescent="0.2">
      <c r="A3895" s="2" t="s">
        <v>3343</v>
      </c>
      <c r="B3895" s="2" t="s">
        <v>546</v>
      </c>
      <c r="C3895" s="2">
        <v>665.04610000000002</v>
      </c>
      <c r="D3895" s="2">
        <f>HYPERLINK("http://mcb-m6.bioreg.kyushu-u.ac.jp/M3/20110414/F50945/1630/2", 73.85)</f>
        <v>73.849999999999994</v>
      </c>
      <c r="E3895" s="2">
        <v>60.72</v>
      </c>
      <c r="F3895" s="2">
        <v>2</v>
      </c>
      <c r="G3895" s="2" t="s">
        <v>11</v>
      </c>
    </row>
    <row r="3896" spans="1:8" x14ac:dyDescent="0.2">
      <c r="A3896" s="2" t="s">
        <v>3343</v>
      </c>
      <c r="B3896" s="2" t="s">
        <v>1002</v>
      </c>
      <c r="C3896" s="2">
        <v>1147.539</v>
      </c>
      <c r="D3896" s="2">
        <f>HYPERLINK("http://mcb-m6.bioreg.kyushu-u.ac.jp/M3/20110414/F50945/3574/1", 73.9)</f>
        <v>73.900000000000006</v>
      </c>
      <c r="E3896" s="2">
        <v>63.49</v>
      </c>
      <c r="F3896" s="2">
        <v>2</v>
      </c>
      <c r="G3896" s="2" t="s">
        <v>11</v>
      </c>
    </row>
    <row r="3897" spans="1:8" x14ac:dyDescent="0.2">
      <c r="A3897" s="2" t="s">
        <v>3343</v>
      </c>
      <c r="B3897" s="2" t="s">
        <v>325</v>
      </c>
      <c r="C3897" s="2">
        <v>1477.6379999999999</v>
      </c>
      <c r="D3897" s="2">
        <f>HYPERLINK("http://mcb-m6.bioreg.kyushu-u.ac.jp/M3/20110414/F50945/2024/1", 74.13)</f>
        <v>74.13</v>
      </c>
      <c r="E3897" s="2">
        <v>60.37</v>
      </c>
      <c r="F3897" s="2">
        <v>1</v>
      </c>
      <c r="G3897" s="2" t="s">
        <v>11</v>
      </c>
    </row>
    <row r="3898" spans="1:8" x14ac:dyDescent="0.2">
      <c r="A3898" s="2" t="s">
        <v>3343</v>
      </c>
      <c r="B3898" s="2" t="s">
        <v>325</v>
      </c>
      <c r="C3898" s="2">
        <v>747.70320000000004</v>
      </c>
      <c r="D3898" s="2">
        <f>HYPERLINK("http://mcb-m6.bioreg.kyushu-u.ac.jp/M3/20110414/F50962/1944/1", 74.14)</f>
        <v>74.14</v>
      </c>
      <c r="E3898" s="2">
        <v>60.26</v>
      </c>
      <c r="F3898" s="2">
        <v>2</v>
      </c>
      <c r="G3898" s="2" t="s">
        <v>11</v>
      </c>
      <c r="H3898" s="2" t="s">
        <v>4925</v>
      </c>
    </row>
    <row r="3899" spans="1:8" x14ac:dyDescent="0.2">
      <c r="A3899" s="2" t="s">
        <v>3343</v>
      </c>
      <c r="B3899" s="2" t="s">
        <v>509</v>
      </c>
      <c r="C3899" s="2">
        <v>709.35519999999997</v>
      </c>
      <c r="D3899" s="2">
        <f>HYPERLINK("http://mcb-m6.bioreg.kyushu-u.ac.jp/M3/20110414/F50945/1834/1", 74.2)</f>
        <v>74.2</v>
      </c>
      <c r="E3899" s="2">
        <v>52.6</v>
      </c>
      <c r="F3899" s="2">
        <v>2</v>
      </c>
      <c r="G3899" s="2" t="s">
        <v>11</v>
      </c>
      <c r="H3899" s="2" t="s">
        <v>4904</v>
      </c>
    </row>
    <row r="3900" spans="1:8" x14ac:dyDescent="0.2">
      <c r="A3900" s="2" t="s">
        <v>3343</v>
      </c>
      <c r="B3900" s="2" t="s">
        <v>546</v>
      </c>
      <c r="C3900" s="2">
        <v>664.86410000000001</v>
      </c>
      <c r="D3900" s="2">
        <f>HYPERLINK("http://mcb-m6.bioreg.kyushu-u.ac.jp/M3/20110414/F50945/1625/2", 74.33)</f>
        <v>74.33</v>
      </c>
      <c r="E3900" s="2">
        <v>56.87</v>
      </c>
      <c r="F3900" s="2">
        <v>2</v>
      </c>
      <c r="G3900" s="2" t="s">
        <v>11</v>
      </c>
    </row>
    <row r="3901" spans="1:8" x14ac:dyDescent="0.2">
      <c r="A3901" s="2" t="s">
        <v>3343</v>
      </c>
      <c r="B3901" s="2" t="s">
        <v>344</v>
      </c>
      <c r="C3901" s="2">
        <v>919.41560000000004</v>
      </c>
      <c r="D3901" s="2">
        <f>HYPERLINK("http://mcb-m6.bioreg.kyushu-u.ac.jp/M3/20110414/F50945/2879/1", 74.44)</f>
        <v>74.44</v>
      </c>
      <c r="E3901" s="2">
        <v>47.53</v>
      </c>
      <c r="F3901" s="2">
        <v>2</v>
      </c>
      <c r="G3901" s="2" t="s">
        <v>11</v>
      </c>
    </row>
    <row r="3902" spans="1:8" x14ac:dyDescent="0.2">
      <c r="A3902" s="2" t="s">
        <v>3343</v>
      </c>
      <c r="B3902" s="2" t="s">
        <v>325</v>
      </c>
      <c r="C3902" s="2">
        <v>747.59720000000004</v>
      </c>
      <c r="D3902" s="2">
        <f>HYPERLINK("http://mcb-m6.bioreg.kyushu-u.ac.jp/M3/20110414/F50928/2361/1", 74.47)</f>
        <v>74.47</v>
      </c>
      <c r="E3902" s="2">
        <v>63.26</v>
      </c>
      <c r="F3902" s="2">
        <v>2</v>
      </c>
      <c r="G3902" s="2" t="s">
        <v>11</v>
      </c>
      <c r="H3902" s="2" t="s">
        <v>4925</v>
      </c>
    </row>
    <row r="3903" spans="1:8" x14ac:dyDescent="0.2">
      <c r="A3903" s="2" t="s">
        <v>3343</v>
      </c>
      <c r="B3903" s="2" t="s">
        <v>344</v>
      </c>
      <c r="C3903" s="2">
        <v>919.41560000000004</v>
      </c>
      <c r="D3903" s="2">
        <f>HYPERLINK("http://mcb-m6.bioreg.kyushu-u.ac.jp/M3/20110414/F50945/2878/1", 74.91)</f>
        <v>74.91</v>
      </c>
      <c r="E3903" s="2">
        <v>49.38</v>
      </c>
      <c r="F3903" s="2">
        <v>2</v>
      </c>
      <c r="G3903" s="2" t="s">
        <v>11</v>
      </c>
    </row>
    <row r="3904" spans="1:8" x14ac:dyDescent="0.2">
      <c r="A3904" s="2" t="s">
        <v>3343</v>
      </c>
      <c r="B3904" s="2" t="s">
        <v>132</v>
      </c>
      <c r="C3904" s="2">
        <v>578.30619999999999</v>
      </c>
      <c r="D3904" s="2">
        <f>HYPERLINK("http://mcb-m6.bioreg.kyushu-u.ac.jp/M3/20110414/F50945/1324/1", 75.58)</f>
        <v>75.58</v>
      </c>
      <c r="E3904" s="2">
        <v>48.59</v>
      </c>
      <c r="F3904" s="2">
        <v>2</v>
      </c>
      <c r="G3904" s="2" t="s">
        <v>11</v>
      </c>
    </row>
    <row r="3905" spans="1:8" x14ac:dyDescent="0.2">
      <c r="A3905" s="2" t="s">
        <v>3343</v>
      </c>
      <c r="B3905" s="2" t="s">
        <v>1002</v>
      </c>
      <c r="C3905" s="2">
        <v>1147.443</v>
      </c>
      <c r="D3905" s="2">
        <f>HYPERLINK("http://mcb-m6.bioreg.kyushu-u.ac.jp/M3/20110414/F50941/3900/1", 75.78)</f>
        <v>75.78</v>
      </c>
      <c r="E3905" s="2">
        <v>67.39</v>
      </c>
      <c r="F3905" s="2">
        <v>2</v>
      </c>
      <c r="G3905" s="2" t="s">
        <v>11</v>
      </c>
    </row>
    <row r="3906" spans="1:8" x14ac:dyDescent="0.2">
      <c r="A3906" s="2" t="s">
        <v>3343</v>
      </c>
      <c r="B3906" s="2" t="s">
        <v>1496</v>
      </c>
      <c r="C3906" s="2">
        <v>966.96310000000005</v>
      </c>
      <c r="D3906" s="2">
        <f>HYPERLINK("http://mcb-m6.bioreg.kyushu-u.ac.jp/M3/20110414/F50945/3056/1", 75.79)</f>
        <v>75.790000000000006</v>
      </c>
      <c r="E3906" s="2">
        <v>57.1</v>
      </c>
      <c r="F3906" s="2">
        <v>2</v>
      </c>
      <c r="G3906" s="2" t="s">
        <v>11</v>
      </c>
    </row>
    <row r="3907" spans="1:8" x14ac:dyDescent="0.2">
      <c r="A3907" s="2" t="s">
        <v>3343</v>
      </c>
      <c r="B3907" s="2" t="s">
        <v>344</v>
      </c>
      <c r="C3907" s="2">
        <v>919.42219999999998</v>
      </c>
      <c r="D3907" s="2">
        <f>HYPERLINK("http://mcb-m6.bioreg.kyushu-u.ac.jp/M3/20110414/F50945/2880/1", 76.21)</f>
        <v>76.209999999999994</v>
      </c>
      <c r="E3907" s="2">
        <v>50.32</v>
      </c>
      <c r="F3907" s="2">
        <v>2</v>
      </c>
      <c r="G3907" s="2" t="s">
        <v>11</v>
      </c>
    </row>
    <row r="3908" spans="1:8" x14ac:dyDescent="0.2">
      <c r="A3908" s="2" t="s">
        <v>3343</v>
      </c>
      <c r="B3908" s="2" t="s">
        <v>344</v>
      </c>
      <c r="C3908" s="2">
        <v>919.08119999999997</v>
      </c>
      <c r="D3908" s="2">
        <f>HYPERLINK("http://mcb-m6.bioreg.kyushu-u.ac.jp/M3/20110414/F50929/2839/1", 76.31)</f>
        <v>76.31</v>
      </c>
      <c r="E3908" s="2">
        <v>28.13</v>
      </c>
      <c r="F3908" s="2">
        <v>2</v>
      </c>
      <c r="G3908" s="2" t="s">
        <v>11</v>
      </c>
    </row>
    <row r="3909" spans="1:8" x14ac:dyDescent="0.2">
      <c r="A3909" s="2" t="s">
        <v>3343</v>
      </c>
      <c r="B3909" s="2" t="s">
        <v>546</v>
      </c>
      <c r="C3909" s="2">
        <v>664.9307</v>
      </c>
      <c r="D3909" s="2">
        <f>HYPERLINK("http://mcb-m6.bioreg.kyushu-u.ac.jp/M3/20110414/F50945/1629/2", 76.56)</f>
        <v>76.56</v>
      </c>
      <c r="E3909" s="2">
        <v>54.94</v>
      </c>
      <c r="F3909" s="2">
        <v>2</v>
      </c>
      <c r="G3909" s="2" t="s">
        <v>11</v>
      </c>
    </row>
    <row r="3910" spans="1:8" x14ac:dyDescent="0.2">
      <c r="A3910" s="2" t="s">
        <v>3343</v>
      </c>
      <c r="B3910" s="2" t="s">
        <v>325</v>
      </c>
      <c r="C3910" s="2">
        <v>1493.537</v>
      </c>
      <c r="D3910" s="2">
        <f>HYPERLINK("http://mcb-m6.bioreg.kyushu-u.ac.jp/M3/20110414/F50945/2092/1", 76.95)</f>
        <v>76.95</v>
      </c>
      <c r="E3910" s="2">
        <v>63.38</v>
      </c>
      <c r="F3910" s="2">
        <v>1</v>
      </c>
      <c r="G3910" s="2" t="s">
        <v>11</v>
      </c>
      <c r="H3910" s="2" t="s">
        <v>4925</v>
      </c>
    </row>
    <row r="3911" spans="1:8" x14ac:dyDescent="0.2">
      <c r="A3911" s="2" t="s">
        <v>3343</v>
      </c>
      <c r="B3911" s="2" t="s">
        <v>344</v>
      </c>
      <c r="C3911" s="2">
        <v>919.40309999999999</v>
      </c>
      <c r="D3911" s="2">
        <f>HYPERLINK("http://mcb-m6.bioreg.kyushu-u.ac.jp/M3/20110414/F50945/2876/1", 77.07)</f>
        <v>77.069999999999993</v>
      </c>
      <c r="E3911" s="2">
        <v>49.71</v>
      </c>
      <c r="F3911" s="2">
        <v>2</v>
      </c>
      <c r="G3911" s="2" t="s">
        <v>11</v>
      </c>
    </row>
    <row r="3912" spans="1:8" x14ac:dyDescent="0.2">
      <c r="A3912" s="2" t="s">
        <v>3343</v>
      </c>
      <c r="B3912" s="2" t="s">
        <v>1002</v>
      </c>
      <c r="C3912" s="2">
        <v>1147.7619999999999</v>
      </c>
      <c r="D3912" s="2">
        <f>HYPERLINK("http://mcb-m6.bioreg.kyushu-u.ac.jp/M3/20110414/F50945/3578/1", 77.47)</f>
        <v>77.47</v>
      </c>
      <c r="E3912" s="2">
        <v>64.28</v>
      </c>
      <c r="F3912" s="2">
        <v>2</v>
      </c>
      <c r="G3912" s="2" t="s">
        <v>11</v>
      </c>
    </row>
    <row r="3913" spans="1:8" x14ac:dyDescent="0.2">
      <c r="A3913" s="2" t="s">
        <v>3343</v>
      </c>
      <c r="B3913" s="2" t="s">
        <v>546</v>
      </c>
      <c r="C3913" s="2">
        <v>664.85220000000004</v>
      </c>
      <c r="D3913" s="2">
        <f>HYPERLINK("http://mcb-m6.bioreg.kyushu-u.ac.jp/M3/20110414/F50945/1623/2", 77.48)</f>
        <v>77.48</v>
      </c>
      <c r="E3913" s="2">
        <v>63.01</v>
      </c>
      <c r="F3913" s="2">
        <v>2</v>
      </c>
      <c r="G3913" s="2" t="s">
        <v>11</v>
      </c>
    </row>
    <row r="3914" spans="1:8" x14ac:dyDescent="0.2">
      <c r="A3914" s="2" t="s">
        <v>3343</v>
      </c>
      <c r="B3914" s="2" t="s">
        <v>132</v>
      </c>
      <c r="C3914" s="2">
        <v>578.01760000000002</v>
      </c>
      <c r="D3914" s="2">
        <f>HYPERLINK("http://mcb-m6.bioreg.kyushu-u.ac.jp/M3/20110414/F50926/1702/1", 78.24)</f>
        <v>78.239999999999995</v>
      </c>
      <c r="E3914" s="2">
        <v>46.13</v>
      </c>
      <c r="F3914" s="2">
        <v>2</v>
      </c>
      <c r="G3914" s="2" t="s">
        <v>11</v>
      </c>
    </row>
    <row r="3915" spans="1:8" x14ac:dyDescent="0.2">
      <c r="A3915" s="2" t="s">
        <v>3343</v>
      </c>
      <c r="B3915" s="2" t="s">
        <v>558</v>
      </c>
      <c r="C3915" s="2">
        <v>729.48419999999999</v>
      </c>
      <c r="D3915" s="2">
        <f>HYPERLINK("http://mcb-m6.bioreg.kyushu-u.ac.jp/M3/20110414/F50962/1863/1", 78.37)</f>
        <v>78.37</v>
      </c>
      <c r="E3915" s="2">
        <v>67.09</v>
      </c>
      <c r="F3915" s="2">
        <v>2</v>
      </c>
      <c r="G3915" s="2" t="s">
        <v>11</v>
      </c>
    </row>
    <row r="3916" spans="1:8" x14ac:dyDescent="0.2">
      <c r="A3916" s="2" t="s">
        <v>3343</v>
      </c>
      <c r="B3916" s="2" t="s">
        <v>558</v>
      </c>
      <c r="C3916" s="2">
        <v>729.47270000000003</v>
      </c>
      <c r="D3916" s="2">
        <f>HYPERLINK("http://mcb-m6.bioreg.kyushu-u.ac.jp/M3/20110414/F50945/1958/1", 78.67)</f>
        <v>78.67</v>
      </c>
      <c r="E3916" s="2">
        <v>62.75</v>
      </c>
      <c r="F3916" s="2">
        <v>2</v>
      </c>
      <c r="G3916" s="2" t="s">
        <v>11</v>
      </c>
    </row>
    <row r="3917" spans="1:8" x14ac:dyDescent="0.2">
      <c r="A3917" s="2" t="s">
        <v>3343</v>
      </c>
      <c r="B3917" s="2" t="s">
        <v>344</v>
      </c>
      <c r="C3917" s="2">
        <v>919.48069999999996</v>
      </c>
      <c r="D3917" s="2">
        <f>HYPERLINK("http://mcb-m6.bioreg.kyushu-u.ac.jp/M3/20110414/F50945/2883/1", 78.78)</f>
        <v>78.78</v>
      </c>
      <c r="E3917" s="2">
        <v>55</v>
      </c>
      <c r="F3917" s="2">
        <v>2</v>
      </c>
      <c r="G3917" s="2" t="s">
        <v>11</v>
      </c>
    </row>
    <row r="3918" spans="1:8" x14ac:dyDescent="0.2">
      <c r="A3918" s="2" t="s">
        <v>3343</v>
      </c>
      <c r="B3918" s="2" t="s">
        <v>132</v>
      </c>
      <c r="C3918" s="2">
        <v>578.22609999999997</v>
      </c>
      <c r="D3918" s="2">
        <f>HYPERLINK("http://mcb-m6.bioreg.kyushu-u.ac.jp/M3/20110414/F50945/1316/1", 78.88)</f>
        <v>78.88</v>
      </c>
      <c r="E3918" s="2">
        <v>49.63</v>
      </c>
      <c r="F3918" s="2">
        <v>2</v>
      </c>
      <c r="G3918" s="2" t="s">
        <v>11</v>
      </c>
    </row>
    <row r="3919" spans="1:8" x14ac:dyDescent="0.2">
      <c r="A3919" s="2" t="s">
        <v>3343</v>
      </c>
      <c r="B3919" s="2" t="s">
        <v>132</v>
      </c>
      <c r="C3919" s="2">
        <v>578.61469999999997</v>
      </c>
      <c r="D3919" s="2">
        <f>HYPERLINK("http://mcb-m6.bioreg.kyushu-u.ac.jp/M3/20110414/F50926/1704/1", 78.96)</f>
        <v>78.959999999999994</v>
      </c>
      <c r="E3919" s="2">
        <v>41.04</v>
      </c>
      <c r="F3919" s="2">
        <v>2</v>
      </c>
      <c r="G3919" s="2" t="s">
        <v>11</v>
      </c>
    </row>
    <row r="3920" spans="1:8" x14ac:dyDescent="0.2">
      <c r="A3920" s="2" t="s">
        <v>3343</v>
      </c>
      <c r="B3920" s="2" t="s">
        <v>1002</v>
      </c>
      <c r="C3920" s="2">
        <v>1147.7670000000001</v>
      </c>
      <c r="D3920" s="2">
        <f>HYPERLINK("http://mcb-m6.bioreg.kyushu-u.ac.jp/M3/20110414/F50945/3579/1", 79.45)</f>
        <v>79.45</v>
      </c>
      <c r="E3920" s="2">
        <v>66.05</v>
      </c>
      <c r="F3920" s="2">
        <v>2</v>
      </c>
      <c r="G3920" s="2" t="s">
        <v>11</v>
      </c>
    </row>
    <row r="3921" spans="1:8" x14ac:dyDescent="0.2">
      <c r="A3921" s="2" t="s">
        <v>3343</v>
      </c>
      <c r="B3921" s="2" t="s">
        <v>132</v>
      </c>
      <c r="C3921" s="2">
        <v>578.22969999999998</v>
      </c>
      <c r="D3921" s="2">
        <f>HYPERLINK("http://mcb-m6.bioreg.kyushu-u.ac.jp/M3/20110414/F50945/1317/1", 80.86)</f>
        <v>80.86</v>
      </c>
      <c r="E3921" s="2">
        <v>55.38</v>
      </c>
      <c r="F3921" s="2">
        <v>2</v>
      </c>
      <c r="G3921" s="2" t="s">
        <v>11</v>
      </c>
    </row>
    <row r="3922" spans="1:8" x14ac:dyDescent="0.2">
      <c r="A3922" s="2" t="s">
        <v>3343</v>
      </c>
      <c r="B3922" s="2" t="s">
        <v>546</v>
      </c>
      <c r="C3922" s="2">
        <v>664.85670000000005</v>
      </c>
      <c r="D3922" s="2">
        <f>HYPERLINK("http://mcb-m6.bioreg.kyushu-u.ac.jp/M3/20110414/F50945/1624/2", 80.89)</f>
        <v>80.89</v>
      </c>
      <c r="E3922" s="2">
        <v>62.08</v>
      </c>
      <c r="F3922" s="2">
        <v>2</v>
      </c>
      <c r="G3922" s="2" t="s">
        <v>11</v>
      </c>
    </row>
    <row r="3923" spans="1:8" x14ac:dyDescent="0.2">
      <c r="A3923" s="2" t="s">
        <v>3343</v>
      </c>
      <c r="B3923" s="2" t="s">
        <v>1002</v>
      </c>
      <c r="C3923" s="2">
        <v>1147.4939999999999</v>
      </c>
      <c r="D3923" s="2">
        <f>HYPERLINK("http://mcb-m6.bioreg.kyushu-u.ac.jp/M3/20110414/F50945/3570/1", 80.98)</f>
        <v>80.98</v>
      </c>
      <c r="E3923" s="2">
        <v>74.08</v>
      </c>
      <c r="F3923" s="2">
        <v>2</v>
      </c>
      <c r="G3923" s="2" t="s">
        <v>11</v>
      </c>
    </row>
    <row r="3924" spans="1:8" x14ac:dyDescent="0.2">
      <c r="A3924" s="2" t="s">
        <v>3343</v>
      </c>
      <c r="B3924" s="2" t="s">
        <v>344</v>
      </c>
      <c r="C3924" s="2">
        <v>919.4316</v>
      </c>
      <c r="D3924" s="2">
        <f>HYPERLINK("http://mcb-m6.bioreg.kyushu-u.ac.jp/M3/20110414/F50945/2881/1", 81.05)</f>
        <v>81.05</v>
      </c>
      <c r="E3924" s="2">
        <v>58.09</v>
      </c>
      <c r="F3924" s="2">
        <v>2</v>
      </c>
      <c r="G3924" s="2" t="s">
        <v>11</v>
      </c>
    </row>
    <row r="3925" spans="1:8" x14ac:dyDescent="0.2">
      <c r="A3925" s="2" t="s">
        <v>3343</v>
      </c>
      <c r="B3925" s="2" t="s">
        <v>344</v>
      </c>
      <c r="C3925" s="2">
        <v>919.40369999999996</v>
      </c>
      <c r="D3925" s="2">
        <f>HYPERLINK("http://mcb-m6.bioreg.kyushu-u.ac.jp/M3/20110414/F50945/2877/1", 81.07)</f>
        <v>81.069999999999993</v>
      </c>
      <c r="E3925" s="2">
        <v>56.43</v>
      </c>
      <c r="F3925" s="2">
        <v>2</v>
      </c>
      <c r="G3925" s="2" t="s">
        <v>11</v>
      </c>
    </row>
    <row r="3926" spans="1:8" x14ac:dyDescent="0.2">
      <c r="A3926" s="2" t="s">
        <v>3343</v>
      </c>
      <c r="B3926" s="2" t="s">
        <v>344</v>
      </c>
      <c r="C3926" s="2">
        <v>919.33759999999995</v>
      </c>
      <c r="D3926" s="2">
        <f>HYPERLINK("http://mcb-m6.bioreg.kyushu-u.ac.jp/M3/20110414/F50962/2695/1", 81.07)</f>
        <v>81.069999999999993</v>
      </c>
      <c r="E3926" s="2">
        <v>50.62</v>
      </c>
      <c r="F3926" s="2">
        <v>2</v>
      </c>
      <c r="G3926" s="2" t="s">
        <v>11</v>
      </c>
    </row>
    <row r="3927" spans="1:8" x14ac:dyDescent="0.2">
      <c r="A3927" s="2" t="s">
        <v>3343</v>
      </c>
      <c r="B3927" s="2" t="s">
        <v>132</v>
      </c>
      <c r="C3927" s="2">
        <v>578.27009999999996</v>
      </c>
      <c r="D3927" s="2">
        <f>HYPERLINK("http://mcb-m6.bioreg.kyushu-u.ac.jp/M3/20110414/F50945/1319/1", 81.09)</f>
        <v>81.09</v>
      </c>
      <c r="E3927" s="2">
        <v>51.36</v>
      </c>
      <c r="F3927" s="2">
        <v>2</v>
      </c>
      <c r="G3927" s="2" t="s">
        <v>11</v>
      </c>
    </row>
    <row r="3928" spans="1:8" x14ac:dyDescent="0.2">
      <c r="A3928" s="2" t="s">
        <v>3343</v>
      </c>
      <c r="B3928" s="2" t="s">
        <v>344</v>
      </c>
      <c r="C3928" s="2">
        <v>919.51260000000002</v>
      </c>
      <c r="D3928" s="2">
        <f>HYPERLINK("http://mcb-m6.bioreg.kyushu-u.ac.jp/M3/20110414/F50945/2884/1", 81.73)</f>
        <v>81.73</v>
      </c>
      <c r="E3928" s="2">
        <v>47.23</v>
      </c>
      <c r="F3928" s="2">
        <v>2</v>
      </c>
      <c r="G3928" s="2" t="s">
        <v>11</v>
      </c>
    </row>
    <row r="3929" spans="1:8" x14ac:dyDescent="0.2">
      <c r="A3929" s="2" t="s">
        <v>3343</v>
      </c>
      <c r="B3929" s="2" t="s">
        <v>344</v>
      </c>
      <c r="C3929" s="2">
        <v>919.16219999999998</v>
      </c>
      <c r="D3929" s="2">
        <f>HYPERLINK("http://mcb-m6.bioreg.kyushu-u.ac.jp/M3/20110414/F50945/2873/1", 82.15)</f>
        <v>82.15</v>
      </c>
      <c r="E3929" s="2">
        <v>58.49</v>
      </c>
      <c r="F3929" s="2">
        <v>2</v>
      </c>
      <c r="G3929" s="2" t="s">
        <v>11</v>
      </c>
    </row>
    <row r="3930" spans="1:8" x14ac:dyDescent="0.2">
      <c r="A3930" s="2" t="s">
        <v>3343</v>
      </c>
      <c r="B3930" s="2" t="s">
        <v>546</v>
      </c>
      <c r="C3930" s="2">
        <v>664.84519999999998</v>
      </c>
      <c r="D3930" s="2">
        <f>HYPERLINK("http://mcb-m6.bioreg.kyushu-u.ac.jp/M3/20110414/F50945/1622/2", 82.21)</f>
        <v>82.21</v>
      </c>
      <c r="E3930" s="2">
        <v>61.56</v>
      </c>
      <c r="F3930" s="2">
        <v>2</v>
      </c>
      <c r="G3930" s="2" t="s">
        <v>11</v>
      </c>
    </row>
    <row r="3931" spans="1:8" x14ac:dyDescent="0.2">
      <c r="A3931" s="2" t="s">
        <v>3343</v>
      </c>
      <c r="B3931" s="2" t="s">
        <v>1496</v>
      </c>
      <c r="C3931" s="2">
        <v>967.49019999999996</v>
      </c>
      <c r="D3931" s="2">
        <f>HYPERLINK("http://mcb-m6.bioreg.kyushu-u.ac.jp/M3/20110414/F50945/3059/1", 83.84)</f>
        <v>83.84</v>
      </c>
      <c r="E3931" s="2">
        <v>62.38</v>
      </c>
      <c r="F3931" s="2">
        <v>2</v>
      </c>
      <c r="G3931" s="2" t="s">
        <v>11</v>
      </c>
    </row>
    <row r="3932" spans="1:8" x14ac:dyDescent="0.2">
      <c r="A3932" s="2" t="s">
        <v>3343</v>
      </c>
      <c r="B3932" s="2" t="s">
        <v>509</v>
      </c>
      <c r="C3932" s="2">
        <v>725.36609999999996</v>
      </c>
      <c r="D3932" s="2">
        <f>HYPERLINK("http://mcb-m6.bioreg.kyushu-u.ac.jp/M3/20110414/F50962/1848/1", 84.03)</f>
        <v>84.03</v>
      </c>
      <c r="E3932" s="2">
        <v>67.86</v>
      </c>
      <c r="F3932" s="2">
        <v>2</v>
      </c>
      <c r="G3932" s="2" t="s">
        <v>11</v>
      </c>
      <c r="H3932" s="2" t="s">
        <v>4927</v>
      </c>
    </row>
    <row r="3933" spans="1:8" x14ac:dyDescent="0.2">
      <c r="A3933" s="2" t="s">
        <v>3343</v>
      </c>
      <c r="B3933" s="2" t="s">
        <v>546</v>
      </c>
      <c r="C3933" s="2">
        <v>665.09670000000006</v>
      </c>
      <c r="D3933" s="2">
        <f>HYPERLINK("http://mcb-m6.bioreg.kyushu-u.ac.jp/M3/20110414/F50945/1631/2", 84.04)</f>
        <v>84.04</v>
      </c>
      <c r="E3933" s="2">
        <v>68.099999999999994</v>
      </c>
      <c r="F3933" s="2">
        <v>2</v>
      </c>
      <c r="G3933" s="2" t="s">
        <v>11</v>
      </c>
    </row>
    <row r="3934" spans="1:8" x14ac:dyDescent="0.2">
      <c r="A3934" s="2" t="s">
        <v>3343</v>
      </c>
      <c r="B3934" s="2" t="s">
        <v>546</v>
      </c>
      <c r="C3934" s="2">
        <v>664.79020000000003</v>
      </c>
      <c r="D3934" s="2">
        <f>HYPERLINK("http://mcb-m6.bioreg.kyushu-u.ac.jp/M3/20110414/F50945/1617/2", 84.51)</f>
        <v>84.51</v>
      </c>
      <c r="E3934" s="2">
        <v>68.319999999999993</v>
      </c>
      <c r="F3934" s="2">
        <v>2</v>
      </c>
      <c r="G3934" s="2" t="s">
        <v>11</v>
      </c>
    </row>
    <row r="3935" spans="1:8" x14ac:dyDescent="0.2">
      <c r="A3935" s="2" t="s">
        <v>3343</v>
      </c>
      <c r="B3935" s="2" t="s">
        <v>1189</v>
      </c>
      <c r="C3935" s="2">
        <v>1069.7170000000001</v>
      </c>
      <c r="D3935" s="2">
        <f>HYPERLINK("http://mcb-m6.bioreg.kyushu-u.ac.jp/M3/20110414/F50945/3295/1", 84.58)</f>
        <v>84.58</v>
      </c>
      <c r="E3935" s="2">
        <v>70.58</v>
      </c>
      <c r="F3935" s="2">
        <v>2</v>
      </c>
      <c r="G3935" s="2" t="s">
        <v>11</v>
      </c>
    </row>
    <row r="3936" spans="1:8" x14ac:dyDescent="0.2">
      <c r="A3936" s="2" t="s">
        <v>3343</v>
      </c>
      <c r="B3936" s="2" t="s">
        <v>132</v>
      </c>
      <c r="C3936" s="2">
        <v>578.30219999999997</v>
      </c>
      <c r="D3936" s="2">
        <f>HYPERLINK("http://mcb-m6.bioreg.kyushu-u.ac.jp/M3/20110414/F50945/1323/1", 84.69)</f>
        <v>84.69</v>
      </c>
      <c r="E3936" s="2">
        <v>52.49</v>
      </c>
      <c r="F3936" s="2">
        <v>2</v>
      </c>
      <c r="G3936" s="2" t="s">
        <v>11</v>
      </c>
    </row>
    <row r="3937" spans="1:8" x14ac:dyDescent="0.2">
      <c r="A3937" s="2" t="s">
        <v>3343</v>
      </c>
      <c r="B3937" s="2" t="s">
        <v>344</v>
      </c>
      <c r="C3937" s="2">
        <v>919.39919999999995</v>
      </c>
      <c r="D3937" s="2">
        <f>HYPERLINK("http://mcb-m6.bioreg.kyushu-u.ac.jp/M3/20110414/F50945/2875/1", 84.84)</f>
        <v>84.84</v>
      </c>
      <c r="E3937" s="2">
        <v>61.91</v>
      </c>
      <c r="F3937" s="2">
        <v>2</v>
      </c>
      <c r="G3937" s="2" t="s">
        <v>11</v>
      </c>
    </row>
    <row r="3938" spans="1:8" x14ac:dyDescent="0.2">
      <c r="A3938" s="2" t="s">
        <v>3343</v>
      </c>
      <c r="B3938" s="2" t="s">
        <v>325</v>
      </c>
      <c r="C3938" s="2">
        <v>739.33069999999998</v>
      </c>
      <c r="D3938" s="2">
        <f>HYPERLINK("http://mcb-m6.bioreg.kyushu-u.ac.jp/M3/20110414/F50945/2026/1", 85.24)</f>
        <v>85.24</v>
      </c>
      <c r="E3938" s="2">
        <v>73.42</v>
      </c>
      <c r="F3938" s="2">
        <v>2</v>
      </c>
      <c r="G3938" s="2" t="s">
        <v>11</v>
      </c>
    </row>
    <row r="3939" spans="1:8" x14ac:dyDescent="0.2">
      <c r="A3939" s="2" t="s">
        <v>3343</v>
      </c>
      <c r="B3939" s="2" t="s">
        <v>546</v>
      </c>
      <c r="C3939" s="2">
        <v>664.67769999999996</v>
      </c>
      <c r="D3939" s="2">
        <f>HYPERLINK("http://mcb-m6.bioreg.kyushu-u.ac.jp/M3/20110414/F50962/1499/2", 85.4)</f>
        <v>85.4</v>
      </c>
      <c r="E3939" s="2">
        <v>69.61</v>
      </c>
      <c r="F3939" s="2">
        <v>2</v>
      </c>
      <c r="G3939" s="2" t="s">
        <v>11</v>
      </c>
    </row>
    <row r="3940" spans="1:8" x14ac:dyDescent="0.2">
      <c r="A3940" s="2" t="s">
        <v>3343</v>
      </c>
      <c r="B3940" s="2" t="s">
        <v>1189</v>
      </c>
      <c r="C3940" s="2">
        <v>1069.43</v>
      </c>
      <c r="D3940" s="2">
        <f>HYPERLINK("http://mcb-m6.bioreg.kyushu-u.ac.jp/M3/20110414/F50945/3291/1", 85.76)</f>
        <v>85.76</v>
      </c>
      <c r="E3940" s="2">
        <v>73.13</v>
      </c>
      <c r="F3940" s="2">
        <v>2</v>
      </c>
      <c r="G3940" s="2" t="s">
        <v>11</v>
      </c>
    </row>
    <row r="3941" spans="1:8" x14ac:dyDescent="0.2">
      <c r="A3941" s="2" t="s">
        <v>3343</v>
      </c>
      <c r="B3941" s="2" t="s">
        <v>1002</v>
      </c>
      <c r="C3941" s="2">
        <v>1147.5329999999999</v>
      </c>
      <c r="D3941" s="2">
        <f>HYPERLINK("http://mcb-m6.bioreg.kyushu-u.ac.jp/M3/20110414/F50945/3573/1", 85.8)</f>
        <v>85.8</v>
      </c>
      <c r="E3941" s="2">
        <v>70.22</v>
      </c>
      <c r="F3941" s="2">
        <v>2</v>
      </c>
      <c r="G3941" s="2" t="s">
        <v>11</v>
      </c>
    </row>
    <row r="3942" spans="1:8" x14ac:dyDescent="0.2">
      <c r="A3942" s="2" t="s">
        <v>3343</v>
      </c>
      <c r="B3942" s="2" t="s">
        <v>1002</v>
      </c>
      <c r="C3942" s="2">
        <v>1147.588</v>
      </c>
      <c r="D3942" s="2">
        <f>HYPERLINK("http://mcb-m6.bioreg.kyushu-u.ac.jp/M3/20110414/F50945/3576/1", 86.05)</f>
        <v>86.05</v>
      </c>
      <c r="E3942" s="2">
        <v>77.16</v>
      </c>
      <c r="F3942" s="2">
        <v>2</v>
      </c>
      <c r="G3942" s="2" t="s">
        <v>11</v>
      </c>
    </row>
    <row r="3943" spans="1:8" x14ac:dyDescent="0.2">
      <c r="A3943" s="2" t="s">
        <v>3343</v>
      </c>
      <c r="B3943" s="2" t="s">
        <v>1032</v>
      </c>
      <c r="C3943" s="2">
        <v>1164.0519999999999</v>
      </c>
      <c r="D3943" s="2">
        <f>HYPERLINK("http://mcb-m6.bioreg.kyushu-u.ac.jp/M3/20110414/F50945/3685/1", 86.24)</f>
        <v>86.24</v>
      </c>
      <c r="E3943" s="2">
        <v>67.5</v>
      </c>
      <c r="F3943" s="2">
        <v>2</v>
      </c>
      <c r="G3943" s="2" t="s">
        <v>11</v>
      </c>
    </row>
    <row r="3944" spans="1:8" x14ac:dyDescent="0.2">
      <c r="A3944" s="2" t="s">
        <v>3343</v>
      </c>
      <c r="B3944" s="2" t="s">
        <v>546</v>
      </c>
      <c r="C3944" s="2">
        <v>664.8682</v>
      </c>
      <c r="D3944" s="2">
        <f>HYPERLINK("http://mcb-m6.bioreg.kyushu-u.ac.jp/M3/20110414/F50945/1626/2", 86.38)</f>
        <v>86.38</v>
      </c>
      <c r="E3944" s="2">
        <v>68.89</v>
      </c>
      <c r="F3944" s="2">
        <v>2</v>
      </c>
      <c r="G3944" s="2" t="s">
        <v>11</v>
      </c>
    </row>
    <row r="3945" spans="1:8" x14ac:dyDescent="0.2">
      <c r="A3945" s="2" t="s">
        <v>3343</v>
      </c>
      <c r="B3945" s="2" t="s">
        <v>1002</v>
      </c>
      <c r="C3945" s="2">
        <v>1147.922</v>
      </c>
      <c r="D3945" s="2">
        <f>HYPERLINK("http://mcb-m6.bioreg.kyushu-u.ac.jp/M3/20110414/F50962/3386/1", 87.47)</f>
        <v>87.47</v>
      </c>
      <c r="E3945" s="2">
        <v>68.59</v>
      </c>
      <c r="F3945" s="2">
        <v>2</v>
      </c>
      <c r="G3945" s="2" t="s">
        <v>11</v>
      </c>
    </row>
    <row r="3946" spans="1:8" x14ac:dyDescent="0.2">
      <c r="A3946" s="2" t="s">
        <v>3343</v>
      </c>
      <c r="B3946" s="2" t="s">
        <v>1002</v>
      </c>
      <c r="C3946" s="2">
        <v>1147.4639999999999</v>
      </c>
      <c r="D3946" s="2">
        <f>HYPERLINK("http://mcb-m6.bioreg.kyushu-u.ac.jp/M3/20110414/F50945/3566/1", 87.81)</f>
        <v>87.81</v>
      </c>
      <c r="E3946" s="2">
        <v>81.19</v>
      </c>
      <c r="F3946" s="2">
        <v>2</v>
      </c>
      <c r="G3946" s="2" t="s">
        <v>11</v>
      </c>
    </row>
    <row r="3947" spans="1:8" x14ac:dyDescent="0.2">
      <c r="A3947" s="2" t="s">
        <v>3343</v>
      </c>
      <c r="B3947" s="2" t="s">
        <v>1002</v>
      </c>
      <c r="C3947" s="2">
        <v>1147.855</v>
      </c>
      <c r="D3947" s="2">
        <f>HYPERLINK("http://mcb-m6.bioreg.kyushu-u.ac.jp/M3/20110414/F50928/3612/1", 88.35)</f>
        <v>88.35</v>
      </c>
      <c r="E3947" s="2">
        <v>81.87</v>
      </c>
      <c r="F3947" s="2">
        <v>2</v>
      </c>
      <c r="G3947" s="2" t="s">
        <v>11</v>
      </c>
    </row>
    <row r="3948" spans="1:8" x14ac:dyDescent="0.2">
      <c r="A3948" s="2" t="s">
        <v>3343</v>
      </c>
      <c r="B3948" s="2" t="s">
        <v>325</v>
      </c>
      <c r="C3948" s="2">
        <v>747.72019999999998</v>
      </c>
      <c r="D3948" s="2">
        <f>HYPERLINK("http://mcb-m6.bioreg.kyushu-u.ac.jp/M3/20110414/F50941/2146/1", 88.79)</f>
        <v>88.79</v>
      </c>
      <c r="E3948" s="2">
        <v>73.97</v>
      </c>
      <c r="F3948" s="2">
        <v>2</v>
      </c>
      <c r="G3948" s="2" t="s">
        <v>11</v>
      </c>
      <c r="H3948" s="2" t="s">
        <v>4925</v>
      </c>
    </row>
    <row r="3949" spans="1:8" x14ac:dyDescent="0.2">
      <c r="A3949" s="2" t="s">
        <v>3343</v>
      </c>
      <c r="B3949" s="2" t="s">
        <v>546</v>
      </c>
      <c r="C3949" s="2">
        <v>664.81769999999995</v>
      </c>
      <c r="D3949" s="2">
        <f>HYPERLINK("http://mcb-m6.bioreg.kyushu-u.ac.jp/M3/20110414/F50945/1619/2", 89.02)</f>
        <v>89.02</v>
      </c>
      <c r="E3949" s="2">
        <v>69.45</v>
      </c>
      <c r="F3949" s="2">
        <v>2</v>
      </c>
      <c r="G3949" s="2" t="s">
        <v>11</v>
      </c>
    </row>
    <row r="3950" spans="1:8" x14ac:dyDescent="0.2">
      <c r="A3950" s="2" t="s">
        <v>3343</v>
      </c>
      <c r="B3950" s="2" t="s">
        <v>1032</v>
      </c>
      <c r="C3950" s="2">
        <v>1163.7670000000001</v>
      </c>
      <c r="D3950" s="2">
        <f>HYPERLINK("http://mcb-m6.bioreg.kyushu-u.ac.jp/M3/20110414/F50956/4226/1", 89.64)</f>
        <v>89.64</v>
      </c>
      <c r="E3950" s="2">
        <v>74.56</v>
      </c>
      <c r="F3950" s="2">
        <v>2</v>
      </c>
      <c r="G3950" s="2" t="s">
        <v>11</v>
      </c>
    </row>
    <row r="3951" spans="1:8" x14ac:dyDescent="0.2">
      <c r="A3951" s="2" t="s">
        <v>3343</v>
      </c>
      <c r="B3951" s="2" t="s">
        <v>132</v>
      </c>
      <c r="C3951" s="2">
        <v>578.04319999999996</v>
      </c>
      <c r="D3951" s="2">
        <f>HYPERLINK("http://mcb-m6.bioreg.kyushu-u.ac.jp/M3/20110414/F50927/1658/1", 89.65)</f>
        <v>89.65</v>
      </c>
      <c r="E3951" s="2">
        <v>50.15</v>
      </c>
      <c r="F3951" s="2">
        <v>2</v>
      </c>
      <c r="G3951" s="2" t="s">
        <v>11</v>
      </c>
    </row>
    <row r="3952" spans="1:8" x14ac:dyDescent="0.2">
      <c r="A3952" s="2" t="s">
        <v>3343</v>
      </c>
      <c r="B3952" s="2" t="s">
        <v>1002</v>
      </c>
      <c r="C3952" s="2">
        <v>1148.1790000000001</v>
      </c>
      <c r="D3952" s="2">
        <f>HYPERLINK("http://mcb-m6.bioreg.kyushu-u.ac.jp/M3/20110414/F50927/3361/1", 90.05)</f>
        <v>90.05</v>
      </c>
      <c r="E3952" s="2">
        <v>74.209999999999994</v>
      </c>
      <c r="F3952" s="2">
        <v>2</v>
      </c>
      <c r="G3952" s="2" t="s">
        <v>11</v>
      </c>
    </row>
    <row r="3953" spans="1:8" x14ac:dyDescent="0.2">
      <c r="A3953" s="2" t="s">
        <v>3343</v>
      </c>
      <c r="B3953" s="2" t="s">
        <v>1002</v>
      </c>
      <c r="C3953" s="2">
        <v>1147.489</v>
      </c>
      <c r="D3953" s="2">
        <f>HYPERLINK("http://mcb-m6.bioreg.kyushu-u.ac.jp/M3/20110414/F50945/3569/1", 91.15)</f>
        <v>91.15</v>
      </c>
      <c r="E3953" s="2">
        <v>80.83</v>
      </c>
      <c r="F3953" s="2">
        <v>2</v>
      </c>
      <c r="G3953" s="2" t="s">
        <v>11</v>
      </c>
    </row>
    <row r="3954" spans="1:8" x14ac:dyDescent="0.2">
      <c r="A3954" s="2" t="s">
        <v>3343</v>
      </c>
      <c r="B3954" s="2" t="s">
        <v>325</v>
      </c>
      <c r="C3954" s="2">
        <v>739.59270000000004</v>
      </c>
      <c r="D3954" s="2">
        <f>HYPERLINK("http://mcb-m6.bioreg.kyushu-u.ac.jp/M3/20110414/F50945/2029/1", 92)</f>
        <v>92</v>
      </c>
      <c r="E3954" s="2">
        <v>80.69</v>
      </c>
      <c r="F3954" s="2">
        <v>2</v>
      </c>
      <c r="G3954" s="2" t="s">
        <v>11</v>
      </c>
    </row>
    <row r="3955" spans="1:8" x14ac:dyDescent="0.2">
      <c r="A3955" s="2" t="s">
        <v>3343</v>
      </c>
      <c r="B3955" s="2" t="s">
        <v>1032</v>
      </c>
      <c r="C3955" s="2">
        <v>1163.7159999999999</v>
      </c>
      <c r="D3955" s="2">
        <f>HYPERLINK("http://mcb-m6.bioreg.kyushu-u.ac.jp/M3/20110414/F50927/3376/1", 92.51)</f>
        <v>92.51</v>
      </c>
      <c r="E3955" s="2">
        <v>67.11</v>
      </c>
      <c r="F3955" s="2">
        <v>2</v>
      </c>
      <c r="G3955" s="2" t="s">
        <v>11</v>
      </c>
    </row>
    <row r="3956" spans="1:8" x14ac:dyDescent="0.2">
      <c r="A3956" s="2" t="s">
        <v>3343</v>
      </c>
      <c r="B3956" s="2" t="s">
        <v>325</v>
      </c>
      <c r="C3956" s="2">
        <v>747.20920000000001</v>
      </c>
      <c r="D3956" s="2">
        <f>HYPERLINK("http://mcb-m6.bioreg.kyushu-u.ac.jp/M3/20110414/F50945/2090/1", 93)</f>
        <v>93</v>
      </c>
      <c r="E3956" s="2">
        <v>74.05</v>
      </c>
      <c r="F3956" s="2">
        <v>2</v>
      </c>
      <c r="G3956" s="2" t="s">
        <v>11</v>
      </c>
      <c r="H3956" s="2" t="s">
        <v>4925</v>
      </c>
    </row>
    <row r="3957" spans="1:8" x14ac:dyDescent="0.2">
      <c r="A3957" s="2" t="s">
        <v>3343</v>
      </c>
      <c r="B3957" s="2" t="s">
        <v>1032</v>
      </c>
      <c r="C3957" s="2">
        <v>1163.78</v>
      </c>
      <c r="D3957" s="2">
        <f>HYPERLINK("http://mcb-m6.bioreg.kyushu-u.ac.jp/M3/20110414/F50945/3681/1", 93.06)</f>
        <v>93.06</v>
      </c>
      <c r="E3957" s="2">
        <v>79.17</v>
      </c>
      <c r="F3957" s="2">
        <v>2</v>
      </c>
      <c r="G3957" s="2" t="s">
        <v>11</v>
      </c>
    </row>
    <row r="3958" spans="1:8" x14ac:dyDescent="0.2">
      <c r="A3958" s="2" t="s">
        <v>3343</v>
      </c>
      <c r="B3958" s="2" t="s">
        <v>344</v>
      </c>
      <c r="C3958" s="2">
        <v>918.84860000000003</v>
      </c>
      <c r="D3958" s="2">
        <f>HYPERLINK("http://mcb-m6.bioreg.kyushu-u.ac.jp/M3/20110414/F50945/2871/1", 93.15)</f>
        <v>93.15</v>
      </c>
      <c r="E3958" s="2">
        <v>82.32</v>
      </c>
      <c r="F3958" s="2">
        <v>2</v>
      </c>
      <c r="G3958" s="2" t="s">
        <v>11</v>
      </c>
    </row>
    <row r="3959" spans="1:8" x14ac:dyDescent="0.2">
      <c r="A3959" s="2" t="s">
        <v>3343</v>
      </c>
      <c r="B3959" s="2" t="s">
        <v>325</v>
      </c>
      <c r="C3959" s="2">
        <v>747.28369999999995</v>
      </c>
      <c r="D3959" s="2">
        <f>HYPERLINK("http://mcb-m6.bioreg.kyushu-u.ac.jp/M3/20110414/F50945/2094/1", 93.38)</f>
        <v>93.38</v>
      </c>
      <c r="E3959" s="2">
        <v>80.12</v>
      </c>
      <c r="F3959" s="2">
        <v>2</v>
      </c>
      <c r="G3959" s="2" t="s">
        <v>11</v>
      </c>
      <c r="H3959" s="2" t="s">
        <v>4925</v>
      </c>
    </row>
    <row r="3960" spans="1:8" x14ac:dyDescent="0.2">
      <c r="A3960" s="2" t="s">
        <v>3343</v>
      </c>
      <c r="B3960" s="2" t="s">
        <v>1032</v>
      </c>
      <c r="C3960" s="2">
        <v>1164.0550000000001</v>
      </c>
      <c r="D3960" s="2">
        <f>HYPERLINK("http://mcb-m6.bioreg.kyushu-u.ac.jp/M3/20110414/F50945/3686/1", 94.14)</f>
        <v>94.14</v>
      </c>
      <c r="E3960" s="2">
        <v>80.540000000000006</v>
      </c>
      <c r="F3960" s="2">
        <v>2</v>
      </c>
      <c r="G3960" s="2" t="s">
        <v>11</v>
      </c>
    </row>
    <row r="3961" spans="1:8" x14ac:dyDescent="0.2">
      <c r="A3961" s="2" t="s">
        <v>3343</v>
      </c>
      <c r="B3961" s="2" t="s">
        <v>325</v>
      </c>
      <c r="C3961" s="2">
        <v>747.31119999999999</v>
      </c>
      <c r="D3961" s="2">
        <f>HYPERLINK("http://mcb-m6.bioreg.kyushu-u.ac.jp/M3/20110414/F50945/2097/1", 97.68)</f>
        <v>97.68</v>
      </c>
      <c r="E3961" s="2">
        <v>77.78</v>
      </c>
      <c r="F3961" s="2">
        <v>2</v>
      </c>
      <c r="G3961" s="2" t="s">
        <v>11</v>
      </c>
      <c r="H3961" s="2" t="s">
        <v>4925</v>
      </c>
    </row>
    <row r="3962" spans="1:8" x14ac:dyDescent="0.2">
      <c r="A3962" s="2" t="s">
        <v>3343</v>
      </c>
      <c r="B3962" s="2" t="s">
        <v>1032</v>
      </c>
      <c r="C3962" s="2">
        <v>1163.874</v>
      </c>
      <c r="D3962" s="2">
        <f>HYPERLINK("http://mcb-m6.bioreg.kyushu-u.ac.jp/M3/20110414/F50957/4152/1", 98.26)</f>
        <v>98.26</v>
      </c>
      <c r="E3962" s="2">
        <v>85.97</v>
      </c>
      <c r="F3962" s="2">
        <v>2</v>
      </c>
      <c r="G3962" s="2" t="s">
        <v>11</v>
      </c>
    </row>
    <row r="3963" spans="1:8" x14ac:dyDescent="0.2">
      <c r="A3963" s="2" t="s">
        <v>3343</v>
      </c>
      <c r="B3963" s="2" t="s">
        <v>325</v>
      </c>
      <c r="C3963" s="2">
        <v>739.81460000000004</v>
      </c>
      <c r="D3963" s="2">
        <f>HYPERLINK("http://mcb-m6.bioreg.kyushu-u.ac.jp/M3/20110414/F50945/2030/1", 98.62)</f>
        <v>98.62</v>
      </c>
      <c r="E3963" s="2">
        <v>86.58</v>
      </c>
      <c r="F3963" s="2">
        <v>2</v>
      </c>
      <c r="G3963" s="2" t="s">
        <v>11</v>
      </c>
    </row>
    <row r="3964" spans="1:8" x14ac:dyDescent="0.2">
      <c r="A3964" s="2" t="s">
        <v>3343</v>
      </c>
      <c r="B3964" s="2" t="s">
        <v>1211</v>
      </c>
      <c r="C3964" s="2">
        <v>1153.405</v>
      </c>
      <c r="D3964" s="2">
        <f>HYPERLINK("http://mcb-m6.bioreg.kyushu-u.ac.jp/M3/20110414/F50945/3626/1", 101.1)</f>
        <v>101.1</v>
      </c>
      <c r="E3964" s="2">
        <v>84.89</v>
      </c>
      <c r="F3964" s="2">
        <v>2</v>
      </c>
      <c r="G3964" s="2" t="s">
        <v>11</v>
      </c>
    </row>
    <row r="3965" spans="1:8" x14ac:dyDescent="0.2">
      <c r="A3965" s="2" t="s">
        <v>3343</v>
      </c>
      <c r="B3965" s="2" t="s">
        <v>1189</v>
      </c>
      <c r="C3965" s="2">
        <v>1069.242</v>
      </c>
      <c r="D3965" s="2">
        <f>HYPERLINK("http://mcb-m6.bioreg.kyushu-u.ac.jp/M3/20110414/F50962/3211/1", 101.67)</f>
        <v>101.67</v>
      </c>
      <c r="E3965" s="2">
        <v>86.76</v>
      </c>
      <c r="F3965" s="2">
        <v>2</v>
      </c>
      <c r="G3965" s="2" t="s">
        <v>11</v>
      </c>
    </row>
    <row r="3966" spans="1:8" x14ac:dyDescent="0.2">
      <c r="A3966" s="2" t="s">
        <v>3343</v>
      </c>
      <c r="B3966" s="2" t="s">
        <v>1189</v>
      </c>
      <c r="C3966" s="2">
        <v>1069.9079999999999</v>
      </c>
      <c r="D3966" s="2">
        <f>HYPERLINK("http://mcb-m6.bioreg.kyushu-u.ac.jp/M3/20110414/F50945/3296/1", 101.75)</f>
        <v>101.75</v>
      </c>
      <c r="E3966" s="2">
        <v>90.14</v>
      </c>
      <c r="F3966" s="2">
        <v>2</v>
      </c>
      <c r="G3966" s="2" t="s">
        <v>11</v>
      </c>
    </row>
    <row r="3967" spans="1:8" x14ac:dyDescent="0.2">
      <c r="A3967" s="2" t="s">
        <v>3343</v>
      </c>
      <c r="B3967" s="2" t="s">
        <v>1189</v>
      </c>
      <c r="C3967" s="2">
        <v>1069.7840000000001</v>
      </c>
      <c r="D3967" s="2">
        <f>HYPERLINK("http://mcb-m6.bioreg.kyushu-u.ac.jp/M3/20110414/F50928/3461/1", 104.33)</f>
        <v>104.33</v>
      </c>
      <c r="E3967" s="2">
        <v>91.15</v>
      </c>
      <c r="F3967" s="2">
        <v>2</v>
      </c>
      <c r="G3967" s="2" t="s">
        <v>11</v>
      </c>
    </row>
    <row r="3968" spans="1:8" x14ac:dyDescent="0.2">
      <c r="A3968" s="2" t="s">
        <v>3343</v>
      </c>
      <c r="B3968" s="2" t="s">
        <v>1032</v>
      </c>
      <c r="C3968" s="2">
        <v>1163.5250000000001</v>
      </c>
      <c r="D3968" s="2">
        <f>HYPERLINK("http://mcb-m6.bioreg.kyushu-u.ac.jp/M3/20110414/F50962/3418/1", 105.12)</f>
        <v>105.12</v>
      </c>
      <c r="E3968" s="2">
        <v>91.41</v>
      </c>
      <c r="F3968" s="2">
        <v>2</v>
      </c>
      <c r="G3968" s="2" t="s">
        <v>11</v>
      </c>
    </row>
    <row r="3969" spans="1:8" x14ac:dyDescent="0.2">
      <c r="A3969" s="2" t="s">
        <v>3343</v>
      </c>
      <c r="B3969" s="2" t="s">
        <v>1032</v>
      </c>
      <c r="C3969" s="2">
        <v>1163.5709999999999</v>
      </c>
      <c r="D3969" s="2">
        <f>HYPERLINK("http://mcb-m6.bioreg.kyushu-u.ac.jp/M3/20110414/F50941/3937/1", 105.23)</f>
        <v>105.23</v>
      </c>
      <c r="E3969" s="2">
        <v>96.09</v>
      </c>
      <c r="F3969" s="2">
        <v>2</v>
      </c>
      <c r="G3969" s="2" t="s">
        <v>11</v>
      </c>
    </row>
    <row r="3970" spans="1:8" x14ac:dyDescent="0.2">
      <c r="A3970" s="2" t="s">
        <v>3343</v>
      </c>
      <c r="B3970" s="2" t="s">
        <v>1189</v>
      </c>
      <c r="C3970" s="2">
        <v>1069.6690000000001</v>
      </c>
      <c r="D3970" s="2">
        <f>HYPERLINK("http://mcb-m6.bioreg.kyushu-u.ac.jp/M3/20110414/F50927/3252/1", 105.38)</f>
        <v>105.38</v>
      </c>
      <c r="E3970" s="2">
        <v>88.45</v>
      </c>
      <c r="F3970" s="2">
        <v>2</v>
      </c>
      <c r="G3970" s="2" t="s">
        <v>11</v>
      </c>
    </row>
    <row r="3971" spans="1:8" x14ac:dyDescent="0.2">
      <c r="A3971" s="2" t="s">
        <v>3343</v>
      </c>
      <c r="B3971" s="2" t="s">
        <v>1189</v>
      </c>
      <c r="C3971" s="2">
        <v>1069.191</v>
      </c>
      <c r="D3971" s="2">
        <f>HYPERLINK("http://mcb-m6.bioreg.kyushu-u.ac.jp/M3/20110414/F50928/3460/1", 106.58)</f>
        <v>106.58</v>
      </c>
      <c r="E3971" s="2">
        <v>85.53</v>
      </c>
      <c r="F3971" s="2">
        <v>2</v>
      </c>
      <c r="G3971" s="2" t="s">
        <v>11</v>
      </c>
    </row>
    <row r="3972" spans="1:8" x14ac:dyDescent="0.2">
      <c r="A3972" s="2" t="s">
        <v>3343</v>
      </c>
      <c r="B3972" s="2" t="s">
        <v>344</v>
      </c>
      <c r="C3972" s="2">
        <v>1837.7349999999999</v>
      </c>
      <c r="D3972" s="2">
        <f>HYPERLINK("http://mcb-m6.bioreg.kyushu-u.ac.jp/M3/20110414/F50945/2874/1", 108.25)</f>
        <v>108.25</v>
      </c>
      <c r="E3972" s="2">
        <v>91.87</v>
      </c>
      <c r="F3972" s="2">
        <v>1</v>
      </c>
      <c r="G3972" s="2" t="s">
        <v>11</v>
      </c>
    </row>
    <row r="3973" spans="1:8" x14ac:dyDescent="0.2">
      <c r="A3973" s="2" t="s">
        <v>3343</v>
      </c>
      <c r="B3973" s="2" t="s">
        <v>1189</v>
      </c>
      <c r="C3973" s="2">
        <v>1069.1479999999999</v>
      </c>
      <c r="D3973" s="2">
        <f>HYPERLINK("http://mcb-m6.bioreg.kyushu-u.ac.jp/M3/20110414/F50927/3249/1", 108.34)</f>
        <v>108.34</v>
      </c>
      <c r="E3973" s="2">
        <v>86.77</v>
      </c>
      <c r="F3973" s="2">
        <v>2</v>
      </c>
      <c r="G3973" s="2" t="s">
        <v>11</v>
      </c>
    </row>
    <row r="3974" spans="1:8" x14ac:dyDescent="0.2">
      <c r="A3974" s="2" t="s">
        <v>3343</v>
      </c>
      <c r="B3974" s="2" t="s">
        <v>325</v>
      </c>
      <c r="C3974" s="2">
        <v>739.58510000000001</v>
      </c>
      <c r="D3974" s="2">
        <f>HYPERLINK("http://mcb-m6.bioreg.kyushu-u.ac.jp/M3/20110414/F50962/1914/1", 108.44)</f>
        <v>108.44</v>
      </c>
      <c r="E3974" s="2">
        <v>87.95</v>
      </c>
      <c r="F3974" s="2">
        <v>2</v>
      </c>
      <c r="G3974" s="2" t="s">
        <v>11</v>
      </c>
    </row>
    <row r="3975" spans="1:8" x14ac:dyDescent="0.2">
      <c r="A3975" s="2" t="s">
        <v>3343</v>
      </c>
      <c r="B3975" s="2" t="s">
        <v>1189</v>
      </c>
      <c r="C3975" s="2">
        <v>1069.8109999999999</v>
      </c>
      <c r="D3975" s="2">
        <f>HYPERLINK("http://mcb-m6.bioreg.kyushu-u.ac.jp/M3/20110414/F50962/3214/1", 108.48)</f>
        <v>108.48</v>
      </c>
      <c r="E3975" s="2">
        <v>94.95</v>
      </c>
      <c r="F3975" s="2">
        <v>2</v>
      </c>
      <c r="G3975" s="2" t="s">
        <v>11</v>
      </c>
    </row>
    <row r="3976" spans="1:8" x14ac:dyDescent="0.2">
      <c r="A3976" s="2" t="s">
        <v>3343</v>
      </c>
      <c r="B3976" s="2" t="s">
        <v>1032</v>
      </c>
      <c r="C3976" s="2">
        <v>1163.6690000000001</v>
      </c>
      <c r="D3976" s="2">
        <f>HYPERLINK("http://mcb-m6.bioreg.kyushu-u.ac.jp/M3/20110414/F50928/3632/1", 108.62)</f>
        <v>108.62</v>
      </c>
      <c r="E3976" s="2">
        <v>95.28</v>
      </c>
      <c r="F3976" s="2">
        <v>2</v>
      </c>
      <c r="G3976" s="2" t="s">
        <v>11</v>
      </c>
    </row>
    <row r="3977" spans="1:8" x14ac:dyDescent="0.2">
      <c r="A3977" s="2" t="s">
        <v>3343</v>
      </c>
      <c r="B3977" s="2" t="s">
        <v>325</v>
      </c>
      <c r="C3977" s="2">
        <v>747.34119999999996</v>
      </c>
      <c r="D3977" s="2">
        <f>HYPERLINK("http://mcb-m6.bioreg.kyushu-u.ac.jp/M3/20110414/F50945/2098/1", 113.84)</f>
        <v>113.84</v>
      </c>
      <c r="E3977" s="2">
        <v>96.56</v>
      </c>
      <c r="F3977" s="2">
        <v>2</v>
      </c>
      <c r="G3977" s="2" t="s">
        <v>11</v>
      </c>
      <c r="H3977" s="2" t="s">
        <v>4925</v>
      </c>
    </row>
    <row r="3978" spans="1:8" x14ac:dyDescent="0.2">
      <c r="A3978" s="2" t="s">
        <v>3343</v>
      </c>
      <c r="B3978" s="2" t="s">
        <v>325</v>
      </c>
      <c r="C3978" s="2">
        <v>739.33320000000003</v>
      </c>
      <c r="D3978" s="2">
        <f>HYPERLINK("http://mcb-m6.bioreg.kyushu-u.ac.jp/M3/20110414/F50945/2027/1", 116.24)</f>
        <v>116.24</v>
      </c>
      <c r="E3978" s="2">
        <v>103.65</v>
      </c>
      <c r="F3978" s="2">
        <v>2</v>
      </c>
      <c r="G3978" s="2" t="s">
        <v>11</v>
      </c>
    </row>
    <row r="3979" spans="1:8" x14ac:dyDescent="0.2">
      <c r="A3979" s="2" t="s">
        <v>3343</v>
      </c>
      <c r="B3979" s="2" t="s">
        <v>1032</v>
      </c>
      <c r="C3979" s="2">
        <v>1163.5260000000001</v>
      </c>
      <c r="D3979" s="2">
        <f>HYPERLINK("http://mcb-m6.bioreg.kyushu-u.ac.jp/M3/20110414/F50945/3679/1", 118.8)</f>
        <v>118.8</v>
      </c>
      <c r="E3979" s="2">
        <v>108.29</v>
      </c>
      <c r="F3979" s="2">
        <v>2</v>
      </c>
      <c r="G3979" s="2" t="s">
        <v>11</v>
      </c>
    </row>
    <row r="3980" spans="1:8" x14ac:dyDescent="0.2">
      <c r="A3980" s="2" t="s">
        <v>3343</v>
      </c>
      <c r="B3980" s="2" t="s">
        <v>1189</v>
      </c>
      <c r="C3980" s="2">
        <v>1069.4860000000001</v>
      </c>
      <c r="D3980" s="2">
        <f>HYPERLINK("http://mcb-m6.bioreg.kyushu-u.ac.jp/M3/20110414/F50945/3293/1", 122.59)</f>
        <v>122.59</v>
      </c>
      <c r="E3980" s="2">
        <v>109.65</v>
      </c>
      <c r="F3980" s="2">
        <v>2</v>
      </c>
      <c r="G3980" s="2" t="s">
        <v>11</v>
      </c>
    </row>
    <row r="3981" spans="1:8" x14ac:dyDescent="0.2">
      <c r="A3981" s="2" t="s">
        <v>3343</v>
      </c>
      <c r="B3981" s="2" t="s">
        <v>210</v>
      </c>
      <c r="C3981" s="2">
        <v>1092.42</v>
      </c>
      <c r="D3981" s="2">
        <f>HYPERLINK("http://mcb-m6.bioreg.kyushu-u.ac.jp/M3/20110414/F50946/1128/1", 35.62)</f>
        <v>35.619999999999997</v>
      </c>
      <c r="E3981" s="2">
        <v>10.92</v>
      </c>
      <c r="F3981" s="2">
        <v>1</v>
      </c>
      <c r="G3981" s="2" t="s">
        <v>12</v>
      </c>
    </row>
    <row r="3982" spans="1:8" x14ac:dyDescent="0.2">
      <c r="A3982" s="2" t="s">
        <v>3343</v>
      </c>
      <c r="B3982" s="2" t="s">
        <v>325</v>
      </c>
      <c r="C3982" s="2">
        <v>747.29020000000003</v>
      </c>
      <c r="D3982" s="2">
        <f>HYPERLINK("http://mcb-m6.bioreg.kyushu-u.ac.jp/M3/20110414/F50947/2012/1", 35.72)</f>
        <v>35.72</v>
      </c>
      <c r="E3982" s="2">
        <v>27.84</v>
      </c>
      <c r="F3982" s="2">
        <v>2</v>
      </c>
      <c r="G3982" s="2" t="s">
        <v>12</v>
      </c>
      <c r="H3982" s="2" t="s">
        <v>4925</v>
      </c>
    </row>
    <row r="3983" spans="1:8" x14ac:dyDescent="0.2">
      <c r="A3983" s="2" t="s">
        <v>3343</v>
      </c>
      <c r="B3983" s="2" t="s">
        <v>132</v>
      </c>
      <c r="C3983" s="2">
        <v>1155.5139999999999</v>
      </c>
      <c r="D3983" s="2">
        <f>HYPERLINK("http://mcb-m6.bioreg.kyushu-u.ac.jp/M3/20110414/F50932/1850/1", 36.05)</f>
        <v>36.049999999999997</v>
      </c>
      <c r="E3983" s="2">
        <v>17.690000000000001</v>
      </c>
      <c r="F3983" s="2">
        <v>1</v>
      </c>
      <c r="G3983" s="2" t="s">
        <v>12</v>
      </c>
    </row>
    <row r="3984" spans="1:8" x14ac:dyDescent="0.2">
      <c r="A3984" s="2" t="s">
        <v>3343</v>
      </c>
      <c r="B3984" s="2" t="s">
        <v>210</v>
      </c>
      <c r="C3984" s="2">
        <v>1108.306</v>
      </c>
      <c r="D3984" s="2">
        <f>HYPERLINK("http://mcb-m6.bioreg.kyushu-u.ac.jp/M3/20110414/F50963/940/1", 36.07)</f>
        <v>36.07</v>
      </c>
      <c r="E3984" s="2">
        <v>19.02</v>
      </c>
      <c r="F3984" s="2">
        <v>1</v>
      </c>
      <c r="G3984" s="2" t="s">
        <v>12</v>
      </c>
      <c r="H3984" s="2" t="s">
        <v>4910</v>
      </c>
    </row>
    <row r="3985" spans="1:8" x14ac:dyDescent="0.2">
      <c r="A3985" s="2" t="s">
        <v>3343</v>
      </c>
      <c r="B3985" s="2" t="s">
        <v>509</v>
      </c>
      <c r="C3985" s="2">
        <v>708.82920000000001</v>
      </c>
      <c r="D3985" s="2">
        <f>HYPERLINK("http://mcb-m6.bioreg.kyushu-u.ac.jp/M3/20110414/F50947/1728/1", 36.52)</f>
        <v>36.520000000000003</v>
      </c>
      <c r="E3985" s="2">
        <v>15.49</v>
      </c>
      <c r="F3985" s="2">
        <v>2</v>
      </c>
      <c r="G3985" s="2" t="s">
        <v>12</v>
      </c>
      <c r="H3985" s="2" t="s">
        <v>4904</v>
      </c>
    </row>
    <row r="3986" spans="1:8" x14ac:dyDescent="0.2">
      <c r="A3986" s="2" t="s">
        <v>3343</v>
      </c>
      <c r="B3986" s="2" t="s">
        <v>558</v>
      </c>
      <c r="C3986" s="2">
        <v>729.32069999999999</v>
      </c>
      <c r="D3986" s="2">
        <f>HYPERLINK("http://mcb-m6.bioreg.kyushu-u.ac.jp/M3/20110414/F50947/1873/1", 36.56)</f>
        <v>36.56</v>
      </c>
      <c r="E3986" s="2">
        <v>24.26</v>
      </c>
      <c r="F3986" s="2">
        <v>2</v>
      </c>
      <c r="G3986" s="2" t="s">
        <v>12</v>
      </c>
    </row>
    <row r="3987" spans="1:8" x14ac:dyDescent="0.2">
      <c r="A3987" s="2" t="s">
        <v>3343</v>
      </c>
      <c r="B3987" s="2" t="s">
        <v>1002</v>
      </c>
      <c r="C3987" s="2">
        <v>765.66020000000003</v>
      </c>
      <c r="D3987" s="2">
        <f>HYPERLINK("http://mcb-m6.bioreg.kyushu-u.ac.jp/M3/20110414/F50946/3654/1", 36.77)</f>
        <v>36.770000000000003</v>
      </c>
      <c r="E3987" s="2">
        <v>24.58</v>
      </c>
      <c r="F3987" s="2">
        <v>3</v>
      </c>
      <c r="G3987" s="2" t="s">
        <v>12</v>
      </c>
    </row>
    <row r="3988" spans="1:8" x14ac:dyDescent="0.2">
      <c r="A3988" s="2" t="s">
        <v>3343</v>
      </c>
      <c r="B3988" s="2" t="s">
        <v>1189</v>
      </c>
      <c r="C3988" s="2">
        <v>1069.423</v>
      </c>
      <c r="D3988" s="2">
        <f>HYPERLINK("http://mcb-m6.bioreg.kyushu-u.ac.jp/M3/20110414/F50947/3670/1", 37.08)</f>
        <v>37.08</v>
      </c>
      <c r="E3988" s="2">
        <v>27.41</v>
      </c>
      <c r="F3988" s="2">
        <v>2</v>
      </c>
      <c r="G3988" s="2" t="s">
        <v>12</v>
      </c>
    </row>
    <row r="3989" spans="1:8" x14ac:dyDescent="0.2">
      <c r="A3989" s="2" t="s">
        <v>3343</v>
      </c>
      <c r="B3989" s="2" t="s">
        <v>704</v>
      </c>
      <c r="C3989" s="2">
        <v>1220.5340000000001</v>
      </c>
      <c r="D3989" s="2">
        <f>HYPERLINK("http://mcb-m6.bioreg.kyushu-u.ac.jp/M3/20110414/F50946/1397/1", 37.29)</f>
        <v>37.29</v>
      </c>
      <c r="E3989" s="2">
        <v>19.02</v>
      </c>
      <c r="F3989" s="2">
        <v>1</v>
      </c>
      <c r="G3989" s="2" t="s">
        <v>12</v>
      </c>
      <c r="H3989" s="2" t="s">
        <v>4908</v>
      </c>
    </row>
    <row r="3990" spans="1:8" x14ac:dyDescent="0.2">
      <c r="A3990" s="2" t="s">
        <v>3343</v>
      </c>
      <c r="B3990" s="2" t="s">
        <v>325</v>
      </c>
      <c r="C3990" s="2">
        <v>498.96749999999997</v>
      </c>
      <c r="D3990" s="2">
        <f>HYPERLINK("http://mcb-m6.bioreg.kyushu-u.ac.jp/M3/20110414/F50946/2023/1", 37.47)</f>
        <v>37.47</v>
      </c>
      <c r="E3990" s="2">
        <v>19.38</v>
      </c>
      <c r="F3990" s="2">
        <v>3</v>
      </c>
      <c r="G3990" s="2" t="s">
        <v>12</v>
      </c>
      <c r="H3990" s="2" t="s">
        <v>4925</v>
      </c>
    </row>
    <row r="3991" spans="1:8" x14ac:dyDescent="0.2">
      <c r="A3991" s="2" t="s">
        <v>3343</v>
      </c>
      <c r="B3991" s="2" t="s">
        <v>2555</v>
      </c>
      <c r="C3991" s="2">
        <v>658.37660000000005</v>
      </c>
      <c r="D3991" s="2">
        <f>HYPERLINK("http://mcb-m6.bioreg.kyushu-u.ac.jp/M3/20110414/F50946/1523/1", 37.75)</f>
        <v>37.75</v>
      </c>
      <c r="E3991" s="2">
        <v>21.38</v>
      </c>
      <c r="F3991" s="2">
        <v>2</v>
      </c>
      <c r="G3991" s="2" t="s">
        <v>12</v>
      </c>
    </row>
    <row r="3992" spans="1:8" x14ac:dyDescent="0.2">
      <c r="A3992" s="2" t="s">
        <v>3343</v>
      </c>
      <c r="B3992" s="2" t="s">
        <v>1002</v>
      </c>
      <c r="C3992" s="2">
        <v>1147.576</v>
      </c>
      <c r="D3992" s="2">
        <f>HYPERLINK("http://mcb-m6.bioreg.kyushu-u.ac.jp/M3/20110414/F50947/4016/1", 37.76)</f>
        <v>37.76</v>
      </c>
      <c r="E3992" s="2">
        <v>26.88</v>
      </c>
      <c r="F3992" s="2">
        <v>2</v>
      </c>
      <c r="G3992" s="2" t="s">
        <v>12</v>
      </c>
    </row>
    <row r="3993" spans="1:8" x14ac:dyDescent="0.2">
      <c r="A3993" s="2" t="s">
        <v>3343</v>
      </c>
      <c r="B3993" s="2" t="s">
        <v>509</v>
      </c>
      <c r="C3993" s="2">
        <v>725.38369999999998</v>
      </c>
      <c r="D3993" s="2">
        <f>HYPERLINK("http://mcb-m6.bioreg.kyushu-u.ac.jp/M3/20110414/F50947/1843/1", 37.99)</f>
        <v>37.99</v>
      </c>
      <c r="E3993" s="2">
        <v>25.11</v>
      </c>
      <c r="F3993" s="2">
        <v>2</v>
      </c>
      <c r="G3993" s="2" t="s">
        <v>12</v>
      </c>
      <c r="H3993" s="2" t="s">
        <v>4927</v>
      </c>
    </row>
    <row r="3994" spans="1:8" x14ac:dyDescent="0.2">
      <c r="A3994" s="2" t="s">
        <v>3343</v>
      </c>
      <c r="B3994" s="2" t="s">
        <v>210</v>
      </c>
      <c r="C3994" s="2">
        <v>1108.479</v>
      </c>
      <c r="D3994" s="2">
        <f>HYPERLINK("http://mcb-m6.bioreg.kyushu-u.ac.jp/M3/20110414/F50946/1146/1", 38.03)</f>
        <v>38.03</v>
      </c>
      <c r="E3994" s="2">
        <v>24.35</v>
      </c>
      <c r="F3994" s="2">
        <v>1</v>
      </c>
      <c r="G3994" s="2" t="s">
        <v>12</v>
      </c>
      <c r="H3994" s="2" t="s">
        <v>4910</v>
      </c>
    </row>
    <row r="3995" spans="1:8" x14ac:dyDescent="0.2">
      <c r="A3995" s="2" t="s">
        <v>3343</v>
      </c>
      <c r="B3995" s="2" t="s">
        <v>328</v>
      </c>
      <c r="C3995" s="2">
        <v>1146.3599999999999</v>
      </c>
      <c r="D3995" s="2">
        <f>HYPERLINK("http://mcb-m6.bioreg.kyushu-u.ac.jp/M3/20110414/F50963/1007/1", 38.15)</f>
        <v>38.15</v>
      </c>
      <c r="E3995" s="2">
        <v>12.56</v>
      </c>
      <c r="F3995" s="2">
        <v>1</v>
      </c>
      <c r="G3995" s="2" t="s">
        <v>12</v>
      </c>
    </row>
    <row r="3996" spans="1:8" x14ac:dyDescent="0.2">
      <c r="A3996" s="2" t="s">
        <v>3343</v>
      </c>
      <c r="B3996" s="2" t="s">
        <v>132</v>
      </c>
      <c r="C3996" s="2">
        <v>578.25959999999998</v>
      </c>
      <c r="D3996" s="2">
        <f>HYPERLINK("http://mcb-m6.bioreg.kyushu-u.ac.jp/M3/20110414/F50946/1228/1", 38.17)</f>
        <v>38.17</v>
      </c>
      <c r="E3996" s="2">
        <v>16.53</v>
      </c>
      <c r="F3996" s="2">
        <v>2</v>
      </c>
      <c r="G3996" s="2" t="s">
        <v>12</v>
      </c>
    </row>
    <row r="3997" spans="1:8" x14ac:dyDescent="0.2">
      <c r="A3997" s="2" t="s">
        <v>3343</v>
      </c>
      <c r="B3997" s="2" t="s">
        <v>558</v>
      </c>
      <c r="C3997" s="2">
        <v>729.84119999999996</v>
      </c>
      <c r="D3997" s="2">
        <f>HYPERLINK("http://mcb-m6.bioreg.kyushu-u.ac.jp/M3/20110414/F50947/1879/1", 38.27)</f>
        <v>38.270000000000003</v>
      </c>
      <c r="E3997" s="2">
        <v>22.45</v>
      </c>
      <c r="F3997" s="2">
        <v>2</v>
      </c>
      <c r="G3997" s="2" t="s">
        <v>12</v>
      </c>
    </row>
    <row r="3998" spans="1:8" x14ac:dyDescent="0.2">
      <c r="A3998" s="2" t="s">
        <v>3343</v>
      </c>
      <c r="B3998" s="2" t="s">
        <v>558</v>
      </c>
      <c r="C3998" s="2">
        <v>729.28219999999999</v>
      </c>
      <c r="D3998" s="2">
        <f>HYPERLINK("http://mcb-m6.bioreg.kyushu-u.ac.jp/M3/20110414/F50946/1869/1", 38.29)</f>
        <v>38.29</v>
      </c>
      <c r="E3998" s="2">
        <v>28.27</v>
      </c>
      <c r="F3998" s="2">
        <v>2</v>
      </c>
      <c r="G3998" s="2" t="s">
        <v>12</v>
      </c>
    </row>
    <row r="3999" spans="1:8" x14ac:dyDescent="0.2">
      <c r="A3999" s="2" t="s">
        <v>3343</v>
      </c>
      <c r="B3999" s="2" t="s">
        <v>546</v>
      </c>
      <c r="C3999" s="2">
        <v>1328.5129999999999</v>
      </c>
      <c r="D3999" s="2">
        <f>HYPERLINK("http://mcb-m6.bioreg.kyushu-u.ac.jp/M3/20110414/F50963/1404/2", 38.41)</f>
        <v>38.409999999999997</v>
      </c>
      <c r="E3999" s="2">
        <v>27.65</v>
      </c>
      <c r="F3999" s="2">
        <v>1</v>
      </c>
      <c r="G3999" s="2" t="s">
        <v>12</v>
      </c>
    </row>
    <row r="4000" spans="1:8" x14ac:dyDescent="0.2">
      <c r="A4000" s="2" t="s">
        <v>3343</v>
      </c>
      <c r="B4000" s="2" t="s">
        <v>428</v>
      </c>
      <c r="C4000" s="2">
        <v>451.8931</v>
      </c>
      <c r="D4000" s="2">
        <f>HYPERLINK("http://mcb-m6.bioreg.kyushu-u.ac.jp/M3/20110414/F50946/813/1", 38.45)</f>
        <v>38.450000000000003</v>
      </c>
      <c r="E4000" s="2">
        <v>15.5</v>
      </c>
      <c r="F4000" s="2">
        <v>2</v>
      </c>
      <c r="G4000" s="2" t="s">
        <v>12</v>
      </c>
    </row>
    <row r="4001" spans="1:8" x14ac:dyDescent="0.2">
      <c r="A4001" s="2" t="s">
        <v>3343</v>
      </c>
      <c r="B4001" s="2" t="s">
        <v>558</v>
      </c>
      <c r="C4001" s="2">
        <v>729.37570000000005</v>
      </c>
      <c r="D4001" s="2">
        <f>HYPERLINK("http://mcb-m6.bioreg.kyushu-u.ac.jp/M3/20110414/F50947/1875/1", 38.49)</f>
        <v>38.49</v>
      </c>
      <c r="E4001" s="2">
        <v>17.77</v>
      </c>
      <c r="F4001" s="2">
        <v>2</v>
      </c>
      <c r="G4001" s="2" t="s">
        <v>12</v>
      </c>
    </row>
    <row r="4002" spans="1:8" x14ac:dyDescent="0.2">
      <c r="A4002" s="2" t="s">
        <v>3343</v>
      </c>
      <c r="B4002" s="2" t="s">
        <v>509</v>
      </c>
      <c r="C4002" s="2">
        <v>708.77919999999995</v>
      </c>
      <c r="D4002" s="2">
        <f>HYPERLINK("http://mcb-m6.bioreg.kyushu-u.ac.jp/M3/20110414/F50946/1761/1", 38.65)</f>
        <v>38.65</v>
      </c>
      <c r="E4002" s="2">
        <v>23.92</v>
      </c>
      <c r="F4002" s="2">
        <v>2</v>
      </c>
      <c r="G4002" s="2" t="s">
        <v>12</v>
      </c>
      <c r="H4002" s="2" t="s">
        <v>4904</v>
      </c>
    </row>
    <row r="4003" spans="1:8" x14ac:dyDescent="0.2">
      <c r="A4003" s="2" t="s">
        <v>3343</v>
      </c>
      <c r="B4003" s="2" t="s">
        <v>443</v>
      </c>
      <c r="C4003" s="2">
        <v>509.80410000000001</v>
      </c>
      <c r="D4003" s="2">
        <f>HYPERLINK("http://mcb-m6.bioreg.kyushu-u.ac.jp/M3/20110414/F50946/1042/1", 38.68)</f>
        <v>38.68</v>
      </c>
      <c r="E4003" s="2">
        <v>10.78</v>
      </c>
      <c r="F4003" s="2">
        <v>2</v>
      </c>
      <c r="G4003" s="2" t="s">
        <v>12</v>
      </c>
    </row>
    <row r="4004" spans="1:8" x14ac:dyDescent="0.2">
      <c r="A4004" s="2" t="s">
        <v>3343</v>
      </c>
      <c r="B4004" s="2" t="s">
        <v>328</v>
      </c>
      <c r="C4004" s="2">
        <v>574.17859999999996</v>
      </c>
      <c r="D4004" s="2">
        <f>HYPERLINK("http://mcb-m6.bioreg.kyushu-u.ac.jp/M3/20110414/F50947/1059/1", 39)</f>
        <v>39</v>
      </c>
      <c r="E4004" s="2">
        <v>12.36</v>
      </c>
      <c r="F4004" s="2">
        <v>2</v>
      </c>
      <c r="G4004" s="2" t="s">
        <v>12</v>
      </c>
    </row>
    <row r="4005" spans="1:8" x14ac:dyDescent="0.2">
      <c r="A4005" s="2" t="s">
        <v>3343</v>
      </c>
      <c r="B4005" s="2" t="s">
        <v>428</v>
      </c>
      <c r="C4005" s="2">
        <v>452.24259999999998</v>
      </c>
      <c r="D4005" s="2">
        <f>HYPERLINK("http://mcb-m6.bioreg.kyushu-u.ac.jp/M3/20110414/F50946/816/1", 39.53)</f>
        <v>39.53</v>
      </c>
      <c r="E4005" s="2">
        <v>13.57</v>
      </c>
      <c r="F4005" s="2">
        <v>2</v>
      </c>
      <c r="G4005" s="2" t="s">
        <v>12</v>
      </c>
    </row>
    <row r="4006" spans="1:8" x14ac:dyDescent="0.2">
      <c r="A4006" s="2" t="s">
        <v>3343</v>
      </c>
      <c r="B4006" s="2" t="s">
        <v>509</v>
      </c>
      <c r="C4006" s="2">
        <v>717.83920000000001</v>
      </c>
      <c r="D4006" s="2">
        <f>HYPERLINK("http://mcb-m6.bioreg.kyushu-u.ac.jp/M3/20110414/F50947/1796/1", 39.63)</f>
        <v>39.630000000000003</v>
      </c>
      <c r="E4006" s="2">
        <v>23.38</v>
      </c>
      <c r="F4006" s="2">
        <v>2</v>
      </c>
      <c r="G4006" s="2" t="s">
        <v>12</v>
      </c>
    </row>
    <row r="4007" spans="1:8" x14ac:dyDescent="0.2">
      <c r="A4007" s="2" t="s">
        <v>3343</v>
      </c>
      <c r="B4007" s="2" t="s">
        <v>509</v>
      </c>
      <c r="C4007" s="2">
        <v>725.53520000000003</v>
      </c>
      <c r="D4007" s="2">
        <f>HYPERLINK("http://mcb-m6.bioreg.kyushu-u.ac.jp/M3/20110414/F50946/1855/1", 39.66)</f>
        <v>39.659999999999997</v>
      </c>
      <c r="E4007" s="2">
        <v>28.71</v>
      </c>
      <c r="F4007" s="2">
        <v>2</v>
      </c>
      <c r="G4007" s="2" t="s">
        <v>12</v>
      </c>
      <c r="H4007" s="2" t="s">
        <v>4927</v>
      </c>
    </row>
    <row r="4008" spans="1:8" x14ac:dyDescent="0.2">
      <c r="A4008" s="2" t="s">
        <v>3343</v>
      </c>
      <c r="B4008" s="2" t="s">
        <v>325</v>
      </c>
      <c r="C4008" s="2">
        <v>738.97220000000004</v>
      </c>
      <c r="D4008" s="2">
        <f>HYPERLINK("http://mcb-m6.bioreg.kyushu-u.ac.jp/M3/20110414/F50948/2064/1", 39.72)</f>
        <v>39.72</v>
      </c>
      <c r="E4008" s="2">
        <v>27.14</v>
      </c>
      <c r="F4008" s="2">
        <v>2</v>
      </c>
      <c r="G4008" s="2" t="s">
        <v>12</v>
      </c>
    </row>
    <row r="4009" spans="1:8" x14ac:dyDescent="0.2">
      <c r="A4009" s="2" t="s">
        <v>3343</v>
      </c>
      <c r="B4009" s="2" t="s">
        <v>2359</v>
      </c>
      <c r="C4009" s="2">
        <v>678.84969999999998</v>
      </c>
      <c r="D4009" s="2">
        <f>HYPERLINK("http://mcb-m6.bioreg.kyushu-u.ac.jp/M3/20110414/F50946/1609/1", 39.73)</f>
        <v>39.729999999999997</v>
      </c>
      <c r="E4009" s="2">
        <v>19.170000000000002</v>
      </c>
      <c r="F4009" s="2">
        <v>2</v>
      </c>
      <c r="G4009" s="2" t="s">
        <v>12</v>
      </c>
    </row>
    <row r="4010" spans="1:8" x14ac:dyDescent="0.2">
      <c r="A4010" s="2" t="s">
        <v>3343</v>
      </c>
      <c r="B4010" s="2" t="s">
        <v>546</v>
      </c>
      <c r="C4010" s="2">
        <v>1328.65</v>
      </c>
      <c r="D4010" s="2">
        <f>HYPERLINK("http://mcb-m6.bioreg.kyushu-u.ac.jp/M3/20110414/F50946/1542/2", 40.18)</f>
        <v>40.18</v>
      </c>
      <c r="E4010" s="2">
        <v>31.29</v>
      </c>
      <c r="F4010" s="2">
        <v>1</v>
      </c>
      <c r="G4010" s="2" t="s">
        <v>12</v>
      </c>
    </row>
    <row r="4011" spans="1:8" x14ac:dyDescent="0.2">
      <c r="A4011" s="2" t="s">
        <v>3343</v>
      </c>
      <c r="B4011" s="2" t="s">
        <v>132</v>
      </c>
      <c r="C4011" s="2">
        <v>578.83619999999996</v>
      </c>
      <c r="D4011" s="2">
        <f>HYPERLINK("http://mcb-m6.bioreg.kyushu-u.ac.jp/M3/20110414/F50947/1090/1", 40.46)</f>
        <v>40.46</v>
      </c>
      <c r="E4011" s="2">
        <v>18.670000000000002</v>
      </c>
      <c r="F4011" s="2">
        <v>2</v>
      </c>
      <c r="G4011" s="2" t="s">
        <v>12</v>
      </c>
    </row>
    <row r="4012" spans="1:8" x14ac:dyDescent="0.2">
      <c r="A4012" s="2" t="s">
        <v>3343</v>
      </c>
      <c r="B4012" s="2" t="s">
        <v>704</v>
      </c>
      <c r="C4012" s="2">
        <v>1220.3520000000001</v>
      </c>
      <c r="D4012" s="2">
        <f>HYPERLINK("http://mcb-m6.bioreg.kyushu-u.ac.jp/M3/20110414/F50963/1209/1", 40.96)</f>
        <v>40.96</v>
      </c>
      <c r="E4012" s="2">
        <v>24.84</v>
      </c>
      <c r="F4012" s="2">
        <v>1</v>
      </c>
      <c r="G4012" s="2" t="s">
        <v>12</v>
      </c>
      <c r="H4012" s="2" t="s">
        <v>4908</v>
      </c>
    </row>
    <row r="4013" spans="1:8" x14ac:dyDescent="0.2">
      <c r="A4013" s="2" t="s">
        <v>3343</v>
      </c>
      <c r="B4013" s="2" t="s">
        <v>132</v>
      </c>
      <c r="C4013" s="2">
        <v>1155.6489999999999</v>
      </c>
      <c r="D4013" s="2">
        <f>HYPERLINK("http://mcb-m6.bioreg.kyushu-u.ac.jp/M3/20110414/F50947/1085/1", 40.97)</f>
        <v>40.97</v>
      </c>
      <c r="E4013" s="2">
        <v>16.54</v>
      </c>
      <c r="F4013" s="2">
        <v>1</v>
      </c>
      <c r="G4013" s="2" t="s">
        <v>12</v>
      </c>
    </row>
    <row r="4014" spans="1:8" x14ac:dyDescent="0.2">
      <c r="A4014" s="2" t="s">
        <v>3343</v>
      </c>
      <c r="B4014" s="2" t="s">
        <v>132</v>
      </c>
      <c r="C4014" s="2">
        <v>1156.5940000000001</v>
      </c>
      <c r="D4014" s="2">
        <f>HYPERLINK("http://mcb-m6.bioreg.kyushu-u.ac.jp/M3/20110414/F50946/1247/1", 41.01)</f>
        <v>41.01</v>
      </c>
      <c r="E4014" s="2">
        <v>21.32</v>
      </c>
      <c r="F4014" s="2">
        <v>1</v>
      </c>
      <c r="G4014" s="2" t="s">
        <v>12</v>
      </c>
    </row>
    <row r="4015" spans="1:8" x14ac:dyDescent="0.2">
      <c r="A4015" s="2" t="s">
        <v>3343</v>
      </c>
      <c r="B4015" s="2" t="s">
        <v>428</v>
      </c>
      <c r="C4015" s="2">
        <v>902.524</v>
      </c>
      <c r="D4015" s="2">
        <f>HYPERLINK("http://mcb-m6.bioreg.kyushu-u.ac.jp/M3/20110414/F50946/808/1", 41.03)</f>
        <v>41.03</v>
      </c>
      <c r="E4015" s="2">
        <v>18.21</v>
      </c>
      <c r="F4015" s="2">
        <v>1</v>
      </c>
      <c r="G4015" s="2" t="s">
        <v>12</v>
      </c>
    </row>
    <row r="4016" spans="1:8" x14ac:dyDescent="0.2">
      <c r="A4016" s="2" t="s">
        <v>3343</v>
      </c>
      <c r="B4016" s="2" t="s">
        <v>428</v>
      </c>
      <c r="C4016" s="2">
        <v>451.83409999999998</v>
      </c>
      <c r="D4016" s="2">
        <f>HYPERLINK("http://mcb-m6.bioreg.kyushu-u.ac.jp/M3/20110414/F50946/812/1", 41.16)</f>
        <v>41.16</v>
      </c>
      <c r="E4016" s="2">
        <v>19.850000000000001</v>
      </c>
      <c r="F4016" s="2">
        <v>2</v>
      </c>
      <c r="G4016" s="2" t="s">
        <v>12</v>
      </c>
    </row>
    <row r="4017" spans="1:7" x14ac:dyDescent="0.2">
      <c r="A4017" s="2" t="s">
        <v>3343</v>
      </c>
      <c r="B4017" s="2" t="s">
        <v>704</v>
      </c>
      <c r="C4017" s="2">
        <v>602.78020000000004</v>
      </c>
      <c r="D4017" s="2">
        <f>HYPERLINK("http://mcb-m6.bioreg.kyushu-u.ac.jp/M3/20110414/F50946/1362/1", 41.33)</f>
        <v>41.33</v>
      </c>
      <c r="E4017" s="2">
        <v>10.4</v>
      </c>
      <c r="F4017" s="2">
        <v>2</v>
      </c>
      <c r="G4017" s="2" t="s">
        <v>12</v>
      </c>
    </row>
    <row r="4018" spans="1:7" x14ac:dyDescent="0.2">
      <c r="A4018" s="2" t="s">
        <v>3343</v>
      </c>
      <c r="B4018" s="2" t="s">
        <v>558</v>
      </c>
      <c r="C4018" s="2">
        <v>729.88210000000004</v>
      </c>
      <c r="D4018" s="2">
        <f>HYPERLINK("http://mcb-m6.bioreg.kyushu-u.ac.jp/M3/20110414/F50946/1880/1", 41.45)</f>
        <v>41.45</v>
      </c>
      <c r="E4018" s="2">
        <v>30.52</v>
      </c>
      <c r="F4018" s="2">
        <v>2</v>
      </c>
      <c r="G4018" s="2" t="s">
        <v>12</v>
      </c>
    </row>
    <row r="4019" spans="1:7" x14ac:dyDescent="0.2">
      <c r="A4019" s="2" t="s">
        <v>3343</v>
      </c>
      <c r="B4019" s="2" t="s">
        <v>428</v>
      </c>
      <c r="C4019" s="2">
        <v>902.36</v>
      </c>
      <c r="D4019" s="2">
        <f>HYPERLINK("http://mcb-m6.bioreg.kyushu-u.ac.jp/M3/20110414/F50963/523/1", 41.54)</f>
        <v>41.54</v>
      </c>
      <c r="E4019" s="2">
        <v>22.98</v>
      </c>
      <c r="F4019" s="2">
        <v>1</v>
      </c>
      <c r="G4019" s="2" t="s">
        <v>12</v>
      </c>
    </row>
    <row r="4020" spans="1:7" x14ac:dyDescent="0.2">
      <c r="A4020" s="2" t="s">
        <v>3343</v>
      </c>
      <c r="B4020" s="2" t="s">
        <v>1002</v>
      </c>
      <c r="C4020" s="2">
        <v>1147.45</v>
      </c>
      <c r="D4020" s="2">
        <f>HYPERLINK("http://mcb-m6.bioreg.kyushu-u.ac.jp/M3/20110414/F50946/3633/1", 41.71)</f>
        <v>41.71</v>
      </c>
      <c r="E4020" s="2">
        <v>36.340000000000003</v>
      </c>
      <c r="F4020" s="2">
        <v>2</v>
      </c>
      <c r="G4020" s="2" t="s">
        <v>12</v>
      </c>
    </row>
    <row r="4021" spans="1:7" x14ac:dyDescent="0.2">
      <c r="A4021" s="2" t="s">
        <v>3343</v>
      </c>
      <c r="B4021" s="2" t="s">
        <v>443</v>
      </c>
      <c r="C4021" s="2">
        <v>1017.622</v>
      </c>
      <c r="D4021" s="2">
        <f>HYPERLINK("http://mcb-m6.bioreg.kyushu-u.ac.jp/M3/20110414/F50946/1038/1", 41.74)</f>
        <v>41.74</v>
      </c>
      <c r="E4021" s="2">
        <v>16.760000000000002</v>
      </c>
      <c r="F4021" s="2">
        <v>1</v>
      </c>
      <c r="G4021" s="2" t="s">
        <v>12</v>
      </c>
    </row>
    <row r="4022" spans="1:7" x14ac:dyDescent="0.2">
      <c r="A4022" s="2" t="s">
        <v>3343</v>
      </c>
      <c r="B4022" s="2" t="s">
        <v>558</v>
      </c>
      <c r="C4022" s="2">
        <v>729.33169999999996</v>
      </c>
      <c r="D4022" s="2">
        <f>HYPERLINK("http://mcb-m6.bioreg.kyushu-u.ac.jp/M3/20110414/F50963/1779/1", 42.02)</f>
        <v>42.02</v>
      </c>
      <c r="E4022" s="2">
        <v>26.22</v>
      </c>
      <c r="F4022" s="2">
        <v>2</v>
      </c>
      <c r="G4022" s="2" t="s">
        <v>12</v>
      </c>
    </row>
    <row r="4023" spans="1:7" x14ac:dyDescent="0.2">
      <c r="A4023" s="2" t="s">
        <v>3343</v>
      </c>
      <c r="B4023" s="2" t="s">
        <v>132</v>
      </c>
      <c r="C4023" s="2">
        <v>1155.5830000000001</v>
      </c>
      <c r="D4023" s="2">
        <f>HYPERLINK("http://mcb-m6.bioreg.kyushu-u.ac.jp/M3/20110414/F50946/1233/1", 42.3)</f>
        <v>42.3</v>
      </c>
      <c r="E4023" s="2">
        <v>21.36</v>
      </c>
      <c r="F4023" s="2">
        <v>1</v>
      </c>
      <c r="G4023" s="2" t="s">
        <v>12</v>
      </c>
    </row>
    <row r="4024" spans="1:7" x14ac:dyDescent="0.2">
      <c r="A4024" s="2" t="s">
        <v>3343</v>
      </c>
      <c r="B4024" s="2" t="s">
        <v>704</v>
      </c>
      <c r="C4024" s="2">
        <v>602.72609999999997</v>
      </c>
      <c r="D4024" s="2">
        <f>HYPERLINK("http://mcb-m6.bioreg.kyushu-u.ac.jp/M3/20110414/F50948/1261/1", 42.31)</f>
        <v>42.31</v>
      </c>
      <c r="E4024" s="2">
        <v>10.59</v>
      </c>
      <c r="F4024" s="2">
        <v>2</v>
      </c>
      <c r="G4024" s="2" t="s">
        <v>12</v>
      </c>
    </row>
    <row r="4025" spans="1:7" x14ac:dyDescent="0.2">
      <c r="A4025" s="2" t="s">
        <v>3343</v>
      </c>
      <c r="B4025" s="2" t="s">
        <v>132</v>
      </c>
      <c r="C4025" s="2">
        <v>1155.489</v>
      </c>
      <c r="D4025" s="2">
        <f>HYPERLINK("http://mcb-m6.bioreg.kyushu-u.ac.jp/M3/20110414/F50963/1020/1", 42.62)</f>
        <v>42.62</v>
      </c>
      <c r="E4025" s="2">
        <v>23.97</v>
      </c>
      <c r="F4025" s="2">
        <v>1</v>
      </c>
      <c r="G4025" s="2" t="s">
        <v>12</v>
      </c>
    </row>
    <row r="4026" spans="1:7" x14ac:dyDescent="0.2">
      <c r="A4026" s="2" t="s">
        <v>3343</v>
      </c>
      <c r="B4026" s="2" t="s">
        <v>297</v>
      </c>
      <c r="C4026" s="2">
        <v>1186.4770000000001</v>
      </c>
      <c r="D4026" s="2">
        <f>HYPERLINK("http://mcb-m6.bioreg.kyushu-u.ac.jp/M3/20110414/F50946/1325/1", 42.97)</f>
        <v>42.97</v>
      </c>
      <c r="E4026" s="2">
        <v>31.92</v>
      </c>
      <c r="F4026" s="2">
        <v>1</v>
      </c>
      <c r="G4026" s="2" t="s">
        <v>12</v>
      </c>
    </row>
    <row r="4027" spans="1:7" x14ac:dyDescent="0.2">
      <c r="A4027" s="2" t="s">
        <v>3343</v>
      </c>
      <c r="B4027" s="2" t="s">
        <v>132</v>
      </c>
      <c r="C4027" s="2">
        <v>1155.3989999999999</v>
      </c>
      <c r="D4027" s="2">
        <f>HYPERLINK("http://mcb-m6.bioreg.kyushu-u.ac.jp/M3/20110414/F50946/1224/1", 43.08)</f>
        <v>43.08</v>
      </c>
      <c r="E4027" s="2">
        <v>27.05</v>
      </c>
      <c r="F4027" s="2">
        <v>1</v>
      </c>
      <c r="G4027" s="2" t="s">
        <v>12</v>
      </c>
    </row>
    <row r="4028" spans="1:7" x14ac:dyDescent="0.2">
      <c r="A4028" s="2" t="s">
        <v>3343</v>
      </c>
      <c r="B4028" s="2" t="s">
        <v>344</v>
      </c>
      <c r="C4028" s="2">
        <v>919.55160000000001</v>
      </c>
      <c r="D4028" s="2">
        <f>HYPERLINK("http://mcb-m6.bioreg.kyushu-u.ac.jp/M3/20110414/F50963/2698/1", 43.24)</f>
        <v>43.24</v>
      </c>
      <c r="E4028" s="2">
        <v>23.46</v>
      </c>
      <c r="F4028" s="2">
        <v>2</v>
      </c>
      <c r="G4028" s="2" t="s">
        <v>12</v>
      </c>
    </row>
    <row r="4029" spans="1:7" x14ac:dyDescent="0.2">
      <c r="A4029" s="2" t="s">
        <v>3343</v>
      </c>
      <c r="B4029" s="2" t="s">
        <v>344</v>
      </c>
      <c r="C4029" s="2">
        <v>613.34220000000005</v>
      </c>
      <c r="D4029" s="2">
        <f>HYPERLINK("http://mcb-m6.bioreg.kyushu-u.ac.jp/M3/20110414/F50946/2906/1", 43.26)</f>
        <v>43.26</v>
      </c>
      <c r="E4029" s="2">
        <v>30.22</v>
      </c>
      <c r="F4029" s="2">
        <v>3</v>
      </c>
      <c r="G4029" s="2" t="s">
        <v>12</v>
      </c>
    </row>
    <row r="4030" spans="1:7" x14ac:dyDescent="0.2">
      <c r="A4030" s="2" t="s">
        <v>3343</v>
      </c>
      <c r="B4030" s="2" t="s">
        <v>132</v>
      </c>
      <c r="C4030" s="2">
        <v>1155.6130000000001</v>
      </c>
      <c r="D4030" s="2">
        <f>HYPERLINK("http://mcb-m6.bioreg.kyushu-u.ac.jp/M3/20110414/F50946/1237/1", 43.36)</f>
        <v>43.36</v>
      </c>
      <c r="E4030" s="2">
        <v>23.69</v>
      </c>
      <c r="F4030" s="2">
        <v>1</v>
      </c>
      <c r="G4030" s="2" t="s">
        <v>12</v>
      </c>
    </row>
    <row r="4031" spans="1:7" x14ac:dyDescent="0.2">
      <c r="A4031" s="2" t="s">
        <v>3343</v>
      </c>
      <c r="B4031" s="2" t="s">
        <v>704</v>
      </c>
      <c r="C4031" s="2">
        <v>602.98270000000002</v>
      </c>
      <c r="D4031" s="2">
        <f>HYPERLINK("http://mcb-m6.bioreg.kyushu-u.ac.jp/M3/20110414/F50946/1364/1", 43.76)</f>
        <v>43.76</v>
      </c>
      <c r="E4031" s="2">
        <v>14.27</v>
      </c>
      <c r="F4031" s="2">
        <v>2</v>
      </c>
      <c r="G4031" s="2" t="s">
        <v>12</v>
      </c>
    </row>
    <row r="4032" spans="1:7" x14ac:dyDescent="0.2">
      <c r="A4032" s="2" t="s">
        <v>3343</v>
      </c>
      <c r="B4032" s="2" t="s">
        <v>443</v>
      </c>
      <c r="C4032" s="2">
        <v>509.84359999999998</v>
      </c>
      <c r="D4032" s="2">
        <f>HYPERLINK("http://mcb-m6.bioreg.kyushu-u.ac.jp/M3/20110414/F50947/845/1", 44.04)</f>
        <v>44.04</v>
      </c>
      <c r="E4032" s="2">
        <v>23.13</v>
      </c>
      <c r="F4032" s="2">
        <v>2</v>
      </c>
      <c r="G4032" s="2" t="s">
        <v>12</v>
      </c>
    </row>
    <row r="4033" spans="1:8" x14ac:dyDescent="0.2">
      <c r="A4033" s="2" t="s">
        <v>3343</v>
      </c>
      <c r="B4033" s="2" t="s">
        <v>2359</v>
      </c>
      <c r="C4033" s="2">
        <v>1356.66</v>
      </c>
      <c r="D4033" s="2">
        <f>HYPERLINK("http://mcb-m6.bioreg.kyushu-u.ac.jp/M3/20110414/F50946/1606/1", 44.27)</f>
        <v>44.27</v>
      </c>
      <c r="E4033" s="2">
        <v>27.39</v>
      </c>
      <c r="F4033" s="2">
        <v>1</v>
      </c>
      <c r="G4033" s="2" t="s">
        <v>12</v>
      </c>
    </row>
    <row r="4034" spans="1:8" x14ac:dyDescent="0.2">
      <c r="A4034" s="2" t="s">
        <v>3343</v>
      </c>
      <c r="B4034" s="2" t="s">
        <v>325</v>
      </c>
      <c r="C4034" s="2">
        <v>739.26620000000003</v>
      </c>
      <c r="D4034" s="2">
        <f>HYPERLINK("http://mcb-m6.bioreg.kyushu-u.ac.jp/M3/20110414/F50947/1951/1", 44.73)</f>
        <v>44.73</v>
      </c>
      <c r="E4034" s="2">
        <v>34.78</v>
      </c>
      <c r="F4034" s="2">
        <v>2</v>
      </c>
      <c r="G4034" s="2" t="s">
        <v>12</v>
      </c>
    </row>
    <row r="4035" spans="1:8" x14ac:dyDescent="0.2">
      <c r="A4035" s="2" t="s">
        <v>3343</v>
      </c>
      <c r="B4035" s="2" t="s">
        <v>325</v>
      </c>
      <c r="C4035" s="2">
        <v>739.75459999999998</v>
      </c>
      <c r="D4035" s="2">
        <f>HYPERLINK("http://mcb-m6.bioreg.kyushu-u.ac.jp/M3/20110414/F50959/1868/1", 44.74)</f>
        <v>44.74</v>
      </c>
      <c r="E4035" s="2">
        <v>33.92</v>
      </c>
      <c r="F4035" s="2">
        <v>2</v>
      </c>
      <c r="G4035" s="2" t="s">
        <v>12</v>
      </c>
    </row>
    <row r="4036" spans="1:8" x14ac:dyDescent="0.2">
      <c r="A4036" s="2" t="s">
        <v>3343</v>
      </c>
      <c r="B4036" s="2" t="s">
        <v>328</v>
      </c>
      <c r="C4036" s="2">
        <v>1146.4290000000001</v>
      </c>
      <c r="D4036" s="2">
        <f>HYPERLINK("http://mcb-m6.bioreg.kyushu-u.ac.jp/M3/20110414/F50946/1202/1", 44.98)</f>
        <v>44.98</v>
      </c>
      <c r="E4036" s="2">
        <v>14.62</v>
      </c>
      <c r="F4036" s="2">
        <v>1</v>
      </c>
      <c r="G4036" s="2" t="s">
        <v>12</v>
      </c>
    </row>
    <row r="4037" spans="1:8" x14ac:dyDescent="0.2">
      <c r="A4037" s="2" t="s">
        <v>3343</v>
      </c>
      <c r="B4037" s="2" t="s">
        <v>943</v>
      </c>
      <c r="C4037" s="2">
        <v>506.70060000000001</v>
      </c>
      <c r="D4037" s="2">
        <f>HYPERLINK("http://mcb-m6.bioreg.kyushu-u.ac.jp/M3/20110414/F50963/789/1", 45.11)</f>
        <v>45.11</v>
      </c>
      <c r="E4037" s="2">
        <v>22.55</v>
      </c>
      <c r="F4037" s="2">
        <v>2</v>
      </c>
      <c r="G4037" s="2" t="s">
        <v>12</v>
      </c>
    </row>
    <row r="4038" spans="1:8" x14ac:dyDescent="0.2">
      <c r="A4038" s="2" t="s">
        <v>3343</v>
      </c>
      <c r="B4038" s="2" t="s">
        <v>132</v>
      </c>
      <c r="C4038" s="2">
        <v>1155.606</v>
      </c>
      <c r="D4038" s="2">
        <f>HYPERLINK("http://mcb-m6.bioreg.kyushu-u.ac.jp/M3/20110414/F50946/1236/1", 45.13)</f>
        <v>45.13</v>
      </c>
      <c r="E4038" s="2">
        <v>25.18</v>
      </c>
      <c r="F4038" s="2">
        <v>1</v>
      </c>
      <c r="G4038" s="2" t="s">
        <v>12</v>
      </c>
    </row>
    <row r="4039" spans="1:8" x14ac:dyDescent="0.2">
      <c r="A4039" s="2" t="s">
        <v>3343</v>
      </c>
      <c r="B4039" s="2" t="s">
        <v>509</v>
      </c>
      <c r="C4039" s="2">
        <v>1449.6590000000001</v>
      </c>
      <c r="D4039" s="2">
        <f>HYPERLINK("http://mcb-m6.bioreg.kyushu-u.ac.jp/M3/20110414/F50946/1852/1", 45.2)</f>
        <v>45.2</v>
      </c>
      <c r="E4039" s="2">
        <v>32.76</v>
      </c>
      <c r="F4039" s="2">
        <v>1</v>
      </c>
      <c r="G4039" s="2" t="s">
        <v>12</v>
      </c>
      <c r="H4039" s="2" t="s">
        <v>4927</v>
      </c>
    </row>
    <row r="4040" spans="1:8" x14ac:dyDescent="0.2">
      <c r="A4040" s="2" t="s">
        <v>3343</v>
      </c>
      <c r="B4040" s="2" t="s">
        <v>132</v>
      </c>
      <c r="C4040" s="2">
        <v>1155.5809999999999</v>
      </c>
      <c r="D4040" s="2">
        <f>HYPERLINK("http://mcb-m6.bioreg.kyushu-u.ac.jp/M3/20110414/F50946/1232/1", 45.23)</f>
        <v>45.23</v>
      </c>
      <c r="E4040" s="2">
        <v>21.49</v>
      </c>
      <c r="F4040" s="2">
        <v>1</v>
      </c>
      <c r="G4040" s="2" t="s">
        <v>12</v>
      </c>
    </row>
    <row r="4041" spans="1:8" x14ac:dyDescent="0.2">
      <c r="A4041" s="2" t="s">
        <v>3343</v>
      </c>
      <c r="B4041" s="2" t="s">
        <v>2555</v>
      </c>
      <c r="C4041" s="2">
        <v>657.84810000000004</v>
      </c>
      <c r="D4041" s="2">
        <f>HYPERLINK("http://mcb-m6.bioreg.kyushu-u.ac.jp/M3/20110414/F50946/1521/1", 45.27)</f>
        <v>45.27</v>
      </c>
      <c r="E4041" s="2">
        <v>22.32</v>
      </c>
      <c r="F4041" s="2">
        <v>2</v>
      </c>
      <c r="G4041" s="2" t="s">
        <v>12</v>
      </c>
    </row>
    <row r="4042" spans="1:8" x14ac:dyDescent="0.2">
      <c r="A4042" s="2" t="s">
        <v>3343</v>
      </c>
      <c r="B4042" s="2" t="s">
        <v>325</v>
      </c>
      <c r="C4042" s="2">
        <v>747.07370000000003</v>
      </c>
      <c r="D4042" s="2">
        <f>HYPERLINK("http://mcb-m6.bioreg.kyushu-u.ac.jp/M3/20110414/F50946/2005/1", 45.39)</f>
        <v>45.39</v>
      </c>
      <c r="E4042" s="2">
        <v>35.700000000000003</v>
      </c>
      <c r="F4042" s="2">
        <v>2</v>
      </c>
      <c r="G4042" s="2" t="s">
        <v>12</v>
      </c>
      <c r="H4042" s="2" t="s">
        <v>4925</v>
      </c>
    </row>
    <row r="4043" spans="1:8" x14ac:dyDescent="0.2">
      <c r="A4043" s="2" t="s">
        <v>3343</v>
      </c>
      <c r="B4043" s="2" t="s">
        <v>704</v>
      </c>
      <c r="C4043" s="2">
        <v>610.75819999999999</v>
      </c>
      <c r="D4043" s="2">
        <f>HYPERLINK("http://mcb-m6.bioreg.kyushu-u.ac.jp/M3/20110414/F50946/1396/1", 45.51)</f>
        <v>45.51</v>
      </c>
      <c r="E4043" s="2">
        <v>19.98</v>
      </c>
      <c r="F4043" s="2">
        <v>2</v>
      </c>
      <c r="G4043" s="2" t="s">
        <v>12</v>
      </c>
      <c r="H4043" s="2" t="s">
        <v>4908</v>
      </c>
    </row>
    <row r="4044" spans="1:8" x14ac:dyDescent="0.2">
      <c r="A4044" s="2" t="s">
        <v>3343</v>
      </c>
      <c r="B4044" s="2" t="s">
        <v>325</v>
      </c>
      <c r="C4044" s="2">
        <v>747.29269999999997</v>
      </c>
      <c r="D4044" s="2">
        <f>HYPERLINK("http://mcb-m6.bioreg.kyushu-u.ac.jp/M3/20110414/F50933/2458/1", 45.7)</f>
        <v>45.7</v>
      </c>
      <c r="E4044" s="2">
        <v>35.56</v>
      </c>
      <c r="F4044" s="2">
        <v>2</v>
      </c>
      <c r="G4044" s="2" t="s">
        <v>12</v>
      </c>
      <c r="H4044" s="2" t="s">
        <v>4925</v>
      </c>
    </row>
    <row r="4045" spans="1:8" x14ac:dyDescent="0.2">
      <c r="A4045" s="2" t="s">
        <v>3343</v>
      </c>
      <c r="B4045" s="2" t="s">
        <v>509</v>
      </c>
      <c r="C4045" s="2">
        <v>725.84370000000001</v>
      </c>
      <c r="D4045" s="2">
        <f>HYPERLINK("http://mcb-m6.bioreg.kyushu-u.ac.jp/M3/20110414/F50966/1801/1", 45.77)</f>
        <v>45.77</v>
      </c>
      <c r="E4045" s="2">
        <v>31.63</v>
      </c>
      <c r="F4045" s="2">
        <v>2</v>
      </c>
      <c r="G4045" s="2" t="s">
        <v>12</v>
      </c>
      <c r="H4045" s="2" t="s">
        <v>4927</v>
      </c>
    </row>
    <row r="4046" spans="1:8" x14ac:dyDescent="0.2">
      <c r="A4046" s="2" t="s">
        <v>3343</v>
      </c>
      <c r="B4046" s="2" t="s">
        <v>704</v>
      </c>
      <c r="C4046" s="2">
        <v>611.28420000000006</v>
      </c>
      <c r="D4046" s="2">
        <f>HYPERLINK("http://mcb-m6.bioreg.kyushu-u.ac.jp/M3/20110414/F50947/1231/1", 45.87)</f>
        <v>45.87</v>
      </c>
      <c r="E4046" s="2">
        <v>14.4</v>
      </c>
      <c r="F4046" s="2">
        <v>2</v>
      </c>
      <c r="G4046" s="2" t="s">
        <v>12</v>
      </c>
      <c r="H4046" s="2" t="s">
        <v>4908</v>
      </c>
    </row>
    <row r="4047" spans="1:8" x14ac:dyDescent="0.2">
      <c r="A4047" s="2" t="s">
        <v>3343</v>
      </c>
      <c r="B4047" s="2" t="s">
        <v>1189</v>
      </c>
      <c r="C4047" s="2">
        <v>1069.7670000000001</v>
      </c>
      <c r="D4047" s="2">
        <f>HYPERLINK("http://mcb-m6.bioreg.kyushu-u.ac.jp/M3/20110414/F50963/3283/1", 45.87)</f>
        <v>45.87</v>
      </c>
      <c r="E4047" s="2">
        <v>34.17</v>
      </c>
      <c r="F4047" s="2">
        <v>2</v>
      </c>
      <c r="G4047" s="2" t="s">
        <v>12</v>
      </c>
    </row>
    <row r="4048" spans="1:8" x14ac:dyDescent="0.2">
      <c r="A4048" s="2" t="s">
        <v>3343</v>
      </c>
      <c r="B4048" s="2" t="s">
        <v>509</v>
      </c>
      <c r="C4048" s="2">
        <v>717.60059999999999</v>
      </c>
      <c r="D4048" s="2">
        <f>HYPERLINK("http://mcb-m6.bioreg.kyushu-u.ac.jp/M3/20110414/F50946/1811/1", 45.94)</f>
        <v>45.94</v>
      </c>
      <c r="E4048" s="2">
        <v>34.53</v>
      </c>
      <c r="F4048" s="2">
        <v>2</v>
      </c>
      <c r="G4048" s="2" t="s">
        <v>12</v>
      </c>
    </row>
    <row r="4049" spans="1:8" x14ac:dyDescent="0.2">
      <c r="A4049" s="2" t="s">
        <v>3343</v>
      </c>
      <c r="B4049" s="2" t="s">
        <v>558</v>
      </c>
      <c r="C4049" s="2">
        <v>729.37660000000005</v>
      </c>
      <c r="D4049" s="2">
        <f>HYPERLINK("http://mcb-m6.bioreg.kyushu-u.ac.jp/M3/20110414/F50946/1871/1", 45.95)</f>
        <v>45.95</v>
      </c>
      <c r="E4049" s="2">
        <v>35.4</v>
      </c>
      <c r="F4049" s="2">
        <v>2</v>
      </c>
      <c r="G4049" s="2" t="s">
        <v>12</v>
      </c>
    </row>
    <row r="4050" spans="1:8" x14ac:dyDescent="0.2">
      <c r="A4050" s="2" t="s">
        <v>3343</v>
      </c>
      <c r="B4050" s="2" t="s">
        <v>2359</v>
      </c>
      <c r="C4050" s="2">
        <v>678.83119999999997</v>
      </c>
      <c r="D4050" s="2">
        <f>HYPERLINK("http://mcb-m6.bioreg.kyushu-u.ac.jp/M3/20110414/F50946/1604/1", 46.18)</f>
        <v>46.18</v>
      </c>
      <c r="E4050" s="2">
        <v>25.98</v>
      </c>
      <c r="F4050" s="2">
        <v>2</v>
      </c>
      <c r="G4050" s="2" t="s">
        <v>12</v>
      </c>
    </row>
    <row r="4051" spans="1:8" x14ac:dyDescent="0.2">
      <c r="A4051" s="2" t="s">
        <v>3343</v>
      </c>
      <c r="B4051" s="2" t="s">
        <v>1032</v>
      </c>
      <c r="C4051" s="2">
        <v>1163.3399999999999</v>
      </c>
      <c r="D4051" s="2">
        <f>HYPERLINK("http://mcb-m6.bioreg.kyushu-u.ac.jp/M3/20110414/F50963/3540/1", 46.38)</f>
        <v>46.38</v>
      </c>
      <c r="E4051" s="2">
        <v>41.28</v>
      </c>
      <c r="F4051" s="2">
        <v>2</v>
      </c>
      <c r="G4051" s="2" t="s">
        <v>12</v>
      </c>
    </row>
    <row r="4052" spans="1:8" x14ac:dyDescent="0.2">
      <c r="A4052" s="2" t="s">
        <v>3343</v>
      </c>
      <c r="B4052" s="2" t="s">
        <v>509</v>
      </c>
      <c r="C4052" s="2">
        <v>1433.6120000000001</v>
      </c>
      <c r="D4052" s="2">
        <f>HYPERLINK("http://mcb-m6.bioreg.kyushu-u.ac.jp/M3/20110414/F50946/1804/1", 46.39)</f>
        <v>46.39</v>
      </c>
      <c r="E4052" s="2">
        <v>37.630000000000003</v>
      </c>
      <c r="F4052" s="2">
        <v>1</v>
      </c>
      <c r="G4052" s="2" t="s">
        <v>12</v>
      </c>
      <c r="H4052" s="2" t="s">
        <v>4931</v>
      </c>
    </row>
    <row r="4053" spans="1:8" x14ac:dyDescent="0.2">
      <c r="A4053" s="2" t="s">
        <v>3343</v>
      </c>
      <c r="B4053" s="2" t="s">
        <v>443</v>
      </c>
      <c r="C4053" s="2">
        <v>509.28059999999999</v>
      </c>
      <c r="D4053" s="2">
        <f>HYPERLINK("http://mcb-m6.bioreg.kyushu-u.ac.jp/M3/20110414/F50946/1037/1", 46.43)</f>
        <v>46.43</v>
      </c>
      <c r="E4053" s="2">
        <v>16.8</v>
      </c>
      <c r="F4053" s="2">
        <v>2</v>
      </c>
      <c r="G4053" s="2" t="s">
        <v>12</v>
      </c>
    </row>
    <row r="4054" spans="1:8" x14ac:dyDescent="0.2">
      <c r="A4054" s="2" t="s">
        <v>3343</v>
      </c>
      <c r="B4054" s="2" t="s">
        <v>558</v>
      </c>
      <c r="C4054" s="2">
        <v>729.37919999999997</v>
      </c>
      <c r="D4054" s="2">
        <f>HYPERLINK("http://mcb-m6.bioreg.kyushu-u.ac.jp/M3/20110414/F50946/1872/1", 46.75)</f>
        <v>46.75</v>
      </c>
      <c r="E4054" s="2">
        <v>33.79</v>
      </c>
      <c r="F4054" s="2">
        <v>2</v>
      </c>
      <c r="G4054" s="2" t="s">
        <v>12</v>
      </c>
    </row>
    <row r="4055" spans="1:8" x14ac:dyDescent="0.2">
      <c r="A4055" s="2" t="s">
        <v>3343</v>
      </c>
      <c r="B4055" s="2" t="s">
        <v>2359</v>
      </c>
      <c r="C4055" s="2">
        <v>678.80769999999995</v>
      </c>
      <c r="D4055" s="2">
        <f>HYPERLINK("http://mcb-m6.bioreg.kyushu-u.ac.jp/M3/20110414/F50946/1601/1", 46.8)</f>
        <v>46.8</v>
      </c>
      <c r="E4055" s="2">
        <v>23.6</v>
      </c>
      <c r="F4055" s="2">
        <v>2</v>
      </c>
      <c r="G4055" s="2" t="s">
        <v>12</v>
      </c>
    </row>
    <row r="4056" spans="1:8" x14ac:dyDescent="0.2">
      <c r="A4056" s="2" t="s">
        <v>3343</v>
      </c>
      <c r="B4056" s="2" t="s">
        <v>325</v>
      </c>
      <c r="C4056" s="2">
        <v>747.11770000000001</v>
      </c>
      <c r="D4056" s="2">
        <f>HYPERLINK("http://mcb-m6.bioreg.kyushu-u.ac.jp/M3/20110414/F50966/1902/1", 47.15)</f>
        <v>47.15</v>
      </c>
      <c r="E4056" s="2">
        <v>30.26</v>
      </c>
      <c r="F4056" s="2">
        <v>2</v>
      </c>
      <c r="G4056" s="2" t="s">
        <v>12</v>
      </c>
      <c r="H4056" s="2" t="s">
        <v>4925</v>
      </c>
    </row>
    <row r="4057" spans="1:8" x14ac:dyDescent="0.2">
      <c r="A4057" s="2" t="s">
        <v>3343</v>
      </c>
      <c r="B4057" s="2" t="s">
        <v>1002</v>
      </c>
      <c r="C4057" s="2">
        <v>1148.049</v>
      </c>
      <c r="D4057" s="2">
        <f>HYPERLINK("http://mcb-m6.bioreg.kyushu-u.ac.jp/M3/20110414/F50947/4025/1", 47.72)</f>
        <v>47.72</v>
      </c>
      <c r="E4057" s="2">
        <v>41.16</v>
      </c>
      <c r="F4057" s="2">
        <v>2</v>
      </c>
      <c r="G4057" s="2" t="s">
        <v>12</v>
      </c>
    </row>
    <row r="4058" spans="1:8" x14ac:dyDescent="0.2">
      <c r="A4058" s="2" t="s">
        <v>3343</v>
      </c>
      <c r="B4058" s="2" t="s">
        <v>509</v>
      </c>
      <c r="C4058" s="2">
        <v>717.63919999999996</v>
      </c>
      <c r="D4058" s="2">
        <f>HYPERLINK("http://mcb-m6.bioreg.kyushu-u.ac.jp/M3/20110414/F50949/2097/1", 47.73)</f>
        <v>47.73</v>
      </c>
      <c r="E4058" s="2">
        <v>30.97</v>
      </c>
      <c r="F4058" s="2">
        <v>2</v>
      </c>
      <c r="G4058" s="2" t="s">
        <v>12</v>
      </c>
    </row>
    <row r="4059" spans="1:8" x14ac:dyDescent="0.2">
      <c r="A4059" s="2" t="s">
        <v>3343</v>
      </c>
      <c r="B4059" s="2" t="s">
        <v>704</v>
      </c>
      <c r="C4059" s="2">
        <v>610.83619999999996</v>
      </c>
      <c r="D4059" s="2">
        <f>HYPERLINK("http://mcb-m6.bioreg.kyushu-u.ac.jp/M3/20110414/F50932/1912/1", 48)</f>
        <v>48</v>
      </c>
      <c r="E4059" s="2">
        <v>19.170000000000002</v>
      </c>
      <c r="F4059" s="2">
        <v>2</v>
      </c>
      <c r="G4059" s="2" t="s">
        <v>12</v>
      </c>
      <c r="H4059" s="2" t="s">
        <v>4908</v>
      </c>
    </row>
    <row r="4060" spans="1:8" x14ac:dyDescent="0.2">
      <c r="A4060" s="2" t="s">
        <v>3343</v>
      </c>
      <c r="B4060" s="2" t="s">
        <v>1032</v>
      </c>
      <c r="C4060" s="2">
        <v>770.52650000000006</v>
      </c>
      <c r="D4060" s="2">
        <f>HYPERLINK("http://mcb-m6.bioreg.kyushu-u.ac.jp/M3/20110414/F50963/3520/1", 48.37)</f>
        <v>48.37</v>
      </c>
      <c r="E4060" s="2">
        <v>36.24</v>
      </c>
      <c r="F4060" s="2">
        <v>3</v>
      </c>
      <c r="G4060" s="2" t="s">
        <v>12</v>
      </c>
      <c r="H4060" s="2" t="s">
        <v>4904</v>
      </c>
    </row>
    <row r="4061" spans="1:8" x14ac:dyDescent="0.2">
      <c r="A4061" s="2" t="s">
        <v>3343</v>
      </c>
      <c r="B4061" s="2" t="s">
        <v>132</v>
      </c>
      <c r="C4061" s="2">
        <v>1155.617</v>
      </c>
      <c r="D4061" s="2">
        <f>HYPERLINK("http://mcb-m6.bioreg.kyushu-u.ac.jp/M3/20110414/F50933/1722/1", 48.46)</f>
        <v>48.46</v>
      </c>
      <c r="E4061" s="2">
        <v>27.43</v>
      </c>
      <c r="F4061" s="2">
        <v>1</v>
      </c>
      <c r="G4061" s="2" t="s">
        <v>12</v>
      </c>
    </row>
    <row r="4062" spans="1:8" x14ac:dyDescent="0.2">
      <c r="A4062" s="2" t="s">
        <v>3343</v>
      </c>
      <c r="B4062" s="2" t="s">
        <v>132</v>
      </c>
      <c r="C4062" s="2">
        <v>578.78610000000003</v>
      </c>
      <c r="D4062" s="2">
        <f>HYPERLINK("http://mcb-m6.bioreg.kyushu-u.ac.jp/M3/20110414/F50946/1245/1", 48.54)</f>
        <v>48.54</v>
      </c>
      <c r="E4062" s="2">
        <v>25.5</v>
      </c>
      <c r="F4062" s="2">
        <v>2</v>
      </c>
      <c r="G4062" s="2" t="s">
        <v>12</v>
      </c>
    </row>
    <row r="4063" spans="1:8" x14ac:dyDescent="0.2">
      <c r="A4063" s="2" t="s">
        <v>3343</v>
      </c>
      <c r="B4063" s="2" t="s">
        <v>704</v>
      </c>
      <c r="C4063" s="2">
        <v>611.39319999999998</v>
      </c>
      <c r="D4063" s="2">
        <f>HYPERLINK("http://mcb-m6.bioreg.kyushu-u.ac.jp/M3/20110414/F50932/1915/1", 48.55)</f>
        <v>48.55</v>
      </c>
      <c r="E4063" s="2">
        <v>23.55</v>
      </c>
      <c r="F4063" s="2">
        <v>2</v>
      </c>
      <c r="G4063" s="2" t="s">
        <v>12</v>
      </c>
      <c r="H4063" s="2" t="s">
        <v>4908</v>
      </c>
    </row>
    <row r="4064" spans="1:8" x14ac:dyDescent="0.2">
      <c r="A4064" s="2" t="s">
        <v>3343</v>
      </c>
      <c r="B4064" s="2" t="s">
        <v>325</v>
      </c>
      <c r="C4064" s="2">
        <v>739.82870000000003</v>
      </c>
      <c r="D4064" s="2">
        <f>HYPERLINK("http://mcb-m6.bioreg.kyushu-u.ac.jp/M3/20110414/F50947/1955/1", 48.73)</f>
        <v>48.73</v>
      </c>
      <c r="E4064" s="2">
        <v>41.86</v>
      </c>
      <c r="F4064" s="2">
        <v>2</v>
      </c>
      <c r="G4064" s="2" t="s">
        <v>12</v>
      </c>
    </row>
    <row r="4065" spans="1:8" x14ac:dyDescent="0.2">
      <c r="A4065" s="2" t="s">
        <v>3343</v>
      </c>
      <c r="B4065" s="2" t="s">
        <v>509</v>
      </c>
      <c r="C4065" s="2">
        <v>1432.4870000000001</v>
      </c>
      <c r="D4065" s="2">
        <f>HYPERLINK("http://mcb-m6.bioreg.kyushu-u.ac.jp/M3/20110414/F50946/1797/1", 48.78)</f>
        <v>48.78</v>
      </c>
      <c r="E4065" s="2">
        <v>35.479999999999997</v>
      </c>
      <c r="F4065" s="2">
        <v>1</v>
      </c>
      <c r="G4065" s="2" t="s">
        <v>12</v>
      </c>
      <c r="H4065" s="2" t="s">
        <v>4931</v>
      </c>
    </row>
    <row r="4066" spans="1:8" x14ac:dyDescent="0.2">
      <c r="A4066" s="2" t="s">
        <v>3343</v>
      </c>
      <c r="B4066" s="2" t="s">
        <v>1211</v>
      </c>
      <c r="C4066" s="2">
        <v>774.65449999999998</v>
      </c>
      <c r="D4066" s="2">
        <f>HYPERLINK("http://mcb-m6.bioreg.kyushu-u.ac.jp/M3/20110414/F50947/4104/1", 48.85)</f>
        <v>48.85</v>
      </c>
      <c r="E4066" s="2">
        <v>27.26</v>
      </c>
      <c r="F4066" s="2">
        <v>3</v>
      </c>
      <c r="G4066" s="2" t="s">
        <v>12</v>
      </c>
      <c r="H4066" s="2" t="s">
        <v>4891</v>
      </c>
    </row>
    <row r="4067" spans="1:8" x14ac:dyDescent="0.2">
      <c r="A4067" s="2" t="s">
        <v>3343</v>
      </c>
      <c r="B4067" s="2" t="s">
        <v>428</v>
      </c>
      <c r="C4067" s="2">
        <v>451.79160000000002</v>
      </c>
      <c r="D4067" s="2">
        <f>HYPERLINK("http://mcb-m6.bioreg.kyushu-u.ac.jp/M3/20110414/F50947/596/1", 48.96)</f>
        <v>48.96</v>
      </c>
      <c r="E4067" s="2">
        <v>9.02</v>
      </c>
      <c r="F4067" s="2">
        <v>2</v>
      </c>
      <c r="G4067" s="2" t="s">
        <v>12</v>
      </c>
    </row>
    <row r="4068" spans="1:8" x14ac:dyDescent="0.2">
      <c r="A4068" s="2" t="s">
        <v>3343</v>
      </c>
      <c r="B4068" s="2" t="s">
        <v>132</v>
      </c>
      <c r="C4068" s="2">
        <v>578.73320000000001</v>
      </c>
      <c r="D4068" s="2">
        <f>HYPERLINK("http://mcb-m6.bioreg.kyushu-u.ac.jp/M3/20110414/F50963/1025/1", 49.26)</f>
        <v>49.26</v>
      </c>
      <c r="E4068" s="2">
        <v>19.82</v>
      </c>
      <c r="F4068" s="2">
        <v>2</v>
      </c>
      <c r="G4068" s="2" t="s">
        <v>12</v>
      </c>
    </row>
    <row r="4069" spans="1:8" x14ac:dyDescent="0.2">
      <c r="A4069" s="2" t="s">
        <v>3343</v>
      </c>
      <c r="B4069" s="2" t="s">
        <v>546</v>
      </c>
      <c r="C4069" s="2">
        <v>664.89419999999996</v>
      </c>
      <c r="D4069" s="2">
        <f>HYPERLINK("http://mcb-m6.bioreg.kyushu-u.ac.jp/M3/20110414/F50963/1407/2", 49.37)</f>
        <v>49.37</v>
      </c>
      <c r="E4069" s="2">
        <v>34.51</v>
      </c>
      <c r="F4069" s="2">
        <v>2</v>
      </c>
      <c r="G4069" s="2" t="s">
        <v>12</v>
      </c>
    </row>
    <row r="4070" spans="1:8" x14ac:dyDescent="0.2">
      <c r="A4070" s="2" t="s">
        <v>3343</v>
      </c>
      <c r="B4070" s="2" t="s">
        <v>704</v>
      </c>
      <c r="C4070" s="2">
        <v>602.8066</v>
      </c>
      <c r="D4070" s="2">
        <f>HYPERLINK("http://mcb-m6.bioreg.kyushu-u.ac.jp/M3/20110414/F50932/1898/1", 50.57)</f>
        <v>50.57</v>
      </c>
      <c r="E4070" s="2">
        <v>19.11</v>
      </c>
      <c r="F4070" s="2">
        <v>2</v>
      </c>
      <c r="G4070" s="2" t="s">
        <v>12</v>
      </c>
    </row>
    <row r="4071" spans="1:8" x14ac:dyDescent="0.2">
      <c r="A4071" s="2" t="s">
        <v>3343</v>
      </c>
      <c r="B4071" s="2" t="s">
        <v>132</v>
      </c>
      <c r="C4071" s="2">
        <v>578.77869999999996</v>
      </c>
      <c r="D4071" s="2">
        <f>HYPERLINK("http://mcb-m6.bioreg.kyushu-u.ac.jp/M3/20110414/F50946/1243/1", 50.68)</f>
        <v>50.68</v>
      </c>
      <c r="E4071" s="2">
        <v>22.86</v>
      </c>
      <c r="F4071" s="2">
        <v>2</v>
      </c>
      <c r="G4071" s="2" t="s">
        <v>12</v>
      </c>
    </row>
    <row r="4072" spans="1:8" x14ac:dyDescent="0.2">
      <c r="A4072" s="2" t="s">
        <v>3343</v>
      </c>
      <c r="B4072" s="2" t="s">
        <v>428</v>
      </c>
      <c r="C4072" s="2">
        <v>451.79610000000002</v>
      </c>
      <c r="D4072" s="2">
        <f>HYPERLINK("http://mcb-m6.bioreg.kyushu-u.ac.jp/M3/20110414/F50946/810/1", 50.81)</f>
        <v>50.81</v>
      </c>
      <c r="E4072" s="2">
        <v>26.95</v>
      </c>
      <c r="F4072" s="2">
        <v>2</v>
      </c>
      <c r="G4072" s="2" t="s">
        <v>12</v>
      </c>
    </row>
    <row r="4073" spans="1:8" x14ac:dyDescent="0.2">
      <c r="A4073" s="2" t="s">
        <v>3343</v>
      </c>
      <c r="B4073" s="2" t="s">
        <v>428</v>
      </c>
      <c r="C4073" s="2">
        <v>451.79759999999999</v>
      </c>
      <c r="D4073" s="2">
        <f>HYPERLINK("http://mcb-m6.bioreg.kyushu-u.ac.jp/M3/20110414/F50946/811/1", 50.89)</f>
        <v>50.89</v>
      </c>
      <c r="E4073" s="2">
        <v>24.08</v>
      </c>
      <c r="F4073" s="2">
        <v>2</v>
      </c>
      <c r="G4073" s="2" t="s">
        <v>12</v>
      </c>
    </row>
    <row r="4074" spans="1:8" x14ac:dyDescent="0.2">
      <c r="A4074" s="2" t="s">
        <v>3343</v>
      </c>
      <c r="B4074" s="2" t="s">
        <v>428</v>
      </c>
      <c r="C4074" s="2">
        <v>451.82459999999998</v>
      </c>
      <c r="D4074" s="2">
        <f>HYPERLINK("http://mcb-m6.bioreg.kyushu-u.ac.jp/M3/20110414/F50947/599/1", 50.89)</f>
        <v>50.89</v>
      </c>
      <c r="E4074" s="2">
        <v>24.51</v>
      </c>
      <c r="F4074" s="2">
        <v>2</v>
      </c>
      <c r="G4074" s="2" t="s">
        <v>12</v>
      </c>
    </row>
    <row r="4075" spans="1:8" x14ac:dyDescent="0.2">
      <c r="A4075" s="2" t="s">
        <v>3343</v>
      </c>
      <c r="B4075" s="2" t="s">
        <v>943</v>
      </c>
      <c r="C4075" s="2">
        <v>506.75810000000001</v>
      </c>
      <c r="D4075" s="2">
        <f>HYPERLINK("http://mcb-m6.bioreg.kyushu-u.ac.jp/M3/20110414/F50946/1020/1", 51.52)</f>
        <v>51.52</v>
      </c>
      <c r="E4075" s="2">
        <v>33.43</v>
      </c>
      <c r="F4075" s="2">
        <v>2</v>
      </c>
      <c r="G4075" s="2" t="s">
        <v>12</v>
      </c>
    </row>
    <row r="4076" spans="1:8" x14ac:dyDescent="0.2">
      <c r="A4076" s="2" t="s">
        <v>3343</v>
      </c>
      <c r="B4076" s="2" t="s">
        <v>325</v>
      </c>
      <c r="C4076" s="2">
        <v>498.46120000000002</v>
      </c>
      <c r="D4076" s="2">
        <f>HYPERLINK("http://mcb-m6.bioreg.kyushu-u.ac.jp/M3/20110414/F50946/2006/1", 51.64)</f>
        <v>51.64</v>
      </c>
      <c r="E4076" s="2">
        <v>35.5</v>
      </c>
      <c r="F4076" s="2">
        <v>3</v>
      </c>
      <c r="G4076" s="2" t="s">
        <v>12</v>
      </c>
      <c r="H4076" s="2" t="s">
        <v>4925</v>
      </c>
    </row>
    <row r="4077" spans="1:8" x14ac:dyDescent="0.2">
      <c r="A4077" s="2" t="s">
        <v>3343</v>
      </c>
      <c r="B4077" s="2" t="s">
        <v>558</v>
      </c>
      <c r="C4077" s="2">
        <v>729.49220000000003</v>
      </c>
      <c r="D4077" s="2">
        <f>HYPERLINK("http://mcb-m6.bioreg.kyushu-u.ac.jp/M3/20110414/F50947/1876/1", 52.14)</f>
        <v>52.14</v>
      </c>
      <c r="E4077" s="2">
        <v>37.69</v>
      </c>
      <c r="F4077" s="2">
        <v>2</v>
      </c>
      <c r="G4077" s="2" t="s">
        <v>12</v>
      </c>
    </row>
    <row r="4078" spans="1:8" x14ac:dyDescent="0.2">
      <c r="A4078" s="2" t="s">
        <v>3343</v>
      </c>
      <c r="B4078" s="2" t="s">
        <v>1496</v>
      </c>
      <c r="C4078" s="2">
        <v>967.47720000000004</v>
      </c>
      <c r="D4078" s="2">
        <f>HYPERLINK("http://mcb-m6.bioreg.kyushu-u.ac.jp/M3/20110414/F50946/3085/1", 52.32)</f>
        <v>52.32</v>
      </c>
      <c r="E4078" s="2">
        <v>40.83</v>
      </c>
      <c r="F4078" s="2">
        <v>2</v>
      </c>
      <c r="G4078" s="2" t="s">
        <v>12</v>
      </c>
    </row>
    <row r="4079" spans="1:8" x14ac:dyDescent="0.2">
      <c r="A4079" s="2" t="s">
        <v>3343</v>
      </c>
      <c r="B4079" s="2" t="s">
        <v>704</v>
      </c>
      <c r="C4079" s="2">
        <v>611.32370000000003</v>
      </c>
      <c r="D4079" s="2">
        <f>HYPERLINK("http://mcb-m6.bioreg.kyushu-u.ac.jp/M3/20110414/F50946/1401/1", 52.82)</f>
        <v>52.82</v>
      </c>
      <c r="E4079" s="2">
        <v>24.57</v>
      </c>
      <c r="F4079" s="2">
        <v>2</v>
      </c>
      <c r="G4079" s="2" t="s">
        <v>12</v>
      </c>
      <c r="H4079" s="2" t="s">
        <v>4908</v>
      </c>
    </row>
    <row r="4080" spans="1:8" x14ac:dyDescent="0.2">
      <c r="A4080" s="2" t="s">
        <v>3343</v>
      </c>
      <c r="B4080" s="2" t="s">
        <v>943</v>
      </c>
      <c r="C4080" s="2">
        <v>506.8066</v>
      </c>
      <c r="D4080" s="2">
        <f>HYPERLINK("http://mcb-m6.bioreg.kyushu-u.ac.jp/M3/20110414/F50947/832/1", 53.17)</f>
        <v>53.17</v>
      </c>
      <c r="E4080" s="2">
        <v>32.86</v>
      </c>
      <c r="F4080" s="2">
        <v>2</v>
      </c>
      <c r="G4080" s="2" t="s">
        <v>12</v>
      </c>
    </row>
    <row r="4081" spans="1:8" x14ac:dyDescent="0.2">
      <c r="A4081" s="2" t="s">
        <v>3343</v>
      </c>
      <c r="B4081" s="2" t="s">
        <v>428</v>
      </c>
      <c r="C4081" s="2">
        <v>451.67059999999998</v>
      </c>
      <c r="D4081" s="2">
        <f>HYPERLINK("http://mcb-m6.bioreg.kyushu-u.ac.jp/M3/20110414/F50963/522/1", 53.5)</f>
        <v>53.5</v>
      </c>
      <c r="E4081" s="2">
        <v>26.97</v>
      </c>
      <c r="F4081" s="2">
        <v>2</v>
      </c>
      <c r="G4081" s="2" t="s">
        <v>12</v>
      </c>
    </row>
    <row r="4082" spans="1:8" x14ac:dyDescent="0.2">
      <c r="A4082" s="2" t="s">
        <v>3343</v>
      </c>
      <c r="B4082" s="2" t="s">
        <v>509</v>
      </c>
      <c r="C4082" s="2">
        <v>717.36659999999995</v>
      </c>
      <c r="D4082" s="2">
        <f>HYPERLINK("http://mcb-m6.bioreg.kyushu-u.ac.jp/M3/20110414/F50946/1808/1", 53.54)</f>
        <v>53.54</v>
      </c>
      <c r="E4082" s="2">
        <v>36.57</v>
      </c>
      <c r="F4082" s="2">
        <v>2</v>
      </c>
      <c r="G4082" s="2" t="s">
        <v>12</v>
      </c>
    </row>
    <row r="4083" spans="1:8" x14ac:dyDescent="0.2">
      <c r="A4083" s="2" t="s">
        <v>3343</v>
      </c>
      <c r="B4083" s="2" t="s">
        <v>132</v>
      </c>
      <c r="C4083" s="2">
        <v>578.53920000000005</v>
      </c>
      <c r="D4083" s="2">
        <f>HYPERLINK("http://mcb-m6.bioreg.kyushu-u.ac.jp/M3/20110414/F50946/1240/1", 53.59)</f>
        <v>53.59</v>
      </c>
      <c r="E4083" s="2">
        <v>29.65</v>
      </c>
      <c r="F4083" s="2">
        <v>2</v>
      </c>
      <c r="G4083" s="2" t="s">
        <v>12</v>
      </c>
    </row>
    <row r="4084" spans="1:8" x14ac:dyDescent="0.2">
      <c r="A4084" s="2" t="s">
        <v>3343</v>
      </c>
      <c r="B4084" s="2" t="s">
        <v>558</v>
      </c>
      <c r="C4084" s="2">
        <v>1458.008</v>
      </c>
      <c r="D4084" s="2">
        <f>HYPERLINK("http://mcb-m6.bioreg.kyushu-u.ac.jp/M3/20110414/F50946/1877/1", 53.9)</f>
        <v>53.9</v>
      </c>
      <c r="E4084" s="2">
        <v>38.81</v>
      </c>
      <c r="F4084" s="2">
        <v>1</v>
      </c>
      <c r="G4084" s="2" t="s">
        <v>12</v>
      </c>
    </row>
    <row r="4085" spans="1:8" x14ac:dyDescent="0.2">
      <c r="A4085" s="2" t="s">
        <v>3343</v>
      </c>
      <c r="B4085" s="2" t="s">
        <v>509</v>
      </c>
      <c r="C4085" s="2">
        <v>717.40620000000001</v>
      </c>
      <c r="D4085" s="2">
        <f>HYPERLINK("http://mcb-m6.bioreg.kyushu-u.ac.jp/M3/20110414/F50966/1764/1", 54.5)</f>
        <v>54.5</v>
      </c>
      <c r="E4085" s="2">
        <v>36.17</v>
      </c>
      <c r="F4085" s="2">
        <v>2</v>
      </c>
      <c r="G4085" s="2" t="s">
        <v>12</v>
      </c>
    </row>
    <row r="4086" spans="1:8" x14ac:dyDescent="0.2">
      <c r="A4086" s="2" t="s">
        <v>3343</v>
      </c>
      <c r="B4086" s="2" t="s">
        <v>704</v>
      </c>
      <c r="C4086" s="2">
        <v>610.23170000000005</v>
      </c>
      <c r="D4086" s="2">
        <f>HYPERLINK("http://mcb-m6.bioreg.kyushu-u.ac.jp/M3/20110414/F50946/1395/1", 54.68)</f>
        <v>54.68</v>
      </c>
      <c r="E4086" s="2">
        <v>23.35</v>
      </c>
      <c r="F4086" s="2">
        <v>2</v>
      </c>
      <c r="G4086" s="2" t="s">
        <v>12</v>
      </c>
      <c r="H4086" s="2" t="s">
        <v>4908</v>
      </c>
    </row>
    <row r="4087" spans="1:8" x14ac:dyDescent="0.2">
      <c r="A4087" s="2" t="s">
        <v>3343</v>
      </c>
      <c r="B4087" s="2" t="s">
        <v>546</v>
      </c>
      <c r="C4087" s="2">
        <v>664.74109999999996</v>
      </c>
      <c r="D4087" s="2">
        <f>HYPERLINK("http://mcb-m6.bioreg.kyushu-u.ac.jp/M3/20110414/F50947/1448/2", 55.2)</f>
        <v>55.2</v>
      </c>
      <c r="E4087" s="2">
        <v>43.29</v>
      </c>
      <c r="F4087" s="2">
        <v>2</v>
      </c>
      <c r="G4087" s="2" t="s">
        <v>12</v>
      </c>
    </row>
    <row r="4088" spans="1:8" x14ac:dyDescent="0.2">
      <c r="A4088" s="2" t="s">
        <v>3343</v>
      </c>
      <c r="B4088" s="2" t="s">
        <v>704</v>
      </c>
      <c r="C4088" s="2">
        <v>603.17070000000001</v>
      </c>
      <c r="D4088" s="2">
        <f>HYPERLINK("http://mcb-m6.bioreg.kyushu-u.ac.jp/M3/20110414/F50963/1157/1", 55.21)</f>
        <v>55.21</v>
      </c>
      <c r="E4088" s="2">
        <v>21.76</v>
      </c>
      <c r="F4088" s="2">
        <v>2</v>
      </c>
      <c r="G4088" s="2" t="s">
        <v>12</v>
      </c>
    </row>
    <row r="4089" spans="1:8" x14ac:dyDescent="0.2">
      <c r="A4089" s="2" t="s">
        <v>3343</v>
      </c>
      <c r="B4089" s="2" t="s">
        <v>132</v>
      </c>
      <c r="C4089" s="2">
        <v>578.86410000000001</v>
      </c>
      <c r="D4089" s="2">
        <f>HYPERLINK("http://mcb-m6.bioreg.kyushu-u.ac.jp/M3/20110414/F50933/1724/1", 55.21)</f>
        <v>55.21</v>
      </c>
      <c r="E4089" s="2">
        <v>30.19</v>
      </c>
      <c r="F4089" s="2">
        <v>2</v>
      </c>
      <c r="G4089" s="2" t="s">
        <v>12</v>
      </c>
    </row>
    <row r="4090" spans="1:8" x14ac:dyDescent="0.2">
      <c r="A4090" s="2" t="s">
        <v>3343</v>
      </c>
      <c r="B4090" s="2" t="s">
        <v>546</v>
      </c>
      <c r="C4090" s="2">
        <v>664.4941</v>
      </c>
      <c r="D4090" s="2">
        <f>HYPERLINK("http://mcb-m6.bioreg.kyushu-u.ac.jp/M3/20110414/F50949/1962/2", 55.22)</f>
        <v>55.22</v>
      </c>
      <c r="E4090" s="2">
        <v>34.69</v>
      </c>
      <c r="F4090" s="2">
        <v>2</v>
      </c>
      <c r="G4090" s="2" t="s">
        <v>12</v>
      </c>
    </row>
    <row r="4091" spans="1:8" x14ac:dyDescent="0.2">
      <c r="A4091" s="2" t="s">
        <v>3343</v>
      </c>
      <c r="B4091" s="2" t="s">
        <v>344</v>
      </c>
      <c r="C4091" s="2">
        <v>919.95320000000004</v>
      </c>
      <c r="D4091" s="2">
        <f>HYPERLINK("http://mcb-m6.bioreg.kyushu-u.ac.jp/M3/20110414/F50946/2912/1", 55.28)</f>
        <v>55.28</v>
      </c>
      <c r="E4091" s="2">
        <v>33.99</v>
      </c>
      <c r="F4091" s="2">
        <v>2</v>
      </c>
      <c r="G4091" s="2" t="s">
        <v>12</v>
      </c>
    </row>
    <row r="4092" spans="1:8" x14ac:dyDescent="0.2">
      <c r="A4092" s="2" t="s">
        <v>3343</v>
      </c>
      <c r="B4092" s="2" t="s">
        <v>2359</v>
      </c>
      <c r="C4092" s="2">
        <v>678.89509999999996</v>
      </c>
      <c r="D4092" s="2">
        <f>HYPERLINK("http://mcb-m6.bioreg.kyushu-u.ac.jp/M3/20110414/F50946/1612/1", 55.84)</f>
        <v>55.84</v>
      </c>
      <c r="E4092" s="2">
        <v>35.79</v>
      </c>
      <c r="F4092" s="2">
        <v>2</v>
      </c>
      <c r="G4092" s="2" t="s">
        <v>12</v>
      </c>
    </row>
    <row r="4093" spans="1:8" x14ac:dyDescent="0.2">
      <c r="A4093" s="2" t="s">
        <v>3343</v>
      </c>
      <c r="B4093" s="2" t="s">
        <v>509</v>
      </c>
      <c r="C4093" s="2">
        <v>717.12220000000002</v>
      </c>
      <c r="D4093" s="2">
        <f>HYPERLINK("http://mcb-m6.bioreg.kyushu-u.ac.jp/M3/20110414/F50963/1715/1", 56.44)</f>
        <v>56.44</v>
      </c>
      <c r="E4093" s="2">
        <v>39.840000000000003</v>
      </c>
      <c r="F4093" s="2">
        <v>2</v>
      </c>
      <c r="G4093" s="2" t="s">
        <v>12</v>
      </c>
      <c r="H4093" s="2" t="s">
        <v>4931</v>
      </c>
    </row>
    <row r="4094" spans="1:8" x14ac:dyDescent="0.2">
      <c r="A4094" s="2" t="s">
        <v>3343</v>
      </c>
      <c r="B4094" s="2" t="s">
        <v>325</v>
      </c>
      <c r="C4094" s="2">
        <v>747.75070000000005</v>
      </c>
      <c r="D4094" s="2">
        <f>HYPERLINK("http://mcb-m6.bioreg.kyushu-u.ac.jp/M3/20110414/F50946/2021/1", 56.69)</f>
        <v>56.69</v>
      </c>
      <c r="E4094" s="2">
        <v>43.38</v>
      </c>
      <c r="F4094" s="2">
        <v>2</v>
      </c>
      <c r="G4094" s="2" t="s">
        <v>12</v>
      </c>
      <c r="H4094" s="2" t="s">
        <v>4925</v>
      </c>
    </row>
    <row r="4095" spans="1:8" x14ac:dyDescent="0.2">
      <c r="A4095" s="2" t="s">
        <v>3343</v>
      </c>
      <c r="B4095" s="2" t="s">
        <v>132</v>
      </c>
      <c r="C4095" s="2">
        <v>578.25459999999998</v>
      </c>
      <c r="D4095" s="2">
        <f>HYPERLINK("http://mcb-m6.bioreg.kyushu-u.ac.jp/M3/20110414/F50946/1227/1", 56.95)</f>
        <v>56.95</v>
      </c>
      <c r="E4095" s="2">
        <v>29.55</v>
      </c>
      <c r="F4095" s="2">
        <v>2</v>
      </c>
      <c r="G4095" s="2" t="s">
        <v>12</v>
      </c>
    </row>
    <row r="4096" spans="1:8" x14ac:dyDescent="0.2">
      <c r="A4096" s="2" t="s">
        <v>3343</v>
      </c>
      <c r="B4096" s="2" t="s">
        <v>210</v>
      </c>
      <c r="C4096" s="2">
        <v>555.07119999999998</v>
      </c>
      <c r="D4096" s="2">
        <f>HYPERLINK("http://mcb-m6.bioreg.kyushu-u.ac.jp/M3/20110414/F50946/1149/1", 57.15)</f>
        <v>57.15</v>
      </c>
      <c r="E4096" s="2">
        <v>29.58</v>
      </c>
      <c r="F4096" s="2">
        <v>2</v>
      </c>
      <c r="G4096" s="2" t="s">
        <v>12</v>
      </c>
      <c r="H4096" s="2" t="s">
        <v>4910</v>
      </c>
    </row>
    <row r="4097" spans="1:8" x14ac:dyDescent="0.2">
      <c r="A4097" s="2" t="s">
        <v>3343</v>
      </c>
      <c r="B4097" s="2" t="s">
        <v>132</v>
      </c>
      <c r="C4097" s="2">
        <v>578.46810000000005</v>
      </c>
      <c r="D4097" s="2">
        <f>HYPERLINK("http://mcb-m6.bioreg.kyushu-u.ac.jp/M3/20110414/F50946/1238/1", 57.24)</f>
        <v>57.24</v>
      </c>
      <c r="E4097" s="2">
        <v>32.85</v>
      </c>
      <c r="F4097" s="2">
        <v>2</v>
      </c>
      <c r="G4097" s="2" t="s">
        <v>12</v>
      </c>
    </row>
    <row r="4098" spans="1:8" x14ac:dyDescent="0.2">
      <c r="A4098" s="2" t="s">
        <v>3343</v>
      </c>
      <c r="B4098" s="2" t="s">
        <v>546</v>
      </c>
      <c r="C4098" s="2">
        <v>665.19709999999998</v>
      </c>
      <c r="D4098" s="2">
        <f>HYPERLINK("http://mcb-m6.bioreg.kyushu-u.ac.jp/M3/20110414/F50963/1412/2", 57.57)</f>
        <v>57.57</v>
      </c>
      <c r="E4098" s="2">
        <v>47.54</v>
      </c>
      <c r="F4098" s="2">
        <v>2</v>
      </c>
      <c r="G4098" s="2" t="s">
        <v>12</v>
      </c>
    </row>
    <row r="4099" spans="1:8" x14ac:dyDescent="0.2">
      <c r="A4099" s="2" t="s">
        <v>3343</v>
      </c>
      <c r="B4099" s="2" t="s">
        <v>1002</v>
      </c>
      <c r="C4099" s="2">
        <v>765.66780000000006</v>
      </c>
      <c r="D4099" s="2">
        <f>HYPERLINK("http://mcb-m6.bioreg.kyushu-u.ac.jp/M3/20110414/F50946/3655/1", 57.96)</f>
        <v>57.96</v>
      </c>
      <c r="E4099" s="2">
        <v>44.53</v>
      </c>
      <c r="F4099" s="2">
        <v>3</v>
      </c>
      <c r="G4099" s="2" t="s">
        <v>12</v>
      </c>
    </row>
    <row r="4100" spans="1:8" x14ac:dyDescent="0.2">
      <c r="A4100" s="2" t="s">
        <v>3343</v>
      </c>
      <c r="B4100" s="2" t="s">
        <v>558</v>
      </c>
      <c r="C4100" s="2">
        <v>729.49270000000001</v>
      </c>
      <c r="D4100" s="2">
        <f>HYPERLINK("http://mcb-m6.bioreg.kyushu-u.ac.jp/M3/20110414/F50947/1877/1", 58.02)</f>
        <v>58.02</v>
      </c>
      <c r="E4100" s="2">
        <v>41.58</v>
      </c>
      <c r="F4100" s="2">
        <v>2</v>
      </c>
      <c r="G4100" s="2" t="s">
        <v>12</v>
      </c>
    </row>
    <row r="4101" spans="1:8" x14ac:dyDescent="0.2">
      <c r="A4101" s="2" t="s">
        <v>3343</v>
      </c>
      <c r="B4101" s="2" t="s">
        <v>546</v>
      </c>
      <c r="C4101" s="2">
        <v>665.29669999999999</v>
      </c>
      <c r="D4101" s="2">
        <f>HYPERLINK("http://mcb-m6.bioreg.kyushu-u.ac.jp/M3/20110414/F50946/1550/2", 58.23)</f>
        <v>58.23</v>
      </c>
      <c r="E4101" s="2">
        <v>43.37</v>
      </c>
      <c r="F4101" s="2">
        <v>2</v>
      </c>
      <c r="G4101" s="2" t="s">
        <v>12</v>
      </c>
    </row>
    <row r="4102" spans="1:8" x14ac:dyDescent="0.2">
      <c r="A4102" s="2" t="s">
        <v>3343</v>
      </c>
      <c r="B4102" s="2" t="s">
        <v>132</v>
      </c>
      <c r="C4102" s="2">
        <v>578.4597</v>
      </c>
      <c r="D4102" s="2">
        <f>HYPERLINK("http://mcb-m6.bioreg.kyushu-u.ac.jp/M3/20110414/F50932/1852/1", 58.43)</f>
        <v>58.43</v>
      </c>
      <c r="E4102" s="2">
        <v>34.29</v>
      </c>
      <c r="F4102" s="2">
        <v>2</v>
      </c>
      <c r="G4102" s="2" t="s">
        <v>12</v>
      </c>
    </row>
    <row r="4103" spans="1:8" x14ac:dyDescent="0.2">
      <c r="A4103" s="2" t="s">
        <v>3343</v>
      </c>
      <c r="B4103" s="2" t="s">
        <v>1002</v>
      </c>
      <c r="C4103" s="2">
        <v>765.64120000000003</v>
      </c>
      <c r="D4103" s="2">
        <f>HYPERLINK("http://mcb-m6.bioreg.kyushu-u.ac.jp/M3/20110414/F50946/3649/1", 58.46)</f>
        <v>58.46</v>
      </c>
      <c r="E4103" s="2">
        <v>37.200000000000003</v>
      </c>
      <c r="F4103" s="2">
        <v>3</v>
      </c>
      <c r="G4103" s="2" t="s">
        <v>12</v>
      </c>
    </row>
    <row r="4104" spans="1:8" x14ac:dyDescent="0.2">
      <c r="A4104" s="2" t="s">
        <v>3343</v>
      </c>
      <c r="B4104" s="2" t="s">
        <v>1189</v>
      </c>
      <c r="C4104" s="2">
        <v>1069.778</v>
      </c>
      <c r="D4104" s="2">
        <f>HYPERLINK("http://mcb-m6.bioreg.kyushu-u.ac.jp/M3/20110414/F50933/3499/1", 58.54)</f>
        <v>58.54</v>
      </c>
      <c r="E4104" s="2">
        <v>46.4</v>
      </c>
      <c r="F4104" s="2">
        <v>2</v>
      </c>
      <c r="G4104" s="2" t="s">
        <v>12</v>
      </c>
    </row>
    <row r="4105" spans="1:8" x14ac:dyDescent="0.2">
      <c r="A4105" s="2" t="s">
        <v>3343</v>
      </c>
      <c r="B4105" s="2" t="s">
        <v>325</v>
      </c>
      <c r="C4105" s="2">
        <v>739.77869999999996</v>
      </c>
      <c r="D4105" s="2">
        <f>HYPERLINK("http://mcb-m6.bioreg.kyushu-u.ac.jp/M3/20110414/F50946/1947/1", 58.58)</f>
        <v>58.58</v>
      </c>
      <c r="E4105" s="2">
        <v>49.52</v>
      </c>
      <c r="F4105" s="2">
        <v>2</v>
      </c>
      <c r="G4105" s="2" t="s">
        <v>12</v>
      </c>
    </row>
    <row r="4106" spans="1:8" x14ac:dyDescent="0.2">
      <c r="A4106" s="2" t="s">
        <v>3343</v>
      </c>
      <c r="B4106" s="2" t="s">
        <v>132</v>
      </c>
      <c r="C4106" s="2">
        <v>578.50710000000004</v>
      </c>
      <c r="D4106" s="2">
        <f>HYPERLINK("http://mcb-m6.bioreg.kyushu-u.ac.jp/M3/20110414/F50946/1239/1", 58.77)</f>
        <v>58.77</v>
      </c>
      <c r="E4106" s="2">
        <v>34.29</v>
      </c>
      <c r="F4106" s="2">
        <v>2</v>
      </c>
      <c r="G4106" s="2" t="s">
        <v>12</v>
      </c>
    </row>
    <row r="4107" spans="1:8" x14ac:dyDescent="0.2">
      <c r="A4107" s="2" t="s">
        <v>3343</v>
      </c>
      <c r="B4107" s="2" t="s">
        <v>344</v>
      </c>
      <c r="C4107" s="2">
        <v>919.55319999999995</v>
      </c>
      <c r="D4107" s="2">
        <f>HYPERLINK("http://mcb-m6.bioreg.kyushu-u.ac.jp/M3/20110414/F50947/3025/1", 59.25)</f>
        <v>59.25</v>
      </c>
      <c r="E4107" s="2">
        <v>46.45</v>
      </c>
      <c r="F4107" s="2">
        <v>2</v>
      </c>
      <c r="G4107" s="2" t="s">
        <v>12</v>
      </c>
    </row>
    <row r="4108" spans="1:8" x14ac:dyDescent="0.2">
      <c r="A4108" s="2" t="s">
        <v>3343</v>
      </c>
      <c r="B4108" s="2" t="s">
        <v>704</v>
      </c>
      <c r="C4108" s="2">
        <v>602.82169999999996</v>
      </c>
      <c r="D4108" s="2">
        <f>HYPERLINK("http://mcb-m6.bioreg.kyushu-u.ac.jp/M3/20110414/F50966/1293/1", 59.44)</f>
        <v>59.44</v>
      </c>
      <c r="E4108" s="2">
        <v>11.95</v>
      </c>
      <c r="F4108" s="2">
        <v>2</v>
      </c>
      <c r="G4108" s="2" t="s">
        <v>12</v>
      </c>
    </row>
    <row r="4109" spans="1:8" x14ac:dyDescent="0.2">
      <c r="A4109" s="2" t="s">
        <v>3343</v>
      </c>
      <c r="B4109" s="2" t="s">
        <v>546</v>
      </c>
      <c r="C4109" s="2">
        <v>665.29060000000004</v>
      </c>
      <c r="D4109" s="2">
        <f>HYPERLINK("http://mcb-m6.bioreg.kyushu-u.ac.jp/M3/20110414/F50947/1453/2", 59.56)</f>
        <v>59.56</v>
      </c>
      <c r="E4109" s="2">
        <v>45.94</v>
      </c>
      <c r="F4109" s="2">
        <v>2</v>
      </c>
      <c r="G4109" s="2" t="s">
        <v>12</v>
      </c>
    </row>
    <row r="4110" spans="1:8" x14ac:dyDescent="0.2">
      <c r="A4110" s="2" t="s">
        <v>3343</v>
      </c>
      <c r="B4110" s="2" t="s">
        <v>1002</v>
      </c>
      <c r="C4110" s="2">
        <v>1148.011</v>
      </c>
      <c r="D4110" s="2">
        <f>HYPERLINK("http://mcb-m6.bioreg.kyushu-u.ac.jp/M3/20110414/F50946/3656/1", 59.9)</f>
        <v>59.9</v>
      </c>
      <c r="E4110" s="2">
        <v>54.78</v>
      </c>
      <c r="F4110" s="2">
        <v>2</v>
      </c>
      <c r="G4110" s="2" t="s">
        <v>12</v>
      </c>
    </row>
    <row r="4111" spans="1:8" x14ac:dyDescent="0.2">
      <c r="A4111" s="2" t="s">
        <v>3343</v>
      </c>
      <c r="B4111" s="2" t="s">
        <v>325</v>
      </c>
      <c r="C4111" s="2">
        <v>739.06209999999999</v>
      </c>
      <c r="D4111" s="2">
        <f>HYPERLINK("http://mcb-m6.bioreg.kyushu-u.ac.jp/M3/20110414/F50950/2154/1", 59.95)</f>
        <v>59.95</v>
      </c>
      <c r="E4111" s="2">
        <v>36.46</v>
      </c>
      <c r="F4111" s="2">
        <v>2</v>
      </c>
      <c r="G4111" s="2" t="s">
        <v>12</v>
      </c>
    </row>
    <row r="4112" spans="1:8" x14ac:dyDescent="0.2">
      <c r="A4112" s="2" t="s">
        <v>3343</v>
      </c>
      <c r="B4112" s="2" t="s">
        <v>509</v>
      </c>
      <c r="C4112" s="2">
        <v>1416.567</v>
      </c>
      <c r="D4112" s="2">
        <f>HYPERLINK("http://mcb-m6.bioreg.kyushu-u.ac.jp/M3/20110414/F50946/1762/1", 60.42)</f>
        <v>60.42</v>
      </c>
      <c r="E4112" s="2">
        <v>49.63</v>
      </c>
      <c r="F4112" s="2">
        <v>1</v>
      </c>
      <c r="G4112" s="2" t="s">
        <v>12</v>
      </c>
      <c r="H4112" s="2" t="s">
        <v>4904</v>
      </c>
    </row>
    <row r="4113" spans="1:8" x14ac:dyDescent="0.2">
      <c r="A4113" s="2" t="s">
        <v>3343</v>
      </c>
      <c r="B4113" s="2" t="s">
        <v>1032</v>
      </c>
      <c r="C4113" s="2">
        <v>1164.0630000000001</v>
      </c>
      <c r="D4113" s="2">
        <f>HYPERLINK("http://mcb-m6.bioreg.kyushu-u.ac.jp/M3/20110414/F50947/4116/1", 60.51)</f>
        <v>60.51</v>
      </c>
      <c r="E4113" s="2">
        <v>54.06</v>
      </c>
      <c r="F4113" s="2">
        <v>2</v>
      </c>
      <c r="G4113" s="2" t="s">
        <v>12</v>
      </c>
    </row>
    <row r="4114" spans="1:8" x14ac:dyDescent="0.2">
      <c r="A4114" s="2" t="s">
        <v>3343</v>
      </c>
      <c r="B4114" s="2" t="s">
        <v>325</v>
      </c>
      <c r="C4114" s="2">
        <v>747.7192</v>
      </c>
      <c r="D4114" s="2">
        <f>HYPERLINK("http://mcb-m6.bioreg.kyushu-u.ac.jp/M3/20110414/F50946/2018/1", 61.37)</f>
        <v>61.37</v>
      </c>
      <c r="E4114" s="2">
        <v>49.87</v>
      </c>
      <c r="F4114" s="2">
        <v>2</v>
      </c>
      <c r="G4114" s="2" t="s">
        <v>12</v>
      </c>
      <c r="H4114" s="2" t="s">
        <v>4925</v>
      </c>
    </row>
    <row r="4115" spans="1:8" x14ac:dyDescent="0.2">
      <c r="A4115" s="2" t="s">
        <v>3343</v>
      </c>
      <c r="B4115" s="2" t="s">
        <v>546</v>
      </c>
      <c r="C4115" s="2">
        <v>664.76419999999996</v>
      </c>
      <c r="D4115" s="2">
        <f>HYPERLINK("http://mcb-m6.bioreg.kyushu-u.ac.jp/M3/20110414/F50946/1539/2", 61.44)</f>
        <v>61.44</v>
      </c>
      <c r="E4115" s="2">
        <v>43.32</v>
      </c>
      <c r="F4115" s="2">
        <v>2</v>
      </c>
      <c r="G4115" s="2" t="s">
        <v>12</v>
      </c>
    </row>
    <row r="4116" spans="1:8" x14ac:dyDescent="0.2">
      <c r="A4116" s="2" t="s">
        <v>3343</v>
      </c>
      <c r="B4116" s="2" t="s">
        <v>704</v>
      </c>
      <c r="C4116" s="2">
        <v>602.77260000000001</v>
      </c>
      <c r="D4116" s="2">
        <f>HYPERLINK("http://mcb-m6.bioreg.kyushu-u.ac.jp/M3/20110414/F50946/1360/1", 62.08)</f>
        <v>62.08</v>
      </c>
      <c r="E4116" s="2">
        <v>32.65</v>
      </c>
      <c r="F4116" s="2">
        <v>2</v>
      </c>
      <c r="G4116" s="2" t="s">
        <v>12</v>
      </c>
    </row>
    <row r="4117" spans="1:8" x14ac:dyDescent="0.2">
      <c r="A4117" s="2" t="s">
        <v>3343</v>
      </c>
      <c r="B4117" s="2" t="s">
        <v>943</v>
      </c>
      <c r="C4117" s="2">
        <v>506.7561</v>
      </c>
      <c r="D4117" s="2">
        <f>HYPERLINK("http://mcb-m6.bioreg.kyushu-u.ac.jp/M3/20110414/F50946/1019/1", 62.21)</f>
        <v>62.21</v>
      </c>
      <c r="E4117" s="2">
        <v>39.15</v>
      </c>
      <c r="F4117" s="2">
        <v>2</v>
      </c>
      <c r="G4117" s="2" t="s">
        <v>12</v>
      </c>
    </row>
    <row r="4118" spans="1:8" x14ac:dyDescent="0.2">
      <c r="A4118" s="2" t="s">
        <v>3343</v>
      </c>
      <c r="B4118" s="2" t="s">
        <v>704</v>
      </c>
      <c r="C4118" s="2">
        <v>602.84770000000003</v>
      </c>
      <c r="D4118" s="2">
        <f>HYPERLINK("http://mcb-m6.bioreg.kyushu-u.ac.jp/M3/20110414/F50947/1193/1", 62.31)</f>
        <v>62.31</v>
      </c>
      <c r="E4118" s="2">
        <v>25.02</v>
      </c>
      <c r="F4118" s="2">
        <v>2</v>
      </c>
      <c r="G4118" s="2" t="s">
        <v>12</v>
      </c>
    </row>
    <row r="4119" spans="1:8" x14ac:dyDescent="0.2">
      <c r="A4119" s="2" t="s">
        <v>3343</v>
      </c>
      <c r="B4119" s="2" t="s">
        <v>325</v>
      </c>
      <c r="C4119" s="2">
        <v>747.79470000000003</v>
      </c>
      <c r="D4119" s="2">
        <f>HYPERLINK("http://mcb-m6.bioreg.kyushu-u.ac.jp/M3/20110414/F50946/2022/1", 62.79)</f>
        <v>62.79</v>
      </c>
      <c r="E4119" s="2">
        <v>34.57</v>
      </c>
      <c r="F4119" s="2">
        <v>2</v>
      </c>
      <c r="G4119" s="2" t="s">
        <v>12</v>
      </c>
      <c r="H4119" s="2" t="s">
        <v>4925</v>
      </c>
    </row>
    <row r="4120" spans="1:8" x14ac:dyDescent="0.2">
      <c r="A4120" s="2" t="s">
        <v>3343</v>
      </c>
      <c r="B4120" s="2" t="s">
        <v>1496</v>
      </c>
      <c r="C4120" s="2">
        <v>966.81619999999998</v>
      </c>
      <c r="D4120" s="2">
        <f>HYPERLINK("http://mcb-m6.bioreg.kyushu-u.ac.jp/M3/20110414/F50963/2936/1", 63.14)</f>
        <v>63.14</v>
      </c>
      <c r="E4120" s="2">
        <v>47.06</v>
      </c>
      <c r="F4120" s="2">
        <v>2</v>
      </c>
      <c r="G4120" s="2" t="s">
        <v>12</v>
      </c>
    </row>
    <row r="4121" spans="1:8" x14ac:dyDescent="0.2">
      <c r="A4121" s="2" t="s">
        <v>3343</v>
      </c>
      <c r="B4121" s="2" t="s">
        <v>210</v>
      </c>
      <c r="C4121" s="2">
        <v>546.72059999999999</v>
      </c>
      <c r="D4121" s="2">
        <f>HYPERLINK("http://mcb-m6.bioreg.kyushu-u.ac.jp/M3/20110414/F50946/1129/1", 63.65)</f>
        <v>63.65</v>
      </c>
      <c r="E4121" s="2">
        <v>33.83</v>
      </c>
      <c r="F4121" s="2">
        <v>2</v>
      </c>
      <c r="G4121" s="2" t="s">
        <v>12</v>
      </c>
    </row>
    <row r="4122" spans="1:8" x14ac:dyDescent="0.2">
      <c r="A4122" s="2" t="s">
        <v>3343</v>
      </c>
      <c r="B4122" s="2" t="s">
        <v>132</v>
      </c>
      <c r="C4122" s="2">
        <v>578.30719999999997</v>
      </c>
      <c r="D4122" s="2">
        <f>HYPERLINK("http://mcb-m6.bioreg.kyushu-u.ac.jp/M3/20110414/F50933/1721/1", 63.78)</f>
        <v>63.78</v>
      </c>
      <c r="E4122" s="2">
        <v>36.15</v>
      </c>
      <c r="F4122" s="2">
        <v>2</v>
      </c>
      <c r="G4122" s="2" t="s">
        <v>12</v>
      </c>
    </row>
    <row r="4123" spans="1:8" x14ac:dyDescent="0.2">
      <c r="A4123" s="2" t="s">
        <v>3343</v>
      </c>
      <c r="B4123" s="2" t="s">
        <v>344</v>
      </c>
      <c r="C4123" s="2">
        <v>919.57870000000003</v>
      </c>
      <c r="D4123" s="2">
        <f>HYPERLINK("http://mcb-m6.bioreg.kyushu-u.ac.jp/M3/20110414/F50948/3132/1", 63.8)</f>
        <v>63.8</v>
      </c>
      <c r="E4123" s="2">
        <v>35.85</v>
      </c>
      <c r="F4123" s="2">
        <v>2</v>
      </c>
      <c r="G4123" s="2" t="s">
        <v>12</v>
      </c>
    </row>
    <row r="4124" spans="1:8" x14ac:dyDescent="0.2">
      <c r="A4124" s="2" t="s">
        <v>3343</v>
      </c>
      <c r="B4124" s="2" t="s">
        <v>1032</v>
      </c>
      <c r="C4124" s="2">
        <v>1163.1559999999999</v>
      </c>
      <c r="D4124" s="2">
        <f>HYPERLINK("http://mcb-m6.bioreg.kyushu-u.ac.jp/M3/20110414/F50948/4109/1", 64.86)</f>
        <v>64.86</v>
      </c>
      <c r="E4124" s="2">
        <v>52.64</v>
      </c>
      <c r="F4124" s="2">
        <v>2</v>
      </c>
      <c r="G4124" s="2" t="s">
        <v>12</v>
      </c>
    </row>
    <row r="4125" spans="1:8" x14ac:dyDescent="0.2">
      <c r="A4125" s="2" t="s">
        <v>3343</v>
      </c>
      <c r="B4125" s="2" t="s">
        <v>325</v>
      </c>
      <c r="C4125" s="2">
        <v>739.20010000000002</v>
      </c>
      <c r="D4125" s="2">
        <f>HYPERLINK("http://mcb-m6.bioreg.kyushu-u.ac.jp/M3/20110414/F50958/1964/1", 65.02)</f>
        <v>65.02</v>
      </c>
      <c r="E4125" s="2">
        <v>52.92</v>
      </c>
      <c r="F4125" s="2">
        <v>2</v>
      </c>
      <c r="G4125" s="2" t="s">
        <v>12</v>
      </c>
    </row>
    <row r="4126" spans="1:8" x14ac:dyDescent="0.2">
      <c r="A4126" s="2" t="s">
        <v>3343</v>
      </c>
      <c r="B4126" s="2" t="s">
        <v>210</v>
      </c>
      <c r="C4126" s="2">
        <v>554.92570000000001</v>
      </c>
      <c r="D4126" s="2">
        <f>HYPERLINK("http://mcb-m6.bioreg.kyushu-u.ac.jp/M3/20110414/F50963/942/1", 65.37)</f>
        <v>65.37</v>
      </c>
      <c r="E4126" s="2">
        <v>33.450000000000003</v>
      </c>
      <c r="F4126" s="2">
        <v>2</v>
      </c>
      <c r="G4126" s="2" t="s">
        <v>12</v>
      </c>
      <c r="H4126" s="2" t="s">
        <v>4910</v>
      </c>
    </row>
    <row r="4127" spans="1:8" x14ac:dyDescent="0.2">
      <c r="A4127" s="2" t="s">
        <v>3343</v>
      </c>
      <c r="B4127" s="2" t="s">
        <v>546</v>
      </c>
      <c r="C4127" s="2">
        <v>664.76419999999996</v>
      </c>
      <c r="D4127" s="2">
        <f>HYPERLINK("http://mcb-m6.bioreg.kyushu-u.ac.jp/M3/20110414/F50947/1449/2", 66.17)</f>
        <v>66.17</v>
      </c>
      <c r="E4127" s="2">
        <v>49.72</v>
      </c>
      <c r="F4127" s="2">
        <v>2</v>
      </c>
      <c r="G4127" s="2" t="s">
        <v>12</v>
      </c>
    </row>
    <row r="4128" spans="1:8" x14ac:dyDescent="0.2">
      <c r="A4128" s="2" t="s">
        <v>3343</v>
      </c>
      <c r="B4128" s="2" t="s">
        <v>1032</v>
      </c>
      <c r="C4128" s="2">
        <v>1163.3130000000001</v>
      </c>
      <c r="D4128" s="2">
        <f>HYPERLINK("http://mcb-m6.bioreg.kyushu-u.ac.jp/M3/20110414/F50963/3539/1", 66.36)</f>
        <v>66.36</v>
      </c>
      <c r="E4128" s="2">
        <v>53.49</v>
      </c>
      <c r="F4128" s="2">
        <v>2</v>
      </c>
      <c r="G4128" s="2" t="s">
        <v>12</v>
      </c>
    </row>
    <row r="4129" spans="1:7" x14ac:dyDescent="0.2">
      <c r="A4129" s="2" t="s">
        <v>3343</v>
      </c>
      <c r="B4129" s="2" t="s">
        <v>344</v>
      </c>
      <c r="C4129" s="2">
        <v>919.42409999999995</v>
      </c>
      <c r="D4129" s="2">
        <f>HYPERLINK("http://mcb-m6.bioreg.kyushu-u.ac.jp/M3/20110414/F50947/3023/1", 66.62)</f>
        <v>66.62</v>
      </c>
      <c r="E4129" s="2">
        <v>44.94</v>
      </c>
      <c r="F4129" s="2">
        <v>2</v>
      </c>
      <c r="G4129" s="2" t="s">
        <v>12</v>
      </c>
    </row>
    <row r="4130" spans="1:7" x14ac:dyDescent="0.2">
      <c r="A4130" s="2" t="s">
        <v>3343</v>
      </c>
      <c r="B4130" s="2" t="s">
        <v>344</v>
      </c>
      <c r="C4130" s="2">
        <v>919.40520000000004</v>
      </c>
      <c r="D4130" s="2">
        <f>HYPERLINK("http://mcb-m6.bioreg.kyushu-u.ac.jp/M3/20110414/F50947/3021/1", 67.02)</f>
        <v>67.02</v>
      </c>
      <c r="E4130" s="2">
        <v>40.340000000000003</v>
      </c>
      <c r="F4130" s="2">
        <v>2</v>
      </c>
      <c r="G4130" s="2" t="s">
        <v>12</v>
      </c>
    </row>
    <row r="4131" spans="1:7" x14ac:dyDescent="0.2">
      <c r="A4131" s="2" t="s">
        <v>3343</v>
      </c>
      <c r="B4131" s="2" t="s">
        <v>943</v>
      </c>
      <c r="C4131" s="2">
        <v>506.7681</v>
      </c>
      <c r="D4131" s="2">
        <f>HYPERLINK("http://mcb-m6.bioreg.kyushu-u.ac.jp/M3/20110414/F50946/1022/1", 67.13)</f>
        <v>67.13</v>
      </c>
      <c r="E4131" s="2">
        <v>40.6</v>
      </c>
      <c r="F4131" s="2">
        <v>2</v>
      </c>
      <c r="G4131" s="2" t="s">
        <v>12</v>
      </c>
    </row>
    <row r="4132" spans="1:7" x14ac:dyDescent="0.2">
      <c r="A4132" s="2" t="s">
        <v>3343</v>
      </c>
      <c r="B4132" s="2" t="s">
        <v>132</v>
      </c>
      <c r="C4132" s="2">
        <v>578.72810000000004</v>
      </c>
      <c r="D4132" s="2">
        <f>HYPERLINK("http://mcb-m6.bioreg.kyushu-u.ac.jp/M3/20110414/F50966/1200/1", 67.35)</f>
        <v>67.349999999999994</v>
      </c>
      <c r="E4132" s="2">
        <v>38.26</v>
      </c>
      <c r="F4132" s="2">
        <v>2</v>
      </c>
      <c r="G4132" s="2" t="s">
        <v>12</v>
      </c>
    </row>
    <row r="4133" spans="1:7" x14ac:dyDescent="0.2">
      <c r="A4133" s="2" t="s">
        <v>3343</v>
      </c>
      <c r="B4133" s="2" t="s">
        <v>325</v>
      </c>
      <c r="C4133" s="2">
        <v>1477.578</v>
      </c>
      <c r="D4133" s="2">
        <f>HYPERLINK("http://mcb-m6.bioreg.kyushu-u.ac.jp/M3/20110414/F50946/1941/1", 67.51)</f>
        <v>67.510000000000005</v>
      </c>
      <c r="E4133" s="2">
        <v>56.87</v>
      </c>
      <c r="F4133" s="2">
        <v>1</v>
      </c>
      <c r="G4133" s="2" t="s">
        <v>12</v>
      </c>
    </row>
    <row r="4134" spans="1:7" x14ac:dyDescent="0.2">
      <c r="A4134" s="2" t="s">
        <v>3343</v>
      </c>
      <c r="B4134" s="2" t="s">
        <v>328</v>
      </c>
      <c r="C4134" s="2">
        <v>573.61469999999997</v>
      </c>
      <c r="D4134" s="2">
        <f>HYPERLINK("http://mcb-m6.bioreg.kyushu-u.ac.jp/M3/20110414/F50963/1006/1", 67.6)</f>
        <v>67.599999999999994</v>
      </c>
      <c r="E4134" s="2">
        <v>23.2</v>
      </c>
      <c r="F4134" s="2">
        <v>2</v>
      </c>
      <c r="G4134" s="2" t="s">
        <v>12</v>
      </c>
    </row>
    <row r="4135" spans="1:7" x14ac:dyDescent="0.2">
      <c r="A4135" s="2" t="s">
        <v>3343</v>
      </c>
      <c r="B4135" s="2" t="s">
        <v>1189</v>
      </c>
      <c r="C4135" s="2">
        <v>1069.2470000000001</v>
      </c>
      <c r="D4135" s="2">
        <f>HYPERLINK("http://mcb-m6.bioreg.kyushu-u.ac.jp/M3/20110414/F50963/3280/1", 67.68)</f>
        <v>67.680000000000007</v>
      </c>
      <c r="E4135" s="2">
        <v>55.07</v>
      </c>
      <c r="F4135" s="2">
        <v>2</v>
      </c>
      <c r="G4135" s="2" t="s">
        <v>12</v>
      </c>
    </row>
    <row r="4136" spans="1:7" x14ac:dyDescent="0.2">
      <c r="A4136" s="2" t="s">
        <v>3343</v>
      </c>
      <c r="B4136" s="2" t="s">
        <v>546</v>
      </c>
      <c r="C4136" s="2">
        <v>664.79970000000003</v>
      </c>
      <c r="D4136" s="2">
        <f>HYPERLINK("http://mcb-m6.bioreg.kyushu-u.ac.jp/M3/20110414/F50946/1541/2", 67.74)</f>
        <v>67.739999999999995</v>
      </c>
      <c r="E4136" s="2">
        <v>55.11</v>
      </c>
      <c r="F4136" s="2">
        <v>2</v>
      </c>
      <c r="G4136" s="2" t="s">
        <v>12</v>
      </c>
    </row>
    <row r="4137" spans="1:7" x14ac:dyDescent="0.2">
      <c r="A4137" s="2" t="s">
        <v>3343</v>
      </c>
      <c r="B4137" s="2" t="s">
        <v>1002</v>
      </c>
      <c r="C4137" s="2">
        <v>1147.2950000000001</v>
      </c>
      <c r="D4137" s="2">
        <f>HYPERLINK("http://mcb-m6.bioreg.kyushu-u.ac.jp/M3/20110414/F50966/3093/1", 67.96)</f>
        <v>67.959999999999994</v>
      </c>
      <c r="E4137" s="2">
        <v>52.24</v>
      </c>
      <c r="F4137" s="2">
        <v>2</v>
      </c>
      <c r="G4137" s="2" t="s">
        <v>12</v>
      </c>
    </row>
    <row r="4138" spans="1:7" x14ac:dyDescent="0.2">
      <c r="A4138" s="2" t="s">
        <v>3343</v>
      </c>
      <c r="B4138" s="2" t="s">
        <v>1002</v>
      </c>
      <c r="C4138" s="2">
        <v>1148.058</v>
      </c>
      <c r="D4138" s="2">
        <f>HYPERLINK("http://mcb-m6.bioreg.kyushu-u.ac.jp/M3/20110414/F50946/3657/1", 68.22)</f>
        <v>68.22</v>
      </c>
      <c r="E4138" s="2">
        <v>61.1</v>
      </c>
      <c r="F4138" s="2">
        <v>2</v>
      </c>
      <c r="G4138" s="2" t="s">
        <v>12</v>
      </c>
    </row>
    <row r="4139" spans="1:7" x14ac:dyDescent="0.2">
      <c r="A4139" s="2" t="s">
        <v>3343</v>
      </c>
      <c r="B4139" s="2" t="s">
        <v>1002</v>
      </c>
      <c r="C4139" s="2">
        <v>1147.3330000000001</v>
      </c>
      <c r="D4139" s="2">
        <f>HYPERLINK("http://mcb-m6.bioreg.kyushu-u.ac.jp/M3/20110414/F50933/3669/1", 68.94)</f>
        <v>68.94</v>
      </c>
      <c r="E4139" s="2">
        <v>59.57</v>
      </c>
      <c r="F4139" s="2">
        <v>2</v>
      </c>
      <c r="G4139" s="2" t="s">
        <v>12</v>
      </c>
    </row>
    <row r="4140" spans="1:7" x14ac:dyDescent="0.2">
      <c r="A4140" s="2" t="s">
        <v>3343</v>
      </c>
      <c r="B4140" s="2" t="s">
        <v>558</v>
      </c>
      <c r="C4140" s="2">
        <v>729.34969999999998</v>
      </c>
      <c r="D4140" s="2">
        <f>HYPERLINK("http://mcb-m6.bioreg.kyushu-u.ac.jp/M3/20110414/F50946/1870/1", 69.37)</f>
        <v>69.37</v>
      </c>
      <c r="E4140" s="2">
        <v>58.96</v>
      </c>
      <c r="F4140" s="2">
        <v>2</v>
      </c>
      <c r="G4140" s="2" t="s">
        <v>12</v>
      </c>
    </row>
    <row r="4141" spans="1:7" x14ac:dyDescent="0.2">
      <c r="A4141" s="2" t="s">
        <v>3343</v>
      </c>
      <c r="B4141" s="2" t="s">
        <v>1002</v>
      </c>
      <c r="C4141" s="2">
        <v>1147.7329999999999</v>
      </c>
      <c r="D4141" s="2">
        <f>HYPERLINK("http://mcb-m6.bioreg.kyushu-u.ac.jp/M3/20110414/F50946/3640/1", 69.6)</f>
        <v>69.599999999999994</v>
      </c>
      <c r="E4141" s="2">
        <v>54.26</v>
      </c>
      <c r="F4141" s="2">
        <v>2</v>
      </c>
      <c r="G4141" s="2" t="s">
        <v>12</v>
      </c>
    </row>
    <row r="4142" spans="1:7" x14ac:dyDescent="0.2">
      <c r="A4142" s="2" t="s">
        <v>3343</v>
      </c>
      <c r="B4142" s="2" t="s">
        <v>344</v>
      </c>
      <c r="C4142" s="2">
        <v>919.37620000000004</v>
      </c>
      <c r="D4142" s="2">
        <f>HYPERLINK("http://mcb-m6.bioreg.kyushu-u.ac.jp/M3/20110414/F50963/2696/1", 69.85)</f>
        <v>69.849999999999994</v>
      </c>
      <c r="E4142" s="2">
        <v>48.68</v>
      </c>
      <c r="F4142" s="2">
        <v>2</v>
      </c>
      <c r="G4142" s="2" t="s">
        <v>12</v>
      </c>
    </row>
    <row r="4143" spans="1:7" x14ac:dyDescent="0.2">
      <c r="A4143" s="2" t="s">
        <v>3343</v>
      </c>
      <c r="B4143" s="2" t="s">
        <v>344</v>
      </c>
      <c r="C4143" s="2">
        <v>919.41719999999998</v>
      </c>
      <c r="D4143" s="2">
        <f>HYPERLINK("http://mcb-m6.bioreg.kyushu-u.ac.jp/M3/20110414/F50947/3022/1", 70.2)</f>
        <v>70.2</v>
      </c>
      <c r="E4143" s="2">
        <v>42.02</v>
      </c>
      <c r="F4143" s="2">
        <v>2</v>
      </c>
      <c r="G4143" s="2" t="s">
        <v>12</v>
      </c>
    </row>
    <row r="4144" spans="1:7" x14ac:dyDescent="0.2">
      <c r="A4144" s="2" t="s">
        <v>3343</v>
      </c>
      <c r="B4144" s="2" t="s">
        <v>344</v>
      </c>
      <c r="C4144" s="2">
        <v>919.29359999999997</v>
      </c>
      <c r="D4144" s="2">
        <f>HYPERLINK("http://mcb-m6.bioreg.kyushu-u.ac.jp/M3/20110414/F50946/2894/1", 70.23)</f>
        <v>70.23</v>
      </c>
      <c r="E4144" s="2">
        <v>53.14</v>
      </c>
      <c r="F4144" s="2">
        <v>2</v>
      </c>
      <c r="G4144" s="2" t="s">
        <v>12</v>
      </c>
    </row>
    <row r="4145" spans="1:8" x14ac:dyDescent="0.2">
      <c r="A4145" s="2" t="s">
        <v>3343</v>
      </c>
      <c r="B4145" s="2" t="s">
        <v>546</v>
      </c>
      <c r="C4145" s="2">
        <v>664.75210000000004</v>
      </c>
      <c r="D4145" s="2">
        <f>HYPERLINK("http://mcb-m6.bioreg.kyushu-u.ac.jp/M3/20110414/F50946/1538/1", 70.25)</f>
        <v>70.25</v>
      </c>
      <c r="E4145" s="2">
        <v>6.73</v>
      </c>
      <c r="F4145" s="2">
        <v>2</v>
      </c>
      <c r="G4145" s="2" t="s">
        <v>12</v>
      </c>
    </row>
    <row r="4146" spans="1:8" x14ac:dyDescent="0.2">
      <c r="A4146" s="2" t="s">
        <v>3343</v>
      </c>
      <c r="B4146" s="2" t="s">
        <v>1496</v>
      </c>
      <c r="C4146" s="2">
        <v>967.32069999999999</v>
      </c>
      <c r="D4146" s="2">
        <f>HYPERLINK("http://mcb-m6.bioreg.kyushu-u.ac.jp/M3/20110414/F50963/2938/1", 70.4)</f>
        <v>70.400000000000006</v>
      </c>
      <c r="E4146" s="2">
        <v>44.18</v>
      </c>
      <c r="F4146" s="2">
        <v>2</v>
      </c>
      <c r="G4146" s="2" t="s">
        <v>12</v>
      </c>
    </row>
    <row r="4147" spans="1:8" x14ac:dyDescent="0.2">
      <c r="A4147" s="2" t="s">
        <v>3343</v>
      </c>
      <c r="B4147" s="2" t="s">
        <v>325</v>
      </c>
      <c r="C4147" s="2">
        <v>747.75019999999995</v>
      </c>
      <c r="D4147" s="2">
        <f>HYPERLINK("http://mcb-m6.bioreg.kyushu-u.ac.jp/M3/20110414/F50946/2020/1", 70.88)</f>
        <v>70.88</v>
      </c>
      <c r="E4147" s="2">
        <v>58.15</v>
      </c>
      <c r="F4147" s="2">
        <v>2</v>
      </c>
      <c r="G4147" s="2" t="s">
        <v>12</v>
      </c>
      <c r="H4147" s="2" t="s">
        <v>4925</v>
      </c>
    </row>
    <row r="4148" spans="1:8" x14ac:dyDescent="0.2">
      <c r="A4148" s="2" t="s">
        <v>3343</v>
      </c>
      <c r="B4148" s="2" t="s">
        <v>1002</v>
      </c>
      <c r="C4148" s="2">
        <v>1147.7280000000001</v>
      </c>
      <c r="D4148" s="2">
        <f>HYPERLINK("http://mcb-m6.bioreg.kyushu-u.ac.jp/M3/20110414/F50946/3639/1", 70.92)</f>
        <v>70.92</v>
      </c>
      <c r="E4148" s="2">
        <v>61.79</v>
      </c>
      <c r="F4148" s="2">
        <v>2</v>
      </c>
      <c r="G4148" s="2" t="s">
        <v>12</v>
      </c>
    </row>
    <row r="4149" spans="1:8" x14ac:dyDescent="0.2">
      <c r="A4149" s="2" t="s">
        <v>3343</v>
      </c>
      <c r="B4149" s="2" t="s">
        <v>344</v>
      </c>
      <c r="C4149" s="2">
        <v>919.93820000000005</v>
      </c>
      <c r="D4149" s="2">
        <f>HYPERLINK("http://mcb-m6.bioreg.kyushu-u.ac.jp/M3/20110414/F50947/3027/1", 70.94)</f>
        <v>70.94</v>
      </c>
      <c r="E4149" s="2">
        <v>51.37</v>
      </c>
      <c r="F4149" s="2">
        <v>2</v>
      </c>
      <c r="G4149" s="2" t="s">
        <v>12</v>
      </c>
    </row>
    <row r="4150" spans="1:8" x14ac:dyDescent="0.2">
      <c r="A4150" s="2" t="s">
        <v>3343</v>
      </c>
      <c r="B4150" s="2" t="s">
        <v>344</v>
      </c>
      <c r="C4150" s="2">
        <v>919.35860000000002</v>
      </c>
      <c r="D4150" s="2">
        <f>HYPERLINK("http://mcb-m6.bioreg.kyushu-u.ac.jp/M3/20110414/F50946/2899/1", 71.06)</f>
        <v>71.06</v>
      </c>
      <c r="E4150" s="2">
        <v>46.71</v>
      </c>
      <c r="F4150" s="2">
        <v>2</v>
      </c>
      <c r="G4150" s="2" t="s">
        <v>12</v>
      </c>
    </row>
    <row r="4151" spans="1:8" x14ac:dyDescent="0.2">
      <c r="A4151" s="2" t="s">
        <v>3343</v>
      </c>
      <c r="B4151" s="2" t="s">
        <v>558</v>
      </c>
      <c r="C4151" s="2">
        <v>729.22519999999997</v>
      </c>
      <c r="D4151" s="2">
        <f>HYPERLINK("http://mcb-m6.bioreg.kyushu-u.ac.jp/M3/20110414/F50948/2001/1", 71.52)</f>
        <v>71.52</v>
      </c>
      <c r="E4151" s="2">
        <v>54.11</v>
      </c>
      <c r="F4151" s="2">
        <v>2</v>
      </c>
      <c r="G4151" s="2" t="s">
        <v>12</v>
      </c>
    </row>
    <row r="4152" spans="1:8" x14ac:dyDescent="0.2">
      <c r="A4152" s="2" t="s">
        <v>3343</v>
      </c>
      <c r="B4152" s="2" t="s">
        <v>546</v>
      </c>
      <c r="C4152" s="2">
        <v>665.21720000000005</v>
      </c>
      <c r="D4152" s="2">
        <f>HYPERLINK("http://mcb-m6.bioreg.kyushu-u.ac.jp/M3/20110414/F50931/2136/2", 71.75)</f>
        <v>71.75</v>
      </c>
      <c r="E4152" s="2">
        <v>56.27</v>
      </c>
      <c r="F4152" s="2">
        <v>2</v>
      </c>
      <c r="G4152" s="2" t="s">
        <v>12</v>
      </c>
    </row>
    <row r="4153" spans="1:8" x14ac:dyDescent="0.2">
      <c r="A4153" s="2" t="s">
        <v>3343</v>
      </c>
      <c r="B4153" s="2" t="s">
        <v>509</v>
      </c>
      <c r="C4153" s="2">
        <v>725.88959999999997</v>
      </c>
      <c r="D4153" s="2">
        <f>HYPERLINK("http://mcb-m6.bioreg.kyushu-u.ac.jp/M3/20110414/F50947/1851/1", 71.91)</f>
        <v>71.91</v>
      </c>
      <c r="E4153" s="2">
        <v>55.4</v>
      </c>
      <c r="F4153" s="2">
        <v>2</v>
      </c>
      <c r="G4153" s="2" t="s">
        <v>12</v>
      </c>
      <c r="H4153" s="2" t="s">
        <v>4927</v>
      </c>
    </row>
    <row r="4154" spans="1:8" x14ac:dyDescent="0.2">
      <c r="A4154" s="2" t="s">
        <v>3343</v>
      </c>
      <c r="B4154" s="2" t="s">
        <v>1002</v>
      </c>
      <c r="C4154" s="2">
        <v>1147.7670000000001</v>
      </c>
      <c r="D4154" s="2">
        <f>HYPERLINK("http://mcb-m6.bioreg.kyushu-u.ac.jp/M3/20110414/F50946/3642/1", 71.99)</f>
        <v>71.989999999999995</v>
      </c>
      <c r="E4154" s="2">
        <v>62.41</v>
      </c>
      <c r="F4154" s="2">
        <v>2</v>
      </c>
      <c r="G4154" s="2" t="s">
        <v>12</v>
      </c>
    </row>
    <row r="4155" spans="1:8" x14ac:dyDescent="0.2">
      <c r="A4155" s="2" t="s">
        <v>3343</v>
      </c>
      <c r="B4155" s="2" t="s">
        <v>1032</v>
      </c>
      <c r="C4155" s="2">
        <v>1163.473</v>
      </c>
      <c r="D4155" s="2">
        <f>HYPERLINK("http://mcb-m6.bioreg.kyushu-u.ac.jp/M3/20110414/F50959/4238/1", 72.18)</f>
        <v>72.180000000000007</v>
      </c>
      <c r="E4155" s="2">
        <v>64.94</v>
      </c>
      <c r="F4155" s="2">
        <v>2</v>
      </c>
      <c r="G4155" s="2" t="s">
        <v>12</v>
      </c>
    </row>
    <row r="4156" spans="1:8" x14ac:dyDescent="0.2">
      <c r="A4156" s="2" t="s">
        <v>3343</v>
      </c>
      <c r="B4156" s="2" t="s">
        <v>546</v>
      </c>
      <c r="C4156" s="2">
        <v>664.7731</v>
      </c>
      <c r="D4156" s="2">
        <f>HYPERLINK("http://mcb-m6.bioreg.kyushu-u.ac.jp/M3/20110414/F50930/1991/2", 72.35)</f>
        <v>72.349999999999994</v>
      </c>
      <c r="E4156" s="2">
        <v>55.23</v>
      </c>
      <c r="F4156" s="2">
        <v>2</v>
      </c>
      <c r="G4156" s="2" t="s">
        <v>12</v>
      </c>
    </row>
    <row r="4157" spans="1:8" x14ac:dyDescent="0.2">
      <c r="A4157" s="2" t="s">
        <v>3343</v>
      </c>
      <c r="B4157" s="2" t="s">
        <v>1002</v>
      </c>
      <c r="C4157" s="2">
        <v>1147.9359999999999</v>
      </c>
      <c r="D4157" s="2">
        <f>HYPERLINK("http://mcb-m6.bioreg.kyushu-u.ac.jp/M3/20110414/F50963/3494/1", 72.57)</f>
        <v>72.569999999999993</v>
      </c>
      <c r="E4157" s="2">
        <v>62.48</v>
      </c>
      <c r="F4157" s="2">
        <v>2</v>
      </c>
      <c r="G4157" s="2" t="s">
        <v>12</v>
      </c>
    </row>
    <row r="4158" spans="1:8" x14ac:dyDescent="0.2">
      <c r="A4158" s="2" t="s">
        <v>3343</v>
      </c>
      <c r="B4158" s="2" t="s">
        <v>344</v>
      </c>
      <c r="C4158" s="2">
        <v>919.95010000000002</v>
      </c>
      <c r="D4158" s="2">
        <f>HYPERLINK("http://mcb-m6.bioreg.kyushu-u.ac.jp/M3/20110414/F50946/2911/1", 72.79)</f>
        <v>72.790000000000006</v>
      </c>
      <c r="E4158" s="2">
        <v>41.72</v>
      </c>
      <c r="F4158" s="2">
        <v>2</v>
      </c>
      <c r="G4158" s="2" t="s">
        <v>12</v>
      </c>
    </row>
    <row r="4159" spans="1:8" x14ac:dyDescent="0.2">
      <c r="A4159" s="2" t="s">
        <v>3343</v>
      </c>
      <c r="B4159" s="2" t="s">
        <v>1002</v>
      </c>
      <c r="C4159" s="2">
        <v>1147.903</v>
      </c>
      <c r="D4159" s="2">
        <f>HYPERLINK("http://mcb-m6.bioreg.kyushu-u.ac.jp/M3/20110414/F50966/3094/1", 73.05)</f>
        <v>73.05</v>
      </c>
      <c r="E4159" s="2">
        <v>62.98</v>
      </c>
      <c r="F4159" s="2">
        <v>2</v>
      </c>
      <c r="G4159" s="2" t="s">
        <v>12</v>
      </c>
    </row>
    <row r="4160" spans="1:8" x14ac:dyDescent="0.2">
      <c r="A4160" s="2" t="s">
        <v>3343</v>
      </c>
      <c r="B4160" s="2" t="s">
        <v>328</v>
      </c>
      <c r="C4160" s="2">
        <v>573.75919999999996</v>
      </c>
      <c r="D4160" s="2">
        <f>HYPERLINK("http://mcb-m6.bioreg.kyushu-u.ac.jp/M3/20110414/F50946/1203/1", 73.21)</f>
        <v>73.209999999999994</v>
      </c>
      <c r="E4160" s="2">
        <v>37.369999999999997</v>
      </c>
      <c r="F4160" s="2">
        <v>2</v>
      </c>
      <c r="G4160" s="2" t="s">
        <v>12</v>
      </c>
    </row>
    <row r="4161" spans="1:8" x14ac:dyDescent="0.2">
      <c r="A4161" s="2" t="s">
        <v>3343</v>
      </c>
      <c r="B4161" s="2" t="s">
        <v>1002</v>
      </c>
      <c r="C4161" s="2">
        <v>1147.9760000000001</v>
      </c>
      <c r="D4161" s="2">
        <f>HYPERLINK("http://mcb-m6.bioreg.kyushu-u.ac.jp/M3/20110414/F50946/3652/1", 73.35)</f>
        <v>73.349999999999994</v>
      </c>
      <c r="E4161" s="2">
        <v>59.33</v>
      </c>
      <c r="F4161" s="2">
        <v>2</v>
      </c>
      <c r="G4161" s="2" t="s">
        <v>12</v>
      </c>
    </row>
    <row r="4162" spans="1:8" x14ac:dyDescent="0.2">
      <c r="A4162" s="2" t="s">
        <v>3343</v>
      </c>
      <c r="B4162" s="2" t="s">
        <v>132</v>
      </c>
      <c r="C4162" s="2">
        <v>578.25670000000002</v>
      </c>
      <c r="D4162" s="2">
        <f>HYPERLINK("http://mcb-m6.bioreg.kyushu-u.ac.jp/M3/20110414/F50934/1859/1", 73.62)</f>
        <v>73.62</v>
      </c>
      <c r="E4162" s="2">
        <v>37.15</v>
      </c>
      <c r="F4162" s="2">
        <v>2</v>
      </c>
      <c r="G4162" s="2" t="s">
        <v>12</v>
      </c>
    </row>
    <row r="4163" spans="1:8" x14ac:dyDescent="0.2">
      <c r="A4163" s="2" t="s">
        <v>3343</v>
      </c>
      <c r="B4163" s="2" t="s">
        <v>132</v>
      </c>
      <c r="C4163" s="2">
        <v>578.3116</v>
      </c>
      <c r="D4163" s="2">
        <f>HYPERLINK("http://mcb-m6.bioreg.kyushu-u.ac.jp/M3/20110414/F50947/1083/1", 73.64)</f>
        <v>73.64</v>
      </c>
      <c r="E4163" s="2">
        <v>43.69</v>
      </c>
      <c r="F4163" s="2">
        <v>2</v>
      </c>
      <c r="G4163" s="2" t="s">
        <v>12</v>
      </c>
    </row>
    <row r="4164" spans="1:8" x14ac:dyDescent="0.2">
      <c r="A4164" s="2" t="s">
        <v>3343</v>
      </c>
      <c r="B4164" s="2" t="s">
        <v>344</v>
      </c>
      <c r="C4164" s="2">
        <v>919.3827</v>
      </c>
      <c r="D4164" s="2">
        <f>HYPERLINK("http://mcb-m6.bioreg.kyushu-u.ac.jp/M3/20110414/F50947/3020/1", 73.82)</f>
        <v>73.819999999999993</v>
      </c>
      <c r="E4164" s="2">
        <v>51.5</v>
      </c>
      <c r="F4164" s="2">
        <v>2</v>
      </c>
      <c r="G4164" s="2" t="s">
        <v>12</v>
      </c>
    </row>
    <row r="4165" spans="1:8" x14ac:dyDescent="0.2">
      <c r="A4165" s="2" t="s">
        <v>3343</v>
      </c>
      <c r="B4165" s="2" t="s">
        <v>1002</v>
      </c>
      <c r="C4165" s="2">
        <v>1147.365</v>
      </c>
      <c r="D4165" s="2">
        <f>HYPERLINK("http://mcb-m6.bioreg.kyushu-u.ac.jp/M3/20110414/F50963/3491/1", 74.12)</f>
        <v>74.12</v>
      </c>
      <c r="E4165" s="2">
        <v>67.3</v>
      </c>
      <c r="F4165" s="2">
        <v>2</v>
      </c>
      <c r="G4165" s="2" t="s">
        <v>12</v>
      </c>
    </row>
    <row r="4166" spans="1:8" x14ac:dyDescent="0.2">
      <c r="A4166" s="2" t="s">
        <v>3343</v>
      </c>
      <c r="B4166" s="2" t="s">
        <v>546</v>
      </c>
      <c r="C4166" s="2">
        <v>664.72670000000005</v>
      </c>
      <c r="D4166" s="2">
        <f>HYPERLINK("http://mcb-m6.bioreg.kyushu-u.ac.jp/M3/20110414/F50948/1577/2", 74.27)</f>
        <v>74.27</v>
      </c>
      <c r="E4166" s="2">
        <v>58.49</v>
      </c>
      <c r="F4166" s="2">
        <v>2</v>
      </c>
      <c r="G4166" s="2" t="s">
        <v>12</v>
      </c>
    </row>
    <row r="4167" spans="1:8" x14ac:dyDescent="0.2">
      <c r="A4167" s="2" t="s">
        <v>3343</v>
      </c>
      <c r="B4167" s="2" t="s">
        <v>132</v>
      </c>
      <c r="C4167" s="2">
        <v>578.23820000000001</v>
      </c>
      <c r="D4167" s="2">
        <f>HYPERLINK("http://mcb-m6.bioreg.kyushu-u.ac.jp/M3/20110414/F50946/1226/1", 74.3)</f>
        <v>74.3</v>
      </c>
      <c r="E4167" s="2">
        <v>46.63</v>
      </c>
      <c r="F4167" s="2">
        <v>2</v>
      </c>
      <c r="G4167" s="2" t="s">
        <v>12</v>
      </c>
    </row>
    <row r="4168" spans="1:8" x14ac:dyDescent="0.2">
      <c r="A4168" s="2" t="s">
        <v>3343</v>
      </c>
      <c r="B4168" s="2" t="s">
        <v>546</v>
      </c>
      <c r="C4168" s="2">
        <v>664.83810000000005</v>
      </c>
      <c r="D4168" s="2">
        <f>HYPERLINK("http://mcb-m6.bioreg.kyushu-u.ac.jp/M3/20110414/F50946/1544/2", 74.31)</f>
        <v>74.31</v>
      </c>
      <c r="E4168" s="2">
        <v>60.09</v>
      </c>
      <c r="F4168" s="2">
        <v>2</v>
      </c>
      <c r="G4168" s="2" t="s">
        <v>12</v>
      </c>
    </row>
    <row r="4169" spans="1:8" x14ac:dyDescent="0.2">
      <c r="A4169" s="2" t="s">
        <v>3343</v>
      </c>
      <c r="B4169" s="2" t="s">
        <v>558</v>
      </c>
      <c r="C4169" s="2">
        <v>729.45010000000002</v>
      </c>
      <c r="D4169" s="2">
        <f>HYPERLINK("http://mcb-m6.bioreg.kyushu-u.ac.jp/M3/20110414/F50946/1875/1", 74.4)</f>
        <v>74.400000000000006</v>
      </c>
      <c r="E4169" s="2">
        <v>62.6</v>
      </c>
      <c r="F4169" s="2">
        <v>2</v>
      </c>
      <c r="G4169" s="2" t="s">
        <v>12</v>
      </c>
    </row>
    <row r="4170" spans="1:8" x14ac:dyDescent="0.2">
      <c r="A4170" s="2" t="s">
        <v>3343</v>
      </c>
      <c r="B4170" s="2" t="s">
        <v>344</v>
      </c>
      <c r="C4170" s="2">
        <v>919.35860000000002</v>
      </c>
      <c r="D4170" s="2">
        <f>HYPERLINK("http://mcb-m6.bioreg.kyushu-u.ac.jp/M3/20110414/F50946/2898/1", 74.4)</f>
        <v>74.400000000000006</v>
      </c>
      <c r="E4170" s="2">
        <v>51.12</v>
      </c>
      <c r="F4170" s="2">
        <v>2</v>
      </c>
      <c r="G4170" s="2" t="s">
        <v>12</v>
      </c>
    </row>
    <row r="4171" spans="1:8" x14ac:dyDescent="0.2">
      <c r="A4171" s="2" t="s">
        <v>3343</v>
      </c>
      <c r="B4171" s="2" t="s">
        <v>344</v>
      </c>
      <c r="C4171" s="2">
        <v>919.38170000000002</v>
      </c>
      <c r="D4171" s="2">
        <f>HYPERLINK("http://mcb-m6.bioreg.kyushu-u.ac.jp/M3/20110414/F50947/3019/1", 75.01)</f>
        <v>75.010000000000005</v>
      </c>
      <c r="E4171" s="2">
        <v>44.03</v>
      </c>
      <c r="F4171" s="2">
        <v>2</v>
      </c>
      <c r="G4171" s="2" t="s">
        <v>12</v>
      </c>
    </row>
    <row r="4172" spans="1:8" x14ac:dyDescent="0.2">
      <c r="A4172" s="2" t="s">
        <v>3343</v>
      </c>
      <c r="B4172" s="2" t="s">
        <v>132</v>
      </c>
      <c r="C4172" s="2">
        <v>578.29610000000002</v>
      </c>
      <c r="D4172" s="2">
        <f>HYPERLINK("http://mcb-m6.bioreg.kyushu-u.ac.jp/M3/20110414/F50946/1234/1", 75.31)</f>
        <v>75.31</v>
      </c>
      <c r="E4172" s="2">
        <v>45.42</v>
      </c>
      <c r="F4172" s="2">
        <v>2</v>
      </c>
      <c r="G4172" s="2" t="s">
        <v>12</v>
      </c>
    </row>
    <row r="4173" spans="1:8" x14ac:dyDescent="0.2">
      <c r="A4173" s="2" t="s">
        <v>3343</v>
      </c>
      <c r="B4173" s="2" t="s">
        <v>132</v>
      </c>
      <c r="C4173" s="2">
        <v>578.27919999999995</v>
      </c>
      <c r="D4173" s="2">
        <f>HYPERLINK("http://mcb-m6.bioreg.kyushu-u.ac.jp/M3/20110414/F50946/1229/1", 75.42)</f>
        <v>75.42</v>
      </c>
      <c r="E4173" s="2">
        <v>44.62</v>
      </c>
      <c r="F4173" s="2">
        <v>2</v>
      </c>
      <c r="G4173" s="2" t="s">
        <v>12</v>
      </c>
    </row>
    <row r="4174" spans="1:8" x14ac:dyDescent="0.2">
      <c r="A4174" s="2" t="s">
        <v>3343</v>
      </c>
      <c r="B4174" s="2" t="s">
        <v>325</v>
      </c>
      <c r="C4174" s="2">
        <v>739.43020000000001</v>
      </c>
      <c r="D4174" s="2">
        <f>HYPERLINK("http://mcb-m6.bioreg.kyushu-u.ac.jp/M3/20110414/F50963/1828/1", 75.42)</f>
        <v>75.42</v>
      </c>
      <c r="E4174" s="2">
        <v>61.29</v>
      </c>
      <c r="F4174" s="2">
        <v>2</v>
      </c>
      <c r="G4174" s="2" t="s">
        <v>12</v>
      </c>
    </row>
    <row r="4175" spans="1:8" x14ac:dyDescent="0.2">
      <c r="A4175" s="2" t="s">
        <v>3343</v>
      </c>
      <c r="B4175" s="2" t="s">
        <v>325</v>
      </c>
      <c r="C4175" s="2">
        <v>747.74620000000004</v>
      </c>
      <c r="D4175" s="2">
        <f>HYPERLINK("http://mcb-m6.bioreg.kyushu-u.ac.jp/M3/20110414/F50946/2019/1", 75.76)</f>
        <v>75.760000000000005</v>
      </c>
      <c r="E4175" s="2">
        <v>53.24</v>
      </c>
      <c r="F4175" s="2">
        <v>2</v>
      </c>
      <c r="G4175" s="2" t="s">
        <v>12</v>
      </c>
      <c r="H4175" s="2" t="s">
        <v>4925</v>
      </c>
    </row>
    <row r="4176" spans="1:8" x14ac:dyDescent="0.2">
      <c r="A4176" s="2" t="s">
        <v>3343</v>
      </c>
      <c r="B4176" s="2" t="s">
        <v>325</v>
      </c>
      <c r="C4176" s="2">
        <v>747.24469999999997</v>
      </c>
      <c r="D4176" s="2">
        <f>HYPERLINK("http://mcb-m6.bioreg.kyushu-u.ac.jp/M3/20110414/F50946/2011/1", 75.91)</f>
        <v>75.91</v>
      </c>
      <c r="E4176" s="2">
        <v>62.56</v>
      </c>
      <c r="F4176" s="2">
        <v>2</v>
      </c>
      <c r="G4176" s="2" t="s">
        <v>12</v>
      </c>
      <c r="H4176" s="2" t="s">
        <v>4925</v>
      </c>
    </row>
    <row r="4177" spans="1:7" x14ac:dyDescent="0.2">
      <c r="A4177" s="2" t="s">
        <v>3343</v>
      </c>
      <c r="B4177" s="2" t="s">
        <v>344</v>
      </c>
      <c r="C4177" s="2">
        <v>919.19709999999998</v>
      </c>
      <c r="D4177" s="2">
        <f>HYPERLINK("http://mcb-m6.bioreg.kyushu-u.ac.jp/M3/20110414/F50947/3017/1", 75.91)</f>
        <v>75.91</v>
      </c>
      <c r="E4177" s="2">
        <v>44.83</v>
      </c>
      <c r="F4177" s="2">
        <v>2</v>
      </c>
      <c r="G4177" s="2" t="s">
        <v>12</v>
      </c>
    </row>
    <row r="4178" spans="1:7" x14ac:dyDescent="0.2">
      <c r="A4178" s="2" t="s">
        <v>3343</v>
      </c>
      <c r="B4178" s="2" t="s">
        <v>2388</v>
      </c>
      <c r="C4178" s="2">
        <v>700.36410000000001</v>
      </c>
      <c r="D4178" s="2">
        <f>HYPERLINK("http://mcb-m6.bioreg.kyushu-u.ac.jp/M3/20110414/F50946/1721/1", 75.96)</f>
        <v>75.959999999999994</v>
      </c>
      <c r="E4178" s="2">
        <v>56.31</v>
      </c>
      <c r="F4178" s="2">
        <v>2</v>
      </c>
      <c r="G4178" s="2" t="s">
        <v>12</v>
      </c>
    </row>
    <row r="4179" spans="1:7" x14ac:dyDescent="0.2">
      <c r="A4179" s="2" t="s">
        <v>3343</v>
      </c>
      <c r="B4179" s="2" t="s">
        <v>344</v>
      </c>
      <c r="C4179" s="2">
        <v>613.40920000000006</v>
      </c>
      <c r="D4179" s="2">
        <f>HYPERLINK("http://mcb-m6.bioreg.kyushu-u.ac.jp/M3/20110414/F50963/2699/1", 76.44)</f>
        <v>76.44</v>
      </c>
      <c r="E4179" s="2">
        <v>57.2</v>
      </c>
      <c r="F4179" s="2">
        <v>3</v>
      </c>
      <c r="G4179" s="2" t="s">
        <v>12</v>
      </c>
    </row>
    <row r="4180" spans="1:7" x14ac:dyDescent="0.2">
      <c r="A4180" s="2" t="s">
        <v>3343</v>
      </c>
      <c r="B4180" s="2" t="s">
        <v>344</v>
      </c>
      <c r="C4180" s="2">
        <v>919.42359999999996</v>
      </c>
      <c r="D4180" s="2">
        <f>HYPERLINK("http://mcb-m6.bioreg.kyushu-u.ac.jp/M3/20110414/F50946/2904/1", 76.73)</f>
        <v>76.73</v>
      </c>
      <c r="E4180" s="2">
        <v>50.5</v>
      </c>
      <c r="F4180" s="2">
        <v>2</v>
      </c>
      <c r="G4180" s="2" t="s">
        <v>12</v>
      </c>
    </row>
    <row r="4181" spans="1:7" x14ac:dyDescent="0.2">
      <c r="A4181" s="2" t="s">
        <v>3343</v>
      </c>
      <c r="B4181" s="2" t="s">
        <v>344</v>
      </c>
      <c r="C4181" s="2">
        <v>919.44169999999997</v>
      </c>
      <c r="D4181" s="2">
        <f>HYPERLINK("http://mcb-m6.bioreg.kyushu-u.ac.jp/M3/20110414/F50933/3112/1", 77)</f>
        <v>77</v>
      </c>
      <c r="E4181" s="2">
        <v>25.25</v>
      </c>
      <c r="F4181" s="2">
        <v>2</v>
      </c>
      <c r="G4181" s="2" t="s">
        <v>12</v>
      </c>
    </row>
    <row r="4182" spans="1:7" x14ac:dyDescent="0.2">
      <c r="A4182" s="2" t="s">
        <v>3343</v>
      </c>
      <c r="B4182" s="2" t="s">
        <v>546</v>
      </c>
      <c r="C4182" s="2">
        <v>665.27369999999996</v>
      </c>
      <c r="D4182" s="2">
        <f>HYPERLINK("http://mcb-m6.bioreg.kyushu-u.ac.jp/M3/20110414/F50946/1549/2", 77.22)</f>
        <v>77.22</v>
      </c>
      <c r="E4182" s="2">
        <v>63.19</v>
      </c>
      <c r="F4182" s="2">
        <v>2</v>
      </c>
      <c r="G4182" s="2" t="s">
        <v>12</v>
      </c>
    </row>
    <row r="4183" spans="1:7" x14ac:dyDescent="0.2">
      <c r="A4183" s="2" t="s">
        <v>3343</v>
      </c>
      <c r="B4183" s="2" t="s">
        <v>344</v>
      </c>
      <c r="C4183" s="2">
        <v>919.53769999999997</v>
      </c>
      <c r="D4183" s="2">
        <f>HYPERLINK("http://mcb-m6.bioreg.kyushu-u.ac.jp/M3/20110414/F50934/2766/1", 77.41)</f>
        <v>77.41</v>
      </c>
      <c r="E4183" s="2">
        <v>46.39</v>
      </c>
      <c r="F4183" s="2">
        <v>2</v>
      </c>
      <c r="G4183" s="2" t="s">
        <v>12</v>
      </c>
    </row>
    <row r="4184" spans="1:7" x14ac:dyDescent="0.2">
      <c r="A4184" s="2" t="s">
        <v>3343</v>
      </c>
      <c r="B4184" s="2" t="s">
        <v>344</v>
      </c>
      <c r="C4184" s="2">
        <v>919.41309999999999</v>
      </c>
      <c r="D4184" s="2">
        <f>HYPERLINK("http://mcb-m6.bioreg.kyushu-u.ac.jp/M3/20110414/F50946/2902/1", 77.63)</f>
        <v>77.63</v>
      </c>
      <c r="E4184" s="2">
        <v>55.92</v>
      </c>
      <c r="F4184" s="2">
        <v>2</v>
      </c>
      <c r="G4184" s="2" t="s">
        <v>12</v>
      </c>
    </row>
    <row r="4185" spans="1:7" x14ac:dyDescent="0.2">
      <c r="A4185" s="2" t="s">
        <v>3343</v>
      </c>
      <c r="B4185" s="2" t="s">
        <v>325</v>
      </c>
      <c r="C4185" s="2">
        <v>1477.4549999999999</v>
      </c>
      <c r="D4185" s="2">
        <f>HYPERLINK("http://mcb-m6.bioreg.kyushu-u.ac.jp/M3/20110414/F50963/1827/1", 77.73)</f>
        <v>77.73</v>
      </c>
      <c r="E4185" s="2">
        <v>60.21</v>
      </c>
      <c r="F4185" s="2">
        <v>1</v>
      </c>
      <c r="G4185" s="2" t="s">
        <v>12</v>
      </c>
    </row>
    <row r="4186" spans="1:7" x14ac:dyDescent="0.2">
      <c r="A4186" s="2" t="s">
        <v>3343</v>
      </c>
      <c r="B4186" s="2" t="s">
        <v>344</v>
      </c>
      <c r="C4186" s="2">
        <v>1837.6990000000001</v>
      </c>
      <c r="D4186" s="2">
        <f>HYPERLINK("http://mcb-m6.bioreg.kyushu-u.ac.jp/M3/20110414/F50946/2897/1", 77.91)</f>
        <v>77.91</v>
      </c>
      <c r="E4186" s="2">
        <v>65.64</v>
      </c>
      <c r="F4186" s="2">
        <v>1</v>
      </c>
      <c r="G4186" s="2" t="s">
        <v>12</v>
      </c>
    </row>
    <row r="4187" spans="1:7" x14ac:dyDescent="0.2">
      <c r="A4187" s="2" t="s">
        <v>3343</v>
      </c>
      <c r="B4187" s="2" t="s">
        <v>1002</v>
      </c>
      <c r="C4187" s="2">
        <v>1147.9670000000001</v>
      </c>
      <c r="D4187" s="2">
        <f>HYPERLINK("http://mcb-m6.bioreg.kyushu-u.ac.jp/M3/20110414/F50946/3651/1", 77.99)</f>
        <v>77.989999999999995</v>
      </c>
      <c r="E4187" s="2">
        <v>69.03</v>
      </c>
      <c r="F4187" s="2">
        <v>2</v>
      </c>
      <c r="G4187" s="2" t="s">
        <v>12</v>
      </c>
    </row>
    <row r="4188" spans="1:7" x14ac:dyDescent="0.2">
      <c r="A4188" s="2" t="s">
        <v>3343</v>
      </c>
      <c r="B4188" s="2" t="s">
        <v>344</v>
      </c>
      <c r="C4188" s="2">
        <v>919.34860000000003</v>
      </c>
      <c r="D4188" s="2">
        <f>HYPERLINK("http://mcb-m6.bioreg.kyushu-u.ac.jp/M3/20110414/F50946/2895/1", 78.06)</f>
        <v>78.06</v>
      </c>
      <c r="E4188" s="2">
        <v>53.81</v>
      </c>
      <c r="F4188" s="2">
        <v>2</v>
      </c>
      <c r="G4188" s="2" t="s">
        <v>12</v>
      </c>
    </row>
    <row r="4189" spans="1:7" x14ac:dyDescent="0.2">
      <c r="A4189" s="2" t="s">
        <v>3343</v>
      </c>
      <c r="B4189" s="2" t="s">
        <v>344</v>
      </c>
      <c r="C4189" s="2">
        <v>919.63319999999999</v>
      </c>
      <c r="D4189" s="2">
        <f>HYPERLINK("http://mcb-m6.bioreg.kyushu-u.ac.jp/M3/20110414/F50946/2909/1", 78.16)</f>
        <v>78.16</v>
      </c>
      <c r="E4189" s="2">
        <v>51.99</v>
      </c>
      <c r="F4189" s="2">
        <v>2</v>
      </c>
      <c r="G4189" s="2" t="s">
        <v>12</v>
      </c>
    </row>
    <row r="4190" spans="1:7" x14ac:dyDescent="0.2">
      <c r="A4190" s="2" t="s">
        <v>3343</v>
      </c>
      <c r="B4190" s="2" t="s">
        <v>344</v>
      </c>
      <c r="C4190" s="2">
        <v>919.39170000000001</v>
      </c>
      <c r="D4190" s="2">
        <f>HYPERLINK("http://mcb-m6.bioreg.kyushu-u.ac.jp/M3/20110414/F50946/2901/1", 78.17)</f>
        <v>78.17</v>
      </c>
      <c r="E4190" s="2">
        <v>52.48</v>
      </c>
      <c r="F4190" s="2">
        <v>2</v>
      </c>
      <c r="G4190" s="2" t="s">
        <v>12</v>
      </c>
    </row>
    <row r="4191" spans="1:7" x14ac:dyDescent="0.2">
      <c r="A4191" s="2" t="s">
        <v>3343</v>
      </c>
      <c r="B4191" s="2" t="s">
        <v>132</v>
      </c>
      <c r="C4191" s="2">
        <v>578.28309999999999</v>
      </c>
      <c r="D4191" s="2">
        <f>HYPERLINK("http://mcb-m6.bioreg.kyushu-u.ac.jp/M3/20110414/F50946/1230/1", 78.24)</f>
        <v>78.239999999999995</v>
      </c>
      <c r="E4191" s="2">
        <v>54.29</v>
      </c>
      <c r="F4191" s="2">
        <v>2</v>
      </c>
      <c r="G4191" s="2" t="s">
        <v>12</v>
      </c>
    </row>
    <row r="4192" spans="1:7" x14ac:dyDescent="0.2">
      <c r="A4192" s="2" t="s">
        <v>3343</v>
      </c>
      <c r="B4192" s="2" t="s">
        <v>558</v>
      </c>
      <c r="C4192" s="2">
        <v>729.38459999999998</v>
      </c>
      <c r="D4192" s="2">
        <f>HYPERLINK("http://mcb-m6.bioreg.kyushu-u.ac.jp/M3/20110414/F50946/1873/1", 78.47)</f>
        <v>78.47</v>
      </c>
      <c r="E4192" s="2">
        <v>63.57</v>
      </c>
      <c r="F4192" s="2">
        <v>2</v>
      </c>
      <c r="G4192" s="2" t="s">
        <v>12</v>
      </c>
    </row>
    <row r="4193" spans="1:8" x14ac:dyDescent="0.2">
      <c r="A4193" s="2" t="s">
        <v>3343</v>
      </c>
      <c r="B4193" s="2" t="s">
        <v>558</v>
      </c>
      <c r="C4193" s="2">
        <v>729.27970000000005</v>
      </c>
      <c r="D4193" s="2">
        <f>HYPERLINK("http://mcb-m6.bioreg.kyushu-u.ac.jp/M3/20110414/F50963/1778/1", 78.54)</f>
        <v>78.540000000000006</v>
      </c>
      <c r="E4193" s="2">
        <v>64.47</v>
      </c>
      <c r="F4193" s="2">
        <v>2</v>
      </c>
      <c r="G4193" s="2" t="s">
        <v>12</v>
      </c>
    </row>
    <row r="4194" spans="1:8" x14ac:dyDescent="0.2">
      <c r="A4194" s="2" t="s">
        <v>3343</v>
      </c>
      <c r="B4194" s="2" t="s">
        <v>344</v>
      </c>
      <c r="C4194" s="2">
        <v>919.44169999999997</v>
      </c>
      <c r="D4194" s="2">
        <f>HYPERLINK("http://mcb-m6.bioreg.kyushu-u.ac.jp/M3/20110414/F50947/3024/1", 78.64)</f>
        <v>78.64</v>
      </c>
      <c r="E4194" s="2">
        <v>59.89</v>
      </c>
      <c r="F4194" s="2">
        <v>2</v>
      </c>
      <c r="G4194" s="2" t="s">
        <v>12</v>
      </c>
    </row>
    <row r="4195" spans="1:8" x14ac:dyDescent="0.2">
      <c r="A4195" s="2" t="s">
        <v>3343</v>
      </c>
      <c r="B4195" s="2" t="s">
        <v>1002</v>
      </c>
      <c r="C4195" s="2">
        <v>1147.4690000000001</v>
      </c>
      <c r="D4195" s="2">
        <f>HYPERLINK("http://mcb-m6.bioreg.kyushu-u.ac.jp/M3/20110414/F50946/3634/1", 78.71)</f>
        <v>78.709999999999994</v>
      </c>
      <c r="E4195" s="2">
        <v>64.760000000000005</v>
      </c>
      <c r="F4195" s="2">
        <v>2</v>
      </c>
      <c r="G4195" s="2" t="s">
        <v>12</v>
      </c>
    </row>
    <row r="4196" spans="1:8" x14ac:dyDescent="0.2">
      <c r="A4196" s="2" t="s">
        <v>3343</v>
      </c>
      <c r="B4196" s="2" t="s">
        <v>344</v>
      </c>
      <c r="C4196" s="2">
        <v>919.42110000000002</v>
      </c>
      <c r="D4196" s="2">
        <f>HYPERLINK("http://mcb-m6.bioreg.kyushu-u.ac.jp/M3/20110414/F50946/2903/1", 78.74)</f>
        <v>78.739999999999995</v>
      </c>
      <c r="E4196" s="2">
        <v>58.31</v>
      </c>
      <c r="F4196" s="2">
        <v>2</v>
      </c>
      <c r="G4196" s="2" t="s">
        <v>12</v>
      </c>
    </row>
    <row r="4197" spans="1:8" x14ac:dyDescent="0.2">
      <c r="A4197" s="2" t="s">
        <v>3343</v>
      </c>
      <c r="B4197" s="2" t="s">
        <v>1002</v>
      </c>
      <c r="C4197" s="2">
        <v>1147.3879999999999</v>
      </c>
      <c r="D4197" s="2">
        <f>HYPERLINK("http://mcb-m6.bioreg.kyushu-u.ac.jp/M3/20110414/F50946/3629/1", 79.74)</f>
        <v>79.739999999999995</v>
      </c>
      <c r="E4197" s="2">
        <v>66.05</v>
      </c>
      <c r="F4197" s="2">
        <v>2</v>
      </c>
      <c r="G4197" s="2" t="s">
        <v>12</v>
      </c>
    </row>
    <row r="4198" spans="1:8" x14ac:dyDescent="0.2">
      <c r="A4198" s="2" t="s">
        <v>3343</v>
      </c>
      <c r="B4198" s="2" t="s">
        <v>546</v>
      </c>
      <c r="C4198" s="2">
        <v>664.83259999999996</v>
      </c>
      <c r="D4198" s="2">
        <f>HYPERLINK("http://mcb-m6.bioreg.kyushu-u.ac.jp/M3/20110414/F50946/1543/2", 79.77)</f>
        <v>79.77</v>
      </c>
      <c r="E4198" s="2">
        <v>59.95</v>
      </c>
      <c r="F4198" s="2">
        <v>2</v>
      </c>
      <c r="G4198" s="2" t="s">
        <v>12</v>
      </c>
    </row>
    <row r="4199" spans="1:8" x14ac:dyDescent="0.2">
      <c r="A4199" s="2" t="s">
        <v>3343</v>
      </c>
      <c r="B4199" s="2" t="s">
        <v>1002</v>
      </c>
      <c r="C4199" s="2">
        <v>1147.471</v>
      </c>
      <c r="D4199" s="2">
        <f>HYPERLINK("http://mcb-m6.bioreg.kyushu-u.ac.jp/M3/20110414/F50947/4009/1", 79.78)</f>
        <v>79.78</v>
      </c>
      <c r="E4199" s="2">
        <v>71.59</v>
      </c>
      <c r="F4199" s="2">
        <v>2</v>
      </c>
      <c r="G4199" s="2" t="s">
        <v>12</v>
      </c>
    </row>
    <row r="4200" spans="1:8" x14ac:dyDescent="0.2">
      <c r="A4200" s="2" t="s">
        <v>3343</v>
      </c>
      <c r="B4200" s="2" t="s">
        <v>325</v>
      </c>
      <c r="C4200" s="2">
        <v>1493.5229999999999</v>
      </c>
      <c r="D4200" s="2">
        <f>HYPERLINK("http://mcb-m6.bioreg.kyushu-u.ac.jp/M3/20110414/F50946/2012/1", 79.92)</f>
        <v>79.92</v>
      </c>
      <c r="E4200" s="2">
        <v>69.930000000000007</v>
      </c>
      <c r="F4200" s="2">
        <v>1</v>
      </c>
      <c r="G4200" s="2" t="s">
        <v>12</v>
      </c>
      <c r="H4200" s="2" t="s">
        <v>4925</v>
      </c>
    </row>
    <row r="4201" spans="1:8" x14ac:dyDescent="0.2">
      <c r="A4201" s="2" t="s">
        <v>3343</v>
      </c>
      <c r="B4201" s="2" t="s">
        <v>1348</v>
      </c>
      <c r="C4201" s="2">
        <v>1137.78</v>
      </c>
      <c r="D4201" s="2">
        <f>HYPERLINK("http://mcb-m6.bioreg.kyushu-u.ac.jp/M3/20110414/F50946/4421/1", 80.5)</f>
        <v>80.5</v>
      </c>
      <c r="E4201" s="2">
        <v>69</v>
      </c>
      <c r="F4201" s="2">
        <v>3</v>
      </c>
      <c r="G4201" s="2" t="s">
        <v>12</v>
      </c>
      <c r="H4201" s="2" t="s">
        <v>4936</v>
      </c>
    </row>
    <row r="4202" spans="1:8" x14ac:dyDescent="0.2">
      <c r="A4202" s="2" t="s">
        <v>3343</v>
      </c>
      <c r="B4202" s="2" t="s">
        <v>132</v>
      </c>
      <c r="C4202" s="2">
        <v>578.29020000000003</v>
      </c>
      <c r="D4202" s="2">
        <f>HYPERLINK("http://mcb-m6.bioreg.kyushu-u.ac.jp/M3/20110414/F50946/1231/1", 80.9)</f>
        <v>80.900000000000006</v>
      </c>
      <c r="E4202" s="2">
        <v>51.05</v>
      </c>
      <c r="F4202" s="2">
        <v>2</v>
      </c>
      <c r="G4202" s="2" t="s">
        <v>12</v>
      </c>
    </row>
    <row r="4203" spans="1:8" x14ac:dyDescent="0.2">
      <c r="A4203" s="2" t="s">
        <v>3343</v>
      </c>
      <c r="B4203" s="2" t="s">
        <v>344</v>
      </c>
      <c r="C4203" s="2">
        <v>919.97860000000003</v>
      </c>
      <c r="D4203" s="2">
        <f>HYPERLINK("http://mcb-m6.bioreg.kyushu-u.ac.jp/M3/20110414/F50947/3028/1", 80.95)</f>
        <v>80.95</v>
      </c>
      <c r="E4203" s="2">
        <v>57.33</v>
      </c>
      <c r="F4203" s="2">
        <v>2</v>
      </c>
      <c r="G4203" s="2" t="s">
        <v>12</v>
      </c>
    </row>
    <row r="4204" spans="1:8" x14ac:dyDescent="0.2">
      <c r="A4204" s="2" t="s">
        <v>3343</v>
      </c>
      <c r="B4204" s="2" t="s">
        <v>344</v>
      </c>
      <c r="C4204" s="2">
        <v>919.62270000000001</v>
      </c>
      <c r="D4204" s="2">
        <f>HYPERLINK("http://mcb-m6.bioreg.kyushu-u.ac.jp/M3/20110414/F50946/2908/1", 81.19)</f>
        <v>81.19</v>
      </c>
      <c r="E4204" s="2">
        <v>53.62</v>
      </c>
      <c r="F4204" s="2">
        <v>2</v>
      </c>
      <c r="G4204" s="2" t="s">
        <v>12</v>
      </c>
    </row>
    <row r="4205" spans="1:8" x14ac:dyDescent="0.2">
      <c r="A4205" s="2" t="s">
        <v>3343</v>
      </c>
      <c r="B4205" s="2" t="s">
        <v>1496</v>
      </c>
      <c r="C4205" s="2">
        <v>966.97860000000003</v>
      </c>
      <c r="D4205" s="2">
        <f>HYPERLINK("http://mcb-m6.bioreg.kyushu-u.ac.jp/M3/20110414/F50947/3284/1", 81.56)</f>
        <v>81.56</v>
      </c>
      <c r="E4205" s="2">
        <v>66.34</v>
      </c>
      <c r="F4205" s="2">
        <v>2</v>
      </c>
      <c r="G4205" s="2" t="s">
        <v>12</v>
      </c>
    </row>
    <row r="4206" spans="1:8" x14ac:dyDescent="0.2">
      <c r="A4206" s="2" t="s">
        <v>3343</v>
      </c>
      <c r="B4206" s="2" t="s">
        <v>509</v>
      </c>
      <c r="C4206" s="2">
        <v>725.55769999999995</v>
      </c>
      <c r="D4206" s="2">
        <f>HYPERLINK("http://mcb-m6.bioreg.kyushu-u.ac.jp/M3/20110414/F50949/2107/1", 82.37)</f>
        <v>82.37</v>
      </c>
      <c r="E4206" s="2">
        <v>65.03</v>
      </c>
      <c r="F4206" s="2">
        <v>2</v>
      </c>
      <c r="G4206" s="2" t="s">
        <v>12</v>
      </c>
      <c r="H4206" s="2" t="s">
        <v>4927</v>
      </c>
    </row>
    <row r="4207" spans="1:8" x14ac:dyDescent="0.2">
      <c r="A4207" s="2" t="s">
        <v>3343</v>
      </c>
      <c r="B4207" s="2" t="s">
        <v>1211</v>
      </c>
      <c r="C4207" s="2">
        <v>1161.6980000000001</v>
      </c>
      <c r="D4207" s="2">
        <f>HYPERLINK("http://mcb-m6.bioreg.kyushu-u.ac.jp/M3/20110414/F50963/3532/1", 82.55)</f>
        <v>82.55</v>
      </c>
      <c r="E4207" s="2">
        <v>70.010000000000005</v>
      </c>
      <c r="F4207" s="2">
        <v>2</v>
      </c>
      <c r="G4207" s="2" t="s">
        <v>12</v>
      </c>
      <c r="H4207" s="2" t="s">
        <v>4891</v>
      </c>
    </row>
    <row r="4208" spans="1:8" x14ac:dyDescent="0.2">
      <c r="A4208" s="2" t="s">
        <v>3343</v>
      </c>
      <c r="B4208" s="2" t="s">
        <v>1002</v>
      </c>
      <c r="C4208" s="2">
        <v>1147.5309999999999</v>
      </c>
      <c r="D4208" s="2">
        <f>HYPERLINK("http://mcb-m6.bioreg.kyushu-u.ac.jp/M3/20110414/F50946/3636/1", 82.56)</f>
        <v>82.56</v>
      </c>
      <c r="E4208" s="2">
        <v>69.180000000000007</v>
      </c>
      <c r="F4208" s="2">
        <v>2</v>
      </c>
      <c r="G4208" s="2" t="s">
        <v>12</v>
      </c>
    </row>
    <row r="4209" spans="1:8" x14ac:dyDescent="0.2">
      <c r="A4209" s="2" t="s">
        <v>3343</v>
      </c>
      <c r="B4209" s="2" t="s">
        <v>1002</v>
      </c>
      <c r="C4209" s="2">
        <v>1147.319</v>
      </c>
      <c r="D4209" s="2">
        <f>HYPERLINK("http://mcb-m6.bioreg.kyushu-u.ac.jp/M3/20110414/F50963/3489/1", 82.72)</f>
        <v>82.72</v>
      </c>
      <c r="E4209" s="2">
        <v>75.14</v>
      </c>
      <c r="F4209" s="2">
        <v>2</v>
      </c>
      <c r="G4209" s="2" t="s">
        <v>12</v>
      </c>
    </row>
    <row r="4210" spans="1:8" x14ac:dyDescent="0.2">
      <c r="A4210" s="2" t="s">
        <v>3343</v>
      </c>
      <c r="B4210" s="2" t="s">
        <v>344</v>
      </c>
      <c r="C4210" s="2">
        <v>919.37959999999998</v>
      </c>
      <c r="D4210" s="2">
        <f>HYPERLINK("http://mcb-m6.bioreg.kyushu-u.ac.jp/M3/20110414/F50946/2900/1", 83.19)</f>
        <v>83.19</v>
      </c>
      <c r="E4210" s="2">
        <v>56.3</v>
      </c>
      <c r="F4210" s="2">
        <v>2</v>
      </c>
      <c r="G4210" s="2" t="s">
        <v>12</v>
      </c>
    </row>
    <row r="4211" spans="1:8" x14ac:dyDescent="0.2">
      <c r="A4211" s="2" t="s">
        <v>3343</v>
      </c>
      <c r="B4211" s="2" t="s">
        <v>1002</v>
      </c>
      <c r="C4211" s="2">
        <v>1147.2629999999999</v>
      </c>
      <c r="D4211" s="2">
        <f>HYPERLINK("http://mcb-m6.bioreg.kyushu-u.ac.jp/M3/20110414/F50963/3488/1", 83.23)</f>
        <v>83.23</v>
      </c>
      <c r="E4211" s="2">
        <v>75.42</v>
      </c>
      <c r="F4211" s="2">
        <v>2</v>
      </c>
      <c r="G4211" s="2" t="s">
        <v>12</v>
      </c>
    </row>
    <row r="4212" spans="1:8" x14ac:dyDescent="0.2">
      <c r="A4212" s="2" t="s">
        <v>3343</v>
      </c>
      <c r="B4212" s="2" t="s">
        <v>344</v>
      </c>
      <c r="C4212" s="2">
        <v>919.31769999999995</v>
      </c>
      <c r="D4212" s="2">
        <f>HYPERLINK("http://mcb-m6.bioreg.kyushu-u.ac.jp/M3/20110414/F50963/2694/1", 83.25)</f>
        <v>83.25</v>
      </c>
      <c r="E4212" s="2">
        <v>56.03</v>
      </c>
      <c r="F4212" s="2">
        <v>2</v>
      </c>
      <c r="G4212" s="2" t="s">
        <v>12</v>
      </c>
    </row>
    <row r="4213" spans="1:8" x14ac:dyDescent="0.2">
      <c r="A4213" s="2" t="s">
        <v>3343</v>
      </c>
      <c r="B4213" s="2" t="s">
        <v>1002</v>
      </c>
      <c r="C4213" s="2">
        <v>1147.962</v>
      </c>
      <c r="D4213" s="2">
        <f>HYPERLINK("http://mcb-m6.bioreg.kyushu-u.ac.jp/M3/20110414/F50946/3650/1", 83.35)</f>
        <v>83.35</v>
      </c>
      <c r="E4213" s="2">
        <v>74.05</v>
      </c>
      <c r="F4213" s="2">
        <v>2</v>
      </c>
      <c r="G4213" s="2" t="s">
        <v>12</v>
      </c>
    </row>
    <row r="4214" spans="1:8" x14ac:dyDescent="0.2">
      <c r="A4214" s="2" t="s">
        <v>3343</v>
      </c>
      <c r="B4214" s="2" t="s">
        <v>546</v>
      </c>
      <c r="C4214" s="2">
        <v>664.73109999999997</v>
      </c>
      <c r="D4214" s="2">
        <f>HYPERLINK("http://mcb-m6.bioreg.kyushu-u.ac.jp/M3/20110414/F50932/2011/2", 83.45)</f>
        <v>83.45</v>
      </c>
      <c r="E4214" s="2">
        <v>61.57</v>
      </c>
      <c r="F4214" s="2">
        <v>2</v>
      </c>
      <c r="G4214" s="2" t="s">
        <v>12</v>
      </c>
    </row>
    <row r="4215" spans="1:8" x14ac:dyDescent="0.2">
      <c r="A4215" s="2" t="s">
        <v>3343</v>
      </c>
      <c r="B4215" s="2" t="s">
        <v>1002</v>
      </c>
      <c r="C4215" s="2">
        <v>1147.4010000000001</v>
      </c>
      <c r="D4215" s="2">
        <f>HYPERLINK("http://mcb-m6.bioreg.kyushu-u.ac.jp/M3/20110414/F50946/3630/1", 83.68)</f>
        <v>83.68</v>
      </c>
      <c r="E4215" s="2">
        <v>72.709999999999994</v>
      </c>
      <c r="F4215" s="2">
        <v>2</v>
      </c>
      <c r="G4215" s="2" t="s">
        <v>12</v>
      </c>
    </row>
    <row r="4216" spans="1:8" x14ac:dyDescent="0.2">
      <c r="A4216" s="2" t="s">
        <v>3343</v>
      </c>
      <c r="B4216" s="2" t="s">
        <v>344</v>
      </c>
      <c r="C4216" s="2">
        <v>919.93269999999995</v>
      </c>
      <c r="D4216" s="2">
        <f>HYPERLINK("http://mcb-m6.bioreg.kyushu-u.ac.jp/M3/20110414/F50932/2727/1", 84.05)</f>
        <v>84.05</v>
      </c>
      <c r="E4216" s="2">
        <v>52.6</v>
      </c>
      <c r="F4216" s="2">
        <v>2</v>
      </c>
      <c r="G4216" s="2" t="s">
        <v>12</v>
      </c>
    </row>
    <row r="4217" spans="1:8" x14ac:dyDescent="0.2">
      <c r="A4217" s="2" t="s">
        <v>3343</v>
      </c>
      <c r="B4217" s="2" t="s">
        <v>1002</v>
      </c>
      <c r="C4217" s="2">
        <v>1147.992</v>
      </c>
      <c r="D4217" s="2">
        <f>HYPERLINK("http://mcb-m6.bioreg.kyushu-u.ac.jp/M3/20110414/F50947/4024/1", 84.12)</f>
        <v>84.12</v>
      </c>
      <c r="E4217" s="2">
        <v>73.13</v>
      </c>
      <c r="F4217" s="2">
        <v>2</v>
      </c>
      <c r="G4217" s="2" t="s">
        <v>12</v>
      </c>
    </row>
    <row r="4218" spans="1:8" x14ac:dyDescent="0.2">
      <c r="A4218" s="2" t="s">
        <v>3343</v>
      </c>
      <c r="B4218" s="2" t="s">
        <v>509</v>
      </c>
      <c r="C4218" s="2">
        <v>725.42660000000001</v>
      </c>
      <c r="D4218" s="2">
        <f>HYPERLINK("http://mcb-m6.bioreg.kyushu-u.ac.jp/M3/20110414/F50946/1853/1", 84.27)</f>
        <v>84.27</v>
      </c>
      <c r="E4218" s="2">
        <v>68.92</v>
      </c>
      <c r="F4218" s="2">
        <v>2</v>
      </c>
      <c r="G4218" s="2" t="s">
        <v>12</v>
      </c>
      <c r="H4218" s="2" t="s">
        <v>4927</v>
      </c>
    </row>
    <row r="4219" spans="1:8" x14ac:dyDescent="0.2">
      <c r="A4219" s="2" t="s">
        <v>3343</v>
      </c>
      <c r="B4219" s="2" t="s">
        <v>509</v>
      </c>
      <c r="C4219" s="2">
        <v>725.30970000000002</v>
      </c>
      <c r="D4219" s="2">
        <f>HYPERLINK("http://mcb-m6.bioreg.kyushu-u.ac.jp/M3/20110414/F50963/1766/1", 84.3)</f>
        <v>84.3</v>
      </c>
      <c r="E4219" s="2">
        <v>70.099999999999994</v>
      </c>
      <c r="F4219" s="2">
        <v>2</v>
      </c>
      <c r="G4219" s="2" t="s">
        <v>12</v>
      </c>
      <c r="H4219" s="2" t="s">
        <v>4927</v>
      </c>
    </row>
    <row r="4220" spans="1:8" x14ac:dyDescent="0.2">
      <c r="A4220" s="2" t="s">
        <v>3343</v>
      </c>
      <c r="B4220" s="2" t="s">
        <v>1348</v>
      </c>
      <c r="C4220" s="2">
        <v>1127.2429999999999</v>
      </c>
      <c r="D4220" s="2">
        <f>HYPERLINK("http://mcb-m6.bioreg.kyushu-u.ac.jp/M3/20110414/F50946/4413/1", 84.34)</f>
        <v>84.34</v>
      </c>
      <c r="E4220" s="2">
        <v>72.72</v>
      </c>
      <c r="F4220" s="2">
        <v>3</v>
      </c>
      <c r="G4220" s="2" t="s">
        <v>12</v>
      </c>
    </row>
    <row r="4221" spans="1:8" x14ac:dyDescent="0.2">
      <c r="A4221" s="2" t="s">
        <v>3343</v>
      </c>
      <c r="B4221" s="2" t="s">
        <v>546</v>
      </c>
      <c r="C4221" s="2">
        <v>664.95169999999996</v>
      </c>
      <c r="D4221" s="2">
        <f>HYPERLINK("http://mcb-m6.bioreg.kyushu-u.ac.jp/M3/20110414/F50963/1408/2", 84.45)</f>
        <v>84.45</v>
      </c>
      <c r="E4221" s="2">
        <v>68.89</v>
      </c>
      <c r="F4221" s="2">
        <v>2</v>
      </c>
      <c r="G4221" s="2" t="s">
        <v>12</v>
      </c>
    </row>
    <row r="4222" spans="1:8" x14ac:dyDescent="0.2">
      <c r="A4222" s="2" t="s">
        <v>3343</v>
      </c>
      <c r="B4222" s="2" t="s">
        <v>325</v>
      </c>
      <c r="C4222" s="2">
        <v>747.80160000000001</v>
      </c>
      <c r="D4222" s="2">
        <f>HYPERLINK("http://mcb-m6.bioreg.kyushu-u.ac.jp/M3/20110414/F50933/2461/1", 84.62)</f>
        <v>84.62</v>
      </c>
      <c r="E4222" s="2">
        <v>70.27</v>
      </c>
      <c r="F4222" s="2">
        <v>2</v>
      </c>
      <c r="G4222" s="2" t="s">
        <v>12</v>
      </c>
      <c r="H4222" s="2" t="s">
        <v>4925</v>
      </c>
    </row>
    <row r="4223" spans="1:8" x14ac:dyDescent="0.2">
      <c r="A4223" s="2" t="s">
        <v>3343</v>
      </c>
      <c r="B4223" s="2" t="s">
        <v>344</v>
      </c>
      <c r="C4223" s="2">
        <v>919.54420000000005</v>
      </c>
      <c r="D4223" s="2">
        <f>HYPERLINK("http://mcb-m6.bioreg.kyushu-u.ac.jp/M3/20110414/F50946/2907/1", 84.75)</f>
        <v>84.75</v>
      </c>
      <c r="E4223" s="2">
        <v>52.53</v>
      </c>
      <c r="F4223" s="2">
        <v>2</v>
      </c>
      <c r="G4223" s="2" t="s">
        <v>12</v>
      </c>
    </row>
    <row r="4224" spans="1:8" x14ac:dyDescent="0.2">
      <c r="A4224" s="2" t="s">
        <v>3343</v>
      </c>
      <c r="B4224" s="2" t="s">
        <v>1189</v>
      </c>
      <c r="C4224" s="2">
        <v>1069.364</v>
      </c>
      <c r="D4224" s="2">
        <f>HYPERLINK("http://mcb-m6.bioreg.kyushu-u.ac.jp/M3/20110414/F50946/3338/1", 84.75)</f>
        <v>84.75</v>
      </c>
      <c r="E4224" s="2">
        <v>72.28</v>
      </c>
      <c r="F4224" s="2">
        <v>2</v>
      </c>
      <c r="G4224" s="2" t="s">
        <v>12</v>
      </c>
    </row>
    <row r="4225" spans="1:8" x14ac:dyDescent="0.2">
      <c r="A4225" s="2" t="s">
        <v>3343</v>
      </c>
      <c r="B4225" s="2" t="s">
        <v>546</v>
      </c>
      <c r="C4225" s="2">
        <v>664.84619999999995</v>
      </c>
      <c r="D4225" s="2">
        <f>HYPERLINK("http://mcb-m6.bioreg.kyushu-u.ac.jp/M3/20110414/F50946/1545/2", 86.29)</f>
        <v>86.29</v>
      </c>
      <c r="E4225" s="2">
        <v>70.81</v>
      </c>
      <c r="F4225" s="2">
        <v>2</v>
      </c>
      <c r="G4225" s="2" t="s">
        <v>12</v>
      </c>
    </row>
    <row r="4226" spans="1:8" x14ac:dyDescent="0.2">
      <c r="A4226" s="2" t="s">
        <v>3343</v>
      </c>
      <c r="B4226" s="2" t="s">
        <v>325</v>
      </c>
      <c r="C4226" s="2">
        <v>739.79420000000005</v>
      </c>
      <c r="D4226" s="2">
        <f>HYPERLINK("http://mcb-m6.bioreg.kyushu-u.ac.jp/M3/20110414/F50947/1954/1", 87.18)</f>
        <v>87.18</v>
      </c>
      <c r="E4226" s="2">
        <v>75.98</v>
      </c>
      <c r="F4226" s="2">
        <v>2</v>
      </c>
      <c r="G4226" s="2" t="s">
        <v>12</v>
      </c>
    </row>
    <row r="4227" spans="1:8" x14ac:dyDescent="0.2">
      <c r="A4227" s="2" t="s">
        <v>3343</v>
      </c>
      <c r="B4227" s="2" t="s">
        <v>546</v>
      </c>
      <c r="C4227" s="2">
        <v>664.79610000000002</v>
      </c>
      <c r="D4227" s="2">
        <f>HYPERLINK("http://mcb-m6.bioreg.kyushu-u.ac.jp/M3/20110414/F50946/1540/2", 87.94)</f>
        <v>87.94</v>
      </c>
      <c r="E4227" s="2">
        <v>71.180000000000007</v>
      </c>
      <c r="F4227" s="2">
        <v>2</v>
      </c>
      <c r="G4227" s="2" t="s">
        <v>12</v>
      </c>
    </row>
    <row r="4228" spans="1:8" x14ac:dyDescent="0.2">
      <c r="A4228" s="2" t="s">
        <v>3343</v>
      </c>
      <c r="B4228" s="2" t="s">
        <v>1002</v>
      </c>
      <c r="C4228" s="2">
        <v>1147.713</v>
      </c>
      <c r="D4228" s="2">
        <f>HYPERLINK("http://mcb-m6.bioreg.kyushu-u.ac.jp/M3/20110414/F50948/4058/1", 88.07)</f>
        <v>88.07</v>
      </c>
      <c r="E4228" s="2">
        <v>76.17</v>
      </c>
      <c r="F4228" s="2">
        <v>2</v>
      </c>
      <c r="G4228" s="2" t="s">
        <v>12</v>
      </c>
    </row>
    <row r="4229" spans="1:8" x14ac:dyDescent="0.2">
      <c r="A4229" s="2" t="s">
        <v>3343</v>
      </c>
      <c r="B4229" s="2" t="s">
        <v>546</v>
      </c>
      <c r="C4229" s="2">
        <v>664.69420000000002</v>
      </c>
      <c r="D4229" s="2">
        <f>HYPERLINK("http://mcb-m6.bioreg.kyushu-u.ac.jp/M3/20110414/F50946/1537/2", 88.09)</f>
        <v>88.09</v>
      </c>
      <c r="E4229" s="2">
        <v>71.59</v>
      </c>
      <c r="F4229" s="2">
        <v>2</v>
      </c>
      <c r="G4229" s="2" t="s">
        <v>12</v>
      </c>
    </row>
    <row r="4230" spans="1:8" x14ac:dyDescent="0.2">
      <c r="A4230" s="2" t="s">
        <v>3343</v>
      </c>
      <c r="B4230" s="2" t="s">
        <v>1002</v>
      </c>
      <c r="C4230" s="2">
        <v>1147.806</v>
      </c>
      <c r="D4230" s="2">
        <f>HYPERLINK("http://mcb-m6.bioreg.kyushu-u.ac.jp/M3/20110414/F50946/3643/1", 88.23)</f>
        <v>88.23</v>
      </c>
      <c r="E4230" s="2">
        <v>71.209999999999994</v>
      </c>
      <c r="F4230" s="2">
        <v>2</v>
      </c>
      <c r="G4230" s="2" t="s">
        <v>12</v>
      </c>
    </row>
    <row r="4231" spans="1:8" x14ac:dyDescent="0.2">
      <c r="A4231" s="2" t="s">
        <v>3343</v>
      </c>
      <c r="B4231" s="2" t="s">
        <v>325</v>
      </c>
      <c r="C4231" s="2">
        <v>747.29269999999997</v>
      </c>
      <c r="D4231" s="2">
        <f>HYPERLINK("http://mcb-m6.bioreg.kyushu-u.ac.jp/M3/20110414/F50946/2014/1", 88.33)</f>
        <v>88.33</v>
      </c>
      <c r="E4231" s="2">
        <v>72.81</v>
      </c>
      <c r="F4231" s="2">
        <v>2</v>
      </c>
      <c r="G4231" s="2" t="s">
        <v>12</v>
      </c>
      <c r="H4231" s="2" t="s">
        <v>4925</v>
      </c>
    </row>
    <row r="4232" spans="1:8" x14ac:dyDescent="0.2">
      <c r="A4232" s="2" t="s">
        <v>3343</v>
      </c>
      <c r="B4232" s="2" t="s">
        <v>1002</v>
      </c>
      <c r="C4232" s="2">
        <v>1147.489</v>
      </c>
      <c r="D4232" s="2">
        <f>HYPERLINK("http://mcb-m6.bioreg.kyushu-u.ac.jp/M3/20110414/F50947/4010/1", 89.35)</f>
        <v>89.35</v>
      </c>
      <c r="E4232" s="2">
        <v>81.239999999999995</v>
      </c>
      <c r="F4232" s="2">
        <v>2</v>
      </c>
      <c r="G4232" s="2" t="s">
        <v>12</v>
      </c>
    </row>
    <row r="4233" spans="1:8" x14ac:dyDescent="0.2">
      <c r="A4233" s="2" t="s">
        <v>3343</v>
      </c>
      <c r="B4233" s="2" t="s">
        <v>344</v>
      </c>
      <c r="C4233" s="2">
        <v>919.35059999999999</v>
      </c>
      <c r="D4233" s="2">
        <f>HYPERLINK("http://mcb-m6.bioreg.kyushu-u.ac.jp/M3/20110414/F50946/2896/1", 90.01)</f>
        <v>90.01</v>
      </c>
      <c r="E4233" s="2">
        <v>66.12</v>
      </c>
      <c r="F4233" s="2">
        <v>2</v>
      </c>
      <c r="G4233" s="2" t="s">
        <v>12</v>
      </c>
    </row>
    <row r="4234" spans="1:8" x14ac:dyDescent="0.2">
      <c r="A4234" s="2" t="s">
        <v>3343</v>
      </c>
      <c r="B4234" s="2" t="s">
        <v>546</v>
      </c>
      <c r="C4234" s="2">
        <v>664.8691</v>
      </c>
      <c r="D4234" s="2">
        <f>HYPERLINK("http://mcb-m6.bioreg.kyushu-u.ac.jp/M3/20110414/F50946/1546/2", 92.09)</f>
        <v>92.09</v>
      </c>
      <c r="E4234" s="2">
        <v>71.59</v>
      </c>
      <c r="F4234" s="2">
        <v>2</v>
      </c>
      <c r="G4234" s="2" t="s">
        <v>12</v>
      </c>
    </row>
    <row r="4235" spans="1:8" x14ac:dyDescent="0.2">
      <c r="A4235" s="2" t="s">
        <v>3343</v>
      </c>
      <c r="B4235" s="2" t="s">
        <v>1032</v>
      </c>
      <c r="C4235" s="2">
        <v>1163.681</v>
      </c>
      <c r="D4235" s="2">
        <f>HYPERLINK("http://mcb-m6.bioreg.kyushu-u.ac.jp/M3/20110414/F50948/4111/1", 92.55)</f>
        <v>92.55</v>
      </c>
      <c r="E4235" s="2">
        <v>75.150000000000006</v>
      </c>
      <c r="F4235" s="2">
        <v>2</v>
      </c>
      <c r="G4235" s="2" t="s">
        <v>12</v>
      </c>
    </row>
    <row r="4236" spans="1:8" x14ac:dyDescent="0.2">
      <c r="A4236" s="2" t="s">
        <v>3343</v>
      </c>
      <c r="B4236" s="2" t="s">
        <v>1032</v>
      </c>
      <c r="C4236" s="2">
        <v>1163.961</v>
      </c>
      <c r="D4236" s="2">
        <f>HYPERLINK("http://mcb-m6.bioreg.kyushu-u.ac.jp/M3/20110414/F50947/4115/1", 92.66)</f>
        <v>92.66</v>
      </c>
      <c r="E4236" s="2">
        <v>83.28</v>
      </c>
      <c r="F4236" s="2">
        <v>2</v>
      </c>
      <c r="G4236" s="2" t="s">
        <v>12</v>
      </c>
    </row>
    <row r="4237" spans="1:8" x14ac:dyDescent="0.2">
      <c r="A4237" s="2" t="s">
        <v>3343</v>
      </c>
      <c r="B4237" s="2" t="s">
        <v>325</v>
      </c>
      <c r="C4237" s="2">
        <v>739.0702</v>
      </c>
      <c r="D4237" s="2">
        <f>HYPERLINK("http://mcb-m6.bioreg.kyushu-u.ac.jp/M3/20110414/F50963/1825/1", 92.93)</f>
        <v>92.93</v>
      </c>
      <c r="E4237" s="2">
        <v>75.010000000000005</v>
      </c>
      <c r="F4237" s="2">
        <v>2</v>
      </c>
      <c r="G4237" s="2" t="s">
        <v>12</v>
      </c>
    </row>
    <row r="4238" spans="1:8" x14ac:dyDescent="0.2">
      <c r="A4238" s="2" t="s">
        <v>3343</v>
      </c>
      <c r="B4238" s="2" t="s">
        <v>1211</v>
      </c>
      <c r="C4238" s="2">
        <v>1153.441</v>
      </c>
      <c r="D4238" s="2">
        <f>HYPERLINK("http://mcb-m6.bioreg.kyushu-u.ac.jp/M3/20110414/F50946/3702/1", 94.11)</f>
        <v>94.11</v>
      </c>
      <c r="E4238" s="2">
        <v>81.12</v>
      </c>
      <c r="F4238" s="2">
        <v>2</v>
      </c>
      <c r="G4238" s="2" t="s">
        <v>12</v>
      </c>
    </row>
    <row r="4239" spans="1:8" x14ac:dyDescent="0.2">
      <c r="A4239" s="2" t="s">
        <v>3343</v>
      </c>
      <c r="B4239" s="2" t="s">
        <v>1211</v>
      </c>
      <c r="C4239" s="2">
        <v>1161.5319999999999</v>
      </c>
      <c r="D4239" s="2">
        <f>HYPERLINK("http://mcb-m6.bioreg.kyushu-u.ac.jp/M3/20110414/F50947/4105/1", 96.08)</f>
        <v>96.08</v>
      </c>
      <c r="E4239" s="2">
        <v>83.68</v>
      </c>
      <c r="F4239" s="2">
        <v>2</v>
      </c>
      <c r="G4239" s="2" t="s">
        <v>12</v>
      </c>
      <c r="H4239" s="2" t="s">
        <v>4891</v>
      </c>
    </row>
    <row r="4240" spans="1:8" x14ac:dyDescent="0.2">
      <c r="A4240" s="2" t="s">
        <v>3343</v>
      </c>
      <c r="B4240" s="2" t="s">
        <v>1211</v>
      </c>
      <c r="C4240" s="2">
        <v>1161.549</v>
      </c>
      <c r="D4240" s="2">
        <f>HYPERLINK("http://mcb-m6.bioreg.kyushu-u.ac.jp/M3/20110414/F50946/3751/1", 96.17)</f>
        <v>96.17</v>
      </c>
      <c r="E4240" s="2">
        <v>78.760000000000005</v>
      </c>
      <c r="F4240" s="2">
        <v>2</v>
      </c>
      <c r="G4240" s="2" t="s">
        <v>12</v>
      </c>
      <c r="H4240" s="2" t="s">
        <v>4891</v>
      </c>
    </row>
    <row r="4241" spans="1:8" x14ac:dyDescent="0.2">
      <c r="A4241" s="2" t="s">
        <v>3343</v>
      </c>
      <c r="B4241" s="2" t="s">
        <v>325</v>
      </c>
      <c r="C4241" s="2">
        <v>747.23720000000003</v>
      </c>
      <c r="D4241" s="2">
        <f>HYPERLINK("http://mcb-m6.bioreg.kyushu-u.ac.jp/M3/20110414/F50946/2010/1", 98.08)</f>
        <v>98.08</v>
      </c>
      <c r="E4241" s="2">
        <v>82.98</v>
      </c>
      <c r="F4241" s="2">
        <v>2</v>
      </c>
      <c r="G4241" s="2" t="s">
        <v>12</v>
      </c>
      <c r="H4241" s="2" t="s">
        <v>4925</v>
      </c>
    </row>
    <row r="4242" spans="1:8" x14ac:dyDescent="0.2">
      <c r="A4242" s="2" t="s">
        <v>3343</v>
      </c>
      <c r="B4242" s="2" t="s">
        <v>1189</v>
      </c>
      <c r="C4242" s="2">
        <v>1069.9259999999999</v>
      </c>
      <c r="D4242" s="2">
        <f>HYPERLINK("http://mcb-m6.bioreg.kyushu-u.ac.jp/M3/20110414/F50946/3343/1", 98.22)</f>
        <v>98.22</v>
      </c>
      <c r="E4242" s="2">
        <v>82.88</v>
      </c>
      <c r="F4242" s="2">
        <v>2</v>
      </c>
      <c r="G4242" s="2" t="s">
        <v>12</v>
      </c>
    </row>
    <row r="4243" spans="1:8" x14ac:dyDescent="0.2">
      <c r="A4243" s="2" t="s">
        <v>3343</v>
      </c>
      <c r="B4243" s="2" t="s">
        <v>325</v>
      </c>
      <c r="C4243" s="2">
        <v>739.2441</v>
      </c>
      <c r="D4243" s="2">
        <f>HYPERLINK("http://mcb-m6.bioreg.kyushu-u.ac.jp/M3/20110414/F50966/1862/1", 99.12)</f>
        <v>99.12</v>
      </c>
      <c r="E4243" s="2">
        <v>75.819999999999993</v>
      </c>
      <c r="F4243" s="2">
        <v>2</v>
      </c>
      <c r="G4243" s="2" t="s">
        <v>12</v>
      </c>
    </row>
    <row r="4244" spans="1:8" x14ac:dyDescent="0.2">
      <c r="A4244" s="2" t="s">
        <v>3343</v>
      </c>
      <c r="B4244" s="2" t="s">
        <v>1189</v>
      </c>
      <c r="C4244" s="2">
        <v>1069.605</v>
      </c>
      <c r="D4244" s="2">
        <f>HYPERLINK("http://mcb-m6.bioreg.kyushu-u.ac.jp/M3/20110414/F50948/3774/1", 100.42)</f>
        <v>100.42</v>
      </c>
      <c r="E4244" s="2">
        <v>83.98</v>
      </c>
      <c r="F4244" s="2">
        <v>2</v>
      </c>
      <c r="G4244" s="2" t="s">
        <v>12</v>
      </c>
    </row>
    <row r="4245" spans="1:8" x14ac:dyDescent="0.2">
      <c r="A4245" s="2" t="s">
        <v>3343</v>
      </c>
      <c r="B4245" s="2" t="s">
        <v>1032</v>
      </c>
      <c r="C4245" s="2">
        <v>1163.809</v>
      </c>
      <c r="D4245" s="2">
        <f>HYPERLINK("http://mcb-m6.bioreg.kyushu-u.ac.jp/M3/20110414/F50933/3691/1", 102.08)</f>
        <v>102.08</v>
      </c>
      <c r="E4245" s="2">
        <v>87.78</v>
      </c>
      <c r="F4245" s="2">
        <v>2</v>
      </c>
      <c r="G4245" s="2" t="s">
        <v>12</v>
      </c>
    </row>
    <row r="4246" spans="1:8" x14ac:dyDescent="0.2">
      <c r="A4246" s="2" t="s">
        <v>3343</v>
      </c>
      <c r="B4246" s="2" t="s">
        <v>325</v>
      </c>
      <c r="C4246" s="2">
        <v>739.54169999999999</v>
      </c>
      <c r="D4246" s="2">
        <f>HYPERLINK("http://mcb-m6.bioreg.kyushu-u.ac.jp/M3/20110414/F50946/1945/1", 103.12)</f>
        <v>103.12</v>
      </c>
      <c r="E4246" s="2">
        <v>88.6</v>
      </c>
      <c r="F4246" s="2">
        <v>2</v>
      </c>
      <c r="G4246" s="2" t="s">
        <v>12</v>
      </c>
    </row>
    <row r="4247" spans="1:8" x14ac:dyDescent="0.2">
      <c r="A4247" s="2" t="s">
        <v>3343</v>
      </c>
      <c r="B4247" s="2" t="s">
        <v>1189</v>
      </c>
      <c r="C4247" s="2">
        <v>1069.086</v>
      </c>
      <c r="D4247" s="2">
        <f>HYPERLINK("http://mcb-m6.bioreg.kyushu-u.ac.jp/M3/20110414/F50948/3771/1", 103.64)</f>
        <v>103.64</v>
      </c>
      <c r="E4247" s="2">
        <v>88.01</v>
      </c>
      <c r="F4247" s="2">
        <v>2</v>
      </c>
      <c r="G4247" s="2" t="s">
        <v>12</v>
      </c>
    </row>
    <row r="4248" spans="1:8" x14ac:dyDescent="0.2">
      <c r="A4248" s="2" t="s">
        <v>3343</v>
      </c>
      <c r="B4248" s="2" t="s">
        <v>1032</v>
      </c>
      <c r="C4248" s="2">
        <v>1163.7070000000001</v>
      </c>
      <c r="D4248" s="2">
        <f>HYPERLINK("http://mcb-m6.bioreg.kyushu-u.ac.jp/M3/20110414/F50946/3766/1", 103.76)</f>
        <v>103.76</v>
      </c>
      <c r="E4248" s="2">
        <v>88.2</v>
      </c>
      <c r="F4248" s="2">
        <v>2</v>
      </c>
      <c r="G4248" s="2" t="s">
        <v>12</v>
      </c>
    </row>
    <row r="4249" spans="1:8" x14ac:dyDescent="0.2">
      <c r="A4249" s="2" t="s">
        <v>3343</v>
      </c>
      <c r="B4249" s="2" t="s">
        <v>1189</v>
      </c>
      <c r="C4249" s="2">
        <v>1069.8800000000001</v>
      </c>
      <c r="D4249" s="2">
        <f>HYPERLINK("http://mcb-m6.bioreg.kyushu-u.ac.jp/M3/20110414/F50946/3342/1", 104.04)</f>
        <v>104.04</v>
      </c>
      <c r="E4249" s="2">
        <v>89.33</v>
      </c>
      <c r="F4249" s="2">
        <v>2</v>
      </c>
      <c r="G4249" s="2" t="s">
        <v>12</v>
      </c>
    </row>
    <row r="4250" spans="1:8" x14ac:dyDescent="0.2">
      <c r="A4250" s="2" t="s">
        <v>3343</v>
      </c>
      <c r="B4250" s="2" t="s">
        <v>1032</v>
      </c>
      <c r="C4250" s="2">
        <v>1163.798</v>
      </c>
      <c r="D4250" s="2">
        <f>HYPERLINK("http://mcb-m6.bioreg.kyushu-u.ac.jp/M3/20110414/F50963/3542/1", 105.73)</f>
        <v>105.73</v>
      </c>
      <c r="E4250" s="2">
        <v>91.4</v>
      </c>
      <c r="F4250" s="2">
        <v>2</v>
      </c>
      <c r="G4250" s="2" t="s">
        <v>12</v>
      </c>
    </row>
    <row r="4251" spans="1:8" x14ac:dyDescent="0.2">
      <c r="A4251" s="2" t="s">
        <v>3343</v>
      </c>
      <c r="B4251" s="2" t="s">
        <v>1032</v>
      </c>
      <c r="C4251" s="2">
        <v>1164.1220000000001</v>
      </c>
      <c r="D4251" s="2">
        <f>HYPERLINK("http://mcb-m6.bioreg.kyushu-u.ac.jp/M3/20110414/F50950/3969/1", 107.41)</f>
        <v>107.41</v>
      </c>
      <c r="E4251" s="2">
        <v>79.459999999999994</v>
      </c>
      <c r="F4251" s="2">
        <v>2</v>
      </c>
      <c r="G4251" s="2" t="s">
        <v>12</v>
      </c>
    </row>
    <row r="4252" spans="1:8" x14ac:dyDescent="0.2">
      <c r="A4252" s="2" t="s">
        <v>3343</v>
      </c>
      <c r="B4252" s="2" t="s">
        <v>1032</v>
      </c>
      <c r="C4252" s="2">
        <v>1163.8720000000001</v>
      </c>
      <c r="D4252" s="2">
        <f>HYPERLINK("http://mcb-m6.bioreg.kyushu-u.ac.jp/M3/20110414/F50963/3543/1", 107.72)</f>
        <v>107.72</v>
      </c>
      <c r="E4252" s="2">
        <v>97.39</v>
      </c>
      <c r="F4252" s="2">
        <v>2</v>
      </c>
      <c r="G4252" s="2" t="s">
        <v>12</v>
      </c>
    </row>
    <row r="4253" spans="1:8" x14ac:dyDescent="0.2">
      <c r="A4253" s="2" t="s">
        <v>3343</v>
      </c>
      <c r="B4253" s="2" t="s">
        <v>1002</v>
      </c>
      <c r="C4253" s="2">
        <v>1147.4490000000001</v>
      </c>
      <c r="D4253" s="2">
        <f>HYPERLINK("http://mcb-m6.bioreg.kyushu-u.ac.jp/M3/20110414/F50946/3632/1", 108.71)</f>
        <v>108.71</v>
      </c>
      <c r="E4253" s="2">
        <v>97.57</v>
      </c>
      <c r="F4253" s="2">
        <v>2</v>
      </c>
      <c r="G4253" s="2" t="s">
        <v>12</v>
      </c>
    </row>
    <row r="4254" spans="1:8" x14ac:dyDescent="0.2">
      <c r="A4254" s="2" t="s">
        <v>3343</v>
      </c>
      <c r="B4254" s="2" t="s">
        <v>1032</v>
      </c>
      <c r="C4254" s="2">
        <v>1163.8579999999999</v>
      </c>
      <c r="D4254" s="2">
        <f>HYPERLINK("http://mcb-m6.bioreg.kyushu-u.ac.jp/M3/20110414/F50946/3768/1", 110.05)</f>
        <v>110.05</v>
      </c>
      <c r="E4254" s="2">
        <v>98.14</v>
      </c>
      <c r="F4254" s="2">
        <v>2</v>
      </c>
      <c r="G4254" s="2" t="s">
        <v>12</v>
      </c>
    </row>
    <row r="4255" spans="1:8" x14ac:dyDescent="0.2">
      <c r="A4255" s="2" t="s">
        <v>3343</v>
      </c>
      <c r="B4255" s="2" t="s">
        <v>325</v>
      </c>
      <c r="C4255" s="2">
        <v>739.73170000000005</v>
      </c>
      <c r="D4255" s="2">
        <f>HYPERLINK("http://mcb-m6.bioreg.kyushu-u.ac.jp/M3/20110414/F50946/1946/1", 111.94)</f>
        <v>111.94</v>
      </c>
      <c r="E4255" s="2">
        <v>100.75</v>
      </c>
      <c r="F4255" s="2">
        <v>2</v>
      </c>
      <c r="G4255" s="2" t="s">
        <v>12</v>
      </c>
    </row>
    <row r="4256" spans="1:8" x14ac:dyDescent="0.2">
      <c r="A4256" s="2" t="s">
        <v>3343</v>
      </c>
      <c r="B4256" s="2" t="s">
        <v>1189</v>
      </c>
      <c r="C4256" s="2">
        <v>1069.7660000000001</v>
      </c>
      <c r="D4256" s="2">
        <f>HYPERLINK("http://mcb-m6.bioreg.kyushu-u.ac.jp/M3/20110414/F50932/2967/1", 112.39)</f>
        <v>112.39</v>
      </c>
      <c r="E4256" s="2">
        <v>98.1</v>
      </c>
      <c r="F4256" s="2">
        <v>2</v>
      </c>
      <c r="G4256" s="2" t="s">
        <v>12</v>
      </c>
    </row>
    <row r="4257" spans="1:8" x14ac:dyDescent="0.2">
      <c r="A4257" s="2" t="s">
        <v>3343</v>
      </c>
      <c r="B4257" s="2" t="s">
        <v>325</v>
      </c>
      <c r="C4257" s="2">
        <v>739.33119999999997</v>
      </c>
      <c r="D4257" s="2">
        <f>HYPERLINK("http://mcb-m6.bioreg.kyushu-u.ac.jp/M3/20110414/F50946/1942/1", 113.58)</f>
        <v>113.58</v>
      </c>
      <c r="E4257" s="2">
        <v>99.71</v>
      </c>
      <c r="F4257" s="2">
        <v>2</v>
      </c>
      <c r="G4257" s="2" t="s">
        <v>12</v>
      </c>
    </row>
    <row r="4258" spans="1:8" x14ac:dyDescent="0.2">
      <c r="A4258" s="2" t="s">
        <v>3343</v>
      </c>
      <c r="B4258" s="2" t="s">
        <v>1189</v>
      </c>
      <c r="C4258" s="2">
        <v>1069.3630000000001</v>
      </c>
      <c r="D4258" s="2">
        <f>HYPERLINK("http://mcb-m6.bioreg.kyushu-u.ac.jp/M3/20110414/F50946/3337/1", 122.94)</f>
        <v>122.94</v>
      </c>
      <c r="E4258" s="2">
        <v>110.3</v>
      </c>
      <c r="F4258" s="2">
        <v>2</v>
      </c>
      <c r="G4258" s="2" t="s">
        <v>12</v>
      </c>
    </row>
    <row r="4259" spans="1:8" x14ac:dyDescent="0.2">
      <c r="A4259" s="2" t="s">
        <v>3343</v>
      </c>
      <c r="B4259" s="2" t="s">
        <v>1032</v>
      </c>
      <c r="C4259" s="2">
        <v>1163.2860000000001</v>
      </c>
      <c r="D4259" s="2">
        <f>HYPERLINK("http://mcb-m6.bioreg.kyushu-u.ac.jp/M3/20110414/F50963/3538/1", 123.04)</f>
        <v>123.04</v>
      </c>
      <c r="E4259" s="2">
        <v>108.92</v>
      </c>
      <c r="F4259" s="2">
        <v>2</v>
      </c>
      <c r="G4259" s="2" t="s">
        <v>12</v>
      </c>
    </row>
    <row r="4260" spans="1:8" x14ac:dyDescent="0.2">
      <c r="A4260" s="2" t="s">
        <v>3343</v>
      </c>
      <c r="B4260" s="2" t="s">
        <v>328</v>
      </c>
      <c r="C4260" s="2">
        <v>573.92570000000001</v>
      </c>
      <c r="D4260" s="2">
        <f>HYPERLINK("http://mcb-m6.bioreg.kyushu-u.ac.jp/M3/20110502/F51187/1021/1", 35.86)</f>
        <v>35.86</v>
      </c>
      <c r="E4260" s="2">
        <v>15.01</v>
      </c>
      <c r="F4260" s="2">
        <v>2</v>
      </c>
      <c r="G4260" s="2" t="s">
        <v>13</v>
      </c>
    </row>
    <row r="4261" spans="1:8" x14ac:dyDescent="0.2">
      <c r="A4261" s="2" t="s">
        <v>3343</v>
      </c>
      <c r="B4261" s="2" t="s">
        <v>325</v>
      </c>
      <c r="C4261" s="2">
        <v>739.84860000000003</v>
      </c>
      <c r="D4261" s="2">
        <f>HYPERLINK("http://mcb-m6.bioreg.kyushu-u.ac.jp/M3/20110502/F51170/2063/1", 36.52)</f>
        <v>36.520000000000003</v>
      </c>
      <c r="E4261" s="2">
        <v>29.33</v>
      </c>
      <c r="F4261" s="2">
        <v>2</v>
      </c>
      <c r="G4261" s="2" t="s">
        <v>13</v>
      </c>
    </row>
    <row r="4262" spans="1:8" x14ac:dyDescent="0.2">
      <c r="A4262" s="2" t="s">
        <v>3343</v>
      </c>
      <c r="B4262" s="2" t="s">
        <v>2359</v>
      </c>
      <c r="C4262" s="2">
        <v>679.13760000000002</v>
      </c>
      <c r="D4262" s="2">
        <f>HYPERLINK("http://mcb-m6.bioreg.kyushu-u.ac.jp/M3/20110502/F51180/1422/1", 36.6)</f>
        <v>36.6</v>
      </c>
      <c r="E4262" s="2">
        <v>8.0500000000000007</v>
      </c>
      <c r="F4262" s="2">
        <v>2</v>
      </c>
      <c r="G4262" s="2" t="s">
        <v>13</v>
      </c>
    </row>
    <row r="4263" spans="1:8" x14ac:dyDescent="0.2">
      <c r="A4263" s="2" t="s">
        <v>3343</v>
      </c>
      <c r="B4263" s="2" t="s">
        <v>325</v>
      </c>
      <c r="C4263" s="2">
        <v>747.53120000000001</v>
      </c>
      <c r="D4263" s="2">
        <f>HYPERLINK("http://mcb-m6.bioreg.kyushu-u.ac.jp/M3/20110502/F51180/1865/1", 36.73)</f>
        <v>36.729999999999997</v>
      </c>
      <c r="E4263" s="2">
        <v>25.71</v>
      </c>
      <c r="F4263" s="2">
        <v>2</v>
      </c>
      <c r="G4263" s="2" t="s">
        <v>13</v>
      </c>
      <c r="H4263" s="2" t="s">
        <v>4925</v>
      </c>
    </row>
    <row r="4264" spans="1:8" x14ac:dyDescent="0.2">
      <c r="A4264" s="2" t="s">
        <v>3343</v>
      </c>
      <c r="B4264" s="2" t="s">
        <v>509</v>
      </c>
      <c r="C4264" s="2">
        <v>1449.925</v>
      </c>
      <c r="D4264" s="2">
        <f>HYPERLINK("http://mcb-m6.bioreg.kyushu-u.ac.jp/M3/20110502/F51180/1713/1", 36.94)</f>
        <v>36.94</v>
      </c>
      <c r="E4264" s="2">
        <v>20.260000000000002</v>
      </c>
      <c r="F4264" s="2">
        <v>1</v>
      </c>
      <c r="G4264" s="2" t="s">
        <v>13</v>
      </c>
      <c r="H4264" s="2" t="s">
        <v>4927</v>
      </c>
    </row>
    <row r="4265" spans="1:8" x14ac:dyDescent="0.2">
      <c r="A4265" s="2" t="s">
        <v>3343</v>
      </c>
      <c r="B4265" s="2" t="s">
        <v>509</v>
      </c>
      <c r="C4265" s="2">
        <v>1433.92</v>
      </c>
      <c r="D4265" s="2">
        <f>HYPERLINK("http://mcb-m6.bioreg.kyushu-u.ac.jp/M3/20110502/F51180/1661/1", 37.62)</f>
        <v>37.619999999999997</v>
      </c>
      <c r="E4265" s="2">
        <v>13.63</v>
      </c>
      <c r="F4265" s="2">
        <v>1</v>
      </c>
      <c r="G4265" s="2" t="s">
        <v>13</v>
      </c>
    </row>
    <row r="4266" spans="1:8" x14ac:dyDescent="0.2">
      <c r="A4266" s="2" t="s">
        <v>3343</v>
      </c>
      <c r="B4266" s="2" t="s">
        <v>428</v>
      </c>
      <c r="C4266" s="2">
        <v>452.10509999999999</v>
      </c>
      <c r="D4266" s="2">
        <f>HYPERLINK("http://mcb-m6.bioreg.kyushu-u.ac.jp/M3/20110502/F51180/503/1", 38.13)</f>
        <v>38.130000000000003</v>
      </c>
      <c r="E4266" s="2">
        <v>14.26</v>
      </c>
      <c r="F4266" s="2">
        <v>2</v>
      </c>
      <c r="G4266" s="2" t="s">
        <v>13</v>
      </c>
    </row>
    <row r="4267" spans="1:8" x14ac:dyDescent="0.2">
      <c r="A4267" s="2" t="s">
        <v>3343</v>
      </c>
      <c r="B4267" s="2" t="s">
        <v>1032</v>
      </c>
      <c r="C4267" s="2">
        <v>1155.6310000000001</v>
      </c>
      <c r="D4267" s="2">
        <f>HYPERLINK("http://mcb-m6.bioreg.kyushu-u.ac.jp/M3/20110502/F51180/3415/1", 38.26)</f>
        <v>38.26</v>
      </c>
      <c r="E4267" s="2">
        <v>29.05</v>
      </c>
      <c r="F4267" s="2">
        <v>2</v>
      </c>
      <c r="G4267" s="2" t="s">
        <v>13</v>
      </c>
      <c r="H4267" s="2" t="s">
        <v>4904</v>
      </c>
    </row>
    <row r="4268" spans="1:8" x14ac:dyDescent="0.2">
      <c r="A4268" s="2" t="s">
        <v>3343</v>
      </c>
      <c r="B4268" s="2" t="s">
        <v>704</v>
      </c>
      <c r="C4268" s="2">
        <v>1221</v>
      </c>
      <c r="D4268" s="2">
        <f>HYPERLINK("http://mcb-m6.bioreg.kyushu-u.ac.jp/M3/20110502/F51180/1166/1", 38.47)</f>
        <v>38.47</v>
      </c>
      <c r="E4268" s="2">
        <v>10.33</v>
      </c>
      <c r="F4268" s="2">
        <v>1</v>
      </c>
      <c r="G4268" s="2" t="s">
        <v>13</v>
      </c>
      <c r="H4268" s="2" t="s">
        <v>4908</v>
      </c>
    </row>
    <row r="4269" spans="1:8" x14ac:dyDescent="0.2">
      <c r="A4269" s="2" t="s">
        <v>3343</v>
      </c>
      <c r="B4269" s="2" t="s">
        <v>428</v>
      </c>
      <c r="C4269" s="2">
        <v>452.05259999999998</v>
      </c>
      <c r="D4269" s="2">
        <f>HYPERLINK("http://mcb-m6.bioreg.kyushu-u.ac.jp/M3/20110502/F51180/500/1", 38.96)</f>
        <v>38.96</v>
      </c>
      <c r="E4269" s="2">
        <v>9.0399999999999991</v>
      </c>
      <c r="F4269" s="2">
        <v>2</v>
      </c>
      <c r="G4269" s="2" t="s">
        <v>13</v>
      </c>
    </row>
    <row r="4270" spans="1:8" x14ac:dyDescent="0.2">
      <c r="A4270" s="2" t="s">
        <v>3343</v>
      </c>
      <c r="B4270" s="2" t="s">
        <v>428</v>
      </c>
      <c r="C4270" s="2">
        <v>452.16809999999998</v>
      </c>
      <c r="D4270" s="2">
        <f>HYPERLINK("http://mcb-m6.bioreg.kyushu-u.ac.jp/M3/20110502/F51180/504/1", 39.67)</f>
        <v>39.67</v>
      </c>
      <c r="E4270" s="2">
        <v>20.149999999999999</v>
      </c>
      <c r="F4270" s="2">
        <v>2</v>
      </c>
      <c r="G4270" s="2" t="s">
        <v>13</v>
      </c>
    </row>
    <row r="4271" spans="1:8" x14ac:dyDescent="0.2">
      <c r="A4271" s="2" t="s">
        <v>3343</v>
      </c>
      <c r="B4271" s="2" t="s">
        <v>443</v>
      </c>
      <c r="C4271" s="2">
        <v>509.48059999999998</v>
      </c>
      <c r="D4271" s="2">
        <f>HYPERLINK("http://mcb-m6.bioreg.kyushu-u.ac.jp/M3/20110502/F51187/812/1", 40.29)</f>
        <v>40.29</v>
      </c>
      <c r="E4271" s="2">
        <v>11.45</v>
      </c>
      <c r="F4271" s="2">
        <v>2</v>
      </c>
      <c r="G4271" s="2" t="s">
        <v>13</v>
      </c>
    </row>
    <row r="4272" spans="1:8" x14ac:dyDescent="0.2">
      <c r="A4272" s="2" t="s">
        <v>3343</v>
      </c>
      <c r="B4272" s="2" t="s">
        <v>428</v>
      </c>
      <c r="C4272" s="2">
        <v>902.76700000000005</v>
      </c>
      <c r="D4272" s="2">
        <f>HYPERLINK("http://mcb-m6.bioreg.kyushu-u.ac.jp/M3/20110502/F51180/497/1", 40.43)</f>
        <v>40.43</v>
      </c>
      <c r="E4272" s="2">
        <v>17.91</v>
      </c>
      <c r="F4272" s="2">
        <v>1</v>
      </c>
      <c r="G4272" s="2" t="s">
        <v>13</v>
      </c>
    </row>
    <row r="4273" spans="1:8" x14ac:dyDescent="0.2">
      <c r="A4273" s="2" t="s">
        <v>3343</v>
      </c>
      <c r="B4273" s="2" t="s">
        <v>344</v>
      </c>
      <c r="C4273" s="2">
        <v>919.09370000000001</v>
      </c>
      <c r="D4273" s="2">
        <f>HYPERLINK("http://mcb-m6.bioreg.kyushu-u.ac.jp/M3/20110502/F51180/2718/1", 40.76)</f>
        <v>40.76</v>
      </c>
      <c r="E4273" s="2">
        <v>19.57</v>
      </c>
      <c r="F4273" s="2">
        <v>2</v>
      </c>
      <c r="G4273" s="2" t="s">
        <v>13</v>
      </c>
    </row>
    <row r="4274" spans="1:8" x14ac:dyDescent="0.2">
      <c r="A4274" s="2" t="s">
        <v>3343</v>
      </c>
      <c r="B4274" s="2" t="s">
        <v>132</v>
      </c>
      <c r="C4274" s="2">
        <v>1155.8019999999999</v>
      </c>
      <c r="D4274" s="2">
        <f>HYPERLINK("http://mcb-m6.bioreg.kyushu-u.ac.jp/M3/20110502/F51187/1035/1", 41.28)</f>
        <v>41.28</v>
      </c>
      <c r="E4274" s="2">
        <v>10.36</v>
      </c>
      <c r="F4274" s="2">
        <v>1</v>
      </c>
      <c r="G4274" s="2" t="s">
        <v>13</v>
      </c>
    </row>
    <row r="4275" spans="1:8" x14ac:dyDescent="0.2">
      <c r="A4275" s="2" t="s">
        <v>3343</v>
      </c>
      <c r="B4275" s="2" t="s">
        <v>210</v>
      </c>
      <c r="C4275" s="2">
        <v>1092.7460000000001</v>
      </c>
      <c r="D4275" s="2">
        <f>HYPERLINK("http://mcb-m6.bioreg.kyushu-u.ac.jp/M3/20110502/F51180/888/1", 43.91)</f>
        <v>43.91</v>
      </c>
      <c r="E4275" s="2">
        <v>9.6</v>
      </c>
      <c r="F4275" s="2">
        <v>1</v>
      </c>
      <c r="G4275" s="2" t="s">
        <v>13</v>
      </c>
    </row>
    <row r="4276" spans="1:8" x14ac:dyDescent="0.2">
      <c r="A4276" s="2" t="s">
        <v>3343</v>
      </c>
      <c r="B4276" s="2" t="s">
        <v>546</v>
      </c>
      <c r="C4276" s="2">
        <v>1328.9290000000001</v>
      </c>
      <c r="D4276" s="2">
        <f>HYPERLINK("http://mcb-m6.bioreg.kyushu-u.ac.jp/M3/20110502/F51180/1334/2", 43.98)</f>
        <v>43.98</v>
      </c>
      <c r="E4276" s="2">
        <v>29.44</v>
      </c>
      <c r="F4276" s="2">
        <v>1</v>
      </c>
      <c r="G4276" s="2" t="s">
        <v>13</v>
      </c>
    </row>
    <row r="4277" spans="1:8" x14ac:dyDescent="0.2">
      <c r="A4277" s="2" t="s">
        <v>3343</v>
      </c>
      <c r="B4277" s="2" t="s">
        <v>704</v>
      </c>
      <c r="C4277" s="2">
        <v>603.0077</v>
      </c>
      <c r="D4277" s="2">
        <f>HYPERLINK("http://mcb-m6.bioreg.kyushu-u.ac.jp/M3/20110502/F51168/1566/1", 44.44)</f>
        <v>44.44</v>
      </c>
      <c r="E4277" s="2">
        <v>14.26</v>
      </c>
      <c r="F4277" s="2">
        <v>2</v>
      </c>
      <c r="G4277" s="2" t="s">
        <v>13</v>
      </c>
    </row>
    <row r="4278" spans="1:8" x14ac:dyDescent="0.2">
      <c r="A4278" s="2" t="s">
        <v>3343</v>
      </c>
      <c r="B4278" s="2" t="s">
        <v>297</v>
      </c>
      <c r="C4278" s="2">
        <v>1186.796</v>
      </c>
      <c r="D4278" s="2">
        <f>HYPERLINK("http://mcb-m6.bioreg.kyushu-u.ac.jp/M3/20110502/F51180/1080/1", 44.7)</f>
        <v>44.7</v>
      </c>
      <c r="E4278" s="2">
        <v>19.77</v>
      </c>
      <c r="F4278" s="2">
        <v>1</v>
      </c>
      <c r="G4278" s="2" t="s">
        <v>13</v>
      </c>
    </row>
    <row r="4279" spans="1:8" x14ac:dyDescent="0.2">
      <c r="A4279" s="2" t="s">
        <v>3343</v>
      </c>
      <c r="B4279" s="2" t="s">
        <v>210</v>
      </c>
      <c r="C4279" s="2">
        <v>1108.799</v>
      </c>
      <c r="D4279" s="2">
        <f>HYPERLINK("http://mcb-m6.bioreg.kyushu-u.ac.jp/M3/20110502/F51180/911/1", 45.6)</f>
        <v>45.6</v>
      </c>
      <c r="E4279" s="2">
        <v>16.38</v>
      </c>
      <c r="F4279" s="2">
        <v>1</v>
      </c>
      <c r="G4279" s="2" t="s">
        <v>13</v>
      </c>
      <c r="H4279" s="2" t="s">
        <v>4910</v>
      </c>
    </row>
    <row r="4280" spans="1:8" x14ac:dyDescent="0.2">
      <c r="A4280" s="2" t="s">
        <v>3343</v>
      </c>
      <c r="B4280" s="2" t="s">
        <v>325</v>
      </c>
      <c r="C4280" s="2">
        <v>498.78449999999998</v>
      </c>
      <c r="D4280" s="2">
        <f>HYPERLINK("http://mcb-m6.bioreg.kyushu-u.ac.jp/M3/20110502/F51180/1872/1", 45.63)</f>
        <v>45.63</v>
      </c>
      <c r="E4280" s="2">
        <v>21.44</v>
      </c>
      <c r="F4280" s="2">
        <v>3</v>
      </c>
      <c r="G4280" s="2" t="s">
        <v>13</v>
      </c>
      <c r="H4280" s="2" t="s">
        <v>4925</v>
      </c>
    </row>
    <row r="4281" spans="1:8" x14ac:dyDescent="0.2">
      <c r="A4281" s="2" t="s">
        <v>3343</v>
      </c>
      <c r="B4281" s="2" t="s">
        <v>704</v>
      </c>
      <c r="C4281" s="2">
        <v>611.09720000000004</v>
      </c>
      <c r="D4281" s="2">
        <f>HYPERLINK("http://mcb-m6.bioreg.kyushu-u.ac.jp/M3/20110502/F51180/1169/1", 45.75)</f>
        <v>45.75</v>
      </c>
      <c r="E4281" s="2">
        <v>11.83</v>
      </c>
      <c r="F4281" s="2">
        <v>2</v>
      </c>
      <c r="G4281" s="2" t="s">
        <v>13</v>
      </c>
      <c r="H4281" s="2" t="s">
        <v>4908</v>
      </c>
    </row>
    <row r="4282" spans="1:8" x14ac:dyDescent="0.2">
      <c r="A4282" s="2" t="s">
        <v>3343</v>
      </c>
      <c r="B4282" s="2" t="s">
        <v>132</v>
      </c>
      <c r="C4282" s="2">
        <v>578.53520000000003</v>
      </c>
      <c r="D4282" s="2">
        <f>HYPERLINK("http://mcb-m6.bioreg.kyushu-u.ac.jp/M3/20110502/F51180/1006/1", 46.75)</f>
        <v>46.75</v>
      </c>
      <c r="E4282" s="2">
        <v>20.99</v>
      </c>
      <c r="F4282" s="2">
        <v>2</v>
      </c>
      <c r="G4282" s="2" t="s">
        <v>13</v>
      </c>
    </row>
    <row r="4283" spans="1:8" x14ac:dyDescent="0.2">
      <c r="A4283" s="2" t="s">
        <v>3343</v>
      </c>
      <c r="B4283" s="2" t="s">
        <v>328</v>
      </c>
      <c r="C4283" s="2">
        <v>1146.7719999999999</v>
      </c>
      <c r="D4283" s="2">
        <f>HYPERLINK("http://mcb-m6.bioreg.kyushu-u.ac.jp/M3/20110502/F51180/980/1", 47.79)</f>
        <v>47.79</v>
      </c>
      <c r="E4283" s="2">
        <v>13.32</v>
      </c>
      <c r="F4283" s="2">
        <v>1</v>
      </c>
      <c r="G4283" s="2" t="s">
        <v>13</v>
      </c>
    </row>
    <row r="4284" spans="1:8" x14ac:dyDescent="0.2">
      <c r="A4284" s="2" t="s">
        <v>3343</v>
      </c>
      <c r="B4284" s="2" t="s">
        <v>509</v>
      </c>
      <c r="C4284" s="2">
        <v>725.64970000000005</v>
      </c>
      <c r="D4284" s="2">
        <f>HYPERLINK("http://mcb-m6.bioreg.kyushu-u.ac.jp/M3/20110502/F51180/1716/1", 48.16)</f>
        <v>48.16</v>
      </c>
      <c r="E4284" s="2">
        <v>34.89</v>
      </c>
      <c r="F4284" s="2">
        <v>2</v>
      </c>
      <c r="G4284" s="2" t="s">
        <v>13</v>
      </c>
      <c r="H4284" s="2" t="s">
        <v>4927</v>
      </c>
    </row>
    <row r="4285" spans="1:8" x14ac:dyDescent="0.2">
      <c r="A4285" s="2" t="s">
        <v>3343</v>
      </c>
      <c r="B4285" s="2" t="s">
        <v>132</v>
      </c>
      <c r="C4285" s="2">
        <v>1155.981</v>
      </c>
      <c r="D4285" s="2">
        <f>HYPERLINK("http://mcb-m6.bioreg.kyushu-u.ac.jp/M3/20110502/F51180/1003/1", 48.42)</f>
        <v>48.42</v>
      </c>
      <c r="E4285" s="2">
        <v>19.420000000000002</v>
      </c>
      <c r="F4285" s="2">
        <v>1</v>
      </c>
      <c r="G4285" s="2" t="s">
        <v>13</v>
      </c>
    </row>
    <row r="4286" spans="1:8" x14ac:dyDescent="0.2">
      <c r="A4286" s="2" t="s">
        <v>3343</v>
      </c>
      <c r="B4286" s="2" t="s">
        <v>509</v>
      </c>
      <c r="C4286" s="2">
        <v>725.60609999999997</v>
      </c>
      <c r="D4286" s="2">
        <f>HYPERLINK("http://mcb-m6.bioreg.kyushu-u.ac.jp/M3/20110502/F51170/1994/1", 48.7)</f>
        <v>48.7</v>
      </c>
      <c r="E4286" s="2">
        <v>37.21</v>
      </c>
      <c r="F4286" s="2">
        <v>2</v>
      </c>
      <c r="G4286" s="2" t="s">
        <v>13</v>
      </c>
      <c r="H4286" s="2" t="s">
        <v>4927</v>
      </c>
    </row>
    <row r="4287" spans="1:8" x14ac:dyDescent="0.2">
      <c r="A4287" s="2" t="s">
        <v>3343</v>
      </c>
      <c r="B4287" s="2" t="s">
        <v>1189</v>
      </c>
      <c r="C4287" s="2">
        <v>1069.558</v>
      </c>
      <c r="D4287" s="2">
        <f>HYPERLINK("http://mcb-m6.bioreg.kyushu-u.ac.jp/M3/20110502/F51168/2898/1", 48.71)</f>
        <v>48.71</v>
      </c>
      <c r="E4287" s="2">
        <v>34.99</v>
      </c>
      <c r="F4287" s="2">
        <v>2</v>
      </c>
      <c r="G4287" s="2" t="s">
        <v>13</v>
      </c>
    </row>
    <row r="4288" spans="1:8" x14ac:dyDescent="0.2">
      <c r="A4288" s="2" t="s">
        <v>3343</v>
      </c>
      <c r="B4288" s="2" t="s">
        <v>943</v>
      </c>
      <c r="C4288" s="2">
        <v>507.0806</v>
      </c>
      <c r="D4288" s="2">
        <f>HYPERLINK("http://mcb-m6.bioreg.kyushu-u.ac.jp/M3/20110502/F51180/722/1", 50.12)</f>
        <v>50.12</v>
      </c>
      <c r="E4288" s="2">
        <v>19.61</v>
      </c>
      <c r="F4288" s="2">
        <v>2</v>
      </c>
      <c r="G4288" s="2" t="s">
        <v>13</v>
      </c>
    </row>
    <row r="4289" spans="1:8" x14ac:dyDescent="0.2">
      <c r="A4289" s="2" t="s">
        <v>3343</v>
      </c>
      <c r="B4289" s="2" t="s">
        <v>704</v>
      </c>
      <c r="C4289" s="2">
        <v>611.10270000000003</v>
      </c>
      <c r="D4289" s="2">
        <f>HYPERLINK("http://mcb-m6.bioreg.kyushu-u.ac.jp/M3/20110502/F51180/1170/1", 50.23)</f>
        <v>50.23</v>
      </c>
      <c r="E4289" s="2">
        <v>15.17</v>
      </c>
      <c r="F4289" s="2">
        <v>2</v>
      </c>
      <c r="G4289" s="2" t="s">
        <v>13</v>
      </c>
      <c r="H4289" s="2" t="s">
        <v>4908</v>
      </c>
    </row>
    <row r="4290" spans="1:8" x14ac:dyDescent="0.2">
      <c r="A4290" s="2" t="s">
        <v>3343</v>
      </c>
      <c r="B4290" s="2" t="s">
        <v>509</v>
      </c>
      <c r="C4290" s="2">
        <v>1432.8119999999999</v>
      </c>
      <c r="D4290" s="2">
        <f>HYPERLINK("http://mcb-m6.bioreg.kyushu-u.ac.jp/M3/20110502/F51180/1655/1", 50.31)</f>
        <v>50.31</v>
      </c>
      <c r="E4290" s="2">
        <v>32.31</v>
      </c>
      <c r="F4290" s="2">
        <v>1</v>
      </c>
      <c r="G4290" s="2" t="s">
        <v>13</v>
      </c>
      <c r="H4290" s="2" t="s">
        <v>4931</v>
      </c>
    </row>
    <row r="4291" spans="1:8" x14ac:dyDescent="0.2">
      <c r="A4291" s="2" t="s">
        <v>3343</v>
      </c>
      <c r="B4291" s="2" t="s">
        <v>210</v>
      </c>
      <c r="C4291" s="2">
        <v>547.10569999999996</v>
      </c>
      <c r="D4291" s="2">
        <f>HYPERLINK("http://mcb-m6.bioreg.kyushu-u.ac.jp/M3/20110502/F51180/891/1", 51.53)</f>
        <v>51.53</v>
      </c>
      <c r="E4291" s="2">
        <v>21</v>
      </c>
      <c r="F4291" s="2">
        <v>2</v>
      </c>
      <c r="G4291" s="2" t="s">
        <v>13</v>
      </c>
    </row>
    <row r="4292" spans="1:8" x14ac:dyDescent="0.2">
      <c r="A4292" s="2" t="s">
        <v>3343</v>
      </c>
      <c r="B4292" s="2" t="s">
        <v>943</v>
      </c>
      <c r="C4292" s="2">
        <v>506.98160000000001</v>
      </c>
      <c r="D4292" s="2">
        <f>HYPERLINK("http://mcb-m6.bioreg.kyushu-u.ac.jp/M3/20110502/F51180/718/1", 51.63)</f>
        <v>51.63</v>
      </c>
      <c r="E4292" s="2">
        <v>29.17</v>
      </c>
      <c r="F4292" s="2">
        <v>2</v>
      </c>
      <c r="G4292" s="2" t="s">
        <v>13</v>
      </c>
    </row>
    <row r="4293" spans="1:8" x14ac:dyDescent="0.2">
      <c r="A4293" s="2" t="s">
        <v>3343</v>
      </c>
      <c r="B4293" s="2" t="s">
        <v>1032</v>
      </c>
      <c r="C4293" s="2">
        <v>1163.771</v>
      </c>
      <c r="D4293" s="2">
        <f>HYPERLINK("http://mcb-m6.bioreg.kyushu-u.ac.jp/M3/20110502/F51180/3443/1", 52.37)</f>
        <v>52.37</v>
      </c>
      <c r="E4293" s="2">
        <v>41.77</v>
      </c>
      <c r="F4293" s="2">
        <v>2</v>
      </c>
      <c r="G4293" s="2" t="s">
        <v>13</v>
      </c>
    </row>
    <row r="4294" spans="1:8" x14ac:dyDescent="0.2">
      <c r="A4294" s="2" t="s">
        <v>3343</v>
      </c>
      <c r="B4294" s="2" t="s">
        <v>132</v>
      </c>
      <c r="C4294" s="2">
        <v>578.81769999999995</v>
      </c>
      <c r="D4294" s="2">
        <f>HYPERLINK("http://mcb-m6.bioreg.kyushu-u.ac.jp/M3/20110502/F51180/1013/1", 52.7)</f>
        <v>52.7</v>
      </c>
      <c r="E4294" s="2">
        <v>26.26</v>
      </c>
      <c r="F4294" s="2">
        <v>2</v>
      </c>
      <c r="G4294" s="2" t="s">
        <v>13</v>
      </c>
    </row>
    <row r="4295" spans="1:8" x14ac:dyDescent="0.2">
      <c r="A4295" s="2" t="s">
        <v>3343</v>
      </c>
      <c r="B4295" s="2" t="s">
        <v>443</v>
      </c>
      <c r="C4295" s="2">
        <v>509.53960000000001</v>
      </c>
      <c r="D4295" s="2">
        <f>HYPERLINK("http://mcb-m6.bioreg.kyushu-u.ac.jp/M3/20110502/F51180/740/1", 53.36)</f>
        <v>53.36</v>
      </c>
      <c r="E4295" s="2">
        <v>18.3</v>
      </c>
      <c r="F4295" s="2">
        <v>2</v>
      </c>
      <c r="G4295" s="2" t="s">
        <v>13</v>
      </c>
    </row>
    <row r="4296" spans="1:8" x14ac:dyDescent="0.2">
      <c r="A4296" s="2" t="s">
        <v>3343</v>
      </c>
      <c r="B4296" s="2" t="s">
        <v>428</v>
      </c>
      <c r="C4296" s="2">
        <v>452.0566</v>
      </c>
      <c r="D4296" s="2">
        <f>HYPERLINK("http://mcb-m6.bioreg.kyushu-u.ac.jp/M3/20110502/F51180/501/1", 53.47)</f>
        <v>53.47</v>
      </c>
      <c r="E4296" s="2">
        <v>24.26</v>
      </c>
      <c r="F4296" s="2">
        <v>2</v>
      </c>
      <c r="G4296" s="2" t="s">
        <v>13</v>
      </c>
    </row>
    <row r="4297" spans="1:8" x14ac:dyDescent="0.2">
      <c r="A4297" s="2" t="s">
        <v>3343</v>
      </c>
      <c r="B4297" s="2" t="s">
        <v>1002</v>
      </c>
      <c r="C4297" s="2">
        <v>1147.75</v>
      </c>
      <c r="D4297" s="2">
        <f>HYPERLINK("http://mcb-m6.bioreg.kyushu-u.ac.jp/M3/20110502/F51180/3362/1", 53.52)</f>
        <v>53.52</v>
      </c>
      <c r="E4297" s="2">
        <v>37.659999999999997</v>
      </c>
      <c r="F4297" s="2">
        <v>2</v>
      </c>
      <c r="G4297" s="2" t="s">
        <v>13</v>
      </c>
    </row>
    <row r="4298" spans="1:8" x14ac:dyDescent="0.2">
      <c r="A4298" s="2" t="s">
        <v>3343</v>
      </c>
      <c r="B4298" s="2" t="s">
        <v>1002</v>
      </c>
      <c r="C4298" s="2">
        <v>1147.7070000000001</v>
      </c>
      <c r="D4298" s="2">
        <f>HYPERLINK("http://mcb-m6.bioreg.kyushu-u.ac.jp/M3/20110502/F51180/3360/1", 53.82)</f>
        <v>53.82</v>
      </c>
      <c r="E4298" s="2">
        <v>40.6</v>
      </c>
      <c r="F4298" s="2">
        <v>2</v>
      </c>
      <c r="G4298" s="2" t="s">
        <v>13</v>
      </c>
    </row>
    <row r="4299" spans="1:8" x14ac:dyDescent="0.2">
      <c r="A4299" s="2" t="s">
        <v>3343</v>
      </c>
      <c r="B4299" s="2" t="s">
        <v>509</v>
      </c>
      <c r="C4299" s="2">
        <v>725.52919999999995</v>
      </c>
      <c r="D4299" s="2">
        <f>HYPERLINK("http://mcb-m6.bioreg.kyushu-u.ac.jp/M3/20110502/F51187/1686/1", 54.09)</f>
        <v>54.09</v>
      </c>
      <c r="E4299" s="2">
        <v>33</v>
      </c>
      <c r="F4299" s="2">
        <v>2</v>
      </c>
      <c r="G4299" s="2" t="s">
        <v>13</v>
      </c>
      <c r="H4299" s="2" t="s">
        <v>4927</v>
      </c>
    </row>
    <row r="4300" spans="1:8" x14ac:dyDescent="0.2">
      <c r="A4300" s="2" t="s">
        <v>3343</v>
      </c>
      <c r="B4300" s="2" t="s">
        <v>546</v>
      </c>
      <c r="C4300" s="2">
        <v>665.12869999999998</v>
      </c>
      <c r="D4300" s="2">
        <f>HYPERLINK("http://mcb-m6.bioreg.kyushu-u.ac.jp/M3/20110502/F51180/1340/2", 54.15)</f>
        <v>54.15</v>
      </c>
      <c r="E4300" s="2">
        <v>33.58</v>
      </c>
      <c r="F4300" s="2">
        <v>2</v>
      </c>
      <c r="G4300" s="2" t="s">
        <v>13</v>
      </c>
    </row>
    <row r="4301" spans="1:8" x14ac:dyDescent="0.2">
      <c r="A4301" s="2" t="s">
        <v>3343</v>
      </c>
      <c r="B4301" s="2" t="s">
        <v>344</v>
      </c>
      <c r="C4301" s="2">
        <v>919.76509999999996</v>
      </c>
      <c r="D4301" s="2">
        <f>HYPERLINK("http://mcb-m6.bioreg.kyushu-u.ac.jp/M3/20110502/F51180/2727/1", 54.66)</f>
        <v>54.66</v>
      </c>
      <c r="E4301" s="2">
        <v>25.41</v>
      </c>
      <c r="F4301" s="2">
        <v>2</v>
      </c>
      <c r="G4301" s="2" t="s">
        <v>13</v>
      </c>
    </row>
    <row r="4302" spans="1:8" x14ac:dyDescent="0.2">
      <c r="A4302" s="2" t="s">
        <v>3343</v>
      </c>
      <c r="B4302" s="2" t="s">
        <v>132</v>
      </c>
      <c r="C4302" s="2">
        <v>578.81410000000005</v>
      </c>
      <c r="D4302" s="2">
        <f>HYPERLINK("http://mcb-m6.bioreg.kyushu-u.ac.jp/M3/20110502/F51180/1012/1", 56.78)</f>
        <v>56.78</v>
      </c>
      <c r="E4302" s="2">
        <v>23.81</v>
      </c>
      <c r="F4302" s="2">
        <v>2</v>
      </c>
      <c r="G4302" s="2" t="s">
        <v>13</v>
      </c>
    </row>
    <row r="4303" spans="1:8" x14ac:dyDescent="0.2">
      <c r="A4303" s="2" t="s">
        <v>3343</v>
      </c>
      <c r="B4303" s="2" t="s">
        <v>509</v>
      </c>
      <c r="C4303" s="2">
        <v>725.55470000000003</v>
      </c>
      <c r="D4303" s="2">
        <f>HYPERLINK("http://mcb-m6.bioreg.kyushu-u.ac.jp/M3/20110502/F51168/1982/1", 56.95)</f>
        <v>56.95</v>
      </c>
      <c r="E4303" s="2">
        <v>42.81</v>
      </c>
      <c r="F4303" s="2">
        <v>2</v>
      </c>
      <c r="G4303" s="2" t="s">
        <v>13</v>
      </c>
      <c r="H4303" s="2" t="s">
        <v>4927</v>
      </c>
    </row>
    <row r="4304" spans="1:8" x14ac:dyDescent="0.2">
      <c r="A4304" s="2" t="s">
        <v>3343</v>
      </c>
      <c r="B4304" s="2" t="s">
        <v>546</v>
      </c>
      <c r="C4304" s="2">
        <v>665.06920000000002</v>
      </c>
      <c r="D4304" s="2">
        <f>HYPERLINK("http://mcb-m6.bioreg.kyushu-u.ac.jp/M3/20110502/F51180/1338/2", 57.71)</f>
        <v>57.71</v>
      </c>
      <c r="E4304" s="2">
        <v>35.61</v>
      </c>
      <c r="F4304" s="2">
        <v>2</v>
      </c>
      <c r="G4304" s="2" t="s">
        <v>13</v>
      </c>
    </row>
    <row r="4305" spans="1:8" x14ac:dyDescent="0.2">
      <c r="A4305" s="2" t="s">
        <v>3343</v>
      </c>
      <c r="B4305" s="2" t="s">
        <v>443</v>
      </c>
      <c r="C4305" s="2">
        <v>509.57159999999999</v>
      </c>
      <c r="D4305" s="2">
        <f>HYPERLINK("http://mcb-m6.bioreg.kyushu-u.ac.jp/M3/20110502/F51180/741/1", 58.8)</f>
        <v>58.8</v>
      </c>
      <c r="E4305" s="2">
        <v>20.9</v>
      </c>
      <c r="F4305" s="2">
        <v>2</v>
      </c>
      <c r="G4305" s="2" t="s">
        <v>13</v>
      </c>
    </row>
    <row r="4306" spans="1:8" x14ac:dyDescent="0.2">
      <c r="A4306" s="2" t="s">
        <v>3343</v>
      </c>
      <c r="B4306" s="2" t="s">
        <v>509</v>
      </c>
      <c r="C4306" s="2">
        <v>1416.8910000000001</v>
      </c>
      <c r="D4306" s="2">
        <f>HYPERLINK("http://mcb-m6.bioreg.kyushu-u.ac.jp/M3/20110502/F51180/1607/1", 59.25)</f>
        <v>59.25</v>
      </c>
      <c r="E4306" s="2">
        <v>42.16</v>
      </c>
      <c r="F4306" s="2">
        <v>1</v>
      </c>
      <c r="G4306" s="2" t="s">
        <v>13</v>
      </c>
      <c r="H4306" s="2" t="s">
        <v>4904</v>
      </c>
    </row>
    <row r="4307" spans="1:8" x14ac:dyDescent="0.2">
      <c r="A4307" s="2" t="s">
        <v>3343</v>
      </c>
      <c r="B4307" s="2" t="s">
        <v>1211</v>
      </c>
      <c r="C4307" s="2">
        <v>1153.33</v>
      </c>
      <c r="D4307" s="2">
        <f>HYPERLINK("http://mcb-m6.bioreg.kyushu-u.ac.jp/M3/20110502/F51180/3406/1", 59.43)</f>
        <v>59.43</v>
      </c>
      <c r="E4307" s="2">
        <v>48.96</v>
      </c>
      <c r="F4307" s="2">
        <v>2</v>
      </c>
      <c r="G4307" s="2" t="s">
        <v>13</v>
      </c>
    </row>
    <row r="4308" spans="1:8" x14ac:dyDescent="0.2">
      <c r="A4308" s="2" t="s">
        <v>3343</v>
      </c>
      <c r="B4308" s="2" t="s">
        <v>325</v>
      </c>
      <c r="C4308" s="2">
        <v>739.63459999999998</v>
      </c>
      <c r="D4308" s="2">
        <f>HYPERLINK("http://mcb-m6.bioreg.kyushu-u.ac.jp/M3/20110502/F51180/1804/1", 59.74)</f>
        <v>59.74</v>
      </c>
      <c r="E4308" s="2">
        <v>48.06</v>
      </c>
      <c r="F4308" s="2">
        <v>2</v>
      </c>
      <c r="G4308" s="2" t="s">
        <v>13</v>
      </c>
    </row>
    <row r="4309" spans="1:8" x14ac:dyDescent="0.2">
      <c r="A4309" s="2" t="s">
        <v>3343</v>
      </c>
      <c r="B4309" s="2" t="s">
        <v>132</v>
      </c>
      <c r="C4309" s="2">
        <v>578.56619999999998</v>
      </c>
      <c r="D4309" s="2">
        <f>HYPERLINK("http://mcb-m6.bioreg.kyushu-u.ac.jp/M3/20110502/F51173/940/1", 60.8)</f>
        <v>60.8</v>
      </c>
      <c r="E4309" s="2">
        <v>22.1</v>
      </c>
      <c r="F4309" s="2">
        <v>2</v>
      </c>
      <c r="G4309" s="2" t="s">
        <v>13</v>
      </c>
    </row>
    <row r="4310" spans="1:8" x14ac:dyDescent="0.2">
      <c r="A4310" s="2" t="s">
        <v>3343</v>
      </c>
      <c r="B4310" s="2" t="s">
        <v>325</v>
      </c>
      <c r="C4310" s="2">
        <v>747.49659999999994</v>
      </c>
      <c r="D4310" s="2">
        <f>HYPERLINK("http://mcb-m6.bioreg.kyushu-u.ac.jp/M3/20110502/F51180/1863/1", 60.87)</f>
        <v>60.87</v>
      </c>
      <c r="E4310" s="2">
        <v>49.7</v>
      </c>
      <c r="F4310" s="2">
        <v>2</v>
      </c>
      <c r="G4310" s="2" t="s">
        <v>13</v>
      </c>
      <c r="H4310" s="2" t="s">
        <v>4925</v>
      </c>
    </row>
    <row r="4311" spans="1:8" x14ac:dyDescent="0.2">
      <c r="A4311" s="2" t="s">
        <v>3343</v>
      </c>
      <c r="B4311" s="2" t="s">
        <v>132</v>
      </c>
      <c r="C4311" s="2">
        <v>578.42070000000001</v>
      </c>
      <c r="D4311" s="2">
        <f>HYPERLINK("http://mcb-m6.bioreg.kyushu-u.ac.jp/M3/20110502/F51187/1036/1", 60.99)</f>
        <v>60.99</v>
      </c>
      <c r="E4311" s="2">
        <v>33.76</v>
      </c>
      <c r="F4311" s="2">
        <v>2</v>
      </c>
      <c r="G4311" s="2" t="s">
        <v>13</v>
      </c>
    </row>
    <row r="4312" spans="1:8" x14ac:dyDescent="0.2">
      <c r="A4312" s="2" t="s">
        <v>3343</v>
      </c>
      <c r="B4312" s="2" t="s">
        <v>132</v>
      </c>
      <c r="C4312" s="2">
        <v>578.38670000000002</v>
      </c>
      <c r="D4312" s="2">
        <f>HYPERLINK("http://mcb-m6.bioreg.kyushu-u.ac.jp/M3/20110502/F51169/1490/1", 61.09)</f>
        <v>61.09</v>
      </c>
      <c r="E4312" s="2">
        <v>30.72</v>
      </c>
      <c r="F4312" s="2">
        <v>2</v>
      </c>
      <c r="G4312" s="2" t="s">
        <v>13</v>
      </c>
    </row>
    <row r="4313" spans="1:8" x14ac:dyDescent="0.2">
      <c r="A4313" s="2" t="s">
        <v>3343</v>
      </c>
      <c r="B4313" s="2" t="s">
        <v>132</v>
      </c>
      <c r="C4313" s="2">
        <v>578.60270000000003</v>
      </c>
      <c r="D4313" s="2">
        <f>HYPERLINK("http://mcb-m6.bioreg.kyushu-u.ac.jp/M3/20110502/F51180/1010/1", 61.17)</f>
        <v>61.17</v>
      </c>
      <c r="E4313" s="2">
        <v>33.92</v>
      </c>
      <c r="F4313" s="2">
        <v>2</v>
      </c>
      <c r="G4313" s="2" t="s">
        <v>13</v>
      </c>
    </row>
    <row r="4314" spans="1:8" x14ac:dyDescent="0.2">
      <c r="A4314" s="2" t="s">
        <v>3343</v>
      </c>
      <c r="B4314" s="2" t="s">
        <v>132</v>
      </c>
      <c r="C4314" s="2">
        <v>578.89670000000001</v>
      </c>
      <c r="D4314" s="2">
        <f>HYPERLINK("http://mcb-m6.bioreg.kyushu-u.ac.jp/M3/20110502/F51188/1176/1", 61.28)</f>
        <v>61.28</v>
      </c>
      <c r="E4314" s="2">
        <v>28.84</v>
      </c>
      <c r="F4314" s="2">
        <v>2</v>
      </c>
      <c r="G4314" s="2" t="s">
        <v>13</v>
      </c>
    </row>
    <row r="4315" spans="1:8" x14ac:dyDescent="0.2">
      <c r="A4315" s="2" t="s">
        <v>3343</v>
      </c>
      <c r="B4315" s="2" t="s">
        <v>1002</v>
      </c>
      <c r="C4315" s="2">
        <v>1147.577</v>
      </c>
      <c r="D4315" s="2">
        <f>HYPERLINK("http://mcb-m6.bioreg.kyushu-u.ac.jp/M3/20110502/F51170/3599/1", 61.38)</f>
        <v>61.38</v>
      </c>
      <c r="E4315" s="2">
        <v>51.44</v>
      </c>
      <c r="F4315" s="2">
        <v>2</v>
      </c>
      <c r="G4315" s="2" t="s">
        <v>13</v>
      </c>
    </row>
    <row r="4316" spans="1:8" x14ac:dyDescent="0.2">
      <c r="A4316" s="2" t="s">
        <v>3343</v>
      </c>
      <c r="B4316" s="2" t="s">
        <v>1002</v>
      </c>
      <c r="C4316" s="2">
        <v>1148.192</v>
      </c>
      <c r="D4316" s="2">
        <f>HYPERLINK("http://mcb-m6.bioreg.kyushu-u.ac.jp/M3/20110502/F51170/3602/1", 62.62)</f>
        <v>62.62</v>
      </c>
      <c r="E4316" s="2">
        <v>56.46</v>
      </c>
      <c r="F4316" s="2">
        <v>2</v>
      </c>
      <c r="G4316" s="2" t="s">
        <v>13</v>
      </c>
    </row>
    <row r="4317" spans="1:8" x14ac:dyDescent="0.2">
      <c r="A4317" s="2" t="s">
        <v>3343</v>
      </c>
      <c r="B4317" s="2" t="s">
        <v>1002</v>
      </c>
      <c r="C4317" s="2">
        <v>1147.701</v>
      </c>
      <c r="D4317" s="2">
        <f>HYPERLINK("http://mcb-m6.bioreg.kyushu-u.ac.jp/M3/20110502/F51187/3075/1", 63.14)</f>
        <v>63.14</v>
      </c>
      <c r="E4317" s="2">
        <v>53.33</v>
      </c>
      <c r="F4317" s="2">
        <v>2</v>
      </c>
      <c r="G4317" s="2" t="s">
        <v>13</v>
      </c>
    </row>
    <row r="4318" spans="1:8" x14ac:dyDescent="0.2">
      <c r="A4318" s="2" t="s">
        <v>3343</v>
      </c>
      <c r="B4318" s="2" t="s">
        <v>132</v>
      </c>
      <c r="C4318" s="2">
        <v>578.53020000000004</v>
      </c>
      <c r="D4318" s="2">
        <f>HYPERLINK("http://mcb-m6.bioreg.kyushu-u.ac.jp/M3/20110502/F51180/1005/1", 63.35)</f>
        <v>63.35</v>
      </c>
      <c r="E4318" s="2">
        <v>34.75</v>
      </c>
      <c r="F4318" s="2">
        <v>2</v>
      </c>
      <c r="G4318" s="2" t="s">
        <v>13</v>
      </c>
    </row>
    <row r="4319" spans="1:8" x14ac:dyDescent="0.2">
      <c r="A4319" s="2" t="s">
        <v>3343</v>
      </c>
      <c r="B4319" s="2" t="s">
        <v>558</v>
      </c>
      <c r="C4319" s="2">
        <v>729.6807</v>
      </c>
      <c r="D4319" s="2">
        <f>HYPERLINK("http://mcb-m6.bioreg.kyushu-u.ac.jp/M3/20110502/F51180/1740/1", 63.44)</f>
        <v>63.44</v>
      </c>
      <c r="E4319" s="2">
        <v>46.27</v>
      </c>
      <c r="F4319" s="2">
        <v>2</v>
      </c>
      <c r="G4319" s="2" t="s">
        <v>13</v>
      </c>
    </row>
    <row r="4320" spans="1:8" x14ac:dyDescent="0.2">
      <c r="A4320" s="2" t="s">
        <v>3343</v>
      </c>
      <c r="B4320" s="2" t="s">
        <v>509</v>
      </c>
      <c r="C4320" s="2">
        <v>709.30319999999995</v>
      </c>
      <c r="D4320" s="2">
        <f>HYPERLINK("http://mcb-m6.bioreg.kyushu-u.ac.jp/M3/20110502/F51180/1610/1", 63.82)</f>
        <v>63.82</v>
      </c>
      <c r="E4320" s="2">
        <v>45.51</v>
      </c>
      <c r="F4320" s="2">
        <v>2</v>
      </c>
      <c r="G4320" s="2" t="s">
        <v>13</v>
      </c>
      <c r="H4320" s="2" t="s">
        <v>4904</v>
      </c>
    </row>
    <row r="4321" spans="1:8" x14ac:dyDescent="0.2">
      <c r="A4321" s="2" t="s">
        <v>3343</v>
      </c>
      <c r="B4321" s="2" t="s">
        <v>325</v>
      </c>
      <c r="C4321" s="2">
        <v>1494.8779999999999</v>
      </c>
      <c r="D4321" s="2">
        <f>HYPERLINK("http://mcb-m6.bioreg.kyushu-u.ac.jp/M3/20110502/F51180/1873/1", 64.67)</f>
        <v>64.67</v>
      </c>
      <c r="E4321" s="2">
        <v>43.36</v>
      </c>
      <c r="F4321" s="2">
        <v>1</v>
      </c>
      <c r="G4321" s="2" t="s">
        <v>13</v>
      </c>
      <c r="H4321" s="2" t="s">
        <v>4925</v>
      </c>
    </row>
    <row r="4322" spans="1:8" x14ac:dyDescent="0.2">
      <c r="A4322" s="2" t="s">
        <v>3343</v>
      </c>
      <c r="B4322" s="2" t="s">
        <v>210</v>
      </c>
      <c r="C4322" s="2">
        <v>554.92859999999996</v>
      </c>
      <c r="D4322" s="2">
        <f>HYPERLINK("http://mcb-m6.bioreg.kyushu-u.ac.jp/M3/20110502/F51180/912/1", 65.24)</f>
        <v>65.239999999999995</v>
      </c>
      <c r="E4322" s="2">
        <v>31.32</v>
      </c>
      <c r="F4322" s="2">
        <v>2</v>
      </c>
      <c r="G4322" s="2" t="s">
        <v>13</v>
      </c>
      <c r="H4322" s="2" t="s">
        <v>4910</v>
      </c>
    </row>
    <row r="4323" spans="1:8" x14ac:dyDescent="0.2">
      <c r="A4323" s="2" t="s">
        <v>3343</v>
      </c>
      <c r="B4323" s="2" t="s">
        <v>344</v>
      </c>
      <c r="C4323" s="2">
        <v>613.48450000000003</v>
      </c>
      <c r="D4323" s="2">
        <f>HYPERLINK("http://mcb-m6.bioreg.kyushu-u.ac.jp/M3/20110502/F51187/2474/1", 65.41)</f>
        <v>65.41</v>
      </c>
      <c r="E4323" s="2">
        <v>46.6</v>
      </c>
      <c r="F4323" s="2">
        <v>3</v>
      </c>
      <c r="G4323" s="2" t="s">
        <v>13</v>
      </c>
    </row>
    <row r="4324" spans="1:8" x14ac:dyDescent="0.2">
      <c r="A4324" s="2" t="s">
        <v>3343</v>
      </c>
      <c r="B4324" s="2" t="s">
        <v>325</v>
      </c>
      <c r="C4324" s="2">
        <v>739.38070000000005</v>
      </c>
      <c r="D4324" s="2">
        <f>HYPERLINK("http://mcb-m6.bioreg.kyushu-u.ac.jp/M3/20110502/F51187/1740/1", 65.6)</f>
        <v>65.599999999999994</v>
      </c>
      <c r="E4324" s="2">
        <v>54.28</v>
      </c>
      <c r="F4324" s="2">
        <v>2</v>
      </c>
      <c r="G4324" s="2" t="s">
        <v>13</v>
      </c>
    </row>
    <row r="4325" spans="1:8" x14ac:dyDescent="0.2">
      <c r="A4325" s="2" t="s">
        <v>3343</v>
      </c>
      <c r="B4325" s="2" t="s">
        <v>344</v>
      </c>
      <c r="C4325" s="2">
        <v>919.62270000000001</v>
      </c>
      <c r="D4325" s="2">
        <f>HYPERLINK("http://mcb-m6.bioreg.kyushu-u.ac.jp/M3/20110502/F51170/2980/1", 67.17)</f>
        <v>67.17</v>
      </c>
      <c r="E4325" s="2">
        <v>36.25</v>
      </c>
      <c r="F4325" s="2">
        <v>2</v>
      </c>
      <c r="G4325" s="2" t="s">
        <v>13</v>
      </c>
    </row>
    <row r="4326" spans="1:8" x14ac:dyDescent="0.2">
      <c r="A4326" s="2" t="s">
        <v>3343</v>
      </c>
      <c r="B4326" s="2" t="s">
        <v>132</v>
      </c>
      <c r="C4326" s="2">
        <v>578.4402</v>
      </c>
      <c r="D4326" s="2">
        <f>HYPERLINK("http://mcb-m6.bioreg.kyushu-u.ac.jp/M3/20110502/F51180/1002/1", 67.23)</f>
        <v>67.23</v>
      </c>
      <c r="E4326" s="2">
        <v>38.51</v>
      </c>
      <c r="F4326" s="2">
        <v>2</v>
      </c>
      <c r="G4326" s="2" t="s">
        <v>13</v>
      </c>
    </row>
    <row r="4327" spans="1:8" x14ac:dyDescent="0.2">
      <c r="A4327" s="2" t="s">
        <v>3343</v>
      </c>
      <c r="B4327" s="2" t="s">
        <v>546</v>
      </c>
      <c r="C4327" s="2">
        <v>665.10670000000005</v>
      </c>
      <c r="D4327" s="2">
        <f>HYPERLINK("http://mcb-m6.bioreg.kyushu-u.ac.jp/M3/20110502/F51180/1339/2", 67.5)</f>
        <v>67.5</v>
      </c>
      <c r="E4327" s="2">
        <v>42.85</v>
      </c>
      <c r="F4327" s="2">
        <v>2</v>
      </c>
      <c r="G4327" s="2" t="s">
        <v>13</v>
      </c>
    </row>
    <row r="4328" spans="1:8" x14ac:dyDescent="0.2">
      <c r="A4328" s="2" t="s">
        <v>3343</v>
      </c>
      <c r="B4328" s="2" t="s">
        <v>132</v>
      </c>
      <c r="C4328" s="2">
        <v>578.46619999999996</v>
      </c>
      <c r="D4328" s="2">
        <f>HYPERLINK("http://mcb-m6.bioreg.kyushu-u.ac.jp/M3/20110502/F51171/1341/1", 67.96)</f>
        <v>67.959999999999994</v>
      </c>
      <c r="E4328" s="2">
        <v>42.49</v>
      </c>
      <c r="F4328" s="2">
        <v>2</v>
      </c>
      <c r="G4328" s="2" t="s">
        <v>13</v>
      </c>
    </row>
    <row r="4329" spans="1:8" x14ac:dyDescent="0.2">
      <c r="A4329" s="2" t="s">
        <v>3343</v>
      </c>
      <c r="B4329" s="2" t="s">
        <v>546</v>
      </c>
      <c r="C4329" s="2">
        <v>665.1816</v>
      </c>
      <c r="D4329" s="2">
        <f>HYPERLINK("http://mcb-m6.bioreg.kyushu-u.ac.jp/M3/20110502/F51180/1343/2", 71.23)</f>
        <v>71.23</v>
      </c>
      <c r="E4329" s="2">
        <v>54.8</v>
      </c>
      <c r="F4329" s="2">
        <v>2</v>
      </c>
      <c r="G4329" s="2" t="s">
        <v>13</v>
      </c>
    </row>
    <row r="4330" spans="1:8" x14ac:dyDescent="0.2">
      <c r="A4330" s="2" t="s">
        <v>3343</v>
      </c>
      <c r="B4330" s="2" t="s">
        <v>943</v>
      </c>
      <c r="C4330" s="2">
        <v>506.9366</v>
      </c>
      <c r="D4330" s="2">
        <f>HYPERLINK("http://mcb-m6.bioreg.kyushu-u.ac.jp/M3/20110502/F51187/801/1", 71.58)</f>
        <v>71.58</v>
      </c>
      <c r="E4330" s="2">
        <v>41.81</v>
      </c>
      <c r="F4330" s="2">
        <v>2</v>
      </c>
      <c r="G4330" s="2" t="s">
        <v>13</v>
      </c>
    </row>
    <row r="4331" spans="1:8" x14ac:dyDescent="0.2">
      <c r="A4331" s="2" t="s">
        <v>3343</v>
      </c>
      <c r="B4331" s="2" t="s">
        <v>546</v>
      </c>
      <c r="C4331" s="2">
        <v>665.15219999999999</v>
      </c>
      <c r="D4331" s="2">
        <f>HYPERLINK("http://mcb-m6.bioreg.kyushu-u.ac.jp/M3/20110502/F51180/1341/2", 71.92)</f>
        <v>71.92</v>
      </c>
      <c r="E4331" s="2">
        <v>49.27</v>
      </c>
      <c r="F4331" s="2">
        <v>2</v>
      </c>
      <c r="G4331" s="2" t="s">
        <v>13</v>
      </c>
    </row>
    <row r="4332" spans="1:8" x14ac:dyDescent="0.2">
      <c r="A4332" s="2" t="s">
        <v>3343</v>
      </c>
      <c r="B4332" s="2" t="s">
        <v>344</v>
      </c>
      <c r="C4332" s="2">
        <v>919.61360000000002</v>
      </c>
      <c r="D4332" s="2">
        <f>HYPERLINK("http://mcb-m6.bioreg.kyushu-u.ac.jp/M3/20110502/F51187/2473/1", 72.09)</f>
        <v>72.09</v>
      </c>
      <c r="E4332" s="2">
        <v>47.15</v>
      </c>
      <c r="F4332" s="2">
        <v>2</v>
      </c>
      <c r="G4332" s="2" t="s">
        <v>13</v>
      </c>
    </row>
    <row r="4333" spans="1:8" x14ac:dyDescent="0.2">
      <c r="A4333" s="2" t="s">
        <v>3343</v>
      </c>
      <c r="B4333" s="2" t="s">
        <v>1002</v>
      </c>
      <c r="C4333" s="2">
        <v>1148.0719999999999</v>
      </c>
      <c r="D4333" s="2">
        <f>HYPERLINK("http://mcb-m6.bioreg.kyushu-u.ac.jp/M3/20110502/F51180/3372/1", 72.5)</f>
        <v>72.5</v>
      </c>
      <c r="E4333" s="2">
        <v>55.27</v>
      </c>
      <c r="F4333" s="2">
        <v>2</v>
      </c>
      <c r="G4333" s="2" t="s">
        <v>13</v>
      </c>
    </row>
    <row r="4334" spans="1:8" x14ac:dyDescent="0.2">
      <c r="A4334" s="2" t="s">
        <v>3343</v>
      </c>
      <c r="B4334" s="2" t="s">
        <v>132</v>
      </c>
      <c r="C4334" s="2">
        <v>578.60569999999996</v>
      </c>
      <c r="D4334" s="2">
        <f>HYPERLINK("http://mcb-m6.bioreg.kyushu-u.ac.jp/M3/20110502/F51180/1011/1", 72.76)</f>
        <v>72.760000000000005</v>
      </c>
      <c r="E4334" s="2">
        <v>40.75</v>
      </c>
      <c r="F4334" s="2">
        <v>2</v>
      </c>
      <c r="G4334" s="2" t="s">
        <v>13</v>
      </c>
    </row>
    <row r="4335" spans="1:8" x14ac:dyDescent="0.2">
      <c r="A4335" s="2" t="s">
        <v>3343</v>
      </c>
      <c r="B4335" s="2" t="s">
        <v>325</v>
      </c>
      <c r="C4335" s="2">
        <v>747.93619999999999</v>
      </c>
      <c r="D4335" s="2">
        <f>HYPERLINK("http://mcb-m6.bioreg.kyushu-u.ac.jp/M3/20110502/F51168/2078/1", 72.84)</f>
        <v>72.84</v>
      </c>
      <c r="E4335" s="2">
        <v>57.38</v>
      </c>
      <c r="F4335" s="2">
        <v>2</v>
      </c>
      <c r="G4335" s="2" t="s">
        <v>13</v>
      </c>
      <c r="H4335" s="2" t="s">
        <v>4925</v>
      </c>
    </row>
    <row r="4336" spans="1:8" x14ac:dyDescent="0.2">
      <c r="A4336" s="2" t="s">
        <v>3343</v>
      </c>
      <c r="B4336" s="2" t="s">
        <v>328</v>
      </c>
      <c r="C4336" s="2">
        <v>573.79169999999999</v>
      </c>
      <c r="D4336" s="2">
        <f>HYPERLINK("http://mcb-m6.bioreg.kyushu-u.ac.jp/M3/20110502/F51180/979/1", 73.24)</f>
        <v>73.239999999999995</v>
      </c>
      <c r="E4336" s="2">
        <v>35.99</v>
      </c>
      <c r="F4336" s="2">
        <v>2</v>
      </c>
      <c r="G4336" s="2" t="s">
        <v>13</v>
      </c>
    </row>
    <row r="4337" spans="1:8" x14ac:dyDescent="0.2">
      <c r="A4337" s="2" t="s">
        <v>3343</v>
      </c>
      <c r="B4337" s="2" t="s">
        <v>344</v>
      </c>
      <c r="C4337" s="2">
        <v>919.75869999999998</v>
      </c>
      <c r="D4337" s="2">
        <f>HYPERLINK("http://mcb-m6.bioreg.kyushu-u.ac.jp/M3/20110502/F51180/2726/1", 73.25)</f>
        <v>73.25</v>
      </c>
      <c r="E4337" s="2">
        <v>31.28</v>
      </c>
      <c r="F4337" s="2">
        <v>2</v>
      </c>
      <c r="G4337" s="2" t="s">
        <v>13</v>
      </c>
    </row>
    <row r="4338" spans="1:8" x14ac:dyDescent="0.2">
      <c r="A4338" s="2" t="s">
        <v>3343</v>
      </c>
      <c r="B4338" s="2" t="s">
        <v>132</v>
      </c>
      <c r="C4338" s="2">
        <v>578.50620000000004</v>
      </c>
      <c r="D4338" s="2">
        <f>HYPERLINK("http://mcb-m6.bioreg.kyushu-u.ac.jp/M3/20110502/F51180/1004/1", 73.62)</f>
        <v>73.62</v>
      </c>
      <c r="E4338" s="2">
        <v>30.14</v>
      </c>
      <c r="F4338" s="2">
        <v>2</v>
      </c>
      <c r="G4338" s="2" t="s">
        <v>13</v>
      </c>
    </row>
    <row r="4339" spans="1:8" x14ac:dyDescent="0.2">
      <c r="A4339" s="2" t="s">
        <v>3343</v>
      </c>
      <c r="B4339" s="2" t="s">
        <v>325</v>
      </c>
      <c r="C4339" s="2">
        <v>1493.8589999999999</v>
      </c>
      <c r="D4339" s="2">
        <f>HYPERLINK("http://mcb-m6.bioreg.kyushu-u.ac.jp/M3/20110502/F51180/1860/1", 74.24)</f>
        <v>74.239999999999995</v>
      </c>
      <c r="E4339" s="2">
        <v>56.97</v>
      </c>
      <c r="F4339" s="2">
        <v>1</v>
      </c>
      <c r="G4339" s="2" t="s">
        <v>13</v>
      </c>
      <c r="H4339" s="2" t="s">
        <v>4925</v>
      </c>
    </row>
    <row r="4340" spans="1:8" x14ac:dyDescent="0.2">
      <c r="A4340" s="2" t="s">
        <v>3343</v>
      </c>
      <c r="B4340" s="2" t="s">
        <v>132</v>
      </c>
      <c r="C4340" s="2">
        <v>578.56370000000004</v>
      </c>
      <c r="D4340" s="2">
        <f>HYPERLINK("http://mcb-m6.bioreg.kyushu-u.ac.jp/M3/20110502/F51180/1009/1", 74.32)</f>
        <v>74.319999999999993</v>
      </c>
      <c r="E4340" s="2">
        <v>40.22</v>
      </c>
      <c r="F4340" s="2">
        <v>2</v>
      </c>
      <c r="G4340" s="2" t="s">
        <v>13</v>
      </c>
    </row>
    <row r="4341" spans="1:8" x14ac:dyDescent="0.2">
      <c r="A4341" s="2" t="s">
        <v>3343</v>
      </c>
      <c r="B4341" s="2" t="s">
        <v>546</v>
      </c>
      <c r="C4341" s="2">
        <v>664.9547</v>
      </c>
      <c r="D4341" s="2">
        <f>HYPERLINK("http://mcb-m6.bioreg.kyushu-u.ac.jp/M3/20110502/F51165/1812/2", 74.41)</f>
        <v>74.41</v>
      </c>
      <c r="E4341" s="2">
        <v>51.96</v>
      </c>
      <c r="F4341" s="2">
        <v>2</v>
      </c>
      <c r="G4341" s="2" t="s">
        <v>13</v>
      </c>
    </row>
    <row r="4342" spans="1:8" x14ac:dyDescent="0.2">
      <c r="A4342" s="2" t="s">
        <v>3343</v>
      </c>
      <c r="B4342" s="2" t="s">
        <v>344</v>
      </c>
      <c r="C4342" s="2">
        <v>919.71810000000005</v>
      </c>
      <c r="D4342" s="2">
        <f>HYPERLINK("http://mcb-m6.bioreg.kyushu-u.ac.jp/M3/20110502/F51180/2725/1", 74.6)</f>
        <v>74.599999999999994</v>
      </c>
      <c r="E4342" s="2">
        <v>51.01</v>
      </c>
      <c r="F4342" s="2">
        <v>2</v>
      </c>
      <c r="G4342" s="2" t="s">
        <v>13</v>
      </c>
    </row>
    <row r="4343" spans="1:8" x14ac:dyDescent="0.2">
      <c r="A4343" s="2" t="s">
        <v>3343</v>
      </c>
      <c r="B4343" s="2" t="s">
        <v>1032</v>
      </c>
      <c r="C4343" s="2">
        <v>1155.4100000000001</v>
      </c>
      <c r="D4343" s="2">
        <f>HYPERLINK("http://mcb-m6.bioreg.kyushu-u.ac.jp/M3/20110502/F51180/3413/1", 74.67)</f>
        <v>74.67</v>
      </c>
      <c r="E4343" s="2">
        <v>64.22</v>
      </c>
      <c r="F4343" s="2">
        <v>2</v>
      </c>
      <c r="G4343" s="2" t="s">
        <v>13</v>
      </c>
      <c r="H4343" s="2" t="s">
        <v>4904</v>
      </c>
    </row>
    <row r="4344" spans="1:8" x14ac:dyDescent="0.2">
      <c r="A4344" s="2" t="s">
        <v>3343</v>
      </c>
      <c r="B4344" s="2" t="s">
        <v>546</v>
      </c>
      <c r="C4344" s="2">
        <v>664.98360000000002</v>
      </c>
      <c r="D4344" s="2">
        <f>HYPERLINK("http://mcb-m6.bioreg.kyushu-u.ac.jp/M3/20110502/F51187/1353/2", 75.01)</f>
        <v>75.010000000000005</v>
      </c>
      <c r="E4344" s="2">
        <v>53.86</v>
      </c>
      <c r="F4344" s="2">
        <v>2</v>
      </c>
      <c r="G4344" s="2" t="s">
        <v>13</v>
      </c>
    </row>
    <row r="4345" spans="1:8" x14ac:dyDescent="0.2">
      <c r="A4345" s="2" t="s">
        <v>3343</v>
      </c>
      <c r="B4345" s="2" t="s">
        <v>558</v>
      </c>
      <c r="C4345" s="2">
        <v>729.78120000000001</v>
      </c>
      <c r="D4345" s="2">
        <f>HYPERLINK("http://mcb-m6.bioreg.kyushu-u.ac.jp/M3/20110502/F51187/1703/1", 75.17)</f>
        <v>75.17</v>
      </c>
      <c r="E4345" s="2">
        <v>55.48</v>
      </c>
      <c r="F4345" s="2">
        <v>2</v>
      </c>
      <c r="G4345" s="2" t="s">
        <v>13</v>
      </c>
    </row>
    <row r="4346" spans="1:8" x14ac:dyDescent="0.2">
      <c r="A4346" s="2" t="s">
        <v>3343</v>
      </c>
      <c r="B4346" s="2" t="s">
        <v>344</v>
      </c>
      <c r="C4346" s="2">
        <v>919.60820000000001</v>
      </c>
      <c r="D4346" s="2">
        <f>HYPERLINK("http://mcb-m6.bioreg.kyushu-u.ac.jp/M3/20110502/F51168/2667/1", 75.84)</f>
        <v>75.84</v>
      </c>
      <c r="E4346" s="2">
        <v>43.32</v>
      </c>
      <c r="F4346" s="2">
        <v>2</v>
      </c>
      <c r="G4346" s="2" t="s">
        <v>13</v>
      </c>
    </row>
    <row r="4347" spans="1:8" x14ac:dyDescent="0.2">
      <c r="A4347" s="2" t="s">
        <v>3343</v>
      </c>
      <c r="B4347" s="2" t="s">
        <v>325</v>
      </c>
      <c r="C4347" s="2">
        <v>1477.8050000000001</v>
      </c>
      <c r="D4347" s="2">
        <f>HYPERLINK("http://mcb-m6.bioreg.kyushu-u.ac.jp/M3/20110502/F51180/1799/1", 75.91)</f>
        <v>75.91</v>
      </c>
      <c r="E4347" s="2">
        <v>57.61</v>
      </c>
      <c r="F4347" s="2">
        <v>1</v>
      </c>
      <c r="G4347" s="2" t="s">
        <v>13</v>
      </c>
    </row>
    <row r="4348" spans="1:8" x14ac:dyDescent="0.2">
      <c r="A4348" s="2" t="s">
        <v>3343</v>
      </c>
      <c r="B4348" s="2" t="s">
        <v>546</v>
      </c>
      <c r="C4348" s="2">
        <v>665.05970000000002</v>
      </c>
      <c r="D4348" s="2">
        <f>HYPERLINK("http://mcb-m6.bioreg.kyushu-u.ac.jp/M3/20110502/F51180/1336/2", 77.23)</f>
        <v>77.23</v>
      </c>
      <c r="E4348" s="2">
        <v>55.14</v>
      </c>
      <c r="F4348" s="2">
        <v>2</v>
      </c>
      <c r="G4348" s="2" t="s">
        <v>13</v>
      </c>
    </row>
    <row r="4349" spans="1:8" x14ac:dyDescent="0.2">
      <c r="A4349" s="2" t="s">
        <v>3343</v>
      </c>
      <c r="B4349" s="2" t="s">
        <v>344</v>
      </c>
      <c r="C4349" s="2">
        <v>919.71010000000001</v>
      </c>
      <c r="D4349" s="2">
        <f>HYPERLINK("http://mcb-m6.bioreg.kyushu-u.ac.jp/M3/20110502/F51180/2724/1", 77.35)</f>
        <v>77.349999999999994</v>
      </c>
      <c r="E4349" s="2">
        <v>34.630000000000003</v>
      </c>
      <c r="F4349" s="2">
        <v>2</v>
      </c>
      <c r="G4349" s="2" t="s">
        <v>13</v>
      </c>
    </row>
    <row r="4350" spans="1:8" x14ac:dyDescent="0.2">
      <c r="A4350" s="2" t="s">
        <v>3343</v>
      </c>
      <c r="B4350" s="2" t="s">
        <v>546</v>
      </c>
      <c r="C4350" s="2">
        <v>665.06619999999998</v>
      </c>
      <c r="D4350" s="2">
        <f>HYPERLINK("http://mcb-m6.bioreg.kyushu-u.ac.jp/M3/20110502/F51180/1337/2", 78.02)</f>
        <v>78.02</v>
      </c>
      <c r="E4350" s="2">
        <v>50.99</v>
      </c>
      <c r="F4350" s="2">
        <v>2</v>
      </c>
      <c r="G4350" s="2" t="s">
        <v>13</v>
      </c>
    </row>
    <row r="4351" spans="1:8" x14ac:dyDescent="0.2">
      <c r="A4351" s="2" t="s">
        <v>3343</v>
      </c>
      <c r="B4351" s="2" t="s">
        <v>132</v>
      </c>
      <c r="C4351" s="2">
        <v>578.56119999999999</v>
      </c>
      <c r="D4351" s="2">
        <f>HYPERLINK("http://mcb-m6.bioreg.kyushu-u.ac.jp/M3/20110502/F51180/1008/1", 78.09)</f>
        <v>78.09</v>
      </c>
      <c r="E4351" s="2">
        <v>38.53</v>
      </c>
      <c r="F4351" s="2">
        <v>2</v>
      </c>
      <c r="G4351" s="2" t="s">
        <v>13</v>
      </c>
    </row>
    <row r="4352" spans="1:8" x14ac:dyDescent="0.2">
      <c r="A4352" s="2" t="s">
        <v>3343</v>
      </c>
      <c r="B4352" s="2" t="s">
        <v>325</v>
      </c>
      <c r="C4352" s="2">
        <v>747.86360000000002</v>
      </c>
      <c r="D4352" s="2">
        <f>HYPERLINK("http://mcb-m6.bioreg.kyushu-u.ac.jp/M3/20110502/F51188/1900/1", 78.18)</f>
        <v>78.180000000000007</v>
      </c>
      <c r="E4352" s="2">
        <v>64.53</v>
      </c>
      <c r="F4352" s="2">
        <v>2</v>
      </c>
      <c r="G4352" s="2" t="s">
        <v>13</v>
      </c>
      <c r="H4352" s="2" t="s">
        <v>4925</v>
      </c>
    </row>
    <row r="4353" spans="1:8" x14ac:dyDescent="0.2">
      <c r="A4353" s="2" t="s">
        <v>3343</v>
      </c>
      <c r="B4353" s="2" t="s">
        <v>546</v>
      </c>
      <c r="C4353" s="2">
        <v>665.02419999999995</v>
      </c>
      <c r="D4353" s="2">
        <f>HYPERLINK("http://mcb-m6.bioreg.kyushu-u.ac.jp/M3/20110502/F51180/1335/2", 78.53)</f>
        <v>78.53</v>
      </c>
      <c r="E4353" s="2">
        <v>56.87</v>
      </c>
      <c r="F4353" s="2">
        <v>2</v>
      </c>
      <c r="G4353" s="2" t="s">
        <v>13</v>
      </c>
    </row>
    <row r="4354" spans="1:8" x14ac:dyDescent="0.2">
      <c r="A4354" s="2" t="s">
        <v>3343</v>
      </c>
      <c r="B4354" s="2" t="s">
        <v>1002</v>
      </c>
      <c r="C4354" s="2">
        <v>1147.809</v>
      </c>
      <c r="D4354" s="2">
        <f>HYPERLINK("http://mcb-m6.bioreg.kyushu-u.ac.jp/M3/20110502/F51180/3366/1", 78.75)</f>
        <v>78.75</v>
      </c>
      <c r="E4354" s="2">
        <v>63.8</v>
      </c>
      <c r="F4354" s="2">
        <v>2</v>
      </c>
      <c r="G4354" s="2" t="s">
        <v>13</v>
      </c>
    </row>
    <row r="4355" spans="1:8" x14ac:dyDescent="0.2">
      <c r="A4355" s="2" t="s">
        <v>3343</v>
      </c>
      <c r="B4355" s="2" t="s">
        <v>546</v>
      </c>
      <c r="C4355" s="2">
        <v>665.01459999999997</v>
      </c>
      <c r="D4355" s="2">
        <f>HYPERLINK("http://mcb-m6.bioreg.kyushu-u.ac.jp/M3/20110502/F51170/1681/2", 79.73)</f>
        <v>79.73</v>
      </c>
      <c r="E4355" s="2">
        <v>58.26</v>
      </c>
      <c r="F4355" s="2">
        <v>2</v>
      </c>
      <c r="G4355" s="2" t="s">
        <v>13</v>
      </c>
    </row>
    <row r="4356" spans="1:8" x14ac:dyDescent="0.2">
      <c r="A4356" s="2" t="s">
        <v>3343</v>
      </c>
      <c r="B4356" s="2" t="s">
        <v>1189</v>
      </c>
      <c r="C4356" s="2">
        <v>1069.605</v>
      </c>
      <c r="D4356" s="2">
        <f>HYPERLINK("http://mcb-m6.bioreg.kyushu-u.ac.jp/M3/20110502/F51170/3410/1", 79.78)</f>
        <v>79.78</v>
      </c>
      <c r="E4356" s="2">
        <v>68.66</v>
      </c>
      <c r="F4356" s="2">
        <v>2</v>
      </c>
      <c r="G4356" s="2" t="s">
        <v>13</v>
      </c>
    </row>
    <row r="4357" spans="1:8" x14ac:dyDescent="0.2">
      <c r="A4357" s="2" t="s">
        <v>3343</v>
      </c>
      <c r="B4357" s="2" t="s">
        <v>546</v>
      </c>
      <c r="C4357" s="2">
        <v>664.89509999999996</v>
      </c>
      <c r="D4357" s="2">
        <f>HYPERLINK("http://mcb-m6.bioreg.kyushu-u.ac.jp/M3/20110502/F51168/1717/2", 79.82)</f>
        <v>79.819999999999993</v>
      </c>
      <c r="E4357" s="2">
        <v>62.41</v>
      </c>
      <c r="F4357" s="2">
        <v>2</v>
      </c>
      <c r="G4357" s="2" t="s">
        <v>13</v>
      </c>
    </row>
    <row r="4358" spans="1:8" x14ac:dyDescent="0.2">
      <c r="A4358" s="2" t="s">
        <v>3343</v>
      </c>
      <c r="B4358" s="2" t="s">
        <v>1496</v>
      </c>
      <c r="C4358" s="2">
        <v>967.27869999999996</v>
      </c>
      <c r="D4358" s="2">
        <f>HYPERLINK("http://mcb-m6.bioreg.kyushu-u.ac.jp/M3/20110502/F51180/2865/1", 80.2)</f>
        <v>80.2</v>
      </c>
      <c r="E4358" s="2">
        <v>60.7</v>
      </c>
      <c r="F4358" s="2">
        <v>2</v>
      </c>
      <c r="G4358" s="2" t="s">
        <v>13</v>
      </c>
    </row>
    <row r="4359" spans="1:8" x14ac:dyDescent="0.2">
      <c r="A4359" s="2" t="s">
        <v>3343</v>
      </c>
      <c r="B4359" s="2" t="s">
        <v>132</v>
      </c>
      <c r="C4359" s="2">
        <v>578.42269999999996</v>
      </c>
      <c r="D4359" s="2">
        <f>HYPERLINK("http://mcb-m6.bioreg.kyushu-u.ac.jp/M3/20110502/F51168/1471/1", 80.96)</f>
        <v>80.959999999999994</v>
      </c>
      <c r="E4359" s="2">
        <v>55</v>
      </c>
      <c r="F4359" s="2">
        <v>2</v>
      </c>
      <c r="G4359" s="2" t="s">
        <v>13</v>
      </c>
    </row>
    <row r="4360" spans="1:8" x14ac:dyDescent="0.2">
      <c r="A4360" s="2" t="s">
        <v>3343</v>
      </c>
      <c r="B4360" s="2" t="s">
        <v>344</v>
      </c>
      <c r="C4360" s="2">
        <v>919.68370000000004</v>
      </c>
      <c r="D4360" s="2">
        <f>HYPERLINK("http://mcb-m6.bioreg.kyushu-u.ac.jp/M3/20110502/F51180/2723/1", 81.39)</f>
        <v>81.39</v>
      </c>
      <c r="E4360" s="2">
        <v>46.22</v>
      </c>
      <c r="F4360" s="2">
        <v>2</v>
      </c>
      <c r="G4360" s="2" t="s">
        <v>13</v>
      </c>
    </row>
    <row r="4361" spans="1:8" x14ac:dyDescent="0.2">
      <c r="A4361" s="2" t="s">
        <v>3343</v>
      </c>
      <c r="B4361" s="2" t="s">
        <v>344</v>
      </c>
      <c r="C4361" s="2">
        <v>919.6481</v>
      </c>
      <c r="D4361" s="2">
        <f>HYPERLINK("http://mcb-m6.bioreg.kyushu-u.ac.jp/M3/20110502/F51180/2722/1", 81.4)</f>
        <v>81.400000000000006</v>
      </c>
      <c r="E4361" s="2">
        <v>57.83</v>
      </c>
      <c r="F4361" s="2">
        <v>2</v>
      </c>
      <c r="G4361" s="2" t="s">
        <v>13</v>
      </c>
    </row>
    <row r="4362" spans="1:8" x14ac:dyDescent="0.2">
      <c r="A4362" s="2" t="s">
        <v>3343</v>
      </c>
      <c r="B4362" s="2" t="s">
        <v>344</v>
      </c>
      <c r="C4362" s="2">
        <v>919.59860000000003</v>
      </c>
      <c r="D4362" s="2">
        <f>HYPERLINK("http://mcb-m6.bioreg.kyushu-u.ac.jp/M3/20110502/F51180/2720/1", 81.77)</f>
        <v>81.77</v>
      </c>
      <c r="E4362" s="2">
        <v>55.5</v>
      </c>
      <c r="F4362" s="2">
        <v>2</v>
      </c>
      <c r="G4362" s="2" t="s">
        <v>13</v>
      </c>
    </row>
    <row r="4363" spans="1:8" x14ac:dyDescent="0.2">
      <c r="A4363" s="2" t="s">
        <v>3343</v>
      </c>
      <c r="B4363" s="2" t="s">
        <v>325</v>
      </c>
      <c r="C4363" s="2">
        <v>747.59619999999995</v>
      </c>
      <c r="D4363" s="2">
        <f>HYPERLINK("http://mcb-m6.bioreg.kyushu-u.ac.jp/M3/20110502/F51180/1868/1", 83.51)</f>
        <v>83.51</v>
      </c>
      <c r="E4363" s="2">
        <v>66.75</v>
      </c>
      <c r="F4363" s="2">
        <v>2</v>
      </c>
      <c r="G4363" s="2" t="s">
        <v>13</v>
      </c>
      <c r="H4363" s="2" t="s">
        <v>4925</v>
      </c>
    </row>
    <row r="4364" spans="1:8" x14ac:dyDescent="0.2">
      <c r="A4364" s="2" t="s">
        <v>3343</v>
      </c>
      <c r="B4364" s="2" t="s">
        <v>546</v>
      </c>
      <c r="C4364" s="2">
        <v>665.16470000000004</v>
      </c>
      <c r="D4364" s="2">
        <f>HYPERLINK("http://mcb-m6.bioreg.kyushu-u.ac.jp/M3/20110502/F51180/1342/2", 83.55)</f>
        <v>83.55</v>
      </c>
      <c r="E4364" s="2">
        <v>56.52</v>
      </c>
      <c r="F4364" s="2">
        <v>2</v>
      </c>
      <c r="G4364" s="2" t="s">
        <v>13</v>
      </c>
    </row>
    <row r="4365" spans="1:8" x14ac:dyDescent="0.2">
      <c r="A4365" s="2" t="s">
        <v>3343</v>
      </c>
      <c r="B4365" s="2" t="s">
        <v>132</v>
      </c>
      <c r="C4365" s="2">
        <v>578.54520000000002</v>
      </c>
      <c r="D4365" s="2">
        <f>HYPERLINK("http://mcb-m6.bioreg.kyushu-u.ac.jp/M3/20110502/F51180/1007/1", 84.93)</f>
        <v>84.93</v>
      </c>
      <c r="E4365" s="2">
        <v>41.67</v>
      </c>
      <c r="F4365" s="2">
        <v>2</v>
      </c>
      <c r="G4365" s="2" t="s">
        <v>13</v>
      </c>
    </row>
    <row r="4366" spans="1:8" x14ac:dyDescent="0.2">
      <c r="A4366" s="2" t="s">
        <v>3343</v>
      </c>
      <c r="B4366" s="2" t="s">
        <v>1002</v>
      </c>
      <c r="C4366" s="2">
        <v>1147.797</v>
      </c>
      <c r="D4366" s="2">
        <f>HYPERLINK("http://mcb-m6.bioreg.kyushu-u.ac.jp/M3/20110502/F51180/3365/1", 86.58)</f>
        <v>86.58</v>
      </c>
      <c r="E4366" s="2">
        <v>74.489999999999995</v>
      </c>
      <c r="F4366" s="2">
        <v>2</v>
      </c>
      <c r="G4366" s="2" t="s">
        <v>13</v>
      </c>
    </row>
    <row r="4367" spans="1:8" x14ac:dyDescent="0.2">
      <c r="A4367" s="2" t="s">
        <v>3343</v>
      </c>
      <c r="B4367" s="2" t="s">
        <v>325</v>
      </c>
      <c r="C4367" s="2">
        <v>747.65120000000002</v>
      </c>
      <c r="D4367" s="2">
        <f>HYPERLINK("http://mcb-m6.bioreg.kyushu-u.ac.jp/M3/20110502/F51180/1871/1", 86.62)</f>
        <v>86.62</v>
      </c>
      <c r="E4367" s="2">
        <v>72</v>
      </c>
      <c r="F4367" s="2">
        <v>2</v>
      </c>
      <c r="G4367" s="2" t="s">
        <v>13</v>
      </c>
      <c r="H4367" s="2" t="s">
        <v>4925</v>
      </c>
    </row>
    <row r="4368" spans="1:8" x14ac:dyDescent="0.2">
      <c r="A4368" s="2" t="s">
        <v>3343</v>
      </c>
      <c r="B4368" s="2" t="s">
        <v>1189</v>
      </c>
      <c r="C4368" s="2">
        <v>1069.8409999999999</v>
      </c>
      <c r="D4368" s="2">
        <f>HYPERLINK("http://mcb-m6.bioreg.kyushu-u.ac.jp/M3/20110502/F51169/3078/1", 86.8)</f>
        <v>86.8</v>
      </c>
      <c r="E4368" s="2">
        <v>69.44</v>
      </c>
      <c r="F4368" s="2">
        <v>2</v>
      </c>
      <c r="G4368" s="2" t="s">
        <v>13</v>
      </c>
    </row>
    <row r="4369" spans="1:8" x14ac:dyDescent="0.2">
      <c r="A4369" s="2" t="s">
        <v>3343</v>
      </c>
      <c r="B4369" s="2" t="s">
        <v>325</v>
      </c>
      <c r="C4369" s="2">
        <v>739.52509999999995</v>
      </c>
      <c r="D4369" s="2">
        <f>HYPERLINK("http://mcb-m6.bioreg.kyushu-u.ac.jp/M3/20110502/F51180/1800/1", 87.92)</f>
        <v>87.92</v>
      </c>
      <c r="E4369" s="2">
        <v>67.680000000000007</v>
      </c>
      <c r="F4369" s="2">
        <v>2</v>
      </c>
      <c r="G4369" s="2" t="s">
        <v>13</v>
      </c>
    </row>
    <row r="4370" spans="1:8" x14ac:dyDescent="0.2">
      <c r="A4370" s="2" t="s">
        <v>3343</v>
      </c>
      <c r="B4370" s="2" t="s">
        <v>546</v>
      </c>
      <c r="C4370" s="2">
        <v>664.97919999999999</v>
      </c>
      <c r="D4370" s="2">
        <f>HYPERLINK("http://mcb-m6.bioreg.kyushu-u.ac.jp/M3/20110502/F51169/1783/2", 88.03)</f>
        <v>88.03</v>
      </c>
      <c r="E4370" s="2">
        <v>63.48</v>
      </c>
      <c r="F4370" s="2">
        <v>2</v>
      </c>
      <c r="G4370" s="2" t="s">
        <v>13</v>
      </c>
    </row>
    <row r="4371" spans="1:8" x14ac:dyDescent="0.2">
      <c r="A4371" s="2" t="s">
        <v>3343</v>
      </c>
      <c r="B4371" s="2" t="s">
        <v>1189</v>
      </c>
      <c r="C4371" s="2">
        <v>1070.1500000000001</v>
      </c>
      <c r="D4371" s="2">
        <f>HYPERLINK("http://mcb-m6.bioreg.kyushu-u.ac.jp/M3/20110502/F51168/2900/1", 90.44)</f>
        <v>90.44</v>
      </c>
      <c r="E4371" s="2">
        <v>76.66</v>
      </c>
      <c r="F4371" s="2">
        <v>2</v>
      </c>
      <c r="G4371" s="2" t="s">
        <v>13</v>
      </c>
    </row>
    <row r="4372" spans="1:8" x14ac:dyDescent="0.2">
      <c r="A4372" s="2" t="s">
        <v>3343</v>
      </c>
      <c r="B4372" s="2" t="s">
        <v>1211</v>
      </c>
      <c r="C4372" s="2">
        <v>1161.6990000000001</v>
      </c>
      <c r="D4372" s="2">
        <f>HYPERLINK("http://mcb-m6.bioreg.kyushu-u.ac.jp/M3/20110502/F51180/3433/1", 91.27)</f>
        <v>91.27</v>
      </c>
      <c r="E4372" s="2">
        <v>73.709999999999994</v>
      </c>
      <c r="F4372" s="2">
        <v>2</v>
      </c>
      <c r="G4372" s="2" t="s">
        <v>13</v>
      </c>
      <c r="H4372" s="2" t="s">
        <v>4891</v>
      </c>
    </row>
    <row r="4373" spans="1:8" x14ac:dyDescent="0.2">
      <c r="A4373" s="2" t="s">
        <v>3343</v>
      </c>
      <c r="B4373" s="2" t="s">
        <v>325</v>
      </c>
      <c r="C4373" s="2">
        <v>739.89469999999994</v>
      </c>
      <c r="D4373" s="2">
        <f>HYPERLINK("http://mcb-m6.bioreg.kyushu-u.ac.jp/M3/20110502/F51187/1743/1", 93.1)</f>
        <v>93.1</v>
      </c>
      <c r="E4373" s="2">
        <v>81.16</v>
      </c>
      <c r="F4373" s="2">
        <v>2</v>
      </c>
      <c r="G4373" s="2" t="s">
        <v>13</v>
      </c>
    </row>
    <row r="4374" spans="1:8" x14ac:dyDescent="0.2">
      <c r="A4374" s="2" t="s">
        <v>3343</v>
      </c>
      <c r="B4374" s="2" t="s">
        <v>344</v>
      </c>
      <c r="C4374" s="2">
        <v>919.60170000000005</v>
      </c>
      <c r="D4374" s="2">
        <f>HYPERLINK("http://mcb-m6.bioreg.kyushu-u.ac.jp/M3/20110502/F51188/2563/1", 93.18)</f>
        <v>93.18</v>
      </c>
      <c r="E4374" s="2">
        <v>68.66</v>
      </c>
      <c r="F4374" s="2">
        <v>2</v>
      </c>
      <c r="G4374" s="2" t="s">
        <v>13</v>
      </c>
    </row>
    <row r="4375" spans="1:8" x14ac:dyDescent="0.2">
      <c r="A4375" s="2" t="s">
        <v>3343</v>
      </c>
      <c r="B4375" s="2" t="s">
        <v>325</v>
      </c>
      <c r="C4375" s="2">
        <v>747.60109999999997</v>
      </c>
      <c r="D4375" s="2">
        <f>HYPERLINK("http://mcb-m6.bioreg.kyushu-u.ac.jp/M3/20110502/F51180/1869/1", 96.14)</f>
        <v>96.14</v>
      </c>
      <c r="E4375" s="2">
        <v>83.27</v>
      </c>
      <c r="F4375" s="2">
        <v>2</v>
      </c>
      <c r="G4375" s="2" t="s">
        <v>13</v>
      </c>
      <c r="H4375" s="2" t="s">
        <v>4925</v>
      </c>
    </row>
    <row r="4376" spans="1:8" x14ac:dyDescent="0.2">
      <c r="A4376" s="2" t="s">
        <v>3343</v>
      </c>
      <c r="B4376" s="2" t="s">
        <v>1002</v>
      </c>
      <c r="C4376" s="2">
        <v>1147.789</v>
      </c>
      <c r="D4376" s="2">
        <f>HYPERLINK("http://mcb-m6.bioreg.kyushu-u.ac.jp/M3/20110502/F51180/3364/1", 96.49)</f>
        <v>96.49</v>
      </c>
      <c r="E4376" s="2">
        <v>80.08</v>
      </c>
      <c r="F4376" s="2">
        <v>2</v>
      </c>
      <c r="G4376" s="2" t="s">
        <v>13</v>
      </c>
    </row>
    <row r="4377" spans="1:8" x14ac:dyDescent="0.2">
      <c r="A4377" s="2" t="s">
        <v>3343</v>
      </c>
      <c r="B4377" s="2" t="s">
        <v>325</v>
      </c>
      <c r="C4377" s="2">
        <v>747.45569999999998</v>
      </c>
      <c r="D4377" s="2">
        <f>HYPERLINK("http://mcb-m6.bioreg.kyushu-u.ac.jp/M3/20110502/F51187/1779/1", 97.95)</f>
        <v>97.95</v>
      </c>
      <c r="E4377" s="2">
        <v>82.15</v>
      </c>
      <c r="F4377" s="2">
        <v>2</v>
      </c>
      <c r="G4377" s="2" t="s">
        <v>13</v>
      </c>
      <c r="H4377" s="2" t="s">
        <v>4925</v>
      </c>
    </row>
    <row r="4378" spans="1:8" x14ac:dyDescent="0.2">
      <c r="A4378" s="2" t="s">
        <v>3343</v>
      </c>
      <c r="B4378" s="2" t="s">
        <v>325</v>
      </c>
      <c r="C4378" s="2">
        <v>739.56769999999995</v>
      </c>
      <c r="D4378" s="2">
        <f>HYPERLINK("http://mcb-m6.bioreg.kyushu-u.ac.jp/M3/20110502/F51180/1802/1", 99.56)</f>
        <v>99.56</v>
      </c>
      <c r="E4378" s="2">
        <v>87.3</v>
      </c>
      <c r="F4378" s="2">
        <v>2</v>
      </c>
      <c r="G4378" s="2" t="s">
        <v>13</v>
      </c>
    </row>
    <row r="4379" spans="1:8" x14ac:dyDescent="0.2">
      <c r="A4379" s="2" t="s">
        <v>3343</v>
      </c>
      <c r="B4379" s="2" t="s">
        <v>1002</v>
      </c>
      <c r="C4379" s="2">
        <v>1147.7819999999999</v>
      </c>
      <c r="D4379" s="2">
        <f>HYPERLINK("http://mcb-m6.bioreg.kyushu-u.ac.jp/M3/20110502/F51180/3363/1", 100.43)</f>
        <v>100.43</v>
      </c>
      <c r="E4379" s="2">
        <v>84.98</v>
      </c>
      <c r="F4379" s="2">
        <v>2</v>
      </c>
      <c r="G4379" s="2" t="s">
        <v>13</v>
      </c>
    </row>
    <row r="4380" spans="1:8" x14ac:dyDescent="0.2">
      <c r="A4380" s="2" t="s">
        <v>3343</v>
      </c>
      <c r="B4380" s="2" t="s">
        <v>325</v>
      </c>
      <c r="C4380" s="2">
        <v>739.56370000000004</v>
      </c>
      <c r="D4380" s="2">
        <f>HYPERLINK("http://mcb-m6.bioreg.kyushu-u.ac.jp/M3/20110502/F51180/1801/1", 103.47)</f>
        <v>103.47</v>
      </c>
      <c r="E4380" s="2">
        <v>87.19</v>
      </c>
      <c r="F4380" s="2">
        <v>2</v>
      </c>
      <c r="G4380" s="2" t="s">
        <v>13</v>
      </c>
    </row>
    <row r="4381" spans="1:8" x14ac:dyDescent="0.2">
      <c r="A4381" s="2" t="s">
        <v>3343</v>
      </c>
      <c r="B4381" s="2" t="s">
        <v>1032</v>
      </c>
      <c r="C4381" s="2">
        <v>1163.962</v>
      </c>
      <c r="D4381" s="2">
        <f>HYPERLINK("http://mcb-m6.bioreg.kyushu-u.ac.jp/M3/20110502/F51180/3448/1", 103.48)</f>
        <v>103.48</v>
      </c>
      <c r="E4381" s="2">
        <v>84.18</v>
      </c>
      <c r="F4381" s="2">
        <v>2</v>
      </c>
      <c r="G4381" s="2" t="s">
        <v>13</v>
      </c>
    </row>
    <row r="4382" spans="1:8" x14ac:dyDescent="0.2">
      <c r="A4382" s="2" t="s">
        <v>3343</v>
      </c>
      <c r="B4382" s="2" t="s">
        <v>1189</v>
      </c>
      <c r="C4382" s="2">
        <v>1070.1030000000001</v>
      </c>
      <c r="D4382" s="2">
        <f>HYPERLINK("http://mcb-m6.bioreg.kyushu-u.ac.jp/M3/20110502/F51187/2922/1", 104.07)</f>
        <v>104.07</v>
      </c>
      <c r="E4382" s="2">
        <v>91.77</v>
      </c>
      <c r="F4382" s="2">
        <v>2</v>
      </c>
      <c r="G4382" s="2" t="s">
        <v>13</v>
      </c>
    </row>
    <row r="4383" spans="1:8" x14ac:dyDescent="0.2">
      <c r="A4383" s="2" t="s">
        <v>3343</v>
      </c>
      <c r="B4383" s="2" t="s">
        <v>325</v>
      </c>
      <c r="C4383" s="2">
        <v>739.6232</v>
      </c>
      <c r="D4383" s="2">
        <f>HYPERLINK("http://mcb-m6.bioreg.kyushu-u.ac.jp/M3/20110502/F51180/1803/1", 104.1)</f>
        <v>104.1</v>
      </c>
      <c r="E4383" s="2">
        <v>83.69</v>
      </c>
      <c r="F4383" s="2">
        <v>2</v>
      </c>
      <c r="G4383" s="2" t="s">
        <v>13</v>
      </c>
    </row>
    <row r="4384" spans="1:8" x14ac:dyDescent="0.2">
      <c r="A4384" s="2" t="s">
        <v>3343</v>
      </c>
      <c r="B4384" s="2" t="s">
        <v>1032</v>
      </c>
      <c r="C4384" s="2">
        <v>1163.7329999999999</v>
      </c>
      <c r="D4384" s="2">
        <f>HYPERLINK("http://mcb-m6.bioreg.kyushu-u.ac.jp/M3/20110502/F51180/3441/1", 104.28)</f>
        <v>104.28</v>
      </c>
      <c r="E4384" s="2">
        <v>88.79</v>
      </c>
      <c r="F4384" s="2">
        <v>2</v>
      </c>
      <c r="G4384" s="2" t="s">
        <v>13</v>
      </c>
    </row>
    <row r="4385" spans="1:8" x14ac:dyDescent="0.2">
      <c r="A4385" s="2" t="s">
        <v>3343</v>
      </c>
      <c r="B4385" s="2" t="s">
        <v>1189</v>
      </c>
      <c r="C4385" s="2">
        <v>1069.7429999999999</v>
      </c>
      <c r="D4385" s="2">
        <f>HYPERLINK("http://mcb-m6.bioreg.kyushu-u.ac.jp/M3/20110502/F51180/3102/1", 111.54)</f>
        <v>111.54</v>
      </c>
      <c r="E4385" s="2">
        <v>87.67</v>
      </c>
      <c r="F4385" s="2">
        <v>2</v>
      </c>
      <c r="G4385" s="2" t="s">
        <v>13</v>
      </c>
    </row>
    <row r="4386" spans="1:8" x14ac:dyDescent="0.2">
      <c r="A4386" s="2" t="s">
        <v>3343</v>
      </c>
      <c r="B4386" s="2" t="s">
        <v>1189</v>
      </c>
      <c r="C4386" s="2">
        <v>1069.731</v>
      </c>
      <c r="D4386" s="2">
        <f>HYPERLINK("http://mcb-m6.bioreg.kyushu-u.ac.jp/M3/20110502/F51180/3101/1", 120.43)</f>
        <v>120.43</v>
      </c>
      <c r="E4386" s="2">
        <v>102.88</v>
      </c>
      <c r="F4386" s="2">
        <v>2</v>
      </c>
      <c r="G4386" s="2" t="s">
        <v>13</v>
      </c>
    </row>
    <row r="4387" spans="1:8" x14ac:dyDescent="0.2">
      <c r="A4387" s="2" t="s">
        <v>3343</v>
      </c>
      <c r="B4387" s="2" t="s">
        <v>132</v>
      </c>
      <c r="C4387" s="2">
        <v>578.62959999999998</v>
      </c>
      <c r="D4387" s="2">
        <f>HYPERLINK("http://mcb-m6.bioreg.kyushu-u.ac.jp/M3/20110502/F51182/1019/1", 35.26)</f>
        <v>35.26</v>
      </c>
      <c r="E4387" s="2">
        <v>11.62</v>
      </c>
      <c r="F4387" s="2">
        <v>2</v>
      </c>
      <c r="G4387" s="2" t="s">
        <v>14</v>
      </c>
    </row>
    <row r="4388" spans="1:8" x14ac:dyDescent="0.2">
      <c r="A4388" s="2" t="s">
        <v>3343</v>
      </c>
      <c r="B4388" s="2" t="s">
        <v>943</v>
      </c>
      <c r="C4388" s="2">
        <v>506.99810000000002</v>
      </c>
      <c r="D4388" s="2">
        <f>HYPERLINK("http://mcb-m6.bioreg.kyushu-u.ac.jp/M3/20110502/F51181/832/1", 35.67)</f>
        <v>35.67</v>
      </c>
      <c r="E4388" s="2">
        <v>11.91</v>
      </c>
      <c r="F4388" s="2">
        <v>2</v>
      </c>
      <c r="G4388" s="2" t="s">
        <v>14</v>
      </c>
    </row>
    <row r="4389" spans="1:8" x14ac:dyDescent="0.2">
      <c r="A4389" s="2" t="s">
        <v>3343</v>
      </c>
      <c r="B4389" s="2" t="s">
        <v>2359</v>
      </c>
      <c r="C4389" s="2">
        <v>679.1902</v>
      </c>
      <c r="D4389" s="2">
        <f>HYPERLINK("http://mcb-m6.bioreg.kyushu-u.ac.jp/M3/20110502/F51182/1454/1", 36.4)</f>
        <v>36.4</v>
      </c>
      <c r="E4389" s="2">
        <v>9.66</v>
      </c>
      <c r="F4389" s="2">
        <v>2</v>
      </c>
      <c r="G4389" s="2" t="s">
        <v>14</v>
      </c>
    </row>
    <row r="4390" spans="1:8" x14ac:dyDescent="0.2">
      <c r="A4390" s="2" t="s">
        <v>3343</v>
      </c>
      <c r="B4390" s="2" t="s">
        <v>509</v>
      </c>
      <c r="C4390" s="2">
        <v>725.92769999999996</v>
      </c>
      <c r="D4390" s="2">
        <f>HYPERLINK("http://mcb-m6.bioreg.kyushu-u.ac.jp/M3/20110502/F51181/1769/1", 37.27)</f>
        <v>37.270000000000003</v>
      </c>
      <c r="E4390" s="2">
        <v>19.649999999999999</v>
      </c>
      <c r="F4390" s="2">
        <v>2</v>
      </c>
      <c r="G4390" s="2" t="s">
        <v>14</v>
      </c>
      <c r="H4390" s="2" t="s">
        <v>4927</v>
      </c>
    </row>
    <row r="4391" spans="1:8" x14ac:dyDescent="0.2">
      <c r="A4391" s="2" t="s">
        <v>3343</v>
      </c>
      <c r="B4391" s="2" t="s">
        <v>1002</v>
      </c>
      <c r="C4391" s="2">
        <v>765.71690000000001</v>
      </c>
      <c r="D4391" s="2">
        <f>HYPERLINK("http://mcb-m6.bioreg.kyushu-u.ac.jp/M3/20110502/F51182/3628/1", 37.54)</f>
        <v>37.54</v>
      </c>
      <c r="E4391" s="2">
        <v>17.579999999999998</v>
      </c>
      <c r="F4391" s="2">
        <v>3</v>
      </c>
      <c r="G4391" s="2" t="s">
        <v>14</v>
      </c>
    </row>
    <row r="4392" spans="1:8" x14ac:dyDescent="0.2">
      <c r="A4392" s="2" t="s">
        <v>3343</v>
      </c>
      <c r="B4392" s="2" t="s">
        <v>704</v>
      </c>
      <c r="C4392" s="2">
        <v>1220.8820000000001</v>
      </c>
      <c r="D4392" s="2">
        <f>HYPERLINK("http://mcb-m6.bioreg.kyushu-u.ac.jp/M3/20110502/F51182/1175/1", 37.85)</f>
        <v>37.85</v>
      </c>
      <c r="E4392" s="2">
        <v>12.39</v>
      </c>
      <c r="F4392" s="2">
        <v>1</v>
      </c>
      <c r="G4392" s="2" t="s">
        <v>14</v>
      </c>
      <c r="H4392" s="2" t="s">
        <v>4908</v>
      </c>
    </row>
    <row r="4393" spans="1:8" x14ac:dyDescent="0.2">
      <c r="A4393" s="2" t="s">
        <v>3343</v>
      </c>
      <c r="B4393" s="2" t="s">
        <v>132</v>
      </c>
      <c r="C4393" s="2">
        <v>578.66859999999997</v>
      </c>
      <c r="D4393" s="2">
        <f>HYPERLINK("http://mcb-m6.bioreg.kyushu-u.ac.jp/M3/20110502/F51182/1023/1", 39.12)</f>
        <v>39.119999999999997</v>
      </c>
      <c r="E4393" s="2">
        <v>15.42</v>
      </c>
      <c r="F4393" s="2">
        <v>2</v>
      </c>
      <c r="G4393" s="2" t="s">
        <v>14</v>
      </c>
    </row>
    <row r="4394" spans="1:8" x14ac:dyDescent="0.2">
      <c r="A4394" s="2" t="s">
        <v>3343</v>
      </c>
      <c r="B4394" s="2" t="s">
        <v>1496</v>
      </c>
      <c r="C4394" s="2">
        <v>645.14580000000001</v>
      </c>
      <c r="D4394" s="2">
        <f>HYPERLINK("http://mcb-m6.bioreg.kyushu-u.ac.jp/M3/20110502/F51182/3038/1", 39.16)</f>
        <v>39.159999999999997</v>
      </c>
      <c r="E4394" s="2">
        <v>21.86</v>
      </c>
      <c r="F4394" s="2">
        <v>3</v>
      </c>
      <c r="G4394" s="2" t="s">
        <v>14</v>
      </c>
    </row>
    <row r="4395" spans="1:8" x14ac:dyDescent="0.2">
      <c r="A4395" s="2" t="s">
        <v>3343</v>
      </c>
      <c r="B4395" s="2" t="s">
        <v>509</v>
      </c>
      <c r="C4395" s="2">
        <v>717.59860000000003</v>
      </c>
      <c r="D4395" s="2">
        <f>HYPERLINK("http://mcb-m6.bioreg.kyushu-u.ac.jp/M3/20110502/F51191/1638/1", 39.24)</f>
        <v>39.24</v>
      </c>
      <c r="E4395" s="2">
        <v>23.47</v>
      </c>
      <c r="F4395" s="2">
        <v>2</v>
      </c>
      <c r="G4395" s="2" t="s">
        <v>14</v>
      </c>
    </row>
    <row r="4396" spans="1:8" x14ac:dyDescent="0.2">
      <c r="A4396" s="2" t="s">
        <v>3343</v>
      </c>
      <c r="B4396" s="2" t="s">
        <v>2555</v>
      </c>
      <c r="C4396" s="2">
        <v>658.21559999999999</v>
      </c>
      <c r="D4396" s="2">
        <f>HYPERLINK("http://mcb-m6.bioreg.kyushu-u.ac.jp/M3/20110502/F51182/1343/1", 39.44)</f>
        <v>39.44</v>
      </c>
      <c r="E4396" s="2">
        <v>11.14</v>
      </c>
      <c r="F4396" s="2">
        <v>2</v>
      </c>
      <c r="G4396" s="2" t="s">
        <v>14</v>
      </c>
    </row>
    <row r="4397" spans="1:8" x14ac:dyDescent="0.2">
      <c r="A4397" s="2" t="s">
        <v>3343</v>
      </c>
      <c r="B4397" s="2" t="s">
        <v>325</v>
      </c>
      <c r="C4397" s="2">
        <v>739.69169999999997</v>
      </c>
      <c r="D4397" s="2">
        <f>HYPERLINK("http://mcb-m6.bioreg.kyushu-u.ac.jp/M3/20110502/F51182/1879/1", 39.54)</f>
        <v>39.54</v>
      </c>
      <c r="E4397" s="2">
        <v>26.09</v>
      </c>
      <c r="F4397" s="2">
        <v>2</v>
      </c>
      <c r="G4397" s="2" t="s">
        <v>14</v>
      </c>
    </row>
    <row r="4398" spans="1:8" x14ac:dyDescent="0.2">
      <c r="A4398" s="2" t="s">
        <v>3343</v>
      </c>
      <c r="B4398" s="2" t="s">
        <v>344</v>
      </c>
      <c r="C4398" s="2">
        <v>919.75869999999998</v>
      </c>
      <c r="D4398" s="2">
        <f>HYPERLINK("http://mcb-m6.bioreg.kyushu-u.ac.jp/M3/20110502/F51182/2888/1", 39.93)</f>
        <v>39.93</v>
      </c>
      <c r="E4398" s="2">
        <v>13.67</v>
      </c>
      <c r="F4398" s="2">
        <v>2</v>
      </c>
      <c r="G4398" s="2" t="s">
        <v>14</v>
      </c>
    </row>
    <row r="4399" spans="1:8" x14ac:dyDescent="0.2">
      <c r="A4399" s="2" t="s">
        <v>3343</v>
      </c>
      <c r="B4399" s="2" t="s">
        <v>546</v>
      </c>
      <c r="C4399" s="2">
        <v>665.1472</v>
      </c>
      <c r="D4399" s="2">
        <f>HYPERLINK("http://mcb-m6.bioreg.kyushu-u.ac.jp/M3/20110502/F51182/1365/2", 40.08)</f>
        <v>40.08</v>
      </c>
      <c r="E4399" s="2">
        <v>18.559999999999999</v>
      </c>
      <c r="F4399" s="2">
        <v>2</v>
      </c>
      <c r="G4399" s="2" t="s">
        <v>14</v>
      </c>
    </row>
    <row r="4400" spans="1:8" x14ac:dyDescent="0.2">
      <c r="A4400" s="2" t="s">
        <v>3343</v>
      </c>
      <c r="B4400" s="2" t="s">
        <v>2359</v>
      </c>
      <c r="C4400" s="2">
        <v>1357.1990000000001</v>
      </c>
      <c r="D4400" s="2">
        <f>HYPERLINK("http://mcb-m6.bioreg.kyushu-u.ac.jp/M3/20110502/F51182/1450/1", 40.59)</f>
        <v>40.590000000000003</v>
      </c>
      <c r="E4400" s="2">
        <v>16.510000000000002</v>
      </c>
      <c r="F4400" s="2">
        <v>1</v>
      </c>
      <c r="G4400" s="2" t="s">
        <v>14</v>
      </c>
    </row>
    <row r="4401" spans="1:8" x14ac:dyDescent="0.2">
      <c r="A4401" s="2" t="s">
        <v>3343</v>
      </c>
      <c r="B4401" s="2" t="s">
        <v>428</v>
      </c>
      <c r="C4401" s="2">
        <v>452.15359999999998</v>
      </c>
      <c r="D4401" s="2">
        <f>HYPERLINK("http://mcb-m6.bioreg.kyushu-u.ac.jp/M3/20110502/F51182/501/1", 41.63)</f>
        <v>41.63</v>
      </c>
      <c r="E4401" s="2">
        <v>19.43</v>
      </c>
      <c r="F4401" s="2">
        <v>2</v>
      </c>
      <c r="G4401" s="2" t="s">
        <v>14</v>
      </c>
    </row>
    <row r="4402" spans="1:8" x14ac:dyDescent="0.2">
      <c r="A4402" s="2" t="s">
        <v>3343</v>
      </c>
      <c r="B4402" s="2" t="s">
        <v>509</v>
      </c>
      <c r="C4402" s="2">
        <v>709.13210000000004</v>
      </c>
      <c r="D4402" s="2">
        <f>HYPERLINK("http://mcb-m6.bioreg.kyushu-u.ac.jp/M3/20110502/F51182/1657/1", 41.79)</f>
        <v>41.79</v>
      </c>
      <c r="E4402" s="2">
        <v>26.06</v>
      </c>
      <c r="F4402" s="2">
        <v>2</v>
      </c>
      <c r="G4402" s="2" t="s">
        <v>14</v>
      </c>
      <c r="H4402" s="2" t="s">
        <v>4904</v>
      </c>
    </row>
    <row r="4403" spans="1:8" x14ac:dyDescent="0.2">
      <c r="A4403" s="2" t="s">
        <v>3343</v>
      </c>
      <c r="B4403" s="2" t="s">
        <v>132</v>
      </c>
      <c r="C4403" s="2">
        <v>1155.8219999999999</v>
      </c>
      <c r="D4403" s="2">
        <f>HYPERLINK("http://mcb-m6.bioreg.kyushu-u.ac.jp/M3/20110502/F51191/1003/1", 42.25)</f>
        <v>42.25</v>
      </c>
      <c r="E4403" s="2">
        <v>12.82</v>
      </c>
      <c r="F4403" s="2">
        <v>1</v>
      </c>
      <c r="G4403" s="2" t="s">
        <v>14</v>
      </c>
    </row>
    <row r="4404" spans="1:8" x14ac:dyDescent="0.2">
      <c r="A4404" s="2" t="s">
        <v>3343</v>
      </c>
      <c r="B4404" s="2" t="s">
        <v>132</v>
      </c>
      <c r="C4404" s="2">
        <v>1156.0509999999999</v>
      </c>
      <c r="D4404" s="2">
        <f>HYPERLINK("http://mcb-m6.bioreg.kyushu-u.ac.jp/M3/20110502/F51182/1015/1", 42.51)</f>
        <v>42.51</v>
      </c>
      <c r="E4404" s="2">
        <v>12.33</v>
      </c>
      <c r="F4404" s="2">
        <v>1</v>
      </c>
      <c r="G4404" s="2" t="s">
        <v>14</v>
      </c>
    </row>
    <row r="4405" spans="1:8" x14ac:dyDescent="0.2">
      <c r="A4405" s="2" t="s">
        <v>3343</v>
      </c>
      <c r="B4405" s="2" t="s">
        <v>546</v>
      </c>
      <c r="C4405" s="2">
        <v>1329.0709999999999</v>
      </c>
      <c r="D4405" s="2">
        <f>HYPERLINK("http://mcb-m6.bioreg.kyushu-u.ac.jp/M3/20110502/F51182/1364/2", 42.55)</f>
        <v>42.55</v>
      </c>
      <c r="E4405" s="2">
        <v>23.55</v>
      </c>
      <c r="F4405" s="2">
        <v>1</v>
      </c>
      <c r="G4405" s="2" t="s">
        <v>14</v>
      </c>
    </row>
    <row r="4406" spans="1:8" x14ac:dyDescent="0.2">
      <c r="A4406" s="2" t="s">
        <v>3343</v>
      </c>
      <c r="B4406" s="2" t="s">
        <v>509</v>
      </c>
      <c r="C4406" s="2">
        <v>708.7047</v>
      </c>
      <c r="D4406" s="2">
        <f>HYPERLINK("http://mcb-m6.bioreg.kyushu-u.ac.jp/M3/20110502/F51182/1653/1", 42.57)</f>
        <v>42.57</v>
      </c>
      <c r="E4406" s="2">
        <v>28.42</v>
      </c>
      <c r="F4406" s="2">
        <v>2</v>
      </c>
      <c r="G4406" s="2" t="s">
        <v>14</v>
      </c>
      <c r="H4406" s="2" t="s">
        <v>4904</v>
      </c>
    </row>
    <row r="4407" spans="1:8" x14ac:dyDescent="0.2">
      <c r="A4407" s="2" t="s">
        <v>3343</v>
      </c>
      <c r="B4407" s="2" t="s">
        <v>297</v>
      </c>
      <c r="C4407" s="2">
        <v>1186.835</v>
      </c>
      <c r="D4407" s="2">
        <f>HYPERLINK("http://mcb-m6.bioreg.kyushu-u.ac.jp/M3/20110502/F51182/1100/1", 42.58)</f>
        <v>42.58</v>
      </c>
      <c r="E4407" s="2">
        <v>17.73</v>
      </c>
      <c r="F4407" s="2">
        <v>1</v>
      </c>
      <c r="G4407" s="2" t="s">
        <v>14</v>
      </c>
    </row>
    <row r="4408" spans="1:8" x14ac:dyDescent="0.2">
      <c r="A4408" s="2" t="s">
        <v>3343</v>
      </c>
      <c r="B4408" s="2" t="s">
        <v>428</v>
      </c>
      <c r="C4408" s="2">
        <v>903.39499999999998</v>
      </c>
      <c r="D4408" s="2">
        <f>HYPERLINK("http://mcb-m6.bioreg.kyushu-u.ac.jp/M3/20110502/F51182/502/1", 42.88)</f>
        <v>42.88</v>
      </c>
      <c r="E4408" s="2">
        <v>20.21</v>
      </c>
      <c r="F4408" s="2">
        <v>1</v>
      </c>
      <c r="G4408" s="2" t="s">
        <v>14</v>
      </c>
    </row>
    <row r="4409" spans="1:8" x14ac:dyDescent="0.2">
      <c r="A4409" s="2" t="s">
        <v>3343</v>
      </c>
      <c r="B4409" s="2" t="s">
        <v>428</v>
      </c>
      <c r="C4409" s="2">
        <v>902.91300000000001</v>
      </c>
      <c r="D4409" s="2">
        <f>HYPERLINK("http://mcb-m6.bioreg.kyushu-u.ac.jp/M3/20110502/F51181/566/1", 43.05)</f>
        <v>43.05</v>
      </c>
      <c r="E4409" s="2">
        <v>16.010000000000002</v>
      </c>
      <c r="F4409" s="2">
        <v>1</v>
      </c>
      <c r="G4409" s="2" t="s">
        <v>14</v>
      </c>
    </row>
    <row r="4410" spans="1:8" x14ac:dyDescent="0.2">
      <c r="A4410" s="2" t="s">
        <v>3343</v>
      </c>
      <c r="B4410" s="2" t="s">
        <v>428</v>
      </c>
      <c r="C4410" s="2">
        <v>452.16759999999999</v>
      </c>
      <c r="D4410" s="2">
        <f>HYPERLINK("http://mcb-m6.bioreg.kyushu-u.ac.jp/M3/20110502/F51181/573/1", 43.32)</f>
        <v>43.32</v>
      </c>
      <c r="E4410" s="2">
        <v>16.239999999999998</v>
      </c>
      <c r="F4410" s="2">
        <v>2</v>
      </c>
      <c r="G4410" s="2" t="s">
        <v>14</v>
      </c>
    </row>
    <row r="4411" spans="1:8" x14ac:dyDescent="0.2">
      <c r="A4411" s="2" t="s">
        <v>3343</v>
      </c>
      <c r="B4411" s="2" t="s">
        <v>132</v>
      </c>
      <c r="C4411" s="2">
        <v>578.58320000000003</v>
      </c>
      <c r="D4411" s="2">
        <f>HYPERLINK("http://mcb-m6.bioreg.kyushu-u.ac.jp/M3/20110502/F51181/1110/1", 44.43)</f>
        <v>44.43</v>
      </c>
      <c r="E4411" s="2">
        <v>19.52</v>
      </c>
      <c r="F4411" s="2">
        <v>2</v>
      </c>
      <c r="G4411" s="2" t="s">
        <v>14</v>
      </c>
    </row>
    <row r="4412" spans="1:8" x14ac:dyDescent="0.2">
      <c r="A4412" s="2" t="s">
        <v>3343</v>
      </c>
      <c r="B4412" s="2" t="s">
        <v>132</v>
      </c>
      <c r="C4412" s="2">
        <v>578.50319999999999</v>
      </c>
      <c r="D4412" s="2">
        <f>HYPERLINK("http://mcb-m6.bioreg.kyushu-u.ac.jp/M3/20110502/F51181/1108/1", 45.82)</f>
        <v>45.82</v>
      </c>
      <c r="E4412" s="2">
        <v>13.2</v>
      </c>
      <c r="F4412" s="2">
        <v>2</v>
      </c>
      <c r="G4412" s="2" t="s">
        <v>14</v>
      </c>
    </row>
    <row r="4413" spans="1:8" x14ac:dyDescent="0.2">
      <c r="A4413" s="2" t="s">
        <v>3343</v>
      </c>
      <c r="B4413" s="2" t="s">
        <v>704</v>
      </c>
      <c r="C4413" s="2">
        <v>602.91920000000005</v>
      </c>
      <c r="D4413" s="2">
        <f>HYPERLINK("http://mcb-m6.bioreg.kyushu-u.ac.jp/M3/20110502/F51181/1212/1", 45.84)</f>
        <v>45.84</v>
      </c>
      <c r="E4413" s="2">
        <v>8.83</v>
      </c>
      <c r="F4413" s="2">
        <v>2</v>
      </c>
      <c r="G4413" s="2" t="s">
        <v>14</v>
      </c>
    </row>
    <row r="4414" spans="1:8" x14ac:dyDescent="0.2">
      <c r="A4414" s="2" t="s">
        <v>3343</v>
      </c>
      <c r="B4414" s="2" t="s">
        <v>509</v>
      </c>
      <c r="C4414" s="2">
        <v>1434.075</v>
      </c>
      <c r="D4414" s="2">
        <f>HYPERLINK("http://mcb-m6.bioreg.kyushu-u.ac.jp/M3/20110502/F51182/1718/1", 45.85)</f>
        <v>45.85</v>
      </c>
      <c r="E4414" s="2">
        <v>23.81</v>
      </c>
      <c r="F4414" s="2">
        <v>1</v>
      </c>
      <c r="G4414" s="2" t="s">
        <v>14</v>
      </c>
    </row>
    <row r="4415" spans="1:8" x14ac:dyDescent="0.2">
      <c r="A4415" s="2" t="s">
        <v>3343</v>
      </c>
      <c r="B4415" s="2" t="s">
        <v>443</v>
      </c>
      <c r="C4415" s="2">
        <v>509.84660000000002</v>
      </c>
      <c r="D4415" s="2">
        <f>HYPERLINK("http://mcb-m6.bioreg.kyushu-u.ac.jp/M3/20110502/F51181/849/1", 46.02)</f>
        <v>46.02</v>
      </c>
      <c r="E4415" s="2">
        <v>15.28</v>
      </c>
      <c r="F4415" s="2">
        <v>2</v>
      </c>
      <c r="G4415" s="2" t="s">
        <v>14</v>
      </c>
    </row>
    <row r="4416" spans="1:8" x14ac:dyDescent="0.2">
      <c r="A4416" s="2" t="s">
        <v>3343</v>
      </c>
      <c r="B4416" s="2" t="s">
        <v>3114</v>
      </c>
      <c r="C4416" s="2">
        <v>854.92700000000002</v>
      </c>
      <c r="D4416" s="2">
        <f>HYPERLINK("http://mcb-m6.bioreg.kyushu-u.ac.jp/M3/20110502/F51182/457/1", 46.63)</f>
        <v>46.63</v>
      </c>
      <c r="E4416" s="2">
        <v>15.64</v>
      </c>
      <c r="F4416" s="2">
        <v>1</v>
      </c>
      <c r="G4416" s="2" t="s">
        <v>14</v>
      </c>
    </row>
    <row r="4417" spans="1:8" x14ac:dyDescent="0.2">
      <c r="A4417" s="2" t="s">
        <v>3343</v>
      </c>
      <c r="B4417" s="2" t="s">
        <v>210</v>
      </c>
      <c r="C4417" s="2">
        <v>1092.894</v>
      </c>
      <c r="D4417" s="2">
        <f>HYPERLINK("http://mcb-m6.bioreg.kyushu-u.ac.jp/M3/20110502/F51182/895/1", 46.85)</f>
        <v>46.85</v>
      </c>
      <c r="E4417" s="2">
        <v>15.91</v>
      </c>
      <c r="F4417" s="2">
        <v>1</v>
      </c>
      <c r="G4417" s="2" t="s">
        <v>14</v>
      </c>
    </row>
    <row r="4418" spans="1:8" x14ac:dyDescent="0.2">
      <c r="A4418" s="2" t="s">
        <v>3343</v>
      </c>
      <c r="B4418" s="2" t="s">
        <v>704</v>
      </c>
      <c r="C4418" s="2">
        <v>602.72519999999997</v>
      </c>
      <c r="D4418" s="2">
        <f>HYPERLINK("http://mcb-m6.bioreg.kyushu-u.ac.jp/M3/20110502/F51182/1139/1", 47.21)</f>
        <v>47.21</v>
      </c>
      <c r="E4418" s="2">
        <v>11.51</v>
      </c>
      <c r="F4418" s="2">
        <v>2</v>
      </c>
      <c r="G4418" s="2" t="s">
        <v>14</v>
      </c>
    </row>
    <row r="4419" spans="1:8" x14ac:dyDescent="0.2">
      <c r="A4419" s="2" t="s">
        <v>3343</v>
      </c>
      <c r="B4419" s="2" t="s">
        <v>132</v>
      </c>
      <c r="C4419" s="2">
        <v>578.58619999999996</v>
      </c>
      <c r="D4419" s="2">
        <f>HYPERLINK("http://mcb-m6.bioreg.kyushu-u.ac.jp/M3/20110502/F51182/1017/1", 47.24)</f>
        <v>47.24</v>
      </c>
      <c r="E4419" s="2">
        <v>22.68</v>
      </c>
      <c r="F4419" s="2">
        <v>2</v>
      </c>
      <c r="G4419" s="2" t="s">
        <v>14</v>
      </c>
    </row>
    <row r="4420" spans="1:8" x14ac:dyDescent="0.2">
      <c r="A4420" s="2" t="s">
        <v>3343</v>
      </c>
      <c r="B4420" s="2" t="s">
        <v>428</v>
      </c>
      <c r="C4420" s="2">
        <v>452.16460000000001</v>
      </c>
      <c r="D4420" s="2">
        <f>HYPERLINK("http://mcb-m6.bioreg.kyushu-u.ac.jp/M3/20110502/F51192/449/1", 47.71)</f>
        <v>47.71</v>
      </c>
      <c r="E4420" s="2">
        <v>15.96</v>
      </c>
      <c r="F4420" s="2">
        <v>2</v>
      </c>
      <c r="G4420" s="2" t="s">
        <v>14</v>
      </c>
    </row>
    <row r="4421" spans="1:8" x14ac:dyDescent="0.2">
      <c r="A4421" s="2" t="s">
        <v>3343</v>
      </c>
      <c r="B4421" s="2" t="s">
        <v>1189</v>
      </c>
      <c r="C4421" s="2">
        <v>1069.559</v>
      </c>
      <c r="D4421" s="2">
        <f>HYPERLINK("http://mcb-m6.bioreg.kyushu-u.ac.jp/M3/20110502/F51185/3201/1", 48.02)</f>
        <v>48.02</v>
      </c>
      <c r="E4421" s="2">
        <v>37.83</v>
      </c>
      <c r="F4421" s="2">
        <v>2</v>
      </c>
      <c r="G4421" s="2" t="s">
        <v>14</v>
      </c>
    </row>
    <row r="4422" spans="1:8" x14ac:dyDescent="0.2">
      <c r="A4422" s="2" t="s">
        <v>3343</v>
      </c>
      <c r="B4422" s="2" t="s">
        <v>546</v>
      </c>
      <c r="C4422" s="2">
        <v>665.32209999999998</v>
      </c>
      <c r="D4422" s="2">
        <f>HYPERLINK("http://mcb-m6.bioreg.kyushu-u.ac.jp/M3/20110502/F51181/1392/2", 48.13)</f>
        <v>48.13</v>
      </c>
      <c r="E4422" s="2">
        <v>24.62</v>
      </c>
      <c r="F4422" s="2">
        <v>2</v>
      </c>
      <c r="G4422" s="2" t="s">
        <v>14</v>
      </c>
    </row>
    <row r="4423" spans="1:8" x14ac:dyDescent="0.2">
      <c r="A4423" s="2" t="s">
        <v>3343</v>
      </c>
      <c r="B4423" s="2" t="s">
        <v>2359</v>
      </c>
      <c r="C4423" s="2">
        <v>679.2097</v>
      </c>
      <c r="D4423" s="2">
        <f>HYPERLINK("http://mcb-m6.bioreg.kyushu-u.ac.jp/M3/20110502/F51182/1455/1", 48.44)</f>
        <v>48.44</v>
      </c>
      <c r="E4423" s="2">
        <v>23.04</v>
      </c>
      <c r="F4423" s="2">
        <v>2</v>
      </c>
      <c r="G4423" s="2" t="s">
        <v>14</v>
      </c>
    </row>
    <row r="4424" spans="1:8" x14ac:dyDescent="0.2">
      <c r="A4424" s="2" t="s">
        <v>3343</v>
      </c>
      <c r="B4424" s="2" t="s">
        <v>704</v>
      </c>
      <c r="C4424" s="2">
        <v>611.14009999999996</v>
      </c>
      <c r="D4424" s="2">
        <f>HYPERLINK("http://mcb-m6.bioreg.kyushu-u.ac.jp/M3/20110502/F51181/1244/1", 48.66)</f>
        <v>48.66</v>
      </c>
      <c r="E4424" s="2">
        <v>12.12</v>
      </c>
      <c r="F4424" s="2">
        <v>2</v>
      </c>
      <c r="G4424" s="2" t="s">
        <v>14</v>
      </c>
      <c r="H4424" s="2" t="s">
        <v>4908</v>
      </c>
    </row>
    <row r="4425" spans="1:8" x14ac:dyDescent="0.2">
      <c r="A4425" s="2" t="s">
        <v>3343</v>
      </c>
      <c r="B4425" s="2" t="s">
        <v>325</v>
      </c>
      <c r="C4425" s="2">
        <v>747.86469999999997</v>
      </c>
      <c r="D4425" s="2">
        <f>HYPERLINK("http://mcb-m6.bioreg.kyushu-u.ac.jp/M3/20110502/F51177/1891/1", 48.85)</f>
        <v>48.85</v>
      </c>
      <c r="E4425" s="2">
        <v>37.1</v>
      </c>
      <c r="F4425" s="2">
        <v>2</v>
      </c>
      <c r="G4425" s="2" t="s">
        <v>14</v>
      </c>
      <c r="H4425" s="2" t="s">
        <v>4925</v>
      </c>
    </row>
    <row r="4426" spans="1:8" x14ac:dyDescent="0.2">
      <c r="A4426" s="2" t="s">
        <v>3343</v>
      </c>
      <c r="B4426" s="2" t="s">
        <v>428</v>
      </c>
      <c r="C4426" s="2">
        <v>452.02159999999998</v>
      </c>
      <c r="D4426" s="2">
        <f>HYPERLINK("http://mcb-m6.bioreg.kyushu-u.ac.jp/M3/20110502/F51181/569/1", 48.88)</f>
        <v>48.88</v>
      </c>
      <c r="E4426" s="2">
        <v>22.35</v>
      </c>
      <c r="F4426" s="2">
        <v>2</v>
      </c>
      <c r="G4426" s="2" t="s">
        <v>14</v>
      </c>
    </row>
    <row r="4427" spans="1:8" x14ac:dyDescent="0.2">
      <c r="A4427" s="2" t="s">
        <v>3343</v>
      </c>
      <c r="B4427" s="2" t="s">
        <v>509</v>
      </c>
      <c r="C4427" s="2">
        <v>1450.04</v>
      </c>
      <c r="D4427" s="2">
        <f>HYPERLINK("http://mcb-m6.bioreg.kyushu-u.ac.jp/M3/20110502/F51182/1782/1", 49.48)</f>
        <v>49.48</v>
      </c>
      <c r="E4427" s="2">
        <v>25.9</v>
      </c>
      <c r="F4427" s="2">
        <v>1</v>
      </c>
      <c r="G4427" s="2" t="s">
        <v>14</v>
      </c>
      <c r="H4427" s="2" t="s">
        <v>4927</v>
      </c>
    </row>
    <row r="4428" spans="1:8" x14ac:dyDescent="0.2">
      <c r="A4428" s="2" t="s">
        <v>3343</v>
      </c>
      <c r="B4428" s="2" t="s">
        <v>704</v>
      </c>
      <c r="C4428" s="2">
        <v>611.15309999999999</v>
      </c>
      <c r="D4428" s="2">
        <f>HYPERLINK("http://mcb-m6.bioreg.kyushu-u.ac.jp/M3/20110502/F51182/1177/1", 49.5)</f>
        <v>49.5</v>
      </c>
      <c r="E4428" s="2">
        <v>12.35</v>
      </c>
      <c r="F4428" s="2">
        <v>2</v>
      </c>
      <c r="G4428" s="2" t="s">
        <v>14</v>
      </c>
      <c r="H4428" s="2" t="s">
        <v>4908</v>
      </c>
    </row>
    <row r="4429" spans="1:8" x14ac:dyDescent="0.2">
      <c r="A4429" s="2" t="s">
        <v>3343</v>
      </c>
      <c r="B4429" s="2" t="s">
        <v>328</v>
      </c>
      <c r="C4429" s="2">
        <v>1146.8910000000001</v>
      </c>
      <c r="D4429" s="2">
        <f>HYPERLINK("http://mcb-m6.bioreg.kyushu-u.ac.jp/M3/20110502/F51182/992/1", 49.55)</f>
        <v>49.55</v>
      </c>
      <c r="E4429" s="2">
        <v>16.03</v>
      </c>
      <c r="F4429" s="2">
        <v>1</v>
      </c>
      <c r="G4429" s="2" t="s">
        <v>14</v>
      </c>
    </row>
    <row r="4430" spans="1:8" x14ac:dyDescent="0.2">
      <c r="A4430" s="2" t="s">
        <v>3343</v>
      </c>
      <c r="B4430" s="2" t="s">
        <v>428</v>
      </c>
      <c r="C4430" s="2">
        <v>452.11009999999999</v>
      </c>
      <c r="D4430" s="2">
        <f>HYPERLINK("http://mcb-m6.bioreg.kyushu-u.ac.jp/M3/20110502/F51182/497/1", 49.56)</f>
        <v>49.56</v>
      </c>
      <c r="E4430" s="2">
        <v>19.21</v>
      </c>
      <c r="F4430" s="2">
        <v>2</v>
      </c>
      <c r="G4430" s="2" t="s">
        <v>14</v>
      </c>
    </row>
    <row r="4431" spans="1:8" x14ac:dyDescent="0.2">
      <c r="A4431" s="2" t="s">
        <v>3343</v>
      </c>
      <c r="B4431" s="2" t="s">
        <v>1002</v>
      </c>
      <c r="C4431" s="2">
        <v>1147.8489999999999</v>
      </c>
      <c r="D4431" s="2">
        <f>HYPERLINK("http://mcb-m6.bioreg.kyushu-u.ac.jp/M3/20110502/F51182/3621/1", 49.66)</f>
        <v>49.66</v>
      </c>
      <c r="E4431" s="2">
        <v>37.31</v>
      </c>
      <c r="F4431" s="2">
        <v>2</v>
      </c>
      <c r="G4431" s="2" t="s">
        <v>14</v>
      </c>
    </row>
    <row r="4432" spans="1:8" x14ac:dyDescent="0.2">
      <c r="A4432" s="2" t="s">
        <v>3343</v>
      </c>
      <c r="B4432" s="2" t="s">
        <v>509</v>
      </c>
      <c r="C4432" s="2">
        <v>1433.076</v>
      </c>
      <c r="D4432" s="2">
        <f>HYPERLINK("http://mcb-m6.bioreg.kyushu-u.ac.jp/M3/20110502/F51182/1710/1", 49.85)</f>
        <v>49.85</v>
      </c>
      <c r="E4432" s="2">
        <v>21.6</v>
      </c>
      <c r="F4432" s="2">
        <v>1</v>
      </c>
      <c r="G4432" s="2" t="s">
        <v>14</v>
      </c>
      <c r="H4432" s="2" t="s">
        <v>4931</v>
      </c>
    </row>
    <row r="4433" spans="1:8" x14ac:dyDescent="0.2">
      <c r="A4433" s="2" t="s">
        <v>3343</v>
      </c>
      <c r="B4433" s="2" t="s">
        <v>509</v>
      </c>
      <c r="C4433" s="2">
        <v>725.69460000000004</v>
      </c>
      <c r="D4433" s="2">
        <f>HYPERLINK("http://mcb-m6.bioreg.kyushu-u.ac.jp/M3/20110502/F51182/1784/1", 50.26)</f>
        <v>50.26</v>
      </c>
      <c r="E4433" s="2">
        <v>33.08</v>
      </c>
      <c r="F4433" s="2">
        <v>2</v>
      </c>
      <c r="G4433" s="2" t="s">
        <v>14</v>
      </c>
      <c r="H4433" s="2" t="s">
        <v>4927</v>
      </c>
    </row>
    <row r="4434" spans="1:8" x14ac:dyDescent="0.2">
      <c r="A4434" s="2" t="s">
        <v>3343</v>
      </c>
      <c r="B4434" s="2" t="s">
        <v>443</v>
      </c>
      <c r="C4434" s="2">
        <v>1017.934</v>
      </c>
      <c r="D4434" s="2">
        <f>HYPERLINK("http://mcb-m6.bioreg.kyushu-u.ac.jp/M3/20110502/F51182/757/1", 50.41)</f>
        <v>50.41</v>
      </c>
      <c r="E4434" s="2">
        <v>11.05</v>
      </c>
      <c r="F4434" s="2">
        <v>1</v>
      </c>
      <c r="G4434" s="2" t="s">
        <v>14</v>
      </c>
    </row>
    <row r="4435" spans="1:8" x14ac:dyDescent="0.2">
      <c r="A4435" s="2" t="s">
        <v>3343</v>
      </c>
      <c r="B4435" s="2" t="s">
        <v>428</v>
      </c>
      <c r="C4435" s="2">
        <v>452.11509999999998</v>
      </c>
      <c r="D4435" s="2">
        <f>HYPERLINK("http://mcb-m6.bioreg.kyushu-u.ac.jp/M3/20110502/F51182/499/1", 50.83)</f>
        <v>50.83</v>
      </c>
      <c r="E4435" s="2">
        <v>19.399999999999999</v>
      </c>
      <c r="F4435" s="2">
        <v>2</v>
      </c>
      <c r="G4435" s="2" t="s">
        <v>14</v>
      </c>
    </row>
    <row r="4436" spans="1:8" x14ac:dyDescent="0.2">
      <c r="A4436" s="2" t="s">
        <v>3343</v>
      </c>
      <c r="B4436" s="2" t="s">
        <v>558</v>
      </c>
      <c r="C4436" s="2">
        <v>729.67859999999996</v>
      </c>
      <c r="D4436" s="2">
        <f>HYPERLINK("http://mcb-m6.bioreg.kyushu-u.ac.jp/M3/20110502/F51182/1810/1", 50.83)</f>
        <v>50.83</v>
      </c>
      <c r="E4436" s="2">
        <v>29.69</v>
      </c>
      <c r="F4436" s="2">
        <v>2</v>
      </c>
      <c r="G4436" s="2" t="s">
        <v>14</v>
      </c>
    </row>
    <row r="4437" spans="1:8" x14ac:dyDescent="0.2">
      <c r="A4437" s="2" t="s">
        <v>3343</v>
      </c>
      <c r="B4437" s="2" t="s">
        <v>428</v>
      </c>
      <c r="C4437" s="2">
        <v>452.1121</v>
      </c>
      <c r="D4437" s="2">
        <f>HYPERLINK("http://mcb-m6.bioreg.kyushu-u.ac.jp/M3/20110502/F51182/498/1", 51.07)</f>
        <v>51.07</v>
      </c>
      <c r="E4437" s="2">
        <v>17.29</v>
      </c>
      <c r="F4437" s="2">
        <v>2</v>
      </c>
      <c r="G4437" s="2" t="s">
        <v>14</v>
      </c>
    </row>
    <row r="4438" spans="1:8" x14ac:dyDescent="0.2">
      <c r="A4438" s="2" t="s">
        <v>3343</v>
      </c>
      <c r="B4438" s="2" t="s">
        <v>325</v>
      </c>
      <c r="C4438" s="2">
        <v>747.71510000000001</v>
      </c>
      <c r="D4438" s="2">
        <f>HYPERLINK("http://mcb-m6.bioreg.kyushu-u.ac.jp/M3/20110502/F51183/1949/1", 51.43)</f>
        <v>51.43</v>
      </c>
      <c r="E4438" s="2">
        <v>35.380000000000003</v>
      </c>
      <c r="F4438" s="2">
        <v>2</v>
      </c>
      <c r="G4438" s="2" t="s">
        <v>14</v>
      </c>
      <c r="H4438" s="2" t="s">
        <v>4925</v>
      </c>
    </row>
    <row r="4439" spans="1:8" x14ac:dyDescent="0.2">
      <c r="A4439" s="2" t="s">
        <v>3343</v>
      </c>
      <c r="B4439" s="2" t="s">
        <v>1032</v>
      </c>
      <c r="C4439" s="2">
        <v>1163.818</v>
      </c>
      <c r="D4439" s="2">
        <f>HYPERLINK("http://mcb-m6.bioreg.kyushu-u.ac.jp/M3/20110502/F51182/3716/1", 52.15)</f>
        <v>52.15</v>
      </c>
      <c r="E4439" s="2">
        <v>47</v>
      </c>
      <c r="F4439" s="2">
        <v>2</v>
      </c>
      <c r="G4439" s="2" t="s">
        <v>14</v>
      </c>
    </row>
    <row r="4440" spans="1:8" x14ac:dyDescent="0.2">
      <c r="A4440" s="2" t="s">
        <v>3343</v>
      </c>
      <c r="B4440" s="2" t="s">
        <v>325</v>
      </c>
      <c r="C4440" s="2">
        <v>747.67269999999996</v>
      </c>
      <c r="D4440" s="2">
        <f>HYPERLINK("http://mcb-m6.bioreg.kyushu-u.ac.jp/M3/20110502/F51182/1947/1", 52.8)</f>
        <v>52.8</v>
      </c>
      <c r="E4440" s="2">
        <v>40.549999999999997</v>
      </c>
      <c r="F4440" s="2">
        <v>2</v>
      </c>
      <c r="G4440" s="2" t="s">
        <v>14</v>
      </c>
      <c r="H4440" s="2" t="s">
        <v>4925</v>
      </c>
    </row>
    <row r="4441" spans="1:8" x14ac:dyDescent="0.2">
      <c r="A4441" s="2" t="s">
        <v>3343</v>
      </c>
      <c r="B4441" s="2" t="s">
        <v>546</v>
      </c>
      <c r="C4441" s="2">
        <v>664.89970000000005</v>
      </c>
      <c r="D4441" s="2">
        <f>HYPERLINK("http://mcb-m6.bioreg.kyushu-u.ac.jp/M3/20110502/F51191/1352/2", 53.85)</f>
        <v>53.85</v>
      </c>
      <c r="E4441" s="2">
        <v>41.74</v>
      </c>
      <c r="F4441" s="2">
        <v>2</v>
      </c>
      <c r="G4441" s="2" t="s">
        <v>14</v>
      </c>
    </row>
    <row r="4442" spans="1:8" x14ac:dyDescent="0.2">
      <c r="A4442" s="2" t="s">
        <v>3343</v>
      </c>
      <c r="B4442" s="2" t="s">
        <v>509</v>
      </c>
      <c r="C4442" s="2">
        <v>725.75670000000002</v>
      </c>
      <c r="D4442" s="2">
        <f>HYPERLINK("http://mcb-m6.bioreg.kyushu-u.ac.jp/M3/20110502/F51179/1685/1", 54.36)</f>
        <v>54.36</v>
      </c>
      <c r="E4442" s="2">
        <v>31.48</v>
      </c>
      <c r="F4442" s="2">
        <v>2</v>
      </c>
      <c r="G4442" s="2" t="s">
        <v>14</v>
      </c>
      <c r="H4442" s="2" t="s">
        <v>4927</v>
      </c>
    </row>
    <row r="4443" spans="1:8" x14ac:dyDescent="0.2">
      <c r="A4443" s="2" t="s">
        <v>3343</v>
      </c>
      <c r="B4443" s="2" t="s">
        <v>546</v>
      </c>
      <c r="C4443" s="2">
        <v>665.11569999999995</v>
      </c>
      <c r="D4443" s="2">
        <f>HYPERLINK("http://mcb-m6.bioreg.kyushu-u.ac.jp/M3/20110502/F51181/1389/2", 54.51)</f>
        <v>54.51</v>
      </c>
      <c r="E4443" s="2">
        <v>32.47</v>
      </c>
      <c r="F4443" s="2">
        <v>2</v>
      </c>
      <c r="G4443" s="2" t="s">
        <v>14</v>
      </c>
    </row>
    <row r="4444" spans="1:8" x14ac:dyDescent="0.2">
      <c r="A4444" s="2" t="s">
        <v>3343</v>
      </c>
      <c r="B4444" s="2" t="s">
        <v>132</v>
      </c>
      <c r="C4444" s="2">
        <v>1155.9770000000001</v>
      </c>
      <c r="D4444" s="2">
        <f>HYPERLINK("http://mcb-m6.bioreg.kyushu-u.ac.jp/M3/20110502/F51182/1013/1", 54.6)</f>
        <v>54.6</v>
      </c>
      <c r="E4444" s="2">
        <v>22.76</v>
      </c>
      <c r="F4444" s="2">
        <v>1</v>
      </c>
      <c r="G4444" s="2" t="s">
        <v>14</v>
      </c>
    </row>
    <row r="4445" spans="1:8" x14ac:dyDescent="0.2">
      <c r="A4445" s="2" t="s">
        <v>3343</v>
      </c>
      <c r="B4445" s="2" t="s">
        <v>325</v>
      </c>
      <c r="C4445" s="2">
        <v>739.82460000000003</v>
      </c>
      <c r="D4445" s="2">
        <f>HYPERLINK("http://mcb-m6.bioreg.kyushu-u.ac.jp/M3/20110502/F51183/1896/1", 54.77)</f>
        <v>54.77</v>
      </c>
      <c r="E4445" s="2">
        <v>39.409999999999997</v>
      </c>
      <c r="F4445" s="2">
        <v>2</v>
      </c>
      <c r="G4445" s="2" t="s">
        <v>14</v>
      </c>
    </row>
    <row r="4446" spans="1:8" x14ac:dyDescent="0.2">
      <c r="A4446" s="2" t="s">
        <v>3343</v>
      </c>
      <c r="B4446" s="2" t="s">
        <v>1189</v>
      </c>
      <c r="C4446" s="2">
        <v>1070.1320000000001</v>
      </c>
      <c r="D4446" s="2">
        <f>HYPERLINK("http://mcb-m6.bioreg.kyushu-u.ac.jp/M3/20110502/F51192/3133/1", 54.78)</f>
        <v>54.78</v>
      </c>
      <c r="E4446" s="2">
        <v>44.78</v>
      </c>
      <c r="F4446" s="2">
        <v>2</v>
      </c>
      <c r="G4446" s="2" t="s">
        <v>14</v>
      </c>
    </row>
    <row r="4447" spans="1:8" x14ac:dyDescent="0.2">
      <c r="A4447" s="2" t="s">
        <v>3343</v>
      </c>
      <c r="B4447" s="2" t="s">
        <v>1002</v>
      </c>
      <c r="C4447" s="2">
        <v>1148.04</v>
      </c>
      <c r="D4447" s="2">
        <f>HYPERLINK("http://mcb-m6.bioreg.kyushu-u.ac.jp/M3/20110502/F51181/3130/1", 54.83)</f>
        <v>54.83</v>
      </c>
      <c r="E4447" s="2">
        <v>44.87</v>
      </c>
      <c r="F4447" s="2">
        <v>2</v>
      </c>
      <c r="G4447" s="2" t="s">
        <v>14</v>
      </c>
    </row>
    <row r="4448" spans="1:8" x14ac:dyDescent="0.2">
      <c r="A4448" s="2" t="s">
        <v>3343</v>
      </c>
      <c r="B4448" s="2" t="s">
        <v>943</v>
      </c>
      <c r="C4448" s="2">
        <v>507.05759999999998</v>
      </c>
      <c r="D4448" s="2">
        <f>HYPERLINK("http://mcb-m6.bioreg.kyushu-u.ac.jp/M3/20110502/F51182/741/1", 54.84)</f>
        <v>54.84</v>
      </c>
      <c r="E4448" s="2">
        <v>21.39</v>
      </c>
      <c r="F4448" s="2">
        <v>2</v>
      </c>
      <c r="G4448" s="2" t="s">
        <v>14</v>
      </c>
    </row>
    <row r="4449" spans="1:7" x14ac:dyDescent="0.2">
      <c r="A4449" s="2" t="s">
        <v>3343</v>
      </c>
      <c r="B4449" s="2" t="s">
        <v>325</v>
      </c>
      <c r="C4449" s="2">
        <v>739.60270000000003</v>
      </c>
      <c r="D4449" s="2">
        <f>HYPERLINK("http://mcb-m6.bioreg.kyushu-u.ac.jp/M3/20110502/F51192/1772/1", 54.95)</f>
        <v>54.95</v>
      </c>
      <c r="E4449" s="2">
        <v>40.67</v>
      </c>
      <c r="F4449" s="2">
        <v>2</v>
      </c>
      <c r="G4449" s="2" t="s">
        <v>14</v>
      </c>
    </row>
    <row r="4450" spans="1:7" x14ac:dyDescent="0.2">
      <c r="A4450" s="2" t="s">
        <v>3343</v>
      </c>
      <c r="B4450" s="2" t="s">
        <v>443</v>
      </c>
      <c r="C4450" s="2">
        <v>509.60309999999998</v>
      </c>
      <c r="D4450" s="2">
        <f>HYPERLINK("http://mcb-m6.bioreg.kyushu-u.ac.jp/M3/20110502/F51182/758/1", 55.01)</f>
        <v>55.01</v>
      </c>
      <c r="E4450" s="2">
        <v>13.69</v>
      </c>
      <c r="F4450" s="2">
        <v>2</v>
      </c>
      <c r="G4450" s="2" t="s">
        <v>14</v>
      </c>
    </row>
    <row r="4451" spans="1:7" x14ac:dyDescent="0.2">
      <c r="A4451" s="2" t="s">
        <v>3343</v>
      </c>
      <c r="B4451" s="2" t="s">
        <v>132</v>
      </c>
      <c r="C4451" s="2">
        <v>578.46010000000001</v>
      </c>
      <c r="D4451" s="2">
        <f>HYPERLINK("http://mcb-m6.bioreg.kyushu-u.ac.jp/M3/20110502/F51193/1079/1", 55.22)</f>
        <v>55.22</v>
      </c>
      <c r="E4451" s="2">
        <v>29.48</v>
      </c>
      <c r="F4451" s="2">
        <v>2</v>
      </c>
      <c r="G4451" s="2" t="s">
        <v>14</v>
      </c>
    </row>
    <row r="4452" spans="1:7" x14ac:dyDescent="0.2">
      <c r="A4452" s="2" t="s">
        <v>3343</v>
      </c>
      <c r="B4452" s="2" t="s">
        <v>546</v>
      </c>
      <c r="C4452" s="2">
        <v>665.22019999999998</v>
      </c>
      <c r="D4452" s="2">
        <f>HYPERLINK("http://mcb-m6.bioreg.kyushu-u.ac.jp/M3/20110502/F51182/1370/1", 55.43)</f>
        <v>55.43</v>
      </c>
      <c r="E4452" s="2">
        <v>2.0099999999999998</v>
      </c>
      <c r="F4452" s="2">
        <v>2</v>
      </c>
      <c r="G4452" s="2" t="s">
        <v>14</v>
      </c>
    </row>
    <row r="4453" spans="1:7" x14ac:dyDescent="0.2">
      <c r="A4453" s="2" t="s">
        <v>3343</v>
      </c>
      <c r="B4453" s="2" t="s">
        <v>344</v>
      </c>
      <c r="C4453" s="2">
        <v>613.52279999999996</v>
      </c>
      <c r="D4453" s="2">
        <f>HYPERLINK("http://mcb-m6.bioreg.kyushu-u.ac.jp/M3/20110502/F51191/2507/1", 55.89)</f>
        <v>55.89</v>
      </c>
      <c r="E4453" s="2">
        <v>37.049999999999997</v>
      </c>
      <c r="F4453" s="2">
        <v>3</v>
      </c>
      <c r="G4453" s="2" t="s">
        <v>14</v>
      </c>
    </row>
    <row r="4454" spans="1:7" x14ac:dyDescent="0.2">
      <c r="A4454" s="2" t="s">
        <v>3343</v>
      </c>
      <c r="B4454" s="2" t="s">
        <v>546</v>
      </c>
      <c r="C4454" s="2">
        <v>665.3356</v>
      </c>
      <c r="D4454" s="2">
        <f>HYPERLINK("http://mcb-m6.bioreg.kyushu-u.ac.jp/M3/20110502/F51181/1393/2", 56.23)</f>
        <v>56.23</v>
      </c>
      <c r="E4454" s="2">
        <v>33.1</v>
      </c>
      <c r="F4454" s="2">
        <v>2</v>
      </c>
      <c r="G4454" s="2" t="s">
        <v>14</v>
      </c>
    </row>
    <row r="4455" spans="1:7" x14ac:dyDescent="0.2">
      <c r="A4455" s="2" t="s">
        <v>3343</v>
      </c>
      <c r="B4455" s="2" t="s">
        <v>132</v>
      </c>
      <c r="C4455" s="2">
        <v>578.79719999999998</v>
      </c>
      <c r="D4455" s="2">
        <f>HYPERLINK("http://mcb-m6.bioreg.kyushu-u.ac.jp/M3/20110502/F51182/1025/1", 56.97)</f>
        <v>56.97</v>
      </c>
      <c r="E4455" s="2">
        <v>26.09</v>
      </c>
      <c r="F4455" s="2">
        <v>2</v>
      </c>
      <c r="G4455" s="2" t="s">
        <v>14</v>
      </c>
    </row>
    <row r="4456" spans="1:7" x14ac:dyDescent="0.2">
      <c r="A4456" s="2" t="s">
        <v>3343</v>
      </c>
      <c r="B4456" s="2" t="s">
        <v>132</v>
      </c>
      <c r="C4456" s="2">
        <v>578.49620000000004</v>
      </c>
      <c r="D4456" s="2">
        <f>HYPERLINK("http://mcb-m6.bioreg.kyushu-u.ac.jp/M3/20110502/F51190/1099/1", 57.01)</f>
        <v>57.01</v>
      </c>
      <c r="E4456" s="2">
        <v>27.91</v>
      </c>
      <c r="F4456" s="2">
        <v>2</v>
      </c>
      <c r="G4456" s="2" t="s">
        <v>14</v>
      </c>
    </row>
    <row r="4457" spans="1:7" x14ac:dyDescent="0.2">
      <c r="A4457" s="2" t="s">
        <v>3343</v>
      </c>
      <c r="B4457" s="2" t="s">
        <v>1032</v>
      </c>
      <c r="C4457" s="2">
        <v>1163.7570000000001</v>
      </c>
      <c r="D4457" s="2">
        <f>HYPERLINK("http://mcb-m6.bioreg.kyushu-u.ac.jp/M3/20110502/F51184/3828/1", 57.23)</f>
        <v>57.23</v>
      </c>
      <c r="E4457" s="2">
        <v>44.27</v>
      </c>
      <c r="F4457" s="2">
        <v>2</v>
      </c>
      <c r="G4457" s="2" t="s">
        <v>14</v>
      </c>
    </row>
    <row r="4458" spans="1:7" x14ac:dyDescent="0.2">
      <c r="A4458" s="2" t="s">
        <v>3343</v>
      </c>
      <c r="B4458" s="2" t="s">
        <v>704</v>
      </c>
      <c r="C4458" s="2">
        <v>603.10170000000005</v>
      </c>
      <c r="D4458" s="2">
        <f>HYPERLINK("http://mcb-m6.bioreg.kyushu-u.ac.jp/M3/20110502/F51179/1077/1", 57.35)</f>
        <v>57.35</v>
      </c>
      <c r="E4458" s="2">
        <v>26.07</v>
      </c>
      <c r="F4458" s="2">
        <v>2</v>
      </c>
      <c r="G4458" s="2" t="s">
        <v>14</v>
      </c>
    </row>
    <row r="4459" spans="1:7" x14ac:dyDescent="0.2">
      <c r="A4459" s="2" t="s">
        <v>3343</v>
      </c>
      <c r="B4459" s="2" t="s">
        <v>325</v>
      </c>
      <c r="C4459" s="2">
        <v>739.75070000000005</v>
      </c>
      <c r="D4459" s="2">
        <f>HYPERLINK("http://mcb-m6.bioreg.kyushu-u.ac.jp/M3/20110502/F51182/1883/1", 58.08)</f>
        <v>58.08</v>
      </c>
      <c r="E4459" s="2">
        <v>47.07</v>
      </c>
      <c r="F4459" s="2">
        <v>2</v>
      </c>
      <c r="G4459" s="2" t="s">
        <v>14</v>
      </c>
    </row>
    <row r="4460" spans="1:7" x14ac:dyDescent="0.2">
      <c r="A4460" s="2" t="s">
        <v>3343</v>
      </c>
      <c r="B4460" s="2" t="s">
        <v>704</v>
      </c>
      <c r="C4460" s="2">
        <v>603.14570000000003</v>
      </c>
      <c r="D4460" s="2">
        <f>HYPERLINK("http://mcb-m6.bioreg.kyushu-u.ac.jp/M3/20110502/F51182/1143/1", 58.16)</f>
        <v>58.16</v>
      </c>
      <c r="E4460" s="2">
        <v>14.13</v>
      </c>
      <c r="F4460" s="2">
        <v>2</v>
      </c>
      <c r="G4460" s="2" t="s">
        <v>14</v>
      </c>
    </row>
    <row r="4461" spans="1:7" x14ac:dyDescent="0.2">
      <c r="A4461" s="2" t="s">
        <v>3343</v>
      </c>
      <c r="B4461" s="2" t="s">
        <v>132</v>
      </c>
      <c r="C4461" s="2">
        <v>578.29110000000003</v>
      </c>
      <c r="D4461" s="2">
        <f>HYPERLINK("http://mcb-m6.bioreg.kyushu-u.ac.jp/M3/20110502/F51182/1012/1", 58.54)</f>
        <v>58.54</v>
      </c>
      <c r="E4461" s="2">
        <v>23.38</v>
      </c>
      <c r="F4461" s="2">
        <v>2</v>
      </c>
      <c r="G4461" s="2" t="s">
        <v>14</v>
      </c>
    </row>
    <row r="4462" spans="1:7" x14ac:dyDescent="0.2">
      <c r="A4462" s="2" t="s">
        <v>3343</v>
      </c>
      <c r="B4462" s="2" t="s">
        <v>1032</v>
      </c>
      <c r="C4462" s="2">
        <v>1164.0219999999999</v>
      </c>
      <c r="D4462" s="2">
        <f>HYPERLINK("http://mcb-m6.bioreg.kyushu-u.ac.jp/M3/20110502/F51192/3374/1", 59.08)</f>
        <v>59.08</v>
      </c>
      <c r="E4462" s="2">
        <v>54.51</v>
      </c>
      <c r="F4462" s="2">
        <v>2</v>
      </c>
      <c r="G4462" s="2" t="s">
        <v>14</v>
      </c>
    </row>
    <row r="4463" spans="1:7" x14ac:dyDescent="0.2">
      <c r="A4463" s="2" t="s">
        <v>3343</v>
      </c>
      <c r="B4463" s="2" t="s">
        <v>943</v>
      </c>
      <c r="C4463" s="2">
        <v>507.04360000000003</v>
      </c>
      <c r="D4463" s="2">
        <f>HYPERLINK("http://mcb-m6.bioreg.kyushu-u.ac.jp/M3/20110502/F51181/835/1", 59.38)</f>
        <v>59.38</v>
      </c>
      <c r="E4463" s="2">
        <v>28.2</v>
      </c>
      <c r="F4463" s="2">
        <v>2</v>
      </c>
      <c r="G4463" s="2" t="s">
        <v>14</v>
      </c>
    </row>
    <row r="4464" spans="1:7" x14ac:dyDescent="0.2">
      <c r="A4464" s="2" t="s">
        <v>3343</v>
      </c>
      <c r="B4464" s="2" t="s">
        <v>132</v>
      </c>
      <c r="C4464" s="2">
        <v>578.8107</v>
      </c>
      <c r="D4464" s="2">
        <f>HYPERLINK("http://mcb-m6.bioreg.kyushu-u.ac.jp/M3/20110502/F51182/1026/1", 59.47)</f>
        <v>59.47</v>
      </c>
      <c r="E4464" s="2">
        <v>29.21</v>
      </c>
      <c r="F4464" s="2">
        <v>2</v>
      </c>
      <c r="G4464" s="2" t="s">
        <v>14</v>
      </c>
    </row>
    <row r="4465" spans="1:8" x14ac:dyDescent="0.2">
      <c r="A4465" s="2" t="s">
        <v>3343</v>
      </c>
      <c r="B4465" s="2" t="s">
        <v>509</v>
      </c>
      <c r="C4465" s="2">
        <v>1416.963</v>
      </c>
      <c r="D4465" s="2">
        <f>HYPERLINK("http://mcb-m6.bioreg.kyushu-u.ac.jp/M3/20110502/F51182/1654/1", 60.11)</f>
        <v>60.11</v>
      </c>
      <c r="E4465" s="2">
        <v>42.44</v>
      </c>
      <c r="F4465" s="2">
        <v>1</v>
      </c>
      <c r="G4465" s="2" t="s">
        <v>14</v>
      </c>
      <c r="H4465" s="2" t="s">
        <v>4904</v>
      </c>
    </row>
    <row r="4466" spans="1:8" x14ac:dyDescent="0.2">
      <c r="A4466" s="2" t="s">
        <v>3343</v>
      </c>
      <c r="B4466" s="2" t="s">
        <v>558</v>
      </c>
      <c r="C4466" s="2">
        <v>1458.1289999999999</v>
      </c>
      <c r="D4466" s="2">
        <f>HYPERLINK("http://mcb-m6.bioreg.kyushu-u.ac.jp/M3/20110502/F51182/1808/1", 60.11)</f>
        <v>60.11</v>
      </c>
      <c r="E4466" s="2">
        <v>36.869999999999997</v>
      </c>
      <c r="F4466" s="2">
        <v>1</v>
      </c>
      <c r="G4466" s="2" t="s">
        <v>14</v>
      </c>
    </row>
    <row r="4467" spans="1:8" x14ac:dyDescent="0.2">
      <c r="A4467" s="2" t="s">
        <v>3343</v>
      </c>
      <c r="B4467" s="2" t="s">
        <v>704</v>
      </c>
      <c r="C4467" s="2">
        <v>611.01210000000003</v>
      </c>
      <c r="D4467" s="2">
        <f>HYPERLINK("http://mcb-m6.bioreg.kyushu-u.ac.jp/M3/20110502/F51176/1751/1", 62.21)</f>
        <v>62.21</v>
      </c>
      <c r="E4467" s="2">
        <v>26.78</v>
      </c>
      <c r="F4467" s="2">
        <v>2</v>
      </c>
      <c r="G4467" s="2" t="s">
        <v>14</v>
      </c>
      <c r="H4467" s="2" t="s">
        <v>4908</v>
      </c>
    </row>
    <row r="4468" spans="1:8" x14ac:dyDescent="0.2">
      <c r="A4468" s="2" t="s">
        <v>3343</v>
      </c>
      <c r="B4468" s="2" t="s">
        <v>546</v>
      </c>
      <c r="C4468" s="2">
        <v>665.19619999999998</v>
      </c>
      <c r="D4468" s="2">
        <f>HYPERLINK("http://mcb-m6.bioreg.kyushu-u.ac.jp/M3/20110502/F51182/1369/2", 62.9)</f>
        <v>62.9</v>
      </c>
      <c r="E4468" s="2">
        <v>37.82</v>
      </c>
      <c r="F4468" s="2">
        <v>2</v>
      </c>
      <c r="G4468" s="2" t="s">
        <v>14</v>
      </c>
    </row>
    <row r="4469" spans="1:8" x14ac:dyDescent="0.2">
      <c r="A4469" s="2" t="s">
        <v>3343</v>
      </c>
      <c r="B4469" s="2" t="s">
        <v>509</v>
      </c>
      <c r="C4469" s="2">
        <v>725.73360000000002</v>
      </c>
      <c r="D4469" s="2">
        <f>HYPERLINK("http://mcb-m6.bioreg.kyushu-u.ac.jp/M3/20110502/F51182/1786/1", 63.11)</f>
        <v>63.11</v>
      </c>
      <c r="E4469" s="2">
        <v>42.34</v>
      </c>
      <c r="F4469" s="2">
        <v>2</v>
      </c>
      <c r="G4469" s="2" t="s">
        <v>14</v>
      </c>
      <c r="H4469" s="2" t="s">
        <v>4927</v>
      </c>
    </row>
    <row r="4470" spans="1:8" x14ac:dyDescent="0.2">
      <c r="A4470" s="2" t="s">
        <v>3343</v>
      </c>
      <c r="B4470" s="2" t="s">
        <v>1002</v>
      </c>
      <c r="C4470" s="2">
        <v>1147.71</v>
      </c>
      <c r="D4470" s="2">
        <f>HYPERLINK("http://mcb-m6.bioreg.kyushu-u.ac.jp/M3/20110502/F51179/3588/1", 63.32)</f>
        <v>63.32</v>
      </c>
      <c r="E4470" s="2">
        <v>48.5</v>
      </c>
      <c r="F4470" s="2">
        <v>2</v>
      </c>
      <c r="G4470" s="2" t="s">
        <v>14</v>
      </c>
    </row>
    <row r="4471" spans="1:8" x14ac:dyDescent="0.2">
      <c r="A4471" s="2" t="s">
        <v>3343</v>
      </c>
      <c r="B4471" s="2" t="s">
        <v>210</v>
      </c>
      <c r="C4471" s="2">
        <v>555.23770000000002</v>
      </c>
      <c r="D4471" s="2">
        <f>HYPERLINK("http://mcb-m6.bioreg.kyushu-u.ac.jp/M3/20110502/F51191/919/1", 63.41)</f>
        <v>63.41</v>
      </c>
      <c r="E4471" s="2">
        <v>28.24</v>
      </c>
      <c r="F4471" s="2">
        <v>2</v>
      </c>
      <c r="G4471" s="2" t="s">
        <v>14</v>
      </c>
      <c r="H4471" s="2" t="s">
        <v>4910</v>
      </c>
    </row>
    <row r="4472" spans="1:8" x14ac:dyDescent="0.2">
      <c r="A4472" s="2" t="s">
        <v>3343</v>
      </c>
      <c r="B4472" s="2" t="s">
        <v>1002</v>
      </c>
      <c r="C4472" s="2">
        <v>1147.808</v>
      </c>
      <c r="D4472" s="2">
        <f>HYPERLINK("http://mcb-m6.bioreg.kyushu-u.ac.jp/M3/20110502/F51181/3127/1", 63.47)</f>
        <v>63.47</v>
      </c>
      <c r="E4472" s="2">
        <v>50.48</v>
      </c>
      <c r="F4472" s="2">
        <v>2</v>
      </c>
      <c r="G4472" s="2" t="s">
        <v>14</v>
      </c>
    </row>
    <row r="4473" spans="1:8" x14ac:dyDescent="0.2">
      <c r="A4473" s="2" t="s">
        <v>3343</v>
      </c>
      <c r="B4473" s="2" t="s">
        <v>210</v>
      </c>
      <c r="C4473" s="2">
        <v>547.11159999999995</v>
      </c>
      <c r="D4473" s="2">
        <f>HYPERLINK("http://mcb-m6.bioreg.kyushu-u.ac.jp/M3/20110502/F51182/897/1", 64.51)</f>
        <v>64.510000000000005</v>
      </c>
      <c r="E4473" s="2">
        <v>24.93</v>
      </c>
      <c r="F4473" s="2">
        <v>2</v>
      </c>
      <c r="G4473" s="2" t="s">
        <v>14</v>
      </c>
    </row>
    <row r="4474" spans="1:8" x14ac:dyDescent="0.2">
      <c r="A4474" s="2" t="s">
        <v>3343</v>
      </c>
      <c r="B4474" s="2" t="s">
        <v>132</v>
      </c>
      <c r="C4474" s="2">
        <v>578.62270000000001</v>
      </c>
      <c r="D4474" s="2">
        <f>HYPERLINK("http://mcb-m6.bioreg.kyushu-u.ac.jp/M3/20110502/F51182/1018/1", 64.52)</f>
        <v>64.52</v>
      </c>
      <c r="E4474" s="2">
        <v>31.83</v>
      </c>
      <c r="F4474" s="2">
        <v>2</v>
      </c>
      <c r="G4474" s="2" t="s">
        <v>14</v>
      </c>
    </row>
    <row r="4475" spans="1:8" x14ac:dyDescent="0.2">
      <c r="A4475" s="2" t="s">
        <v>3343</v>
      </c>
      <c r="B4475" s="2" t="s">
        <v>509</v>
      </c>
      <c r="C4475" s="2">
        <v>725.83870000000002</v>
      </c>
      <c r="D4475" s="2">
        <f>HYPERLINK("http://mcb-m6.bioreg.kyushu-u.ac.jp/M3/20110502/F51183/1820/1", 65.42)</f>
        <v>65.42</v>
      </c>
      <c r="E4475" s="2">
        <v>46.84</v>
      </c>
      <c r="F4475" s="2">
        <v>2</v>
      </c>
      <c r="G4475" s="2" t="s">
        <v>14</v>
      </c>
      <c r="H4475" s="2" t="s">
        <v>4927</v>
      </c>
    </row>
    <row r="4476" spans="1:8" x14ac:dyDescent="0.2">
      <c r="A4476" s="2" t="s">
        <v>3343</v>
      </c>
      <c r="B4476" s="2" t="s">
        <v>943</v>
      </c>
      <c r="C4476" s="2">
        <v>507.0256</v>
      </c>
      <c r="D4476" s="2">
        <f>HYPERLINK("http://mcb-m6.bioreg.kyushu-u.ac.jp/M3/20110502/F51191/779/1", 65.47)</f>
        <v>65.47</v>
      </c>
      <c r="E4476" s="2">
        <v>40.1</v>
      </c>
      <c r="F4476" s="2">
        <v>2</v>
      </c>
      <c r="G4476" s="2" t="s">
        <v>14</v>
      </c>
    </row>
    <row r="4477" spans="1:8" x14ac:dyDescent="0.2">
      <c r="A4477" s="2" t="s">
        <v>3343</v>
      </c>
      <c r="B4477" s="2" t="s">
        <v>1496</v>
      </c>
      <c r="C4477" s="2">
        <v>967.46119999999996</v>
      </c>
      <c r="D4477" s="2">
        <f>HYPERLINK("http://mcb-m6.bioreg.kyushu-u.ac.jp/M3/20110502/F51182/3039/1", 65.53)</f>
        <v>65.53</v>
      </c>
      <c r="E4477" s="2">
        <v>35.6</v>
      </c>
      <c r="F4477" s="2">
        <v>2</v>
      </c>
      <c r="G4477" s="2" t="s">
        <v>14</v>
      </c>
    </row>
    <row r="4478" spans="1:8" x14ac:dyDescent="0.2">
      <c r="A4478" s="2" t="s">
        <v>3343</v>
      </c>
      <c r="B4478" s="2" t="s">
        <v>704</v>
      </c>
      <c r="C4478" s="2">
        <v>603.23170000000005</v>
      </c>
      <c r="D4478" s="2">
        <f>HYPERLINK("http://mcb-m6.bioreg.kyushu-u.ac.jp/M3/20110502/F51183/1216/1", 65.79)</f>
        <v>65.790000000000006</v>
      </c>
      <c r="E4478" s="2">
        <v>21.38</v>
      </c>
      <c r="F4478" s="2">
        <v>2</v>
      </c>
      <c r="G4478" s="2" t="s">
        <v>14</v>
      </c>
    </row>
    <row r="4479" spans="1:8" x14ac:dyDescent="0.2">
      <c r="A4479" s="2" t="s">
        <v>3343</v>
      </c>
      <c r="B4479" s="2" t="s">
        <v>704</v>
      </c>
      <c r="C4479" s="2">
        <v>610.96259999999995</v>
      </c>
      <c r="D4479" s="2">
        <f>HYPERLINK("http://mcb-m6.bioreg.kyushu-u.ac.jp/M3/20110502/F51191/1178/1", 65.93)</f>
        <v>65.930000000000007</v>
      </c>
      <c r="E4479" s="2">
        <v>31.22</v>
      </c>
      <c r="F4479" s="2">
        <v>2</v>
      </c>
      <c r="G4479" s="2" t="s">
        <v>14</v>
      </c>
      <c r="H4479" s="2" t="s">
        <v>4908</v>
      </c>
    </row>
    <row r="4480" spans="1:8" x14ac:dyDescent="0.2">
      <c r="A4480" s="2" t="s">
        <v>3343</v>
      </c>
      <c r="B4480" s="2" t="s">
        <v>328</v>
      </c>
      <c r="C4480" s="2">
        <v>574.24659999999994</v>
      </c>
      <c r="D4480" s="2">
        <f>HYPERLINK("http://mcb-m6.bioreg.kyushu-u.ac.jp/M3/20110502/F51191/991/1", 67.44)</f>
        <v>67.44</v>
      </c>
      <c r="E4480" s="2">
        <v>30.87</v>
      </c>
      <c r="F4480" s="2">
        <v>2</v>
      </c>
      <c r="G4480" s="2" t="s">
        <v>14</v>
      </c>
    </row>
    <row r="4481" spans="1:8" x14ac:dyDescent="0.2">
      <c r="A4481" s="2" t="s">
        <v>3343</v>
      </c>
      <c r="B4481" s="2" t="s">
        <v>546</v>
      </c>
      <c r="C4481" s="2">
        <v>664.84119999999996</v>
      </c>
      <c r="D4481" s="2">
        <f>HYPERLINK("http://mcb-m6.bioreg.kyushu-u.ac.jp/M3/20110502/F51192/1338/2", 67.79)</f>
        <v>67.790000000000006</v>
      </c>
      <c r="E4481" s="2">
        <v>48.13</v>
      </c>
      <c r="F4481" s="2">
        <v>2</v>
      </c>
      <c r="G4481" s="2" t="s">
        <v>14</v>
      </c>
    </row>
    <row r="4482" spans="1:8" x14ac:dyDescent="0.2">
      <c r="A4482" s="2" t="s">
        <v>3343</v>
      </c>
      <c r="B4482" s="2" t="s">
        <v>132</v>
      </c>
      <c r="C4482" s="2">
        <v>578.47559999999999</v>
      </c>
      <c r="D4482" s="2">
        <f>HYPERLINK("http://mcb-m6.bioreg.kyushu-u.ac.jp/M3/20110502/F51191/1005/1", 68.19)</f>
        <v>68.19</v>
      </c>
      <c r="E4482" s="2">
        <v>38.42</v>
      </c>
      <c r="F4482" s="2">
        <v>2</v>
      </c>
      <c r="G4482" s="2" t="s">
        <v>14</v>
      </c>
    </row>
    <row r="4483" spans="1:8" x14ac:dyDescent="0.2">
      <c r="A4483" s="2" t="s">
        <v>3343</v>
      </c>
      <c r="B4483" s="2" t="s">
        <v>546</v>
      </c>
      <c r="C4483" s="2">
        <v>665.1567</v>
      </c>
      <c r="D4483" s="2">
        <f>HYPERLINK("http://mcb-m6.bioreg.kyushu-u.ac.jp/M3/20110502/F51182/1366/2", 68.37)</f>
        <v>68.37</v>
      </c>
      <c r="E4483" s="2">
        <v>49.3</v>
      </c>
      <c r="F4483" s="2">
        <v>2</v>
      </c>
      <c r="G4483" s="2" t="s">
        <v>14</v>
      </c>
    </row>
    <row r="4484" spans="1:8" x14ac:dyDescent="0.2">
      <c r="A4484" s="2" t="s">
        <v>3343</v>
      </c>
      <c r="B4484" s="2" t="s">
        <v>344</v>
      </c>
      <c r="C4484" s="2">
        <v>919.77470000000005</v>
      </c>
      <c r="D4484" s="2">
        <f>HYPERLINK("http://mcb-m6.bioreg.kyushu-u.ac.jp/M3/20110502/F51182/2889/1", 69.15)</f>
        <v>69.150000000000006</v>
      </c>
      <c r="E4484" s="2">
        <v>47.6</v>
      </c>
      <c r="F4484" s="2">
        <v>2</v>
      </c>
      <c r="G4484" s="2" t="s">
        <v>14</v>
      </c>
    </row>
    <row r="4485" spans="1:8" x14ac:dyDescent="0.2">
      <c r="A4485" s="2" t="s">
        <v>3343</v>
      </c>
      <c r="B4485" s="2" t="s">
        <v>546</v>
      </c>
      <c r="C4485" s="2">
        <v>665.15369999999996</v>
      </c>
      <c r="D4485" s="2">
        <f>HYPERLINK("http://mcb-m6.bioreg.kyushu-u.ac.jp/M3/20110502/F51179/1327/2", 69.89)</f>
        <v>69.89</v>
      </c>
      <c r="E4485" s="2">
        <v>46.18</v>
      </c>
      <c r="F4485" s="2">
        <v>2</v>
      </c>
      <c r="G4485" s="2" t="s">
        <v>14</v>
      </c>
    </row>
    <row r="4486" spans="1:8" x14ac:dyDescent="0.2">
      <c r="A4486" s="2" t="s">
        <v>3343</v>
      </c>
      <c r="B4486" s="2" t="s">
        <v>344</v>
      </c>
      <c r="C4486" s="2">
        <v>919.96559999999999</v>
      </c>
      <c r="D4486" s="2">
        <f>HYPERLINK("http://mcb-m6.bioreg.kyushu-u.ac.jp/M3/20110502/F51192/2693/1", 70.05)</f>
        <v>70.05</v>
      </c>
      <c r="E4486" s="2">
        <v>39.630000000000003</v>
      </c>
      <c r="F4486" s="2">
        <v>2</v>
      </c>
      <c r="G4486" s="2" t="s">
        <v>14</v>
      </c>
    </row>
    <row r="4487" spans="1:8" x14ac:dyDescent="0.2">
      <c r="A4487" s="2" t="s">
        <v>3343</v>
      </c>
      <c r="B4487" s="2" t="s">
        <v>344</v>
      </c>
      <c r="C4487" s="2">
        <v>919.73820000000001</v>
      </c>
      <c r="D4487" s="2">
        <f>HYPERLINK("http://mcb-m6.bioreg.kyushu-u.ac.jp/M3/20110502/F51182/2887/1", 70.42)</f>
        <v>70.42</v>
      </c>
      <c r="E4487" s="2">
        <v>38.06</v>
      </c>
      <c r="F4487" s="2">
        <v>2</v>
      </c>
      <c r="G4487" s="2" t="s">
        <v>14</v>
      </c>
    </row>
    <row r="4488" spans="1:8" x14ac:dyDescent="0.2">
      <c r="A4488" s="2" t="s">
        <v>3343</v>
      </c>
      <c r="B4488" s="2" t="s">
        <v>325</v>
      </c>
      <c r="C4488" s="2">
        <v>1477.96</v>
      </c>
      <c r="D4488" s="2">
        <f>HYPERLINK("http://mcb-m6.bioreg.kyushu-u.ac.jp/M3/20110502/F51182/1871/1", 71.06)</f>
        <v>71.06</v>
      </c>
      <c r="E4488" s="2">
        <v>49.93</v>
      </c>
      <c r="F4488" s="2">
        <v>1</v>
      </c>
      <c r="G4488" s="2" t="s">
        <v>14</v>
      </c>
    </row>
    <row r="4489" spans="1:8" x14ac:dyDescent="0.2">
      <c r="A4489" s="2" t="s">
        <v>3343</v>
      </c>
      <c r="B4489" s="2" t="s">
        <v>1002</v>
      </c>
      <c r="C4489" s="2">
        <v>1147.9749999999999</v>
      </c>
      <c r="D4489" s="2">
        <f>HYPERLINK("http://mcb-m6.bioreg.kyushu-u.ac.jp/M3/20110502/F51182/3626/1", 71.33)</f>
        <v>71.33</v>
      </c>
      <c r="E4489" s="2">
        <v>59.44</v>
      </c>
      <c r="F4489" s="2">
        <v>2</v>
      </c>
      <c r="G4489" s="2" t="s">
        <v>14</v>
      </c>
    </row>
    <row r="4490" spans="1:8" x14ac:dyDescent="0.2">
      <c r="A4490" s="2" t="s">
        <v>3343</v>
      </c>
      <c r="B4490" s="2" t="s">
        <v>344</v>
      </c>
      <c r="C4490" s="2">
        <v>919.73969999999997</v>
      </c>
      <c r="D4490" s="2">
        <f>HYPERLINK("http://mcb-m6.bioreg.kyushu-u.ac.jp/M3/20110502/F51181/2593/1", 71.38)</f>
        <v>71.38</v>
      </c>
      <c r="E4490" s="2">
        <v>47.34</v>
      </c>
      <c r="F4490" s="2">
        <v>2</v>
      </c>
      <c r="G4490" s="2" t="s">
        <v>14</v>
      </c>
    </row>
    <row r="4491" spans="1:8" x14ac:dyDescent="0.2">
      <c r="A4491" s="2" t="s">
        <v>3343</v>
      </c>
      <c r="B4491" s="2" t="s">
        <v>943</v>
      </c>
      <c r="C4491" s="2">
        <v>507.13459999999998</v>
      </c>
      <c r="D4491" s="2">
        <f>HYPERLINK("http://mcb-m6.bioreg.kyushu-u.ac.jp/M3/20110502/F51182/743/1", 71.5)</f>
        <v>71.5</v>
      </c>
      <c r="E4491" s="2">
        <v>41</v>
      </c>
      <c r="F4491" s="2">
        <v>2</v>
      </c>
      <c r="G4491" s="2" t="s">
        <v>14</v>
      </c>
    </row>
    <row r="4492" spans="1:8" x14ac:dyDescent="0.2">
      <c r="A4492" s="2" t="s">
        <v>3343</v>
      </c>
      <c r="B4492" s="2" t="s">
        <v>509</v>
      </c>
      <c r="C4492" s="2">
        <v>709.11519999999996</v>
      </c>
      <c r="D4492" s="2">
        <f>HYPERLINK("http://mcb-m6.bioreg.kyushu-u.ac.jp/M3/20110502/F51182/1656/1", 71.51)</f>
        <v>71.510000000000005</v>
      </c>
      <c r="E4492" s="2">
        <v>44.9</v>
      </c>
      <c r="F4492" s="2">
        <v>2</v>
      </c>
      <c r="G4492" s="2" t="s">
        <v>14</v>
      </c>
      <c r="H4492" s="2" t="s">
        <v>4904</v>
      </c>
    </row>
    <row r="4493" spans="1:8" x14ac:dyDescent="0.2">
      <c r="A4493" s="2" t="s">
        <v>3343</v>
      </c>
      <c r="B4493" s="2" t="s">
        <v>325</v>
      </c>
      <c r="C4493" s="2">
        <v>739.6182</v>
      </c>
      <c r="D4493" s="2">
        <f>HYPERLINK("http://mcb-m6.bioreg.kyushu-u.ac.jp/M3/20110502/F51181/1833/1", 71.79)</f>
        <v>71.790000000000006</v>
      </c>
      <c r="E4493" s="2">
        <v>59.62</v>
      </c>
      <c r="F4493" s="2">
        <v>2</v>
      </c>
      <c r="G4493" s="2" t="s">
        <v>14</v>
      </c>
    </row>
    <row r="4494" spans="1:8" x14ac:dyDescent="0.2">
      <c r="A4494" s="2" t="s">
        <v>3343</v>
      </c>
      <c r="B4494" s="2" t="s">
        <v>546</v>
      </c>
      <c r="C4494" s="2">
        <v>665.41769999999997</v>
      </c>
      <c r="D4494" s="2">
        <f>HYPERLINK("http://mcb-m6.bioreg.kyushu-u.ac.jp/M3/20110502/F51182/1372/2", 72.41)</f>
        <v>72.41</v>
      </c>
      <c r="E4494" s="2">
        <v>45.24</v>
      </c>
      <c r="F4494" s="2">
        <v>2</v>
      </c>
      <c r="G4494" s="2" t="s">
        <v>14</v>
      </c>
    </row>
    <row r="4495" spans="1:8" x14ac:dyDescent="0.2">
      <c r="A4495" s="2" t="s">
        <v>3343</v>
      </c>
      <c r="B4495" s="2" t="s">
        <v>328</v>
      </c>
      <c r="C4495" s="2">
        <v>574.12220000000002</v>
      </c>
      <c r="D4495" s="2">
        <f>HYPERLINK("http://mcb-m6.bioreg.kyushu-u.ac.jp/M3/20110502/F51182/993/1", 73.38)</f>
        <v>73.38</v>
      </c>
      <c r="E4495" s="2">
        <v>38.78</v>
      </c>
      <c r="F4495" s="2">
        <v>2</v>
      </c>
      <c r="G4495" s="2" t="s">
        <v>14</v>
      </c>
    </row>
    <row r="4496" spans="1:8" x14ac:dyDescent="0.2">
      <c r="A4496" s="2" t="s">
        <v>3343</v>
      </c>
      <c r="B4496" s="2" t="s">
        <v>546</v>
      </c>
      <c r="C4496" s="2">
        <v>665.23320000000001</v>
      </c>
      <c r="D4496" s="2">
        <f>HYPERLINK("http://mcb-m6.bioreg.kyushu-u.ac.jp/M3/20110502/F51182/1371/2", 74.29)</f>
        <v>74.290000000000006</v>
      </c>
      <c r="E4496" s="2">
        <v>51.3</v>
      </c>
      <c r="F4496" s="2">
        <v>2</v>
      </c>
      <c r="G4496" s="2" t="s">
        <v>14</v>
      </c>
    </row>
    <row r="4497" spans="1:8" x14ac:dyDescent="0.2">
      <c r="A4497" s="2" t="s">
        <v>3343</v>
      </c>
      <c r="B4497" s="2" t="s">
        <v>344</v>
      </c>
      <c r="C4497" s="2">
        <v>919.84720000000004</v>
      </c>
      <c r="D4497" s="2">
        <f>HYPERLINK("http://mcb-m6.bioreg.kyushu-u.ac.jp/M3/20110502/F51181/2595/1", 75.08)</f>
        <v>75.08</v>
      </c>
      <c r="E4497" s="2">
        <v>39.590000000000003</v>
      </c>
      <c r="F4497" s="2">
        <v>2</v>
      </c>
      <c r="G4497" s="2" t="s">
        <v>14</v>
      </c>
    </row>
    <row r="4498" spans="1:8" x14ac:dyDescent="0.2">
      <c r="A4498" s="2" t="s">
        <v>3343</v>
      </c>
      <c r="B4498" s="2" t="s">
        <v>344</v>
      </c>
      <c r="C4498" s="2">
        <v>919.70169999999996</v>
      </c>
      <c r="D4498" s="2">
        <f>HYPERLINK("http://mcb-m6.bioreg.kyushu-u.ac.jp/M3/20110502/F51181/2592/1", 75.26)</f>
        <v>75.260000000000005</v>
      </c>
      <c r="E4498" s="2">
        <v>34.950000000000003</v>
      </c>
      <c r="F4498" s="2">
        <v>2</v>
      </c>
      <c r="G4498" s="2" t="s">
        <v>14</v>
      </c>
    </row>
    <row r="4499" spans="1:8" x14ac:dyDescent="0.2">
      <c r="A4499" s="2" t="s">
        <v>3343</v>
      </c>
      <c r="B4499" s="2" t="s">
        <v>344</v>
      </c>
      <c r="C4499" s="2">
        <v>919.92110000000002</v>
      </c>
      <c r="D4499" s="2">
        <f>HYPERLINK("http://mcb-m6.bioreg.kyushu-u.ac.jp/M3/20110502/F51183/2825/1", 75.38)</f>
        <v>75.38</v>
      </c>
      <c r="E4499" s="2">
        <v>41.16</v>
      </c>
      <c r="F4499" s="2">
        <v>2</v>
      </c>
      <c r="G4499" s="2" t="s">
        <v>14</v>
      </c>
    </row>
    <row r="4500" spans="1:8" x14ac:dyDescent="0.2">
      <c r="A4500" s="2" t="s">
        <v>3343</v>
      </c>
      <c r="B4500" s="2" t="s">
        <v>2388</v>
      </c>
      <c r="C4500" s="2">
        <v>700.60220000000004</v>
      </c>
      <c r="D4500" s="2">
        <f>HYPERLINK("http://mcb-m6.bioreg.kyushu-u.ac.jp/M3/20110502/F51182/1605/1", 76.15)</f>
        <v>76.150000000000006</v>
      </c>
      <c r="E4500" s="2">
        <v>52.29</v>
      </c>
      <c r="F4500" s="2">
        <v>2</v>
      </c>
      <c r="G4500" s="2" t="s">
        <v>14</v>
      </c>
    </row>
    <row r="4501" spans="1:8" x14ac:dyDescent="0.2">
      <c r="A4501" s="2" t="s">
        <v>3343</v>
      </c>
      <c r="B4501" s="2" t="s">
        <v>558</v>
      </c>
      <c r="C4501" s="2">
        <v>729.7192</v>
      </c>
      <c r="D4501" s="2">
        <f>HYPERLINK("http://mcb-m6.bioreg.kyushu-u.ac.jp/M3/20110502/F51182/1811/1", 76.41)</f>
        <v>76.41</v>
      </c>
      <c r="E4501" s="2">
        <v>54.26</v>
      </c>
      <c r="F4501" s="2">
        <v>2</v>
      </c>
      <c r="G4501" s="2" t="s">
        <v>14</v>
      </c>
    </row>
    <row r="4502" spans="1:8" x14ac:dyDescent="0.2">
      <c r="A4502" s="2" t="s">
        <v>3343</v>
      </c>
      <c r="B4502" s="2" t="s">
        <v>1002</v>
      </c>
      <c r="C4502" s="2">
        <v>1147.7639999999999</v>
      </c>
      <c r="D4502" s="2">
        <f>HYPERLINK("http://mcb-m6.bioreg.kyushu-u.ac.jp/M3/20110502/F51191/3127/1", 76.45)</f>
        <v>76.45</v>
      </c>
      <c r="E4502" s="2">
        <v>65.36</v>
      </c>
      <c r="F4502" s="2">
        <v>2</v>
      </c>
      <c r="G4502" s="2" t="s">
        <v>14</v>
      </c>
    </row>
    <row r="4503" spans="1:8" x14ac:dyDescent="0.2">
      <c r="A4503" s="2" t="s">
        <v>3343</v>
      </c>
      <c r="B4503" s="2" t="s">
        <v>558</v>
      </c>
      <c r="C4503" s="2">
        <v>729.88369999999998</v>
      </c>
      <c r="D4503" s="2">
        <f>HYPERLINK("http://mcb-m6.bioreg.kyushu-u.ac.jp/M3/20110502/F51183/1842/1", 76.55)</f>
        <v>76.55</v>
      </c>
      <c r="E4503" s="2">
        <v>56.76</v>
      </c>
      <c r="F4503" s="2">
        <v>2</v>
      </c>
      <c r="G4503" s="2" t="s">
        <v>14</v>
      </c>
    </row>
    <row r="4504" spans="1:8" x14ac:dyDescent="0.2">
      <c r="A4504" s="2" t="s">
        <v>3343</v>
      </c>
      <c r="B4504" s="2" t="s">
        <v>132</v>
      </c>
      <c r="C4504" s="2">
        <v>578.62070000000006</v>
      </c>
      <c r="D4504" s="2">
        <f>HYPERLINK("http://mcb-m6.bioreg.kyushu-u.ac.jp/M3/20110502/F51183/1077/1", 77.32)</f>
        <v>77.319999999999993</v>
      </c>
      <c r="E4504" s="2">
        <v>38.81</v>
      </c>
      <c r="F4504" s="2">
        <v>2</v>
      </c>
      <c r="G4504" s="2" t="s">
        <v>14</v>
      </c>
    </row>
    <row r="4505" spans="1:8" x14ac:dyDescent="0.2">
      <c r="A4505" s="2" t="s">
        <v>3343</v>
      </c>
      <c r="B4505" s="2" t="s">
        <v>509</v>
      </c>
      <c r="C4505" s="2">
        <v>725.90769999999998</v>
      </c>
      <c r="D4505" s="2">
        <f>HYPERLINK("http://mcb-m6.bioreg.kyushu-u.ac.jp/M3/20110502/F51181/1768/1", 77.37)</f>
        <v>77.37</v>
      </c>
      <c r="E4505" s="2">
        <v>56.04</v>
      </c>
      <c r="F4505" s="2">
        <v>2</v>
      </c>
      <c r="G4505" s="2" t="s">
        <v>14</v>
      </c>
      <c r="H4505" s="2" t="s">
        <v>4927</v>
      </c>
    </row>
    <row r="4506" spans="1:8" x14ac:dyDescent="0.2">
      <c r="A4506" s="2" t="s">
        <v>3343</v>
      </c>
      <c r="B4506" s="2" t="s">
        <v>546</v>
      </c>
      <c r="C4506" s="2">
        <v>665.02369999999996</v>
      </c>
      <c r="D4506" s="2">
        <f>HYPERLINK("http://mcb-m6.bioreg.kyushu-u.ac.jp/M3/20110502/F51181/1388/2", 77.41)</f>
        <v>77.41</v>
      </c>
      <c r="E4506" s="2">
        <v>49.42</v>
      </c>
      <c r="F4506" s="2">
        <v>2</v>
      </c>
      <c r="G4506" s="2" t="s">
        <v>14</v>
      </c>
    </row>
    <row r="4507" spans="1:8" x14ac:dyDescent="0.2">
      <c r="A4507" s="2" t="s">
        <v>3343</v>
      </c>
      <c r="B4507" s="2" t="s">
        <v>546</v>
      </c>
      <c r="C4507" s="2">
        <v>665.01170000000002</v>
      </c>
      <c r="D4507" s="2">
        <f>HYPERLINK("http://mcb-m6.bioreg.kyushu-u.ac.jp/M3/20110502/F51191/1353/2", 77.61)</f>
        <v>77.61</v>
      </c>
      <c r="E4507" s="2">
        <v>54.29</v>
      </c>
      <c r="F4507" s="2">
        <v>2</v>
      </c>
      <c r="G4507" s="2" t="s">
        <v>14</v>
      </c>
    </row>
    <row r="4508" spans="1:8" x14ac:dyDescent="0.2">
      <c r="A4508" s="2" t="s">
        <v>3343</v>
      </c>
      <c r="B4508" s="2" t="s">
        <v>509</v>
      </c>
      <c r="C4508" s="2">
        <v>725.5856</v>
      </c>
      <c r="D4508" s="2">
        <f>HYPERLINK("http://mcb-m6.bioreg.kyushu-u.ac.jp/M3/20110502/F51191/1676/1", 77.64)</f>
        <v>77.64</v>
      </c>
      <c r="E4508" s="2">
        <v>61.75</v>
      </c>
      <c r="F4508" s="2">
        <v>2</v>
      </c>
      <c r="G4508" s="2" t="s">
        <v>14</v>
      </c>
      <c r="H4508" s="2" t="s">
        <v>4927</v>
      </c>
    </row>
    <row r="4509" spans="1:8" x14ac:dyDescent="0.2">
      <c r="A4509" s="2" t="s">
        <v>3343</v>
      </c>
      <c r="B4509" s="2" t="s">
        <v>344</v>
      </c>
      <c r="C4509" s="2">
        <v>919.73469999999998</v>
      </c>
      <c r="D4509" s="2">
        <f>HYPERLINK("http://mcb-m6.bioreg.kyushu-u.ac.jp/M3/20110502/F51182/2886/1", 77.72)</f>
        <v>77.72</v>
      </c>
      <c r="E4509" s="2">
        <v>35.94</v>
      </c>
      <c r="F4509" s="2">
        <v>2</v>
      </c>
      <c r="G4509" s="2" t="s">
        <v>14</v>
      </c>
    </row>
    <row r="4510" spans="1:8" x14ac:dyDescent="0.2">
      <c r="A4510" s="2" t="s">
        <v>3343</v>
      </c>
      <c r="B4510" s="2" t="s">
        <v>1002</v>
      </c>
      <c r="C4510" s="2">
        <v>1147.9480000000001</v>
      </c>
      <c r="D4510" s="2">
        <f>HYPERLINK("http://mcb-m6.bioreg.kyushu-u.ac.jp/M3/20110502/F51182/3625/1", 77.92)</f>
        <v>77.92</v>
      </c>
      <c r="E4510" s="2">
        <v>63.52</v>
      </c>
      <c r="F4510" s="2">
        <v>2</v>
      </c>
      <c r="G4510" s="2" t="s">
        <v>14</v>
      </c>
    </row>
    <row r="4511" spans="1:8" x14ac:dyDescent="0.2">
      <c r="A4511" s="2" t="s">
        <v>3343</v>
      </c>
      <c r="B4511" s="2" t="s">
        <v>344</v>
      </c>
      <c r="C4511" s="2">
        <v>919.61969999999997</v>
      </c>
      <c r="D4511" s="2">
        <f>HYPERLINK("http://mcb-m6.bioreg.kyushu-u.ac.jp/M3/20110502/F51191/2506/1", 78.54)</f>
        <v>78.540000000000006</v>
      </c>
      <c r="E4511" s="2">
        <v>53.61</v>
      </c>
      <c r="F4511" s="2">
        <v>2</v>
      </c>
      <c r="G4511" s="2" t="s">
        <v>14</v>
      </c>
    </row>
    <row r="4512" spans="1:8" x14ac:dyDescent="0.2">
      <c r="A4512" s="2" t="s">
        <v>3343</v>
      </c>
      <c r="B4512" s="2" t="s">
        <v>558</v>
      </c>
      <c r="C4512" s="2">
        <v>729.63210000000004</v>
      </c>
      <c r="D4512" s="2">
        <f>HYPERLINK("http://mcb-m6.bioreg.kyushu-u.ac.jp/M3/20110502/F51191/1690/1", 78.57)</f>
        <v>78.569999999999993</v>
      </c>
      <c r="E4512" s="2">
        <v>56.31</v>
      </c>
      <c r="F4512" s="2">
        <v>2</v>
      </c>
      <c r="G4512" s="2" t="s">
        <v>14</v>
      </c>
    </row>
    <row r="4513" spans="1:8" x14ac:dyDescent="0.2">
      <c r="A4513" s="2" t="s">
        <v>3343</v>
      </c>
      <c r="B4513" s="2" t="s">
        <v>1002</v>
      </c>
      <c r="C4513" s="2">
        <v>1147.9390000000001</v>
      </c>
      <c r="D4513" s="2">
        <f>HYPERLINK("http://mcb-m6.bioreg.kyushu-u.ac.jp/M3/20110502/F51182/3624/1", 79.72)</f>
        <v>79.72</v>
      </c>
      <c r="E4513" s="2">
        <v>62.63</v>
      </c>
      <c r="F4513" s="2">
        <v>2</v>
      </c>
      <c r="G4513" s="2" t="s">
        <v>14</v>
      </c>
    </row>
    <row r="4514" spans="1:8" x14ac:dyDescent="0.2">
      <c r="A4514" s="2" t="s">
        <v>3343</v>
      </c>
      <c r="B4514" s="2" t="s">
        <v>546</v>
      </c>
      <c r="C4514" s="2">
        <v>665.03309999999999</v>
      </c>
      <c r="D4514" s="2">
        <f>HYPERLINK("http://mcb-m6.bioreg.kyushu-u.ac.jp/M3/20110502/F51177/1338/2", 79.88)</f>
        <v>79.88</v>
      </c>
      <c r="E4514" s="2">
        <v>55.84</v>
      </c>
      <c r="F4514" s="2">
        <v>2</v>
      </c>
      <c r="G4514" s="2" t="s">
        <v>14</v>
      </c>
    </row>
    <row r="4515" spans="1:8" x14ac:dyDescent="0.2">
      <c r="A4515" s="2" t="s">
        <v>3343</v>
      </c>
      <c r="B4515" s="2" t="s">
        <v>325</v>
      </c>
      <c r="C4515" s="2">
        <v>747.60770000000002</v>
      </c>
      <c r="D4515" s="2">
        <f>HYPERLINK("http://mcb-m6.bioreg.kyushu-u.ac.jp/M3/20110502/F51182/1945/1", 79.93)</f>
        <v>79.930000000000007</v>
      </c>
      <c r="E4515" s="2">
        <v>61.34</v>
      </c>
      <c r="F4515" s="2">
        <v>2</v>
      </c>
      <c r="G4515" s="2" t="s">
        <v>14</v>
      </c>
      <c r="H4515" s="2" t="s">
        <v>4925</v>
      </c>
    </row>
    <row r="4516" spans="1:8" x14ac:dyDescent="0.2">
      <c r="A4516" s="2" t="s">
        <v>3343</v>
      </c>
      <c r="B4516" s="2" t="s">
        <v>325</v>
      </c>
      <c r="C4516" s="2">
        <v>1493.953</v>
      </c>
      <c r="D4516" s="2">
        <f>HYPERLINK("http://mcb-m6.bioreg.kyushu-u.ac.jp/M3/20110502/F51182/1944/1", 80.02)</f>
        <v>80.02</v>
      </c>
      <c r="E4516" s="2">
        <v>63.66</v>
      </c>
      <c r="F4516" s="2">
        <v>1</v>
      </c>
      <c r="G4516" s="2" t="s">
        <v>14</v>
      </c>
      <c r="H4516" s="2" t="s">
        <v>4925</v>
      </c>
    </row>
    <row r="4517" spans="1:8" x14ac:dyDescent="0.2">
      <c r="A4517" s="2" t="s">
        <v>3343</v>
      </c>
      <c r="B4517" s="2" t="s">
        <v>1002</v>
      </c>
      <c r="C4517" s="2">
        <v>1147.8979999999999</v>
      </c>
      <c r="D4517" s="2">
        <f>HYPERLINK("http://mcb-m6.bioreg.kyushu-u.ac.jp/M3/20110502/F51182/3622/1", 80.53)</f>
        <v>80.53</v>
      </c>
      <c r="E4517" s="2">
        <v>61.87</v>
      </c>
      <c r="F4517" s="2">
        <v>2</v>
      </c>
      <c r="G4517" s="2" t="s">
        <v>14</v>
      </c>
    </row>
    <row r="4518" spans="1:8" x14ac:dyDescent="0.2">
      <c r="A4518" s="2" t="s">
        <v>3343</v>
      </c>
      <c r="B4518" s="2" t="s">
        <v>1002</v>
      </c>
      <c r="C4518" s="2">
        <v>1147.905</v>
      </c>
      <c r="D4518" s="2">
        <f>HYPERLINK("http://mcb-m6.bioreg.kyushu-u.ac.jp/M3/20110502/F51182/3623/1", 81.26)</f>
        <v>81.260000000000005</v>
      </c>
      <c r="E4518" s="2">
        <v>66.81</v>
      </c>
      <c r="F4518" s="2">
        <v>2</v>
      </c>
      <c r="G4518" s="2" t="s">
        <v>14</v>
      </c>
    </row>
    <row r="4519" spans="1:8" x14ac:dyDescent="0.2">
      <c r="A4519" s="2" t="s">
        <v>3343</v>
      </c>
      <c r="B4519" s="2" t="s">
        <v>1189</v>
      </c>
      <c r="C4519" s="2">
        <v>1070.0229999999999</v>
      </c>
      <c r="D4519" s="2">
        <f>HYPERLINK("http://mcb-m6.bioreg.kyushu-u.ac.jp/M3/20110502/F51183/3289/1", 81.37)</f>
        <v>81.37</v>
      </c>
      <c r="E4519" s="2">
        <v>57.51</v>
      </c>
      <c r="F4519" s="2">
        <v>2</v>
      </c>
      <c r="G4519" s="2" t="s">
        <v>14</v>
      </c>
    </row>
    <row r="4520" spans="1:8" x14ac:dyDescent="0.2">
      <c r="A4520" s="2" t="s">
        <v>3343</v>
      </c>
      <c r="B4520" s="2" t="s">
        <v>132</v>
      </c>
      <c r="C4520" s="2">
        <v>578.53520000000003</v>
      </c>
      <c r="D4520" s="2">
        <f>HYPERLINK("http://mcb-m6.bioreg.kyushu-u.ac.jp/M3/20110502/F51179/946/1", 81.81)</f>
        <v>81.81</v>
      </c>
      <c r="E4520" s="2">
        <v>49.1</v>
      </c>
      <c r="F4520" s="2">
        <v>2</v>
      </c>
      <c r="G4520" s="2" t="s">
        <v>14</v>
      </c>
    </row>
    <row r="4521" spans="1:8" x14ac:dyDescent="0.2">
      <c r="A4521" s="2" t="s">
        <v>3343</v>
      </c>
      <c r="B4521" s="2" t="s">
        <v>344</v>
      </c>
      <c r="C4521" s="2">
        <v>919.78610000000003</v>
      </c>
      <c r="D4521" s="2">
        <f>HYPERLINK("http://mcb-m6.bioreg.kyushu-u.ac.jp/M3/20110502/F51182/2891/1", 82.05)</f>
        <v>82.05</v>
      </c>
      <c r="E4521" s="2">
        <v>37.9</v>
      </c>
      <c r="F4521" s="2">
        <v>2</v>
      </c>
      <c r="G4521" s="2" t="s">
        <v>14</v>
      </c>
    </row>
    <row r="4522" spans="1:8" x14ac:dyDescent="0.2">
      <c r="A4522" s="2" t="s">
        <v>3343</v>
      </c>
      <c r="B4522" s="2" t="s">
        <v>344</v>
      </c>
      <c r="C4522" s="2">
        <v>919.96510000000001</v>
      </c>
      <c r="D4522" s="2">
        <f>HYPERLINK("http://mcb-m6.bioreg.kyushu-u.ac.jp/M3/20110502/F51181/2596/1", 82.11)</f>
        <v>82.11</v>
      </c>
      <c r="E4522" s="2">
        <v>51.3</v>
      </c>
      <c r="F4522" s="2">
        <v>2</v>
      </c>
      <c r="G4522" s="2" t="s">
        <v>14</v>
      </c>
    </row>
    <row r="4523" spans="1:8" x14ac:dyDescent="0.2">
      <c r="A4523" s="2" t="s">
        <v>3343</v>
      </c>
      <c r="B4523" s="2" t="s">
        <v>325</v>
      </c>
      <c r="C4523" s="2">
        <v>739.6617</v>
      </c>
      <c r="D4523" s="2">
        <f>HYPERLINK("http://mcb-m6.bioreg.kyushu-u.ac.jp/M3/20110502/F51182/1876/1", 82.37)</f>
        <v>82.37</v>
      </c>
      <c r="E4523" s="2">
        <v>63.7</v>
      </c>
      <c r="F4523" s="2">
        <v>2</v>
      </c>
      <c r="G4523" s="2" t="s">
        <v>14</v>
      </c>
    </row>
    <row r="4524" spans="1:8" x14ac:dyDescent="0.2">
      <c r="A4524" s="2" t="s">
        <v>3343</v>
      </c>
      <c r="B4524" s="2" t="s">
        <v>344</v>
      </c>
      <c r="C4524" s="2">
        <v>919.77670000000001</v>
      </c>
      <c r="D4524" s="2">
        <f>HYPERLINK("http://mcb-m6.bioreg.kyushu-u.ac.jp/M3/20110502/F51182/2890/1", 84.44)</f>
        <v>84.44</v>
      </c>
      <c r="E4524" s="2">
        <v>48.21</v>
      </c>
      <c r="F4524" s="2">
        <v>2</v>
      </c>
      <c r="G4524" s="2" t="s">
        <v>14</v>
      </c>
    </row>
    <row r="4525" spans="1:8" x14ac:dyDescent="0.2">
      <c r="A4525" s="2" t="s">
        <v>3343</v>
      </c>
      <c r="B4525" s="2" t="s">
        <v>344</v>
      </c>
      <c r="C4525" s="2">
        <v>919.70420000000001</v>
      </c>
      <c r="D4525" s="2">
        <f>HYPERLINK("http://mcb-m6.bioreg.kyushu-u.ac.jp/M3/20110502/F51177/2827/1", 84.68)</f>
        <v>84.68</v>
      </c>
      <c r="E4525" s="2">
        <v>58.09</v>
      </c>
      <c r="F4525" s="2">
        <v>2</v>
      </c>
      <c r="G4525" s="2" t="s">
        <v>14</v>
      </c>
    </row>
    <row r="4526" spans="1:8" x14ac:dyDescent="0.2">
      <c r="A4526" s="2" t="s">
        <v>3343</v>
      </c>
      <c r="B4526" s="2" t="s">
        <v>546</v>
      </c>
      <c r="C4526" s="2">
        <v>665.15869999999995</v>
      </c>
      <c r="D4526" s="2">
        <f>HYPERLINK("http://mcb-m6.bioreg.kyushu-u.ac.jp/M3/20110502/F51182/1367/2", 88.17)</f>
        <v>88.17</v>
      </c>
      <c r="E4526" s="2">
        <v>60.43</v>
      </c>
      <c r="F4526" s="2">
        <v>2</v>
      </c>
      <c r="G4526" s="2" t="s">
        <v>14</v>
      </c>
    </row>
    <row r="4527" spans="1:8" x14ac:dyDescent="0.2">
      <c r="A4527" s="2" t="s">
        <v>3343</v>
      </c>
      <c r="B4527" s="2" t="s">
        <v>132</v>
      </c>
      <c r="C4527" s="2">
        <v>578.47609999999997</v>
      </c>
      <c r="D4527" s="2">
        <f>HYPERLINK("http://mcb-m6.bioreg.kyushu-u.ac.jp/M3/20110502/F51176/1639/1", 88.8)</f>
        <v>88.8</v>
      </c>
      <c r="E4527" s="2">
        <v>51.69</v>
      </c>
      <c r="F4527" s="2">
        <v>2</v>
      </c>
      <c r="G4527" s="2" t="s">
        <v>14</v>
      </c>
    </row>
    <row r="4528" spans="1:8" x14ac:dyDescent="0.2">
      <c r="A4528" s="2" t="s">
        <v>3343</v>
      </c>
      <c r="B4528" s="2" t="s">
        <v>344</v>
      </c>
      <c r="C4528" s="2">
        <v>919.49019999999996</v>
      </c>
      <c r="D4528" s="2">
        <f>HYPERLINK("http://mcb-m6.bioreg.kyushu-u.ac.jp/M3/20110502/F51182/2885/1", 89.7)</f>
        <v>89.7</v>
      </c>
      <c r="E4528" s="2">
        <v>56.15</v>
      </c>
      <c r="F4528" s="2">
        <v>2</v>
      </c>
      <c r="G4528" s="2" t="s">
        <v>14</v>
      </c>
    </row>
    <row r="4529" spans="1:8" x14ac:dyDescent="0.2">
      <c r="A4529" s="2" t="s">
        <v>3343</v>
      </c>
      <c r="B4529" s="2" t="s">
        <v>1189</v>
      </c>
      <c r="C4529" s="2">
        <v>1069.6859999999999</v>
      </c>
      <c r="D4529" s="2">
        <f>HYPERLINK("http://mcb-m6.bioreg.kyushu-u.ac.jp/M3/20110502/F51177/3380/1", 90.17)</f>
        <v>90.17</v>
      </c>
      <c r="E4529" s="2">
        <v>75.59</v>
      </c>
      <c r="F4529" s="2">
        <v>2</v>
      </c>
      <c r="G4529" s="2" t="s">
        <v>14</v>
      </c>
    </row>
    <row r="4530" spans="1:8" x14ac:dyDescent="0.2">
      <c r="A4530" s="2" t="s">
        <v>3343</v>
      </c>
      <c r="B4530" s="2" t="s">
        <v>1189</v>
      </c>
      <c r="C4530" s="2">
        <v>1069.8050000000001</v>
      </c>
      <c r="D4530" s="2">
        <f>HYPERLINK("http://mcb-m6.bioreg.kyushu-u.ac.jp/M3/20110502/F51182/3321/1", 91.44)</f>
        <v>91.44</v>
      </c>
      <c r="E4530" s="2">
        <v>71.739999999999995</v>
      </c>
      <c r="F4530" s="2">
        <v>2</v>
      </c>
      <c r="G4530" s="2" t="s">
        <v>14</v>
      </c>
    </row>
    <row r="4531" spans="1:8" x14ac:dyDescent="0.2">
      <c r="A4531" s="2" t="s">
        <v>3343</v>
      </c>
      <c r="B4531" s="2" t="s">
        <v>325</v>
      </c>
      <c r="C4531" s="2">
        <v>747.68820000000005</v>
      </c>
      <c r="D4531" s="2">
        <f>HYPERLINK("http://mcb-m6.bioreg.kyushu-u.ac.jp/M3/20110502/F51182/1949/1", 92.81)</f>
        <v>92.81</v>
      </c>
      <c r="E4531" s="2">
        <v>75.05</v>
      </c>
      <c r="F4531" s="2">
        <v>2</v>
      </c>
      <c r="G4531" s="2" t="s">
        <v>14</v>
      </c>
      <c r="H4531" s="2" t="s">
        <v>4925</v>
      </c>
    </row>
    <row r="4532" spans="1:8" x14ac:dyDescent="0.2">
      <c r="A4532" s="2" t="s">
        <v>3343</v>
      </c>
      <c r="B4532" s="2" t="s">
        <v>325</v>
      </c>
      <c r="C4532" s="2">
        <v>739.90170000000001</v>
      </c>
      <c r="D4532" s="2">
        <f>HYPERLINK("http://mcb-m6.bioreg.kyushu-u.ac.jp/M3/20110502/F51182/1884/1", 93.55)</f>
        <v>93.55</v>
      </c>
      <c r="E4532" s="2">
        <v>74.73</v>
      </c>
      <c r="F4532" s="2">
        <v>2</v>
      </c>
      <c r="G4532" s="2" t="s">
        <v>14</v>
      </c>
    </row>
    <row r="4533" spans="1:8" x14ac:dyDescent="0.2">
      <c r="A4533" s="2" t="s">
        <v>3343</v>
      </c>
      <c r="B4533" s="2" t="s">
        <v>1002</v>
      </c>
      <c r="C4533" s="2">
        <v>1147.779</v>
      </c>
      <c r="D4533" s="2">
        <f>HYPERLINK("http://mcb-m6.bioreg.kyushu-u.ac.jp/M3/20110502/F51181/3125/1", 97.39)</f>
        <v>97.39</v>
      </c>
      <c r="E4533" s="2">
        <v>80.27</v>
      </c>
      <c r="F4533" s="2">
        <v>2</v>
      </c>
      <c r="G4533" s="2" t="s">
        <v>14</v>
      </c>
    </row>
    <row r="4534" spans="1:8" x14ac:dyDescent="0.2">
      <c r="A4534" s="2" t="s">
        <v>3343</v>
      </c>
      <c r="B4534" s="2" t="s">
        <v>1032</v>
      </c>
      <c r="C4534" s="2">
        <v>1164.1500000000001</v>
      </c>
      <c r="D4534" s="2">
        <f>HYPERLINK("http://mcb-m6.bioreg.kyushu-u.ac.jp/M3/20110502/F51182/3722/1", 100.66)</f>
        <v>100.66</v>
      </c>
      <c r="E4534" s="2">
        <v>80.66</v>
      </c>
      <c r="F4534" s="2">
        <v>2</v>
      </c>
      <c r="G4534" s="2" t="s">
        <v>14</v>
      </c>
    </row>
    <row r="4535" spans="1:8" x14ac:dyDescent="0.2">
      <c r="A4535" s="2" t="s">
        <v>3343</v>
      </c>
      <c r="B4535" s="2" t="s">
        <v>1189</v>
      </c>
      <c r="C4535" s="2">
        <v>1069.8209999999999</v>
      </c>
      <c r="D4535" s="2">
        <f>HYPERLINK("http://mcb-m6.bioreg.kyushu-u.ac.jp/M3/20110502/F51182/3322/1", 102.19)</f>
        <v>102.19</v>
      </c>
      <c r="E4535" s="2">
        <v>71.760000000000005</v>
      </c>
      <c r="F4535" s="2">
        <v>2</v>
      </c>
      <c r="G4535" s="2" t="s">
        <v>14</v>
      </c>
    </row>
    <row r="4536" spans="1:8" x14ac:dyDescent="0.2">
      <c r="A4536" s="2" t="s">
        <v>3343</v>
      </c>
      <c r="B4536" s="2" t="s">
        <v>1032</v>
      </c>
      <c r="C4536" s="2">
        <v>1164.107</v>
      </c>
      <c r="D4536" s="2">
        <f>HYPERLINK("http://mcb-m6.bioreg.kyushu-u.ac.jp/M3/20110502/F51182/3721/1", 107.3)</f>
        <v>107.3</v>
      </c>
      <c r="E4536" s="2">
        <v>83.84</v>
      </c>
      <c r="F4536" s="2">
        <v>2</v>
      </c>
      <c r="G4536" s="2" t="s">
        <v>14</v>
      </c>
    </row>
    <row r="4537" spans="1:8" x14ac:dyDescent="0.2">
      <c r="A4537" s="2" t="s">
        <v>3343</v>
      </c>
      <c r="B4537" s="2" t="s">
        <v>325</v>
      </c>
      <c r="C4537" s="2">
        <v>739.66470000000004</v>
      </c>
      <c r="D4537" s="2">
        <f>HYPERLINK("http://mcb-m6.bioreg.kyushu-u.ac.jp/M3/20110502/F51182/1877/1", 107.5)</f>
        <v>107.5</v>
      </c>
      <c r="E4537" s="2">
        <v>89.55</v>
      </c>
      <c r="F4537" s="2">
        <v>2</v>
      </c>
      <c r="G4537" s="2" t="s">
        <v>14</v>
      </c>
    </row>
    <row r="4538" spans="1:8" x14ac:dyDescent="0.2">
      <c r="A4538" s="2" t="s">
        <v>3343</v>
      </c>
      <c r="B4538" s="2" t="s">
        <v>1189</v>
      </c>
      <c r="C4538" s="2">
        <v>1069.7950000000001</v>
      </c>
      <c r="D4538" s="2">
        <f>HYPERLINK("http://mcb-m6.bioreg.kyushu-u.ac.jp/M3/20110502/F51181/2936/1", 110.34)</f>
        <v>110.34</v>
      </c>
      <c r="E4538" s="2">
        <v>91.37</v>
      </c>
      <c r="F4538" s="2">
        <v>2</v>
      </c>
      <c r="G4538" s="2" t="s">
        <v>14</v>
      </c>
    </row>
    <row r="4539" spans="1:8" x14ac:dyDescent="0.2">
      <c r="A4539" s="2" t="s">
        <v>3343</v>
      </c>
      <c r="B4539" s="2" t="s">
        <v>1032</v>
      </c>
      <c r="C4539" s="2">
        <v>1163.7429999999999</v>
      </c>
      <c r="D4539" s="2">
        <f>HYPERLINK("http://mcb-m6.bioreg.kyushu-u.ac.jp/M3/20110502/F51191/3155/1", 112.98)</f>
        <v>112.98</v>
      </c>
      <c r="E4539" s="2">
        <v>94.58</v>
      </c>
      <c r="F4539" s="2">
        <v>2</v>
      </c>
      <c r="G4539" s="2" t="s">
        <v>14</v>
      </c>
    </row>
    <row r="4540" spans="1:8" x14ac:dyDescent="0.2">
      <c r="A4540" s="2" t="s">
        <v>3343</v>
      </c>
      <c r="B4540" s="2" t="s">
        <v>1032</v>
      </c>
      <c r="C4540" s="2">
        <v>1163.8040000000001</v>
      </c>
      <c r="D4540" s="2">
        <f>HYPERLINK("http://mcb-m6.bioreg.kyushu-u.ac.jp/M3/20110502/F51181/3172/1", 116.72)</f>
        <v>116.72</v>
      </c>
      <c r="E4540" s="2">
        <v>103.89</v>
      </c>
      <c r="F4540" s="2">
        <v>2</v>
      </c>
      <c r="G4540" s="2" t="s">
        <v>14</v>
      </c>
    </row>
    <row r="4541" spans="1:8" x14ac:dyDescent="0.2">
      <c r="A4541" s="2" t="s">
        <v>3343</v>
      </c>
      <c r="B4541" s="2" t="s">
        <v>1211</v>
      </c>
      <c r="C4541" s="2">
        <v>1161.377</v>
      </c>
      <c r="D4541" s="2">
        <f>HYPERLINK("http://mcb-m6.bioreg.kyushu-u.ac.jp/M3/20110502/F51182/3696/1", 121.33)</f>
        <v>121.33</v>
      </c>
      <c r="E4541" s="2">
        <v>85.22</v>
      </c>
      <c r="F4541" s="2">
        <v>2</v>
      </c>
      <c r="G4541" s="2" t="s">
        <v>14</v>
      </c>
      <c r="H4541" s="2" t="s">
        <v>4891</v>
      </c>
    </row>
    <row r="4542" spans="1:8" x14ac:dyDescent="0.2">
      <c r="A4542" s="2" t="s">
        <v>3343</v>
      </c>
      <c r="B4542" s="2" t="s">
        <v>1189</v>
      </c>
      <c r="C4542" s="2">
        <v>1069.83</v>
      </c>
      <c r="D4542" s="2">
        <f>HYPERLINK("http://mcb-m6.bioreg.kyushu-u.ac.jp/M3/20110502/F51182/3323/1", 132.15)</f>
        <v>132.15</v>
      </c>
      <c r="E4542" s="2">
        <v>98.98</v>
      </c>
      <c r="F4542" s="2">
        <v>2</v>
      </c>
      <c r="G4542" s="2" t="s">
        <v>14</v>
      </c>
    </row>
    <row r="4543" spans="1:8" x14ac:dyDescent="0.2">
      <c r="A4543" s="2" t="s">
        <v>4583</v>
      </c>
      <c r="B4543" s="2" t="s">
        <v>2640</v>
      </c>
      <c r="C4543" s="2">
        <v>730.45100000000002</v>
      </c>
      <c r="D4543" s="2">
        <f>HYPERLINK("http://mcb-m6.bioreg.kyushu-u.ac.jp/M3/20110414/F50946/578/1", 45.69)</f>
        <v>45.69</v>
      </c>
      <c r="E4543" s="2">
        <v>6.79</v>
      </c>
      <c r="F4543" s="2">
        <v>1</v>
      </c>
      <c r="G4543" s="2" t="s">
        <v>12</v>
      </c>
    </row>
    <row r="4544" spans="1:8" x14ac:dyDescent="0.2">
      <c r="A4544" s="2" t="s">
        <v>4583</v>
      </c>
      <c r="B4544" s="2" t="s">
        <v>2640</v>
      </c>
      <c r="C4544" s="2">
        <v>730.76400000000001</v>
      </c>
      <c r="D4544" s="2">
        <f>HYPERLINK("http://mcb-m6.bioreg.kyushu-u.ac.jp/M3/20110502/F51180/396/1", 45.74)</f>
        <v>45.74</v>
      </c>
      <c r="E4544" s="2">
        <v>6.36</v>
      </c>
      <c r="F4544" s="2">
        <v>1</v>
      </c>
      <c r="G4544" s="2" t="s">
        <v>13</v>
      </c>
    </row>
    <row r="4545" spans="1:7" x14ac:dyDescent="0.2">
      <c r="A4545" s="2" t="s">
        <v>4050</v>
      </c>
      <c r="B4545" s="2" t="s">
        <v>1399</v>
      </c>
      <c r="C4545" s="2">
        <v>686.56209999999999</v>
      </c>
      <c r="D4545" s="2">
        <f>HYPERLINK("http://mcb-m6.bioreg.kyushu-u.ac.jp/M3/20110411/F50903/1770/1", 77.91)</f>
        <v>77.91</v>
      </c>
      <c r="E4545" s="2">
        <v>30.63</v>
      </c>
      <c r="F4545" s="2">
        <v>2</v>
      </c>
      <c r="G4545" s="2" t="s">
        <v>9</v>
      </c>
    </row>
    <row r="4546" spans="1:7" x14ac:dyDescent="0.2">
      <c r="A4546" s="2" t="s">
        <v>3771</v>
      </c>
      <c r="B4546" s="2" t="s">
        <v>794</v>
      </c>
      <c r="C4546" s="2">
        <v>930.78560000000004</v>
      </c>
      <c r="D4546" s="2">
        <f>HYPERLINK("http://mcb-m6.bioreg.kyushu-u.ac.jp/M3/20110411/F50904/2892/1", 51.53)</f>
        <v>51.53</v>
      </c>
      <c r="E4546" s="2">
        <v>5.58</v>
      </c>
      <c r="F4546" s="2">
        <v>2</v>
      </c>
      <c r="G4546" s="2" t="s">
        <v>9</v>
      </c>
    </row>
    <row r="4547" spans="1:7" x14ac:dyDescent="0.2">
      <c r="A4547" s="2" t="s">
        <v>3771</v>
      </c>
      <c r="B4547" s="2" t="s">
        <v>794</v>
      </c>
      <c r="C4547" s="2">
        <v>930.58810000000005</v>
      </c>
      <c r="D4547" s="2">
        <f>HYPERLINK("http://mcb-m6.bioreg.kyushu-u.ac.jp/M3/20110411/F50912/2906/1", 72.07)</f>
        <v>72.069999999999993</v>
      </c>
      <c r="E4547" s="2">
        <v>24.43</v>
      </c>
      <c r="F4547" s="2">
        <v>2</v>
      </c>
      <c r="G4547" s="2" t="s">
        <v>10</v>
      </c>
    </row>
    <row r="4548" spans="1:7" x14ac:dyDescent="0.2">
      <c r="A4548" s="2" t="s">
        <v>3771</v>
      </c>
      <c r="B4548" s="2" t="s">
        <v>794</v>
      </c>
      <c r="C4548" s="2">
        <v>931.02120000000002</v>
      </c>
      <c r="D4548" s="2">
        <f>HYPERLINK("http://mcb-m6.bioreg.kyushu-u.ac.jp/M3/20110414/F50947/3088/1", 61.78)</f>
        <v>61.78</v>
      </c>
      <c r="E4548" s="2">
        <v>6.93</v>
      </c>
      <c r="F4548" s="2">
        <v>2</v>
      </c>
      <c r="G4548" s="2" t="s">
        <v>12</v>
      </c>
    </row>
    <row r="4549" spans="1:7" x14ac:dyDescent="0.2">
      <c r="A4549" s="2" t="s">
        <v>3771</v>
      </c>
      <c r="B4549" s="2" t="s">
        <v>794</v>
      </c>
      <c r="C4549" s="2">
        <v>930.37220000000002</v>
      </c>
      <c r="D4549" s="2">
        <f>HYPERLINK("http://mcb-m6.bioreg.kyushu-u.ac.jp/M3/20110414/F50947/3084/1", 88.4)</f>
        <v>88.4</v>
      </c>
      <c r="E4549" s="2">
        <v>44.64</v>
      </c>
      <c r="F4549" s="2">
        <v>2</v>
      </c>
      <c r="G4549" s="2" t="s">
        <v>12</v>
      </c>
    </row>
    <row r="4550" spans="1:7" x14ac:dyDescent="0.2">
      <c r="A4550" s="2" t="s">
        <v>4278</v>
      </c>
      <c r="B4550" s="2" t="s">
        <v>1957</v>
      </c>
      <c r="C4550" s="2">
        <v>468.98809999999997</v>
      </c>
      <c r="D4550" s="2">
        <f>HYPERLINK("http://mcb-m6.bioreg.kyushu-u.ac.jp/M3/20110411/F50912/973/1", 54.12)</f>
        <v>54.12</v>
      </c>
      <c r="E4550" s="2">
        <v>13.48</v>
      </c>
      <c r="F4550" s="2">
        <v>2</v>
      </c>
      <c r="G4550" s="2" t="s">
        <v>10</v>
      </c>
    </row>
    <row r="4551" spans="1:7" x14ac:dyDescent="0.2">
      <c r="A4551" s="2" t="s">
        <v>4056</v>
      </c>
      <c r="B4551" s="2" t="s">
        <v>1414</v>
      </c>
      <c r="C4551" s="2">
        <v>886.01670000000001</v>
      </c>
      <c r="D4551" s="2">
        <f>HYPERLINK("http://mcb-m6.bioreg.kyushu-u.ac.jp/M3/20110411/F50916/2626/1", 78.66)</f>
        <v>78.66</v>
      </c>
      <c r="E4551" s="2">
        <v>63.72</v>
      </c>
      <c r="F4551" s="2">
        <v>2</v>
      </c>
      <c r="G4551" s="2" t="s">
        <v>9</v>
      </c>
    </row>
    <row r="4552" spans="1:7" x14ac:dyDescent="0.2">
      <c r="A4552" s="2" t="s">
        <v>4056</v>
      </c>
      <c r="B4552" s="2" t="s">
        <v>1414</v>
      </c>
      <c r="C4552" s="2">
        <v>886.22559999999999</v>
      </c>
      <c r="D4552" s="2">
        <f>HYPERLINK("http://mcb-m6.bioreg.kyushu-u.ac.jp/M3/20110411/F50915/2754/1", 91.79)</f>
        <v>91.79</v>
      </c>
      <c r="E4552" s="2">
        <v>82.14</v>
      </c>
      <c r="F4552" s="2">
        <v>2</v>
      </c>
      <c r="G4552" s="2" t="s">
        <v>9</v>
      </c>
    </row>
    <row r="4553" spans="1:7" x14ac:dyDescent="0.2">
      <c r="A4553" s="2" t="s">
        <v>4056</v>
      </c>
      <c r="B4553" s="2" t="s">
        <v>1804</v>
      </c>
      <c r="C4553" s="2">
        <v>919.0616</v>
      </c>
      <c r="D4553" s="2">
        <f>HYPERLINK("http://mcb-m6.bioreg.kyushu-u.ac.jp/M3/20110411/F50918/2729/1", 40.32)</f>
        <v>40.32</v>
      </c>
      <c r="E4553" s="2">
        <v>28.08</v>
      </c>
      <c r="F4553" s="2">
        <v>2</v>
      </c>
      <c r="G4553" s="2" t="s">
        <v>10</v>
      </c>
    </row>
    <row r="4554" spans="1:7" x14ac:dyDescent="0.2">
      <c r="A4554" s="2" t="s">
        <v>4056</v>
      </c>
      <c r="B4554" s="2" t="s">
        <v>1965</v>
      </c>
      <c r="C4554" s="2">
        <v>802.45119999999997</v>
      </c>
      <c r="D4554" s="2">
        <f>HYPERLINK("http://mcb-m6.bioreg.kyushu-u.ac.jp/M3/20110411/F50918/2189/1", 54.94)</f>
        <v>54.94</v>
      </c>
      <c r="E4554" s="2">
        <v>30.98</v>
      </c>
      <c r="F4554" s="2">
        <v>2</v>
      </c>
      <c r="G4554" s="2" t="s">
        <v>10</v>
      </c>
    </row>
    <row r="4555" spans="1:7" x14ac:dyDescent="0.2">
      <c r="A4555" s="2" t="s">
        <v>4056</v>
      </c>
      <c r="B4555" s="2" t="s">
        <v>1414</v>
      </c>
      <c r="C4555" s="2">
        <v>886.18470000000002</v>
      </c>
      <c r="D4555" s="2">
        <f>HYPERLINK("http://mcb-m6.bioreg.kyushu-u.ac.jp/M3/20110411/F50918/2553/1", 87.94)</f>
        <v>87.94</v>
      </c>
      <c r="E4555" s="2">
        <v>65.87</v>
      </c>
      <c r="F4555" s="2">
        <v>2</v>
      </c>
      <c r="G4555" s="2" t="s">
        <v>10</v>
      </c>
    </row>
    <row r="4556" spans="1:7" x14ac:dyDescent="0.2">
      <c r="A4556" s="2" t="s">
        <v>4056</v>
      </c>
      <c r="B4556" s="2" t="s">
        <v>2698</v>
      </c>
      <c r="C4556" s="2">
        <v>854.90470000000005</v>
      </c>
      <c r="D4556" s="2">
        <f>HYPERLINK("http://mcb-m6.bioreg.kyushu-u.ac.jp/M3/20110414/F50958/2817/1", 55.96)</f>
        <v>55.96</v>
      </c>
      <c r="E4556" s="2">
        <v>41.72</v>
      </c>
      <c r="F4556" s="2">
        <v>2</v>
      </c>
      <c r="G4556" s="2" t="s">
        <v>12</v>
      </c>
    </row>
    <row r="4557" spans="1:7" x14ac:dyDescent="0.2">
      <c r="A4557" s="2" t="s">
        <v>4056</v>
      </c>
      <c r="B4557" s="2" t="s">
        <v>1414</v>
      </c>
      <c r="C4557" s="2">
        <v>885.98419999999999</v>
      </c>
      <c r="D4557" s="2">
        <f>HYPERLINK("http://mcb-m6.bioreg.kyushu-u.ac.jp/M3/20110502/F51189/2382/1", 91.5)</f>
        <v>91.5</v>
      </c>
      <c r="E4557" s="2">
        <v>75.819999999999993</v>
      </c>
      <c r="F4557" s="2">
        <v>2</v>
      </c>
      <c r="G4557" s="2" t="s">
        <v>13</v>
      </c>
    </row>
    <row r="4558" spans="1:7" x14ac:dyDescent="0.2">
      <c r="A4558" s="2" t="s">
        <v>4056</v>
      </c>
      <c r="B4558" s="2" t="s">
        <v>1414</v>
      </c>
      <c r="C4558" s="2">
        <v>886.16420000000005</v>
      </c>
      <c r="D4558" s="2">
        <f>HYPERLINK("http://mcb-m6.bioreg.kyushu-u.ac.jp/M3/20110502/F51193/2584/1", 90.68)</f>
        <v>90.68</v>
      </c>
      <c r="E4558" s="2">
        <v>72.12</v>
      </c>
      <c r="F4558" s="2">
        <v>2</v>
      </c>
      <c r="G4558" s="2" t="s">
        <v>14</v>
      </c>
    </row>
    <row r="4559" spans="1:7" x14ac:dyDescent="0.2">
      <c r="A4559" s="2" t="s">
        <v>4080</v>
      </c>
      <c r="B4559" s="2" t="s">
        <v>1489</v>
      </c>
      <c r="C4559" s="2">
        <v>513.39419999999996</v>
      </c>
      <c r="D4559" s="2">
        <f>HYPERLINK("http://mcb-m6.bioreg.kyushu-u.ac.jp/M3/20110411/F50904/1167/1", 85.97)</f>
        <v>85.97</v>
      </c>
      <c r="E4559" s="2">
        <v>52.43</v>
      </c>
      <c r="F4559" s="2">
        <v>2</v>
      </c>
      <c r="G4559" s="2" t="s">
        <v>9</v>
      </c>
    </row>
    <row r="4560" spans="1:7" x14ac:dyDescent="0.2">
      <c r="A4560" s="2" t="s">
        <v>4080</v>
      </c>
      <c r="B4560" s="2" t="s">
        <v>1811</v>
      </c>
      <c r="C4560" s="2">
        <v>458.03059999999999</v>
      </c>
      <c r="D4560" s="2">
        <f>HYPERLINK("http://mcb-m6.bioreg.kyushu-u.ac.jp/M3/20110411/F50912/918/1", 40.85)</f>
        <v>40.85</v>
      </c>
      <c r="E4560" s="2">
        <v>13.81</v>
      </c>
      <c r="F4560" s="2">
        <v>2</v>
      </c>
      <c r="G4560" s="2" t="s">
        <v>10</v>
      </c>
    </row>
    <row r="4561" spans="1:9" x14ac:dyDescent="0.2">
      <c r="A4561" s="2" t="s">
        <v>4080</v>
      </c>
      <c r="B4561" s="2" t="s">
        <v>1811</v>
      </c>
      <c r="C4561" s="2">
        <v>897.97500000000002</v>
      </c>
      <c r="D4561" s="2">
        <f>HYPERLINK("http://mcb-m6.bioreg.kyushu-u.ac.jp/M3/20110411/F50912/885/1", 46.17)</f>
        <v>46.17</v>
      </c>
      <c r="E4561" s="2">
        <v>14.64</v>
      </c>
      <c r="F4561" s="2">
        <v>1</v>
      </c>
      <c r="G4561" s="2" t="s">
        <v>10</v>
      </c>
      <c r="H4561" s="2" t="s">
        <v>4904</v>
      </c>
    </row>
    <row r="4562" spans="1:9" x14ac:dyDescent="0.2">
      <c r="A4562" s="2" t="s">
        <v>4080</v>
      </c>
      <c r="B4562" s="2" t="s">
        <v>1811</v>
      </c>
      <c r="C4562" s="2">
        <v>458.23410000000001</v>
      </c>
      <c r="D4562" s="2">
        <f>HYPERLINK("http://mcb-m6.bioreg.kyushu-u.ac.jp/M3/20110414/F50941/688/1", 45.06)</f>
        <v>45.06</v>
      </c>
      <c r="E4562" s="2">
        <v>3.03</v>
      </c>
      <c r="F4562" s="2">
        <v>2</v>
      </c>
      <c r="G4562" s="2" t="s">
        <v>11</v>
      </c>
    </row>
    <row r="4563" spans="1:9" x14ac:dyDescent="0.2">
      <c r="A4563" s="2" t="s">
        <v>4080</v>
      </c>
      <c r="B4563" s="2" t="s">
        <v>1811</v>
      </c>
      <c r="C4563" s="2">
        <v>897.50699999999995</v>
      </c>
      <c r="D4563" s="2">
        <f>HYPERLINK("http://mcb-m6.bioreg.kyushu-u.ac.jp/M3/20110414/F50947/584/1", 45.92)</f>
        <v>45.92</v>
      </c>
      <c r="E4563" s="2">
        <v>14.22</v>
      </c>
      <c r="F4563" s="2">
        <v>1</v>
      </c>
      <c r="G4563" s="2" t="s">
        <v>12</v>
      </c>
      <c r="H4563" s="2" t="s">
        <v>4904</v>
      </c>
    </row>
    <row r="4564" spans="1:9" x14ac:dyDescent="0.2">
      <c r="A4564" s="2" t="s">
        <v>4080</v>
      </c>
      <c r="B4564" s="2" t="s">
        <v>1811</v>
      </c>
      <c r="C4564" s="2">
        <v>897.80100000000004</v>
      </c>
      <c r="D4564" s="2">
        <f>HYPERLINK("http://mcb-m6.bioreg.kyushu-u.ac.jp/M3/20110502/F51179/424/1", 47.63)</f>
        <v>47.63</v>
      </c>
      <c r="E4564" s="2">
        <v>16.190000000000001</v>
      </c>
      <c r="F4564" s="2">
        <v>1</v>
      </c>
      <c r="G4564" s="2" t="s">
        <v>14</v>
      </c>
      <c r="H4564" s="2" t="s">
        <v>4904</v>
      </c>
    </row>
    <row r="4565" spans="1:9" x14ac:dyDescent="0.2">
      <c r="A4565" s="2" t="s">
        <v>4080</v>
      </c>
      <c r="B4565" s="2" t="s">
        <v>1489</v>
      </c>
      <c r="C4565" s="2">
        <v>513.35469999999998</v>
      </c>
      <c r="D4565" s="2">
        <f>HYPERLINK("http://mcb-m6.bioreg.kyushu-u.ac.jp/M3/20110502/F51179/666/1", 51.23)</f>
        <v>51.23</v>
      </c>
      <c r="E4565" s="2">
        <v>26.53</v>
      </c>
      <c r="F4565" s="2">
        <v>2</v>
      </c>
      <c r="G4565" s="2" t="s">
        <v>14</v>
      </c>
    </row>
    <row r="4566" spans="1:9" x14ac:dyDescent="0.2">
      <c r="A4566" s="2" t="s">
        <v>4080</v>
      </c>
      <c r="B4566" s="2" t="s">
        <v>1489</v>
      </c>
      <c r="C4566" s="2">
        <v>513.43769999999995</v>
      </c>
      <c r="D4566" s="2">
        <f>HYPERLINK("http://mcb-m6.bioreg.kyushu-u.ac.jp/M3/20110502/F51191/802/1", 75.18)</f>
        <v>75.180000000000007</v>
      </c>
      <c r="E4566" s="2">
        <v>40.98</v>
      </c>
      <c r="F4566" s="2">
        <v>2</v>
      </c>
      <c r="G4566" s="2" t="s">
        <v>14</v>
      </c>
    </row>
    <row r="4567" spans="1:9" x14ac:dyDescent="0.2">
      <c r="A4567" s="2" t="s">
        <v>3600</v>
      </c>
      <c r="B4567" s="2" t="s">
        <v>492</v>
      </c>
      <c r="C4567" s="2">
        <v>561.00620000000004</v>
      </c>
      <c r="D4567" s="2">
        <f>HYPERLINK("http://mcb-m6.bioreg.kyushu-u.ac.jp/M3/20110411/F50904/1307/1", 43.1)</f>
        <v>43.1</v>
      </c>
      <c r="E4567" s="2">
        <v>23.99</v>
      </c>
      <c r="F4567" s="2">
        <v>2</v>
      </c>
      <c r="G4567" s="2" t="s">
        <v>9</v>
      </c>
    </row>
    <row r="4568" spans="1:9" x14ac:dyDescent="0.2">
      <c r="A4568" s="2" t="s">
        <v>3600</v>
      </c>
      <c r="B4568" s="2" t="s">
        <v>1827</v>
      </c>
      <c r="C4568" s="2">
        <v>870.85199999999998</v>
      </c>
      <c r="D4568" s="2">
        <f>HYPERLINK("http://mcb-m6.bioreg.kyushu-u.ac.jp/M3/20110411/F50912/874/1", 41.51)</f>
        <v>41.51</v>
      </c>
      <c r="E4568" s="2">
        <v>13.46</v>
      </c>
      <c r="F4568" s="2">
        <v>1</v>
      </c>
      <c r="G4568" s="2" t="s">
        <v>10</v>
      </c>
    </row>
    <row r="4569" spans="1:9" x14ac:dyDescent="0.2">
      <c r="A4569" s="2" t="s">
        <v>3600</v>
      </c>
      <c r="B4569" s="2" t="s">
        <v>1827</v>
      </c>
      <c r="C4569" s="2">
        <v>854.42600000000004</v>
      </c>
      <c r="D4569" s="2">
        <f>HYPERLINK("http://mcb-m6.bioreg.kyushu-u.ac.jp/M3/20110414/F50941/636/1", 37.15)</f>
        <v>37.15</v>
      </c>
      <c r="E4569" s="2">
        <v>18.809999999999999</v>
      </c>
      <c r="F4569" s="2">
        <v>1</v>
      </c>
      <c r="G4569" s="2" t="s">
        <v>11</v>
      </c>
      <c r="H4569" s="2" t="s">
        <v>4904</v>
      </c>
    </row>
    <row r="4570" spans="1:9" x14ac:dyDescent="0.2">
      <c r="A4570" s="2" t="s">
        <v>3600</v>
      </c>
      <c r="B4570" s="2" t="s">
        <v>1827</v>
      </c>
      <c r="C4570" s="2">
        <v>870.53</v>
      </c>
      <c r="D4570" s="2">
        <f>HYPERLINK("http://mcb-m6.bioreg.kyushu-u.ac.jp/M3/20110414/F50941/644/1", 40.31)</f>
        <v>40.31</v>
      </c>
      <c r="E4570" s="2">
        <v>10.68</v>
      </c>
      <c r="F4570" s="2">
        <v>1</v>
      </c>
      <c r="G4570" s="2" t="s">
        <v>11</v>
      </c>
    </row>
    <row r="4571" spans="1:9" x14ac:dyDescent="0.2">
      <c r="A4571" s="2" t="s">
        <v>3798</v>
      </c>
      <c r="B4571" s="2" t="s">
        <v>846</v>
      </c>
      <c r="C4571" s="2">
        <v>684.83069999999998</v>
      </c>
      <c r="D4571" s="2">
        <f>HYPERLINK("http://mcb-m6.bioreg.kyushu-u.ac.jp/M3/20110411/F50905/1721/1", 53.23)</f>
        <v>53.23</v>
      </c>
      <c r="E4571" s="2">
        <v>27.88</v>
      </c>
      <c r="F4571" s="2">
        <v>2</v>
      </c>
      <c r="G4571" s="2" t="s">
        <v>9</v>
      </c>
      <c r="I4571" s="2" t="s">
        <v>4923</v>
      </c>
    </row>
    <row r="4572" spans="1:9" x14ac:dyDescent="0.2">
      <c r="A4572" s="2" t="s">
        <v>4778</v>
      </c>
      <c r="B4572" s="2" t="s">
        <v>3007</v>
      </c>
      <c r="C4572" s="2">
        <v>697.81669999999997</v>
      </c>
      <c r="D4572" s="2">
        <f>HYPERLINK("http://mcb-m6.bioreg.kyushu-u.ac.jp/M3/20110502/F51183/1664/1", 37.48)</f>
        <v>37.479999999999997</v>
      </c>
      <c r="E4572" s="2">
        <v>15.28</v>
      </c>
      <c r="F4572" s="2">
        <v>2</v>
      </c>
      <c r="G4572" s="2" t="s">
        <v>14</v>
      </c>
    </row>
    <row r="4573" spans="1:9" x14ac:dyDescent="0.2">
      <c r="A4573" s="2" t="s">
        <v>4277</v>
      </c>
      <c r="B4573" s="2" t="s">
        <v>1954</v>
      </c>
      <c r="C4573" s="2">
        <v>487.22609999999997</v>
      </c>
      <c r="D4573" s="2">
        <f>HYPERLINK("http://mcb-m6.bioreg.kyushu-u.ac.jp/M3/20110411/F50913/978/1", 53.95)</f>
        <v>53.95</v>
      </c>
      <c r="E4573" s="2">
        <v>15.13</v>
      </c>
      <c r="F4573" s="2">
        <v>2</v>
      </c>
      <c r="G4573" s="2" t="s">
        <v>10</v>
      </c>
    </row>
    <row r="4574" spans="1:9" x14ac:dyDescent="0.2">
      <c r="A4574" s="2" t="s">
        <v>3910</v>
      </c>
      <c r="B4574" s="2" t="s">
        <v>1077</v>
      </c>
      <c r="C4574" s="2">
        <v>700.57460000000003</v>
      </c>
      <c r="D4574" s="2">
        <f>HYPERLINK("http://mcb-m6.bioreg.kyushu-u.ac.jp/M3/20110411/F50905/1814/1", 61.9)</f>
        <v>61.9</v>
      </c>
      <c r="E4574" s="2">
        <v>46.06</v>
      </c>
      <c r="F4574" s="2">
        <v>2</v>
      </c>
      <c r="G4574" s="2" t="s">
        <v>9</v>
      </c>
    </row>
    <row r="4575" spans="1:9" x14ac:dyDescent="0.2">
      <c r="A4575" s="2" t="s">
        <v>3910</v>
      </c>
      <c r="B4575" s="2" t="s">
        <v>1077</v>
      </c>
      <c r="C4575" s="2">
        <v>700.53420000000006</v>
      </c>
      <c r="D4575" s="2">
        <f>HYPERLINK("http://mcb-m6.bioreg.kyushu-u.ac.jp/M3/20110411/F50913/1819/1", 62.44)</f>
        <v>62.44</v>
      </c>
      <c r="E4575" s="2">
        <v>44.94</v>
      </c>
      <c r="F4575" s="2">
        <v>2</v>
      </c>
      <c r="G4575" s="2" t="s">
        <v>10</v>
      </c>
    </row>
    <row r="4576" spans="1:9" x14ac:dyDescent="0.2">
      <c r="A4576" s="2" t="s">
        <v>4079</v>
      </c>
      <c r="B4576" s="2" t="s">
        <v>1487</v>
      </c>
      <c r="C4576" s="2">
        <v>654.01210000000003</v>
      </c>
      <c r="D4576" s="2">
        <f>HYPERLINK("http://mcb-m6.bioreg.kyushu-u.ac.jp/M3/20110411/F50904/1635/1", 85.82)</f>
        <v>85.82</v>
      </c>
      <c r="E4576" s="2">
        <v>63.35</v>
      </c>
      <c r="F4576" s="2">
        <v>2</v>
      </c>
      <c r="G4576" s="2" t="s">
        <v>9</v>
      </c>
    </row>
    <row r="4577" spans="1:9" x14ac:dyDescent="0.2">
      <c r="A4577" s="2" t="s">
        <v>3359</v>
      </c>
      <c r="B4577" s="2" t="s">
        <v>151</v>
      </c>
      <c r="C4577" s="2">
        <v>727.20719999999994</v>
      </c>
      <c r="D4577" s="2">
        <f>HYPERLINK("http://mcb-m6.bioreg.kyushu-u.ac.jp/M3/20110411/F50891/2015/1", 36.85)</f>
        <v>36.85</v>
      </c>
      <c r="E4577" s="2">
        <v>19.559999999999999</v>
      </c>
      <c r="F4577" s="2">
        <v>2</v>
      </c>
      <c r="G4577" s="2" t="s">
        <v>9</v>
      </c>
      <c r="H4577" s="2" t="s">
        <v>4904</v>
      </c>
    </row>
    <row r="4578" spans="1:9" x14ac:dyDescent="0.2">
      <c r="A4578" s="2" t="s">
        <v>4494</v>
      </c>
      <c r="B4578" s="2" t="s">
        <v>2471</v>
      </c>
      <c r="C4578" s="2">
        <v>764.79719999999998</v>
      </c>
      <c r="D4578" s="2">
        <f>HYPERLINK("http://mcb-m6.bioreg.kyushu-u.ac.jp/M3/20110414/F50945/2189/1", 74.01)</f>
        <v>74.010000000000005</v>
      </c>
      <c r="E4578" s="2">
        <v>50.61</v>
      </c>
      <c r="F4578" s="2">
        <v>2</v>
      </c>
      <c r="G4578" s="2" t="s">
        <v>11</v>
      </c>
    </row>
    <row r="4579" spans="1:9" x14ac:dyDescent="0.2">
      <c r="A4579" s="2" t="s">
        <v>4494</v>
      </c>
      <c r="B4579" s="2" t="s">
        <v>2471</v>
      </c>
      <c r="C4579" s="2">
        <v>765.32619999999997</v>
      </c>
      <c r="D4579" s="2">
        <f>HYPERLINK("http://mcb-m6.bioreg.kyushu-u.ac.jp/M3/20110414/F50946/2121/1", 67.73)</f>
        <v>67.73</v>
      </c>
      <c r="E4579" s="2">
        <v>50.31</v>
      </c>
      <c r="F4579" s="2">
        <v>2</v>
      </c>
      <c r="G4579" s="2" t="s">
        <v>12</v>
      </c>
    </row>
    <row r="4580" spans="1:9" x14ac:dyDescent="0.2">
      <c r="A4580" s="2" t="s">
        <v>3819</v>
      </c>
      <c r="B4580" s="2" t="s">
        <v>885</v>
      </c>
      <c r="C4580" s="2">
        <v>660.75959999999998</v>
      </c>
      <c r="D4580" s="2">
        <f>HYPERLINK("http://mcb-m6.bioreg.kyushu-u.ac.jp/M3/20110411/F50889/1999/1", 54.44)</f>
        <v>54.44</v>
      </c>
      <c r="E4580" s="2">
        <v>17.53</v>
      </c>
      <c r="F4580" s="2">
        <v>2</v>
      </c>
      <c r="G4580" s="2" t="s">
        <v>9</v>
      </c>
    </row>
    <row r="4581" spans="1:9" x14ac:dyDescent="0.2">
      <c r="A4581" s="2" t="s">
        <v>3685</v>
      </c>
      <c r="B4581" s="2" t="s">
        <v>647</v>
      </c>
      <c r="C4581" s="2">
        <v>819.35270000000003</v>
      </c>
      <c r="D4581" s="2">
        <f>HYPERLINK("http://mcb-m6.bioreg.kyushu-u.ac.jp/M3/20110411/F50892/2545/1", 47.19)</f>
        <v>47.19</v>
      </c>
      <c r="E4581" s="2">
        <v>38.369999999999997</v>
      </c>
      <c r="F4581" s="2">
        <v>2</v>
      </c>
      <c r="G4581" s="2" t="s">
        <v>9</v>
      </c>
    </row>
    <row r="4582" spans="1:9" x14ac:dyDescent="0.2">
      <c r="A4582" s="2" t="s">
        <v>4329</v>
      </c>
      <c r="B4582" s="2" t="s">
        <v>2127</v>
      </c>
      <c r="C4582" s="2">
        <v>847.18470000000002</v>
      </c>
      <c r="D4582" s="2">
        <f>HYPERLINK("http://mcb-m6.bioreg.kyushu-u.ac.jp/M3/20110411/F50912/2511/1", 90.81)</f>
        <v>90.81</v>
      </c>
      <c r="E4582" s="2">
        <v>69.319999999999993</v>
      </c>
      <c r="F4582" s="2">
        <v>2</v>
      </c>
      <c r="G4582" s="2" t="s">
        <v>10</v>
      </c>
    </row>
    <row r="4583" spans="1:9" x14ac:dyDescent="0.2">
      <c r="A4583" s="2" t="s">
        <v>4329</v>
      </c>
      <c r="B4583" s="2" t="s">
        <v>2621</v>
      </c>
      <c r="C4583" s="2">
        <v>946.36090000000002</v>
      </c>
      <c r="D4583" s="2">
        <f>HYPERLINK("http://mcb-m6.bioreg.kyushu-u.ac.jp/M3/20110414/F50947/4652/1", 43.57)</f>
        <v>43.57</v>
      </c>
      <c r="E4583" s="2">
        <v>30.88</v>
      </c>
      <c r="F4583" s="2">
        <v>3</v>
      </c>
      <c r="G4583" s="2" t="s">
        <v>12</v>
      </c>
      <c r="I4583" s="2" t="s">
        <v>4941</v>
      </c>
    </row>
    <row r="4584" spans="1:9" x14ac:dyDescent="0.2">
      <c r="A4584" s="2" t="s">
        <v>4329</v>
      </c>
      <c r="B4584" s="2" t="s">
        <v>2700</v>
      </c>
      <c r="C4584" s="2">
        <v>811.35569999999996</v>
      </c>
      <c r="D4584" s="2">
        <f>HYPERLINK("http://mcb-m6.bioreg.kyushu-u.ac.jp/M3/20110414/F50947/2430/1", 56.66)</f>
        <v>56.66</v>
      </c>
      <c r="E4584" s="2">
        <v>43.3</v>
      </c>
      <c r="F4584" s="2">
        <v>2</v>
      </c>
      <c r="G4584" s="2" t="s">
        <v>12</v>
      </c>
    </row>
    <row r="4585" spans="1:9" x14ac:dyDescent="0.2">
      <c r="A4585" s="2" t="s">
        <v>4329</v>
      </c>
      <c r="B4585" s="2" t="s">
        <v>2127</v>
      </c>
      <c r="C4585" s="2">
        <v>847.44870000000003</v>
      </c>
      <c r="D4585" s="2">
        <f>HYPERLINK("http://mcb-m6.bioreg.kyushu-u.ac.jp/M3/20110414/F50947/2580/1", 72.49)</f>
        <v>72.489999999999995</v>
      </c>
      <c r="E4585" s="2">
        <v>55.47</v>
      </c>
      <c r="F4585" s="2">
        <v>2</v>
      </c>
      <c r="G4585" s="2" t="s">
        <v>12</v>
      </c>
    </row>
    <row r="4586" spans="1:9" x14ac:dyDescent="0.2">
      <c r="A4586" s="2" t="s">
        <v>4329</v>
      </c>
      <c r="B4586" s="2" t="s">
        <v>2127</v>
      </c>
      <c r="C4586" s="2">
        <v>846.77670000000001</v>
      </c>
      <c r="D4586" s="2">
        <f>HYPERLINK("http://mcb-m6.bioreg.kyushu-u.ac.jp/M3/20110414/F50947/2571/1", 74.62)</f>
        <v>74.62</v>
      </c>
      <c r="E4586" s="2">
        <v>58.17</v>
      </c>
      <c r="F4586" s="2">
        <v>2</v>
      </c>
      <c r="G4586" s="2" t="s">
        <v>12</v>
      </c>
    </row>
    <row r="4587" spans="1:9" x14ac:dyDescent="0.2">
      <c r="A4587" s="2" t="s">
        <v>4223</v>
      </c>
      <c r="B4587" s="2" t="s">
        <v>1829</v>
      </c>
      <c r="C4587" s="2">
        <v>953.54420000000005</v>
      </c>
      <c r="D4587" s="2">
        <f>HYPERLINK("http://mcb-m6.bioreg.kyushu-u.ac.jp/M3/20110411/F50896/2869/1", 41.83)</f>
        <v>41.83</v>
      </c>
      <c r="E4587" s="2">
        <v>29.75</v>
      </c>
      <c r="F4587" s="2">
        <v>2</v>
      </c>
      <c r="G4587" s="2" t="s">
        <v>10</v>
      </c>
      <c r="I4587" s="2" t="s">
        <v>4951</v>
      </c>
    </row>
    <row r="4588" spans="1:9" x14ac:dyDescent="0.2">
      <c r="A4588" s="2" t="s">
        <v>4559</v>
      </c>
      <c r="B4588" s="2" t="s">
        <v>2596</v>
      </c>
      <c r="C4588" s="2">
        <v>471.25259999999997</v>
      </c>
      <c r="D4588" s="2">
        <f>HYPERLINK("http://mcb-m6.bioreg.kyushu-u.ac.jp/M3/20110414/F50947/699/1", 40.48)</f>
        <v>40.479999999999997</v>
      </c>
      <c r="E4588" s="2">
        <v>16.309999999999999</v>
      </c>
      <c r="F4588" s="2">
        <v>2</v>
      </c>
      <c r="G4588" s="2" t="s">
        <v>12</v>
      </c>
    </row>
    <row r="4589" spans="1:9" x14ac:dyDescent="0.2">
      <c r="A4589" s="2" t="s">
        <v>3837</v>
      </c>
      <c r="B4589" s="2" t="s">
        <v>917</v>
      </c>
      <c r="C4589" s="2">
        <v>644.07709999999997</v>
      </c>
      <c r="D4589" s="2">
        <f>HYPERLINK("http://mcb-m6.bioreg.kyushu-u.ac.jp/M3/20110411/F50904/1585/1", 55.48)</f>
        <v>55.48</v>
      </c>
      <c r="E4589" s="2">
        <v>33.06</v>
      </c>
      <c r="F4589" s="2">
        <v>2</v>
      </c>
      <c r="G4589" s="2" t="s">
        <v>9</v>
      </c>
    </row>
    <row r="4590" spans="1:9" x14ac:dyDescent="0.2">
      <c r="A4590" s="2" t="s">
        <v>3837</v>
      </c>
      <c r="B4590" s="2" t="s">
        <v>1162</v>
      </c>
      <c r="C4590" s="2">
        <v>873.13919999999996</v>
      </c>
      <c r="D4590" s="2">
        <f>HYPERLINK("http://mcb-m6.bioreg.kyushu-u.ac.jp/M3/20110411/F50904/2625/1", 65.5)</f>
        <v>65.5</v>
      </c>
      <c r="E4590" s="2">
        <v>37.520000000000003</v>
      </c>
      <c r="F4590" s="2">
        <v>2</v>
      </c>
      <c r="G4590" s="2" t="s">
        <v>9</v>
      </c>
    </row>
    <row r="4591" spans="1:9" x14ac:dyDescent="0.2">
      <c r="A4591" s="2" t="s">
        <v>3963</v>
      </c>
      <c r="B4591" s="2" t="s">
        <v>1185</v>
      </c>
      <c r="C4591" s="2">
        <v>898.58010000000002</v>
      </c>
      <c r="D4591" s="2">
        <f>HYPERLINK("http://mcb-m6.bioreg.kyushu-u.ac.jp/M3/20110411/F50905/2839/1", 66.35)</f>
        <v>66.349999999999994</v>
      </c>
      <c r="E4591" s="2">
        <v>46.74</v>
      </c>
      <c r="F4591" s="2">
        <v>2</v>
      </c>
      <c r="G4591" s="2" t="s">
        <v>9</v>
      </c>
    </row>
    <row r="4592" spans="1:9" x14ac:dyDescent="0.2">
      <c r="A4592" s="2" t="s">
        <v>3963</v>
      </c>
      <c r="B4592" s="2" t="s">
        <v>1185</v>
      </c>
      <c r="C4592" s="2">
        <v>898.57370000000003</v>
      </c>
      <c r="D4592" s="2">
        <f>HYPERLINK("http://mcb-m6.bioreg.kyushu-u.ac.jp/M3/20110411/F50904/2744/1", 100.16)</f>
        <v>100.16</v>
      </c>
      <c r="E4592" s="2">
        <v>74.44</v>
      </c>
      <c r="F4592" s="2">
        <v>2</v>
      </c>
      <c r="G4592" s="2" t="s">
        <v>9</v>
      </c>
    </row>
    <row r="4593" spans="1:9" x14ac:dyDescent="0.2">
      <c r="A4593" s="2" t="s">
        <v>3963</v>
      </c>
      <c r="B4593" s="2" t="s">
        <v>1185</v>
      </c>
      <c r="C4593" s="2">
        <v>898.6277</v>
      </c>
      <c r="D4593" s="2">
        <f>HYPERLINK("http://mcb-m6.bioreg.kyushu-u.ac.jp/M3/20110411/F50912/2760/1", 105.79)</f>
        <v>105.79</v>
      </c>
      <c r="E4593" s="2">
        <v>77.739999999999995</v>
      </c>
      <c r="F4593" s="2">
        <v>2</v>
      </c>
      <c r="G4593" s="2" t="s">
        <v>10</v>
      </c>
    </row>
    <row r="4594" spans="1:9" x14ac:dyDescent="0.2">
      <c r="A4594" s="2" t="s">
        <v>3783</v>
      </c>
      <c r="B4594" s="2" t="s">
        <v>819</v>
      </c>
      <c r="C4594" s="2">
        <v>848.56119999999999</v>
      </c>
      <c r="D4594" s="2">
        <f>HYPERLINK("http://mcb-m6.bioreg.kyushu-u.ac.jp/M3/20110411/F50904/2520/1", 52.43)</f>
        <v>52.43</v>
      </c>
      <c r="E4594" s="2">
        <v>30.11</v>
      </c>
      <c r="F4594" s="2">
        <v>2</v>
      </c>
      <c r="G4594" s="2" t="s">
        <v>9</v>
      </c>
    </row>
    <row r="4595" spans="1:9" x14ac:dyDescent="0.2">
      <c r="A4595" s="2" t="s">
        <v>4115</v>
      </c>
      <c r="B4595" s="2" t="s">
        <v>1613</v>
      </c>
      <c r="C4595" s="2">
        <v>830.03309999999999</v>
      </c>
      <c r="D4595" s="2">
        <f>HYPERLINK("http://mcb-m6.bioreg.kyushu-u.ac.jp/M3/20110411/F50904/2442/1", 100.45)</f>
        <v>100.45</v>
      </c>
      <c r="E4595" s="2">
        <v>85.22</v>
      </c>
      <c r="F4595" s="2">
        <v>2</v>
      </c>
      <c r="G4595" s="2" t="s">
        <v>9</v>
      </c>
    </row>
    <row r="4596" spans="1:9" x14ac:dyDescent="0.2">
      <c r="A4596" s="2" t="s">
        <v>4115</v>
      </c>
      <c r="B4596" s="2" t="s">
        <v>1613</v>
      </c>
      <c r="C4596" s="2">
        <v>829.71259999999995</v>
      </c>
      <c r="D4596" s="2">
        <f>HYPERLINK("http://mcb-m6.bioreg.kyushu-u.ac.jp/M3/20110411/F50912/2447/1", 117.07)</f>
        <v>117.07</v>
      </c>
      <c r="E4596" s="2">
        <v>97.28</v>
      </c>
      <c r="F4596" s="2">
        <v>2</v>
      </c>
      <c r="G4596" s="2" t="s">
        <v>10</v>
      </c>
    </row>
    <row r="4597" spans="1:9" x14ac:dyDescent="0.2">
      <c r="A4597" s="2" t="s">
        <v>4115</v>
      </c>
      <c r="B4597" s="2" t="s">
        <v>1613</v>
      </c>
      <c r="C4597" s="2">
        <v>829.84559999999999</v>
      </c>
      <c r="D4597" s="2">
        <f>HYPERLINK("http://mcb-m6.bioreg.kyushu-u.ac.jp/M3/20110414/F50941/2566/1", 94.1)</f>
        <v>94.1</v>
      </c>
      <c r="E4597" s="2">
        <v>79.25</v>
      </c>
      <c r="F4597" s="2">
        <v>2</v>
      </c>
      <c r="G4597" s="2" t="s">
        <v>11</v>
      </c>
    </row>
    <row r="4598" spans="1:9" x14ac:dyDescent="0.2">
      <c r="A4598" s="2" t="s">
        <v>4115</v>
      </c>
      <c r="B4598" s="2" t="s">
        <v>1613</v>
      </c>
      <c r="C4598" s="2">
        <v>829.89170000000001</v>
      </c>
      <c r="D4598" s="2">
        <f>HYPERLINK("http://mcb-m6.bioreg.kyushu-u.ac.jp/M3/20110414/F50947/2508/1", 92.72)</f>
        <v>92.72</v>
      </c>
      <c r="E4598" s="2">
        <v>84.07</v>
      </c>
      <c r="F4598" s="2">
        <v>2</v>
      </c>
      <c r="G4598" s="2" t="s">
        <v>12</v>
      </c>
    </row>
    <row r="4599" spans="1:9" x14ac:dyDescent="0.2">
      <c r="A4599" s="2" t="s">
        <v>4115</v>
      </c>
      <c r="B4599" s="2" t="s">
        <v>2924</v>
      </c>
      <c r="C4599" s="2">
        <v>459.9316</v>
      </c>
      <c r="D4599" s="2">
        <f>HYPERLINK("http://mcb-m6.bioreg.kyushu-u.ac.jp/M3/20110502/F51170/836/1", 55)</f>
        <v>55</v>
      </c>
      <c r="E4599" s="2">
        <v>23.47</v>
      </c>
      <c r="F4599" s="2">
        <v>2</v>
      </c>
      <c r="G4599" s="2" t="s">
        <v>13</v>
      </c>
    </row>
    <row r="4600" spans="1:9" x14ac:dyDescent="0.2">
      <c r="A4600" s="2" t="s">
        <v>4115</v>
      </c>
      <c r="B4600" s="2" t="s">
        <v>1613</v>
      </c>
      <c r="C4600" s="2">
        <v>829.51570000000004</v>
      </c>
      <c r="D4600" s="2">
        <f>HYPERLINK("http://mcb-m6.bioreg.kyushu-u.ac.jp/M3/20110502/F51170/2532/1", 69.91)</f>
        <v>69.91</v>
      </c>
      <c r="E4600" s="2">
        <v>53.51</v>
      </c>
      <c r="F4600" s="2">
        <v>2</v>
      </c>
      <c r="G4600" s="2" t="s">
        <v>13</v>
      </c>
    </row>
    <row r="4601" spans="1:9" x14ac:dyDescent="0.2">
      <c r="A4601" s="2" t="s">
        <v>4115</v>
      </c>
      <c r="B4601" s="2" t="s">
        <v>1613</v>
      </c>
      <c r="C4601" s="2">
        <v>829.61320000000001</v>
      </c>
      <c r="D4601" s="2">
        <f>HYPERLINK("http://mcb-m6.bioreg.kyushu-u.ac.jp/M3/20110502/F51179/2290/1", 135.57)</f>
        <v>135.57</v>
      </c>
      <c r="E4601" s="2">
        <v>111.88</v>
      </c>
      <c r="F4601" s="2">
        <v>2</v>
      </c>
      <c r="G4601" s="2" t="s">
        <v>14</v>
      </c>
    </row>
    <row r="4602" spans="1:9" x14ac:dyDescent="0.2">
      <c r="A4602" s="2" t="s">
        <v>4600</v>
      </c>
      <c r="B4602" s="2" t="s">
        <v>2693</v>
      </c>
      <c r="C4602" s="2">
        <v>832.11109999999996</v>
      </c>
      <c r="D4602" s="2">
        <f>HYPERLINK("http://mcb-m6.bioreg.kyushu-u.ac.jp/M3/20110414/F50958/2653/1", 54.32)</f>
        <v>54.32</v>
      </c>
      <c r="E4602" s="2">
        <v>45.85</v>
      </c>
      <c r="F4602" s="2">
        <v>2</v>
      </c>
      <c r="G4602" s="2" t="s">
        <v>12</v>
      </c>
      <c r="I4602" s="2" t="s">
        <v>4903</v>
      </c>
    </row>
    <row r="4603" spans="1:9" x14ac:dyDescent="0.2">
      <c r="A4603" s="2" t="s">
        <v>3848</v>
      </c>
      <c r="B4603" s="2" t="s">
        <v>941</v>
      </c>
      <c r="C4603" s="2">
        <v>772.14919999999995</v>
      </c>
      <c r="D4603" s="2">
        <f>HYPERLINK("http://mcb-m6.bioreg.kyushu-u.ac.jp/M3/20110411/F50915/2097/1", 56.24)</f>
        <v>56.24</v>
      </c>
      <c r="E4603" s="2">
        <v>40.04</v>
      </c>
      <c r="F4603" s="2">
        <v>2</v>
      </c>
      <c r="G4603" s="2" t="s">
        <v>9</v>
      </c>
    </row>
    <row r="4604" spans="1:9" x14ac:dyDescent="0.2">
      <c r="A4604" s="2" t="s">
        <v>3848</v>
      </c>
      <c r="B4604" s="2" t="s">
        <v>941</v>
      </c>
      <c r="C4604" s="2">
        <v>772.13570000000004</v>
      </c>
      <c r="D4604" s="2">
        <f>HYPERLINK("http://mcb-m6.bioreg.kyushu-u.ac.jp/M3/20110411/F50917/2155/1", 65.29)</f>
        <v>65.290000000000006</v>
      </c>
      <c r="E4604" s="2">
        <v>51.89</v>
      </c>
      <c r="F4604" s="2">
        <v>2</v>
      </c>
      <c r="G4604" s="2" t="s">
        <v>10</v>
      </c>
    </row>
    <row r="4605" spans="1:9" x14ac:dyDescent="0.2">
      <c r="A4605" s="2" t="s">
        <v>3848</v>
      </c>
      <c r="B4605" s="2" t="s">
        <v>941</v>
      </c>
      <c r="C4605" s="2">
        <v>772.47919999999999</v>
      </c>
      <c r="D4605" s="2">
        <f>HYPERLINK("http://mcb-m6.bioreg.kyushu-u.ac.jp/M3/20110414/F50956/2170/1", 35.15)</f>
        <v>35.15</v>
      </c>
      <c r="E4605" s="2">
        <v>21.52</v>
      </c>
      <c r="F4605" s="2">
        <v>2</v>
      </c>
      <c r="G4605" s="2" t="s">
        <v>11</v>
      </c>
    </row>
    <row r="4606" spans="1:9" x14ac:dyDescent="0.2">
      <c r="A4606" s="2" t="s">
        <v>4129</v>
      </c>
      <c r="B4606" s="2" t="s">
        <v>1653</v>
      </c>
      <c r="C4606" s="2">
        <v>903.93709999999999</v>
      </c>
      <c r="D4606" s="2">
        <f>HYPERLINK("http://mcb-m6.bioreg.kyushu-u.ac.jp/M3/20110411/F50915/2858/1", 111.02)</f>
        <v>111.02</v>
      </c>
      <c r="E4606" s="2">
        <v>97.08</v>
      </c>
      <c r="F4606" s="2">
        <v>2</v>
      </c>
      <c r="G4606" s="2" t="s">
        <v>9</v>
      </c>
      <c r="I4606" s="2" t="s">
        <v>4944</v>
      </c>
    </row>
    <row r="4607" spans="1:9" x14ac:dyDescent="0.2">
      <c r="A4607" s="2" t="s">
        <v>4129</v>
      </c>
      <c r="B4607" s="2" t="s">
        <v>1653</v>
      </c>
      <c r="C4607" s="2">
        <v>904.28470000000004</v>
      </c>
      <c r="D4607" s="2">
        <f>HYPERLINK("http://mcb-m6.bioreg.kyushu-u.ac.jp/M3/20110414/F50957/2928/1", 39.18)</f>
        <v>39.18</v>
      </c>
      <c r="E4607" s="2">
        <v>26.32</v>
      </c>
      <c r="F4607" s="2">
        <v>2</v>
      </c>
      <c r="G4607" s="2" t="s">
        <v>11</v>
      </c>
      <c r="I4607" s="2" t="s">
        <v>4944</v>
      </c>
    </row>
    <row r="4608" spans="1:9" x14ac:dyDescent="0.2">
      <c r="A4608" s="2" t="s">
        <v>4129</v>
      </c>
      <c r="B4608" s="2" t="s">
        <v>1653</v>
      </c>
      <c r="C4608" s="2">
        <v>903.61069999999995</v>
      </c>
      <c r="D4608" s="2">
        <f>HYPERLINK("http://mcb-m6.bioreg.kyushu-u.ac.jp/M3/20110414/F50956/3028/1", 48.71)</f>
        <v>48.71</v>
      </c>
      <c r="E4608" s="2">
        <v>37.159999999999997</v>
      </c>
      <c r="F4608" s="2">
        <v>2</v>
      </c>
      <c r="G4608" s="2" t="s">
        <v>11</v>
      </c>
      <c r="I4608" s="2" t="s">
        <v>4944</v>
      </c>
    </row>
    <row r="4609" spans="1:9" x14ac:dyDescent="0.2">
      <c r="A4609" s="2" t="s">
        <v>4129</v>
      </c>
      <c r="B4609" s="2" t="s">
        <v>1653</v>
      </c>
      <c r="C4609" s="2">
        <v>904.29319999999996</v>
      </c>
      <c r="D4609" s="2">
        <f>HYPERLINK("http://mcb-m6.bioreg.kyushu-u.ac.jp/M3/20110414/F50959/3002/1", 91.73)</f>
        <v>91.73</v>
      </c>
      <c r="E4609" s="2">
        <v>73.680000000000007</v>
      </c>
      <c r="F4609" s="2">
        <v>2</v>
      </c>
      <c r="G4609" s="2" t="s">
        <v>12</v>
      </c>
      <c r="I4609" s="2" t="s">
        <v>4944</v>
      </c>
    </row>
    <row r="4610" spans="1:9" x14ac:dyDescent="0.2">
      <c r="A4610" s="2" t="s">
        <v>4129</v>
      </c>
      <c r="B4610" s="2" t="s">
        <v>1653</v>
      </c>
      <c r="C4610" s="2">
        <v>903.9307</v>
      </c>
      <c r="D4610" s="2">
        <f>HYPERLINK("http://mcb-m6.bioreg.kyushu-u.ac.jp/M3/20110502/F51192/2632/1", 66.98)</f>
        <v>66.98</v>
      </c>
      <c r="E4610" s="2">
        <v>56.28</v>
      </c>
      <c r="F4610" s="2">
        <v>2</v>
      </c>
      <c r="G4610" s="2" t="s">
        <v>14</v>
      </c>
      <c r="I4610" s="2" t="s">
        <v>4944</v>
      </c>
    </row>
    <row r="4611" spans="1:9" x14ac:dyDescent="0.2">
      <c r="A4611" s="2" t="s">
        <v>4643</v>
      </c>
      <c r="B4611" s="2" t="s">
        <v>2800</v>
      </c>
      <c r="C4611" s="2">
        <v>674.13570000000004</v>
      </c>
      <c r="D4611" s="2">
        <f>HYPERLINK("http://mcb-m6.bioreg.kyushu-u.ac.jp/M3/20110502/F51175/1589/1", 35.93)</f>
        <v>35.93</v>
      </c>
      <c r="E4611" s="2">
        <v>15.43</v>
      </c>
      <c r="F4611" s="2">
        <v>2</v>
      </c>
      <c r="G4611" s="2" t="s">
        <v>13</v>
      </c>
      <c r="H4611" s="2" t="s">
        <v>4900</v>
      </c>
    </row>
    <row r="4612" spans="1:9" x14ac:dyDescent="0.2">
      <c r="A4612" s="2" t="s">
        <v>3812</v>
      </c>
      <c r="B4612" s="2" t="s">
        <v>872</v>
      </c>
      <c r="C4612" s="2">
        <v>892.46469999999999</v>
      </c>
      <c r="D4612" s="2">
        <f>HYPERLINK("http://mcb-m6.bioreg.kyushu-u.ac.jp/M3/20110411/F50904/2710/1", 54.07)</f>
        <v>54.07</v>
      </c>
      <c r="E4612" s="2">
        <v>40.24</v>
      </c>
      <c r="F4612" s="2">
        <v>2</v>
      </c>
      <c r="G4612" s="2" t="s">
        <v>9</v>
      </c>
    </row>
    <row r="4613" spans="1:9" x14ac:dyDescent="0.2">
      <c r="A4613" s="2" t="s">
        <v>4142</v>
      </c>
      <c r="B4613" s="2" t="s">
        <v>1691</v>
      </c>
      <c r="C4613" s="2">
        <v>704.52760000000001</v>
      </c>
      <c r="D4613" s="2">
        <f>HYPERLINK("http://mcb-m6.bioreg.kyushu-u.ac.jp/M3/20110411/F50914/1915/1", 35.25)</f>
        <v>35.25</v>
      </c>
      <c r="E4613" s="2">
        <v>15.93</v>
      </c>
      <c r="F4613" s="2">
        <v>2</v>
      </c>
      <c r="G4613" s="2" t="s">
        <v>10</v>
      </c>
    </row>
    <row r="4614" spans="1:9" x14ac:dyDescent="0.2">
      <c r="A4614" s="2" t="s">
        <v>4680</v>
      </c>
      <c r="B4614" s="2" t="s">
        <v>2851</v>
      </c>
      <c r="C4614" s="2">
        <v>479.2561</v>
      </c>
      <c r="D4614" s="2">
        <f>HYPERLINK("http://mcb-m6.bioreg.kyushu-u.ac.jp/M3/20110502/F51188/759/1", 39.02)</f>
        <v>39.020000000000003</v>
      </c>
      <c r="E4614" s="2">
        <v>16.25</v>
      </c>
      <c r="F4614" s="2">
        <v>2</v>
      </c>
      <c r="G4614" s="2" t="s">
        <v>13</v>
      </c>
    </row>
    <row r="4615" spans="1:9" x14ac:dyDescent="0.2">
      <c r="A4615" s="2" t="s">
        <v>4270</v>
      </c>
      <c r="B4615" s="2" t="s">
        <v>1940</v>
      </c>
      <c r="C4615" s="2">
        <v>753.48770000000002</v>
      </c>
      <c r="D4615" s="2">
        <f>HYPERLINK("http://mcb-m6.bioreg.kyushu-u.ac.jp/M3/20110411/F50921/1915/1", 52.02)</f>
        <v>52.02</v>
      </c>
      <c r="E4615" s="2">
        <v>34.32</v>
      </c>
      <c r="F4615" s="2">
        <v>2</v>
      </c>
      <c r="G4615" s="2" t="s">
        <v>10</v>
      </c>
    </row>
    <row r="4616" spans="1:9" x14ac:dyDescent="0.2">
      <c r="A4616" s="2" t="s">
        <v>4270</v>
      </c>
      <c r="B4616" s="2" t="s">
        <v>1940</v>
      </c>
      <c r="C4616" s="2">
        <v>753.35820000000001</v>
      </c>
      <c r="D4616" s="2">
        <f>HYPERLINK("http://mcb-m6.bioreg.kyushu-u.ac.jp/M3/20110414/F50946/2050/1", 35.09)</f>
        <v>35.090000000000003</v>
      </c>
      <c r="E4616" s="2">
        <v>21.21</v>
      </c>
      <c r="F4616" s="2">
        <v>2</v>
      </c>
      <c r="G4616" s="2" t="s">
        <v>12</v>
      </c>
    </row>
    <row r="4617" spans="1:9" x14ac:dyDescent="0.2">
      <c r="A4617" s="2" t="s">
        <v>4270</v>
      </c>
      <c r="B4617" s="2" t="s">
        <v>2706</v>
      </c>
      <c r="C4617" s="2">
        <v>528.06209999999999</v>
      </c>
      <c r="D4617" s="2">
        <f>HYPERLINK("http://mcb-m6.bioreg.kyushu-u.ac.jp/M3/20110414/F50946/1084/1", 59.03)</f>
        <v>59.03</v>
      </c>
      <c r="E4617" s="2">
        <v>33.72</v>
      </c>
      <c r="F4617" s="2">
        <v>2</v>
      </c>
      <c r="G4617" s="2" t="s">
        <v>12</v>
      </c>
      <c r="I4617" s="2" t="s">
        <v>4890</v>
      </c>
    </row>
    <row r="4618" spans="1:9" x14ac:dyDescent="0.2">
      <c r="A4618" s="2" t="s">
        <v>4270</v>
      </c>
      <c r="B4618" s="2" t="s">
        <v>2934</v>
      </c>
      <c r="C4618" s="2">
        <v>476.51510000000002</v>
      </c>
      <c r="D4618" s="2">
        <f>HYPERLINK("http://mcb-m6.bioreg.kyushu-u.ac.jp/M3/20110502/F51180/630/1", 58.84)</f>
        <v>58.84</v>
      </c>
      <c r="E4618" s="2">
        <v>21.54</v>
      </c>
      <c r="F4618" s="2">
        <v>2</v>
      </c>
      <c r="G4618" s="2" t="s">
        <v>13</v>
      </c>
    </row>
    <row r="4619" spans="1:9" x14ac:dyDescent="0.2">
      <c r="A4619" s="2" t="s">
        <v>4270</v>
      </c>
      <c r="B4619" s="2" t="s">
        <v>2934</v>
      </c>
      <c r="C4619" s="2">
        <v>476.36559999999997</v>
      </c>
      <c r="D4619" s="2">
        <f>HYPERLINK("http://mcb-m6.bioreg.kyushu-u.ac.jp/M3/20110502/F51191/647/1", 66.21)</f>
        <v>66.209999999999994</v>
      </c>
      <c r="E4619" s="2">
        <v>23.22</v>
      </c>
      <c r="F4619" s="2">
        <v>2</v>
      </c>
      <c r="G4619" s="2" t="s">
        <v>14</v>
      </c>
    </row>
    <row r="4620" spans="1:9" x14ac:dyDescent="0.2">
      <c r="A4620" s="2" t="s">
        <v>3756</v>
      </c>
      <c r="B4620" s="2" t="s">
        <v>769</v>
      </c>
      <c r="C4620" s="2">
        <v>728.70010000000002</v>
      </c>
      <c r="D4620" s="2">
        <f>HYPERLINK("http://mcb-m6.bioreg.kyushu-u.ac.jp/M3/20110411/F50911/2017/1", 50.66)</f>
        <v>50.66</v>
      </c>
      <c r="E4620" s="2">
        <v>35.97</v>
      </c>
      <c r="F4620" s="2">
        <v>2</v>
      </c>
      <c r="G4620" s="2" t="s">
        <v>9</v>
      </c>
    </row>
    <row r="4621" spans="1:9" x14ac:dyDescent="0.2">
      <c r="A4621" s="2" t="s">
        <v>3756</v>
      </c>
      <c r="B4621" s="2" t="s">
        <v>1525</v>
      </c>
      <c r="C4621" s="2">
        <v>907.21370000000002</v>
      </c>
      <c r="D4621" s="2">
        <f>HYPERLINK("http://mcb-m6.bioreg.kyushu-u.ac.jp/M3/20110411/F50911/2977/1", 88.01)</f>
        <v>88.01</v>
      </c>
      <c r="E4621" s="2">
        <v>63.91</v>
      </c>
      <c r="F4621" s="2">
        <v>2</v>
      </c>
      <c r="G4621" s="2" t="s">
        <v>9</v>
      </c>
    </row>
    <row r="4622" spans="1:9" x14ac:dyDescent="0.2">
      <c r="A4622" s="2" t="s">
        <v>3756</v>
      </c>
      <c r="B4622" s="2" t="s">
        <v>769</v>
      </c>
      <c r="C4622" s="2">
        <v>728.43409999999994</v>
      </c>
      <c r="D4622" s="2">
        <f>HYPERLINK("http://mcb-m6.bioreg.kyushu-u.ac.jp/M3/20110411/F50914/2031/1", 57.44)</f>
        <v>57.44</v>
      </c>
      <c r="E4622" s="2">
        <v>36.67</v>
      </c>
      <c r="F4622" s="2">
        <v>2</v>
      </c>
      <c r="G4622" s="2" t="s">
        <v>10</v>
      </c>
    </row>
    <row r="4623" spans="1:9" x14ac:dyDescent="0.2">
      <c r="A4623" s="2" t="s">
        <v>3756</v>
      </c>
      <c r="B4623" s="2" t="s">
        <v>2476</v>
      </c>
      <c r="C4623" s="2">
        <v>1020.458</v>
      </c>
      <c r="D4623" s="2">
        <f>HYPERLINK("http://mcb-m6.bioreg.kyushu-u.ac.jp/M3/20110414/F50942/3552/1", 75.83)</f>
        <v>75.83</v>
      </c>
      <c r="E4623" s="2">
        <v>60.44</v>
      </c>
      <c r="F4623" s="2">
        <v>2</v>
      </c>
      <c r="G4623" s="2" t="s">
        <v>11</v>
      </c>
      <c r="I4623" s="2" t="s">
        <v>4906</v>
      </c>
    </row>
    <row r="4624" spans="1:9" x14ac:dyDescent="0.2">
      <c r="A4624" s="2" t="s">
        <v>3756</v>
      </c>
      <c r="B4624" s="2" t="s">
        <v>2885</v>
      </c>
      <c r="C4624" s="2">
        <v>745.02560000000005</v>
      </c>
      <c r="D4624" s="2">
        <f>HYPERLINK("http://mcb-m6.bioreg.kyushu-u.ac.jp/M3/20110502/F51171/2042/1", 43.09)</f>
        <v>43.09</v>
      </c>
      <c r="E4624" s="2">
        <v>12.9</v>
      </c>
      <c r="F4624" s="2">
        <v>2</v>
      </c>
      <c r="G4624" s="2" t="s">
        <v>13</v>
      </c>
    </row>
    <row r="4625" spans="1:9" x14ac:dyDescent="0.2">
      <c r="A4625" s="2" t="s">
        <v>3756</v>
      </c>
      <c r="B4625" s="2" t="s">
        <v>2885</v>
      </c>
      <c r="C4625" s="2">
        <v>745.27120000000002</v>
      </c>
      <c r="D4625" s="2">
        <f>HYPERLINK("http://mcb-m6.bioreg.kyushu-u.ac.jp/M3/20110502/F51183/1939/1", 68.05)</f>
        <v>68.05</v>
      </c>
      <c r="E4625" s="2">
        <v>36.520000000000003</v>
      </c>
      <c r="F4625" s="2">
        <v>2</v>
      </c>
      <c r="G4625" s="2" t="s">
        <v>14</v>
      </c>
    </row>
    <row r="4626" spans="1:9" x14ac:dyDescent="0.2">
      <c r="A4626" s="2" t="s">
        <v>4836</v>
      </c>
      <c r="B4626" s="2" t="s">
        <v>3098</v>
      </c>
      <c r="C4626" s="2">
        <v>479.59109999999998</v>
      </c>
      <c r="D4626" s="2">
        <f>HYPERLINK("http://mcb-m6.bioreg.kyushu-u.ac.jp/M3/20110502/F51184/484/1", 44.33)</f>
        <v>44.33</v>
      </c>
      <c r="E4626" s="2">
        <v>12.77</v>
      </c>
      <c r="F4626" s="2">
        <v>2</v>
      </c>
      <c r="G4626" s="2" t="s">
        <v>14</v>
      </c>
    </row>
    <row r="4627" spans="1:9" x14ac:dyDescent="0.2">
      <c r="A4627" s="2" t="s">
        <v>3644</v>
      </c>
      <c r="B4627" s="2" t="s">
        <v>569</v>
      </c>
      <c r="C4627" s="2">
        <v>615.93020000000001</v>
      </c>
      <c r="D4627" s="2">
        <f>HYPERLINK("http://mcb-m6.bioreg.kyushu-u.ac.jp/M3/20110411/F50894/1807/1", 45.1)</f>
        <v>45.1</v>
      </c>
      <c r="E4627" s="2">
        <v>26.91</v>
      </c>
      <c r="F4627" s="2">
        <v>2</v>
      </c>
      <c r="G4627" s="2" t="s">
        <v>9</v>
      </c>
    </row>
    <row r="4628" spans="1:9" x14ac:dyDescent="0.2">
      <c r="A4628" s="2" t="s">
        <v>3644</v>
      </c>
      <c r="B4628" s="2" t="s">
        <v>569</v>
      </c>
      <c r="C4628" s="2">
        <v>615.93320000000006</v>
      </c>
      <c r="D4628" s="2">
        <f>HYPERLINK("http://mcb-m6.bioreg.kyushu-u.ac.jp/M3/20110411/F50916/1251/1", 48.84)</f>
        <v>48.84</v>
      </c>
      <c r="E4628" s="2">
        <v>16.27</v>
      </c>
      <c r="F4628" s="2">
        <v>2</v>
      </c>
      <c r="G4628" s="2" t="s">
        <v>9</v>
      </c>
    </row>
    <row r="4629" spans="1:9" x14ac:dyDescent="0.2">
      <c r="A4629" s="2" t="s">
        <v>3644</v>
      </c>
      <c r="B4629" s="2" t="s">
        <v>569</v>
      </c>
      <c r="C4629" s="2">
        <v>615.82619999999997</v>
      </c>
      <c r="D4629" s="2">
        <f>HYPERLINK("http://mcb-m6.bioreg.kyushu-u.ac.jp/M3/20110411/F50900/1707/1", 42.49)</f>
        <v>42.49</v>
      </c>
      <c r="E4629" s="2">
        <v>21.56</v>
      </c>
      <c r="F4629" s="2">
        <v>2</v>
      </c>
      <c r="G4629" s="2" t="s">
        <v>10</v>
      </c>
    </row>
    <row r="4630" spans="1:9" x14ac:dyDescent="0.2">
      <c r="A4630" s="2" t="s">
        <v>3644</v>
      </c>
      <c r="B4630" s="2" t="s">
        <v>569</v>
      </c>
      <c r="C4630" s="2">
        <v>616.34119999999996</v>
      </c>
      <c r="D4630" s="2">
        <f>HYPERLINK("http://mcb-m6.bioreg.kyushu-u.ac.jp/M3/20110414/F50943/1295/1", 35.24)</f>
        <v>35.24</v>
      </c>
      <c r="E4630" s="2">
        <v>10.19</v>
      </c>
      <c r="F4630" s="2">
        <v>2</v>
      </c>
      <c r="G4630" s="2" t="s">
        <v>11</v>
      </c>
    </row>
    <row r="4631" spans="1:9" x14ac:dyDescent="0.2">
      <c r="A4631" s="2" t="s">
        <v>3644</v>
      </c>
      <c r="B4631" s="2" t="s">
        <v>569</v>
      </c>
      <c r="C4631" s="2">
        <v>615.81370000000004</v>
      </c>
      <c r="D4631" s="2">
        <f>HYPERLINK("http://mcb-m6.bioreg.kyushu-u.ac.jp/M3/20110414/F50959/1059/1", 47.81)</f>
        <v>47.81</v>
      </c>
      <c r="E4631" s="2">
        <v>28.12</v>
      </c>
      <c r="F4631" s="2">
        <v>2</v>
      </c>
      <c r="G4631" s="2" t="s">
        <v>12</v>
      </c>
    </row>
    <row r="4632" spans="1:9" x14ac:dyDescent="0.2">
      <c r="A4632" s="2" t="s">
        <v>3644</v>
      </c>
      <c r="B4632" s="2" t="s">
        <v>2939</v>
      </c>
      <c r="C4632" s="2">
        <v>728.72119999999995</v>
      </c>
      <c r="D4632" s="2">
        <f>HYPERLINK("http://mcb-m6.bioreg.kyushu-u.ac.jp/M3/20110502/F51173/1725/1", 63.12)</f>
        <v>63.12</v>
      </c>
      <c r="E4632" s="2">
        <v>44.35</v>
      </c>
      <c r="F4632" s="2">
        <v>2</v>
      </c>
      <c r="G4632" s="2" t="s">
        <v>13</v>
      </c>
    </row>
    <row r="4633" spans="1:9" x14ac:dyDescent="0.2">
      <c r="A4633" s="2" t="s">
        <v>3644</v>
      </c>
      <c r="B4633" s="2" t="s">
        <v>569</v>
      </c>
      <c r="C4633" s="2">
        <v>616.10220000000004</v>
      </c>
      <c r="D4633" s="2">
        <f>HYPERLINK("http://mcb-m6.bioreg.kyushu-u.ac.jp/M3/20110502/F51173/1137/1", 67.64)</f>
        <v>67.64</v>
      </c>
      <c r="E4633" s="2">
        <v>44.63</v>
      </c>
      <c r="F4633" s="2">
        <v>2</v>
      </c>
      <c r="G4633" s="2" t="s">
        <v>13</v>
      </c>
    </row>
    <row r="4634" spans="1:9" x14ac:dyDescent="0.2">
      <c r="A4634" s="2" t="s">
        <v>3644</v>
      </c>
      <c r="B4634" s="2" t="s">
        <v>569</v>
      </c>
      <c r="C4634" s="2">
        <v>616.03920000000005</v>
      </c>
      <c r="D4634" s="2">
        <f>HYPERLINK("http://mcb-m6.bioreg.kyushu-u.ac.jp/M3/20110502/F51184/1093/1", 72.68)</f>
        <v>72.680000000000007</v>
      </c>
      <c r="E4634" s="2">
        <v>52.09</v>
      </c>
      <c r="F4634" s="2">
        <v>2</v>
      </c>
      <c r="G4634" s="2" t="s">
        <v>14</v>
      </c>
    </row>
    <row r="4635" spans="1:9" x14ac:dyDescent="0.2">
      <c r="A4635" s="2" t="s">
        <v>4289</v>
      </c>
      <c r="B4635" s="2" t="s">
        <v>1983</v>
      </c>
      <c r="C4635" s="2">
        <v>835.24109999999996</v>
      </c>
      <c r="D4635" s="2">
        <f>HYPERLINK("http://mcb-m6.bioreg.kyushu-u.ac.jp/M3/20110411/F50897/2492/1", 56.71)</f>
        <v>56.71</v>
      </c>
      <c r="E4635" s="2">
        <v>46.96</v>
      </c>
      <c r="F4635" s="2">
        <v>2</v>
      </c>
      <c r="G4635" s="2" t="s">
        <v>10</v>
      </c>
    </row>
    <row r="4636" spans="1:9" x14ac:dyDescent="0.2">
      <c r="A4636" s="2" t="s">
        <v>3290</v>
      </c>
      <c r="B4636" s="2" t="s">
        <v>70</v>
      </c>
      <c r="C4636" s="2">
        <v>855.91719999999998</v>
      </c>
      <c r="D4636" s="2">
        <f>HYPERLINK("http://mcb-m6.bioreg.kyushu-u.ac.jp/M3/20110411/F50915/2597/1", 35.69)</f>
        <v>35.69</v>
      </c>
      <c r="E4636" s="2">
        <v>16.82</v>
      </c>
      <c r="F4636" s="2">
        <v>2</v>
      </c>
      <c r="G4636" s="2" t="s">
        <v>9</v>
      </c>
      <c r="I4636" s="2" t="s">
        <v>4897</v>
      </c>
    </row>
    <row r="4637" spans="1:9" x14ac:dyDescent="0.2">
      <c r="A4637" s="2" t="s">
        <v>3733</v>
      </c>
      <c r="B4637" s="2" t="s">
        <v>731</v>
      </c>
      <c r="C4637" s="2">
        <v>504.74810000000002</v>
      </c>
      <c r="D4637" s="2">
        <f>HYPERLINK("http://mcb-m6.bioreg.kyushu-u.ac.jp/M3/20110411/F50889/1546/1", 49.52)</f>
        <v>49.52</v>
      </c>
      <c r="E4637" s="2">
        <v>15.02</v>
      </c>
      <c r="F4637" s="2">
        <v>2</v>
      </c>
      <c r="G4637" s="2" t="s">
        <v>9</v>
      </c>
    </row>
    <row r="4638" spans="1:9" x14ac:dyDescent="0.2">
      <c r="A4638" s="2" t="s">
        <v>3792</v>
      </c>
      <c r="B4638" s="2" t="s">
        <v>838</v>
      </c>
      <c r="C4638" s="2">
        <v>632.30110000000002</v>
      </c>
      <c r="D4638" s="2">
        <f>HYPERLINK("http://mcb-m6.bioreg.kyushu-u.ac.jp/M3/20110411/F50889/1944/1", 53)</f>
        <v>53</v>
      </c>
      <c r="E4638" s="2">
        <v>16.260000000000002</v>
      </c>
      <c r="F4638" s="2">
        <v>2</v>
      </c>
      <c r="G4638" s="2" t="s">
        <v>9</v>
      </c>
    </row>
    <row r="4639" spans="1:9" x14ac:dyDescent="0.2">
      <c r="A4639" s="2" t="s">
        <v>3792</v>
      </c>
      <c r="B4639" s="2" t="s">
        <v>924</v>
      </c>
      <c r="C4639" s="2">
        <v>890.96169999999995</v>
      </c>
      <c r="D4639" s="2">
        <f>HYPERLINK("http://mcb-m6.bioreg.kyushu-u.ac.jp/M3/20110411/F50889/2655/1", 55.85)</f>
        <v>55.85</v>
      </c>
      <c r="E4639" s="2">
        <v>35.520000000000003</v>
      </c>
      <c r="F4639" s="2">
        <v>2</v>
      </c>
      <c r="G4639" s="2" t="s">
        <v>9</v>
      </c>
      <c r="H4639" s="2" t="s">
        <v>4901</v>
      </c>
    </row>
    <row r="4640" spans="1:9" x14ac:dyDescent="0.2">
      <c r="A4640" s="2" t="s">
        <v>3792</v>
      </c>
      <c r="B4640" s="2" t="s">
        <v>1227</v>
      </c>
      <c r="C4640" s="2">
        <v>827.42719999999997</v>
      </c>
      <c r="D4640" s="2">
        <f>HYPERLINK("http://mcb-m6.bioreg.kyushu-u.ac.jp/M3/20110411/F50889/2500/1", 68.14)</f>
        <v>68.14</v>
      </c>
      <c r="E4640" s="2">
        <v>51.27</v>
      </c>
      <c r="F4640" s="2">
        <v>2</v>
      </c>
      <c r="G4640" s="2" t="s">
        <v>9</v>
      </c>
      <c r="H4640" s="2" t="s">
        <v>4915</v>
      </c>
    </row>
    <row r="4641" spans="1:8" x14ac:dyDescent="0.2">
      <c r="A4641" s="2" t="s">
        <v>3792</v>
      </c>
      <c r="B4641" s="2" t="s">
        <v>924</v>
      </c>
      <c r="C4641" s="2">
        <v>882.89260000000002</v>
      </c>
      <c r="D4641" s="2">
        <f>HYPERLINK("http://mcb-m6.bioreg.kyushu-u.ac.jp/M3/20110411/F50889/2623/1", 73.77)</f>
        <v>73.77</v>
      </c>
      <c r="E4641" s="2">
        <v>45.64</v>
      </c>
      <c r="F4641" s="2">
        <v>2</v>
      </c>
      <c r="G4641" s="2" t="s">
        <v>9</v>
      </c>
    </row>
    <row r="4642" spans="1:8" x14ac:dyDescent="0.2">
      <c r="A4642" s="2" t="s">
        <v>3792</v>
      </c>
      <c r="B4642" s="2" t="s">
        <v>1376</v>
      </c>
      <c r="C4642" s="2">
        <v>554.26120000000003</v>
      </c>
      <c r="D4642" s="2">
        <f>HYPERLINK("http://mcb-m6.bioreg.kyushu-u.ac.jp/M3/20110411/F50889/1716/1", 76.65)</f>
        <v>76.650000000000006</v>
      </c>
      <c r="E4642" s="2">
        <v>33.06</v>
      </c>
      <c r="F4642" s="2">
        <v>2</v>
      </c>
      <c r="G4642" s="2" t="s">
        <v>9</v>
      </c>
    </row>
    <row r="4643" spans="1:8" x14ac:dyDescent="0.2">
      <c r="A4643" s="2" t="s">
        <v>3792</v>
      </c>
      <c r="B4643" s="2" t="s">
        <v>1227</v>
      </c>
      <c r="C4643" s="2">
        <v>818.82209999999998</v>
      </c>
      <c r="D4643" s="2">
        <f>HYPERLINK("http://mcb-m6.bioreg.kyushu-u.ac.jp/M3/20110411/F50889/2473/1", 85.28)</f>
        <v>85.28</v>
      </c>
      <c r="E4643" s="2">
        <v>64.569999999999993</v>
      </c>
      <c r="F4643" s="2">
        <v>2</v>
      </c>
      <c r="G4643" s="2" t="s">
        <v>9</v>
      </c>
    </row>
    <row r="4644" spans="1:8" x14ac:dyDescent="0.2">
      <c r="A4644" s="2" t="s">
        <v>3792</v>
      </c>
      <c r="B4644" s="2" t="s">
        <v>1227</v>
      </c>
      <c r="C4644" s="2">
        <v>819.0027</v>
      </c>
      <c r="D4644" s="2">
        <f>HYPERLINK("http://mcb-m6.bioreg.kyushu-u.ac.jp/M3/20110411/F50896/2460/1", 50.38)</f>
        <v>50.38</v>
      </c>
      <c r="E4644" s="2">
        <v>29.66</v>
      </c>
      <c r="F4644" s="2">
        <v>2</v>
      </c>
      <c r="G4644" s="2" t="s">
        <v>10</v>
      </c>
    </row>
    <row r="4645" spans="1:8" x14ac:dyDescent="0.2">
      <c r="A4645" s="2" t="s">
        <v>3792</v>
      </c>
      <c r="B4645" s="2" t="s">
        <v>1227</v>
      </c>
      <c r="C4645" s="2">
        <v>819.03719999999998</v>
      </c>
      <c r="D4645" s="2">
        <f>HYPERLINK("http://mcb-m6.bioreg.kyushu-u.ac.jp/M3/20110411/F50896/2461/1", 62.7)</f>
        <v>62.7</v>
      </c>
      <c r="E4645" s="2">
        <v>49.99</v>
      </c>
      <c r="F4645" s="2">
        <v>2</v>
      </c>
      <c r="G4645" s="2" t="s">
        <v>10</v>
      </c>
    </row>
    <row r="4646" spans="1:8" x14ac:dyDescent="0.2">
      <c r="A4646" s="2" t="s">
        <v>3792</v>
      </c>
      <c r="B4646" s="2" t="s">
        <v>1376</v>
      </c>
      <c r="C4646" s="2">
        <v>554.41309999999999</v>
      </c>
      <c r="D4646" s="2">
        <f>HYPERLINK("http://mcb-m6.bioreg.kyushu-u.ac.jp/M3/20110411/F50896/1490/1", 74.82)</f>
        <v>74.819999999999993</v>
      </c>
      <c r="E4646" s="2">
        <v>33.15</v>
      </c>
      <c r="F4646" s="2">
        <v>2</v>
      </c>
      <c r="G4646" s="2" t="s">
        <v>10</v>
      </c>
    </row>
    <row r="4647" spans="1:8" x14ac:dyDescent="0.2">
      <c r="A4647" s="2" t="s">
        <v>3792</v>
      </c>
      <c r="B4647" s="2" t="s">
        <v>1227</v>
      </c>
      <c r="C4647" s="2">
        <v>827.05359999999996</v>
      </c>
      <c r="D4647" s="2">
        <f>HYPERLINK("http://mcb-m6.bioreg.kyushu-u.ac.jp/M3/20110411/F50896/2501/1", 81.15)</f>
        <v>81.150000000000006</v>
      </c>
      <c r="E4647" s="2">
        <v>59.92</v>
      </c>
      <c r="F4647" s="2">
        <v>2</v>
      </c>
      <c r="G4647" s="2" t="s">
        <v>10</v>
      </c>
      <c r="H4647" s="2" t="s">
        <v>4915</v>
      </c>
    </row>
    <row r="4648" spans="1:8" x14ac:dyDescent="0.2">
      <c r="A4648" s="2" t="s">
        <v>3792</v>
      </c>
      <c r="B4648" s="2" t="s">
        <v>1376</v>
      </c>
      <c r="C4648" s="2">
        <v>554.60310000000004</v>
      </c>
      <c r="D4648" s="2">
        <f>HYPERLINK("http://mcb-m6.bioreg.kyushu-u.ac.jp/M3/20110414/F50927/1569/1", 54.97)</f>
        <v>54.97</v>
      </c>
      <c r="E4648" s="2">
        <v>31</v>
      </c>
      <c r="F4648" s="2">
        <v>2</v>
      </c>
      <c r="G4648" s="2" t="s">
        <v>11</v>
      </c>
    </row>
    <row r="4649" spans="1:8" x14ac:dyDescent="0.2">
      <c r="A4649" s="2" t="s">
        <v>3792</v>
      </c>
      <c r="B4649" s="2" t="s">
        <v>1227</v>
      </c>
      <c r="C4649" s="2">
        <v>826.58510000000001</v>
      </c>
      <c r="D4649" s="2">
        <f>HYPERLINK("http://mcb-m6.bioreg.kyushu-u.ac.jp/M3/20110414/F50926/2482/1", 56.58)</f>
        <v>56.58</v>
      </c>
      <c r="E4649" s="2">
        <v>37.67</v>
      </c>
      <c r="F4649" s="2">
        <v>2</v>
      </c>
      <c r="G4649" s="2" t="s">
        <v>11</v>
      </c>
      <c r="H4649" s="2" t="s">
        <v>4915</v>
      </c>
    </row>
    <row r="4650" spans="1:8" x14ac:dyDescent="0.2">
      <c r="A4650" s="2" t="s">
        <v>3792</v>
      </c>
      <c r="B4650" s="2" t="s">
        <v>1227</v>
      </c>
      <c r="C4650" s="2">
        <v>818.57169999999996</v>
      </c>
      <c r="D4650" s="2">
        <f>HYPERLINK("http://mcb-m6.bioreg.kyushu-u.ac.jp/M3/20110414/F50926/2462/1", 57.21)</f>
        <v>57.21</v>
      </c>
      <c r="E4650" s="2">
        <v>32.31</v>
      </c>
      <c r="F4650" s="2">
        <v>2</v>
      </c>
      <c r="G4650" s="2" t="s">
        <v>11</v>
      </c>
      <c r="H4650" s="2" t="s">
        <v>4961</v>
      </c>
    </row>
    <row r="4651" spans="1:8" x14ac:dyDescent="0.2">
      <c r="A4651" s="2" t="s">
        <v>3792</v>
      </c>
      <c r="B4651" s="2" t="s">
        <v>1376</v>
      </c>
      <c r="C4651" s="2">
        <v>554.00369999999998</v>
      </c>
      <c r="D4651" s="2">
        <f>HYPERLINK("http://mcb-m6.bioreg.kyushu-u.ac.jp/M3/20110414/F50926/1640/1", 65.61)</f>
        <v>65.61</v>
      </c>
      <c r="E4651" s="2">
        <v>38.229999999999997</v>
      </c>
      <c r="F4651" s="2">
        <v>2</v>
      </c>
      <c r="G4651" s="2" t="s">
        <v>11</v>
      </c>
    </row>
    <row r="4652" spans="1:8" x14ac:dyDescent="0.2">
      <c r="A4652" s="2" t="s">
        <v>3792</v>
      </c>
      <c r="B4652" s="2" t="s">
        <v>1376</v>
      </c>
      <c r="C4652" s="2">
        <v>554.3066</v>
      </c>
      <c r="D4652" s="2">
        <f>HYPERLINK("http://mcb-m6.bioreg.kyushu-u.ac.jp/M3/20110414/F50926/1643/1", 74.68)</f>
        <v>74.680000000000007</v>
      </c>
      <c r="E4652" s="2">
        <v>38.770000000000003</v>
      </c>
      <c r="F4652" s="2">
        <v>2</v>
      </c>
      <c r="G4652" s="2" t="s">
        <v>11</v>
      </c>
    </row>
    <row r="4653" spans="1:8" x14ac:dyDescent="0.2">
      <c r="A4653" s="2" t="s">
        <v>3792</v>
      </c>
      <c r="B4653" s="2" t="s">
        <v>1227</v>
      </c>
      <c r="C4653" s="2">
        <v>827.10969999999998</v>
      </c>
      <c r="D4653" s="2">
        <f>HYPERLINK("http://mcb-m6.bioreg.kyushu-u.ac.jp/M3/20110414/F50926/2484/1", 85.63)</f>
        <v>85.63</v>
      </c>
      <c r="E4653" s="2">
        <v>60.4</v>
      </c>
      <c r="F4653" s="2">
        <v>2</v>
      </c>
      <c r="G4653" s="2" t="s">
        <v>11</v>
      </c>
      <c r="H4653" s="2" t="s">
        <v>4915</v>
      </c>
    </row>
    <row r="4654" spans="1:8" x14ac:dyDescent="0.2">
      <c r="A4654" s="2" t="s">
        <v>3792</v>
      </c>
      <c r="B4654" s="2" t="s">
        <v>1227</v>
      </c>
      <c r="C4654" s="2">
        <v>819.20010000000002</v>
      </c>
      <c r="D4654" s="2">
        <f>HYPERLINK("http://mcb-m6.bioreg.kyushu-u.ac.jp/M3/20110414/F50926/2464/1", 105.42)</f>
        <v>105.42</v>
      </c>
      <c r="E4654" s="2">
        <v>87.41</v>
      </c>
      <c r="F4654" s="2">
        <v>2</v>
      </c>
      <c r="G4654" s="2" t="s">
        <v>11</v>
      </c>
    </row>
    <row r="4655" spans="1:8" x14ac:dyDescent="0.2">
      <c r="A4655" s="2" t="s">
        <v>3792</v>
      </c>
      <c r="B4655" s="2" t="s">
        <v>2546</v>
      </c>
      <c r="C4655" s="2">
        <v>1006.386</v>
      </c>
      <c r="D4655" s="2">
        <f>HYPERLINK("http://mcb-m6.bioreg.kyushu-u.ac.jp/M3/20110414/F50931/2011/1", 37.13)</f>
        <v>37.130000000000003</v>
      </c>
      <c r="E4655" s="2">
        <v>20.49</v>
      </c>
      <c r="F4655" s="2">
        <v>1</v>
      </c>
      <c r="G4655" s="2" t="s">
        <v>12</v>
      </c>
    </row>
    <row r="4656" spans="1:8" x14ac:dyDescent="0.2">
      <c r="A4656" s="2" t="s">
        <v>3792</v>
      </c>
      <c r="B4656" s="2" t="s">
        <v>1376</v>
      </c>
      <c r="C4656" s="2">
        <v>554.87959999999998</v>
      </c>
      <c r="D4656" s="2">
        <f>HYPERLINK("http://mcb-m6.bioreg.kyushu-u.ac.jp/M3/20110414/F50931/2056/1", 43.24)</f>
        <v>43.24</v>
      </c>
      <c r="E4656" s="2">
        <v>17.34</v>
      </c>
      <c r="F4656" s="2">
        <v>2</v>
      </c>
      <c r="G4656" s="2" t="s">
        <v>12</v>
      </c>
    </row>
    <row r="4657" spans="1:8" x14ac:dyDescent="0.2">
      <c r="A4657" s="2" t="s">
        <v>3792</v>
      </c>
      <c r="B4657" s="2" t="s">
        <v>1227</v>
      </c>
      <c r="C4657" s="2">
        <v>827.08169999999996</v>
      </c>
      <c r="D4657" s="2">
        <f>HYPERLINK("http://mcb-m6.bioreg.kyushu-u.ac.jp/M3/20110414/F50931/2325/1", 49.82)</f>
        <v>49.82</v>
      </c>
      <c r="E4657" s="2">
        <v>33.74</v>
      </c>
      <c r="F4657" s="2">
        <v>2</v>
      </c>
      <c r="G4657" s="2" t="s">
        <v>12</v>
      </c>
      <c r="H4657" s="2" t="s">
        <v>4915</v>
      </c>
    </row>
    <row r="4658" spans="1:8" x14ac:dyDescent="0.2">
      <c r="A4658" s="2" t="s">
        <v>3792</v>
      </c>
      <c r="B4658" s="2" t="s">
        <v>1227</v>
      </c>
      <c r="C4658" s="2">
        <v>827.41060000000004</v>
      </c>
      <c r="D4658" s="2">
        <f>HYPERLINK("http://mcb-m6.bioreg.kyushu-u.ac.jp/M3/20110414/F50931/2326/1", 50.34)</f>
        <v>50.34</v>
      </c>
      <c r="E4658" s="2">
        <v>34.74</v>
      </c>
      <c r="F4658" s="2">
        <v>2</v>
      </c>
      <c r="G4658" s="2" t="s">
        <v>12</v>
      </c>
      <c r="H4658" s="2" t="s">
        <v>4915</v>
      </c>
    </row>
    <row r="4659" spans="1:8" x14ac:dyDescent="0.2">
      <c r="A4659" s="2" t="s">
        <v>3792</v>
      </c>
      <c r="B4659" s="2" t="s">
        <v>1376</v>
      </c>
      <c r="C4659" s="2">
        <v>554.65869999999995</v>
      </c>
      <c r="D4659" s="2">
        <f>HYPERLINK("http://mcb-m6.bioreg.kyushu-u.ac.jp/M3/20110414/F50931/2055/1", 60.17)</f>
        <v>60.17</v>
      </c>
      <c r="E4659" s="2">
        <v>31.42</v>
      </c>
      <c r="F4659" s="2">
        <v>2</v>
      </c>
      <c r="G4659" s="2" t="s">
        <v>12</v>
      </c>
    </row>
    <row r="4660" spans="1:8" x14ac:dyDescent="0.2">
      <c r="A4660" s="2" t="s">
        <v>3792</v>
      </c>
      <c r="B4660" s="2" t="s">
        <v>2546</v>
      </c>
      <c r="C4660" s="2">
        <v>1006.643</v>
      </c>
      <c r="D4660" s="2">
        <f>HYPERLINK("http://mcb-m6.bioreg.kyushu-u.ac.jp/M3/20110502/F51167/1470/1", 38.35)</f>
        <v>38.35</v>
      </c>
      <c r="E4660" s="2">
        <v>17.14</v>
      </c>
      <c r="F4660" s="2">
        <v>1</v>
      </c>
      <c r="G4660" s="2" t="s">
        <v>13</v>
      </c>
    </row>
    <row r="4661" spans="1:8" x14ac:dyDescent="0.2">
      <c r="A4661" s="2" t="s">
        <v>3792</v>
      </c>
      <c r="B4661" s="2" t="s">
        <v>1227</v>
      </c>
      <c r="C4661" s="2">
        <v>810.50210000000004</v>
      </c>
      <c r="D4661" s="2">
        <f>HYPERLINK("http://mcb-m6.bioreg.kyushu-u.ac.jp/M3/20110502/F51167/2146/1", 61.57)</f>
        <v>61.57</v>
      </c>
      <c r="E4661" s="2">
        <v>49.92</v>
      </c>
      <c r="F4661" s="2">
        <v>2</v>
      </c>
      <c r="G4661" s="2" t="s">
        <v>13</v>
      </c>
      <c r="H4661" s="2" t="s">
        <v>4904</v>
      </c>
    </row>
    <row r="4662" spans="1:8" x14ac:dyDescent="0.2">
      <c r="A4662" s="2" t="s">
        <v>3792</v>
      </c>
      <c r="B4662" s="2" t="s">
        <v>1227</v>
      </c>
      <c r="C4662" s="2">
        <v>819.49220000000003</v>
      </c>
      <c r="D4662" s="2">
        <f>HYPERLINK("http://mcb-m6.bioreg.kyushu-u.ac.jp/M3/20110502/F51167/2157/1", 67.07)</f>
        <v>67.069999999999993</v>
      </c>
      <c r="E4662" s="2">
        <v>46.55</v>
      </c>
      <c r="F4662" s="2">
        <v>2</v>
      </c>
      <c r="G4662" s="2" t="s">
        <v>13</v>
      </c>
    </row>
    <row r="4663" spans="1:8" x14ac:dyDescent="0.2">
      <c r="A4663" s="2" t="s">
        <v>3792</v>
      </c>
      <c r="B4663" s="2" t="s">
        <v>1376</v>
      </c>
      <c r="C4663" s="2">
        <v>554.35170000000005</v>
      </c>
      <c r="D4663" s="2">
        <f>HYPERLINK("http://mcb-m6.bioreg.kyushu-u.ac.jp/M3/20110502/F51167/1589/1", 69.34)</f>
        <v>69.34</v>
      </c>
      <c r="E4663" s="2">
        <v>39.47</v>
      </c>
      <c r="F4663" s="2">
        <v>2</v>
      </c>
      <c r="G4663" s="2" t="s">
        <v>13</v>
      </c>
    </row>
    <row r="4664" spans="1:8" x14ac:dyDescent="0.2">
      <c r="A4664" s="2" t="s">
        <v>3792</v>
      </c>
      <c r="B4664" s="2" t="s">
        <v>1227</v>
      </c>
      <c r="C4664" s="2">
        <v>827.10360000000003</v>
      </c>
      <c r="D4664" s="2">
        <f>HYPERLINK("http://mcb-m6.bioreg.kyushu-u.ac.jp/M3/20110502/F51167/2165/1", 73.38)</f>
        <v>73.38</v>
      </c>
      <c r="E4664" s="2">
        <v>59.77</v>
      </c>
      <c r="F4664" s="2">
        <v>2</v>
      </c>
      <c r="G4664" s="2" t="s">
        <v>13</v>
      </c>
      <c r="H4664" s="2" t="s">
        <v>4915</v>
      </c>
    </row>
    <row r="4665" spans="1:8" x14ac:dyDescent="0.2">
      <c r="A4665" s="2" t="s">
        <v>3792</v>
      </c>
      <c r="B4665" s="2" t="s">
        <v>1227</v>
      </c>
      <c r="C4665" s="2">
        <v>818.75419999999997</v>
      </c>
      <c r="D4665" s="2">
        <f>HYPERLINK("http://mcb-m6.bioreg.kyushu-u.ac.jp/M3/20110502/F51167/2156/1", 108.01)</f>
        <v>108.01</v>
      </c>
      <c r="E4665" s="2">
        <v>93.82</v>
      </c>
      <c r="F4665" s="2">
        <v>2</v>
      </c>
      <c r="G4665" s="2" t="s">
        <v>13</v>
      </c>
    </row>
    <row r="4666" spans="1:8" x14ac:dyDescent="0.2">
      <c r="A4666" s="2" t="s">
        <v>3792</v>
      </c>
      <c r="B4666" s="2" t="s">
        <v>1227</v>
      </c>
      <c r="C4666" s="2">
        <v>818.87819999999999</v>
      </c>
      <c r="D4666" s="2">
        <f>HYPERLINK("http://mcb-m6.bioreg.kyushu-u.ac.jp/M3/20110502/F51176/2213/1", 40.54)</f>
        <v>40.54</v>
      </c>
      <c r="E4666" s="2">
        <v>24.49</v>
      </c>
      <c r="F4666" s="2">
        <v>2</v>
      </c>
      <c r="G4666" s="2" t="s">
        <v>14</v>
      </c>
      <c r="H4666" s="2" t="s">
        <v>4961</v>
      </c>
    </row>
    <row r="4667" spans="1:8" x14ac:dyDescent="0.2">
      <c r="A4667" s="2" t="s">
        <v>3792</v>
      </c>
      <c r="B4667" s="2" t="s">
        <v>1227</v>
      </c>
      <c r="C4667" s="2">
        <v>810.4357</v>
      </c>
      <c r="D4667" s="2">
        <f>HYPERLINK("http://mcb-m6.bioreg.kyushu-u.ac.jp/M3/20110502/F51176/2190/1", 46.04)</f>
        <v>46.04</v>
      </c>
      <c r="E4667" s="2">
        <v>31.21</v>
      </c>
      <c r="F4667" s="2">
        <v>2</v>
      </c>
      <c r="G4667" s="2" t="s">
        <v>14</v>
      </c>
      <c r="H4667" s="2" t="s">
        <v>4904</v>
      </c>
    </row>
    <row r="4668" spans="1:8" x14ac:dyDescent="0.2">
      <c r="A4668" s="2" t="s">
        <v>3792</v>
      </c>
      <c r="B4668" s="2" t="s">
        <v>1227</v>
      </c>
      <c r="C4668" s="2">
        <v>827.12819999999999</v>
      </c>
      <c r="D4668" s="2">
        <f>HYPERLINK("http://mcb-m6.bioreg.kyushu-u.ac.jp/M3/20110502/F51176/2227/1", 76.22)</f>
        <v>76.22</v>
      </c>
      <c r="E4668" s="2">
        <v>60.16</v>
      </c>
      <c r="F4668" s="2">
        <v>2</v>
      </c>
      <c r="G4668" s="2" t="s">
        <v>14</v>
      </c>
      <c r="H4668" s="2" t="s">
        <v>4915</v>
      </c>
    </row>
    <row r="4669" spans="1:8" x14ac:dyDescent="0.2">
      <c r="A4669" s="2" t="s">
        <v>3593</v>
      </c>
      <c r="B4669" s="2" t="s">
        <v>483</v>
      </c>
      <c r="C4669" s="2">
        <v>599.36659999999995</v>
      </c>
      <c r="D4669" s="2">
        <f>HYPERLINK("http://mcb-m6.bioreg.kyushu-u.ac.jp/M3/20110411/F50890/1523/1", 42.83)</f>
        <v>42.83</v>
      </c>
      <c r="E4669" s="2">
        <v>23.47</v>
      </c>
      <c r="F4669" s="2">
        <v>2</v>
      </c>
      <c r="G4669" s="2" t="s">
        <v>9</v>
      </c>
    </row>
    <row r="4670" spans="1:8" x14ac:dyDescent="0.2">
      <c r="A4670" s="2" t="s">
        <v>3593</v>
      </c>
      <c r="B4670" s="2" t="s">
        <v>483</v>
      </c>
      <c r="C4670" s="2">
        <v>1196.4880000000001</v>
      </c>
      <c r="D4670" s="2">
        <f>HYPERLINK("http://mcb-m6.bioreg.kyushu-u.ac.jp/M3/20110411/F50889/1848/1", 65.61)</f>
        <v>65.61</v>
      </c>
      <c r="E4670" s="2">
        <v>39.85</v>
      </c>
      <c r="F4670" s="2">
        <v>1</v>
      </c>
      <c r="G4670" s="2" t="s">
        <v>9</v>
      </c>
    </row>
    <row r="4671" spans="1:8" x14ac:dyDescent="0.2">
      <c r="A4671" s="2" t="s">
        <v>3593</v>
      </c>
      <c r="B4671" s="2" t="s">
        <v>483</v>
      </c>
      <c r="C4671" s="2">
        <v>598.7672</v>
      </c>
      <c r="D4671" s="2">
        <f>HYPERLINK("http://mcb-m6.bioreg.kyushu-u.ac.jp/M3/20110411/F50889/1849/1", 76.26)</f>
        <v>76.260000000000005</v>
      </c>
      <c r="E4671" s="2">
        <v>53.03</v>
      </c>
      <c r="F4671" s="2">
        <v>2</v>
      </c>
      <c r="G4671" s="2" t="s">
        <v>9</v>
      </c>
    </row>
    <row r="4672" spans="1:8" x14ac:dyDescent="0.2">
      <c r="A4672" s="2" t="s">
        <v>3593</v>
      </c>
      <c r="B4672" s="2" t="s">
        <v>1412</v>
      </c>
      <c r="C4672" s="2">
        <v>991.75869999999998</v>
      </c>
      <c r="D4672" s="2">
        <f>HYPERLINK("http://mcb-m6.bioreg.kyushu-u.ac.jp/M3/20110411/F50889/2855/1", 78.35)</f>
        <v>78.349999999999994</v>
      </c>
      <c r="E4672" s="2">
        <v>56.96</v>
      </c>
      <c r="F4672" s="2">
        <v>2</v>
      </c>
      <c r="G4672" s="2" t="s">
        <v>9</v>
      </c>
    </row>
    <row r="4673" spans="1:7" x14ac:dyDescent="0.2">
      <c r="A4673" s="2" t="s">
        <v>3593</v>
      </c>
      <c r="B4673" s="2" t="s">
        <v>1412</v>
      </c>
      <c r="C4673" s="2">
        <v>992.27509999999995</v>
      </c>
      <c r="D4673" s="2">
        <f>HYPERLINK("http://mcb-m6.bioreg.kyushu-u.ac.jp/M3/20110411/F50889/2856/1", 93.09)</f>
        <v>93.09</v>
      </c>
      <c r="E4673" s="2">
        <v>79.94</v>
      </c>
      <c r="F4673" s="2">
        <v>2</v>
      </c>
      <c r="G4673" s="2" t="s">
        <v>9</v>
      </c>
    </row>
    <row r="4674" spans="1:7" x14ac:dyDescent="0.2">
      <c r="A4674" s="2" t="s">
        <v>3593</v>
      </c>
      <c r="B4674" s="2" t="s">
        <v>1807</v>
      </c>
      <c r="C4674" s="2">
        <v>894.71100000000001</v>
      </c>
      <c r="D4674" s="2">
        <f>HYPERLINK("http://mcb-m6.bioreg.kyushu-u.ac.jp/M3/20110411/F50896/1026/1", 40.42)</f>
        <v>40.42</v>
      </c>
      <c r="E4674" s="2">
        <v>18.38</v>
      </c>
      <c r="F4674" s="2">
        <v>1</v>
      </c>
      <c r="G4674" s="2" t="s">
        <v>10</v>
      </c>
    </row>
    <row r="4675" spans="1:7" x14ac:dyDescent="0.2">
      <c r="A4675" s="2" t="s">
        <v>3593</v>
      </c>
      <c r="B4675" s="2" t="s">
        <v>483</v>
      </c>
      <c r="C4675" s="2">
        <v>1196.877</v>
      </c>
      <c r="D4675" s="2">
        <f>HYPERLINK("http://mcb-m6.bioreg.kyushu-u.ac.jp/M3/20110411/F50896/1640/1", 57.69)</f>
        <v>57.69</v>
      </c>
      <c r="E4675" s="2">
        <v>38.299999999999997</v>
      </c>
      <c r="F4675" s="2">
        <v>1</v>
      </c>
      <c r="G4675" s="2" t="s">
        <v>10</v>
      </c>
    </row>
    <row r="4676" spans="1:7" x14ac:dyDescent="0.2">
      <c r="A4676" s="2" t="s">
        <v>3593</v>
      </c>
      <c r="B4676" s="2" t="s">
        <v>483</v>
      </c>
      <c r="C4676" s="2">
        <v>599.09670000000006</v>
      </c>
      <c r="D4676" s="2">
        <f>HYPERLINK("http://mcb-m6.bioreg.kyushu-u.ac.jp/M3/20110411/F50896/1641/1", 71.82)</f>
        <v>71.819999999999993</v>
      </c>
      <c r="E4676" s="2">
        <v>42.69</v>
      </c>
      <c r="F4676" s="2">
        <v>2</v>
      </c>
      <c r="G4676" s="2" t="s">
        <v>10</v>
      </c>
    </row>
    <row r="4677" spans="1:7" x14ac:dyDescent="0.2">
      <c r="A4677" s="2" t="s">
        <v>3593</v>
      </c>
      <c r="B4677" s="2" t="s">
        <v>483</v>
      </c>
      <c r="C4677" s="2">
        <v>1196.191</v>
      </c>
      <c r="D4677" s="2">
        <f>HYPERLINK("http://mcb-m6.bioreg.kyushu-u.ac.jp/M3/20110414/F50926/1775/1", 35.9)</f>
        <v>35.9</v>
      </c>
      <c r="E4677" s="2">
        <v>14.28</v>
      </c>
      <c r="F4677" s="2">
        <v>1</v>
      </c>
      <c r="G4677" s="2" t="s">
        <v>11</v>
      </c>
    </row>
    <row r="4678" spans="1:7" x14ac:dyDescent="0.2">
      <c r="A4678" s="2" t="s">
        <v>3593</v>
      </c>
      <c r="B4678" s="2" t="s">
        <v>483</v>
      </c>
      <c r="C4678" s="2">
        <v>598.55719999999997</v>
      </c>
      <c r="D4678" s="2">
        <f>HYPERLINK("http://mcb-m6.bioreg.kyushu-u.ac.jp/M3/20110414/F50927/1734/1", 40.73)</f>
        <v>40.729999999999997</v>
      </c>
      <c r="E4678" s="2">
        <v>20.49</v>
      </c>
      <c r="F4678" s="2">
        <v>2</v>
      </c>
      <c r="G4678" s="2" t="s">
        <v>11</v>
      </c>
    </row>
    <row r="4679" spans="1:7" x14ac:dyDescent="0.2">
      <c r="A4679" s="2" t="s">
        <v>3593</v>
      </c>
      <c r="B4679" s="2" t="s">
        <v>483</v>
      </c>
      <c r="C4679" s="2">
        <v>598.9982</v>
      </c>
      <c r="D4679" s="2">
        <f>HYPERLINK("http://mcb-m6.bioreg.kyushu-u.ac.jp/M3/20110414/F50926/1778/1", 76.83)</f>
        <v>76.83</v>
      </c>
      <c r="E4679" s="2">
        <v>53.7</v>
      </c>
      <c r="F4679" s="2">
        <v>2</v>
      </c>
      <c r="G4679" s="2" t="s">
        <v>11</v>
      </c>
    </row>
    <row r="4680" spans="1:7" x14ac:dyDescent="0.2">
      <c r="A4680" s="2" t="s">
        <v>3593</v>
      </c>
      <c r="B4680" s="2" t="s">
        <v>1412</v>
      </c>
      <c r="C4680" s="2">
        <v>992.15009999999995</v>
      </c>
      <c r="D4680" s="2">
        <f>HYPERLINK("http://mcb-m6.bioreg.kyushu-u.ac.jp/M3/20110414/F50926/2853/1", 97.09)</f>
        <v>97.09</v>
      </c>
      <c r="E4680" s="2">
        <v>80.849999999999994</v>
      </c>
      <c r="F4680" s="2">
        <v>2</v>
      </c>
      <c r="G4680" s="2" t="s">
        <v>11</v>
      </c>
    </row>
    <row r="4681" spans="1:7" x14ac:dyDescent="0.2">
      <c r="A4681" s="2" t="s">
        <v>3593</v>
      </c>
      <c r="B4681" s="2" t="s">
        <v>2815</v>
      </c>
      <c r="C4681" s="2">
        <v>831.61300000000006</v>
      </c>
      <c r="D4681" s="2">
        <f>HYPERLINK("http://mcb-m6.bioreg.kyushu-u.ac.jp/M3/20110502/F51167/1294/1", 36.92)</f>
        <v>36.92</v>
      </c>
      <c r="E4681" s="2">
        <v>10.01</v>
      </c>
      <c r="F4681" s="2">
        <v>1</v>
      </c>
      <c r="G4681" s="2" t="s">
        <v>13</v>
      </c>
    </row>
    <row r="4682" spans="1:7" x14ac:dyDescent="0.2">
      <c r="A4682" s="2" t="s">
        <v>3593</v>
      </c>
      <c r="B4682" s="2" t="s">
        <v>1807</v>
      </c>
      <c r="C4682" s="2">
        <v>894.63800000000003</v>
      </c>
      <c r="D4682" s="2">
        <f>HYPERLINK("http://mcb-m6.bioreg.kyushu-u.ac.jp/M3/20110502/F51167/1323/1", 45.68)</f>
        <v>45.68</v>
      </c>
      <c r="E4682" s="2">
        <v>20.149999999999999</v>
      </c>
      <c r="F4682" s="2">
        <v>1</v>
      </c>
      <c r="G4682" s="2" t="s">
        <v>13</v>
      </c>
    </row>
    <row r="4683" spans="1:7" x14ac:dyDescent="0.2">
      <c r="A4683" s="2" t="s">
        <v>3593</v>
      </c>
      <c r="B4683" s="2" t="s">
        <v>483</v>
      </c>
      <c r="C4683" s="2">
        <v>1196.6849999999999</v>
      </c>
      <c r="D4683" s="2">
        <f>HYPERLINK("http://mcb-m6.bioreg.kyushu-u.ac.jp/M3/20110502/F51167/1711/1", 52.13)</f>
        <v>52.13</v>
      </c>
      <c r="E4683" s="2">
        <v>36.11</v>
      </c>
      <c r="F4683" s="2">
        <v>1</v>
      </c>
      <c r="G4683" s="2" t="s">
        <v>13</v>
      </c>
    </row>
    <row r="4684" spans="1:7" x14ac:dyDescent="0.2">
      <c r="A4684" s="2" t="s">
        <v>3593</v>
      </c>
      <c r="B4684" s="2" t="s">
        <v>483</v>
      </c>
      <c r="C4684" s="2">
        <v>599.21870000000001</v>
      </c>
      <c r="D4684" s="2">
        <f>HYPERLINK("http://mcb-m6.bioreg.kyushu-u.ac.jp/M3/20110502/F51167/1715/1", 59.89)</f>
        <v>59.89</v>
      </c>
      <c r="E4684" s="2">
        <v>38.659999999999997</v>
      </c>
      <c r="F4684" s="2">
        <v>2</v>
      </c>
      <c r="G4684" s="2" t="s">
        <v>13</v>
      </c>
    </row>
    <row r="4685" spans="1:7" x14ac:dyDescent="0.2">
      <c r="A4685" s="2" t="s">
        <v>3593</v>
      </c>
      <c r="B4685" s="2" t="s">
        <v>483</v>
      </c>
      <c r="C4685" s="2">
        <v>599.06619999999998</v>
      </c>
      <c r="D4685" s="2">
        <f>HYPERLINK("http://mcb-m6.bioreg.kyushu-u.ac.jp/M3/20110502/F51177/1095/1", 49.06)</f>
        <v>49.06</v>
      </c>
      <c r="E4685" s="2">
        <v>17.809999999999999</v>
      </c>
      <c r="F4685" s="2">
        <v>2</v>
      </c>
      <c r="G4685" s="2" t="s">
        <v>14</v>
      </c>
    </row>
    <row r="4686" spans="1:7" x14ac:dyDescent="0.2">
      <c r="A4686" s="2" t="s">
        <v>3593</v>
      </c>
      <c r="B4686" s="2" t="s">
        <v>483</v>
      </c>
      <c r="C4686" s="2">
        <v>598.98569999999995</v>
      </c>
      <c r="D4686" s="2">
        <f>HYPERLINK("http://mcb-m6.bioreg.kyushu-u.ac.jp/M3/20110502/F51176/1719/1", 54.46)</f>
        <v>54.46</v>
      </c>
      <c r="E4686" s="2">
        <v>25.27</v>
      </c>
      <c r="F4686" s="2">
        <v>2</v>
      </c>
      <c r="G4686" s="2" t="s">
        <v>14</v>
      </c>
    </row>
    <row r="4687" spans="1:7" x14ac:dyDescent="0.2">
      <c r="A4687" s="2" t="s">
        <v>3593</v>
      </c>
      <c r="B4687" s="2" t="s">
        <v>483</v>
      </c>
      <c r="C4687" s="2">
        <v>1196.8109999999999</v>
      </c>
      <c r="D4687" s="2">
        <f>HYPERLINK("http://mcb-m6.bioreg.kyushu-u.ac.jp/M3/20110502/F51176/1718/1", 59.99)</f>
        <v>59.99</v>
      </c>
      <c r="E4687" s="2">
        <v>38.53</v>
      </c>
      <c r="F4687" s="2">
        <v>1</v>
      </c>
      <c r="G4687" s="2" t="s">
        <v>14</v>
      </c>
    </row>
    <row r="4688" spans="1:7" x14ac:dyDescent="0.2">
      <c r="A4688" s="2" t="s">
        <v>3593</v>
      </c>
      <c r="B4688" s="2" t="s">
        <v>483</v>
      </c>
      <c r="C4688" s="2">
        <v>599.02620000000002</v>
      </c>
      <c r="D4688" s="2">
        <f>HYPERLINK("http://mcb-m6.bioreg.kyushu-u.ac.jp/M3/20110502/F51176/1720/1", 72.27)</f>
        <v>72.27</v>
      </c>
      <c r="E4688" s="2">
        <v>42.58</v>
      </c>
      <c r="F4688" s="2">
        <v>2</v>
      </c>
      <c r="G4688" s="2" t="s">
        <v>14</v>
      </c>
    </row>
    <row r="4689" spans="1:8" x14ac:dyDescent="0.2">
      <c r="A4689" s="2" t="s">
        <v>3571</v>
      </c>
      <c r="B4689" s="2" t="s">
        <v>439</v>
      </c>
      <c r="C4689" s="2">
        <v>1208.5830000000001</v>
      </c>
      <c r="D4689" s="2">
        <f>HYPERLINK("http://mcb-m6.bioreg.kyushu-u.ac.jp/M3/20110411/F50889/1874/1", 41.89)</f>
        <v>41.89</v>
      </c>
      <c r="E4689" s="2">
        <v>26.4</v>
      </c>
      <c r="F4689" s="2">
        <v>1</v>
      </c>
      <c r="G4689" s="2" t="s">
        <v>9</v>
      </c>
      <c r="H4689" s="2" t="s">
        <v>4904</v>
      </c>
    </row>
    <row r="4690" spans="1:8" x14ac:dyDescent="0.2">
      <c r="A4690" s="2" t="s">
        <v>3571</v>
      </c>
      <c r="B4690" s="2" t="s">
        <v>883</v>
      </c>
      <c r="C4690" s="2">
        <v>680.90170000000001</v>
      </c>
      <c r="D4690" s="2">
        <f>HYPERLINK("http://mcb-m6.bioreg.kyushu-u.ac.jp/M3/20110411/F50889/2049/1", 54.35)</f>
        <v>54.35</v>
      </c>
      <c r="E4690" s="2">
        <v>32.18</v>
      </c>
      <c r="F4690" s="2">
        <v>2</v>
      </c>
      <c r="G4690" s="2" t="s">
        <v>9</v>
      </c>
    </row>
    <row r="4691" spans="1:8" x14ac:dyDescent="0.2">
      <c r="A4691" s="2" t="s">
        <v>3571</v>
      </c>
      <c r="B4691" s="2" t="s">
        <v>439</v>
      </c>
      <c r="C4691" s="2">
        <v>613.8297</v>
      </c>
      <c r="D4691" s="2">
        <f>HYPERLINK("http://mcb-m6.bioreg.kyushu-u.ac.jp/M3/20110411/F50890/1584/1", 55.88)</f>
        <v>55.88</v>
      </c>
      <c r="E4691" s="2">
        <v>33.1</v>
      </c>
      <c r="F4691" s="2">
        <v>2</v>
      </c>
      <c r="G4691" s="2" t="s">
        <v>9</v>
      </c>
    </row>
    <row r="4692" spans="1:8" x14ac:dyDescent="0.2">
      <c r="A4692" s="2" t="s">
        <v>3571</v>
      </c>
      <c r="B4692" s="2" t="s">
        <v>439</v>
      </c>
      <c r="C4692" s="2">
        <v>613.29819999999995</v>
      </c>
      <c r="D4692" s="2">
        <f>HYPERLINK("http://mcb-m6.bioreg.kyushu-u.ac.jp/M3/20110411/F50889/1905/1", 56.44)</f>
        <v>56.44</v>
      </c>
      <c r="E4692" s="2">
        <v>34.369999999999997</v>
      </c>
      <c r="F4692" s="2">
        <v>2</v>
      </c>
      <c r="G4692" s="2" t="s">
        <v>9</v>
      </c>
    </row>
    <row r="4693" spans="1:8" x14ac:dyDescent="0.2">
      <c r="A4693" s="2" t="s">
        <v>3571</v>
      </c>
      <c r="B4693" s="2" t="s">
        <v>883</v>
      </c>
      <c r="C4693" s="2">
        <v>680.28769999999997</v>
      </c>
      <c r="D4693" s="2">
        <f>HYPERLINK("http://mcb-m6.bioreg.kyushu-u.ac.jp/M3/20110411/F50889/2046/1", 61.21)</f>
        <v>61.21</v>
      </c>
      <c r="E4693" s="2">
        <v>43.11</v>
      </c>
      <c r="F4693" s="2">
        <v>2</v>
      </c>
      <c r="G4693" s="2" t="s">
        <v>9</v>
      </c>
    </row>
    <row r="4694" spans="1:8" x14ac:dyDescent="0.2">
      <c r="A4694" s="2" t="s">
        <v>3571</v>
      </c>
      <c r="B4694" s="2" t="s">
        <v>439</v>
      </c>
      <c r="C4694" s="2">
        <v>1225.915</v>
      </c>
      <c r="D4694" s="2">
        <f>HYPERLINK("http://mcb-m6.bioreg.kyushu-u.ac.jp/M3/20110411/F50896/1696/1", 41.92)</f>
        <v>41.92</v>
      </c>
      <c r="E4694" s="2">
        <v>20.079999999999998</v>
      </c>
      <c r="F4694" s="2">
        <v>1</v>
      </c>
      <c r="G4694" s="2" t="s">
        <v>10</v>
      </c>
    </row>
    <row r="4695" spans="1:8" x14ac:dyDescent="0.2">
      <c r="A4695" s="2" t="s">
        <v>3571</v>
      </c>
      <c r="B4695" s="2" t="s">
        <v>439</v>
      </c>
      <c r="C4695" s="2">
        <v>1208.874</v>
      </c>
      <c r="D4695" s="2">
        <f>HYPERLINK("http://mcb-m6.bioreg.kyushu-u.ac.jp/M3/20110411/F50896/1658/1", 43.59)</f>
        <v>43.59</v>
      </c>
      <c r="E4695" s="2">
        <v>21.14</v>
      </c>
      <c r="F4695" s="2">
        <v>1</v>
      </c>
      <c r="G4695" s="2" t="s">
        <v>10</v>
      </c>
      <c r="H4695" s="2" t="s">
        <v>4904</v>
      </c>
    </row>
    <row r="4696" spans="1:8" x14ac:dyDescent="0.2">
      <c r="A4696" s="2" t="s">
        <v>3571</v>
      </c>
      <c r="B4696" s="2" t="s">
        <v>883</v>
      </c>
      <c r="C4696" s="2">
        <v>680.45920000000001</v>
      </c>
      <c r="D4696" s="2">
        <f>HYPERLINK("http://mcb-m6.bioreg.kyushu-u.ac.jp/M3/20110411/F50896/1894/1", 56.61)</f>
        <v>56.61</v>
      </c>
      <c r="E4696" s="2">
        <v>30.45</v>
      </c>
      <c r="F4696" s="2">
        <v>2</v>
      </c>
      <c r="G4696" s="2" t="s">
        <v>10</v>
      </c>
    </row>
    <row r="4697" spans="1:8" x14ac:dyDescent="0.2">
      <c r="A4697" s="2" t="s">
        <v>3571</v>
      </c>
      <c r="B4697" s="2" t="s">
        <v>439</v>
      </c>
      <c r="C4697" s="2">
        <v>613.1481</v>
      </c>
      <c r="D4697" s="2">
        <f>HYPERLINK("http://mcb-m6.bioreg.kyushu-u.ac.jp/M3/20110411/F50896/1694/1", 64.41)</f>
        <v>64.41</v>
      </c>
      <c r="E4697" s="2">
        <v>40.68</v>
      </c>
      <c r="F4697" s="2">
        <v>2</v>
      </c>
      <c r="G4697" s="2" t="s">
        <v>10</v>
      </c>
    </row>
    <row r="4698" spans="1:8" x14ac:dyDescent="0.2">
      <c r="A4698" s="2" t="s">
        <v>3571</v>
      </c>
      <c r="B4698" s="2" t="s">
        <v>439</v>
      </c>
      <c r="C4698" s="2">
        <v>613.66309999999999</v>
      </c>
      <c r="D4698" s="2">
        <f>HYPERLINK("http://mcb-m6.bioreg.kyushu-u.ac.jp/M3/20110411/F50896/1697/1", 64.85)</f>
        <v>64.849999999999994</v>
      </c>
      <c r="E4698" s="2">
        <v>44.93</v>
      </c>
      <c r="F4698" s="2">
        <v>2</v>
      </c>
      <c r="G4698" s="2" t="s">
        <v>10</v>
      </c>
    </row>
    <row r="4699" spans="1:8" x14ac:dyDescent="0.2">
      <c r="A4699" s="2" t="s">
        <v>3571</v>
      </c>
      <c r="B4699" s="2" t="s">
        <v>883</v>
      </c>
      <c r="C4699" s="2">
        <v>680.60109999999997</v>
      </c>
      <c r="D4699" s="2">
        <f>HYPERLINK("http://mcb-m6.bioreg.kyushu-u.ac.jp/M3/20110414/F50926/1994/1", 38.79)</f>
        <v>38.79</v>
      </c>
      <c r="E4699" s="2">
        <v>26.19</v>
      </c>
      <c r="F4699" s="2">
        <v>2</v>
      </c>
      <c r="G4699" s="2" t="s">
        <v>11</v>
      </c>
    </row>
    <row r="4700" spans="1:8" x14ac:dyDescent="0.2">
      <c r="A4700" s="2" t="s">
        <v>3571</v>
      </c>
      <c r="B4700" s="2" t="s">
        <v>439</v>
      </c>
      <c r="C4700" s="2">
        <v>1208.289</v>
      </c>
      <c r="D4700" s="2">
        <f>HYPERLINK("http://mcb-m6.bioreg.kyushu-u.ac.jp/M3/20110414/F50926/1803/1", 51.64)</f>
        <v>51.64</v>
      </c>
      <c r="E4700" s="2">
        <v>36.24</v>
      </c>
      <c r="F4700" s="2">
        <v>1</v>
      </c>
      <c r="G4700" s="2" t="s">
        <v>11</v>
      </c>
      <c r="H4700" s="2" t="s">
        <v>4904</v>
      </c>
    </row>
    <row r="4701" spans="1:8" x14ac:dyDescent="0.2">
      <c r="A4701" s="2" t="s">
        <v>3571</v>
      </c>
      <c r="B4701" s="2" t="s">
        <v>883</v>
      </c>
      <c r="C4701" s="2">
        <v>680.11659999999995</v>
      </c>
      <c r="D4701" s="2">
        <f>HYPERLINK("http://mcb-m6.bioreg.kyushu-u.ac.jp/M3/20110414/F50926/1993/1", 58.4)</f>
        <v>58.4</v>
      </c>
      <c r="E4701" s="2">
        <v>31.17</v>
      </c>
      <c r="F4701" s="2">
        <v>2</v>
      </c>
      <c r="G4701" s="2" t="s">
        <v>11</v>
      </c>
    </row>
    <row r="4702" spans="1:8" x14ac:dyDescent="0.2">
      <c r="A4702" s="2" t="s">
        <v>3571</v>
      </c>
      <c r="B4702" s="2" t="s">
        <v>439</v>
      </c>
      <c r="C4702" s="2">
        <v>613.63869999999997</v>
      </c>
      <c r="D4702" s="2">
        <f>HYPERLINK("http://mcb-m6.bioreg.kyushu-u.ac.jp/M3/20110414/F50926/1839/1", 62.92)</f>
        <v>62.92</v>
      </c>
      <c r="E4702" s="2">
        <v>37.840000000000003</v>
      </c>
      <c r="F4702" s="2">
        <v>2</v>
      </c>
      <c r="G4702" s="2" t="s">
        <v>11</v>
      </c>
    </row>
    <row r="4703" spans="1:8" x14ac:dyDescent="0.2">
      <c r="A4703" s="2" t="s">
        <v>3571</v>
      </c>
      <c r="B4703" s="2" t="s">
        <v>439</v>
      </c>
      <c r="C4703" s="2">
        <v>613.58370000000002</v>
      </c>
      <c r="D4703" s="2">
        <f>HYPERLINK("http://mcb-m6.bioreg.kyushu-u.ac.jp/M3/20110414/F50926/1837/1", 78.03)</f>
        <v>78.03</v>
      </c>
      <c r="E4703" s="2">
        <v>59.19</v>
      </c>
      <c r="F4703" s="2">
        <v>2</v>
      </c>
      <c r="G4703" s="2" t="s">
        <v>11</v>
      </c>
    </row>
    <row r="4704" spans="1:8" x14ac:dyDescent="0.2">
      <c r="A4704" s="2" t="s">
        <v>3571</v>
      </c>
      <c r="B4704" s="2" t="s">
        <v>439</v>
      </c>
      <c r="C4704" s="2">
        <v>613.07259999999997</v>
      </c>
      <c r="D4704" s="2">
        <f>HYPERLINK("http://mcb-m6.bioreg.kyushu-u.ac.jp/M3/20110414/F50926/1834/1", 79.65)</f>
        <v>79.650000000000006</v>
      </c>
      <c r="E4704" s="2">
        <v>48.92</v>
      </c>
      <c r="F4704" s="2">
        <v>2</v>
      </c>
      <c r="G4704" s="2" t="s">
        <v>11</v>
      </c>
    </row>
    <row r="4705" spans="1:8" x14ac:dyDescent="0.2">
      <c r="A4705" s="2" t="s">
        <v>3571</v>
      </c>
      <c r="B4705" s="2" t="s">
        <v>439</v>
      </c>
      <c r="C4705" s="2">
        <v>1208.5889999999999</v>
      </c>
      <c r="D4705" s="2">
        <f>HYPERLINK("http://mcb-m6.bioreg.kyushu-u.ac.jp/M3/20110414/F50931/2084/1", 35.06)</f>
        <v>35.06</v>
      </c>
      <c r="E4705" s="2">
        <v>13.54</v>
      </c>
      <c r="F4705" s="2">
        <v>1</v>
      </c>
      <c r="G4705" s="2" t="s">
        <v>12</v>
      </c>
      <c r="H4705" s="2" t="s">
        <v>4904</v>
      </c>
    </row>
    <row r="4706" spans="1:8" x14ac:dyDescent="0.2">
      <c r="A4706" s="2" t="s">
        <v>3571</v>
      </c>
      <c r="B4706" s="2" t="s">
        <v>883</v>
      </c>
      <c r="C4706" s="2">
        <v>680.89419999999996</v>
      </c>
      <c r="D4706" s="2">
        <f>HYPERLINK("http://mcb-m6.bioreg.kyushu-u.ac.jp/M3/20110414/F50931/2151/1", 47.55)</f>
        <v>47.55</v>
      </c>
      <c r="E4706" s="2">
        <v>26.9</v>
      </c>
      <c r="F4706" s="2">
        <v>2</v>
      </c>
      <c r="G4706" s="2" t="s">
        <v>12</v>
      </c>
    </row>
    <row r="4707" spans="1:8" x14ac:dyDescent="0.2">
      <c r="A4707" s="2" t="s">
        <v>3571</v>
      </c>
      <c r="B4707" s="2" t="s">
        <v>439</v>
      </c>
      <c r="C4707" s="2">
        <v>613.38419999999996</v>
      </c>
      <c r="D4707" s="2">
        <f>HYPERLINK("http://mcb-m6.bioreg.kyushu-u.ac.jp/M3/20110414/F50931/2095/1", 48.8)</f>
        <v>48.8</v>
      </c>
      <c r="E4707" s="2">
        <v>28.07</v>
      </c>
      <c r="F4707" s="2">
        <v>2</v>
      </c>
      <c r="G4707" s="2" t="s">
        <v>12</v>
      </c>
    </row>
    <row r="4708" spans="1:8" x14ac:dyDescent="0.2">
      <c r="A4708" s="2" t="s">
        <v>3571</v>
      </c>
      <c r="B4708" s="2" t="s">
        <v>439</v>
      </c>
      <c r="C4708" s="2">
        <v>613.85220000000004</v>
      </c>
      <c r="D4708" s="2">
        <f>HYPERLINK("http://mcb-m6.bioreg.kyushu-u.ac.jp/M3/20110414/F50931/2096/1", 53.88)</f>
        <v>53.88</v>
      </c>
      <c r="E4708" s="2">
        <v>34.840000000000003</v>
      </c>
      <c r="F4708" s="2">
        <v>2</v>
      </c>
      <c r="G4708" s="2" t="s">
        <v>12</v>
      </c>
    </row>
    <row r="4709" spans="1:8" x14ac:dyDescent="0.2">
      <c r="A4709" s="2" t="s">
        <v>3571</v>
      </c>
      <c r="B4709" s="2" t="s">
        <v>439</v>
      </c>
      <c r="C4709" s="2">
        <v>1208.7439999999999</v>
      </c>
      <c r="D4709" s="2">
        <f>HYPERLINK("http://mcb-m6.bioreg.kyushu-u.ac.jp/M3/20110502/F51167/1734/1", 39.71)</f>
        <v>39.71</v>
      </c>
      <c r="E4709" s="2">
        <v>23.63</v>
      </c>
      <c r="F4709" s="2">
        <v>1</v>
      </c>
      <c r="G4709" s="2" t="s">
        <v>13</v>
      </c>
      <c r="H4709" s="2" t="s">
        <v>4904</v>
      </c>
    </row>
    <row r="4710" spans="1:8" x14ac:dyDescent="0.2">
      <c r="A4710" s="2" t="s">
        <v>3571</v>
      </c>
      <c r="B4710" s="2" t="s">
        <v>439</v>
      </c>
      <c r="C4710" s="2">
        <v>613.46310000000005</v>
      </c>
      <c r="D4710" s="2">
        <f>HYPERLINK("http://mcb-m6.bioreg.kyushu-u.ac.jp/M3/20110502/F51167/1760/1", 50.85)</f>
        <v>50.85</v>
      </c>
      <c r="E4710" s="2">
        <v>30.24</v>
      </c>
      <c r="F4710" s="2">
        <v>2</v>
      </c>
      <c r="G4710" s="2" t="s">
        <v>13</v>
      </c>
    </row>
    <row r="4711" spans="1:8" x14ac:dyDescent="0.2">
      <c r="A4711" s="2" t="s">
        <v>3571</v>
      </c>
      <c r="B4711" s="2" t="s">
        <v>439</v>
      </c>
      <c r="C4711" s="2">
        <v>613.46619999999996</v>
      </c>
      <c r="D4711" s="2">
        <f>HYPERLINK("http://mcb-m6.bioreg.kyushu-u.ac.jp/M3/20110502/F51167/1761/1", 74.29)</f>
        <v>74.290000000000006</v>
      </c>
      <c r="E4711" s="2">
        <v>49.46</v>
      </c>
      <c r="F4711" s="2">
        <v>2</v>
      </c>
      <c r="G4711" s="2" t="s">
        <v>13</v>
      </c>
    </row>
    <row r="4712" spans="1:8" x14ac:dyDescent="0.2">
      <c r="A4712" s="2" t="s">
        <v>3571</v>
      </c>
      <c r="B4712" s="2" t="s">
        <v>439</v>
      </c>
      <c r="C4712" s="2">
        <v>1208.8430000000001</v>
      </c>
      <c r="D4712" s="2">
        <f>HYPERLINK("http://mcb-m6.bioreg.kyushu-u.ac.jp/M3/20110502/F51176/1734/1", 57.93)</f>
        <v>57.93</v>
      </c>
      <c r="E4712" s="2">
        <v>30.89</v>
      </c>
      <c r="F4712" s="2">
        <v>1</v>
      </c>
      <c r="G4712" s="2" t="s">
        <v>14</v>
      </c>
      <c r="H4712" s="2" t="s">
        <v>4904</v>
      </c>
    </row>
    <row r="4713" spans="1:8" x14ac:dyDescent="0.2">
      <c r="A4713" s="2" t="s">
        <v>3571</v>
      </c>
      <c r="B4713" s="2" t="s">
        <v>439</v>
      </c>
      <c r="C4713" s="2">
        <v>613.78920000000005</v>
      </c>
      <c r="D4713" s="2">
        <f>HYPERLINK("http://mcb-m6.bioreg.kyushu-u.ac.jp/M3/20110502/F51176/1761/1", 67.92)</f>
        <v>67.92</v>
      </c>
      <c r="E4713" s="2">
        <v>41.98</v>
      </c>
      <c r="F4713" s="2">
        <v>2</v>
      </c>
      <c r="G4713" s="2" t="s">
        <v>14</v>
      </c>
    </row>
    <row r="4714" spans="1:8" x14ac:dyDescent="0.2">
      <c r="A4714" s="2" t="s">
        <v>3337</v>
      </c>
      <c r="B4714" s="2" t="s">
        <v>125</v>
      </c>
      <c r="C4714" s="2">
        <v>1164.3510000000001</v>
      </c>
      <c r="D4714" s="2">
        <f>HYPERLINK("http://mcb-m6.bioreg.kyushu-u.ac.jp/M3/20110411/F50889/1783/1", 36.43)</f>
        <v>36.43</v>
      </c>
      <c r="E4714" s="2">
        <v>21.77</v>
      </c>
      <c r="F4714" s="2">
        <v>1</v>
      </c>
      <c r="G4714" s="2" t="s">
        <v>9</v>
      </c>
    </row>
    <row r="4715" spans="1:8" x14ac:dyDescent="0.2">
      <c r="A4715" s="2" t="s">
        <v>3337</v>
      </c>
      <c r="B4715" s="2" t="s">
        <v>125</v>
      </c>
      <c r="C4715" s="2">
        <v>1180.4929999999999</v>
      </c>
      <c r="D4715" s="2">
        <f>HYPERLINK("http://mcb-m6.bioreg.kyushu-u.ac.jp/M3/20110411/F50889/1812/1", 39.45)</f>
        <v>39.450000000000003</v>
      </c>
      <c r="E4715" s="2">
        <v>20.350000000000001</v>
      </c>
      <c r="F4715" s="2">
        <v>1</v>
      </c>
      <c r="G4715" s="2" t="s">
        <v>9</v>
      </c>
      <c r="H4715" s="2" t="s">
        <v>4896</v>
      </c>
    </row>
    <row r="4716" spans="1:8" x14ac:dyDescent="0.2">
      <c r="A4716" s="2" t="s">
        <v>3337</v>
      </c>
      <c r="B4716" s="2" t="s">
        <v>618</v>
      </c>
      <c r="C4716" s="2">
        <v>570.33810000000005</v>
      </c>
      <c r="D4716" s="2">
        <f>HYPERLINK("http://mcb-m6.bioreg.kyushu-u.ac.jp/M3/20110411/F50889/1757/1", 46.27)</f>
        <v>46.27</v>
      </c>
      <c r="E4716" s="2">
        <v>30.15</v>
      </c>
      <c r="F4716" s="2">
        <v>2</v>
      </c>
      <c r="G4716" s="2" t="s">
        <v>9</v>
      </c>
    </row>
    <row r="4717" spans="1:8" x14ac:dyDescent="0.2">
      <c r="A4717" s="2" t="s">
        <v>3337</v>
      </c>
      <c r="B4717" s="2" t="s">
        <v>759</v>
      </c>
      <c r="C4717" s="2">
        <v>954.423</v>
      </c>
      <c r="D4717" s="2">
        <f>HYPERLINK("http://mcb-m6.bioreg.kyushu-u.ac.jp/M3/20110411/F50889/1430/1", 50.29)</f>
        <v>50.29</v>
      </c>
      <c r="E4717" s="2">
        <v>31.07</v>
      </c>
      <c r="F4717" s="2">
        <v>1</v>
      </c>
      <c r="G4717" s="2" t="s">
        <v>9</v>
      </c>
    </row>
    <row r="4718" spans="1:8" x14ac:dyDescent="0.2">
      <c r="A4718" s="2" t="s">
        <v>3337</v>
      </c>
      <c r="B4718" s="2" t="s">
        <v>125</v>
      </c>
      <c r="C4718" s="2">
        <v>583.27919999999995</v>
      </c>
      <c r="D4718" s="2">
        <f>HYPERLINK("http://mcb-m6.bioreg.kyushu-u.ac.jp/M3/20110411/F50889/1787/1", 55.23)</f>
        <v>55.23</v>
      </c>
      <c r="E4718" s="2">
        <v>35.93</v>
      </c>
      <c r="F4718" s="2">
        <v>2</v>
      </c>
      <c r="G4718" s="2" t="s">
        <v>9</v>
      </c>
    </row>
    <row r="4719" spans="1:8" x14ac:dyDescent="0.2">
      <c r="A4719" s="2" t="s">
        <v>3337</v>
      </c>
      <c r="B4719" s="2" t="s">
        <v>125</v>
      </c>
      <c r="C4719" s="2">
        <v>591.2242</v>
      </c>
      <c r="D4719" s="2">
        <f>HYPERLINK("http://mcb-m6.bioreg.kyushu-u.ac.jp/M3/20110411/F50889/1814/1", 57.41)</f>
        <v>57.41</v>
      </c>
      <c r="E4719" s="2">
        <v>37.049999999999997</v>
      </c>
      <c r="F4719" s="2">
        <v>2</v>
      </c>
      <c r="G4719" s="2" t="s">
        <v>9</v>
      </c>
      <c r="H4719" s="2" t="s">
        <v>4896</v>
      </c>
    </row>
    <row r="4720" spans="1:8" x14ac:dyDescent="0.2">
      <c r="A4720" s="2" t="s">
        <v>3337</v>
      </c>
      <c r="B4720" s="2" t="s">
        <v>125</v>
      </c>
      <c r="C4720" s="2">
        <v>590.67570000000001</v>
      </c>
      <c r="D4720" s="2">
        <f>HYPERLINK("http://mcb-m6.bioreg.kyushu-u.ac.jp/M3/20110411/F50889/1811/1", 58.53)</f>
        <v>58.53</v>
      </c>
      <c r="E4720" s="2">
        <v>34.29</v>
      </c>
      <c r="F4720" s="2">
        <v>2</v>
      </c>
      <c r="G4720" s="2" t="s">
        <v>9</v>
      </c>
      <c r="H4720" s="2" t="s">
        <v>4896</v>
      </c>
    </row>
    <row r="4721" spans="1:8" x14ac:dyDescent="0.2">
      <c r="A4721" s="2" t="s">
        <v>3337</v>
      </c>
      <c r="B4721" s="2" t="s">
        <v>125</v>
      </c>
      <c r="C4721" s="2">
        <v>582.7482</v>
      </c>
      <c r="D4721" s="2">
        <f>HYPERLINK("http://mcb-m6.bioreg.kyushu-u.ac.jp/M3/20110411/F50889/1784/1", 64.51)</f>
        <v>64.510000000000005</v>
      </c>
      <c r="E4721" s="2">
        <v>45.39</v>
      </c>
      <c r="F4721" s="2">
        <v>2</v>
      </c>
      <c r="G4721" s="2" t="s">
        <v>9</v>
      </c>
    </row>
    <row r="4722" spans="1:8" x14ac:dyDescent="0.2">
      <c r="A4722" s="2" t="s">
        <v>3337</v>
      </c>
      <c r="B4722" s="2" t="s">
        <v>1379</v>
      </c>
      <c r="C4722" s="2">
        <v>1050.403</v>
      </c>
      <c r="D4722" s="2">
        <f>HYPERLINK("http://mcb-m6.bioreg.kyushu-u.ac.jp/M3/20110411/F50889/2915/1", 76.92)</f>
        <v>76.92</v>
      </c>
      <c r="E4722" s="2">
        <v>68.47</v>
      </c>
      <c r="F4722" s="2">
        <v>2</v>
      </c>
      <c r="G4722" s="2" t="s">
        <v>9</v>
      </c>
    </row>
    <row r="4723" spans="1:8" x14ac:dyDescent="0.2">
      <c r="A4723" s="2" t="s">
        <v>3337</v>
      </c>
      <c r="B4723" s="2" t="s">
        <v>125</v>
      </c>
      <c r="C4723" s="2">
        <v>1164.8150000000001</v>
      </c>
      <c r="D4723" s="2">
        <f>HYPERLINK("http://mcb-m6.bioreg.kyushu-u.ac.jp/M3/20110411/F50896/1574/1", 42.19)</f>
        <v>42.19</v>
      </c>
      <c r="E4723" s="2">
        <v>28.81</v>
      </c>
      <c r="F4723" s="2">
        <v>1</v>
      </c>
      <c r="G4723" s="2" t="s">
        <v>10</v>
      </c>
    </row>
    <row r="4724" spans="1:8" x14ac:dyDescent="0.2">
      <c r="A4724" s="2" t="s">
        <v>3337</v>
      </c>
      <c r="B4724" s="2" t="s">
        <v>125</v>
      </c>
      <c r="C4724" s="2">
        <v>582.86220000000003</v>
      </c>
      <c r="D4724" s="2">
        <f>HYPERLINK("http://mcb-m6.bioreg.kyushu-u.ac.jp/M3/20110411/F50896/1573/1", 64.71)</f>
        <v>64.709999999999994</v>
      </c>
      <c r="E4724" s="2">
        <v>42.11</v>
      </c>
      <c r="F4724" s="2">
        <v>2</v>
      </c>
      <c r="G4724" s="2" t="s">
        <v>10</v>
      </c>
    </row>
    <row r="4725" spans="1:8" x14ac:dyDescent="0.2">
      <c r="A4725" s="2" t="s">
        <v>3337</v>
      </c>
      <c r="B4725" s="2" t="s">
        <v>759</v>
      </c>
      <c r="C4725" s="2">
        <v>954.21299999999997</v>
      </c>
      <c r="D4725" s="2">
        <f>HYPERLINK("http://mcb-m6.bioreg.kyushu-u.ac.jp/M3/20110414/F50926/1356/1", 50.3)</f>
        <v>50.3</v>
      </c>
      <c r="E4725" s="2">
        <v>31.74</v>
      </c>
      <c r="F4725" s="2">
        <v>1</v>
      </c>
      <c r="G4725" s="2" t="s">
        <v>11</v>
      </c>
    </row>
    <row r="4726" spans="1:8" x14ac:dyDescent="0.2">
      <c r="A4726" s="2" t="s">
        <v>3337</v>
      </c>
      <c r="B4726" s="2" t="s">
        <v>125</v>
      </c>
      <c r="C4726" s="2">
        <v>590.6816</v>
      </c>
      <c r="D4726" s="2">
        <f>HYPERLINK("http://mcb-m6.bioreg.kyushu-u.ac.jp/M3/20110414/F50926/1733/1", 59.06)</f>
        <v>59.06</v>
      </c>
      <c r="E4726" s="2">
        <v>31.57</v>
      </c>
      <c r="F4726" s="2">
        <v>2</v>
      </c>
      <c r="G4726" s="2" t="s">
        <v>11</v>
      </c>
      <c r="H4726" s="2" t="s">
        <v>4896</v>
      </c>
    </row>
    <row r="4727" spans="1:8" x14ac:dyDescent="0.2">
      <c r="A4727" s="2" t="s">
        <v>3337</v>
      </c>
      <c r="B4727" s="2" t="s">
        <v>125</v>
      </c>
      <c r="C4727" s="2">
        <v>1165.144</v>
      </c>
      <c r="D4727" s="2">
        <f>HYPERLINK("http://mcb-m6.bioreg.kyushu-u.ac.jp/M3/20110502/F51167/1650/1", 36.08)</f>
        <v>36.08</v>
      </c>
      <c r="E4727" s="2">
        <v>24.23</v>
      </c>
      <c r="F4727" s="2">
        <v>1</v>
      </c>
      <c r="G4727" s="2" t="s">
        <v>13</v>
      </c>
    </row>
    <row r="4728" spans="1:8" x14ac:dyDescent="0.2">
      <c r="A4728" s="2" t="s">
        <v>3337</v>
      </c>
      <c r="B4728" s="2" t="s">
        <v>759</v>
      </c>
      <c r="C4728" s="2">
        <v>954.64200000000005</v>
      </c>
      <c r="D4728" s="2">
        <f>HYPERLINK("http://mcb-m6.bioreg.kyushu-u.ac.jp/M3/20110502/F51167/1396/1", 51.79)</f>
        <v>51.79</v>
      </c>
      <c r="E4728" s="2">
        <v>23.06</v>
      </c>
      <c r="F4728" s="2">
        <v>1</v>
      </c>
      <c r="G4728" s="2" t="s">
        <v>13</v>
      </c>
    </row>
    <row r="4729" spans="1:8" x14ac:dyDescent="0.2">
      <c r="A4729" s="2" t="s">
        <v>3337</v>
      </c>
      <c r="B4729" s="2" t="s">
        <v>125</v>
      </c>
      <c r="C4729" s="2">
        <v>582.8297</v>
      </c>
      <c r="D4729" s="2">
        <f>HYPERLINK("http://mcb-m6.bioreg.kyushu-u.ac.jp/M3/20110502/F51167/1648/1", 54.93)</f>
        <v>54.93</v>
      </c>
      <c r="E4729" s="2">
        <v>34.57</v>
      </c>
      <c r="F4729" s="2">
        <v>2</v>
      </c>
      <c r="G4729" s="2" t="s">
        <v>13</v>
      </c>
    </row>
    <row r="4730" spans="1:8" x14ac:dyDescent="0.2">
      <c r="A4730" s="2" t="s">
        <v>3337</v>
      </c>
      <c r="B4730" s="2" t="s">
        <v>125</v>
      </c>
      <c r="C4730" s="2">
        <v>590.85270000000003</v>
      </c>
      <c r="D4730" s="2">
        <f>HYPERLINK("http://mcb-m6.bioreg.kyushu-u.ac.jp/M3/20110502/F51167/1675/1", 54.99)</f>
        <v>54.99</v>
      </c>
      <c r="E4730" s="2">
        <v>32.31</v>
      </c>
      <c r="F4730" s="2">
        <v>2</v>
      </c>
      <c r="G4730" s="2" t="s">
        <v>13</v>
      </c>
      <c r="H4730" s="2" t="s">
        <v>4896</v>
      </c>
    </row>
    <row r="4731" spans="1:8" x14ac:dyDescent="0.2">
      <c r="A4731" s="2" t="s">
        <v>3337</v>
      </c>
      <c r="B4731" s="2" t="s">
        <v>759</v>
      </c>
      <c r="C4731" s="2">
        <v>954.68799999999999</v>
      </c>
      <c r="D4731" s="2">
        <f>HYPERLINK("http://mcb-m6.bioreg.kyushu-u.ac.jp/M3/20110502/F51176/1373/1", 39.06)</f>
        <v>39.06</v>
      </c>
      <c r="E4731" s="2">
        <v>18.34</v>
      </c>
      <c r="F4731" s="2">
        <v>1</v>
      </c>
      <c r="G4731" s="2" t="s">
        <v>14</v>
      </c>
    </row>
    <row r="4732" spans="1:8" x14ac:dyDescent="0.2">
      <c r="A4732" s="2" t="s">
        <v>3337</v>
      </c>
      <c r="B4732" s="2" t="s">
        <v>618</v>
      </c>
      <c r="C4732" s="2">
        <v>570.52809999999999</v>
      </c>
      <c r="D4732" s="2">
        <f>HYPERLINK("http://mcb-m6.bioreg.kyushu-u.ac.jp/M3/20110502/F51176/1622/1", 53.13)</f>
        <v>53.13</v>
      </c>
      <c r="E4732" s="2">
        <v>24.23</v>
      </c>
      <c r="F4732" s="2">
        <v>2</v>
      </c>
      <c r="G4732" s="2" t="s">
        <v>14</v>
      </c>
    </row>
    <row r="4733" spans="1:8" x14ac:dyDescent="0.2">
      <c r="A4733" s="2" t="s">
        <v>3337</v>
      </c>
      <c r="B4733" s="2" t="s">
        <v>125</v>
      </c>
      <c r="C4733" s="2">
        <v>591.00210000000004</v>
      </c>
      <c r="D4733" s="2">
        <f>HYPERLINK("http://mcb-m6.bioreg.kyushu-u.ac.jp/M3/20110502/F51176/1680/1", 62.41)</f>
        <v>62.41</v>
      </c>
      <c r="E4733" s="2">
        <v>37.409999999999997</v>
      </c>
      <c r="F4733" s="2">
        <v>2</v>
      </c>
      <c r="G4733" s="2" t="s">
        <v>14</v>
      </c>
      <c r="H4733" s="2" t="s">
        <v>4896</v>
      </c>
    </row>
    <row r="4734" spans="1:8" x14ac:dyDescent="0.2">
      <c r="A4734" s="2" t="s">
        <v>3337</v>
      </c>
      <c r="B4734" s="2" t="s">
        <v>125</v>
      </c>
      <c r="C4734" s="2">
        <v>583.04570000000001</v>
      </c>
      <c r="D4734" s="2">
        <f>HYPERLINK("http://mcb-m6.bioreg.kyushu-u.ac.jp/M3/20110502/F51176/1656/1", 67.1)</f>
        <v>67.099999999999994</v>
      </c>
      <c r="E4734" s="2">
        <v>45.57</v>
      </c>
      <c r="F4734" s="2">
        <v>2</v>
      </c>
      <c r="G4734" s="2" t="s">
        <v>14</v>
      </c>
    </row>
    <row r="4735" spans="1:8" x14ac:dyDescent="0.2">
      <c r="A4735" s="2" t="s">
        <v>3763</v>
      </c>
      <c r="B4735" s="2" t="s">
        <v>779</v>
      </c>
      <c r="C4735" s="2">
        <v>833.80409999999995</v>
      </c>
      <c r="D4735" s="2">
        <f>HYPERLINK("http://mcb-m6.bioreg.kyushu-u.ac.jp/M3/20110411/F50889/2521/1", 50.99)</f>
        <v>50.99</v>
      </c>
      <c r="E4735" s="2">
        <v>15.02</v>
      </c>
      <c r="F4735" s="2">
        <v>2</v>
      </c>
      <c r="G4735" s="2" t="s">
        <v>9</v>
      </c>
    </row>
    <row r="4736" spans="1:8" x14ac:dyDescent="0.2">
      <c r="A4736" s="2" t="s">
        <v>3763</v>
      </c>
      <c r="B4736" s="2" t="s">
        <v>779</v>
      </c>
      <c r="C4736" s="2">
        <v>833.76969999999994</v>
      </c>
      <c r="D4736" s="2">
        <f>HYPERLINK("http://mcb-m6.bioreg.kyushu-u.ac.jp/M3/20110411/F50891/2634/1", 66.89)</f>
        <v>66.89</v>
      </c>
      <c r="E4736" s="2">
        <v>55.13</v>
      </c>
      <c r="F4736" s="2">
        <v>2</v>
      </c>
      <c r="G4736" s="2" t="s">
        <v>9</v>
      </c>
    </row>
    <row r="4737" spans="1:7" x14ac:dyDescent="0.2">
      <c r="A4737" s="2" t="s">
        <v>3763</v>
      </c>
      <c r="B4737" s="2" t="s">
        <v>779</v>
      </c>
      <c r="C4737" s="2">
        <v>833.56709999999998</v>
      </c>
      <c r="D4737" s="2">
        <f>HYPERLINK("http://mcb-m6.bioreg.kyushu-u.ac.jp/M3/20110414/F50928/2719/1", 53.34)</f>
        <v>53.34</v>
      </c>
      <c r="E4737" s="2">
        <v>31.93</v>
      </c>
      <c r="F4737" s="2">
        <v>2</v>
      </c>
      <c r="G4737" s="2" t="s">
        <v>11</v>
      </c>
    </row>
    <row r="4738" spans="1:7" x14ac:dyDescent="0.2">
      <c r="A4738" s="2" t="s">
        <v>3842</v>
      </c>
      <c r="B4738" s="2" t="s">
        <v>933</v>
      </c>
      <c r="C4738" s="2">
        <v>719.43910000000005</v>
      </c>
      <c r="D4738" s="2">
        <f>HYPERLINK("http://mcb-m6.bioreg.kyushu-u.ac.jp/M3/20110411/F50889/2183/1", 55.97)</f>
        <v>55.97</v>
      </c>
      <c r="E4738" s="2">
        <v>37.340000000000003</v>
      </c>
      <c r="F4738" s="2">
        <v>2</v>
      </c>
      <c r="G4738" s="2" t="s">
        <v>9</v>
      </c>
    </row>
    <row r="4739" spans="1:7" x14ac:dyDescent="0.2">
      <c r="A4739" s="2" t="s">
        <v>3842</v>
      </c>
      <c r="B4739" s="2" t="s">
        <v>2689</v>
      </c>
      <c r="C4739" s="2">
        <v>593.42819999999995</v>
      </c>
      <c r="D4739" s="2">
        <f>HYPERLINK("http://mcb-m6.bioreg.kyushu-u.ac.jp/M3/20110414/F50950/1285/1", 53.81)</f>
        <v>53.81</v>
      </c>
      <c r="E4739" s="2">
        <v>20.97</v>
      </c>
      <c r="F4739" s="2">
        <v>2</v>
      </c>
      <c r="G4739" s="2" t="s">
        <v>12</v>
      </c>
    </row>
    <row r="4740" spans="1:7" x14ac:dyDescent="0.2">
      <c r="A4740" s="2" t="s">
        <v>4574</v>
      </c>
      <c r="B4740" s="2" t="s">
        <v>2620</v>
      </c>
      <c r="C4740" s="2">
        <v>860.99570000000006</v>
      </c>
      <c r="D4740" s="2">
        <f>HYPERLINK("http://mcb-m6.bioreg.kyushu-u.ac.jp/M3/20110414/F50950/2812/1", 43.55)</f>
        <v>43.55</v>
      </c>
      <c r="E4740" s="2">
        <v>20.41</v>
      </c>
      <c r="F4740" s="2">
        <v>2</v>
      </c>
      <c r="G4740" s="2" t="s">
        <v>12</v>
      </c>
    </row>
    <row r="4741" spans="1:7" x14ac:dyDescent="0.2">
      <c r="A4741" s="2" t="s">
        <v>4574</v>
      </c>
      <c r="B4741" s="2" t="s">
        <v>2625</v>
      </c>
      <c r="C4741" s="2">
        <v>730.38869999999997</v>
      </c>
      <c r="D4741" s="2">
        <f>HYPERLINK("http://mcb-m6.bioreg.kyushu-u.ac.jp/M3/20110414/F50950/2107/1", 43.77)</f>
        <v>43.77</v>
      </c>
      <c r="E4741" s="2">
        <v>14.35</v>
      </c>
      <c r="F4741" s="2">
        <v>2</v>
      </c>
      <c r="G4741" s="2" t="s">
        <v>12</v>
      </c>
    </row>
    <row r="4742" spans="1:7" x14ac:dyDescent="0.2">
      <c r="A4742" s="2" t="s">
        <v>4574</v>
      </c>
      <c r="B4742" s="2" t="s">
        <v>2709</v>
      </c>
      <c r="C4742" s="2">
        <v>484.96260000000001</v>
      </c>
      <c r="D4742" s="2">
        <f>HYPERLINK("http://mcb-m6.bioreg.kyushu-u.ac.jp/M3/20110414/F50950/821/1", 59.61)</f>
        <v>59.61</v>
      </c>
      <c r="E4742" s="2">
        <v>28.84</v>
      </c>
      <c r="F4742" s="2">
        <v>2</v>
      </c>
      <c r="G4742" s="2" t="s">
        <v>12</v>
      </c>
    </row>
    <row r="4743" spans="1:7" x14ac:dyDescent="0.2">
      <c r="A4743" s="2" t="s">
        <v>4574</v>
      </c>
      <c r="B4743" s="2" t="s">
        <v>2768</v>
      </c>
      <c r="C4743" s="2">
        <v>1011.481</v>
      </c>
      <c r="D4743" s="2">
        <f>HYPERLINK("http://mcb-m6.bioreg.kyushu-u.ac.jp/M3/20110414/F50950/3537/1", 84.21)</f>
        <v>84.21</v>
      </c>
      <c r="E4743" s="2">
        <v>61.83</v>
      </c>
      <c r="F4743" s="2">
        <v>2</v>
      </c>
      <c r="G4743" s="2" t="s">
        <v>12</v>
      </c>
    </row>
    <row r="4744" spans="1:7" x14ac:dyDescent="0.2">
      <c r="A4744" s="2" t="s">
        <v>4574</v>
      </c>
      <c r="B4744" s="2" t="s">
        <v>2770</v>
      </c>
      <c r="C4744" s="2">
        <v>944.10170000000005</v>
      </c>
      <c r="D4744" s="2">
        <f>HYPERLINK("http://mcb-m6.bioreg.kyushu-u.ac.jp/M3/20110414/F50950/3242/1", 84.63)</f>
        <v>84.63</v>
      </c>
      <c r="E4744" s="2">
        <v>66.98</v>
      </c>
      <c r="F4744" s="2">
        <v>2</v>
      </c>
      <c r="G4744" s="2" t="s">
        <v>12</v>
      </c>
    </row>
    <row r="4745" spans="1:7" x14ac:dyDescent="0.2">
      <c r="A4745" s="2" t="s">
        <v>4574</v>
      </c>
      <c r="B4745" s="2" t="s">
        <v>3049</v>
      </c>
      <c r="C4745" s="2">
        <v>495.39460000000003</v>
      </c>
      <c r="D4745" s="2">
        <f>HYPERLINK("http://mcb-m6.bioreg.kyushu-u.ac.jp/M3/20110502/F51185/705/1", 40.05)</f>
        <v>40.049999999999997</v>
      </c>
      <c r="E4745" s="2">
        <v>11.58</v>
      </c>
      <c r="F4745" s="2">
        <v>2</v>
      </c>
      <c r="G4745" s="2" t="s">
        <v>14</v>
      </c>
    </row>
    <row r="4746" spans="1:7" x14ac:dyDescent="0.2">
      <c r="A4746" s="2" t="s">
        <v>4574</v>
      </c>
      <c r="B4746" s="2" t="s">
        <v>2770</v>
      </c>
      <c r="C4746" s="2">
        <v>944.95119999999997</v>
      </c>
      <c r="D4746" s="2">
        <f>HYPERLINK("http://mcb-m6.bioreg.kyushu-u.ac.jp/M3/20110502/F51185/2838/1", 49.04)</f>
        <v>49.04</v>
      </c>
      <c r="E4746" s="2">
        <v>35.479999999999997</v>
      </c>
      <c r="F4746" s="2">
        <v>2</v>
      </c>
      <c r="G4746" s="2" t="s">
        <v>14</v>
      </c>
    </row>
    <row r="4747" spans="1:7" x14ac:dyDescent="0.2">
      <c r="A4747" s="2" t="s">
        <v>4574</v>
      </c>
      <c r="B4747" s="2" t="s">
        <v>2709</v>
      </c>
      <c r="C4747" s="2">
        <v>485.47859999999997</v>
      </c>
      <c r="D4747" s="2">
        <f>HYPERLINK("http://mcb-m6.bioreg.kyushu-u.ac.jp/M3/20110502/F51185/677/1", 52.68)</f>
        <v>52.68</v>
      </c>
      <c r="E4747" s="2">
        <v>20.260000000000002</v>
      </c>
      <c r="F4747" s="2">
        <v>2</v>
      </c>
      <c r="G4747" s="2" t="s">
        <v>14</v>
      </c>
    </row>
    <row r="4748" spans="1:7" x14ac:dyDescent="0.2">
      <c r="A4748" s="2" t="s">
        <v>4574</v>
      </c>
      <c r="B4748" s="2" t="s">
        <v>3190</v>
      </c>
      <c r="C4748" s="2">
        <v>779.97720000000004</v>
      </c>
      <c r="D4748" s="2">
        <f>HYPERLINK("http://mcb-m6.bioreg.kyushu-u.ac.jp/M3/20110502/F51185/2085/1", 67.02)</f>
        <v>67.02</v>
      </c>
      <c r="E4748" s="2">
        <v>48.77</v>
      </c>
      <c r="F4748" s="2">
        <v>2</v>
      </c>
      <c r="G4748" s="2" t="s">
        <v>14</v>
      </c>
    </row>
    <row r="4749" spans="1:7" x14ac:dyDescent="0.2">
      <c r="A4749" s="2" t="s">
        <v>4574</v>
      </c>
      <c r="B4749" s="2" t="s">
        <v>2768</v>
      </c>
      <c r="C4749" s="2">
        <v>1011.841</v>
      </c>
      <c r="D4749" s="2">
        <f>HYPERLINK("http://mcb-m6.bioreg.kyushu-u.ac.jp/M3/20110502/F51185/3068/1", 82.59)</f>
        <v>82.59</v>
      </c>
      <c r="E4749" s="2">
        <v>70.8</v>
      </c>
      <c r="F4749" s="2">
        <v>2</v>
      </c>
      <c r="G4749" s="2" t="s">
        <v>14</v>
      </c>
    </row>
    <row r="4750" spans="1:7" x14ac:dyDescent="0.2">
      <c r="A4750" s="2" t="s">
        <v>3966</v>
      </c>
      <c r="B4750" s="2" t="s">
        <v>1196</v>
      </c>
      <c r="C4750" s="2">
        <v>706.47360000000003</v>
      </c>
      <c r="D4750" s="2">
        <f>HYPERLINK("http://mcb-m6.bioreg.kyushu-u.ac.jp/M3/20110411/F50904/1865/1", 66.94)</f>
        <v>66.94</v>
      </c>
      <c r="E4750" s="2">
        <v>41.96</v>
      </c>
      <c r="F4750" s="2">
        <v>2</v>
      </c>
      <c r="G4750" s="2" t="s">
        <v>9</v>
      </c>
    </row>
    <row r="4751" spans="1:7" x14ac:dyDescent="0.2">
      <c r="A4751" s="2" t="s">
        <v>3966</v>
      </c>
      <c r="B4751" s="2" t="s">
        <v>1517</v>
      </c>
      <c r="C4751" s="2">
        <v>649.00519999999995</v>
      </c>
      <c r="D4751" s="2">
        <f>HYPERLINK("http://mcb-m6.bioreg.kyushu-u.ac.jp/M3/20110411/F50904/1604/1", 87.77)</f>
        <v>87.77</v>
      </c>
      <c r="E4751" s="2">
        <v>55.21</v>
      </c>
      <c r="F4751" s="2">
        <v>2</v>
      </c>
      <c r="G4751" s="2" t="s">
        <v>9</v>
      </c>
    </row>
    <row r="4752" spans="1:7" x14ac:dyDescent="0.2">
      <c r="A4752" s="2" t="s">
        <v>3966</v>
      </c>
      <c r="B4752" s="2" t="s">
        <v>1598</v>
      </c>
      <c r="C4752" s="2">
        <v>763.98860000000002</v>
      </c>
      <c r="D4752" s="2">
        <f>HYPERLINK("http://mcb-m6.bioreg.kyushu-u.ac.jp/M3/20110411/F50904/2156/1", 97.65)</f>
        <v>97.65</v>
      </c>
      <c r="E4752" s="2">
        <v>75.98</v>
      </c>
      <c r="F4752" s="2">
        <v>2</v>
      </c>
      <c r="G4752" s="2" t="s">
        <v>9</v>
      </c>
    </row>
    <row r="4753" spans="1:9" x14ac:dyDescent="0.2">
      <c r="A4753" s="2" t="s">
        <v>3966</v>
      </c>
      <c r="B4753" s="2" t="s">
        <v>1598</v>
      </c>
      <c r="C4753" s="2">
        <v>764.06269999999995</v>
      </c>
      <c r="D4753" s="2">
        <f>HYPERLINK("http://mcb-m6.bioreg.kyushu-u.ac.jp/M3/20110411/F50912/2142/1", 92.07)</f>
        <v>92.07</v>
      </c>
      <c r="E4753" s="2">
        <v>66.22</v>
      </c>
      <c r="F4753" s="2">
        <v>2</v>
      </c>
      <c r="G4753" s="2" t="s">
        <v>10</v>
      </c>
    </row>
    <row r="4754" spans="1:9" x14ac:dyDescent="0.2">
      <c r="A4754" s="2" t="s">
        <v>3966</v>
      </c>
      <c r="B4754" s="2" t="s">
        <v>2134</v>
      </c>
      <c r="C4754" s="2">
        <v>583.55970000000002</v>
      </c>
      <c r="D4754" s="2">
        <f>HYPERLINK("http://mcb-m6.bioreg.kyushu-u.ac.jp/M3/20110411/F50912/1366/1", 99.49)</f>
        <v>99.49</v>
      </c>
      <c r="E4754" s="2">
        <v>67.760000000000005</v>
      </c>
      <c r="F4754" s="2">
        <v>2</v>
      </c>
      <c r="G4754" s="2" t="s">
        <v>10</v>
      </c>
    </row>
    <row r="4755" spans="1:9" x14ac:dyDescent="0.2">
      <c r="A4755" s="2" t="s">
        <v>3966</v>
      </c>
      <c r="B4755" s="2" t="s">
        <v>1598</v>
      </c>
      <c r="C4755" s="2">
        <v>763.73659999999995</v>
      </c>
      <c r="D4755" s="2">
        <f>HYPERLINK("http://mcb-m6.bioreg.kyushu-u.ac.jp/M3/20110414/F50962/2026/1", 36.59)</f>
        <v>36.590000000000003</v>
      </c>
      <c r="E4755" s="2">
        <v>18.649999999999999</v>
      </c>
      <c r="F4755" s="2">
        <v>2</v>
      </c>
      <c r="G4755" s="2" t="s">
        <v>11</v>
      </c>
    </row>
    <row r="4756" spans="1:9" x14ac:dyDescent="0.2">
      <c r="A4756" s="2" t="s">
        <v>3966</v>
      </c>
      <c r="B4756" s="2" t="s">
        <v>1598</v>
      </c>
      <c r="C4756" s="2">
        <v>763.67859999999996</v>
      </c>
      <c r="D4756" s="2">
        <f>HYPERLINK("http://mcb-m6.bioreg.kyushu-u.ac.jp/M3/20110414/F50941/2241/1", 62.79)</f>
        <v>62.79</v>
      </c>
      <c r="E4756" s="2">
        <v>47.57</v>
      </c>
      <c r="F4756" s="2">
        <v>2</v>
      </c>
      <c r="G4756" s="2" t="s">
        <v>11</v>
      </c>
    </row>
    <row r="4757" spans="1:9" x14ac:dyDescent="0.2">
      <c r="A4757" s="2" t="s">
        <v>3966</v>
      </c>
      <c r="B4757" s="2" t="s">
        <v>1598</v>
      </c>
      <c r="C4757" s="2">
        <v>764.30319999999995</v>
      </c>
      <c r="D4757" s="2">
        <f>HYPERLINK("http://mcb-m6.bioreg.kyushu-u.ac.jp/M3/20110414/F50947/2131/1", 55.34)</f>
        <v>55.34</v>
      </c>
      <c r="E4757" s="2">
        <v>39.270000000000003</v>
      </c>
      <c r="F4757" s="2">
        <v>2</v>
      </c>
      <c r="G4757" s="2" t="s">
        <v>12</v>
      </c>
    </row>
    <row r="4758" spans="1:9" x14ac:dyDescent="0.2">
      <c r="A4758" s="2" t="s">
        <v>3966</v>
      </c>
      <c r="B4758" s="2" t="s">
        <v>2703</v>
      </c>
      <c r="C4758" s="2">
        <v>1011.362</v>
      </c>
      <c r="D4758" s="2">
        <f>HYPERLINK("http://mcb-m6.bioreg.kyushu-u.ac.jp/M3/20110414/F50947/3484/1", 57.56)</f>
        <v>57.56</v>
      </c>
      <c r="E4758" s="2">
        <v>51.29</v>
      </c>
      <c r="F4758" s="2">
        <v>2</v>
      </c>
      <c r="G4758" s="2" t="s">
        <v>12</v>
      </c>
      <c r="I4758" s="2" t="s">
        <v>4898</v>
      </c>
    </row>
    <row r="4759" spans="1:9" x14ac:dyDescent="0.2">
      <c r="A4759" s="2" t="s">
        <v>3966</v>
      </c>
      <c r="B4759" s="2" t="s">
        <v>1598</v>
      </c>
      <c r="C4759" s="2">
        <v>763.88369999999998</v>
      </c>
      <c r="D4759" s="2">
        <f>HYPERLINK("http://mcb-m6.bioreg.kyushu-u.ac.jp/M3/20110502/F51187/1859/1", 72.18)</f>
        <v>72.180000000000007</v>
      </c>
      <c r="E4759" s="2">
        <v>53.58</v>
      </c>
      <c r="F4759" s="2">
        <v>2</v>
      </c>
      <c r="G4759" s="2" t="s">
        <v>13</v>
      </c>
    </row>
    <row r="4760" spans="1:9" x14ac:dyDescent="0.2">
      <c r="A4760" s="2" t="s">
        <v>3966</v>
      </c>
      <c r="B4760" s="2" t="s">
        <v>1598</v>
      </c>
      <c r="C4760" s="2">
        <v>763.95010000000002</v>
      </c>
      <c r="D4760" s="2">
        <f>HYPERLINK("http://mcb-m6.bioreg.kyushu-u.ac.jp/M3/20110502/F51191/1844/1", 98.44)</f>
        <v>98.44</v>
      </c>
      <c r="E4760" s="2">
        <v>74.16</v>
      </c>
      <c r="F4760" s="2">
        <v>2</v>
      </c>
      <c r="G4760" s="2" t="s">
        <v>14</v>
      </c>
    </row>
    <row r="4761" spans="1:9" x14ac:dyDescent="0.2">
      <c r="A4761" s="2" t="s">
        <v>4239</v>
      </c>
      <c r="B4761" s="2" t="s">
        <v>1862</v>
      </c>
      <c r="C4761" s="2">
        <v>907.79</v>
      </c>
      <c r="D4761" s="2">
        <f>HYPERLINK("http://mcb-m6.bioreg.kyushu-u.ac.jp/M3/20110411/F50912/909/2", 45.1)</f>
        <v>45.1</v>
      </c>
      <c r="E4761" s="2">
        <v>0.32</v>
      </c>
      <c r="F4761" s="2">
        <v>1</v>
      </c>
      <c r="G4761" s="2" t="s">
        <v>10</v>
      </c>
    </row>
    <row r="4762" spans="1:9" x14ac:dyDescent="0.2">
      <c r="A4762" s="2" t="s">
        <v>4018</v>
      </c>
      <c r="B4762" s="2" t="s">
        <v>1327</v>
      </c>
      <c r="C4762" s="2">
        <v>793.93470000000002</v>
      </c>
      <c r="D4762" s="2">
        <f>HYPERLINK("http://mcb-m6.bioreg.kyushu-u.ac.jp/M3/20110411/F50892/2474/1", 73.39)</f>
        <v>73.39</v>
      </c>
      <c r="E4762" s="2">
        <v>50.83</v>
      </c>
      <c r="F4762" s="2">
        <v>2</v>
      </c>
      <c r="G4762" s="2" t="s">
        <v>9</v>
      </c>
    </row>
    <row r="4763" spans="1:9" x14ac:dyDescent="0.2">
      <c r="A4763" s="2" t="s">
        <v>4394</v>
      </c>
      <c r="B4763" s="2" t="s">
        <v>2238</v>
      </c>
      <c r="C4763" s="2">
        <v>898.18370000000004</v>
      </c>
      <c r="D4763" s="2">
        <f>HYPERLINK("http://mcb-m6.bioreg.kyushu-u.ac.jp/M3/20110414/F50927/2894/1", 38.96)</f>
        <v>38.96</v>
      </c>
      <c r="E4763" s="2">
        <v>20.64</v>
      </c>
      <c r="F4763" s="2">
        <v>2</v>
      </c>
      <c r="G4763" s="2" t="s">
        <v>11</v>
      </c>
      <c r="H4763" s="2" t="s">
        <v>4908</v>
      </c>
    </row>
    <row r="4764" spans="1:9" x14ac:dyDescent="0.2">
      <c r="A4764" s="2" t="s">
        <v>4373</v>
      </c>
      <c r="B4764" s="2" t="s">
        <v>2203</v>
      </c>
      <c r="C4764" s="2">
        <v>531.45370000000003</v>
      </c>
      <c r="D4764" s="2">
        <f>HYPERLINK("http://mcb-m6.bioreg.kyushu-u.ac.jp/M3/20110414/F50928/1360/1", 37.01)</f>
        <v>37.01</v>
      </c>
      <c r="E4764" s="2">
        <v>9.08</v>
      </c>
      <c r="F4764" s="2">
        <v>2</v>
      </c>
      <c r="G4764" s="2" t="s">
        <v>11</v>
      </c>
    </row>
    <row r="4765" spans="1:9" x14ac:dyDescent="0.2">
      <c r="A4765" s="2" t="s">
        <v>4283</v>
      </c>
      <c r="B4765" s="2" t="s">
        <v>1968</v>
      </c>
      <c r="C4765" s="2">
        <v>800.03610000000003</v>
      </c>
      <c r="D4765" s="2">
        <f>HYPERLINK("http://mcb-m6.bioreg.kyushu-u.ac.jp/M3/20110411/F50896/2380/1", 55.32)</f>
        <v>55.32</v>
      </c>
      <c r="E4765" s="2">
        <v>41.04</v>
      </c>
      <c r="F4765" s="2">
        <v>2</v>
      </c>
      <c r="G4765" s="2" t="s">
        <v>10</v>
      </c>
    </row>
    <row r="4766" spans="1:9" x14ac:dyDescent="0.2">
      <c r="A4766" s="2" t="s">
        <v>4283</v>
      </c>
      <c r="B4766" s="2" t="s">
        <v>1968</v>
      </c>
      <c r="C4766" s="2">
        <v>799.67660000000001</v>
      </c>
      <c r="D4766" s="2">
        <f>HYPERLINK("http://mcb-m6.bioreg.kyushu-u.ac.jp/M3/20110414/F50926/2422/1", 81.48)</f>
        <v>81.48</v>
      </c>
      <c r="E4766" s="2">
        <v>53.27</v>
      </c>
      <c r="F4766" s="2">
        <v>2</v>
      </c>
      <c r="G4766" s="2" t="s">
        <v>11</v>
      </c>
    </row>
    <row r="4767" spans="1:9" x14ac:dyDescent="0.2">
      <c r="A4767" s="2" t="s">
        <v>4102</v>
      </c>
      <c r="B4767" s="2" t="s">
        <v>1568</v>
      </c>
      <c r="C4767" s="2">
        <v>1063.8230000000001</v>
      </c>
      <c r="D4767" s="2">
        <f>HYPERLINK("http://mcb-m6.bioreg.kyushu-u.ac.jp/M3/20110411/F50889/2931/1", 93.41)</f>
        <v>93.41</v>
      </c>
      <c r="E4767" s="2">
        <v>65.650000000000006</v>
      </c>
      <c r="F4767" s="2">
        <v>2</v>
      </c>
      <c r="G4767" s="2" t="s">
        <v>9</v>
      </c>
    </row>
    <row r="4768" spans="1:9" x14ac:dyDescent="0.2">
      <c r="A4768" s="2" t="s">
        <v>4102</v>
      </c>
      <c r="B4768" s="2" t="s">
        <v>1568</v>
      </c>
      <c r="C4768" s="2">
        <v>1064.4549999999999</v>
      </c>
      <c r="D4768" s="2">
        <f>HYPERLINK("http://mcb-m6.bioreg.kyushu-u.ac.jp/M3/20110411/F50896/3054/1", 70.38)</f>
        <v>70.38</v>
      </c>
      <c r="E4768" s="2">
        <v>44.4</v>
      </c>
      <c r="F4768" s="2">
        <v>2</v>
      </c>
      <c r="G4768" s="2" t="s">
        <v>10</v>
      </c>
    </row>
    <row r="4769" spans="1:7" x14ac:dyDescent="0.2">
      <c r="A4769" s="2" t="s">
        <v>4102</v>
      </c>
      <c r="B4769" s="2" t="s">
        <v>1568</v>
      </c>
      <c r="C4769" s="2">
        <v>1064.2360000000001</v>
      </c>
      <c r="D4769" s="2">
        <f>HYPERLINK("http://mcb-m6.bioreg.kyushu-u.ac.jp/M3/20110414/F50926/2952/1", 79.69)</f>
        <v>79.69</v>
      </c>
      <c r="E4769" s="2">
        <v>47.53</v>
      </c>
      <c r="F4769" s="2">
        <v>2</v>
      </c>
      <c r="G4769" s="2" t="s">
        <v>11</v>
      </c>
    </row>
    <row r="4770" spans="1:7" x14ac:dyDescent="0.2">
      <c r="A4770" s="2" t="s">
        <v>4102</v>
      </c>
      <c r="B4770" s="2" t="s">
        <v>1568</v>
      </c>
      <c r="C4770" s="2">
        <v>1064.19</v>
      </c>
      <c r="D4770" s="2">
        <f>HYPERLINK("http://mcb-m6.bioreg.kyushu-u.ac.jp/M3/20110502/F51176/2602/1", 51.97)</f>
        <v>51.97</v>
      </c>
      <c r="E4770" s="2">
        <v>42.95</v>
      </c>
      <c r="F4770" s="2">
        <v>2</v>
      </c>
      <c r="G4770" s="2" t="s">
        <v>14</v>
      </c>
    </row>
    <row r="4771" spans="1:7" x14ac:dyDescent="0.2">
      <c r="A4771" s="2" t="s">
        <v>3599</v>
      </c>
      <c r="B4771" s="2" t="s">
        <v>490</v>
      </c>
      <c r="C4771" s="2">
        <v>1049.729</v>
      </c>
      <c r="D4771" s="2">
        <f>HYPERLINK("http://mcb-m6.bioreg.kyushu-u.ac.jp/M3/20110411/F50903/1207/1", 43.06)</f>
        <v>43.06</v>
      </c>
      <c r="E4771" s="2">
        <v>12.77</v>
      </c>
      <c r="F4771" s="2">
        <v>1</v>
      </c>
      <c r="G4771" s="2" t="s">
        <v>9</v>
      </c>
    </row>
    <row r="4772" spans="1:7" x14ac:dyDescent="0.2">
      <c r="A4772" s="2" t="s">
        <v>4304</v>
      </c>
      <c r="B4772" s="2" t="s">
        <v>2042</v>
      </c>
      <c r="C4772" s="2">
        <v>493.87959999999998</v>
      </c>
      <c r="D4772" s="2">
        <f>HYPERLINK("http://mcb-m6.bioreg.kyushu-u.ac.jp/M3/20110411/F50897/966/1", 66.8)</f>
        <v>66.8</v>
      </c>
      <c r="E4772" s="2">
        <v>32.54</v>
      </c>
      <c r="F4772" s="2">
        <v>2</v>
      </c>
      <c r="G4772" s="2" t="s">
        <v>10</v>
      </c>
    </row>
    <row r="4773" spans="1:7" x14ac:dyDescent="0.2">
      <c r="A4773" s="2" t="s">
        <v>4304</v>
      </c>
      <c r="B4773" s="2" t="s">
        <v>2042</v>
      </c>
      <c r="C4773" s="2">
        <v>494.03359999999998</v>
      </c>
      <c r="D4773" s="2">
        <f>HYPERLINK("http://mcb-m6.bioreg.kyushu-u.ac.jp/M3/20110414/F50927/1305/1", 38.51)</f>
        <v>38.51</v>
      </c>
      <c r="E4773" s="2">
        <v>8.8000000000000007</v>
      </c>
      <c r="F4773" s="2">
        <v>2</v>
      </c>
      <c r="G4773" s="2" t="s">
        <v>11</v>
      </c>
    </row>
    <row r="4774" spans="1:7" x14ac:dyDescent="0.2">
      <c r="A4774" s="2" t="s">
        <v>4304</v>
      </c>
      <c r="B4774" s="2" t="s">
        <v>2042</v>
      </c>
      <c r="C4774" s="2">
        <v>494.3261</v>
      </c>
      <c r="D4774" s="2">
        <f>HYPERLINK("http://mcb-m6.bioreg.kyushu-u.ac.jp/M3/20110502/F51168/1138/1", 43.39)</f>
        <v>43.39</v>
      </c>
      <c r="E4774" s="2">
        <v>8.11</v>
      </c>
      <c r="F4774" s="2">
        <v>2</v>
      </c>
      <c r="G4774" s="2" t="s">
        <v>13</v>
      </c>
    </row>
    <row r="4775" spans="1:7" x14ac:dyDescent="0.2">
      <c r="A4775" s="2" t="s">
        <v>3573</v>
      </c>
      <c r="B4775" s="2" t="s">
        <v>441</v>
      </c>
      <c r="C4775" s="2">
        <v>1036.4480000000001</v>
      </c>
      <c r="D4775" s="2">
        <f>HYPERLINK("http://mcb-m6.bioreg.kyushu-u.ac.jp/M3/20110411/F50890/3417/1", 41.93)</f>
        <v>41.93</v>
      </c>
      <c r="E4775" s="2">
        <v>26.36</v>
      </c>
      <c r="F4775" s="2">
        <v>2</v>
      </c>
      <c r="G4775" s="2" t="s">
        <v>9</v>
      </c>
    </row>
    <row r="4776" spans="1:7" x14ac:dyDescent="0.2">
      <c r="A4776" s="2" t="s">
        <v>3573</v>
      </c>
      <c r="B4776" s="2" t="s">
        <v>1585</v>
      </c>
      <c r="C4776" s="2">
        <v>972.3116</v>
      </c>
      <c r="D4776" s="2">
        <f>HYPERLINK("http://mcb-m6.bioreg.kyushu-u.ac.jp/M3/20110411/F50890/3244/1", 95.84)</f>
        <v>95.84</v>
      </c>
      <c r="E4776" s="2">
        <v>82.65</v>
      </c>
      <c r="F4776" s="2">
        <v>2</v>
      </c>
      <c r="G4776" s="2" t="s">
        <v>9</v>
      </c>
    </row>
    <row r="4777" spans="1:7" x14ac:dyDescent="0.2">
      <c r="A4777" s="2" t="s">
        <v>3573</v>
      </c>
      <c r="B4777" s="2" t="s">
        <v>1585</v>
      </c>
      <c r="C4777" s="2">
        <v>971.88670000000002</v>
      </c>
      <c r="D4777" s="2">
        <f>HYPERLINK("http://mcb-m6.bioreg.kyushu-u.ac.jp/M3/20110411/F50889/2828/1", 115.6)</f>
        <v>115.6</v>
      </c>
      <c r="E4777" s="2">
        <v>91.69</v>
      </c>
      <c r="F4777" s="2">
        <v>2</v>
      </c>
      <c r="G4777" s="2" t="s">
        <v>9</v>
      </c>
    </row>
    <row r="4778" spans="1:7" x14ac:dyDescent="0.2">
      <c r="A4778" s="2" t="s">
        <v>3573</v>
      </c>
      <c r="B4778" s="2" t="s">
        <v>1585</v>
      </c>
      <c r="C4778" s="2">
        <v>972.14009999999996</v>
      </c>
      <c r="D4778" s="2">
        <f>HYPERLINK("http://mcb-m6.bioreg.kyushu-u.ac.jp/M3/20110411/F50897/3063/1", 110.64)</f>
        <v>110.64</v>
      </c>
      <c r="E4778" s="2">
        <v>88.6</v>
      </c>
      <c r="F4778" s="2">
        <v>2</v>
      </c>
      <c r="G4778" s="2" t="s">
        <v>10</v>
      </c>
    </row>
    <row r="4779" spans="1:7" x14ac:dyDescent="0.2">
      <c r="A4779" s="4" t="s">
        <v>3706</v>
      </c>
      <c r="B4779" s="2" t="s">
        <v>687</v>
      </c>
      <c r="C4779" s="2">
        <v>507.82709999999997</v>
      </c>
      <c r="D4779" s="2">
        <f>HYPERLINK("http://mcb-m6.bioreg.kyushu-u.ac.jp/M3/20110411/F50916/837/1", 48.41)</f>
        <v>48.41</v>
      </c>
      <c r="E4779" s="2">
        <v>14.49</v>
      </c>
      <c r="F4779" s="2">
        <v>2</v>
      </c>
      <c r="G4779" s="2" t="s">
        <v>9</v>
      </c>
    </row>
    <row r="4780" spans="1:7" x14ac:dyDescent="0.2">
      <c r="A4780" s="2" t="s">
        <v>4393</v>
      </c>
      <c r="B4780" s="2" t="s">
        <v>2235</v>
      </c>
      <c r="C4780" s="2">
        <v>472.1121</v>
      </c>
      <c r="D4780" s="2">
        <f>HYPERLINK("http://mcb-m6.bioreg.kyushu-u.ac.jp/M3/20110414/F50956/533/1", 38.93)</f>
        <v>38.93</v>
      </c>
      <c r="E4780" s="2">
        <v>9.51</v>
      </c>
      <c r="F4780" s="2">
        <v>2</v>
      </c>
      <c r="G4780" s="2" t="s">
        <v>11</v>
      </c>
    </row>
    <row r="4781" spans="1:7" x14ac:dyDescent="0.2">
      <c r="A4781" s="2" t="s">
        <v>4675</v>
      </c>
      <c r="B4781" s="2" t="s">
        <v>2844</v>
      </c>
      <c r="C4781" s="2">
        <v>762.99270000000001</v>
      </c>
      <c r="D4781" s="2">
        <f>HYPERLINK("http://mcb-m6.bioreg.kyushu-u.ac.jp/M3/20110502/F51173/1936/1", 38.86)</f>
        <v>38.86</v>
      </c>
      <c r="E4781" s="2">
        <v>14.39</v>
      </c>
      <c r="F4781" s="2">
        <v>2</v>
      </c>
      <c r="G4781" s="2" t="s">
        <v>13</v>
      </c>
    </row>
    <row r="4782" spans="1:7" x14ac:dyDescent="0.2">
      <c r="A4782" s="2" t="s">
        <v>3900</v>
      </c>
      <c r="B4782" s="2" t="s">
        <v>1050</v>
      </c>
      <c r="C4782" s="2">
        <v>770.47609999999997</v>
      </c>
      <c r="D4782" s="2">
        <f>HYPERLINK("http://mcb-m6.bioreg.kyushu-u.ac.jp/M3/20110411/F50915/2090/1", 60.33)</f>
        <v>60.33</v>
      </c>
      <c r="E4782" s="2">
        <v>49.82</v>
      </c>
      <c r="F4782" s="2">
        <v>2</v>
      </c>
      <c r="G4782" s="2" t="s">
        <v>9</v>
      </c>
    </row>
    <row r="4783" spans="1:7" x14ac:dyDescent="0.2">
      <c r="A4783" s="2" t="s">
        <v>3900</v>
      </c>
      <c r="B4783" s="2" t="s">
        <v>1537</v>
      </c>
      <c r="C4783" s="2">
        <v>749.98910000000001</v>
      </c>
      <c r="D4783" s="2">
        <f>HYPERLINK("http://mcb-m6.bioreg.kyushu-u.ac.jp/M3/20110411/F50911/2143/1", 89.66)</f>
        <v>89.66</v>
      </c>
      <c r="E4783" s="2">
        <v>73.069999999999993</v>
      </c>
      <c r="F4783" s="2">
        <v>2</v>
      </c>
      <c r="G4783" s="2" t="s">
        <v>9</v>
      </c>
    </row>
    <row r="4784" spans="1:7" x14ac:dyDescent="0.2">
      <c r="A4784" s="2" t="s">
        <v>3900</v>
      </c>
      <c r="B4784" s="2" t="s">
        <v>1050</v>
      </c>
      <c r="C4784" s="2">
        <v>770.4606</v>
      </c>
      <c r="D4784" s="2">
        <f>HYPERLINK("http://mcb-m6.bioreg.kyushu-u.ac.jp/M3/20110411/F50914/2236/1", 39.88)</f>
        <v>39.880000000000003</v>
      </c>
      <c r="E4784" s="2">
        <v>23.35</v>
      </c>
      <c r="F4784" s="2">
        <v>2</v>
      </c>
      <c r="G4784" s="2" t="s">
        <v>10</v>
      </c>
    </row>
    <row r="4785" spans="1:8" x14ac:dyDescent="0.2">
      <c r="A4785" s="2" t="s">
        <v>3900</v>
      </c>
      <c r="B4785" s="2" t="s">
        <v>1537</v>
      </c>
      <c r="C4785" s="2">
        <v>750.39919999999995</v>
      </c>
      <c r="D4785" s="2">
        <f>HYPERLINK("http://mcb-m6.bioreg.kyushu-u.ac.jp/M3/20110411/F50914/2139/1", 49.51)</f>
        <v>49.51</v>
      </c>
      <c r="E4785" s="2">
        <v>35.340000000000003</v>
      </c>
      <c r="F4785" s="2">
        <v>2</v>
      </c>
      <c r="G4785" s="2" t="s">
        <v>10</v>
      </c>
    </row>
    <row r="4786" spans="1:8" x14ac:dyDescent="0.2">
      <c r="A4786" s="2" t="s">
        <v>3900</v>
      </c>
      <c r="B4786" s="2" t="s">
        <v>1050</v>
      </c>
      <c r="C4786" s="2">
        <v>770.36519999999996</v>
      </c>
      <c r="D4786" s="2">
        <f>HYPERLINK("http://mcb-m6.bioreg.kyushu-u.ac.jp/M3/20110414/F50942/2104/1", 40.03)</f>
        <v>40.03</v>
      </c>
      <c r="E4786" s="2">
        <v>31.81</v>
      </c>
      <c r="F4786" s="2">
        <v>2</v>
      </c>
      <c r="G4786" s="2" t="s">
        <v>11</v>
      </c>
    </row>
    <row r="4787" spans="1:8" x14ac:dyDescent="0.2">
      <c r="A4787" s="2" t="s">
        <v>3900</v>
      </c>
      <c r="B4787" s="2" t="s">
        <v>1050</v>
      </c>
      <c r="C4787" s="2">
        <v>769.83759999999995</v>
      </c>
      <c r="D4787" s="2">
        <f>HYPERLINK("http://mcb-m6.bioreg.kyushu-u.ac.jp/M3/20110414/F50942/2099/1", 43.3)</f>
        <v>43.3</v>
      </c>
      <c r="E4787" s="2">
        <v>26.53</v>
      </c>
      <c r="F4787" s="2">
        <v>2</v>
      </c>
      <c r="G4787" s="2" t="s">
        <v>11</v>
      </c>
    </row>
    <row r="4788" spans="1:8" x14ac:dyDescent="0.2">
      <c r="A4788" s="2" t="s">
        <v>3900</v>
      </c>
      <c r="B4788" s="2" t="s">
        <v>1537</v>
      </c>
      <c r="C4788" s="2">
        <v>750.29319999999996</v>
      </c>
      <c r="D4788" s="2">
        <f>HYPERLINK("http://mcb-m6.bioreg.kyushu-u.ac.jp/M3/20110414/F50942/1970/1", 51.74)</f>
        <v>51.74</v>
      </c>
      <c r="E4788" s="2">
        <v>30.63</v>
      </c>
      <c r="F4788" s="2">
        <v>2</v>
      </c>
      <c r="G4788" s="2" t="s">
        <v>11</v>
      </c>
    </row>
    <row r="4789" spans="1:8" x14ac:dyDescent="0.2">
      <c r="A4789" s="2" t="s">
        <v>3900</v>
      </c>
      <c r="B4789" s="2" t="s">
        <v>1537</v>
      </c>
      <c r="C4789" s="2">
        <v>749.72059999999999</v>
      </c>
      <c r="D4789" s="2">
        <f>HYPERLINK("http://mcb-m6.bioreg.kyushu-u.ac.jp/M3/20110414/F50942/1966/1", 53.74)</f>
        <v>53.74</v>
      </c>
      <c r="E4789" s="2">
        <v>34.65</v>
      </c>
      <c r="F4789" s="2">
        <v>2</v>
      </c>
      <c r="G4789" s="2" t="s">
        <v>11</v>
      </c>
    </row>
    <row r="4790" spans="1:8" x14ac:dyDescent="0.2">
      <c r="A4790" s="2" t="s">
        <v>3900</v>
      </c>
      <c r="B4790" s="2" t="s">
        <v>1050</v>
      </c>
      <c r="C4790" s="2">
        <v>769.85109999999997</v>
      </c>
      <c r="D4790" s="2">
        <f>HYPERLINK("http://mcb-m6.bioreg.kyushu-u.ac.jp/M3/20110414/F50948/2295/1", 39.42)</f>
        <v>39.42</v>
      </c>
      <c r="E4790" s="2">
        <v>29.67</v>
      </c>
      <c r="F4790" s="2">
        <v>2</v>
      </c>
      <c r="G4790" s="2" t="s">
        <v>12</v>
      </c>
    </row>
    <row r="4791" spans="1:8" x14ac:dyDescent="0.2">
      <c r="A4791" s="2" t="s">
        <v>3900</v>
      </c>
      <c r="B4791" s="2" t="s">
        <v>1537</v>
      </c>
      <c r="C4791" s="2">
        <v>750.36720000000003</v>
      </c>
      <c r="D4791" s="2">
        <f>HYPERLINK("http://mcb-m6.bioreg.kyushu-u.ac.jp/M3/20110414/F50948/2159/1", 41.47)</f>
        <v>41.47</v>
      </c>
      <c r="E4791" s="2">
        <v>25.45</v>
      </c>
      <c r="F4791" s="2">
        <v>2</v>
      </c>
      <c r="G4791" s="2" t="s">
        <v>12</v>
      </c>
    </row>
    <row r="4792" spans="1:8" x14ac:dyDescent="0.2">
      <c r="A4792" s="2" t="s">
        <v>3594</v>
      </c>
      <c r="B4792" s="2" t="s">
        <v>484</v>
      </c>
      <c r="C4792" s="2">
        <v>655.02120000000002</v>
      </c>
      <c r="D4792" s="2">
        <f>HYPERLINK("http://mcb-m6.bioreg.kyushu-u.ac.jp/M3/20110411/F50890/3271/1", 42.84)</f>
        <v>42.84</v>
      </c>
      <c r="E4792" s="2">
        <v>22.98</v>
      </c>
      <c r="F4792" s="2">
        <v>3</v>
      </c>
      <c r="G4792" s="2" t="s">
        <v>9</v>
      </c>
    </row>
    <row r="4793" spans="1:8" x14ac:dyDescent="0.2">
      <c r="A4793" s="2" t="s">
        <v>3594</v>
      </c>
      <c r="B4793" s="2" t="s">
        <v>484</v>
      </c>
      <c r="C4793" s="2">
        <v>981.63120000000004</v>
      </c>
      <c r="D4793" s="2">
        <f>HYPERLINK("http://mcb-m6.bioreg.kyushu-u.ac.jp/M3/20110411/F50890/3270/1", 112.51)</f>
        <v>112.51</v>
      </c>
      <c r="E4793" s="2">
        <v>101.89</v>
      </c>
      <c r="F4793" s="2">
        <v>2</v>
      </c>
      <c r="G4793" s="2" t="s">
        <v>9</v>
      </c>
    </row>
    <row r="4794" spans="1:8" x14ac:dyDescent="0.2">
      <c r="A4794" s="2" t="s">
        <v>3594</v>
      </c>
      <c r="B4794" s="2" t="s">
        <v>1739</v>
      </c>
      <c r="C4794" s="2">
        <v>1063.7159999999999</v>
      </c>
      <c r="D4794" s="2">
        <f>HYPERLINK("http://mcb-m6.bioreg.kyushu-u.ac.jp/M3/20110411/F50897/1126/1", 36.96)</f>
        <v>36.96</v>
      </c>
      <c r="E4794" s="2">
        <v>14.53</v>
      </c>
      <c r="F4794" s="2">
        <v>1</v>
      </c>
      <c r="G4794" s="2" t="s">
        <v>10</v>
      </c>
    </row>
    <row r="4795" spans="1:8" x14ac:dyDescent="0.2">
      <c r="A4795" s="2" t="s">
        <v>3594</v>
      </c>
      <c r="B4795" s="2" t="s">
        <v>2247</v>
      </c>
      <c r="C4795" s="2">
        <v>723.96720000000005</v>
      </c>
      <c r="D4795" s="2">
        <f>HYPERLINK("http://mcb-m6.bioreg.kyushu-u.ac.jp/M3/20110414/F50927/2215/1", 39.33)</f>
        <v>39.33</v>
      </c>
      <c r="E4795" s="2">
        <v>23.46</v>
      </c>
      <c r="F4795" s="2">
        <v>2</v>
      </c>
      <c r="G4795" s="2" t="s">
        <v>11</v>
      </c>
      <c r="H4795" s="2" t="s">
        <v>4910</v>
      </c>
    </row>
    <row r="4796" spans="1:8" x14ac:dyDescent="0.2">
      <c r="A4796" s="2" t="s">
        <v>3594</v>
      </c>
      <c r="B4796" s="2" t="s">
        <v>2247</v>
      </c>
      <c r="C4796" s="2">
        <v>716.73609999999996</v>
      </c>
      <c r="D4796" s="2">
        <f>HYPERLINK("http://mcb-m6.bioreg.kyushu-u.ac.jp/M3/20110414/F50927/2181/1", 43.12)</f>
        <v>43.12</v>
      </c>
      <c r="E4796" s="2">
        <v>24.71</v>
      </c>
      <c r="F4796" s="2">
        <v>2</v>
      </c>
      <c r="G4796" s="2" t="s">
        <v>11</v>
      </c>
    </row>
    <row r="4797" spans="1:8" x14ac:dyDescent="0.2">
      <c r="A4797" s="2" t="s">
        <v>3594</v>
      </c>
      <c r="B4797" s="2" t="s">
        <v>2429</v>
      </c>
      <c r="C4797" s="2">
        <v>712.12710000000004</v>
      </c>
      <c r="D4797" s="2">
        <f>HYPERLINK("http://mcb-m6.bioreg.kyushu-u.ac.jp/M3/20110414/F50927/2154/1", 61.64)</f>
        <v>61.64</v>
      </c>
      <c r="E4797" s="2">
        <v>26.75</v>
      </c>
      <c r="F4797" s="2">
        <v>2</v>
      </c>
      <c r="G4797" s="2" t="s">
        <v>11</v>
      </c>
    </row>
    <row r="4798" spans="1:8" x14ac:dyDescent="0.2">
      <c r="A4798" s="2" t="s">
        <v>3594</v>
      </c>
      <c r="B4798" s="2" t="s">
        <v>2247</v>
      </c>
      <c r="C4798" s="2">
        <v>724.28520000000003</v>
      </c>
      <c r="D4798" s="2">
        <f>HYPERLINK("http://mcb-m6.bioreg.kyushu-u.ac.jp/M3/20110414/F50932/2218/1", 49.76)</f>
        <v>49.76</v>
      </c>
      <c r="E4798" s="2">
        <v>25.03</v>
      </c>
      <c r="F4798" s="2">
        <v>2</v>
      </c>
      <c r="G4798" s="2" t="s">
        <v>12</v>
      </c>
      <c r="H4798" s="2" t="s">
        <v>4910</v>
      </c>
    </row>
    <row r="4799" spans="1:8" x14ac:dyDescent="0.2">
      <c r="A4799" s="2" t="s">
        <v>3594</v>
      </c>
      <c r="B4799" s="2" t="s">
        <v>2247</v>
      </c>
      <c r="C4799" s="2">
        <v>716.77369999999996</v>
      </c>
      <c r="D4799" s="2">
        <f>HYPERLINK("http://mcb-m6.bioreg.kyushu-u.ac.jp/M3/20110414/F50932/2176/1", 57.21)</f>
        <v>57.21</v>
      </c>
      <c r="E4799" s="2">
        <v>41.83</v>
      </c>
      <c r="F4799" s="2">
        <v>2</v>
      </c>
      <c r="G4799" s="2" t="s">
        <v>12</v>
      </c>
    </row>
    <row r="4800" spans="1:8" x14ac:dyDescent="0.2">
      <c r="A4800" s="2" t="s">
        <v>3594</v>
      </c>
      <c r="B4800" s="2" t="s">
        <v>2247</v>
      </c>
      <c r="C4800" s="2">
        <v>716.4742</v>
      </c>
      <c r="D4800" s="2">
        <f>HYPERLINK("http://mcb-m6.bioreg.kyushu-u.ac.jp/M3/20110502/F51168/1952/1", 64.36)</f>
        <v>64.36</v>
      </c>
      <c r="E4800" s="2">
        <v>39.5</v>
      </c>
      <c r="F4800" s="2">
        <v>2</v>
      </c>
      <c r="G4800" s="2" t="s">
        <v>13</v>
      </c>
    </row>
    <row r="4801" spans="1:9" x14ac:dyDescent="0.2">
      <c r="A4801" s="2" t="s">
        <v>3594</v>
      </c>
      <c r="B4801" s="2" t="s">
        <v>2247</v>
      </c>
      <c r="C4801" s="2">
        <v>724.45870000000002</v>
      </c>
      <c r="D4801" s="2">
        <f>HYPERLINK("http://mcb-m6.bioreg.kyushu-u.ac.jp/M3/20110502/F51168/1977/1", 78.58)</f>
        <v>78.58</v>
      </c>
      <c r="E4801" s="2">
        <v>53.65</v>
      </c>
      <c r="F4801" s="2">
        <v>2</v>
      </c>
      <c r="G4801" s="2" t="s">
        <v>13</v>
      </c>
      <c r="H4801" s="2" t="s">
        <v>4910</v>
      </c>
    </row>
    <row r="4802" spans="1:9" x14ac:dyDescent="0.2">
      <c r="A4802" s="2" t="s">
        <v>3476</v>
      </c>
      <c r="B4802" s="2" t="s">
        <v>294</v>
      </c>
      <c r="C4802" s="2">
        <v>469.93709999999999</v>
      </c>
      <c r="D4802" s="2">
        <f>HYPERLINK("http://mcb-m6.bioreg.kyushu-u.ac.jp/M3/20110411/F50904/1038/1", 39.15)</f>
        <v>39.15</v>
      </c>
      <c r="E4802" s="2">
        <v>15.51</v>
      </c>
      <c r="F4802" s="2">
        <v>2</v>
      </c>
      <c r="G4802" s="2" t="s">
        <v>9</v>
      </c>
    </row>
    <row r="4803" spans="1:9" x14ac:dyDescent="0.2">
      <c r="A4803" s="2" t="s">
        <v>3476</v>
      </c>
      <c r="B4803" s="2" t="s">
        <v>420</v>
      </c>
      <c r="C4803" s="2">
        <v>1071.3219999999999</v>
      </c>
      <c r="D4803" s="2">
        <f>HYPERLINK("http://mcb-m6.bioreg.kyushu-u.ac.jp/M3/20110411/F50904/3342/1", 41.54)</f>
        <v>41.54</v>
      </c>
      <c r="E4803" s="2">
        <v>35.82</v>
      </c>
      <c r="F4803" s="2">
        <v>2</v>
      </c>
      <c r="G4803" s="2" t="s">
        <v>9</v>
      </c>
    </row>
    <row r="4804" spans="1:9" x14ac:dyDescent="0.2">
      <c r="A4804" s="2" t="s">
        <v>3476</v>
      </c>
      <c r="B4804" s="2" t="s">
        <v>420</v>
      </c>
      <c r="C4804" s="2">
        <v>1071.58</v>
      </c>
      <c r="D4804" s="2">
        <f>HYPERLINK("http://mcb-m6.bioreg.kyushu-u.ac.jp/M3/20110414/F50947/3675/1", 63.49)</f>
        <v>63.49</v>
      </c>
      <c r="E4804" s="2">
        <v>50.66</v>
      </c>
      <c r="F4804" s="2">
        <v>2</v>
      </c>
      <c r="G4804" s="2" t="s">
        <v>12</v>
      </c>
    </row>
    <row r="4805" spans="1:9" x14ac:dyDescent="0.2">
      <c r="A4805" s="2" t="s">
        <v>4240</v>
      </c>
      <c r="B4805" s="2" t="s">
        <v>1863</v>
      </c>
      <c r="C4805" s="2">
        <v>676.55020000000002</v>
      </c>
      <c r="D4805" s="2">
        <f>HYPERLINK("http://mcb-m6.bioreg.kyushu-u.ac.jp/M3/20110411/F50912/1722/1", 45.1)</f>
        <v>45.1</v>
      </c>
      <c r="E4805" s="2">
        <v>16.57</v>
      </c>
      <c r="F4805" s="2">
        <v>2</v>
      </c>
      <c r="G4805" s="2" t="s">
        <v>10</v>
      </c>
    </row>
    <row r="4806" spans="1:9" x14ac:dyDescent="0.2">
      <c r="A4806" s="2" t="s">
        <v>4240</v>
      </c>
      <c r="B4806" s="2" t="s">
        <v>1863</v>
      </c>
      <c r="C4806" s="2">
        <v>676.27670000000001</v>
      </c>
      <c r="D4806" s="2">
        <f>HYPERLINK("http://mcb-m6.bioreg.kyushu-u.ac.jp/M3/20110414/F50941/1698/1", 58.09)</f>
        <v>58.09</v>
      </c>
      <c r="E4806" s="2">
        <v>9.4700000000000006</v>
      </c>
      <c r="F4806" s="2">
        <v>2</v>
      </c>
      <c r="G4806" s="2" t="s">
        <v>11</v>
      </c>
    </row>
    <row r="4807" spans="1:9" x14ac:dyDescent="0.2">
      <c r="A4807" s="2" t="s">
        <v>4240</v>
      </c>
      <c r="B4807" s="2" t="s">
        <v>1863</v>
      </c>
      <c r="C4807" s="2">
        <v>676.34670000000006</v>
      </c>
      <c r="D4807" s="2">
        <f>HYPERLINK("http://mcb-m6.bioreg.kyushu-u.ac.jp/M3/20110414/F50947/1512/1", 48.1)</f>
        <v>48.1</v>
      </c>
      <c r="E4807" s="2">
        <v>16.170000000000002</v>
      </c>
      <c r="F4807" s="2">
        <v>2</v>
      </c>
      <c r="G4807" s="2" t="s">
        <v>12</v>
      </c>
    </row>
    <row r="4808" spans="1:9" x14ac:dyDescent="0.2">
      <c r="A4808" s="2" t="s">
        <v>4240</v>
      </c>
      <c r="B4808" s="2" t="s">
        <v>1863</v>
      </c>
      <c r="C4808" s="2">
        <v>676.85820000000001</v>
      </c>
      <c r="D4808" s="2">
        <f>HYPERLINK("http://mcb-m6.bioreg.kyushu-u.ac.jp/M3/20110414/F50947/1517/1", 56.7)</f>
        <v>56.7</v>
      </c>
      <c r="E4808" s="2">
        <v>20.74</v>
      </c>
      <c r="F4808" s="2">
        <v>2</v>
      </c>
      <c r="G4808" s="2" t="s">
        <v>12</v>
      </c>
    </row>
    <row r="4809" spans="1:9" x14ac:dyDescent="0.2">
      <c r="A4809" s="2" t="s">
        <v>3720</v>
      </c>
      <c r="B4809" s="2" t="s">
        <v>711</v>
      </c>
      <c r="C4809" s="2">
        <v>633.23969999999997</v>
      </c>
      <c r="D4809" s="2">
        <f>HYPERLINK("http://mcb-m6.bioreg.kyushu-u.ac.jp/M3/20110411/F50890/1651/1", 48.96)</f>
        <v>48.96</v>
      </c>
      <c r="E4809" s="2">
        <v>30.86</v>
      </c>
      <c r="F4809" s="2">
        <v>2</v>
      </c>
      <c r="G4809" s="2" t="s">
        <v>9</v>
      </c>
      <c r="I4809" s="2" t="s">
        <v>4899</v>
      </c>
    </row>
    <row r="4810" spans="1:9" x14ac:dyDescent="0.2">
      <c r="A4810" s="2" t="s">
        <v>3720</v>
      </c>
      <c r="B4810" s="2" t="s">
        <v>1165</v>
      </c>
      <c r="C4810" s="2">
        <v>742.91520000000003</v>
      </c>
      <c r="D4810" s="2">
        <f>HYPERLINK("http://mcb-m6.bioreg.kyushu-u.ac.jp/M3/20110411/F50891/2106/1", 65.62)</f>
        <v>65.62</v>
      </c>
      <c r="E4810" s="2">
        <v>43.38</v>
      </c>
      <c r="F4810" s="2">
        <v>2</v>
      </c>
      <c r="G4810" s="2" t="s">
        <v>9</v>
      </c>
    </row>
    <row r="4811" spans="1:9" x14ac:dyDescent="0.2">
      <c r="A4811" s="2" t="s">
        <v>3720</v>
      </c>
      <c r="B4811" s="2" t="s">
        <v>711</v>
      </c>
      <c r="C4811" s="2">
        <v>633.89509999999996</v>
      </c>
      <c r="D4811" s="2">
        <f>HYPERLINK("http://mcb-m6.bioreg.kyushu-u.ac.jp/M3/20110411/F50890/1653/1", 83.29)</f>
        <v>83.29</v>
      </c>
      <c r="E4811" s="2">
        <v>64.290000000000006</v>
      </c>
      <c r="F4811" s="2">
        <v>2</v>
      </c>
      <c r="G4811" s="2" t="s">
        <v>9</v>
      </c>
      <c r="I4811" s="2" t="s">
        <v>4899</v>
      </c>
    </row>
    <row r="4812" spans="1:9" x14ac:dyDescent="0.2">
      <c r="A4812" s="2" t="s">
        <v>3720</v>
      </c>
      <c r="B4812" s="2" t="s">
        <v>1165</v>
      </c>
      <c r="C4812" s="2">
        <v>742.96010000000001</v>
      </c>
      <c r="D4812" s="2">
        <f>HYPERLINK("http://mcb-m6.bioreg.kyushu-u.ac.jp/M3/20110411/F50890/2201/1", 97.24)</f>
        <v>97.24</v>
      </c>
      <c r="E4812" s="2">
        <v>69.099999999999994</v>
      </c>
      <c r="F4812" s="2">
        <v>2</v>
      </c>
      <c r="G4812" s="2" t="s">
        <v>9</v>
      </c>
    </row>
    <row r="4813" spans="1:9" x14ac:dyDescent="0.2">
      <c r="A4813" s="2" t="s">
        <v>3720</v>
      </c>
      <c r="B4813" s="2" t="s">
        <v>1165</v>
      </c>
      <c r="C4813" s="2">
        <v>743.43820000000005</v>
      </c>
      <c r="D4813" s="2">
        <f>HYPERLINK("http://mcb-m6.bioreg.kyushu-u.ac.jp/M3/20110502/F51170/2085/1", 36.83)</f>
        <v>36.83</v>
      </c>
      <c r="E4813" s="2">
        <v>21.47</v>
      </c>
      <c r="F4813" s="2">
        <v>2</v>
      </c>
      <c r="G4813" s="2" t="s">
        <v>13</v>
      </c>
    </row>
    <row r="4814" spans="1:9" x14ac:dyDescent="0.2">
      <c r="A4814" s="2" t="s">
        <v>3780</v>
      </c>
      <c r="B4814" s="2" t="s">
        <v>815</v>
      </c>
      <c r="C4814" s="2">
        <v>554.30160000000001</v>
      </c>
      <c r="D4814" s="2">
        <f>HYPERLINK("http://mcb-m6.bioreg.kyushu-u.ac.jp/M3/20110411/F50891/1178/1", 52.21)</f>
        <v>52.21</v>
      </c>
      <c r="E4814" s="2">
        <v>33.26</v>
      </c>
      <c r="F4814" s="2">
        <v>2</v>
      </c>
      <c r="G4814" s="2" t="s">
        <v>9</v>
      </c>
      <c r="H4814" s="2" t="s">
        <v>4920</v>
      </c>
    </row>
    <row r="4815" spans="1:9" x14ac:dyDescent="0.2">
      <c r="A4815" s="2" t="s">
        <v>3780</v>
      </c>
      <c r="B4815" s="2" t="s">
        <v>815</v>
      </c>
      <c r="C4815" s="2">
        <v>554.03269999999998</v>
      </c>
      <c r="D4815" s="2">
        <f>HYPERLINK("http://mcb-m6.bioreg.kyushu-u.ac.jp/M3/20110411/F50911/1199/1", 52.84)</f>
        <v>52.84</v>
      </c>
      <c r="E4815" s="2">
        <v>26.92</v>
      </c>
      <c r="F4815" s="2">
        <v>2</v>
      </c>
      <c r="G4815" s="2" t="s">
        <v>9</v>
      </c>
      <c r="H4815" s="2" t="s">
        <v>4920</v>
      </c>
    </row>
    <row r="4816" spans="1:9" x14ac:dyDescent="0.2">
      <c r="A4816" s="2" t="s">
        <v>3780</v>
      </c>
      <c r="B4816" s="2" t="s">
        <v>815</v>
      </c>
      <c r="C4816" s="2">
        <v>553.97720000000004</v>
      </c>
      <c r="D4816" s="2">
        <f>HYPERLINK("http://mcb-m6.bioreg.kyushu-u.ac.jp/M3/20110411/F50905/1169/1", 54.92)</f>
        <v>54.92</v>
      </c>
      <c r="E4816" s="2">
        <v>24.12</v>
      </c>
      <c r="F4816" s="2">
        <v>2</v>
      </c>
      <c r="G4816" s="2" t="s">
        <v>9</v>
      </c>
      <c r="H4816" s="2" t="s">
        <v>4920</v>
      </c>
    </row>
    <row r="4817" spans="1:8" x14ac:dyDescent="0.2">
      <c r="A4817" s="2" t="s">
        <v>3780</v>
      </c>
      <c r="B4817" s="2" t="s">
        <v>815</v>
      </c>
      <c r="C4817" s="2">
        <v>546.26919999999996</v>
      </c>
      <c r="D4817" s="2">
        <f>HYPERLINK("http://mcb-m6.bioreg.kyushu-u.ac.jp/M3/20110411/F50892/1465/1", 65.02)</f>
        <v>65.02</v>
      </c>
      <c r="E4817" s="2">
        <v>31.8</v>
      </c>
      <c r="F4817" s="2">
        <v>2</v>
      </c>
      <c r="G4817" s="2" t="s">
        <v>9</v>
      </c>
    </row>
    <row r="4818" spans="1:8" x14ac:dyDescent="0.2">
      <c r="A4818" s="2" t="s">
        <v>3780</v>
      </c>
      <c r="B4818" s="2" t="s">
        <v>815</v>
      </c>
      <c r="C4818" s="2">
        <v>545.84860000000003</v>
      </c>
      <c r="D4818" s="2">
        <f>HYPERLINK("http://mcb-m6.bioreg.kyushu-u.ac.jp/M3/20110411/F50891/1139/1", 65.12)</f>
        <v>65.12</v>
      </c>
      <c r="E4818" s="2">
        <v>29.72</v>
      </c>
      <c r="F4818" s="2">
        <v>2</v>
      </c>
      <c r="G4818" s="2" t="s">
        <v>9</v>
      </c>
    </row>
    <row r="4819" spans="1:8" x14ac:dyDescent="0.2">
      <c r="A4819" s="2" t="s">
        <v>3780</v>
      </c>
      <c r="B4819" s="2" t="s">
        <v>815</v>
      </c>
      <c r="C4819" s="2">
        <v>545.92660000000001</v>
      </c>
      <c r="D4819" s="2">
        <f>HYPERLINK("http://mcb-m6.bioreg.kyushu-u.ac.jp/M3/20110411/F50911/1157/1", 65.14)</f>
        <v>65.14</v>
      </c>
      <c r="E4819" s="2">
        <v>18.45</v>
      </c>
      <c r="F4819" s="2">
        <v>2</v>
      </c>
      <c r="G4819" s="2" t="s">
        <v>9</v>
      </c>
    </row>
    <row r="4820" spans="1:8" x14ac:dyDescent="0.2">
      <c r="A4820" s="2" t="s">
        <v>3780</v>
      </c>
      <c r="B4820" s="2" t="s">
        <v>815</v>
      </c>
      <c r="C4820" s="2">
        <v>545.87710000000004</v>
      </c>
      <c r="D4820" s="2">
        <f>HYPERLINK("http://mcb-m6.bioreg.kyushu-u.ac.jp/M3/20110411/F50895/1220/1", 72.97)</f>
        <v>72.97</v>
      </c>
      <c r="E4820" s="2">
        <v>32.479999999999997</v>
      </c>
      <c r="F4820" s="2">
        <v>2</v>
      </c>
      <c r="G4820" s="2" t="s">
        <v>9</v>
      </c>
    </row>
    <row r="4821" spans="1:8" x14ac:dyDescent="0.2">
      <c r="A4821" s="2" t="s">
        <v>3780</v>
      </c>
      <c r="B4821" s="2" t="s">
        <v>815</v>
      </c>
      <c r="C4821" s="2">
        <v>553.89260000000002</v>
      </c>
      <c r="D4821" s="2">
        <f>HYPERLINK("http://mcb-m6.bioreg.kyushu-u.ac.jp/M3/20110411/F50895/1250/1", 76.48)</f>
        <v>76.48</v>
      </c>
      <c r="E4821" s="2">
        <v>47.5</v>
      </c>
      <c r="F4821" s="2">
        <v>2</v>
      </c>
      <c r="G4821" s="2" t="s">
        <v>9</v>
      </c>
      <c r="H4821" s="2" t="s">
        <v>4920</v>
      </c>
    </row>
    <row r="4822" spans="1:8" x14ac:dyDescent="0.2">
      <c r="A4822" s="2" t="s">
        <v>3780</v>
      </c>
      <c r="B4822" s="2" t="s">
        <v>815</v>
      </c>
      <c r="C4822" s="2">
        <v>546.00869999999998</v>
      </c>
      <c r="D4822" s="2">
        <f>HYPERLINK("http://mcb-m6.bioreg.kyushu-u.ac.jp/M3/20110411/F50901/1346/1", 41.28)</f>
        <v>41.28</v>
      </c>
      <c r="E4822" s="2">
        <v>8.82</v>
      </c>
      <c r="F4822" s="2">
        <v>2</v>
      </c>
      <c r="G4822" s="2" t="s">
        <v>10</v>
      </c>
    </row>
    <row r="4823" spans="1:8" x14ac:dyDescent="0.2">
      <c r="A4823" s="2" t="s">
        <v>3780</v>
      </c>
      <c r="B4823" s="2" t="s">
        <v>815</v>
      </c>
      <c r="C4823" s="2">
        <v>545.87959999999998</v>
      </c>
      <c r="D4823" s="2">
        <f>HYPERLINK("http://mcb-m6.bioreg.kyushu-u.ac.jp/M3/20110411/F50896/1460/1", 45.94)</f>
        <v>45.94</v>
      </c>
      <c r="E4823" s="2">
        <v>18.43</v>
      </c>
      <c r="F4823" s="2">
        <v>2</v>
      </c>
      <c r="G4823" s="2" t="s">
        <v>10</v>
      </c>
    </row>
    <row r="4824" spans="1:8" x14ac:dyDescent="0.2">
      <c r="A4824" s="2" t="s">
        <v>3780</v>
      </c>
      <c r="B4824" s="2" t="s">
        <v>815</v>
      </c>
      <c r="C4824" s="2">
        <v>545.90869999999995</v>
      </c>
      <c r="D4824" s="2">
        <f>HYPERLINK("http://mcb-m6.bioreg.kyushu-u.ac.jp/M3/20110411/F50902/1263/1", 52.95)</f>
        <v>52.95</v>
      </c>
      <c r="E4824" s="2">
        <v>25.61</v>
      </c>
      <c r="F4824" s="2">
        <v>2</v>
      </c>
      <c r="G4824" s="2" t="s">
        <v>10</v>
      </c>
    </row>
    <row r="4825" spans="1:8" x14ac:dyDescent="0.2">
      <c r="A4825" s="2" t="s">
        <v>3780</v>
      </c>
      <c r="B4825" s="2" t="s">
        <v>815</v>
      </c>
      <c r="C4825" s="2">
        <v>545.99159999999995</v>
      </c>
      <c r="D4825" s="2">
        <f>HYPERLINK("http://mcb-m6.bioreg.kyushu-u.ac.jp/M3/20110411/F50912/1237/1", 54.72)</f>
        <v>54.72</v>
      </c>
      <c r="E4825" s="2">
        <v>15.98</v>
      </c>
      <c r="F4825" s="2">
        <v>2</v>
      </c>
      <c r="G4825" s="2" t="s">
        <v>10</v>
      </c>
    </row>
    <row r="4826" spans="1:8" x14ac:dyDescent="0.2">
      <c r="A4826" s="2" t="s">
        <v>3780</v>
      </c>
      <c r="B4826" s="2" t="s">
        <v>815</v>
      </c>
      <c r="C4826" s="2">
        <v>546.07169999999996</v>
      </c>
      <c r="D4826" s="2">
        <f>HYPERLINK("http://mcb-m6.bioreg.kyushu-u.ac.jp/M3/20110411/F50900/1480/1", 55.15)</f>
        <v>55.15</v>
      </c>
      <c r="E4826" s="2">
        <v>31.07</v>
      </c>
      <c r="F4826" s="2">
        <v>2</v>
      </c>
      <c r="G4826" s="2" t="s">
        <v>10</v>
      </c>
    </row>
    <row r="4827" spans="1:8" x14ac:dyDescent="0.2">
      <c r="A4827" s="2" t="s">
        <v>3780</v>
      </c>
      <c r="B4827" s="2" t="s">
        <v>815</v>
      </c>
      <c r="C4827" s="2">
        <v>545.75160000000005</v>
      </c>
      <c r="D4827" s="2">
        <f>HYPERLINK("http://mcb-m6.bioreg.kyushu-u.ac.jp/M3/20110411/F50898/1672/1", 61.54)</f>
        <v>61.54</v>
      </c>
      <c r="E4827" s="2">
        <v>26.39</v>
      </c>
      <c r="F4827" s="2">
        <v>2</v>
      </c>
      <c r="G4827" s="2" t="s">
        <v>10</v>
      </c>
    </row>
    <row r="4828" spans="1:8" x14ac:dyDescent="0.2">
      <c r="A4828" s="2" t="s">
        <v>3780</v>
      </c>
      <c r="B4828" s="2" t="s">
        <v>815</v>
      </c>
      <c r="C4828" s="2">
        <v>545.87220000000002</v>
      </c>
      <c r="D4828" s="2">
        <f>HYPERLINK("http://mcb-m6.bioreg.kyushu-u.ac.jp/M3/20110411/F50913/1189/1", 68.74)</f>
        <v>68.739999999999995</v>
      </c>
      <c r="E4828" s="2">
        <v>25.29</v>
      </c>
      <c r="F4828" s="2">
        <v>2</v>
      </c>
      <c r="G4828" s="2" t="s">
        <v>10</v>
      </c>
    </row>
    <row r="4829" spans="1:8" x14ac:dyDescent="0.2">
      <c r="A4829" s="2" t="s">
        <v>3780</v>
      </c>
      <c r="B4829" s="2" t="s">
        <v>815</v>
      </c>
      <c r="C4829" s="2">
        <v>553.99570000000006</v>
      </c>
      <c r="D4829" s="2">
        <f>HYPERLINK("http://mcb-m6.bioreg.kyushu-u.ac.jp/M3/20110502/F51174/1318/1", 45.29)</f>
        <v>45.29</v>
      </c>
      <c r="E4829" s="2">
        <v>20.69</v>
      </c>
      <c r="F4829" s="2">
        <v>2</v>
      </c>
      <c r="G4829" s="2" t="s">
        <v>13</v>
      </c>
      <c r="H4829" s="2" t="s">
        <v>4920</v>
      </c>
    </row>
    <row r="4830" spans="1:8" x14ac:dyDescent="0.2">
      <c r="A4830" s="2" t="s">
        <v>3780</v>
      </c>
      <c r="B4830" s="2" t="s">
        <v>815</v>
      </c>
      <c r="C4830" s="2">
        <v>546.21469999999999</v>
      </c>
      <c r="D4830" s="2">
        <f>HYPERLINK("http://mcb-m6.bioreg.kyushu-u.ac.jp/M3/20110502/F51171/1214/1", 53.11)</f>
        <v>53.11</v>
      </c>
      <c r="E4830" s="2">
        <v>24.89</v>
      </c>
      <c r="F4830" s="2">
        <v>2</v>
      </c>
      <c r="G4830" s="2" t="s">
        <v>13</v>
      </c>
    </row>
    <row r="4831" spans="1:8" x14ac:dyDescent="0.2">
      <c r="A4831" s="2" t="s">
        <v>3780</v>
      </c>
      <c r="B4831" s="2" t="s">
        <v>815</v>
      </c>
      <c r="C4831" s="2">
        <v>545.88570000000004</v>
      </c>
      <c r="D4831" s="2">
        <f>HYPERLINK("http://mcb-m6.bioreg.kyushu-u.ac.jp/M3/20110502/F51167/1573/1", 54.16)</f>
        <v>54.16</v>
      </c>
      <c r="E4831" s="2">
        <v>22.29</v>
      </c>
      <c r="F4831" s="2">
        <v>2</v>
      </c>
      <c r="G4831" s="2" t="s">
        <v>13</v>
      </c>
    </row>
    <row r="4832" spans="1:8" x14ac:dyDescent="0.2">
      <c r="A4832" s="2" t="s">
        <v>3780</v>
      </c>
      <c r="B4832" s="2" t="s">
        <v>815</v>
      </c>
      <c r="C4832" s="2">
        <v>546.04359999999997</v>
      </c>
      <c r="D4832" s="2">
        <f>HYPERLINK("http://mcb-m6.bioreg.kyushu-u.ac.jp/M3/20110502/F51174/1289/1", 55.06)</f>
        <v>55.06</v>
      </c>
      <c r="E4832" s="2">
        <v>23.93</v>
      </c>
      <c r="F4832" s="2">
        <v>2</v>
      </c>
      <c r="G4832" s="2" t="s">
        <v>13</v>
      </c>
    </row>
    <row r="4833" spans="1:9" x14ac:dyDescent="0.2">
      <c r="A4833" s="2" t="s">
        <v>3780</v>
      </c>
      <c r="B4833" s="2" t="s">
        <v>815</v>
      </c>
      <c r="C4833" s="2">
        <v>1090.817</v>
      </c>
      <c r="D4833" s="2">
        <f>HYPERLINK("http://mcb-m6.bioreg.kyushu-u.ac.jp/M3/20110502/F51177/846/1", 45.94)</f>
        <v>45.94</v>
      </c>
      <c r="E4833" s="2">
        <v>13.91</v>
      </c>
      <c r="F4833" s="2">
        <v>1</v>
      </c>
      <c r="G4833" s="2" t="s">
        <v>14</v>
      </c>
    </row>
    <row r="4834" spans="1:9" x14ac:dyDescent="0.2">
      <c r="A4834" s="2" t="s">
        <v>3780</v>
      </c>
      <c r="B4834" s="2" t="s">
        <v>815</v>
      </c>
      <c r="C4834" s="2">
        <v>546.15009999999995</v>
      </c>
      <c r="D4834" s="2">
        <f>HYPERLINK("http://mcb-m6.bioreg.kyushu-u.ac.jp/M3/20110502/F51177/850/1", 46.86)</f>
        <v>46.86</v>
      </c>
      <c r="E4834" s="2">
        <v>15.68</v>
      </c>
      <c r="F4834" s="2">
        <v>2</v>
      </c>
      <c r="G4834" s="2" t="s">
        <v>14</v>
      </c>
    </row>
    <row r="4835" spans="1:9" x14ac:dyDescent="0.2">
      <c r="A4835" s="2" t="s">
        <v>3780</v>
      </c>
      <c r="B4835" s="2" t="s">
        <v>815</v>
      </c>
      <c r="C4835" s="2">
        <v>554.00419999999997</v>
      </c>
      <c r="D4835" s="2">
        <f>HYPERLINK("http://mcb-m6.bioreg.kyushu-u.ac.jp/M3/20110502/F51177/882/1", 61.79)</f>
        <v>61.79</v>
      </c>
      <c r="E4835" s="2">
        <v>28.89</v>
      </c>
      <c r="F4835" s="2">
        <v>2</v>
      </c>
      <c r="G4835" s="2" t="s">
        <v>14</v>
      </c>
      <c r="H4835" s="2" t="s">
        <v>4920</v>
      </c>
    </row>
    <row r="4836" spans="1:9" x14ac:dyDescent="0.2">
      <c r="A4836" s="2" t="s">
        <v>3780</v>
      </c>
      <c r="B4836" s="2" t="s">
        <v>815</v>
      </c>
      <c r="C4836" s="2">
        <v>545.93320000000006</v>
      </c>
      <c r="D4836" s="2">
        <f>HYPERLINK("http://mcb-m6.bioreg.kyushu-u.ac.jp/M3/20110502/F51178/1293/1", 65.19)</f>
        <v>65.19</v>
      </c>
      <c r="E4836" s="2">
        <v>33.36</v>
      </c>
      <c r="F4836" s="2">
        <v>2</v>
      </c>
      <c r="G4836" s="2" t="s">
        <v>14</v>
      </c>
    </row>
    <row r="4837" spans="1:9" x14ac:dyDescent="0.2">
      <c r="A4837" s="2" t="s">
        <v>3780</v>
      </c>
      <c r="B4837" s="2" t="s">
        <v>815</v>
      </c>
      <c r="C4837" s="2">
        <v>545.91769999999997</v>
      </c>
      <c r="D4837" s="2">
        <f>HYPERLINK("http://mcb-m6.bioreg.kyushu-u.ac.jp/M3/20110502/F51177/847/1", 68.86)</f>
        <v>68.86</v>
      </c>
      <c r="E4837" s="2">
        <v>22.08</v>
      </c>
      <c r="F4837" s="2">
        <v>2</v>
      </c>
      <c r="G4837" s="2" t="s">
        <v>14</v>
      </c>
    </row>
    <row r="4838" spans="1:9" x14ac:dyDescent="0.2">
      <c r="A4838" s="2" t="s">
        <v>3535</v>
      </c>
      <c r="B4838" s="2" t="s">
        <v>389</v>
      </c>
      <c r="C4838" s="2">
        <v>633.42610000000002</v>
      </c>
      <c r="D4838" s="2">
        <f>HYPERLINK("http://mcb-m6.bioreg.kyushu-u.ac.jp/M3/20110411/F50911/1532/1", 40.99)</f>
        <v>40.99</v>
      </c>
      <c r="E4838" s="2">
        <v>21.64</v>
      </c>
      <c r="F4838" s="2">
        <v>2</v>
      </c>
      <c r="G4838" s="2" t="s">
        <v>9</v>
      </c>
      <c r="H4838" s="2" t="s">
        <v>4908</v>
      </c>
      <c r="I4838" s="2" t="s">
        <v>4903</v>
      </c>
    </row>
    <row r="4839" spans="1:9" x14ac:dyDescent="0.2">
      <c r="A4839" s="2" t="s">
        <v>3535</v>
      </c>
      <c r="B4839" s="2" t="s">
        <v>389</v>
      </c>
      <c r="C4839" s="2">
        <v>633.44209999999998</v>
      </c>
      <c r="D4839" s="2">
        <f>HYPERLINK("http://mcb-m6.bioreg.kyushu-u.ac.jp/M3/20110502/F51170/1564/1", 40.73)</f>
        <v>40.729999999999997</v>
      </c>
      <c r="E4839" s="2">
        <v>22.71</v>
      </c>
      <c r="F4839" s="2">
        <v>2</v>
      </c>
      <c r="G4839" s="2" t="s">
        <v>13</v>
      </c>
      <c r="H4839" s="2" t="s">
        <v>4908</v>
      </c>
      <c r="I4839" s="2" t="s">
        <v>4903</v>
      </c>
    </row>
    <row r="4840" spans="1:9" x14ac:dyDescent="0.2">
      <c r="A4840" s="2" t="s">
        <v>3535</v>
      </c>
      <c r="B4840" s="2" t="s">
        <v>389</v>
      </c>
      <c r="C4840" s="2">
        <v>633.50369999999998</v>
      </c>
      <c r="D4840" s="2">
        <f>HYPERLINK("http://mcb-m6.bioreg.kyushu-u.ac.jp/M3/20110502/F51177/1225/1", 40.53)</f>
        <v>40.53</v>
      </c>
      <c r="E4840" s="2">
        <v>23.94</v>
      </c>
      <c r="F4840" s="2">
        <v>2</v>
      </c>
      <c r="G4840" s="2" t="s">
        <v>14</v>
      </c>
      <c r="H4840" s="2" t="s">
        <v>4908</v>
      </c>
      <c r="I4840" s="2" t="s">
        <v>4903</v>
      </c>
    </row>
    <row r="4841" spans="1:9" x14ac:dyDescent="0.2">
      <c r="A4841" s="2" t="s">
        <v>4134</v>
      </c>
      <c r="B4841" s="2" t="s">
        <v>1677</v>
      </c>
      <c r="C4841" s="2">
        <v>903.5231</v>
      </c>
      <c r="D4841" s="2">
        <f>HYPERLINK("http://mcb-m6.bioreg.kyushu-u.ac.jp/M3/20110411/F50904/2768/1", 132.34)</f>
        <v>132.34</v>
      </c>
      <c r="E4841" s="2">
        <v>115.67</v>
      </c>
      <c r="F4841" s="2">
        <v>2</v>
      </c>
      <c r="G4841" s="2" t="s">
        <v>9</v>
      </c>
    </row>
    <row r="4842" spans="1:9" x14ac:dyDescent="0.2">
      <c r="A4842" s="2" t="s">
        <v>4134</v>
      </c>
      <c r="B4842" s="2" t="s">
        <v>1677</v>
      </c>
      <c r="C4842" s="2">
        <v>903.01070000000004</v>
      </c>
      <c r="D4842" s="2">
        <f>HYPERLINK("http://mcb-m6.bioreg.kyushu-u.ac.jp/M3/20110411/F50912/2783/1", 36.21)</f>
        <v>36.21</v>
      </c>
      <c r="E4842" s="2">
        <v>27.79</v>
      </c>
      <c r="F4842" s="2">
        <v>2</v>
      </c>
      <c r="G4842" s="2" t="s">
        <v>10</v>
      </c>
    </row>
    <row r="4843" spans="1:9" x14ac:dyDescent="0.2">
      <c r="A4843" s="2" t="s">
        <v>4134</v>
      </c>
      <c r="B4843" s="2" t="s">
        <v>1677</v>
      </c>
      <c r="C4843" s="2">
        <v>903.56410000000005</v>
      </c>
      <c r="D4843" s="2">
        <f>HYPERLINK("http://mcb-m6.bioreg.kyushu-u.ac.jp/M3/20110411/F50912/2786/1", 107)</f>
        <v>107</v>
      </c>
      <c r="E4843" s="2">
        <v>87.27</v>
      </c>
      <c r="F4843" s="2">
        <v>2</v>
      </c>
      <c r="G4843" s="2" t="s">
        <v>10</v>
      </c>
    </row>
    <row r="4844" spans="1:9" x14ac:dyDescent="0.2">
      <c r="A4844" s="2" t="s">
        <v>4683</v>
      </c>
      <c r="B4844" s="2" t="s">
        <v>2854</v>
      </c>
      <c r="C4844" s="2">
        <v>699.21969999999999</v>
      </c>
      <c r="D4844" s="2">
        <f>HYPERLINK("http://mcb-m6.bioreg.kyushu-u.ac.jp/M3/20110502/F51172/1834/1", 39.4)</f>
        <v>39.4</v>
      </c>
      <c r="E4844" s="2">
        <v>13.39</v>
      </c>
      <c r="F4844" s="2">
        <v>2</v>
      </c>
      <c r="G4844" s="2" t="s">
        <v>13</v>
      </c>
    </row>
    <row r="4845" spans="1:9" x14ac:dyDescent="0.2">
      <c r="A4845" s="2" t="s">
        <v>4481</v>
      </c>
      <c r="B4845" s="2" t="s">
        <v>2431</v>
      </c>
      <c r="C4845" s="2">
        <v>736.32370000000003</v>
      </c>
      <c r="D4845" s="2">
        <f>HYPERLINK("http://mcb-m6.bioreg.kyushu-u.ac.jp/M3/20110414/F50941/2085/1", 62.02)</f>
        <v>62.02</v>
      </c>
      <c r="E4845" s="2">
        <v>42.73</v>
      </c>
      <c r="F4845" s="2">
        <v>2</v>
      </c>
      <c r="G4845" s="2" t="s">
        <v>11</v>
      </c>
    </row>
    <row r="4846" spans="1:9" x14ac:dyDescent="0.2">
      <c r="A4846" s="2" t="s">
        <v>4481</v>
      </c>
      <c r="B4846" s="2" t="s">
        <v>2431</v>
      </c>
      <c r="C4846" s="2">
        <v>736.52419999999995</v>
      </c>
      <c r="D4846" s="2">
        <f>HYPERLINK("http://mcb-m6.bioreg.kyushu-u.ac.jp/M3/20110502/F51170/2036/1", 88.71)</f>
        <v>88.71</v>
      </c>
      <c r="E4846" s="2">
        <v>65.61</v>
      </c>
      <c r="F4846" s="2">
        <v>2</v>
      </c>
      <c r="G4846" s="2" t="s">
        <v>13</v>
      </c>
    </row>
    <row r="4847" spans="1:9" x14ac:dyDescent="0.2">
      <c r="A4847" s="2" t="s">
        <v>4481</v>
      </c>
      <c r="B4847" s="2" t="s">
        <v>2431</v>
      </c>
      <c r="C4847" s="2">
        <v>736.59270000000004</v>
      </c>
      <c r="D4847" s="2">
        <f>HYPERLINK("http://mcb-m6.bioreg.kyushu-u.ac.jp/M3/20110502/F51179/1735/1", 86.05)</f>
        <v>86.05</v>
      </c>
      <c r="E4847" s="2">
        <v>73.5</v>
      </c>
      <c r="F4847" s="2">
        <v>2</v>
      </c>
      <c r="G4847" s="2" t="s">
        <v>14</v>
      </c>
    </row>
    <row r="4848" spans="1:9" x14ac:dyDescent="0.2">
      <c r="A4848" s="2" t="s">
        <v>3899</v>
      </c>
      <c r="B4848" s="2" t="s">
        <v>1048</v>
      </c>
      <c r="C4848" s="2">
        <v>487.30810000000002</v>
      </c>
      <c r="D4848" s="2">
        <f>HYPERLINK("http://mcb-m6.bioreg.kyushu-u.ac.jp/M3/20110411/F50905/920/1", 60.3)</f>
        <v>60.3</v>
      </c>
      <c r="E4848" s="2">
        <v>23.68</v>
      </c>
      <c r="F4848" s="2">
        <v>2</v>
      </c>
      <c r="G4848" s="2" t="s">
        <v>9</v>
      </c>
    </row>
    <row r="4849" spans="1:9" x14ac:dyDescent="0.2">
      <c r="A4849" s="2" t="s">
        <v>4868</v>
      </c>
      <c r="B4849" s="2" t="s">
        <v>3165</v>
      </c>
      <c r="C4849" s="2">
        <v>590.98609999999996</v>
      </c>
      <c r="D4849" s="2">
        <f>HYPERLINK("http://mcb-m6.bioreg.kyushu-u.ac.jp/M3/20110502/F51179/1006/1", 57.41)</f>
        <v>57.41</v>
      </c>
      <c r="E4849" s="2">
        <v>26.18</v>
      </c>
      <c r="F4849" s="2">
        <v>2</v>
      </c>
      <c r="G4849" s="2" t="s">
        <v>14</v>
      </c>
    </row>
    <row r="4850" spans="1:9" x14ac:dyDescent="0.2">
      <c r="A4850" s="2" t="s">
        <v>4453</v>
      </c>
      <c r="B4850" s="2" t="s">
        <v>2363</v>
      </c>
      <c r="C4850" s="2">
        <v>1145.2929999999999</v>
      </c>
      <c r="D4850" s="2">
        <f>HYPERLINK("http://mcb-m6.bioreg.kyushu-u.ac.jp/M3/20110414/F50924/1373/1", 50.69)</f>
        <v>50.69</v>
      </c>
      <c r="E4850" s="2">
        <v>37.909999999999997</v>
      </c>
      <c r="F4850" s="2">
        <v>1</v>
      </c>
      <c r="G4850" s="2" t="s">
        <v>11</v>
      </c>
    </row>
    <row r="4851" spans="1:9" x14ac:dyDescent="0.2">
      <c r="A4851" s="2" t="s">
        <v>4453</v>
      </c>
      <c r="B4851" s="2" t="s">
        <v>2363</v>
      </c>
      <c r="C4851" s="2">
        <v>1145.297</v>
      </c>
      <c r="D4851" s="2">
        <f>HYPERLINK("http://mcb-m6.bioreg.kyushu-u.ac.jp/M3/20110414/F50930/1879/1", 44.67)</f>
        <v>44.67</v>
      </c>
      <c r="E4851" s="2">
        <v>29.13</v>
      </c>
      <c r="F4851" s="2">
        <v>1</v>
      </c>
      <c r="G4851" s="2" t="s">
        <v>12</v>
      </c>
    </row>
    <row r="4852" spans="1:9" x14ac:dyDescent="0.2">
      <c r="A4852" s="2" t="s">
        <v>4453</v>
      </c>
      <c r="B4852" s="2" t="s">
        <v>2363</v>
      </c>
      <c r="C4852" s="2">
        <v>1145.576</v>
      </c>
      <c r="D4852" s="2">
        <f>HYPERLINK("http://mcb-m6.bioreg.kyushu-u.ac.jp/M3/20110502/F51165/1556/1", 39.92)</f>
        <v>39.92</v>
      </c>
      <c r="E4852" s="2">
        <v>26.67</v>
      </c>
      <c r="F4852" s="2">
        <v>1</v>
      </c>
      <c r="G4852" s="2" t="s">
        <v>13</v>
      </c>
    </row>
    <row r="4853" spans="1:9" x14ac:dyDescent="0.2">
      <c r="A4853" s="2" t="s">
        <v>4500</v>
      </c>
      <c r="B4853" s="2" t="s">
        <v>2484</v>
      </c>
      <c r="C4853" s="2">
        <v>822.77120000000002</v>
      </c>
      <c r="D4853" s="2">
        <f>HYPERLINK("http://mcb-m6.bioreg.kyushu-u.ac.jp/M3/20110414/F50924/2501/1", 78.87)</f>
        <v>78.87</v>
      </c>
      <c r="E4853" s="2">
        <v>61.2</v>
      </c>
      <c r="F4853" s="2">
        <v>2</v>
      </c>
      <c r="G4853" s="2" t="s">
        <v>11</v>
      </c>
    </row>
    <row r="4854" spans="1:9" x14ac:dyDescent="0.2">
      <c r="A4854" s="2" t="s">
        <v>4500</v>
      </c>
      <c r="B4854" s="2" t="s">
        <v>2484</v>
      </c>
      <c r="C4854" s="2">
        <v>823.31569999999999</v>
      </c>
      <c r="D4854" s="2">
        <f>HYPERLINK("http://mcb-m6.bioreg.kyushu-u.ac.jp/M3/20110414/F50924/2503/1", 81.99)</f>
        <v>81.99</v>
      </c>
      <c r="E4854" s="2">
        <v>66.13</v>
      </c>
      <c r="F4854" s="2">
        <v>2</v>
      </c>
      <c r="G4854" s="2" t="s">
        <v>11</v>
      </c>
    </row>
    <row r="4855" spans="1:9" x14ac:dyDescent="0.2">
      <c r="A4855" s="2" t="s">
        <v>4625</v>
      </c>
      <c r="B4855" s="2" t="s">
        <v>2765</v>
      </c>
      <c r="C4855" s="2">
        <v>1153.932</v>
      </c>
      <c r="D4855" s="2">
        <f>HYPERLINK("http://mcb-m6.bioreg.kyushu-u.ac.jp/M3/20110414/F50959/4207/1", 82.89)</f>
        <v>82.89</v>
      </c>
      <c r="E4855" s="2">
        <v>76.099999999999994</v>
      </c>
      <c r="F4855" s="2">
        <v>2</v>
      </c>
      <c r="G4855" s="2" t="s">
        <v>12</v>
      </c>
    </row>
    <row r="4856" spans="1:9" x14ac:dyDescent="0.2">
      <c r="A4856" s="4" t="s">
        <v>3777</v>
      </c>
      <c r="B4856" s="2" t="s">
        <v>804</v>
      </c>
      <c r="C4856" s="2">
        <v>685.47969999999998</v>
      </c>
      <c r="D4856" s="2">
        <f>HYPERLINK("http://mcb-m6.bioreg.kyushu-u.ac.jp/M3/20110411/F50892/1926/1", 51.76)</f>
        <v>51.76</v>
      </c>
      <c r="E4856" s="2">
        <v>35.57</v>
      </c>
      <c r="F4856" s="2">
        <v>2</v>
      </c>
      <c r="G4856" s="2" t="s">
        <v>9</v>
      </c>
    </row>
    <row r="4857" spans="1:9" x14ac:dyDescent="0.2">
      <c r="A4857" s="4" t="s">
        <v>3777</v>
      </c>
      <c r="B4857" s="2" t="s">
        <v>804</v>
      </c>
      <c r="C4857" s="2">
        <v>685.51819999999998</v>
      </c>
      <c r="D4857" s="2">
        <f>HYPERLINK("http://mcb-m6.bioreg.kyushu-u.ac.jp/M3/20110414/F50945/1726/1", 42.03)</f>
        <v>42.03</v>
      </c>
      <c r="E4857" s="2">
        <v>23.73</v>
      </c>
      <c r="F4857" s="2">
        <v>2</v>
      </c>
      <c r="G4857" s="2" t="s">
        <v>11</v>
      </c>
    </row>
    <row r="4858" spans="1:9" x14ac:dyDescent="0.2">
      <c r="A4858" s="4" t="s">
        <v>3777</v>
      </c>
      <c r="B4858" s="2" t="s">
        <v>804</v>
      </c>
      <c r="C4858" s="2">
        <v>685.19569999999999</v>
      </c>
      <c r="D4858" s="2">
        <f>HYPERLINK("http://mcb-m6.bioreg.kyushu-u.ac.jp/M3/20110414/F50929/2025/1", 103.74)</f>
        <v>103.74</v>
      </c>
      <c r="E4858" s="2">
        <v>82.69</v>
      </c>
      <c r="F4858" s="2">
        <v>2</v>
      </c>
      <c r="G4858" s="2" t="s">
        <v>11</v>
      </c>
    </row>
    <row r="4859" spans="1:9" x14ac:dyDescent="0.2">
      <c r="A4859" s="4" t="s">
        <v>3777</v>
      </c>
      <c r="B4859" s="2" t="s">
        <v>804</v>
      </c>
      <c r="C4859" s="2">
        <v>685.5172</v>
      </c>
      <c r="D4859" s="2">
        <f>HYPERLINK("http://mcb-m6.bioreg.kyushu-u.ac.jp/M3/20110414/F50934/2107/1", 40.33)</f>
        <v>40.33</v>
      </c>
      <c r="E4859" s="2">
        <v>22.48</v>
      </c>
      <c r="F4859" s="2">
        <v>2</v>
      </c>
      <c r="G4859" s="2" t="s">
        <v>12</v>
      </c>
    </row>
    <row r="4860" spans="1:9" x14ac:dyDescent="0.2">
      <c r="A4860" s="4" t="s">
        <v>3777</v>
      </c>
      <c r="B4860" s="2" t="s">
        <v>804</v>
      </c>
      <c r="C4860" s="2">
        <v>685.3972</v>
      </c>
      <c r="D4860" s="2">
        <f>HYPERLINK("http://mcb-m6.bioreg.kyushu-u.ac.jp/M3/20110414/F50946/1639/1", 46.17)</f>
        <v>46.17</v>
      </c>
      <c r="E4860" s="2">
        <v>26.15</v>
      </c>
      <c r="F4860" s="2">
        <v>2</v>
      </c>
      <c r="G4860" s="2" t="s">
        <v>12</v>
      </c>
    </row>
    <row r="4861" spans="1:9" x14ac:dyDescent="0.2">
      <c r="A4861" s="4" t="s">
        <v>3993</v>
      </c>
      <c r="B4861" s="2" t="s">
        <v>1272</v>
      </c>
      <c r="C4861" s="2">
        <v>890.38509999999997</v>
      </c>
      <c r="D4861" s="2">
        <f>HYPERLINK("http://mcb-m6.bioreg.kyushu-u.ac.jp/M3/20110411/F50892/2802/1", 70.02)</f>
        <v>70.02</v>
      </c>
      <c r="E4861" s="2">
        <v>55.31</v>
      </c>
      <c r="F4861" s="2">
        <v>2</v>
      </c>
      <c r="G4861" s="2" t="s">
        <v>9</v>
      </c>
    </row>
    <row r="4862" spans="1:9" x14ac:dyDescent="0.2">
      <c r="A4862" s="4" t="s">
        <v>4528</v>
      </c>
      <c r="B4862" s="2" t="s">
        <v>2550</v>
      </c>
      <c r="C4862" s="2">
        <v>812.57899999999995</v>
      </c>
      <c r="D4862" s="2">
        <f>HYPERLINK("http://mcb-m6.bioreg.kyushu-u.ac.jp/M3/20110414/F50934/1479/1", 37.28)</f>
        <v>37.28</v>
      </c>
      <c r="E4862" s="2">
        <v>11.59</v>
      </c>
      <c r="F4862" s="2">
        <v>1</v>
      </c>
      <c r="G4862" s="2" t="s">
        <v>12</v>
      </c>
      <c r="H4862" s="2" t="s">
        <v>4904</v>
      </c>
    </row>
    <row r="4863" spans="1:9" x14ac:dyDescent="0.2">
      <c r="A4863" s="4" t="s">
        <v>3766</v>
      </c>
      <c r="B4863" s="2" t="s">
        <v>783</v>
      </c>
      <c r="C4863" s="2">
        <v>910.52260000000001</v>
      </c>
      <c r="D4863" s="2">
        <f>HYPERLINK("http://mcb-m6.bioreg.kyushu-u.ac.jp/M3/20110411/F50892/2863/1", 51.22)</f>
        <v>51.22</v>
      </c>
      <c r="E4863" s="2">
        <v>35.68</v>
      </c>
      <c r="F4863" s="2">
        <v>2</v>
      </c>
      <c r="G4863" s="2" t="s">
        <v>9</v>
      </c>
      <c r="I4863" s="2" t="s">
        <v>4929</v>
      </c>
    </row>
    <row r="4864" spans="1:9" x14ac:dyDescent="0.2">
      <c r="A4864" s="4" t="s">
        <v>3766</v>
      </c>
      <c r="B4864" s="2" t="s">
        <v>783</v>
      </c>
      <c r="C4864" s="2">
        <v>910.5797</v>
      </c>
      <c r="D4864" s="2">
        <f>HYPERLINK("http://mcb-m6.bioreg.kyushu-u.ac.jp/M3/20110414/F50929/2796/1", 76.81)</f>
        <v>76.81</v>
      </c>
      <c r="E4864" s="2">
        <v>58.99</v>
      </c>
      <c r="F4864" s="2">
        <v>2</v>
      </c>
      <c r="G4864" s="2" t="s">
        <v>11</v>
      </c>
      <c r="I4864" s="2" t="s">
        <v>4929</v>
      </c>
    </row>
    <row r="4865" spans="1:9" x14ac:dyDescent="0.2">
      <c r="A4865" s="4" t="s">
        <v>3766</v>
      </c>
      <c r="B4865" s="2" t="s">
        <v>783</v>
      </c>
      <c r="C4865" s="2">
        <v>910.4941</v>
      </c>
      <c r="D4865" s="2">
        <f>HYPERLINK("http://mcb-m6.bioreg.kyushu-u.ac.jp/M3/20110414/F50934/2730/1", 70.68)</f>
        <v>70.680000000000007</v>
      </c>
      <c r="E4865" s="2">
        <v>58.42</v>
      </c>
      <c r="F4865" s="2">
        <v>2</v>
      </c>
      <c r="G4865" s="2" t="s">
        <v>12</v>
      </c>
      <c r="I4865" s="2" t="s">
        <v>4929</v>
      </c>
    </row>
    <row r="4866" spans="1:9" x14ac:dyDescent="0.2">
      <c r="A4866" s="2" t="s">
        <v>4601</v>
      </c>
      <c r="B4866" s="2" t="s">
        <v>2694</v>
      </c>
      <c r="C4866" s="2">
        <v>765.92470000000003</v>
      </c>
      <c r="D4866" s="2">
        <f>HYPERLINK("http://mcb-m6.bioreg.kyushu-u.ac.jp/M3/20110414/F50950/2301/1", 54.67)</f>
        <v>54.67</v>
      </c>
      <c r="E4866" s="2">
        <v>34.46</v>
      </c>
      <c r="F4866" s="2">
        <v>2</v>
      </c>
      <c r="G4866" s="2" t="s">
        <v>12</v>
      </c>
    </row>
    <row r="4867" spans="1:9" x14ac:dyDescent="0.2">
      <c r="A4867" s="2" t="s">
        <v>4601</v>
      </c>
      <c r="B4867" s="2" t="s">
        <v>2834</v>
      </c>
      <c r="C4867" s="2">
        <v>783.49159999999995</v>
      </c>
      <c r="D4867" s="2">
        <f>HYPERLINK("http://mcb-m6.bioreg.kyushu-u.ac.jp/M3/20110502/F51174/2132/1", 37.88)</f>
        <v>37.880000000000003</v>
      </c>
      <c r="E4867" s="2">
        <v>22.04</v>
      </c>
      <c r="F4867" s="2">
        <v>2</v>
      </c>
      <c r="G4867" s="2" t="s">
        <v>13</v>
      </c>
    </row>
    <row r="4868" spans="1:9" x14ac:dyDescent="0.2">
      <c r="A4868" s="2" t="s">
        <v>4601</v>
      </c>
      <c r="B4868" s="2" t="s">
        <v>3011</v>
      </c>
      <c r="C4868" s="2">
        <v>603.42719999999997</v>
      </c>
      <c r="D4868" s="2">
        <f>HYPERLINK("http://mcb-m6.bioreg.kyushu-u.ac.jp/M3/20110502/F51185/1188/1", 37.97)</f>
        <v>37.97</v>
      </c>
      <c r="E4868" s="2">
        <v>23.33</v>
      </c>
      <c r="F4868" s="2">
        <v>2</v>
      </c>
      <c r="G4868" s="2" t="s">
        <v>14</v>
      </c>
    </row>
    <row r="4869" spans="1:9" x14ac:dyDescent="0.2">
      <c r="A4869" s="2" t="s">
        <v>4601</v>
      </c>
      <c r="B4869" s="2" t="s">
        <v>2694</v>
      </c>
      <c r="C4869" s="2">
        <v>766.24369999999999</v>
      </c>
      <c r="D4869" s="2">
        <f>HYPERLINK("http://mcb-m6.bioreg.kyushu-u.ac.jp/M3/20110502/F51185/2017/1", 68.89)</f>
        <v>68.89</v>
      </c>
      <c r="E4869" s="2">
        <v>46.73</v>
      </c>
      <c r="F4869" s="2">
        <v>2</v>
      </c>
      <c r="G4869" s="2" t="s">
        <v>14</v>
      </c>
    </row>
    <row r="4870" spans="1:9" x14ac:dyDescent="0.2">
      <c r="A4870" s="2" t="s">
        <v>4601</v>
      </c>
      <c r="B4870" s="2" t="s">
        <v>3212</v>
      </c>
      <c r="C4870" s="2">
        <v>935.60519999999997</v>
      </c>
      <c r="D4870" s="2">
        <f>HYPERLINK("http://mcb-m6.bioreg.kyushu-u.ac.jp/M3/20110502/F51185/2808/1", 80.93)</f>
        <v>80.930000000000007</v>
      </c>
      <c r="E4870" s="2">
        <v>59.38</v>
      </c>
      <c r="F4870" s="2">
        <v>2</v>
      </c>
      <c r="G4870" s="2" t="s">
        <v>14</v>
      </c>
    </row>
    <row r="4871" spans="1:9" x14ac:dyDescent="0.2">
      <c r="A4871" s="2" t="s">
        <v>4825</v>
      </c>
      <c r="B4871" s="2" t="s">
        <v>3083</v>
      </c>
      <c r="C4871" s="2">
        <v>478.18509999999998</v>
      </c>
      <c r="D4871" s="2">
        <f>HYPERLINK("http://mcb-m6.bioreg.kyushu-u.ac.jp/M3/20110502/F51185/659/1", 43.01)</f>
        <v>43.01</v>
      </c>
      <c r="E4871" s="2">
        <v>10.62</v>
      </c>
      <c r="F4871" s="2">
        <v>2</v>
      </c>
      <c r="G4871" s="2" t="s">
        <v>14</v>
      </c>
    </row>
    <row r="4872" spans="1:9" x14ac:dyDescent="0.2">
      <c r="A4872" s="2" t="s">
        <v>3485</v>
      </c>
      <c r="B4872" s="2" t="s">
        <v>312</v>
      </c>
      <c r="C4872" s="2">
        <v>910.0607</v>
      </c>
      <c r="D4872" s="2">
        <f>HYPERLINK("http://mcb-m6.bioreg.kyushu-u.ac.jp/M3/20110411/F50905/2897/1", 39.54)</f>
        <v>39.54</v>
      </c>
      <c r="E4872" s="2">
        <v>27.96</v>
      </c>
      <c r="F4872" s="2">
        <v>2</v>
      </c>
      <c r="G4872" s="2" t="s">
        <v>9</v>
      </c>
    </row>
    <row r="4873" spans="1:9" x14ac:dyDescent="0.2">
      <c r="A4873" s="2" t="s">
        <v>3485</v>
      </c>
      <c r="B4873" s="2" t="s">
        <v>312</v>
      </c>
      <c r="C4873" s="2">
        <v>909.39419999999996</v>
      </c>
      <c r="D4873" s="2">
        <f>HYPERLINK("http://mcb-m6.bioreg.kyushu-u.ac.jp/M3/20110411/F50905/2893/1", 43.17)</f>
        <v>43.17</v>
      </c>
      <c r="E4873" s="2">
        <v>32.71</v>
      </c>
      <c r="F4873" s="2">
        <v>2</v>
      </c>
      <c r="G4873" s="2" t="s">
        <v>9</v>
      </c>
    </row>
    <row r="4874" spans="1:9" x14ac:dyDescent="0.2">
      <c r="A4874" s="2" t="s">
        <v>3485</v>
      </c>
      <c r="B4874" s="2" t="s">
        <v>312</v>
      </c>
      <c r="C4874" s="2">
        <v>909.64970000000005</v>
      </c>
      <c r="D4874" s="2">
        <f>HYPERLINK("http://mcb-m6.bioreg.kyushu-u.ac.jp/M3/20110411/F50911/2989/1", 50.03)</f>
        <v>50.03</v>
      </c>
      <c r="E4874" s="2">
        <v>40.17</v>
      </c>
      <c r="F4874" s="2">
        <v>2</v>
      </c>
      <c r="G4874" s="2" t="s">
        <v>9</v>
      </c>
    </row>
    <row r="4875" spans="1:9" x14ac:dyDescent="0.2">
      <c r="A4875" s="2" t="s">
        <v>3485</v>
      </c>
      <c r="B4875" s="2" t="s">
        <v>1564</v>
      </c>
      <c r="C4875" s="2">
        <v>1048.172</v>
      </c>
      <c r="D4875" s="2">
        <f>HYPERLINK("http://mcb-m6.bioreg.kyushu-u.ac.jp/M3/20110411/F50911/3528/1", 92.93)</f>
        <v>92.93</v>
      </c>
      <c r="E4875" s="2">
        <v>77.55</v>
      </c>
      <c r="F4875" s="2">
        <v>2</v>
      </c>
      <c r="G4875" s="2" t="s">
        <v>9</v>
      </c>
    </row>
    <row r="4876" spans="1:9" x14ac:dyDescent="0.2">
      <c r="A4876" s="2" t="s">
        <v>3485</v>
      </c>
      <c r="B4876" s="2" t="s">
        <v>1859</v>
      </c>
      <c r="C4876" s="2">
        <v>757.09270000000004</v>
      </c>
      <c r="D4876" s="2">
        <f>HYPERLINK("http://mcb-m6.bioreg.kyushu-u.ac.jp/M3/20110411/F50914/2167/1", 44.85)</f>
        <v>44.85</v>
      </c>
      <c r="E4876" s="2">
        <v>28.18</v>
      </c>
      <c r="F4876" s="2">
        <v>2</v>
      </c>
      <c r="G4876" s="2" t="s">
        <v>10</v>
      </c>
    </row>
    <row r="4877" spans="1:9" x14ac:dyDescent="0.2">
      <c r="A4877" s="2" t="s">
        <v>3485</v>
      </c>
      <c r="B4877" s="2" t="s">
        <v>312</v>
      </c>
      <c r="C4877" s="2">
        <v>909.70759999999996</v>
      </c>
      <c r="D4877" s="2">
        <f>HYPERLINK("http://mcb-m6.bioreg.kyushu-u.ac.jp/M3/20110411/F50914/2884/1", 75.27)</f>
        <v>75.27</v>
      </c>
      <c r="E4877" s="2">
        <v>69.11</v>
      </c>
      <c r="F4877" s="2">
        <v>2</v>
      </c>
      <c r="G4877" s="2" t="s">
        <v>10</v>
      </c>
    </row>
    <row r="4878" spans="1:9" x14ac:dyDescent="0.2">
      <c r="A4878" s="2" t="s">
        <v>3485</v>
      </c>
      <c r="B4878" s="2" t="s">
        <v>312</v>
      </c>
      <c r="C4878" s="2">
        <v>909.36109999999996</v>
      </c>
      <c r="D4878" s="2">
        <f>HYPERLINK("http://mcb-m6.bioreg.kyushu-u.ac.jp/M3/20110414/F50941/3002/1", 70.16)</f>
        <v>70.16</v>
      </c>
      <c r="E4878" s="2">
        <v>59.1</v>
      </c>
      <c r="F4878" s="2">
        <v>2</v>
      </c>
      <c r="G4878" s="2" t="s">
        <v>11</v>
      </c>
    </row>
    <row r="4879" spans="1:9" x14ac:dyDescent="0.2">
      <c r="A4879" s="2" t="s">
        <v>3485</v>
      </c>
      <c r="B4879" s="2" t="s">
        <v>312</v>
      </c>
      <c r="C4879" s="2">
        <v>909.46010000000001</v>
      </c>
      <c r="D4879" s="2">
        <f>HYPERLINK("http://mcb-m6.bioreg.kyushu-u.ac.jp/M3/20110414/F50947/2949/1", 64.98)</f>
        <v>64.98</v>
      </c>
      <c r="E4879" s="2">
        <v>50.81</v>
      </c>
      <c r="F4879" s="2">
        <v>2</v>
      </c>
      <c r="G4879" s="2" t="s">
        <v>12</v>
      </c>
    </row>
    <row r="4880" spans="1:9" x14ac:dyDescent="0.2">
      <c r="A4880" s="2" t="s">
        <v>3485</v>
      </c>
      <c r="B4880" s="2" t="s">
        <v>312</v>
      </c>
      <c r="C4880" s="2">
        <v>909.46420000000001</v>
      </c>
      <c r="D4880" s="2">
        <f>HYPERLINK("http://mcb-m6.bioreg.kyushu-u.ac.jp/M3/20110502/F51171/2711/1", 73.28)</f>
        <v>73.28</v>
      </c>
      <c r="E4880" s="2">
        <v>59.22</v>
      </c>
      <c r="F4880" s="2">
        <v>2</v>
      </c>
      <c r="G4880" s="2" t="s">
        <v>13</v>
      </c>
    </row>
    <row r="4881" spans="1:9" x14ac:dyDescent="0.2">
      <c r="A4881" s="2" t="s">
        <v>3485</v>
      </c>
      <c r="B4881" s="2" t="s">
        <v>312</v>
      </c>
      <c r="C4881" s="2">
        <v>909.69759999999997</v>
      </c>
      <c r="D4881" s="2">
        <f>HYPERLINK("http://mcb-m6.bioreg.kyushu-u.ac.jp/M3/20110502/F51179/2729/1", 72.63)</f>
        <v>72.63</v>
      </c>
      <c r="E4881" s="2">
        <v>60.2</v>
      </c>
      <c r="F4881" s="2">
        <v>2</v>
      </c>
      <c r="G4881" s="2" t="s">
        <v>14</v>
      </c>
    </row>
    <row r="4882" spans="1:9" x14ac:dyDescent="0.2">
      <c r="A4882" s="2" t="s">
        <v>4227</v>
      </c>
      <c r="B4882" s="2" t="s">
        <v>1836</v>
      </c>
      <c r="C4882" s="2">
        <v>544.52560000000005</v>
      </c>
      <c r="D4882" s="2">
        <f>HYPERLINK("http://mcb-m6.bioreg.kyushu-u.ac.jp/M3/20110411/F50899/1691/1", 42.41)</f>
        <v>42.41</v>
      </c>
      <c r="E4882" s="2">
        <v>19.79</v>
      </c>
      <c r="F4882" s="2">
        <v>2</v>
      </c>
      <c r="G4882" s="2" t="s">
        <v>10</v>
      </c>
    </row>
    <row r="4883" spans="1:9" x14ac:dyDescent="0.2">
      <c r="A4883" s="2" t="s">
        <v>4022</v>
      </c>
      <c r="B4883" s="2" t="s">
        <v>1336</v>
      </c>
      <c r="C4883" s="2">
        <v>910.45870000000002</v>
      </c>
      <c r="D4883" s="2">
        <f>HYPERLINK("http://mcb-m6.bioreg.kyushu-u.ac.jp/M3/20110411/F50891/3054/1", 73.87)</f>
        <v>73.87</v>
      </c>
      <c r="E4883" s="2">
        <v>63.27</v>
      </c>
      <c r="F4883" s="2">
        <v>2</v>
      </c>
      <c r="G4883" s="2" t="s">
        <v>9</v>
      </c>
    </row>
    <row r="4884" spans="1:9" x14ac:dyDescent="0.2">
      <c r="A4884" s="2" t="s">
        <v>4022</v>
      </c>
      <c r="B4884" s="2" t="s">
        <v>2309</v>
      </c>
      <c r="C4884" s="2">
        <v>785.59119999999996</v>
      </c>
      <c r="D4884" s="2">
        <f>HYPERLINK("http://mcb-m6.bioreg.kyushu-u.ac.jp/M3/20110414/F50928/2530/1", 44.96)</f>
        <v>44.96</v>
      </c>
      <c r="E4884" s="2">
        <v>11.27</v>
      </c>
      <c r="F4884" s="2">
        <v>2</v>
      </c>
      <c r="G4884" s="2" t="s">
        <v>11</v>
      </c>
    </row>
    <row r="4885" spans="1:9" x14ac:dyDescent="0.2">
      <c r="A4885" s="2" t="s">
        <v>4022</v>
      </c>
      <c r="B4885" s="2" t="s">
        <v>2309</v>
      </c>
      <c r="C4885" s="2">
        <v>786.28060000000005</v>
      </c>
      <c r="D4885" s="2">
        <f>HYPERLINK("http://mcb-m6.bioreg.kyushu-u.ac.jp/M3/20110414/F50928/2533/1", 47.73)</f>
        <v>47.73</v>
      </c>
      <c r="E4885" s="2">
        <v>10.119999999999999</v>
      </c>
      <c r="F4885" s="2">
        <v>2</v>
      </c>
      <c r="G4885" s="2" t="s">
        <v>11</v>
      </c>
    </row>
    <row r="4886" spans="1:9" x14ac:dyDescent="0.2">
      <c r="A4886" s="2" t="s">
        <v>3317</v>
      </c>
      <c r="B4886" s="2" t="s">
        <v>101</v>
      </c>
      <c r="C4886" s="2">
        <v>894.36320000000001</v>
      </c>
      <c r="D4886" s="2">
        <f>HYPERLINK("http://mcb-m6.bioreg.kyushu-u.ac.jp/M3/20110411/F50891/2942/1", 36.08)</f>
        <v>36.08</v>
      </c>
      <c r="E4886" s="2">
        <v>19.98</v>
      </c>
      <c r="F4886" s="2">
        <v>2</v>
      </c>
      <c r="G4886" s="2" t="s">
        <v>9</v>
      </c>
      <c r="I4886" s="2" t="s">
        <v>4895</v>
      </c>
    </row>
    <row r="4887" spans="1:9" x14ac:dyDescent="0.2">
      <c r="A4887" s="2" t="s">
        <v>3317</v>
      </c>
      <c r="B4887" s="2" t="s">
        <v>235</v>
      </c>
      <c r="C4887" s="2">
        <v>572.77670000000001</v>
      </c>
      <c r="D4887" s="2">
        <f>HYPERLINK("http://mcb-m6.bioreg.kyushu-u.ac.jp/M3/20110411/F50891/1252/1", 38.28)</f>
        <v>38.28</v>
      </c>
      <c r="E4887" s="2">
        <v>15.84</v>
      </c>
      <c r="F4887" s="2">
        <v>2</v>
      </c>
      <c r="G4887" s="2" t="s">
        <v>9</v>
      </c>
    </row>
    <row r="4888" spans="1:9" x14ac:dyDescent="0.2">
      <c r="A4888" s="2" t="s">
        <v>3317</v>
      </c>
      <c r="B4888" s="2" t="s">
        <v>293</v>
      </c>
      <c r="C4888" s="2">
        <v>658.32569999999998</v>
      </c>
      <c r="D4888" s="2">
        <f>HYPERLINK("http://mcb-m6.bioreg.kyushu-u.ac.jp/M3/20110411/F50891/1649/1", 39.12)</f>
        <v>39.119999999999997</v>
      </c>
      <c r="E4888" s="2">
        <v>19.82</v>
      </c>
      <c r="F4888" s="2">
        <v>2</v>
      </c>
      <c r="G4888" s="2" t="s">
        <v>9</v>
      </c>
    </row>
    <row r="4889" spans="1:9" x14ac:dyDescent="0.2">
      <c r="A4889" s="2" t="s">
        <v>3317</v>
      </c>
      <c r="B4889" s="2" t="s">
        <v>831</v>
      </c>
      <c r="C4889" s="2">
        <v>1156.98</v>
      </c>
      <c r="D4889" s="2">
        <f>HYPERLINK("http://mcb-m6.bioreg.kyushu-u.ac.jp/M3/20110411/F50891/3964/1", 52.8)</f>
        <v>52.8</v>
      </c>
      <c r="E4889" s="2">
        <v>45.87</v>
      </c>
      <c r="F4889" s="2">
        <v>2</v>
      </c>
      <c r="G4889" s="2" t="s">
        <v>9</v>
      </c>
    </row>
    <row r="4890" spans="1:9" x14ac:dyDescent="0.2">
      <c r="A4890" s="2" t="s">
        <v>3317</v>
      </c>
      <c r="B4890" s="2" t="s">
        <v>884</v>
      </c>
      <c r="C4890" s="2">
        <v>869.41669999999999</v>
      </c>
      <c r="D4890" s="2">
        <f>HYPERLINK("http://mcb-m6.bioreg.kyushu-u.ac.jp/M3/20110411/F50891/2819/1", 54.37)</f>
        <v>54.37</v>
      </c>
      <c r="E4890" s="2">
        <v>30.66</v>
      </c>
      <c r="F4890" s="2">
        <v>2</v>
      </c>
      <c r="G4890" s="2" t="s">
        <v>9</v>
      </c>
    </row>
    <row r="4891" spans="1:9" x14ac:dyDescent="0.2">
      <c r="A4891" s="2" t="s">
        <v>3317</v>
      </c>
      <c r="B4891" s="2" t="s">
        <v>831</v>
      </c>
      <c r="C4891" s="2">
        <v>1157.509</v>
      </c>
      <c r="D4891" s="2">
        <f>HYPERLINK("http://mcb-m6.bioreg.kyushu-u.ac.jp/M3/20110411/F50891/3967/1", 129.12)</f>
        <v>129.12</v>
      </c>
      <c r="E4891" s="2">
        <v>105.34</v>
      </c>
      <c r="F4891" s="2">
        <v>2</v>
      </c>
      <c r="G4891" s="2" t="s">
        <v>9</v>
      </c>
    </row>
    <row r="4892" spans="1:9" x14ac:dyDescent="0.2">
      <c r="A4892" s="2" t="s">
        <v>3317</v>
      </c>
      <c r="B4892" s="2" t="s">
        <v>293</v>
      </c>
      <c r="C4892" s="2">
        <v>658.31920000000002</v>
      </c>
      <c r="D4892" s="2">
        <f>HYPERLINK("http://mcb-m6.bioreg.kyushu-u.ac.jp/M3/20110411/F50898/1914/1", 44.66)</f>
        <v>44.66</v>
      </c>
      <c r="E4892" s="2">
        <v>24.23</v>
      </c>
      <c r="F4892" s="2">
        <v>2</v>
      </c>
      <c r="G4892" s="2" t="s">
        <v>10</v>
      </c>
    </row>
    <row r="4893" spans="1:9" x14ac:dyDescent="0.2">
      <c r="A4893" s="2" t="s">
        <v>3317</v>
      </c>
      <c r="B4893" s="2" t="s">
        <v>235</v>
      </c>
      <c r="C4893" s="2">
        <v>572.94370000000004</v>
      </c>
      <c r="D4893" s="2">
        <f>HYPERLINK("http://mcb-m6.bioreg.kyushu-u.ac.jp/M3/20110411/F50898/1726/1", 54.71)</f>
        <v>54.71</v>
      </c>
      <c r="E4893" s="2">
        <v>21.25</v>
      </c>
      <c r="F4893" s="2">
        <v>2</v>
      </c>
      <c r="G4893" s="2" t="s">
        <v>10</v>
      </c>
    </row>
    <row r="4894" spans="1:9" x14ac:dyDescent="0.2">
      <c r="A4894" s="2" t="s">
        <v>3317</v>
      </c>
      <c r="B4894" s="2" t="s">
        <v>235</v>
      </c>
      <c r="C4894" s="2">
        <v>572.85019999999997</v>
      </c>
      <c r="D4894" s="2">
        <f>HYPERLINK("http://mcb-m6.bioreg.kyushu-u.ac.jp/M3/20110414/F50929/1704/1", 40.67)</f>
        <v>40.67</v>
      </c>
      <c r="E4894" s="2">
        <v>13.42</v>
      </c>
      <c r="F4894" s="2">
        <v>2</v>
      </c>
      <c r="G4894" s="2" t="s">
        <v>11</v>
      </c>
    </row>
    <row r="4895" spans="1:9" x14ac:dyDescent="0.2">
      <c r="A4895" s="2" t="s">
        <v>3317</v>
      </c>
      <c r="B4895" s="2" t="s">
        <v>293</v>
      </c>
      <c r="C4895" s="2">
        <v>658.76760000000002</v>
      </c>
      <c r="D4895" s="2">
        <f>HYPERLINK("http://mcb-m6.bioreg.kyushu-u.ac.jp/M3/20110414/F50929/1963/1", 62.11)</f>
        <v>62.11</v>
      </c>
      <c r="E4895" s="2">
        <v>40.369999999999997</v>
      </c>
      <c r="F4895" s="2">
        <v>2</v>
      </c>
      <c r="G4895" s="2" t="s">
        <v>11</v>
      </c>
    </row>
    <row r="4896" spans="1:9" x14ac:dyDescent="0.2">
      <c r="A4896" s="2" t="s">
        <v>3317</v>
      </c>
      <c r="B4896" s="2" t="s">
        <v>293</v>
      </c>
      <c r="C4896" s="2">
        <v>658.99069999999995</v>
      </c>
      <c r="D4896" s="2">
        <f>HYPERLINK("http://mcb-m6.bioreg.kyushu-u.ac.jp/M3/20110414/F50934/2049/1", 39.2)</f>
        <v>39.200000000000003</v>
      </c>
      <c r="E4896" s="2">
        <v>19.34</v>
      </c>
      <c r="F4896" s="2">
        <v>2</v>
      </c>
      <c r="G4896" s="2" t="s">
        <v>12</v>
      </c>
    </row>
    <row r="4897" spans="1:9" x14ac:dyDescent="0.2">
      <c r="A4897" s="2" t="s">
        <v>3317</v>
      </c>
      <c r="B4897" s="2" t="s">
        <v>2912</v>
      </c>
      <c r="C4897" s="2">
        <v>560.92110000000002</v>
      </c>
      <c r="D4897" s="2">
        <f>HYPERLINK("http://mcb-m6.bioreg.kyushu-u.ac.jp/M3/20110502/F51169/1422/1", 48.68)</f>
        <v>48.68</v>
      </c>
      <c r="E4897" s="2">
        <v>29.19</v>
      </c>
      <c r="F4897" s="2">
        <v>2</v>
      </c>
      <c r="G4897" s="2" t="s">
        <v>13</v>
      </c>
      <c r="I4897" s="2" t="s">
        <v>4923</v>
      </c>
    </row>
    <row r="4898" spans="1:9" x14ac:dyDescent="0.2">
      <c r="A4898" s="2" t="s">
        <v>3317</v>
      </c>
      <c r="B4898" s="2" t="s">
        <v>2912</v>
      </c>
      <c r="C4898" s="2">
        <v>560.93960000000004</v>
      </c>
      <c r="D4898" s="2">
        <f>HYPERLINK("http://mcb-m6.bioreg.kyushu-u.ac.jp/M3/20110502/F51178/1358/1", 63.7)</f>
        <v>63.7</v>
      </c>
      <c r="E4898" s="2">
        <v>38.36</v>
      </c>
      <c r="F4898" s="2">
        <v>2</v>
      </c>
      <c r="G4898" s="2" t="s">
        <v>14</v>
      </c>
      <c r="I4898" s="2" t="s">
        <v>4923</v>
      </c>
    </row>
    <row r="4899" spans="1:9" x14ac:dyDescent="0.2">
      <c r="A4899" s="4" t="s">
        <v>3248</v>
      </c>
      <c r="B4899" s="2" t="s">
        <v>28</v>
      </c>
      <c r="C4899" s="2">
        <v>700.68470000000002</v>
      </c>
      <c r="D4899" s="2">
        <f>HYPERLINK("http://mcb-m6.bioreg.kyushu-u.ac.jp/M3/20110411/F50891/1876/1", 35.17)</f>
        <v>35.17</v>
      </c>
      <c r="E4899" s="2">
        <v>15.5</v>
      </c>
      <c r="F4899" s="2">
        <v>2</v>
      </c>
      <c r="G4899" s="2" t="s">
        <v>9</v>
      </c>
    </row>
    <row r="4900" spans="1:9" x14ac:dyDescent="0.2">
      <c r="A4900" s="4" t="s">
        <v>3248</v>
      </c>
      <c r="B4900" s="2" t="s">
        <v>849</v>
      </c>
      <c r="C4900" s="2">
        <v>864.5077</v>
      </c>
      <c r="D4900" s="2">
        <f>HYPERLINK("http://mcb-m6.bioreg.kyushu-u.ac.jp/M3/20110411/F50891/2794/1", 53.31)</f>
        <v>53.31</v>
      </c>
      <c r="E4900" s="2">
        <v>35.159999999999997</v>
      </c>
      <c r="F4900" s="2">
        <v>2</v>
      </c>
      <c r="G4900" s="2" t="s">
        <v>9</v>
      </c>
    </row>
    <row r="4901" spans="1:9" x14ac:dyDescent="0.2">
      <c r="A4901" s="4" t="s">
        <v>3248</v>
      </c>
      <c r="B4901" s="2" t="s">
        <v>925</v>
      </c>
      <c r="C4901" s="2">
        <v>622.87620000000004</v>
      </c>
      <c r="D4901" s="2">
        <f>HYPERLINK("http://mcb-m6.bioreg.kyushu-u.ac.jp/M3/20110411/F50891/1497/1", 55.86)</f>
        <v>55.86</v>
      </c>
      <c r="E4901" s="2">
        <v>33.94</v>
      </c>
      <c r="F4901" s="2">
        <v>2</v>
      </c>
      <c r="G4901" s="2" t="s">
        <v>9</v>
      </c>
    </row>
    <row r="4902" spans="1:9" x14ac:dyDescent="0.2">
      <c r="A4902" s="4" t="s">
        <v>3248</v>
      </c>
      <c r="B4902" s="2" t="s">
        <v>925</v>
      </c>
      <c r="C4902" s="2">
        <v>622.25620000000004</v>
      </c>
      <c r="D4902" s="2">
        <f>HYPERLINK("http://mcb-m6.bioreg.kyushu-u.ac.jp/M3/20110411/F50891/1493/1", 91.47)</f>
        <v>91.47</v>
      </c>
      <c r="E4902" s="2">
        <v>56.14</v>
      </c>
      <c r="F4902" s="2">
        <v>2</v>
      </c>
      <c r="G4902" s="2" t="s">
        <v>9</v>
      </c>
    </row>
    <row r="4903" spans="1:9" x14ac:dyDescent="0.2">
      <c r="A4903" s="4" t="s">
        <v>4736</v>
      </c>
      <c r="B4903" s="2" t="s">
        <v>2958</v>
      </c>
      <c r="C4903" s="2">
        <v>739.02560000000005</v>
      </c>
      <c r="D4903" s="2">
        <f>HYPERLINK("http://mcb-m6.bioreg.kyushu-u.ac.jp/M3/20110502/F51169/2094/1", 88.68)</f>
        <v>88.68</v>
      </c>
      <c r="E4903" s="2">
        <v>48</v>
      </c>
      <c r="F4903" s="2">
        <v>2</v>
      </c>
      <c r="G4903" s="2" t="s">
        <v>13</v>
      </c>
    </row>
    <row r="4904" spans="1:9" x14ac:dyDescent="0.2">
      <c r="A4904" s="2" t="s">
        <v>3996</v>
      </c>
      <c r="B4904" s="2" t="s">
        <v>1283</v>
      </c>
      <c r="C4904" s="2">
        <v>642.94119999999998</v>
      </c>
      <c r="D4904" s="2">
        <f>HYPERLINK("http://mcb-m6.bioreg.kyushu-u.ac.jp/M3/20110411/F50895/1603/1", 70.5)</f>
        <v>70.5</v>
      </c>
      <c r="E4904" s="2">
        <v>40.75</v>
      </c>
      <c r="F4904" s="2">
        <v>2</v>
      </c>
      <c r="G4904" s="2" t="s">
        <v>9</v>
      </c>
    </row>
    <row r="4905" spans="1:9" x14ac:dyDescent="0.2">
      <c r="A4905" s="2" t="s">
        <v>3996</v>
      </c>
      <c r="B4905" s="2" t="s">
        <v>1283</v>
      </c>
      <c r="C4905" s="2">
        <v>643.09810000000004</v>
      </c>
      <c r="D4905" s="2">
        <f>HYPERLINK("http://mcb-m6.bioreg.kyushu-u.ac.jp/M3/20110502/F51174/1593/1", 39.14)</f>
        <v>39.14</v>
      </c>
      <c r="E4905" s="2">
        <v>17.399999999999999</v>
      </c>
      <c r="F4905" s="2">
        <v>2</v>
      </c>
      <c r="G4905" s="2" t="s">
        <v>13</v>
      </c>
    </row>
    <row r="4906" spans="1:9" x14ac:dyDescent="0.2">
      <c r="A4906" s="2" t="s">
        <v>4485</v>
      </c>
      <c r="B4906" s="2" t="s">
        <v>2448</v>
      </c>
      <c r="C4906" s="2">
        <v>710.37019999999995</v>
      </c>
      <c r="D4906" s="2">
        <f>HYPERLINK("http://mcb-m6.bioreg.kyushu-u.ac.jp/M3/20110414/F50944/1927/1", 66.25)</f>
        <v>66.25</v>
      </c>
      <c r="E4906" s="2">
        <v>40.25</v>
      </c>
      <c r="F4906" s="2">
        <v>2</v>
      </c>
      <c r="G4906" s="2" t="s">
        <v>11</v>
      </c>
    </row>
    <row r="4907" spans="1:9" x14ac:dyDescent="0.2">
      <c r="A4907" s="2" t="s">
        <v>4485</v>
      </c>
      <c r="B4907" s="2" t="s">
        <v>2448</v>
      </c>
      <c r="C4907" s="2">
        <v>709.63459999999998</v>
      </c>
      <c r="D4907" s="2">
        <f>HYPERLINK("http://mcb-m6.bioreg.kyushu-u.ac.jp/M3/20110414/F50950/1960/1", 57.37)</f>
        <v>57.37</v>
      </c>
      <c r="E4907" s="2">
        <v>26.48</v>
      </c>
      <c r="F4907" s="2">
        <v>2</v>
      </c>
      <c r="G4907" s="2" t="s">
        <v>12</v>
      </c>
    </row>
    <row r="4908" spans="1:9" x14ac:dyDescent="0.2">
      <c r="A4908" s="2" t="s">
        <v>4485</v>
      </c>
      <c r="B4908" s="2" t="s">
        <v>2448</v>
      </c>
      <c r="C4908" s="2">
        <v>710.09670000000006</v>
      </c>
      <c r="D4908" s="2">
        <f>HYPERLINK("http://mcb-m6.bioreg.kyushu-u.ac.jp/M3/20110502/F51174/1838/1", 76.38)</f>
        <v>76.38</v>
      </c>
      <c r="E4908" s="2">
        <v>49.98</v>
      </c>
      <c r="F4908" s="2">
        <v>2</v>
      </c>
      <c r="G4908" s="2" t="s">
        <v>13</v>
      </c>
    </row>
    <row r="4909" spans="1:9" x14ac:dyDescent="0.2">
      <c r="A4909" s="2" t="s">
        <v>3913</v>
      </c>
      <c r="B4909" s="2" t="s">
        <v>1085</v>
      </c>
      <c r="C4909" s="2">
        <v>563.42769999999996</v>
      </c>
      <c r="D4909" s="2">
        <f>HYPERLINK("http://mcb-m6.bioreg.kyushu-u.ac.jp/M3/20110411/F50895/1277/1", 62.29)</f>
        <v>62.29</v>
      </c>
      <c r="E4909" s="2">
        <v>29.2</v>
      </c>
      <c r="F4909" s="2">
        <v>2</v>
      </c>
      <c r="G4909" s="2" t="s">
        <v>9</v>
      </c>
    </row>
    <row r="4910" spans="1:9" x14ac:dyDescent="0.2">
      <c r="A4910" s="2" t="s">
        <v>3913</v>
      </c>
      <c r="B4910" s="2" t="s">
        <v>2713</v>
      </c>
      <c r="C4910" s="2">
        <v>926.00459999999998</v>
      </c>
      <c r="D4910" s="2">
        <f>HYPERLINK("http://mcb-m6.bioreg.kyushu-u.ac.jp/M3/20110414/F50950/3154/1", 61.15)</f>
        <v>61.15</v>
      </c>
      <c r="E4910" s="2">
        <v>43.54</v>
      </c>
      <c r="F4910" s="2">
        <v>2</v>
      </c>
      <c r="G4910" s="2" t="s">
        <v>12</v>
      </c>
    </row>
    <row r="4911" spans="1:9" x14ac:dyDescent="0.2">
      <c r="A4911" s="2" t="s">
        <v>3913</v>
      </c>
      <c r="B4911" s="2" t="s">
        <v>2837</v>
      </c>
      <c r="C4911" s="2">
        <v>980.1241</v>
      </c>
      <c r="D4911" s="2">
        <f>HYPERLINK("http://mcb-m6.bioreg.kyushu-u.ac.jp/M3/20110502/F51174/2679/1", 38.01)</f>
        <v>38.01</v>
      </c>
      <c r="E4911" s="2">
        <v>24.62</v>
      </c>
      <c r="F4911" s="2">
        <v>2</v>
      </c>
      <c r="G4911" s="2" t="s">
        <v>13</v>
      </c>
    </row>
    <row r="4912" spans="1:9" x14ac:dyDescent="0.2">
      <c r="A4912" s="2" t="s">
        <v>3395</v>
      </c>
      <c r="B4912" s="2" t="s">
        <v>189</v>
      </c>
      <c r="C4912" s="2">
        <v>477.74959999999999</v>
      </c>
      <c r="D4912" s="2">
        <f>HYPERLINK("http://mcb-m6.bioreg.kyushu-u.ac.jp/M3/20110411/F50891/891/1", 37.44)</f>
        <v>37.44</v>
      </c>
      <c r="E4912" s="2">
        <v>17.760000000000002</v>
      </c>
      <c r="F4912" s="2">
        <v>2</v>
      </c>
      <c r="G4912" s="2" t="s">
        <v>9</v>
      </c>
      <c r="I4912" s="2" t="s">
        <v>4905</v>
      </c>
    </row>
    <row r="4913" spans="1:9" x14ac:dyDescent="0.2">
      <c r="A4913" s="2" t="s">
        <v>3395</v>
      </c>
      <c r="B4913" s="2" t="s">
        <v>394</v>
      </c>
      <c r="C4913" s="2">
        <v>886.43769999999995</v>
      </c>
      <c r="D4913" s="2">
        <f>HYPERLINK("http://mcb-m6.bioreg.kyushu-u.ac.jp/M3/20110411/F50891/2898/1", 41.07)</f>
        <v>41.07</v>
      </c>
      <c r="E4913" s="2">
        <v>23.16</v>
      </c>
      <c r="F4913" s="2">
        <v>2</v>
      </c>
      <c r="G4913" s="2" t="s">
        <v>9</v>
      </c>
      <c r="H4913" s="2" t="s">
        <v>4904</v>
      </c>
      <c r="I4913" s="2" t="s">
        <v>4899</v>
      </c>
    </row>
    <row r="4914" spans="1:9" x14ac:dyDescent="0.2">
      <c r="A4914" s="2" t="s">
        <v>3395</v>
      </c>
      <c r="B4914" s="2" t="s">
        <v>394</v>
      </c>
      <c r="C4914" s="2">
        <v>885.88120000000004</v>
      </c>
      <c r="D4914" s="2">
        <f>HYPERLINK("http://mcb-m6.bioreg.kyushu-u.ac.jp/M3/20110411/F50890/2897/1", 44.73)</f>
        <v>44.73</v>
      </c>
      <c r="E4914" s="2">
        <v>13.15</v>
      </c>
      <c r="F4914" s="2">
        <v>2</v>
      </c>
      <c r="G4914" s="2" t="s">
        <v>9</v>
      </c>
      <c r="H4914" s="2" t="s">
        <v>4904</v>
      </c>
      <c r="I4914" s="2" t="s">
        <v>4899</v>
      </c>
    </row>
    <row r="4915" spans="1:9" x14ac:dyDescent="0.2">
      <c r="A4915" s="2" t="s">
        <v>3395</v>
      </c>
      <c r="B4915" s="2" t="s">
        <v>394</v>
      </c>
      <c r="C4915" s="2">
        <v>885.92660000000001</v>
      </c>
      <c r="D4915" s="2">
        <f>HYPERLINK("http://mcb-m6.bioreg.kyushu-u.ac.jp/M3/20110411/F50891/2894/1", 45.5)</f>
        <v>45.5</v>
      </c>
      <c r="E4915" s="2">
        <v>28.32</v>
      </c>
      <c r="F4915" s="2">
        <v>2</v>
      </c>
      <c r="G4915" s="2" t="s">
        <v>9</v>
      </c>
      <c r="H4915" s="2" t="s">
        <v>4904</v>
      </c>
      <c r="I4915" s="2" t="s">
        <v>4899</v>
      </c>
    </row>
    <row r="4916" spans="1:9" x14ac:dyDescent="0.2">
      <c r="A4916" s="2" t="s">
        <v>3395</v>
      </c>
      <c r="B4916" s="2" t="s">
        <v>394</v>
      </c>
      <c r="C4916" s="2">
        <v>886.10720000000003</v>
      </c>
      <c r="D4916" s="2">
        <f>HYPERLINK("http://mcb-m6.bioreg.kyushu-u.ac.jp/M3/20110411/F50898/2650/1", 38.35)</f>
        <v>38.35</v>
      </c>
      <c r="E4916" s="2">
        <v>21.54</v>
      </c>
      <c r="F4916" s="2">
        <v>2</v>
      </c>
      <c r="G4916" s="2" t="s">
        <v>10</v>
      </c>
      <c r="H4916" s="2" t="s">
        <v>4904</v>
      </c>
      <c r="I4916" s="2" t="s">
        <v>4899</v>
      </c>
    </row>
    <row r="4917" spans="1:9" x14ac:dyDescent="0.2">
      <c r="A4917" s="2" t="s">
        <v>3395</v>
      </c>
      <c r="B4917" s="2" t="s">
        <v>394</v>
      </c>
      <c r="C4917" s="2">
        <v>886.11270000000002</v>
      </c>
      <c r="D4917" s="2">
        <f>HYPERLINK("http://mcb-m6.bioreg.kyushu-u.ac.jp/M3/20110411/F50897/2705/1", 38.86)</f>
        <v>38.86</v>
      </c>
      <c r="E4917" s="2">
        <v>20.88</v>
      </c>
      <c r="F4917" s="2">
        <v>2</v>
      </c>
      <c r="G4917" s="2" t="s">
        <v>10</v>
      </c>
      <c r="H4917" s="2" t="s">
        <v>4904</v>
      </c>
      <c r="I4917" s="2" t="s">
        <v>4899</v>
      </c>
    </row>
    <row r="4918" spans="1:9" x14ac:dyDescent="0.2">
      <c r="A4918" s="2" t="s">
        <v>3395</v>
      </c>
      <c r="B4918" s="2" t="s">
        <v>1801</v>
      </c>
      <c r="C4918" s="2">
        <v>456.75259999999997</v>
      </c>
      <c r="D4918" s="2">
        <f>HYPERLINK("http://mcb-m6.bioreg.kyushu-u.ac.jp/M3/20110411/F50898/1335/1", 39.95)</f>
        <v>39.950000000000003</v>
      </c>
      <c r="E4918" s="2">
        <v>15.84</v>
      </c>
      <c r="F4918" s="2">
        <v>2</v>
      </c>
      <c r="G4918" s="2" t="s">
        <v>10</v>
      </c>
      <c r="I4918" s="2" t="s">
        <v>4905</v>
      </c>
    </row>
    <row r="4919" spans="1:9" x14ac:dyDescent="0.2">
      <c r="A4919" s="2" t="s">
        <v>3395</v>
      </c>
      <c r="B4919" s="2" t="s">
        <v>189</v>
      </c>
      <c r="C4919" s="2">
        <v>477.70060000000001</v>
      </c>
      <c r="D4919" s="2">
        <f>HYPERLINK("http://mcb-m6.bioreg.kyushu-u.ac.jp/M3/20110414/F50962/781/1", 37.26)</f>
        <v>37.26</v>
      </c>
      <c r="E4919" s="2">
        <v>9.1</v>
      </c>
      <c r="F4919" s="2">
        <v>2</v>
      </c>
      <c r="G4919" s="2" t="s">
        <v>11</v>
      </c>
      <c r="I4919" s="2" t="s">
        <v>4905</v>
      </c>
    </row>
    <row r="4920" spans="1:9" x14ac:dyDescent="0.2">
      <c r="A4920" s="2" t="s">
        <v>3395</v>
      </c>
      <c r="B4920" s="2" t="s">
        <v>394</v>
      </c>
      <c r="C4920" s="2">
        <v>885.72670000000005</v>
      </c>
      <c r="D4920" s="2">
        <f>HYPERLINK("http://mcb-m6.bioreg.kyushu-u.ac.jp/M3/20110414/F50928/2896/1", 41.67)</f>
        <v>41.67</v>
      </c>
      <c r="E4920" s="2">
        <v>16.59</v>
      </c>
      <c r="F4920" s="2">
        <v>2</v>
      </c>
      <c r="G4920" s="2" t="s">
        <v>11</v>
      </c>
      <c r="H4920" s="2" t="s">
        <v>4904</v>
      </c>
      <c r="I4920" s="2" t="s">
        <v>4899</v>
      </c>
    </row>
    <row r="4921" spans="1:9" x14ac:dyDescent="0.2">
      <c r="A4921" s="2" t="s">
        <v>3395</v>
      </c>
      <c r="B4921" s="2" t="s">
        <v>394</v>
      </c>
      <c r="C4921" s="2">
        <v>885.85469999999998</v>
      </c>
      <c r="D4921" s="2">
        <f>HYPERLINK("http://mcb-m6.bioreg.kyushu-u.ac.jp/M3/20110414/F50929/2708/1", 57.31)</f>
        <v>57.31</v>
      </c>
      <c r="E4921" s="2">
        <v>37.07</v>
      </c>
      <c r="F4921" s="2">
        <v>2</v>
      </c>
      <c r="G4921" s="2" t="s">
        <v>11</v>
      </c>
      <c r="H4921" s="2" t="s">
        <v>4904</v>
      </c>
      <c r="I4921" s="2" t="s">
        <v>4899</v>
      </c>
    </row>
    <row r="4922" spans="1:9" x14ac:dyDescent="0.2">
      <c r="A4922" s="2" t="s">
        <v>3395</v>
      </c>
      <c r="B4922" s="2" t="s">
        <v>189</v>
      </c>
      <c r="C4922" s="2">
        <v>477.71660000000003</v>
      </c>
      <c r="D4922" s="2">
        <f>HYPERLINK("http://mcb-m6.bioreg.kyushu-u.ac.jp/M3/20110414/F50963/671/1", 38.75)</f>
        <v>38.75</v>
      </c>
      <c r="E4922" s="2">
        <v>18.579999999999998</v>
      </c>
      <c r="F4922" s="2">
        <v>2</v>
      </c>
      <c r="G4922" s="2" t="s">
        <v>12</v>
      </c>
      <c r="I4922" s="2" t="s">
        <v>4905</v>
      </c>
    </row>
    <row r="4923" spans="1:9" x14ac:dyDescent="0.2">
      <c r="A4923" s="2" t="s">
        <v>3395</v>
      </c>
      <c r="B4923" s="2" t="s">
        <v>189</v>
      </c>
      <c r="C4923" s="2">
        <v>477.7996</v>
      </c>
      <c r="D4923" s="2">
        <f>HYPERLINK("http://mcb-m6.bioreg.kyushu-u.ac.jp/M3/20110414/F50934/1616/1", 39.12)</f>
        <v>39.119999999999997</v>
      </c>
      <c r="E4923" s="2">
        <v>17.690000000000001</v>
      </c>
      <c r="F4923" s="2">
        <v>2</v>
      </c>
      <c r="G4923" s="2" t="s">
        <v>12</v>
      </c>
      <c r="I4923" s="2" t="s">
        <v>4905</v>
      </c>
    </row>
    <row r="4924" spans="1:9" x14ac:dyDescent="0.2">
      <c r="A4924" s="2" t="s">
        <v>3395</v>
      </c>
      <c r="B4924" s="2" t="s">
        <v>394</v>
      </c>
      <c r="C4924" s="2">
        <v>885.99469999999997</v>
      </c>
      <c r="D4924" s="2">
        <f>HYPERLINK("http://mcb-m6.bioreg.kyushu-u.ac.jp/M3/20110414/F50934/2668/1", 45.61)</f>
        <v>45.61</v>
      </c>
      <c r="E4924" s="2">
        <v>23.97</v>
      </c>
      <c r="F4924" s="2">
        <v>2</v>
      </c>
      <c r="G4924" s="2" t="s">
        <v>12</v>
      </c>
      <c r="H4924" s="2" t="s">
        <v>4904</v>
      </c>
      <c r="I4924" s="2" t="s">
        <v>4899</v>
      </c>
    </row>
    <row r="4925" spans="1:9" x14ac:dyDescent="0.2">
      <c r="A4925" s="2" t="s">
        <v>3395</v>
      </c>
      <c r="B4925" s="2" t="s">
        <v>394</v>
      </c>
      <c r="C4925" s="2">
        <v>885.9692</v>
      </c>
      <c r="D4925" s="2">
        <f>HYPERLINK("http://mcb-m6.bioreg.kyushu-u.ac.jp/M3/20110414/F50933/2971/1", 48.89)</f>
        <v>48.89</v>
      </c>
      <c r="E4925" s="2">
        <v>28.27</v>
      </c>
      <c r="F4925" s="2">
        <v>2</v>
      </c>
      <c r="G4925" s="2" t="s">
        <v>12</v>
      </c>
      <c r="H4925" s="2" t="s">
        <v>4904</v>
      </c>
      <c r="I4925" s="2" t="s">
        <v>4899</v>
      </c>
    </row>
    <row r="4926" spans="1:9" x14ac:dyDescent="0.2">
      <c r="A4926" s="2" t="s">
        <v>3395</v>
      </c>
      <c r="B4926" s="2" t="s">
        <v>189</v>
      </c>
      <c r="C4926" s="2">
        <v>477.96159999999998</v>
      </c>
      <c r="D4926" s="2">
        <f>HYPERLINK("http://mcb-m6.bioreg.kyushu-u.ac.jp/M3/20110502/F51180/636/1", 36.67)</f>
        <v>36.67</v>
      </c>
      <c r="E4926" s="2">
        <v>12.48</v>
      </c>
      <c r="F4926" s="2">
        <v>2</v>
      </c>
      <c r="G4926" s="2" t="s">
        <v>13</v>
      </c>
      <c r="I4926" s="2" t="s">
        <v>4905</v>
      </c>
    </row>
    <row r="4927" spans="1:9" x14ac:dyDescent="0.2">
      <c r="A4927" s="2" t="s">
        <v>3395</v>
      </c>
      <c r="B4927" s="2" t="s">
        <v>394</v>
      </c>
      <c r="C4927" s="2">
        <v>886.15560000000005</v>
      </c>
      <c r="D4927" s="2">
        <f>HYPERLINK("http://mcb-m6.bioreg.kyushu-u.ac.jp/M3/20110502/F51169/2670/1", 43.53)</f>
        <v>43.53</v>
      </c>
      <c r="E4927" s="2">
        <v>29.85</v>
      </c>
      <c r="F4927" s="2">
        <v>2</v>
      </c>
      <c r="G4927" s="2" t="s">
        <v>13</v>
      </c>
      <c r="H4927" s="2" t="s">
        <v>4904</v>
      </c>
      <c r="I4927" s="2" t="s">
        <v>4899</v>
      </c>
    </row>
    <row r="4928" spans="1:9" x14ac:dyDescent="0.2">
      <c r="A4928" s="2" t="s">
        <v>3395</v>
      </c>
      <c r="B4928" s="2" t="s">
        <v>2938</v>
      </c>
      <c r="C4928" s="2">
        <v>817.48019999999997</v>
      </c>
      <c r="D4928" s="2">
        <f>HYPERLINK("http://mcb-m6.bioreg.kyushu-u.ac.jp/M3/20110502/F51169/2415/1", 62.2)</f>
        <v>62.2</v>
      </c>
      <c r="E4928" s="2">
        <v>41.75</v>
      </c>
      <c r="F4928" s="2">
        <v>2</v>
      </c>
      <c r="G4928" s="2" t="s">
        <v>13</v>
      </c>
      <c r="I4928" s="2" t="s">
        <v>4957</v>
      </c>
    </row>
    <row r="4929" spans="1:9" x14ac:dyDescent="0.2">
      <c r="A4929" s="2" t="s">
        <v>3395</v>
      </c>
      <c r="B4929" s="2" t="s">
        <v>189</v>
      </c>
      <c r="C4929" s="2">
        <v>477.9076</v>
      </c>
      <c r="D4929" s="2">
        <f>HYPERLINK("http://mcb-m6.bioreg.kyushu-u.ac.jp/M3/20110502/F51177/570/1", 35.84)</f>
        <v>35.840000000000003</v>
      </c>
      <c r="E4929" s="2">
        <v>16.12</v>
      </c>
      <c r="F4929" s="2">
        <v>2</v>
      </c>
      <c r="G4929" s="2" t="s">
        <v>14</v>
      </c>
      <c r="I4929" s="2" t="s">
        <v>4905</v>
      </c>
    </row>
    <row r="4930" spans="1:9" x14ac:dyDescent="0.2">
      <c r="A4930" s="2" t="s">
        <v>3395</v>
      </c>
      <c r="B4930" s="2" t="s">
        <v>189</v>
      </c>
      <c r="C4930" s="2">
        <v>477.85910000000001</v>
      </c>
      <c r="D4930" s="2">
        <f>HYPERLINK("http://mcb-m6.bioreg.kyushu-u.ac.jp/M3/20110502/F51178/984/1", 39.2)</f>
        <v>39.200000000000003</v>
      </c>
      <c r="E4930" s="2">
        <v>17.93</v>
      </c>
      <c r="F4930" s="2">
        <v>2</v>
      </c>
      <c r="G4930" s="2" t="s">
        <v>14</v>
      </c>
      <c r="I4930" s="2" t="s">
        <v>4905</v>
      </c>
    </row>
    <row r="4931" spans="1:9" x14ac:dyDescent="0.2">
      <c r="A4931" s="2" t="s">
        <v>3395</v>
      </c>
      <c r="B4931" s="2" t="s">
        <v>1801</v>
      </c>
      <c r="C4931" s="2">
        <v>456.94060000000002</v>
      </c>
      <c r="D4931" s="2">
        <f>HYPERLINK("http://mcb-m6.bioreg.kyushu-u.ac.jp/M3/20110502/F51178/884/1", 41.16)</f>
        <v>41.16</v>
      </c>
      <c r="E4931" s="2">
        <v>16.71</v>
      </c>
      <c r="F4931" s="2">
        <v>2</v>
      </c>
      <c r="G4931" s="2" t="s">
        <v>14</v>
      </c>
      <c r="I4931" s="2" t="s">
        <v>4905</v>
      </c>
    </row>
    <row r="4932" spans="1:9" x14ac:dyDescent="0.2">
      <c r="A4932" s="2" t="s">
        <v>3395</v>
      </c>
      <c r="B4932" s="2" t="s">
        <v>394</v>
      </c>
      <c r="C4932" s="2">
        <v>886.15769999999998</v>
      </c>
      <c r="D4932" s="2">
        <f>HYPERLINK("http://mcb-m6.bioreg.kyushu-u.ac.jp/M3/20110502/F51178/2701/1", 43.25)</f>
        <v>43.25</v>
      </c>
      <c r="E4932" s="2">
        <v>22.79</v>
      </c>
      <c r="F4932" s="2">
        <v>2</v>
      </c>
      <c r="G4932" s="2" t="s">
        <v>14</v>
      </c>
      <c r="H4932" s="2" t="s">
        <v>4904</v>
      </c>
      <c r="I4932" s="2" t="s">
        <v>4899</v>
      </c>
    </row>
    <row r="4933" spans="1:9" x14ac:dyDescent="0.2">
      <c r="A4933" s="2" t="s">
        <v>3395</v>
      </c>
      <c r="B4933" s="2" t="s">
        <v>1801</v>
      </c>
      <c r="C4933" s="2">
        <v>457.10059999999999</v>
      </c>
      <c r="D4933" s="2">
        <f>HYPERLINK("http://mcb-m6.bioreg.kyushu-u.ac.jp/M3/20110502/F51182/531/1", 46.59)</f>
        <v>46.59</v>
      </c>
      <c r="E4933" s="2">
        <v>21.28</v>
      </c>
      <c r="F4933" s="2">
        <v>2</v>
      </c>
      <c r="G4933" s="2" t="s">
        <v>14</v>
      </c>
      <c r="I4933" s="2" t="s">
        <v>4905</v>
      </c>
    </row>
    <row r="4934" spans="1:9" x14ac:dyDescent="0.2">
      <c r="A4934" s="2" t="s">
        <v>3395</v>
      </c>
      <c r="B4934" s="2" t="s">
        <v>2938</v>
      </c>
      <c r="C4934" s="2">
        <v>817.58920000000001</v>
      </c>
      <c r="D4934" s="2">
        <f>HYPERLINK("http://mcb-m6.bioreg.kyushu-u.ac.jp/M3/20110502/F51178/2441/1", 62.11)</f>
        <v>62.11</v>
      </c>
      <c r="E4934" s="2">
        <v>49.48</v>
      </c>
      <c r="F4934" s="2">
        <v>2</v>
      </c>
      <c r="G4934" s="2" t="s">
        <v>14</v>
      </c>
      <c r="I4934" s="2" t="s">
        <v>4957</v>
      </c>
    </row>
    <row r="4935" spans="1:9" x14ac:dyDescent="0.2">
      <c r="A4935" s="2" t="s">
        <v>3362</v>
      </c>
      <c r="B4935" s="2" t="s">
        <v>154</v>
      </c>
      <c r="C4935" s="2">
        <v>468.01510000000002</v>
      </c>
      <c r="D4935" s="2">
        <f>HYPERLINK("http://mcb-m6.bioreg.kyushu-u.ac.jp/M3/20110411/F50891/848/1", 36.87)</f>
        <v>36.869999999999997</v>
      </c>
      <c r="E4935" s="2">
        <v>15.81</v>
      </c>
      <c r="F4935" s="2">
        <v>2</v>
      </c>
      <c r="G4935" s="2" t="s">
        <v>9</v>
      </c>
      <c r="I4935" s="2" t="s">
        <v>4905</v>
      </c>
    </row>
    <row r="4936" spans="1:9" x14ac:dyDescent="0.2">
      <c r="A4936" s="2" t="s">
        <v>3362</v>
      </c>
      <c r="B4936" s="2" t="s">
        <v>154</v>
      </c>
      <c r="C4936" s="2">
        <v>468.60109999999997</v>
      </c>
      <c r="D4936" s="2">
        <f>HYPERLINK("http://mcb-m6.bioreg.kyushu-u.ac.jp/M3/20110502/F51182/595/1", 39.28)</f>
        <v>39.28</v>
      </c>
      <c r="E4936" s="2">
        <v>8.18</v>
      </c>
      <c r="F4936" s="2">
        <v>2</v>
      </c>
      <c r="G4936" s="2" t="s">
        <v>14</v>
      </c>
      <c r="I4936" s="2" t="s">
        <v>4905</v>
      </c>
    </row>
    <row r="4937" spans="1:9" x14ac:dyDescent="0.2">
      <c r="A4937" s="2" t="s">
        <v>4593</v>
      </c>
      <c r="B4937" s="2" t="s">
        <v>2678</v>
      </c>
      <c r="C4937" s="2">
        <v>685.23770000000002</v>
      </c>
      <c r="D4937" s="2">
        <f>HYPERLINK("http://mcb-m6.bioreg.kyushu-u.ac.jp/M3/20110414/F50933/2130/1", 51.42)</f>
        <v>51.42</v>
      </c>
      <c r="E4937" s="2">
        <v>34.94</v>
      </c>
      <c r="F4937" s="2">
        <v>2</v>
      </c>
      <c r="G4937" s="2" t="s">
        <v>12</v>
      </c>
      <c r="H4937" s="2" t="s">
        <v>4904</v>
      </c>
    </row>
    <row r="4938" spans="1:9" x14ac:dyDescent="0.2">
      <c r="A4938" s="2" t="s">
        <v>4593</v>
      </c>
      <c r="B4938" s="2" t="s">
        <v>2678</v>
      </c>
      <c r="C4938" s="2">
        <v>685.65520000000004</v>
      </c>
      <c r="D4938" s="2">
        <f>HYPERLINK("http://mcb-m6.bioreg.kyushu-u.ac.jp/M3/20110502/F51178/1850/1", 53.01)</f>
        <v>53.01</v>
      </c>
      <c r="E4938" s="2">
        <v>34.78</v>
      </c>
      <c r="F4938" s="2">
        <v>2</v>
      </c>
      <c r="G4938" s="2" t="s">
        <v>14</v>
      </c>
      <c r="H4938" s="2" t="s">
        <v>4904</v>
      </c>
    </row>
    <row r="4939" spans="1:9" x14ac:dyDescent="0.2">
      <c r="A4939" s="2" t="s">
        <v>4265</v>
      </c>
      <c r="B4939" s="2" t="s">
        <v>1926</v>
      </c>
      <c r="C4939" s="2">
        <v>795.09010000000001</v>
      </c>
      <c r="D4939" s="2">
        <f>HYPERLINK("http://mcb-m6.bioreg.kyushu-u.ac.jp/M3/20110411/F50897/2279/1", 50.19)</f>
        <v>50.19</v>
      </c>
      <c r="E4939" s="2">
        <v>31.85</v>
      </c>
      <c r="F4939" s="2">
        <v>2</v>
      </c>
      <c r="G4939" s="2" t="s">
        <v>10</v>
      </c>
    </row>
    <row r="4940" spans="1:9" x14ac:dyDescent="0.2">
      <c r="A4940" s="2" t="s">
        <v>4265</v>
      </c>
      <c r="B4940" s="2" t="s">
        <v>1926</v>
      </c>
      <c r="C4940" s="2">
        <v>794.85270000000003</v>
      </c>
      <c r="D4940" s="2">
        <f>HYPERLINK("http://mcb-m6.bioreg.kyushu-u.ac.jp/M3/20110411/F50898/2449/1", 61.86)</f>
        <v>61.86</v>
      </c>
      <c r="E4940" s="2">
        <v>27.53</v>
      </c>
      <c r="F4940" s="2">
        <v>2</v>
      </c>
      <c r="G4940" s="2" t="s">
        <v>10</v>
      </c>
    </row>
    <row r="4941" spans="1:9" x14ac:dyDescent="0.2">
      <c r="A4941" s="2" t="s">
        <v>4265</v>
      </c>
      <c r="B4941" s="2" t="s">
        <v>2073</v>
      </c>
      <c r="C4941" s="2">
        <v>686.94119999999998</v>
      </c>
      <c r="D4941" s="2">
        <f>HYPERLINK("http://mcb-m6.bioreg.kyushu-u.ac.jp/M3/20110411/F50897/1690/1", 73.13)</f>
        <v>73.13</v>
      </c>
      <c r="E4941" s="2">
        <v>44.38</v>
      </c>
      <c r="F4941" s="2">
        <v>2</v>
      </c>
      <c r="G4941" s="2" t="s">
        <v>10</v>
      </c>
    </row>
    <row r="4942" spans="1:9" x14ac:dyDescent="0.2">
      <c r="A4942" s="2" t="s">
        <v>4265</v>
      </c>
      <c r="B4942" s="2" t="s">
        <v>1926</v>
      </c>
      <c r="C4942" s="2">
        <v>795.51670000000001</v>
      </c>
      <c r="D4942" s="2">
        <f>HYPERLINK("http://mcb-m6.bioreg.kyushu-u.ac.jp/M3/20110414/F50933/2674/1", 58.28)</f>
        <v>58.28</v>
      </c>
      <c r="E4942" s="2">
        <v>43.38</v>
      </c>
      <c r="F4942" s="2">
        <v>2</v>
      </c>
      <c r="G4942" s="2" t="s">
        <v>12</v>
      </c>
    </row>
    <row r="4943" spans="1:9" x14ac:dyDescent="0.2">
      <c r="A4943" s="2" t="s">
        <v>4265</v>
      </c>
      <c r="B4943" s="2" t="s">
        <v>2073</v>
      </c>
      <c r="C4943" s="2">
        <v>686.87660000000005</v>
      </c>
      <c r="D4943" s="2">
        <f>HYPERLINK("http://mcb-m6.bioreg.kyushu-u.ac.jp/M3/20110414/F50933/2136/1", 66.58)</f>
        <v>66.58</v>
      </c>
      <c r="E4943" s="2">
        <v>52.95</v>
      </c>
      <c r="F4943" s="2">
        <v>2</v>
      </c>
      <c r="G4943" s="2" t="s">
        <v>12</v>
      </c>
    </row>
    <row r="4944" spans="1:9" x14ac:dyDescent="0.2">
      <c r="A4944" s="2" t="s">
        <v>4265</v>
      </c>
      <c r="B4944" s="2" t="s">
        <v>1926</v>
      </c>
      <c r="C4944" s="2">
        <v>795.35469999999998</v>
      </c>
      <c r="D4944" s="2">
        <f>HYPERLINK("http://mcb-m6.bioreg.kyushu-u.ac.jp/M3/20110502/F51178/2358/1", 67.49)</f>
        <v>67.489999999999995</v>
      </c>
      <c r="E4944" s="2">
        <v>34.5</v>
      </c>
      <c r="F4944" s="2">
        <v>2</v>
      </c>
      <c r="G4944" s="2" t="s">
        <v>14</v>
      </c>
    </row>
    <row r="4945" spans="1:7" x14ac:dyDescent="0.2">
      <c r="A4945" s="2" t="s">
        <v>3434</v>
      </c>
      <c r="B4945" s="2" t="s">
        <v>242</v>
      </c>
      <c r="C4945" s="2">
        <v>626.50670000000002</v>
      </c>
      <c r="D4945" s="2">
        <f>HYPERLINK("http://mcb-m6.bioreg.kyushu-u.ac.jp/M3/20110411/F50903/1505/1", 38.36)</f>
        <v>38.36</v>
      </c>
      <c r="E4945" s="2">
        <v>17.309999999999999</v>
      </c>
      <c r="F4945" s="2">
        <v>2</v>
      </c>
      <c r="G4945" s="2" t="s">
        <v>9</v>
      </c>
    </row>
    <row r="4946" spans="1:7" x14ac:dyDescent="0.2">
      <c r="A4946" s="2" t="s">
        <v>4727</v>
      </c>
      <c r="B4946" s="2" t="s">
        <v>2935</v>
      </c>
      <c r="C4946" s="2">
        <v>556.41560000000004</v>
      </c>
      <c r="D4946" s="2">
        <f>HYPERLINK("http://mcb-m6.bioreg.kyushu-u.ac.jp/M3/20110502/F51170/1231/1", 59.76)</f>
        <v>59.76</v>
      </c>
      <c r="E4946" s="2">
        <v>38.049999999999997</v>
      </c>
      <c r="F4946" s="2">
        <v>2</v>
      </c>
      <c r="G4946" s="2" t="s">
        <v>13</v>
      </c>
    </row>
    <row r="4947" spans="1:7" x14ac:dyDescent="0.2">
      <c r="A4947" s="2" t="s">
        <v>4556</v>
      </c>
      <c r="B4947" s="2" t="s">
        <v>2588</v>
      </c>
      <c r="C4947" s="2">
        <v>775.50419999999997</v>
      </c>
      <c r="D4947" s="2">
        <f>HYPERLINK("http://mcb-m6.bioreg.kyushu-u.ac.jp/M3/20110414/F50950/2343/1", 39.75)</f>
        <v>39.75</v>
      </c>
      <c r="E4947" s="2">
        <v>16.77</v>
      </c>
      <c r="F4947" s="2">
        <v>2</v>
      </c>
      <c r="G4947" s="2" t="s">
        <v>12</v>
      </c>
    </row>
    <row r="4948" spans="1:7" x14ac:dyDescent="0.2">
      <c r="A4948" s="2" t="s">
        <v>3497</v>
      </c>
      <c r="B4948" s="2" t="s">
        <v>331</v>
      </c>
      <c r="C4948" s="2">
        <v>868.31960000000004</v>
      </c>
      <c r="D4948" s="2">
        <f>HYPERLINK("http://mcb-m6.bioreg.kyushu-u.ac.jp/M3/20110411/F50890/2830/1", 39.78)</f>
        <v>39.78</v>
      </c>
      <c r="E4948" s="2">
        <v>25.78</v>
      </c>
      <c r="F4948" s="2">
        <v>2</v>
      </c>
      <c r="G4948" s="2" t="s">
        <v>9</v>
      </c>
    </row>
    <row r="4949" spans="1:7" x14ac:dyDescent="0.2">
      <c r="A4949" s="2" t="s">
        <v>3283</v>
      </c>
      <c r="B4949" s="2" t="s">
        <v>63</v>
      </c>
      <c r="C4949" s="2">
        <v>871.39509999999996</v>
      </c>
      <c r="D4949" s="2">
        <f>HYPERLINK("http://mcb-m6.bioreg.kyushu-u.ac.jp/M3/20110411/F50892/2727/1", 35.58)</f>
        <v>35.58</v>
      </c>
      <c r="E4949" s="2">
        <v>18.23</v>
      </c>
      <c r="F4949" s="2">
        <v>2</v>
      </c>
      <c r="G4949" s="2" t="s">
        <v>9</v>
      </c>
    </row>
    <row r="4950" spans="1:7" x14ac:dyDescent="0.2">
      <c r="A4950" s="2" t="s">
        <v>3283</v>
      </c>
      <c r="B4950" s="2" t="s">
        <v>63</v>
      </c>
      <c r="C4950" s="2">
        <v>870.92470000000003</v>
      </c>
      <c r="D4950" s="2">
        <f>HYPERLINK("http://mcb-m6.bioreg.kyushu-u.ac.jp/M3/20110411/F50921/2382/1", 42.48)</f>
        <v>42.48</v>
      </c>
      <c r="E4950" s="2">
        <v>30.66</v>
      </c>
      <c r="F4950" s="2">
        <v>2</v>
      </c>
      <c r="G4950" s="2" t="s">
        <v>10</v>
      </c>
    </row>
    <row r="4951" spans="1:7" x14ac:dyDescent="0.2">
      <c r="A4951" s="2" t="s">
        <v>3283</v>
      </c>
      <c r="B4951" s="2" t="s">
        <v>63</v>
      </c>
      <c r="C4951" s="2">
        <v>870.86659999999995</v>
      </c>
      <c r="D4951" s="2">
        <f>HYPERLINK("http://mcb-m6.bioreg.kyushu-u.ac.jp/M3/20110414/F50945/2660/1", 39.3)</f>
        <v>39.299999999999997</v>
      </c>
      <c r="E4951" s="2">
        <v>27.35</v>
      </c>
      <c r="F4951" s="2">
        <v>2</v>
      </c>
      <c r="G4951" s="2" t="s">
        <v>11</v>
      </c>
    </row>
    <row r="4952" spans="1:7" x14ac:dyDescent="0.2">
      <c r="A4952" s="2" t="s">
        <v>3283</v>
      </c>
      <c r="B4952" s="2" t="s">
        <v>63</v>
      </c>
      <c r="C4952" s="2">
        <v>871.34270000000004</v>
      </c>
      <c r="D4952" s="2">
        <f>HYPERLINK("http://mcb-m6.bioreg.kyushu-u.ac.jp/M3/20110414/F50962/2422/1", 92.36)</f>
        <v>92.36</v>
      </c>
      <c r="E4952" s="2">
        <v>80.52</v>
      </c>
      <c r="F4952" s="2">
        <v>2</v>
      </c>
      <c r="G4952" s="2" t="s">
        <v>11</v>
      </c>
    </row>
    <row r="4953" spans="1:7" x14ac:dyDescent="0.2">
      <c r="A4953" s="2" t="s">
        <v>3283</v>
      </c>
      <c r="B4953" s="2" t="s">
        <v>63</v>
      </c>
      <c r="C4953" s="2">
        <v>871.27620000000002</v>
      </c>
      <c r="D4953" s="2">
        <f>HYPERLINK("http://mcb-m6.bioreg.kyushu-u.ac.jp/M3/20110414/F50963/2409/1", 67.47)</f>
        <v>67.47</v>
      </c>
      <c r="E4953" s="2">
        <v>57.58</v>
      </c>
      <c r="F4953" s="2">
        <v>2</v>
      </c>
      <c r="G4953" s="2" t="s">
        <v>12</v>
      </c>
    </row>
    <row r="4954" spans="1:7" x14ac:dyDescent="0.2">
      <c r="A4954" s="2" t="s">
        <v>3283</v>
      </c>
      <c r="B4954" s="2" t="s">
        <v>63</v>
      </c>
      <c r="C4954" s="2">
        <v>871.3057</v>
      </c>
      <c r="D4954" s="2">
        <f>HYPERLINK("http://mcb-m6.bioreg.kyushu-u.ac.jp/M3/20110414/F50946/2661/1", 122.35)</f>
        <v>122.35</v>
      </c>
      <c r="E4954" s="2">
        <v>104.79</v>
      </c>
      <c r="F4954" s="2">
        <v>2</v>
      </c>
      <c r="G4954" s="2" t="s">
        <v>12</v>
      </c>
    </row>
    <row r="4955" spans="1:7" x14ac:dyDescent="0.2">
      <c r="A4955" s="2" t="s">
        <v>3283</v>
      </c>
      <c r="B4955" s="2" t="s">
        <v>63</v>
      </c>
      <c r="C4955" s="2">
        <v>871.08920000000001</v>
      </c>
      <c r="D4955" s="2">
        <f>HYPERLINK("http://mcb-m6.bioreg.kyushu-u.ac.jp/M3/20110502/F51187/2232/1", 108.56)</f>
        <v>108.56</v>
      </c>
      <c r="E4955" s="2">
        <v>90.12</v>
      </c>
      <c r="F4955" s="2">
        <v>2</v>
      </c>
      <c r="G4955" s="2" t="s">
        <v>13</v>
      </c>
    </row>
    <row r="4956" spans="1:7" x14ac:dyDescent="0.2">
      <c r="A4956" s="2" t="s">
        <v>3283</v>
      </c>
      <c r="B4956" s="2" t="s">
        <v>63</v>
      </c>
      <c r="C4956" s="2">
        <v>871.21810000000005</v>
      </c>
      <c r="D4956" s="2">
        <f>HYPERLINK("http://mcb-m6.bioreg.kyushu-u.ac.jp/M3/20110502/F51180/2508/1", 114.53)</f>
        <v>114.53</v>
      </c>
      <c r="E4956" s="2">
        <v>84.53</v>
      </c>
      <c r="F4956" s="2">
        <v>2</v>
      </c>
      <c r="G4956" s="2" t="s">
        <v>13</v>
      </c>
    </row>
    <row r="4957" spans="1:7" x14ac:dyDescent="0.2">
      <c r="A4957" s="2" t="s">
        <v>3283</v>
      </c>
      <c r="B4957" s="2" t="s">
        <v>63</v>
      </c>
      <c r="C4957" s="2">
        <v>871.25019999999995</v>
      </c>
      <c r="D4957" s="2">
        <f>HYPERLINK("http://mcb-m6.bioreg.kyushu-u.ac.jp/M3/20110502/F51182/2656/1", 91.47)</f>
        <v>91.47</v>
      </c>
      <c r="E4957" s="2">
        <v>60.74</v>
      </c>
      <c r="F4957" s="2">
        <v>2</v>
      </c>
      <c r="G4957" s="2" t="s">
        <v>14</v>
      </c>
    </row>
    <row r="4958" spans="1:7" x14ac:dyDescent="0.2">
      <c r="A4958" s="2" t="s">
        <v>4332</v>
      </c>
      <c r="B4958" s="2" t="s">
        <v>2132</v>
      </c>
      <c r="C4958" s="2">
        <v>849.95259999999996</v>
      </c>
      <c r="D4958" s="2">
        <f>HYPERLINK("http://mcb-m6.bioreg.kyushu-u.ac.jp/M3/20110411/F50921/2289/1", 94.71)</f>
        <v>94.71</v>
      </c>
      <c r="E4958" s="2">
        <v>84.73</v>
      </c>
      <c r="F4958" s="2">
        <v>2</v>
      </c>
      <c r="G4958" s="2" t="s">
        <v>10</v>
      </c>
    </row>
    <row r="4959" spans="1:7" x14ac:dyDescent="0.2">
      <c r="A4959" s="2" t="s">
        <v>4332</v>
      </c>
      <c r="B4959" s="2" t="s">
        <v>2132</v>
      </c>
      <c r="C4959" s="2">
        <v>850.14469999999994</v>
      </c>
      <c r="D4959" s="2">
        <f>HYPERLINK("http://mcb-m6.bioreg.kyushu-u.ac.jp/M3/20110502/F51180/2379/1", 54.86)</f>
        <v>54.86</v>
      </c>
      <c r="E4959" s="2">
        <v>40.04</v>
      </c>
      <c r="F4959" s="2">
        <v>2</v>
      </c>
      <c r="G4959" s="2" t="s">
        <v>13</v>
      </c>
    </row>
    <row r="4960" spans="1:7" x14ac:dyDescent="0.2">
      <c r="A4960" s="2" t="s">
        <v>3987</v>
      </c>
      <c r="B4960" s="2" t="s">
        <v>1252</v>
      </c>
      <c r="C4960" s="2">
        <v>602.33720000000005</v>
      </c>
      <c r="D4960" s="2">
        <f>HYPERLINK("http://mcb-m6.bioreg.kyushu-u.ac.jp/M3/20110411/F50919/1043/1", 69.18)</f>
        <v>69.180000000000007</v>
      </c>
      <c r="E4960" s="2">
        <v>40.79</v>
      </c>
      <c r="F4960" s="2">
        <v>2</v>
      </c>
      <c r="G4960" s="2" t="s">
        <v>9</v>
      </c>
    </row>
    <row r="4961" spans="1:9" x14ac:dyDescent="0.2">
      <c r="A4961" s="2" t="s">
        <v>3987</v>
      </c>
      <c r="B4961" s="2" t="s">
        <v>1252</v>
      </c>
      <c r="C4961" s="2">
        <v>602.57169999999996</v>
      </c>
      <c r="D4961" s="2">
        <f>HYPERLINK("http://mcb-m6.bioreg.kyushu-u.ac.jp/M3/20110411/F50912/1454/1", 65.46)</f>
        <v>65.459999999999994</v>
      </c>
      <c r="E4961" s="2">
        <v>34.35</v>
      </c>
      <c r="F4961" s="2">
        <v>2</v>
      </c>
      <c r="G4961" s="2" t="s">
        <v>10</v>
      </c>
    </row>
    <row r="4962" spans="1:9" x14ac:dyDescent="0.2">
      <c r="A4962" s="2" t="s">
        <v>3987</v>
      </c>
      <c r="B4962" s="2" t="s">
        <v>1252</v>
      </c>
      <c r="C4962" s="2">
        <v>602.38120000000004</v>
      </c>
      <c r="D4962" s="2">
        <f>HYPERLINK("http://mcb-m6.bioreg.kyushu-u.ac.jp/M3/20110411/F50921/1212/1", 68.34)</f>
        <v>68.34</v>
      </c>
      <c r="E4962" s="2">
        <v>44.3</v>
      </c>
      <c r="F4962" s="2">
        <v>2</v>
      </c>
      <c r="G4962" s="2" t="s">
        <v>10</v>
      </c>
    </row>
    <row r="4963" spans="1:9" x14ac:dyDescent="0.2">
      <c r="A4963" s="2" t="s">
        <v>3987</v>
      </c>
      <c r="B4963" s="2" t="s">
        <v>1252</v>
      </c>
      <c r="C4963" s="2">
        <v>602.44759999999997</v>
      </c>
      <c r="D4963" s="2">
        <f>HYPERLINK("http://mcb-m6.bioreg.kyushu-u.ac.jp/M3/20110414/F50945/1441/1", 47.18)</f>
        <v>47.18</v>
      </c>
      <c r="E4963" s="2">
        <v>29.58</v>
      </c>
      <c r="F4963" s="2">
        <v>2</v>
      </c>
      <c r="G4963" s="2" t="s">
        <v>11</v>
      </c>
    </row>
    <row r="4964" spans="1:9" x14ac:dyDescent="0.2">
      <c r="A4964" s="2" t="s">
        <v>3987</v>
      </c>
      <c r="B4964" s="2" t="s">
        <v>1252</v>
      </c>
      <c r="C4964" s="2">
        <v>602.78809999999999</v>
      </c>
      <c r="D4964" s="2">
        <f>HYPERLINK("http://mcb-m6.bioreg.kyushu-u.ac.jp/M3/20110414/F50962/1271/1", 81.04)</f>
        <v>81.040000000000006</v>
      </c>
      <c r="E4964" s="2">
        <v>65.31</v>
      </c>
      <c r="F4964" s="2">
        <v>2</v>
      </c>
      <c r="G4964" s="2" t="s">
        <v>11</v>
      </c>
    </row>
    <row r="4965" spans="1:9" x14ac:dyDescent="0.2">
      <c r="A4965" s="2" t="s">
        <v>3987</v>
      </c>
      <c r="B4965" s="2" t="s">
        <v>1252</v>
      </c>
      <c r="C4965" s="2">
        <v>602.22519999999997</v>
      </c>
      <c r="D4965" s="2">
        <f>HYPERLINK("http://mcb-m6.bioreg.kyushu-u.ac.jp/M3/20110414/F50962/1267/1", 93.51)</f>
        <v>93.51</v>
      </c>
      <c r="E4965" s="2">
        <v>61.88</v>
      </c>
      <c r="F4965" s="2">
        <v>2</v>
      </c>
      <c r="G4965" s="2" t="s">
        <v>11</v>
      </c>
    </row>
    <row r="4966" spans="1:9" x14ac:dyDescent="0.2">
      <c r="A4966" s="2" t="s">
        <v>3987</v>
      </c>
      <c r="B4966" s="2" t="s">
        <v>1252</v>
      </c>
      <c r="C4966" s="2">
        <v>602.47170000000006</v>
      </c>
      <c r="D4966" s="2">
        <f>HYPERLINK("http://mcb-m6.bioreg.kyushu-u.ac.jp/M3/20110502/F51187/1152/1", 51.2)</f>
        <v>51.2</v>
      </c>
      <c r="E4966" s="2">
        <v>31.99</v>
      </c>
      <c r="F4966" s="2">
        <v>2</v>
      </c>
      <c r="G4966" s="2" t="s">
        <v>13</v>
      </c>
    </row>
    <row r="4967" spans="1:9" x14ac:dyDescent="0.2">
      <c r="A4967" s="2" t="s">
        <v>3987</v>
      </c>
      <c r="B4967" s="2" t="s">
        <v>1252</v>
      </c>
      <c r="C4967" s="2">
        <v>602.58320000000003</v>
      </c>
      <c r="D4967" s="2">
        <f>HYPERLINK("http://mcb-m6.bioreg.kyushu-u.ac.jp/M3/20110502/F51180/1122/1", 53.01)</f>
        <v>53.01</v>
      </c>
      <c r="E4967" s="2">
        <v>32.14</v>
      </c>
      <c r="F4967" s="2">
        <v>2</v>
      </c>
      <c r="G4967" s="2" t="s">
        <v>13</v>
      </c>
    </row>
    <row r="4968" spans="1:9" x14ac:dyDescent="0.2">
      <c r="A4968" s="2" t="s">
        <v>3987</v>
      </c>
      <c r="B4968" s="2" t="s">
        <v>1252</v>
      </c>
      <c r="C4968" s="2">
        <v>602.50160000000005</v>
      </c>
      <c r="D4968" s="2">
        <f>HYPERLINK("http://mcb-m6.bioreg.kyushu-u.ac.jp/M3/20110502/F51191/1133/1", 90.74)</f>
        <v>90.74</v>
      </c>
      <c r="E4968" s="2">
        <v>65.64</v>
      </c>
      <c r="F4968" s="2">
        <v>2</v>
      </c>
      <c r="G4968" s="2" t="s">
        <v>14</v>
      </c>
    </row>
    <row r="4969" spans="1:9" x14ac:dyDescent="0.2">
      <c r="A4969" s="2" t="s">
        <v>3852</v>
      </c>
      <c r="B4969" s="2" t="s">
        <v>954</v>
      </c>
      <c r="C4969" s="2">
        <v>653.85469999999998</v>
      </c>
      <c r="D4969" s="2">
        <f>HYPERLINK("http://mcb-m6.bioreg.kyushu-u.ac.jp/M3/20110411/F50919/1243/1", 56.62)</f>
        <v>56.62</v>
      </c>
      <c r="E4969" s="2">
        <v>37.04</v>
      </c>
      <c r="F4969" s="2">
        <v>2</v>
      </c>
      <c r="G4969" s="2" t="s">
        <v>9</v>
      </c>
      <c r="I4969" s="2" t="s">
        <v>4923</v>
      </c>
    </row>
    <row r="4970" spans="1:9" x14ac:dyDescent="0.2">
      <c r="A4970" s="2" t="s">
        <v>3852</v>
      </c>
      <c r="B4970" s="2" t="s">
        <v>954</v>
      </c>
      <c r="C4970" s="2">
        <v>654.35860000000002</v>
      </c>
      <c r="D4970" s="2">
        <f>HYPERLINK("http://mcb-m6.bioreg.kyushu-u.ac.jp/M3/20110411/F50919/1245/1", 61.05)</f>
        <v>61.05</v>
      </c>
      <c r="E4970" s="2">
        <v>41.65</v>
      </c>
      <c r="F4970" s="2">
        <v>2</v>
      </c>
      <c r="G4970" s="2" t="s">
        <v>9</v>
      </c>
      <c r="I4970" s="2" t="s">
        <v>4923</v>
      </c>
    </row>
    <row r="4971" spans="1:9" x14ac:dyDescent="0.2">
      <c r="A4971" s="2" t="s">
        <v>3852</v>
      </c>
      <c r="B4971" s="2" t="s">
        <v>954</v>
      </c>
      <c r="C4971" s="2">
        <v>654.15219999999999</v>
      </c>
      <c r="D4971" s="2">
        <f>HYPERLINK("http://mcb-m6.bioreg.kyushu-u.ac.jp/M3/20110414/F50962/1469/1", 35.89)</f>
        <v>35.89</v>
      </c>
      <c r="E4971" s="2">
        <v>21.34</v>
      </c>
      <c r="F4971" s="2">
        <v>2</v>
      </c>
      <c r="G4971" s="2" t="s">
        <v>11</v>
      </c>
      <c r="I4971" s="2" t="s">
        <v>4923</v>
      </c>
    </row>
    <row r="4972" spans="1:9" x14ac:dyDescent="0.2">
      <c r="A4972" s="2" t="s">
        <v>3492</v>
      </c>
      <c r="B4972" s="2" t="s">
        <v>322</v>
      </c>
      <c r="C4972" s="2">
        <v>580.50210000000004</v>
      </c>
      <c r="D4972" s="2">
        <f>HYPERLINK("http://mcb-m6.bioreg.kyushu-u.ac.jp/M3/20110411/F50916/1091/1", 39.68)</f>
        <v>39.68</v>
      </c>
      <c r="E4972" s="2">
        <v>10.25</v>
      </c>
      <c r="F4972" s="2">
        <v>2</v>
      </c>
      <c r="G4972" s="2" t="s">
        <v>9</v>
      </c>
    </row>
    <row r="4973" spans="1:9" x14ac:dyDescent="0.2">
      <c r="A4973" s="2" t="s">
        <v>4100</v>
      </c>
      <c r="B4973" s="2" t="s">
        <v>1565</v>
      </c>
      <c r="C4973" s="2">
        <v>768.41859999999997</v>
      </c>
      <c r="D4973" s="2">
        <f>HYPERLINK("http://mcb-m6.bioreg.kyushu-u.ac.jp/M3/20110411/F50916/2039/1", 93.07)</f>
        <v>93.07</v>
      </c>
      <c r="E4973" s="2">
        <v>71.7</v>
      </c>
      <c r="F4973" s="2">
        <v>2</v>
      </c>
      <c r="G4973" s="2" t="s">
        <v>9</v>
      </c>
      <c r="I4973" s="2" t="s">
        <v>4942</v>
      </c>
    </row>
    <row r="4974" spans="1:9" x14ac:dyDescent="0.2">
      <c r="A4974" s="2" t="s">
        <v>4100</v>
      </c>
      <c r="B4974" s="2" t="s">
        <v>1565</v>
      </c>
      <c r="C4974" s="2">
        <v>768.80269999999996</v>
      </c>
      <c r="D4974" s="2">
        <f>HYPERLINK("http://mcb-m6.bioreg.kyushu-u.ac.jp/M3/20110414/F50957/2081/1", 53.02)</f>
        <v>53.02</v>
      </c>
      <c r="E4974" s="2">
        <v>31.73</v>
      </c>
      <c r="F4974" s="2">
        <v>2</v>
      </c>
      <c r="G4974" s="2" t="s">
        <v>11</v>
      </c>
      <c r="I4974" s="2" t="s">
        <v>4942</v>
      </c>
    </row>
    <row r="4975" spans="1:9" x14ac:dyDescent="0.2">
      <c r="A4975" s="2" t="s">
        <v>4100</v>
      </c>
      <c r="B4975" s="2" t="s">
        <v>1565</v>
      </c>
      <c r="C4975" s="2">
        <v>768.20069999999998</v>
      </c>
      <c r="D4975" s="2">
        <f>HYPERLINK("http://mcb-m6.bioreg.kyushu-u.ac.jp/M3/20110414/F50957/2076/1", 80.98)</f>
        <v>80.98</v>
      </c>
      <c r="E4975" s="2">
        <v>58.22</v>
      </c>
      <c r="F4975" s="2">
        <v>2</v>
      </c>
      <c r="G4975" s="2" t="s">
        <v>11</v>
      </c>
      <c r="I4975" s="2" t="s">
        <v>4942</v>
      </c>
    </row>
    <row r="4976" spans="1:9" x14ac:dyDescent="0.2">
      <c r="A4976" s="2" t="s">
        <v>4100</v>
      </c>
      <c r="B4976" s="2" t="s">
        <v>1565</v>
      </c>
      <c r="C4976" s="2">
        <v>768.27170000000001</v>
      </c>
      <c r="D4976" s="2">
        <f>HYPERLINK("http://mcb-m6.bioreg.kyushu-u.ac.jp/M3/20110414/F50959/2061/1", 38.85)</f>
        <v>38.85</v>
      </c>
      <c r="E4976" s="2">
        <v>21.13</v>
      </c>
      <c r="F4976" s="2">
        <v>2</v>
      </c>
      <c r="G4976" s="2" t="s">
        <v>12</v>
      </c>
      <c r="I4976" s="2" t="s">
        <v>4942</v>
      </c>
    </row>
    <row r="4977" spans="1:9" x14ac:dyDescent="0.2">
      <c r="A4977" s="2" t="s">
        <v>4100</v>
      </c>
      <c r="B4977" s="2" t="s">
        <v>1565</v>
      </c>
      <c r="C4977" s="2">
        <v>768.95259999999996</v>
      </c>
      <c r="D4977" s="2">
        <f>HYPERLINK("http://mcb-m6.bioreg.kyushu-u.ac.jp/M3/20110502/F51173/1974/1", 67.97)</f>
        <v>67.97</v>
      </c>
      <c r="E4977" s="2">
        <v>32.14</v>
      </c>
      <c r="F4977" s="2">
        <v>2</v>
      </c>
      <c r="G4977" s="2" t="s">
        <v>13</v>
      </c>
      <c r="I4977" s="2" t="s">
        <v>4942</v>
      </c>
    </row>
    <row r="4978" spans="1:9" x14ac:dyDescent="0.2">
      <c r="A4978" s="2" t="s">
        <v>4100</v>
      </c>
      <c r="B4978" s="2" t="s">
        <v>1565</v>
      </c>
      <c r="C4978" s="2">
        <v>768.49220000000003</v>
      </c>
      <c r="D4978" s="2">
        <f>HYPERLINK("http://mcb-m6.bioreg.kyushu-u.ac.jp/M3/20110502/F51194/1973/1", 97.28)</f>
        <v>97.28</v>
      </c>
      <c r="E4978" s="2">
        <v>77.400000000000006</v>
      </c>
      <c r="F4978" s="2">
        <v>2</v>
      </c>
      <c r="G4978" s="2" t="s">
        <v>14</v>
      </c>
      <c r="I4978" s="2" t="s">
        <v>4942</v>
      </c>
    </row>
    <row r="4979" spans="1:9" x14ac:dyDescent="0.2">
      <c r="A4979" s="2" t="s">
        <v>3520</v>
      </c>
      <c r="B4979" s="2" t="s">
        <v>362</v>
      </c>
      <c r="C4979" s="2">
        <v>731.87270000000001</v>
      </c>
      <c r="D4979" s="2">
        <f>HYPERLINK("http://mcb-m6.bioreg.kyushu-u.ac.jp/M3/20110411/F50916/1862/1", 40.3)</f>
        <v>40.299999999999997</v>
      </c>
      <c r="E4979" s="2">
        <v>11.96</v>
      </c>
      <c r="F4979" s="2">
        <v>2</v>
      </c>
      <c r="G4979" s="2" t="s">
        <v>9</v>
      </c>
    </row>
    <row r="4980" spans="1:9" x14ac:dyDescent="0.2">
      <c r="A4980" s="2" t="s">
        <v>3520</v>
      </c>
      <c r="B4980" s="2" t="s">
        <v>401</v>
      </c>
      <c r="C4980" s="2">
        <v>515.3691</v>
      </c>
      <c r="D4980" s="2">
        <f>HYPERLINK("http://mcb-m6.bioreg.kyushu-u.ac.jp/M3/20110411/F50916/860/1", 41.16)</f>
        <v>41.16</v>
      </c>
      <c r="E4980" s="2">
        <v>13.93</v>
      </c>
      <c r="F4980" s="2">
        <v>2</v>
      </c>
      <c r="G4980" s="2" t="s">
        <v>9</v>
      </c>
    </row>
    <row r="4981" spans="1:9" x14ac:dyDescent="0.2">
      <c r="A4981" s="2" t="s">
        <v>3520</v>
      </c>
      <c r="B4981" s="2" t="s">
        <v>850</v>
      </c>
      <c r="C4981" s="2">
        <v>560.36469999999997</v>
      </c>
      <c r="D4981" s="2">
        <f>HYPERLINK("http://mcb-m6.bioreg.kyushu-u.ac.jp/M3/20110411/F50916/1018/1", 53.41)</f>
        <v>53.41</v>
      </c>
      <c r="E4981" s="2">
        <v>30.68</v>
      </c>
      <c r="F4981" s="2">
        <v>2</v>
      </c>
      <c r="G4981" s="2" t="s">
        <v>9</v>
      </c>
    </row>
    <row r="4982" spans="1:9" x14ac:dyDescent="0.2">
      <c r="A4982" s="2" t="s">
        <v>3520</v>
      </c>
      <c r="B4982" s="2" t="s">
        <v>1195</v>
      </c>
      <c r="C4982" s="2">
        <v>661.91359999999997</v>
      </c>
      <c r="D4982" s="2">
        <f>HYPERLINK("http://mcb-m6.bioreg.kyushu-u.ac.jp/M3/20110411/F50916/1443/1", 66.94)</f>
        <v>66.94</v>
      </c>
      <c r="E4982" s="2">
        <v>50.89</v>
      </c>
      <c r="F4982" s="2">
        <v>2</v>
      </c>
      <c r="G4982" s="2" t="s">
        <v>9</v>
      </c>
    </row>
    <row r="4983" spans="1:9" x14ac:dyDescent="0.2">
      <c r="A4983" s="2" t="s">
        <v>3520</v>
      </c>
      <c r="B4983" s="2" t="s">
        <v>1484</v>
      </c>
      <c r="C4983" s="2">
        <v>814.9547</v>
      </c>
      <c r="D4983" s="2">
        <f>HYPERLINK("http://mcb-m6.bioreg.kyushu-u.ac.jp/M3/20110411/F50916/2295/1", 85.49)</f>
        <v>85.49</v>
      </c>
      <c r="E4983" s="2">
        <v>63.59</v>
      </c>
      <c r="F4983" s="2">
        <v>2</v>
      </c>
      <c r="G4983" s="2" t="s">
        <v>9</v>
      </c>
      <c r="I4983" s="2" t="s">
        <v>4906</v>
      </c>
    </row>
    <row r="4984" spans="1:9" x14ac:dyDescent="0.2">
      <c r="A4984" s="2" t="s">
        <v>3520</v>
      </c>
      <c r="B4984" s="2" t="s">
        <v>1195</v>
      </c>
      <c r="C4984" s="2">
        <v>661.39620000000002</v>
      </c>
      <c r="D4984" s="2">
        <f>HYPERLINK("http://mcb-m6.bioreg.kyushu-u.ac.jp/M3/20110411/F50916/1441/1", 89.42)</f>
        <v>89.42</v>
      </c>
      <c r="E4984" s="2">
        <v>68.319999999999993</v>
      </c>
      <c r="F4984" s="2">
        <v>2</v>
      </c>
      <c r="G4984" s="2" t="s">
        <v>9</v>
      </c>
    </row>
    <row r="4985" spans="1:9" x14ac:dyDescent="0.2">
      <c r="A4985" s="2" t="s">
        <v>3520</v>
      </c>
      <c r="B4985" s="2" t="s">
        <v>1609</v>
      </c>
      <c r="C4985" s="2">
        <v>797.88959999999997</v>
      </c>
      <c r="D4985" s="2">
        <f>HYPERLINK("http://mcb-m6.bioreg.kyushu-u.ac.jp/M3/20110411/F50916/2218/1", 99.43)</f>
        <v>99.43</v>
      </c>
      <c r="E4985" s="2">
        <v>68.92</v>
      </c>
      <c r="F4985" s="2">
        <v>2</v>
      </c>
      <c r="G4985" s="2" t="s">
        <v>9</v>
      </c>
      <c r="I4985" s="2" t="s">
        <v>4892</v>
      </c>
    </row>
    <row r="4986" spans="1:9" x14ac:dyDescent="0.2">
      <c r="A4986" s="2" t="s">
        <v>3520</v>
      </c>
      <c r="B4986" s="2" t="s">
        <v>1659</v>
      </c>
      <c r="C4986" s="2">
        <v>1085.001</v>
      </c>
      <c r="D4986" s="2">
        <f>HYPERLINK("http://mcb-m6.bioreg.kyushu-u.ac.jp/M3/20110411/F50916/3414/1", 113.39)</f>
        <v>113.39</v>
      </c>
      <c r="E4986" s="2">
        <v>103.58</v>
      </c>
      <c r="F4986" s="2">
        <v>2</v>
      </c>
      <c r="G4986" s="2" t="s">
        <v>9</v>
      </c>
    </row>
    <row r="4987" spans="1:9" x14ac:dyDescent="0.2">
      <c r="A4987" s="2" t="s">
        <v>3520</v>
      </c>
      <c r="B4987" s="2" t="s">
        <v>1919</v>
      </c>
      <c r="C4987" s="2">
        <v>648.95619999999997</v>
      </c>
      <c r="D4987" s="2">
        <f>HYPERLINK("http://mcb-m6.bioreg.kyushu-u.ac.jp/M3/20110411/F50918/1367/1", 49.52)</f>
        <v>49.52</v>
      </c>
      <c r="E4987" s="2">
        <v>14.42</v>
      </c>
      <c r="F4987" s="2">
        <v>2</v>
      </c>
      <c r="G4987" s="2" t="s">
        <v>10</v>
      </c>
    </row>
    <row r="4988" spans="1:9" x14ac:dyDescent="0.2">
      <c r="A4988" s="2" t="s">
        <v>3520</v>
      </c>
      <c r="B4988" s="2" t="s">
        <v>1484</v>
      </c>
      <c r="C4988" s="2">
        <v>814.98720000000003</v>
      </c>
      <c r="D4988" s="2">
        <f>HYPERLINK("http://mcb-m6.bioreg.kyushu-u.ac.jp/M3/20110411/F50918/2237/1", 75.16)</f>
        <v>75.16</v>
      </c>
      <c r="E4988" s="2">
        <v>55.25</v>
      </c>
      <c r="F4988" s="2">
        <v>2</v>
      </c>
      <c r="G4988" s="2" t="s">
        <v>10</v>
      </c>
      <c r="I4988" s="2" t="s">
        <v>4906</v>
      </c>
    </row>
    <row r="4989" spans="1:9" x14ac:dyDescent="0.2">
      <c r="A4989" s="2" t="s">
        <v>3520</v>
      </c>
      <c r="B4989" s="2" t="s">
        <v>1195</v>
      </c>
      <c r="C4989" s="2">
        <v>661.5566</v>
      </c>
      <c r="D4989" s="2">
        <f>HYPERLINK("http://mcb-m6.bioreg.kyushu-u.ac.jp/M3/20110411/F50918/1420/1", 77.53)</f>
        <v>77.53</v>
      </c>
      <c r="E4989" s="2">
        <v>62.08</v>
      </c>
      <c r="F4989" s="2">
        <v>2</v>
      </c>
      <c r="G4989" s="2" t="s">
        <v>10</v>
      </c>
    </row>
    <row r="4990" spans="1:9" x14ac:dyDescent="0.2">
      <c r="A4990" s="2" t="s">
        <v>3520</v>
      </c>
      <c r="B4990" s="2" t="s">
        <v>2202</v>
      </c>
      <c r="C4990" s="2">
        <v>555.16819999999996</v>
      </c>
      <c r="D4990" s="2">
        <f>HYPERLINK("http://mcb-m6.bioreg.kyushu-u.ac.jp/M3/20110414/F50957/798/1", 36.91)</f>
        <v>36.909999999999997</v>
      </c>
      <c r="E4990" s="2">
        <v>16.43</v>
      </c>
      <c r="F4990" s="2">
        <v>2</v>
      </c>
      <c r="G4990" s="2" t="s">
        <v>11</v>
      </c>
      <c r="I4990" s="2" t="s">
        <v>4898</v>
      </c>
    </row>
    <row r="4991" spans="1:9" x14ac:dyDescent="0.2">
      <c r="A4991" s="2" t="s">
        <v>3520</v>
      </c>
      <c r="B4991" s="2" t="s">
        <v>2268</v>
      </c>
      <c r="C4991" s="2">
        <v>926.83920000000001</v>
      </c>
      <c r="D4991" s="2">
        <f>HYPERLINK("http://mcb-m6.bioreg.kyushu-u.ac.jp/M3/20110414/F50957/3063/1", 41.26)</f>
        <v>41.26</v>
      </c>
      <c r="E4991" s="2">
        <v>30.26</v>
      </c>
      <c r="F4991" s="2">
        <v>2</v>
      </c>
      <c r="G4991" s="2" t="s">
        <v>11</v>
      </c>
      <c r="I4991" s="2" t="s">
        <v>4903</v>
      </c>
    </row>
    <row r="4992" spans="1:9" x14ac:dyDescent="0.2">
      <c r="A4992" s="2" t="s">
        <v>3520</v>
      </c>
      <c r="B4992" s="2" t="s">
        <v>2279</v>
      </c>
      <c r="C4992" s="2">
        <v>708.86410000000001</v>
      </c>
      <c r="D4992" s="2">
        <f>HYPERLINK("http://mcb-m6.bioreg.kyushu-u.ac.jp/M3/20110414/F50942/1702/1", 42.59)</f>
        <v>42.59</v>
      </c>
      <c r="E4992" s="2">
        <v>32.89</v>
      </c>
      <c r="F4992" s="2">
        <v>2</v>
      </c>
      <c r="G4992" s="2" t="s">
        <v>11</v>
      </c>
      <c r="I4992" s="2" t="s">
        <v>4903</v>
      </c>
    </row>
    <row r="4993" spans="1:9" x14ac:dyDescent="0.2">
      <c r="A4993" s="2" t="s">
        <v>3520</v>
      </c>
      <c r="B4993" s="2" t="s">
        <v>1659</v>
      </c>
      <c r="C4993" s="2">
        <v>1084.827</v>
      </c>
      <c r="D4993" s="2">
        <f>HYPERLINK("http://mcb-m6.bioreg.kyushu-u.ac.jp/M3/20110414/F50957/3865/1", 53.44)</f>
        <v>53.44</v>
      </c>
      <c r="E4993" s="2">
        <v>45.22</v>
      </c>
      <c r="F4993" s="2">
        <v>2</v>
      </c>
      <c r="G4993" s="2" t="s">
        <v>11</v>
      </c>
    </row>
    <row r="4994" spans="1:9" x14ac:dyDescent="0.2">
      <c r="A4994" s="2" t="s">
        <v>3520</v>
      </c>
      <c r="B4994" s="2" t="s">
        <v>850</v>
      </c>
      <c r="C4994" s="2">
        <v>560.13210000000004</v>
      </c>
      <c r="D4994" s="2">
        <f>HYPERLINK("http://mcb-m6.bioreg.kyushu-u.ac.jp/M3/20110414/F50957/822/1", 55.75)</f>
        <v>55.75</v>
      </c>
      <c r="E4994" s="2">
        <v>27.86</v>
      </c>
      <c r="F4994" s="2">
        <v>2</v>
      </c>
      <c r="G4994" s="2" t="s">
        <v>11</v>
      </c>
    </row>
    <row r="4995" spans="1:9" x14ac:dyDescent="0.2">
      <c r="A4995" s="2" t="s">
        <v>3520</v>
      </c>
      <c r="B4995" s="2" t="s">
        <v>1484</v>
      </c>
      <c r="C4995" s="2">
        <v>815.25070000000005</v>
      </c>
      <c r="D4995" s="2">
        <f>HYPERLINK("http://mcb-m6.bioreg.kyushu-u.ac.jp/M3/20110414/F50957/2369/1", 64.28)</f>
        <v>64.28</v>
      </c>
      <c r="E4995" s="2">
        <v>44.82</v>
      </c>
      <c r="F4995" s="2">
        <v>2</v>
      </c>
      <c r="G4995" s="2" t="s">
        <v>11</v>
      </c>
      <c r="I4995" s="2" t="s">
        <v>4906</v>
      </c>
    </row>
    <row r="4996" spans="1:9" x14ac:dyDescent="0.2">
      <c r="A4996" s="2" t="s">
        <v>3520</v>
      </c>
      <c r="B4996" s="2" t="s">
        <v>2279</v>
      </c>
      <c r="C4996" s="2">
        <v>708.6902</v>
      </c>
      <c r="D4996" s="2">
        <f>HYPERLINK("http://mcb-m6.bioreg.kyushu-u.ac.jp/M3/20110414/F50957/1663/1", 65.74)</f>
        <v>65.739999999999995</v>
      </c>
      <c r="E4996" s="2">
        <v>56.46</v>
      </c>
      <c r="F4996" s="2">
        <v>2</v>
      </c>
      <c r="G4996" s="2" t="s">
        <v>11</v>
      </c>
      <c r="I4996" s="2" t="s">
        <v>4903</v>
      </c>
    </row>
    <row r="4997" spans="1:9" x14ac:dyDescent="0.2">
      <c r="A4997" s="2" t="s">
        <v>3520</v>
      </c>
      <c r="B4997" s="2" t="s">
        <v>2279</v>
      </c>
      <c r="C4997" s="2">
        <v>708.15620000000001</v>
      </c>
      <c r="D4997" s="2">
        <f>HYPERLINK("http://mcb-m6.bioreg.kyushu-u.ac.jp/M3/20110414/F50957/1658/1", 71.07)</f>
        <v>71.069999999999993</v>
      </c>
      <c r="E4997" s="2">
        <v>58.17</v>
      </c>
      <c r="F4997" s="2">
        <v>2</v>
      </c>
      <c r="G4997" s="2" t="s">
        <v>11</v>
      </c>
      <c r="I4997" s="2" t="s">
        <v>4903</v>
      </c>
    </row>
    <row r="4998" spans="1:9" x14ac:dyDescent="0.2">
      <c r="A4998" s="2" t="s">
        <v>3520</v>
      </c>
      <c r="B4998" s="2" t="s">
        <v>1195</v>
      </c>
      <c r="C4998" s="2">
        <v>661.23019999999997</v>
      </c>
      <c r="D4998" s="2">
        <f>HYPERLINK("http://mcb-m6.bioreg.kyushu-u.ac.jp/M3/20110414/F50957/1340/1", 74.23)</f>
        <v>74.23</v>
      </c>
      <c r="E4998" s="2">
        <v>55.39</v>
      </c>
      <c r="F4998" s="2">
        <v>2</v>
      </c>
      <c r="G4998" s="2" t="s">
        <v>11</v>
      </c>
    </row>
    <row r="4999" spans="1:9" x14ac:dyDescent="0.2">
      <c r="A4999" s="2" t="s">
        <v>3520</v>
      </c>
      <c r="B4999" s="2" t="s">
        <v>1609</v>
      </c>
      <c r="C4999" s="2">
        <v>797.71619999999996</v>
      </c>
      <c r="D4999" s="2">
        <f>HYPERLINK("http://mcb-m6.bioreg.kyushu-u.ac.jp/M3/20110414/F50957/2275/1", 91.4)</f>
        <v>91.4</v>
      </c>
      <c r="E4999" s="2">
        <v>66.44</v>
      </c>
      <c r="F4999" s="2">
        <v>2</v>
      </c>
      <c r="G4999" s="2" t="s">
        <v>11</v>
      </c>
      <c r="I4999" s="2" t="s">
        <v>4892</v>
      </c>
    </row>
    <row r="5000" spans="1:9" x14ac:dyDescent="0.2">
      <c r="A5000" s="2" t="s">
        <v>3520</v>
      </c>
      <c r="B5000" s="2" t="s">
        <v>1659</v>
      </c>
      <c r="C5000" s="2">
        <v>1085.4559999999999</v>
      </c>
      <c r="D5000" s="2">
        <f>HYPERLINK("http://mcb-m6.bioreg.kyushu-u.ac.jp/M3/20110414/F50957/3868/1", 118.15)</f>
        <v>118.15</v>
      </c>
      <c r="E5000" s="2">
        <v>101.4</v>
      </c>
      <c r="F5000" s="2">
        <v>2</v>
      </c>
      <c r="G5000" s="2" t="s">
        <v>11</v>
      </c>
    </row>
    <row r="5001" spans="1:9" x14ac:dyDescent="0.2">
      <c r="A5001" s="2" t="s">
        <v>3520</v>
      </c>
      <c r="B5001" s="2" t="s">
        <v>1919</v>
      </c>
      <c r="C5001" s="2">
        <v>648.79110000000003</v>
      </c>
      <c r="D5001" s="2">
        <f>HYPERLINK("http://mcb-m6.bioreg.kyushu-u.ac.jp/M3/20110414/F50959/1264/1", 36.54)</f>
        <v>36.54</v>
      </c>
      <c r="E5001" s="2">
        <v>10</v>
      </c>
      <c r="F5001" s="2">
        <v>2</v>
      </c>
      <c r="G5001" s="2" t="s">
        <v>12</v>
      </c>
    </row>
    <row r="5002" spans="1:9" x14ac:dyDescent="0.2">
      <c r="A5002" s="2" t="s">
        <v>3520</v>
      </c>
      <c r="B5002" s="2" t="s">
        <v>2202</v>
      </c>
      <c r="C5002" s="2">
        <v>555.28809999999999</v>
      </c>
      <c r="D5002" s="2">
        <f>HYPERLINK("http://mcb-m6.bioreg.kyushu-u.ac.jp/M3/20110414/F50959/751/1", 39.03)</f>
        <v>39.03</v>
      </c>
      <c r="E5002" s="2">
        <v>20.93</v>
      </c>
      <c r="F5002" s="2">
        <v>2</v>
      </c>
      <c r="G5002" s="2" t="s">
        <v>12</v>
      </c>
      <c r="I5002" s="2" t="s">
        <v>4898</v>
      </c>
    </row>
    <row r="5003" spans="1:9" x14ac:dyDescent="0.2">
      <c r="A5003" s="2" t="s">
        <v>3520</v>
      </c>
      <c r="B5003" s="2" t="s">
        <v>2641</v>
      </c>
      <c r="C5003" s="2">
        <v>693.88480000000004</v>
      </c>
      <c r="D5003" s="2">
        <f>HYPERLINK("http://mcb-m6.bioreg.kyushu-u.ac.jp/M3/20110414/F50959/3779/1", 46.06)</f>
        <v>46.06</v>
      </c>
      <c r="E5003" s="2">
        <v>33.06</v>
      </c>
      <c r="F5003" s="2">
        <v>3</v>
      </c>
      <c r="G5003" s="2" t="s">
        <v>12</v>
      </c>
      <c r="I5003" s="2" t="s">
        <v>4923</v>
      </c>
    </row>
    <row r="5004" spans="1:9" x14ac:dyDescent="0.2">
      <c r="A5004" s="2" t="s">
        <v>3520</v>
      </c>
      <c r="B5004" s="2" t="s">
        <v>2279</v>
      </c>
      <c r="C5004" s="2">
        <v>708.16110000000003</v>
      </c>
      <c r="D5004" s="2">
        <f>HYPERLINK("http://mcb-m6.bioreg.kyushu-u.ac.jp/M3/20110414/F50959/1631/1", 47.49)</f>
        <v>47.49</v>
      </c>
      <c r="E5004" s="2">
        <v>37.86</v>
      </c>
      <c r="F5004" s="2">
        <v>2</v>
      </c>
      <c r="G5004" s="2" t="s">
        <v>12</v>
      </c>
      <c r="I5004" s="2" t="s">
        <v>4903</v>
      </c>
    </row>
    <row r="5005" spans="1:9" x14ac:dyDescent="0.2">
      <c r="A5005" s="2" t="s">
        <v>3520</v>
      </c>
      <c r="B5005" s="2" t="s">
        <v>2279</v>
      </c>
      <c r="C5005" s="2">
        <v>708.7242</v>
      </c>
      <c r="D5005" s="2">
        <f>HYPERLINK("http://mcb-m6.bioreg.kyushu-u.ac.jp/M3/20110414/F50959/1638/1", 64.27)</f>
        <v>64.27</v>
      </c>
      <c r="E5005" s="2">
        <v>54.14</v>
      </c>
      <c r="F5005" s="2">
        <v>2</v>
      </c>
      <c r="G5005" s="2" t="s">
        <v>12</v>
      </c>
      <c r="I5005" s="2" t="s">
        <v>4903</v>
      </c>
    </row>
    <row r="5006" spans="1:9" x14ac:dyDescent="0.2">
      <c r="A5006" s="2" t="s">
        <v>3520</v>
      </c>
      <c r="B5006" s="2" t="s">
        <v>1195</v>
      </c>
      <c r="C5006" s="2">
        <v>661.3116</v>
      </c>
      <c r="D5006" s="2">
        <f>HYPERLINK("http://mcb-m6.bioreg.kyushu-u.ac.jp/M3/20110414/F50959/1340/1", 68.16)</f>
        <v>68.16</v>
      </c>
      <c r="E5006" s="2">
        <v>48.38</v>
      </c>
      <c r="F5006" s="2">
        <v>2</v>
      </c>
      <c r="G5006" s="2" t="s">
        <v>12</v>
      </c>
    </row>
    <row r="5007" spans="1:9" x14ac:dyDescent="0.2">
      <c r="A5007" s="2" t="s">
        <v>3520</v>
      </c>
      <c r="B5007" s="2" t="s">
        <v>1484</v>
      </c>
      <c r="C5007" s="2">
        <v>814.84559999999999</v>
      </c>
      <c r="D5007" s="2">
        <f>HYPERLINK("http://mcb-m6.bioreg.kyushu-u.ac.jp/M3/20110414/F50959/2397/1", 73.92)</f>
        <v>73.92</v>
      </c>
      <c r="E5007" s="2">
        <v>52.87</v>
      </c>
      <c r="F5007" s="2">
        <v>2</v>
      </c>
      <c r="G5007" s="2" t="s">
        <v>12</v>
      </c>
      <c r="I5007" s="2" t="s">
        <v>4906</v>
      </c>
    </row>
    <row r="5008" spans="1:9" x14ac:dyDescent="0.2">
      <c r="A5008" s="2" t="s">
        <v>3520</v>
      </c>
      <c r="B5008" s="2" t="s">
        <v>2756</v>
      </c>
      <c r="C5008" s="2">
        <v>744.45920000000001</v>
      </c>
      <c r="D5008" s="2">
        <f>HYPERLINK("http://mcb-m6.bioreg.kyushu-u.ac.jp/M3/20110414/F50959/1914/1", 79.93)</f>
        <v>79.930000000000007</v>
      </c>
      <c r="E5008" s="2">
        <v>61.85</v>
      </c>
      <c r="F5008" s="2">
        <v>2</v>
      </c>
      <c r="G5008" s="2" t="s">
        <v>12</v>
      </c>
    </row>
    <row r="5009" spans="1:9" x14ac:dyDescent="0.2">
      <c r="A5009" s="2" t="s">
        <v>3520</v>
      </c>
      <c r="B5009" s="2" t="s">
        <v>1659</v>
      </c>
      <c r="C5009" s="2">
        <v>1085.433</v>
      </c>
      <c r="D5009" s="2">
        <f>HYPERLINK("http://mcb-m6.bioreg.kyushu-u.ac.jp/M3/20110414/F50959/3945/1", 87.21)</f>
        <v>87.21</v>
      </c>
      <c r="E5009" s="2">
        <v>69.040000000000006</v>
      </c>
      <c r="F5009" s="2">
        <v>2</v>
      </c>
      <c r="G5009" s="2" t="s">
        <v>12</v>
      </c>
    </row>
    <row r="5010" spans="1:9" x14ac:dyDescent="0.2">
      <c r="A5010" s="2" t="s">
        <v>3520</v>
      </c>
      <c r="B5010" s="2" t="s">
        <v>850</v>
      </c>
      <c r="C5010" s="2">
        <v>560.47019999999998</v>
      </c>
      <c r="D5010" s="2">
        <f>HYPERLINK("http://mcb-m6.bioreg.kyushu-u.ac.jp/M3/20110502/F51189/1035/1", 51.35)</f>
        <v>51.35</v>
      </c>
      <c r="E5010" s="2">
        <v>19.77</v>
      </c>
      <c r="F5010" s="2">
        <v>2</v>
      </c>
      <c r="G5010" s="2" t="s">
        <v>13</v>
      </c>
    </row>
    <row r="5011" spans="1:9" x14ac:dyDescent="0.2">
      <c r="A5011" s="2" t="s">
        <v>3520</v>
      </c>
      <c r="B5011" s="2" t="s">
        <v>1609</v>
      </c>
      <c r="C5011" s="2">
        <v>798.13919999999996</v>
      </c>
      <c r="D5011" s="2">
        <f>HYPERLINK("http://mcb-m6.bioreg.kyushu-u.ac.jp/M3/20110502/F51189/2085/1", 78.61)</f>
        <v>78.61</v>
      </c>
      <c r="E5011" s="2">
        <v>39.14</v>
      </c>
      <c r="F5011" s="2">
        <v>2</v>
      </c>
      <c r="G5011" s="2" t="s">
        <v>13</v>
      </c>
      <c r="I5011" s="2" t="s">
        <v>4892</v>
      </c>
    </row>
    <row r="5012" spans="1:9" x14ac:dyDescent="0.2">
      <c r="A5012" s="2" t="s">
        <v>3520</v>
      </c>
      <c r="B5012" s="2" t="s">
        <v>1195</v>
      </c>
      <c r="C5012" s="2">
        <v>1322.6690000000001</v>
      </c>
      <c r="D5012" s="2">
        <f>HYPERLINK("http://mcb-m6.bioreg.kyushu-u.ac.jp/M3/20110502/F51194/1357/1", 35.59)</f>
        <v>35.590000000000003</v>
      </c>
      <c r="E5012" s="2">
        <v>22.48</v>
      </c>
      <c r="F5012" s="2">
        <v>1</v>
      </c>
      <c r="G5012" s="2" t="s">
        <v>14</v>
      </c>
    </row>
    <row r="5013" spans="1:9" x14ac:dyDescent="0.2">
      <c r="A5013" s="2" t="s">
        <v>3520</v>
      </c>
      <c r="B5013" s="2" t="s">
        <v>2997</v>
      </c>
      <c r="C5013" s="2">
        <v>472.33460000000002</v>
      </c>
      <c r="D5013" s="2">
        <f>HYPERLINK("http://mcb-m6.bioreg.kyushu-u.ac.jp/M3/20110502/F51194/518/1", 37.05)</f>
        <v>37.049999999999997</v>
      </c>
      <c r="E5013" s="2">
        <v>10.95</v>
      </c>
      <c r="F5013" s="2">
        <v>2</v>
      </c>
      <c r="G5013" s="2" t="s">
        <v>14</v>
      </c>
    </row>
    <row r="5014" spans="1:9" x14ac:dyDescent="0.2">
      <c r="A5014" s="2" t="s">
        <v>3520</v>
      </c>
      <c r="B5014" s="2" t="s">
        <v>3048</v>
      </c>
      <c r="C5014" s="2">
        <v>732.53769999999997</v>
      </c>
      <c r="D5014" s="2">
        <f>HYPERLINK("http://mcb-m6.bioreg.kyushu-u.ac.jp/M3/20110502/F51194/1789/1", 40)</f>
        <v>40</v>
      </c>
      <c r="E5014" s="2">
        <v>20.78</v>
      </c>
      <c r="F5014" s="2">
        <v>2</v>
      </c>
      <c r="G5014" s="2" t="s">
        <v>14</v>
      </c>
      <c r="H5014" s="2" t="s">
        <v>4904</v>
      </c>
    </row>
    <row r="5015" spans="1:9" x14ac:dyDescent="0.2">
      <c r="A5015" s="2" t="s">
        <v>3520</v>
      </c>
      <c r="B5015" s="2" t="s">
        <v>2279</v>
      </c>
      <c r="C5015" s="2">
        <v>708.44569999999999</v>
      </c>
      <c r="D5015" s="2">
        <f>HYPERLINK("http://mcb-m6.bioreg.kyushu-u.ac.jp/M3/20110502/F51194/1640/1", 47.33)</f>
        <v>47.33</v>
      </c>
      <c r="E5015" s="2">
        <v>40.6</v>
      </c>
      <c r="F5015" s="2">
        <v>2</v>
      </c>
      <c r="G5015" s="2" t="s">
        <v>14</v>
      </c>
      <c r="I5015" s="2" t="s">
        <v>4903</v>
      </c>
    </row>
    <row r="5016" spans="1:9" x14ac:dyDescent="0.2">
      <c r="A5016" s="2" t="s">
        <v>3520</v>
      </c>
      <c r="B5016" s="2" t="s">
        <v>2997</v>
      </c>
      <c r="C5016" s="2">
        <v>472.4151</v>
      </c>
      <c r="D5016" s="2">
        <f>HYPERLINK("http://mcb-m6.bioreg.kyushu-u.ac.jp/M3/20110502/F51184/463/1", 51.65)</f>
        <v>51.65</v>
      </c>
      <c r="E5016" s="2">
        <v>8.43</v>
      </c>
      <c r="F5016" s="2">
        <v>2</v>
      </c>
      <c r="G5016" s="2" t="s">
        <v>14</v>
      </c>
    </row>
    <row r="5017" spans="1:9" x14ac:dyDescent="0.2">
      <c r="A5017" s="2" t="s">
        <v>3520</v>
      </c>
      <c r="B5017" s="2" t="s">
        <v>2279</v>
      </c>
      <c r="C5017" s="2">
        <v>708.57619999999997</v>
      </c>
      <c r="D5017" s="2">
        <f>HYPERLINK("http://mcb-m6.bioreg.kyushu-u.ac.jp/M3/20110502/F51184/1636/1", 60.47)</f>
        <v>60.47</v>
      </c>
      <c r="E5017" s="2">
        <v>44.45</v>
      </c>
      <c r="F5017" s="2">
        <v>2</v>
      </c>
      <c r="G5017" s="2" t="s">
        <v>14</v>
      </c>
      <c r="I5017" s="2" t="s">
        <v>4903</v>
      </c>
    </row>
    <row r="5018" spans="1:9" x14ac:dyDescent="0.2">
      <c r="A5018" s="2" t="s">
        <v>3520</v>
      </c>
      <c r="B5018" s="2" t="s">
        <v>3193</v>
      </c>
      <c r="C5018" s="2">
        <v>713.43870000000004</v>
      </c>
      <c r="D5018" s="2">
        <f>HYPERLINK("http://mcb-m6.bioreg.kyushu-u.ac.jp/M3/20110502/F51194/1674/1", 67.75)</f>
        <v>67.75</v>
      </c>
      <c r="E5018" s="2">
        <v>56.04</v>
      </c>
      <c r="F5018" s="2">
        <v>2</v>
      </c>
      <c r="G5018" s="2" t="s">
        <v>14</v>
      </c>
    </row>
    <row r="5019" spans="1:9" x14ac:dyDescent="0.2">
      <c r="A5019" s="2" t="s">
        <v>3520</v>
      </c>
      <c r="B5019" s="2" t="s">
        <v>1195</v>
      </c>
      <c r="C5019" s="2">
        <v>661.57920000000001</v>
      </c>
      <c r="D5019" s="2">
        <f>HYPERLINK("http://mcb-m6.bioreg.kyushu-u.ac.jp/M3/20110502/F51194/1356/1", 78.01)</f>
        <v>78.010000000000005</v>
      </c>
      <c r="E5019" s="2">
        <v>63.85</v>
      </c>
      <c r="F5019" s="2">
        <v>2</v>
      </c>
      <c r="G5019" s="2" t="s">
        <v>14</v>
      </c>
    </row>
    <row r="5020" spans="1:9" x14ac:dyDescent="0.2">
      <c r="A5020" s="2" t="s">
        <v>4415</v>
      </c>
      <c r="B5020" s="2" t="s">
        <v>2276</v>
      </c>
      <c r="C5020" s="2">
        <v>740.79859999999996</v>
      </c>
      <c r="D5020" s="2">
        <f>HYPERLINK("http://mcb-m6.bioreg.kyushu-u.ac.jp/M3/20110414/F50957/1903/1", 42.13)</f>
        <v>42.13</v>
      </c>
      <c r="E5020" s="2">
        <v>28.38</v>
      </c>
      <c r="F5020" s="2">
        <v>2</v>
      </c>
      <c r="G5020" s="2" t="s">
        <v>11</v>
      </c>
    </row>
    <row r="5021" spans="1:9" x14ac:dyDescent="0.2">
      <c r="A5021" s="2" t="s">
        <v>4415</v>
      </c>
      <c r="B5021" s="2" t="s">
        <v>2276</v>
      </c>
      <c r="C5021" s="2">
        <v>740.24469999999997</v>
      </c>
      <c r="D5021" s="2">
        <f>HYPERLINK("http://mcb-m6.bioreg.kyushu-u.ac.jp/M3/20110414/F50957/1893/1", 64.96)</f>
        <v>64.959999999999994</v>
      </c>
      <c r="E5021" s="2">
        <v>49.7</v>
      </c>
      <c r="F5021" s="2">
        <v>2</v>
      </c>
      <c r="G5021" s="2" t="s">
        <v>11</v>
      </c>
    </row>
    <row r="5022" spans="1:9" x14ac:dyDescent="0.2">
      <c r="A5022" s="2" t="s">
        <v>4415</v>
      </c>
      <c r="B5022" s="2" t="s">
        <v>2510</v>
      </c>
      <c r="C5022" s="2">
        <v>844.75959999999998</v>
      </c>
      <c r="D5022" s="2">
        <f>HYPERLINK("http://mcb-m6.bioreg.kyushu-u.ac.jp/M3/20110414/F50957/2544/1", 98.15)</f>
        <v>98.15</v>
      </c>
      <c r="E5022" s="2">
        <v>78.13</v>
      </c>
      <c r="F5022" s="2">
        <v>2</v>
      </c>
      <c r="G5022" s="2" t="s">
        <v>11</v>
      </c>
    </row>
    <row r="5023" spans="1:9" x14ac:dyDescent="0.2">
      <c r="A5023" s="2" t="s">
        <v>4415</v>
      </c>
      <c r="B5023" s="2" t="s">
        <v>2594</v>
      </c>
      <c r="C5023" s="2">
        <v>540.51210000000003</v>
      </c>
      <c r="D5023" s="2">
        <f>HYPERLINK("http://mcb-m6.bioreg.kyushu-u.ac.jp/M3/20110414/F50959/692/1", 40.41)</f>
        <v>40.409999999999997</v>
      </c>
      <c r="E5023" s="2">
        <v>18.39</v>
      </c>
      <c r="F5023" s="2">
        <v>2</v>
      </c>
      <c r="G5023" s="2" t="s">
        <v>12</v>
      </c>
    </row>
    <row r="5024" spans="1:9" x14ac:dyDescent="0.2">
      <c r="A5024" s="2" t="s">
        <v>4415</v>
      </c>
      <c r="B5024" s="2" t="s">
        <v>2276</v>
      </c>
      <c r="C5024" s="2">
        <v>740.22270000000003</v>
      </c>
      <c r="D5024" s="2">
        <f>HYPERLINK("http://mcb-m6.bioreg.kyushu-u.ac.jp/M3/20110414/F50959/1870/1", 49.31)</f>
        <v>49.31</v>
      </c>
      <c r="E5024" s="2">
        <v>32.299999999999997</v>
      </c>
      <c r="F5024" s="2">
        <v>2</v>
      </c>
      <c r="G5024" s="2" t="s">
        <v>12</v>
      </c>
    </row>
    <row r="5025" spans="1:9" x14ac:dyDescent="0.2">
      <c r="A5025" s="2" t="s">
        <v>4415</v>
      </c>
      <c r="B5025" s="2" t="s">
        <v>2276</v>
      </c>
      <c r="C5025" s="2">
        <v>740.86159999999995</v>
      </c>
      <c r="D5025" s="2">
        <f>HYPERLINK("http://mcb-m6.bioreg.kyushu-u.ac.jp/M3/20110414/F50959/1882/1", 55.6)</f>
        <v>55.6</v>
      </c>
      <c r="E5025" s="2">
        <v>27.87</v>
      </c>
      <c r="F5025" s="2">
        <v>2</v>
      </c>
      <c r="G5025" s="2" t="s">
        <v>12</v>
      </c>
    </row>
    <row r="5026" spans="1:9" x14ac:dyDescent="0.2">
      <c r="A5026" s="2" t="s">
        <v>4415</v>
      </c>
      <c r="B5026" s="2" t="s">
        <v>2276</v>
      </c>
      <c r="C5026" s="2">
        <v>740.59619999999995</v>
      </c>
      <c r="D5026" s="2">
        <f>HYPERLINK("http://mcb-m6.bioreg.kyushu-u.ac.jp/M3/20110502/F51189/1829/1", 66.68)</f>
        <v>66.680000000000007</v>
      </c>
      <c r="E5026" s="2">
        <v>47.99</v>
      </c>
      <c r="F5026" s="2">
        <v>2</v>
      </c>
      <c r="G5026" s="2" t="s">
        <v>13</v>
      </c>
    </row>
    <row r="5027" spans="1:9" x14ac:dyDescent="0.2">
      <c r="A5027" s="2" t="s">
        <v>4415</v>
      </c>
      <c r="B5027" s="2" t="s">
        <v>2276</v>
      </c>
      <c r="C5027" s="2">
        <v>740.58169999999996</v>
      </c>
      <c r="D5027" s="2">
        <f>HYPERLINK("http://mcb-m6.bioreg.kyushu-u.ac.jp/M3/20110502/F51184/1844/1", 43.32)</f>
        <v>43.32</v>
      </c>
      <c r="E5027" s="2">
        <v>28.47</v>
      </c>
      <c r="F5027" s="2">
        <v>2</v>
      </c>
      <c r="G5027" s="2" t="s">
        <v>14</v>
      </c>
    </row>
    <row r="5028" spans="1:9" x14ac:dyDescent="0.2">
      <c r="A5028" s="2" t="s">
        <v>3596</v>
      </c>
      <c r="B5028" s="2" t="s">
        <v>486</v>
      </c>
      <c r="C5028" s="2">
        <v>597.80219999999997</v>
      </c>
      <c r="D5028" s="2">
        <f>HYPERLINK("http://mcb-m6.bioreg.kyushu-u.ac.jp/M3/20110411/F50892/1636/1", 42.92)</f>
        <v>42.92</v>
      </c>
      <c r="E5028" s="2">
        <v>23.3</v>
      </c>
      <c r="F5028" s="2">
        <v>2</v>
      </c>
      <c r="G5028" s="2" t="s">
        <v>9</v>
      </c>
      <c r="I5028" s="2" t="s">
        <v>4923</v>
      </c>
    </row>
    <row r="5029" spans="1:9" x14ac:dyDescent="0.2">
      <c r="A5029" s="2" t="s">
        <v>3596</v>
      </c>
      <c r="B5029" s="2" t="s">
        <v>1220</v>
      </c>
      <c r="C5029" s="2">
        <v>1057.615</v>
      </c>
      <c r="D5029" s="2">
        <f>HYPERLINK("http://mcb-m6.bioreg.kyushu-u.ac.jp/M3/20110411/F50892/3245/1", 67.87)</f>
        <v>67.87</v>
      </c>
      <c r="E5029" s="2">
        <v>41.28</v>
      </c>
      <c r="F5029" s="2">
        <v>2</v>
      </c>
      <c r="G5029" s="2" t="s">
        <v>9</v>
      </c>
      <c r="I5029" s="2" t="s">
        <v>4934</v>
      </c>
    </row>
    <row r="5030" spans="1:9" x14ac:dyDescent="0.2">
      <c r="A5030" s="2" t="s">
        <v>3596</v>
      </c>
      <c r="B5030" s="2" t="s">
        <v>1220</v>
      </c>
      <c r="C5030" s="2">
        <v>1057.614</v>
      </c>
      <c r="D5030" s="2">
        <f>HYPERLINK("http://mcb-m6.bioreg.kyushu-u.ac.jp/M3/20110414/F50945/3261/1", 74.8)</f>
        <v>74.8</v>
      </c>
      <c r="E5030" s="2">
        <v>46.95</v>
      </c>
      <c r="F5030" s="2">
        <v>2</v>
      </c>
      <c r="G5030" s="2" t="s">
        <v>11</v>
      </c>
      <c r="I5030" s="2" t="s">
        <v>4934</v>
      </c>
    </row>
    <row r="5031" spans="1:9" x14ac:dyDescent="0.2">
      <c r="A5031" s="2" t="s">
        <v>3596</v>
      </c>
      <c r="B5031" s="2" t="s">
        <v>1220</v>
      </c>
      <c r="C5031" s="2">
        <v>1057.7070000000001</v>
      </c>
      <c r="D5031" s="2">
        <f>HYPERLINK("http://mcb-m6.bioreg.kyushu-u.ac.jp/M3/20110414/F50946/3309/1", 59.49)</f>
        <v>59.49</v>
      </c>
      <c r="E5031" s="2">
        <v>41.85</v>
      </c>
      <c r="F5031" s="2">
        <v>2</v>
      </c>
      <c r="G5031" s="2" t="s">
        <v>12</v>
      </c>
      <c r="I5031" s="2" t="s">
        <v>4934</v>
      </c>
    </row>
    <row r="5032" spans="1:9" x14ac:dyDescent="0.2">
      <c r="A5032" s="2" t="s">
        <v>4090</v>
      </c>
      <c r="B5032" s="2" t="s">
        <v>1533</v>
      </c>
      <c r="C5032" s="2">
        <v>820.41060000000004</v>
      </c>
      <c r="D5032" s="2">
        <f>HYPERLINK("http://mcb-m6.bioreg.kyushu-u.ac.jp/M3/20110411/F50892/2549/1", 89.22)</f>
        <v>89.22</v>
      </c>
      <c r="E5032" s="2">
        <v>81.28</v>
      </c>
      <c r="F5032" s="2">
        <v>2</v>
      </c>
      <c r="G5032" s="2" t="s">
        <v>9</v>
      </c>
    </row>
    <row r="5033" spans="1:9" x14ac:dyDescent="0.2">
      <c r="A5033" s="2" t="s">
        <v>4090</v>
      </c>
      <c r="B5033" s="2" t="s">
        <v>3074</v>
      </c>
      <c r="C5033" s="2">
        <v>977.19709999999998</v>
      </c>
      <c r="D5033" s="2">
        <f>HYPERLINK("http://mcb-m6.bioreg.kyushu-u.ac.jp/M3/20110502/F51182/3060/1", 42.13)</f>
        <v>42.13</v>
      </c>
      <c r="E5033" s="2">
        <v>20.04</v>
      </c>
      <c r="F5033" s="2">
        <v>2</v>
      </c>
      <c r="G5033" s="2" t="s">
        <v>14</v>
      </c>
    </row>
    <row r="5034" spans="1:9" x14ac:dyDescent="0.2">
      <c r="A5034" s="2" t="s">
        <v>3877</v>
      </c>
      <c r="B5034" s="2" t="s">
        <v>1009</v>
      </c>
      <c r="C5034" s="2">
        <v>621.81020000000001</v>
      </c>
      <c r="D5034" s="2">
        <f>HYPERLINK("http://mcb-m6.bioreg.kyushu-u.ac.jp/M3/20110411/F50892/1730/1", 58.71)</f>
        <v>58.71</v>
      </c>
      <c r="E5034" s="2">
        <v>43.15</v>
      </c>
      <c r="F5034" s="2">
        <v>2</v>
      </c>
      <c r="G5034" s="2" t="s">
        <v>9</v>
      </c>
    </row>
    <row r="5035" spans="1:9" x14ac:dyDescent="0.2">
      <c r="A5035" s="2" t="s">
        <v>4213</v>
      </c>
      <c r="B5035" s="2" t="s">
        <v>1810</v>
      </c>
      <c r="C5035" s="2">
        <v>680.91420000000005</v>
      </c>
      <c r="D5035" s="2">
        <f>HYPERLINK("http://mcb-m6.bioreg.kyushu-u.ac.jp/M3/20110411/F50917/1611/1", 40.61)</f>
        <v>40.61</v>
      </c>
      <c r="E5035" s="2">
        <v>20.56</v>
      </c>
      <c r="F5035" s="2">
        <v>2</v>
      </c>
      <c r="G5035" s="2" t="s">
        <v>10</v>
      </c>
    </row>
    <row r="5036" spans="1:9" x14ac:dyDescent="0.2">
      <c r="A5036" s="2" t="s">
        <v>4213</v>
      </c>
      <c r="B5036" s="2" t="s">
        <v>1980</v>
      </c>
      <c r="C5036" s="2">
        <v>855.36869999999999</v>
      </c>
      <c r="D5036" s="2">
        <f>HYPERLINK("http://mcb-m6.bioreg.kyushu-u.ac.jp/M3/20110411/F50897/2566/1", 56.48)</f>
        <v>56.48</v>
      </c>
      <c r="E5036" s="2">
        <v>31.72</v>
      </c>
      <c r="F5036" s="2">
        <v>2</v>
      </c>
      <c r="G5036" s="2" t="s">
        <v>10</v>
      </c>
    </row>
    <row r="5037" spans="1:9" x14ac:dyDescent="0.2">
      <c r="A5037" s="2" t="s">
        <v>4213</v>
      </c>
      <c r="B5037" s="2" t="s">
        <v>1980</v>
      </c>
      <c r="C5037" s="2">
        <v>855.3922</v>
      </c>
      <c r="D5037" s="2">
        <f>HYPERLINK("http://mcb-m6.bioreg.kyushu-u.ac.jp/M3/20110411/F50917/2643/1", 89.34)</f>
        <v>89.34</v>
      </c>
      <c r="E5037" s="2">
        <v>67.3</v>
      </c>
      <c r="F5037" s="2">
        <v>2</v>
      </c>
      <c r="G5037" s="2" t="s">
        <v>10</v>
      </c>
    </row>
    <row r="5038" spans="1:9" x14ac:dyDescent="0.2">
      <c r="A5038" s="2" t="s">
        <v>4213</v>
      </c>
      <c r="B5038" s="2" t="s">
        <v>1980</v>
      </c>
      <c r="C5038" s="2">
        <v>855.20169999999996</v>
      </c>
      <c r="D5038" s="2">
        <f>HYPERLINK("http://mcb-m6.bioreg.kyushu-u.ac.jp/M3/20110414/F50959/2691/1", 39.78)</f>
        <v>39.78</v>
      </c>
      <c r="E5038" s="2">
        <v>23.65</v>
      </c>
      <c r="F5038" s="2">
        <v>2</v>
      </c>
      <c r="G5038" s="2" t="s">
        <v>12</v>
      </c>
    </row>
    <row r="5039" spans="1:9" x14ac:dyDescent="0.2">
      <c r="A5039" s="2" t="s">
        <v>4213</v>
      </c>
      <c r="B5039" s="2" t="s">
        <v>1810</v>
      </c>
      <c r="C5039" s="2">
        <v>680.49570000000006</v>
      </c>
      <c r="D5039" s="2">
        <f>HYPERLINK("http://mcb-m6.bioreg.kyushu-u.ac.jp/M3/20110414/F50958/1577/1", 42.09)</f>
        <v>42.09</v>
      </c>
      <c r="E5039" s="2">
        <v>28.88</v>
      </c>
      <c r="F5039" s="2">
        <v>2</v>
      </c>
      <c r="G5039" s="2" t="s">
        <v>12</v>
      </c>
    </row>
    <row r="5040" spans="1:9" x14ac:dyDescent="0.2">
      <c r="A5040" s="2" t="s">
        <v>4213</v>
      </c>
      <c r="B5040" s="2" t="s">
        <v>2743</v>
      </c>
      <c r="C5040" s="2">
        <v>498.8426</v>
      </c>
      <c r="D5040" s="2">
        <f>HYPERLINK("http://mcb-m6.bioreg.kyushu-u.ac.jp/M3/20110414/F50958/613/1", 72.64)</f>
        <v>72.64</v>
      </c>
      <c r="E5040" s="2">
        <v>40.799999999999997</v>
      </c>
      <c r="F5040" s="2">
        <v>2</v>
      </c>
      <c r="G5040" s="2" t="s">
        <v>12</v>
      </c>
    </row>
    <row r="5041" spans="1:8" x14ac:dyDescent="0.2">
      <c r="A5041" s="2" t="s">
        <v>4213</v>
      </c>
      <c r="B5041" s="2" t="s">
        <v>1980</v>
      </c>
      <c r="C5041" s="2">
        <v>855.54020000000003</v>
      </c>
      <c r="D5041" s="2">
        <f>HYPERLINK("http://mcb-m6.bioreg.kyushu-u.ac.jp/M3/20110414/F50958/2822/1", 89.49)</f>
        <v>89.49</v>
      </c>
      <c r="E5041" s="2">
        <v>80.55</v>
      </c>
      <c r="F5041" s="2">
        <v>2</v>
      </c>
      <c r="G5041" s="2" t="s">
        <v>12</v>
      </c>
    </row>
    <row r="5042" spans="1:8" x14ac:dyDescent="0.2">
      <c r="A5042" s="2" t="s">
        <v>4213</v>
      </c>
      <c r="B5042" s="2" t="s">
        <v>2743</v>
      </c>
      <c r="C5042" s="2">
        <v>499.26060000000001</v>
      </c>
      <c r="D5042" s="2">
        <f>HYPERLINK("http://mcb-m6.bioreg.kyushu-u.ac.jp/M3/20110502/F51194/614/1", 40.41)</f>
        <v>40.409999999999997</v>
      </c>
      <c r="E5042" s="2">
        <v>16.13</v>
      </c>
      <c r="F5042" s="2">
        <v>2</v>
      </c>
      <c r="G5042" s="2" t="s">
        <v>14</v>
      </c>
    </row>
    <row r="5043" spans="1:8" x14ac:dyDescent="0.2">
      <c r="A5043" s="2" t="s">
        <v>4213</v>
      </c>
      <c r="B5043" s="2" t="s">
        <v>2743</v>
      </c>
      <c r="C5043" s="2">
        <v>499.25060000000002</v>
      </c>
      <c r="D5043" s="2">
        <f>HYPERLINK("http://mcb-m6.bioreg.kyushu-u.ac.jp/M3/20110502/F51193/716/1", 60.63)</f>
        <v>60.63</v>
      </c>
      <c r="E5043" s="2">
        <v>34.49</v>
      </c>
      <c r="F5043" s="2">
        <v>2</v>
      </c>
      <c r="G5043" s="2" t="s">
        <v>14</v>
      </c>
    </row>
    <row r="5044" spans="1:8" x14ac:dyDescent="0.2">
      <c r="A5044" s="2" t="s">
        <v>4213</v>
      </c>
      <c r="B5044" s="2" t="s">
        <v>2743</v>
      </c>
      <c r="C5044" s="2">
        <v>498.95609999999999</v>
      </c>
      <c r="D5044" s="2">
        <f>HYPERLINK("http://mcb-m6.bioreg.kyushu-u.ac.jp/M3/20110502/F51193/711/1", 69.96)</f>
        <v>69.959999999999994</v>
      </c>
      <c r="E5044" s="2">
        <v>28.67</v>
      </c>
      <c r="F5044" s="2">
        <v>2</v>
      </c>
      <c r="G5044" s="2" t="s">
        <v>14</v>
      </c>
    </row>
    <row r="5045" spans="1:8" x14ac:dyDescent="0.2">
      <c r="A5045" s="2" t="s">
        <v>4312</v>
      </c>
      <c r="B5045" s="2" t="s">
        <v>2064</v>
      </c>
      <c r="C5045" s="2">
        <v>897.5557</v>
      </c>
      <c r="D5045" s="2">
        <f>HYPERLINK("http://mcb-m6.bioreg.kyushu-u.ac.jp/M3/20110411/F50917/2880/1", 71)</f>
        <v>71</v>
      </c>
      <c r="E5045" s="2">
        <v>60.37</v>
      </c>
      <c r="F5045" s="2">
        <v>2</v>
      </c>
      <c r="G5045" s="2" t="s">
        <v>10</v>
      </c>
    </row>
    <row r="5046" spans="1:8" x14ac:dyDescent="0.2">
      <c r="A5046" s="2" t="s">
        <v>4312</v>
      </c>
      <c r="B5046" s="2" t="s">
        <v>2111</v>
      </c>
      <c r="C5046" s="2">
        <v>736.52919999999995</v>
      </c>
      <c r="D5046" s="2">
        <f>HYPERLINK("http://mcb-m6.bioreg.kyushu-u.ac.jp/M3/20110411/F50917/1916/1", 84.18)</f>
        <v>84.18</v>
      </c>
      <c r="E5046" s="2">
        <v>65.290000000000006</v>
      </c>
      <c r="F5046" s="2">
        <v>2</v>
      </c>
      <c r="G5046" s="2" t="s">
        <v>10</v>
      </c>
    </row>
    <row r="5047" spans="1:8" x14ac:dyDescent="0.2">
      <c r="A5047" s="2" t="s">
        <v>4312</v>
      </c>
      <c r="B5047" s="2" t="s">
        <v>2128</v>
      </c>
      <c r="C5047" s="2">
        <v>833.03309999999999</v>
      </c>
      <c r="D5047" s="2">
        <f>HYPERLINK("http://mcb-m6.bioreg.kyushu-u.ac.jp/M3/20110411/F50917/2511/1", 91.16)</f>
        <v>91.16</v>
      </c>
      <c r="E5047" s="2">
        <v>75.430000000000007</v>
      </c>
      <c r="F5047" s="2">
        <v>2</v>
      </c>
      <c r="G5047" s="2" t="s">
        <v>10</v>
      </c>
    </row>
    <row r="5048" spans="1:8" x14ac:dyDescent="0.2">
      <c r="A5048" s="2" t="s">
        <v>4312</v>
      </c>
      <c r="B5048" s="2" t="s">
        <v>2111</v>
      </c>
      <c r="C5048" s="2">
        <v>736.52719999999999</v>
      </c>
      <c r="D5048" s="2">
        <f>HYPERLINK("http://mcb-m6.bioreg.kyushu-u.ac.jp/M3/20110414/F50950/2134/1", 51.04)</f>
        <v>51.04</v>
      </c>
      <c r="E5048" s="2">
        <v>36.46</v>
      </c>
      <c r="F5048" s="2">
        <v>2</v>
      </c>
      <c r="G5048" s="2" t="s">
        <v>12</v>
      </c>
    </row>
    <row r="5049" spans="1:8" x14ac:dyDescent="0.2">
      <c r="A5049" s="2" t="s">
        <v>4312</v>
      </c>
      <c r="B5049" s="2" t="s">
        <v>2111</v>
      </c>
      <c r="C5049" s="2">
        <v>736.89919999999995</v>
      </c>
      <c r="D5049" s="2">
        <f>HYPERLINK("http://mcb-m6.bioreg.kyushu-u.ac.jp/M3/20110414/F50948/2039/1", 54.16)</f>
        <v>54.16</v>
      </c>
      <c r="E5049" s="2">
        <v>29.08</v>
      </c>
      <c r="F5049" s="2">
        <v>2</v>
      </c>
      <c r="G5049" s="2" t="s">
        <v>12</v>
      </c>
    </row>
    <row r="5050" spans="1:8" x14ac:dyDescent="0.2">
      <c r="A5050" s="2" t="s">
        <v>4312</v>
      </c>
      <c r="B5050" s="2" t="s">
        <v>2111</v>
      </c>
      <c r="C5050" s="2">
        <v>1454.421</v>
      </c>
      <c r="D5050" s="2">
        <f>HYPERLINK("http://mcb-m6.bioreg.kyushu-u.ac.jp/M3/20110414/F50958/1887/1", 56.2)</f>
        <v>56.2</v>
      </c>
      <c r="E5050" s="2">
        <v>40.729999999999997</v>
      </c>
      <c r="F5050" s="2">
        <v>1</v>
      </c>
      <c r="G5050" s="2" t="s">
        <v>12</v>
      </c>
      <c r="H5050" s="2" t="s">
        <v>4904</v>
      </c>
    </row>
    <row r="5051" spans="1:8" x14ac:dyDescent="0.2">
      <c r="A5051" s="2" t="s">
        <v>4312</v>
      </c>
      <c r="B5051" s="2" t="s">
        <v>2111</v>
      </c>
      <c r="C5051" s="2">
        <v>736.30820000000006</v>
      </c>
      <c r="D5051" s="2">
        <f>HYPERLINK("http://mcb-m6.bioreg.kyushu-u.ac.jp/M3/20110414/F50958/1939/1", 61.38)</f>
        <v>61.38</v>
      </c>
      <c r="E5051" s="2">
        <v>50.13</v>
      </c>
      <c r="F5051" s="2">
        <v>2</v>
      </c>
      <c r="G5051" s="2" t="s">
        <v>12</v>
      </c>
    </row>
    <row r="5052" spans="1:8" x14ac:dyDescent="0.2">
      <c r="A5052" s="2" t="s">
        <v>4312</v>
      </c>
      <c r="B5052" s="2" t="s">
        <v>2111</v>
      </c>
      <c r="C5052" s="2">
        <v>736.33870000000002</v>
      </c>
      <c r="D5052" s="2">
        <f>HYPERLINK("http://mcb-m6.bioreg.kyushu-u.ac.jp/M3/20110414/F50946/1909/1", 62.27)</f>
        <v>62.27</v>
      </c>
      <c r="E5052" s="2">
        <v>48.5</v>
      </c>
      <c r="F5052" s="2">
        <v>2</v>
      </c>
      <c r="G5052" s="2" t="s">
        <v>12</v>
      </c>
    </row>
    <row r="5053" spans="1:8" x14ac:dyDescent="0.2">
      <c r="A5053" s="2" t="s">
        <v>4312</v>
      </c>
      <c r="B5053" s="2" t="s">
        <v>2064</v>
      </c>
      <c r="C5053" s="2">
        <v>896.8107</v>
      </c>
      <c r="D5053" s="2">
        <f>HYPERLINK("http://mcb-m6.bioreg.kyushu-u.ac.jp/M3/20110414/F50958/3076/1", 68.23)</f>
        <v>68.23</v>
      </c>
      <c r="E5053" s="2">
        <v>56.24</v>
      </c>
      <c r="F5053" s="2">
        <v>2</v>
      </c>
      <c r="G5053" s="2" t="s">
        <v>12</v>
      </c>
    </row>
    <row r="5054" spans="1:8" x14ac:dyDescent="0.2">
      <c r="A5054" s="2" t="s">
        <v>4312</v>
      </c>
      <c r="B5054" s="2" t="s">
        <v>2128</v>
      </c>
      <c r="C5054" s="2">
        <v>832.76170000000002</v>
      </c>
      <c r="D5054" s="2">
        <f>HYPERLINK("http://mcb-m6.bioreg.kyushu-u.ac.jp/M3/20110414/F50958/2657/1", 68.88)</f>
        <v>68.88</v>
      </c>
      <c r="E5054" s="2">
        <v>59.06</v>
      </c>
      <c r="F5054" s="2">
        <v>2</v>
      </c>
      <c r="G5054" s="2" t="s">
        <v>12</v>
      </c>
    </row>
    <row r="5055" spans="1:8" x14ac:dyDescent="0.2">
      <c r="A5055" s="2" t="s">
        <v>4312</v>
      </c>
      <c r="B5055" s="2" t="s">
        <v>2111</v>
      </c>
      <c r="C5055" s="2">
        <v>736.52670000000001</v>
      </c>
      <c r="D5055" s="2">
        <f>HYPERLINK("http://mcb-m6.bioreg.kyushu-u.ac.jp/M3/20110414/F50958/1940/1", 71.66)</f>
        <v>71.66</v>
      </c>
      <c r="E5055" s="2">
        <v>51.5</v>
      </c>
      <c r="F5055" s="2">
        <v>2</v>
      </c>
      <c r="G5055" s="2" t="s">
        <v>12</v>
      </c>
    </row>
    <row r="5056" spans="1:8" x14ac:dyDescent="0.2">
      <c r="A5056" s="2" t="s">
        <v>4312</v>
      </c>
      <c r="B5056" s="2" t="s">
        <v>2064</v>
      </c>
      <c r="C5056" s="2">
        <v>897.3827</v>
      </c>
      <c r="D5056" s="2">
        <f>HYPERLINK("http://mcb-m6.bioreg.kyushu-u.ac.jp/M3/20110414/F50958/3081/1", 79.49)</f>
        <v>79.489999999999995</v>
      </c>
      <c r="E5056" s="2">
        <v>65.89</v>
      </c>
      <c r="F5056" s="2">
        <v>2</v>
      </c>
      <c r="G5056" s="2" t="s">
        <v>12</v>
      </c>
    </row>
    <row r="5057" spans="1:9" x14ac:dyDescent="0.2">
      <c r="A5057" s="2" t="s">
        <v>4312</v>
      </c>
      <c r="B5057" s="2" t="s">
        <v>2111</v>
      </c>
      <c r="C5057" s="2">
        <v>736.83870000000002</v>
      </c>
      <c r="D5057" s="2">
        <f>HYPERLINK("http://mcb-m6.bioreg.kyushu-u.ac.jp/M3/20110414/F50958/1942/1", 80.65)</f>
        <v>80.650000000000006</v>
      </c>
      <c r="E5057" s="2">
        <v>62.2</v>
      </c>
      <c r="F5057" s="2">
        <v>2</v>
      </c>
      <c r="G5057" s="2" t="s">
        <v>12</v>
      </c>
    </row>
    <row r="5058" spans="1:9" x14ac:dyDescent="0.2">
      <c r="A5058" s="2" t="s">
        <v>4312</v>
      </c>
      <c r="B5058" s="2" t="s">
        <v>2111</v>
      </c>
      <c r="C5058" s="2">
        <v>736.82259999999997</v>
      </c>
      <c r="D5058" s="2">
        <f>HYPERLINK("http://mcb-m6.bioreg.kyushu-u.ac.jp/M3/20110502/F51183/1875/1", 62.6)</f>
        <v>62.6</v>
      </c>
      <c r="E5058" s="2">
        <v>40.25</v>
      </c>
      <c r="F5058" s="2">
        <v>2</v>
      </c>
      <c r="G5058" s="2" t="s">
        <v>14</v>
      </c>
    </row>
    <row r="5059" spans="1:9" x14ac:dyDescent="0.2">
      <c r="A5059" s="2" t="s">
        <v>4312</v>
      </c>
      <c r="B5059" s="2" t="s">
        <v>2111</v>
      </c>
      <c r="C5059" s="2">
        <v>736.43119999999999</v>
      </c>
      <c r="D5059" s="2">
        <f>HYPERLINK("http://mcb-m6.bioreg.kyushu-u.ac.jp/M3/20110502/F51194/1806/1", 63.71)</f>
        <v>63.71</v>
      </c>
      <c r="E5059" s="2">
        <v>49.23</v>
      </c>
      <c r="F5059" s="2">
        <v>2</v>
      </c>
      <c r="G5059" s="2" t="s">
        <v>14</v>
      </c>
    </row>
    <row r="5060" spans="1:9" x14ac:dyDescent="0.2">
      <c r="A5060" s="2" t="s">
        <v>4312</v>
      </c>
      <c r="B5060" s="2" t="s">
        <v>2128</v>
      </c>
      <c r="C5060" s="2">
        <v>833.07460000000003</v>
      </c>
      <c r="D5060" s="2">
        <f>HYPERLINK("http://mcb-m6.bioreg.kyushu-u.ac.jp/M3/20110502/F51193/2386/1", 99.62)</f>
        <v>99.62</v>
      </c>
      <c r="E5060" s="2">
        <v>81.23</v>
      </c>
      <c r="F5060" s="2">
        <v>2</v>
      </c>
      <c r="G5060" s="2" t="s">
        <v>14</v>
      </c>
    </row>
    <row r="5061" spans="1:9" x14ac:dyDescent="0.2">
      <c r="A5061" s="2" t="s">
        <v>4208</v>
      </c>
      <c r="B5061" s="2" t="s">
        <v>1800</v>
      </c>
      <c r="C5061" s="2">
        <v>718.52369999999996</v>
      </c>
      <c r="D5061" s="2">
        <f>HYPERLINK("http://mcb-m6.bioreg.kyushu-u.ac.jp/M3/20110411/F50901/1943/1", 39.85)</f>
        <v>39.85</v>
      </c>
      <c r="E5061" s="2">
        <v>21.19</v>
      </c>
      <c r="F5061" s="2">
        <v>2</v>
      </c>
      <c r="G5061" s="2" t="s">
        <v>10</v>
      </c>
    </row>
    <row r="5062" spans="1:9" x14ac:dyDescent="0.2">
      <c r="A5062" s="2" t="s">
        <v>4208</v>
      </c>
      <c r="B5062" s="2" t="s">
        <v>1819</v>
      </c>
      <c r="C5062" s="2">
        <v>512.8057</v>
      </c>
      <c r="D5062" s="2">
        <f>HYPERLINK("http://mcb-m6.bioreg.kyushu-u.ac.jp/M3/20110411/F50917/841/1", 41.36)</f>
        <v>41.36</v>
      </c>
      <c r="E5062" s="2">
        <v>22.21</v>
      </c>
      <c r="F5062" s="2">
        <v>2</v>
      </c>
      <c r="G5062" s="2" t="s">
        <v>10</v>
      </c>
    </row>
    <row r="5063" spans="1:9" x14ac:dyDescent="0.2">
      <c r="A5063" s="2" t="s">
        <v>4208</v>
      </c>
      <c r="B5063" s="2" t="s">
        <v>1877</v>
      </c>
      <c r="C5063" s="2">
        <v>642.94320000000005</v>
      </c>
      <c r="D5063" s="2">
        <f>HYPERLINK("http://mcb-m6.bioreg.kyushu-u.ac.jp/M3/20110411/F50917/1426/1", 46.29)</f>
        <v>46.29</v>
      </c>
      <c r="E5063" s="2">
        <v>21.36</v>
      </c>
      <c r="F5063" s="2">
        <v>2</v>
      </c>
      <c r="G5063" s="2" t="s">
        <v>10</v>
      </c>
    </row>
    <row r="5064" spans="1:9" x14ac:dyDescent="0.2">
      <c r="A5064" s="2" t="s">
        <v>4208</v>
      </c>
      <c r="B5064" s="2" t="s">
        <v>1877</v>
      </c>
      <c r="C5064" s="2">
        <v>643.05520000000001</v>
      </c>
      <c r="D5064" s="2">
        <f>HYPERLINK("http://mcb-m6.bioreg.kyushu-u.ac.jp/M3/20110411/F50902/1610/1", 47.84)</f>
        <v>47.84</v>
      </c>
      <c r="E5064" s="2">
        <v>20.59</v>
      </c>
      <c r="F5064" s="2">
        <v>2</v>
      </c>
      <c r="G5064" s="2" t="s">
        <v>10</v>
      </c>
    </row>
    <row r="5065" spans="1:9" x14ac:dyDescent="0.2">
      <c r="A5065" s="2" t="s">
        <v>4208</v>
      </c>
      <c r="B5065" s="2" t="s">
        <v>1945</v>
      </c>
      <c r="C5065" s="2">
        <v>595.91719999999998</v>
      </c>
      <c r="D5065" s="2">
        <f>HYPERLINK("http://mcb-m6.bioreg.kyushu-u.ac.jp/M3/20110411/F50917/1223/1", 52.72)</f>
        <v>52.72</v>
      </c>
      <c r="E5065" s="2">
        <v>25.51</v>
      </c>
      <c r="F5065" s="2">
        <v>2</v>
      </c>
      <c r="G5065" s="2" t="s">
        <v>10</v>
      </c>
      <c r="I5065" s="2" t="s">
        <v>4899</v>
      </c>
    </row>
    <row r="5066" spans="1:9" x14ac:dyDescent="0.2">
      <c r="A5066" s="2" t="s">
        <v>4208</v>
      </c>
      <c r="B5066" s="2" t="s">
        <v>1970</v>
      </c>
      <c r="C5066" s="2">
        <v>550.97609999999997</v>
      </c>
      <c r="D5066" s="2">
        <f>HYPERLINK("http://mcb-m6.bioreg.kyushu-u.ac.jp/M3/20110411/F50917/1009/1", 55.38)</f>
        <v>55.38</v>
      </c>
      <c r="E5066" s="2">
        <v>18.87</v>
      </c>
      <c r="F5066" s="2">
        <v>2</v>
      </c>
      <c r="G5066" s="2" t="s">
        <v>10</v>
      </c>
    </row>
    <row r="5067" spans="1:9" x14ac:dyDescent="0.2">
      <c r="A5067" s="2" t="s">
        <v>4208</v>
      </c>
      <c r="B5067" s="2" t="s">
        <v>2008</v>
      </c>
      <c r="C5067" s="2">
        <v>510.88209999999998</v>
      </c>
      <c r="D5067" s="2">
        <f>HYPERLINK("http://mcb-m6.bioreg.kyushu-u.ac.jp/M3/20110411/F50917/831/1", 60.77)</f>
        <v>60.77</v>
      </c>
      <c r="E5067" s="2">
        <v>29.59</v>
      </c>
      <c r="F5067" s="2">
        <v>2</v>
      </c>
      <c r="G5067" s="2" t="s">
        <v>10</v>
      </c>
    </row>
    <row r="5068" spans="1:9" x14ac:dyDescent="0.2">
      <c r="A5068" s="2" t="s">
        <v>4208</v>
      </c>
      <c r="B5068" s="2" t="s">
        <v>1970</v>
      </c>
      <c r="C5068" s="2">
        <v>551.00710000000004</v>
      </c>
      <c r="D5068" s="2">
        <f>HYPERLINK("http://mcb-m6.bioreg.kyushu-u.ac.jp/M3/20110411/F50902/1274/1", 63.56)</f>
        <v>63.56</v>
      </c>
      <c r="E5068" s="2">
        <v>28.13</v>
      </c>
      <c r="F5068" s="2">
        <v>2</v>
      </c>
      <c r="G5068" s="2" t="s">
        <v>10</v>
      </c>
    </row>
    <row r="5069" spans="1:9" x14ac:dyDescent="0.2">
      <c r="A5069" s="2" t="s">
        <v>4208</v>
      </c>
      <c r="B5069" s="2" t="s">
        <v>2008</v>
      </c>
      <c r="C5069" s="2">
        <v>510.89359999999999</v>
      </c>
      <c r="D5069" s="2">
        <f>HYPERLINK("http://mcb-m6.bioreg.kyushu-u.ac.jp/M3/20110411/F50902/1171/1", 65.27)</f>
        <v>65.27</v>
      </c>
      <c r="E5069" s="2">
        <v>31.07</v>
      </c>
      <c r="F5069" s="2">
        <v>2</v>
      </c>
      <c r="G5069" s="2" t="s">
        <v>10</v>
      </c>
    </row>
    <row r="5070" spans="1:9" x14ac:dyDescent="0.2">
      <c r="A5070" s="2" t="s">
        <v>4208</v>
      </c>
      <c r="B5070" s="2" t="s">
        <v>2062</v>
      </c>
      <c r="C5070" s="2">
        <v>779.99019999999996</v>
      </c>
      <c r="D5070" s="2">
        <f>HYPERLINK("http://mcb-m6.bioreg.kyushu-u.ac.jp/M3/20110411/F50917/2193/1", 70.84)</f>
        <v>70.84</v>
      </c>
      <c r="E5070" s="2">
        <v>54.64</v>
      </c>
      <c r="F5070" s="2">
        <v>2</v>
      </c>
      <c r="G5070" s="2" t="s">
        <v>10</v>
      </c>
    </row>
    <row r="5071" spans="1:9" x14ac:dyDescent="0.2">
      <c r="A5071" s="2" t="s">
        <v>4208</v>
      </c>
      <c r="B5071" s="2" t="s">
        <v>2085</v>
      </c>
      <c r="C5071" s="2">
        <v>870.6046</v>
      </c>
      <c r="D5071" s="2">
        <f>HYPERLINK("http://mcb-m6.bioreg.kyushu-u.ac.jp/M3/20110411/F50917/4168/1", 76.29)</f>
        <v>76.290000000000006</v>
      </c>
      <c r="E5071" s="2">
        <v>64.42</v>
      </c>
      <c r="F5071" s="2">
        <v>3</v>
      </c>
      <c r="G5071" s="2" t="s">
        <v>10</v>
      </c>
    </row>
    <row r="5072" spans="1:9" x14ac:dyDescent="0.2">
      <c r="A5072" s="2" t="s">
        <v>4208</v>
      </c>
      <c r="B5072" s="2" t="s">
        <v>2089</v>
      </c>
      <c r="C5072" s="2">
        <v>537.96370000000002</v>
      </c>
      <c r="D5072" s="2">
        <f>HYPERLINK("http://mcb-m6.bioreg.kyushu-u.ac.jp/M3/20110411/F50902/1248/1", 77.16)</f>
        <v>77.16</v>
      </c>
      <c r="E5072" s="2">
        <v>53.42</v>
      </c>
      <c r="F5072" s="2">
        <v>2</v>
      </c>
      <c r="G5072" s="2" t="s">
        <v>10</v>
      </c>
      <c r="I5072" s="2" t="s">
        <v>4893</v>
      </c>
    </row>
    <row r="5073" spans="1:9" x14ac:dyDescent="0.2">
      <c r="A5073" s="2" t="s">
        <v>4208</v>
      </c>
      <c r="B5073" s="2" t="s">
        <v>2062</v>
      </c>
      <c r="C5073" s="2">
        <v>779.88170000000002</v>
      </c>
      <c r="D5073" s="2">
        <f>HYPERLINK("http://mcb-m6.bioreg.kyushu-u.ac.jp/M3/20110411/F50918/2065/1", 86.14)</f>
        <v>86.14</v>
      </c>
      <c r="E5073" s="2">
        <v>65.709999999999994</v>
      </c>
      <c r="F5073" s="2">
        <v>2</v>
      </c>
      <c r="G5073" s="2" t="s">
        <v>10</v>
      </c>
    </row>
    <row r="5074" spans="1:9" x14ac:dyDescent="0.2">
      <c r="A5074" s="2" t="s">
        <v>4208</v>
      </c>
      <c r="B5074" s="2" t="s">
        <v>2062</v>
      </c>
      <c r="C5074" s="2">
        <v>780.09220000000005</v>
      </c>
      <c r="D5074" s="2">
        <f>HYPERLINK("http://mcb-m6.bioreg.kyushu-u.ac.jp/M3/20110411/F50902/2242/1", 88.13)</f>
        <v>88.13</v>
      </c>
      <c r="E5074" s="2">
        <v>60</v>
      </c>
      <c r="F5074" s="2">
        <v>2</v>
      </c>
      <c r="G5074" s="2" t="s">
        <v>10</v>
      </c>
    </row>
    <row r="5075" spans="1:9" x14ac:dyDescent="0.2">
      <c r="A5075" s="2" t="s">
        <v>4208</v>
      </c>
      <c r="B5075" s="2" t="s">
        <v>2125</v>
      </c>
      <c r="C5075" s="2">
        <v>894.55110000000002</v>
      </c>
      <c r="D5075" s="2">
        <f>HYPERLINK("http://mcb-m6.bioreg.kyushu-u.ac.jp/M3/20110411/F50917/2861/1", 89.93)</f>
        <v>89.93</v>
      </c>
      <c r="E5075" s="2">
        <v>70.27</v>
      </c>
      <c r="F5075" s="2">
        <v>2</v>
      </c>
      <c r="G5075" s="2" t="s">
        <v>10</v>
      </c>
    </row>
    <row r="5076" spans="1:9" x14ac:dyDescent="0.2">
      <c r="A5076" s="2" t="s">
        <v>4208</v>
      </c>
      <c r="B5076" s="2" t="s">
        <v>2085</v>
      </c>
      <c r="C5076" s="2">
        <v>1305.7629999999999</v>
      </c>
      <c r="D5076" s="2">
        <f>HYPERLINK("http://mcb-m6.bioreg.kyushu-u.ac.jp/M3/20110411/F50917/4169/1", 94.86)</f>
        <v>94.86</v>
      </c>
      <c r="E5076" s="2">
        <v>81.540000000000006</v>
      </c>
      <c r="F5076" s="2">
        <v>2</v>
      </c>
      <c r="G5076" s="2" t="s">
        <v>10</v>
      </c>
    </row>
    <row r="5077" spans="1:9" x14ac:dyDescent="0.2">
      <c r="A5077" s="2" t="s">
        <v>4208</v>
      </c>
      <c r="B5077" s="2" t="s">
        <v>2141</v>
      </c>
      <c r="C5077" s="2">
        <v>1116.3810000000001</v>
      </c>
      <c r="D5077" s="2">
        <f>HYPERLINK("http://mcb-m6.bioreg.kyushu-u.ac.jp/M3/20110411/F50917/3706/1", 111.7)</f>
        <v>111.7</v>
      </c>
      <c r="E5077" s="2">
        <v>102.92</v>
      </c>
      <c r="F5077" s="2">
        <v>2</v>
      </c>
      <c r="G5077" s="2" t="s">
        <v>10</v>
      </c>
    </row>
    <row r="5078" spans="1:9" x14ac:dyDescent="0.2">
      <c r="A5078" s="2" t="s">
        <v>4208</v>
      </c>
      <c r="B5078" s="2" t="s">
        <v>2557</v>
      </c>
      <c r="C5078" s="2">
        <v>962.29600000000005</v>
      </c>
      <c r="D5078" s="2">
        <f>HYPERLINK("http://mcb-m6.bioreg.kyushu-u.ac.jp/M3/20110414/F50958/553/1", 37.83)</f>
        <v>37.83</v>
      </c>
      <c r="E5078" s="2">
        <v>18.95</v>
      </c>
      <c r="F5078" s="2">
        <v>1</v>
      </c>
      <c r="G5078" s="2" t="s">
        <v>12</v>
      </c>
    </row>
    <row r="5079" spans="1:9" x14ac:dyDescent="0.2">
      <c r="A5079" s="2" t="s">
        <v>4208</v>
      </c>
      <c r="B5079" s="2" t="s">
        <v>2592</v>
      </c>
      <c r="C5079" s="2">
        <v>1067.296</v>
      </c>
      <c r="D5079" s="2">
        <f>HYPERLINK("http://mcb-m6.bioreg.kyushu-u.ac.jp/M3/20110414/F50958/793/1", 40.18)</f>
        <v>40.18</v>
      </c>
      <c r="E5079" s="2">
        <v>26.24</v>
      </c>
      <c r="F5079" s="2">
        <v>1</v>
      </c>
      <c r="G5079" s="2" t="s">
        <v>12</v>
      </c>
      <c r="I5079" s="2" t="s">
        <v>4892</v>
      </c>
    </row>
    <row r="5080" spans="1:9" x14ac:dyDescent="0.2">
      <c r="A5080" s="2" t="s">
        <v>4208</v>
      </c>
      <c r="B5080" s="2" t="s">
        <v>2062</v>
      </c>
      <c r="C5080" s="2">
        <v>779.92169999999999</v>
      </c>
      <c r="D5080" s="2">
        <f>HYPERLINK("http://mcb-m6.bioreg.kyushu-u.ac.jp/M3/20110414/F50950/2369/1", 40.62)</f>
        <v>40.619999999999997</v>
      </c>
      <c r="E5080" s="2">
        <v>19.91</v>
      </c>
      <c r="F5080" s="2">
        <v>2</v>
      </c>
      <c r="G5080" s="2" t="s">
        <v>12</v>
      </c>
    </row>
    <row r="5081" spans="1:9" x14ac:dyDescent="0.2">
      <c r="A5081" s="2" t="s">
        <v>4208</v>
      </c>
      <c r="B5081" s="2" t="s">
        <v>1877</v>
      </c>
      <c r="C5081" s="2">
        <v>642.71510000000001</v>
      </c>
      <c r="D5081" s="2">
        <f>HYPERLINK("http://mcb-m6.bioreg.kyushu-u.ac.jp/M3/20110414/F50959/1234/1", 42.91)</f>
        <v>42.91</v>
      </c>
      <c r="E5081" s="2">
        <v>23.2</v>
      </c>
      <c r="F5081" s="2">
        <v>2</v>
      </c>
      <c r="G5081" s="2" t="s">
        <v>12</v>
      </c>
    </row>
    <row r="5082" spans="1:9" x14ac:dyDescent="0.2">
      <c r="A5082" s="2" t="s">
        <v>4208</v>
      </c>
      <c r="B5082" s="2" t="s">
        <v>2629</v>
      </c>
      <c r="C5082" s="2">
        <v>573.65869999999995</v>
      </c>
      <c r="D5082" s="2">
        <f>HYPERLINK("http://mcb-m6.bioreg.kyushu-u.ac.jp/M3/20110414/F50958/982/1", 44.05)</f>
        <v>44.05</v>
      </c>
      <c r="E5082" s="2">
        <v>12.08</v>
      </c>
      <c r="F5082" s="2">
        <v>2</v>
      </c>
      <c r="G5082" s="2" t="s">
        <v>12</v>
      </c>
      <c r="I5082" s="2" t="s">
        <v>4890</v>
      </c>
    </row>
    <row r="5083" spans="1:9" x14ac:dyDescent="0.2">
      <c r="A5083" s="2" t="s">
        <v>4208</v>
      </c>
      <c r="B5083" s="2" t="s">
        <v>1970</v>
      </c>
      <c r="C5083" s="2">
        <v>551.2192</v>
      </c>
      <c r="D5083" s="2">
        <f>HYPERLINK("http://mcb-m6.bioreg.kyushu-u.ac.jp/M3/20110414/F50948/1021/1", 45.8)</f>
        <v>45.8</v>
      </c>
      <c r="E5083" s="2">
        <v>19.809999999999999</v>
      </c>
      <c r="F5083" s="2">
        <v>2</v>
      </c>
      <c r="G5083" s="2" t="s">
        <v>12</v>
      </c>
    </row>
    <row r="5084" spans="1:9" x14ac:dyDescent="0.2">
      <c r="A5084" s="2" t="s">
        <v>4208</v>
      </c>
      <c r="B5084" s="2" t="s">
        <v>1945</v>
      </c>
      <c r="C5084" s="2">
        <v>595.56820000000005</v>
      </c>
      <c r="D5084" s="2">
        <f>HYPERLINK("http://mcb-m6.bioreg.kyushu-u.ac.jp/M3/20110414/F50958/1086/1", 46.56)</f>
        <v>46.56</v>
      </c>
      <c r="E5084" s="2">
        <v>12.81</v>
      </c>
      <c r="F5084" s="2">
        <v>2</v>
      </c>
      <c r="G5084" s="2" t="s">
        <v>12</v>
      </c>
      <c r="I5084" s="2" t="s">
        <v>4899</v>
      </c>
    </row>
    <row r="5085" spans="1:9" x14ac:dyDescent="0.2">
      <c r="A5085" s="2" t="s">
        <v>4208</v>
      </c>
      <c r="B5085" s="2" t="s">
        <v>2647</v>
      </c>
      <c r="C5085" s="2">
        <v>513.6617</v>
      </c>
      <c r="D5085" s="2">
        <f>HYPERLINK("http://mcb-m6.bioreg.kyushu-u.ac.jp/M3/20110414/F50958/681/1", 46.85)</f>
        <v>46.85</v>
      </c>
      <c r="E5085" s="2">
        <v>15.5</v>
      </c>
      <c r="F5085" s="2">
        <v>2</v>
      </c>
      <c r="G5085" s="2" t="s">
        <v>12</v>
      </c>
      <c r="I5085" s="2" t="s">
        <v>4890</v>
      </c>
    </row>
    <row r="5086" spans="1:9" x14ac:dyDescent="0.2">
      <c r="A5086" s="2" t="s">
        <v>4208</v>
      </c>
      <c r="B5086" s="2" t="s">
        <v>2650</v>
      </c>
      <c r="C5086" s="2">
        <v>675.78610000000003</v>
      </c>
      <c r="D5086" s="2">
        <f>HYPERLINK("http://mcb-m6.bioreg.kyushu-u.ac.jp/M3/20110414/F50958/1546/1", 47.05)</f>
        <v>47.05</v>
      </c>
      <c r="E5086" s="2">
        <v>16.11</v>
      </c>
      <c r="F5086" s="2">
        <v>2</v>
      </c>
      <c r="G5086" s="2" t="s">
        <v>12</v>
      </c>
    </row>
    <row r="5087" spans="1:9" x14ac:dyDescent="0.2">
      <c r="A5087" s="2" t="s">
        <v>4208</v>
      </c>
      <c r="B5087" s="2" t="s">
        <v>2656</v>
      </c>
      <c r="C5087" s="2">
        <v>980.28420000000006</v>
      </c>
      <c r="D5087" s="2">
        <f>HYPERLINK("http://mcb-m6.bioreg.kyushu-u.ac.jp/M3/20110414/F50958/3518/1", 48.18)</f>
        <v>48.18</v>
      </c>
      <c r="E5087" s="2">
        <v>33.72</v>
      </c>
      <c r="F5087" s="2">
        <v>2</v>
      </c>
      <c r="G5087" s="2" t="s">
        <v>12</v>
      </c>
      <c r="H5087" s="2" t="s">
        <v>4938</v>
      </c>
    </row>
    <row r="5088" spans="1:9" x14ac:dyDescent="0.2">
      <c r="A5088" s="2" t="s">
        <v>4208</v>
      </c>
      <c r="B5088" s="2" t="s">
        <v>1877</v>
      </c>
      <c r="C5088" s="2">
        <v>642.67660000000001</v>
      </c>
      <c r="D5088" s="2">
        <f>HYPERLINK("http://mcb-m6.bioreg.kyushu-u.ac.jp/M3/20110414/F50958/1349/1", 48.73)</f>
        <v>48.73</v>
      </c>
      <c r="E5088" s="2">
        <v>22.82</v>
      </c>
      <c r="F5088" s="2">
        <v>2</v>
      </c>
      <c r="G5088" s="2" t="s">
        <v>12</v>
      </c>
    </row>
    <row r="5089" spans="1:9" x14ac:dyDescent="0.2">
      <c r="A5089" s="2" t="s">
        <v>4208</v>
      </c>
      <c r="B5089" s="2" t="s">
        <v>2008</v>
      </c>
      <c r="C5089" s="2">
        <v>511.04860000000002</v>
      </c>
      <c r="D5089" s="2">
        <f>HYPERLINK("http://mcb-m6.bioreg.kyushu-u.ac.jp/M3/20110414/F50958/667/1", 49.53)</f>
        <v>49.53</v>
      </c>
      <c r="E5089" s="2">
        <v>21.08</v>
      </c>
      <c r="F5089" s="2">
        <v>2</v>
      </c>
      <c r="G5089" s="2" t="s">
        <v>12</v>
      </c>
    </row>
    <row r="5090" spans="1:9" x14ac:dyDescent="0.2">
      <c r="A5090" s="2" t="s">
        <v>4208</v>
      </c>
      <c r="B5090" s="2" t="s">
        <v>2670</v>
      </c>
      <c r="C5090" s="2">
        <v>452.70909999999998</v>
      </c>
      <c r="D5090" s="2">
        <f>HYPERLINK("http://mcb-m6.bioreg.kyushu-u.ac.jp/M3/20110414/F50958/426/1", 50.42)</f>
        <v>50.42</v>
      </c>
      <c r="E5090" s="2">
        <v>22.31</v>
      </c>
      <c r="F5090" s="2">
        <v>2</v>
      </c>
      <c r="G5090" s="2" t="s">
        <v>12</v>
      </c>
    </row>
    <row r="5091" spans="1:9" x14ac:dyDescent="0.2">
      <c r="A5091" s="2" t="s">
        <v>4208</v>
      </c>
      <c r="B5091" s="2" t="s">
        <v>2062</v>
      </c>
      <c r="C5091" s="2">
        <v>780.26760000000002</v>
      </c>
      <c r="D5091" s="2">
        <f>HYPERLINK("http://mcb-m6.bioreg.kyushu-u.ac.jp/M3/20110414/F50958/2270/1", 52.94)</f>
        <v>52.94</v>
      </c>
      <c r="E5091" s="2">
        <v>36.56</v>
      </c>
      <c r="F5091" s="2">
        <v>2</v>
      </c>
      <c r="G5091" s="2" t="s">
        <v>12</v>
      </c>
    </row>
    <row r="5092" spans="1:9" x14ac:dyDescent="0.2">
      <c r="A5092" s="2" t="s">
        <v>4208</v>
      </c>
      <c r="B5092" s="2" t="s">
        <v>2656</v>
      </c>
      <c r="C5092" s="2">
        <v>972.13819999999998</v>
      </c>
      <c r="D5092" s="2">
        <f>HYPERLINK("http://mcb-m6.bioreg.kyushu-u.ac.jp/M3/20110414/F50948/3431/1", 54.05)</f>
        <v>54.05</v>
      </c>
      <c r="E5092" s="2">
        <v>43.09</v>
      </c>
      <c r="F5092" s="2">
        <v>2</v>
      </c>
      <c r="G5092" s="2" t="s">
        <v>12</v>
      </c>
    </row>
    <row r="5093" spans="1:9" x14ac:dyDescent="0.2">
      <c r="A5093" s="2" t="s">
        <v>4208</v>
      </c>
      <c r="B5093" s="2" t="s">
        <v>1800</v>
      </c>
      <c r="C5093" s="2">
        <v>718.64670000000001</v>
      </c>
      <c r="D5093" s="2">
        <f>HYPERLINK("http://mcb-m6.bioreg.kyushu-u.ac.jp/M3/20110414/F50958/1836/1", 54.27)</f>
        <v>54.27</v>
      </c>
      <c r="E5093" s="2">
        <v>31.81</v>
      </c>
      <c r="F5093" s="2">
        <v>2</v>
      </c>
      <c r="G5093" s="2" t="s">
        <v>12</v>
      </c>
    </row>
    <row r="5094" spans="1:9" x14ac:dyDescent="0.2">
      <c r="A5094" s="2" t="s">
        <v>4208</v>
      </c>
      <c r="B5094" s="2" t="s">
        <v>2629</v>
      </c>
      <c r="C5094" s="2">
        <v>573.86869999999999</v>
      </c>
      <c r="D5094" s="2">
        <f>HYPERLINK("http://mcb-m6.bioreg.kyushu-u.ac.jp/M3/20110414/F50959/821/1", 55.34)</f>
        <v>55.34</v>
      </c>
      <c r="E5094" s="2">
        <v>28.2</v>
      </c>
      <c r="F5094" s="2">
        <v>2</v>
      </c>
      <c r="G5094" s="2" t="s">
        <v>12</v>
      </c>
      <c r="I5094" s="2" t="s">
        <v>4890</v>
      </c>
    </row>
    <row r="5095" spans="1:9" x14ac:dyDescent="0.2">
      <c r="A5095" s="2" t="s">
        <v>4208</v>
      </c>
      <c r="B5095" s="2" t="s">
        <v>2062</v>
      </c>
      <c r="C5095" s="2">
        <v>780.22310000000004</v>
      </c>
      <c r="D5095" s="2">
        <f>HYPERLINK("http://mcb-m6.bioreg.kyushu-u.ac.jp/M3/20110414/F50959/2142/1", 55.54)</f>
        <v>55.54</v>
      </c>
      <c r="E5095" s="2">
        <v>41.17</v>
      </c>
      <c r="F5095" s="2">
        <v>2</v>
      </c>
      <c r="G5095" s="2" t="s">
        <v>12</v>
      </c>
    </row>
    <row r="5096" spans="1:9" x14ac:dyDescent="0.2">
      <c r="A5096" s="2" t="s">
        <v>4208</v>
      </c>
      <c r="B5096" s="2" t="s">
        <v>2701</v>
      </c>
      <c r="C5096" s="2">
        <v>709.18119999999999</v>
      </c>
      <c r="D5096" s="2">
        <f>HYPERLINK("http://mcb-m6.bioreg.kyushu-u.ac.jp/M3/20110414/F50958/1764/1", 56.78)</f>
        <v>56.78</v>
      </c>
      <c r="E5096" s="2">
        <v>32.590000000000003</v>
      </c>
      <c r="F5096" s="2">
        <v>2</v>
      </c>
      <c r="G5096" s="2" t="s">
        <v>12</v>
      </c>
      <c r="H5096" s="2" t="s">
        <v>4915</v>
      </c>
    </row>
    <row r="5097" spans="1:9" x14ac:dyDescent="0.2">
      <c r="A5097" s="2" t="s">
        <v>4208</v>
      </c>
      <c r="B5097" s="2" t="s">
        <v>2062</v>
      </c>
      <c r="C5097" s="2">
        <v>779.94960000000003</v>
      </c>
      <c r="D5097" s="2">
        <f>HYPERLINK("http://mcb-m6.bioreg.kyushu-u.ac.jp/M3/20110414/F50947/2265/1", 61.72)</f>
        <v>61.72</v>
      </c>
      <c r="E5097" s="2">
        <v>47.19</v>
      </c>
      <c r="F5097" s="2">
        <v>2</v>
      </c>
      <c r="G5097" s="2" t="s">
        <v>12</v>
      </c>
    </row>
    <row r="5098" spans="1:9" x14ac:dyDescent="0.2">
      <c r="A5098" s="2" t="s">
        <v>4208</v>
      </c>
      <c r="B5098" s="2" t="s">
        <v>2656</v>
      </c>
      <c r="C5098" s="2">
        <v>972.86659999999995</v>
      </c>
      <c r="D5098" s="2">
        <f>HYPERLINK("http://mcb-m6.bioreg.kyushu-u.ac.jp/M3/20110414/F50958/3481/1", 66.51)</f>
        <v>66.510000000000005</v>
      </c>
      <c r="E5098" s="2">
        <v>57.01</v>
      </c>
      <c r="F5098" s="2">
        <v>2</v>
      </c>
      <c r="G5098" s="2" t="s">
        <v>12</v>
      </c>
    </row>
    <row r="5099" spans="1:9" x14ac:dyDescent="0.2">
      <c r="A5099" s="2" t="s">
        <v>4208</v>
      </c>
      <c r="B5099" s="2" t="s">
        <v>2656</v>
      </c>
      <c r="C5099" s="2">
        <v>980.81769999999995</v>
      </c>
      <c r="D5099" s="2">
        <f>HYPERLINK("http://mcb-m6.bioreg.kyushu-u.ac.jp/M3/20110414/F50958/3523/1", 72.97)</f>
        <v>72.97</v>
      </c>
      <c r="E5099" s="2">
        <v>58.22</v>
      </c>
      <c r="F5099" s="2">
        <v>2</v>
      </c>
      <c r="G5099" s="2" t="s">
        <v>12</v>
      </c>
      <c r="H5099" s="2" t="s">
        <v>4938</v>
      </c>
    </row>
    <row r="5100" spans="1:9" x14ac:dyDescent="0.2">
      <c r="A5100" s="2" t="s">
        <v>4208</v>
      </c>
      <c r="B5100" s="2" t="s">
        <v>2062</v>
      </c>
      <c r="C5100" s="2">
        <v>779.75919999999996</v>
      </c>
      <c r="D5100" s="2">
        <f>HYPERLINK("http://mcb-m6.bioreg.kyushu-u.ac.jp/M3/20110414/F50958/2266/1", 73.57)</f>
        <v>73.569999999999993</v>
      </c>
      <c r="E5100" s="2">
        <v>51.69</v>
      </c>
      <c r="F5100" s="2">
        <v>2</v>
      </c>
      <c r="G5100" s="2" t="s">
        <v>12</v>
      </c>
    </row>
    <row r="5101" spans="1:9" x14ac:dyDescent="0.2">
      <c r="A5101" s="2" t="s">
        <v>4208</v>
      </c>
      <c r="B5101" s="2" t="s">
        <v>2759</v>
      </c>
      <c r="C5101" s="2">
        <v>1184.4480000000001</v>
      </c>
      <c r="D5101" s="2">
        <f>HYPERLINK("http://mcb-m6.bioreg.kyushu-u.ac.jp/M3/20110414/F50958/4329/1", 80.35)</f>
        <v>80.349999999999994</v>
      </c>
      <c r="E5101" s="2">
        <v>70.540000000000006</v>
      </c>
      <c r="F5101" s="2">
        <v>2</v>
      </c>
      <c r="G5101" s="2" t="s">
        <v>12</v>
      </c>
    </row>
    <row r="5102" spans="1:9" x14ac:dyDescent="0.2">
      <c r="A5102" s="2" t="s">
        <v>4208</v>
      </c>
      <c r="B5102" s="2" t="s">
        <v>2141</v>
      </c>
      <c r="C5102" s="2">
        <v>1116.3530000000001</v>
      </c>
      <c r="D5102" s="2">
        <f>HYPERLINK("http://mcb-m6.bioreg.kyushu-u.ac.jp/M3/20110414/F50958/4094/1", 86.45)</f>
        <v>86.45</v>
      </c>
      <c r="E5102" s="2">
        <v>73.680000000000007</v>
      </c>
      <c r="F5102" s="2">
        <v>2</v>
      </c>
      <c r="G5102" s="2" t="s">
        <v>12</v>
      </c>
    </row>
    <row r="5103" spans="1:9" x14ac:dyDescent="0.2">
      <c r="A5103" s="2" t="s">
        <v>4208</v>
      </c>
      <c r="B5103" s="2" t="s">
        <v>2772</v>
      </c>
      <c r="C5103" s="2">
        <v>1103.396</v>
      </c>
      <c r="D5103" s="2">
        <f>HYPERLINK("http://mcb-m6.bioreg.kyushu-u.ac.jp/M3/20110414/F50958/4002/1", 86.49)</f>
        <v>86.49</v>
      </c>
      <c r="E5103" s="2">
        <v>78.739999999999995</v>
      </c>
      <c r="F5103" s="2">
        <v>2</v>
      </c>
      <c r="G5103" s="2" t="s">
        <v>12</v>
      </c>
    </row>
    <row r="5104" spans="1:9" x14ac:dyDescent="0.2">
      <c r="A5104" s="2" t="s">
        <v>4208</v>
      </c>
      <c r="B5104" s="2" t="s">
        <v>2774</v>
      </c>
      <c r="C5104" s="2">
        <v>757.26570000000004</v>
      </c>
      <c r="D5104" s="2">
        <f>HYPERLINK("http://mcb-m6.bioreg.kyushu-u.ac.jp/M3/20110414/F50958/2104/1", 87.38)</f>
        <v>87.38</v>
      </c>
      <c r="E5104" s="2">
        <v>67.3</v>
      </c>
      <c r="F5104" s="2">
        <v>2</v>
      </c>
      <c r="G5104" s="2" t="s">
        <v>12</v>
      </c>
      <c r="H5104" s="2" t="s">
        <v>4908</v>
      </c>
    </row>
    <row r="5105" spans="1:9" x14ac:dyDescent="0.2">
      <c r="A5105" s="2" t="s">
        <v>4208</v>
      </c>
      <c r="B5105" s="2" t="s">
        <v>2776</v>
      </c>
      <c r="C5105" s="2">
        <v>646.64170000000001</v>
      </c>
      <c r="D5105" s="2">
        <f>HYPERLINK("http://mcb-m6.bioreg.kyushu-u.ac.jp/M3/20110414/F50958/1373/1", 87.64)</f>
        <v>87.64</v>
      </c>
      <c r="E5105" s="2">
        <v>61.9</v>
      </c>
      <c r="F5105" s="2">
        <v>2</v>
      </c>
      <c r="G5105" s="2" t="s">
        <v>12</v>
      </c>
      <c r="I5105" s="2" t="s">
        <v>4903</v>
      </c>
    </row>
    <row r="5106" spans="1:9" x14ac:dyDescent="0.2">
      <c r="A5106" s="2" t="s">
        <v>4208</v>
      </c>
      <c r="B5106" s="2" t="s">
        <v>2085</v>
      </c>
      <c r="C5106" s="2">
        <v>870.41819999999996</v>
      </c>
      <c r="D5106" s="2">
        <f>HYPERLINK("http://mcb-m6.bioreg.kyushu-u.ac.jp/M3/20110414/F50958/4652/1", 89.71)</f>
        <v>89.71</v>
      </c>
      <c r="E5106" s="2">
        <v>75.42</v>
      </c>
      <c r="F5106" s="2">
        <v>3</v>
      </c>
      <c r="G5106" s="2" t="s">
        <v>12</v>
      </c>
    </row>
    <row r="5107" spans="1:9" x14ac:dyDescent="0.2">
      <c r="A5107" s="2" t="s">
        <v>4208</v>
      </c>
      <c r="B5107" s="2" t="s">
        <v>2141</v>
      </c>
      <c r="C5107" s="2">
        <v>1124.337</v>
      </c>
      <c r="D5107" s="2">
        <f>HYPERLINK("http://mcb-m6.bioreg.kyushu-u.ac.jp/M3/20110414/F50958/4117/1", 96.32)</f>
        <v>96.32</v>
      </c>
      <c r="E5107" s="2">
        <v>89.89</v>
      </c>
      <c r="F5107" s="2">
        <v>2</v>
      </c>
      <c r="G5107" s="2" t="s">
        <v>12</v>
      </c>
      <c r="H5107" s="2" t="s">
        <v>4910</v>
      </c>
    </row>
    <row r="5108" spans="1:9" x14ac:dyDescent="0.2">
      <c r="A5108" s="2" t="s">
        <v>4208</v>
      </c>
      <c r="B5108" s="2" t="s">
        <v>2647</v>
      </c>
      <c r="C5108" s="2">
        <v>513.97310000000004</v>
      </c>
      <c r="D5108" s="2">
        <f>HYPERLINK("http://mcb-m6.bioreg.kyushu-u.ac.jp/M3/20110502/F51193/796/1", 35.1)</f>
        <v>35.1</v>
      </c>
      <c r="E5108" s="2">
        <v>16.829999999999998</v>
      </c>
      <c r="F5108" s="2">
        <v>2</v>
      </c>
      <c r="G5108" s="2" t="s">
        <v>14</v>
      </c>
      <c r="I5108" s="2" t="s">
        <v>4890</v>
      </c>
    </row>
    <row r="5109" spans="1:9" x14ac:dyDescent="0.2">
      <c r="A5109" s="2" t="s">
        <v>4208</v>
      </c>
      <c r="B5109" s="2" t="s">
        <v>2089</v>
      </c>
      <c r="C5109" s="2">
        <v>538.07209999999998</v>
      </c>
      <c r="D5109" s="2">
        <f>HYPERLINK("http://mcb-m6.bioreg.kyushu-u.ac.jp/M3/20110502/F51185/882/1", 38.2)</f>
        <v>38.200000000000003</v>
      </c>
      <c r="E5109" s="2">
        <v>10.98</v>
      </c>
      <c r="F5109" s="2">
        <v>2</v>
      </c>
      <c r="G5109" s="2" t="s">
        <v>14</v>
      </c>
      <c r="I5109" s="2" t="s">
        <v>4893</v>
      </c>
    </row>
    <row r="5110" spans="1:9" x14ac:dyDescent="0.2">
      <c r="A5110" s="2" t="s">
        <v>4208</v>
      </c>
      <c r="B5110" s="2" t="s">
        <v>1819</v>
      </c>
      <c r="C5110" s="2">
        <v>513.34810000000004</v>
      </c>
      <c r="D5110" s="2">
        <f>HYPERLINK("http://mcb-m6.bioreg.kyushu-u.ac.jp/M3/20110502/F51186/872/1", 39.36)</f>
        <v>39.36</v>
      </c>
      <c r="E5110" s="2">
        <v>9.2100000000000009</v>
      </c>
      <c r="F5110" s="2">
        <v>2</v>
      </c>
      <c r="G5110" s="2" t="s">
        <v>14</v>
      </c>
    </row>
    <row r="5111" spans="1:9" x14ac:dyDescent="0.2">
      <c r="A5111" s="2" t="s">
        <v>4208</v>
      </c>
      <c r="B5111" s="2" t="s">
        <v>2557</v>
      </c>
      <c r="C5111" s="2">
        <v>481.92610000000002</v>
      </c>
      <c r="D5111" s="2">
        <f>HYPERLINK("http://mcb-m6.bioreg.kyushu-u.ac.jp/M3/20110502/F51193/640/1", 39.86)</f>
        <v>39.86</v>
      </c>
      <c r="E5111" s="2">
        <v>23.18</v>
      </c>
      <c r="F5111" s="2">
        <v>2</v>
      </c>
      <c r="G5111" s="2" t="s">
        <v>14</v>
      </c>
    </row>
    <row r="5112" spans="1:9" x14ac:dyDescent="0.2">
      <c r="A5112" s="2" t="s">
        <v>4208</v>
      </c>
      <c r="B5112" s="2" t="s">
        <v>3057</v>
      </c>
      <c r="C5112" s="2">
        <v>582.09370000000001</v>
      </c>
      <c r="D5112" s="2">
        <f>HYPERLINK("http://mcb-m6.bioreg.kyushu-u.ac.jp/M3/20110502/F51193/1092/1", 40.64)</f>
        <v>40.64</v>
      </c>
      <c r="E5112" s="2">
        <v>13.17</v>
      </c>
      <c r="F5112" s="2">
        <v>2</v>
      </c>
      <c r="G5112" s="2" t="s">
        <v>14</v>
      </c>
      <c r="I5112" s="2" t="s">
        <v>4890</v>
      </c>
    </row>
    <row r="5113" spans="1:9" x14ac:dyDescent="0.2">
      <c r="A5113" s="2" t="s">
        <v>4208</v>
      </c>
      <c r="B5113" s="2" t="s">
        <v>1877</v>
      </c>
      <c r="C5113" s="2">
        <v>643.02120000000002</v>
      </c>
      <c r="D5113" s="2">
        <f>HYPERLINK("http://mcb-m6.bioreg.kyushu-u.ac.jp/M3/20110502/F51194/1278/1", 43.04)</f>
        <v>43.04</v>
      </c>
      <c r="E5113" s="2">
        <v>21.15</v>
      </c>
      <c r="F5113" s="2">
        <v>2</v>
      </c>
      <c r="G5113" s="2" t="s">
        <v>14</v>
      </c>
    </row>
    <row r="5114" spans="1:9" x14ac:dyDescent="0.2">
      <c r="A5114" s="2" t="s">
        <v>4208</v>
      </c>
      <c r="B5114" s="2" t="s">
        <v>2629</v>
      </c>
      <c r="C5114" s="2">
        <v>574.09169999999995</v>
      </c>
      <c r="D5114" s="2">
        <f>HYPERLINK("http://mcb-m6.bioreg.kyushu-u.ac.jp/M3/20110502/F51193/1061/1", 44.24)</f>
        <v>44.24</v>
      </c>
      <c r="E5114" s="2">
        <v>13.02</v>
      </c>
      <c r="F5114" s="2">
        <v>2</v>
      </c>
      <c r="G5114" s="2" t="s">
        <v>14</v>
      </c>
      <c r="I5114" s="2" t="s">
        <v>4890</v>
      </c>
    </row>
    <row r="5115" spans="1:9" x14ac:dyDescent="0.2">
      <c r="A5115" s="2" t="s">
        <v>4208</v>
      </c>
      <c r="B5115" s="2" t="s">
        <v>3099</v>
      </c>
      <c r="C5115" s="2">
        <v>855.70600000000002</v>
      </c>
      <c r="D5115" s="2">
        <f>HYPERLINK("http://mcb-m6.bioreg.kyushu-u.ac.jp/M3/20110502/F51193/408/1", 44.37)</f>
        <v>44.37</v>
      </c>
      <c r="E5115" s="2">
        <v>15.06</v>
      </c>
      <c r="F5115" s="2">
        <v>1</v>
      </c>
      <c r="G5115" s="2" t="s">
        <v>14</v>
      </c>
      <c r="H5115" s="2" t="s">
        <v>4904</v>
      </c>
    </row>
    <row r="5116" spans="1:9" x14ac:dyDescent="0.2">
      <c r="A5116" s="2" t="s">
        <v>4208</v>
      </c>
      <c r="B5116" s="2" t="s">
        <v>2670</v>
      </c>
      <c r="C5116" s="2">
        <v>452.9726</v>
      </c>
      <c r="D5116" s="2">
        <f>HYPERLINK("http://mcb-m6.bioreg.kyushu-u.ac.jp/M3/20110502/F51193/446/1", 45.82)</f>
        <v>45.82</v>
      </c>
      <c r="E5116" s="2">
        <v>14.79</v>
      </c>
      <c r="F5116" s="2">
        <v>2</v>
      </c>
      <c r="G5116" s="2" t="s">
        <v>14</v>
      </c>
    </row>
    <row r="5117" spans="1:9" x14ac:dyDescent="0.2">
      <c r="A5117" s="2" t="s">
        <v>4208</v>
      </c>
      <c r="B5117" s="2" t="s">
        <v>1877</v>
      </c>
      <c r="C5117" s="2">
        <v>643.11019999999996</v>
      </c>
      <c r="D5117" s="2">
        <f>HYPERLINK("http://mcb-m6.bioreg.kyushu-u.ac.jp/M3/20110502/F51193/1330/1", 50.18)</f>
        <v>50.18</v>
      </c>
      <c r="E5117" s="2">
        <v>22.28</v>
      </c>
      <c r="F5117" s="2">
        <v>2</v>
      </c>
      <c r="G5117" s="2" t="s">
        <v>14</v>
      </c>
    </row>
    <row r="5118" spans="1:9" x14ac:dyDescent="0.2">
      <c r="A5118" s="2" t="s">
        <v>4208</v>
      </c>
      <c r="B5118" s="2" t="s">
        <v>3146</v>
      </c>
      <c r="C5118" s="2">
        <v>450.24059999999997</v>
      </c>
      <c r="D5118" s="2">
        <f>HYPERLINK("http://mcb-m6.bioreg.kyushu-u.ac.jp/M3/20110502/F51193/427/1", 51.59)</f>
        <v>51.59</v>
      </c>
      <c r="E5118" s="2">
        <v>21.82</v>
      </c>
      <c r="F5118" s="2">
        <v>2</v>
      </c>
      <c r="G5118" s="2" t="s">
        <v>14</v>
      </c>
      <c r="H5118" s="2" t="s">
        <v>4908</v>
      </c>
    </row>
    <row r="5119" spans="1:9" x14ac:dyDescent="0.2">
      <c r="A5119" s="2" t="s">
        <v>4208</v>
      </c>
      <c r="B5119" s="2" t="s">
        <v>2089</v>
      </c>
      <c r="C5119" s="2">
        <v>538.19069999999999</v>
      </c>
      <c r="D5119" s="2">
        <f>HYPERLINK("http://mcb-m6.bioreg.kyushu-u.ac.jp/M3/20110502/F51186/983/1", 52.49)</f>
        <v>52.49</v>
      </c>
      <c r="E5119" s="2">
        <v>25.97</v>
      </c>
      <c r="F5119" s="2">
        <v>2</v>
      </c>
      <c r="G5119" s="2" t="s">
        <v>14</v>
      </c>
      <c r="I5119" s="2" t="s">
        <v>4893</v>
      </c>
    </row>
    <row r="5120" spans="1:9" x14ac:dyDescent="0.2">
      <c r="A5120" s="2" t="s">
        <v>4208</v>
      </c>
      <c r="B5120" s="2" t="s">
        <v>2592</v>
      </c>
      <c r="C5120" s="2">
        <v>534.46220000000005</v>
      </c>
      <c r="D5120" s="2">
        <f>HYPERLINK("http://mcb-m6.bioreg.kyushu-u.ac.jp/M3/20110502/F51193/901/1", 52.61)</f>
        <v>52.61</v>
      </c>
      <c r="E5120" s="2">
        <v>24.14</v>
      </c>
      <c r="F5120" s="2">
        <v>2</v>
      </c>
      <c r="G5120" s="2" t="s">
        <v>14</v>
      </c>
      <c r="I5120" s="2" t="s">
        <v>4892</v>
      </c>
    </row>
    <row r="5121" spans="1:9" x14ac:dyDescent="0.2">
      <c r="A5121" s="2" t="s">
        <v>4208</v>
      </c>
      <c r="B5121" s="2" t="s">
        <v>2701</v>
      </c>
      <c r="C5121" s="2">
        <v>701.13819999999998</v>
      </c>
      <c r="D5121" s="2">
        <f>HYPERLINK("http://mcb-m6.bioreg.kyushu-u.ac.jp/M3/20110502/F51193/1653/1", 53.34)</f>
        <v>53.34</v>
      </c>
      <c r="E5121" s="2">
        <v>24.02</v>
      </c>
      <c r="F5121" s="2">
        <v>2</v>
      </c>
      <c r="G5121" s="2" t="s">
        <v>14</v>
      </c>
    </row>
    <row r="5122" spans="1:9" x14ac:dyDescent="0.2">
      <c r="A5122" s="2" t="s">
        <v>4208</v>
      </c>
      <c r="B5122" s="2" t="s">
        <v>2089</v>
      </c>
      <c r="C5122" s="2">
        <v>537.98720000000003</v>
      </c>
      <c r="D5122" s="2">
        <f>HYPERLINK("http://mcb-m6.bioreg.kyushu-u.ac.jp/M3/20110502/F51193/913/1", 62.61)</f>
        <v>62.61</v>
      </c>
      <c r="E5122" s="2">
        <v>34.31</v>
      </c>
      <c r="F5122" s="2">
        <v>2</v>
      </c>
      <c r="G5122" s="2" t="s">
        <v>14</v>
      </c>
      <c r="I5122" s="2" t="s">
        <v>4893</v>
      </c>
    </row>
    <row r="5123" spans="1:9" x14ac:dyDescent="0.2">
      <c r="A5123" s="2" t="s">
        <v>4208</v>
      </c>
      <c r="B5123" s="2" t="s">
        <v>2776</v>
      </c>
      <c r="C5123" s="2">
        <v>646.97469999999998</v>
      </c>
      <c r="D5123" s="2">
        <f>HYPERLINK("http://mcb-m6.bioreg.kyushu-u.ac.jp/M3/20110502/F51193/1341/1", 66.87)</f>
        <v>66.87</v>
      </c>
      <c r="E5123" s="2">
        <v>48.57</v>
      </c>
      <c r="F5123" s="2">
        <v>2</v>
      </c>
      <c r="G5123" s="2" t="s">
        <v>14</v>
      </c>
      <c r="I5123" s="2" t="s">
        <v>4903</v>
      </c>
    </row>
    <row r="5124" spans="1:9" x14ac:dyDescent="0.2">
      <c r="A5124" s="2" t="s">
        <v>4208</v>
      </c>
      <c r="B5124" s="2" t="s">
        <v>2062</v>
      </c>
      <c r="C5124" s="2">
        <v>780.31920000000002</v>
      </c>
      <c r="D5124" s="2">
        <f>HYPERLINK("http://mcb-m6.bioreg.kyushu-u.ac.jp/M3/20110502/F51186/2037/1", 69.31)</f>
        <v>69.31</v>
      </c>
      <c r="E5124" s="2">
        <v>50.41</v>
      </c>
      <c r="F5124" s="2">
        <v>2</v>
      </c>
      <c r="G5124" s="2" t="s">
        <v>14</v>
      </c>
    </row>
    <row r="5125" spans="1:9" x14ac:dyDescent="0.2">
      <c r="A5125" s="2" t="s">
        <v>4208</v>
      </c>
      <c r="B5125" s="2" t="s">
        <v>2062</v>
      </c>
      <c r="C5125" s="2">
        <v>780.26369999999997</v>
      </c>
      <c r="D5125" s="2">
        <f>HYPERLINK("http://mcb-m6.bioreg.kyushu-u.ac.jp/M3/20110502/F51183/2126/1", 74.02)</f>
        <v>74.02</v>
      </c>
      <c r="E5125" s="2">
        <v>52.95</v>
      </c>
      <c r="F5125" s="2">
        <v>2</v>
      </c>
      <c r="G5125" s="2" t="s">
        <v>14</v>
      </c>
    </row>
    <row r="5126" spans="1:9" x14ac:dyDescent="0.2">
      <c r="A5126" s="2" t="s">
        <v>4208</v>
      </c>
      <c r="B5126" s="2" t="s">
        <v>2062</v>
      </c>
      <c r="C5126" s="2">
        <v>780.04769999999996</v>
      </c>
      <c r="D5126" s="2">
        <f>HYPERLINK("http://mcb-m6.bioreg.kyushu-u.ac.jp/M3/20110502/F51193/2108/1", 76.47)</f>
        <v>76.47</v>
      </c>
      <c r="E5126" s="2">
        <v>52.87</v>
      </c>
      <c r="F5126" s="2">
        <v>2</v>
      </c>
      <c r="G5126" s="2" t="s">
        <v>14</v>
      </c>
    </row>
    <row r="5127" spans="1:9" x14ac:dyDescent="0.2">
      <c r="A5127" s="2" t="s">
        <v>4028</v>
      </c>
      <c r="B5127" s="2" t="s">
        <v>1344</v>
      </c>
      <c r="C5127" s="2">
        <v>666.10720000000003</v>
      </c>
      <c r="D5127" s="2">
        <f>HYPERLINK("http://mcb-m6.bioreg.kyushu-u.ac.jp/M3/20110411/F50911/1674/1", 74.22)</f>
        <v>74.22</v>
      </c>
      <c r="E5127" s="2">
        <v>42.76</v>
      </c>
      <c r="F5127" s="2">
        <v>2</v>
      </c>
      <c r="G5127" s="2" t="s">
        <v>9</v>
      </c>
    </row>
    <row r="5128" spans="1:9" x14ac:dyDescent="0.2">
      <c r="A5128" s="2" t="s">
        <v>3318</v>
      </c>
      <c r="B5128" s="2" t="s">
        <v>103</v>
      </c>
      <c r="C5128" s="2">
        <v>1005.78</v>
      </c>
      <c r="D5128" s="2">
        <f>HYPERLINK("http://mcb-m6.bioreg.kyushu-u.ac.jp/M3/20110411/F50911/981/1", 36.1)</f>
        <v>36.1</v>
      </c>
      <c r="E5128" s="2">
        <v>20.41</v>
      </c>
      <c r="F5128" s="2">
        <v>1</v>
      </c>
      <c r="G5128" s="2" t="s">
        <v>9</v>
      </c>
    </row>
    <row r="5129" spans="1:9" x14ac:dyDescent="0.2">
      <c r="A5129" s="2" t="s">
        <v>3318</v>
      </c>
      <c r="B5129" s="2" t="s">
        <v>699</v>
      </c>
      <c r="C5129" s="2">
        <v>1014.636</v>
      </c>
      <c r="D5129" s="2">
        <f>HYPERLINK("http://mcb-m6.bioreg.kyushu-u.ac.jp/M3/20110411/F50911/3430/1", 48.7)</f>
        <v>48.7</v>
      </c>
      <c r="E5129" s="2">
        <v>27.95</v>
      </c>
      <c r="F5129" s="2">
        <v>2</v>
      </c>
      <c r="G5129" s="2" t="s">
        <v>9</v>
      </c>
    </row>
    <row r="5130" spans="1:9" x14ac:dyDescent="0.2">
      <c r="A5130" s="2" t="s">
        <v>3318</v>
      </c>
      <c r="B5130" s="2" t="s">
        <v>103</v>
      </c>
      <c r="C5130" s="2">
        <v>511.52010000000001</v>
      </c>
      <c r="D5130" s="2">
        <f>HYPERLINK("http://mcb-m6.bioreg.kyushu-u.ac.jp/M3/20110411/F50911/1009/1", 53.91)</f>
        <v>53.91</v>
      </c>
      <c r="E5130" s="2">
        <v>32.700000000000003</v>
      </c>
      <c r="F5130" s="2">
        <v>2</v>
      </c>
      <c r="G5130" s="2" t="s">
        <v>9</v>
      </c>
      <c r="H5130" s="2" t="s">
        <v>4910</v>
      </c>
    </row>
    <row r="5131" spans="1:9" x14ac:dyDescent="0.2">
      <c r="A5131" s="2" t="s">
        <v>3318</v>
      </c>
      <c r="B5131" s="2" t="s">
        <v>1018</v>
      </c>
      <c r="C5131" s="2">
        <v>477.87860000000001</v>
      </c>
      <c r="D5131" s="2">
        <f>HYPERLINK("http://mcb-m6.bioreg.kyushu-u.ac.jp/M3/20110411/F50911/896/1", 59.04)</f>
        <v>59.04</v>
      </c>
      <c r="E5131" s="2">
        <v>34.21</v>
      </c>
      <c r="F5131" s="2">
        <v>2</v>
      </c>
      <c r="G5131" s="2" t="s">
        <v>9</v>
      </c>
    </row>
    <row r="5132" spans="1:9" x14ac:dyDescent="0.2">
      <c r="A5132" s="2" t="s">
        <v>3318</v>
      </c>
      <c r="B5132" s="2" t="s">
        <v>699</v>
      </c>
      <c r="C5132" s="2">
        <v>1014.456</v>
      </c>
      <c r="D5132" s="2">
        <f>HYPERLINK("http://mcb-m6.bioreg.kyushu-u.ac.jp/M3/20110411/F50914/3257/1", 80.64)</f>
        <v>80.64</v>
      </c>
      <c r="E5132" s="2">
        <v>72.44</v>
      </c>
      <c r="F5132" s="2">
        <v>2</v>
      </c>
      <c r="G5132" s="2" t="s">
        <v>10</v>
      </c>
    </row>
    <row r="5133" spans="1:9" x14ac:dyDescent="0.2">
      <c r="A5133" s="2" t="s">
        <v>3318</v>
      </c>
      <c r="B5133" s="2" t="s">
        <v>1018</v>
      </c>
      <c r="C5133" s="2">
        <v>477.64409999999998</v>
      </c>
      <c r="D5133" s="2">
        <f>HYPERLINK("http://mcb-m6.bioreg.kyushu-u.ac.jp/M3/20110414/F50942/757/1", 36.2)</f>
        <v>36.200000000000003</v>
      </c>
      <c r="E5133" s="2">
        <v>9.19</v>
      </c>
      <c r="F5133" s="2">
        <v>2</v>
      </c>
      <c r="G5133" s="2" t="s">
        <v>11</v>
      </c>
    </row>
    <row r="5134" spans="1:9" x14ac:dyDescent="0.2">
      <c r="A5134" s="2" t="s">
        <v>3318</v>
      </c>
      <c r="B5134" s="2" t="s">
        <v>2395</v>
      </c>
      <c r="C5134" s="2">
        <v>488.19409999999999</v>
      </c>
      <c r="D5134" s="2">
        <f>HYPERLINK("http://mcb-m6.bioreg.kyushu-u.ac.jp/M3/20110414/F50942/797/1", 54.52)</f>
        <v>54.52</v>
      </c>
      <c r="E5134" s="2">
        <v>17.8</v>
      </c>
      <c r="F5134" s="2">
        <v>2</v>
      </c>
      <c r="G5134" s="2" t="s">
        <v>11</v>
      </c>
    </row>
    <row r="5135" spans="1:9" x14ac:dyDescent="0.2">
      <c r="A5135" s="2" t="s">
        <v>3318</v>
      </c>
      <c r="B5135" s="2" t="s">
        <v>2395</v>
      </c>
      <c r="C5135" s="2">
        <v>974.14300000000003</v>
      </c>
      <c r="D5135" s="2">
        <f>HYPERLINK("http://mcb-m6.bioreg.kyushu-u.ac.jp/M3/20110414/F50948/771/1", 48.06)</f>
        <v>48.06</v>
      </c>
      <c r="E5135" s="2">
        <v>19.440000000000001</v>
      </c>
      <c r="F5135" s="2">
        <v>1</v>
      </c>
      <c r="G5135" s="2" t="s">
        <v>12</v>
      </c>
    </row>
    <row r="5136" spans="1:9" x14ac:dyDescent="0.2">
      <c r="A5136" s="2" t="s">
        <v>3318</v>
      </c>
      <c r="B5136" s="2" t="s">
        <v>2395</v>
      </c>
      <c r="C5136" s="2">
        <v>487.86360000000002</v>
      </c>
      <c r="D5136" s="2">
        <f>HYPERLINK("http://mcb-m6.bioreg.kyushu-u.ac.jp/M3/20110414/F50948/772/1", 61.36)</f>
        <v>61.36</v>
      </c>
      <c r="E5136" s="2">
        <v>28</v>
      </c>
      <c r="F5136" s="2">
        <v>2</v>
      </c>
      <c r="G5136" s="2" t="s">
        <v>12</v>
      </c>
    </row>
    <row r="5137" spans="1:7" x14ac:dyDescent="0.2">
      <c r="A5137" s="2" t="s">
        <v>3834</v>
      </c>
      <c r="B5137" s="2" t="s">
        <v>908</v>
      </c>
      <c r="C5137" s="2">
        <v>760.70209999999997</v>
      </c>
      <c r="D5137" s="2">
        <f>HYPERLINK("http://mcb-m6.bioreg.kyushu-u.ac.jp/M3/20110411/F50890/2307/1", 55.2)</f>
        <v>55.2</v>
      </c>
      <c r="E5137" s="2">
        <v>32.729999999999997</v>
      </c>
      <c r="F5137" s="2">
        <v>2</v>
      </c>
      <c r="G5137" s="2" t="s">
        <v>9</v>
      </c>
    </row>
    <row r="5138" spans="1:7" x14ac:dyDescent="0.2">
      <c r="A5138" s="2" t="s">
        <v>3834</v>
      </c>
      <c r="B5138" s="2" t="s">
        <v>908</v>
      </c>
      <c r="C5138" s="2">
        <v>760.52970000000005</v>
      </c>
      <c r="D5138" s="2">
        <f>HYPERLINK("http://mcb-m6.bioreg.kyushu-u.ac.jp/M3/20110502/F51168/2121/1", 47.36)</f>
        <v>47.36</v>
      </c>
      <c r="E5138" s="2">
        <v>26.4</v>
      </c>
      <c r="F5138" s="2">
        <v>2</v>
      </c>
      <c r="G5138" s="2" t="s">
        <v>13</v>
      </c>
    </row>
    <row r="5139" spans="1:7" x14ac:dyDescent="0.2">
      <c r="A5139" s="2" t="s">
        <v>4466</v>
      </c>
      <c r="B5139" s="2" t="s">
        <v>2402</v>
      </c>
      <c r="C5139" s="2">
        <v>726.0317</v>
      </c>
      <c r="D5139" s="2">
        <f>HYPERLINK("http://mcb-m6.bioreg.kyushu-u.ac.jp/M3/20110414/F50942/1805/1", 56.35)</f>
        <v>56.35</v>
      </c>
      <c r="E5139" s="2">
        <v>40.31</v>
      </c>
      <c r="F5139" s="2">
        <v>2</v>
      </c>
      <c r="G5139" s="2" t="s">
        <v>11</v>
      </c>
    </row>
    <row r="5140" spans="1:7" x14ac:dyDescent="0.2">
      <c r="A5140" s="2" t="s">
        <v>3979</v>
      </c>
      <c r="B5140" s="2" t="s">
        <v>1229</v>
      </c>
      <c r="C5140" s="2">
        <v>537.88419999999996</v>
      </c>
      <c r="D5140" s="2">
        <f>HYPERLINK("http://mcb-m6.bioreg.kyushu-u.ac.jp/M3/20110411/F50892/1445/2", 68.16)</f>
        <v>68.16</v>
      </c>
      <c r="E5140" s="2">
        <v>36.79</v>
      </c>
      <c r="F5140" s="2">
        <v>2</v>
      </c>
      <c r="G5140" s="2" t="s">
        <v>9</v>
      </c>
    </row>
    <row r="5141" spans="1:7" x14ac:dyDescent="0.2">
      <c r="A5141" s="2" t="s">
        <v>3752</v>
      </c>
      <c r="B5141" s="2" t="s">
        <v>762</v>
      </c>
      <c r="C5141" s="2">
        <v>707.05160000000001</v>
      </c>
      <c r="D5141" s="2">
        <f>HYPERLINK("http://mcb-m6.bioreg.kyushu-u.ac.jp/M3/20110411/F50915/1685/1", 50.47)</f>
        <v>50.47</v>
      </c>
      <c r="E5141" s="2">
        <v>26.5</v>
      </c>
      <c r="F5141" s="2">
        <v>2</v>
      </c>
      <c r="G5141" s="2" t="s">
        <v>9</v>
      </c>
    </row>
    <row r="5142" spans="1:7" x14ac:dyDescent="0.2">
      <c r="A5142" s="2" t="s">
        <v>3752</v>
      </c>
      <c r="B5142" s="2" t="s">
        <v>762</v>
      </c>
      <c r="C5142" s="2">
        <v>706.76869999999997</v>
      </c>
      <c r="D5142" s="2">
        <f>HYPERLINK("http://mcb-m6.bioreg.kyushu-u.ac.jp/M3/20110414/F50956/1683/1", 62.92)</f>
        <v>62.92</v>
      </c>
      <c r="E5142" s="2">
        <v>36.979999999999997</v>
      </c>
      <c r="F5142" s="2">
        <v>2</v>
      </c>
      <c r="G5142" s="2" t="s">
        <v>11</v>
      </c>
    </row>
    <row r="5143" spans="1:7" x14ac:dyDescent="0.2">
      <c r="A5143" s="2" t="s">
        <v>3504</v>
      </c>
      <c r="B5143" s="2" t="s">
        <v>341</v>
      </c>
      <c r="C5143" s="2">
        <v>579.37369999999999</v>
      </c>
      <c r="D5143" s="2">
        <f>HYPERLINK("http://mcb-m6.bioreg.kyushu-u.ac.jp/M3/20110411/F50915/1076/1", 39.98)</f>
        <v>39.979999999999997</v>
      </c>
      <c r="E5143" s="2">
        <v>18.399999999999999</v>
      </c>
      <c r="F5143" s="2">
        <v>2</v>
      </c>
      <c r="G5143" s="2" t="s">
        <v>9</v>
      </c>
    </row>
    <row r="5144" spans="1:7" x14ac:dyDescent="0.2">
      <c r="A5144" s="2" t="s">
        <v>3504</v>
      </c>
      <c r="B5144" s="2" t="s">
        <v>341</v>
      </c>
      <c r="C5144" s="2">
        <v>579.43269999999995</v>
      </c>
      <c r="D5144" s="2">
        <f>HYPERLINK("http://mcb-m6.bioreg.kyushu-u.ac.jp/M3/20110411/F50917/1142/1", 35.2)</f>
        <v>35.200000000000003</v>
      </c>
      <c r="E5144" s="2">
        <v>10.76</v>
      </c>
      <c r="F5144" s="2">
        <v>2</v>
      </c>
      <c r="G5144" s="2" t="s">
        <v>10</v>
      </c>
    </row>
    <row r="5145" spans="1:7" x14ac:dyDescent="0.2">
      <c r="A5145" s="2" t="s">
        <v>4076</v>
      </c>
      <c r="B5145" s="2" t="s">
        <v>1478</v>
      </c>
      <c r="C5145" s="2">
        <v>965.44119999999998</v>
      </c>
      <c r="D5145" s="2">
        <f>HYPERLINK("http://mcb-m6.bioreg.kyushu-u.ac.jp/M3/20110411/F50915/3137/1", 84.29)</f>
        <v>84.29</v>
      </c>
      <c r="E5145" s="2">
        <v>74.34</v>
      </c>
      <c r="F5145" s="2">
        <v>2</v>
      </c>
      <c r="G5145" s="2" t="s">
        <v>9</v>
      </c>
    </row>
    <row r="5146" spans="1:7" x14ac:dyDescent="0.2">
      <c r="A5146" s="2" t="s">
        <v>4076</v>
      </c>
      <c r="B5146" s="2" t="s">
        <v>1478</v>
      </c>
      <c r="C5146" s="2">
        <v>964.8492</v>
      </c>
      <c r="D5146" s="2">
        <f>HYPERLINK("http://mcb-m6.bioreg.kyushu-u.ac.jp/M3/20110411/F50915/3133/1", 96.72)</f>
        <v>96.72</v>
      </c>
      <c r="E5146" s="2">
        <v>83.79</v>
      </c>
      <c r="F5146" s="2">
        <v>2</v>
      </c>
      <c r="G5146" s="2" t="s">
        <v>9</v>
      </c>
    </row>
    <row r="5147" spans="1:7" x14ac:dyDescent="0.2">
      <c r="A5147" s="2" t="s">
        <v>4076</v>
      </c>
      <c r="B5147" s="2" t="s">
        <v>1478</v>
      </c>
      <c r="C5147" s="2">
        <v>965.02869999999996</v>
      </c>
      <c r="D5147" s="2">
        <f>HYPERLINK("http://mcb-m6.bioreg.kyushu-u.ac.jp/M3/20110411/F50917/3179/1", 103.11)</f>
        <v>103.11</v>
      </c>
      <c r="E5147" s="2">
        <v>91.66</v>
      </c>
      <c r="F5147" s="2">
        <v>2</v>
      </c>
      <c r="G5147" s="2" t="s">
        <v>10</v>
      </c>
    </row>
    <row r="5148" spans="1:7" x14ac:dyDescent="0.2">
      <c r="A5148" s="2" t="s">
        <v>4076</v>
      </c>
      <c r="B5148" s="2" t="s">
        <v>1478</v>
      </c>
      <c r="C5148" s="2">
        <v>964.67570000000001</v>
      </c>
      <c r="D5148" s="2">
        <f>HYPERLINK("http://mcb-m6.bioreg.kyushu-u.ac.jp/M3/20110414/F50942/3254/1", 35.05)</f>
        <v>35.049999999999997</v>
      </c>
      <c r="E5148" s="2">
        <v>24.19</v>
      </c>
      <c r="F5148" s="2">
        <v>2</v>
      </c>
      <c r="G5148" s="2" t="s">
        <v>11</v>
      </c>
    </row>
    <row r="5149" spans="1:7" x14ac:dyDescent="0.2">
      <c r="A5149" s="2" t="s">
        <v>4076</v>
      </c>
      <c r="B5149" s="2" t="s">
        <v>1478</v>
      </c>
      <c r="C5149" s="2">
        <v>964.70820000000003</v>
      </c>
      <c r="D5149" s="2">
        <f>HYPERLINK("http://mcb-m6.bioreg.kyushu-u.ac.jp/M3/20110414/F50956/3367/1", 46.53)</f>
        <v>46.53</v>
      </c>
      <c r="E5149" s="2">
        <v>28.15</v>
      </c>
      <c r="F5149" s="2">
        <v>2</v>
      </c>
      <c r="G5149" s="2" t="s">
        <v>11</v>
      </c>
    </row>
    <row r="5150" spans="1:7" x14ac:dyDescent="0.2">
      <c r="A5150" s="2" t="s">
        <v>4076</v>
      </c>
      <c r="B5150" s="2" t="s">
        <v>1478</v>
      </c>
      <c r="C5150" s="2">
        <v>965.22770000000003</v>
      </c>
      <c r="D5150" s="2">
        <f>HYPERLINK("http://mcb-m6.bioreg.kyushu-u.ac.jp/M3/20110414/F50956/3373/1", 110.32)</f>
        <v>110.32</v>
      </c>
      <c r="E5150" s="2">
        <v>95.48</v>
      </c>
      <c r="F5150" s="2">
        <v>2</v>
      </c>
      <c r="G5150" s="2" t="s">
        <v>11</v>
      </c>
    </row>
    <row r="5151" spans="1:7" x14ac:dyDescent="0.2">
      <c r="A5151" s="2" t="s">
        <v>4076</v>
      </c>
      <c r="B5151" s="2" t="s">
        <v>1478</v>
      </c>
      <c r="C5151" s="2">
        <v>964.78920000000005</v>
      </c>
      <c r="D5151" s="2">
        <f>HYPERLINK("http://mcb-m6.bioreg.kyushu-u.ac.jp/M3/20110414/F50958/3441/1", 113.74)</f>
        <v>113.74</v>
      </c>
      <c r="E5151" s="2">
        <v>92.13</v>
      </c>
      <c r="F5151" s="2">
        <v>2</v>
      </c>
      <c r="G5151" s="2" t="s">
        <v>12</v>
      </c>
    </row>
    <row r="5152" spans="1:7" x14ac:dyDescent="0.2">
      <c r="A5152" s="2" t="s">
        <v>4615</v>
      </c>
      <c r="B5152" s="2" t="s">
        <v>2738</v>
      </c>
      <c r="C5152" s="2">
        <v>468.1146</v>
      </c>
      <c r="D5152" s="2">
        <f>HYPERLINK("http://mcb-m6.bioreg.kyushu-u.ac.jp/M3/20110414/F50958/506/1", 70.99)</f>
        <v>70.989999999999995</v>
      </c>
      <c r="E5152" s="2">
        <v>42.06</v>
      </c>
      <c r="F5152" s="2">
        <v>2</v>
      </c>
      <c r="G5152" s="2" t="s">
        <v>12</v>
      </c>
    </row>
    <row r="5153" spans="1:7" x14ac:dyDescent="0.2">
      <c r="A5153" s="2" t="s">
        <v>3922</v>
      </c>
      <c r="B5153" s="2" t="s">
        <v>1098</v>
      </c>
      <c r="C5153" s="2">
        <v>565.64319999999998</v>
      </c>
      <c r="D5153" s="2">
        <f>HYPERLINK("http://mcb-m6.bioreg.kyushu-u.ac.jp/M3/20110411/F50915/2541/1", 62.96)</f>
        <v>62.96</v>
      </c>
      <c r="E5153" s="2">
        <v>40.799999999999997</v>
      </c>
      <c r="F5153" s="2">
        <v>3</v>
      </c>
      <c r="G5153" s="2" t="s">
        <v>9</v>
      </c>
    </row>
    <row r="5154" spans="1:7" x14ac:dyDescent="0.2">
      <c r="A5154" s="2" t="s">
        <v>4351</v>
      </c>
      <c r="B5154" s="2" t="s">
        <v>2167</v>
      </c>
      <c r="C5154" s="2">
        <v>601.73720000000003</v>
      </c>
      <c r="D5154" s="2">
        <f>HYPERLINK("http://mcb-m6.bioreg.kyushu-u.ac.jp/M3/20110414/F50956/1074/1", 35.72)</f>
        <v>35.72</v>
      </c>
      <c r="E5154" s="2">
        <v>10.84</v>
      </c>
      <c r="F5154" s="2">
        <v>2</v>
      </c>
      <c r="G5154" s="2" t="s">
        <v>11</v>
      </c>
    </row>
    <row r="5155" spans="1:7" x14ac:dyDescent="0.2">
      <c r="A5155" s="2" t="s">
        <v>4203</v>
      </c>
      <c r="B5155" s="2" t="s">
        <v>1795</v>
      </c>
      <c r="C5155" s="2">
        <v>1044.6500000000001</v>
      </c>
      <c r="D5155" s="2">
        <f>HYPERLINK("http://mcb-m6.bioreg.kyushu-u.ac.jp/M3/20110411/F50899/1631/1", 39.59)</f>
        <v>39.590000000000003</v>
      </c>
      <c r="E5155" s="2">
        <v>10.56</v>
      </c>
      <c r="F5155" s="2">
        <v>1</v>
      </c>
      <c r="G5155" s="2" t="s">
        <v>10</v>
      </c>
    </row>
    <row r="5156" spans="1:7" x14ac:dyDescent="0.2">
      <c r="A5156" s="2" t="s">
        <v>3625</v>
      </c>
      <c r="B5156" s="2" t="s">
        <v>537</v>
      </c>
      <c r="C5156" s="2">
        <v>665.4597</v>
      </c>
      <c r="D5156" s="2">
        <f>HYPERLINK("http://mcb-m6.bioreg.kyushu-u.ac.jp/M3/20110411/F50919/1278/1", 44.2)</f>
        <v>44.2</v>
      </c>
      <c r="E5156" s="2">
        <v>21.98</v>
      </c>
      <c r="F5156" s="2">
        <v>2</v>
      </c>
      <c r="G5156" s="2" t="s">
        <v>9</v>
      </c>
    </row>
    <row r="5157" spans="1:7" x14ac:dyDescent="0.2">
      <c r="A5157" s="2" t="s">
        <v>3625</v>
      </c>
      <c r="B5157" s="2" t="s">
        <v>537</v>
      </c>
      <c r="C5157" s="2">
        <v>1330.5029999999999</v>
      </c>
      <c r="D5157" s="2">
        <f>HYPERLINK("http://mcb-m6.bioreg.kyushu-u.ac.jp/M3/20110411/F50891/1678/1", 45.13)</f>
        <v>45.13</v>
      </c>
      <c r="E5157" s="2">
        <v>34.869999999999997</v>
      </c>
      <c r="F5157" s="2">
        <v>1</v>
      </c>
      <c r="G5157" s="2" t="s">
        <v>9</v>
      </c>
    </row>
    <row r="5158" spans="1:7" x14ac:dyDescent="0.2">
      <c r="A5158" s="2" t="s">
        <v>3625</v>
      </c>
      <c r="B5158" s="2" t="s">
        <v>537</v>
      </c>
      <c r="C5158" s="2">
        <v>665.39469999999994</v>
      </c>
      <c r="D5158" s="2">
        <f>HYPERLINK("http://mcb-m6.bioreg.kyushu-u.ac.jp/M3/20110411/F50915/1463/1", 51.75)</f>
        <v>51.75</v>
      </c>
      <c r="E5158" s="2">
        <v>26.6</v>
      </c>
      <c r="F5158" s="2">
        <v>2</v>
      </c>
      <c r="G5158" s="2" t="s">
        <v>9</v>
      </c>
    </row>
    <row r="5159" spans="1:7" x14ac:dyDescent="0.2">
      <c r="A5159" s="2" t="s">
        <v>3625</v>
      </c>
      <c r="B5159" s="2" t="s">
        <v>537</v>
      </c>
      <c r="C5159" s="2">
        <v>1330.133</v>
      </c>
      <c r="D5159" s="2">
        <f>HYPERLINK("http://mcb-m6.bioreg.kyushu-u.ac.jp/M3/20110411/F50893/1830/1", 52.72)</f>
        <v>52.72</v>
      </c>
      <c r="E5159" s="2">
        <v>27.13</v>
      </c>
      <c r="F5159" s="2">
        <v>1</v>
      </c>
      <c r="G5159" s="2" t="s">
        <v>9</v>
      </c>
    </row>
    <row r="5160" spans="1:7" x14ac:dyDescent="0.2">
      <c r="A5160" s="2" t="s">
        <v>3625</v>
      </c>
      <c r="B5160" s="2" t="s">
        <v>537</v>
      </c>
      <c r="C5160" s="2">
        <v>1329.807</v>
      </c>
      <c r="D5160" s="2">
        <f>HYPERLINK("http://mcb-m6.bioreg.kyushu-u.ac.jp/M3/20110411/F50905/1631/1", 58.11)</f>
        <v>58.11</v>
      </c>
      <c r="E5160" s="2">
        <v>35.14</v>
      </c>
      <c r="F5160" s="2">
        <v>1</v>
      </c>
      <c r="G5160" s="2" t="s">
        <v>9</v>
      </c>
    </row>
    <row r="5161" spans="1:7" x14ac:dyDescent="0.2">
      <c r="A5161" s="2" t="s">
        <v>3625</v>
      </c>
      <c r="B5161" s="2" t="s">
        <v>537</v>
      </c>
      <c r="C5161" s="2">
        <v>665.36969999999997</v>
      </c>
      <c r="D5161" s="2">
        <f>HYPERLINK("http://mcb-m6.bioreg.kyushu-u.ac.jp/M3/20110411/F50895/1695/1", 59.71)</f>
        <v>59.71</v>
      </c>
      <c r="E5161" s="2">
        <v>43.54</v>
      </c>
      <c r="F5161" s="2">
        <v>2</v>
      </c>
      <c r="G5161" s="2" t="s">
        <v>9</v>
      </c>
    </row>
    <row r="5162" spans="1:7" x14ac:dyDescent="0.2">
      <c r="A5162" s="2" t="s">
        <v>3625</v>
      </c>
      <c r="B5162" s="2" t="s">
        <v>537</v>
      </c>
      <c r="C5162" s="2">
        <v>665.34810000000004</v>
      </c>
      <c r="D5162" s="2">
        <f>HYPERLINK("http://mcb-m6.bioreg.kyushu-u.ac.jp/M3/20110411/F50892/1850/1", 61.54)</f>
        <v>61.54</v>
      </c>
      <c r="E5162" s="2">
        <v>26.65</v>
      </c>
      <c r="F5162" s="2">
        <v>2</v>
      </c>
      <c r="G5162" s="2" t="s">
        <v>9</v>
      </c>
    </row>
    <row r="5163" spans="1:7" x14ac:dyDescent="0.2">
      <c r="A5163" s="2" t="s">
        <v>3625</v>
      </c>
      <c r="B5163" s="2" t="s">
        <v>537</v>
      </c>
      <c r="C5163" s="2">
        <v>1329.711</v>
      </c>
      <c r="D5163" s="2">
        <f>HYPERLINK("http://mcb-m6.bioreg.kyushu-u.ac.jp/M3/20110411/F50895/1694/1", 64.97)</f>
        <v>64.97</v>
      </c>
      <c r="E5163" s="2">
        <v>43.57</v>
      </c>
      <c r="F5163" s="2">
        <v>1</v>
      </c>
      <c r="G5163" s="2" t="s">
        <v>9</v>
      </c>
    </row>
    <row r="5164" spans="1:7" x14ac:dyDescent="0.2">
      <c r="A5164" s="2" t="s">
        <v>3625</v>
      </c>
      <c r="B5164" s="2" t="s">
        <v>537</v>
      </c>
      <c r="C5164" s="2">
        <v>1329.36</v>
      </c>
      <c r="D5164" s="2">
        <f>HYPERLINK("http://mcb-m6.bioreg.kyushu-u.ac.jp/M3/20110411/F50891/1674/1", 65.26)</f>
        <v>65.260000000000005</v>
      </c>
      <c r="E5164" s="2">
        <v>46.08</v>
      </c>
      <c r="F5164" s="2">
        <v>1</v>
      </c>
      <c r="G5164" s="2" t="s">
        <v>9</v>
      </c>
    </row>
    <row r="5165" spans="1:7" x14ac:dyDescent="0.2">
      <c r="A5165" s="2" t="s">
        <v>3625</v>
      </c>
      <c r="B5165" s="2" t="s">
        <v>537</v>
      </c>
      <c r="C5165" s="2">
        <v>665.87919999999997</v>
      </c>
      <c r="D5165" s="2">
        <f>HYPERLINK("http://mcb-m6.bioreg.kyushu-u.ac.jp/M3/20110411/F50916/1462/1", 71.32)</f>
        <v>71.319999999999993</v>
      </c>
      <c r="E5165" s="2">
        <v>48.5</v>
      </c>
      <c r="F5165" s="2">
        <v>2</v>
      </c>
      <c r="G5165" s="2" t="s">
        <v>9</v>
      </c>
    </row>
    <row r="5166" spans="1:7" x14ac:dyDescent="0.2">
      <c r="A5166" s="2" t="s">
        <v>3625</v>
      </c>
      <c r="B5166" s="2" t="s">
        <v>537</v>
      </c>
      <c r="C5166" s="2">
        <v>665.70870000000002</v>
      </c>
      <c r="D5166" s="2">
        <f>HYPERLINK("http://mcb-m6.bioreg.kyushu-u.ac.jp/M3/20110411/F50894/1931/1", 71.36)</f>
        <v>71.36</v>
      </c>
      <c r="E5166" s="2">
        <v>36.840000000000003</v>
      </c>
      <c r="F5166" s="2">
        <v>2</v>
      </c>
      <c r="G5166" s="2" t="s">
        <v>9</v>
      </c>
    </row>
    <row r="5167" spans="1:7" x14ac:dyDescent="0.2">
      <c r="A5167" s="2" t="s">
        <v>3625</v>
      </c>
      <c r="B5167" s="2" t="s">
        <v>537</v>
      </c>
      <c r="C5167" s="2">
        <v>665.88959999999997</v>
      </c>
      <c r="D5167" s="2">
        <f>HYPERLINK("http://mcb-m6.bioreg.kyushu-u.ac.jp/M3/20110411/F50895/1698/1", 72.04)</f>
        <v>72.040000000000006</v>
      </c>
      <c r="E5167" s="2">
        <v>33.57</v>
      </c>
      <c r="F5167" s="2">
        <v>2</v>
      </c>
      <c r="G5167" s="2" t="s">
        <v>9</v>
      </c>
    </row>
    <row r="5168" spans="1:7" x14ac:dyDescent="0.2">
      <c r="A5168" s="2" t="s">
        <v>3625</v>
      </c>
      <c r="B5168" s="2" t="s">
        <v>537</v>
      </c>
      <c r="C5168" s="2">
        <v>665.53920000000005</v>
      </c>
      <c r="D5168" s="2">
        <f>HYPERLINK("http://mcb-m6.bioreg.kyushu-u.ac.jp/M3/20110411/F50911/1671/1", 75.82)</f>
        <v>75.819999999999993</v>
      </c>
      <c r="E5168" s="2">
        <v>41.2</v>
      </c>
      <c r="F5168" s="2">
        <v>2</v>
      </c>
      <c r="G5168" s="2" t="s">
        <v>9</v>
      </c>
    </row>
    <row r="5169" spans="1:7" x14ac:dyDescent="0.2">
      <c r="A5169" s="2" t="s">
        <v>3625</v>
      </c>
      <c r="B5169" s="2" t="s">
        <v>537</v>
      </c>
      <c r="C5169" s="2">
        <v>665.78859999999997</v>
      </c>
      <c r="D5169" s="2">
        <f>HYPERLINK("http://mcb-m6.bioreg.kyushu-u.ac.jp/M3/20110411/F50890/1772/1", 78.76)</f>
        <v>78.760000000000005</v>
      </c>
      <c r="E5169" s="2">
        <v>47.66</v>
      </c>
      <c r="F5169" s="2">
        <v>2</v>
      </c>
      <c r="G5169" s="2" t="s">
        <v>9</v>
      </c>
    </row>
    <row r="5170" spans="1:7" x14ac:dyDescent="0.2">
      <c r="A5170" s="2" t="s">
        <v>3625</v>
      </c>
      <c r="B5170" s="2" t="s">
        <v>537</v>
      </c>
      <c r="C5170" s="2">
        <v>665.2722</v>
      </c>
      <c r="D5170" s="2">
        <f>HYPERLINK("http://mcb-m6.bioreg.kyushu-u.ac.jp/M3/20110411/F50890/1768/1", 80.65)</f>
        <v>80.650000000000006</v>
      </c>
      <c r="E5170" s="2">
        <v>45.15</v>
      </c>
      <c r="F5170" s="2">
        <v>2</v>
      </c>
      <c r="G5170" s="2" t="s">
        <v>9</v>
      </c>
    </row>
    <row r="5171" spans="1:7" x14ac:dyDescent="0.2">
      <c r="A5171" s="2" t="s">
        <v>3625</v>
      </c>
      <c r="B5171" s="2" t="s">
        <v>537</v>
      </c>
      <c r="C5171" s="2">
        <v>665.44209999999998</v>
      </c>
      <c r="D5171" s="2">
        <f>HYPERLINK("http://mcb-m6.bioreg.kyushu-u.ac.jp/M3/20110411/F50905/1632/1", 81.6)</f>
        <v>81.599999999999994</v>
      </c>
      <c r="E5171" s="2">
        <v>45.88</v>
      </c>
      <c r="F5171" s="2">
        <v>2</v>
      </c>
      <c r="G5171" s="2" t="s">
        <v>9</v>
      </c>
    </row>
    <row r="5172" spans="1:7" x14ac:dyDescent="0.2">
      <c r="A5172" s="2" t="s">
        <v>3625</v>
      </c>
      <c r="B5172" s="2" t="s">
        <v>537</v>
      </c>
      <c r="C5172" s="2">
        <v>665.36109999999996</v>
      </c>
      <c r="D5172" s="2">
        <f>HYPERLINK("http://mcb-m6.bioreg.kyushu-u.ac.jp/M3/20110411/F50912/1673/1", 39.97)</f>
        <v>39.97</v>
      </c>
      <c r="E5172" s="2">
        <v>20.96</v>
      </c>
      <c r="F5172" s="2">
        <v>2</v>
      </c>
      <c r="G5172" s="2" t="s">
        <v>10</v>
      </c>
    </row>
    <row r="5173" spans="1:7" x14ac:dyDescent="0.2">
      <c r="A5173" s="2" t="s">
        <v>3625</v>
      </c>
      <c r="B5173" s="2" t="s">
        <v>537</v>
      </c>
      <c r="C5173" s="2">
        <v>665.45619999999997</v>
      </c>
      <c r="D5173" s="2">
        <f>HYPERLINK("http://mcb-m6.bioreg.kyushu-u.ac.jp/M3/20110411/F50918/1434/1", 42.85)</f>
        <v>42.85</v>
      </c>
      <c r="E5173" s="2">
        <v>18.739999999999998</v>
      </c>
      <c r="F5173" s="2">
        <v>2</v>
      </c>
      <c r="G5173" s="2" t="s">
        <v>10</v>
      </c>
    </row>
    <row r="5174" spans="1:7" x14ac:dyDescent="0.2">
      <c r="A5174" s="2" t="s">
        <v>3625</v>
      </c>
      <c r="B5174" s="2" t="s">
        <v>537</v>
      </c>
      <c r="C5174" s="2">
        <v>1329.723</v>
      </c>
      <c r="D5174" s="2">
        <f>HYPERLINK("http://mcb-m6.bioreg.kyushu-u.ac.jp/M3/20110411/F50920/1200/1", 54.62)</f>
        <v>54.62</v>
      </c>
      <c r="E5174" s="2">
        <v>37.880000000000003</v>
      </c>
      <c r="F5174" s="2">
        <v>1</v>
      </c>
      <c r="G5174" s="2" t="s">
        <v>10</v>
      </c>
    </row>
    <row r="5175" spans="1:7" x14ac:dyDescent="0.2">
      <c r="A5175" s="2" t="s">
        <v>3625</v>
      </c>
      <c r="B5175" s="2" t="s">
        <v>537</v>
      </c>
      <c r="C5175" s="2">
        <v>665.58320000000003</v>
      </c>
      <c r="D5175" s="2">
        <f>HYPERLINK("http://mcb-m6.bioreg.kyushu-u.ac.jp/M3/20110411/F50914/1708/1", 59.74)</f>
        <v>59.74</v>
      </c>
      <c r="E5175" s="2">
        <v>32.56</v>
      </c>
      <c r="F5175" s="2">
        <v>2</v>
      </c>
      <c r="G5175" s="2" t="s">
        <v>10</v>
      </c>
    </row>
    <row r="5176" spans="1:7" x14ac:dyDescent="0.2">
      <c r="A5176" s="2" t="s">
        <v>3625</v>
      </c>
      <c r="B5176" s="2" t="s">
        <v>537</v>
      </c>
      <c r="C5176" s="2">
        <v>665.35170000000005</v>
      </c>
      <c r="D5176" s="2">
        <f>HYPERLINK("http://mcb-m6.bioreg.kyushu-u.ac.jp/M3/20110411/F50913/1634/1", 59.86)</f>
        <v>59.86</v>
      </c>
      <c r="E5176" s="2">
        <v>23.06</v>
      </c>
      <c r="F5176" s="2">
        <v>2</v>
      </c>
      <c r="G5176" s="2" t="s">
        <v>10</v>
      </c>
    </row>
    <row r="5177" spans="1:7" x14ac:dyDescent="0.2">
      <c r="A5177" s="2" t="s">
        <v>3625</v>
      </c>
      <c r="B5177" s="2" t="s">
        <v>537</v>
      </c>
      <c r="C5177" s="2">
        <v>665.72860000000003</v>
      </c>
      <c r="D5177" s="2">
        <f>HYPERLINK("http://mcb-m6.bioreg.kyushu-u.ac.jp/M3/20110411/F50902/1691/1", 62.68)</f>
        <v>62.68</v>
      </c>
      <c r="E5177" s="2">
        <v>27.78</v>
      </c>
      <c r="F5177" s="2">
        <v>2</v>
      </c>
      <c r="G5177" s="2" t="s">
        <v>10</v>
      </c>
    </row>
    <row r="5178" spans="1:7" x14ac:dyDescent="0.2">
      <c r="A5178" s="2" t="s">
        <v>3625</v>
      </c>
      <c r="B5178" s="2" t="s">
        <v>537</v>
      </c>
      <c r="C5178" s="2">
        <v>665.78369999999995</v>
      </c>
      <c r="D5178" s="2">
        <f>HYPERLINK("http://mcb-m6.bioreg.kyushu-u.ac.jp/M3/20110411/F50917/1529/1", 92.32)</f>
        <v>92.32</v>
      </c>
      <c r="E5178" s="2">
        <v>62.2</v>
      </c>
      <c r="F5178" s="2">
        <v>2</v>
      </c>
      <c r="G5178" s="2" t="s">
        <v>10</v>
      </c>
    </row>
    <row r="5179" spans="1:7" x14ac:dyDescent="0.2">
      <c r="A5179" s="2" t="s">
        <v>3625</v>
      </c>
      <c r="B5179" s="2" t="s">
        <v>537</v>
      </c>
      <c r="C5179" s="2">
        <v>665.17169999999999</v>
      </c>
      <c r="D5179" s="2">
        <f>HYPERLINK("http://mcb-m6.bioreg.kyushu-u.ac.jp/M3/20110414/F50941/1630/1", 52.87)</f>
        <v>52.87</v>
      </c>
      <c r="E5179" s="2">
        <v>35.42</v>
      </c>
      <c r="F5179" s="2">
        <v>2</v>
      </c>
      <c r="G5179" s="2" t="s">
        <v>11</v>
      </c>
    </row>
    <row r="5180" spans="1:7" x14ac:dyDescent="0.2">
      <c r="A5180" s="2" t="s">
        <v>3625</v>
      </c>
      <c r="B5180" s="2" t="s">
        <v>537</v>
      </c>
      <c r="C5180" s="2">
        <v>665.71510000000001</v>
      </c>
      <c r="D5180" s="2">
        <f>HYPERLINK("http://mcb-m6.bioreg.kyushu-u.ac.jp/M3/20110414/F50941/1633/1", 67.08)</f>
        <v>67.08</v>
      </c>
      <c r="E5180" s="2">
        <v>42.69</v>
      </c>
      <c r="F5180" s="2">
        <v>2</v>
      </c>
      <c r="G5180" s="2" t="s">
        <v>11</v>
      </c>
    </row>
    <row r="5181" spans="1:7" x14ac:dyDescent="0.2">
      <c r="A5181" s="2" t="s">
        <v>3625</v>
      </c>
      <c r="B5181" s="2" t="s">
        <v>537</v>
      </c>
      <c r="C5181" s="2">
        <v>665.85969999999998</v>
      </c>
      <c r="D5181" s="2">
        <f>HYPERLINK("http://mcb-m6.bioreg.kyushu-u.ac.jp/M3/20110414/F50956/1409/1", 85.24)</f>
        <v>85.24</v>
      </c>
      <c r="E5181" s="2">
        <v>57.21</v>
      </c>
      <c r="F5181" s="2">
        <v>2</v>
      </c>
      <c r="G5181" s="2" t="s">
        <v>11</v>
      </c>
    </row>
    <row r="5182" spans="1:7" x14ac:dyDescent="0.2">
      <c r="A5182" s="2" t="s">
        <v>3625</v>
      </c>
      <c r="B5182" s="2" t="s">
        <v>537</v>
      </c>
      <c r="C5182" s="2">
        <v>665.04719999999998</v>
      </c>
      <c r="D5182" s="2">
        <f>HYPERLINK("http://mcb-m6.bioreg.kyushu-u.ac.jp/M3/20110414/F50948/1579/1", 45.34)</f>
        <v>45.34</v>
      </c>
      <c r="E5182" s="2">
        <v>21.91</v>
      </c>
      <c r="F5182" s="2">
        <v>2</v>
      </c>
      <c r="G5182" s="2" t="s">
        <v>12</v>
      </c>
    </row>
    <row r="5183" spans="1:7" x14ac:dyDescent="0.2">
      <c r="A5183" s="2" t="s">
        <v>3625</v>
      </c>
      <c r="B5183" s="2" t="s">
        <v>537</v>
      </c>
      <c r="C5183" s="2">
        <v>1329.2149999999999</v>
      </c>
      <c r="D5183" s="2">
        <f>HYPERLINK("http://mcb-m6.bioreg.kyushu-u.ac.jp/M3/20110414/F50948/1580/1", 55.82)</f>
        <v>55.82</v>
      </c>
      <c r="E5183" s="2">
        <v>36.909999999999997</v>
      </c>
      <c r="F5183" s="2">
        <v>1</v>
      </c>
      <c r="G5183" s="2" t="s">
        <v>12</v>
      </c>
    </row>
    <row r="5184" spans="1:7" x14ac:dyDescent="0.2">
      <c r="A5184" s="2" t="s">
        <v>3625</v>
      </c>
      <c r="B5184" s="2" t="s">
        <v>537</v>
      </c>
      <c r="C5184" s="2">
        <v>665.27120000000002</v>
      </c>
      <c r="D5184" s="2">
        <f>HYPERLINK("http://mcb-m6.bioreg.kyushu-u.ac.jp/M3/20110414/F50950/1680/1", 82.52)</f>
        <v>82.52</v>
      </c>
      <c r="E5184" s="2">
        <v>52.16</v>
      </c>
      <c r="F5184" s="2">
        <v>2</v>
      </c>
      <c r="G5184" s="2" t="s">
        <v>12</v>
      </c>
    </row>
    <row r="5185" spans="1:7" x14ac:dyDescent="0.2">
      <c r="A5185" s="2" t="s">
        <v>3625</v>
      </c>
      <c r="B5185" s="2" t="s">
        <v>537</v>
      </c>
      <c r="C5185" s="2">
        <v>1329.8589999999999</v>
      </c>
      <c r="D5185" s="2">
        <f>HYPERLINK("http://mcb-m6.bioreg.kyushu-u.ac.jp/M3/20110502/F51172/1583/1", 52.55)</f>
        <v>52.55</v>
      </c>
      <c r="E5185" s="2">
        <v>38.75</v>
      </c>
      <c r="F5185" s="2">
        <v>1</v>
      </c>
      <c r="G5185" s="2" t="s">
        <v>13</v>
      </c>
    </row>
    <row r="5186" spans="1:7" x14ac:dyDescent="0.2">
      <c r="A5186" s="2" t="s">
        <v>3625</v>
      </c>
      <c r="B5186" s="2" t="s">
        <v>537</v>
      </c>
      <c r="C5186" s="2">
        <v>1330.8389999999999</v>
      </c>
      <c r="D5186" s="2">
        <f>HYPERLINK("http://mcb-m6.bioreg.kyushu-u.ac.jp/M3/20110502/F51172/1587/1", 65.04)</f>
        <v>65.040000000000006</v>
      </c>
      <c r="E5186" s="2">
        <v>43.31</v>
      </c>
      <c r="F5186" s="2">
        <v>1</v>
      </c>
      <c r="G5186" s="2" t="s">
        <v>13</v>
      </c>
    </row>
    <row r="5187" spans="1:7" x14ac:dyDescent="0.2">
      <c r="A5187" s="2" t="s">
        <v>3625</v>
      </c>
      <c r="B5187" s="2" t="s">
        <v>537</v>
      </c>
      <c r="C5187" s="2">
        <v>665.89419999999996</v>
      </c>
      <c r="D5187" s="2">
        <f>HYPERLINK("http://mcb-m6.bioreg.kyushu-u.ac.jp/M3/20110502/F51170/1684/1", 76.54)</f>
        <v>76.540000000000006</v>
      </c>
      <c r="E5187" s="2">
        <v>48.47</v>
      </c>
      <c r="F5187" s="2">
        <v>2</v>
      </c>
      <c r="G5187" s="2" t="s">
        <v>13</v>
      </c>
    </row>
    <row r="5188" spans="1:7" x14ac:dyDescent="0.2">
      <c r="A5188" s="2" t="s">
        <v>3625</v>
      </c>
      <c r="B5188" s="2" t="s">
        <v>537</v>
      </c>
      <c r="C5188" s="2">
        <v>665.48320000000001</v>
      </c>
      <c r="D5188" s="2">
        <f>HYPERLINK("http://mcb-m6.bioreg.kyushu-u.ac.jp/M3/20110502/F51171/1657/1", 81.97)</f>
        <v>81.97</v>
      </c>
      <c r="E5188" s="2">
        <v>45.96</v>
      </c>
      <c r="F5188" s="2">
        <v>2</v>
      </c>
      <c r="G5188" s="2" t="s">
        <v>13</v>
      </c>
    </row>
    <row r="5189" spans="1:7" x14ac:dyDescent="0.2">
      <c r="A5189" s="2" t="s">
        <v>3625</v>
      </c>
      <c r="B5189" s="2" t="s">
        <v>537</v>
      </c>
      <c r="C5189" s="2">
        <v>665.52760000000001</v>
      </c>
      <c r="D5189" s="2">
        <f>HYPERLINK("http://mcb-m6.bioreg.kyushu-u.ac.jp/M3/20110502/F51172/1584/1", 88.36)</f>
        <v>88.36</v>
      </c>
      <c r="E5189" s="2">
        <v>63.2</v>
      </c>
      <c r="F5189" s="2">
        <v>2</v>
      </c>
      <c r="G5189" s="2" t="s">
        <v>13</v>
      </c>
    </row>
    <row r="5190" spans="1:7" x14ac:dyDescent="0.2">
      <c r="A5190" s="2" t="s">
        <v>3625</v>
      </c>
      <c r="B5190" s="2" t="s">
        <v>537</v>
      </c>
      <c r="C5190" s="2">
        <v>665.59310000000005</v>
      </c>
      <c r="D5190" s="2">
        <f>HYPERLINK("http://mcb-m6.bioreg.kyushu-u.ac.jp/M3/20110502/F51175/1554/1", 88.49)</f>
        <v>88.49</v>
      </c>
      <c r="E5190" s="2">
        <v>49.53</v>
      </c>
      <c r="F5190" s="2">
        <v>2</v>
      </c>
      <c r="G5190" s="2" t="s">
        <v>13</v>
      </c>
    </row>
    <row r="5191" spans="1:7" x14ac:dyDescent="0.2">
      <c r="A5191" s="2" t="s">
        <v>3625</v>
      </c>
      <c r="B5191" s="2" t="s">
        <v>537</v>
      </c>
      <c r="C5191" s="2">
        <v>665.62270000000001</v>
      </c>
      <c r="D5191" s="2">
        <f>HYPERLINK("http://mcb-m6.bioreg.kyushu-u.ac.jp/M3/20110502/F51189/1405/1", 92.41)</f>
        <v>92.41</v>
      </c>
      <c r="E5191" s="2">
        <v>53.27</v>
      </c>
      <c r="F5191" s="2">
        <v>2</v>
      </c>
      <c r="G5191" s="2" t="s">
        <v>13</v>
      </c>
    </row>
    <row r="5192" spans="1:7" x14ac:dyDescent="0.2">
      <c r="A5192" s="2" t="s">
        <v>3625</v>
      </c>
      <c r="B5192" s="2" t="s">
        <v>537</v>
      </c>
      <c r="C5192" s="2">
        <v>665.55619999999999</v>
      </c>
      <c r="D5192" s="2">
        <f>HYPERLINK("http://mcb-m6.bioreg.kyushu-u.ac.jp/M3/20110502/F51177/1345/1", 37.22)</f>
        <v>37.22</v>
      </c>
      <c r="E5192" s="2">
        <v>19.32</v>
      </c>
      <c r="F5192" s="2">
        <v>2</v>
      </c>
      <c r="G5192" s="2" t="s">
        <v>14</v>
      </c>
    </row>
    <row r="5193" spans="1:7" x14ac:dyDescent="0.2">
      <c r="A5193" s="2" t="s">
        <v>3625</v>
      </c>
      <c r="B5193" s="2" t="s">
        <v>537</v>
      </c>
      <c r="C5193" s="2">
        <v>1329.777</v>
      </c>
      <c r="D5193" s="2">
        <f>HYPERLINK("http://mcb-m6.bioreg.kyushu-u.ac.jp/M3/20110502/F51177/1341/1", 54.5)</f>
        <v>54.5</v>
      </c>
      <c r="E5193" s="2">
        <v>37.89</v>
      </c>
      <c r="F5193" s="2">
        <v>1</v>
      </c>
      <c r="G5193" s="2" t="s">
        <v>14</v>
      </c>
    </row>
    <row r="5194" spans="1:7" x14ac:dyDescent="0.2">
      <c r="A5194" s="2" t="s">
        <v>3625</v>
      </c>
      <c r="B5194" s="2" t="s">
        <v>537</v>
      </c>
      <c r="C5194" s="2">
        <v>1330.875</v>
      </c>
      <c r="D5194" s="2">
        <f>HYPERLINK("http://mcb-m6.bioreg.kyushu-u.ac.jp/M3/20110502/F51177/1347/1", 58.42)</f>
        <v>58.42</v>
      </c>
      <c r="E5194" s="2">
        <v>39.85</v>
      </c>
      <c r="F5194" s="2">
        <v>1</v>
      </c>
      <c r="G5194" s="2" t="s">
        <v>14</v>
      </c>
    </row>
    <row r="5195" spans="1:7" x14ac:dyDescent="0.2">
      <c r="A5195" s="2" t="s">
        <v>3625</v>
      </c>
      <c r="B5195" s="2" t="s">
        <v>537</v>
      </c>
      <c r="C5195" s="2">
        <v>665.49869999999999</v>
      </c>
      <c r="D5195" s="2">
        <f>HYPERLINK("http://mcb-m6.bioreg.kyushu-u.ac.jp/M3/20110502/F51178/1748/1", 62.67)</f>
        <v>62.67</v>
      </c>
      <c r="E5195" s="2">
        <v>35.880000000000003</v>
      </c>
      <c r="F5195" s="2">
        <v>2</v>
      </c>
      <c r="G5195" s="2" t="s">
        <v>14</v>
      </c>
    </row>
    <row r="5196" spans="1:7" x14ac:dyDescent="0.2">
      <c r="A5196" s="2" t="s">
        <v>3625</v>
      </c>
      <c r="B5196" s="2" t="s">
        <v>537</v>
      </c>
      <c r="C5196" s="2">
        <v>665.54420000000005</v>
      </c>
      <c r="D5196" s="2">
        <f>HYPERLINK("http://mcb-m6.bioreg.kyushu-u.ac.jp/M3/20110502/F51177/1344/1", 88.72)</f>
        <v>88.72</v>
      </c>
      <c r="E5196" s="2">
        <v>64</v>
      </c>
      <c r="F5196" s="2">
        <v>2</v>
      </c>
      <c r="G5196" s="2" t="s">
        <v>14</v>
      </c>
    </row>
    <row r="5197" spans="1:7" x14ac:dyDescent="0.2">
      <c r="A5197" s="2" t="s">
        <v>3625</v>
      </c>
      <c r="B5197" s="2" t="s">
        <v>537</v>
      </c>
      <c r="C5197" s="2">
        <v>665.8442</v>
      </c>
      <c r="D5197" s="2">
        <f>HYPERLINK("http://mcb-m6.bioreg.kyushu-u.ac.jp/M3/20110502/F51193/1406/1", 92.12)</f>
        <v>92.12</v>
      </c>
      <c r="E5197" s="2">
        <v>59.61</v>
      </c>
      <c r="F5197" s="2">
        <v>2</v>
      </c>
      <c r="G5197" s="2" t="s">
        <v>14</v>
      </c>
    </row>
    <row r="5198" spans="1:7" x14ac:dyDescent="0.2">
      <c r="A5198" s="4" t="s">
        <v>3703</v>
      </c>
      <c r="B5198" s="2" t="s">
        <v>682</v>
      </c>
      <c r="C5198" s="2">
        <v>827.64300000000003</v>
      </c>
      <c r="D5198" s="2">
        <f>HYPERLINK("http://mcb-m6.bioreg.kyushu-u.ac.jp/M3/20110411/F50911/714/1", 48.16)</f>
        <v>48.16</v>
      </c>
      <c r="E5198" s="2">
        <v>12.06</v>
      </c>
      <c r="F5198" s="2">
        <v>1</v>
      </c>
      <c r="G5198" s="2" t="s">
        <v>9</v>
      </c>
    </row>
    <row r="5199" spans="1:7" x14ac:dyDescent="0.2">
      <c r="A5199" s="4" t="s">
        <v>3703</v>
      </c>
      <c r="B5199" s="2" t="s">
        <v>682</v>
      </c>
      <c r="C5199" s="2">
        <v>827.60699999999997</v>
      </c>
      <c r="D5199" s="2">
        <f>HYPERLINK("http://mcb-m6.bioreg.kyushu-u.ac.jp/M3/20110502/F51177/425/1", 35.58)</f>
        <v>35.58</v>
      </c>
      <c r="E5199" s="2">
        <v>9.3699999999999992</v>
      </c>
      <c r="F5199" s="2">
        <v>1</v>
      </c>
      <c r="G5199" s="2" t="s">
        <v>14</v>
      </c>
    </row>
    <row r="5200" spans="1:7" x14ac:dyDescent="0.2">
      <c r="A5200" s="4" t="s">
        <v>3955</v>
      </c>
      <c r="B5200" s="2" t="s">
        <v>1163</v>
      </c>
      <c r="C5200" s="2">
        <v>541.8827</v>
      </c>
      <c r="D5200" s="2">
        <f>HYPERLINK("http://mcb-m6.bioreg.kyushu-u.ac.jp/M3/20110411/F50891/1131/1", 65.58)</f>
        <v>65.58</v>
      </c>
      <c r="E5200" s="2">
        <v>39.659999999999997</v>
      </c>
      <c r="F5200" s="2">
        <v>2</v>
      </c>
      <c r="G5200" s="2" t="s">
        <v>9</v>
      </c>
    </row>
    <row r="5201" spans="1:8" x14ac:dyDescent="0.2">
      <c r="A5201" s="4" t="s">
        <v>3955</v>
      </c>
      <c r="B5201" s="2" t="s">
        <v>1163</v>
      </c>
      <c r="C5201" s="2">
        <v>542.05359999999996</v>
      </c>
      <c r="D5201" s="2">
        <f>HYPERLINK("http://mcb-m6.bioreg.kyushu-u.ac.jp/M3/20110502/F51178/1280/1", 71.69)</f>
        <v>71.69</v>
      </c>
      <c r="E5201" s="2">
        <v>30.97</v>
      </c>
      <c r="F5201" s="2">
        <v>2</v>
      </c>
      <c r="G5201" s="2" t="s">
        <v>14</v>
      </c>
    </row>
    <row r="5202" spans="1:8" x14ac:dyDescent="0.2">
      <c r="A5202" s="2" t="s">
        <v>3578</v>
      </c>
      <c r="B5202" s="2" t="s">
        <v>454</v>
      </c>
      <c r="C5202" s="2">
        <v>533.88120000000004</v>
      </c>
      <c r="D5202" s="2">
        <f>HYPERLINK("http://mcb-m6.bioreg.kyushu-u.ac.jp/M3/20110411/F50905/1094/1", 42.21)</f>
        <v>42.21</v>
      </c>
      <c r="E5202" s="2">
        <v>10.93</v>
      </c>
      <c r="F5202" s="2">
        <v>2</v>
      </c>
      <c r="G5202" s="2" t="s">
        <v>9</v>
      </c>
    </row>
    <row r="5203" spans="1:8" x14ac:dyDescent="0.2">
      <c r="A5203" s="2" t="s">
        <v>3578</v>
      </c>
      <c r="B5203" s="2" t="s">
        <v>454</v>
      </c>
      <c r="C5203" s="2">
        <v>533.94960000000003</v>
      </c>
      <c r="D5203" s="2">
        <f>HYPERLINK("http://mcb-m6.bioreg.kyushu-u.ac.jp/M3/20110502/F51177/799/1", 36.07)</f>
        <v>36.07</v>
      </c>
      <c r="E5203" s="2">
        <v>11.67</v>
      </c>
      <c r="F5203" s="2">
        <v>2</v>
      </c>
      <c r="G5203" s="2" t="s">
        <v>14</v>
      </c>
    </row>
    <row r="5204" spans="1:8" x14ac:dyDescent="0.2">
      <c r="A5204" s="2" t="s">
        <v>4293</v>
      </c>
      <c r="B5204" s="2" t="s">
        <v>1990</v>
      </c>
      <c r="C5204" s="2">
        <v>728.53520000000003</v>
      </c>
      <c r="D5204" s="2">
        <f>HYPERLINK("http://mcb-m6.bioreg.kyushu-u.ac.jp/M3/20110411/F50920/1497/1", 57.37)</f>
        <v>57.37</v>
      </c>
      <c r="E5204" s="2">
        <v>33.520000000000003</v>
      </c>
      <c r="F5204" s="2">
        <v>2</v>
      </c>
      <c r="G5204" s="2" t="s">
        <v>10</v>
      </c>
    </row>
    <row r="5205" spans="1:8" x14ac:dyDescent="0.2">
      <c r="A5205" s="2" t="s">
        <v>4293</v>
      </c>
      <c r="B5205" s="2" t="s">
        <v>2003</v>
      </c>
      <c r="C5205" s="2">
        <v>606.68870000000004</v>
      </c>
      <c r="D5205" s="2">
        <f>HYPERLINK("http://mcb-m6.bioreg.kyushu-u.ac.jp/M3/20110411/F50920/1003/1", 59.39)</f>
        <v>59.39</v>
      </c>
      <c r="E5205" s="2">
        <v>37.840000000000003</v>
      </c>
      <c r="F5205" s="2">
        <v>2</v>
      </c>
      <c r="G5205" s="2" t="s">
        <v>10</v>
      </c>
    </row>
    <row r="5206" spans="1:8" x14ac:dyDescent="0.2">
      <c r="A5206" s="2" t="s">
        <v>3563</v>
      </c>
      <c r="B5206" s="2" t="s">
        <v>426</v>
      </c>
      <c r="C5206" s="2">
        <v>1477.133</v>
      </c>
      <c r="D5206" s="2">
        <f>HYPERLINK("http://mcb-m6.bioreg.kyushu-u.ac.jp/M3/20110411/F50893/2166/1", 41.64)</f>
        <v>41.64</v>
      </c>
      <c r="E5206" s="2">
        <v>16.350000000000001</v>
      </c>
      <c r="F5206" s="2">
        <v>1</v>
      </c>
      <c r="G5206" s="2" t="s">
        <v>9</v>
      </c>
    </row>
    <row r="5207" spans="1:8" x14ac:dyDescent="0.2">
      <c r="A5207" s="2" t="s">
        <v>3563</v>
      </c>
      <c r="B5207" s="2" t="s">
        <v>426</v>
      </c>
      <c r="C5207" s="2">
        <v>739.49720000000002</v>
      </c>
      <c r="D5207" s="2">
        <f>HYPERLINK("http://mcb-m6.bioreg.kyushu-u.ac.jp/M3/20110411/F50920/1566/1", 54.06)</f>
        <v>54.06</v>
      </c>
      <c r="E5207" s="2">
        <v>35.19</v>
      </c>
      <c r="F5207" s="2">
        <v>2</v>
      </c>
      <c r="G5207" s="2" t="s">
        <v>10</v>
      </c>
    </row>
    <row r="5208" spans="1:8" x14ac:dyDescent="0.2">
      <c r="A5208" s="2" t="s">
        <v>3563</v>
      </c>
      <c r="B5208" s="2" t="s">
        <v>426</v>
      </c>
      <c r="C5208" s="2">
        <v>738.55219999999997</v>
      </c>
      <c r="D5208" s="2">
        <f>HYPERLINK("http://mcb-m6.bioreg.kyushu-u.ac.jp/M3/20110411/F50901/2024/1", 83.18)</f>
        <v>83.18</v>
      </c>
      <c r="E5208" s="2">
        <v>4.8</v>
      </c>
      <c r="F5208" s="2">
        <v>2</v>
      </c>
      <c r="G5208" s="2" t="s">
        <v>10</v>
      </c>
    </row>
    <row r="5209" spans="1:8" x14ac:dyDescent="0.2">
      <c r="A5209" s="2" t="s">
        <v>3563</v>
      </c>
      <c r="B5209" s="2" t="s">
        <v>426</v>
      </c>
      <c r="C5209" s="2">
        <v>739.13570000000004</v>
      </c>
      <c r="D5209" s="2">
        <f>HYPERLINK("http://mcb-m6.bioreg.kyushu-u.ac.jp/M3/20110411/F50912/2022/1", 86.97)</f>
        <v>86.97</v>
      </c>
      <c r="E5209" s="2">
        <v>49.7</v>
      </c>
      <c r="F5209" s="2">
        <v>2</v>
      </c>
      <c r="G5209" s="2" t="s">
        <v>10</v>
      </c>
    </row>
    <row r="5210" spans="1:8" x14ac:dyDescent="0.2">
      <c r="A5210" s="2" t="s">
        <v>3563</v>
      </c>
      <c r="B5210" s="2" t="s">
        <v>426</v>
      </c>
      <c r="C5210" s="2">
        <v>739.13620000000003</v>
      </c>
      <c r="D5210" s="2">
        <f>HYPERLINK("http://mcb-m6.bioreg.kyushu-u.ac.jp/M3/20110502/F51172/2080/1", 76.33)</f>
        <v>76.33</v>
      </c>
      <c r="E5210" s="2">
        <v>44.33</v>
      </c>
      <c r="F5210" s="2">
        <v>2</v>
      </c>
      <c r="G5210" s="2" t="s">
        <v>13</v>
      </c>
    </row>
    <row r="5211" spans="1:8" x14ac:dyDescent="0.2">
      <c r="A5211" s="2" t="s">
        <v>3563</v>
      </c>
      <c r="B5211" s="2" t="s">
        <v>426</v>
      </c>
      <c r="C5211" s="2">
        <v>738.80520000000001</v>
      </c>
      <c r="D5211" s="2">
        <f>HYPERLINK("http://mcb-m6.bioreg.kyushu-u.ac.jp/M3/20110502/F51183/1890/1", 98.72)</f>
        <v>98.72</v>
      </c>
      <c r="E5211" s="2">
        <v>13.46</v>
      </c>
      <c r="F5211" s="2">
        <v>2</v>
      </c>
      <c r="G5211" s="2" t="s">
        <v>14</v>
      </c>
    </row>
    <row r="5212" spans="1:8" x14ac:dyDescent="0.2">
      <c r="A5212" s="2" t="s">
        <v>4854</v>
      </c>
      <c r="B5212" s="2" t="s">
        <v>3135</v>
      </c>
      <c r="C5212" s="2">
        <v>500.51310000000001</v>
      </c>
      <c r="D5212" s="2">
        <f>HYPERLINK("http://mcb-m6.bioreg.kyushu-u.ac.jp/M3/20110502/F51186/820/1", 50.22)</f>
        <v>50.22</v>
      </c>
      <c r="E5212" s="2">
        <v>26.21</v>
      </c>
      <c r="F5212" s="2">
        <v>2</v>
      </c>
      <c r="G5212" s="2" t="s">
        <v>14</v>
      </c>
    </row>
    <row r="5213" spans="1:8" x14ac:dyDescent="0.2">
      <c r="A5213" s="2" t="s">
        <v>3586</v>
      </c>
      <c r="B5213" s="2" t="s">
        <v>468</v>
      </c>
      <c r="C5213" s="2">
        <v>676.74620000000004</v>
      </c>
      <c r="D5213" s="2">
        <f>HYPERLINK("http://mcb-m6.bioreg.kyushu-u.ac.jp/M3/20110411/F50893/1878/1", 42.45)</f>
        <v>42.45</v>
      </c>
      <c r="E5213" s="2">
        <v>14.24</v>
      </c>
      <c r="F5213" s="2">
        <v>2</v>
      </c>
      <c r="G5213" s="2" t="s">
        <v>9</v>
      </c>
    </row>
    <row r="5214" spans="1:8" x14ac:dyDescent="0.2">
      <c r="A5214" s="2" t="s">
        <v>4811</v>
      </c>
      <c r="B5214" s="2" t="s">
        <v>3061</v>
      </c>
      <c r="C5214" s="2">
        <v>803.43769999999995</v>
      </c>
      <c r="D5214" s="2">
        <f>HYPERLINK("http://mcb-m6.bioreg.kyushu-u.ac.jp/M3/20110502/F51179/2153/1", 40.93)</f>
        <v>40.93</v>
      </c>
      <c r="E5214" s="2">
        <v>30.58</v>
      </c>
      <c r="F5214" s="2">
        <v>2</v>
      </c>
      <c r="G5214" s="2" t="s">
        <v>14</v>
      </c>
    </row>
    <row r="5215" spans="1:8" x14ac:dyDescent="0.2">
      <c r="A5215" s="2" t="s">
        <v>4248</v>
      </c>
      <c r="B5215" s="2" t="s">
        <v>1874</v>
      </c>
      <c r="C5215" s="2">
        <v>788.66</v>
      </c>
      <c r="D5215" s="2">
        <f>HYPERLINK("http://mcb-m6.bioreg.kyushu-u.ac.jp/M3/20110411/F50913/748/1", 46.02)</f>
        <v>46.02</v>
      </c>
      <c r="E5215" s="2">
        <v>0.1</v>
      </c>
      <c r="F5215" s="2">
        <v>1</v>
      </c>
      <c r="G5215" s="2" t="s">
        <v>10</v>
      </c>
    </row>
    <row r="5216" spans="1:8" x14ac:dyDescent="0.2">
      <c r="A5216" s="2" t="s">
        <v>4728</v>
      </c>
      <c r="B5216" s="2" t="s">
        <v>2940</v>
      </c>
      <c r="C5216" s="2">
        <v>772.59270000000004</v>
      </c>
      <c r="D5216" s="2">
        <f>HYPERLINK("http://mcb-m6.bioreg.kyushu-u.ac.jp/M3/20110502/F51165/2203/1", 64)</f>
        <v>64</v>
      </c>
      <c r="E5216" s="2">
        <v>43.49</v>
      </c>
      <c r="F5216" s="2">
        <v>2</v>
      </c>
      <c r="G5216" s="2" t="s">
        <v>13</v>
      </c>
      <c r="H5216" s="2" t="s">
        <v>4919</v>
      </c>
    </row>
    <row r="5217" spans="1:9" x14ac:dyDescent="0.2">
      <c r="A5217" s="2" t="s">
        <v>3981</v>
      </c>
      <c r="B5217" s="2" t="s">
        <v>1233</v>
      </c>
      <c r="C5217" s="2">
        <v>817.37120000000004</v>
      </c>
      <c r="D5217" s="2">
        <f>HYPERLINK("http://mcb-m6.bioreg.kyushu-u.ac.jp/M3/20110411/F50892/2542/1", 68.24)</f>
        <v>68.239999999999995</v>
      </c>
      <c r="E5217" s="2">
        <v>52.2</v>
      </c>
      <c r="F5217" s="2">
        <v>2</v>
      </c>
      <c r="G5217" s="2" t="s">
        <v>9</v>
      </c>
    </row>
    <row r="5218" spans="1:9" x14ac:dyDescent="0.2">
      <c r="A5218" s="2" t="s">
        <v>4167</v>
      </c>
      <c r="B5218" s="2" t="s">
        <v>1733</v>
      </c>
      <c r="C5218" s="2">
        <v>1083.604</v>
      </c>
      <c r="D5218" s="2">
        <f>HYPERLINK("http://mcb-m6.bioreg.kyushu-u.ac.jp/M3/20110411/F50914/1219/1", 36.83)</f>
        <v>36.83</v>
      </c>
      <c r="E5218" s="2">
        <v>19.190000000000001</v>
      </c>
      <c r="F5218" s="2">
        <v>1</v>
      </c>
      <c r="G5218" s="2" t="s">
        <v>10</v>
      </c>
    </row>
    <row r="5219" spans="1:9" x14ac:dyDescent="0.2">
      <c r="A5219" s="2" t="s">
        <v>4167</v>
      </c>
      <c r="B5219" s="2" t="s">
        <v>1762</v>
      </c>
      <c r="C5219" s="2">
        <v>579.42859999999996</v>
      </c>
      <c r="D5219" s="2">
        <f>HYPERLINK("http://mcb-m6.bioreg.kyushu-u.ac.jp/M3/20110411/F50914/1357/1", 38.19)</f>
        <v>38.19</v>
      </c>
      <c r="E5219" s="2">
        <v>15.02</v>
      </c>
      <c r="F5219" s="2">
        <v>2</v>
      </c>
      <c r="G5219" s="2" t="s">
        <v>10</v>
      </c>
    </row>
    <row r="5220" spans="1:9" x14ac:dyDescent="0.2">
      <c r="A5220" s="2" t="s">
        <v>4167</v>
      </c>
      <c r="B5220" s="2" t="s">
        <v>1924</v>
      </c>
      <c r="C5220" s="2">
        <v>733.61019999999996</v>
      </c>
      <c r="D5220" s="2">
        <f>HYPERLINK("http://mcb-m6.bioreg.kyushu-u.ac.jp/M3/20110411/F50914/2054/1", 49.95)</f>
        <v>49.95</v>
      </c>
      <c r="E5220" s="2">
        <v>33.43</v>
      </c>
      <c r="F5220" s="2">
        <v>2</v>
      </c>
      <c r="G5220" s="2" t="s">
        <v>10</v>
      </c>
      <c r="I5220" s="2" t="s">
        <v>4892</v>
      </c>
    </row>
    <row r="5221" spans="1:9" x14ac:dyDescent="0.2">
      <c r="A5221" s="2" t="s">
        <v>4167</v>
      </c>
      <c r="B5221" s="2" t="s">
        <v>3204</v>
      </c>
      <c r="C5221" s="2">
        <v>695.42020000000002</v>
      </c>
      <c r="D5221" s="2">
        <f>HYPERLINK("http://mcb-m6.bioreg.kyushu-u.ac.jp/M3/20110502/F51183/1637/1", 73.06)</f>
        <v>73.06</v>
      </c>
      <c r="E5221" s="2">
        <v>45.69</v>
      </c>
      <c r="F5221" s="2">
        <v>2</v>
      </c>
      <c r="G5221" s="2" t="s">
        <v>14</v>
      </c>
    </row>
    <row r="5222" spans="1:9" x14ac:dyDescent="0.2">
      <c r="A5222" s="2" t="s">
        <v>4167</v>
      </c>
      <c r="B5222" s="2" t="s">
        <v>1924</v>
      </c>
      <c r="C5222" s="2">
        <v>733.88419999999996</v>
      </c>
      <c r="D5222" s="2">
        <f>HYPERLINK("http://mcb-m6.bioreg.kyushu-u.ac.jp/M3/20110502/F51183/1865/1", 85.28)</f>
        <v>85.28</v>
      </c>
      <c r="E5222" s="2">
        <v>57.58</v>
      </c>
      <c r="F5222" s="2">
        <v>2</v>
      </c>
      <c r="G5222" s="2" t="s">
        <v>14</v>
      </c>
      <c r="I5222" s="2" t="s">
        <v>4892</v>
      </c>
    </row>
    <row r="5223" spans="1:9" x14ac:dyDescent="0.2">
      <c r="A5223" s="2" t="s">
        <v>4323</v>
      </c>
      <c r="B5223" s="2" t="s">
        <v>2104</v>
      </c>
      <c r="C5223" s="2">
        <v>858.41110000000003</v>
      </c>
      <c r="D5223" s="2">
        <f>HYPERLINK("http://mcb-m6.bioreg.kyushu-u.ac.jp/M3/20110411/F50914/2627/1", 81.38)</f>
        <v>81.38</v>
      </c>
      <c r="E5223" s="2">
        <v>67.760000000000005</v>
      </c>
      <c r="F5223" s="2">
        <v>2</v>
      </c>
      <c r="G5223" s="2" t="s">
        <v>10</v>
      </c>
    </row>
    <row r="5224" spans="1:9" x14ac:dyDescent="0.2">
      <c r="A5224" s="2" t="s">
        <v>4323</v>
      </c>
      <c r="B5224" s="2" t="s">
        <v>2104</v>
      </c>
      <c r="C5224" s="2">
        <v>858.96169999999995</v>
      </c>
      <c r="D5224" s="2">
        <f>HYPERLINK("http://mcb-m6.bioreg.kyushu-u.ac.jp/M3/20110414/F50942/2592/1", 59.72)</f>
        <v>59.72</v>
      </c>
      <c r="E5224" s="2">
        <v>47.18</v>
      </c>
      <c r="F5224" s="2">
        <v>2</v>
      </c>
      <c r="G5224" s="2" t="s">
        <v>11</v>
      </c>
    </row>
    <row r="5225" spans="1:9" x14ac:dyDescent="0.2">
      <c r="A5225" s="2" t="s">
        <v>4323</v>
      </c>
      <c r="B5225" s="2" t="s">
        <v>2104</v>
      </c>
      <c r="C5225" s="2">
        <v>858.1182</v>
      </c>
      <c r="D5225" s="2">
        <f>HYPERLINK("http://mcb-m6.bioreg.kyushu-u.ac.jp/M3/20110414/F50948/2772/1", 51.78)</f>
        <v>51.78</v>
      </c>
      <c r="E5225" s="2">
        <v>37.33</v>
      </c>
      <c r="F5225" s="2">
        <v>2</v>
      </c>
      <c r="G5225" s="2" t="s">
        <v>12</v>
      </c>
    </row>
    <row r="5226" spans="1:9" x14ac:dyDescent="0.2">
      <c r="A5226" s="2" t="s">
        <v>3609</v>
      </c>
      <c r="B5226" s="2" t="s">
        <v>508</v>
      </c>
      <c r="C5226" s="2">
        <v>731.52419999999995</v>
      </c>
      <c r="D5226" s="2">
        <f>HYPERLINK("http://mcb-m6.bioreg.kyushu-u.ac.jp/M3/20110411/F50903/2032/1", 43.47)</f>
        <v>43.47</v>
      </c>
      <c r="E5226" s="2">
        <v>24.91</v>
      </c>
      <c r="F5226" s="2">
        <v>2</v>
      </c>
      <c r="G5226" s="2" t="s">
        <v>9</v>
      </c>
    </row>
    <row r="5227" spans="1:9" x14ac:dyDescent="0.2">
      <c r="A5227" s="2" t="s">
        <v>3609</v>
      </c>
      <c r="B5227" s="2" t="s">
        <v>508</v>
      </c>
      <c r="C5227" s="2">
        <v>739.5856</v>
      </c>
      <c r="D5227" s="2">
        <f>HYPERLINK("http://mcb-m6.bioreg.kyushu-u.ac.jp/M3/20110411/F50903/2074/1", 54.95)</f>
        <v>54.95</v>
      </c>
      <c r="E5227" s="2">
        <v>34.909999999999997</v>
      </c>
      <c r="F5227" s="2">
        <v>2</v>
      </c>
      <c r="G5227" s="2" t="s">
        <v>9</v>
      </c>
      <c r="H5227" s="2" t="s">
        <v>4901</v>
      </c>
    </row>
    <row r="5228" spans="1:9" x14ac:dyDescent="0.2">
      <c r="A5228" s="2" t="s">
        <v>3609</v>
      </c>
      <c r="B5228" s="2" t="s">
        <v>508</v>
      </c>
      <c r="C5228" s="2">
        <v>731.83259999999996</v>
      </c>
      <c r="D5228" s="2">
        <f>HYPERLINK("http://mcb-m6.bioreg.kyushu-u.ac.jp/M3/20110414/F50925/2199/1", 77.95)</f>
        <v>77.95</v>
      </c>
      <c r="E5228" s="2">
        <v>61.88</v>
      </c>
      <c r="F5228" s="2">
        <v>2</v>
      </c>
      <c r="G5228" s="2" t="s">
        <v>11</v>
      </c>
    </row>
    <row r="5229" spans="1:9" x14ac:dyDescent="0.2">
      <c r="A5229" s="2" t="s">
        <v>3609</v>
      </c>
      <c r="B5229" s="2" t="s">
        <v>508</v>
      </c>
      <c r="C5229" s="2">
        <v>739.33010000000002</v>
      </c>
      <c r="D5229" s="2">
        <f>HYPERLINK("http://mcb-m6.bioreg.kyushu-u.ac.jp/M3/20110414/F50925/2236/1", 79.67)</f>
        <v>79.67</v>
      </c>
      <c r="E5229" s="2">
        <v>65.540000000000006</v>
      </c>
      <c r="F5229" s="2">
        <v>2</v>
      </c>
      <c r="G5229" s="2" t="s">
        <v>11</v>
      </c>
      <c r="H5229" s="2" t="s">
        <v>4901</v>
      </c>
    </row>
    <row r="5230" spans="1:9" x14ac:dyDescent="0.2">
      <c r="A5230" s="2" t="s">
        <v>3609</v>
      </c>
      <c r="B5230" s="2" t="s">
        <v>508</v>
      </c>
      <c r="C5230" s="2">
        <v>731.31709999999998</v>
      </c>
      <c r="D5230" s="2">
        <f>HYPERLINK("http://mcb-m6.bioreg.kyushu-u.ac.jp/M3/20110414/F50925/2193/1", 86.51)</f>
        <v>86.51</v>
      </c>
      <c r="E5230" s="2">
        <v>73.459999999999994</v>
      </c>
      <c r="F5230" s="2">
        <v>2</v>
      </c>
      <c r="G5230" s="2" t="s">
        <v>11</v>
      </c>
    </row>
    <row r="5231" spans="1:9" x14ac:dyDescent="0.2">
      <c r="A5231" s="2" t="s">
        <v>3932</v>
      </c>
      <c r="B5231" s="2" t="s">
        <v>1119</v>
      </c>
      <c r="C5231" s="2">
        <v>624.37959999999998</v>
      </c>
      <c r="D5231" s="2">
        <f>HYPERLINK("http://mcb-m6.bioreg.kyushu-u.ac.jp/M3/20110411/F50903/1499/1", 63.91)</f>
        <v>63.91</v>
      </c>
      <c r="E5231" s="2">
        <v>31.76</v>
      </c>
      <c r="F5231" s="2">
        <v>2</v>
      </c>
      <c r="G5231" s="2" t="s">
        <v>9</v>
      </c>
    </row>
    <row r="5232" spans="1:9" x14ac:dyDescent="0.2">
      <c r="A5232" s="2" t="s">
        <v>3932</v>
      </c>
      <c r="B5232" s="2" t="s">
        <v>1355</v>
      </c>
      <c r="C5232" s="2">
        <v>1592.674</v>
      </c>
      <c r="D5232" s="2">
        <f>HYPERLINK("http://mcb-m6.bioreg.kyushu-u.ac.jp/M3/20110411/F50903/2323/1", 74.92)</f>
        <v>74.92</v>
      </c>
      <c r="E5232" s="2">
        <v>61.21</v>
      </c>
      <c r="F5232" s="2">
        <v>1</v>
      </c>
      <c r="G5232" s="2" t="s">
        <v>9</v>
      </c>
    </row>
    <row r="5233" spans="1:8" x14ac:dyDescent="0.2">
      <c r="A5233" s="2" t="s">
        <v>3932</v>
      </c>
      <c r="B5233" s="2" t="s">
        <v>1355</v>
      </c>
      <c r="C5233" s="2">
        <v>1591.796</v>
      </c>
      <c r="D5233" s="2">
        <f>HYPERLINK("http://mcb-m6.bioreg.kyushu-u.ac.jp/M3/20110411/F50903/2319/1", 89.05)</f>
        <v>89.05</v>
      </c>
      <c r="E5233" s="2">
        <v>75.290000000000006</v>
      </c>
      <c r="F5233" s="2">
        <v>1</v>
      </c>
      <c r="G5233" s="2" t="s">
        <v>9</v>
      </c>
    </row>
    <row r="5234" spans="1:8" x14ac:dyDescent="0.2">
      <c r="A5234" s="2" t="s">
        <v>3932</v>
      </c>
      <c r="B5234" s="2" t="s">
        <v>1119</v>
      </c>
      <c r="C5234" s="2">
        <v>624.79219999999998</v>
      </c>
      <c r="D5234" s="2">
        <f>HYPERLINK("http://mcb-m6.bioreg.kyushu-u.ac.jp/M3/20110411/F50920/1061/1", 48.74)</f>
        <v>48.74</v>
      </c>
      <c r="E5234" s="2">
        <v>20.440000000000001</v>
      </c>
      <c r="F5234" s="2">
        <v>2</v>
      </c>
      <c r="G5234" s="2" t="s">
        <v>10</v>
      </c>
    </row>
    <row r="5235" spans="1:8" x14ac:dyDescent="0.2">
      <c r="A5235" s="2" t="s">
        <v>3932</v>
      </c>
      <c r="B5235" s="2" t="s">
        <v>1355</v>
      </c>
      <c r="C5235" s="2">
        <v>796.50620000000004</v>
      </c>
      <c r="D5235" s="2">
        <f>HYPERLINK("http://mcb-m6.bioreg.kyushu-u.ac.jp/M3/20110411/F50920/1829/1", 67.56)</f>
        <v>67.56</v>
      </c>
      <c r="E5235" s="2">
        <v>41.19</v>
      </c>
      <c r="F5235" s="2">
        <v>2</v>
      </c>
      <c r="G5235" s="2" t="s">
        <v>10</v>
      </c>
    </row>
    <row r="5236" spans="1:8" x14ac:dyDescent="0.2">
      <c r="A5236" s="2" t="s">
        <v>3932</v>
      </c>
      <c r="B5236" s="2" t="s">
        <v>1355</v>
      </c>
      <c r="C5236" s="2">
        <v>1592.222</v>
      </c>
      <c r="D5236" s="2">
        <f>HYPERLINK("http://mcb-m6.bioreg.kyushu-u.ac.jp/M3/20110411/F50920/1832/1", 68.7)</f>
        <v>68.7</v>
      </c>
      <c r="E5236" s="2">
        <v>56.86</v>
      </c>
      <c r="F5236" s="2">
        <v>1</v>
      </c>
      <c r="G5236" s="2" t="s">
        <v>10</v>
      </c>
    </row>
    <row r="5237" spans="1:8" x14ac:dyDescent="0.2">
      <c r="A5237" s="2" t="s">
        <v>3932</v>
      </c>
      <c r="B5237" s="2" t="s">
        <v>1119</v>
      </c>
      <c r="C5237" s="2">
        <v>624.80719999999997</v>
      </c>
      <c r="D5237" s="2">
        <f>HYPERLINK("http://mcb-m6.bioreg.kyushu-u.ac.jp/M3/20110414/F50925/1820/1", 56.17)</f>
        <v>56.17</v>
      </c>
      <c r="E5237" s="2">
        <v>25.05</v>
      </c>
      <c r="F5237" s="2">
        <v>2</v>
      </c>
      <c r="G5237" s="2" t="s">
        <v>11</v>
      </c>
    </row>
    <row r="5238" spans="1:8" x14ac:dyDescent="0.2">
      <c r="A5238" s="2" t="s">
        <v>3932</v>
      </c>
      <c r="B5238" s="2" t="s">
        <v>1355</v>
      </c>
      <c r="C5238" s="2">
        <v>1592.4559999999999</v>
      </c>
      <c r="D5238" s="2">
        <f>HYPERLINK("http://mcb-m6.bioreg.kyushu-u.ac.jp/M3/20110414/F50925/2428/1", 58.47)</f>
        <v>58.47</v>
      </c>
      <c r="E5238" s="2">
        <v>44.92</v>
      </c>
      <c r="F5238" s="2">
        <v>1</v>
      </c>
      <c r="G5238" s="2" t="s">
        <v>11</v>
      </c>
    </row>
    <row r="5239" spans="1:8" x14ac:dyDescent="0.2">
      <c r="A5239" s="2" t="s">
        <v>3932</v>
      </c>
      <c r="B5239" s="2" t="s">
        <v>1355</v>
      </c>
      <c r="C5239" s="2">
        <v>1591.492</v>
      </c>
      <c r="D5239" s="2">
        <f>HYPERLINK("http://mcb-m6.bioreg.kyushu-u.ac.jp/M3/20110414/F50925/2426/1", 60.41)</f>
        <v>60.41</v>
      </c>
      <c r="E5239" s="2">
        <v>35.619999999999997</v>
      </c>
      <c r="F5239" s="2">
        <v>1</v>
      </c>
      <c r="G5239" s="2" t="s">
        <v>11</v>
      </c>
    </row>
    <row r="5240" spans="1:8" x14ac:dyDescent="0.2">
      <c r="A5240" s="2" t="s">
        <v>3932</v>
      </c>
      <c r="B5240" s="2" t="s">
        <v>1355</v>
      </c>
      <c r="C5240" s="2">
        <v>796.17909999999995</v>
      </c>
      <c r="D5240" s="2">
        <f>HYPERLINK("http://mcb-m6.bioreg.kyushu-u.ac.jp/M3/20110414/F50925/2425/1", 72.19)</f>
        <v>72.19</v>
      </c>
      <c r="E5240" s="2">
        <v>52.36</v>
      </c>
      <c r="F5240" s="2">
        <v>2</v>
      </c>
      <c r="G5240" s="2" t="s">
        <v>11</v>
      </c>
    </row>
    <row r="5241" spans="1:8" x14ac:dyDescent="0.2">
      <c r="A5241" s="2" t="s">
        <v>3932</v>
      </c>
      <c r="B5241" s="2" t="s">
        <v>1355</v>
      </c>
      <c r="C5241" s="2">
        <v>796.12019999999995</v>
      </c>
      <c r="D5241" s="2">
        <f>HYPERLINK("http://mcb-m6.bioreg.kyushu-u.ac.jp/M3/20110414/F50924/2397/1", 75.16)</f>
        <v>75.16</v>
      </c>
      <c r="E5241" s="2">
        <v>56.38</v>
      </c>
      <c r="F5241" s="2">
        <v>2</v>
      </c>
      <c r="G5241" s="2" t="s">
        <v>11</v>
      </c>
    </row>
    <row r="5242" spans="1:8" x14ac:dyDescent="0.2">
      <c r="A5242" s="2" t="s">
        <v>3932</v>
      </c>
      <c r="B5242" s="2" t="s">
        <v>1119</v>
      </c>
      <c r="C5242" s="2">
        <v>623.85969999999998</v>
      </c>
      <c r="D5242" s="2">
        <f>HYPERLINK("http://mcb-m6.bioreg.kyushu-u.ac.jp/M3/20110414/F50966/1358/1", 46.57)</f>
        <v>46.57</v>
      </c>
      <c r="E5242" s="2">
        <v>21.12</v>
      </c>
      <c r="F5242" s="2">
        <v>2</v>
      </c>
      <c r="G5242" s="2" t="s">
        <v>12</v>
      </c>
    </row>
    <row r="5243" spans="1:8" x14ac:dyDescent="0.2">
      <c r="A5243" s="2" t="s">
        <v>3932</v>
      </c>
      <c r="B5243" s="2" t="s">
        <v>1355</v>
      </c>
      <c r="C5243" s="2">
        <v>796.40120000000002</v>
      </c>
      <c r="D5243" s="2">
        <f>HYPERLINK("http://mcb-m6.bioreg.kyushu-u.ac.jp/M3/20110414/F50966/2084/1", 91.39)</f>
        <v>91.39</v>
      </c>
      <c r="E5243" s="2">
        <v>67.25</v>
      </c>
      <c r="F5243" s="2">
        <v>2</v>
      </c>
      <c r="G5243" s="2" t="s">
        <v>12</v>
      </c>
    </row>
    <row r="5244" spans="1:8" x14ac:dyDescent="0.2">
      <c r="A5244" s="2" t="s">
        <v>3932</v>
      </c>
      <c r="B5244" s="2" t="s">
        <v>1355</v>
      </c>
      <c r="C5244" s="2">
        <v>796.46559999999999</v>
      </c>
      <c r="D5244" s="2">
        <f>HYPERLINK("http://mcb-m6.bioreg.kyushu-u.ac.jp/M3/20110502/F51166/2177/1", 69.11)</f>
        <v>69.11</v>
      </c>
      <c r="E5244" s="2">
        <v>53.12</v>
      </c>
      <c r="F5244" s="2">
        <v>2</v>
      </c>
      <c r="G5244" s="2" t="s">
        <v>13</v>
      </c>
    </row>
    <row r="5245" spans="1:8" x14ac:dyDescent="0.2">
      <c r="A5245" s="2" t="s">
        <v>3932</v>
      </c>
      <c r="B5245" s="2" t="s">
        <v>1355</v>
      </c>
      <c r="C5245" s="2">
        <v>796.89570000000003</v>
      </c>
      <c r="D5245" s="2">
        <f>HYPERLINK("http://mcb-m6.bioreg.kyushu-u.ac.jp/M3/20110502/F51165/2288/1", 100.7)</f>
        <v>100.7</v>
      </c>
      <c r="E5245" s="2">
        <v>79.650000000000006</v>
      </c>
      <c r="F5245" s="2">
        <v>2</v>
      </c>
      <c r="G5245" s="2" t="s">
        <v>13</v>
      </c>
    </row>
    <row r="5246" spans="1:8" x14ac:dyDescent="0.2">
      <c r="A5246" s="2" t="s">
        <v>4030</v>
      </c>
      <c r="B5246" s="2" t="s">
        <v>1347</v>
      </c>
      <c r="C5246" s="2">
        <v>614.02009999999996</v>
      </c>
      <c r="D5246" s="2">
        <f>HYPERLINK("http://mcb-m6.bioreg.kyushu-u.ac.jp/M3/20110411/F50903/1458/1", 74.31)</f>
        <v>74.31</v>
      </c>
      <c r="E5246" s="2">
        <v>42.39</v>
      </c>
      <c r="F5246" s="2">
        <v>2</v>
      </c>
      <c r="G5246" s="2" t="s">
        <v>9</v>
      </c>
      <c r="H5246" s="2" t="s">
        <v>4896</v>
      </c>
    </row>
    <row r="5247" spans="1:8" x14ac:dyDescent="0.2">
      <c r="A5247" s="2" t="s">
        <v>4030</v>
      </c>
      <c r="B5247" s="2" t="s">
        <v>1589</v>
      </c>
      <c r="C5247" s="2">
        <v>975.63120000000004</v>
      </c>
      <c r="D5247" s="2">
        <f>HYPERLINK("http://mcb-m6.bioreg.kyushu-u.ac.jp/M3/20110411/F50903/3059/1", 96.42)</f>
        <v>96.42</v>
      </c>
      <c r="E5247" s="2">
        <v>71.63</v>
      </c>
      <c r="F5247" s="2">
        <v>2</v>
      </c>
      <c r="G5247" s="2" t="s">
        <v>9</v>
      </c>
    </row>
    <row r="5248" spans="1:8" x14ac:dyDescent="0.2">
      <c r="A5248" s="2" t="s">
        <v>4030</v>
      </c>
      <c r="B5248" s="2" t="s">
        <v>1347</v>
      </c>
      <c r="C5248" s="2">
        <v>614.16859999999997</v>
      </c>
      <c r="D5248" s="2">
        <f>HYPERLINK("http://mcb-m6.bioreg.kyushu-u.ac.jp/M3/20110414/F50925/1788/1", 44.35)</f>
        <v>44.35</v>
      </c>
      <c r="E5248" s="2">
        <v>25.16</v>
      </c>
      <c r="F5248" s="2">
        <v>2</v>
      </c>
      <c r="G5248" s="2" t="s">
        <v>11</v>
      </c>
      <c r="H5248" s="2" t="s">
        <v>4896</v>
      </c>
    </row>
    <row r="5249" spans="1:9" x14ac:dyDescent="0.2">
      <c r="A5249" s="2" t="s">
        <v>4030</v>
      </c>
      <c r="B5249" s="2" t="s">
        <v>1347</v>
      </c>
      <c r="C5249" s="2">
        <v>613.85969999999998</v>
      </c>
      <c r="D5249" s="2">
        <f>HYPERLINK("http://mcb-m6.bioreg.kyushu-u.ac.jp/M3/20110414/F50925/1786/1", 48.04)</f>
        <v>48.04</v>
      </c>
      <c r="E5249" s="2">
        <v>18.04</v>
      </c>
      <c r="F5249" s="2">
        <v>2</v>
      </c>
      <c r="G5249" s="2" t="s">
        <v>11</v>
      </c>
      <c r="H5249" s="2" t="s">
        <v>4896</v>
      </c>
    </row>
    <row r="5250" spans="1:9" x14ac:dyDescent="0.2">
      <c r="A5250" s="2" t="s">
        <v>4030</v>
      </c>
      <c r="B5250" s="2" t="s">
        <v>1347</v>
      </c>
      <c r="C5250" s="2">
        <v>605.65309999999999</v>
      </c>
      <c r="D5250" s="2">
        <f>HYPERLINK("http://mcb-m6.bioreg.kyushu-u.ac.jp/M3/20110414/F50925/1762/1", 59.2)</f>
        <v>59.2</v>
      </c>
      <c r="E5250" s="2">
        <v>31.65</v>
      </c>
      <c r="F5250" s="2">
        <v>2</v>
      </c>
      <c r="G5250" s="2" t="s">
        <v>11</v>
      </c>
    </row>
    <row r="5251" spans="1:9" x14ac:dyDescent="0.2">
      <c r="A5251" s="2" t="s">
        <v>4030</v>
      </c>
      <c r="B5251" s="2" t="s">
        <v>1347</v>
      </c>
      <c r="C5251" s="2">
        <v>606.29420000000005</v>
      </c>
      <c r="D5251" s="2">
        <f>HYPERLINK("http://mcb-m6.bioreg.kyushu-u.ac.jp/M3/20110414/F50924/1485/1", 66.38)</f>
        <v>66.38</v>
      </c>
      <c r="E5251" s="2">
        <v>40.85</v>
      </c>
      <c r="F5251" s="2">
        <v>2</v>
      </c>
      <c r="G5251" s="2" t="s">
        <v>11</v>
      </c>
    </row>
    <row r="5252" spans="1:9" x14ac:dyDescent="0.2">
      <c r="A5252" s="2" t="s">
        <v>4030</v>
      </c>
      <c r="B5252" s="2" t="s">
        <v>1589</v>
      </c>
      <c r="C5252" s="2">
        <v>975.12019999999995</v>
      </c>
      <c r="D5252" s="2">
        <f>HYPERLINK("http://mcb-m6.bioreg.kyushu-u.ac.jp/M3/20110414/F50966/2718/1", 47.54)</f>
        <v>47.54</v>
      </c>
      <c r="E5252" s="2">
        <v>31.73</v>
      </c>
      <c r="F5252" s="2">
        <v>2</v>
      </c>
      <c r="G5252" s="2" t="s">
        <v>12</v>
      </c>
    </row>
    <row r="5253" spans="1:9" x14ac:dyDescent="0.2">
      <c r="A5253" s="2" t="s">
        <v>4030</v>
      </c>
      <c r="B5253" s="2" t="s">
        <v>1347</v>
      </c>
      <c r="C5253" s="2">
        <v>605.66520000000003</v>
      </c>
      <c r="D5253" s="2">
        <f>HYPERLINK("http://mcb-m6.bioreg.kyushu-u.ac.jp/M3/20110414/F50966/1296/1", 58.04)</f>
        <v>58.04</v>
      </c>
      <c r="E5253" s="2">
        <v>27.31</v>
      </c>
      <c r="F5253" s="2">
        <v>2</v>
      </c>
      <c r="G5253" s="2" t="s">
        <v>12</v>
      </c>
    </row>
    <row r="5254" spans="1:9" x14ac:dyDescent="0.2">
      <c r="A5254" s="2" t="s">
        <v>4030</v>
      </c>
      <c r="B5254" s="2" t="s">
        <v>1347</v>
      </c>
      <c r="C5254" s="2">
        <v>613.64319999999998</v>
      </c>
      <c r="D5254" s="2">
        <f>HYPERLINK("http://mcb-m6.bioreg.kyushu-u.ac.jp/M3/20110414/F50966/1330/1", 63.66)</f>
        <v>63.66</v>
      </c>
      <c r="E5254" s="2">
        <v>35.200000000000003</v>
      </c>
      <c r="F5254" s="2">
        <v>2</v>
      </c>
      <c r="G5254" s="2" t="s">
        <v>12</v>
      </c>
      <c r="H5254" s="2" t="s">
        <v>4896</v>
      </c>
    </row>
    <row r="5255" spans="1:9" x14ac:dyDescent="0.2">
      <c r="A5255" s="2" t="s">
        <v>4030</v>
      </c>
      <c r="B5255" s="2" t="s">
        <v>1347</v>
      </c>
      <c r="C5255" s="2">
        <v>614.10670000000005</v>
      </c>
      <c r="D5255" s="2">
        <f>HYPERLINK("http://mcb-m6.bioreg.kyushu-u.ac.jp/M3/20110502/F51166/1829/1", 47.98)</f>
        <v>47.98</v>
      </c>
      <c r="E5255" s="2">
        <v>20.149999999999999</v>
      </c>
      <c r="F5255" s="2">
        <v>2</v>
      </c>
      <c r="G5255" s="2" t="s">
        <v>13</v>
      </c>
      <c r="H5255" s="2" t="s">
        <v>4896</v>
      </c>
    </row>
    <row r="5256" spans="1:9" x14ac:dyDescent="0.2">
      <c r="A5256" s="2" t="s">
        <v>4030</v>
      </c>
      <c r="B5256" s="2" t="s">
        <v>1347</v>
      </c>
      <c r="C5256" s="2">
        <v>606.44460000000004</v>
      </c>
      <c r="D5256" s="2">
        <f>HYPERLINK("http://mcb-m6.bioreg.kyushu-u.ac.jp/M3/20110502/F51166/1804/1", 58.4)</f>
        <v>58.4</v>
      </c>
      <c r="E5256" s="2">
        <v>35.85</v>
      </c>
      <c r="F5256" s="2">
        <v>2</v>
      </c>
      <c r="G5256" s="2" t="s">
        <v>13</v>
      </c>
    </row>
    <row r="5257" spans="1:9" x14ac:dyDescent="0.2">
      <c r="A5257" s="2" t="s">
        <v>4030</v>
      </c>
      <c r="B5257" s="2" t="s">
        <v>1347</v>
      </c>
      <c r="C5257" s="2">
        <v>606.0367</v>
      </c>
      <c r="D5257" s="2">
        <f>HYPERLINK("http://mcb-m6.bioreg.kyushu-u.ac.jp/M3/20110502/F51190/1190/1", 44.8)</f>
        <v>44.8</v>
      </c>
      <c r="E5257" s="2">
        <v>17.16</v>
      </c>
      <c r="F5257" s="2">
        <v>2</v>
      </c>
      <c r="G5257" s="2" t="s">
        <v>14</v>
      </c>
    </row>
    <row r="5258" spans="1:9" x14ac:dyDescent="0.2">
      <c r="A5258" s="2" t="s">
        <v>3470</v>
      </c>
      <c r="B5258" s="2" t="s">
        <v>282</v>
      </c>
      <c r="C5258" s="2">
        <v>878.87710000000004</v>
      </c>
      <c r="D5258" s="2">
        <f>HYPERLINK("http://mcb-m6.bioreg.kyushu-u.ac.jp/M3/20110411/F50919/2355/1", 38.94)</f>
        <v>38.94</v>
      </c>
      <c r="E5258" s="2">
        <v>29.21</v>
      </c>
      <c r="F5258" s="2">
        <v>2</v>
      </c>
      <c r="G5258" s="2" t="s">
        <v>9</v>
      </c>
      <c r="I5258" s="2" t="s">
        <v>4916</v>
      </c>
    </row>
    <row r="5259" spans="1:9" x14ac:dyDescent="0.2">
      <c r="A5259" s="2" t="s">
        <v>3470</v>
      </c>
      <c r="B5259" s="2" t="s">
        <v>2836</v>
      </c>
      <c r="C5259" s="2">
        <v>494.05560000000003</v>
      </c>
      <c r="D5259" s="2">
        <f>HYPERLINK("http://mcb-m6.bioreg.kyushu-u.ac.jp/M3/20110502/F51180/685/1", 37.99)</f>
        <v>37.99</v>
      </c>
      <c r="E5259" s="2">
        <v>12.19</v>
      </c>
      <c r="F5259" s="2">
        <v>2</v>
      </c>
      <c r="G5259" s="2" t="s">
        <v>13</v>
      </c>
    </row>
    <row r="5260" spans="1:9" x14ac:dyDescent="0.2">
      <c r="A5260" s="2" t="s">
        <v>3470</v>
      </c>
      <c r="B5260" s="2" t="s">
        <v>2845</v>
      </c>
      <c r="C5260" s="2">
        <v>530.54470000000003</v>
      </c>
      <c r="D5260" s="2">
        <f>HYPERLINK("http://mcb-m6.bioreg.kyushu-u.ac.jp/M3/20110502/F51180/834/1", 38.88)</f>
        <v>38.880000000000003</v>
      </c>
      <c r="E5260" s="2">
        <v>12.35</v>
      </c>
      <c r="F5260" s="2">
        <v>2</v>
      </c>
      <c r="G5260" s="2" t="s">
        <v>13</v>
      </c>
    </row>
    <row r="5261" spans="1:9" x14ac:dyDescent="0.2">
      <c r="A5261" s="2" t="s">
        <v>3470</v>
      </c>
      <c r="B5261" s="2" t="s">
        <v>2836</v>
      </c>
      <c r="C5261" s="2">
        <v>494.2851</v>
      </c>
      <c r="D5261" s="2">
        <f>HYPERLINK("http://mcb-m6.bioreg.kyushu-u.ac.jp/M3/20110502/F51182/697/1", 50.82)</f>
        <v>50.82</v>
      </c>
      <c r="E5261" s="2">
        <v>16.079999999999998</v>
      </c>
      <c r="F5261" s="2">
        <v>2</v>
      </c>
      <c r="G5261" s="2" t="s">
        <v>14</v>
      </c>
    </row>
    <row r="5262" spans="1:9" x14ac:dyDescent="0.2">
      <c r="A5262" s="2" t="s">
        <v>4779</v>
      </c>
      <c r="B5262" s="2" t="s">
        <v>3008</v>
      </c>
      <c r="C5262" s="2">
        <v>655.4547</v>
      </c>
      <c r="D5262" s="2">
        <f>HYPERLINK("http://mcb-m6.bioreg.kyushu-u.ac.jp/M3/20110502/F51190/1331/1", 37.59)</f>
        <v>37.590000000000003</v>
      </c>
      <c r="E5262" s="2">
        <v>23.73</v>
      </c>
      <c r="F5262" s="2">
        <v>2</v>
      </c>
      <c r="G5262" s="2" t="s">
        <v>14</v>
      </c>
    </row>
    <row r="5263" spans="1:9" x14ac:dyDescent="0.2">
      <c r="A5263" s="2" t="s">
        <v>3757</v>
      </c>
      <c r="B5263" s="2" t="s">
        <v>770</v>
      </c>
      <c r="C5263" s="2">
        <v>810.05319999999995</v>
      </c>
      <c r="D5263" s="2">
        <f>HYPERLINK("http://mcb-m6.bioreg.kyushu-u.ac.jp/M3/20110411/F50892/2523/1", 50.66)</f>
        <v>50.66</v>
      </c>
      <c r="E5263" s="2">
        <v>17.11</v>
      </c>
      <c r="F5263" s="2">
        <v>2</v>
      </c>
      <c r="G5263" s="2" t="s">
        <v>9</v>
      </c>
    </row>
    <row r="5264" spans="1:9" x14ac:dyDescent="0.2">
      <c r="A5264" s="2" t="s">
        <v>3757</v>
      </c>
      <c r="B5264" s="2" t="s">
        <v>910</v>
      </c>
      <c r="C5264" s="2">
        <v>680.86569999999995</v>
      </c>
      <c r="D5264" s="2">
        <f>HYPERLINK("http://mcb-m6.bioreg.kyushu-u.ac.jp/M3/20110411/F50892/1910/1", 55.32)</f>
        <v>55.32</v>
      </c>
      <c r="E5264" s="2">
        <v>33.659999999999997</v>
      </c>
      <c r="F5264" s="2">
        <v>2</v>
      </c>
      <c r="G5264" s="2" t="s">
        <v>9</v>
      </c>
    </row>
    <row r="5265" spans="1:7" x14ac:dyDescent="0.2">
      <c r="A5265" s="2" t="s">
        <v>3757</v>
      </c>
      <c r="B5265" s="2" t="s">
        <v>1192</v>
      </c>
      <c r="C5265" s="2">
        <v>989.95510000000002</v>
      </c>
      <c r="D5265" s="2">
        <f>HYPERLINK("http://mcb-m6.bioreg.kyushu-u.ac.jp/M3/20110411/F50892/3080/1", 66.76)</f>
        <v>66.760000000000005</v>
      </c>
      <c r="E5265" s="2">
        <v>58.01</v>
      </c>
      <c r="F5265" s="2">
        <v>2</v>
      </c>
      <c r="G5265" s="2" t="s">
        <v>9</v>
      </c>
    </row>
    <row r="5266" spans="1:7" x14ac:dyDescent="0.2">
      <c r="A5266" s="2" t="s">
        <v>3757</v>
      </c>
      <c r="B5266" s="2" t="s">
        <v>1192</v>
      </c>
      <c r="C5266" s="2">
        <v>989.32119999999998</v>
      </c>
      <c r="D5266" s="2">
        <f>HYPERLINK("http://mcb-m6.bioreg.kyushu-u.ac.jp/M3/20110411/F50892/3079/1", 101.39)</f>
        <v>101.39</v>
      </c>
      <c r="E5266" s="2">
        <v>90.93</v>
      </c>
      <c r="F5266" s="2">
        <v>2</v>
      </c>
      <c r="G5266" s="2" t="s">
        <v>9</v>
      </c>
    </row>
    <row r="5267" spans="1:7" x14ac:dyDescent="0.2">
      <c r="A5267" s="2" t="s">
        <v>3757</v>
      </c>
      <c r="B5267" s="2" t="s">
        <v>2182</v>
      </c>
      <c r="C5267" s="2">
        <v>871.19320000000005</v>
      </c>
      <c r="D5267" s="2">
        <f>HYPERLINK("http://mcb-m6.bioreg.kyushu-u.ac.jp/M3/20110414/F50929/2674/1", 36.14)</f>
        <v>36.14</v>
      </c>
      <c r="E5267" s="2">
        <v>23.51</v>
      </c>
      <c r="F5267" s="2">
        <v>2</v>
      </c>
      <c r="G5267" s="2" t="s">
        <v>11</v>
      </c>
    </row>
    <row r="5268" spans="1:7" x14ac:dyDescent="0.2">
      <c r="A5268" s="2" t="s">
        <v>3757</v>
      </c>
      <c r="B5268" s="2" t="s">
        <v>2376</v>
      </c>
      <c r="C5268" s="2">
        <v>489.6671</v>
      </c>
      <c r="D5268" s="2">
        <f>HYPERLINK("http://mcb-m6.bioreg.kyushu-u.ac.jp/M3/20110414/F50929/1478/1", 51.42)</f>
        <v>51.42</v>
      </c>
      <c r="E5268" s="2">
        <v>17.170000000000002</v>
      </c>
      <c r="F5268" s="2">
        <v>2</v>
      </c>
      <c r="G5268" s="2" t="s">
        <v>11</v>
      </c>
    </row>
    <row r="5269" spans="1:7" x14ac:dyDescent="0.2">
      <c r="A5269" s="2" t="s">
        <v>3569</v>
      </c>
      <c r="B5269" s="2" t="s">
        <v>436</v>
      </c>
      <c r="C5269" s="2">
        <v>771.68870000000004</v>
      </c>
      <c r="D5269" s="2">
        <f>HYPERLINK("http://mcb-m6.bioreg.kyushu-u.ac.jp/M3/20110411/F50911/2266/1", 41.8)</f>
        <v>41.8</v>
      </c>
      <c r="E5269" s="2">
        <v>12.04</v>
      </c>
      <c r="F5269" s="2">
        <v>2</v>
      </c>
      <c r="G5269" s="2" t="s">
        <v>9</v>
      </c>
    </row>
    <row r="5270" spans="1:7" x14ac:dyDescent="0.2">
      <c r="A5270" s="2" t="s">
        <v>4009</v>
      </c>
      <c r="B5270" s="2" t="s">
        <v>1304</v>
      </c>
      <c r="C5270" s="2">
        <v>788.12710000000004</v>
      </c>
      <c r="D5270" s="2">
        <f>HYPERLINK("http://mcb-m6.bioreg.kyushu-u.ac.jp/M3/20110411/F50911/2369/1", 71.69)</f>
        <v>71.69</v>
      </c>
      <c r="E5270" s="2">
        <v>55.47</v>
      </c>
      <c r="F5270" s="2">
        <v>2</v>
      </c>
      <c r="G5270" s="2" t="s">
        <v>9</v>
      </c>
    </row>
    <row r="5271" spans="1:7" x14ac:dyDescent="0.2">
      <c r="A5271" s="2" t="s">
        <v>4009</v>
      </c>
      <c r="B5271" s="2" t="s">
        <v>1304</v>
      </c>
      <c r="C5271" s="2">
        <v>787.90060000000005</v>
      </c>
      <c r="D5271" s="2">
        <f>HYPERLINK("http://mcb-m6.bioreg.kyushu-u.ac.jp/M3/20110414/F50942/2208/1", 54.78)</f>
        <v>54.78</v>
      </c>
      <c r="E5271" s="2">
        <v>40.130000000000003</v>
      </c>
      <c r="F5271" s="2">
        <v>2</v>
      </c>
      <c r="G5271" s="2" t="s">
        <v>11</v>
      </c>
    </row>
    <row r="5272" spans="1:7" x14ac:dyDescent="0.2">
      <c r="A5272" s="2" t="s">
        <v>4009</v>
      </c>
      <c r="B5272" s="2" t="s">
        <v>2452</v>
      </c>
      <c r="C5272" s="2">
        <v>913.41560000000004</v>
      </c>
      <c r="D5272" s="2">
        <f>HYPERLINK("http://mcb-m6.bioreg.kyushu-u.ac.jp/M3/20110414/F50942/2965/1", 67.45)</f>
        <v>67.45</v>
      </c>
      <c r="E5272" s="2">
        <v>52.79</v>
      </c>
      <c r="F5272" s="2">
        <v>2</v>
      </c>
      <c r="G5272" s="2" t="s">
        <v>11</v>
      </c>
    </row>
    <row r="5273" spans="1:7" x14ac:dyDescent="0.2">
      <c r="A5273" s="2" t="s">
        <v>4009</v>
      </c>
      <c r="B5273" s="2" t="s">
        <v>1304</v>
      </c>
      <c r="C5273" s="2">
        <v>788.30269999999996</v>
      </c>
      <c r="D5273" s="2">
        <f>HYPERLINK("http://mcb-m6.bioreg.kyushu-u.ac.jp/M3/20110414/F50941/2381/1", 68.6)</f>
        <v>68.599999999999994</v>
      </c>
      <c r="E5273" s="2">
        <v>49.71</v>
      </c>
      <c r="F5273" s="2">
        <v>2</v>
      </c>
      <c r="G5273" s="2" t="s">
        <v>11</v>
      </c>
    </row>
    <row r="5274" spans="1:7" x14ac:dyDescent="0.2">
      <c r="A5274" s="2" t="s">
        <v>4009</v>
      </c>
      <c r="B5274" s="2" t="s">
        <v>2452</v>
      </c>
      <c r="C5274" s="2">
        <v>913.61320000000001</v>
      </c>
      <c r="D5274" s="2">
        <f>HYPERLINK("http://mcb-m6.bioreg.kyushu-u.ac.jp/M3/20110414/F50948/3103/1", 37.81)</f>
        <v>37.81</v>
      </c>
      <c r="E5274" s="2">
        <v>26.03</v>
      </c>
      <c r="F5274" s="2">
        <v>2</v>
      </c>
      <c r="G5274" s="2" t="s">
        <v>12</v>
      </c>
    </row>
    <row r="5275" spans="1:7" x14ac:dyDescent="0.2">
      <c r="A5275" s="2" t="s">
        <v>4009</v>
      </c>
      <c r="B5275" s="2" t="s">
        <v>1304</v>
      </c>
      <c r="C5275" s="2">
        <v>788.26369999999997</v>
      </c>
      <c r="D5275" s="2">
        <f>HYPERLINK("http://mcb-m6.bioreg.kyushu-u.ac.jp/M3/20110414/F50948/2410/1", 55.26)</f>
        <v>55.26</v>
      </c>
      <c r="E5275" s="2">
        <v>38.979999999999997</v>
      </c>
      <c r="F5275" s="2">
        <v>2</v>
      </c>
      <c r="G5275" s="2" t="s">
        <v>12</v>
      </c>
    </row>
    <row r="5276" spans="1:7" x14ac:dyDescent="0.2">
      <c r="A5276" s="2" t="s">
        <v>4009</v>
      </c>
      <c r="B5276" s="2" t="s">
        <v>2452</v>
      </c>
      <c r="C5276" s="2">
        <v>914.08720000000005</v>
      </c>
      <c r="D5276" s="2">
        <f>HYPERLINK("http://mcb-m6.bioreg.kyushu-u.ac.jp/M3/20110502/F51171/2730/1", 72.94)</f>
        <v>72.94</v>
      </c>
      <c r="E5276" s="2">
        <v>56.15</v>
      </c>
      <c r="F5276" s="2">
        <v>2</v>
      </c>
      <c r="G5276" s="2" t="s">
        <v>13</v>
      </c>
    </row>
    <row r="5277" spans="1:7" x14ac:dyDescent="0.2">
      <c r="A5277" s="2" t="s">
        <v>4009</v>
      </c>
      <c r="B5277" s="2" t="s">
        <v>1304</v>
      </c>
      <c r="C5277" s="2">
        <v>788.03809999999999</v>
      </c>
      <c r="D5277" s="2">
        <f>HYPERLINK("http://mcb-m6.bioreg.kyushu-u.ac.jp/M3/20110502/F51170/2346/1", 84.8)</f>
        <v>84.8</v>
      </c>
      <c r="E5277" s="2">
        <v>68.72</v>
      </c>
      <c r="F5277" s="2">
        <v>2</v>
      </c>
      <c r="G5277" s="2" t="s">
        <v>13</v>
      </c>
    </row>
    <row r="5278" spans="1:7" x14ac:dyDescent="0.2">
      <c r="A5278" s="2" t="s">
        <v>4009</v>
      </c>
      <c r="B5278" s="2" t="s">
        <v>2452</v>
      </c>
      <c r="C5278" s="2">
        <v>913.9692</v>
      </c>
      <c r="D5278" s="2">
        <f>HYPERLINK("http://mcb-m6.bioreg.kyushu-u.ac.jp/M3/20110502/F51179/2758/1", 51.52)</f>
        <v>51.52</v>
      </c>
      <c r="E5278" s="2">
        <v>36.340000000000003</v>
      </c>
      <c r="F5278" s="2">
        <v>2</v>
      </c>
      <c r="G5278" s="2" t="s">
        <v>14</v>
      </c>
    </row>
    <row r="5279" spans="1:7" x14ac:dyDescent="0.2">
      <c r="A5279" s="2" t="s">
        <v>4257</v>
      </c>
      <c r="B5279" s="2" t="s">
        <v>1899</v>
      </c>
      <c r="C5279" s="2">
        <v>782.6567</v>
      </c>
      <c r="D5279" s="2">
        <f>HYPERLINK("http://mcb-m6.bioreg.kyushu-u.ac.jp/M3/20110411/F50914/2306/1", 47.3)</f>
        <v>47.3</v>
      </c>
      <c r="E5279" s="2">
        <v>33.58</v>
      </c>
      <c r="F5279" s="2">
        <v>2</v>
      </c>
      <c r="G5279" s="2" t="s">
        <v>10</v>
      </c>
    </row>
    <row r="5280" spans="1:7" x14ac:dyDescent="0.2">
      <c r="A5280" s="2" t="s">
        <v>4257</v>
      </c>
      <c r="B5280" s="2" t="s">
        <v>1899</v>
      </c>
      <c r="C5280" s="2">
        <v>782.27809999999999</v>
      </c>
      <c r="D5280" s="2">
        <f>HYPERLINK("http://mcb-m6.bioreg.kyushu-u.ac.jp/M3/20110414/F50942/2168/1", 44.33)</f>
        <v>44.33</v>
      </c>
      <c r="E5280" s="2">
        <v>34.21</v>
      </c>
      <c r="F5280" s="2">
        <v>2</v>
      </c>
      <c r="G5280" s="2" t="s">
        <v>11</v>
      </c>
    </row>
    <row r="5281" spans="1:7" x14ac:dyDescent="0.2">
      <c r="A5281" s="2" t="s">
        <v>4257</v>
      </c>
      <c r="B5281" s="2" t="s">
        <v>1899</v>
      </c>
      <c r="C5281" s="2">
        <v>782.80160000000001</v>
      </c>
      <c r="D5281" s="2">
        <f>HYPERLINK("http://mcb-m6.bioreg.kyushu-u.ac.jp/M3/20110414/F50942/2170/1", 53.71)</f>
        <v>53.71</v>
      </c>
      <c r="E5281" s="2">
        <v>34.83</v>
      </c>
      <c r="F5281" s="2">
        <v>2</v>
      </c>
      <c r="G5281" s="2" t="s">
        <v>11</v>
      </c>
    </row>
    <row r="5282" spans="1:7" x14ac:dyDescent="0.2">
      <c r="A5282" s="2" t="s">
        <v>4257</v>
      </c>
      <c r="B5282" s="2" t="s">
        <v>1899</v>
      </c>
      <c r="C5282" s="2">
        <v>782.46010000000001</v>
      </c>
      <c r="D5282" s="2">
        <f>HYPERLINK("http://mcb-m6.bioreg.kyushu-u.ac.jp/M3/20110414/F50941/2339/1", 65.73)</f>
        <v>65.73</v>
      </c>
      <c r="E5282" s="2">
        <v>45.8</v>
      </c>
      <c r="F5282" s="2">
        <v>2</v>
      </c>
      <c r="G5282" s="2" t="s">
        <v>11</v>
      </c>
    </row>
    <row r="5283" spans="1:7" x14ac:dyDescent="0.2">
      <c r="A5283" s="2" t="s">
        <v>4257</v>
      </c>
      <c r="B5283" s="2" t="s">
        <v>1899</v>
      </c>
      <c r="C5283" s="2">
        <v>782.96119999999996</v>
      </c>
      <c r="D5283" s="2">
        <f>HYPERLINK("http://mcb-m6.bioreg.kyushu-u.ac.jp/M3/20110414/F50947/2295/1", 62.6)</f>
        <v>62.6</v>
      </c>
      <c r="E5283" s="2">
        <v>38.6</v>
      </c>
      <c r="F5283" s="2">
        <v>2</v>
      </c>
      <c r="G5283" s="2" t="s">
        <v>12</v>
      </c>
    </row>
    <row r="5284" spans="1:7" x14ac:dyDescent="0.2">
      <c r="A5284" s="2" t="s">
        <v>4257</v>
      </c>
      <c r="B5284" s="2" t="s">
        <v>1899</v>
      </c>
      <c r="C5284" s="2">
        <v>782.27470000000005</v>
      </c>
      <c r="D5284" s="2">
        <f>HYPERLINK("http://mcb-m6.bioreg.kyushu-u.ac.jp/M3/20110414/F50948/2366/1", 70.26)</f>
        <v>70.260000000000005</v>
      </c>
      <c r="E5284" s="2">
        <v>52.3</v>
      </c>
      <c r="F5284" s="2">
        <v>2</v>
      </c>
      <c r="G5284" s="2" t="s">
        <v>12</v>
      </c>
    </row>
    <row r="5285" spans="1:7" x14ac:dyDescent="0.2">
      <c r="A5285" s="2" t="s">
        <v>4257</v>
      </c>
      <c r="B5285" s="2" t="s">
        <v>1899</v>
      </c>
      <c r="C5285" s="2">
        <v>782.60519999999997</v>
      </c>
      <c r="D5285" s="2">
        <f>HYPERLINK("http://mcb-m6.bioreg.kyushu-u.ac.jp/M3/20110502/F51170/2311/1", 35.86)</f>
        <v>35.86</v>
      </c>
      <c r="E5285" s="2">
        <v>15.3</v>
      </c>
      <c r="F5285" s="2">
        <v>2</v>
      </c>
      <c r="G5285" s="2" t="s">
        <v>13</v>
      </c>
    </row>
    <row r="5286" spans="1:7" x14ac:dyDescent="0.2">
      <c r="A5286" s="2" t="s">
        <v>4112</v>
      </c>
      <c r="B5286" s="2" t="s">
        <v>1599</v>
      </c>
      <c r="C5286" s="2">
        <v>939.02260000000001</v>
      </c>
      <c r="D5286" s="2">
        <f>HYPERLINK("http://mcb-m6.bioreg.kyushu-u.ac.jp/M3/20110411/F50911/3119/1", 97.66)</f>
        <v>97.66</v>
      </c>
      <c r="E5286" s="2">
        <v>75.180000000000007</v>
      </c>
      <c r="F5286" s="2">
        <v>2</v>
      </c>
      <c r="G5286" s="2" t="s">
        <v>9</v>
      </c>
    </row>
    <row r="5287" spans="1:7" x14ac:dyDescent="0.2">
      <c r="A5287" s="2" t="s">
        <v>4112</v>
      </c>
      <c r="B5287" s="2" t="s">
        <v>1599</v>
      </c>
      <c r="C5287" s="2">
        <v>939.02670000000001</v>
      </c>
      <c r="D5287" s="2">
        <f>HYPERLINK("http://mcb-m6.bioreg.kyushu-u.ac.jp/M3/20110414/F50941/3167/1", 75.52)</f>
        <v>75.52</v>
      </c>
      <c r="E5287" s="2">
        <v>59.17</v>
      </c>
      <c r="F5287" s="2">
        <v>2</v>
      </c>
      <c r="G5287" s="2" t="s">
        <v>11</v>
      </c>
    </row>
    <row r="5288" spans="1:7" x14ac:dyDescent="0.2">
      <c r="A5288" s="2" t="s">
        <v>4112</v>
      </c>
      <c r="B5288" s="2" t="s">
        <v>1599</v>
      </c>
      <c r="C5288" s="2">
        <v>938.95510000000002</v>
      </c>
      <c r="D5288" s="2">
        <f>HYPERLINK("http://mcb-m6.bioreg.kyushu-u.ac.jp/M3/20110502/F51170/3043/1", 110.79)</f>
        <v>110.79</v>
      </c>
      <c r="E5288" s="2">
        <v>89.5</v>
      </c>
      <c r="F5288" s="2">
        <v>2</v>
      </c>
      <c r="G5288" s="2" t="s">
        <v>13</v>
      </c>
    </row>
    <row r="5289" spans="1:7" x14ac:dyDescent="0.2">
      <c r="A5289" s="2" t="s">
        <v>4008</v>
      </c>
      <c r="B5289" s="2" t="s">
        <v>1303</v>
      </c>
      <c r="C5289" s="2">
        <v>852.04169999999999</v>
      </c>
      <c r="D5289" s="2">
        <f>HYPERLINK("http://mcb-m6.bioreg.kyushu-u.ac.jp/M3/20110411/F50911/2681/1", 71.68)</f>
        <v>71.680000000000007</v>
      </c>
      <c r="E5289" s="2">
        <v>52.58</v>
      </c>
      <c r="F5289" s="2">
        <v>2</v>
      </c>
      <c r="G5289" s="2" t="s">
        <v>9</v>
      </c>
    </row>
    <row r="5290" spans="1:7" x14ac:dyDescent="0.2">
      <c r="A5290" s="2" t="s">
        <v>4008</v>
      </c>
      <c r="B5290" s="2" t="s">
        <v>1605</v>
      </c>
      <c r="C5290" s="2">
        <v>958.1866</v>
      </c>
      <c r="D5290" s="2">
        <f>HYPERLINK("http://mcb-m6.bioreg.kyushu-u.ac.jp/M3/20110411/F50911/3185/1", 98.36)</f>
        <v>98.36</v>
      </c>
      <c r="E5290" s="2">
        <v>79.040000000000006</v>
      </c>
      <c r="F5290" s="2">
        <v>2</v>
      </c>
      <c r="G5290" s="2" t="s">
        <v>9</v>
      </c>
    </row>
    <row r="5291" spans="1:7" x14ac:dyDescent="0.2">
      <c r="A5291" s="2" t="s">
        <v>4008</v>
      </c>
      <c r="B5291" s="2" t="s">
        <v>1605</v>
      </c>
      <c r="C5291" s="2">
        <v>958.38369999999998</v>
      </c>
      <c r="D5291" s="2">
        <f>HYPERLINK("http://mcb-m6.bioreg.kyushu-u.ac.jp/M3/20110414/F50941/3270/1", 88.66)</f>
        <v>88.66</v>
      </c>
      <c r="E5291" s="2">
        <v>77.040000000000006</v>
      </c>
      <c r="F5291" s="2">
        <v>2</v>
      </c>
      <c r="G5291" s="2" t="s">
        <v>11</v>
      </c>
    </row>
    <row r="5292" spans="1:7" x14ac:dyDescent="0.2">
      <c r="A5292" s="2" t="s">
        <v>4622</v>
      </c>
      <c r="B5292" s="2" t="s">
        <v>2749</v>
      </c>
      <c r="C5292" s="2">
        <v>722.47360000000003</v>
      </c>
      <c r="D5292" s="2">
        <f>HYPERLINK("http://mcb-m6.bioreg.kyushu-u.ac.jp/M3/20110414/F50946/1839/1", 75.83)</f>
        <v>75.83</v>
      </c>
      <c r="E5292" s="2">
        <v>53.61</v>
      </c>
      <c r="F5292" s="2">
        <v>2</v>
      </c>
      <c r="G5292" s="2" t="s">
        <v>12</v>
      </c>
    </row>
    <row r="5293" spans="1:7" x14ac:dyDescent="0.2">
      <c r="A5293" s="2" t="s">
        <v>4622</v>
      </c>
      <c r="B5293" s="2" t="s">
        <v>2749</v>
      </c>
      <c r="C5293" s="2">
        <v>722.8297</v>
      </c>
      <c r="D5293" s="2">
        <f>HYPERLINK("http://mcb-m6.bioreg.kyushu-u.ac.jp/M3/20110502/F51182/1775/1", 57.49)</f>
        <v>57.49</v>
      </c>
      <c r="E5293" s="2">
        <v>25.2</v>
      </c>
      <c r="F5293" s="2">
        <v>2</v>
      </c>
      <c r="G5293" s="2" t="s">
        <v>14</v>
      </c>
    </row>
    <row r="5294" spans="1:7" x14ac:dyDescent="0.2">
      <c r="A5294" s="2" t="s">
        <v>3354</v>
      </c>
      <c r="B5294" s="2" t="s">
        <v>145</v>
      </c>
      <c r="C5294" s="2">
        <v>710.26459999999997</v>
      </c>
      <c r="D5294" s="2">
        <f>HYPERLINK("http://mcb-m6.bioreg.kyushu-u.ac.jp/M3/20110411/F50892/2060/1", 36.71)</f>
        <v>36.71</v>
      </c>
      <c r="E5294" s="2">
        <v>17.79</v>
      </c>
      <c r="F5294" s="2">
        <v>2</v>
      </c>
      <c r="G5294" s="2" t="s">
        <v>9</v>
      </c>
    </row>
    <row r="5295" spans="1:7" x14ac:dyDescent="0.2">
      <c r="A5295" s="2" t="s">
        <v>4679</v>
      </c>
      <c r="B5295" s="2" t="s">
        <v>2850</v>
      </c>
      <c r="C5295" s="2">
        <v>524.20370000000003</v>
      </c>
      <c r="D5295" s="2">
        <f>HYPERLINK("http://mcb-m6.bioreg.kyushu-u.ac.jp/M3/20110502/F51180/809/1", 39.01)</f>
        <v>39.01</v>
      </c>
      <c r="E5295" s="2">
        <v>10.34</v>
      </c>
      <c r="F5295" s="2">
        <v>2</v>
      </c>
      <c r="G5295" s="2" t="s">
        <v>13</v>
      </c>
    </row>
    <row r="5296" spans="1:7" x14ac:dyDescent="0.2">
      <c r="A5296" s="2" t="s">
        <v>4747</v>
      </c>
      <c r="B5296" s="2" t="s">
        <v>2972</v>
      </c>
      <c r="C5296" s="2">
        <v>452.39210000000003</v>
      </c>
      <c r="D5296" s="2">
        <f>HYPERLINK("http://mcb-m6.bioreg.kyushu-u.ac.jp/M3/20110502/F51179/437/1", 35.71)</f>
        <v>35.71</v>
      </c>
      <c r="E5296" s="2">
        <v>8.39</v>
      </c>
      <c r="F5296" s="2">
        <v>2</v>
      </c>
      <c r="G5296" s="2" t="s">
        <v>14</v>
      </c>
    </row>
    <row r="5297" spans="1:8" x14ac:dyDescent="0.2">
      <c r="A5297" s="2" t="s">
        <v>3986</v>
      </c>
      <c r="B5297" s="2" t="s">
        <v>1251</v>
      </c>
      <c r="C5297" s="2">
        <v>878.88419999999996</v>
      </c>
      <c r="D5297" s="2">
        <f>HYPERLINK("http://mcb-m6.bioreg.kyushu-u.ac.jp/M3/20110411/F50892/2757/1", 69.16)</f>
        <v>69.16</v>
      </c>
      <c r="E5297" s="2">
        <v>54.76</v>
      </c>
      <c r="F5297" s="2">
        <v>2</v>
      </c>
      <c r="G5297" s="2" t="s">
        <v>9</v>
      </c>
    </row>
    <row r="5298" spans="1:8" x14ac:dyDescent="0.2">
      <c r="A5298" s="2" t="s">
        <v>3986</v>
      </c>
      <c r="B5298" s="2" t="s">
        <v>1667</v>
      </c>
      <c r="C5298" s="2">
        <v>814.93219999999997</v>
      </c>
      <c r="D5298" s="2">
        <f>HYPERLINK("http://mcb-m6.bioreg.kyushu-u.ac.jp/M3/20110411/F50892/2534/1", 119.32)</f>
        <v>119.32</v>
      </c>
      <c r="E5298" s="2">
        <v>106.49</v>
      </c>
      <c r="F5298" s="2">
        <v>2</v>
      </c>
      <c r="G5298" s="2" t="s">
        <v>9</v>
      </c>
    </row>
    <row r="5299" spans="1:8" x14ac:dyDescent="0.2">
      <c r="A5299" s="2" t="s">
        <v>3986</v>
      </c>
      <c r="B5299" s="2" t="s">
        <v>1667</v>
      </c>
      <c r="C5299" s="2">
        <v>815.38570000000004</v>
      </c>
      <c r="D5299" s="2">
        <f>HYPERLINK("http://mcb-m6.bioreg.kyushu-u.ac.jp/M3/20110414/F50943/2318/1", 60.45)</f>
        <v>60.45</v>
      </c>
      <c r="E5299" s="2">
        <v>51.55</v>
      </c>
      <c r="F5299" s="2">
        <v>2</v>
      </c>
      <c r="G5299" s="2" t="s">
        <v>11</v>
      </c>
    </row>
    <row r="5300" spans="1:8" x14ac:dyDescent="0.2">
      <c r="A5300" s="2" t="s">
        <v>3986</v>
      </c>
      <c r="B5300" s="2" t="s">
        <v>1667</v>
      </c>
      <c r="C5300" s="2">
        <v>814.75869999999998</v>
      </c>
      <c r="D5300" s="2">
        <f>HYPERLINK("http://mcb-m6.bioreg.kyushu-u.ac.jp/M3/20110414/F50941/2497/1", 93.39)</f>
        <v>93.39</v>
      </c>
      <c r="E5300" s="2">
        <v>81.61</v>
      </c>
      <c r="F5300" s="2">
        <v>2</v>
      </c>
      <c r="G5300" s="2" t="s">
        <v>11</v>
      </c>
    </row>
    <row r="5301" spans="1:8" x14ac:dyDescent="0.2">
      <c r="A5301" s="2" t="s">
        <v>3986</v>
      </c>
      <c r="B5301" s="2" t="s">
        <v>1667</v>
      </c>
      <c r="C5301" s="2">
        <v>814.62660000000005</v>
      </c>
      <c r="D5301" s="2">
        <f>HYPERLINK("http://mcb-m6.bioreg.kyushu-u.ac.jp/M3/20110414/F50945/2453/1", 93.75)</f>
        <v>93.75</v>
      </c>
      <c r="E5301" s="2">
        <v>82.18</v>
      </c>
      <c r="F5301" s="2">
        <v>2</v>
      </c>
      <c r="G5301" s="2" t="s">
        <v>11</v>
      </c>
    </row>
    <row r="5302" spans="1:8" x14ac:dyDescent="0.2">
      <c r="A5302" s="2" t="s">
        <v>3986</v>
      </c>
      <c r="B5302" s="2" t="s">
        <v>1667</v>
      </c>
      <c r="C5302" s="2">
        <v>814.85419999999999</v>
      </c>
      <c r="D5302" s="2">
        <f>HYPERLINK("http://mcb-m6.bioreg.kyushu-u.ac.jp/M3/20110414/F50929/2552/1", 120.13)</f>
        <v>120.13</v>
      </c>
      <c r="E5302" s="2">
        <v>101.96</v>
      </c>
      <c r="F5302" s="2">
        <v>2</v>
      </c>
      <c r="G5302" s="2" t="s">
        <v>11</v>
      </c>
    </row>
    <row r="5303" spans="1:8" x14ac:dyDescent="0.2">
      <c r="A5303" s="2" t="s">
        <v>3986</v>
      </c>
      <c r="B5303" s="2" t="s">
        <v>1667</v>
      </c>
      <c r="C5303" s="2">
        <v>815.26760000000002</v>
      </c>
      <c r="D5303" s="2">
        <f>HYPERLINK("http://mcb-m6.bioreg.kyushu-u.ac.jp/M3/20110502/F51182/2361/1", 120.31)</f>
        <v>120.31</v>
      </c>
      <c r="E5303" s="2">
        <v>100.34</v>
      </c>
      <c r="F5303" s="2">
        <v>2</v>
      </c>
      <c r="G5303" s="2" t="s">
        <v>14</v>
      </c>
    </row>
    <row r="5304" spans="1:8" x14ac:dyDescent="0.2">
      <c r="A5304" s="2" t="s">
        <v>3785</v>
      </c>
      <c r="B5304" s="2" t="s">
        <v>822</v>
      </c>
      <c r="C5304" s="2">
        <v>1275.624</v>
      </c>
      <c r="D5304" s="2">
        <f>HYPERLINK("http://mcb-m6.bioreg.kyushu-u.ac.jp/M3/20110411/F50892/1773/1", 52.5)</f>
        <v>52.5</v>
      </c>
      <c r="E5304" s="2">
        <v>32.340000000000003</v>
      </c>
      <c r="F5304" s="2">
        <v>1</v>
      </c>
      <c r="G5304" s="2" t="s">
        <v>9</v>
      </c>
    </row>
    <row r="5305" spans="1:8" x14ac:dyDescent="0.2">
      <c r="A5305" s="2" t="s">
        <v>3785</v>
      </c>
      <c r="B5305" s="2" t="s">
        <v>822</v>
      </c>
      <c r="C5305" s="2">
        <v>638.28809999999999</v>
      </c>
      <c r="D5305" s="2">
        <f>HYPERLINK("http://mcb-m6.bioreg.kyushu-u.ac.jp/M3/20110411/F50892/1771/1", 65.48)</f>
        <v>65.48</v>
      </c>
      <c r="E5305" s="2">
        <v>47.53</v>
      </c>
      <c r="F5305" s="2">
        <v>2</v>
      </c>
      <c r="G5305" s="2" t="s">
        <v>9</v>
      </c>
    </row>
    <row r="5306" spans="1:8" x14ac:dyDescent="0.2">
      <c r="A5306" s="2" t="s">
        <v>3785</v>
      </c>
      <c r="B5306" s="2" t="s">
        <v>822</v>
      </c>
      <c r="C5306" s="2">
        <v>638.91819999999996</v>
      </c>
      <c r="D5306" s="2">
        <f>HYPERLINK("http://mcb-m6.bioreg.kyushu-u.ac.jp/M3/20110414/F50934/2012/1", 79.72)</f>
        <v>79.72</v>
      </c>
      <c r="E5306" s="2">
        <v>59.55</v>
      </c>
      <c r="F5306" s="2">
        <v>2</v>
      </c>
      <c r="G5306" s="2" t="s">
        <v>12</v>
      </c>
    </row>
    <row r="5307" spans="1:8" x14ac:dyDescent="0.2">
      <c r="A5307" s="2" t="s">
        <v>3247</v>
      </c>
      <c r="B5307" s="2" t="s">
        <v>27</v>
      </c>
      <c r="C5307" s="2">
        <v>779.62369999999999</v>
      </c>
      <c r="D5307" s="2">
        <f>HYPERLINK("http://mcb-m6.bioreg.kyushu-u.ac.jp/M3/20110411/F50911/2302/1", 35.17)</f>
        <v>35.17</v>
      </c>
      <c r="E5307" s="2">
        <v>8.81</v>
      </c>
      <c r="F5307" s="2">
        <v>2</v>
      </c>
      <c r="G5307" s="2" t="s">
        <v>9</v>
      </c>
    </row>
    <row r="5308" spans="1:8" x14ac:dyDescent="0.2">
      <c r="A5308" s="2" t="s">
        <v>4396</v>
      </c>
      <c r="B5308" s="2" t="s">
        <v>2245</v>
      </c>
      <c r="C5308" s="2">
        <v>463.80810000000002</v>
      </c>
      <c r="D5308" s="2">
        <f>HYPERLINK("http://mcb-m6.bioreg.kyushu-u.ac.jp/M3/20110414/F50926/1300/1", 39.31)</f>
        <v>39.31</v>
      </c>
      <c r="E5308" s="2">
        <v>19.37</v>
      </c>
      <c r="F5308" s="2">
        <v>2</v>
      </c>
      <c r="G5308" s="2" t="s">
        <v>11</v>
      </c>
    </row>
    <row r="5309" spans="1:8" x14ac:dyDescent="0.2">
      <c r="A5309" s="2" t="s">
        <v>4396</v>
      </c>
      <c r="B5309" s="2" t="s">
        <v>2245</v>
      </c>
      <c r="C5309" s="2">
        <v>464.07010000000002</v>
      </c>
      <c r="D5309" s="2">
        <f>HYPERLINK("http://mcb-m6.bioreg.kyushu-u.ac.jp/M3/20110414/F50926/1303/1", 42.54)</f>
        <v>42.54</v>
      </c>
      <c r="E5309" s="2">
        <v>19.190000000000001</v>
      </c>
      <c r="F5309" s="2">
        <v>2</v>
      </c>
      <c r="G5309" s="2" t="s">
        <v>11</v>
      </c>
    </row>
    <row r="5310" spans="1:8" x14ac:dyDescent="0.2">
      <c r="A5310" s="2" t="s">
        <v>4396</v>
      </c>
      <c r="B5310" s="2" t="s">
        <v>2245</v>
      </c>
      <c r="C5310" s="2">
        <v>464.1096</v>
      </c>
      <c r="D5310" s="2">
        <f>HYPERLINK("http://mcb-m6.bioreg.kyushu-u.ac.jp/M3/20110502/F51176/1343/1", 52.18)</f>
        <v>52.18</v>
      </c>
      <c r="E5310" s="2">
        <v>26.35</v>
      </c>
      <c r="F5310" s="2">
        <v>2</v>
      </c>
      <c r="G5310" s="2" t="s">
        <v>14</v>
      </c>
    </row>
    <row r="5311" spans="1:8" x14ac:dyDescent="0.2">
      <c r="A5311" s="2" t="s">
        <v>3640</v>
      </c>
      <c r="B5311" s="2" t="s">
        <v>559</v>
      </c>
      <c r="C5311" s="2">
        <v>967.45500000000004</v>
      </c>
      <c r="D5311" s="2">
        <f>HYPERLINK("http://mcb-m6.bioreg.kyushu-u.ac.jp/M3/20110411/F50889/1459/1", 44.84)</f>
        <v>44.84</v>
      </c>
      <c r="E5311" s="2">
        <v>32.270000000000003</v>
      </c>
      <c r="F5311" s="2">
        <v>1</v>
      </c>
      <c r="G5311" s="2" t="s">
        <v>9</v>
      </c>
      <c r="H5311" s="2" t="s">
        <v>4904</v>
      </c>
    </row>
    <row r="5312" spans="1:8" x14ac:dyDescent="0.2">
      <c r="A5312" s="2" t="s">
        <v>3640</v>
      </c>
      <c r="B5312" s="2" t="s">
        <v>559</v>
      </c>
      <c r="C5312" s="2">
        <v>968.322</v>
      </c>
      <c r="D5312" s="2">
        <f>HYPERLINK("http://mcb-m6.bioreg.kyushu-u.ac.jp/M3/20110411/F50896/1208/1", 36.29)</f>
        <v>36.29</v>
      </c>
      <c r="E5312" s="2">
        <v>15.89</v>
      </c>
      <c r="F5312" s="2">
        <v>1</v>
      </c>
      <c r="G5312" s="2" t="s">
        <v>10</v>
      </c>
      <c r="H5312" s="2" t="s">
        <v>4904</v>
      </c>
    </row>
    <row r="5313" spans="1:9" x14ac:dyDescent="0.2">
      <c r="A5313" s="2" t="s">
        <v>3640</v>
      </c>
      <c r="B5313" s="2" t="s">
        <v>1858</v>
      </c>
      <c r="C5313" s="2">
        <v>450.84609999999998</v>
      </c>
      <c r="D5313" s="2">
        <f>HYPERLINK("http://mcb-m6.bioreg.kyushu-u.ac.jp/M3/20110411/F50896/1034/1", 44.84)</f>
        <v>44.84</v>
      </c>
      <c r="E5313" s="2">
        <v>13.88</v>
      </c>
      <c r="F5313" s="2">
        <v>2</v>
      </c>
      <c r="G5313" s="2" t="s">
        <v>10</v>
      </c>
    </row>
    <row r="5314" spans="1:9" x14ac:dyDescent="0.2">
      <c r="A5314" s="2" t="s">
        <v>3640</v>
      </c>
      <c r="B5314" s="2" t="s">
        <v>1962</v>
      </c>
      <c r="C5314" s="2">
        <v>1162.086</v>
      </c>
      <c r="D5314" s="2">
        <f>HYPERLINK("http://mcb-m6.bioreg.kyushu-u.ac.jp/M3/20110411/F50896/3217/1", 54.67)</f>
        <v>54.67</v>
      </c>
      <c r="E5314" s="2">
        <v>45.03</v>
      </c>
      <c r="F5314" s="2">
        <v>2</v>
      </c>
      <c r="G5314" s="2" t="s">
        <v>10</v>
      </c>
    </row>
    <row r="5315" spans="1:9" x14ac:dyDescent="0.2">
      <c r="A5315" s="2" t="s">
        <v>3640</v>
      </c>
      <c r="B5315" s="2" t="s">
        <v>2096</v>
      </c>
      <c r="C5315" s="2">
        <v>751.99019999999996</v>
      </c>
      <c r="D5315" s="2">
        <f>HYPERLINK("http://mcb-m6.bioreg.kyushu-u.ac.jp/M3/20110411/F50896/2197/1", 79.64)</f>
        <v>79.64</v>
      </c>
      <c r="E5315" s="2">
        <v>60.71</v>
      </c>
      <c r="F5315" s="2">
        <v>2</v>
      </c>
      <c r="G5315" s="2" t="s">
        <v>10</v>
      </c>
      <c r="I5315" s="2" t="s">
        <v>4895</v>
      </c>
    </row>
    <row r="5316" spans="1:9" x14ac:dyDescent="0.2">
      <c r="A5316" s="2" t="s">
        <v>3640</v>
      </c>
      <c r="B5316" s="2" t="s">
        <v>2176</v>
      </c>
      <c r="C5316" s="2">
        <v>486.47460000000001</v>
      </c>
      <c r="D5316" s="2">
        <f>HYPERLINK("http://mcb-m6.bioreg.kyushu-u.ac.jp/M3/20110414/F50926/1393/1", 36.03)</f>
        <v>36.03</v>
      </c>
      <c r="E5316" s="2">
        <v>11.48</v>
      </c>
      <c r="F5316" s="2">
        <v>2</v>
      </c>
      <c r="G5316" s="2" t="s">
        <v>11</v>
      </c>
      <c r="I5316" s="2" t="s">
        <v>4899</v>
      </c>
    </row>
    <row r="5317" spans="1:9" x14ac:dyDescent="0.2">
      <c r="A5317" s="2" t="s">
        <v>3640</v>
      </c>
      <c r="B5317" s="2" t="s">
        <v>559</v>
      </c>
      <c r="C5317" s="2">
        <v>967.21600000000001</v>
      </c>
      <c r="D5317" s="2">
        <f>HYPERLINK("http://mcb-m6.bioreg.kyushu-u.ac.jp/M3/20110414/F50926/1382/1", 36.76)</f>
        <v>36.76</v>
      </c>
      <c r="E5317" s="2">
        <v>22.7</v>
      </c>
      <c r="F5317" s="2">
        <v>1</v>
      </c>
      <c r="G5317" s="2" t="s">
        <v>11</v>
      </c>
      <c r="H5317" s="2" t="s">
        <v>4904</v>
      </c>
    </row>
    <row r="5318" spans="1:9" x14ac:dyDescent="0.2">
      <c r="A5318" s="2" t="s">
        <v>3640</v>
      </c>
      <c r="B5318" s="2" t="s">
        <v>2096</v>
      </c>
      <c r="C5318" s="2">
        <v>751.04570000000001</v>
      </c>
      <c r="D5318" s="2">
        <f>HYPERLINK("http://mcb-m6.bioreg.kyushu-u.ac.jp/M3/20110414/F50926/2255/1", 47.78)</f>
        <v>47.78</v>
      </c>
      <c r="E5318" s="2">
        <v>29.13</v>
      </c>
      <c r="F5318" s="2">
        <v>2</v>
      </c>
      <c r="G5318" s="2" t="s">
        <v>11</v>
      </c>
      <c r="I5318" s="2" t="s">
        <v>4895</v>
      </c>
    </row>
    <row r="5319" spans="1:9" x14ac:dyDescent="0.2">
      <c r="A5319" s="2" t="s">
        <v>3640</v>
      </c>
      <c r="B5319" s="2" t="s">
        <v>559</v>
      </c>
      <c r="C5319" s="2">
        <v>493.14010000000002</v>
      </c>
      <c r="D5319" s="2">
        <f>HYPERLINK("http://mcb-m6.bioreg.kyushu-u.ac.jp/M3/20110414/F50926/1423/1", 71.54)</f>
        <v>71.540000000000006</v>
      </c>
      <c r="E5319" s="2">
        <v>42.61</v>
      </c>
      <c r="F5319" s="2">
        <v>2</v>
      </c>
      <c r="G5319" s="2" t="s">
        <v>11</v>
      </c>
    </row>
    <row r="5320" spans="1:9" x14ac:dyDescent="0.2">
      <c r="A5320" s="2" t="s">
        <v>3716</v>
      </c>
      <c r="B5320" s="2" t="s">
        <v>703</v>
      </c>
      <c r="C5320" s="2">
        <v>662.02170000000001</v>
      </c>
      <c r="D5320" s="2">
        <f>HYPERLINK("http://mcb-m6.bioreg.kyushu-u.ac.jp/M3/20110411/F50916/1446/1", 48.8)</f>
        <v>48.8</v>
      </c>
      <c r="E5320" s="2">
        <v>26.22</v>
      </c>
      <c r="F5320" s="2">
        <v>2</v>
      </c>
      <c r="G5320" s="2" t="s">
        <v>9</v>
      </c>
    </row>
    <row r="5321" spans="1:9" x14ac:dyDescent="0.2">
      <c r="A5321" s="2" t="s">
        <v>3716</v>
      </c>
      <c r="B5321" s="2" t="s">
        <v>1281</v>
      </c>
      <c r="C5321" s="2">
        <v>706.42570000000001</v>
      </c>
      <c r="D5321" s="2">
        <f>HYPERLINK("http://mcb-m6.bioreg.kyushu-u.ac.jp/M3/20110411/F50916/1702/1", 70.43)</f>
        <v>70.430000000000007</v>
      </c>
      <c r="E5321" s="2">
        <v>43.6</v>
      </c>
      <c r="F5321" s="2">
        <v>2</v>
      </c>
      <c r="G5321" s="2" t="s">
        <v>9</v>
      </c>
    </row>
    <row r="5322" spans="1:9" x14ac:dyDescent="0.2">
      <c r="A5322" s="2" t="s">
        <v>3716</v>
      </c>
      <c r="B5322" s="2" t="s">
        <v>2207</v>
      </c>
      <c r="C5322" s="2">
        <v>679.14260000000002</v>
      </c>
      <c r="D5322" s="2">
        <f>HYPERLINK("http://mcb-m6.bioreg.kyushu-u.ac.jp/M3/20110414/F50957/1461/1", 37.21)</f>
        <v>37.21</v>
      </c>
      <c r="E5322" s="2">
        <v>22.75</v>
      </c>
      <c r="F5322" s="2">
        <v>2</v>
      </c>
      <c r="G5322" s="2" t="s">
        <v>11</v>
      </c>
    </row>
    <row r="5323" spans="1:9" x14ac:dyDescent="0.2">
      <c r="A5323" s="2" t="s">
        <v>3716</v>
      </c>
      <c r="B5323" s="2" t="s">
        <v>1281</v>
      </c>
      <c r="C5323" s="2">
        <v>706.25210000000004</v>
      </c>
      <c r="D5323" s="2">
        <f>HYPERLINK("http://mcb-m6.bioreg.kyushu-u.ac.jp/M3/20110414/F50957/1651/1", 84.92)</f>
        <v>84.92</v>
      </c>
      <c r="E5323" s="2">
        <v>67.39</v>
      </c>
      <c r="F5323" s="2">
        <v>2</v>
      </c>
      <c r="G5323" s="2" t="s">
        <v>11</v>
      </c>
    </row>
    <row r="5324" spans="1:9" x14ac:dyDescent="0.2">
      <c r="A5324" s="2" t="s">
        <v>4795</v>
      </c>
      <c r="B5324" s="2" t="s">
        <v>3032</v>
      </c>
      <c r="C5324" s="2">
        <v>608.55470000000003</v>
      </c>
      <c r="D5324" s="2">
        <f>HYPERLINK("http://mcb-m6.bioreg.kyushu-u.ac.jp/M3/20110502/F51176/1742/1", 38.73)</f>
        <v>38.729999999999997</v>
      </c>
      <c r="E5324" s="2">
        <v>18.41</v>
      </c>
      <c r="F5324" s="2">
        <v>2</v>
      </c>
      <c r="G5324" s="2" t="s">
        <v>14</v>
      </c>
    </row>
    <row r="5325" spans="1:9" x14ac:dyDescent="0.2">
      <c r="A5325" s="2" t="s">
        <v>3949</v>
      </c>
      <c r="B5325" s="2" t="s">
        <v>1151</v>
      </c>
      <c r="C5325" s="2">
        <v>847.5367</v>
      </c>
      <c r="D5325" s="2">
        <f>HYPERLINK("http://mcb-m6.bioreg.kyushu-u.ac.jp/M3/20110411/F50903/2535/1", 65.23)</f>
        <v>65.23</v>
      </c>
      <c r="E5325" s="2">
        <v>44.88</v>
      </c>
      <c r="F5325" s="2">
        <v>2</v>
      </c>
      <c r="G5325" s="2" t="s">
        <v>9</v>
      </c>
    </row>
    <row r="5326" spans="1:9" x14ac:dyDescent="0.2">
      <c r="A5326" s="2" t="s">
        <v>3949</v>
      </c>
      <c r="B5326" s="2" t="s">
        <v>1222</v>
      </c>
      <c r="C5326" s="2">
        <v>691.62869999999998</v>
      </c>
      <c r="D5326" s="2">
        <f>HYPERLINK("http://mcb-m6.bioreg.kyushu-u.ac.jp/M3/20110411/F50903/1807/1", 67.93)</f>
        <v>67.930000000000007</v>
      </c>
      <c r="E5326" s="2">
        <v>46.7</v>
      </c>
      <c r="F5326" s="2">
        <v>2</v>
      </c>
      <c r="G5326" s="2" t="s">
        <v>9</v>
      </c>
    </row>
    <row r="5327" spans="1:9" x14ac:dyDescent="0.2">
      <c r="A5327" s="2" t="s">
        <v>3949</v>
      </c>
      <c r="B5327" s="2" t="s">
        <v>1362</v>
      </c>
      <c r="C5327" s="2">
        <v>720.09860000000003</v>
      </c>
      <c r="D5327" s="2">
        <f>HYPERLINK("http://mcb-m6.bioreg.kyushu-u.ac.jp/M3/20110411/F50903/1961/1", 75.42)</f>
        <v>75.42</v>
      </c>
      <c r="E5327" s="2">
        <v>53.82</v>
      </c>
      <c r="F5327" s="2">
        <v>2</v>
      </c>
      <c r="G5327" s="2" t="s">
        <v>9</v>
      </c>
    </row>
    <row r="5328" spans="1:9" x14ac:dyDescent="0.2">
      <c r="A5328" s="2" t="s">
        <v>3949</v>
      </c>
      <c r="B5328" s="2" t="s">
        <v>1151</v>
      </c>
      <c r="C5328" s="2">
        <v>847.68320000000006</v>
      </c>
      <c r="D5328" s="2">
        <f>HYPERLINK("http://mcb-m6.bioreg.kyushu-u.ac.jp/M3/20110411/F50920/2062/1", 83.37)</f>
        <v>83.37</v>
      </c>
      <c r="E5328" s="2">
        <v>55.78</v>
      </c>
      <c r="F5328" s="2">
        <v>2</v>
      </c>
      <c r="G5328" s="2" t="s">
        <v>10</v>
      </c>
    </row>
    <row r="5329" spans="1:7" x14ac:dyDescent="0.2">
      <c r="A5329" s="2" t="s">
        <v>3949</v>
      </c>
      <c r="B5329" s="2" t="s">
        <v>2180</v>
      </c>
      <c r="C5329" s="2">
        <v>627.49959999999999</v>
      </c>
      <c r="D5329" s="2">
        <f>HYPERLINK("http://mcb-m6.bioreg.kyushu-u.ac.jp/M3/20110414/F50924/1565/1", 36.1)</f>
        <v>36.1</v>
      </c>
      <c r="E5329" s="2">
        <v>10.08</v>
      </c>
      <c r="F5329" s="2">
        <v>2</v>
      </c>
      <c r="G5329" s="2" t="s">
        <v>11</v>
      </c>
    </row>
    <row r="5330" spans="1:7" x14ac:dyDescent="0.2">
      <c r="A5330" s="2" t="s">
        <v>3949</v>
      </c>
      <c r="B5330" s="2" t="s">
        <v>1151</v>
      </c>
      <c r="C5330" s="2">
        <v>847.2432</v>
      </c>
      <c r="D5330" s="2">
        <f>HYPERLINK("http://mcb-m6.bioreg.kyushu-u.ac.jp/M3/20110414/F50924/2594/1", 42.85)</f>
        <v>42.85</v>
      </c>
      <c r="E5330" s="2">
        <v>27.26</v>
      </c>
      <c r="F5330" s="2">
        <v>2</v>
      </c>
      <c r="G5330" s="2" t="s">
        <v>11</v>
      </c>
    </row>
    <row r="5331" spans="1:7" x14ac:dyDescent="0.2">
      <c r="A5331" s="2" t="s">
        <v>3949</v>
      </c>
      <c r="B5331" s="2" t="s">
        <v>1362</v>
      </c>
      <c r="C5331" s="2">
        <v>719.85360000000003</v>
      </c>
      <c r="D5331" s="2">
        <f>HYPERLINK("http://mcb-m6.bioreg.kyushu-u.ac.jp/M3/20110414/F50924/2037/1", 53.67)</f>
        <v>53.67</v>
      </c>
      <c r="E5331" s="2">
        <v>40.99</v>
      </c>
      <c r="F5331" s="2">
        <v>2</v>
      </c>
      <c r="G5331" s="2" t="s">
        <v>11</v>
      </c>
    </row>
    <row r="5332" spans="1:7" x14ac:dyDescent="0.2">
      <c r="A5332" s="2" t="s">
        <v>3949</v>
      </c>
      <c r="B5332" s="2" t="s">
        <v>1362</v>
      </c>
      <c r="C5332" s="2">
        <v>719.83619999999996</v>
      </c>
      <c r="D5332" s="2">
        <f>HYPERLINK("http://mcb-m6.bioreg.kyushu-u.ac.jp/M3/20110414/F50924/2036/1", 54.13)</f>
        <v>54.13</v>
      </c>
      <c r="E5332" s="2">
        <v>38.659999999999997</v>
      </c>
      <c r="F5332" s="2">
        <v>2</v>
      </c>
      <c r="G5332" s="2" t="s">
        <v>11</v>
      </c>
    </row>
    <row r="5333" spans="1:7" x14ac:dyDescent="0.2">
      <c r="A5333" s="2" t="s">
        <v>3949</v>
      </c>
      <c r="B5333" s="2" t="s">
        <v>1362</v>
      </c>
      <c r="C5333" s="2">
        <v>719.88120000000004</v>
      </c>
      <c r="D5333" s="2">
        <f>HYPERLINK("http://mcb-m6.bioreg.kyushu-u.ac.jp/M3/20110414/F50925/2133/1", 62.12)</f>
        <v>62.12</v>
      </c>
      <c r="E5333" s="2">
        <v>51.01</v>
      </c>
      <c r="F5333" s="2">
        <v>2</v>
      </c>
      <c r="G5333" s="2" t="s">
        <v>11</v>
      </c>
    </row>
    <row r="5334" spans="1:7" x14ac:dyDescent="0.2">
      <c r="A5334" s="2" t="s">
        <v>3949</v>
      </c>
      <c r="B5334" s="2" t="s">
        <v>2435</v>
      </c>
      <c r="C5334" s="2">
        <v>546.69920000000002</v>
      </c>
      <c r="D5334" s="2">
        <f>HYPERLINK("http://mcb-m6.bioreg.kyushu-u.ac.jp/M3/20110414/F50924/1266/1", 62.73)</f>
        <v>62.73</v>
      </c>
      <c r="E5334" s="2">
        <v>40.53</v>
      </c>
      <c r="F5334" s="2">
        <v>2</v>
      </c>
      <c r="G5334" s="2" t="s">
        <v>11</v>
      </c>
    </row>
    <row r="5335" spans="1:7" x14ac:dyDescent="0.2">
      <c r="A5335" s="2" t="s">
        <v>3949</v>
      </c>
      <c r="B5335" s="2" t="s">
        <v>1362</v>
      </c>
      <c r="C5335" s="2">
        <v>719.88760000000002</v>
      </c>
      <c r="D5335" s="2">
        <f>HYPERLINK("http://mcb-m6.bioreg.kyushu-u.ac.jp/M3/20110414/F50924/2038/1", 63.74)</f>
        <v>63.74</v>
      </c>
      <c r="E5335" s="2">
        <v>51.75</v>
      </c>
      <c r="F5335" s="2">
        <v>2</v>
      </c>
      <c r="G5335" s="2" t="s">
        <v>11</v>
      </c>
    </row>
    <row r="5336" spans="1:7" x14ac:dyDescent="0.2">
      <c r="A5336" s="2" t="s">
        <v>3949</v>
      </c>
      <c r="B5336" s="2" t="s">
        <v>1151</v>
      </c>
      <c r="C5336" s="2">
        <v>847.99369999999999</v>
      </c>
      <c r="D5336" s="2">
        <f>HYPERLINK("http://mcb-m6.bioreg.kyushu-u.ac.jp/M3/20110414/F50924/2599/1", 66.54)</f>
        <v>66.540000000000006</v>
      </c>
      <c r="E5336" s="2">
        <v>49.97</v>
      </c>
      <c r="F5336" s="2">
        <v>2</v>
      </c>
      <c r="G5336" s="2" t="s">
        <v>11</v>
      </c>
    </row>
    <row r="5337" spans="1:7" x14ac:dyDescent="0.2">
      <c r="A5337" s="2" t="s">
        <v>3949</v>
      </c>
      <c r="B5337" s="2" t="s">
        <v>1362</v>
      </c>
      <c r="C5337" s="2">
        <v>720.42319999999995</v>
      </c>
      <c r="D5337" s="2">
        <f>HYPERLINK("http://mcb-m6.bioreg.kyushu-u.ac.jp/M3/20110414/F50924/2041/1", 72.65)</f>
        <v>72.650000000000006</v>
      </c>
      <c r="E5337" s="2">
        <v>52.66</v>
      </c>
      <c r="F5337" s="2">
        <v>2</v>
      </c>
      <c r="G5337" s="2" t="s">
        <v>11</v>
      </c>
    </row>
    <row r="5338" spans="1:7" x14ac:dyDescent="0.2">
      <c r="A5338" s="2" t="s">
        <v>3949</v>
      </c>
      <c r="B5338" s="2" t="s">
        <v>1362</v>
      </c>
      <c r="C5338" s="2">
        <v>719.77009999999996</v>
      </c>
      <c r="D5338" s="2">
        <f>HYPERLINK("http://mcb-m6.bioreg.kyushu-u.ac.jp/M3/20110414/F50924/2034/1", 86.87)</f>
        <v>86.87</v>
      </c>
      <c r="E5338" s="2">
        <v>71.56</v>
      </c>
      <c r="F5338" s="2">
        <v>2</v>
      </c>
      <c r="G5338" s="2" t="s">
        <v>11</v>
      </c>
    </row>
    <row r="5339" spans="1:7" x14ac:dyDescent="0.2">
      <c r="A5339" s="2" t="s">
        <v>3949</v>
      </c>
      <c r="B5339" s="2" t="s">
        <v>1222</v>
      </c>
      <c r="C5339" s="2">
        <v>691.23770000000002</v>
      </c>
      <c r="D5339" s="2">
        <f>HYPERLINK("http://mcb-m6.bioreg.kyushu-u.ac.jp/M3/20110414/F50930/2058/1", 48.63)</f>
        <v>48.63</v>
      </c>
      <c r="E5339" s="2">
        <v>39.909999999999997</v>
      </c>
      <c r="F5339" s="2">
        <v>2</v>
      </c>
      <c r="G5339" s="2" t="s">
        <v>12</v>
      </c>
    </row>
    <row r="5340" spans="1:7" x14ac:dyDescent="0.2">
      <c r="A5340" s="2" t="s">
        <v>3949</v>
      </c>
      <c r="B5340" s="2" t="s">
        <v>1151</v>
      </c>
      <c r="C5340" s="2">
        <v>847.36019999999996</v>
      </c>
      <c r="D5340" s="2">
        <f>HYPERLINK("http://mcb-m6.bioreg.kyushu-u.ac.jp/M3/20110414/F50930/2465/1", 51.82)</f>
        <v>51.82</v>
      </c>
      <c r="E5340" s="2">
        <v>30.38</v>
      </c>
      <c r="F5340" s="2">
        <v>2</v>
      </c>
      <c r="G5340" s="2" t="s">
        <v>12</v>
      </c>
    </row>
    <row r="5341" spans="1:7" x14ac:dyDescent="0.2">
      <c r="A5341" s="2" t="s">
        <v>3949</v>
      </c>
      <c r="B5341" s="2" t="s">
        <v>2435</v>
      </c>
      <c r="C5341" s="2">
        <v>546.16020000000003</v>
      </c>
      <c r="D5341" s="2">
        <f>HYPERLINK("http://mcb-m6.bioreg.kyushu-u.ac.jp/M3/20110414/F50930/1853/1", 59.73)</f>
        <v>59.73</v>
      </c>
      <c r="E5341" s="2">
        <v>37.31</v>
      </c>
      <c r="F5341" s="2">
        <v>2</v>
      </c>
      <c r="G5341" s="2" t="s">
        <v>12</v>
      </c>
    </row>
    <row r="5342" spans="1:7" x14ac:dyDescent="0.2">
      <c r="A5342" s="2" t="s">
        <v>3949</v>
      </c>
      <c r="B5342" s="2" t="s">
        <v>1362</v>
      </c>
      <c r="C5342" s="2">
        <v>720.26969999999994</v>
      </c>
      <c r="D5342" s="2">
        <f>HYPERLINK("http://mcb-m6.bioreg.kyushu-u.ac.jp/M3/20110414/F50930/2126/1", 74.38)</f>
        <v>74.38</v>
      </c>
      <c r="E5342" s="2">
        <v>58.8</v>
      </c>
      <c r="F5342" s="2">
        <v>2</v>
      </c>
      <c r="G5342" s="2" t="s">
        <v>12</v>
      </c>
    </row>
    <row r="5343" spans="1:7" x14ac:dyDescent="0.2">
      <c r="A5343" s="2" t="s">
        <v>3949</v>
      </c>
      <c r="B5343" s="2" t="s">
        <v>1362</v>
      </c>
      <c r="C5343" s="2">
        <v>719.72720000000004</v>
      </c>
      <c r="D5343" s="2">
        <f>HYPERLINK("http://mcb-m6.bioreg.kyushu-u.ac.jp/M3/20110414/F50930/2123/1", 91.3)</f>
        <v>91.3</v>
      </c>
      <c r="E5343" s="2">
        <v>76.42</v>
      </c>
      <c r="F5343" s="2">
        <v>2</v>
      </c>
      <c r="G5343" s="2" t="s">
        <v>12</v>
      </c>
    </row>
    <row r="5344" spans="1:7" x14ac:dyDescent="0.2">
      <c r="A5344" s="2" t="s">
        <v>3949</v>
      </c>
      <c r="B5344" s="2" t="s">
        <v>1151</v>
      </c>
      <c r="C5344" s="2">
        <v>847.68219999999997</v>
      </c>
      <c r="D5344" s="2">
        <f>HYPERLINK("http://mcb-m6.bioreg.kyushu-u.ac.jp/M3/20110502/F51181/2308/1", 38.31)</f>
        <v>38.31</v>
      </c>
      <c r="E5344" s="2">
        <v>28.14</v>
      </c>
      <c r="F5344" s="2">
        <v>2</v>
      </c>
      <c r="G5344" s="2" t="s">
        <v>14</v>
      </c>
    </row>
    <row r="5345" spans="1:9" x14ac:dyDescent="0.2">
      <c r="A5345" s="2" t="s">
        <v>3949</v>
      </c>
      <c r="B5345" s="2" t="s">
        <v>1362</v>
      </c>
      <c r="C5345" s="2">
        <v>720.18619999999999</v>
      </c>
      <c r="D5345" s="2">
        <f>HYPERLINK("http://mcb-m6.bioreg.kyushu-u.ac.jp/M3/20110502/F51181/1751/1", 45.21)</f>
        <v>45.21</v>
      </c>
      <c r="E5345" s="2">
        <v>26.88</v>
      </c>
      <c r="F5345" s="2">
        <v>2</v>
      </c>
      <c r="G5345" s="2" t="s">
        <v>14</v>
      </c>
    </row>
    <row r="5346" spans="1:9" x14ac:dyDescent="0.2">
      <c r="A5346" s="2" t="s">
        <v>3949</v>
      </c>
      <c r="B5346" s="2" t="s">
        <v>2435</v>
      </c>
      <c r="C5346" s="2">
        <v>546.51869999999997</v>
      </c>
      <c r="D5346" s="2">
        <f>HYPERLINK("http://mcb-m6.bioreg.kyushu-u.ac.jp/M3/20110502/F51181/993/1", 46.66)</f>
        <v>46.66</v>
      </c>
      <c r="E5346" s="2">
        <v>16.91</v>
      </c>
      <c r="F5346" s="2">
        <v>2</v>
      </c>
      <c r="G5346" s="2" t="s">
        <v>14</v>
      </c>
    </row>
    <row r="5347" spans="1:9" x14ac:dyDescent="0.2">
      <c r="A5347" s="2" t="s">
        <v>3507</v>
      </c>
      <c r="B5347" s="2" t="s">
        <v>345</v>
      </c>
      <c r="C5347" s="2">
        <v>899.45569999999998</v>
      </c>
      <c r="D5347" s="2">
        <f>HYPERLINK("http://mcb-m6.bioreg.kyushu-u.ac.jp/M3/20110411/F50919/2465/1", 40.03)</f>
        <v>40.03</v>
      </c>
      <c r="E5347" s="2">
        <v>30.92</v>
      </c>
      <c r="F5347" s="2">
        <v>2</v>
      </c>
      <c r="G5347" s="2" t="s">
        <v>9</v>
      </c>
    </row>
    <row r="5348" spans="1:9" x14ac:dyDescent="0.2">
      <c r="A5348" s="2" t="s">
        <v>3507</v>
      </c>
      <c r="B5348" s="2" t="s">
        <v>1592</v>
      </c>
      <c r="C5348" s="2">
        <v>721.43520000000001</v>
      </c>
      <c r="D5348" s="2">
        <f>HYPERLINK("http://mcb-m6.bioreg.kyushu-u.ac.jp/M3/20110411/F50919/1529/1", 96.93)</f>
        <v>96.93</v>
      </c>
      <c r="E5348" s="2">
        <v>74.67</v>
      </c>
      <c r="F5348" s="2">
        <v>2</v>
      </c>
      <c r="G5348" s="2" t="s">
        <v>9</v>
      </c>
    </row>
    <row r="5349" spans="1:9" x14ac:dyDescent="0.2">
      <c r="A5349" s="2" t="s">
        <v>3507</v>
      </c>
      <c r="B5349" s="2" t="s">
        <v>345</v>
      </c>
      <c r="C5349" s="2">
        <v>900.00419999999997</v>
      </c>
      <c r="D5349" s="2">
        <f>HYPERLINK("http://mcb-m6.bioreg.kyushu-u.ac.jp/M3/20110411/F50921/2515/1", 48.71)</f>
        <v>48.71</v>
      </c>
      <c r="E5349" s="2">
        <v>20.91</v>
      </c>
      <c r="F5349" s="2">
        <v>2</v>
      </c>
      <c r="G5349" s="2" t="s">
        <v>10</v>
      </c>
    </row>
    <row r="5350" spans="1:9" x14ac:dyDescent="0.2">
      <c r="A5350" s="2" t="s">
        <v>3507</v>
      </c>
      <c r="B5350" s="2" t="s">
        <v>345</v>
      </c>
      <c r="C5350" s="2">
        <v>899.43219999999997</v>
      </c>
      <c r="D5350" s="2">
        <f>HYPERLINK("http://mcb-m6.bioreg.kyushu-u.ac.jp/M3/20110411/F50921/2508/1", 80.03)</f>
        <v>80.03</v>
      </c>
      <c r="E5350" s="2">
        <v>62.97</v>
      </c>
      <c r="F5350" s="2">
        <v>2</v>
      </c>
      <c r="G5350" s="2" t="s">
        <v>10</v>
      </c>
    </row>
    <row r="5351" spans="1:9" x14ac:dyDescent="0.2">
      <c r="A5351" s="2" t="s">
        <v>3507</v>
      </c>
      <c r="B5351" s="2" t="s">
        <v>1592</v>
      </c>
      <c r="C5351" s="2">
        <v>721.38670000000002</v>
      </c>
      <c r="D5351" s="2">
        <f>HYPERLINK("http://mcb-m6.bioreg.kyushu-u.ac.jp/M3/20110411/F50921/1741/1", 103.62)</f>
        <v>103.62</v>
      </c>
      <c r="E5351" s="2">
        <v>80.69</v>
      </c>
      <c r="F5351" s="2">
        <v>2</v>
      </c>
      <c r="G5351" s="2" t="s">
        <v>10</v>
      </c>
    </row>
    <row r="5352" spans="1:9" x14ac:dyDescent="0.2">
      <c r="A5352" s="2" t="s">
        <v>3507</v>
      </c>
      <c r="B5352" s="2" t="s">
        <v>2385</v>
      </c>
      <c r="C5352" s="2">
        <v>855.64509999999996</v>
      </c>
      <c r="D5352" s="2">
        <f>HYPERLINK("http://mcb-m6.bioreg.kyushu-u.ac.jp/M3/20110414/F50962/2369/1", 53.24)</f>
        <v>53.24</v>
      </c>
      <c r="E5352" s="2">
        <v>43.53</v>
      </c>
      <c r="F5352" s="2">
        <v>2</v>
      </c>
      <c r="G5352" s="2" t="s">
        <v>11</v>
      </c>
    </row>
    <row r="5353" spans="1:9" x14ac:dyDescent="0.2">
      <c r="A5353" s="2" t="s">
        <v>3507</v>
      </c>
      <c r="B5353" s="2" t="s">
        <v>345</v>
      </c>
      <c r="C5353" s="2">
        <v>899.42169999999999</v>
      </c>
      <c r="D5353" s="2">
        <f>HYPERLINK("http://mcb-m6.bioreg.kyushu-u.ac.jp/M3/20110414/F50945/2788/1", 78.78)</f>
        <v>78.78</v>
      </c>
      <c r="E5353" s="2">
        <v>65.37</v>
      </c>
      <c r="F5353" s="2">
        <v>2</v>
      </c>
      <c r="G5353" s="2" t="s">
        <v>11</v>
      </c>
    </row>
    <row r="5354" spans="1:9" x14ac:dyDescent="0.2">
      <c r="A5354" s="2" t="s">
        <v>3507</v>
      </c>
      <c r="B5354" s="2" t="s">
        <v>2606</v>
      </c>
      <c r="C5354" s="2">
        <v>583.29420000000005</v>
      </c>
      <c r="D5354" s="2">
        <f>HYPERLINK("http://mcb-m6.bioreg.kyushu-u.ac.jp/M3/20110414/F50946/1273/1", 42.11)</f>
        <v>42.11</v>
      </c>
      <c r="E5354" s="2">
        <v>24.36</v>
      </c>
      <c r="F5354" s="2">
        <v>2</v>
      </c>
      <c r="G5354" s="2" t="s">
        <v>12</v>
      </c>
    </row>
    <row r="5355" spans="1:9" x14ac:dyDescent="0.2">
      <c r="A5355" s="2" t="s">
        <v>3507</v>
      </c>
      <c r="B5355" s="2" t="s">
        <v>345</v>
      </c>
      <c r="C5355" s="2">
        <v>899.59370000000001</v>
      </c>
      <c r="D5355" s="2">
        <f>HYPERLINK("http://mcb-m6.bioreg.kyushu-u.ac.jp/M3/20110414/F50946/2810/1", 47.44)</f>
        <v>47.44</v>
      </c>
      <c r="E5355" s="2">
        <v>28.45</v>
      </c>
      <c r="F5355" s="2">
        <v>2</v>
      </c>
      <c r="G5355" s="2" t="s">
        <v>12</v>
      </c>
    </row>
    <row r="5356" spans="1:9" x14ac:dyDescent="0.2">
      <c r="A5356" s="2" t="s">
        <v>3507</v>
      </c>
      <c r="B5356" s="2" t="s">
        <v>1592</v>
      </c>
      <c r="C5356" s="2">
        <v>721.39419999999996</v>
      </c>
      <c r="D5356" s="2">
        <f>HYPERLINK("http://mcb-m6.bioreg.kyushu-u.ac.jp/M3/20110414/F50946/1834/1", 67.03)</f>
        <v>67.03</v>
      </c>
      <c r="E5356" s="2">
        <v>43.15</v>
      </c>
      <c r="F5356" s="2">
        <v>2</v>
      </c>
      <c r="G5356" s="2" t="s">
        <v>12</v>
      </c>
    </row>
    <row r="5357" spans="1:9" x14ac:dyDescent="0.2">
      <c r="A5357" s="2" t="s">
        <v>3507</v>
      </c>
      <c r="B5357" s="2" t="s">
        <v>345</v>
      </c>
      <c r="C5357" s="2">
        <v>899.71969999999999</v>
      </c>
      <c r="D5357" s="2">
        <f>HYPERLINK("http://mcb-m6.bioreg.kyushu-u.ac.jp/M3/20110414/F50963/2574/1", 70.22)</f>
        <v>70.22</v>
      </c>
      <c r="E5357" s="2">
        <v>57.43</v>
      </c>
      <c r="F5357" s="2">
        <v>2</v>
      </c>
      <c r="G5357" s="2" t="s">
        <v>12</v>
      </c>
    </row>
    <row r="5358" spans="1:9" x14ac:dyDescent="0.2">
      <c r="A5358" s="2" t="s">
        <v>3507</v>
      </c>
      <c r="B5358" s="2" t="s">
        <v>1592</v>
      </c>
      <c r="C5358" s="2">
        <v>721.11360000000002</v>
      </c>
      <c r="D5358" s="2">
        <f>HYPERLINK("http://mcb-m6.bioreg.kyushu-u.ac.jp/M3/20110414/F50963/1739/1", 94.32)</f>
        <v>94.32</v>
      </c>
      <c r="E5358" s="2">
        <v>74.760000000000005</v>
      </c>
      <c r="F5358" s="2">
        <v>2</v>
      </c>
      <c r="G5358" s="2" t="s">
        <v>12</v>
      </c>
    </row>
    <row r="5359" spans="1:9" x14ac:dyDescent="0.2">
      <c r="A5359" s="2" t="s">
        <v>4584</v>
      </c>
      <c r="B5359" s="2" t="s">
        <v>2643</v>
      </c>
      <c r="C5359" s="2">
        <v>478.72809999999998</v>
      </c>
      <c r="D5359" s="2">
        <f>HYPERLINK("http://mcb-m6.bioreg.kyushu-u.ac.jp/M3/20110414/F50946/930/1", 46.2)</f>
        <v>46.2</v>
      </c>
      <c r="E5359" s="2">
        <v>16.149999999999999</v>
      </c>
      <c r="F5359" s="2">
        <v>2</v>
      </c>
      <c r="G5359" s="2" t="s">
        <v>12</v>
      </c>
    </row>
    <row r="5360" spans="1:9" x14ac:dyDescent="0.2">
      <c r="A5360" s="2" t="s">
        <v>4577</v>
      </c>
      <c r="B5360" s="2" t="s">
        <v>2630</v>
      </c>
      <c r="C5360" s="2">
        <v>561.80219999999997</v>
      </c>
      <c r="D5360" s="2">
        <f>HYPERLINK("http://mcb-m6.bioreg.kyushu-u.ac.jp/M3/20110414/F50946/1161/1", 44.19)</f>
        <v>44.19</v>
      </c>
      <c r="E5360" s="2">
        <v>15.35</v>
      </c>
      <c r="F5360" s="2">
        <v>2</v>
      </c>
      <c r="G5360" s="2" t="s">
        <v>12</v>
      </c>
      <c r="I5360" s="2" t="s">
        <v>4895</v>
      </c>
    </row>
    <row r="5361" spans="1:9" x14ac:dyDescent="0.2">
      <c r="A5361" s="2" t="s">
        <v>4577</v>
      </c>
      <c r="B5361" s="2" t="s">
        <v>2798</v>
      </c>
      <c r="C5361" s="2">
        <v>600.98419999999999</v>
      </c>
      <c r="D5361" s="2">
        <f>HYPERLINK("http://mcb-m6.bioreg.kyushu-u.ac.jp/M3/20110502/F51180/1115/1", 35.88)</f>
        <v>35.880000000000003</v>
      </c>
      <c r="E5361" s="2">
        <v>21.45</v>
      </c>
      <c r="F5361" s="2">
        <v>2</v>
      </c>
      <c r="G5361" s="2" t="s">
        <v>13</v>
      </c>
    </row>
    <row r="5362" spans="1:9" x14ac:dyDescent="0.2">
      <c r="A5362" s="2" t="s">
        <v>4577</v>
      </c>
      <c r="B5362" s="2" t="s">
        <v>2630</v>
      </c>
      <c r="C5362" s="2">
        <v>561.52470000000005</v>
      </c>
      <c r="D5362" s="2">
        <f>HYPERLINK("http://mcb-m6.bioreg.kyushu-u.ac.jp/M3/20110502/F51180/931/1", 70.08)</f>
        <v>70.08</v>
      </c>
      <c r="E5362" s="2">
        <v>41.45</v>
      </c>
      <c r="F5362" s="2">
        <v>2</v>
      </c>
      <c r="G5362" s="2" t="s">
        <v>13</v>
      </c>
      <c r="I5362" s="2" t="s">
        <v>4895</v>
      </c>
    </row>
    <row r="5363" spans="1:9" x14ac:dyDescent="0.2">
      <c r="A5363" s="2" t="s">
        <v>4577</v>
      </c>
      <c r="B5363" s="2" t="s">
        <v>2798</v>
      </c>
      <c r="C5363" s="2">
        <v>600.98820000000001</v>
      </c>
      <c r="D5363" s="2">
        <f>HYPERLINK("http://mcb-m6.bioreg.kyushu-u.ac.jp/M3/20110502/F51182/1131/1", 36.47)</f>
        <v>36.47</v>
      </c>
      <c r="E5363" s="2">
        <v>12.22</v>
      </c>
      <c r="F5363" s="2">
        <v>2</v>
      </c>
      <c r="G5363" s="2" t="s">
        <v>14</v>
      </c>
    </row>
    <row r="5364" spans="1:9" x14ac:dyDescent="0.2">
      <c r="A5364" s="2" t="s">
        <v>4273</v>
      </c>
      <c r="B5364" s="2" t="s">
        <v>1943</v>
      </c>
      <c r="C5364" s="2">
        <v>487.38909999999998</v>
      </c>
      <c r="D5364" s="2">
        <f>HYPERLINK("http://mcb-m6.bioreg.kyushu-u.ac.jp/M3/20110411/F50918/774/1", 52.59)</f>
        <v>52.59</v>
      </c>
      <c r="E5364" s="2">
        <v>20.010000000000002</v>
      </c>
      <c r="F5364" s="2">
        <v>2</v>
      </c>
      <c r="G5364" s="2" t="s">
        <v>10</v>
      </c>
    </row>
    <row r="5365" spans="1:9" x14ac:dyDescent="0.2">
      <c r="A5365" s="2" t="s">
        <v>4273</v>
      </c>
      <c r="B5365" s="2" t="s">
        <v>1943</v>
      </c>
      <c r="C5365" s="2">
        <v>487.17610000000002</v>
      </c>
      <c r="D5365" s="2">
        <f>HYPERLINK("http://mcb-m6.bioreg.kyushu-u.ac.jp/M3/20110414/F50959/505/1", 43.41)</f>
        <v>43.41</v>
      </c>
      <c r="E5365" s="2">
        <v>13.5</v>
      </c>
      <c r="F5365" s="2">
        <v>2</v>
      </c>
      <c r="G5365" s="2" t="s">
        <v>12</v>
      </c>
    </row>
    <row r="5366" spans="1:9" x14ac:dyDescent="0.2">
      <c r="A5366" s="2" t="s">
        <v>4273</v>
      </c>
      <c r="B5366" s="2" t="s">
        <v>1943</v>
      </c>
      <c r="C5366" s="2">
        <v>487.5181</v>
      </c>
      <c r="D5366" s="2">
        <f>HYPERLINK("http://mcb-m6.bioreg.kyushu-u.ac.jp/M3/20110502/F51184/514/1", 46.64)</f>
        <v>46.64</v>
      </c>
      <c r="E5366" s="2">
        <v>16.87</v>
      </c>
      <c r="F5366" s="2">
        <v>2</v>
      </c>
      <c r="G5366" s="2" t="s">
        <v>14</v>
      </c>
    </row>
    <row r="5367" spans="1:9" x14ac:dyDescent="0.2">
      <c r="A5367" s="2" t="s">
        <v>3494</v>
      </c>
      <c r="B5367" s="2" t="s">
        <v>326</v>
      </c>
      <c r="C5367" s="2">
        <v>926.47860000000003</v>
      </c>
      <c r="D5367" s="2">
        <f>HYPERLINK("http://mcb-m6.bioreg.kyushu-u.ac.jp/M3/20110411/F50916/2830/1", 39.7)</f>
        <v>39.700000000000003</v>
      </c>
      <c r="E5367" s="2">
        <v>25.71</v>
      </c>
      <c r="F5367" s="2">
        <v>2</v>
      </c>
      <c r="G5367" s="2" t="s">
        <v>9</v>
      </c>
    </row>
    <row r="5368" spans="1:9" x14ac:dyDescent="0.2">
      <c r="A5368" s="2" t="s">
        <v>3494</v>
      </c>
      <c r="B5368" s="2" t="s">
        <v>326</v>
      </c>
      <c r="C5368" s="2">
        <v>926.40620000000001</v>
      </c>
      <c r="D5368" s="2">
        <f>HYPERLINK("http://mcb-m6.bioreg.kyushu-u.ac.jp/M3/20110411/F50890/3093/1", 40.24)</f>
        <v>40.24</v>
      </c>
      <c r="E5368" s="2">
        <v>30.68</v>
      </c>
      <c r="F5368" s="2">
        <v>2</v>
      </c>
      <c r="G5368" s="2" t="s">
        <v>9</v>
      </c>
    </row>
    <row r="5369" spans="1:9" x14ac:dyDescent="0.2">
      <c r="A5369" s="2" t="s">
        <v>3494</v>
      </c>
      <c r="B5369" s="2" t="s">
        <v>624</v>
      </c>
      <c r="C5369" s="2">
        <v>730.96619999999996</v>
      </c>
      <c r="D5369" s="2">
        <f>HYPERLINK("http://mcb-m6.bioreg.kyushu-u.ac.jp/M3/20110411/F50911/2030/1", 46.51)</f>
        <v>46.51</v>
      </c>
      <c r="E5369" s="2">
        <v>23.31</v>
      </c>
      <c r="F5369" s="2">
        <v>2</v>
      </c>
      <c r="G5369" s="2" t="s">
        <v>9</v>
      </c>
    </row>
    <row r="5370" spans="1:9" x14ac:dyDescent="0.2">
      <c r="A5370" s="2" t="s">
        <v>3494</v>
      </c>
      <c r="B5370" s="2" t="s">
        <v>812</v>
      </c>
      <c r="C5370" s="2">
        <v>790.98220000000003</v>
      </c>
      <c r="D5370" s="2">
        <f>HYPERLINK("http://mcb-m6.bioreg.kyushu-u.ac.jp/M3/20110411/F50916/2180/1", 52.13)</f>
        <v>52.13</v>
      </c>
      <c r="E5370" s="2">
        <v>45.4</v>
      </c>
      <c r="F5370" s="2">
        <v>2</v>
      </c>
      <c r="G5370" s="2" t="s">
        <v>9</v>
      </c>
    </row>
    <row r="5371" spans="1:9" x14ac:dyDescent="0.2">
      <c r="A5371" s="2" t="s">
        <v>3494</v>
      </c>
      <c r="B5371" s="2" t="s">
        <v>326</v>
      </c>
      <c r="C5371" s="2">
        <v>926.53769999999997</v>
      </c>
      <c r="D5371" s="2">
        <f>HYPERLINK("http://mcb-m6.bioreg.kyushu-u.ac.jp/M3/20110411/F50917/3026/1", 37.42)</f>
        <v>37.42</v>
      </c>
      <c r="E5371" s="2">
        <v>28.47</v>
      </c>
      <c r="F5371" s="2">
        <v>2</v>
      </c>
      <c r="G5371" s="2" t="s">
        <v>10</v>
      </c>
    </row>
    <row r="5372" spans="1:9" x14ac:dyDescent="0.2">
      <c r="A5372" s="2" t="s">
        <v>3494</v>
      </c>
      <c r="B5372" s="2" t="s">
        <v>1793</v>
      </c>
      <c r="C5372" s="2">
        <v>589.77809999999999</v>
      </c>
      <c r="D5372" s="2">
        <f>HYPERLINK("http://mcb-m6.bioreg.kyushu-u.ac.jp/M3/20110411/F50918/1104/1", 39.48)</f>
        <v>39.479999999999997</v>
      </c>
      <c r="E5372" s="2">
        <v>22.67</v>
      </c>
      <c r="F5372" s="2">
        <v>2</v>
      </c>
      <c r="G5372" s="2" t="s">
        <v>10</v>
      </c>
    </row>
    <row r="5373" spans="1:9" x14ac:dyDescent="0.2">
      <c r="A5373" s="2" t="s">
        <v>3494</v>
      </c>
      <c r="B5373" s="2" t="s">
        <v>812</v>
      </c>
      <c r="C5373" s="2">
        <v>791.47170000000006</v>
      </c>
      <c r="D5373" s="2">
        <f>HYPERLINK("http://mcb-m6.bioreg.kyushu-u.ac.jp/M3/20110411/F50918/2132/1", 65.99)</f>
        <v>65.989999999999995</v>
      </c>
      <c r="E5373" s="2">
        <v>50.39</v>
      </c>
      <c r="F5373" s="2">
        <v>2</v>
      </c>
      <c r="G5373" s="2" t="s">
        <v>10</v>
      </c>
    </row>
    <row r="5374" spans="1:9" x14ac:dyDescent="0.2">
      <c r="A5374" s="2" t="s">
        <v>3494</v>
      </c>
      <c r="B5374" s="2" t="s">
        <v>812</v>
      </c>
      <c r="C5374" s="2">
        <v>790.93910000000005</v>
      </c>
      <c r="D5374" s="2">
        <f>HYPERLINK("http://mcb-m6.bioreg.kyushu-u.ac.jp/M3/20110411/F50918/2129/1", 66.05)</f>
        <v>66.05</v>
      </c>
      <c r="E5374" s="2">
        <v>53.31</v>
      </c>
      <c r="F5374" s="2">
        <v>2</v>
      </c>
      <c r="G5374" s="2" t="s">
        <v>10</v>
      </c>
    </row>
    <row r="5375" spans="1:9" x14ac:dyDescent="0.2">
      <c r="A5375" s="2" t="s">
        <v>3494</v>
      </c>
      <c r="B5375" s="2" t="s">
        <v>326</v>
      </c>
      <c r="C5375" s="2">
        <v>926.65620000000001</v>
      </c>
      <c r="D5375" s="2">
        <f>HYPERLINK("http://mcb-m6.bioreg.kyushu-u.ac.jp/M3/20110411/F50913/2913/1", 79.85)</f>
        <v>79.849999999999994</v>
      </c>
      <c r="E5375" s="2">
        <v>62.65</v>
      </c>
      <c r="F5375" s="2">
        <v>2</v>
      </c>
      <c r="G5375" s="2" t="s">
        <v>10</v>
      </c>
    </row>
    <row r="5376" spans="1:9" x14ac:dyDescent="0.2">
      <c r="A5376" s="2" t="s">
        <v>3494</v>
      </c>
      <c r="B5376" s="2" t="s">
        <v>812</v>
      </c>
      <c r="C5376" s="2">
        <v>791.07069999999999</v>
      </c>
      <c r="D5376" s="2">
        <f>HYPERLINK("http://mcb-m6.bioreg.kyushu-u.ac.jp/M3/20110414/F50957/2238/1", 59.01)</f>
        <v>59.01</v>
      </c>
      <c r="E5376" s="2">
        <v>45.7</v>
      </c>
      <c r="F5376" s="2">
        <v>2</v>
      </c>
      <c r="G5376" s="2" t="s">
        <v>11</v>
      </c>
    </row>
    <row r="5377" spans="1:7" x14ac:dyDescent="0.2">
      <c r="A5377" s="2" t="s">
        <v>3494</v>
      </c>
      <c r="B5377" s="2" t="s">
        <v>326</v>
      </c>
      <c r="C5377" s="2">
        <v>926.89070000000004</v>
      </c>
      <c r="D5377" s="2">
        <f>HYPERLINK("http://mcb-m6.bioreg.kyushu-u.ac.jp/M3/20110414/F50943/2861/1", 68.91)</f>
        <v>68.91</v>
      </c>
      <c r="E5377" s="2">
        <v>48.97</v>
      </c>
      <c r="F5377" s="2">
        <v>2</v>
      </c>
      <c r="G5377" s="2" t="s">
        <v>11</v>
      </c>
    </row>
    <row r="5378" spans="1:7" x14ac:dyDescent="0.2">
      <c r="A5378" s="2" t="s">
        <v>3494</v>
      </c>
      <c r="B5378" s="2" t="s">
        <v>326</v>
      </c>
      <c r="C5378" s="2">
        <v>926.33259999999996</v>
      </c>
      <c r="D5378" s="2">
        <f>HYPERLINK("http://mcb-m6.bioreg.kyushu-u.ac.jp/M3/20110414/F50943/2857/1", 73.65)</f>
        <v>73.650000000000006</v>
      </c>
      <c r="E5378" s="2">
        <v>65</v>
      </c>
      <c r="F5378" s="2">
        <v>2</v>
      </c>
      <c r="G5378" s="2" t="s">
        <v>11</v>
      </c>
    </row>
    <row r="5379" spans="1:7" x14ac:dyDescent="0.2">
      <c r="A5379" s="2" t="s">
        <v>3494</v>
      </c>
      <c r="B5379" s="2" t="s">
        <v>326</v>
      </c>
      <c r="C5379" s="2">
        <v>926.68409999999994</v>
      </c>
      <c r="D5379" s="2">
        <f>HYPERLINK("http://mcb-m6.bioreg.kyushu-u.ac.jp/M3/20110414/F50948/3178/1", 49.05)</f>
        <v>49.05</v>
      </c>
      <c r="E5379" s="2">
        <v>39.14</v>
      </c>
      <c r="F5379" s="2">
        <v>2</v>
      </c>
      <c r="G5379" s="2" t="s">
        <v>12</v>
      </c>
    </row>
    <row r="5380" spans="1:7" x14ac:dyDescent="0.2">
      <c r="A5380" s="2" t="s">
        <v>3494</v>
      </c>
      <c r="B5380" s="2" t="s">
        <v>326</v>
      </c>
      <c r="C5380" s="2">
        <v>926.27809999999999</v>
      </c>
      <c r="D5380" s="2">
        <f>HYPERLINK("http://mcb-m6.bioreg.kyushu-u.ac.jp/M3/20110414/F50932/2741/1", 53.81)</f>
        <v>53.81</v>
      </c>
      <c r="E5380" s="2">
        <v>44.98</v>
      </c>
      <c r="F5380" s="2">
        <v>2</v>
      </c>
      <c r="G5380" s="2" t="s">
        <v>12</v>
      </c>
    </row>
    <row r="5381" spans="1:7" x14ac:dyDescent="0.2">
      <c r="A5381" s="2" t="s">
        <v>3494</v>
      </c>
      <c r="B5381" s="2" t="s">
        <v>812</v>
      </c>
      <c r="C5381" s="2">
        <v>790.82709999999997</v>
      </c>
      <c r="D5381" s="2">
        <f>HYPERLINK("http://mcb-m6.bioreg.kyushu-u.ac.jp/M3/20110414/F50959/2236/1", 72.69)</f>
        <v>72.69</v>
      </c>
      <c r="E5381" s="2">
        <v>59.51</v>
      </c>
      <c r="F5381" s="2">
        <v>2</v>
      </c>
      <c r="G5381" s="2" t="s">
        <v>12</v>
      </c>
    </row>
    <row r="5382" spans="1:7" x14ac:dyDescent="0.2">
      <c r="A5382" s="2" t="s">
        <v>3494</v>
      </c>
      <c r="B5382" s="2" t="s">
        <v>326</v>
      </c>
      <c r="C5382" s="2">
        <v>926.05409999999995</v>
      </c>
      <c r="D5382" s="2">
        <f>HYPERLINK("http://mcb-m6.bioreg.kyushu-u.ac.jp/M3/20110414/F50949/2464/1", 103.22)</f>
        <v>103.22</v>
      </c>
      <c r="E5382" s="2">
        <v>80.14</v>
      </c>
      <c r="F5382" s="2">
        <v>2</v>
      </c>
      <c r="G5382" s="2" t="s">
        <v>12</v>
      </c>
    </row>
    <row r="5383" spans="1:7" x14ac:dyDescent="0.2">
      <c r="A5383" s="2" t="s">
        <v>3494</v>
      </c>
      <c r="B5383" s="2" t="s">
        <v>1793</v>
      </c>
      <c r="C5383" s="2">
        <v>589.86609999999996</v>
      </c>
      <c r="D5383" s="2">
        <f>HYPERLINK("http://mcb-m6.bioreg.kyushu-u.ac.jp/M3/20110502/F51173/996/1", 48.16)</f>
        <v>48.16</v>
      </c>
      <c r="E5383" s="2">
        <v>26.74</v>
      </c>
      <c r="F5383" s="2">
        <v>2</v>
      </c>
      <c r="G5383" s="2" t="s">
        <v>13</v>
      </c>
    </row>
    <row r="5384" spans="1:7" x14ac:dyDescent="0.2">
      <c r="A5384" s="2" t="s">
        <v>3494</v>
      </c>
      <c r="B5384" s="2" t="s">
        <v>2930</v>
      </c>
      <c r="C5384" s="2">
        <v>509.01859999999999</v>
      </c>
      <c r="D5384" s="2">
        <f>HYPERLINK("http://mcb-m6.bioreg.kyushu-u.ac.jp/M3/20110502/F51173/633/1", 57.66)</f>
        <v>57.66</v>
      </c>
      <c r="E5384" s="2">
        <v>22.38</v>
      </c>
      <c r="F5384" s="2">
        <v>2</v>
      </c>
      <c r="G5384" s="2" t="s">
        <v>13</v>
      </c>
    </row>
    <row r="5385" spans="1:7" x14ac:dyDescent="0.2">
      <c r="A5385" s="2" t="s">
        <v>3494</v>
      </c>
      <c r="B5385" s="2" t="s">
        <v>326</v>
      </c>
      <c r="C5385" s="2">
        <v>926.92970000000003</v>
      </c>
      <c r="D5385" s="2">
        <f>HYPERLINK("http://mcb-m6.bioreg.kyushu-u.ac.jp/M3/20110502/F51173/2916/1", 70.67)</f>
        <v>70.67</v>
      </c>
      <c r="E5385" s="2">
        <v>52.27</v>
      </c>
      <c r="F5385" s="2">
        <v>2</v>
      </c>
      <c r="G5385" s="2" t="s">
        <v>13</v>
      </c>
    </row>
    <row r="5386" spans="1:7" x14ac:dyDescent="0.2">
      <c r="A5386" s="2" t="s">
        <v>3494</v>
      </c>
      <c r="B5386" s="2" t="s">
        <v>812</v>
      </c>
      <c r="C5386" s="2">
        <v>791.41060000000004</v>
      </c>
      <c r="D5386" s="2">
        <f>HYPERLINK("http://mcb-m6.bioreg.kyushu-u.ac.jp/M3/20110502/F51173/2139/1", 74.18)</f>
        <v>74.180000000000007</v>
      </c>
      <c r="E5386" s="2">
        <v>53.85</v>
      </c>
      <c r="F5386" s="2">
        <v>2</v>
      </c>
      <c r="G5386" s="2" t="s">
        <v>13</v>
      </c>
    </row>
    <row r="5387" spans="1:7" x14ac:dyDescent="0.2">
      <c r="A5387" s="2" t="s">
        <v>3494</v>
      </c>
      <c r="B5387" s="2" t="s">
        <v>3020</v>
      </c>
      <c r="C5387" s="2">
        <v>495.34910000000002</v>
      </c>
      <c r="D5387" s="2">
        <f>HYPERLINK("http://mcb-m6.bioreg.kyushu-u.ac.jp/M3/20110502/F51194/601/1", 38.32)</f>
        <v>38.32</v>
      </c>
      <c r="E5387" s="2">
        <v>12.54</v>
      </c>
      <c r="F5387" s="2">
        <v>2</v>
      </c>
      <c r="G5387" s="2" t="s">
        <v>14</v>
      </c>
    </row>
    <row r="5388" spans="1:7" x14ac:dyDescent="0.2">
      <c r="A5388" s="2" t="s">
        <v>3494</v>
      </c>
      <c r="B5388" s="2" t="s">
        <v>812</v>
      </c>
      <c r="C5388" s="2">
        <v>791.02509999999995</v>
      </c>
      <c r="D5388" s="2">
        <f>HYPERLINK("http://mcb-m6.bioreg.kyushu-u.ac.jp/M3/20110502/F51185/2151/1", 44.24)</f>
        <v>44.24</v>
      </c>
      <c r="E5388" s="2">
        <v>34.89</v>
      </c>
      <c r="F5388" s="2">
        <v>2</v>
      </c>
      <c r="G5388" s="2" t="s">
        <v>14</v>
      </c>
    </row>
    <row r="5389" spans="1:7" x14ac:dyDescent="0.2">
      <c r="A5389" s="2" t="s">
        <v>3494</v>
      </c>
      <c r="B5389" s="2" t="s">
        <v>326</v>
      </c>
      <c r="C5389" s="2">
        <v>926.63760000000002</v>
      </c>
      <c r="D5389" s="2">
        <f>HYPERLINK("http://mcb-m6.bioreg.kyushu-u.ac.jp/M3/20110502/F51184/2941/1", 53.93)</f>
        <v>53.93</v>
      </c>
      <c r="E5389" s="2">
        <v>39.369999999999997</v>
      </c>
      <c r="F5389" s="2">
        <v>2</v>
      </c>
      <c r="G5389" s="2" t="s">
        <v>14</v>
      </c>
    </row>
    <row r="5390" spans="1:7" x14ac:dyDescent="0.2">
      <c r="A5390" s="2" t="s">
        <v>3494</v>
      </c>
      <c r="B5390" s="2" t="s">
        <v>624</v>
      </c>
      <c r="C5390" s="2">
        <v>730.98170000000005</v>
      </c>
      <c r="D5390" s="2">
        <f>HYPERLINK("http://mcb-m6.bioreg.kyushu-u.ac.jp/M3/20110502/F51194/1780/1", 56.54)</f>
        <v>56.54</v>
      </c>
      <c r="E5390" s="2">
        <v>16.52</v>
      </c>
      <c r="F5390" s="2">
        <v>2</v>
      </c>
      <c r="G5390" s="2" t="s">
        <v>14</v>
      </c>
    </row>
    <row r="5391" spans="1:7" x14ac:dyDescent="0.2">
      <c r="A5391" s="2" t="s">
        <v>3494</v>
      </c>
      <c r="B5391" s="2" t="s">
        <v>624</v>
      </c>
      <c r="C5391" s="2">
        <v>730.67409999999995</v>
      </c>
      <c r="D5391" s="2">
        <f>HYPERLINK("http://mcb-m6.bioreg.kyushu-u.ac.jp/M3/20110502/F51184/1782/1", 61.9)</f>
        <v>61.9</v>
      </c>
      <c r="E5391" s="2">
        <v>29.25</v>
      </c>
      <c r="F5391" s="2">
        <v>2</v>
      </c>
      <c r="G5391" s="2" t="s">
        <v>14</v>
      </c>
    </row>
    <row r="5392" spans="1:7" x14ac:dyDescent="0.2">
      <c r="A5392" s="2" t="s">
        <v>3494</v>
      </c>
      <c r="B5392" s="2" t="s">
        <v>812</v>
      </c>
      <c r="C5392" s="2">
        <v>790.9742</v>
      </c>
      <c r="D5392" s="2">
        <f>HYPERLINK("http://mcb-m6.bioreg.kyushu-u.ac.jp/M3/20110502/F51194/2107/1", 62.71)</f>
        <v>62.71</v>
      </c>
      <c r="E5392" s="2">
        <v>45.85</v>
      </c>
      <c r="F5392" s="2">
        <v>2</v>
      </c>
      <c r="G5392" s="2" t="s">
        <v>14</v>
      </c>
    </row>
    <row r="5393" spans="1:9" x14ac:dyDescent="0.2">
      <c r="A5393" s="2" t="s">
        <v>3494</v>
      </c>
      <c r="B5393" s="2" t="s">
        <v>812</v>
      </c>
      <c r="C5393" s="2">
        <v>791.42970000000003</v>
      </c>
      <c r="D5393" s="2">
        <f>HYPERLINK("http://mcb-m6.bioreg.kyushu-u.ac.jp/M3/20110502/F51184/2164/1", 72.47)</f>
        <v>72.47</v>
      </c>
      <c r="E5393" s="2">
        <v>60.17</v>
      </c>
      <c r="F5393" s="2">
        <v>2</v>
      </c>
      <c r="G5393" s="2" t="s">
        <v>14</v>
      </c>
    </row>
    <row r="5394" spans="1:9" x14ac:dyDescent="0.2">
      <c r="A5394" s="2" t="s">
        <v>3494</v>
      </c>
      <c r="B5394" s="2" t="s">
        <v>812</v>
      </c>
      <c r="C5394" s="2">
        <v>790.91420000000005</v>
      </c>
      <c r="D5394" s="2">
        <f>HYPERLINK("http://mcb-m6.bioreg.kyushu-u.ac.jp/M3/20110502/F51184/2160/1", 74.48)</f>
        <v>74.48</v>
      </c>
      <c r="E5394" s="2">
        <v>62.49</v>
      </c>
      <c r="F5394" s="2">
        <v>2</v>
      </c>
      <c r="G5394" s="2" t="s">
        <v>14</v>
      </c>
    </row>
    <row r="5395" spans="1:9" x14ac:dyDescent="0.2">
      <c r="A5395" s="2" t="s">
        <v>4714</v>
      </c>
      <c r="B5395" s="2" t="s">
        <v>2905</v>
      </c>
      <c r="C5395" s="2">
        <v>499.30059999999997</v>
      </c>
      <c r="D5395" s="2">
        <f>HYPERLINK("http://mcb-m6.bioreg.kyushu-u.ac.jp/M3/20110502/F51168/1162/1", 47.35)</f>
        <v>47.35</v>
      </c>
      <c r="E5395" s="2">
        <v>25.34</v>
      </c>
      <c r="F5395" s="2">
        <v>2</v>
      </c>
      <c r="G5395" s="2" t="s">
        <v>13</v>
      </c>
      <c r="H5395" s="2" t="s">
        <v>4908</v>
      </c>
      <c r="I5395" s="2" t="s">
        <v>4898</v>
      </c>
    </row>
    <row r="5396" spans="1:9" x14ac:dyDescent="0.2">
      <c r="A5396" s="2" t="s">
        <v>3959</v>
      </c>
      <c r="B5396" s="2" t="s">
        <v>1171</v>
      </c>
      <c r="C5396" s="2">
        <v>647.71510000000001</v>
      </c>
      <c r="D5396" s="2">
        <f>HYPERLINK("http://mcb-m6.bioreg.kyushu-u.ac.jp/M3/20110411/F50890/1706/1", 65.71)</f>
        <v>65.709999999999994</v>
      </c>
      <c r="E5396" s="2">
        <v>41.16</v>
      </c>
      <c r="F5396" s="2">
        <v>2</v>
      </c>
      <c r="G5396" s="2" t="s">
        <v>9</v>
      </c>
    </row>
    <row r="5397" spans="1:9" x14ac:dyDescent="0.2">
      <c r="A5397" s="2" t="s">
        <v>3959</v>
      </c>
      <c r="B5397" s="2" t="s">
        <v>1171</v>
      </c>
      <c r="C5397" s="2">
        <v>648.28970000000004</v>
      </c>
      <c r="D5397" s="2">
        <f>HYPERLINK("http://mcb-m6.bioreg.kyushu-u.ac.jp/M3/20110411/F50890/1707/1", 69.97)</f>
        <v>69.97</v>
      </c>
      <c r="E5397" s="2">
        <v>42.21</v>
      </c>
      <c r="F5397" s="2">
        <v>2</v>
      </c>
      <c r="G5397" s="2" t="s">
        <v>9</v>
      </c>
    </row>
    <row r="5398" spans="1:9" x14ac:dyDescent="0.2">
      <c r="A5398" s="2" t="s">
        <v>3959</v>
      </c>
      <c r="B5398" s="2" t="s">
        <v>3217</v>
      </c>
      <c r="C5398" s="2">
        <v>758.61320000000001</v>
      </c>
      <c r="D5398" s="2">
        <f>HYPERLINK("http://mcb-m6.bioreg.kyushu-u.ac.jp/M3/20110502/F51177/1962/1", 84.84)</f>
        <v>84.84</v>
      </c>
      <c r="E5398" s="2">
        <v>59.53</v>
      </c>
      <c r="F5398" s="2">
        <v>2</v>
      </c>
      <c r="G5398" s="2" t="s">
        <v>14</v>
      </c>
      <c r="I5398" s="2" t="s">
        <v>4981</v>
      </c>
    </row>
    <row r="5399" spans="1:9" x14ac:dyDescent="0.2">
      <c r="A5399" s="2" t="s">
        <v>3552</v>
      </c>
      <c r="B5399" s="2" t="s">
        <v>409</v>
      </c>
      <c r="C5399" s="2">
        <v>665.94820000000004</v>
      </c>
      <c r="D5399" s="2">
        <f>HYPERLINK("http://mcb-m6.bioreg.kyushu-u.ac.jp/M3/20110411/F50905/1636/1", 41.27)</f>
        <v>41.27</v>
      </c>
      <c r="E5399" s="2">
        <v>23.12</v>
      </c>
      <c r="F5399" s="2">
        <v>2</v>
      </c>
      <c r="G5399" s="2" t="s">
        <v>9</v>
      </c>
    </row>
    <row r="5400" spans="1:9" x14ac:dyDescent="0.2">
      <c r="A5400" s="2" t="s">
        <v>3552</v>
      </c>
      <c r="B5400" s="2" t="s">
        <v>409</v>
      </c>
      <c r="C5400" s="2">
        <v>665.9932</v>
      </c>
      <c r="D5400" s="2">
        <f>HYPERLINK("http://mcb-m6.bioreg.kyushu-u.ac.jp/M3/20110411/F50913/1636/1", 48.28)</f>
        <v>48.28</v>
      </c>
      <c r="E5400" s="2">
        <v>29.79</v>
      </c>
      <c r="F5400" s="2">
        <v>2</v>
      </c>
      <c r="G5400" s="2" t="s">
        <v>10</v>
      </c>
    </row>
    <row r="5401" spans="1:9" x14ac:dyDescent="0.2">
      <c r="A5401" s="2" t="s">
        <v>3552</v>
      </c>
      <c r="B5401" s="2" t="s">
        <v>2465</v>
      </c>
      <c r="C5401" s="2">
        <v>817.21310000000005</v>
      </c>
      <c r="D5401" s="2">
        <f>HYPERLINK("http://mcb-m6.bioreg.kyushu-u.ac.jp/M3/20110414/F50941/2505/1", 73.29)</f>
        <v>73.290000000000006</v>
      </c>
      <c r="E5401" s="2">
        <v>61.84</v>
      </c>
      <c r="F5401" s="2">
        <v>2</v>
      </c>
      <c r="G5401" s="2" t="s">
        <v>11</v>
      </c>
    </row>
    <row r="5402" spans="1:9" x14ac:dyDescent="0.2">
      <c r="A5402" s="2" t="s">
        <v>4308</v>
      </c>
      <c r="B5402" s="2" t="s">
        <v>2049</v>
      </c>
      <c r="C5402" s="2">
        <v>688.07069999999999</v>
      </c>
      <c r="D5402" s="2">
        <f>HYPERLINK("http://mcb-m6.bioreg.kyushu-u.ac.jp/M3/20110411/F50913/1750/1", 69.14)</f>
        <v>69.14</v>
      </c>
      <c r="E5402" s="2">
        <v>43.92</v>
      </c>
      <c r="F5402" s="2">
        <v>2</v>
      </c>
      <c r="G5402" s="2" t="s">
        <v>10</v>
      </c>
    </row>
    <row r="5403" spans="1:9" x14ac:dyDescent="0.2">
      <c r="A5403" s="2" t="s">
        <v>4308</v>
      </c>
      <c r="B5403" s="2" t="s">
        <v>2049</v>
      </c>
      <c r="C5403" s="2">
        <v>688.30820000000006</v>
      </c>
      <c r="D5403" s="2">
        <f>HYPERLINK("http://mcb-m6.bioreg.kyushu-u.ac.jp/M3/20110414/F50941/1770/1", 51.31)</f>
        <v>51.31</v>
      </c>
      <c r="E5403" s="2">
        <v>28.16</v>
      </c>
      <c r="F5403" s="2">
        <v>2</v>
      </c>
      <c r="G5403" s="2" t="s">
        <v>11</v>
      </c>
    </row>
    <row r="5404" spans="1:9" x14ac:dyDescent="0.2">
      <c r="A5404" s="2" t="s">
        <v>4308</v>
      </c>
      <c r="B5404" s="2" t="s">
        <v>2049</v>
      </c>
      <c r="C5404" s="2">
        <v>688.27809999999999</v>
      </c>
      <c r="D5404" s="2">
        <f>HYPERLINK("http://mcb-m6.bioreg.kyushu-u.ac.jp/M3/20110502/F51179/1473/1", 55.67)</f>
        <v>55.67</v>
      </c>
      <c r="E5404" s="2">
        <v>32.450000000000003</v>
      </c>
      <c r="F5404" s="2">
        <v>2</v>
      </c>
      <c r="G5404" s="2" t="s">
        <v>14</v>
      </c>
    </row>
    <row r="5405" spans="1:9" x14ac:dyDescent="0.2">
      <c r="A5405" s="2" t="s">
        <v>3838</v>
      </c>
      <c r="B5405" s="2" t="s">
        <v>920</v>
      </c>
      <c r="C5405" s="2">
        <v>647.34010000000001</v>
      </c>
      <c r="D5405" s="2">
        <f>HYPERLINK("http://mcb-m6.bioreg.kyushu-u.ac.jp/M3/20110411/F50916/1375/1", 55.57)</f>
        <v>55.57</v>
      </c>
      <c r="E5405" s="2">
        <v>34.39</v>
      </c>
      <c r="F5405" s="2">
        <v>2</v>
      </c>
      <c r="G5405" s="2" t="s">
        <v>9</v>
      </c>
    </row>
    <row r="5406" spans="1:9" x14ac:dyDescent="0.2">
      <c r="A5406" s="2" t="s">
        <v>3838</v>
      </c>
      <c r="B5406" s="2" t="s">
        <v>920</v>
      </c>
      <c r="C5406" s="2">
        <v>647.01319999999998</v>
      </c>
      <c r="D5406" s="2">
        <f>HYPERLINK("http://mcb-m6.bioreg.kyushu-u.ac.jp/M3/20110411/F50915/1373/1", 58.32)</f>
        <v>58.32</v>
      </c>
      <c r="E5406" s="2">
        <v>39.130000000000003</v>
      </c>
      <c r="F5406" s="2">
        <v>2</v>
      </c>
      <c r="G5406" s="2" t="s">
        <v>9</v>
      </c>
    </row>
    <row r="5407" spans="1:9" x14ac:dyDescent="0.2">
      <c r="A5407" s="2" t="s">
        <v>3838</v>
      </c>
      <c r="B5407" s="2" t="s">
        <v>2187</v>
      </c>
      <c r="C5407" s="2">
        <v>808.49659999999994</v>
      </c>
      <c r="D5407" s="2">
        <f>HYPERLINK("http://mcb-m6.bioreg.kyushu-u.ac.jp/M3/20110414/F50956/2400/1", 36.29)</f>
        <v>36.29</v>
      </c>
      <c r="E5407" s="2">
        <v>14.28</v>
      </c>
      <c r="F5407" s="2">
        <v>2</v>
      </c>
      <c r="G5407" s="2" t="s">
        <v>11</v>
      </c>
      <c r="I5407" s="2" t="s">
        <v>4892</v>
      </c>
    </row>
    <row r="5408" spans="1:9" x14ac:dyDescent="0.2">
      <c r="A5408" s="2" t="s">
        <v>3838</v>
      </c>
      <c r="B5408" s="2" t="s">
        <v>2443</v>
      </c>
      <c r="C5408" s="2">
        <v>954.2242</v>
      </c>
      <c r="D5408" s="2">
        <f>HYPERLINK("http://mcb-m6.bioreg.kyushu-u.ac.jp/M3/20110414/F50956/4847/1", 65.32)</f>
        <v>65.319999999999993</v>
      </c>
      <c r="E5408" s="2">
        <v>55.17</v>
      </c>
      <c r="F5408" s="2">
        <v>3</v>
      </c>
      <c r="G5408" s="2" t="s">
        <v>11</v>
      </c>
    </row>
    <row r="5409" spans="1:9" x14ac:dyDescent="0.2">
      <c r="A5409" s="2" t="s">
        <v>3838</v>
      </c>
      <c r="B5409" s="2" t="s">
        <v>920</v>
      </c>
      <c r="C5409" s="2">
        <v>647.17070000000001</v>
      </c>
      <c r="D5409" s="2">
        <f>HYPERLINK("http://mcb-m6.bioreg.kyushu-u.ac.jp/M3/20110414/F50959/1259/1", 52.82)</f>
        <v>52.82</v>
      </c>
      <c r="E5409" s="2">
        <v>36.71</v>
      </c>
      <c r="F5409" s="2">
        <v>2</v>
      </c>
      <c r="G5409" s="2" t="s">
        <v>12</v>
      </c>
    </row>
    <row r="5410" spans="1:9" x14ac:dyDescent="0.2">
      <c r="A5410" s="2" t="s">
        <v>3838</v>
      </c>
      <c r="B5410" s="2" t="s">
        <v>920</v>
      </c>
      <c r="C5410" s="2">
        <v>647.19269999999995</v>
      </c>
      <c r="D5410" s="2">
        <f>HYPERLINK("http://mcb-m6.bioreg.kyushu-u.ac.jp/M3/20110502/F51172/1510/1", 55.93)</f>
        <v>55.93</v>
      </c>
      <c r="E5410" s="2">
        <v>33.89</v>
      </c>
      <c r="F5410" s="2">
        <v>2</v>
      </c>
      <c r="G5410" s="2" t="s">
        <v>13</v>
      </c>
    </row>
    <row r="5411" spans="1:9" x14ac:dyDescent="0.2">
      <c r="A5411" s="2" t="s">
        <v>3601</v>
      </c>
      <c r="B5411" s="2" t="s">
        <v>493</v>
      </c>
      <c r="C5411" s="2">
        <v>828.48820000000001</v>
      </c>
      <c r="D5411" s="2">
        <f>HYPERLINK("http://mcb-m6.bioreg.kyushu-u.ac.jp/M3/20110411/F50916/2368/1", 43.12)</f>
        <v>43.12</v>
      </c>
      <c r="E5411" s="2">
        <v>29.51</v>
      </c>
      <c r="F5411" s="2">
        <v>2</v>
      </c>
      <c r="G5411" s="2" t="s">
        <v>9</v>
      </c>
    </row>
    <row r="5412" spans="1:9" x14ac:dyDescent="0.2">
      <c r="A5412" s="2" t="s">
        <v>3601</v>
      </c>
      <c r="B5412" s="2" t="s">
        <v>1170</v>
      </c>
      <c r="C5412" s="2">
        <v>763.40060000000005</v>
      </c>
      <c r="D5412" s="2">
        <f>HYPERLINK("http://mcb-m6.bioreg.kyushu-u.ac.jp/M3/20110411/F50916/2013/1", 65.71)</f>
        <v>65.709999999999994</v>
      </c>
      <c r="E5412" s="2">
        <v>49.85</v>
      </c>
      <c r="F5412" s="2">
        <v>2</v>
      </c>
      <c r="G5412" s="2" t="s">
        <v>9</v>
      </c>
    </row>
    <row r="5413" spans="1:9" x14ac:dyDescent="0.2">
      <c r="A5413" s="2" t="s">
        <v>3601</v>
      </c>
      <c r="B5413" s="2" t="s">
        <v>1673</v>
      </c>
      <c r="C5413" s="2">
        <v>900.47360000000003</v>
      </c>
      <c r="D5413" s="2">
        <f>HYPERLINK("http://mcb-m6.bioreg.kyushu-u.ac.jp/M3/20110411/F50916/2707/1", 125.64)</f>
        <v>125.64</v>
      </c>
      <c r="E5413" s="2">
        <v>110.35</v>
      </c>
      <c r="F5413" s="2">
        <v>2</v>
      </c>
      <c r="G5413" s="2" t="s">
        <v>9</v>
      </c>
    </row>
    <row r="5414" spans="1:9" x14ac:dyDescent="0.2">
      <c r="A5414" s="2" t="s">
        <v>3601</v>
      </c>
      <c r="B5414" s="2" t="s">
        <v>493</v>
      </c>
      <c r="C5414" s="2">
        <v>828.95169999999996</v>
      </c>
      <c r="D5414" s="2">
        <f>HYPERLINK("http://mcb-m6.bioreg.kyushu-u.ac.jp/M3/20110411/F50918/2311/1", 38.39)</f>
        <v>38.39</v>
      </c>
      <c r="E5414" s="2">
        <v>20.73</v>
      </c>
      <c r="F5414" s="2">
        <v>2</v>
      </c>
      <c r="G5414" s="2" t="s">
        <v>10</v>
      </c>
    </row>
    <row r="5415" spans="1:9" x14ac:dyDescent="0.2">
      <c r="A5415" s="2" t="s">
        <v>3601</v>
      </c>
      <c r="B5415" s="2" t="s">
        <v>493</v>
      </c>
      <c r="C5415" s="2">
        <v>828.4402</v>
      </c>
      <c r="D5415" s="2">
        <f>HYPERLINK("http://mcb-m6.bioreg.kyushu-u.ac.jp/M3/20110411/F50918/2307/1", 44.88)</f>
        <v>44.88</v>
      </c>
      <c r="E5415" s="2">
        <v>29.74</v>
      </c>
      <c r="F5415" s="2">
        <v>2</v>
      </c>
      <c r="G5415" s="2" t="s">
        <v>10</v>
      </c>
    </row>
    <row r="5416" spans="1:9" x14ac:dyDescent="0.2">
      <c r="A5416" s="2" t="s">
        <v>3601</v>
      </c>
      <c r="B5416" s="2" t="s">
        <v>493</v>
      </c>
      <c r="C5416" s="2">
        <v>828.63369999999998</v>
      </c>
      <c r="D5416" s="2">
        <f>HYPERLINK("http://mcb-m6.bioreg.kyushu-u.ac.jp/M3/20110414/F50956/2552/1", 40.93)</f>
        <v>40.93</v>
      </c>
      <c r="E5416" s="2">
        <v>26.19</v>
      </c>
      <c r="F5416" s="2">
        <v>2</v>
      </c>
      <c r="G5416" s="2" t="s">
        <v>11</v>
      </c>
    </row>
    <row r="5417" spans="1:9" x14ac:dyDescent="0.2">
      <c r="A5417" s="2" t="s">
        <v>3601</v>
      </c>
      <c r="B5417" s="2" t="s">
        <v>2354</v>
      </c>
      <c r="C5417" s="2">
        <v>598.65309999999999</v>
      </c>
      <c r="D5417" s="2">
        <f>HYPERLINK("http://mcb-m6.bioreg.kyushu-u.ac.jp/M3/20110414/F50956/1046/1", 49.62)</f>
        <v>49.62</v>
      </c>
      <c r="E5417" s="2">
        <v>30.45</v>
      </c>
      <c r="F5417" s="2">
        <v>2</v>
      </c>
      <c r="G5417" s="2" t="s">
        <v>11</v>
      </c>
      <c r="I5417" s="2" t="s">
        <v>4895</v>
      </c>
    </row>
    <row r="5418" spans="1:9" x14ac:dyDescent="0.2">
      <c r="A5418" s="2" t="s">
        <v>3601</v>
      </c>
      <c r="B5418" s="2" t="s">
        <v>493</v>
      </c>
      <c r="C5418" s="2">
        <v>828.57709999999997</v>
      </c>
      <c r="D5418" s="2">
        <f>HYPERLINK("http://mcb-m6.bioreg.kyushu-u.ac.jp/M3/20110414/F50943/2382/1", 53.99)</f>
        <v>53.99</v>
      </c>
      <c r="E5418" s="2">
        <v>40.909999999999997</v>
      </c>
      <c r="F5418" s="2">
        <v>2</v>
      </c>
      <c r="G5418" s="2" t="s">
        <v>11</v>
      </c>
    </row>
    <row r="5419" spans="1:9" x14ac:dyDescent="0.2">
      <c r="A5419" s="2" t="s">
        <v>3601</v>
      </c>
      <c r="B5419" s="2" t="s">
        <v>493</v>
      </c>
      <c r="C5419" s="2">
        <v>828.24069999999995</v>
      </c>
      <c r="D5419" s="2">
        <f>HYPERLINK("http://mcb-m6.bioreg.kyushu-u.ac.jp/M3/20110414/F50957/2452/1", 56.42)</f>
        <v>56.42</v>
      </c>
      <c r="E5419" s="2">
        <v>31.82</v>
      </c>
      <c r="F5419" s="2">
        <v>2</v>
      </c>
      <c r="G5419" s="2" t="s">
        <v>11</v>
      </c>
    </row>
    <row r="5420" spans="1:9" x14ac:dyDescent="0.2">
      <c r="A5420" s="2" t="s">
        <v>3601</v>
      </c>
      <c r="B5420" s="2" t="s">
        <v>1673</v>
      </c>
      <c r="C5420" s="2">
        <v>900.71619999999996</v>
      </c>
      <c r="D5420" s="2">
        <f>HYPERLINK("http://mcb-m6.bioreg.kyushu-u.ac.jp/M3/20110414/F50957/2910/1", 77.1)</f>
        <v>77.099999999999994</v>
      </c>
      <c r="E5420" s="2">
        <v>67.52</v>
      </c>
      <c r="F5420" s="2">
        <v>2</v>
      </c>
      <c r="G5420" s="2" t="s">
        <v>11</v>
      </c>
    </row>
    <row r="5421" spans="1:9" x14ac:dyDescent="0.2">
      <c r="A5421" s="2" t="s">
        <v>3601</v>
      </c>
      <c r="B5421" s="2" t="s">
        <v>2354</v>
      </c>
      <c r="C5421" s="2">
        <v>598.53219999999999</v>
      </c>
      <c r="D5421" s="2">
        <f>HYPERLINK("http://mcb-m6.bioreg.kyushu-u.ac.jp/M3/20110414/F50958/1118/1", 42.19)</f>
        <v>42.19</v>
      </c>
      <c r="E5421" s="2">
        <v>18.61</v>
      </c>
      <c r="F5421" s="2">
        <v>2</v>
      </c>
      <c r="G5421" s="2" t="s">
        <v>12</v>
      </c>
      <c r="I5421" s="2" t="s">
        <v>4895</v>
      </c>
    </row>
    <row r="5422" spans="1:9" x14ac:dyDescent="0.2">
      <c r="A5422" s="2" t="s">
        <v>3601</v>
      </c>
      <c r="B5422" s="2" t="s">
        <v>493</v>
      </c>
      <c r="C5422" s="2">
        <v>828.19920000000002</v>
      </c>
      <c r="D5422" s="2">
        <f>HYPERLINK("http://mcb-m6.bioreg.kyushu-u.ac.jp/M3/20110414/F50958/2628/1", 53.99)</f>
        <v>53.99</v>
      </c>
      <c r="E5422" s="2">
        <v>33.56</v>
      </c>
      <c r="F5422" s="2">
        <v>2</v>
      </c>
      <c r="G5422" s="2" t="s">
        <v>12</v>
      </c>
    </row>
    <row r="5423" spans="1:9" x14ac:dyDescent="0.2">
      <c r="A5423" s="2" t="s">
        <v>3601</v>
      </c>
      <c r="B5423" s="2" t="s">
        <v>2354</v>
      </c>
      <c r="C5423" s="2">
        <v>598.6327</v>
      </c>
      <c r="D5423" s="2">
        <f>HYPERLINK("http://mcb-m6.bioreg.kyushu-u.ac.jp/M3/20110502/F51172/1268/1", 38.55)</f>
        <v>38.549999999999997</v>
      </c>
      <c r="E5423" s="2">
        <v>13.43</v>
      </c>
      <c r="F5423" s="2">
        <v>2</v>
      </c>
      <c r="G5423" s="2" t="s">
        <v>13</v>
      </c>
      <c r="I5423" s="2" t="s">
        <v>4895</v>
      </c>
    </row>
    <row r="5424" spans="1:9" x14ac:dyDescent="0.2">
      <c r="A5424" s="2" t="s">
        <v>3601</v>
      </c>
      <c r="B5424" s="2" t="s">
        <v>493</v>
      </c>
      <c r="C5424" s="2">
        <v>828.53219999999999</v>
      </c>
      <c r="D5424" s="2">
        <f>HYPERLINK("http://mcb-m6.bioreg.kyushu-u.ac.jp/M3/20110502/F51189/2208/1", 94.23)</f>
        <v>94.23</v>
      </c>
      <c r="E5424" s="2">
        <v>52.53</v>
      </c>
      <c r="F5424" s="2">
        <v>2</v>
      </c>
      <c r="G5424" s="2" t="s">
        <v>13</v>
      </c>
    </row>
    <row r="5425" spans="1:9" x14ac:dyDescent="0.2">
      <c r="A5425" s="2" t="s">
        <v>3601</v>
      </c>
      <c r="B5425" s="2" t="s">
        <v>493</v>
      </c>
      <c r="C5425" s="2">
        <v>828.65520000000004</v>
      </c>
      <c r="D5425" s="2">
        <f>HYPERLINK("http://mcb-m6.bioreg.kyushu-u.ac.jp/M3/20110502/F51193/2364/1", 88.17)</f>
        <v>88.17</v>
      </c>
      <c r="E5425" s="2">
        <v>35.75</v>
      </c>
      <c r="F5425" s="2">
        <v>2</v>
      </c>
      <c r="G5425" s="2" t="s">
        <v>14</v>
      </c>
    </row>
    <row r="5426" spans="1:9" x14ac:dyDescent="0.2">
      <c r="A5426" s="2" t="s">
        <v>4545</v>
      </c>
      <c r="B5426" s="2" t="s">
        <v>2575</v>
      </c>
      <c r="C5426" s="2">
        <v>855.41970000000003</v>
      </c>
      <c r="D5426" s="2">
        <f>HYPERLINK("http://mcb-m6.bioreg.kyushu-u.ac.jp/M3/20110414/F50958/2820/1", 38.71)</f>
        <v>38.71</v>
      </c>
      <c r="E5426" s="2">
        <v>22.35</v>
      </c>
      <c r="F5426" s="2">
        <v>2</v>
      </c>
      <c r="G5426" s="2" t="s">
        <v>12</v>
      </c>
    </row>
    <row r="5427" spans="1:9" x14ac:dyDescent="0.2">
      <c r="A5427" s="2" t="s">
        <v>4882</v>
      </c>
      <c r="B5427" s="2" t="s">
        <v>3211</v>
      </c>
      <c r="C5427" s="2">
        <v>1121.2840000000001</v>
      </c>
      <c r="D5427" s="2">
        <f>HYPERLINK("http://mcb-m6.bioreg.kyushu-u.ac.jp/M3/20110502/F51182/3544/1", 76.37)</f>
        <v>76.37</v>
      </c>
      <c r="E5427" s="2">
        <v>68.180000000000007</v>
      </c>
      <c r="F5427" s="2">
        <v>2</v>
      </c>
      <c r="G5427" s="2" t="s">
        <v>14</v>
      </c>
      <c r="I5427" s="2" t="s">
        <v>4980</v>
      </c>
    </row>
    <row r="5428" spans="1:9" x14ac:dyDescent="0.2">
      <c r="A5428" s="2" t="s">
        <v>3595</v>
      </c>
      <c r="B5428" s="2" t="s">
        <v>485</v>
      </c>
      <c r="C5428" s="2">
        <v>695.85360000000003</v>
      </c>
      <c r="D5428" s="2">
        <f>HYPERLINK("http://mcb-m6.bioreg.kyushu-u.ac.jp/M3/20110411/F50890/1932/1", 42.85)</f>
        <v>42.85</v>
      </c>
      <c r="E5428" s="2">
        <v>24.82</v>
      </c>
      <c r="F5428" s="2">
        <v>2</v>
      </c>
      <c r="G5428" s="2" t="s">
        <v>9</v>
      </c>
      <c r="I5428" s="2" t="s">
        <v>4895</v>
      </c>
    </row>
    <row r="5429" spans="1:9" x14ac:dyDescent="0.2">
      <c r="A5429" s="2" t="s">
        <v>3595</v>
      </c>
      <c r="B5429" s="2" t="s">
        <v>921</v>
      </c>
      <c r="C5429" s="2">
        <v>542.88120000000004</v>
      </c>
      <c r="D5429" s="2">
        <f>HYPERLINK("http://mcb-m6.bioreg.kyushu-u.ac.jp/M3/20110411/F50890/1302/1", 55.68)</f>
        <v>55.68</v>
      </c>
      <c r="E5429" s="2">
        <v>29.7</v>
      </c>
      <c r="F5429" s="2">
        <v>2</v>
      </c>
      <c r="G5429" s="2" t="s">
        <v>9</v>
      </c>
    </row>
    <row r="5430" spans="1:9" x14ac:dyDescent="0.2">
      <c r="A5430" s="2" t="s">
        <v>3595</v>
      </c>
      <c r="B5430" s="2" t="s">
        <v>1191</v>
      </c>
      <c r="C5430" s="2">
        <v>844.4067</v>
      </c>
      <c r="D5430" s="2">
        <f>HYPERLINK("http://mcb-m6.bioreg.kyushu-u.ac.jp/M3/20110411/F50890/2725/1", 66.74)</f>
        <v>66.739999999999995</v>
      </c>
      <c r="E5430" s="2">
        <v>43.13</v>
      </c>
      <c r="F5430" s="2">
        <v>2</v>
      </c>
      <c r="G5430" s="2" t="s">
        <v>9</v>
      </c>
    </row>
    <row r="5431" spans="1:9" x14ac:dyDescent="0.2">
      <c r="A5431" s="2" t="s">
        <v>3595</v>
      </c>
      <c r="B5431" s="2" t="s">
        <v>1547</v>
      </c>
      <c r="C5431" s="2">
        <v>1004.296</v>
      </c>
      <c r="D5431" s="2">
        <f>HYPERLINK("http://mcb-m6.bioreg.kyushu-u.ac.jp/M3/20110411/F50890/3346/1", 91.05)</f>
        <v>91.05</v>
      </c>
      <c r="E5431" s="2">
        <v>78.08</v>
      </c>
      <c r="F5431" s="2">
        <v>2</v>
      </c>
      <c r="G5431" s="2" t="s">
        <v>9</v>
      </c>
      <c r="I5431" s="2" t="s">
        <v>4903</v>
      </c>
    </row>
    <row r="5432" spans="1:9" x14ac:dyDescent="0.2">
      <c r="A5432" s="2" t="s">
        <v>3595</v>
      </c>
      <c r="B5432" s="2" t="s">
        <v>485</v>
      </c>
      <c r="C5432" s="2">
        <v>696.02120000000002</v>
      </c>
      <c r="D5432" s="2">
        <f>HYPERLINK("http://mcb-m6.bioreg.kyushu-u.ac.jp/M3/20110414/F50927/2092/1", 55.18)</f>
        <v>55.18</v>
      </c>
      <c r="E5432" s="2">
        <v>36.33</v>
      </c>
      <c r="F5432" s="2">
        <v>2</v>
      </c>
      <c r="G5432" s="2" t="s">
        <v>11</v>
      </c>
      <c r="I5432" s="2" t="s">
        <v>4895</v>
      </c>
    </row>
    <row r="5433" spans="1:9" x14ac:dyDescent="0.2">
      <c r="A5433" s="2" t="s">
        <v>4456</v>
      </c>
      <c r="B5433" s="2" t="s">
        <v>2366</v>
      </c>
      <c r="C5433" s="2">
        <v>1064.5450000000001</v>
      </c>
      <c r="D5433" s="2">
        <f>HYPERLINK("http://mcb-m6.bioreg.kyushu-u.ac.jp/M3/20110414/F50942/3668/1", 50.94)</f>
        <v>50.94</v>
      </c>
      <c r="E5433" s="2">
        <v>38.25</v>
      </c>
      <c r="F5433" s="2">
        <v>2</v>
      </c>
      <c r="G5433" s="2" t="s">
        <v>11</v>
      </c>
    </row>
    <row r="5434" spans="1:9" x14ac:dyDescent="0.2">
      <c r="A5434" s="2" t="s">
        <v>3259</v>
      </c>
      <c r="B5434" s="2" t="s">
        <v>39</v>
      </c>
      <c r="C5434" s="2">
        <v>575.3732</v>
      </c>
      <c r="D5434" s="2">
        <f>HYPERLINK("http://mcb-m6.bioreg.kyushu-u.ac.jp/M3/20110411/F50891/1261/1", 35.29)</f>
        <v>35.29</v>
      </c>
      <c r="E5434" s="2">
        <v>13.82</v>
      </c>
      <c r="F5434" s="2">
        <v>2</v>
      </c>
      <c r="G5434" s="2" t="s">
        <v>9</v>
      </c>
    </row>
    <row r="5435" spans="1:9" x14ac:dyDescent="0.2">
      <c r="A5435" s="2" t="s">
        <v>3259</v>
      </c>
      <c r="B5435" s="2" t="s">
        <v>39</v>
      </c>
      <c r="C5435" s="2">
        <v>575.19619999999998</v>
      </c>
      <c r="D5435" s="2">
        <f>HYPERLINK("http://mcb-m6.bioreg.kyushu-u.ac.jp/M3/20110411/F50890/1415/1", 73.43)</f>
        <v>73.430000000000007</v>
      </c>
      <c r="E5435" s="2">
        <v>44.96</v>
      </c>
      <c r="F5435" s="2">
        <v>2</v>
      </c>
      <c r="G5435" s="2" t="s">
        <v>9</v>
      </c>
    </row>
    <row r="5436" spans="1:9" x14ac:dyDescent="0.2">
      <c r="A5436" s="2" t="s">
        <v>3259</v>
      </c>
      <c r="B5436" s="2" t="s">
        <v>39</v>
      </c>
      <c r="C5436" s="2">
        <v>575.05909999999994</v>
      </c>
      <c r="D5436" s="2">
        <f>HYPERLINK("http://mcb-m6.bioreg.kyushu-u.ac.jp/M3/20110414/F50928/1523/1", 58.39)</f>
        <v>58.39</v>
      </c>
      <c r="E5436" s="2">
        <v>31.12</v>
      </c>
      <c r="F5436" s="2">
        <v>2</v>
      </c>
      <c r="G5436" s="2" t="s">
        <v>11</v>
      </c>
    </row>
    <row r="5437" spans="1:9" x14ac:dyDescent="0.2">
      <c r="A5437" s="2" t="s">
        <v>3259</v>
      </c>
      <c r="B5437" s="2" t="s">
        <v>39</v>
      </c>
      <c r="C5437" s="2">
        <v>575.37660000000005</v>
      </c>
      <c r="D5437" s="2">
        <f>HYPERLINK("http://mcb-m6.bioreg.kyushu-u.ac.jp/M3/20110502/F51169/1477/1", 48.02)</f>
        <v>48.02</v>
      </c>
      <c r="E5437" s="2">
        <v>19.88</v>
      </c>
      <c r="F5437" s="2">
        <v>2</v>
      </c>
      <c r="G5437" s="2" t="s">
        <v>13</v>
      </c>
    </row>
    <row r="5438" spans="1:9" x14ac:dyDescent="0.2">
      <c r="A5438" s="2" t="s">
        <v>3480</v>
      </c>
      <c r="B5438" s="2" t="s">
        <v>302</v>
      </c>
      <c r="C5438" s="2">
        <v>787.09720000000004</v>
      </c>
      <c r="D5438" s="2">
        <f>HYPERLINK("http://mcb-m6.bioreg.kyushu-u.ac.jp/M3/20110411/F50911/2365/1", 39.31)</f>
        <v>39.31</v>
      </c>
      <c r="E5438" s="2">
        <v>20.91</v>
      </c>
      <c r="F5438" s="2">
        <v>2</v>
      </c>
      <c r="G5438" s="2" t="s">
        <v>9</v>
      </c>
    </row>
    <row r="5439" spans="1:9" x14ac:dyDescent="0.2">
      <c r="A5439" s="2" t="s">
        <v>3480</v>
      </c>
      <c r="B5439" s="2" t="s">
        <v>653</v>
      </c>
      <c r="C5439" s="2">
        <v>475.4871</v>
      </c>
      <c r="D5439" s="2">
        <f>HYPERLINK("http://mcb-m6.bioreg.kyushu-u.ac.jp/M3/20110411/F50911/885/1", 47.32)</f>
        <v>47.32</v>
      </c>
      <c r="E5439" s="2">
        <v>21.68</v>
      </c>
      <c r="F5439" s="2">
        <v>2</v>
      </c>
      <c r="G5439" s="2" t="s">
        <v>9</v>
      </c>
    </row>
    <row r="5440" spans="1:9" x14ac:dyDescent="0.2">
      <c r="A5440" s="2" t="s">
        <v>3480</v>
      </c>
      <c r="B5440" s="2" t="s">
        <v>302</v>
      </c>
      <c r="C5440" s="2">
        <v>787.01369999999997</v>
      </c>
      <c r="D5440" s="2">
        <f>HYPERLINK("http://mcb-m6.bioreg.kyushu-u.ac.jp/M3/20110411/F50913/2250/1", 35.52)</f>
        <v>35.520000000000003</v>
      </c>
      <c r="E5440" s="2">
        <v>17.23</v>
      </c>
      <c r="F5440" s="2">
        <v>2</v>
      </c>
      <c r="G5440" s="2" t="s">
        <v>10</v>
      </c>
    </row>
    <row r="5441" spans="1:7" x14ac:dyDescent="0.2">
      <c r="A5441" s="2" t="s">
        <v>3480</v>
      </c>
      <c r="B5441" s="2" t="s">
        <v>653</v>
      </c>
      <c r="C5441" s="2">
        <v>475.41559999999998</v>
      </c>
      <c r="D5441" s="2">
        <f>HYPERLINK("http://mcb-m6.bioreg.kyushu-u.ac.jp/M3/20110411/F50914/968/1", 43.85)</f>
        <v>43.85</v>
      </c>
      <c r="E5441" s="2">
        <v>18.96</v>
      </c>
      <c r="F5441" s="2">
        <v>2</v>
      </c>
      <c r="G5441" s="2" t="s">
        <v>10</v>
      </c>
    </row>
    <row r="5442" spans="1:7" x14ac:dyDescent="0.2">
      <c r="A5442" s="2" t="s">
        <v>3480</v>
      </c>
      <c r="B5442" s="2" t="s">
        <v>302</v>
      </c>
      <c r="C5442" s="2">
        <v>787.15920000000006</v>
      </c>
      <c r="D5442" s="2">
        <f>HYPERLINK("http://mcb-m6.bioreg.kyushu-u.ac.jp/M3/20110411/F50914/2336/1", 51.82)</f>
        <v>51.82</v>
      </c>
      <c r="E5442" s="2">
        <v>37.19</v>
      </c>
      <c r="F5442" s="2">
        <v>2</v>
      </c>
      <c r="G5442" s="2" t="s">
        <v>10</v>
      </c>
    </row>
    <row r="5443" spans="1:7" x14ac:dyDescent="0.2">
      <c r="A5443" s="2" t="s">
        <v>3480</v>
      </c>
      <c r="B5443" s="2" t="s">
        <v>302</v>
      </c>
      <c r="C5443" s="2">
        <v>787.42219999999998</v>
      </c>
      <c r="D5443" s="2">
        <f>HYPERLINK("http://mcb-m6.bioreg.kyushu-u.ac.jp/M3/20110414/F50941/2375/1", 35.07)</f>
        <v>35.07</v>
      </c>
      <c r="E5443" s="2">
        <v>19.55</v>
      </c>
      <c r="F5443" s="2">
        <v>2</v>
      </c>
      <c r="G5443" s="2" t="s">
        <v>11</v>
      </c>
    </row>
    <row r="5444" spans="1:7" x14ac:dyDescent="0.2">
      <c r="A5444" s="2" t="s">
        <v>3480</v>
      </c>
      <c r="B5444" s="2" t="s">
        <v>302</v>
      </c>
      <c r="C5444" s="2">
        <v>787.29319999999996</v>
      </c>
      <c r="D5444" s="2">
        <f>HYPERLINK("http://mcb-m6.bioreg.kyushu-u.ac.jp/M3/20110414/F50942/2204/1", 45.06)</f>
        <v>45.06</v>
      </c>
      <c r="E5444" s="2">
        <v>24.77</v>
      </c>
      <c r="F5444" s="2">
        <v>2</v>
      </c>
      <c r="G5444" s="2" t="s">
        <v>11</v>
      </c>
    </row>
    <row r="5445" spans="1:7" x14ac:dyDescent="0.2">
      <c r="A5445" s="2" t="s">
        <v>3480</v>
      </c>
      <c r="B5445" s="2" t="s">
        <v>302</v>
      </c>
      <c r="C5445" s="2">
        <v>786.52970000000005</v>
      </c>
      <c r="D5445" s="2">
        <f>HYPERLINK("http://mcb-m6.bioreg.kyushu-u.ac.jp/M3/20110414/F50948/2398/1", 37.99)</f>
        <v>37.99</v>
      </c>
      <c r="E5445" s="2">
        <v>18.95</v>
      </c>
      <c r="F5445" s="2">
        <v>2</v>
      </c>
      <c r="G5445" s="2" t="s">
        <v>12</v>
      </c>
    </row>
    <row r="5446" spans="1:7" x14ac:dyDescent="0.2">
      <c r="A5446" s="2" t="s">
        <v>3480</v>
      </c>
      <c r="B5446" s="2" t="s">
        <v>2890</v>
      </c>
      <c r="C5446" s="2">
        <v>507.25009999999997</v>
      </c>
      <c r="D5446" s="2">
        <f>HYPERLINK("http://mcb-m6.bioreg.kyushu-u.ac.jp/M3/20110502/F51171/1063/1", 44.59)</f>
        <v>44.59</v>
      </c>
      <c r="E5446" s="2">
        <v>24.27</v>
      </c>
      <c r="F5446" s="2">
        <v>2</v>
      </c>
      <c r="G5446" s="2" t="s">
        <v>13</v>
      </c>
    </row>
    <row r="5447" spans="1:7" x14ac:dyDescent="0.2">
      <c r="A5447" s="2" t="s">
        <v>3480</v>
      </c>
      <c r="B5447" s="2" t="s">
        <v>302</v>
      </c>
      <c r="C5447" s="2">
        <v>787.50369999999998</v>
      </c>
      <c r="D5447" s="2">
        <f>HYPERLINK("http://mcb-m6.bioreg.kyushu-u.ac.jp/M3/20110502/F51171/2227/1", 48.13)</f>
        <v>48.13</v>
      </c>
      <c r="E5447" s="2">
        <v>25.57</v>
      </c>
      <c r="F5447" s="2">
        <v>2</v>
      </c>
      <c r="G5447" s="2" t="s">
        <v>13</v>
      </c>
    </row>
    <row r="5448" spans="1:7" x14ac:dyDescent="0.2">
      <c r="A5448" s="2" t="s">
        <v>3480</v>
      </c>
      <c r="B5448" s="2" t="s">
        <v>302</v>
      </c>
      <c r="C5448" s="2">
        <v>787.38869999999997</v>
      </c>
      <c r="D5448" s="2">
        <f>HYPERLINK("http://mcb-m6.bioreg.kyushu-u.ac.jp/M3/20110502/F51183/2175/1", 35.26)</f>
        <v>35.26</v>
      </c>
      <c r="E5448" s="2">
        <v>14.51</v>
      </c>
      <c r="F5448" s="2">
        <v>2</v>
      </c>
      <c r="G5448" s="2" t="s">
        <v>14</v>
      </c>
    </row>
    <row r="5449" spans="1:7" x14ac:dyDescent="0.2">
      <c r="A5449" s="2" t="s">
        <v>3531</v>
      </c>
      <c r="B5449" s="2" t="s">
        <v>379</v>
      </c>
      <c r="C5449" s="2">
        <v>686.15719999999999</v>
      </c>
      <c r="D5449" s="2">
        <f>HYPERLINK("http://mcb-m6.bioreg.kyushu-u.ac.jp/M3/20110411/F50905/1729/1", 40.76)</f>
        <v>40.76</v>
      </c>
      <c r="E5449" s="2">
        <v>14.11</v>
      </c>
      <c r="F5449" s="2">
        <v>2</v>
      </c>
      <c r="G5449" s="2" t="s">
        <v>9</v>
      </c>
    </row>
    <row r="5450" spans="1:7" x14ac:dyDescent="0.2">
      <c r="A5450" s="2" t="s">
        <v>3531</v>
      </c>
      <c r="B5450" s="2" t="s">
        <v>469</v>
      </c>
      <c r="C5450" s="2">
        <v>576.11220000000003</v>
      </c>
      <c r="D5450" s="2">
        <f>HYPERLINK("http://mcb-m6.bioreg.kyushu-u.ac.jp/M3/20110411/F50911/1276/1", 42.55)</f>
        <v>42.55</v>
      </c>
      <c r="E5450" s="2">
        <v>19.72</v>
      </c>
      <c r="F5450" s="2">
        <v>2</v>
      </c>
      <c r="G5450" s="2" t="s">
        <v>9</v>
      </c>
    </row>
    <row r="5451" spans="1:7" x14ac:dyDescent="0.2">
      <c r="A5451" s="2" t="s">
        <v>3531</v>
      </c>
      <c r="B5451" s="2" t="s">
        <v>379</v>
      </c>
      <c r="C5451" s="2">
        <v>686.13319999999999</v>
      </c>
      <c r="D5451" s="2">
        <f>HYPERLINK("http://mcb-m6.bioreg.kyushu-u.ac.jp/M3/20110411/F50911/1778/1", 53)</f>
        <v>53</v>
      </c>
      <c r="E5451" s="2">
        <v>29.22</v>
      </c>
      <c r="F5451" s="2">
        <v>2</v>
      </c>
      <c r="G5451" s="2" t="s">
        <v>9</v>
      </c>
    </row>
    <row r="5452" spans="1:7" x14ac:dyDescent="0.2">
      <c r="A5452" s="2" t="s">
        <v>3531</v>
      </c>
      <c r="B5452" s="2" t="s">
        <v>469</v>
      </c>
      <c r="C5452" s="2">
        <v>575.91859999999997</v>
      </c>
      <c r="D5452" s="2">
        <f>HYPERLINK("http://mcb-m6.bioreg.kyushu-u.ac.jp/M3/20110411/F50913/1295/1", 45.71)</f>
        <v>45.71</v>
      </c>
      <c r="E5452" s="2">
        <v>24.76</v>
      </c>
      <c r="F5452" s="2">
        <v>2</v>
      </c>
      <c r="G5452" s="2" t="s">
        <v>10</v>
      </c>
    </row>
    <row r="5453" spans="1:7" x14ac:dyDescent="0.2">
      <c r="A5453" s="2" t="s">
        <v>3531</v>
      </c>
      <c r="B5453" s="2" t="s">
        <v>379</v>
      </c>
      <c r="C5453" s="2">
        <v>686.07209999999998</v>
      </c>
      <c r="D5453" s="2">
        <f>HYPERLINK("http://mcb-m6.bioreg.kyushu-u.ac.jp/M3/20110411/F50913/1732/1", 48.73)</f>
        <v>48.73</v>
      </c>
      <c r="E5453" s="2">
        <v>21.53</v>
      </c>
      <c r="F5453" s="2">
        <v>2</v>
      </c>
      <c r="G5453" s="2" t="s">
        <v>10</v>
      </c>
    </row>
    <row r="5454" spans="1:7" x14ac:dyDescent="0.2">
      <c r="A5454" s="2" t="s">
        <v>3531</v>
      </c>
      <c r="B5454" s="2" t="s">
        <v>469</v>
      </c>
      <c r="C5454" s="2">
        <v>576.26009999999997</v>
      </c>
      <c r="D5454" s="2">
        <f>HYPERLINK("http://mcb-m6.bioreg.kyushu-u.ac.jp/M3/20110411/F50914/1339/1", 54.08)</f>
        <v>54.08</v>
      </c>
      <c r="E5454" s="2">
        <v>32.71</v>
      </c>
      <c r="F5454" s="2">
        <v>2</v>
      </c>
      <c r="G5454" s="2" t="s">
        <v>10</v>
      </c>
    </row>
    <row r="5455" spans="1:7" x14ac:dyDescent="0.2">
      <c r="A5455" s="2" t="s">
        <v>3531</v>
      </c>
      <c r="B5455" s="2" t="s">
        <v>379</v>
      </c>
      <c r="C5455" s="2">
        <v>686.27970000000005</v>
      </c>
      <c r="D5455" s="2">
        <f>HYPERLINK("http://mcb-m6.bioreg.kyushu-u.ac.jp/M3/20110414/F50941/1755/1", 35.98)</f>
        <v>35.979999999999997</v>
      </c>
      <c r="E5455" s="2">
        <v>16.82</v>
      </c>
      <c r="F5455" s="2">
        <v>2</v>
      </c>
      <c r="G5455" s="2" t="s">
        <v>11</v>
      </c>
    </row>
    <row r="5456" spans="1:7" x14ac:dyDescent="0.2">
      <c r="A5456" s="2" t="s">
        <v>3531</v>
      </c>
      <c r="B5456" s="2" t="s">
        <v>379</v>
      </c>
      <c r="C5456" s="2">
        <v>685.94569999999999</v>
      </c>
      <c r="D5456" s="2">
        <f>HYPERLINK("http://mcb-m6.bioreg.kyushu-u.ac.jp/M3/20110414/F50942/1587/1", 47.93)</f>
        <v>47.93</v>
      </c>
      <c r="E5456" s="2">
        <v>29.42</v>
      </c>
      <c r="F5456" s="2">
        <v>2</v>
      </c>
      <c r="G5456" s="2" t="s">
        <v>11</v>
      </c>
    </row>
    <row r="5457" spans="1:9" x14ac:dyDescent="0.2">
      <c r="A5457" s="2" t="s">
        <v>3531</v>
      </c>
      <c r="B5457" s="2" t="s">
        <v>469</v>
      </c>
      <c r="C5457" s="2">
        <v>576.25519999999995</v>
      </c>
      <c r="D5457" s="2">
        <f>HYPERLINK("http://mcb-m6.bioreg.kyushu-u.ac.jp/M3/20110414/F50942/1080/1", 48.18)</f>
        <v>48.18</v>
      </c>
      <c r="E5457" s="2">
        <v>34.75</v>
      </c>
      <c r="F5457" s="2">
        <v>2</v>
      </c>
      <c r="G5457" s="2" t="s">
        <v>11</v>
      </c>
    </row>
    <row r="5458" spans="1:9" x14ac:dyDescent="0.2">
      <c r="A5458" s="2" t="s">
        <v>3531</v>
      </c>
      <c r="B5458" s="2" t="s">
        <v>469</v>
      </c>
      <c r="C5458" s="2">
        <v>576.18370000000004</v>
      </c>
      <c r="D5458" s="2">
        <f>HYPERLINK("http://mcb-m6.bioreg.kyushu-u.ac.jp/M3/20110414/F50941/1208/1", 52.12)</f>
        <v>52.12</v>
      </c>
      <c r="E5458" s="2">
        <v>35.81</v>
      </c>
      <c r="F5458" s="2">
        <v>2</v>
      </c>
      <c r="G5458" s="2" t="s">
        <v>11</v>
      </c>
    </row>
    <row r="5459" spans="1:9" x14ac:dyDescent="0.2">
      <c r="A5459" s="2" t="s">
        <v>3531</v>
      </c>
      <c r="B5459" s="2" t="s">
        <v>379</v>
      </c>
      <c r="C5459" s="2">
        <v>685.84220000000005</v>
      </c>
      <c r="D5459" s="2">
        <f>HYPERLINK("http://mcb-m6.bioreg.kyushu-u.ac.jp/M3/20110414/F50948/1709/1", 46.6)</f>
        <v>46.6</v>
      </c>
      <c r="E5459" s="2">
        <v>26.05</v>
      </c>
      <c r="F5459" s="2">
        <v>2</v>
      </c>
      <c r="G5459" s="2" t="s">
        <v>12</v>
      </c>
    </row>
    <row r="5460" spans="1:9" x14ac:dyDescent="0.2">
      <c r="A5460" s="2" t="s">
        <v>3531</v>
      </c>
      <c r="B5460" s="2" t="s">
        <v>469</v>
      </c>
      <c r="C5460" s="2">
        <v>576.01670000000001</v>
      </c>
      <c r="D5460" s="2">
        <f>HYPERLINK("http://mcb-m6.bioreg.kyushu-u.ac.jp/M3/20110414/F50948/1129/1", 49.74)</f>
        <v>49.74</v>
      </c>
      <c r="E5460" s="2">
        <v>30.85</v>
      </c>
      <c r="F5460" s="2">
        <v>2</v>
      </c>
      <c r="G5460" s="2" t="s">
        <v>12</v>
      </c>
    </row>
    <row r="5461" spans="1:9" x14ac:dyDescent="0.2">
      <c r="A5461" s="2" t="s">
        <v>3531</v>
      </c>
      <c r="B5461" s="2" t="s">
        <v>469</v>
      </c>
      <c r="C5461" s="2">
        <v>576.26819999999998</v>
      </c>
      <c r="D5461" s="2">
        <f>HYPERLINK("http://mcb-m6.bioreg.kyushu-u.ac.jp/M3/20110414/F50947/1070/1", 56.14)</f>
        <v>56.14</v>
      </c>
      <c r="E5461" s="2">
        <v>37.270000000000003</v>
      </c>
      <c r="F5461" s="2">
        <v>2</v>
      </c>
      <c r="G5461" s="2" t="s">
        <v>12</v>
      </c>
    </row>
    <row r="5462" spans="1:9" x14ac:dyDescent="0.2">
      <c r="A5462" s="2" t="s">
        <v>3531</v>
      </c>
      <c r="B5462" s="2" t="s">
        <v>379</v>
      </c>
      <c r="C5462" s="2">
        <v>686.08169999999996</v>
      </c>
      <c r="D5462" s="2">
        <f>HYPERLINK("http://mcb-m6.bioreg.kyushu-u.ac.jp/M3/20110502/F51170/1787/1", 49.05)</f>
        <v>49.05</v>
      </c>
      <c r="E5462" s="2">
        <v>32.32</v>
      </c>
      <c r="F5462" s="2">
        <v>2</v>
      </c>
      <c r="G5462" s="2" t="s">
        <v>13</v>
      </c>
    </row>
    <row r="5463" spans="1:9" x14ac:dyDescent="0.2">
      <c r="A5463" s="2" t="s">
        <v>3531</v>
      </c>
      <c r="B5463" s="2" t="s">
        <v>379</v>
      </c>
      <c r="C5463" s="2">
        <v>686.0557</v>
      </c>
      <c r="D5463" s="2">
        <f>HYPERLINK("http://mcb-m6.bioreg.kyushu-u.ac.jp/M3/20110502/F51171/1756/1", 56.82)</f>
        <v>56.82</v>
      </c>
      <c r="E5463" s="2">
        <v>32.19</v>
      </c>
      <c r="F5463" s="2">
        <v>2</v>
      </c>
      <c r="G5463" s="2" t="s">
        <v>13</v>
      </c>
    </row>
    <row r="5464" spans="1:9" x14ac:dyDescent="0.2">
      <c r="A5464" s="2" t="s">
        <v>3531</v>
      </c>
      <c r="B5464" s="2" t="s">
        <v>379</v>
      </c>
      <c r="C5464" s="2">
        <v>686.47770000000003</v>
      </c>
      <c r="D5464" s="2">
        <f>HYPERLINK("http://mcb-m6.bioreg.kyushu-u.ac.jp/M3/20110502/F51184/1480/1", 44.5)</f>
        <v>44.5</v>
      </c>
      <c r="E5464" s="2">
        <v>13</v>
      </c>
      <c r="F5464" s="2">
        <v>2</v>
      </c>
      <c r="G5464" s="2" t="s">
        <v>14</v>
      </c>
    </row>
    <row r="5465" spans="1:9" x14ac:dyDescent="0.2">
      <c r="A5465" s="2" t="s">
        <v>3531</v>
      </c>
      <c r="B5465" s="2" t="s">
        <v>379</v>
      </c>
      <c r="C5465" s="2">
        <v>686.16669999999999</v>
      </c>
      <c r="D5465" s="2">
        <f>HYPERLINK("http://mcb-m6.bioreg.kyushu-u.ac.jp/M3/20110502/F51186/1580/1", 47.01)</f>
        <v>47.01</v>
      </c>
      <c r="E5465" s="2">
        <v>18.54</v>
      </c>
      <c r="F5465" s="2">
        <v>2</v>
      </c>
      <c r="G5465" s="2" t="s">
        <v>14</v>
      </c>
    </row>
    <row r="5466" spans="1:9" x14ac:dyDescent="0.2">
      <c r="A5466" s="2" t="s">
        <v>3531</v>
      </c>
      <c r="B5466" s="2" t="s">
        <v>469</v>
      </c>
      <c r="C5466" s="2">
        <v>576.1422</v>
      </c>
      <c r="D5466" s="2">
        <f>HYPERLINK("http://mcb-m6.bioreg.kyushu-u.ac.jp/M3/20110502/F51183/1066/1", 52.22)</f>
        <v>52.22</v>
      </c>
      <c r="E5466" s="2">
        <v>26.8</v>
      </c>
      <c r="F5466" s="2">
        <v>2</v>
      </c>
      <c r="G5466" s="2" t="s">
        <v>14</v>
      </c>
    </row>
    <row r="5467" spans="1:9" x14ac:dyDescent="0.2">
      <c r="A5467" s="2" t="s">
        <v>3531</v>
      </c>
      <c r="B5467" s="2" t="s">
        <v>469</v>
      </c>
      <c r="C5467" s="2">
        <v>576.0607</v>
      </c>
      <c r="D5467" s="2">
        <f>HYPERLINK("http://mcb-m6.bioreg.kyushu-u.ac.jp/M3/20110502/F51179/938/1", 59.27)</f>
        <v>59.27</v>
      </c>
      <c r="E5467" s="2">
        <v>33.43</v>
      </c>
      <c r="F5467" s="2">
        <v>2</v>
      </c>
      <c r="G5467" s="2" t="s">
        <v>14</v>
      </c>
    </row>
    <row r="5468" spans="1:9" x14ac:dyDescent="0.2">
      <c r="A5468" s="2" t="s">
        <v>3531</v>
      </c>
      <c r="B5468" s="2" t="s">
        <v>379</v>
      </c>
      <c r="C5468" s="2">
        <v>686.30070000000001</v>
      </c>
      <c r="D5468" s="2">
        <f>HYPERLINK("http://mcb-m6.bioreg.kyushu-u.ac.jp/M3/20110502/F51183/1567/1", 69.3)</f>
        <v>69.3</v>
      </c>
      <c r="E5468" s="2">
        <v>38.979999999999997</v>
      </c>
      <c r="F5468" s="2">
        <v>2</v>
      </c>
      <c r="G5468" s="2" t="s">
        <v>14</v>
      </c>
    </row>
    <row r="5469" spans="1:9" x14ac:dyDescent="0.2">
      <c r="A5469" s="2" t="s">
        <v>3531</v>
      </c>
      <c r="B5469" s="2" t="s">
        <v>3203</v>
      </c>
      <c r="C5469" s="2">
        <v>718.68320000000006</v>
      </c>
      <c r="D5469" s="2">
        <f>HYPERLINK("http://mcb-m6.bioreg.kyushu-u.ac.jp/M3/20110502/F51183/1783/1", 72.79)</f>
        <v>72.790000000000006</v>
      </c>
      <c r="E5469" s="2">
        <v>36.21</v>
      </c>
      <c r="F5469" s="2">
        <v>2</v>
      </c>
      <c r="G5469" s="2" t="s">
        <v>14</v>
      </c>
    </row>
    <row r="5470" spans="1:9" x14ac:dyDescent="0.2">
      <c r="A5470" s="2" t="s">
        <v>4830</v>
      </c>
      <c r="B5470" s="2" t="s">
        <v>3091</v>
      </c>
      <c r="C5470" s="2">
        <v>688.6105</v>
      </c>
      <c r="D5470" s="2">
        <f>HYPERLINK("http://mcb-m6.bioreg.kyushu-u.ac.jp/M3/20110502/F51179/3225/1", 43.79)</f>
        <v>43.79</v>
      </c>
      <c r="E5470" s="2">
        <v>23.24</v>
      </c>
      <c r="F5470" s="2">
        <v>3</v>
      </c>
      <c r="G5470" s="2" t="s">
        <v>14</v>
      </c>
    </row>
    <row r="5471" spans="1:9" x14ac:dyDescent="0.2">
      <c r="A5471" s="2" t="s">
        <v>4830</v>
      </c>
      <c r="B5471" s="2" t="s">
        <v>3091</v>
      </c>
      <c r="C5471" s="2">
        <v>688.70219999999995</v>
      </c>
      <c r="D5471" s="2">
        <f>HYPERLINK("http://mcb-m6.bioreg.kyushu-u.ac.jp/M3/20110502/F51183/3208/1", 53.43)</f>
        <v>53.43</v>
      </c>
      <c r="E5471" s="2">
        <v>38.22</v>
      </c>
      <c r="F5471" s="2">
        <v>3</v>
      </c>
      <c r="G5471" s="2" t="s">
        <v>14</v>
      </c>
    </row>
    <row r="5472" spans="1:9" x14ac:dyDescent="0.2">
      <c r="A5472" s="2" t="s">
        <v>3723</v>
      </c>
      <c r="B5472" s="2" t="s">
        <v>718</v>
      </c>
      <c r="C5472" s="2">
        <v>670.28020000000004</v>
      </c>
      <c r="D5472" s="2">
        <f>HYPERLINK("http://mcb-m6.bioreg.kyushu-u.ac.jp/M3/20110411/F50911/1693/1", 49.23)</f>
        <v>49.23</v>
      </c>
      <c r="E5472" s="2">
        <v>23.14</v>
      </c>
      <c r="F5472" s="2">
        <v>2</v>
      </c>
      <c r="G5472" s="2" t="s">
        <v>9</v>
      </c>
      <c r="I5472" s="2" t="s">
        <v>4892</v>
      </c>
    </row>
    <row r="5473" spans="1:9" x14ac:dyDescent="0.2">
      <c r="A5473" s="2" t="s">
        <v>3723</v>
      </c>
      <c r="B5473" s="2" t="s">
        <v>2021</v>
      </c>
      <c r="C5473" s="2">
        <v>606.34969999999998</v>
      </c>
      <c r="D5473" s="2">
        <f>HYPERLINK("http://mcb-m6.bioreg.kyushu-u.ac.jp/M3/20110411/F50914/1491/1", 63.1)</f>
        <v>63.1</v>
      </c>
      <c r="E5473" s="2">
        <v>43.02</v>
      </c>
      <c r="F5473" s="2">
        <v>2</v>
      </c>
      <c r="G5473" s="2" t="s">
        <v>10</v>
      </c>
      <c r="I5473" s="2" t="s">
        <v>4892</v>
      </c>
    </row>
    <row r="5474" spans="1:9" x14ac:dyDescent="0.2">
      <c r="A5474" s="2" t="s">
        <v>3723</v>
      </c>
      <c r="B5474" s="2" t="s">
        <v>718</v>
      </c>
      <c r="C5474" s="2">
        <v>669.97220000000004</v>
      </c>
      <c r="D5474" s="2">
        <f>HYPERLINK("http://mcb-m6.bioreg.kyushu-u.ac.jp/M3/20110411/F50914/1726/1", 64.75)</f>
        <v>64.75</v>
      </c>
      <c r="E5474" s="2">
        <v>46.12</v>
      </c>
      <c r="F5474" s="2">
        <v>2</v>
      </c>
      <c r="G5474" s="2" t="s">
        <v>10</v>
      </c>
      <c r="I5474" s="2" t="s">
        <v>4892</v>
      </c>
    </row>
    <row r="5475" spans="1:9" x14ac:dyDescent="0.2">
      <c r="A5475" s="2" t="s">
        <v>3723</v>
      </c>
      <c r="B5475" s="2" t="s">
        <v>2021</v>
      </c>
      <c r="C5475" s="2">
        <v>605.97670000000005</v>
      </c>
      <c r="D5475" s="2">
        <f>HYPERLINK("http://mcb-m6.bioreg.kyushu-u.ac.jp/M3/20110411/F50913/1424/1", 67.4)</f>
        <v>67.400000000000006</v>
      </c>
      <c r="E5475" s="2">
        <v>49.73</v>
      </c>
      <c r="F5475" s="2">
        <v>2</v>
      </c>
      <c r="G5475" s="2" t="s">
        <v>10</v>
      </c>
      <c r="I5475" s="2" t="s">
        <v>4892</v>
      </c>
    </row>
    <row r="5476" spans="1:9" x14ac:dyDescent="0.2">
      <c r="A5476" s="2" t="s">
        <v>3723</v>
      </c>
      <c r="B5476" s="2" t="s">
        <v>2021</v>
      </c>
      <c r="C5476" s="2">
        <v>605.8442</v>
      </c>
      <c r="D5476" s="2">
        <f>HYPERLINK("http://mcb-m6.bioreg.kyushu-u.ac.jp/M3/20110411/F50914/1488/1", 79.21)</f>
        <v>79.209999999999994</v>
      </c>
      <c r="E5476" s="2">
        <v>58.42</v>
      </c>
      <c r="F5476" s="2">
        <v>2</v>
      </c>
      <c r="G5476" s="2" t="s">
        <v>10</v>
      </c>
      <c r="I5476" s="2" t="s">
        <v>4892</v>
      </c>
    </row>
    <row r="5477" spans="1:9" x14ac:dyDescent="0.2">
      <c r="A5477" s="2" t="s">
        <v>3723</v>
      </c>
      <c r="B5477" s="2" t="s">
        <v>718</v>
      </c>
      <c r="C5477" s="2">
        <v>669.93769999999995</v>
      </c>
      <c r="D5477" s="2">
        <f>HYPERLINK("http://mcb-m6.bioreg.kyushu-u.ac.jp/M3/20110414/F50942/1516/1", 42.35)</f>
        <v>42.35</v>
      </c>
      <c r="E5477" s="2">
        <v>14.55</v>
      </c>
      <c r="F5477" s="2">
        <v>2</v>
      </c>
      <c r="G5477" s="2" t="s">
        <v>11</v>
      </c>
      <c r="I5477" s="2" t="s">
        <v>4892</v>
      </c>
    </row>
    <row r="5478" spans="1:9" x14ac:dyDescent="0.2">
      <c r="A5478" s="2" t="s">
        <v>3723</v>
      </c>
      <c r="B5478" s="2" t="s">
        <v>2021</v>
      </c>
      <c r="C5478" s="2">
        <v>605.72860000000003</v>
      </c>
      <c r="D5478" s="2">
        <f>HYPERLINK("http://mcb-m6.bioreg.kyushu-u.ac.jp/M3/20110414/F50941/1355/1", 46.25)</f>
        <v>46.25</v>
      </c>
      <c r="E5478" s="2">
        <v>32.96</v>
      </c>
      <c r="F5478" s="2">
        <v>2</v>
      </c>
      <c r="G5478" s="2" t="s">
        <v>11</v>
      </c>
      <c r="I5478" s="2" t="s">
        <v>4892</v>
      </c>
    </row>
    <row r="5479" spans="1:9" x14ac:dyDescent="0.2">
      <c r="A5479" s="2" t="s">
        <v>3723</v>
      </c>
      <c r="B5479" s="2" t="s">
        <v>2021</v>
      </c>
      <c r="C5479" s="2">
        <v>606.28369999999995</v>
      </c>
      <c r="D5479" s="2">
        <f>HYPERLINK("http://mcb-m6.bioreg.kyushu-u.ac.jp/M3/20110414/F50942/1232/1", 48.35)</f>
        <v>48.35</v>
      </c>
      <c r="E5479" s="2">
        <v>36.200000000000003</v>
      </c>
      <c r="F5479" s="2">
        <v>2</v>
      </c>
      <c r="G5479" s="2" t="s">
        <v>11</v>
      </c>
      <c r="I5479" s="2" t="s">
        <v>4892</v>
      </c>
    </row>
    <row r="5480" spans="1:9" x14ac:dyDescent="0.2">
      <c r="A5480" s="2" t="s">
        <v>3723</v>
      </c>
      <c r="B5480" s="2" t="s">
        <v>2021</v>
      </c>
      <c r="C5480" s="2">
        <v>605.7722</v>
      </c>
      <c r="D5480" s="2">
        <f>HYPERLINK("http://mcb-m6.bioreg.kyushu-u.ac.jp/M3/20110414/F50942/1227/1", 48.87)</f>
        <v>48.87</v>
      </c>
      <c r="E5480" s="2">
        <v>28.46</v>
      </c>
      <c r="F5480" s="2">
        <v>2</v>
      </c>
      <c r="G5480" s="2" t="s">
        <v>11</v>
      </c>
      <c r="I5480" s="2" t="s">
        <v>4892</v>
      </c>
    </row>
    <row r="5481" spans="1:9" x14ac:dyDescent="0.2">
      <c r="A5481" s="2" t="s">
        <v>3723</v>
      </c>
      <c r="B5481" s="2" t="s">
        <v>718</v>
      </c>
      <c r="C5481" s="2">
        <v>669.80520000000001</v>
      </c>
      <c r="D5481" s="2">
        <f>HYPERLINK("http://mcb-m6.bioreg.kyushu-u.ac.jp/M3/20110414/F50948/1612/1", 42.81)</f>
        <v>42.81</v>
      </c>
      <c r="E5481" s="2">
        <v>22.55</v>
      </c>
      <c r="F5481" s="2">
        <v>2</v>
      </c>
      <c r="G5481" s="2" t="s">
        <v>12</v>
      </c>
      <c r="I5481" s="2" t="s">
        <v>4892</v>
      </c>
    </row>
    <row r="5482" spans="1:9" x14ac:dyDescent="0.2">
      <c r="A5482" s="2" t="s">
        <v>3723</v>
      </c>
      <c r="B5482" s="2" t="s">
        <v>2021</v>
      </c>
      <c r="C5482" s="2">
        <v>606.29470000000003</v>
      </c>
      <c r="D5482" s="2">
        <f>HYPERLINK("http://mcb-m6.bioreg.kyushu-u.ac.jp/M3/20110414/F50947/1201/1", 71.2)</f>
        <v>71.2</v>
      </c>
      <c r="E5482" s="2">
        <v>47.95</v>
      </c>
      <c r="F5482" s="2">
        <v>2</v>
      </c>
      <c r="G5482" s="2" t="s">
        <v>12</v>
      </c>
      <c r="I5482" s="2" t="s">
        <v>4892</v>
      </c>
    </row>
    <row r="5483" spans="1:9" x14ac:dyDescent="0.2">
      <c r="A5483" s="2" t="s">
        <v>3723</v>
      </c>
      <c r="B5483" s="2" t="s">
        <v>2021</v>
      </c>
      <c r="C5483" s="2">
        <v>605.59619999999995</v>
      </c>
      <c r="D5483" s="2">
        <f>HYPERLINK("http://mcb-m6.bioreg.kyushu-u.ac.jp/M3/20110414/F50948/1269/1", 75.19)</f>
        <v>75.19</v>
      </c>
      <c r="E5483" s="2">
        <v>52.3</v>
      </c>
      <c r="F5483" s="2">
        <v>2</v>
      </c>
      <c r="G5483" s="2" t="s">
        <v>12</v>
      </c>
      <c r="I5483" s="2" t="s">
        <v>4892</v>
      </c>
    </row>
    <row r="5484" spans="1:9" x14ac:dyDescent="0.2">
      <c r="A5484" s="2" t="s">
        <v>3723</v>
      </c>
      <c r="B5484" s="2" t="s">
        <v>718</v>
      </c>
      <c r="C5484" s="2">
        <v>670.31269999999995</v>
      </c>
      <c r="D5484" s="2">
        <f>HYPERLINK("http://mcb-m6.bioreg.kyushu-u.ac.jp/M3/20110414/F50948/1615/1", 78.76)</f>
        <v>78.760000000000005</v>
      </c>
      <c r="E5484" s="2">
        <v>54.32</v>
      </c>
      <c r="F5484" s="2">
        <v>2</v>
      </c>
      <c r="G5484" s="2" t="s">
        <v>12</v>
      </c>
      <c r="I5484" s="2" t="s">
        <v>4892</v>
      </c>
    </row>
    <row r="5485" spans="1:9" x14ac:dyDescent="0.2">
      <c r="A5485" s="2" t="s">
        <v>3723</v>
      </c>
      <c r="B5485" s="2" t="s">
        <v>2021</v>
      </c>
      <c r="C5485" s="2">
        <v>605.95169999999996</v>
      </c>
      <c r="D5485" s="2">
        <f>HYPERLINK("http://mcb-m6.bioreg.kyushu-u.ac.jp/M3/20110502/F51171/1475/1", 43.91)</f>
        <v>43.91</v>
      </c>
      <c r="E5485" s="2">
        <v>28.14</v>
      </c>
      <c r="F5485" s="2">
        <v>2</v>
      </c>
      <c r="G5485" s="2" t="s">
        <v>13</v>
      </c>
      <c r="I5485" s="2" t="s">
        <v>4892</v>
      </c>
    </row>
    <row r="5486" spans="1:9" x14ac:dyDescent="0.2">
      <c r="A5486" s="2" t="s">
        <v>3723</v>
      </c>
      <c r="B5486" s="2" t="s">
        <v>2021</v>
      </c>
      <c r="C5486" s="2">
        <v>605.85059999999999</v>
      </c>
      <c r="D5486" s="2">
        <f>HYPERLINK("http://mcb-m6.bioreg.kyushu-u.ac.jp/M3/20110502/F51170/1460/1", 62.22)</f>
        <v>62.22</v>
      </c>
      <c r="E5486" s="2">
        <v>39.35</v>
      </c>
      <c r="F5486" s="2">
        <v>2</v>
      </c>
      <c r="G5486" s="2" t="s">
        <v>13</v>
      </c>
      <c r="I5486" s="2" t="s">
        <v>4892</v>
      </c>
    </row>
    <row r="5487" spans="1:9" x14ac:dyDescent="0.2">
      <c r="A5487" s="2" t="s">
        <v>3723</v>
      </c>
      <c r="B5487" s="2" t="s">
        <v>2021</v>
      </c>
      <c r="C5487" s="2">
        <v>606.15719999999999</v>
      </c>
      <c r="D5487" s="2">
        <f>HYPERLINK("http://mcb-m6.bioreg.kyushu-u.ac.jp/M3/20110502/F51183/1221/1", 42.1)</f>
        <v>42.1</v>
      </c>
      <c r="E5487" s="2">
        <v>22.05</v>
      </c>
      <c r="F5487" s="2">
        <v>2</v>
      </c>
      <c r="G5487" s="2" t="s">
        <v>14</v>
      </c>
      <c r="I5487" s="2" t="s">
        <v>4892</v>
      </c>
    </row>
    <row r="5488" spans="1:9" x14ac:dyDescent="0.2">
      <c r="A5488" s="2" t="s">
        <v>3723</v>
      </c>
      <c r="B5488" s="2" t="s">
        <v>718</v>
      </c>
      <c r="C5488" s="2">
        <v>670.05970000000002</v>
      </c>
      <c r="D5488" s="2">
        <f>HYPERLINK("http://mcb-m6.bioreg.kyushu-u.ac.jp/M3/20110502/F51179/1358/1", 49.51)</f>
        <v>49.51</v>
      </c>
      <c r="E5488" s="2">
        <v>31.21</v>
      </c>
      <c r="F5488" s="2">
        <v>2</v>
      </c>
      <c r="G5488" s="2" t="s">
        <v>14</v>
      </c>
      <c r="I5488" s="2" t="s">
        <v>4892</v>
      </c>
    </row>
    <row r="5489" spans="1:9" x14ac:dyDescent="0.2">
      <c r="A5489" s="2" t="s">
        <v>3723</v>
      </c>
      <c r="B5489" s="2" t="s">
        <v>718</v>
      </c>
      <c r="C5489" s="2">
        <v>670.28520000000003</v>
      </c>
      <c r="D5489" s="2">
        <f>HYPERLINK("http://mcb-m6.bioreg.kyushu-u.ac.jp/M3/20110502/F51183/1477/1", 52.14)</f>
        <v>52.14</v>
      </c>
      <c r="E5489" s="2">
        <v>28.9</v>
      </c>
      <c r="F5489" s="2">
        <v>2</v>
      </c>
      <c r="G5489" s="2" t="s">
        <v>14</v>
      </c>
      <c r="I5489" s="2" t="s">
        <v>4892</v>
      </c>
    </row>
    <row r="5490" spans="1:9" x14ac:dyDescent="0.2">
      <c r="A5490" s="2" t="s">
        <v>3723</v>
      </c>
      <c r="B5490" s="2" t="s">
        <v>2021</v>
      </c>
      <c r="C5490" s="2">
        <v>606.01170000000002</v>
      </c>
      <c r="D5490" s="2">
        <f>HYPERLINK("http://mcb-m6.bioreg.kyushu-u.ac.jp/M3/20110502/F51179/1085/1", 62.95)</f>
        <v>62.95</v>
      </c>
      <c r="E5490" s="2">
        <v>33.270000000000003</v>
      </c>
      <c r="F5490" s="2">
        <v>2</v>
      </c>
      <c r="G5490" s="2" t="s">
        <v>14</v>
      </c>
      <c r="I5490" s="2" t="s">
        <v>4892</v>
      </c>
    </row>
    <row r="5491" spans="1:9" x14ac:dyDescent="0.2">
      <c r="A5491" s="2" t="s">
        <v>4410</v>
      </c>
      <c r="B5491" s="2" t="s">
        <v>2263</v>
      </c>
      <c r="C5491" s="2">
        <v>617.30020000000002</v>
      </c>
      <c r="D5491" s="2">
        <f>HYPERLINK("http://mcb-m6.bioreg.kyushu-u.ac.jp/M3/20110414/F50943/1300/1", 40.77)</f>
        <v>40.770000000000003</v>
      </c>
      <c r="E5491" s="2">
        <v>10.1</v>
      </c>
      <c r="F5491" s="2">
        <v>2</v>
      </c>
      <c r="G5491" s="2" t="s">
        <v>11</v>
      </c>
    </row>
    <row r="5492" spans="1:9" x14ac:dyDescent="0.2">
      <c r="A5492" s="2" t="s">
        <v>4410</v>
      </c>
      <c r="B5492" s="2" t="s">
        <v>2460</v>
      </c>
      <c r="C5492" s="2">
        <v>765.45010000000002</v>
      </c>
      <c r="D5492" s="2">
        <f>HYPERLINK("http://mcb-m6.bioreg.kyushu-u.ac.jp/M3/20110414/F50943/2040/1", 70.68)</f>
        <v>70.680000000000007</v>
      </c>
      <c r="E5492" s="2">
        <v>49.09</v>
      </c>
      <c r="F5492" s="2">
        <v>2</v>
      </c>
      <c r="G5492" s="2" t="s">
        <v>11</v>
      </c>
    </row>
    <row r="5493" spans="1:9" x14ac:dyDescent="0.2">
      <c r="A5493" s="2" t="s">
        <v>3702</v>
      </c>
      <c r="B5493" s="2" t="s">
        <v>681</v>
      </c>
      <c r="C5493" s="2">
        <v>484.21109999999999</v>
      </c>
      <c r="D5493" s="2">
        <f>HYPERLINK("http://mcb-m6.bioreg.kyushu-u.ac.jp/M3/20110411/F50890/1058/1", 48.11)</f>
        <v>48.11</v>
      </c>
      <c r="E5493" s="2">
        <v>19.72</v>
      </c>
      <c r="F5493" s="2">
        <v>2</v>
      </c>
      <c r="G5493" s="2" t="s">
        <v>9</v>
      </c>
    </row>
    <row r="5494" spans="1:9" x14ac:dyDescent="0.2">
      <c r="A5494" s="2" t="s">
        <v>3702</v>
      </c>
      <c r="B5494" s="2" t="s">
        <v>681</v>
      </c>
      <c r="C5494" s="2">
        <v>483.80610000000001</v>
      </c>
      <c r="D5494" s="2">
        <f>HYPERLINK("http://mcb-m6.bioreg.kyushu-u.ac.jp/M3/20110411/F50897/930/1", 52.58)</f>
        <v>52.58</v>
      </c>
      <c r="E5494" s="2">
        <v>21.14</v>
      </c>
      <c r="F5494" s="2">
        <v>2</v>
      </c>
      <c r="G5494" s="2" t="s">
        <v>10</v>
      </c>
    </row>
    <row r="5495" spans="1:9" x14ac:dyDescent="0.2">
      <c r="A5495" s="2" t="s">
        <v>3702</v>
      </c>
      <c r="B5495" s="2" t="s">
        <v>681</v>
      </c>
      <c r="C5495" s="2">
        <v>483.44159999999999</v>
      </c>
      <c r="D5495" s="2">
        <f>HYPERLINK("http://mcb-m6.bioreg.kyushu-u.ac.jp/M3/20110414/F50927/1265/1", 44.71)</f>
        <v>44.71</v>
      </c>
      <c r="E5495" s="2">
        <v>13.48</v>
      </c>
      <c r="F5495" s="2">
        <v>2</v>
      </c>
      <c r="G5495" s="2" t="s">
        <v>11</v>
      </c>
    </row>
    <row r="5496" spans="1:9" x14ac:dyDescent="0.2">
      <c r="A5496" s="2" t="s">
        <v>3702</v>
      </c>
      <c r="B5496" s="2" t="s">
        <v>681</v>
      </c>
      <c r="C5496" s="2">
        <v>484.18610000000001</v>
      </c>
      <c r="D5496" s="2">
        <f>HYPERLINK("http://mcb-m6.bioreg.kyushu-u.ac.jp/M3/20110414/F50932/1658/1", 58.13)</f>
        <v>58.13</v>
      </c>
      <c r="E5496" s="2">
        <v>30.45</v>
      </c>
      <c r="F5496" s="2">
        <v>2</v>
      </c>
      <c r="G5496" s="2" t="s">
        <v>12</v>
      </c>
    </row>
    <row r="5497" spans="1:9" x14ac:dyDescent="0.2">
      <c r="A5497" s="2" t="s">
        <v>3702</v>
      </c>
      <c r="B5497" s="2" t="s">
        <v>681</v>
      </c>
      <c r="C5497" s="2">
        <v>484.08859999999999</v>
      </c>
      <c r="D5497" s="2">
        <f>HYPERLINK("http://mcb-m6.bioreg.kyushu-u.ac.jp/M3/20110502/F51168/1107/1", 45.93)</f>
        <v>45.93</v>
      </c>
      <c r="E5497" s="2">
        <v>18.7</v>
      </c>
      <c r="F5497" s="2">
        <v>2</v>
      </c>
      <c r="G5497" s="2" t="s">
        <v>13</v>
      </c>
    </row>
    <row r="5498" spans="1:9" x14ac:dyDescent="0.2">
      <c r="A5498" s="2" t="s">
        <v>3339</v>
      </c>
      <c r="B5498" s="2" t="s">
        <v>127</v>
      </c>
      <c r="C5498" s="2">
        <v>607.76419999999996</v>
      </c>
      <c r="D5498" s="2">
        <f>HYPERLINK("http://mcb-m6.bioreg.kyushu-u.ac.jp/M3/20110411/F50890/1550/1", 36.46)</f>
        <v>36.46</v>
      </c>
      <c r="E5498" s="2">
        <v>21.51</v>
      </c>
      <c r="F5498" s="2">
        <v>2</v>
      </c>
      <c r="G5498" s="2" t="s">
        <v>9</v>
      </c>
    </row>
    <row r="5499" spans="1:9" x14ac:dyDescent="0.2">
      <c r="A5499" s="2" t="s">
        <v>3339</v>
      </c>
      <c r="B5499" s="2" t="s">
        <v>127</v>
      </c>
      <c r="C5499" s="2">
        <v>608.40009999999995</v>
      </c>
      <c r="D5499" s="2">
        <f>HYPERLINK("http://mcb-m6.bioreg.kyushu-u.ac.jp/M3/20110411/F50897/1377/1", 46.81)</f>
        <v>46.81</v>
      </c>
      <c r="E5499" s="2">
        <v>25.77</v>
      </c>
      <c r="F5499" s="2">
        <v>2</v>
      </c>
      <c r="G5499" s="2" t="s">
        <v>10</v>
      </c>
    </row>
    <row r="5500" spans="1:9" x14ac:dyDescent="0.2">
      <c r="A5500" s="2" t="s">
        <v>3339</v>
      </c>
      <c r="B5500" s="2" t="s">
        <v>2614</v>
      </c>
      <c r="C5500" s="2">
        <v>1015.573</v>
      </c>
      <c r="D5500" s="2">
        <f>HYPERLINK("http://mcb-m6.bioreg.kyushu-u.ac.jp/M3/20110414/F50932/1745/1", 43)</f>
        <v>43</v>
      </c>
      <c r="E5500" s="2">
        <v>26.35</v>
      </c>
      <c r="F5500" s="2">
        <v>1</v>
      </c>
      <c r="G5500" s="2" t="s">
        <v>12</v>
      </c>
    </row>
    <row r="5501" spans="1:9" x14ac:dyDescent="0.2">
      <c r="A5501" s="2" t="s">
        <v>3339</v>
      </c>
      <c r="B5501" s="2" t="s">
        <v>2614</v>
      </c>
      <c r="C5501" s="2">
        <v>1016.716</v>
      </c>
      <c r="D5501" s="2">
        <f>HYPERLINK("http://mcb-m6.bioreg.kyushu-u.ac.jp/M3/20110502/F51177/678/1", 38.03)</f>
        <v>38.03</v>
      </c>
      <c r="E5501" s="2">
        <v>9.34</v>
      </c>
      <c r="F5501" s="2">
        <v>1</v>
      </c>
      <c r="G5501" s="2" t="s">
        <v>14</v>
      </c>
    </row>
    <row r="5502" spans="1:9" x14ac:dyDescent="0.2">
      <c r="A5502" s="2" t="s">
        <v>3339</v>
      </c>
      <c r="B5502" s="2" t="s">
        <v>127</v>
      </c>
      <c r="C5502" s="2">
        <v>608.26170000000002</v>
      </c>
      <c r="D5502" s="2">
        <f>HYPERLINK("http://mcb-m6.bioreg.kyushu-u.ac.jp/M3/20110502/F51177/1135/1", 51.83)</f>
        <v>51.83</v>
      </c>
      <c r="E5502" s="2">
        <v>31.34</v>
      </c>
      <c r="F5502" s="2">
        <v>2</v>
      </c>
      <c r="G5502" s="2" t="s">
        <v>14</v>
      </c>
    </row>
    <row r="5503" spans="1:9" x14ac:dyDescent="0.2">
      <c r="A5503" s="2" t="s">
        <v>4691</v>
      </c>
      <c r="B5503" s="2" t="s">
        <v>2865</v>
      </c>
      <c r="C5503" s="2">
        <v>546.58259999999996</v>
      </c>
      <c r="D5503" s="2">
        <f>HYPERLINK("http://mcb-m6.bioreg.kyushu-u.ac.jp/M3/20110502/F51172/971/1", 40.1)</f>
        <v>40.1</v>
      </c>
      <c r="E5503" s="2">
        <v>14.91</v>
      </c>
      <c r="F5503" s="2">
        <v>2</v>
      </c>
      <c r="G5503" s="2" t="s">
        <v>13</v>
      </c>
    </row>
    <row r="5504" spans="1:9" x14ac:dyDescent="0.2">
      <c r="A5504" s="2" t="s">
        <v>4691</v>
      </c>
      <c r="B5504" s="2" t="s">
        <v>2865</v>
      </c>
      <c r="C5504" s="2">
        <v>547.02869999999996</v>
      </c>
      <c r="D5504" s="2">
        <f>HYPERLINK("http://mcb-m6.bioreg.kyushu-u.ac.jp/M3/20110502/F51182/896/1", 40.83)</f>
        <v>40.83</v>
      </c>
      <c r="E5504" s="2">
        <v>19.739999999999998</v>
      </c>
      <c r="F5504" s="2">
        <v>2</v>
      </c>
      <c r="G5504" s="2" t="s">
        <v>14</v>
      </c>
    </row>
    <row r="5505" spans="1:9" x14ac:dyDescent="0.2">
      <c r="A5505" s="2" t="s">
        <v>4542</v>
      </c>
      <c r="B5505" s="2" t="s">
        <v>2570</v>
      </c>
      <c r="C5505" s="2">
        <v>786.89509999999996</v>
      </c>
      <c r="D5505" s="2">
        <f>HYPERLINK("http://mcb-m6.bioreg.kyushu-u.ac.jp/M3/20110414/F50947/2321/1", 38.32)</f>
        <v>38.32</v>
      </c>
      <c r="E5505" s="2">
        <v>26.93</v>
      </c>
      <c r="F5505" s="2">
        <v>2</v>
      </c>
      <c r="G5505" s="2" t="s">
        <v>12</v>
      </c>
    </row>
    <row r="5506" spans="1:9" x14ac:dyDescent="0.2">
      <c r="A5506" s="2" t="s">
        <v>4501</v>
      </c>
      <c r="B5506" s="2" t="s">
        <v>2485</v>
      </c>
      <c r="C5506" s="2">
        <v>783.88869999999997</v>
      </c>
      <c r="D5506" s="2">
        <f>HYPERLINK("http://mcb-m6.bioreg.kyushu-u.ac.jp/M3/20110414/F50941/2346/1", 78.87)</f>
        <v>78.87</v>
      </c>
      <c r="E5506" s="2">
        <v>69.540000000000006</v>
      </c>
      <c r="F5506" s="2">
        <v>2</v>
      </c>
      <c r="G5506" s="2" t="s">
        <v>11</v>
      </c>
      <c r="I5506" s="2" t="s">
        <v>4909</v>
      </c>
    </row>
    <row r="5507" spans="1:9" x14ac:dyDescent="0.2">
      <c r="A5507" s="2" t="s">
        <v>4501</v>
      </c>
      <c r="B5507" s="2" t="s">
        <v>2485</v>
      </c>
      <c r="C5507" s="2">
        <v>783.86609999999996</v>
      </c>
      <c r="D5507" s="2">
        <f>HYPERLINK("http://mcb-m6.bioreg.kyushu-u.ac.jp/M3/20110414/F50947/2302/1", 38.22)</f>
        <v>38.22</v>
      </c>
      <c r="E5507" s="2">
        <v>10.27</v>
      </c>
      <c r="F5507" s="2">
        <v>2</v>
      </c>
      <c r="G5507" s="2" t="s">
        <v>12</v>
      </c>
      <c r="I5507" s="2" t="s">
        <v>4909</v>
      </c>
    </row>
    <row r="5508" spans="1:9" x14ac:dyDescent="0.2">
      <c r="A5508" s="2" t="s">
        <v>4552</v>
      </c>
      <c r="B5508" s="2" t="s">
        <v>2583</v>
      </c>
      <c r="C5508" s="2">
        <v>844.31320000000005</v>
      </c>
      <c r="D5508" s="2">
        <f>HYPERLINK("http://mcb-m6.bioreg.kyushu-u.ac.jp/M3/20110414/F50958/2729/1", 39.63)</f>
        <v>39.630000000000003</v>
      </c>
      <c r="E5508" s="2">
        <v>12.55</v>
      </c>
      <c r="F5508" s="2">
        <v>2</v>
      </c>
      <c r="G5508" s="2" t="s">
        <v>12</v>
      </c>
    </row>
    <row r="5509" spans="1:9" x14ac:dyDescent="0.2">
      <c r="A5509" s="2" t="s">
        <v>4552</v>
      </c>
      <c r="B5509" s="2" t="s">
        <v>2611</v>
      </c>
      <c r="C5509" s="2">
        <v>700.37459999999999</v>
      </c>
      <c r="D5509" s="2">
        <f>HYPERLINK("http://mcb-m6.bioreg.kyushu-u.ac.jp/M3/20110414/F50958/1715/1", 42.91)</f>
        <v>42.91</v>
      </c>
      <c r="E5509" s="2">
        <v>28.39</v>
      </c>
      <c r="F5509" s="2">
        <v>2</v>
      </c>
      <c r="G5509" s="2" t="s">
        <v>12</v>
      </c>
    </row>
    <row r="5510" spans="1:9" x14ac:dyDescent="0.2">
      <c r="A5510" s="2" t="s">
        <v>3916</v>
      </c>
      <c r="B5510" s="2" t="s">
        <v>1090</v>
      </c>
      <c r="C5510" s="2">
        <v>570.3827</v>
      </c>
      <c r="D5510" s="2">
        <f>HYPERLINK("http://mcb-m6.bioreg.kyushu-u.ac.jp/M3/20110411/F50892/1533/1", 62.39)</f>
        <v>62.39</v>
      </c>
      <c r="E5510" s="2">
        <v>43.99</v>
      </c>
      <c r="F5510" s="2">
        <v>2</v>
      </c>
      <c r="G5510" s="2" t="s">
        <v>9</v>
      </c>
    </row>
    <row r="5511" spans="1:9" x14ac:dyDescent="0.2">
      <c r="A5511" s="2" t="s">
        <v>3916</v>
      </c>
      <c r="B5511" s="2" t="s">
        <v>1249</v>
      </c>
      <c r="C5511" s="2">
        <v>1113.636</v>
      </c>
      <c r="D5511" s="2">
        <f>HYPERLINK("http://mcb-m6.bioreg.kyushu-u.ac.jp/M3/20110411/F50892/3400/1", 69.04)</f>
        <v>69.040000000000006</v>
      </c>
      <c r="E5511" s="2">
        <v>57.29</v>
      </c>
      <c r="F5511" s="2">
        <v>2</v>
      </c>
      <c r="G5511" s="2" t="s">
        <v>9</v>
      </c>
    </row>
    <row r="5512" spans="1:9" x14ac:dyDescent="0.2">
      <c r="A5512" s="2" t="s">
        <v>3916</v>
      </c>
      <c r="B5512" s="2" t="s">
        <v>1249</v>
      </c>
      <c r="C5512" s="2">
        <v>1122.518</v>
      </c>
      <c r="D5512" s="2">
        <f>HYPERLINK("http://mcb-m6.bioreg.kyushu-u.ac.jp/M3/20110411/F50892/3434/1", 104.46)</f>
        <v>104.46</v>
      </c>
      <c r="E5512" s="2">
        <v>84.23</v>
      </c>
      <c r="F5512" s="2">
        <v>2</v>
      </c>
      <c r="G5512" s="2" t="s">
        <v>9</v>
      </c>
      <c r="H5512" s="2" t="s">
        <v>4908</v>
      </c>
    </row>
    <row r="5513" spans="1:9" x14ac:dyDescent="0.2">
      <c r="A5513" s="2" t="s">
        <v>3916</v>
      </c>
      <c r="B5513" s="2" t="s">
        <v>1249</v>
      </c>
      <c r="C5513" s="2">
        <v>1121.9960000000001</v>
      </c>
      <c r="D5513" s="2">
        <f>HYPERLINK("http://mcb-m6.bioreg.kyushu-u.ac.jp/M3/20110411/F50892/3431/1", 117.3)</f>
        <v>117.3</v>
      </c>
      <c r="E5513" s="2">
        <v>105.5</v>
      </c>
      <c r="F5513" s="2">
        <v>2</v>
      </c>
      <c r="G5513" s="2" t="s">
        <v>9</v>
      </c>
      <c r="H5513" s="2" t="s">
        <v>4908</v>
      </c>
    </row>
    <row r="5514" spans="1:9" x14ac:dyDescent="0.2">
      <c r="A5514" s="2" t="s">
        <v>3916</v>
      </c>
      <c r="B5514" s="2" t="s">
        <v>1249</v>
      </c>
      <c r="C5514" s="2">
        <v>1122.3879999999999</v>
      </c>
      <c r="D5514" s="2">
        <f>HYPERLINK("http://mcb-m6.bioreg.kyushu-u.ac.jp/M3/20110414/F50945/3500/1", 81.75)</f>
        <v>81.75</v>
      </c>
      <c r="E5514" s="2">
        <v>71.81</v>
      </c>
      <c r="F5514" s="2">
        <v>2</v>
      </c>
      <c r="G5514" s="2" t="s">
        <v>11</v>
      </c>
      <c r="H5514" s="2" t="s">
        <v>4908</v>
      </c>
    </row>
    <row r="5515" spans="1:9" x14ac:dyDescent="0.2">
      <c r="A5515" s="2" t="s">
        <v>3916</v>
      </c>
      <c r="B5515" s="2" t="s">
        <v>1249</v>
      </c>
      <c r="C5515" s="2">
        <v>1114.279</v>
      </c>
      <c r="D5515" s="2">
        <f>HYPERLINK("http://mcb-m6.bioreg.kyushu-u.ac.jp/M3/20110502/F51182/3509/1", 71.88)</f>
        <v>71.88</v>
      </c>
      <c r="E5515" s="2">
        <v>56.87</v>
      </c>
      <c r="F5515" s="2">
        <v>2</v>
      </c>
      <c r="G5515" s="2" t="s">
        <v>14</v>
      </c>
    </row>
    <row r="5516" spans="1:9" x14ac:dyDescent="0.2">
      <c r="A5516" s="2" t="s">
        <v>3999</v>
      </c>
      <c r="B5516" s="2" t="s">
        <v>1288</v>
      </c>
      <c r="C5516" s="2">
        <v>784.98419999999999</v>
      </c>
      <c r="D5516" s="2">
        <f>HYPERLINK("http://mcb-m6.bioreg.kyushu-u.ac.jp/M3/20110411/F50892/2421/1", 70.77)</f>
        <v>70.77</v>
      </c>
      <c r="E5516" s="2">
        <v>42.82</v>
      </c>
      <c r="F5516" s="2">
        <v>2</v>
      </c>
      <c r="G5516" s="2" t="s">
        <v>9</v>
      </c>
    </row>
    <row r="5517" spans="1:9" x14ac:dyDescent="0.2">
      <c r="A5517" s="2" t="s">
        <v>3999</v>
      </c>
      <c r="B5517" s="2" t="s">
        <v>1288</v>
      </c>
      <c r="C5517" s="2">
        <v>785.31920000000002</v>
      </c>
      <c r="D5517" s="2">
        <f>HYPERLINK("http://mcb-m6.bioreg.kyushu-u.ac.jp/M3/20110414/F50929/2475/1", 52.69)</f>
        <v>52.69</v>
      </c>
      <c r="E5517" s="2">
        <v>32.69</v>
      </c>
      <c r="F5517" s="2">
        <v>2</v>
      </c>
      <c r="G5517" s="2" t="s">
        <v>11</v>
      </c>
    </row>
    <row r="5518" spans="1:9" x14ac:dyDescent="0.2">
      <c r="A5518" s="2" t="s">
        <v>3999</v>
      </c>
      <c r="B5518" s="2" t="s">
        <v>1288</v>
      </c>
      <c r="C5518" s="2">
        <v>785.0317</v>
      </c>
      <c r="D5518" s="2">
        <f>HYPERLINK("http://mcb-m6.bioreg.kyushu-u.ac.jp/M3/20110414/F50945/2337/1", 66.91)</f>
        <v>66.91</v>
      </c>
      <c r="E5518" s="2">
        <v>44.25</v>
      </c>
      <c r="F5518" s="2">
        <v>2</v>
      </c>
      <c r="G5518" s="2" t="s">
        <v>11</v>
      </c>
    </row>
    <row r="5519" spans="1:9" x14ac:dyDescent="0.2">
      <c r="A5519" s="2" t="s">
        <v>3999</v>
      </c>
      <c r="B5519" s="2" t="s">
        <v>1288</v>
      </c>
      <c r="C5519" s="2">
        <v>784.71720000000005</v>
      </c>
      <c r="D5519" s="2">
        <f>HYPERLINK("http://mcb-m6.bioreg.kyushu-u.ac.jp/M3/20110414/F50929/2469/1", 74.28)</f>
        <v>74.28</v>
      </c>
      <c r="E5519" s="2">
        <v>53.21</v>
      </c>
      <c r="F5519" s="2">
        <v>2</v>
      </c>
      <c r="G5519" s="2" t="s">
        <v>11</v>
      </c>
    </row>
    <row r="5520" spans="1:9" x14ac:dyDescent="0.2">
      <c r="A5520" s="2" t="s">
        <v>3999</v>
      </c>
      <c r="B5520" s="2" t="s">
        <v>1288</v>
      </c>
      <c r="C5520" s="2">
        <v>784.88710000000003</v>
      </c>
      <c r="D5520" s="2">
        <f>HYPERLINK("http://mcb-m6.bioreg.kyushu-u.ac.jp/M3/20110414/F50946/2291/1", 75.9)</f>
        <v>75.900000000000006</v>
      </c>
      <c r="E5520" s="2">
        <v>54.98</v>
      </c>
      <c r="F5520" s="2">
        <v>2</v>
      </c>
      <c r="G5520" s="2" t="s">
        <v>12</v>
      </c>
    </row>
    <row r="5521" spans="1:9" x14ac:dyDescent="0.2">
      <c r="A5521" s="2" t="s">
        <v>3999</v>
      </c>
      <c r="B5521" s="2" t="s">
        <v>1288</v>
      </c>
      <c r="C5521" s="2">
        <v>785.18370000000004</v>
      </c>
      <c r="D5521" s="2">
        <f>HYPERLINK("http://mcb-m6.bioreg.kyushu-u.ac.jp/M3/20110502/F51180/2129/1", 77.96)</f>
        <v>77.959999999999994</v>
      </c>
      <c r="E5521" s="2">
        <v>49.37</v>
      </c>
      <c r="F5521" s="2">
        <v>2</v>
      </c>
      <c r="G5521" s="2" t="s">
        <v>13</v>
      </c>
    </row>
    <row r="5522" spans="1:9" x14ac:dyDescent="0.2">
      <c r="A5522" s="2" t="s">
        <v>3999</v>
      </c>
      <c r="B5522" s="2" t="s">
        <v>1288</v>
      </c>
      <c r="C5522" s="2">
        <v>785.30619999999999</v>
      </c>
      <c r="D5522" s="2">
        <f>HYPERLINK("http://mcb-m6.bioreg.kyushu-u.ac.jp/M3/20110502/F51182/2227/1", 66.83)</f>
        <v>66.83</v>
      </c>
      <c r="E5522" s="2">
        <v>39.450000000000003</v>
      </c>
      <c r="F5522" s="2">
        <v>2</v>
      </c>
      <c r="G5522" s="2" t="s">
        <v>14</v>
      </c>
    </row>
    <row r="5523" spans="1:9" x14ac:dyDescent="0.2">
      <c r="A5523" s="2" t="s">
        <v>4002</v>
      </c>
      <c r="B5523" s="2" t="s">
        <v>1293</v>
      </c>
      <c r="C5523" s="2">
        <v>566.15309999999999</v>
      </c>
      <c r="D5523" s="2">
        <f>HYPERLINK("http://mcb-m6.bioreg.kyushu-u.ac.jp/M3/20110411/F50892/1521/1", 71.09)</f>
        <v>71.09</v>
      </c>
      <c r="E5523" s="2">
        <v>42.94</v>
      </c>
      <c r="F5523" s="2">
        <v>2</v>
      </c>
      <c r="G5523" s="2" t="s">
        <v>9</v>
      </c>
    </row>
    <row r="5524" spans="1:9" x14ac:dyDescent="0.2">
      <c r="A5524" s="2" t="s">
        <v>4002</v>
      </c>
      <c r="B5524" s="2" t="s">
        <v>2050</v>
      </c>
      <c r="C5524" s="2">
        <v>466.28910000000002</v>
      </c>
      <c r="D5524" s="2">
        <f>HYPERLINK("http://mcb-m6.bioreg.kyushu-u.ac.jp/M3/20110411/F50899/1425/1", 69.23)</f>
        <v>69.23</v>
      </c>
      <c r="E5524" s="2">
        <v>38.47</v>
      </c>
      <c r="F5524" s="2">
        <v>2</v>
      </c>
      <c r="G5524" s="2" t="s">
        <v>10</v>
      </c>
    </row>
    <row r="5525" spans="1:9" x14ac:dyDescent="0.2">
      <c r="A5525" s="2" t="s">
        <v>4002</v>
      </c>
      <c r="B5525" s="2" t="s">
        <v>2050</v>
      </c>
      <c r="C5525" s="2">
        <v>466.82960000000003</v>
      </c>
      <c r="D5525" s="2">
        <f>HYPERLINK("http://mcb-m6.bioreg.kyushu-u.ac.jp/M3/20110414/F50929/1343/1", 56.82)</f>
        <v>56.82</v>
      </c>
      <c r="E5525" s="2">
        <v>31.1</v>
      </c>
      <c r="F5525" s="2">
        <v>2</v>
      </c>
      <c r="G5525" s="2" t="s">
        <v>11</v>
      </c>
    </row>
    <row r="5526" spans="1:9" x14ac:dyDescent="0.2">
      <c r="A5526" s="2" t="s">
        <v>4002</v>
      </c>
      <c r="B5526" s="2" t="s">
        <v>1293</v>
      </c>
      <c r="C5526" s="2">
        <v>565.85310000000004</v>
      </c>
      <c r="D5526" s="2">
        <f>HYPERLINK("http://mcb-m6.bioreg.kyushu-u.ac.jp/M3/20110414/F50946/1170/1", 52.47)</f>
        <v>52.47</v>
      </c>
      <c r="E5526" s="2">
        <v>31.52</v>
      </c>
      <c r="F5526" s="2">
        <v>2</v>
      </c>
      <c r="G5526" s="2" t="s">
        <v>12</v>
      </c>
    </row>
    <row r="5527" spans="1:9" x14ac:dyDescent="0.2">
      <c r="A5527" s="2" t="s">
        <v>4002</v>
      </c>
      <c r="B5527" s="2" t="s">
        <v>2050</v>
      </c>
      <c r="C5527" s="2">
        <v>466.50209999999998</v>
      </c>
      <c r="D5527" s="2">
        <f>HYPERLINK("http://mcb-m6.bioreg.kyushu-u.ac.jp/M3/20110502/F51180/590/1", 60.56)</f>
        <v>60.56</v>
      </c>
      <c r="E5527" s="2">
        <v>25.1</v>
      </c>
      <c r="F5527" s="2">
        <v>2</v>
      </c>
      <c r="G5527" s="2" t="s">
        <v>13</v>
      </c>
    </row>
    <row r="5528" spans="1:9" x14ac:dyDescent="0.2">
      <c r="A5528" s="2" t="s">
        <v>4002</v>
      </c>
      <c r="B5528" s="2" t="s">
        <v>1293</v>
      </c>
      <c r="C5528" s="2">
        <v>566.20669999999996</v>
      </c>
      <c r="D5528" s="2">
        <f>HYPERLINK("http://mcb-m6.bioreg.kyushu-u.ac.jp/M3/20110502/F51180/945/1", 70.51)</f>
        <v>70.510000000000005</v>
      </c>
      <c r="E5528" s="2">
        <v>38.97</v>
      </c>
      <c r="F5528" s="2">
        <v>2</v>
      </c>
      <c r="G5528" s="2" t="s">
        <v>13</v>
      </c>
    </row>
    <row r="5529" spans="1:9" x14ac:dyDescent="0.2">
      <c r="A5529" s="2" t="s">
        <v>4002</v>
      </c>
      <c r="B5529" s="2" t="s">
        <v>2050</v>
      </c>
      <c r="C5529" s="2">
        <v>466.46159999999998</v>
      </c>
      <c r="D5529" s="2">
        <f>HYPERLINK("http://mcb-m6.bioreg.kyushu-u.ac.jp/M3/20110502/F51182/586/1", 55.45)</f>
        <v>55.45</v>
      </c>
      <c r="E5529" s="2">
        <v>17.989999999999998</v>
      </c>
      <c r="F5529" s="2">
        <v>2</v>
      </c>
      <c r="G5529" s="2" t="s">
        <v>14</v>
      </c>
    </row>
    <row r="5530" spans="1:9" x14ac:dyDescent="0.2">
      <c r="A5530" s="2" t="s">
        <v>3860</v>
      </c>
      <c r="B5530" s="2" t="s">
        <v>969</v>
      </c>
      <c r="C5530" s="2">
        <v>910.40260000000001</v>
      </c>
      <c r="D5530" s="2">
        <f>HYPERLINK("http://mcb-m6.bioreg.kyushu-u.ac.jp/M3/20110411/F50892/2862/1", 57.23)</f>
        <v>57.23</v>
      </c>
      <c r="E5530" s="2">
        <v>36.68</v>
      </c>
      <c r="F5530" s="2">
        <v>2</v>
      </c>
      <c r="G5530" s="2" t="s">
        <v>9</v>
      </c>
    </row>
    <row r="5531" spans="1:9" x14ac:dyDescent="0.2">
      <c r="A5531" s="2" t="s">
        <v>3860</v>
      </c>
      <c r="B5531" s="2" t="s">
        <v>969</v>
      </c>
      <c r="C5531" s="2">
        <v>911.0222</v>
      </c>
      <c r="D5531" s="2">
        <f>HYPERLINK("http://mcb-m6.bioreg.kyushu-u.ac.jp/M3/20110411/F50892/2866/1", 65.9)</f>
        <v>65.900000000000006</v>
      </c>
      <c r="E5531" s="2">
        <v>48.29</v>
      </c>
      <c r="F5531" s="2">
        <v>2</v>
      </c>
      <c r="G5531" s="2" t="s">
        <v>9</v>
      </c>
    </row>
    <row r="5532" spans="1:9" x14ac:dyDescent="0.2">
      <c r="A5532" s="2" t="s">
        <v>3860</v>
      </c>
      <c r="B5532" s="2" t="s">
        <v>969</v>
      </c>
      <c r="C5532" s="2">
        <v>918.21770000000004</v>
      </c>
      <c r="D5532" s="2">
        <f>HYPERLINK("http://mcb-m6.bioreg.kyushu-u.ac.jp/M3/20110411/F50892/2900/1", 78.17)</f>
        <v>78.17</v>
      </c>
      <c r="E5532" s="2">
        <v>54.06</v>
      </c>
      <c r="F5532" s="2">
        <v>2</v>
      </c>
      <c r="G5532" s="2" t="s">
        <v>9</v>
      </c>
      <c r="H5532" s="2" t="s">
        <v>4908</v>
      </c>
    </row>
    <row r="5533" spans="1:9" x14ac:dyDescent="0.2">
      <c r="A5533" s="2" t="s">
        <v>4287</v>
      </c>
      <c r="B5533" s="2" t="s">
        <v>1975</v>
      </c>
      <c r="C5533" s="2">
        <v>465.44659999999999</v>
      </c>
      <c r="D5533" s="2">
        <f>HYPERLINK("http://mcb-m6.bioreg.kyushu-u.ac.jp/M3/20110411/F50918/678/1", 55.63)</f>
        <v>55.63</v>
      </c>
      <c r="E5533" s="2">
        <v>19.66</v>
      </c>
      <c r="F5533" s="2">
        <v>2</v>
      </c>
      <c r="G5533" s="2" t="s">
        <v>10</v>
      </c>
    </row>
    <row r="5534" spans="1:9" x14ac:dyDescent="0.2">
      <c r="A5534" s="2" t="s">
        <v>3796</v>
      </c>
      <c r="B5534" s="2" t="s">
        <v>843</v>
      </c>
      <c r="C5534" s="2">
        <v>580.35919999999999</v>
      </c>
      <c r="D5534" s="2">
        <f>HYPERLINK("http://mcb-m6.bioreg.kyushu-u.ac.jp/M3/20110411/F50892/1567/1", 53.15)</f>
        <v>53.15</v>
      </c>
      <c r="E5534" s="2">
        <v>30.83</v>
      </c>
      <c r="F5534" s="2">
        <v>2</v>
      </c>
      <c r="G5534" s="2" t="s">
        <v>9</v>
      </c>
    </row>
    <row r="5535" spans="1:9" x14ac:dyDescent="0.2">
      <c r="A5535" s="2" t="s">
        <v>3796</v>
      </c>
      <c r="B5535" s="2" t="s">
        <v>1240</v>
      </c>
      <c r="C5535" s="2">
        <v>857.01170000000002</v>
      </c>
      <c r="D5535" s="2">
        <f>HYPERLINK("http://mcb-m6.bioreg.kyushu-u.ac.jp/M3/20110411/F50892/2679/1", 68.62)</f>
        <v>68.62</v>
      </c>
      <c r="E5535" s="2">
        <v>51.34</v>
      </c>
      <c r="F5535" s="2">
        <v>2</v>
      </c>
      <c r="G5535" s="2" t="s">
        <v>9</v>
      </c>
      <c r="I5535" s="2" t="s">
        <v>4909</v>
      </c>
    </row>
    <row r="5536" spans="1:9" x14ac:dyDescent="0.2">
      <c r="A5536" s="2" t="s">
        <v>3811</v>
      </c>
      <c r="B5536" s="2" t="s">
        <v>871</v>
      </c>
      <c r="C5536" s="2">
        <v>714.88509999999997</v>
      </c>
      <c r="D5536" s="2">
        <f>HYPERLINK("http://mcb-m6.bioreg.kyushu-u.ac.jp/M3/20110411/F50892/2085/1", 54.05)</f>
        <v>54.05</v>
      </c>
      <c r="E5536" s="2">
        <v>34.89</v>
      </c>
      <c r="F5536" s="2">
        <v>2</v>
      </c>
      <c r="G5536" s="2" t="s">
        <v>9</v>
      </c>
      <c r="I5536" s="2" t="s">
        <v>4923</v>
      </c>
    </row>
    <row r="5537" spans="1:9" x14ac:dyDescent="0.2">
      <c r="A5537" s="2" t="s">
        <v>4404</v>
      </c>
      <c r="B5537" s="2" t="s">
        <v>2254</v>
      </c>
      <c r="C5537" s="2">
        <v>765.36519999999996</v>
      </c>
      <c r="D5537" s="2">
        <f>HYPERLINK("http://mcb-m6.bioreg.kyushu-u.ac.jp/M3/20110414/F50944/2213/1", 39.86)</f>
        <v>39.86</v>
      </c>
      <c r="E5537" s="2">
        <v>27.19</v>
      </c>
      <c r="F5537" s="2">
        <v>2</v>
      </c>
      <c r="G5537" s="2" t="s">
        <v>11</v>
      </c>
    </row>
    <row r="5538" spans="1:9" x14ac:dyDescent="0.2">
      <c r="A5538" s="2" t="s">
        <v>4254</v>
      </c>
      <c r="B5538" s="2" t="s">
        <v>1890</v>
      </c>
      <c r="C5538" s="2">
        <v>654.33810000000005</v>
      </c>
      <c r="D5538" s="2">
        <f>HYPERLINK("http://mcb-m6.bioreg.kyushu-u.ac.jp/M3/20110411/F50920/1171/1", 46.94)</f>
        <v>46.94</v>
      </c>
      <c r="E5538" s="2">
        <v>27.09</v>
      </c>
      <c r="F5538" s="2">
        <v>2</v>
      </c>
      <c r="G5538" s="2" t="s">
        <v>10</v>
      </c>
    </row>
    <row r="5539" spans="1:9" x14ac:dyDescent="0.2">
      <c r="A5539" s="2" t="s">
        <v>3606</v>
      </c>
      <c r="B5539" s="2" t="s">
        <v>500</v>
      </c>
      <c r="C5539" s="2">
        <v>723.27120000000002</v>
      </c>
      <c r="D5539" s="2">
        <f>HYPERLINK("http://mcb-m6.bioreg.kyushu-u.ac.jp/M3/20110411/F50889/2195/1", 43.27)</f>
        <v>43.27</v>
      </c>
      <c r="E5539" s="2">
        <v>33.67</v>
      </c>
      <c r="F5539" s="2">
        <v>2</v>
      </c>
      <c r="G5539" s="2" t="s">
        <v>9</v>
      </c>
      <c r="I5539" s="2" t="s">
        <v>4905</v>
      </c>
    </row>
    <row r="5540" spans="1:9" x14ac:dyDescent="0.2">
      <c r="A5540" s="2" t="s">
        <v>3606</v>
      </c>
      <c r="B5540" s="2" t="s">
        <v>500</v>
      </c>
      <c r="C5540" s="2">
        <v>723.81460000000004</v>
      </c>
      <c r="D5540" s="2">
        <f>HYPERLINK("http://mcb-m6.bioreg.kyushu-u.ac.jp/M3/20110411/F50889/2198/1", 68.7)</f>
        <v>68.7</v>
      </c>
      <c r="E5540" s="2">
        <v>57.39</v>
      </c>
      <c r="F5540" s="2">
        <v>2</v>
      </c>
      <c r="G5540" s="2" t="s">
        <v>9</v>
      </c>
      <c r="I5540" s="2" t="s">
        <v>4905</v>
      </c>
    </row>
    <row r="5541" spans="1:9" x14ac:dyDescent="0.2">
      <c r="A5541" s="2" t="s">
        <v>3278</v>
      </c>
      <c r="B5541" s="2" t="s">
        <v>58</v>
      </c>
      <c r="C5541" s="2">
        <v>1106.7460000000001</v>
      </c>
      <c r="D5541" s="2">
        <f>HYPERLINK("http://mcb-m6.bioreg.kyushu-u.ac.jp/M3/20110411/F50903/3487/1", 35.55)</f>
        <v>35.549999999999997</v>
      </c>
      <c r="E5541" s="2">
        <v>8.5299999999999994</v>
      </c>
      <c r="F5541" s="2">
        <v>2</v>
      </c>
      <c r="G5541" s="2" t="s">
        <v>9</v>
      </c>
    </row>
    <row r="5542" spans="1:9" x14ac:dyDescent="0.2">
      <c r="A5542" s="2" t="s">
        <v>3278</v>
      </c>
      <c r="B5542" s="2" t="s">
        <v>58</v>
      </c>
      <c r="C5542" s="2">
        <v>1106.713</v>
      </c>
      <c r="D5542" s="2">
        <f>HYPERLINK("http://mcb-m6.bioreg.kyushu-u.ac.jp/M3/20110411/F50905/3635/1", 41.26)</f>
        <v>41.26</v>
      </c>
      <c r="E5542" s="2">
        <v>13.18</v>
      </c>
      <c r="F5542" s="2">
        <v>2</v>
      </c>
      <c r="G5542" s="2" t="s">
        <v>9</v>
      </c>
    </row>
    <row r="5543" spans="1:9" x14ac:dyDescent="0.2">
      <c r="A5543" s="2" t="s">
        <v>3278</v>
      </c>
      <c r="B5543" s="2" t="s">
        <v>58</v>
      </c>
      <c r="C5543" s="2">
        <v>1107.143</v>
      </c>
      <c r="D5543" s="2">
        <f>HYPERLINK("http://mcb-m6.bioreg.kyushu-u.ac.jp/M3/20110411/F50911/3706/1", 43.16)</f>
        <v>43.16</v>
      </c>
      <c r="E5543" s="2">
        <v>8.36</v>
      </c>
      <c r="F5543" s="2">
        <v>2</v>
      </c>
      <c r="G5543" s="2" t="s">
        <v>9</v>
      </c>
    </row>
    <row r="5544" spans="1:9" x14ac:dyDescent="0.2">
      <c r="A5544" s="2" t="s">
        <v>3278</v>
      </c>
      <c r="B5544" s="2" t="s">
        <v>58</v>
      </c>
      <c r="C5544" s="2">
        <v>1106.97</v>
      </c>
      <c r="D5544" s="2">
        <f>HYPERLINK("http://mcb-m6.bioreg.kyushu-u.ac.jp/M3/20110411/F50905/3639/1", 46.87)</f>
        <v>46.87</v>
      </c>
      <c r="E5544" s="2">
        <v>9.73</v>
      </c>
      <c r="F5544" s="2">
        <v>2</v>
      </c>
      <c r="G5544" s="2" t="s">
        <v>9</v>
      </c>
    </row>
    <row r="5545" spans="1:9" x14ac:dyDescent="0.2">
      <c r="A5545" s="2" t="s">
        <v>3278</v>
      </c>
      <c r="B5545" s="2" t="s">
        <v>58</v>
      </c>
      <c r="C5545" s="2">
        <v>738.21690000000001</v>
      </c>
      <c r="D5545" s="2">
        <f>HYPERLINK("http://mcb-m6.bioreg.kyushu-u.ac.jp/M3/20110411/F50894/3184/1", 46.89)</f>
        <v>46.89</v>
      </c>
      <c r="E5545" s="2">
        <v>25.85</v>
      </c>
      <c r="F5545" s="2">
        <v>3</v>
      </c>
      <c r="G5545" s="2" t="s">
        <v>9</v>
      </c>
    </row>
    <row r="5546" spans="1:9" x14ac:dyDescent="0.2">
      <c r="A5546" s="2" t="s">
        <v>3278</v>
      </c>
      <c r="B5546" s="2" t="s">
        <v>58</v>
      </c>
      <c r="C5546" s="2">
        <v>1106.729</v>
      </c>
      <c r="D5546" s="2">
        <f>HYPERLINK("http://mcb-m6.bioreg.kyushu-u.ac.jp/M3/20110411/F50904/3454/1", 48.3)</f>
        <v>48.3</v>
      </c>
      <c r="E5546" s="2">
        <v>22.15</v>
      </c>
      <c r="F5546" s="2">
        <v>2</v>
      </c>
      <c r="G5546" s="2" t="s">
        <v>9</v>
      </c>
    </row>
    <row r="5547" spans="1:9" x14ac:dyDescent="0.2">
      <c r="A5547" s="2" t="s">
        <v>3278</v>
      </c>
      <c r="B5547" s="2" t="s">
        <v>58</v>
      </c>
      <c r="C5547" s="2">
        <v>1107.0930000000001</v>
      </c>
      <c r="D5547" s="2">
        <f>HYPERLINK("http://mcb-m6.bioreg.kyushu-u.ac.jp/M3/20110411/F50915/3631/1", 55.6)</f>
        <v>55.6</v>
      </c>
      <c r="E5547" s="2">
        <v>18.72</v>
      </c>
      <c r="F5547" s="2">
        <v>2</v>
      </c>
      <c r="G5547" s="2" t="s">
        <v>9</v>
      </c>
    </row>
    <row r="5548" spans="1:9" x14ac:dyDescent="0.2">
      <c r="A5548" s="2" t="s">
        <v>3278</v>
      </c>
      <c r="B5548" s="2" t="s">
        <v>58</v>
      </c>
      <c r="C5548" s="2">
        <v>1106.981</v>
      </c>
      <c r="D5548" s="2">
        <f>HYPERLINK("http://mcb-m6.bioreg.kyushu-u.ac.jp/M3/20110411/F50911/3705/1", 59.2)</f>
        <v>59.2</v>
      </c>
      <c r="E5548" s="2">
        <v>27.18</v>
      </c>
      <c r="F5548" s="2">
        <v>2</v>
      </c>
      <c r="G5548" s="2" t="s">
        <v>9</v>
      </c>
    </row>
    <row r="5549" spans="1:9" x14ac:dyDescent="0.2">
      <c r="A5549" s="2" t="s">
        <v>3278</v>
      </c>
      <c r="B5549" s="2" t="s">
        <v>58</v>
      </c>
      <c r="C5549" s="2">
        <v>738.16909999999996</v>
      </c>
      <c r="D5549" s="2">
        <f>HYPERLINK("http://mcb-m6.bioreg.kyushu-u.ac.jp/M3/20110411/F50919/3224/1", 60.82)</f>
        <v>60.82</v>
      </c>
      <c r="E5549" s="2">
        <v>33.090000000000003</v>
      </c>
      <c r="F5549" s="2">
        <v>3</v>
      </c>
      <c r="G5549" s="2" t="s">
        <v>9</v>
      </c>
    </row>
    <row r="5550" spans="1:9" x14ac:dyDescent="0.2">
      <c r="A5550" s="2" t="s">
        <v>3278</v>
      </c>
      <c r="B5550" s="2" t="s">
        <v>58</v>
      </c>
      <c r="C5550" s="2">
        <v>738.29520000000002</v>
      </c>
      <c r="D5550" s="2">
        <f>HYPERLINK("http://mcb-m6.bioreg.kyushu-u.ac.jp/M3/20110411/F50900/3202/1", 35.03)</f>
        <v>35.03</v>
      </c>
      <c r="E5550" s="2">
        <v>16.13</v>
      </c>
      <c r="F5550" s="2">
        <v>3</v>
      </c>
      <c r="G5550" s="2" t="s">
        <v>10</v>
      </c>
    </row>
    <row r="5551" spans="1:9" x14ac:dyDescent="0.2">
      <c r="A5551" s="2" t="s">
        <v>3278</v>
      </c>
      <c r="B5551" s="2" t="s">
        <v>58</v>
      </c>
      <c r="C5551" s="2">
        <v>1106.723</v>
      </c>
      <c r="D5551" s="2">
        <f>HYPERLINK("http://mcb-m6.bioreg.kyushu-u.ac.jp/M3/20110411/F50897/3414/1", 37.63)</f>
        <v>37.630000000000003</v>
      </c>
      <c r="E5551" s="2">
        <v>11.2</v>
      </c>
      <c r="F5551" s="2">
        <v>2</v>
      </c>
      <c r="G5551" s="2" t="s">
        <v>10</v>
      </c>
    </row>
    <row r="5552" spans="1:9" x14ac:dyDescent="0.2">
      <c r="A5552" s="2" t="s">
        <v>3278</v>
      </c>
      <c r="B5552" s="2" t="s">
        <v>58</v>
      </c>
      <c r="C5552" s="2">
        <v>738.13189999999997</v>
      </c>
      <c r="D5552" s="2">
        <f>HYPERLINK("http://mcb-m6.bioreg.kyushu-u.ac.jp/M3/20110411/F50920/3092/1", 38.31)</f>
        <v>38.31</v>
      </c>
      <c r="E5552" s="2">
        <v>12.67</v>
      </c>
      <c r="F5552" s="2">
        <v>3</v>
      </c>
      <c r="G5552" s="2" t="s">
        <v>10</v>
      </c>
    </row>
    <row r="5553" spans="1:7" x14ac:dyDescent="0.2">
      <c r="A5553" s="2" t="s">
        <v>3278</v>
      </c>
      <c r="B5553" s="2" t="s">
        <v>58</v>
      </c>
      <c r="C5553" s="2">
        <v>1106.6780000000001</v>
      </c>
      <c r="D5553" s="2">
        <f>HYPERLINK("http://mcb-m6.bioreg.kyushu-u.ac.jp/M3/20110411/F50900/3199/1", 43.66)</f>
        <v>43.66</v>
      </c>
      <c r="E5553" s="2">
        <v>22.04</v>
      </c>
      <c r="F5553" s="2">
        <v>2</v>
      </c>
      <c r="G5553" s="2" t="s">
        <v>10</v>
      </c>
    </row>
    <row r="5554" spans="1:7" x14ac:dyDescent="0.2">
      <c r="A5554" s="2" t="s">
        <v>3278</v>
      </c>
      <c r="B5554" s="2" t="s">
        <v>58</v>
      </c>
      <c r="C5554" s="2">
        <v>738.22109999999998</v>
      </c>
      <c r="D5554" s="2">
        <f>HYPERLINK("http://mcb-m6.bioreg.kyushu-u.ac.jp/M3/20110411/F50896/3110/1", 44.91)</f>
        <v>44.91</v>
      </c>
      <c r="E5554" s="2">
        <v>12.59</v>
      </c>
      <c r="F5554" s="2">
        <v>3</v>
      </c>
      <c r="G5554" s="2" t="s">
        <v>10</v>
      </c>
    </row>
    <row r="5555" spans="1:7" x14ac:dyDescent="0.2">
      <c r="A5555" s="2" t="s">
        <v>3278</v>
      </c>
      <c r="B5555" s="2" t="s">
        <v>58</v>
      </c>
      <c r="C5555" s="2">
        <v>1107.04</v>
      </c>
      <c r="D5555" s="2">
        <f>HYPERLINK("http://mcb-m6.bioreg.kyushu-u.ac.jp/M3/20110411/F50913/3452/1", 55.1)</f>
        <v>55.1</v>
      </c>
      <c r="E5555" s="2">
        <v>8.17</v>
      </c>
      <c r="F5555" s="2">
        <v>2</v>
      </c>
      <c r="G5555" s="2" t="s">
        <v>10</v>
      </c>
    </row>
    <row r="5556" spans="1:7" x14ac:dyDescent="0.2">
      <c r="A5556" s="2" t="s">
        <v>3278</v>
      </c>
      <c r="B5556" s="2" t="s">
        <v>58</v>
      </c>
      <c r="C5556" s="2">
        <v>1107.0830000000001</v>
      </c>
      <c r="D5556" s="2">
        <f>HYPERLINK("http://mcb-m6.bioreg.kyushu-u.ac.jp/M3/20110411/F50914/3484/1", 55.54)</f>
        <v>55.54</v>
      </c>
      <c r="E5556" s="2">
        <v>15.53</v>
      </c>
      <c r="F5556" s="2">
        <v>2</v>
      </c>
      <c r="G5556" s="2" t="s">
        <v>10</v>
      </c>
    </row>
    <row r="5557" spans="1:7" x14ac:dyDescent="0.2">
      <c r="A5557" s="2" t="s">
        <v>3278</v>
      </c>
      <c r="B5557" s="2" t="s">
        <v>58</v>
      </c>
      <c r="C5557" s="2">
        <v>1107.0229999999999</v>
      </c>
      <c r="D5557" s="2">
        <f>HYPERLINK("http://mcb-m6.bioreg.kyushu-u.ac.jp/M3/20110414/F50956/3993/1", 36.4)</f>
        <v>36.4</v>
      </c>
      <c r="E5557" s="2">
        <v>16.97</v>
      </c>
      <c r="F5557" s="2">
        <v>2</v>
      </c>
      <c r="G5557" s="2" t="s">
        <v>11</v>
      </c>
    </row>
    <row r="5558" spans="1:7" x14ac:dyDescent="0.2">
      <c r="A5558" s="2" t="s">
        <v>3278</v>
      </c>
      <c r="B5558" s="2" t="s">
        <v>58</v>
      </c>
      <c r="C5558" s="2">
        <v>1106.797</v>
      </c>
      <c r="D5558" s="2">
        <f>HYPERLINK("http://mcb-m6.bioreg.kyushu-u.ac.jp/M3/20110414/F50926/2995/1", 51.67)</f>
        <v>51.67</v>
      </c>
      <c r="E5558" s="2">
        <v>13.23</v>
      </c>
      <c r="F5558" s="2">
        <v>2</v>
      </c>
      <c r="G5558" s="2" t="s">
        <v>11</v>
      </c>
    </row>
    <row r="5559" spans="1:7" x14ac:dyDescent="0.2">
      <c r="A5559" s="2" t="s">
        <v>3278</v>
      </c>
      <c r="B5559" s="2" t="s">
        <v>58</v>
      </c>
      <c r="C5559" s="2">
        <v>738.20119999999997</v>
      </c>
      <c r="D5559" s="2">
        <f>HYPERLINK("http://mcb-m6.bioreg.kyushu-u.ac.jp/M3/20110414/F50963/3372/1", 35.44)</f>
        <v>35.44</v>
      </c>
      <c r="E5559" s="2">
        <v>12.57</v>
      </c>
      <c r="F5559" s="2">
        <v>3</v>
      </c>
      <c r="G5559" s="2" t="s">
        <v>12</v>
      </c>
    </row>
    <row r="5560" spans="1:7" x14ac:dyDescent="0.2">
      <c r="A5560" s="2" t="s">
        <v>3278</v>
      </c>
      <c r="B5560" s="2" t="s">
        <v>58</v>
      </c>
      <c r="C5560" s="2">
        <v>1106.7380000000001</v>
      </c>
      <c r="D5560" s="2">
        <f>HYPERLINK("http://mcb-m6.bioreg.kyushu-u.ac.jp/M3/20110414/F50934/3101/1", 42.83)</f>
        <v>42.83</v>
      </c>
      <c r="E5560" s="2">
        <v>14.79</v>
      </c>
      <c r="F5560" s="2">
        <v>2</v>
      </c>
      <c r="G5560" s="2" t="s">
        <v>12</v>
      </c>
    </row>
    <row r="5561" spans="1:7" x14ac:dyDescent="0.2">
      <c r="A5561" s="2" t="s">
        <v>3278</v>
      </c>
      <c r="B5561" s="2" t="s">
        <v>58</v>
      </c>
      <c r="C5561" s="2">
        <v>1106.712</v>
      </c>
      <c r="D5561" s="2">
        <f>HYPERLINK("http://mcb-m6.bioreg.kyushu-u.ac.jp/M3/20110414/F50948/3914/1", 60.77)</f>
        <v>60.77</v>
      </c>
      <c r="E5561" s="2">
        <v>10.85</v>
      </c>
      <c r="F5561" s="2">
        <v>2</v>
      </c>
      <c r="G5561" s="2" t="s">
        <v>12</v>
      </c>
    </row>
    <row r="5562" spans="1:7" x14ac:dyDescent="0.2">
      <c r="A5562" s="2" t="s">
        <v>3278</v>
      </c>
      <c r="B5562" s="2" t="s">
        <v>58</v>
      </c>
      <c r="C5562" s="2">
        <v>1107.0899999999999</v>
      </c>
      <c r="D5562" s="2">
        <f>HYPERLINK("http://mcb-m6.bioreg.kyushu-u.ac.jp/M3/20110414/F50950/3820/1", 61.43)</f>
        <v>61.43</v>
      </c>
      <c r="E5562" s="2">
        <v>8.2200000000000006</v>
      </c>
      <c r="F5562" s="2">
        <v>2</v>
      </c>
      <c r="G5562" s="2" t="s">
        <v>12</v>
      </c>
    </row>
    <row r="5563" spans="1:7" x14ac:dyDescent="0.2">
      <c r="A5563" s="2" t="s">
        <v>3278</v>
      </c>
      <c r="B5563" s="2" t="s">
        <v>58</v>
      </c>
      <c r="C5563" s="2">
        <v>1107.018</v>
      </c>
      <c r="D5563" s="2">
        <f>HYPERLINK("http://mcb-m6.bioreg.kyushu-u.ac.jp/M3/20110414/F50950/3819/1", 62.02)</f>
        <v>62.02</v>
      </c>
      <c r="E5563" s="2">
        <v>7.92</v>
      </c>
      <c r="F5563" s="2">
        <v>2</v>
      </c>
      <c r="G5563" s="2" t="s">
        <v>12</v>
      </c>
    </row>
    <row r="5564" spans="1:7" x14ac:dyDescent="0.2">
      <c r="A5564" s="2" t="s">
        <v>3278</v>
      </c>
      <c r="B5564" s="2" t="s">
        <v>58</v>
      </c>
      <c r="C5564" s="2">
        <v>1106.6579999999999</v>
      </c>
      <c r="D5564" s="2">
        <f>HYPERLINK("http://mcb-m6.bioreg.kyushu-u.ac.jp/M3/20110414/F50948/3913/1", 73.61)</f>
        <v>73.61</v>
      </c>
      <c r="E5564" s="2">
        <v>25.37</v>
      </c>
      <c r="F5564" s="2">
        <v>2</v>
      </c>
      <c r="G5564" s="2" t="s">
        <v>12</v>
      </c>
    </row>
    <row r="5565" spans="1:7" x14ac:dyDescent="0.2">
      <c r="A5565" s="2" t="s">
        <v>3278</v>
      </c>
      <c r="B5565" s="2" t="s">
        <v>58</v>
      </c>
      <c r="C5565" s="2">
        <v>1106.83</v>
      </c>
      <c r="D5565" s="2">
        <f>HYPERLINK("http://mcb-m6.bioreg.kyushu-u.ac.jp/M3/20110502/F51172/3873/1", 35.4)</f>
        <v>35.4</v>
      </c>
      <c r="E5565" s="2">
        <v>9.57</v>
      </c>
      <c r="F5565" s="2">
        <v>2</v>
      </c>
      <c r="G5565" s="2" t="s">
        <v>13</v>
      </c>
    </row>
    <row r="5566" spans="1:7" x14ac:dyDescent="0.2">
      <c r="A5566" s="2" t="s">
        <v>3278</v>
      </c>
      <c r="B5566" s="2" t="s">
        <v>58</v>
      </c>
      <c r="C5566" s="2">
        <v>1106.8320000000001</v>
      </c>
      <c r="D5566" s="2">
        <f>HYPERLINK("http://mcb-m6.bioreg.kyushu-u.ac.jp/M3/20110502/F51173/3538/1", 35.58)</f>
        <v>35.58</v>
      </c>
      <c r="E5566" s="2">
        <v>15.85</v>
      </c>
      <c r="F5566" s="2">
        <v>2</v>
      </c>
      <c r="G5566" s="2" t="s">
        <v>13</v>
      </c>
    </row>
    <row r="5567" spans="1:7" x14ac:dyDescent="0.2">
      <c r="A5567" s="2" t="s">
        <v>3278</v>
      </c>
      <c r="B5567" s="2" t="s">
        <v>58</v>
      </c>
      <c r="C5567" s="2">
        <v>1106.7619999999999</v>
      </c>
      <c r="D5567" s="2">
        <f>HYPERLINK("http://mcb-m6.bioreg.kyushu-u.ac.jp/M3/20110502/F51189/2978/1", 37.86)</f>
        <v>37.86</v>
      </c>
      <c r="E5567" s="2">
        <v>14</v>
      </c>
      <c r="F5567" s="2">
        <v>2</v>
      </c>
      <c r="G5567" s="2" t="s">
        <v>13</v>
      </c>
    </row>
    <row r="5568" spans="1:7" x14ac:dyDescent="0.2">
      <c r="A5568" s="2" t="s">
        <v>3278</v>
      </c>
      <c r="B5568" s="2" t="s">
        <v>58</v>
      </c>
      <c r="C5568" s="2">
        <v>738.25819999999999</v>
      </c>
      <c r="D5568" s="2">
        <f>HYPERLINK("http://mcb-m6.bioreg.kyushu-u.ac.jp/M3/20110502/F51167/2524/1", 37.89)</f>
        <v>37.89</v>
      </c>
      <c r="E5568" s="2">
        <v>14.38</v>
      </c>
      <c r="F5568" s="2">
        <v>3</v>
      </c>
      <c r="G5568" s="2" t="s">
        <v>13</v>
      </c>
    </row>
    <row r="5569" spans="1:7" x14ac:dyDescent="0.2">
      <c r="A5569" s="2" t="s">
        <v>3278</v>
      </c>
      <c r="B5569" s="2" t="s">
        <v>58</v>
      </c>
      <c r="C5569" s="2">
        <v>1106.8330000000001</v>
      </c>
      <c r="D5569" s="2">
        <f>HYPERLINK("http://mcb-m6.bioreg.kyushu-u.ac.jp/M3/20110502/F51172/3874/1", 38.06)</f>
        <v>38.06</v>
      </c>
      <c r="E5569" s="2">
        <v>11.92</v>
      </c>
      <c r="F5569" s="2">
        <v>2</v>
      </c>
      <c r="G5569" s="2" t="s">
        <v>13</v>
      </c>
    </row>
    <row r="5570" spans="1:7" x14ac:dyDescent="0.2">
      <c r="A5570" s="2" t="s">
        <v>3278</v>
      </c>
      <c r="B5570" s="2" t="s">
        <v>58</v>
      </c>
      <c r="C5570" s="2">
        <v>738.14649999999995</v>
      </c>
      <c r="D5570" s="2">
        <f>HYPERLINK("http://mcb-m6.bioreg.kyushu-u.ac.jp/M3/20110502/F51175/2974/1", 38.87)</f>
        <v>38.869999999999997</v>
      </c>
      <c r="E5570" s="2">
        <v>14.59</v>
      </c>
      <c r="F5570" s="2">
        <v>3</v>
      </c>
      <c r="G5570" s="2" t="s">
        <v>13</v>
      </c>
    </row>
    <row r="5571" spans="1:7" x14ac:dyDescent="0.2">
      <c r="A5571" s="2" t="s">
        <v>3278</v>
      </c>
      <c r="B5571" s="2" t="s">
        <v>58</v>
      </c>
      <c r="C5571" s="2">
        <v>1106.73</v>
      </c>
      <c r="D5571" s="2">
        <f>HYPERLINK("http://mcb-m6.bioreg.kyushu-u.ac.jp/M3/20110502/F51175/2975/1", 40.31)</f>
        <v>40.31</v>
      </c>
      <c r="E5571" s="2">
        <v>14.57</v>
      </c>
      <c r="F5571" s="2">
        <v>2</v>
      </c>
      <c r="G5571" s="2" t="s">
        <v>13</v>
      </c>
    </row>
    <row r="5572" spans="1:7" x14ac:dyDescent="0.2">
      <c r="A5572" s="2" t="s">
        <v>3278</v>
      </c>
      <c r="B5572" s="2" t="s">
        <v>58</v>
      </c>
      <c r="C5572" s="2">
        <v>1106.8430000000001</v>
      </c>
      <c r="D5572" s="2">
        <f>HYPERLINK("http://mcb-m6.bioreg.kyushu-u.ac.jp/M3/20110502/F51172/3876/1", 41.63)</f>
        <v>41.63</v>
      </c>
      <c r="E5572" s="2">
        <v>11.3</v>
      </c>
      <c r="F5572" s="2">
        <v>2</v>
      </c>
      <c r="G5572" s="2" t="s">
        <v>13</v>
      </c>
    </row>
    <row r="5573" spans="1:7" x14ac:dyDescent="0.2">
      <c r="A5573" s="2" t="s">
        <v>3278</v>
      </c>
      <c r="B5573" s="2" t="s">
        <v>58</v>
      </c>
      <c r="C5573" s="2">
        <v>1106.6759999999999</v>
      </c>
      <c r="D5573" s="2">
        <f>HYPERLINK("http://mcb-m6.bioreg.kyushu-u.ac.jp/M3/20110502/F51172/3871/1", 45.81)</f>
        <v>45.81</v>
      </c>
      <c r="E5573" s="2">
        <v>16.09</v>
      </c>
      <c r="F5573" s="2">
        <v>2</v>
      </c>
      <c r="G5573" s="2" t="s">
        <v>13</v>
      </c>
    </row>
    <row r="5574" spans="1:7" x14ac:dyDescent="0.2">
      <c r="A5574" s="2" t="s">
        <v>3278</v>
      </c>
      <c r="B5574" s="2" t="s">
        <v>58</v>
      </c>
      <c r="C5574" s="2">
        <v>1107.1300000000001</v>
      </c>
      <c r="D5574" s="2">
        <f>HYPERLINK("http://mcb-m6.bioreg.kyushu-u.ac.jp/M3/20110502/F51169/3121/1", 48.83)</f>
        <v>48.83</v>
      </c>
      <c r="E5574" s="2">
        <v>6.44</v>
      </c>
      <c r="F5574" s="2">
        <v>2</v>
      </c>
      <c r="G5574" s="2" t="s">
        <v>13</v>
      </c>
    </row>
    <row r="5575" spans="1:7" x14ac:dyDescent="0.2">
      <c r="A5575" s="2" t="s">
        <v>3278</v>
      </c>
      <c r="B5575" s="2" t="s">
        <v>58</v>
      </c>
      <c r="C5575" s="2">
        <v>1107.1079999999999</v>
      </c>
      <c r="D5575" s="2">
        <f>HYPERLINK("http://mcb-m6.bioreg.kyushu-u.ac.jp/M3/20110502/F51171/3160/1", 50.64)</f>
        <v>50.64</v>
      </c>
      <c r="E5575" s="2">
        <v>1.1399999999999999</v>
      </c>
      <c r="F5575" s="2">
        <v>2</v>
      </c>
      <c r="G5575" s="2" t="s">
        <v>13</v>
      </c>
    </row>
    <row r="5576" spans="1:7" x14ac:dyDescent="0.2">
      <c r="A5576" s="2" t="s">
        <v>3278</v>
      </c>
      <c r="B5576" s="2" t="s">
        <v>58</v>
      </c>
      <c r="C5576" s="2">
        <v>1106.759</v>
      </c>
      <c r="D5576" s="2">
        <f>HYPERLINK("http://mcb-m6.bioreg.kyushu-u.ac.jp/M3/20110502/F51180/3230/1", 51.16)</f>
        <v>51.16</v>
      </c>
      <c r="E5576" s="2">
        <v>7.81</v>
      </c>
      <c r="F5576" s="2">
        <v>2</v>
      </c>
      <c r="G5576" s="2" t="s">
        <v>13</v>
      </c>
    </row>
    <row r="5577" spans="1:7" x14ac:dyDescent="0.2">
      <c r="A5577" s="2" t="s">
        <v>3278</v>
      </c>
      <c r="B5577" s="2" t="s">
        <v>58</v>
      </c>
      <c r="C5577" s="2">
        <v>1106.6559999999999</v>
      </c>
      <c r="D5577" s="2">
        <f>HYPERLINK("http://mcb-m6.bioreg.kyushu-u.ac.jp/M3/20110502/F51168/2940/1", 53.37)</f>
        <v>53.37</v>
      </c>
      <c r="E5577" s="2">
        <v>22.85</v>
      </c>
      <c r="F5577" s="2">
        <v>2</v>
      </c>
      <c r="G5577" s="2" t="s">
        <v>13</v>
      </c>
    </row>
    <row r="5578" spans="1:7" x14ac:dyDescent="0.2">
      <c r="A5578" s="2" t="s">
        <v>3278</v>
      </c>
      <c r="B5578" s="2" t="s">
        <v>58</v>
      </c>
      <c r="C5578" s="2">
        <v>1106.6759999999999</v>
      </c>
      <c r="D5578" s="2">
        <f>HYPERLINK("http://mcb-m6.bioreg.kyushu-u.ac.jp/M3/20110502/F51166/2578/1", 58.16)</f>
        <v>58.16</v>
      </c>
      <c r="E5578" s="2">
        <v>19.13</v>
      </c>
      <c r="F5578" s="2">
        <v>2</v>
      </c>
      <c r="G5578" s="2" t="s">
        <v>13</v>
      </c>
    </row>
    <row r="5579" spans="1:7" x14ac:dyDescent="0.2">
      <c r="A5579" s="2" t="s">
        <v>3278</v>
      </c>
      <c r="B5579" s="2" t="s">
        <v>58</v>
      </c>
      <c r="C5579" s="2">
        <v>1106.691</v>
      </c>
      <c r="D5579" s="2">
        <f>HYPERLINK("http://mcb-m6.bioreg.kyushu-u.ac.jp/M3/20110502/F51190/2875/1", 35.63)</f>
        <v>35.630000000000003</v>
      </c>
      <c r="E5579" s="2">
        <v>9.85</v>
      </c>
      <c r="F5579" s="2">
        <v>2</v>
      </c>
      <c r="G5579" s="2" t="s">
        <v>14</v>
      </c>
    </row>
    <row r="5580" spans="1:7" x14ac:dyDescent="0.2">
      <c r="A5580" s="2" t="s">
        <v>3278</v>
      </c>
      <c r="B5580" s="2" t="s">
        <v>58</v>
      </c>
      <c r="C5580" s="2">
        <v>738.2758</v>
      </c>
      <c r="D5580" s="2">
        <f>HYPERLINK("http://mcb-m6.bioreg.kyushu-u.ac.jp/M3/20110502/F51179/3444/1", 36.91)</f>
        <v>36.909999999999997</v>
      </c>
      <c r="E5580" s="2">
        <v>10.42</v>
      </c>
      <c r="F5580" s="2">
        <v>3</v>
      </c>
      <c r="G5580" s="2" t="s">
        <v>14</v>
      </c>
    </row>
    <row r="5581" spans="1:7" x14ac:dyDescent="0.2">
      <c r="A5581" s="2" t="s">
        <v>3278</v>
      </c>
      <c r="B5581" s="2" t="s">
        <v>58</v>
      </c>
      <c r="C5581" s="2">
        <v>1107.115</v>
      </c>
      <c r="D5581" s="2">
        <f>HYPERLINK("http://mcb-m6.bioreg.kyushu-u.ac.jp/M3/20110502/F51183/3398/1", 40.9)</f>
        <v>40.9</v>
      </c>
      <c r="E5581" s="2">
        <v>8.4499999999999993</v>
      </c>
      <c r="F5581" s="2">
        <v>2</v>
      </c>
      <c r="G5581" s="2" t="s">
        <v>14</v>
      </c>
    </row>
    <row r="5582" spans="1:7" x14ac:dyDescent="0.2">
      <c r="A5582" s="2" t="s">
        <v>3278</v>
      </c>
      <c r="B5582" s="2" t="s">
        <v>58</v>
      </c>
      <c r="C5582" s="2">
        <v>1106.7650000000001</v>
      </c>
      <c r="D5582" s="2">
        <f>HYPERLINK("http://mcb-m6.bioreg.kyushu-u.ac.jp/M3/20110502/F51190/2876/1", 42.3)</f>
        <v>42.3</v>
      </c>
      <c r="E5582" s="2">
        <v>13.9</v>
      </c>
      <c r="F5582" s="2">
        <v>2</v>
      </c>
      <c r="G5582" s="2" t="s">
        <v>14</v>
      </c>
    </row>
    <row r="5583" spans="1:7" x14ac:dyDescent="0.2">
      <c r="A5583" s="2" t="s">
        <v>3278</v>
      </c>
      <c r="B5583" s="2" t="s">
        <v>58</v>
      </c>
      <c r="C5583" s="2">
        <v>1106.9159999999999</v>
      </c>
      <c r="D5583" s="2">
        <f>HYPERLINK("http://mcb-m6.bioreg.kyushu-u.ac.jp/M3/20110502/F51181/3026/1", 44.89)</f>
        <v>44.89</v>
      </c>
      <c r="E5583" s="2">
        <v>9.7799999999999994</v>
      </c>
      <c r="F5583" s="2">
        <v>2</v>
      </c>
      <c r="G5583" s="2" t="s">
        <v>14</v>
      </c>
    </row>
    <row r="5584" spans="1:7" x14ac:dyDescent="0.2">
      <c r="A5584" s="2" t="s">
        <v>3278</v>
      </c>
      <c r="B5584" s="2" t="s">
        <v>58</v>
      </c>
      <c r="C5584" s="2">
        <v>1106.808</v>
      </c>
      <c r="D5584" s="2">
        <f>HYPERLINK("http://mcb-m6.bioreg.kyushu-u.ac.jp/M3/20110502/F51184/3652/1", 45.75)</f>
        <v>45.75</v>
      </c>
      <c r="E5584" s="2">
        <v>18.34</v>
      </c>
      <c r="F5584" s="2">
        <v>2</v>
      </c>
      <c r="G5584" s="2" t="s">
        <v>14</v>
      </c>
    </row>
    <row r="5585" spans="1:9" x14ac:dyDescent="0.2">
      <c r="A5585" s="2" t="s">
        <v>3278</v>
      </c>
      <c r="B5585" s="2" t="s">
        <v>58</v>
      </c>
      <c r="C5585" s="2">
        <v>1106.8820000000001</v>
      </c>
      <c r="D5585" s="2">
        <f>HYPERLINK("http://mcb-m6.bioreg.kyushu-u.ac.jp/M3/20110502/F51182/3463/1", 48.58)</f>
        <v>48.58</v>
      </c>
      <c r="E5585" s="2">
        <v>18.149999999999999</v>
      </c>
      <c r="F5585" s="2">
        <v>2</v>
      </c>
      <c r="G5585" s="2" t="s">
        <v>14</v>
      </c>
    </row>
    <row r="5586" spans="1:9" x14ac:dyDescent="0.2">
      <c r="A5586" s="2" t="s">
        <v>3278</v>
      </c>
      <c r="B5586" s="2" t="s">
        <v>58</v>
      </c>
      <c r="C5586" s="2">
        <v>1106.8330000000001</v>
      </c>
      <c r="D5586" s="2">
        <f>HYPERLINK("http://mcb-m6.bioreg.kyushu-u.ac.jp/M3/20110502/F51182/3461/1", 53.34)</f>
        <v>53.34</v>
      </c>
      <c r="E5586" s="2">
        <v>8.76</v>
      </c>
      <c r="F5586" s="2">
        <v>2</v>
      </c>
      <c r="G5586" s="2" t="s">
        <v>14</v>
      </c>
    </row>
    <row r="5587" spans="1:9" x14ac:dyDescent="0.2">
      <c r="A5587" s="2" t="s">
        <v>3278</v>
      </c>
      <c r="B5587" s="2" t="s">
        <v>58</v>
      </c>
      <c r="C5587" s="2">
        <v>1106.7739999999999</v>
      </c>
      <c r="D5587" s="2">
        <f>HYPERLINK("http://mcb-m6.bioreg.kyushu-u.ac.jp/M3/20110502/F51179/3440/1", 53.72)</f>
        <v>53.72</v>
      </c>
      <c r="E5587" s="2">
        <v>12.55</v>
      </c>
      <c r="F5587" s="2">
        <v>2</v>
      </c>
      <c r="G5587" s="2" t="s">
        <v>14</v>
      </c>
    </row>
    <row r="5588" spans="1:9" x14ac:dyDescent="0.2">
      <c r="A5588" s="2" t="s">
        <v>3278</v>
      </c>
      <c r="B5588" s="2" t="s">
        <v>58</v>
      </c>
      <c r="C5588" s="2">
        <v>1106.78</v>
      </c>
      <c r="D5588" s="2">
        <f>HYPERLINK("http://mcb-m6.bioreg.kyushu-u.ac.jp/M3/20110502/F51193/3210/1", 56.74)</f>
        <v>56.74</v>
      </c>
      <c r="E5588" s="2">
        <v>14.65</v>
      </c>
      <c r="F5588" s="2">
        <v>2</v>
      </c>
      <c r="G5588" s="2" t="s">
        <v>14</v>
      </c>
    </row>
    <row r="5589" spans="1:9" x14ac:dyDescent="0.2">
      <c r="A5589" s="2" t="s">
        <v>3742</v>
      </c>
      <c r="B5589" s="2" t="s">
        <v>744</v>
      </c>
      <c r="C5589" s="2">
        <v>548.34969999999998</v>
      </c>
      <c r="D5589" s="2">
        <f>HYPERLINK("http://mcb-m6.bioreg.kyushu-u.ac.jp/M3/20110411/F50889/1696/1", 49.93)</f>
        <v>49.93</v>
      </c>
      <c r="E5589" s="2">
        <v>25.56</v>
      </c>
      <c r="F5589" s="2">
        <v>2</v>
      </c>
      <c r="G5589" s="2" t="s">
        <v>9</v>
      </c>
    </row>
    <row r="5590" spans="1:9" x14ac:dyDescent="0.2">
      <c r="A5590" s="2" t="s">
        <v>3980</v>
      </c>
      <c r="B5590" s="2" t="s">
        <v>1230</v>
      </c>
      <c r="C5590" s="2">
        <v>630.23519999999996</v>
      </c>
      <c r="D5590" s="2">
        <f>HYPERLINK("http://mcb-m6.bioreg.kyushu-u.ac.jp/M3/20110411/F50889/1938/1", 68.17)</f>
        <v>68.17</v>
      </c>
      <c r="E5590" s="2">
        <v>46.26</v>
      </c>
      <c r="F5590" s="2">
        <v>2</v>
      </c>
      <c r="G5590" s="2" t="s">
        <v>9</v>
      </c>
    </row>
    <row r="5591" spans="1:9" x14ac:dyDescent="0.2">
      <c r="A5591" s="2" t="s">
        <v>4885</v>
      </c>
      <c r="B5591" s="2" t="s">
        <v>3220</v>
      </c>
      <c r="C5591" s="2">
        <v>791.81119999999999</v>
      </c>
      <c r="D5591" s="2">
        <f>HYPERLINK("http://mcb-m6.bioreg.kyushu-u.ac.jp/M3/20110502/F51182/2259/1", 87.2)</f>
        <v>87.2</v>
      </c>
      <c r="E5591" s="2">
        <v>69.55</v>
      </c>
      <c r="F5591" s="2">
        <v>2</v>
      </c>
      <c r="G5591" s="2" t="s">
        <v>14</v>
      </c>
    </row>
    <row r="5592" spans="1:9" x14ac:dyDescent="0.2">
      <c r="A5592" s="2" t="s">
        <v>4367</v>
      </c>
      <c r="B5592" s="2" t="s">
        <v>2194</v>
      </c>
      <c r="C5592" s="2">
        <v>733.16520000000003</v>
      </c>
      <c r="D5592" s="2">
        <f>HYPERLINK("http://mcb-m6.bioreg.kyushu-u.ac.jp/M3/20110414/F50924/2120/1", 36.46)</f>
        <v>36.46</v>
      </c>
      <c r="E5592" s="2">
        <v>24.7</v>
      </c>
      <c r="F5592" s="2">
        <v>2</v>
      </c>
      <c r="G5592" s="2" t="s">
        <v>11</v>
      </c>
      <c r="I5592" s="2" t="s">
        <v>4899</v>
      </c>
    </row>
    <row r="5593" spans="1:9" x14ac:dyDescent="0.2">
      <c r="A5593" s="2" t="s">
        <v>3912</v>
      </c>
      <c r="B5593" s="2" t="s">
        <v>1083</v>
      </c>
      <c r="C5593" s="2">
        <v>755.21669999999995</v>
      </c>
      <c r="D5593" s="2">
        <f>HYPERLINK("http://mcb-m6.bioreg.kyushu-u.ac.jp/M3/20110411/F50891/2186/1", 62.23)</f>
        <v>62.23</v>
      </c>
      <c r="E5593" s="2">
        <v>55.32</v>
      </c>
      <c r="F5593" s="2">
        <v>2</v>
      </c>
      <c r="G5593" s="2" t="s">
        <v>9</v>
      </c>
    </row>
    <row r="5594" spans="1:9" x14ac:dyDescent="0.2">
      <c r="A5594" s="2" t="s">
        <v>4061</v>
      </c>
      <c r="B5594" s="2" t="s">
        <v>1426</v>
      </c>
      <c r="C5594" s="2">
        <v>987.15060000000005</v>
      </c>
      <c r="D5594" s="2">
        <f>HYPERLINK("http://mcb-m6.bioreg.kyushu-u.ac.jp/M3/20110411/F50905/3219/1", 79.59)</f>
        <v>79.59</v>
      </c>
      <c r="E5594" s="2">
        <v>54.95</v>
      </c>
      <c r="F5594" s="2">
        <v>2</v>
      </c>
      <c r="G5594" s="2" t="s">
        <v>9</v>
      </c>
    </row>
    <row r="5595" spans="1:9" x14ac:dyDescent="0.2">
      <c r="A5595" s="2" t="s">
        <v>4061</v>
      </c>
      <c r="B5595" s="2" t="s">
        <v>1492</v>
      </c>
      <c r="C5595" s="2">
        <v>759.49959999999999</v>
      </c>
      <c r="D5595" s="2">
        <f>HYPERLINK("http://mcb-m6.bioreg.kyushu-u.ac.jp/M3/20110411/F50905/2140/1", 86.26)</f>
        <v>86.26</v>
      </c>
      <c r="E5595" s="2">
        <v>62.1</v>
      </c>
      <c r="F5595" s="2">
        <v>2</v>
      </c>
      <c r="G5595" s="2" t="s">
        <v>9</v>
      </c>
    </row>
    <row r="5596" spans="1:9" x14ac:dyDescent="0.2">
      <c r="A5596" s="2" t="s">
        <v>4061</v>
      </c>
      <c r="B5596" s="2" t="s">
        <v>1997</v>
      </c>
      <c r="C5596" s="2">
        <v>589.46810000000005</v>
      </c>
      <c r="D5596" s="2">
        <f>HYPERLINK("http://mcb-m6.bioreg.kyushu-u.ac.jp/M3/20110411/F50913/1356/1", 58.53)</f>
        <v>58.53</v>
      </c>
      <c r="E5596" s="2">
        <v>38.54</v>
      </c>
      <c r="F5596" s="2">
        <v>2</v>
      </c>
      <c r="G5596" s="2" t="s">
        <v>10</v>
      </c>
    </row>
    <row r="5597" spans="1:9" x14ac:dyDescent="0.2">
      <c r="A5597" s="2" t="s">
        <v>4061</v>
      </c>
      <c r="B5597" s="2" t="s">
        <v>1426</v>
      </c>
      <c r="C5597" s="2">
        <v>987.18409999999994</v>
      </c>
      <c r="D5597" s="2">
        <f>HYPERLINK("http://mcb-m6.bioreg.kyushu-u.ac.jp/M3/20110411/F50913/3126/1", 76.35)</f>
        <v>76.349999999999994</v>
      </c>
      <c r="E5597" s="2">
        <v>58.95</v>
      </c>
      <c r="F5597" s="2">
        <v>2</v>
      </c>
      <c r="G5597" s="2" t="s">
        <v>10</v>
      </c>
    </row>
    <row r="5598" spans="1:9" x14ac:dyDescent="0.2">
      <c r="A5598" s="2" t="s">
        <v>4061</v>
      </c>
      <c r="B5598" s="2" t="s">
        <v>2114</v>
      </c>
      <c r="C5598" s="2">
        <v>975.54769999999996</v>
      </c>
      <c r="D5598" s="2">
        <f>HYPERLINK("http://mcb-m6.bioreg.kyushu-u.ac.jp/M3/20110411/F50914/3131/1", 85.21)</f>
        <v>85.21</v>
      </c>
      <c r="E5598" s="2">
        <v>74.67</v>
      </c>
      <c r="F5598" s="2">
        <v>2</v>
      </c>
      <c r="G5598" s="2" t="s">
        <v>10</v>
      </c>
    </row>
    <row r="5599" spans="1:9" x14ac:dyDescent="0.2">
      <c r="A5599" s="2" t="s">
        <v>4061</v>
      </c>
      <c r="B5599" s="2" t="s">
        <v>2114</v>
      </c>
      <c r="C5599" s="2">
        <v>975.11720000000003</v>
      </c>
      <c r="D5599" s="2">
        <f>HYPERLINK("http://mcb-m6.bioreg.kyushu-u.ac.jp/M3/20110411/F50913/3085/1", 113.27)</f>
        <v>113.27</v>
      </c>
      <c r="E5599" s="2">
        <v>86.01</v>
      </c>
      <c r="F5599" s="2">
        <v>2</v>
      </c>
      <c r="G5599" s="2" t="s">
        <v>10</v>
      </c>
    </row>
    <row r="5600" spans="1:9" x14ac:dyDescent="0.2">
      <c r="A5600" s="2" t="s">
        <v>4061</v>
      </c>
      <c r="B5600" s="2" t="s">
        <v>1492</v>
      </c>
      <c r="C5600" s="2">
        <v>759.73360000000002</v>
      </c>
      <c r="D5600" s="2">
        <f>HYPERLINK("http://mcb-m6.bioreg.kyushu-u.ac.jp/M3/20110414/F50941/2221/1", 72.07)</f>
        <v>72.069999999999993</v>
      </c>
      <c r="E5600" s="2">
        <v>55.02</v>
      </c>
      <c r="F5600" s="2">
        <v>2</v>
      </c>
      <c r="G5600" s="2" t="s">
        <v>11</v>
      </c>
    </row>
    <row r="5601" spans="1:9" x14ac:dyDescent="0.2">
      <c r="A5601" s="2" t="s">
        <v>4061</v>
      </c>
      <c r="B5601" s="2" t="s">
        <v>1492</v>
      </c>
      <c r="C5601" s="2">
        <v>759.20759999999996</v>
      </c>
      <c r="D5601" s="2">
        <f>HYPERLINK("http://mcb-m6.bioreg.kyushu-u.ac.jp/M3/20110414/F50941/2215/1", 89.72)</f>
        <v>89.72</v>
      </c>
      <c r="E5601" s="2">
        <v>65.31</v>
      </c>
      <c r="F5601" s="2">
        <v>2</v>
      </c>
      <c r="G5601" s="2" t="s">
        <v>11</v>
      </c>
    </row>
    <row r="5602" spans="1:9" x14ac:dyDescent="0.2">
      <c r="A5602" s="2" t="s">
        <v>4061</v>
      </c>
      <c r="B5602" s="2" t="s">
        <v>1492</v>
      </c>
      <c r="C5602" s="2">
        <v>759.84310000000005</v>
      </c>
      <c r="D5602" s="2">
        <f>HYPERLINK("http://mcb-m6.bioreg.kyushu-u.ac.jp/M3/20110414/F50947/2104/1", 68.79)</f>
        <v>68.790000000000006</v>
      </c>
      <c r="E5602" s="2">
        <v>53.85</v>
      </c>
      <c r="F5602" s="2">
        <v>2</v>
      </c>
      <c r="G5602" s="2" t="s">
        <v>12</v>
      </c>
    </row>
    <row r="5603" spans="1:9" x14ac:dyDescent="0.2">
      <c r="A5603" s="2" t="s">
        <v>4061</v>
      </c>
      <c r="B5603" s="2" t="s">
        <v>1426</v>
      </c>
      <c r="C5603" s="2">
        <v>987.53420000000006</v>
      </c>
      <c r="D5603" s="2">
        <f>HYPERLINK("http://mcb-m6.bioreg.kyushu-u.ac.jp/M3/20110414/F50947/3383/1", 86.99)</f>
        <v>86.99</v>
      </c>
      <c r="E5603" s="2">
        <v>71.599999999999994</v>
      </c>
      <c r="F5603" s="2">
        <v>2</v>
      </c>
      <c r="G5603" s="2" t="s">
        <v>12</v>
      </c>
    </row>
    <row r="5604" spans="1:9" x14ac:dyDescent="0.2">
      <c r="A5604" s="2" t="s">
        <v>4061</v>
      </c>
      <c r="B5604" s="2" t="s">
        <v>1426</v>
      </c>
      <c r="C5604" s="2">
        <v>987.00319999999999</v>
      </c>
      <c r="D5604" s="2">
        <f>HYPERLINK("http://mcb-m6.bioreg.kyushu-u.ac.jp/M3/20110414/F50947/3379/1", 93.59)</f>
        <v>93.59</v>
      </c>
      <c r="E5604" s="2">
        <v>75.77</v>
      </c>
      <c r="F5604" s="2">
        <v>2</v>
      </c>
      <c r="G5604" s="2" t="s">
        <v>12</v>
      </c>
    </row>
    <row r="5605" spans="1:9" x14ac:dyDescent="0.2">
      <c r="A5605" s="2" t="s">
        <v>4061</v>
      </c>
      <c r="B5605" s="2" t="s">
        <v>1492</v>
      </c>
      <c r="C5605" s="2">
        <v>759.46469999999999</v>
      </c>
      <c r="D5605" s="2">
        <f>HYPERLINK("http://mcb-m6.bioreg.kyushu-u.ac.jp/M3/20110502/F51170/2183/1", 45.76)</f>
        <v>45.76</v>
      </c>
      <c r="E5605" s="2">
        <v>30.74</v>
      </c>
      <c r="F5605" s="2">
        <v>2</v>
      </c>
      <c r="G5605" s="2" t="s">
        <v>13</v>
      </c>
    </row>
    <row r="5606" spans="1:9" x14ac:dyDescent="0.2">
      <c r="A5606" s="2" t="s">
        <v>4061</v>
      </c>
      <c r="B5606" s="2" t="s">
        <v>2114</v>
      </c>
      <c r="C5606" s="2">
        <v>975.5367</v>
      </c>
      <c r="D5606" s="2">
        <f>HYPERLINK("http://mcb-m6.bioreg.kyushu-u.ac.jp/M3/20110502/F51170/3171/1", 72.63)</f>
        <v>72.63</v>
      </c>
      <c r="E5606" s="2">
        <v>59.91</v>
      </c>
      <c r="F5606" s="2">
        <v>2</v>
      </c>
      <c r="G5606" s="2" t="s">
        <v>13</v>
      </c>
    </row>
    <row r="5607" spans="1:9" x14ac:dyDescent="0.2">
      <c r="A5607" s="2" t="s">
        <v>4061</v>
      </c>
      <c r="B5607" s="2" t="s">
        <v>1492</v>
      </c>
      <c r="C5607" s="2">
        <v>759.52369999999996</v>
      </c>
      <c r="D5607" s="2">
        <f>HYPERLINK("http://mcb-m6.bioreg.kyushu-u.ac.jp/M3/20110502/F51179/1882/1", 83.93)</f>
        <v>83.93</v>
      </c>
      <c r="E5607" s="2">
        <v>57.52</v>
      </c>
      <c r="F5607" s="2">
        <v>2</v>
      </c>
      <c r="G5607" s="2" t="s">
        <v>14</v>
      </c>
    </row>
    <row r="5608" spans="1:9" x14ac:dyDescent="0.2">
      <c r="A5608" s="2" t="s">
        <v>4061</v>
      </c>
      <c r="B5608" s="2" t="s">
        <v>2114</v>
      </c>
      <c r="C5608" s="2">
        <v>975.19320000000005</v>
      </c>
      <c r="D5608" s="2">
        <f>HYPERLINK("http://mcb-m6.bioreg.kyushu-u.ac.jp/M3/20110502/F51179/3020/1", 118.64)</f>
        <v>118.64</v>
      </c>
      <c r="E5608" s="2">
        <v>102.09</v>
      </c>
      <c r="F5608" s="2">
        <v>2</v>
      </c>
      <c r="G5608" s="2" t="s">
        <v>14</v>
      </c>
    </row>
    <row r="5609" spans="1:9" x14ac:dyDescent="0.2">
      <c r="A5609" s="2" t="s">
        <v>4057</v>
      </c>
      <c r="B5609" s="2" t="s">
        <v>1415</v>
      </c>
      <c r="C5609" s="2">
        <v>856.38710000000003</v>
      </c>
      <c r="D5609" s="2">
        <f>HYPERLINK("http://mcb-m6.bioreg.kyushu-u.ac.jp/M3/20110411/F50905/2627/1", 78.68)</f>
        <v>78.680000000000007</v>
      </c>
      <c r="E5609" s="2">
        <v>59.33</v>
      </c>
      <c r="F5609" s="2">
        <v>2</v>
      </c>
      <c r="G5609" s="2" t="s">
        <v>9</v>
      </c>
      <c r="I5609" s="2" t="s">
        <v>4918</v>
      </c>
    </row>
    <row r="5610" spans="1:9" x14ac:dyDescent="0.2">
      <c r="A5610" s="2" t="s">
        <v>4057</v>
      </c>
      <c r="B5610" s="2" t="s">
        <v>1415</v>
      </c>
      <c r="C5610" s="2">
        <v>855.95119999999997</v>
      </c>
      <c r="D5610" s="2">
        <f>HYPERLINK("http://mcb-m6.bioreg.kyushu-u.ac.jp/M3/20110414/F50941/2715/1", 35.37)</f>
        <v>35.369999999999997</v>
      </c>
      <c r="E5610" s="2">
        <v>21.62</v>
      </c>
      <c r="F5610" s="2">
        <v>2</v>
      </c>
      <c r="G5610" s="2" t="s">
        <v>11</v>
      </c>
      <c r="I5610" s="2" t="s">
        <v>4918</v>
      </c>
    </row>
    <row r="5611" spans="1:9" x14ac:dyDescent="0.2">
      <c r="A5611" s="2" t="s">
        <v>4057</v>
      </c>
      <c r="B5611" s="2" t="s">
        <v>1415</v>
      </c>
      <c r="C5611" s="2">
        <v>856.05719999999997</v>
      </c>
      <c r="D5611" s="2">
        <f>HYPERLINK("http://mcb-m6.bioreg.kyushu-u.ac.jp/M3/20110414/F50947/2648/1", 55.89)</f>
        <v>55.89</v>
      </c>
      <c r="E5611" s="2">
        <v>43.52</v>
      </c>
      <c r="F5611" s="2">
        <v>2</v>
      </c>
      <c r="G5611" s="2" t="s">
        <v>12</v>
      </c>
      <c r="I5611" s="2" t="s">
        <v>4918</v>
      </c>
    </row>
    <row r="5612" spans="1:9" x14ac:dyDescent="0.2">
      <c r="A5612" s="2" t="s">
        <v>4105</v>
      </c>
      <c r="B5612" s="2" t="s">
        <v>1583</v>
      </c>
      <c r="C5612" s="2">
        <v>1159.0530000000001</v>
      </c>
      <c r="D5612" s="2">
        <f>HYPERLINK("http://mcb-m6.bioreg.kyushu-u.ac.jp/M3/20110411/F50905/3821/1", 95.5)</f>
        <v>95.5</v>
      </c>
      <c r="E5612" s="2">
        <v>82.89</v>
      </c>
      <c r="F5612" s="2">
        <v>2</v>
      </c>
      <c r="G5612" s="2" t="s">
        <v>9</v>
      </c>
    </row>
    <row r="5613" spans="1:9" x14ac:dyDescent="0.2">
      <c r="A5613" s="2" t="s">
        <v>4297</v>
      </c>
      <c r="B5613" s="2" t="s">
        <v>2009</v>
      </c>
      <c r="C5613" s="2">
        <v>582.4357</v>
      </c>
      <c r="D5613" s="2">
        <f>HYPERLINK("http://mcb-m6.bioreg.kyushu-u.ac.jp/M3/20110411/F50913/1327/1", 60.89)</f>
        <v>60.89</v>
      </c>
      <c r="E5613" s="2">
        <v>37.799999999999997</v>
      </c>
      <c r="F5613" s="2">
        <v>2</v>
      </c>
      <c r="G5613" s="2" t="s">
        <v>10</v>
      </c>
    </row>
    <row r="5614" spans="1:9" x14ac:dyDescent="0.2">
      <c r="A5614" s="2" t="s">
        <v>4297</v>
      </c>
      <c r="B5614" s="2" t="s">
        <v>2009</v>
      </c>
      <c r="C5614" s="2">
        <v>582.6866</v>
      </c>
      <c r="D5614" s="2">
        <f>HYPERLINK("http://mcb-m6.bioreg.kyushu-u.ac.jp/M3/20110414/F50941/1244/1", 46.15)</f>
        <v>46.15</v>
      </c>
      <c r="E5614" s="2">
        <v>23.59</v>
      </c>
      <c r="F5614" s="2">
        <v>2</v>
      </c>
      <c r="G5614" s="2" t="s">
        <v>11</v>
      </c>
    </row>
    <row r="5615" spans="1:9" x14ac:dyDescent="0.2">
      <c r="A5615" s="2" t="s">
        <v>4555</v>
      </c>
      <c r="B5615" s="2" t="s">
        <v>2586</v>
      </c>
      <c r="C5615" s="2">
        <v>637.71469999999999</v>
      </c>
      <c r="D5615" s="2">
        <f>HYPERLINK("http://mcb-m6.bioreg.kyushu-u.ac.jp/M3/20110414/F50958/1322/1", 39.71)</f>
        <v>39.71</v>
      </c>
      <c r="E5615" s="2">
        <v>23.4</v>
      </c>
      <c r="F5615" s="2">
        <v>2</v>
      </c>
      <c r="G5615" s="2" t="s">
        <v>12</v>
      </c>
    </row>
    <row r="5616" spans="1:9" x14ac:dyDescent="0.2">
      <c r="A5616" s="2" t="s">
        <v>4150</v>
      </c>
      <c r="B5616" s="2" t="s">
        <v>1702</v>
      </c>
      <c r="C5616" s="2">
        <v>837.48419999999999</v>
      </c>
      <c r="D5616" s="2">
        <f>HYPERLINK("http://mcb-m6.bioreg.kyushu-u.ac.jp/M3/20110411/F50921/2250/1", 35.53)</f>
        <v>35.53</v>
      </c>
      <c r="E5616" s="2">
        <v>21.3</v>
      </c>
      <c r="F5616" s="2">
        <v>2</v>
      </c>
      <c r="G5616" s="2" t="s">
        <v>10</v>
      </c>
      <c r="I5616" s="2" t="s">
        <v>4909</v>
      </c>
    </row>
    <row r="5617" spans="1:9" x14ac:dyDescent="0.2">
      <c r="A5617" s="2" t="s">
        <v>4150</v>
      </c>
      <c r="B5617" s="2" t="s">
        <v>1702</v>
      </c>
      <c r="C5617" s="2">
        <v>836.92470000000003</v>
      </c>
      <c r="D5617" s="2">
        <f>HYPERLINK("http://mcb-m6.bioreg.kyushu-u.ac.jp/M3/20110411/F50921/2248/1", 36.35)</f>
        <v>36.35</v>
      </c>
      <c r="E5617" s="2">
        <v>26.73</v>
      </c>
      <c r="F5617" s="2">
        <v>2</v>
      </c>
      <c r="G5617" s="2" t="s">
        <v>10</v>
      </c>
      <c r="I5617" s="2" t="s">
        <v>4909</v>
      </c>
    </row>
    <row r="5618" spans="1:9" x14ac:dyDescent="0.2">
      <c r="A5618" s="2" t="s">
        <v>4150</v>
      </c>
      <c r="B5618" s="2" t="s">
        <v>2348</v>
      </c>
      <c r="C5618" s="2">
        <v>721.86360000000002</v>
      </c>
      <c r="D5618" s="2">
        <f>HYPERLINK("http://mcb-m6.bioreg.kyushu-u.ac.jp/M3/20110414/F50945/1915/1", 49.17)</f>
        <v>49.17</v>
      </c>
      <c r="E5618" s="2">
        <v>22.26</v>
      </c>
      <c r="F5618" s="2">
        <v>2</v>
      </c>
      <c r="G5618" s="2" t="s">
        <v>11</v>
      </c>
      <c r="I5618" s="2" t="s">
        <v>4923</v>
      </c>
    </row>
    <row r="5619" spans="1:9" x14ac:dyDescent="0.2">
      <c r="A5619" s="2" t="s">
        <v>4150</v>
      </c>
      <c r="B5619" s="2" t="s">
        <v>2348</v>
      </c>
      <c r="C5619" s="2">
        <v>722.30520000000001</v>
      </c>
      <c r="D5619" s="2">
        <f>HYPERLINK("http://mcb-m6.bioreg.kyushu-u.ac.jp/M3/20110414/F50946/1837/1", 75.65)</f>
        <v>75.650000000000006</v>
      </c>
      <c r="E5619" s="2">
        <v>43.1</v>
      </c>
      <c r="F5619" s="2">
        <v>2</v>
      </c>
      <c r="G5619" s="2" t="s">
        <v>12</v>
      </c>
      <c r="I5619" s="2" t="s">
        <v>4923</v>
      </c>
    </row>
    <row r="5620" spans="1:9" x14ac:dyDescent="0.2">
      <c r="A5620" s="2" t="s">
        <v>3738</v>
      </c>
      <c r="B5620" s="2" t="s">
        <v>740</v>
      </c>
      <c r="C5620" s="2">
        <v>806.78120000000001</v>
      </c>
      <c r="D5620" s="2">
        <f>HYPERLINK("http://mcb-m6.bioreg.kyushu-u.ac.jp/M3/20110411/F50889/2443/1", 49.83)</f>
        <v>49.83</v>
      </c>
      <c r="E5620" s="2">
        <v>20.82</v>
      </c>
      <c r="F5620" s="2">
        <v>2</v>
      </c>
      <c r="G5620" s="2" t="s">
        <v>9</v>
      </c>
    </row>
    <row r="5621" spans="1:9" x14ac:dyDescent="0.2">
      <c r="A5621" s="2" t="s">
        <v>3738</v>
      </c>
      <c r="B5621" s="2" t="s">
        <v>1264</v>
      </c>
      <c r="C5621" s="2">
        <v>530.84220000000005</v>
      </c>
      <c r="D5621" s="2">
        <f>HYPERLINK("http://mcb-m6.bioreg.kyushu-u.ac.jp/M3/20110411/F50889/1644/1", 69.66)</f>
        <v>69.66</v>
      </c>
      <c r="E5621" s="2">
        <v>32.39</v>
      </c>
      <c r="F5621" s="2">
        <v>2</v>
      </c>
      <c r="G5621" s="2" t="s">
        <v>9</v>
      </c>
    </row>
    <row r="5622" spans="1:9" x14ac:dyDescent="0.2">
      <c r="A5622" s="2" t="s">
        <v>3738</v>
      </c>
      <c r="B5622" s="2" t="s">
        <v>1452</v>
      </c>
      <c r="C5622" s="2">
        <v>653.66920000000005</v>
      </c>
      <c r="D5622" s="2">
        <f>HYPERLINK("http://mcb-m6.bioreg.kyushu-u.ac.jp/M3/20110411/F50889/1995/1", 81.47)</f>
        <v>81.47</v>
      </c>
      <c r="E5622" s="2">
        <v>54.36</v>
      </c>
      <c r="F5622" s="2">
        <v>2</v>
      </c>
      <c r="G5622" s="2" t="s">
        <v>9</v>
      </c>
    </row>
    <row r="5623" spans="1:9" x14ac:dyDescent="0.2">
      <c r="A5623" s="2" t="s">
        <v>3738</v>
      </c>
      <c r="B5623" s="2" t="s">
        <v>740</v>
      </c>
      <c r="C5623" s="2">
        <v>806.24469999999997</v>
      </c>
      <c r="D5623" s="2">
        <f>HYPERLINK("http://mcb-m6.bioreg.kyushu-u.ac.jp/M3/20110411/F50889/2435/1", 96.72)</f>
        <v>96.72</v>
      </c>
      <c r="E5623" s="2">
        <v>75.78</v>
      </c>
      <c r="F5623" s="2">
        <v>2</v>
      </c>
      <c r="G5623" s="2" t="s">
        <v>9</v>
      </c>
    </row>
    <row r="5624" spans="1:9" x14ac:dyDescent="0.2">
      <c r="A5624" s="2" t="s">
        <v>3738</v>
      </c>
      <c r="B5624" s="2" t="s">
        <v>1264</v>
      </c>
      <c r="C5624" s="2">
        <v>531.05619999999999</v>
      </c>
      <c r="D5624" s="2">
        <f>HYPERLINK("http://mcb-m6.bioreg.kyushu-u.ac.jp/M3/20110411/F50896/1404/1", 67.33)</f>
        <v>67.33</v>
      </c>
      <c r="E5624" s="2">
        <v>37.65</v>
      </c>
      <c r="F5624" s="2">
        <v>2</v>
      </c>
      <c r="G5624" s="2" t="s">
        <v>10</v>
      </c>
    </row>
    <row r="5625" spans="1:9" x14ac:dyDescent="0.2">
      <c r="A5625" s="2" t="s">
        <v>3738</v>
      </c>
      <c r="B5625" s="2" t="s">
        <v>740</v>
      </c>
      <c r="C5625" s="2">
        <v>806.57209999999998</v>
      </c>
      <c r="D5625" s="2">
        <f>HYPERLINK("http://mcb-m6.bioreg.kyushu-u.ac.jp/M3/20110414/F50926/2437/1", 93.78)</f>
        <v>93.78</v>
      </c>
      <c r="E5625" s="2">
        <v>67.12</v>
      </c>
      <c r="F5625" s="2">
        <v>2</v>
      </c>
      <c r="G5625" s="2" t="s">
        <v>11</v>
      </c>
    </row>
    <row r="5626" spans="1:9" x14ac:dyDescent="0.2">
      <c r="A5626" s="2" t="s">
        <v>3271</v>
      </c>
      <c r="B5626" s="2" t="s">
        <v>51</v>
      </c>
      <c r="C5626" s="2">
        <v>723.39570000000003</v>
      </c>
      <c r="D5626" s="2">
        <f>HYPERLINK("http://mcb-m6.bioreg.kyushu-u.ac.jp/M3/20110411/F50916/1821/1", 35.47)</f>
        <v>35.47</v>
      </c>
      <c r="E5626" s="2">
        <v>20.25</v>
      </c>
      <c r="F5626" s="2">
        <v>2</v>
      </c>
      <c r="G5626" s="2" t="s">
        <v>9</v>
      </c>
    </row>
    <row r="5627" spans="1:9" x14ac:dyDescent="0.2">
      <c r="A5627" s="2" t="s">
        <v>3271</v>
      </c>
      <c r="B5627" s="2" t="s">
        <v>3116</v>
      </c>
      <c r="C5627" s="2">
        <v>868.39919999999995</v>
      </c>
      <c r="D5627" s="2">
        <f>HYPERLINK("http://mcb-m6.bioreg.kyushu-u.ac.jp/M3/20110502/F51184/2630/1", 46.82)</f>
        <v>46.82</v>
      </c>
      <c r="E5627" s="2">
        <v>26.72</v>
      </c>
      <c r="F5627" s="2">
        <v>2</v>
      </c>
      <c r="G5627" s="2" t="s">
        <v>14</v>
      </c>
    </row>
    <row r="5628" spans="1:9" x14ac:dyDescent="0.2">
      <c r="A5628" s="2" t="s">
        <v>3306</v>
      </c>
      <c r="B5628" s="2" t="s">
        <v>87</v>
      </c>
      <c r="C5628" s="2">
        <v>551.96259999999995</v>
      </c>
      <c r="D5628" s="2">
        <f>HYPERLINK("http://mcb-m6.bioreg.kyushu-u.ac.jp/M3/20110411/F50911/1185/1", 35.89)</f>
        <v>35.89</v>
      </c>
      <c r="E5628" s="2">
        <v>20.21</v>
      </c>
      <c r="F5628" s="2">
        <v>2</v>
      </c>
      <c r="G5628" s="2" t="s">
        <v>9</v>
      </c>
    </row>
    <row r="5629" spans="1:9" x14ac:dyDescent="0.2">
      <c r="A5629" s="2" t="s">
        <v>3306</v>
      </c>
      <c r="B5629" s="2" t="s">
        <v>363</v>
      </c>
      <c r="C5629" s="2">
        <v>513.11270000000002</v>
      </c>
      <c r="D5629" s="2">
        <f>HYPERLINK("http://mcb-m6.bioreg.kyushu-u.ac.jp/M3/20110411/F50911/1015/1", 40.32)</f>
        <v>40.32</v>
      </c>
      <c r="E5629" s="2">
        <v>11.93</v>
      </c>
      <c r="F5629" s="2">
        <v>2</v>
      </c>
      <c r="G5629" s="2" t="s">
        <v>9</v>
      </c>
      <c r="I5629" s="2" t="s">
        <v>4890</v>
      </c>
    </row>
    <row r="5630" spans="1:9" x14ac:dyDescent="0.2">
      <c r="A5630" s="2" t="s">
        <v>3306</v>
      </c>
      <c r="B5630" s="2" t="s">
        <v>616</v>
      </c>
      <c r="C5630" s="2">
        <v>577.0077</v>
      </c>
      <c r="D5630" s="2">
        <f>HYPERLINK("http://mcb-m6.bioreg.kyushu-u.ac.jp/M3/20110411/F50911/1279/1", 46.26)</f>
        <v>46.26</v>
      </c>
      <c r="E5630" s="2">
        <v>19.48</v>
      </c>
      <c r="F5630" s="2">
        <v>2</v>
      </c>
      <c r="G5630" s="2" t="s">
        <v>9</v>
      </c>
    </row>
    <row r="5631" spans="1:9" x14ac:dyDescent="0.2">
      <c r="A5631" s="2" t="s">
        <v>3306</v>
      </c>
      <c r="B5631" s="2" t="s">
        <v>1310</v>
      </c>
      <c r="C5631" s="2">
        <v>808.03769999999997</v>
      </c>
      <c r="D5631" s="2">
        <f>HYPERLINK("http://mcb-m6.bioreg.kyushu-u.ac.jp/M3/20110411/F50911/2473/1", 72.28)</f>
        <v>72.28</v>
      </c>
      <c r="E5631" s="2">
        <v>51.34</v>
      </c>
      <c r="F5631" s="2">
        <v>2</v>
      </c>
      <c r="G5631" s="2" t="s">
        <v>9</v>
      </c>
    </row>
    <row r="5632" spans="1:9" x14ac:dyDescent="0.2">
      <c r="A5632" s="2" t="s">
        <v>3306</v>
      </c>
      <c r="B5632" s="2" t="s">
        <v>1310</v>
      </c>
      <c r="C5632" s="2">
        <v>807.61469999999997</v>
      </c>
      <c r="D5632" s="2">
        <f>HYPERLINK("http://mcb-m6.bioreg.kyushu-u.ac.jp/M3/20110411/F50914/2425/1", 63.38)</f>
        <v>63.38</v>
      </c>
      <c r="E5632" s="2">
        <v>45.21</v>
      </c>
      <c r="F5632" s="2">
        <v>2</v>
      </c>
      <c r="G5632" s="2" t="s">
        <v>10</v>
      </c>
    </row>
    <row r="5633" spans="1:9" x14ac:dyDescent="0.2">
      <c r="A5633" s="2" t="s">
        <v>3306</v>
      </c>
      <c r="B5633" s="2" t="s">
        <v>1310</v>
      </c>
      <c r="C5633" s="2">
        <v>807.76670000000001</v>
      </c>
      <c r="D5633" s="2">
        <f>HYPERLINK("http://mcb-m6.bioreg.kyushu-u.ac.jp/M3/20110414/F50943/2292/1", 68.07)</f>
        <v>68.069999999999993</v>
      </c>
      <c r="E5633" s="2">
        <v>49.66</v>
      </c>
      <c r="F5633" s="2">
        <v>2</v>
      </c>
      <c r="G5633" s="2" t="s">
        <v>11</v>
      </c>
    </row>
    <row r="5634" spans="1:9" x14ac:dyDescent="0.2">
      <c r="A5634" s="2" t="s">
        <v>3306</v>
      </c>
      <c r="B5634" s="2" t="s">
        <v>1310</v>
      </c>
      <c r="C5634" s="2">
        <v>807.34010000000001</v>
      </c>
      <c r="D5634" s="2">
        <f>HYPERLINK("http://mcb-m6.bioreg.kyushu-u.ac.jp/M3/20110414/F50942/2303/1", 74.13)</f>
        <v>74.13</v>
      </c>
      <c r="E5634" s="2">
        <v>63.58</v>
      </c>
      <c r="F5634" s="2">
        <v>2</v>
      </c>
      <c r="G5634" s="2" t="s">
        <v>11</v>
      </c>
    </row>
    <row r="5635" spans="1:9" x14ac:dyDescent="0.2">
      <c r="A5635" s="2" t="s">
        <v>3306</v>
      </c>
      <c r="B5635" s="2" t="s">
        <v>1310</v>
      </c>
      <c r="C5635" s="2">
        <v>807.04859999999996</v>
      </c>
      <c r="D5635" s="2">
        <f>HYPERLINK("http://mcb-m6.bioreg.kyushu-u.ac.jp/M3/20110414/F50948/2505/1", 69.28)</f>
        <v>69.28</v>
      </c>
      <c r="E5635" s="2">
        <v>51.81</v>
      </c>
      <c r="F5635" s="2">
        <v>2</v>
      </c>
      <c r="G5635" s="2" t="s">
        <v>12</v>
      </c>
    </row>
    <row r="5636" spans="1:9" x14ac:dyDescent="0.2">
      <c r="A5636" s="2" t="s">
        <v>3306</v>
      </c>
      <c r="B5636" s="2" t="s">
        <v>1310</v>
      </c>
      <c r="C5636" s="2">
        <v>807.63319999999999</v>
      </c>
      <c r="D5636" s="2">
        <f>HYPERLINK("http://mcb-m6.bioreg.kyushu-u.ac.jp/M3/20110414/F50948/2506/1", 76.19)</f>
        <v>76.19</v>
      </c>
      <c r="E5636" s="2">
        <v>64.94</v>
      </c>
      <c r="F5636" s="2">
        <v>2</v>
      </c>
      <c r="G5636" s="2" t="s">
        <v>12</v>
      </c>
    </row>
    <row r="5637" spans="1:9" x14ac:dyDescent="0.2">
      <c r="A5637" s="2" t="s">
        <v>3306</v>
      </c>
      <c r="B5637" s="2" t="s">
        <v>1310</v>
      </c>
      <c r="C5637" s="2">
        <v>807.7817</v>
      </c>
      <c r="D5637" s="2">
        <f>HYPERLINK("http://mcb-m6.bioreg.kyushu-u.ac.jp/M3/20110502/F51183/2276/1", 71.78)</f>
        <v>71.78</v>
      </c>
      <c r="E5637" s="2">
        <v>50.8</v>
      </c>
      <c r="F5637" s="2">
        <v>2</v>
      </c>
      <c r="G5637" s="2" t="s">
        <v>14</v>
      </c>
    </row>
    <row r="5638" spans="1:9" x14ac:dyDescent="0.2">
      <c r="A5638" s="2" t="s">
        <v>3591</v>
      </c>
      <c r="B5638" s="2" t="s">
        <v>477</v>
      </c>
      <c r="C5638" s="2">
        <v>586.55409999999995</v>
      </c>
      <c r="D5638" s="2">
        <f>HYPERLINK("http://mcb-m6.bioreg.kyushu-u.ac.jp/M3/20110411/F50911/1333/1", 42.7)</f>
        <v>42.7</v>
      </c>
      <c r="E5638" s="2">
        <v>20.260000000000002</v>
      </c>
      <c r="F5638" s="2">
        <v>2</v>
      </c>
      <c r="G5638" s="2" t="s">
        <v>9</v>
      </c>
      <c r="I5638" s="2" t="s">
        <v>4899</v>
      </c>
    </row>
    <row r="5639" spans="1:9" x14ac:dyDescent="0.2">
      <c r="A5639" s="2" t="s">
        <v>4520</v>
      </c>
      <c r="B5639" s="2" t="s">
        <v>2535</v>
      </c>
      <c r="C5639" s="2">
        <v>634.75570000000005</v>
      </c>
      <c r="D5639" s="2">
        <f>HYPERLINK("http://mcb-m6.bioreg.kyushu-u.ac.jp/M3/20110414/F50959/1173/1", 36.43)</f>
        <v>36.43</v>
      </c>
      <c r="E5639" s="2">
        <v>19.34</v>
      </c>
      <c r="F5639" s="2">
        <v>2</v>
      </c>
      <c r="G5639" s="2" t="s">
        <v>12</v>
      </c>
    </row>
    <row r="5640" spans="1:9" x14ac:dyDescent="0.2">
      <c r="A5640" s="2" t="s">
        <v>4520</v>
      </c>
      <c r="B5640" s="2" t="s">
        <v>2535</v>
      </c>
      <c r="C5640" s="2">
        <v>634.3057</v>
      </c>
      <c r="D5640" s="2">
        <f>HYPERLINK("http://mcb-m6.bioreg.kyushu-u.ac.jp/M3/20110502/F51194/1236/1", 43.93)</f>
        <v>43.93</v>
      </c>
      <c r="E5640" s="2">
        <v>29.22</v>
      </c>
      <c r="F5640" s="2">
        <v>2</v>
      </c>
      <c r="G5640" s="2" t="s">
        <v>14</v>
      </c>
    </row>
    <row r="5641" spans="1:9" x14ac:dyDescent="0.2">
      <c r="A5641" s="2" t="s">
        <v>3698</v>
      </c>
      <c r="B5641" s="2" t="s">
        <v>671</v>
      </c>
      <c r="C5641" s="2">
        <v>886.64</v>
      </c>
      <c r="D5641" s="2">
        <f>HYPERLINK("http://mcb-m6.bioreg.kyushu-u.ac.jp/M3/20110411/F50916/628/1", 47.86)</f>
        <v>47.86</v>
      </c>
      <c r="E5641" s="2">
        <v>30.1</v>
      </c>
      <c r="F5641" s="2">
        <v>1</v>
      </c>
      <c r="G5641" s="2" t="s">
        <v>9</v>
      </c>
    </row>
    <row r="5642" spans="1:9" x14ac:dyDescent="0.2">
      <c r="A5642" s="2" t="s">
        <v>3698</v>
      </c>
      <c r="B5642" s="2" t="s">
        <v>671</v>
      </c>
      <c r="C5642" s="2">
        <v>886.73400000000004</v>
      </c>
      <c r="D5642" s="2">
        <f>HYPERLINK("http://mcb-m6.bioreg.kyushu-u.ac.jp/M3/20110411/F50911/767/1", 49.58)</f>
        <v>49.58</v>
      </c>
      <c r="E5642" s="2">
        <v>24.74</v>
      </c>
      <c r="F5642" s="2">
        <v>1</v>
      </c>
      <c r="G5642" s="2" t="s">
        <v>9</v>
      </c>
    </row>
    <row r="5643" spans="1:9" x14ac:dyDescent="0.2">
      <c r="A5643" s="2" t="s">
        <v>3698</v>
      </c>
      <c r="B5643" s="2" t="s">
        <v>671</v>
      </c>
      <c r="C5643" s="2">
        <v>886.79</v>
      </c>
      <c r="D5643" s="2">
        <f>HYPERLINK("http://mcb-m6.bioreg.kyushu-u.ac.jp/M3/20110411/F50913/826/1", 41.94)</f>
        <v>41.94</v>
      </c>
      <c r="E5643" s="2">
        <v>22.3</v>
      </c>
      <c r="F5643" s="2">
        <v>1</v>
      </c>
      <c r="G5643" s="2" t="s">
        <v>10</v>
      </c>
    </row>
    <row r="5644" spans="1:9" x14ac:dyDescent="0.2">
      <c r="A5644" s="2" t="s">
        <v>3698</v>
      </c>
      <c r="B5644" s="2" t="s">
        <v>671</v>
      </c>
      <c r="C5644" s="2">
        <v>887.04899999999998</v>
      </c>
      <c r="D5644" s="2">
        <f>HYPERLINK("http://mcb-m6.bioreg.kyushu-u.ac.jp/M3/20110502/F51183/503/1", 57.25)</f>
        <v>57.25</v>
      </c>
      <c r="E5644" s="2">
        <v>29.83</v>
      </c>
      <c r="F5644" s="2">
        <v>1</v>
      </c>
      <c r="G5644" s="2" t="s">
        <v>14</v>
      </c>
    </row>
    <row r="5645" spans="1:9" x14ac:dyDescent="0.2">
      <c r="A5645" s="2" t="s">
        <v>3532</v>
      </c>
      <c r="B5645" s="2" t="s">
        <v>382</v>
      </c>
      <c r="C5645" s="2">
        <v>882.35500000000002</v>
      </c>
      <c r="D5645" s="2">
        <f>HYPERLINK("http://mcb-m6.bioreg.kyushu-u.ac.jp/M3/20110411/F50916/627/1", 40.81)</f>
        <v>40.81</v>
      </c>
      <c r="E5645" s="2">
        <v>25.74</v>
      </c>
      <c r="F5645" s="2">
        <v>1</v>
      </c>
      <c r="G5645" s="2" t="s">
        <v>9</v>
      </c>
    </row>
    <row r="5646" spans="1:9" x14ac:dyDescent="0.2">
      <c r="A5646" s="2" t="s">
        <v>3532</v>
      </c>
      <c r="B5646" s="2" t="s">
        <v>823</v>
      </c>
      <c r="C5646" s="2">
        <v>655.65750000000003</v>
      </c>
      <c r="D5646" s="2">
        <f>HYPERLINK("http://mcb-m6.bioreg.kyushu-u.ac.jp/M3/20110411/F50916/3062/1", 52.52)</f>
        <v>52.52</v>
      </c>
      <c r="E5646" s="2">
        <v>31.33</v>
      </c>
      <c r="F5646" s="2">
        <v>3</v>
      </c>
      <c r="G5646" s="2" t="s">
        <v>9</v>
      </c>
    </row>
    <row r="5647" spans="1:9" x14ac:dyDescent="0.2">
      <c r="A5647" s="2" t="s">
        <v>3532</v>
      </c>
      <c r="B5647" s="2" t="s">
        <v>1117</v>
      </c>
      <c r="C5647" s="2">
        <v>882.43520000000001</v>
      </c>
      <c r="D5647" s="2">
        <f>HYPERLINK("http://mcb-m6.bioreg.kyushu-u.ac.jp/M3/20110411/F50916/2614/1", 63.83)</f>
        <v>63.83</v>
      </c>
      <c r="E5647" s="2">
        <v>52.08</v>
      </c>
      <c r="F5647" s="2">
        <v>2</v>
      </c>
      <c r="G5647" s="2" t="s">
        <v>9</v>
      </c>
    </row>
    <row r="5648" spans="1:9" x14ac:dyDescent="0.2">
      <c r="A5648" s="2" t="s">
        <v>3532</v>
      </c>
      <c r="B5648" s="2" t="s">
        <v>1278</v>
      </c>
      <c r="C5648" s="2">
        <v>825.66669999999999</v>
      </c>
      <c r="D5648" s="2">
        <f>HYPERLINK("http://mcb-m6.bioreg.kyushu-u.ac.jp/M3/20110411/F50916/2344/1", 70.23)</f>
        <v>70.23</v>
      </c>
      <c r="E5648" s="2">
        <v>47.64</v>
      </c>
      <c r="F5648" s="2">
        <v>2</v>
      </c>
      <c r="G5648" s="2" t="s">
        <v>9</v>
      </c>
    </row>
    <row r="5649" spans="1:7" x14ac:dyDescent="0.2">
      <c r="A5649" s="2" t="s">
        <v>3532</v>
      </c>
      <c r="B5649" s="2" t="s">
        <v>1300</v>
      </c>
      <c r="C5649" s="2">
        <v>627.15369999999996</v>
      </c>
      <c r="D5649" s="2">
        <f>HYPERLINK("http://mcb-m6.bioreg.kyushu-u.ac.jp/M3/20110411/F50916/1298/1", 71.46)</f>
        <v>71.459999999999994</v>
      </c>
      <c r="E5649" s="2">
        <v>51.2</v>
      </c>
      <c r="F5649" s="2">
        <v>2</v>
      </c>
      <c r="G5649" s="2" t="s">
        <v>9</v>
      </c>
    </row>
    <row r="5650" spans="1:7" x14ac:dyDescent="0.2">
      <c r="A5650" s="2" t="s">
        <v>3532</v>
      </c>
      <c r="B5650" s="2" t="s">
        <v>1326</v>
      </c>
      <c r="C5650" s="2">
        <v>572.43370000000004</v>
      </c>
      <c r="D5650" s="2">
        <f>HYPERLINK("http://mcb-m6.bioreg.kyushu-u.ac.jp/M3/20110411/F50916/1055/1", 73.32)</f>
        <v>73.319999999999993</v>
      </c>
      <c r="E5650" s="2">
        <v>54.26</v>
      </c>
      <c r="F5650" s="2">
        <v>2</v>
      </c>
      <c r="G5650" s="2" t="s">
        <v>9</v>
      </c>
    </row>
    <row r="5651" spans="1:7" x14ac:dyDescent="0.2">
      <c r="A5651" s="2" t="s">
        <v>3532</v>
      </c>
      <c r="B5651" s="2" t="s">
        <v>823</v>
      </c>
      <c r="C5651" s="2">
        <v>982.55820000000006</v>
      </c>
      <c r="D5651" s="2">
        <f>HYPERLINK("http://mcb-m6.bioreg.kyushu-u.ac.jp/M3/20110411/F50916/3058/1", 91.21)</f>
        <v>91.21</v>
      </c>
      <c r="E5651" s="2">
        <v>76.72</v>
      </c>
      <c r="F5651" s="2">
        <v>2</v>
      </c>
      <c r="G5651" s="2" t="s">
        <v>9</v>
      </c>
    </row>
    <row r="5652" spans="1:7" x14ac:dyDescent="0.2">
      <c r="A5652" s="2" t="s">
        <v>3532</v>
      </c>
      <c r="B5652" s="2" t="s">
        <v>1948</v>
      </c>
      <c r="C5652" s="2">
        <v>671.57370000000003</v>
      </c>
      <c r="D5652" s="2">
        <f>HYPERLINK("http://mcb-m6.bioreg.kyushu-u.ac.jp/M3/20110411/F50918/1472/1", 53.02)</f>
        <v>53.02</v>
      </c>
      <c r="E5652" s="2">
        <v>35.299999999999997</v>
      </c>
      <c r="F5652" s="2">
        <v>2</v>
      </c>
      <c r="G5652" s="2" t="s">
        <v>10</v>
      </c>
    </row>
    <row r="5653" spans="1:7" x14ac:dyDescent="0.2">
      <c r="A5653" s="2" t="s">
        <v>3532</v>
      </c>
      <c r="B5653" s="2" t="s">
        <v>1326</v>
      </c>
      <c r="C5653" s="2">
        <v>572.46420000000001</v>
      </c>
      <c r="D5653" s="2">
        <f>HYPERLINK("http://mcb-m6.bioreg.kyushu-u.ac.jp/M3/20110411/F50918/1034/1", 74.44)</f>
        <v>74.44</v>
      </c>
      <c r="E5653" s="2">
        <v>58.13</v>
      </c>
      <c r="F5653" s="2">
        <v>2</v>
      </c>
      <c r="G5653" s="2" t="s">
        <v>10</v>
      </c>
    </row>
    <row r="5654" spans="1:7" x14ac:dyDescent="0.2">
      <c r="A5654" s="2" t="s">
        <v>3532</v>
      </c>
      <c r="B5654" s="2" t="s">
        <v>823</v>
      </c>
      <c r="C5654" s="2">
        <v>982.5652</v>
      </c>
      <c r="D5654" s="2">
        <f>HYPERLINK("http://mcb-m6.bioreg.kyushu-u.ac.jp/M3/20110411/F50918/2995/1", 91.93)</f>
        <v>91.93</v>
      </c>
      <c r="E5654" s="2">
        <v>75.67</v>
      </c>
      <c r="F5654" s="2">
        <v>2</v>
      </c>
      <c r="G5654" s="2" t="s">
        <v>10</v>
      </c>
    </row>
    <row r="5655" spans="1:7" x14ac:dyDescent="0.2">
      <c r="A5655" s="2" t="s">
        <v>3532</v>
      </c>
      <c r="B5655" s="2" t="s">
        <v>2406</v>
      </c>
      <c r="C5655" s="2">
        <v>904.27419999999995</v>
      </c>
      <c r="D5655" s="2">
        <f>HYPERLINK("http://mcb-m6.bioreg.kyushu-u.ac.jp/M3/20110414/F50957/2927/1", 57.74)</f>
        <v>57.74</v>
      </c>
      <c r="E5655" s="2">
        <v>46.38</v>
      </c>
      <c r="F5655" s="2">
        <v>2</v>
      </c>
      <c r="G5655" s="2" t="s">
        <v>11</v>
      </c>
    </row>
    <row r="5656" spans="1:7" x14ac:dyDescent="0.2">
      <c r="A5656" s="2" t="s">
        <v>3532</v>
      </c>
      <c r="B5656" s="2" t="s">
        <v>1948</v>
      </c>
      <c r="C5656" s="2">
        <v>671.19269999999995</v>
      </c>
      <c r="D5656" s="2">
        <f>HYPERLINK("http://mcb-m6.bioreg.kyushu-u.ac.jp/M3/20110414/F50957/1408/1", 60.86)</f>
        <v>60.86</v>
      </c>
      <c r="E5656" s="2">
        <v>39.340000000000003</v>
      </c>
      <c r="F5656" s="2">
        <v>2</v>
      </c>
      <c r="G5656" s="2" t="s">
        <v>11</v>
      </c>
    </row>
    <row r="5657" spans="1:7" x14ac:dyDescent="0.2">
      <c r="A5657" s="2" t="s">
        <v>3532</v>
      </c>
      <c r="B5657" s="2" t="s">
        <v>1326</v>
      </c>
      <c r="C5657" s="2">
        <v>572.21010000000001</v>
      </c>
      <c r="D5657" s="2">
        <f>HYPERLINK("http://mcb-m6.bioreg.kyushu-u.ac.jp/M3/20110414/F50957/855/1", 66.02)</f>
        <v>66.02</v>
      </c>
      <c r="E5657" s="2">
        <v>43.15</v>
      </c>
      <c r="F5657" s="2">
        <v>2</v>
      </c>
      <c r="G5657" s="2" t="s">
        <v>11</v>
      </c>
    </row>
    <row r="5658" spans="1:7" x14ac:dyDescent="0.2">
      <c r="A5658" s="2" t="s">
        <v>3532</v>
      </c>
      <c r="B5658" s="2" t="s">
        <v>823</v>
      </c>
      <c r="C5658" s="2">
        <v>982.89869999999996</v>
      </c>
      <c r="D5658" s="2">
        <f>HYPERLINK("http://mcb-m6.bioreg.kyushu-u.ac.jp/M3/20110414/F50959/3494/1", 79.88)</f>
        <v>79.88</v>
      </c>
      <c r="E5658" s="2">
        <v>66.03</v>
      </c>
      <c r="F5658" s="2">
        <v>2</v>
      </c>
      <c r="G5658" s="2" t="s">
        <v>12</v>
      </c>
    </row>
    <row r="5659" spans="1:7" x14ac:dyDescent="0.2">
      <c r="A5659" s="2" t="s">
        <v>3532</v>
      </c>
      <c r="B5659" s="2" t="s">
        <v>1326</v>
      </c>
      <c r="C5659" s="2">
        <v>572.33420000000001</v>
      </c>
      <c r="D5659" s="2">
        <f>HYPERLINK("http://mcb-m6.bioreg.kyushu-u.ac.jp/M3/20110414/F50959/813/1", 81.88)</f>
        <v>81.88</v>
      </c>
      <c r="E5659" s="2">
        <v>66.95</v>
      </c>
      <c r="F5659" s="2">
        <v>2</v>
      </c>
      <c r="G5659" s="2" t="s">
        <v>12</v>
      </c>
    </row>
    <row r="5660" spans="1:7" x14ac:dyDescent="0.2">
      <c r="A5660" s="2" t="s">
        <v>3532</v>
      </c>
      <c r="B5660" s="2" t="s">
        <v>2779</v>
      </c>
      <c r="C5660" s="2">
        <v>1320.43</v>
      </c>
      <c r="D5660" s="2">
        <f>HYPERLINK("http://mcb-m6.bioreg.kyushu-u.ac.jp/M3/20110414/F50959/4727/1", 91.13)</f>
        <v>91.13</v>
      </c>
      <c r="E5660" s="2">
        <v>80.41</v>
      </c>
      <c r="F5660" s="2">
        <v>2</v>
      </c>
      <c r="G5660" s="2" t="s">
        <v>12</v>
      </c>
    </row>
    <row r="5661" spans="1:7" x14ac:dyDescent="0.2">
      <c r="A5661" s="2" t="s">
        <v>3532</v>
      </c>
      <c r="B5661" s="2" t="s">
        <v>823</v>
      </c>
      <c r="C5661" s="2">
        <v>982.36109999999996</v>
      </c>
      <c r="D5661" s="2">
        <f>HYPERLINK("http://mcb-m6.bioreg.kyushu-u.ac.jp/M3/20110414/F50959/3488/1", 93.37)</f>
        <v>93.37</v>
      </c>
      <c r="E5661" s="2">
        <v>82.41</v>
      </c>
      <c r="F5661" s="2">
        <v>2</v>
      </c>
      <c r="G5661" s="2" t="s">
        <v>12</v>
      </c>
    </row>
    <row r="5662" spans="1:7" x14ac:dyDescent="0.2">
      <c r="A5662" s="2" t="s">
        <v>3532</v>
      </c>
      <c r="B5662" s="2" t="s">
        <v>823</v>
      </c>
      <c r="C5662" s="2">
        <v>982.63819999999998</v>
      </c>
      <c r="D5662" s="2">
        <f>HYPERLINK("http://mcb-m6.bioreg.kyushu-u.ac.jp/M3/20110502/F51189/2694/1", 39.31)</f>
        <v>39.31</v>
      </c>
      <c r="E5662" s="2">
        <v>20.89</v>
      </c>
      <c r="F5662" s="2">
        <v>2</v>
      </c>
      <c r="G5662" s="2" t="s">
        <v>13</v>
      </c>
    </row>
    <row r="5663" spans="1:7" x14ac:dyDescent="0.2">
      <c r="A5663" s="2" t="s">
        <v>3532</v>
      </c>
      <c r="B5663" s="2" t="s">
        <v>1300</v>
      </c>
      <c r="C5663" s="2">
        <v>627.38210000000004</v>
      </c>
      <c r="D5663" s="2">
        <f>HYPERLINK("http://mcb-m6.bioreg.kyushu-u.ac.jp/M3/20110502/F51173/1185/1", 49.19)</f>
        <v>49.19</v>
      </c>
      <c r="E5663" s="2">
        <v>23.83</v>
      </c>
      <c r="F5663" s="2">
        <v>2</v>
      </c>
      <c r="G5663" s="2" t="s">
        <v>13</v>
      </c>
    </row>
    <row r="5664" spans="1:7" x14ac:dyDescent="0.2">
      <c r="A5664" s="2" t="s">
        <v>3532</v>
      </c>
      <c r="B5664" s="2" t="s">
        <v>1326</v>
      </c>
      <c r="C5664" s="2">
        <v>572.61360000000002</v>
      </c>
      <c r="D5664" s="2">
        <f>HYPERLINK("http://mcb-m6.bioreg.kyushu-u.ac.jp/M3/20110502/F51189/1072/1", 66.15)</f>
        <v>66.150000000000006</v>
      </c>
      <c r="E5664" s="2">
        <v>42.94</v>
      </c>
      <c r="F5664" s="2">
        <v>2</v>
      </c>
      <c r="G5664" s="2" t="s">
        <v>13</v>
      </c>
    </row>
    <row r="5665" spans="1:8" x14ac:dyDescent="0.2">
      <c r="A5665" s="2" t="s">
        <v>3532</v>
      </c>
      <c r="B5665" s="2" t="s">
        <v>1300</v>
      </c>
      <c r="C5665" s="2">
        <v>626.91060000000004</v>
      </c>
      <c r="D5665" s="2">
        <f>HYPERLINK("http://mcb-m6.bioreg.kyushu-u.ac.jp/M3/20110502/F51189/1278/1", 69.07)</f>
        <v>69.069999999999993</v>
      </c>
      <c r="E5665" s="2">
        <v>39.909999999999997</v>
      </c>
      <c r="F5665" s="2">
        <v>2</v>
      </c>
      <c r="G5665" s="2" t="s">
        <v>13</v>
      </c>
    </row>
    <row r="5666" spans="1:8" x14ac:dyDescent="0.2">
      <c r="A5666" s="2" t="s">
        <v>3532</v>
      </c>
      <c r="B5666" s="2" t="s">
        <v>1948</v>
      </c>
      <c r="C5666" s="2">
        <v>671.57069999999999</v>
      </c>
      <c r="D5666" s="2">
        <f>HYPERLINK("http://mcb-m6.bioreg.kyushu-u.ac.jp/M3/20110502/F51189/1436/1", 70.03)</f>
        <v>70.03</v>
      </c>
      <c r="E5666" s="2">
        <v>41.99</v>
      </c>
      <c r="F5666" s="2">
        <v>2</v>
      </c>
      <c r="G5666" s="2" t="s">
        <v>13</v>
      </c>
    </row>
    <row r="5667" spans="1:8" x14ac:dyDescent="0.2">
      <c r="A5667" s="2" t="s">
        <v>3532</v>
      </c>
      <c r="B5667" s="2" t="s">
        <v>823</v>
      </c>
      <c r="C5667" s="2">
        <v>655.63789999999995</v>
      </c>
      <c r="D5667" s="2">
        <f>HYPERLINK("http://mcb-m6.bioreg.kyushu-u.ac.jp/M3/20110502/F51194/3003/1", 48.06)</f>
        <v>48.06</v>
      </c>
      <c r="E5667" s="2">
        <v>31.83</v>
      </c>
      <c r="F5667" s="2">
        <v>3</v>
      </c>
      <c r="G5667" s="2" t="s">
        <v>14</v>
      </c>
    </row>
    <row r="5668" spans="1:8" x14ac:dyDescent="0.2">
      <c r="A5668" s="2" t="s">
        <v>3532</v>
      </c>
      <c r="B5668" s="2" t="s">
        <v>823</v>
      </c>
      <c r="C5668" s="2">
        <v>983.10860000000002</v>
      </c>
      <c r="D5668" s="2">
        <f>HYPERLINK("http://mcb-m6.bioreg.kyushu-u.ac.jp/M3/20110502/F51194/3005/1", 59.38)</f>
        <v>59.38</v>
      </c>
      <c r="E5668" s="2">
        <v>42.41</v>
      </c>
      <c r="F5668" s="2">
        <v>2</v>
      </c>
      <c r="G5668" s="2" t="s">
        <v>14</v>
      </c>
    </row>
    <row r="5669" spans="1:8" x14ac:dyDescent="0.2">
      <c r="A5669" s="2" t="s">
        <v>3532</v>
      </c>
      <c r="B5669" s="2" t="s">
        <v>1300</v>
      </c>
      <c r="C5669" s="2">
        <v>626.95759999999996</v>
      </c>
      <c r="D5669" s="2">
        <f>HYPERLINK("http://mcb-m6.bioreg.kyushu-u.ac.jp/M3/20110502/F51194/1193/1", 73.12)</f>
        <v>73.12</v>
      </c>
      <c r="E5669" s="2">
        <v>56.97</v>
      </c>
      <c r="F5669" s="2">
        <v>2</v>
      </c>
      <c r="G5669" s="2" t="s">
        <v>14</v>
      </c>
    </row>
    <row r="5670" spans="1:8" x14ac:dyDescent="0.2">
      <c r="A5670" s="2" t="s">
        <v>3532</v>
      </c>
      <c r="B5670" s="2" t="s">
        <v>1326</v>
      </c>
      <c r="C5670" s="2">
        <v>572.51620000000003</v>
      </c>
      <c r="D5670" s="2">
        <f>HYPERLINK("http://mcb-m6.bioreg.kyushu-u.ac.jp/M3/20110502/F51194/918/1", 77.16)</f>
        <v>77.16</v>
      </c>
      <c r="E5670" s="2">
        <v>59.09</v>
      </c>
      <c r="F5670" s="2">
        <v>2</v>
      </c>
      <c r="G5670" s="2" t="s">
        <v>14</v>
      </c>
    </row>
    <row r="5671" spans="1:8" x14ac:dyDescent="0.2">
      <c r="A5671" s="2" t="s">
        <v>3532</v>
      </c>
      <c r="B5671" s="2" t="s">
        <v>1948</v>
      </c>
      <c r="C5671" s="2">
        <v>671.45669999999996</v>
      </c>
      <c r="D5671" s="2">
        <f>HYPERLINK("http://mcb-m6.bioreg.kyushu-u.ac.jp/M3/20110502/F51194/1406/1", 78.28)</f>
        <v>78.28</v>
      </c>
      <c r="E5671" s="2">
        <v>52.75</v>
      </c>
      <c r="F5671" s="2">
        <v>2</v>
      </c>
      <c r="G5671" s="2" t="s">
        <v>14</v>
      </c>
    </row>
    <row r="5672" spans="1:8" x14ac:dyDescent="0.2">
      <c r="A5672" s="2" t="s">
        <v>3532</v>
      </c>
      <c r="B5672" s="2" t="s">
        <v>2406</v>
      </c>
      <c r="C5672" s="2">
        <v>904.50819999999999</v>
      </c>
      <c r="D5672" s="2">
        <f>HYPERLINK("http://mcb-m6.bioreg.kyushu-u.ac.jp/M3/20110502/F51194/2655/1", 98.02)</f>
        <v>98.02</v>
      </c>
      <c r="E5672" s="2">
        <v>84.63</v>
      </c>
      <c r="F5672" s="2">
        <v>2</v>
      </c>
      <c r="G5672" s="2" t="s">
        <v>14</v>
      </c>
    </row>
    <row r="5673" spans="1:8" x14ac:dyDescent="0.2">
      <c r="A5673" s="2" t="s">
        <v>4883</v>
      </c>
      <c r="B5673" s="2" t="s">
        <v>3214</v>
      </c>
      <c r="C5673" s="2">
        <v>609.95209999999997</v>
      </c>
      <c r="D5673" s="2">
        <f>HYPERLINK("http://mcb-m6.bioreg.kyushu-u.ac.jp/M3/20110502/F51179/1107/1", 81.24)</f>
        <v>81.239999999999995</v>
      </c>
      <c r="E5673" s="2">
        <v>62.6</v>
      </c>
      <c r="F5673" s="2">
        <v>2</v>
      </c>
      <c r="G5673" s="2" t="s">
        <v>14</v>
      </c>
    </row>
    <row r="5674" spans="1:8" x14ac:dyDescent="0.2">
      <c r="A5674" s="2" t="s">
        <v>3765</v>
      </c>
      <c r="B5674" s="2" t="s">
        <v>782</v>
      </c>
      <c r="C5674" s="2">
        <v>564.86720000000003</v>
      </c>
      <c r="D5674" s="2">
        <f>HYPERLINK("http://mcb-m6.bioreg.kyushu-u.ac.jp/M3/20110411/F50889/1749/1", 51.21)</f>
        <v>51.21</v>
      </c>
      <c r="E5674" s="2">
        <v>25.22</v>
      </c>
      <c r="F5674" s="2">
        <v>2</v>
      </c>
      <c r="G5674" s="2" t="s">
        <v>9</v>
      </c>
    </row>
    <row r="5675" spans="1:8" x14ac:dyDescent="0.2">
      <c r="A5675" s="2" t="s">
        <v>3765</v>
      </c>
      <c r="B5675" s="2" t="s">
        <v>792</v>
      </c>
      <c r="C5675" s="2">
        <v>492.22109999999998</v>
      </c>
      <c r="D5675" s="2">
        <f>HYPERLINK("http://mcb-m6.bioreg.kyushu-u.ac.jp/M3/20110411/F50889/1492/1", 51.46)</f>
        <v>51.46</v>
      </c>
      <c r="E5675" s="2">
        <v>22.17</v>
      </c>
      <c r="F5675" s="2">
        <v>2</v>
      </c>
      <c r="G5675" s="2" t="s">
        <v>9</v>
      </c>
    </row>
    <row r="5676" spans="1:8" x14ac:dyDescent="0.2">
      <c r="A5676" s="2" t="s">
        <v>3765</v>
      </c>
      <c r="B5676" s="2" t="s">
        <v>1674</v>
      </c>
      <c r="C5676" s="2">
        <v>1098.2829999999999</v>
      </c>
      <c r="D5676" s="2">
        <f>HYPERLINK("http://mcb-m6.bioreg.kyushu-u.ac.jp/M3/20110411/F50889/2958/1", 126.75)</f>
        <v>126.75</v>
      </c>
      <c r="E5676" s="2">
        <v>115.12</v>
      </c>
      <c r="F5676" s="2">
        <v>2</v>
      </c>
      <c r="G5676" s="2" t="s">
        <v>9</v>
      </c>
    </row>
    <row r="5677" spans="1:8" x14ac:dyDescent="0.2">
      <c r="A5677" s="2" t="s">
        <v>3765</v>
      </c>
      <c r="B5677" s="2" t="s">
        <v>1986</v>
      </c>
      <c r="C5677" s="2">
        <v>774.98360000000002</v>
      </c>
      <c r="D5677" s="2">
        <f>HYPERLINK("http://mcb-m6.bioreg.kyushu-u.ac.jp/M3/20110411/F50897/2158/1", 57.03)</f>
        <v>57.03</v>
      </c>
      <c r="E5677" s="2">
        <v>32.880000000000003</v>
      </c>
      <c r="F5677" s="2">
        <v>2</v>
      </c>
      <c r="G5677" s="2" t="s">
        <v>10</v>
      </c>
      <c r="H5677" s="2" t="s">
        <v>4896</v>
      </c>
    </row>
    <row r="5678" spans="1:8" x14ac:dyDescent="0.2">
      <c r="A5678" s="2" t="s">
        <v>3765</v>
      </c>
      <c r="B5678" s="2" t="s">
        <v>1986</v>
      </c>
      <c r="C5678" s="2">
        <v>774.0367</v>
      </c>
      <c r="D5678" s="2">
        <f>HYPERLINK("http://mcb-m6.bioreg.kyushu-u.ac.jp/M3/20110414/F50927/2444/1", 47.79)</f>
        <v>47.79</v>
      </c>
      <c r="E5678" s="2">
        <v>10.93</v>
      </c>
      <c r="F5678" s="2">
        <v>2</v>
      </c>
      <c r="G5678" s="2" t="s">
        <v>11</v>
      </c>
      <c r="H5678" s="2" t="s">
        <v>4896</v>
      </c>
    </row>
    <row r="5679" spans="1:8" x14ac:dyDescent="0.2">
      <c r="A5679" s="2" t="s">
        <v>3765</v>
      </c>
      <c r="B5679" s="2" t="s">
        <v>1986</v>
      </c>
      <c r="C5679" s="2">
        <v>766.42520000000002</v>
      </c>
      <c r="D5679" s="2">
        <f>HYPERLINK("http://mcb-m6.bioreg.kyushu-u.ac.jp/M3/20110414/F50932/2404/1", 36.76)</f>
        <v>36.76</v>
      </c>
      <c r="E5679" s="2">
        <v>15.41</v>
      </c>
      <c r="F5679" s="2">
        <v>2</v>
      </c>
      <c r="G5679" s="2" t="s">
        <v>12</v>
      </c>
    </row>
    <row r="5680" spans="1:8" x14ac:dyDescent="0.2">
      <c r="A5680" s="2" t="s">
        <v>3765</v>
      </c>
      <c r="B5680" s="2" t="s">
        <v>1986</v>
      </c>
      <c r="C5680" s="2">
        <v>774.26260000000002</v>
      </c>
      <c r="D5680" s="2">
        <f>HYPERLINK("http://mcb-m6.bioreg.kyushu-u.ac.jp/M3/20110414/F50932/2452/1", 49.12)</f>
        <v>49.12</v>
      </c>
      <c r="E5680" s="2">
        <v>26.93</v>
      </c>
      <c r="F5680" s="2">
        <v>2</v>
      </c>
      <c r="G5680" s="2" t="s">
        <v>12</v>
      </c>
      <c r="H5680" s="2" t="s">
        <v>4896</v>
      </c>
    </row>
    <row r="5681" spans="1:8" x14ac:dyDescent="0.2">
      <c r="A5681" s="2" t="s">
        <v>3765</v>
      </c>
      <c r="B5681" s="2" t="s">
        <v>782</v>
      </c>
      <c r="C5681" s="2">
        <v>564.95069999999998</v>
      </c>
      <c r="D5681" s="2">
        <f>HYPERLINK("http://mcb-m6.bioreg.kyushu-u.ac.jp/M3/20110502/F51168/1422/1", 37.8)</f>
        <v>37.799999999999997</v>
      </c>
      <c r="E5681" s="2">
        <v>17.23</v>
      </c>
      <c r="F5681" s="2">
        <v>2</v>
      </c>
      <c r="G5681" s="2" t="s">
        <v>13</v>
      </c>
    </row>
    <row r="5682" spans="1:8" x14ac:dyDescent="0.2">
      <c r="A5682" s="2" t="s">
        <v>3765</v>
      </c>
      <c r="B5682" s="2" t="s">
        <v>1986</v>
      </c>
      <c r="C5682" s="2">
        <v>774.40419999999995</v>
      </c>
      <c r="D5682" s="2">
        <f>HYPERLINK("http://mcb-m6.bioreg.kyushu-u.ac.jp/M3/20110502/F51168/2166/1", 50.02)</f>
        <v>50.02</v>
      </c>
      <c r="E5682" s="2">
        <v>29.72</v>
      </c>
      <c r="F5682" s="2">
        <v>2</v>
      </c>
      <c r="G5682" s="2" t="s">
        <v>13</v>
      </c>
      <c r="H5682" s="2" t="s">
        <v>4896</v>
      </c>
    </row>
    <row r="5683" spans="1:8" x14ac:dyDescent="0.2">
      <c r="A5683" s="2" t="s">
        <v>3765</v>
      </c>
      <c r="B5683" s="2" t="s">
        <v>782</v>
      </c>
      <c r="C5683" s="2">
        <v>565.04769999999996</v>
      </c>
      <c r="D5683" s="2">
        <f>HYPERLINK("http://mcb-m6.bioreg.kyushu-u.ac.jp/M3/20110502/F51177/932/1", 55.01)</f>
        <v>55.01</v>
      </c>
      <c r="E5683" s="2">
        <v>33.979999999999997</v>
      </c>
      <c r="F5683" s="2">
        <v>2</v>
      </c>
      <c r="G5683" s="2" t="s">
        <v>14</v>
      </c>
    </row>
    <row r="5684" spans="1:8" x14ac:dyDescent="0.2">
      <c r="A5684" s="2" t="s">
        <v>3814</v>
      </c>
      <c r="B5684" s="2" t="s">
        <v>874</v>
      </c>
      <c r="C5684" s="2">
        <v>638.86569999999995</v>
      </c>
      <c r="D5684" s="2">
        <f>HYPERLINK("http://mcb-m6.bioreg.kyushu-u.ac.jp/M3/20110411/F50916/1349/1", 54.1)</f>
        <v>54.1</v>
      </c>
      <c r="E5684" s="2">
        <v>28.56</v>
      </c>
      <c r="F5684" s="2">
        <v>2</v>
      </c>
      <c r="G5684" s="2" t="s">
        <v>9</v>
      </c>
    </row>
    <row r="5685" spans="1:8" x14ac:dyDescent="0.2">
      <c r="A5685" s="2" t="s">
        <v>3814</v>
      </c>
      <c r="B5685" s="2" t="s">
        <v>1570</v>
      </c>
      <c r="C5685" s="2">
        <v>773.0027</v>
      </c>
      <c r="D5685" s="2">
        <f>HYPERLINK("http://mcb-m6.bioreg.kyushu-u.ac.jp/M3/20110411/F50915/2102/1", 93.51)</f>
        <v>93.51</v>
      </c>
      <c r="E5685" s="2">
        <v>68.540000000000006</v>
      </c>
      <c r="F5685" s="2">
        <v>2</v>
      </c>
      <c r="G5685" s="2" t="s">
        <v>9</v>
      </c>
    </row>
    <row r="5686" spans="1:8" x14ac:dyDescent="0.2">
      <c r="A5686" s="2" t="s">
        <v>3814</v>
      </c>
      <c r="B5686" s="2" t="s">
        <v>1570</v>
      </c>
      <c r="C5686" s="2">
        <v>773.50959999999998</v>
      </c>
      <c r="D5686" s="2">
        <f>HYPERLINK("http://mcb-m6.bioreg.kyushu-u.ac.jp/M3/20110411/F50917/2164/1", 83.87)</f>
        <v>83.87</v>
      </c>
      <c r="E5686" s="2">
        <v>58.55</v>
      </c>
      <c r="F5686" s="2">
        <v>2</v>
      </c>
      <c r="G5686" s="2" t="s">
        <v>10</v>
      </c>
    </row>
    <row r="5687" spans="1:8" x14ac:dyDescent="0.2">
      <c r="A5687" s="2" t="s">
        <v>3814</v>
      </c>
      <c r="B5687" s="2" t="s">
        <v>1570</v>
      </c>
      <c r="C5687" s="2">
        <v>773.36270000000002</v>
      </c>
      <c r="D5687" s="2">
        <f>HYPERLINK("http://mcb-m6.bioreg.kyushu-u.ac.jp/M3/20110414/F50956/2180/1", 86.31)</f>
        <v>86.31</v>
      </c>
      <c r="E5687" s="2">
        <v>67.040000000000006</v>
      </c>
      <c r="F5687" s="2">
        <v>2</v>
      </c>
      <c r="G5687" s="2" t="s">
        <v>11</v>
      </c>
    </row>
    <row r="5688" spans="1:8" x14ac:dyDescent="0.2">
      <c r="A5688" s="2" t="s">
        <v>3814</v>
      </c>
      <c r="B5688" s="2" t="s">
        <v>1570</v>
      </c>
      <c r="C5688" s="2">
        <v>772.79970000000003</v>
      </c>
      <c r="D5688" s="2">
        <f>HYPERLINK("http://mcb-m6.bioreg.kyushu-u.ac.jp/M3/20110414/F50956/2176/1", 90.36)</f>
        <v>90.36</v>
      </c>
      <c r="E5688" s="2">
        <v>67.87</v>
      </c>
      <c r="F5688" s="2">
        <v>2</v>
      </c>
      <c r="G5688" s="2" t="s">
        <v>11</v>
      </c>
    </row>
    <row r="5689" spans="1:8" x14ac:dyDescent="0.2">
      <c r="A5689" s="2" t="s">
        <v>3814</v>
      </c>
      <c r="B5689" s="2" t="s">
        <v>1570</v>
      </c>
      <c r="C5689" s="2">
        <v>772.6481</v>
      </c>
      <c r="D5689" s="2">
        <f>HYPERLINK("http://mcb-m6.bioreg.kyushu-u.ac.jp/M3/20110414/F50959/2099/1", 47.14)</f>
        <v>47.14</v>
      </c>
      <c r="E5689" s="2">
        <v>26.03</v>
      </c>
      <c r="F5689" s="2">
        <v>2</v>
      </c>
      <c r="G5689" s="2" t="s">
        <v>12</v>
      </c>
    </row>
    <row r="5690" spans="1:8" x14ac:dyDescent="0.2">
      <c r="A5690" s="2" t="s">
        <v>3814</v>
      </c>
      <c r="B5690" s="2" t="s">
        <v>1570</v>
      </c>
      <c r="C5690" s="2">
        <v>773.30160000000001</v>
      </c>
      <c r="D5690" s="2">
        <f>HYPERLINK("http://mcb-m6.bioreg.kyushu-u.ac.jp/M3/20110414/F50958/2226/1", 80.82)</f>
        <v>80.819999999999993</v>
      </c>
      <c r="E5690" s="2">
        <v>57.39</v>
      </c>
      <c r="F5690" s="2">
        <v>2</v>
      </c>
      <c r="G5690" s="2" t="s">
        <v>12</v>
      </c>
    </row>
    <row r="5691" spans="1:8" x14ac:dyDescent="0.2">
      <c r="A5691" s="2" t="s">
        <v>3814</v>
      </c>
      <c r="B5691" s="2" t="s">
        <v>874</v>
      </c>
      <c r="C5691" s="2">
        <v>638.49659999999994</v>
      </c>
      <c r="D5691" s="2">
        <f>HYPERLINK("http://mcb-m6.bioreg.kyushu-u.ac.jp/M3/20110502/F51193/1314/1", 44.43)</f>
        <v>44.43</v>
      </c>
      <c r="E5691" s="2">
        <v>26.59</v>
      </c>
      <c r="F5691" s="2">
        <v>2</v>
      </c>
      <c r="G5691" s="2" t="s">
        <v>14</v>
      </c>
    </row>
    <row r="5692" spans="1:8" x14ac:dyDescent="0.2">
      <c r="A5692" s="2" t="s">
        <v>3814</v>
      </c>
      <c r="B5692" s="2" t="s">
        <v>1570</v>
      </c>
      <c r="C5692" s="2">
        <v>773.07420000000002</v>
      </c>
      <c r="D5692" s="2">
        <f>HYPERLINK("http://mcb-m6.bioreg.kyushu-u.ac.jp/M3/20110502/F51193/2076/1", 60.76)</f>
        <v>60.76</v>
      </c>
      <c r="E5692" s="2">
        <v>42.08</v>
      </c>
      <c r="F5692" s="2">
        <v>2</v>
      </c>
      <c r="G5692" s="2" t="s">
        <v>14</v>
      </c>
    </row>
    <row r="5693" spans="1:8" x14ac:dyDescent="0.2">
      <c r="A5693" s="2" t="s">
        <v>3393</v>
      </c>
      <c r="B5693" s="2" t="s">
        <v>187</v>
      </c>
      <c r="C5693" s="2">
        <v>742.19420000000002</v>
      </c>
      <c r="D5693" s="2">
        <f>HYPERLINK("http://mcb-m6.bioreg.kyushu-u.ac.jp/M3/20110411/F50911/2100/1", 37.4)</f>
        <v>37.4</v>
      </c>
      <c r="E5693" s="2">
        <v>9.6199999999999992</v>
      </c>
      <c r="F5693" s="2">
        <v>2</v>
      </c>
      <c r="G5693" s="2" t="s">
        <v>9</v>
      </c>
      <c r="H5693" s="2" t="s">
        <v>4896</v>
      </c>
    </row>
    <row r="5694" spans="1:8" x14ac:dyDescent="0.2">
      <c r="A5694" s="2" t="s">
        <v>4388</v>
      </c>
      <c r="B5694" s="2" t="s">
        <v>2226</v>
      </c>
      <c r="C5694" s="2">
        <v>886.40009999999995</v>
      </c>
      <c r="D5694" s="2">
        <f>HYPERLINK("http://mcb-m6.bioreg.kyushu-u.ac.jp/M3/20110414/F50942/2773/1", 38.39)</f>
        <v>38.39</v>
      </c>
      <c r="E5694" s="2">
        <v>24.84</v>
      </c>
      <c r="F5694" s="2">
        <v>2</v>
      </c>
      <c r="G5694" s="2" t="s">
        <v>11</v>
      </c>
    </row>
    <row r="5695" spans="1:8" x14ac:dyDescent="0.2">
      <c r="A5695" s="2" t="s">
        <v>3859</v>
      </c>
      <c r="B5695" s="2" t="s">
        <v>967</v>
      </c>
      <c r="C5695" s="2">
        <v>849.02070000000003</v>
      </c>
      <c r="D5695" s="2">
        <f>HYPERLINK("http://mcb-m6.bioreg.kyushu-u.ac.jp/M3/20110411/F50911/2669/1", 57.18)</f>
        <v>57.18</v>
      </c>
      <c r="E5695" s="2">
        <v>29.23</v>
      </c>
      <c r="F5695" s="2">
        <v>2</v>
      </c>
      <c r="G5695" s="2" t="s">
        <v>9</v>
      </c>
    </row>
    <row r="5696" spans="1:8" x14ac:dyDescent="0.2">
      <c r="A5696" s="2" t="s">
        <v>3459</v>
      </c>
      <c r="B5696" s="2" t="s">
        <v>270</v>
      </c>
      <c r="C5696" s="2">
        <v>745.22119999999995</v>
      </c>
      <c r="D5696" s="2">
        <f>HYPERLINK("http://mcb-m6.bioreg.kyushu-u.ac.jp/M3/20110411/F50911/2117/1", 38.79)</f>
        <v>38.79</v>
      </c>
      <c r="E5696" s="2">
        <v>26.12</v>
      </c>
      <c r="F5696" s="2">
        <v>2</v>
      </c>
      <c r="G5696" s="2" t="s">
        <v>9</v>
      </c>
    </row>
    <row r="5697" spans="1:8" x14ac:dyDescent="0.2">
      <c r="A5697" s="2" t="s">
        <v>3612</v>
      </c>
      <c r="B5697" s="2" t="s">
        <v>515</v>
      </c>
      <c r="C5697" s="2">
        <v>479.42160000000001</v>
      </c>
      <c r="D5697" s="2">
        <f>HYPERLINK("http://mcb-m6.bioreg.kyushu-u.ac.jp/M3/20110411/F50911/901/1", 43.61)</f>
        <v>43.61</v>
      </c>
      <c r="E5697" s="2">
        <v>18.28</v>
      </c>
      <c r="F5697" s="2">
        <v>2</v>
      </c>
      <c r="G5697" s="2" t="s">
        <v>9</v>
      </c>
    </row>
    <row r="5698" spans="1:8" x14ac:dyDescent="0.2">
      <c r="A5698" s="2" t="s">
        <v>3612</v>
      </c>
      <c r="B5698" s="2" t="s">
        <v>932</v>
      </c>
      <c r="C5698" s="2">
        <v>613.18709999999999</v>
      </c>
      <c r="D5698" s="2">
        <f>HYPERLINK("http://mcb-m6.bioreg.kyushu-u.ac.jp/M3/20110411/F50911/1443/1", 55.96)</f>
        <v>55.96</v>
      </c>
      <c r="E5698" s="2">
        <v>22.75</v>
      </c>
      <c r="F5698" s="2">
        <v>2</v>
      </c>
      <c r="G5698" s="2" t="s">
        <v>9</v>
      </c>
      <c r="H5698" s="2" t="s">
        <v>4904</v>
      </c>
    </row>
    <row r="5699" spans="1:8" x14ac:dyDescent="0.2">
      <c r="A5699" s="2" t="s">
        <v>4504</v>
      </c>
      <c r="B5699" s="2" t="s">
        <v>2493</v>
      </c>
      <c r="C5699" s="2">
        <v>969.22519999999997</v>
      </c>
      <c r="D5699" s="2">
        <f>HYPERLINK("http://mcb-m6.bioreg.kyushu-u.ac.jp/M3/20110414/F50929/2942/1", 84.19)</f>
        <v>84.19</v>
      </c>
      <c r="E5699" s="2">
        <v>65.92</v>
      </c>
      <c r="F5699" s="2">
        <v>2</v>
      </c>
      <c r="G5699" s="2" t="s">
        <v>11</v>
      </c>
    </row>
    <row r="5700" spans="1:8" x14ac:dyDescent="0.2">
      <c r="A5700" s="2" t="s">
        <v>3544</v>
      </c>
      <c r="B5700" s="2" t="s">
        <v>400</v>
      </c>
      <c r="C5700" s="2">
        <v>617.11519999999996</v>
      </c>
      <c r="D5700" s="2">
        <f>HYPERLINK("http://mcb-m6.bioreg.kyushu-u.ac.jp/M3/20110411/F50911/1467/1", 41.16)</f>
        <v>41.16</v>
      </c>
      <c r="E5700" s="2">
        <v>26.26</v>
      </c>
      <c r="F5700" s="2">
        <v>2</v>
      </c>
      <c r="G5700" s="2" t="s">
        <v>9</v>
      </c>
    </row>
    <row r="5701" spans="1:8" x14ac:dyDescent="0.2">
      <c r="A5701" s="2" t="s">
        <v>3544</v>
      </c>
      <c r="B5701" s="2" t="s">
        <v>893</v>
      </c>
      <c r="C5701" s="2">
        <v>969.59270000000004</v>
      </c>
      <c r="D5701" s="2">
        <f>HYPERLINK("http://mcb-m6.bioreg.kyushu-u.ac.jp/M3/20110411/F50915/3159/1", 54.87)</f>
        <v>54.87</v>
      </c>
      <c r="E5701" s="2">
        <v>40.25</v>
      </c>
      <c r="F5701" s="2">
        <v>2</v>
      </c>
      <c r="G5701" s="2" t="s">
        <v>9</v>
      </c>
    </row>
    <row r="5702" spans="1:8" x14ac:dyDescent="0.2">
      <c r="A5702" s="2" t="s">
        <v>3544</v>
      </c>
      <c r="B5702" s="2" t="s">
        <v>893</v>
      </c>
      <c r="C5702" s="2">
        <v>969.59270000000004</v>
      </c>
      <c r="D5702" s="2">
        <f>HYPERLINK("http://mcb-m6.bioreg.kyushu-u.ac.jp/M3/20110411/F50917/3203/1", 43.11)</f>
        <v>43.11</v>
      </c>
      <c r="E5702" s="2">
        <v>32.17</v>
      </c>
      <c r="F5702" s="2">
        <v>2</v>
      </c>
      <c r="G5702" s="2" t="s">
        <v>10</v>
      </c>
    </row>
    <row r="5703" spans="1:8" x14ac:dyDescent="0.2">
      <c r="A5703" s="2" t="s">
        <v>3544</v>
      </c>
      <c r="B5703" s="2" t="s">
        <v>893</v>
      </c>
      <c r="C5703" s="2">
        <v>969.56320000000005</v>
      </c>
      <c r="D5703" s="2">
        <f>HYPERLINK("http://mcb-m6.bioreg.kyushu-u.ac.jp/M3/20110411/F50914/3112/1", 58.99)</f>
        <v>58.99</v>
      </c>
      <c r="E5703" s="2">
        <v>50.23</v>
      </c>
      <c r="F5703" s="2">
        <v>2</v>
      </c>
      <c r="G5703" s="2" t="s">
        <v>10</v>
      </c>
    </row>
    <row r="5704" spans="1:8" x14ac:dyDescent="0.2">
      <c r="A5704" s="2" t="s">
        <v>3544</v>
      </c>
      <c r="B5704" s="2" t="s">
        <v>893</v>
      </c>
      <c r="C5704" s="2">
        <v>969.38819999999998</v>
      </c>
      <c r="D5704" s="2">
        <f>HYPERLINK("http://mcb-m6.bioreg.kyushu-u.ac.jp/M3/20110414/F50942/3288/1", 42.86)</f>
        <v>42.86</v>
      </c>
      <c r="E5704" s="2">
        <v>29.83</v>
      </c>
      <c r="F5704" s="2">
        <v>2</v>
      </c>
      <c r="G5704" s="2" t="s">
        <v>11</v>
      </c>
    </row>
    <row r="5705" spans="1:8" x14ac:dyDescent="0.2">
      <c r="A5705" s="2" t="s">
        <v>3544</v>
      </c>
      <c r="B5705" s="2" t="s">
        <v>893</v>
      </c>
      <c r="C5705" s="2">
        <v>969.96220000000005</v>
      </c>
      <c r="D5705" s="2">
        <f>HYPERLINK("http://mcb-m6.bioreg.kyushu-u.ac.jp/M3/20110414/F50942/3292/1", 48.67)</f>
        <v>48.67</v>
      </c>
      <c r="E5705" s="2">
        <v>32.409999999999997</v>
      </c>
      <c r="F5705" s="2">
        <v>2</v>
      </c>
      <c r="G5705" s="2" t="s">
        <v>11</v>
      </c>
    </row>
    <row r="5706" spans="1:8" x14ac:dyDescent="0.2">
      <c r="A5706" s="2" t="s">
        <v>3544</v>
      </c>
      <c r="B5706" s="2" t="s">
        <v>2424</v>
      </c>
      <c r="C5706" s="2">
        <v>793.28060000000005</v>
      </c>
      <c r="D5706" s="2">
        <f>HYPERLINK("http://mcb-m6.bioreg.kyushu-u.ac.jp/M3/20110414/F50942/2248/1", 60.55)</f>
        <v>60.55</v>
      </c>
      <c r="E5706" s="2">
        <v>39.950000000000003</v>
      </c>
      <c r="F5706" s="2">
        <v>2</v>
      </c>
      <c r="G5706" s="2" t="s">
        <v>11</v>
      </c>
    </row>
    <row r="5707" spans="1:8" x14ac:dyDescent="0.2">
      <c r="A5707" s="2" t="s">
        <v>3544</v>
      </c>
      <c r="B5707" s="2" t="s">
        <v>893</v>
      </c>
      <c r="C5707" s="2">
        <v>969.03060000000005</v>
      </c>
      <c r="D5707" s="2">
        <f>HYPERLINK("http://mcb-m6.bioreg.kyushu-u.ac.jp/M3/20110414/F50948/3417/1", 65.97)</f>
        <v>65.97</v>
      </c>
      <c r="E5707" s="2">
        <v>53.32</v>
      </c>
      <c r="F5707" s="2">
        <v>2</v>
      </c>
      <c r="G5707" s="2" t="s">
        <v>12</v>
      </c>
    </row>
    <row r="5708" spans="1:8" x14ac:dyDescent="0.2">
      <c r="A5708" s="2" t="s">
        <v>3544</v>
      </c>
      <c r="B5708" s="2" t="s">
        <v>893</v>
      </c>
      <c r="C5708" s="2">
        <v>969.56119999999999</v>
      </c>
      <c r="D5708" s="2">
        <f>HYPERLINK("http://mcb-m6.bioreg.kyushu-u.ac.jp/M3/20110414/F50948/3418/1", 74.81)</f>
        <v>74.81</v>
      </c>
      <c r="E5708" s="2">
        <v>53.83</v>
      </c>
      <c r="F5708" s="2">
        <v>2</v>
      </c>
      <c r="G5708" s="2" t="s">
        <v>12</v>
      </c>
    </row>
    <row r="5709" spans="1:8" x14ac:dyDescent="0.2">
      <c r="A5709" s="2" t="s">
        <v>3286</v>
      </c>
      <c r="B5709" s="2" t="s">
        <v>66</v>
      </c>
      <c r="C5709" s="2">
        <v>1113.7149999999999</v>
      </c>
      <c r="D5709" s="2">
        <f>HYPERLINK("http://mcb-m6.bioreg.kyushu-u.ac.jp/M3/20110411/F50911/1211/1", 35.62)</f>
        <v>35.619999999999997</v>
      </c>
      <c r="E5709" s="2">
        <v>19.09</v>
      </c>
      <c r="F5709" s="2">
        <v>1</v>
      </c>
      <c r="G5709" s="2" t="s">
        <v>9</v>
      </c>
    </row>
    <row r="5710" spans="1:8" x14ac:dyDescent="0.2">
      <c r="A5710" s="2" t="s">
        <v>3286</v>
      </c>
      <c r="B5710" s="2" t="s">
        <v>896</v>
      </c>
      <c r="C5710" s="2">
        <v>870.08720000000005</v>
      </c>
      <c r="D5710" s="2">
        <f>HYPERLINK("http://mcb-m6.bioreg.kyushu-u.ac.jp/M3/20110411/F50911/2780/1", 54.9)</f>
        <v>54.9</v>
      </c>
      <c r="E5710" s="2">
        <v>36.78</v>
      </c>
      <c r="F5710" s="2">
        <v>2</v>
      </c>
      <c r="G5710" s="2" t="s">
        <v>9</v>
      </c>
    </row>
    <row r="5711" spans="1:8" x14ac:dyDescent="0.2">
      <c r="A5711" s="2" t="s">
        <v>3286</v>
      </c>
      <c r="B5711" s="2" t="s">
        <v>1004</v>
      </c>
      <c r="C5711" s="2">
        <v>934.13419999999996</v>
      </c>
      <c r="D5711" s="2">
        <f>HYPERLINK("http://mcb-m6.bioreg.kyushu-u.ac.jp/M3/20110411/F50911/3101/1", 58.53)</f>
        <v>58.53</v>
      </c>
      <c r="E5711" s="2">
        <v>45.76</v>
      </c>
      <c r="F5711" s="2">
        <v>2</v>
      </c>
      <c r="G5711" s="2" t="s">
        <v>9</v>
      </c>
    </row>
    <row r="5712" spans="1:8" x14ac:dyDescent="0.2">
      <c r="A5712" s="2" t="s">
        <v>3286</v>
      </c>
      <c r="B5712" s="2" t="s">
        <v>1320</v>
      </c>
      <c r="C5712" s="2">
        <v>923.65719999999999</v>
      </c>
      <c r="D5712" s="2">
        <f>HYPERLINK("http://mcb-m6.bioreg.kyushu-u.ac.jp/M3/20110411/F50911/3059/1", 72.94)</f>
        <v>72.94</v>
      </c>
      <c r="E5712" s="2">
        <v>55.31</v>
      </c>
      <c r="F5712" s="2">
        <v>2</v>
      </c>
      <c r="G5712" s="2" t="s">
        <v>9</v>
      </c>
      <c r="H5712" s="2" t="s">
        <v>4904</v>
      </c>
    </row>
    <row r="5713" spans="1:8" x14ac:dyDescent="0.2">
      <c r="A5713" s="2" t="s">
        <v>3286</v>
      </c>
      <c r="B5713" s="2" t="s">
        <v>66</v>
      </c>
      <c r="C5713" s="2">
        <v>1113.5129999999999</v>
      </c>
      <c r="D5713" s="2">
        <f>HYPERLINK("http://mcb-m6.bioreg.kyushu-u.ac.jp/M3/20110411/F50914/1273/1", 35.61)</f>
        <v>35.61</v>
      </c>
      <c r="E5713" s="2">
        <v>22.49</v>
      </c>
      <c r="F5713" s="2">
        <v>1</v>
      </c>
      <c r="G5713" s="2" t="s">
        <v>10</v>
      </c>
    </row>
    <row r="5714" spans="1:8" x14ac:dyDescent="0.2">
      <c r="A5714" s="2" t="s">
        <v>3286</v>
      </c>
      <c r="B5714" s="2" t="s">
        <v>1004</v>
      </c>
      <c r="C5714" s="2">
        <v>933.99720000000002</v>
      </c>
      <c r="D5714" s="2">
        <f>HYPERLINK("http://mcb-m6.bioreg.kyushu-u.ac.jp/M3/20110411/F50914/2992/1", 40.48)</f>
        <v>40.479999999999997</v>
      </c>
      <c r="E5714" s="2">
        <v>27.86</v>
      </c>
      <c r="F5714" s="2">
        <v>2</v>
      </c>
      <c r="G5714" s="2" t="s">
        <v>10</v>
      </c>
    </row>
    <row r="5715" spans="1:8" x14ac:dyDescent="0.2">
      <c r="A5715" s="2" t="s">
        <v>3286</v>
      </c>
      <c r="B5715" s="2" t="s">
        <v>66</v>
      </c>
      <c r="C5715" s="2">
        <v>557.40260000000001</v>
      </c>
      <c r="D5715" s="2">
        <f>HYPERLINK("http://mcb-m6.bioreg.kyushu-u.ac.jp/M3/20110411/F50914/1275/1", 49.51)</f>
        <v>49.51</v>
      </c>
      <c r="E5715" s="2">
        <v>32.39</v>
      </c>
      <c r="F5715" s="2">
        <v>2</v>
      </c>
      <c r="G5715" s="2" t="s">
        <v>10</v>
      </c>
    </row>
    <row r="5716" spans="1:8" x14ac:dyDescent="0.2">
      <c r="A5716" s="2" t="s">
        <v>3286</v>
      </c>
      <c r="B5716" s="2" t="s">
        <v>1320</v>
      </c>
      <c r="C5716" s="2">
        <v>923.41769999999997</v>
      </c>
      <c r="D5716" s="2">
        <f>HYPERLINK("http://mcb-m6.bioreg.kyushu-u.ac.jp/M3/20110411/F50914/2951/1", 59.22)</f>
        <v>59.22</v>
      </c>
      <c r="E5716" s="2">
        <v>38.17</v>
      </c>
      <c r="F5716" s="2">
        <v>2</v>
      </c>
      <c r="G5716" s="2" t="s">
        <v>10</v>
      </c>
      <c r="H5716" s="2" t="s">
        <v>4904</v>
      </c>
    </row>
    <row r="5717" spans="1:8" x14ac:dyDescent="0.2">
      <c r="A5717" s="2" t="s">
        <v>3286</v>
      </c>
      <c r="B5717" s="2" t="s">
        <v>1004</v>
      </c>
      <c r="C5717" s="2">
        <v>934.5652</v>
      </c>
      <c r="D5717" s="2">
        <f>HYPERLINK("http://mcb-m6.bioreg.kyushu-u.ac.jp/M3/20110414/F50942/3085/1", 43.89)</f>
        <v>43.89</v>
      </c>
      <c r="E5717" s="2">
        <v>29.03</v>
      </c>
      <c r="F5717" s="2">
        <v>2</v>
      </c>
      <c r="G5717" s="2" t="s">
        <v>11</v>
      </c>
    </row>
    <row r="5718" spans="1:8" x14ac:dyDescent="0.2">
      <c r="A5718" s="2" t="s">
        <v>3286</v>
      </c>
      <c r="B5718" s="2" t="s">
        <v>1004</v>
      </c>
      <c r="C5718" s="2">
        <v>934.0222</v>
      </c>
      <c r="D5718" s="2">
        <f>HYPERLINK("http://mcb-m6.bioreg.kyushu-u.ac.jp/M3/20110414/F50942/3081/1", 54.56)</f>
        <v>54.56</v>
      </c>
      <c r="E5718" s="2">
        <v>42.95</v>
      </c>
      <c r="F5718" s="2">
        <v>2</v>
      </c>
      <c r="G5718" s="2" t="s">
        <v>11</v>
      </c>
    </row>
    <row r="5719" spans="1:8" x14ac:dyDescent="0.2">
      <c r="A5719" s="2" t="s">
        <v>3286</v>
      </c>
      <c r="B5719" s="2" t="s">
        <v>2399</v>
      </c>
      <c r="C5719" s="2">
        <v>863.31460000000004</v>
      </c>
      <c r="D5719" s="2">
        <f>HYPERLINK("http://mcb-m6.bioreg.kyushu-u.ac.jp/M3/20110414/F50942/2624/1", 55.15)</f>
        <v>55.15</v>
      </c>
      <c r="E5719" s="2">
        <v>45.64</v>
      </c>
      <c r="F5719" s="2">
        <v>2</v>
      </c>
      <c r="G5719" s="2" t="s">
        <v>11</v>
      </c>
    </row>
    <row r="5720" spans="1:8" x14ac:dyDescent="0.2">
      <c r="A5720" s="2" t="s">
        <v>3286</v>
      </c>
      <c r="B5720" s="2" t="s">
        <v>2399</v>
      </c>
      <c r="C5720" s="2">
        <v>862.78920000000005</v>
      </c>
      <c r="D5720" s="2">
        <f>HYPERLINK("http://mcb-m6.bioreg.kyushu-u.ac.jp/M3/20110414/F50942/2621/1", 56.99)</f>
        <v>56.99</v>
      </c>
      <c r="E5720" s="2">
        <v>41.88</v>
      </c>
      <c r="F5720" s="2">
        <v>2</v>
      </c>
      <c r="G5720" s="2" t="s">
        <v>11</v>
      </c>
    </row>
    <row r="5721" spans="1:8" x14ac:dyDescent="0.2">
      <c r="A5721" s="2" t="s">
        <v>3286</v>
      </c>
      <c r="B5721" s="2" t="s">
        <v>2399</v>
      </c>
      <c r="C5721" s="2">
        <v>862.84559999999999</v>
      </c>
      <c r="D5721" s="2">
        <f>HYPERLINK("http://mcb-m6.bioreg.kyushu-u.ac.jp/M3/20110414/F50948/2797/1", 45.76)</f>
        <v>45.76</v>
      </c>
      <c r="E5721" s="2">
        <v>25.78</v>
      </c>
      <c r="F5721" s="2">
        <v>2</v>
      </c>
      <c r="G5721" s="2" t="s">
        <v>12</v>
      </c>
    </row>
    <row r="5722" spans="1:8" x14ac:dyDescent="0.2">
      <c r="A5722" s="2" t="s">
        <v>3286</v>
      </c>
      <c r="B5722" s="2" t="s">
        <v>1004</v>
      </c>
      <c r="C5722" s="2">
        <v>934.26819999999998</v>
      </c>
      <c r="D5722" s="2">
        <f>HYPERLINK("http://mcb-m6.bioreg.kyushu-u.ac.jp/M3/20110414/F50948/3226/1", 69.56)</f>
        <v>69.56</v>
      </c>
      <c r="E5722" s="2">
        <v>57.67</v>
      </c>
      <c r="F5722" s="2">
        <v>2</v>
      </c>
      <c r="G5722" s="2" t="s">
        <v>12</v>
      </c>
    </row>
    <row r="5723" spans="1:8" x14ac:dyDescent="0.2">
      <c r="A5723" s="2" t="s">
        <v>4734</v>
      </c>
      <c r="B5723" s="2" t="s">
        <v>2953</v>
      </c>
      <c r="C5723" s="2">
        <v>862.4692</v>
      </c>
      <c r="D5723" s="2">
        <f>HYPERLINK("http://mcb-m6.bioreg.kyushu-u.ac.jp/M3/20110502/F51173/2563/1", 80.77)</f>
        <v>80.77</v>
      </c>
      <c r="E5723" s="2">
        <v>62.85</v>
      </c>
      <c r="F5723" s="2">
        <v>2</v>
      </c>
      <c r="G5723" s="2" t="s">
        <v>13</v>
      </c>
    </row>
    <row r="5724" spans="1:8" x14ac:dyDescent="0.2">
      <c r="A5724" s="2" t="s">
        <v>3536</v>
      </c>
      <c r="B5724" s="2" t="s">
        <v>390</v>
      </c>
      <c r="C5724" s="2">
        <v>715.96770000000004</v>
      </c>
      <c r="D5724" s="2">
        <f>HYPERLINK("http://mcb-m6.bioreg.kyushu-u.ac.jp/M3/20110411/F50916/1773/1", 41)</f>
        <v>41</v>
      </c>
      <c r="E5724" s="2">
        <v>17.13</v>
      </c>
      <c r="F5724" s="2">
        <v>2</v>
      </c>
      <c r="G5724" s="2" t="s">
        <v>9</v>
      </c>
    </row>
    <row r="5725" spans="1:8" x14ac:dyDescent="0.2">
      <c r="A5725" s="2" t="s">
        <v>3536</v>
      </c>
      <c r="B5725" s="2" t="s">
        <v>390</v>
      </c>
      <c r="C5725" s="2">
        <v>715.40009999999995</v>
      </c>
      <c r="D5725" s="2">
        <f>HYPERLINK("http://mcb-m6.bioreg.kyushu-u.ac.jp/M3/20110411/F50918/1747/1", 88.62)</f>
        <v>88.62</v>
      </c>
      <c r="E5725" s="2">
        <v>53.19</v>
      </c>
      <c r="F5725" s="2">
        <v>2</v>
      </c>
      <c r="G5725" s="2" t="s">
        <v>10</v>
      </c>
    </row>
    <row r="5726" spans="1:8" x14ac:dyDescent="0.2">
      <c r="A5726" s="2" t="s">
        <v>3536</v>
      </c>
      <c r="B5726" s="2" t="s">
        <v>390</v>
      </c>
      <c r="C5726" s="2">
        <v>715.85969999999998</v>
      </c>
      <c r="D5726" s="2">
        <f>HYPERLINK("http://mcb-m6.bioreg.kyushu-u.ac.jp/M3/20110414/F50959/1694/1", 62.28)</f>
        <v>62.28</v>
      </c>
      <c r="E5726" s="2">
        <v>38.24</v>
      </c>
      <c r="F5726" s="2">
        <v>2</v>
      </c>
      <c r="G5726" s="2" t="s">
        <v>12</v>
      </c>
    </row>
    <row r="5727" spans="1:8" x14ac:dyDescent="0.2">
      <c r="A5727" s="2" t="s">
        <v>3536</v>
      </c>
      <c r="B5727" s="2" t="s">
        <v>390</v>
      </c>
      <c r="C5727" s="2">
        <v>715.69920000000002</v>
      </c>
      <c r="D5727" s="2">
        <f>HYPERLINK("http://mcb-m6.bioreg.kyushu-u.ac.jp/M3/20110502/F51173/1650/1", 77.91)</f>
        <v>77.91</v>
      </c>
      <c r="E5727" s="2">
        <v>27.87</v>
      </c>
      <c r="F5727" s="2">
        <v>2</v>
      </c>
      <c r="G5727" s="2" t="s">
        <v>13</v>
      </c>
    </row>
    <row r="5728" spans="1:8" x14ac:dyDescent="0.2">
      <c r="A5728" s="2" t="s">
        <v>3355</v>
      </c>
      <c r="B5728" s="2" t="s">
        <v>146</v>
      </c>
      <c r="C5728" s="2">
        <v>501.29509999999999</v>
      </c>
      <c r="D5728" s="2">
        <f>HYPERLINK("http://mcb-m6.bioreg.kyushu-u.ac.jp/M3/20110411/F50892/1310/1", 36.72)</f>
        <v>36.72</v>
      </c>
      <c r="E5728" s="2">
        <v>18.55</v>
      </c>
      <c r="F5728" s="2">
        <v>2</v>
      </c>
      <c r="G5728" s="2" t="s">
        <v>9</v>
      </c>
    </row>
    <row r="5729" spans="1:8" x14ac:dyDescent="0.2">
      <c r="A5729" s="2" t="s">
        <v>3355</v>
      </c>
      <c r="B5729" s="2" t="s">
        <v>1158</v>
      </c>
      <c r="C5729" s="2">
        <v>592.44460000000004</v>
      </c>
      <c r="D5729" s="2">
        <f>HYPERLINK("http://mcb-m6.bioreg.kyushu-u.ac.jp/M3/20110411/F50892/1617/1", 65.37)</f>
        <v>65.37</v>
      </c>
      <c r="E5729" s="2">
        <v>31.63</v>
      </c>
      <c r="F5729" s="2">
        <v>2</v>
      </c>
      <c r="G5729" s="2" t="s">
        <v>9</v>
      </c>
    </row>
    <row r="5730" spans="1:8" x14ac:dyDescent="0.2">
      <c r="A5730" s="2" t="s">
        <v>3355</v>
      </c>
      <c r="B5730" s="2" t="s">
        <v>1158</v>
      </c>
      <c r="C5730" s="2">
        <v>592.44960000000003</v>
      </c>
      <c r="D5730" s="2">
        <f>HYPERLINK("http://mcb-m6.bioreg.kyushu-u.ac.jp/M3/20110414/F50945/1396/1", 39.88)</f>
        <v>39.880000000000003</v>
      </c>
      <c r="E5730" s="2">
        <v>9.43</v>
      </c>
      <c r="F5730" s="2">
        <v>2</v>
      </c>
      <c r="G5730" s="2" t="s">
        <v>11</v>
      </c>
    </row>
    <row r="5731" spans="1:8" x14ac:dyDescent="0.2">
      <c r="A5731" s="2" t="s">
        <v>3989</v>
      </c>
      <c r="B5731" s="2" t="s">
        <v>1260</v>
      </c>
      <c r="C5731" s="2">
        <v>608.27009999999996</v>
      </c>
      <c r="D5731" s="2">
        <f>HYPERLINK("http://mcb-m6.bioreg.kyushu-u.ac.jp/M3/20110411/F50892/1666/1", 69.52)</f>
        <v>69.52</v>
      </c>
      <c r="E5731" s="2">
        <v>35.950000000000003</v>
      </c>
      <c r="F5731" s="2">
        <v>2</v>
      </c>
      <c r="G5731" s="2" t="s">
        <v>9</v>
      </c>
    </row>
    <row r="5732" spans="1:8" x14ac:dyDescent="0.2">
      <c r="A5732" s="2" t="s">
        <v>3989</v>
      </c>
      <c r="B5732" s="2" t="s">
        <v>1260</v>
      </c>
      <c r="C5732" s="2">
        <v>608.8922</v>
      </c>
      <c r="D5732" s="2">
        <f>HYPERLINK("http://mcb-m6.bioreg.kyushu-u.ac.jp/M3/20110411/F50899/1833/1", 63.46)</f>
        <v>63.46</v>
      </c>
      <c r="E5732" s="2">
        <v>34.78</v>
      </c>
      <c r="F5732" s="2">
        <v>2</v>
      </c>
      <c r="G5732" s="2" t="s">
        <v>10</v>
      </c>
    </row>
    <row r="5733" spans="1:8" x14ac:dyDescent="0.2">
      <c r="A5733" s="2" t="s">
        <v>3989</v>
      </c>
      <c r="B5733" s="2" t="s">
        <v>1260</v>
      </c>
      <c r="C5733" s="2">
        <v>608.19619999999998</v>
      </c>
      <c r="D5733" s="2">
        <f>HYPERLINK("http://mcb-m6.bioreg.kyushu-u.ac.jp/M3/20110414/F50929/1808/1", 53.18)</f>
        <v>53.18</v>
      </c>
      <c r="E5733" s="2">
        <v>17.649999999999999</v>
      </c>
      <c r="F5733" s="2">
        <v>2</v>
      </c>
      <c r="G5733" s="2" t="s">
        <v>11</v>
      </c>
    </row>
    <row r="5734" spans="1:8" x14ac:dyDescent="0.2">
      <c r="A5734" s="2" t="s">
        <v>4681</v>
      </c>
      <c r="B5734" s="2" t="s">
        <v>2852</v>
      </c>
      <c r="C5734" s="2">
        <v>491.17259999999999</v>
      </c>
      <c r="D5734" s="2">
        <f>HYPERLINK("http://mcb-m6.bioreg.kyushu-u.ac.jp/M3/20110502/F51175/956/1", 39.06)</f>
        <v>39.06</v>
      </c>
      <c r="E5734" s="2">
        <v>15</v>
      </c>
      <c r="F5734" s="2">
        <v>2</v>
      </c>
      <c r="G5734" s="2" t="s">
        <v>13</v>
      </c>
      <c r="H5734" s="2" t="s">
        <v>4917</v>
      </c>
    </row>
    <row r="5735" spans="1:8" x14ac:dyDescent="0.2">
      <c r="A5735" s="2" t="s">
        <v>4544</v>
      </c>
      <c r="B5735" s="2" t="s">
        <v>2574</v>
      </c>
      <c r="C5735" s="2">
        <v>703.09100000000001</v>
      </c>
      <c r="D5735" s="2">
        <f>HYPERLINK("http://mcb-m6.bioreg.kyushu-u.ac.jp/M3/20110414/F50949/1459/1", 38.69)</f>
        <v>38.69</v>
      </c>
      <c r="E5735" s="2">
        <v>12.79</v>
      </c>
      <c r="F5735" s="2">
        <v>1</v>
      </c>
      <c r="G5735" s="2" t="s">
        <v>12</v>
      </c>
    </row>
    <row r="5736" spans="1:8" x14ac:dyDescent="0.2">
      <c r="A5736" s="2" t="s">
        <v>4093</v>
      </c>
      <c r="B5736" s="2" t="s">
        <v>1539</v>
      </c>
      <c r="C5736" s="2">
        <v>813.18520000000001</v>
      </c>
      <c r="D5736" s="2">
        <f>HYPERLINK("http://mcb-m6.bioreg.kyushu-u.ac.jp/M3/20110411/F50905/2425/1", 89.99)</f>
        <v>89.99</v>
      </c>
      <c r="E5736" s="2">
        <v>70.38</v>
      </c>
      <c r="F5736" s="2">
        <v>2</v>
      </c>
      <c r="G5736" s="2" t="s">
        <v>9</v>
      </c>
    </row>
    <row r="5737" spans="1:8" x14ac:dyDescent="0.2">
      <c r="A5737" s="2" t="s">
        <v>4093</v>
      </c>
      <c r="B5737" s="2" t="s">
        <v>1539</v>
      </c>
      <c r="C5737" s="2">
        <v>813.35270000000003</v>
      </c>
      <c r="D5737" s="2">
        <f>HYPERLINK("http://mcb-m6.bioreg.kyushu-u.ac.jp/M3/20110414/F50947/2436/1", 49.21)</f>
        <v>49.21</v>
      </c>
      <c r="E5737" s="2">
        <v>32.49</v>
      </c>
      <c r="F5737" s="2">
        <v>2</v>
      </c>
      <c r="G5737" s="2" t="s">
        <v>12</v>
      </c>
    </row>
    <row r="5738" spans="1:8" x14ac:dyDescent="0.2">
      <c r="A5738" s="2" t="s">
        <v>4093</v>
      </c>
      <c r="B5738" s="2" t="s">
        <v>2904</v>
      </c>
      <c r="C5738" s="2">
        <v>500.94110000000001</v>
      </c>
      <c r="D5738" s="2">
        <f>HYPERLINK("http://mcb-m6.bioreg.kyushu-u.ac.jp/M3/20110502/F51170/992/1", 47.3)</f>
        <v>47.3</v>
      </c>
      <c r="E5738" s="2">
        <v>22.11</v>
      </c>
      <c r="F5738" s="2">
        <v>2</v>
      </c>
      <c r="G5738" s="2" t="s">
        <v>13</v>
      </c>
    </row>
    <row r="5739" spans="1:8" x14ac:dyDescent="0.2">
      <c r="A5739" s="2" t="s">
        <v>4093</v>
      </c>
      <c r="B5739" s="2" t="s">
        <v>2904</v>
      </c>
      <c r="C5739" s="2">
        <v>500.96409999999997</v>
      </c>
      <c r="D5739" s="2">
        <f>HYPERLINK("http://mcb-m6.bioreg.kyushu-u.ac.jp/M3/20110502/F51179/611/1", 53.17)</f>
        <v>53.17</v>
      </c>
      <c r="E5739" s="2">
        <v>29.04</v>
      </c>
      <c r="F5739" s="2">
        <v>2</v>
      </c>
      <c r="G5739" s="2" t="s">
        <v>14</v>
      </c>
    </row>
    <row r="5740" spans="1:8" x14ac:dyDescent="0.2">
      <c r="A5740" s="2" t="s">
        <v>4093</v>
      </c>
      <c r="B5740" s="2" t="s">
        <v>1539</v>
      </c>
      <c r="C5740" s="2">
        <v>813.19960000000003</v>
      </c>
      <c r="D5740" s="2">
        <f>HYPERLINK("http://mcb-m6.bioreg.kyushu-u.ac.jp/M3/20110502/F51179/2198/1", 87.23)</f>
        <v>87.23</v>
      </c>
      <c r="E5740" s="2">
        <v>62.12</v>
      </c>
      <c r="F5740" s="2">
        <v>2</v>
      </c>
      <c r="G5740" s="2" t="s">
        <v>14</v>
      </c>
    </row>
    <row r="5741" spans="1:8" x14ac:dyDescent="0.2">
      <c r="A5741" s="2" t="s">
        <v>3762</v>
      </c>
      <c r="B5741" s="2" t="s">
        <v>778</v>
      </c>
      <c r="C5741" s="2">
        <v>497.20710000000003</v>
      </c>
      <c r="D5741" s="2">
        <f>HYPERLINK("http://mcb-m6.bioreg.kyushu-u.ac.jp/M3/20110411/F50889/1514/1", 50.9)</f>
        <v>50.9</v>
      </c>
      <c r="E5741" s="2">
        <v>20.57</v>
      </c>
      <c r="F5741" s="2">
        <v>2</v>
      </c>
      <c r="G5741" s="2" t="s">
        <v>9</v>
      </c>
    </row>
    <row r="5742" spans="1:8" x14ac:dyDescent="0.2">
      <c r="A5742" s="2" t="s">
        <v>3762</v>
      </c>
      <c r="B5742" s="2" t="s">
        <v>807</v>
      </c>
      <c r="C5742" s="2">
        <v>922.95569999999998</v>
      </c>
      <c r="D5742" s="2">
        <f>HYPERLINK("http://mcb-m6.bioreg.kyushu-u.ac.jp/M3/20110411/F50889/2745/1", 51.86)</f>
        <v>51.86</v>
      </c>
      <c r="E5742" s="2">
        <v>36.409999999999997</v>
      </c>
      <c r="F5742" s="2">
        <v>2</v>
      </c>
      <c r="G5742" s="2" t="s">
        <v>9</v>
      </c>
    </row>
    <row r="5743" spans="1:8" x14ac:dyDescent="0.2">
      <c r="A5743" s="2" t="s">
        <v>3762</v>
      </c>
      <c r="B5743" s="2" t="s">
        <v>1323</v>
      </c>
      <c r="C5743" s="2">
        <v>664.69320000000005</v>
      </c>
      <c r="D5743" s="2">
        <f>HYPERLINK("http://mcb-m6.bioreg.kyushu-u.ac.jp/M3/20110411/F50889/2003/1", 73.17)</f>
        <v>73.17</v>
      </c>
      <c r="E5743" s="2">
        <v>48.78</v>
      </c>
      <c r="F5743" s="2">
        <v>2</v>
      </c>
      <c r="G5743" s="2" t="s">
        <v>9</v>
      </c>
    </row>
    <row r="5744" spans="1:8" x14ac:dyDescent="0.2">
      <c r="A5744" s="2" t="s">
        <v>3762</v>
      </c>
      <c r="B5744" s="2" t="s">
        <v>1323</v>
      </c>
      <c r="C5744" s="2">
        <v>665.20010000000002</v>
      </c>
      <c r="D5744" s="2">
        <f>HYPERLINK("http://mcb-m6.bioreg.kyushu-u.ac.jp/M3/20110411/F50889/2005/1", 81.51)</f>
        <v>81.510000000000005</v>
      </c>
      <c r="E5744" s="2">
        <v>49.64</v>
      </c>
      <c r="F5744" s="2">
        <v>2</v>
      </c>
      <c r="G5744" s="2" t="s">
        <v>9</v>
      </c>
    </row>
    <row r="5745" spans="1:9" x14ac:dyDescent="0.2">
      <c r="A5745" s="2" t="s">
        <v>3762</v>
      </c>
      <c r="B5745" s="2" t="s">
        <v>1621</v>
      </c>
      <c r="C5745" s="2">
        <v>868.3972</v>
      </c>
      <c r="D5745" s="2">
        <f>HYPERLINK("http://mcb-m6.bioreg.kyushu-u.ac.jp/M3/20110411/F50889/2591/1", 102.17)</f>
        <v>102.17</v>
      </c>
      <c r="E5745" s="2">
        <v>76.67</v>
      </c>
      <c r="F5745" s="2">
        <v>2</v>
      </c>
      <c r="G5745" s="2" t="s">
        <v>9</v>
      </c>
      <c r="I5745" s="2" t="s">
        <v>4923</v>
      </c>
    </row>
    <row r="5746" spans="1:9" x14ac:dyDescent="0.2">
      <c r="A5746" s="2" t="s">
        <v>3762</v>
      </c>
      <c r="B5746" s="2" t="s">
        <v>1323</v>
      </c>
      <c r="C5746" s="2">
        <v>665.06269999999995</v>
      </c>
      <c r="D5746" s="2">
        <f>HYPERLINK("http://mcb-m6.bioreg.kyushu-u.ac.jp/M3/20110414/F50927/1952/1", 66.42)</f>
        <v>66.42</v>
      </c>
      <c r="E5746" s="2">
        <v>43.58</v>
      </c>
      <c r="F5746" s="2">
        <v>2</v>
      </c>
      <c r="G5746" s="2" t="s">
        <v>11</v>
      </c>
    </row>
    <row r="5747" spans="1:9" x14ac:dyDescent="0.2">
      <c r="A5747" s="2" t="s">
        <v>3762</v>
      </c>
      <c r="B5747" s="2" t="s">
        <v>1323</v>
      </c>
      <c r="C5747" s="2">
        <v>664.97360000000003</v>
      </c>
      <c r="D5747" s="2">
        <f>HYPERLINK("http://mcb-m6.bioreg.kyushu-u.ac.jp/M3/20110502/F51168/1718/1", 93.15)</f>
        <v>93.15</v>
      </c>
      <c r="E5747" s="2">
        <v>64.58</v>
      </c>
      <c r="F5747" s="2">
        <v>2</v>
      </c>
      <c r="G5747" s="2" t="s">
        <v>13</v>
      </c>
    </row>
    <row r="5748" spans="1:9" x14ac:dyDescent="0.2">
      <c r="A5748" s="2" t="s">
        <v>3245</v>
      </c>
      <c r="B5748" s="2" t="s">
        <v>25</v>
      </c>
      <c r="C5748" s="2">
        <v>1106.251</v>
      </c>
      <c r="D5748" s="2">
        <f>HYPERLINK("http://mcb-m6.bioreg.kyushu-u.ac.jp/M3/20110411/F50905/3629/1", 35.16)</f>
        <v>35.159999999999997</v>
      </c>
      <c r="E5748" s="2">
        <v>9.6199999999999992</v>
      </c>
      <c r="F5748" s="2">
        <v>2</v>
      </c>
      <c r="G5748" s="2" t="s">
        <v>9</v>
      </c>
    </row>
    <row r="5749" spans="1:9" x14ac:dyDescent="0.2">
      <c r="A5749" s="2" t="s">
        <v>3245</v>
      </c>
      <c r="B5749" s="2" t="s">
        <v>25</v>
      </c>
      <c r="C5749" s="2">
        <v>1106.5989999999999</v>
      </c>
      <c r="D5749" s="2">
        <f>HYPERLINK("http://mcb-m6.bioreg.kyushu-u.ac.jp/M3/20110411/F50915/3625/1", 35.2)</f>
        <v>35.200000000000003</v>
      </c>
      <c r="E5749" s="2">
        <v>13.58</v>
      </c>
      <c r="F5749" s="2">
        <v>2</v>
      </c>
      <c r="G5749" s="2" t="s">
        <v>9</v>
      </c>
    </row>
    <row r="5750" spans="1:9" x14ac:dyDescent="0.2">
      <c r="A5750" s="2" t="s">
        <v>3245</v>
      </c>
      <c r="B5750" s="2" t="s">
        <v>25</v>
      </c>
      <c r="C5750" s="2">
        <v>737.69380000000001</v>
      </c>
      <c r="D5750" s="2">
        <f>HYPERLINK("http://mcb-m6.bioreg.kyushu-u.ac.jp/M3/20110411/F50894/3172/1", 35.29)</f>
        <v>35.29</v>
      </c>
      <c r="E5750" s="2">
        <v>14.46</v>
      </c>
      <c r="F5750" s="2">
        <v>3</v>
      </c>
      <c r="G5750" s="2" t="s">
        <v>9</v>
      </c>
    </row>
    <row r="5751" spans="1:9" x14ac:dyDescent="0.2">
      <c r="A5751" s="2" t="s">
        <v>3245</v>
      </c>
      <c r="B5751" s="2" t="s">
        <v>25</v>
      </c>
      <c r="C5751" s="2">
        <v>1106.444</v>
      </c>
      <c r="D5751" s="2">
        <f>HYPERLINK("http://mcb-m6.bioreg.kyushu-u.ac.jp/M3/20110411/F50890/3599/1", 35.39)</f>
        <v>35.39</v>
      </c>
      <c r="E5751" s="2">
        <v>11.28</v>
      </c>
      <c r="F5751" s="2">
        <v>2</v>
      </c>
      <c r="G5751" s="2" t="s">
        <v>9</v>
      </c>
    </row>
    <row r="5752" spans="1:9" x14ac:dyDescent="0.2">
      <c r="A5752" s="2" t="s">
        <v>3245</v>
      </c>
      <c r="B5752" s="2" t="s">
        <v>25</v>
      </c>
      <c r="C5752" s="2">
        <v>1106.4870000000001</v>
      </c>
      <c r="D5752" s="2">
        <f>HYPERLINK("http://mcb-m6.bioreg.kyushu-u.ac.jp/M3/20110411/F50892/3371/1", 36.08)</f>
        <v>36.08</v>
      </c>
      <c r="E5752" s="2">
        <v>9.8000000000000007</v>
      </c>
      <c r="F5752" s="2">
        <v>2</v>
      </c>
      <c r="G5752" s="2" t="s">
        <v>9</v>
      </c>
    </row>
    <row r="5753" spans="1:9" x14ac:dyDescent="0.2">
      <c r="A5753" s="2" t="s">
        <v>3245</v>
      </c>
      <c r="B5753" s="2" t="s">
        <v>25</v>
      </c>
      <c r="C5753" s="2">
        <v>1106.556</v>
      </c>
      <c r="D5753" s="2">
        <f>HYPERLINK("http://mcb-m6.bioreg.kyushu-u.ac.jp/M3/20110411/F50890/3603/1", 36.88)</f>
        <v>36.880000000000003</v>
      </c>
      <c r="E5753" s="2">
        <v>10.68</v>
      </c>
      <c r="F5753" s="2">
        <v>2</v>
      </c>
      <c r="G5753" s="2" t="s">
        <v>9</v>
      </c>
    </row>
    <row r="5754" spans="1:9" x14ac:dyDescent="0.2">
      <c r="A5754" s="2" t="s">
        <v>3245</v>
      </c>
      <c r="B5754" s="2" t="s">
        <v>25</v>
      </c>
      <c r="C5754" s="2">
        <v>1106.2729999999999</v>
      </c>
      <c r="D5754" s="2">
        <f>HYPERLINK("http://mcb-m6.bioreg.kyushu-u.ac.jp/M3/20110411/F50904/3450/1", 37)</f>
        <v>37</v>
      </c>
      <c r="E5754" s="2">
        <v>14.92</v>
      </c>
      <c r="F5754" s="2">
        <v>2</v>
      </c>
      <c r="G5754" s="2" t="s">
        <v>9</v>
      </c>
    </row>
    <row r="5755" spans="1:9" x14ac:dyDescent="0.2">
      <c r="A5755" s="2" t="s">
        <v>3245</v>
      </c>
      <c r="B5755" s="2" t="s">
        <v>25</v>
      </c>
      <c r="C5755" s="2">
        <v>1106.0609999999999</v>
      </c>
      <c r="D5755" s="2">
        <f>HYPERLINK("http://mcb-m6.bioreg.kyushu-u.ac.jp/M3/20110411/F50892/3369/1", 37.03)</f>
        <v>37.03</v>
      </c>
      <c r="E5755" s="2">
        <v>22.38</v>
      </c>
      <c r="F5755" s="2">
        <v>2</v>
      </c>
      <c r="G5755" s="2" t="s">
        <v>9</v>
      </c>
    </row>
    <row r="5756" spans="1:9" x14ac:dyDescent="0.2">
      <c r="A5756" s="2" t="s">
        <v>3245</v>
      </c>
      <c r="B5756" s="2" t="s">
        <v>25</v>
      </c>
      <c r="C5756" s="2">
        <v>1106.6379999999999</v>
      </c>
      <c r="D5756" s="2">
        <f>HYPERLINK("http://mcb-m6.bioreg.kyushu-u.ac.jp/M3/20110411/F50916/3471/1", 37.48)</f>
        <v>37.479999999999997</v>
      </c>
      <c r="E5756" s="2">
        <v>18.600000000000001</v>
      </c>
      <c r="F5756" s="2">
        <v>2</v>
      </c>
      <c r="G5756" s="2" t="s">
        <v>9</v>
      </c>
    </row>
    <row r="5757" spans="1:9" x14ac:dyDescent="0.2">
      <c r="A5757" s="2" t="s">
        <v>3245</v>
      </c>
      <c r="B5757" s="2" t="s">
        <v>25</v>
      </c>
      <c r="C5757" s="2">
        <v>1106.21</v>
      </c>
      <c r="D5757" s="2">
        <f>HYPERLINK("http://mcb-m6.bioreg.kyushu-u.ac.jp/M3/20110411/F50905/3627/1", 37.57)</f>
        <v>37.57</v>
      </c>
      <c r="E5757" s="2">
        <v>19.600000000000001</v>
      </c>
      <c r="F5757" s="2">
        <v>2</v>
      </c>
      <c r="G5757" s="2" t="s">
        <v>9</v>
      </c>
    </row>
    <row r="5758" spans="1:9" x14ac:dyDescent="0.2">
      <c r="A5758" s="2" t="s">
        <v>3245</v>
      </c>
      <c r="B5758" s="2" t="s">
        <v>25</v>
      </c>
      <c r="C5758" s="2">
        <v>1106.347</v>
      </c>
      <c r="D5758" s="2">
        <f>HYPERLINK("http://mcb-m6.bioreg.kyushu-u.ac.jp/M3/20110411/F50903/3482/1", 37.85)</f>
        <v>37.85</v>
      </c>
      <c r="E5758" s="2">
        <v>9.08</v>
      </c>
      <c r="F5758" s="2">
        <v>2</v>
      </c>
      <c r="G5758" s="2" t="s">
        <v>9</v>
      </c>
    </row>
    <row r="5759" spans="1:9" x14ac:dyDescent="0.2">
      <c r="A5759" s="2" t="s">
        <v>3245</v>
      </c>
      <c r="B5759" s="2" t="s">
        <v>25</v>
      </c>
      <c r="C5759" s="2">
        <v>1105.98</v>
      </c>
      <c r="D5759" s="2">
        <f>HYPERLINK("http://mcb-m6.bioreg.kyushu-u.ac.jp/M3/20110411/F50891/3744/1", 38.26)</f>
        <v>38.26</v>
      </c>
      <c r="E5759" s="2">
        <v>24.17</v>
      </c>
      <c r="F5759" s="2">
        <v>2</v>
      </c>
      <c r="G5759" s="2" t="s">
        <v>9</v>
      </c>
    </row>
    <row r="5760" spans="1:9" x14ac:dyDescent="0.2">
      <c r="A5760" s="2" t="s">
        <v>3245</v>
      </c>
      <c r="B5760" s="2" t="s">
        <v>25</v>
      </c>
      <c r="C5760" s="2">
        <v>1106.559</v>
      </c>
      <c r="D5760" s="2">
        <f>HYPERLINK("http://mcb-m6.bioreg.kyushu-u.ac.jp/M3/20110411/F50891/3755/1", 38.99)</f>
        <v>38.99</v>
      </c>
      <c r="E5760" s="2">
        <v>9.82</v>
      </c>
      <c r="F5760" s="2">
        <v>2</v>
      </c>
      <c r="G5760" s="2" t="s">
        <v>9</v>
      </c>
    </row>
    <row r="5761" spans="1:7" x14ac:dyDescent="0.2">
      <c r="A5761" s="2" t="s">
        <v>3245</v>
      </c>
      <c r="B5761" s="2" t="s">
        <v>25</v>
      </c>
      <c r="C5761" s="2">
        <v>1106.6400000000001</v>
      </c>
      <c r="D5761" s="2">
        <f>HYPERLINK("http://mcb-m6.bioreg.kyushu-u.ac.jp/M3/20110411/F50895/3475/1", 39.94)</f>
        <v>39.94</v>
      </c>
      <c r="E5761" s="2">
        <v>16.53</v>
      </c>
      <c r="F5761" s="2">
        <v>2</v>
      </c>
      <c r="G5761" s="2" t="s">
        <v>9</v>
      </c>
    </row>
    <row r="5762" spans="1:7" x14ac:dyDescent="0.2">
      <c r="A5762" s="2" t="s">
        <v>3245</v>
      </c>
      <c r="B5762" s="2" t="s">
        <v>25</v>
      </c>
      <c r="C5762" s="2">
        <v>1105.96</v>
      </c>
      <c r="D5762" s="2">
        <f>HYPERLINK("http://mcb-m6.bioreg.kyushu-u.ac.jp/M3/20110411/F50890/3591/1", 40.3)</f>
        <v>40.299999999999997</v>
      </c>
      <c r="E5762" s="2">
        <v>24.93</v>
      </c>
      <c r="F5762" s="2">
        <v>2</v>
      </c>
      <c r="G5762" s="2" t="s">
        <v>9</v>
      </c>
    </row>
    <row r="5763" spans="1:7" x14ac:dyDescent="0.2">
      <c r="A5763" s="2" t="s">
        <v>3245</v>
      </c>
      <c r="B5763" s="2" t="s">
        <v>25</v>
      </c>
      <c r="C5763" s="2">
        <v>1106.462</v>
      </c>
      <c r="D5763" s="2">
        <f>HYPERLINK("http://mcb-m6.bioreg.kyushu-u.ac.jp/M3/20110411/F50894/3178/1", 40.42)</f>
        <v>40.42</v>
      </c>
      <c r="E5763" s="2">
        <v>12.99</v>
      </c>
      <c r="F5763" s="2">
        <v>2</v>
      </c>
      <c r="G5763" s="2" t="s">
        <v>9</v>
      </c>
    </row>
    <row r="5764" spans="1:7" x14ac:dyDescent="0.2">
      <c r="A5764" s="2" t="s">
        <v>3245</v>
      </c>
      <c r="B5764" s="2" t="s">
        <v>25</v>
      </c>
      <c r="C5764" s="2">
        <v>1106.498</v>
      </c>
      <c r="D5764" s="2">
        <f>HYPERLINK("http://mcb-m6.bioreg.kyushu-u.ac.jp/M3/20110411/F50890/3602/1", 40.49)</f>
        <v>40.49</v>
      </c>
      <c r="E5764" s="2">
        <v>23.18</v>
      </c>
      <c r="F5764" s="2">
        <v>2</v>
      </c>
      <c r="G5764" s="2" t="s">
        <v>9</v>
      </c>
    </row>
    <row r="5765" spans="1:7" x14ac:dyDescent="0.2">
      <c r="A5765" s="2" t="s">
        <v>3245</v>
      </c>
      <c r="B5765" s="2" t="s">
        <v>25</v>
      </c>
      <c r="C5765" s="2">
        <v>737.72080000000005</v>
      </c>
      <c r="D5765" s="2">
        <f>HYPERLINK("http://mcb-m6.bioreg.kyushu-u.ac.jp/M3/20110411/F50895/3470/1", 41.22)</f>
        <v>41.22</v>
      </c>
      <c r="E5765" s="2">
        <v>21.83</v>
      </c>
      <c r="F5765" s="2">
        <v>3</v>
      </c>
      <c r="G5765" s="2" t="s">
        <v>9</v>
      </c>
    </row>
    <row r="5766" spans="1:7" x14ac:dyDescent="0.2">
      <c r="A5766" s="2" t="s">
        <v>3245</v>
      </c>
      <c r="B5766" s="2" t="s">
        <v>25</v>
      </c>
      <c r="C5766" s="2">
        <v>1106.2840000000001</v>
      </c>
      <c r="D5766" s="2">
        <f>HYPERLINK("http://mcb-m6.bioreg.kyushu-u.ac.jp/M3/20110411/F50903/3481/1", 41.57)</f>
        <v>41.57</v>
      </c>
      <c r="E5766" s="2">
        <v>21.48</v>
      </c>
      <c r="F5766" s="2">
        <v>2</v>
      </c>
      <c r="G5766" s="2" t="s">
        <v>9</v>
      </c>
    </row>
    <row r="5767" spans="1:7" x14ac:dyDescent="0.2">
      <c r="A5767" s="2" t="s">
        <v>3245</v>
      </c>
      <c r="B5767" s="2" t="s">
        <v>25</v>
      </c>
      <c r="C5767" s="2">
        <v>1105.9639999999999</v>
      </c>
      <c r="D5767" s="2">
        <f>HYPERLINK("http://mcb-m6.bioreg.kyushu-u.ac.jp/M3/20110411/F50889/2967/1", 41.77)</f>
        <v>41.77</v>
      </c>
      <c r="E5767" s="2">
        <v>20.65</v>
      </c>
      <c r="F5767" s="2">
        <v>2</v>
      </c>
      <c r="G5767" s="2" t="s">
        <v>9</v>
      </c>
    </row>
    <row r="5768" spans="1:7" x14ac:dyDescent="0.2">
      <c r="A5768" s="2" t="s">
        <v>3245</v>
      </c>
      <c r="B5768" s="2" t="s">
        <v>25</v>
      </c>
      <c r="C5768" s="2">
        <v>1106.48</v>
      </c>
      <c r="D5768" s="2">
        <f>HYPERLINK("http://mcb-m6.bioreg.kyushu-u.ac.jp/M3/20110411/F50891/3750/1", 42.39)</f>
        <v>42.39</v>
      </c>
      <c r="E5768" s="2">
        <v>23.72</v>
      </c>
      <c r="F5768" s="2">
        <v>2</v>
      </c>
      <c r="G5768" s="2" t="s">
        <v>9</v>
      </c>
    </row>
    <row r="5769" spans="1:7" x14ac:dyDescent="0.2">
      <c r="A5769" s="2" t="s">
        <v>3245</v>
      </c>
      <c r="B5769" s="2" t="s">
        <v>25</v>
      </c>
      <c r="C5769" s="2">
        <v>1106.518</v>
      </c>
      <c r="D5769" s="2">
        <f>HYPERLINK("http://mcb-m6.bioreg.kyushu-u.ac.jp/M3/20110411/F50891/3752/1", 42.48)</f>
        <v>42.48</v>
      </c>
      <c r="E5769" s="2">
        <v>21.49</v>
      </c>
      <c r="F5769" s="2">
        <v>2</v>
      </c>
      <c r="G5769" s="2" t="s">
        <v>9</v>
      </c>
    </row>
    <row r="5770" spans="1:7" x14ac:dyDescent="0.2">
      <c r="A5770" s="2" t="s">
        <v>3245</v>
      </c>
      <c r="B5770" s="2" t="s">
        <v>25</v>
      </c>
      <c r="C5770" s="2">
        <v>1106.5229999999999</v>
      </c>
      <c r="D5770" s="2">
        <f>HYPERLINK("http://mcb-m6.bioreg.kyushu-u.ac.jp/M3/20110411/F50915/3623/1", 42.7)</f>
        <v>42.7</v>
      </c>
      <c r="E5770" s="2">
        <v>21.07</v>
      </c>
      <c r="F5770" s="2">
        <v>2</v>
      </c>
      <c r="G5770" s="2" t="s">
        <v>9</v>
      </c>
    </row>
    <row r="5771" spans="1:7" x14ac:dyDescent="0.2">
      <c r="A5771" s="2" t="s">
        <v>3245</v>
      </c>
      <c r="B5771" s="2" t="s">
        <v>25</v>
      </c>
      <c r="C5771" s="2">
        <v>1106.239</v>
      </c>
      <c r="D5771" s="2">
        <f>HYPERLINK("http://mcb-m6.bioreg.kyushu-u.ac.jp/M3/20110411/F50904/3449/1", 42.95)</f>
        <v>42.95</v>
      </c>
      <c r="E5771" s="2">
        <v>26.79</v>
      </c>
      <c r="F5771" s="2">
        <v>2</v>
      </c>
      <c r="G5771" s="2" t="s">
        <v>9</v>
      </c>
    </row>
    <row r="5772" spans="1:7" x14ac:dyDescent="0.2">
      <c r="A5772" s="2" t="s">
        <v>3245</v>
      </c>
      <c r="B5772" s="2" t="s">
        <v>25</v>
      </c>
      <c r="C5772" s="2">
        <v>1106.249</v>
      </c>
      <c r="D5772" s="2">
        <f>HYPERLINK("http://mcb-m6.bioreg.kyushu-u.ac.jp/M3/20110411/F50905/3628/1", 43.04)</f>
        <v>43.04</v>
      </c>
      <c r="E5772" s="2">
        <v>22.11</v>
      </c>
      <c r="F5772" s="2">
        <v>2</v>
      </c>
      <c r="G5772" s="2" t="s">
        <v>9</v>
      </c>
    </row>
    <row r="5773" spans="1:7" x14ac:dyDescent="0.2">
      <c r="A5773" s="2" t="s">
        <v>3245</v>
      </c>
      <c r="B5773" s="2" t="s">
        <v>25</v>
      </c>
      <c r="C5773" s="2">
        <v>737.88189999999997</v>
      </c>
      <c r="D5773" s="2">
        <f>HYPERLINK("http://mcb-m6.bioreg.kyushu-u.ac.jp/M3/20110411/F50905/3630/1", 43.3)</f>
        <v>43.3</v>
      </c>
      <c r="E5773" s="2">
        <v>19.22</v>
      </c>
      <c r="F5773" s="2">
        <v>3</v>
      </c>
      <c r="G5773" s="2" t="s">
        <v>9</v>
      </c>
    </row>
    <row r="5774" spans="1:7" x14ac:dyDescent="0.2">
      <c r="A5774" s="2" t="s">
        <v>3245</v>
      </c>
      <c r="B5774" s="2" t="s">
        <v>25</v>
      </c>
      <c r="C5774" s="2">
        <v>1106.4359999999999</v>
      </c>
      <c r="D5774" s="2">
        <f>HYPERLINK("http://mcb-m6.bioreg.kyushu-u.ac.jp/M3/20110411/F50916/3469/1", 43.56)</f>
        <v>43.56</v>
      </c>
      <c r="E5774" s="2">
        <v>25</v>
      </c>
      <c r="F5774" s="2">
        <v>2</v>
      </c>
      <c r="G5774" s="2" t="s">
        <v>9</v>
      </c>
    </row>
    <row r="5775" spans="1:7" x14ac:dyDescent="0.2">
      <c r="A5775" s="2" t="s">
        <v>3245</v>
      </c>
      <c r="B5775" s="2" t="s">
        <v>25</v>
      </c>
      <c r="C5775" s="2">
        <v>1105.933</v>
      </c>
      <c r="D5775" s="2">
        <f>HYPERLINK("http://mcb-m6.bioreg.kyushu-u.ac.jp/M3/20110411/F50890/3588/1", 44.19)</f>
        <v>44.19</v>
      </c>
      <c r="E5775" s="2">
        <v>23.13</v>
      </c>
      <c r="F5775" s="2">
        <v>2</v>
      </c>
      <c r="G5775" s="2" t="s">
        <v>9</v>
      </c>
    </row>
    <row r="5776" spans="1:7" x14ac:dyDescent="0.2">
      <c r="A5776" s="2" t="s">
        <v>3245</v>
      </c>
      <c r="B5776" s="2" t="s">
        <v>25</v>
      </c>
      <c r="C5776" s="2">
        <v>1106.018</v>
      </c>
      <c r="D5776" s="2">
        <f>HYPERLINK("http://mcb-m6.bioreg.kyushu-u.ac.jp/M3/20110411/F50890/3593/1", 44.61)</f>
        <v>44.61</v>
      </c>
      <c r="E5776" s="2">
        <v>27.91</v>
      </c>
      <c r="F5776" s="2">
        <v>2</v>
      </c>
      <c r="G5776" s="2" t="s">
        <v>9</v>
      </c>
    </row>
    <row r="5777" spans="1:7" x14ac:dyDescent="0.2">
      <c r="A5777" s="2" t="s">
        <v>3245</v>
      </c>
      <c r="B5777" s="2" t="s">
        <v>25</v>
      </c>
      <c r="C5777" s="2">
        <v>1106.3130000000001</v>
      </c>
      <c r="D5777" s="2">
        <f>HYPERLINK("http://mcb-m6.bioreg.kyushu-u.ac.jp/M3/20110411/F50894/3177/1", 45.26)</f>
        <v>45.26</v>
      </c>
      <c r="E5777" s="2">
        <v>15.19</v>
      </c>
      <c r="F5777" s="2">
        <v>2</v>
      </c>
      <c r="G5777" s="2" t="s">
        <v>9</v>
      </c>
    </row>
    <row r="5778" spans="1:7" x14ac:dyDescent="0.2">
      <c r="A5778" s="2" t="s">
        <v>3245</v>
      </c>
      <c r="B5778" s="2" t="s">
        <v>25</v>
      </c>
      <c r="C5778" s="2">
        <v>1105.577</v>
      </c>
      <c r="D5778" s="2">
        <f>HYPERLINK("http://mcb-m6.bioreg.kyushu-u.ac.jp/M3/20110411/F50911/3688/1", 45.39)</f>
        <v>45.39</v>
      </c>
      <c r="E5778" s="2">
        <v>34.46</v>
      </c>
      <c r="F5778" s="2">
        <v>2</v>
      </c>
      <c r="G5778" s="2" t="s">
        <v>9</v>
      </c>
    </row>
    <row r="5779" spans="1:7" x14ac:dyDescent="0.2">
      <c r="A5779" s="2" t="s">
        <v>3245</v>
      </c>
      <c r="B5779" s="2" t="s">
        <v>25</v>
      </c>
      <c r="C5779" s="2">
        <v>1106.5440000000001</v>
      </c>
      <c r="D5779" s="2">
        <f>HYPERLINK("http://mcb-m6.bioreg.kyushu-u.ac.jp/M3/20110411/F50892/3373/1", 45.4)</f>
        <v>45.4</v>
      </c>
      <c r="E5779" s="2">
        <v>29.42</v>
      </c>
      <c r="F5779" s="2">
        <v>2</v>
      </c>
      <c r="G5779" s="2" t="s">
        <v>9</v>
      </c>
    </row>
    <row r="5780" spans="1:7" x14ac:dyDescent="0.2">
      <c r="A5780" s="2" t="s">
        <v>3245</v>
      </c>
      <c r="B5780" s="2" t="s">
        <v>25</v>
      </c>
      <c r="C5780" s="2">
        <v>737.5308</v>
      </c>
      <c r="D5780" s="2">
        <f>HYPERLINK("http://mcb-m6.bioreg.kyushu-u.ac.jp/M3/20110411/F50890/3587/1", 45.68)</f>
        <v>45.68</v>
      </c>
      <c r="E5780" s="2">
        <v>30.32</v>
      </c>
      <c r="F5780" s="2">
        <v>3</v>
      </c>
      <c r="G5780" s="2" t="s">
        <v>9</v>
      </c>
    </row>
    <row r="5781" spans="1:7" x14ac:dyDescent="0.2">
      <c r="A5781" s="2" t="s">
        <v>3245</v>
      </c>
      <c r="B5781" s="2" t="s">
        <v>25</v>
      </c>
      <c r="C5781" s="2">
        <v>1106.5029999999999</v>
      </c>
      <c r="D5781" s="2">
        <f>HYPERLINK("http://mcb-m6.bioreg.kyushu-u.ac.jp/M3/20110411/F50891/3751/1", 45.7)</f>
        <v>45.7</v>
      </c>
      <c r="E5781" s="2">
        <v>24.67</v>
      </c>
      <c r="F5781" s="2">
        <v>2</v>
      </c>
      <c r="G5781" s="2" t="s">
        <v>9</v>
      </c>
    </row>
    <row r="5782" spans="1:7" x14ac:dyDescent="0.2">
      <c r="A5782" s="2" t="s">
        <v>3245</v>
      </c>
      <c r="B5782" s="2" t="s">
        <v>25</v>
      </c>
      <c r="C5782" s="2">
        <v>1106.2</v>
      </c>
      <c r="D5782" s="2">
        <f>HYPERLINK("http://mcb-m6.bioreg.kyushu-u.ac.jp/M3/20110411/F50894/3174/1", 46.65)</f>
        <v>46.65</v>
      </c>
      <c r="E5782" s="2">
        <v>22.23</v>
      </c>
      <c r="F5782" s="2">
        <v>2</v>
      </c>
      <c r="G5782" s="2" t="s">
        <v>9</v>
      </c>
    </row>
    <row r="5783" spans="1:7" x14ac:dyDescent="0.2">
      <c r="A5783" s="2" t="s">
        <v>3245</v>
      </c>
      <c r="B5783" s="2" t="s">
        <v>25</v>
      </c>
      <c r="C5783" s="2">
        <v>1106.2329999999999</v>
      </c>
      <c r="D5783" s="2">
        <f>HYPERLINK("http://mcb-m6.bioreg.kyushu-u.ac.jp/M3/20110411/F50904/3448/1", 46.77)</f>
        <v>46.77</v>
      </c>
      <c r="E5783" s="2">
        <v>25.52</v>
      </c>
      <c r="F5783" s="2">
        <v>2</v>
      </c>
      <c r="G5783" s="2" t="s">
        <v>9</v>
      </c>
    </row>
    <row r="5784" spans="1:7" x14ac:dyDescent="0.2">
      <c r="A5784" s="2" t="s">
        <v>3245</v>
      </c>
      <c r="B5784" s="2" t="s">
        <v>25</v>
      </c>
      <c r="C5784" s="2">
        <v>1106.328</v>
      </c>
      <c r="D5784" s="2">
        <f>HYPERLINK("http://mcb-m6.bioreg.kyushu-u.ac.jp/M3/20110411/F50889/2968/1", 46.87)</f>
        <v>46.87</v>
      </c>
      <c r="E5784" s="2">
        <v>25.81</v>
      </c>
      <c r="F5784" s="2">
        <v>2</v>
      </c>
      <c r="G5784" s="2" t="s">
        <v>9</v>
      </c>
    </row>
    <row r="5785" spans="1:7" x14ac:dyDescent="0.2">
      <c r="A5785" s="2" t="s">
        <v>3245</v>
      </c>
      <c r="B5785" s="2" t="s">
        <v>25</v>
      </c>
      <c r="C5785" s="2">
        <v>1106.3150000000001</v>
      </c>
      <c r="D5785" s="2">
        <f>HYPERLINK("http://mcb-m6.bioreg.kyushu-u.ac.jp/M3/20110411/F50890/3595/1", 47.51)</f>
        <v>47.51</v>
      </c>
      <c r="E5785" s="2">
        <v>24.44</v>
      </c>
      <c r="F5785" s="2">
        <v>2</v>
      </c>
      <c r="G5785" s="2" t="s">
        <v>9</v>
      </c>
    </row>
    <row r="5786" spans="1:7" x14ac:dyDescent="0.2">
      <c r="A5786" s="2" t="s">
        <v>3245</v>
      </c>
      <c r="B5786" s="2" t="s">
        <v>25</v>
      </c>
      <c r="C5786" s="2">
        <v>737.95280000000002</v>
      </c>
      <c r="D5786" s="2">
        <f>HYPERLINK("http://mcb-m6.bioreg.kyushu-u.ac.jp/M3/20110411/F50903/3483/1", 47.93)</f>
        <v>47.93</v>
      </c>
      <c r="E5786" s="2">
        <v>22.65</v>
      </c>
      <c r="F5786" s="2">
        <v>3</v>
      </c>
      <c r="G5786" s="2" t="s">
        <v>9</v>
      </c>
    </row>
    <row r="5787" spans="1:7" x14ac:dyDescent="0.2">
      <c r="A5787" s="2" t="s">
        <v>3245</v>
      </c>
      <c r="B5787" s="2" t="s">
        <v>25</v>
      </c>
      <c r="C5787" s="2">
        <v>1106.223</v>
      </c>
      <c r="D5787" s="2">
        <f>HYPERLINK("http://mcb-m6.bioreg.kyushu-u.ac.jp/M3/20110411/F50903/3479/1", 47.99)</f>
        <v>47.99</v>
      </c>
      <c r="E5787" s="2">
        <v>17.55</v>
      </c>
      <c r="F5787" s="2">
        <v>2</v>
      </c>
      <c r="G5787" s="2" t="s">
        <v>9</v>
      </c>
    </row>
    <row r="5788" spans="1:7" x14ac:dyDescent="0.2">
      <c r="A5788" s="2" t="s">
        <v>3245</v>
      </c>
      <c r="B5788" s="2" t="s">
        <v>25</v>
      </c>
      <c r="C5788" s="2">
        <v>737.90909999999997</v>
      </c>
      <c r="D5788" s="2">
        <f>HYPERLINK("http://mcb-m6.bioreg.kyushu-u.ac.jp/M3/20110411/F50911/3696/1", 48.12)</f>
        <v>48.12</v>
      </c>
      <c r="E5788" s="2">
        <v>28.31</v>
      </c>
      <c r="F5788" s="2">
        <v>3</v>
      </c>
      <c r="G5788" s="2" t="s">
        <v>9</v>
      </c>
    </row>
    <row r="5789" spans="1:7" x14ac:dyDescent="0.2">
      <c r="A5789" s="2" t="s">
        <v>3245</v>
      </c>
      <c r="B5789" s="2" t="s">
        <v>25</v>
      </c>
      <c r="C5789" s="2">
        <v>1106.242</v>
      </c>
      <c r="D5789" s="2">
        <f>HYPERLINK("http://mcb-m6.bioreg.kyushu-u.ac.jp/M3/20110411/F50903/3480/1", 48.17)</f>
        <v>48.17</v>
      </c>
      <c r="E5789" s="2">
        <v>18.89</v>
      </c>
      <c r="F5789" s="2">
        <v>2</v>
      </c>
      <c r="G5789" s="2" t="s">
        <v>9</v>
      </c>
    </row>
    <row r="5790" spans="1:7" x14ac:dyDescent="0.2">
      <c r="A5790" s="2" t="s">
        <v>3245</v>
      </c>
      <c r="B5790" s="2" t="s">
        <v>25</v>
      </c>
      <c r="C5790" s="2">
        <v>1105.9780000000001</v>
      </c>
      <c r="D5790" s="2">
        <f>HYPERLINK("http://mcb-m6.bioreg.kyushu-u.ac.jp/M3/20110411/F50890/3592/1", 48.28)</f>
        <v>48.28</v>
      </c>
      <c r="E5790" s="2">
        <v>33.93</v>
      </c>
      <c r="F5790" s="2">
        <v>2</v>
      </c>
      <c r="G5790" s="2" t="s">
        <v>9</v>
      </c>
    </row>
    <row r="5791" spans="1:7" x14ac:dyDescent="0.2">
      <c r="A5791" s="2" t="s">
        <v>3245</v>
      </c>
      <c r="B5791" s="2" t="s">
        <v>25</v>
      </c>
      <c r="C5791" s="2">
        <v>737.75819999999999</v>
      </c>
      <c r="D5791" s="2">
        <f>HYPERLINK("http://mcb-m6.bioreg.kyushu-u.ac.jp/M3/20110411/F50894/3173/1", 48.4)</f>
        <v>48.4</v>
      </c>
      <c r="E5791" s="2">
        <v>30.63</v>
      </c>
      <c r="F5791" s="2">
        <v>3</v>
      </c>
      <c r="G5791" s="2" t="s">
        <v>9</v>
      </c>
    </row>
    <row r="5792" spans="1:7" x14ac:dyDescent="0.2">
      <c r="A5792" s="2" t="s">
        <v>3245</v>
      </c>
      <c r="B5792" s="2" t="s">
        <v>25</v>
      </c>
      <c r="C5792" s="2">
        <v>1106.511</v>
      </c>
      <c r="D5792" s="2">
        <f>HYPERLINK("http://mcb-m6.bioreg.kyushu-u.ac.jp/M3/20110411/F50895/3474/1", 48.47)</f>
        <v>48.47</v>
      </c>
      <c r="E5792" s="2">
        <v>11.89</v>
      </c>
      <c r="F5792" s="2">
        <v>2</v>
      </c>
      <c r="G5792" s="2" t="s">
        <v>9</v>
      </c>
    </row>
    <row r="5793" spans="1:7" x14ac:dyDescent="0.2">
      <c r="A5793" s="2" t="s">
        <v>3245</v>
      </c>
      <c r="B5793" s="2" t="s">
        <v>25</v>
      </c>
      <c r="C5793" s="2">
        <v>1106.3620000000001</v>
      </c>
      <c r="D5793" s="2">
        <f>HYPERLINK("http://mcb-m6.bioreg.kyushu-u.ac.jp/M3/20110411/F50905/3632/1", 49.23)</f>
        <v>49.23</v>
      </c>
      <c r="E5793" s="2">
        <v>23.56</v>
      </c>
      <c r="F5793" s="2">
        <v>2</v>
      </c>
      <c r="G5793" s="2" t="s">
        <v>9</v>
      </c>
    </row>
    <row r="5794" spans="1:7" x14ac:dyDescent="0.2">
      <c r="A5794" s="2" t="s">
        <v>3245</v>
      </c>
      <c r="B5794" s="2" t="s">
        <v>25</v>
      </c>
      <c r="C5794" s="2">
        <v>737.9769</v>
      </c>
      <c r="D5794" s="2">
        <f>HYPERLINK("http://mcb-m6.bioreg.kyushu-u.ac.jp/M3/20110411/F50890/3600/1", 52.02)</f>
        <v>52.02</v>
      </c>
      <c r="E5794" s="2">
        <v>32.03</v>
      </c>
      <c r="F5794" s="2">
        <v>3</v>
      </c>
      <c r="G5794" s="2" t="s">
        <v>9</v>
      </c>
    </row>
    <row r="5795" spans="1:7" x14ac:dyDescent="0.2">
      <c r="A5795" s="2" t="s">
        <v>3245</v>
      </c>
      <c r="B5795" s="2" t="s">
        <v>25</v>
      </c>
      <c r="C5795" s="2">
        <v>1106.395</v>
      </c>
      <c r="D5795" s="2">
        <f>HYPERLINK("http://mcb-m6.bioreg.kyushu-u.ac.jp/M3/20110411/F50911/3697/1", 52.19)</f>
        <v>52.19</v>
      </c>
      <c r="E5795" s="2">
        <v>25.6</v>
      </c>
      <c r="F5795" s="2">
        <v>2</v>
      </c>
      <c r="G5795" s="2" t="s">
        <v>9</v>
      </c>
    </row>
    <row r="5796" spans="1:7" x14ac:dyDescent="0.2">
      <c r="A5796" s="2" t="s">
        <v>3245</v>
      </c>
      <c r="B5796" s="2" t="s">
        <v>25</v>
      </c>
      <c r="C5796" s="2">
        <v>1106.0429999999999</v>
      </c>
      <c r="D5796" s="2">
        <f>HYPERLINK("http://mcb-m6.bioreg.kyushu-u.ac.jp/M3/20110411/F50891/3746/1", 52.41)</f>
        <v>52.41</v>
      </c>
      <c r="E5796" s="2">
        <v>32.78</v>
      </c>
      <c r="F5796" s="2">
        <v>2</v>
      </c>
      <c r="G5796" s="2" t="s">
        <v>9</v>
      </c>
    </row>
    <row r="5797" spans="1:7" x14ac:dyDescent="0.2">
      <c r="A5797" s="2" t="s">
        <v>3245</v>
      </c>
      <c r="B5797" s="2" t="s">
        <v>25</v>
      </c>
      <c r="C5797" s="2">
        <v>1105.691</v>
      </c>
      <c r="D5797" s="2">
        <f>HYPERLINK("http://mcb-m6.bioreg.kyushu-u.ac.jp/M3/20110411/F50903/3476/1", 52.92)</f>
        <v>52.92</v>
      </c>
      <c r="E5797" s="2">
        <v>41.67</v>
      </c>
      <c r="F5797" s="2">
        <v>2</v>
      </c>
      <c r="G5797" s="2" t="s">
        <v>9</v>
      </c>
    </row>
    <row r="5798" spans="1:7" x14ac:dyDescent="0.2">
      <c r="A5798" s="2" t="s">
        <v>3245</v>
      </c>
      <c r="B5798" s="2" t="s">
        <v>25</v>
      </c>
      <c r="C5798" s="2">
        <v>1106.17</v>
      </c>
      <c r="D5798" s="2">
        <f>HYPERLINK("http://mcb-m6.bioreg.kyushu-u.ac.jp/M3/20110411/F50911/3690/1", 53.95)</f>
        <v>53.95</v>
      </c>
      <c r="E5798" s="2">
        <v>26.92</v>
      </c>
      <c r="F5798" s="2">
        <v>2</v>
      </c>
      <c r="G5798" s="2" t="s">
        <v>9</v>
      </c>
    </row>
    <row r="5799" spans="1:7" x14ac:dyDescent="0.2">
      <c r="A5799" s="2" t="s">
        <v>3245</v>
      </c>
      <c r="B5799" s="2" t="s">
        <v>25</v>
      </c>
      <c r="C5799" s="2">
        <v>1105.558</v>
      </c>
      <c r="D5799" s="2">
        <f>HYPERLINK("http://mcb-m6.bioreg.kyushu-u.ac.jp/M3/20110411/F50915/3618/1", 55.1)</f>
        <v>55.1</v>
      </c>
      <c r="E5799" s="2">
        <v>39.29</v>
      </c>
      <c r="F5799" s="2">
        <v>2</v>
      </c>
      <c r="G5799" s="2" t="s">
        <v>9</v>
      </c>
    </row>
    <row r="5800" spans="1:7" x14ac:dyDescent="0.2">
      <c r="A5800" s="2" t="s">
        <v>3245</v>
      </c>
      <c r="B5800" s="2" t="s">
        <v>25</v>
      </c>
      <c r="C5800" s="2">
        <v>1105.9970000000001</v>
      </c>
      <c r="D5800" s="2">
        <f>HYPERLINK("http://mcb-m6.bioreg.kyushu-u.ac.jp/M3/20110411/F50904/3444/1", 56.35)</f>
        <v>56.35</v>
      </c>
      <c r="E5800" s="2">
        <v>23.34</v>
      </c>
      <c r="F5800" s="2">
        <v>2</v>
      </c>
      <c r="G5800" s="2" t="s">
        <v>9</v>
      </c>
    </row>
    <row r="5801" spans="1:7" x14ac:dyDescent="0.2">
      <c r="A5801" s="2" t="s">
        <v>3245</v>
      </c>
      <c r="B5801" s="2" t="s">
        <v>25</v>
      </c>
      <c r="C5801" s="2">
        <v>1105.616</v>
      </c>
      <c r="D5801" s="2">
        <f>HYPERLINK("http://mcb-m6.bioreg.kyushu-u.ac.jp/M3/20110411/F50919/3217/1", 56.41)</f>
        <v>56.41</v>
      </c>
      <c r="E5801" s="2">
        <v>40.090000000000003</v>
      </c>
      <c r="F5801" s="2">
        <v>2</v>
      </c>
      <c r="G5801" s="2" t="s">
        <v>9</v>
      </c>
    </row>
    <row r="5802" spans="1:7" x14ac:dyDescent="0.2">
      <c r="A5802" s="2" t="s">
        <v>3245</v>
      </c>
      <c r="B5802" s="2" t="s">
        <v>25</v>
      </c>
      <c r="C5802" s="2">
        <v>737.68150000000003</v>
      </c>
      <c r="D5802" s="2">
        <f>HYPERLINK("http://mcb-m6.bioreg.kyushu-u.ac.jp/M3/20110411/F50890/3594/1", 58.15)</f>
        <v>58.15</v>
      </c>
      <c r="E5802" s="2">
        <v>31.56</v>
      </c>
      <c r="F5802" s="2">
        <v>3</v>
      </c>
      <c r="G5802" s="2" t="s">
        <v>9</v>
      </c>
    </row>
    <row r="5803" spans="1:7" x14ac:dyDescent="0.2">
      <c r="A5803" s="2" t="s">
        <v>3245</v>
      </c>
      <c r="B5803" s="2" t="s">
        <v>25</v>
      </c>
      <c r="C5803" s="2">
        <v>1106.6369999999999</v>
      </c>
      <c r="D5803" s="2">
        <f>HYPERLINK("http://mcb-m6.bioreg.kyushu-u.ac.jp/M3/20110411/F50919/3223/1", 58.34)</f>
        <v>58.34</v>
      </c>
      <c r="E5803" s="2">
        <v>31.82</v>
      </c>
      <c r="F5803" s="2">
        <v>2</v>
      </c>
      <c r="G5803" s="2" t="s">
        <v>9</v>
      </c>
    </row>
    <row r="5804" spans="1:7" x14ac:dyDescent="0.2">
      <c r="A5804" s="2" t="s">
        <v>3245</v>
      </c>
      <c r="B5804" s="2" t="s">
        <v>25</v>
      </c>
      <c r="C5804" s="2">
        <v>1106.1890000000001</v>
      </c>
      <c r="D5804" s="2">
        <f>HYPERLINK("http://mcb-m6.bioreg.kyushu-u.ac.jp/M3/20110411/F50919/3221/1", 60.84)</f>
        <v>60.84</v>
      </c>
      <c r="E5804" s="2">
        <v>37.18</v>
      </c>
      <c r="F5804" s="2">
        <v>2</v>
      </c>
      <c r="G5804" s="2" t="s">
        <v>9</v>
      </c>
    </row>
    <row r="5805" spans="1:7" x14ac:dyDescent="0.2">
      <c r="A5805" s="2" t="s">
        <v>3245</v>
      </c>
      <c r="B5805" s="2" t="s">
        <v>25</v>
      </c>
      <c r="C5805" s="2">
        <v>1106.4549999999999</v>
      </c>
      <c r="D5805" s="2">
        <f>HYPERLINK("http://mcb-m6.bioreg.kyushu-u.ac.jp/M3/20110411/F50891/3749/1", 64.4)</f>
        <v>64.400000000000006</v>
      </c>
      <c r="E5805" s="2">
        <v>45.14</v>
      </c>
      <c r="F5805" s="2">
        <v>2</v>
      </c>
      <c r="G5805" s="2" t="s">
        <v>9</v>
      </c>
    </row>
    <row r="5806" spans="1:7" x14ac:dyDescent="0.2">
      <c r="A5806" s="2" t="s">
        <v>3245</v>
      </c>
      <c r="B5806" s="2" t="s">
        <v>25</v>
      </c>
      <c r="C5806" s="2">
        <v>1106.221</v>
      </c>
      <c r="D5806" s="2">
        <f>HYPERLINK("http://mcb-m6.bioreg.kyushu-u.ac.jp/M3/20110411/F50894/3175/1", 65.9)</f>
        <v>65.900000000000006</v>
      </c>
      <c r="E5806" s="2">
        <v>37.26</v>
      </c>
      <c r="F5806" s="2">
        <v>2</v>
      </c>
      <c r="G5806" s="2" t="s">
        <v>9</v>
      </c>
    </row>
    <row r="5807" spans="1:7" x14ac:dyDescent="0.2">
      <c r="A5807" s="2" t="s">
        <v>3245</v>
      </c>
      <c r="B5807" s="2" t="s">
        <v>25</v>
      </c>
      <c r="C5807" s="2">
        <v>1105.4860000000001</v>
      </c>
      <c r="D5807" s="2">
        <f>HYPERLINK("http://mcb-m6.bioreg.kyushu-u.ac.jp/M3/20110411/F50890/3586/1", 69.91)</f>
        <v>69.91</v>
      </c>
      <c r="E5807" s="2">
        <v>54.53</v>
      </c>
      <c r="F5807" s="2">
        <v>2</v>
      </c>
      <c r="G5807" s="2" t="s">
        <v>9</v>
      </c>
    </row>
    <row r="5808" spans="1:7" x14ac:dyDescent="0.2">
      <c r="A5808" s="2" t="s">
        <v>3245</v>
      </c>
      <c r="B5808" s="2" t="s">
        <v>25</v>
      </c>
      <c r="C5808" s="2">
        <v>1106.5</v>
      </c>
      <c r="D5808" s="2">
        <f>HYPERLINK("http://mcb-m6.bioreg.kyushu-u.ac.jp/M3/20110411/F50893/3341/1", 71.63)</f>
        <v>71.63</v>
      </c>
      <c r="E5808" s="2">
        <v>45.19</v>
      </c>
      <c r="F5808" s="2">
        <v>2</v>
      </c>
      <c r="G5808" s="2" t="s">
        <v>9</v>
      </c>
    </row>
    <row r="5809" spans="1:7" x14ac:dyDescent="0.2">
      <c r="A5809" s="2" t="s">
        <v>3245</v>
      </c>
      <c r="B5809" s="2" t="s">
        <v>25</v>
      </c>
      <c r="C5809" s="2">
        <v>1106.491</v>
      </c>
      <c r="D5809" s="2">
        <f>HYPERLINK("http://mcb-m6.bioreg.kyushu-u.ac.jp/M3/20110411/F50893/3339/1", 71.68)</f>
        <v>71.680000000000007</v>
      </c>
      <c r="E5809" s="2">
        <v>40.08</v>
      </c>
      <c r="F5809" s="2">
        <v>2</v>
      </c>
      <c r="G5809" s="2" t="s">
        <v>9</v>
      </c>
    </row>
    <row r="5810" spans="1:7" x14ac:dyDescent="0.2">
      <c r="A5810" s="2" t="s">
        <v>3245</v>
      </c>
      <c r="B5810" s="2" t="s">
        <v>25</v>
      </c>
      <c r="C5810" s="2">
        <v>1106.194</v>
      </c>
      <c r="D5810" s="2">
        <f>HYPERLINK("http://mcb-m6.bioreg.kyushu-u.ac.jp/M3/20110411/F50911/3691/1", 73.53)</f>
        <v>73.53</v>
      </c>
      <c r="E5810" s="2">
        <v>51.51</v>
      </c>
      <c r="F5810" s="2">
        <v>2</v>
      </c>
      <c r="G5810" s="2" t="s">
        <v>9</v>
      </c>
    </row>
    <row r="5811" spans="1:7" x14ac:dyDescent="0.2">
      <c r="A5811" s="2" t="s">
        <v>3245</v>
      </c>
      <c r="B5811" s="2" t="s">
        <v>25</v>
      </c>
      <c r="C5811" s="2">
        <v>738.08479999999997</v>
      </c>
      <c r="D5811" s="2">
        <f>HYPERLINK("http://mcb-m6.bioreg.kyushu-u.ac.jp/M3/20110411/F50911/3698/1", 73.81)</f>
        <v>73.81</v>
      </c>
      <c r="E5811" s="2">
        <v>47.14</v>
      </c>
      <c r="F5811" s="2">
        <v>3</v>
      </c>
      <c r="G5811" s="2" t="s">
        <v>9</v>
      </c>
    </row>
    <row r="5812" spans="1:7" x14ac:dyDescent="0.2">
      <c r="A5812" s="2" t="s">
        <v>3245</v>
      </c>
      <c r="B5812" s="2" t="s">
        <v>25</v>
      </c>
      <c r="C5812" s="2">
        <v>1106.3879999999999</v>
      </c>
      <c r="D5812" s="2">
        <f>HYPERLINK("http://mcb-m6.bioreg.kyushu-u.ac.jp/M3/20110411/F50893/3337/1", 76.04)</f>
        <v>76.040000000000006</v>
      </c>
      <c r="E5812" s="2">
        <v>40.159999999999997</v>
      </c>
      <c r="F5812" s="2">
        <v>2</v>
      </c>
      <c r="G5812" s="2" t="s">
        <v>9</v>
      </c>
    </row>
    <row r="5813" spans="1:7" x14ac:dyDescent="0.2">
      <c r="A5813" s="2" t="s">
        <v>3245</v>
      </c>
      <c r="B5813" s="2" t="s">
        <v>25</v>
      </c>
      <c r="C5813" s="2">
        <v>1106.6469999999999</v>
      </c>
      <c r="D5813" s="2">
        <f>HYPERLINK("http://mcb-m6.bioreg.kyushu-u.ac.jp/M3/20110411/F50893/3342/1", 76.17)</f>
        <v>76.17</v>
      </c>
      <c r="E5813" s="2">
        <v>39.57</v>
      </c>
      <c r="F5813" s="2">
        <v>2</v>
      </c>
      <c r="G5813" s="2" t="s">
        <v>9</v>
      </c>
    </row>
    <row r="5814" spans="1:7" x14ac:dyDescent="0.2">
      <c r="A5814" s="2" t="s">
        <v>3245</v>
      </c>
      <c r="B5814" s="2" t="s">
        <v>25</v>
      </c>
      <c r="C5814" s="2">
        <v>1106.4849999999999</v>
      </c>
      <c r="D5814" s="2">
        <f>HYPERLINK("http://mcb-m6.bioreg.kyushu-u.ac.jp/M3/20110411/F50893/3338/1", 76.69)</f>
        <v>76.69</v>
      </c>
      <c r="E5814" s="2">
        <v>40.58</v>
      </c>
      <c r="F5814" s="2">
        <v>2</v>
      </c>
      <c r="G5814" s="2" t="s">
        <v>9</v>
      </c>
    </row>
    <row r="5815" spans="1:7" x14ac:dyDescent="0.2">
      <c r="A5815" s="2" t="s">
        <v>3245</v>
      </c>
      <c r="B5815" s="2" t="s">
        <v>25</v>
      </c>
      <c r="C5815" s="2">
        <v>1105.9580000000001</v>
      </c>
      <c r="D5815" s="2">
        <f>HYPERLINK("http://mcb-m6.bioreg.kyushu-u.ac.jp/M3/20110411/F50892/3365/1", 77.3)</f>
        <v>77.3</v>
      </c>
      <c r="E5815" s="2">
        <v>39.22</v>
      </c>
      <c r="F5815" s="2">
        <v>2</v>
      </c>
      <c r="G5815" s="2" t="s">
        <v>9</v>
      </c>
    </row>
    <row r="5816" spans="1:7" x14ac:dyDescent="0.2">
      <c r="A5816" s="2" t="s">
        <v>3245</v>
      </c>
      <c r="B5816" s="2" t="s">
        <v>25</v>
      </c>
      <c r="C5816" s="2">
        <v>1105.777</v>
      </c>
      <c r="D5816" s="2">
        <f>HYPERLINK("http://mcb-m6.bioreg.kyushu-u.ac.jp/M3/20110411/F50895/3467/1", 80.7)</f>
        <v>80.7</v>
      </c>
      <c r="E5816" s="2">
        <v>60.17</v>
      </c>
      <c r="F5816" s="2">
        <v>2</v>
      </c>
      <c r="G5816" s="2" t="s">
        <v>9</v>
      </c>
    </row>
    <row r="5817" spans="1:7" x14ac:dyDescent="0.2">
      <c r="A5817" s="2" t="s">
        <v>3245</v>
      </c>
      <c r="B5817" s="2" t="s">
        <v>25</v>
      </c>
      <c r="C5817" s="2">
        <v>1106.2760000000001</v>
      </c>
      <c r="D5817" s="2">
        <f>HYPERLINK("http://mcb-m6.bioreg.kyushu-u.ac.jp/M3/20110411/F50916/3468/1", 81.83)</f>
        <v>81.83</v>
      </c>
      <c r="E5817" s="2">
        <v>30.44</v>
      </c>
      <c r="F5817" s="2">
        <v>2</v>
      </c>
      <c r="G5817" s="2" t="s">
        <v>9</v>
      </c>
    </row>
    <row r="5818" spans="1:7" x14ac:dyDescent="0.2">
      <c r="A5818" s="2" t="s">
        <v>3245</v>
      </c>
      <c r="B5818" s="2" t="s">
        <v>25</v>
      </c>
      <c r="C5818" s="2">
        <v>1105.692</v>
      </c>
      <c r="D5818" s="2">
        <f>HYPERLINK("http://mcb-m6.bioreg.kyushu-u.ac.jp/M3/20110411/F50905/3623/1", 82.09)</f>
        <v>82.09</v>
      </c>
      <c r="E5818" s="2">
        <v>42.7</v>
      </c>
      <c r="F5818" s="2">
        <v>2</v>
      </c>
      <c r="G5818" s="2" t="s">
        <v>9</v>
      </c>
    </row>
    <row r="5819" spans="1:7" x14ac:dyDescent="0.2">
      <c r="A5819" s="2" t="s">
        <v>3245</v>
      </c>
      <c r="B5819" s="2" t="s">
        <v>25</v>
      </c>
      <c r="C5819" s="2">
        <v>1105.6980000000001</v>
      </c>
      <c r="D5819" s="2">
        <f>HYPERLINK("http://mcb-m6.bioreg.kyushu-u.ac.jp/M3/20110411/F50894/3171/1", 83.45)</f>
        <v>83.45</v>
      </c>
      <c r="E5819" s="2">
        <v>43.7</v>
      </c>
      <c r="F5819" s="2">
        <v>2</v>
      </c>
      <c r="G5819" s="2" t="s">
        <v>9</v>
      </c>
    </row>
    <row r="5820" spans="1:7" x14ac:dyDescent="0.2">
      <c r="A5820" s="2" t="s">
        <v>3245</v>
      </c>
      <c r="B5820" s="2" t="s">
        <v>25</v>
      </c>
      <c r="C5820" s="2">
        <v>1105.578</v>
      </c>
      <c r="D5820" s="2">
        <f>HYPERLINK("http://mcb-m6.bioreg.kyushu-u.ac.jp/M3/20110411/F50889/2965/1", 91.57)</f>
        <v>91.57</v>
      </c>
      <c r="E5820" s="2">
        <v>68.58</v>
      </c>
      <c r="F5820" s="2">
        <v>2</v>
      </c>
      <c r="G5820" s="2" t="s">
        <v>9</v>
      </c>
    </row>
    <row r="5821" spans="1:7" x14ac:dyDescent="0.2">
      <c r="A5821" s="2" t="s">
        <v>3245</v>
      </c>
      <c r="B5821" s="2" t="s">
        <v>25</v>
      </c>
      <c r="C5821" s="2">
        <v>1106.211</v>
      </c>
      <c r="D5821" s="2">
        <f>HYPERLINK("http://mcb-m6.bioreg.kyushu-u.ac.jp/M3/20110411/F50903/3478/1", 100.43)</f>
        <v>100.43</v>
      </c>
      <c r="E5821" s="2">
        <v>28.71</v>
      </c>
      <c r="F5821" s="2">
        <v>2</v>
      </c>
      <c r="G5821" s="2" t="s">
        <v>9</v>
      </c>
    </row>
    <row r="5822" spans="1:7" x14ac:dyDescent="0.2">
      <c r="A5822" s="2" t="s">
        <v>3245</v>
      </c>
      <c r="B5822" s="2" t="s">
        <v>25</v>
      </c>
      <c r="C5822" s="2">
        <v>1105.7729999999999</v>
      </c>
      <c r="D5822" s="2">
        <f>HYPERLINK("http://mcb-m6.bioreg.kyushu-u.ac.jp/M3/20110411/F50904/3443/1", 113.06)</f>
        <v>113.06</v>
      </c>
      <c r="E5822" s="2">
        <v>85.58</v>
      </c>
      <c r="F5822" s="2">
        <v>2</v>
      </c>
      <c r="G5822" s="2" t="s">
        <v>9</v>
      </c>
    </row>
    <row r="5823" spans="1:7" x14ac:dyDescent="0.2">
      <c r="A5823" s="2" t="s">
        <v>3245</v>
      </c>
      <c r="B5823" s="2" t="s">
        <v>25</v>
      </c>
      <c r="C5823" s="2">
        <v>1105.8589999999999</v>
      </c>
      <c r="D5823" s="2">
        <f>HYPERLINK("http://mcb-m6.bioreg.kyushu-u.ac.jp/M3/20110411/F50893/3334/1", 126.61)</f>
        <v>126.61</v>
      </c>
      <c r="E5823" s="2">
        <v>92.66</v>
      </c>
      <c r="F5823" s="2">
        <v>2</v>
      </c>
      <c r="G5823" s="2" t="s">
        <v>9</v>
      </c>
    </row>
    <row r="5824" spans="1:7" x14ac:dyDescent="0.2">
      <c r="A5824" s="2" t="s">
        <v>3245</v>
      </c>
      <c r="B5824" s="2" t="s">
        <v>25</v>
      </c>
      <c r="C5824" s="2">
        <v>1106.2339999999999</v>
      </c>
      <c r="D5824" s="2">
        <f>HYPERLINK("http://mcb-m6.bioreg.kyushu-u.ac.jp/M3/20110411/F50902/3458/1", 36.43)</f>
        <v>36.43</v>
      </c>
      <c r="E5824" s="2">
        <v>18.190000000000001</v>
      </c>
      <c r="F5824" s="2">
        <v>2</v>
      </c>
      <c r="G5824" s="2" t="s">
        <v>10</v>
      </c>
    </row>
    <row r="5825" spans="1:7" x14ac:dyDescent="0.2">
      <c r="A5825" s="2" t="s">
        <v>3245</v>
      </c>
      <c r="B5825" s="2" t="s">
        <v>25</v>
      </c>
      <c r="C5825" s="2">
        <v>1106.222</v>
      </c>
      <c r="D5825" s="2">
        <f>HYPERLINK("http://mcb-m6.bioreg.kyushu-u.ac.jp/M3/20110411/F50902/3457/1", 36.54)</f>
        <v>36.54</v>
      </c>
      <c r="E5825" s="2">
        <v>11.22</v>
      </c>
      <c r="F5825" s="2">
        <v>2</v>
      </c>
      <c r="G5825" s="2" t="s">
        <v>10</v>
      </c>
    </row>
    <row r="5826" spans="1:7" x14ac:dyDescent="0.2">
      <c r="A5826" s="2" t="s">
        <v>3245</v>
      </c>
      <c r="B5826" s="2" t="s">
        <v>25</v>
      </c>
      <c r="C5826" s="2">
        <v>1106.2249999999999</v>
      </c>
      <c r="D5826" s="2">
        <f>HYPERLINK("http://mcb-m6.bioreg.kyushu-u.ac.jp/M3/20110411/F50901/3246/1", 36.85)</f>
        <v>36.85</v>
      </c>
      <c r="E5826" s="2">
        <v>12.69</v>
      </c>
      <c r="F5826" s="2">
        <v>2</v>
      </c>
      <c r="G5826" s="2" t="s">
        <v>10</v>
      </c>
    </row>
    <row r="5827" spans="1:7" x14ac:dyDescent="0.2">
      <c r="A5827" s="2" t="s">
        <v>3245</v>
      </c>
      <c r="B5827" s="2" t="s">
        <v>25</v>
      </c>
      <c r="C5827" s="2">
        <v>1106.2660000000001</v>
      </c>
      <c r="D5827" s="2">
        <f>HYPERLINK("http://mcb-m6.bioreg.kyushu-u.ac.jp/M3/20110411/F50901/3248/1", 38.31)</f>
        <v>38.31</v>
      </c>
      <c r="E5827" s="2">
        <v>14.49</v>
      </c>
      <c r="F5827" s="2">
        <v>2</v>
      </c>
      <c r="G5827" s="2" t="s">
        <v>10</v>
      </c>
    </row>
    <row r="5828" spans="1:7" x14ac:dyDescent="0.2">
      <c r="A5828" s="2" t="s">
        <v>3245</v>
      </c>
      <c r="B5828" s="2" t="s">
        <v>25</v>
      </c>
      <c r="C5828" s="2">
        <v>1106.213</v>
      </c>
      <c r="D5828" s="2">
        <f>HYPERLINK("http://mcb-m6.bioreg.kyushu-u.ac.jp/M3/20110411/F50897/3407/1", 38.53)</f>
        <v>38.53</v>
      </c>
      <c r="E5828" s="2">
        <v>16.12</v>
      </c>
      <c r="F5828" s="2">
        <v>2</v>
      </c>
      <c r="G5828" s="2" t="s">
        <v>10</v>
      </c>
    </row>
    <row r="5829" spans="1:7" x14ac:dyDescent="0.2">
      <c r="A5829" s="2" t="s">
        <v>3245</v>
      </c>
      <c r="B5829" s="2" t="s">
        <v>25</v>
      </c>
      <c r="C5829" s="2">
        <v>737.84649999999999</v>
      </c>
      <c r="D5829" s="2">
        <f>HYPERLINK("http://mcb-m6.bioreg.kyushu-u.ac.jp/M3/20110411/F50902/3461/1", 38.72)</f>
        <v>38.72</v>
      </c>
      <c r="E5829" s="2">
        <v>23.09</v>
      </c>
      <c r="F5829" s="2">
        <v>3</v>
      </c>
      <c r="G5829" s="2" t="s">
        <v>10</v>
      </c>
    </row>
    <row r="5830" spans="1:7" x14ac:dyDescent="0.2">
      <c r="A5830" s="2" t="s">
        <v>3245</v>
      </c>
      <c r="B5830" s="2" t="s">
        <v>25</v>
      </c>
      <c r="C5830" s="2">
        <v>1106.2239999999999</v>
      </c>
      <c r="D5830" s="2">
        <f>HYPERLINK("http://mcb-m6.bioreg.kyushu-u.ac.jp/M3/20110411/F50899/3014/1", 39.96)</f>
        <v>39.96</v>
      </c>
      <c r="E5830" s="2">
        <v>17.61</v>
      </c>
      <c r="F5830" s="2">
        <v>2</v>
      </c>
      <c r="G5830" s="2" t="s">
        <v>10</v>
      </c>
    </row>
    <row r="5831" spans="1:7" x14ac:dyDescent="0.2">
      <c r="A5831" s="2" t="s">
        <v>3245</v>
      </c>
      <c r="B5831" s="2" t="s">
        <v>25</v>
      </c>
      <c r="C5831" s="2">
        <v>1106.6289999999999</v>
      </c>
      <c r="D5831" s="2">
        <f>HYPERLINK("http://mcb-m6.bioreg.kyushu-u.ac.jp/M3/20110411/F50917/3655/1", 40.32)</f>
        <v>40.32</v>
      </c>
      <c r="E5831" s="2">
        <v>18.79</v>
      </c>
      <c r="F5831" s="2">
        <v>2</v>
      </c>
      <c r="G5831" s="2" t="s">
        <v>10</v>
      </c>
    </row>
    <row r="5832" spans="1:7" x14ac:dyDescent="0.2">
      <c r="A5832" s="2" t="s">
        <v>3245</v>
      </c>
      <c r="B5832" s="2" t="s">
        <v>25</v>
      </c>
      <c r="C5832" s="2">
        <v>1106.114</v>
      </c>
      <c r="D5832" s="2">
        <f>HYPERLINK("http://mcb-m6.bioreg.kyushu-u.ac.jp/M3/20110411/F50917/3651/1", 40.47)</f>
        <v>40.47</v>
      </c>
      <c r="E5832" s="2">
        <v>22.69</v>
      </c>
      <c r="F5832" s="2">
        <v>2</v>
      </c>
      <c r="G5832" s="2" t="s">
        <v>10</v>
      </c>
    </row>
    <row r="5833" spans="1:7" x14ac:dyDescent="0.2">
      <c r="A5833" s="2" t="s">
        <v>3245</v>
      </c>
      <c r="B5833" s="2" t="s">
        <v>25</v>
      </c>
      <c r="C5833" s="2">
        <v>1106.2339999999999</v>
      </c>
      <c r="D5833" s="2">
        <f>HYPERLINK("http://mcb-m6.bioreg.kyushu-u.ac.jp/M3/20110411/F50897/3408/1", 40.74)</f>
        <v>40.74</v>
      </c>
      <c r="E5833" s="2">
        <v>17.52</v>
      </c>
      <c r="F5833" s="2">
        <v>2</v>
      </c>
      <c r="G5833" s="2" t="s">
        <v>10</v>
      </c>
    </row>
    <row r="5834" spans="1:7" x14ac:dyDescent="0.2">
      <c r="A5834" s="2" t="s">
        <v>3245</v>
      </c>
      <c r="B5834" s="2" t="s">
        <v>25</v>
      </c>
      <c r="C5834" s="2">
        <v>1106.6289999999999</v>
      </c>
      <c r="D5834" s="2">
        <f>HYPERLINK("http://mcb-m6.bioreg.kyushu-u.ac.jp/M3/20110411/F50920/3091/1", 41.32)</f>
        <v>41.32</v>
      </c>
      <c r="E5834" s="2">
        <v>23.85</v>
      </c>
      <c r="F5834" s="2">
        <v>2</v>
      </c>
      <c r="G5834" s="2" t="s">
        <v>10</v>
      </c>
    </row>
    <row r="5835" spans="1:7" x14ac:dyDescent="0.2">
      <c r="A5835" s="2" t="s">
        <v>3245</v>
      </c>
      <c r="B5835" s="2" t="s">
        <v>25</v>
      </c>
      <c r="C5835" s="2">
        <v>1106.6099999999999</v>
      </c>
      <c r="D5835" s="2">
        <f>HYPERLINK("http://mcb-m6.bioreg.kyushu-u.ac.jp/M3/20110411/F50900/3195/1", 41.63)</f>
        <v>41.63</v>
      </c>
      <c r="E5835" s="2">
        <v>18.100000000000001</v>
      </c>
      <c r="F5835" s="2">
        <v>2</v>
      </c>
      <c r="G5835" s="2" t="s">
        <v>10</v>
      </c>
    </row>
    <row r="5836" spans="1:7" x14ac:dyDescent="0.2">
      <c r="A5836" s="2" t="s">
        <v>3245</v>
      </c>
      <c r="B5836" s="2" t="s">
        <v>25</v>
      </c>
      <c r="C5836" s="2">
        <v>1106.0060000000001</v>
      </c>
      <c r="D5836" s="2">
        <f>HYPERLINK("http://mcb-m6.bioreg.kyushu-u.ac.jp/M3/20110411/F50914/3473/1", 41.65)</f>
        <v>41.65</v>
      </c>
      <c r="E5836" s="2">
        <v>25.31</v>
      </c>
      <c r="F5836" s="2">
        <v>2</v>
      </c>
      <c r="G5836" s="2" t="s">
        <v>10</v>
      </c>
    </row>
    <row r="5837" spans="1:7" x14ac:dyDescent="0.2">
      <c r="A5837" s="2" t="s">
        <v>3245</v>
      </c>
      <c r="B5837" s="2" t="s">
        <v>25</v>
      </c>
      <c r="C5837" s="2">
        <v>1106.1780000000001</v>
      </c>
      <c r="D5837" s="2">
        <f>HYPERLINK("http://mcb-m6.bioreg.kyushu-u.ac.jp/M3/20110411/F50900/3190/1", 41.78)</f>
        <v>41.78</v>
      </c>
      <c r="E5837" s="2">
        <v>15.99</v>
      </c>
      <c r="F5837" s="2">
        <v>2</v>
      </c>
      <c r="G5837" s="2" t="s">
        <v>10</v>
      </c>
    </row>
    <row r="5838" spans="1:7" x14ac:dyDescent="0.2">
      <c r="A5838" s="2" t="s">
        <v>3245</v>
      </c>
      <c r="B5838" s="2" t="s">
        <v>25</v>
      </c>
      <c r="C5838" s="2">
        <v>1106.1569999999999</v>
      </c>
      <c r="D5838" s="2">
        <f>HYPERLINK("http://mcb-m6.bioreg.kyushu-u.ac.jp/M3/20110411/F50912/3416/1", 42.11)</f>
        <v>42.11</v>
      </c>
      <c r="E5838" s="2">
        <v>18.420000000000002</v>
      </c>
      <c r="F5838" s="2">
        <v>2</v>
      </c>
      <c r="G5838" s="2" t="s">
        <v>10</v>
      </c>
    </row>
    <row r="5839" spans="1:7" x14ac:dyDescent="0.2">
      <c r="A5839" s="2" t="s">
        <v>3245</v>
      </c>
      <c r="B5839" s="2" t="s">
        <v>25</v>
      </c>
      <c r="C5839" s="2">
        <v>1106.576</v>
      </c>
      <c r="D5839" s="2">
        <f>HYPERLINK("http://mcb-m6.bioreg.kyushu-u.ac.jp/M3/20110411/F50902/3465/1", 42.25)</f>
        <v>42.25</v>
      </c>
      <c r="E5839" s="2">
        <v>25.07</v>
      </c>
      <c r="F5839" s="2">
        <v>2</v>
      </c>
      <c r="G5839" s="2" t="s">
        <v>10</v>
      </c>
    </row>
    <row r="5840" spans="1:7" x14ac:dyDescent="0.2">
      <c r="A5840" s="2" t="s">
        <v>3245</v>
      </c>
      <c r="B5840" s="2" t="s">
        <v>25</v>
      </c>
      <c r="C5840" s="2">
        <v>1106.51</v>
      </c>
      <c r="D5840" s="2">
        <f>HYPERLINK("http://mcb-m6.bioreg.kyushu-u.ac.jp/M3/20110411/F50914/3478/1", 42.45)</f>
        <v>42.45</v>
      </c>
      <c r="E5840" s="2">
        <v>29.85</v>
      </c>
      <c r="F5840" s="2">
        <v>2</v>
      </c>
      <c r="G5840" s="2" t="s">
        <v>10</v>
      </c>
    </row>
    <row r="5841" spans="1:7" x14ac:dyDescent="0.2">
      <c r="A5841" s="2" t="s">
        <v>3245</v>
      </c>
      <c r="B5841" s="2" t="s">
        <v>25</v>
      </c>
      <c r="C5841" s="2">
        <v>1106.1300000000001</v>
      </c>
      <c r="D5841" s="2">
        <f>HYPERLINK("http://mcb-m6.bioreg.kyushu-u.ac.jp/M3/20110411/F50897/3404/1", 43.21)</f>
        <v>43.21</v>
      </c>
      <c r="E5841" s="2">
        <v>15.65</v>
      </c>
      <c r="F5841" s="2">
        <v>2</v>
      </c>
      <c r="G5841" s="2" t="s">
        <v>10</v>
      </c>
    </row>
    <row r="5842" spans="1:7" x14ac:dyDescent="0.2">
      <c r="A5842" s="2" t="s">
        <v>3245</v>
      </c>
      <c r="B5842" s="2" t="s">
        <v>25</v>
      </c>
      <c r="C5842" s="2">
        <v>737.67610000000002</v>
      </c>
      <c r="D5842" s="2">
        <f>HYPERLINK("http://mcb-m6.bioreg.kyushu-u.ac.jp/M3/20110411/F50896/3099/1", 43.36)</f>
        <v>43.36</v>
      </c>
      <c r="E5842" s="2">
        <v>20.87</v>
      </c>
      <c r="F5842" s="2">
        <v>3</v>
      </c>
      <c r="G5842" s="2" t="s">
        <v>10</v>
      </c>
    </row>
    <row r="5843" spans="1:7" x14ac:dyDescent="0.2">
      <c r="A5843" s="2" t="s">
        <v>3245</v>
      </c>
      <c r="B5843" s="2" t="s">
        <v>25</v>
      </c>
      <c r="C5843" s="2">
        <v>1105.5409999999999</v>
      </c>
      <c r="D5843" s="2">
        <f>HYPERLINK("http://mcb-m6.bioreg.kyushu-u.ac.jp/M3/20110411/F50900/3185/1", 44.15)</f>
        <v>44.15</v>
      </c>
      <c r="E5843" s="2">
        <v>29.08</v>
      </c>
      <c r="F5843" s="2">
        <v>2</v>
      </c>
      <c r="G5843" s="2" t="s">
        <v>10</v>
      </c>
    </row>
    <row r="5844" spans="1:7" x14ac:dyDescent="0.2">
      <c r="A5844" s="2" t="s">
        <v>3245</v>
      </c>
      <c r="B5844" s="2" t="s">
        <v>25</v>
      </c>
      <c r="C5844" s="2">
        <v>1106.4380000000001</v>
      </c>
      <c r="D5844" s="2">
        <f>HYPERLINK("http://mcb-m6.bioreg.kyushu-u.ac.jp/M3/20110411/F50900/3193/1", 44.17)</f>
        <v>44.17</v>
      </c>
      <c r="E5844" s="2">
        <v>14.96</v>
      </c>
      <c r="F5844" s="2">
        <v>2</v>
      </c>
      <c r="G5844" s="2" t="s">
        <v>10</v>
      </c>
    </row>
    <row r="5845" spans="1:7" x14ac:dyDescent="0.2">
      <c r="A5845" s="2" t="s">
        <v>3245</v>
      </c>
      <c r="B5845" s="2" t="s">
        <v>25</v>
      </c>
      <c r="C5845" s="2">
        <v>738.04719999999998</v>
      </c>
      <c r="D5845" s="2">
        <f>HYPERLINK("http://mcb-m6.bioreg.kyushu-u.ac.jp/M3/20110411/F50898/3116/1", 44.91)</f>
        <v>44.91</v>
      </c>
      <c r="E5845" s="2">
        <v>24.83</v>
      </c>
      <c r="F5845" s="2">
        <v>3</v>
      </c>
      <c r="G5845" s="2" t="s">
        <v>10</v>
      </c>
    </row>
    <row r="5846" spans="1:7" x14ac:dyDescent="0.2">
      <c r="A5846" s="2" t="s">
        <v>3245</v>
      </c>
      <c r="B5846" s="2" t="s">
        <v>25</v>
      </c>
      <c r="C5846" s="2">
        <v>1106.1030000000001</v>
      </c>
      <c r="D5846" s="2">
        <f>HYPERLINK("http://mcb-m6.bioreg.kyushu-u.ac.jp/M3/20110411/F50920/3087/1", 45.57)</f>
        <v>45.57</v>
      </c>
      <c r="E5846" s="2">
        <v>21.68</v>
      </c>
      <c r="F5846" s="2">
        <v>2</v>
      </c>
      <c r="G5846" s="2" t="s">
        <v>10</v>
      </c>
    </row>
    <row r="5847" spans="1:7" x14ac:dyDescent="0.2">
      <c r="A5847" s="2" t="s">
        <v>3245</v>
      </c>
      <c r="B5847" s="2" t="s">
        <v>25</v>
      </c>
      <c r="C5847" s="2">
        <v>1106.6369999999999</v>
      </c>
      <c r="D5847" s="2">
        <f>HYPERLINK("http://mcb-m6.bioreg.kyushu-u.ac.jp/M3/20110411/F50918/3369/1", 48.96)</f>
        <v>48.96</v>
      </c>
      <c r="E5847" s="2">
        <v>10.94</v>
      </c>
      <c r="F5847" s="2">
        <v>2</v>
      </c>
      <c r="G5847" s="2" t="s">
        <v>10</v>
      </c>
    </row>
    <row r="5848" spans="1:7" x14ac:dyDescent="0.2">
      <c r="A5848" s="2" t="s">
        <v>3245</v>
      </c>
      <c r="B5848" s="2" t="s">
        <v>25</v>
      </c>
      <c r="C5848" s="2">
        <v>1106.461</v>
      </c>
      <c r="D5848" s="2">
        <f>HYPERLINK("http://mcb-m6.bioreg.kyushu-u.ac.jp/M3/20110411/F50901/3249/1", 50.49)</f>
        <v>50.49</v>
      </c>
      <c r="E5848" s="2">
        <v>22.89</v>
      </c>
      <c r="F5848" s="2">
        <v>2</v>
      </c>
      <c r="G5848" s="2" t="s">
        <v>10</v>
      </c>
    </row>
    <row r="5849" spans="1:7" x14ac:dyDescent="0.2">
      <c r="A5849" s="2" t="s">
        <v>3245</v>
      </c>
      <c r="B5849" s="2" t="s">
        <v>25</v>
      </c>
      <c r="C5849" s="2">
        <v>1106.181</v>
      </c>
      <c r="D5849" s="2">
        <f>HYPERLINK("http://mcb-m6.bioreg.kyushu-u.ac.jp/M3/20110411/F50899/3013/1", 50.67)</f>
        <v>50.67</v>
      </c>
      <c r="E5849" s="2">
        <v>25.56</v>
      </c>
      <c r="F5849" s="2">
        <v>2</v>
      </c>
      <c r="G5849" s="2" t="s">
        <v>10</v>
      </c>
    </row>
    <row r="5850" spans="1:7" x14ac:dyDescent="0.2">
      <c r="A5850" s="2" t="s">
        <v>3245</v>
      </c>
      <c r="B5850" s="2" t="s">
        <v>25</v>
      </c>
      <c r="C5850" s="2">
        <v>1106.17</v>
      </c>
      <c r="D5850" s="2">
        <f>HYPERLINK("http://mcb-m6.bioreg.kyushu-u.ac.jp/M3/20110411/F50896/3101/1", 50.71)</f>
        <v>50.71</v>
      </c>
      <c r="E5850" s="2">
        <v>26.95</v>
      </c>
      <c r="F5850" s="2">
        <v>2</v>
      </c>
      <c r="G5850" s="2" t="s">
        <v>10</v>
      </c>
    </row>
    <row r="5851" spans="1:7" x14ac:dyDescent="0.2">
      <c r="A5851" s="2" t="s">
        <v>3245</v>
      </c>
      <c r="B5851" s="2" t="s">
        <v>25</v>
      </c>
      <c r="C5851" s="2">
        <v>1106.6489999999999</v>
      </c>
      <c r="D5851" s="2">
        <f>HYPERLINK("http://mcb-m6.bioreg.kyushu-u.ac.jp/M3/20110411/F50900/3196/1", 51.01)</f>
        <v>51.01</v>
      </c>
      <c r="E5851" s="2">
        <v>32.57</v>
      </c>
      <c r="F5851" s="2">
        <v>2</v>
      </c>
      <c r="G5851" s="2" t="s">
        <v>10</v>
      </c>
    </row>
    <row r="5852" spans="1:7" x14ac:dyDescent="0.2">
      <c r="A5852" s="2" t="s">
        <v>3245</v>
      </c>
      <c r="B5852" s="2" t="s">
        <v>25</v>
      </c>
      <c r="C5852" s="2">
        <v>1106.1020000000001</v>
      </c>
      <c r="D5852" s="2">
        <f>HYPERLINK("http://mcb-m6.bioreg.kyushu-u.ac.jp/M3/20110411/F50901/3244/1", 51.37)</f>
        <v>51.37</v>
      </c>
      <c r="E5852" s="2">
        <v>23.47</v>
      </c>
      <c r="F5852" s="2">
        <v>2</v>
      </c>
      <c r="G5852" s="2" t="s">
        <v>10</v>
      </c>
    </row>
    <row r="5853" spans="1:7" x14ac:dyDescent="0.2">
      <c r="A5853" s="2" t="s">
        <v>3245</v>
      </c>
      <c r="B5853" s="2" t="s">
        <v>25</v>
      </c>
      <c r="C5853" s="2">
        <v>1106.499</v>
      </c>
      <c r="D5853" s="2">
        <f>HYPERLINK("http://mcb-m6.bioreg.kyushu-u.ac.jp/M3/20110411/F50896/3104/1", 52)</f>
        <v>52</v>
      </c>
      <c r="E5853" s="2">
        <v>20.48</v>
      </c>
      <c r="F5853" s="2">
        <v>2</v>
      </c>
      <c r="G5853" s="2" t="s">
        <v>10</v>
      </c>
    </row>
    <row r="5854" spans="1:7" x14ac:dyDescent="0.2">
      <c r="A5854" s="2" t="s">
        <v>3245</v>
      </c>
      <c r="B5854" s="2" t="s">
        <v>25</v>
      </c>
      <c r="C5854" s="2">
        <v>1106.18</v>
      </c>
      <c r="D5854" s="2">
        <f>HYPERLINK("http://mcb-m6.bioreg.kyushu-u.ac.jp/M3/20110411/F50913/3444/1", 52.43)</f>
        <v>52.43</v>
      </c>
      <c r="E5854" s="2">
        <v>13.17</v>
      </c>
      <c r="F5854" s="2">
        <v>2</v>
      </c>
      <c r="G5854" s="2" t="s">
        <v>10</v>
      </c>
    </row>
    <row r="5855" spans="1:7" x14ac:dyDescent="0.2">
      <c r="A5855" s="2" t="s">
        <v>3245</v>
      </c>
      <c r="B5855" s="2" t="s">
        <v>25</v>
      </c>
      <c r="C5855" s="2">
        <v>1105.491</v>
      </c>
      <c r="D5855" s="2">
        <f>HYPERLINK("http://mcb-m6.bioreg.kyushu-u.ac.jp/M3/20110411/F50913/3437/1", 52.49)</f>
        <v>52.49</v>
      </c>
      <c r="E5855" s="2">
        <v>37.299999999999997</v>
      </c>
      <c r="F5855" s="2">
        <v>2</v>
      </c>
      <c r="G5855" s="2" t="s">
        <v>10</v>
      </c>
    </row>
    <row r="5856" spans="1:7" x14ac:dyDescent="0.2">
      <c r="A5856" s="2" t="s">
        <v>3245</v>
      </c>
      <c r="B5856" s="2" t="s">
        <v>25</v>
      </c>
      <c r="C5856" s="2">
        <v>1105.5340000000001</v>
      </c>
      <c r="D5856" s="2">
        <f>HYPERLINK("http://mcb-m6.bioreg.kyushu-u.ac.jp/M3/20110411/F50914/3469/1", 53.61)</f>
        <v>53.61</v>
      </c>
      <c r="E5856" s="2">
        <v>34.35</v>
      </c>
      <c r="F5856" s="2">
        <v>2</v>
      </c>
      <c r="G5856" s="2" t="s">
        <v>10</v>
      </c>
    </row>
    <row r="5857" spans="1:7" x14ac:dyDescent="0.2">
      <c r="A5857" s="2" t="s">
        <v>3245</v>
      </c>
      <c r="B5857" s="2" t="s">
        <v>25</v>
      </c>
      <c r="C5857" s="2">
        <v>1106.23</v>
      </c>
      <c r="D5857" s="2">
        <f>HYPERLINK("http://mcb-m6.bioreg.kyushu-u.ac.jp/M3/20110411/F50896/3102/1", 54.13)</f>
        <v>54.13</v>
      </c>
      <c r="E5857" s="2">
        <v>11.11</v>
      </c>
      <c r="F5857" s="2">
        <v>2</v>
      </c>
      <c r="G5857" s="2" t="s">
        <v>10</v>
      </c>
    </row>
    <row r="5858" spans="1:7" x14ac:dyDescent="0.2">
      <c r="A5858" s="2" t="s">
        <v>3245</v>
      </c>
      <c r="B5858" s="2" t="s">
        <v>25</v>
      </c>
      <c r="C5858" s="2">
        <v>737.79819999999995</v>
      </c>
      <c r="D5858" s="2">
        <f>HYPERLINK("http://mcb-m6.bioreg.kyushu-u.ac.jp/M3/20110411/F50914/3475/1", 54.47)</f>
        <v>54.47</v>
      </c>
      <c r="E5858" s="2">
        <v>31.76</v>
      </c>
      <c r="F5858" s="2">
        <v>3</v>
      </c>
      <c r="G5858" s="2" t="s">
        <v>10</v>
      </c>
    </row>
    <row r="5859" spans="1:7" x14ac:dyDescent="0.2">
      <c r="A5859" s="2" t="s">
        <v>3245</v>
      </c>
      <c r="B5859" s="2" t="s">
        <v>25</v>
      </c>
      <c r="C5859" s="2">
        <v>1105.6559999999999</v>
      </c>
      <c r="D5859" s="2">
        <f>HYPERLINK("http://mcb-m6.bioreg.kyushu-u.ac.jp/M3/20110411/F50901/3241/1", 55.04)</f>
        <v>55.04</v>
      </c>
      <c r="E5859" s="2">
        <v>31.11</v>
      </c>
      <c r="F5859" s="2">
        <v>2</v>
      </c>
      <c r="G5859" s="2" t="s">
        <v>10</v>
      </c>
    </row>
    <row r="5860" spans="1:7" x14ac:dyDescent="0.2">
      <c r="A5860" s="2" t="s">
        <v>3245</v>
      </c>
      <c r="B5860" s="2" t="s">
        <v>25</v>
      </c>
      <c r="C5860" s="2">
        <v>1106.231</v>
      </c>
      <c r="D5860" s="2">
        <f>HYPERLINK("http://mcb-m6.bioreg.kyushu-u.ac.jp/M3/20110411/F50896/3103/1", 55.2)</f>
        <v>55.2</v>
      </c>
      <c r="E5860" s="2">
        <v>21.84</v>
      </c>
      <c r="F5860" s="2">
        <v>2</v>
      </c>
      <c r="G5860" s="2" t="s">
        <v>10</v>
      </c>
    </row>
    <row r="5861" spans="1:7" x14ac:dyDescent="0.2">
      <c r="A5861" s="2" t="s">
        <v>3245</v>
      </c>
      <c r="B5861" s="2" t="s">
        <v>25</v>
      </c>
      <c r="C5861" s="2">
        <v>1106.3920000000001</v>
      </c>
      <c r="D5861" s="2">
        <f>HYPERLINK("http://mcb-m6.bioreg.kyushu-u.ac.jp/M3/20110411/F50900/3192/1", 55.56)</f>
        <v>55.56</v>
      </c>
      <c r="E5861" s="2">
        <v>35.200000000000003</v>
      </c>
      <c r="F5861" s="2">
        <v>2</v>
      </c>
      <c r="G5861" s="2" t="s">
        <v>10</v>
      </c>
    </row>
    <row r="5862" spans="1:7" x14ac:dyDescent="0.2">
      <c r="A5862" s="2" t="s">
        <v>3245</v>
      </c>
      <c r="B5862" s="2" t="s">
        <v>25</v>
      </c>
      <c r="C5862" s="2">
        <v>1106.1769999999999</v>
      </c>
      <c r="D5862" s="2">
        <f>HYPERLINK("http://mcb-m6.bioreg.kyushu-u.ac.jp/M3/20110411/F50913/3443/1", 56.43)</f>
        <v>56.43</v>
      </c>
      <c r="E5862" s="2">
        <v>33.61</v>
      </c>
      <c r="F5862" s="2">
        <v>2</v>
      </c>
      <c r="G5862" s="2" t="s">
        <v>10</v>
      </c>
    </row>
    <row r="5863" spans="1:7" x14ac:dyDescent="0.2">
      <c r="A5863" s="2" t="s">
        <v>3245</v>
      </c>
      <c r="B5863" s="2" t="s">
        <v>25</v>
      </c>
      <c r="C5863" s="2">
        <v>1106.1659999999999</v>
      </c>
      <c r="D5863" s="2">
        <f>HYPERLINK("http://mcb-m6.bioreg.kyushu-u.ac.jp/M3/20110411/F50901/3245/1", 57.3)</f>
        <v>57.3</v>
      </c>
      <c r="E5863" s="2">
        <v>26.75</v>
      </c>
      <c r="F5863" s="2">
        <v>2</v>
      </c>
      <c r="G5863" s="2" t="s">
        <v>10</v>
      </c>
    </row>
    <row r="5864" spans="1:7" x14ac:dyDescent="0.2">
      <c r="A5864" s="2" t="s">
        <v>3245</v>
      </c>
      <c r="B5864" s="2" t="s">
        <v>25</v>
      </c>
      <c r="C5864" s="2">
        <v>1106.4739999999999</v>
      </c>
      <c r="D5864" s="2">
        <f>HYPERLINK("http://mcb-m6.bioreg.kyushu-u.ac.jp/M3/20110411/F50902/3463/1", 60.64)</f>
        <v>60.64</v>
      </c>
      <c r="E5864" s="2">
        <v>26.07</v>
      </c>
      <c r="F5864" s="2">
        <v>2</v>
      </c>
      <c r="G5864" s="2" t="s">
        <v>10</v>
      </c>
    </row>
    <row r="5865" spans="1:7" x14ac:dyDescent="0.2">
      <c r="A5865" s="2" t="s">
        <v>3245</v>
      </c>
      <c r="B5865" s="2" t="s">
        <v>25</v>
      </c>
      <c r="C5865" s="2">
        <v>1105.914</v>
      </c>
      <c r="D5865" s="2">
        <f>HYPERLINK("http://mcb-m6.bioreg.kyushu-u.ac.jp/M3/20110411/F50897/3402/1", 63.81)</f>
        <v>63.81</v>
      </c>
      <c r="E5865" s="2">
        <v>38.44</v>
      </c>
      <c r="F5865" s="2">
        <v>2</v>
      </c>
      <c r="G5865" s="2" t="s">
        <v>10</v>
      </c>
    </row>
    <row r="5866" spans="1:7" x14ac:dyDescent="0.2">
      <c r="A5866" s="2" t="s">
        <v>3245</v>
      </c>
      <c r="B5866" s="2" t="s">
        <v>25</v>
      </c>
      <c r="C5866" s="2">
        <v>1106.4860000000001</v>
      </c>
      <c r="D5866" s="2">
        <f>HYPERLINK("http://mcb-m6.bioreg.kyushu-u.ac.jp/M3/20110411/F50913/3446/1", 64.33)</f>
        <v>64.33</v>
      </c>
      <c r="E5866" s="2">
        <v>29.66</v>
      </c>
      <c r="F5866" s="2">
        <v>2</v>
      </c>
      <c r="G5866" s="2" t="s">
        <v>10</v>
      </c>
    </row>
    <row r="5867" spans="1:7" x14ac:dyDescent="0.2">
      <c r="A5867" s="2" t="s">
        <v>3245</v>
      </c>
      <c r="B5867" s="2" t="s">
        <v>25</v>
      </c>
      <c r="C5867" s="2">
        <v>1105.5740000000001</v>
      </c>
      <c r="D5867" s="2">
        <f>HYPERLINK("http://mcb-m6.bioreg.kyushu-u.ac.jp/M3/20110411/F50898/3107/1", 65.72)</f>
        <v>65.72</v>
      </c>
      <c r="E5867" s="2">
        <v>46.84</v>
      </c>
      <c r="F5867" s="2">
        <v>2</v>
      </c>
      <c r="G5867" s="2" t="s">
        <v>10</v>
      </c>
    </row>
    <row r="5868" spans="1:7" x14ac:dyDescent="0.2">
      <c r="A5868" s="2" t="s">
        <v>3245</v>
      </c>
      <c r="B5868" s="2" t="s">
        <v>25</v>
      </c>
      <c r="C5868" s="2">
        <v>737.64880000000005</v>
      </c>
      <c r="D5868" s="2">
        <f>HYPERLINK("http://mcb-m6.bioreg.kyushu-u.ac.jp/M3/20110411/F50899/3011/1", 67.04)</f>
        <v>67.040000000000006</v>
      </c>
      <c r="E5868" s="2">
        <v>34.479999999999997</v>
      </c>
      <c r="F5868" s="2">
        <v>3</v>
      </c>
      <c r="G5868" s="2" t="s">
        <v>10</v>
      </c>
    </row>
    <row r="5869" spans="1:7" x14ac:dyDescent="0.2">
      <c r="A5869" s="2" t="s">
        <v>3245</v>
      </c>
      <c r="B5869" s="2" t="s">
        <v>25</v>
      </c>
      <c r="C5869" s="2">
        <v>738.01149999999996</v>
      </c>
      <c r="D5869" s="2">
        <f>HYPERLINK("http://mcb-m6.bioreg.kyushu-u.ac.jp/M3/20110411/F50902/3464/1", 67.75)</f>
        <v>67.75</v>
      </c>
      <c r="E5869" s="2">
        <v>44.57</v>
      </c>
      <c r="F5869" s="2">
        <v>3</v>
      </c>
      <c r="G5869" s="2" t="s">
        <v>10</v>
      </c>
    </row>
    <row r="5870" spans="1:7" x14ac:dyDescent="0.2">
      <c r="A5870" s="2" t="s">
        <v>3245</v>
      </c>
      <c r="B5870" s="2" t="s">
        <v>25</v>
      </c>
      <c r="C5870" s="2">
        <v>1106.578</v>
      </c>
      <c r="D5870" s="2">
        <f>HYPERLINK("http://mcb-m6.bioreg.kyushu-u.ac.jp/M3/20110411/F50920/3090/1", 67.78)</f>
        <v>67.78</v>
      </c>
      <c r="E5870" s="2">
        <v>17.86</v>
      </c>
      <c r="F5870" s="2">
        <v>2</v>
      </c>
      <c r="G5870" s="2" t="s">
        <v>10</v>
      </c>
    </row>
    <row r="5871" spans="1:7" x14ac:dyDescent="0.2">
      <c r="A5871" s="2" t="s">
        <v>3245</v>
      </c>
      <c r="B5871" s="2" t="s">
        <v>25</v>
      </c>
      <c r="C5871" s="2">
        <v>1106.5930000000001</v>
      </c>
      <c r="D5871" s="2">
        <f>HYPERLINK("http://mcb-m6.bioreg.kyushu-u.ac.jp/M3/20110411/F50898/3119/1", 69.93)</f>
        <v>69.930000000000007</v>
      </c>
      <c r="E5871" s="2">
        <v>41.11</v>
      </c>
      <c r="F5871" s="2">
        <v>2</v>
      </c>
      <c r="G5871" s="2" t="s">
        <v>10</v>
      </c>
    </row>
    <row r="5872" spans="1:7" x14ac:dyDescent="0.2">
      <c r="A5872" s="2" t="s">
        <v>3245</v>
      </c>
      <c r="B5872" s="2" t="s">
        <v>25</v>
      </c>
      <c r="C5872" s="2">
        <v>1106.204</v>
      </c>
      <c r="D5872" s="2">
        <f>HYPERLINK("http://mcb-m6.bioreg.kyushu-u.ac.jp/M3/20110411/F50917/3653/1", 71.02)</f>
        <v>71.02</v>
      </c>
      <c r="E5872" s="2">
        <v>29.59</v>
      </c>
      <c r="F5872" s="2">
        <v>2</v>
      </c>
      <c r="G5872" s="2" t="s">
        <v>10</v>
      </c>
    </row>
    <row r="5873" spans="1:7" x14ac:dyDescent="0.2">
      <c r="A5873" s="2" t="s">
        <v>3245</v>
      </c>
      <c r="B5873" s="2" t="s">
        <v>25</v>
      </c>
      <c r="C5873" s="2">
        <v>1105.6559999999999</v>
      </c>
      <c r="D5873" s="2">
        <f>HYPERLINK("http://mcb-m6.bioreg.kyushu-u.ac.jp/M3/20110411/F50920/3085/1", 73.74)</f>
        <v>73.739999999999995</v>
      </c>
      <c r="E5873" s="2">
        <v>51.79</v>
      </c>
      <c r="F5873" s="2">
        <v>2</v>
      </c>
      <c r="G5873" s="2" t="s">
        <v>10</v>
      </c>
    </row>
    <row r="5874" spans="1:7" x14ac:dyDescent="0.2">
      <c r="A5874" s="2" t="s">
        <v>3245</v>
      </c>
      <c r="B5874" s="2" t="s">
        <v>25</v>
      </c>
      <c r="C5874" s="2">
        <v>1106.5530000000001</v>
      </c>
      <c r="D5874" s="2">
        <f>HYPERLINK("http://mcb-m6.bioreg.kyushu-u.ac.jp/M3/20110411/F50912/3424/1", 76.3)</f>
        <v>76.3</v>
      </c>
      <c r="E5874" s="2">
        <v>41.32</v>
      </c>
      <c r="F5874" s="2">
        <v>2</v>
      </c>
      <c r="G5874" s="2" t="s">
        <v>10</v>
      </c>
    </row>
    <row r="5875" spans="1:7" x14ac:dyDescent="0.2">
      <c r="A5875" s="2" t="s">
        <v>3245</v>
      </c>
      <c r="B5875" s="2" t="s">
        <v>25</v>
      </c>
      <c r="C5875" s="2">
        <v>1106.528</v>
      </c>
      <c r="D5875" s="2">
        <f>HYPERLINK("http://mcb-m6.bioreg.kyushu-u.ac.jp/M3/20110411/F50912/3423/1", 78.62)</f>
        <v>78.62</v>
      </c>
      <c r="E5875" s="2">
        <v>48.45</v>
      </c>
      <c r="F5875" s="2">
        <v>2</v>
      </c>
      <c r="G5875" s="2" t="s">
        <v>10</v>
      </c>
    </row>
    <row r="5876" spans="1:7" x14ac:dyDescent="0.2">
      <c r="A5876" s="2" t="s">
        <v>3245</v>
      </c>
      <c r="B5876" s="2" t="s">
        <v>25</v>
      </c>
      <c r="C5876" s="2">
        <v>1106.5139999999999</v>
      </c>
      <c r="D5876" s="2">
        <f>HYPERLINK("http://mcb-m6.bioreg.kyushu-u.ac.jp/M3/20110411/F50896/3105/1", 78.69)</f>
        <v>78.69</v>
      </c>
      <c r="E5876" s="2">
        <v>43.33</v>
      </c>
      <c r="F5876" s="2">
        <v>2</v>
      </c>
      <c r="G5876" s="2" t="s">
        <v>10</v>
      </c>
    </row>
    <row r="5877" spans="1:7" x14ac:dyDescent="0.2">
      <c r="A5877" s="2" t="s">
        <v>3245</v>
      </c>
      <c r="B5877" s="2" t="s">
        <v>25</v>
      </c>
      <c r="C5877" s="2">
        <v>1106.08</v>
      </c>
      <c r="D5877" s="2">
        <f>HYPERLINK("http://mcb-m6.bioreg.kyushu-u.ac.jp/M3/20110411/F50898/3112/1", 78.95)</f>
        <v>78.95</v>
      </c>
      <c r="E5877" s="2">
        <v>40.58</v>
      </c>
      <c r="F5877" s="2">
        <v>2</v>
      </c>
      <c r="G5877" s="2" t="s">
        <v>10</v>
      </c>
    </row>
    <row r="5878" spans="1:7" x14ac:dyDescent="0.2">
      <c r="A5878" s="2" t="s">
        <v>3245</v>
      </c>
      <c r="B5878" s="2" t="s">
        <v>25</v>
      </c>
      <c r="C5878" s="2">
        <v>1105.6669999999999</v>
      </c>
      <c r="D5878" s="2">
        <f>HYPERLINK("http://mcb-m6.bioreg.kyushu-u.ac.jp/M3/20110411/F50896/3098/1", 82.55)</f>
        <v>82.55</v>
      </c>
      <c r="E5878" s="2">
        <v>59.93</v>
      </c>
      <c r="F5878" s="2">
        <v>2</v>
      </c>
      <c r="G5878" s="2" t="s">
        <v>10</v>
      </c>
    </row>
    <row r="5879" spans="1:7" x14ac:dyDescent="0.2">
      <c r="A5879" s="2" t="s">
        <v>3245</v>
      </c>
      <c r="B5879" s="2" t="s">
        <v>25</v>
      </c>
      <c r="C5879" s="2">
        <v>1106.2539999999999</v>
      </c>
      <c r="D5879" s="2">
        <f>HYPERLINK("http://mcb-m6.bioreg.kyushu-u.ac.jp/M3/20110411/F50912/3418/1", 82.78)</f>
        <v>82.78</v>
      </c>
      <c r="E5879" s="2">
        <v>34.17</v>
      </c>
      <c r="F5879" s="2">
        <v>2</v>
      </c>
      <c r="G5879" s="2" t="s">
        <v>10</v>
      </c>
    </row>
    <row r="5880" spans="1:7" x14ac:dyDescent="0.2">
      <c r="A5880" s="2" t="s">
        <v>3245</v>
      </c>
      <c r="B5880" s="2" t="s">
        <v>25</v>
      </c>
      <c r="C5880" s="2">
        <v>1106.498</v>
      </c>
      <c r="D5880" s="2">
        <f>HYPERLINK("http://mcb-m6.bioreg.kyushu-u.ac.jp/M3/20110411/F50912/3421/1", 86.7)</f>
        <v>86.7</v>
      </c>
      <c r="E5880" s="2">
        <v>53.95</v>
      </c>
      <c r="F5880" s="2">
        <v>2</v>
      </c>
      <c r="G5880" s="2" t="s">
        <v>10</v>
      </c>
    </row>
    <row r="5881" spans="1:7" x14ac:dyDescent="0.2">
      <c r="A5881" s="2" t="s">
        <v>3245</v>
      </c>
      <c r="B5881" s="2" t="s">
        <v>25</v>
      </c>
      <c r="C5881" s="2">
        <v>1105.741</v>
      </c>
      <c r="D5881" s="2">
        <f>HYPERLINK("http://mcb-m6.bioreg.kyushu-u.ac.jp/M3/20110411/F50918/3366/1", 88.37)</f>
        <v>88.37</v>
      </c>
      <c r="E5881" s="2">
        <v>65.180000000000007</v>
      </c>
      <c r="F5881" s="2">
        <v>2</v>
      </c>
      <c r="G5881" s="2" t="s">
        <v>10</v>
      </c>
    </row>
    <row r="5882" spans="1:7" x14ac:dyDescent="0.2">
      <c r="A5882" s="2" t="s">
        <v>3245</v>
      </c>
      <c r="B5882" s="2" t="s">
        <v>25</v>
      </c>
      <c r="C5882" s="2">
        <v>1105.5719999999999</v>
      </c>
      <c r="D5882" s="2">
        <f>HYPERLINK("http://mcb-m6.bioreg.kyushu-u.ac.jp/M3/20110411/F50917/3648/1", 89.91)</f>
        <v>89.91</v>
      </c>
      <c r="E5882" s="2">
        <v>62.86</v>
      </c>
      <c r="F5882" s="2">
        <v>2</v>
      </c>
      <c r="G5882" s="2" t="s">
        <v>10</v>
      </c>
    </row>
    <row r="5883" spans="1:7" x14ac:dyDescent="0.2">
      <c r="A5883" s="2" t="s">
        <v>3245</v>
      </c>
      <c r="B5883" s="2" t="s">
        <v>25</v>
      </c>
      <c r="C5883" s="2">
        <v>1105.7170000000001</v>
      </c>
      <c r="D5883" s="2">
        <f>HYPERLINK("http://mcb-m6.bioreg.kyushu-u.ac.jp/M3/20110411/F50902/3456/1", 120.47)</f>
        <v>120.47</v>
      </c>
      <c r="E5883" s="2">
        <v>97.09</v>
      </c>
      <c r="F5883" s="2">
        <v>2</v>
      </c>
      <c r="G5883" s="2" t="s">
        <v>10</v>
      </c>
    </row>
    <row r="5884" spans="1:7" x14ac:dyDescent="0.2">
      <c r="A5884" s="2" t="s">
        <v>3245</v>
      </c>
      <c r="B5884" s="2" t="s">
        <v>25</v>
      </c>
      <c r="C5884" s="2">
        <v>737.66020000000003</v>
      </c>
      <c r="D5884" s="2">
        <f>HYPERLINK("http://mcb-m6.bioreg.kyushu-u.ac.jp/M3/20110414/F50956/3982/1", 35.02)</f>
        <v>35.020000000000003</v>
      </c>
      <c r="E5884" s="2">
        <v>17.61</v>
      </c>
      <c r="F5884" s="2">
        <v>3</v>
      </c>
      <c r="G5884" s="2" t="s">
        <v>11</v>
      </c>
    </row>
    <row r="5885" spans="1:7" x14ac:dyDescent="0.2">
      <c r="A5885" s="2" t="s">
        <v>3245</v>
      </c>
      <c r="B5885" s="2" t="s">
        <v>25</v>
      </c>
      <c r="C5885" s="2">
        <v>1106.0309999999999</v>
      </c>
      <c r="D5885" s="2">
        <f>HYPERLINK("http://mcb-m6.bioreg.kyushu-u.ac.jp/M3/20110414/F50942/3797/1", 35.97)</f>
        <v>35.97</v>
      </c>
      <c r="E5885" s="2">
        <v>25.09</v>
      </c>
      <c r="F5885" s="2">
        <v>2</v>
      </c>
      <c r="G5885" s="2" t="s">
        <v>11</v>
      </c>
    </row>
    <row r="5886" spans="1:7" x14ac:dyDescent="0.2">
      <c r="A5886" s="2" t="s">
        <v>3245</v>
      </c>
      <c r="B5886" s="2" t="s">
        <v>25</v>
      </c>
      <c r="C5886" s="2">
        <v>1106.421</v>
      </c>
      <c r="D5886" s="2">
        <f>HYPERLINK("http://mcb-m6.bioreg.kyushu-u.ac.jp/M3/20110414/F50942/3806/1", 36.01)</f>
        <v>36.01</v>
      </c>
      <c r="E5886" s="2">
        <v>18.510000000000002</v>
      </c>
      <c r="F5886" s="2">
        <v>2</v>
      </c>
      <c r="G5886" s="2" t="s">
        <v>11</v>
      </c>
    </row>
    <row r="5887" spans="1:7" x14ac:dyDescent="0.2">
      <c r="A5887" s="2" t="s">
        <v>3245</v>
      </c>
      <c r="B5887" s="2" t="s">
        <v>25</v>
      </c>
      <c r="C5887" s="2">
        <v>1106.2</v>
      </c>
      <c r="D5887" s="2">
        <f>HYPERLINK("http://mcb-m6.bioreg.kyushu-u.ac.jp/M3/20110414/F50943/3565/1", 36.36)</f>
        <v>36.36</v>
      </c>
      <c r="E5887" s="2">
        <v>18.59</v>
      </c>
      <c r="F5887" s="2">
        <v>2</v>
      </c>
      <c r="G5887" s="2" t="s">
        <v>11</v>
      </c>
    </row>
    <row r="5888" spans="1:7" x14ac:dyDescent="0.2">
      <c r="A5888" s="2" t="s">
        <v>3245</v>
      </c>
      <c r="B5888" s="2" t="s">
        <v>25</v>
      </c>
      <c r="C5888" s="2">
        <v>1106.076</v>
      </c>
      <c r="D5888" s="2">
        <f>HYPERLINK("http://mcb-m6.bioreg.kyushu-u.ac.jp/M3/20110414/F50944/3224/1", 36.69)</f>
        <v>36.69</v>
      </c>
      <c r="E5888" s="2">
        <v>16.63</v>
      </c>
      <c r="F5888" s="2">
        <v>2</v>
      </c>
      <c r="G5888" s="2" t="s">
        <v>11</v>
      </c>
    </row>
    <row r="5889" spans="1:7" x14ac:dyDescent="0.2">
      <c r="A5889" s="2" t="s">
        <v>3245</v>
      </c>
      <c r="B5889" s="2" t="s">
        <v>25</v>
      </c>
      <c r="C5889" s="2">
        <v>1106.5530000000001</v>
      </c>
      <c r="D5889" s="2">
        <f>HYPERLINK("http://mcb-m6.bioreg.kyushu-u.ac.jp/M3/20110414/F50945/3432/1", 37.01)</f>
        <v>37.01</v>
      </c>
      <c r="E5889" s="2">
        <v>17.32</v>
      </c>
      <c r="F5889" s="2">
        <v>2</v>
      </c>
      <c r="G5889" s="2" t="s">
        <v>11</v>
      </c>
    </row>
    <row r="5890" spans="1:7" x14ac:dyDescent="0.2">
      <c r="A5890" s="2" t="s">
        <v>3245</v>
      </c>
      <c r="B5890" s="2" t="s">
        <v>25</v>
      </c>
      <c r="C5890" s="2">
        <v>1105.9059999999999</v>
      </c>
      <c r="D5890" s="2">
        <f>HYPERLINK("http://mcb-m6.bioreg.kyushu-u.ac.jp/M3/20110414/F50941/3789/1", 37.2)</f>
        <v>37.200000000000003</v>
      </c>
      <c r="E5890" s="2">
        <v>14.65</v>
      </c>
      <c r="F5890" s="2">
        <v>2</v>
      </c>
      <c r="G5890" s="2" t="s">
        <v>11</v>
      </c>
    </row>
    <row r="5891" spans="1:7" x14ac:dyDescent="0.2">
      <c r="A5891" s="2" t="s">
        <v>3245</v>
      </c>
      <c r="B5891" s="2" t="s">
        <v>25</v>
      </c>
      <c r="C5891" s="2">
        <v>1105.963</v>
      </c>
      <c r="D5891" s="2">
        <f>HYPERLINK("http://mcb-m6.bioreg.kyushu-u.ac.jp/M3/20110414/F50941/3791/1", 37.22)</f>
        <v>37.22</v>
      </c>
      <c r="E5891" s="2">
        <v>17.12</v>
      </c>
      <c r="F5891" s="2">
        <v>2</v>
      </c>
      <c r="G5891" s="2" t="s">
        <v>11</v>
      </c>
    </row>
    <row r="5892" spans="1:7" x14ac:dyDescent="0.2">
      <c r="A5892" s="2" t="s">
        <v>3245</v>
      </c>
      <c r="B5892" s="2" t="s">
        <v>25</v>
      </c>
      <c r="C5892" s="2">
        <v>737.89290000000005</v>
      </c>
      <c r="D5892" s="2">
        <f>HYPERLINK("http://mcb-m6.bioreg.kyushu-u.ac.jp/M3/20110414/F50942/3803/1", 37.47)</f>
        <v>37.47</v>
      </c>
      <c r="E5892" s="2">
        <v>17.77</v>
      </c>
      <c r="F5892" s="2">
        <v>3</v>
      </c>
      <c r="G5892" s="2" t="s">
        <v>11</v>
      </c>
    </row>
    <row r="5893" spans="1:7" x14ac:dyDescent="0.2">
      <c r="A5893" s="2" t="s">
        <v>3245</v>
      </c>
      <c r="B5893" s="2" t="s">
        <v>25</v>
      </c>
      <c r="C5893" s="2">
        <v>737.60350000000005</v>
      </c>
      <c r="D5893" s="2">
        <f>HYPERLINK("http://mcb-m6.bioreg.kyushu-u.ac.jp/M3/20110414/F50925/2994/1", 37.49)</f>
        <v>37.49</v>
      </c>
      <c r="E5893" s="2">
        <v>12.38</v>
      </c>
      <c r="F5893" s="2">
        <v>3</v>
      </c>
      <c r="G5893" s="2" t="s">
        <v>11</v>
      </c>
    </row>
    <row r="5894" spans="1:7" x14ac:dyDescent="0.2">
      <c r="A5894" s="2" t="s">
        <v>3245</v>
      </c>
      <c r="B5894" s="2" t="s">
        <v>25</v>
      </c>
      <c r="C5894" s="2">
        <v>1106.414</v>
      </c>
      <c r="D5894" s="2">
        <f>HYPERLINK("http://mcb-m6.bioreg.kyushu-u.ac.jp/M3/20110414/F50942/3804/1", 38.12)</f>
        <v>38.119999999999997</v>
      </c>
      <c r="E5894" s="2">
        <v>14.86</v>
      </c>
      <c r="F5894" s="2">
        <v>2</v>
      </c>
      <c r="G5894" s="2" t="s">
        <v>11</v>
      </c>
    </row>
    <row r="5895" spans="1:7" x14ac:dyDescent="0.2">
      <c r="A5895" s="2" t="s">
        <v>3245</v>
      </c>
      <c r="B5895" s="2" t="s">
        <v>25</v>
      </c>
      <c r="C5895" s="2">
        <v>1106.4960000000001</v>
      </c>
      <c r="D5895" s="2">
        <f>HYPERLINK("http://mcb-m6.bioreg.kyushu-u.ac.jp/M3/20110414/F50942/3811/1", 38.43)</f>
        <v>38.43</v>
      </c>
      <c r="E5895" s="2">
        <v>14.73</v>
      </c>
      <c r="F5895" s="2">
        <v>2</v>
      </c>
      <c r="G5895" s="2" t="s">
        <v>11</v>
      </c>
    </row>
    <row r="5896" spans="1:7" x14ac:dyDescent="0.2">
      <c r="A5896" s="2" t="s">
        <v>3245</v>
      </c>
      <c r="B5896" s="2" t="s">
        <v>25</v>
      </c>
      <c r="C5896" s="2">
        <v>1106.598</v>
      </c>
      <c r="D5896" s="2">
        <f>HYPERLINK("http://mcb-m6.bioreg.kyushu-u.ac.jp/M3/20110414/F50956/3991/1", 39.23)</f>
        <v>39.229999999999997</v>
      </c>
      <c r="E5896" s="2">
        <v>20.22</v>
      </c>
      <c r="F5896" s="2">
        <v>2</v>
      </c>
      <c r="G5896" s="2" t="s">
        <v>11</v>
      </c>
    </row>
    <row r="5897" spans="1:7" x14ac:dyDescent="0.2">
      <c r="A5897" s="2" t="s">
        <v>3245</v>
      </c>
      <c r="B5897" s="2" t="s">
        <v>25</v>
      </c>
      <c r="C5897" s="2">
        <v>1105.925</v>
      </c>
      <c r="D5897" s="2">
        <f>HYPERLINK("http://mcb-m6.bioreg.kyushu-u.ac.jp/M3/20110414/F50957/3936/1", 40.11)</f>
        <v>40.11</v>
      </c>
      <c r="E5897" s="2">
        <v>28.73</v>
      </c>
      <c r="F5897" s="2">
        <v>2</v>
      </c>
      <c r="G5897" s="2" t="s">
        <v>11</v>
      </c>
    </row>
    <row r="5898" spans="1:7" x14ac:dyDescent="0.2">
      <c r="A5898" s="2" t="s">
        <v>3245</v>
      </c>
      <c r="B5898" s="2" t="s">
        <v>25</v>
      </c>
      <c r="C5898" s="2">
        <v>1105.8900000000001</v>
      </c>
      <c r="D5898" s="2">
        <f>HYPERLINK("http://mcb-m6.bioreg.kyushu-u.ac.jp/M3/20110414/F50957/3934/1", 40.17)</f>
        <v>40.17</v>
      </c>
      <c r="E5898" s="2">
        <v>19.89</v>
      </c>
      <c r="F5898" s="2">
        <v>2</v>
      </c>
      <c r="G5898" s="2" t="s">
        <v>11</v>
      </c>
    </row>
    <row r="5899" spans="1:7" x14ac:dyDescent="0.2">
      <c r="A5899" s="2" t="s">
        <v>3245</v>
      </c>
      <c r="B5899" s="2" t="s">
        <v>25</v>
      </c>
      <c r="C5899" s="2">
        <v>1105.902</v>
      </c>
      <c r="D5899" s="2">
        <f>HYPERLINK("http://mcb-m6.bioreg.kyushu-u.ac.jp/M3/20110414/F50942/3793/1", 40.75)</f>
        <v>40.75</v>
      </c>
      <c r="E5899" s="2">
        <v>29.84</v>
      </c>
      <c r="F5899" s="2">
        <v>2</v>
      </c>
      <c r="G5899" s="2" t="s">
        <v>11</v>
      </c>
    </row>
    <row r="5900" spans="1:7" x14ac:dyDescent="0.2">
      <c r="A5900" s="2" t="s">
        <v>3245</v>
      </c>
      <c r="B5900" s="2" t="s">
        <v>25</v>
      </c>
      <c r="C5900" s="2">
        <v>1106.577</v>
      </c>
      <c r="D5900" s="2">
        <f>HYPERLINK("http://mcb-m6.bioreg.kyushu-u.ac.jp/M3/20110414/F50944/3234/1", 41.33)</f>
        <v>41.33</v>
      </c>
      <c r="E5900" s="2">
        <v>24.15</v>
      </c>
      <c r="F5900" s="2">
        <v>2</v>
      </c>
      <c r="G5900" s="2" t="s">
        <v>11</v>
      </c>
    </row>
    <row r="5901" spans="1:7" x14ac:dyDescent="0.2">
      <c r="A5901" s="2" t="s">
        <v>3245</v>
      </c>
      <c r="B5901" s="2" t="s">
        <v>25</v>
      </c>
      <c r="C5901" s="2">
        <v>1106.4259999999999</v>
      </c>
      <c r="D5901" s="2">
        <f>HYPERLINK("http://mcb-m6.bioreg.kyushu-u.ac.jp/M3/20110414/F50962/3290/1", 41.51)</f>
        <v>41.51</v>
      </c>
      <c r="E5901" s="2">
        <v>22.06</v>
      </c>
      <c r="F5901" s="2">
        <v>2</v>
      </c>
      <c r="G5901" s="2" t="s">
        <v>11</v>
      </c>
    </row>
    <row r="5902" spans="1:7" x14ac:dyDescent="0.2">
      <c r="A5902" s="2" t="s">
        <v>3245</v>
      </c>
      <c r="B5902" s="2" t="s">
        <v>25</v>
      </c>
      <c r="C5902" s="2">
        <v>1105.8030000000001</v>
      </c>
      <c r="D5902" s="2">
        <f>HYPERLINK("http://mcb-m6.bioreg.kyushu-u.ac.jp/M3/20110414/F50957/3931/1", 41.57)</f>
        <v>41.57</v>
      </c>
      <c r="E5902" s="2">
        <v>30.03</v>
      </c>
      <c r="F5902" s="2">
        <v>2</v>
      </c>
      <c r="G5902" s="2" t="s">
        <v>11</v>
      </c>
    </row>
    <row r="5903" spans="1:7" x14ac:dyDescent="0.2">
      <c r="A5903" s="2" t="s">
        <v>3245</v>
      </c>
      <c r="B5903" s="2" t="s">
        <v>25</v>
      </c>
      <c r="C5903" s="2">
        <v>738.08450000000005</v>
      </c>
      <c r="D5903" s="2">
        <f>HYPERLINK("http://mcb-m6.bioreg.kyushu-u.ac.jp/M3/20110414/F50943/3574/1", 41.7)</f>
        <v>41.7</v>
      </c>
      <c r="E5903" s="2">
        <v>22.81</v>
      </c>
      <c r="F5903" s="2">
        <v>3</v>
      </c>
      <c r="G5903" s="2" t="s">
        <v>11</v>
      </c>
    </row>
    <row r="5904" spans="1:7" x14ac:dyDescent="0.2">
      <c r="A5904" s="2" t="s">
        <v>3245</v>
      </c>
      <c r="B5904" s="2" t="s">
        <v>25</v>
      </c>
      <c r="C5904" s="2">
        <v>1106.5889999999999</v>
      </c>
      <c r="D5904" s="2">
        <f>HYPERLINK("http://mcb-m6.bioreg.kyushu-u.ac.jp/M3/20110414/F50941/3803/1", 41.89)</f>
        <v>41.89</v>
      </c>
      <c r="E5904" s="2">
        <v>19.829999999999998</v>
      </c>
      <c r="F5904" s="2">
        <v>2</v>
      </c>
      <c r="G5904" s="2" t="s">
        <v>11</v>
      </c>
    </row>
    <row r="5905" spans="1:7" x14ac:dyDescent="0.2">
      <c r="A5905" s="2" t="s">
        <v>3245</v>
      </c>
      <c r="B5905" s="2" t="s">
        <v>25</v>
      </c>
      <c r="C5905" s="2">
        <v>1106.0229999999999</v>
      </c>
      <c r="D5905" s="2">
        <f>HYPERLINK("http://mcb-m6.bioreg.kyushu-u.ac.jp/M3/20110414/F50943/3563/1", 42.19)</f>
        <v>42.19</v>
      </c>
      <c r="E5905" s="2">
        <v>19.59</v>
      </c>
      <c r="F5905" s="2">
        <v>2</v>
      </c>
      <c r="G5905" s="2" t="s">
        <v>11</v>
      </c>
    </row>
    <row r="5906" spans="1:7" x14ac:dyDescent="0.2">
      <c r="A5906" s="2" t="s">
        <v>3245</v>
      </c>
      <c r="B5906" s="2" t="s">
        <v>25</v>
      </c>
      <c r="C5906" s="2">
        <v>1106.5129999999999</v>
      </c>
      <c r="D5906" s="2">
        <f>HYPERLINK("http://mcb-m6.bioreg.kyushu-u.ac.jp/M3/20110414/F50945/3429/1", 42.22)</f>
        <v>42.22</v>
      </c>
      <c r="E5906" s="2">
        <v>10.9</v>
      </c>
      <c r="F5906" s="2">
        <v>2</v>
      </c>
      <c r="G5906" s="2" t="s">
        <v>11</v>
      </c>
    </row>
    <row r="5907" spans="1:7" x14ac:dyDescent="0.2">
      <c r="A5907" s="2" t="s">
        <v>3245</v>
      </c>
      <c r="B5907" s="2" t="s">
        <v>25</v>
      </c>
      <c r="C5907" s="2">
        <v>737.71590000000003</v>
      </c>
      <c r="D5907" s="2">
        <f>HYPERLINK("http://mcb-m6.bioreg.kyushu-u.ac.jp/M3/20110414/F50957/3938/1", 42.71)</f>
        <v>42.71</v>
      </c>
      <c r="E5907" s="2">
        <v>20.56</v>
      </c>
      <c r="F5907" s="2">
        <v>3</v>
      </c>
      <c r="G5907" s="2" t="s">
        <v>11</v>
      </c>
    </row>
    <row r="5908" spans="1:7" x14ac:dyDescent="0.2">
      <c r="A5908" s="2" t="s">
        <v>3245</v>
      </c>
      <c r="B5908" s="2" t="s">
        <v>25</v>
      </c>
      <c r="C5908" s="2">
        <v>1106.404</v>
      </c>
      <c r="D5908" s="2">
        <f>HYPERLINK("http://mcb-m6.bioreg.kyushu-u.ac.jp/M3/20110414/F50924/3370/1", 43.45)</f>
        <v>43.45</v>
      </c>
      <c r="E5908" s="2">
        <v>20.87</v>
      </c>
      <c r="F5908" s="2">
        <v>2</v>
      </c>
      <c r="G5908" s="2" t="s">
        <v>11</v>
      </c>
    </row>
    <row r="5909" spans="1:7" x14ac:dyDescent="0.2">
      <c r="A5909" s="2" t="s">
        <v>3245</v>
      </c>
      <c r="B5909" s="2" t="s">
        <v>25</v>
      </c>
      <c r="C5909" s="2">
        <v>1105.848</v>
      </c>
      <c r="D5909" s="2">
        <f>HYPERLINK("http://mcb-m6.bioreg.kyushu-u.ac.jp/M3/20110414/F50957/3932/1", 43.52)</f>
        <v>43.52</v>
      </c>
      <c r="E5909" s="2">
        <v>26.75</v>
      </c>
      <c r="F5909" s="2">
        <v>2</v>
      </c>
      <c r="G5909" s="2" t="s">
        <v>11</v>
      </c>
    </row>
    <row r="5910" spans="1:7" x14ac:dyDescent="0.2">
      <c r="A5910" s="2" t="s">
        <v>3245</v>
      </c>
      <c r="B5910" s="2" t="s">
        <v>25</v>
      </c>
      <c r="C5910" s="2">
        <v>1106.443</v>
      </c>
      <c r="D5910" s="2">
        <f>HYPERLINK("http://mcb-m6.bioreg.kyushu-u.ac.jp/M3/20110414/F50941/3800/1", 44.39)</f>
        <v>44.39</v>
      </c>
      <c r="E5910" s="2">
        <v>19.899999999999999</v>
      </c>
      <c r="F5910" s="2">
        <v>2</v>
      </c>
      <c r="G5910" s="2" t="s">
        <v>11</v>
      </c>
    </row>
    <row r="5911" spans="1:7" x14ac:dyDescent="0.2">
      <c r="A5911" s="2" t="s">
        <v>3245</v>
      </c>
      <c r="B5911" s="2" t="s">
        <v>25</v>
      </c>
      <c r="C5911" s="2">
        <v>1106.443</v>
      </c>
      <c r="D5911" s="2">
        <f>HYPERLINK("http://mcb-m6.bioreg.kyushu-u.ac.jp/M3/20110414/F50957/3946/1", 44.49)</f>
        <v>44.49</v>
      </c>
      <c r="E5911" s="2">
        <v>18.3</v>
      </c>
      <c r="F5911" s="2">
        <v>2</v>
      </c>
      <c r="G5911" s="2" t="s">
        <v>11</v>
      </c>
    </row>
    <row r="5912" spans="1:7" x14ac:dyDescent="0.2">
      <c r="A5912" s="2" t="s">
        <v>3245</v>
      </c>
      <c r="B5912" s="2" t="s">
        <v>25</v>
      </c>
      <c r="C5912" s="2">
        <v>1106.116</v>
      </c>
      <c r="D5912" s="2">
        <f>HYPERLINK("http://mcb-m6.bioreg.kyushu-u.ac.jp/M3/20110414/F50924/3365/1", 44.66)</f>
        <v>44.66</v>
      </c>
      <c r="E5912" s="2">
        <v>27.04</v>
      </c>
      <c r="F5912" s="2">
        <v>2</v>
      </c>
      <c r="G5912" s="2" t="s">
        <v>11</v>
      </c>
    </row>
    <row r="5913" spans="1:7" x14ac:dyDescent="0.2">
      <c r="A5913" s="2" t="s">
        <v>3245</v>
      </c>
      <c r="B5913" s="2" t="s">
        <v>25</v>
      </c>
      <c r="C5913" s="2">
        <v>1105.73</v>
      </c>
      <c r="D5913" s="2">
        <f>HYPERLINK("http://mcb-m6.bioreg.kyushu-u.ac.jp/M3/20110414/F50956/3974/1", 44.71)</f>
        <v>44.71</v>
      </c>
      <c r="E5913" s="2">
        <v>20.22</v>
      </c>
      <c r="F5913" s="2">
        <v>2</v>
      </c>
      <c r="G5913" s="2" t="s">
        <v>11</v>
      </c>
    </row>
    <row r="5914" spans="1:7" x14ac:dyDescent="0.2">
      <c r="A5914" s="2" t="s">
        <v>3245</v>
      </c>
      <c r="B5914" s="2" t="s">
        <v>25</v>
      </c>
      <c r="C5914" s="2">
        <v>1106.4659999999999</v>
      </c>
      <c r="D5914" s="2">
        <f>HYPERLINK("http://mcb-m6.bioreg.kyushu-u.ac.jp/M3/20110414/F50942/3810/1", 44.93)</f>
        <v>44.93</v>
      </c>
      <c r="E5914" s="2">
        <v>24.32</v>
      </c>
      <c r="F5914" s="2">
        <v>2</v>
      </c>
      <c r="G5914" s="2" t="s">
        <v>11</v>
      </c>
    </row>
    <row r="5915" spans="1:7" x14ac:dyDescent="0.2">
      <c r="A5915" s="2" t="s">
        <v>3245</v>
      </c>
      <c r="B5915" s="2" t="s">
        <v>25</v>
      </c>
      <c r="C5915" s="2">
        <v>1106.4829999999999</v>
      </c>
      <c r="D5915" s="2">
        <f>HYPERLINK("http://mcb-m6.bioreg.kyushu-u.ac.jp/M3/20110414/F50941/3802/1", 44.99)</f>
        <v>44.99</v>
      </c>
      <c r="E5915" s="2">
        <v>27.01</v>
      </c>
      <c r="F5915" s="2">
        <v>2</v>
      </c>
      <c r="G5915" s="2" t="s">
        <v>11</v>
      </c>
    </row>
    <row r="5916" spans="1:7" x14ac:dyDescent="0.2">
      <c r="A5916" s="2" t="s">
        <v>3245</v>
      </c>
      <c r="B5916" s="2" t="s">
        <v>25</v>
      </c>
      <c r="C5916" s="2">
        <v>738.00419999999997</v>
      </c>
      <c r="D5916" s="2">
        <f>HYPERLINK("http://mcb-m6.bioreg.kyushu-u.ac.jp/M3/20110414/F50944/3231/1", 44.99)</f>
        <v>44.99</v>
      </c>
      <c r="E5916" s="2">
        <v>21.75</v>
      </c>
      <c r="F5916" s="2">
        <v>3</v>
      </c>
      <c r="G5916" s="2" t="s">
        <v>11</v>
      </c>
    </row>
    <row r="5917" spans="1:7" x14ac:dyDescent="0.2">
      <c r="A5917" s="2" t="s">
        <v>3245</v>
      </c>
      <c r="B5917" s="2" t="s">
        <v>25</v>
      </c>
      <c r="C5917" s="2">
        <v>1106.384</v>
      </c>
      <c r="D5917" s="2">
        <f>HYPERLINK("http://mcb-m6.bioreg.kyushu-u.ac.jp/M3/20110414/F50928/3545/1", 45.81)</f>
        <v>45.81</v>
      </c>
      <c r="E5917" s="2">
        <v>18.600000000000001</v>
      </c>
      <c r="F5917" s="2">
        <v>2</v>
      </c>
      <c r="G5917" s="2" t="s">
        <v>11</v>
      </c>
    </row>
    <row r="5918" spans="1:7" x14ac:dyDescent="0.2">
      <c r="A5918" s="2" t="s">
        <v>3245</v>
      </c>
      <c r="B5918" s="2" t="s">
        <v>25</v>
      </c>
      <c r="C5918" s="2">
        <v>1106.5150000000001</v>
      </c>
      <c r="D5918" s="2">
        <f>HYPERLINK("http://mcb-m6.bioreg.kyushu-u.ac.jp/M3/20110414/F50944/3232/1", 45.81)</f>
        <v>45.81</v>
      </c>
      <c r="E5918" s="2">
        <v>23.72</v>
      </c>
      <c r="F5918" s="2">
        <v>2</v>
      </c>
      <c r="G5918" s="2" t="s">
        <v>11</v>
      </c>
    </row>
    <row r="5919" spans="1:7" x14ac:dyDescent="0.2">
      <c r="A5919" s="2" t="s">
        <v>3245</v>
      </c>
      <c r="B5919" s="2" t="s">
        <v>25</v>
      </c>
      <c r="C5919" s="2">
        <v>737.88710000000003</v>
      </c>
      <c r="D5919" s="2">
        <f>HYPERLINK("http://mcb-m6.bioreg.kyushu-u.ac.jp/M3/20110414/F50945/3427/1", 45.93)</f>
        <v>45.93</v>
      </c>
      <c r="E5919" s="2">
        <v>27.84</v>
      </c>
      <c r="F5919" s="2">
        <v>3</v>
      </c>
      <c r="G5919" s="2" t="s">
        <v>11</v>
      </c>
    </row>
    <row r="5920" spans="1:7" x14ac:dyDescent="0.2">
      <c r="A5920" s="2" t="s">
        <v>3245</v>
      </c>
      <c r="B5920" s="2" t="s">
        <v>25</v>
      </c>
      <c r="C5920" s="2">
        <v>1106.0039999999999</v>
      </c>
      <c r="D5920" s="2">
        <f>HYPERLINK("http://mcb-m6.bioreg.kyushu-u.ac.jp/M3/20110414/F50929/3199/1", 46.36)</f>
        <v>46.36</v>
      </c>
      <c r="E5920" s="2">
        <v>24.27</v>
      </c>
      <c r="F5920" s="2">
        <v>2</v>
      </c>
      <c r="G5920" s="2" t="s">
        <v>11</v>
      </c>
    </row>
    <row r="5921" spans="1:7" x14ac:dyDescent="0.2">
      <c r="A5921" s="2" t="s">
        <v>3245</v>
      </c>
      <c r="B5921" s="2" t="s">
        <v>25</v>
      </c>
      <c r="C5921" s="2">
        <v>1106.3589999999999</v>
      </c>
      <c r="D5921" s="2">
        <f>HYPERLINK("http://mcb-m6.bioreg.kyushu-u.ac.jp/M3/20110414/F50957/3944/1", 46.81)</f>
        <v>46.81</v>
      </c>
      <c r="E5921" s="2">
        <v>21.96</v>
      </c>
      <c r="F5921" s="2">
        <v>2</v>
      </c>
      <c r="G5921" s="2" t="s">
        <v>11</v>
      </c>
    </row>
    <row r="5922" spans="1:7" x14ac:dyDescent="0.2">
      <c r="A5922" s="2" t="s">
        <v>3245</v>
      </c>
      <c r="B5922" s="2" t="s">
        <v>25</v>
      </c>
      <c r="C5922" s="2">
        <v>1106.4110000000001</v>
      </c>
      <c r="D5922" s="2">
        <f>HYPERLINK("http://mcb-m6.bioreg.kyushu-u.ac.jp/M3/20110414/F50957/3945/1", 47.05)</f>
        <v>47.05</v>
      </c>
      <c r="E5922" s="2">
        <v>22.89</v>
      </c>
      <c r="F5922" s="2">
        <v>2</v>
      </c>
      <c r="G5922" s="2" t="s">
        <v>11</v>
      </c>
    </row>
    <row r="5923" spans="1:7" x14ac:dyDescent="0.2">
      <c r="A5923" s="2" t="s">
        <v>3245</v>
      </c>
      <c r="B5923" s="2" t="s">
        <v>25</v>
      </c>
      <c r="C5923" s="2">
        <v>1106.452</v>
      </c>
      <c r="D5923" s="2">
        <f>HYPERLINK("http://mcb-m6.bioreg.kyushu-u.ac.jp/M3/20110414/F50941/3801/1", 47.9)</f>
        <v>47.9</v>
      </c>
      <c r="E5923" s="2">
        <v>23.93</v>
      </c>
      <c r="F5923" s="2">
        <v>2</v>
      </c>
      <c r="G5923" s="2" t="s">
        <v>11</v>
      </c>
    </row>
    <row r="5924" spans="1:7" x14ac:dyDescent="0.2">
      <c r="A5924" s="2" t="s">
        <v>3245</v>
      </c>
      <c r="B5924" s="2" t="s">
        <v>25</v>
      </c>
      <c r="C5924" s="2">
        <v>737.71889999999996</v>
      </c>
      <c r="D5924" s="2">
        <f>HYPERLINK("http://mcb-m6.bioreg.kyushu-u.ac.jp/M3/20110414/F50942/3799/1", 48.01)</f>
        <v>48.01</v>
      </c>
      <c r="E5924" s="2">
        <v>27.28</v>
      </c>
      <c r="F5924" s="2">
        <v>3</v>
      </c>
      <c r="G5924" s="2" t="s">
        <v>11</v>
      </c>
    </row>
    <row r="5925" spans="1:7" x14ac:dyDescent="0.2">
      <c r="A5925" s="2" t="s">
        <v>3245</v>
      </c>
      <c r="B5925" s="2" t="s">
        <v>25</v>
      </c>
      <c r="C5925" s="2">
        <v>1105.848</v>
      </c>
      <c r="D5925" s="2">
        <f>HYPERLINK("http://mcb-m6.bioreg.kyushu-u.ac.jp/M3/20110414/F50956/3979/1", 48.31)</f>
        <v>48.31</v>
      </c>
      <c r="E5925" s="2">
        <v>27.06</v>
      </c>
      <c r="F5925" s="2">
        <v>2</v>
      </c>
      <c r="G5925" s="2" t="s">
        <v>11</v>
      </c>
    </row>
    <row r="5926" spans="1:7" x14ac:dyDescent="0.2">
      <c r="A5926" s="2" t="s">
        <v>3245</v>
      </c>
      <c r="B5926" s="2" t="s">
        <v>25</v>
      </c>
      <c r="C5926" s="2">
        <v>1105.991</v>
      </c>
      <c r="D5926" s="2">
        <f>HYPERLINK("http://mcb-m6.bioreg.kyushu-u.ac.jp/M3/20110414/F50941/3792/1", 48.9)</f>
        <v>48.9</v>
      </c>
      <c r="E5926" s="2">
        <v>26.12</v>
      </c>
      <c r="F5926" s="2">
        <v>2</v>
      </c>
      <c r="G5926" s="2" t="s">
        <v>11</v>
      </c>
    </row>
    <row r="5927" spans="1:7" x14ac:dyDescent="0.2">
      <c r="A5927" s="2" t="s">
        <v>3245</v>
      </c>
      <c r="B5927" s="2" t="s">
        <v>25</v>
      </c>
      <c r="C5927" s="2">
        <v>1106.3330000000001</v>
      </c>
      <c r="D5927" s="2">
        <f>HYPERLINK("http://mcb-m6.bioreg.kyushu-u.ac.jp/M3/20110414/F50928/3542/1", 49.35)</f>
        <v>49.35</v>
      </c>
      <c r="E5927" s="2">
        <v>22.54</v>
      </c>
      <c r="F5927" s="2">
        <v>2</v>
      </c>
      <c r="G5927" s="2" t="s">
        <v>11</v>
      </c>
    </row>
    <row r="5928" spans="1:7" x14ac:dyDescent="0.2">
      <c r="A5928" s="2" t="s">
        <v>3245</v>
      </c>
      <c r="B5928" s="2" t="s">
        <v>25</v>
      </c>
      <c r="C5928" s="2">
        <v>737.90660000000003</v>
      </c>
      <c r="D5928" s="2">
        <f>HYPERLINK("http://mcb-m6.bioreg.kyushu-u.ac.jp/M3/20110414/F50956/3989/1", 49.47)</f>
        <v>49.47</v>
      </c>
      <c r="E5928" s="2">
        <v>31.97</v>
      </c>
      <c r="F5928" s="2">
        <v>3</v>
      </c>
      <c r="G5928" s="2" t="s">
        <v>11</v>
      </c>
    </row>
    <row r="5929" spans="1:7" x14ac:dyDescent="0.2">
      <c r="A5929" s="2" t="s">
        <v>3245</v>
      </c>
      <c r="B5929" s="2" t="s">
        <v>25</v>
      </c>
      <c r="C5929" s="2">
        <v>737.86120000000005</v>
      </c>
      <c r="D5929" s="2">
        <f>HYPERLINK("http://mcb-m6.bioreg.kyushu-u.ac.jp/M3/20110414/F50927/3303/1", 49.71)</f>
        <v>49.71</v>
      </c>
      <c r="E5929" s="2">
        <v>29.84</v>
      </c>
      <c r="F5929" s="2">
        <v>3</v>
      </c>
      <c r="G5929" s="2" t="s">
        <v>11</v>
      </c>
    </row>
    <row r="5930" spans="1:7" x14ac:dyDescent="0.2">
      <c r="A5930" s="2" t="s">
        <v>3245</v>
      </c>
      <c r="B5930" s="2" t="s">
        <v>25</v>
      </c>
      <c r="C5930" s="2">
        <v>1105.9290000000001</v>
      </c>
      <c r="D5930" s="2">
        <f>HYPERLINK("http://mcb-m6.bioreg.kyushu-u.ac.jp/M3/20110414/F50941/3790/1", 50.14)</f>
        <v>50.14</v>
      </c>
      <c r="E5930" s="2">
        <v>35.69</v>
      </c>
      <c r="F5930" s="2">
        <v>2</v>
      </c>
      <c r="G5930" s="2" t="s">
        <v>11</v>
      </c>
    </row>
    <row r="5931" spans="1:7" x14ac:dyDescent="0.2">
      <c r="A5931" s="2" t="s">
        <v>3245</v>
      </c>
      <c r="B5931" s="2" t="s">
        <v>25</v>
      </c>
      <c r="C5931" s="2">
        <v>1106.473</v>
      </c>
      <c r="D5931" s="2">
        <f>HYPERLINK("http://mcb-m6.bioreg.kyushu-u.ac.jp/M3/20110414/F50929/3204/1", 50.56)</f>
        <v>50.56</v>
      </c>
      <c r="E5931" s="2">
        <v>27.86</v>
      </c>
      <c r="F5931" s="2">
        <v>2</v>
      </c>
      <c r="G5931" s="2" t="s">
        <v>11</v>
      </c>
    </row>
    <row r="5932" spans="1:7" x14ac:dyDescent="0.2">
      <c r="A5932" s="2" t="s">
        <v>3245</v>
      </c>
      <c r="B5932" s="2" t="s">
        <v>25</v>
      </c>
      <c r="C5932" s="2">
        <v>738.09849999999994</v>
      </c>
      <c r="D5932" s="2">
        <f>HYPERLINK("http://mcb-m6.bioreg.kyushu-u.ac.jp/M3/20110414/F50942/3814/1", 51.93)</f>
        <v>51.93</v>
      </c>
      <c r="E5932" s="2">
        <v>25.3</v>
      </c>
      <c r="F5932" s="2">
        <v>3</v>
      </c>
      <c r="G5932" s="2" t="s">
        <v>11</v>
      </c>
    </row>
    <row r="5933" spans="1:7" x14ac:dyDescent="0.2">
      <c r="A5933" s="2" t="s">
        <v>3245</v>
      </c>
      <c r="B5933" s="2" t="s">
        <v>25</v>
      </c>
      <c r="C5933" s="2">
        <v>1106.329</v>
      </c>
      <c r="D5933" s="2">
        <f>HYPERLINK("http://mcb-m6.bioreg.kyushu-u.ac.jp/M3/20110414/F50956/3988/1", 52.51)</f>
        <v>52.51</v>
      </c>
      <c r="E5933" s="2">
        <v>24.56</v>
      </c>
      <c r="F5933" s="2">
        <v>2</v>
      </c>
      <c r="G5933" s="2" t="s">
        <v>11</v>
      </c>
    </row>
    <row r="5934" spans="1:7" x14ac:dyDescent="0.2">
      <c r="A5934" s="2" t="s">
        <v>3245</v>
      </c>
      <c r="B5934" s="2" t="s">
        <v>25</v>
      </c>
      <c r="C5934" s="2">
        <v>737.90020000000004</v>
      </c>
      <c r="D5934" s="2">
        <f>HYPERLINK("http://mcb-m6.bioreg.kyushu-u.ac.jp/M3/20110414/F50925/3000/1", 52.73)</f>
        <v>52.73</v>
      </c>
      <c r="E5934" s="2">
        <v>22.56</v>
      </c>
      <c r="F5934" s="2">
        <v>3</v>
      </c>
      <c r="G5934" s="2" t="s">
        <v>11</v>
      </c>
    </row>
    <row r="5935" spans="1:7" x14ac:dyDescent="0.2">
      <c r="A5935" s="2" t="s">
        <v>3245</v>
      </c>
      <c r="B5935" s="2" t="s">
        <v>25</v>
      </c>
      <c r="C5935" s="2">
        <v>1106.3430000000001</v>
      </c>
      <c r="D5935" s="2">
        <f>HYPERLINK("http://mcb-m6.bioreg.kyushu-u.ac.jp/M3/20110414/F50957/3943/1", 54.01)</f>
        <v>54.01</v>
      </c>
      <c r="E5935" s="2">
        <v>26.84</v>
      </c>
      <c r="F5935" s="2">
        <v>2</v>
      </c>
      <c r="G5935" s="2" t="s">
        <v>11</v>
      </c>
    </row>
    <row r="5936" spans="1:7" x14ac:dyDescent="0.2">
      <c r="A5936" s="2" t="s">
        <v>3245</v>
      </c>
      <c r="B5936" s="2" t="s">
        <v>25</v>
      </c>
      <c r="C5936" s="2">
        <v>737.86789999999996</v>
      </c>
      <c r="D5936" s="2">
        <f>HYPERLINK("http://mcb-m6.bioreg.kyushu-u.ac.jp/M3/20110414/F50929/3201/1", 54.27)</f>
        <v>54.27</v>
      </c>
      <c r="E5936" s="2">
        <v>29.38</v>
      </c>
      <c r="F5936" s="2">
        <v>3</v>
      </c>
      <c r="G5936" s="2" t="s">
        <v>11</v>
      </c>
    </row>
    <row r="5937" spans="1:7" x14ac:dyDescent="0.2">
      <c r="A5937" s="2" t="s">
        <v>3245</v>
      </c>
      <c r="B5937" s="2" t="s">
        <v>25</v>
      </c>
      <c r="C5937" s="2">
        <v>1106.3589999999999</v>
      </c>
      <c r="D5937" s="2">
        <f>HYPERLINK("http://mcb-m6.bioreg.kyushu-u.ac.jp/M3/20110414/F50956/3990/1", 54.3)</f>
        <v>54.3</v>
      </c>
      <c r="E5937" s="2">
        <v>30.18</v>
      </c>
      <c r="F5937" s="2">
        <v>2</v>
      </c>
      <c r="G5937" s="2" t="s">
        <v>11</v>
      </c>
    </row>
    <row r="5938" spans="1:7" x14ac:dyDescent="0.2">
      <c r="A5938" s="2" t="s">
        <v>3245</v>
      </c>
      <c r="B5938" s="2" t="s">
        <v>25</v>
      </c>
      <c r="C5938" s="2">
        <v>1106.4490000000001</v>
      </c>
      <c r="D5938" s="2">
        <f>HYPERLINK("http://mcb-m6.bioreg.kyushu-u.ac.jp/M3/20110414/F50925/3001/1", 54.41)</f>
        <v>54.41</v>
      </c>
      <c r="E5938" s="2">
        <v>27.69</v>
      </c>
      <c r="F5938" s="2">
        <v>2</v>
      </c>
      <c r="G5938" s="2" t="s">
        <v>11</v>
      </c>
    </row>
    <row r="5939" spans="1:7" x14ac:dyDescent="0.2">
      <c r="A5939" s="2" t="s">
        <v>3245</v>
      </c>
      <c r="B5939" s="2" t="s">
        <v>25</v>
      </c>
      <c r="C5939" s="2">
        <v>737.62879999999996</v>
      </c>
      <c r="D5939" s="2">
        <f>HYPERLINK("http://mcb-m6.bioreg.kyushu-u.ac.jp/M3/20110414/F50943/3559/1", 54.83)</f>
        <v>54.83</v>
      </c>
      <c r="E5939" s="2">
        <v>33.08</v>
      </c>
      <c r="F5939" s="2">
        <v>3</v>
      </c>
      <c r="G5939" s="2" t="s">
        <v>11</v>
      </c>
    </row>
    <row r="5940" spans="1:7" x14ac:dyDescent="0.2">
      <c r="A5940" s="2" t="s">
        <v>3245</v>
      </c>
      <c r="B5940" s="2" t="s">
        <v>25</v>
      </c>
      <c r="C5940" s="2">
        <v>1106.2280000000001</v>
      </c>
      <c r="D5940" s="2">
        <f>HYPERLINK("http://mcb-m6.bioreg.kyushu-u.ac.jp/M3/20110414/F50941/3796/1", 55.34)</f>
        <v>55.34</v>
      </c>
      <c r="E5940" s="2">
        <v>24.18</v>
      </c>
      <c r="F5940" s="2">
        <v>2</v>
      </c>
      <c r="G5940" s="2" t="s">
        <v>11</v>
      </c>
    </row>
    <row r="5941" spans="1:7" x14ac:dyDescent="0.2">
      <c r="A5941" s="2" t="s">
        <v>3245</v>
      </c>
      <c r="B5941" s="2" t="s">
        <v>25</v>
      </c>
      <c r="C5941" s="2">
        <v>1105.941</v>
      </c>
      <c r="D5941" s="2">
        <f>HYPERLINK("http://mcb-m6.bioreg.kyushu-u.ac.jp/M3/20110414/F50942/3795/1", 55.86)</f>
        <v>55.86</v>
      </c>
      <c r="E5941" s="2">
        <v>32.36</v>
      </c>
      <c r="F5941" s="2">
        <v>2</v>
      </c>
      <c r="G5941" s="2" t="s">
        <v>11</v>
      </c>
    </row>
    <row r="5942" spans="1:7" x14ac:dyDescent="0.2">
      <c r="A5942" s="2" t="s">
        <v>3245</v>
      </c>
      <c r="B5942" s="2" t="s">
        <v>25</v>
      </c>
      <c r="C5942" s="2">
        <v>1106.3610000000001</v>
      </c>
      <c r="D5942" s="2">
        <f>HYPERLINK("http://mcb-m6.bioreg.kyushu-u.ac.jp/M3/20110414/F50928/3544/1", 56.42)</f>
        <v>56.42</v>
      </c>
      <c r="E5942" s="2">
        <v>28.24</v>
      </c>
      <c r="F5942" s="2">
        <v>2</v>
      </c>
      <c r="G5942" s="2" t="s">
        <v>11</v>
      </c>
    </row>
    <row r="5943" spans="1:7" x14ac:dyDescent="0.2">
      <c r="A5943" s="2" t="s">
        <v>3245</v>
      </c>
      <c r="B5943" s="2" t="s">
        <v>25</v>
      </c>
      <c r="C5943" s="2">
        <v>737.56880000000001</v>
      </c>
      <c r="D5943" s="2">
        <f>HYPERLINK("http://mcb-m6.bioreg.kyushu-u.ac.jp/M3/20110414/F50957/3933/1", 56.49)</f>
        <v>56.49</v>
      </c>
      <c r="E5943" s="2">
        <v>38.270000000000003</v>
      </c>
      <c r="F5943" s="2">
        <v>3</v>
      </c>
      <c r="G5943" s="2" t="s">
        <v>11</v>
      </c>
    </row>
    <row r="5944" spans="1:7" x14ac:dyDescent="0.2">
      <c r="A5944" s="2" t="s">
        <v>3245</v>
      </c>
      <c r="B5944" s="2" t="s">
        <v>25</v>
      </c>
      <c r="C5944" s="2">
        <v>1105.7739999999999</v>
      </c>
      <c r="D5944" s="2">
        <f>HYPERLINK("http://mcb-m6.bioreg.kyushu-u.ac.jp/M3/20110414/F50928/3534/1", 57.73)</f>
        <v>57.73</v>
      </c>
      <c r="E5944" s="2">
        <v>40.479999999999997</v>
      </c>
      <c r="F5944" s="2">
        <v>2</v>
      </c>
      <c r="G5944" s="2" t="s">
        <v>11</v>
      </c>
    </row>
    <row r="5945" spans="1:7" x14ac:dyDescent="0.2">
      <c r="A5945" s="2" t="s">
        <v>3245</v>
      </c>
      <c r="B5945" s="2" t="s">
        <v>25</v>
      </c>
      <c r="C5945" s="2">
        <v>1105.8689999999999</v>
      </c>
      <c r="D5945" s="2">
        <f>HYPERLINK("http://mcb-m6.bioreg.kyushu-u.ac.jp/M3/20110414/F50928/3538/1", 58.03)</f>
        <v>58.03</v>
      </c>
      <c r="E5945" s="2">
        <v>35.46</v>
      </c>
      <c r="F5945" s="2">
        <v>2</v>
      </c>
      <c r="G5945" s="2" t="s">
        <v>11</v>
      </c>
    </row>
    <row r="5946" spans="1:7" x14ac:dyDescent="0.2">
      <c r="A5946" s="2" t="s">
        <v>3245</v>
      </c>
      <c r="B5946" s="2" t="s">
        <v>25</v>
      </c>
      <c r="C5946" s="2">
        <v>1106.4290000000001</v>
      </c>
      <c r="D5946" s="2">
        <f>HYPERLINK("http://mcb-m6.bioreg.kyushu-u.ac.jp/M3/20110414/F50924/3371/1", 58.5)</f>
        <v>58.5</v>
      </c>
      <c r="E5946" s="2">
        <v>25.89</v>
      </c>
      <c r="F5946" s="2">
        <v>2</v>
      </c>
      <c r="G5946" s="2" t="s">
        <v>11</v>
      </c>
    </row>
    <row r="5947" spans="1:7" x14ac:dyDescent="0.2">
      <c r="A5947" s="2" t="s">
        <v>3245</v>
      </c>
      <c r="B5947" s="2" t="s">
        <v>25</v>
      </c>
      <c r="C5947" s="2">
        <v>1106.1569999999999</v>
      </c>
      <c r="D5947" s="2">
        <f>HYPERLINK("http://mcb-m6.bioreg.kyushu-u.ac.jp/M3/20110414/F50929/3200/1", 58.55)</f>
        <v>58.55</v>
      </c>
      <c r="E5947" s="2">
        <v>35.53</v>
      </c>
      <c r="F5947" s="2">
        <v>2</v>
      </c>
      <c r="G5947" s="2" t="s">
        <v>11</v>
      </c>
    </row>
    <row r="5948" spans="1:7" x14ac:dyDescent="0.2">
      <c r="A5948" s="2" t="s">
        <v>3245</v>
      </c>
      <c r="B5948" s="2" t="s">
        <v>25</v>
      </c>
      <c r="C5948" s="2">
        <v>737.9796</v>
      </c>
      <c r="D5948" s="2">
        <f>HYPERLINK("http://mcb-m6.bioreg.kyushu-u.ac.jp/M3/20110414/F50962/3291/1", 59.4)</f>
        <v>59.4</v>
      </c>
      <c r="E5948" s="2">
        <v>29.6</v>
      </c>
      <c r="F5948" s="2">
        <v>3</v>
      </c>
      <c r="G5948" s="2" t="s">
        <v>11</v>
      </c>
    </row>
    <row r="5949" spans="1:7" x14ac:dyDescent="0.2">
      <c r="A5949" s="2" t="s">
        <v>3245</v>
      </c>
      <c r="B5949" s="2" t="s">
        <v>25</v>
      </c>
      <c r="C5949" s="2">
        <v>737.8981</v>
      </c>
      <c r="D5949" s="2">
        <f>HYPERLINK("http://mcb-m6.bioreg.kyushu-u.ac.jp/M3/20110414/F50924/3368/1", 59.71)</f>
        <v>59.71</v>
      </c>
      <c r="E5949" s="2">
        <v>27.36</v>
      </c>
      <c r="F5949" s="2">
        <v>3</v>
      </c>
      <c r="G5949" s="2" t="s">
        <v>11</v>
      </c>
    </row>
    <row r="5950" spans="1:7" x14ac:dyDescent="0.2">
      <c r="A5950" s="2" t="s">
        <v>3245</v>
      </c>
      <c r="B5950" s="2" t="s">
        <v>25</v>
      </c>
      <c r="C5950" s="2">
        <v>1106.355</v>
      </c>
      <c r="D5950" s="2">
        <f>HYPERLINK("http://mcb-m6.bioreg.kyushu-u.ac.jp/M3/20110414/F50929/3202/1", 59.86)</f>
        <v>59.86</v>
      </c>
      <c r="E5950" s="2">
        <v>31.6</v>
      </c>
      <c r="F5950" s="2">
        <v>2</v>
      </c>
      <c r="G5950" s="2" t="s">
        <v>11</v>
      </c>
    </row>
    <row r="5951" spans="1:7" x14ac:dyDescent="0.2">
      <c r="A5951" s="2" t="s">
        <v>3245</v>
      </c>
      <c r="B5951" s="2" t="s">
        <v>25</v>
      </c>
      <c r="C5951" s="2">
        <v>1105.924</v>
      </c>
      <c r="D5951" s="2">
        <f>HYPERLINK("http://mcb-m6.bioreg.kyushu-u.ac.jp/M3/20110414/F50924/3364/1", 60.27)</f>
        <v>60.27</v>
      </c>
      <c r="E5951" s="2">
        <v>42.22</v>
      </c>
      <c r="F5951" s="2">
        <v>2</v>
      </c>
      <c r="G5951" s="2" t="s">
        <v>11</v>
      </c>
    </row>
    <row r="5952" spans="1:7" x14ac:dyDescent="0.2">
      <c r="A5952" s="2" t="s">
        <v>3245</v>
      </c>
      <c r="B5952" s="2" t="s">
        <v>25</v>
      </c>
      <c r="C5952" s="2">
        <v>1106.0630000000001</v>
      </c>
      <c r="D5952" s="2">
        <f>HYPERLINK("http://mcb-m6.bioreg.kyushu-u.ac.jp/M3/20110414/F50944/3223/1", 62.85)</f>
        <v>62.85</v>
      </c>
      <c r="E5952" s="2">
        <v>32.35</v>
      </c>
      <c r="F5952" s="2">
        <v>2</v>
      </c>
      <c r="G5952" s="2" t="s">
        <v>11</v>
      </c>
    </row>
    <row r="5953" spans="1:7" x14ac:dyDescent="0.2">
      <c r="A5953" s="2" t="s">
        <v>3245</v>
      </c>
      <c r="B5953" s="2" t="s">
        <v>25</v>
      </c>
      <c r="C5953" s="2">
        <v>1106.5260000000001</v>
      </c>
      <c r="D5953" s="2">
        <f>HYPERLINK("http://mcb-m6.bioreg.kyushu-u.ac.jp/M3/20110414/F50942/3812/1", 63.46)</f>
        <v>63.46</v>
      </c>
      <c r="E5953" s="2">
        <v>30.17</v>
      </c>
      <c r="F5953" s="2">
        <v>2</v>
      </c>
      <c r="G5953" s="2" t="s">
        <v>11</v>
      </c>
    </row>
    <row r="5954" spans="1:7" x14ac:dyDescent="0.2">
      <c r="A5954" s="2" t="s">
        <v>3245</v>
      </c>
      <c r="B5954" s="2" t="s">
        <v>25</v>
      </c>
      <c r="C5954" s="2">
        <v>1106.299</v>
      </c>
      <c r="D5954" s="2">
        <f>HYPERLINK("http://mcb-m6.bioreg.kyushu-u.ac.jp/M3/20110414/F50957/3942/1", 64.07)</f>
        <v>64.069999999999993</v>
      </c>
      <c r="E5954" s="2">
        <v>42.75</v>
      </c>
      <c r="F5954" s="2">
        <v>2</v>
      </c>
      <c r="G5954" s="2" t="s">
        <v>11</v>
      </c>
    </row>
    <row r="5955" spans="1:7" x14ac:dyDescent="0.2">
      <c r="A5955" s="2" t="s">
        <v>3245</v>
      </c>
      <c r="B5955" s="2" t="s">
        <v>25</v>
      </c>
      <c r="C5955" s="2">
        <v>1106.6500000000001</v>
      </c>
      <c r="D5955" s="2">
        <f>HYPERLINK("http://mcb-m6.bioreg.kyushu-u.ac.jp/M3/20110414/F50945/3433/1", 66.35)</f>
        <v>66.349999999999994</v>
      </c>
      <c r="E5955" s="2">
        <v>16.63</v>
      </c>
      <c r="F5955" s="2">
        <v>2</v>
      </c>
      <c r="G5955" s="2" t="s">
        <v>11</v>
      </c>
    </row>
    <row r="5956" spans="1:7" x14ac:dyDescent="0.2">
      <c r="A5956" s="2" t="s">
        <v>3245</v>
      </c>
      <c r="B5956" s="2" t="s">
        <v>25</v>
      </c>
      <c r="C5956" s="2">
        <v>1105.902</v>
      </c>
      <c r="D5956" s="2">
        <f>HYPERLINK("http://mcb-m6.bioreg.kyushu-u.ac.jp/M3/20110414/F50929/3197/1", 67.15)</f>
        <v>67.150000000000006</v>
      </c>
      <c r="E5956" s="2">
        <v>48.25</v>
      </c>
      <c r="F5956" s="2">
        <v>2</v>
      </c>
      <c r="G5956" s="2" t="s">
        <v>11</v>
      </c>
    </row>
    <row r="5957" spans="1:7" x14ac:dyDescent="0.2">
      <c r="A5957" s="2" t="s">
        <v>3245</v>
      </c>
      <c r="B5957" s="2" t="s">
        <v>25</v>
      </c>
      <c r="C5957" s="2">
        <v>1105.789</v>
      </c>
      <c r="D5957" s="2">
        <f>HYPERLINK("http://mcb-m6.bioreg.kyushu-u.ac.jp/M3/20110414/F50928/3535/1", 67.65)</f>
        <v>67.650000000000006</v>
      </c>
      <c r="E5957" s="2">
        <v>44.57</v>
      </c>
      <c r="F5957" s="2">
        <v>2</v>
      </c>
      <c r="G5957" s="2" t="s">
        <v>11</v>
      </c>
    </row>
    <row r="5958" spans="1:7" x14ac:dyDescent="0.2">
      <c r="A5958" s="2" t="s">
        <v>3245</v>
      </c>
      <c r="B5958" s="2" t="s">
        <v>25</v>
      </c>
      <c r="C5958" s="2">
        <v>738.00980000000004</v>
      </c>
      <c r="D5958" s="2">
        <f>HYPERLINK("http://mcb-m6.bioreg.kyushu-u.ac.jp/M3/20110414/F50927/3308/1", 70.45)</f>
        <v>70.45</v>
      </c>
      <c r="E5958" s="2">
        <v>30.42</v>
      </c>
      <c r="F5958" s="2">
        <v>3</v>
      </c>
      <c r="G5958" s="2" t="s">
        <v>11</v>
      </c>
    </row>
    <row r="5959" spans="1:7" x14ac:dyDescent="0.2">
      <c r="A5959" s="2" t="s">
        <v>3245</v>
      </c>
      <c r="B5959" s="2" t="s">
        <v>25</v>
      </c>
      <c r="C5959" s="2">
        <v>1105.806</v>
      </c>
      <c r="D5959" s="2">
        <f>HYPERLINK("http://mcb-m6.bioreg.kyushu-u.ac.jp/M3/20110414/F50956/3976/1", 72.28)</f>
        <v>72.28</v>
      </c>
      <c r="E5959" s="2">
        <v>44.83</v>
      </c>
      <c r="F5959" s="2">
        <v>2</v>
      </c>
      <c r="G5959" s="2" t="s">
        <v>11</v>
      </c>
    </row>
    <row r="5960" spans="1:7" x14ac:dyDescent="0.2">
      <c r="A5960" s="2" t="s">
        <v>3245</v>
      </c>
      <c r="B5960" s="2" t="s">
        <v>25</v>
      </c>
      <c r="C5960" s="2">
        <v>737.58019999999999</v>
      </c>
      <c r="D5960" s="2">
        <f>HYPERLINK("http://mcb-m6.bioreg.kyushu-u.ac.jp/M3/20110414/F50926/2988/1", 73.36)</f>
        <v>73.36</v>
      </c>
      <c r="E5960" s="2">
        <v>52.19</v>
      </c>
      <c r="F5960" s="2">
        <v>3</v>
      </c>
      <c r="G5960" s="2" t="s">
        <v>11</v>
      </c>
    </row>
    <row r="5961" spans="1:7" x14ac:dyDescent="0.2">
      <c r="A5961" s="2" t="s">
        <v>3245</v>
      </c>
      <c r="B5961" s="2" t="s">
        <v>25</v>
      </c>
      <c r="C5961" s="2">
        <v>1105.9590000000001</v>
      </c>
      <c r="D5961" s="2">
        <f>HYPERLINK("http://mcb-m6.bioreg.kyushu-u.ac.jp/M3/20110414/F50925/2997/1", 74.23)</f>
        <v>74.23</v>
      </c>
      <c r="E5961" s="2">
        <v>39.24</v>
      </c>
      <c r="F5961" s="2">
        <v>2</v>
      </c>
      <c r="G5961" s="2" t="s">
        <v>11</v>
      </c>
    </row>
    <row r="5962" spans="1:7" x14ac:dyDescent="0.2">
      <c r="A5962" s="2" t="s">
        <v>3245</v>
      </c>
      <c r="B5962" s="2" t="s">
        <v>25</v>
      </c>
      <c r="C5962" s="2">
        <v>1106.2829999999999</v>
      </c>
      <c r="D5962" s="2">
        <f>HYPERLINK("http://mcb-m6.bioreg.kyushu-u.ac.jp/M3/20110414/F50928/3541/1", 74.91)</f>
        <v>74.91</v>
      </c>
      <c r="E5962" s="2">
        <v>34.42</v>
      </c>
      <c r="F5962" s="2">
        <v>2</v>
      </c>
      <c r="G5962" s="2" t="s">
        <v>11</v>
      </c>
    </row>
    <row r="5963" spans="1:7" x14ac:dyDescent="0.2">
      <c r="A5963" s="2" t="s">
        <v>3245</v>
      </c>
      <c r="B5963" s="2" t="s">
        <v>25</v>
      </c>
      <c r="C5963" s="2">
        <v>1105.55</v>
      </c>
      <c r="D5963" s="2">
        <f>HYPERLINK("http://mcb-m6.bioreg.kyushu-u.ac.jp/M3/20110414/F50927/3297/1", 74.95)</f>
        <v>74.95</v>
      </c>
      <c r="E5963" s="2">
        <v>46.98</v>
      </c>
      <c r="F5963" s="2">
        <v>2</v>
      </c>
      <c r="G5963" s="2" t="s">
        <v>11</v>
      </c>
    </row>
    <row r="5964" spans="1:7" x14ac:dyDescent="0.2">
      <c r="A5964" s="2" t="s">
        <v>3245</v>
      </c>
      <c r="B5964" s="2" t="s">
        <v>25</v>
      </c>
      <c r="C5964" s="2">
        <v>737.76059999999995</v>
      </c>
      <c r="D5964" s="2">
        <f>HYPERLINK("http://mcb-m6.bioreg.kyushu-u.ac.jp/M3/20110414/F50956/3984/1", 80.92)</f>
        <v>80.92</v>
      </c>
      <c r="E5964" s="2">
        <v>38.01</v>
      </c>
      <c r="F5964" s="2">
        <v>3</v>
      </c>
      <c r="G5964" s="2" t="s">
        <v>11</v>
      </c>
    </row>
    <row r="5965" spans="1:7" x14ac:dyDescent="0.2">
      <c r="A5965" s="2" t="s">
        <v>3245</v>
      </c>
      <c r="B5965" s="2" t="s">
        <v>25</v>
      </c>
      <c r="C5965" s="2">
        <v>1105.835</v>
      </c>
      <c r="D5965" s="2">
        <f>HYPERLINK("http://mcb-m6.bioreg.kyushu-u.ac.jp/M3/20110414/F50928/3537/1", 82.01)</f>
        <v>82.01</v>
      </c>
      <c r="E5965" s="2">
        <v>55.2</v>
      </c>
      <c r="F5965" s="2">
        <v>2</v>
      </c>
      <c r="G5965" s="2" t="s">
        <v>11</v>
      </c>
    </row>
    <row r="5966" spans="1:7" x14ac:dyDescent="0.2">
      <c r="A5966" s="2" t="s">
        <v>3245</v>
      </c>
      <c r="B5966" s="2" t="s">
        <v>25</v>
      </c>
      <c r="C5966" s="2">
        <v>1106.4349999999999</v>
      </c>
      <c r="D5966" s="2">
        <f>HYPERLINK("http://mcb-m6.bioreg.kyushu-u.ac.jp/M3/20110414/F50929/3203/1", 82.74)</f>
        <v>82.74</v>
      </c>
      <c r="E5966" s="2">
        <v>32.61</v>
      </c>
      <c r="F5966" s="2">
        <v>2</v>
      </c>
      <c r="G5966" s="2" t="s">
        <v>11</v>
      </c>
    </row>
    <row r="5967" spans="1:7" x14ac:dyDescent="0.2">
      <c r="A5967" s="2" t="s">
        <v>3245</v>
      </c>
      <c r="B5967" s="2" t="s">
        <v>25</v>
      </c>
      <c r="C5967" s="2">
        <v>1106.26</v>
      </c>
      <c r="D5967" s="2">
        <f>HYPERLINK("http://mcb-m6.bioreg.kyushu-u.ac.jp/M3/20110414/F50927/3302/1", 82.92)</f>
        <v>82.92</v>
      </c>
      <c r="E5967" s="2">
        <v>29.9</v>
      </c>
      <c r="F5967" s="2">
        <v>2</v>
      </c>
      <c r="G5967" s="2" t="s">
        <v>11</v>
      </c>
    </row>
    <row r="5968" spans="1:7" x14ac:dyDescent="0.2">
      <c r="A5968" s="2" t="s">
        <v>3245</v>
      </c>
      <c r="B5968" s="2" t="s">
        <v>25</v>
      </c>
      <c r="C5968" s="2">
        <v>1106.0350000000001</v>
      </c>
      <c r="D5968" s="2">
        <f>HYPERLINK("http://mcb-m6.bioreg.kyushu-u.ac.jp/M3/20110414/F50945/3424/1", 83.05)</f>
        <v>83.05</v>
      </c>
      <c r="E5968" s="2">
        <v>51.87</v>
      </c>
      <c r="F5968" s="2">
        <v>2</v>
      </c>
      <c r="G5968" s="2" t="s">
        <v>11</v>
      </c>
    </row>
    <row r="5969" spans="1:7" x14ac:dyDescent="0.2">
      <c r="A5969" s="2" t="s">
        <v>3245</v>
      </c>
      <c r="B5969" s="2" t="s">
        <v>25</v>
      </c>
      <c r="C5969" s="2">
        <v>1106.2260000000001</v>
      </c>
      <c r="D5969" s="2">
        <f>HYPERLINK("http://mcb-m6.bioreg.kyushu-u.ac.jp/M3/20110414/F50926/2992/1", 84.94)</f>
        <v>84.94</v>
      </c>
      <c r="E5969" s="2">
        <v>43.83</v>
      </c>
      <c r="F5969" s="2">
        <v>2</v>
      </c>
      <c r="G5969" s="2" t="s">
        <v>11</v>
      </c>
    </row>
    <row r="5970" spans="1:7" x14ac:dyDescent="0.2">
      <c r="A5970" s="2" t="s">
        <v>3245</v>
      </c>
      <c r="B5970" s="2" t="s">
        <v>25</v>
      </c>
      <c r="C5970" s="2">
        <v>1105.83</v>
      </c>
      <c r="D5970" s="2">
        <f>HYPERLINK("http://mcb-m6.bioreg.kyushu-u.ac.jp/M3/20110414/F50928/3536/1", 85.73)</f>
        <v>85.73</v>
      </c>
      <c r="E5970" s="2">
        <v>68.91</v>
      </c>
      <c r="F5970" s="2">
        <v>2</v>
      </c>
      <c r="G5970" s="2" t="s">
        <v>11</v>
      </c>
    </row>
    <row r="5971" spans="1:7" x14ac:dyDescent="0.2">
      <c r="A5971" s="2" t="s">
        <v>3245</v>
      </c>
      <c r="B5971" s="2" t="s">
        <v>25</v>
      </c>
      <c r="C5971" s="2">
        <v>1105.981</v>
      </c>
      <c r="D5971" s="2">
        <f>HYPERLINK("http://mcb-m6.bioreg.kyushu-u.ac.jp/M3/20110414/F50944/3222/1", 87.54)</f>
        <v>87.54</v>
      </c>
      <c r="E5971" s="2">
        <v>51.57</v>
      </c>
      <c r="F5971" s="2">
        <v>2</v>
      </c>
      <c r="G5971" s="2" t="s">
        <v>11</v>
      </c>
    </row>
    <row r="5972" spans="1:7" x14ac:dyDescent="0.2">
      <c r="A5972" s="2" t="s">
        <v>3245</v>
      </c>
      <c r="B5972" s="2" t="s">
        <v>25</v>
      </c>
      <c r="C5972" s="2">
        <v>1106.405</v>
      </c>
      <c r="D5972" s="2">
        <f>HYPERLINK("http://mcb-m6.bioreg.kyushu-u.ac.jp/M3/20110414/F50927/3306/1", 88.48)</f>
        <v>88.48</v>
      </c>
      <c r="E5972" s="2">
        <v>33.4</v>
      </c>
      <c r="F5972" s="2">
        <v>2</v>
      </c>
      <c r="G5972" s="2" t="s">
        <v>11</v>
      </c>
    </row>
    <row r="5973" spans="1:7" x14ac:dyDescent="0.2">
      <c r="A5973" s="2" t="s">
        <v>3245</v>
      </c>
      <c r="B5973" s="2" t="s">
        <v>25</v>
      </c>
      <c r="C5973" s="2">
        <v>1106.21</v>
      </c>
      <c r="D5973" s="2">
        <f>HYPERLINK("http://mcb-m6.bioreg.kyushu-u.ac.jp/M3/20110414/F50926/2991/1", 89.3)</f>
        <v>89.3</v>
      </c>
      <c r="E5973" s="2">
        <v>42.36</v>
      </c>
      <c r="F5973" s="2">
        <v>2</v>
      </c>
      <c r="G5973" s="2" t="s">
        <v>11</v>
      </c>
    </row>
    <row r="5974" spans="1:7" x14ac:dyDescent="0.2">
      <c r="A5974" s="2" t="s">
        <v>3245</v>
      </c>
      <c r="B5974" s="2" t="s">
        <v>25</v>
      </c>
      <c r="C5974" s="2">
        <v>1105.818</v>
      </c>
      <c r="D5974" s="2">
        <f>HYPERLINK("http://mcb-m6.bioreg.kyushu-u.ac.jp/M3/20110414/F50924/3363/1", 90.41)</f>
        <v>90.41</v>
      </c>
      <c r="E5974" s="2">
        <v>70.69</v>
      </c>
      <c r="F5974" s="2">
        <v>2</v>
      </c>
      <c r="G5974" s="2" t="s">
        <v>11</v>
      </c>
    </row>
    <row r="5975" spans="1:7" x14ac:dyDescent="0.2">
      <c r="A5975" s="2" t="s">
        <v>3245</v>
      </c>
      <c r="B5975" s="2" t="s">
        <v>25</v>
      </c>
      <c r="C5975" s="2">
        <v>1105.645</v>
      </c>
      <c r="D5975" s="2">
        <f>HYPERLINK("http://mcb-m6.bioreg.kyushu-u.ac.jp/M3/20110414/F50926/2985/1", 90.62)</f>
        <v>90.62</v>
      </c>
      <c r="E5975" s="2">
        <v>55.88</v>
      </c>
      <c r="F5975" s="2">
        <v>2</v>
      </c>
      <c r="G5975" s="2" t="s">
        <v>11</v>
      </c>
    </row>
    <row r="5976" spans="1:7" x14ac:dyDescent="0.2">
      <c r="A5976" s="2" t="s">
        <v>3245</v>
      </c>
      <c r="B5976" s="2" t="s">
        <v>25</v>
      </c>
      <c r="C5976" s="2">
        <v>1106.3530000000001</v>
      </c>
      <c r="D5976" s="2">
        <f>HYPERLINK("http://mcb-m6.bioreg.kyushu-u.ac.jp/M3/20110414/F50927/3304/1", 93.31)</f>
        <v>93.31</v>
      </c>
      <c r="E5976" s="2">
        <v>47.01</v>
      </c>
      <c r="F5976" s="2">
        <v>2</v>
      </c>
      <c r="G5976" s="2" t="s">
        <v>11</v>
      </c>
    </row>
    <row r="5977" spans="1:7" x14ac:dyDescent="0.2">
      <c r="A5977" s="2" t="s">
        <v>3245</v>
      </c>
      <c r="B5977" s="2" t="s">
        <v>25</v>
      </c>
      <c r="C5977" s="2">
        <v>1106.309</v>
      </c>
      <c r="D5977" s="2">
        <f>HYPERLINK("http://mcb-m6.bioreg.kyushu-u.ac.jp/M3/20110414/F50956/3986/1", 94)</f>
        <v>94</v>
      </c>
      <c r="E5977" s="2">
        <v>64.78</v>
      </c>
      <c r="F5977" s="2">
        <v>2</v>
      </c>
      <c r="G5977" s="2" t="s">
        <v>11</v>
      </c>
    </row>
    <row r="5978" spans="1:7" x14ac:dyDescent="0.2">
      <c r="A5978" s="2" t="s">
        <v>3245</v>
      </c>
      <c r="B5978" s="2" t="s">
        <v>25</v>
      </c>
      <c r="C5978" s="2">
        <v>1105.604</v>
      </c>
      <c r="D5978" s="2">
        <f>HYPERLINK("http://mcb-m6.bioreg.kyushu-u.ac.jp/M3/20110414/F50956/3972/1", 98.73)</f>
        <v>98.73</v>
      </c>
      <c r="E5978" s="2">
        <v>69.86</v>
      </c>
      <c r="F5978" s="2">
        <v>2</v>
      </c>
      <c r="G5978" s="2" t="s">
        <v>11</v>
      </c>
    </row>
    <row r="5979" spans="1:7" x14ac:dyDescent="0.2">
      <c r="A5979" s="2" t="s">
        <v>3245</v>
      </c>
      <c r="B5979" s="2" t="s">
        <v>25</v>
      </c>
      <c r="C5979" s="2">
        <v>1105.6400000000001</v>
      </c>
      <c r="D5979" s="2">
        <f>HYPERLINK("http://mcb-m6.bioreg.kyushu-u.ac.jp/M3/20110414/F50928/3531/1", 99.16)</f>
        <v>99.16</v>
      </c>
      <c r="E5979" s="2">
        <v>70.67</v>
      </c>
      <c r="F5979" s="2">
        <v>2</v>
      </c>
      <c r="G5979" s="2" t="s">
        <v>11</v>
      </c>
    </row>
    <row r="5980" spans="1:7" x14ac:dyDescent="0.2">
      <c r="A5980" s="2" t="s">
        <v>3245</v>
      </c>
      <c r="B5980" s="2" t="s">
        <v>25</v>
      </c>
      <c r="C5980" s="2">
        <v>1106.125</v>
      </c>
      <c r="D5980" s="2">
        <f>HYPERLINK("http://mcb-m6.bioreg.kyushu-u.ac.jp/M3/20110414/F50927/3300/1", 99.67)</f>
        <v>99.67</v>
      </c>
      <c r="E5980" s="2">
        <v>43.68</v>
      </c>
      <c r="F5980" s="2">
        <v>2</v>
      </c>
      <c r="G5980" s="2" t="s">
        <v>11</v>
      </c>
    </row>
    <row r="5981" spans="1:7" x14ac:dyDescent="0.2">
      <c r="A5981" s="2" t="s">
        <v>3245</v>
      </c>
      <c r="B5981" s="2" t="s">
        <v>25</v>
      </c>
      <c r="C5981" s="2">
        <v>1105.681</v>
      </c>
      <c r="D5981" s="2">
        <f>HYPERLINK("http://mcb-m6.bioreg.kyushu-u.ac.jp/M3/20110414/F50926/2987/1", 102.94)</f>
        <v>102.94</v>
      </c>
      <c r="E5981" s="2">
        <v>76.06</v>
      </c>
      <c r="F5981" s="2">
        <v>2</v>
      </c>
      <c r="G5981" s="2" t="s">
        <v>11</v>
      </c>
    </row>
    <row r="5982" spans="1:7" x14ac:dyDescent="0.2">
      <c r="A5982" s="2" t="s">
        <v>3245</v>
      </c>
      <c r="B5982" s="2" t="s">
        <v>25</v>
      </c>
      <c r="C5982" s="2">
        <v>1105.9290000000001</v>
      </c>
      <c r="D5982" s="2">
        <f>HYPERLINK("http://mcb-m6.bioreg.kyushu-u.ac.jp/M3/20110414/F50927/3299/1", 105.01)</f>
        <v>105.01</v>
      </c>
      <c r="E5982" s="2">
        <v>70.34</v>
      </c>
      <c r="F5982" s="2">
        <v>2</v>
      </c>
      <c r="G5982" s="2" t="s">
        <v>11</v>
      </c>
    </row>
    <row r="5983" spans="1:7" x14ac:dyDescent="0.2">
      <c r="A5983" s="2" t="s">
        <v>3245</v>
      </c>
      <c r="B5983" s="2" t="s">
        <v>25</v>
      </c>
      <c r="C5983" s="2">
        <v>1106.1690000000001</v>
      </c>
      <c r="D5983" s="2">
        <f>HYPERLINK("http://mcb-m6.bioreg.kyushu-u.ac.jp/M3/20110414/F50927/3301/1", 107.83)</f>
        <v>107.83</v>
      </c>
      <c r="E5983" s="2">
        <v>43.63</v>
      </c>
      <c r="F5983" s="2">
        <v>2</v>
      </c>
      <c r="G5983" s="2" t="s">
        <v>11</v>
      </c>
    </row>
    <row r="5984" spans="1:7" x14ac:dyDescent="0.2">
      <c r="A5984" s="2" t="s">
        <v>3245</v>
      </c>
      <c r="B5984" s="2" t="s">
        <v>25</v>
      </c>
      <c r="C5984" s="2">
        <v>1106.337</v>
      </c>
      <c r="D5984" s="2">
        <f>HYPERLINK("http://mcb-m6.bioreg.kyushu-u.ac.jp/M3/20110414/F50928/3543/1", 109.89)</f>
        <v>109.89</v>
      </c>
      <c r="E5984" s="2">
        <v>52.96</v>
      </c>
      <c r="F5984" s="2">
        <v>2</v>
      </c>
      <c r="G5984" s="2" t="s">
        <v>11</v>
      </c>
    </row>
    <row r="5985" spans="1:7" x14ac:dyDescent="0.2">
      <c r="A5985" s="2" t="s">
        <v>3245</v>
      </c>
      <c r="B5985" s="2" t="s">
        <v>25</v>
      </c>
      <c r="C5985" s="2">
        <v>1105.6500000000001</v>
      </c>
      <c r="D5985" s="2">
        <f>HYPERLINK("http://mcb-m6.bioreg.kyushu-u.ac.jp/M3/20110414/F50926/2986/1", 112.25)</f>
        <v>112.25</v>
      </c>
      <c r="E5985" s="2">
        <v>86.42</v>
      </c>
      <c r="F5985" s="2">
        <v>2</v>
      </c>
      <c r="G5985" s="2" t="s">
        <v>11</v>
      </c>
    </row>
    <row r="5986" spans="1:7" x14ac:dyDescent="0.2">
      <c r="A5986" s="2" t="s">
        <v>3245</v>
      </c>
      <c r="B5986" s="2" t="s">
        <v>25</v>
      </c>
      <c r="C5986" s="2">
        <v>1105.6010000000001</v>
      </c>
      <c r="D5986" s="2">
        <f>HYPERLINK("http://mcb-m6.bioreg.kyushu-u.ac.jp/M3/20110414/F50927/3298/1", 112.29)</f>
        <v>112.29</v>
      </c>
      <c r="E5986" s="2">
        <v>85.46</v>
      </c>
      <c r="F5986" s="2">
        <v>2</v>
      </c>
      <c r="G5986" s="2" t="s">
        <v>11</v>
      </c>
    </row>
    <row r="5987" spans="1:7" x14ac:dyDescent="0.2">
      <c r="A5987" s="2" t="s">
        <v>3245</v>
      </c>
      <c r="B5987" s="2" t="s">
        <v>25</v>
      </c>
      <c r="C5987" s="2">
        <v>1106.4649999999999</v>
      </c>
      <c r="D5987" s="2">
        <f>HYPERLINK("http://mcb-m6.bioreg.kyushu-u.ac.jp/M3/20110414/F50959/4014/1", 35.41)</f>
        <v>35.409999999999997</v>
      </c>
      <c r="E5987" s="2">
        <v>14.88</v>
      </c>
      <c r="F5987" s="2">
        <v>2</v>
      </c>
      <c r="G5987" s="2" t="s">
        <v>12</v>
      </c>
    </row>
    <row r="5988" spans="1:7" x14ac:dyDescent="0.2">
      <c r="A5988" s="2" t="s">
        <v>3245</v>
      </c>
      <c r="B5988" s="2" t="s">
        <v>25</v>
      </c>
      <c r="C5988" s="2">
        <v>1106.4829999999999</v>
      </c>
      <c r="D5988" s="2">
        <f>HYPERLINK("http://mcb-m6.bioreg.kyushu-u.ac.jp/M3/20110414/F50947/3828/1", 35.94)</f>
        <v>35.94</v>
      </c>
      <c r="E5988" s="2">
        <v>11.52</v>
      </c>
      <c r="F5988" s="2">
        <v>2</v>
      </c>
      <c r="G5988" s="2" t="s">
        <v>12</v>
      </c>
    </row>
    <row r="5989" spans="1:7" x14ac:dyDescent="0.2">
      <c r="A5989" s="2" t="s">
        <v>3245</v>
      </c>
      <c r="B5989" s="2" t="s">
        <v>25</v>
      </c>
      <c r="C5989" s="2">
        <v>1106.442</v>
      </c>
      <c r="D5989" s="2">
        <f>HYPERLINK("http://mcb-m6.bioreg.kyushu-u.ac.jp/M3/20110414/F50958/4029/1", 36.14)</f>
        <v>36.14</v>
      </c>
      <c r="E5989" s="2">
        <v>14.63</v>
      </c>
      <c r="F5989" s="2">
        <v>2</v>
      </c>
      <c r="G5989" s="2" t="s">
        <v>12</v>
      </c>
    </row>
    <row r="5990" spans="1:7" x14ac:dyDescent="0.2">
      <c r="A5990" s="2" t="s">
        <v>3245</v>
      </c>
      <c r="B5990" s="2" t="s">
        <v>25</v>
      </c>
      <c r="C5990" s="2">
        <v>737.85220000000004</v>
      </c>
      <c r="D5990" s="2">
        <f>HYPERLINK("http://mcb-m6.bioreg.kyushu-u.ac.jp/M3/20110414/F50966/3027/1", 36.43)</f>
        <v>36.43</v>
      </c>
      <c r="E5990" s="2">
        <v>13.44</v>
      </c>
      <c r="F5990" s="2">
        <v>3</v>
      </c>
      <c r="G5990" s="2" t="s">
        <v>12</v>
      </c>
    </row>
    <row r="5991" spans="1:7" x14ac:dyDescent="0.2">
      <c r="A5991" s="2" t="s">
        <v>3245</v>
      </c>
      <c r="B5991" s="2" t="s">
        <v>25</v>
      </c>
      <c r="C5991" s="2">
        <v>1106.4670000000001</v>
      </c>
      <c r="D5991" s="2">
        <f>HYPERLINK("http://mcb-m6.bioreg.kyushu-u.ac.jp/M3/20110414/F50947/3827/1", 36.88)</f>
        <v>36.880000000000003</v>
      </c>
      <c r="E5991" s="2">
        <v>15.77</v>
      </c>
      <c r="F5991" s="2">
        <v>2</v>
      </c>
      <c r="G5991" s="2" t="s">
        <v>12</v>
      </c>
    </row>
    <row r="5992" spans="1:7" x14ac:dyDescent="0.2">
      <c r="A5992" s="2" t="s">
        <v>3245</v>
      </c>
      <c r="B5992" s="2" t="s">
        <v>25</v>
      </c>
      <c r="C5992" s="2">
        <v>1106.6220000000001</v>
      </c>
      <c r="D5992" s="2">
        <f>HYPERLINK("http://mcb-m6.bioreg.kyushu-u.ac.jp/M3/20110414/F50933/3576/1", 37.57)</f>
        <v>37.57</v>
      </c>
      <c r="E5992" s="2">
        <v>16.41</v>
      </c>
      <c r="F5992" s="2">
        <v>2</v>
      </c>
      <c r="G5992" s="2" t="s">
        <v>12</v>
      </c>
    </row>
    <row r="5993" spans="1:7" x14ac:dyDescent="0.2">
      <c r="A5993" s="2" t="s">
        <v>3245</v>
      </c>
      <c r="B5993" s="2" t="s">
        <v>25</v>
      </c>
      <c r="C5993" s="2">
        <v>1106.473</v>
      </c>
      <c r="D5993" s="2">
        <f>HYPERLINK("http://mcb-m6.bioreg.kyushu-u.ac.jp/M3/20110414/F50930/2836/1", 38.19)</f>
        <v>38.19</v>
      </c>
      <c r="E5993" s="2">
        <v>16.420000000000002</v>
      </c>
      <c r="F5993" s="2">
        <v>2</v>
      </c>
      <c r="G5993" s="2" t="s">
        <v>12</v>
      </c>
    </row>
    <row r="5994" spans="1:7" x14ac:dyDescent="0.2">
      <c r="A5994" s="2" t="s">
        <v>3245</v>
      </c>
      <c r="B5994" s="2" t="s">
        <v>25</v>
      </c>
      <c r="C5994" s="2">
        <v>1105.895</v>
      </c>
      <c r="D5994" s="2">
        <f>HYPERLINK("http://mcb-m6.bioreg.kyushu-u.ac.jp/M3/20110414/F50930/2833/1", 38.3)</f>
        <v>38.299999999999997</v>
      </c>
      <c r="E5994" s="2">
        <v>18.38</v>
      </c>
      <c r="F5994" s="2">
        <v>2</v>
      </c>
      <c r="G5994" s="2" t="s">
        <v>12</v>
      </c>
    </row>
    <row r="5995" spans="1:7" x14ac:dyDescent="0.2">
      <c r="A5995" s="2" t="s">
        <v>3245</v>
      </c>
      <c r="B5995" s="2" t="s">
        <v>25</v>
      </c>
      <c r="C5995" s="2">
        <v>737.77350000000001</v>
      </c>
      <c r="D5995" s="2">
        <f>HYPERLINK("http://mcb-m6.bioreg.kyushu-u.ac.jp/M3/20110414/F50933/3569/1", 38.3)</f>
        <v>38.299999999999997</v>
      </c>
      <c r="E5995" s="2">
        <v>15.22</v>
      </c>
      <c r="F5995" s="2">
        <v>3</v>
      </c>
      <c r="G5995" s="2" t="s">
        <v>12</v>
      </c>
    </row>
    <row r="5996" spans="1:7" x14ac:dyDescent="0.2">
      <c r="A5996" s="2" t="s">
        <v>3245</v>
      </c>
      <c r="B5996" s="2" t="s">
        <v>25</v>
      </c>
      <c r="C5996" s="2">
        <v>737.84820000000002</v>
      </c>
      <c r="D5996" s="2">
        <f>HYPERLINK("http://mcb-m6.bioreg.kyushu-u.ac.jp/M3/20110414/F50959/4009/1", 39.72)</f>
        <v>39.72</v>
      </c>
      <c r="E5996" s="2">
        <v>19.940000000000001</v>
      </c>
      <c r="F5996" s="2">
        <v>3</v>
      </c>
      <c r="G5996" s="2" t="s">
        <v>12</v>
      </c>
    </row>
    <row r="5997" spans="1:7" x14ac:dyDescent="0.2">
      <c r="A5997" s="2" t="s">
        <v>3245</v>
      </c>
      <c r="B5997" s="2" t="s">
        <v>25</v>
      </c>
      <c r="C5997" s="2">
        <v>1106.6400000000001</v>
      </c>
      <c r="D5997" s="2">
        <f>HYPERLINK("http://mcb-m6.bioreg.kyushu-u.ac.jp/M3/20110414/F50934/3098/1", 40.18)</f>
        <v>40.18</v>
      </c>
      <c r="E5997" s="2">
        <v>24.42</v>
      </c>
      <c r="F5997" s="2">
        <v>2</v>
      </c>
      <c r="G5997" s="2" t="s">
        <v>12</v>
      </c>
    </row>
    <row r="5998" spans="1:7" x14ac:dyDescent="0.2">
      <c r="A5998" s="2" t="s">
        <v>3245</v>
      </c>
      <c r="B5998" s="2" t="s">
        <v>25</v>
      </c>
      <c r="C5998" s="2">
        <v>737.95719999999994</v>
      </c>
      <c r="D5998" s="2">
        <f>HYPERLINK("http://mcb-m6.bioreg.kyushu-u.ac.jp/M3/20110414/F50932/3041/1", 40.46)</f>
        <v>40.46</v>
      </c>
      <c r="E5998" s="2">
        <v>20.62</v>
      </c>
      <c r="F5998" s="2">
        <v>3</v>
      </c>
      <c r="G5998" s="2" t="s">
        <v>12</v>
      </c>
    </row>
    <row r="5999" spans="1:7" x14ac:dyDescent="0.2">
      <c r="A5999" s="2" t="s">
        <v>3245</v>
      </c>
      <c r="B5999" s="2" t="s">
        <v>25</v>
      </c>
      <c r="C5999" s="2">
        <v>1105.921</v>
      </c>
      <c r="D5999" s="2">
        <f>HYPERLINK("http://mcb-m6.bioreg.kyushu-u.ac.jp/M3/20110414/F50963/3368/1", 40.51)</f>
        <v>40.51</v>
      </c>
      <c r="E5999" s="2">
        <v>12.46</v>
      </c>
      <c r="F5999" s="2">
        <v>2</v>
      </c>
      <c r="G5999" s="2" t="s">
        <v>12</v>
      </c>
    </row>
    <row r="6000" spans="1:7" x14ac:dyDescent="0.2">
      <c r="A6000" s="2" t="s">
        <v>3245</v>
      </c>
      <c r="B6000" s="2" t="s">
        <v>25</v>
      </c>
      <c r="C6000" s="2">
        <v>1106.144</v>
      </c>
      <c r="D6000" s="2">
        <f>HYPERLINK("http://mcb-m6.bioreg.kyushu-u.ac.jp/M3/20110414/F50931/2537/1", 40.82)</f>
        <v>40.82</v>
      </c>
      <c r="E6000" s="2">
        <v>18.18</v>
      </c>
      <c r="F6000" s="2">
        <v>2</v>
      </c>
      <c r="G6000" s="2" t="s">
        <v>12</v>
      </c>
    </row>
    <row r="6001" spans="1:7" x14ac:dyDescent="0.2">
      <c r="A6001" s="2" t="s">
        <v>3245</v>
      </c>
      <c r="B6001" s="2" t="s">
        <v>25</v>
      </c>
      <c r="C6001" s="2">
        <v>1105.875</v>
      </c>
      <c r="D6001" s="2">
        <f>HYPERLINK("http://mcb-m6.bioreg.kyushu-u.ac.jp/M3/20110414/F50933/3565/1", 40.98)</f>
        <v>40.98</v>
      </c>
      <c r="E6001" s="2">
        <v>26.76</v>
      </c>
      <c r="F6001" s="2">
        <v>2</v>
      </c>
      <c r="G6001" s="2" t="s">
        <v>12</v>
      </c>
    </row>
    <row r="6002" spans="1:7" x14ac:dyDescent="0.2">
      <c r="A6002" s="2" t="s">
        <v>3245</v>
      </c>
      <c r="B6002" s="2" t="s">
        <v>25</v>
      </c>
      <c r="C6002" s="2">
        <v>1106.0530000000001</v>
      </c>
      <c r="D6002" s="2">
        <f>HYPERLINK("http://mcb-m6.bioreg.kyushu-u.ac.jp/M3/20110414/F50947/3822/1", 41.07)</f>
        <v>41.07</v>
      </c>
      <c r="E6002" s="2">
        <v>20.77</v>
      </c>
      <c r="F6002" s="2">
        <v>2</v>
      </c>
      <c r="G6002" s="2" t="s">
        <v>12</v>
      </c>
    </row>
    <row r="6003" spans="1:7" x14ac:dyDescent="0.2">
      <c r="A6003" s="2" t="s">
        <v>3245</v>
      </c>
      <c r="B6003" s="2" t="s">
        <v>25</v>
      </c>
      <c r="C6003" s="2">
        <v>1106.42</v>
      </c>
      <c r="D6003" s="2">
        <f>HYPERLINK("http://mcb-m6.bioreg.kyushu-u.ac.jp/M3/20110414/F50958/4027/1", 41.36)</f>
        <v>41.36</v>
      </c>
      <c r="E6003" s="2">
        <v>16.63</v>
      </c>
      <c r="F6003" s="2">
        <v>2</v>
      </c>
      <c r="G6003" s="2" t="s">
        <v>12</v>
      </c>
    </row>
    <row r="6004" spans="1:7" x14ac:dyDescent="0.2">
      <c r="A6004" s="2" t="s">
        <v>3245</v>
      </c>
      <c r="B6004" s="2" t="s">
        <v>25</v>
      </c>
      <c r="C6004" s="2">
        <v>1105.9079999999999</v>
      </c>
      <c r="D6004" s="2">
        <f>HYPERLINK("http://mcb-m6.bioreg.kyushu-u.ac.jp/M3/20110414/F50958/4016/1", 42)</f>
        <v>42</v>
      </c>
      <c r="E6004" s="2">
        <v>19.57</v>
      </c>
      <c r="F6004" s="2">
        <v>2</v>
      </c>
      <c r="G6004" s="2" t="s">
        <v>12</v>
      </c>
    </row>
    <row r="6005" spans="1:7" x14ac:dyDescent="0.2">
      <c r="A6005" s="2" t="s">
        <v>3245</v>
      </c>
      <c r="B6005" s="2" t="s">
        <v>25</v>
      </c>
      <c r="C6005" s="2">
        <v>1106.4829999999999</v>
      </c>
      <c r="D6005" s="2">
        <f>HYPERLINK("http://mcb-m6.bioreg.kyushu-u.ac.jp/M3/20110414/F50959/4017/1", 42)</f>
        <v>42</v>
      </c>
      <c r="E6005" s="2">
        <v>10.82</v>
      </c>
      <c r="F6005" s="2">
        <v>2</v>
      </c>
      <c r="G6005" s="2" t="s">
        <v>12</v>
      </c>
    </row>
    <row r="6006" spans="1:7" x14ac:dyDescent="0.2">
      <c r="A6006" s="2" t="s">
        <v>3245</v>
      </c>
      <c r="B6006" s="2" t="s">
        <v>25</v>
      </c>
      <c r="C6006" s="2">
        <v>1105.9459999999999</v>
      </c>
      <c r="D6006" s="2">
        <f>HYPERLINK("http://mcb-m6.bioreg.kyushu-u.ac.jp/M3/20110414/F50959/4001/1", 42.98)</f>
        <v>42.98</v>
      </c>
      <c r="E6006" s="2">
        <v>28.13</v>
      </c>
      <c r="F6006" s="2">
        <v>2</v>
      </c>
      <c r="G6006" s="2" t="s">
        <v>12</v>
      </c>
    </row>
    <row r="6007" spans="1:7" x14ac:dyDescent="0.2">
      <c r="A6007" s="2" t="s">
        <v>3245</v>
      </c>
      <c r="B6007" s="2" t="s">
        <v>25</v>
      </c>
      <c r="C6007" s="2">
        <v>1105.8599999999999</v>
      </c>
      <c r="D6007" s="2">
        <f>HYPERLINK("http://mcb-m6.bioreg.kyushu-u.ac.jp/M3/20110414/F50966/3024/1", 43.09)</f>
        <v>43.09</v>
      </c>
      <c r="E6007" s="2">
        <v>27.89</v>
      </c>
      <c r="F6007" s="2">
        <v>2</v>
      </c>
      <c r="G6007" s="2" t="s">
        <v>12</v>
      </c>
    </row>
    <row r="6008" spans="1:7" x14ac:dyDescent="0.2">
      <c r="A6008" s="2" t="s">
        <v>3245</v>
      </c>
      <c r="B6008" s="2" t="s">
        <v>25</v>
      </c>
      <c r="C6008" s="2">
        <v>1105.96</v>
      </c>
      <c r="D6008" s="2">
        <f>HYPERLINK("http://mcb-m6.bioreg.kyushu-u.ac.jp/M3/20110414/F50959/4004/1", 43.18)</f>
        <v>43.18</v>
      </c>
      <c r="E6008" s="2">
        <v>27.03</v>
      </c>
      <c r="F6008" s="2">
        <v>2</v>
      </c>
      <c r="G6008" s="2" t="s">
        <v>12</v>
      </c>
    </row>
    <row r="6009" spans="1:7" x14ac:dyDescent="0.2">
      <c r="A6009" s="2" t="s">
        <v>3245</v>
      </c>
      <c r="B6009" s="2" t="s">
        <v>25</v>
      </c>
      <c r="C6009" s="2">
        <v>738.04219999999998</v>
      </c>
      <c r="D6009" s="2">
        <f>HYPERLINK("http://mcb-m6.bioreg.kyushu-u.ac.jp/M3/20110414/F50947/3833/1", 43.46)</f>
        <v>43.46</v>
      </c>
      <c r="E6009" s="2">
        <v>21.78</v>
      </c>
      <c r="F6009" s="2">
        <v>3</v>
      </c>
      <c r="G6009" s="2" t="s">
        <v>12</v>
      </c>
    </row>
    <row r="6010" spans="1:7" x14ac:dyDescent="0.2">
      <c r="A6010" s="2" t="s">
        <v>3245</v>
      </c>
      <c r="B6010" s="2" t="s">
        <v>25</v>
      </c>
      <c r="C6010" s="2">
        <v>1106.335</v>
      </c>
      <c r="D6010" s="2">
        <f>HYPERLINK("http://mcb-m6.bioreg.kyushu-u.ac.jp/M3/20110414/F50958/4026/1", 43.52)</f>
        <v>43.52</v>
      </c>
      <c r="E6010" s="2">
        <v>25.95</v>
      </c>
      <c r="F6010" s="2">
        <v>2</v>
      </c>
      <c r="G6010" s="2" t="s">
        <v>12</v>
      </c>
    </row>
    <row r="6011" spans="1:7" x14ac:dyDescent="0.2">
      <c r="A6011" s="2" t="s">
        <v>3245</v>
      </c>
      <c r="B6011" s="2" t="s">
        <v>25</v>
      </c>
      <c r="C6011" s="2">
        <v>1105.9970000000001</v>
      </c>
      <c r="D6011" s="2">
        <f>HYPERLINK("http://mcb-m6.bioreg.kyushu-u.ac.jp/M3/20110414/F50931/2536/1", 43.97)</f>
        <v>43.97</v>
      </c>
      <c r="E6011" s="2">
        <v>30.83</v>
      </c>
      <c r="F6011" s="2">
        <v>2</v>
      </c>
      <c r="G6011" s="2" t="s">
        <v>12</v>
      </c>
    </row>
    <row r="6012" spans="1:7" x14ac:dyDescent="0.2">
      <c r="A6012" s="2" t="s">
        <v>3245</v>
      </c>
      <c r="B6012" s="2" t="s">
        <v>25</v>
      </c>
      <c r="C6012" s="2">
        <v>1106.396</v>
      </c>
      <c r="D6012" s="2">
        <f>HYPERLINK("http://mcb-m6.bioreg.kyushu-u.ac.jp/M3/20110414/F50959/4011/1", 44.69)</f>
        <v>44.69</v>
      </c>
      <c r="E6012" s="2">
        <v>31.93</v>
      </c>
      <c r="F6012" s="2">
        <v>2</v>
      </c>
      <c r="G6012" s="2" t="s">
        <v>12</v>
      </c>
    </row>
    <row r="6013" spans="1:7" x14ac:dyDescent="0.2">
      <c r="A6013" s="2" t="s">
        <v>3245</v>
      </c>
      <c r="B6013" s="2" t="s">
        <v>25</v>
      </c>
      <c r="C6013" s="2">
        <v>1106.386</v>
      </c>
      <c r="D6013" s="2">
        <f>HYPERLINK("http://mcb-m6.bioreg.kyushu-u.ac.jp/M3/20110414/F50932/3040/1", 45.86)</f>
        <v>45.86</v>
      </c>
      <c r="E6013" s="2">
        <v>23.42</v>
      </c>
      <c r="F6013" s="2">
        <v>2</v>
      </c>
      <c r="G6013" s="2" t="s">
        <v>12</v>
      </c>
    </row>
    <row r="6014" spans="1:7" x14ac:dyDescent="0.2">
      <c r="A6014" s="2" t="s">
        <v>3245</v>
      </c>
      <c r="B6014" s="2" t="s">
        <v>25</v>
      </c>
      <c r="C6014" s="2">
        <v>1106.5350000000001</v>
      </c>
      <c r="D6014" s="2">
        <f>HYPERLINK("http://mcb-m6.bioreg.kyushu-u.ac.jp/M3/20110414/F50931/2540/1", 45.91)</f>
        <v>45.91</v>
      </c>
      <c r="E6014" s="2">
        <v>18.649999999999999</v>
      </c>
      <c r="F6014" s="2">
        <v>2</v>
      </c>
      <c r="G6014" s="2" t="s">
        <v>12</v>
      </c>
    </row>
    <row r="6015" spans="1:7" x14ac:dyDescent="0.2">
      <c r="A6015" s="2" t="s">
        <v>3245</v>
      </c>
      <c r="B6015" s="2" t="s">
        <v>25</v>
      </c>
      <c r="C6015" s="2">
        <v>1106.5119999999999</v>
      </c>
      <c r="D6015" s="2">
        <f>HYPERLINK("http://mcb-m6.bioreg.kyushu-u.ac.jp/M3/20110414/F50947/3829/1", 46.8)</f>
        <v>46.8</v>
      </c>
      <c r="E6015" s="2">
        <v>15.8</v>
      </c>
      <c r="F6015" s="2">
        <v>2</v>
      </c>
      <c r="G6015" s="2" t="s">
        <v>12</v>
      </c>
    </row>
    <row r="6016" spans="1:7" x14ac:dyDescent="0.2">
      <c r="A6016" s="2" t="s">
        <v>3245</v>
      </c>
      <c r="B6016" s="2" t="s">
        <v>25</v>
      </c>
      <c r="C6016" s="2">
        <v>738.0385</v>
      </c>
      <c r="D6016" s="2">
        <f>HYPERLINK("http://mcb-m6.bioreg.kyushu-u.ac.jp/M3/20110414/F50947/3831/1", 47.25)</f>
        <v>47.25</v>
      </c>
      <c r="E6016" s="2">
        <v>29.59</v>
      </c>
      <c r="F6016" s="2">
        <v>3</v>
      </c>
      <c r="G6016" s="2" t="s">
        <v>12</v>
      </c>
    </row>
    <row r="6017" spans="1:7" x14ac:dyDescent="0.2">
      <c r="A6017" s="2" t="s">
        <v>3245</v>
      </c>
      <c r="B6017" s="2" t="s">
        <v>25</v>
      </c>
      <c r="C6017" s="2">
        <v>1106.4839999999999</v>
      </c>
      <c r="D6017" s="2">
        <f>HYPERLINK("http://mcb-m6.bioreg.kyushu-u.ac.jp/M3/20110414/F50946/3470/1", 47.62)</f>
        <v>47.62</v>
      </c>
      <c r="E6017" s="2">
        <v>30.12</v>
      </c>
      <c r="F6017" s="2">
        <v>2</v>
      </c>
      <c r="G6017" s="2" t="s">
        <v>12</v>
      </c>
    </row>
    <row r="6018" spans="1:7" x14ac:dyDescent="0.2">
      <c r="A6018" s="2" t="s">
        <v>3245</v>
      </c>
      <c r="B6018" s="2" t="s">
        <v>25</v>
      </c>
      <c r="C6018" s="2">
        <v>737.9298</v>
      </c>
      <c r="D6018" s="2">
        <f>HYPERLINK("http://mcb-m6.bioreg.kyushu-u.ac.jp/M3/20110414/F50948/3910/1", 47.95)</f>
        <v>47.95</v>
      </c>
      <c r="E6018" s="2">
        <v>24.65</v>
      </c>
      <c r="F6018" s="2">
        <v>3</v>
      </c>
      <c r="G6018" s="2" t="s">
        <v>12</v>
      </c>
    </row>
    <row r="6019" spans="1:7" x14ac:dyDescent="0.2">
      <c r="A6019" s="2" t="s">
        <v>3245</v>
      </c>
      <c r="B6019" s="2" t="s">
        <v>25</v>
      </c>
      <c r="C6019" s="2">
        <v>1106.3409999999999</v>
      </c>
      <c r="D6019" s="2">
        <f>HYPERLINK("http://mcb-m6.bioreg.kyushu-u.ac.jp/M3/20110414/F50959/4010/1", 48.87)</f>
        <v>48.87</v>
      </c>
      <c r="E6019" s="2">
        <v>31.75</v>
      </c>
      <c r="F6019" s="2">
        <v>2</v>
      </c>
      <c r="G6019" s="2" t="s">
        <v>12</v>
      </c>
    </row>
    <row r="6020" spans="1:7" x14ac:dyDescent="0.2">
      <c r="A6020" s="2" t="s">
        <v>3245</v>
      </c>
      <c r="B6020" s="2" t="s">
        <v>25</v>
      </c>
      <c r="C6020" s="2">
        <v>1106.6320000000001</v>
      </c>
      <c r="D6020" s="2">
        <f>HYPERLINK("http://mcb-m6.bioreg.kyushu-u.ac.jp/M3/20110414/F50934/3097/1", 49.21)</f>
        <v>49.21</v>
      </c>
      <c r="E6020" s="2">
        <v>28.01</v>
      </c>
      <c r="F6020" s="2">
        <v>2</v>
      </c>
      <c r="G6020" s="2" t="s">
        <v>12</v>
      </c>
    </row>
    <row r="6021" spans="1:7" x14ac:dyDescent="0.2">
      <c r="A6021" s="2" t="s">
        <v>3245</v>
      </c>
      <c r="B6021" s="2" t="s">
        <v>25</v>
      </c>
      <c r="C6021" s="2">
        <v>1106.479</v>
      </c>
      <c r="D6021" s="2">
        <f>HYPERLINK("http://mcb-m6.bioreg.kyushu-u.ac.jp/M3/20110414/F50946/3469/1", 49.93)</f>
        <v>49.93</v>
      </c>
      <c r="E6021" s="2">
        <v>27.32</v>
      </c>
      <c r="F6021" s="2">
        <v>2</v>
      </c>
      <c r="G6021" s="2" t="s">
        <v>12</v>
      </c>
    </row>
    <row r="6022" spans="1:7" x14ac:dyDescent="0.2">
      <c r="A6022" s="2" t="s">
        <v>3245</v>
      </c>
      <c r="B6022" s="2" t="s">
        <v>25</v>
      </c>
      <c r="C6022" s="2">
        <v>737.86519999999996</v>
      </c>
      <c r="D6022" s="2">
        <f>HYPERLINK("http://mcb-m6.bioreg.kyushu-u.ac.jp/M3/20110414/F50963/3371/1", 50.55)</f>
        <v>50.55</v>
      </c>
      <c r="E6022" s="2">
        <v>25.31</v>
      </c>
      <c r="F6022" s="2">
        <v>3</v>
      </c>
      <c r="G6022" s="2" t="s">
        <v>12</v>
      </c>
    </row>
    <row r="6023" spans="1:7" x14ac:dyDescent="0.2">
      <c r="A6023" s="2" t="s">
        <v>3245</v>
      </c>
      <c r="B6023" s="2" t="s">
        <v>25</v>
      </c>
      <c r="C6023" s="2">
        <v>737.86710000000005</v>
      </c>
      <c r="D6023" s="2">
        <f>HYPERLINK("http://mcb-m6.bioreg.kyushu-u.ac.jp/M3/20110414/F50933/3571/1", 50.97)</f>
        <v>50.97</v>
      </c>
      <c r="E6023" s="2">
        <v>26.37</v>
      </c>
      <c r="F6023" s="2">
        <v>3</v>
      </c>
      <c r="G6023" s="2" t="s">
        <v>12</v>
      </c>
    </row>
    <row r="6024" spans="1:7" x14ac:dyDescent="0.2">
      <c r="A6024" s="2" t="s">
        <v>3245</v>
      </c>
      <c r="B6024" s="2" t="s">
        <v>25</v>
      </c>
      <c r="C6024" s="2">
        <v>1105.953</v>
      </c>
      <c r="D6024" s="2">
        <f>HYPERLINK("http://mcb-m6.bioreg.kyushu-u.ac.jp/M3/20110414/F50930/2834/1", 52.14)</f>
        <v>52.14</v>
      </c>
      <c r="E6024" s="2">
        <v>37.79</v>
      </c>
      <c r="F6024" s="2">
        <v>2</v>
      </c>
      <c r="G6024" s="2" t="s">
        <v>12</v>
      </c>
    </row>
    <row r="6025" spans="1:7" x14ac:dyDescent="0.2">
      <c r="A6025" s="2" t="s">
        <v>3245</v>
      </c>
      <c r="B6025" s="2" t="s">
        <v>25</v>
      </c>
      <c r="C6025" s="2">
        <v>1106.433</v>
      </c>
      <c r="D6025" s="2">
        <f>HYPERLINK("http://mcb-m6.bioreg.kyushu-u.ac.jp/M3/20110414/F50947/3826/1", 52.76)</f>
        <v>52.76</v>
      </c>
      <c r="E6025" s="2">
        <v>27.18</v>
      </c>
      <c r="F6025" s="2">
        <v>2</v>
      </c>
      <c r="G6025" s="2" t="s">
        <v>12</v>
      </c>
    </row>
    <row r="6026" spans="1:7" x14ac:dyDescent="0.2">
      <c r="A6026" s="2" t="s">
        <v>3245</v>
      </c>
      <c r="B6026" s="2" t="s">
        <v>25</v>
      </c>
      <c r="C6026" s="2">
        <v>1106.144</v>
      </c>
      <c r="D6026" s="2">
        <f>HYPERLINK("http://mcb-m6.bioreg.kyushu-u.ac.jp/M3/20110414/F50932/3039/1", 53.13)</f>
        <v>53.13</v>
      </c>
      <c r="E6026" s="2">
        <v>37.950000000000003</v>
      </c>
      <c r="F6026" s="2">
        <v>2</v>
      </c>
      <c r="G6026" s="2" t="s">
        <v>12</v>
      </c>
    </row>
    <row r="6027" spans="1:7" x14ac:dyDescent="0.2">
      <c r="A6027" s="2" t="s">
        <v>3245</v>
      </c>
      <c r="B6027" s="2" t="s">
        <v>25</v>
      </c>
      <c r="C6027" s="2">
        <v>1105.6099999999999</v>
      </c>
      <c r="D6027" s="2">
        <f>HYPERLINK("http://mcb-m6.bioreg.kyushu-u.ac.jp/M3/20110414/F50948/3896/1", 53.27)</f>
        <v>53.27</v>
      </c>
      <c r="E6027" s="2">
        <v>32.25</v>
      </c>
      <c r="F6027" s="2">
        <v>2</v>
      </c>
      <c r="G6027" s="2" t="s">
        <v>12</v>
      </c>
    </row>
    <row r="6028" spans="1:7" x14ac:dyDescent="0.2">
      <c r="A6028" s="2" t="s">
        <v>3245</v>
      </c>
      <c r="B6028" s="2" t="s">
        <v>25</v>
      </c>
      <c r="C6028" s="2">
        <v>737.80619999999999</v>
      </c>
      <c r="D6028" s="2">
        <f>HYPERLINK("http://mcb-m6.bioreg.kyushu-u.ac.jp/M3/20110414/F50950/3816/1", 54.64)</f>
        <v>54.64</v>
      </c>
      <c r="E6028" s="2">
        <v>24.88</v>
      </c>
      <c r="F6028" s="2">
        <v>3</v>
      </c>
      <c r="G6028" s="2" t="s">
        <v>12</v>
      </c>
    </row>
    <row r="6029" spans="1:7" x14ac:dyDescent="0.2">
      <c r="A6029" s="2" t="s">
        <v>3245</v>
      </c>
      <c r="B6029" s="2" t="s">
        <v>25</v>
      </c>
      <c r="C6029" s="2">
        <v>1106.453</v>
      </c>
      <c r="D6029" s="2">
        <f>HYPERLINK("http://mcb-m6.bioreg.kyushu-u.ac.jp/M3/20110414/F50959/4013/1", 55.09)</f>
        <v>55.09</v>
      </c>
      <c r="E6029" s="2">
        <v>17.309999999999999</v>
      </c>
      <c r="F6029" s="2">
        <v>2</v>
      </c>
      <c r="G6029" s="2" t="s">
        <v>12</v>
      </c>
    </row>
    <row r="6030" spans="1:7" x14ac:dyDescent="0.2">
      <c r="A6030" s="2" t="s">
        <v>3245</v>
      </c>
      <c r="B6030" s="2" t="s">
        <v>25</v>
      </c>
      <c r="C6030" s="2">
        <v>1106.1010000000001</v>
      </c>
      <c r="D6030" s="2">
        <f>HYPERLINK("http://mcb-m6.bioreg.kyushu-u.ac.jp/M3/20110414/F50966/3026/1", 56.27)</f>
        <v>56.27</v>
      </c>
      <c r="E6030" s="2">
        <v>32.25</v>
      </c>
      <c r="F6030" s="2">
        <v>2</v>
      </c>
      <c r="G6030" s="2" t="s">
        <v>12</v>
      </c>
    </row>
    <row r="6031" spans="1:7" x14ac:dyDescent="0.2">
      <c r="A6031" s="2" t="s">
        <v>3245</v>
      </c>
      <c r="B6031" s="2" t="s">
        <v>25</v>
      </c>
      <c r="C6031" s="2">
        <v>1106.01</v>
      </c>
      <c r="D6031" s="2">
        <f>HYPERLINK("http://mcb-m6.bioreg.kyushu-u.ac.jp/M3/20110414/F50947/3818/1", 56.54)</f>
        <v>56.54</v>
      </c>
      <c r="E6031" s="2">
        <v>30.57</v>
      </c>
      <c r="F6031" s="2">
        <v>2</v>
      </c>
      <c r="G6031" s="2" t="s">
        <v>12</v>
      </c>
    </row>
    <row r="6032" spans="1:7" x14ac:dyDescent="0.2">
      <c r="A6032" s="2" t="s">
        <v>3245</v>
      </c>
      <c r="B6032" s="2" t="s">
        <v>25</v>
      </c>
      <c r="C6032" s="2">
        <v>1106.431</v>
      </c>
      <c r="D6032" s="2">
        <f>HYPERLINK("http://mcb-m6.bioreg.kyushu-u.ac.jp/M3/20110414/F50966/3029/1", 57.37)</f>
        <v>57.37</v>
      </c>
      <c r="E6032" s="2">
        <v>34.14</v>
      </c>
      <c r="F6032" s="2">
        <v>2</v>
      </c>
      <c r="G6032" s="2" t="s">
        <v>12</v>
      </c>
    </row>
    <row r="6033" spans="1:7" x14ac:dyDescent="0.2">
      <c r="A6033" s="2" t="s">
        <v>3245</v>
      </c>
      <c r="B6033" s="2" t="s">
        <v>25</v>
      </c>
      <c r="C6033" s="2">
        <v>1106.2840000000001</v>
      </c>
      <c r="D6033" s="2">
        <f>HYPERLINK("http://mcb-m6.bioreg.kyushu-u.ac.jp/M3/20110414/F50966/3028/1", 57.39)</f>
        <v>57.39</v>
      </c>
      <c r="E6033" s="2">
        <v>33.479999999999997</v>
      </c>
      <c r="F6033" s="2">
        <v>2</v>
      </c>
      <c r="G6033" s="2" t="s">
        <v>12</v>
      </c>
    </row>
    <row r="6034" spans="1:7" x14ac:dyDescent="0.2">
      <c r="A6034" s="2" t="s">
        <v>3245</v>
      </c>
      <c r="B6034" s="2" t="s">
        <v>25</v>
      </c>
      <c r="C6034" s="2">
        <v>1106.288</v>
      </c>
      <c r="D6034" s="2">
        <f>HYPERLINK("http://mcb-m6.bioreg.kyushu-u.ac.jp/M3/20110414/F50933/3570/1", 58.15)</f>
        <v>58.15</v>
      </c>
      <c r="E6034" s="2">
        <v>28.89</v>
      </c>
      <c r="F6034" s="2">
        <v>2</v>
      </c>
      <c r="G6034" s="2" t="s">
        <v>12</v>
      </c>
    </row>
    <row r="6035" spans="1:7" x14ac:dyDescent="0.2">
      <c r="A6035" s="2" t="s">
        <v>3245</v>
      </c>
      <c r="B6035" s="2" t="s">
        <v>25</v>
      </c>
      <c r="C6035" s="2">
        <v>1106.2829999999999</v>
      </c>
      <c r="D6035" s="2">
        <f>HYPERLINK("http://mcb-m6.bioreg.kyushu-u.ac.jp/M3/20110414/F50958/4025/1", 60.31)</f>
        <v>60.31</v>
      </c>
      <c r="E6035" s="2">
        <v>29.24</v>
      </c>
      <c r="F6035" s="2">
        <v>2</v>
      </c>
      <c r="G6035" s="2" t="s">
        <v>12</v>
      </c>
    </row>
    <row r="6036" spans="1:7" x14ac:dyDescent="0.2">
      <c r="A6036" s="2" t="s">
        <v>3245</v>
      </c>
      <c r="B6036" s="2" t="s">
        <v>25</v>
      </c>
      <c r="C6036" s="2">
        <v>737.47450000000003</v>
      </c>
      <c r="D6036" s="2">
        <f>HYPERLINK("http://mcb-m6.bioreg.kyushu-u.ac.jp/M3/20110414/F50950/3808/1", 60.67)</f>
        <v>60.67</v>
      </c>
      <c r="E6036" s="2">
        <v>38.119999999999997</v>
      </c>
      <c r="F6036" s="2">
        <v>3</v>
      </c>
      <c r="G6036" s="2" t="s">
        <v>12</v>
      </c>
    </row>
    <row r="6037" spans="1:7" x14ac:dyDescent="0.2">
      <c r="A6037" s="2" t="s">
        <v>3245</v>
      </c>
      <c r="B6037" s="2" t="s">
        <v>25</v>
      </c>
      <c r="C6037" s="2">
        <v>1106.3820000000001</v>
      </c>
      <c r="D6037" s="2">
        <f>HYPERLINK("http://mcb-m6.bioreg.kyushu-u.ac.jp/M3/20110414/F50933/3573/1", 61.68)</f>
        <v>61.68</v>
      </c>
      <c r="E6037" s="2">
        <v>32.1</v>
      </c>
      <c r="F6037" s="2">
        <v>2</v>
      </c>
      <c r="G6037" s="2" t="s">
        <v>12</v>
      </c>
    </row>
    <row r="6038" spans="1:7" x14ac:dyDescent="0.2">
      <c r="A6038" s="2" t="s">
        <v>3245</v>
      </c>
      <c r="B6038" s="2" t="s">
        <v>25</v>
      </c>
      <c r="C6038" s="2">
        <v>737.99289999999996</v>
      </c>
      <c r="D6038" s="2">
        <f>HYPERLINK("http://mcb-m6.bioreg.kyushu-u.ac.jp/M3/20110414/F50946/3471/1", 62.91)</f>
        <v>62.91</v>
      </c>
      <c r="E6038" s="2">
        <v>40.11</v>
      </c>
      <c r="F6038" s="2">
        <v>3</v>
      </c>
      <c r="G6038" s="2" t="s">
        <v>12</v>
      </c>
    </row>
    <row r="6039" spans="1:7" x14ac:dyDescent="0.2">
      <c r="A6039" s="2" t="s">
        <v>3245</v>
      </c>
      <c r="B6039" s="2" t="s">
        <v>25</v>
      </c>
      <c r="C6039" s="2">
        <v>1106.4549999999999</v>
      </c>
      <c r="D6039" s="2">
        <f>HYPERLINK("http://mcb-m6.bioreg.kyushu-u.ac.jp/M3/20110414/F50932/3042/1", 63.62)</f>
        <v>63.62</v>
      </c>
      <c r="E6039" s="2">
        <v>23.92</v>
      </c>
      <c r="F6039" s="2">
        <v>2</v>
      </c>
      <c r="G6039" s="2" t="s">
        <v>12</v>
      </c>
    </row>
    <row r="6040" spans="1:7" x14ac:dyDescent="0.2">
      <c r="A6040" s="2" t="s">
        <v>3245</v>
      </c>
      <c r="B6040" s="2" t="s">
        <v>25</v>
      </c>
      <c r="C6040" s="2">
        <v>1106.4960000000001</v>
      </c>
      <c r="D6040" s="2">
        <f>HYPERLINK("http://mcb-m6.bioreg.kyushu-u.ac.jp/M3/20110414/F50933/3574/1", 67.72)</f>
        <v>67.72</v>
      </c>
      <c r="E6040" s="2">
        <v>32.450000000000003</v>
      </c>
      <c r="F6040" s="2">
        <v>2</v>
      </c>
      <c r="G6040" s="2" t="s">
        <v>12</v>
      </c>
    </row>
    <row r="6041" spans="1:7" x14ac:dyDescent="0.2">
      <c r="A6041" s="2" t="s">
        <v>3245</v>
      </c>
      <c r="B6041" s="2" t="s">
        <v>25</v>
      </c>
      <c r="C6041" s="2">
        <v>1105.502</v>
      </c>
      <c r="D6041" s="2">
        <f>HYPERLINK("http://mcb-m6.bioreg.kyushu-u.ac.jp/M3/20110414/F50933/3563/1", 67.85)</f>
        <v>67.849999999999994</v>
      </c>
      <c r="E6041" s="2">
        <v>48.91</v>
      </c>
      <c r="F6041" s="2">
        <v>2</v>
      </c>
      <c r="G6041" s="2" t="s">
        <v>12</v>
      </c>
    </row>
    <row r="6042" spans="1:7" x14ac:dyDescent="0.2">
      <c r="A6042" s="2" t="s">
        <v>3245</v>
      </c>
      <c r="B6042" s="2" t="s">
        <v>25</v>
      </c>
      <c r="C6042" s="2">
        <v>1105.7829999999999</v>
      </c>
      <c r="D6042" s="2">
        <f>HYPERLINK("http://mcb-m6.bioreg.kyushu-u.ac.jp/M3/20110414/F50963/3366/1", 67.88)</f>
        <v>67.88</v>
      </c>
      <c r="E6042" s="2">
        <v>50.35</v>
      </c>
      <c r="F6042" s="2">
        <v>2</v>
      </c>
      <c r="G6042" s="2" t="s">
        <v>12</v>
      </c>
    </row>
    <row r="6043" spans="1:7" x14ac:dyDescent="0.2">
      <c r="A6043" s="2" t="s">
        <v>3245</v>
      </c>
      <c r="B6043" s="2" t="s">
        <v>25</v>
      </c>
      <c r="C6043" s="2">
        <v>1106.2049999999999</v>
      </c>
      <c r="D6043" s="2">
        <f>HYPERLINK("http://mcb-m6.bioreg.kyushu-u.ac.jp/M3/20110414/F50948/3909/1", 68.72)</f>
        <v>68.72</v>
      </c>
      <c r="E6043" s="2">
        <v>22.88</v>
      </c>
      <c r="F6043" s="2">
        <v>2</v>
      </c>
      <c r="G6043" s="2" t="s">
        <v>12</v>
      </c>
    </row>
    <row r="6044" spans="1:7" x14ac:dyDescent="0.2">
      <c r="A6044" s="2" t="s">
        <v>3245</v>
      </c>
      <c r="B6044" s="2" t="s">
        <v>25</v>
      </c>
      <c r="C6044" s="2">
        <v>1105.845</v>
      </c>
      <c r="D6044" s="2">
        <f>HYPERLINK("http://mcb-m6.bioreg.kyushu-u.ac.jp/M3/20110414/F50933/3564/1", 69.48)</f>
        <v>69.48</v>
      </c>
      <c r="E6044" s="2">
        <v>52.22</v>
      </c>
      <c r="F6044" s="2">
        <v>2</v>
      </c>
      <c r="G6044" s="2" t="s">
        <v>12</v>
      </c>
    </row>
    <row r="6045" spans="1:7" x14ac:dyDescent="0.2">
      <c r="A6045" s="2" t="s">
        <v>3245</v>
      </c>
      <c r="B6045" s="2" t="s">
        <v>25</v>
      </c>
      <c r="C6045" s="2">
        <v>737.58389999999997</v>
      </c>
      <c r="D6045" s="2">
        <f>HYPERLINK("http://mcb-m6.bioreg.kyushu-u.ac.jp/M3/20110414/F50950/3810/1", 69.88)</f>
        <v>69.88</v>
      </c>
      <c r="E6045" s="2">
        <v>47.46</v>
      </c>
      <c r="F6045" s="2">
        <v>3</v>
      </c>
      <c r="G6045" s="2" t="s">
        <v>12</v>
      </c>
    </row>
    <row r="6046" spans="1:7" x14ac:dyDescent="0.2">
      <c r="A6046" s="2" t="s">
        <v>3245</v>
      </c>
      <c r="B6046" s="2" t="s">
        <v>25</v>
      </c>
      <c r="C6046" s="2">
        <v>1105.518</v>
      </c>
      <c r="D6046" s="2">
        <f>HYPERLINK("http://mcb-m6.bioreg.kyushu-u.ac.jp/M3/20110414/F50947/3813/1", 69.99)</f>
        <v>69.989999999999995</v>
      </c>
      <c r="E6046" s="2">
        <v>54.71</v>
      </c>
      <c r="F6046" s="2">
        <v>2</v>
      </c>
      <c r="G6046" s="2" t="s">
        <v>12</v>
      </c>
    </row>
    <row r="6047" spans="1:7" x14ac:dyDescent="0.2">
      <c r="A6047" s="2" t="s">
        <v>3245</v>
      </c>
      <c r="B6047" s="2" t="s">
        <v>25</v>
      </c>
      <c r="C6047" s="2">
        <v>1106.058</v>
      </c>
      <c r="D6047" s="2">
        <f>HYPERLINK("http://mcb-m6.bioreg.kyushu-u.ac.jp/M3/20110414/F50950/3814/1", 71.79)</f>
        <v>71.790000000000006</v>
      </c>
      <c r="E6047" s="2">
        <v>28.06</v>
      </c>
      <c r="F6047" s="2">
        <v>2</v>
      </c>
      <c r="G6047" s="2" t="s">
        <v>12</v>
      </c>
    </row>
    <row r="6048" spans="1:7" x14ac:dyDescent="0.2">
      <c r="A6048" s="2" t="s">
        <v>3245</v>
      </c>
      <c r="B6048" s="2" t="s">
        <v>25</v>
      </c>
      <c r="C6048" s="2">
        <v>1105.538</v>
      </c>
      <c r="D6048" s="2">
        <f>HYPERLINK("http://mcb-m6.bioreg.kyushu-u.ac.jp/M3/20110414/F50950/3806/1", 71.95)</f>
        <v>71.95</v>
      </c>
      <c r="E6048" s="2">
        <v>48.23</v>
      </c>
      <c r="F6048" s="2">
        <v>2</v>
      </c>
      <c r="G6048" s="2" t="s">
        <v>12</v>
      </c>
    </row>
    <row r="6049" spans="1:7" x14ac:dyDescent="0.2">
      <c r="A6049" s="2" t="s">
        <v>3245</v>
      </c>
      <c r="B6049" s="2" t="s">
        <v>25</v>
      </c>
      <c r="C6049" s="2">
        <v>1106.4690000000001</v>
      </c>
      <c r="D6049" s="2">
        <f>HYPERLINK("http://mcb-m6.bioreg.kyushu-u.ac.jp/M3/20110414/F50932/3043/1", 71.96)</f>
        <v>71.959999999999994</v>
      </c>
      <c r="E6049" s="2">
        <v>33.42</v>
      </c>
      <c r="F6049" s="2">
        <v>2</v>
      </c>
      <c r="G6049" s="2" t="s">
        <v>12</v>
      </c>
    </row>
    <row r="6050" spans="1:7" x14ac:dyDescent="0.2">
      <c r="A6050" s="2" t="s">
        <v>3245</v>
      </c>
      <c r="B6050" s="2" t="s">
        <v>25</v>
      </c>
      <c r="C6050" s="2">
        <v>1105.8789999999999</v>
      </c>
      <c r="D6050" s="2">
        <f>HYPERLINK("http://mcb-m6.bioreg.kyushu-u.ac.jp/M3/20110414/F50966/3025/1", 74.35)</f>
        <v>74.349999999999994</v>
      </c>
      <c r="E6050" s="2">
        <v>56.49</v>
      </c>
      <c r="F6050" s="2">
        <v>2</v>
      </c>
      <c r="G6050" s="2" t="s">
        <v>12</v>
      </c>
    </row>
    <row r="6051" spans="1:7" x14ac:dyDescent="0.2">
      <c r="A6051" s="2" t="s">
        <v>3245</v>
      </c>
      <c r="B6051" s="2" t="s">
        <v>25</v>
      </c>
      <c r="C6051" s="2">
        <v>1106.336</v>
      </c>
      <c r="D6051" s="2">
        <f>HYPERLINK("http://mcb-m6.bioreg.kyushu-u.ac.jp/M3/20110414/F50930/2835/1", 75.36)</f>
        <v>75.36</v>
      </c>
      <c r="E6051" s="2">
        <v>38.06</v>
      </c>
      <c r="F6051" s="2">
        <v>2</v>
      </c>
      <c r="G6051" s="2" t="s">
        <v>12</v>
      </c>
    </row>
    <row r="6052" spans="1:7" x14ac:dyDescent="0.2">
      <c r="A6052" s="2" t="s">
        <v>3245</v>
      </c>
      <c r="B6052" s="2" t="s">
        <v>25</v>
      </c>
      <c r="C6052" s="2">
        <v>1105.9059999999999</v>
      </c>
      <c r="D6052" s="2">
        <f>HYPERLINK("http://mcb-m6.bioreg.kyushu-u.ac.jp/M3/20110414/F50932/3035/1", 75.85)</f>
        <v>75.849999999999994</v>
      </c>
      <c r="E6052" s="2">
        <v>51.26</v>
      </c>
      <c r="F6052" s="2">
        <v>2</v>
      </c>
      <c r="G6052" s="2" t="s">
        <v>12</v>
      </c>
    </row>
    <row r="6053" spans="1:7" x14ac:dyDescent="0.2">
      <c r="A6053" s="2" t="s">
        <v>3245</v>
      </c>
      <c r="B6053" s="2" t="s">
        <v>25</v>
      </c>
      <c r="C6053" s="2">
        <v>737.96220000000005</v>
      </c>
      <c r="D6053" s="2">
        <f>HYPERLINK("http://mcb-m6.bioreg.kyushu-u.ac.jp/M3/20110414/F50959/4012/1", 76.83)</f>
        <v>76.83</v>
      </c>
      <c r="E6053" s="2">
        <v>42.94</v>
      </c>
      <c r="F6053" s="2">
        <v>3</v>
      </c>
      <c r="G6053" s="2" t="s">
        <v>12</v>
      </c>
    </row>
    <row r="6054" spans="1:7" x14ac:dyDescent="0.2">
      <c r="A6054" s="2" t="s">
        <v>3245</v>
      </c>
      <c r="B6054" s="2" t="s">
        <v>25</v>
      </c>
      <c r="C6054" s="2">
        <v>1105.9760000000001</v>
      </c>
      <c r="D6054" s="2">
        <f>HYPERLINK("http://mcb-m6.bioreg.kyushu-u.ac.jp/M3/20110414/F50931/2535/1", 77.53)</f>
        <v>77.53</v>
      </c>
      <c r="E6054" s="2">
        <v>47.17</v>
      </c>
      <c r="F6054" s="2">
        <v>2</v>
      </c>
      <c r="G6054" s="2" t="s">
        <v>12</v>
      </c>
    </row>
    <row r="6055" spans="1:7" x14ac:dyDescent="0.2">
      <c r="A6055" s="2" t="s">
        <v>3245</v>
      </c>
      <c r="B6055" s="2" t="s">
        <v>25</v>
      </c>
      <c r="C6055" s="2">
        <v>1105.9490000000001</v>
      </c>
      <c r="D6055" s="2">
        <f>HYPERLINK("http://mcb-m6.bioreg.kyushu-u.ac.jp/M3/20110414/F50959/4002/1", 77.6)</f>
        <v>77.599999999999994</v>
      </c>
      <c r="E6055" s="2">
        <v>52</v>
      </c>
      <c r="F6055" s="2">
        <v>2</v>
      </c>
      <c r="G6055" s="2" t="s">
        <v>12</v>
      </c>
    </row>
    <row r="6056" spans="1:7" x14ac:dyDescent="0.2">
      <c r="A6056" s="2" t="s">
        <v>3245</v>
      </c>
      <c r="B6056" s="2" t="s">
        <v>25</v>
      </c>
      <c r="C6056" s="2">
        <v>1105.9549999999999</v>
      </c>
      <c r="D6056" s="2">
        <f>HYPERLINK("http://mcb-m6.bioreg.kyushu-u.ac.jp/M3/20110414/F50948/3901/1", 80.21)</f>
        <v>80.209999999999994</v>
      </c>
      <c r="E6056" s="2">
        <v>37.549999999999997</v>
      </c>
      <c r="F6056" s="2">
        <v>2</v>
      </c>
      <c r="G6056" s="2" t="s">
        <v>12</v>
      </c>
    </row>
    <row r="6057" spans="1:7" x14ac:dyDescent="0.2">
      <c r="A6057" s="2" t="s">
        <v>3245</v>
      </c>
      <c r="B6057" s="2" t="s">
        <v>25</v>
      </c>
      <c r="C6057" s="2">
        <v>1105.991</v>
      </c>
      <c r="D6057" s="2">
        <f>HYPERLINK("http://mcb-m6.bioreg.kyushu-u.ac.jp/M3/20110414/F50946/3465/1", 80.5)</f>
        <v>80.5</v>
      </c>
      <c r="E6057" s="2">
        <v>48.33</v>
      </c>
      <c r="F6057" s="2">
        <v>2</v>
      </c>
      <c r="G6057" s="2" t="s">
        <v>12</v>
      </c>
    </row>
    <row r="6058" spans="1:7" x14ac:dyDescent="0.2">
      <c r="A6058" s="2" t="s">
        <v>3245</v>
      </c>
      <c r="B6058" s="2" t="s">
        <v>25</v>
      </c>
      <c r="C6058" s="2">
        <v>1106.116</v>
      </c>
      <c r="D6058" s="2">
        <f>HYPERLINK("http://mcb-m6.bioreg.kyushu-u.ac.jp/M3/20110414/F50948/3905/1", 83.78)</f>
        <v>83.78</v>
      </c>
      <c r="E6058" s="2">
        <v>41.66</v>
      </c>
      <c r="F6058" s="2">
        <v>2</v>
      </c>
      <c r="G6058" s="2" t="s">
        <v>12</v>
      </c>
    </row>
    <row r="6059" spans="1:7" x14ac:dyDescent="0.2">
      <c r="A6059" s="2" t="s">
        <v>3245</v>
      </c>
      <c r="B6059" s="2" t="s">
        <v>25</v>
      </c>
      <c r="C6059" s="2">
        <v>1106.0029999999999</v>
      </c>
      <c r="D6059" s="2">
        <f>HYPERLINK("http://mcb-m6.bioreg.kyushu-u.ac.jp/M3/20110414/F50932/3037/1", 84.97)</f>
        <v>84.97</v>
      </c>
      <c r="E6059" s="2">
        <v>47.07</v>
      </c>
      <c r="F6059" s="2">
        <v>2</v>
      </c>
      <c r="G6059" s="2" t="s">
        <v>12</v>
      </c>
    </row>
    <row r="6060" spans="1:7" x14ac:dyDescent="0.2">
      <c r="A6060" s="2" t="s">
        <v>3245</v>
      </c>
      <c r="B6060" s="2" t="s">
        <v>25</v>
      </c>
      <c r="C6060" s="2">
        <v>1106.059</v>
      </c>
      <c r="D6060" s="2">
        <f>HYPERLINK("http://mcb-m6.bioreg.kyushu-u.ac.jp/M3/20110414/F50934/3091/1", 85.13)</f>
        <v>85.13</v>
      </c>
      <c r="E6060" s="2">
        <v>45.95</v>
      </c>
      <c r="F6060" s="2">
        <v>2</v>
      </c>
      <c r="G6060" s="2" t="s">
        <v>12</v>
      </c>
    </row>
    <row r="6061" spans="1:7" x14ac:dyDescent="0.2">
      <c r="A6061" s="2" t="s">
        <v>3245</v>
      </c>
      <c r="B6061" s="2" t="s">
        <v>25</v>
      </c>
      <c r="C6061" s="2">
        <v>737.90909999999997</v>
      </c>
      <c r="D6061" s="2">
        <f>HYPERLINK("http://mcb-m6.bioreg.kyushu-u.ac.jp/M3/20110414/F50949/2711/1", 86.39)</f>
        <v>86.39</v>
      </c>
      <c r="E6061" s="2">
        <v>49.53</v>
      </c>
      <c r="F6061" s="2">
        <v>3</v>
      </c>
      <c r="G6061" s="2" t="s">
        <v>12</v>
      </c>
    </row>
    <row r="6062" spans="1:7" x14ac:dyDescent="0.2">
      <c r="A6062" s="2" t="s">
        <v>3245</v>
      </c>
      <c r="B6062" s="2" t="s">
        <v>25</v>
      </c>
      <c r="C6062" s="2">
        <v>1105.6210000000001</v>
      </c>
      <c r="D6062" s="2">
        <f>HYPERLINK("http://mcb-m6.bioreg.kyushu-u.ac.jp/M3/20110414/F50948/3897/1", 86.54)</f>
        <v>86.54</v>
      </c>
      <c r="E6062" s="2">
        <v>64.67</v>
      </c>
      <c r="F6062" s="2">
        <v>2</v>
      </c>
      <c r="G6062" s="2" t="s">
        <v>12</v>
      </c>
    </row>
    <row r="6063" spans="1:7" x14ac:dyDescent="0.2">
      <c r="A6063" s="2" t="s">
        <v>3245</v>
      </c>
      <c r="B6063" s="2" t="s">
        <v>25</v>
      </c>
      <c r="C6063" s="2">
        <v>1106.201</v>
      </c>
      <c r="D6063" s="2">
        <f>HYPERLINK("http://mcb-m6.bioreg.kyushu-u.ac.jp/M3/20110414/F50950/3815/1", 89.97)</f>
        <v>89.97</v>
      </c>
      <c r="E6063" s="2">
        <v>40.81</v>
      </c>
      <c r="F6063" s="2">
        <v>2</v>
      </c>
      <c r="G6063" s="2" t="s">
        <v>12</v>
      </c>
    </row>
    <row r="6064" spans="1:7" x14ac:dyDescent="0.2">
      <c r="A6064" s="2" t="s">
        <v>3245</v>
      </c>
      <c r="B6064" s="2" t="s">
        <v>25</v>
      </c>
      <c r="C6064" s="2">
        <v>1105.8119999999999</v>
      </c>
      <c r="D6064" s="2">
        <f>HYPERLINK("http://mcb-m6.bioreg.kyushu-u.ac.jp/M3/20110414/F50948/3899/1", 91.55)</f>
        <v>91.55</v>
      </c>
      <c r="E6064" s="2">
        <v>55.47</v>
      </c>
      <c r="F6064" s="2">
        <v>2</v>
      </c>
      <c r="G6064" s="2" t="s">
        <v>12</v>
      </c>
    </row>
    <row r="6065" spans="1:7" x14ac:dyDescent="0.2">
      <c r="A6065" s="2" t="s">
        <v>3245</v>
      </c>
      <c r="B6065" s="2" t="s">
        <v>25</v>
      </c>
      <c r="C6065" s="2">
        <v>1106.146</v>
      </c>
      <c r="D6065" s="2">
        <f>HYPERLINK("http://mcb-m6.bioreg.kyushu-u.ac.jp/M3/20110414/F50948/3906/1", 94.55)</f>
        <v>94.55</v>
      </c>
      <c r="E6065" s="2">
        <v>38.67</v>
      </c>
      <c r="F6065" s="2">
        <v>2</v>
      </c>
      <c r="G6065" s="2" t="s">
        <v>12</v>
      </c>
    </row>
    <row r="6066" spans="1:7" x14ac:dyDescent="0.2">
      <c r="A6066" s="2" t="s">
        <v>3245</v>
      </c>
      <c r="B6066" s="2" t="s">
        <v>25</v>
      </c>
      <c r="C6066" s="2">
        <v>1105.588</v>
      </c>
      <c r="D6066" s="2">
        <f>HYPERLINK("http://mcb-m6.bioreg.kyushu-u.ac.jp/M3/20110414/F50948/3895/1", 102.19)</f>
        <v>102.19</v>
      </c>
      <c r="E6066" s="2">
        <v>66.430000000000007</v>
      </c>
      <c r="F6066" s="2">
        <v>2</v>
      </c>
      <c r="G6066" s="2" t="s">
        <v>12</v>
      </c>
    </row>
    <row r="6067" spans="1:7" x14ac:dyDescent="0.2">
      <c r="A6067" s="2" t="s">
        <v>3245</v>
      </c>
      <c r="B6067" s="2" t="s">
        <v>25</v>
      </c>
      <c r="C6067" s="2">
        <v>1106.04</v>
      </c>
      <c r="D6067" s="2">
        <f>HYPERLINK("http://mcb-m6.bioreg.kyushu-u.ac.jp/M3/20110414/F50950/3812/1", 106.25)</f>
        <v>106.25</v>
      </c>
      <c r="E6067" s="2">
        <v>50.18</v>
      </c>
      <c r="F6067" s="2">
        <v>2</v>
      </c>
      <c r="G6067" s="2" t="s">
        <v>12</v>
      </c>
    </row>
    <row r="6068" spans="1:7" x14ac:dyDescent="0.2">
      <c r="A6068" s="2" t="s">
        <v>3245</v>
      </c>
      <c r="B6068" s="2" t="s">
        <v>25</v>
      </c>
      <c r="C6068" s="2">
        <v>1106.0550000000001</v>
      </c>
      <c r="D6068" s="2">
        <f>HYPERLINK("http://mcb-m6.bioreg.kyushu-u.ac.jp/M3/20110414/F50950/3813/1", 106.26)</f>
        <v>106.26</v>
      </c>
      <c r="E6068" s="2">
        <v>55.97</v>
      </c>
      <c r="F6068" s="2">
        <v>2</v>
      </c>
      <c r="G6068" s="2" t="s">
        <v>12</v>
      </c>
    </row>
    <row r="6069" spans="1:7" x14ac:dyDescent="0.2">
      <c r="A6069" s="2" t="s">
        <v>3245</v>
      </c>
      <c r="B6069" s="2" t="s">
        <v>25</v>
      </c>
      <c r="C6069" s="2">
        <v>1105.741</v>
      </c>
      <c r="D6069" s="2">
        <f>HYPERLINK("http://mcb-m6.bioreg.kyushu-u.ac.jp/M3/20110414/F50948/3898/1", 107.25)</f>
        <v>107.25</v>
      </c>
      <c r="E6069" s="2">
        <v>77.98</v>
      </c>
      <c r="F6069" s="2">
        <v>2</v>
      </c>
      <c r="G6069" s="2" t="s">
        <v>12</v>
      </c>
    </row>
    <row r="6070" spans="1:7" x14ac:dyDescent="0.2">
      <c r="A6070" s="2" t="s">
        <v>3245</v>
      </c>
      <c r="B6070" s="2" t="s">
        <v>25</v>
      </c>
      <c r="C6070" s="2">
        <v>1106.6379999999999</v>
      </c>
      <c r="D6070" s="2">
        <f>HYPERLINK("http://mcb-m6.bioreg.kyushu-u.ac.jp/M3/20110414/F50948/3912/1", 107.71)</f>
        <v>107.71</v>
      </c>
      <c r="E6070" s="2">
        <v>52</v>
      </c>
      <c r="F6070" s="2">
        <v>2</v>
      </c>
      <c r="G6070" s="2" t="s">
        <v>12</v>
      </c>
    </row>
    <row r="6071" spans="1:7" x14ac:dyDescent="0.2">
      <c r="A6071" s="2" t="s">
        <v>3245</v>
      </c>
      <c r="B6071" s="2" t="s">
        <v>25</v>
      </c>
      <c r="C6071" s="2">
        <v>1105.5239999999999</v>
      </c>
      <c r="D6071" s="2">
        <f>HYPERLINK("http://mcb-m6.bioreg.kyushu-u.ac.jp/M3/20110414/F50950/3805/1", 110.11)</f>
        <v>110.11</v>
      </c>
      <c r="E6071" s="2">
        <v>73.5</v>
      </c>
      <c r="F6071" s="2">
        <v>2</v>
      </c>
      <c r="G6071" s="2" t="s">
        <v>12</v>
      </c>
    </row>
    <row r="6072" spans="1:7" x14ac:dyDescent="0.2">
      <c r="A6072" s="2" t="s">
        <v>3245</v>
      </c>
      <c r="B6072" s="2" t="s">
        <v>25</v>
      </c>
      <c r="C6072" s="2">
        <v>1105.511</v>
      </c>
      <c r="D6072" s="2">
        <f>HYPERLINK("http://mcb-m6.bioreg.kyushu-u.ac.jp/M3/20110414/F50950/3804/1", 113.3)</f>
        <v>113.3</v>
      </c>
      <c r="E6072" s="2">
        <v>92.03</v>
      </c>
      <c r="F6072" s="2">
        <v>2</v>
      </c>
      <c r="G6072" s="2" t="s">
        <v>12</v>
      </c>
    </row>
    <row r="6073" spans="1:7" x14ac:dyDescent="0.2">
      <c r="A6073" s="2" t="s">
        <v>3245</v>
      </c>
      <c r="B6073" s="2" t="s">
        <v>25</v>
      </c>
      <c r="C6073" s="2">
        <v>1105.587</v>
      </c>
      <c r="D6073" s="2">
        <f>HYPERLINK("http://mcb-m6.bioreg.kyushu-u.ac.jp/M3/20110414/F50950/3807/1", 118.2)</f>
        <v>118.2</v>
      </c>
      <c r="E6073" s="2">
        <v>93.65</v>
      </c>
      <c r="F6073" s="2">
        <v>2</v>
      </c>
      <c r="G6073" s="2" t="s">
        <v>12</v>
      </c>
    </row>
    <row r="6074" spans="1:7" x14ac:dyDescent="0.2">
      <c r="A6074" s="2" t="s">
        <v>3245</v>
      </c>
      <c r="B6074" s="2" t="s">
        <v>25</v>
      </c>
      <c r="C6074" s="2">
        <v>1106.655</v>
      </c>
      <c r="D6074" s="2">
        <f>HYPERLINK("http://mcb-m6.bioreg.kyushu-u.ac.jp/M3/20110502/F51169/3118/1", 35.45)</f>
        <v>35.450000000000003</v>
      </c>
      <c r="E6074" s="2">
        <v>20.7</v>
      </c>
      <c r="F6074" s="2">
        <v>2</v>
      </c>
      <c r="G6074" s="2" t="s">
        <v>13</v>
      </c>
    </row>
    <row r="6075" spans="1:7" x14ac:dyDescent="0.2">
      <c r="A6075" s="2" t="s">
        <v>3245</v>
      </c>
      <c r="B6075" s="2" t="s">
        <v>25</v>
      </c>
      <c r="C6075" s="2">
        <v>738.03160000000003</v>
      </c>
      <c r="D6075" s="2">
        <f>HYPERLINK("http://mcb-m6.bioreg.kyushu-u.ac.jp/M3/20110502/F51172/3870/1", 36.03)</f>
        <v>36.03</v>
      </c>
      <c r="E6075" s="2">
        <v>10.41</v>
      </c>
      <c r="F6075" s="2">
        <v>3</v>
      </c>
      <c r="G6075" s="2" t="s">
        <v>13</v>
      </c>
    </row>
    <row r="6076" spans="1:7" x14ac:dyDescent="0.2">
      <c r="A6076" s="2" t="s">
        <v>3245</v>
      </c>
      <c r="B6076" s="2" t="s">
        <v>25</v>
      </c>
      <c r="C6076" s="2">
        <v>1106.6199999999999</v>
      </c>
      <c r="D6076" s="2">
        <f>HYPERLINK("http://mcb-m6.bioreg.kyushu-u.ac.jp/M3/20110502/F51170/3488/1", 36.28)</f>
        <v>36.28</v>
      </c>
      <c r="E6076" s="2">
        <v>15.05</v>
      </c>
      <c r="F6076" s="2">
        <v>2</v>
      </c>
      <c r="G6076" s="2" t="s">
        <v>13</v>
      </c>
    </row>
    <row r="6077" spans="1:7" x14ac:dyDescent="0.2">
      <c r="A6077" s="2" t="s">
        <v>3245</v>
      </c>
      <c r="B6077" s="2" t="s">
        <v>25</v>
      </c>
      <c r="C6077" s="2">
        <v>1106.1289999999999</v>
      </c>
      <c r="D6077" s="2">
        <f>HYPERLINK("http://mcb-m6.bioreg.kyushu-u.ac.jp/M3/20110502/F51169/3116/1", 39.65)</f>
        <v>39.65</v>
      </c>
      <c r="E6077" s="2">
        <v>16.2</v>
      </c>
      <c r="F6077" s="2">
        <v>2</v>
      </c>
      <c r="G6077" s="2" t="s">
        <v>13</v>
      </c>
    </row>
    <row r="6078" spans="1:7" x14ac:dyDescent="0.2">
      <c r="A6078" s="2" t="s">
        <v>3245</v>
      </c>
      <c r="B6078" s="2" t="s">
        <v>25</v>
      </c>
      <c r="C6078" s="2">
        <v>1106.222</v>
      </c>
      <c r="D6078" s="2">
        <f>HYPERLINK("http://mcb-m6.bioreg.kyushu-u.ac.jp/M3/20110502/F51188/2949/1", 39.83)</f>
        <v>39.83</v>
      </c>
      <c r="E6078" s="2">
        <v>12.68</v>
      </c>
      <c r="F6078" s="2">
        <v>2</v>
      </c>
      <c r="G6078" s="2" t="s">
        <v>13</v>
      </c>
    </row>
    <row r="6079" spans="1:7" x14ac:dyDescent="0.2">
      <c r="A6079" s="2" t="s">
        <v>3245</v>
      </c>
      <c r="B6079" s="2" t="s">
        <v>25</v>
      </c>
      <c r="C6079" s="2">
        <v>1106.1310000000001</v>
      </c>
      <c r="D6079" s="2">
        <f>HYPERLINK("http://mcb-m6.bioreg.kyushu-u.ac.jp/M3/20110502/F51167/2522/1", 40.61)</f>
        <v>40.61</v>
      </c>
      <c r="E6079" s="2">
        <v>15.24</v>
      </c>
      <c r="F6079" s="2">
        <v>2</v>
      </c>
      <c r="G6079" s="2" t="s">
        <v>13</v>
      </c>
    </row>
    <row r="6080" spans="1:7" x14ac:dyDescent="0.2">
      <c r="A6080" s="2" t="s">
        <v>3245</v>
      </c>
      <c r="B6080" s="2" t="s">
        <v>25</v>
      </c>
      <c r="C6080" s="2">
        <v>1106.117</v>
      </c>
      <c r="D6080" s="2">
        <f>HYPERLINK("http://mcb-m6.bioreg.kyushu-u.ac.jp/M3/20110502/F51166/2573/1", 40.86)</f>
        <v>40.86</v>
      </c>
      <c r="E6080" s="2">
        <v>18.420000000000002</v>
      </c>
      <c r="F6080" s="2">
        <v>2</v>
      </c>
      <c r="G6080" s="2" t="s">
        <v>13</v>
      </c>
    </row>
    <row r="6081" spans="1:7" x14ac:dyDescent="0.2">
      <c r="A6081" s="2" t="s">
        <v>3245</v>
      </c>
      <c r="B6081" s="2" t="s">
        <v>25</v>
      </c>
      <c r="C6081" s="2">
        <v>1106.1569999999999</v>
      </c>
      <c r="D6081" s="2">
        <f>HYPERLINK("http://mcb-m6.bioreg.kyushu-u.ac.jp/M3/20110502/F51165/2933/1", 43.25)</f>
        <v>43.25</v>
      </c>
      <c r="E6081" s="2">
        <v>19.940000000000001</v>
      </c>
      <c r="F6081" s="2">
        <v>2</v>
      </c>
      <c r="G6081" s="2" t="s">
        <v>13</v>
      </c>
    </row>
    <row r="6082" spans="1:7" x14ac:dyDescent="0.2">
      <c r="A6082" s="2" t="s">
        <v>3245</v>
      </c>
      <c r="B6082" s="2" t="s">
        <v>25</v>
      </c>
      <c r="C6082" s="2">
        <v>1106.222</v>
      </c>
      <c r="D6082" s="2">
        <f>HYPERLINK("http://mcb-m6.bioreg.kyushu-u.ac.jp/M3/20110502/F51170/3485/1", 43.41)</f>
        <v>43.41</v>
      </c>
      <c r="E6082" s="2">
        <v>29.48</v>
      </c>
      <c r="F6082" s="2">
        <v>2</v>
      </c>
      <c r="G6082" s="2" t="s">
        <v>13</v>
      </c>
    </row>
    <row r="6083" spans="1:7" x14ac:dyDescent="0.2">
      <c r="A6083" s="2" t="s">
        <v>3245</v>
      </c>
      <c r="B6083" s="2" t="s">
        <v>25</v>
      </c>
      <c r="C6083" s="2">
        <v>737.93489999999997</v>
      </c>
      <c r="D6083" s="2">
        <f>HYPERLINK("http://mcb-m6.bioreg.kyushu-u.ac.jp/M3/20110502/F51168/2939/1", 43.87)</f>
        <v>43.87</v>
      </c>
      <c r="E6083" s="2">
        <v>21.39</v>
      </c>
      <c r="F6083" s="2">
        <v>3</v>
      </c>
      <c r="G6083" s="2" t="s">
        <v>13</v>
      </c>
    </row>
    <row r="6084" spans="1:7" x14ac:dyDescent="0.2">
      <c r="A6084" s="2" t="s">
        <v>3245</v>
      </c>
      <c r="B6084" s="2" t="s">
        <v>25</v>
      </c>
      <c r="C6084" s="2">
        <v>1106.3330000000001</v>
      </c>
      <c r="D6084" s="2">
        <f>HYPERLINK("http://mcb-m6.bioreg.kyushu-u.ac.jp/M3/20110502/F51173/3529/1", 44.34)</f>
        <v>44.34</v>
      </c>
      <c r="E6084" s="2">
        <v>12.5</v>
      </c>
      <c r="F6084" s="2">
        <v>2</v>
      </c>
      <c r="G6084" s="2" t="s">
        <v>13</v>
      </c>
    </row>
    <row r="6085" spans="1:7" x14ac:dyDescent="0.2">
      <c r="A6085" s="2" t="s">
        <v>3245</v>
      </c>
      <c r="B6085" s="2" t="s">
        <v>25</v>
      </c>
      <c r="C6085" s="2">
        <v>1106.1120000000001</v>
      </c>
      <c r="D6085" s="2">
        <f>HYPERLINK("http://mcb-m6.bioreg.kyushu-u.ac.jp/M3/20110502/F51170/3481/1", 44.64)</f>
        <v>44.64</v>
      </c>
      <c r="E6085" s="2">
        <v>26.34</v>
      </c>
      <c r="F6085" s="2">
        <v>2</v>
      </c>
      <c r="G6085" s="2" t="s">
        <v>13</v>
      </c>
    </row>
    <row r="6086" spans="1:7" x14ac:dyDescent="0.2">
      <c r="A6086" s="2" t="s">
        <v>3245</v>
      </c>
      <c r="B6086" s="2" t="s">
        <v>25</v>
      </c>
      <c r="C6086" s="2">
        <v>1106.2080000000001</v>
      </c>
      <c r="D6086" s="2">
        <f>HYPERLINK("http://mcb-m6.bioreg.kyushu-u.ac.jp/M3/20110502/F51187/2985/1", 44.9)</f>
        <v>44.9</v>
      </c>
      <c r="E6086" s="2">
        <v>28.51</v>
      </c>
      <c r="F6086" s="2">
        <v>2</v>
      </c>
      <c r="G6086" s="2" t="s">
        <v>13</v>
      </c>
    </row>
    <row r="6087" spans="1:7" x14ac:dyDescent="0.2">
      <c r="A6087" s="2" t="s">
        <v>3245</v>
      </c>
      <c r="B6087" s="2" t="s">
        <v>25</v>
      </c>
      <c r="C6087" s="2">
        <v>1106.165</v>
      </c>
      <c r="D6087" s="2">
        <f>HYPERLINK("http://mcb-m6.bioreg.kyushu-u.ac.jp/M3/20110502/F51168/2938/1", 45.13)</f>
        <v>45.13</v>
      </c>
      <c r="E6087" s="2">
        <v>21.74</v>
      </c>
      <c r="F6087" s="2">
        <v>2</v>
      </c>
      <c r="G6087" s="2" t="s">
        <v>13</v>
      </c>
    </row>
    <row r="6088" spans="1:7" x14ac:dyDescent="0.2">
      <c r="A6088" s="2" t="s">
        <v>3245</v>
      </c>
      <c r="B6088" s="2" t="s">
        <v>25</v>
      </c>
      <c r="C6088" s="2">
        <v>1106.1479999999999</v>
      </c>
      <c r="D6088" s="2">
        <f>HYPERLINK("http://mcb-m6.bioreg.kyushu-u.ac.jp/M3/20110502/F51170/3482/1", 47.21)</f>
        <v>47.21</v>
      </c>
      <c r="E6088" s="2">
        <v>30.11</v>
      </c>
      <c r="F6088" s="2">
        <v>2</v>
      </c>
      <c r="G6088" s="2" t="s">
        <v>13</v>
      </c>
    </row>
    <row r="6089" spans="1:7" x14ac:dyDescent="0.2">
      <c r="A6089" s="2" t="s">
        <v>3245</v>
      </c>
      <c r="B6089" s="2" t="s">
        <v>25</v>
      </c>
      <c r="C6089" s="2">
        <v>1106.1500000000001</v>
      </c>
      <c r="D6089" s="2">
        <f>HYPERLINK("http://mcb-m6.bioreg.kyushu-u.ac.jp/M3/20110502/F51170/3483/1", 47.38)</f>
        <v>47.38</v>
      </c>
      <c r="E6089" s="2">
        <v>28.95</v>
      </c>
      <c r="F6089" s="2">
        <v>2</v>
      </c>
      <c r="G6089" s="2" t="s">
        <v>13</v>
      </c>
    </row>
    <row r="6090" spans="1:7" x14ac:dyDescent="0.2">
      <c r="A6090" s="2" t="s">
        <v>3245</v>
      </c>
      <c r="B6090" s="2" t="s">
        <v>25</v>
      </c>
      <c r="C6090" s="2">
        <v>1106.136</v>
      </c>
      <c r="D6090" s="2">
        <f>HYPERLINK("http://mcb-m6.bioreg.kyushu-u.ac.jp/M3/20110502/F51166/2574/1", 48.43)</f>
        <v>48.43</v>
      </c>
      <c r="E6090" s="2">
        <v>28.52</v>
      </c>
      <c r="F6090" s="2">
        <v>2</v>
      </c>
      <c r="G6090" s="2" t="s">
        <v>13</v>
      </c>
    </row>
    <row r="6091" spans="1:7" x14ac:dyDescent="0.2">
      <c r="A6091" s="2" t="s">
        <v>3245</v>
      </c>
      <c r="B6091" s="2" t="s">
        <v>25</v>
      </c>
      <c r="C6091" s="2">
        <v>1106.1279999999999</v>
      </c>
      <c r="D6091" s="2">
        <f>HYPERLINK("http://mcb-m6.bioreg.kyushu-u.ac.jp/M3/20110502/F51169/3115/1", 49.16)</f>
        <v>49.16</v>
      </c>
      <c r="E6091" s="2">
        <v>32</v>
      </c>
      <c r="F6091" s="2">
        <v>2</v>
      </c>
      <c r="G6091" s="2" t="s">
        <v>13</v>
      </c>
    </row>
    <row r="6092" spans="1:7" x14ac:dyDescent="0.2">
      <c r="A6092" s="2" t="s">
        <v>3245</v>
      </c>
      <c r="B6092" s="2" t="s">
        <v>25</v>
      </c>
      <c r="C6092" s="2">
        <v>737.95550000000003</v>
      </c>
      <c r="D6092" s="2">
        <f>HYPERLINK("http://mcb-m6.bioreg.kyushu-u.ac.jp/M3/20110502/F51180/3228/1", 51.6)</f>
        <v>51.6</v>
      </c>
      <c r="E6092" s="2">
        <v>34.74</v>
      </c>
      <c r="F6092" s="2">
        <v>3</v>
      </c>
      <c r="G6092" s="2" t="s">
        <v>13</v>
      </c>
    </row>
    <row r="6093" spans="1:7" x14ac:dyDescent="0.2">
      <c r="A6093" s="2" t="s">
        <v>3245</v>
      </c>
      <c r="B6093" s="2" t="s">
        <v>25</v>
      </c>
      <c r="C6093" s="2">
        <v>1106.1890000000001</v>
      </c>
      <c r="D6093" s="2">
        <f>HYPERLINK("http://mcb-m6.bioreg.kyushu-u.ac.jp/M3/20110502/F51187/2984/1", 51.87)</f>
        <v>51.87</v>
      </c>
      <c r="E6093" s="2">
        <v>28.83</v>
      </c>
      <c r="F6093" s="2">
        <v>2</v>
      </c>
      <c r="G6093" s="2" t="s">
        <v>13</v>
      </c>
    </row>
    <row r="6094" spans="1:7" x14ac:dyDescent="0.2">
      <c r="A6094" s="2" t="s">
        <v>3245</v>
      </c>
      <c r="B6094" s="2" t="s">
        <v>25</v>
      </c>
      <c r="C6094" s="2">
        <v>1106.646</v>
      </c>
      <c r="D6094" s="2">
        <f>HYPERLINK("http://mcb-m6.bioreg.kyushu-u.ac.jp/M3/20110502/F51165/2935/1", 52.17)</f>
        <v>52.17</v>
      </c>
      <c r="E6094" s="2">
        <v>36.72</v>
      </c>
      <c r="F6094" s="2">
        <v>2</v>
      </c>
      <c r="G6094" s="2" t="s">
        <v>13</v>
      </c>
    </row>
    <row r="6095" spans="1:7" x14ac:dyDescent="0.2">
      <c r="A6095" s="2" t="s">
        <v>3245</v>
      </c>
      <c r="B6095" s="2" t="s">
        <v>25</v>
      </c>
      <c r="C6095" s="2">
        <v>1105.5630000000001</v>
      </c>
      <c r="D6095" s="2">
        <f>HYPERLINK("http://mcb-m6.bioreg.kyushu-u.ac.jp/M3/20110502/F51166/2570/1", 54.53)</f>
        <v>54.53</v>
      </c>
      <c r="E6095" s="2">
        <v>35.24</v>
      </c>
      <c r="F6095" s="2">
        <v>2</v>
      </c>
      <c r="G6095" s="2" t="s">
        <v>13</v>
      </c>
    </row>
    <row r="6096" spans="1:7" x14ac:dyDescent="0.2">
      <c r="A6096" s="2" t="s">
        <v>3245</v>
      </c>
      <c r="B6096" s="2" t="s">
        <v>25</v>
      </c>
      <c r="C6096" s="2">
        <v>737.8972</v>
      </c>
      <c r="D6096" s="2">
        <f>HYPERLINK("http://mcb-m6.bioreg.kyushu-u.ac.jp/M3/20110502/F51174/2884/1", 55.83)</f>
        <v>55.83</v>
      </c>
      <c r="E6096" s="2">
        <v>20.63</v>
      </c>
      <c r="F6096" s="2">
        <v>3</v>
      </c>
      <c r="G6096" s="2" t="s">
        <v>13</v>
      </c>
    </row>
    <row r="6097" spans="1:7" x14ac:dyDescent="0.2">
      <c r="A6097" s="2" t="s">
        <v>3245</v>
      </c>
      <c r="B6097" s="2" t="s">
        <v>25</v>
      </c>
      <c r="C6097" s="2">
        <v>1106.27</v>
      </c>
      <c r="D6097" s="2">
        <f>HYPERLINK("http://mcb-m6.bioreg.kyushu-u.ac.jp/M3/20110502/F51172/3864/1", 56.29)</f>
        <v>56.29</v>
      </c>
      <c r="E6097" s="2">
        <v>33.409999999999997</v>
      </c>
      <c r="F6097" s="2">
        <v>2</v>
      </c>
      <c r="G6097" s="2" t="s">
        <v>13</v>
      </c>
    </row>
    <row r="6098" spans="1:7" x14ac:dyDescent="0.2">
      <c r="A6098" s="2" t="s">
        <v>3245</v>
      </c>
      <c r="B6098" s="2" t="s">
        <v>25</v>
      </c>
      <c r="C6098" s="2">
        <v>1106.23</v>
      </c>
      <c r="D6098" s="2">
        <f>HYPERLINK("http://mcb-m6.bioreg.kyushu-u.ac.jp/M3/20110502/F51175/2970/1", 56.64)</f>
        <v>56.64</v>
      </c>
      <c r="E6098" s="2">
        <v>29.7</v>
      </c>
      <c r="F6098" s="2">
        <v>2</v>
      </c>
      <c r="G6098" s="2" t="s">
        <v>13</v>
      </c>
    </row>
    <row r="6099" spans="1:7" x14ac:dyDescent="0.2">
      <c r="A6099" s="2" t="s">
        <v>3245</v>
      </c>
      <c r="B6099" s="2" t="s">
        <v>25</v>
      </c>
      <c r="C6099" s="2">
        <v>1105.5550000000001</v>
      </c>
      <c r="D6099" s="2">
        <f>HYPERLINK("http://mcb-m6.bioreg.kyushu-u.ac.jp/M3/20110502/F51169/3112/1", 57.65)</f>
        <v>57.65</v>
      </c>
      <c r="E6099" s="2">
        <v>31.73</v>
      </c>
      <c r="F6099" s="2">
        <v>2</v>
      </c>
      <c r="G6099" s="2" t="s">
        <v>13</v>
      </c>
    </row>
    <row r="6100" spans="1:7" x14ac:dyDescent="0.2">
      <c r="A6100" s="2" t="s">
        <v>3245</v>
      </c>
      <c r="B6100" s="2" t="s">
        <v>25</v>
      </c>
      <c r="C6100" s="2">
        <v>1106.1489999999999</v>
      </c>
      <c r="D6100" s="2">
        <f>HYPERLINK("http://mcb-m6.bioreg.kyushu-u.ac.jp/M3/20110502/F51171/3151/1", 59.18)</f>
        <v>59.18</v>
      </c>
      <c r="E6100" s="2">
        <v>35.700000000000003</v>
      </c>
      <c r="F6100" s="2">
        <v>2</v>
      </c>
      <c r="G6100" s="2" t="s">
        <v>13</v>
      </c>
    </row>
    <row r="6101" spans="1:7" x14ac:dyDescent="0.2">
      <c r="A6101" s="2" t="s">
        <v>3245</v>
      </c>
      <c r="B6101" s="2" t="s">
        <v>25</v>
      </c>
      <c r="C6101" s="2">
        <v>1106.2819999999999</v>
      </c>
      <c r="D6101" s="2">
        <f>HYPERLINK("http://mcb-m6.bioreg.kyushu-u.ac.jp/M3/20110502/F51189/2974/1", 59.55)</f>
        <v>59.55</v>
      </c>
      <c r="E6101" s="2">
        <v>37.17</v>
      </c>
      <c r="F6101" s="2">
        <v>2</v>
      </c>
      <c r="G6101" s="2" t="s">
        <v>13</v>
      </c>
    </row>
    <row r="6102" spans="1:7" x14ac:dyDescent="0.2">
      <c r="A6102" s="2" t="s">
        <v>3245</v>
      </c>
      <c r="B6102" s="2" t="s">
        <v>25</v>
      </c>
      <c r="C6102" s="2">
        <v>1105.5730000000001</v>
      </c>
      <c r="D6102" s="2">
        <f>HYPERLINK("http://mcb-m6.bioreg.kyushu-u.ac.jp/M3/20110502/F51165/2929/1", 60.76)</f>
        <v>60.76</v>
      </c>
      <c r="E6102" s="2">
        <v>48.89</v>
      </c>
      <c r="F6102" s="2">
        <v>2</v>
      </c>
      <c r="G6102" s="2" t="s">
        <v>13</v>
      </c>
    </row>
    <row r="6103" spans="1:7" x14ac:dyDescent="0.2">
      <c r="A6103" s="2" t="s">
        <v>3245</v>
      </c>
      <c r="B6103" s="2" t="s">
        <v>25</v>
      </c>
      <c r="C6103" s="2">
        <v>1106.2719999999999</v>
      </c>
      <c r="D6103" s="2">
        <f>HYPERLINK("http://mcb-m6.bioreg.kyushu-u.ac.jp/M3/20110502/F51174/2883/1", 64.16)</f>
        <v>64.16</v>
      </c>
      <c r="E6103" s="2">
        <v>39.700000000000003</v>
      </c>
      <c r="F6103" s="2">
        <v>2</v>
      </c>
      <c r="G6103" s="2" t="s">
        <v>13</v>
      </c>
    </row>
    <row r="6104" spans="1:7" x14ac:dyDescent="0.2">
      <c r="A6104" s="2" t="s">
        <v>3245</v>
      </c>
      <c r="B6104" s="2" t="s">
        <v>25</v>
      </c>
      <c r="C6104" s="2">
        <v>1105.693</v>
      </c>
      <c r="D6104" s="2">
        <f>HYPERLINK("http://mcb-m6.bioreg.kyushu-u.ac.jp/M3/20110502/F51187/2982/1", 65.08)</f>
        <v>65.08</v>
      </c>
      <c r="E6104" s="2">
        <v>40.5</v>
      </c>
      <c r="F6104" s="2">
        <v>2</v>
      </c>
      <c r="G6104" s="2" t="s">
        <v>13</v>
      </c>
    </row>
    <row r="6105" spans="1:7" x14ac:dyDescent="0.2">
      <c r="A6105" s="2" t="s">
        <v>3245</v>
      </c>
      <c r="B6105" s="2" t="s">
        <v>25</v>
      </c>
      <c r="C6105" s="2">
        <v>1106.5519999999999</v>
      </c>
      <c r="D6105" s="2">
        <f>HYPERLINK("http://mcb-m6.bioreg.kyushu-u.ac.jp/M3/20110502/F51173/3533/1", 66.44)</f>
        <v>66.44</v>
      </c>
      <c r="E6105" s="2">
        <v>18.22</v>
      </c>
      <c r="F6105" s="2">
        <v>2</v>
      </c>
      <c r="G6105" s="2" t="s">
        <v>13</v>
      </c>
    </row>
    <row r="6106" spans="1:7" x14ac:dyDescent="0.2">
      <c r="A6106" s="2" t="s">
        <v>3245</v>
      </c>
      <c r="B6106" s="2" t="s">
        <v>25</v>
      </c>
      <c r="C6106" s="2">
        <v>1106.135</v>
      </c>
      <c r="D6106" s="2">
        <f>HYPERLINK("http://mcb-m6.bioreg.kyushu-u.ac.jp/M3/20110502/F51175/2968/1", 70.01)</f>
        <v>70.010000000000005</v>
      </c>
      <c r="E6106" s="2">
        <v>43.29</v>
      </c>
      <c r="F6106" s="2">
        <v>2</v>
      </c>
      <c r="G6106" s="2" t="s">
        <v>13</v>
      </c>
    </row>
    <row r="6107" spans="1:7" x14ac:dyDescent="0.2">
      <c r="A6107" s="2" t="s">
        <v>3245</v>
      </c>
      <c r="B6107" s="2" t="s">
        <v>25</v>
      </c>
      <c r="C6107" s="2">
        <v>1106.183</v>
      </c>
      <c r="D6107" s="2">
        <f>HYPERLINK("http://mcb-m6.bioreg.kyushu-u.ac.jp/M3/20110502/F51188/2948/1", 70.51)</f>
        <v>70.510000000000005</v>
      </c>
      <c r="E6107" s="2">
        <v>30.67</v>
      </c>
      <c r="F6107" s="2">
        <v>2</v>
      </c>
      <c r="G6107" s="2" t="s">
        <v>13</v>
      </c>
    </row>
    <row r="6108" spans="1:7" x14ac:dyDescent="0.2">
      <c r="A6108" s="2" t="s">
        <v>3245</v>
      </c>
      <c r="B6108" s="2" t="s">
        <v>25</v>
      </c>
      <c r="C6108" s="2">
        <v>1106.0940000000001</v>
      </c>
      <c r="D6108" s="2">
        <f>HYPERLINK("http://mcb-m6.bioreg.kyushu-u.ac.jp/M3/20110502/F51165/2931/1", 71.87)</f>
        <v>71.87</v>
      </c>
      <c r="E6108" s="2">
        <v>31.69</v>
      </c>
      <c r="F6108" s="2">
        <v>2</v>
      </c>
      <c r="G6108" s="2" t="s">
        <v>13</v>
      </c>
    </row>
    <row r="6109" spans="1:7" x14ac:dyDescent="0.2">
      <c r="A6109" s="2" t="s">
        <v>3245</v>
      </c>
      <c r="B6109" s="2" t="s">
        <v>25</v>
      </c>
      <c r="C6109" s="2">
        <v>1106.6420000000001</v>
      </c>
      <c r="D6109" s="2">
        <f>HYPERLINK("http://mcb-m6.bioreg.kyushu-u.ac.jp/M3/20110502/F51170/3489/1", 72.43)</f>
        <v>72.430000000000007</v>
      </c>
      <c r="E6109" s="2">
        <v>36.049999999999997</v>
      </c>
      <c r="F6109" s="2">
        <v>2</v>
      </c>
      <c r="G6109" s="2" t="s">
        <v>13</v>
      </c>
    </row>
    <row r="6110" spans="1:7" x14ac:dyDescent="0.2">
      <c r="A6110" s="2" t="s">
        <v>3245</v>
      </c>
      <c r="B6110" s="2" t="s">
        <v>25</v>
      </c>
      <c r="C6110" s="2">
        <v>1105.606</v>
      </c>
      <c r="D6110" s="2">
        <f>HYPERLINK("http://mcb-m6.bioreg.kyushu-u.ac.jp/M3/20110502/F51171/3148/1", 74.96)</f>
        <v>74.959999999999994</v>
      </c>
      <c r="E6110" s="2">
        <v>61.61</v>
      </c>
      <c r="F6110" s="2">
        <v>2</v>
      </c>
      <c r="G6110" s="2" t="s">
        <v>13</v>
      </c>
    </row>
    <row r="6111" spans="1:7" x14ac:dyDescent="0.2">
      <c r="A6111" s="2" t="s">
        <v>3245</v>
      </c>
      <c r="B6111" s="2" t="s">
        <v>25</v>
      </c>
      <c r="C6111" s="2">
        <v>1106.5170000000001</v>
      </c>
      <c r="D6111" s="2">
        <f>HYPERLINK("http://mcb-m6.bioreg.kyushu-u.ac.jp/M3/20110502/F51173/3532/1", 75.05)</f>
        <v>75.05</v>
      </c>
      <c r="E6111" s="2">
        <v>39.979999999999997</v>
      </c>
      <c r="F6111" s="2">
        <v>2</v>
      </c>
      <c r="G6111" s="2" t="s">
        <v>13</v>
      </c>
    </row>
    <row r="6112" spans="1:7" x14ac:dyDescent="0.2">
      <c r="A6112" s="2" t="s">
        <v>3245</v>
      </c>
      <c r="B6112" s="2" t="s">
        <v>25</v>
      </c>
      <c r="C6112" s="2">
        <v>1106.2829999999999</v>
      </c>
      <c r="D6112" s="2">
        <f>HYPERLINK("http://mcb-m6.bioreg.kyushu-u.ac.jp/M3/20110502/F51180/3224/1", 76.57)</f>
        <v>76.569999999999993</v>
      </c>
      <c r="E6112" s="2">
        <v>43.95</v>
      </c>
      <c r="F6112" s="2">
        <v>2</v>
      </c>
      <c r="G6112" s="2" t="s">
        <v>13</v>
      </c>
    </row>
    <row r="6113" spans="1:7" x14ac:dyDescent="0.2">
      <c r="A6113" s="2" t="s">
        <v>3245</v>
      </c>
      <c r="B6113" s="2" t="s">
        <v>25</v>
      </c>
      <c r="C6113" s="2">
        <v>1106.1679999999999</v>
      </c>
      <c r="D6113" s="2">
        <f>HYPERLINK("http://mcb-m6.bioreg.kyushu-u.ac.jp/M3/20110502/F51175/2969/1", 77.5)</f>
        <v>77.5</v>
      </c>
      <c r="E6113" s="2">
        <v>30.68</v>
      </c>
      <c r="F6113" s="2">
        <v>2</v>
      </c>
      <c r="G6113" s="2" t="s">
        <v>13</v>
      </c>
    </row>
    <row r="6114" spans="1:7" x14ac:dyDescent="0.2">
      <c r="A6114" s="2" t="s">
        <v>3245</v>
      </c>
      <c r="B6114" s="2" t="s">
        <v>25</v>
      </c>
      <c r="C6114" s="2">
        <v>1106.3109999999999</v>
      </c>
      <c r="D6114" s="2">
        <f>HYPERLINK("http://mcb-m6.bioreg.kyushu-u.ac.jp/M3/20110502/F51172/3867/1", 78.82)</f>
        <v>78.819999999999993</v>
      </c>
      <c r="E6114" s="2">
        <v>53.98</v>
      </c>
      <c r="F6114" s="2">
        <v>2</v>
      </c>
      <c r="G6114" s="2" t="s">
        <v>13</v>
      </c>
    </row>
    <row r="6115" spans="1:7" x14ac:dyDescent="0.2">
      <c r="A6115" s="2" t="s">
        <v>3245</v>
      </c>
      <c r="B6115" s="2" t="s">
        <v>25</v>
      </c>
      <c r="C6115" s="2">
        <v>1106.1500000000001</v>
      </c>
      <c r="D6115" s="2">
        <f>HYPERLINK("http://mcb-m6.bioreg.kyushu-u.ac.jp/M3/20110502/F51166/2575/1", 79.09)</f>
        <v>79.09</v>
      </c>
      <c r="E6115" s="2">
        <v>39.770000000000003</v>
      </c>
      <c r="F6115" s="2">
        <v>2</v>
      </c>
      <c r="G6115" s="2" t="s">
        <v>13</v>
      </c>
    </row>
    <row r="6116" spans="1:7" x14ac:dyDescent="0.2">
      <c r="A6116" s="2" t="s">
        <v>3245</v>
      </c>
      <c r="B6116" s="2" t="s">
        <v>25</v>
      </c>
      <c r="C6116" s="2">
        <v>1105.614</v>
      </c>
      <c r="D6116" s="2">
        <f>HYPERLINK("http://mcb-m6.bioreg.kyushu-u.ac.jp/M3/20110502/F51167/2519/1", 81.44)</f>
        <v>81.44</v>
      </c>
      <c r="E6116" s="2">
        <v>63</v>
      </c>
      <c r="F6116" s="2">
        <v>2</v>
      </c>
      <c r="G6116" s="2" t="s">
        <v>13</v>
      </c>
    </row>
    <row r="6117" spans="1:7" x14ac:dyDescent="0.2">
      <c r="A6117" s="2" t="s">
        <v>3245</v>
      </c>
      <c r="B6117" s="2" t="s">
        <v>25</v>
      </c>
      <c r="C6117" s="2">
        <v>1106.2429999999999</v>
      </c>
      <c r="D6117" s="2">
        <f>HYPERLINK("http://mcb-m6.bioreg.kyushu-u.ac.jp/M3/20110502/F51174/2882/1", 81.95)</f>
        <v>81.95</v>
      </c>
      <c r="E6117" s="2">
        <v>43.82</v>
      </c>
      <c r="F6117" s="2">
        <v>2</v>
      </c>
      <c r="G6117" s="2" t="s">
        <v>13</v>
      </c>
    </row>
    <row r="6118" spans="1:7" x14ac:dyDescent="0.2">
      <c r="A6118" s="2" t="s">
        <v>3245</v>
      </c>
      <c r="B6118" s="2" t="s">
        <v>25</v>
      </c>
      <c r="C6118" s="2">
        <v>1106.278</v>
      </c>
      <c r="D6118" s="2">
        <f>HYPERLINK("http://mcb-m6.bioreg.kyushu-u.ac.jp/M3/20110502/F51172/3865/1", 82.16)</f>
        <v>82.16</v>
      </c>
      <c r="E6118" s="2">
        <v>41.82</v>
      </c>
      <c r="F6118" s="2">
        <v>2</v>
      </c>
      <c r="G6118" s="2" t="s">
        <v>13</v>
      </c>
    </row>
    <row r="6119" spans="1:7" x14ac:dyDescent="0.2">
      <c r="A6119" s="2" t="s">
        <v>3245</v>
      </c>
      <c r="B6119" s="2" t="s">
        <v>25</v>
      </c>
      <c r="C6119" s="2">
        <v>1105.5989999999999</v>
      </c>
      <c r="D6119" s="2">
        <f>HYPERLINK("http://mcb-m6.bioreg.kyushu-u.ac.jp/M3/20110502/F51168/2934/1", 82.56)</f>
        <v>82.56</v>
      </c>
      <c r="E6119" s="2">
        <v>58.07</v>
      </c>
      <c r="F6119" s="2">
        <v>2</v>
      </c>
      <c r="G6119" s="2" t="s">
        <v>13</v>
      </c>
    </row>
    <row r="6120" spans="1:7" x14ac:dyDescent="0.2">
      <c r="A6120" s="2" t="s">
        <v>3245</v>
      </c>
      <c r="B6120" s="2" t="s">
        <v>25</v>
      </c>
      <c r="C6120" s="2">
        <v>1106.1199999999999</v>
      </c>
      <c r="D6120" s="2">
        <f>HYPERLINK("http://mcb-m6.bioreg.kyushu-u.ac.jp/M3/20110502/F51167/2521/1", 83.63)</f>
        <v>83.63</v>
      </c>
      <c r="E6120" s="2">
        <v>40.43</v>
      </c>
      <c r="F6120" s="2">
        <v>2</v>
      </c>
      <c r="G6120" s="2" t="s">
        <v>13</v>
      </c>
    </row>
    <row r="6121" spans="1:7" x14ac:dyDescent="0.2">
      <c r="A6121" s="2" t="s">
        <v>3245</v>
      </c>
      <c r="B6121" s="2" t="s">
        <v>25</v>
      </c>
      <c r="C6121" s="2">
        <v>1106.1199999999999</v>
      </c>
      <c r="D6121" s="2">
        <f>HYPERLINK("http://mcb-m6.bioreg.kyushu-u.ac.jp/M3/20110502/F51168/2936/1", 84.09)</f>
        <v>84.09</v>
      </c>
      <c r="E6121" s="2">
        <v>39.590000000000003</v>
      </c>
      <c r="F6121" s="2">
        <v>2</v>
      </c>
      <c r="G6121" s="2" t="s">
        <v>13</v>
      </c>
    </row>
    <row r="6122" spans="1:7" x14ac:dyDescent="0.2">
      <c r="A6122" s="2" t="s">
        <v>3245</v>
      </c>
      <c r="B6122" s="2" t="s">
        <v>25</v>
      </c>
      <c r="C6122" s="2">
        <v>1106.288</v>
      </c>
      <c r="D6122" s="2">
        <f>HYPERLINK("http://mcb-m6.bioreg.kyushu-u.ac.jp/M3/20110502/F51172/3866/1", 84.66)</f>
        <v>84.66</v>
      </c>
      <c r="E6122" s="2">
        <v>47.01</v>
      </c>
      <c r="F6122" s="2">
        <v>2</v>
      </c>
      <c r="G6122" s="2" t="s">
        <v>13</v>
      </c>
    </row>
    <row r="6123" spans="1:7" x14ac:dyDescent="0.2">
      <c r="A6123" s="2" t="s">
        <v>3245</v>
      </c>
      <c r="B6123" s="2" t="s">
        <v>25</v>
      </c>
      <c r="C6123" s="2">
        <v>1106.1120000000001</v>
      </c>
      <c r="D6123" s="2">
        <f>HYPERLINK("http://mcb-m6.bioreg.kyushu-u.ac.jp/M3/20110502/F51166/2572/1", 85.27)</f>
        <v>85.27</v>
      </c>
      <c r="E6123" s="2">
        <v>41.12</v>
      </c>
      <c r="F6123" s="2">
        <v>2</v>
      </c>
      <c r="G6123" s="2" t="s">
        <v>13</v>
      </c>
    </row>
    <row r="6124" spans="1:7" x14ac:dyDescent="0.2">
      <c r="A6124" s="2" t="s">
        <v>3245</v>
      </c>
      <c r="B6124" s="2" t="s">
        <v>25</v>
      </c>
      <c r="C6124" s="2">
        <v>1106.3240000000001</v>
      </c>
      <c r="D6124" s="2">
        <f>HYPERLINK("http://mcb-m6.bioreg.kyushu-u.ac.jp/M3/20110502/F51180/3226/1", 87.4)</f>
        <v>87.4</v>
      </c>
      <c r="E6124" s="2">
        <v>35.47</v>
      </c>
      <c r="F6124" s="2">
        <v>2</v>
      </c>
      <c r="G6124" s="2" t="s">
        <v>13</v>
      </c>
    </row>
    <row r="6125" spans="1:7" x14ac:dyDescent="0.2">
      <c r="A6125" s="2" t="s">
        <v>3245</v>
      </c>
      <c r="B6125" s="2" t="s">
        <v>25</v>
      </c>
      <c r="C6125" s="2">
        <v>1106.2650000000001</v>
      </c>
      <c r="D6125" s="2">
        <f>HYPERLINK("http://mcb-m6.bioreg.kyushu-u.ac.jp/M3/20110502/F51172/3863/1", 88.03)</f>
        <v>88.03</v>
      </c>
      <c r="E6125" s="2">
        <v>54</v>
      </c>
      <c r="F6125" s="2">
        <v>2</v>
      </c>
      <c r="G6125" s="2" t="s">
        <v>13</v>
      </c>
    </row>
    <row r="6126" spans="1:7" x14ac:dyDescent="0.2">
      <c r="A6126" s="2" t="s">
        <v>3245</v>
      </c>
      <c r="B6126" s="2" t="s">
        <v>25</v>
      </c>
      <c r="C6126" s="2">
        <v>1106.3050000000001</v>
      </c>
      <c r="D6126" s="2">
        <f>HYPERLINK("http://mcb-m6.bioreg.kyushu-u.ac.jp/M3/20110502/F51189/2975/1", 89.56)</f>
        <v>89.56</v>
      </c>
      <c r="E6126" s="2">
        <v>39.26</v>
      </c>
      <c r="F6126" s="2">
        <v>2</v>
      </c>
      <c r="G6126" s="2" t="s">
        <v>13</v>
      </c>
    </row>
    <row r="6127" spans="1:7" x14ac:dyDescent="0.2">
      <c r="A6127" s="2" t="s">
        <v>3245</v>
      </c>
      <c r="B6127" s="2" t="s">
        <v>25</v>
      </c>
      <c r="C6127" s="2">
        <v>1105.6780000000001</v>
      </c>
      <c r="D6127" s="2">
        <f>HYPERLINK("http://mcb-m6.bioreg.kyushu-u.ac.jp/M3/20110502/F51174/2879/1", 93.2)</f>
        <v>93.2</v>
      </c>
      <c r="E6127" s="2">
        <v>62.65</v>
      </c>
      <c r="F6127" s="2">
        <v>2</v>
      </c>
      <c r="G6127" s="2" t="s">
        <v>13</v>
      </c>
    </row>
    <row r="6128" spans="1:7" x14ac:dyDescent="0.2">
      <c r="A6128" s="2" t="s">
        <v>3245</v>
      </c>
      <c r="B6128" s="2" t="s">
        <v>25</v>
      </c>
      <c r="C6128" s="2">
        <v>1105.7850000000001</v>
      </c>
      <c r="D6128" s="2">
        <f>HYPERLINK("http://mcb-m6.bioreg.kyushu-u.ac.jp/M3/20110502/F51189/2973/1", 105.91)</f>
        <v>105.91</v>
      </c>
      <c r="E6128" s="2">
        <v>73.87</v>
      </c>
      <c r="F6128" s="2">
        <v>2</v>
      </c>
      <c r="G6128" s="2" t="s">
        <v>13</v>
      </c>
    </row>
    <row r="6129" spans="1:7" x14ac:dyDescent="0.2">
      <c r="A6129" s="2" t="s">
        <v>3245</v>
      </c>
      <c r="B6129" s="2" t="s">
        <v>25</v>
      </c>
      <c r="C6129" s="2">
        <v>1106.1990000000001</v>
      </c>
      <c r="D6129" s="2">
        <f>HYPERLINK("http://mcb-m6.bioreg.kyushu-u.ac.jp/M3/20110502/F51174/2881/1", 124.04)</f>
        <v>124.04</v>
      </c>
      <c r="E6129" s="2">
        <v>61.41</v>
      </c>
      <c r="F6129" s="2">
        <v>2</v>
      </c>
      <c r="G6129" s="2" t="s">
        <v>13</v>
      </c>
    </row>
    <row r="6130" spans="1:7" x14ac:dyDescent="0.2">
      <c r="A6130" s="2" t="s">
        <v>3245</v>
      </c>
      <c r="B6130" s="2" t="s">
        <v>25</v>
      </c>
      <c r="C6130" s="2">
        <v>1105.7339999999999</v>
      </c>
      <c r="D6130" s="2">
        <f>HYPERLINK("http://mcb-m6.bioreg.kyushu-u.ac.jp/M3/20110502/F51180/3222/1", 124.15)</f>
        <v>124.15</v>
      </c>
      <c r="E6130" s="2">
        <v>96.59</v>
      </c>
      <c r="F6130" s="2">
        <v>2</v>
      </c>
      <c r="G6130" s="2" t="s">
        <v>13</v>
      </c>
    </row>
    <row r="6131" spans="1:7" x14ac:dyDescent="0.2">
      <c r="A6131" s="2" t="s">
        <v>3245</v>
      </c>
      <c r="B6131" s="2" t="s">
        <v>25</v>
      </c>
      <c r="C6131" s="2">
        <v>1106.2850000000001</v>
      </c>
      <c r="D6131" s="2">
        <f>HYPERLINK("http://mcb-m6.bioreg.kyushu-u.ac.jp/M3/20110502/F51177/3477/1", 36.33)</f>
        <v>36.33</v>
      </c>
      <c r="E6131" s="2">
        <v>13.07</v>
      </c>
      <c r="F6131" s="2">
        <v>2</v>
      </c>
      <c r="G6131" s="2" t="s">
        <v>14</v>
      </c>
    </row>
    <row r="6132" spans="1:7" x14ac:dyDescent="0.2">
      <c r="A6132" s="2" t="s">
        <v>3245</v>
      </c>
      <c r="B6132" s="2" t="s">
        <v>25</v>
      </c>
      <c r="C6132" s="2">
        <v>1106.204</v>
      </c>
      <c r="D6132" s="2">
        <f>HYPERLINK("http://mcb-m6.bioreg.kyushu-u.ac.jp/M3/20110502/F51186/3085/1", 38.65)</f>
        <v>38.65</v>
      </c>
      <c r="E6132" s="2">
        <v>9.76</v>
      </c>
      <c r="F6132" s="2">
        <v>2</v>
      </c>
      <c r="G6132" s="2" t="s">
        <v>14</v>
      </c>
    </row>
    <row r="6133" spans="1:7" x14ac:dyDescent="0.2">
      <c r="A6133" s="2" t="s">
        <v>3245</v>
      </c>
      <c r="B6133" s="2" t="s">
        <v>25</v>
      </c>
      <c r="C6133" s="2">
        <v>737.99419999999998</v>
      </c>
      <c r="D6133" s="2">
        <f>HYPERLINK("http://mcb-m6.bioreg.kyushu-u.ac.jp/M3/20110502/F51185/3291/1", 39.25)</f>
        <v>39.25</v>
      </c>
      <c r="E6133" s="2">
        <v>17.239999999999998</v>
      </c>
      <c r="F6133" s="2">
        <v>3</v>
      </c>
      <c r="G6133" s="2" t="s">
        <v>14</v>
      </c>
    </row>
    <row r="6134" spans="1:7" x14ac:dyDescent="0.2">
      <c r="A6134" s="2" t="s">
        <v>3245</v>
      </c>
      <c r="B6134" s="2" t="s">
        <v>25</v>
      </c>
      <c r="C6134" s="2">
        <v>1106.3340000000001</v>
      </c>
      <c r="D6134" s="2">
        <f>HYPERLINK("http://mcb-m6.bioreg.kyushu-u.ac.jp/M3/20110502/F51193/3208/1", 45.22)</f>
        <v>45.22</v>
      </c>
      <c r="E6134" s="2">
        <v>6.93</v>
      </c>
      <c r="F6134" s="2">
        <v>2</v>
      </c>
      <c r="G6134" s="2" t="s">
        <v>14</v>
      </c>
    </row>
    <row r="6135" spans="1:7" x14ac:dyDescent="0.2">
      <c r="A6135" s="2" t="s">
        <v>3245</v>
      </c>
      <c r="B6135" s="2" t="s">
        <v>25</v>
      </c>
      <c r="C6135" s="2">
        <v>737.76549999999997</v>
      </c>
      <c r="D6135" s="2">
        <f>HYPERLINK("http://mcb-m6.bioreg.kyushu-u.ac.jp/M3/20110502/F51192/3221/1", 45.31)</f>
        <v>45.31</v>
      </c>
      <c r="E6135" s="2">
        <v>23.34</v>
      </c>
      <c r="F6135" s="2">
        <v>3</v>
      </c>
      <c r="G6135" s="2" t="s">
        <v>14</v>
      </c>
    </row>
    <row r="6136" spans="1:7" x14ac:dyDescent="0.2">
      <c r="A6136" s="2" t="s">
        <v>3245</v>
      </c>
      <c r="B6136" s="2" t="s">
        <v>25</v>
      </c>
      <c r="C6136" s="2">
        <v>738.07349999999997</v>
      </c>
      <c r="D6136" s="2">
        <f>HYPERLINK("http://mcb-m6.bioreg.kyushu-u.ac.jp/M3/20110502/F51190/2872/1", 45.54)</f>
        <v>45.54</v>
      </c>
      <c r="E6136" s="2">
        <v>25.24</v>
      </c>
      <c r="F6136" s="2">
        <v>3</v>
      </c>
      <c r="G6136" s="2" t="s">
        <v>14</v>
      </c>
    </row>
    <row r="6137" spans="1:7" x14ac:dyDescent="0.2">
      <c r="A6137" s="2" t="s">
        <v>3245</v>
      </c>
      <c r="B6137" s="2" t="s">
        <v>25</v>
      </c>
      <c r="C6137" s="2">
        <v>738.0018</v>
      </c>
      <c r="D6137" s="2">
        <f>HYPERLINK("http://mcb-m6.bioreg.kyushu-u.ac.jp/M3/20110502/F51181/3020/1", 46.85)</f>
        <v>46.85</v>
      </c>
      <c r="E6137" s="2">
        <v>25.61</v>
      </c>
      <c r="F6137" s="2">
        <v>3</v>
      </c>
      <c r="G6137" s="2" t="s">
        <v>14</v>
      </c>
    </row>
    <row r="6138" spans="1:7" x14ac:dyDescent="0.2">
      <c r="A6138" s="2" t="s">
        <v>3245</v>
      </c>
      <c r="B6138" s="2" t="s">
        <v>25</v>
      </c>
      <c r="C6138" s="2">
        <v>738.02650000000006</v>
      </c>
      <c r="D6138" s="2">
        <f>HYPERLINK("http://mcb-m6.bioreg.kyushu-u.ac.jp/M3/20110502/F51179/3434/1", 47.21)</f>
        <v>47.21</v>
      </c>
      <c r="E6138" s="2">
        <v>26.57</v>
      </c>
      <c r="F6138" s="2">
        <v>3</v>
      </c>
      <c r="G6138" s="2" t="s">
        <v>14</v>
      </c>
    </row>
    <row r="6139" spans="1:7" x14ac:dyDescent="0.2">
      <c r="A6139" s="2" t="s">
        <v>3245</v>
      </c>
      <c r="B6139" s="2" t="s">
        <v>25</v>
      </c>
      <c r="C6139" s="2">
        <v>1106.269</v>
      </c>
      <c r="D6139" s="2">
        <f>HYPERLINK("http://mcb-m6.bioreg.kyushu-u.ac.jp/M3/20110502/F51179/3432/1", 49.52)</f>
        <v>49.52</v>
      </c>
      <c r="E6139" s="2">
        <v>27.63</v>
      </c>
      <c r="F6139" s="2">
        <v>2</v>
      </c>
      <c r="G6139" s="2" t="s">
        <v>14</v>
      </c>
    </row>
    <row r="6140" spans="1:7" x14ac:dyDescent="0.2">
      <c r="A6140" s="2" t="s">
        <v>3245</v>
      </c>
      <c r="B6140" s="2" t="s">
        <v>25</v>
      </c>
      <c r="C6140" s="2">
        <v>737.9769</v>
      </c>
      <c r="D6140" s="2">
        <f>HYPERLINK("http://mcb-m6.bioreg.kyushu-u.ac.jp/M3/20110502/F51181/3019/1", 49.87)</f>
        <v>49.87</v>
      </c>
      <c r="E6140" s="2">
        <v>28.48</v>
      </c>
      <c r="F6140" s="2">
        <v>3</v>
      </c>
      <c r="G6140" s="2" t="s">
        <v>14</v>
      </c>
    </row>
    <row r="6141" spans="1:7" x14ac:dyDescent="0.2">
      <c r="A6141" s="2" t="s">
        <v>3245</v>
      </c>
      <c r="B6141" s="2" t="s">
        <v>25</v>
      </c>
      <c r="C6141" s="2">
        <v>1106.0730000000001</v>
      </c>
      <c r="D6141" s="2">
        <f>HYPERLINK("http://mcb-m6.bioreg.kyushu-u.ac.jp/M3/20110502/F51184/3643/1", 52.46)</f>
        <v>52.46</v>
      </c>
      <c r="E6141" s="2">
        <v>34.44</v>
      </c>
      <c r="F6141" s="2">
        <v>2</v>
      </c>
      <c r="G6141" s="2" t="s">
        <v>14</v>
      </c>
    </row>
    <row r="6142" spans="1:7" x14ac:dyDescent="0.2">
      <c r="A6142" s="2" t="s">
        <v>3245</v>
      </c>
      <c r="B6142" s="2" t="s">
        <v>25</v>
      </c>
      <c r="C6142" s="2">
        <v>1106.325</v>
      </c>
      <c r="D6142" s="2">
        <f>HYPERLINK("http://mcb-m6.bioreg.kyushu-u.ac.jp/M3/20110502/F51185/3289/1", 52.72)</f>
        <v>52.72</v>
      </c>
      <c r="E6142" s="2">
        <v>24.93</v>
      </c>
      <c r="F6142" s="2">
        <v>2</v>
      </c>
      <c r="G6142" s="2" t="s">
        <v>14</v>
      </c>
    </row>
    <row r="6143" spans="1:7" x14ac:dyDescent="0.2">
      <c r="A6143" s="2" t="s">
        <v>3245</v>
      </c>
      <c r="B6143" s="2" t="s">
        <v>25</v>
      </c>
      <c r="C6143" s="2">
        <v>1105.7059999999999</v>
      </c>
      <c r="D6143" s="2">
        <f>HYPERLINK("http://mcb-m6.bioreg.kyushu-u.ac.jp/M3/20110502/F51176/2629/1", 53.82)</f>
        <v>53.82</v>
      </c>
      <c r="E6143" s="2">
        <v>34.130000000000003</v>
      </c>
      <c r="F6143" s="2">
        <v>2</v>
      </c>
      <c r="G6143" s="2" t="s">
        <v>14</v>
      </c>
    </row>
    <row r="6144" spans="1:7" x14ac:dyDescent="0.2">
      <c r="A6144" s="2" t="s">
        <v>3245</v>
      </c>
      <c r="B6144" s="2" t="s">
        <v>25</v>
      </c>
      <c r="C6144" s="2">
        <v>738.04520000000002</v>
      </c>
      <c r="D6144" s="2">
        <f>HYPERLINK("http://mcb-m6.bioreg.kyushu-u.ac.jp/M3/20110502/F51177/3483/1", 54.64)</f>
        <v>54.64</v>
      </c>
      <c r="E6144" s="2">
        <v>32.06</v>
      </c>
      <c r="F6144" s="2">
        <v>3</v>
      </c>
      <c r="G6144" s="2" t="s">
        <v>14</v>
      </c>
    </row>
    <row r="6145" spans="1:7" x14ac:dyDescent="0.2">
      <c r="A6145" s="2" t="s">
        <v>3245</v>
      </c>
      <c r="B6145" s="2" t="s">
        <v>25</v>
      </c>
      <c r="C6145" s="2">
        <v>1106.645</v>
      </c>
      <c r="D6145" s="2">
        <f>HYPERLINK("http://mcb-m6.bioreg.kyushu-u.ac.jp/M3/20110502/F51179/3438/1", 55.35)</f>
        <v>55.35</v>
      </c>
      <c r="E6145" s="2">
        <v>29.59</v>
      </c>
      <c r="F6145" s="2">
        <v>2</v>
      </c>
      <c r="G6145" s="2" t="s">
        <v>14</v>
      </c>
    </row>
    <row r="6146" spans="1:7" x14ac:dyDescent="0.2">
      <c r="A6146" s="2" t="s">
        <v>3245</v>
      </c>
      <c r="B6146" s="2" t="s">
        <v>25</v>
      </c>
      <c r="C6146" s="2">
        <v>738.10220000000004</v>
      </c>
      <c r="D6146" s="2">
        <f>HYPERLINK("http://mcb-m6.bioreg.kyushu-u.ac.jp/M3/20110502/F51176/2635/1", 56.33)</f>
        <v>56.33</v>
      </c>
      <c r="E6146" s="2">
        <v>29.63</v>
      </c>
      <c r="F6146" s="2">
        <v>3</v>
      </c>
      <c r="G6146" s="2" t="s">
        <v>14</v>
      </c>
    </row>
    <row r="6147" spans="1:7" x14ac:dyDescent="0.2">
      <c r="A6147" s="2" t="s">
        <v>3245</v>
      </c>
      <c r="B6147" s="2" t="s">
        <v>25</v>
      </c>
      <c r="C6147" s="2">
        <v>1106.5319999999999</v>
      </c>
      <c r="D6147" s="2">
        <f>HYPERLINK("http://mcb-m6.bioreg.kyushu-u.ac.jp/M3/20110502/F51179/3433/1", 57.4)</f>
        <v>57.4</v>
      </c>
      <c r="E6147" s="2">
        <v>29.21</v>
      </c>
      <c r="F6147" s="2">
        <v>2</v>
      </c>
      <c r="G6147" s="2" t="s">
        <v>14</v>
      </c>
    </row>
    <row r="6148" spans="1:7" x14ac:dyDescent="0.2">
      <c r="A6148" s="2" t="s">
        <v>3245</v>
      </c>
      <c r="B6148" s="2" t="s">
        <v>25</v>
      </c>
      <c r="C6148" s="2">
        <v>1106.384</v>
      </c>
      <c r="D6148" s="2">
        <f>HYPERLINK("http://mcb-m6.bioreg.kyushu-u.ac.jp/M3/20110502/F51178/3179/1", 57.57)</f>
        <v>57.57</v>
      </c>
      <c r="E6148" s="2">
        <v>30.8</v>
      </c>
      <c r="F6148" s="2">
        <v>2</v>
      </c>
      <c r="G6148" s="2" t="s">
        <v>14</v>
      </c>
    </row>
    <row r="6149" spans="1:7" x14ac:dyDescent="0.2">
      <c r="A6149" s="2" t="s">
        <v>3245</v>
      </c>
      <c r="B6149" s="2" t="s">
        <v>25</v>
      </c>
      <c r="C6149" s="2">
        <v>1106.1320000000001</v>
      </c>
      <c r="D6149" s="2">
        <f>HYPERLINK("http://mcb-m6.bioreg.kyushu-u.ac.jp/M3/20110502/F51185/3287/1", 58.23)</f>
        <v>58.23</v>
      </c>
      <c r="E6149" s="2">
        <v>34.94</v>
      </c>
      <c r="F6149" s="2">
        <v>2</v>
      </c>
      <c r="G6149" s="2" t="s">
        <v>14</v>
      </c>
    </row>
    <row r="6150" spans="1:7" x14ac:dyDescent="0.2">
      <c r="A6150" s="2" t="s">
        <v>3245</v>
      </c>
      <c r="B6150" s="2" t="s">
        <v>25</v>
      </c>
      <c r="C6150" s="2">
        <v>1106.4839999999999</v>
      </c>
      <c r="D6150" s="2">
        <f>HYPERLINK("http://mcb-m6.bioreg.kyushu-u.ac.jp/M3/20110502/F51177/3480/1", 58.76)</f>
        <v>58.76</v>
      </c>
      <c r="E6150" s="2">
        <v>31.95</v>
      </c>
      <c r="F6150" s="2">
        <v>2</v>
      </c>
      <c r="G6150" s="2" t="s">
        <v>14</v>
      </c>
    </row>
    <row r="6151" spans="1:7" x14ac:dyDescent="0.2">
      <c r="A6151" s="2" t="s">
        <v>3245</v>
      </c>
      <c r="B6151" s="2" t="s">
        <v>25</v>
      </c>
      <c r="C6151" s="2">
        <v>1105.7829999999999</v>
      </c>
      <c r="D6151" s="2">
        <f>HYPERLINK("http://mcb-m6.bioreg.kyushu-u.ac.jp/M3/20110502/F51177/3474/1", 60.17)</f>
        <v>60.17</v>
      </c>
      <c r="E6151" s="2">
        <v>49.87</v>
      </c>
      <c r="F6151" s="2">
        <v>2</v>
      </c>
      <c r="G6151" s="2" t="s">
        <v>14</v>
      </c>
    </row>
    <row r="6152" spans="1:7" x14ac:dyDescent="0.2">
      <c r="A6152" s="2" t="s">
        <v>3245</v>
      </c>
      <c r="B6152" s="2" t="s">
        <v>25</v>
      </c>
      <c r="C6152" s="2">
        <v>1105.7339999999999</v>
      </c>
      <c r="D6152" s="2">
        <f>HYPERLINK("http://mcb-m6.bioreg.kyushu-u.ac.jp/M3/20110502/F51177/3473/1", 60.31)</f>
        <v>60.31</v>
      </c>
      <c r="E6152" s="2">
        <v>48.49</v>
      </c>
      <c r="F6152" s="2">
        <v>2</v>
      </c>
      <c r="G6152" s="2" t="s">
        <v>14</v>
      </c>
    </row>
    <row r="6153" spans="1:7" x14ac:dyDescent="0.2">
      <c r="A6153" s="2" t="s">
        <v>3245</v>
      </c>
      <c r="B6153" s="2" t="s">
        <v>25</v>
      </c>
      <c r="C6153" s="2">
        <v>1106.123</v>
      </c>
      <c r="D6153" s="2">
        <f>HYPERLINK("http://mcb-m6.bioreg.kyushu-u.ac.jp/M3/20110502/F51179/3429/1", 60.74)</f>
        <v>60.74</v>
      </c>
      <c r="E6153" s="2">
        <v>29.02</v>
      </c>
      <c r="F6153" s="2">
        <v>2</v>
      </c>
      <c r="G6153" s="2" t="s">
        <v>14</v>
      </c>
    </row>
    <row r="6154" spans="1:7" x14ac:dyDescent="0.2">
      <c r="A6154" s="2" t="s">
        <v>3245</v>
      </c>
      <c r="B6154" s="2" t="s">
        <v>25</v>
      </c>
      <c r="C6154" s="2">
        <v>738.05449999999996</v>
      </c>
      <c r="D6154" s="2">
        <f>HYPERLINK("http://mcb-m6.bioreg.kyushu-u.ac.jp/M3/20110502/F51192/3224/1", 62.33)</f>
        <v>62.33</v>
      </c>
      <c r="E6154" s="2">
        <v>30.49</v>
      </c>
      <c r="F6154" s="2">
        <v>3</v>
      </c>
      <c r="G6154" s="2" t="s">
        <v>14</v>
      </c>
    </row>
    <row r="6155" spans="1:7" x14ac:dyDescent="0.2">
      <c r="A6155" s="2" t="s">
        <v>3245</v>
      </c>
      <c r="B6155" s="2" t="s">
        <v>25</v>
      </c>
      <c r="C6155" s="2">
        <v>1106.5550000000001</v>
      </c>
      <c r="D6155" s="2">
        <f>HYPERLINK("http://mcb-m6.bioreg.kyushu-u.ac.jp/M3/20110502/F51183/3390/1", 62.33)</f>
        <v>62.33</v>
      </c>
      <c r="E6155" s="2">
        <v>37.799999999999997</v>
      </c>
      <c r="F6155" s="2">
        <v>2</v>
      </c>
      <c r="G6155" s="2" t="s">
        <v>14</v>
      </c>
    </row>
    <row r="6156" spans="1:7" x14ac:dyDescent="0.2">
      <c r="A6156" s="2" t="s">
        <v>3245</v>
      </c>
      <c r="B6156" s="2" t="s">
        <v>25</v>
      </c>
      <c r="C6156" s="2">
        <v>1106.2650000000001</v>
      </c>
      <c r="D6156" s="2">
        <f>HYPERLINK("http://mcb-m6.bioreg.kyushu-u.ac.jp/M3/20110502/F51176/2633/1", 62.82)</f>
        <v>62.82</v>
      </c>
      <c r="E6156" s="2">
        <v>35.770000000000003</v>
      </c>
      <c r="F6156" s="2">
        <v>2</v>
      </c>
      <c r="G6156" s="2" t="s">
        <v>14</v>
      </c>
    </row>
    <row r="6157" spans="1:7" x14ac:dyDescent="0.2">
      <c r="A6157" s="2" t="s">
        <v>3245</v>
      </c>
      <c r="B6157" s="2" t="s">
        <v>25</v>
      </c>
      <c r="C6157" s="2">
        <v>1106.317</v>
      </c>
      <c r="D6157" s="2">
        <f>HYPERLINK("http://mcb-m6.bioreg.kyushu-u.ac.jp/M3/20110502/F51181/3017/1", 64.06)</f>
        <v>64.06</v>
      </c>
      <c r="E6157" s="2">
        <v>35.93</v>
      </c>
      <c r="F6157" s="2">
        <v>2</v>
      </c>
      <c r="G6157" s="2" t="s">
        <v>14</v>
      </c>
    </row>
    <row r="6158" spans="1:7" x14ac:dyDescent="0.2">
      <c r="A6158" s="2" t="s">
        <v>3245</v>
      </c>
      <c r="B6158" s="2" t="s">
        <v>25</v>
      </c>
      <c r="C6158" s="2">
        <v>1106.165</v>
      </c>
      <c r="D6158" s="2">
        <f>HYPERLINK("http://mcb-m6.bioreg.kyushu-u.ac.jp/M3/20110502/F51179/3430/1", 64.09)</f>
        <v>64.09</v>
      </c>
      <c r="E6158" s="2">
        <v>42.92</v>
      </c>
      <c r="F6158" s="2">
        <v>2</v>
      </c>
      <c r="G6158" s="2" t="s">
        <v>14</v>
      </c>
    </row>
    <row r="6159" spans="1:7" x14ac:dyDescent="0.2">
      <c r="A6159" s="2" t="s">
        <v>3245</v>
      </c>
      <c r="B6159" s="2" t="s">
        <v>25</v>
      </c>
      <c r="C6159" s="2">
        <v>1106.643</v>
      </c>
      <c r="D6159" s="2">
        <f>HYPERLINK("http://mcb-m6.bioreg.kyushu-u.ac.jp/M3/20110502/F51179/3437/1", 64.53)</f>
        <v>64.53</v>
      </c>
      <c r="E6159" s="2">
        <v>19.5</v>
      </c>
      <c r="F6159" s="2">
        <v>2</v>
      </c>
      <c r="G6159" s="2" t="s">
        <v>14</v>
      </c>
    </row>
    <row r="6160" spans="1:7" x14ac:dyDescent="0.2">
      <c r="A6160" s="2" t="s">
        <v>3245</v>
      </c>
      <c r="B6160" s="2" t="s">
        <v>25</v>
      </c>
      <c r="C6160" s="2">
        <v>1106.5350000000001</v>
      </c>
      <c r="D6160" s="2">
        <f>HYPERLINK("http://mcb-m6.bioreg.kyushu-u.ac.jp/M3/20110502/F51183/3389/1", 65.07)</f>
        <v>65.069999999999993</v>
      </c>
      <c r="E6160" s="2">
        <v>24.1</v>
      </c>
      <c r="F6160" s="2">
        <v>2</v>
      </c>
      <c r="G6160" s="2" t="s">
        <v>14</v>
      </c>
    </row>
    <row r="6161" spans="1:7" x14ac:dyDescent="0.2">
      <c r="A6161" s="2" t="s">
        <v>3245</v>
      </c>
      <c r="B6161" s="2" t="s">
        <v>25</v>
      </c>
      <c r="C6161" s="2">
        <v>1106.2470000000001</v>
      </c>
      <c r="D6161" s="2">
        <f>HYPERLINK("http://mcb-m6.bioreg.kyushu-u.ac.jp/M3/20110502/F51176/2631/1", 66.08)</f>
        <v>66.08</v>
      </c>
      <c r="E6161" s="2">
        <v>43.81</v>
      </c>
      <c r="F6161" s="2">
        <v>2</v>
      </c>
      <c r="G6161" s="2" t="s">
        <v>14</v>
      </c>
    </row>
    <row r="6162" spans="1:7" x14ac:dyDescent="0.2">
      <c r="A6162" s="2" t="s">
        <v>3245</v>
      </c>
      <c r="B6162" s="2" t="s">
        <v>25</v>
      </c>
      <c r="C6162" s="2">
        <v>1106.268</v>
      </c>
      <c r="D6162" s="2">
        <f>HYPERLINK("http://mcb-m6.bioreg.kyushu-u.ac.jp/M3/20110502/F51181/3015/1", 66.7)</f>
        <v>66.7</v>
      </c>
      <c r="E6162" s="2">
        <v>25.44</v>
      </c>
      <c r="F6162" s="2">
        <v>2</v>
      </c>
      <c r="G6162" s="2" t="s">
        <v>14</v>
      </c>
    </row>
    <row r="6163" spans="1:7" x14ac:dyDescent="0.2">
      <c r="A6163" s="2" t="s">
        <v>3245</v>
      </c>
      <c r="B6163" s="2" t="s">
        <v>25</v>
      </c>
      <c r="C6163" s="2">
        <v>1106.5830000000001</v>
      </c>
      <c r="D6163" s="2">
        <f>HYPERLINK("http://mcb-m6.bioreg.kyushu-u.ac.jp/M3/20110502/F51181/3022/1", 68.08)</f>
        <v>68.08</v>
      </c>
      <c r="E6163" s="2">
        <v>32.89</v>
      </c>
      <c r="F6163" s="2">
        <v>2</v>
      </c>
      <c r="G6163" s="2" t="s">
        <v>14</v>
      </c>
    </row>
    <row r="6164" spans="1:7" x14ac:dyDescent="0.2">
      <c r="A6164" s="2" t="s">
        <v>3245</v>
      </c>
      <c r="B6164" s="2" t="s">
        <v>25</v>
      </c>
      <c r="C6164" s="2">
        <v>1106.2660000000001</v>
      </c>
      <c r="D6164" s="2">
        <f>HYPERLINK("http://mcb-m6.bioreg.kyushu-u.ac.jp/M3/20110502/F51181/3014/1", 69.49)</f>
        <v>69.489999999999995</v>
      </c>
      <c r="E6164" s="2">
        <v>40.79</v>
      </c>
      <c r="F6164" s="2">
        <v>2</v>
      </c>
      <c r="G6164" s="2" t="s">
        <v>14</v>
      </c>
    </row>
    <row r="6165" spans="1:7" x14ac:dyDescent="0.2">
      <c r="A6165" s="2" t="s">
        <v>3245</v>
      </c>
      <c r="B6165" s="2" t="s">
        <v>25</v>
      </c>
      <c r="C6165" s="2">
        <v>738.07719999999995</v>
      </c>
      <c r="D6165" s="2">
        <f>HYPERLINK("http://mcb-m6.bioreg.kyushu-u.ac.jp/M3/20110502/F51179/3435/1", 75.06)</f>
        <v>75.06</v>
      </c>
      <c r="E6165" s="2">
        <v>37.53</v>
      </c>
      <c r="F6165" s="2">
        <v>3</v>
      </c>
      <c r="G6165" s="2" t="s">
        <v>14</v>
      </c>
    </row>
    <row r="6166" spans="1:7" x14ac:dyDescent="0.2">
      <c r="A6166" s="2" t="s">
        <v>3245</v>
      </c>
      <c r="B6166" s="2" t="s">
        <v>25</v>
      </c>
      <c r="C6166" s="2">
        <v>1106.577</v>
      </c>
      <c r="D6166" s="2">
        <f>HYPERLINK("http://mcb-m6.bioreg.kyushu-u.ac.jp/M3/20110502/F51181/3021/1", 76.14)</f>
        <v>76.14</v>
      </c>
      <c r="E6166" s="2">
        <v>45.47</v>
      </c>
      <c r="F6166" s="2">
        <v>2</v>
      </c>
      <c r="G6166" s="2" t="s">
        <v>14</v>
      </c>
    </row>
    <row r="6167" spans="1:7" x14ac:dyDescent="0.2">
      <c r="A6167" s="2" t="s">
        <v>3245</v>
      </c>
      <c r="B6167" s="2" t="s">
        <v>25</v>
      </c>
      <c r="C6167" s="2">
        <v>737.99450000000002</v>
      </c>
      <c r="D6167" s="2">
        <f>HYPERLINK("http://mcb-m6.bioreg.kyushu-u.ac.jp/M3/20110502/F51177/3481/1", 77.02)</f>
        <v>77.02</v>
      </c>
      <c r="E6167" s="2">
        <v>37.1</v>
      </c>
      <c r="F6167" s="2">
        <v>3</v>
      </c>
      <c r="G6167" s="2" t="s">
        <v>14</v>
      </c>
    </row>
    <row r="6168" spans="1:7" x14ac:dyDescent="0.2">
      <c r="A6168" s="2" t="s">
        <v>3245</v>
      </c>
      <c r="B6168" s="2" t="s">
        <v>25</v>
      </c>
      <c r="C6168" s="2">
        <v>1105.7449999999999</v>
      </c>
      <c r="D6168" s="2">
        <f>HYPERLINK("http://mcb-m6.bioreg.kyushu-u.ac.jp/M3/20110502/F51190/2868/1", 77.14)</f>
        <v>77.14</v>
      </c>
      <c r="E6168" s="2">
        <v>51.27</v>
      </c>
      <c r="F6168" s="2">
        <v>2</v>
      </c>
      <c r="G6168" s="2" t="s">
        <v>14</v>
      </c>
    </row>
    <row r="6169" spans="1:7" x14ac:dyDescent="0.2">
      <c r="A6169" s="2" t="s">
        <v>3245</v>
      </c>
      <c r="B6169" s="2" t="s">
        <v>25</v>
      </c>
      <c r="C6169" s="2">
        <v>1106.4169999999999</v>
      </c>
      <c r="D6169" s="2">
        <f>HYPERLINK("http://mcb-m6.bioreg.kyushu-u.ac.jp/M3/20110502/F51182/3456/1", 78.32)</f>
        <v>78.319999999999993</v>
      </c>
      <c r="E6169" s="2">
        <v>34.72</v>
      </c>
      <c r="F6169" s="2">
        <v>2</v>
      </c>
      <c r="G6169" s="2" t="s">
        <v>14</v>
      </c>
    </row>
    <row r="6170" spans="1:7" x14ac:dyDescent="0.2">
      <c r="A6170" s="2" t="s">
        <v>3245</v>
      </c>
      <c r="B6170" s="2" t="s">
        <v>25</v>
      </c>
      <c r="C6170" s="2">
        <v>1106.5350000000001</v>
      </c>
      <c r="D6170" s="2">
        <f>HYPERLINK("http://mcb-m6.bioreg.kyushu-u.ac.jp/M3/20110502/F51191/3038/1", 78.68)</f>
        <v>78.680000000000007</v>
      </c>
      <c r="E6170" s="2">
        <v>42.07</v>
      </c>
      <c r="F6170" s="2">
        <v>2</v>
      </c>
      <c r="G6170" s="2" t="s">
        <v>14</v>
      </c>
    </row>
    <row r="6171" spans="1:7" x14ac:dyDescent="0.2">
      <c r="A6171" s="2" t="s">
        <v>3245</v>
      </c>
      <c r="B6171" s="2" t="s">
        <v>25</v>
      </c>
      <c r="C6171" s="2">
        <v>1106.33</v>
      </c>
      <c r="D6171" s="2">
        <f>HYPERLINK("http://mcb-m6.bioreg.kyushu-u.ac.jp/M3/20110502/F51185/3290/1", 78.91)</f>
        <v>78.91</v>
      </c>
      <c r="E6171" s="2">
        <v>43.51</v>
      </c>
      <c r="F6171" s="2">
        <v>2</v>
      </c>
      <c r="G6171" s="2" t="s">
        <v>14</v>
      </c>
    </row>
    <row r="6172" spans="1:7" x14ac:dyDescent="0.2">
      <c r="A6172" s="2" t="s">
        <v>3245</v>
      </c>
      <c r="B6172" s="2" t="s">
        <v>25</v>
      </c>
      <c r="C6172" s="2">
        <v>1106.6400000000001</v>
      </c>
      <c r="D6172" s="2">
        <f>HYPERLINK("http://mcb-m6.bioreg.kyushu-u.ac.jp/M3/20110502/F51178/3181/1", 80.74)</f>
        <v>80.739999999999995</v>
      </c>
      <c r="E6172" s="2">
        <v>19.57</v>
      </c>
      <c r="F6172" s="2">
        <v>2</v>
      </c>
      <c r="G6172" s="2" t="s">
        <v>14</v>
      </c>
    </row>
    <row r="6173" spans="1:7" x14ac:dyDescent="0.2">
      <c r="A6173" s="2" t="s">
        <v>3245</v>
      </c>
      <c r="B6173" s="2" t="s">
        <v>25</v>
      </c>
      <c r="C6173" s="2">
        <v>1106.616</v>
      </c>
      <c r="D6173" s="2">
        <f>HYPERLINK("http://mcb-m6.bioreg.kyushu-u.ac.jp/M3/20110502/F51190/2873/1", 83.41)</f>
        <v>83.41</v>
      </c>
      <c r="E6173" s="2">
        <v>39.5</v>
      </c>
      <c r="F6173" s="2">
        <v>2</v>
      </c>
      <c r="G6173" s="2" t="s">
        <v>14</v>
      </c>
    </row>
    <row r="6174" spans="1:7" x14ac:dyDescent="0.2">
      <c r="A6174" s="2" t="s">
        <v>3245</v>
      </c>
      <c r="B6174" s="2" t="s">
        <v>25</v>
      </c>
      <c r="C6174" s="2">
        <v>1106.2940000000001</v>
      </c>
      <c r="D6174" s="2">
        <f>HYPERLINK("http://mcb-m6.bioreg.kyushu-u.ac.jp/M3/20110502/F51177/3478/1", 85)</f>
        <v>85</v>
      </c>
      <c r="E6174" s="2">
        <v>36.659999999999997</v>
      </c>
      <c r="F6174" s="2">
        <v>2</v>
      </c>
      <c r="G6174" s="2" t="s">
        <v>14</v>
      </c>
    </row>
    <row r="6175" spans="1:7" x14ac:dyDescent="0.2">
      <c r="A6175" s="2" t="s">
        <v>3245</v>
      </c>
      <c r="B6175" s="2" t="s">
        <v>25</v>
      </c>
      <c r="C6175" s="2">
        <v>1105.885</v>
      </c>
      <c r="D6175" s="2">
        <f>HYPERLINK("http://mcb-m6.bioreg.kyushu-u.ac.jp/M3/20110502/F51179/3427/1", 85.02)</f>
        <v>85.02</v>
      </c>
      <c r="E6175" s="2">
        <v>53.35</v>
      </c>
      <c r="F6175" s="2">
        <v>2</v>
      </c>
      <c r="G6175" s="2" t="s">
        <v>14</v>
      </c>
    </row>
    <row r="6176" spans="1:7" x14ac:dyDescent="0.2">
      <c r="A6176" s="2" t="s">
        <v>3245</v>
      </c>
      <c r="B6176" s="2" t="s">
        <v>25</v>
      </c>
      <c r="C6176" s="2">
        <v>1106.2629999999999</v>
      </c>
      <c r="D6176" s="2">
        <f>HYPERLINK("http://mcb-m6.bioreg.kyushu-u.ac.jp/M3/20110502/F51176/2632/1", 85.86)</f>
        <v>85.86</v>
      </c>
      <c r="E6176" s="2">
        <v>39.840000000000003</v>
      </c>
      <c r="F6176" s="2">
        <v>2</v>
      </c>
      <c r="G6176" s="2" t="s">
        <v>14</v>
      </c>
    </row>
    <row r="6177" spans="1:7" x14ac:dyDescent="0.2">
      <c r="A6177" s="2" t="s">
        <v>3245</v>
      </c>
      <c r="B6177" s="2" t="s">
        <v>25</v>
      </c>
      <c r="C6177" s="2">
        <v>737.76419999999996</v>
      </c>
      <c r="D6177" s="2">
        <f>HYPERLINK("http://mcb-m6.bioreg.kyushu-u.ac.jp/M3/20110502/F51176/2630/1", 86.49)</f>
        <v>86.49</v>
      </c>
      <c r="E6177" s="2">
        <v>32.340000000000003</v>
      </c>
      <c r="F6177" s="2">
        <v>3</v>
      </c>
      <c r="G6177" s="2" t="s">
        <v>14</v>
      </c>
    </row>
    <row r="6178" spans="1:7" x14ac:dyDescent="0.2">
      <c r="A6178" s="2" t="s">
        <v>3245</v>
      </c>
      <c r="B6178" s="2" t="s">
        <v>25</v>
      </c>
      <c r="C6178" s="2">
        <v>1105.7840000000001</v>
      </c>
      <c r="D6178" s="2">
        <f>HYPERLINK("http://mcb-m6.bioreg.kyushu-u.ac.jp/M3/20110502/F51184/3641/1", 86.76)</f>
        <v>86.76</v>
      </c>
      <c r="E6178" s="2">
        <v>56.13</v>
      </c>
      <c r="F6178" s="2">
        <v>2</v>
      </c>
      <c r="G6178" s="2" t="s">
        <v>14</v>
      </c>
    </row>
    <row r="6179" spans="1:7" x14ac:dyDescent="0.2">
      <c r="A6179" s="2" t="s">
        <v>3245</v>
      </c>
      <c r="B6179" s="2" t="s">
        <v>25</v>
      </c>
      <c r="C6179" s="2">
        <v>1106.2550000000001</v>
      </c>
      <c r="D6179" s="2">
        <f>HYPERLINK("http://mcb-m6.bioreg.kyushu-u.ac.jp/M3/20110502/F51190/2869/1", 90.18)</f>
        <v>90.18</v>
      </c>
      <c r="E6179" s="2">
        <v>64.540000000000006</v>
      </c>
      <c r="F6179" s="2">
        <v>2</v>
      </c>
      <c r="G6179" s="2" t="s">
        <v>14</v>
      </c>
    </row>
    <row r="6180" spans="1:7" x14ac:dyDescent="0.2">
      <c r="A6180" s="2" t="s">
        <v>3245</v>
      </c>
      <c r="B6180" s="2" t="s">
        <v>25</v>
      </c>
      <c r="C6180" s="2">
        <v>1105.646</v>
      </c>
      <c r="D6180" s="2">
        <f>HYPERLINK("http://mcb-m6.bioreg.kyushu-u.ac.jp/M3/20110502/F51178/3175/1", 90.61)</f>
        <v>90.61</v>
      </c>
      <c r="E6180" s="2">
        <v>74.11</v>
      </c>
      <c r="F6180" s="2">
        <v>2</v>
      </c>
      <c r="G6180" s="2" t="s">
        <v>14</v>
      </c>
    </row>
    <row r="6181" spans="1:7" x14ac:dyDescent="0.2">
      <c r="A6181" s="2" t="s">
        <v>3245</v>
      </c>
      <c r="B6181" s="2" t="s">
        <v>25</v>
      </c>
      <c r="C6181" s="2">
        <v>1106.2349999999999</v>
      </c>
      <c r="D6181" s="2">
        <f>HYPERLINK("http://mcb-m6.bioreg.kyushu-u.ac.jp/M3/20110502/F51179/3431/1", 90.88)</f>
        <v>90.88</v>
      </c>
      <c r="E6181" s="2">
        <v>34.94</v>
      </c>
      <c r="F6181" s="2">
        <v>2</v>
      </c>
      <c r="G6181" s="2" t="s">
        <v>14</v>
      </c>
    </row>
    <row r="6182" spans="1:7" x14ac:dyDescent="0.2">
      <c r="A6182" s="2" t="s">
        <v>3245</v>
      </c>
      <c r="B6182" s="2" t="s">
        <v>25</v>
      </c>
      <c r="C6182" s="2">
        <v>1106.587</v>
      </c>
      <c r="D6182" s="2">
        <f>HYPERLINK("http://mcb-m6.bioreg.kyushu-u.ac.jp/M3/20110502/F51183/3391/1", 90.92)</f>
        <v>90.92</v>
      </c>
      <c r="E6182" s="2">
        <v>43.38</v>
      </c>
      <c r="F6182" s="2">
        <v>2</v>
      </c>
      <c r="G6182" s="2" t="s">
        <v>14</v>
      </c>
    </row>
    <row r="6183" spans="1:7" x14ac:dyDescent="0.2">
      <c r="A6183" s="2" t="s">
        <v>3245</v>
      </c>
      <c r="B6183" s="2" t="s">
        <v>25</v>
      </c>
      <c r="C6183" s="2">
        <v>1106.1679999999999</v>
      </c>
      <c r="D6183" s="2">
        <f>HYPERLINK("http://mcb-m6.bioreg.kyushu-u.ac.jp/M3/20110502/F51186/3084/1", 92.05)</f>
        <v>92.05</v>
      </c>
      <c r="E6183" s="2">
        <v>32.130000000000003</v>
      </c>
      <c r="F6183" s="2">
        <v>2</v>
      </c>
      <c r="G6183" s="2" t="s">
        <v>14</v>
      </c>
    </row>
    <row r="6184" spans="1:7" x14ac:dyDescent="0.2">
      <c r="A6184" s="2" t="s">
        <v>3245</v>
      </c>
      <c r="B6184" s="2" t="s">
        <v>25</v>
      </c>
      <c r="C6184" s="2">
        <v>1106.3889999999999</v>
      </c>
      <c r="D6184" s="2">
        <f>HYPERLINK("http://mcb-m6.bioreg.kyushu-u.ac.jp/M3/20110502/F51181/3018/1", 93.19)</f>
        <v>93.19</v>
      </c>
      <c r="E6184" s="2">
        <v>37.17</v>
      </c>
      <c r="F6184" s="2">
        <v>2</v>
      </c>
      <c r="G6184" s="2" t="s">
        <v>14</v>
      </c>
    </row>
    <row r="6185" spans="1:7" x14ac:dyDescent="0.2">
      <c r="A6185" s="2" t="s">
        <v>3245</v>
      </c>
      <c r="B6185" s="2" t="s">
        <v>25</v>
      </c>
      <c r="C6185" s="2">
        <v>1106.2380000000001</v>
      </c>
      <c r="D6185" s="2">
        <f>HYPERLINK("http://mcb-m6.bioreg.kyushu-u.ac.jp/M3/20110502/F51177/3475/1", 95.15)</f>
        <v>95.15</v>
      </c>
      <c r="E6185" s="2">
        <v>49.41</v>
      </c>
      <c r="F6185" s="2">
        <v>2</v>
      </c>
      <c r="G6185" s="2" t="s">
        <v>14</v>
      </c>
    </row>
    <row r="6186" spans="1:7" x14ac:dyDescent="0.2">
      <c r="A6186" s="2" t="s">
        <v>3245</v>
      </c>
      <c r="B6186" s="2" t="s">
        <v>25</v>
      </c>
      <c r="C6186" s="2">
        <v>1106.25</v>
      </c>
      <c r="D6186" s="2">
        <f>HYPERLINK("http://mcb-m6.bioreg.kyushu-u.ac.jp/M3/20110502/F51178/3177/1", 100.03)</f>
        <v>100.03</v>
      </c>
      <c r="E6186" s="2">
        <v>45.51</v>
      </c>
      <c r="F6186" s="2">
        <v>2</v>
      </c>
      <c r="G6186" s="2" t="s">
        <v>14</v>
      </c>
    </row>
    <row r="6187" spans="1:7" x14ac:dyDescent="0.2">
      <c r="A6187" s="2" t="s">
        <v>3245</v>
      </c>
      <c r="B6187" s="2" t="s">
        <v>25</v>
      </c>
      <c r="C6187" s="2">
        <v>1105.797</v>
      </c>
      <c r="D6187" s="2">
        <f>HYPERLINK("http://mcb-m6.bioreg.kyushu-u.ac.jp/M3/20110502/F51193/3206/1", 117.17)</f>
        <v>117.17</v>
      </c>
      <c r="E6187" s="2">
        <v>84.22</v>
      </c>
      <c r="F6187" s="2">
        <v>2</v>
      </c>
      <c r="G6187" s="2" t="s">
        <v>14</v>
      </c>
    </row>
    <row r="6188" spans="1:7" x14ac:dyDescent="0.2">
      <c r="A6188" s="2" t="s">
        <v>3245</v>
      </c>
      <c r="B6188" s="2" t="s">
        <v>25</v>
      </c>
      <c r="C6188" s="2">
        <v>1105.837</v>
      </c>
      <c r="D6188" s="2">
        <f>HYPERLINK("http://mcb-m6.bioreg.kyushu-u.ac.jp/M3/20110502/F51181/3011/1", 131.57)</f>
        <v>131.57</v>
      </c>
      <c r="E6188" s="2">
        <v>100.9</v>
      </c>
      <c r="F6188" s="2">
        <v>2</v>
      </c>
      <c r="G6188" s="2" t="s">
        <v>14</v>
      </c>
    </row>
    <row r="6189" spans="1:7" x14ac:dyDescent="0.2">
      <c r="A6189" s="2" t="s">
        <v>3245</v>
      </c>
      <c r="B6189" s="2" t="s">
        <v>25</v>
      </c>
      <c r="C6189" s="2">
        <v>1105.8889999999999</v>
      </c>
      <c r="D6189" s="2">
        <f>HYPERLINK("http://mcb-m6.bioreg.kyushu-u.ac.jp/M3/20110502/F51182/3452/1", 131.67)</f>
        <v>131.66999999999999</v>
      </c>
      <c r="E6189" s="2">
        <v>98.61</v>
      </c>
      <c r="F6189" s="2">
        <v>2</v>
      </c>
      <c r="G6189" s="2" t="s">
        <v>14</v>
      </c>
    </row>
    <row r="6190" spans="1:7" x14ac:dyDescent="0.2">
      <c r="A6190" s="2" t="s">
        <v>3245</v>
      </c>
      <c r="B6190" s="2" t="s">
        <v>25</v>
      </c>
      <c r="C6190" s="2">
        <v>1106.0540000000001</v>
      </c>
      <c r="D6190" s="2">
        <f>HYPERLINK("http://mcb-m6.bioreg.kyushu-u.ac.jp/M3/20110502/F51183/3388/1", 132.78)</f>
        <v>132.78</v>
      </c>
      <c r="E6190" s="2">
        <v>68.16</v>
      </c>
      <c r="F6190" s="2">
        <v>2</v>
      </c>
      <c r="G6190" s="2" t="s">
        <v>14</v>
      </c>
    </row>
    <row r="6191" spans="1:7" x14ac:dyDescent="0.2">
      <c r="A6191" s="2" t="s">
        <v>4499</v>
      </c>
      <c r="B6191" s="2" t="s">
        <v>2483</v>
      </c>
      <c r="C6191" s="2">
        <v>805.85220000000004</v>
      </c>
      <c r="D6191" s="2">
        <f>HYPERLINK("http://mcb-m6.bioreg.kyushu-u.ac.jp/M3/20110414/F50924/2429/1", 78.67)</f>
        <v>78.67</v>
      </c>
      <c r="E6191" s="2">
        <v>59.07</v>
      </c>
      <c r="F6191" s="2">
        <v>2</v>
      </c>
      <c r="G6191" s="2" t="s">
        <v>11</v>
      </c>
    </row>
    <row r="6192" spans="1:7" x14ac:dyDescent="0.2">
      <c r="A6192" s="2" t="s">
        <v>4566</v>
      </c>
      <c r="B6192" s="2" t="s">
        <v>2605</v>
      </c>
      <c r="C6192" s="2">
        <v>743.88170000000002</v>
      </c>
      <c r="D6192" s="2">
        <f>HYPERLINK("http://mcb-m6.bioreg.kyushu-u.ac.jp/M3/20110414/F50947/1983/1", 41.95)</f>
        <v>41.95</v>
      </c>
      <c r="E6192" s="2">
        <v>11.81</v>
      </c>
      <c r="F6192" s="2">
        <v>2</v>
      </c>
      <c r="G6192" s="2" t="s">
        <v>12</v>
      </c>
    </row>
    <row r="6193" spans="1:9" x14ac:dyDescent="0.2">
      <c r="A6193" s="2" t="s">
        <v>3493</v>
      </c>
      <c r="B6193" s="2" t="s">
        <v>324</v>
      </c>
      <c r="C6193" s="2">
        <v>930.54399999999998</v>
      </c>
      <c r="D6193" s="2">
        <f>HYPERLINK("http://mcb-m6.bioreg.kyushu-u.ac.jp/M3/20110411/F50892/1188/1", 39.69)</f>
        <v>39.69</v>
      </c>
      <c r="E6193" s="2">
        <v>21.56</v>
      </c>
      <c r="F6193" s="2">
        <v>1</v>
      </c>
      <c r="G6193" s="2" t="s">
        <v>9</v>
      </c>
    </row>
    <row r="6194" spans="1:9" x14ac:dyDescent="0.2">
      <c r="A6194" s="2" t="s">
        <v>3493</v>
      </c>
      <c r="B6194" s="2" t="s">
        <v>773</v>
      </c>
      <c r="C6194" s="2">
        <v>709.20169999999996</v>
      </c>
      <c r="D6194" s="2">
        <f>HYPERLINK("http://mcb-m6.bioreg.kyushu-u.ac.jp/M3/20110411/F50892/2057/1", 50.72)</f>
        <v>50.72</v>
      </c>
      <c r="E6194" s="2">
        <v>30.88</v>
      </c>
      <c r="F6194" s="2">
        <v>2</v>
      </c>
      <c r="G6194" s="2" t="s">
        <v>9</v>
      </c>
    </row>
    <row r="6195" spans="1:9" x14ac:dyDescent="0.2">
      <c r="A6195" s="2" t="s">
        <v>3493</v>
      </c>
      <c r="B6195" s="2" t="s">
        <v>1314</v>
      </c>
      <c r="C6195" s="2">
        <v>1001.431</v>
      </c>
      <c r="D6195" s="2">
        <f>HYPERLINK("http://mcb-m6.bioreg.kyushu-u.ac.jp/M3/20110411/F50892/3117/1", 72.46)</f>
        <v>72.459999999999994</v>
      </c>
      <c r="E6195" s="2">
        <v>58.33</v>
      </c>
      <c r="F6195" s="2">
        <v>2</v>
      </c>
      <c r="G6195" s="2" t="s">
        <v>9</v>
      </c>
    </row>
    <row r="6196" spans="1:9" x14ac:dyDescent="0.2">
      <c r="A6196" s="2" t="s">
        <v>3493</v>
      </c>
      <c r="B6196" s="2" t="s">
        <v>1314</v>
      </c>
      <c r="C6196" s="2">
        <v>1001.947</v>
      </c>
      <c r="D6196" s="2">
        <f>HYPERLINK("http://mcb-m6.bioreg.kyushu-u.ac.jp/M3/20110411/F50892/3119/1", 105.5)</f>
        <v>105.5</v>
      </c>
      <c r="E6196" s="2">
        <v>82.89</v>
      </c>
      <c r="F6196" s="2">
        <v>2</v>
      </c>
      <c r="G6196" s="2" t="s">
        <v>9</v>
      </c>
    </row>
    <row r="6197" spans="1:9" x14ac:dyDescent="0.2">
      <c r="A6197" s="2" t="s">
        <v>3493</v>
      </c>
      <c r="B6197" s="2" t="s">
        <v>2324</v>
      </c>
      <c r="C6197" s="2">
        <v>799.42660000000001</v>
      </c>
      <c r="D6197" s="2">
        <f>HYPERLINK("http://mcb-m6.bioreg.kyushu-u.ac.jp/M3/20110414/F50929/2523/1", 46.29)</f>
        <v>46.29</v>
      </c>
      <c r="E6197" s="2">
        <v>36.71</v>
      </c>
      <c r="F6197" s="2">
        <v>2</v>
      </c>
      <c r="G6197" s="2" t="s">
        <v>11</v>
      </c>
    </row>
    <row r="6198" spans="1:9" x14ac:dyDescent="0.2">
      <c r="A6198" s="2" t="s">
        <v>3351</v>
      </c>
      <c r="B6198" s="2" t="s">
        <v>141</v>
      </c>
      <c r="C6198" s="2">
        <v>614.37519999999995</v>
      </c>
      <c r="D6198" s="2">
        <f>HYPERLINK("http://mcb-m6.bioreg.kyushu-u.ac.jp/M3/20110411/F50892/1700/1", 36.65)</f>
        <v>36.65</v>
      </c>
      <c r="E6198" s="2">
        <v>19.399999999999999</v>
      </c>
      <c r="F6198" s="2">
        <v>2</v>
      </c>
      <c r="G6198" s="2" t="s">
        <v>9</v>
      </c>
    </row>
    <row r="6199" spans="1:9" x14ac:dyDescent="0.2">
      <c r="A6199" s="2" t="s">
        <v>3351</v>
      </c>
      <c r="B6199" s="2" t="s">
        <v>141</v>
      </c>
      <c r="C6199" s="2">
        <v>1227.5619999999999</v>
      </c>
      <c r="D6199" s="2">
        <f>HYPERLINK("http://mcb-m6.bioreg.kyushu-u.ac.jp/M3/20110411/F50892/1698/1", 38.5)</f>
        <v>38.5</v>
      </c>
      <c r="E6199" s="2">
        <v>14.92</v>
      </c>
      <c r="F6199" s="2">
        <v>1</v>
      </c>
      <c r="G6199" s="2" t="s">
        <v>9</v>
      </c>
    </row>
    <row r="6200" spans="1:9" x14ac:dyDescent="0.2">
      <c r="A6200" s="2" t="s">
        <v>3351</v>
      </c>
      <c r="B6200" s="2" t="s">
        <v>141</v>
      </c>
      <c r="C6200" s="2">
        <v>1227.509</v>
      </c>
      <c r="D6200" s="2">
        <f>HYPERLINK("http://mcb-m6.bioreg.kyushu-u.ac.jp/M3/20110411/F50891/1452/1", 39.1)</f>
        <v>39.1</v>
      </c>
      <c r="E6200" s="2">
        <v>15.47</v>
      </c>
      <c r="F6200" s="2">
        <v>1</v>
      </c>
      <c r="G6200" s="2" t="s">
        <v>9</v>
      </c>
    </row>
    <row r="6201" spans="1:9" x14ac:dyDescent="0.2">
      <c r="A6201" s="2" t="s">
        <v>3351</v>
      </c>
      <c r="B6201" s="2" t="s">
        <v>457</v>
      </c>
      <c r="C6201" s="2">
        <v>460.23160000000001</v>
      </c>
      <c r="D6201" s="2">
        <f>HYPERLINK("http://mcb-m6.bioreg.kyushu-u.ac.jp/M3/20110411/F50892/1168/1", 42.31)</f>
        <v>42.31</v>
      </c>
      <c r="E6201" s="2">
        <v>13.07</v>
      </c>
      <c r="F6201" s="2">
        <v>2</v>
      </c>
      <c r="G6201" s="2" t="s">
        <v>9</v>
      </c>
    </row>
    <row r="6202" spans="1:9" x14ac:dyDescent="0.2">
      <c r="A6202" s="2" t="s">
        <v>3351</v>
      </c>
      <c r="B6202" s="2" t="s">
        <v>1130</v>
      </c>
      <c r="C6202" s="2">
        <v>818.30319999999995</v>
      </c>
      <c r="D6202" s="2">
        <f>HYPERLINK("http://mcb-m6.bioreg.kyushu-u.ac.jp/M3/20110411/F50891/2544/1", 64.4)</f>
        <v>64.400000000000006</v>
      </c>
      <c r="E6202" s="2">
        <v>37.31</v>
      </c>
      <c r="F6202" s="2">
        <v>2</v>
      </c>
      <c r="G6202" s="2" t="s">
        <v>9</v>
      </c>
      <c r="H6202" s="2" t="s">
        <v>4904</v>
      </c>
    </row>
    <row r="6203" spans="1:9" x14ac:dyDescent="0.2">
      <c r="A6203" s="2" t="s">
        <v>3351</v>
      </c>
      <c r="B6203" s="2" t="s">
        <v>1130</v>
      </c>
      <c r="C6203" s="2">
        <v>826.32209999999998</v>
      </c>
      <c r="D6203" s="2">
        <f>HYPERLINK("http://mcb-m6.bioreg.kyushu-u.ac.jp/M3/20110411/F50891/2589/1", 88.1)</f>
        <v>88.1</v>
      </c>
      <c r="E6203" s="2">
        <v>64.53</v>
      </c>
      <c r="F6203" s="2">
        <v>2</v>
      </c>
      <c r="G6203" s="2" t="s">
        <v>9</v>
      </c>
    </row>
    <row r="6204" spans="1:9" x14ac:dyDescent="0.2">
      <c r="A6204" s="2" t="s">
        <v>3351</v>
      </c>
      <c r="B6204" s="2" t="s">
        <v>1668</v>
      </c>
      <c r="C6204" s="2">
        <v>893.36969999999997</v>
      </c>
      <c r="D6204" s="2">
        <f>HYPERLINK("http://mcb-m6.bioreg.kyushu-u.ac.jp/M3/20110411/F50892/2808/1", 119.9)</f>
        <v>119.9</v>
      </c>
      <c r="E6204" s="2">
        <v>92.59</v>
      </c>
      <c r="F6204" s="2">
        <v>2</v>
      </c>
      <c r="G6204" s="2" t="s">
        <v>9</v>
      </c>
    </row>
    <row r="6205" spans="1:9" x14ac:dyDescent="0.2">
      <c r="A6205" s="2" t="s">
        <v>3351</v>
      </c>
      <c r="B6205" s="2" t="s">
        <v>1130</v>
      </c>
      <c r="C6205" s="2">
        <v>826.77369999999996</v>
      </c>
      <c r="D6205" s="2">
        <f>HYPERLINK("http://mcb-m6.bioreg.kyushu-u.ac.jp/M3/20110411/F50899/2519/1", 45.65)</f>
        <v>45.65</v>
      </c>
      <c r="E6205" s="2">
        <v>17.45</v>
      </c>
      <c r="F6205" s="2">
        <v>2</v>
      </c>
      <c r="G6205" s="2" t="s">
        <v>10</v>
      </c>
    </row>
    <row r="6206" spans="1:9" x14ac:dyDescent="0.2">
      <c r="A6206" s="2" t="s">
        <v>3351</v>
      </c>
      <c r="B6206" s="2" t="s">
        <v>1130</v>
      </c>
      <c r="C6206" s="2">
        <v>826.36069999999995</v>
      </c>
      <c r="D6206" s="2">
        <f>HYPERLINK("http://mcb-m6.bioreg.kyushu-u.ac.jp/M3/20110411/F50898/2512/1", 55.88)</f>
        <v>55.88</v>
      </c>
      <c r="E6206" s="2">
        <v>44.46</v>
      </c>
      <c r="F6206" s="2">
        <v>2</v>
      </c>
      <c r="G6206" s="2" t="s">
        <v>10</v>
      </c>
    </row>
    <row r="6207" spans="1:9" x14ac:dyDescent="0.2">
      <c r="A6207" s="2" t="s">
        <v>3351</v>
      </c>
      <c r="B6207" s="2" t="s">
        <v>141</v>
      </c>
      <c r="C6207" s="2">
        <v>614.07709999999997</v>
      </c>
      <c r="D6207" s="2">
        <f>HYPERLINK("http://mcb-m6.bioreg.kyushu-u.ac.jp/M3/20110414/F50929/1852/1", 48.72)</f>
        <v>48.72</v>
      </c>
      <c r="E6207" s="2">
        <v>34.78</v>
      </c>
      <c r="F6207" s="2">
        <v>2</v>
      </c>
      <c r="G6207" s="2" t="s">
        <v>11</v>
      </c>
    </row>
    <row r="6208" spans="1:9" x14ac:dyDescent="0.2">
      <c r="A6208" s="2" t="s">
        <v>3351</v>
      </c>
      <c r="B6208" s="2" t="s">
        <v>2372</v>
      </c>
      <c r="C6208" s="2">
        <v>575.12660000000005</v>
      </c>
      <c r="D6208" s="2">
        <f>HYPERLINK("http://mcb-m6.bioreg.kyushu-u.ac.jp/M3/20110414/F50929/1710/1", 51.25)</f>
        <v>51.25</v>
      </c>
      <c r="E6208" s="2">
        <v>24.82</v>
      </c>
      <c r="F6208" s="2">
        <v>2</v>
      </c>
      <c r="G6208" s="2" t="s">
        <v>11</v>
      </c>
      <c r="H6208" s="2" t="s">
        <v>4920</v>
      </c>
      <c r="I6208" s="2" t="s">
        <v>4898</v>
      </c>
    </row>
    <row r="6209" spans="1:7" x14ac:dyDescent="0.2">
      <c r="A6209" s="2" t="s">
        <v>3351</v>
      </c>
      <c r="B6209" s="2" t="s">
        <v>1130</v>
      </c>
      <c r="C6209" s="2">
        <v>826.32259999999997</v>
      </c>
      <c r="D6209" s="2">
        <f>HYPERLINK("http://mcb-m6.bioreg.kyushu-u.ac.jp/M3/20110414/F50929/2578/1", 82.86)</f>
        <v>82.86</v>
      </c>
      <c r="E6209" s="2">
        <v>72.33</v>
      </c>
      <c r="F6209" s="2">
        <v>2</v>
      </c>
      <c r="G6209" s="2" t="s">
        <v>11</v>
      </c>
    </row>
    <row r="6210" spans="1:7" x14ac:dyDescent="0.2">
      <c r="A6210" s="2" t="s">
        <v>3351</v>
      </c>
      <c r="B6210" s="2" t="s">
        <v>1668</v>
      </c>
      <c r="C6210" s="2">
        <v>893.19569999999999</v>
      </c>
      <c r="D6210" s="2">
        <f>HYPERLINK("http://mcb-m6.bioreg.kyushu-u.ac.jp/M3/20110414/F50929/2739/1", 101.34)</f>
        <v>101.34</v>
      </c>
      <c r="E6210" s="2">
        <v>80.22</v>
      </c>
      <c r="F6210" s="2">
        <v>2</v>
      </c>
      <c r="G6210" s="2" t="s">
        <v>11</v>
      </c>
    </row>
    <row r="6211" spans="1:7" x14ac:dyDescent="0.2">
      <c r="A6211" s="2" t="s">
        <v>3351</v>
      </c>
      <c r="B6211" s="2" t="s">
        <v>1130</v>
      </c>
      <c r="C6211" s="2">
        <v>826.95920000000001</v>
      </c>
      <c r="D6211" s="2">
        <f>HYPERLINK("http://mcb-m6.bioreg.kyushu-u.ac.jp/M3/20110414/F50934/2584/1", 38.85)</f>
        <v>38.85</v>
      </c>
      <c r="E6211" s="2">
        <v>24.13</v>
      </c>
      <c r="F6211" s="2">
        <v>2</v>
      </c>
      <c r="G6211" s="2" t="s">
        <v>12</v>
      </c>
    </row>
    <row r="6212" spans="1:7" x14ac:dyDescent="0.2">
      <c r="A6212" s="2" t="s">
        <v>3351</v>
      </c>
      <c r="B6212" s="2" t="s">
        <v>1130</v>
      </c>
      <c r="C6212" s="2">
        <v>826.4606</v>
      </c>
      <c r="D6212" s="2">
        <f>HYPERLINK("http://mcb-m6.bioreg.kyushu-u.ac.jp/M3/20110414/F50934/2582/1", 44.3)</f>
        <v>44.3</v>
      </c>
      <c r="E6212" s="2">
        <v>34.03</v>
      </c>
      <c r="F6212" s="2">
        <v>2</v>
      </c>
      <c r="G6212" s="2" t="s">
        <v>12</v>
      </c>
    </row>
    <row r="6213" spans="1:7" x14ac:dyDescent="0.2">
      <c r="A6213" s="2" t="s">
        <v>3351</v>
      </c>
      <c r="B6213" s="2" t="s">
        <v>1130</v>
      </c>
      <c r="C6213" s="2">
        <v>826.36659999999995</v>
      </c>
      <c r="D6213" s="2">
        <f>HYPERLINK("http://mcb-m6.bioreg.kyushu-u.ac.jp/M3/20110414/F50934/2581/1", 44.95)</f>
        <v>44.95</v>
      </c>
      <c r="E6213" s="2">
        <v>23.82</v>
      </c>
      <c r="F6213" s="2">
        <v>2</v>
      </c>
      <c r="G6213" s="2" t="s">
        <v>12</v>
      </c>
    </row>
    <row r="6214" spans="1:7" x14ac:dyDescent="0.2">
      <c r="A6214" s="2" t="s">
        <v>3351</v>
      </c>
      <c r="B6214" s="2" t="s">
        <v>141</v>
      </c>
      <c r="C6214" s="2">
        <v>614.45669999999996</v>
      </c>
      <c r="D6214" s="2">
        <f>HYPERLINK("http://mcb-m6.bioreg.kyushu-u.ac.jp/M3/20110414/F50934/1959/1", 53.54)</f>
        <v>53.54</v>
      </c>
      <c r="E6214" s="2">
        <v>34.020000000000003</v>
      </c>
      <c r="F6214" s="2">
        <v>2</v>
      </c>
      <c r="G6214" s="2" t="s">
        <v>12</v>
      </c>
    </row>
    <row r="6215" spans="1:7" x14ac:dyDescent="0.2">
      <c r="A6215" s="2" t="s">
        <v>3351</v>
      </c>
      <c r="B6215" s="2" t="s">
        <v>1130</v>
      </c>
      <c r="C6215" s="2">
        <v>826.4941</v>
      </c>
      <c r="D6215" s="2">
        <f>HYPERLINK("http://mcb-m6.bioreg.kyushu-u.ac.jp/M3/20110414/F50934/2583/1", 74.16)</f>
        <v>74.16</v>
      </c>
      <c r="E6215" s="2">
        <v>59.61</v>
      </c>
      <c r="F6215" s="2">
        <v>2</v>
      </c>
      <c r="G6215" s="2" t="s">
        <v>12</v>
      </c>
    </row>
    <row r="6216" spans="1:7" x14ac:dyDescent="0.2">
      <c r="A6216" s="2" t="s">
        <v>3351</v>
      </c>
      <c r="B6216" s="2" t="s">
        <v>1130</v>
      </c>
      <c r="C6216" s="2">
        <v>826.3827</v>
      </c>
      <c r="D6216" s="2">
        <f>HYPERLINK("http://mcb-m6.bioreg.kyushu-u.ac.jp/M3/20110502/F51169/2445/1", 72.2)</f>
        <v>72.2</v>
      </c>
      <c r="E6216" s="2">
        <v>59.59</v>
      </c>
      <c r="F6216" s="2">
        <v>2</v>
      </c>
      <c r="G6216" s="2" t="s">
        <v>13</v>
      </c>
    </row>
    <row r="6217" spans="1:7" x14ac:dyDescent="0.2">
      <c r="A6217" s="2" t="s">
        <v>3351</v>
      </c>
      <c r="B6217" s="2" t="s">
        <v>1130</v>
      </c>
      <c r="C6217" s="2">
        <v>826.65809999999999</v>
      </c>
      <c r="D6217" s="2">
        <f>HYPERLINK("http://mcb-m6.bioreg.kyushu-u.ac.jp/M3/20110502/F51180/2287/1", 82.72)</f>
        <v>82.72</v>
      </c>
      <c r="E6217" s="2">
        <v>64.22</v>
      </c>
      <c r="F6217" s="2">
        <v>2</v>
      </c>
      <c r="G6217" s="2" t="s">
        <v>13</v>
      </c>
    </row>
    <row r="6218" spans="1:7" x14ac:dyDescent="0.2">
      <c r="A6218" s="2" t="s">
        <v>3351</v>
      </c>
      <c r="B6218" s="2" t="s">
        <v>1130</v>
      </c>
      <c r="C6218" s="2">
        <v>826.77509999999995</v>
      </c>
      <c r="D6218" s="2">
        <f>HYPERLINK("http://mcb-m6.bioreg.kyushu-u.ac.jp/M3/20110502/F51182/2413/1", 78.34)</f>
        <v>78.34</v>
      </c>
      <c r="E6218" s="2">
        <v>46.78</v>
      </c>
      <c r="F6218" s="2">
        <v>2</v>
      </c>
      <c r="G6218" s="2" t="s">
        <v>14</v>
      </c>
    </row>
    <row r="6219" spans="1:7" x14ac:dyDescent="0.2">
      <c r="A6219" s="2" t="s">
        <v>3351</v>
      </c>
      <c r="B6219" s="2" t="s">
        <v>1130</v>
      </c>
      <c r="C6219" s="2">
        <v>826.61220000000003</v>
      </c>
      <c r="D6219" s="2">
        <f>HYPERLINK("http://mcb-m6.bioreg.kyushu-u.ac.jp/M3/20110502/F51178/2471/1", 79.05)</f>
        <v>79.05</v>
      </c>
      <c r="E6219" s="2">
        <v>61.46</v>
      </c>
      <c r="F6219" s="2">
        <v>2</v>
      </c>
      <c r="G6219" s="2" t="s">
        <v>14</v>
      </c>
    </row>
    <row r="6220" spans="1:7" x14ac:dyDescent="0.2">
      <c r="A6220" s="2" t="s">
        <v>3351</v>
      </c>
      <c r="B6220" s="2" t="s">
        <v>1668</v>
      </c>
      <c r="C6220" s="2">
        <v>893.71810000000005</v>
      </c>
      <c r="D6220" s="2">
        <f>HYPERLINK("http://mcb-m6.bioreg.kyushu-u.ac.jp/M3/20110502/F51182/2760/1", 108.98)</f>
        <v>108.98</v>
      </c>
      <c r="E6220" s="2">
        <v>82</v>
      </c>
      <c r="F6220" s="2">
        <v>2</v>
      </c>
      <c r="G6220" s="2" t="s">
        <v>14</v>
      </c>
    </row>
    <row r="6221" spans="1:7" x14ac:dyDescent="0.2">
      <c r="A6221" s="2" t="s">
        <v>3345</v>
      </c>
      <c r="B6221" s="2" t="s">
        <v>134</v>
      </c>
      <c r="C6221" s="2">
        <v>508.86259999999999</v>
      </c>
      <c r="D6221" s="2">
        <f>HYPERLINK("http://mcb-m6.bioreg.kyushu-u.ac.jp/M3/20110411/F50892/1340/1", 36.51)</f>
        <v>36.51</v>
      </c>
      <c r="E6221" s="2">
        <v>13.5</v>
      </c>
      <c r="F6221" s="2">
        <v>2</v>
      </c>
      <c r="G6221" s="2" t="s">
        <v>9</v>
      </c>
    </row>
    <row r="6222" spans="1:7" x14ac:dyDescent="0.2">
      <c r="A6222" s="2" t="s">
        <v>3345</v>
      </c>
      <c r="B6222" s="2" t="s">
        <v>563</v>
      </c>
      <c r="C6222" s="2">
        <v>713.35419999999999</v>
      </c>
      <c r="D6222" s="2">
        <f>HYPERLINK("http://mcb-m6.bioreg.kyushu-u.ac.jp/M3/20110411/F50892/2075/1", 44.94)</f>
        <v>44.94</v>
      </c>
      <c r="E6222" s="2">
        <v>28.61</v>
      </c>
      <c r="F6222" s="2">
        <v>2</v>
      </c>
      <c r="G6222" s="2" t="s">
        <v>9</v>
      </c>
    </row>
    <row r="6223" spans="1:7" x14ac:dyDescent="0.2">
      <c r="A6223" s="2" t="s">
        <v>3345</v>
      </c>
      <c r="B6223" s="2" t="s">
        <v>134</v>
      </c>
      <c r="C6223" s="2">
        <v>508.82560000000001</v>
      </c>
      <c r="D6223" s="2">
        <f>HYPERLINK("http://mcb-m6.bioreg.kyushu-u.ac.jp/M3/20110411/F50892/1339/1", 47.95)</f>
        <v>47.95</v>
      </c>
      <c r="E6223" s="2">
        <v>20.239999999999998</v>
      </c>
      <c r="F6223" s="2">
        <v>2</v>
      </c>
      <c r="G6223" s="2" t="s">
        <v>9</v>
      </c>
    </row>
    <row r="6224" spans="1:7" x14ac:dyDescent="0.2">
      <c r="A6224" s="2" t="s">
        <v>3345</v>
      </c>
      <c r="B6224" s="2" t="s">
        <v>785</v>
      </c>
      <c r="C6224" s="2">
        <v>743.95079999999996</v>
      </c>
      <c r="D6224" s="2">
        <f>HYPERLINK("http://mcb-m6.bioreg.kyushu-u.ac.jp/M3/20110411/F50892/3405/1", 51.31)</f>
        <v>51.31</v>
      </c>
      <c r="E6224" s="2">
        <v>40.659999999999997</v>
      </c>
      <c r="F6224" s="2">
        <v>3</v>
      </c>
      <c r="G6224" s="2" t="s">
        <v>9</v>
      </c>
    </row>
    <row r="6225" spans="1:8" x14ac:dyDescent="0.2">
      <c r="A6225" s="2" t="s">
        <v>3345</v>
      </c>
      <c r="B6225" s="2" t="s">
        <v>867</v>
      </c>
      <c r="C6225" s="2">
        <v>791.9932</v>
      </c>
      <c r="D6225" s="2">
        <f>HYPERLINK("http://mcb-m6.bioreg.kyushu-u.ac.jp/M3/20110411/F50892/2461/1", 53.92)</f>
        <v>53.92</v>
      </c>
      <c r="E6225" s="2">
        <v>26.73</v>
      </c>
      <c r="F6225" s="2">
        <v>2</v>
      </c>
      <c r="G6225" s="2" t="s">
        <v>9</v>
      </c>
    </row>
    <row r="6226" spans="1:8" x14ac:dyDescent="0.2">
      <c r="A6226" s="2" t="s">
        <v>3345</v>
      </c>
      <c r="B6226" s="2" t="s">
        <v>134</v>
      </c>
      <c r="C6226" s="2">
        <v>508.35759999999999</v>
      </c>
      <c r="D6226" s="2">
        <f>HYPERLINK("http://mcb-m6.bioreg.kyushu-u.ac.jp/M3/20110411/F50891/1006/1", 57.06)</f>
        <v>57.06</v>
      </c>
      <c r="E6226" s="2">
        <v>24.71</v>
      </c>
      <c r="F6226" s="2">
        <v>2</v>
      </c>
      <c r="G6226" s="2" t="s">
        <v>9</v>
      </c>
    </row>
    <row r="6227" spans="1:8" x14ac:dyDescent="0.2">
      <c r="A6227" s="2" t="s">
        <v>3345</v>
      </c>
      <c r="B6227" s="2" t="s">
        <v>563</v>
      </c>
      <c r="C6227" s="2">
        <v>713.87220000000002</v>
      </c>
      <c r="D6227" s="2">
        <f>HYPERLINK("http://mcb-m6.bioreg.kyushu-u.ac.jp/M3/20110411/F50891/1942/1", 71.16)</f>
        <v>71.16</v>
      </c>
      <c r="E6227" s="2">
        <v>52.9</v>
      </c>
      <c r="F6227" s="2">
        <v>2</v>
      </c>
      <c r="G6227" s="2" t="s">
        <v>9</v>
      </c>
    </row>
    <row r="6228" spans="1:8" x14ac:dyDescent="0.2">
      <c r="A6228" s="2" t="s">
        <v>3345</v>
      </c>
      <c r="B6228" s="2" t="s">
        <v>563</v>
      </c>
      <c r="C6228" s="2">
        <v>721.40920000000006</v>
      </c>
      <c r="D6228" s="2">
        <f>HYPERLINK("http://mcb-m6.bioreg.kyushu-u.ac.jp/M3/20110411/F50891/1993/1", 75.09)</f>
        <v>75.09</v>
      </c>
      <c r="E6228" s="2">
        <v>54.31</v>
      </c>
      <c r="F6228" s="2">
        <v>2</v>
      </c>
      <c r="G6228" s="2" t="s">
        <v>9</v>
      </c>
      <c r="H6228" s="2" t="s">
        <v>4927</v>
      </c>
    </row>
    <row r="6229" spans="1:8" x14ac:dyDescent="0.2">
      <c r="A6229" s="2" t="s">
        <v>3345</v>
      </c>
      <c r="B6229" s="2" t="s">
        <v>785</v>
      </c>
      <c r="C6229" s="2">
        <v>1115.5060000000001</v>
      </c>
      <c r="D6229" s="2">
        <f>HYPERLINK("http://mcb-m6.bioreg.kyushu-u.ac.jp/M3/20110411/F50892/3406/1", 99.29)</f>
        <v>99.29</v>
      </c>
      <c r="E6229" s="2">
        <v>77.81</v>
      </c>
      <c r="F6229" s="2">
        <v>2</v>
      </c>
      <c r="G6229" s="2" t="s">
        <v>9</v>
      </c>
    </row>
    <row r="6230" spans="1:8" x14ac:dyDescent="0.2">
      <c r="A6230" s="2" t="s">
        <v>3345</v>
      </c>
      <c r="B6230" s="2" t="s">
        <v>867</v>
      </c>
      <c r="C6230" s="2">
        <v>792.23109999999997</v>
      </c>
      <c r="D6230" s="2">
        <f>HYPERLINK("http://mcb-m6.bioreg.kyushu-u.ac.jp/M3/20110411/F50899/2443/1", 49.23)</f>
        <v>49.23</v>
      </c>
      <c r="E6230" s="2">
        <v>23.64</v>
      </c>
      <c r="F6230" s="2">
        <v>2</v>
      </c>
      <c r="G6230" s="2" t="s">
        <v>10</v>
      </c>
    </row>
    <row r="6231" spans="1:8" x14ac:dyDescent="0.2">
      <c r="A6231" s="2" t="s">
        <v>3345</v>
      </c>
      <c r="B6231" s="2" t="s">
        <v>563</v>
      </c>
      <c r="C6231" s="2">
        <v>713.38760000000002</v>
      </c>
      <c r="D6231" s="2">
        <f>HYPERLINK("http://mcb-m6.bioreg.kyushu-u.ac.jp/M3/20110411/F50899/2127/1", 77.88)</f>
        <v>77.88</v>
      </c>
      <c r="E6231" s="2">
        <v>58.99</v>
      </c>
      <c r="F6231" s="2">
        <v>2</v>
      </c>
      <c r="G6231" s="2" t="s">
        <v>10</v>
      </c>
    </row>
    <row r="6232" spans="1:8" x14ac:dyDescent="0.2">
      <c r="A6232" s="2" t="s">
        <v>3345</v>
      </c>
      <c r="B6232" s="2" t="s">
        <v>563</v>
      </c>
      <c r="C6232" s="2">
        <v>713.22119999999995</v>
      </c>
      <c r="D6232" s="2">
        <f>HYPERLINK("http://mcb-m6.bioreg.kyushu-u.ac.jp/M3/20110411/F50898/2081/1", 82.63)</f>
        <v>82.63</v>
      </c>
      <c r="E6232" s="2">
        <v>61.07</v>
      </c>
      <c r="F6232" s="2">
        <v>2</v>
      </c>
      <c r="G6232" s="2" t="s">
        <v>10</v>
      </c>
    </row>
    <row r="6233" spans="1:8" x14ac:dyDescent="0.2">
      <c r="A6233" s="2" t="s">
        <v>3345</v>
      </c>
      <c r="B6233" s="2" t="s">
        <v>134</v>
      </c>
      <c r="C6233" s="2">
        <v>508.52609999999999</v>
      </c>
      <c r="D6233" s="2">
        <f>HYPERLINK("http://mcb-m6.bioreg.kyushu-u.ac.jp/M3/20110414/F50928/1260/1", 36.83)</f>
        <v>36.83</v>
      </c>
      <c r="E6233" s="2">
        <v>17.07</v>
      </c>
      <c r="F6233" s="2">
        <v>2</v>
      </c>
      <c r="G6233" s="2" t="s">
        <v>11</v>
      </c>
    </row>
    <row r="6234" spans="1:8" x14ac:dyDescent="0.2">
      <c r="A6234" s="2" t="s">
        <v>3345</v>
      </c>
      <c r="B6234" s="2" t="s">
        <v>867</v>
      </c>
      <c r="C6234" s="2">
        <v>791.77470000000005</v>
      </c>
      <c r="D6234" s="2">
        <f>HYPERLINK("http://mcb-m6.bioreg.kyushu-u.ac.jp/M3/20110414/F50929/2498/1", 50.33)</f>
        <v>50.33</v>
      </c>
      <c r="E6234" s="2">
        <v>30.35</v>
      </c>
      <c r="F6234" s="2">
        <v>2</v>
      </c>
      <c r="G6234" s="2" t="s">
        <v>11</v>
      </c>
    </row>
    <row r="6235" spans="1:8" x14ac:dyDescent="0.2">
      <c r="A6235" s="2" t="s">
        <v>3345</v>
      </c>
      <c r="B6235" s="2" t="s">
        <v>563</v>
      </c>
      <c r="C6235" s="2">
        <v>721.77419999999995</v>
      </c>
      <c r="D6235" s="2">
        <f>HYPERLINK("http://mcb-m6.bioreg.kyushu-u.ac.jp/M3/20110414/F50929/2210/1", 52.62)</f>
        <v>52.62</v>
      </c>
      <c r="E6235" s="2">
        <v>26.71</v>
      </c>
      <c r="F6235" s="2">
        <v>2</v>
      </c>
      <c r="G6235" s="2" t="s">
        <v>11</v>
      </c>
      <c r="H6235" s="2" t="s">
        <v>4927</v>
      </c>
    </row>
    <row r="6236" spans="1:8" x14ac:dyDescent="0.2">
      <c r="A6236" s="2" t="s">
        <v>3345</v>
      </c>
      <c r="B6236" s="2" t="s">
        <v>563</v>
      </c>
      <c r="C6236" s="2">
        <v>713.17219999999998</v>
      </c>
      <c r="D6236" s="2">
        <f>HYPERLINK("http://mcb-m6.bioreg.kyushu-u.ac.jp/M3/20110414/F50929/2159/1", 64.05)</f>
        <v>64.05</v>
      </c>
      <c r="E6236" s="2">
        <v>49.83</v>
      </c>
      <c r="F6236" s="2">
        <v>2</v>
      </c>
      <c r="G6236" s="2" t="s">
        <v>11</v>
      </c>
    </row>
    <row r="6237" spans="1:8" x14ac:dyDescent="0.2">
      <c r="A6237" s="2" t="s">
        <v>3345</v>
      </c>
      <c r="B6237" s="2" t="s">
        <v>563</v>
      </c>
      <c r="C6237" s="2">
        <v>713.86069999999995</v>
      </c>
      <c r="D6237" s="2">
        <f>HYPERLINK("http://mcb-m6.bioreg.kyushu-u.ac.jp/M3/20110414/F50934/2216/1", 38.96)</f>
        <v>38.96</v>
      </c>
      <c r="E6237" s="2">
        <v>17.93</v>
      </c>
      <c r="F6237" s="2">
        <v>2</v>
      </c>
      <c r="G6237" s="2" t="s">
        <v>12</v>
      </c>
    </row>
    <row r="6238" spans="1:8" x14ac:dyDescent="0.2">
      <c r="A6238" s="2" t="s">
        <v>3345</v>
      </c>
      <c r="B6238" s="2" t="s">
        <v>563</v>
      </c>
      <c r="C6238" s="2">
        <v>713.64170000000001</v>
      </c>
      <c r="D6238" s="2">
        <f>HYPERLINK("http://mcb-m6.bioreg.kyushu-u.ac.jp/M3/20110502/F51180/1627/1", 57.11)</f>
        <v>57.11</v>
      </c>
      <c r="E6238" s="2">
        <v>32.81</v>
      </c>
      <c r="F6238" s="2">
        <v>2</v>
      </c>
      <c r="G6238" s="2" t="s">
        <v>13</v>
      </c>
    </row>
    <row r="6239" spans="1:8" x14ac:dyDescent="0.2">
      <c r="A6239" s="2" t="s">
        <v>3345</v>
      </c>
      <c r="B6239" s="2" t="s">
        <v>563</v>
      </c>
      <c r="C6239" s="2">
        <v>713.54420000000005</v>
      </c>
      <c r="D6239" s="2">
        <f>HYPERLINK("http://mcb-m6.bioreg.kyushu-u.ac.jp/M3/20110502/F51169/2000/1", 59.36)</f>
        <v>59.36</v>
      </c>
      <c r="E6239" s="2">
        <v>47.78</v>
      </c>
      <c r="F6239" s="2">
        <v>2</v>
      </c>
      <c r="G6239" s="2" t="s">
        <v>13</v>
      </c>
    </row>
    <row r="6240" spans="1:8" x14ac:dyDescent="0.2">
      <c r="A6240" s="2" t="s">
        <v>3345</v>
      </c>
      <c r="B6240" s="2" t="s">
        <v>563</v>
      </c>
      <c r="C6240" s="2">
        <v>721.67470000000003</v>
      </c>
      <c r="D6240" s="2">
        <f>HYPERLINK("http://mcb-m6.bioreg.kyushu-u.ac.jp/M3/20110502/F51180/1698/1", 70.99)</f>
        <v>70.989999999999995</v>
      </c>
      <c r="E6240" s="2">
        <v>42.87</v>
      </c>
      <c r="F6240" s="2">
        <v>2</v>
      </c>
      <c r="G6240" s="2" t="s">
        <v>13</v>
      </c>
      <c r="H6240" s="2" t="s">
        <v>4927</v>
      </c>
    </row>
    <row r="6241" spans="1:8" x14ac:dyDescent="0.2">
      <c r="A6241" s="2" t="s">
        <v>3345</v>
      </c>
      <c r="B6241" s="2" t="s">
        <v>563</v>
      </c>
      <c r="C6241" s="2">
        <v>721.44960000000003</v>
      </c>
      <c r="D6241" s="2">
        <f>HYPERLINK("http://mcb-m6.bioreg.kyushu-u.ac.jp/M3/20110502/F51169/2028/1", 71.58)</f>
        <v>71.58</v>
      </c>
      <c r="E6241" s="2">
        <v>46.76</v>
      </c>
      <c r="F6241" s="2">
        <v>2</v>
      </c>
      <c r="G6241" s="2" t="s">
        <v>13</v>
      </c>
      <c r="H6241" s="2" t="s">
        <v>4927</v>
      </c>
    </row>
    <row r="6242" spans="1:8" x14ac:dyDescent="0.2">
      <c r="A6242" s="2" t="s">
        <v>3345</v>
      </c>
      <c r="B6242" s="2" t="s">
        <v>134</v>
      </c>
      <c r="C6242" s="2">
        <v>508.62860000000001</v>
      </c>
      <c r="D6242" s="2">
        <f>HYPERLINK("http://mcb-m6.bioreg.kyushu-u.ac.jp/M3/20110502/F51182/753/1", 41.11)</f>
        <v>41.11</v>
      </c>
      <c r="E6242" s="2">
        <v>8.41</v>
      </c>
      <c r="F6242" s="2">
        <v>2</v>
      </c>
      <c r="G6242" s="2" t="s">
        <v>14</v>
      </c>
    </row>
    <row r="6243" spans="1:8" x14ac:dyDescent="0.2">
      <c r="A6243" s="2" t="s">
        <v>3345</v>
      </c>
      <c r="B6243" s="2" t="s">
        <v>563</v>
      </c>
      <c r="C6243" s="2">
        <v>713.69069999999999</v>
      </c>
      <c r="D6243" s="2">
        <f>HYPERLINK("http://mcb-m6.bioreg.kyushu-u.ac.jp/M3/20110502/F51182/1680/1", 41.73)</f>
        <v>41.73</v>
      </c>
      <c r="E6243" s="2">
        <v>23.11</v>
      </c>
      <c r="F6243" s="2">
        <v>2</v>
      </c>
      <c r="G6243" s="2" t="s">
        <v>14</v>
      </c>
    </row>
    <row r="6244" spans="1:8" x14ac:dyDescent="0.2">
      <c r="A6244" s="2" t="s">
        <v>3345</v>
      </c>
      <c r="B6244" s="2" t="s">
        <v>563</v>
      </c>
      <c r="C6244" s="2">
        <v>721.69320000000005</v>
      </c>
      <c r="D6244" s="2">
        <f>HYPERLINK("http://mcb-m6.bioreg.kyushu-u.ac.jp/M3/20110502/F51182/1765/1", 60.81)</f>
        <v>60.81</v>
      </c>
      <c r="E6244" s="2">
        <v>28.94</v>
      </c>
      <c r="F6244" s="2">
        <v>2</v>
      </c>
      <c r="G6244" s="2" t="s">
        <v>14</v>
      </c>
      <c r="H6244" s="2" t="s">
        <v>4927</v>
      </c>
    </row>
    <row r="6245" spans="1:8" x14ac:dyDescent="0.2">
      <c r="A6245" s="2" t="s">
        <v>3345</v>
      </c>
      <c r="B6245" s="2" t="s">
        <v>563</v>
      </c>
      <c r="C6245" s="2">
        <v>713.50019999999995</v>
      </c>
      <c r="D6245" s="2">
        <f>HYPERLINK("http://mcb-m6.bioreg.kyushu-u.ac.jp/M3/20110502/F51178/1984/1", 68.81)</f>
        <v>68.81</v>
      </c>
      <c r="E6245" s="2">
        <v>49.15</v>
      </c>
      <c r="F6245" s="2">
        <v>2</v>
      </c>
      <c r="G6245" s="2" t="s">
        <v>14</v>
      </c>
    </row>
    <row r="6246" spans="1:8" x14ac:dyDescent="0.2">
      <c r="A6246" s="2" t="s">
        <v>4800</v>
      </c>
      <c r="B6246" s="2" t="s">
        <v>3038</v>
      </c>
      <c r="C6246" s="2">
        <v>645.16020000000003</v>
      </c>
      <c r="D6246" s="2">
        <f>HYPERLINK("http://mcb-m6.bioreg.kyushu-u.ac.jp/M3/20110502/F51178/1689/1", 39.18)</f>
        <v>39.18</v>
      </c>
      <c r="E6246" s="2">
        <v>9.85</v>
      </c>
      <c r="F6246" s="2">
        <v>2</v>
      </c>
      <c r="G6246" s="2" t="s">
        <v>14</v>
      </c>
    </row>
    <row r="6247" spans="1:8" x14ac:dyDescent="0.2">
      <c r="A6247" s="2" t="s">
        <v>4800</v>
      </c>
      <c r="B6247" s="2" t="s">
        <v>3038</v>
      </c>
      <c r="C6247" s="2">
        <v>644.99469999999997</v>
      </c>
      <c r="D6247" s="2">
        <f>HYPERLINK("http://mcb-m6.bioreg.kyushu-u.ac.jp/M3/20110502/F51186/1404/1", 45.36)</f>
        <v>45.36</v>
      </c>
      <c r="E6247" s="2">
        <v>17.809999999999999</v>
      </c>
      <c r="F6247" s="2">
        <v>2</v>
      </c>
      <c r="G6247" s="2" t="s">
        <v>14</v>
      </c>
    </row>
    <row r="6248" spans="1:8" x14ac:dyDescent="0.2">
      <c r="A6248" s="2" t="s">
        <v>4450</v>
      </c>
      <c r="B6248" s="2" t="s">
        <v>2358</v>
      </c>
      <c r="C6248" s="2">
        <v>506.59910000000002</v>
      </c>
      <c r="D6248" s="2">
        <f>HYPERLINK("http://mcb-m6.bioreg.kyushu-u.ac.jp/M3/20110414/F50941/919/1", 50.04)</f>
        <v>50.04</v>
      </c>
      <c r="E6248" s="2">
        <v>28.65</v>
      </c>
      <c r="F6248" s="2">
        <v>2</v>
      </c>
      <c r="G6248" s="2" t="s">
        <v>11</v>
      </c>
    </row>
    <row r="6249" spans="1:8" x14ac:dyDescent="0.2">
      <c r="A6249" s="2" t="s">
        <v>3906</v>
      </c>
      <c r="B6249" s="2" t="s">
        <v>1068</v>
      </c>
      <c r="C6249" s="2">
        <v>1221.5899999999999</v>
      </c>
      <c r="D6249" s="2">
        <f>HYPERLINK("http://mcb-m6.bioreg.kyushu-u.ac.jp/M3/20110411/F50892/1686/1", 61.32)</f>
        <v>61.32</v>
      </c>
      <c r="E6249" s="2">
        <v>38.64</v>
      </c>
      <c r="F6249" s="2">
        <v>1</v>
      </c>
      <c r="G6249" s="2" t="s">
        <v>9</v>
      </c>
    </row>
    <row r="6250" spans="1:8" x14ac:dyDescent="0.2">
      <c r="A6250" s="2" t="s">
        <v>3906</v>
      </c>
      <c r="B6250" s="2" t="s">
        <v>1068</v>
      </c>
      <c r="C6250" s="2">
        <v>611.44960000000003</v>
      </c>
      <c r="D6250" s="2">
        <f>HYPERLINK("http://mcb-m6.bioreg.kyushu-u.ac.jp/M3/20110411/F50892/1688/1", 64.28)</f>
        <v>64.28</v>
      </c>
      <c r="E6250" s="2">
        <v>45.78</v>
      </c>
      <c r="F6250" s="2">
        <v>2</v>
      </c>
      <c r="G6250" s="2" t="s">
        <v>9</v>
      </c>
    </row>
    <row r="6251" spans="1:8" x14ac:dyDescent="0.2">
      <c r="A6251" s="2" t="s">
        <v>3906</v>
      </c>
      <c r="B6251" s="2" t="s">
        <v>1068</v>
      </c>
      <c r="C6251" s="2">
        <v>611.11569999999995</v>
      </c>
      <c r="D6251" s="2">
        <f>HYPERLINK("http://mcb-m6.bioreg.kyushu-u.ac.jp/M3/20110411/F50899/1848/1", 43.26)</f>
        <v>43.26</v>
      </c>
      <c r="E6251" s="2">
        <v>30.41</v>
      </c>
      <c r="F6251" s="2">
        <v>2</v>
      </c>
      <c r="G6251" s="2" t="s">
        <v>10</v>
      </c>
    </row>
    <row r="6252" spans="1:8" x14ac:dyDescent="0.2">
      <c r="A6252" s="2" t="s">
        <v>3906</v>
      </c>
      <c r="B6252" s="2" t="s">
        <v>1068</v>
      </c>
      <c r="C6252" s="2">
        <v>611.85860000000002</v>
      </c>
      <c r="D6252" s="2">
        <f>HYPERLINK("http://mcb-m6.bioreg.kyushu-u.ac.jp/M3/20110414/F50929/1842/1", 39.38)</f>
        <v>39.380000000000003</v>
      </c>
      <c r="E6252" s="2">
        <v>22.86</v>
      </c>
      <c r="F6252" s="2">
        <v>2</v>
      </c>
      <c r="G6252" s="2" t="s">
        <v>11</v>
      </c>
    </row>
    <row r="6253" spans="1:8" x14ac:dyDescent="0.2">
      <c r="A6253" s="2" t="s">
        <v>3906</v>
      </c>
      <c r="B6253" s="2" t="s">
        <v>1068</v>
      </c>
      <c r="C6253" s="2">
        <v>611.56119999999999</v>
      </c>
      <c r="D6253" s="2">
        <f>HYPERLINK("http://mcb-m6.bioreg.kyushu-u.ac.jp/M3/20110502/F51180/1175/1", 62.2)</f>
        <v>62.2</v>
      </c>
      <c r="E6253" s="2">
        <v>28.83</v>
      </c>
      <c r="F6253" s="2">
        <v>2</v>
      </c>
      <c r="G6253" s="2" t="s">
        <v>13</v>
      </c>
    </row>
    <row r="6254" spans="1:8" x14ac:dyDescent="0.2">
      <c r="A6254" s="2" t="s">
        <v>3906</v>
      </c>
      <c r="B6254" s="2" t="s">
        <v>1068</v>
      </c>
      <c r="C6254" s="2">
        <v>611.70209999999997</v>
      </c>
      <c r="D6254" s="2">
        <f>HYPERLINK("http://mcb-m6.bioreg.kyushu-u.ac.jp/M3/20110502/F51182/1183/1", 60.22)</f>
        <v>60.22</v>
      </c>
      <c r="E6254" s="2">
        <v>34.03</v>
      </c>
      <c r="F6254" s="2">
        <v>2</v>
      </c>
      <c r="G6254" s="2" t="s">
        <v>14</v>
      </c>
    </row>
    <row r="6255" spans="1:8" x14ac:dyDescent="0.2">
      <c r="A6255" s="2" t="s">
        <v>3469</v>
      </c>
      <c r="B6255" s="2" t="s">
        <v>281</v>
      </c>
      <c r="C6255" s="2">
        <v>552.36569999999995</v>
      </c>
      <c r="D6255" s="2">
        <f>HYPERLINK("http://mcb-m6.bioreg.kyushu-u.ac.jp/M3/20110411/F50915/974/1", 38.92)</f>
        <v>38.92</v>
      </c>
      <c r="E6255" s="2">
        <v>12.04</v>
      </c>
      <c r="F6255" s="2">
        <v>2</v>
      </c>
      <c r="G6255" s="2" t="s">
        <v>9</v>
      </c>
    </row>
    <row r="6256" spans="1:8" x14ac:dyDescent="0.2">
      <c r="A6256" s="2" t="s">
        <v>4726</v>
      </c>
      <c r="B6256" s="2" t="s">
        <v>2932</v>
      </c>
      <c r="C6256" s="2">
        <v>654.08169999999996</v>
      </c>
      <c r="D6256" s="2">
        <f>HYPERLINK("http://mcb-m6.bioreg.kyushu-u.ac.jp/M3/20110502/F51173/1295/1", 58.77)</f>
        <v>58.77</v>
      </c>
      <c r="E6256" s="2">
        <v>45.92</v>
      </c>
      <c r="F6256" s="2">
        <v>2</v>
      </c>
      <c r="G6256" s="2" t="s">
        <v>13</v>
      </c>
    </row>
    <row r="6257" spans="1:9" x14ac:dyDescent="0.2">
      <c r="A6257" s="2" t="s">
        <v>3869</v>
      </c>
      <c r="B6257" s="2" t="s">
        <v>986</v>
      </c>
      <c r="C6257" s="2">
        <v>751.05870000000004</v>
      </c>
      <c r="D6257" s="2">
        <f>HYPERLINK("http://mcb-m6.bioreg.kyushu-u.ac.jp/M3/20110411/F50904/2093/1", 57.92)</f>
        <v>57.92</v>
      </c>
      <c r="E6257" s="2">
        <v>31.34</v>
      </c>
      <c r="F6257" s="2">
        <v>2</v>
      </c>
      <c r="G6257" s="2" t="s">
        <v>9</v>
      </c>
    </row>
    <row r="6258" spans="1:9" x14ac:dyDescent="0.2">
      <c r="A6258" s="2" t="s">
        <v>4053</v>
      </c>
      <c r="B6258" s="2" t="s">
        <v>1409</v>
      </c>
      <c r="C6258" s="2">
        <v>708.47919999999999</v>
      </c>
      <c r="D6258" s="2">
        <f>HYPERLINK("http://mcb-m6.bioreg.kyushu-u.ac.jp/M3/20110411/F50895/1916/1", 78.29)</f>
        <v>78.290000000000006</v>
      </c>
      <c r="E6258" s="2">
        <v>55.63</v>
      </c>
      <c r="F6258" s="2">
        <v>2</v>
      </c>
      <c r="G6258" s="2" t="s">
        <v>9</v>
      </c>
    </row>
    <row r="6259" spans="1:9" x14ac:dyDescent="0.2">
      <c r="A6259" s="2" t="s">
        <v>4053</v>
      </c>
      <c r="B6259" s="2" t="s">
        <v>1409</v>
      </c>
      <c r="C6259" s="2">
        <v>708.41819999999996</v>
      </c>
      <c r="D6259" s="2">
        <f>HYPERLINK("http://mcb-m6.bioreg.kyushu-u.ac.jp/M3/20110414/F50944/1913/1", 65.41)</f>
        <v>65.41</v>
      </c>
      <c r="E6259" s="2">
        <v>50.1</v>
      </c>
      <c r="F6259" s="2">
        <v>2</v>
      </c>
      <c r="G6259" s="2" t="s">
        <v>11</v>
      </c>
    </row>
    <row r="6260" spans="1:9" x14ac:dyDescent="0.2">
      <c r="A6260" s="2" t="s">
        <v>4053</v>
      </c>
      <c r="B6260" s="2" t="s">
        <v>1409</v>
      </c>
      <c r="C6260" s="2">
        <v>708.53309999999999</v>
      </c>
      <c r="D6260" s="2">
        <f>HYPERLINK("http://mcb-m6.bioreg.kyushu-u.ac.jp/M3/20110502/F51174/1829/1", 69.1)</f>
        <v>69.099999999999994</v>
      </c>
      <c r="E6260" s="2">
        <v>42.88</v>
      </c>
      <c r="F6260" s="2">
        <v>2</v>
      </c>
      <c r="G6260" s="2" t="s">
        <v>13</v>
      </c>
    </row>
    <row r="6261" spans="1:9" x14ac:dyDescent="0.2">
      <c r="A6261" s="2" t="s">
        <v>4053</v>
      </c>
      <c r="B6261" s="2" t="s">
        <v>1409</v>
      </c>
      <c r="C6261" s="2">
        <v>708.81709999999998</v>
      </c>
      <c r="D6261" s="2">
        <f>HYPERLINK("http://mcb-m6.bioreg.kyushu-u.ac.jp/M3/20110502/F51175/1773/1", 79.48)</f>
        <v>79.48</v>
      </c>
      <c r="E6261" s="2">
        <v>51.98</v>
      </c>
      <c r="F6261" s="2">
        <v>2</v>
      </c>
      <c r="G6261" s="2" t="s">
        <v>13</v>
      </c>
    </row>
    <row r="6262" spans="1:9" x14ac:dyDescent="0.2">
      <c r="A6262" s="2" t="s">
        <v>4053</v>
      </c>
      <c r="B6262" s="2" t="s">
        <v>1409</v>
      </c>
      <c r="C6262" s="2">
        <v>708.6277</v>
      </c>
      <c r="D6262" s="2">
        <f>HYPERLINK("http://mcb-m6.bioreg.kyushu-u.ac.jp/M3/20110502/F51186/1712/1", 94.6)</f>
        <v>94.6</v>
      </c>
      <c r="E6262" s="2">
        <v>74.459999999999994</v>
      </c>
      <c r="F6262" s="2">
        <v>2</v>
      </c>
      <c r="G6262" s="2" t="s">
        <v>14</v>
      </c>
    </row>
    <row r="6263" spans="1:9" x14ac:dyDescent="0.2">
      <c r="A6263" s="2" t="s">
        <v>4279</v>
      </c>
      <c r="B6263" s="2" t="s">
        <v>1959</v>
      </c>
      <c r="C6263" s="2">
        <v>761.69600000000003</v>
      </c>
      <c r="D6263" s="2">
        <f>HYPERLINK("http://mcb-m6.bioreg.kyushu-u.ac.jp/M3/20110411/F50902/847/1", 54.38)</f>
        <v>54.38</v>
      </c>
      <c r="E6263" s="2">
        <v>28.71</v>
      </c>
      <c r="F6263" s="2">
        <v>1</v>
      </c>
      <c r="G6263" s="2" t="s">
        <v>10</v>
      </c>
    </row>
    <row r="6264" spans="1:9" x14ac:dyDescent="0.2">
      <c r="A6264" s="2" t="s">
        <v>3461</v>
      </c>
      <c r="B6264" s="2" t="s">
        <v>272</v>
      </c>
      <c r="C6264" s="2">
        <v>901.04420000000005</v>
      </c>
      <c r="D6264" s="2">
        <f>HYPERLINK("http://mcb-m6.bioreg.kyushu-u.ac.jp/M3/20110411/F50895/2836/1", 38.82)</f>
        <v>38.82</v>
      </c>
      <c r="E6264" s="2">
        <v>27.12</v>
      </c>
      <c r="F6264" s="2">
        <v>2</v>
      </c>
      <c r="G6264" s="2" t="s">
        <v>9</v>
      </c>
    </row>
    <row r="6265" spans="1:9" x14ac:dyDescent="0.2">
      <c r="A6265" s="2" t="s">
        <v>3461</v>
      </c>
      <c r="B6265" s="2" t="s">
        <v>2037</v>
      </c>
      <c r="C6265" s="2">
        <v>700.94669999999996</v>
      </c>
      <c r="D6265" s="2">
        <f>HYPERLINK("http://mcb-m6.bioreg.kyushu-u.ac.jp/M3/20110411/F50902/1852/1", 66.08)</f>
        <v>66.08</v>
      </c>
      <c r="E6265" s="2">
        <v>31.29</v>
      </c>
      <c r="F6265" s="2">
        <v>2</v>
      </c>
      <c r="G6265" s="2" t="s">
        <v>10</v>
      </c>
    </row>
    <row r="6266" spans="1:9" x14ac:dyDescent="0.2">
      <c r="A6266" s="2" t="s">
        <v>3461</v>
      </c>
      <c r="B6266" s="2" t="s">
        <v>272</v>
      </c>
      <c r="C6266" s="2">
        <v>900.99159999999995</v>
      </c>
      <c r="D6266" s="2">
        <f>HYPERLINK("http://mcb-m6.bioreg.kyushu-u.ac.jp/M3/20110414/F50944/2670/1", 35.87)</f>
        <v>35.869999999999997</v>
      </c>
      <c r="E6266" s="2">
        <v>18.61</v>
      </c>
      <c r="F6266" s="2">
        <v>2</v>
      </c>
      <c r="G6266" s="2" t="s">
        <v>11</v>
      </c>
    </row>
    <row r="6267" spans="1:9" x14ac:dyDescent="0.2">
      <c r="A6267" s="2" t="s">
        <v>3461</v>
      </c>
      <c r="B6267" s="2" t="s">
        <v>272</v>
      </c>
      <c r="C6267" s="2">
        <v>900.53369999999995</v>
      </c>
      <c r="D6267" s="2">
        <f>HYPERLINK("http://mcb-m6.bioreg.kyushu-u.ac.jp/M3/20110414/F50950/3031/1", 76.13)</f>
        <v>76.13</v>
      </c>
      <c r="E6267" s="2">
        <v>58.84</v>
      </c>
      <c r="F6267" s="2">
        <v>2</v>
      </c>
      <c r="G6267" s="2" t="s">
        <v>12</v>
      </c>
    </row>
    <row r="6268" spans="1:9" x14ac:dyDescent="0.2">
      <c r="A6268" s="2" t="s">
        <v>3461</v>
      </c>
      <c r="B6268" s="2" t="s">
        <v>2771</v>
      </c>
      <c r="C6268" s="2">
        <v>969.04060000000004</v>
      </c>
      <c r="D6268" s="2">
        <f>HYPERLINK("http://mcb-m6.bioreg.kyushu-u.ac.jp/M3/20110414/F50950/3368/1", 85.39)</f>
        <v>85.39</v>
      </c>
      <c r="E6268" s="2">
        <v>65.430000000000007</v>
      </c>
      <c r="F6268" s="2">
        <v>2</v>
      </c>
      <c r="G6268" s="2" t="s">
        <v>12</v>
      </c>
    </row>
    <row r="6269" spans="1:9" x14ac:dyDescent="0.2">
      <c r="A6269" s="2" t="s">
        <v>4026</v>
      </c>
      <c r="B6269" s="2" t="s">
        <v>1341</v>
      </c>
      <c r="C6269" s="2">
        <v>714.02970000000005</v>
      </c>
      <c r="D6269" s="2">
        <f>HYPERLINK("http://mcb-m6.bioreg.kyushu-u.ac.jp/M3/20110411/F50895/1946/1", 74.12)</f>
        <v>74.12</v>
      </c>
      <c r="E6269" s="2">
        <v>61.54</v>
      </c>
      <c r="F6269" s="2">
        <v>2</v>
      </c>
      <c r="G6269" s="2" t="s">
        <v>9</v>
      </c>
    </row>
    <row r="6270" spans="1:9" x14ac:dyDescent="0.2">
      <c r="A6270" s="2" t="s">
        <v>4026</v>
      </c>
      <c r="B6270" s="2" t="s">
        <v>2648</v>
      </c>
      <c r="C6270" s="2">
        <v>1130.0429999999999</v>
      </c>
      <c r="D6270" s="2">
        <f>HYPERLINK("http://mcb-m6.bioreg.kyushu-u.ac.jp/M3/20110414/F50950/3893/1", 46.98)</f>
        <v>46.98</v>
      </c>
      <c r="E6270" s="2">
        <v>37.159999999999997</v>
      </c>
      <c r="F6270" s="2">
        <v>2</v>
      </c>
      <c r="G6270" s="2" t="s">
        <v>12</v>
      </c>
      <c r="I6270" s="2" t="s">
        <v>4898</v>
      </c>
    </row>
    <row r="6271" spans="1:9" x14ac:dyDescent="0.2">
      <c r="A6271" s="2" t="s">
        <v>4026</v>
      </c>
      <c r="B6271" s="2" t="s">
        <v>2676</v>
      </c>
      <c r="C6271" s="2">
        <v>819.3922</v>
      </c>
      <c r="D6271" s="2">
        <f>HYPERLINK("http://mcb-m6.bioreg.kyushu-u.ac.jp/M3/20110414/F50950/2625/1", 51.34)</f>
        <v>51.34</v>
      </c>
      <c r="E6271" s="2">
        <v>36.11</v>
      </c>
      <c r="F6271" s="2">
        <v>2</v>
      </c>
      <c r="G6271" s="2" t="s">
        <v>12</v>
      </c>
      <c r="I6271" s="2" t="s">
        <v>4906</v>
      </c>
    </row>
    <row r="6272" spans="1:9" x14ac:dyDescent="0.2">
      <c r="A6272" s="2" t="s">
        <v>4026</v>
      </c>
      <c r="B6272" s="2" t="s">
        <v>2715</v>
      </c>
      <c r="C6272" s="2">
        <v>941.50070000000005</v>
      </c>
      <c r="D6272" s="2">
        <f>HYPERLINK("http://mcb-m6.bioreg.kyushu-u.ac.jp/M3/20110414/F50950/3231/1", 61.57)</f>
        <v>61.57</v>
      </c>
      <c r="E6272" s="2">
        <v>36.17</v>
      </c>
      <c r="F6272" s="2">
        <v>2</v>
      </c>
      <c r="G6272" s="2" t="s">
        <v>12</v>
      </c>
      <c r="I6272" s="2" t="s">
        <v>4898</v>
      </c>
    </row>
    <row r="6273" spans="1:9" x14ac:dyDescent="0.2">
      <c r="A6273" s="2" t="s">
        <v>3651</v>
      </c>
      <c r="B6273" s="2" t="s">
        <v>581</v>
      </c>
      <c r="C6273" s="2">
        <v>550.41719999999998</v>
      </c>
      <c r="D6273" s="2">
        <f>HYPERLINK("http://mcb-m6.bioreg.kyushu-u.ac.jp/M3/20110411/F50895/1236/1", 45.41)</f>
        <v>45.41</v>
      </c>
      <c r="E6273" s="2">
        <v>14.79</v>
      </c>
      <c r="F6273" s="2">
        <v>2</v>
      </c>
      <c r="G6273" s="2" t="s">
        <v>9</v>
      </c>
    </row>
    <row r="6274" spans="1:9" x14ac:dyDescent="0.2">
      <c r="A6274" s="2" t="s">
        <v>3651</v>
      </c>
      <c r="B6274" s="2" t="s">
        <v>1476</v>
      </c>
      <c r="C6274" s="2">
        <v>827.42520000000002</v>
      </c>
      <c r="D6274" s="2">
        <f>HYPERLINK("http://mcb-m6.bioreg.kyushu-u.ac.jp/M3/20110411/F50895/2505/1", 83.85)</f>
        <v>83.85</v>
      </c>
      <c r="E6274" s="2">
        <v>65.42</v>
      </c>
      <c r="F6274" s="2">
        <v>2</v>
      </c>
      <c r="G6274" s="2" t="s">
        <v>9</v>
      </c>
    </row>
    <row r="6275" spans="1:9" x14ac:dyDescent="0.2">
      <c r="A6275" s="2" t="s">
        <v>3651</v>
      </c>
      <c r="B6275" s="2" t="s">
        <v>1976</v>
      </c>
      <c r="C6275" s="2">
        <v>643.58759999999995</v>
      </c>
      <c r="D6275" s="2">
        <f>HYPERLINK("http://mcb-m6.bioreg.kyushu-u.ac.jp/M3/20110411/F50902/1616/1", 55.92)</f>
        <v>55.92</v>
      </c>
      <c r="E6275" s="2">
        <v>26.88</v>
      </c>
      <c r="F6275" s="2">
        <v>2</v>
      </c>
      <c r="G6275" s="2" t="s">
        <v>10</v>
      </c>
    </row>
    <row r="6276" spans="1:9" x14ac:dyDescent="0.2">
      <c r="A6276" s="2" t="s">
        <v>3651</v>
      </c>
      <c r="B6276" s="2" t="s">
        <v>1476</v>
      </c>
      <c r="C6276" s="2">
        <v>827.31619999999998</v>
      </c>
      <c r="D6276" s="2">
        <f>HYPERLINK("http://mcb-m6.bioreg.kyushu-u.ac.jp/M3/20110414/F50943/2376/1", 50.52)</f>
        <v>50.52</v>
      </c>
      <c r="E6276" s="2">
        <v>32.380000000000003</v>
      </c>
      <c r="F6276" s="2">
        <v>2</v>
      </c>
      <c r="G6276" s="2" t="s">
        <v>11</v>
      </c>
    </row>
    <row r="6277" spans="1:9" x14ac:dyDescent="0.2">
      <c r="A6277" s="2" t="s">
        <v>3651</v>
      </c>
      <c r="B6277" s="2" t="s">
        <v>2449</v>
      </c>
      <c r="C6277" s="2">
        <v>926.52120000000002</v>
      </c>
      <c r="D6277" s="2">
        <f>HYPERLINK("http://mcb-m6.bioreg.kyushu-u.ac.jp/M3/20110414/F50944/2747/1", 66.5)</f>
        <v>66.5</v>
      </c>
      <c r="E6277" s="2">
        <v>55.42</v>
      </c>
      <c r="F6277" s="2">
        <v>2</v>
      </c>
      <c r="G6277" s="2" t="s">
        <v>11</v>
      </c>
      <c r="I6277" s="2" t="s">
        <v>4962</v>
      </c>
    </row>
    <row r="6278" spans="1:9" x14ac:dyDescent="0.2">
      <c r="A6278" s="2" t="s">
        <v>3651</v>
      </c>
      <c r="B6278" s="2" t="s">
        <v>1976</v>
      </c>
      <c r="C6278" s="2">
        <v>643.00869999999998</v>
      </c>
      <c r="D6278" s="2">
        <f>HYPERLINK("http://mcb-m6.bioreg.kyushu-u.ac.jp/M3/20110414/F50950/1579/1", 42.57)</f>
        <v>42.57</v>
      </c>
      <c r="E6278" s="2">
        <v>9.17</v>
      </c>
      <c r="F6278" s="2">
        <v>2</v>
      </c>
      <c r="G6278" s="2" t="s">
        <v>12</v>
      </c>
    </row>
    <row r="6279" spans="1:9" x14ac:dyDescent="0.2">
      <c r="A6279" s="2" t="s">
        <v>3651</v>
      </c>
      <c r="B6279" s="2" t="s">
        <v>1476</v>
      </c>
      <c r="C6279" s="2">
        <v>826.53269999999998</v>
      </c>
      <c r="D6279" s="2">
        <f>HYPERLINK("http://mcb-m6.bioreg.kyushu-u.ac.jp/M3/20110414/F50950/2659/1", 85.08)</f>
        <v>85.08</v>
      </c>
      <c r="E6279" s="2">
        <v>54.17</v>
      </c>
      <c r="F6279" s="2">
        <v>2</v>
      </c>
      <c r="G6279" s="2" t="s">
        <v>12</v>
      </c>
    </row>
    <row r="6280" spans="1:9" x14ac:dyDescent="0.2">
      <c r="A6280" s="2" t="s">
        <v>3651</v>
      </c>
      <c r="B6280" s="2" t="s">
        <v>2449</v>
      </c>
      <c r="C6280" s="2">
        <v>926.09519999999998</v>
      </c>
      <c r="D6280" s="2">
        <f>HYPERLINK("http://mcb-m6.bioreg.kyushu-u.ac.jp/M3/20110414/F50950/3155/1", 112.96)</f>
        <v>112.96</v>
      </c>
      <c r="E6280" s="2">
        <v>93.24</v>
      </c>
      <c r="F6280" s="2">
        <v>2</v>
      </c>
      <c r="G6280" s="2" t="s">
        <v>12</v>
      </c>
      <c r="I6280" s="2" t="s">
        <v>4962</v>
      </c>
    </row>
    <row r="6281" spans="1:9" x14ac:dyDescent="0.2">
      <c r="A6281" s="2" t="s">
        <v>3651</v>
      </c>
      <c r="B6281" s="2" t="s">
        <v>1976</v>
      </c>
      <c r="C6281" s="2">
        <v>643.63919999999996</v>
      </c>
      <c r="D6281" s="2">
        <f>HYPERLINK("http://mcb-m6.bioreg.kyushu-u.ac.jp/M3/20110502/F51175/1497/1", 48.18)</f>
        <v>48.18</v>
      </c>
      <c r="E6281" s="2">
        <v>19.72</v>
      </c>
      <c r="F6281" s="2">
        <v>2</v>
      </c>
      <c r="G6281" s="2" t="s">
        <v>13</v>
      </c>
    </row>
    <row r="6282" spans="1:9" x14ac:dyDescent="0.2">
      <c r="A6282" s="2" t="s">
        <v>3651</v>
      </c>
      <c r="B6282" s="2" t="s">
        <v>1476</v>
      </c>
      <c r="C6282" s="2">
        <v>827.41669999999999</v>
      </c>
      <c r="D6282" s="2">
        <f>HYPERLINK("http://mcb-m6.bioreg.kyushu-u.ac.jp/M3/20110502/F51174/2282/1", 73.5)</f>
        <v>73.5</v>
      </c>
      <c r="E6282" s="2">
        <v>50.1</v>
      </c>
      <c r="F6282" s="2">
        <v>2</v>
      </c>
      <c r="G6282" s="2" t="s">
        <v>13</v>
      </c>
    </row>
    <row r="6283" spans="1:9" x14ac:dyDescent="0.2">
      <c r="A6283" s="2" t="s">
        <v>3651</v>
      </c>
      <c r="B6283" s="2" t="s">
        <v>1476</v>
      </c>
      <c r="C6283" s="2">
        <v>827.24270000000001</v>
      </c>
      <c r="D6283" s="2">
        <f>HYPERLINK("http://mcb-m6.bioreg.kyushu-u.ac.jp/M3/20110502/F51185/2317/1", 74.43)</f>
        <v>74.430000000000007</v>
      </c>
      <c r="E6283" s="2">
        <v>52.28</v>
      </c>
      <c r="F6283" s="2">
        <v>2</v>
      </c>
      <c r="G6283" s="2" t="s">
        <v>14</v>
      </c>
    </row>
    <row r="6284" spans="1:9" x14ac:dyDescent="0.2">
      <c r="A6284" s="2" t="s">
        <v>3651</v>
      </c>
      <c r="B6284" s="2" t="s">
        <v>1476</v>
      </c>
      <c r="C6284" s="2">
        <v>827.14970000000005</v>
      </c>
      <c r="D6284" s="2">
        <f>HYPERLINK("http://mcb-m6.bioreg.kyushu-u.ac.jp/M3/20110502/F51186/2244/1", 77.52)</f>
        <v>77.52</v>
      </c>
      <c r="E6284" s="2">
        <v>57.42</v>
      </c>
      <c r="F6284" s="2">
        <v>2</v>
      </c>
      <c r="G6284" s="2" t="s">
        <v>14</v>
      </c>
    </row>
    <row r="6285" spans="1:9" x14ac:dyDescent="0.2">
      <c r="A6285" s="2" t="s">
        <v>3432</v>
      </c>
      <c r="B6285" s="2" t="s">
        <v>240</v>
      </c>
      <c r="C6285" s="2">
        <v>657.4402</v>
      </c>
      <c r="D6285" s="2">
        <f>HYPERLINK("http://mcb-m6.bioreg.kyushu-u.ac.jp/M3/20110411/F50895/1666/1", 38.35)</f>
        <v>38.35</v>
      </c>
      <c r="E6285" s="2">
        <v>20.350000000000001</v>
      </c>
      <c r="F6285" s="2">
        <v>2</v>
      </c>
      <c r="G6285" s="2" t="s">
        <v>9</v>
      </c>
    </row>
    <row r="6286" spans="1:9" x14ac:dyDescent="0.2">
      <c r="A6286" s="2" t="s">
        <v>3432</v>
      </c>
      <c r="B6286" s="2" t="s">
        <v>387</v>
      </c>
      <c r="C6286" s="2">
        <v>631.48360000000002</v>
      </c>
      <c r="D6286" s="2">
        <f>HYPERLINK("http://mcb-m6.bioreg.kyushu-u.ac.jp/M3/20110411/F50895/1567/1", 40.95)</f>
        <v>40.950000000000003</v>
      </c>
      <c r="E6286" s="2">
        <v>18.690000000000001</v>
      </c>
      <c r="F6286" s="2">
        <v>2</v>
      </c>
      <c r="G6286" s="2" t="s">
        <v>9</v>
      </c>
    </row>
    <row r="6287" spans="1:9" x14ac:dyDescent="0.2">
      <c r="A6287" s="2" t="s">
        <v>3432</v>
      </c>
      <c r="B6287" s="2" t="s">
        <v>631</v>
      </c>
      <c r="C6287" s="2">
        <v>824.26819999999998</v>
      </c>
      <c r="D6287" s="2">
        <f>HYPERLINK("http://mcb-m6.bioreg.kyushu-u.ac.jp/M3/20110411/F50895/2491/1", 46.7)</f>
        <v>46.7</v>
      </c>
      <c r="E6287" s="2">
        <v>26.65</v>
      </c>
      <c r="F6287" s="2">
        <v>2</v>
      </c>
      <c r="G6287" s="2" t="s">
        <v>9</v>
      </c>
    </row>
    <row r="6288" spans="1:9" x14ac:dyDescent="0.2">
      <c r="A6288" s="2" t="s">
        <v>3432</v>
      </c>
      <c r="B6288" s="2" t="s">
        <v>652</v>
      </c>
      <c r="C6288" s="2">
        <v>576.55359999999996</v>
      </c>
      <c r="D6288" s="2">
        <f>HYPERLINK("http://mcb-m6.bioreg.kyushu-u.ac.jp/M3/20110411/F50895/1325/1", 47.27)</f>
        <v>47.27</v>
      </c>
      <c r="E6288" s="2">
        <v>25.51</v>
      </c>
      <c r="F6288" s="2">
        <v>2</v>
      </c>
      <c r="G6288" s="2" t="s">
        <v>9</v>
      </c>
    </row>
    <row r="6289" spans="1:7" x14ac:dyDescent="0.2">
      <c r="A6289" s="2" t="s">
        <v>3432</v>
      </c>
      <c r="B6289" s="2" t="s">
        <v>781</v>
      </c>
      <c r="C6289" s="2">
        <v>620.98069999999996</v>
      </c>
      <c r="D6289" s="2">
        <f>HYPERLINK("http://mcb-m6.bioreg.kyushu-u.ac.jp/M3/20110411/F50895/1525/1", 51.13)</f>
        <v>51.13</v>
      </c>
      <c r="E6289" s="2">
        <v>34.28</v>
      </c>
      <c r="F6289" s="2">
        <v>2</v>
      </c>
      <c r="G6289" s="2" t="s">
        <v>9</v>
      </c>
    </row>
    <row r="6290" spans="1:7" x14ac:dyDescent="0.2">
      <c r="A6290" s="2" t="s">
        <v>3432</v>
      </c>
      <c r="B6290" s="2" t="s">
        <v>1097</v>
      </c>
      <c r="C6290" s="2">
        <v>760.5231</v>
      </c>
      <c r="D6290" s="2">
        <f>HYPERLINK("http://mcb-m6.bioreg.kyushu-u.ac.jp/M3/20110411/F50895/2189/1", 62.91)</f>
        <v>62.91</v>
      </c>
      <c r="E6290" s="2">
        <v>48.94</v>
      </c>
      <c r="F6290" s="2">
        <v>2</v>
      </c>
      <c r="G6290" s="2" t="s">
        <v>9</v>
      </c>
    </row>
    <row r="6291" spans="1:7" x14ac:dyDescent="0.2">
      <c r="A6291" s="2" t="s">
        <v>3432</v>
      </c>
      <c r="B6291" s="2" t="s">
        <v>1274</v>
      </c>
      <c r="C6291" s="2">
        <v>786.01869999999997</v>
      </c>
      <c r="D6291" s="2">
        <f>HYPERLINK("http://mcb-m6.bioreg.kyushu-u.ac.jp/M3/20110411/F50895/2316/1", 70.06)</f>
        <v>70.06</v>
      </c>
      <c r="E6291" s="2">
        <v>56.53</v>
      </c>
      <c r="F6291" s="2">
        <v>2</v>
      </c>
      <c r="G6291" s="2" t="s">
        <v>9</v>
      </c>
    </row>
    <row r="6292" spans="1:7" x14ac:dyDescent="0.2">
      <c r="A6292" s="2" t="s">
        <v>3432</v>
      </c>
      <c r="B6292" s="2" t="s">
        <v>1322</v>
      </c>
      <c r="C6292" s="2">
        <v>584.45169999999996</v>
      </c>
      <c r="D6292" s="2">
        <f>HYPERLINK("http://mcb-m6.bioreg.kyushu-u.ac.jp/M3/20110411/F50895/1363/1", 73.03)</f>
        <v>73.03</v>
      </c>
      <c r="E6292" s="2">
        <v>52.97</v>
      </c>
      <c r="F6292" s="2">
        <v>2</v>
      </c>
      <c r="G6292" s="2" t="s">
        <v>9</v>
      </c>
    </row>
    <row r="6293" spans="1:7" x14ac:dyDescent="0.2">
      <c r="A6293" s="2" t="s">
        <v>3432</v>
      </c>
      <c r="B6293" s="2" t="s">
        <v>1543</v>
      </c>
      <c r="C6293" s="2">
        <v>729.04719999999998</v>
      </c>
      <c r="D6293" s="2">
        <f>HYPERLINK("http://mcb-m6.bioreg.kyushu-u.ac.jp/M3/20110411/F50895/2031/1", 90.46)</f>
        <v>90.46</v>
      </c>
      <c r="E6293" s="2">
        <v>71.23</v>
      </c>
      <c r="F6293" s="2">
        <v>2</v>
      </c>
      <c r="G6293" s="2" t="s">
        <v>9</v>
      </c>
    </row>
    <row r="6294" spans="1:7" x14ac:dyDescent="0.2">
      <c r="A6294" s="2" t="s">
        <v>3432</v>
      </c>
      <c r="B6294" s="2" t="s">
        <v>1274</v>
      </c>
      <c r="C6294" s="2">
        <v>786.34860000000003</v>
      </c>
      <c r="D6294" s="2">
        <f>HYPERLINK("http://mcb-m6.bioreg.kyushu-u.ac.jp/M3/20110411/F50901/2254/1", 43.9)</f>
        <v>43.9</v>
      </c>
      <c r="E6294" s="2">
        <v>31.73</v>
      </c>
      <c r="F6294" s="2">
        <v>2</v>
      </c>
      <c r="G6294" s="2" t="s">
        <v>10</v>
      </c>
    </row>
    <row r="6295" spans="1:7" x14ac:dyDescent="0.2">
      <c r="A6295" s="2" t="s">
        <v>3432</v>
      </c>
      <c r="B6295" s="2" t="s">
        <v>1881</v>
      </c>
      <c r="C6295" s="2">
        <v>752.46220000000005</v>
      </c>
      <c r="D6295" s="2">
        <f>HYPERLINK("http://mcb-m6.bioreg.kyushu-u.ac.jp/M3/20110411/F50902/2105/1", 46.57)</f>
        <v>46.57</v>
      </c>
      <c r="E6295" s="2">
        <v>26.98</v>
      </c>
      <c r="F6295" s="2">
        <v>2</v>
      </c>
      <c r="G6295" s="2" t="s">
        <v>10</v>
      </c>
    </row>
    <row r="6296" spans="1:7" x14ac:dyDescent="0.2">
      <c r="A6296" s="2" t="s">
        <v>3432</v>
      </c>
      <c r="B6296" s="2" t="s">
        <v>781</v>
      </c>
      <c r="C6296" s="2">
        <v>621.00120000000004</v>
      </c>
      <c r="D6296" s="2">
        <f>HYPERLINK("http://mcb-m6.bioreg.kyushu-u.ac.jp/M3/20110411/F50902/1522/1", 52.41)</f>
        <v>52.41</v>
      </c>
      <c r="E6296" s="2">
        <v>27.98</v>
      </c>
      <c r="F6296" s="2">
        <v>2</v>
      </c>
      <c r="G6296" s="2" t="s">
        <v>10</v>
      </c>
    </row>
    <row r="6297" spans="1:7" x14ac:dyDescent="0.2">
      <c r="A6297" s="2" t="s">
        <v>3432</v>
      </c>
      <c r="B6297" s="2" t="s">
        <v>2140</v>
      </c>
      <c r="C6297" s="2">
        <v>751.02620000000002</v>
      </c>
      <c r="D6297" s="2">
        <f>HYPERLINK("http://mcb-m6.bioreg.kyushu-u.ac.jp/M3/20110411/F50902/2099/1", 111.55)</f>
        <v>111.55</v>
      </c>
      <c r="E6297" s="2">
        <v>85.07</v>
      </c>
      <c r="F6297" s="2">
        <v>2</v>
      </c>
      <c r="G6297" s="2" t="s">
        <v>10</v>
      </c>
    </row>
    <row r="6298" spans="1:7" x14ac:dyDescent="0.2">
      <c r="A6298" s="2" t="s">
        <v>3432</v>
      </c>
      <c r="B6298" s="2" t="s">
        <v>631</v>
      </c>
      <c r="C6298" s="2">
        <v>824.01919999999996</v>
      </c>
      <c r="D6298" s="2">
        <f>HYPERLINK("http://mcb-m6.bioreg.kyushu-u.ac.jp/M3/20110414/F50944/2425/1", 37.5)</f>
        <v>37.5</v>
      </c>
      <c r="E6298" s="2">
        <v>14.57</v>
      </c>
      <c r="F6298" s="2">
        <v>2</v>
      </c>
      <c r="G6298" s="2" t="s">
        <v>11</v>
      </c>
    </row>
    <row r="6299" spans="1:7" x14ac:dyDescent="0.2">
      <c r="A6299" s="2" t="s">
        <v>3432</v>
      </c>
      <c r="B6299" s="2" t="s">
        <v>240</v>
      </c>
      <c r="C6299" s="2">
        <v>656.87270000000001</v>
      </c>
      <c r="D6299" s="2">
        <f>HYPERLINK("http://mcb-m6.bioreg.kyushu-u.ac.jp/M3/20110414/F50944/1721/1", 48.33)</f>
        <v>48.33</v>
      </c>
      <c r="E6299" s="2">
        <v>29.58</v>
      </c>
      <c r="F6299" s="2">
        <v>2</v>
      </c>
      <c r="G6299" s="2" t="s">
        <v>11</v>
      </c>
    </row>
    <row r="6300" spans="1:7" x14ac:dyDescent="0.2">
      <c r="A6300" s="2" t="s">
        <v>3432</v>
      </c>
      <c r="B6300" s="2" t="s">
        <v>1274</v>
      </c>
      <c r="C6300" s="2">
        <v>785.72609999999997</v>
      </c>
      <c r="D6300" s="2">
        <f>HYPERLINK("http://mcb-m6.bioreg.kyushu-u.ac.jp/M3/20110414/F50944/2309/1", 48.46)</f>
        <v>48.46</v>
      </c>
      <c r="E6300" s="2">
        <v>38.24</v>
      </c>
      <c r="F6300" s="2">
        <v>2</v>
      </c>
      <c r="G6300" s="2" t="s">
        <v>11</v>
      </c>
    </row>
    <row r="6301" spans="1:7" x14ac:dyDescent="0.2">
      <c r="A6301" s="2" t="s">
        <v>3432</v>
      </c>
      <c r="B6301" s="2" t="s">
        <v>1543</v>
      </c>
      <c r="C6301" s="2">
        <v>729.35059999999999</v>
      </c>
      <c r="D6301" s="2">
        <f>HYPERLINK("http://mcb-m6.bioreg.kyushu-u.ac.jp/M3/20110414/F50943/1802/1", 53.73)</f>
        <v>53.73</v>
      </c>
      <c r="E6301" s="2">
        <v>33.53</v>
      </c>
      <c r="F6301" s="2">
        <v>2</v>
      </c>
      <c r="G6301" s="2" t="s">
        <v>11</v>
      </c>
    </row>
    <row r="6302" spans="1:7" x14ac:dyDescent="0.2">
      <c r="A6302" s="2" t="s">
        <v>3432</v>
      </c>
      <c r="B6302" s="2" t="s">
        <v>1543</v>
      </c>
      <c r="C6302" s="2">
        <v>728.74519999999995</v>
      </c>
      <c r="D6302" s="2">
        <f>HYPERLINK("http://mcb-m6.bioreg.kyushu-u.ac.jp/M3/20110414/F50943/1798/1", 69.47)</f>
        <v>69.47</v>
      </c>
      <c r="E6302" s="2">
        <v>56.18</v>
      </c>
      <c r="F6302" s="2">
        <v>2</v>
      </c>
      <c r="G6302" s="2" t="s">
        <v>11</v>
      </c>
    </row>
    <row r="6303" spans="1:7" x14ac:dyDescent="0.2">
      <c r="A6303" s="2" t="s">
        <v>3432</v>
      </c>
      <c r="B6303" s="2" t="s">
        <v>1274</v>
      </c>
      <c r="C6303" s="2">
        <v>786.45169999999996</v>
      </c>
      <c r="D6303" s="2">
        <f>HYPERLINK("http://mcb-m6.bioreg.kyushu-u.ac.jp/M3/20110414/F50944/2311/1", 91.62)</f>
        <v>91.62</v>
      </c>
      <c r="E6303" s="2">
        <v>80.900000000000006</v>
      </c>
      <c r="F6303" s="2">
        <v>2</v>
      </c>
      <c r="G6303" s="2" t="s">
        <v>11</v>
      </c>
    </row>
    <row r="6304" spans="1:7" x14ac:dyDescent="0.2">
      <c r="A6304" s="2" t="s">
        <v>3432</v>
      </c>
      <c r="B6304" s="2" t="s">
        <v>1097</v>
      </c>
      <c r="C6304" s="2">
        <v>760.74519999999995</v>
      </c>
      <c r="D6304" s="2">
        <f>HYPERLINK("http://mcb-m6.bioreg.kyushu-u.ac.jp/M3/20110414/F50944/2203/1", 92.54)</f>
        <v>92.54</v>
      </c>
      <c r="E6304" s="2">
        <v>73.22</v>
      </c>
      <c r="F6304" s="2">
        <v>2</v>
      </c>
      <c r="G6304" s="2" t="s">
        <v>11</v>
      </c>
    </row>
    <row r="6305" spans="1:9" x14ac:dyDescent="0.2">
      <c r="A6305" s="2" t="s">
        <v>3432</v>
      </c>
      <c r="B6305" s="2" t="s">
        <v>240</v>
      </c>
      <c r="C6305" s="2">
        <v>656.9402</v>
      </c>
      <c r="D6305" s="2">
        <f>HYPERLINK("http://mcb-m6.bioreg.kyushu-u.ac.jp/M3/20110414/F50950/1646/1", 40.65)</f>
        <v>40.65</v>
      </c>
      <c r="E6305" s="2">
        <v>10.87</v>
      </c>
      <c r="F6305" s="2">
        <v>2</v>
      </c>
      <c r="G6305" s="2" t="s">
        <v>12</v>
      </c>
    </row>
    <row r="6306" spans="1:9" x14ac:dyDescent="0.2">
      <c r="A6306" s="2" t="s">
        <v>3432</v>
      </c>
      <c r="B6306" s="2" t="s">
        <v>1322</v>
      </c>
      <c r="C6306" s="2">
        <v>583.8732</v>
      </c>
      <c r="D6306" s="2">
        <f>HYPERLINK("http://mcb-m6.bioreg.kyushu-u.ac.jp/M3/20110414/F50950/1225/1", 48.84)</f>
        <v>48.84</v>
      </c>
      <c r="E6306" s="2">
        <v>20.51</v>
      </c>
      <c r="F6306" s="2">
        <v>2</v>
      </c>
      <c r="G6306" s="2" t="s">
        <v>12</v>
      </c>
    </row>
    <row r="6307" spans="1:9" x14ac:dyDescent="0.2">
      <c r="A6307" s="2" t="s">
        <v>3432</v>
      </c>
      <c r="B6307" s="2" t="s">
        <v>240</v>
      </c>
      <c r="C6307" s="2">
        <v>656.39369999999997</v>
      </c>
      <c r="D6307" s="2">
        <f>HYPERLINK("http://mcb-m6.bioreg.kyushu-u.ac.jp/M3/20110414/F50950/1645/1", 49.73)</f>
        <v>49.73</v>
      </c>
      <c r="E6307" s="2">
        <v>25.92</v>
      </c>
      <c r="F6307" s="2">
        <v>2</v>
      </c>
      <c r="G6307" s="2" t="s">
        <v>12</v>
      </c>
    </row>
    <row r="6308" spans="1:9" x14ac:dyDescent="0.2">
      <c r="A6308" s="2" t="s">
        <v>3432</v>
      </c>
      <c r="B6308" s="2" t="s">
        <v>2671</v>
      </c>
      <c r="C6308" s="2">
        <v>545.06460000000004</v>
      </c>
      <c r="D6308" s="2">
        <f>HYPERLINK("http://mcb-m6.bioreg.kyushu-u.ac.jp/M3/20110414/F50950/1063/1", 50.75)</f>
        <v>50.75</v>
      </c>
      <c r="E6308" s="2">
        <v>26.27</v>
      </c>
      <c r="F6308" s="2">
        <v>2</v>
      </c>
      <c r="G6308" s="2" t="s">
        <v>12</v>
      </c>
      <c r="I6308" s="2" t="s">
        <v>4899</v>
      </c>
    </row>
    <row r="6309" spans="1:9" x14ac:dyDescent="0.2">
      <c r="A6309" s="2" t="s">
        <v>3432</v>
      </c>
      <c r="B6309" s="2" t="s">
        <v>2672</v>
      </c>
      <c r="C6309" s="2">
        <v>645.88459999999998</v>
      </c>
      <c r="D6309" s="2">
        <f>HYPERLINK("http://mcb-m6.bioreg.kyushu-u.ac.jp/M3/20110414/F50950/1591/1", 50.86)</f>
        <v>50.86</v>
      </c>
      <c r="E6309" s="2">
        <v>25.81</v>
      </c>
      <c r="F6309" s="2">
        <v>2</v>
      </c>
      <c r="G6309" s="2" t="s">
        <v>12</v>
      </c>
    </row>
    <row r="6310" spans="1:9" x14ac:dyDescent="0.2">
      <c r="A6310" s="2" t="s">
        <v>3432</v>
      </c>
      <c r="B6310" s="2" t="s">
        <v>2687</v>
      </c>
      <c r="C6310" s="2">
        <v>870.98910000000001</v>
      </c>
      <c r="D6310" s="2">
        <f>HYPERLINK("http://mcb-m6.bioreg.kyushu-u.ac.jp/M3/20110414/F50950/2856/1", 53.63)</f>
        <v>53.63</v>
      </c>
      <c r="E6310" s="2">
        <v>36.54</v>
      </c>
      <c r="F6310" s="2">
        <v>2</v>
      </c>
      <c r="G6310" s="2" t="s">
        <v>12</v>
      </c>
    </row>
    <row r="6311" spans="1:9" x14ac:dyDescent="0.2">
      <c r="A6311" s="2" t="s">
        <v>3432</v>
      </c>
      <c r="B6311" s="2" t="s">
        <v>2696</v>
      </c>
      <c r="C6311" s="2">
        <v>801.61609999999996</v>
      </c>
      <c r="D6311" s="2">
        <f>HYPERLINK("http://mcb-m6.bioreg.kyushu-u.ac.jp/M3/20110414/F50950/2524/1", 54.75)</f>
        <v>54.75</v>
      </c>
      <c r="E6311" s="2">
        <v>25.22</v>
      </c>
      <c r="F6311" s="2">
        <v>2</v>
      </c>
      <c r="G6311" s="2" t="s">
        <v>12</v>
      </c>
    </row>
    <row r="6312" spans="1:9" x14ac:dyDescent="0.2">
      <c r="A6312" s="2" t="s">
        <v>3432</v>
      </c>
      <c r="B6312" s="2" t="s">
        <v>1543</v>
      </c>
      <c r="C6312" s="2">
        <v>729.02760000000001</v>
      </c>
      <c r="D6312" s="2">
        <f>HYPERLINK("http://mcb-m6.bioreg.kyushu-u.ac.jp/M3/20110414/F50949/2115/1", 60.47)</f>
        <v>60.47</v>
      </c>
      <c r="E6312" s="2">
        <v>37.97</v>
      </c>
      <c r="F6312" s="2">
        <v>2</v>
      </c>
      <c r="G6312" s="2" t="s">
        <v>12</v>
      </c>
    </row>
    <row r="6313" spans="1:9" x14ac:dyDescent="0.2">
      <c r="A6313" s="2" t="s">
        <v>3432</v>
      </c>
      <c r="B6313" s="2" t="s">
        <v>781</v>
      </c>
      <c r="C6313" s="2">
        <v>620.55020000000002</v>
      </c>
      <c r="D6313" s="2">
        <f>HYPERLINK("http://mcb-m6.bioreg.kyushu-u.ac.jp/M3/20110414/F50950/1437/1", 63.06)</f>
        <v>63.06</v>
      </c>
      <c r="E6313" s="2">
        <v>44.67</v>
      </c>
      <c r="F6313" s="2">
        <v>2</v>
      </c>
      <c r="G6313" s="2" t="s">
        <v>12</v>
      </c>
    </row>
    <row r="6314" spans="1:9" x14ac:dyDescent="0.2">
      <c r="A6314" s="2" t="s">
        <v>3432</v>
      </c>
      <c r="B6314" s="2" t="s">
        <v>2722</v>
      </c>
      <c r="C6314" s="2">
        <v>921.99249999999995</v>
      </c>
      <c r="D6314" s="2">
        <f>HYPERLINK("http://mcb-m6.bioreg.kyushu-u.ac.jp/M3/20110414/F50950/4283/1", 63.95)</f>
        <v>63.95</v>
      </c>
      <c r="E6314" s="2">
        <v>49.4</v>
      </c>
      <c r="F6314" s="2">
        <v>3</v>
      </c>
      <c r="G6314" s="2" t="s">
        <v>12</v>
      </c>
      <c r="I6314" s="2" t="s">
        <v>4909</v>
      </c>
    </row>
    <row r="6315" spans="1:9" x14ac:dyDescent="0.2">
      <c r="A6315" s="2" t="s">
        <v>3432</v>
      </c>
      <c r="B6315" s="2" t="s">
        <v>631</v>
      </c>
      <c r="C6315" s="2">
        <v>823.58010000000002</v>
      </c>
      <c r="D6315" s="2">
        <f>HYPERLINK("http://mcb-m6.bioreg.kyushu-u.ac.jp/M3/20110414/F50950/2643/1", 66.27)</f>
        <v>66.27</v>
      </c>
      <c r="E6315" s="2">
        <v>42.85</v>
      </c>
      <c r="F6315" s="2">
        <v>2</v>
      </c>
      <c r="G6315" s="2" t="s">
        <v>12</v>
      </c>
    </row>
    <row r="6316" spans="1:9" x14ac:dyDescent="0.2">
      <c r="A6316" s="2" t="s">
        <v>3432</v>
      </c>
      <c r="B6316" s="2" t="s">
        <v>2751</v>
      </c>
      <c r="C6316" s="2">
        <v>910.02760000000001</v>
      </c>
      <c r="D6316" s="2">
        <f>HYPERLINK("http://mcb-m6.bioreg.kyushu-u.ac.jp/M3/20110414/F50950/3074/1", 76.6)</f>
        <v>76.599999999999994</v>
      </c>
      <c r="E6316" s="2">
        <v>55.31</v>
      </c>
      <c r="F6316" s="2">
        <v>2</v>
      </c>
      <c r="G6316" s="2" t="s">
        <v>12</v>
      </c>
    </row>
    <row r="6317" spans="1:9" x14ac:dyDescent="0.2">
      <c r="A6317" s="2" t="s">
        <v>3432</v>
      </c>
      <c r="B6317" s="2" t="s">
        <v>1097</v>
      </c>
      <c r="C6317" s="2">
        <v>760.27009999999996</v>
      </c>
      <c r="D6317" s="2">
        <f>HYPERLINK("http://mcb-m6.bioreg.kyushu-u.ac.jp/M3/20110414/F50950/2274/1", 77.76)</f>
        <v>77.760000000000005</v>
      </c>
      <c r="E6317" s="2">
        <v>42.31</v>
      </c>
      <c r="F6317" s="2">
        <v>2</v>
      </c>
      <c r="G6317" s="2" t="s">
        <v>12</v>
      </c>
    </row>
    <row r="6318" spans="1:9" x14ac:dyDescent="0.2">
      <c r="A6318" s="2" t="s">
        <v>3432</v>
      </c>
      <c r="B6318" s="2" t="s">
        <v>1881</v>
      </c>
      <c r="C6318" s="2">
        <v>752.00459999999998</v>
      </c>
      <c r="D6318" s="2">
        <f>HYPERLINK("http://mcb-m6.bioreg.kyushu-u.ac.jp/M3/20110414/F50950/2230/1", 80.94)</f>
        <v>80.94</v>
      </c>
      <c r="E6318" s="2">
        <v>49.53</v>
      </c>
      <c r="F6318" s="2">
        <v>2</v>
      </c>
      <c r="G6318" s="2" t="s">
        <v>12</v>
      </c>
    </row>
    <row r="6319" spans="1:9" x14ac:dyDescent="0.2">
      <c r="A6319" s="2" t="s">
        <v>3432</v>
      </c>
      <c r="B6319" s="2" t="s">
        <v>2751</v>
      </c>
      <c r="C6319" s="2">
        <v>909.48910000000001</v>
      </c>
      <c r="D6319" s="2">
        <f>HYPERLINK("http://mcb-m6.bioreg.kyushu-u.ac.jp/M3/20110414/F50950/3071/1", 81.36)</f>
        <v>81.36</v>
      </c>
      <c r="E6319" s="2">
        <v>61.67</v>
      </c>
      <c r="F6319" s="2">
        <v>2</v>
      </c>
      <c r="G6319" s="2" t="s">
        <v>12</v>
      </c>
    </row>
    <row r="6320" spans="1:9" x14ac:dyDescent="0.2">
      <c r="A6320" s="2" t="s">
        <v>3432</v>
      </c>
      <c r="B6320" s="2" t="s">
        <v>1274</v>
      </c>
      <c r="C6320" s="2">
        <v>786.47720000000004</v>
      </c>
      <c r="D6320" s="2">
        <f>HYPERLINK("http://mcb-m6.bioreg.kyushu-u.ac.jp/M3/20110414/F50950/2436/1", 82.68)</f>
        <v>82.68</v>
      </c>
      <c r="E6320" s="2">
        <v>66.959999999999994</v>
      </c>
      <c r="F6320" s="2">
        <v>2</v>
      </c>
      <c r="G6320" s="2" t="s">
        <v>12</v>
      </c>
    </row>
    <row r="6321" spans="1:7" x14ac:dyDescent="0.2">
      <c r="A6321" s="2" t="s">
        <v>3432</v>
      </c>
      <c r="B6321" s="2" t="s">
        <v>1543</v>
      </c>
      <c r="C6321" s="2">
        <v>728.47270000000003</v>
      </c>
      <c r="D6321" s="2">
        <f>HYPERLINK("http://mcb-m6.bioreg.kyushu-u.ac.jp/M3/20110414/F50950/2093/1", 95.62)</f>
        <v>95.62</v>
      </c>
      <c r="E6321" s="2">
        <v>73.819999999999993</v>
      </c>
      <c r="F6321" s="2">
        <v>2</v>
      </c>
      <c r="G6321" s="2" t="s">
        <v>12</v>
      </c>
    </row>
    <row r="6322" spans="1:7" x14ac:dyDescent="0.2">
      <c r="A6322" s="2" t="s">
        <v>3432</v>
      </c>
      <c r="B6322" s="2" t="s">
        <v>1274</v>
      </c>
      <c r="C6322" s="2">
        <v>785.95920000000001</v>
      </c>
      <c r="D6322" s="2">
        <f>HYPERLINK("http://mcb-m6.bioreg.kyushu-u.ac.jp/M3/20110414/F50950/2433/1", 97.26)</f>
        <v>97.26</v>
      </c>
      <c r="E6322" s="2">
        <v>75.87</v>
      </c>
      <c r="F6322" s="2">
        <v>2</v>
      </c>
      <c r="G6322" s="2" t="s">
        <v>12</v>
      </c>
    </row>
    <row r="6323" spans="1:7" x14ac:dyDescent="0.2">
      <c r="A6323" s="2" t="s">
        <v>3432</v>
      </c>
      <c r="B6323" s="2" t="s">
        <v>2897</v>
      </c>
      <c r="C6323" s="2">
        <v>709.6481</v>
      </c>
      <c r="D6323" s="2">
        <f>HYPERLINK("http://mcb-m6.bioreg.kyushu-u.ac.jp/M3/20110502/F51175/1781/1", 45.22)</f>
        <v>45.22</v>
      </c>
      <c r="E6323" s="2">
        <v>12.91</v>
      </c>
      <c r="F6323" s="2">
        <v>2</v>
      </c>
      <c r="G6323" s="2" t="s">
        <v>13</v>
      </c>
    </row>
    <row r="6324" spans="1:7" x14ac:dyDescent="0.2">
      <c r="A6324" s="2" t="s">
        <v>3432</v>
      </c>
      <c r="B6324" s="2" t="s">
        <v>2751</v>
      </c>
      <c r="C6324" s="2">
        <v>910.2731</v>
      </c>
      <c r="D6324" s="2">
        <f>HYPERLINK("http://mcb-m6.bioreg.kyushu-u.ac.jp/M3/20110502/F51174/2540/1", 48.74)</f>
        <v>48.74</v>
      </c>
      <c r="E6324" s="2">
        <v>36.51</v>
      </c>
      <c r="F6324" s="2">
        <v>2</v>
      </c>
      <c r="G6324" s="2" t="s">
        <v>13</v>
      </c>
    </row>
    <row r="6325" spans="1:7" x14ac:dyDescent="0.2">
      <c r="A6325" s="2" t="s">
        <v>3432</v>
      </c>
      <c r="B6325" s="2" t="s">
        <v>387</v>
      </c>
      <c r="C6325" s="2">
        <v>631.60220000000004</v>
      </c>
      <c r="D6325" s="2">
        <f>HYPERLINK("http://mcb-m6.bioreg.kyushu-u.ac.jp/M3/20110502/F51175/1469/1", 52.59)</f>
        <v>52.59</v>
      </c>
      <c r="E6325" s="2">
        <v>34.67</v>
      </c>
      <c r="F6325" s="2">
        <v>2</v>
      </c>
      <c r="G6325" s="2" t="s">
        <v>13</v>
      </c>
    </row>
    <row r="6326" spans="1:7" x14ac:dyDescent="0.2">
      <c r="A6326" s="2" t="s">
        <v>3432</v>
      </c>
      <c r="B6326" s="2" t="s">
        <v>2751</v>
      </c>
      <c r="C6326" s="2">
        <v>910.13369999999998</v>
      </c>
      <c r="D6326" s="2">
        <f>HYPERLINK("http://mcb-m6.bioreg.kyushu-u.ac.jp/M3/20110502/F51175/2559/1", 60.34)</f>
        <v>60.34</v>
      </c>
      <c r="E6326" s="2">
        <v>39.700000000000003</v>
      </c>
      <c r="F6326" s="2">
        <v>2</v>
      </c>
      <c r="G6326" s="2" t="s">
        <v>13</v>
      </c>
    </row>
    <row r="6327" spans="1:7" x14ac:dyDescent="0.2">
      <c r="A6327" s="2" t="s">
        <v>3432</v>
      </c>
      <c r="B6327" s="2" t="s">
        <v>1097</v>
      </c>
      <c r="C6327" s="2">
        <v>760.5992</v>
      </c>
      <c r="D6327" s="2">
        <f>HYPERLINK("http://mcb-m6.bioreg.kyushu-u.ac.jp/M3/20110502/F51174/2054/1", 65.92)</f>
        <v>65.92</v>
      </c>
      <c r="E6327" s="2">
        <v>50.23</v>
      </c>
      <c r="F6327" s="2">
        <v>2</v>
      </c>
      <c r="G6327" s="2" t="s">
        <v>13</v>
      </c>
    </row>
    <row r="6328" spans="1:7" x14ac:dyDescent="0.2">
      <c r="A6328" s="2" t="s">
        <v>3432</v>
      </c>
      <c r="B6328" s="2" t="s">
        <v>1097</v>
      </c>
      <c r="C6328" s="2">
        <v>760.5797</v>
      </c>
      <c r="D6328" s="2">
        <f>HYPERLINK("http://mcb-m6.bioreg.kyushu-u.ac.jp/M3/20110502/F51175/2017/1", 87.51)</f>
        <v>87.51</v>
      </c>
      <c r="E6328" s="2">
        <v>63.85</v>
      </c>
      <c r="F6328" s="2">
        <v>2</v>
      </c>
      <c r="G6328" s="2" t="s">
        <v>13</v>
      </c>
    </row>
    <row r="6329" spans="1:7" x14ac:dyDescent="0.2">
      <c r="A6329" s="2" t="s">
        <v>3432</v>
      </c>
      <c r="B6329" s="2" t="s">
        <v>2140</v>
      </c>
      <c r="C6329" s="2">
        <v>751.46220000000005</v>
      </c>
      <c r="D6329" s="2">
        <f>HYPERLINK("http://mcb-m6.bioreg.kyushu-u.ac.jp/M3/20110502/F51175/1976/1", 88.7)</f>
        <v>88.7</v>
      </c>
      <c r="E6329" s="2">
        <v>59.11</v>
      </c>
      <c r="F6329" s="2">
        <v>2</v>
      </c>
      <c r="G6329" s="2" t="s">
        <v>13</v>
      </c>
    </row>
    <row r="6330" spans="1:7" x14ac:dyDescent="0.2">
      <c r="A6330" s="2" t="s">
        <v>3432</v>
      </c>
      <c r="B6330" s="2" t="s">
        <v>781</v>
      </c>
      <c r="C6330" s="2">
        <v>620.9597</v>
      </c>
      <c r="D6330" s="2">
        <f>HYPERLINK("http://mcb-m6.bioreg.kyushu-u.ac.jp/M3/20110502/F51186/1320/1", 36.93)</f>
        <v>36.93</v>
      </c>
      <c r="E6330" s="2">
        <v>22.62</v>
      </c>
      <c r="F6330" s="2">
        <v>2</v>
      </c>
      <c r="G6330" s="2" t="s">
        <v>14</v>
      </c>
    </row>
    <row r="6331" spans="1:7" x14ac:dyDescent="0.2">
      <c r="A6331" s="2" t="s">
        <v>3432</v>
      </c>
      <c r="B6331" s="2" t="s">
        <v>1543</v>
      </c>
      <c r="C6331" s="2">
        <v>729.12620000000004</v>
      </c>
      <c r="D6331" s="2">
        <f>HYPERLINK("http://mcb-m6.bioreg.kyushu-u.ac.jp/M3/20110502/F51184/1774/1", 46.78)</f>
        <v>46.78</v>
      </c>
      <c r="E6331" s="2">
        <v>29.83</v>
      </c>
      <c r="F6331" s="2">
        <v>2</v>
      </c>
      <c r="G6331" s="2" t="s">
        <v>14</v>
      </c>
    </row>
    <row r="6332" spans="1:7" x14ac:dyDescent="0.2">
      <c r="A6332" s="2" t="s">
        <v>3432</v>
      </c>
      <c r="B6332" s="2" t="s">
        <v>1322</v>
      </c>
      <c r="C6332" s="2">
        <v>584.50670000000002</v>
      </c>
      <c r="D6332" s="2">
        <f>HYPERLINK("http://mcb-m6.bioreg.kyushu-u.ac.jp/M3/20110502/F51186/1146/1", 54.66)</f>
        <v>54.66</v>
      </c>
      <c r="E6332" s="2">
        <v>39.880000000000003</v>
      </c>
      <c r="F6332" s="2">
        <v>2</v>
      </c>
      <c r="G6332" s="2" t="s">
        <v>14</v>
      </c>
    </row>
    <row r="6333" spans="1:7" x14ac:dyDescent="0.2">
      <c r="A6333" s="2" t="s">
        <v>3432</v>
      </c>
      <c r="B6333" s="2" t="s">
        <v>1097</v>
      </c>
      <c r="C6333" s="2">
        <v>760.72469999999998</v>
      </c>
      <c r="D6333" s="2">
        <f>HYPERLINK("http://mcb-m6.bioreg.kyushu-u.ac.jp/M3/20110502/F51185/1993/1", 62)</f>
        <v>62</v>
      </c>
      <c r="E6333" s="2">
        <v>40.119999999999997</v>
      </c>
      <c r="F6333" s="2">
        <v>2</v>
      </c>
      <c r="G6333" s="2" t="s">
        <v>14</v>
      </c>
    </row>
    <row r="6334" spans="1:7" x14ac:dyDescent="0.2">
      <c r="A6334" s="2" t="s">
        <v>3432</v>
      </c>
      <c r="B6334" s="2" t="s">
        <v>3181</v>
      </c>
      <c r="C6334" s="2">
        <v>613.62919999999997</v>
      </c>
      <c r="D6334" s="2">
        <f>HYPERLINK("http://mcb-m6.bioreg.kyushu-u.ac.jp/M3/20110502/F51186/1295/1", 63.43)</f>
        <v>63.43</v>
      </c>
      <c r="E6334" s="2">
        <v>37.659999999999997</v>
      </c>
      <c r="F6334" s="2">
        <v>2</v>
      </c>
      <c r="G6334" s="2" t="s">
        <v>14</v>
      </c>
    </row>
    <row r="6335" spans="1:7" x14ac:dyDescent="0.2">
      <c r="A6335" s="2" t="s">
        <v>3432</v>
      </c>
      <c r="B6335" s="2" t="s">
        <v>1097</v>
      </c>
      <c r="C6335" s="2">
        <v>760.56870000000004</v>
      </c>
      <c r="D6335" s="2">
        <f>HYPERLINK("http://mcb-m6.bioreg.kyushu-u.ac.jp/M3/20110502/F51186/1959/1", 95.62)</f>
        <v>95.62</v>
      </c>
      <c r="E6335" s="2">
        <v>75.38</v>
      </c>
      <c r="F6335" s="2">
        <v>2</v>
      </c>
      <c r="G6335" s="2" t="s">
        <v>14</v>
      </c>
    </row>
    <row r="6336" spans="1:7" x14ac:dyDescent="0.2">
      <c r="A6336" s="2" t="s">
        <v>4295</v>
      </c>
      <c r="B6336" s="2" t="s">
        <v>2004</v>
      </c>
      <c r="C6336" s="2">
        <v>690.45820000000003</v>
      </c>
      <c r="D6336" s="2">
        <f>HYPERLINK("http://mcb-m6.bioreg.kyushu-u.ac.jp/M3/20110411/F50920/1323/1", 59.74)</f>
        <v>59.74</v>
      </c>
      <c r="E6336" s="2">
        <v>45.72</v>
      </c>
      <c r="F6336" s="2">
        <v>2</v>
      </c>
      <c r="G6336" s="2" t="s">
        <v>10</v>
      </c>
    </row>
    <row r="6337" spans="1:8" x14ac:dyDescent="0.2">
      <c r="A6337" s="2" t="s">
        <v>3455</v>
      </c>
      <c r="B6337" s="2" t="s">
        <v>266</v>
      </c>
      <c r="C6337" s="2">
        <v>610.70920000000001</v>
      </c>
      <c r="D6337" s="2">
        <f>HYPERLINK("http://mcb-m6.bioreg.kyushu-u.ac.jp/M3/20110411/F50891/1439/1", 38.7)</f>
        <v>38.700000000000003</v>
      </c>
      <c r="E6337" s="2">
        <v>23.59</v>
      </c>
      <c r="F6337" s="2">
        <v>2</v>
      </c>
      <c r="G6337" s="2" t="s">
        <v>9</v>
      </c>
    </row>
    <row r="6338" spans="1:8" x14ac:dyDescent="0.2">
      <c r="A6338" s="2" t="s">
        <v>3455</v>
      </c>
      <c r="B6338" s="2" t="s">
        <v>266</v>
      </c>
      <c r="C6338" s="2">
        <v>611.03060000000005</v>
      </c>
      <c r="D6338" s="2">
        <f>HYPERLINK("http://mcb-m6.bioreg.kyushu-u.ac.jp/M3/20110411/F50905/1408/1", 64.05)</f>
        <v>64.05</v>
      </c>
      <c r="E6338" s="2">
        <v>37.25</v>
      </c>
      <c r="F6338" s="2">
        <v>2</v>
      </c>
      <c r="G6338" s="2" t="s">
        <v>9</v>
      </c>
    </row>
    <row r="6339" spans="1:8" x14ac:dyDescent="0.2">
      <c r="A6339" s="2" t="s">
        <v>3455</v>
      </c>
      <c r="B6339" s="2" t="s">
        <v>266</v>
      </c>
      <c r="C6339" s="2">
        <v>1220.6479999999999</v>
      </c>
      <c r="D6339" s="2">
        <f>HYPERLINK("http://mcb-m6.bioreg.kyushu-u.ac.jp/M3/20110411/F50920/1016/1", 49.5)</f>
        <v>49.5</v>
      </c>
      <c r="E6339" s="2">
        <v>30.69</v>
      </c>
      <c r="F6339" s="2">
        <v>1</v>
      </c>
      <c r="G6339" s="2" t="s">
        <v>10</v>
      </c>
    </row>
    <row r="6340" spans="1:8" x14ac:dyDescent="0.2">
      <c r="A6340" s="2" t="s">
        <v>3455</v>
      </c>
      <c r="B6340" s="2" t="s">
        <v>266</v>
      </c>
      <c r="C6340" s="2">
        <v>610.84770000000003</v>
      </c>
      <c r="D6340" s="2">
        <f>HYPERLINK("http://mcb-m6.bioreg.kyushu-u.ac.jp/M3/20110411/F50920/1017/1", 65.39)</f>
        <v>65.39</v>
      </c>
      <c r="E6340" s="2">
        <v>49.26</v>
      </c>
      <c r="F6340" s="2">
        <v>2</v>
      </c>
      <c r="G6340" s="2" t="s">
        <v>10</v>
      </c>
    </row>
    <row r="6341" spans="1:8" x14ac:dyDescent="0.2">
      <c r="A6341" s="2" t="s">
        <v>3455</v>
      </c>
      <c r="B6341" s="2" t="s">
        <v>2120</v>
      </c>
      <c r="C6341" s="2">
        <v>1052.6389999999999</v>
      </c>
      <c r="D6341" s="2">
        <f>HYPERLINK("http://mcb-m6.bioreg.kyushu-u.ac.jp/M3/20110411/F50920/2893/1", 86.78)</f>
        <v>86.78</v>
      </c>
      <c r="E6341" s="2">
        <v>72.739999999999995</v>
      </c>
      <c r="F6341" s="2">
        <v>2</v>
      </c>
      <c r="G6341" s="2" t="s">
        <v>10</v>
      </c>
      <c r="H6341" s="2" t="s">
        <v>4927</v>
      </c>
    </row>
    <row r="6342" spans="1:8" x14ac:dyDescent="0.2">
      <c r="A6342" s="2" t="s">
        <v>3455</v>
      </c>
      <c r="B6342" s="2" t="s">
        <v>2120</v>
      </c>
      <c r="C6342" s="2">
        <v>1044.5429999999999</v>
      </c>
      <c r="D6342" s="2">
        <f>HYPERLINK("http://mcb-m6.bioreg.kyushu-u.ac.jp/M3/20110411/F50920/2870/1", 105.11)</f>
        <v>105.11</v>
      </c>
      <c r="E6342" s="2">
        <v>84.24</v>
      </c>
      <c r="F6342" s="2">
        <v>2</v>
      </c>
      <c r="G6342" s="2" t="s">
        <v>10</v>
      </c>
    </row>
    <row r="6343" spans="1:8" x14ac:dyDescent="0.2">
      <c r="A6343" s="2" t="s">
        <v>3455</v>
      </c>
      <c r="B6343" s="2" t="s">
        <v>266</v>
      </c>
      <c r="C6343" s="2">
        <v>611.09270000000004</v>
      </c>
      <c r="D6343" s="2">
        <f>HYPERLINK("http://mcb-m6.bioreg.kyushu-u.ac.jp/M3/20110502/F51177/1150/1", 71.21)</f>
        <v>71.209999999999994</v>
      </c>
      <c r="E6343" s="2">
        <v>43.54</v>
      </c>
      <c r="F6343" s="2">
        <v>2</v>
      </c>
      <c r="G6343" s="2" t="s">
        <v>14</v>
      </c>
    </row>
    <row r="6344" spans="1:8" x14ac:dyDescent="0.2">
      <c r="A6344" s="2" t="s">
        <v>3667</v>
      </c>
      <c r="B6344" s="2" t="s">
        <v>607</v>
      </c>
      <c r="C6344" s="2">
        <v>729.49699999999996</v>
      </c>
      <c r="D6344" s="2">
        <f>HYPERLINK("http://mcb-m6.bioreg.kyushu-u.ac.jp/M3/20110411/F50916/549/1", 46.1)</f>
        <v>46.1</v>
      </c>
      <c r="E6344" s="2">
        <v>7.28</v>
      </c>
      <c r="F6344" s="2">
        <v>1</v>
      </c>
      <c r="G6344" s="2" t="s">
        <v>9</v>
      </c>
    </row>
    <row r="6345" spans="1:8" x14ac:dyDescent="0.2">
      <c r="A6345" s="2" t="s">
        <v>3667</v>
      </c>
      <c r="B6345" s="2" t="s">
        <v>607</v>
      </c>
      <c r="C6345" s="2">
        <v>729.64200000000005</v>
      </c>
      <c r="D6345" s="2">
        <f>HYPERLINK("http://mcb-m6.bioreg.kyushu-u.ac.jp/M3/20110411/F50911/610/1", 46.54)</f>
        <v>46.54</v>
      </c>
      <c r="E6345" s="2">
        <v>7.26</v>
      </c>
      <c r="F6345" s="2">
        <v>1</v>
      </c>
      <c r="G6345" s="2" t="s">
        <v>9</v>
      </c>
    </row>
    <row r="6346" spans="1:8" x14ac:dyDescent="0.2">
      <c r="A6346" s="2" t="s">
        <v>3667</v>
      </c>
      <c r="B6346" s="2" t="s">
        <v>607</v>
      </c>
      <c r="C6346" s="2">
        <v>729.572</v>
      </c>
      <c r="D6346" s="2">
        <f>HYPERLINK("http://mcb-m6.bioreg.kyushu-u.ac.jp/M3/20110411/F50902/777/1", 46.61)</f>
        <v>46.61</v>
      </c>
      <c r="E6346" s="2">
        <v>7.24</v>
      </c>
      <c r="F6346" s="2">
        <v>1</v>
      </c>
      <c r="G6346" s="2" t="s">
        <v>10</v>
      </c>
    </row>
    <row r="6347" spans="1:8" x14ac:dyDescent="0.2">
      <c r="A6347" s="2" t="s">
        <v>3667</v>
      </c>
      <c r="B6347" s="2" t="s">
        <v>607</v>
      </c>
      <c r="C6347" s="2">
        <v>729.12400000000002</v>
      </c>
      <c r="D6347" s="2">
        <f>HYPERLINK("http://mcb-m6.bioreg.kyushu-u.ac.jp/M3/20110414/F50958/334/1", 46.79)</f>
        <v>46.79</v>
      </c>
      <c r="E6347" s="2">
        <v>7.24</v>
      </c>
      <c r="F6347" s="2">
        <v>1</v>
      </c>
      <c r="G6347" s="2" t="s">
        <v>12</v>
      </c>
    </row>
    <row r="6348" spans="1:8" x14ac:dyDescent="0.2">
      <c r="A6348" s="2" t="s">
        <v>3667</v>
      </c>
      <c r="B6348" s="2" t="s">
        <v>607</v>
      </c>
      <c r="C6348" s="2">
        <v>729.66300000000001</v>
      </c>
      <c r="D6348" s="2">
        <f>HYPERLINK("http://mcb-m6.bioreg.kyushu-u.ac.jp/M3/20110502/F51193/365/1", 46.73)</f>
        <v>46.73</v>
      </c>
      <c r="E6348" s="2">
        <v>7.23</v>
      </c>
      <c r="F6348" s="2">
        <v>1</v>
      </c>
      <c r="G6348" s="2" t="s">
        <v>14</v>
      </c>
    </row>
    <row r="6349" spans="1:8" x14ac:dyDescent="0.2">
      <c r="A6349" s="2" t="s">
        <v>4294</v>
      </c>
      <c r="B6349" s="2" t="s">
        <v>2000</v>
      </c>
      <c r="C6349" s="2">
        <v>595.94619999999998</v>
      </c>
      <c r="D6349" s="2">
        <f>HYPERLINK("http://mcb-m6.bioreg.kyushu-u.ac.jp/M3/20110411/F50920/978/1", 59.19)</f>
        <v>59.19</v>
      </c>
      <c r="E6349" s="2">
        <v>51.67</v>
      </c>
      <c r="F6349" s="2">
        <v>2</v>
      </c>
      <c r="G6349" s="2" t="s">
        <v>10</v>
      </c>
    </row>
    <row r="6350" spans="1:8" x14ac:dyDescent="0.2">
      <c r="A6350" s="2" t="s">
        <v>4294</v>
      </c>
      <c r="B6350" s="2" t="s">
        <v>2000</v>
      </c>
      <c r="C6350" s="2">
        <v>596.2577</v>
      </c>
      <c r="D6350" s="2">
        <f>HYPERLINK("http://mcb-m6.bioreg.kyushu-u.ac.jp/M3/20110414/F50924/1458/1", 71.89)</f>
        <v>71.89</v>
      </c>
      <c r="E6350" s="2">
        <v>55.15</v>
      </c>
      <c r="F6350" s="2">
        <v>2</v>
      </c>
      <c r="G6350" s="2" t="s">
        <v>11</v>
      </c>
    </row>
    <row r="6351" spans="1:8" x14ac:dyDescent="0.2">
      <c r="A6351" s="2" t="s">
        <v>3285</v>
      </c>
      <c r="B6351" s="2" t="s">
        <v>65</v>
      </c>
      <c r="C6351" s="2">
        <v>1302.655</v>
      </c>
      <c r="D6351" s="2">
        <f>HYPERLINK("http://mcb-m6.bioreg.kyushu-u.ac.jp/M3/20110411/F50890/1718/1", 35.61)</f>
        <v>35.61</v>
      </c>
      <c r="E6351" s="2">
        <v>19.149999999999999</v>
      </c>
      <c r="F6351" s="2">
        <v>1</v>
      </c>
      <c r="G6351" s="2" t="s">
        <v>9</v>
      </c>
    </row>
    <row r="6352" spans="1:8" x14ac:dyDescent="0.2">
      <c r="A6352" s="2" t="s">
        <v>3285</v>
      </c>
      <c r="B6352" s="2" t="s">
        <v>65</v>
      </c>
      <c r="C6352" s="2">
        <v>1302.829</v>
      </c>
      <c r="D6352" s="2">
        <f>HYPERLINK("http://mcb-m6.bioreg.kyushu-u.ac.jp/M3/20110411/F50904/1626/1", 42.2)</f>
        <v>42.2</v>
      </c>
      <c r="E6352" s="2">
        <v>25.35</v>
      </c>
      <c r="F6352" s="2">
        <v>1</v>
      </c>
      <c r="G6352" s="2" t="s">
        <v>9</v>
      </c>
    </row>
    <row r="6353" spans="1:7" x14ac:dyDescent="0.2">
      <c r="A6353" s="2" t="s">
        <v>3285</v>
      </c>
      <c r="B6353" s="2" t="s">
        <v>65</v>
      </c>
      <c r="C6353" s="2">
        <v>1303.79</v>
      </c>
      <c r="D6353" s="2">
        <f>HYPERLINK("http://mcb-m6.bioreg.kyushu-u.ac.jp/M3/20110411/F50905/1576/1", 43.53)</f>
        <v>43.53</v>
      </c>
      <c r="E6353" s="2">
        <v>29.98</v>
      </c>
      <c r="F6353" s="2">
        <v>1</v>
      </c>
      <c r="G6353" s="2" t="s">
        <v>9</v>
      </c>
    </row>
    <row r="6354" spans="1:7" x14ac:dyDescent="0.2">
      <c r="A6354" s="2" t="s">
        <v>3285</v>
      </c>
      <c r="B6354" s="2" t="s">
        <v>65</v>
      </c>
      <c r="C6354" s="2">
        <v>1302.644</v>
      </c>
      <c r="D6354" s="2">
        <f>HYPERLINK("http://mcb-m6.bioreg.kyushu-u.ac.jp/M3/20110411/F50892/1808/1", 43.8)</f>
        <v>43.8</v>
      </c>
      <c r="E6354" s="2">
        <v>27.1</v>
      </c>
      <c r="F6354" s="2">
        <v>1</v>
      </c>
      <c r="G6354" s="2" t="s">
        <v>9</v>
      </c>
    </row>
    <row r="6355" spans="1:7" x14ac:dyDescent="0.2">
      <c r="A6355" s="2" t="s">
        <v>3285</v>
      </c>
      <c r="B6355" s="2" t="s">
        <v>65</v>
      </c>
      <c r="C6355" s="2">
        <v>1302.9970000000001</v>
      </c>
      <c r="D6355" s="2">
        <f>HYPERLINK("http://mcb-m6.bioreg.kyushu-u.ac.jp/M3/20110411/F50893/1782/1", 44.84)</f>
        <v>44.84</v>
      </c>
      <c r="E6355" s="2">
        <v>17.86</v>
      </c>
      <c r="F6355" s="2">
        <v>1</v>
      </c>
      <c r="G6355" s="2" t="s">
        <v>9</v>
      </c>
    </row>
    <row r="6356" spans="1:7" x14ac:dyDescent="0.2">
      <c r="A6356" s="2" t="s">
        <v>3285</v>
      </c>
      <c r="B6356" s="2" t="s">
        <v>65</v>
      </c>
      <c r="C6356" s="2">
        <v>1302.75</v>
      </c>
      <c r="D6356" s="2">
        <f>HYPERLINK("http://mcb-m6.bioreg.kyushu-u.ac.jp/M3/20110411/F50905/1571/1", 46.6)</f>
        <v>46.6</v>
      </c>
      <c r="E6356" s="2">
        <v>27.91</v>
      </c>
      <c r="F6356" s="2">
        <v>1</v>
      </c>
      <c r="G6356" s="2" t="s">
        <v>9</v>
      </c>
    </row>
    <row r="6357" spans="1:7" x14ac:dyDescent="0.2">
      <c r="A6357" s="2" t="s">
        <v>3285</v>
      </c>
      <c r="B6357" s="2" t="s">
        <v>65</v>
      </c>
      <c r="C6357" s="2">
        <v>651.98820000000001</v>
      </c>
      <c r="D6357" s="2">
        <f>HYPERLINK("http://mcb-m6.bioreg.kyushu-u.ac.jp/M3/20110411/F50919/1230/1", 48.78)</f>
        <v>48.78</v>
      </c>
      <c r="E6357" s="2">
        <v>29.56</v>
      </c>
      <c r="F6357" s="2">
        <v>2</v>
      </c>
      <c r="G6357" s="2" t="s">
        <v>9</v>
      </c>
    </row>
    <row r="6358" spans="1:7" x14ac:dyDescent="0.2">
      <c r="A6358" s="2" t="s">
        <v>3285</v>
      </c>
      <c r="B6358" s="2" t="s">
        <v>65</v>
      </c>
      <c r="C6358" s="2">
        <v>1303.442</v>
      </c>
      <c r="D6358" s="2">
        <f>HYPERLINK("http://mcb-m6.bioreg.kyushu-u.ac.jp/M3/20110411/F50911/1619/1", 50.07)</f>
        <v>50.07</v>
      </c>
      <c r="E6358" s="2">
        <v>31.4</v>
      </c>
      <c r="F6358" s="2">
        <v>1</v>
      </c>
      <c r="G6358" s="2" t="s">
        <v>9</v>
      </c>
    </row>
    <row r="6359" spans="1:7" x14ac:dyDescent="0.2">
      <c r="A6359" s="2" t="s">
        <v>3285</v>
      </c>
      <c r="B6359" s="2" t="s">
        <v>65</v>
      </c>
      <c r="C6359" s="2">
        <v>652.14260000000002</v>
      </c>
      <c r="D6359" s="2">
        <f>HYPERLINK("http://mcb-m6.bioreg.kyushu-u.ac.jp/M3/20110411/F50893/1783/1", 53.18)</f>
        <v>53.18</v>
      </c>
      <c r="E6359" s="2">
        <v>34.79</v>
      </c>
      <c r="F6359" s="2">
        <v>2</v>
      </c>
      <c r="G6359" s="2" t="s">
        <v>9</v>
      </c>
    </row>
    <row r="6360" spans="1:7" x14ac:dyDescent="0.2">
      <c r="A6360" s="2" t="s">
        <v>3285</v>
      </c>
      <c r="B6360" s="2" t="s">
        <v>65</v>
      </c>
      <c r="C6360" s="2">
        <v>1302.519</v>
      </c>
      <c r="D6360" s="2">
        <f>HYPERLINK("http://mcb-m6.bioreg.kyushu-u.ac.jp/M3/20110411/F50891/1616/1", 58.87)</f>
        <v>58.87</v>
      </c>
      <c r="E6360" s="2">
        <v>42.32</v>
      </c>
      <c r="F6360" s="2">
        <v>1</v>
      </c>
      <c r="G6360" s="2" t="s">
        <v>9</v>
      </c>
    </row>
    <row r="6361" spans="1:7" x14ac:dyDescent="0.2">
      <c r="A6361" s="2" t="s">
        <v>3285</v>
      </c>
      <c r="B6361" s="2" t="s">
        <v>65</v>
      </c>
      <c r="C6361" s="2">
        <v>652.36410000000001</v>
      </c>
      <c r="D6361" s="2">
        <f>HYPERLINK("http://mcb-m6.bioreg.kyushu-u.ac.jp/M3/20110411/F50891/1622/1", 72.1)</f>
        <v>72.099999999999994</v>
      </c>
      <c r="E6361" s="2">
        <v>40.74</v>
      </c>
      <c r="F6361" s="2">
        <v>2</v>
      </c>
      <c r="G6361" s="2" t="s">
        <v>9</v>
      </c>
    </row>
    <row r="6362" spans="1:7" x14ac:dyDescent="0.2">
      <c r="A6362" s="2" t="s">
        <v>3285</v>
      </c>
      <c r="B6362" s="2" t="s">
        <v>65</v>
      </c>
      <c r="C6362" s="2">
        <v>651.91520000000003</v>
      </c>
      <c r="D6362" s="2">
        <f>HYPERLINK("http://mcb-m6.bioreg.kyushu-u.ac.jp/M3/20110411/F50895/1636/1", 81.11)</f>
        <v>81.11</v>
      </c>
      <c r="E6362" s="2">
        <v>29.34</v>
      </c>
      <c r="F6362" s="2">
        <v>2</v>
      </c>
      <c r="G6362" s="2" t="s">
        <v>9</v>
      </c>
    </row>
    <row r="6363" spans="1:7" x14ac:dyDescent="0.2">
      <c r="A6363" s="2" t="s">
        <v>3285</v>
      </c>
      <c r="B6363" s="2" t="s">
        <v>65</v>
      </c>
      <c r="C6363" s="2">
        <v>651.89469999999994</v>
      </c>
      <c r="D6363" s="2">
        <f>HYPERLINK("http://mcb-m6.bioreg.kyushu-u.ac.jp/M3/20110411/F50891/1619/1", 89.33)</f>
        <v>89.33</v>
      </c>
      <c r="E6363" s="2">
        <v>26.56</v>
      </c>
      <c r="F6363" s="2">
        <v>2</v>
      </c>
      <c r="G6363" s="2" t="s">
        <v>9</v>
      </c>
    </row>
    <row r="6364" spans="1:7" x14ac:dyDescent="0.2">
      <c r="A6364" s="2" t="s">
        <v>3285</v>
      </c>
      <c r="B6364" s="2" t="s">
        <v>65</v>
      </c>
      <c r="C6364" s="2">
        <v>652.40170000000001</v>
      </c>
      <c r="D6364" s="2">
        <f>HYPERLINK("http://mcb-m6.bioreg.kyushu-u.ac.jp/M3/20110411/F50894/1896/1", 92.33)</f>
        <v>92.33</v>
      </c>
      <c r="E6364" s="2">
        <v>56.28</v>
      </c>
      <c r="F6364" s="2">
        <v>2</v>
      </c>
      <c r="G6364" s="2" t="s">
        <v>9</v>
      </c>
    </row>
    <row r="6365" spans="1:7" x14ac:dyDescent="0.2">
      <c r="A6365" s="2" t="s">
        <v>3285</v>
      </c>
      <c r="B6365" s="2" t="s">
        <v>65</v>
      </c>
      <c r="C6365" s="2">
        <v>652.12270000000001</v>
      </c>
      <c r="D6365" s="2">
        <f>HYPERLINK("http://mcb-m6.bioreg.kyushu-u.ac.jp/M3/20110411/F50890/1721/1", 98.98)</f>
        <v>98.98</v>
      </c>
      <c r="E6365" s="2">
        <v>70.680000000000007</v>
      </c>
      <c r="F6365" s="2">
        <v>2</v>
      </c>
      <c r="G6365" s="2" t="s">
        <v>9</v>
      </c>
    </row>
    <row r="6366" spans="1:7" x14ac:dyDescent="0.2">
      <c r="A6366" s="2" t="s">
        <v>3285</v>
      </c>
      <c r="B6366" s="2" t="s">
        <v>65</v>
      </c>
      <c r="C6366" s="2">
        <v>652.02470000000005</v>
      </c>
      <c r="D6366" s="2">
        <f>HYPERLINK("http://mcb-m6.bioreg.kyushu-u.ac.jp/M3/20110411/F50905/1574/1", 101.07)</f>
        <v>101.07</v>
      </c>
      <c r="E6366" s="2">
        <v>61.9</v>
      </c>
      <c r="F6366" s="2">
        <v>2</v>
      </c>
      <c r="G6366" s="2" t="s">
        <v>9</v>
      </c>
    </row>
    <row r="6367" spans="1:7" x14ac:dyDescent="0.2">
      <c r="A6367" s="2" t="s">
        <v>3285</v>
      </c>
      <c r="B6367" s="2" t="s">
        <v>65</v>
      </c>
      <c r="C6367" s="2">
        <v>652.37120000000004</v>
      </c>
      <c r="D6367" s="2">
        <f>HYPERLINK("http://mcb-m6.bioreg.kyushu-u.ac.jp/M3/20110411/F50915/1400/1", 101.38)</f>
        <v>101.38</v>
      </c>
      <c r="E6367" s="2">
        <v>67.069999999999993</v>
      </c>
      <c r="F6367" s="2">
        <v>2</v>
      </c>
      <c r="G6367" s="2" t="s">
        <v>9</v>
      </c>
    </row>
    <row r="6368" spans="1:7" x14ac:dyDescent="0.2">
      <c r="A6368" s="2" t="s">
        <v>3285</v>
      </c>
      <c r="B6368" s="2" t="s">
        <v>65</v>
      </c>
      <c r="C6368" s="2">
        <v>651.70920000000001</v>
      </c>
      <c r="D6368" s="2">
        <f>HYPERLINK("http://mcb-m6.bioreg.kyushu-u.ac.jp/M3/20110411/F50889/1988/1", 102.45)</f>
        <v>102.45</v>
      </c>
      <c r="E6368" s="2">
        <v>25.51</v>
      </c>
      <c r="F6368" s="2">
        <v>2</v>
      </c>
      <c r="G6368" s="2" t="s">
        <v>9</v>
      </c>
    </row>
    <row r="6369" spans="1:7" x14ac:dyDescent="0.2">
      <c r="A6369" s="2" t="s">
        <v>3285</v>
      </c>
      <c r="B6369" s="2" t="s">
        <v>65</v>
      </c>
      <c r="C6369" s="2">
        <v>651.87070000000006</v>
      </c>
      <c r="D6369" s="2">
        <f>HYPERLINK("http://mcb-m6.bioreg.kyushu-u.ac.jp/M3/20110411/F50915/1393/1", 102.55)</f>
        <v>102.55</v>
      </c>
      <c r="E6369" s="2">
        <v>55.99</v>
      </c>
      <c r="F6369" s="2">
        <v>2</v>
      </c>
      <c r="G6369" s="2" t="s">
        <v>9</v>
      </c>
    </row>
    <row r="6370" spans="1:7" x14ac:dyDescent="0.2">
      <c r="A6370" s="2" t="s">
        <v>3285</v>
      </c>
      <c r="B6370" s="2" t="s">
        <v>65</v>
      </c>
      <c r="C6370" s="2">
        <v>1302.597</v>
      </c>
      <c r="D6370" s="2">
        <f>HYPERLINK("http://mcb-m6.bioreg.kyushu-u.ac.jp/M3/20110411/F50914/1662/1", 36.41)</f>
        <v>36.409999999999997</v>
      </c>
      <c r="E6370" s="2">
        <v>20.41</v>
      </c>
      <c r="F6370" s="2">
        <v>1</v>
      </c>
      <c r="G6370" s="2" t="s">
        <v>10</v>
      </c>
    </row>
    <row r="6371" spans="1:7" x14ac:dyDescent="0.2">
      <c r="A6371" s="2" t="s">
        <v>3285</v>
      </c>
      <c r="B6371" s="2" t="s">
        <v>65</v>
      </c>
      <c r="C6371" s="2">
        <v>1302.652</v>
      </c>
      <c r="D6371" s="2">
        <f>HYPERLINK("http://mcb-m6.bioreg.kyushu-u.ac.jp/M3/20110411/F50913/1595/1", 36.71)</f>
        <v>36.71</v>
      </c>
      <c r="E6371" s="2">
        <v>18.399999999999999</v>
      </c>
      <c r="F6371" s="2">
        <v>1</v>
      </c>
      <c r="G6371" s="2" t="s">
        <v>10</v>
      </c>
    </row>
    <row r="6372" spans="1:7" x14ac:dyDescent="0.2">
      <c r="A6372" s="2" t="s">
        <v>3285</v>
      </c>
      <c r="B6372" s="2" t="s">
        <v>65</v>
      </c>
      <c r="C6372" s="2">
        <v>1303.808</v>
      </c>
      <c r="D6372" s="2">
        <f>HYPERLINK("http://mcb-m6.bioreg.kyushu-u.ac.jp/M3/20110411/F50912/1638/1", 36.78)</f>
        <v>36.78</v>
      </c>
      <c r="E6372" s="2">
        <v>17.670000000000002</v>
      </c>
      <c r="F6372" s="2">
        <v>1</v>
      </c>
      <c r="G6372" s="2" t="s">
        <v>10</v>
      </c>
    </row>
    <row r="6373" spans="1:7" x14ac:dyDescent="0.2">
      <c r="A6373" s="2" t="s">
        <v>3285</v>
      </c>
      <c r="B6373" s="2" t="s">
        <v>65</v>
      </c>
      <c r="C6373" s="2">
        <v>1302.691</v>
      </c>
      <c r="D6373" s="2">
        <f>HYPERLINK("http://mcb-m6.bioreg.kyushu-u.ac.jp/M3/20110411/F50901/1663/1", 38.68)</f>
        <v>38.68</v>
      </c>
      <c r="E6373" s="2">
        <v>24.34</v>
      </c>
      <c r="F6373" s="2">
        <v>1</v>
      </c>
      <c r="G6373" s="2" t="s">
        <v>10</v>
      </c>
    </row>
    <row r="6374" spans="1:7" x14ac:dyDescent="0.2">
      <c r="A6374" s="2" t="s">
        <v>3285</v>
      </c>
      <c r="B6374" s="2" t="s">
        <v>65</v>
      </c>
      <c r="C6374" s="2">
        <v>1302.787</v>
      </c>
      <c r="D6374" s="2">
        <f>HYPERLINK("http://mcb-m6.bioreg.kyushu-u.ac.jp/M3/20110411/F50920/1164/1", 40.67)</f>
        <v>40.67</v>
      </c>
      <c r="E6374" s="2">
        <v>16.7</v>
      </c>
      <c r="F6374" s="2">
        <v>1</v>
      </c>
      <c r="G6374" s="2" t="s">
        <v>10</v>
      </c>
    </row>
    <row r="6375" spans="1:7" x14ac:dyDescent="0.2">
      <c r="A6375" s="2" t="s">
        <v>3285</v>
      </c>
      <c r="B6375" s="2" t="s">
        <v>65</v>
      </c>
      <c r="C6375" s="2">
        <v>652.26570000000004</v>
      </c>
      <c r="D6375" s="2">
        <f>HYPERLINK("http://mcb-m6.bioreg.kyushu-u.ac.jp/M3/20110411/F50900/1798/1", 66.93)</f>
        <v>66.930000000000007</v>
      </c>
      <c r="E6375" s="2">
        <v>37.65</v>
      </c>
      <c r="F6375" s="2">
        <v>2</v>
      </c>
      <c r="G6375" s="2" t="s">
        <v>10</v>
      </c>
    </row>
    <row r="6376" spans="1:7" x14ac:dyDescent="0.2">
      <c r="A6376" s="2" t="s">
        <v>3285</v>
      </c>
      <c r="B6376" s="2" t="s">
        <v>65</v>
      </c>
      <c r="C6376" s="2">
        <v>651.96259999999995</v>
      </c>
      <c r="D6376" s="2">
        <f>HYPERLINK("http://mcb-m6.bioreg.kyushu-u.ac.jp/M3/20110411/F50899/1948/1", 71.19)</f>
        <v>71.19</v>
      </c>
      <c r="E6376" s="2">
        <v>35.93</v>
      </c>
      <c r="F6376" s="2">
        <v>2</v>
      </c>
      <c r="G6376" s="2" t="s">
        <v>10</v>
      </c>
    </row>
    <row r="6377" spans="1:7" x14ac:dyDescent="0.2">
      <c r="A6377" s="2" t="s">
        <v>3285</v>
      </c>
      <c r="B6377" s="2" t="s">
        <v>65</v>
      </c>
      <c r="C6377" s="2">
        <v>651.83420000000001</v>
      </c>
      <c r="D6377" s="2">
        <f>HYPERLINK("http://mcb-m6.bioreg.kyushu-u.ac.jp/M3/20110411/F50914/1663/1", 75.89)</f>
        <v>75.89</v>
      </c>
      <c r="E6377" s="2">
        <v>34.06</v>
      </c>
      <c r="F6377" s="2">
        <v>2</v>
      </c>
      <c r="G6377" s="2" t="s">
        <v>10</v>
      </c>
    </row>
    <row r="6378" spans="1:7" x14ac:dyDescent="0.2">
      <c r="A6378" s="2" t="s">
        <v>3285</v>
      </c>
      <c r="B6378" s="2" t="s">
        <v>65</v>
      </c>
      <c r="C6378" s="2">
        <v>652.39319999999998</v>
      </c>
      <c r="D6378" s="2">
        <f>HYPERLINK("http://mcb-m6.bioreg.kyushu-u.ac.jp/M3/20110411/F50921/1411/1", 77.33)</f>
        <v>77.33</v>
      </c>
      <c r="E6378" s="2">
        <v>46.7</v>
      </c>
      <c r="F6378" s="2">
        <v>2</v>
      </c>
      <c r="G6378" s="2" t="s">
        <v>10</v>
      </c>
    </row>
    <row r="6379" spans="1:7" x14ac:dyDescent="0.2">
      <c r="A6379" s="2" t="s">
        <v>3285</v>
      </c>
      <c r="B6379" s="2" t="s">
        <v>65</v>
      </c>
      <c r="C6379" s="2">
        <v>652.32870000000003</v>
      </c>
      <c r="D6379" s="2">
        <f>HYPERLINK("http://mcb-m6.bioreg.kyushu-u.ac.jp/M3/20110411/F50913/1599/1", 82.62)</f>
        <v>82.62</v>
      </c>
      <c r="E6379" s="2">
        <v>60.08</v>
      </c>
      <c r="F6379" s="2">
        <v>2</v>
      </c>
      <c r="G6379" s="2" t="s">
        <v>10</v>
      </c>
    </row>
    <row r="6380" spans="1:7" x14ac:dyDescent="0.2">
      <c r="A6380" s="2" t="s">
        <v>3285</v>
      </c>
      <c r="B6380" s="2" t="s">
        <v>65</v>
      </c>
      <c r="C6380" s="2">
        <v>651.86469999999997</v>
      </c>
      <c r="D6380" s="2">
        <f>HYPERLINK("http://mcb-m6.bioreg.kyushu-u.ac.jp/M3/20110411/F50921/1402/1", 83.29)</f>
        <v>83.29</v>
      </c>
      <c r="E6380" s="2">
        <v>32.07</v>
      </c>
      <c r="F6380" s="2">
        <v>2</v>
      </c>
      <c r="G6380" s="2" t="s">
        <v>10</v>
      </c>
    </row>
    <row r="6381" spans="1:7" x14ac:dyDescent="0.2">
      <c r="A6381" s="2" t="s">
        <v>3285</v>
      </c>
      <c r="B6381" s="2" t="s">
        <v>65</v>
      </c>
      <c r="C6381" s="2">
        <v>651.81569999999999</v>
      </c>
      <c r="D6381" s="2">
        <f>HYPERLINK("http://mcb-m6.bioreg.kyushu-u.ac.jp/M3/20110411/F50913/1594/1", 85.82)</f>
        <v>85.82</v>
      </c>
      <c r="E6381" s="2">
        <v>39.42</v>
      </c>
      <c r="F6381" s="2">
        <v>2</v>
      </c>
      <c r="G6381" s="2" t="s">
        <v>10</v>
      </c>
    </row>
    <row r="6382" spans="1:7" x14ac:dyDescent="0.2">
      <c r="A6382" s="2" t="s">
        <v>3285</v>
      </c>
      <c r="B6382" s="2" t="s">
        <v>65</v>
      </c>
      <c r="C6382" s="2">
        <v>652.00570000000005</v>
      </c>
      <c r="D6382" s="2">
        <f>HYPERLINK("http://mcb-m6.bioreg.kyushu-u.ac.jp/M3/20110411/F50920/1165/1", 90.96)</f>
        <v>90.96</v>
      </c>
      <c r="E6382" s="2">
        <v>60.51</v>
      </c>
      <c r="F6382" s="2">
        <v>2</v>
      </c>
      <c r="G6382" s="2" t="s">
        <v>10</v>
      </c>
    </row>
    <row r="6383" spans="1:7" x14ac:dyDescent="0.2">
      <c r="A6383" s="2" t="s">
        <v>3285</v>
      </c>
      <c r="B6383" s="2" t="s">
        <v>65</v>
      </c>
      <c r="C6383" s="2">
        <v>652.30820000000006</v>
      </c>
      <c r="D6383" s="2">
        <f>HYPERLINK("http://mcb-m6.bioreg.kyushu-u.ac.jp/M3/20110411/F50917/1466/1", 92.06)</f>
        <v>92.06</v>
      </c>
      <c r="E6383" s="2">
        <v>60.04</v>
      </c>
      <c r="F6383" s="2">
        <v>2</v>
      </c>
      <c r="G6383" s="2" t="s">
        <v>10</v>
      </c>
    </row>
    <row r="6384" spans="1:7" x14ac:dyDescent="0.2">
      <c r="A6384" s="2" t="s">
        <v>3285</v>
      </c>
      <c r="B6384" s="2" t="s">
        <v>65</v>
      </c>
      <c r="C6384" s="2">
        <v>651.80769999999995</v>
      </c>
      <c r="D6384" s="2">
        <f>HYPERLINK("http://mcb-m6.bioreg.kyushu-u.ac.jp/M3/20110411/F50918/1376/1", 92.86)</f>
        <v>92.86</v>
      </c>
      <c r="E6384" s="2">
        <v>35.979999999999997</v>
      </c>
      <c r="F6384" s="2">
        <v>2</v>
      </c>
      <c r="G6384" s="2" t="s">
        <v>10</v>
      </c>
    </row>
    <row r="6385" spans="1:7" x14ac:dyDescent="0.2">
      <c r="A6385" s="2" t="s">
        <v>3285</v>
      </c>
      <c r="B6385" s="2" t="s">
        <v>65</v>
      </c>
      <c r="C6385" s="2">
        <v>651.92169999999999</v>
      </c>
      <c r="D6385" s="2">
        <f>HYPERLINK("http://mcb-m6.bioreg.kyushu-u.ac.jp/M3/20110411/F50902/1642/1", 107.58)</f>
        <v>107.58</v>
      </c>
      <c r="E6385" s="2">
        <v>52.78</v>
      </c>
      <c r="F6385" s="2">
        <v>2</v>
      </c>
      <c r="G6385" s="2" t="s">
        <v>10</v>
      </c>
    </row>
    <row r="6386" spans="1:7" x14ac:dyDescent="0.2">
      <c r="A6386" s="2" t="s">
        <v>3285</v>
      </c>
      <c r="B6386" s="2" t="s">
        <v>65</v>
      </c>
      <c r="C6386" s="2">
        <v>652.38319999999999</v>
      </c>
      <c r="D6386" s="2">
        <f>HYPERLINK("http://mcb-m6.bioreg.kyushu-u.ac.jp/M3/20110411/F50918/1381/1", 108.38)</f>
        <v>108.38</v>
      </c>
      <c r="E6386" s="2">
        <v>82.03</v>
      </c>
      <c r="F6386" s="2">
        <v>2</v>
      </c>
      <c r="G6386" s="2" t="s">
        <v>10</v>
      </c>
    </row>
    <row r="6387" spans="1:7" x14ac:dyDescent="0.2">
      <c r="A6387" s="2" t="s">
        <v>3285</v>
      </c>
      <c r="B6387" s="2" t="s">
        <v>65</v>
      </c>
      <c r="C6387" s="2">
        <v>1302.57</v>
      </c>
      <c r="D6387" s="2">
        <f>HYPERLINK("http://mcb-m6.bioreg.kyushu-u.ac.jp/M3/20110414/F50941/1570/1", 35.57)</f>
        <v>35.57</v>
      </c>
      <c r="E6387" s="2">
        <v>17.14</v>
      </c>
      <c r="F6387" s="2">
        <v>1</v>
      </c>
      <c r="G6387" s="2" t="s">
        <v>11</v>
      </c>
    </row>
    <row r="6388" spans="1:7" x14ac:dyDescent="0.2">
      <c r="A6388" s="2" t="s">
        <v>3285</v>
      </c>
      <c r="B6388" s="2" t="s">
        <v>65</v>
      </c>
      <c r="C6388" s="2">
        <v>652.26319999999998</v>
      </c>
      <c r="D6388" s="2">
        <f>HYPERLINK("http://mcb-m6.bioreg.kyushu-u.ac.jp/M3/20110414/F50941/1577/1", 41.84)</f>
        <v>41.84</v>
      </c>
      <c r="E6388" s="2">
        <v>20.89</v>
      </c>
      <c r="F6388" s="2">
        <v>2</v>
      </c>
      <c r="G6388" s="2" t="s">
        <v>11</v>
      </c>
    </row>
    <row r="6389" spans="1:7" x14ac:dyDescent="0.2">
      <c r="A6389" s="2" t="s">
        <v>3285</v>
      </c>
      <c r="B6389" s="2" t="s">
        <v>65</v>
      </c>
      <c r="C6389" s="2">
        <v>652.12369999999999</v>
      </c>
      <c r="D6389" s="2">
        <f>HYPERLINK("http://mcb-m6.bioreg.kyushu-u.ac.jp/M3/20110414/F50924/1632/1", 51.11)</f>
        <v>51.11</v>
      </c>
      <c r="E6389" s="2">
        <v>33.24</v>
      </c>
      <c r="F6389" s="2">
        <v>2</v>
      </c>
      <c r="G6389" s="2" t="s">
        <v>11</v>
      </c>
    </row>
    <row r="6390" spans="1:7" x14ac:dyDescent="0.2">
      <c r="A6390" s="2" t="s">
        <v>3285</v>
      </c>
      <c r="B6390" s="2" t="s">
        <v>65</v>
      </c>
      <c r="C6390" s="2">
        <v>651.74770000000001</v>
      </c>
      <c r="D6390" s="2">
        <f>HYPERLINK("http://mcb-m6.bioreg.kyushu-u.ac.jp/M3/20110414/F50945/1590/1", 68.5)</f>
        <v>68.5</v>
      </c>
      <c r="E6390" s="2">
        <v>27.71</v>
      </c>
      <c r="F6390" s="2">
        <v>2</v>
      </c>
      <c r="G6390" s="2" t="s">
        <v>11</v>
      </c>
    </row>
    <row r="6391" spans="1:7" x14ac:dyDescent="0.2">
      <c r="A6391" s="2" t="s">
        <v>3285</v>
      </c>
      <c r="B6391" s="2" t="s">
        <v>65</v>
      </c>
      <c r="C6391" s="2">
        <v>652.25819999999999</v>
      </c>
      <c r="D6391" s="2">
        <f>HYPERLINK("http://mcb-m6.bioreg.kyushu-u.ac.jp/M3/20110414/F50945/1592/1", 95.72)</f>
        <v>95.72</v>
      </c>
      <c r="E6391" s="2">
        <v>64.42</v>
      </c>
      <c r="F6391" s="2">
        <v>2</v>
      </c>
      <c r="G6391" s="2" t="s">
        <v>11</v>
      </c>
    </row>
    <row r="6392" spans="1:7" x14ac:dyDescent="0.2">
      <c r="A6392" s="2" t="s">
        <v>3285</v>
      </c>
      <c r="B6392" s="2" t="s">
        <v>65</v>
      </c>
      <c r="C6392" s="2">
        <v>1302.5340000000001</v>
      </c>
      <c r="D6392" s="2">
        <f>HYPERLINK("http://mcb-m6.bioreg.kyushu-u.ac.jp/M3/20110414/F50933/1991/1", 46.71)</f>
        <v>46.71</v>
      </c>
      <c r="E6392" s="2">
        <v>20.23</v>
      </c>
      <c r="F6392" s="2">
        <v>1</v>
      </c>
      <c r="G6392" s="2" t="s">
        <v>12</v>
      </c>
    </row>
    <row r="6393" spans="1:7" x14ac:dyDescent="0.2">
      <c r="A6393" s="2" t="s">
        <v>3285</v>
      </c>
      <c r="B6393" s="2" t="s">
        <v>65</v>
      </c>
      <c r="C6393" s="2">
        <v>652.1857</v>
      </c>
      <c r="D6393" s="2">
        <f>HYPERLINK("http://mcb-m6.bioreg.kyushu-u.ac.jp/M3/20110414/F50963/1365/1", 53.18)</f>
        <v>53.18</v>
      </c>
      <c r="E6393" s="2">
        <v>35.57</v>
      </c>
      <c r="F6393" s="2">
        <v>2</v>
      </c>
      <c r="G6393" s="2" t="s">
        <v>12</v>
      </c>
    </row>
    <row r="6394" spans="1:7" x14ac:dyDescent="0.2">
      <c r="A6394" s="2" t="s">
        <v>3285</v>
      </c>
      <c r="B6394" s="2" t="s">
        <v>65</v>
      </c>
      <c r="C6394" s="2">
        <v>652.28520000000003</v>
      </c>
      <c r="D6394" s="2">
        <f>HYPERLINK("http://mcb-m6.bioreg.kyushu-u.ac.jp/M3/20110414/F50934/2037/1", 66.67)</f>
        <v>66.67</v>
      </c>
      <c r="E6394" s="2">
        <v>38.119999999999997</v>
      </c>
      <c r="F6394" s="2">
        <v>2</v>
      </c>
      <c r="G6394" s="2" t="s">
        <v>12</v>
      </c>
    </row>
    <row r="6395" spans="1:7" x14ac:dyDescent="0.2">
      <c r="A6395" s="2" t="s">
        <v>3285</v>
      </c>
      <c r="B6395" s="2" t="s">
        <v>65</v>
      </c>
      <c r="C6395" s="2">
        <v>652.00319999999999</v>
      </c>
      <c r="D6395" s="2">
        <f>HYPERLINK("http://mcb-m6.bioreg.kyushu-u.ac.jp/M3/20110414/F50948/1512/1", 66.78)</f>
        <v>66.78</v>
      </c>
      <c r="E6395" s="2">
        <v>30.93</v>
      </c>
      <c r="F6395" s="2">
        <v>2</v>
      </c>
      <c r="G6395" s="2" t="s">
        <v>12</v>
      </c>
    </row>
    <row r="6396" spans="1:7" x14ac:dyDescent="0.2">
      <c r="A6396" s="2" t="s">
        <v>3285</v>
      </c>
      <c r="B6396" s="2" t="s">
        <v>65</v>
      </c>
      <c r="C6396" s="2">
        <v>652.16520000000003</v>
      </c>
      <c r="D6396" s="2">
        <f>HYPERLINK("http://mcb-m6.bioreg.kyushu-u.ac.jp/M3/20110414/F50959/1281/1", 72.38)</f>
        <v>72.38</v>
      </c>
      <c r="E6396" s="2">
        <v>34.909999999999997</v>
      </c>
      <c r="F6396" s="2">
        <v>2</v>
      </c>
      <c r="G6396" s="2" t="s">
        <v>12</v>
      </c>
    </row>
    <row r="6397" spans="1:7" x14ac:dyDescent="0.2">
      <c r="A6397" s="2" t="s">
        <v>3285</v>
      </c>
      <c r="B6397" s="2" t="s">
        <v>65</v>
      </c>
      <c r="C6397" s="2">
        <v>652.01319999999998</v>
      </c>
      <c r="D6397" s="2">
        <f>HYPERLINK("http://mcb-m6.bioreg.kyushu-u.ac.jp/M3/20110414/F50933/1995/1", 75.56)</f>
        <v>75.56</v>
      </c>
      <c r="E6397" s="2">
        <v>22.89</v>
      </c>
      <c r="F6397" s="2">
        <v>2</v>
      </c>
      <c r="G6397" s="2" t="s">
        <v>12</v>
      </c>
    </row>
    <row r="6398" spans="1:7" x14ac:dyDescent="0.2">
      <c r="A6398" s="2" t="s">
        <v>3285</v>
      </c>
      <c r="B6398" s="2" t="s">
        <v>65</v>
      </c>
      <c r="C6398" s="2">
        <v>651.73569999999995</v>
      </c>
      <c r="D6398" s="2">
        <f>HYPERLINK("http://mcb-m6.bioreg.kyushu-u.ac.jp/M3/20110414/F50933/1989/1", 76.43)</f>
        <v>76.430000000000007</v>
      </c>
      <c r="E6398" s="2">
        <v>6.47</v>
      </c>
      <c r="F6398" s="2">
        <v>2</v>
      </c>
      <c r="G6398" s="2" t="s">
        <v>12</v>
      </c>
    </row>
    <row r="6399" spans="1:7" x14ac:dyDescent="0.2">
      <c r="A6399" s="2" t="s">
        <v>3285</v>
      </c>
      <c r="B6399" s="2" t="s">
        <v>65</v>
      </c>
      <c r="C6399" s="2">
        <v>651.76919999999996</v>
      </c>
      <c r="D6399" s="2">
        <f>HYPERLINK("http://mcb-m6.bioreg.kyushu-u.ac.jp/M3/20110414/F50933/1990/1", 85.91)</f>
        <v>85.91</v>
      </c>
      <c r="E6399" s="2">
        <v>15.39</v>
      </c>
      <c r="F6399" s="2">
        <v>2</v>
      </c>
      <c r="G6399" s="2" t="s">
        <v>12</v>
      </c>
    </row>
    <row r="6400" spans="1:7" x14ac:dyDescent="0.2">
      <c r="A6400" s="2" t="s">
        <v>3285</v>
      </c>
      <c r="B6400" s="2" t="s">
        <v>65</v>
      </c>
      <c r="C6400" s="2">
        <v>652.27560000000005</v>
      </c>
      <c r="D6400" s="2">
        <f>HYPERLINK("http://mcb-m6.bioreg.kyushu-u.ac.jp/M3/20110414/F50933/1998/1", 87.98)</f>
        <v>87.98</v>
      </c>
      <c r="E6400" s="2">
        <v>52.66</v>
      </c>
      <c r="F6400" s="2">
        <v>2</v>
      </c>
      <c r="G6400" s="2" t="s">
        <v>12</v>
      </c>
    </row>
    <row r="6401" spans="1:7" x14ac:dyDescent="0.2">
      <c r="A6401" s="2" t="s">
        <v>3285</v>
      </c>
      <c r="B6401" s="2" t="s">
        <v>65</v>
      </c>
      <c r="C6401" s="2">
        <v>651.97969999999998</v>
      </c>
      <c r="D6401" s="2">
        <f>HYPERLINK("http://mcb-m6.bioreg.kyushu-u.ac.jp/M3/20110414/F50950/1628/1", 91.1)</f>
        <v>91.1</v>
      </c>
      <c r="E6401" s="2">
        <v>48.3</v>
      </c>
      <c r="F6401" s="2">
        <v>2</v>
      </c>
      <c r="G6401" s="2" t="s">
        <v>12</v>
      </c>
    </row>
    <row r="6402" spans="1:7" x14ac:dyDescent="0.2">
      <c r="A6402" s="2" t="s">
        <v>3285</v>
      </c>
      <c r="B6402" s="2" t="s">
        <v>65</v>
      </c>
      <c r="C6402" s="2">
        <v>651.97519999999997</v>
      </c>
      <c r="D6402" s="2">
        <f>HYPERLINK("http://mcb-m6.bioreg.kyushu-u.ac.jp/M3/20110414/F50958/1398/1", 91.87)</f>
        <v>91.87</v>
      </c>
      <c r="E6402" s="2">
        <v>46.31</v>
      </c>
      <c r="F6402" s="2">
        <v>2</v>
      </c>
      <c r="G6402" s="2" t="s">
        <v>12</v>
      </c>
    </row>
    <row r="6403" spans="1:7" x14ac:dyDescent="0.2">
      <c r="A6403" s="2" t="s">
        <v>3285</v>
      </c>
      <c r="B6403" s="2" t="s">
        <v>65</v>
      </c>
      <c r="C6403" s="2">
        <v>1302.932</v>
      </c>
      <c r="D6403" s="2">
        <f>HYPERLINK("http://mcb-m6.bioreg.kyushu-u.ac.jp/M3/20110502/F51172/1528/1", 39.04)</f>
        <v>39.04</v>
      </c>
      <c r="E6403" s="2">
        <v>21.66</v>
      </c>
      <c r="F6403" s="2">
        <v>1</v>
      </c>
      <c r="G6403" s="2" t="s">
        <v>13</v>
      </c>
    </row>
    <row r="6404" spans="1:7" x14ac:dyDescent="0.2">
      <c r="A6404" s="2" t="s">
        <v>3285</v>
      </c>
      <c r="B6404" s="2" t="s">
        <v>65</v>
      </c>
      <c r="C6404" s="2">
        <v>651.96510000000001</v>
      </c>
      <c r="D6404" s="2">
        <f>HYPERLINK("http://mcb-m6.bioreg.kyushu-u.ac.jp/M3/20110502/F51165/1784/1", 39.16)</f>
        <v>39.159999999999997</v>
      </c>
      <c r="E6404" s="2">
        <v>22.04</v>
      </c>
      <c r="F6404" s="2">
        <v>2</v>
      </c>
      <c r="G6404" s="2" t="s">
        <v>13</v>
      </c>
    </row>
    <row r="6405" spans="1:7" x14ac:dyDescent="0.2">
      <c r="A6405" s="2" t="s">
        <v>3285</v>
      </c>
      <c r="B6405" s="2" t="s">
        <v>65</v>
      </c>
      <c r="C6405" s="2">
        <v>651.94209999999998</v>
      </c>
      <c r="D6405" s="2">
        <f>HYPERLINK("http://mcb-m6.bioreg.kyushu-u.ac.jp/M3/20110502/F51188/1417/1", 47.22)</f>
        <v>47.22</v>
      </c>
      <c r="E6405" s="2">
        <v>15.28</v>
      </c>
      <c r="F6405" s="2">
        <v>2</v>
      </c>
      <c r="G6405" s="2" t="s">
        <v>13</v>
      </c>
    </row>
    <row r="6406" spans="1:7" x14ac:dyDescent="0.2">
      <c r="A6406" s="2" t="s">
        <v>3285</v>
      </c>
      <c r="B6406" s="2" t="s">
        <v>65</v>
      </c>
      <c r="C6406" s="2">
        <v>652.46010000000001</v>
      </c>
      <c r="D6406" s="2">
        <f>HYPERLINK("http://mcb-m6.bioreg.kyushu-u.ac.jp/M3/20110502/F51169/1759/1", 90.57)</f>
        <v>90.57</v>
      </c>
      <c r="E6406" s="2">
        <v>74.89</v>
      </c>
      <c r="F6406" s="2">
        <v>2</v>
      </c>
      <c r="G6406" s="2" t="s">
        <v>13</v>
      </c>
    </row>
    <row r="6407" spans="1:7" x14ac:dyDescent="0.2">
      <c r="A6407" s="2" t="s">
        <v>3285</v>
      </c>
      <c r="B6407" s="2" t="s">
        <v>65</v>
      </c>
      <c r="C6407" s="2">
        <v>652.22220000000004</v>
      </c>
      <c r="D6407" s="2">
        <f>HYPERLINK("http://mcb-m6.bioreg.kyushu-u.ac.jp/M3/20110502/F51175/1519/1", 111.95)</f>
        <v>111.95</v>
      </c>
      <c r="E6407" s="2">
        <v>79.319999999999993</v>
      </c>
      <c r="F6407" s="2">
        <v>2</v>
      </c>
      <c r="G6407" s="2" t="s">
        <v>13</v>
      </c>
    </row>
    <row r="6408" spans="1:7" x14ac:dyDescent="0.2">
      <c r="A6408" s="2" t="s">
        <v>3285</v>
      </c>
      <c r="B6408" s="2" t="s">
        <v>65</v>
      </c>
      <c r="C6408" s="2">
        <v>652.1191</v>
      </c>
      <c r="D6408" s="2">
        <f>HYPERLINK("http://mcb-m6.bioreg.kyushu-u.ac.jp/M3/20110502/F51174/1612/1", 112.05)</f>
        <v>112.05</v>
      </c>
      <c r="E6408" s="2">
        <v>78.73</v>
      </c>
      <c r="F6408" s="2">
        <v>2</v>
      </c>
      <c r="G6408" s="2" t="s">
        <v>13</v>
      </c>
    </row>
    <row r="6409" spans="1:7" x14ac:dyDescent="0.2">
      <c r="A6409" s="2" t="s">
        <v>3285</v>
      </c>
      <c r="B6409" s="2" t="s">
        <v>65</v>
      </c>
      <c r="C6409" s="2">
        <v>652.10569999999996</v>
      </c>
      <c r="D6409" s="2">
        <f>HYPERLINK("http://mcb-m6.bioreg.kyushu-u.ac.jp/M3/20110502/F51172/1530/1", 112.24)</f>
        <v>112.24</v>
      </c>
      <c r="E6409" s="2">
        <v>68.52</v>
      </c>
      <c r="F6409" s="2">
        <v>2</v>
      </c>
      <c r="G6409" s="2" t="s">
        <v>13</v>
      </c>
    </row>
    <row r="6410" spans="1:7" x14ac:dyDescent="0.2">
      <c r="A6410" s="2" t="s">
        <v>3285</v>
      </c>
      <c r="B6410" s="2" t="s">
        <v>65</v>
      </c>
      <c r="C6410" s="2">
        <v>652.21420000000001</v>
      </c>
      <c r="D6410" s="2">
        <f>HYPERLINK("http://mcb-m6.bioreg.kyushu-u.ac.jp/M3/20110502/F51168/1688/1", 112.28)</f>
        <v>112.28</v>
      </c>
      <c r="E6410" s="2">
        <v>74.08</v>
      </c>
      <c r="F6410" s="2">
        <v>2</v>
      </c>
      <c r="G6410" s="2" t="s">
        <v>13</v>
      </c>
    </row>
    <row r="6411" spans="1:7" x14ac:dyDescent="0.2">
      <c r="A6411" s="2" t="s">
        <v>3285</v>
      </c>
      <c r="B6411" s="2" t="s">
        <v>65</v>
      </c>
      <c r="C6411" s="2">
        <v>1302.894</v>
      </c>
      <c r="D6411" s="2">
        <f>HYPERLINK("http://mcb-m6.bioreg.kyushu-u.ac.jp/M3/20110502/F51193/1354/1", 36.42)</f>
        <v>36.42</v>
      </c>
      <c r="E6411" s="2">
        <v>16.36</v>
      </c>
      <c r="F6411" s="2">
        <v>1</v>
      </c>
      <c r="G6411" s="2" t="s">
        <v>14</v>
      </c>
    </row>
    <row r="6412" spans="1:7" x14ac:dyDescent="0.2">
      <c r="A6412" s="2" t="s">
        <v>3285</v>
      </c>
      <c r="B6412" s="2" t="s">
        <v>65</v>
      </c>
      <c r="C6412" s="2">
        <v>1303.585</v>
      </c>
      <c r="D6412" s="2">
        <f>HYPERLINK("http://mcb-m6.bioreg.kyushu-u.ac.jp/M3/20110502/F51184/1274/1", 42)</f>
        <v>42</v>
      </c>
      <c r="E6412" s="2">
        <v>26.05</v>
      </c>
      <c r="F6412" s="2">
        <v>1</v>
      </c>
      <c r="G6412" s="2" t="s">
        <v>14</v>
      </c>
    </row>
    <row r="6413" spans="1:7" x14ac:dyDescent="0.2">
      <c r="A6413" s="2" t="s">
        <v>3285</v>
      </c>
      <c r="B6413" s="2" t="s">
        <v>65</v>
      </c>
      <c r="C6413" s="2">
        <v>1303.028</v>
      </c>
      <c r="D6413" s="2">
        <f>HYPERLINK("http://mcb-m6.bioreg.kyushu-u.ac.jp/M3/20110502/F51182/1319/1", 45.65)</f>
        <v>45.65</v>
      </c>
      <c r="E6413" s="2">
        <v>24.81</v>
      </c>
      <c r="F6413" s="2">
        <v>1</v>
      </c>
      <c r="G6413" s="2" t="s">
        <v>14</v>
      </c>
    </row>
    <row r="6414" spans="1:7" x14ac:dyDescent="0.2">
      <c r="A6414" s="2" t="s">
        <v>3285</v>
      </c>
      <c r="B6414" s="2" t="s">
        <v>65</v>
      </c>
      <c r="C6414" s="2">
        <v>1302.7660000000001</v>
      </c>
      <c r="D6414" s="2">
        <f>HYPERLINK("http://mcb-m6.bioreg.kyushu-u.ac.jp/M3/20110502/F51179/1271/1", 46.53)</f>
        <v>46.53</v>
      </c>
      <c r="E6414" s="2">
        <v>29.56</v>
      </c>
      <c r="F6414" s="2">
        <v>1</v>
      </c>
      <c r="G6414" s="2" t="s">
        <v>14</v>
      </c>
    </row>
    <row r="6415" spans="1:7" x14ac:dyDescent="0.2">
      <c r="A6415" s="2" t="s">
        <v>3285</v>
      </c>
      <c r="B6415" s="2" t="s">
        <v>65</v>
      </c>
      <c r="C6415" s="2">
        <v>1303.778</v>
      </c>
      <c r="D6415" s="2">
        <f>HYPERLINK("http://mcb-m6.bioreg.kyushu-u.ac.jp/M3/20110502/F51177/1297/1", 48.4)</f>
        <v>48.4</v>
      </c>
      <c r="E6415" s="2">
        <v>20.79</v>
      </c>
      <c r="F6415" s="2">
        <v>1</v>
      </c>
      <c r="G6415" s="2" t="s">
        <v>14</v>
      </c>
    </row>
    <row r="6416" spans="1:7" x14ac:dyDescent="0.2">
      <c r="A6416" s="2" t="s">
        <v>3285</v>
      </c>
      <c r="B6416" s="2" t="s">
        <v>65</v>
      </c>
      <c r="C6416" s="2">
        <v>1302.8710000000001</v>
      </c>
      <c r="D6416" s="2">
        <f>HYPERLINK("http://mcb-m6.bioreg.kyushu-u.ac.jp/M3/20110502/F51177/1289/1", 50.64)</f>
        <v>50.64</v>
      </c>
      <c r="E6416" s="2">
        <v>32.54</v>
      </c>
      <c r="F6416" s="2">
        <v>1</v>
      </c>
      <c r="G6416" s="2" t="s">
        <v>14</v>
      </c>
    </row>
    <row r="6417" spans="1:9" x14ac:dyDescent="0.2">
      <c r="A6417" s="2" t="s">
        <v>3285</v>
      </c>
      <c r="B6417" s="2" t="s">
        <v>65</v>
      </c>
      <c r="C6417" s="2">
        <v>1302.8050000000001</v>
      </c>
      <c r="D6417" s="2">
        <f>HYPERLINK("http://mcb-m6.bioreg.kyushu-u.ac.jp/M3/20110502/F51178/1704/1", 50.92)</f>
        <v>50.92</v>
      </c>
      <c r="E6417" s="2">
        <v>30.39</v>
      </c>
      <c r="F6417" s="2">
        <v>1</v>
      </c>
      <c r="G6417" s="2" t="s">
        <v>14</v>
      </c>
    </row>
    <row r="6418" spans="1:9" x14ac:dyDescent="0.2">
      <c r="A6418" s="2" t="s">
        <v>3285</v>
      </c>
      <c r="B6418" s="2" t="s">
        <v>65</v>
      </c>
      <c r="C6418" s="2">
        <v>652.23720000000003</v>
      </c>
      <c r="D6418" s="2">
        <f>HYPERLINK("http://mcb-m6.bioreg.kyushu-u.ac.jp/M3/20110502/F51191/1317/1", 54.41)</f>
        <v>54.41</v>
      </c>
      <c r="E6418" s="2">
        <v>36.18</v>
      </c>
      <c r="F6418" s="2">
        <v>2</v>
      </c>
      <c r="G6418" s="2" t="s">
        <v>14</v>
      </c>
    </row>
    <row r="6419" spans="1:9" x14ac:dyDescent="0.2">
      <c r="A6419" s="2" t="s">
        <v>3285</v>
      </c>
      <c r="B6419" s="2" t="s">
        <v>65</v>
      </c>
      <c r="C6419" s="2">
        <v>652.08720000000005</v>
      </c>
      <c r="D6419" s="2">
        <f>HYPERLINK("http://mcb-m6.bioreg.kyushu-u.ac.jp/M3/20110502/F51177/1293/1", 58.68)</f>
        <v>58.68</v>
      </c>
      <c r="E6419" s="2">
        <v>34.03</v>
      </c>
      <c r="F6419" s="2">
        <v>2</v>
      </c>
      <c r="G6419" s="2" t="s">
        <v>14</v>
      </c>
    </row>
    <row r="6420" spans="1:9" x14ac:dyDescent="0.2">
      <c r="A6420" s="2" t="s">
        <v>3285</v>
      </c>
      <c r="B6420" s="2" t="s">
        <v>65</v>
      </c>
      <c r="C6420" s="2">
        <v>652.15219999999999</v>
      </c>
      <c r="D6420" s="2">
        <f>HYPERLINK("http://mcb-m6.bioreg.kyushu-u.ac.jp/M3/20110502/F51194/1316/1", 69.16)</f>
        <v>69.16</v>
      </c>
      <c r="E6420" s="2">
        <v>34.08</v>
      </c>
      <c r="F6420" s="2">
        <v>2</v>
      </c>
      <c r="G6420" s="2" t="s">
        <v>14</v>
      </c>
    </row>
    <row r="6421" spans="1:9" x14ac:dyDescent="0.2">
      <c r="A6421" s="2" t="s">
        <v>3285</v>
      </c>
      <c r="B6421" s="2" t="s">
        <v>65</v>
      </c>
      <c r="C6421" s="2">
        <v>652.01570000000004</v>
      </c>
      <c r="D6421" s="2">
        <f>HYPERLINK("http://mcb-m6.bioreg.kyushu-u.ac.jp/M3/20110502/F51177/1291/1", 92.69)</f>
        <v>92.69</v>
      </c>
      <c r="E6421" s="2">
        <v>61.9</v>
      </c>
      <c r="F6421" s="2">
        <v>2</v>
      </c>
      <c r="G6421" s="2" t="s">
        <v>14</v>
      </c>
    </row>
    <row r="6422" spans="1:9" x14ac:dyDescent="0.2">
      <c r="A6422" s="2" t="s">
        <v>3285</v>
      </c>
      <c r="B6422" s="2" t="s">
        <v>65</v>
      </c>
      <c r="C6422" s="2">
        <v>652.02070000000003</v>
      </c>
      <c r="D6422" s="2">
        <f>HYPERLINK("http://mcb-m6.bioreg.kyushu-u.ac.jp/M3/20110502/F51185/1388/1", 96.19)</f>
        <v>96.19</v>
      </c>
      <c r="E6422" s="2">
        <v>55.09</v>
      </c>
      <c r="F6422" s="2">
        <v>2</v>
      </c>
      <c r="G6422" s="2" t="s">
        <v>14</v>
      </c>
    </row>
    <row r="6423" spans="1:9" x14ac:dyDescent="0.2">
      <c r="A6423" s="2" t="s">
        <v>3285</v>
      </c>
      <c r="B6423" s="2" t="s">
        <v>65</v>
      </c>
      <c r="C6423" s="2">
        <v>651.86519999999996</v>
      </c>
      <c r="D6423" s="2">
        <f>HYPERLINK("http://mcb-m6.bioreg.kyushu-u.ac.jp/M3/20110502/F51184/1271/1", 99.55)</f>
        <v>99.55</v>
      </c>
      <c r="E6423" s="2">
        <v>48.63</v>
      </c>
      <c r="F6423" s="2">
        <v>2</v>
      </c>
      <c r="G6423" s="2" t="s">
        <v>14</v>
      </c>
    </row>
    <row r="6424" spans="1:9" x14ac:dyDescent="0.2">
      <c r="A6424" s="2" t="s">
        <v>3285</v>
      </c>
      <c r="B6424" s="2" t="s">
        <v>65</v>
      </c>
      <c r="C6424" s="2">
        <v>652.11270000000002</v>
      </c>
      <c r="D6424" s="2">
        <f>HYPERLINK("http://mcb-m6.bioreg.kyushu-u.ac.jp/M3/20110502/F51178/1707/1", 100.38)</f>
        <v>100.38</v>
      </c>
      <c r="E6424" s="2">
        <v>68.989999999999995</v>
      </c>
      <c r="F6424" s="2">
        <v>2</v>
      </c>
      <c r="G6424" s="2" t="s">
        <v>14</v>
      </c>
    </row>
    <row r="6425" spans="1:9" x14ac:dyDescent="0.2">
      <c r="A6425" s="2" t="s">
        <v>3285</v>
      </c>
      <c r="B6425" s="2" t="s">
        <v>65</v>
      </c>
      <c r="C6425" s="2">
        <v>652.35059999999999</v>
      </c>
      <c r="D6425" s="2">
        <f>HYPERLINK("http://mcb-m6.bioreg.kyushu-u.ac.jp/M3/20110502/F51177/1294/1", 101.45)</f>
        <v>101.45</v>
      </c>
      <c r="E6425" s="2">
        <v>67.58</v>
      </c>
      <c r="F6425" s="2">
        <v>2</v>
      </c>
      <c r="G6425" s="2" t="s">
        <v>14</v>
      </c>
    </row>
    <row r="6426" spans="1:9" x14ac:dyDescent="0.2">
      <c r="A6426" s="2" t="s">
        <v>3285</v>
      </c>
      <c r="B6426" s="2" t="s">
        <v>65</v>
      </c>
      <c r="C6426" s="2">
        <v>652.00459999999998</v>
      </c>
      <c r="D6426" s="2">
        <f>HYPERLINK("http://mcb-m6.bioreg.kyushu-u.ac.jp/M3/20110502/F51177/1290/1", 112.37)</f>
        <v>112.37</v>
      </c>
      <c r="E6426" s="2">
        <v>78.69</v>
      </c>
      <c r="F6426" s="2">
        <v>2</v>
      </c>
      <c r="G6426" s="2" t="s">
        <v>14</v>
      </c>
    </row>
    <row r="6427" spans="1:9" x14ac:dyDescent="0.2">
      <c r="A6427" s="2" t="s">
        <v>3285</v>
      </c>
      <c r="B6427" s="2" t="s">
        <v>65</v>
      </c>
      <c r="C6427" s="2">
        <v>652.45420000000001</v>
      </c>
      <c r="D6427" s="2">
        <f>HYPERLINK("http://mcb-m6.bioreg.kyushu-u.ac.jp/M3/20110502/F51193/1356/1", 112.57)</f>
        <v>112.57</v>
      </c>
      <c r="E6427" s="2">
        <v>86.23</v>
      </c>
      <c r="F6427" s="2">
        <v>2</v>
      </c>
      <c r="G6427" s="2" t="s">
        <v>14</v>
      </c>
    </row>
    <row r="6428" spans="1:9" x14ac:dyDescent="0.2">
      <c r="A6428" s="2" t="s">
        <v>4307</v>
      </c>
      <c r="B6428" s="2" t="s">
        <v>2046</v>
      </c>
      <c r="C6428" s="2">
        <v>632.4067</v>
      </c>
      <c r="D6428" s="2">
        <f>HYPERLINK("http://mcb-m6.bioreg.kyushu-u.ac.jp/M3/20110411/F50920/1095/1", 68.47)</f>
        <v>68.47</v>
      </c>
      <c r="E6428" s="2">
        <v>37.520000000000003</v>
      </c>
      <c r="F6428" s="2">
        <v>2</v>
      </c>
      <c r="G6428" s="2" t="s">
        <v>10</v>
      </c>
    </row>
    <row r="6429" spans="1:9" x14ac:dyDescent="0.2">
      <c r="A6429" s="2" t="s">
        <v>4267</v>
      </c>
      <c r="B6429" s="2" t="s">
        <v>1928</v>
      </c>
      <c r="C6429" s="2">
        <v>1165.6369999999999</v>
      </c>
      <c r="D6429" s="2">
        <f>HYPERLINK("http://mcb-m6.bioreg.kyushu-u.ac.jp/M3/20110411/F50920/930/1", 50.63)</f>
        <v>50.63</v>
      </c>
      <c r="E6429" s="2">
        <v>28.92</v>
      </c>
      <c r="F6429" s="2">
        <v>1</v>
      </c>
      <c r="G6429" s="2" t="s">
        <v>10</v>
      </c>
    </row>
    <row r="6430" spans="1:9" x14ac:dyDescent="0.2">
      <c r="A6430" s="2" t="s">
        <v>4326</v>
      </c>
      <c r="B6430" s="2" t="s">
        <v>2113</v>
      </c>
      <c r="C6430" s="2">
        <v>829.89009999999996</v>
      </c>
      <c r="D6430" s="2">
        <f>HYPERLINK("http://mcb-m6.bioreg.kyushu-u.ac.jp/M3/20110411/F50920/1995/1", 84.92)</f>
        <v>84.92</v>
      </c>
      <c r="E6430" s="2">
        <v>57.38</v>
      </c>
      <c r="F6430" s="2">
        <v>2</v>
      </c>
      <c r="G6430" s="2" t="s">
        <v>10</v>
      </c>
      <c r="I6430" s="2" t="s">
        <v>4890</v>
      </c>
    </row>
    <row r="6431" spans="1:9" x14ac:dyDescent="0.2">
      <c r="A6431" s="2" t="s">
        <v>4326</v>
      </c>
      <c r="B6431" s="2" t="s">
        <v>2113</v>
      </c>
      <c r="C6431" s="2">
        <v>830.49869999999999</v>
      </c>
      <c r="D6431" s="2">
        <f>HYPERLINK("http://mcb-m6.bioreg.kyushu-u.ac.jp/M3/20110411/F50920/1999/1", 93.78)</f>
        <v>93.78</v>
      </c>
      <c r="E6431" s="2">
        <v>71.680000000000007</v>
      </c>
      <c r="F6431" s="2">
        <v>2</v>
      </c>
      <c r="G6431" s="2" t="s">
        <v>10</v>
      </c>
      <c r="I6431" s="2" t="s">
        <v>4890</v>
      </c>
    </row>
    <row r="6432" spans="1:9" x14ac:dyDescent="0.2">
      <c r="A6432" s="2" t="s">
        <v>4317</v>
      </c>
      <c r="B6432" s="2" t="s">
        <v>2084</v>
      </c>
      <c r="C6432" s="2">
        <v>558.46619999999996</v>
      </c>
      <c r="D6432" s="2">
        <f>HYPERLINK("http://mcb-m6.bioreg.kyushu-u.ac.jp/M3/20110411/F50920/858/1", 75.86)</f>
        <v>75.86</v>
      </c>
      <c r="E6432" s="2">
        <v>38.43</v>
      </c>
      <c r="F6432" s="2">
        <v>2</v>
      </c>
      <c r="G6432" s="2" t="s">
        <v>10</v>
      </c>
    </row>
    <row r="6433" spans="1:7" x14ac:dyDescent="0.2">
      <c r="A6433" s="2" t="s">
        <v>4144</v>
      </c>
      <c r="B6433" s="2" t="s">
        <v>1695</v>
      </c>
      <c r="C6433" s="2">
        <v>848.42719999999997</v>
      </c>
      <c r="D6433" s="2">
        <f>HYPERLINK("http://mcb-m6.bioreg.kyushu-u.ac.jp/M3/20110411/F50914/2578/1", 35.36)</f>
        <v>35.36</v>
      </c>
      <c r="E6433" s="2">
        <v>15.38</v>
      </c>
      <c r="F6433" s="2">
        <v>2</v>
      </c>
      <c r="G6433" s="2" t="s">
        <v>10</v>
      </c>
    </row>
    <row r="6434" spans="1:7" x14ac:dyDescent="0.2">
      <c r="A6434" s="2" t="s">
        <v>4144</v>
      </c>
      <c r="B6434" s="2" t="s">
        <v>1695</v>
      </c>
      <c r="C6434" s="2">
        <v>847.97119999999995</v>
      </c>
      <c r="D6434" s="2">
        <f>HYPERLINK("http://mcb-m6.bioreg.kyushu-u.ac.jp/M3/20110411/F50920/2063/1", 69.86)</f>
        <v>69.86</v>
      </c>
      <c r="E6434" s="2">
        <v>9.76</v>
      </c>
      <c r="F6434" s="2">
        <v>2</v>
      </c>
      <c r="G6434" s="2" t="s">
        <v>10</v>
      </c>
    </row>
    <row r="6435" spans="1:7" x14ac:dyDescent="0.2">
      <c r="A6435" s="2" t="s">
        <v>4301</v>
      </c>
      <c r="B6435" s="2" t="s">
        <v>2032</v>
      </c>
      <c r="C6435" s="2">
        <v>611.98360000000002</v>
      </c>
      <c r="D6435" s="2">
        <f>HYPERLINK("http://mcb-m6.bioreg.kyushu-u.ac.jp/M3/20110411/F50920/1022/1", 64.88)</f>
        <v>64.88</v>
      </c>
      <c r="E6435" s="2">
        <v>38.64</v>
      </c>
      <c r="F6435" s="2">
        <v>2</v>
      </c>
      <c r="G6435" s="2" t="s">
        <v>10</v>
      </c>
    </row>
    <row r="6436" spans="1:7" x14ac:dyDescent="0.2">
      <c r="A6436" s="2" t="s">
        <v>4301</v>
      </c>
      <c r="B6436" s="2" t="s">
        <v>2054</v>
      </c>
      <c r="C6436" s="2">
        <v>676.2577</v>
      </c>
      <c r="D6436" s="2">
        <f>HYPERLINK("http://mcb-m6.bioreg.kyushu-u.ac.jp/M3/20110411/F50920/1245/1", 69.69)</f>
        <v>69.69</v>
      </c>
      <c r="E6436" s="2">
        <v>47.4</v>
      </c>
      <c r="F6436" s="2">
        <v>2</v>
      </c>
      <c r="G6436" s="2" t="s">
        <v>10</v>
      </c>
    </row>
    <row r="6437" spans="1:7" x14ac:dyDescent="0.2">
      <c r="A6437" s="2" t="s">
        <v>4132</v>
      </c>
      <c r="B6437" s="2" t="s">
        <v>1662</v>
      </c>
      <c r="C6437" s="2">
        <v>864.32259999999997</v>
      </c>
      <c r="D6437" s="2">
        <f>HYPERLINK("http://mcb-m6.bioreg.kyushu-u.ac.jp/M3/20110411/F50890/2806/1", 115.7)</f>
        <v>115.7</v>
      </c>
      <c r="E6437" s="2">
        <v>94.33</v>
      </c>
      <c r="F6437" s="2">
        <v>2</v>
      </c>
      <c r="G6437" s="2" t="s">
        <v>9</v>
      </c>
    </row>
    <row r="6438" spans="1:7" x14ac:dyDescent="0.2">
      <c r="A6438" s="2" t="s">
        <v>4132</v>
      </c>
      <c r="B6438" s="2" t="s">
        <v>1662</v>
      </c>
      <c r="C6438" s="2">
        <v>863.77070000000003</v>
      </c>
      <c r="D6438" s="2">
        <f>HYPERLINK("http://mcb-m6.bioreg.kyushu-u.ac.jp/M3/20110411/F50890/2804/1", 136.75)</f>
        <v>136.75</v>
      </c>
      <c r="E6438" s="2">
        <v>117.98</v>
      </c>
      <c r="F6438" s="2">
        <v>2</v>
      </c>
      <c r="G6438" s="2" t="s">
        <v>9</v>
      </c>
    </row>
    <row r="6439" spans="1:7" x14ac:dyDescent="0.2">
      <c r="A6439" s="2" t="s">
        <v>4132</v>
      </c>
      <c r="B6439" s="2" t="s">
        <v>1662</v>
      </c>
      <c r="C6439" s="2">
        <v>864.16020000000003</v>
      </c>
      <c r="D6439" s="2">
        <f>HYPERLINK("http://mcb-m6.bioreg.kyushu-u.ac.jp/M3/20110414/F50932/2615/1", 81.92)</f>
        <v>81.92</v>
      </c>
      <c r="E6439" s="2">
        <v>67.5</v>
      </c>
      <c r="F6439" s="2">
        <v>2</v>
      </c>
      <c r="G6439" s="2" t="s">
        <v>12</v>
      </c>
    </row>
    <row r="6440" spans="1:7" x14ac:dyDescent="0.2">
      <c r="A6440" s="2" t="s">
        <v>4132</v>
      </c>
      <c r="B6440" s="2" t="s">
        <v>1662</v>
      </c>
      <c r="C6440" s="2">
        <v>864.43409999999994</v>
      </c>
      <c r="D6440" s="2">
        <f>HYPERLINK("http://mcb-m6.bioreg.kyushu-u.ac.jp/M3/20110502/F51168/2495/1", 124.97)</f>
        <v>124.97</v>
      </c>
      <c r="E6440" s="2">
        <v>107.88</v>
      </c>
      <c r="F6440" s="2">
        <v>2</v>
      </c>
      <c r="G6440" s="2" t="s">
        <v>13</v>
      </c>
    </row>
    <row r="6441" spans="1:7" x14ac:dyDescent="0.2">
      <c r="A6441" s="2" t="s">
        <v>4078</v>
      </c>
      <c r="B6441" s="2" t="s">
        <v>1486</v>
      </c>
      <c r="C6441" s="2">
        <v>1054.6410000000001</v>
      </c>
      <c r="D6441" s="2">
        <f>HYPERLINK("http://mcb-m6.bioreg.kyushu-u.ac.jp/M3/20110411/F50911/3555/1", 85.76)</f>
        <v>85.76</v>
      </c>
      <c r="E6441" s="2">
        <v>63.57</v>
      </c>
      <c r="F6441" s="2">
        <v>2</v>
      </c>
      <c r="G6441" s="2" t="s">
        <v>9</v>
      </c>
    </row>
    <row r="6442" spans="1:7" x14ac:dyDescent="0.2">
      <c r="A6442" s="2" t="s">
        <v>4078</v>
      </c>
      <c r="B6442" s="2" t="s">
        <v>1486</v>
      </c>
      <c r="C6442" s="2">
        <v>1054.5219999999999</v>
      </c>
      <c r="D6442" s="2">
        <f>HYPERLINK("http://mcb-m6.bioreg.kyushu-u.ac.jp/M3/20110414/F50942/3644/1", 91.27)</f>
        <v>91.27</v>
      </c>
      <c r="E6442" s="2">
        <v>77.02</v>
      </c>
      <c r="F6442" s="2">
        <v>2</v>
      </c>
      <c r="G6442" s="2" t="s">
        <v>11</v>
      </c>
    </row>
    <row r="6443" spans="1:7" x14ac:dyDescent="0.2">
      <c r="A6443" s="2" t="s">
        <v>3835</v>
      </c>
      <c r="B6443" s="2" t="s">
        <v>913</v>
      </c>
      <c r="C6443" s="2">
        <v>947.55470000000003</v>
      </c>
      <c r="D6443" s="2">
        <f>HYPERLINK("http://mcb-m6.bioreg.kyushu-u.ac.jp/M3/20110411/F50904/2957/1", 55.36)</f>
        <v>55.36</v>
      </c>
      <c r="E6443" s="2">
        <v>40.729999999999997</v>
      </c>
      <c r="F6443" s="2">
        <v>2</v>
      </c>
      <c r="G6443" s="2" t="s">
        <v>9</v>
      </c>
    </row>
    <row r="6444" spans="1:7" x14ac:dyDescent="0.2">
      <c r="A6444" s="2" t="s">
        <v>4059</v>
      </c>
      <c r="B6444" s="2" t="s">
        <v>1418</v>
      </c>
      <c r="C6444" s="2">
        <v>785.31320000000005</v>
      </c>
      <c r="D6444" s="2">
        <f>HYPERLINK("http://mcb-m6.bioreg.kyushu-u.ac.jp/M3/20110411/F50890/2443/1", 78.92)</f>
        <v>78.92</v>
      </c>
      <c r="E6444" s="2">
        <v>61.78</v>
      </c>
      <c r="F6444" s="2">
        <v>2</v>
      </c>
      <c r="G6444" s="2" t="s">
        <v>9</v>
      </c>
    </row>
    <row r="6445" spans="1:7" x14ac:dyDescent="0.2">
      <c r="A6445" s="2" t="s">
        <v>3346</v>
      </c>
      <c r="B6445" s="2" t="s">
        <v>135</v>
      </c>
      <c r="C6445" s="2">
        <v>1107.2750000000001</v>
      </c>
      <c r="D6445" s="2">
        <f>HYPERLINK("http://mcb-m6.bioreg.kyushu-u.ac.jp/M3/20110411/F50903/3493/1", 36.52)</f>
        <v>36.520000000000003</v>
      </c>
      <c r="E6445" s="2">
        <v>20.16</v>
      </c>
      <c r="F6445" s="2">
        <v>2</v>
      </c>
      <c r="G6445" s="2" t="s">
        <v>9</v>
      </c>
    </row>
    <row r="6446" spans="1:7" x14ac:dyDescent="0.2">
      <c r="A6446" s="2" t="s">
        <v>3346</v>
      </c>
      <c r="B6446" s="2" t="s">
        <v>135</v>
      </c>
      <c r="C6446" s="2">
        <v>1107.288</v>
      </c>
      <c r="D6446" s="2">
        <f>HYPERLINK("http://mcb-m6.bioreg.kyushu-u.ac.jp/M3/20110411/F50905/3642/1", 37.33)</f>
        <v>37.33</v>
      </c>
      <c r="E6446" s="2">
        <v>8.6</v>
      </c>
      <c r="F6446" s="2">
        <v>2</v>
      </c>
      <c r="G6446" s="2" t="s">
        <v>9</v>
      </c>
    </row>
    <row r="6447" spans="1:7" x14ac:dyDescent="0.2">
      <c r="A6447" s="2" t="s">
        <v>3615</v>
      </c>
      <c r="B6447" s="2" t="s">
        <v>521</v>
      </c>
      <c r="C6447" s="2">
        <v>1421.2460000000001</v>
      </c>
      <c r="D6447" s="2">
        <f>HYPERLINK("http://mcb-m6.bioreg.kyushu-u.ac.jp/M3/20110411/F50890/2013/1", 43.75)</f>
        <v>43.75</v>
      </c>
      <c r="E6447" s="2">
        <v>38.49</v>
      </c>
      <c r="F6447" s="2">
        <v>1</v>
      </c>
      <c r="G6447" s="2" t="s">
        <v>9</v>
      </c>
    </row>
    <row r="6448" spans="1:7" x14ac:dyDescent="0.2">
      <c r="A6448" s="2" t="s">
        <v>3615</v>
      </c>
      <c r="B6448" s="2" t="s">
        <v>521</v>
      </c>
      <c r="C6448" s="2">
        <v>1420.8969999999999</v>
      </c>
      <c r="D6448" s="2">
        <f>HYPERLINK("http://mcb-m6.bioreg.kyushu-u.ac.jp/M3/20110411/F50892/2063/1", 46.28)</f>
        <v>46.28</v>
      </c>
      <c r="E6448" s="2">
        <v>36.9</v>
      </c>
      <c r="F6448" s="2">
        <v>1</v>
      </c>
      <c r="G6448" s="2" t="s">
        <v>9</v>
      </c>
    </row>
    <row r="6449" spans="1:7" x14ac:dyDescent="0.2">
      <c r="A6449" s="2" t="s">
        <v>3615</v>
      </c>
      <c r="B6449" s="2" t="s">
        <v>521</v>
      </c>
      <c r="C6449" s="2">
        <v>1421.3810000000001</v>
      </c>
      <c r="D6449" s="2">
        <f>HYPERLINK("http://mcb-m6.bioreg.kyushu-u.ac.jp/M3/20110411/F50889/2152/1", 51.09)</f>
        <v>51.09</v>
      </c>
      <c r="E6449" s="2">
        <v>41.62</v>
      </c>
      <c r="F6449" s="2">
        <v>1</v>
      </c>
      <c r="G6449" s="2" t="s">
        <v>9</v>
      </c>
    </row>
    <row r="6450" spans="1:7" x14ac:dyDescent="0.2">
      <c r="A6450" s="2" t="s">
        <v>3615</v>
      </c>
      <c r="B6450" s="2" t="s">
        <v>521</v>
      </c>
      <c r="C6450" s="2">
        <v>711.20669999999996</v>
      </c>
      <c r="D6450" s="2">
        <f>HYPERLINK("http://mcb-m6.bioreg.kyushu-u.ac.jp/M3/20110411/F50900/2000/1", 46.6)</f>
        <v>46.6</v>
      </c>
      <c r="E6450" s="2">
        <v>23.65</v>
      </c>
      <c r="F6450" s="2">
        <v>2</v>
      </c>
      <c r="G6450" s="2" t="s">
        <v>10</v>
      </c>
    </row>
    <row r="6451" spans="1:7" x14ac:dyDescent="0.2">
      <c r="A6451" s="2" t="s">
        <v>3615</v>
      </c>
      <c r="B6451" s="2" t="s">
        <v>521</v>
      </c>
      <c r="C6451" s="2">
        <v>711.16819999999996</v>
      </c>
      <c r="D6451" s="2">
        <f>HYPERLINK("http://mcb-m6.bioreg.kyushu-u.ac.jp/M3/20110411/F50913/1868/1", 52.85)</f>
        <v>52.85</v>
      </c>
      <c r="E6451" s="2">
        <v>39.26</v>
      </c>
      <c r="F6451" s="2">
        <v>2</v>
      </c>
      <c r="G6451" s="2" t="s">
        <v>10</v>
      </c>
    </row>
    <row r="6452" spans="1:7" x14ac:dyDescent="0.2">
      <c r="A6452" s="2" t="s">
        <v>3615</v>
      </c>
      <c r="B6452" s="2" t="s">
        <v>521</v>
      </c>
      <c r="C6452" s="2">
        <v>711.32569999999998</v>
      </c>
      <c r="D6452" s="2">
        <f>HYPERLINK("http://mcb-m6.bioreg.kyushu-u.ac.jp/M3/20110411/F50899/2121/1", 67.28)</f>
        <v>67.28</v>
      </c>
      <c r="E6452" s="2">
        <v>54.32</v>
      </c>
      <c r="F6452" s="2">
        <v>2</v>
      </c>
      <c r="G6452" s="2" t="s">
        <v>10</v>
      </c>
    </row>
    <row r="6453" spans="1:7" x14ac:dyDescent="0.2">
      <c r="A6453" s="2" t="s">
        <v>3615</v>
      </c>
      <c r="B6453" s="2" t="s">
        <v>521</v>
      </c>
      <c r="C6453" s="2">
        <v>711.11320000000001</v>
      </c>
      <c r="D6453" s="2">
        <f>HYPERLINK("http://mcb-m6.bioreg.kyushu-u.ac.jp/M3/20110414/F50941/1920/1", 40.67)</f>
        <v>40.67</v>
      </c>
      <c r="E6453" s="2">
        <v>31.18</v>
      </c>
      <c r="F6453" s="2">
        <v>2</v>
      </c>
      <c r="G6453" s="2" t="s">
        <v>11</v>
      </c>
    </row>
    <row r="6454" spans="1:7" x14ac:dyDescent="0.2">
      <c r="A6454" s="2" t="s">
        <v>3615</v>
      </c>
      <c r="B6454" s="2" t="s">
        <v>521</v>
      </c>
      <c r="C6454" s="2">
        <v>711.02009999999996</v>
      </c>
      <c r="D6454" s="2">
        <f>HYPERLINK("http://mcb-m6.bioreg.kyushu-u.ac.jp/M3/20110414/F50928/2143/1", 59.17)</f>
        <v>59.17</v>
      </c>
      <c r="E6454" s="2">
        <v>33.14</v>
      </c>
      <c r="F6454" s="2">
        <v>2</v>
      </c>
      <c r="G6454" s="2" t="s">
        <v>11</v>
      </c>
    </row>
    <row r="6455" spans="1:7" x14ac:dyDescent="0.2">
      <c r="A6455" s="2" t="s">
        <v>3615</v>
      </c>
      <c r="B6455" s="2" t="s">
        <v>521</v>
      </c>
      <c r="C6455" s="2">
        <v>710.98170000000005</v>
      </c>
      <c r="D6455" s="2">
        <f>HYPERLINK("http://mcb-m6.bioreg.kyushu-u.ac.jp/M3/20110414/F50950/1969/1", 36.92)</f>
        <v>36.92</v>
      </c>
      <c r="E6455" s="2">
        <v>14.58</v>
      </c>
      <c r="F6455" s="2">
        <v>2</v>
      </c>
      <c r="G6455" s="2" t="s">
        <v>12</v>
      </c>
    </row>
    <row r="6456" spans="1:7" x14ac:dyDescent="0.2">
      <c r="A6456" s="2" t="s">
        <v>3615</v>
      </c>
      <c r="B6456" s="2" t="s">
        <v>521</v>
      </c>
      <c r="C6456" s="2">
        <v>711.32619999999997</v>
      </c>
      <c r="D6456" s="2">
        <f>HYPERLINK("http://mcb-m6.bioreg.kyushu-u.ac.jp/M3/20110502/F51167/1926/1", 44.52)</f>
        <v>44.52</v>
      </c>
      <c r="E6456" s="2">
        <v>35.6</v>
      </c>
      <c r="F6456" s="2">
        <v>2</v>
      </c>
      <c r="G6456" s="2" t="s">
        <v>13</v>
      </c>
    </row>
    <row r="6457" spans="1:7" x14ac:dyDescent="0.2">
      <c r="A6457" s="2" t="s">
        <v>3615</v>
      </c>
      <c r="B6457" s="2" t="s">
        <v>521</v>
      </c>
      <c r="C6457" s="2">
        <v>711.40219999999999</v>
      </c>
      <c r="D6457" s="2">
        <f>HYPERLINK("http://mcb-m6.bioreg.kyushu-u.ac.jp/M3/20110502/F51171/1897/1", 66)</f>
        <v>66</v>
      </c>
      <c r="E6457" s="2">
        <v>50.74</v>
      </c>
      <c r="F6457" s="2">
        <v>2</v>
      </c>
      <c r="G6457" s="2" t="s">
        <v>13</v>
      </c>
    </row>
    <row r="6458" spans="1:7" x14ac:dyDescent="0.2">
      <c r="A6458" s="2" t="s">
        <v>3615</v>
      </c>
      <c r="B6458" s="2" t="s">
        <v>521</v>
      </c>
      <c r="C6458" s="2">
        <v>711.44669999999996</v>
      </c>
      <c r="D6458" s="2">
        <f>HYPERLINK("http://mcb-m6.bioreg.kyushu-u.ac.jp/M3/20110502/F51186/1727/1", 64.75)</f>
        <v>64.75</v>
      </c>
      <c r="E6458" s="2">
        <v>49.49</v>
      </c>
      <c r="F6458" s="2">
        <v>2</v>
      </c>
      <c r="G6458" s="2" t="s">
        <v>14</v>
      </c>
    </row>
    <row r="6459" spans="1:7" x14ac:dyDescent="0.2">
      <c r="A6459" s="2" t="s">
        <v>3919</v>
      </c>
      <c r="B6459" s="2" t="s">
        <v>1094</v>
      </c>
      <c r="C6459" s="2">
        <v>740.49570000000006</v>
      </c>
      <c r="D6459" s="2">
        <f>HYPERLINK("http://mcb-m6.bioreg.kyushu-u.ac.jp/M3/20110411/F50892/2213/1", 62.73)</f>
        <v>62.73</v>
      </c>
      <c r="E6459" s="2">
        <v>45.57</v>
      </c>
      <c r="F6459" s="2">
        <v>2</v>
      </c>
      <c r="G6459" s="2" t="s">
        <v>9</v>
      </c>
    </row>
    <row r="6460" spans="1:7" x14ac:dyDescent="0.2">
      <c r="A6460" s="2" t="s">
        <v>3919</v>
      </c>
      <c r="B6460" s="2" t="s">
        <v>1094</v>
      </c>
      <c r="C6460" s="2">
        <v>740.39760000000001</v>
      </c>
      <c r="D6460" s="2">
        <f>HYPERLINK("http://mcb-m6.bioreg.kyushu-u.ac.jp/M3/20110411/F50915/1880/1", 68.06)</f>
        <v>68.06</v>
      </c>
      <c r="E6460" s="2">
        <v>45.51</v>
      </c>
      <c r="F6460" s="2">
        <v>2</v>
      </c>
      <c r="G6460" s="2" t="s">
        <v>9</v>
      </c>
    </row>
    <row r="6461" spans="1:7" x14ac:dyDescent="0.2">
      <c r="A6461" s="2" t="s">
        <v>3919</v>
      </c>
      <c r="B6461" s="2" t="s">
        <v>1094</v>
      </c>
      <c r="C6461" s="2">
        <v>740.62220000000002</v>
      </c>
      <c r="D6461" s="2">
        <f>HYPERLINK("http://mcb-m6.bioreg.kyushu-u.ac.jp/M3/20110411/F50911/2092/1", 73.65)</f>
        <v>73.650000000000006</v>
      </c>
      <c r="E6461" s="2">
        <v>45.54</v>
      </c>
      <c r="F6461" s="2">
        <v>2</v>
      </c>
      <c r="G6461" s="2" t="s">
        <v>9</v>
      </c>
    </row>
    <row r="6462" spans="1:7" x14ac:dyDescent="0.2">
      <c r="A6462" s="2" t="s">
        <v>3919</v>
      </c>
      <c r="B6462" s="2" t="s">
        <v>1094</v>
      </c>
      <c r="C6462" s="2">
        <v>740.66819999999996</v>
      </c>
      <c r="D6462" s="2">
        <f>HYPERLINK("http://mcb-m6.bioreg.kyushu-u.ac.jp/M3/20110411/F50890/2188/1", 86.68)</f>
        <v>86.68</v>
      </c>
      <c r="E6462" s="2">
        <v>54.79</v>
      </c>
      <c r="F6462" s="2">
        <v>2</v>
      </c>
      <c r="G6462" s="2" t="s">
        <v>9</v>
      </c>
    </row>
    <row r="6463" spans="1:7" x14ac:dyDescent="0.2">
      <c r="A6463" s="2" t="s">
        <v>3919</v>
      </c>
      <c r="B6463" s="2" t="s">
        <v>1094</v>
      </c>
      <c r="C6463" s="2">
        <v>740.4307</v>
      </c>
      <c r="D6463" s="2">
        <f>HYPERLINK("http://mcb-m6.bioreg.kyushu-u.ac.jp/M3/20110411/F50918/1880/1", 45.88)</f>
        <v>45.88</v>
      </c>
      <c r="E6463" s="2">
        <v>17.63</v>
      </c>
      <c r="F6463" s="2">
        <v>2</v>
      </c>
      <c r="G6463" s="2" t="s">
        <v>10</v>
      </c>
    </row>
    <row r="6464" spans="1:7" x14ac:dyDescent="0.2">
      <c r="A6464" s="2" t="s">
        <v>3919</v>
      </c>
      <c r="B6464" s="2" t="s">
        <v>1094</v>
      </c>
      <c r="C6464" s="2">
        <v>740.45420000000001</v>
      </c>
      <c r="D6464" s="2">
        <f>HYPERLINK("http://mcb-m6.bioreg.kyushu-u.ac.jp/M3/20110411/F50917/1943/1", 48.06)</f>
        <v>48.06</v>
      </c>
      <c r="E6464" s="2">
        <v>27.51</v>
      </c>
      <c r="F6464" s="2">
        <v>2</v>
      </c>
      <c r="G6464" s="2" t="s">
        <v>10</v>
      </c>
    </row>
    <row r="6465" spans="1:7" x14ac:dyDescent="0.2">
      <c r="A6465" s="2" t="s">
        <v>3919</v>
      </c>
      <c r="B6465" s="2" t="s">
        <v>1094</v>
      </c>
      <c r="C6465" s="2">
        <v>740.95510000000002</v>
      </c>
      <c r="D6465" s="2">
        <f>HYPERLINK("http://mcb-m6.bioreg.kyushu-u.ac.jp/M3/20110411/F50918/1884/1", 59.96)</f>
        <v>59.96</v>
      </c>
      <c r="E6465" s="2">
        <v>40.909999999999997</v>
      </c>
      <c r="F6465" s="2">
        <v>2</v>
      </c>
      <c r="G6465" s="2" t="s">
        <v>10</v>
      </c>
    </row>
    <row r="6466" spans="1:7" x14ac:dyDescent="0.2">
      <c r="A6466" s="2" t="s">
        <v>3919</v>
      </c>
      <c r="B6466" s="2" t="s">
        <v>1094</v>
      </c>
      <c r="C6466" s="2">
        <v>740.64970000000005</v>
      </c>
      <c r="D6466" s="2">
        <f>HYPERLINK("http://mcb-m6.bioreg.kyushu-u.ac.jp/M3/20110411/F50914/2084/1", 61.7)</f>
        <v>61.7</v>
      </c>
      <c r="E6466" s="2">
        <v>43.75</v>
      </c>
      <c r="F6466" s="2">
        <v>2</v>
      </c>
      <c r="G6466" s="2" t="s">
        <v>10</v>
      </c>
    </row>
    <row r="6467" spans="1:7" x14ac:dyDescent="0.2">
      <c r="A6467" s="2" t="s">
        <v>3919</v>
      </c>
      <c r="B6467" s="2" t="s">
        <v>1094</v>
      </c>
      <c r="C6467" s="2">
        <v>740.38120000000004</v>
      </c>
      <c r="D6467" s="2">
        <f>HYPERLINK("http://mcb-m6.bioreg.kyushu-u.ac.jp/M3/20110414/F50942/1896/1", 42.1)</f>
        <v>42.1</v>
      </c>
      <c r="E6467" s="2">
        <v>23.2</v>
      </c>
      <c r="F6467" s="2">
        <v>2</v>
      </c>
      <c r="G6467" s="2" t="s">
        <v>11</v>
      </c>
    </row>
    <row r="6468" spans="1:7" x14ac:dyDescent="0.2">
      <c r="A6468" s="2" t="s">
        <v>3919</v>
      </c>
      <c r="B6468" s="2" t="s">
        <v>1094</v>
      </c>
      <c r="C6468" s="2">
        <v>740.59220000000005</v>
      </c>
      <c r="D6468" s="2">
        <f>HYPERLINK("http://mcb-m6.bioreg.kyushu-u.ac.jp/M3/20110414/F50942/1899/1", 50.93)</f>
        <v>50.93</v>
      </c>
      <c r="E6468" s="2">
        <v>27.67</v>
      </c>
      <c r="F6468" s="2">
        <v>2</v>
      </c>
      <c r="G6468" s="2" t="s">
        <v>11</v>
      </c>
    </row>
    <row r="6469" spans="1:7" x14ac:dyDescent="0.2">
      <c r="A6469" s="2" t="s">
        <v>3919</v>
      </c>
      <c r="B6469" s="2" t="s">
        <v>1094</v>
      </c>
      <c r="C6469" s="2">
        <v>740.28269999999998</v>
      </c>
      <c r="D6469" s="2">
        <f>HYPERLINK("http://mcb-m6.bioreg.kyushu-u.ac.jp/M3/20110414/F50956/1915/1", 60.74)</f>
        <v>60.74</v>
      </c>
      <c r="E6469" s="2">
        <v>40.86</v>
      </c>
      <c r="F6469" s="2">
        <v>2</v>
      </c>
      <c r="G6469" s="2" t="s">
        <v>11</v>
      </c>
    </row>
    <row r="6470" spans="1:7" x14ac:dyDescent="0.2">
      <c r="A6470" s="2" t="s">
        <v>3919</v>
      </c>
      <c r="B6470" s="2" t="s">
        <v>1094</v>
      </c>
      <c r="C6470" s="2">
        <v>740.94870000000003</v>
      </c>
      <c r="D6470" s="2">
        <f>HYPERLINK("http://mcb-m6.bioreg.kyushu-u.ac.jp/M3/20110414/F50944/2104/1", 60.99)</f>
        <v>60.99</v>
      </c>
      <c r="E6470" s="2">
        <v>40.479999999999997</v>
      </c>
      <c r="F6470" s="2">
        <v>2</v>
      </c>
      <c r="G6470" s="2" t="s">
        <v>11</v>
      </c>
    </row>
    <row r="6471" spans="1:7" x14ac:dyDescent="0.2">
      <c r="A6471" s="2" t="s">
        <v>3919</v>
      </c>
      <c r="B6471" s="2" t="s">
        <v>1094</v>
      </c>
      <c r="C6471" s="2">
        <v>740.89919999999995</v>
      </c>
      <c r="D6471" s="2">
        <f>HYPERLINK("http://mcb-m6.bioreg.kyushu-u.ac.jp/M3/20110414/F50942/1903/1", 68.06)</f>
        <v>68.06</v>
      </c>
      <c r="E6471" s="2">
        <v>48.44</v>
      </c>
      <c r="F6471" s="2">
        <v>2</v>
      </c>
      <c r="G6471" s="2" t="s">
        <v>11</v>
      </c>
    </row>
    <row r="6472" spans="1:7" x14ac:dyDescent="0.2">
      <c r="A6472" s="2" t="s">
        <v>3919</v>
      </c>
      <c r="B6472" s="2" t="s">
        <v>1094</v>
      </c>
      <c r="C6472" s="2">
        <v>740.02419999999995</v>
      </c>
      <c r="D6472" s="2">
        <f>HYPERLINK("http://mcb-m6.bioreg.kyushu-u.ac.jp/M3/20110414/F50948/2071/1", 38.04)</f>
        <v>38.04</v>
      </c>
      <c r="E6472" s="2">
        <v>20.440000000000001</v>
      </c>
      <c r="F6472" s="2">
        <v>2</v>
      </c>
      <c r="G6472" s="2" t="s">
        <v>12</v>
      </c>
    </row>
    <row r="6473" spans="1:7" x14ac:dyDescent="0.2">
      <c r="A6473" s="2" t="s">
        <v>3919</v>
      </c>
      <c r="B6473" s="2" t="s">
        <v>1094</v>
      </c>
      <c r="C6473" s="2">
        <v>740.33969999999999</v>
      </c>
      <c r="D6473" s="2">
        <f>HYPERLINK("http://mcb-m6.bioreg.kyushu-u.ac.jp/M3/20110414/F50958/1970/1", 40.98)</f>
        <v>40.98</v>
      </c>
      <c r="E6473" s="2">
        <v>18.05</v>
      </c>
      <c r="F6473" s="2">
        <v>2</v>
      </c>
      <c r="G6473" s="2" t="s">
        <v>12</v>
      </c>
    </row>
    <row r="6474" spans="1:7" x14ac:dyDescent="0.2">
      <c r="A6474" s="2" t="s">
        <v>3919</v>
      </c>
      <c r="B6474" s="2" t="s">
        <v>1094</v>
      </c>
      <c r="C6474" s="2">
        <v>740.24770000000001</v>
      </c>
      <c r="D6474" s="2">
        <f>HYPERLINK("http://mcb-m6.bioreg.kyushu-u.ac.jp/M3/20110414/F50958/1969/1", 44.55)</f>
        <v>44.55</v>
      </c>
      <c r="E6474" s="2">
        <v>31.03</v>
      </c>
      <c r="F6474" s="2">
        <v>2</v>
      </c>
      <c r="G6474" s="2" t="s">
        <v>12</v>
      </c>
    </row>
    <row r="6475" spans="1:7" x14ac:dyDescent="0.2">
      <c r="A6475" s="2" t="s">
        <v>3919</v>
      </c>
      <c r="B6475" s="2" t="s">
        <v>1094</v>
      </c>
      <c r="C6475" s="2">
        <v>740.15309999999999</v>
      </c>
      <c r="D6475" s="2">
        <f>HYPERLINK("http://mcb-m6.bioreg.kyushu-u.ac.jp/M3/20110414/F50948/2076/1", 49.85)</f>
        <v>49.85</v>
      </c>
      <c r="E6475" s="2">
        <v>30.46</v>
      </c>
      <c r="F6475" s="2">
        <v>2</v>
      </c>
      <c r="G6475" s="2" t="s">
        <v>12</v>
      </c>
    </row>
    <row r="6476" spans="1:7" x14ac:dyDescent="0.2">
      <c r="A6476" s="2" t="s">
        <v>3919</v>
      </c>
      <c r="B6476" s="2" t="s">
        <v>1094</v>
      </c>
      <c r="C6476" s="2">
        <v>740.03560000000004</v>
      </c>
      <c r="D6476" s="2">
        <f>HYPERLINK("http://mcb-m6.bioreg.kyushu-u.ac.jp/M3/20110414/F50948/2072/1", 55.75)</f>
        <v>55.75</v>
      </c>
      <c r="E6476" s="2">
        <v>38.340000000000003</v>
      </c>
      <c r="F6476" s="2">
        <v>2</v>
      </c>
      <c r="G6476" s="2" t="s">
        <v>12</v>
      </c>
    </row>
    <row r="6477" spans="1:7" x14ac:dyDescent="0.2">
      <c r="A6477" s="2" t="s">
        <v>3919</v>
      </c>
      <c r="B6477" s="2" t="s">
        <v>1094</v>
      </c>
      <c r="C6477" s="2">
        <v>740.60059999999999</v>
      </c>
      <c r="D6477" s="2">
        <f>HYPERLINK("http://mcb-m6.bioreg.kyushu-u.ac.jp/M3/20110414/F50948/2080/1", 60.17)</f>
        <v>60.17</v>
      </c>
      <c r="E6477" s="2">
        <v>41.88</v>
      </c>
      <c r="F6477" s="2">
        <v>2</v>
      </c>
      <c r="G6477" s="2" t="s">
        <v>12</v>
      </c>
    </row>
    <row r="6478" spans="1:7" x14ac:dyDescent="0.2">
      <c r="A6478" s="2" t="s">
        <v>3919</v>
      </c>
      <c r="B6478" s="2" t="s">
        <v>1094</v>
      </c>
      <c r="C6478" s="2">
        <v>740.7106</v>
      </c>
      <c r="D6478" s="2">
        <f>HYPERLINK("http://mcb-m6.bioreg.kyushu-u.ac.jp/M3/20110414/F50948/2084/1", 61.66)</f>
        <v>61.66</v>
      </c>
      <c r="E6478" s="2">
        <v>31.28</v>
      </c>
      <c r="F6478" s="2">
        <v>2</v>
      </c>
      <c r="G6478" s="2" t="s">
        <v>12</v>
      </c>
    </row>
    <row r="6479" spans="1:7" x14ac:dyDescent="0.2">
      <c r="A6479" s="2" t="s">
        <v>3919</v>
      </c>
      <c r="B6479" s="2" t="s">
        <v>1094</v>
      </c>
      <c r="C6479" s="2">
        <v>740.6857</v>
      </c>
      <c r="D6479" s="2">
        <f>HYPERLINK("http://mcb-m6.bioreg.kyushu-u.ac.jp/M3/20110414/F50948/2082/1", 67.57)</f>
        <v>67.569999999999993</v>
      </c>
      <c r="E6479" s="2">
        <v>46.43</v>
      </c>
      <c r="F6479" s="2">
        <v>2</v>
      </c>
      <c r="G6479" s="2" t="s">
        <v>12</v>
      </c>
    </row>
    <row r="6480" spans="1:7" x14ac:dyDescent="0.2">
      <c r="A6480" s="2" t="s">
        <v>3919</v>
      </c>
      <c r="B6480" s="2" t="s">
        <v>1094</v>
      </c>
      <c r="C6480" s="2">
        <v>740.64120000000003</v>
      </c>
      <c r="D6480" s="2">
        <f>HYPERLINK("http://mcb-m6.bioreg.kyushu-u.ac.jp/M3/20110414/F50948/2081/1", 67.65)</f>
        <v>67.650000000000006</v>
      </c>
      <c r="E6480" s="2">
        <v>47.27</v>
      </c>
      <c r="F6480" s="2">
        <v>2</v>
      </c>
      <c r="G6480" s="2" t="s">
        <v>12</v>
      </c>
    </row>
    <row r="6481" spans="1:7" x14ac:dyDescent="0.2">
      <c r="A6481" s="2" t="s">
        <v>3919</v>
      </c>
      <c r="B6481" s="2" t="s">
        <v>1094</v>
      </c>
      <c r="C6481" s="2">
        <v>740.68960000000004</v>
      </c>
      <c r="D6481" s="2">
        <f>HYPERLINK("http://mcb-m6.bioreg.kyushu-u.ac.jp/M3/20110414/F50948/2083/1", 79.24)</f>
        <v>79.239999999999995</v>
      </c>
      <c r="E6481" s="2">
        <v>48.31</v>
      </c>
      <c r="F6481" s="2">
        <v>2</v>
      </c>
      <c r="G6481" s="2" t="s">
        <v>12</v>
      </c>
    </row>
    <row r="6482" spans="1:7" x14ac:dyDescent="0.2">
      <c r="A6482" s="2" t="s">
        <v>3919</v>
      </c>
      <c r="B6482" s="2" t="s">
        <v>1094</v>
      </c>
      <c r="C6482" s="2">
        <v>740.18409999999994</v>
      </c>
      <c r="D6482" s="2">
        <f>HYPERLINK("http://mcb-m6.bioreg.kyushu-u.ac.jp/M3/20110414/F50948/2077/1", 80.81)</f>
        <v>80.81</v>
      </c>
      <c r="E6482" s="2">
        <v>60.29</v>
      </c>
      <c r="F6482" s="2">
        <v>2</v>
      </c>
      <c r="G6482" s="2" t="s">
        <v>12</v>
      </c>
    </row>
    <row r="6483" spans="1:7" x14ac:dyDescent="0.2">
      <c r="A6483" s="2" t="s">
        <v>3919</v>
      </c>
      <c r="B6483" s="2" t="s">
        <v>1094</v>
      </c>
      <c r="C6483" s="2">
        <v>740.56209999999999</v>
      </c>
      <c r="D6483" s="2">
        <f>HYPERLINK("http://mcb-m6.bioreg.kyushu-u.ac.jp/M3/20110414/F50950/2160/1", 89.8)</f>
        <v>89.8</v>
      </c>
      <c r="E6483" s="2">
        <v>65.06</v>
      </c>
      <c r="F6483" s="2">
        <v>2</v>
      </c>
      <c r="G6483" s="2" t="s">
        <v>12</v>
      </c>
    </row>
    <row r="6484" spans="1:7" x14ac:dyDescent="0.2">
      <c r="A6484" s="2" t="s">
        <v>3919</v>
      </c>
      <c r="B6484" s="2" t="s">
        <v>1094</v>
      </c>
      <c r="C6484" s="2">
        <v>740.84720000000004</v>
      </c>
      <c r="D6484" s="2">
        <f>HYPERLINK("http://mcb-m6.bioreg.kyushu-u.ac.jp/M3/20110502/F51172/2093/1", 35.71)</f>
        <v>35.71</v>
      </c>
      <c r="E6484" s="2">
        <v>14.67</v>
      </c>
      <c r="F6484" s="2">
        <v>2</v>
      </c>
      <c r="G6484" s="2" t="s">
        <v>13</v>
      </c>
    </row>
    <row r="6485" spans="1:7" x14ac:dyDescent="0.2">
      <c r="A6485" s="2" t="s">
        <v>3919</v>
      </c>
      <c r="B6485" s="2" t="s">
        <v>1094</v>
      </c>
      <c r="C6485" s="2">
        <v>740.76760000000002</v>
      </c>
      <c r="D6485" s="2">
        <f>HYPERLINK("http://mcb-m6.bioreg.kyushu-u.ac.jp/M3/20110502/F51167/1994/1", 40.02)</f>
        <v>40.020000000000003</v>
      </c>
      <c r="E6485" s="2">
        <v>19.059999999999999</v>
      </c>
      <c r="F6485" s="2">
        <v>2</v>
      </c>
      <c r="G6485" s="2" t="s">
        <v>13</v>
      </c>
    </row>
    <row r="6486" spans="1:7" x14ac:dyDescent="0.2">
      <c r="A6486" s="2" t="s">
        <v>3919</v>
      </c>
      <c r="B6486" s="2" t="s">
        <v>1094</v>
      </c>
      <c r="C6486" s="2">
        <v>741.00019999999995</v>
      </c>
      <c r="D6486" s="2">
        <f>HYPERLINK("http://mcb-m6.bioreg.kyushu-u.ac.jp/M3/20110502/F51188/1850/1", 68.81)</f>
        <v>68.81</v>
      </c>
      <c r="E6486" s="2">
        <v>51.17</v>
      </c>
      <c r="F6486" s="2">
        <v>2</v>
      </c>
      <c r="G6486" s="2" t="s">
        <v>13</v>
      </c>
    </row>
    <row r="6487" spans="1:7" x14ac:dyDescent="0.2">
      <c r="A6487" s="2" t="s">
        <v>3919</v>
      </c>
      <c r="B6487" s="2" t="s">
        <v>1094</v>
      </c>
      <c r="C6487" s="2">
        <v>740.83320000000003</v>
      </c>
      <c r="D6487" s="2">
        <f>HYPERLINK("http://mcb-m6.bioreg.kyushu-u.ac.jp/M3/20110502/F51188/1848/1", 70.19)</f>
        <v>70.19</v>
      </c>
      <c r="E6487" s="2">
        <v>48.85</v>
      </c>
      <c r="F6487" s="2">
        <v>2</v>
      </c>
      <c r="G6487" s="2" t="s">
        <v>13</v>
      </c>
    </row>
    <row r="6488" spans="1:7" x14ac:dyDescent="0.2">
      <c r="A6488" s="2" t="s">
        <v>3919</v>
      </c>
      <c r="B6488" s="2" t="s">
        <v>1094</v>
      </c>
      <c r="C6488" s="2">
        <v>740.67909999999995</v>
      </c>
      <c r="D6488" s="2">
        <f>HYPERLINK("http://mcb-m6.bioreg.kyushu-u.ac.jp/M3/20110502/F51188/1843/1", 76.17)</f>
        <v>76.17</v>
      </c>
      <c r="E6488" s="2">
        <v>47.15</v>
      </c>
      <c r="F6488" s="2">
        <v>2</v>
      </c>
      <c r="G6488" s="2" t="s">
        <v>13</v>
      </c>
    </row>
    <row r="6489" spans="1:7" x14ac:dyDescent="0.2">
      <c r="A6489" s="2" t="s">
        <v>3919</v>
      </c>
      <c r="B6489" s="2" t="s">
        <v>1094</v>
      </c>
      <c r="C6489" s="2">
        <v>740.54719999999998</v>
      </c>
      <c r="D6489" s="2">
        <f>HYPERLINK("http://mcb-m6.bioreg.kyushu-u.ac.jp/M3/20110502/F51188/1839/1", 77.5)</f>
        <v>77.5</v>
      </c>
      <c r="E6489" s="2">
        <v>55.24</v>
      </c>
      <c r="F6489" s="2">
        <v>2</v>
      </c>
      <c r="G6489" s="2" t="s">
        <v>13</v>
      </c>
    </row>
    <row r="6490" spans="1:7" x14ac:dyDescent="0.2">
      <c r="A6490" s="2" t="s">
        <v>3919</v>
      </c>
      <c r="B6490" s="2" t="s">
        <v>1094</v>
      </c>
      <c r="C6490" s="2">
        <v>740.64120000000003</v>
      </c>
      <c r="D6490" s="2">
        <f>HYPERLINK("http://mcb-m6.bioreg.kyushu-u.ac.jp/M3/20110502/F51188/1841/1", 89.41)</f>
        <v>89.41</v>
      </c>
      <c r="E6490" s="2">
        <v>61.38</v>
      </c>
      <c r="F6490" s="2">
        <v>2</v>
      </c>
      <c r="G6490" s="2" t="s">
        <v>13</v>
      </c>
    </row>
    <row r="6491" spans="1:7" x14ac:dyDescent="0.2">
      <c r="A6491" s="2" t="s">
        <v>3919</v>
      </c>
      <c r="B6491" s="2" t="s">
        <v>1094</v>
      </c>
      <c r="C6491" s="2">
        <v>740.91610000000003</v>
      </c>
      <c r="D6491" s="2">
        <f>HYPERLINK("http://mcb-m6.bioreg.kyushu-u.ac.jp/M3/20110502/F51185/1896/1", 41.78)</f>
        <v>41.78</v>
      </c>
      <c r="E6491" s="2">
        <v>26.7</v>
      </c>
      <c r="F6491" s="2">
        <v>2</v>
      </c>
      <c r="G6491" s="2" t="s">
        <v>14</v>
      </c>
    </row>
    <row r="6492" spans="1:7" x14ac:dyDescent="0.2">
      <c r="A6492" s="2" t="s">
        <v>3919</v>
      </c>
      <c r="B6492" s="2" t="s">
        <v>1094</v>
      </c>
      <c r="C6492" s="2">
        <v>740.64570000000003</v>
      </c>
      <c r="D6492" s="2">
        <f>HYPERLINK("http://mcb-m6.bioreg.kyushu-u.ac.jp/M3/20110502/F51194/1822/1", 42.84)</f>
        <v>42.84</v>
      </c>
      <c r="E6492" s="2">
        <v>14.09</v>
      </c>
      <c r="F6492" s="2">
        <v>2</v>
      </c>
      <c r="G6492" s="2" t="s">
        <v>14</v>
      </c>
    </row>
    <row r="6493" spans="1:7" x14ac:dyDescent="0.2">
      <c r="A6493" s="2" t="s">
        <v>3919</v>
      </c>
      <c r="B6493" s="2" t="s">
        <v>1094</v>
      </c>
      <c r="C6493" s="2">
        <v>740.74369999999999</v>
      </c>
      <c r="D6493" s="2">
        <f>HYPERLINK("http://mcb-m6.bioreg.kyushu-u.ac.jp/M3/20110502/F51193/1886/1", 44.21)</f>
        <v>44.21</v>
      </c>
      <c r="E6493" s="2">
        <v>9.34</v>
      </c>
      <c r="F6493" s="2">
        <v>2</v>
      </c>
      <c r="G6493" s="2" t="s">
        <v>14</v>
      </c>
    </row>
    <row r="6494" spans="1:7" x14ac:dyDescent="0.2">
      <c r="A6494" s="2" t="s">
        <v>3919</v>
      </c>
      <c r="B6494" s="2" t="s">
        <v>1094</v>
      </c>
      <c r="C6494" s="2">
        <v>740.78970000000004</v>
      </c>
      <c r="D6494" s="2">
        <f>HYPERLINK("http://mcb-m6.bioreg.kyushu-u.ac.jp/M3/20110502/F51192/1785/1", 52.48)</f>
        <v>52.48</v>
      </c>
      <c r="E6494" s="2">
        <v>26.3</v>
      </c>
      <c r="F6494" s="2">
        <v>2</v>
      </c>
      <c r="G6494" s="2" t="s">
        <v>14</v>
      </c>
    </row>
    <row r="6495" spans="1:7" x14ac:dyDescent="0.2">
      <c r="A6495" s="2" t="s">
        <v>3919</v>
      </c>
      <c r="B6495" s="2" t="s">
        <v>1094</v>
      </c>
      <c r="C6495" s="2">
        <v>740.35569999999996</v>
      </c>
      <c r="D6495" s="2">
        <f>HYPERLINK("http://mcb-m6.bioreg.kyushu-u.ac.jp/M3/20110502/F51192/1777/1", 54.86)</f>
        <v>54.86</v>
      </c>
      <c r="E6495" s="2">
        <v>38.39</v>
      </c>
      <c r="F6495" s="2">
        <v>2</v>
      </c>
      <c r="G6495" s="2" t="s">
        <v>14</v>
      </c>
    </row>
    <row r="6496" spans="1:7" x14ac:dyDescent="0.2">
      <c r="A6496" s="2" t="s">
        <v>3919</v>
      </c>
      <c r="B6496" s="2" t="s">
        <v>1094</v>
      </c>
      <c r="C6496" s="2">
        <v>740.77719999999999</v>
      </c>
      <c r="D6496" s="2">
        <f>HYPERLINK("http://mcb-m6.bioreg.kyushu-u.ac.jp/M3/20110502/F51193/1887/1", 55.87)</f>
        <v>55.87</v>
      </c>
      <c r="E6496" s="2">
        <v>33.85</v>
      </c>
      <c r="F6496" s="2">
        <v>2</v>
      </c>
      <c r="G6496" s="2" t="s">
        <v>14</v>
      </c>
    </row>
    <row r="6497" spans="1:7" x14ac:dyDescent="0.2">
      <c r="A6497" s="2" t="s">
        <v>3919</v>
      </c>
      <c r="B6497" s="2" t="s">
        <v>1094</v>
      </c>
      <c r="C6497" s="2">
        <v>740.90470000000005</v>
      </c>
      <c r="D6497" s="2">
        <f>HYPERLINK("http://mcb-m6.bioreg.kyushu-u.ac.jp/M3/20110502/F51192/1790/1", 58)</f>
        <v>58</v>
      </c>
      <c r="E6497" s="2">
        <v>36.53</v>
      </c>
      <c r="F6497" s="2">
        <v>2</v>
      </c>
      <c r="G6497" s="2" t="s">
        <v>14</v>
      </c>
    </row>
    <row r="6498" spans="1:7" x14ac:dyDescent="0.2">
      <c r="A6498" s="2" t="s">
        <v>3919</v>
      </c>
      <c r="B6498" s="2" t="s">
        <v>1094</v>
      </c>
      <c r="C6498" s="2">
        <v>740.60820000000001</v>
      </c>
      <c r="D6498" s="2">
        <f>HYPERLINK("http://mcb-m6.bioreg.kyushu-u.ac.jp/M3/20110502/F51192/1783/1", 67.59)</f>
        <v>67.59</v>
      </c>
      <c r="E6498" s="2">
        <v>47.06</v>
      </c>
      <c r="F6498" s="2">
        <v>2</v>
      </c>
      <c r="G6498" s="2" t="s">
        <v>14</v>
      </c>
    </row>
    <row r="6499" spans="1:7" x14ac:dyDescent="0.2">
      <c r="A6499" s="2" t="s">
        <v>3919</v>
      </c>
      <c r="B6499" s="2" t="s">
        <v>1094</v>
      </c>
      <c r="C6499" s="2">
        <v>740.97810000000004</v>
      </c>
      <c r="D6499" s="2">
        <f>HYPERLINK("http://mcb-m6.bioreg.kyushu-u.ac.jp/M3/20110502/F51185/1900/1", 68.44)</f>
        <v>68.44</v>
      </c>
      <c r="E6499" s="2">
        <v>48.28</v>
      </c>
      <c r="F6499" s="2">
        <v>2</v>
      </c>
      <c r="G6499" s="2" t="s">
        <v>14</v>
      </c>
    </row>
    <row r="6500" spans="1:7" x14ac:dyDescent="0.2">
      <c r="A6500" s="2" t="s">
        <v>3919</v>
      </c>
      <c r="B6500" s="2" t="s">
        <v>1094</v>
      </c>
      <c r="C6500" s="2">
        <v>740.39760000000001</v>
      </c>
      <c r="D6500" s="2">
        <f>HYPERLINK("http://mcb-m6.bioreg.kyushu-u.ac.jp/M3/20110502/F51192/1779/1", 70.24)</f>
        <v>70.239999999999995</v>
      </c>
      <c r="E6500" s="2">
        <v>49.27</v>
      </c>
      <c r="F6500" s="2">
        <v>2</v>
      </c>
      <c r="G6500" s="2" t="s">
        <v>14</v>
      </c>
    </row>
    <row r="6501" spans="1:7" x14ac:dyDescent="0.2">
      <c r="A6501" s="2" t="s">
        <v>3919</v>
      </c>
      <c r="B6501" s="2" t="s">
        <v>1094</v>
      </c>
      <c r="C6501" s="2">
        <v>740.56370000000004</v>
      </c>
      <c r="D6501" s="2">
        <f>HYPERLINK("http://mcb-m6.bioreg.kyushu-u.ac.jp/M3/20110502/F51192/1781/1", 71.65)</f>
        <v>71.650000000000006</v>
      </c>
      <c r="E6501" s="2">
        <v>42.63</v>
      </c>
      <c r="F6501" s="2">
        <v>2</v>
      </c>
      <c r="G6501" s="2" t="s">
        <v>14</v>
      </c>
    </row>
    <row r="6502" spans="1:7" x14ac:dyDescent="0.2">
      <c r="A6502" s="2" t="s">
        <v>3919</v>
      </c>
      <c r="B6502" s="2" t="s">
        <v>1094</v>
      </c>
      <c r="C6502" s="2">
        <v>740.79719999999998</v>
      </c>
      <c r="D6502" s="2">
        <f>HYPERLINK("http://mcb-m6.bioreg.kyushu-u.ac.jp/M3/20110502/F51193/1888/1", 72.9)</f>
        <v>72.900000000000006</v>
      </c>
      <c r="E6502" s="2">
        <v>38.86</v>
      </c>
      <c r="F6502" s="2">
        <v>2</v>
      </c>
      <c r="G6502" s="2" t="s">
        <v>14</v>
      </c>
    </row>
    <row r="6503" spans="1:7" x14ac:dyDescent="0.2">
      <c r="A6503" s="2" t="s">
        <v>3919</v>
      </c>
      <c r="B6503" s="2" t="s">
        <v>1094</v>
      </c>
      <c r="C6503" s="2">
        <v>740.82619999999997</v>
      </c>
      <c r="D6503" s="2">
        <f>HYPERLINK("http://mcb-m6.bioreg.kyushu-u.ac.jp/M3/20110502/F51192/1788/1", 74.58)</f>
        <v>74.58</v>
      </c>
      <c r="E6503" s="2">
        <v>34.82</v>
      </c>
      <c r="F6503" s="2">
        <v>2</v>
      </c>
      <c r="G6503" s="2" t="s">
        <v>14</v>
      </c>
    </row>
    <row r="6504" spans="1:7" x14ac:dyDescent="0.2">
      <c r="A6504" s="2" t="s">
        <v>3919</v>
      </c>
      <c r="B6504" s="2" t="s">
        <v>1094</v>
      </c>
      <c r="C6504" s="2">
        <v>740.56769999999995</v>
      </c>
      <c r="D6504" s="2">
        <f>HYPERLINK("http://mcb-m6.bioreg.kyushu-u.ac.jp/M3/20110502/F51192/1782/1", 75.93)</f>
        <v>75.930000000000007</v>
      </c>
      <c r="E6504" s="2">
        <v>46.29</v>
      </c>
      <c r="F6504" s="2">
        <v>2</v>
      </c>
      <c r="G6504" s="2" t="s">
        <v>14</v>
      </c>
    </row>
    <row r="6505" spans="1:7" x14ac:dyDescent="0.2">
      <c r="A6505" s="2" t="s">
        <v>3919</v>
      </c>
      <c r="B6505" s="2" t="s">
        <v>1094</v>
      </c>
      <c r="C6505" s="2">
        <v>740.81669999999997</v>
      </c>
      <c r="D6505" s="2">
        <f>HYPERLINK("http://mcb-m6.bioreg.kyushu-u.ac.jp/M3/20110502/F51192/1787/1", 79.36)</f>
        <v>79.36</v>
      </c>
      <c r="E6505" s="2">
        <v>47.36</v>
      </c>
      <c r="F6505" s="2">
        <v>2</v>
      </c>
      <c r="G6505" s="2" t="s">
        <v>14</v>
      </c>
    </row>
    <row r="6506" spans="1:7" x14ac:dyDescent="0.2">
      <c r="A6506" s="2" t="s">
        <v>3919</v>
      </c>
      <c r="B6506" s="2" t="s">
        <v>1094</v>
      </c>
      <c r="C6506" s="2">
        <v>740.65120000000002</v>
      </c>
      <c r="D6506" s="2">
        <f>HYPERLINK("http://mcb-m6.bioreg.kyushu-u.ac.jp/M3/20110502/F51192/1784/1", 83.91)</f>
        <v>83.91</v>
      </c>
      <c r="E6506" s="2">
        <v>62.93</v>
      </c>
      <c r="F6506" s="2">
        <v>2</v>
      </c>
      <c r="G6506" s="2" t="s">
        <v>14</v>
      </c>
    </row>
    <row r="6507" spans="1:7" x14ac:dyDescent="0.2">
      <c r="A6507" s="2" t="s">
        <v>3356</v>
      </c>
      <c r="B6507" s="2" t="s">
        <v>148</v>
      </c>
      <c r="C6507" s="2">
        <v>569.79819999999995</v>
      </c>
      <c r="D6507" s="2">
        <f>HYPERLINK("http://mcb-m6.bioreg.kyushu-u.ac.jp/M3/20110411/F50891/1238/1", 36.78)</f>
        <v>36.78</v>
      </c>
      <c r="E6507" s="2">
        <v>19.96</v>
      </c>
      <c r="F6507" s="2">
        <v>2</v>
      </c>
      <c r="G6507" s="2" t="s">
        <v>9</v>
      </c>
    </row>
    <row r="6508" spans="1:7" x14ac:dyDescent="0.2">
      <c r="A6508" s="2" t="s">
        <v>3356</v>
      </c>
      <c r="B6508" s="2" t="s">
        <v>916</v>
      </c>
      <c r="C6508" s="2">
        <v>654.43219999999997</v>
      </c>
      <c r="D6508" s="2">
        <f>HYPERLINK("http://mcb-m6.bioreg.kyushu-u.ac.jp/M3/20110411/F50891/1635/1", 55.45)</f>
        <v>55.45</v>
      </c>
      <c r="E6508" s="2">
        <v>37.07</v>
      </c>
      <c r="F6508" s="2">
        <v>2</v>
      </c>
      <c r="G6508" s="2" t="s">
        <v>9</v>
      </c>
    </row>
    <row r="6509" spans="1:7" x14ac:dyDescent="0.2">
      <c r="A6509" s="2" t="s">
        <v>3356</v>
      </c>
      <c r="B6509" s="2" t="s">
        <v>1639</v>
      </c>
      <c r="C6509" s="2">
        <v>825.76509999999996</v>
      </c>
      <c r="D6509" s="2">
        <f>HYPERLINK("http://mcb-m6.bioreg.kyushu-u.ac.jp/M3/20110411/F50891/2584/1", 106.4)</f>
        <v>106.4</v>
      </c>
      <c r="E6509" s="2">
        <v>86.34</v>
      </c>
      <c r="F6509" s="2">
        <v>2</v>
      </c>
      <c r="G6509" s="2" t="s">
        <v>9</v>
      </c>
    </row>
    <row r="6510" spans="1:7" x14ac:dyDescent="0.2">
      <c r="A6510" s="2" t="s">
        <v>3356</v>
      </c>
      <c r="B6510" s="2" t="s">
        <v>1639</v>
      </c>
      <c r="C6510" s="2">
        <v>826.34119999999996</v>
      </c>
      <c r="D6510" s="2">
        <f>HYPERLINK("http://mcb-m6.bioreg.kyushu-u.ac.jp/M3/20110411/F50891/2590/1", 112.69)</f>
        <v>112.69</v>
      </c>
      <c r="E6510" s="2">
        <v>97.15</v>
      </c>
      <c r="F6510" s="2">
        <v>2</v>
      </c>
      <c r="G6510" s="2" t="s">
        <v>9</v>
      </c>
    </row>
    <row r="6511" spans="1:7" x14ac:dyDescent="0.2">
      <c r="A6511" s="2" t="s">
        <v>4291</v>
      </c>
      <c r="B6511" s="2" t="s">
        <v>1987</v>
      </c>
      <c r="C6511" s="2">
        <v>911.45119999999997</v>
      </c>
      <c r="D6511" s="2">
        <f>HYPERLINK("http://mcb-m6.bioreg.kyushu-u.ac.jp/M3/20110411/F50914/2894/1", 57.12)</f>
        <v>57.12</v>
      </c>
      <c r="E6511" s="2">
        <v>42.83</v>
      </c>
      <c r="F6511" s="2">
        <v>2</v>
      </c>
      <c r="G6511" s="2" t="s">
        <v>10</v>
      </c>
    </row>
    <row r="6512" spans="1:7" x14ac:dyDescent="0.2">
      <c r="A6512" s="2" t="s">
        <v>4291</v>
      </c>
      <c r="B6512" s="2" t="s">
        <v>2099</v>
      </c>
      <c r="C6512" s="2">
        <v>735.17819999999995</v>
      </c>
      <c r="D6512" s="2">
        <f>HYPERLINK("http://mcb-m6.bioreg.kyushu-u.ac.jp/M3/20110411/F50914/2058/1", 80.15)</f>
        <v>80.150000000000006</v>
      </c>
      <c r="E6512" s="2">
        <v>57.34</v>
      </c>
      <c r="F6512" s="2">
        <v>2</v>
      </c>
      <c r="G6512" s="2" t="s">
        <v>10</v>
      </c>
    </row>
    <row r="6513" spans="1:9" x14ac:dyDescent="0.2">
      <c r="A6513" s="2" t="s">
        <v>4291</v>
      </c>
      <c r="B6513" s="2" t="s">
        <v>2099</v>
      </c>
      <c r="C6513" s="2">
        <v>735.02919999999995</v>
      </c>
      <c r="D6513" s="2">
        <f>HYPERLINK("http://mcb-m6.bioreg.kyushu-u.ac.jp/M3/20110502/F51171/1995/1", 55.42)</f>
        <v>55.42</v>
      </c>
      <c r="E6513" s="2">
        <v>36.58</v>
      </c>
      <c r="F6513" s="2">
        <v>2</v>
      </c>
      <c r="G6513" s="2" t="s">
        <v>13</v>
      </c>
    </row>
    <row r="6514" spans="1:9" x14ac:dyDescent="0.2">
      <c r="A6514" s="2" t="s">
        <v>4291</v>
      </c>
      <c r="B6514" s="2" t="s">
        <v>2950</v>
      </c>
      <c r="C6514" s="2">
        <v>858.49959999999999</v>
      </c>
      <c r="D6514" s="2">
        <f>HYPERLINK("http://mcb-m6.bioreg.kyushu-u.ac.jp/M3/20110502/F51171/2503/1", 78.34)</f>
        <v>78.34</v>
      </c>
      <c r="E6514" s="2">
        <v>58.73</v>
      </c>
      <c r="F6514" s="2">
        <v>2</v>
      </c>
      <c r="G6514" s="2" t="s">
        <v>13</v>
      </c>
    </row>
    <row r="6515" spans="1:9" x14ac:dyDescent="0.2">
      <c r="A6515" s="2" t="s">
        <v>4291</v>
      </c>
      <c r="B6515" s="2" t="s">
        <v>2099</v>
      </c>
      <c r="C6515" s="2">
        <v>735.28420000000006</v>
      </c>
      <c r="D6515" s="2">
        <f>HYPERLINK("http://mcb-m6.bioreg.kyushu-u.ac.jp/M3/20110502/F51183/1871/1", 80.85)</f>
        <v>80.849999999999994</v>
      </c>
      <c r="E6515" s="2">
        <v>46.54</v>
      </c>
      <c r="F6515" s="2">
        <v>2</v>
      </c>
      <c r="G6515" s="2" t="s">
        <v>14</v>
      </c>
    </row>
    <row r="6516" spans="1:9" x14ac:dyDescent="0.2">
      <c r="A6516" s="2" t="s">
        <v>3693</v>
      </c>
      <c r="B6516" s="2" t="s">
        <v>666</v>
      </c>
      <c r="C6516" s="2">
        <v>1162.663</v>
      </c>
      <c r="D6516" s="2">
        <f>HYPERLINK("http://mcb-m6.bioreg.kyushu-u.ac.jp/M3/20110411/F50892/1572/1", 47.76)</f>
        <v>47.76</v>
      </c>
      <c r="E6516" s="2">
        <v>13.65</v>
      </c>
      <c r="F6516" s="2">
        <v>1</v>
      </c>
      <c r="G6516" s="2" t="s">
        <v>9</v>
      </c>
    </row>
    <row r="6517" spans="1:9" x14ac:dyDescent="0.2">
      <c r="A6517" s="2" t="s">
        <v>3693</v>
      </c>
      <c r="B6517" s="2" t="s">
        <v>666</v>
      </c>
      <c r="C6517" s="2">
        <v>582.31320000000005</v>
      </c>
      <c r="D6517" s="2">
        <f>HYPERLINK("http://mcb-m6.bioreg.kyushu-u.ac.jp/M3/20110411/F50892/1577/1", 75.25)</f>
        <v>75.25</v>
      </c>
      <c r="E6517" s="2">
        <v>48.38</v>
      </c>
      <c r="F6517" s="2">
        <v>2</v>
      </c>
      <c r="G6517" s="2" t="s">
        <v>9</v>
      </c>
    </row>
    <row r="6518" spans="1:9" x14ac:dyDescent="0.2">
      <c r="A6518" s="2" t="s">
        <v>3693</v>
      </c>
      <c r="B6518" s="2" t="s">
        <v>1649</v>
      </c>
      <c r="C6518" s="2">
        <v>976.89319999999998</v>
      </c>
      <c r="D6518" s="2">
        <f>HYPERLINK("http://mcb-m6.bioreg.kyushu-u.ac.jp/M3/20110411/F50892/3048/1", 109.8)</f>
        <v>109.8</v>
      </c>
      <c r="E6518" s="2">
        <v>95.1</v>
      </c>
      <c r="F6518" s="2">
        <v>2</v>
      </c>
      <c r="G6518" s="2" t="s">
        <v>9</v>
      </c>
    </row>
    <row r="6519" spans="1:9" x14ac:dyDescent="0.2">
      <c r="A6519" s="2" t="s">
        <v>3693</v>
      </c>
      <c r="B6519" s="2" t="s">
        <v>1649</v>
      </c>
      <c r="C6519" s="2">
        <v>976.38019999999995</v>
      </c>
      <c r="D6519" s="2">
        <f>HYPERLINK("http://mcb-m6.bioreg.kyushu-u.ac.jp/M3/20110411/F50892/3046/1", 116.39)</f>
        <v>116.39</v>
      </c>
      <c r="E6519" s="2">
        <v>102.62</v>
      </c>
      <c r="F6519" s="2">
        <v>2</v>
      </c>
      <c r="G6519" s="2" t="s">
        <v>9</v>
      </c>
    </row>
    <row r="6520" spans="1:9" x14ac:dyDescent="0.2">
      <c r="A6520" s="2" t="s">
        <v>3693</v>
      </c>
      <c r="B6520" s="2" t="s">
        <v>1649</v>
      </c>
      <c r="C6520" s="2">
        <v>976.90719999999999</v>
      </c>
      <c r="D6520" s="2">
        <f>HYPERLINK("http://mcb-m6.bioreg.kyushu-u.ac.jp/M3/20110414/F50945/3077/1", 114.26)</f>
        <v>114.26</v>
      </c>
      <c r="E6520" s="2">
        <v>98.37</v>
      </c>
      <c r="F6520" s="2">
        <v>2</v>
      </c>
      <c r="G6520" s="2" t="s">
        <v>11</v>
      </c>
    </row>
    <row r="6521" spans="1:9" x14ac:dyDescent="0.2">
      <c r="A6521" s="2" t="s">
        <v>3693</v>
      </c>
      <c r="B6521" s="2" t="s">
        <v>1649</v>
      </c>
      <c r="C6521" s="2">
        <v>976.71310000000005</v>
      </c>
      <c r="D6521" s="2">
        <f>HYPERLINK("http://mcb-m6.bioreg.kyushu-u.ac.jp/M3/20110414/F50929/2961/1", 119.86)</f>
        <v>119.86</v>
      </c>
      <c r="E6521" s="2">
        <v>98.97</v>
      </c>
      <c r="F6521" s="2">
        <v>2</v>
      </c>
      <c r="G6521" s="2" t="s">
        <v>11</v>
      </c>
    </row>
    <row r="6522" spans="1:9" x14ac:dyDescent="0.2">
      <c r="A6522" s="2" t="s">
        <v>3693</v>
      </c>
      <c r="B6522" s="2" t="s">
        <v>1649</v>
      </c>
      <c r="C6522" s="2">
        <v>976.8972</v>
      </c>
      <c r="D6522" s="2">
        <f>HYPERLINK("http://mcb-m6.bioreg.kyushu-u.ac.jp/M3/20110502/F51180/2886/1", 140.81)</f>
        <v>140.81</v>
      </c>
      <c r="E6522" s="2">
        <v>116</v>
      </c>
      <c r="F6522" s="2">
        <v>2</v>
      </c>
      <c r="G6522" s="2" t="s">
        <v>13</v>
      </c>
    </row>
    <row r="6523" spans="1:9" x14ac:dyDescent="0.2">
      <c r="A6523" s="2" t="s">
        <v>3693</v>
      </c>
      <c r="B6523" s="2" t="s">
        <v>1649</v>
      </c>
      <c r="C6523" s="2">
        <v>976.72170000000006</v>
      </c>
      <c r="D6523" s="2">
        <f>HYPERLINK("http://mcb-m6.bioreg.kyushu-u.ac.jp/M3/20110502/F51184/3177/1", 47.93)</f>
        <v>47.93</v>
      </c>
      <c r="E6523" s="2">
        <v>34.5</v>
      </c>
      <c r="F6523" s="2">
        <v>2</v>
      </c>
      <c r="G6523" s="2" t="s">
        <v>14</v>
      </c>
    </row>
    <row r="6524" spans="1:9" x14ac:dyDescent="0.2">
      <c r="A6524" s="2" t="s">
        <v>3843</v>
      </c>
      <c r="B6524" s="2" t="s">
        <v>934</v>
      </c>
      <c r="C6524" s="2">
        <v>580.79359999999997</v>
      </c>
      <c r="D6524" s="2">
        <f>HYPERLINK("http://mcb-m6.bioreg.kyushu-u.ac.jp/M3/20110411/F50890/1446/1", 55.99)</f>
        <v>55.99</v>
      </c>
      <c r="E6524" s="2">
        <v>31.85</v>
      </c>
      <c r="F6524" s="2">
        <v>2</v>
      </c>
      <c r="G6524" s="2" t="s">
        <v>9</v>
      </c>
    </row>
    <row r="6525" spans="1:9" x14ac:dyDescent="0.2">
      <c r="A6525" s="2" t="s">
        <v>3843</v>
      </c>
      <c r="B6525" s="2" t="s">
        <v>1086</v>
      </c>
      <c r="C6525" s="2">
        <v>609.83420000000001</v>
      </c>
      <c r="D6525" s="2">
        <f>HYPERLINK("http://mcb-m6.bioreg.kyushu-u.ac.jp/M3/20110411/F50890/1558/1", 62.3)</f>
        <v>62.3</v>
      </c>
      <c r="E6525" s="2">
        <v>40.450000000000003</v>
      </c>
      <c r="F6525" s="2">
        <v>2</v>
      </c>
      <c r="G6525" s="2" t="s">
        <v>9</v>
      </c>
      <c r="I6525" s="2" t="s">
        <v>4898</v>
      </c>
    </row>
    <row r="6526" spans="1:9" x14ac:dyDescent="0.2">
      <c r="A6526" s="2" t="s">
        <v>3843</v>
      </c>
      <c r="B6526" s="2" t="s">
        <v>1145</v>
      </c>
      <c r="C6526" s="2">
        <v>681.41719999999998</v>
      </c>
      <c r="D6526" s="2">
        <f>HYPERLINK("http://mcb-m6.bioreg.kyushu-u.ac.jp/M3/20110411/F50890/1852/1", 64.91)</f>
        <v>64.91</v>
      </c>
      <c r="E6526" s="2">
        <v>45.48</v>
      </c>
      <c r="F6526" s="2">
        <v>2</v>
      </c>
      <c r="G6526" s="2" t="s">
        <v>9</v>
      </c>
    </row>
    <row r="6527" spans="1:9" x14ac:dyDescent="0.2">
      <c r="A6527" s="2" t="s">
        <v>3843</v>
      </c>
      <c r="B6527" s="2" t="s">
        <v>1145</v>
      </c>
      <c r="C6527" s="2">
        <v>680.88459999999998</v>
      </c>
      <c r="D6527" s="2">
        <f>HYPERLINK("http://mcb-m6.bioreg.kyushu-u.ac.jp/M3/20110411/F50890/1848/1", 78.29)</f>
        <v>78.290000000000006</v>
      </c>
      <c r="E6527" s="2">
        <v>62.5</v>
      </c>
      <c r="F6527" s="2">
        <v>2</v>
      </c>
      <c r="G6527" s="2" t="s">
        <v>9</v>
      </c>
    </row>
    <row r="6528" spans="1:9" x14ac:dyDescent="0.2">
      <c r="A6528" s="2" t="s">
        <v>3843</v>
      </c>
      <c r="B6528" s="2" t="s">
        <v>1441</v>
      </c>
      <c r="C6528" s="2">
        <v>643.36519999999996</v>
      </c>
      <c r="D6528" s="2">
        <f>HYPERLINK("http://mcb-m6.bioreg.kyushu-u.ac.jp/M3/20110411/F50890/1691/1", 80.78)</f>
        <v>80.78</v>
      </c>
      <c r="E6528" s="2">
        <v>59.61</v>
      </c>
      <c r="F6528" s="2">
        <v>2</v>
      </c>
      <c r="G6528" s="2" t="s">
        <v>9</v>
      </c>
    </row>
    <row r="6529" spans="1:7" x14ac:dyDescent="0.2">
      <c r="A6529" s="2" t="s">
        <v>3843</v>
      </c>
      <c r="B6529" s="2" t="s">
        <v>1441</v>
      </c>
      <c r="C6529" s="2">
        <v>643.49770000000001</v>
      </c>
      <c r="D6529" s="2">
        <f>HYPERLINK("http://mcb-m6.bioreg.kyushu-u.ac.jp/M3/20110411/F50897/1512/1", 89.15)</f>
        <v>89.15</v>
      </c>
      <c r="E6529" s="2">
        <v>65.09</v>
      </c>
      <c r="F6529" s="2">
        <v>2</v>
      </c>
      <c r="G6529" s="2" t="s">
        <v>10</v>
      </c>
    </row>
    <row r="6530" spans="1:7" x14ac:dyDescent="0.2">
      <c r="A6530" s="2" t="s">
        <v>3843</v>
      </c>
      <c r="B6530" s="2" t="s">
        <v>1441</v>
      </c>
      <c r="C6530" s="2">
        <v>643.53060000000005</v>
      </c>
      <c r="D6530" s="2">
        <f>HYPERLINK("http://mcb-m6.bioreg.kyushu-u.ac.jp/M3/20110414/F50927/1875/1", 83.8)</f>
        <v>83.8</v>
      </c>
      <c r="E6530" s="2">
        <v>63.27</v>
      </c>
      <c r="F6530" s="2">
        <v>2</v>
      </c>
      <c r="G6530" s="2" t="s">
        <v>11</v>
      </c>
    </row>
    <row r="6531" spans="1:7" x14ac:dyDescent="0.2">
      <c r="A6531" s="2" t="s">
        <v>3843</v>
      </c>
      <c r="B6531" s="2" t="s">
        <v>1441</v>
      </c>
      <c r="C6531" s="2">
        <v>642.99220000000003</v>
      </c>
      <c r="D6531" s="2">
        <f>HYPERLINK("http://mcb-m6.bioreg.kyushu-u.ac.jp/M3/20110414/F50927/1872/1", 86.62)</f>
        <v>86.62</v>
      </c>
      <c r="E6531" s="2">
        <v>66.3</v>
      </c>
      <c r="F6531" s="2">
        <v>2</v>
      </c>
      <c r="G6531" s="2" t="s">
        <v>11</v>
      </c>
    </row>
    <row r="6532" spans="1:7" x14ac:dyDescent="0.2">
      <c r="A6532" s="2" t="s">
        <v>3843</v>
      </c>
      <c r="B6532" s="2" t="s">
        <v>1441</v>
      </c>
      <c r="C6532" s="2">
        <v>643.21220000000005</v>
      </c>
      <c r="D6532" s="2">
        <f>HYPERLINK("http://mcb-m6.bioreg.kyushu-u.ac.jp/M3/20110414/F50932/1961/1", 86.63)</f>
        <v>86.63</v>
      </c>
      <c r="E6532" s="2">
        <v>65.599999999999994</v>
      </c>
      <c r="F6532" s="2">
        <v>2</v>
      </c>
      <c r="G6532" s="2" t="s">
        <v>12</v>
      </c>
    </row>
    <row r="6533" spans="1:7" x14ac:dyDescent="0.2">
      <c r="A6533" s="2" t="s">
        <v>3843</v>
      </c>
      <c r="B6533" s="2" t="s">
        <v>2807</v>
      </c>
      <c r="C6533" s="2">
        <v>585.46619999999996</v>
      </c>
      <c r="D6533" s="2">
        <f>HYPERLINK("http://mcb-m6.bioreg.kyushu-u.ac.jp/M3/20110502/F51168/1501/1", 36.26)</f>
        <v>36.26</v>
      </c>
      <c r="E6533" s="2">
        <v>10.33</v>
      </c>
      <c r="F6533" s="2">
        <v>2</v>
      </c>
      <c r="G6533" s="2" t="s">
        <v>13</v>
      </c>
    </row>
    <row r="6534" spans="1:7" x14ac:dyDescent="0.2">
      <c r="A6534" s="2" t="s">
        <v>3843</v>
      </c>
      <c r="B6534" s="2" t="s">
        <v>934</v>
      </c>
      <c r="C6534" s="2">
        <v>581.36469999999997</v>
      </c>
      <c r="D6534" s="2">
        <f>HYPERLINK("http://mcb-m6.bioreg.kyushu-u.ac.jp/M3/20110502/F51168/1485/1", 42.32)</f>
        <v>42.32</v>
      </c>
      <c r="E6534" s="2">
        <v>10.43</v>
      </c>
      <c r="F6534" s="2">
        <v>2</v>
      </c>
      <c r="G6534" s="2" t="s">
        <v>13</v>
      </c>
    </row>
    <row r="6535" spans="1:7" x14ac:dyDescent="0.2">
      <c r="A6535" s="2" t="s">
        <v>3843</v>
      </c>
      <c r="B6535" s="2" t="s">
        <v>1441</v>
      </c>
      <c r="C6535" s="2">
        <v>643.5172</v>
      </c>
      <c r="D6535" s="2">
        <f>HYPERLINK("http://mcb-m6.bioreg.kyushu-u.ac.jp/M3/20110502/F51168/1667/1", 87.02)</f>
        <v>87.02</v>
      </c>
      <c r="E6535" s="2">
        <v>66.930000000000007</v>
      </c>
      <c r="F6535" s="2">
        <v>2</v>
      </c>
      <c r="G6535" s="2" t="s">
        <v>13</v>
      </c>
    </row>
    <row r="6536" spans="1:7" x14ac:dyDescent="0.2">
      <c r="A6536" s="2" t="s">
        <v>3843</v>
      </c>
      <c r="B6536" s="2" t="s">
        <v>1441</v>
      </c>
      <c r="C6536" s="2">
        <v>643.48969999999997</v>
      </c>
      <c r="D6536" s="2">
        <f>HYPERLINK("http://mcb-m6.bioreg.kyushu-u.ac.jp/M3/20110502/F51177/1261/1", 52.86)</f>
        <v>52.86</v>
      </c>
      <c r="E6536" s="2">
        <v>31.53</v>
      </c>
      <c r="F6536" s="2">
        <v>2</v>
      </c>
      <c r="G6536" s="2" t="s">
        <v>14</v>
      </c>
    </row>
    <row r="6537" spans="1:7" x14ac:dyDescent="0.2">
      <c r="A6537" s="2" t="s">
        <v>4872</v>
      </c>
      <c r="B6537" s="2" t="s">
        <v>3178</v>
      </c>
      <c r="C6537" s="2">
        <v>751.38819999999998</v>
      </c>
      <c r="D6537" s="2">
        <f>HYPERLINK("http://mcb-m6.bioreg.kyushu-u.ac.jp/M3/20110502/F51182/1974/1", 63.22)</f>
        <v>63.22</v>
      </c>
      <c r="E6537" s="2">
        <v>36.65</v>
      </c>
      <c r="F6537" s="2">
        <v>2</v>
      </c>
      <c r="G6537" s="2" t="s">
        <v>14</v>
      </c>
    </row>
    <row r="6538" spans="1:7" x14ac:dyDescent="0.2">
      <c r="A6538" s="2" t="s">
        <v>4305</v>
      </c>
      <c r="B6538" s="2" t="s">
        <v>2043</v>
      </c>
      <c r="C6538" s="2">
        <v>1012.574</v>
      </c>
      <c r="D6538" s="2">
        <f>HYPERLINK("http://mcb-m6.bioreg.kyushu-u.ac.jp/M3/20110411/F50921/3005/1", 67.86)</f>
        <v>67.86</v>
      </c>
      <c r="E6538" s="2">
        <v>58.5</v>
      </c>
      <c r="F6538" s="2">
        <v>2</v>
      </c>
      <c r="G6538" s="2" t="s">
        <v>10</v>
      </c>
    </row>
    <row r="6539" spans="1:7" x14ac:dyDescent="0.2">
      <c r="A6539" s="2" t="s">
        <v>4305</v>
      </c>
      <c r="B6539" s="2" t="s">
        <v>2043</v>
      </c>
      <c r="C6539" s="2">
        <v>1012.465</v>
      </c>
      <c r="D6539" s="2">
        <f>HYPERLINK("http://mcb-m6.bioreg.kyushu-u.ac.jp/M3/20110414/F50946/3196/1", 59.64)</f>
        <v>59.64</v>
      </c>
      <c r="E6539" s="2">
        <v>47.51</v>
      </c>
      <c r="F6539" s="2">
        <v>2</v>
      </c>
      <c r="G6539" s="2" t="s">
        <v>12</v>
      </c>
    </row>
    <row r="6540" spans="1:7" x14ac:dyDescent="0.2">
      <c r="A6540" s="2" t="s">
        <v>4305</v>
      </c>
      <c r="B6540" s="2" t="s">
        <v>2733</v>
      </c>
      <c r="C6540" s="2">
        <v>689.81269999999995</v>
      </c>
      <c r="D6540" s="2">
        <f>HYPERLINK("http://mcb-m6.bioreg.kyushu-u.ac.jp/M3/20110414/F50946/1658/1", 69.51)</f>
        <v>69.510000000000005</v>
      </c>
      <c r="E6540" s="2">
        <v>44.28</v>
      </c>
      <c r="F6540" s="2">
        <v>2</v>
      </c>
      <c r="G6540" s="2" t="s">
        <v>12</v>
      </c>
    </row>
    <row r="6541" spans="1:7" x14ac:dyDescent="0.2">
      <c r="A6541" s="2" t="s">
        <v>4305</v>
      </c>
      <c r="B6541" s="2" t="s">
        <v>2784</v>
      </c>
      <c r="C6541" s="2">
        <v>819.36869999999999</v>
      </c>
      <c r="D6541" s="2">
        <f>HYPERLINK("http://mcb-m6.bioreg.kyushu-u.ac.jp/M3/20110414/F50946/2437/1", 99.79)</f>
        <v>99.79</v>
      </c>
      <c r="E6541" s="2">
        <v>84.2</v>
      </c>
      <c r="F6541" s="2">
        <v>2</v>
      </c>
      <c r="G6541" s="2" t="s">
        <v>12</v>
      </c>
    </row>
    <row r="6542" spans="1:7" x14ac:dyDescent="0.2">
      <c r="A6542" s="2" t="s">
        <v>4570</v>
      </c>
      <c r="B6542" s="2" t="s">
        <v>2615</v>
      </c>
      <c r="C6542" s="2">
        <v>603.80269999999996</v>
      </c>
      <c r="D6542" s="2">
        <f>HYPERLINK("http://mcb-m6.bioreg.kyushu-u.ac.jp/M3/20110414/F50946/1368/1", 43.01)</f>
        <v>43.01</v>
      </c>
      <c r="E6542" s="2">
        <v>23.12</v>
      </c>
      <c r="F6542" s="2">
        <v>2</v>
      </c>
      <c r="G6542" s="2" t="s">
        <v>12</v>
      </c>
    </row>
    <row r="6543" spans="1:7" x14ac:dyDescent="0.2">
      <c r="A6543" s="2" t="s">
        <v>4570</v>
      </c>
      <c r="B6543" s="2" t="s">
        <v>2757</v>
      </c>
      <c r="C6543" s="2">
        <v>641.44619999999998</v>
      </c>
      <c r="D6543" s="2">
        <f>HYPERLINK("http://mcb-m6.bioreg.kyushu-u.ac.jp/M3/20110414/F50946/1487/1", 79.98)</f>
        <v>79.98</v>
      </c>
      <c r="E6543" s="2">
        <v>60.41</v>
      </c>
      <c r="F6543" s="2">
        <v>2</v>
      </c>
      <c r="G6543" s="2" t="s">
        <v>12</v>
      </c>
    </row>
    <row r="6544" spans="1:7" x14ac:dyDescent="0.2">
      <c r="A6544" s="2" t="s">
        <v>4570</v>
      </c>
      <c r="B6544" s="2" t="s">
        <v>2757</v>
      </c>
      <c r="C6544" s="2">
        <v>641.70420000000001</v>
      </c>
      <c r="D6544" s="2">
        <f>HYPERLINK("http://mcb-m6.bioreg.kyushu-u.ac.jp/M3/20110502/F51182/1292/1", 58.49)</f>
        <v>58.49</v>
      </c>
      <c r="E6544" s="2">
        <v>36.47</v>
      </c>
      <c r="F6544" s="2">
        <v>2</v>
      </c>
      <c r="G6544" s="2" t="s">
        <v>14</v>
      </c>
    </row>
    <row r="6545" spans="1:9" x14ac:dyDescent="0.2">
      <c r="A6545" s="2" t="s">
        <v>4214</v>
      </c>
      <c r="B6545" s="2" t="s">
        <v>1813</v>
      </c>
      <c r="C6545" s="2">
        <v>789.00670000000002</v>
      </c>
      <c r="D6545" s="2">
        <f>HYPERLINK("http://mcb-m6.bioreg.kyushu-u.ac.jp/M3/20110411/F50899/2434/1", 40.92)</f>
        <v>40.92</v>
      </c>
      <c r="E6545" s="2">
        <v>30</v>
      </c>
      <c r="F6545" s="2">
        <v>2</v>
      </c>
      <c r="G6545" s="2" t="s">
        <v>10</v>
      </c>
      <c r="I6545" s="2" t="s">
        <v>4899</v>
      </c>
    </row>
    <row r="6546" spans="1:9" x14ac:dyDescent="0.2">
      <c r="A6546" s="2" t="s">
        <v>4348</v>
      </c>
      <c r="B6546" s="2" t="s">
        <v>2164</v>
      </c>
      <c r="C6546" s="2">
        <v>743.37369999999999</v>
      </c>
      <c r="D6546" s="2">
        <f>HYPERLINK("http://mcb-m6.bioreg.kyushu-u.ac.jp/M3/20110414/F50924/2167/1", 35.62)</f>
        <v>35.619999999999997</v>
      </c>
      <c r="E6546" s="2">
        <v>24.12</v>
      </c>
      <c r="F6546" s="2">
        <v>2</v>
      </c>
      <c r="G6546" s="2" t="s">
        <v>11</v>
      </c>
    </row>
    <row r="6547" spans="1:9" x14ac:dyDescent="0.2">
      <c r="A6547" s="2" t="s">
        <v>4101</v>
      </c>
      <c r="B6547" s="2" t="s">
        <v>1566</v>
      </c>
      <c r="C6547" s="2">
        <v>765.41859999999997</v>
      </c>
      <c r="D6547" s="2">
        <f>HYPERLINK("http://mcb-m6.bioreg.kyushu-u.ac.jp/M3/20110411/F50903/2185/1", 93.1)</f>
        <v>93.1</v>
      </c>
      <c r="E6547" s="2">
        <v>69.569999999999993</v>
      </c>
      <c r="F6547" s="2">
        <v>2</v>
      </c>
      <c r="G6547" s="2" t="s">
        <v>9</v>
      </c>
    </row>
    <row r="6548" spans="1:9" x14ac:dyDescent="0.2">
      <c r="A6548" s="2" t="s">
        <v>4101</v>
      </c>
      <c r="B6548" s="2" t="s">
        <v>2391</v>
      </c>
      <c r="C6548" s="2">
        <v>674.16769999999997</v>
      </c>
      <c r="D6548" s="2">
        <f>HYPERLINK("http://mcb-m6.bioreg.kyushu-u.ac.jp/M3/20110414/F50924/1710/1", 53.64)</f>
        <v>53.64</v>
      </c>
      <c r="E6548" s="2">
        <v>30.63</v>
      </c>
      <c r="F6548" s="2">
        <v>2</v>
      </c>
      <c r="G6548" s="2" t="s">
        <v>11</v>
      </c>
    </row>
    <row r="6549" spans="1:9" x14ac:dyDescent="0.2">
      <c r="A6549" s="2" t="s">
        <v>4101</v>
      </c>
      <c r="B6549" s="2" t="s">
        <v>1566</v>
      </c>
      <c r="C6549" s="2">
        <v>765.04669999999999</v>
      </c>
      <c r="D6549" s="2">
        <f>HYPERLINK("http://mcb-m6.bioreg.kyushu-u.ac.jp/M3/20110414/F50930/2303/1", 67.58)</f>
        <v>67.58</v>
      </c>
      <c r="E6549" s="2">
        <v>56.48</v>
      </c>
      <c r="F6549" s="2">
        <v>2</v>
      </c>
      <c r="G6549" s="2" t="s">
        <v>12</v>
      </c>
    </row>
    <row r="6550" spans="1:9" x14ac:dyDescent="0.2">
      <c r="A6550" s="2" t="s">
        <v>3570</v>
      </c>
      <c r="B6550" s="2" t="s">
        <v>438</v>
      </c>
      <c r="C6550" s="2">
        <v>537.93119999999999</v>
      </c>
      <c r="D6550" s="2">
        <f>HYPERLINK("http://mcb-m6.bioreg.kyushu-u.ac.jp/M3/20110411/F50915/911/1", 41.84)</f>
        <v>41.84</v>
      </c>
      <c r="E6550" s="2">
        <v>21.14</v>
      </c>
      <c r="F6550" s="2">
        <v>2</v>
      </c>
      <c r="G6550" s="2" t="s">
        <v>9</v>
      </c>
    </row>
    <row r="6551" spans="1:9" x14ac:dyDescent="0.2">
      <c r="A6551" s="2" t="s">
        <v>3570</v>
      </c>
      <c r="B6551" s="2" t="s">
        <v>476</v>
      </c>
      <c r="C6551" s="2">
        <v>1328.6869999999999</v>
      </c>
      <c r="D6551" s="2">
        <f>HYPERLINK("http://mcb-m6.bioreg.kyushu-u.ac.jp/M3/20110411/F50915/1458/1", 42.69)</f>
        <v>42.69</v>
      </c>
      <c r="E6551" s="2">
        <v>16.32</v>
      </c>
      <c r="F6551" s="2">
        <v>1</v>
      </c>
      <c r="G6551" s="2" t="s">
        <v>9</v>
      </c>
    </row>
    <row r="6552" spans="1:9" x14ac:dyDescent="0.2">
      <c r="A6552" s="2" t="s">
        <v>3570</v>
      </c>
      <c r="B6552" s="2" t="s">
        <v>663</v>
      </c>
      <c r="C6552" s="2">
        <v>780.9941</v>
      </c>
      <c r="D6552" s="2">
        <f>HYPERLINK("http://mcb-m6.bioreg.kyushu-u.ac.jp/M3/20110411/F50915/2149/1", 47.63)</f>
        <v>47.63</v>
      </c>
      <c r="E6552" s="2">
        <v>23.82</v>
      </c>
      <c r="F6552" s="2">
        <v>2</v>
      </c>
      <c r="G6552" s="2" t="s">
        <v>9</v>
      </c>
    </row>
    <row r="6553" spans="1:9" x14ac:dyDescent="0.2">
      <c r="A6553" s="2" t="s">
        <v>3570</v>
      </c>
      <c r="B6553" s="2" t="s">
        <v>438</v>
      </c>
      <c r="C6553" s="2">
        <v>538.0172</v>
      </c>
      <c r="D6553" s="2">
        <f>HYPERLINK("http://mcb-m6.bioreg.kyushu-u.ac.jp/M3/20110411/F50911/1125/1", 49.47)</f>
        <v>49.47</v>
      </c>
      <c r="E6553" s="2">
        <v>19.489999999999998</v>
      </c>
      <c r="F6553" s="2">
        <v>2</v>
      </c>
      <c r="G6553" s="2" t="s">
        <v>9</v>
      </c>
    </row>
    <row r="6554" spans="1:9" x14ac:dyDescent="0.2">
      <c r="A6554" s="2" t="s">
        <v>3570</v>
      </c>
      <c r="B6554" s="2" t="s">
        <v>476</v>
      </c>
      <c r="C6554" s="2">
        <v>1328.818</v>
      </c>
      <c r="D6554" s="2">
        <f>HYPERLINK("http://mcb-m6.bioreg.kyushu-u.ac.jp/M3/20110411/F50911/1666/1", 49.98)</f>
        <v>49.98</v>
      </c>
      <c r="E6554" s="2">
        <v>14.74</v>
      </c>
      <c r="F6554" s="2">
        <v>1</v>
      </c>
      <c r="G6554" s="2" t="s">
        <v>9</v>
      </c>
    </row>
    <row r="6555" spans="1:9" x14ac:dyDescent="0.2">
      <c r="A6555" s="2" t="s">
        <v>3570</v>
      </c>
      <c r="B6555" s="2" t="s">
        <v>1008</v>
      </c>
      <c r="C6555" s="2">
        <v>563.58450000000005</v>
      </c>
      <c r="D6555" s="2">
        <f>HYPERLINK("http://mcb-m6.bioreg.kyushu-u.ac.jp/M3/20110411/F50915/2521/1", 58.71)</f>
        <v>58.71</v>
      </c>
      <c r="E6555" s="2">
        <v>36.39</v>
      </c>
      <c r="F6555" s="2">
        <v>3</v>
      </c>
      <c r="G6555" s="2" t="s">
        <v>9</v>
      </c>
    </row>
    <row r="6556" spans="1:9" x14ac:dyDescent="0.2">
      <c r="A6556" s="2" t="s">
        <v>3570</v>
      </c>
      <c r="B6556" s="2" t="s">
        <v>1081</v>
      </c>
      <c r="C6556" s="2">
        <v>944.05719999999997</v>
      </c>
      <c r="D6556" s="2">
        <f>HYPERLINK("http://mcb-m6.bioreg.kyushu-u.ac.jp/M3/20110411/F50911/3138/1", 62.18)</f>
        <v>62.18</v>
      </c>
      <c r="E6556" s="2">
        <v>48.71</v>
      </c>
      <c r="F6556" s="2">
        <v>2</v>
      </c>
      <c r="G6556" s="2" t="s">
        <v>9</v>
      </c>
      <c r="I6556" s="2" t="s">
        <v>4898</v>
      </c>
    </row>
    <row r="6557" spans="1:9" x14ac:dyDescent="0.2">
      <c r="A6557" s="2" t="s">
        <v>3570</v>
      </c>
      <c r="B6557" s="2" t="s">
        <v>1263</v>
      </c>
      <c r="C6557" s="2">
        <v>531.58119999999997</v>
      </c>
      <c r="D6557" s="2">
        <f>HYPERLINK("http://mcb-m6.bioreg.kyushu-u.ac.jp/M3/20110411/F50911/1102/1", 69.63)</f>
        <v>69.63</v>
      </c>
      <c r="E6557" s="2">
        <v>28.25</v>
      </c>
      <c r="F6557" s="2">
        <v>2</v>
      </c>
      <c r="G6557" s="2" t="s">
        <v>9</v>
      </c>
    </row>
    <row r="6558" spans="1:9" x14ac:dyDescent="0.2">
      <c r="A6558" s="2" t="s">
        <v>3570</v>
      </c>
      <c r="B6558" s="2" t="s">
        <v>1292</v>
      </c>
      <c r="C6558" s="2">
        <v>813.10820000000001</v>
      </c>
      <c r="D6558" s="2">
        <f>HYPERLINK("http://mcb-m6.bioreg.kyushu-u.ac.jp/M3/20110411/F50911/2495/1", 71.08)</f>
        <v>71.08</v>
      </c>
      <c r="E6558" s="2">
        <v>40.33</v>
      </c>
      <c r="F6558" s="2">
        <v>2</v>
      </c>
      <c r="G6558" s="2" t="s">
        <v>9</v>
      </c>
    </row>
    <row r="6559" spans="1:9" x14ac:dyDescent="0.2">
      <c r="A6559" s="2" t="s">
        <v>3570</v>
      </c>
      <c r="B6559" s="2" t="s">
        <v>663</v>
      </c>
      <c r="C6559" s="2">
        <v>780.46169999999995</v>
      </c>
      <c r="D6559" s="2">
        <f>HYPERLINK("http://mcb-m6.bioreg.kyushu-u.ac.jp/M3/20110411/F50915/2139/1", 74.22)</f>
        <v>74.22</v>
      </c>
      <c r="E6559" s="2">
        <v>51.34</v>
      </c>
      <c r="F6559" s="2">
        <v>2</v>
      </c>
      <c r="G6559" s="2" t="s">
        <v>9</v>
      </c>
    </row>
    <row r="6560" spans="1:9" x14ac:dyDescent="0.2">
      <c r="A6560" s="2" t="s">
        <v>3570</v>
      </c>
      <c r="B6560" s="2" t="s">
        <v>663</v>
      </c>
      <c r="C6560" s="2">
        <v>780.39260000000002</v>
      </c>
      <c r="D6560" s="2">
        <f>HYPERLINK("http://mcb-m6.bioreg.kyushu-u.ac.jp/M3/20110411/F50916/2111/1", 92.82)</f>
        <v>92.82</v>
      </c>
      <c r="E6560" s="2">
        <v>72.89</v>
      </c>
      <c r="F6560" s="2">
        <v>2</v>
      </c>
      <c r="G6560" s="2" t="s">
        <v>9</v>
      </c>
    </row>
    <row r="6561" spans="1:9" x14ac:dyDescent="0.2">
      <c r="A6561" s="2" t="s">
        <v>3570</v>
      </c>
      <c r="B6561" s="2" t="s">
        <v>663</v>
      </c>
      <c r="C6561" s="2">
        <v>780.5856</v>
      </c>
      <c r="D6561" s="2">
        <f>HYPERLINK("http://mcb-m6.bioreg.kyushu-u.ac.jp/M3/20110411/F50911/2307/1", 100.32)</f>
        <v>100.32</v>
      </c>
      <c r="E6561" s="2">
        <v>75.709999999999994</v>
      </c>
      <c r="F6561" s="2">
        <v>2</v>
      </c>
      <c r="G6561" s="2" t="s">
        <v>9</v>
      </c>
    </row>
    <row r="6562" spans="1:9" x14ac:dyDescent="0.2">
      <c r="A6562" s="2" t="s">
        <v>3570</v>
      </c>
      <c r="B6562" s="2" t="s">
        <v>476</v>
      </c>
      <c r="C6562" s="2">
        <v>665.37070000000006</v>
      </c>
      <c r="D6562" s="2">
        <f>HYPERLINK("http://mcb-m6.bioreg.kyushu-u.ac.jp/M3/20110411/F50917/1527/1", 45.42)</f>
        <v>45.42</v>
      </c>
      <c r="E6562" s="2">
        <v>2.0699999999999998</v>
      </c>
      <c r="F6562" s="2">
        <v>2</v>
      </c>
      <c r="G6562" s="2" t="s">
        <v>10</v>
      </c>
    </row>
    <row r="6563" spans="1:9" x14ac:dyDescent="0.2">
      <c r="A6563" s="2" t="s">
        <v>3570</v>
      </c>
      <c r="B6563" s="2" t="s">
        <v>663</v>
      </c>
      <c r="C6563" s="2">
        <v>780.54570000000001</v>
      </c>
      <c r="D6563" s="2">
        <f>HYPERLINK("http://mcb-m6.bioreg.kyushu-u.ac.jp/M3/20110411/F50913/2208/1", 57.94)</f>
        <v>57.94</v>
      </c>
      <c r="E6563" s="2">
        <v>41.45</v>
      </c>
      <c r="F6563" s="2">
        <v>2</v>
      </c>
      <c r="G6563" s="2" t="s">
        <v>10</v>
      </c>
    </row>
    <row r="6564" spans="1:9" x14ac:dyDescent="0.2">
      <c r="A6564" s="2" t="s">
        <v>3570</v>
      </c>
      <c r="B6564" s="2" t="s">
        <v>663</v>
      </c>
      <c r="C6564" s="2">
        <v>780.53560000000004</v>
      </c>
      <c r="D6564" s="2">
        <f>HYPERLINK("http://mcb-m6.bioreg.kyushu-u.ac.jp/M3/20110411/F50917/2197/1", 61.63)</f>
        <v>61.63</v>
      </c>
      <c r="E6564" s="2">
        <v>42.76</v>
      </c>
      <c r="F6564" s="2">
        <v>2</v>
      </c>
      <c r="G6564" s="2" t="s">
        <v>10</v>
      </c>
    </row>
    <row r="6565" spans="1:9" x14ac:dyDescent="0.2">
      <c r="A6565" s="2" t="s">
        <v>3570</v>
      </c>
      <c r="B6565" s="2" t="s">
        <v>663</v>
      </c>
      <c r="C6565" s="2">
        <v>780.99770000000001</v>
      </c>
      <c r="D6565" s="2">
        <f>HYPERLINK("http://mcb-m6.bioreg.kyushu-u.ac.jp/M3/20110411/F50914/2293/1", 84.07)</f>
        <v>84.07</v>
      </c>
      <c r="E6565" s="2">
        <v>60.5</v>
      </c>
      <c r="F6565" s="2">
        <v>2</v>
      </c>
      <c r="G6565" s="2" t="s">
        <v>10</v>
      </c>
    </row>
    <row r="6566" spans="1:9" x14ac:dyDescent="0.2">
      <c r="A6566" s="2" t="s">
        <v>3570</v>
      </c>
      <c r="B6566" s="2" t="s">
        <v>438</v>
      </c>
      <c r="C6566" s="2">
        <v>1074.5899999999999</v>
      </c>
      <c r="D6566" s="2">
        <f>HYPERLINK("http://mcb-m6.bioreg.kyushu-u.ac.jp/M3/20110414/F50942/944/1", 37.79)</f>
        <v>37.79</v>
      </c>
      <c r="E6566" s="2">
        <v>10.08</v>
      </c>
      <c r="F6566" s="2">
        <v>1</v>
      </c>
      <c r="G6566" s="2" t="s">
        <v>11</v>
      </c>
    </row>
    <row r="6567" spans="1:9" x14ac:dyDescent="0.2">
      <c r="A6567" s="2" t="s">
        <v>3570</v>
      </c>
      <c r="B6567" s="2" t="s">
        <v>438</v>
      </c>
      <c r="C6567" s="2">
        <v>537.70669999999996</v>
      </c>
      <c r="D6567" s="2">
        <f>HYPERLINK("http://mcb-m6.bioreg.kyushu-u.ac.jp/M3/20110414/F50956/782/1", 50.17)</f>
        <v>50.17</v>
      </c>
      <c r="E6567" s="2">
        <v>21.39</v>
      </c>
      <c r="F6567" s="2">
        <v>2</v>
      </c>
      <c r="G6567" s="2" t="s">
        <v>11</v>
      </c>
    </row>
    <row r="6568" spans="1:9" x14ac:dyDescent="0.2">
      <c r="A6568" s="2" t="s">
        <v>3570</v>
      </c>
      <c r="B6568" s="2" t="s">
        <v>438</v>
      </c>
      <c r="C6568" s="2">
        <v>537.8732</v>
      </c>
      <c r="D6568" s="2">
        <f>HYPERLINK("http://mcb-m6.bioreg.kyushu-u.ac.jp/M3/20110414/F50943/1047/1", 52.56)</f>
        <v>52.56</v>
      </c>
      <c r="E6568" s="2">
        <v>23.96</v>
      </c>
      <c r="F6568" s="2">
        <v>2</v>
      </c>
      <c r="G6568" s="2" t="s">
        <v>11</v>
      </c>
    </row>
    <row r="6569" spans="1:9" x14ac:dyDescent="0.2">
      <c r="A6569" s="2" t="s">
        <v>3570</v>
      </c>
      <c r="B6569" s="2" t="s">
        <v>1292</v>
      </c>
      <c r="C6569" s="2">
        <v>812.76120000000003</v>
      </c>
      <c r="D6569" s="2">
        <f>HYPERLINK("http://mcb-m6.bioreg.kyushu-u.ac.jp/M3/20110414/F50956/2436/1", 53.54)</f>
        <v>53.54</v>
      </c>
      <c r="E6569" s="2">
        <v>36.56</v>
      </c>
      <c r="F6569" s="2">
        <v>2</v>
      </c>
      <c r="G6569" s="2" t="s">
        <v>11</v>
      </c>
    </row>
    <row r="6570" spans="1:9" x14ac:dyDescent="0.2">
      <c r="A6570" s="2" t="s">
        <v>3570</v>
      </c>
      <c r="B6570" s="2" t="s">
        <v>663</v>
      </c>
      <c r="C6570" s="2">
        <v>780.22059999999999</v>
      </c>
      <c r="D6570" s="2">
        <f>HYPERLINK("http://mcb-m6.bioreg.kyushu-u.ac.jp/M3/20110414/F50943/2133/1", 53.91)</f>
        <v>53.91</v>
      </c>
      <c r="E6570" s="2">
        <v>31.48</v>
      </c>
      <c r="F6570" s="2">
        <v>2</v>
      </c>
      <c r="G6570" s="2" t="s">
        <v>11</v>
      </c>
    </row>
    <row r="6571" spans="1:9" x14ac:dyDescent="0.2">
      <c r="A6571" s="2" t="s">
        <v>3570</v>
      </c>
      <c r="B6571" s="2" t="s">
        <v>438</v>
      </c>
      <c r="C6571" s="2">
        <v>537.86019999999996</v>
      </c>
      <c r="D6571" s="2">
        <f>HYPERLINK("http://mcb-m6.bioreg.kyushu-u.ac.jp/M3/20110414/F50942/947/1", 57.67)</f>
        <v>57.67</v>
      </c>
      <c r="E6571" s="2">
        <v>20.88</v>
      </c>
      <c r="F6571" s="2">
        <v>2</v>
      </c>
      <c r="G6571" s="2" t="s">
        <v>11</v>
      </c>
    </row>
    <row r="6572" spans="1:9" x14ac:dyDescent="0.2">
      <c r="A6572" s="2" t="s">
        <v>3570</v>
      </c>
      <c r="B6572" s="2" t="s">
        <v>1081</v>
      </c>
      <c r="C6572" s="2">
        <v>944.0077</v>
      </c>
      <c r="D6572" s="2">
        <f>HYPERLINK("http://mcb-m6.bioreg.kyushu-u.ac.jp/M3/20110414/F50942/3150/1", 58.17)</f>
        <v>58.17</v>
      </c>
      <c r="E6572" s="2">
        <v>50.43</v>
      </c>
      <c r="F6572" s="2">
        <v>2</v>
      </c>
      <c r="G6572" s="2" t="s">
        <v>11</v>
      </c>
      <c r="I6572" s="2" t="s">
        <v>4898</v>
      </c>
    </row>
    <row r="6573" spans="1:9" x14ac:dyDescent="0.2">
      <c r="A6573" s="2" t="s">
        <v>3570</v>
      </c>
      <c r="B6573" s="2" t="s">
        <v>1292</v>
      </c>
      <c r="C6573" s="2">
        <v>812.91269999999997</v>
      </c>
      <c r="D6573" s="2">
        <f>HYPERLINK("http://mcb-m6.bioreg.kyushu-u.ac.jp/M3/20110414/F50942/2329/1", 59.91)</f>
        <v>59.91</v>
      </c>
      <c r="E6573" s="2">
        <v>41.7</v>
      </c>
      <c r="F6573" s="2">
        <v>2</v>
      </c>
      <c r="G6573" s="2" t="s">
        <v>11</v>
      </c>
    </row>
    <row r="6574" spans="1:9" x14ac:dyDescent="0.2">
      <c r="A6574" s="2" t="s">
        <v>3570</v>
      </c>
      <c r="B6574" s="2" t="s">
        <v>438</v>
      </c>
      <c r="C6574" s="2">
        <v>537.71010000000001</v>
      </c>
      <c r="D6574" s="2">
        <f>HYPERLINK("http://mcb-m6.bioreg.kyushu-u.ac.jp/M3/20110414/F50948/972/1", 51.77)</f>
        <v>51.77</v>
      </c>
      <c r="E6574" s="2">
        <v>22.67</v>
      </c>
      <c r="F6574" s="2">
        <v>2</v>
      </c>
      <c r="G6574" s="2" t="s">
        <v>12</v>
      </c>
    </row>
    <row r="6575" spans="1:9" x14ac:dyDescent="0.2">
      <c r="A6575" s="2" t="s">
        <v>3570</v>
      </c>
      <c r="B6575" s="2" t="s">
        <v>663</v>
      </c>
      <c r="C6575" s="2">
        <v>780.55769999999995</v>
      </c>
      <c r="D6575" s="2">
        <f>HYPERLINK("http://mcb-m6.bioreg.kyushu-u.ac.jp/M3/20110502/F51172/2369/1", 45.31)</f>
        <v>45.31</v>
      </c>
      <c r="E6575" s="2">
        <v>29.26</v>
      </c>
      <c r="F6575" s="2">
        <v>2</v>
      </c>
      <c r="G6575" s="2" t="s">
        <v>13</v>
      </c>
    </row>
    <row r="6576" spans="1:9" x14ac:dyDescent="0.2">
      <c r="A6576" s="2" t="s">
        <v>3570</v>
      </c>
      <c r="B6576" s="2" t="s">
        <v>1292</v>
      </c>
      <c r="C6576" s="2">
        <v>813.02560000000005</v>
      </c>
      <c r="D6576" s="2">
        <f>HYPERLINK("http://mcb-m6.bioreg.kyushu-u.ac.jp/M3/20110502/F51188/2185/1", 74.1)</f>
        <v>74.099999999999994</v>
      </c>
      <c r="E6576" s="2">
        <v>52.3</v>
      </c>
      <c r="F6576" s="2">
        <v>2</v>
      </c>
      <c r="G6576" s="2" t="s">
        <v>13</v>
      </c>
    </row>
    <row r="6577" spans="1:9" x14ac:dyDescent="0.2">
      <c r="A6577" s="2" t="s">
        <v>4070</v>
      </c>
      <c r="B6577" s="2" t="s">
        <v>1453</v>
      </c>
      <c r="C6577" s="2">
        <v>808.31619999999998</v>
      </c>
      <c r="D6577" s="2">
        <f>HYPERLINK("http://mcb-m6.bioreg.kyushu-u.ac.jp/M3/20110411/F50891/2501/1", 81.56)</f>
        <v>81.56</v>
      </c>
      <c r="E6577" s="2">
        <v>64.08</v>
      </c>
      <c r="F6577" s="2">
        <v>2</v>
      </c>
      <c r="G6577" s="2" t="s">
        <v>9</v>
      </c>
      <c r="I6577" s="2" t="s">
        <v>4899</v>
      </c>
    </row>
    <row r="6578" spans="1:9" x14ac:dyDescent="0.2">
      <c r="A6578" s="2" t="s">
        <v>4048</v>
      </c>
      <c r="B6578" s="2" t="s">
        <v>1395</v>
      </c>
      <c r="C6578" s="2">
        <v>912.93370000000004</v>
      </c>
      <c r="D6578" s="2">
        <f>HYPERLINK("http://mcb-m6.bioreg.kyushu-u.ac.jp/M3/20110411/F50890/3018/1", 77.67)</f>
        <v>77.67</v>
      </c>
      <c r="E6578" s="2">
        <v>61.99</v>
      </c>
      <c r="F6578" s="2">
        <v>2</v>
      </c>
      <c r="G6578" s="2" t="s">
        <v>9</v>
      </c>
    </row>
    <row r="6579" spans="1:9" x14ac:dyDescent="0.2">
      <c r="A6579" s="2" t="s">
        <v>4048</v>
      </c>
      <c r="B6579" s="2" t="s">
        <v>1395</v>
      </c>
      <c r="C6579" s="2">
        <v>912.85270000000003</v>
      </c>
      <c r="D6579" s="2">
        <f>HYPERLINK("http://mcb-m6.bioreg.kyushu-u.ac.jp/M3/20110411/F50891/3065/1", 85.79)</f>
        <v>85.79</v>
      </c>
      <c r="E6579" s="2">
        <v>81.17</v>
      </c>
      <c r="F6579" s="2">
        <v>2</v>
      </c>
      <c r="G6579" s="2" t="s">
        <v>9</v>
      </c>
    </row>
    <row r="6580" spans="1:9" x14ac:dyDescent="0.2">
      <c r="A6580" s="2" t="s">
        <v>4048</v>
      </c>
      <c r="B6580" s="2" t="s">
        <v>1395</v>
      </c>
      <c r="C6580" s="2">
        <v>913.24720000000002</v>
      </c>
      <c r="D6580" s="2">
        <f>HYPERLINK("http://mcb-m6.bioreg.kyushu-u.ac.jp/M3/20110414/F50928/3031/1", 90.38)</f>
        <v>90.38</v>
      </c>
      <c r="E6580" s="2">
        <v>79.739999999999995</v>
      </c>
      <c r="F6580" s="2">
        <v>2</v>
      </c>
      <c r="G6580" s="2" t="s">
        <v>11</v>
      </c>
    </row>
    <row r="6581" spans="1:9" x14ac:dyDescent="0.2">
      <c r="A6581" s="2" t="s">
        <v>4048</v>
      </c>
      <c r="B6581" s="2" t="s">
        <v>1395</v>
      </c>
      <c r="C6581" s="2">
        <v>913.16020000000003</v>
      </c>
      <c r="D6581" s="2">
        <f>HYPERLINK("http://mcb-m6.bioreg.kyushu-u.ac.jp/M3/20110414/F50933/3091/1", 74.09)</f>
        <v>74.09</v>
      </c>
      <c r="E6581" s="2">
        <v>66.75</v>
      </c>
      <c r="F6581" s="2">
        <v>2</v>
      </c>
      <c r="G6581" s="2" t="s">
        <v>12</v>
      </c>
    </row>
    <row r="6582" spans="1:9" x14ac:dyDescent="0.2">
      <c r="A6582" s="2" t="s">
        <v>4048</v>
      </c>
      <c r="B6582" s="2" t="s">
        <v>1395</v>
      </c>
      <c r="C6582" s="2">
        <v>913.11320000000001</v>
      </c>
      <c r="D6582" s="2">
        <f>HYPERLINK("http://mcb-m6.bioreg.kyushu-u.ac.jp/M3/20110502/F51169/2790/1", 88.75)</f>
        <v>88.75</v>
      </c>
      <c r="E6582" s="2">
        <v>77.650000000000006</v>
      </c>
      <c r="F6582" s="2">
        <v>2</v>
      </c>
      <c r="G6582" s="2" t="s">
        <v>13</v>
      </c>
    </row>
    <row r="6583" spans="1:9" x14ac:dyDescent="0.2">
      <c r="A6583" s="2" t="s">
        <v>3862</v>
      </c>
      <c r="B6583" s="2" t="s">
        <v>974</v>
      </c>
      <c r="C6583" s="2">
        <v>959.9982</v>
      </c>
      <c r="D6583" s="2">
        <f>HYPERLINK("http://mcb-m6.bioreg.kyushu-u.ac.jp/M3/20110411/F50892/3007/1", 57.53)</f>
        <v>57.53</v>
      </c>
      <c r="E6583" s="2">
        <v>44.93</v>
      </c>
      <c r="F6583" s="2">
        <v>2</v>
      </c>
      <c r="G6583" s="2" t="s">
        <v>9</v>
      </c>
    </row>
    <row r="6584" spans="1:9" x14ac:dyDescent="0.2">
      <c r="A6584" s="2" t="s">
        <v>3862</v>
      </c>
      <c r="B6584" s="2" t="s">
        <v>1014</v>
      </c>
      <c r="C6584" s="2">
        <v>693.38459999999998</v>
      </c>
      <c r="D6584" s="2">
        <f>HYPERLINK("http://mcb-m6.bioreg.kyushu-u.ac.jp/M3/20110411/F50892/1981/1", 58.82)</f>
        <v>58.82</v>
      </c>
      <c r="E6584" s="2">
        <v>40.119999999999997</v>
      </c>
      <c r="F6584" s="2">
        <v>2</v>
      </c>
      <c r="G6584" s="2" t="s">
        <v>9</v>
      </c>
      <c r="I6584" s="2" t="s">
        <v>4903</v>
      </c>
    </row>
    <row r="6585" spans="1:9" x14ac:dyDescent="0.2">
      <c r="A6585" s="2" t="s">
        <v>3862</v>
      </c>
      <c r="B6585" s="2" t="s">
        <v>974</v>
      </c>
      <c r="C6585" s="2">
        <v>959.42269999999996</v>
      </c>
      <c r="D6585" s="2">
        <f>HYPERLINK("http://mcb-m6.bioreg.kyushu-u.ac.jp/M3/20110411/F50892/3005/1", 63.7)</f>
        <v>63.7</v>
      </c>
      <c r="E6585" s="2">
        <v>54.73</v>
      </c>
      <c r="F6585" s="2">
        <v>2</v>
      </c>
      <c r="G6585" s="2" t="s">
        <v>9</v>
      </c>
    </row>
    <row r="6586" spans="1:9" x14ac:dyDescent="0.2">
      <c r="A6586" s="2" t="s">
        <v>3862</v>
      </c>
      <c r="B6586" s="2" t="s">
        <v>1373</v>
      </c>
      <c r="C6586" s="2">
        <v>675.87369999999999</v>
      </c>
      <c r="D6586" s="2">
        <f>HYPERLINK("http://mcb-m6.bioreg.kyushu-u.ac.jp/M3/20110411/F50892/1891/1", 76.42)</f>
        <v>76.42</v>
      </c>
      <c r="E6586" s="2">
        <v>49.83</v>
      </c>
      <c r="F6586" s="2">
        <v>2</v>
      </c>
      <c r="G6586" s="2" t="s">
        <v>9</v>
      </c>
    </row>
    <row r="6587" spans="1:9" x14ac:dyDescent="0.2">
      <c r="A6587" s="2" t="s">
        <v>3862</v>
      </c>
      <c r="B6587" s="2" t="s">
        <v>1595</v>
      </c>
      <c r="C6587" s="2">
        <v>867.06709999999998</v>
      </c>
      <c r="D6587" s="2">
        <f>HYPERLINK("http://mcb-m6.bioreg.kyushu-u.ac.jp/M3/20110411/F50892/2712/1", 97.34)</f>
        <v>97.34</v>
      </c>
      <c r="E6587" s="2">
        <v>78.44</v>
      </c>
      <c r="F6587" s="2">
        <v>2</v>
      </c>
      <c r="G6587" s="2" t="s">
        <v>9</v>
      </c>
    </row>
    <row r="6588" spans="1:9" x14ac:dyDescent="0.2">
      <c r="A6588" s="2" t="s">
        <v>3862</v>
      </c>
      <c r="B6588" s="2" t="s">
        <v>974</v>
      </c>
      <c r="C6588" s="2">
        <v>959.9597</v>
      </c>
      <c r="D6588" s="2">
        <f>HYPERLINK("http://mcb-m6.bioreg.kyushu-u.ac.jp/M3/20110414/F50945/3035/1", 57.55)</f>
        <v>57.55</v>
      </c>
      <c r="E6588" s="2">
        <v>44.4</v>
      </c>
      <c r="F6588" s="2">
        <v>2</v>
      </c>
      <c r="G6588" s="2" t="s">
        <v>11</v>
      </c>
    </row>
    <row r="6589" spans="1:9" x14ac:dyDescent="0.2">
      <c r="A6589" s="2" t="s">
        <v>3862</v>
      </c>
      <c r="B6589" s="2" t="s">
        <v>1595</v>
      </c>
      <c r="C6589" s="2">
        <v>867.3057</v>
      </c>
      <c r="D6589" s="2">
        <f>HYPERLINK("http://mcb-m6.bioreg.kyushu-u.ac.jp/M3/20110502/F51180/2476/1", 55.51)</f>
        <v>55.51</v>
      </c>
      <c r="E6589" s="2">
        <v>36.090000000000003</v>
      </c>
      <c r="F6589" s="2">
        <v>2</v>
      </c>
      <c r="G6589" s="2" t="s">
        <v>13</v>
      </c>
    </row>
    <row r="6590" spans="1:9" x14ac:dyDescent="0.2">
      <c r="A6590" s="2" t="s">
        <v>3862</v>
      </c>
      <c r="B6590" s="2" t="s">
        <v>1595</v>
      </c>
      <c r="C6590" s="2">
        <v>867.49770000000001</v>
      </c>
      <c r="D6590" s="2">
        <f>HYPERLINK("http://mcb-m6.bioreg.kyushu-u.ac.jp/M3/20110502/F51182/2623/1", 65.66)</f>
        <v>65.66</v>
      </c>
      <c r="E6590" s="2">
        <v>47</v>
      </c>
      <c r="F6590" s="2">
        <v>2</v>
      </c>
      <c r="G6590" s="2" t="s">
        <v>14</v>
      </c>
    </row>
    <row r="6591" spans="1:9" x14ac:dyDescent="0.2">
      <c r="A6591" s="2" t="s">
        <v>3958</v>
      </c>
      <c r="B6591" s="2" t="s">
        <v>1169</v>
      </c>
      <c r="C6591" s="2">
        <v>1451.8230000000001</v>
      </c>
      <c r="D6591" s="2">
        <f>HYPERLINK("http://mcb-m6.bioreg.kyushu-u.ac.jp/M3/20110411/F50904/1975/1", 65.7)</f>
        <v>65.7</v>
      </c>
      <c r="E6591" s="2">
        <v>46.18</v>
      </c>
      <c r="F6591" s="2">
        <v>1</v>
      </c>
      <c r="G6591" s="2" t="s">
        <v>9</v>
      </c>
    </row>
    <row r="6592" spans="1:9" x14ac:dyDescent="0.2">
      <c r="A6592" s="2" t="s">
        <v>3958</v>
      </c>
      <c r="B6592" s="2" t="s">
        <v>1169</v>
      </c>
      <c r="C6592" s="2">
        <v>1434.8630000000001</v>
      </c>
      <c r="D6592" s="2">
        <f>HYPERLINK("http://mcb-m6.bioreg.kyushu-u.ac.jp/M3/20110411/F50904/1928/1", 74.2)</f>
        <v>74.2</v>
      </c>
      <c r="E6592" s="2">
        <v>61.86</v>
      </c>
      <c r="F6592" s="2">
        <v>1</v>
      </c>
      <c r="G6592" s="2" t="s">
        <v>9</v>
      </c>
      <c r="H6592" s="2" t="s">
        <v>4904</v>
      </c>
    </row>
    <row r="6593" spans="1:9" x14ac:dyDescent="0.2">
      <c r="A6593" s="2" t="s">
        <v>3958</v>
      </c>
      <c r="B6593" s="2" t="s">
        <v>1169</v>
      </c>
      <c r="C6593" s="2">
        <v>726.56870000000004</v>
      </c>
      <c r="D6593" s="2">
        <f>HYPERLINK("http://mcb-m6.bioreg.kyushu-u.ac.jp/M3/20110411/F50905/1951/1", 97.87)</f>
        <v>97.87</v>
      </c>
      <c r="E6593" s="2">
        <v>70.819999999999993</v>
      </c>
      <c r="F6593" s="2">
        <v>2</v>
      </c>
      <c r="G6593" s="2" t="s">
        <v>9</v>
      </c>
    </row>
    <row r="6594" spans="1:9" x14ac:dyDescent="0.2">
      <c r="A6594" s="2" t="s">
        <v>3958</v>
      </c>
      <c r="B6594" s="2" t="s">
        <v>2010</v>
      </c>
      <c r="C6594" s="2">
        <v>676.19460000000004</v>
      </c>
      <c r="D6594" s="2">
        <f>HYPERLINK("http://mcb-m6.bioreg.kyushu-u.ac.jp/M3/20110411/F50912/1717/1", 61.03)</f>
        <v>61.03</v>
      </c>
      <c r="E6594" s="2">
        <v>23.19</v>
      </c>
      <c r="F6594" s="2">
        <v>2</v>
      </c>
      <c r="G6594" s="2" t="s">
        <v>10</v>
      </c>
    </row>
    <row r="6595" spans="1:9" x14ac:dyDescent="0.2">
      <c r="A6595" s="2" t="s">
        <v>3958</v>
      </c>
      <c r="B6595" s="2" t="s">
        <v>1169</v>
      </c>
      <c r="C6595" s="2">
        <v>1434.9970000000001</v>
      </c>
      <c r="D6595" s="2">
        <f>HYPERLINK("http://mcb-m6.bioreg.kyushu-u.ac.jp/M3/20110411/F50912/1943/1", 78.03)</f>
        <v>78.03</v>
      </c>
      <c r="E6595" s="2">
        <v>65.36</v>
      </c>
      <c r="F6595" s="2">
        <v>1</v>
      </c>
      <c r="G6595" s="2" t="s">
        <v>10</v>
      </c>
      <c r="H6595" s="2" t="s">
        <v>4904</v>
      </c>
    </row>
    <row r="6596" spans="1:9" x14ac:dyDescent="0.2">
      <c r="A6596" s="2" t="s">
        <v>3958</v>
      </c>
      <c r="B6596" s="2" t="s">
        <v>2010</v>
      </c>
      <c r="C6596" s="2">
        <v>676.29610000000002</v>
      </c>
      <c r="D6596" s="2">
        <f>HYPERLINK("http://mcb-m6.bioreg.kyushu-u.ac.jp/M3/20110414/F50941/1699/1", 36.52)</f>
        <v>36.520000000000003</v>
      </c>
      <c r="E6596" s="2">
        <v>15.44</v>
      </c>
      <c r="F6596" s="2">
        <v>2</v>
      </c>
      <c r="G6596" s="2" t="s">
        <v>11</v>
      </c>
    </row>
    <row r="6597" spans="1:9" x14ac:dyDescent="0.2">
      <c r="A6597" s="2" t="s">
        <v>3958</v>
      </c>
      <c r="B6597" s="2" t="s">
        <v>1169</v>
      </c>
      <c r="C6597" s="2">
        <v>726.37220000000002</v>
      </c>
      <c r="D6597" s="2">
        <f>HYPERLINK("http://mcb-m6.bioreg.kyushu-u.ac.jp/M3/20110414/F50942/1806/1", 47.78)</f>
        <v>47.78</v>
      </c>
      <c r="E6597" s="2">
        <v>32.78</v>
      </c>
      <c r="F6597" s="2">
        <v>2</v>
      </c>
      <c r="G6597" s="2" t="s">
        <v>11</v>
      </c>
    </row>
    <row r="6598" spans="1:9" x14ac:dyDescent="0.2">
      <c r="A6598" s="2" t="s">
        <v>3958</v>
      </c>
      <c r="B6598" s="2" t="s">
        <v>1169</v>
      </c>
      <c r="C6598" s="2">
        <v>718.23019999999997</v>
      </c>
      <c r="D6598" s="2">
        <f>HYPERLINK("http://mcb-m6.bioreg.kyushu-u.ac.jp/M3/20110414/F50941/1968/1", 61.21)</f>
        <v>61.21</v>
      </c>
      <c r="E6598" s="2">
        <v>38.86</v>
      </c>
      <c r="F6598" s="2">
        <v>2</v>
      </c>
      <c r="G6598" s="2" t="s">
        <v>11</v>
      </c>
      <c r="H6598" s="2" t="s">
        <v>4904</v>
      </c>
    </row>
    <row r="6599" spans="1:9" x14ac:dyDescent="0.2">
      <c r="A6599" s="2" t="s">
        <v>3958</v>
      </c>
      <c r="B6599" s="2" t="s">
        <v>1169</v>
      </c>
      <c r="C6599" s="2">
        <v>726.2106</v>
      </c>
      <c r="D6599" s="2">
        <f>HYPERLINK("http://mcb-m6.bioreg.kyushu-u.ac.jp/M3/20110414/F50962/1853/1", 80.07)</f>
        <v>80.069999999999993</v>
      </c>
      <c r="E6599" s="2">
        <v>62.33</v>
      </c>
      <c r="F6599" s="2">
        <v>2</v>
      </c>
      <c r="G6599" s="2" t="s">
        <v>11</v>
      </c>
    </row>
    <row r="6600" spans="1:9" x14ac:dyDescent="0.2">
      <c r="A6600" s="2" t="s">
        <v>3958</v>
      </c>
      <c r="B6600" s="2" t="s">
        <v>1169</v>
      </c>
      <c r="C6600" s="2">
        <v>726.78369999999995</v>
      </c>
      <c r="D6600" s="2">
        <f>HYPERLINK("http://mcb-m6.bioreg.kyushu-u.ac.jp/M3/20110414/F50941/2023/1", 102.95)</f>
        <v>102.95</v>
      </c>
      <c r="E6600" s="2">
        <v>82.29</v>
      </c>
      <c r="F6600" s="2">
        <v>2</v>
      </c>
      <c r="G6600" s="2" t="s">
        <v>11</v>
      </c>
    </row>
    <row r="6601" spans="1:9" x14ac:dyDescent="0.2">
      <c r="A6601" s="2" t="s">
        <v>3958</v>
      </c>
      <c r="B6601" s="2" t="s">
        <v>2010</v>
      </c>
      <c r="C6601" s="2">
        <v>675.89070000000004</v>
      </c>
      <c r="D6601" s="2">
        <f>HYPERLINK("http://mcb-m6.bioreg.kyushu-u.ac.jp/M3/20110414/F50947/1510/1", 47.47)</f>
        <v>47.47</v>
      </c>
      <c r="E6601" s="2">
        <v>20.29</v>
      </c>
      <c r="F6601" s="2">
        <v>2</v>
      </c>
      <c r="G6601" s="2" t="s">
        <v>12</v>
      </c>
    </row>
    <row r="6602" spans="1:9" x14ac:dyDescent="0.2">
      <c r="A6602" s="2" t="s">
        <v>3958</v>
      </c>
      <c r="B6602" s="2" t="s">
        <v>1169</v>
      </c>
      <c r="C6602" s="2">
        <v>726.28309999999999</v>
      </c>
      <c r="D6602" s="2">
        <f>HYPERLINK("http://mcb-m6.bioreg.kyushu-u.ac.jp/M3/20110414/F50963/1770/1", 72.26)</f>
        <v>72.260000000000005</v>
      </c>
      <c r="E6602" s="2">
        <v>47.01</v>
      </c>
      <c r="F6602" s="2">
        <v>2</v>
      </c>
      <c r="G6602" s="2" t="s">
        <v>12</v>
      </c>
    </row>
    <row r="6603" spans="1:9" x14ac:dyDescent="0.2">
      <c r="A6603" s="2" t="s">
        <v>3958</v>
      </c>
      <c r="B6603" s="2" t="s">
        <v>1169</v>
      </c>
      <c r="C6603" s="2">
        <v>726.30769999999995</v>
      </c>
      <c r="D6603" s="2">
        <f>HYPERLINK("http://mcb-m6.bioreg.kyushu-u.ac.jp/M3/20110414/F50947/1854/1", 73.37)</f>
        <v>73.37</v>
      </c>
      <c r="E6603" s="2">
        <v>56.1</v>
      </c>
      <c r="F6603" s="2">
        <v>2</v>
      </c>
      <c r="G6603" s="2" t="s">
        <v>12</v>
      </c>
    </row>
    <row r="6604" spans="1:9" x14ac:dyDescent="0.2">
      <c r="A6604" s="2" t="s">
        <v>3958</v>
      </c>
      <c r="B6604" s="2" t="s">
        <v>1169</v>
      </c>
      <c r="C6604" s="2">
        <v>726.89509999999996</v>
      </c>
      <c r="D6604" s="2">
        <f>HYPERLINK("http://mcb-m6.bioreg.kyushu-u.ac.jp/M3/20110414/F50947/1859/1", 116.26)</f>
        <v>116.26</v>
      </c>
      <c r="E6604" s="2">
        <v>97.35</v>
      </c>
      <c r="F6604" s="2">
        <v>2</v>
      </c>
      <c r="G6604" s="2" t="s">
        <v>12</v>
      </c>
    </row>
    <row r="6605" spans="1:9" x14ac:dyDescent="0.2">
      <c r="A6605" s="2" t="s">
        <v>3958</v>
      </c>
      <c r="B6605" s="2" t="s">
        <v>1169</v>
      </c>
      <c r="C6605" s="2">
        <v>726.56709999999998</v>
      </c>
      <c r="D6605" s="2">
        <f>HYPERLINK("http://mcb-m6.bioreg.kyushu-u.ac.jp/M3/20110502/F51187/1692/1", 53.56)</f>
        <v>53.56</v>
      </c>
      <c r="E6605" s="2">
        <v>27.72</v>
      </c>
      <c r="F6605" s="2">
        <v>2</v>
      </c>
      <c r="G6605" s="2" t="s">
        <v>13</v>
      </c>
    </row>
    <row r="6606" spans="1:9" x14ac:dyDescent="0.2">
      <c r="A6606" s="2" t="s">
        <v>3958</v>
      </c>
      <c r="B6606" s="2" t="s">
        <v>1169</v>
      </c>
      <c r="C6606" s="2">
        <v>726.53309999999999</v>
      </c>
      <c r="D6606" s="2">
        <f>HYPERLINK("http://mcb-m6.bioreg.kyushu-u.ac.jp/M3/20110502/F51170/1999/1", 95.74)</f>
        <v>95.74</v>
      </c>
      <c r="E6606" s="2">
        <v>75.150000000000006</v>
      </c>
      <c r="F6606" s="2">
        <v>2</v>
      </c>
      <c r="G6606" s="2" t="s">
        <v>13</v>
      </c>
    </row>
    <row r="6607" spans="1:9" x14ac:dyDescent="0.2">
      <c r="A6607" s="2" t="s">
        <v>3770</v>
      </c>
      <c r="B6607" s="2" t="s">
        <v>793</v>
      </c>
      <c r="C6607" s="2">
        <v>548.13819999999998</v>
      </c>
      <c r="D6607" s="2">
        <f>HYPERLINK("http://mcb-m6.bioreg.kyushu-u.ac.jp/M3/20110411/F50904/1272/1", 51.5)</f>
        <v>51.5</v>
      </c>
      <c r="E6607" s="2">
        <v>14.04</v>
      </c>
      <c r="F6607" s="2">
        <v>2</v>
      </c>
      <c r="G6607" s="2" t="s">
        <v>9</v>
      </c>
    </row>
    <row r="6608" spans="1:9" x14ac:dyDescent="0.2">
      <c r="A6608" s="2" t="s">
        <v>3821</v>
      </c>
      <c r="B6608" s="2" t="s">
        <v>889</v>
      </c>
      <c r="C6608" s="2">
        <v>684.55719999999997</v>
      </c>
      <c r="D6608" s="2">
        <f>HYPERLINK("http://mcb-m6.bioreg.kyushu-u.ac.jp/M3/20110411/F50904/1759/1", 54.67)</f>
        <v>54.67</v>
      </c>
      <c r="E6608" s="2">
        <v>38.29</v>
      </c>
      <c r="F6608" s="2">
        <v>2</v>
      </c>
      <c r="G6608" s="2" t="s">
        <v>9</v>
      </c>
      <c r="H6608" s="2" t="s">
        <v>4915</v>
      </c>
      <c r="I6608" s="2" t="s">
        <v>4893</v>
      </c>
    </row>
    <row r="6609" spans="1:9" x14ac:dyDescent="0.2">
      <c r="A6609" s="2" t="s">
        <v>3821</v>
      </c>
      <c r="B6609" s="2" t="s">
        <v>999</v>
      </c>
      <c r="C6609" s="2">
        <v>1074.67</v>
      </c>
      <c r="D6609" s="2">
        <f>HYPERLINK("http://mcb-m6.bioreg.kyushu-u.ac.jp/M3/20110411/F50904/3354/1", 58.28)</f>
        <v>58.28</v>
      </c>
      <c r="E6609" s="2">
        <v>39.97</v>
      </c>
      <c r="F6609" s="2">
        <v>2</v>
      </c>
      <c r="G6609" s="2" t="s">
        <v>9</v>
      </c>
    </row>
    <row r="6610" spans="1:9" x14ac:dyDescent="0.2">
      <c r="A6610" s="2" t="s">
        <v>3821</v>
      </c>
      <c r="B6610" s="2" t="s">
        <v>1128</v>
      </c>
      <c r="C6610" s="2">
        <v>697.07709999999997</v>
      </c>
      <c r="D6610" s="2">
        <f>HYPERLINK("http://mcb-m6.bioreg.kyushu-u.ac.jp/M3/20110411/F50904/1814/1", 64.38)</f>
        <v>64.38</v>
      </c>
      <c r="E6610" s="2">
        <v>22.63</v>
      </c>
      <c r="F6610" s="2">
        <v>2</v>
      </c>
      <c r="G6610" s="2" t="s">
        <v>9</v>
      </c>
    </row>
    <row r="6611" spans="1:9" x14ac:dyDescent="0.2">
      <c r="A6611" s="2" t="s">
        <v>3821</v>
      </c>
      <c r="B6611" s="2" t="s">
        <v>889</v>
      </c>
      <c r="C6611" s="2">
        <v>676.89970000000005</v>
      </c>
      <c r="D6611" s="2">
        <f>HYPERLINK("http://mcb-m6.bioreg.kyushu-u.ac.jp/M3/20110411/F50912/1723/1", 63.24)</f>
        <v>63.24</v>
      </c>
      <c r="E6611" s="2">
        <v>37.31</v>
      </c>
      <c r="F6611" s="2">
        <v>2</v>
      </c>
      <c r="G6611" s="2" t="s">
        <v>10</v>
      </c>
      <c r="I6611" s="2" t="s">
        <v>4893</v>
      </c>
    </row>
    <row r="6612" spans="1:9" x14ac:dyDescent="0.2">
      <c r="A6612" s="2" t="s">
        <v>3821</v>
      </c>
      <c r="B6612" s="2" t="s">
        <v>889</v>
      </c>
      <c r="C6612" s="2">
        <v>676.8347</v>
      </c>
      <c r="D6612" s="2">
        <f>HYPERLINK("http://mcb-m6.bioreg.kyushu-u.ac.jp/M3/20110414/F50941/1701/1", 40.47)</f>
        <v>40.47</v>
      </c>
      <c r="E6612" s="2">
        <v>19.34</v>
      </c>
      <c r="F6612" s="2">
        <v>2</v>
      </c>
      <c r="G6612" s="2" t="s">
        <v>11</v>
      </c>
      <c r="I6612" s="2" t="s">
        <v>4893</v>
      </c>
    </row>
    <row r="6613" spans="1:9" x14ac:dyDescent="0.2">
      <c r="A6613" s="2" t="s">
        <v>3821</v>
      </c>
      <c r="B6613" s="2" t="s">
        <v>2370</v>
      </c>
      <c r="C6613" s="2">
        <v>732.30110000000002</v>
      </c>
      <c r="D6613" s="2">
        <f>HYPERLINK("http://mcb-m6.bioreg.kyushu-u.ac.jp/M3/20110414/F50941/2053/1", 51.13)</f>
        <v>51.13</v>
      </c>
      <c r="E6613" s="2">
        <v>36.25</v>
      </c>
      <c r="F6613" s="2">
        <v>2</v>
      </c>
      <c r="G6613" s="2" t="s">
        <v>11</v>
      </c>
    </row>
    <row r="6614" spans="1:9" x14ac:dyDescent="0.2">
      <c r="A6614" s="2" t="s">
        <v>3821</v>
      </c>
      <c r="B6614" s="2" t="s">
        <v>1128</v>
      </c>
      <c r="C6614" s="2">
        <v>696.91859999999997</v>
      </c>
      <c r="D6614" s="2">
        <f>HYPERLINK("http://mcb-m6.bioreg.kyushu-u.ac.jp/M3/20110414/F50941/1827/1", 61.14)</f>
        <v>61.14</v>
      </c>
      <c r="E6614" s="2">
        <v>25.68</v>
      </c>
      <c r="F6614" s="2">
        <v>2</v>
      </c>
      <c r="G6614" s="2" t="s">
        <v>11</v>
      </c>
    </row>
    <row r="6615" spans="1:9" x14ac:dyDescent="0.2">
      <c r="A6615" s="2" t="s">
        <v>3821</v>
      </c>
      <c r="B6615" s="2" t="s">
        <v>1128</v>
      </c>
      <c r="C6615" s="2">
        <v>696.79169999999999</v>
      </c>
      <c r="D6615" s="2">
        <f>HYPERLINK("http://mcb-m6.bioreg.kyushu-u.ac.jp/M3/20110414/F50963/1614/1", 37.43)</f>
        <v>37.43</v>
      </c>
      <c r="E6615" s="2">
        <v>10.25</v>
      </c>
      <c r="F6615" s="2">
        <v>2</v>
      </c>
      <c r="G6615" s="2" t="s">
        <v>12</v>
      </c>
    </row>
    <row r="6616" spans="1:9" x14ac:dyDescent="0.2">
      <c r="A6616" s="2" t="s">
        <v>3821</v>
      </c>
      <c r="B6616" s="2" t="s">
        <v>1128</v>
      </c>
      <c r="C6616" s="2">
        <v>696.92020000000002</v>
      </c>
      <c r="D6616" s="2">
        <f>HYPERLINK("http://mcb-m6.bioreg.kyushu-u.ac.jp/M3/20110414/F50947/1652/1", 39.1)</f>
        <v>39.1</v>
      </c>
      <c r="E6616" s="2">
        <v>14.67</v>
      </c>
      <c r="F6616" s="2">
        <v>2</v>
      </c>
      <c r="G6616" s="2" t="s">
        <v>12</v>
      </c>
    </row>
    <row r="6617" spans="1:9" x14ac:dyDescent="0.2">
      <c r="A6617" s="2" t="s">
        <v>3821</v>
      </c>
      <c r="B6617" s="2" t="s">
        <v>1128</v>
      </c>
      <c r="C6617" s="2">
        <v>697.08510000000001</v>
      </c>
      <c r="D6617" s="2">
        <f>HYPERLINK("http://mcb-m6.bioreg.kyushu-u.ac.jp/M3/20110502/F51191/1529/1", 79.1)</f>
        <v>79.099999999999994</v>
      </c>
      <c r="E6617" s="2">
        <v>38.43</v>
      </c>
      <c r="F6617" s="2">
        <v>2</v>
      </c>
      <c r="G6617" s="2" t="s">
        <v>14</v>
      </c>
    </row>
    <row r="6618" spans="1:9" x14ac:dyDescent="0.2">
      <c r="A6618" s="2" t="s">
        <v>3799</v>
      </c>
      <c r="B6618" s="2" t="s">
        <v>848</v>
      </c>
      <c r="C6618" s="2">
        <v>845.62699999999995</v>
      </c>
      <c r="D6618" s="2">
        <f>HYPERLINK("http://mcb-m6.bioreg.kyushu-u.ac.jp/M3/20110411/F50904/918/1", 53.3)</f>
        <v>53.3</v>
      </c>
      <c r="E6618" s="2">
        <v>31.23</v>
      </c>
      <c r="F6618" s="2">
        <v>1</v>
      </c>
      <c r="G6618" s="2" t="s">
        <v>9</v>
      </c>
    </row>
    <row r="6619" spans="1:9" x14ac:dyDescent="0.2">
      <c r="A6619" s="2" t="s">
        <v>4296</v>
      </c>
      <c r="B6619" s="2" t="s">
        <v>2006</v>
      </c>
      <c r="C6619" s="2">
        <v>628.5942</v>
      </c>
      <c r="D6619" s="2">
        <f>HYPERLINK("http://mcb-m6.bioreg.kyushu-u.ac.jp/M3/20110411/F50912/1558/1", 60.59)</f>
        <v>60.59</v>
      </c>
      <c r="E6619" s="2">
        <v>33.75</v>
      </c>
      <c r="F6619" s="2">
        <v>2</v>
      </c>
      <c r="G6619" s="2" t="s">
        <v>10</v>
      </c>
    </row>
    <row r="6620" spans="1:9" x14ac:dyDescent="0.2">
      <c r="A6620" s="2" t="s">
        <v>4031</v>
      </c>
      <c r="B6620" s="2" t="s">
        <v>1354</v>
      </c>
      <c r="C6620" s="2">
        <v>1006.207</v>
      </c>
      <c r="D6620" s="2">
        <f>HYPERLINK("http://mcb-m6.bioreg.kyushu-u.ac.jp/M3/20110411/F50892/3138/1", 74.85)</f>
        <v>74.849999999999994</v>
      </c>
      <c r="E6620" s="2">
        <v>61.78</v>
      </c>
      <c r="F6620" s="2">
        <v>2</v>
      </c>
      <c r="G6620" s="2" t="s">
        <v>9</v>
      </c>
      <c r="I6620" s="2" t="s">
        <v>4923</v>
      </c>
    </row>
    <row r="6621" spans="1:9" x14ac:dyDescent="0.2">
      <c r="A6621" s="2" t="s">
        <v>3349</v>
      </c>
      <c r="B6621" s="2" t="s">
        <v>139</v>
      </c>
      <c r="C6621" s="2">
        <v>1083.4380000000001</v>
      </c>
      <c r="D6621" s="2">
        <f>HYPERLINK("http://mcb-m6.bioreg.kyushu-u.ac.jp/M3/20110411/F50892/1456/1", 36.6)</f>
        <v>36.6</v>
      </c>
      <c r="E6621" s="2">
        <v>13.74</v>
      </c>
      <c r="F6621" s="2">
        <v>1</v>
      </c>
      <c r="G6621" s="2" t="s">
        <v>9</v>
      </c>
    </row>
    <row r="6622" spans="1:9" x14ac:dyDescent="0.2">
      <c r="A6622" s="2" t="s">
        <v>3349</v>
      </c>
      <c r="B6622" s="2" t="s">
        <v>1190</v>
      </c>
      <c r="C6622" s="2">
        <v>587.95119999999997</v>
      </c>
      <c r="D6622" s="2">
        <f>HYPERLINK("http://mcb-m6.bioreg.kyushu-u.ac.jp/M3/20110411/F50892/1600/1", 66.69)</f>
        <v>66.69</v>
      </c>
      <c r="E6622" s="2">
        <v>38.93</v>
      </c>
      <c r="F6622" s="2">
        <v>2</v>
      </c>
      <c r="G6622" s="2" t="s">
        <v>9</v>
      </c>
    </row>
    <row r="6623" spans="1:9" x14ac:dyDescent="0.2">
      <c r="A6623" s="2" t="s">
        <v>3349</v>
      </c>
      <c r="B6623" s="2" t="s">
        <v>1340</v>
      </c>
      <c r="C6623" s="2">
        <v>767.96169999999995</v>
      </c>
      <c r="D6623" s="2">
        <f>HYPERLINK("http://mcb-m6.bioreg.kyushu-u.ac.jp/M3/20110411/F50892/2348/1", 74.12)</f>
        <v>74.12</v>
      </c>
      <c r="E6623" s="2">
        <v>59.36</v>
      </c>
      <c r="F6623" s="2">
        <v>2</v>
      </c>
      <c r="G6623" s="2" t="s">
        <v>9</v>
      </c>
    </row>
    <row r="6624" spans="1:9" x14ac:dyDescent="0.2">
      <c r="A6624" s="2" t="s">
        <v>3349</v>
      </c>
      <c r="B6624" s="2" t="s">
        <v>1340</v>
      </c>
      <c r="C6624" s="2">
        <v>768.37159999999994</v>
      </c>
      <c r="D6624" s="2">
        <f>HYPERLINK("http://mcb-m6.bioreg.kyushu-u.ac.jp/M3/20110411/F50891/2274/1", 88.73)</f>
        <v>88.73</v>
      </c>
      <c r="E6624" s="2">
        <v>63.17</v>
      </c>
      <c r="F6624" s="2">
        <v>2</v>
      </c>
      <c r="G6624" s="2" t="s">
        <v>9</v>
      </c>
    </row>
    <row r="6625" spans="1:8" x14ac:dyDescent="0.2">
      <c r="A6625" s="2" t="s">
        <v>3349</v>
      </c>
      <c r="B6625" s="2" t="s">
        <v>1561</v>
      </c>
      <c r="C6625" s="2">
        <v>729.41970000000003</v>
      </c>
      <c r="D6625" s="2">
        <f>HYPERLINK("http://mcb-m6.bioreg.kyushu-u.ac.jp/M3/20110411/F50892/2156/1", 92.6)</f>
        <v>92.6</v>
      </c>
      <c r="E6625" s="2">
        <v>70.349999999999994</v>
      </c>
      <c r="F6625" s="2">
        <v>2</v>
      </c>
      <c r="G6625" s="2" t="s">
        <v>9</v>
      </c>
    </row>
    <row r="6626" spans="1:8" x14ac:dyDescent="0.2">
      <c r="A6626" s="2" t="s">
        <v>3349</v>
      </c>
      <c r="B6626" s="2" t="s">
        <v>139</v>
      </c>
      <c r="C6626" s="2">
        <v>541.71169999999995</v>
      </c>
      <c r="D6626" s="2">
        <f>HYPERLINK("http://mcb-m6.bioreg.kyushu-u.ac.jp/M3/20110414/F50929/1637/1", 45.65)</f>
        <v>45.65</v>
      </c>
      <c r="E6626" s="2">
        <v>22.6</v>
      </c>
      <c r="F6626" s="2">
        <v>2</v>
      </c>
      <c r="G6626" s="2" t="s">
        <v>11</v>
      </c>
    </row>
    <row r="6627" spans="1:8" x14ac:dyDescent="0.2">
      <c r="A6627" s="2" t="s">
        <v>3349</v>
      </c>
      <c r="B6627" s="2" t="s">
        <v>139</v>
      </c>
      <c r="C6627" s="2">
        <v>542.21969999999999</v>
      </c>
      <c r="D6627" s="2">
        <f>HYPERLINK("http://mcb-m6.bioreg.kyushu-u.ac.jp/M3/20110414/F50929/1638/1", 50.95)</f>
        <v>50.95</v>
      </c>
      <c r="E6627" s="2">
        <v>20.66</v>
      </c>
      <c r="F6627" s="2">
        <v>2</v>
      </c>
      <c r="G6627" s="2" t="s">
        <v>11</v>
      </c>
    </row>
    <row r="6628" spans="1:8" x14ac:dyDescent="0.2">
      <c r="A6628" s="2" t="s">
        <v>4839</v>
      </c>
      <c r="B6628" s="2" t="s">
        <v>3106</v>
      </c>
      <c r="C6628" s="2">
        <v>584.68709999999999</v>
      </c>
      <c r="D6628" s="2">
        <f>HYPERLINK("http://mcb-m6.bioreg.kyushu-u.ac.jp/M3/20110502/F51182/1062/1", 45.64)</f>
        <v>45.64</v>
      </c>
      <c r="E6628" s="2">
        <v>18.059999999999999</v>
      </c>
      <c r="F6628" s="2">
        <v>2</v>
      </c>
      <c r="G6628" s="2" t="s">
        <v>14</v>
      </c>
      <c r="H6628" s="2" t="s">
        <v>4904</v>
      </c>
    </row>
    <row r="6629" spans="1:8" x14ac:dyDescent="0.2">
      <c r="A6629" s="2" t="s">
        <v>3730</v>
      </c>
      <c r="B6629" s="2" t="s">
        <v>728</v>
      </c>
      <c r="C6629" s="2">
        <v>632.91819999999996</v>
      </c>
      <c r="D6629" s="2">
        <f>HYPERLINK("http://mcb-m6.bioreg.kyushu-u.ac.jp/M3/20110411/F50915/1314/1", 49.5)</f>
        <v>49.5</v>
      </c>
      <c r="E6629" s="2">
        <v>24.38</v>
      </c>
      <c r="F6629" s="2">
        <v>2</v>
      </c>
      <c r="G6629" s="2" t="s">
        <v>9</v>
      </c>
    </row>
    <row r="6630" spans="1:8" x14ac:dyDescent="0.2">
      <c r="A6630" s="2" t="s">
        <v>3730</v>
      </c>
      <c r="B6630" s="2" t="s">
        <v>728</v>
      </c>
      <c r="C6630" s="2">
        <v>633.19669999999996</v>
      </c>
      <c r="D6630" s="2">
        <f>HYPERLINK("http://mcb-m6.bioreg.kyushu-u.ac.jp/M3/20110411/F50917/1388/1", 50.61)</f>
        <v>50.61</v>
      </c>
      <c r="E6630" s="2">
        <v>17.34</v>
      </c>
      <c r="F6630" s="2">
        <v>2</v>
      </c>
      <c r="G6630" s="2" t="s">
        <v>10</v>
      </c>
    </row>
    <row r="6631" spans="1:8" x14ac:dyDescent="0.2">
      <c r="A6631" s="2" t="s">
        <v>3730</v>
      </c>
      <c r="B6631" s="2" t="s">
        <v>2078</v>
      </c>
      <c r="C6631" s="2">
        <v>877.47019999999998</v>
      </c>
      <c r="D6631" s="2">
        <f>HYPERLINK("http://mcb-m6.bioreg.kyushu-u.ac.jp/M3/20110411/F50917/2773/1", 74.9)</f>
        <v>74.900000000000006</v>
      </c>
      <c r="E6631" s="2">
        <v>57.91</v>
      </c>
      <c r="F6631" s="2">
        <v>2</v>
      </c>
      <c r="G6631" s="2" t="s">
        <v>10</v>
      </c>
    </row>
    <row r="6632" spans="1:8" x14ac:dyDescent="0.2">
      <c r="A6632" s="2" t="s">
        <v>3730</v>
      </c>
      <c r="B6632" s="2" t="s">
        <v>2318</v>
      </c>
      <c r="C6632" s="2">
        <v>650.27009999999996</v>
      </c>
      <c r="D6632" s="2">
        <f>HYPERLINK("http://mcb-m6.bioreg.kyushu-u.ac.jp/M3/20110414/F50942/1425/1", 45.63)</f>
        <v>45.63</v>
      </c>
      <c r="E6632" s="2">
        <v>31.6</v>
      </c>
      <c r="F6632" s="2">
        <v>2</v>
      </c>
      <c r="G6632" s="2" t="s">
        <v>11</v>
      </c>
    </row>
    <row r="6633" spans="1:8" x14ac:dyDescent="0.2">
      <c r="A6633" s="2" t="s">
        <v>3730</v>
      </c>
      <c r="B6633" s="2" t="s">
        <v>2318</v>
      </c>
      <c r="C6633" s="2">
        <v>650.05409999999995</v>
      </c>
      <c r="D6633" s="2">
        <f>HYPERLINK("http://mcb-m6.bioreg.kyushu-u.ac.jp/M3/20110502/F51192/1282/1", 70.06)</f>
        <v>70.06</v>
      </c>
      <c r="E6633" s="2">
        <v>44.47</v>
      </c>
      <c r="F6633" s="2">
        <v>2</v>
      </c>
      <c r="G6633" s="2" t="s">
        <v>14</v>
      </c>
    </row>
    <row r="6634" spans="1:8" x14ac:dyDescent="0.2">
      <c r="A6634" s="2" t="s">
        <v>3730</v>
      </c>
      <c r="B6634" s="2" t="s">
        <v>728</v>
      </c>
      <c r="C6634" s="2">
        <v>633.25670000000002</v>
      </c>
      <c r="D6634" s="2">
        <f>HYPERLINK("http://mcb-m6.bioreg.kyushu-u.ac.jp/M3/20110502/F51192/1243/1", 77.97)</f>
        <v>77.97</v>
      </c>
      <c r="E6634" s="2">
        <v>60.02</v>
      </c>
      <c r="F6634" s="2">
        <v>2</v>
      </c>
      <c r="G6634" s="2" t="s">
        <v>14</v>
      </c>
    </row>
    <row r="6635" spans="1:8" x14ac:dyDescent="0.2">
      <c r="A6635" s="2" t="s">
        <v>3260</v>
      </c>
      <c r="B6635" s="2" t="s">
        <v>40</v>
      </c>
      <c r="C6635" s="2">
        <v>833.00160000000005</v>
      </c>
      <c r="D6635" s="2">
        <f>HYPERLINK("http://mcb-m6.bioreg.kyushu-u.ac.jp/M3/20110411/F50890/2682/1", 35.31)</f>
        <v>35.31</v>
      </c>
      <c r="E6635" s="2">
        <v>19.57</v>
      </c>
      <c r="F6635" s="2">
        <v>2</v>
      </c>
      <c r="G6635" s="2" t="s">
        <v>9</v>
      </c>
    </row>
    <row r="6636" spans="1:8" x14ac:dyDescent="0.2">
      <c r="A6636" s="2" t="s">
        <v>3260</v>
      </c>
      <c r="B6636" s="2" t="s">
        <v>502</v>
      </c>
      <c r="C6636" s="2">
        <v>757.75620000000004</v>
      </c>
      <c r="D6636" s="2">
        <f>HYPERLINK("http://mcb-m6.bioreg.kyushu-u.ac.jp/M3/20110411/F50890/2289/1", 43.36)</f>
        <v>43.36</v>
      </c>
      <c r="E6636" s="2">
        <v>13.86</v>
      </c>
      <c r="F6636" s="2">
        <v>2</v>
      </c>
      <c r="G6636" s="2" t="s">
        <v>9</v>
      </c>
      <c r="H6636" s="2" t="s">
        <v>4891</v>
      </c>
    </row>
    <row r="6637" spans="1:8" x14ac:dyDescent="0.2">
      <c r="A6637" s="2" t="s">
        <v>3260</v>
      </c>
      <c r="B6637" s="2" t="s">
        <v>2959</v>
      </c>
      <c r="C6637" s="2">
        <v>907.52760000000001</v>
      </c>
      <c r="D6637" s="2">
        <f>HYPERLINK("http://mcb-m6.bioreg.kyushu-u.ac.jp/M3/20110502/F51168/2628/1", 91.57)</f>
        <v>91.57</v>
      </c>
      <c r="E6637" s="2">
        <v>74.12</v>
      </c>
      <c r="F6637" s="2">
        <v>2</v>
      </c>
      <c r="G6637" s="2" t="s">
        <v>13</v>
      </c>
    </row>
    <row r="6638" spans="1:8" x14ac:dyDescent="0.2">
      <c r="A6638" s="2" t="s">
        <v>3260</v>
      </c>
      <c r="B6638" s="2" t="s">
        <v>2959</v>
      </c>
      <c r="C6638" s="2">
        <v>907.53859999999997</v>
      </c>
      <c r="D6638" s="2">
        <f>HYPERLINK("http://mcb-m6.bioreg.kyushu-u.ac.jp/M3/20110502/F51177/2779/1", 61.48)</f>
        <v>61.48</v>
      </c>
      <c r="E6638" s="2">
        <v>49.86</v>
      </c>
      <c r="F6638" s="2">
        <v>2</v>
      </c>
      <c r="G6638" s="2" t="s">
        <v>14</v>
      </c>
    </row>
    <row r="6639" spans="1:8" x14ac:dyDescent="0.2">
      <c r="A6639" s="2" t="s">
        <v>3626</v>
      </c>
      <c r="B6639" s="2" t="s">
        <v>538</v>
      </c>
      <c r="C6639" s="2">
        <v>745.84559999999999</v>
      </c>
      <c r="D6639" s="2">
        <f>HYPERLINK("http://mcb-m6.bioreg.kyushu-u.ac.jp/M3/20110411/F50889/2268/1", 44.21)</f>
        <v>44.21</v>
      </c>
      <c r="E6639" s="2">
        <v>17.350000000000001</v>
      </c>
      <c r="F6639" s="2">
        <v>2</v>
      </c>
      <c r="G6639" s="2" t="s">
        <v>9</v>
      </c>
    </row>
    <row r="6640" spans="1:8" x14ac:dyDescent="0.2">
      <c r="A6640" s="2" t="s">
        <v>3626</v>
      </c>
      <c r="B6640" s="2" t="s">
        <v>801</v>
      </c>
      <c r="C6640" s="2">
        <v>467.21359999999999</v>
      </c>
      <c r="D6640" s="2">
        <f>HYPERLINK("http://mcb-m6.bioreg.kyushu-u.ac.jp/M3/20110411/F50890/969/1", 51.73)</f>
        <v>51.73</v>
      </c>
      <c r="E6640" s="2">
        <v>21.1</v>
      </c>
      <c r="F6640" s="2">
        <v>2</v>
      </c>
      <c r="G6640" s="2" t="s">
        <v>9</v>
      </c>
    </row>
    <row r="6641" spans="1:8" x14ac:dyDescent="0.2">
      <c r="A6641" s="2" t="s">
        <v>3626</v>
      </c>
      <c r="B6641" s="2" t="s">
        <v>801</v>
      </c>
      <c r="C6641" s="2">
        <v>466.93560000000002</v>
      </c>
      <c r="D6641" s="2">
        <f>HYPERLINK("http://mcb-m6.bioreg.kyushu-u.ac.jp/M3/20110411/F50889/1383/1", 52.23)</f>
        <v>52.23</v>
      </c>
      <c r="E6641" s="2">
        <v>26.72</v>
      </c>
      <c r="F6641" s="2">
        <v>2</v>
      </c>
      <c r="G6641" s="2" t="s">
        <v>9</v>
      </c>
    </row>
    <row r="6642" spans="1:8" x14ac:dyDescent="0.2">
      <c r="A6642" s="2" t="s">
        <v>3626</v>
      </c>
      <c r="B6642" s="2" t="s">
        <v>968</v>
      </c>
      <c r="C6642" s="2">
        <v>559.56020000000001</v>
      </c>
      <c r="D6642" s="2">
        <f>HYPERLINK("http://mcb-m6.bioreg.kyushu-u.ac.jp/M3/20110411/F50889/1733/1", 57.18)</f>
        <v>57.18</v>
      </c>
      <c r="E6642" s="2">
        <v>32.020000000000003</v>
      </c>
      <c r="F6642" s="2">
        <v>2</v>
      </c>
      <c r="G6642" s="2" t="s">
        <v>9</v>
      </c>
    </row>
    <row r="6643" spans="1:8" x14ac:dyDescent="0.2">
      <c r="A6643" s="2" t="s">
        <v>3626</v>
      </c>
      <c r="B6643" s="2" t="s">
        <v>538</v>
      </c>
      <c r="C6643" s="2">
        <v>745.65060000000005</v>
      </c>
      <c r="D6643" s="2">
        <f>HYPERLINK("http://mcb-m6.bioreg.kyushu-u.ac.jp/M3/20110411/F50890/2223/1", 57.31)</f>
        <v>57.31</v>
      </c>
      <c r="E6643" s="2">
        <v>36.24</v>
      </c>
      <c r="F6643" s="2">
        <v>2</v>
      </c>
      <c r="G6643" s="2" t="s">
        <v>9</v>
      </c>
    </row>
    <row r="6644" spans="1:8" x14ac:dyDescent="0.2">
      <c r="A6644" s="2" t="s">
        <v>3626</v>
      </c>
      <c r="B6644" s="2" t="s">
        <v>801</v>
      </c>
      <c r="C6644" s="2">
        <v>474.7371</v>
      </c>
      <c r="D6644" s="2">
        <f>HYPERLINK("http://mcb-m6.bioreg.kyushu-u.ac.jp/M3/20110411/F50890/1003/1", 57.45)</f>
        <v>57.45</v>
      </c>
      <c r="E6644" s="2">
        <v>20.72</v>
      </c>
      <c r="F6644" s="2">
        <v>2</v>
      </c>
      <c r="G6644" s="2" t="s">
        <v>9</v>
      </c>
      <c r="H6644" s="2" t="s">
        <v>4917</v>
      </c>
    </row>
    <row r="6645" spans="1:8" x14ac:dyDescent="0.2">
      <c r="A6645" s="2" t="s">
        <v>3626</v>
      </c>
      <c r="B6645" s="2" t="s">
        <v>1488</v>
      </c>
      <c r="C6645" s="2">
        <v>876.98720000000003</v>
      </c>
      <c r="D6645" s="2">
        <f>HYPERLINK("http://mcb-m6.bioreg.kyushu-u.ac.jp/M3/20110411/F50889/2611/1", 85.96)</f>
        <v>85.96</v>
      </c>
      <c r="E6645" s="2">
        <v>64.77</v>
      </c>
      <c r="F6645" s="2">
        <v>2</v>
      </c>
      <c r="G6645" s="2" t="s">
        <v>9</v>
      </c>
    </row>
    <row r="6646" spans="1:8" x14ac:dyDescent="0.2">
      <c r="A6646" s="2" t="s">
        <v>3626</v>
      </c>
      <c r="B6646" s="2" t="s">
        <v>1518</v>
      </c>
      <c r="C6646" s="2">
        <v>955.37620000000004</v>
      </c>
      <c r="D6646" s="2">
        <f>HYPERLINK("http://mcb-m6.bioreg.kyushu-u.ac.jp/M3/20110411/F50889/2799/1", 87.79)</f>
        <v>87.79</v>
      </c>
      <c r="E6646" s="2">
        <v>76.81</v>
      </c>
      <c r="F6646" s="2">
        <v>2</v>
      </c>
      <c r="G6646" s="2" t="s">
        <v>9</v>
      </c>
    </row>
    <row r="6647" spans="1:8" x14ac:dyDescent="0.2">
      <c r="A6647" s="2" t="s">
        <v>3626</v>
      </c>
      <c r="B6647" s="2" t="s">
        <v>1488</v>
      </c>
      <c r="C6647" s="2">
        <v>876.92570000000001</v>
      </c>
      <c r="D6647" s="2">
        <f>HYPERLINK("http://mcb-m6.bioreg.kyushu-u.ac.jp/M3/20110411/F50890/2862/1", 101.21)</f>
        <v>101.21</v>
      </c>
      <c r="E6647" s="2">
        <v>79.62</v>
      </c>
      <c r="F6647" s="2">
        <v>2</v>
      </c>
      <c r="G6647" s="2" t="s">
        <v>9</v>
      </c>
    </row>
    <row r="6648" spans="1:8" x14ac:dyDescent="0.2">
      <c r="A6648" s="2" t="s">
        <v>3626</v>
      </c>
      <c r="B6648" s="2" t="s">
        <v>968</v>
      </c>
      <c r="C6648" s="2">
        <v>559.53120000000001</v>
      </c>
      <c r="D6648" s="2">
        <f>HYPERLINK("http://mcb-m6.bioreg.kyushu-u.ac.jp/M3/20110411/F50897/1211/1", 49.52)</f>
        <v>49.52</v>
      </c>
      <c r="E6648" s="2">
        <v>17.34</v>
      </c>
      <c r="F6648" s="2">
        <v>2</v>
      </c>
      <c r="G6648" s="2" t="s">
        <v>10</v>
      </c>
    </row>
    <row r="6649" spans="1:8" x14ac:dyDescent="0.2">
      <c r="A6649" s="2" t="s">
        <v>3626</v>
      </c>
      <c r="B6649" s="2" t="s">
        <v>801</v>
      </c>
      <c r="C6649" s="2">
        <v>474.7876</v>
      </c>
      <c r="D6649" s="2">
        <f>HYPERLINK("http://mcb-m6.bioreg.kyushu-u.ac.jp/M3/20110411/F50897/878/1", 51.93)</f>
        <v>51.93</v>
      </c>
      <c r="E6649" s="2">
        <v>18.23</v>
      </c>
      <c r="F6649" s="2">
        <v>2</v>
      </c>
      <c r="G6649" s="2" t="s">
        <v>10</v>
      </c>
      <c r="H6649" s="2" t="s">
        <v>4917</v>
      </c>
    </row>
    <row r="6650" spans="1:8" x14ac:dyDescent="0.2">
      <c r="A6650" s="2" t="s">
        <v>3626</v>
      </c>
      <c r="B6650" s="2" t="s">
        <v>538</v>
      </c>
      <c r="C6650" s="2">
        <v>745.6567</v>
      </c>
      <c r="D6650" s="2">
        <f>HYPERLINK("http://mcb-m6.bioreg.kyushu-u.ac.jp/M3/20110411/F50897/2010/1", 52.43)</f>
        <v>52.43</v>
      </c>
      <c r="E6650" s="2">
        <v>26.39</v>
      </c>
      <c r="F6650" s="2">
        <v>2</v>
      </c>
      <c r="G6650" s="2" t="s">
        <v>10</v>
      </c>
    </row>
    <row r="6651" spans="1:8" x14ac:dyDescent="0.2">
      <c r="A6651" s="2" t="s">
        <v>3626</v>
      </c>
      <c r="B6651" s="2" t="s">
        <v>1518</v>
      </c>
      <c r="C6651" s="2">
        <v>637.36109999999996</v>
      </c>
      <c r="D6651" s="2">
        <f>HYPERLINK("http://mcb-m6.bioreg.kyushu-u.ac.jp/M3/20110411/F50897/3003/1", 55.74)</f>
        <v>55.74</v>
      </c>
      <c r="E6651" s="2">
        <v>38.74</v>
      </c>
      <c r="F6651" s="2">
        <v>3</v>
      </c>
      <c r="G6651" s="2" t="s">
        <v>10</v>
      </c>
    </row>
    <row r="6652" spans="1:8" x14ac:dyDescent="0.2">
      <c r="A6652" s="2" t="s">
        <v>3626</v>
      </c>
      <c r="B6652" s="2" t="s">
        <v>1984</v>
      </c>
      <c r="C6652" s="2">
        <v>863.83920000000001</v>
      </c>
      <c r="D6652" s="2">
        <f>HYPERLINK("http://mcb-m6.bioreg.kyushu-u.ac.jp/M3/20110411/F50897/2592/1", 56.73)</f>
        <v>56.73</v>
      </c>
      <c r="E6652" s="2">
        <v>46.34</v>
      </c>
      <c r="F6652" s="2">
        <v>2</v>
      </c>
      <c r="G6652" s="2" t="s">
        <v>10</v>
      </c>
    </row>
    <row r="6653" spans="1:8" x14ac:dyDescent="0.2">
      <c r="A6653" s="2" t="s">
        <v>3626</v>
      </c>
      <c r="B6653" s="2" t="s">
        <v>1518</v>
      </c>
      <c r="C6653" s="2">
        <v>955.54719999999998</v>
      </c>
      <c r="D6653" s="2">
        <f>HYPERLINK("http://mcb-m6.bioreg.kyushu-u.ac.jp/M3/20110411/F50897/3004/1", 62.31)</f>
        <v>62.31</v>
      </c>
      <c r="E6653" s="2">
        <v>36.57</v>
      </c>
      <c r="F6653" s="2">
        <v>2</v>
      </c>
      <c r="G6653" s="2" t="s">
        <v>10</v>
      </c>
    </row>
    <row r="6654" spans="1:8" x14ac:dyDescent="0.2">
      <c r="A6654" s="2" t="s">
        <v>3626</v>
      </c>
      <c r="B6654" s="2" t="s">
        <v>1518</v>
      </c>
      <c r="C6654" s="2">
        <v>955.20370000000003</v>
      </c>
      <c r="D6654" s="2">
        <f>HYPERLINK("http://mcb-m6.bioreg.kyushu-u.ac.jp/M3/20110411/F50897/3001/1", 65.72)</f>
        <v>65.72</v>
      </c>
      <c r="E6654" s="2">
        <v>48.57</v>
      </c>
      <c r="F6654" s="2">
        <v>2</v>
      </c>
      <c r="G6654" s="2" t="s">
        <v>10</v>
      </c>
    </row>
    <row r="6655" spans="1:8" x14ac:dyDescent="0.2">
      <c r="A6655" s="2" t="s">
        <v>3626</v>
      </c>
      <c r="B6655" s="2" t="s">
        <v>1488</v>
      </c>
      <c r="C6655" s="2">
        <v>877.05319999999995</v>
      </c>
      <c r="D6655" s="2">
        <f>HYPERLINK("http://mcb-m6.bioreg.kyushu-u.ac.jp/M3/20110411/F50897/2663/1", 121.52)</f>
        <v>121.52</v>
      </c>
      <c r="E6655" s="2">
        <v>99.89</v>
      </c>
      <c r="F6655" s="2">
        <v>2</v>
      </c>
      <c r="G6655" s="2" t="s">
        <v>10</v>
      </c>
    </row>
    <row r="6656" spans="1:8" x14ac:dyDescent="0.2">
      <c r="A6656" s="2" t="s">
        <v>3626</v>
      </c>
      <c r="B6656" s="2" t="s">
        <v>1518</v>
      </c>
      <c r="C6656" s="2">
        <v>637.05179999999996</v>
      </c>
      <c r="D6656" s="2">
        <f>HYPERLINK("http://mcb-m6.bioreg.kyushu-u.ac.jp/M3/20110414/F50927/3040/1", 36.95)</f>
        <v>36.950000000000003</v>
      </c>
      <c r="E6656" s="2">
        <v>22.5</v>
      </c>
      <c r="F6656" s="2">
        <v>3</v>
      </c>
      <c r="G6656" s="2" t="s">
        <v>11</v>
      </c>
    </row>
    <row r="6657" spans="1:9" x14ac:dyDescent="0.2">
      <c r="A6657" s="2" t="s">
        <v>3626</v>
      </c>
      <c r="B6657" s="2" t="s">
        <v>538</v>
      </c>
      <c r="C6657" s="2">
        <v>745.14009999999996</v>
      </c>
      <c r="D6657" s="2">
        <f>HYPERLINK("http://mcb-m6.bioreg.kyushu-u.ac.jp/M3/20110414/F50927/2328/1", 53.1)</f>
        <v>53.1</v>
      </c>
      <c r="E6657" s="2">
        <v>32.29</v>
      </c>
      <c r="F6657" s="2">
        <v>2</v>
      </c>
      <c r="G6657" s="2" t="s">
        <v>11</v>
      </c>
    </row>
    <row r="6658" spans="1:9" x14ac:dyDescent="0.2">
      <c r="A6658" s="2" t="s">
        <v>3626</v>
      </c>
      <c r="B6658" s="2" t="s">
        <v>1518</v>
      </c>
      <c r="C6658" s="2">
        <v>955.11469999999997</v>
      </c>
      <c r="D6658" s="2">
        <f>HYPERLINK("http://mcb-m6.bioreg.kyushu-u.ac.jp/M3/20110414/F50928/3179/1", 56.29)</f>
        <v>56.29</v>
      </c>
      <c r="E6658" s="2">
        <v>42.07</v>
      </c>
      <c r="F6658" s="2">
        <v>2</v>
      </c>
      <c r="G6658" s="2" t="s">
        <v>11</v>
      </c>
    </row>
    <row r="6659" spans="1:9" x14ac:dyDescent="0.2">
      <c r="A6659" s="2" t="s">
        <v>3626</v>
      </c>
      <c r="B6659" s="2" t="s">
        <v>1488</v>
      </c>
      <c r="C6659" s="2">
        <v>877.00369999999998</v>
      </c>
      <c r="D6659" s="2">
        <f>HYPERLINK("http://mcb-m6.bioreg.kyushu-u.ac.jp/M3/20110414/F50928/2868/1", 74.44)</f>
        <v>74.44</v>
      </c>
      <c r="E6659" s="2">
        <v>49.13</v>
      </c>
      <c r="F6659" s="2">
        <v>2</v>
      </c>
      <c r="G6659" s="2" t="s">
        <v>11</v>
      </c>
    </row>
    <row r="6660" spans="1:9" x14ac:dyDescent="0.2">
      <c r="A6660" s="2" t="s">
        <v>3626</v>
      </c>
      <c r="B6660" s="2" t="s">
        <v>1488</v>
      </c>
      <c r="C6660" s="2">
        <v>876.86969999999997</v>
      </c>
      <c r="D6660" s="2">
        <f>HYPERLINK("http://mcb-m6.bioreg.kyushu-u.ac.jp/M3/20110414/F50927/2818/1", 75.72)</f>
        <v>75.72</v>
      </c>
      <c r="E6660" s="2">
        <v>51.44</v>
      </c>
      <c r="F6660" s="2">
        <v>2</v>
      </c>
      <c r="G6660" s="2" t="s">
        <v>11</v>
      </c>
    </row>
    <row r="6661" spans="1:9" x14ac:dyDescent="0.2">
      <c r="A6661" s="2" t="s">
        <v>3626</v>
      </c>
      <c r="B6661" s="2" t="s">
        <v>2486</v>
      </c>
      <c r="C6661" s="2">
        <v>873.23910000000001</v>
      </c>
      <c r="D6661" s="2">
        <f>HYPERLINK("http://mcb-m6.bioreg.kyushu-u.ac.jp/M3/20110414/F50927/2806/1", 79.04)</f>
        <v>79.040000000000006</v>
      </c>
      <c r="E6661" s="2">
        <v>55.77</v>
      </c>
      <c r="F6661" s="2">
        <v>2</v>
      </c>
      <c r="G6661" s="2" t="s">
        <v>11</v>
      </c>
    </row>
    <row r="6662" spans="1:9" x14ac:dyDescent="0.2">
      <c r="A6662" s="2" t="s">
        <v>3626</v>
      </c>
      <c r="B6662" s="2" t="s">
        <v>538</v>
      </c>
      <c r="C6662" s="2">
        <v>745.35019999999997</v>
      </c>
      <c r="D6662" s="2">
        <f>HYPERLINK("http://mcb-m6.bioreg.kyushu-u.ac.jp/M3/20110414/F50932/2331/1", 49.33)</f>
        <v>49.33</v>
      </c>
      <c r="E6662" s="2">
        <v>28.49</v>
      </c>
      <c r="F6662" s="2">
        <v>2</v>
      </c>
      <c r="G6662" s="2" t="s">
        <v>12</v>
      </c>
    </row>
    <row r="6663" spans="1:9" x14ac:dyDescent="0.2">
      <c r="A6663" s="2" t="s">
        <v>3626</v>
      </c>
      <c r="B6663" s="2" t="s">
        <v>801</v>
      </c>
      <c r="C6663" s="2">
        <v>474.55459999999999</v>
      </c>
      <c r="D6663" s="2">
        <f>HYPERLINK("http://mcb-m6.bioreg.kyushu-u.ac.jp/M3/20110414/F50932/1603/1", 53.1)</f>
        <v>53.1</v>
      </c>
      <c r="E6663" s="2">
        <v>19.93</v>
      </c>
      <c r="F6663" s="2">
        <v>2</v>
      </c>
      <c r="G6663" s="2" t="s">
        <v>12</v>
      </c>
      <c r="H6663" s="2" t="s">
        <v>4917</v>
      </c>
    </row>
    <row r="6664" spans="1:9" x14ac:dyDescent="0.2">
      <c r="A6664" s="2" t="s">
        <v>3626</v>
      </c>
      <c r="B6664" s="2" t="s">
        <v>1488</v>
      </c>
      <c r="C6664" s="2">
        <v>876.94169999999997</v>
      </c>
      <c r="D6664" s="2">
        <f>HYPERLINK("http://mcb-m6.bioreg.kyushu-u.ac.jp/M3/20110414/F50932/2641/1", 85.29)</f>
        <v>85.29</v>
      </c>
      <c r="E6664" s="2">
        <v>68.739999999999995</v>
      </c>
      <c r="F6664" s="2">
        <v>2</v>
      </c>
      <c r="G6664" s="2" t="s">
        <v>12</v>
      </c>
    </row>
    <row r="6665" spans="1:9" x14ac:dyDescent="0.2">
      <c r="A6665" s="2" t="s">
        <v>3626</v>
      </c>
      <c r="B6665" s="2" t="s">
        <v>2486</v>
      </c>
      <c r="C6665" s="2">
        <v>873.23469999999998</v>
      </c>
      <c r="D6665" s="2">
        <f>HYPERLINK("http://mcb-m6.bioreg.kyushu-u.ac.jp/M3/20110414/F50932/2631/1", 88.09)</f>
        <v>88.09</v>
      </c>
      <c r="E6665" s="2">
        <v>75.31</v>
      </c>
      <c r="F6665" s="2">
        <v>2</v>
      </c>
      <c r="G6665" s="2" t="s">
        <v>12</v>
      </c>
    </row>
    <row r="6666" spans="1:9" x14ac:dyDescent="0.2">
      <c r="A6666" s="2" t="s">
        <v>3626</v>
      </c>
      <c r="B6666" s="2" t="s">
        <v>538</v>
      </c>
      <c r="C6666" s="2">
        <v>745.65620000000001</v>
      </c>
      <c r="D6666" s="2">
        <f>HYPERLINK("http://mcb-m6.bioreg.kyushu-u.ac.jp/M3/20110502/F51168/2065/1", 41.9)</f>
        <v>41.9</v>
      </c>
      <c r="E6666" s="2">
        <v>12.53</v>
      </c>
      <c r="F6666" s="2">
        <v>2</v>
      </c>
      <c r="G6666" s="2" t="s">
        <v>13</v>
      </c>
    </row>
    <row r="6667" spans="1:9" x14ac:dyDescent="0.2">
      <c r="A6667" s="2" t="s">
        <v>3626</v>
      </c>
      <c r="B6667" s="2" t="s">
        <v>801</v>
      </c>
      <c r="C6667" s="2">
        <v>474.94060000000002</v>
      </c>
      <c r="D6667" s="2">
        <f>HYPERLINK("http://mcb-m6.bioreg.kyushu-u.ac.jp/M3/20110502/F51168/1076/1", 53.43)</f>
        <v>53.43</v>
      </c>
      <c r="E6667" s="2">
        <v>18.66</v>
      </c>
      <c r="F6667" s="2">
        <v>2</v>
      </c>
      <c r="G6667" s="2" t="s">
        <v>13</v>
      </c>
      <c r="H6667" s="2" t="s">
        <v>4917</v>
      </c>
    </row>
    <row r="6668" spans="1:9" x14ac:dyDescent="0.2">
      <c r="A6668" s="2" t="s">
        <v>3626</v>
      </c>
      <c r="B6668" s="2" t="s">
        <v>1488</v>
      </c>
      <c r="C6668" s="2">
        <v>877.08920000000001</v>
      </c>
      <c r="D6668" s="2">
        <f>HYPERLINK("http://mcb-m6.bioreg.kyushu-u.ac.jp/M3/20110502/F51168/2536/1", 90.82)</f>
        <v>90.82</v>
      </c>
      <c r="E6668" s="2">
        <v>74.98</v>
      </c>
      <c r="F6668" s="2">
        <v>2</v>
      </c>
      <c r="G6668" s="2" t="s">
        <v>13</v>
      </c>
    </row>
    <row r="6669" spans="1:9" x14ac:dyDescent="0.2">
      <c r="A6669" s="2" t="s">
        <v>3626</v>
      </c>
      <c r="B6669" s="2" t="s">
        <v>1488</v>
      </c>
      <c r="C6669" s="2">
        <v>877.37919999999997</v>
      </c>
      <c r="D6669" s="2">
        <f>HYPERLINK("http://mcb-m6.bioreg.kyushu-u.ac.jp/M3/20110502/F51177/2626/1", 76.15)</f>
        <v>76.150000000000006</v>
      </c>
      <c r="E6669" s="2">
        <v>57.18</v>
      </c>
      <c r="F6669" s="2">
        <v>2</v>
      </c>
      <c r="G6669" s="2" t="s">
        <v>14</v>
      </c>
    </row>
    <row r="6670" spans="1:9" x14ac:dyDescent="0.2">
      <c r="A6670" s="2" t="s">
        <v>3663</v>
      </c>
      <c r="B6670" s="2" t="s">
        <v>598</v>
      </c>
      <c r="C6670" s="2">
        <v>479.79660000000001</v>
      </c>
      <c r="D6670" s="2">
        <f>HYPERLINK("http://mcb-m6.bioreg.kyushu-u.ac.jp/M3/20110411/F50889/1442/1", 45.94)</f>
        <v>45.94</v>
      </c>
      <c r="E6670" s="2">
        <v>14.85</v>
      </c>
      <c r="F6670" s="2">
        <v>2</v>
      </c>
      <c r="G6670" s="2" t="s">
        <v>9</v>
      </c>
    </row>
    <row r="6671" spans="1:9" x14ac:dyDescent="0.2">
      <c r="A6671" s="2" t="s">
        <v>3663</v>
      </c>
      <c r="B6671" s="2" t="s">
        <v>656</v>
      </c>
      <c r="C6671" s="2">
        <v>532.73770000000002</v>
      </c>
      <c r="D6671" s="2">
        <f>HYPERLINK("http://mcb-m6.bioreg.kyushu-u.ac.jp/M3/20110411/F50889/1654/1", 47.48)</f>
        <v>47.48</v>
      </c>
      <c r="E6671" s="2">
        <v>31.58</v>
      </c>
      <c r="F6671" s="2">
        <v>2</v>
      </c>
      <c r="G6671" s="2" t="s">
        <v>9</v>
      </c>
      <c r="I6671" s="2" t="s">
        <v>4923</v>
      </c>
    </row>
    <row r="6672" spans="1:9" x14ac:dyDescent="0.2">
      <c r="A6672" s="2" t="s">
        <v>3663</v>
      </c>
      <c r="B6672" s="2" t="s">
        <v>1390</v>
      </c>
      <c r="C6672" s="2">
        <v>710.90920000000006</v>
      </c>
      <c r="D6672" s="2">
        <f>HYPERLINK("http://mcb-m6.bioreg.kyushu-u.ac.jp/M3/20110411/F50890/2012/1", 77.46)</f>
        <v>77.459999999999994</v>
      </c>
      <c r="E6672" s="2">
        <v>61.48</v>
      </c>
      <c r="F6672" s="2">
        <v>2</v>
      </c>
      <c r="G6672" s="2" t="s">
        <v>9</v>
      </c>
    </row>
    <row r="6673" spans="1:9" x14ac:dyDescent="0.2">
      <c r="A6673" s="2" t="s">
        <v>3663</v>
      </c>
      <c r="B6673" s="2" t="s">
        <v>1390</v>
      </c>
      <c r="C6673" s="2">
        <v>710.86569999999995</v>
      </c>
      <c r="D6673" s="2">
        <f>HYPERLINK("http://mcb-m6.bioreg.kyushu-u.ac.jp/M3/20110411/F50889/2151/1", 82.66)</f>
        <v>82.66</v>
      </c>
      <c r="E6673" s="2">
        <v>60.33</v>
      </c>
      <c r="F6673" s="2">
        <v>2</v>
      </c>
      <c r="G6673" s="2" t="s">
        <v>9</v>
      </c>
    </row>
    <row r="6674" spans="1:9" x14ac:dyDescent="0.2">
      <c r="A6674" s="2" t="s">
        <v>3663</v>
      </c>
      <c r="B6674" s="2" t="s">
        <v>1390</v>
      </c>
      <c r="C6674" s="2">
        <v>710.92319999999995</v>
      </c>
      <c r="D6674" s="2">
        <f>HYPERLINK("http://mcb-m6.bioreg.kyushu-u.ac.jp/M3/20110414/F50927/2147/1", 39.88)</f>
        <v>39.880000000000003</v>
      </c>
      <c r="E6674" s="2">
        <v>23.3</v>
      </c>
      <c r="F6674" s="2">
        <v>2</v>
      </c>
      <c r="G6674" s="2" t="s">
        <v>11</v>
      </c>
    </row>
    <row r="6675" spans="1:9" x14ac:dyDescent="0.2">
      <c r="A6675" s="2" t="s">
        <v>3663</v>
      </c>
      <c r="B6675" s="2" t="s">
        <v>656</v>
      </c>
      <c r="C6675" s="2">
        <v>532.76760000000002</v>
      </c>
      <c r="D6675" s="2">
        <f>HYPERLINK("http://mcb-m6.bioreg.kyushu-u.ac.jp/M3/20110414/F50926/1591/1", 41.68)</f>
        <v>41.68</v>
      </c>
      <c r="E6675" s="2">
        <v>24.14</v>
      </c>
      <c r="F6675" s="2">
        <v>2</v>
      </c>
      <c r="G6675" s="2" t="s">
        <v>11</v>
      </c>
      <c r="I6675" s="2" t="s">
        <v>4923</v>
      </c>
    </row>
    <row r="6676" spans="1:9" x14ac:dyDescent="0.2">
      <c r="A6676" s="2" t="s">
        <v>3663</v>
      </c>
      <c r="B6676" s="2" t="s">
        <v>1390</v>
      </c>
      <c r="C6676" s="2">
        <v>711.15620000000001</v>
      </c>
      <c r="D6676" s="2">
        <f>HYPERLINK("http://mcb-m6.bioreg.kyushu-u.ac.jp/M3/20110414/F50926/2101/1", 72.46)</f>
        <v>72.459999999999994</v>
      </c>
      <c r="E6676" s="2">
        <v>53.59</v>
      </c>
      <c r="F6676" s="2">
        <v>2</v>
      </c>
      <c r="G6676" s="2" t="s">
        <v>11</v>
      </c>
    </row>
    <row r="6677" spans="1:9" x14ac:dyDescent="0.2">
      <c r="A6677" s="2" t="s">
        <v>3663</v>
      </c>
      <c r="B6677" s="2" t="s">
        <v>656</v>
      </c>
      <c r="C6677" s="2">
        <v>532.52369999999996</v>
      </c>
      <c r="D6677" s="2">
        <f>HYPERLINK("http://mcb-m6.bioreg.kyushu-u.ac.jp/M3/20110502/F51167/1554/1", 40.8)</f>
        <v>40.799999999999997</v>
      </c>
      <c r="E6677" s="2">
        <v>24.28</v>
      </c>
      <c r="F6677" s="2">
        <v>2</v>
      </c>
      <c r="G6677" s="2" t="s">
        <v>13</v>
      </c>
      <c r="I6677" s="2" t="s">
        <v>4923</v>
      </c>
    </row>
    <row r="6678" spans="1:9" x14ac:dyDescent="0.2">
      <c r="A6678" s="2" t="s">
        <v>3390</v>
      </c>
      <c r="B6678" s="2" t="s">
        <v>183</v>
      </c>
      <c r="C6678" s="2">
        <v>812.64260000000002</v>
      </c>
      <c r="D6678" s="2">
        <f>HYPERLINK("http://mcb-m6.bioreg.kyushu-u.ac.jp/M3/20110411/F50892/2528/1", 37.34)</f>
        <v>37.340000000000003</v>
      </c>
      <c r="E6678" s="2">
        <v>23.47</v>
      </c>
      <c r="F6678" s="2">
        <v>2</v>
      </c>
      <c r="G6678" s="2" t="s">
        <v>9</v>
      </c>
    </row>
    <row r="6679" spans="1:9" x14ac:dyDescent="0.2">
      <c r="A6679" s="2" t="s">
        <v>3390</v>
      </c>
      <c r="B6679" s="2" t="s">
        <v>680</v>
      </c>
      <c r="C6679" s="2">
        <v>747.39170000000001</v>
      </c>
      <c r="D6679" s="2">
        <f>HYPERLINK("http://mcb-m6.bioreg.kyushu-u.ac.jp/M3/20110411/F50892/2251/1", 48.01)</f>
        <v>48.01</v>
      </c>
      <c r="E6679" s="2">
        <v>31.8</v>
      </c>
      <c r="F6679" s="2">
        <v>2</v>
      </c>
      <c r="G6679" s="2" t="s">
        <v>9</v>
      </c>
    </row>
    <row r="6680" spans="1:9" x14ac:dyDescent="0.2">
      <c r="A6680" s="2" t="s">
        <v>3390</v>
      </c>
      <c r="B6680" s="2" t="s">
        <v>1435</v>
      </c>
      <c r="C6680" s="2">
        <v>857.45669999999996</v>
      </c>
      <c r="D6680" s="2">
        <f>HYPERLINK("http://mcb-m6.bioreg.kyushu-u.ac.jp/M3/20110411/F50892/2682/1", 80.15)</f>
        <v>80.150000000000006</v>
      </c>
      <c r="E6680" s="2">
        <v>58.15</v>
      </c>
      <c r="F6680" s="2">
        <v>2</v>
      </c>
      <c r="G6680" s="2" t="s">
        <v>9</v>
      </c>
    </row>
    <row r="6681" spans="1:9" x14ac:dyDescent="0.2">
      <c r="A6681" s="2" t="s">
        <v>3390</v>
      </c>
      <c r="B6681" s="2" t="s">
        <v>1506</v>
      </c>
      <c r="C6681" s="2">
        <v>853.01670000000001</v>
      </c>
      <c r="D6681" s="2">
        <f>HYPERLINK("http://mcb-m6.bioreg.kyushu-u.ac.jp/M3/20110411/F50892/2664/1", 86.92)</f>
        <v>86.92</v>
      </c>
      <c r="E6681" s="2">
        <v>65.77</v>
      </c>
      <c r="F6681" s="2">
        <v>2</v>
      </c>
      <c r="G6681" s="2" t="s">
        <v>9</v>
      </c>
    </row>
    <row r="6682" spans="1:9" x14ac:dyDescent="0.2">
      <c r="A6682" s="2" t="s">
        <v>3390</v>
      </c>
      <c r="B6682" s="2" t="s">
        <v>1624</v>
      </c>
      <c r="C6682" s="2">
        <v>793.31669999999997</v>
      </c>
      <c r="D6682" s="2">
        <f>HYPERLINK("http://mcb-m6.bioreg.kyushu-u.ac.jp/M3/20110411/F50892/2468/1", 102.91)</f>
        <v>102.91</v>
      </c>
      <c r="E6682" s="2">
        <v>86.05</v>
      </c>
      <c r="F6682" s="2">
        <v>2</v>
      </c>
      <c r="G6682" s="2" t="s">
        <v>9</v>
      </c>
    </row>
    <row r="6683" spans="1:9" x14ac:dyDescent="0.2">
      <c r="A6683" s="2" t="s">
        <v>3390</v>
      </c>
      <c r="B6683" s="2" t="s">
        <v>183</v>
      </c>
      <c r="C6683" s="2">
        <v>812.87270000000001</v>
      </c>
      <c r="D6683" s="2">
        <f>HYPERLINK("http://mcb-m6.bioreg.kyushu-u.ac.jp/M3/20110411/F50899/2490/1", 39.94)</f>
        <v>39.94</v>
      </c>
      <c r="E6683" s="2">
        <v>18.88</v>
      </c>
      <c r="F6683" s="2">
        <v>2</v>
      </c>
      <c r="G6683" s="2" t="s">
        <v>10</v>
      </c>
    </row>
    <row r="6684" spans="1:9" x14ac:dyDescent="0.2">
      <c r="A6684" s="2" t="s">
        <v>3390</v>
      </c>
      <c r="B6684" s="2" t="s">
        <v>1506</v>
      </c>
      <c r="C6684" s="2">
        <v>853.12159999999994</v>
      </c>
      <c r="D6684" s="2">
        <f>HYPERLINK("http://mcb-m6.bioreg.kyushu-u.ac.jp/M3/20110414/F50934/2628/1", 59.63)</f>
        <v>59.63</v>
      </c>
      <c r="E6684" s="2">
        <v>47</v>
      </c>
      <c r="F6684" s="2">
        <v>2</v>
      </c>
      <c r="G6684" s="2" t="s">
        <v>12</v>
      </c>
    </row>
    <row r="6685" spans="1:9" x14ac:dyDescent="0.2">
      <c r="A6685" s="2" t="s">
        <v>3390</v>
      </c>
      <c r="B6685" s="2" t="s">
        <v>1506</v>
      </c>
      <c r="C6685" s="2">
        <v>853.32709999999997</v>
      </c>
      <c r="D6685" s="2">
        <f>HYPERLINK("http://mcb-m6.bioreg.kyushu-u.ac.jp/M3/20110502/F51182/2533/1", 89.39)</f>
        <v>89.39</v>
      </c>
      <c r="E6685" s="2">
        <v>59.28</v>
      </c>
      <c r="F6685" s="2">
        <v>2</v>
      </c>
      <c r="G6685" s="2" t="s">
        <v>14</v>
      </c>
    </row>
    <row r="6686" spans="1:9" x14ac:dyDescent="0.2">
      <c r="A6686" s="2" t="s">
        <v>3363</v>
      </c>
      <c r="B6686" s="2" t="s">
        <v>155</v>
      </c>
      <c r="C6686" s="2">
        <v>465.26010000000002</v>
      </c>
      <c r="D6686" s="2">
        <f>HYPERLINK("http://mcb-m6.bioreg.kyushu-u.ac.jp/M3/20110411/F50892/1187/1", 36.89)</f>
        <v>36.89</v>
      </c>
      <c r="E6686" s="2">
        <v>11.92</v>
      </c>
      <c r="F6686" s="2">
        <v>2</v>
      </c>
      <c r="G6686" s="2" t="s">
        <v>9</v>
      </c>
    </row>
    <row r="6687" spans="1:9" x14ac:dyDescent="0.2">
      <c r="A6687" s="2" t="s">
        <v>3363</v>
      </c>
      <c r="B6687" s="2" t="s">
        <v>826</v>
      </c>
      <c r="C6687" s="2">
        <v>668.90520000000004</v>
      </c>
      <c r="D6687" s="2">
        <f>HYPERLINK("http://mcb-m6.bioreg.kyushu-u.ac.jp/M3/20110411/F50892/1862/1", 52.54)</f>
        <v>52.54</v>
      </c>
      <c r="E6687" s="2">
        <v>31.6</v>
      </c>
      <c r="F6687" s="2">
        <v>2</v>
      </c>
      <c r="G6687" s="2" t="s">
        <v>9</v>
      </c>
    </row>
    <row r="6688" spans="1:9" x14ac:dyDescent="0.2">
      <c r="A6688" s="2" t="s">
        <v>3363</v>
      </c>
      <c r="B6688" s="2" t="s">
        <v>826</v>
      </c>
      <c r="C6688" s="2">
        <v>668.35569999999996</v>
      </c>
      <c r="D6688" s="2">
        <f>HYPERLINK("http://mcb-m6.bioreg.kyushu-u.ac.jp/M3/20110411/F50892/1859/1", 62.81)</f>
        <v>62.81</v>
      </c>
      <c r="E6688" s="2">
        <v>41.11</v>
      </c>
      <c r="F6688" s="2">
        <v>2</v>
      </c>
      <c r="G6688" s="2" t="s">
        <v>9</v>
      </c>
    </row>
    <row r="6689" spans="1:7" x14ac:dyDescent="0.2">
      <c r="A6689" s="2" t="s">
        <v>3363</v>
      </c>
      <c r="B6689" s="2" t="s">
        <v>1228</v>
      </c>
      <c r="C6689" s="2">
        <v>537.88419999999996</v>
      </c>
      <c r="D6689" s="2">
        <f>HYPERLINK("http://mcb-m6.bioreg.kyushu-u.ac.jp/M3/20110411/F50892/1445/1", 68.16)</f>
        <v>68.16</v>
      </c>
      <c r="E6689" s="2">
        <v>36.79</v>
      </c>
      <c r="F6689" s="2">
        <v>2</v>
      </c>
      <c r="G6689" s="2" t="s">
        <v>9</v>
      </c>
    </row>
    <row r="6690" spans="1:7" x14ac:dyDescent="0.2">
      <c r="A6690" s="2" t="s">
        <v>3363</v>
      </c>
      <c r="B6690" s="2" t="s">
        <v>1270</v>
      </c>
      <c r="C6690" s="2">
        <v>591.31709999999998</v>
      </c>
      <c r="D6690" s="2">
        <f>HYPERLINK("http://mcb-m6.bioreg.kyushu-u.ac.jp/M3/20110411/F50892/1610/1", 69.84)</f>
        <v>69.84</v>
      </c>
      <c r="E6690" s="2">
        <v>41.47</v>
      </c>
      <c r="F6690" s="2">
        <v>2</v>
      </c>
      <c r="G6690" s="2" t="s">
        <v>9</v>
      </c>
    </row>
    <row r="6691" spans="1:7" x14ac:dyDescent="0.2">
      <c r="A6691" s="2" t="s">
        <v>3363</v>
      </c>
      <c r="B6691" s="2" t="s">
        <v>1270</v>
      </c>
      <c r="C6691" s="2">
        <v>590.75120000000004</v>
      </c>
      <c r="D6691" s="2">
        <f>HYPERLINK("http://mcb-m6.bioreg.kyushu-u.ac.jp/M3/20110411/F50892/1608/1", 71.18)</f>
        <v>71.180000000000007</v>
      </c>
      <c r="E6691" s="2">
        <v>39.46</v>
      </c>
      <c r="F6691" s="2">
        <v>2</v>
      </c>
      <c r="G6691" s="2" t="s">
        <v>9</v>
      </c>
    </row>
    <row r="6692" spans="1:7" x14ac:dyDescent="0.2">
      <c r="A6692" s="2" t="s">
        <v>3363</v>
      </c>
      <c r="B6692" s="2" t="s">
        <v>1270</v>
      </c>
      <c r="C6692" s="2">
        <v>591.2441</v>
      </c>
      <c r="D6692" s="2">
        <f>HYPERLINK("http://mcb-m6.bioreg.kyushu-u.ac.jp/M3/20110411/F50899/1782/1", 90.01)</f>
        <v>90.01</v>
      </c>
      <c r="E6692" s="2">
        <v>53.56</v>
      </c>
      <c r="F6692" s="2">
        <v>2</v>
      </c>
      <c r="G6692" s="2" t="s">
        <v>10</v>
      </c>
    </row>
    <row r="6693" spans="1:7" x14ac:dyDescent="0.2">
      <c r="A6693" s="2" t="s">
        <v>3363</v>
      </c>
      <c r="B6693" s="2" t="s">
        <v>1270</v>
      </c>
      <c r="C6693" s="2">
        <v>590.82709999999997</v>
      </c>
      <c r="D6693" s="2">
        <f>HYPERLINK("http://mcb-m6.bioreg.kyushu-u.ac.jp/M3/20110414/F50934/1881/1", 76.13)</f>
        <v>76.13</v>
      </c>
      <c r="E6693" s="2">
        <v>42.05</v>
      </c>
      <c r="F6693" s="2">
        <v>2</v>
      </c>
      <c r="G6693" s="2" t="s">
        <v>12</v>
      </c>
    </row>
    <row r="6694" spans="1:7" x14ac:dyDescent="0.2">
      <c r="A6694" s="2" t="s">
        <v>3363</v>
      </c>
      <c r="B6694" s="2" t="s">
        <v>1270</v>
      </c>
      <c r="C6694" s="2">
        <v>591.0992</v>
      </c>
      <c r="D6694" s="2">
        <f>HYPERLINK("http://mcb-m6.bioreg.kyushu-u.ac.jp/M3/20110502/F51180/1060/1", 54.57)</f>
        <v>54.57</v>
      </c>
      <c r="E6694" s="2">
        <v>27.94</v>
      </c>
      <c r="F6694" s="2">
        <v>2</v>
      </c>
      <c r="G6694" s="2" t="s">
        <v>13</v>
      </c>
    </row>
    <row r="6695" spans="1:7" x14ac:dyDescent="0.2">
      <c r="A6695" s="2" t="s">
        <v>3363</v>
      </c>
      <c r="B6695" s="2" t="s">
        <v>1270</v>
      </c>
      <c r="C6695" s="2">
        <v>591.15470000000005</v>
      </c>
      <c r="D6695" s="2">
        <f>HYPERLINK("http://mcb-m6.bioreg.kyushu-u.ac.jp/M3/20110502/F51182/1083/1", 69.59)</f>
        <v>69.59</v>
      </c>
      <c r="E6695" s="2">
        <v>43.61</v>
      </c>
      <c r="F6695" s="2">
        <v>2</v>
      </c>
      <c r="G6695" s="2" t="s">
        <v>14</v>
      </c>
    </row>
    <row r="6696" spans="1:7" x14ac:dyDescent="0.2">
      <c r="A6696" s="2" t="s">
        <v>4027</v>
      </c>
      <c r="B6696" s="2" t="s">
        <v>1342</v>
      </c>
      <c r="C6696" s="2">
        <v>757.59860000000003</v>
      </c>
      <c r="D6696" s="2">
        <f>HYPERLINK("http://mcb-m6.bioreg.kyushu-u.ac.jp/M3/20110411/F50895/2177/1", 74.15)</f>
        <v>74.150000000000006</v>
      </c>
      <c r="E6696" s="2">
        <v>36.869999999999997</v>
      </c>
      <c r="F6696" s="2">
        <v>2</v>
      </c>
      <c r="G6696" s="2" t="s">
        <v>9</v>
      </c>
    </row>
    <row r="6697" spans="1:7" x14ac:dyDescent="0.2">
      <c r="A6697" s="2" t="s">
        <v>4027</v>
      </c>
      <c r="B6697" s="2" t="s">
        <v>1342</v>
      </c>
      <c r="C6697" s="2">
        <v>1513.7840000000001</v>
      </c>
      <c r="D6697" s="2">
        <f>HYPERLINK("http://mcb-m6.bioreg.kyushu-u.ac.jp/M3/20110411/F50915/2003/1", 78.27)</f>
        <v>78.27</v>
      </c>
      <c r="E6697" s="2">
        <v>61.74</v>
      </c>
      <c r="F6697" s="2">
        <v>1</v>
      </c>
      <c r="G6697" s="2" t="s">
        <v>9</v>
      </c>
    </row>
    <row r="6698" spans="1:7" x14ac:dyDescent="0.2">
      <c r="A6698" s="2" t="s">
        <v>4027</v>
      </c>
      <c r="B6698" s="2" t="s">
        <v>1342</v>
      </c>
      <c r="C6698" s="2">
        <v>757.46559999999999</v>
      </c>
      <c r="D6698" s="2">
        <f>HYPERLINK("http://mcb-m6.bioreg.kyushu-u.ac.jp/M3/20110411/F50916/1990/1", 83.98)</f>
        <v>83.98</v>
      </c>
      <c r="E6698" s="2">
        <v>53.32</v>
      </c>
      <c r="F6698" s="2">
        <v>2</v>
      </c>
      <c r="G6698" s="2" t="s">
        <v>9</v>
      </c>
    </row>
    <row r="6699" spans="1:7" x14ac:dyDescent="0.2">
      <c r="A6699" s="2" t="s">
        <v>4027</v>
      </c>
      <c r="B6699" s="2" t="s">
        <v>1342</v>
      </c>
      <c r="C6699" s="2">
        <v>757.43709999999999</v>
      </c>
      <c r="D6699" s="2">
        <f>HYPERLINK("http://mcb-m6.bioreg.kyushu-u.ac.jp/M3/20110411/F50915/2004/1", 98.87)</f>
        <v>98.87</v>
      </c>
      <c r="E6699" s="2">
        <v>73.3</v>
      </c>
      <c r="F6699" s="2">
        <v>2</v>
      </c>
      <c r="G6699" s="2" t="s">
        <v>9</v>
      </c>
    </row>
    <row r="6700" spans="1:7" x14ac:dyDescent="0.2">
      <c r="A6700" s="2" t="s">
        <v>4027</v>
      </c>
      <c r="B6700" s="2" t="s">
        <v>1342</v>
      </c>
      <c r="C6700" s="2">
        <v>757.71619999999996</v>
      </c>
      <c r="D6700" s="2">
        <f>HYPERLINK("http://mcb-m6.bioreg.kyushu-u.ac.jp/M3/20110411/F50918/1970/1", 60.57)</f>
        <v>60.57</v>
      </c>
      <c r="E6700" s="2">
        <v>27.57</v>
      </c>
      <c r="F6700" s="2">
        <v>2</v>
      </c>
      <c r="G6700" s="2" t="s">
        <v>10</v>
      </c>
    </row>
    <row r="6701" spans="1:7" x14ac:dyDescent="0.2">
      <c r="A6701" s="2" t="s">
        <v>4027</v>
      </c>
      <c r="B6701" s="2" t="s">
        <v>1342</v>
      </c>
      <c r="C6701" s="2">
        <v>757.44870000000003</v>
      </c>
      <c r="D6701" s="2">
        <f>HYPERLINK("http://mcb-m6.bioreg.kyushu-u.ac.jp/M3/20110411/F50901/2121/1", 72.35)</f>
        <v>72.349999999999994</v>
      </c>
      <c r="E6701" s="2">
        <v>48.95</v>
      </c>
      <c r="F6701" s="2">
        <v>2</v>
      </c>
      <c r="G6701" s="2" t="s">
        <v>10</v>
      </c>
    </row>
    <row r="6702" spans="1:7" x14ac:dyDescent="0.2">
      <c r="A6702" s="2" t="s">
        <v>4027</v>
      </c>
      <c r="B6702" s="2" t="s">
        <v>1342</v>
      </c>
      <c r="C6702" s="2">
        <v>757.43219999999997</v>
      </c>
      <c r="D6702" s="2">
        <f>HYPERLINK("http://mcb-m6.bioreg.kyushu-u.ac.jp/M3/20110414/F50944/2191/1", 53.71)</f>
        <v>53.71</v>
      </c>
      <c r="E6702" s="2">
        <v>36.090000000000003</v>
      </c>
      <c r="F6702" s="2">
        <v>2</v>
      </c>
      <c r="G6702" s="2" t="s">
        <v>11</v>
      </c>
    </row>
    <row r="6703" spans="1:7" x14ac:dyDescent="0.2">
      <c r="A6703" s="2" t="s">
        <v>4027</v>
      </c>
      <c r="B6703" s="2" t="s">
        <v>1342</v>
      </c>
      <c r="C6703" s="2">
        <v>1513.4580000000001</v>
      </c>
      <c r="D6703" s="2">
        <f>HYPERLINK("http://mcb-m6.bioreg.kyushu-u.ac.jp/M3/20110414/F50956/2045/1", 78.25)</f>
        <v>78.25</v>
      </c>
      <c r="E6703" s="2">
        <v>60.05</v>
      </c>
      <c r="F6703" s="2">
        <v>1</v>
      </c>
      <c r="G6703" s="2" t="s">
        <v>11</v>
      </c>
    </row>
    <row r="6704" spans="1:7" x14ac:dyDescent="0.2">
      <c r="A6704" s="2" t="s">
        <v>4027</v>
      </c>
      <c r="B6704" s="2" t="s">
        <v>1342</v>
      </c>
      <c r="C6704" s="2">
        <v>757.34169999999995</v>
      </c>
      <c r="D6704" s="2">
        <f>HYPERLINK("http://mcb-m6.bioreg.kyushu-u.ac.jp/M3/20110414/F50943/2004/1", 83.3)</f>
        <v>83.3</v>
      </c>
      <c r="E6704" s="2">
        <v>53.23</v>
      </c>
      <c r="F6704" s="2">
        <v>2</v>
      </c>
      <c r="G6704" s="2" t="s">
        <v>11</v>
      </c>
    </row>
    <row r="6705" spans="1:7" x14ac:dyDescent="0.2">
      <c r="A6705" s="2" t="s">
        <v>4027</v>
      </c>
      <c r="B6705" s="2" t="s">
        <v>1342</v>
      </c>
      <c r="C6705" s="2">
        <v>757.59010000000001</v>
      </c>
      <c r="D6705" s="2">
        <f>HYPERLINK("http://mcb-m6.bioreg.kyushu-u.ac.jp/M3/20110414/F50941/2205/1", 85.47)</f>
        <v>85.47</v>
      </c>
      <c r="E6705" s="2">
        <v>52.34</v>
      </c>
      <c r="F6705" s="2">
        <v>2</v>
      </c>
      <c r="G6705" s="2" t="s">
        <v>11</v>
      </c>
    </row>
    <row r="6706" spans="1:7" x14ac:dyDescent="0.2">
      <c r="A6706" s="2" t="s">
        <v>4027</v>
      </c>
      <c r="B6706" s="2" t="s">
        <v>1342</v>
      </c>
      <c r="C6706" s="2">
        <v>757.15520000000004</v>
      </c>
      <c r="D6706" s="2">
        <f>HYPERLINK("http://mcb-m6.bioreg.kyushu-u.ac.jp/M3/20110414/F50956/2042/1", 92.77)</f>
        <v>92.77</v>
      </c>
      <c r="E6706" s="2">
        <v>53.14</v>
      </c>
      <c r="F6706" s="2">
        <v>2</v>
      </c>
      <c r="G6706" s="2" t="s">
        <v>11</v>
      </c>
    </row>
    <row r="6707" spans="1:7" x14ac:dyDescent="0.2">
      <c r="A6707" s="2" t="s">
        <v>4027</v>
      </c>
      <c r="B6707" s="2" t="s">
        <v>1342</v>
      </c>
      <c r="C6707" s="2">
        <v>757.54570000000001</v>
      </c>
      <c r="D6707" s="2">
        <f>HYPERLINK("http://mcb-m6.bioreg.kyushu-u.ac.jp/M3/20110414/F50950/2263/1", 38.42)</f>
        <v>38.42</v>
      </c>
      <c r="E6707" s="2">
        <v>10.52</v>
      </c>
      <c r="F6707" s="2">
        <v>2</v>
      </c>
      <c r="G6707" s="2" t="s">
        <v>12</v>
      </c>
    </row>
    <row r="6708" spans="1:7" x14ac:dyDescent="0.2">
      <c r="A6708" s="2" t="s">
        <v>4027</v>
      </c>
      <c r="B6708" s="2" t="s">
        <v>1342</v>
      </c>
      <c r="C6708" s="2">
        <v>757.27120000000002</v>
      </c>
      <c r="D6708" s="2">
        <f>HYPERLINK("http://mcb-m6.bioreg.kyushu-u.ac.jp/M3/20110414/F50958/2106/1", 46.95)</f>
        <v>46.95</v>
      </c>
      <c r="E6708" s="2">
        <v>32.15</v>
      </c>
      <c r="F6708" s="2">
        <v>2</v>
      </c>
      <c r="G6708" s="2" t="s">
        <v>12</v>
      </c>
    </row>
    <row r="6709" spans="1:7" x14ac:dyDescent="0.2">
      <c r="A6709" s="2" t="s">
        <v>4027</v>
      </c>
      <c r="B6709" s="2" t="s">
        <v>1342</v>
      </c>
      <c r="C6709" s="2">
        <v>757.1241</v>
      </c>
      <c r="D6709" s="2">
        <f>HYPERLINK("http://mcb-m6.bioreg.kyushu-u.ac.jp/M3/20110414/F50948/2196/1", 64.03)</f>
        <v>64.03</v>
      </c>
      <c r="E6709" s="2">
        <v>38.01</v>
      </c>
      <c r="F6709" s="2">
        <v>2</v>
      </c>
      <c r="G6709" s="2" t="s">
        <v>12</v>
      </c>
    </row>
    <row r="6710" spans="1:7" x14ac:dyDescent="0.2">
      <c r="A6710" s="2" t="s">
        <v>4027</v>
      </c>
      <c r="B6710" s="2" t="s">
        <v>1342</v>
      </c>
      <c r="C6710" s="2">
        <v>756.8981</v>
      </c>
      <c r="D6710" s="2">
        <f>HYPERLINK("http://mcb-m6.bioreg.kyushu-u.ac.jp/M3/20110414/F50950/2259/1", 74.99)</f>
        <v>74.989999999999995</v>
      </c>
      <c r="E6710" s="2">
        <v>31.5</v>
      </c>
      <c r="F6710" s="2">
        <v>2</v>
      </c>
      <c r="G6710" s="2" t="s">
        <v>12</v>
      </c>
    </row>
    <row r="6711" spans="1:7" x14ac:dyDescent="0.2">
      <c r="A6711" s="2" t="s">
        <v>4027</v>
      </c>
      <c r="B6711" s="2" t="s">
        <v>1342</v>
      </c>
      <c r="C6711" s="2">
        <v>757.86720000000003</v>
      </c>
      <c r="D6711" s="2">
        <f>HYPERLINK("http://mcb-m6.bioreg.kyushu-u.ac.jp/M3/20110502/F51175/2008/1", 88.97)</f>
        <v>88.97</v>
      </c>
      <c r="E6711" s="2">
        <v>52.5</v>
      </c>
      <c r="F6711" s="2">
        <v>2</v>
      </c>
      <c r="G6711" s="2" t="s">
        <v>13</v>
      </c>
    </row>
    <row r="6712" spans="1:7" x14ac:dyDescent="0.2">
      <c r="A6712" s="2" t="s">
        <v>4027</v>
      </c>
      <c r="B6712" s="2" t="s">
        <v>1342</v>
      </c>
      <c r="C6712" s="2">
        <v>757.64570000000003</v>
      </c>
      <c r="D6712" s="2">
        <f>HYPERLINK("http://mcb-m6.bioreg.kyushu-u.ac.jp/M3/20110502/F51189/1922/1", 93.81)</f>
        <v>93.81</v>
      </c>
      <c r="E6712" s="2">
        <v>64.83</v>
      </c>
      <c r="F6712" s="2">
        <v>2</v>
      </c>
      <c r="G6712" s="2" t="s">
        <v>13</v>
      </c>
    </row>
    <row r="6713" spans="1:7" x14ac:dyDescent="0.2">
      <c r="A6713" s="2" t="s">
        <v>4027</v>
      </c>
      <c r="B6713" s="2" t="s">
        <v>1342</v>
      </c>
      <c r="C6713" s="2">
        <v>757.95209999999997</v>
      </c>
      <c r="D6713" s="2">
        <f>HYPERLINK("http://mcb-m6.bioreg.kyushu-u.ac.jp/M3/20110502/F51192/1895/1", 43.24)</f>
        <v>43.24</v>
      </c>
      <c r="E6713" s="2">
        <v>24.33</v>
      </c>
      <c r="F6713" s="2">
        <v>2</v>
      </c>
      <c r="G6713" s="2" t="s">
        <v>14</v>
      </c>
    </row>
    <row r="6714" spans="1:7" x14ac:dyDescent="0.2">
      <c r="A6714" s="2" t="s">
        <v>4027</v>
      </c>
      <c r="B6714" s="2" t="s">
        <v>1342</v>
      </c>
      <c r="C6714" s="2">
        <v>757.57169999999996</v>
      </c>
      <c r="D6714" s="2">
        <f>HYPERLINK("http://mcb-m6.bioreg.kyushu-u.ac.jp/M3/20110502/F51193/2001/1", 44.55)</f>
        <v>44.55</v>
      </c>
      <c r="E6714" s="2">
        <v>30.27</v>
      </c>
      <c r="F6714" s="2">
        <v>2</v>
      </c>
      <c r="G6714" s="2" t="s">
        <v>14</v>
      </c>
    </row>
    <row r="6715" spans="1:7" x14ac:dyDescent="0.2">
      <c r="A6715" s="2" t="s">
        <v>4027</v>
      </c>
      <c r="B6715" s="2" t="s">
        <v>1342</v>
      </c>
      <c r="C6715" s="2">
        <v>757.5222</v>
      </c>
      <c r="D6715" s="2">
        <f>HYPERLINK("http://mcb-m6.bioreg.kyushu-u.ac.jp/M3/20110502/F51186/1945/1", 71.44)</f>
        <v>71.44</v>
      </c>
      <c r="E6715" s="2">
        <v>41.97</v>
      </c>
      <c r="F6715" s="2">
        <v>2</v>
      </c>
      <c r="G6715" s="2" t="s">
        <v>14</v>
      </c>
    </row>
    <row r="6716" spans="1:7" x14ac:dyDescent="0.2">
      <c r="A6716" s="2" t="s">
        <v>3495</v>
      </c>
      <c r="B6716" s="2" t="s">
        <v>329</v>
      </c>
      <c r="C6716" s="2">
        <v>1123.7439999999999</v>
      </c>
      <c r="D6716" s="2">
        <f>HYPERLINK("http://mcb-m6.bioreg.kyushu-u.ac.jp/M3/20110411/F50891/3843/1", 39.73)</f>
        <v>39.729999999999997</v>
      </c>
      <c r="E6716" s="2">
        <v>36.14</v>
      </c>
      <c r="F6716" s="2">
        <v>2</v>
      </c>
      <c r="G6716" s="2" t="s">
        <v>9</v>
      </c>
    </row>
    <row r="6717" spans="1:7" x14ac:dyDescent="0.2">
      <c r="A6717" s="2" t="s">
        <v>3495</v>
      </c>
      <c r="B6717" s="2" t="s">
        <v>329</v>
      </c>
      <c r="C6717" s="2">
        <v>1124.3499999999999</v>
      </c>
      <c r="D6717" s="2">
        <f>HYPERLINK("http://mcb-m6.bioreg.kyushu-u.ac.jp/M3/20110411/F50891/3846/1", 85.26)</f>
        <v>85.26</v>
      </c>
      <c r="E6717" s="2">
        <v>63.78</v>
      </c>
      <c r="F6717" s="2">
        <v>2</v>
      </c>
      <c r="G6717" s="2" t="s">
        <v>9</v>
      </c>
    </row>
    <row r="6718" spans="1:7" x14ac:dyDescent="0.2">
      <c r="A6718" s="2" t="s">
        <v>3495</v>
      </c>
      <c r="B6718" s="2" t="s">
        <v>329</v>
      </c>
      <c r="C6718" s="2">
        <v>1124.077</v>
      </c>
      <c r="D6718" s="2">
        <f>HYPERLINK("http://mcb-m6.bioreg.kyushu-u.ac.jp/M3/20110414/F50928/3578/1", 65.52)</f>
        <v>65.52</v>
      </c>
      <c r="E6718" s="2">
        <v>54.42</v>
      </c>
      <c r="F6718" s="2">
        <v>2</v>
      </c>
      <c r="G6718" s="2" t="s">
        <v>11</v>
      </c>
    </row>
    <row r="6719" spans="1:7" x14ac:dyDescent="0.2">
      <c r="A6719" s="2" t="s">
        <v>3495</v>
      </c>
      <c r="B6719" s="2" t="s">
        <v>329</v>
      </c>
      <c r="C6719" s="2">
        <v>1124.2829999999999</v>
      </c>
      <c r="D6719" s="2">
        <f>HYPERLINK("http://mcb-m6.bioreg.kyushu-u.ac.jp/M3/20110414/F50928/3579/1", 91.73)</f>
        <v>91.73</v>
      </c>
      <c r="E6719" s="2">
        <v>72.63</v>
      </c>
      <c r="F6719" s="2">
        <v>2</v>
      </c>
      <c r="G6719" s="2" t="s">
        <v>11</v>
      </c>
    </row>
    <row r="6720" spans="1:7" x14ac:dyDescent="0.2">
      <c r="A6720" s="2" t="s">
        <v>3495</v>
      </c>
      <c r="B6720" s="2" t="s">
        <v>329</v>
      </c>
      <c r="C6720" s="2">
        <v>1124.297</v>
      </c>
      <c r="D6720" s="2">
        <f>HYPERLINK("http://mcb-m6.bioreg.kyushu-u.ac.jp/M3/20110414/F50928/3580/1", 94.14)</f>
        <v>94.14</v>
      </c>
      <c r="E6720" s="2">
        <v>81.819999999999993</v>
      </c>
      <c r="F6720" s="2">
        <v>2</v>
      </c>
      <c r="G6720" s="2" t="s">
        <v>11</v>
      </c>
    </row>
    <row r="6721" spans="1:7" x14ac:dyDescent="0.2">
      <c r="A6721" s="2" t="s">
        <v>3495</v>
      </c>
      <c r="B6721" s="2" t="s">
        <v>329</v>
      </c>
      <c r="C6721" s="2">
        <v>1123.7950000000001</v>
      </c>
      <c r="D6721" s="2">
        <f>HYPERLINK("http://mcb-m6.bioreg.kyushu-u.ac.jp/M3/20110414/F50928/3577/1", 95.15)</f>
        <v>95.15</v>
      </c>
      <c r="E6721" s="2">
        <v>87.44</v>
      </c>
      <c r="F6721" s="2">
        <v>2</v>
      </c>
      <c r="G6721" s="2" t="s">
        <v>11</v>
      </c>
    </row>
    <row r="6722" spans="1:7" x14ac:dyDescent="0.2">
      <c r="A6722" s="2" t="s">
        <v>3495</v>
      </c>
      <c r="B6722" s="2" t="s">
        <v>329</v>
      </c>
      <c r="C6722" s="2">
        <v>1123.8399999999999</v>
      </c>
      <c r="D6722" s="2">
        <f>HYPERLINK("http://mcb-m6.bioreg.kyushu-u.ac.jp/M3/20110414/F50929/3240/1", 105.93)</f>
        <v>105.93</v>
      </c>
      <c r="E6722" s="2">
        <v>97.8</v>
      </c>
      <c r="F6722" s="2">
        <v>2</v>
      </c>
      <c r="G6722" s="2" t="s">
        <v>11</v>
      </c>
    </row>
    <row r="6723" spans="1:7" x14ac:dyDescent="0.2">
      <c r="A6723" s="2" t="s">
        <v>3495</v>
      </c>
      <c r="B6723" s="2" t="s">
        <v>329</v>
      </c>
      <c r="C6723" s="2">
        <v>1124.402</v>
      </c>
      <c r="D6723" s="2">
        <f>HYPERLINK("http://mcb-m6.bioreg.kyushu-u.ac.jp/M3/20110414/F50933/3632/1", 70.63)</f>
        <v>70.63</v>
      </c>
      <c r="E6723" s="2">
        <v>60.93</v>
      </c>
      <c r="F6723" s="2">
        <v>2</v>
      </c>
      <c r="G6723" s="2" t="s">
        <v>12</v>
      </c>
    </row>
    <row r="6724" spans="1:7" x14ac:dyDescent="0.2">
      <c r="A6724" s="2" t="s">
        <v>3495</v>
      </c>
      <c r="B6724" s="2" t="s">
        <v>329</v>
      </c>
      <c r="C6724" s="2">
        <v>1124.3320000000001</v>
      </c>
      <c r="D6724" s="2">
        <f>HYPERLINK("http://mcb-m6.bioreg.kyushu-u.ac.jp/M3/20110414/F50933/3631/1", 74.63)</f>
        <v>74.63</v>
      </c>
      <c r="E6724" s="2">
        <v>67.069999999999993</v>
      </c>
      <c r="F6724" s="2">
        <v>2</v>
      </c>
      <c r="G6724" s="2" t="s">
        <v>12</v>
      </c>
    </row>
    <row r="6725" spans="1:7" x14ac:dyDescent="0.2">
      <c r="A6725" s="2" t="s">
        <v>3495</v>
      </c>
      <c r="B6725" s="2" t="s">
        <v>329</v>
      </c>
      <c r="C6725" s="2">
        <v>1123.846</v>
      </c>
      <c r="D6725" s="2">
        <f>HYPERLINK("http://mcb-m6.bioreg.kyushu-u.ac.jp/M3/20110414/F50933/3630/1", 95.61)</f>
        <v>95.61</v>
      </c>
      <c r="E6725" s="2">
        <v>83.86</v>
      </c>
      <c r="F6725" s="2">
        <v>2</v>
      </c>
      <c r="G6725" s="2" t="s">
        <v>12</v>
      </c>
    </row>
    <row r="6726" spans="1:7" x14ac:dyDescent="0.2">
      <c r="A6726" s="2" t="s">
        <v>3495</v>
      </c>
      <c r="B6726" s="2" t="s">
        <v>329</v>
      </c>
      <c r="C6726" s="2">
        <v>1124.4169999999999</v>
      </c>
      <c r="D6726" s="2">
        <f>HYPERLINK("http://mcb-m6.bioreg.kyushu-u.ac.jp/M3/20110502/F51169/3149/1", 97.53)</f>
        <v>97.53</v>
      </c>
      <c r="E6726" s="2">
        <v>86.97</v>
      </c>
      <c r="F6726" s="2">
        <v>2</v>
      </c>
      <c r="G6726" s="2" t="s">
        <v>13</v>
      </c>
    </row>
    <row r="6727" spans="1:7" x14ac:dyDescent="0.2">
      <c r="A6727" s="2" t="s">
        <v>3495</v>
      </c>
      <c r="B6727" s="2" t="s">
        <v>329</v>
      </c>
      <c r="C6727" s="2">
        <v>1124.1690000000001</v>
      </c>
      <c r="D6727" s="2">
        <f>HYPERLINK("http://mcb-m6.bioreg.kyushu-u.ac.jp/M3/20110502/F51178/3223/1", 101.25)</f>
        <v>101.25</v>
      </c>
      <c r="E6727" s="2">
        <v>80.3</v>
      </c>
      <c r="F6727" s="2">
        <v>2</v>
      </c>
      <c r="G6727" s="2" t="s">
        <v>14</v>
      </c>
    </row>
    <row r="6728" spans="1:7" x14ac:dyDescent="0.2">
      <c r="A6728" s="2" t="s">
        <v>3235</v>
      </c>
      <c r="B6728" s="2" t="s">
        <v>15</v>
      </c>
      <c r="C6728" s="2">
        <v>849.85519999999997</v>
      </c>
      <c r="D6728" s="2">
        <f>HYPERLINK("http://mcb-m6.bioreg.kyushu-u.ac.jp/M3/20110411/F50891/2725/1", 35.02)</f>
        <v>35.020000000000003</v>
      </c>
      <c r="E6728" s="2">
        <v>14.56</v>
      </c>
      <c r="F6728" s="2">
        <v>2</v>
      </c>
      <c r="G6728" s="2" t="s">
        <v>9</v>
      </c>
    </row>
    <row r="6729" spans="1:7" x14ac:dyDescent="0.2">
      <c r="A6729" s="2" t="s">
        <v>3235</v>
      </c>
      <c r="B6729" s="2" t="s">
        <v>105</v>
      </c>
      <c r="C6729" s="2">
        <v>756.39120000000003</v>
      </c>
      <c r="D6729" s="2">
        <f>HYPERLINK("http://mcb-m6.bioreg.kyushu-u.ac.jp/M3/20110411/F50891/2193/1", 36.17)</f>
        <v>36.17</v>
      </c>
      <c r="E6729" s="2">
        <v>28.85</v>
      </c>
      <c r="F6729" s="2">
        <v>2</v>
      </c>
      <c r="G6729" s="2" t="s">
        <v>9</v>
      </c>
    </row>
    <row r="6730" spans="1:7" x14ac:dyDescent="0.2">
      <c r="A6730" s="2" t="s">
        <v>3235</v>
      </c>
      <c r="B6730" s="2" t="s">
        <v>105</v>
      </c>
      <c r="C6730" s="2">
        <v>756.85860000000002</v>
      </c>
      <c r="D6730" s="2">
        <f>HYPERLINK("http://mcb-m6.bioreg.kyushu-u.ac.jp/M3/20110411/F50891/2197/1", 47.73)</f>
        <v>47.73</v>
      </c>
      <c r="E6730" s="2">
        <v>34.47</v>
      </c>
      <c r="F6730" s="2">
        <v>2</v>
      </c>
      <c r="G6730" s="2" t="s">
        <v>9</v>
      </c>
    </row>
    <row r="6731" spans="1:7" x14ac:dyDescent="0.2">
      <c r="A6731" s="2" t="s">
        <v>3235</v>
      </c>
      <c r="B6731" s="2" t="s">
        <v>105</v>
      </c>
      <c r="C6731" s="2">
        <v>756.89070000000004</v>
      </c>
      <c r="D6731" s="2">
        <f>HYPERLINK("http://mcb-m6.bioreg.kyushu-u.ac.jp/M3/20110411/F50891/2198/1", 54.16)</f>
        <v>54.16</v>
      </c>
      <c r="E6731" s="2">
        <v>35.89</v>
      </c>
      <c r="F6731" s="2">
        <v>2</v>
      </c>
      <c r="G6731" s="2" t="s">
        <v>9</v>
      </c>
    </row>
    <row r="6732" spans="1:7" x14ac:dyDescent="0.2">
      <c r="A6732" s="2" t="s">
        <v>3235</v>
      </c>
      <c r="B6732" s="2" t="s">
        <v>105</v>
      </c>
      <c r="C6732" s="2">
        <v>756.43870000000004</v>
      </c>
      <c r="D6732" s="2">
        <f>HYPERLINK("http://mcb-m6.bioreg.kyushu-u.ac.jp/M3/20110411/F50891/2194/1", 70.68)</f>
        <v>70.680000000000007</v>
      </c>
      <c r="E6732" s="2">
        <v>55.53</v>
      </c>
      <c r="F6732" s="2">
        <v>2</v>
      </c>
      <c r="G6732" s="2" t="s">
        <v>9</v>
      </c>
    </row>
    <row r="6733" spans="1:7" x14ac:dyDescent="0.2">
      <c r="A6733" s="2" t="s">
        <v>3235</v>
      </c>
      <c r="B6733" s="2" t="s">
        <v>15</v>
      </c>
      <c r="C6733" s="2">
        <v>849.33759999999995</v>
      </c>
      <c r="D6733" s="2">
        <f>HYPERLINK("http://mcb-m6.bioreg.kyushu-u.ac.jp/M3/20110411/F50891/2717/1", 80.18)</f>
        <v>80.180000000000007</v>
      </c>
      <c r="E6733" s="2">
        <v>65.069999999999993</v>
      </c>
      <c r="F6733" s="2">
        <v>2</v>
      </c>
      <c r="G6733" s="2" t="s">
        <v>9</v>
      </c>
    </row>
    <row r="6734" spans="1:7" x14ac:dyDescent="0.2">
      <c r="A6734" s="2" t="s">
        <v>3235</v>
      </c>
      <c r="B6734" s="2" t="s">
        <v>1682</v>
      </c>
      <c r="C6734" s="2">
        <v>1147.203</v>
      </c>
      <c r="D6734" s="2">
        <f>HYPERLINK("http://mcb-m6.bioreg.kyushu-u.ac.jp/M3/20110411/F50891/4684/1", 148.53)</f>
        <v>148.53</v>
      </c>
      <c r="E6734" s="2">
        <v>118.74</v>
      </c>
      <c r="F6734" s="2">
        <v>3</v>
      </c>
      <c r="G6734" s="2" t="s">
        <v>9</v>
      </c>
    </row>
    <row r="6735" spans="1:7" x14ac:dyDescent="0.2">
      <c r="A6735" s="2" t="s">
        <v>3235</v>
      </c>
      <c r="B6735" s="2" t="s">
        <v>105</v>
      </c>
      <c r="C6735" s="2">
        <v>756.23170000000005</v>
      </c>
      <c r="D6735" s="2">
        <f>HYPERLINK("http://mcb-m6.bioreg.kyushu-u.ac.jp/M3/20110411/F50898/2299/1", 46.99)</f>
        <v>46.99</v>
      </c>
      <c r="E6735" s="2">
        <v>33.51</v>
      </c>
      <c r="F6735" s="2">
        <v>2</v>
      </c>
      <c r="G6735" s="2" t="s">
        <v>10</v>
      </c>
    </row>
    <row r="6736" spans="1:7" x14ac:dyDescent="0.2">
      <c r="A6736" s="2" t="s">
        <v>3235</v>
      </c>
      <c r="B6736" s="2" t="s">
        <v>15</v>
      </c>
      <c r="C6736" s="2">
        <v>849.48609999999996</v>
      </c>
      <c r="D6736" s="2">
        <f>HYPERLINK("http://mcb-m6.bioreg.kyushu-u.ac.jp/M3/20110411/F50898/2564/1", 66.84)</f>
        <v>66.84</v>
      </c>
      <c r="E6736" s="2">
        <v>48.9</v>
      </c>
      <c r="F6736" s="2">
        <v>2</v>
      </c>
      <c r="G6736" s="2" t="s">
        <v>10</v>
      </c>
    </row>
    <row r="6737" spans="1:8" x14ac:dyDescent="0.2">
      <c r="A6737" s="2" t="s">
        <v>4229</v>
      </c>
      <c r="B6737" s="2" t="s">
        <v>1840</v>
      </c>
      <c r="C6737" s="2">
        <v>797.38919999999996</v>
      </c>
      <c r="D6737" s="2">
        <f>HYPERLINK("http://mcb-m6.bioreg.kyushu-u.ac.jp/M3/20110411/F50914/2375/1", 42.82)</f>
        <v>42.82</v>
      </c>
      <c r="E6737" s="2">
        <v>31.24</v>
      </c>
      <c r="F6737" s="2">
        <v>2</v>
      </c>
      <c r="G6737" s="2" t="s">
        <v>10</v>
      </c>
    </row>
    <row r="6738" spans="1:8" x14ac:dyDescent="0.2">
      <c r="A6738" s="2" t="s">
        <v>4229</v>
      </c>
      <c r="B6738" s="2" t="s">
        <v>1840</v>
      </c>
      <c r="C6738" s="2">
        <v>796.66219999999998</v>
      </c>
      <c r="D6738" s="2">
        <f>HYPERLINK("http://mcb-m6.bioreg.kyushu-u.ac.jp/M3/20110414/F50948/2459/1", 58.21)</f>
        <v>58.21</v>
      </c>
      <c r="E6738" s="2">
        <v>45.76</v>
      </c>
      <c r="F6738" s="2">
        <v>2</v>
      </c>
      <c r="G6738" s="2" t="s">
        <v>12</v>
      </c>
    </row>
    <row r="6739" spans="1:8" x14ac:dyDescent="0.2">
      <c r="A6739" s="2" t="s">
        <v>4420</v>
      </c>
      <c r="B6739" s="2" t="s">
        <v>2287</v>
      </c>
      <c r="C6739" s="2">
        <v>460.7466</v>
      </c>
      <c r="D6739" s="2">
        <f>HYPERLINK("http://mcb-m6.bioreg.kyushu-u.ac.jp/M3/20110414/F50924/841/1", 43.23)</f>
        <v>43.23</v>
      </c>
      <c r="E6739" s="2">
        <v>23.48</v>
      </c>
      <c r="F6739" s="2">
        <v>2</v>
      </c>
      <c r="G6739" s="2" t="s">
        <v>11</v>
      </c>
    </row>
    <row r="6740" spans="1:8" x14ac:dyDescent="0.2">
      <c r="A6740" s="2" t="s">
        <v>3361</v>
      </c>
      <c r="B6740" s="2" t="s">
        <v>153</v>
      </c>
      <c r="C6740" s="2">
        <v>672.9307</v>
      </c>
      <c r="D6740" s="2">
        <f>HYPERLINK("http://mcb-m6.bioreg.kyushu-u.ac.jp/M3/20110411/F50919/1302/1", 36.87)</f>
        <v>36.869999999999997</v>
      </c>
      <c r="E6740" s="2">
        <v>16.07</v>
      </c>
      <c r="F6740" s="2">
        <v>2</v>
      </c>
      <c r="G6740" s="2" t="s">
        <v>9</v>
      </c>
    </row>
    <row r="6741" spans="1:8" x14ac:dyDescent="0.2">
      <c r="A6741" s="2" t="s">
        <v>3361</v>
      </c>
      <c r="B6741" s="2" t="s">
        <v>309</v>
      </c>
      <c r="C6741" s="2">
        <v>822.76760000000002</v>
      </c>
      <c r="D6741" s="2">
        <f>HYPERLINK("http://mcb-m6.bioreg.kyushu-u.ac.jp/M3/20110411/F50890/2626/1", 39.45)</f>
        <v>39.450000000000003</v>
      </c>
      <c r="E6741" s="2">
        <v>29.74</v>
      </c>
      <c r="F6741" s="2">
        <v>2</v>
      </c>
      <c r="G6741" s="2" t="s">
        <v>9</v>
      </c>
    </row>
    <row r="6742" spans="1:8" x14ac:dyDescent="0.2">
      <c r="A6742" s="2" t="s">
        <v>3361</v>
      </c>
      <c r="B6742" s="2" t="s">
        <v>578</v>
      </c>
      <c r="C6742" s="2">
        <v>598.53020000000004</v>
      </c>
      <c r="D6742" s="2">
        <f>HYPERLINK("http://mcb-m6.bioreg.kyushu-u.ac.jp/M3/20110411/F50919/2452/1", 45.35)</f>
        <v>45.35</v>
      </c>
      <c r="E6742" s="2">
        <v>28.31</v>
      </c>
      <c r="F6742" s="2">
        <v>3</v>
      </c>
      <c r="G6742" s="2" t="s">
        <v>9</v>
      </c>
    </row>
    <row r="6743" spans="1:8" x14ac:dyDescent="0.2">
      <c r="A6743" s="2" t="s">
        <v>3361</v>
      </c>
      <c r="B6743" s="2" t="s">
        <v>609</v>
      </c>
      <c r="C6743" s="2">
        <v>943.80700000000002</v>
      </c>
      <c r="D6743" s="2">
        <f>HYPERLINK("http://mcb-m6.bioreg.kyushu-u.ac.jp/M3/20110411/F50919/600/1", 46.1)</f>
        <v>46.1</v>
      </c>
      <c r="E6743" s="2">
        <v>23.38</v>
      </c>
      <c r="F6743" s="2">
        <v>1</v>
      </c>
      <c r="G6743" s="2" t="s">
        <v>9</v>
      </c>
    </row>
    <row r="6744" spans="1:8" x14ac:dyDescent="0.2">
      <c r="A6744" s="2" t="s">
        <v>3361</v>
      </c>
      <c r="B6744" s="2" t="s">
        <v>620</v>
      </c>
      <c r="C6744" s="2">
        <v>1006.519</v>
      </c>
      <c r="D6744" s="2">
        <f>HYPERLINK("http://mcb-m6.bioreg.kyushu-u.ac.jp/M3/20110411/F50919/4234/1", 46.32)</f>
        <v>46.32</v>
      </c>
      <c r="E6744" s="2">
        <v>34.07</v>
      </c>
      <c r="F6744" s="2">
        <v>3</v>
      </c>
      <c r="G6744" s="2" t="s">
        <v>9</v>
      </c>
    </row>
    <row r="6745" spans="1:8" x14ac:dyDescent="0.2">
      <c r="A6745" s="2" t="s">
        <v>3361</v>
      </c>
      <c r="B6745" s="2" t="s">
        <v>629</v>
      </c>
      <c r="C6745" s="2">
        <v>1216.768</v>
      </c>
      <c r="D6745" s="2">
        <f>HYPERLINK("http://mcb-m6.bioreg.kyushu-u.ac.jp/M3/20110411/F50904/1463/1", 46.6)</f>
        <v>46.6</v>
      </c>
      <c r="E6745" s="2">
        <v>21.04</v>
      </c>
      <c r="F6745" s="2">
        <v>1</v>
      </c>
      <c r="G6745" s="2" t="s">
        <v>9</v>
      </c>
    </row>
    <row r="6746" spans="1:8" x14ac:dyDescent="0.2">
      <c r="A6746" s="2" t="s">
        <v>3361</v>
      </c>
      <c r="B6746" s="2" t="s">
        <v>609</v>
      </c>
      <c r="C6746" s="2">
        <v>943.779</v>
      </c>
      <c r="D6746" s="2">
        <f>HYPERLINK("http://mcb-m6.bioreg.kyushu-u.ac.jp/M3/20110411/F50904/1047/1", 48.3)</f>
        <v>48.3</v>
      </c>
      <c r="E6746" s="2">
        <v>23.14</v>
      </c>
      <c r="F6746" s="2">
        <v>1</v>
      </c>
      <c r="G6746" s="2" t="s">
        <v>9</v>
      </c>
    </row>
    <row r="6747" spans="1:8" x14ac:dyDescent="0.2">
      <c r="A6747" s="2" t="s">
        <v>3361</v>
      </c>
      <c r="B6747" s="2" t="s">
        <v>692</v>
      </c>
      <c r="C6747" s="2">
        <v>596.88419999999996</v>
      </c>
      <c r="D6747" s="2">
        <f>HYPERLINK("http://mcb-m6.bioreg.kyushu-u.ac.jp/M3/20110411/F50919/1014/1", 48.62)</f>
        <v>48.62</v>
      </c>
      <c r="E6747" s="2">
        <v>21.55</v>
      </c>
      <c r="F6747" s="2">
        <v>2</v>
      </c>
      <c r="G6747" s="2" t="s">
        <v>9</v>
      </c>
    </row>
    <row r="6748" spans="1:8" x14ac:dyDescent="0.2">
      <c r="A6748" s="2" t="s">
        <v>3361</v>
      </c>
      <c r="B6748" s="2" t="s">
        <v>709</v>
      </c>
      <c r="C6748" s="2">
        <v>518.44119999999998</v>
      </c>
      <c r="D6748" s="2">
        <f>HYPERLINK("http://mcb-m6.bioreg.kyushu-u.ac.jp/M3/20110411/F50905/1030/1", 48.93)</f>
        <v>48.93</v>
      </c>
      <c r="E6748" s="2">
        <v>30.34</v>
      </c>
      <c r="F6748" s="2">
        <v>2</v>
      </c>
      <c r="G6748" s="2" t="s">
        <v>9</v>
      </c>
    </row>
    <row r="6749" spans="1:8" x14ac:dyDescent="0.2">
      <c r="A6749" s="2" t="s">
        <v>3361</v>
      </c>
      <c r="B6749" s="2" t="s">
        <v>736</v>
      </c>
      <c r="C6749" s="2">
        <v>1091.7280000000001</v>
      </c>
      <c r="D6749" s="2">
        <f>HYPERLINK("http://mcb-m6.bioreg.kyushu-u.ac.jp/M3/20110411/F50904/1262/1", 49.78)</f>
        <v>49.78</v>
      </c>
      <c r="E6749" s="2">
        <v>16.27</v>
      </c>
      <c r="F6749" s="2">
        <v>1</v>
      </c>
      <c r="G6749" s="2" t="s">
        <v>9</v>
      </c>
    </row>
    <row r="6750" spans="1:8" x14ac:dyDescent="0.2">
      <c r="A6750" s="2" t="s">
        <v>3361</v>
      </c>
      <c r="B6750" s="2" t="s">
        <v>692</v>
      </c>
      <c r="C6750" s="2">
        <v>596.97059999999999</v>
      </c>
      <c r="D6750" s="2">
        <f>HYPERLINK("http://mcb-m6.bioreg.kyushu-u.ac.jp/M3/20110411/F50904/1419/1", 49.98)</f>
        <v>49.98</v>
      </c>
      <c r="E6750" s="2">
        <v>19.600000000000001</v>
      </c>
      <c r="F6750" s="2">
        <v>2</v>
      </c>
      <c r="G6750" s="2" t="s">
        <v>9</v>
      </c>
    </row>
    <row r="6751" spans="1:8" x14ac:dyDescent="0.2">
      <c r="A6751" s="2" t="s">
        <v>3361</v>
      </c>
      <c r="B6751" s="2" t="s">
        <v>629</v>
      </c>
      <c r="C6751" s="2">
        <v>1216.8019999999999</v>
      </c>
      <c r="D6751" s="2">
        <f>HYPERLINK("http://mcb-m6.bioreg.kyushu-u.ac.jp/M3/20110411/F50919/1070/1", 50.94)</f>
        <v>50.94</v>
      </c>
      <c r="E6751" s="2">
        <v>29.62</v>
      </c>
      <c r="F6751" s="2">
        <v>1</v>
      </c>
      <c r="G6751" s="2" t="s">
        <v>9</v>
      </c>
    </row>
    <row r="6752" spans="1:8" x14ac:dyDescent="0.2">
      <c r="A6752" s="2" t="s">
        <v>3361</v>
      </c>
      <c r="B6752" s="2" t="s">
        <v>816</v>
      </c>
      <c r="C6752" s="2">
        <v>774.35969999999998</v>
      </c>
      <c r="D6752" s="2">
        <f>HYPERLINK("http://mcb-m6.bioreg.kyushu-u.ac.jp/M3/20110411/F50919/1809/1", 52.27)</f>
        <v>52.27</v>
      </c>
      <c r="E6752" s="2">
        <v>34.46</v>
      </c>
      <c r="F6752" s="2">
        <v>2</v>
      </c>
      <c r="G6752" s="2" t="s">
        <v>9</v>
      </c>
      <c r="H6752" s="2" t="s">
        <v>4927</v>
      </c>
    </row>
    <row r="6753" spans="1:8" x14ac:dyDescent="0.2">
      <c r="A6753" s="2" t="s">
        <v>3361</v>
      </c>
      <c r="B6753" s="2" t="s">
        <v>864</v>
      </c>
      <c r="C6753" s="2">
        <v>1391.7670000000001</v>
      </c>
      <c r="D6753" s="2">
        <f>HYPERLINK("http://mcb-m6.bioreg.kyushu-u.ac.jp/M3/20110411/F50904/1811/1", 53.87)</f>
        <v>53.87</v>
      </c>
      <c r="E6753" s="2">
        <v>36.619999999999997</v>
      </c>
      <c r="F6753" s="2">
        <v>1</v>
      </c>
      <c r="G6753" s="2" t="s">
        <v>9</v>
      </c>
    </row>
    <row r="6754" spans="1:8" x14ac:dyDescent="0.2">
      <c r="A6754" s="2" t="s">
        <v>3361</v>
      </c>
      <c r="B6754" s="2" t="s">
        <v>878</v>
      </c>
      <c r="C6754" s="2">
        <v>1146.7139999999999</v>
      </c>
      <c r="D6754" s="2">
        <f>HYPERLINK("http://mcb-m6.bioreg.kyushu-u.ac.jp/M3/20110411/F50904/1343/1", 54.24)</f>
        <v>54.24</v>
      </c>
      <c r="E6754" s="2">
        <v>20.56</v>
      </c>
      <c r="F6754" s="2">
        <v>1</v>
      </c>
      <c r="G6754" s="2" t="s">
        <v>9</v>
      </c>
    </row>
    <row r="6755" spans="1:8" x14ac:dyDescent="0.2">
      <c r="A6755" s="2" t="s">
        <v>3361</v>
      </c>
      <c r="B6755" s="2" t="s">
        <v>153</v>
      </c>
      <c r="C6755" s="2">
        <v>673.10609999999997</v>
      </c>
      <c r="D6755" s="2">
        <f>HYPERLINK("http://mcb-m6.bioreg.kyushu-u.ac.jp/M3/20110411/F50904/1704/1", 55.77)</f>
        <v>55.77</v>
      </c>
      <c r="E6755" s="2">
        <v>32.24</v>
      </c>
      <c r="F6755" s="2">
        <v>2</v>
      </c>
      <c r="G6755" s="2" t="s">
        <v>9</v>
      </c>
    </row>
    <row r="6756" spans="1:8" x14ac:dyDescent="0.2">
      <c r="A6756" s="2" t="s">
        <v>3361</v>
      </c>
      <c r="B6756" s="2" t="s">
        <v>975</v>
      </c>
      <c r="C6756" s="2">
        <v>880.98469999999998</v>
      </c>
      <c r="D6756" s="2">
        <f>HYPERLINK("http://mcb-m6.bioreg.kyushu-u.ac.jp/M3/20110411/F50919/2368/1", 57.54)</f>
        <v>57.54</v>
      </c>
      <c r="E6756" s="2">
        <v>33.08</v>
      </c>
      <c r="F6756" s="2">
        <v>2</v>
      </c>
      <c r="G6756" s="2" t="s">
        <v>9</v>
      </c>
    </row>
    <row r="6757" spans="1:8" x14ac:dyDescent="0.2">
      <c r="A6757" s="2" t="s">
        <v>3361</v>
      </c>
      <c r="B6757" s="2" t="s">
        <v>692</v>
      </c>
      <c r="C6757" s="2">
        <v>604.96310000000005</v>
      </c>
      <c r="D6757" s="2">
        <f>HYPERLINK("http://mcb-m6.bioreg.kyushu-u.ac.jp/M3/20110411/F50904/1448/1", 57.95)</f>
        <v>57.95</v>
      </c>
      <c r="E6757" s="2">
        <v>33.29</v>
      </c>
      <c r="F6757" s="2">
        <v>2</v>
      </c>
      <c r="G6757" s="2" t="s">
        <v>9</v>
      </c>
      <c r="H6757" s="2" t="s">
        <v>4917</v>
      </c>
    </row>
    <row r="6758" spans="1:8" x14ac:dyDescent="0.2">
      <c r="A6758" s="2" t="s">
        <v>3361</v>
      </c>
      <c r="B6758" s="2" t="s">
        <v>878</v>
      </c>
      <c r="C6758" s="2">
        <v>1146.6120000000001</v>
      </c>
      <c r="D6758" s="2">
        <f>HYPERLINK("http://mcb-m6.bioreg.kyushu-u.ac.jp/M3/20110411/F50919/921/1", 58.31)</f>
        <v>58.31</v>
      </c>
      <c r="E6758" s="2">
        <v>22.55</v>
      </c>
      <c r="F6758" s="2">
        <v>1</v>
      </c>
      <c r="G6758" s="2" t="s">
        <v>9</v>
      </c>
    </row>
    <row r="6759" spans="1:8" x14ac:dyDescent="0.2">
      <c r="A6759" s="2" t="s">
        <v>3361</v>
      </c>
      <c r="B6759" s="2" t="s">
        <v>629</v>
      </c>
      <c r="C6759" s="2">
        <v>608.91610000000003</v>
      </c>
      <c r="D6759" s="2">
        <f>HYPERLINK("http://mcb-m6.bioreg.kyushu-u.ac.jp/M3/20110411/F50905/1395/1", 59.13)</f>
        <v>59.13</v>
      </c>
      <c r="E6759" s="2">
        <v>39.619999999999997</v>
      </c>
      <c r="F6759" s="2">
        <v>2</v>
      </c>
      <c r="G6759" s="2" t="s">
        <v>9</v>
      </c>
    </row>
    <row r="6760" spans="1:8" x14ac:dyDescent="0.2">
      <c r="A6760" s="2" t="s">
        <v>3361</v>
      </c>
      <c r="B6760" s="2" t="s">
        <v>736</v>
      </c>
      <c r="C6760" s="2">
        <v>1091.6389999999999</v>
      </c>
      <c r="D6760" s="2">
        <f>HYPERLINK("http://mcb-m6.bioreg.kyushu-u.ac.jp/M3/20110411/F50919/846/1", 59.25)</f>
        <v>59.25</v>
      </c>
      <c r="E6760" s="2">
        <v>24.66</v>
      </c>
      <c r="F6760" s="2">
        <v>1</v>
      </c>
      <c r="G6760" s="2" t="s">
        <v>9</v>
      </c>
    </row>
    <row r="6761" spans="1:8" x14ac:dyDescent="0.2">
      <c r="A6761" s="2" t="s">
        <v>3361</v>
      </c>
      <c r="B6761" s="2" t="s">
        <v>1056</v>
      </c>
      <c r="C6761" s="2">
        <v>1030.595</v>
      </c>
      <c r="D6761" s="2">
        <f>HYPERLINK("http://mcb-m6.bioreg.kyushu-u.ac.jp/M3/20110411/F50904/3242/1", 60.78)</f>
        <v>60.78</v>
      </c>
      <c r="E6761" s="2">
        <v>34.32</v>
      </c>
      <c r="F6761" s="2">
        <v>2</v>
      </c>
      <c r="G6761" s="2" t="s">
        <v>9</v>
      </c>
    </row>
    <row r="6762" spans="1:8" x14ac:dyDescent="0.2">
      <c r="A6762" s="2" t="s">
        <v>3361</v>
      </c>
      <c r="B6762" s="2" t="s">
        <v>878</v>
      </c>
      <c r="C6762" s="2">
        <v>574.13710000000003</v>
      </c>
      <c r="D6762" s="2">
        <f>HYPERLINK("http://mcb-m6.bioreg.kyushu-u.ac.jp/M3/20110411/F50919/923/1", 63.1)</f>
        <v>63.1</v>
      </c>
      <c r="E6762" s="2">
        <v>33.14</v>
      </c>
      <c r="F6762" s="2">
        <v>2</v>
      </c>
      <c r="G6762" s="2" t="s">
        <v>9</v>
      </c>
    </row>
    <row r="6763" spans="1:8" x14ac:dyDescent="0.2">
      <c r="A6763" s="2" t="s">
        <v>3361</v>
      </c>
      <c r="B6763" s="2" t="s">
        <v>1056</v>
      </c>
      <c r="C6763" s="2">
        <v>1030.135</v>
      </c>
      <c r="D6763" s="2">
        <f>HYPERLINK("http://mcb-m6.bioreg.kyushu-u.ac.jp/M3/20110411/F50919/3039/1", 63.99)</f>
        <v>63.99</v>
      </c>
      <c r="E6763" s="2">
        <v>42.3</v>
      </c>
      <c r="F6763" s="2">
        <v>2</v>
      </c>
      <c r="G6763" s="2" t="s">
        <v>9</v>
      </c>
    </row>
    <row r="6764" spans="1:8" x14ac:dyDescent="0.2">
      <c r="A6764" s="2" t="s">
        <v>3361</v>
      </c>
      <c r="B6764" s="2" t="s">
        <v>578</v>
      </c>
      <c r="C6764" s="2">
        <v>897.46119999999996</v>
      </c>
      <c r="D6764" s="2">
        <f>HYPERLINK("http://mcb-m6.bioreg.kyushu-u.ac.jp/M3/20110411/F50904/2740/1", 67.79)</f>
        <v>67.790000000000006</v>
      </c>
      <c r="E6764" s="2">
        <v>39.4</v>
      </c>
      <c r="F6764" s="2">
        <v>2</v>
      </c>
      <c r="G6764" s="2" t="s">
        <v>9</v>
      </c>
    </row>
    <row r="6765" spans="1:8" x14ac:dyDescent="0.2">
      <c r="A6765" s="2" t="s">
        <v>3361</v>
      </c>
      <c r="B6765" s="2" t="s">
        <v>736</v>
      </c>
      <c r="C6765" s="2">
        <v>546.42359999999996</v>
      </c>
      <c r="D6765" s="2">
        <f>HYPERLINK("http://mcb-m6.bioreg.kyushu-u.ac.jp/M3/20110411/F50904/1263/1", 72.06)</f>
        <v>72.06</v>
      </c>
      <c r="E6765" s="2">
        <v>42.74</v>
      </c>
      <c r="F6765" s="2">
        <v>2</v>
      </c>
      <c r="G6765" s="2" t="s">
        <v>9</v>
      </c>
    </row>
    <row r="6766" spans="1:8" x14ac:dyDescent="0.2">
      <c r="A6766" s="2" t="s">
        <v>3361</v>
      </c>
      <c r="B6766" s="2" t="s">
        <v>1313</v>
      </c>
      <c r="C6766" s="2">
        <v>821.88670000000002</v>
      </c>
      <c r="D6766" s="2">
        <f>HYPERLINK("http://mcb-m6.bioreg.kyushu-u.ac.jp/M3/20110411/F50904/2408/1", 72.39)</f>
        <v>72.39</v>
      </c>
      <c r="E6766" s="2">
        <v>56.08</v>
      </c>
      <c r="F6766" s="2">
        <v>2</v>
      </c>
      <c r="G6766" s="2" t="s">
        <v>9</v>
      </c>
    </row>
    <row r="6767" spans="1:8" x14ac:dyDescent="0.2">
      <c r="A6767" s="2" t="s">
        <v>3361</v>
      </c>
      <c r="B6767" s="2" t="s">
        <v>578</v>
      </c>
      <c r="C6767" s="2">
        <v>897.36320000000001</v>
      </c>
      <c r="D6767" s="2">
        <f>HYPERLINK("http://mcb-m6.bioreg.kyushu-u.ac.jp/M3/20110411/F50919/2453/1", 74.73)</f>
        <v>74.73</v>
      </c>
      <c r="E6767" s="2">
        <v>54.17</v>
      </c>
      <c r="F6767" s="2">
        <v>2</v>
      </c>
      <c r="G6767" s="2" t="s">
        <v>9</v>
      </c>
    </row>
    <row r="6768" spans="1:8" x14ac:dyDescent="0.2">
      <c r="A6768" s="2" t="s">
        <v>3361</v>
      </c>
      <c r="B6768" s="2" t="s">
        <v>1371</v>
      </c>
      <c r="C6768" s="2">
        <v>565.00670000000002</v>
      </c>
      <c r="D6768" s="2">
        <f>HYPERLINK("http://mcb-m6.bioreg.kyushu-u.ac.jp/M3/20110411/F50904/1318/1", 76.4)</f>
        <v>76.400000000000006</v>
      </c>
      <c r="E6768" s="2">
        <v>37.83</v>
      </c>
      <c r="F6768" s="2">
        <v>2</v>
      </c>
      <c r="G6768" s="2" t="s">
        <v>9</v>
      </c>
    </row>
    <row r="6769" spans="1:7" x14ac:dyDescent="0.2">
      <c r="A6769" s="2" t="s">
        <v>3361</v>
      </c>
      <c r="B6769" s="2" t="s">
        <v>1405</v>
      </c>
      <c r="C6769" s="2">
        <v>637.97270000000003</v>
      </c>
      <c r="D6769" s="2">
        <f>HYPERLINK("http://mcb-m6.bioreg.kyushu-u.ac.jp/M3/20110411/F50919/1186/1", 78.19)</f>
        <v>78.19</v>
      </c>
      <c r="E6769" s="2">
        <v>47.21</v>
      </c>
      <c r="F6769" s="2">
        <v>2</v>
      </c>
      <c r="G6769" s="2" t="s">
        <v>9</v>
      </c>
    </row>
    <row r="6770" spans="1:7" x14ac:dyDescent="0.2">
      <c r="A6770" s="2" t="s">
        <v>3361</v>
      </c>
      <c r="B6770" s="2" t="s">
        <v>816</v>
      </c>
      <c r="C6770" s="2">
        <v>766.42570000000001</v>
      </c>
      <c r="D6770" s="2">
        <f>HYPERLINK("http://mcb-m6.bioreg.kyushu-u.ac.jp/M3/20110411/F50904/2172/1", 79.38)</f>
        <v>79.38</v>
      </c>
      <c r="E6770" s="2">
        <v>52.42</v>
      </c>
      <c r="F6770" s="2">
        <v>2</v>
      </c>
      <c r="G6770" s="2" t="s">
        <v>9</v>
      </c>
    </row>
    <row r="6771" spans="1:7" x14ac:dyDescent="0.2">
      <c r="A6771" s="2" t="s">
        <v>3361</v>
      </c>
      <c r="B6771" s="2" t="s">
        <v>1371</v>
      </c>
      <c r="C6771" s="2">
        <v>564.98969999999997</v>
      </c>
      <c r="D6771" s="2">
        <f>HYPERLINK("http://mcb-m6.bioreg.kyushu-u.ac.jp/M3/20110411/F50919/892/1", 80.72)</f>
        <v>80.72</v>
      </c>
      <c r="E6771" s="2">
        <v>39.229999999999997</v>
      </c>
      <c r="F6771" s="2">
        <v>2</v>
      </c>
      <c r="G6771" s="2" t="s">
        <v>9</v>
      </c>
    </row>
    <row r="6772" spans="1:7" x14ac:dyDescent="0.2">
      <c r="A6772" s="2" t="s">
        <v>3361</v>
      </c>
      <c r="B6772" s="2" t="s">
        <v>1578</v>
      </c>
      <c r="C6772" s="2">
        <v>830.08119999999997</v>
      </c>
      <c r="D6772" s="2">
        <f>HYPERLINK("http://mcb-m6.bioreg.kyushu-u.ac.jp/M3/20110411/F50904/2444/1", 94.26)</f>
        <v>94.26</v>
      </c>
      <c r="E6772" s="2">
        <v>81.66</v>
      </c>
      <c r="F6772" s="2">
        <v>2</v>
      </c>
      <c r="G6772" s="2" t="s">
        <v>9</v>
      </c>
    </row>
    <row r="6773" spans="1:7" x14ac:dyDescent="0.2">
      <c r="A6773" s="2" t="s">
        <v>3361</v>
      </c>
      <c r="B6773" s="2" t="s">
        <v>1313</v>
      </c>
      <c r="C6773" s="2">
        <v>821.4991</v>
      </c>
      <c r="D6773" s="2">
        <f>HYPERLINK("http://mcb-m6.bioreg.kyushu-u.ac.jp/M3/20110411/F50919/2052/1", 109.76)</f>
        <v>109.76</v>
      </c>
      <c r="E6773" s="2">
        <v>91.59</v>
      </c>
      <c r="F6773" s="2">
        <v>2</v>
      </c>
      <c r="G6773" s="2" t="s">
        <v>9</v>
      </c>
    </row>
    <row r="6774" spans="1:7" x14ac:dyDescent="0.2">
      <c r="A6774" s="2" t="s">
        <v>3361</v>
      </c>
      <c r="B6774" s="2" t="s">
        <v>1727</v>
      </c>
      <c r="C6774" s="2">
        <v>471.10860000000002</v>
      </c>
      <c r="D6774" s="2">
        <f>HYPERLINK("http://mcb-m6.bioreg.kyushu-u.ac.jp/M3/20110411/F50912/984/1", 36.53)</f>
        <v>36.53</v>
      </c>
      <c r="E6774" s="2">
        <v>9.8699999999999992</v>
      </c>
      <c r="F6774" s="2">
        <v>2</v>
      </c>
      <c r="G6774" s="2" t="s">
        <v>10</v>
      </c>
    </row>
    <row r="6775" spans="1:7" x14ac:dyDescent="0.2">
      <c r="A6775" s="2" t="s">
        <v>3361</v>
      </c>
      <c r="B6775" s="2" t="s">
        <v>609</v>
      </c>
      <c r="C6775" s="2">
        <v>944.67200000000003</v>
      </c>
      <c r="D6775" s="2">
        <f>HYPERLINK("http://mcb-m6.bioreg.kyushu-u.ac.jp/M3/20110411/F50921/734/1", 37.8)</f>
        <v>37.799999999999997</v>
      </c>
      <c r="E6775" s="2">
        <v>17.12</v>
      </c>
      <c r="F6775" s="2">
        <v>1</v>
      </c>
      <c r="G6775" s="2" t="s">
        <v>10</v>
      </c>
    </row>
    <row r="6776" spans="1:7" x14ac:dyDescent="0.2">
      <c r="A6776" s="2" t="s">
        <v>3361</v>
      </c>
      <c r="B6776" s="2" t="s">
        <v>309</v>
      </c>
      <c r="C6776" s="2">
        <v>822.59860000000003</v>
      </c>
      <c r="D6776" s="2">
        <f>HYPERLINK("http://mcb-m6.bioreg.kyushu-u.ac.jp/M3/20110411/F50902/2454/1", 39.49)</f>
        <v>39.49</v>
      </c>
      <c r="E6776" s="2">
        <v>24.77</v>
      </c>
      <c r="F6776" s="2">
        <v>2</v>
      </c>
      <c r="G6776" s="2" t="s">
        <v>10</v>
      </c>
    </row>
    <row r="6777" spans="1:7" x14ac:dyDescent="0.2">
      <c r="A6777" s="2" t="s">
        <v>3361</v>
      </c>
      <c r="B6777" s="2" t="s">
        <v>692</v>
      </c>
      <c r="C6777" s="2">
        <v>597.26969999999994</v>
      </c>
      <c r="D6777" s="2">
        <f>HYPERLINK("http://mcb-m6.bioreg.kyushu-u.ac.jp/M3/20110411/F50921/1181/1", 39.79)</f>
        <v>39.79</v>
      </c>
      <c r="E6777" s="2">
        <v>14.41</v>
      </c>
      <c r="F6777" s="2">
        <v>2</v>
      </c>
      <c r="G6777" s="2" t="s">
        <v>10</v>
      </c>
    </row>
    <row r="6778" spans="1:7" x14ac:dyDescent="0.2">
      <c r="A6778" s="2" t="s">
        <v>3361</v>
      </c>
      <c r="B6778" s="2" t="s">
        <v>692</v>
      </c>
      <c r="C6778" s="2">
        <v>596.98860000000002</v>
      </c>
      <c r="D6778" s="2">
        <f>HYPERLINK("http://mcb-m6.bioreg.kyushu-u.ac.jp/M3/20110411/F50912/1420/1", 47.2)</f>
        <v>47.2</v>
      </c>
      <c r="E6778" s="2">
        <v>16.77</v>
      </c>
      <c r="F6778" s="2">
        <v>2</v>
      </c>
      <c r="G6778" s="2" t="s">
        <v>10</v>
      </c>
    </row>
    <row r="6779" spans="1:7" x14ac:dyDescent="0.2">
      <c r="A6779" s="2" t="s">
        <v>3361</v>
      </c>
      <c r="B6779" s="2" t="s">
        <v>629</v>
      </c>
      <c r="C6779" s="2">
        <v>1216.8389999999999</v>
      </c>
      <c r="D6779" s="2">
        <f>HYPERLINK("http://mcb-m6.bioreg.kyushu-u.ac.jp/M3/20110411/F50921/1247/1", 47.36)</f>
        <v>47.36</v>
      </c>
      <c r="E6779" s="2">
        <v>32.32</v>
      </c>
      <c r="F6779" s="2">
        <v>1</v>
      </c>
      <c r="G6779" s="2" t="s">
        <v>10</v>
      </c>
    </row>
    <row r="6780" spans="1:7" x14ac:dyDescent="0.2">
      <c r="A6780" s="2" t="s">
        <v>3361</v>
      </c>
      <c r="B6780" s="2" t="s">
        <v>629</v>
      </c>
      <c r="C6780" s="2">
        <v>1216.8630000000001</v>
      </c>
      <c r="D6780" s="2">
        <f>HYPERLINK("http://mcb-m6.bioreg.kyushu-u.ac.jp/M3/20110411/F50912/1482/1", 49)</f>
        <v>49</v>
      </c>
      <c r="E6780" s="2">
        <v>17.16</v>
      </c>
      <c r="F6780" s="2">
        <v>1</v>
      </c>
      <c r="G6780" s="2" t="s">
        <v>10</v>
      </c>
    </row>
    <row r="6781" spans="1:7" x14ac:dyDescent="0.2">
      <c r="A6781" s="2" t="s">
        <v>3361</v>
      </c>
      <c r="B6781" s="2" t="s">
        <v>975</v>
      </c>
      <c r="C6781" s="2">
        <v>881.03970000000004</v>
      </c>
      <c r="D6781" s="2">
        <f>HYPERLINK("http://mcb-m6.bioreg.kyushu-u.ac.jp/M3/20110411/F50913/2688/1", 49.7)</f>
        <v>49.7</v>
      </c>
      <c r="E6781" s="2">
        <v>35.61</v>
      </c>
      <c r="F6781" s="2">
        <v>2</v>
      </c>
      <c r="G6781" s="2" t="s">
        <v>10</v>
      </c>
    </row>
    <row r="6782" spans="1:7" x14ac:dyDescent="0.2">
      <c r="A6782" s="2" t="s">
        <v>3361</v>
      </c>
      <c r="B6782" s="2" t="s">
        <v>153</v>
      </c>
      <c r="C6782" s="2">
        <v>673.19870000000003</v>
      </c>
      <c r="D6782" s="2">
        <f>HYPERLINK("http://mcb-m6.bioreg.kyushu-u.ac.jp/M3/20110411/F50912/1703/1", 51.21)</f>
        <v>51.21</v>
      </c>
      <c r="E6782" s="2">
        <v>32.36</v>
      </c>
      <c r="F6782" s="2">
        <v>2</v>
      </c>
      <c r="G6782" s="2" t="s">
        <v>10</v>
      </c>
    </row>
    <row r="6783" spans="1:7" x14ac:dyDescent="0.2">
      <c r="A6783" s="2" t="s">
        <v>3361</v>
      </c>
      <c r="B6783" s="2" t="s">
        <v>609</v>
      </c>
      <c r="C6783" s="2">
        <v>943.86800000000005</v>
      </c>
      <c r="D6783" s="2">
        <f>HYPERLINK("http://mcb-m6.bioreg.kyushu-u.ac.jp/M3/20110411/F50912/989/1", 52.8)</f>
        <v>52.8</v>
      </c>
      <c r="E6783" s="2">
        <v>28.29</v>
      </c>
      <c r="F6783" s="2">
        <v>1</v>
      </c>
      <c r="G6783" s="2" t="s">
        <v>10</v>
      </c>
    </row>
    <row r="6784" spans="1:7" x14ac:dyDescent="0.2">
      <c r="A6784" s="2" t="s">
        <v>3361</v>
      </c>
      <c r="B6784" s="2" t="s">
        <v>609</v>
      </c>
      <c r="C6784" s="2">
        <v>943.67200000000003</v>
      </c>
      <c r="D6784" s="2">
        <f>HYPERLINK("http://mcb-m6.bioreg.kyushu-u.ac.jp/M3/20110411/F50921/730/1", 53.03)</f>
        <v>53.03</v>
      </c>
      <c r="E6784" s="2">
        <v>30.39</v>
      </c>
      <c r="F6784" s="2">
        <v>1</v>
      </c>
      <c r="G6784" s="2" t="s">
        <v>10</v>
      </c>
    </row>
    <row r="6785" spans="1:7" x14ac:dyDescent="0.2">
      <c r="A6785" s="2" t="s">
        <v>3361</v>
      </c>
      <c r="B6785" s="2" t="s">
        <v>975</v>
      </c>
      <c r="C6785" s="2">
        <v>880.50459999999998</v>
      </c>
      <c r="D6785" s="2">
        <f>HYPERLINK("http://mcb-m6.bioreg.kyushu-u.ac.jp/M3/20110411/F50921/2414/1", 54.13)</f>
        <v>54.13</v>
      </c>
      <c r="E6785" s="2">
        <v>38.03</v>
      </c>
      <c r="F6785" s="2">
        <v>2</v>
      </c>
      <c r="G6785" s="2" t="s">
        <v>10</v>
      </c>
    </row>
    <row r="6786" spans="1:7" x14ac:dyDescent="0.2">
      <c r="A6786" s="2" t="s">
        <v>3361</v>
      </c>
      <c r="B6786" s="2" t="s">
        <v>1371</v>
      </c>
      <c r="C6786" s="2">
        <v>564.84559999999999</v>
      </c>
      <c r="D6786" s="2">
        <f>HYPERLINK("http://mcb-m6.bioreg.kyushu-u.ac.jp/M3/20110411/F50921/1032/1", 54.64)</f>
        <v>54.64</v>
      </c>
      <c r="E6786" s="2">
        <v>30.01</v>
      </c>
      <c r="F6786" s="2">
        <v>2</v>
      </c>
      <c r="G6786" s="2" t="s">
        <v>10</v>
      </c>
    </row>
    <row r="6787" spans="1:7" x14ac:dyDescent="0.2">
      <c r="A6787" s="2" t="s">
        <v>3361</v>
      </c>
      <c r="B6787" s="2" t="s">
        <v>1998</v>
      </c>
      <c r="C6787" s="2">
        <v>756.89970000000005</v>
      </c>
      <c r="D6787" s="2">
        <f>HYPERLINK("http://mcb-m6.bioreg.kyushu-u.ac.jp/M3/20110411/F50921/1928/1", 58.67)</f>
        <v>58.67</v>
      </c>
      <c r="E6787" s="2">
        <v>44.32</v>
      </c>
      <c r="F6787" s="2">
        <v>2</v>
      </c>
      <c r="G6787" s="2" t="s">
        <v>10</v>
      </c>
    </row>
    <row r="6788" spans="1:7" x14ac:dyDescent="0.2">
      <c r="A6788" s="2" t="s">
        <v>3361</v>
      </c>
      <c r="B6788" s="2" t="s">
        <v>864</v>
      </c>
      <c r="C6788" s="2">
        <v>696.52869999999996</v>
      </c>
      <c r="D6788" s="2">
        <f>HYPERLINK("http://mcb-m6.bioreg.kyushu-u.ac.jp/M3/20110411/F50921/1626/1", 59.21)</f>
        <v>59.21</v>
      </c>
      <c r="E6788" s="2">
        <v>42.38</v>
      </c>
      <c r="F6788" s="2">
        <v>2</v>
      </c>
      <c r="G6788" s="2" t="s">
        <v>10</v>
      </c>
    </row>
    <row r="6789" spans="1:7" x14ac:dyDescent="0.2">
      <c r="A6789" s="2" t="s">
        <v>3361</v>
      </c>
      <c r="B6789" s="2" t="s">
        <v>309</v>
      </c>
      <c r="C6789" s="2">
        <v>822.36869999999999</v>
      </c>
      <c r="D6789" s="2">
        <f>HYPERLINK("http://mcb-m6.bioreg.kyushu-u.ac.jp/M3/20110411/F50921/2216/1", 60.7)</f>
        <v>60.7</v>
      </c>
      <c r="E6789" s="2">
        <v>46.01</v>
      </c>
      <c r="F6789" s="2">
        <v>2</v>
      </c>
      <c r="G6789" s="2" t="s">
        <v>10</v>
      </c>
    </row>
    <row r="6790" spans="1:7" x14ac:dyDescent="0.2">
      <c r="A6790" s="2" t="s">
        <v>3361</v>
      </c>
      <c r="B6790" s="2" t="s">
        <v>736</v>
      </c>
      <c r="C6790" s="2">
        <v>546.48320000000001</v>
      </c>
      <c r="D6790" s="2">
        <f>HYPERLINK("http://mcb-m6.bioreg.kyushu-u.ac.jp/M3/20110411/F50912/1239/1", 62.9)</f>
        <v>62.9</v>
      </c>
      <c r="E6790" s="2">
        <v>24.24</v>
      </c>
      <c r="F6790" s="2">
        <v>2</v>
      </c>
      <c r="G6790" s="2" t="s">
        <v>10</v>
      </c>
    </row>
    <row r="6791" spans="1:7" x14ac:dyDescent="0.2">
      <c r="A6791" s="2" t="s">
        <v>3361</v>
      </c>
      <c r="B6791" s="2" t="s">
        <v>2035</v>
      </c>
      <c r="C6791" s="2">
        <v>493.84559999999999</v>
      </c>
      <c r="D6791" s="2">
        <f>HYPERLINK("http://mcb-m6.bioreg.kyushu-u.ac.jp/M3/20110411/F50921/823/1", 65.06)</f>
        <v>65.06</v>
      </c>
      <c r="E6791" s="2">
        <v>13.93</v>
      </c>
      <c r="F6791" s="2">
        <v>2</v>
      </c>
      <c r="G6791" s="2" t="s">
        <v>10</v>
      </c>
    </row>
    <row r="6792" spans="1:7" x14ac:dyDescent="0.2">
      <c r="A6792" s="2" t="s">
        <v>3361</v>
      </c>
      <c r="B6792" s="2" t="s">
        <v>1998</v>
      </c>
      <c r="C6792" s="2">
        <v>756.59519999999998</v>
      </c>
      <c r="D6792" s="2">
        <f>HYPERLINK("http://mcb-m6.bioreg.kyushu-u.ac.jp/M3/20110411/F50912/2106/1", 68.4)</f>
        <v>68.400000000000006</v>
      </c>
      <c r="E6792" s="2">
        <v>47.93</v>
      </c>
      <c r="F6792" s="2">
        <v>2</v>
      </c>
      <c r="G6792" s="2" t="s">
        <v>10</v>
      </c>
    </row>
    <row r="6793" spans="1:7" x14ac:dyDescent="0.2">
      <c r="A6793" s="2" t="s">
        <v>3361</v>
      </c>
      <c r="B6793" s="2" t="s">
        <v>709</v>
      </c>
      <c r="C6793" s="2">
        <v>518.47919999999999</v>
      </c>
      <c r="D6793" s="2">
        <f>HYPERLINK("http://mcb-m6.bioreg.kyushu-u.ac.jp/M3/20110411/F50912/1138/1", 75.13)</f>
        <v>75.13</v>
      </c>
      <c r="E6793" s="2">
        <v>50.35</v>
      </c>
      <c r="F6793" s="2">
        <v>2</v>
      </c>
      <c r="G6793" s="2" t="s">
        <v>10</v>
      </c>
    </row>
    <row r="6794" spans="1:7" x14ac:dyDescent="0.2">
      <c r="A6794" s="2" t="s">
        <v>3361</v>
      </c>
      <c r="B6794" s="2" t="s">
        <v>1371</v>
      </c>
      <c r="C6794" s="2">
        <v>565.16359999999997</v>
      </c>
      <c r="D6794" s="2">
        <f>HYPERLINK("http://mcb-m6.bioreg.kyushu-u.ac.jp/M3/20110411/F50912/1294/1", 76.68)</f>
        <v>76.680000000000007</v>
      </c>
      <c r="E6794" s="2">
        <v>37.869999999999997</v>
      </c>
      <c r="F6794" s="2">
        <v>2</v>
      </c>
      <c r="G6794" s="2" t="s">
        <v>10</v>
      </c>
    </row>
    <row r="6795" spans="1:7" x14ac:dyDescent="0.2">
      <c r="A6795" s="2" t="s">
        <v>3361</v>
      </c>
      <c r="B6795" s="2" t="s">
        <v>816</v>
      </c>
      <c r="C6795" s="2">
        <v>766.40170000000001</v>
      </c>
      <c r="D6795" s="2">
        <f>HYPERLINK("http://mcb-m6.bioreg.kyushu-u.ac.jp/M3/20110411/F50921/1989/1", 82.57)</f>
        <v>82.57</v>
      </c>
      <c r="E6795" s="2">
        <v>61.61</v>
      </c>
      <c r="F6795" s="2">
        <v>2</v>
      </c>
      <c r="G6795" s="2" t="s">
        <v>10</v>
      </c>
    </row>
    <row r="6796" spans="1:7" x14ac:dyDescent="0.2">
      <c r="A6796" s="2" t="s">
        <v>3361</v>
      </c>
      <c r="B6796" s="2" t="s">
        <v>1313</v>
      </c>
      <c r="C6796" s="2">
        <v>821.47919999999999</v>
      </c>
      <c r="D6796" s="2">
        <f>HYPERLINK("http://mcb-m6.bioreg.kyushu-u.ac.jp/M3/20110411/F50921/2214/1", 84.93)</f>
        <v>84.93</v>
      </c>
      <c r="E6796" s="2">
        <v>63.9</v>
      </c>
      <c r="F6796" s="2">
        <v>2</v>
      </c>
      <c r="G6796" s="2" t="s">
        <v>10</v>
      </c>
    </row>
    <row r="6797" spans="1:7" x14ac:dyDescent="0.2">
      <c r="A6797" s="2" t="s">
        <v>3361</v>
      </c>
      <c r="B6797" s="2" t="s">
        <v>736</v>
      </c>
      <c r="C6797" s="2">
        <v>546.38620000000003</v>
      </c>
      <c r="D6797" s="2">
        <f>HYPERLINK("http://mcb-m6.bioreg.kyushu-u.ac.jp/M3/20110414/F50962/1024/1", 35.82)</f>
        <v>35.82</v>
      </c>
      <c r="E6797" s="2">
        <v>19.02</v>
      </c>
      <c r="F6797" s="2">
        <v>2</v>
      </c>
      <c r="G6797" s="2" t="s">
        <v>11</v>
      </c>
    </row>
    <row r="6798" spans="1:7" x14ac:dyDescent="0.2">
      <c r="A6798" s="2" t="s">
        <v>3361</v>
      </c>
      <c r="B6798" s="2" t="s">
        <v>309</v>
      </c>
      <c r="C6798" s="2">
        <v>822.32370000000003</v>
      </c>
      <c r="D6798" s="2">
        <f>HYPERLINK("http://mcb-m6.bioreg.kyushu-u.ac.jp/M3/20110414/F50945/2473/1", 42.09)</f>
        <v>42.09</v>
      </c>
      <c r="E6798" s="2">
        <v>24.27</v>
      </c>
      <c r="F6798" s="2">
        <v>2</v>
      </c>
      <c r="G6798" s="2" t="s">
        <v>11</v>
      </c>
    </row>
    <row r="6799" spans="1:7" x14ac:dyDescent="0.2">
      <c r="A6799" s="2" t="s">
        <v>3361</v>
      </c>
      <c r="B6799" s="2" t="s">
        <v>2290</v>
      </c>
      <c r="C6799" s="2">
        <v>634.80870000000004</v>
      </c>
      <c r="D6799" s="2">
        <f>HYPERLINK("http://mcb-m6.bioreg.kyushu-u.ac.jp/M3/20110414/F50962/1407/1", 43.45)</f>
        <v>43.45</v>
      </c>
      <c r="E6799" s="2">
        <v>20.95</v>
      </c>
      <c r="F6799" s="2">
        <v>2</v>
      </c>
      <c r="G6799" s="2" t="s">
        <v>11</v>
      </c>
    </row>
    <row r="6800" spans="1:7" x14ac:dyDescent="0.2">
      <c r="A6800" s="2" t="s">
        <v>3361</v>
      </c>
      <c r="B6800" s="2" t="s">
        <v>1313</v>
      </c>
      <c r="C6800" s="2">
        <v>821.84370000000001</v>
      </c>
      <c r="D6800" s="2">
        <f>HYPERLINK("http://mcb-m6.bioreg.kyushu-u.ac.jp/M3/20110414/F50941/2524/1", 46)</f>
        <v>46</v>
      </c>
      <c r="E6800" s="2">
        <v>34.270000000000003</v>
      </c>
      <c r="F6800" s="2">
        <v>2</v>
      </c>
      <c r="G6800" s="2" t="s">
        <v>11</v>
      </c>
    </row>
    <row r="6801" spans="1:7" x14ac:dyDescent="0.2">
      <c r="A6801" s="2" t="s">
        <v>3361</v>
      </c>
      <c r="B6801" s="2" t="s">
        <v>629</v>
      </c>
      <c r="C6801" s="2">
        <v>1216.4849999999999</v>
      </c>
      <c r="D6801" s="2">
        <f>HYPERLINK("http://mcb-m6.bioreg.kyushu-u.ac.jp/M3/20110414/F50941/1378/1", 47.25)</f>
        <v>47.25</v>
      </c>
      <c r="E6801" s="2">
        <v>24.86</v>
      </c>
      <c r="F6801" s="2">
        <v>1</v>
      </c>
      <c r="G6801" s="2" t="s">
        <v>11</v>
      </c>
    </row>
    <row r="6802" spans="1:7" x14ac:dyDescent="0.2">
      <c r="A6802" s="2" t="s">
        <v>3361</v>
      </c>
      <c r="B6802" s="2" t="s">
        <v>609</v>
      </c>
      <c r="C6802" s="2">
        <v>943.55399999999997</v>
      </c>
      <c r="D6802" s="2">
        <f>HYPERLINK("http://mcb-m6.bioreg.kyushu-u.ac.jp/M3/20110414/F50962/741/1", 50.53)</f>
        <v>50.53</v>
      </c>
      <c r="E6802" s="2">
        <v>26.04</v>
      </c>
      <c r="F6802" s="2">
        <v>1</v>
      </c>
      <c r="G6802" s="2" t="s">
        <v>11</v>
      </c>
    </row>
    <row r="6803" spans="1:7" x14ac:dyDescent="0.2">
      <c r="A6803" s="2" t="s">
        <v>3361</v>
      </c>
      <c r="B6803" s="2" t="s">
        <v>629</v>
      </c>
      <c r="C6803" s="2">
        <v>1216.5229999999999</v>
      </c>
      <c r="D6803" s="2">
        <f>HYPERLINK("http://mcb-m6.bioreg.kyushu-u.ac.jp/M3/20110414/F50962/1296/1", 52.31)</f>
        <v>52.31</v>
      </c>
      <c r="E6803" s="2">
        <v>35.22</v>
      </c>
      <c r="F6803" s="2">
        <v>1</v>
      </c>
      <c r="G6803" s="2" t="s">
        <v>11</v>
      </c>
    </row>
    <row r="6804" spans="1:7" x14ac:dyDescent="0.2">
      <c r="A6804" s="2" t="s">
        <v>3361</v>
      </c>
      <c r="B6804" s="2" t="s">
        <v>578</v>
      </c>
      <c r="C6804" s="2">
        <v>897.39070000000004</v>
      </c>
      <c r="D6804" s="2">
        <f>HYPERLINK("http://mcb-m6.bioreg.kyushu-u.ac.jp/M3/20110414/F50962/2553/1", 53.92)</f>
        <v>53.92</v>
      </c>
      <c r="E6804" s="2">
        <v>31.95</v>
      </c>
      <c r="F6804" s="2">
        <v>2</v>
      </c>
      <c r="G6804" s="2" t="s">
        <v>11</v>
      </c>
    </row>
    <row r="6805" spans="1:7" x14ac:dyDescent="0.2">
      <c r="A6805" s="2" t="s">
        <v>3361</v>
      </c>
      <c r="B6805" s="2" t="s">
        <v>1313</v>
      </c>
      <c r="C6805" s="2">
        <v>548.11980000000005</v>
      </c>
      <c r="D6805" s="2">
        <f>HYPERLINK("http://mcb-m6.bioreg.kyushu-u.ac.jp/M3/20110414/F50962/2246/1", 53.94)</f>
        <v>53.94</v>
      </c>
      <c r="E6805" s="2">
        <v>38.590000000000003</v>
      </c>
      <c r="F6805" s="2">
        <v>3</v>
      </c>
      <c r="G6805" s="2" t="s">
        <v>11</v>
      </c>
    </row>
    <row r="6806" spans="1:7" x14ac:dyDescent="0.2">
      <c r="A6806" s="2" t="s">
        <v>3361</v>
      </c>
      <c r="B6806" s="2" t="s">
        <v>309</v>
      </c>
      <c r="C6806" s="2">
        <v>822.19209999999998</v>
      </c>
      <c r="D6806" s="2">
        <f>HYPERLINK("http://mcb-m6.bioreg.kyushu-u.ac.jp/M3/20110414/F50962/2249/1", 60.02)</f>
        <v>60.02</v>
      </c>
      <c r="E6806" s="2">
        <v>43</v>
      </c>
      <c r="F6806" s="2">
        <v>2</v>
      </c>
      <c r="G6806" s="2" t="s">
        <v>11</v>
      </c>
    </row>
    <row r="6807" spans="1:7" x14ac:dyDescent="0.2">
      <c r="A6807" s="2" t="s">
        <v>3361</v>
      </c>
      <c r="B6807" s="2" t="s">
        <v>578</v>
      </c>
      <c r="C6807" s="2">
        <v>897.03470000000004</v>
      </c>
      <c r="D6807" s="2">
        <f>HYPERLINK("http://mcb-m6.bioreg.kyushu-u.ac.jp/M3/20110414/F50962/2548/1", 60.32)</f>
        <v>60.32</v>
      </c>
      <c r="E6807" s="2">
        <v>41.36</v>
      </c>
      <c r="F6807" s="2">
        <v>2</v>
      </c>
      <c r="G6807" s="2" t="s">
        <v>11</v>
      </c>
    </row>
    <row r="6808" spans="1:7" x14ac:dyDescent="0.2">
      <c r="A6808" s="2" t="s">
        <v>3361</v>
      </c>
      <c r="B6808" s="2" t="s">
        <v>1371</v>
      </c>
      <c r="C6808" s="2">
        <v>565.24519999999995</v>
      </c>
      <c r="D6808" s="2">
        <f>HYPERLINK("http://mcb-m6.bioreg.kyushu-u.ac.jp/M3/20110414/F50962/1074/1", 64.73)</f>
        <v>64.73</v>
      </c>
      <c r="E6808" s="2">
        <v>30</v>
      </c>
      <c r="F6808" s="2">
        <v>2</v>
      </c>
      <c r="G6808" s="2" t="s">
        <v>11</v>
      </c>
    </row>
    <row r="6809" spans="1:7" x14ac:dyDescent="0.2">
      <c r="A6809" s="2" t="s">
        <v>3361</v>
      </c>
      <c r="B6809" s="2" t="s">
        <v>1998</v>
      </c>
      <c r="C6809" s="2">
        <v>756.66819999999996</v>
      </c>
      <c r="D6809" s="2">
        <f>HYPERLINK("http://mcb-m6.bioreg.kyushu-u.ac.jp/M3/20110414/F50962/1989/1", 65.21)</f>
        <v>65.209999999999994</v>
      </c>
      <c r="E6809" s="2">
        <v>51.6</v>
      </c>
      <c r="F6809" s="2">
        <v>2</v>
      </c>
      <c r="G6809" s="2" t="s">
        <v>11</v>
      </c>
    </row>
    <row r="6810" spans="1:7" x14ac:dyDescent="0.2">
      <c r="A6810" s="2" t="s">
        <v>3361</v>
      </c>
      <c r="B6810" s="2" t="s">
        <v>309</v>
      </c>
      <c r="C6810" s="2">
        <v>822.73320000000001</v>
      </c>
      <c r="D6810" s="2">
        <f>HYPERLINK("http://mcb-m6.bioreg.kyushu-u.ac.jp/M3/20110414/F50962/2251/1", 66.29)</f>
        <v>66.290000000000006</v>
      </c>
      <c r="E6810" s="2">
        <v>49.59</v>
      </c>
      <c r="F6810" s="2">
        <v>2</v>
      </c>
      <c r="G6810" s="2" t="s">
        <v>11</v>
      </c>
    </row>
    <row r="6811" spans="1:7" x14ac:dyDescent="0.2">
      <c r="A6811" s="2" t="s">
        <v>3361</v>
      </c>
      <c r="B6811" s="2" t="s">
        <v>629</v>
      </c>
      <c r="C6811" s="2">
        <v>608.65970000000004</v>
      </c>
      <c r="D6811" s="2">
        <f>HYPERLINK("http://mcb-m6.bioreg.kyushu-u.ac.jp/M3/20110414/F50941/1377/1", 72.17)</f>
        <v>72.17</v>
      </c>
      <c r="E6811" s="2">
        <v>44.53</v>
      </c>
      <c r="F6811" s="2">
        <v>2</v>
      </c>
      <c r="G6811" s="2" t="s">
        <v>11</v>
      </c>
    </row>
    <row r="6812" spans="1:7" x14ac:dyDescent="0.2">
      <c r="A6812" s="2" t="s">
        <v>3361</v>
      </c>
      <c r="B6812" s="2" t="s">
        <v>975</v>
      </c>
      <c r="C6812" s="2">
        <v>880.71420000000001</v>
      </c>
      <c r="D6812" s="2">
        <f>HYPERLINK("http://mcb-m6.bioreg.kyushu-u.ac.jp/M3/20110414/F50962/2449/1", 75.36)</f>
        <v>75.36</v>
      </c>
      <c r="E6812" s="2">
        <v>59.98</v>
      </c>
      <c r="F6812" s="2">
        <v>2</v>
      </c>
      <c r="G6812" s="2" t="s">
        <v>11</v>
      </c>
    </row>
    <row r="6813" spans="1:7" x14ac:dyDescent="0.2">
      <c r="A6813" s="2" t="s">
        <v>3361</v>
      </c>
      <c r="B6813" s="2" t="s">
        <v>1371</v>
      </c>
      <c r="C6813" s="2">
        <v>564.73069999999996</v>
      </c>
      <c r="D6813" s="2">
        <f>HYPERLINK("http://mcb-m6.bioreg.kyushu-u.ac.jp/M3/20110414/F50962/1070/1", 77)</f>
        <v>77</v>
      </c>
      <c r="E6813" s="2">
        <v>49.81</v>
      </c>
      <c r="F6813" s="2">
        <v>2</v>
      </c>
      <c r="G6813" s="2" t="s">
        <v>11</v>
      </c>
    </row>
    <row r="6814" spans="1:7" x14ac:dyDescent="0.2">
      <c r="A6814" s="2" t="s">
        <v>3361</v>
      </c>
      <c r="B6814" s="2" t="s">
        <v>1313</v>
      </c>
      <c r="C6814" s="2">
        <v>821.85270000000003</v>
      </c>
      <c r="D6814" s="2">
        <f>HYPERLINK("http://mcb-m6.bioreg.kyushu-u.ac.jp/M3/20110414/F50962/2248/1", 77.61)</f>
        <v>77.61</v>
      </c>
      <c r="E6814" s="2">
        <v>60.78</v>
      </c>
      <c r="F6814" s="2">
        <v>2</v>
      </c>
      <c r="G6814" s="2" t="s">
        <v>11</v>
      </c>
    </row>
    <row r="6815" spans="1:7" x14ac:dyDescent="0.2">
      <c r="A6815" s="2" t="s">
        <v>3361</v>
      </c>
      <c r="B6815" s="2" t="s">
        <v>309</v>
      </c>
      <c r="C6815" s="2">
        <v>822.78269999999998</v>
      </c>
      <c r="D6815" s="2">
        <f>HYPERLINK("http://mcb-m6.bioreg.kyushu-u.ac.jp/M3/20110414/F50929/2571/1", 79.22)</f>
        <v>79.22</v>
      </c>
      <c r="E6815" s="2">
        <v>67.540000000000006</v>
      </c>
      <c r="F6815" s="2">
        <v>2</v>
      </c>
      <c r="G6815" s="2" t="s">
        <v>11</v>
      </c>
    </row>
    <row r="6816" spans="1:7" x14ac:dyDescent="0.2">
      <c r="A6816" s="2" t="s">
        <v>3361</v>
      </c>
      <c r="B6816" s="2" t="s">
        <v>864</v>
      </c>
      <c r="C6816" s="2">
        <v>696.17470000000003</v>
      </c>
      <c r="D6816" s="2">
        <f>HYPERLINK("http://mcb-m6.bioreg.kyushu-u.ac.jp/M3/20110414/F50962/1708/1", 100.39)</f>
        <v>100.39</v>
      </c>
      <c r="E6816" s="2">
        <v>83.05</v>
      </c>
      <c r="F6816" s="2">
        <v>2</v>
      </c>
      <c r="G6816" s="2" t="s">
        <v>11</v>
      </c>
    </row>
    <row r="6817" spans="1:8" x14ac:dyDescent="0.2">
      <c r="A6817" s="2" t="s">
        <v>3361</v>
      </c>
      <c r="B6817" s="2" t="s">
        <v>578</v>
      </c>
      <c r="C6817" s="2">
        <v>897.42110000000002</v>
      </c>
      <c r="D6817" s="2">
        <f>HYPERLINK("http://mcb-m6.bioreg.kyushu-u.ac.jp/M3/20110414/F50963/2551/1", 35.67)</f>
        <v>35.67</v>
      </c>
      <c r="E6817" s="2">
        <v>20.54</v>
      </c>
      <c r="F6817" s="2">
        <v>2</v>
      </c>
      <c r="G6817" s="2" t="s">
        <v>12</v>
      </c>
    </row>
    <row r="6818" spans="1:8" x14ac:dyDescent="0.2">
      <c r="A6818" s="2" t="s">
        <v>3361</v>
      </c>
      <c r="B6818" s="2" t="s">
        <v>629</v>
      </c>
      <c r="C6818" s="2">
        <v>1216.431</v>
      </c>
      <c r="D6818" s="2">
        <f>HYPERLINK("http://mcb-m6.bioreg.kyushu-u.ac.jp/M3/20110414/F50963/1185/1", 44.11)</f>
        <v>44.11</v>
      </c>
      <c r="E6818" s="2">
        <v>27.05</v>
      </c>
      <c r="F6818" s="2">
        <v>1</v>
      </c>
      <c r="G6818" s="2" t="s">
        <v>12</v>
      </c>
    </row>
    <row r="6819" spans="1:8" x14ac:dyDescent="0.2">
      <c r="A6819" s="2" t="s">
        <v>3361</v>
      </c>
      <c r="B6819" s="2" t="s">
        <v>1313</v>
      </c>
      <c r="C6819" s="2">
        <v>821.92269999999996</v>
      </c>
      <c r="D6819" s="2">
        <f>HYPERLINK("http://mcb-m6.bioreg.kyushu-u.ac.jp/M3/20110414/F50947/2472/1", 45.85)</f>
        <v>45.85</v>
      </c>
      <c r="E6819" s="2">
        <v>34.99</v>
      </c>
      <c r="F6819" s="2">
        <v>2</v>
      </c>
      <c r="G6819" s="2" t="s">
        <v>12</v>
      </c>
    </row>
    <row r="6820" spans="1:8" x14ac:dyDescent="0.2">
      <c r="A6820" s="2" t="s">
        <v>3361</v>
      </c>
      <c r="B6820" s="2" t="s">
        <v>692</v>
      </c>
      <c r="C6820" s="2">
        <v>605.13459999999998</v>
      </c>
      <c r="D6820" s="2">
        <f>HYPERLINK("http://mcb-m6.bioreg.kyushu-u.ac.jp/M3/20110414/F50963/1167/1", 46.59)</f>
        <v>46.59</v>
      </c>
      <c r="E6820" s="2">
        <v>21.36</v>
      </c>
      <c r="F6820" s="2">
        <v>2</v>
      </c>
      <c r="G6820" s="2" t="s">
        <v>12</v>
      </c>
      <c r="H6820" s="2" t="s">
        <v>4917</v>
      </c>
    </row>
    <row r="6821" spans="1:8" x14ac:dyDescent="0.2">
      <c r="A6821" s="2" t="s">
        <v>3361</v>
      </c>
      <c r="B6821" s="2" t="s">
        <v>309</v>
      </c>
      <c r="C6821" s="2">
        <v>822.8922</v>
      </c>
      <c r="D6821" s="2">
        <f>HYPERLINK("http://mcb-m6.bioreg.kyushu-u.ac.jp/M3/20110414/F50947/2477/1", 49.83)</f>
        <v>49.83</v>
      </c>
      <c r="E6821" s="2">
        <v>34.76</v>
      </c>
      <c r="F6821" s="2">
        <v>2</v>
      </c>
      <c r="G6821" s="2" t="s">
        <v>12</v>
      </c>
    </row>
    <row r="6822" spans="1:8" x14ac:dyDescent="0.2">
      <c r="A6822" s="2" t="s">
        <v>3361</v>
      </c>
      <c r="B6822" s="2" t="s">
        <v>1313</v>
      </c>
      <c r="C6822" s="2">
        <v>821.38210000000004</v>
      </c>
      <c r="D6822" s="2">
        <f>HYPERLINK("http://mcb-m6.bioreg.kyushu-u.ac.jp/M3/20110414/F50963/2214/1", 51.54)</f>
        <v>51.54</v>
      </c>
      <c r="E6822" s="2">
        <v>40.31</v>
      </c>
      <c r="F6822" s="2">
        <v>2</v>
      </c>
      <c r="G6822" s="2" t="s">
        <v>12</v>
      </c>
    </row>
    <row r="6823" spans="1:8" x14ac:dyDescent="0.2">
      <c r="A6823" s="2" t="s">
        <v>3361</v>
      </c>
      <c r="B6823" s="2" t="s">
        <v>816</v>
      </c>
      <c r="C6823" s="2">
        <v>766.13509999999997</v>
      </c>
      <c r="D6823" s="2">
        <f>HYPERLINK("http://mcb-m6.bioreg.kyushu-u.ac.jp/M3/20110414/F50963/1970/1", 52.63)</f>
        <v>52.63</v>
      </c>
      <c r="E6823" s="2">
        <v>34.67</v>
      </c>
      <c r="F6823" s="2">
        <v>2</v>
      </c>
      <c r="G6823" s="2" t="s">
        <v>12</v>
      </c>
    </row>
    <row r="6824" spans="1:8" x14ac:dyDescent="0.2">
      <c r="A6824" s="2" t="s">
        <v>3361</v>
      </c>
      <c r="B6824" s="2" t="s">
        <v>1998</v>
      </c>
      <c r="C6824" s="2">
        <v>756.14419999999996</v>
      </c>
      <c r="D6824" s="2">
        <f>HYPERLINK("http://mcb-m6.bioreg.kyushu-u.ac.jp/M3/20110414/F50963/1910/1", 71.69)</f>
        <v>71.69</v>
      </c>
      <c r="E6824" s="2">
        <v>58.44</v>
      </c>
      <c r="F6824" s="2">
        <v>2</v>
      </c>
      <c r="G6824" s="2" t="s">
        <v>12</v>
      </c>
    </row>
    <row r="6825" spans="1:8" x14ac:dyDescent="0.2">
      <c r="A6825" s="2" t="s">
        <v>3361</v>
      </c>
      <c r="B6825" s="2" t="s">
        <v>309</v>
      </c>
      <c r="C6825" s="2">
        <v>822.17660000000001</v>
      </c>
      <c r="D6825" s="2">
        <f>HYPERLINK("http://mcb-m6.bioreg.kyushu-u.ac.jp/M3/20110414/F50963/2217/1", 81.12)</f>
        <v>81.12</v>
      </c>
      <c r="E6825" s="2">
        <v>66.45</v>
      </c>
      <c r="F6825" s="2">
        <v>2</v>
      </c>
      <c r="G6825" s="2" t="s">
        <v>12</v>
      </c>
    </row>
    <row r="6826" spans="1:8" x14ac:dyDescent="0.2">
      <c r="A6826" s="2" t="s">
        <v>3361</v>
      </c>
      <c r="B6826" s="2" t="s">
        <v>975</v>
      </c>
      <c r="C6826" s="2">
        <v>880.26969999999994</v>
      </c>
      <c r="D6826" s="2">
        <f>HYPERLINK("http://mcb-m6.bioreg.kyushu-u.ac.jp/M3/20110414/F50963/2444/1", 91.28)</f>
        <v>91.28</v>
      </c>
      <c r="E6826" s="2">
        <v>73.400000000000006</v>
      </c>
      <c r="F6826" s="2">
        <v>2</v>
      </c>
      <c r="G6826" s="2" t="s">
        <v>12</v>
      </c>
    </row>
    <row r="6827" spans="1:8" x14ac:dyDescent="0.2">
      <c r="A6827" s="2" t="s">
        <v>3361</v>
      </c>
      <c r="B6827" s="2" t="s">
        <v>309</v>
      </c>
      <c r="C6827" s="2">
        <v>822.53369999999995</v>
      </c>
      <c r="D6827" s="2">
        <f>HYPERLINK("http://mcb-m6.bioreg.kyushu-u.ac.jp/M3/20110502/F51170/2497/1", 44.89)</f>
        <v>44.89</v>
      </c>
      <c r="E6827" s="2">
        <v>34.01</v>
      </c>
      <c r="F6827" s="2">
        <v>2</v>
      </c>
      <c r="G6827" s="2" t="s">
        <v>13</v>
      </c>
    </row>
    <row r="6828" spans="1:8" x14ac:dyDescent="0.2">
      <c r="A6828" s="2" t="s">
        <v>3361</v>
      </c>
      <c r="B6828" s="2" t="s">
        <v>692</v>
      </c>
      <c r="C6828" s="2">
        <v>605.16769999999997</v>
      </c>
      <c r="D6828" s="2">
        <f>HYPERLINK("http://mcb-m6.bioreg.kyushu-u.ac.jp/M3/20110502/F51187/1162/1", 53.19)</f>
        <v>53.19</v>
      </c>
      <c r="E6828" s="2">
        <v>28.72</v>
      </c>
      <c r="F6828" s="2">
        <v>2</v>
      </c>
      <c r="G6828" s="2" t="s">
        <v>13</v>
      </c>
      <c r="H6828" s="2" t="s">
        <v>4917</v>
      </c>
    </row>
    <row r="6829" spans="1:8" x14ac:dyDescent="0.2">
      <c r="A6829" s="2" t="s">
        <v>3361</v>
      </c>
      <c r="B6829" s="2" t="s">
        <v>709</v>
      </c>
      <c r="C6829" s="2">
        <v>518.39369999999997</v>
      </c>
      <c r="D6829" s="2">
        <f>HYPERLINK("http://mcb-m6.bioreg.kyushu-u.ac.jp/M3/20110502/F51187/837/1", 54.18)</f>
        <v>54.18</v>
      </c>
      <c r="E6829" s="2">
        <v>27.62</v>
      </c>
      <c r="F6829" s="2">
        <v>2</v>
      </c>
      <c r="G6829" s="2" t="s">
        <v>13</v>
      </c>
    </row>
    <row r="6830" spans="1:8" x14ac:dyDescent="0.2">
      <c r="A6830" s="2" t="s">
        <v>3361</v>
      </c>
      <c r="B6830" s="2" t="s">
        <v>878</v>
      </c>
      <c r="C6830" s="2">
        <v>573.8682</v>
      </c>
      <c r="D6830" s="2">
        <f>HYPERLINK("http://mcb-m6.bioreg.kyushu-u.ac.jp/M3/20110502/F51187/1019/1", 67.77)</f>
        <v>67.77</v>
      </c>
      <c r="E6830" s="2">
        <v>37.54</v>
      </c>
      <c r="F6830" s="2">
        <v>2</v>
      </c>
      <c r="G6830" s="2" t="s">
        <v>13</v>
      </c>
    </row>
    <row r="6831" spans="1:8" x14ac:dyDescent="0.2">
      <c r="A6831" s="2" t="s">
        <v>3361</v>
      </c>
      <c r="B6831" s="2" t="s">
        <v>629</v>
      </c>
      <c r="C6831" s="2">
        <v>608.94269999999995</v>
      </c>
      <c r="D6831" s="2">
        <f>HYPERLINK("http://mcb-m6.bioreg.kyushu-u.ac.jp/M3/20110502/F51170/1475/1", 69.08)</f>
        <v>69.08</v>
      </c>
      <c r="E6831" s="2">
        <v>41.71</v>
      </c>
      <c r="F6831" s="2">
        <v>2</v>
      </c>
      <c r="G6831" s="2" t="s">
        <v>13</v>
      </c>
    </row>
    <row r="6832" spans="1:8" x14ac:dyDescent="0.2">
      <c r="A6832" s="2" t="s">
        <v>3361</v>
      </c>
      <c r="B6832" s="2" t="s">
        <v>736</v>
      </c>
      <c r="C6832" s="2">
        <v>546.65260000000001</v>
      </c>
      <c r="D6832" s="2">
        <f>HYPERLINK("http://mcb-m6.bioreg.kyushu-u.ac.jp/M3/20110502/F51187/921/1", 75.01)</f>
        <v>75.010000000000005</v>
      </c>
      <c r="E6832" s="2">
        <v>43.78</v>
      </c>
      <c r="F6832" s="2">
        <v>2</v>
      </c>
      <c r="G6832" s="2" t="s">
        <v>13</v>
      </c>
    </row>
    <row r="6833" spans="1:8" x14ac:dyDescent="0.2">
      <c r="A6833" s="2" t="s">
        <v>3361</v>
      </c>
      <c r="B6833" s="2" t="s">
        <v>816</v>
      </c>
      <c r="C6833" s="2">
        <v>774.03610000000003</v>
      </c>
      <c r="D6833" s="2">
        <f>HYPERLINK("http://mcb-m6.bioreg.kyushu-u.ac.jp/M3/20110502/F51187/1889/1", 90.73)</f>
        <v>90.73</v>
      </c>
      <c r="E6833" s="2">
        <v>77.010000000000005</v>
      </c>
      <c r="F6833" s="2">
        <v>2</v>
      </c>
      <c r="G6833" s="2" t="s">
        <v>13</v>
      </c>
      <c r="H6833" s="2" t="s">
        <v>4927</v>
      </c>
    </row>
    <row r="6834" spans="1:8" x14ac:dyDescent="0.2">
      <c r="A6834" s="2" t="s">
        <v>3361</v>
      </c>
      <c r="B6834" s="2" t="s">
        <v>816</v>
      </c>
      <c r="C6834" s="2">
        <v>765.95259999999996</v>
      </c>
      <c r="D6834" s="2">
        <f>HYPERLINK("http://mcb-m6.bioreg.kyushu-u.ac.jp/M3/20110502/F51187/1864/1", 92.26)</f>
        <v>92.26</v>
      </c>
      <c r="E6834" s="2">
        <v>72.89</v>
      </c>
      <c r="F6834" s="2">
        <v>2</v>
      </c>
      <c r="G6834" s="2" t="s">
        <v>13</v>
      </c>
    </row>
    <row r="6835" spans="1:8" x14ac:dyDescent="0.2">
      <c r="A6835" s="2" t="s">
        <v>3361</v>
      </c>
      <c r="B6835" s="2" t="s">
        <v>309</v>
      </c>
      <c r="C6835" s="2">
        <v>822.52970000000005</v>
      </c>
      <c r="D6835" s="2">
        <f>HYPERLINK("http://mcb-m6.bioreg.kyushu-u.ac.jp/M3/20110502/F51187/2055/1", 100.43)</f>
        <v>100.43</v>
      </c>
      <c r="E6835" s="2">
        <v>76.55</v>
      </c>
      <c r="F6835" s="2">
        <v>2</v>
      </c>
      <c r="G6835" s="2" t="s">
        <v>13</v>
      </c>
    </row>
    <row r="6836" spans="1:8" x14ac:dyDescent="0.2">
      <c r="A6836" s="2" t="s">
        <v>3361</v>
      </c>
      <c r="B6836" s="2" t="s">
        <v>2035</v>
      </c>
      <c r="C6836" s="2">
        <v>493.97809999999998</v>
      </c>
      <c r="D6836" s="2">
        <f>HYPERLINK("http://mcb-m6.bioreg.kyushu-u.ac.jp/M3/20110502/F51191/727/1", 48.45)</f>
        <v>48.45</v>
      </c>
      <c r="E6836" s="2">
        <v>19.149999999999999</v>
      </c>
      <c r="F6836" s="2">
        <v>2</v>
      </c>
      <c r="G6836" s="2" t="s">
        <v>14</v>
      </c>
    </row>
    <row r="6837" spans="1:8" x14ac:dyDescent="0.2">
      <c r="A6837" s="2" t="s">
        <v>3361</v>
      </c>
      <c r="B6837" s="2" t="s">
        <v>1313</v>
      </c>
      <c r="C6837" s="2">
        <v>821.73820000000001</v>
      </c>
      <c r="D6837" s="2">
        <f>HYPERLINK("http://mcb-m6.bioreg.kyushu-u.ac.jp/M3/20110502/F51191/2051/1", 57.63)</f>
        <v>57.63</v>
      </c>
      <c r="E6837" s="2">
        <v>40.67</v>
      </c>
      <c r="F6837" s="2">
        <v>2</v>
      </c>
      <c r="G6837" s="2" t="s">
        <v>14</v>
      </c>
    </row>
    <row r="6838" spans="1:8" x14ac:dyDescent="0.2">
      <c r="A6838" s="2" t="s">
        <v>3361</v>
      </c>
      <c r="B6838" s="2" t="s">
        <v>816</v>
      </c>
      <c r="C6838" s="2">
        <v>766.42409999999995</v>
      </c>
      <c r="D6838" s="2">
        <f>HYPERLINK("http://mcb-m6.bioreg.kyushu-u.ac.jp/M3/20110502/F51191/1850/1", 79.94)</f>
        <v>79.94</v>
      </c>
      <c r="E6838" s="2">
        <v>58.52</v>
      </c>
      <c r="F6838" s="2">
        <v>2</v>
      </c>
      <c r="G6838" s="2" t="s">
        <v>14</v>
      </c>
    </row>
    <row r="6839" spans="1:8" x14ac:dyDescent="0.2">
      <c r="A6839" s="2" t="s">
        <v>3361</v>
      </c>
      <c r="B6839" s="2" t="s">
        <v>309</v>
      </c>
      <c r="C6839" s="2">
        <v>822.54110000000003</v>
      </c>
      <c r="D6839" s="2">
        <f>HYPERLINK("http://mcb-m6.bioreg.kyushu-u.ac.jp/M3/20110502/F51191/2054/1", 89.78)</f>
        <v>89.78</v>
      </c>
      <c r="E6839" s="2">
        <v>72.7</v>
      </c>
      <c r="F6839" s="2">
        <v>2</v>
      </c>
      <c r="G6839" s="2" t="s">
        <v>14</v>
      </c>
    </row>
    <row r="6840" spans="1:8" x14ac:dyDescent="0.2">
      <c r="A6840" s="2" t="s">
        <v>4099</v>
      </c>
      <c r="B6840" s="2" t="s">
        <v>1562</v>
      </c>
      <c r="C6840" s="2">
        <v>742.55319999999995</v>
      </c>
      <c r="D6840" s="2">
        <f>HYPERLINK("http://mcb-m6.bioreg.kyushu-u.ac.jp/M3/20110411/F50890/2196/1", 92.87)</f>
        <v>92.87</v>
      </c>
      <c r="E6840" s="2">
        <v>74.91</v>
      </c>
      <c r="F6840" s="2">
        <v>2</v>
      </c>
      <c r="G6840" s="2" t="s">
        <v>9</v>
      </c>
    </row>
    <row r="6841" spans="1:8" x14ac:dyDescent="0.2">
      <c r="A6841" s="2" t="s">
        <v>4099</v>
      </c>
      <c r="B6841" s="2" t="s">
        <v>2329</v>
      </c>
      <c r="C6841" s="2">
        <v>727.16219999999998</v>
      </c>
      <c r="D6841" s="2">
        <f>HYPERLINK("http://mcb-m6.bioreg.kyushu-u.ac.jp/M3/20110414/F50927/2234/1", 46.83)</f>
        <v>46.83</v>
      </c>
      <c r="E6841" s="2">
        <v>26.71</v>
      </c>
      <c r="F6841" s="2">
        <v>2</v>
      </c>
      <c r="G6841" s="2" t="s">
        <v>11</v>
      </c>
    </row>
    <row r="6842" spans="1:8" x14ac:dyDescent="0.2">
      <c r="A6842" s="2" t="s">
        <v>4099</v>
      </c>
      <c r="B6842" s="2" t="s">
        <v>2329</v>
      </c>
      <c r="C6842" s="2">
        <v>727.99720000000002</v>
      </c>
      <c r="D6842" s="2">
        <f>HYPERLINK("http://mcb-m6.bioreg.kyushu-u.ac.jp/M3/20110414/F50927/2240/1", 50.87)</f>
        <v>50.87</v>
      </c>
      <c r="E6842" s="2">
        <v>35.86</v>
      </c>
      <c r="F6842" s="2">
        <v>2</v>
      </c>
      <c r="G6842" s="2" t="s">
        <v>11</v>
      </c>
    </row>
    <row r="6843" spans="1:8" x14ac:dyDescent="0.2">
      <c r="A6843" s="2" t="s">
        <v>4099</v>
      </c>
      <c r="B6843" s="2" t="s">
        <v>2329</v>
      </c>
      <c r="C6843" s="2">
        <v>727.50519999999995</v>
      </c>
      <c r="D6843" s="2">
        <f>HYPERLINK("http://mcb-m6.bioreg.kyushu-u.ac.jp/M3/20110502/F51168/1989/1", 49.13)</f>
        <v>49.13</v>
      </c>
      <c r="E6843" s="2">
        <v>25.95</v>
      </c>
      <c r="F6843" s="2">
        <v>2</v>
      </c>
      <c r="G6843" s="2" t="s">
        <v>13</v>
      </c>
    </row>
    <row r="6844" spans="1:8" x14ac:dyDescent="0.2">
      <c r="A6844" s="2" t="s">
        <v>4099</v>
      </c>
      <c r="B6844" s="2" t="s">
        <v>1562</v>
      </c>
      <c r="C6844" s="2">
        <v>742.95870000000002</v>
      </c>
      <c r="D6844" s="2">
        <f>HYPERLINK("http://mcb-m6.bioreg.kyushu-u.ac.jp/M3/20110502/F51168/2041/1", 74.4)</f>
        <v>74.400000000000006</v>
      </c>
      <c r="E6844" s="2">
        <v>51.78</v>
      </c>
      <c r="F6844" s="2">
        <v>2</v>
      </c>
      <c r="G6844" s="2" t="s">
        <v>13</v>
      </c>
    </row>
    <row r="6845" spans="1:8" x14ac:dyDescent="0.2">
      <c r="A6845" s="2" t="s">
        <v>4066</v>
      </c>
      <c r="B6845" s="2" t="s">
        <v>1442</v>
      </c>
      <c r="C6845" s="2">
        <v>686.07569999999998</v>
      </c>
      <c r="D6845" s="2">
        <f>HYPERLINK("http://mcb-m6.bioreg.kyushu-u.ac.jp/M3/20110411/F50903/1768/1", 80.8)</f>
        <v>80.8</v>
      </c>
      <c r="E6845" s="2">
        <v>68.92</v>
      </c>
      <c r="F6845" s="2">
        <v>2</v>
      </c>
      <c r="G6845" s="2" t="s">
        <v>9</v>
      </c>
    </row>
    <row r="6846" spans="1:8" x14ac:dyDescent="0.2">
      <c r="A6846" s="2" t="s">
        <v>4066</v>
      </c>
      <c r="B6846" s="2" t="s">
        <v>1442</v>
      </c>
      <c r="C6846" s="2">
        <v>685.88120000000004</v>
      </c>
      <c r="D6846" s="2">
        <f>HYPERLINK("http://mcb-m6.bioreg.kyushu-u.ac.jp/M3/20110414/F50930/2046/1", 74.43)</f>
        <v>74.430000000000007</v>
      </c>
      <c r="E6846" s="2">
        <v>56.74</v>
      </c>
      <c r="F6846" s="2">
        <v>2</v>
      </c>
      <c r="G6846" s="2" t="s">
        <v>12</v>
      </c>
    </row>
    <row r="6847" spans="1:8" x14ac:dyDescent="0.2">
      <c r="A6847" s="2" t="s">
        <v>4066</v>
      </c>
      <c r="B6847" s="2" t="s">
        <v>1442</v>
      </c>
      <c r="C6847" s="2">
        <v>686.23109999999997</v>
      </c>
      <c r="D6847" s="2">
        <f>HYPERLINK("http://mcb-m6.bioreg.kyushu-u.ac.jp/M3/20110502/F51165/1898/1", 38.08)</f>
        <v>38.08</v>
      </c>
      <c r="E6847" s="2">
        <v>29.41</v>
      </c>
      <c r="F6847" s="2">
        <v>2</v>
      </c>
      <c r="G6847" s="2" t="s">
        <v>13</v>
      </c>
    </row>
    <row r="6848" spans="1:8" x14ac:dyDescent="0.2">
      <c r="A6848" s="2" t="s">
        <v>3645</v>
      </c>
      <c r="B6848" s="2" t="s">
        <v>571</v>
      </c>
      <c r="C6848" s="2">
        <v>578.92610000000002</v>
      </c>
      <c r="D6848" s="2">
        <f>HYPERLINK("http://mcb-m6.bioreg.kyushu-u.ac.jp/M3/20110411/F50903/1352/1", 45.15)</f>
        <v>45.15</v>
      </c>
      <c r="E6848" s="2">
        <v>22.73</v>
      </c>
      <c r="F6848" s="2">
        <v>2</v>
      </c>
      <c r="G6848" s="2" t="s">
        <v>9</v>
      </c>
    </row>
    <row r="6849" spans="1:9" x14ac:dyDescent="0.2">
      <c r="A6849" s="2" t="s">
        <v>3645</v>
      </c>
      <c r="B6849" s="2" t="s">
        <v>571</v>
      </c>
      <c r="C6849" s="2">
        <v>579.25710000000004</v>
      </c>
      <c r="D6849" s="2">
        <f>HYPERLINK("http://mcb-m6.bioreg.kyushu-u.ac.jp/M3/20110414/F50924/1399/1", 40.58)</f>
        <v>40.58</v>
      </c>
      <c r="E6849" s="2">
        <v>18.09</v>
      </c>
      <c r="F6849" s="2">
        <v>2</v>
      </c>
      <c r="G6849" s="2" t="s">
        <v>11</v>
      </c>
    </row>
    <row r="6850" spans="1:9" x14ac:dyDescent="0.2">
      <c r="A6850" s="2" t="s">
        <v>3645</v>
      </c>
      <c r="B6850" s="2" t="s">
        <v>571</v>
      </c>
      <c r="C6850" s="2">
        <v>578.69320000000005</v>
      </c>
      <c r="D6850" s="2">
        <f>HYPERLINK("http://mcb-m6.bioreg.kyushu-u.ac.jp/M3/20110414/F50924/1396/1", 41.03)</f>
        <v>41.03</v>
      </c>
      <c r="E6850" s="2">
        <v>15.71</v>
      </c>
      <c r="F6850" s="2">
        <v>2</v>
      </c>
      <c r="G6850" s="2" t="s">
        <v>11</v>
      </c>
    </row>
    <row r="6851" spans="1:9" x14ac:dyDescent="0.2">
      <c r="A6851" s="2" t="s">
        <v>4606</v>
      </c>
      <c r="B6851" s="2" t="s">
        <v>2710</v>
      </c>
      <c r="C6851" s="2">
        <v>758.25959999999998</v>
      </c>
      <c r="D6851" s="2">
        <f>HYPERLINK("http://mcb-m6.bioreg.kyushu-u.ac.jp/M3/20110414/F50947/2085/1", 59.62)</f>
        <v>59.62</v>
      </c>
      <c r="E6851" s="2">
        <v>43.37</v>
      </c>
      <c r="F6851" s="2">
        <v>2</v>
      </c>
      <c r="G6851" s="2" t="s">
        <v>12</v>
      </c>
    </row>
    <row r="6852" spans="1:9" x14ac:dyDescent="0.2">
      <c r="A6852" s="2" t="s">
        <v>4612</v>
      </c>
      <c r="B6852" s="2" t="s">
        <v>2727</v>
      </c>
      <c r="C6852" s="2">
        <v>699.82069999999999</v>
      </c>
      <c r="D6852" s="2">
        <f>HYPERLINK("http://mcb-m6.bioreg.kyushu-u.ac.jp/M3/20110414/F50947/1667/1", 67.55)</f>
        <v>67.55</v>
      </c>
      <c r="E6852" s="2">
        <v>47.88</v>
      </c>
      <c r="F6852" s="2">
        <v>2</v>
      </c>
      <c r="G6852" s="2" t="s">
        <v>12</v>
      </c>
    </row>
    <row r="6853" spans="1:9" x14ac:dyDescent="0.2">
      <c r="A6853" s="2" t="s">
        <v>4612</v>
      </c>
      <c r="B6853" s="2" t="s">
        <v>2727</v>
      </c>
      <c r="C6853" s="2">
        <v>700.13959999999997</v>
      </c>
      <c r="D6853" s="2">
        <f>HYPERLINK("http://mcb-m6.bioreg.kyushu-u.ac.jp/M3/20110502/F51179/1546/1", 77.99)</f>
        <v>77.989999999999995</v>
      </c>
      <c r="E6853" s="2">
        <v>50.26</v>
      </c>
      <c r="F6853" s="2">
        <v>2</v>
      </c>
      <c r="G6853" s="2" t="s">
        <v>14</v>
      </c>
    </row>
    <row r="6854" spans="1:9" x14ac:dyDescent="0.2">
      <c r="A6854" s="2" t="s">
        <v>4627</v>
      </c>
      <c r="B6854" s="2" t="s">
        <v>2769</v>
      </c>
      <c r="C6854" s="2">
        <v>854.83119999999997</v>
      </c>
      <c r="D6854" s="2">
        <f>HYPERLINK("http://mcb-m6.bioreg.kyushu-u.ac.jp/M3/20110414/F50933/2862/1", 84.58)</f>
        <v>84.58</v>
      </c>
      <c r="E6854" s="2">
        <v>67.459999999999994</v>
      </c>
      <c r="F6854" s="2">
        <v>2</v>
      </c>
      <c r="G6854" s="2" t="s">
        <v>12</v>
      </c>
      <c r="I6854" s="2" t="s">
        <v>4895</v>
      </c>
    </row>
    <row r="6855" spans="1:9" x14ac:dyDescent="0.2">
      <c r="A6855" s="2" t="s">
        <v>4271</v>
      </c>
      <c r="B6855" s="2" t="s">
        <v>1941</v>
      </c>
      <c r="C6855" s="2">
        <v>664.9357</v>
      </c>
      <c r="D6855" s="2">
        <f>HYPERLINK("http://mcb-m6.bioreg.kyushu-u.ac.jp/M3/20110411/F50920/1197/1", 52.28)</f>
        <v>52.28</v>
      </c>
      <c r="E6855" s="2">
        <v>31.52</v>
      </c>
      <c r="F6855" s="2">
        <v>2</v>
      </c>
      <c r="G6855" s="2" t="s">
        <v>10</v>
      </c>
    </row>
    <row r="6856" spans="1:9" x14ac:dyDescent="0.2">
      <c r="A6856" s="2" t="s">
        <v>3768</v>
      </c>
      <c r="B6856" s="2" t="s">
        <v>789</v>
      </c>
      <c r="C6856" s="2">
        <v>624.32119999999998</v>
      </c>
      <c r="D6856" s="2">
        <f>HYPERLINK("http://mcb-m6.bioreg.kyushu-u.ac.jp/M3/20110411/F50890/1627/1", 51.36)</f>
        <v>51.36</v>
      </c>
      <c r="E6856" s="2">
        <v>39.56</v>
      </c>
      <c r="F6856" s="2">
        <v>2</v>
      </c>
      <c r="G6856" s="2" t="s">
        <v>9</v>
      </c>
    </row>
    <row r="6857" spans="1:9" x14ac:dyDescent="0.2">
      <c r="A6857" s="2" t="s">
        <v>3768</v>
      </c>
      <c r="B6857" s="2" t="s">
        <v>789</v>
      </c>
      <c r="C6857" s="2">
        <v>623.80870000000004</v>
      </c>
      <c r="D6857" s="2">
        <f>HYPERLINK("http://mcb-m6.bioreg.kyushu-u.ac.jp/M3/20110411/F50889/1926/1", 56.92)</f>
        <v>56.92</v>
      </c>
      <c r="E6857" s="2">
        <v>41.85</v>
      </c>
      <c r="F6857" s="2">
        <v>2</v>
      </c>
      <c r="G6857" s="2" t="s">
        <v>9</v>
      </c>
    </row>
    <row r="6858" spans="1:9" x14ac:dyDescent="0.2">
      <c r="A6858" s="2" t="s">
        <v>3768</v>
      </c>
      <c r="B6858" s="2" t="s">
        <v>993</v>
      </c>
      <c r="C6858" s="2">
        <v>677.84220000000005</v>
      </c>
      <c r="D6858" s="2">
        <f>HYPERLINK("http://mcb-m6.bioreg.kyushu-u.ac.jp/M3/20110411/F50890/1825/1", 58.06)</f>
        <v>58.06</v>
      </c>
      <c r="E6858" s="2">
        <v>47.18</v>
      </c>
      <c r="F6858" s="2">
        <v>2</v>
      </c>
      <c r="G6858" s="2" t="s">
        <v>9</v>
      </c>
    </row>
    <row r="6859" spans="1:9" x14ac:dyDescent="0.2">
      <c r="A6859" s="2" t="s">
        <v>3768</v>
      </c>
      <c r="B6859" s="2" t="s">
        <v>789</v>
      </c>
      <c r="C6859" s="2">
        <v>623.74620000000004</v>
      </c>
      <c r="D6859" s="2">
        <f>HYPERLINK("http://mcb-m6.bioreg.kyushu-u.ac.jp/M3/20110411/F50890/1625/1", 61.37)</f>
        <v>61.37</v>
      </c>
      <c r="E6859" s="2">
        <v>48.15</v>
      </c>
      <c r="F6859" s="2">
        <v>2</v>
      </c>
      <c r="G6859" s="2" t="s">
        <v>9</v>
      </c>
    </row>
    <row r="6860" spans="1:9" x14ac:dyDescent="0.2">
      <c r="A6860" s="2" t="s">
        <v>3768</v>
      </c>
      <c r="B6860" s="2" t="s">
        <v>993</v>
      </c>
      <c r="C6860" s="2">
        <v>677.73860000000002</v>
      </c>
      <c r="D6860" s="2">
        <f>HYPERLINK("http://mcb-m6.bioreg.kyushu-u.ac.jp/M3/20110411/F50889/2034/1", 81.82)</f>
        <v>81.819999999999993</v>
      </c>
      <c r="E6860" s="2">
        <v>67.180000000000007</v>
      </c>
      <c r="F6860" s="2">
        <v>2</v>
      </c>
      <c r="G6860" s="2" t="s">
        <v>9</v>
      </c>
    </row>
    <row r="6861" spans="1:9" x14ac:dyDescent="0.2">
      <c r="A6861" s="2" t="s">
        <v>3768</v>
      </c>
      <c r="B6861" s="2" t="s">
        <v>993</v>
      </c>
      <c r="C6861" s="2">
        <v>677.79819999999995</v>
      </c>
      <c r="D6861" s="2">
        <f>HYPERLINK("http://mcb-m6.bioreg.kyushu-u.ac.jp/M3/20110414/F50927/1999/1", 78.85)</f>
        <v>78.849999999999994</v>
      </c>
      <c r="E6861" s="2">
        <v>57.12</v>
      </c>
      <c r="F6861" s="2">
        <v>2</v>
      </c>
      <c r="G6861" s="2" t="s">
        <v>11</v>
      </c>
    </row>
    <row r="6862" spans="1:9" x14ac:dyDescent="0.2">
      <c r="A6862" s="2" t="s">
        <v>3768</v>
      </c>
      <c r="B6862" s="2" t="s">
        <v>993</v>
      </c>
      <c r="C6862" s="2">
        <v>677.68709999999999</v>
      </c>
      <c r="D6862" s="2">
        <f>HYPERLINK("http://mcb-m6.bioreg.kyushu-u.ac.jp/M3/20110414/F50932/2039/1", 87.56)</f>
        <v>87.56</v>
      </c>
      <c r="E6862" s="2">
        <v>60.79</v>
      </c>
      <c r="F6862" s="2">
        <v>2</v>
      </c>
      <c r="G6862" s="2" t="s">
        <v>12</v>
      </c>
    </row>
    <row r="6863" spans="1:9" x14ac:dyDescent="0.2">
      <c r="A6863" s="2" t="s">
        <v>3691</v>
      </c>
      <c r="B6863" s="2" t="s">
        <v>661</v>
      </c>
      <c r="C6863" s="2">
        <v>831.52419999999995</v>
      </c>
      <c r="D6863" s="2">
        <f>HYPERLINK("http://mcb-m6.bioreg.kyushu-u.ac.jp/M3/20110411/F50905/2508/1", 47.57)</f>
        <v>47.57</v>
      </c>
      <c r="E6863" s="2">
        <v>36.29</v>
      </c>
      <c r="F6863" s="2">
        <v>2</v>
      </c>
      <c r="G6863" s="2" t="s">
        <v>9</v>
      </c>
      <c r="H6863" s="2" t="s">
        <v>4900</v>
      </c>
    </row>
    <row r="6864" spans="1:9" x14ac:dyDescent="0.2">
      <c r="A6864" s="2" t="s">
        <v>3691</v>
      </c>
      <c r="B6864" s="2" t="s">
        <v>714</v>
      </c>
      <c r="C6864" s="2">
        <v>546.97519999999997</v>
      </c>
      <c r="D6864" s="2">
        <f>HYPERLINK("http://mcb-m6.bioreg.kyushu-u.ac.jp/M3/20110411/F50905/1137/1", 49.01)</f>
        <v>49.01</v>
      </c>
      <c r="E6864" s="2">
        <v>23.17</v>
      </c>
      <c r="F6864" s="2">
        <v>2</v>
      </c>
      <c r="G6864" s="2" t="s">
        <v>9</v>
      </c>
    </row>
    <row r="6865" spans="1:8" x14ac:dyDescent="0.2">
      <c r="A6865" s="2" t="s">
        <v>3691</v>
      </c>
      <c r="B6865" s="2" t="s">
        <v>719</v>
      </c>
      <c r="C6865" s="2">
        <v>925.78020000000004</v>
      </c>
      <c r="D6865" s="2">
        <f>HYPERLINK("http://mcb-m6.bioreg.kyushu-u.ac.jp/M3/20110411/F50905/2974/1", 49.24)</f>
        <v>49.24</v>
      </c>
      <c r="E6865" s="2">
        <v>31.11</v>
      </c>
      <c r="F6865" s="2">
        <v>2</v>
      </c>
      <c r="G6865" s="2" t="s">
        <v>9</v>
      </c>
    </row>
    <row r="6866" spans="1:8" x14ac:dyDescent="0.2">
      <c r="A6866" s="2" t="s">
        <v>3691</v>
      </c>
      <c r="B6866" s="2" t="s">
        <v>832</v>
      </c>
      <c r="C6866" s="2">
        <v>847.33669999999995</v>
      </c>
      <c r="D6866" s="2">
        <f>HYPERLINK("http://mcb-m6.bioreg.kyushu-u.ac.jp/M3/20110411/F50905/2578/1", 52.82)</f>
        <v>52.82</v>
      </c>
      <c r="E6866" s="2">
        <v>38.11</v>
      </c>
      <c r="F6866" s="2">
        <v>2</v>
      </c>
      <c r="G6866" s="2" t="s">
        <v>9</v>
      </c>
    </row>
    <row r="6867" spans="1:8" x14ac:dyDescent="0.2">
      <c r="A6867" s="2" t="s">
        <v>3691</v>
      </c>
      <c r="B6867" s="2" t="s">
        <v>661</v>
      </c>
      <c r="C6867" s="2">
        <v>823.54060000000004</v>
      </c>
      <c r="D6867" s="2">
        <f>HYPERLINK("http://mcb-m6.bioreg.kyushu-u.ac.jp/M3/20110411/F50904/2421/1", 73.05)</f>
        <v>73.05</v>
      </c>
      <c r="E6867" s="2">
        <v>55.44</v>
      </c>
      <c r="F6867" s="2">
        <v>2</v>
      </c>
      <c r="G6867" s="2" t="s">
        <v>9</v>
      </c>
    </row>
    <row r="6868" spans="1:8" x14ac:dyDescent="0.2">
      <c r="A6868" s="2" t="s">
        <v>3691</v>
      </c>
      <c r="B6868" s="2" t="s">
        <v>832</v>
      </c>
      <c r="C6868" s="2">
        <v>847.05909999999994</v>
      </c>
      <c r="D6868" s="2">
        <f>HYPERLINK("http://mcb-m6.bioreg.kyushu-u.ac.jp/M3/20110411/F50913/2505/1", 38.22)</f>
        <v>38.22</v>
      </c>
      <c r="E6868" s="2">
        <v>28.1</v>
      </c>
      <c r="F6868" s="2">
        <v>2</v>
      </c>
      <c r="G6868" s="2" t="s">
        <v>10</v>
      </c>
    </row>
    <row r="6869" spans="1:8" x14ac:dyDescent="0.2">
      <c r="A6869" s="2" t="s">
        <v>3691</v>
      </c>
      <c r="B6869" s="2" t="s">
        <v>832</v>
      </c>
      <c r="C6869" s="2">
        <v>847.26919999999996</v>
      </c>
      <c r="D6869" s="2">
        <f>HYPERLINK("http://mcb-m6.bioreg.kyushu-u.ac.jp/M3/20110411/F50912/2513/1", 50.88)</f>
        <v>50.88</v>
      </c>
      <c r="E6869" s="2">
        <v>16.57</v>
      </c>
      <c r="F6869" s="2">
        <v>2</v>
      </c>
      <c r="G6869" s="2" t="s">
        <v>10</v>
      </c>
    </row>
    <row r="6870" spans="1:8" x14ac:dyDescent="0.2">
      <c r="A6870" s="2" t="s">
        <v>3691</v>
      </c>
      <c r="B6870" s="2" t="s">
        <v>661</v>
      </c>
      <c r="C6870" s="2">
        <v>823.16359999999997</v>
      </c>
      <c r="D6870" s="2">
        <f>HYPERLINK("http://mcb-m6.bioreg.kyushu-u.ac.jp/M3/20110411/F50913/2410/1", 56.8)</f>
        <v>56.8</v>
      </c>
      <c r="E6870" s="2">
        <v>48.85</v>
      </c>
      <c r="F6870" s="2">
        <v>2</v>
      </c>
      <c r="G6870" s="2" t="s">
        <v>10</v>
      </c>
    </row>
    <row r="6871" spans="1:8" x14ac:dyDescent="0.2">
      <c r="A6871" s="2" t="s">
        <v>3691</v>
      </c>
      <c r="B6871" s="2" t="s">
        <v>661</v>
      </c>
      <c r="C6871" s="2">
        <v>830.50570000000005</v>
      </c>
      <c r="D6871" s="2">
        <f>HYPERLINK("http://mcb-m6.bioreg.kyushu-u.ac.jp/M3/20110414/F50941/2574/1", 35.93)</f>
        <v>35.93</v>
      </c>
      <c r="E6871" s="2">
        <v>27.81</v>
      </c>
      <c r="F6871" s="2">
        <v>2</v>
      </c>
      <c r="G6871" s="2" t="s">
        <v>11</v>
      </c>
      <c r="H6871" s="2" t="s">
        <v>4900</v>
      </c>
    </row>
    <row r="6872" spans="1:8" x14ac:dyDescent="0.2">
      <c r="A6872" s="2" t="s">
        <v>3691</v>
      </c>
      <c r="B6872" s="2" t="s">
        <v>832</v>
      </c>
      <c r="C6872" s="2">
        <v>838.77970000000005</v>
      </c>
      <c r="D6872" s="2">
        <f>HYPERLINK("http://mcb-m6.bioreg.kyushu-u.ac.jp/M3/20110414/F50941/2608/1", 40.44)</f>
        <v>40.44</v>
      </c>
      <c r="E6872" s="2">
        <v>31.27</v>
      </c>
      <c r="F6872" s="2">
        <v>2</v>
      </c>
      <c r="G6872" s="2" t="s">
        <v>11</v>
      </c>
      <c r="H6872" s="2" t="s">
        <v>4904</v>
      </c>
    </row>
    <row r="6873" spans="1:8" x14ac:dyDescent="0.2">
      <c r="A6873" s="2" t="s">
        <v>3691</v>
      </c>
      <c r="B6873" s="2" t="s">
        <v>832</v>
      </c>
      <c r="C6873" s="2">
        <v>847.09860000000003</v>
      </c>
      <c r="D6873" s="2">
        <f>HYPERLINK("http://mcb-m6.bioreg.kyushu-u.ac.jp/M3/20110414/F50941/2648/1", 51.43)</f>
        <v>51.43</v>
      </c>
      <c r="E6873" s="2">
        <v>24.74</v>
      </c>
      <c r="F6873" s="2">
        <v>2</v>
      </c>
      <c r="G6873" s="2" t="s">
        <v>11</v>
      </c>
    </row>
    <row r="6874" spans="1:8" x14ac:dyDescent="0.2">
      <c r="A6874" s="2" t="s">
        <v>3691</v>
      </c>
      <c r="B6874" s="2" t="s">
        <v>661</v>
      </c>
      <c r="C6874" s="2">
        <v>823.3107</v>
      </c>
      <c r="D6874" s="2">
        <f>HYPERLINK("http://mcb-m6.bioreg.kyushu-u.ac.jp/M3/20110414/F50941/2533/1", 85.37)</f>
        <v>85.37</v>
      </c>
      <c r="E6874" s="2">
        <v>72.260000000000005</v>
      </c>
      <c r="F6874" s="2">
        <v>2</v>
      </c>
      <c r="G6874" s="2" t="s">
        <v>11</v>
      </c>
    </row>
    <row r="6875" spans="1:8" x14ac:dyDescent="0.2">
      <c r="A6875" s="2" t="s">
        <v>3691</v>
      </c>
      <c r="B6875" s="2" t="s">
        <v>832</v>
      </c>
      <c r="C6875" s="2">
        <v>846.86469999999997</v>
      </c>
      <c r="D6875" s="2">
        <f>HYPERLINK("http://mcb-m6.bioreg.kyushu-u.ac.jp/M3/20110414/F50947/2574/1", 41.52)</f>
        <v>41.52</v>
      </c>
      <c r="E6875" s="2">
        <v>19.28</v>
      </c>
      <c r="F6875" s="2">
        <v>2</v>
      </c>
      <c r="G6875" s="2" t="s">
        <v>12</v>
      </c>
    </row>
    <row r="6876" spans="1:8" x14ac:dyDescent="0.2">
      <c r="A6876" s="2" t="s">
        <v>3691</v>
      </c>
      <c r="B6876" s="2" t="s">
        <v>661</v>
      </c>
      <c r="C6876" s="2">
        <v>822.81669999999997</v>
      </c>
      <c r="D6876" s="2">
        <f>HYPERLINK("http://mcb-m6.bioreg.kyushu-u.ac.jp/M3/20110414/F50947/2475/1", 59.65)</f>
        <v>59.65</v>
      </c>
      <c r="E6876" s="2">
        <v>47.41</v>
      </c>
      <c r="F6876" s="2">
        <v>2</v>
      </c>
      <c r="G6876" s="2" t="s">
        <v>12</v>
      </c>
    </row>
    <row r="6877" spans="1:8" x14ac:dyDescent="0.2">
      <c r="A6877" s="2" t="s">
        <v>3691</v>
      </c>
      <c r="B6877" s="2" t="s">
        <v>3075</v>
      </c>
      <c r="C6877" s="2">
        <v>852.17859999999996</v>
      </c>
      <c r="D6877" s="2">
        <f>HYPERLINK("http://mcb-m6.bioreg.kyushu-u.ac.jp/M3/20110502/F51179/2428/1", 42.14)</f>
        <v>42.14</v>
      </c>
      <c r="E6877" s="2">
        <v>26.49</v>
      </c>
      <c r="F6877" s="2">
        <v>2</v>
      </c>
      <c r="G6877" s="2" t="s">
        <v>14</v>
      </c>
    </row>
    <row r="6878" spans="1:8" x14ac:dyDescent="0.2">
      <c r="A6878" s="2" t="s">
        <v>3691</v>
      </c>
      <c r="B6878" s="2" t="s">
        <v>661</v>
      </c>
      <c r="C6878" s="2">
        <v>823.03420000000006</v>
      </c>
      <c r="D6878" s="2">
        <f>HYPERLINK("http://mcb-m6.bioreg.kyushu-u.ac.jp/M3/20110502/F51179/2251/1", 57.8)</f>
        <v>57.8</v>
      </c>
      <c r="E6878" s="2">
        <v>42.51</v>
      </c>
      <c r="F6878" s="2">
        <v>2</v>
      </c>
      <c r="G6878" s="2" t="s">
        <v>14</v>
      </c>
    </row>
    <row r="6879" spans="1:8" x14ac:dyDescent="0.2">
      <c r="A6879" s="2" t="s">
        <v>3691</v>
      </c>
      <c r="B6879" s="2" t="s">
        <v>661</v>
      </c>
      <c r="C6879" s="2">
        <v>831.19709999999998</v>
      </c>
      <c r="D6879" s="2">
        <f>HYPERLINK("http://mcb-m6.bioreg.kyushu-u.ac.jp/M3/20110502/F51179/2305/1", 65.04)</f>
        <v>65.040000000000006</v>
      </c>
      <c r="E6879" s="2">
        <v>52.03</v>
      </c>
      <c r="F6879" s="2">
        <v>2</v>
      </c>
      <c r="G6879" s="2" t="s">
        <v>14</v>
      </c>
      <c r="H6879" s="2" t="s">
        <v>4900</v>
      </c>
    </row>
    <row r="6880" spans="1:8" x14ac:dyDescent="0.2">
      <c r="A6880" s="2" t="s">
        <v>3691</v>
      </c>
      <c r="B6880" s="2" t="s">
        <v>832</v>
      </c>
      <c r="C6880" s="2">
        <v>847.25160000000005</v>
      </c>
      <c r="D6880" s="2">
        <f>HYPERLINK("http://mcb-m6.bioreg.kyushu-u.ac.jp/M3/20110502/F51179/2379/1", 96.98)</f>
        <v>96.98</v>
      </c>
      <c r="E6880" s="2">
        <v>75.150000000000006</v>
      </c>
      <c r="F6880" s="2">
        <v>2</v>
      </c>
      <c r="G6880" s="2" t="s">
        <v>14</v>
      </c>
    </row>
    <row r="6881" spans="1:7" x14ac:dyDescent="0.2">
      <c r="A6881" s="2" t="s">
        <v>3827</v>
      </c>
      <c r="B6881" s="2" t="s">
        <v>899</v>
      </c>
      <c r="C6881" s="2">
        <v>1228.7349999999999</v>
      </c>
      <c r="D6881" s="2">
        <f>HYPERLINK("http://mcb-m6.bioreg.kyushu-u.ac.jp/M3/20110411/F50915/1231/1", 55)</f>
        <v>55</v>
      </c>
      <c r="E6881" s="2">
        <v>27.67</v>
      </c>
      <c r="F6881" s="2">
        <v>1</v>
      </c>
      <c r="G6881" s="2" t="s">
        <v>9</v>
      </c>
    </row>
    <row r="6882" spans="1:7" x14ac:dyDescent="0.2">
      <c r="A6882" s="2" t="s">
        <v>3827</v>
      </c>
      <c r="B6882" s="2" t="s">
        <v>899</v>
      </c>
      <c r="C6882" s="2">
        <v>614.87919999999997</v>
      </c>
      <c r="D6882" s="2">
        <f>HYPERLINK("http://mcb-m6.bioreg.kyushu-u.ac.jp/M3/20110411/F50916/1244/1", 57.22)</f>
        <v>57.22</v>
      </c>
      <c r="E6882" s="2">
        <v>39.21</v>
      </c>
      <c r="F6882" s="2">
        <v>2</v>
      </c>
      <c r="G6882" s="2" t="s">
        <v>9</v>
      </c>
    </row>
    <row r="6883" spans="1:7" x14ac:dyDescent="0.2">
      <c r="A6883" s="2" t="s">
        <v>3827</v>
      </c>
      <c r="B6883" s="2" t="s">
        <v>899</v>
      </c>
      <c r="C6883" s="2">
        <v>614.93910000000005</v>
      </c>
      <c r="D6883" s="2">
        <f>HYPERLINK("http://mcb-m6.bioreg.kyushu-u.ac.jp/M3/20110411/F50915/1232/1", 78.41)</f>
        <v>78.41</v>
      </c>
      <c r="E6883" s="2">
        <v>39.46</v>
      </c>
      <c r="F6883" s="2">
        <v>2</v>
      </c>
      <c r="G6883" s="2" t="s">
        <v>9</v>
      </c>
    </row>
    <row r="6884" spans="1:7" x14ac:dyDescent="0.2">
      <c r="A6884" s="2" t="s">
        <v>3827</v>
      </c>
      <c r="B6884" s="2" t="s">
        <v>899</v>
      </c>
      <c r="C6884" s="2">
        <v>1228.799</v>
      </c>
      <c r="D6884" s="2">
        <f>HYPERLINK("http://mcb-m6.bioreg.kyushu-u.ac.jp/M3/20110411/F50917/1309/1", 45.38)</f>
        <v>45.38</v>
      </c>
      <c r="E6884" s="2">
        <v>13.04</v>
      </c>
      <c r="F6884" s="2">
        <v>1</v>
      </c>
      <c r="G6884" s="2" t="s">
        <v>10</v>
      </c>
    </row>
    <row r="6885" spans="1:7" x14ac:dyDescent="0.2">
      <c r="A6885" s="2" t="s">
        <v>3827</v>
      </c>
      <c r="B6885" s="2" t="s">
        <v>899</v>
      </c>
      <c r="C6885" s="2">
        <v>615.35860000000002</v>
      </c>
      <c r="D6885" s="2">
        <f>HYPERLINK("http://mcb-m6.bioreg.kyushu-u.ac.jp/M3/20110411/F50918/1229/1", 59.13)</f>
        <v>59.13</v>
      </c>
      <c r="E6885" s="2">
        <v>32.130000000000003</v>
      </c>
      <c r="F6885" s="2">
        <v>2</v>
      </c>
      <c r="G6885" s="2" t="s">
        <v>10</v>
      </c>
    </row>
    <row r="6886" spans="1:7" x14ac:dyDescent="0.2">
      <c r="A6886" s="2" t="s">
        <v>3827</v>
      </c>
      <c r="B6886" s="2" t="s">
        <v>899</v>
      </c>
      <c r="C6886" s="2">
        <v>614.92909999999995</v>
      </c>
      <c r="D6886" s="2">
        <f>HYPERLINK("http://mcb-m6.bioreg.kyushu-u.ac.jp/M3/20110411/F50917/1310/1", 59.92)</f>
        <v>59.92</v>
      </c>
      <c r="E6886" s="2">
        <v>37.1</v>
      </c>
      <c r="F6886" s="2">
        <v>2</v>
      </c>
      <c r="G6886" s="2" t="s">
        <v>10</v>
      </c>
    </row>
    <row r="6887" spans="1:7" x14ac:dyDescent="0.2">
      <c r="A6887" s="2" t="s">
        <v>3827</v>
      </c>
      <c r="B6887" s="2" t="s">
        <v>899</v>
      </c>
      <c r="C6887" s="2">
        <v>614.99469999999997</v>
      </c>
      <c r="D6887" s="2">
        <f>HYPERLINK("http://mcb-m6.bioreg.kyushu-u.ac.jp/M3/20110411/F50902/1497/1", 68.09)</f>
        <v>68.09</v>
      </c>
      <c r="E6887" s="2">
        <v>43.09</v>
      </c>
      <c r="F6887" s="2">
        <v>2</v>
      </c>
      <c r="G6887" s="2" t="s">
        <v>10</v>
      </c>
    </row>
    <row r="6888" spans="1:7" x14ac:dyDescent="0.2">
      <c r="A6888" s="2" t="s">
        <v>3827</v>
      </c>
      <c r="B6888" s="2" t="s">
        <v>899</v>
      </c>
      <c r="C6888" s="2">
        <v>614.88210000000004</v>
      </c>
      <c r="D6888" s="2">
        <f>HYPERLINK("http://mcb-m6.bioreg.kyushu-u.ac.jp/M3/20110414/F50942/1268/1", 41.05)</f>
        <v>41.05</v>
      </c>
      <c r="E6888" s="2">
        <v>21.29</v>
      </c>
      <c r="F6888" s="2">
        <v>2</v>
      </c>
      <c r="G6888" s="2" t="s">
        <v>11</v>
      </c>
    </row>
    <row r="6889" spans="1:7" x14ac:dyDescent="0.2">
      <c r="A6889" s="2" t="s">
        <v>3827</v>
      </c>
      <c r="B6889" s="2" t="s">
        <v>899</v>
      </c>
      <c r="C6889" s="2">
        <v>614.6857</v>
      </c>
      <c r="D6889" s="2">
        <f>HYPERLINK("http://mcb-m6.bioreg.kyushu-u.ac.jp/M3/20110414/F50956/1132/1", 42.05)</f>
        <v>42.05</v>
      </c>
      <c r="E6889" s="2">
        <v>19.09</v>
      </c>
      <c r="F6889" s="2">
        <v>2</v>
      </c>
      <c r="G6889" s="2" t="s">
        <v>11</v>
      </c>
    </row>
    <row r="6890" spans="1:7" x14ac:dyDescent="0.2">
      <c r="A6890" s="2" t="s">
        <v>3827</v>
      </c>
      <c r="B6890" s="2" t="s">
        <v>899</v>
      </c>
      <c r="C6890" s="2">
        <v>615.22059999999999</v>
      </c>
      <c r="D6890" s="2">
        <f>HYPERLINK("http://mcb-m6.bioreg.kyushu-u.ac.jp/M3/20110414/F50956/1140/1", 46.87)</f>
        <v>46.87</v>
      </c>
      <c r="E6890" s="2">
        <v>17.559999999999999</v>
      </c>
      <c r="F6890" s="2">
        <v>2</v>
      </c>
      <c r="G6890" s="2" t="s">
        <v>11</v>
      </c>
    </row>
    <row r="6891" spans="1:7" x14ac:dyDescent="0.2">
      <c r="A6891" s="2" t="s">
        <v>3827</v>
      </c>
      <c r="B6891" s="2" t="s">
        <v>899</v>
      </c>
      <c r="C6891" s="2">
        <v>1228.5050000000001</v>
      </c>
      <c r="D6891" s="2">
        <f>HYPERLINK("http://mcb-m6.bioreg.kyushu-u.ac.jp/M3/20110414/F50942/1264/1", 47.3)</f>
        <v>47.3</v>
      </c>
      <c r="E6891" s="2">
        <v>30.58</v>
      </c>
      <c r="F6891" s="2">
        <v>1</v>
      </c>
      <c r="G6891" s="2" t="s">
        <v>11</v>
      </c>
    </row>
    <row r="6892" spans="1:7" x14ac:dyDescent="0.2">
      <c r="A6892" s="2" t="s">
        <v>3827</v>
      </c>
      <c r="B6892" s="2" t="s">
        <v>899</v>
      </c>
      <c r="C6892" s="2">
        <v>1228.4939999999999</v>
      </c>
      <c r="D6892" s="2">
        <f>HYPERLINK("http://mcb-m6.bioreg.kyushu-u.ac.jp/M3/20110414/F50956/1135/1", 48.77)</f>
        <v>48.77</v>
      </c>
      <c r="E6892" s="2">
        <v>35.840000000000003</v>
      </c>
      <c r="F6892" s="2">
        <v>1</v>
      </c>
      <c r="G6892" s="2" t="s">
        <v>11</v>
      </c>
    </row>
    <row r="6893" spans="1:7" x14ac:dyDescent="0.2">
      <c r="A6893" s="2" t="s">
        <v>3827</v>
      </c>
      <c r="B6893" s="2" t="s">
        <v>899</v>
      </c>
      <c r="C6893" s="2">
        <v>614.58420000000001</v>
      </c>
      <c r="D6893" s="2">
        <f>HYPERLINK("http://mcb-m6.bioreg.kyushu-u.ac.jp/M3/20110414/F50957/1068/1", 49.22)</f>
        <v>49.22</v>
      </c>
      <c r="E6893" s="2">
        <v>22.18</v>
      </c>
      <c r="F6893" s="2">
        <v>2</v>
      </c>
      <c r="G6893" s="2" t="s">
        <v>11</v>
      </c>
    </row>
    <row r="6894" spans="1:7" x14ac:dyDescent="0.2">
      <c r="A6894" s="2" t="s">
        <v>3827</v>
      </c>
      <c r="B6894" s="2" t="s">
        <v>899</v>
      </c>
      <c r="C6894" s="2">
        <v>615.13369999999998</v>
      </c>
      <c r="D6894" s="2">
        <f>HYPERLINK("http://mcb-m6.bioreg.kyushu-u.ac.jp/M3/20110414/F50956/1138/1", 50.72)</f>
        <v>50.72</v>
      </c>
      <c r="E6894" s="2">
        <v>30.09</v>
      </c>
      <c r="F6894" s="2">
        <v>2</v>
      </c>
      <c r="G6894" s="2" t="s">
        <v>11</v>
      </c>
    </row>
    <row r="6895" spans="1:7" x14ac:dyDescent="0.2">
      <c r="A6895" s="2" t="s">
        <v>3827</v>
      </c>
      <c r="B6895" s="2" t="s">
        <v>899</v>
      </c>
      <c r="C6895" s="2">
        <v>614.80269999999996</v>
      </c>
      <c r="D6895" s="2">
        <f>HYPERLINK("http://mcb-m6.bioreg.kyushu-u.ac.jp/M3/20110414/F50929/1854/1", 52.56)</f>
        <v>52.56</v>
      </c>
      <c r="E6895" s="2">
        <v>24.92</v>
      </c>
      <c r="F6895" s="2">
        <v>2</v>
      </c>
      <c r="G6895" s="2" t="s">
        <v>11</v>
      </c>
    </row>
    <row r="6896" spans="1:7" x14ac:dyDescent="0.2">
      <c r="A6896" s="2" t="s">
        <v>3827</v>
      </c>
      <c r="B6896" s="2" t="s">
        <v>899</v>
      </c>
      <c r="C6896" s="2">
        <v>614.72720000000004</v>
      </c>
      <c r="D6896" s="2">
        <f>HYPERLINK("http://mcb-m6.bioreg.kyushu-u.ac.jp/M3/20110414/F50943/1286/1", 60.08)</f>
        <v>60.08</v>
      </c>
      <c r="E6896" s="2">
        <v>37.729999999999997</v>
      </c>
      <c r="F6896" s="2">
        <v>2</v>
      </c>
      <c r="G6896" s="2" t="s">
        <v>11</v>
      </c>
    </row>
    <row r="6897" spans="1:7" x14ac:dyDescent="0.2">
      <c r="A6897" s="2" t="s">
        <v>3827</v>
      </c>
      <c r="B6897" s="2" t="s">
        <v>899</v>
      </c>
      <c r="C6897" s="2">
        <v>614.76509999999996</v>
      </c>
      <c r="D6897" s="2">
        <f>HYPERLINK("http://mcb-m6.bioreg.kyushu-u.ac.jp/M3/20110414/F50942/1266/1", 67.85)</f>
        <v>67.849999999999994</v>
      </c>
      <c r="E6897" s="2">
        <v>45.31</v>
      </c>
      <c r="F6897" s="2">
        <v>2</v>
      </c>
      <c r="G6897" s="2" t="s">
        <v>11</v>
      </c>
    </row>
    <row r="6898" spans="1:7" x14ac:dyDescent="0.2">
      <c r="A6898" s="2" t="s">
        <v>3827</v>
      </c>
      <c r="B6898" s="2" t="s">
        <v>899</v>
      </c>
      <c r="C6898" s="2">
        <v>614.69370000000004</v>
      </c>
      <c r="D6898" s="2">
        <f>HYPERLINK("http://mcb-m6.bioreg.kyushu-u.ac.jp/M3/20110414/F50958/1200/1", 35.65)</f>
        <v>35.65</v>
      </c>
      <c r="E6898" s="2">
        <v>10.68</v>
      </c>
      <c r="F6898" s="2">
        <v>2</v>
      </c>
      <c r="G6898" s="2" t="s">
        <v>12</v>
      </c>
    </row>
    <row r="6899" spans="1:7" x14ac:dyDescent="0.2">
      <c r="A6899" s="2" t="s">
        <v>3827</v>
      </c>
      <c r="B6899" s="2" t="s">
        <v>899</v>
      </c>
      <c r="C6899" s="2">
        <v>1228.395</v>
      </c>
      <c r="D6899" s="2">
        <f>HYPERLINK("http://mcb-m6.bioreg.kyushu-u.ac.jp/M3/20110414/F50958/1201/1", 47.38)</f>
        <v>47.38</v>
      </c>
      <c r="E6899" s="2">
        <v>21.31</v>
      </c>
      <c r="F6899" s="2">
        <v>1</v>
      </c>
      <c r="G6899" s="2" t="s">
        <v>12</v>
      </c>
    </row>
    <row r="6900" spans="1:7" x14ac:dyDescent="0.2">
      <c r="A6900" s="2" t="s">
        <v>3827</v>
      </c>
      <c r="B6900" s="2" t="s">
        <v>899</v>
      </c>
      <c r="C6900" s="2">
        <v>614.91219999999998</v>
      </c>
      <c r="D6900" s="2">
        <f>HYPERLINK("http://mcb-m6.bioreg.kyushu-u.ac.jp/M3/20110414/F50949/1875/1", 47.89)</f>
        <v>47.89</v>
      </c>
      <c r="E6900" s="2">
        <v>19.36</v>
      </c>
      <c r="F6900" s="2">
        <v>2</v>
      </c>
      <c r="G6900" s="2" t="s">
        <v>12</v>
      </c>
    </row>
    <row r="6901" spans="1:7" x14ac:dyDescent="0.2">
      <c r="A6901" s="2" t="s">
        <v>3827</v>
      </c>
      <c r="B6901" s="2" t="s">
        <v>899</v>
      </c>
      <c r="C6901" s="2">
        <v>614.66269999999997</v>
      </c>
      <c r="D6901" s="2">
        <f>HYPERLINK("http://mcb-m6.bioreg.kyushu-u.ac.jp/M3/20110414/F50948/1308/1", 53.22)</f>
        <v>53.22</v>
      </c>
      <c r="E6901" s="2">
        <v>33.4</v>
      </c>
      <c r="F6901" s="2">
        <v>2</v>
      </c>
      <c r="G6901" s="2" t="s">
        <v>12</v>
      </c>
    </row>
    <row r="6902" spans="1:7" x14ac:dyDescent="0.2">
      <c r="A6902" s="2" t="s">
        <v>3827</v>
      </c>
      <c r="B6902" s="2" t="s">
        <v>899</v>
      </c>
      <c r="C6902" s="2">
        <v>615.04909999999995</v>
      </c>
      <c r="D6902" s="2">
        <f>HYPERLINK("http://mcb-m6.bioreg.kyushu-u.ac.jp/M3/20110414/F50958/1202/1", 64.49)</f>
        <v>64.489999999999995</v>
      </c>
      <c r="E6902" s="2">
        <v>40.44</v>
      </c>
      <c r="F6902" s="2">
        <v>2</v>
      </c>
      <c r="G6902" s="2" t="s">
        <v>12</v>
      </c>
    </row>
    <row r="6903" spans="1:7" x14ac:dyDescent="0.2">
      <c r="A6903" s="2" t="s">
        <v>3827</v>
      </c>
      <c r="B6903" s="2" t="s">
        <v>899</v>
      </c>
      <c r="C6903" s="2">
        <v>615.00710000000004</v>
      </c>
      <c r="D6903" s="2">
        <f>HYPERLINK("http://mcb-m6.bioreg.kyushu-u.ac.jp/M3/20110502/F51189/1248/1", 48.76)</f>
        <v>48.76</v>
      </c>
      <c r="E6903" s="2">
        <v>22.42</v>
      </c>
      <c r="F6903" s="2">
        <v>2</v>
      </c>
      <c r="G6903" s="2" t="s">
        <v>13</v>
      </c>
    </row>
    <row r="6904" spans="1:7" x14ac:dyDescent="0.2">
      <c r="A6904" s="2" t="s">
        <v>3827</v>
      </c>
      <c r="B6904" s="2" t="s">
        <v>899</v>
      </c>
      <c r="C6904" s="2">
        <v>614.95619999999997</v>
      </c>
      <c r="D6904" s="2">
        <f>HYPERLINK("http://mcb-m6.bioreg.kyushu-u.ac.jp/M3/20110502/F51171/1511/1", 53.26)</f>
        <v>53.26</v>
      </c>
      <c r="E6904" s="2">
        <v>26.75</v>
      </c>
      <c r="F6904" s="2">
        <v>2</v>
      </c>
      <c r="G6904" s="2" t="s">
        <v>13</v>
      </c>
    </row>
    <row r="6905" spans="1:7" x14ac:dyDescent="0.2">
      <c r="A6905" s="2" t="s">
        <v>3827</v>
      </c>
      <c r="B6905" s="2" t="s">
        <v>899</v>
      </c>
      <c r="C6905" s="2">
        <v>615.04169999999999</v>
      </c>
      <c r="D6905" s="2">
        <f>HYPERLINK("http://mcb-m6.bioreg.kyushu-u.ac.jp/M3/20110502/F51173/1131/1", 62.85)</f>
        <v>62.85</v>
      </c>
      <c r="E6905" s="2">
        <v>33.75</v>
      </c>
      <c r="F6905" s="2">
        <v>2</v>
      </c>
      <c r="G6905" s="2" t="s">
        <v>13</v>
      </c>
    </row>
    <row r="6906" spans="1:7" x14ac:dyDescent="0.2">
      <c r="A6906" s="2" t="s">
        <v>3827</v>
      </c>
      <c r="B6906" s="2" t="s">
        <v>899</v>
      </c>
      <c r="C6906" s="2">
        <v>615.21770000000004</v>
      </c>
      <c r="D6906" s="2">
        <f>HYPERLINK("http://mcb-m6.bioreg.kyushu-u.ac.jp/M3/20110502/F51172/1367/1", 73.98)</f>
        <v>73.98</v>
      </c>
      <c r="E6906" s="2">
        <v>40.17</v>
      </c>
      <c r="F6906" s="2">
        <v>2</v>
      </c>
      <c r="G6906" s="2" t="s">
        <v>13</v>
      </c>
    </row>
    <row r="6907" spans="1:7" x14ac:dyDescent="0.2">
      <c r="A6907" s="2" t="s">
        <v>3827</v>
      </c>
      <c r="B6907" s="2" t="s">
        <v>899</v>
      </c>
      <c r="C6907" s="2">
        <v>615.00319999999999</v>
      </c>
      <c r="D6907" s="2">
        <f>HYPERLINK("http://mcb-m6.bioreg.kyushu-u.ac.jp/M3/20110502/F51188/1331/1", 80.32)</f>
        <v>80.319999999999993</v>
      </c>
      <c r="E6907" s="2">
        <v>47.99</v>
      </c>
      <c r="F6907" s="2">
        <v>2</v>
      </c>
      <c r="G6907" s="2" t="s">
        <v>13</v>
      </c>
    </row>
    <row r="6908" spans="1:7" x14ac:dyDescent="0.2">
      <c r="A6908" s="2" t="s">
        <v>3827</v>
      </c>
      <c r="B6908" s="2" t="s">
        <v>899</v>
      </c>
      <c r="C6908" s="2">
        <v>614.91020000000003</v>
      </c>
      <c r="D6908" s="2">
        <f>HYPERLINK("http://mcb-m6.bioreg.kyushu-u.ac.jp/M3/20110502/F51194/1142/1", 41.48)</f>
        <v>41.48</v>
      </c>
      <c r="E6908" s="2">
        <v>14.6</v>
      </c>
      <c r="F6908" s="2">
        <v>2</v>
      </c>
      <c r="G6908" s="2" t="s">
        <v>14</v>
      </c>
    </row>
    <row r="6909" spans="1:7" x14ac:dyDescent="0.2">
      <c r="A6909" s="2" t="s">
        <v>3827</v>
      </c>
      <c r="B6909" s="2" t="s">
        <v>899</v>
      </c>
      <c r="C6909" s="2">
        <v>1228.9359999999999</v>
      </c>
      <c r="D6909" s="2">
        <f>HYPERLINK("http://mcb-m6.bioreg.kyushu-u.ac.jp/M3/20110502/F51192/1179/1", 44.75)</f>
        <v>44.75</v>
      </c>
      <c r="E6909" s="2">
        <v>21.75</v>
      </c>
      <c r="F6909" s="2">
        <v>1</v>
      </c>
      <c r="G6909" s="2" t="s">
        <v>14</v>
      </c>
    </row>
    <row r="6910" spans="1:7" x14ac:dyDescent="0.2">
      <c r="A6910" s="2" t="s">
        <v>3827</v>
      </c>
      <c r="B6910" s="2" t="s">
        <v>899</v>
      </c>
      <c r="C6910" s="2">
        <v>615.23569999999995</v>
      </c>
      <c r="D6910" s="2">
        <f>HYPERLINK("http://mcb-m6.bioreg.kyushu-u.ac.jp/M3/20110502/F51183/1258/1", 61.07)</f>
        <v>61.07</v>
      </c>
      <c r="E6910" s="2">
        <v>24.4</v>
      </c>
      <c r="F6910" s="2">
        <v>2</v>
      </c>
      <c r="G6910" s="2" t="s">
        <v>14</v>
      </c>
    </row>
    <row r="6911" spans="1:7" x14ac:dyDescent="0.2">
      <c r="A6911" s="2" t="s">
        <v>3827</v>
      </c>
      <c r="B6911" s="2" t="s">
        <v>899</v>
      </c>
      <c r="C6911" s="2">
        <v>614.9982</v>
      </c>
      <c r="D6911" s="2">
        <f>HYPERLINK("http://mcb-m6.bioreg.kyushu-u.ac.jp/M3/20110502/F51192/1180/1", 68.92)</f>
        <v>68.92</v>
      </c>
      <c r="E6911" s="2">
        <v>36.68</v>
      </c>
      <c r="F6911" s="2">
        <v>2</v>
      </c>
      <c r="G6911" s="2" t="s">
        <v>14</v>
      </c>
    </row>
    <row r="6912" spans="1:7" x14ac:dyDescent="0.2">
      <c r="A6912" s="2" t="s">
        <v>3482</v>
      </c>
      <c r="B6912" s="2" t="s">
        <v>304</v>
      </c>
      <c r="C6912" s="2">
        <v>830.98469999999998</v>
      </c>
      <c r="D6912" s="2">
        <f>HYPERLINK("http://mcb-m6.bioreg.kyushu-u.ac.jp/M3/20110411/F50905/2505/1", 39.35)</f>
        <v>39.35</v>
      </c>
      <c r="E6912" s="2">
        <v>23.58</v>
      </c>
      <c r="F6912" s="2">
        <v>2</v>
      </c>
      <c r="G6912" s="2" t="s">
        <v>9</v>
      </c>
    </row>
    <row r="6913" spans="1:7" x14ac:dyDescent="0.2">
      <c r="A6913" s="2" t="s">
        <v>3482</v>
      </c>
      <c r="B6913" s="2" t="s">
        <v>304</v>
      </c>
      <c r="C6913" s="2">
        <v>830.59169999999995</v>
      </c>
      <c r="D6913" s="2">
        <f>HYPERLINK("http://mcb-m6.bioreg.kyushu-u.ac.jp/M3/20110411/F50895/2519/1", 52.02)</f>
        <v>52.02</v>
      </c>
      <c r="E6913" s="2">
        <v>37.619999999999997</v>
      </c>
      <c r="F6913" s="2">
        <v>2</v>
      </c>
      <c r="G6913" s="2" t="s">
        <v>9</v>
      </c>
    </row>
    <row r="6914" spans="1:7" x14ac:dyDescent="0.2">
      <c r="A6914" s="2" t="s">
        <v>3482</v>
      </c>
      <c r="B6914" s="2" t="s">
        <v>304</v>
      </c>
      <c r="C6914" s="2">
        <v>1659.7370000000001</v>
      </c>
      <c r="D6914" s="2">
        <f>HYPERLINK("http://mcb-m6.bioreg.kyushu-u.ac.jp/M3/20110411/F50915/2445/1", 81.3)</f>
        <v>81.3</v>
      </c>
      <c r="E6914" s="2">
        <v>64.81</v>
      </c>
      <c r="F6914" s="2">
        <v>1</v>
      </c>
      <c r="G6914" s="2" t="s">
        <v>9</v>
      </c>
    </row>
    <row r="6915" spans="1:7" x14ac:dyDescent="0.2">
      <c r="A6915" s="2" t="s">
        <v>3482</v>
      </c>
      <c r="B6915" s="2" t="s">
        <v>304</v>
      </c>
      <c r="C6915" s="2">
        <v>830.70920000000001</v>
      </c>
      <c r="D6915" s="2">
        <f>HYPERLINK("http://mcb-m6.bioreg.kyushu-u.ac.jp/M3/20110411/F50901/2416/1", 40.21)</f>
        <v>40.21</v>
      </c>
      <c r="E6915" s="2">
        <v>23.87</v>
      </c>
      <c r="F6915" s="2">
        <v>2</v>
      </c>
      <c r="G6915" s="2" t="s">
        <v>10</v>
      </c>
    </row>
    <row r="6916" spans="1:7" x14ac:dyDescent="0.2">
      <c r="A6916" s="2" t="s">
        <v>3482</v>
      </c>
      <c r="B6916" s="2" t="s">
        <v>304</v>
      </c>
      <c r="C6916" s="2">
        <v>830.44119999999998</v>
      </c>
      <c r="D6916" s="2">
        <f>HYPERLINK("http://mcb-m6.bioreg.kyushu-u.ac.jp/M3/20110411/F50917/2493/1", 43.93)</f>
        <v>43.93</v>
      </c>
      <c r="E6916" s="2">
        <v>33.03</v>
      </c>
      <c r="F6916" s="2">
        <v>2</v>
      </c>
      <c r="G6916" s="2" t="s">
        <v>10</v>
      </c>
    </row>
    <row r="6917" spans="1:7" x14ac:dyDescent="0.2">
      <c r="A6917" s="2" t="s">
        <v>3482</v>
      </c>
      <c r="B6917" s="2" t="s">
        <v>304</v>
      </c>
      <c r="C6917" s="2">
        <v>830.53610000000003</v>
      </c>
      <c r="D6917" s="2">
        <f>HYPERLINK("http://mcb-m6.bioreg.kyushu-u.ac.jp/M3/20110411/F50914/2508/1", 77.59)</f>
        <v>77.59</v>
      </c>
      <c r="E6917" s="2">
        <v>58.88</v>
      </c>
      <c r="F6917" s="2">
        <v>2</v>
      </c>
      <c r="G6917" s="2" t="s">
        <v>10</v>
      </c>
    </row>
    <row r="6918" spans="1:7" x14ac:dyDescent="0.2">
      <c r="A6918" s="2" t="s">
        <v>3482</v>
      </c>
      <c r="B6918" s="2" t="s">
        <v>304</v>
      </c>
      <c r="C6918" s="2">
        <v>830.6277</v>
      </c>
      <c r="D6918" s="2">
        <f>HYPERLINK("http://mcb-m6.bioreg.kyushu-u.ac.jp/M3/20110411/F50902/2496/1", 100.69)</f>
        <v>100.69</v>
      </c>
      <c r="E6918" s="2">
        <v>83.02</v>
      </c>
      <c r="F6918" s="2">
        <v>2</v>
      </c>
      <c r="G6918" s="2" t="s">
        <v>10</v>
      </c>
    </row>
    <row r="6919" spans="1:7" x14ac:dyDescent="0.2">
      <c r="A6919" s="2" t="s">
        <v>3482</v>
      </c>
      <c r="B6919" s="2" t="s">
        <v>304</v>
      </c>
      <c r="C6919" s="2">
        <v>830.54819999999995</v>
      </c>
      <c r="D6919" s="2">
        <f>HYPERLINK("http://mcb-m6.bioreg.kyushu-u.ac.jp/M3/20110411/F50918/2319/1", 121.51)</f>
        <v>121.51</v>
      </c>
      <c r="E6919" s="2">
        <v>98.12</v>
      </c>
      <c r="F6919" s="2">
        <v>2</v>
      </c>
      <c r="G6919" s="2" t="s">
        <v>10</v>
      </c>
    </row>
    <row r="6920" spans="1:7" x14ac:dyDescent="0.2">
      <c r="A6920" s="2" t="s">
        <v>3482</v>
      </c>
      <c r="B6920" s="2" t="s">
        <v>304</v>
      </c>
      <c r="C6920" s="2">
        <v>830.70510000000002</v>
      </c>
      <c r="D6920" s="2">
        <f>HYPERLINK("http://mcb-m6.bioreg.kyushu-u.ac.jp/M3/20110414/F50942/2430/1", 35.33)</f>
        <v>35.33</v>
      </c>
      <c r="E6920" s="2">
        <v>23.84</v>
      </c>
      <c r="F6920" s="2">
        <v>2</v>
      </c>
      <c r="G6920" s="2" t="s">
        <v>11</v>
      </c>
    </row>
    <row r="6921" spans="1:7" x14ac:dyDescent="0.2">
      <c r="A6921" s="2" t="s">
        <v>3482</v>
      </c>
      <c r="B6921" s="2" t="s">
        <v>304</v>
      </c>
      <c r="C6921" s="2">
        <v>830.29219999999998</v>
      </c>
      <c r="D6921" s="2">
        <f>HYPERLINK("http://mcb-m6.bioreg.kyushu-u.ac.jp/M3/20110414/F50942/2428/1", 37.91)</f>
        <v>37.909999999999997</v>
      </c>
      <c r="E6921" s="2">
        <v>23.88</v>
      </c>
      <c r="F6921" s="2">
        <v>2</v>
      </c>
      <c r="G6921" s="2" t="s">
        <v>11</v>
      </c>
    </row>
    <row r="6922" spans="1:7" x14ac:dyDescent="0.2">
      <c r="A6922" s="2" t="s">
        <v>3482</v>
      </c>
      <c r="B6922" s="2" t="s">
        <v>304</v>
      </c>
      <c r="C6922" s="2">
        <v>830.78219999999999</v>
      </c>
      <c r="D6922" s="2">
        <f>HYPERLINK("http://mcb-m6.bioreg.kyushu-u.ac.jp/M3/20110414/F50956/2570/1", 39.25)</f>
        <v>39.25</v>
      </c>
      <c r="E6922" s="2">
        <v>27.11</v>
      </c>
      <c r="F6922" s="2">
        <v>2</v>
      </c>
      <c r="G6922" s="2" t="s">
        <v>11</v>
      </c>
    </row>
    <row r="6923" spans="1:7" x14ac:dyDescent="0.2">
      <c r="A6923" s="2" t="s">
        <v>3482</v>
      </c>
      <c r="B6923" s="2" t="s">
        <v>304</v>
      </c>
      <c r="C6923" s="2">
        <v>554.31020000000001</v>
      </c>
      <c r="D6923" s="2">
        <f>HYPERLINK("http://mcb-m6.bioreg.kyushu-u.ac.jp/M3/20110414/F50942/2433/1", 52.69)</f>
        <v>52.69</v>
      </c>
      <c r="E6923" s="2">
        <v>39.81</v>
      </c>
      <c r="F6923" s="2">
        <v>3</v>
      </c>
      <c r="G6923" s="2" t="s">
        <v>11</v>
      </c>
    </row>
    <row r="6924" spans="1:7" x14ac:dyDescent="0.2">
      <c r="A6924" s="2" t="s">
        <v>3482</v>
      </c>
      <c r="B6924" s="2" t="s">
        <v>304</v>
      </c>
      <c r="C6924" s="2">
        <v>830.81119999999999</v>
      </c>
      <c r="D6924" s="2">
        <f>HYPERLINK("http://mcb-m6.bioreg.kyushu-u.ac.jp/M3/20110414/F50943/2393/1", 53.76)</f>
        <v>53.76</v>
      </c>
      <c r="E6924" s="2">
        <v>41.21</v>
      </c>
      <c r="F6924" s="2">
        <v>2</v>
      </c>
      <c r="G6924" s="2" t="s">
        <v>11</v>
      </c>
    </row>
    <row r="6925" spans="1:7" x14ac:dyDescent="0.2">
      <c r="A6925" s="2" t="s">
        <v>3482</v>
      </c>
      <c r="B6925" s="2" t="s">
        <v>304</v>
      </c>
      <c r="C6925" s="2">
        <v>830.34010000000001</v>
      </c>
      <c r="D6925" s="2">
        <f>HYPERLINK("http://mcb-m6.bioreg.kyushu-u.ac.jp/M3/20110414/F50941/2572/1", 69.13)</f>
        <v>69.13</v>
      </c>
      <c r="E6925" s="2">
        <v>47.71</v>
      </c>
      <c r="F6925" s="2">
        <v>2</v>
      </c>
      <c r="G6925" s="2" t="s">
        <v>11</v>
      </c>
    </row>
    <row r="6926" spans="1:7" x14ac:dyDescent="0.2">
      <c r="A6926" s="2" t="s">
        <v>3482</v>
      </c>
      <c r="B6926" s="2" t="s">
        <v>304</v>
      </c>
      <c r="C6926" s="2">
        <v>830.88509999999997</v>
      </c>
      <c r="D6926" s="2">
        <f>HYPERLINK("http://mcb-m6.bioreg.kyushu-u.ac.jp/M3/20110414/F50942/2432/1", 74.34)</f>
        <v>74.34</v>
      </c>
      <c r="E6926" s="2">
        <v>56.7</v>
      </c>
      <c r="F6926" s="2">
        <v>2</v>
      </c>
      <c r="G6926" s="2" t="s">
        <v>11</v>
      </c>
    </row>
    <row r="6927" spans="1:7" x14ac:dyDescent="0.2">
      <c r="A6927" s="2" t="s">
        <v>3482</v>
      </c>
      <c r="B6927" s="2" t="s">
        <v>304</v>
      </c>
      <c r="C6927" s="2">
        <v>830.42819999999995</v>
      </c>
      <c r="D6927" s="2">
        <f>HYPERLINK("http://mcb-m6.bioreg.kyushu-u.ac.jp/M3/20110414/F50945/2489/1", 92.43)</f>
        <v>92.43</v>
      </c>
      <c r="E6927" s="2">
        <v>76.72</v>
      </c>
      <c r="F6927" s="2">
        <v>2</v>
      </c>
      <c r="G6927" s="2" t="s">
        <v>11</v>
      </c>
    </row>
    <row r="6928" spans="1:7" x14ac:dyDescent="0.2">
      <c r="A6928" s="2" t="s">
        <v>3482</v>
      </c>
      <c r="B6928" s="2" t="s">
        <v>304</v>
      </c>
      <c r="C6928" s="2">
        <v>830.86159999999995</v>
      </c>
      <c r="D6928" s="2">
        <f>HYPERLINK("http://mcb-m6.bioreg.kyushu-u.ac.jp/M3/20110414/F50941/2577/1", 92.61)</f>
        <v>92.61</v>
      </c>
      <c r="E6928" s="2">
        <v>75.81</v>
      </c>
      <c r="F6928" s="2">
        <v>2</v>
      </c>
      <c r="G6928" s="2" t="s">
        <v>11</v>
      </c>
    </row>
    <row r="6929" spans="1:7" x14ac:dyDescent="0.2">
      <c r="A6929" s="2" t="s">
        <v>3482</v>
      </c>
      <c r="B6929" s="2" t="s">
        <v>304</v>
      </c>
      <c r="C6929" s="2">
        <v>830.26969999999994</v>
      </c>
      <c r="D6929" s="2">
        <f>HYPERLINK("http://mcb-m6.bioreg.kyushu-u.ac.jp/M3/20110414/F50957/2461/1", 95.48)</f>
        <v>95.48</v>
      </c>
      <c r="E6929" s="2">
        <v>75.06</v>
      </c>
      <c r="F6929" s="2">
        <v>2</v>
      </c>
      <c r="G6929" s="2" t="s">
        <v>11</v>
      </c>
    </row>
    <row r="6930" spans="1:7" x14ac:dyDescent="0.2">
      <c r="A6930" s="2" t="s">
        <v>3482</v>
      </c>
      <c r="B6930" s="2" t="s">
        <v>304</v>
      </c>
      <c r="C6930" s="2">
        <v>830.4606</v>
      </c>
      <c r="D6930" s="2">
        <f>HYPERLINK("http://mcb-m6.bioreg.kyushu-u.ac.jp/M3/20110414/F50944/2442/1", 95.99)</f>
        <v>95.99</v>
      </c>
      <c r="E6930" s="2">
        <v>77.28</v>
      </c>
      <c r="F6930" s="2">
        <v>2</v>
      </c>
      <c r="G6930" s="2" t="s">
        <v>11</v>
      </c>
    </row>
    <row r="6931" spans="1:7" x14ac:dyDescent="0.2">
      <c r="A6931" s="2" t="s">
        <v>3482</v>
      </c>
      <c r="B6931" s="2" t="s">
        <v>304</v>
      </c>
      <c r="C6931" s="2">
        <v>830.27009999999996</v>
      </c>
      <c r="D6931" s="2">
        <f>HYPERLINK("http://mcb-m6.bioreg.kyushu-u.ac.jp/M3/20110414/F50943/2390/1", 111.23)</f>
        <v>111.23</v>
      </c>
      <c r="E6931" s="2">
        <v>93.71</v>
      </c>
      <c r="F6931" s="2">
        <v>2</v>
      </c>
      <c r="G6931" s="2" t="s">
        <v>11</v>
      </c>
    </row>
    <row r="6932" spans="1:7" x14ac:dyDescent="0.2">
      <c r="A6932" s="2" t="s">
        <v>3482</v>
      </c>
      <c r="B6932" s="2" t="s">
        <v>304</v>
      </c>
      <c r="C6932" s="2">
        <v>554.11080000000004</v>
      </c>
      <c r="D6932" s="2">
        <f>HYPERLINK("http://mcb-m6.bioreg.kyushu-u.ac.jp/M3/20110414/F50948/2623/1", 37.75)</f>
        <v>37.75</v>
      </c>
      <c r="E6932" s="2">
        <v>16.54</v>
      </c>
      <c r="F6932" s="2">
        <v>3</v>
      </c>
      <c r="G6932" s="2" t="s">
        <v>12</v>
      </c>
    </row>
    <row r="6933" spans="1:7" x14ac:dyDescent="0.2">
      <c r="A6933" s="2" t="s">
        <v>3482</v>
      </c>
      <c r="B6933" s="2" t="s">
        <v>304</v>
      </c>
      <c r="C6933" s="2">
        <v>830.29169999999999</v>
      </c>
      <c r="D6933" s="2">
        <f>HYPERLINK("http://mcb-m6.bioreg.kyushu-u.ac.jp/M3/20110414/F50958/2639/1", 41.47)</f>
        <v>41.47</v>
      </c>
      <c r="E6933" s="2">
        <v>32.15</v>
      </c>
      <c r="F6933" s="2">
        <v>2</v>
      </c>
      <c r="G6933" s="2" t="s">
        <v>12</v>
      </c>
    </row>
    <row r="6934" spans="1:7" x14ac:dyDescent="0.2">
      <c r="A6934" s="2" t="s">
        <v>3482</v>
      </c>
      <c r="B6934" s="2" t="s">
        <v>304</v>
      </c>
      <c r="C6934" s="2">
        <v>830.1481</v>
      </c>
      <c r="D6934" s="2">
        <f>HYPERLINK("http://mcb-m6.bioreg.kyushu-u.ac.jp/M3/20110414/F50948/2621/1", 48.62)</f>
        <v>48.62</v>
      </c>
      <c r="E6934" s="2">
        <v>31.17</v>
      </c>
      <c r="F6934" s="2">
        <v>2</v>
      </c>
      <c r="G6934" s="2" t="s">
        <v>12</v>
      </c>
    </row>
    <row r="6935" spans="1:7" x14ac:dyDescent="0.2">
      <c r="A6935" s="2" t="s">
        <v>3482</v>
      </c>
      <c r="B6935" s="2" t="s">
        <v>304</v>
      </c>
      <c r="C6935" s="2">
        <v>830.88710000000003</v>
      </c>
      <c r="D6935" s="2">
        <f>HYPERLINK("http://mcb-m6.bioreg.kyushu-u.ac.jp/M3/20110414/F50958/2646/1", 110.57)</f>
        <v>110.57</v>
      </c>
      <c r="E6935" s="2">
        <v>85.93</v>
      </c>
      <c r="F6935" s="2">
        <v>2</v>
      </c>
      <c r="G6935" s="2" t="s">
        <v>12</v>
      </c>
    </row>
    <row r="6936" spans="1:7" x14ac:dyDescent="0.2">
      <c r="A6936" s="2" t="s">
        <v>3482</v>
      </c>
      <c r="B6936" s="2" t="s">
        <v>304</v>
      </c>
      <c r="C6936" s="2">
        <v>830.5616</v>
      </c>
      <c r="D6936" s="2">
        <f>HYPERLINK("http://mcb-m6.bioreg.kyushu-u.ac.jp/M3/20110502/F51171/2390/1", 38.57)</f>
        <v>38.57</v>
      </c>
      <c r="E6936" s="2">
        <v>26.68</v>
      </c>
      <c r="F6936" s="2">
        <v>2</v>
      </c>
      <c r="G6936" s="2" t="s">
        <v>13</v>
      </c>
    </row>
    <row r="6937" spans="1:7" x14ac:dyDescent="0.2">
      <c r="A6937" s="2" t="s">
        <v>3482</v>
      </c>
      <c r="B6937" s="2" t="s">
        <v>304</v>
      </c>
      <c r="C6937" s="2">
        <v>830.60310000000004</v>
      </c>
      <c r="D6937" s="2">
        <f>HYPERLINK("http://mcb-m6.bioreg.kyushu-u.ac.jp/M3/20110502/F51188/2244/1", 65.19)</f>
        <v>65.19</v>
      </c>
      <c r="E6937" s="2">
        <v>47.64</v>
      </c>
      <c r="F6937" s="2">
        <v>2</v>
      </c>
      <c r="G6937" s="2" t="s">
        <v>13</v>
      </c>
    </row>
    <row r="6938" spans="1:7" x14ac:dyDescent="0.2">
      <c r="A6938" s="2" t="s">
        <v>3482</v>
      </c>
      <c r="B6938" s="2" t="s">
        <v>304</v>
      </c>
      <c r="C6938" s="2">
        <v>830.67570000000001</v>
      </c>
      <c r="D6938" s="2">
        <f>HYPERLINK("http://mcb-m6.bioreg.kyushu-u.ac.jp/M3/20110502/F51173/2378/1", 73.98)</f>
        <v>73.98</v>
      </c>
      <c r="E6938" s="2">
        <v>57.84</v>
      </c>
      <c r="F6938" s="2">
        <v>2</v>
      </c>
      <c r="G6938" s="2" t="s">
        <v>13</v>
      </c>
    </row>
    <row r="6939" spans="1:7" x14ac:dyDescent="0.2">
      <c r="A6939" s="2" t="s">
        <v>3482</v>
      </c>
      <c r="B6939" s="2" t="s">
        <v>304</v>
      </c>
      <c r="C6939" s="2">
        <v>830.64670000000001</v>
      </c>
      <c r="D6939" s="2">
        <f>HYPERLINK("http://mcb-m6.bioreg.kyushu-u.ac.jp/M3/20110502/F51172/2753/1", 106.51)</f>
        <v>106.51</v>
      </c>
      <c r="E6939" s="2">
        <v>81.22</v>
      </c>
      <c r="F6939" s="2">
        <v>2</v>
      </c>
      <c r="G6939" s="2" t="s">
        <v>13</v>
      </c>
    </row>
    <row r="6940" spans="1:7" x14ac:dyDescent="0.2">
      <c r="A6940" s="2" t="s">
        <v>3482</v>
      </c>
      <c r="B6940" s="2" t="s">
        <v>304</v>
      </c>
      <c r="C6940" s="2">
        <v>830.86360000000002</v>
      </c>
      <c r="D6940" s="2">
        <f>HYPERLINK("http://mcb-m6.bioreg.kyushu-u.ac.jp/M3/20110502/F51193/2374/1", 47.64)</f>
        <v>47.64</v>
      </c>
      <c r="E6940" s="2">
        <v>33.68</v>
      </c>
      <c r="F6940" s="2">
        <v>2</v>
      </c>
      <c r="G6940" s="2" t="s">
        <v>14</v>
      </c>
    </row>
    <row r="6941" spans="1:7" x14ac:dyDescent="0.2">
      <c r="A6941" s="2" t="s">
        <v>3482</v>
      </c>
      <c r="B6941" s="2" t="s">
        <v>304</v>
      </c>
      <c r="C6941" s="2">
        <v>830.42020000000002</v>
      </c>
      <c r="D6941" s="2">
        <f>HYPERLINK("http://mcb-m6.bioreg.kyushu-u.ac.jp/M3/20110502/F51192/2283/1", 67.01)</f>
        <v>67.010000000000005</v>
      </c>
      <c r="E6941" s="2">
        <v>45.09</v>
      </c>
      <c r="F6941" s="2">
        <v>2</v>
      </c>
      <c r="G6941" s="2" t="s">
        <v>14</v>
      </c>
    </row>
    <row r="6942" spans="1:7" x14ac:dyDescent="0.2">
      <c r="A6942" s="2" t="s">
        <v>3853</v>
      </c>
      <c r="B6942" s="2" t="s">
        <v>955</v>
      </c>
      <c r="C6942" s="2">
        <v>509.52960000000002</v>
      </c>
      <c r="D6942" s="2">
        <f>HYPERLINK("http://mcb-m6.bioreg.kyushu-u.ac.jp/M3/20110411/F50911/1001/1", 56.69)</f>
        <v>56.69</v>
      </c>
      <c r="E6942" s="2">
        <v>9</v>
      </c>
      <c r="F6942" s="2">
        <v>2</v>
      </c>
      <c r="G6942" s="2" t="s">
        <v>9</v>
      </c>
    </row>
    <row r="6943" spans="1:7" x14ac:dyDescent="0.2">
      <c r="A6943" s="2" t="s">
        <v>3853</v>
      </c>
      <c r="B6943" s="2" t="s">
        <v>955</v>
      </c>
      <c r="C6943" s="2">
        <v>509.3886</v>
      </c>
      <c r="D6943" s="2">
        <f>HYPERLINK("http://mcb-m6.bioreg.kyushu-u.ac.jp/M3/20110411/F50915/795/1", 62.58)</f>
        <v>62.58</v>
      </c>
      <c r="E6943" s="2">
        <v>28.26</v>
      </c>
      <c r="F6943" s="2">
        <v>2</v>
      </c>
      <c r="G6943" s="2" t="s">
        <v>9</v>
      </c>
    </row>
    <row r="6944" spans="1:7" x14ac:dyDescent="0.2">
      <c r="A6944" s="2" t="s">
        <v>3853</v>
      </c>
      <c r="B6944" s="2" t="s">
        <v>955</v>
      </c>
      <c r="C6944" s="2">
        <v>509.40410000000003</v>
      </c>
      <c r="D6944" s="2">
        <f>HYPERLINK("http://mcb-m6.bioreg.kyushu-u.ac.jp/M3/20110411/F50917/827/1", 70.83)</f>
        <v>70.83</v>
      </c>
      <c r="E6944" s="2">
        <v>30.05</v>
      </c>
      <c r="F6944" s="2">
        <v>2</v>
      </c>
      <c r="G6944" s="2" t="s">
        <v>10</v>
      </c>
    </row>
    <row r="6945" spans="1:7" x14ac:dyDescent="0.2">
      <c r="A6945" s="2" t="s">
        <v>3853</v>
      </c>
      <c r="B6945" s="2" t="s">
        <v>955</v>
      </c>
      <c r="C6945" s="2">
        <v>509.2921</v>
      </c>
      <c r="D6945" s="2">
        <f>HYPERLINK("http://mcb-m6.bioreg.kyushu-u.ac.jp/M3/20110414/F50942/867/1", 63.87)</f>
        <v>63.87</v>
      </c>
      <c r="E6945" s="2">
        <v>27.55</v>
      </c>
      <c r="F6945" s="2">
        <v>2</v>
      </c>
      <c r="G6945" s="2" t="s">
        <v>11</v>
      </c>
    </row>
    <row r="6946" spans="1:7" x14ac:dyDescent="0.2">
      <c r="A6946" s="2" t="s">
        <v>3853</v>
      </c>
      <c r="B6946" s="2" t="s">
        <v>955</v>
      </c>
      <c r="C6946" s="2">
        <v>509.18509999999998</v>
      </c>
      <c r="D6946" s="2">
        <f>HYPERLINK("http://mcb-m6.bioreg.kyushu-u.ac.jp/M3/20110414/F50956/665/1", 64.07)</f>
        <v>64.069999999999993</v>
      </c>
      <c r="E6946" s="2">
        <v>29.78</v>
      </c>
      <c r="F6946" s="2">
        <v>2</v>
      </c>
      <c r="G6946" s="2" t="s">
        <v>11</v>
      </c>
    </row>
    <row r="6947" spans="1:7" x14ac:dyDescent="0.2">
      <c r="A6947" s="2" t="s">
        <v>3853</v>
      </c>
      <c r="B6947" s="2" t="s">
        <v>955</v>
      </c>
      <c r="C6947" s="2">
        <v>509.14260000000002</v>
      </c>
      <c r="D6947" s="2">
        <f>HYPERLINK("http://mcb-m6.bioreg.kyushu-u.ac.jp/M3/20110414/F50948/856/1", 62.4)</f>
        <v>62.4</v>
      </c>
      <c r="E6947" s="2">
        <v>26.31</v>
      </c>
      <c r="F6947" s="2">
        <v>2</v>
      </c>
      <c r="G6947" s="2" t="s">
        <v>12</v>
      </c>
    </row>
    <row r="6948" spans="1:7" x14ac:dyDescent="0.2">
      <c r="A6948" s="2" t="s">
        <v>3853</v>
      </c>
      <c r="B6948" s="2" t="s">
        <v>955</v>
      </c>
      <c r="C6948" s="2">
        <v>509.49509999999998</v>
      </c>
      <c r="D6948" s="2">
        <f>HYPERLINK("http://mcb-m6.bioreg.kyushu-u.ac.jp/M3/20110502/F51192/728/1", 52.67)</f>
        <v>52.67</v>
      </c>
      <c r="E6948" s="2">
        <v>11.71</v>
      </c>
      <c r="F6948" s="2">
        <v>2</v>
      </c>
      <c r="G6948" s="2" t="s">
        <v>14</v>
      </c>
    </row>
    <row r="6949" spans="1:7" x14ac:dyDescent="0.2">
      <c r="A6949" s="2" t="s">
        <v>3797</v>
      </c>
      <c r="B6949" s="2" t="s">
        <v>845</v>
      </c>
      <c r="C6949" s="2">
        <v>744.46420000000001</v>
      </c>
      <c r="D6949" s="2">
        <f>HYPERLINK("http://mcb-m6.bioreg.kyushu-u.ac.jp/M3/20110411/F50895/2112/1", 53.22)</f>
        <v>53.22</v>
      </c>
      <c r="E6949" s="2">
        <v>35.200000000000003</v>
      </c>
      <c r="F6949" s="2">
        <v>2</v>
      </c>
      <c r="G6949" s="2" t="s">
        <v>9</v>
      </c>
    </row>
    <row r="6950" spans="1:7" x14ac:dyDescent="0.2">
      <c r="A6950" s="2" t="s">
        <v>3797</v>
      </c>
      <c r="B6950" s="2" t="s">
        <v>845</v>
      </c>
      <c r="C6950" s="2">
        <v>744.29769999999996</v>
      </c>
      <c r="D6950" s="2">
        <f>HYPERLINK("http://mcb-m6.bioreg.kyushu-u.ac.jp/M3/20110411/F50892/2232/1", 62.84)</f>
        <v>62.84</v>
      </c>
      <c r="E6950" s="2">
        <v>48.73</v>
      </c>
      <c r="F6950" s="2">
        <v>2</v>
      </c>
      <c r="G6950" s="2" t="s">
        <v>9</v>
      </c>
    </row>
    <row r="6951" spans="1:7" x14ac:dyDescent="0.2">
      <c r="A6951" s="2" t="s">
        <v>3797</v>
      </c>
      <c r="B6951" s="2" t="s">
        <v>845</v>
      </c>
      <c r="C6951" s="2">
        <v>744.74659999999994</v>
      </c>
      <c r="D6951" s="2">
        <f>HYPERLINK("http://mcb-m6.bioreg.kyushu-u.ac.jp/M3/20110411/F50911/2113/1", 63.35)</f>
        <v>63.35</v>
      </c>
      <c r="E6951" s="2">
        <v>42.83</v>
      </c>
      <c r="F6951" s="2">
        <v>2</v>
      </c>
      <c r="G6951" s="2" t="s">
        <v>9</v>
      </c>
    </row>
    <row r="6952" spans="1:7" x14ac:dyDescent="0.2">
      <c r="A6952" s="2" t="s">
        <v>3797</v>
      </c>
      <c r="B6952" s="2" t="s">
        <v>845</v>
      </c>
      <c r="C6952" s="2">
        <v>744.28060000000005</v>
      </c>
      <c r="D6952" s="2">
        <f>HYPERLINK("http://mcb-m6.bioreg.kyushu-u.ac.jp/M3/20110411/F50891/2116/1", 65.11)</f>
        <v>65.11</v>
      </c>
      <c r="E6952" s="2">
        <v>43.49</v>
      </c>
      <c r="F6952" s="2">
        <v>2</v>
      </c>
      <c r="G6952" s="2" t="s">
        <v>9</v>
      </c>
    </row>
    <row r="6953" spans="1:7" x14ac:dyDescent="0.2">
      <c r="A6953" s="2" t="s">
        <v>3797</v>
      </c>
      <c r="B6953" s="2" t="s">
        <v>845</v>
      </c>
      <c r="C6953" s="2">
        <v>744.53809999999999</v>
      </c>
      <c r="D6953" s="2">
        <f>HYPERLINK("http://mcb-m6.bioreg.kyushu-u.ac.jp/M3/20110411/F50905/2060/1", 71.76)</f>
        <v>71.760000000000005</v>
      </c>
      <c r="E6953" s="2">
        <v>60.46</v>
      </c>
      <c r="F6953" s="2">
        <v>2</v>
      </c>
      <c r="G6953" s="2" t="s">
        <v>9</v>
      </c>
    </row>
    <row r="6954" spans="1:7" x14ac:dyDescent="0.2">
      <c r="A6954" s="2" t="s">
        <v>3797</v>
      </c>
      <c r="B6954" s="2" t="s">
        <v>845</v>
      </c>
      <c r="C6954" s="2">
        <v>744.53369999999995</v>
      </c>
      <c r="D6954" s="2">
        <f>HYPERLINK("http://mcb-m6.bioreg.kyushu-u.ac.jp/M3/20110411/F50894/2265/1", 78.12)</f>
        <v>78.12</v>
      </c>
      <c r="E6954" s="2">
        <v>57.06</v>
      </c>
      <c r="F6954" s="2">
        <v>2</v>
      </c>
      <c r="G6954" s="2" t="s">
        <v>9</v>
      </c>
    </row>
    <row r="6955" spans="1:7" x14ac:dyDescent="0.2">
      <c r="A6955" s="2" t="s">
        <v>3797</v>
      </c>
      <c r="B6955" s="2" t="s">
        <v>845</v>
      </c>
      <c r="C6955" s="2">
        <v>744.42409999999995</v>
      </c>
      <c r="D6955" s="2">
        <f>HYPERLINK("http://mcb-m6.bioreg.kyushu-u.ac.jp/M3/20110411/F50916/1937/1", 80.22)</f>
        <v>80.22</v>
      </c>
      <c r="E6955" s="2">
        <v>62.52</v>
      </c>
      <c r="F6955" s="2">
        <v>2</v>
      </c>
      <c r="G6955" s="2" t="s">
        <v>9</v>
      </c>
    </row>
    <row r="6956" spans="1:7" x14ac:dyDescent="0.2">
      <c r="A6956" s="2" t="s">
        <v>3797</v>
      </c>
      <c r="B6956" s="2" t="s">
        <v>845</v>
      </c>
      <c r="C6956" s="2">
        <v>744.48659999999995</v>
      </c>
      <c r="D6956" s="2">
        <f>HYPERLINK("http://mcb-m6.bioreg.kyushu-u.ac.jp/M3/20110411/F50896/2163/1", 42.31)</f>
        <v>42.31</v>
      </c>
      <c r="E6956" s="2">
        <v>22.75</v>
      </c>
      <c r="F6956" s="2">
        <v>2</v>
      </c>
      <c r="G6956" s="2" t="s">
        <v>10</v>
      </c>
    </row>
    <row r="6957" spans="1:7" x14ac:dyDescent="0.2">
      <c r="A6957" s="2" t="s">
        <v>3797</v>
      </c>
      <c r="B6957" s="2" t="s">
        <v>845</v>
      </c>
      <c r="C6957" s="2">
        <v>1487.864</v>
      </c>
      <c r="D6957" s="2">
        <f>HYPERLINK("http://mcb-m6.bioreg.kyushu-u.ac.jp/M3/20110411/F50917/1980/1", 45.7)</f>
        <v>45.7</v>
      </c>
      <c r="E6957" s="2">
        <v>36.47</v>
      </c>
      <c r="F6957" s="2">
        <v>1</v>
      </c>
      <c r="G6957" s="2" t="s">
        <v>10</v>
      </c>
    </row>
    <row r="6958" spans="1:7" x14ac:dyDescent="0.2">
      <c r="A6958" s="2" t="s">
        <v>3797</v>
      </c>
      <c r="B6958" s="2" t="s">
        <v>845</v>
      </c>
      <c r="C6958" s="2">
        <v>744.47170000000006</v>
      </c>
      <c r="D6958" s="2">
        <f>HYPERLINK("http://mcb-m6.bioreg.kyushu-u.ac.jp/M3/20110411/F50901/2068/1", 70)</f>
        <v>70</v>
      </c>
      <c r="E6958" s="2">
        <v>49.83</v>
      </c>
      <c r="F6958" s="2">
        <v>2</v>
      </c>
      <c r="G6958" s="2" t="s">
        <v>10</v>
      </c>
    </row>
    <row r="6959" spans="1:7" x14ac:dyDescent="0.2">
      <c r="A6959" s="2" t="s">
        <v>3797</v>
      </c>
      <c r="B6959" s="2" t="s">
        <v>845</v>
      </c>
      <c r="C6959" s="2">
        <v>744.50620000000004</v>
      </c>
      <c r="D6959" s="2">
        <f>HYPERLINK("http://mcb-m6.bioreg.kyushu-u.ac.jp/M3/20110411/F50913/2036/1", 77.77)</f>
        <v>77.77</v>
      </c>
      <c r="E6959" s="2">
        <v>59.05</v>
      </c>
      <c r="F6959" s="2">
        <v>2</v>
      </c>
      <c r="G6959" s="2" t="s">
        <v>10</v>
      </c>
    </row>
    <row r="6960" spans="1:7" x14ac:dyDescent="0.2">
      <c r="A6960" s="2" t="s">
        <v>3797</v>
      </c>
      <c r="B6960" s="2" t="s">
        <v>845</v>
      </c>
      <c r="C6960" s="2">
        <v>1487.7059999999999</v>
      </c>
      <c r="D6960" s="2">
        <f>HYPERLINK("http://mcb-m6.bioreg.kyushu-u.ac.jp/M3/20110414/F50942/1932/1", 35.41)</f>
        <v>35.409999999999997</v>
      </c>
      <c r="E6960" s="2">
        <v>31.15</v>
      </c>
      <c r="F6960" s="2">
        <v>1</v>
      </c>
      <c r="G6960" s="2" t="s">
        <v>11</v>
      </c>
    </row>
    <row r="6961" spans="1:7" x14ac:dyDescent="0.2">
      <c r="A6961" s="2" t="s">
        <v>3797</v>
      </c>
      <c r="B6961" s="2" t="s">
        <v>845</v>
      </c>
      <c r="C6961" s="2">
        <v>744.25570000000005</v>
      </c>
      <c r="D6961" s="2">
        <f>HYPERLINK("http://mcb-m6.bioreg.kyushu-u.ac.jp/M3/20110414/F50925/2257/1", 35.97)</f>
        <v>35.97</v>
      </c>
      <c r="E6961" s="2">
        <v>16.149999999999999</v>
      </c>
      <c r="F6961" s="2">
        <v>2</v>
      </c>
      <c r="G6961" s="2" t="s">
        <v>11</v>
      </c>
    </row>
    <row r="6962" spans="1:7" x14ac:dyDescent="0.2">
      <c r="A6962" s="2" t="s">
        <v>3797</v>
      </c>
      <c r="B6962" s="2" t="s">
        <v>845</v>
      </c>
      <c r="C6962" s="2">
        <v>744.69569999999999</v>
      </c>
      <c r="D6962" s="2">
        <f>HYPERLINK("http://mcb-m6.bioreg.kyushu-u.ac.jp/M3/20110414/F50957/1937/1", 42.51)</f>
        <v>42.51</v>
      </c>
      <c r="E6962" s="2">
        <v>24.5</v>
      </c>
      <c r="F6962" s="2">
        <v>2</v>
      </c>
      <c r="G6962" s="2" t="s">
        <v>11</v>
      </c>
    </row>
    <row r="6963" spans="1:7" x14ac:dyDescent="0.2">
      <c r="A6963" s="2" t="s">
        <v>3797</v>
      </c>
      <c r="B6963" s="2" t="s">
        <v>845</v>
      </c>
      <c r="C6963" s="2">
        <v>744.66269999999997</v>
      </c>
      <c r="D6963" s="2">
        <f>HYPERLINK("http://mcb-m6.bioreg.kyushu-u.ac.jp/M3/20110414/F50962/1935/1", 43.21)</f>
        <v>43.21</v>
      </c>
      <c r="E6963" s="2">
        <v>27.11</v>
      </c>
      <c r="F6963" s="2">
        <v>2</v>
      </c>
      <c r="G6963" s="2" t="s">
        <v>11</v>
      </c>
    </row>
    <row r="6964" spans="1:7" x14ac:dyDescent="0.2">
      <c r="A6964" s="2" t="s">
        <v>3797</v>
      </c>
      <c r="B6964" s="2" t="s">
        <v>845</v>
      </c>
      <c r="C6964" s="2">
        <v>744.65369999999996</v>
      </c>
      <c r="D6964" s="2">
        <f>HYPERLINK("http://mcb-m6.bioreg.kyushu-u.ac.jp/M3/20110414/F50956/1974/1", 43.69)</f>
        <v>43.69</v>
      </c>
      <c r="E6964" s="2">
        <v>30.36</v>
      </c>
      <c r="F6964" s="2">
        <v>2</v>
      </c>
      <c r="G6964" s="2" t="s">
        <v>11</v>
      </c>
    </row>
    <row r="6965" spans="1:7" x14ac:dyDescent="0.2">
      <c r="A6965" s="2" t="s">
        <v>3797</v>
      </c>
      <c r="B6965" s="2" t="s">
        <v>845</v>
      </c>
      <c r="C6965" s="2">
        <v>744.30359999999996</v>
      </c>
      <c r="D6965" s="2">
        <f>HYPERLINK("http://mcb-m6.bioreg.kyushu-u.ac.jp/M3/20110414/F50945/2063/1", 54.04)</f>
        <v>54.04</v>
      </c>
      <c r="E6965" s="2">
        <v>32.99</v>
      </c>
      <c r="F6965" s="2">
        <v>2</v>
      </c>
      <c r="G6965" s="2" t="s">
        <v>11</v>
      </c>
    </row>
    <row r="6966" spans="1:7" x14ac:dyDescent="0.2">
      <c r="A6966" s="2" t="s">
        <v>3797</v>
      </c>
      <c r="B6966" s="2" t="s">
        <v>845</v>
      </c>
      <c r="C6966" s="2">
        <v>744.4117</v>
      </c>
      <c r="D6966" s="2">
        <f>HYPERLINK("http://mcb-m6.bioreg.kyushu-u.ac.jp/M3/20110414/F50927/2315/1", 61.72)</f>
        <v>61.72</v>
      </c>
      <c r="E6966" s="2">
        <v>45.05</v>
      </c>
      <c r="F6966" s="2">
        <v>2</v>
      </c>
      <c r="G6966" s="2" t="s">
        <v>11</v>
      </c>
    </row>
    <row r="6967" spans="1:7" x14ac:dyDescent="0.2">
      <c r="A6967" s="2" t="s">
        <v>3797</v>
      </c>
      <c r="B6967" s="2" t="s">
        <v>845</v>
      </c>
      <c r="C6967" s="2">
        <v>1487.5309999999999</v>
      </c>
      <c r="D6967" s="2">
        <f>HYPERLINK("http://mcb-m6.bioreg.kyushu-u.ac.jp/M3/20110414/F50948/2117/1", 38.99)</f>
        <v>38.99</v>
      </c>
      <c r="E6967" s="2">
        <v>31.65</v>
      </c>
      <c r="F6967" s="2">
        <v>1</v>
      </c>
      <c r="G6967" s="2" t="s">
        <v>12</v>
      </c>
    </row>
    <row r="6968" spans="1:7" x14ac:dyDescent="0.2">
      <c r="A6968" s="2" t="s">
        <v>3797</v>
      </c>
      <c r="B6968" s="2" t="s">
        <v>845</v>
      </c>
      <c r="C6968" s="2">
        <v>1487.5809999999999</v>
      </c>
      <c r="D6968" s="2">
        <f>HYPERLINK("http://mcb-m6.bioreg.kyushu-u.ac.jp/M3/20110414/F50958/2024/1", 44.01)</f>
        <v>44.01</v>
      </c>
      <c r="E6968" s="2">
        <v>38.01</v>
      </c>
      <c r="F6968" s="2">
        <v>1</v>
      </c>
      <c r="G6968" s="2" t="s">
        <v>12</v>
      </c>
    </row>
    <row r="6969" spans="1:7" x14ac:dyDescent="0.2">
      <c r="A6969" s="2" t="s">
        <v>3797</v>
      </c>
      <c r="B6969" s="2" t="s">
        <v>845</v>
      </c>
      <c r="C6969" s="2">
        <v>744.19069999999999</v>
      </c>
      <c r="D6969" s="2">
        <f>HYPERLINK("http://mcb-m6.bioreg.kyushu-u.ac.jp/M3/20110414/F50948/2113/1", 44.1)</f>
        <v>44.1</v>
      </c>
      <c r="E6969" s="2">
        <v>29.46</v>
      </c>
      <c r="F6969" s="2">
        <v>2</v>
      </c>
      <c r="G6969" s="2" t="s">
        <v>12</v>
      </c>
    </row>
    <row r="6970" spans="1:7" x14ac:dyDescent="0.2">
      <c r="A6970" s="2" t="s">
        <v>3797</v>
      </c>
      <c r="B6970" s="2" t="s">
        <v>845</v>
      </c>
      <c r="C6970" s="2">
        <v>743.94820000000004</v>
      </c>
      <c r="D6970" s="2">
        <f>HYPERLINK("http://mcb-m6.bioreg.kyushu-u.ac.jp/M3/20110414/F50949/2161/1", 45.12)</f>
        <v>45.12</v>
      </c>
      <c r="E6970" s="2">
        <v>26.73</v>
      </c>
      <c r="F6970" s="2">
        <v>2</v>
      </c>
      <c r="G6970" s="2" t="s">
        <v>12</v>
      </c>
    </row>
    <row r="6971" spans="1:7" x14ac:dyDescent="0.2">
      <c r="A6971" s="2" t="s">
        <v>3797</v>
      </c>
      <c r="B6971" s="2" t="s">
        <v>845</v>
      </c>
      <c r="C6971" s="2">
        <v>744.56769999999995</v>
      </c>
      <c r="D6971" s="2">
        <f>HYPERLINK("http://mcb-m6.bioreg.kyushu-u.ac.jp/M3/20110414/F50958/2029/1", 48.24)</f>
        <v>48.24</v>
      </c>
      <c r="E6971" s="2">
        <v>33.9</v>
      </c>
      <c r="F6971" s="2">
        <v>2</v>
      </c>
      <c r="G6971" s="2" t="s">
        <v>12</v>
      </c>
    </row>
    <row r="6972" spans="1:7" x14ac:dyDescent="0.2">
      <c r="A6972" s="2" t="s">
        <v>3797</v>
      </c>
      <c r="B6972" s="2" t="s">
        <v>845</v>
      </c>
      <c r="C6972" s="2">
        <v>744.71259999999995</v>
      </c>
      <c r="D6972" s="2">
        <f>HYPERLINK("http://mcb-m6.bioreg.kyushu-u.ac.jp/M3/20110414/F50958/2030/1", 49.23)</f>
        <v>49.23</v>
      </c>
      <c r="E6972" s="2">
        <v>33.299999999999997</v>
      </c>
      <c r="F6972" s="2">
        <v>2</v>
      </c>
      <c r="G6972" s="2" t="s">
        <v>12</v>
      </c>
    </row>
    <row r="6973" spans="1:7" x14ac:dyDescent="0.2">
      <c r="A6973" s="2" t="s">
        <v>3797</v>
      </c>
      <c r="B6973" s="2" t="s">
        <v>845</v>
      </c>
      <c r="C6973" s="2">
        <v>744.34969999999998</v>
      </c>
      <c r="D6973" s="2">
        <f>HYPERLINK("http://mcb-m6.bioreg.kyushu-u.ac.jp/M3/20110414/F50946/1979/1", 51.89)</f>
        <v>51.89</v>
      </c>
      <c r="E6973" s="2">
        <v>34.33</v>
      </c>
      <c r="F6973" s="2">
        <v>2</v>
      </c>
      <c r="G6973" s="2" t="s">
        <v>12</v>
      </c>
    </row>
    <row r="6974" spans="1:7" x14ac:dyDescent="0.2">
      <c r="A6974" s="2" t="s">
        <v>3797</v>
      </c>
      <c r="B6974" s="2" t="s">
        <v>845</v>
      </c>
      <c r="C6974" s="2">
        <v>744.58169999999996</v>
      </c>
      <c r="D6974" s="2">
        <f>HYPERLINK("http://mcb-m6.bioreg.kyushu-u.ac.jp/M3/20110414/F50947/1986/1", 60.33)</f>
        <v>60.33</v>
      </c>
      <c r="E6974" s="2">
        <v>44.23</v>
      </c>
      <c r="F6974" s="2">
        <v>2</v>
      </c>
      <c r="G6974" s="2" t="s">
        <v>12</v>
      </c>
    </row>
    <row r="6975" spans="1:7" x14ac:dyDescent="0.2">
      <c r="A6975" s="2" t="s">
        <v>3797</v>
      </c>
      <c r="B6975" s="2" t="s">
        <v>845</v>
      </c>
      <c r="C6975" s="2">
        <v>744.74720000000002</v>
      </c>
      <c r="D6975" s="2">
        <f>HYPERLINK("http://mcb-m6.bioreg.kyushu-u.ac.jp/M3/20110414/F50958/2032/1", 86.95)</f>
        <v>86.95</v>
      </c>
      <c r="E6975" s="2">
        <v>74.58</v>
      </c>
      <c r="F6975" s="2">
        <v>2</v>
      </c>
      <c r="G6975" s="2" t="s">
        <v>12</v>
      </c>
    </row>
    <row r="6976" spans="1:7" x14ac:dyDescent="0.2">
      <c r="A6976" s="2" t="s">
        <v>3797</v>
      </c>
      <c r="B6976" s="2" t="s">
        <v>845</v>
      </c>
      <c r="C6976" s="2">
        <v>744.56619999999998</v>
      </c>
      <c r="D6976" s="2">
        <f>HYPERLINK("http://mcb-m6.bioreg.kyushu-u.ac.jp/M3/20110502/F51174/1982/1", 40.37)</f>
        <v>40.369999999999997</v>
      </c>
      <c r="E6976" s="2">
        <v>24.99</v>
      </c>
      <c r="F6976" s="2">
        <v>2</v>
      </c>
      <c r="G6976" s="2" t="s">
        <v>13</v>
      </c>
    </row>
    <row r="6977" spans="1:9" x14ac:dyDescent="0.2">
      <c r="A6977" s="2" t="s">
        <v>3797</v>
      </c>
      <c r="B6977" s="2" t="s">
        <v>845</v>
      </c>
      <c r="C6977" s="2">
        <v>744.52470000000005</v>
      </c>
      <c r="D6977" s="2">
        <f>HYPERLINK("http://mcb-m6.bioreg.kyushu-u.ac.jp/M3/20110502/F51187/1771/1", 49.6)</f>
        <v>49.6</v>
      </c>
      <c r="E6977" s="2">
        <v>36.130000000000003</v>
      </c>
      <c r="F6977" s="2">
        <v>2</v>
      </c>
      <c r="G6977" s="2" t="s">
        <v>13</v>
      </c>
    </row>
    <row r="6978" spans="1:9" x14ac:dyDescent="0.2">
      <c r="A6978" s="2" t="s">
        <v>3797</v>
      </c>
      <c r="B6978" s="2" t="s">
        <v>845</v>
      </c>
      <c r="C6978" s="2">
        <v>744.58920000000001</v>
      </c>
      <c r="D6978" s="2">
        <f>HYPERLINK("http://mcb-m6.bioreg.kyushu-u.ac.jp/M3/20110502/F51173/1830/1", 51.31)</f>
        <v>51.31</v>
      </c>
      <c r="E6978" s="2">
        <v>35.15</v>
      </c>
      <c r="F6978" s="2">
        <v>2</v>
      </c>
      <c r="G6978" s="2" t="s">
        <v>13</v>
      </c>
    </row>
    <row r="6979" spans="1:9" x14ac:dyDescent="0.2">
      <c r="A6979" s="2" t="s">
        <v>3797</v>
      </c>
      <c r="B6979" s="2" t="s">
        <v>845</v>
      </c>
      <c r="C6979" s="2">
        <v>744.59059999999999</v>
      </c>
      <c r="D6979" s="2">
        <f>HYPERLINK("http://mcb-m6.bioreg.kyushu-u.ac.jp/M3/20110502/F51172/2124/1", 73.61)</f>
        <v>73.61</v>
      </c>
      <c r="E6979" s="2">
        <v>58.07</v>
      </c>
      <c r="F6979" s="2">
        <v>2</v>
      </c>
      <c r="G6979" s="2" t="s">
        <v>13</v>
      </c>
    </row>
    <row r="6980" spans="1:9" x14ac:dyDescent="0.2">
      <c r="A6980" s="2" t="s">
        <v>3797</v>
      </c>
      <c r="B6980" s="2" t="s">
        <v>845</v>
      </c>
      <c r="C6980" s="2">
        <v>744.23469999999998</v>
      </c>
      <c r="D6980" s="2">
        <f>HYPERLINK("http://mcb-m6.bioreg.kyushu-u.ac.jp/M3/20110502/F51192/1815/1", 36.53)</f>
        <v>36.53</v>
      </c>
      <c r="E6980" s="2">
        <v>21.25</v>
      </c>
      <c r="F6980" s="2">
        <v>2</v>
      </c>
      <c r="G6980" s="2" t="s">
        <v>14</v>
      </c>
    </row>
    <row r="6981" spans="1:9" x14ac:dyDescent="0.2">
      <c r="A6981" s="2" t="s">
        <v>3797</v>
      </c>
      <c r="B6981" s="2" t="s">
        <v>845</v>
      </c>
      <c r="C6981" s="2">
        <v>744.49109999999996</v>
      </c>
      <c r="D6981" s="2">
        <f>HYPERLINK("http://mcb-m6.bioreg.kyushu-u.ac.jp/M3/20110502/F51186/1886/1", 39.44)</f>
        <v>39.44</v>
      </c>
      <c r="E6981" s="2">
        <v>21.89</v>
      </c>
      <c r="F6981" s="2">
        <v>2</v>
      </c>
      <c r="G6981" s="2" t="s">
        <v>14</v>
      </c>
    </row>
    <row r="6982" spans="1:9" x14ac:dyDescent="0.2">
      <c r="A6982" s="2" t="s">
        <v>3797</v>
      </c>
      <c r="B6982" s="2" t="s">
        <v>845</v>
      </c>
      <c r="C6982" s="2">
        <v>744.79719999999998</v>
      </c>
      <c r="D6982" s="2">
        <f>HYPERLINK("http://mcb-m6.bioreg.kyushu-u.ac.jp/M3/20110502/F51192/1819/1", 41.71)</f>
        <v>41.71</v>
      </c>
      <c r="E6982" s="2">
        <v>32.590000000000003</v>
      </c>
      <c r="F6982" s="2">
        <v>2</v>
      </c>
      <c r="G6982" s="2" t="s">
        <v>14</v>
      </c>
    </row>
    <row r="6983" spans="1:9" x14ac:dyDescent="0.2">
      <c r="A6983" s="2" t="s">
        <v>3797</v>
      </c>
      <c r="B6983" s="2" t="s">
        <v>845</v>
      </c>
      <c r="C6983" s="2">
        <v>744.71669999999995</v>
      </c>
      <c r="D6983" s="2">
        <f>HYPERLINK("http://mcb-m6.bioreg.kyushu-u.ac.jp/M3/20110502/F51183/1933/1", 45.03)</f>
        <v>45.03</v>
      </c>
      <c r="E6983" s="2">
        <v>29.18</v>
      </c>
      <c r="F6983" s="2">
        <v>2</v>
      </c>
      <c r="G6983" s="2" t="s">
        <v>14</v>
      </c>
    </row>
    <row r="6984" spans="1:9" x14ac:dyDescent="0.2">
      <c r="A6984" s="2" t="s">
        <v>3797</v>
      </c>
      <c r="B6984" s="2" t="s">
        <v>845</v>
      </c>
      <c r="C6984" s="2">
        <v>744.52170000000001</v>
      </c>
      <c r="D6984" s="2">
        <f>HYPERLINK("http://mcb-m6.bioreg.kyushu-u.ac.jp/M3/20110502/F51194/1851/1", 51.38)</f>
        <v>51.38</v>
      </c>
      <c r="E6984" s="2">
        <v>38.299999999999997</v>
      </c>
      <c r="F6984" s="2">
        <v>2</v>
      </c>
      <c r="G6984" s="2" t="s">
        <v>14</v>
      </c>
    </row>
    <row r="6985" spans="1:9" x14ac:dyDescent="0.2">
      <c r="A6985" s="2" t="s">
        <v>3797</v>
      </c>
      <c r="B6985" s="2" t="s">
        <v>845</v>
      </c>
      <c r="C6985" s="2">
        <v>744.57420000000002</v>
      </c>
      <c r="D6985" s="2">
        <f>HYPERLINK("http://mcb-m6.bioreg.kyushu-u.ac.jp/M3/20110502/F51184/1873/1", 57.06)</f>
        <v>57.06</v>
      </c>
      <c r="E6985" s="2">
        <v>39.25</v>
      </c>
      <c r="F6985" s="2">
        <v>2</v>
      </c>
      <c r="G6985" s="2" t="s">
        <v>14</v>
      </c>
    </row>
    <row r="6986" spans="1:9" x14ac:dyDescent="0.2">
      <c r="A6986" s="2" t="s">
        <v>3797</v>
      </c>
      <c r="B6986" s="2" t="s">
        <v>845</v>
      </c>
      <c r="C6986" s="2">
        <v>744.82460000000003</v>
      </c>
      <c r="D6986" s="2">
        <f>HYPERLINK("http://mcb-m6.bioreg.kyushu-u.ac.jp/M3/20110502/F51192/1821/1", 76.14)</f>
        <v>76.14</v>
      </c>
      <c r="E6986" s="2">
        <v>63.85</v>
      </c>
      <c r="F6986" s="2">
        <v>2</v>
      </c>
      <c r="G6986" s="2" t="s">
        <v>14</v>
      </c>
    </row>
    <row r="6987" spans="1:9" x14ac:dyDescent="0.2">
      <c r="A6987" s="2" t="s">
        <v>3797</v>
      </c>
      <c r="B6987" s="2" t="s">
        <v>845</v>
      </c>
      <c r="C6987" s="2">
        <v>744.92769999999996</v>
      </c>
      <c r="D6987" s="2">
        <f>HYPERLINK("http://mcb-m6.bioreg.kyushu-u.ac.jp/M3/20110502/F51182/1919/1", 80.09)</f>
        <v>80.09</v>
      </c>
      <c r="E6987" s="2">
        <v>59.43</v>
      </c>
      <c r="F6987" s="2">
        <v>2</v>
      </c>
      <c r="G6987" s="2" t="s">
        <v>14</v>
      </c>
    </row>
    <row r="6988" spans="1:9" x14ac:dyDescent="0.2">
      <c r="A6988" s="2" t="s">
        <v>4783</v>
      </c>
      <c r="B6988" s="2" t="s">
        <v>3014</v>
      </c>
      <c r="C6988" s="2">
        <v>533.43119999999999</v>
      </c>
      <c r="D6988" s="2">
        <f>HYPERLINK("http://mcb-m6.bioreg.kyushu-u.ac.jp/M3/20110502/F51179/757/1", 38.14)</f>
        <v>38.14</v>
      </c>
      <c r="E6988" s="2">
        <v>12.16</v>
      </c>
      <c r="F6988" s="2">
        <v>2</v>
      </c>
      <c r="G6988" s="2" t="s">
        <v>14</v>
      </c>
      <c r="H6988" s="2" t="s">
        <v>4896</v>
      </c>
      <c r="I6988" s="2" t="s">
        <v>4898</v>
      </c>
    </row>
    <row r="6989" spans="1:9" x14ac:dyDescent="0.2">
      <c r="A6989" s="2" t="s">
        <v>4632</v>
      </c>
      <c r="B6989" s="2" t="s">
        <v>2786</v>
      </c>
      <c r="C6989" s="2">
        <v>836.43409999999994</v>
      </c>
      <c r="D6989" s="2">
        <f>HYPERLINK("http://mcb-m6.bioreg.kyushu-u.ac.jp/M3/20110414/F50948/2655/1", 124.75)</f>
        <v>124.75</v>
      </c>
      <c r="E6989" s="2">
        <v>101.19</v>
      </c>
      <c r="F6989" s="2">
        <v>2</v>
      </c>
      <c r="G6989" s="2" t="s">
        <v>12</v>
      </c>
    </row>
    <row r="6990" spans="1:9" x14ac:dyDescent="0.2">
      <c r="A6990" s="2" t="s">
        <v>4632</v>
      </c>
      <c r="B6990" s="2" t="s">
        <v>2786</v>
      </c>
      <c r="C6990" s="2">
        <v>836.91309999999999</v>
      </c>
      <c r="D6990" s="2">
        <f>HYPERLINK("http://mcb-m6.bioreg.kyushu-u.ac.jp/M3/20110502/F51183/2414/1", 111.56)</f>
        <v>111.56</v>
      </c>
      <c r="E6990" s="2">
        <v>92.19</v>
      </c>
      <c r="F6990" s="2">
        <v>2</v>
      </c>
      <c r="G6990" s="2" t="s">
        <v>14</v>
      </c>
    </row>
    <row r="6991" spans="1:9" x14ac:dyDescent="0.2">
      <c r="A6991" s="2" t="s">
        <v>3534</v>
      </c>
      <c r="B6991" s="2" t="s">
        <v>388</v>
      </c>
      <c r="C6991" s="2">
        <v>617.96370000000002</v>
      </c>
      <c r="D6991" s="2">
        <f>HYPERLINK("http://mcb-m6.bioreg.kyushu-u.ac.jp/M3/20110411/F50911/1469/1", 40.99)</f>
        <v>40.99</v>
      </c>
      <c r="E6991" s="2">
        <v>21.26</v>
      </c>
      <c r="F6991" s="2">
        <v>2</v>
      </c>
      <c r="G6991" s="2" t="s">
        <v>9</v>
      </c>
    </row>
    <row r="6992" spans="1:9" x14ac:dyDescent="0.2">
      <c r="A6992" s="2" t="s">
        <v>3534</v>
      </c>
      <c r="B6992" s="2" t="s">
        <v>518</v>
      </c>
      <c r="C6992" s="2">
        <v>608.51369999999997</v>
      </c>
      <c r="D6992" s="2">
        <f>HYPERLINK("http://mcb-m6.bioreg.kyushu-u.ac.jp/M3/20110411/F50911/1423/1", 43.64)</f>
        <v>43.64</v>
      </c>
      <c r="E6992" s="2">
        <v>22.35</v>
      </c>
      <c r="F6992" s="2">
        <v>2</v>
      </c>
      <c r="G6992" s="2" t="s">
        <v>9</v>
      </c>
    </row>
    <row r="6993" spans="1:7" x14ac:dyDescent="0.2">
      <c r="A6993" s="2" t="s">
        <v>3534</v>
      </c>
      <c r="B6993" s="2" t="s">
        <v>1273</v>
      </c>
      <c r="C6993" s="2">
        <v>1102.126</v>
      </c>
      <c r="D6993" s="2">
        <f>HYPERLINK("http://mcb-m6.bioreg.kyushu-u.ac.jp/M3/20110411/F50911/3673/1", 70.04)</f>
        <v>70.040000000000006</v>
      </c>
      <c r="E6993" s="2">
        <v>54.97</v>
      </c>
      <c r="F6993" s="2">
        <v>2</v>
      </c>
      <c r="G6993" s="2" t="s">
        <v>9</v>
      </c>
    </row>
    <row r="6994" spans="1:7" x14ac:dyDescent="0.2">
      <c r="A6994" s="2" t="s">
        <v>3534</v>
      </c>
      <c r="B6994" s="2" t="s">
        <v>1416</v>
      </c>
      <c r="C6994" s="2">
        <v>639.96510000000001</v>
      </c>
      <c r="D6994" s="2">
        <f>HYPERLINK("http://mcb-m6.bioreg.kyushu-u.ac.jp/M3/20110411/F50911/1564/1", 78.71)</f>
        <v>78.709999999999994</v>
      </c>
      <c r="E6994" s="2">
        <v>48.05</v>
      </c>
      <c r="F6994" s="2">
        <v>2</v>
      </c>
      <c r="G6994" s="2" t="s">
        <v>9</v>
      </c>
    </row>
    <row r="6995" spans="1:7" x14ac:dyDescent="0.2">
      <c r="A6995" s="2" t="s">
        <v>3534</v>
      </c>
      <c r="B6995" s="2" t="s">
        <v>1845</v>
      </c>
      <c r="C6995" s="2">
        <v>726.12710000000004</v>
      </c>
      <c r="D6995" s="2">
        <f>HYPERLINK("http://mcb-m6.bioreg.kyushu-u.ac.jp/M3/20110411/F50914/2021/1", 43.22)</f>
        <v>43.22</v>
      </c>
      <c r="E6995" s="2">
        <v>19.57</v>
      </c>
      <c r="F6995" s="2">
        <v>2</v>
      </c>
      <c r="G6995" s="2" t="s">
        <v>10</v>
      </c>
    </row>
    <row r="6996" spans="1:7" x14ac:dyDescent="0.2">
      <c r="A6996" s="2" t="s">
        <v>3534</v>
      </c>
      <c r="B6996" s="2" t="s">
        <v>1273</v>
      </c>
      <c r="C6996" s="2">
        <v>1102.615</v>
      </c>
      <c r="D6996" s="2">
        <f>HYPERLINK("http://mcb-m6.bioreg.kyushu-u.ac.jp/M3/20110411/F50914/3462/1", 85.39)</f>
        <v>85.39</v>
      </c>
      <c r="E6996" s="2">
        <v>74.31</v>
      </c>
      <c r="F6996" s="2">
        <v>2</v>
      </c>
      <c r="G6996" s="2" t="s">
        <v>10</v>
      </c>
    </row>
    <row r="6997" spans="1:7" x14ac:dyDescent="0.2">
      <c r="A6997" s="2" t="s">
        <v>3534</v>
      </c>
      <c r="B6997" s="2" t="s">
        <v>2412</v>
      </c>
      <c r="C6997" s="2">
        <v>486.9246</v>
      </c>
      <c r="D6997" s="2">
        <f>HYPERLINK("http://mcb-m6.bioreg.kyushu-u.ac.jp/M3/20110414/F50942/793/1", 58.77)</f>
        <v>58.77</v>
      </c>
      <c r="E6997" s="2">
        <v>24.18</v>
      </c>
      <c r="F6997" s="2">
        <v>2</v>
      </c>
      <c r="G6997" s="2" t="s">
        <v>11</v>
      </c>
    </row>
    <row r="6998" spans="1:7" x14ac:dyDescent="0.2">
      <c r="A6998" s="2" t="s">
        <v>3534</v>
      </c>
      <c r="B6998" s="2" t="s">
        <v>1845</v>
      </c>
      <c r="C6998" s="2">
        <v>726.01170000000002</v>
      </c>
      <c r="D6998" s="2">
        <f>HYPERLINK("http://mcb-m6.bioreg.kyushu-u.ac.jp/M3/20110414/F50948/1987/1", 38.93)</f>
        <v>38.93</v>
      </c>
      <c r="E6998" s="2">
        <v>17.89</v>
      </c>
      <c r="F6998" s="2">
        <v>2</v>
      </c>
      <c r="G6998" s="2" t="s">
        <v>12</v>
      </c>
    </row>
    <row r="6999" spans="1:7" x14ac:dyDescent="0.2">
      <c r="A6999" s="2" t="s">
        <v>3534</v>
      </c>
      <c r="B6999" s="2" t="s">
        <v>1416</v>
      </c>
      <c r="C6999" s="2">
        <v>640.14970000000005</v>
      </c>
      <c r="D6999" s="2">
        <f>HYPERLINK("http://mcb-m6.bioreg.kyushu-u.ac.jp/M3/20110414/F50948/1450/1", 66.37)</f>
        <v>66.37</v>
      </c>
      <c r="E6999" s="2">
        <v>45.08</v>
      </c>
      <c r="F6999" s="2">
        <v>2</v>
      </c>
      <c r="G6999" s="2" t="s">
        <v>12</v>
      </c>
    </row>
    <row r="7000" spans="1:7" x14ac:dyDescent="0.2">
      <c r="A7000" s="2" t="s">
        <v>3534</v>
      </c>
      <c r="B7000" s="2" t="s">
        <v>1273</v>
      </c>
      <c r="C7000" s="2">
        <v>1102.2280000000001</v>
      </c>
      <c r="D7000" s="2">
        <f>HYPERLINK("http://mcb-m6.bioreg.kyushu-u.ac.jp/M3/20110414/F50948/3880/1", 114.87)</f>
        <v>114.87</v>
      </c>
      <c r="E7000" s="2">
        <v>98.37</v>
      </c>
      <c r="F7000" s="2">
        <v>2</v>
      </c>
      <c r="G7000" s="2" t="s">
        <v>12</v>
      </c>
    </row>
    <row r="7001" spans="1:7" x14ac:dyDescent="0.2">
      <c r="A7001" s="2" t="s">
        <v>3534</v>
      </c>
      <c r="B7001" s="2" t="s">
        <v>1416</v>
      </c>
      <c r="C7001" s="2">
        <v>640.01419999999996</v>
      </c>
      <c r="D7001" s="2">
        <f>HYPERLINK("http://mcb-m6.bioreg.kyushu-u.ac.jp/M3/20110502/F51171/1588/1", 55.33)</f>
        <v>55.33</v>
      </c>
      <c r="E7001" s="2">
        <v>36.71</v>
      </c>
      <c r="F7001" s="2">
        <v>2</v>
      </c>
      <c r="G7001" s="2" t="s">
        <v>13</v>
      </c>
    </row>
    <row r="7002" spans="1:7" x14ac:dyDescent="0.2">
      <c r="A7002" s="2" t="s">
        <v>4650</v>
      </c>
      <c r="B7002" s="2" t="s">
        <v>2808</v>
      </c>
      <c r="C7002" s="2">
        <v>928.55769999999995</v>
      </c>
      <c r="D7002" s="2">
        <f>HYPERLINK("http://mcb-m6.bioreg.kyushu-u.ac.jp/M3/20110502/F51169/2845/1", 36.27)</f>
        <v>36.270000000000003</v>
      </c>
      <c r="E7002" s="2">
        <v>21.79</v>
      </c>
      <c r="F7002" s="2">
        <v>2</v>
      </c>
      <c r="G7002" s="2" t="s">
        <v>13</v>
      </c>
    </row>
    <row r="7003" spans="1:7" x14ac:dyDescent="0.2">
      <c r="A7003" s="2" t="s">
        <v>4650</v>
      </c>
      <c r="B7003" s="2" t="s">
        <v>2808</v>
      </c>
      <c r="C7003" s="2">
        <v>928.52120000000002</v>
      </c>
      <c r="D7003" s="2">
        <f>HYPERLINK("http://mcb-m6.bioreg.kyushu-u.ac.jp/M3/20110502/F51178/2880/1", 42.58)</f>
        <v>42.58</v>
      </c>
      <c r="E7003" s="2">
        <v>27.7</v>
      </c>
      <c r="F7003" s="2">
        <v>2</v>
      </c>
      <c r="G7003" s="2" t="s">
        <v>14</v>
      </c>
    </row>
    <row r="7004" spans="1:7" x14ac:dyDescent="0.2">
      <c r="A7004" s="2" t="s">
        <v>3660</v>
      </c>
      <c r="B7004" s="2" t="s">
        <v>595</v>
      </c>
      <c r="C7004" s="2">
        <v>942.02970000000005</v>
      </c>
      <c r="D7004" s="2">
        <f>HYPERLINK("http://mcb-m6.bioreg.kyushu-u.ac.jp/M3/20110411/F50903/2921/1", 45.92)</f>
        <v>45.92</v>
      </c>
      <c r="E7004" s="2">
        <v>34.86</v>
      </c>
      <c r="F7004" s="2">
        <v>2</v>
      </c>
      <c r="G7004" s="2" t="s">
        <v>9</v>
      </c>
    </row>
    <row r="7005" spans="1:7" x14ac:dyDescent="0.2">
      <c r="A7005" s="2" t="s">
        <v>3874</v>
      </c>
      <c r="B7005" s="2" t="s">
        <v>997</v>
      </c>
      <c r="C7005" s="2">
        <v>646.44820000000004</v>
      </c>
      <c r="D7005" s="2">
        <f>HYPERLINK("http://mcb-m6.bioreg.kyushu-u.ac.jp/M3/20110411/F50915/1369/1", 58.16)</f>
        <v>58.16</v>
      </c>
      <c r="E7005" s="2">
        <v>42.67</v>
      </c>
      <c r="F7005" s="2">
        <v>2</v>
      </c>
      <c r="G7005" s="2" t="s">
        <v>9</v>
      </c>
    </row>
    <row r="7006" spans="1:7" x14ac:dyDescent="0.2">
      <c r="A7006" s="2" t="s">
        <v>3874</v>
      </c>
      <c r="B7006" s="2" t="s">
        <v>1157</v>
      </c>
      <c r="C7006" s="2">
        <v>565.30269999999996</v>
      </c>
      <c r="D7006" s="2">
        <f>HYPERLINK("http://mcb-m6.bioreg.kyushu-u.ac.jp/M3/20110411/F50915/1019/1", 65.35)</f>
        <v>65.349999999999994</v>
      </c>
      <c r="E7006" s="2">
        <v>45.51</v>
      </c>
      <c r="F7006" s="2">
        <v>2</v>
      </c>
      <c r="G7006" s="2" t="s">
        <v>9</v>
      </c>
    </row>
    <row r="7007" spans="1:7" x14ac:dyDescent="0.2">
      <c r="A7007" s="2" t="s">
        <v>3874</v>
      </c>
      <c r="B7007" s="2" t="s">
        <v>1658</v>
      </c>
      <c r="C7007" s="2">
        <v>941.91610000000003</v>
      </c>
      <c r="D7007" s="2">
        <f>HYPERLINK("http://mcb-m6.bioreg.kyushu-u.ac.jp/M3/20110411/F50915/3041/1", 112.99)</f>
        <v>112.99</v>
      </c>
      <c r="E7007" s="2">
        <v>98.69</v>
      </c>
      <c r="F7007" s="2">
        <v>2</v>
      </c>
      <c r="G7007" s="2" t="s">
        <v>9</v>
      </c>
    </row>
    <row r="7008" spans="1:7" x14ac:dyDescent="0.2">
      <c r="A7008" s="2" t="s">
        <v>3874</v>
      </c>
      <c r="B7008" s="2" t="s">
        <v>2469</v>
      </c>
      <c r="C7008" s="2">
        <v>763.13419999999996</v>
      </c>
      <c r="D7008" s="2">
        <f>HYPERLINK("http://mcb-m6.bioreg.kyushu-u.ac.jp/M3/20110414/F50956/2084/1", 73.67)</f>
        <v>73.67</v>
      </c>
      <c r="E7008" s="2">
        <v>58.65</v>
      </c>
      <c r="F7008" s="2">
        <v>2</v>
      </c>
      <c r="G7008" s="2" t="s">
        <v>11</v>
      </c>
    </row>
    <row r="7009" spans="1:7" x14ac:dyDescent="0.2">
      <c r="A7009" s="2" t="s">
        <v>3874</v>
      </c>
      <c r="B7009" s="2" t="s">
        <v>2601</v>
      </c>
      <c r="C7009" s="2">
        <v>679.82209999999998</v>
      </c>
      <c r="D7009" s="2">
        <f>HYPERLINK("http://mcb-m6.bioreg.kyushu-u.ac.jp/M3/20110414/F50958/1569/1", 41.14)</f>
        <v>41.14</v>
      </c>
      <c r="E7009" s="2">
        <v>9.31</v>
      </c>
      <c r="F7009" s="2">
        <v>2</v>
      </c>
      <c r="G7009" s="2" t="s">
        <v>12</v>
      </c>
    </row>
    <row r="7010" spans="1:7" x14ac:dyDescent="0.2">
      <c r="A7010" s="2" t="s">
        <v>3874</v>
      </c>
      <c r="B7010" s="2" t="s">
        <v>2680</v>
      </c>
      <c r="C7010" s="2">
        <v>779.6327</v>
      </c>
      <c r="D7010" s="2">
        <f>HYPERLINK("http://mcb-m6.bioreg.kyushu-u.ac.jp/M3/20110414/F50958/2264/1", 51.96)</f>
        <v>51.96</v>
      </c>
      <c r="E7010" s="2">
        <v>35.369999999999997</v>
      </c>
      <c r="F7010" s="2">
        <v>2</v>
      </c>
      <c r="G7010" s="2" t="s">
        <v>12</v>
      </c>
    </row>
    <row r="7011" spans="1:7" x14ac:dyDescent="0.2">
      <c r="A7011" s="2" t="s">
        <v>3874</v>
      </c>
      <c r="B7011" s="2" t="s">
        <v>2469</v>
      </c>
      <c r="C7011" s="2">
        <v>763.34770000000003</v>
      </c>
      <c r="D7011" s="2">
        <f>HYPERLINK("http://mcb-m6.bioreg.kyushu-u.ac.jp/M3/20110502/F51193/2031/1", 41.7)</f>
        <v>41.7</v>
      </c>
      <c r="E7011" s="2">
        <v>31.69</v>
      </c>
      <c r="F7011" s="2">
        <v>2</v>
      </c>
      <c r="G7011" s="2" t="s">
        <v>14</v>
      </c>
    </row>
    <row r="7012" spans="1:7" x14ac:dyDescent="0.2">
      <c r="A7012" s="2" t="s">
        <v>3874</v>
      </c>
      <c r="B7012" s="2" t="s">
        <v>3085</v>
      </c>
      <c r="C7012" s="2">
        <v>582.53060000000005</v>
      </c>
      <c r="D7012" s="2">
        <f>HYPERLINK("http://mcb-m6.bioreg.kyushu-u.ac.jp/M3/20110502/F51193/1095/1", 43.32)</f>
        <v>43.32</v>
      </c>
      <c r="E7012" s="2">
        <v>24.86</v>
      </c>
      <c r="F7012" s="2">
        <v>2</v>
      </c>
      <c r="G7012" s="2" t="s">
        <v>14</v>
      </c>
    </row>
    <row r="7013" spans="1:7" x14ac:dyDescent="0.2">
      <c r="A7013" s="2" t="s">
        <v>3700</v>
      </c>
      <c r="B7013" s="2" t="s">
        <v>678</v>
      </c>
      <c r="C7013" s="2">
        <v>748.03610000000003</v>
      </c>
      <c r="D7013" s="2">
        <f>HYPERLINK("http://mcb-m6.bioreg.kyushu-u.ac.jp/M3/20110411/F50903/2121/1", 47.98)</f>
        <v>47.98</v>
      </c>
      <c r="E7013" s="2">
        <v>35.090000000000003</v>
      </c>
      <c r="F7013" s="2">
        <v>2</v>
      </c>
      <c r="G7013" s="2" t="s">
        <v>9</v>
      </c>
    </row>
    <row r="7014" spans="1:7" x14ac:dyDescent="0.2">
      <c r="A7014" s="2" t="s">
        <v>3700</v>
      </c>
      <c r="B7014" s="2" t="s">
        <v>678</v>
      </c>
      <c r="C7014" s="2">
        <v>748.32820000000004</v>
      </c>
      <c r="D7014" s="2">
        <f>HYPERLINK("http://mcb-m6.bioreg.kyushu-u.ac.jp/M3/20110414/F50925/2284/1", 38.6)</f>
        <v>38.6</v>
      </c>
      <c r="E7014" s="2">
        <v>24.38</v>
      </c>
      <c r="F7014" s="2">
        <v>2</v>
      </c>
      <c r="G7014" s="2" t="s">
        <v>11</v>
      </c>
    </row>
    <row r="7015" spans="1:7" x14ac:dyDescent="0.2">
      <c r="A7015" s="2" t="s">
        <v>4518</v>
      </c>
      <c r="B7015" s="2" t="s">
        <v>2532</v>
      </c>
      <c r="C7015" s="2">
        <v>775.16300000000001</v>
      </c>
      <c r="D7015" s="2">
        <f>HYPERLINK("http://mcb-m6.bioreg.kyushu-u.ac.jp/M3/20110414/F50958/356/1", 36.29)</f>
        <v>36.29</v>
      </c>
      <c r="E7015" s="2">
        <v>13.65</v>
      </c>
      <c r="F7015" s="2">
        <v>1</v>
      </c>
      <c r="G7015" s="2" t="s">
        <v>12</v>
      </c>
    </row>
    <row r="7016" spans="1:7" x14ac:dyDescent="0.2">
      <c r="A7016" s="2" t="s">
        <v>3607</v>
      </c>
      <c r="B7016" s="2" t="s">
        <v>505</v>
      </c>
      <c r="C7016" s="2">
        <v>726.41610000000003</v>
      </c>
      <c r="D7016" s="2">
        <f>HYPERLINK("http://mcb-m6.bioreg.kyushu-u.ac.jp/M3/20110411/F50915/1791/1", 43.4)</f>
        <v>43.4</v>
      </c>
      <c r="E7016" s="2">
        <v>36.520000000000003</v>
      </c>
      <c r="F7016" s="2">
        <v>2</v>
      </c>
      <c r="G7016" s="2" t="s">
        <v>9</v>
      </c>
    </row>
    <row r="7017" spans="1:7" x14ac:dyDescent="0.2">
      <c r="A7017" s="2" t="s">
        <v>3607</v>
      </c>
      <c r="B7017" s="2" t="s">
        <v>963</v>
      </c>
      <c r="C7017" s="2">
        <v>645.92660000000001</v>
      </c>
      <c r="D7017" s="2">
        <f>HYPERLINK("http://mcb-m6.bioreg.kyushu-u.ac.jp/M3/20110411/F50915/1365/1", 57.06)</f>
        <v>57.06</v>
      </c>
      <c r="E7017" s="2">
        <v>23.22</v>
      </c>
      <c r="F7017" s="2">
        <v>2</v>
      </c>
      <c r="G7017" s="2" t="s">
        <v>9</v>
      </c>
    </row>
    <row r="7018" spans="1:7" x14ac:dyDescent="0.2">
      <c r="A7018" s="2" t="s">
        <v>3607</v>
      </c>
      <c r="B7018" s="2" t="s">
        <v>1087</v>
      </c>
      <c r="C7018" s="2">
        <v>1028.9590000000001</v>
      </c>
      <c r="D7018" s="2">
        <f>HYPERLINK("http://mcb-m6.bioreg.kyushu-u.ac.jp/M3/20110411/F50915/3405/1", 62.32)</f>
        <v>62.32</v>
      </c>
      <c r="E7018" s="2">
        <v>52.8</v>
      </c>
      <c r="F7018" s="2">
        <v>2</v>
      </c>
      <c r="G7018" s="2" t="s">
        <v>9</v>
      </c>
    </row>
    <row r="7019" spans="1:7" x14ac:dyDescent="0.2">
      <c r="A7019" s="2" t="s">
        <v>3607</v>
      </c>
      <c r="B7019" s="2" t="s">
        <v>1963</v>
      </c>
      <c r="C7019" s="2">
        <v>667.45569999999998</v>
      </c>
      <c r="D7019" s="2">
        <f>HYPERLINK("http://mcb-m6.bioreg.kyushu-u.ac.jp/M3/20110411/F50917/1536/1", 54.75)</f>
        <v>54.75</v>
      </c>
      <c r="E7019" s="2">
        <v>34.32</v>
      </c>
      <c r="F7019" s="2">
        <v>2</v>
      </c>
      <c r="G7019" s="2" t="s">
        <v>10</v>
      </c>
    </row>
    <row r="7020" spans="1:7" x14ac:dyDescent="0.2">
      <c r="A7020" s="2" t="s">
        <v>3607</v>
      </c>
      <c r="B7020" s="2" t="s">
        <v>1087</v>
      </c>
      <c r="C7020" s="2">
        <v>1028.9449999999999</v>
      </c>
      <c r="D7020" s="2">
        <f>HYPERLINK("http://mcb-m6.bioreg.kyushu-u.ac.jp/M3/20110411/F50917/3443/1", 59.41)</f>
        <v>59.41</v>
      </c>
      <c r="E7020" s="2">
        <v>48.93</v>
      </c>
      <c r="F7020" s="2">
        <v>2</v>
      </c>
      <c r="G7020" s="2" t="s">
        <v>10</v>
      </c>
    </row>
    <row r="7021" spans="1:7" x14ac:dyDescent="0.2">
      <c r="A7021" s="2" t="s">
        <v>3607</v>
      </c>
      <c r="B7021" s="2" t="s">
        <v>505</v>
      </c>
      <c r="C7021" s="2">
        <v>726.19420000000002</v>
      </c>
      <c r="D7021" s="2">
        <f>HYPERLINK("http://mcb-m6.bioreg.kyushu-u.ac.jp/M3/20110411/F50917/1862/1", 73.98)</f>
        <v>73.98</v>
      </c>
      <c r="E7021" s="2">
        <v>58.5</v>
      </c>
      <c r="F7021" s="2">
        <v>2</v>
      </c>
      <c r="G7021" s="2" t="s">
        <v>10</v>
      </c>
    </row>
    <row r="7022" spans="1:7" x14ac:dyDescent="0.2">
      <c r="A7022" s="2" t="s">
        <v>3607</v>
      </c>
      <c r="B7022" s="2" t="s">
        <v>1963</v>
      </c>
      <c r="C7022" s="2">
        <v>667.73770000000002</v>
      </c>
      <c r="D7022" s="2">
        <f>HYPERLINK("http://mcb-m6.bioreg.kyushu-u.ac.jp/M3/20110414/F50956/1419/1", 62.87)</f>
        <v>62.87</v>
      </c>
      <c r="E7022" s="2">
        <v>41.13</v>
      </c>
      <c r="F7022" s="2">
        <v>2</v>
      </c>
      <c r="G7022" s="2" t="s">
        <v>11</v>
      </c>
    </row>
    <row r="7023" spans="1:7" x14ac:dyDescent="0.2">
      <c r="A7023" s="2" t="s">
        <v>3607</v>
      </c>
      <c r="B7023" s="2" t="s">
        <v>1087</v>
      </c>
      <c r="C7023" s="2">
        <v>1028.6579999999999</v>
      </c>
      <c r="D7023" s="2">
        <f>HYPERLINK("http://mcb-m6.bioreg.kyushu-u.ac.jp/M3/20110414/F50956/3709/1", 74.97)</f>
        <v>74.97</v>
      </c>
      <c r="E7023" s="2">
        <v>62.99</v>
      </c>
      <c r="F7023" s="2">
        <v>2</v>
      </c>
      <c r="G7023" s="2" t="s">
        <v>11</v>
      </c>
    </row>
    <row r="7024" spans="1:7" x14ac:dyDescent="0.2">
      <c r="A7024" s="2" t="s">
        <v>3607</v>
      </c>
      <c r="B7024" s="2" t="s">
        <v>2663</v>
      </c>
      <c r="C7024" s="2">
        <v>479.58210000000003</v>
      </c>
      <c r="D7024" s="2">
        <f>HYPERLINK("http://mcb-m6.bioreg.kyushu-u.ac.jp/M3/20110414/F50958/546/1", 49.57)</f>
        <v>49.57</v>
      </c>
      <c r="E7024" s="2">
        <v>21.4</v>
      </c>
      <c r="F7024" s="2">
        <v>2</v>
      </c>
      <c r="G7024" s="2" t="s">
        <v>12</v>
      </c>
    </row>
    <row r="7025" spans="1:9" x14ac:dyDescent="0.2">
      <c r="A7025" s="2" t="s">
        <v>3607</v>
      </c>
      <c r="B7025" s="2" t="s">
        <v>2673</v>
      </c>
      <c r="C7025" s="2">
        <v>797.38869999999997</v>
      </c>
      <c r="D7025" s="2">
        <f>HYPERLINK("http://mcb-m6.bioreg.kyushu-u.ac.jp/M3/20110414/F50958/2413/1", 51.13)</f>
        <v>51.13</v>
      </c>
      <c r="E7025" s="2">
        <v>41.15</v>
      </c>
      <c r="F7025" s="2">
        <v>2</v>
      </c>
      <c r="G7025" s="2" t="s">
        <v>12</v>
      </c>
    </row>
    <row r="7026" spans="1:9" x14ac:dyDescent="0.2">
      <c r="A7026" s="2" t="s">
        <v>3607</v>
      </c>
      <c r="B7026" s="2" t="s">
        <v>2754</v>
      </c>
      <c r="C7026" s="2">
        <v>784.67269999999996</v>
      </c>
      <c r="D7026" s="2">
        <f>HYPERLINK("http://mcb-m6.bioreg.kyushu-u.ac.jp/M3/20110414/F50958/2331/1", 78.25)</f>
        <v>78.25</v>
      </c>
      <c r="E7026" s="2">
        <v>54.64</v>
      </c>
      <c r="F7026" s="2">
        <v>2</v>
      </c>
      <c r="G7026" s="2" t="s">
        <v>12</v>
      </c>
    </row>
    <row r="7027" spans="1:9" x14ac:dyDescent="0.2">
      <c r="A7027" s="2" t="s">
        <v>3607</v>
      </c>
      <c r="B7027" s="2" t="s">
        <v>505</v>
      </c>
      <c r="C7027" s="2">
        <v>725.65769999999998</v>
      </c>
      <c r="D7027" s="2">
        <f>HYPERLINK("http://mcb-m6.bioreg.kyushu-u.ac.jp/M3/20110414/F50958/1878/1", 89.31)</f>
        <v>89.31</v>
      </c>
      <c r="E7027" s="2">
        <v>69.900000000000006</v>
      </c>
      <c r="F7027" s="2">
        <v>2</v>
      </c>
      <c r="G7027" s="2" t="s">
        <v>12</v>
      </c>
    </row>
    <row r="7028" spans="1:9" x14ac:dyDescent="0.2">
      <c r="A7028" s="2" t="s">
        <v>3607</v>
      </c>
      <c r="B7028" s="2" t="s">
        <v>505</v>
      </c>
      <c r="C7028" s="2">
        <v>726.21010000000001</v>
      </c>
      <c r="D7028" s="2">
        <f>HYPERLINK("http://mcb-m6.bioreg.kyushu-u.ac.jp/M3/20110414/F50958/1880/1", 97.85)</f>
        <v>97.85</v>
      </c>
      <c r="E7028" s="2">
        <v>76.38</v>
      </c>
      <c r="F7028" s="2">
        <v>2</v>
      </c>
      <c r="G7028" s="2" t="s">
        <v>12</v>
      </c>
    </row>
    <row r="7029" spans="1:9" x14ac:dyDescent="0.2">
      <c r="A7029" s="2" t="s">
        <v>3607</v>
      </c>
      <c r="B7029" s="2" t="s">
        <v>2947</v>
      </c>
      <c r="C7029" s="2">
        <v>622.42359999999996</v>
      </c>
      <c r="D7029" s="2">
        <f>HYPERLINK("http://mcb-m6.bioreg.kyushu-u.ac.jp/M3/20110502/F51188/1343/1", 69.06)</f>
        <v>69.06</v>
      </c>
      <c r="E7029" s="2">
        <v>42.86</v>
      </c>
      <c r="F7029" s="2">
        <v>2</v>
      </c>
      <c r="G7029" s="2" t="s">
        <v>13</v>
      </c>
    </row>
    <row r="7030" spans="1:9" x14ac:dyDescent="0.2">
      <c r="A7030" s="2" t="s">
        <v>3607</v>
      </c>
      <c r="B7030" s="2" t="s">
        <v>2947</v>
      </c>
      <c r="C7030" s="2">
        <v>621.80020000000002</v>
      </c>
      <c r="D7030" s="2">
        <f>HYPERLINK("http://mcb-m6.bioreg.kyushu-u.ac.jp/M3/20110502/F51192/1196/1", 59.09)</f>
        <v>59.09</v>
      </c>
      <c r="E7030" s="2">
        <v>37.54</v>
      </c>
      <c r="F7030" s="2">
        <v>2</v>
      </c>
      <c r="G7030" s="2" t="s">
        <v>14</v>
      </c>
    </row>
    <row r="7031" spans="1:9" x14ac:dyDescent="0.2">
      <c r="A7031" s="2" t="s">
        <v>3607</v>
      </c>
      <c r="B7031" s="2" t="s">
        <v>1087</v>
      </c>
      <c r="C7031" s="2">
        <v>1029.0029999999999</v>
      </c>
      <c r="D7031" s="2">
        <f>HYPERLINK("http://mcb-m6.bioreg.kyushu-u.ac.jp/M3/20110502/F51192/3049/1", 62.72)</f>
        <v>62.72</v>
      </c>
      <c r="E7031" s="2">
        <v>49.55</v>
      </c>
      <c r="F7031" s="2">
        <v>2</v>
      </c>
      <c r="G7031" s="2" t="s">
        <v>14</v>
      </c>
    </row>
    <row r="7032" spans="1:9" x14ac:dyDescent="0.2">
      <c r="A7032" s="2" t="s">
        <v>3607</v>
      </c>
      <c r="B7032" s="2" t="s">
        <v>1963</v>
      </c>
      <c r="C7032" s="2">
        <v>667.88919999999996</v>
      </c>
      <c r="D7032" s="2">
        <f>HYPERLINK("http://mcb-m6.bioreg.kyushu-u.ac.jp/M3/20110502/F51192/1356/1", 65.33)</f>
        <v>65.33</v>
      </c>
      <c r="E7032" s="2">
        <v>39.520000000000003</v>
      </c>
      <c r="F7032" s="2">
        <v>2</v>
      </c>
      <c r="G7032" s="2" t="s">
        <v>14</v>
      </c>
    </row>
    <row r="7033" spans="1:9" x14ac:dyDescent="0.2">
      <c r="A7033" s="2" t="s">
        <v>3607</v>
      </c>
      <c r="B7033" s="2" t="s">
        <v>2947</v>
      </c>
      <c r="C7033" s="2">
        <v>622.3066</v>
      </c>
      <c r="D7033" s="2">
        <f>HYPERLINK("http://mcb-m6.bioreg.kyushu-u.ac.jp/M3/20110502/F51192/1198/1", 71.67)</f>
        <v>71.67</v>
      </c>
      <c r="E7033" s="2">
        <v>48.57</v>
      </c>
      <c r="F7033" s="2">
        <v>2</v>
      </c>
      <c r="G7033" s="2" t="s">
        <v>14</v>
      </c>
    </row>
    <row r="7034" spans="1:9" x14ac:dyDescent="0.2">
      <c r="A7034" s="2" t="s">
        <v>3607</v>
      </c>
      <c r="B7034" s="2" t="s">
        <v>505</v>
      </c>
      <c r="C7034" s="2">
        <v>725.80219999999997</v>
      </c>
      <c r="D7034" s="2">
        <f>HYPERLINK("http://mcb-m6.bioreg.kyushu-u.ac.jp/M3/20110502/F51192/1704/1", 74.65)</f>
        <v>74.650000000000006</v>
      </c>
      <c r="E7034" s="2">
        <v>57.56</v>
      </c>
      <c r="F7034" s="2">
        <v>2</v>
      </c>
      <c r="G7034" s="2" t="s">
        <v>14</v>
      </c>
    </row>
    <row r="7035" spans="1:9" x14ac:dyDescent="0.2">
      <c r="A7035" s="2" t="s">
        <v>3607</v>
      </c>
      <c r="B7035" s="2" t="s">
        <v>3219</v>
      </c>
      <c r="C7035" s="2">
        <v>823.81410000000005</v>
      </c>
      <c r="D7035" s="2">
        <f>HYPERLINK("http://mcb-m6.bioreg.kyushu-u.ac.jp/M3/20110502/F51192/2250/1", 86.11)</f>
        <v>86.11</v>
      </c>
      <c r="E7035" s="2">
        <v>71.86</v>
      </c>
      <c r="F7035" s="2">
        <v>2</v>
      </c>
      <c r="G7035" s="2" t="s">
        <v>14</v>
      </c>
    </row>
    <row r="7036" spans="1:9" x14ac:dyDescent="0.2">
      <c r="A7036" s="2" t="s">
        <v>3749</v>
      </c>
      <c r="B7036" s="2" t="s">
        <v>756</v>
      </c>
      <c r="C7036" s="2">
        <v>478.90210000000002</v>
      </c>
      <c r="D7036" s="2">
        <f>HYPERLINK("http://mcb-m6.bioreg.kyushu-u.ac.jp/M3/20110411/F50905/902/1", 50.27)</f>
        <v>50.27</v>
      </c>
      <c r="E7036" s="2">
        <v>25.31</v>
      </c>
      <c r="F7036" s="2">
        <v>2</v>
      </c>
      <c r="G7036" s="2" t="s">
        <v>9</v>
      </c>
    </row>
    <row r="7037" spans="1:9" x14ac:dyDescent="0.2">
      <c r="A7037" s="2" t="s">
        <v>3749</v>
      </c>
      <c r="B7037" s="2" t="s">
        <v>1383</v>
      </c>
      <c r="C7037" s="2">
        <v>753.05520000000001</v>
      </c>
      <c r="D7037" s="2">
        <f>HYPERLINK("http://mcb-m6.bioreg.kyushu-u.ac.jp/M3/20110411/F50904/2101/1", 77.09)</f>
        <v>77.09</v>
      </c>
      <c r="E7037" s="2">
        <v>60.87</v>
      </c>
      <c r="F7037" s="2">
        <v>2</v>
      </c>
      <c r="G7037" s="2" t="s">
        <v>9</v>
      </c>
      <c r="I7037" s="2" t="s">
        <v>4903</v>
      </c>
    </row>
    <row r="7038" spans="1:9" x14ac:dyDescent="0.2">
      <c r="A7038" s="2" t="s">
        <v>3749</v>
      </c>
      <c r="B7038" s="2" t="s">
        <v>1383</v>
      </c>
      <c r="C7038" s="2">
        <v>753.07320000000004</v>
      </c>
      <c r="D7038" s="2">
        <f>HYPERLINK("http://mcb-m6.bioreg.kyushu-u.ac.jp/M3/20110411/F50905/2112/1", 77.51)</f>
        <v>77.510000000000005</v>
      </c>
      <c r="E7038" s="2">
        <v>61.36</v>
      </c>
      <c r="F7038" s="2">
        <v>2</v>
      </c>
      <c r="G7038" s="2" t="s">
        <v>9</v>
      </c>
      <c r="I7038" s="2" t="s">
        <v>4903</v>
      </c>
    </row>
    <row r="7039" spans="1:9" x14ac:dyDescent="0.2">
      <c r="A7039" s="2" t="s">
        <v>3749</v>
      </c>
      <c r="B7039" s="2" t="s">
        <v>1972</v>
      </c>
      <c r="C7039" s="2">
        <v>668.0607</v>
      </c>
      <c r="D7039" s="2">
        <f>HYPERLINK("http://mcb-m6.bioreg.kyushu-u.ac.jp/M3/20110411/F50913/1643/1", 55.48)</f>
        <v>55.48</v>
      </c>
      <c r="E7039" s="2">
        <v>32.03</v>
      </c>
      <c r="F7039" s="2">
        <v>2</v>
      </c>
      <c r="G7039" s="2" t="s">
        <v>10</v>
      </c>
    </row>
    <row r="7040" spans="1:9" x14ac:dyDescent="0.2">
      <c r="A7040" s="2" t="s">
        <v>3749</v>
      </c>
      <c r="B7040" s="2" t="s">
        <v>1383</v>
      </c>
      <c r="C7040" s="2">
        <v>753.24770000000001</v>
      </c>
      <c r="D7040" s="2">
        <f>HYPERLINK("http://mcb-m6.bioreg.kyushu-u.ac.jp/M3/20110411/F50913/2081/1", 67.31)</f>
        <v>67.31</v>
      </c>
      <c r="E7040" s="2">
        <v>46.91</v>
      </c>
      <c r="F7040" s="2">
        <v>2</v>
      </c>
      <c r="G7040" s="2" t="s">
        <v>10</v>
      </c>
      <c r="I7040" s="2" t="s">
        <v>4903</v>
      </c>
    </row>
    <row r="7041" spans="1:9" x14ac:dyDescent="0.2">
      <c r="A7041" s="2" t="s">
        <v>3749</v>
      </c>
      <c r="B7041" s="2" t="s">
        <v>1383</v>
      </c>
      <c r="C7041" s="2">
        <v>753.27809999999999</v>
      </c>
      <c r="D7041" s="2">
        <f>HYPERLINK("http://mcb-m6.bioreg.kyushu-u.ac.jp/M3/20110414/F50941/2184/1", 76.96)</f>
        <v>76.959999999999994</v>
      </c>
      <c r="E7041" s="2">
        <v>54.34</v>
      </c>
      <c r="F7041" s="2">
        <v>2</v>
      </c>
      <c r="G7041" s="2" t="s">
        <v>11</v>
      </c>
      <c r="I7041" s="2" t="s">
        <v>4903</v>
      </c>
    </row>
    <row r="7042" spans="1:9" x14ac:dyDescent="0.2">
      <c r="A7042" s="2" t="s">
        <v>3749</v>
      </c>
      <c r="B7042" s="2" t="s">
        <v>1383</v>
      </c>
      <c r="C7042" s="2">
        <v>752.70119999999997</v>
      </c>
      <c r="D7042" s="2">
        <f>HYPERLINK("http://mcb-m6.bioreg.kyushu-u.ac.jp/M3/20110414/F50941/2180/1", 84.44)</f>
        <v>84.44</v>
      </c>
      <c r="E7042" s="2">
        <v>66.61</v>
      </c>
      <c r="F7042" s="2">
        <v>2</v>
      </c>
      <c r="G7042" s="2" t="s">
        <v>11</v>
      </c>
      <c r="I7042" s="2" t="s">
        <v>4903</v>
      </c>
    </row>
    <row r="7043" spans="1:9" x14ac:dyDescent="0.2">
      <c r="A7043" s="2" t="s">
        <v>3749</v>
      </c>
      <c r="B7043" s="2" t="s">
        <v>1383</v>
      </c>
      <c r="C7043" s="2">
        <v>752.76670000000001</v>
      </c>
      <c r="D7043" s="2">
        <f>HYPERLINK("http://mcb-m6.bioreg.kyushu-u.ac.jp/M3/20110414/F50947/2047/1", 64.08)</f>
        <v>64.08</v>
      </c>
      <c r="E7043" s="2">
        <v>42.55</v>
      </c>
      <c r="F7043" s="2">
        <v>2</v>
      </c>
      <c r="G7043" s="2" t="s">
        <v>12</v>
      </c>
      <c r="I7043" s="2" t="s">
        <v>4903</v>
      </c>
    </row>
    <row r="7044" spans="1:9" x14ac:dyDescent="0.2">
      <c r="A7044" s="2" t="s">
        <v>3749</v>
      </c>
      <c r="B7044" s="2" t="s">
        <v>1383</v>
      </c>
      <c r="C7044" s="2">
        <v>752.92660000000001</v>
      </c>
      <c r="D7044" s="2">
        <f>HYPERLINK("http://mcb-m6.bioreg.kyushu-u.ac.jp/M3/20110502/F51170/2137/1", 69.95)</f>
        <v>69.95</v>
      </c>
      <c r="E7044" s="2">
        <v>51.57</v>
      </c>
      <c r="F7044" s="2">
        <v>2</v>
      </c>
      <c r="G7044" s="2" t="s">
        <v>13</v>
      </c>
      <c r="I7044" s="2" t="s">
        <v>4903</v>
      </c>
    </row>
    <row r="7045" spans="1:9" x14ac:dyDescent="0.2">
      <c r="A7045" s="2" t="s">
        <v>3749</v>
      </c>
      <c r="B7045" s="2" t="s">
        <v>1383</v>
      </c>
      <c r="C7045" s="2">
        <v>753.05470000000003</v>
      </c>
      <c r="D7045" s="2">
        <f>HYPERLINK("http://mcb-m6.bioreg.kyushu-u.ac.jp/M3/20110502/F51179/1840/1", 69.82)</f>
        <v>69.819999999999993</v>
      </c>
      <c r="E7045" s="2">
        <v>45.12</v>
      </c>
      <c r="F7045" s="2">
        <v>2</v>
      </c>
      <c r="G7045" s="2" t="s">
        <v>14</v>
      </c>
      <c r="I7045" s="2" t="s">
        <v>4903</v>
      </c>
    </row>
    <row r="7046" spans="1:9" x14ac:dyDescent="0.2">
      <c r="A7046" s="2" t="s">
        <v>4330</v>
      </c>
      <c r="B7046" s="2" t="s">
        <v>2129</v>
      </c>
      <c r="C7046" s="2">
        <v>999.11220000000003</v>
      </c>
      <c r="D7046" s="2">
        <f>HYPERLINK("http://mcb-m6.bioreg.kyushu-u.ac.jp/M3/20110411/F50912/3123/1", 94.07)</f>
        <v>94.07</v>
      </c>
      <c r="E7046" s="2">
        <v>73.59</v>
      </c>
      <c r="F7046" s="2">
        <v>2</v>
      </c>
      <c r="G7046" s="2" t="s">
        <v>10</v>
      </c>
    </row>
    <row r="7047" spans="1:9" x14ac:dyDescent="0.2">
      <c r="A7047" s="2" t="s">
        <v>4330</v>
      </c>
      <c r="B7047" s="2" t="s">
        <v>2129</v>
      </c>
      <c r="C7047" s="2">
        <v>999.07709999999997</v>
      </c>
      <c r="D7047" s="2">
        <f>HYPERLINK("http://mcb-m6.bioreg.kyushu-u.ac.jp/M3/20110411/F50913/3165/1", 99.56)</f>
        <v>99.56</v>
      </c>
      <c r="E7047" s="2">
        <v>82.04</v>
      </c>
      <c r="F7047" s="2">
        <v>2</v>
      </c>
      <c r="G7047" s="2" t="s">
        <v>10</v>
      </c>
    </row>
    <row r="7048" spans="1:9" x14ac:dyDescent="0.2">
      <c r="A7048" s="2" t="s">
        <v>4330</v>
      </c>
      <c r="B7048" s="2" t="s">
        <v>2129</v>
      </c>
      <c r="C7048" s="2">
        <v>999.42219999999998</v>
      </c>
      <c r="D7048" s="2">
        <f>HYPERLINK("http://mcb-m6.bioreg.kyushu-u.ac.jp/M3/20110414/F50941/3475/1", 55.88)</f>
        <v>55.88</v>
      </c>
      <c r="E7048" s="2">
        <v>42.1</v>
      </c>
      <c r="F7048" s="2">
        <v>2</v>
      </c>
      <c r="G7048" s="2" t="s">
        <v>11</v>
      </c>
    </row>
    <row r="7049" spans="1:9" x14ac:dyDescent="0.2">
      <c r="A7049" s="2" t="s">
        <v>4330</v>
      </c>
      <c r="B7049" s="2" t="s">
        <v>2129</v>
      </c>
      <c r="C7049" s="2">
        <v>999.33420000000001</v>
      </c>
      <c r="D7049" s="2">
        <f>HYPERLINK("http://mcb-m6.bioreg.kyushu-u.ac.jp/M3/20110414/F50942/3474/1", 63.67)</f>
        <v>63.67</v>
      </c>
      <c r="E7049" s="2">
        <v>52.42</v>
      </c>
      <c r="F7049" s="2">
        <v>2</v>
      </c>
      <c r="G7049" s="2" t="s">
        <v>11</v>
      </c>
    </row>
    <row r="7050" spans="1:9" x14ac:dyDescent="0.2">
      <c r="A7050" s="2" t="s">
        <v>4330</v>
      </c>
      <c r="B7050" s="2" t="s">
        <v>2129</v>
      </c>
      <c r="C7050" s="2">
        <v>999.30719999999997</v>
      </c>
      <c r="D7050" s="2">
        <f>HYPERLINK("http://mcb-m6.bioreg.kyushu-u.ac.jp/M3/20110414/F50941/3473/1", 77.33)</f>
        <v>77.33</v>
      </c>
      <c r="E7050" s="2">
        <v>65.75</v>
      </c>
      <c r="F7050" s="2">
        <v>2</v>
      </c>
      <c r="G7050" s="2" t="s">
        <v>11</v>
      </c>
    </row>
    <row r="7051" spans="1:9" x14ac:dyDescent="0.2">
      <c r="A7051" s="2" t="s">
        <v>4330</v>
      </c>
      <c r="B7051" s="2" t="s">
        <v>2129</v>
      </c>
      <c r="C7051" s="2">
        <v>998.8057</v>
      </c>
      <c r="D7051" s="2">
        <f>HYPERLINK("http://mcb-m6.bioreg.kyushu-u.ac.jp/M3/20110414/F50941/3470/1", 85.17)</f>
        <v>85.17</v>
      </c>
      <c r="E7051" s="2">
        <v>70.55</v>
      </c>
      <c r="F7051" s="2">
        <v>2</v>
      </c>
      <c r="G7051" s="2" t="s">
        <v>11</v>
      </c>
    </row>
    <row r="7052" spans="1:9" x14ac:dyDescent="0.2">
      <c r="A7052" s="2" t="s">
        <v>4330</v>
      </c>
      <c r="B7052" s="2" t="s">
        <v>2129</v>
      </c>
      <c r="C7052" s="2">
        <v>999.45719999999994</v>
      </c>
      <c r="D7052" s="2">
        <f>HYPERLINK("http://mcb-m6.bioreg.kyushu-u.ac.jp/M3/20110414/F50947/3438/1", 47.97)</f>
        <v>47.97</v>
      </c>
      <c r="E7052" s="2">
        <v>38.22</v>
      </c>
      <c r="F7052" s="2">
        <v>2</v>
      </c>
      <c r="G7052" s="2" t="s">
        <v>12</v>
      </c>
    </row>
    <row r="7053" spans="1:9" x14ac:dyDescent="0.2">
      <c r="A7053" s="2" t="s">
        <v>4330</v>
      </c>
      <c r="B7053" s="2" t="s">
        <v>2129</v>
      </c>
      <c r="C7053" s="2">
        <v>999.22609999999997</v>
      </c>
      <c r="D7053" s="2">
        <f>HYPERLINK("http://mcb-m6.bioreg.kyushu-u.ac.jp/M3/20110414/F50963/3090/1", 48.7)</f>
        <v>48.7</v>
      </c>
      <c r="E7053" s="2">
        <v>36.99</v>
      </c>
      <c r="F7053" s="2">
        <v>2</v>
      </c>
      <c r="G7053" s="2" t="s">
        <v>12</v>
      </c>
    </row>
    <row r="7054" spans="1:9" x14ac:dyDescent="0.2">
      <c r="A7054" s="2" t="s">
        <v>4330</v>
      </c>
      <c r="B7054" s="2" t="s">
        <v>2129</v>
      </c>
      <c r="C7054" s="2">
        <v>998.90009999999995</v>
      </c>
      <c r="D7054" s="2">
        <f>HYPERLINK("http://mcb-m6.bioreg.kyushu-u.ac.jp/M3/20110414/F50947/3433/1", 51.96)</f>
        <v>51.96</v>
      </c>
      <c r="E7054" s="2">
        <v>41.55</v>
      </c>
      <c r="F7054" s="2">
        <v>2</v>
      </c>
      <c r="G7054" s="2" t="s">
        <v>12</v>
      </c>
    </row>
    <row r="7055" spans="1:9" x14ac:dyDescent="0.2">
      <c r="A7055" s="2" t="s">
        <v>4330</v>
      </c>
      <c r="B7055" s="2" t="s">
        <v>2129</v>
      </c>
      <c r="C7055" s="2">
        <v>999.54020000000003</v>
      </c>
      <c r="D7055" s="2">
        <f>HYPERLINK("http://mcb-m6.bioreg.kyushu-u.ac.jp/M3/20110502/F51170/3248/1", 70.61)</f>
        <v>70.61</v>
      </c>
      <c r="E7055" s="2">
        <v>56.18</v>
      </c>
      <c r="F7055" s="2">
        <v>2</v>
      </c>
      <c r="G7055" s="2" t="s">
        <v>13</v>
      </c>
    </row>
    <row r="7056" spans="1:9" x14ac:dyDescent="0.2">
      <c r="A7056" s="2" t="s">
        <v>4330</v>
      </c>
      <c r="B7056" s="2" t="s">
        <v>2129</v>
      </c>
      <c r="C7056" s="2">
        <v>999.03970000000004</v>
      </c>
      <c r="D7056" s="2">
        <f>HYPERLINK("http://mcb-m6.bioreg.kyushu-u.ac.jp/M3/20110502/F51170/3245/1", 84.89)</f>
        <v>84.89</v>
      </c>
      <c r="E7056" s="2">
        <v>63.48</v>
      </c>
      <c r="F7056" s="2">
        <v>2</v>
      </c>
      <c r="G7056" s="2" t="s">
        <v>13</v>
      </c>
    </row>
    <row r="7057" spans="1:9" x14ac:dyDescent="0.2">
      <c r="A7057" s="2" t="s">
        <v>4330</v>
      </c>
      <c r="B7057" s="2" t="s">
        <v>2129</v>
      </c>
      <c r="C7057" s="2">
        <v>999.10569999999996</v>
      </c>
      <c r="D7057" s="2">
        <f>HYPERLINK("http://mcb-m6.bioreg.kyushu-u.ac.jp/M3/20110502/F51179/3105/1", 77.16)</f>
        <v>77.16</v>
      </c>
      <c r="E7057" s="2">
        <v>61.6</v>
      </c>
      <c r="F7057" s="2">
        <v>2</v>
      </c>
      <c r="G7057" s="2" t="s">
        <v>14</v>
      </c>
    </row>
    <row r="7058" spans="1:9" x14ac:dyDescent="0.2">
      <c r="A7058" s="2" t="s">
        <v>4426</v>
      </c>
      <c r="B7058" s="2" t="s">
        <v>2300</v>
      </c>
      <c r="C7058" s="2">
        <v>1096.2909999999999</v>
      </c>
      <c r="D7058" s="2">
        <f>HYPERLINK("http://mcb-m6.bioreg.kyushu-u.ac.jp/M3/20110414/F50925/1606/1", 44.19)</f>
        <v>44.19</v>
      </c>
      <c r="E7058" s="2">
        <v>18.41</v>
      </c>
      <c r="F7058" s="2">
        <v>1</v>
      </c>
      <c r="G7058" s="2" t="s">
        <v>11</v>
      </c>
    </row>
    <row r="7059" spans="1:9" x14ac:dyDescent="0.2">
      <c r="A7059" s="2" t="s">
        <v>4259</v>
      </c>
      <c r="B7059" s="2" t="s">
        <v>1905</v>
      </c>
      <c r="C7059" s="2">
        <v>664.80020000000002</v>
      </c>
      <c r="D7059" s="2">
        <f>HYPERLINK("http://mcb-m6.bioreg.kyushu-u.ac.jp/M3/20110411/F50914/1704/1", 48.23)</f>
        <v>48.23</v>
      </c>
      <c r="E7059" s="2">
        <v>14.38</v>
      </c>
      <c r="F7059" s="2">
        <v>2</v>
      </c>
      <c r="G7059" s="2" t="s">
        <v>10</v>
      </c>
    </row>
    <row r="7060" spans="1:9" x14ac:dyDescent="0.2">
      <c r="A7060" s="2" t="s">
        <v>3324</v>
      </c>
      <c r="B7060" s="2" t="s">
        <v>110</v>
      </c>
      <c r="C7060" s="2">
        <v>1059.758</v>
      </c>
      <c r="D7060" s="2">
        <f>HYPERLINK("http://mcb-m6.bioreg.kyushu-u.ac.jp/M3/20110411/F50905/1079/1", 36.19)</f>
        <v>36.19</v>
      </c>
      <c r="E7060" s="2">
        <v>18.13</v>
      </c>
      <c r="F7060" s="2">
        <v>1</v>
      </c>
      <c r="G7060" s="2" t="s">
        <v>9</v>
      </c>
    </row>
    <row r="7061" spans="1:9" x14ac:dyDescent="0.2">
      <c r="A7061" s="2" t="s">
        <v>3324</v>
      </c>
      <c r="B7061" s="2" t="s">
        <v>251</v>
      </c>
      <c r="C7061" s="2">
        <v>930.67499999999995</v>
      </c>
      <c r="D7061" s="2">
        <f>HYPERLINK("http://mcb-m6.bioreg.kyushu-u.ac.jp/M3/20110411/F50905/855/1", 38.5)</f>
        <v>38.5</v>
      </c>
      <c r="E7061" s="2">
        <v>8.9</v>
      </c>
      <c r="F7061" s="2">
        <v>1</v>
      </c>
      <c r="G7061" s="2" t="s">
        <v>9</v>
      </c>
    </row>
    <row r="7062" spans="1:9" x14ac:dyDescent="0.2">
      <c r="A7062" s="2" t="s">
        <v>3324</v>
      </c>
      <c r="B7062" s="2" t="s">
        <v>657</v>
      </c>
      <c r="C7062" s="2">
        <v>639.23109999999997</v>
      </c>
      <c r="D7062" s="2">
        <f>HYPERLINK("http://mcb-m6.bioreg.kyushu-u.ac.jp/M3/20110411/F50905/1524/1", 47.49)</f>
        <v>47.49</v>
      </c>
      <c r="E7062" s="2">
        <v>21.55</v>
      </c>
      <c r="F7062" s="2">
        <v>2</v>
      </c>
      <c r="G7062" s="2" t="s">
        <v>9</v>
      </c>
    </row>
    <row r="7063" spans="1:9" x14ac:dyDescent="0.2">
      <c r="A7063" s="2" t="s">
        <v>3324</v>
      </c>
      <c r="B7063" s="2" t="s">
        <v>1133</v>
      </c>
      <c r="C7063" s="2">
        <v>651.06569999999999</v>
      </c>
      <c r="D7063" s="2">
        <f>HYPERLINK("http://mcb-m6.bioreg.kyushu-u.ac.jp/M3/20110411/F50905/1568/1", 64.48)</f>
        <v>64.48</v>
      </c>
      <c r="E7063" s="2">
        <v>38.020000000000003</v>
      </c>
      <c r="F7063" s="2">
        <v>2</v>
      </c>
      <c r="G7063" s="2" t="s">
        <v>9</v>
      </c>
    </row>
    <row r="7064" spans="1:9" x14ac:dyDescent="0.2">
      <c r="A7064" s="2" t="s">
        <v>3324</v>
      </c>
      <c r="B7064" s="2" t="s">
        <v>110</v>
      </c>
      <c r="C7064" s="2">
        <v>530.47720000000004</v>
      </c>
      <c r="D7064" s="2">
        <f>HYPERLINK("http://mcb-m6.bioreg.kyushu-u.ac.jp/M3/20110411/F50905/1080/1", 65.96)</f>
        <v>65.959999999999994</v>
      </c>
      <c r="E7064" s="2">
        <v>40.26</v>
      </c>
      <c r="F7064" s="2">
        <v>2</v>
      </c>
      <c r="G7064" s="2" t="s">
        <v>9</v>
      </c>
    </row>
    <row r="7065" spans="1:9" x14ac:dyDescent="0.2">
      <c r="A7065" s="2" t="s">
        <v>3324</v>
      </c>
      <c r="B7065" s="2" t="s">
        <v>1224</v>
      </c>
      <c r="C7065" s="2">
        <v>845.03769999999997</v>
      </c>
      <c r="D7065" s="2">
        <f>HYPERLINK("http://mcb-m6.bioreg.kyushu-u.ac.jp/M3/20110411/F50905/2564/1", 68.03)</f>
        <v>68.03</v>
      </c>
      <c r="E7065" s="2">
        <v>54.93</v>
      </c>
      <c r="F7065" s="2">
        <v>2</v>
      </c>
      <c r="G7065" s="2" t="s">
        <v>9</v>
      </c>
    </row>
    <row r="7066" spans="1:9" x14ac:dyDescent="0.2">
      <c r="A7066" s="2" t="s">
        <v>3324</v>
      </c>
      <c r="B7066" s="2" t="s">
        <v>1224</v>
      </c>
      <c r="C7066" s="2">
        <v>844.95569999999998</v>
      </c>
      <c r="D7066" s="2">
        <f>HYPERLINK("http://mcb-m6.bioreg.kyushu-u.ac.jp/M3/20110414/F50947/2562/1", 35.57)</f>
        <v>35.57</v>
      </c>
      <c r="E7066" s="2">
        <v>23.36</v>
      </c>
      <c r="F7066" s="2">
        <v>2</v>
      </c>
      <c r="G7066" s="2" t="s">
        <v>12</v>
      </c>
    </row>
    <row r="7067" spans="1:9" x14ac:dyDescent="0.2">
      <c r="A7067" s="2" t="s">
        <v>3327</v>
      </c>
      <c r="B7067" s="2" t="s">
        <v>113</v>
      </c>
      <c r="C7067" s="2">
        <v>859.10609999999997</v>
      </c>
      <c r="D7067" s="2">
        <f>HYPERLINK("http://mcb-m6.bioreg.kyushu-u.ac.jp/M3/20110411/F50905/2645/1", 36.23)</f>
        <v>36.229999999999997</v>
      </c>
      <c r="E7067" s="2">
        <v>13.02</v>
      </c>
      <c r="F7067" s="2">
        <v>2</v>
      </c>
      <c r="G7067" s="2" t="s">
        <v>9</v>
      </c>
      <c r="I7067" s="2" t="s">
        <v>4902</v>
      </c>
    </row>
    <row r="7068" spans="1:9" x14ac:dyDescent="0.2">
      <c r="A7068" s="2" t="s">
        <v>4879</v>
      </c>
      <c r="B7068" s="2" t="s">
        <v>3201</v>
      </c>
      <c r="C7068" s="2">
        <v>681.97770000000003</v>
      </c>
      <c r="D7068" s="2">
        <f>HYPERLINK("http://mcb-m6.bioreg.kyushu-u.ac.jp/M3/20110502/F51186/1559/1", 71.7)</f>
        <v>71.7</v>
      </c>
      <c r="E7068" s="2">
        <v>54.2</v>
      </c>
      <c r="F7068" s="2">
        <v>2</v>
      </c>
      <c r="G7068" s="2" t="s">
        <v>14</v>
      </c>
    </row>
    <row r="7069" spans="1:9" x14ac:dyDescent="0.2">
      <c r="A7069" s="2" t="s">
        <v>3761</v>
      </c>
      <c r="B7069" s="2" t="s">
        <v>777</v>
      </c>
      <c r="C7069" s="2">
        <v>475.93759999999997</v>
      </c>
      <c r="D7069" s="2">
        <f>HYPERLINK("http://mcb-m6.bioreg.kyushu-u.ac.jp/M3/20110411/F50890/1010/1", 50.85)</f>
        <v>50.85</v>
      </c>
      <c r="E7069" s="2">
        <v>15.55</v>
      </c>
      <c r="F7069" s="2">
        <v>2</v>
      </c>
      <c r="G7069" s="2" t="s">
        <v>9</v>
      </c>
    </row>
    <row r="7070" spans="1:9" x14ac:dyDescent="0.2">
      <c r="A7070" s="2" t="s">
        <v>3761</v>
      </c>
      <c r="B7070" s="2" t="s">
        <v>777</v>
      </c>
      <c r="C7070" s="2">
        <v>476.07560000000001</v>
      </c>
      <c r="D7070" s="2">
        <f>HYPERLINK("http://mcb-m6.bioreg.kyushu-u.ac.jp/M3/20110414/F50927/1228/1", 36.38)</f>
        <v>36.380000000000003</v>
      </c>
      <c r="E7070" s="2">
        <v>13.95</v>
      </c>
      <c r="F7070" s="2">
        <v>2</v>
      </c>
      <c r="G7070" s="2" t="s">
        <v>11</v>
      </c>
    </row>
    <row r="7071" spans="1:9" x14ac:dyDescent="0.2">
      <c r="A7071" s="2" t="s">
        <v>3761</v>
      </c>
      <c r="B7071" s="2" t="s">
        <v>777</v>
      </c>
      <c r="C7071" s="2">
        <v>475.79160000000002</v>
      </c>
      <c r="D7071" s="2">
        <f>HYPERLINK("http://mcb-m6.bioreg.kyushu-u.ac.jp/M3/20110414/F50932/1606/1", 44.49)</f>
        <v>44.49</v>
      </c>
      <c r="E7071" s="2">
        <v>15.45</v>
      </c>
      <c r="F7071" s="2">
        <v>2</v>
      </c>
      <c r="G7071" s="2" t="s">
        <v>12</v>
      </c>
    </row>
    <row r="7072" spans="1:9" x14ac:dyDescent="0.2">
      <c r="A7072" s="2" t="s">
        <v>3761</v>
      </c>
      <c r="B7072" s="2" t="s">
        <v>777</v>
      </c>
      <c r="C7072" s="2">
        <v>476.02960000000002</v>
      </c>
      <c r="D7072" s="2">
        <f>HYPERLINK("http://mcb-m6.bioreg.kyushu-u.ac.jp/M3/20110502/F51177/564/1", 36.57)</f>
        <v>36.57</v>
      </c>
      <c r="E7072" s="2">
        <v>9.68</v>
      </c>
      <c r="F7072" s="2">
        <v>2</v>
      </c>
      <c r="G7072" s="2" t="s">
        <v>14</v>
      </c>
    </row>
    <row r="7073" spans="1:9" x14ac:dyDescent="0.2">
      <c r="A7073" s="2" t="s">
        <v>3634</v>
      </c>
      <c r="B7073" s="2" t="s">
        <v>550</v>
      </c>
      <c r="C7073" s="2">
        <v>617.75419999999997</v>
      </c>
      <c r="D7073" s="2">
        <f>HYPERLINK("http://mcb-m6.bioreg.kyushu-u.ac.jp/M3/20110411/F50890/1601/1", 44.65)</f>
        <v>44.65</v>
      </c>
      <c r="E7073" s="2">
        <v>22.83</v>
      </c>
      <c r="F7073" s="2">
        <v>2</v>
      </c>
      <c r="G7073" s="2" t="s">
        <v>9</v>
      </c>
    </row>
    <row r="7074" spans="1:9" x14ac:dyDescent="0.2">
      <c r="A7074" s="2" t="s">
        <v>3634</v>
      </c>
      <c r="B7074" s="2" t="s">
        <v>550</v>
      </c>
      <c r="C7074" s="2">
        <v>617.44370000000004</v>
      </c>
      <c r="D7074" s="2">
        <f>HYPERLINK("http://mcb-m6.bioreg.kyushu-u.ac.jp/M3/20110411/F50897/1418/1", 38.77)</f>
        <v>38.770000000000003</v>
      </c>
      <c r="E7074" s="2">
        <v>11.4</v>
      </c>
      <c r="F7074" s="2">
        <v>2</v>
      </c>
      <c r="G7074" s="2" t="s">
        <v>10</v>
      </c>
    </row>
    <row r="7075" spans="1:9" x14ac:dyDescent="0.2">
      <c r="A7075" s="2" t="s">
        <v>3634</v>
      </c>
      <c r="B7075" s="2" t="s">
        <v>2534</v>
      </c>
      <c r="C7075" s="2">
        <v>479.27159999999998</v>
      </c>
      <c r="D7075" s="2">
        <f>HYPERLINK("http://mcb-m6.bioreg.kyushu-u.ac.jp/M3/20110414/F50932/1630/1", 36.41)</f>
        <v>36.409999999999997</v>
      </c>
      <c r="E7075" s="2">
        <v>10.130000000000001</v>
      </c>
      <c r="F7075" s="2">
        <v>2</v>
      </c>
      <c r="G7075" s="2" t="s">
        <v>12</v>
      </c>
    </row>
    <row r="7076" spans="1:9" x14ac:dyDescent="0.2">
      <c r="A7076" s="2" t="s">
        <v>3634</v>
      </c>
      <c r="B7076" s="2" t="s">
        <v>550</v>
      </c>
      <c r="C7076" s="2">
        <v>617.7731</v>
      </c>
      <c r="D7076" s="2">
        <f>HYPERLINK("http://mcb-m6.bioreg.kyushu-u.ac.jp/M3/20110414/F50932/1931/1", 42.68)</f>
        <v>42.68</v>
      </c>
      <c r="E7076" s="2">
        <v>22.84</v>
      </c>
      <c r="F7076" s="2">
        <v>2</v>
      </c>
      <c r="G7076" s="2" t="s">
        <v>12</v>
      </c>
    </row>
    <row r="7077" spans="1:9" x14ac:dyDescent="0.2">
      <c r="A7077" s="2" t="s">
        <v>3634</v>
      </c>
      <c r="B7077" s="2" t="s">
        <v>550</v>
      </c>
      <c r="C7077" s="2">
        <v>617.23109999999997</v>
      </c>
      <c r="D7077" s="2">
        <f>HYPERLINK("http://mcb-m6.bioreg.kyushu-u.ac.jp/M3/20110414/F50932/1927/1", 47.8)</f>
        <v>47.8</v>
      </c>
      <c r="E7077" s="2">
        <v>29.79</v>
      </c>
      <c r="F7077" s="2">
        <v>2</v>
      </c>
      <c r="G7077" s="2" t="s">
        <v>12</v>
      </c>
    </row>
    <row r="7078" spans="1:9" x14ac:dyDescent="0.2">
      <c r="A7078" s="2" t="s">
        <v>3614</v>
      </c>
      <c r="B7078" s="2" t="s">
        <v>520</v>
      </c>
      <c r="C7078" s="2">
        <v>495.79309999999998</v>
      </c>
      <c r="D7078" s="2">
        <f>HYPERLINK("http://mcb-m6.bioreg.kyushu-u.ac.jp/M3/20110411/F50903/1133/1", 43.68)</f>
        <v>43.68</v>
      </c>
      <c r="E7078" s="2">
        <v>19.07</v>
      </c>
      <c r="F7078" s="2">
        <v>2</v>
      </c>
      <c r="G7078" s="2" t="s">
        <v>9</v>
      </c>
    </row>
    <row r="7079" spans="1:9" x14ac:dyDescent="0.2">
      <c r="A7079" s="2" t="s">
        <v>3239</v>
      </c>
      <c r="B7079" s="2" t="s">
        <v>19</v>
      </c>
      <c r="C7079" s="2">
        <v>631.66470000000004</v>
      </c>
      <c r="D7079" s="2">
        <f>HYPERLINK("http://mcb-m6.bioreg.kyushu-u.ac.jp/M3/20110411/F50903/1519/1", 35.05)</f>
        <v>35.049999999999997</v>
      </c>
      <c r="E7079" s="2">
        <v>20.77</v>
      </c>
      <c r="F7079" s="2">
        <v>2</v>
      </c>
      <c r="G7079" s="2" t="s">
        <v>9</v>
      </c>
    </row>
    <row r="7080" spans="1:9" x14ac:dyDescent="0.2">
      <c r="A7080" s="2" t="s">
        <v>3239</v>
      </c>
      <c r="B7080" s="2" t="s">
        <v>19</v>
      </c>
      <c r="C7080" s="2">
        <v>639.79319999999996</v>
      </c>
      <c r="D7080" s="2">
        <f>HYPERLINK("http://mcb-m6.bioreg.kyushu-u.ac.jp/M3/20110414/F50925/1852/1", 72.1)</f>
        <v>72.099999999999994</v>
      </c>
      <c r="E7080" s="2">
        <v>56.31</v>
      </c>
      <c r="F7080" s="2">
        <v>2</v>
      </c>
      <c r="G7080" s="2" t="s">
        <v>11</v>
      </c>
      <c r="H7080" s="2" t="s">
        <v>4927</v>
      </c>
    </row>
    <row r="7081" spans="1:9" x14ac:dyDescent="0.2">
      <c r="A7081" s="2" t="s">
        <v>3239</v>
      </c>
      <c r="B7081" s="2" t="s">
        <v>19</v>
      </c>
      <c r="C7081" s="2">
        <v>631.2432</v>
      </c>
      <c r="D7081" s="2">
        <f>HYPERLINK("http://mcb-m6.bioreg.kyushu-u.ac.jp/M3/20110414/F50925/1834/1", 88.24)</f>
        <v>88.24</v>
      </c>
      <c r="E7081" s="2">
        <v>54.09</v>
      </c>
      <c r="F7081" s="2">
        <v>2</v>
      </c>
      <c r="G7081" s="2" t="s">
        <v>11</v>
      </c>
    </row>
    <row r="7082" spans="1:9" x14ac:dyDescent="0.2">
      <c r="A7082" s="2" t="s">
        <v>3541</v>
      </c>
      <c r="B7082" s="2" t="s">
        <v>396</v>
      </c>
      <c r="C7082" s="2">
        <v>966.66399999999999</v>
      </c>
      <c r="D7082" s="2">
        <f>HYPERLINK("http://mcb-m6.bioreg.kyushu-u.ac.jp/M3/20110411/F50903/1090/1", 41.1)</f>
        <v>41.1</v>
      </c>
      <c r="E7082" s="2">
        <v>16.86</v>
      </c>
      <c r="F7082" s="2">
        <v>1</v>
      </c>
      <c r="G7082" s="2" t="s">
        <v>9</v>
      </c>
    </row>
    <row r="7083" spans="1:9" x14ac:dyDescent="0.2">
      <c r="A7083" s="2" t="s">
        <v>3541</v>
      </c>
      <c r="B7083" s="2" t="s">
        <v>396</v>
      </c>
      <c r="C7083" s="2">
        <v>483.88060000000002</v>
      </c>
      <c r="D7083" s="2">
        <f>HYPERLINK("http://mcb-m6.bioreg.kyushu-u.ac.jp/M3/20110411/F50920/654/1", 54.53)</f>
        <v>54.53</v>
      </c>
      <c r="E7083" s="2">
        <v>32.03</v>
      </c>
      <c r="F7083" s="2">
        <v>2</v>
      </c>
      <c r="G7083" s="2" t="s">
        <v>10</v>
      </c>
    </row>
    <row r="7084" spans="1:9" x14ac:dyDescent="0.2">
      <c r="A7084" s="2" t="s">
        <v>4599</v>
      </c>
      <c r="B7084" s="2" t="s">
        <v>2692</v>
      </c>
      <c r="C7084" s="2">
        <v>484.54259999999999</v>
      </c>
      <c r="D7084" s="2">
        <f>HYPERLINK("http://mcb-m6.bioreg.kyushu-u.ac.jp/M3/20110414/F50958/561/1", 54.16)</f>
        <v>54.16</v>
      </c>
      <c r="E7084" s="2">
        <v>20.3</v>
      </c>
      <c r="F7084" s="2">
        <v>2</v>
      </c>
      <c r="G7084" s="2" t="s">
        <v>12</v>
      </c>
      <c r="I7084" s="2" t="s">
        <v>4905</v>
      </c>
    </row>
    <row r="7085" spans="1:9" x14ac:dyDescent="0.2">
      <c r="A7085" s="2" t="s">
        <v>3801</v>
      </c>
      <c r="B7085" s="2" t="s">
        <v>854</v>
      </c>
      <c r="C7085" s="2">
        <v>735.80359999999996</v>
      </c>
      <c r="D7085" s="2">
        <f>HYPERLINK("http://mcb-m6.bioreg.kyushu-u.ac.jp/M3/20110411/F50891/2054/1", 53.53)</f>
        <v>53.53</v>
      </c>
      <c r="E7085" s="2">
        <v>30.25</v>
      </c>
      <c r="F7085" s="2">
        <v>2</v>
      </c>
      <c r="G7085" s="2" t="s">
        <v>9</v>
      </c>
    </row>
    <row r="7086" spans="1:9" x14ac:dyDescent="0.2">
      <c r="A7086" s="2" t="s">
        <v>3801</v>
      </c>
      <c r="B7086" s="2" t="s">
        <v>1712</v>
      </c>
      <c r="C7086" s="2">
        <v>787.60270000000003</v>
      </c>
      <c r="D7086" s="2">
        <f>HYPERLINK("http://mcb-m6.bioreg.kyushu-u.ac.jp/M3/20110411/F50900/2331/1", 36.02)</f>
        <v>36.020000000000003</v>
      </c>
      <c r="E7086" s="2">
        <v>26.98</v>
      </c>
      <c r="F7086" s="2">
        <v>2</v>
      </c>
      <c r="G7086" s="2" t="s">
        <v>10</v>
      </c>
    </row>
    <row r="7087" spans="1:9" x14ac:dyDescent="0.2">
      <c r="A7087" s="2" t="s">
        <v>3801</v>
      </c>
      <c r="B7087" s="2" t="s">
        <v>1712</v>
      </c>
      <c r="C7087" s="2">
        <v>787.91309999999999</v>
      </c>
      <c r="D7087" s="2">
        <f>HYPERLINK("http://mcb-m6.bioreg.kyushu-u.ac.jp/M3/20110411/F50898/2421/1", 53.42)</f>
        <v>53.42</v>
      </c>
      <c r="E7087" s="2">
        <v>42.15</v>
      </c>
      <c r="F7087" s="2">
        <v>2</v>
      </c>
      <c r="G7087" s="2" t="s">
        <v>10</v>
      </c>
    </row>
    <row r="7088" spans="1:9" x14ac:dyDescent="0.2">
      <c r="A7088" s="2" t="s">
        <v>3801</v>
      </c>
      <c r="B7088" s="2" t="s">
        <v>1712</v>
      </c>
      <c r="C7088" s="2">
        <v>787.15970000000004</v>
      </c>
      <c r="D7088" s="2">
        <f>HYPERLINK("http://mcb-m6.bioreg.kyushu-u.ac.jp/M3/20110414/F50928/2539/1", 39.23)</f>
        <v>39.229999999999997</v>
      </c>
      <c r="E7088" s="2">
        <v>27.19</v>
      </c>
      <c r="F7088" s="2">
        <v>2</v>
      </c>
      <c r="G7088" s="2" t="s">
        <v>11</v>
      </c>
    </row>
    <row r="7089" spans="1:9" x14ac:dyDescent="0.2">
      <c r="A7089" s="2" t="s">
        <v>3801</v>
      </c>
      <c r="B7089" s="2" t="s">
        <v>1712</v>
      </c>
      <c r="C7089" s="2">
        <v>795.06820000000005</v>
      </c>
      <c r="D7089" s="2">
        <f>HYPERLINK("http://mcb-m6.bioreg.kyushu-u.ac.jp/M3/20110414/F50928/2580/1", 48.48)</f>
        <v>48.48</v>
      </c>
      <c r="E7089" s="2">
        <v>23.29</v>
      </c>
      <c r="F7089" s="2">
        <v>2</v>
      </c>
      <c r="G7089" s="2" t="s">
        <v>11</v>
      </c>
      <c r="H7089" s="2" t="s">
        <v>4900</v>
      </c>
    </row>
    <row r="7090" spans="1:9" x14ac:dyDescent="0.2">
      <c r="A7090" s="2" t="s">
        <v>3801</v>
      </c>
      <c r="B7090" s="2" t="s">
        <v>854</v>
      </c>
      <c r="C7090" s="2">
        <v>735.51969999999994</v>
      </c>
      <c r="D7090" s="2">
        <f>HYPERLINK("http://mcb-m6.bioreg.kyushu-u.ac.jp/M3/20110414/F50928/2284/1", 55.33)</f>
        <v>55.33</v>
      </c>
      <c r="E7090" s="2">
        <v>16.18</v>
      </c>
      <c r="F7090" s="2">
        <v>2</v>
      </c>
      <c r="G7090" s="2" t="s">
        <v>11</v>
      </c>
    </row>
    <row r="7091" spans="1:9" x14ac:dyDescent="0.2">
      <c r="A7091" s="2" t="s">
        <v>3801</v>
      </c>
      <c r="B7091" s="2" t="s">
        <v>854</v>
      </c>
      <c r="C7091" s="2">
        <v>736.17269999999996</v>
      </c>
      <c r="D7091" s="2">
        <f>HYPERLINK("http://mcb-m6.bioreg.kyushu-u.ac.jp/M3/20110414/F50928/2287/1", 71.38)</f>
        <v>71.38</v>
      </c>
      <c r="E7091" s="2">
        <v>43.3</v>
      </c>
      <c r="F7091" s="2">
        <v>2</v>
      </c>
      <c r="G7091" s="2" t="s">
        <v>11</v>
      </c>
    </row>
    <row r="7092" spans="1:9" x14ac:dyDescent="0.2">
      <c r="A7092" s="2" t="s">
        <v>3801</v>
      </c>
      <c r="B7092" s="2" t="s">
        <v>1712</v>
      </c>
      <c r="C7092" s="2">
        <v>787.37519999999995</v>
      </c>
      <c r="D7092" s="2">
        <f>HYPERLINK("http://mcb-m6.bioreg.kyushu-u.ac.jp/M3/20110414/F50933/2637/1", 46.55)</f>
        <v>46.55</v>
      </c>
      <c r="E7092" s="2">
        <v>34.83</v>
      </c>
      <c r="F7092" s="2">
        <v>2</v>
      </c>
      <c r="G7092" s="2" t="s">
        <v>12</v>
      </c>
    </row>
    <row r="7093" spans="1:9" x14ac:dyDescent="0.2">
      <c r="A7093" s="2" t="s">
        <v>3801</v>
      </c>
      <c r="B7093" s="2" t="s">
        <v>1712</v>
      </c>
      <c r="C7093" s="2">
        <v>795.52009999999996</v>
      </c>
      <c r="D7093" s="2">
        <f>HYPERLINK("http://mcb-m6.bioreg.kyushu-u.ac.jp/M3/20110502/F51169/2341/1", 54.93)</f>
        <v>54.93</v>
      </c>
      <c r="E7093" s="2">
        <v>41.79</v>
      </c>
      <c r="F7093" s="2">
        <v>2</v>
      </c>
      <c r="G7093" s="2" t="s">
        <v>13</v>
      </c>
      <c r="H7093" s="2" t="s">
        <v>4900</v>
      </c>
    </row>
    <row r="7094" spans="1:9" x14ac:dyDescent="0.2">
      <c r="A7094" s="2" t="s">
        <v>3801</v>
      </c>
      <c r="B7094" s="2" t="s">
        <v>854</v>
      </c>
      <c r="C7094" s="2">
        <v>736.17520000000002</v>
      </c>
      <c r="D7094" s="2">
        <f>HYPERLINK("http://mcb-m6.bioreg.kyushu-u.ac.jp/M3/20110502/F51169/2086/1", 81.35)</f>
        <v>81.349999999999994</v>
      </c>
      <c r="E7094" s="2">
        <v>54.73</v>
      </c>
      <c r="F7094" s="2">
        <v>2</v>
      </c>
      <c r="G7094" s="2" t="s">
        <v>13</v>
      </c>
    </row>
    <row r="7095" spans="1:9" x14ac:dyDescent="0.2">
      <c r="A7095" s="2" t="s">
        <v>3801</v>
      </c>
      <c r="B7095" s="2" t="s">
        <v>1712</v>
      </c>
      <c r="C7095" s="2">
        <v>795.52369999999996</v>
      </c>
      <c r="D7095" s="2">
        <f>HYPERLINK("http://mcb-m6.bioreg.kyushu-u.ac.jp/M3/20110502/F51178/2359/1", 50.93)</f>
        <v>50.93</v>
      </c>
      <c r="E7095" s="2">
        <v>31.04</v>
      </c>
      <c r="F7095" s="2">
        <v>2</v>
      </c>
      <c r="G7095" s="2" t="s">
        <v>14</v>
      </c>
      <c r="H7095" s="2" t="s">
        <v>4900</v>
      </c>
    </row>
    <row r="7096" spans="1:9" x14ac:dyDescent="0.2">
      <c r="A7096" s="2" t="s">
        <v>3801</v>
      </c>
      <c r="B7096" s="2" t="s">
        <v>1712</v>
      </c>
      <c r="C7096" s="2">
        <v>787.60569999999996</v>
      </c>
      <c r="D7096" s="2">
        <f>HYPERLINK("http://mcb-m6.bioreg.kyushu-u.ac.jp/M3/20110502/F51178/2323/1", 53.6)</f>
        <v>53.6</v>
      </c>
      <c r="E7096" s="2">
        <v>40.72</v>
      </c>
      <c r="F7096" s="2">
        <v>2</v>
      </c>
      <c r="G7096" s="2" t="s">
        <v>14</v>
      </c>
    </row>
    <row r="7097" spans="1:9" x14ac:dyDescent="0.2">
      <c r="A7097" s="2" t="s">
        <v>3801</v>
      </c>
      <c r="B7097" s="2" t="s">
        <v>854</v>
      </c>
      <c r="C7097" s="2">
        <v>736.22720000000004</v>
      </c>
      <c r="D7097" s="2">
        <f>HYPERLINK("http://mcb-m6.bioreg.kyushu-u.ac.jp/M3/20110502/F51178/2074/1", 83.39)</f>
        <v>83.39</v>
      </c>
      <c r="E7097" s="2">
        <v>55.95</v>
      </c>
      <c r="F7097" s="2">
        <v>2</v>
      </c>
      <c r="G7097" s="2" t="s">
        <v>14</v>
      </c>
    </row>
    <row r="7098" spans="1:9" x14ac:dyDescent="0.2">
      <c r="A7098" s="2" t="s">
        <v>3629</v>
      </c>
      <c r="B7098" s="2" t="s">
        <v>542</v>
      </c>
      <c r="C7098" s="2">
        <v>934.38900000000001</v>
      </c>
      <c r="D7098" s="2">
        <f>HYPERLINK("http://mcb-m6.bioreg.kyushu-u.ac.jp/M3/20110411/F50891/847/1", 44.3)</f>
        <v>44.3</v>
      </c>
      <c r="E7098" s="2">
        <v>22.35</v>
      </c>
      <c r="F7098" s="2">
        <v>1</v>
      </c>
      <c r="G7098" s="2" t="s">
        <v>9</v>
      </c>
      <c r="I7098" s="2" t="s">
        <v>4890</v>
      </c>
    </row>
    <row r="7099" spans="1:9" x14ac:dyDescent="0.2">
      <c r="A7099" s="2" t="s">
        <v>3629</v>
      </c>
      <c r="B7099" s="2" t="s">
        <v>734</v>
      </c>
      <c r="C7099" s="2">
        <v>644.77470000000005</v>
      </c>
      <c r="D7099" s="2">
        <f>HYPERLINK("http://mcb-m6.bioreg.kyushu-u.ac.jp/M3/20110411/F50891/1587/1", 49.58)</f>
        <v>49.58</v>
      </c>
      <c r="E7099" s="2">
        <v>29.34</v>
      </c>
      <c r="F7099" s="2">
        <v>2</v>
      </c>
      <c r="G7099" s="2" t="s">
        <v>9</v>
      </c>
      <c r="I7099" s="2" t="s">
        <v>4899</v>
      </c>
    </row>
    <row r="7100" spans="1:9" x14ac:dyDescent="0.2">
      <c r="A7100" s="2" t="s">
        <v>3629</v>
      </c>
      <c r="B7100" s="2" t="s">
        <v>1137</v>
      </c>
      <c r="C7100" s="2">
        <v>546.76260000000002</v>
      </c>
      <c r="D7100" s="2">
        <f>HYPERLINK("http://mcb-m6.bioreg.kyushu-u.ac.jp/M3/20110411/F50891/1143/1", 64.61)</f>
        <v>64.61</v>
      </c>
      <c r="E7100" s="2">
        <v>23.54</v>
      </c>
      <c r="F7100" s="2">
        <v>2</v>
      </c>
      <c r="G7100" s="2" t="s">
        <v>9</v>
      </c>
    </row>
    <row r="7101" spans="1:9" x14ac:dyDescent="0.2">
      <c r="A7101" s="2" t="s">
        <v>3629</v>
      </c>
      <c r="B7101" s="2" t="s">
        <v>1235</v>
      </c>
      <c r="C7101" s="2">
        <v>787.38459999999998</v>
      </c>
      <c r="D7101" s="2">
        <f>HYPERLINK("http://mcb-m6.bioreg.kyushu-u.ac.jp/M3/20110411/F50891/2385/1", 68.33)</f>
        <v>68.33</v>
      </c>
      <c r="E7101" s="2">
        <v>56.45</v>
      </c>
      <c r="F7101" s="2">
        <v>2</v>
      </c>
      <c r="G7101" s="2" t="s">
        <v>9</v>
      </c>
    </row>
    <row r="7102" spans="1:9" x14ac:dyDescent="0.2">
      <c r="A7102" s="2" t="s">
        <v>3629</v>
      </c>
      <c r="B7102" s="2" t="s">
        <v>1367</v>
      </c>
      <c r="C7102" s="2">
        <v>712.31020000000001</v>
      </c>
      <c r="D7102" s="2">
        <f>HYPERLINK("http://mcb-m6.bioreg.kyushu-u.ac.jp/M3/20110411/F50891/1930/1", 76)</f>
        <v>76</v>
      </c>
      <c r="E7102" s="2">
        <v>57.38</v>
      </c>
      <c r="F7102" s="2">
        <v>2</v>
      </c>
      <c r="G7102" s="2" t="s">
        <v>9</v>
      </c>
    </row>
    <row r="7103" spans="1:9" x14ac:dyDescent="0.2">
      <c r="A7103" s="2" t="s">
        <v>3629</v>
      </c>
      <c r="B7103" s="2" t="s">
        <v>1367</v>
      </c>
      <c r="C7103" s="2">
        <v>712.81320000000005</v>
      </c>
      <c r="D7103" s="2">
        <f>HYPERLINK("http://mcb-m6.bioreg.kyushu-u.ac.jp/M3/20110411/F50891/1933/1", 82.06)</f>
        <v>82.06</v>
      </c>
      <c r="E7103" s="2">
        <v>55.88</v>
      </c>
      <c r="F7103" s="2">
        <v>2</v>
      </c>
      <c r="G7103" s="2" t="s">
        <v>9</v>
      </c>
    </row>
    <row r="7104" spans="1:9" x14ac:dyDescent="0.2">
      <c r="A7104" s="2" t="s">
        <v>3629</v>
      </c>
      <c r="B7104" s="2" t="s">
        <v>1235</v>
      </c>
      <c r="C7104" s="2">
        <v>786.77560000000005</v>
      </c>
      <c r="D7104" s="2">
        <f>HYPERLINK("http://mcb-m6.bioreg.kyushu-u.ac.jp/M3/20110411/F50891/2384/1", 90.04)</f>
        <v>90.04</v>
      </c>
      <c r="E7104" s="2">
        <v>78.44</v>
      </c>
      <c r="F7104" s="2">
        <v>2</v>
      </c>
      <c r="G7104" s="2" t="s">
        <v>9</v>
      </c>
    </row>
    <row r="7105" spans="1:9" x14ac:dyDescent="0.2">
      <c r="A7105" s="2" t="s">
        <v>3629</v>
      </c>
      <c r="B7105" s="2" t="s">
        <v>734</v>
      </c>
      <c r="C7105" s="2">
        <v>644.76260000000002</v>
      </c>
      <c r="D7105" s="2">
        <f>HYPERLINK("http://mcb-m6.bioreg.kyushu-u.ac.jp/M3/20110411/F50898/1878/1", 49.17)</f>
        <v>49.17</v>
      </c>
      <c r="E7105" s="2">
        <v>27.58</v>
      </c>
      <c r="F7105" s="2">
        <v>2</v>
      </c>
      <c r="G7105" s="2" t="s">
        <v>10</v>
      </c>
      <c r="I7105" s="2" t="s">
        <v>4899</v>
      </c>
    </row>
    <row r="7106" spans="1:9" x14ac:dyDescent="0.2">
      <c r="A7106" s="2" t="s">
        <v>3629</v>
      </c>
      <c r="B7106" s="2" t="s">
        <v>1936</v>
      </c>
      <c r="C7106" s="2">
        <v>887.68</v>
      </c>
      <c r="D7106" s="2">
        <f>HYPERLINK("http://mcb-m6.bioreg.kyushu-u.ac.jp/M3/20110411/F50898/1302/1", 51.27)</f>
        <v>51.27</v>
      </c>
      <c r="E7106" s="2">
        <v>16.47</v>
      </c>
      <c r="F7106" s="2">
        <v>1</v>
      </c>
      <c r="G7106" s="2" t="s">
        <v>10</v>
      </c>
    </row>
    <row r="7107" spans="1:9" x14ac:dyDescent="0.2">
      <c r="A7107" s="2" t="s">
        <v>3629</v>
      </c>
      <c r="B7107" s="2" t="s">
        <v>1367</v>
      </c>
      <c r="C7107" s="2">
        <v>712.68219999999997</v>
      </c>
      <c r="D7107" s="2">
        <f>HYPERLINK("http://mcb-m6.bioreg.kyushu-u.ac.jp/M3/20110411/F50902/1909/1", 52.55)</f>
        <v>52.55</v>
      </c>
      <c r="E7107" s="2">
        <v>33.450000000000003</v>
      </c>
      <c r="F7107" s="2">
        <v>2</v>
      </c>
      <c r="G7107" s="2" t="s">
        <v>10</v>
      </c>
    </row>
    <row r="7108" spans="1:9" x14ac:dyDescent="0.2">
      <c r="A7108" s="2" t="s">
        <v>3629</v>
      </c>
      <c r="B7108" s="2" t="s">
        <v>1235</v>
      </c>
      <c r="C7108" s="2">
        <v>786.71310000000005</v>
      </c>
      <c r="D7108" s="2">
        <f>HYPERLINK("http://mcb-m6.bioreg.kyushu-u.ac.jp/M3/20110411/F50898/2416/1", 63.89)</f>
        <v>63.89</v>
      </c>
      <c r="E7108" s="2">
        <v>50.73</v>
      </c>
      <c r="F7108" s="2">
        <v>2</v>
      </c>
      <c r="G7108" s="2" t="s">
        <v>10</v>
      </c>
    </row>
    <row r="7109" spans="1:9" x14ac:dyDescent="0.2">
      <c r="A7109" s="2" t="s">
        <v>3629</v>
      </c>
      <c r="B7109" s="2" t="s">
        <v>1137</v>
      </c>
      <c r="C7109" s="2">
        <v>546.65719999999999</v>
      </c>
      <c r="D7109" s="2">
        <f>HYPERLINK("http://mcb-m6.bioreg.kyushu-u.ac.jp/M3/20110411/F50898/1673/1", 65.16)</f>
        <v>65.16</v>
      </c>
      <c r="E7109" s="2">
        <v>40.82</v>
      </c>
      <c r="F7109" s="2">
        <v>2</v>
      </c>
      <c r="G7109" s="2" t="s">
        <v>10</v>
      </c>
    </row>
    <row r="7110" spans="1:9" x14ac:dyDescent="0.2">
      <c r="A7110" s="2" t="s">
        <v>3629</v>
      </c>
      <c r="B7110" s="2" t="s">
        <v>1367</v>
      </c>
      <c r="C7110" s="2">
        <v>712.69069999999999</v>
      </c>
      <c r="D7110" s="2">
        <f>HYPERLINK("http://mcb-m6.bioreg.kyushu-u.ac.jp/M3/20110411/F50898/2076/1", 79)</f>
        <v>79</v>
      </c>
      <c r="E7110" s="2">
        <v>54.78</v>
      </c>
      <c r="F7110" s="2">
        <v>2</v>
      </c>
      <c r="G7110" s="2" t="s">
        <v>10</v>
      </c>
    </row>
    <row r="7111" spans="1:9" x14ac:dyDescent="0.2">
      <c r="A7111" s="2" t="s">
        <v>3629</v>
      </c>
      <c r="B7111" s="2" t="s">
        <v>1367</v>
      </c>
      <c r="C7111" s="2">
        <v>712.74069999999995</v>
      </c>
      <c r="D7111" s="2">
        <f>HYPERLINK("http://mcb-m6.bioreg.kyushu-u.ac.jp/M3/20110414/F50928/2147/1", 52.93)</f>
        <v>52.93</v>
      </c>
      <c r="E7111" s="2">
        <v>32.520000000000003</v>
      </c>
      <c r="F7111" s="2">
        <v>2</v>
      </c>
      <c r="G7111" s="2" t="s">
        <v>11</v>
      </c>
    </row>
    <row r="7112" spans="1:9" x14ac:dyDescent="0.2">
      <c r="A7112" s="2" t="s">
        <v>3629</v>
      </c>
      <c r="B7112" s="2" t="s">
        <v>734</v>
      </c>
      <c r="C7112" s="2">
        <v>645.38369999999998</v>
      </c>
      <c r="D7112" s="2">
        <f>HYPERLINK("http://mcb-m6.bioreg.kyushu-u.ac.jp/M3/20110414/F50929/1927/1", 60.45)</f>
        <v>60.45</v>
      </c>
      <c r="E7112" s="2">
        <v>31.23</v>
      </c>
      <c r="F7112" s="2">
        <v>2</v>
      </c>
      <c r="G7112" s="2" t="s">
        <v>11</v>
      </c>
      <c r="I7112" s="2" t="s">
        <v>4899</v>
      </c>
    </row>
    <row r="7113" spans="1:9" x14ac:dyDescent="0.2">
      <c r="A7113" s="2" t="s">
        <v>3629</v>
      </c>
      <c r="B7113" s="2" t="s">
        <v>1137</v>
      </c>
      <c r="C7113" s="2">
        <v>546.52760000000001</v>
      </c>
      <c r="D7113" s="2">
        <f>HYPERLINK("http://mcb-m6.bioreg.kyushu-u.ac.jp/M3/20110414/F50928/1411/1", 62.13)</f>
        <v>62.13</v>
      </c>
      <c r="E7113" s="2">
        <v>31.78</v>
      </c>
      <c r="F7113" s="2">
        <v>2</v>
      </c>
      <c r="G7113" s="2" t="s">
        <v>11</v>
      </c>
    </row>
    <row r="7114" spans="1:9" x14ac:dyDescent="0.2">
      <c r="A7114" s="2" t="s">
        <v>3629</v>
      </c>
      <c r="B7114" s="2" t="s">
        <v>1235</v>
      </c>
      <c r="C7114" s="2">
        <v>786.79169999999999</v>
      </c>
      <c r="D7114" s="2">
        <f>HYPERLINK("http://mcb-m6.bioreg.kyushu-u.ac.jp/M3/20110414/F50928/2537/1", 92.77)</f>
        <v>92.77</v>
      </c>
      <c r="E7114" s="2">
        <v>80.22</v>
      </c>
      <c r="F7114" s="2">
        <v>2</v>
      </c>
      <c r="G7114" s="2" t="s">
        <v>11</v>
      </c>
    </row>
    <row r="7115" spans="1:9" x14ac:dyDescent="0.2">
      <c r="A7115" s="2" t="s">
        <v>3629</v>
      </c>
      <c r="B7115" s="2" t="s">
        <v>1367</v>
      </c>
      <c r="C7115" s="2">
        <v>712.09619999999995</v>
      </c>
      <c r="D7115" s="2">
        <f>HYPERLINK("http://mcb-m6.bioreg.kyushu-u.ac.jp/M3/20110414/F50928/2145/1", 98.18)</f>
        <v>98.18</v>
      </c>
      <c r="E7115" s="2">
        <v>63.85</v>
      </c>
      <c r="F7115" s="2">
        <v>2</v>
      </c>
      <c r="G7115" s="2" t="s">
        <v>11</v>
      </c>
    </row>
    <row r="7116" spans="1:9" x14ac:dyDescent="0.2">
      <c r="A7116" s="2" t="s">
        <v>3629</v>
      </c>
      <c r="B7116" s="2" t="s">
        <v>1235</v>
      </c>
      <c r="C7116" s="2">
        <v>787.43370000000004</v>
      </c>
      <c r="D7116" s="2">
        <f>HYPERLINK("http://mcb-m6.bioreg.kyushu-u.ac.jp/M3/20110414/F50933/2639/1", 46.73)</f>
        <v>46.73</v>
      </c>
      <c r="E7116" s="2">
        <v>31.84</v>
      </c>
      <c r="F7116" s="2">
        <v>2</v>
      </c>
      <c r="G7116" s="2" t="s">
        <v>12</v>
      </c>
    </row>
    <row r="7117" spans="1:9" x14ac:dyDescent="0.2">
      <c r="A7117" s="2" t="s">
        <v>3629</v>
      </c>
      <c r="B7117" s="2" t="s">
        <v>1137</v>
      </c>
      <c r="C7117" s="2">
        <v>546.74869999999999</v>
      </c>
      <c r="D7117" s="2">
        <f>HYPERLINK("http://mcb-m6.bioreg.kyushu-u.ac.jp/M3/20110414/F50933/1627/1", 48.63)</f>
        <v>48.63</v>
      </c>
      <c r="E7117" s="2">
        <v>12.98</v>
      </c>
      <c r="F7117" s="2">
        <v>2</v>
      </c>
      <c r="G7117" s="2" t="s">
        <v>12</v>
      </c>
    </row>
    <row r="7118" spans="1:9" x14ac:dyDescent="0.2">
      <c r="A7118" s="2" t="s">
        <v>3629</v>
      </c>
      <c r="B7118" s="2" t="s">
        <v>1235</v>
      </c>
      <c r="C7118" s="2">
        <v>787.41819999999996</v>
      </c>
      <c r="D7118" s="2">
        <f>HYPERLINK("http://mcb-m6.bioreg.kyushu-u.ac.jp/M3/20110414/F50933/2638/1", 49.29)</f>
        <v>49.29</v>
      </c>
      <c r="E7118" s="2">
        <v>32.03</v>
      </c>
      <c r="F7118" s="2">
        <v>2</v>
      </c>
      <c r="G7118" s="2" t="s">
        <v>12</v>
      </c>
    </row>
    <row r="7119" spans="1:9" x14ac:dyDescent="0.2">
      <c r="A7119" s="2" t="s">
        <v>3629</v>
      </c>
      <c r="B7119" s="2" t="s">
        <v>734</v>
      </c>
      <c r="C7119" s="2">
        <v>644.86720000000003</v>
      </c>
      <c r="D7119" s="2">
        <f>HYPERLINK("http://mcb-m6.bioreg.kyushu-u.ac.jp/M3/20110414/F50933/1963/1", 65.1)</f>
        <v>65.099999999999994</v>
      </c>
      <c r="E7119" s="2">
        <v>34.46</v>
      </c>
      <c r="F7119" s="2">
        <v>2</v>
      </c>
      <c r="G7119" s="2" t="s">
        <v>12</v>
      </c>
      <c r="I7119" s="2" t="s">
        <v>4899</v>
      </c>
    </row>
    <row r="7120" spans="1:9" x14ac:dyDescent="0.2">
      <c r="A7120" s="2" t="s">
        <v>3629</v>
      </c>
      <c r="B7120" s="2" t="s">
        <v>1235</v>
      </c>
      <c r="C7120" s="2">
        <v>787.43960000000004</v>
      </c>
      <c r="D7120" s="2">
        <f>HYPERLINK("http://mcb-m6.bioreg.kyushu-u.ac.jp/M3/20110414/F50933/2640/1", 71.25)</f>
        <v>71.25</v>
      </c>
      <c r="E7120" s="2">
        <v>59.45</v>
      </c>
      <c r="F7120" s="2">
        <v>2</v>
      </c>
      <c r="G7120" s="2" t="s">
        <v>12</v>
      </c>
    </row>
    <row r="7121" spans="1:9" x14ac:dyDescent="0.2">
      <c r="A7121" s="2" t="s">
        <v>3629</v>
      </c>
      <c r="B7121" s="2" t="s">
        <v>1235</v>
      </c>
      <c r="C7121" s="2">
        <v>786.8827</v>
      </c>
      <c r="D7121" s="2">
        <f>HYPERLINK("http://mcb-m6.bioreg.kyushu-u.ac.jp/M3/20110414/F50933/2634/1", 76.41)</f>
        <v>76.41</v>
      </c>
      <c r="E7121" s="2">
        <v>62.7</v>
      </c>
      <c r="F7121" s="2">
        <v>2</v>
      </c>
      <c r="G7121" s="2" t="s">
        <v>12</v>
      </c>
    </row>
    <row r="7122" spans="1:9" x14ac:dyDescent="0.2">
      <c r="A7122" s="2" t="s">
        <v>3629</v>
      </c>
      <c r="B7122" s="2" t="s">
        <v>1137</v>
      </c>
      <c r="C7122" s="2">
        <v>547.34720000000004</v>
      </c>
      <c r="D7122" s="2">
        <f>HYPERLINK("http://mcb-m6.bioreg.kyushu-u.ac.jp/M3/20110502/F51169/1361/1", 56.54)</f>
        <v>56.54</v>
      </c>
      <c r="E7122" s="2">
        <v>23.1</v>
      </c>
      <c r="F7122" s="2">
        <v>2</v>
      </c>
      <c r="G7122" s="2" t="s">
        <v>13</v>
      </c>
    </row>
    <row r="7123" spans="1:9" x14ac:dyDescent="0.2">
      <c r="A7123" s="2" t="s">
        <v>3629</v>
      </c>
      <c r="B7123" s="2" t="s">
        <v>1367</v>
      </c>
      <c r="C7123" s="2">
        <v>712.47670000000005</v>
      </c>
      <c r="D7123" s="2">
        <f>HYPERLINK("http://mcb-m6.bioreg.kyushu-u.ac.jp/M3/20110502/F51178/1979/1", 77.71)</f>
        <v>77.709999999999994</v>
      </c>
      <c r="E7123" s="2">
        <v>53.39</v>
      </c>
      <c r="F7123" s="2">
        <v>2</v>
      </c>
      <c r="G7123" s="2" t="s">
        <v>14</v>
      </c>
    </row>
    <row r="7124" spans="1:9" x14ac:dyDescent="0.2">
      <c r="A7124" s="2" t="s">
        <v>3629</v>
      </c>
      <c r="B7124" s="2" t="s">
        <v>1235</v>
      </c>
      <c r="C7124" s="2">
        <v>787.0607</v>
      </c>
      <c r="D7124" s="2">
        <f>HYPERLINK("http://mcb-m6.bioreg.kyushu-u.ac.jp/M3/20110502/F51178/2319/1", 109.64)</f>
        <v>109.64</v>
      </c>
      <c r="E7124" s="2">
        <v>89.04</v>
      </c>
      <c r="F7124" s="2">
        <v>2</v>
      </c>
      <c r="G7124" s="2" t="s">
        <v>14</v>
      </c>
    </row>
    <row r="7125" spans="1:9" x14ac:dyDescent="0.2">
      <c r="A7125" s="2" t="s">
        <v>3526</v>
      </c>
      <c r="B7125" s="2" t="s">
        <v>371</v>
      </c>
      <c r="C7125" s="2">
        <v>687.03489999999999</v>
      </c>
      <c r="D7125" s="2">
        <f>HYPERLINK("http://mcb-m6.bioreg.kyushu-u.ac.jp/M3/20110411/F50911/3471/1", 40.5)</f>
        <v>40.5</v>
      </c>
      <c r="E7125" s="2">
        <v>22.76</v>
      </c>
      <c r="F7125" s="2">
        <v>3</v>
      </c>
      <c r="G7125" s="2" t="s">
        <v>9</v>
      </c>
      <c r="I7125" s="2" t="s">
        <v>4922</v>
      </c>
    </row>
    <row r="7126" spans="1:9" x14ac:dyDescent="0.2">
      <c r="A7126" s="2" t="s">
        <v>3526</v>
      </c>
      <c r="B7126" s="2" t="s">
        <v>1153</v>
      </c>
      <c r="C7126" s="2">
        <v>1383.9169999999999</v>
      </c>
      <c r="D7126" s="2">
        <f>HYPERLINK("http://mcb-m6.bioreg.kyushu-u.ac.jp/M3/20110411/F50911/1815/1", 65.27)</f>
        <v>65.27</v>
      </c>
      <c r="E7126" s="2">
        <v>45.37</v>
      </c>
      <c r="F7126" s="2">
        <v>1</v>
      </c>
      <c r="G7126" s="2" t="s">
        <v>9</v>
      </c>
    </row>
    <row r="7127" spans="1:9" x14ac:dyDescent="0.2">
      <c r="A7127" s="2" t="s">
        <v>3526</v>
      </c>
      <c r="B7127" s="2" t="s">
        <v>1153</v>
      </c>
      <c r="C7127" s="2">
        <v>692.51120000000003</v>
      </c>
      <c r="D7127" s="2">
        <f>HYPERLINK("http://mcb-m6.bioreg.kyushu-u.ac.jp/M3/20110411/F50911/1816/1", 82.08)</f>
        <v>82.08</v>
      </c>
      <c r="E7127" s="2">
        <v>53.48</v>
      </c>
      <c r="F7127" s="2">
        <v>2</v>
      </c>
      <c r="G7127" s="2" t="s">
        <v>9</v>
      </c>
    </row>
    <row r="7128" spans="1:9" x14ac:dyDescent="0.2">
      <c r="A7128" s="2" t="s">
        <v>3526</v>
      </c>
      <c r="B7128" s="2" t="s">
        <v>371</v>
      </c>
      <c r="C7128" s="2">
        <v>1029.673</v>
      </c>
      <c r="D7128" s="2">
        <f>HYPERLINK("http://mcb-m6.bioreg.kyushu-u.ac.jp/M3/20110411/F50911/3470/1", 119.17)</f>
        <v>119.17</v>
      </c>
      <c r="E7128" s="2">
        <v>101.03</v>
      </c>
      <c r="F7128" s="2">
        <v>2</v>
      </c>
      <c r="G7128" s="2" t="s">
        <v>9</v>
      </c>
      <c r="I7128" s="2" t="s">
        <v>4922</v>
      </c>
    </row>
    <row r="7129" spans="1:9" x14ac:dyDescent="0.2">
      <c r="A7129" s="2" t="s">
        <v>3526</v>
      </c>
      <c r="B7129" s="2" t="s">
        <v>1740</v>
      </c>
      <c r="C7129" s="2">
        <v>688.78859999999997</v>
      </c>
      <c r="D7129" s="2">
        <f>HYPERLINK("http://mcb-m6.bioreg.kyushu-u.ac.jp/M3/20110411/F50913/1754/1", 36.96)</f>
        <v>36.96</v>
      </c>
      <c r="E7129" s="2">
        <v>12.7</v>
      </c>
      <c r="F7129" s="2">
        <v>2</v>
      </c>
      <c r="G7129" s="2" t="s">
        <v>10</v>
      </c>
      <c r="I7129" s="2" t="s">
        <v>4947</v>
      </c>
    </row>
    <row r="7130" spans="1:9" x14ac:dyDescent="0.2">
      <c r="A7130" s="2" t="s">
        <v>3526</v>
      </c>
      <c r="B7130" s="2" t="s">
        <v>1153</v>
      </c>
      <c r="C7130" s="2">
        <v>692.38959999999997</v>
      </c>
      <c r="D7130" s="2">
        <f>HYPERLINK("http://mcb-m6.bioreg.kyushu-u.ac.jp/M3/20110411/F50914/1851/1", 52.33)</f>
        <v>52.33</v>
      </c>
      <c r="E7130" s="2">
        <v>35.42</v>
      </c>
      <c r="F7130" s="2">
        <v>2</v>
      </c>
      <c r="G7130" s="2" t="s">
        <v>10</v>
      </c>
    </row>
    <row r="7131" spans="1:9" x14ac:dyDescent="0.2">
      <c r="A7131" s="2" t="s">
        <v>3526</v>
      </c>
      <c r="B7131" s="2" t="s">
        <v>1740</v>
      </c>
      <c r="C7131" s="2">
        <v>688.47119999999995</v>
      </c>
      <c r="D7131" s="2">
        <f>HYPERLINK("http://mcb-m6.bioreg.kyushu-u.ac.jp/M3/20110411/F50914/1834/1", 53.26)</f>
        <v>53.26</v>
      </c>
      <c r="E7131" s="2">
        <v>37.58</v>
      </c>
      <c r="F7131" s="2">
        <v>2</v>
      </c>
      <c r="G7131" s="2" t="s">
        <v>10</v>
      </c>
      <c r="I7131" s="2" t="s">
        <v>4947</v>
      </c>
    </row>
    <row r="7132" spans="1:9" x14ac:dyDescent="0.2">
      <c r="A7132" s="2" t="s">
        <v>3526</v>
      </c>
      <c r="B7132" s="2" t="s">
        <v>1967</v>
      </c>
      <c r="C7132" s="2">
        <v>1091.9369999999999</v>
      </c>
      <c r="D7132" s="2">
        <f>HYPERLINK("http://mcb-m6.bioreg.kyushu-u.ac.jp/M3/20110411/F50914/3439/1", 55.09)</f>
        <v>55.09</v>
      </c>
      <c r="E7132" s="2">
        <v>45.12</v>
      </c>
      <c r="F7132" s="2">
        <v>2</v>
      </c>
      <c r="G7132" s="2" t="s">
        <v>10</v>
      </c>
    </row>
    <row r="7133" spans="1:9" x14ac:dyDescent="0.2">
      <c r="A7133" s="2" t="s">
        <v>3526</v>
      </c>
      <c r="B7133" s="2" t="s">
        <v>1153</v>
      </c>
      <c r="C7133" s="2">
        <v>1384.22</v>
      </c>
      <c r="D7133" s="2">
        <f>HYPERLINK("http://mcb-m6.bioreg.kyushu-u.ac.jp/M3/20110411/F50914/1853/1", 56.43)</f>
        <v>56.43</v>
      </c>
      <c r="E7133" s="2">
        <v>45.39</v>
      </c>
      <c r="F7133" s="2">
        <v>1</v>
      </c>
      <c r="G7133" s="2" t="s">
        <v>10</v>
      </c>
    </row>
    <row r="7134" spans="1:9" x14ac:dyDescent="0.2">
      <c r="A7134" s="2" t="s">
        <v>3526</v>
      </c>
      <c r="B7134" s="2" t="s">
        <v>371</v>
      </c>
      <c r="C7134" s="2">
        <v>1030.011</v>
      </c>
      <c r="D7134" s="2">
        <f>HYPERLINK("http://mcb-m6.bioreg.kyushu-u.ac.jp/M3/20110411/F50914/3295/1", 118.32)</f>
        <v>118.32</v>
      </c>
      <c r="E7134" s="2">
        <v>104.43</v>
      </c>
      <c r="F7134" s="2">
        <v>2</v>
      </c>
      <c r="G7134" s="2" t="s">
        <v>10</v>
      </c>
      <c r="I7134" s="2" t="s">
        <v>4922</v>
      </c>
    </row>
    <row r="7135" spans="1:9" x14ac:dyDescent="0.2">
      <c r="A7135" s="2" t="s">
        <v>3526</v>
      </c>
      <c r="B7135" s="2" t="s">
        <v>1967</v>
      </c>
      <c r="C7135" s="2">
        <v>1091.8689999999999</v>
      </c>
      <c r="D7135" s="2">
        <f>HYPERLINK("http://mcb-m6.bioreg.kyushu-u.ac.jp/M3/20110414/F50942/3741/1", 42.44)</f>
        <v>42.44</v>
      </c>
      <c r="E7135" s="2">
        <v>33.99</v>
      </c>
      <c r="F7135" s="2">
        <v>2</v>
      </c>
      <c r="G7135" s="2" t="s">
        <v>11</v>
      </c>
    </row>
    <row r="7136" spans="1:9" x14ac:dyDescent="0.2">
      <c r="A7136" s="2" t="s">
        <v>3526</v>
      </c>
      <c r="B7136" s="2" t="s">
        <v>1153</v>
      </c>
      <c r="C7136" s="2">
        <v>692.8741</v>
      </c>
      <c r="D7136" s="2">
        <f>HYPERLINK("http://mcb-m6.bioreg.kyushu-u.ac.jp/M3/20110414/F50943/1591/1", 56.53)</f>
        <v>56.53</v>
      </c>
      <c r="E7136" s="2">
        <v>39.93</v>
      </c>
      <c r="F7136" s="2">
        <v>2</v>
      </c>
      <c r="G7136" s="2" t="s">
        <v>11</v>
      </c>
    </row>
    <row r="7137" spans="1:9" x14ac:dyDescent="0.2">
      <c r="A7137" s="2" t="s">
        <v>3526</v>
      </c>
      <c r="B7137" s="2" t="s">
        <v>1153</v>
      </c>
      <c r="C7137" s="2">
        <v>692.19370000000004</v>
      </c>
      <c r="D7137" s="2">
        <f>HYPERLINK("http://mcb-m6.bioreg.kyushu-u.ac.jp/M3/20110414/F50941/1797/1", 56.99)</f>
        <v>56.99</v>
      </c>
      <c r="E7137" s="2">
        <v>36.71</v>
      </c>
      <c r="F7137" s="2">
        <v>2</v>
      </c>
      <c r="G7137" s="2" t="s">
        <v>11</v>
      </c>
    </row>
    <row r="7138" spans="1:9" x14ac:dyDescent="0.2">
      <c r="A7138" s="2" t="s">
        <v>3526</v>
      </c>
      <c r="B7138" s="2" t="s">
        <v>1153</v>
      </c>
      <c r="C7138" s="2">
        <v>692.29520000000002</v>
      </c>
      <c r="D7138" s="2">
        <f>HYPERLINK("http://mcb-m6.bioreg.kyushu-u.ac.jp/M3/20110414/F50942/1619/1", 82.38)</f>
        <v>82.38</v>
      </c>
      <c r="E7138" s="2">
        <v>51.22</v>
      </c>
      <c r="F7138" s="2">
        <v>2</v>
      </c>
      <c r="G7138" s="2" t="s">
        <v>11</v>
      </c>
    </row>
    <row r="7139" spans="1:9" x14ac:dyDescent="0.2">
      <c r="A7139" s="2" t="s">
        <v>3526</v>
      </c>
      <c r="B7139" s="2" t="s">
        <v>1153</v>
      </c>
      <c r="C7139" s="2">
        <v>692.70069999999998</v>
      </c>
      <c r="D7139" s="2">
        <f>HYPERLINK("http://mcb-m6.bioreg.kyushu-u.ac.jp/M3/20110414/F50941/1799/1", 88.29)</f>
        <v>88.29</v>
      </c>
      <c r="E7139" s="2">
        <v>65.430000000000007</v>
      </c>
      <c r="F7139" s="2">
        <v>2</v>
      </c>
      <c r="G7139" s="2" t="s">
        <v>11</v>
      </c>
    </row>
    <row r="7140" spans="1:9" x14ac:dyDescent="0.2">
      <c r="A7140" s="2" t="s">
        <v>3526</v>
      </c>
      <c r="B7140" s="2" t="s">
        <v>371</v>
      </c>
      <c r="C7140" s="2">
        <v>1029.424</v>
      </c>
      <c r="D7140" s="2">
        <f>HYPERLINK("http://mcb-m6.bioreg.kyushu-u.ac.jp/M3/20110414/F50942/3579/1", 118.93)</f>
        <v>118.93</v>
      </c>
      <c r="E7140" s="2">
        <v>105.59</v>
      </c>
      <c r="F7140" s="2">
        <v>2</v>
      </c>
      <c r="G7140" s="2" t="s">
        <v>11</v>
      </c>
      <c r="I7140" s="2" t="s">
        <v>4922</v>
      </c>
    </row>
    <row r="7141" spans="1:9" x14ac:dyDescent="0.2">
      <c r="A7141" s="2" t="s">
        <v>3526</v>
      </c>
      <c r="B7141" s="2" t="s">
        <v>1740</v>
      </c>
      <c r="C7141" s="2">
        <v>688.89170000000001</v>
      </c>
      <c r="D7141" s="2">
        <f>HYPERLINK("http://mcb-m6.bioreg.kyushu-u.ac.jp/M3/20110414/F50948/1734/1", 41.48)</f>
        <v>41.48</v>
      </c>
      <c r="E7141" s="2">
        <v>21.09</v>
      </c>
      <c r="F7141" s="2">
        <v>2</v>
      </c>
      <c r="G7141" s="2" t="s">
        <v>12</v>
      </c>
      <c r="I7141" s="2" t="s">
        <v>4947</v>
      </c>
    </row>
    <row r="7142" spans="1:9" x14ac:dyDescent="0.2">
      <c r="A7142" s="2" t="s">
        <v>3526</v>
      </c>
      <c r="B7142" s="2" t="s">
        <v>1740</v>
      </c>
      <c r="C7142" s="2">
        <v>688.1857</v>
      </c>
      <c r="D7142" s="2">
        <f>HYPERLINK("http://mcb-m6.bioreg.kyushu-u.ac.jp/M3/20110414/F50948/1731/1", 42.06)</f>
        <v>42.06</v>
      </c>
      <c r="E7142" s="2">
        <v>29.29</v>
      </c>
      <c r="F7142" s="2">
        <v>2</v>
      </c>
      <c r="G7142" s="2" t="s">
        <v>12</v>
      </c>
      <c r="I7142" s="2" t="s">
        <v>4947</v>
      </c>
    </row>
    <row r="7143" spans="1:9" x14ac:dyDescent="0.2">
      <c r="A7143" s="2" t="s">
        <v>3526</v>
      </c>
      <c r="B7143" s="2" t="s">
        <v>1740</v>
      </c>
      <c r="C7143" s="2">
        <v>688.23820000000001</v>
      </c>
      <c r="D7143" s="2">
        <f>HYPERLINK("http://mcb-m6.bioreg.kyushu-u.ac.jp/M3/20110414/F50947/1598/1", 48.87)</f>
        <v>48.87</v>
      </c>
      <c r="E7143" s="2">
        <v>34.44</v>
      </c>
      <c r="F7143" s="2">
        <v>2</v>
      </c>
      <c r="G7143" s="2" t="s">
        <v>12</v>
      </c>
      <c r="I7143" s="2" t="s">
        <v>4947</v>
      </c>
    </row>
    <row r="7144" spans="1:9" x14ac:dyDescent="0.2">
      <c r="A7144" s="2" t="s">
        <v>3526</v>
      </c>
      <c r="B7144" s="2" t="s">
        <v>1967</v>
      </c>
      <c r="C7144" s="2">
        <v>1091.8900000000001</v>
      </c>
      <c r="D7144" s="2">
        <f>HYPERLINK("http://mcb-m6.bioreg.kyushu-u.ac.jp/M3/20110414/F50948/3846/1", 54.02)</f>
        <v>54.02</v>
      </c>
      <c r="E7144" s="2">
        <v>44.26</v>
      </c>
      <c r="F7144" s="2">
        <v>2</v>
      </c>
      <c r="G7144" s="2" t="s">
        <v>12</v>
      </c>
    </row>
    <row r="7145" spans="1:9" x14ac:dyDescent="0.2">
      <c r="A7145" s="2" t="s">
        <v>3526</v>
      </c>
      <c r="B7145" s="2" t="s">
        <v>1967</v>
      </c>
      <c r="C7145" s="2">
        <v>1092.028</v>
      </c>
      <c r="D7145" s="2">
        <f>HYPERLINK("http://mcb-m6.bioreg.kyushu-u.ac.jp/M3/20110414/F50947/3755/1", 59.94)</f>
        <v>59.94</v>
      </c>
      <c r="E7145" s="2">
        <v>51.38</v>
      </c>
      <c r="F7145" s="2">
        <v>2</v>
      </c>
      <c r="G7145" s="2" t="s">
        <v>12</v>
      </c>
    </row>
    <row r="7146" spans="1:9" x14ac:dyDescent="0.2">
      <c r="A7146" s="2" t="s">
        <v>3526</v>
      </c>
      <c r="B7146" s="2" t="s">
        <v>1967</v>
      </c>
      <c r="C7146" s="2">
        <v>1092.075</v>
      </c>
      <c r="D7146" s="2">
        <f>HYPERLINK("http://mcb-m6.bioreg.kyushu-u.ac.jp/M3/20110414/F50948/3847/1", 67.11)</f>
        <v>67.11</v>
      </c>
      <c r="E7146" s="2">
        <v>55.29</v>
      </c>
      <c r="F7146" s="2">
        <v>2</v>
      </c>
      <c r="G7146" s="2" t="s">
        <v>12</v>
      </c>
    </row>
    <row r="7147" spans="1:9" x14ac:dyDescent="0.2">
      <c r="A7147" s="2" t="s">
        <v>3526</v>
      </c>
      <c r="B7147" s="2" t="s">
        <v>1967</v>
      </c>
      <c r="C7147" s="2">
        <v>1091.075</v>
      </c>
      <c r="D7147" s="2">
        <f>HYPERLINK("http://mcb-m6.bioreg.kyushu-u.ac.jp/M3/20110414/F50948/3841/1", 77.19)</f>
        <v>77.19</v>
      </c>
      <c r="E7147" s="2">
        <v>64.88</v>
      </c>
      <c r="F7147" s="2">
        <v>2</v>
      </c>
      <c r="G7147" s="2" t="s">
        <v>12</v>
      </c>
    </row>
    <row r="7148" spans="1:9" x14ac:dyDescent="0.2">
      <c r="A7148" s="2" t="s">
        <v>3526</v>
      </c>
      <c r="B7148" s="2" t="s">
        <v>1153</v>
      </c>
      <c r="C7148" s="2">
        <v>692.88710000000003</v>
      </c>
      <c r="D7148" s="2">
        <f>HYPERLINK("http://mcb-m6.bioreg.kyushu-u.ac.jp/M3/20110414/F50947/1626/1", 78.35)</f>
        <v>78.349999999999994</v>
      </c>
      <c r="E7148" s="2">
        <v>54.7</v>
      </c>
      <c r="F7148" s="2">
        <v>2</v>
      </c>
      <c r="G7148" s="2" t="s">
        <v>12</v>
      </c>
    </row>
    <row r="7149" spans="1:9" x14ac:dyDescent="0.2">
      <c r="A7149" s="2" t="s">
        <v>3526</v>
      </c>
      <c r="B7149" s="2" t="s">
        <v>371</v>
      </c>
      <c r="C7149" s="2">
        <v>1029.251</v>
      </c>
      <c r="D7149" s="2">
        <f>HYPERLINK("http://mcb-m6.bioreg.kyushu-u.ac.jp/M3/20110414/F50948/3662/1", 119)</f>
        <v>119</v>
      </c>
      <c r="E7149" s="2">
        <v>108.37</v>
      </c>
      <c r="F7149" s="2">
        <v>2</v>
      </c>
      <c r="G7149" s="2" t="s">
        <v>12</v>
      </c>
      <c r="I7149" s="2" t="s">
        <v>4922</v>
      </c>
    </row>
    <row r="7150" spans="1:9" x14ac:dyDescent="0.2">
      <c r="A7150" s="2" t="s">
        <v>3526</v>
      </c>
      <c r="B7150" s="2" t="s">
        <v>1153</v>
      </c>
      <c r="C7150" s="2">
        <v>692.43870000000004</v>
      </c>
      <c r="D7150" s="2">
        <f>HYPERLINK("http://mcb-m6.bioreg.kyushu-u.ac.jp/M3/20110502/F51171/1805/1", 82.24)</f>
        <v>82.24</v>
      </c>
      <c r="E7150" s="2">
        <v>58</v>
      </c>
      <c r="F7150" s="2">
        <v>2</v>
      </c>
      <c r="G7150" s="2" t="s">
        <v>13</v>
      </c>
    </row>
    <row r="7151" spans="1:9" x14ac:dyDescent="0.2">
      <c r="A7151" s="2" t="s">
        <v>3526</v>
      </c>
      <c r="B7151" s="2" t="s">
        <v>1740</v>
      </c>
      <c r="C7151" s="2">
        <v>688.79570000000001</v>
      </c>
      <c r="D7151" s="2">
        <f>HYPERLINK("http://mcb-m6.bioreg.kyushu-u.ac.jp/M3/20110502/F51183/1602/1", 60.39)</f>
        <v>60.39</v>
      </c>
      <c r="E7151" s="2">
        <v>34.229999999999997</v>
      </c>
      <c r="F7151" s="2">
        <v>2</v>
      </c>
      <c r="G7151" s="2" t="s">
        <v>14</v>
      </c>
      <c r="I7151" s="2" t="s">
        <v>4947</v>
      </c>
    </row>
    <row r="7152" spans="1:9" x14ac:dyDescent="0.2">
      <c r="A7152" s="2" t="s">
        <v>3526</v>
      </c>
      <c r="B7152" s="2" t="s">
        <v>1153</v>
      </c>
      <c r="C7152" s="2">
        <v>692.58759999999995</v>
      </c>
      <c r="D7152" s="2">
        <f>HYPERLINK("http://mcb-m6.bioreg.kyushu-u.ac.jp/M3/20110502/F51179/1506/1", 82.12)</f>
        <v>82.12</v>
      </c>
      <c r="E7152" s="2">
        <v>54.01</v>
      </c>
      <c r="F7152" s="2">
        <v>2</v>
      </c>
      <c r="G7152" s="2" t="s">
        <v>14</v>
      </c>
    </row>
    <row r="7153" spans="1:9" x14ac:dyDescent="0.2">
      <c r="A7153" s="2" t="s">
        <v>3526</v>
      </c>
      <c r="B7153" s="2" t="s">
        <v>371</v>
      </c>
      <c r="C7153" s="2">
        <v>1029.9580000000001</v>
      </c>
      <c r="D7153" s="2">
        <f>HYPERLINK("http://mcb-m6.bioreg.kyushu-u.ac.jp/M3/20110502/F51183/3201/1", 118.98)</f>
        <v>118.98</v>
      </c>
      <c r="E7153" s="2">
        <v>93.85</v>
      </c>
      <c r="F7153" s="2">
        <v>2</v>
      </c>
      <c r="G7153" s="2" t="s">
        <v>14</v>
      </c>
      <c r="I7153" s="2" t="s">
        <v>4922</v>
      </c>
    </row>
    <row r="7154" spans="1:9" x14ac:dyDescent="0.2">
      <c r="A7154" s="2" t="s">
        <v>4122</v>
      </c>
      <c r="B7154" s="2" t="s">
        <v>1630</v>
      </c>
      <c r="C7154" s="2">
        <v>1019.333</v>
      </c>
      <c r="D7154" s="2">
        <f>HYPERLINK("http://mcb-m6.bioreg.kyushu-u.ac.jp/M3/20110411/F50911/3444/1", 104.69)</f>
        <v>104.69</v>
      </c>
      <c r="E7154" s="2">
        <v>93.36</v>
      </c>
      <c r="F7154" s="2">
        <v>2</v>
      </c>
      <c r="G7154" s="2" t="s">
        <v>9</v>
      </c>
    </row>
    <row r="7155" spans="1:9" x14ac:dyDescent="0.2">
      <c r="A7155" s="2" t="s">
        <v>4122</v>
      </c>
      <c r="B7155" s="2" t="s">
        <v>1630</v>
      </c>
      <c r="C7155" s="2">
        <v>1018.764</v>
      </c>
      <c r="D7155" s="2">
        <f>HYPERLINK("http://mcb-m6.bioreg.kyushu-u.ac.jp/M3/20110414/F50943/3254/1", 37.54)</f>
        <v>37.54</v>
      </c>
      <c r="E7155" s="2">
        <v>30.09</v>
      </c>
      <c r="F7155" s="2">
        <v>2</v>
      </c>
      <c r="G7155" s="2" t="s">
        <v>11</v>
      </c>
    </row>
    <row r="7156" spans="1:9" x14ac:dyDescent="0.2">
      <c r="A7156" s="2" t="s">
        <v>4122</v>
      </c>
      <c r="B7156" s="2" t="s">
        <v>2322</v>
      </c>
      <c r="C7156" s="2">
        <v>470.12759999999997</v>
      </c>
      <c r="D7156" s="2">
        <f>HYPERLINK("http://mcb-m6.bioreg.kyushu-u.ac.jp/M3/20110414/F50942/723/1", 46.12)</f>
        <v>46.12</v>
      </c>
      <c r="E7156" s="2">
        <v>12.06</v>
      </c>
      <c r="F7156" s="2">
        <v>2</v>
      </c>
      <c r="G7156" s="2" t="s">
        <v>11</v>
      </c>
    </row>
    <row r="7157" spans="1:9" x14ac:dyDescent="0.2">
      <c r="A7157" s="2" t="s">
        <v>4122</v>
      </c>
      <c r="B7157" s="2" t="s">
        <v>1630</v>
      </c>
      <c r="C7157" s="2">
        <v>1018.807</v>
      </c>
      <c r="D7157" s="2">
        <f>HYPERLINK("http://mcb-m6.bioreg.kyushu-u.ac.jp/M3/20110414/F50942/3540/1", 68.97)</f>
        <v>68.97</v>
      </c>
      <c r="E7157" s="2">
        <v>57.07</v>
      </c>
      <c r="F7157" s="2">
        <v>2</v>
      </c>
      <c r="G7157" s="2" t="s">
        <v>11</v>
      </c>
    </row>
    <row r="7158" spans="1:9" x14ac:dyDescent="0.2">
      <c r="A7158" s="2" t="s">
        <v>4122</v>
      </c>
      <c r="B7158" s="2" t="s">
        <v>1630</v>
      </c>
      <c r="C7158" s="2">
        <v>1019.345</v>
      </c>
      <c r="D7158" s="2">
        <f>HYPERLINK("http://mcb-m6.bioreg.kyushu-u.ac.jp/M3/20110414/F50942/3545/1", 84.93)</f>
        <v>84.93</v>
      </c>
      <c r="E7158" s="2">
        <v>76.14</v>
      </c>
      <c r="F7158" s="2">
        <v>2</v>
      </c>
      <c r="G7158" s="2" t="s">
        <v>11</v>
      </c>
    </row>
    <row r="7159" spans="1:9" x14ac:dyDescent="0.2">
      <c r="A7159" s="2" t="s">
        <v>4122</v>
      </c>
      <c r="B7159" s="2" t="s">
        <v>2322</v>
      </c>
      <c r="C7159" s="2">
        <v>470.52010000000001</v>
      </c>
      <c r="D7159" s="2">
        <f>HYPERLINK("http://mcb-m6.bioreg.kyushu-u.ac.jp/M3/20110502/F51171/942/1", 53.67)</f>
        <v>53.67</v>
      </c>
      <c r="E7159" s="2">
        <v>18.059999999999999</v>
      </c>
      <c r="F7159" s="2">
        <v>2</v>
      </c>
      <c r="G7159" s="2" t="s">
        <v>13</v>
      </c>
    </row>
    <row r="7160" spans="1:9" x14ac:dyDescent="0.2">
      <c r="A7160" s="2" t="s">
        <v>4122</v>
      </c>
      <c r="B7160" s="2" t="s">
        <v>1630</v>
      </c>
      <c r="C7160" s="2">
        <v>1019.424</v>
      </c>
      <c r="D7160" s="2">
        <f>HYPERLINK("http://mcb-m6.bioreg.kyushu-u.ac.jp/M3/20110502/F51171/3012/1", 81.66)</f>
        <v>81.66</v>
      </c>
      <c r="E7160" s="2">
        <v>68.47</v>
      </c>
      <c r="F7160" s="2">
        <v>2</v>
      </c>
      <c r="G7160" s="2" t="s">
        <v>13</v>
      </c>
    </row>
    <row r="7161" spans="1:9" x14ac:dyDescent="0.2">
      <c r="A7161" s="2" t="s">
        <v>4122</v>
      </c>
      <c r="B7161" s="2" t="s">
        <v>1630</v>
      </c>
      <c r="C7161" s="2">
        <v>1018.895</v>
      </c>
      <c r="D7161" s="2">
        <f>HYPERLINK("http://mcb-m6.bioreg.kyushu-u.ac.jp/M3/20110502/F51171/3010/1", 104.31)</f>
        <v>104.31</v>
      </c>
      <c r="E7161" s="2">
        <v>92.67</v>
      </c>
      <c r="F7161" s="2">
        <v>2</v>
      </c>
      <c r="G7161" s="2" t="s">
        <v>13</v>
      </c>
    </row>
    <row r="7162" spans="1:9" x14ac:dyDescent="0.2">
      <c r="A7162" s="2" t="s">
        <v>3823</v>
      </c>
      <c r="B7162" s="2" t="s">
        <v>894</v>
      </c>
      <c r="C7162" s="2">
        <v>855.25710000000004</v>
      </c>
      <c r="D7162" s="2">
        <f>HYPERLINK("http://mcb-m6.bioreg.kyushu-u.ac.jp/M3/20110411/F50904/2553/1", 54.88)</f>
        <v>54.88</v>
      </c>
      <c r="E7162" s="2">
        <v>37.090000000000003</v>
      </c>
      <c r="F7162" s="2">
        <v>2</v>
      </c>
      <c r="G7162" s="2" t="s">
        <v>9</v>
      </c>
    </row>
    <row r="7163" spans="1:9" x14ac:dyDescent="0.2">
      <c r="A7163" s="2" t="s">
        <v>3823</v>
      </c>
      <c r="B7163" s="2" t="s">
        <v>894</v>
      </c>
      <c r="C7163" s="2">
        <v>855.00070000000005</v>
      </c>
      <c r="D7163" s="2">
        <f>HYPERLINK("http://mcb-m6.bioreg.kyushu-u.ac.jp/M3/20110411/F50912/2565/1", 40.25)</f>
        <v>40.25</v>
      </c>
      <c r="E7163" s="2">
        <v>21.58</v>
      </c>
      <c r="F7163" s="2">
        <v>2</v>
      </c>
      <c r="G7163" s="2" t="s">
        <v>10</v>
      </c>
    </row>
    <row r="7164" spans="1:9" x14ac:dyDescent="0.2">
      <c r="A7164" s="2" t="s">
        <v>3751</v>
      </c>
      <c r="B7164" s="2" t="s">
        <v>761</v>
      </c>
      <c r="C7164" s="2">
        <v>783.67769999999996</v>
      </c>
      <c r="D7164" s="2">
        <f>HYPERLINK("http://mcb-m6.bioreg.kyushu-u.ac.jp/M3/20110411/F50904/2254/1", 50.37)</f>
        <v>50.37</v>
      </c>
      <c r="E7164" s="2">
        <v>29.88</v>
      </c>
      <c r="F7164" s="2">
        <v>2</v>
      </c>
      <c r="G7164" s="2" t="s">
        <v>9</v>
      </c>
    </row>
    <row r="7165" spans="1:9" x14ac:dyDescent="0.2">
      <c r="A7165" s="2" t="s">
        <v>3751</v>
      </c>
      <c r="B7165" s="2" t="s">
        <v>761</v>
      </c>
      <c r="C7165" s="2">
        <v>783.62919999999997</v>
      </c>
      <c r="D7165" s="2">
        <f>HYPERLINK("http://mcb-m6.bioreg.kyushu-u.ac.jp/M3/20110411/F50912/2254/1", 56.13)</f>
        <v>56.13</v>
      </c>
      <c r="E7165" s="2">
        <v>36.119999999999997</v>
      </c>
      <c r="F7165" s="2">
        <v>2</v>
      </c>
      <c r="G7165" s="2" t="s">
        <v>10</v>
      </c>
    </row>
    <row r="7166" spans="1:9" x14ac:dyDescent="0.2">
      <c r="A7166" s="2" t="s">
        <v>4506</v>
      </c>
      <c r="B7166" s="2" t="s">
        <v>2509</v>
      </c>
      <c r="C7166" s="2">
        <v>847.23720000000003</v>
      </c>
      <c r="D7166" s="2">
        <f>HYPERLINK("http://mcb-m6.bioreg.kyushu-u.ac.jp/M3/20110414/F50924/2593/1", 97.97)</f>
        <v>97.97</v>
      </c>
      <c r="E7166" s="2">
        <v>80.680000000000007</v>
      </c>
      <c r="F7166" s="2">
        <v>2</v>
      </c>
      <c r="G7166" s="2" t="s">
        <v>11</v>
      </c>
      <c r="I7166" s="2" t="s">
        <v>4923</v>
      </c>
    </row>
    <row r="7167" spans="1:9" x14ac:dyDescent="0.2">
      <c r="A7167" s="2" t="s">
        <v>3927</v>
      </c>
      <c r="B7167" s="2" t="s">
        <v>1105</v>
      </c>
      <c r="C7167" s="2">
        <v>866.06569999999999</v>
      </c>
      <c r="D7167" s="2">
        <f>HYPERLINK("http://mcb-m6.bioreg.kyushu-u.ac.jp/M3/20110411/F50903/2595/1", 63.32)</f>
        <v>63.32</v>
      </c>
      <c r="E7167" s="2">
        <v>43.93</v>
      </c>
      <c r="F7167" s="2">
        <v>2</v>
      </c>
      <c r="G7167" s="2" t="s">
        <v>9</v>
      </c>
    </row>
    <row r="7168" spans="1:9" x14ac:dyDescent="0.2">
      <c r="A7168" s="2" t="s">
        <v>4621</v>
      </c>
      <c r="B7168" s="2" t="s">
        <v>2748</v>
      </c>
      <c r="C7168" s="2">
        <v>646.2242</v>
      </c>
      <c r="D7168" s="2">
        <f>HYPERLINK("http://mcb-m6.bioreg.kyushu-u.ac.jp/M3/20110414/F50963/1342/1", 75.09)</f>
        <v>75.09</v>
      </c>
      <c r="E7168" s="2">
        <v>55.64</v>
      </c>
      <c r="F7168" s="2">
        <v>2</v>
      </c>
      <c r="G7168" s="2" t="s">
        <v>12</v>
      </c>
    </row>
    <row r="7169" spans="1:9" x14ac:dyDescent="0.2">
      <c r="A7169" s="2" t="s">
        <v>4873</v>
      </c>
      <c r="B7169" s="2" t="s">
        <v>3183</v>
      </c>
      <c r="C7169" s="2">
        <v>629.53219999999999</v>
      </c>
      <c r="D7169" s="2">
        <f>HYPERLINK("http://mcb-m6.bioreg.kyushu-u.ac.jp/M3/20110502/F51177/1202/1", 63.87)</f>
        <v>63.87</v>
      </c>
      <c r="E7169" s="2">
        <v>28.97</v>
      </c>
      <c r="F7169" s="2">
        <v>2</v>
      </c>
      <c r="G7169" s="2" t="s">
        <v>14</v>
      </c>
    </row>
    <row r="7170" spans="1:9" x14ac:dyDescent="0.2">
      <c r="A7170" s="2" t="s">
        <v>4756</v>
      </c>
      <c r="B7170" s="2" t="s">
        <v>2983</v>
      </c>
      <c r="C7170" s="2">
        <v>528.45119999999997</v>
      </c>
      <c r="D7170" s="2">
        <f>HYPERLINK("http://mcb-m6.bioreg.kyushu-u.ac.jp/M3/20110502/F51177/766/1", 36.14)</f>
        <v>36.14</v>
      </c>
      <c r="E7170" s="2">
        <v>8.91</v>
      </c>
      <c r="F7170" s="2">
        <v>2</v>
      </c>
      <c r="G7170" s="2" t="s">
        <v>14</v>
      </c>
    </row>
    <row r="7171" spans="1:9" x14ac:dyDescent="0.2">
      <c r="A7171" s="2" t="s">
        <v>3302</v>
      </c>
      <c r="B7171" s="2" t="s">
        <v>83</v>
      </c>
      <c r="C7171" s="2">
        <v>679.63369999999998</v>
      </c>
      <c r="D7171" s="2">
        <f>HYPERLINK("http://mcb-m6.bioreg.kyushu-u.ac.jp/M3/20110411/F50895/1763/1", 35.79)</f>
        <v>35.79</v>
      </c>
      <c r="E7171" s="2">
        <v>10.88</v>
      </c>
      <c r="F7171" s="2">
        <v>2</v>
      </c>
      <c r="G7171" s="2" t="s">
        <v>9</v>
      </c>
    </row>
    <row r="7172" spans="1:9" x14ac:dyDescent="0.2">
      <c r="A7172" s="2" t="s">
        <v>3302</v>
      </c>
      <c r="B7172" s="2" t="s">
        <v>83</v>
      </c>
      <c r="C7172" s="2">
        <v>670.94619999999998</v>
      </c>
      <c r="D7172" s="2">
        <f>HYPERLINK("http://mcb-m6.bioreg.kyushu-u.ac.jp/M3/20110411/F50891/1707/1", 44.48)</f>
        <v>44.48</v>
      </c>
      <c r="E7172" s="2">
        <v>26.82</v>
      </c>
      <c r="F7172" s="2">
        <v>2</v>
      </c>
      <c r="G7172" s="2" t="s">
        <v>9</v>
      </c>
      <c r="H7172" s="2" t="s">
        <v>4904</v>
      </c>
    </row>
    <row r="7173" spans="1:9" x14ac:dyDescent="0.2">
      <c r="A7173" s="2" t="s">
        <v>3302</v>
      </c>
      <c r="B7173" s="2" t="s">
        <v>83</v>
      </c>
      <c r="C7173" s="2">
        <v>671.12070000000006</v>
      </c>
      <c r="D7173" s="2">
        <f>HYPERLINK("http://mcb-m6.bioreg.kyushu-u.ac.jp/M3/20110411/F50905/1660/1", 47.57)</f>
        <v>47.57</v>
      </c>
      <c r="E7173" s="2">
        <v>30.31</v>
      </c>
      <c r="F7173" s="2">
        <v>2</v>
      </c>
      <c r="G7173" s="2" t="s">
        <v>9</v>
      </c>
      <c r="H7173" s="2" t="s">
        <v>4904</v>
      </c>
    </row>
    <row r="7174" spans="1:9" x14ac:dyDescent="0.2">
      <c r="A7174" s="2" t="s">
        <v>3302</v>
      </c>
      <c r="B7174" s="2" t="s">
        <v>83</v>
      </c>
      <c r="C7174" s="2">
        <v>671.14170000000001</v>
      </c>
      <c r="D7174" s="2">
        <f>HYPERLINK("http://mcb-m6.bioreg.kyushu-u.ac.jp/M3/20110411/F50895/1725/1", 48.24)</f>
        <v>48.24</v>
      </c>
      <c r="E7174" s="2">
        <v>28.56</v>
      </c>
      <c r="F7174" s="2">
        <v>2</v>
      </c>
      <c r="G7174" s="2" t="s">
        <v>9</v>
      </c>
      <c r="H7174" s="2" t="s">
        <v>4904</v>
      </c>
    </row>
    <row r="7175" spans="1:9" x14ac:dyDescent="0.2">
      <c r="A7175" s="2" t="s">
        <v>3302</v>
      </c>
      <c r="B7175" s="2" t="s">
        <v>1107</v>
      </c>
      <c r="C7175" s="2">
        <v>601.84860000000003</v>
      </c>
      <c r="D7175" s="2">
        <f>HYPERLINK("http://mcb-m6.bioreg.kyushu-u.ac.jp/M3/20110411/F50895/1446/1", 63.44)</f>
        <v>63.44</v>
      </c>
      <c r="E7175" s="2">
        <v>37.200000000000003</v>
      </c>
      <c r="F7175" s="2">
        <v>2</v>
      </c>
      <c r="G7175" s="2" t="s">
        <v>9</v>
      </c>
    </row>
    <row r="7176" spans="1:9" x14ac:dyDescent="0.2">
      <c r="A7176" s="2" t="s">
        <v>3302</v>
      </c>
      <c r="B7176" s="2" t="s">
        <v>83</v>
      </c>
      <c r="C7176" s="2">
        <v>670.5172</v>
      </c>
      <c r="D7176" s="2">
        <f>HYPERLINK("http://mcb-m6.bioreg.kyushu-u.ac.jp/M3/20110411/F50913/1654/1", 39.59)</f>
        <v>39.590000000000003</v>
      </c>
      <c r="E7176" s="2">
        <v>15.95</v>
      </c>
      <c r="F7176" s="2">
        <v>2</v>
      </c>
      <c r="G7176" s="2" t="s">
        <v>10</v>
      </c>
      <c r="H7176" s="2" t="s">
        <v>4904</v>
      </c>
    </row>
    <row r="7177" spans="1:9" x14ac:dyDescent="0.2">
      <c r="A7177" s="2" t="s">
        <v>3302</v>
      </c>
      <c r="B7177" s="2" t="s">
        <v>83</v>
      </c>
      <c r="C7177" s="2">
        <v>671.00869999999998</v>
      </c>
      <c r="D7177" s="2">
        <f>HYPERLINK("http://mcb-m6.bioreg.kyushu-u.ac.jp/M3/20110411/F50920/1223/1", 55.28)</f>
        <v>55.28</v>
      </c>
      <c r="E7177" s="2">
        <v>34.86</v>
      </c>
      <c r="F7177" s="2">
        <v>2</v>
      </c>
      <c r="G7177" s="2" t="s">
        <v>10</v>
      </c>
      <c r="H7177" s="2" t="s">
        <v>4904</v>
      </c>
    </row>
    <row r="7178" spans="1:9" x14ac:dyDescent="0.2">
      <c r="A7178" s="2" t="s">
        <v>3302</v>
      </c>
      <c r="B7178" s="2" t="s">
        <v>83</v>
      </c>
      <c r="C7178" s="2">
        <v>670.71259999999995</v>
      </c>
      <c r="D7178" s="2">
        <f>HYPERLINK("http://mcb-m6.bioreg.kyushu-u.ac.jp/M3/20110414/F50950/1715/1", 37.17)</f>
        <v>37.17</v>
      </c>
      <c r="E7178" s="2">
        <v>15.36</v>
      </c>
      <c r="F7178" s="2">
        <v>2</v>
      </c>
      <c r="G7178" s="2" t="s">
        <v>12</v>
      </c>
      <c r="H7178" s="2" t="s">
        <v>4904</v>
      </c>
    </row>
    <row r="7179" spans="1:9" x14ac:dyDescent="0.2">
      <c r="A7179" s="2" t="s">
        <v>3302</v>
      </c>
      <c r="B7179" s="2" t="s">
        <v>83</v>
      </c>
      <c r="C7179" s="2">
        <v>671.09559999999999</v>
      </c>
      <c r="D7179" s="2">
        <f>HYPERLINK("http://mcb-m6.bioreg.kyushu-u.ac.jp/M3/20110502/F51178/1777/1", 40.11)</f>
        <v>40.11</v>
      </c>
      <c r="E7179" s="2">
        <v>16.829999999999998</v>
      </c>
      <c r="F7179" s="2">
        <v>2</v>
      </c>
      <c r="G7179" s="2" t="s">
        <v>14</v>
      </c>
      <c r="H7179" s="2" t="s">
        <v>4904</v>
      </c>
    </row>
    <row r="7180" spans="1:9" x14ac:dyDescent="0.2">
      <c r="A7180" s="2" t="s">
        <v>3302</v>
      </c>
      <c r="B7180" s="2" t="s">
        <v>1107</v>
      </c>
      <c r="C7180" s="2">
        <v>1184.8</v>
      </c>
      <c r="D7180" s="2">
        <f>HYPERLINK("http://mcb-m6.bioreg.kyushu-u.ac.jp/M3/20110502/F51177/1062/1", 50.86)</f>
        <v>50.86</v>
      </c>
      <c r="E7180" s="2">
        <v>27.29</v>
      </c>
      <c r="F7180" s="2">
        <v>1</v>
      </c>
      <c r="G7180" s="2" t="s">
        <v>14</v>
      </c>
      <c r="H7180" s="2" t="s">
        <v>4904</v>
      </c>
    </row>
    <row r="7181" spans="1:9" x14ac:dyDescent="0.2">
      <c r="A7181" s="2" t="s">
        <v>3302</v>
      </c>
      <c r="B7181" s="2" t="s">
        <v>1107</v>
      </c>
      <c r="C7181" s="2">
        <v>601.69269999999995</v>
      </c>
      <c r="D7181" s="2">
        <f>HYPERLINK("http://mcb-m6.bioreg.kyushu-u.ac.jp/M3/20110502/F51177/1113/1", 74.2)</f>
        <v>74.2</v>
      </c>
      <c r="E7181" s="2">
        <v>36.68</v>
      </c>
      <c r="F7181" s="2">
        <v>2</v>
      </c>
      <c r="G7181" s="2" t="s">
        <v>14</v>
      </c>
    </row>
    <row r="7182" spans="1:9" x14ac:dyDescent="0.2">
      <c r="A7182" s="2" t="s">
        <v>4344</v>
      </c>
      <c r="B7182" s="2" t="s">
        <v>2159</v>
      </c>
      <c r="C7182" s="2">
        <v>664.30160000000001</v>
      </c>
      <c r="D7182" s="2">
        <f>HYPERLINK("http://mcb-m6.bioreg.kyushu-u.ac.jp/M3/20110414/F50956/1402/1", 35.35)</f>
        <v>35.35</v>
      </c>
      <c r="E7182" s="2">
        <v>11.09</v>
      </c>
      <c r="F7182" s="2">
        <v>2</v>
      </c>
      <c r="G7182" s="2" t="s">
        <v>11</v>
      </c>
      <c r="H7182" s="2" t="s">
        <v>4896</v>
      </c>
    </row>
    <row r="7183" spans="1:9" x14ac:dyDescent="0.2">
      <c r="A7183" s="2" t="s">
        <v>3419</v>
      </c>
      <c r="B7183" s="2" t="s">
        <v>221</v>
      </c>
      <c r="C7183" s="2">
        <v>465.32209999999998</v>
      </c>
      <c r="D7183" s="2">
        <f>HYPERLINK("http://mcb-m6.bioreg.kyushu-u.ac.jp/M3/20110411/F50905/852/1", 38.04)</f>
        <v>38.04</v>
      </c>
      <c r="E7183" s="2">
        <v>11.45</v>
      </c>
      <c r="F7183" s="2">
        <v>2</v>
      </c>
      <c r="G7183" s="2" t="s">
        <v>9</v>
      </c>
      <c r="I7183" s="2" t="s">
        <v>4903</v>
      </c>
    </row>
    <row r="7184" spans="1:9" x14ac:dyDescent="0.2">
      <c r="A7184" s="2" t="s">
        <v>3419</v>
      </c>
      <c r="B7184" s="2" t="s">
        <v>1316</v>
      </c>
      <c r="C7184" s="2">
        <v>569.46870000000001</v>
      </c>
      <c r="D7184" s="2">
        <f>HYPERLINK("http://mcb-m6.bioreg.kyushu-u.ac.jp/M3/20110411/F50904/1332/1", 72.59)</f>
        <v>72.59</v>
      </c>
      <c r="E7184" s="2">
        <v>52.48</v>
      </c>
      <c r="F7184" s="2">
        <v>2</v>
      </c>
      <c r="G7184" s="2" t="s">
        <v>9</v>
      </c>
    </row>
    <row r="7185" spans="1:9" x14ac:dyDescent="0.2">
      <c r="A7185" s="2" t="s">
        <v>3419</v>
      </c>
      <c r="B7185" s="2" t="s">
        <v>1361</v>
      </c>
      <c r="C7185" s="2">
        <v>865.54769999999996</v>
      </c>
      <c r="D7185" s="2">
        <f>HYPERLINK("http://mcb-m6.bioreg.kyushu-u.ac.jp/M3/20110411/F50904/2591/1", 75.27)</f>
        <v>75.27</v>
      </c>
      <c r="E7185" s="2">
        <v>60.81</v>
      </c>
      <c r="F7185" s="2">
        <v>2</v>
      </c>
      <c r="G7185" s="2" t="s">
        <v>9</v>
      </c>
      <c r="I7185" s="2" t="s">
        <v>4923</v>
      </c>
    </row>
    <row r="7186" spans="1:9" x14ac:dyDescent="0.2">
      <c r="A7186" s="2" t="s">
        <v>3419</v>
      </c>
      <c r="B7186" s="2" t="s">
        <v>1538</v>
      </c>
      <c r="C7186" s="2">
        <v>669.44920000000002</v>
      </c>
      <c r="D7186" s="2">
        <f>HYPERLINK("http://mcb-m6.bioreg.kyushu-u.ac.jp/M3/20110411/F50904/1686/1", 89.94)</f>
        <v>89.94</v>
      </c>
      <c r="E7186" s="2">
        <v>66.53</v>
      </c>
      <c r="F7186" s="2">
        <v>2</v>
      </c>
      <c r="G7186" s="2" t="s">
        <v>9</v>
      </c>
      <c r="I7186" s="2" t="s">
        <v>4902</v>
      </c>
    </row>
    <row r="7187" spans="1:9" x14ac:dyDescent="0.2">
      <c r="A7187" s="2" t="s">
        <v>3419</v>
      </c>
      <c r="B7187" s="2" t="s">
        <v>1886</v>
      </c>
      <c r="C7187" s="2">
        <v>932.51509999999996</v>
      </c>
      <c r="D7187" s="2">
        <f>HYPERLINK("http://mcb-m6.bioreg.kyushu-u.ac.jp/M3/20110411/F50912/2917/1", 46.77)</f>
        <v>46.77</v>
      </c>
      <c r="E7187" s="2">
        <v>24.34</v>
      </c>
      <c r="F7187" s="2">
        <v>2</v>
      </c>
      <c r="G7187" s="2" t="s">
        <v>10</v>
      </c>
    </row>
    <row r="7188" spans="1:9" x14ac:dyDescent="0.2">
      <c r="A7188" s="2" t="s">
        <v>3419</v>
      </c>
      <c r="B7188" s="2" t="s">
        <v>1931</v>
      </c>
      <c r="C7188" s="2">
        <v>597.52670000000001</v>
      </c>
      <c r="D7188" s="2">
        <f>HYPERLINK("http://mcb-m6.bioreg.kyushu-u.ac.jp/M3/20110411/F50912/1422/1", 50.91)</f>
        <v>50.91</v>
      </c>
      <c r="E7188" s="2">
        <v>29.17</v>
      </c>
      <c r="F7188" s="2">
        <v>2</v>
      </c>
      <c r="G7188" s="2" t="s">
        <v>10</v>
      </c>
    </row>
    <row r="7189" spans="1:9" x14ac:dyDescent="0.2">
      <c r="A7189" s="2" t="s">
        <v>3419</v>
      </c>
      <c r="B7189" s="2" t="s">
        <v>1316</v>
      </c>
      <c r="C7189" s="2">
        <v>569.46119999999996</v>
      </c>
      <c r="D7189" s="2">
        <f>HYPERLINK("http://mcb-m6.bioreg.kyushu-u.ac.jp/M3/20110411/F50912/1307/1", 63.71)</f>
        <v>63.71</v>
      </c>
      <c r="E7189" s="2">
        <v>32.47</v>
      </c>
      <c r="F7189" s="2">
        <v>2</v>
      </c>
      <c r="G7189" s="2" t="s">
        <v>10</v>
      </c>
    </row>
    <row r="7190" spans="1:9" x14ac:dyDescent="0.2">
      <c r="A7190" s="2" t="s">
        <v>3419</v>
      </c>
      <c r="B7190" s="2" t="s">
        <v>1316</v>
      </c>
      <c r="C7190" s="2">
        <v>569.2097</v>
      </c>
      <c r="D7190" s="2">
        <f>HYPERLINK("http://mcb-m6.bioreg.kyushu-u.ac.jp/M3/20110414/F50941/1185/1", 58.39)</f>
        <v>58.39</v>
      </c>
      <c r="E7190" s="2">
        <v>43.73</v>
      </c>
      <c r="F7190" s="2">
        <v>2</v>
      </c>
      <c r="G7190" s="2" t="s">
        <v>11</v>
      </c>
    </row>
    <row r="7191" spans="1:9" x14ac:dyDescent="0.2">
      <c r="A7191" s="2" t="s">
        <v>3697</v>
      </c>
      <c r="B7191" s="2" t="s">
        <v>670</v>
      </c>
      <c r="C7191" s="2">
        <v>460.28210000000001</v>
      </c>
      <c r="D7191" s="2">
        <f>HYPERLINK("http://mcb-m6.bioreg.kyushu-u.ac.jp/M3/20110411/F50890/936/1", 47.84)</f>
        <v>47.84</v>
      </c>
      <c r="E7191" s="2">
        <v>24.17</v>
      </c>
      <c r="F7191" s="2">
        <v>2</v>
      </c>
      <c r="G7191" s="2" t="s">
        <v>9</v>
      </c>
    </row>
    <row r="7192" spans="1:9" x14ac:dyDescent="0.2">
      <c r="A7192" s="2" t="s">
        <v>3697</v>
      </c>
      <c r="B7192" s="2" t="s">
        <v>670</v>
      </c>
      <c r="C7192" s="2">
        <v>919.61699999999996</v>
      </c>
      <c r="D7192" s="2">
        <f>HYPERLINK("http://mcb-m6.bioreg.kyushu-u.ac.jp/M3/20110411/F50897/814/1", 43.8)</f>
        <v>43.8</v>
      </c>
      <c r="E7192" s="2">
        <v>16.190000000000001</v>
      </c>
      <c r="F7192" s="2">
        <v>1</v>
      </c>
      <c r="G7192" s="2" t="s">
        <v>10</v>
      </c>
    </row>
    <row r="7193" spans="1:9" x14ac:dyDescent="0.2">
      <c r="A7193" s="2" t="s">
        <v>3674</v>
      </c>
      <c r="B7193" s="2" t="s">
        <v>622</v>
      </c>
      <c r="C7193" s="2">
        <v>979.83619999999996</v>
      </c>
      <c r="D7193" s="2">
        <f>HYPERLINK("http://mcb-m6.bioreg.kyushu-u.ac.jp/M3/20110411/F50905/3190/1", 46.42)</f>
        <v>46.42</v>
      </c>
      <c r="E7193" s="2">
        <v>32.39</v>
      </c>
      <c r="F7193" s="2">
        <v>2</v>
      </c>
      <c r="G7193" s="2" t="s">
        <v>9</v>
      </c>
    </row>
    <row r="7194" spans="1:9" x14ac:dyDescent="0.2">
      <c r="A7194" s="2" t="s">
        <v>3674</v>
      </c>
      <c r="B7194" s="2" t="s">
        <v>861</v>
      </c>
      <c r="C7194" s="2">
        <v>1043.5940000000001</v>
      </c>
      <c r="D7194" s="2">
        <f>HYPERLINK("http://mcb-m6.bioreg.kyushu-u.ac.jp/M3/20110411/F50905/3427/1", 53.79)</f>
        <v>53.79</v>
      </c>
      <c r="E7194" s="2">
        <v>46.78</v>
      </c>
      <c r="F7194" s="2">
        <v>2</v>
      </c>
      <c r="G7194" s="2" t="s">
        <v>9</v>
      </c>
    </row>
    <row r="7195" spans="1:9" x14ac:dyDescent="0.2">
      <c r="A7195" s="2" t="s">
        <v>3466</v>
      </c>
      <c r="B7195" s="2" t="s">
        <v>277</v>
      </c>
      <c r="C7195" s="2">
        <v>1138.7349999999999</v>
      </c>
      <c r="D7195" s="2">
        <f>HYPERLINK("http://mcb-m6.bioreg.kyushu-u.ac.jp/M3/20110411/F50911/3820/1", 38.9)</f>
        <v>38.9</v>
      </c>
      <c r="E7195" s="2">
        <v>33.1</v>
      </c>
      <c r="F7195" s="2">
        <v>2</v>
      </c>
      <c r="G7195" s="2" t="s">
        <v>9</v>
      </c>
    </row>
    <row r="7196" spans="1:9" x14ac:dyDescent="0.2">
      <c r="A7196" s="2" t="s">
        <v>3466</v>
      </c>
      <c r="B7196" s="2" t="s">
        <v>961</v>
      </c>
      <c r="C7196" s="2">
        <v>949.65419999999995</v>
      </c>
      <c r="D7196" s="2">
        <f>HYPERLINK("http://mcb-m6.bioreg.kyushu-u.ac.jp/M3/20110411/F50905/3075/1", 57.05)</f>
        <v>57.05</v>
      </c>
      <c r="E7196" s="2">
        <v>41.47</v>
      </c>
      <c r="F7196" s="2">
        <v>2</v>
      </c>
      <c r="G7196" s="2" t="s">
        <v>9</v>
      </c>
      <c r="I7196" s="2" t="s">
        <v>4924</v>
      </c>
    </row>
    <row r="7197" spans="1:9" x14ac:dyDescent="0.2">
      <c r="A7197" s="2" t="s">
        <v>3466</v>
      </c>
      <c r="B7197" s="2" t="s">
        <v>985</v>
      </c>
      <c r="C7197" s="2">
        <v>716.54610000000002</v>
      </c>
      <c r="D7197" s="2">
        <f>HYPERLINK("http://mcb-m6.bioreg.kyushu-u.ac.jp/M3/20110411/F50905/1893/1", 57.92)</f>
        <v>57.92</v>
      </c>
      <c r="E7197" s="2">
        <v>39.69</v>
      </c>
      <c r="F7197" s="2">
        <v>2</v>
      </c>
      <c r="G7197" s="2" t="s">
        <v>9</v>
      </c>
    </row>
    <row r="7198" spans="1:9" x14ac:dyDescent="0.2">
      <c r="A7198" s="2" t="s">
        <v>3466</v>
      </c>
      <c r="B7198" s="2" t="s">
        <v>961</v>
      </c>
      <c r="C7198" s="2">
        <v>949.58370000000002</v>
      </c>
      <c r="D7198" s="2">
        <f>HYPERLINK("http://mcb-m6.bioreg.kyushu-u.ac.jp/M3/20110411/F50913/3005/1", 102.32)</f>
        <v>102.32</v>
      </c>
      <c r="E7198" s="2">
        <v>88.85</v>
      </c>
      <c r="F7198" s="2">
        <v>2</v>
      </c>
      <c r="G7198" s="2" t="s">
        <v>10</v>
      </c>
      <c r="I7198" s="2" t="s">
        <v>4924</v>
      </c>
    </row>
    <row r="7199" spans="1:9" x14ac:dyDescent="0.2">
      <c r="A7199" s="2" t="s">
        <v>3466</v>
      </c>
      <c r="B7199" s="2" t="s">
        <v>277</v>
      </c>
      <c r="C7199" s="2">
        <v>1138.1790000000001</v>
      </c>
      <c r="D7199" s="2">
        <f>HYPERLINK("http://mcb-m6.bioreg.kyushu-u.ac.jp/M3/20110411/F50913/3543/1", 117.05)</f>
        <v>117.05</v>
      </c>
      <c r="E7199" s="2">
        <v>112.75</v>
      </c>
      <c r="F7199" s="2">
        <v>2</v>
      </c>
      <c r="G7199" s="2" t="s">
        <v>10</v>
      </c>
    </row>
    <row r="7200" spans="1:9" x14ac:dyDescent="0.2">
      <c r="A7200" s="2" t="s">
        <v>3466</v>
      </c>
      <c r="B7200" s="2" t="s">
        <v>961</v>
      </c>
      <c r="C7200" s="2">
        <v>949.22019999999998</v>
      </c>
      <c r="D7200" s="2">
        <f>HYPERLINK("http://mcb-m6.bioreg.kyushu-u.ac.jp/M3/20110414/F50941/3233/1", 100.49)</f>
        <v>100.49</v>
      </c>
      <c r="E7200" s="2">
        <v>86.78</v>
      </c>
      <c r="F7200" s="2">
        <v>2</v>
      </c>
      <c r="G7200" s="2" t="s">
        <v>11</v>
      </c>
      <c r="I7200" s="2" t="s">
        <v>4924</v>
      </c>
    </row>
    <row r="7201" spans="1:9" x14ac:dyDescent="0.2">
      <c r="A7201" s="2" t="s">
        <v>3466</v>
      </c>
      <c r="B7201" s="2" t="s">
        <v>961</v>
      </c>
      <c r="C7201" s="2">
        <v>949.31920000000002</v>
      </c>
      <c r="D7201" s="2">
        <f>HYPERLINK("http://mcb-m6.bioreg.kyushu-u.ac.jp/M3/20110414/F50947/3209/1", 61.86)</f>
        <v>61.86</v>
      </c>
      <c r="E7201" s="2">
        <v>57.36</v>
      </c>
      <c r="F7201" s="2">
        <v>2</v>
      </c>
      <c r="G7201" s="2" t="s">
        <v>12</v>
      </c>
      <c r="I7201" s="2" t="s">
        <v>4924</v>
      </c>
    </row>
    <row r="7202" spans="1:9" x14ac:dyDescent="0.2">
      <c r="A7202" s="2" t="s">
        <v>3466</v>
      </c>
      <c r="B7202" s="2" t="s">
        <v>961</v>
      </c>
      <c r="C7202" s="2">
        <v>949.92409999999995</v>
      </c>
      <c r="D7202" s="2">
        <f>HYPERLINK("http://mcb-m6.bioreg.kyushu-u.ac.jp/M3/20110414/F50947/3214/1", 88.98)</f>
        <v>88.98</v>
      </c>
      <c r="E7202" s="2">
        <v>30.24</v>
      </c>
      <c r="F7202" s="2">
        <v>2</v>
      </c>
      <c r="G7202" s="2" t="s">
        <v>12</v>
      </c>
      <c r="I7202" s="2" t="s">
        <v>4924</v>
      </c>
    </row>
    <row r="7203" spans="1:9" x14ac:dyDescent="0.2">
      <c r="A7203" s="2" t="s">
        <v>3466</v>
      </c>
      <c r="B7203" s="2" t="s">
        <v>277</v>
      </c>
      <c r="C7203" s="2">
        <v>1138.4770000000001</v>
      </c>
      <c r="D7203" s="2">
        <f>HYPERLINK("http://mcb-m6.bioreg.kyushu-u.ac.jp/M3/20110414/F50947/3974/1", 101.01)</f>
        <v>101.01</v>
      </c>
      <c r="E7203" s="2">
        <v>94.48</v>
      </c>
      <c r="F7203" s="2">
        <v>2</v>
      </c>
      <c r="G7203" s="2" t="s">
        <v>12</v>
      </c>
    </row>
    <row r="7204" spans="1:9" x14ac:dyDescent="0.2">
      <c r="A7204" s="2" t="s">
        <v>3466</v>
      </c>
      <c r="B7204" s="2" t="s">
        <v>277</v>
      </c>
      <c r="C7204" s="2">
        <v>1138.489</v>
      </c>
      <c r="D7204" s="2">
        <f>HYPERLINK("http://mcb-m6.bioreg.kyushu-u.ac.jp/M3/20110502/F51170/3577/1", 86.61)</f>
        <v>86.61</v>
      </c>
      <c r="E7204" s="2">
        <v>79.2</v>
      </c>
      <c r="F7204" s="2">
        <v>2</v>
      </c>
      <c r="G7204" s="2" t="s">
        <v>13</v>
      </c>
    </row>
    <row r="7205" spans="1:9" x14ac:dyDescent="0.2">
      <c r="A7205" s="2" t="s">
        <v>3466</v>
      </c>
      <c r="B7205" s="2" t="s">
        <v>277</v>
      </c>
      <c r="C7205" s="2">
        <v>1138.518</v>
      </c>
      <c r="D7205" s="2">
        <f>HYPERLINK("http://mcb-m6.bioreg.kyushu-u.ac.jp/M3/20110502/F51179/3548/1", 41.33)</f>
        <v>41.33</v>
      </c>
      <c r="E7205" s="2">
        <v>37.24</v>
      </c>
      <c r="F7205" s="2">
        <v>2</v>
      </c>
      <c r="G7205" s="2" t="s">
        <v>14</v>
      </c>
    </row>
    <row r="7206" spans="1:9" x14ac:dyDescent="0.2">
      <c r="A7206" s="2" t="s">
        <v>3466</v>
      </c>
      <c r="B7206" s="2" t="s">
        <v>961</v>
      </c>
      <c r="C7206" s="2">
        <v>949.54719999999998</v>
      </c>
      <c r="D7206" s="2">
        <f>HYPERLINK("http://mcb-m6.bioreg.kyushu-u.ac.jp/M3/20110502/F51179/2926/1", 108.35)</f>
        <v>108.35</v>
      </c>
      <c r="E7206" s="2">
        <v>94.03</v>
      </c>
      <c r="F7206" s="2">
        <v>2</v>
      </c>
      <c r="G7206" s="2" t="s">
        <v>14</v>
      </c>
      <c r="I7206" s="2" t="s">
        <v>4924</v>
      </c>
    </row>
    <row r="7207" spans="1:9" x14ac:dyDescent="0.2">
      <c r="A7207" s="2" t="s">
        <v>4075</v>
      </c>
      <c r="B7207" s="2" t="s">
        <v>1473</v>
      </c>
      <c r="C7207" s="2">
        <v>1115.9559999999999</v>
      </c>
      <c r="D7207" s="2">
        <f>HYPERLINK("http://mcb-m6.bioreg.kyushu-u.ac.jp/M3/20110411/F50919/3255/2", 83.78)</f>
        <v>83.78</v>
      </c>
      <c r="E7207" s="2">
        <v>70.760000000000005</v>
      </c>
      <c r="F7207" s="2">
        <v>2</v>
      </c>
      <c r="G7207" s="2" t="s">
        <v>9</v>
      </c>
      <c r="H7207" s="2" t="s">
        <v>4907</v>
      </c>
    </row>
    <row r="7208" spans="1:9" x14ac:dyDescent="0.2">
      <c r="A7208" s="2" t="s">
        <v>4075</v>
      </c>
      <c r="B7208" s="2" t="s">
        <v>1546</v>
      </c>
      <c r="C7208" s="2">
        <v>1180.386</v>
      </c>
      <c r="D7208" s="2">
        <f>HYPERLINK("http://mcb-m6.bioreg.kyushu-u.ac.jp/M3/20110411/F50904/3675/2", 90.85)</f>
        <v>90.85</v>
      </c>
      <c r="E7208" s="2">
        <v>79.42</v>
      </c>
      <c r="F7208" s="2">
        <v>2</v>
      </c>
      <c r="G7208" s="2" t="s">
        <v>9</v>
      </c>
      <c r="H7208" s="2" t="s">
        <v>4938</v>
      </c>
    </row>
    <row r="7209" spans="1:9" x14ac:dyDescent="0.2">
      <c r="A7209" s="2" t="s">
        <v>4075</v>
      </c>
      <c r="B7209" s="2" t="s">
        <v>1473</v>
      </c>
      <c r="C7209" s="2">
        <v>1108.258</v>
      </c>
      <c r="D7209" s="2">
        <f>HYPERLINK("http://mcb-m6.bioreg.kyushu-u.ac.jp/M3/20110411/F50919/3228/2", 102.86)</f>
        <v>102.86</v>
      </c>
      <c r="E7209" s="2">
        <v>90.39</v>
      </c>
      <c r="F7209" s="2">
        <v>2</v>
      </c>
      <c r="G7209" s="2" t="s">
        <v>9</v>
      </c>
    </row>
    <row r="7210" spans="1:9" x14ac:dyDescent="0.2">
      <c r="A7210" s="2" t="s">
        <v>4075</v>
      </c>
      <c r="B7210" s="2" t="s">
        <v>1546</v>
      </c>
      <c r="C7210" s="2">
        <v>1180.1610000000001</v>
      </c>
      <c r="D7210" s="2">
        <f>HYPERLINK("http://mcb-m6.bioreg.kyushu-u.ac.jp/M3/20110411/F50919/3511/2", 114.83)</f>
        <v>114.83</v>
      </c>
      <c r="E7210" s="2">
        <v>106.68</v>
      </c>
      <c r="F7210" s="2">
        <v>2</v>
      </c>
      <c r="G7210" s="2" t="s">
        <v>9</v>
      </c>
      <c r="H7210" s="2" t="s">
        <v>4938</v>
      </c>
    </row>
    <row r="7211" spans="1:9" x14ac:dyDescent="0.2">
      <c r="A7211" s="2" t="s">
        <v>4075</v>
      </c>
      <c r="B7211" s="2" t="s">
        <v>1473</v>
      </c>
      <c r="C7211" s="2">
        <v>1116.4659999999999</v>
      </c>
      <c r="D7211" s="2">
        <f>HYPERLINK("http://mcb-m6.bioreg.kyushu-u.ac.jp/M3/20110411/F50919/3258/2", 138.61)</f>
        <v>138.61000000000001</v>
      </c>
      <c r="E7211" s="2">
        <v>128.02000000000001</v>
      </c>
      <c r="F7211" s="2">
        <v>2</v>
      </c>
      <c r="G7211" s="2" t="s">
        <v>9</v>
      </c>
      <c r="H7211" s="2" t="s">
        <v>4907</v>
      </c>
    </row>
    <row r="7212" spans="1:9" x14ac:dyDescent="0.2">
      <c r="A7212" s="2" t="s">
        <v>4075</v>
      </c>
      <c r="B7212" s="2" t="s">
        <v>1473</v>
      </c>
      <c r="C7212" s="2">
        <v>1116.316</v>
      </c>
      <c r="D7212" s="2">
        <f>HYPERLINK("http://mcb-m6.bioreg.kyushu-u.ac.jp/M3/20110411/F50900/3237/2", 45.62)</f>
        <v>45.62</v>
      </c>
      <c r="E7212" s="2">
        <v>33.97</v>
      </c>
      <c r="F7212" s="2">
        <v>2</v>
      </c>
      <c r="G7212" s="2" t="s">
        <v>10</v>
      </c>
      <c r="H7212" s="2" t="s">
        <v>4907</v>
      </c>
    </row>
    <row r="7213" spans="1:9" x14ac:dyDescent="0.2">
      <c r="A7213" s="2" t="s">
        <v>4075</v>
      </c>
      <c r="B7213" s="2" t="s">
        <v>1546</v>
      </c>
      <c r="C7213" s="2">
        <v>781.76020000000005</v>
      </c>
      <c r="D7213" s="2">
        <f>HYPERLINK("http://mcb-m6.bioreg.kyushu-u.ac.jp/M3/20110411/F50921/3460/2", 49.82)</f>
        <v>49.82</v>
      </c>
      <c r="E7213" s="2">
        <v>34.18</v>
      </c>
      <c r="F7213" s="2">
        <v>3</v>
      </c>
      <c r="G7213" s="2" t="s">
        <v>10</v>
      </c>
    </row>
    <row r="7214" spans="1:9" x14ac:dyDescent="0.2">
      <c r="A7214" s="2" t="s">
        <v>4075</v>
      </c>
      <c r="B7214" s="2" t="s">
        <v>1473</v>
      </c>
      <c r="C7214" s="2">
        <v>1108.4490000000001</v>
      </c>
      <c r="D7214" s="2">
        <f>HYPERLINK("http://mcb-m6.bioreg.kyushu-u.ac.jp/M3/20110411/F50921/3237/2", 53.97)</f>
        <v>53.97</v>
      </c>
      <c r="E7214" s="2">
        <v>45.17</v>
      </c>
      <c r="F7214" s="2">
        <v>2</v>
      </c>
      <c r="G7214" s="2" t="s">
        <v>10</v>
      </c>
    </row>
    <row r="7215" spans="1:9" x14ac:dyDescent="0.2">
      <c r="A7215" s="2" t="s">
        <v>4075</v>
      </c>
      <c r="B7215" s="2" t="s">
        <v>1473</v>
      </c>
      <c r="C7215" s="2">
        <v>1115.9649999999999</v>
      </c>
      <c r="D7215" s="2">
        <f>HYPERLINK("http://mcb-m6.bioreg.kyushu-u.ac.jp/M3/20110411/F50921/3273/2", 113.23)</f>
        <v>113.23</v>
      </c>
      <c r="E7215" s="2">
        <v>103.34</v>
      </c>
      <c r="F7215" s="2">
        <v>2</v>
      </c>
      <c r="G7215" s="2" t="s">
        <v>10</v>
      </c>
      <c r="H7215" s="2" t="s">
        <v>4907</v>
      </c>
    </row>
    <row r="7216" spans="1:9" x14ac:dyDescent="0.2">
      <c r="A7216" s="2" t="s">
        <v>4075</v>
      </c>
      <c r="B7216" s="2" t="s">
        <v>1546</v>
      </c>
      <c r="C7216" s="2">
        <v>1172.117</v>
      </c>
      <c r="D7216" s="2">
        <f>HYPERLINK("http://mcb-m6.bioreg.kyushu-u.ac.jp/M3/20110411/F50921/3459/2", 132.55)</f>
        <v>132.55000000000001</v>
      </c>
      <c r="E7216" s="2">
        <v>117.2</v>
      </c>
      <c r="F7216" s="2">
        <v>2</v>
      </c>
      <c r="G7216" s="2" t="s">
        <v>10</v>
      </c>
    </row>
    <row r="7217" spans="1:8" x14ac:dyDescent="0.2">
      <c r="A7217" s="2" t="s">
        <v>4075</v>
      </c>
      <c r="B7217" s="2" t="s">
        <v>1473</v>
      </c>
      <c r="C7217" s="2">
        <v>1116.4829999999999</v>
      </c>
      <c r="D7217" s="2">
        <f>HYPERLINK("http://mcb-m6.bioreg.kyushu-u.ac.jp/M3/20110411/F50921/3275/2", 141.47)</f>
        <v>141.47</v>
      </c>
      <c r="E7217" s="2">
        <v>132.33000000000001</v>
      </c>
      <c r="F7217" s="2">
        <v>2</v>
      </c>
      <c r="G7217" s="2" t="s">
        <v>10</v>
      </c>
      <c r="H7217" s="2" t="s">
        <v>4907</v>
      </c>
    </row>
    <row r="7218" spans="1:8" x14ac:dyDescent="0.2">
      <c r="A7218" s="2" t="s">
        <v>4075</v>
      </c>
      <c r="B7218" s="2" t="s">
        <v>1473</v>
      </c>
      <c r="C7218" s="2">
        <v>1116.1310000000001</v>
      </c>
      <c r="D7218" s="2">
        <f>HYPERLINK("http://mcb-m6.bioreg.kyushu-u.ac.jp/M3/20110414/F50962/3324/2", 41.15)</f>
        <v>41.15</v>
      </c>
      <c r="E7218" s="2">
        <v>35.770000000000003</v>
      </c>
      <c r="F7218" s="2">
        <v>2</v>
      </c>
      <c r="G7218" s="2" t="s">
        <v>11</v>
      </c>
      <c r="H7218" s="2" t="s">
        <v>4907</v>
      </c>
    </row>
    <row r="7219" spans="1:8" x14ac:dyDescent="0.2">
      <c r="A7219" s="2" t="s">
        <v>4075</v>
      </c>
      <c r="B7219" s="2" t="s">
        <v>1546</v>
      </c>
      <c r="C7219" s="2">
        <v>1172.52</v>
      </c>
      <c r="D7219" s="2">
        <f>HYPERLINK("http://mcb-m6.bioreg.kyushu-u.ac.jp/M3/20110414/F50962/3439/2", 93.43)</f>
        <v>93.43</v>
      </c>
      <c r="E7219" s="2">
        <v>76.900000000000006</v>
      </c>
      <c r="F7219" s="2">
        <v>2</v>
      </c>
      <c r="G7219" s="2" t="s">
        <v>11</v>
      </c>
    </row>
    <row r="7220" spans="1:8" x14ac:dyDescent="0.2">
      <c r="A7220" s="2" t="s">
        <v>4075</v>
      </c>
      <c r="B7220" s="2" t="s">
        <v>1473</v>
      </c>
      <c r="C7220" s="2">
        <v>1116.211</v>
      </c>
      <c r="D7220" s="2">
        <f>HYPERLINK("http://mcb-m6.bioreg.kyushu-u.ac.jp/M3/20110414/F50924/3399/2", 111.26)</f>
        <v>111.26</v>
      </c>
      <c r="E7220" s="2">
        <v>99.49</v>
      </c>
      <c r="F7220" s="2">
        <v>2</v>
      </c>
      <c r="G7220" s="2" t="s">
        <v>11</v>
      </c>
      <c r="H7220" s="2" t="s">
        <v>4907</v>
      </c>
    </row>
    <row r="7221" spans="1:8" x14ac:dyDescent="0.2">
      <c r="A7221" s="2" t="s">
        <v>4075</v>
      </c>
      <c r="B7221" s="2" t="s">
        <v>1473</v>
      </c>
      <c r="C7221" s="2">
        <v>1116.4000000000001</v>
      </c>
      <c r="D7221" s="2">
        <f>HYPERLINK("http://mcb-m6.bioreg.kyushu-u.ac.jp/M3/20110414/F50945/3466/2", 116.48)</f>
        <v>116.48</v>
      </c>
      <c r="E7221" s="2">
        <v>110.3</v>
      </c>
      <c r="F7221" s="2">
        <v>2</v>
      </c>
      <c r="G7221" s="2" t="s">
        <v>11</v>
      </c>
      <c r="H7221" s="2" t="s">
        <v>4907</v>
      </c>
    </row>
    <row r="7222" spans="1:8" x14ac:dyDescent="0.2">
      <c r="A7222" s="2" t="s">
        <v>4075</v>
      </c>
      <c r="B7222" s="2" t="s">
        <v>1473</v>
      </c>
      <c r="C7222" s="2">
        <v>1108.2719999999999</v>
      </c>
      <c r="D7222" s="2">
        <f>HYPERLINK("http://mcb-m6.bioreg.kyushu-u.ac.jp/M3/20110414/F50963/3383/2", 48.62)</f>
        <v>48.62</v>
      </c>
      <c r="E7222" s="2">
        <v>41.41</v>
      </c>
      <c r="F7222" s="2">
        <v>2</v>
      </c>
      <c r="G7222" s="2" t="s">
        <v>12</v>
      </c>
    </row>
    <row r="7223" spans="1:8" x14ac:dyDescent="0.2">
      <c r="A7223" s="2" t="s">
        <v>4075</v>
      </c>
      <c r="B7223" s="2" t="s">
        <v>1546</v>
      </c>
      <c r="C7223" s="2">
        <v>781.92909999999995</v>
      </c>
      <c r="D7223" s="2">
        <f>HYPERLINK("http://mcb-m6.bioreg.kyushu-u.ac.jp/M3/20110414/F50963/3575/2", 56.16)</f>
        <v>56.16</v>
      </c>
      <c r="E7223" s="2">
        <v>40.17</v>
      </c>
      <c r="F7223" s="2">
        <v>3</v>
      </c>
      <c r="G7223" s="2" t="s">
        <v>12</v>
      </c>
    </row>
    <row r="7224" spans="1:8" x14ac:dyDescent="0.2">
      <c r="A7224" s="2" t="s">
        <v>4075</v>
      </c>
      <c r="B7224" s="2" t="s">
        <v>1473</v>
      </c>
      <c r="C7224" s="2">
        <v>1116.201</v>
      </c>
      <c r="D7224" s="2">
        <f>HYPERLINK("http://mcb-m6.bioreg.kyushu-u.ac.jp/M3/20110414/F50963/3405/2", 80.86)</f>
        <v>80.86</v>
      </c>
      <c r="E7224" s="2">
        <v>71.91</v>
      </c>
      <c r="F7224" s="2">
        <v>2</v>
      </c>
      <c r="G7224" s="2" t="s">
        <v>12</v>
      </c>
      <c r="H7224" s="2" t="s">
        <v>4907</v>
      </c>
    </row>
    <row r="7225" spans="1:8" x14ac:dyDescent="0.2">
      <c r="A7225" s="2" t="s">
        <v>4075</v>
      </c>
      <c r="B7225" s="2" t="s">
        <v>1473</v>
      </c>
      <c r="C7225" s="2">
        <v>1108.5840000000001</v>
      </c>
      <c r="D7225" s="2">
        <f>HYPERLINK("http://mcb-m6.bioreg.kyushu-u.ac.jp/M3/20110414/F50966/3038/2", 99.01)</f>
        <v>99.01</v>
      </c>
      <c r="E7225" s="2">
        <v>83.01</v>
      </c>
      <c r="F7225" s="2">
        <v>2</v>
      </c>
      <c r="G7225" s="2" t="s">
        <v>12</v>
      </c>
    </row>
    <row r="7226" spans="1:8" x14ac:dyDescent="0.2">
      <c r="A7226" s="2" t="s">
        <v>4075</v>
      </c>
      <c r="B7226" s="2" t="s">
        <v>1473</v>
      </c>
      <c r="C7226" s="2">
        <v>1116.3589999999999</v>
      </c>
      <c r="D7226" s="2">
        <f>HYPERLINK("http://mcb-m6.bioreg.kyushu-u.ac.jp/M3/20110414/F50947/3875/2", 99.08)</f>
        <v>99.08</v>
      </c>
      <c r="E7226" s="2">
        <v>88.34</v>
      </c>
      <c r="F7226" s="2">
        <v>2</v>
      </c>
      <c r="G7226" s="2" t="s">
        <v>12</v>
      </c>
      <c r="H7226" s="2" t="s">
        <v>4907</v>
      </c>
    </row>
    <row r="7227" spans="1:8" x14ac:dyDescent="0.2">
      <c r="A7227" s="2" t="s">
        <v>4075</v>
      </c>
      <c r="B7227" s="2" t="s">
        <v>1473</v>
      </c>
      <c r="C7227" s="2">
        <v>1115.8599999999999</v>
      </c>
      <c r="D7227" s="2">
        <f>HYPERLINK("http://mcb-m6.bioreg.kyushu-u.ac.jp/M3/20110414/F50963/3403/2", 113.85)</f>
        <v>113.85</v>
      </c>
      <c r="E7227" s="2">
        <v>104.8</v>
      </c>
      <c r="F7227" s="2">
        <v>2</v>
      </c>
      <c r="G7227" s="2" t="s">
        <v>12</v>
      </c>
      <c r="H7227" s="2" t="s">
        <v>4907</v>
      </c>
    </row>
    <row r="7228" spans="1:8" x14ac:dyDescent="0.2">
      <c r="A7228" s="2" t="s">
        <v>4075</v>
      </c>
      <c r="B7228" s="2" t="s">
        <v>1473</v>
      </c>
      <c r="C7228" s="2">
        <v>1108.394</v>
      </c>
      <c r="D7228" s="2">
        <f>HYPERLINK("http://mcb-m6.bioreg.kyushu-u.ac.jp/M3/20110502/F51188/2958/2", 38.75)</f>
        <v>38.75</v>
      </c>
      <c r="E7228" s="2">
        <v>29.02</v>
      </c>
      <c r="F7228" s="2">
        <v>2</v>
      </c>
      <c r="G7228" s="2" t="s">
        <v>13</v>
      </c>
    </row>
    <row r="7229" spans="1:8" x14ac:dyDescent="0.2">
      <c r="A7229" s="2" t="s">
        <v>4075</v>
      </c>
      <c r="B7229" s="2" t="s">
        <v>1473</v>
      </c>
      <c r="C7229" s="2">
        <v>1116.3900000000001</v>
      </c>
      <c r="D7229" s="2">
        <f>HYPERLINK("http://mcb-m6.bioreg.kyushu-u.ac.jp/M3/20110502/F51170/3528/2", 53.76)</f>
        <v>53.76</v>
      </c>
      <c r="E7229" s="2">
        <v>38.93</v>
      </c>
      <c r="F7229" s="2">
        <v>2</v>
      </c>
      <c r="G7229" s="2" t="s">
        <v>13</v>
      </c>
      <c r="H7229" s="2" t="s">
        <v>4907</v>
      </c>
    </row>
    <row r="7230" spans="1:8" x14ac:dyDescent="0.2">
      <c r="A7230" s="2" t="s">
        <v>4075</v>
      </c>
      <c r="B7230" s="2" t="s">
        <v>1473</v>
      </c>
      <c r="C7230" s="2">
        <v>1116.02</v>
      </c>
      <c r="D7230" s="2">
        <f>HYPERLINK("http://mcb-m6.bioreg.kyushu-u.ac.jp/M3/20110502/F51187/3023/2", 56.07)</f>
        <v>56.07</v>
      </c>
      <c r="E7230" s="2">
        <v>49.4</v>
      </c>
      <c r="F7230" s="2">
        <v>2</v>
      </c>
      <c r="G7230" s="2" t="s">
        <v>13</v>
      </c>
      <c r="H7230" s="2" t="s">
        <v>4907</v>
      </c>
    </row>
    <row r="7231" spans="1:8" x14ac:dyDescent="0.2">
      <c r="A7231" s="2" t="s">
        <v>4075</v>
      </c>
      <c r="B7231" s="2" t="s">
        <v>1473</v>
      </c>
      <c r="C7231" s="2">
        <v>1116.596</v>
      </c>
      <c r="D7231" s="2">
        <f>HYPERLINK("http://mcb-m6.bioreg.kyushu-u.ac.jp/M3/20110502/F51187/3029/2", 86.16)</f>
        <v>86.16</v>
      </c>
      <c r="E7231" s="2">
        <v>74.5</v>
      </c>
      <c r="F7231" s="2">
        <v>2</v>
      </c>
      <c r="G7231" s="2" t="s">
        <v>13</v>
      </c>
      <c r="H7231" s="2" t="s">
        <v>4907</v>
      </c>
    </row>
    <row r="7232" spans="1:8" x14ac:dyDescent="0.2">
      <c r="A7232" s="2" t="s">
        <v>4075</v>
      </c>
      <c r="B7232" s="2" t="s">
        <v>1473</v>
      </c>
      <c r="C7232" s="2">
        <v>1116.6210000000001</v>
      </c>
      <c r="D7232" s="2">
        <f>HYPERLINK("http://mcb-m6.bioreg.kyushu-u.ac.jp/M3/20110502/F51173/3599/2", 109.8)</f>
        <v>109.8</v>
      </c>
      <c r="E7232" s="2">
        <v>99.54</v>
      </c>
      <c r="F7232" s="2">
        <v>2</v>
      </c>
      <c r="G7232" s="2" t="s">
        <v>13</v>
      </c>
      <c r="H7232" s="2" t="s">
        <v>4907</v>
      </c>
    </row>
    <row r="7233" spans="1:9" x14ac:dyDescent="0.2">
      <c r="A7233" s="2" t="s">
        <v>4075</v>
      </c>
      <c r="B7233" s="2" t="s">
        <v>1473</v>
      </c>
      <c r="C7233" s="2">
        <v>1116.127</v>
      </c>
      <c r="D7233" s="2">
        <f>HYPERLINK("http://mcb-m6.bioreg.kyushu-u.ac.jp/M3/20110502/F51188/2989/2", 126.99)</f>
        <v>126.99</v>
      </c>
      <c r="E7233" s="2">
        <v>114.94</v>
      </c>
      <c r="F7233" s="2">
        <v>2</v>
      </c>
      <c r="G7233" s="2" t="s">
        <v>13</v>
      </c>
      <c r="H7233" s="2" t="s">
        <v>4907</v>
      </c>
    </row>
    <row r="7234" spans="1:9" x14ac:dyDescent="0.2">
      <c r="A7234" s="2" t="s">
        <v>4075</v>
      </c>
      <c r="B7234" s="2" t="s">
        <v>1473</v>
      </c>
      <c r="C7234" s="2">
        <v>1116.116</v>
      </c>
      <c r="D7234" s="2">
        <f>HYPERLINK("http://mcb-m6.bioreg.kyushu-u.ac.jp/M3/20110502/F51187/3026/2", 128.28)</f>
        <v>128.28</v>
      </c>
      <c r="E7234" s="2">
        <v>117.55</v>
      </c>
      <c r="F7234" s="2">
        <v>2</v>
      </c>
      <c r="G7234" s="2" t="s">
        <v>13</v>
      </c>
      <c r="H7234" s="2" t="s">
        <v>4907</v>
      </c>
    </row>
    <row r="7235" spans="1:9" x14ac:dyDescent="0.2">
      <c r="A7235" s="2" t="s">
        <v>4075</v>
      </c>
      <c r="B7235" s="2" t="s">
        <v>1473</v>
      </c>
      <c r="C7235" s="2">
        <v>1116.6310000000001</v>
      </c>
      <c r="D7235" s="2">
        <f>HYPERLINK("http://mcb-m6.bioreg.kyushu-u.ac.jp/M3/20110502/F51188/2995/2", 142.03)</f>
        <v>142.03</v>
      </c>
      <c r="E7235" s="2">
        <v>131.37</v>
      </c>
      <c r="F7235" s="2">
        <v>2</v>
      </c>
      <c r="G7235" s="2" t="s">
        <v>13</v>
      </c>
      <c r="H7235" s="2" t="s">
        <v>4907</v>
      </c>
    </row>
    <row r="7236" spans="1:9" x14ac:dyDescent="0.2">
      <c r="A7236" s="2" t="s">
        <v>4075</v>
      </c>
      <c r="B7236" s="2" t="s">
        <v>1473</v>
      </c>
      <c r="C7236" s="2">
        <v>1115.8579999999999</v>
      </c>
      <c r="D7236" s="2">
        <f>HYPERLINK("http://mcb-m6.bioreg.kyushu-u.ac.jp/M3/20110502/F51192/3268/2", 46.48)</f>
        <v>46.48</v>
      </c>
      <c r="E7236" s="2">
        <v>43.16</v>
      </c>
      <c r="F7236" s="2">
        <v>2</v>
      </c>
      <c r="G7236" s="2" t="s">
        <v>14</v>
      </c>
      <c r="H7236" s="2" t="s">
        <v>4907</v>
      </c>
    </row>
    <row r="7237" spans="1:9" x14ac:dyDescent="0.2">
      <c r="A7237" s="2" t="s">
        <v>4075</v>
      </c>
      <c r="B7237" s="2" t="s">
        <v>1473</v>
      </c>
      <c r="C7237" s="2">
        <v>1116.0830000000001</v>
      </c>
      <c r="D7237" s="2">
        <f>HYPERLINK("http://mcb-m6.bioreg.kyushu-u.ac.jp/M3/20110502/F51191/3070/2", 60.01)</f>
        <v>60.01</v>
      </c>
      <c r="E7237" s="2">
        <v>49.22</v>
      </c>
      <c r="F7237" s="2">
        <v>2</v>
      </c>
      <c r="G7237" s="2" t="s">
        <v>14</v>
      </c>
      <c r="H7237" s="2" t="s">
        <v>4907</v>
      </c>
    </row>
    <row r="7238" spans="1:9" x14ac:dyDescent="0.2">
      <c r="A7238" s="2" t="s">
        <v>4075</v>
      </c>
      <c r="B7238" s="2" t="s">
        <v>1473</v>
      </c>
      <c r="C7238" s="2">
        <v>1116.1959999999999</v>
      </c>
      <c r="D7238" s="2">
        <f>HYPERLINK("http://mcb-m6.bioreg.kyushu-u.ac.jp/M3/20110502/F51179/3491/2", 62.79)</f>
        <v>62.79</v>
      </c>
      <c r="E7238" s="2">
        <v>54.86</v>
      </c>
      <c r="F7238" s="2">
        <v>2</v>
      </c>
      <c r="G7238" s="2" t="s">
        <v>14</v>
      </c>
      <c r="H7238" s="2" t="s">
        <v>4907</v>
      </c>
    </row>
    <row r="7239" spans="1:9" x14ac:dyDescent="0.2">
      <c r="A7239" s="2" t="s">
        <v>4075</v>
      </c>
      <c r="B7239" s="2" t="s">
        <v>1546</v>
      </c>
      <c r="C7239" s="2">
        <v>787.40949999999998</v>
      </c>
      <c r="D7239" s="2">
        <f>HYPERLINK("http://mcb-m6.bioreg.kyushu-u.ac.jp/M3/20110502/F51191/3193/2", 94.88)</f>
        <v>94.88</v>
      </c>
      <c r="E7239" s="2">
        <v>78.900000000000006</v>
      </c>
      <c r="F7239" s="2">
        <v>3</v>
      </c>
      <c r="G7239" s="2" t="s">
        <v>14</v>
      </c>
      <c r="H7239" s="2" t="s">
        <v>4938</v>
      </c>
    </row>
    <row r="7240" spans="1:9" x14ac:dyDescent="0.2">
      <c r="A7240" s="2" t="s">
        <v>4075</v>
      </c>
      <c r="B7240" s="2" t="s">
        <v>1546</v>
      </c>
      <c r="C7240" s="2">
        <v>1180.3420000000001</v>
      </c>
      <c r="D7240" s="2">
        <f>HYPERLINK("http://mcb-m6.bioreg.kyushu-u.ac.jp/M3/20110502/F51191/3192/2", 113.73)</f>
        <v>113.73</v>
      </c>
      <c r="E7240" s="2">
        <v>100.62</v>
      </c>
      <c r="F7240" s="2">
        <v>2</v>
      </c>
      <c r="G7240" s="2" t="s">
        <v>14</v>
      </c>
      <c r="H7240" s="2" t="s">
        <v>4938</v>
      </c>
    </row>
    <row r="7241" spans="1:9" x14ac:dyDescent="0.2">
      <c r="A7241" s="2" t="s">
        <v>4075</v>
      </c>
      <c r="B7241" s="2" t="s">
        <v>1473</v>
      </c>
      <c r="C7241" s="2">
        <v>1115.9949999999999</v>
      </c>
      <c r="D7241" s="2">
        <f>HYPERLINK("http://mcb-m6.bioreg.kyushu-u.ac.jp/M3/20110502/F51185/3330/2", 119.57)</f>
        <v>119.57</v>
      </c>
      <c r="E7241" s="2">
        <v>108.35</v>
      </c>
      <c r="F7241" s="2">
        <v>2</v>
      </c>
      <c r="G7241" s="2" t="s">
        <v>14</v>
      </c>
      <c r="H7241" s="2" t="s">
        <v>4907</v>
      </c>
    </row>
    <row r="7242" spans="1:9" x14ac:dyDescent="0.2">
      <c r="A7242" s="2" t="s">
        <v>4075</v>
      </c>
      <c r="B7242" s="2" t="s">
        <v>1473</v>
      </c>
      <c r="C7242" s="2">
        <v>1116.604</v>
      </c>
      <c r="D7242" s="2">
        <f>HYPERLINK("http://mcb-m6.bioreg.kyushu-u.ac.jp/M3/20110502/F51191/3072/2", 128.81)</f>
        <v>128.81</v>
      </c>
      <c r="E7242" s="2">
        <v>118.12</v>
      </c>
      <c r="F7242" s="2">
        <v>2</v>
      </c>
      <c r="G7242" s="2" t="s">
        <v>14</v>
      </c>
      <c r="H7242" s="2" t="s">
        <v>4907</v>
      </c>
    </row>
    <row r="7243" spans="1:9" x14ac:dyDescent="0.2">
      <c r="A7243" s="2" t="s">
        <v>4075</v>
      </c>
      <c r="B7243" s="2" t="s">
        <v>1473</v>
      </c>
      <c r="C7243" s="2">
        <v>1116.377</v>
      </c>
      <c r="D7243" s="2">
        <f>HYPERLINK("http://mcb-m6.bioreg.kyushu-u.ac.jp/M3/20110502/F51192/3272/2", 135.61)</f>
        <v>135.61000000000001</v>
      </c>
      <c r="E7243" s="2">
        <v>129.26</v>
      </c>
      <c r="F7243" s="2">
        <v>2</v>
      </c>
      <c r="G7243" s="2" t="s">
        <v>14</v>
      </c>
      <c r="H7243" s="2" t="s">
        <v>4907</v>
      </c>
    </row>
    <row r="7244" spans="1:9" x14ac:dyDescent="0.2">
      <c r="A7244" s="2" t="s">
        <v>4185</v>
      </c>
      <c r="B7244" s="2" t="s">
        <v>1766</v>
      </c>
      <c r="C7244" s="2">
        <v>1835.903</v>
      </c>
      <c r="D7244" s="2">
        <f>HYPERLINK("http://mcb-m6.bioreg.kyushu-u.ac.jp/M3/20110411/F50921/2603/1", 38.3)</f>
        <v>38.299999999999997</v>
      </c>
      <c r="E7244" s="2">
        <v>9.0500000000000007</v>
      </c>
      <c r="F7244" s="2">
        <v>1</v>
      </c>
      <c r="G7244" s="2" t="s">
        <v>10</v>
      </c>
      <c r="I7244" s="2" t="s">
        <v>4941</v>
      </c>
    </row>
    <row r="7245" spans="1:9" x14ac:dyDescent="0.2">
      <c r="A7245" s="2" t="s">
        <v>3330</v>
      </c>
      <c r="B7245" s="2" t="s">
        <v>117</v>
      </c>
      <c r="C7245" s="2">
        <v>1029.4680000000001</v>
      </c>
      <c r="D7245" s="2">
        <f>HYPERLINK("http://mcb-m6.bioreg.kyushu-u.ac.jp/M3/20110411/F50889/1579/1", 36.29)</f>
        <v>36.29</v>
      </c>
      <c r="E7245" s="2">
        <v>20.67</v>
      </c>
      <c r="F7245" s="2">
        <v>1</v>
      </c>
      <c r="G7245" s="2" t="s">
        <v>9</v>
      </c>
    </row>
    <row r="7246" spans="1:9" x14ac:dyDescent="0.2">
      <c r="A7246" s="2" t="s">
        <v>3330</v>
      </c>
      <c r="B7246" s="2" t="s">
        <v>117</v>
      </c>
      <c r="C7246" s="2">
        <v>515.80319999999995</v>
      </c>
      <c r="D7246" s="2">
        <f>HYPERLINK("http://mcb-m6.bioreg.kyushu-u.ac.jp/M3/20110411/F50889/1583/1", 39.09)</f>
        <v>39.090000000000003</v>
      </c>
      <c r="E7246" s="2">
        <v>9.69</v>
      </c>
      <c r="F7246" s="2">
        <v>2</v>
      </c>
      <c r="G7246" s="2" t="s">
        <v>9</v>
      </c>
    </row>
    <row r="7247" spans="1:9" x14ac:dyDescent="0.2">
      <c r="A7247" s="2" t="s">
        <v>3330</v>
      </c>
      <c r="B7247" s="2" t="s">
        <v>3040</v>
      </c>
      <c r="C7247" s="2">
        <v>579.51819999999998</v>
      </c>
      <c r="D7247" s="2">
        <f>HYPERLINK("http://mcb-m6.bioreg.kyushu-u.ac.jp/M3/20110502/F51176/1643/1", 39.42)</f>
        <v>39.42</v>
      </c>
      <c r="E7247" s="2">
        <v>14.28</v>
      </c>
      <c r="F7247" s="2">
        <v>2</v>
      </c>
      <c r="G7247" s="2" t="s">
        <v>14</v>
      </c>
    </row>
    <row r="7248" spans="1:9" x14ac:dyDescent="0.2">
      <c r="A7248" s="2" t="s">
        <v>3496</v>
      </c>
      <c r="B7248" s="2" t="s">
        <v>330</v>
      </c>
      <c r="C7248" s="2">
        <v>669.23569999999995</v>
      </c>
      <c r="D7248" s="2">
        <f>HYPERLINK("http://mcb-m6.bioreg.kyushu-u.ac.jp/M3/20110411/F50889/2015/1", 39.74)</f>
        <v>39.74</v>
      </c>
      <c r="E7248" s="2">
        <v>28.31</v>
      </c>
      <c r="F7248" s="2">
        <v>2</v>
      </c>
      <c r="G7248" s="2" t="s">
        <v>9</v>
      </c>
    </row>
    <row r="7249" spans="1:9" x14ac:dyDescent="0.2">
      <c r="A7249" s="2" t="s">
        <v>3496</v>
      </c>
      <c r="B7249" s="2" t="s">
        <v>806</v>
      </c>
      <c r="C7249" s="2">
        <v>733.41309999999999</v>
      </c>
      <c r="D7249" s="2">
        <f>HYPERLINK("http://mcb-m6.bioreg.kyushu-u.ac.jp/M3/20110411/F50889/2221/1", 51.78)</f>
        <v>51.78</v>
      </c>
      <c r="E7249" s="2">
        <v>39.950000000000003</v>
      </c>
      <c r="F7249" s="2">
        <v>2</v>
      </c>
      <c r="G7249" s="2" t="s">
        <v>9</v>
      </c>
    </row>
    <row r="7250" spans="1:9" x14ac:dyDescent="0.2">
      <c r="A7250" s="2" t="s">
        <v>3496</v>
      </c>
      <c r="B7250" s="2" t="s">
        <v>1955</v>
      </c>
      <c r="C7250" s="2">
        <v>693.30909999999994</v>
      </c>
      <c r="D7250" s="2">
        <f>HYPERLINK("http://mcb-m6.bioreg.kyushu-u.ac.jp/M3/20110411/F50896/1948/1", 53.97)</f>
        <v>53.97</v>
      </c>
      <c r="E7250" s="2">
        <v>39.69</v>
      </c>
      <c r="F7250" s="2">
        <v>2</v>
      </c>
      <c r="G7250" s="2" t="s">
        <v>10</v>
      </c>
    </row>
    <row r="7251" spans="1:9" x14ac:dyDescent="0.2">
      <c r="A7251" s="2" t="s">
        <v>3496</v>
      </c>
      <c r="B7251" s="2" t="s">
        <v>2490</v>
      </c>
      <c r="C7251" s="2">
        <v>892.06410000000005</v>
      </c>
      <c r="D7251" s="2">
        <f>HYPERLINK("http://mcb-m6.bioreg.kyushu-u.ac.jp/M3/20110414/F50926/2639/1", 82.18)</f>
        <v>82.18</v>
      </c>
      <c r="E7251" s="2">
        <v>58.07</v>
      </c>
      <c r="F7251" s="2">
        <v>2</v>
      </c>
      <c r="G7251" s="2" t="s">
        <v>11</v>
      </c>
    </row>
    <row r="7252" spans="1:9" x14ac:dyDescent="0.2">
      <c r="A7252" s="2" t="s">
        <v>3616</v>
      </c>
      <c r="B7252" s="2" t="s">
        <v>522</v>
      </c>
      <c r="C7252" s="2">
        <v>888.55820000000006</v>
      </c>
      <c r="D7252" s="2">
        <f>HYPERLINK("http://mcb-m6.bioreg.kyushu-u.ac.jp/M3/20110411/F50903/2694/1", 43.81)</f>
        <v>43.81</v>
      </c>
      <c r="E7252" s="2">
        <v>34.42</v>
      </c>
      <c r="F7252" s="2">
        <v>2</v>
      </c>
      <c r="G7252" s="2" t="s">
        <v>9</v>
      </c>
      <c r="I7252" s="2" t="s">
        <v>4906</v>
      </c>
    </row>
    <row r="7253" spans="1:9" x14ac:dyDescent="0.2">
      <c r="A7253" s="2" t="s">
        <v>3616</v>
      </c>
      <c r="B7253" s="2" t="s">
        <v>522</v>
      </c>
      <c r="C7253" s="2">
        <v>888.73419999999999</v>
      </c>
      <c r="D7253" s="2">
        <f>HYPERLINK("http://mcb-m6.bioreg.kyushu-u.ac.jp/M3/20110411/F50889/2645/1", 58.95)</f>
        <v>58.95</v>
      </c>
      <c r="E7253" s="2">
        <v>44.16</v>
      </c>
      <c r="F7253" s="2">
        <v>2</v>
      </c>
      <c r="G7253" s="2" t="s">
        <v>9</v>
      </c>
      <c r="I7253" s="2" t="s">
        <v>4906</v>
      </c>
    </row>
    <row r="7254" spans="1:9" x14ac:dyDescent="0.2">
      <c r="A7254" s="2" t="s">
        <v>3616</v>
      </c>
      <c r="B7254" s="2" t="s">
        <v>522</v>
      </c>
      <c r="C7254" s="2">
        <v>889.02170000000001</v>
      </c>
      <c r="D7254" s="2">
        <f>HYPERLINK("http://mcb-m6.bioreg.kyushu-u.ac.jp/M3/20110411/F50896/2679/1", 39.36)</f>
        <v>39.36</v>
      </c>
      <c r="E7254" s="2">
        <v>25.49</v>
      </c>
      <c r="F7254" s="2">
        <v>2</v>
      </c>
      <c r="G7254" s="2" t="s">
        <v>10</v>
      </c>
      <c r="I7254" s="2" t="s">
        <v>4906</v>
      </c>
    </row>
    <row r="7255" spans="1:9" x14ac:dyDescent="0.2">
      <c r="A7255" s="2" t="s">
        <v>3616</v>
      </c>
      <c r="B7255" s="2" t="s">
        <v>522</v>
      </c>
      <c r="C7255" s="2">
        <v>888.70510000000002</v>
      </c>
      <c r="D7255" s="2">
        <f>HYPERLINK("http://mcb-m6.bioreg.kyushu-u.ac.jp/M3/20110414/F50925/2637/1", 90.12)</f>
        <v>90.12</v>
      </c>
      <c r="E7255" s="2">
        <v>77.52</v>
      </c>
      <c r="F7255" s="2">
        <v>2</v>
      </c>
      <c r="G7255" s="2" t="s">
        <v>11</v>
      </c>
      <c r="I7255" s="2" t="s">
        <v>4906</v>
      </c>
    </row>
    <row r="7256" spans="1:9" x14ac:dyDescent="0.2">
      <c r="A7256" s="2" t="s">
        <v>3616</v>
      </c>
      <c r="B7256" s="2" t="s">
        <v>2879</v>
      </c>
      <c r="C7256" s="2">
        <v>894.39300000000003</v>
      </c>
      <c r="D7256" s="2">
        <f>HYPERLINK("http://mcb-m6.bioreg.kyushu-u.ac.jp/M3/20110502/F51166/1382/1", 41.69)</f>
        <v>41.69</v>
      </c>
      <c r="E7256" s="2">
        <v>28.73</v>
      </c>
      <c r="F7256" s="2">
        <v>1</v>
      </c>
      <c r="G7256" s="2" t="s">
        <v>13</v>
      </c>
      <c r="I7256" s="2" t="s">
        <v>4890</v>
      </c>
    </row>
    <row r="7257" spans="1:9" x14ac:dyDescent="0.2">
      <c r="A7257" s="2" t="s">
        <v>3616</v>
      </c>
      <c r="B7257" s="2" t="s">
        <v>3173</v>
      </c>
      <c r="C7257" s="2">
        <v>514.81709999999998</v>
      </c>
      <c r="D7257" s="2">
        <f>HYPERLINK("http://mcb-m6.bioreg.kyushu-u.ac.jp/M3/20110502/F51176/1481/1", 61.38)</f>
        <v>61.38</v>
      </c>
      <c r="E7257" s="2">
        <v>31.77</v>
      </c>
      <c r="F7257" s="2">
        <v>2</v>
      </c>
      <c r="G7257" s="2" t="s">
        <v>14</v>
      </c>
      <c r="I7257" s="2" t="s">
        <v>4903</v>
      </c>
    </row>
    <row r="7258" spans="1:9" x14ac:dyDescent="0.2">
      <c r="A7258" s="2" t="s">
        <v>3616</v>
      </c>
      <c r="B7258" s="2" t="s">
        <v>522</v>
      </c>
      <c r="C7258" s="2">
        <v>888.78920000000005</v>
      </c>
      <c r="D7258" s="2">
        <f>HYPERLINK("http://mcb-m6.bioreg.kyushu-u.ac.jp/M3/20110502/F51176/2370/1", 62.32)</f>
        <v>62.32</v>
      </c>
      <c r="E7258" s="2">
        <v>46.59</v>
      </c>
      <c r="F7258" s="2">
        <v>2</v>
      </c>
      <c r="G7258" s="2" t="s">
        <v>14</v>
      </c>
      <c r="I7258" s="2" t="s">
        <v>4906</v>
      </c>
    </row>
    <row r="7259" spans="1:9" x14ac:dyDescent="0.2">
      <c r="A7259" s="2" t="s">
        <v>4508</v>
      </c>
      <c r="B7259" s="2" t="s">
        <v>2515</v>
      </c>
      <c r="C7259" s="2">
        <v>888.20669999999996</v>
      </c>
      <c r="D7259" s="2">
        <f>HYPERLINK("http://mcb-m6.bioreg.kyushu-u.ac.jp/M3/20110414/F50925/2626/1", 118.93)</f>
        <v>118.93</v>
      </c>
      <c r="E7259" s="2">
        <v>98.69</v>
      </c>
      <c r="F7259" s="2">
        <v>2</v>
      </c>
      <c r="G7259" s="2" t="s">
        <v>11</v>
      </c>
      <c r="I7259" s="2" t="s">
        <v>4967</v>
      </c>
    </row>
    <row r="7260" spans="1:9" x14ac:dyDescent="0.2">
      <c r="A7260" s="2" t="s">
        <v>4130</v>
      </c>
      <c r="B7260" s="2" t="s">
        <v>1654</v>
      </c>
      <c r="C7260" s="2">
        <v>976.55520000000001</v>
      </c>
      <c r="D7260" s="2">
        <f>HYPERLINK("http://mcb-m6.bioreg.kyushu-u.ac.jp/M3/20110411/F50895/3107/1", 111.83)</f>
        <v>111.83</v>
      </c>
      <c r="E7260" s="2">
        <v>87.43</v>
      </c>
      <c r="F7260" s="2">
        <v>2</v>
      </c>
      <c r="G7260" s="2" t="s">
        <v>9</v>
      </c>
    </row>
    <row r="7261" spans="1:9" x14ac:dyDescent="0.2">
      <c r="A7261" s="2" t="s">
        <v>4130</v>
      </c>
      <c r="B7261" s="2" t="s">
        <v>1654</v>
      </c>
      <c r="C7261" s="2">
        <v>975.99959999999999</v>
      </c>
      <c r="D7261" s="2">
        <f>HYPERLINK("http://mcb-m6.bioreg.kyushu-u.ac.jp/M3/20110414/F50950/3398/1", 135.69)</f>
        <v>135.69</v>
      </c>
      <c r="E7261" s="2">
        <v>106.4</v>
      </c>
      <c r="F7261" s="2">
        <v>2</v>
      </c>
      <c r="G7261" s="2" t="s">
        <v>12</v>
      </c>
    </row>
    <row r="7262" spans="1:9" x14ac:dyDescent="0.2">
      <c r="A7262" s="2" t="s">
        <v>4130</v>
      </c>
      <c r="B7262" s="2" t="s">
        <v>1654</v>
      </c>
      <c r="C7262" s="2">
        <v>976.64570000000003</v>
      </c>
      <c r="D7262" s="2">
        <f>HYPERLINK("http://mcb-m6.bioreg.kyushu-u.ac.jp/M3/20110502/F51185/2941/1", 129.36)</f>
        <v>129.36000000000001</v>
      </c>
      <c r="E7262" s="2">
        <v>96.91</v>
      </c>
      <c r="F7262" s="2">
        <v>2</v>
      </c>
      <c r="G7262" s="2" t="s">
        <v>14</v>
      </c>
    </row>
    <row r="7263" spans="1:9" x14ac:dyDescent="0.2">
      <c r="A7263" s="2" t="s">
        <v>3782</v>
      </c>
      <c r="B7263" s="2" t="s">
        <v>818</v>
      </c>
      <c r="C7263" s="2">
        <v>739.23910000000001</v>
      </c>
      <c r="D7263" s="2">
        <f>HYPERLINK("http://mcb-m6.bioreg.kyushu-u.ac.jp/M3/20110411/F50894/2236/1", 52.36)</f>
        <v>52.36</v>
      </c>
      <c r="E7263" s="2">
        <v>30.85</v>
      </c>
      <c r="F7263" s="2">
        <v>2</v>
      </c>
      <c r="G7263" s="2" t="s">
        <v>9</v>
      </c>
    </row>
    <row r="7264" spans="1:9" x14ac:dyDescent="0.2">
      <c r="A7264" s="2" t="s">
        <v>3782</v>
      </c>
      <c r="B7264" s="2" t="s">
        <v>835</v>
      </c>
      <c r="C7264" s="2">
        <v>930.55909999999994</v>
      </c>
      <c r="D7264" s="2">
        <f>HYPERLINK("http://mcb-m6.bioreg.kyushu-u.ac.jp/M3/20110411/F50895/2958/1", 52.92)</f>
        <v>52.92</v>
      </c>
      <c r="E7264" s="2">
        <v>41.12</v>
      </c>
      <c r="F7264" s="2">
        <v>2</v>
      </c>
      <c r="G7264" s="2" t="s">
        <v>9</v>
      </c>
      <c r="I7264" s="2" t="s">
        <v>4895</v>
      </c>
    </row>
    <row r="7265" spans="1:7" x14ac:dyDescent="0.2">
      <c r="A7265" s="2" t="s">
        <v>3782</v>
      </c>
      <c r="B7265" s="2" t="s">
        <v>1262</v>
      </c>
      <c r="C7265" s="2">
        <v>730.02760000000001</v>
      </c>
      <c r="D7265" s="2">
        <f>HYPERLINK("http://mcb-m6.bioreg.kyushu-u.ac.jp/M3/20110411/F50894/2186/1", 69.56)</f>
        <v>69.56</v>
      </c>
      <c r="E7265" s="2">
        <v>31.96</v>
      </c>
      <c r="F7265" s="2">
        <v>2</v>
      </c>
      <c r="G7265" s="2" t="s">
        <v>9</v>
      </c>
    </row>
    <row r="7266" spans="1:7" x14ac:dyDescent="0.2">
      <c r="A7266" s="2" t="s">
        <v>3782</v>
      </c>
      <c r="B7266" s="2" t="s">
        <v>1287</v>
      </c>
      <c r="C7266" s="2">
        <v>663.13570000000004</v>
      </c>
      <c r="D7266" s="2">
        <f>HYPERLINK("http://mcb-m6.bioreg.kyushu-u.ac.jp/M3/20110411/F50894/1925/1", 70.73)</f>
        <v>70.73</v>
      </c>
      <c r="E7266" s="2">
        <v>37.4</v>
      </c>
      <c r="F7266" s="2">
        <v>2</v>
      </c>
      <c r="G7266" s="2" t="s">
        <v>9</v>
      </c>
    </row>
    <row r="7267" spans="1:7" x14ac:dyDescent="0.2">
      <c r="A7267" s="2" t="s">
        <v>3782</v>
      </c>
      <c r="B7267" s="2" t="s">
        <v>1287</v>
      </c>
      <c r="C7267" s="2">
        <v>663.1472</v>
      </c>
      <c r="D7267" s="2">
        <f>HYPERLINK("http://mcb-m6.bioreg.kyushu-u.ac.jp/M3/20110411/F50893/1822/1", 72.48)</f>
        <v>72.48</v>
      </c>
      <c r="E7267" s="2">
        <v>44.64</v>
      </c>
      <c r="F7267" s="2">
        <v>2</v>
      </c>
      <c r="G7267" s="2" t="s">
        <v>9</v>
      </c>
    </row>
    <row r="7268" spans="1:7" x14ac:dyDescent="0.2">
      <c r="A7268" s="2" t="s">
        <v>3782</v>
      </c>
      <c r="B7268" s="2" t="s">
        <v>1503</v>
      </c>
      <c r="C7268" s="2">
        <v>710.46720000000005</v>
      </c>
      <c r="D7268" s="2">
        <f>HYPERLINK("http://mcb-m6.bioreg.kyushu-u.ac.jp/M3/20110411/F50894/2092/1", 86.74)</f>
        <v>86.74</v>
      </c>
      <c r="E7268" s="2">
        <v>71.55</v>
      </c>
      <c r="F7268" s="2">
        <v>2</v>
      </c>
      <c r="G7268" s="2" t="s">
        <v>9</v>
      </c>
    </row>
    <row r="7269" spans="1:7" x14ac:dyDescent="0.2">
      <c r="A7269" s="2" t="s">
        <v>3782</v>
      </c>
      <c r="B7269" s="2" t="s">
        <v>1287</v>
      </c>
      <c r="C7269" s="2">
        <v>662.97360000000003</v>
      </c>
      <c r="D7269" s="2">
        <f>HYPERLINK("http://mcb-m6.bioreg.kyushu-u.ac.jp/M3/20110411/F50895/1685/1", 88.57)</f>
        <v>88.57</v>
      </c>
      <c r="E7269" s="2">
        <v>57.93</v>
      </c>
      <c r="F7269" s="2">
        <v>2</v>
      </c>
      <c r="G7269" s="2" t="s">
        <v>9</v>
      </c>
    </row>
    <row r="7270" spans="1:7" x14ac:dyDescent="0.2">
      <c r="A7270" s="2" t="s">
        <v>3782</v>
      </c>
      <c r="B7270" s="2" t="s">
        <v>1287</v>
      </c>
      <c r="C7270" s="2">
        <v>663.07209999999998</v>
      </c>
      <c r="D7270" s="2">
        <f>HYPERLINK("http://mcb-m6.bioreg.kyushu-u.ac.jp/M3/20110411/F50894/1924/1", 103.82)</f>
        <v>103.82</v>
      </c>
      <c r="E7270" s="2">
        <v>64.56</v>
      </c>
      <c r="F7270" s="2">
        <v>2</v>
      </c>
      <c r="G7270" s="2" t="s">
        <v>9</v>
      </c>
    </row>
    <row r="7271" spans="1:7" x14ac:dyDescent="0.2">
      <c r="A7271" s="2" t="s">
        <v>3782</v>
      </c>
      <c r="B7271" s="2" t="s">
        <v>1641</v>
      </c>
      <c r="C7271" s="2">
        <v>715.8116</v>
      </c>
      <c r="D7271" s="2">
        <f>HYPERLINK("http://mcb-m6.bioreg.kyushu-u.ac.jp/M3/20110411/F50893/2058/1", 106.71)</f>
        <v>106.71</v>
      </c>
      <c r="E7271" s="2">
        <v>80.38</v>
      </c>
      <c r="F7271" s="2">
        <v>2</v>
      </c>
      <c r="G7271" s="2" t="s">
        <v>9</v>
      </c>
    </row>
    <row r="7272" spans="1:7" x14ac:dyDescent="0.2">
      <c r="A7272" s="2" t="s">
        <v>3782</v>
      </c>
      <c r="B7272" s="2" t="s">
        <v>1892</v>
      </c>
      <c r="C7272" s="2">
        <v>629.28219999999999</v>
      </c>
      <c r="D7272" s="2">
        <f>HYPERLINK("http://mcb-m6.bioreg.kyushu-u.ac.jp/M3/20110411/F50901/1594/1", 46.96)</f>
        <v>46.96</v>
      </c>
      <c r="E7272" s="2">
        <v>27.2</v>
      </c>
      <c r="F7272" s="2">
        <v>2</v>
      </c>
      <c r="G7272" s="2" t="s">
        <v>10</v>
      </c>
    </row>
    <row r="7273" spans="1:7" x14ac:dyDescent="0.2">
      <c r="A7273" s="2" t="s">
        <v>3782</v>
      </c>
      <c r="B7273" s="2" t="s">
        <v>818</v>
      </c>
      <c r="C7273" s="2">
        <v>738.98720000000003</v>
      </c>
      <c r="D7273" s="2">
        <f>HYPERLINK("http://mcb-m6.bioreg.kyushu-u.ac.jp/M3/20110411/F50900/2131/1", 47.27)</f>
        <v>47.27</v>
      </c>
      <c r="E7273" s="2">
        <v>29.14</v>
      </c>
      <c r="F7273" s="2">
        <v>2</v>
      </c>
      <c r="G7273" s="2" t="s">
        <v>10</v>
      </c>
    </row>
    <row r="7274" spans="1:7" x14ac:dyDescent="0.2">
      <c r="A7274" s="2" t="s">
        <v>3782</v>
      </c>
      <c r="B7274" s="2" t="s">
        <v>818</v>
      </c>
      <c r="C7274" s="2">
        <v>739.26819999999998</v>
      </c>
      <c r="D7274" s="2">
        <f>HYPERLINK("http://mcb-m6.bioreg.kyushu-u.ac.jp/M3/20110411/F50901/2035/1", 50.87)</f>
        <v>50.87</v>
      </c>
      <c r="E7274" s="2">
        <v>32.03</v>
      </c>
      <c r="F7274" s="2">
        <v>2</v>
      </c>
      <c r="G7274" s="2" t="s">
        <v>10</v>
      </c>
    </row>
    <row r="7275" spans="1:7" x14ac:dyDescent="0.2">
      <c r="A7275" s="2" t="s">
        <v>3782</v>
      </c>
      <c r="B7275" s="2" t="s">
        <v>1287</v>
      </c>
      <c r="C7275" s="2">
        <v>663.0652</v>
      </c>
      <c r="D7275" s="2">
        <f>HYPERLINK("http://mcb-m6.bioreg.kyushu-u.ac.jp/M3/20110411/F50901/1702/1", 52.4)</f>
        <v>52.4</v>
      </c>
      <c r="E7275" s="2">
        <v>37.29</v>
      </c>
      <c r="F7275" s="2">
        <v>2</v>
      </c>
      <c r="G7275" s="2" t="s">
        <v>10</v>
      </c>
    </row>
    <row r="7276" spans="1:7" x14ac:dyDescent="0.2">
      <c r="A7276" s="2" t="s">
        <v>3782</v>
      </c>
      <c r="B7276" s="2" t="s">
        <v>1287</v>
      </c>
      <c r="C7276" s="2">
        <v>663.10720000000003</v>
      </c>
      <c r="D7276" s="2">
        <f>HYPERLINK("http://mcb-m6.bioreg.kyushu-u.ac.jp/M3/20110411/F50901/1703/1", 75.22)</f>
        <v>75.22</v>
      </c>
      <c r="E7276" s="2">
        <v>42.22</v>
      </c>
      <c r="F7276" s="2">
        <v>2</v>
      </c>
      <c r="G7276" s="2" t="s">
        <v>10</v>
      </c>
    </row>
    <row r="7277" spans="1:7" x14ac:dyDescent="0.2">
      <c r="A7277" s="2" t="s">
        <v>3782</v>
      </c>
      <c r="B7277" s="2" t="s">
        <v>1287</v>
      </c>
      <c r="C7277" s="2">
        <v>662.9452</v>
      </c>
      <c r="D7277" s="2">
        <f>HYPERLINK("http://mcb-m6.bioreg.kyushu-u.ac.jp/M3/20110411/F50900/1832/1", 78.16)</f>
        <v>78.16</v>
      </c>
      <c r="E7277" s="2">
        <v>58.54</v>
      </c>
      <c r="F7277" s="2">
        <v>2</v>
      </c>
      <c r="G7277" s="2" t="s">
        <v>10</v>
      </c>
    </row>
    <row r="7278" spans="1:7" x14ac:dyDescent="0.2">
      <c r="A7278" s="2" t="s">
        <v>3782</v>
      </c>
      <c r="B7278" s="2" t="s">
        <v>1287</v>
      </c>
      <c r="C7278" s="2">
        <v>663.0616</v>
      </c>
      <c r="D7278" s="2">
        <f>HYPERLINK("http://mcb-m6.bioreg.kyushu-u.ac.jp/M3/20110411/F50902/1684/1", 96.51)</f>
        <v>96.51</v>
      </c>
      <c r="E7278" s="2">
        <v>61.57</v>
      </c>
      <c r="F7278" s="2">
        <v>2</v>
      </c>
      <c r="G7278" s="2" t="s">
        <v>10</v>
      </c>
    </row>
    <row r="7279" spans="1:7" x14ac:dyDescent="0.2">
      <c r="A7279" s="2" t="s">
        <v>3782</v>
      </c>
      <c r="B7279" s="2" t="s">
        <v>2146</v>
      </c>
      <c r="C7279" s="2">
        <v>774.56269999999995</v>
      </c>
      <c r="D7279" s="2">
        <f>HYPERLINK("http://mcb-m6.bioreg.kyushu-u.ac.jp/M3/20110411/F50901/2200/1", 116.96)</f>
        <v>116.96</v>
      </c>
      <c r="E7279" s="2">
        <v>93.53</v>
      </c>
      <c r="F7279" s="2">
        <v>2</v>
      </c>
      <c r="G7279" s="2" t="s">
        <v>10</v>
      </c>
    </row>
    <row r="7280" spans="1:7" x14ac:dyDescent="0.2">
      <c r="A7280" s="2" t="s">
        <v>3782</v>
      </c>
      <c r="B7280" s="2" t="s">
        <v>1641</v>
      </c>
      <c r="C7280" s="2">
        <v>715.58669999999995</v>
      </c>
      <c r="D7280" s="2">
        <f>HYPERLINK("http://mcb-m6.bioreg.kyushu-u.ac.jp/M3/20110411/F50901/1923/1", 120.79)</f>
        <v>120.79</v>
      </c>
      <c r="E7280" s="2">
        <v>93.88</v>
      </c>
      <c r="F7280" s="2">
        <v>2</v>
      </c>
      <c r="G7280" s="2" t="s">
        <v>10</v>
      </c>
    </row>
    <row r="7281" spans="1:9" x14ac:dyDescent="0.2">
      <c r="A7281" s="2" t="s">
        <v>3782</v>
      </c>
      <c r="B7281" s="2" t="s">
        <v>2192</v>
      </c>
      <c r="C7281" s="2">
        <v>632.68960000000004</v>
      </c>
      <c r="D7281" s="2">
        <f>HYPERLINK("http://mcb-m6.bioreg.kyushu-u.ac.jp/M3/20110414/F50943/1350/1", 36.42)</f>
        <v>36.42</v>
      </c>
      <c r="E7281" s="2">
        <v>15.51</v>
      </c>
      <c r="F7281" s="2">
        <v>2</v>
      </c>
      <c r="G7281" s="2" t="s">
        <v>11</v>
      </c>
    </row>
    <row r="7282" spans="1:9" x14ac:dyDescent="0.2">
      <c r="A7282" s="2" t="s">
        <v>3782</v>
      </c>
      <c r="B7282" s="2" t="s">
        <v>2232</v>
      </c>
      <c r="C7282" s="2">
        <v>525.24570000000006</v>
      </c>
      <c r="D7282" s="2">
        <f>HYPERLINK("http://mcb-m6.bioreg.kyushu-u.ac.jp/M3/20110414/F50943/1012/1", 38.88)</f>
        <v>38.880000000000003</v>
      </c>
      <c r="E7282" s="2">
        <v>19.21</v>
      </c>
      <c r="F7282" s="2">
        <v>2</v>
      </c>
      <c r="G7282" s="2" t="s">
        <v>11</v>
      </c>
    </row>
    <row r="7283" spans="1:9" x14ac:dyDescent="0.2">
      <c r="A7283" s="2" t="s">
        <v>3782</v>
      </c>
      <c r="B7283" s="2" t="s">
        <v>2256</v>
      </c>
      <c r="C7283" s="2">
        <v>876.48569999999995</v>
      </c>
      <c r="D7283" s="2">
        <f>HYPERLINK("http://mcb-m6.bioreg.kyushu-u.ac.jp/M3/20110414/F50943/2608/1", 39.98)</f>
        <v>39.979999999999997</v>
      </c>
      <c r="E7283" s="2">
        <v>25.63</v>
      </c>
      <c r="F7283" s="2">
        <v>2</v>
      </c>
      <c r="G7283" s="2" t="s">
        <v>11</v>
      </c>
    </row>
    <row r="7284" spans="1:9" x14ac:dyDescent="0.2">
      <c r="A7284" s="2" t="s">
        <v>3782</v>
      </c>
      <c r="B7284" s="2" t="s">
        <v>2267</v>
      </c>
      <c r="C7284" s="2">
        <v>954.39319999999998</v>
      </c>
      <c r="D7284" s="2">
        <f>HYPERLINK("http://mcb-m6.bioreg.kyushu-u.ac.jp/M3/20110414/F50943/2991/1", 41.26)</f>
        <v>41.26</v>
      </c>
      <c r="E7284" s="2">
        <v>28.38</v>
      </c>
      <c r="F7284" s="2">
        <v>2</v>
      </c>
      <c r="G7284" s="2" t="s">
        <v>11</v>
      </c>
    </row>
    <row r="7285" spans="1:9" x14ac:dyDescent="0.2">
      <c r="A7285" s="2" t="s">
        <v>3782</v>
      </c>
      <c r="B7285" s="2" t="s">
        <v>2315</v>
      </c>
      <c r="C7285" s="2">
        <v>729.69619999999998</v>
      </c>
      <c r="D7285" s="2">
        <f>HYPERLINK("http://mcb-m6.bioreg.kyushu-u.ac.jp/M3/20110414/F50943/1804/1", 45.5)</f>
        <v>45.5</v>
      </c>
      <c r="E7285" s="2">
        <v>26.11</v>
      </c>
      <c r="F7285" s="2">
        <v>2</v>
      </c>
      <c r="G7285" s="2" t="s">
        <v>11</v>
      </c>
    </row>
    <row r="7286" spans="1:9" x14ac:dyDescent="0.2">
      <c r="A7286" s="2" t="s">
        <v>3782</v>
      </c>
      <c r="B7286" s="2" t="s">
        <v>2332</v>
      </c>
      <c r="C7286" s="2">
        <v>778.53269999999998</v>
      </c>
      <c r="D7286" s="2">
        <f>HYPERLINK("http://mcb-m6.bioreg.kyushu-u.ac.jp/M3/20110414/F50943/2123/1", 47.3)</f>
        <v>47.3</v>
      </c>
      <c r="E7286" s="2">
        <v>30.97</v>
      </c>
      <c r="F7286" s="2">
        <v>2</v>
      </c>
      <c r="G7286" s="2" t="s">
        <v>11</v>
      </c>
    </row>
    <row r="7287" spans="1:9" x14ac:dyDescent="0.2">
      <c r="A7287" s="2" t="s">
        <v>3782</v>
      </c>
      <c r="B7287" s="2" t="s">
        <v>2352</v>
      </c>
      <c r="C7287" s="2">
        <v>1052.425</v>
      </c>
      <c r="D7287" s="2">
        <f>HYPERLINK("http://mcb-m6.bioreg.kyushu-u.ac.jp/M3/20110414/F50943/3378/1", 49.42)</f>
        <v>49.42</v>
      </c>
      <c r="E7287" s="2">
        <v>38.51</v>
      </c>
      <c r="F7287" s="2">
        <v>2</v>
      </c>
      <c r="G7287" s="2" t="s">
        <v>11</v>
      </c>
      <c r="I7287" s="2" t="s">
        <v>4895</v>
      </c>
    </row>
    <row r="7288" spans="1:9" x14ac:dyDescent="0.2">
      <c r="A7288" s="2" t="s">
        <v>3782</v>
      </c>
      <c r="B7288" s="2" t="s">
        <v>2352</v>
      </c>
      <c r="C7288" s="2">
        <v>1051.8969999999999</v>
      </c>
      <c r="D7288" s="2">
        <f>HYPERLINK("http://mcb-m6.bioreg.kyushu-u.ac.jp/M3/20110414/F50943/3372/1", 50.25)</f>
        <v>50.25</v>
      </c>
      <c r="E7288" s="2">
        <v>39.25</v>
      </c>
      <c r="F7288" s="2">
        <v>2</v>
      </c>
      <c r="G7288" s="2" t="s">
        <v>11</v>
      </c>
      <c r="I7288" s="2" t="s">
        <v>4895</v>
      </c>
    </row>
    <row r="7289" spans="1:9" x14ac:dyDescent="0.2">
      <c r="A7289" s="2" t="s">
        <v>3782</v>
      </c>
      <c r="B7289" s="2" t="s">
        <v>835</v>
      </c>
      <c r="C7289" s="2">
        <v>930.80020000000002</v>
      </c>
      <c r="D7289" s="2">
        <f>HYPERLINK("http://mcb-m6.bioreg.kyushu-u.ac.jp/M3/20110414/F50943/2878/1", 56.39)</f>
        <v>56.39</v>
      </c>
      <c r="E7289" s="2">
        <v>37.950000000000003</v>
      </c>
      <c r="F7289" s="2">
        <v>2</v>
      </c>
      <c r="G7289" s="2" t="s">
        <v>11</v>
      </c>
      <c r="I7289" s="2" t="s">
        <v>4895</v>
      </c>
    </row>
    <row r="7290" spans="1:9" x14ac:dyDescent="0.2">
      <c r="A7290" s="2" t="s">
        <v>3782</v>
      </c>
      <c r="B7290" s="2" t="s">
        <v>818</v>
      </c>
      <c r="C7290" s="2">
        <v>738.71969999999999</v>
      </c>
      <c r="D7290" s="2">
        <f>HYPERLINK("http://mcb-m6.bioreg.kyushu-u.ac.jp/M3/20110414/F50943/1866/1", 56.53)</f>
        <v>56.53</v>
      </c>
      <c r="E7290" s="2">
        <v>35.5</v>
      </c>
      <c r="F7290" s="2">
        <v>2</v>
      </c>
      <c r="G7290" s="2" t="s">
        <v>11</v>
      </c>
    </row>
    <row r="7291" spans="1:9" x14ac:dyDescent="0.2">
      <c r="A7291" s="2" t="s">
        <v>3782</v>
      </c>
      <c r="B7291" s="2" t="s">
        <v>2442</v>
      </c>
      <c r="C7291" s="2">
        <v>1033.4490000000001</v>
      </c>
      <c r="D7291" s="2">
        <f>HYPERLINK("http://mcb-m6.bioreg.kyushu-u.ac.jp/M3/20110414/F50943/3315/1", 64.4)</f>
        <v>64.400000000000006</v>
      </c>
      <c r="E7291" s="2">
        <v>48.32</v>
      </c>
      <c r="F7291" s="2">
        <v>2</v>
      </c>
      <c r="G7291" s="2" t="s">
        <v>11</v>
      </c>
      <c r="H7291" s="2" t="s">
        <v>4896</v>
      </c>
      <c r="I7291" s="2" t="s">
        <v>4903</v>
      </c>
    </row>
    <row r="7292" spans="1:9" x14ac:dyDescent="0.2">
      <c r="A7292" s="2" t="s">
        <v>3782</v>
      </c>
      <c r="B7292" s="2" t="s">
        <v>1287</v>
      </c>
      <c r="C7292" s="2">
        <v>663.33370000000002</v>
      </c>
      <c r="D7292" s="2">
        <f>HYPERLINK("http://mcb-m6.bioreg.kyushu-u.ac.jp/M3/20110414/F50943/1465/1", 67.81)</f>
        <v>67.81</v>
      </c>
      <c r="E7292" s="2">
        <v>48.78</v>
      </c>
      <c r="F7292" s="2">
        <v>2</v>
      </c>
      <c r="G7292" s="2" t="s">
        <v>11</v>
      </c>
    </row>
    <row r="7293" spans="1:9" x14ac:dyDescent="0.2">
      <c r="A7293" s="2" t="s">
        <v>3782</v>
      </c>
      <c r="B7293" s="2" t="s">
        <v>1287</v>
      </c>
      <c r="C7293" s="2">
        <v>663.31669999999997</v>
      </c>
      <c r="D7293" s="2">
        <f>HYPERLINK("http://mcb-m6.bioreg.kyushu-u.ac.jp/M3/20110414/F50957/1361/1", 72.02)</f>
        <v>72.02</v>
      </c>
      <c r="E7293" s="2">
        <v>53.59</v>
      </c>
      <c r="F7293" s="2">
        <v>2</v>
      </c>
      <c r="G7293" s="2" t="s">
        <v>11</v>
      </c>
    </row>
    <row r="7294" spans="1:9" x14ac:dyDescent="0.2">
      <c r="A7294" s="2" t="s">
        <v>3782</v>
      </c>
      <c r="B7294" s="2" t="s">
        <v>835</v>
      </c>
      <c r="C7294" s="2">
        <v>930.27670000000001</v>
      </c>
      <c r="D7294" s="2">
        <f>HYPERLINK("http://mcb-m6.bioreg.kyushu-u.ac.jp/M3/20110414/F50943/2873/1", 76.55)</f>
        <v>76.55</v>
      </c>
      <c r="E7294" s="2">
        <v>60.22</v>
      </c>
      <c r="F7294" s="2">
        <v>2</v>
      </c>
      <c r="G7294" s="2" t="s">
        <v>11</v>
      </c>
      <c r="I7294" s="2" t="s">
        <v>4895</v>
      </c>
    </row>
    <row r="7295" spans="1:9" x14ac:dyDescent="0.2">
      <c r="A7295" s="2" t="s">
        <v>3782</v>
      </c>
      <c r="B7295" s="2" t="s">
        <v>2442</v>
      </c>
      <c r="C7295" s="2">
        <v>1025.838</v>
      </c>
      <c r="D7295" s="2">
        <f>HYPERLINK("http://mcb-m6.bioreg.kyushu-u.ac.jp/M3/20110414/F50943/3283/1", 94.09)</f>
        <v>94.09</v>
      </c>
      <c r="E7295" s="2">
        <v>80.55</v>
      </c>
      <c r="F7295" s="2">
        <v>2</v>
      </c>
      <c r="G7295" s="2" t="s">
        <v>11</v>
      </c>
      <c r="I7295" s="2" t="s">
        <v>4903</v>
      </c>
    </row>
    <row r="7296" spans="1:9" x14ac:dyDescent="0.2">
      <c r="A7296" s="2" t="s">
        <v>3782</v>
      </c>
      <c r="B7296" s="2" t="s">
        <v>1641</v>
      </c>
      <c r="C7296" s="2">
        <v>715.32169999999996</v>
      </c>
      <c r="D7296" s="2">
        <f>HYPERLINK("http://mcb-m6.bioreg.kyushu-u.ac.jp/M3/20110414/F50943/1716/1", 110.78)</f>
        <v>110.78</v>
      </c>
      <c r="E7296" s="2">
        <v>94.15</v>
      </c>
      <c r="F7296" s="2">
        <v>2</v>
      </c>
      <c r="G7296" s="2" t="s">
        <v>11</v>
      </c>
    </row>
    <row r="7297" spans="1:9" x14ac:dyDescent="0.2">
      <c r="A7297" s="2" t="s">
        <v>3782</v>
      </c>
      <c r="B7297" s="2" t="s">
        <v>818</v>
      </c>
      <c r="C7297" s="2">
        <v>738.50959999999998</v>
      </c>
      <c r="D7297" s="2">
        <f>HYPERLINK("http://mcb-m6.bioreg.kyushu-u.ac.jp/M3/20110414/F50950/2149/1", 42.05)</f>
        <v>42.05</v>
      </c>
      <c r="E7297" s="2">
        <v>17.53</v>
      </c>
      <c r="F7297" s="2">
        <v>2</v>
      </c>
      <c r="G7297" s="2" t="s">
        <v>12</v>
      </c>
    </row>
    <row r="7298" spans="1:9" x14ac:dyDescent="0.2">
      <c r="A7298" s="2" t="s">
        <v>3782</v>
      </c>
      <c r="B7298" s="2" t="s">
        <v>2681</v>
      </c>
      <c r="C7298" s="2">
        <v>848.89670000000001</v>
      </c>
      <c r="D7298" s="2">
        <f>HYPERLINK("http://mcb-m6.bioreg.kyushu-u.ac.jp/M3/20110414/F50950/2758/1", 52.48)</f>
        <v>52.48</v>
      </c>
      <c r="E7298" s="2">
        <v>33.090000000000003</v>
      </c>
      <c r="F7298" s="2">
        <v>2</v>
      </c>
      <c r="G7298" s="2" t="s">
        <v>12</v>
      </c>
      <c r="I7298" s="2" t="s">
        <v>4890</v>
      </c>
    </row>
    <row r="7299" spans="1:9" x14ac:dyDescent="0.2">
      <c r="A7299" s="2" t="s">
        <v>3782</v>
      </c>
      <c r="B7299" s="2" t="s">
        <v>835</v>
      </c>
      <c r="C7299" s="2">
        <v>929.9547</v>
      </c>
      <c r="D7299" s="2">
        <f>HYPERLINK("http://mcb-m6.bioreg.kyushu-u.ac.jp/M3/20110414/F50950/3164/1", 55.98)</f>
        <v>55.98</v>
      </c>
      <c r="E7299" s="2">
        <v>30.15</v>
      </c>
      <c r="F7299" s="2">
        <v>2</v>
      </c>
      <c r="G7299" s="2" t="s">
        <v>12</v>
      </c>
      <c r="I7299" s="2" t="s">
        <v>4895</v>
      </c>
    </row>
    <row r="7300" spans="1:9" x14ac:dyDescent="0.2">
      <c r="A7300" s="2" t="s">
        <v>3782</v>
      </c>
      <c r="B7300" s="2" t="s">
        <v>835</v>
      </c>
      <c r="C7300" s="2">
        <v>929.91769999999997</v>
      </c>
      <c r="D7300" s="2">
        <f>HYPERLINK("http://mcb-m6.bioreg.kyushu-u.ac.jp/M3/20110414/F50949/2466/1", 67.57)</f>
        <v>67.569999999999993</v>
      </c>
      <c r="E7300" s="2">
        <v>53.59</v>
      </c>
      <c r="F7300" s="2">
        <v>2</v>
      </c>
      <c r="G7300" s="2" t="s">
        <v>12</v>
      </c>
      <c r="I7300" s="2" t="s">
        <v>4895</v>
      </c>
    </row>
    <row r="7301" spans="1:9" x14ac:dyDescent="0.2">
      <c r="A7301" s="2" t="s">
        <v>3782</v>
      </c>
      <c r="B7301" s="2" t="s">
        <v>2681</v>
      </c>
      <c r="C7301" s="2">
        <v>849.36969999999997</v>
      </c>
      <c r="D7301" s="2">
        <f>HYPERLINK("http://mcb-m6.bioreg.kyushu-u.ac.jp/M3/20110414/F50949/2331/1", 79.33)</f>
        <v>79.33</v>
      </c>
      <c r="E7301" s="2">
        <v>59.43</v>
      </c>
      <c r="F7301" s="2">
        <v>2</v>
      </c>
      <c r="G7301" s="2" t="s">
        <v>12</v>
      </c>
      <c r="I7301" s="2" t="s">
        <v>4890</v>
      </c>
    </row>
    <row r="7302" spans="1:9" x14ac:dyDescent="0.2">
      <c r="A7302" s="2" t="s">
        <v>3782</v>
      </c>
      <c r="B7302" s="2" t="s">
        <v>1287</v>
      </c>
      <c r="C7302" s="2">
        <v>663.15170000000001</v>
      </c>
      <c r="D7302" s="2">
        <f>HYPERLINK("http://mcb-m6.bioreg.kyushu-u.ac.jp/M3/20110414/F50948/1571/1", 80.06)</f>
        <v>80.06</v>
      </c>
      <c r="E7302" s="2">
        <v>51.73</v>
      </c>
      <c r="F7302" s="2">
        <v>2</v>
      </c>
      <c r="G7302" s="2" t="s">
        <v>12</v>
      </c>
    </row>
    <row r="7303" spans="1:9" x14ac:dyDescent="0.2">
      <c r="A7303" s="2" t="s">
        <v>3782</v>
      </c>
      <c r="B7303" s="2" t="s">
        <v>1287</v>
      </c>
      <c r="C7303" s="2">
        <v>663.0027</v>
      </c>
      <c r="D7303" s="2">
        <f>HYPERLINK("http://mcb-m6.bioreg.kyushu-u.ac.jp/M3/20110414/F50950/1672/1", 84.2)</f>
        <v>84.2</v>
      </c>
      <c r="E7303" s="2">
        <v>50.53</v>
      </c>
      <c r="F7303" s="2">
        <v>2</v>
      </c>
      <c r="G7303" s="2" t="s">
        <v>12</v>
      </c>
    </row>
    <row r="7304" spans="1:9" x14ac:dyDescent="0.2">
      <c r="A7304" s="2" t="s">
        <v>3782</v>
      </c>
      <c r="B7304" s="2" t="s">
        <v>1287</v>
      </c>
      <c r="C7304" s="2">
        <v>662.49959999999999</v>
      </c>
      <c r="D7304" s="2">
        <f>HYPERLINK("http://mcb-m6.bioreg.kyushu-u.ac.jp/M3/20110414/F50950/1670/1", 87.89)</f>
        <v>87.89</v>
      </c>
      <c r="E7304" s="2">
        <v>56.18</v>
      </c>
      <c r="F7304" s="2">
        <v>2</v>
      </c>
      <c r="G7304" s="2" t="s">
        <v>12</v>
      </c>
    </row>
    <row r="7305" spans="1:9" x14ac:dyDescent="0.2">
      <c r="A7305" s="2" t="s">
        <v>3782</v>
      </c>
      <c r="B7305" s="2" t="s">
        <v>2146</v>
      </c>
      <c r="C7305" s="2">
        <v>774.03219999999999</v>
      </c>
      <c r="D7305" s="2">
        <f>HYPERLINK("http://mcb-m6.bioreg.kyushu-u.ac.jp/M3/20110414/F50950/2340/1", 88.49)</f>
        <v>88.49</v>
      </c>
      <c r="E7305" s="2">
        <v>52.47</v>
      </c>
      <c r="F7305" s="2">
        <v>2</v>
      </c>
      <c r="G7305" s="2" t="s">
        <v>12</v>
      </c>
    </row>
    <row r="7306" spans="1:9" x14ac:dyDescent="0.2">
      <c r="A7306" s="2" t="s">
        <v>3782</v>
      </c>
      <c r="B7306" s="2" t="s">
        <v>1641</v>
      </c>
      <c r="C7306" s="2">
        <v>715.2482</v>
      </c>
      <c r="D7306" s="2">
        <f>HYPERLINK("http://mcb-m6.bioreg.kyushu-u.ac.jp/M3/20110414/F50950/1998/1", 119.43)</f>
        <v>119.43</v>
      </c>
      <c r="E7306" s="2">
        <v>95.37</v>
      </c>
      <c r="F7306" s="2">
        <v>2</v>
      </c>
      <c r="G7306" s="2" t="s">
        <v>12</v>
      </c>
    </row>
    <row r="7307" spans="1:9" x14ac:dyDescent="0.2">
      <c r="A7307" s="2" t="s">
        <v>3782</v>
      </c>
      <c r="B7307" s="2" t="s">
        <v>2921</v>
      </c>
      <c r="C7307" s="2">
        <v>538.51070000000004</v>
      </c>
      <c r="D7307" s="2">
        <f>HYPERLINK("http://mcb-m6.bioreg.kyushu-u.ac.jp/M3/20110502/F51173/764/1", 51.69)</f>
        <v>51.69</v>
      </c>
      <c r="E7307" s="2">
        <v>24.57</v>
      </c>
      <c r="F7307" s="2">
        <v>2</v>
      </c>
      <c r="G7307" s="2" t="s">
        <v>13</v>
      </c>
    </row>
    <row r="7308" spans="1:9" x14ac:dyDescent="0.2">
      <c r="A7308" s="2" t="s">
        <v>3782</v>
      </c>
      <c r="B7308" s="2" t="s">
        <v>2681</v>
      </c>
      <c r="C7308" s="2">
        <v>849.01570000000004</v>
      </c>
      <c r="D7308" s="2">
        <f>HYPERLINK("http://mcb-m6.bioreg.kyushu-u.ac.jp/M3/20110502/F51173/2478/1", 74.97)</f>
        <v>74.97</v>
      </c>
      <c r="E7308" s="2">
        <v>52.01</v>
      </c>
      <c r="F7308" s="2">
        <v>2</v>
      </c>
      <c r="G7308" s="2" t="s">
        <v>13</v>
      </c>
      <c r="I7308" s="2" t="s">
        <v>4890</v>
      </c>
    </row>
    <row r="7309" spans="1:9" x14ac:dyDescent="0.2">
      <c r="A7309" s="2" t="s">
        <v>3782</v>
      </c>
      <c r="B7309" s="2" t="s">
        <v>835</v>
      </c>
      <c r="C7309" s="2">
        <v>930.6902</v>
      </c>
      <c r="D7309" s="2">
        <f>HYPERLINK("http://mcb-m6.bioreg.kyushu-u.ac.jp/M3/20110502/F51173/2928/1", 82.6)</f>
        <v>82.6</v>
      </c>
      <c r="E7309" s="2">
        <v>66.16</v>
      </c>
      <c r="F7309" s="2">
        <v>2</v>
      </c>
      <c r="G7309" s="2" t="s">
        <v>13</v>
      </c>
      <c r="I7309" s="2" t="s">
        <v>4895</v>
      </c>
    </row>
    <row r="7310" spans="1:9" x14ac:dyDescent="0.2">
      <c r="A7310" s="2" t="s">
        <v>3782</v>
      </c>
      <c r="B7310" s="2" t="s">
        <v>2442</v>
      </c>
      <c r="C7310" s="2">
        <v>1025.673</v>
      </c>
      <c r="D7310" s="2">
        <f>HYPERLINK("http://mcb-m6.bioreg.kyushu-u.ac.jp/M3/20110502/F51173/3292/1", 95.71)</f>
        <v>95.71</v>
      </c>
      <c r="E7310" s="2">
        <v>84.55</v>
      </c>
      <c r="F7310" s="2">
        <v>2</v>
      </c>
      <c r="G7310" s="2" t="s">
        <v>13</v>
      </c>
      <c r="I7310" s="2" t="s">
        <v>4903</v>
      </c>
    </row>
    <row r="7311" spans="1:9" x14ac:dyDescent="0.2">
      <c r="A7311" s="2" t="s">
        <v>3782</v>
      </c>
      <c r="B7311" s="2" t="s">
        <v>1287</v>
      </c>
      <c r="C7311" s="2">
        <v>663.15719999999999</v>
      </c>
      <c r="D7311" s="2">
        <f>HYPERLINK("http://mcb-m6.bioreg.kyushu-u.ac.jp/M3/20110502/F51174/1646/1", 96.96)</f>
        <v>96.96</v>
      </c>
      <c r="E7311" s="2">
        <v>63.55</v>
      </c>
      <c r="F7311" s="2">
        <v>2</v>
      </c>
      <c r="G7311" s="2" t="s">
        <v>13</v>
      </c>
    </row>
    <row r="7312" spans="1:9" x14ac:dyDescent="0.2">
      <c r="A7312" s="2" t="s">
        <v>3782</v>
      </c>
      <c r="B7312" s="2" t="s">
        <v>2146</v>
      </c>
      <c r="C7312" s="2">
        <v>774.91520000000003</v>
      </c>
      <c r="D7312" s="2">
        <f>HYPERLINK("http://mcb-m6.bioreg.kyushu-u.ac.jp/M3/20110502/F51173/2003/1", 108.07)</f>
        <v>108.07</v>
      </c>
      <c r="E7312" s="2">
        <v>87.8</v>
      </c>
      <c r="F7312" s="2">
        <v>2</v>
      </c>
      <c r="G7312" s="2" t="s">
        <v>13</v>
      </c>
    </row>
    <row r="7313" spans="1:9" x14ac:dyDescent="0.2">
      <c r="A7313" s="2" t="s">
        <v>3782</v>
      </c>
      <c r="B7313" s="2" t="s">
        <v>818</v>
      </c>
      <c r="C7313" s="2">
        <v>739.09619999999995</v>
      </c>
      <c r="D7313" s="2">
        <f>HYPERLINK("http://mcb-m6.bioreg.kyushu-u.ac.jp/M3/20110502/F51184/1835/1", 51.43)</f>
        <v>51.43</v>
      </c>
      <c r="E7313" s="2">
        <v>32.909999999999997</v>
      </c>
      <c r="F7313" s="2">
        <v>2</v>
      </c>
      <c r="G7313" s="2" t="s">
        <v>14</v>
      </c>
    </row>
    <row r="7314" spans="1:9" x14ac:dyDescent="0.2">
      <c r="A7314" s="2" t="s">
        <v>3782</v>
      </c>
      <c r="B7314" s="2" t="s">
        <v>2442</v>
      </c>
      <c r="C7314" s="2">
        <v>1025.9480000000001</v>
      </c>
      <c r="D7314" s="2">
        <f>HYPERLINK("http://mcb-m6.bioreg.kyushu-u.ac.jp/M3/20110502/F51184/3385/1", 59.03)</f>
        <v>59.03</v>
      </c>
      <c r="E7314" s="2">
        <v>48.35</v>
      </c>
      <c r="F7314" s="2">
        <v>2</v>
      </c>
      <c r="G7314" s="2" t="s">
        <v>14</v>
      </c>
      <c r="I7314" s="2" t="s">
        <v>4903</v>
      </c>
    </row>
    <row r="7315" spans="1:9" x14ac:dyDescent="0.2">
      <c r="A7315" s="2" t="s">
        <v>3782</v>
      </c>
      <c r="B7315" s="2" t="s">
        <v>2442</v>
      </c>
      <c r="C7315" s="2">
        <v>1033.694</v>
      </c>
      <c r="D7315" s="2">
        <f>HYPERLINK("http://mcb-m6.bioreg.kyushu-u.ac.jp/M3/20110502/F51184/3416/1", 70.89)</f>
        <v>70.89</v>
      </c>
      <c r="E7315" s="2">
        <v>35.369999999999997</v>
      </c>
      <c r="F7315" s="2">
        <v>2</v>
      </c>
      <c r="G7315" s="2" t="s">
        <v>14</v>
      </c>
      <c r="H7315" s="2" t="s">
        <v>4896</v>
      </c>
      <c r="I7315" s="2" t="s">
        <v>4903</v>
      </c>
    </row>
    <row r="7316" spans="1:9" x14ac:dyDescent="0.2">
      <c r="A7316" s="2" t="s">
        <v>3782</v>
      </c>
      <c r="B7316" s="2" t="s">
        <v>835</v>
      </c>
      <c r="C7316" s="2">
        <v>930.64509999999996</v>
      </c>
      <c r="D7316" s="2">
        <f>HYPERLINK("http://mcb-m6.bioreg.kyushu-u.ac.jp/M3/20110502/F51184/2955/1", 73.07)</f>
        <v>73.069999999999993</v>
      </c>
      <c r="E7316" s="2">
        <v>55.52</v>
      </c>
      <c r="F7316" s="2">
        <v>2</v>
      </c>
      <c r="G7316" s="2" t="s">
        <v>14</v>
      </c>
      <c r="I7316" s="2" t="s">
        <v>4895</v>
      </c>
    </row>
    <row r="7317" spans="1:9" x14ac:dyDescent="0.2">
      <c r="A7317" s="2" t="s">
        <v>3782</v>
      </c>
      <c r="B7317" s="2" t="s">
        <v>1287</v>
      </c>
      <c r="C7317" s="2">
        <v>663.02970000000005</v>
      </c>
      <c r="D7317" s="2">
        <f>HYPERLINK("http://mcb-m6.bioreg.kyushu-u.ac.jp/M3/20110502/F51184/1337/1", 92.44)</f>
        <v>92.44</v>
      </c>
      <c r="E7317" s="2">
        <v>54.61</v>
      </c>
      <c r="F7317" s="2">
        <v>2</v>
      </c>
      <c r="G7317" s="2" t="s">
        <v>14</v>
      </c>
    </row>
    <row r="7318" spans="1:9" x14ac:dyDescent="0.2">
      <c r="A7318" s="2" t="s">
        <v>3782</v>
      </c>
      <c r="B7318" s="2" t="s">
        <v>2146</v>
      </c>
      <c r="C7318" s="2">
        <v>774.69269999999995</v>
      </c>
      <c r="D7318" s="2">
        <f>HYPERLINK("http://mcb-m6.bioreg.kyushu-u.ac.jp/M3/20110502/F51184/2051/1", 97.89)</f>
        <v>97.89</v>
      </c>
      <c r="E7318" s="2">
        <v>78.010000000000005</v>
      </c>
      <c r="F7318" s="2">
        <v>2</v>
      </c>
      <c r="G7318" s="2" t="s">
        <v>14</v>
      </c>
    </row>
    <row r="7319" spans="1:9" x14ac:dyDescent="0.2">
      <c r="A7319" s="2" t="s">
        <v>3782</v>
      </c>
      <c r="B7319" s="2" t="s">
        <v>1287</v>
      </c>
      <c r="C7319" s="2">
        <v>663.15470000000005</v>
      </c>
      <c r="D7319" s="2">
        <f>HYPERLINK("http://mcb-m6.bioreg.kyushu-u.ac.jp/M3/20110502/F51186/1464/1", 111.54)</f>
        <v>111.54</v>
      </c>
      <c r="E7319" s="2">
        <v>86.7</v>
      </c>
      <c r="F7319" s="2">
        <v>2</v>
      </c>
      <c r="G7319" s="2" t="s">
        <v>14</v>
      </c>
    </row>
    <row r="7320" spans="1:9" x14ac:dyDescent="0.2">
      <c r="A7320" s="2" t="s">
        <v>4432</v>
      </c>
      <c r="B7320" s="2" t="s">
        <v>2310</v>
      </c>
      <c r="C7320" s="2">
        <v>707.92100000000005</v>
      </c>
      <c r="D7320" s="2">
        <f>HYPERLINK("http://mcb-m6.bioreg.kyushu-u.ac.jp/M3/20110414/F50926/1143/1", 45.01)</f>
        <v>45.01</v>
      </c>
      <c r="E7320" s="2">
        <v>3.69</v>
      </c>
      <c r="F7320" s="2">
        <v>1</v>
      </c>
      <c r="G7320" s="2" t="s">
        <v>11</v>
      </c>
      <c r="H7320" s="2" t="s">
        <v>4908</v>
      </c>
    </row>
    <row r="7321" spans="1:9" x14ac:dyDescent="0.2">
      <c r="A7321" s="2" t="s">
        <v>4391</v>
      </c>
      <c r="B7321" s="2" t="s">
        <v>2231</v>
      </c>
      <c r="C7321" s="2">
        <v>930.27499999999998</v>
      </c>
      <c r="D7321" s="2">
        <f>HYPERLINK("http://mcb-m6.bioreg.kyushu-u.ac.jp/M3/20110414/F50924/866/1", 38.82)</f>
        <v>38.82</v>
      </c>
      <c r="E7321" s="2">
        <v>32.69</v>
      </c>
      <c r="F7321" s="2">
        <v>1</v>
      </c>
      <c r="G7321" s="2" t="s">
        <v>11</v>
      </c>
    </row>
    <row r="7322" spans="1:9" x14ac:dyDescent="0.2">
      <c r="A7322" s="2" t="s">
        <v>4391</v>
      </c>
      <c r="B7322" s="2" t="s">
        <v>2231</v>
      </c>
      <c r="C7322" s="2">
        <v>930.61400000000003</v>
      </c>
      <c r="D7322" s="2">
        <f>HYPERLINK("http://mcb-m6.bioreg.kyushu-u.ac.jp/M3/20110502/F51181/674/1", 36.23)</f>
        <v>36.229999999999997</v>
      </c>
      <c r="E7322" s="2">
        <v>20.05</v>
      </c>
      <c r="F7322" s="2">
        <v>1</v>
      </c>
      <c r="G7322" s="2" t="s">
        <v>14</v>
      </c>
    </row>
    <row r="7323" spans="1:9" x14ac:dyDescent="0.2">
      <c r="A7323" s="2" t="s">
        <v>4416</v>
      </c>
      <c r="B7323" s="2" t="s">
        <v>2277</v>
      </c>
      <c r="C7323" s="2">
        <v>611.3827</v>
      </c>
      <c r="D7323" s="2">
        <f>HYPERLINK("http://mcb-m6.bioreg.kyushu-u.ac.jp/M3/20110414/F50924/1510/1", 42.23)</f>
        <v>42.23</v>
      </c>
      <c r="E7323" s="2">
        <v>24.05</v>
      </c>
      <c r="F7323" s="2">
        <v>2</v>
      </c>
      <c r="G7323" s="2" t="s">
        <v>11</v>
      </c>
      <c r="I7323" s="2" t="s">
        <v>4892</v>
      </c>
    </row>
    <row r="7324" spans="1:9" x14ac:dyDescent="0.2">
      <c r="A7324" s="2" t="s">
        <v>4469</v>
      </c>
      <c r="B7324" s="2" t="s">
        <v>2408</v>
      </c>
      <c r="C7324" s="2">
        <v>680.8682</v>
      </c>
      <c r="D7324" s="2">
        <f>HYPERLINK("http://mcb-m6.bioreg.kyushu-u.ac.jp/M3/20110414/F50924/1764/1", 57.88)</f>
        <v>57.88</v>
      </c>
      <c r="E7324" s="2">
        <v>35.9</v>
      </c>
      <c r="F7324" s="2">
        <v>2</v>
      </c>
      <c r="G7324" s="2" t="s">
        <v>11</v>
      </c>
    </row>
    <row r="7325" spans="1:9" x14ac:dyDescent="0.2">
      <c r="A7325" s="2" t="s">
        <v>3841</v>
      </c>
      <c r="B7325" s="2" t="s">
        <v>931</v>
      </c>
      <c r="C7325" s="2">
        <v>845.00419999999997</v>
      </c>
      <c r="D7325" s="2">
        <f>HYPERLINK("http://mcb-m6.bioreg.kyushu-u.ac.jp/M3/20110411/F50891/2691/1", 55.92)</f>
        <v>55.92</v>
      </c>
      <c r="E7325" s="2">
        <v>46.51</v>
      </c>
      <c r="F7325" s="2">
        <v>2</v>
      </c>
      <c r="G7325" s="2" t="s">
        <v>9</v>
      </c>
    </row>
    <row r="7326" spans="1:9" x14ac:dyDescent="0.2">
      <c r="A7326" s="2" t="s">
        <v>3841</v>
      </c>
      <c r="B7326" s="2" t="s">
        <v>1400</v>
      </c>
      <c r="C7326" s="2">
        <v>909.42909999999995</v>
      </c>
      <c r="D7326" s="2">
        <f>HYPERLINK("http://mcb-m6.bioreg.kyushu-u.ac.jp/M3/20110411/F50891/3046/1", 77.94)</f>
        <v>77.94</v>
      </c>
      <c r="E7326" s="2">
        <v>64.08</v>
      </c>
      <c r="F7326" s="2">
        <v>2</v>
      </c>
      <c r="G7326" s="2" t="s">
        <v>9</v>
      </c>
    </row>
    <row r="7327" spans="1:9" x14ac:dyDescent="0.2">
      <c r="A7327" s="2" t="s">
        <v>3841</v>
      </c>
      <c r="B7327" s="2" t="s">
        <v>931</v>
      </c>
      <c r="C7327" s="2">
        <v>845.01919999999996</v>
      </c>
      <c r="D7327" s="2">
        <f>HYPERLINK("http://mcb-m6.bioreg.kyushu-u.ac.jp/M3/20110411/F50898/2555/1", 84.54)</f>
        <v>84.54</v>
      </c>
      <c r="E7327" s="2">
        <v>65.75</v>
      </c>
      <c r="F7327" s="2">
        <v>2</v>
      </c>
      <c r="G7327" s="2" t="s">
        <v>10</v>
      </c>
    </row>
    <row r="7328" spans="1:9" x14ac:dyDescent="0.2">
      <c r="A7328" s="2" t="s">
        <v>3841</v>
      </c>
      <c r="B7328" s="2" t="s">
        <v>931</v>
      </c>
      <c r="C7328" s="2">
        <v>845.04909999999995</v>
      </c>
      <c r="D7328" s="2">
        <f>HYPERLINK("http://mcb-m6.bioreg.kyushu-u.ac.jp/M3/20110414/F50927/2713/1", 35.85)</f>
        <v>35.85</v>
      </c>
      <c r="E7328" s="2">
        <v>22.6</v>
      </c>
      <c r="F7328" s="2">
        <v>2</v>
      </c>
      <c r="G7328" s="2" t="s">
        <v>11</v>
      </c>
    </row>
    <row r="7329" spans="1:7" x14ac:dyDescent="0.2">
      <c r="A7329" s="2" t="s">
        <v>3841</v>
      </c>
      <c r="B7329" s="2" t="s">
        <v>2242</v>
      </c>
      <c r="C7329" s="2">
        <v>471.86559999999997</v>
      </c>
      <c r="D7329" s="2">
        <f>HYPERLINK("http://mcb-m6.bioreg.kyushu-u.ac.jp/M3/20110414/F50928/1060/1", 39.16)</f>
        <v>39.159999999999997</v>
      </c>
      <c r="E7329" s="2">
        <v>22.58</v>
      </c>
      <c r="F7329" s="2">
        <v>2</v>
      </c>
      <c r="G7329" s="2" t="s">
        <v>11</v>
      </c>
    </row>
    <row r="7330" spans="1:7" x14ac:dyDescent="0.2">
      <c r="A7330" s="2" t="s">
        <v>3841</v>
      </c>
      <c r="B7330" s="2" t="s">
        <v>2242</v>
      </c>
      <c r="C7330" s="2">
        <v>471.86110000000002</v>
      </c>
      <c r="D7330" s="2">
        <f>HYPERLINK("http://mcb-m6.bioreg.kyushu-u.ac.jp/M3/20110414/F50928/1059/1", 40.65)</f>
        <v>40.65</v>
      </c>
      <c r="E7330" s="2">
        <v>20.32</v>
      </c>
      <c r="F7330" s="2">
        <v>2</v>
      </c>
      <c r="G7330" s="2" t="s">
        <v>11</v>
      </c>
    </row>
    <row r="7331" spans="1:7" x14ac:dyDescent="0.2">
      <c r="A7331" s="2" t="s">
        <v>3841</v>
      </c>
      <c r="B7331" s="2" t="s">
        <v>931</v>
      </c>
      <c r="C7331" s="2">
        <v>845.37869999999998</v>
      </c>
      <c r="D7331" s="2">
        <f>HYPERLINK("http://mcb-m6.bioreg.kyushu-u.ac.jp/M3/20110414/F50928/2761/1", 41.64)</f>
        <v>41.64</v>
      </c>
      <c r="E7331" s="2">
        <v>24.37</v>
      </c>
      <c r="F7331" s="2">
        <v>2</v>
      </c>
      <c r="G7331" s="2" t="s">
        <v>11</v>
      </c>
    </row>
    <row r="7332" spans="1:7" x14ac:dyDescent="0.2">
      <c r="A7332" s="2" t="s">
        <v>3841</v>
      </c>
      <c r="B7332" s="2" t="s">
        <v>931</v>
      </c>
      <c r="C7332" s="2">
        <v>844.67219999999998</v>
      </c>
      <c r="D7332" s="2">
        <f>HYPERLINK("http://mcb-m6.bioreg.kyushu-u.ac.jp/M3/20110414/F50928/2757/1", 67.04)</f>
        <v>67.040000000000006</v>
      </c>
      <c r="E7332" s="2">
        <v>45.8</v>
      </c>
      <c r="F7332" s="2">
        <v>2</v>
      </c>
      <c r="G7332" s="2" t="s">
        <v>11</v>
      </c>
    </row>
    <row r="7333" spans="1:7" x14ac:dyDescent="0.2">
      <c r="A7333" s="2" t="s">
        <v>3841</v>
      </c>
      <c r="B7333" s="2" t="s">
        <v>2242</v>
      </c>
      <c r="C7333" s="2">
        <v>471.77910000000003</v>
      </c>
      <c r="D7333" s="2">
        <f>HYPERLINK("http://mcb-m6.bioreg.kyushu-u.ac.jp/M3/20110414/F50933/1310/1", 35.88)</f>
        <v>35.880000000000003</v>
      </c>
      <c r="E7333" s="2">
        <v>20.8</v>
      </c>
      <c r="F7333" s="2">
        <v>2</v>
      </c>
      <c r="G7333" s="2" t="s">
        <v>12</v>
      </c>
    </row>
    <row r="7334" spans="1:7" x14ac:dyDescent="0.2">
      <c r="A7334" s="2" t="s">
        <v>3841</v>
      </c>
      <c r="B7334" s="2" t="s">
        <v>931</v>
      </c>
      <c r="C7334" s="2">
        <v>844.96669999999995</v>
      </c>
      <c r="D7334" s="2">
        <f>HYPERLINK("http://mcb-m6.bioreg.kyushu-u.ac.jp/M3/20110414/F50933/2824/1", 105.67)</f>
        <v>105.67</v>
      </c>
      <c r="E7334" s="2">
        <v>88.88</v>
      </c>
      <c r="F7334" s="2">
        <v>2</v>
      </c>
      <c r="G7334" s="2" t="s">
        <v>12</v>
      </c>
    </row>
    <row r="7335" spans="1:7" x14ac:dyDescent="0.2">
      <c r="A7335" s="2" t="s">
        <v>3880</v>
      </c>
      <c r="B7335" s="2" t="s">
        <v>1015</v>
      </c>
      <c r="C7335" s="2">
        <v>758.63570000000004</v>
      </c>
      <c r="D7335" s="2">
        <f>HYPERLINK("http://mcb-m6.bioreg.kyushu-u.ac.jp/M3/20110411/F50911/2195/1", 58.91)</f>
        <v>58.91</v>
      </c>
      <c r="E7335" s="2">
        <v>45.46</v>
      </c>
      <c r="F7335" s="2">
        <v>2</v>
      </c>
      <c r="G7335" s="2" t="s">
        <v>9</v>
      </c>
    </row>
    <row r="7336" spans="1:7" x14ac:dyDescent="0.2">
      <c r="A7336" s="2" t="s">
        <v>3880</v>
      </c>
      <c r="B7336" s="2" t="s">
        <v>1388</v>
      </c>
      <c r="C7336" s="2">
        <v>656.13120000000004</v>
      </c>
      <c r="D7336" s="2">
        <f>HYPERLINK("http://mcb-m6.bioreg.kyushu-u.ac.jp/M3/20110411/F50911/1636/1", 77.33)</f>
        <v>77.33</v>
      </c>
      <c r="E7336" s="2">
        <v>52.11</v>
      </c>
      <c r="F7336" s="2">
        <v>2</v>
      </c>
      <c r="G7336" s="2" t="s">
        <v>9</v>
      </c>
    </row>
    <row r="7337" spans="1:7" x14ac:dyDescent="0.2">
      <c r="A7337" s="2" t="s">
        <v>3880</v>
      </c>
      <c r="B7337" s="2" t="s">
        <v>1388</v>
      </c>
      <c r="C7337" s="2">
        <v>656.17169999999999</v>
      </c>
      <c r="D7337" s="2">
        <f>HYPERLINK("http://mcb-m6.bioreg.kyushu-u.ac.jp/M3/20110414/F50948/1539/1", 64.12)</f>
        <v>64.12</v>
      </c>
      <c r="E7337" s="2">
        <v>42.38</v>
      </c>
      <c r="F7337" s="2">
        <v>2</v>
      </c>
      <c r="G7337" s="2" t="s">
        <v>12</v>
      </c>
    </row>
    <row r="7338" spans="1:7" x14ac:dyDescent="0.2">
      <c r="A7338" s="2" t="s">
        <v>3475</v>
      </c>
      <c r="B7338" s="2" t="s">
        <v>292</v>
      </c>
      <c r="C7338" s="2">
        <v>500.45510000000002</v>
      </c>
      <c r="D7338" s="2">
        <f>HYPERLINK("http://mcb-m6.bioreg.kyushu-u.ac.jp/M3/20110411/F50915/755/1", 39.12)</f>
        <v>39.119999999999997</v>
      </c>
      <c r="E7338" s="2">
        <v>15.37</v>
      </c>
      <c r="F7338" s="2">
        <v>2</v>
      </c>
      <c r="G7338" s="2" t="s">
        <v>9</v>
      </c>
    </row>
    <row r="7339" spans="1:7" x14ac:dyDescent="0.2">
      <c r="A7339" s="2" t="s">
        <v>3475</v>
      </c>
      <c r="B7339" s="2" t="s">
        <v>292</v>
      </c>
      <c r="C7339" s="2">
        <v>500.47109999999998</v>
      </c>
      <c r="D7339" s="2">
        <f>HYPERLINK("http://mcb-m6.bioreg.kyushu-u.ac.jp/M3/20110411/F50911/963/1", 39.32)</f>
        <v>39.32</v>
      </c>
      <c r="E7339" s="2">
        <v>16.63</v>
      </c>
      <c r="F7339" s="2">
        <v>2</v>
      </c>
      <c r="G7339" s="2" t="s">
        <v>9</v>
      </c>
    </row>
    <row r="7340" spans="1:7" x14ac:dyDescent="0.2">
      <c r="A7340" s="2" t="s">
        <v>3475</v>
      </c>
      <c r="B7340" s="2" t="s">
        <v>1150</v>
      </c>
      <c r="C7340" s="2">
        <v>744.64869999999996</v>
      </c>
      <c r="D7340" s="2">
        <f>HYPERLINK("http://mcb-m6.bioreg.kyushu-u.ac.jp/M3/20110411/F50911/2112/1", 65.14)</f>
        <v>65.14</v>
      </c>
      <c r="E7340" s="2">
        <v>40.83</v>
      </c>
      <c r="F7340" s="2">
        <v>2</v>
      </c>
      <c r="G7340" s="2" t="s">
        <v>9</v>
      </c>
    </row>
    <row r="7341" spans="1:7" x14ac:dyDescent="0.2">
      <c r="A7341" s="2" t="s">
        <v>3475</v>
      </c>
      <c r="B7341" s="2" t="s">
        <v>1180</v>
      </c>
      <c r="C7341" s="2">
        <v>966.98720000000003</v>
      </c>
      <c r="D7341" s="2">
        <f>HYPERLINK("http://mcb-m6.bioreg.kyushu-u.ac.jp/M3/20110411/F50915/3142/1", 66.15)</f>
        <v>66.150000000000006</v>
      </c>
      <c r="E7341" s="2">
        <v>49.86</v>
      </c>
      <c r="F7341" s="2">
        <v>2</v>
      </c>
      <c r="G7341" s="2" t="s">
        <v>9</v>
      </c>
    </row>
    <row r="7342" spans="1:7" x14ac:dyDescent="0.2">
      <c r="A7342" s="2" t="s">
        <v>3475</v>
      </c>
      <c r="B7342" s="2" t="s">
        <v>1180</v>
      </c>
      <c r="C7342" s="2">
        <v>967.51319999999998</v>
      </c>
      <c r="D7342" s="2">
        <f>HYPERLINK("http://mcb-m6.bioreg.kyushu-u.ac.jp/M3/20110411/F50915/3147/1", 87.29)</f>
        <v>87.29</v>
      </c>
      <c r="E7342" s="2">
        <v>76.11</v>
      </c>
      <c r="F7342" s="2">
        <v>2</v>
      </c>
      <c r="G7342" s="2" t="s">
        <v>9</v>
      </c>
    </row>
    <row r="7343" spans="1:7" x14ac:dyDescent="0.2">
      <c r="A7343" s="2" t="s">
        <v>3475</v>
      </c>
      <c r="B7343" s="2" t="s">
        <v>1180</v>
      </c>
      <c r="C7343" s="2">
        <v>967.06020000000001</v>
      </c>
      <c r="D7343" s="2">
        <f>HYPERLINK("http://mcb-m6.bioreg.kyushu-u.ac.jp/M3/20110411/F50917/3190/1", 57.89)</f>
        <v>57.89</v>
      </c>
      <c r="E7343" s="2">
        <v>43.7</v>
      </c>
      <c r="F7343" s="2">
        <v>2</v>
      </c>
      <c r="G7343" s="2" t="s">
        <v>10</v>
      </c>
    </row>
    <row r="7344" spans="1:7" x14ac:dyDescent="0.2">
      <c r="A7344" s="2" t="s">
        <v>3475</v>
      </c>
      <c r="B7344" s="2" t="s">
        <v>292</v>
      </c>
      <c r="C7344" s="2">
        <v>500.3211</v>
      </c>
      <c r="D7344" s="2">
        <f>HYPERLINK("http://mcb-m6.bioreg.kyushu-u.ac.jp/M3/20110414/F50942/840/1", 46.42)</f>
        <v>46.42</v>
      </c>
      <c r="E7344" s="2">
        <v>14.19</v>
      </c>
      <c r="F7344" s="2">
        <v>2</v>
      </c>
      <c r="G7344" s="2" t="s">
        <v>11</v>
      </c>
    </row>
    <row r="7345" spans="1:9" x14ac:dyDescent="0.2">
      <c r="A7345" s="2" t="s">
        <v>3475</v>
      </c>
      <c r="B7345" s="2" t="s">
        <v>1180</v>
      </c>
      <c r="C7345" s="2">
        <v>966.88670000000002</v>
      </c>
      <c r="D7345" s="2">
        <f>HYPERLINK("http://mcb-m6.bioreg.kyushu-u.ac.jp/M3/20110414/F50942/3266/1", 58.44)</f>
        <v>58.44</v>
      </c>
      <c r="E7345" s="2">
        <v>41.02</v>
      </c>
      <c r="F7345" s="2">
        <v>2</v>
      </c>
      <c r="G7345" s="2" t="s">
        <v>11</v>
      </c>
    </row>
    <row r="7346" spans="1:9" x14ac:dyDescent="0.2">
      <c r="A7346" s="2" t="s">
        <v>3475</v>
      </c>
      <c r="B7346" s="2" t="s">
        <v>2473</v>
      </c>
      <c r="C7346" s="2">
        <v>532.59220000000005</v>
      </c>
      <c r="D7346" s="2">
        <f>HYPERLINK("http://mcb-m6.bioreg.kyushu-u.ac.jp/M3/20110414/F50942/935/1", 74.39)</f>
        <v>74.39</v>
      </c>
      <c r="E7346" s="2">
        <v>43.45</v>
      </c>
      <c r="F7346" s="2">
        <v>2</v>
      </c>
      <c r="G7346" s="2" t="s">
        <v>11</v>
      </c>
    </row>
    <row r="7347" spans="1:9" x14ac:dyDescent="0.2">
      <c r="A7347" s="2" t="s">
        <v>3475</v>
      </c>
      <c r="B7347" s="2" t="s">
        <v>2473</v>
      </c>
      <c r="C7347" s="2">
        <v>532.57510000000002</v>
      </c>
      <c r="D7347" s="2">
        <f>HYPERLINK("http://mcb-m6.bioreg.kyushu-u.ac.jp/M3/20110414/F50948/958/1", 55.04)</f>
        <v>55.04</v>
      </c>
      <c r="E7347" s="2">
        <v>32.93</v>
      </c>
      <c r="F7347" s="2">
        <v>2</v>
      </c>
      <c r="G7347" s="2" t="s">
        <v>12</v>
      </c>
    </row>
    <row r="7348" spans="1:9" x14ac:dyDescent="0.2">
      <c r="A7348" s="2" t="s">
        <v>3475</v>
      </c>
      <c r="B7348" s="2" t="s">
        <v>1180</v>
      </c>
      <c r="C7348" s="2">
        <v>966.63670000000002</v>
      </c>
      <c r="D7348" s="2">
        <f>HYPERLINK("http://mcb-m6.bioreg.kyushu-u.ac.jp/M3/20110414/F50948/3404/1", 89.94)</f>
        <v>89.94</v>
      </c>
      <c r="E7348" s="2">
        <v>66.09</v>
      </c>
      <c r="F7348" s="2">
        <v>2</v>
      </c>
      <c r="G7348" s="2" t="s">
        <v>12</v>
      </c>
    </row>
    <row r="7349" spans="1:9" x14ac:dyDescent="0.2">
      <c r="A7349" s="2" t="s">
        <v>3475</v>
      </c>
      <c r="B7349" s="2" t="s">
        <v>2918</v>
      </c>
      <c r="C7349" s="2">
        <v>602.53809999999999</v>
      </c>
      <c r="D7349" s="2">
        <f>HYPERLINK("http://mcb-m6.bioreg.kyushu-u.ac.jp/M3/20110502/F51171/1468/1", 50.67)</f>
        <v>50.67</v>
      </c>
      <c r="E7349" s="2">
        <v>30.96</v>
      </c>
      <c r="F7349" s="2">
        <v>2</v>
      </c>
      <c r="G7349" s="2" t="s">
        <v>13</v>
      </c>
    </row>
    <row r="7350" spans="1:9" x14ac:dyDescent="0.2">
      <c r="A7350" s="2" t="s">
        <v>3475</v>
      </c>
      <c r="B7350" s="2" t="s">
        <v>1180</v>
      </c>
      <c r="C7350" s="2">
        <v>967.23220000000003</v>
      </c>
      <c r="D7350" s="2">
        <f>HYPERLINK("http://mcb-m6.bioreg.kyushu-u.ac.jp/M3/20110502/F51188/2687/1", 76.28)</f>
        <v>76.28</v>
      </c>
      <c r="E7350" s="2">
        <v>63.26</v>
      </c>
      <c r="F7350" s="2">
        <v>2</v>
      </c>
      <c r="G7350" s="2" t="s">
        <v>13</v>
      </c>
    </row>
    <row r="7351" spans="1:9" x14ac:dyDescent="0.2">
      <c r="A7351" s="2" t="s">
        <v>4431</v>
      </c>
      <c r="B7351" s="2" t="s">
        <v>2308</v>
      </c>
      <c r="C7351" s="2">
        <v>878.28859999999997</v>
      </c>
      <c r="D7351" s="2">
        <f>HYPERLINK("http://mcb-m6.bioreg.kyushu-u.ac.jp/M3/20110414/F50941/2822/1", 44.95)</f>
        <v>44.95</v>
      </c>
      <c r="E7351" s="2">
        <v>33.869999999999997</v>
      </c>
      <c r="F7351" s="2">
        <v>2</v>
      </c>
      <c r="G7351" s="2" t="s">
        <v>11</v>
      </c>
      <c r="I7351" s="2" t="s">
        <v>4918</v>
      </c>
    </row>
    <row r="7352" spans="1:9" x14ac:dyDescent="0.2">
      <c r="A7352" s="2" t="s">
        <v>3787</v>
      </c>
      <c r="B7352" s="2" t="s">
        <v>827</v>
      </c>
      <c r="C7352" s="2">
        <v>505.33210000000003</v>
      </c>
      <c r="D7352" s="2">
        <f>HYPERLINK("http://mcb-m6.bioreg.kyushu-u.ac.jp/M3/20110411/F50903/1158/1", 52.64)</f>
        <v>52.64</v>
      </c>
      <c r="E7352" s="2">
        <v>24.21</v>
      </c>
      <c r="F7352" s="2">
        <v>2</v>
      </c>
      <c r="G7352" s="2" t="s">
        <v>9</v>
      </c>
    </row>
    <row r="7353" spans="1:9" x14ac:dyDescent="0.2">
      <c r="A7353" s="2" t="s">
        <v>3787</v>
      </c>
      <c r="B7353" s="2" t="s">
        <v>1333</v>
      </c>
      <c r="C7353" s="2">
        <v>593.99369999999999</v>
      </c>
      <c r="D7353" s="2">
        <f>HYPERLINK("http://mcb-m6.bioreg.kyushu-u.ac.jp/M3/20110411/F50903/1402/1", 73.51)</f>
        <v>73.510000000000005</v>
      </c>
      <c r="E7353" s="2">
        <v>43.59</v>
      </c>
      <c r="F7353" s="2">
        <v>2</v>
      </c>
      <c r="G7353" s="2" t="s">
        <v>9</v>
      </c>
    </row>
    <row r="7354" spans="1:9" x14ac:dyDescent="0.2">
      <c r="A7354" s="2" t="s">
        <v>3787</v>
      </c>
      <c r="B7354" s="2" t="s">
        <v>1821</v>
      </c>
      <c r="C7354" s="2">
        <v>634.91719999999998</v>
      </c>
      <c r="D7354" s="2">
        <f>HYPERLINK("http://mcb-m6.bioreg.kyushu-u.ac.jp/M3/20110411/F50920/1107/1", 41.39)</f>
        <v>41.39</v>
      </c>
      <c r="E7354" s="2">
        <v>18.559999999999999</v>
      </c>
      <c r="F7354" s="2">
        <v>2</v>
      </c>
      <c r="G7354" s="2" t="s">
        <v>10</v>
      </c>
    </row>
    <row r="7355" spans="1:9" x14ac:dyDescent="0.2">
      <c r="A7355" s="2" t="s">
        <v>3787</v>
      </c>
      <c r="B7355" s="2" t="s">
        <v>1880</v>
      </c>
      <c r="C7355" s="2">
        <v>475.3091</v>
      </c>
      <c r="D7355" s="2">
        <f>HYPERLINK("http://mcb-m6.bioreg.kyushu-u.ac.jp/M3/20110411/F50920/630/1", 46.49)</f>
        <v>46.49</v>
      </c>
      <c r="E7355" s="2">
        <v>18.37</v>
      </c>
      <c r="F7355" s="2">
        <v>2</v>
      </c>
      <c r="G7355" s="2" t="s">
        <v>10</v>
      </c>
    </row>
    <row r="7356" spans="1:9" x14ac:dyDescent="0.2">
      <c r="A7356" s="2" t="s">
        <v>3787</v>
      </c>
      <c r="B7356" s="2" t="s">
        <v>827</v>
      </c>
      <c r="C7356" s="2">
        <v>505.83609999999999</v>
      </c>
      <c r="D7356" s="2">
        <f>HYPERLINK("http://mcb-m6.bioreg.kyushu-u.ac.jp/M3/20110411/F50920/700/1", 59.59)</f>
        <v>59.59</v>
      </c>
      <c r="E7356" s="2">
        <v>21.29</v>
      </c>
      <c r="F7356" s="2">
        <v>2</v>
      </c>
      <c r="G7356" s="2" t="s">
        <v>10</v>
      </c>
    </row>
    <row r="7357" spans="1:9" x14ac:dyDescent="0.2">
      <c r="A7357" s="2" t="s">
        <v>3787</v>
      </c>
      <c r="B7357" s="2" t="s">
        <v>1333</v>
      </c>
      <c r="C7357" s="2">
        <v>594.41359999999997</v>
      </c>
      <c r="D7357" s="2">
        <f>HYPERLINK("http://mcb-m6.bioreg.kyushu-u.ac.jp/M3/20110411/F50920/971/1", 88.23)</f>
        <v>88.23</v>
      </c>
      <c r="E7357" s="2">
        <v>61.23</v>
      </c>
      <c r="F7357" s="2">
        <v>2</v>
      </c>
      <c r="G7357" s="2" t="s">
        <v>10</v>
      </c>
    </row>
    <row r="7358" spans="1:9" x14ac:dyDescent="0.2">
      <c r="A7358" s="2" t="s">
        <v>3787</v>
      </c>
      <c r="B7358" s="2" t="s">
        <v>1333</v>
      </c>
      <c r="C7358" s="2">
        <v>593.81669999999997</v>
      </c>
      <c r="D7358" s="2">
        <f>HYPERLINK("http://mcb-m6.bioreg.kyushu-u.ac.jp/M3/20110411/F50920/969/1", 95.18)</f>
        <v>95.18</v>
      </c>
      <c r="E7358" s="2">
        <v>62.18</v>
      </c>
      <c r="F7358" s="2">
        <v>2</v>
      </c>
      <c r="G7358" s="2" t="s">
        <v>10</v>
      </c>
    </row>
    <row r="7359" spans="1:9" x14ac:dyDescent="0.2">
      <c r="A7359" s="2" t="s">
        <v>3787</v>
      </c>
      <c r="B7359" s="2" t="s">
        <v>1821</v>
      </c>
      <c r="C7359" s="2">
        <v>1268.6099999999999</v>
      </c>
      <c r="D7359" s="2">
        <f>HYPERLINK("http://mcb-m6.bioreg.kyushu-u.ac.jp/M3/20110414/F50925/1846/1", 35.23)</f>
        <v>35.229999999999997</v>
      </c>
      <c r="E7359" s="2">
        <v>15.21</v>
      </c>
      <c r="F7359" s="2">
        <v>1</v>
      </c>
      <c r="G7359" s="2" t="s">
        <v>11</v>
      </c>
    </row>
    <row r="7360" spans="1:9" x14ac:dyDescent="0.2">
      <c r="A7360" s="2" t="s">
        <v>3787</v>
      </c>
      <c r="B7360" s="2" t="s">
        <v>1333</v>
      </c>
      <c r="C7360" s="2">
        <v>594.40369999999996</v>
      </c>
      <c r="D7360" s="2">
        <f>HYPERLINK("http://mcb-m6.bioreg.kyushu-u.ac.jp/M3/20110414/F50925/1731/1", 39.19)</f>
        <v>39.19</v>
      </c>
      <c r="E7360" s="2">
        <v>19.760000000000002</v>
      </c>
      <c r="F7360" s="2">
        <v>2</v>
      </c>
      <c r="G7360" s="2" t="s">
        <v>11</v>
      </c>
    </row>
    <row r="7361" spans="1:7" x14ac:dyDescent="0.2">
      <c r="A7361" s="2" t="s">
        <v>3787</v>
      </c>
      <c r="B7361" s="2" t="s">
        <v>2337</v>
      </c>
      <c r="C7361" s="2">
        <v>832.32399999999996</v>
      </c>
      <c r="D7361" s="2">
        <f>HYPERLINK("http://mcb-m6.bioreg.kyushu-u.ac.jp/M3/20110414/F50925/1165/1", 47.82)</f>
        <v>47.82</v>
      </c>
      <c r="E7361" s="2">
        <v>14.49</v>
      </c>
      <c r="F7361" s="2">
        <v>1</v>
      </c>
      <c r="G7361" s="2" t="s">
        <v>11</v>
      </c>
    </row>
    <row r="7362" spans="1:7" x14ac:dyDescent="0.2">
      <c r="A7362" s="2" t="s">
        <v>3787</v>
      </c>
      <c r="B7362" s="2" t="s">
        <v>1821</v>
      </c>
      <c r="C7362" s="2">
        <v>635.00620000000004</v>
      </c>
      <c r="D7362" s="2">
        <f>HYPERLINK("http://mcb-m6.bioreg.kyushu-u.ac.jp/M3/20110414/F50925/1847/1", 58.31)</f>
        <v>58.31</v>
      </c>
      <c r="E7362" s="2">
        <v>32.840000000000003</v>
      </c>
      <c r="F7362" s="2">
        <v>2</v>
      </c>
      <c r="G7362" s="2" t="s">
        <v>11</v>
      </c>
    </row>
    <row r="7363" spans="1:7" x14ac:dyDescent="0.2">
      <c r="A7363" s="2" t="s">
        <v>3787</v>
      </c>
      <c r="B7363" s="2" t="s">
        <v>1333</v>
      </c>
      <c r="C7363" s="2">
        <v>593.77369999999996</v>
      </c>
      <c r="D7363" s="2">
        <f>HYPERLINK("http://mcb-m6.bioreg.kyushu-u.ac.jp/M3/20110414/F50925/1727/1", 96.46)</f>
        <v>96.46</v>
      </c>
      <c r="E7363" s="2">
        <v>69.38</v>
      </c>
      <c r="F7363" s="2">
        <v>2</v>
      </c>
      <c r="G7363" s="2" t="s">
        <v>11</v>
      </c>
    </row>
    <row r="7364" spans="1:7" x14ac:dyDescent="0.2">
      <c r="A7364" s="2" t="s">
        <v>3787</v>
      </c>
      <c r="B7364" s="2" t="s">
        <v>827</v>
      </c>
      <c r="C7364" s="2">
        <v>505.61709999999999</v>
      </c>
      <c r="D7364" s="2">
        <f>HYPERLINK("http://mcb-m6.bioreg.kyushu-u.ac.jp/M3/20110414/F50966/956/1", 48.53)</f>
        <v>48.53</v>
      </c>
      <c r="E7364" s="2">
        <v>8.06</v>
      </c>
      <c r="F7364" s="2">
        <v>2</v>
      </c>
      <c r="G7364" s="2" t="s">
        <v>12</v>
      </c>
    </row>
    <row r="7365" spans="1:7" x14ac:dyDescent="0.2">
      <c r="A7365" s="2" t="s">
        <v>3787</v>
      </c>
      <c r="B7365" s="2" t="s">
        <v>827</v>
      </c>
      <c r="C7365" s="2">
        <v>505.05610000000001</v>
      </c>
      <c r="D7365" s="2">
        <f>HYPERLINK("http://mcb-m6.bioreg.kyushu-u.ac.jp/M3/20110414/F50966/955/1", 49.48)</f>
        <v>49.48</v>
      </c>
      <c r="E7365" s="2">
        <v>0.24</v>
      </c>
      <c r="F7365" s="2">
        <v>2</v>
      </c>
      <c r="G7365" s="2" t="s">
        <v>12</v>
      </c>
    </row>
    <row r="7366" spans="1:7" x14ac:dyDescent="0.2">
      <c r="A7366" s="2" t="s">
        <v>3787</v>
      </c>
      <c r="B7366" s="2" t="s">
        <v>1333</v>
      </c>
      <c r="C7366" s="2">
        <v>594.30820000000006</v>
      </c>
      <c r="D7366" s="2">
        <f>HYPERLINK("http://mcb-m6.bioreg.kyushu-u.ac.jp/M3/20110414/F50966/1250/1", 52.29)</f>
        <v>52.29</v>
      </c>
      <c r="E7366" s="2">
        <v>34.479999999999997</v>
      </c>
      <c r="F7366" s="2">
        <v>2</v>
      </c>
      <c r="G7366" s="2" t="s">
        <v>12</v>
      </c>
    </row>
    <row r="7367" spans="1:7" x14ac:dyDescent="0.2">
      <c r="A7367" s="2" t="s">
        <v>3787</v>
      </c>
      <c r="B7367" s="2" t="s">
        <v>1880</v>
      </c>
      <c r="C7367" s="2">
        <v>475.03960000000001</v>
      </c>
      <c r="D7367" s="2">
        <f>HYPERLINK("http://mcb-m6.bioreg.kyushu-u.ac.jp/M3/20110414/F50966/821/1", 52.73)</f>
        <v>52.73</v>
      </c>
      <c r="E7367" s="2">
        <v>27.77</v>
      </c>
      <c r="F7367" s="2">
        <v>2</v>
      </c>
      <c r="G7367" s="2" t="s">
        <v>12</v>
      </c>
    </row>
    <row r="7368" spans="1:7" x14ac:dyDescent="0.2">
      <c r="A7368" s="2" t="s">
        <v>3787</v>
      </c>
      <c r="B7368" s="2" t="s">
        <v>1821</v>
      </c>
      <c r="C7368" s="2">
        <v>634.78560000000004</v>
      </c>
      <c r="D7368" s="2">
        <f>HYPERLINK("http://mcb-m6.bioreg.kyushu-u.ac.jp/M3/20110414/F50966/1393/1", 62.56)</f>
        <v>62.56</v>
      </c>
      <c r="E7368" s="2">
        <v>35.630000000000003</v>
      </c>
      <c r="F7368" s="2">
        <v>2</v>
      </c>
      <c r="G7368" s="2" t="s">
        <v>12</v>
      </c>
    </row>
    <row r="7369" spans="1:7" x14ac:dyDescent="0.2">
      <c r="A7369" s="2" t="s">
        <v>3787</v>
      </c>
      <c r="B7369" s="2" t="s">
        <v>1821</v>
      </c>
      <c r="C7369" s="2">
        <v>634.9357</v>
      </c>
      <c r="D7369" s="2">
        <f>HYPERLINK("http://mcb-m6.bioreg.kyushu-u.ac.jp/M3/20110502/F51166/1864/1", 36.55)</f>
        <v>36.549999999999997</v>
      </c>
      <c r="E7369" s="2">
        <v>21.84</v>
      </c>
      <c r="F7369" s="2">
        <v>2</v>
      </c>
      <c r="G7369" s="2" t="s">
        <v>13</v>
      </c>
    </row>
    <row r="7370" spans="1:7" x14ac:dyDescent="0.2">
      <c r="A7370" s="2" t="s">
        <v>3787</v>
      </c>
      <c r="B7370" s="2" t="s">
        <v>1821</v>
      </c>
      <c r="C7370" s="2">
        <v>635.39570000000003</v>
      </c>
      <c r="D7370" s="2">
        <f>HYPERLINK("http://mcb-m6.bioreg.kyushu-u.ac.jp/M3/20110502/F51165/1757/1", 49.02)</f>
        <v>49.02</v>
      </c>
      <c r="E7370" s="2">
        <v>16.91</v>
      </c>
      <c r="F7370" s="2">
        <v>2</v>
      </c>
      <c r="G7370" s="2" t="s">
        <v>13</v>
      </c>
    </row>
    <row r="7371" spans="1:7" x14ac:dyDescent="0.2">
      <c r="A7371" s="2" t="s">
        <v>3787</v>
      </c>
      <c r="B7371" s="2" t="s">
        <v>827</v>
      </c>
      <c r="C7371" s="2">
        <v>505.29109999999997</v>
      </c>
      <c r="D7371" s="2">
        <f>HYPERLINK("http://mcb-m6.bioreg.kyushu-u.ac.jp/M3/20110502/F51166/1518/1", 49.07)</f>
        <v>49.07</v>
      </c>
      <c r="E7371" s="2">
        <v>16.100000000000001</v>
      </c>
      <c r="F7371" s="2">
        <v>2</v>
      </c>
      <c r="G7371" s="2" t="s">
        <v>13</v>
      </c>
    </row>
    <row r="7372" spans="1:7" x14ac:dyDescent="0.2">
      <c r="A7372" s="2" t="s">
        <v>3787</v>
      </c>
      <c r="B7372" s="2" t="s">
        <v>1333</v>
      </c>
      <c r="C7372" s="2">
        <v>593.84469999999999</v>
      </c>
      <c r="D7372" s="2">
        <f>HYPERLINK("http://mcb-m6.bioreg.kyushu-u.ac.jp/M3/20110502/F51166/1758/1", 54.74)</f>
        <v>54.74</v>
      </c>
      <c r="E7372" s="2">
        <v>26.98</v>
      </c>
      <c r="F7372" s="2">
        <v>2</v>
      </c>
      <c r="G7372" s="2" t="s">
        <v>13</v>
      </c>
    </row>
    <row r="7373" spans="1:7" x14ac:dyDescent="0.2">
      <c r="A7373" s="2" t="s">
        <v>3787</v>
      </c>
      <c r="B7373" s="2" t="s">
        <v>1821</v>
      </c>
      <c r="C7373" s="2">
        <v>635.0317</v>
      </c>
      <c r="D7373" s="2">
        <f>HYPERLINK("http://mcb-m6.bioreg.kyushu-u.ac.jp/M3/20110502/F51166/1865/1", 59.81)</f>
        <v>59.81</v>
      </c>
      <c r="E7373" s="2">
        <v>34.08</v>
      </c>
      <c r="F7373" s="2">
        <v>2</v>
      </c>
      <c r="G7373" s="2" t="s">
        <v>13</v>
      </c>
    </row>
    <row r="7374" spans="1:7" x14ac:dyDescent="0.2">
      <c r="A7374" s="2" t="s">
        <v>3787</v>
      </c>
      <c r="B7374" s="2" t="s">
        <v>1880</v>
      </c>
      <c r="C7374" s="2">
        <v>474.88709999999998</v>
      </c>
      <c r="D7374" s="2">
        <f>HYPERLINK("http://mcb-m6.bioreg.kyushu-u.ac.jp/M3/20110502/F51190/719/1", 46.24)</f>
        <v>46.24</v>
      </c>
      <c r="E7374" s="2">
        <v>21.86</v>
      </c>
      <c r="F7374" s="2">
        <v>2</v>
      </c>
      <c r="G7374" s="2" t="s">
        <v>14</v>
      </c>
    </row>
    <row r="7375" spans="1:7" x14ac:dyDescent="0.2">
      <c r="A7375" s="2" t="s">
        <v>3787</v>
      </c>
      <c r="B7375" s="2" t="s">
        <v>1333</v>
      </c>
      <c r="C7375" s="2">
        <v>593.91819999999996</v>
      </c>
      <c r="D7375" s="2">
        <f>HYPERLINK("http://mcb-m6.bioreg.kyushu-u.ac.jp/M3/20110502/F51190/1154/1", 95.5)</f>
        <v>95.5</v>
      </c>
      <c r="E7375" s="2">
        <v>53.71</v>
      </c>
      <c r="F7375" s="2">
        <v>2</v>
      </c>
      <c r="G7375" s="2" t="s">
        <v>14</v>
      </c>
    </row>
    <row r="7376" spans="1:7" x14ac:dyDescent="0.2">
      <c r="A7376" s="2" t="s">
        <v>3883</v>
      </c>
      <c r="B7376" s="2" t="s">
        <v>1021</v>
      </c>
      <c r="C7376" s="2">
        <v>794.92020000000002</v>
      </c>
      <c r="D7376" s="2">
        <f>HYPERLINK("http://mcb-m6.bioreg.kyushu-u.ac.jp/M3/20110411/F50919/1940/1", 59.18)</f>
        <v>59.18</v>
      </c>
      <c r="E7376" s="2">
        <v>42.79</v>
      </c>
      <c r="F7376" s="2">
        <v>2</v>
      </c>
      <c r="G7376" s="2" t="s">
        <v>9</v>
      </c>
    </row>
    <row r="7377" spans="1:9" x14ac:dyDescent="0.2">
      <c r="A7377" s="2" t="s">
        <v>3883</v>
      </c>
      <c r="B7377" s="2" t="s">
        <v>1237</v>
      </c>
      <c r="C7377" s="2">
        <v>712.41669999999999</v>
      </c>
      <c r="D7377" s="2">
        <f>HYPERLINK("http://mcb-m6.bioreg.kyushu-u.ac.jp/M3/20110411/F50919/1473/1", 68.36)</f>
        <v>68.36</v>
      </c>
      <c r="E7377" s="2">
        <v>48.34</v>
      </c>
      <c r="F7377" s="2">
        <v>2</v>
      </c>
      <c r="G7377" s="2" t="s">
        <v>9</v>
      </c>
    </row>
    <row r="7378" spans="1:9" x14ac:dyDescent="0.2">
      <c r="A7378" s="2" t="s">
        <v>3883</v>
      </c>
      <c r="B7378" s="2" t="s">
        <v>1021</v>
      </c>
      <c r="C7378" s="2">
        <v>794.50019999999995</v>
      </c>
      <c r="D7378" s="2">
        <f>HYPERLINK("http://mcb-m6.bioreg.kyushu-u.ac.jp/M3/20110414/F50962/2171/1", 40.7)</f>
        <v>40.700000000000003</v>
      </c>
      <c r="E7378" s="2">
        <v>27.86</v>
      </c>
      <c r="F7378" s="2">
        <v>2</v>
      </c>
      <c r="G7378" s="2" t="s">
        <v>11</v>
      </c>
    </row>
    <row r="7379" spans="1:9" x14ac:dyDescent="0.2">
      <c r="A7379" s="2" t="s">
        <v>4386</v>
      </c>
      <c r="B7379" s="2" t="s">
        <v>2224</v>
      </c>
      <c r="C7379" s="2">
        <v>680.31920000000002</v>
      </c>
      <c r="D7379" s="2">
        <f>HYPERLINK("http://mcb-m6.bioreg.kyushu-u.ac.jp/M3/20110414/F50962/1599/1", 38.18)</f>
        <v>38.18</v>
      </c>
      <c r="E7379" s="2">
        <v>18.36</v>
      </c>
      <c r="F7379" s="2">
        <v>2</v>
      </c>
      <c r="G7379" s="2" t="s">
        <v>11</v>
      </c>
    </row>
    <row r="7380" spans="1:9" x14ac:dyDescent="0.2">
      <c r="A7380" s="2" t="s">
        <v>3280</v>
      </c>
      <c r="B7380" s="2" t="s">
        <v>60</v>
      </c>
      <c r="C7380" s="2">
        <v>710.09969999999998</v>
      </c>
      <c r="D7380" s="2">
        <f>HYPERLINK("http://mcb-m6.bioreg.kyushu-u.ac.jp/M3/20110411/F50904/1884/1", 35.56)</f>
        <v>35.56</v>
      </c>
      <c r="E7380" s="2">
        <v>12.45</v>
      </c>
      <c r="F7380" s="2">
        <v>2</v>
      </c>
      <c r="G7380" s="2" t="s">
        <v>9</v>
      </c>
    </row>
    <row r="7381" spans="1:9" x14ac:dyDescent="0.2">
      <c r="A7381" s="2" t="s">
        <v>4017</v>
      </c>
      <c r="B7381" s="2" t="s">
        <v>1325</v>
      </c>
      <c r="C7381" s="2">
        <v>863.37019999999995</v>
      </c>
      <c r="D7381" s="2">
        <f>HYPERLINK("http://mcb-m6.bioreg.kyushu-u.ac.jp/M3/20110411/F50904/2584/1", 73.24)</f>
        <v>73.239999999999995</v>
      </c>
      <c r="E7381" s="2">
        <v>59.2</v>
      </c>
      <c r="F7381" s="2">
        <v>2</v>
      </c>
      <c r="G7381" s="2" t="s">
        <v>9</v>
      </c>
      <c r="I7381" s="2" t="s">
        <v>4906</v>
      </c>
    </row>
    <row r="7382" spans="1:9" x14ac:dyDescent="0.2">
      <c r="A7382" s="2" t="s">
        <v>4017</v>
      </c>
      <c r="B7382" s="2" t="s">
        <v>2057</v>
      </c>
      <c r="C7382" s="2">
        <v>680.66970000000003</v>
      </c>
      <c r="D7382" s="2">
        <f>HYPERLINK("http://mcb-m6.bioreg.kyushu-u.ac.jp/M3/20110411/F50912/1745/1", 69.93)</f>
        <v>69.930000000000007</v>
      </c>
      <c r="E7382" s="2">
        <v>51.32</v>
      </c>
      <c r="F7382" s="2">
        <v>2</v>
      </c>
      <c r="G7382" s="2" t="s">
        <v>10</v>
      </c>
    </row>
    <row r="7383" spans="1:9" x14ac:dyDescent="0.2">
      <c r="A7383" s="2" t="s">
        <v>4017</v>
      </c>
      <c r="B7383" s="2" t="s">
        <v>2057</v>
      </c>
      <c r="C7383" s="2">
        <v>680.53470000000004</v>
      </c>
      <c r="D7383" s="2">
        <f>HYPERLINK("http://mcb-m6.bioreg.kyushu-u.ac.jp/M3/20110502/F51187/1443/1", 70.82)</f>
        <v>70.819999999999993</v>
      </c>
      <c r="E7383" s="2">
        <v>53.27</v>
      </c>
      <c r="F7383" s="2">
        <v>2</v>
      </c>
      <c r="G7383" s="2" t="s">
        <v>13</v>
      </c>
    </row>
    <row r="7384" spans="1:9" x14ac:dyDescent="0.2">
      <c r="A7384" s="2" t="s">
        <v>3542</v>
      </c>
      <c r="B7384" s="2" t="s">
        <v>397</v>
      </c>
      <c r="C7384" s="2">
        <v>894.8922</v>
      </c>
      <c r="D7384" s="2">
        <f>HYPERLINK("http://mcb-m6.bioreg.kyushu-u.ac.jp/M3/20110411/F50890/2947/1", 41.11)</f>
        <v>41.11</v>
      </c>
      <c r="E7384" s="2">
        <v>13.62</v>
      </c>
      <c r="F7384" s="2">
        <v>2</v>
      </c>
      <c r="G7384" s="2" t="s">
        <v>9</v>
      </c>
    </row>
    <row r="7385" spans="1:9" x14ac:dyDescent="0.2">
      <c r="A7385" s="2" t="s">
        <v>3542</v>
      </c>
      <c r="B7385" s="2" t="s">
        <v>397</v>
      </c>
      <c r="C7385" s="2">
        <v>894.47670000000005</v>
      </c>
      <c r="D7385" s="2">
        <f>HYPERLINK("http://mcb-m6.bioreg.kyushu-u.ac.jp/M3/20110411/F50894/2775/1", 42.06)</f>
        <v>42.06</v>
      </c>
      <c r="E7385" s="2">
        <v>10.23</v>
      </c>
      <c r="F7385" s="2">
        <v>2</v>
      </c>
      <c r="G7385" s="2" t="s">
        <v>9</v>
      </c>
    </row>
    <row r="7386" spans="1:9" x14ac:dyDescent="0.2">
      <c r="A7386" s="2" t="s">
        <v>3542</v>
      </c>
      <c r="B7386" s="2" t="s">
        <v>397</v>
      </c>
      <c r="C7386" s="2">
        <v>895.02070000000003</v>
      </c>
      <c r="D7386" s="2">
        <f>HYPERLINK("http://mcb-m6.bioreg.kyushu-u.ac.jp/M3/20110411/F50903/2725/1", 52.2)</f>
        <v>52.2</v>
      </c>
      <c r="E7386" s="2">
        <v>29.97</v>
      </c>
      <c r="F7386" s="2">
        <v>2</v>
      </c>
      <c r="G7386" s="2" t="s">
        <v>9</v>
      </c>
    </row>
    <row r="7387" spans="1:9" x14ac:dyDescent="0.2">
      <c r="A7387" s="2" t="s">
        <v>3542</v>
      </c>
      <c r="B7387" s="2" t="s">
        <v>397</v>
      </c>
      <c r="C7387" s="2">
        <v>894.36320000000001</v>
      </c>
      <c r="D7387" s="2">
        <f>HYPERLINK("http://mcb-m6.bioreg.kyushu-u.ac.jp/M3/20110411/F50892/2812/1", 52.63)</f>
        <v>52.63</v>
      </c>
      <c r="E7387" s="2">
        <v>12.82</v>
      </c>
      <c r="F7387" s="2">
        <v>2</v>
      </c>
      <c r="G7387" s="2" t="s">
        <v>9</v>
      </c>
    </row>
    <row r="7388" spans="1:9" x14ac:dyDescent="0.2">
      <c r="A7388" s="2" t="s">
        <v>3542</v>
      </c>
      <c r="B7388" s="2" t="s">
        <v>397</v>
      </c>
      <c r="C7388" s="2">
        <v>894.33320000000003</v>
      </c>
      <c r="D7388" s="2">
        <f>HYPERLINK("http://mcb-m6.bioreg.kyushu-u.ac.jp/M3/20110411/F50891/2941/1", 62.21)</f>
        <v>62.21</v>
      </c>
      <c r="E7388" s="2">
        <v>22.76</v>
      </c>
      <c r="F7388" s="2">
        <v>2</v>
      </c>
      <c r="G7388" s="2" t="s">
        <v>9</v>
      </c>
    </row>
    <row r="7389" spans="1:9" x14ac:dyDescent="0.2">
      <c r="A7389" s="2" t="s">
        <v>3542</v>
      </c>
      <c r="B7389" s="2" t="s">
        <v>397</v>
      </c>
      <c r="C7389" s="2">
        <v>894.57569999999998</v>
      </c>
      <c r="D7389" s="2">
        <f>HYPERLINK("http://mcb-m6.bioreg.kyushu-u.ac.jp/M3/20110411/F50905/2814/1", 68.38)</f>
        <v>68.38</v>
      </c>
      <c r="E7389" s="2">
        <v>44.04</v>
      </c>
      <c r="F7389" s="2">
        <v>2</v>
      </c>
      <c r="G7389" s="2" t="s">
        <v>9</v>
      </c>
    </row>
    <row r="7390" spans="1:9" x14ac:dyDescent="0.2">
      <c r="A7390" s="2" t="s">
        <v>3542</v>
      </c>
      <c r="B7390" s="2" t="s">
        <v>397</v>
      </c>
      <c r="C7390" s="2">
        <v>894.58720000000005</v>
      </c>
      <c r="D7390" s="2">
        <f>HYPERLINK("http://mcb-m6.bioreg.kyushu-u.ac.jp/M3/20110411/F50904/2719/1", 69.26)</f>
        <v>69.260000000000005</v>
      </c>
      <c r="E7390" s="2">
        <v>37.04</v>
      </c>
      <c r="F7390" s="2">
        <v>2</v>
      </c>
      <c r="G7390" s="2" t="s">
        <v>9</v>
      </c>
    </row>
    <row r="7391" spans="1:9" x14ac:dyDescent="0.2">
      <c r="A7391" s="2" t="s">
        <v>3542</v>
      </c>
      <c r="B7391" s="2" t="s">
        <v>397</v>
      </c>
      <c r="C7391" s="2">
        <v>894.48270000000002</v>
      </c>
      <c r="D7391" s="2">
        <f>HYPERLINK("http://mcb-m6.bioreg.kyushu-u.ac.jp/M3/20110411/F50903/2722/1", 85.14)</f>
        <v>85.14</v>
      </c>
      <c r="E7391" s="2">
        <v>56.32</v>
      </c>
      <c r="F7391" s="2">
        <v>2</v>
      </c>
      <c r="G7391" s="2" t="s">
        <v>9</v>
      </c>
    </row>
    <row r="7392" spans="1:9" x14ac:dyDescent="0.2">
      <c r="A7392" s="2" t="s">
        <v>3542</v>
      </c>
      <c r="B7392" s="2" t="s">
        <v>397</v>
      </c>
      <c r="C7392" s="2">
        <v>895.02970000000005</v>
      </c>
      <c r="D7392" s="2">
        <f>HYPERLINK("http://mcb-m6.bioreg.kyushu-u.ac.jp/M3/20110411/F50901/2670/1", 49.57)</f>
        <v>49.57</v>
      </c>
      <c r="E7392" s="2">
        <v>28.5</v>
      </c>
      <c r="F7392" s="2">
        <v>2</v>
      </c>
      <c r="G7392" s="2" t="s">
        <v>10</v>
      </c>
    </row>
    <row r="7393" spans="1:7" x14ac:dyDescent="0.2">
      <c r="A7393" s="2" t="s">
        <v>3542</v>
      </c>
      <c r="B7393" s="2" t="s">
        <v>397</v>
      </c>
      <c r="C7393" s="2">
        <v>894.51969999999994</v>
      </c>
      <c r="D7393" s="2">
        <f>HYPERLINK("http://mcb-m6.bioreg.kyushu-u.ac.jp/M3/20110411/F50900/2710/1", 57.16)</f>
        <v>57.16</v>
      </c>
      <c r="E7393" s="2">
        <v>25.46</v>
      </c>
      <c r="F7393" s="2">
        <v>2</v>
      </c>
      <c r="G7393" s="2" t="s">
        <v>10</v>
      </c>
    </row>
    <row r="7394" spans="1:7" x14ac:dyDescent="0.2">
      <c r="A7394" s="2" t="s">
        <v>3542</v>
      </c>
      <c r="B7394" s="2" t="s">
        <v>397</v>
      </c>
      <c r="C7394" s="2">
        <v>894.62459999999999</v>
      </c>
      <c r="D7394" s="2">
        <f>HYPERLINK("http://mcb-m6.bioreg.kyushu-u.ac.jp/M3/20110414/F50942/2837/1", 55)</f>
        <v>55</v>
      </c>
      <c r="E7394" s="2">
        <v>33.97</v>
      </c>
      <c r="F7394" s="2">
        <v>2</v>
      </c>
      <c r="G7394" s="2" t="s">
        <v>11</v>
      </c>
    </row>
    <row r="7395" spans="1:7" x14ac:dyDescent="0.2">
      <c r="A7395" s="2" t="s">
        <v>3542</v>
      </c>
      <c r="B7395" s="2" t="s">
        <v>397</v>
      </c>
      <c r="C7395" s="2">
        <v>894.20069999999998</v>
      </c>
      <c r="D7395" s="2">
        <f>HYPERLINK("http://mcb-m6.bioreg.kyushu-u.ac.jp/M3/20110414/F50962/2519/1", 62.77)</f>
        <v>62.77</v>
      </c>
      <c r="E7395" s="2">
        <v>12.43</v>
      </c>
      <c r="F7395" s="2">
        <v>2</v>
      </c>
      <c r="G7395" s="2" t="s">
        <v>11</v>
      </c>
    </row>
    <row r="7396" spans="1:7" x14ac:dyDescent="0.2">
      <c r="A7396" s="2" t="s">
        <v>3542</v>
      </c>
      <c r="B7396" s="2" t="s">
        <v>397</v>
      </c>
      <c r="C7396" s="2">
        <v>894.52670000000001</v>
      </c>
      <c r="D7396" s="2">
        <f>HYPERLINK("http://mcb-m6.bioreg.kyushu-u.ac.jp/M3/20110414/F50944/2641/1", 63.02)</f>
        <v>63.02</v>
      </c>
      <c r="E7396" s="2">
        <v>34.97</v>
      </c>
      <c r="F7396" s="2">
        <v>2</v>
      </c>
      <c r="G7396" s="2" t="s">
        <v>11</v>
      </c>
    </row>
    <row r="7397" spans="1:7" x14ac:dyDescent="0.2">
      <c r="A7397" s="2" t="s">
        <v>3542</v>
      </c>
      <c r="B7397" s="2" t="s">
        <v>397</v>
      </c>
      <c r="C7397" s="2">
        <v>894.23770000000002</v>
      </c>
      <c r="D7397" s="2">
        <f>HYPERLINK("http://mcb-m6.bioreg.kyushu-u.ac.jp/M3/20110414/F50941/2906/1", 66.37)</f>
        <v>66.37</v>
      </c>
      <c r="E7397" s="2">
        <v>7.75</v>
      </c>
      <c r="F7397" s="2">
        <v>2</v>
      </c>
      <c r="G7397" s="2" t="s">
        <v>11</v>
      </c>
    </row>
    <row r="7398" spans="1:7" x14ac:dyDescent="0.2">
      <c r="A7398" s="2" t="s">
        <v>3542</v>
      </c>
      <c r="B7398" s="2" t="s">
        <v>397</v>
      </c>
      <c r="C7398" s="2">
        <v>894.43769999999995</v>
      </c>
      <c r="D7398" s="2">
        <f>HYPERLINK("http://mcb-m6.bioreg.kyushu-u.ac.jp/M3/20110414/F50945/2755/1", 80.92)</f>
        <v>80.92</v>
      </c>
      <c r="E7398" s="2">
        <v>39.880000000000003</v>
      </c>
      <c r="F7398" s="2">
        <v>2</v>
      </c>
      <c r="G7398" s="2" t="s">
        <v>11</v>
      </c>
    </row>
    <row r="7399" spans="1:7" x14ac:dyDescent="0.2">
      <c r="A7399" s="2" t="s">
        <v>3542</v>
      </c>
      <c r="B7399" s="2" t="s">
        <v>397</v>
      </c>
      <c r="C7399" s="2">
        <v>894.22810000000004</v>
      </c>
      <c r="D7399" s="2">
        <f>HYPERLINK("http://mcb-m6.bioreg.kyushu-u.ac.jp/M3/20110414/F50948/2985/1", 45.43)</f>
        <v>45.43</v>
      </c>
      <c r="E7399" s="2">
        <v>4.01</v>
      </c>
      <c r="F7399" s="2">
        <v>2</v>
      </c>
      <c r="G7399" s="2" t="s">
        <v>12</v>
      </c>
    </row>
    <row r="7400" spans="1:7" x14ac:dyDescent="0.2">
      <c r="A7400" s="2" t="s">
        <v>3542</v>
      </c>
      <c r="B7400" s="2" t="s">
        <v>397</v>
      </c>
      <c r="C7400" s="2">
        <v>894.48069999999996</v>
      </c>
      <c r="D7400" s="2">
        <f>HYPERLINK("http://mcb-m6.bioreg.kyushu-u.ac.jp/M3/20110414/F50934/2698/1", 45.94)</f>
        <v>45.94</v>
      </c>
      <c r="E7400" s="2">
        <v>29.49</v>
      </c>
      <c r="F7400" s="2">
        <v>2</v>
      </c>
      <c r="G7400" s="2" t="s">
        <v>12</v>
      </c>
    </row>
    <row r="7401" spans="1:7" x14ac:dyDescent="0.2">
      <c r="A7401" s="2" t="s">
        <v>3542</v>
      </c>
      <c r="B7401" s="2" t="s">
        <v>397</v>
      </c>
      <c r="C7401" s="2">
        <v>894.30870000000004</v>
      </c>
      <c r="D7401" s="2">
        <f>HYPERLINK("http://mcb-m6.bioreg.kyushu-u.ac.jp/M3/20110414/F50963/2515/1", 52.91)</f>
        <v>52.91</v>
      </c>
      <c r="E7401" s="2">
        <v>6.57</v>
      </c>
      <c r="F7401" s="2">
        <v>2</v>
      </c>
      <c r="G7401" s="2" t="s">
        <v>12</v>
      </c>
    </row>
    <row r="7402" spans="1:7" x14ac:dyDescent="0.2">
      <c r="A7402" s="2" t="s">
        <v>3542</v>
      </c>
      <c r="B7402" s="2" t="s">
        <v>397</v>
      </c>
      <c r="C7402" s="2">
        <v>894.33669999999995</v>
      </c>
      <c r="D7402" s="2">
        <f>HYPERLINK("http://mcb-m6.bioreg.kyushu-u.ac.jp/M3/20110414/F50946/2781/1", 59.18)</f>
        <v>59.18</v>
      </c>
      <c r="E7402" s="2">
        <v>24.13</v>
      </c>
      <c r="F7402" s="2">
        <v>2</v>
      </c>
      <c r="G7402" s="2" t="s">
        <v>12</v>
      </c>
    </row>
    <row r="7403" spans="1:7" x14ac:dyDescent="0.2">
      <c r="A7403" s="2" t="s">
        <v>3542</v>
      </c>
      <c r="B7403" s="2" t="s">
        <v>397</v>
      </c>
      <c r="C7403" s="2">
        <v>894.50070000000005</v>
      </c>
      <c r="D7403" s="2">
        <f>HYPERLINK("http://mcb-m6.bioreg.kyushu-u.ac.jp/M3/20110414/F50950/2996/1", 75.42)</f>
        <v>75.42</v>
      </c>
      <c r="E7403" s="2">
        <v>4.47</v>
      </c>
      <c r="F7403" s="2">
        <v>2</v>
      </c>
      <c r="G7403" s="2" t="s">
        <v>12</v>
      </c>
    </row>
    <row r="7404" spans="1:7" x14ac:dyDescent="0.2">
      <c r="A7404" s="2" t="s">
        <v>3542</v>
      </c>
      <c r="B7404" s="2" t="s">
        <v>397</v>
      </c>
      <c r="C7404" s="2">
        <v>894.87919999999997</v>
      </c>
      <c r="D7404" s="2">
        <f>HYPERLINK("http://mcb-m6.bioreg.kyushu-u.ac.jp/M3/20110502/F51189/2445/1", 51.78)</f>
        <v>51.78</v>
      </c>
      <c r="E7404" s="2">
        <v>23.74</v>
      </c>
      <c r="F7404" s="2">
        <v>2</v>
      </c>
      <c r="G7404" s="2" t="s">
        <v>13</v>
      </c>
    </row>
    <row r="7405" spans="1:7" x14ac:dyDescent="0.2">
      <c r="A7405" s="2" t="s">
        <v>3542</v>
      </c>
      <c r="B7405" s="2" t="s">
        <v>397</v>
      </c>
      <c r="C7405" s="2">
        <v>894.4692</v>
      </c>
      <c r="D7405" s="2">
        <f>HYPERLINK("http://mcb-m6.bioreg.kyushu-u.ac.jp/M3/20110502/F51169/2719/1", 51.91)</f>
        <v>51.91</v>
      </c>
      <c r="E7405" s="2">
        <v>27.79</v>
      </c>
      <c r="F7405" s="2">
        <v>2</v>
      </c>
      <c r="G7405" s="2" t="s">
        <v>13</v>
      </c>
    </row>
    <row r="7406" spans="1:7" x14ac:dyDescent="0.2">
      <c r="A7406" s="2" t="s">
        <v>3542</v>
      </c>
      <c r="B7406" s="2" t="s">
        <v>397</v>
      </c>
      <c r="C7406" s="2">
        <v>894.80409999999995</v>
      </c>
      <c r="D7406" s="2">
        <f>HYPERLINK("http://mcb-m6.bioreg.kyushu-u.ac.jp/M3/20110502/F51168/2595/1", 53.63)</f>
        <v>53.63</v>
      </c>
      <c r="E7406" s="2">
        <v>22.03</v>
      </c>
      <c r="F7406" s="2">
        <v>2</v>
      </c>
      <c r="G7406" s="2" t="s">
        <v>13</v>
      </c>
    </row>
    <row r="7407" spans="1:7" x14ac:dyDescent="0.2">
      <c r="A7407" s="2" t="s">
        <v>3542</v>
      </c>
      <c r="B7407" s="2" t="s">
        <v>397</v>
      </c>
      <c r="C7407" s="2">
        <v>895.05619999999999</v>
      </c>
      <c r="D7407" s="2">
        <f>HYPERLINK("http://mcb-m6.bioreg.kyushu-u.ac.jp/M3/20110502/F51171/2661/1", 56.58)</f>
        <v>56.58</v>
      </c>
      <c r="E7407" s="2">
        <v>36.94</v>
      </c>
      <c r="F7407" s="2">
        <v>2</v>
      </c>
      <c r="G7407" s="2" t="s">
        <v>13</v>
      </c>
    </row>
    <row r="7408" spans="1:7" x14ac:dyDescent="0.2">
      <c r="A7408" s="2" t="s">
        <v>3542</v>
      </c>
      <c r="B7408" s="2" t="s">
        <v>397</v>
      </c>
      <c r="C7408" s="2">
        <v>894.6241</v>
      </c>
      <c r="D7408" s="2">
        <f>HYPERLINK("http://mcb-m6.bioreg.kyushu-u.ac.jp/M3/20110502/F51174/2497/1", 68.17)</f>
        <v>68.17</v>
      </c>
      <c r="E7408" s="2">
        <v>35.869999999999997</v>
      </c>
      <c r="F7408" s="2">
        <v>2</v>
      </c>
      <c r="G7408" s="2" t="s">
        <v>13</v>
      </c>
    </row>
    <row r="7409" spans="1:7" x14ac:dyDescent="0.2">
      <c r="A7409" s="2" t="s">
        <v>3542</v>
      </c>
      <c r="B7409" s="2" t="s">
        <v>397</v>
      </c>
      <c r="C7409" s="2">
        <v>894.5992</v>
      </c>
      <c r="D7409" s="2">
        <f>HYPERLINK("http://mcb-m6.bioreg.kyushu-u.ac.jp/M3/20110502/F51170/2861/1", 81.27)</f>
        <v>81.27</v>
      </c>
      <c r="E7409" s="2">
        <v>45.78</v>
      </c>
      <c r="F7409" s="2">
        <v>2</v>
      </c>
      <c r="G7409" s="2" t="s">
        <v>13</v>
      </c>
    </row>
    <row r="7410" spans="1:7" x14ac:dyDescent="0.2">
      <c r="A7410" s="2" t="s">
        <v>3542</v>
      </c>
      <c r="B7410" s="2" t="s">
        <v>397</v>
      </c>
      <c r="C7410" s="2">
        <v>895.00919999999996</v>
      </c>
      <c r="D7410" s="2">
        <f>HYPERLINK("http://mcb-m6.bioreg.kyushu-u.ac.jp/M3/20110502/F51194/2614/1", 40.2)</f>
        <v>40.200000000000003</v>
      </c>
      <c r="E7410" s="2">
        <v>11.66</v>
      </c>
      <c r="F7410" s="2">
        <v>2</v>
      </c>
      <c r="G7410" s="2" t="s">
        <v>14</v>
      </c>
    </row>
    <row r="7411" spans="1:7" x14ac:dyDescent="0.2">
      <c r="A7411" s="2" t="s">
        <v>3542</v>
      </c>
      <c r="B7411" s="2" t="s">
        <v>397</v>
      </c>
      <c r="C7411" s="2">
        <v>894.82510000000002</v>
      </c>
      <c r="D7411" s="2">
        <f>HYPERLINK("http://mcb-m6.bioreg.kyushu-u.ac.jp/M3/20110502/F51184/2772/1", 52.17)</f>
        <v>52.17</v>
      </c>
      <c r="E7411" s="2">
        <v>26.03</v>
      </c>
      <c r="F7411" s="2">
        <v>2</v>
      </c>
      <c r="G7411" s="2" t="s">
        <v>14</v>
      </c>
    </row>
    <row r="7412" spans="1:7" x14ac:dyDescent="0.2">
      <c r="A7412" s="2" t="s">
        <v>3542</v>
      </c>
      <c r="B7412" s="2" t="s">
        <v>397</v>
      </c>
      <c r="C7412" s="2">
        <v>894.63919999999996</v>
      </c>
      <c r="D7412" s="2">
        <f>HYPERLINK("http://mcb-m6.bioreg.kyushu-u.ac.jp/M3/20110502/F51190/2371/1", 54.77)</f>
        <v>54.77</v>
      </c>
      <c r="E7412" s="2">
        <v>23.98</v>
      </c>
      <c r="F7412" s="2">
        <v>2</v>
      </c>
      <c r="G7412" s="2" t="s">
        <v>14</v>
      </c>
    </row>
    <row r="7413" spans="1:7" x14ac:dyDescent="0.2">
      <c r="A7413" s="2" t="s">
        <v>3542</v>
      </c>
      <c r="B7413" s="2" t="s">
        <v>397</v>
      </c>
      <c r="C7413" s="2">
        <v>895.00459999999998</v>
      </c>
      <c r="D7413" s="2">
        <f>HYPERLINK("http://mcb-m6.bioreg.kyushu-u.ac.jp/M3/20110502/F51182/2767/1", 57.58)</f>
        <v>57.58</v>
      </c>
      <c r="E7413" s="2">
        <v>29.31</v>
      </c>
      <c r="F7413" s="2">
        <v>2</v>
      </c>
      <c r="G7413" s="2" t="s">
        <v>14</v>
      </c>
    </row>
    <row r="7414" spans="1:7" x14ac:dyDescent="0.2">
      <c r="A7414" s="2" t="s">
        <v>3542</v>
      </c>
      <c r="B7414" s="2" t="s">
        <v>397</v>
      </c>
      <c r="C7414" s="2">
        <v>894.59119999999996</v>
      </c>
      <c r="D7414" s="2">
        <f>HYPERLINK("http://mcb-m6.bioreg.kyushu-u.ac.jp/M3/20110502/F51177/2710/1", 69.2)</f>
        <v>69.2</v>
      </c>
      <c r="E7414" s="2">
        <v>38.08</v>
      </c>
      <c r="F7414" s="2">
        <v>2</v>
      </c>
      <c r="G7414" s="2" t="s">
        <v>14</v>
      </c>
    </row>
    <row r="7415" spans="1:7" x14ac:dyDescent="0.2">
      <c r="A7415" s="2" t="s">
        <v>3542</v>
      </c>
      <c r="B7415" s="2" t="s">
        <v>397</v>
      </c>
      <c r="C7415" s="2">
        <v>894.51120000000003</v>
      </c>
      <c r="D7415" s="2">
        <f>HYPERLINK("http://mcb-m6.bioreg.kyushu-u.ac.jp/M3/20110502/F51185/2619/1", 79.04)</f>
        <v>79.040000000000006</v>
      </c>
      <c r="E7415" s="2">
        <v>48.11</v>
      </c>
      <c r="F7415" s="2">
        <v>2</v>
      </c>
      <c r="G7415" s="2" t="s">
        <v>14</v>
      </c>
    </row>
    <row r="7416" spans="1:7" x14ac:dyDescent="0.2">
      <c r="A7416" s="2" t="s">
        <v>4315</v>
      </c>
      <c r="B7416" s="2" t="s">
        <v>2082</v>
      </c>
      <c r="C7416" s="2">
        <v>762.67070000000001</v>
      </c>
      <c r="D7416" s="2">
        <f>HYPERLINK("http://mcb-m6.bioreg.kyushu-u.ac.jp/M3/20110411/F50902/2150/1", 75.72)</f>
        <v>75.72</v>
      </c>
      <c r="E7416" s="2">
        <v>48.75</v>
      </c>
      <c r="F7416" s="2">
        <v>2</v>
      </c>
      <c r="G7416" s="2" t="s">
        <v>10</v>
      </c>
    </row>
    <row r="7417" spans="1:7" x14ac:dyDescent="0.2">
      <c r="A7417" s="2" t="s">
        <v>4315</v>
      </c>
      <c r="B7417" s="2" t="s">
        <v>2082</v>
      </c>
      <c r="C7417" s="2">
        <v>762.36069999999995</v>
      </c>
      <c r="D7417" s="2">
        <f>HYPERLINK("http://mcb-m6.bioreg.kyushu-u.ac.jp/M3/20110414/F50943/2024/1", 56.06)</f>
        <v>56.06</v>
      </c>
      <c r="E7417" s="2">
        <v>40.450000000000003</v>
      </c>
      <c r="F7417" s="2">
        <v>2</v>
      </c>
      <c r="G7417" s="2" t="s">
        <v>11</v>
      </c>
    </row>
    <row r="7418" spans="1:7" x14ac:dyDescent="0.2">
      <c r="A7418" s="2" t="s">
        <v>4315</v>
      </c>
      <c r="B7418" s="2" t="s">
        <v>2082</v>
      </c>
      <c r="C7418" s="2">
        <v>762.54819999999995</v>
      </c>
      <c r="D7418" s="2">
        <f>HYPERLINK("http://mcb-m6.bioreg.kyushu-u.ac.jp/M3/20110502/F51184/1979/1", 60.3)</f>
        <v>60.3</v>
      </c>
      <c r="E7418" s="2">
        <v>35.15</v>
      </c>
      <c r="F7418" s="2">
        <v>2</v>
      </c>
      <c r="G7418" s="2" t="s">
        <v>14</v>
      </c>
    </row>
    <row r="7419" spans="1:7" x14ac:dyDescent="0.2">
      <c r="A7419" s="2" t="s">
        <v>4365</v>
      </c>
      <c r="B7419" s="2" t="s">
        <v>2191</v>
      </c>
      <c r="C7419" s="2">
        <v>541.20320000000004</v>
      </c>
      <c r="D7419" s="2">
        <f>HYPERLINK("http://mcb-m6.bioreg.kyushu-u.ac.jp/M3/20110414/F50924/1244/1", 36.38)</f>
        <v>36.380000000000003</v>
      </c>
      <c r="E7419" s="2">
        <v>15.07</v>
      </c>
      <c r="F7419" s="2">
        <v>2</v>
      </c>
      <c r="G7419" s="2" t="s">
        <v>11</v>
      </c>
    </row>
    <row r="7420" spans="1:7" x14ac:dyDescent="0.2">
      <c r="A7420" s="2" t="s">
        <v>4365</v>
      </c>
      <c r="B7420" s="2" t="s">
        <v>2191</v>
      </c>
      <c r="C7420" s="2">
        <v>541.79269999999997</v>
      </c>
      <c r="D7420" s="2">
        <f>HYPERLINK("http://mcb-m6.bioreg.kyushu-u.ac.jp/M3/20110414/F50959/699/1", 53.27)</f>
        <v>53.27</v>
      </c>
      <c r="E7420" s="2">
        <v>38.56</v>
      </c>
      <c r="F7420" s="2">
        <v>2</v>
      </c>
      <c r="G7420" s="2" t="s">
        <v>12</v>
      </c>
    </row>
    <row r="7421" spans="1:7" x14ac:dyDescent="0.2">
      <c r="A7421" s="2" t="s">
        <v>4365</v>
      </c>
      <c r="B7421" s="2" t="s">
        <v>2191</v>
      </c>
      <c r="C7421" s="2">
        <v>541.43409999999994</v>
      </c>
      <c r="D7421" s="2">
        <f>HYPERLINK("http://mcb-m6.bioreg.kyushu-u.ac.jp/M3/20110502/F51186/990/1", 49.75)</f>
        <v>49.75</v>
      </c>
      <c r="E7421" s="2">
        <v>23.95</v>
      </c>
      <c r="F7421" s="2">
        <v>2</v>
      </c>
      <c r="G7421" s="2" t="s">
        <v>14</v>
      </c>
    </row>
    <row r="7422" spans="1:7" x14ac:dyDescent="0.2">
      <c r="A7422" s="2" t="s">
        <v>4845</v>
      </c>
      <c r="B7422" s="2" t="s">
        <v>3117</v>
      </c>
      <c r="C7422" s="2">
        <v>534.65970000000004</v>
      </c>
      <c r="D7422" s="2">
        <f>HYPERLINK("http://mcb-m6.bioreg.kyushu-u.ac.jp/M3/20110502/F51184/698/1", 46.87)</f>
        <v>46.87</v>
      </c>
      <c r="E7422" s="2">
        <v>19.37</v>
      </c>
      <c r="F7422" s="2">
        <v>2</v>
      </c>
      <c r="G7422" s="2" t="s">
        <v>14</v>
      </c>
    </row>
    <row r="7423" spans="1:7" x14ac:dyDescent="0.2">
      <c r="A7423" s="2" t="s">
        <v>4058</v>
      </c>
      <c r="B7423" s="2" t="s">
        <v>1417</v>
      </c>
      <c r="C7423" s="2">
        <v>844.42819999999995</v>
      </c>
      <c r="D7423" s="2">
        <f>HYPERLINK("http://mcb-m6.bioreg.kyushu-u.ac.jp/M3/20110411/F50916/2430/1", 78.88)</f>
        <v>78.88</v>
      </c>
      <c r="E7423" s="2">
        <v>65.19</v>
      </c>
      <c r="F7423" s="2">
        <v>2</v>
      </c>
      <c r="G7423" s="2" t="s">
        <v>9</v>
      </c>
    </row>
    <row r="7424" spans="1:7" x14ac:dyDescent="0.2">
      <c r="A7424" s="2" t="s">
        <v>4058</v>
      </c>
      <c r="B7424" s="2" t="s">
        <v>1417</v>
      </c>
      <c r="C7424" s="2">
        <v>844.50670000000002</v>
      </c>
      <c r="D7424" s="2">
        <f>HYPERLINK("http://mcb-m6.bioreg.kyushu-u.ac.jp/M3/20110414/F50957/2542/1", 63.09)</f>
        <v>63.09</v>
      </c>
      <c r="E7424" s="2">
        <v>37.07</v>
      </c>
      <c r="F7424" s="2">
        <v>2</v>
      </c>
      <c r="G7424" s="2" t="s">
        <v>11</v>
      </c>
    </row>
    <row r="7425" spans="1:7" x14ac:dyDescent="0.2">
      <c r="A7425" s="2" t="s">
        <v>4058</v>
      </c>
      <c r="B7425" s="2" t="s">
        <v>1417</v>
      </c>
      <c r="C7425" s="2">
        <v>844.11869999999999</v>
      </c>
      <c r="D7425" s="2">
        <f>HYPERLINK("http://mcb-m6.bioreg.kyushu-u.ac.jp/M3/20110414/F50956/2644/1", 65.79)</f>
        <v>65.790000000000006</v>
      </c>
      <c r="E7425" s="2">
        <v>50.97</v>
      </c>
      <c r="F7425" s="2">
        <v>2</v>
      </c>
      <c r="G7425" s="2" t="s">
        <v>11</v>
      </c>
    </row>
    <row r="7426" spans="1:7" x14ac:dyDescent="0.2">
      <c r="A7426" s="2" t="s">
        <v>4058</v>
      </c>
      <c r="B7426" s="2" t="s">
        <v>1417</v>
      </c>
      <c r="C7426" s="2">
        <v>845.00519999999995</v>
      </c>
      <c r="D7426" s="2">
        <f>HYPERLINK("http://mcb-m6.bioreg.kyushu-u.ac.jp/M3/20110502/F51172/2836/1", 39.04)</f>
        <v>39.04</v>
      </c>
      <c r="E7426" s="2">
        <v>19.43</v>
      </c>
      <c r="F7426" s="2">
        <v>2</v>
      </c>
      <c r="G7426" s="2" t="s">
        <v>13</v>
      </c>
    </row>
    <row r="7427" spans="1:7" x14ac:dyDescent="0.2">
      <c r="A7427" s="2" t="s">
        <v>3590</v>
      </c>
      <c r="B7427" s="2" t="s">
        <v>475</v>
      </c>
      <c r="C7427" s="2">
        <v>597.50459999999998</v>
      </c>
      <c r="D7427" s="2">
        <f>HYPERLINK("http://mcb-m6.bioreg.kyushu-u.ac.jp/M3/20110411/F50905/1346/1", 42.68)</f>
        <v>42.68</v>
      </c>
      <c r="E7427" s="2">
        <v>16.57</v>
      </c>
      <c r="F7427" s="2">
        <v>2</v>
      </c>
      <c r="G7427" s="2" t="s">
        <v>9</v>
      </c>
    </row>
    <row r="7428" spans="1:7" x14ac:dyDescent="0.2">
      <c r="A7428" s="2" t="s">
        <v>3590</v>
      </c>
      <c r="B7428" s="2" t="s">
        <v>501</v>
      </c>
      <c r="C7428" s="2">
        <v>686.40920000000006</v>
      </c>
      <c r="D7428" s="2">
        <f>HYPERLINK("http://mcb-m6.bioreg.kyushu-u.ac.jp/M3/20110411/F50891/1779/1", 43.31)</f>
        <v>43.31</v>
      </c>
      <c r="E7428" s="2">
        <v>13.03</v>
      </c>
      <c r="F7428" s="2">
        <v>2</v>
      </c>
      <c r="G7428" s="2" t="s">
        <v>9</v>
      </c>
    </row>
    <row r="7429" spans="1:7" x14ac:dyDescent="0.2">
      <c r="A7429" s="2" t="s">
        <v>3590</v>
      </c>
      <c r="B7429" s="2" t="s">
        <v>675</v>
      </c>
      <c r="C7429" s="2">
        <v>743.73820000000001</v>
      </c>
      <c r="D7429" s="2">
        <f>HYPERLINK("http://mcb-m6.bioreg.kyushu-u.ac.jp/M3/20110411/F50905/2057/1", 47.91)</f>
        <v>47.91</v>
      </c>
      <c r="E7429" s="2">
        <v>22.51</v>
      </c>
      <c r="F7429" s="2">
        <v>2</v>
      </c>
      <c r="G7429" s="2" t="s">
        <v>9</v>
      </c>
    </row>
    <row r="7430" spans="1:7" x14ac:dyDescent="0.2">
      <c r="A7430" s="2" t="s">
        <v>3590</v>
      </c>
      <c r="B7430" s="2" t="s">
        <v>685</v>
      </c>
      <c r="C7430" s="2">
        <v>622.08259999999996</v>
      </c>
      <c r="D7430" s="2">
        <f>HYPERLINK("http://mcb-m6.bioreg.kyushu-u.ac.jp/M3/20110411/F50905/1464/1", 48.38)</f>
        <v>48.38</v>
      </c>
      <c r="E7430" s="2">
        <v>20.72</v>
      </c>
      <c r="F7430" s="2">
        <v>2</v>
      </c>
      <c r="G7430" s="2" t="s">
        <v>9</v>
      </c>
    </row>
    <row r="7431" spans="1:7" x14ac:dyDescent="0.2">
      <c r="A7431" s="2" t="s">
        <v>3590</v>
      </c>
      <c r="B7431" s="2" t="s">
        <v>501</v>
      </c>
      <c r="C7431" s="2">
        <v>686.71510000000001</v>
      </c>
      <c r="D7431" s="2">
        <f>HYPERLINK("http://mcb-m6.bioreg.kyushu-u.ac.jp/M3/20110411/F50893/1923/1", 52.47)</f>
        <v>52.47</v>
      </c>
      <c r="E7431" s="2">
        <v>21.38</v>
      </c>
      <c r="F7431" s="2">
        <v>2</v>
      </c>
      <c r="G7431" s="2" t="s">
        <v>9</v>
      </c>
    </row>
    <row r="7432" spans="1:7" x14ac:dyDescent="0.2">
      <c r="A7432" s="2" t="s">
        <v>3590</v>
      </c>
      <c r="B7432" s="2" t="s">
        <v>685</v>
      </c>
      <c r="C7432" s="2">
        <v>622.04669999999999</v>
      </c>
      <c r="D7432" s="2">
        <f>HYPERLINK("http://mcb-m6.bioreg.kyushu-u.ac.jp/M3/20110411/F50891/1492/1", 55.51)</f>
        <v>55.51</v>
      </c>
      <c r="E7432" s="2">
        <v>39.49</v>
      </c>
      <c r="F7432" s="2">
        <v>2</v>
      </c>
      <c r="G7432" s="2" t="s">
        <v>9</v>
      </c>
    </row>
    <row r="7433" spans="1:7" x14ac:dyDescent="0.2">
      <c r="A7433" s="2" t="s">
        <v>3590</v>
      </c>
      <c r="B7433" s="2" t="s">
        <v>475</v>
      </c>
      <c r="C7433" s="2">
        <v>598.31669999999997</v>
      </c>
      <c r="D7433" s="2">
        <f>HYPERLINK("http://mcb-m6.bioreg.kyushu-u.ac.jp/M3/20110411/F50895/1426/1", 57.89)</f>
        <v>57.89</v>
      </c>
      <c r="E7433" s="2">
        <v>18.440000000000001</v>
      </c>
      <c r="F7433" s="2">
        <v>2</v>
      </c>
      <c r="G7433" s="2" t="s">
        <v>9</v>
      </c>
    </row>
    <row r="7434" spans="1:7" x14ac:dyDescent="0.2">
      <c r="A7434" s="2" t="s">
        <v>3590</v>
      </c>
      <c r="B7434" s="2" t="s">
        <v>675</v>
      </c>
      <c r="C7434" s="2">
        <v>743.37959999999998</v>
      </c>
      <c r="D7434" s="2">
        <f>HYPERLINK("http://mcb-m6.bioreg.kyushu-u.ac.jp/M3/20110411/F50891/2111/1", 59.75)</f>
        <v>59.75</v>
      </c>
      <c r="E7434" s="2">
        <v>39</v>
      </c>
      <c r="F7434" s="2">
        <v>2</v>
      </c>
      <c r="G7434" s="2" t="s">
        <v>9</v>
      </c>
    </row>
    <row r="7435" spans="1:7" x14ac:dyDescent="0.2">
      <c r="A7435" s="2" t="s">
        <v>3590</v>
      </c>
      <c r="B7435" s="2" t="s">
        <v>475</v>
      </c>
      <c r="C7435" s="2">
        <v>598.34310000000005</v>
      </c>
      <c r="D7435" s="2">
        <f>HYPERLINK("http://mcb-m6.bioreg.kyushu-u.ac.jp/M3/20110411/F50893/1617/1", 71.13)</f>
        <v>71.13</v>
      </c>
      <c r="E7435" s="2">
        <v>40.380000000000003</v>
      </c>
      <c r="F7435" s="2">
        <v>2</v>
      </c>
      <c r="G7435" s="2" t="s">
        <v>9</v>
      </c>
    </row>
    <row r="7436" spans="1:7" x14ac:dyDescent="0.2">
      <c r="A7436" s="2" t="s">
        <v>3590</v>
      </c>
      <c r="B7436" s="2" t="s">
        <v>475</v>
      </c>
      <c r="C7436" s="2">
        <v>597.90369999999996</v>
      </c>
      <c r="D7436" s="2">
        <f>HYPERLINK("http://mcb-m6.bioreg.kyushu-u.ac.jp/M3/20110411/F50891/1370/1", 80.49)</f>
        <v>80.489999999999995</v>
      </c>
      <c r="E7436" s="2">
        <v>48.59</v>
      </c>
      <c r="F7436" s="2">
        <v>2</v>
      </c>
      <c r="G7436" s="2" t="s">
        <v>9</v>
      </c>
    </row>
    <row r="7437" spans="1:7" x14ac:dyDescent="0.2">
      <c r="A7437" s="2" t="s">
        <v>3590</v>
      </c>
      <c r="B7437" s="2" t="s">
        <v>475</v>
      </c>
      <c r="C7437" s="2">
        <v>598.04110000000003</v>
      </c>
      <c r="D7437" s="2">
        <f>HYPERLINK("http://mcb-m6.bioreg.kyushu-u.ac.jp/M3/20110411/F50905/1348/1", 84.97)</f>
        <v>84.97</v>
      </c>
      <c r="E7437" s="2">
        <v>52.59</v>
      </c>
      <c r="F7437" s="2">
        <v>2</v>
      </c>
      <c r="G7437" s="2" t="s">
        <v>9</v>
      </c>
    </row>
    <row r="7438" spans="1:7" x14ac:dyDescent="0.2">
      <c r="A7438" s="2" t="s">
        <v>3590</v>
      </c>
      <c r="B7438" s="2" t="s">
        <v>675</v>
      </c>
      <c r="C7438" s="2">
        <v>743.35469999999998</v>
      </c>
      <c r="D7438" s="2">
        <f>HYPERLINK("http://mcb-m6.bioreg.kyushu-u.ac.jp/M3/20110411/F50920/1587/1", 51.85)</f>
        <v>51.85</v>
      </c>
      <c r="E7438" s="2">
        <v>32.29</v>
      </c>
      <c r="F7438" s="2">
        <v>2</v>
      </c>
      <c r="G7438" s="2" t="s">
        <v>10</v>
      </c>
    </row>
    <row r="7439" spans="1:7" x14ac:dyDescent="0.2">
      <c r="A7439" s="2" t="s">
        <v>3590</v>
      </c>
      <c r="B7439" s="2" t="s">
        <v>685</v>
      </c>
      <c r="C7439" s="2">
        <v>621.79319999999996</v>
      </c>
      <c r="D7439" s="2">
        <f>HYPERLINK("http://mcb-m6.bioreg.kyushu-u.ac.jp/M3/20110411/F50920/1050/1", 64.55)</f>
        <v>64.55</v>
      </c>
      <c r="E7439" s="2">
        <v>35.82</v>
      </c>
      <c r="F7439" s="2">
        <v>2</v>
      </c>
      <c r="G7439" s="2" t="s">
        <v>10</v>
      </c>
    </row>
    <row r="7440" spans="1:7" x14ac:dyDescent="0.2">
      <c r="A7440" s="2" t="s">
        <v>3590</v>
      </c>
      <c r="B7440" s="2" t="s">
        <v>475</v>
      </c>
      <c r="C7440" s="2">
        <v>598.37919999999997</v>
      </c>
      <c r="D7440" s="2">
        <f>HYPERLINK("http://mcb-m6.bioreg.kyushu-u.ac.jp/M3/20110411/F50920/983/1", 70.8)</f>
        <v>70.8</v>
      </c>
      <c r="E7440" s="2">
        <v>42.55</v>
      </c>
      <c r="F7440" s="2">
        <v>2</v>
      </c>
      <c r="G7440" s="2" t="s">
        <v>10</v>
      </c>
    </row>
    <row r="7441" spans="1:9" x14ac:dyDescent="0.2">
      <c r="A7441" s="2" t="s">
        <v>3590</v>
      </c>
      <c r="B7441" s="2" t="s">
        <v>501</v>
      </c>
      <c r="C7441" s="2">
        <v>686.60670000000005</v>
      </c>
      <c r="D7441" s="2">
        <f>HYPERLINK("http://mcb-m6.bioreg.kyushu-u.ac.jp/M3/20110502/F51177/1492/1", 40.13)</f>
        <v>40.130000000000003</v>
      </c>
      <c r="E7441" s="2">
        <v>11.87</v>
      </c>
      <c r="F7441" s="2">
        <v>2</v>
      </c>
      <c r="G7441" s="2" t="s">
        <v>14</v>
      </c>
    </row>
    <row r="7442" spans="1:9" x14ac:dyDescent="0.2">
      <c r="A7442" s="2" t="s">
        <v>3590</v>
      </c>
      <c r="B7442" s="2" t="s">
        <v>475</v>
      </c>
      <c r="C7442" s="2">
        <v>597.59810000000004</v>
      </c>
      <c r="D7442" s="2">
        <f>HYPERLINK("http://mcb-m6.bioreg.kyushu-u.ac.jp/M3/20110502/F51177/1089/1", 45.93)</f>
        <v>45.93</v>
      </c>
      <c r="E7442" s="2">
        <v>21.8</v>
      </c>
      <c r="F7442" s="2">
        <v>2</v>
      </c>
      <c r="G7442" s="2" t="s">
        <v>14</v>
      </c>
    </row>
    <row r="7443" spans="1:9" x14ac:dyDescent="0.2">
      <c r="A7443" s="2" t="s">
        <v>3590</v>
      </c>
      <c r="B7443" s="2" t="s">
        <v>3166</v>
      </c>
      <c r="C7443" s="2">
        <v>713.95010000000002</v>
      </c>
      <c r="D7443" s="2">
        <f>HYPERLINK("http://mcb-m6.bioreg.kyushu-u.ac.jp/M3/20110502/F51177/1688/1", 57.77)</f>
        <v>57.77</v>
      </c>
      <c r="E7443" s="2">
        <v>39.409999999999997</v>
      </c>
      <c r="F7443" s="2">
        <v>2</v>
      </c>
      <c r="G7443" s="2" t="s">
        <v>14</v>
      </c>
      <c r="H7443" s="2" t="s">
        <v>4900</v>
      </c>
    </row>
    <row r="7444" spans="1:9" x14ac:dyDescent="0.2">
      <c r="A7444" s="2" t="s">
        <v>3590</v>
      </c>
      <c r="B7444" s="2" t="s">
        <v>475</v>
      </c>
      <c r="C7444" s="2">
        <v>598.02719999999999</v>
      </c>
      <c r="D7444" s="2">
        <f>HYPERLINK("http://mcb-m6.bioreg.kyushu-u.ac.jp/M3/20110502/F51177/1090/1", 62.28)</f>
        <v>62.28</v>
      </c>
      <c r="E7444" s="2">
        <v>39.6</v>
      </c>
      <c r="F7444" s="2">
        <v>2</v>
      </c>
      <c r="G7444" s="2" t="s">
        <v>14</v>
      </c>
    </row>
    <row r="7445" spans="1:9" x14ac:dyDescent="0.2">
      <c r="A7445" s="2" t="s">
        <v>3590</v>
      </c>
      <c r="B7445" s="2" t="s">
        <v>685</v>
      </c>
      <c r="C7445" s="2">
        <v>621.94759999999997</v>
      </c>
      <c r="D7445" s="2">
        <f>HYPERLINK("http://mcb-m6.bioreg.kyushu-u.ac.jp/M3/20110502/F51177/1178/1", 66.79)</f>
        <v>66.790000000000006</v>
      </c>
      <c r="E7445" s="2">
        <v>47.97</v>
      </c>
      <c r="F7445" s="2">
        <v>2</v>
      </c>
      <c r="G7445" s="2" t="s">
        <v>14</v>
      </c>
    </row>
    <row r="7446" spans="1:9" x14ac:dyDescent="0.2">
      <c r="A7446" s="2" t="s">
        <v>3590</v>
      </c>
      <c r="B7446" s="2" t="s">
        <v>3231</v>
      </c>
      <c r="C7446" s="2">
        <v>713.57209999999998</v>
      </c>
      <c r="D7446" s="2">
        <f>HYPERLINK("http://mcb-m6.bioreg.kyushu-u.ac.jp/M3/20110502/F51177/1687/1", 99.98)</f>
        <v>99.98</v>
      </c>
      <c r="E7446" s="2">
        <v>82.62</v>
      </c>
      <c r="F7446" s="2">
        <v>2</v>
      </c>
      <c r="G7446" s="2" t="s">
        <v>14</v>
      </c>
    </row>
    <row r="7447" spans="1:9" x14ac:dyDescent="0.2">
      <c r="A7447" s="2" t="s">
        <v>4353</v>
      </c>
      <c r="B7447" s="2" t="s">
        <v>2170</v>
      </c>
      <c r="C7447" s="2">
        <v>515.82870000000003</v>
      </c>
      <c r="D7447" s="2">
        <f>HYPERLINK("http://mcb-m6.bioreg.kyushu-u.ac.jp/M3/20110414/F50941/961/1", 35.8)</f>
        <v>35.799999999999997</v>
      </c>
      <c r="E7447" s="2">
        <v>18.16</v>
      </c>
      <c r="F7447" s="2">
        <v>2</v>
      </c>
      <c r="G7447" s="2" t="s">
        <v>11</v>
      </c>
    </row>
    <row r="7448" spans="1:9" x14ac:dyDescent="0.2">
      <c r="A7448" s="2" t="s">
        <v>3371</v>
      </c>
      <c r="B7448" s="2" t="s">
        <v>163</v>
      </c>
      <c r="C7448" s="2">
        <v>853.56920000000002</v>
      </c>
      <c r="D7448" s="2">
        <f>HYPERLINK("http://mcb-m6.bioreg.kyushu-u.ac.jp/M3/20110411/F50891/2749/1", 37.02)</f>
        <v>37.020000000000003</v>
      </c>
      <c r="E7448" s="2">
        <v>17.97</v>
      </c>
      <c r="F7448" s="2">
        <v>2</v>
      </c>
      <c r="G7448" s="2" t="s">
        <v>9</v>
      </c>
    </row>
    <row r="7449" spans="1:9" x14ac:dyDescent="0.2">
      <c r="A7449" s="2" t="s">
        <v>3371</v>
      </c>
      <c r="B7449" s="2" t="s">
        <v>300</v>
      </c>
      <c r="C7449" s="2">
        <v>450.69810000000001</v>
      </c>
      <c r="D7449" s="2">
        <f>HYPERLINK("http://mcb-m6.bioreg.kyushu-u.ac.jp/M3/20110411/F50891/777/1", 39.29)</f>
        <v>39.29</v>
      </c>
      <c r="E7449" s="2">
        <v>12.68</v>
      </c>
      <c r="F7449" s="2">
        <v>2</v>
      </c>
      <c r="G7449" s="2" t="s">
        <v>9</v>
      </c>
    </row>
    <row r="7450" spans="1:9" x14ac:dyDescent="0.2">
      <c r="A7450" s="2" t="s">
        <v>3371</v>
      </c>
      <c r="B7450" s="2" t="s">
        <v>301</v>
      </c>
      <c r="C7450" s="2">
        <v>825.63900000000001</v>
      </c>
      <c r="D7450" s="2">
        <f>HYPERLINK("http://mcb-m6.bioreg.kyushu-u.ac.jp/M3/20110411/F50891/718/1", 39.3)</f>
        <v>39.299999999999997</v>
      </c>
      <c r="E7450" s="2">
        <v>11.96</v>
      </c>
      <c r="F7450" s="2">
        <v>1</v>
      </c>
      <c r="G7450" s="2" t="s">
        <v>9</v>
      </c>
    </row>
    <row r="7451" spans="1:9" x14ac:dyDescent="0.2">
      <c r="A7451" s="2" t="s">
        <v>3550</v>
      </c>
      <c r="B7451" s="2" t="s">
        <v>407</v>
      </c>
      <c r="C7451" s="2">
        <v>1263.5540000000001</v>
      </c>
      <c r="D7451" s="2">
        <f>HYPERLINK("http://mcb-m6.bioreg.kyushu-u.ac.jp/M3/20110411/F50891/1530/1", 41.24)</f>
        <v>41.24</v>
      </c>
      <c r="E7451" s="2">
        <v>24.81</v>
      </c>
      <c r="F7451" s="2">
        <v>1</v>
      </c>
      <c r="G7451" s="2" t="s">
        <v>9</v>
      </c>
    </row>
    <row r="7452" spans="1:9" x14ac:dyDescent="0.2">
      <c r="A7452" s="2" t="s">
        <v>3550</v>
      </c>
      <c r="B7452" s="2" t="s">
        <v>407</v>
      </c>
      <c r="C7452" s="2">
        <v>1263.3019999999999</v>
      </c>
      <c r="D7452" s="2">
        <f>HYPERLINK("http://mcb-m6.bioreg.kyushu-u.ac.jp/M3/20110414/F50928/1770/1", 36.88)</f>
        <v>36.880000000000003</v>
      </c>
      <c r="E7452" s="2">
        <v>15.38</v>
      </c>
      <c r="F7452" s="2">
        <v>1</v>
      </c>
      <c r="G7452" s="2" t="s">
        <v>11</v>
      </c>
    </row>
    <row r="7453" spans="1:9" x14ac:dyDescent="0.2">
      <c r="A7453" s="2" t="s">
        <v>3550</v>
      </c>
      <c r="B7453" s="2" t="s">
        <v>407</v>
      </c>
      <c r="C7453" s="2">
        <v>1263.616</v>
      </c>
      <c r="D7453" s="2">
        <f>HYPERLINK("http://mcb-m6.bioreg.kyushu-u.ac.jp/M3/20110414/F50933/1927/1", 35.23)</f>
        <v>35.229999999999997</v>
      </c>
      <c r="E7453" s="2">
        <v>18.72</v>
      </c>
      <c r="F7453" s="2">
        <v>1</v>
      </c>
      <c r="G7453" s="2" t="s">
        <v>12</v>
      </c>
    </row>
    <row r="7454" spans="1:9" x14ac:dyDescent="0.2">
      <c r="A7454" s="2" t="s">
        <v>3550</v>
      </c>
      <c r="B7454" s="2" t="s">
        <v>407</v>
      </c>
      <c r="C7454" s="2">
        <v>632.45569999999998</v>
      </c>
      <c r="D7454" s="2">
        <f>HYPERLINK("http://mcb-m6.bioreg.kyushu-u.ac.jp/M3/20110502/F51178/1655/1", 81.44)</f>
        <v>81.44</v>
      </c>
      <c r="E7454" s="2">
        <v>62.52</v>
      </c>
      <c r="F7454" s="2">
        <v>2</v>
      </c>
      <c r="G7454" s="2" t="s">
        <v>14</v>
      </c>
    </row>
    <row r="7455" spans="1:9" x14ac:dyDescent="0.2">
      <c r="A7455" s="2" t="s">
        <v>4629</v>
      </c>
      <c r="B7455" s="2" t="s">
        <v>2781</v>
      </c>
      <c r="C7455" s="2">
        <v>985.33259999999996</v>
      </c>
      <c r="D7455" s="2">
        <f>HYPERLINK("http://mcb-m6.bioreg.kyushu-u.ac.jp/M3/20110414/F50930/2673/1", 92.91)</f>
        <v>92.91</v>
      </c>
      <c r="E7455" s="2">
        <v>76.13</v>
      </c>
      <c r="F7455" s="2">
        <v>2</v>
      </c>
      <c r="G7455" s="2" t="s">
        <v>12</v>
      </c>
      <c r="I7455" s="2" t="s">
        <v>4906</v>
      </c>
    </row>
    <row r="7456" spans="1:9" x14ac:dyDescent="0.2">
      <c r="A7456" s="2" t="s">
        <v>4629</v>
      </c>
      <c r="B7456" s="2" t="s">
        <v>2781</v>
      </c>
      <c r="C7456" s="2">
        <v>985.62869999999998</v>
      </c>
      <c r="D7456" s="2">
        <f>HYPERLINK("http://mcb-m6.bioreg.kyushu-u.ac.jp/M3/20110502/F51165/2788/1", 95.61)</f>
        <v>95.61</v>
      </c>
      <c r="E7456" s="2">
        <v>71.790000000000006</v>
      </c>
      <c r="F7456" s="2">
        <v>2</v>
      </c>
      <c r="G7456" s="2" t="s">
        <v>13</v>
      </c>
      <c r="I7456" s="2" t="s">
        <v>4906</v>
      </c>
    </row>
    <row r="7457" spans="1:7" x14ac:dyDescent="0.2">
      <c r="A7457" s="2" t="s">
        <v>4703</v>
      </c>
      <c r="B7457" s="2" t="s">
        <v>2883</v>
      </c>
      <c r="C7457" s="2">
        <v>562.13319999999999</v>
      </c>
      <c r="D7457" s="2">
        <f>HYPERLINK("http://mcb-m6.bioreg.kyushu-u.ac.jp/M3/20110502/F51172/1066/1", 43.02)</f>
        <v>43.02</v>
      </c>
      <c r="E7457" s="2">
        <v>12.93</v>
      </c>
      <c r="F7457" s="2">
        <v>2</v>
      </c>
      <c r="G7457" s="2" t="s">
        <v>13</v>
      </c>
    </row>
    <row r="7458" spans="1:7" x14ac:dyDescent="0.2">
      <c r="A7458" s="2" t="s">
        <v>4703</v>
      </c>
      <c r="B7458" s="2" t="s">
        <v>2883</v>
      </c>
      <c r="C7458" s="2">
        <v>562.08219999999994</v>
      </c>
      <c r="D7458" s="2">
        <f>HYPERLINK("http://mcb-m6.bioreg.kyushu-u.ac.jp/M3/20110502/F51193/1017/1", 51.43)</f>
        <v>51.43</v>
      </c>
      <c r="E7458" s="2">
        <v>19.27</v>
      </c>
      <c r="F7458" s="2">
        <v>2</v>
      </c>
      <c r="G7458" s="2" t="s">
        <v>14</v>
      </c>
    </row>
    <row r="7459" spans="1:7" x14ac:dyDescent="0.2">
      <c r="A7459" s="2" t="s">
        <v>3764</v>
      </c>
      <c r="B7459" s="2" t="s">
        <v>780</v>
      </c>
      <c r="C7459" s="2">
        <v>887.49519999999995</v>
      </c>
      <c r="D7459" s="2">
        <f>HYPERLINK("http://mcb-m6.bioreg.kyushu-u.ac.jp/M3/20110411/F50903/2689/1", 51.12)</f>
        <v>51.12</v>
      </c>
      <c r="E7459" s="2">
        <v>26.91</v>
      </c>
      <c r="F7459" s="2">
        <v>2</v>
      </c>
      <c r="G7459" s="2" t="s">
        <v>9</v>
      </c>
    </row>
    <row r="7460" spans="1:7" x14ac:dyDescent="0.2">
      <c r="A7460" s="2" t="s">
        <v>3764</v>
      </c>
      <c r="B7460" s="2" t="s">
        <v>780</v>
      </c>
      <c r="C7460" s="2">
        <v>887.50210000000004</v>
      </c>
      <c r="D7460" s="2">
        <f>HYPERLINK("http://mcb-m6.bioreg.kyushu-u.ac.jp/M3/20110411/F50904/2682/1", 52.67)</f>
        <v>52.67</v>
      </c>
      <c r="E7460" s="2">
        <v>36.6</v>
      </c>
      <c r="F7460" s="2">
        <v>2</v>
      </c>
      <c r="G7460" s="2" t="s">
        <v>9</v>
      </c>
    </row>
    <row r="7461" spans="1:7" x14ac:dyDescent="0.2">
      <c r="A7461" s="2" t="s">
        <v>3764</v>
      </c>
      <c r="B7461" s="2" t="s">
        <v>780</v>
      </c>
      <c r="C7461" s="2">
        <v>887.02809999999999</v>
      </c>
      <c r="D7461" s="2">
        <f>HYPERLINK("http://mcb-m6.bioreg.kyushu-u.ac.jp/M3/20110411/F50920/2231/1", 85.81)</f>
        <v>85.81</v>
      </c>
      <c r="E7461" s="2">
        <v>62.27</v>
      </c>
      <c r="F7461" s="2">
        <v>2</v>
      </c>
      <c r="G7461" s="2" t="s">
        <v>10</v>
      </c>
    </row>
    <row r="7462" spans="1:7" x14ac:dyDescent="0.2">
      <c r="A7462" s="2" t="s">
        <v>3764</v>
      </c>
      <c r="B7462" s="2" t="s">
        <v>780</v>
      </c>
      <c r="C7462" s="2">
        <v>886.91610000000003</v>
      </c>
      <c r="D7462" s="2">
        <f>HYPERLINK("http://mcb-m6.bioreg.kyushu-u.ac.jp/M3/20110414/F50924/2722/1", 74.11)</f>
        <v>74.11</v>
      </c>
      <c r="E7462" s="2">
        <v>52.98</v>
      </c>
      <c r="F7462" s="2">
        <v>2</v>
      </c>
      <c r="G7462" s="2" t="s">
        <v>11</v>
      </c>
    </row>
    <row r="7463" spans="1:7" x14ac:dyDescent="0.2">
      <c r="A7463" s="2" t="s">
        <v>3764</v>
      </c>
      <c r="B7463" s="2" t="s">
        <v>780</v>
      </c>
      <c r="C7463" s="2">
        <v>887.17610000000002</v>
      </c>
      <c r="D7463" s="2">
        <f>HYPERLINK("http://mcb-m6.bioreg.kyushu-u.ac.jp/M3/20110502/F51181/2455/1", 84.42)</f>
        <v>84.42</v>
      </c>
      <c r="E7463" s="2">
        <v>58</v>
      </c>
      <c r="F7463" s="2">
        <v>2</v>
      </c>
      <c r="G7463" s="2" t="s">
        <v>14</v>
      </c>
    </row>
    <row r="7464" spans="1:7" x14ac:dyDescent="0.2">
      <c r="A7464" s="2" t="s">
        <v>4046</v>
      </c>
      <c r="B7464" s="2" t="s">
        <v>1391</v>
      </c>
      <c r="C7464" s="2">
        <v>1242.8399999999999</v>
      </c>
      <c r="D7464" s="2">
        <f>HYPERLINK("http://mcb-m6.bioreg.kyushu-u.ac.jp/M3/20110411/F50903/1493/1", 77.46)</f>
        <v>77.459999999999994</v>
      </c>
      <c r="E7464" s="2">
        <v>47.89</v>
      </c>
      <c r="F7464" s="2">
        <v>1</v>
      </c>
      <c r="G7464" s="2" t="s">
        <v>9</v>
      </c>
    </row>
    <row r="7465" spans="1:7" x14ac:dyDescent="0.2">
      <c r="A7465" s="2" t="s">
        <v>4046</v>
      </c>
      <c r="B7465" s="2" t="s">
        <v>1619</v>
      </c>
      <c r="C7465" s="2">
        <v>1388.2829999999999</v>
      </c>
      <c r="D7465" s="2">
        <f>HYPERLINK("http://mcb-m6.bioreg.kyushu-u.ac.jp/M3/20110411/F50903/4047/1", 101.8)</f>
        <v>101.8</v>
      </c>
      <c r="E7465" s="2">
        <v>95.79</v>
      </c>
      <c r="F7465" s="2">
        <v>2</v>
      </c>
      <c r="G7465" s="2" t="s">
        <v>9</v>
      </c>
    </row>
    <row r="7466" spans="1:7" x14ac:dyDescent="0.2">
      <c r="A7466" s="2" t="s">
        <v>4046</v>
      </c>
      <c r="B7466" s="2" t="s">
        <v>1391</v>
      </c>
      <c r="C7466" s="2">
        <v>621.98320000000001</v>
      </c>
      <c r="D7466" s="2">
        <f>HYPERLINK("http://mcb-m6.bioreg.kyushu-u.ac.jp/M3/20110411/F50920/1053/1", 74.65)</f>
        <v>74.650000000000006</v>
      </c>
      <c r="E7466" s="2">
        <v>47.97</v>
      </c>
      <c r="F7466" s="2">
        <v>2</v>
      </c>
      <c r="G7466" s="2" t="s">
        <v>10</v>
      </c>
    </row>
    <row r="7467" spans="1:7" x14ac:dyDescent="0.2">
      <c r="A7467" s="2" t="s">
        <v>4046</v>
      </c>
      <c r="B7467" s="2" t="s">
        <v>2137</v>
      </c>
      <c r="C7467" s="2">
        <v>935.2731</v>
      </c>
      <c r="D7467" s="2">
        <f>HYPERLINK("http://mcb-m6.bioreg.kyushu-u.ac.jp/M3/20110411/F50920/2423/1", 108.82)</f>
        <v>108.82</v>
      </c>
      <c r="E7467" s="2">
        <v>81.73</v>
      </c>
      <c r="F7467" s="2">
        <v>2</v>
      </c>
      <c r="G7467" s="2" t="s">
        <v>10</v>
      </c>
    </row>
    <row r="7468" spans="1:7" x14ac:dyDescent="0.2">
      <c r="A7468" s="2" t="s">
        <v>4046</v>
      </c>
      <c r="B7468" s="2" t="s">
        <v>1619</v>
      </c>
      <c r="C7468" s="2">
        <v>925.36580000000004</v>
      </c>
      <c r="D7468" s="2">
        <f>HYPERLINK("http://mcb-m6.bioreg.kyushu-u.ac.jp/M3/20110414/F50924/3708/1", 55.94)</f>
        <v>55.94</v>
      </c>
      <c r="E7468" s="2">
        <v>50.69</v>
      </c>
      <c r="F7468" s="2">
        <v>3</v>
      </c>
      <c r="G7468" s="2" t="s">
        <v>11</v>
      </c>
    </row>
    <row r="7469" spans="1:7" x14ac:dyDescent="0.2">
      <c r="A7469" s="2" t="s">
        <v>4046</v>
      </c>
      <c r="B7469" s="2" t="s">
        <v>2137</v>
      </c>
      <c r="C7469" s="2">
        <v>934.73019999999997</v>
      </c>
      <c r="D7469" s="2">
        <f>HYPERLINK("http://mcb-m6.bioreg.kyushu-u.ac.jp/M3/20110414/F50924/2922/1", 76.21)</f>
        <v>76.209999999999994</v>
      </c>
      <c r="E7469" s="2">
        <v>52.73</v>
      </c>
      <c r="F7469" s="2">
        <v>2</v>
      </c>
      <c r="G7469" s="2" t="s">
        <v>11</v>
      </c>
    </row>
    <row r="7470" spans="1:7" x14ac:dyDescent="0.2">
      <c r="A7470" s="2" t="s">
        <v>4046</v>
      </c>
      <c r="B7470" s="2" t="s">
        <v>1391</v>
      </c>
      <c r="C7470" s="2">
        <v>621.70820000000003</v>
      </c>
      <c r="D7470" s="2">
        <f>HYPERLINK("http://mcb-m6.bioreg.kyushu-u.ac.jp/M3/20110414/F50924/1541/1", 101.01)</f>
        <v>101.01</v>
      </c>
      <c r="E7470" s="2">
        <v>82.25</v>
      </c>
      <c r="F7470" s="2">
        <v>2</v>
      </c>
      <c r="G7470" s="2" t="s">
        <v>11</v>
      </c>
    </row>
    <row r="7471" spans="1:7" x14ac:dyDescent="0.2">
      <c r="A7471" s="2" t="s">
        <v>4046</v>
      </c>
      <c r="B7471" s="2" t="s">
        <v>2137</v>
      </c>
      <c r="C7471" s="2">
        <v>935.26459999999997</v>
      </c>
      <c r="D7471" s="2">
        <f>HYPERLINK("http://mcb-m6.bioreg.kyushu-u.ac.jp/M3/20110414/F50924/2923/1", 123.14)</f>
        <v>123.14</v>
      </c>
      <c r="E7471" s="2">
        <v>101.35</v>
      </c>
      <c r="F7471" s="2">
        <v>2</v>
      </c>
      <c r="G7471" s="2" t="s">
        <v>11</v>
      </c>
    </row>
    <row r="7472" spans="1:7" x14ac:dyDescent="0.2">
      <c r="A7472" s="2" t="s">
        <v>4046</v>
      </c>
      <c r="B7472" s="2" t="s">
        <v>1391</v>
      </c>
      <c r="C7472" s="2">
        <v>621.94569999999999</v>
      </c>
      <c r="D7472" s="2">
        <f>HYPERLINK("http://mcb-m6.bioreg.kyushu-u.ac.jp/M3/20110414/F50930/1928/1", 86.44)</f>
        <v>86.44</v>
      </c>
      <c r="E7472" s="2">
        <v>66.599999999999994</v>
      </c>
      <c r="F7472" s="2">
        <v>2</v>
      </c>
      <c r="G7472" s="2" t="s">
        <v>12</v>
      </c>
    </row>
    <row r="7473" spans="1:9" x14ac:dyDescent="0.2">
      <c r="A7473" s="2" t="s">
        <v>4046</v>
      </c>
      <c r="B7473" s="2" t="s">
        <v>1391</v>
      </c>
      <c r="C7473" s="2">
        <v>621.99019999999996</v>
      </c>
      <c r="D7473" s="2">
        <f>HYPERLINK("http://mcb-m6.bioreg.kyushu-u.ac.jp/M3/20110502/F51165/1729/1", 77.24)</f>
        <v>77.239999999999995</v>
      </c>
      <c r="E7473" s="2">
        <v>54.1</v>
      </c>
      <c r="F7473" s="2">
        <v>2</v>
      </c>
      <c r="G7473" s="2" t="s">
        <v>13</v>
      </c>
    </row>
    <row r="7474" spans="1:9" x14ac:dyDescent="0.2">
      <c r="A7474" s="2" t="s">
        <v>3813</v>
      </c>
      <c r="B7474" s="2" t="s">
        <v>873</v>
      </c>
      <c r="C7474" s="2">
        <v>780.41920000000005</v>
      </c>
      <c r="D7474" s="2">
        <f>HYPERLINK("http://mcb-m6.bioreg.kyushu-u.ac.jp/M3/20110411/F50892/2393/1", 54.08)</f>
        <v>54.08</v>
      </c>
      <c r="E7474" s="2">
        <v>46.22</v>
      </c>
      <c r="F7474" s="2">
        <v>2</v>
      </c>
      <c r="G7474" s="2" t="s">
        <v>9</v>
      </c>
    </row>
    <row r="7475" spans="1:9" x14ac:dyDescent="0.2">
      <c r="A7475" s="2" t="s">
        <v>3710</v>
      </c>
      <c r="B7475" s="2" t="s">
        <v>694</v>
      </c>
      <c r="C7475" s="2">
        <v>639.87959999999998</v>
      </c>
      <c r="D7475" s="2">
        <f>HYPERLINK("http://mcb-m6.bioreg.kyushu-u.ac.jp/M3/20110411/F50892/1776/1", 48.64)</f>
        <v>48.64</v>
      </c>
      <c r="E7475" s="2">
        <v>29.12</v>
      </c>
      <c r="F7475" s="2">
        <v>2</v>
      </c>
      <c r="G7475" s="2" t="s">
        <v>9</v>
      </c>
      <c r="I7475" s="2" t="s">
        <v>4895</v>
      </c>
    </row>
    <row r="7476" spans="1:9" x14ac:dyDescent="0.2">
      <c r="A7476" s="2" t="s">
        <v>3710</v>
      </c>
      <c r="B7476" s="2" t="s">
        <v>694</v>
      </c>
      <c r="C7476" s="2">
        <v>640.39670000000001</v>
      </c>
      <c r="D7476" s="2">
        <f>HYPERLINK("http://mcb-m6.bioreg.kyushu-u.ac.jp/M3/20110411/F50892/1780/1", 56.55)</f>
        <v>56.55</v>
      </c>
      <c r="E7476" s="2">
        <v>40.130000000000003</v>
      </c>
      <c r="F7476" s="2">
        <v>2</v>
      </c>
      <c r="G7476" s="2" t="s">
        <v>9</v>
      </c>
      <c r="I7476" s="2" t="s">
        <v>4895</v>
      </c>
    </row>
    <row r="7477" spans="1:9" x14ac:dyDescent="0.2">
      <c r="A7477" s="2" t="s">
        <v>3710</v>
      </c>
      <c r="B7477" s="2" t="s">
        <v>989</v>
      </c>
      <c r="C7477" s="2">
        <v>668.4452</v>
      </c>
      <c r="D7477" s="2">
        <f>HYPERLINK("http://mcb-m6.bioreg.kyushu-u.ac.jp/M3/20110411/F50892/1861/1", 57.99)</f>
        <v>57.99</v>
      </c>
      <c r="E7477" s="2">
        <v>2.2000000000000002</v>
      </c>
      <c r="F7477" s="2">
        <v>2</v>
      </c>
      <c r="G7477" s="2" t="s">
        <v>9</v>
      </c>
    </row>
    <row r="7478" spans="1:9" x14ac:dyDescent="0.2">
      <c r="A7478" s="2" t="s">
        <v>3710</v>
      </c>
      <c r="B7478" s="2" t="s">
        <v>1450</v>
      </c>
      <c r="C7478" s="2">
        <v>798.3777</v>
      </c>
      <c r="D7478" s="2">
        <f>HYPERLINK("http://mcb-m6.bioreg.kyushu-u.ac.jp/M3/20110411/F50892/2491/1", 81.31)</f>
        <v>81.31</v>
      </c>
      <c r="E7478" s="2">
        <v>68.739999999999995</v>
      </c>
      <c r="F7478" s="2">
        <v>2</v>
      </c>
      <c r="G7478" s="2" t="s">
        <v>9</v>
      </c>
    </row>
    <row r="7479" spans="1:9" x14ac:dyDescent="0.2">
      <c r="A7479" s="2" t="s">
        <v>3710</v>
      </c>
      <c r="B7479" s="2" t="s">
        <v>1994</v>
      </c>
      <c r="C7479" s="2">
        <v>814.97119999999995</v>
      </c>
      <c r="D7479" s="2">
        <f>HYPERLINK("http://mcb-m6.bioreg.kyushu-u.ac.jp/M3/20110411/F50899/2494/1", 57.62)</f>
        <v>57.62</v>
      </c>
      <c r="E7479" s="2">
        <v>44.74</v>
      </c>
      <c r="F7479" s="2">
        <v>2</v>
      </c>
      <c r="G7479" s="2" t="s">
        <v>10</v>
      </c>
      <c r="I7479" s="2" t="s">
        <v>4909</v>
      </c>
    </row>
    <row r="7480" spans="1:9" x14ac:dyDescent="0.2">
      <c r="A7480" s="2" t="s">
        <v>3710</v>
      </c>
      <c r="B7480" s="2" t="s">
        <v>1450</v>
      </c>
      <c r="C7480" s="2">
        <v>798.86069999999995</v>
      </c>
      <c r="D7480" s="2">
        <f>HYPERLINK("http://mcb-m6.bioreg.kyushu-u.ac.jp/M3/20110414/F50945/2408/1", 50.76)</f>
        <v>50.76</v>
      </c>
      <c r="E7480" s="2">
        <v>28.65</v>
      </c>
      <c r="F7480" s="2">
        <v>2</v>
      </c>
      <c r="G7480" s="2" t="s">
        <v>11</v>
      </c>
    </row>
    <row r="7481" spans="1:9" x14ac:dyDescent="0.2">
      <c r="A7481" s="2" t="s">
        <v>3907</v>
      </c>
      <c r="B7481" s="2" t="s">
        <v>1070</v>
      </c>
      <c r="C7481" s="2">
        <v>896.64620000000002</v>
      </c>
      <c r="D7481" s="2">
        <f>HYPERLINK("http://mcb-m6.bioreg.kyushu-u.ac.jp/M3/20110411/F50892/2819/1", 61.68)</f>
        <v>61.68</v>
      </c>
      <c r="E7481" s="2">
        <v>35.54</v>
      </c>
      <c r="F7481" s="2">
        <v>2</v>
      </c>
      <c r="G7481" s="2" t="s">
        <v>9</v>
      </c>
      <c r="I7481" s="2" t="s">
        <v>4890</v>
      </c>
    </row>
    <row r="7482" spans="1:9" x14ac:dyDescent="0.2">
      <c r="A7482" s="2" t="s">
        <v>3907</v>
      </c>
      <c r="B7482" s="2" t="s">
        <v>1469</v>
      </c>
      <c r="C7482" s="2">
        <v>955.4307</v>
      </c>
      <c r="D7482" s="2">
        <f>HYPERLINK("http://mcb-m6.bioreg.kyushu-u.ac.jp/M3/20110411/F50892/2994/1", 83.36)</f>
        <v>83.36</v>
      </c>
      <c r="E7482" s="2">
        <v>72.62</v>
      </c>
      <c r="F7482" s="2">
        <v>2</v>
      </c>
      <c r="G7482" s="2" t="s">
        <v>9</v>
      </c>
      <c r="I7482" s="2" t="s">
        <v>4892</v>
      </c>
    </row>
    <row r="7483" spans="1:9" x14ac:dyDescent="0.2">
      <c r="A7483" s="2" t="s">
        <v>3907</v>
      </c>
      <c r="B7483" s="2" t="s">
        <v>1070</v>
      </c>
      <c r="C7483" s="2">
        <v>896.48969999999997</v>
      </c>
      <c r="D7483" s="2">
        <f>HYPERLINK("http://mcb-m6.bioreg.kyushu-u.ac.jp/M3/20110414/F50946/2797/1", 40.6)</f>
        <v>40.6</v>
      </c>
      <c r="E7483" s="2">
        <v>25.03</v>
      </c>
      <c r="F7483" s="2">
        <v>2</v>
      </c>
      <c r="G7483" s="2" t="s">
        <v>12</v>
      </c>
      <c r="I7483" s="2" t="s">
        <v>4890</v>
      </c>
    </row>
    <row r="7484" spans="1:9" x14ac:dyDescent="0.2">
      <c r="A7484" s="2" t="s">
        <v>3630</v>
      </c>
      <c r="B7484" s="2" t="s">
        <v>544</v>
      </c>
      <c r="C7484" s="2">
        <v>651.32619999999997</v>
      </c>
      <c r="D7484" s="2">
        <f>HYPERLINK("http://mcb-m6.bioreg.kyushu-u.ac.jp/M3/20110411/F50892/1807/1", 44.38)</f>
        <v>44.38</v>
      </c>
      <c r="E7484" s="2">
        <v>27.75</v>
      </c>
      <c r="F7484" s="2">
        <v>2</v>
      </c>
      <c r="G7484" s="2" t="s">
        <v>9</v>
      </c>
    </row>
    <row r="7485" spans="1:9" x14ac:dyDescent="0.2">
      <c r="A7485" s="2" t="s">
        <v>3604</v>
      </c>
      <c r="B7485" s="2" t="s">
        <v>496</v>
      </c>
      <c r="C7485" s="2">
        <v>473.33260000000001</v>
      </c>
      <c r="D7485" s="2">
        <f>HYPERLINK("http://mcb-m6.bioreg.kyushu-u.ac.jp/M3/20110411/F50903/1039/1", 43.23)</f>
        <v>43.23</v>
      </c>
      <c r="E7485" s="2">
        <v>11.37</v>
      </c>
      <c r="F7485" s="2">
        <v>2</v>
      </c>
      <c r="G7485" s="2" t="s">
        <v>9</v>
      </c>
    </row>
    <row r="7486" spans="1:9" x14ac:dyDescent="0.2">
      <c r="A7486" s="2" t="s">
        <v>3908</v>
      </c>
      <c r="B7486" s="2" t="s">
        <v>1072</v>
      </c>
      <c r="C7486" s="2">
        <v>966.21870000000001</v>
      </c>
      <c r="D7486" s="2">
        <f>HYPERLINK("http://mcb-m6.bioreg.kyushu-u.ac.jp/M3/20110411/F50903/3020/1", 61.75)</f>
        <v>61.75</v>
      </c>
      <c r="E7486" s="2">
        <v>41.28</v>
      </c>
      <c r="F7486" s="2">
        <v>2</v>
      </c>
      <c r="G7486" s="2" t="s">
        <v>9</v>
      </c>
    </row>
    <row r="7487" spans="1:9" x14ac:dyDescent="0.2">
      <c r="A7487" s="2" t="s">
        <v>3908</v>
      </c>
      <c r="B7487" s="2" t="s">
        <v>1072</v>
      </c>
      <c r="C7487" s="2">
        <v>965.78769999999997</v>
      </c>
      <c r="D7487" s="2">
        <f>HYPERLINK("http://mcb-m6.bioreg.kyushu-u.ac.jp/M3/20110414/F50924/3016/1", 42.2)</f>
        <v>42.2</v>
      </c>
      <c r="E7487" s="2">
        <v>26.21</v>
      </c>
      <c r="F7487" s="2">
        <v>2</v>
      </c>
      <c r="G7487" s="2" t="s">
        <v>11</v>
      </c>
    </row>
    <row r="7488" spans="1:9" x14ac:dyDescent="0.2">
      <c r="A7488" s="2" t="s">
        <v>3908</v>
      </c>
      <c r="B7488" s="2" t="s">
        <v>1072</v>
      </c>
      <c r="C7488" s="2">
        <v>966.36720000000003</v>
      </c>
      <c r="D7488" s="2">
        <f>HYPERLINK("http://mcb-m6.bioreg.kyushu-u.ac.jp/M3/20110414/F50924/3019/1", 66.54)</f>
        <v>66.540000000000006</v>
      </c>
      <c r="E7488" s="2">
        <v>42.75</v>
      </c>
      <c r="F7488" s="2">
        <v>2</v>
      </c>
      <c r="G7488" s="2" t="s">
        <v>11</v>
      </c>
    </row>
    <row r="7489" spans="1:8" x14ac:dyDescent="0.2">
      <c r="A7489" s="2" t="s">
        <v>4290</v>
      </c>
      <c r="B7489" s="2" t="s">
        <v>1985</v>
      </c>
      <c r="C7489" s="2">
        <v>919.93520000000001</v>
      </c>
      <c r="D7489" s="2">
        <f>HYPERLINK("http://mcb-m6.bioreg.kyushu-u.ac.jp/M3/20110411/F50914/2939/1", 57)</f>
        <v>57</v>
      </c>
      <c r="E7489" s="2">
        <v>51.31</v>
      </c>
      <c r="F7489" s="2">
        <v>2</v>
      </c>
      <c r="G7489" s="2" t="s">
        <v>10</v>
      </c>
    </row>
    <row r="7490" spans="1:8" x14ac:dyDescent="0.2">
      <c r="A7490" s="2" t="s">
        <v>4290</v>
      </c>
      <c r="B7490" s="2" t="s">
        <v>2169</v>
      </c>
      <c r="C7490" s="2">
        <v>878.26570000000004</v>
      </c>
      <c r="D7490" s="2">
        <f>HYPERLINK("http://mcb-m6.bioreg.kyushu-u.ac.jp/M3/20110414/F50942/2734/1", 35.74)</f>
        <v>35.74</v>
      </c>
      <c r="E7490" s="2">
        <v>14.04</v>
      </c>
      <c r="F7490" s="2">
        <v>2</v>
      </c>
      <c r="G7490" s="2" t="s">
        <v>11</v>
      </c>
      <c r="H7490" s="2" t="s">
        <v>4919</v>
      </c>
    </row>
    <row r="7491" spans="1:8" x14ac:dyDescent="0.2">
      <c r="A7491" s="2" t="s">
        <v>4290</v>
      </c>
      <c r="B7491" s="2" t="s">
        <v>1985</v>
      </c>
      <c r="C7491" s="2">
        <v>920.03420000000006</v>
      </c>
      <c r="D7491" s="2">
        <f>HYPERLINK("http://mcb-m6.bioreg.kyushu-u.ac.jp/M3/20110502/F51183/2827/1", 47.26)</f>
        <v>47.26</v>
      </c>
      <c r="E7491" s="2">
        <v>32.479999999999997</v>
      </c>
      <c r="F7491" s="2">
        <v>2</v>
      </c>
      <c r="G7491" s="2" t="s">
        <v>14</v>
      </c>
    </row>
    <row r="7492" spans="1:8" x14ac:dyDescent="0.2">
      <c r="A7492" s="2" t="s">
        <v>4436</v>
      </c>
      <c r="B7492" s="2" t="s">
        <v>2320</v>
      </c>
      <c r="C7492" s="2">
        <v>728.84969999999998</v>
      </c>
      <c r="D7492" s="2">
        <f>HYPERLINK("http://mcb-m6.bioreg.kyushu-u.ac.jp/M3/20110414/F50943/1799/1", 45.78)</f>
        <v>45.78</v>
      </c>
      <c r="E7492" s="2">
        <v>29.07</v>
      </c>
      <c r="F7492" s="2">
        <v>2</v>
      </c>
      <c r="G7492" s="2" t="s">
        <v>11</v>
      </c>
    </row>
    <row r="7493" spans="1:8" x14ac:dyDescent="0.2">
      <c r="A7493" s="2" t="s">
        <v>4737</v>
      </c>
      <c r="B7493" s="2" t="s">
        <v>2961</v>
      </c>
      <c r="C7493" s="2">
        <v>523.44269999999995</v>
      </c>
      <c r="D7493" s="2">
        <f>HYPERLINK("http://mcb-m6.bioreg.kyushu-u.ac.jp/M3/20110502/F51179/710/1", 35.03)</f>
        <v>35.03</v>
      </c>
      <c r="E7493" s="2">
        <v>8.35</v>
      </c>
      <c r="F7493" s="2">
        <v>2</v>
      </c>
      <c r="G7493" s="2" t="s">
        <v>14</v>
      </c>
    </row>
    <row r="7494" spans="1:8" x14ac:dyDescent="0.2">
      <c r="A7494" s="2" t="s">
        <v>3830</v>
      </c>
      <c r="B7494" s="2" t="s">
        <v>902</v>
      </c>
      <c r="C7494" s="2">
        <v>654.5652</v>
      </c>
      <c r="D7494" s="2">
        <f>HYPERLINK("http://mcb-m6.bioreg.kyushu-u.ac.jp/M3/20110411/F50911/1630/1", 55.05)</f>
        <v>55.05</v>
      </c>
      <c r="E7494" s="2">
        <v>24.61</v>
      </c>
      <c r="F7494" s="2">
        <v>2</v>
      </c>
      <c r="G7494" s="2" t="s">
        <v>9</v>
      </c>
    </row>
    <row r="7495" spans="1:8" x14ac:dyDescent="0.2">
      <c r="A7495" s="2" t="s">
        <v>3830</v>
      </c>
      <c r="B7495" s="2" t="s">
        <v>1307</v>
      </c>
      <c r="C7495" s="2">
        <v>840.59770000000003</v>
      </c>
      <c r="D7495" s="2">
        <f>HYPERLINK("http://mcb-m6.bioreg.kyushu-u.ac.jp/M3/20110411/F50911/2626/1", 71.98)</f>
        <v>71.98</v>
      </c>
      <c r="E7495" s="2">
        <v>36.18</v>
      </c>
      <c r="F7495" s="2">
        <v>2</v>
      </c>
      <c r="G7495" s="2" t="s">
        <v>9</v>
      </c>
    </row>
    <row r="7496" spans="1:8" x14ac:dyDescent="0.2">
      <c r="A7496" s="2" t="s">
        <v>3830</v>
      </c>
      <c r="B7496" s="2" t="s">
        <v>1307</v>
      </c>
      <c r="C7496" s="2">
        <v>840.51919999999996</v>
      </c>
      <c r="D7496" s="2">
        <f>HYPERLINK("http://mcb-m6.bioreg.kyushu-u.ac.jp/M3/20110411/F50914/2545/1", 75.12)</f>
        <v>75.12</v>
      </c>
      <c r="E7496" s="2">
        <v>49.6</v>
      </c>
      <c r="F7496" s="2">
        <v>2</v>
      </c>
      <c r="G7496" s="2" t="s">
        <v>10</v>
      </c>
    </row>
    <row r="7497" spans="1:8" x14ac:dyDescent="0.2">
      <c r="A7497" s="2" t="s">
        <v>3950</v>
      </c>
      <c r="B7497" s="2" t="s">
        <v>1154</v>
      </c>
      <c r="C7497" s="2">
        <v>599.00210000000004</v>
      </c>
      <c r="D7497" s="2">
        <f>HYPERLINK("http://mcb-m6.bioreg.kyushu-u.ac.jp/M3/20110411/F50891/1374/1", 65.32)</f>
        <v>65.319999999999993</v>
      </c>
      <c r="E7497" s="2">
        <v>48.93</v>
      </c>
      <c r="F7497" s="2">
        <v>2</v>
      </c>
      <c r="G7497" s="2" t="s">
        <v>9</v>
      </c>
    </row>
    <row r="7498" spans="1:8" x14ac:dyDescent="0.2">
      <c r="A7498" s="2" t="s">
        <v>4215</v>
      </c>
      <c r="B7498" s="2" t="s">
        <v>1814</v>
      </c>
      <c r="C7498" s="2">
        <v>831.91420000000005</v>
      </c>
      <c r="D7498" s="2">
        <f>HYPERLINK("http://mcb-m6.bioreg.kyushu-u.ac.jp/M3/20110411/F50921/2238/1", 41.13)</f>
        <v>41.13</v>
      </c>
      <c r="E7498" s="2">
        <v>29.94</v>
      </c>
      <c r="F7498" s="2">
        <v>2</v>
      </c>
      <c r="G7498" s="2" t="s">
        <v>10</v>
      </c>
    </row>
    <row r="7499" spans="1:8" x14ac:dyDescent="0.2">
      <c r="A7499" s="2" t="s">
        <v>4215</v>
      </c>
      <c r="B7499" s="2" t="s">
        <v>1814</v>
      </c>
      <c r="C7499" s="2">
        <v>831.32169999999996</v>
      </c>
      <c r="D7499" s="2">
        <f>HYPERLINK("http://mcb-m6.bioreg.kyushu-u.ac.jp/M3/20110414/F50946/2474/1", 39.3)</f>
        <v>39.299999999999997</v>
      </c>
      <c r="E7499" s="2">
        <v>25.59</v>
      </c>
      <c r="F7499" s="2">
        <v>2</v>
      </c>
      <c r="G7499" s="2" t="s">
        <v>12</v>
      </c>
    </row>
    <row r="7500" spans="1:8" x14ac:dyDescent="0.2">
      <c r="A7500" s="2" t="s">
        <v>4215</v>
      </c>
      <c r="B7500" s="2" t="s">
        <v>2664</v>
      </c>
      <c r="C7500" s="2">
        <v>1041.9269999999999</v>
      </c>
      <c r="D7500" s="2">
        <f>HYPERLINK("http://mcb-m6.bioreg.kyushu-u.ac.jp/M3/20110414/F50946/3276/1", 49.66)</f>
        <v>49.66</v>
      </c>
      <c r="E7500" s="2">
        <v>31.63</v>
      </c>
      <c r="F7500" s="2">
        <v>2</v>
      </c>
      <c r="G7500" s="2" t="s">
        <v>12</v>
      </c>
    </row>
    <row r="7501" spans="1:8" x14ac:dyDescent="0.2">
      <c r="A7501" s="2" t="s">
        <v>4215</v>
      </c>
      <c r="B7501" s="2" t="s">
        <v>2664</v>
      </c>
      <c r="C7501" s="2">
        <v>1041.1579999999999</v>
      </c>
      <c r="D7501" s="2">
        <f>HYPERLINK("http://mcb-m6.bioreg.kyushu-u.ac.jp/M3/20110502/F51180/3048/1", 73.62)</f>
        <v>73.62</v>
      </c>
      <c r="E7501" s="2">
        <v>52.62</v>
      </c>
      <c r="F7501" s="2">
        <v>2</v>
      </c>
      <c r="G7501" s="2" t="s">
        <v>13</v>
      </c>
    </row>
    <row r="7502" spans="1:8" x14ac:dyDescent="0.2">
      <c r="A7502" s="2" t="s">
        <v>4215</v>
      </c>
      <c r="B7502" s="2" t="s">
        <v>2664</v>
      </c>
      <c r="C7502" s="2">
        <v>1041.7650000000001</v>
      </c>
      <c r="D7502" s="2">
        <f>HYPERLINK("http://mcb-m6.bioreg.kyushu-u.ac.jp/M3/20110502/F51182/3254/1", 43.72)</f>
        <v>43.72</v>
      </c>
      <c r="E7502" s="2">
        <v>27.38</v>
      </c>
      <c r="F7502" s="2">
        <v>2</v>
      </c>
      <c r="G7502" s="2" t="s">
        <v>14</v>
      </c>
    </row>
    <row r="7503" spans="1:8" x14ac:dyDescent="0.2">
      <c r="A7503" s="2" t="s">
        <v>4215</v>
      </c>
      <c r="B7503" s="2" t="s">
        <v>3145</v>
      </c>
      <c r="C7503" s="2">
        <v>480.1096</v>
      </c>
      <c r="D7503" s="2">
        <f>HYPERLINK("http://mcb-m6.bioreg.kyushu-u.ac.jp/M3/20110502/F51182/649/1", 51.5)</f>
        <v>51.5</v>
      </c>
      <c r="E7503" s="2">
        <v>8.76</v>
      </c>
      <c r="F7503" s="2">
        <v>2</v>
      </c>
      <c r="G7503" s="2" t="s">
        <v>14</v>
      </c>
    </row>
    <row r="7504" spans="1:8" x14ac:dyDescent="0.2">
      <c r="A7504" s="2" t="s">
        <v>3791</v>
      </c>
      <c r="B7504" s="2" t="s">
        <v>836</v>
      </c>
      <c r="C7504" s="2">
        <v>712.46169999999995</v>
      </c>
      <c r="D7504" s="2">
        <f>HYPERLINK("http://mcb-m6.bioreg.kyushu-u.ac.jp/M3/20110411/F50892/2072/1", 52.96)</f>
        <v>52.96</v>
      </c>
      <c r="E7504" s="2">
        <v>32.35</v>
      </c>
      <c r="F7504" s="2">
        <v>2</v>
      </c>
      <c r="G7504" s="2" t="s">
        <v>9</v>
      </c>
    </row>
    <row r="7505" spans="1:9" x14ac:dyDescent="0.2">
      <c r="A7505" s="2" t="s">
        <v>3791</v>
      </c>
      <c r="B7505" s="2" t="s">
        <v>836</v>
      </c>
      <c r="C7505" s="2">
        <v>712.47469999999998</v>
      </c>
      <c r="D7505" s="2">
        <f>HYPERLINK("http://mcb-m6.bioreg.kyushu-u.ac.jp/M3/20110411/F50899/2124/1", 60.79)</f>
        <v>60.79</v>
      </c>
      <c r="E7505" s="2">
        <v>41.27</v>
      </c>
      <c r="F7505" s="2">
        <v>2</v>
      </c>
      <c r="G7505" s="2" t="s">
        <v>10</v>
      </c>
    </row>
    <row r="7506" spans="1:9" x14ac:dyDescent="0.2">
      <c r="A7506" s="2" t="s">
        <v>4851</v>
      </c>
      <c r="B7506" s="2" t="s">
        <v>3129</v>
      </c>
      <c r="C7506" s="2">
        <v>487.97660000000002</v>
      </c>
      <c r="D7506" s="2">
        <f>HYPERLINK("http://mcb-m6.bioreg.kyushu-u.ac.jp/M3/20110502/F51184/517/1", 48.87)</f>
        <v>48.87</v>
      </c>
      <c r="E7506" s="2">
        <v>16.43</v>
      </c>
      <c r="F7506" s="2">
        <v>2</v>
      </c>
      <c r="G7506" s="2" t="s">
        <v>14</v>
      </c>
    </row>
    <row r="7507" spans="1:9" x14ac:dyDescent="0.2">
      <c r="A7507" s="2" t="s">
        <v>3755</v>
      </c>
      <c r="B7507" s="2" t="s">
        <v>767</v>
      </c>
      <c r="C7507" s="2">
        <v>489.96210000000002</v>
      </c>
      <c r="D7507" s="2">
        <f>HYPERLINK("http://mcb-m6.bioreg.kyushu-u.ac.jp/M3/20110411/F50916/793/1", 50.6)</f>
        <v>50.6</v>
      </c>
      <c r="E7507" s="2">
        <v>10.75</v>
      </c>
      <c r="F7507" s="2">
        <v>2</v>
      </c>
      <c r="G7507" s="2" t="s">
        <v>9</v>
      </c>
    </row>
    <row r="7508" spans="1:9" x14ac:dyDescent="0.2">
      <c r="A7508" s="2" t="s">
        <v>3755</v>
      </c>
      <c r="B7508" s="2" t="s">
        <v>1207</v>
      </c>
      <c r="C7508" s="2">
        <v>860.29970000000003</v>
      </c>
      <c r="D7508" s="2">
        <f>HYPERLINK("http://mcb-m6.bioreg.kyushu-u.ac.jp/M3/20110411/F50916/2508/1", 67.41)</f>
        <v>67.41</v>
      </c>
      <c r="E7508" s="2">
        <v>55.66</v>
      </c>
      <c r="F7508" s="2">
        <v>2</v>
      </c>
      <c r="G7508" s="2" t="s">
        <v>9</v>
      </c>
    </row>
    <row r="7509" spans="1:9" x14ac:dyDescent="0.2">
      <c r="A7509" s="2" t="s">
        <v>3755</v>
      </c>
      <c r="B7509" s="2" t="s">
        <v>1378</v>
      </c>
      <c r="C7509" s="2">
        <v>710.70320000000004</v>
      </c>
      <c r="D7509" s="2">
        <f>HYPERLINK("http://mcb-m6.bioreg.kyushu-u.ac.jp/M3/20110411/F50916/1729/1", 76.7)</f>
        <v>76.7</v>
      </c>
      <c r="E7509" s="2">
        <v>53.84</v>
      </c>
      <c r="F7509" s="2">
        <v>2</v>
      </c>
      <c r="G7509" s="2" t="s">
        <v>9</v>
      </c>
    </row>
    <row r="7510" spans="1:9" x14ac:dyDescent="0.2">
      <c r="A7510" s="2" t="s">
        <v>3755</v>
      </c>
      <c r="B7510" s="2" t="s">
        <v>2030</v>
      </c>
      <c r="C7510" s="2">
        <v>684.50519999999995</v>
      </c>
      <c r="D7510" s="2">
        <f>HYPERLINK("http://mcb-m6.bioreg.kyushu-u.ac.jp/M3/20110411/F50918/1544/1", 64.66)</f>
        <v>64.66</v>
      </c>
      <c r="E7510" s="2">
        <v>42.31</v>
      </c>
      <c r="F7510" s="2">
        <v>2</v>
      </c>
      <c r="G7510" s="2" t="s">
        <v>10</v>
      </c>
      <c r="I7510" s="2" t="s">
        <v>4898</v>
      </c>
    </row>
    <row r="7511" spans="1:9" x14ac:dyDescent="0.2">
      <c r="A7511" s="2" t="s">
        <v>3755</v>
      </c>
      <c r="B7511" s="2" t="s">
        <v>2031</v>
      </c>
      <c r="C7511" s="2">
        <v>794.54909999999995</v>
      </c>
      <c r="D7511" s="2">
        <f>HYPERLINK("http://mcb-m6.bioreg.kyushu-u.ac.jp/M3/20110411/F50918/2151/1", 64.7)</f>
        <v>64.7</v>
      </c>
      <c r="E7511" s="2">
        <v>47.25</v>
      </c>
      <c r="F7511" s="2">
        <v>2</v>
      </c>
      <c r="G7511" s="2" t="s">
        <v>10</v>
      </c>
    </row>
    <row r="7512" spans="1:9" x14ac:dyDescent="0.2">
      <c r="A7512" s="2" t="s">
        <v>3755</v>
      </c>
      <c r="B7512" s="2" t="s">
        <v>1378</v>
      </c>
      <c r="C7512" s="2">
        <v>710.43520000000001</v>
      </c>
      <c r="D7512" s="2">
        <f>HYPERLINK("http://mcb-m6.bioreg.kyushu-u.ac.jp/M3/20110411/F50918/1703/1", 99.76)</f>
        <v>99.76</v>
      </c>
      <c r="E7512" s="2">
        <v>78.52</v>
      </c>
      <c r="F7512" s="2">
        <v>2</v>
      </c>
      <c r="G7512" s="2" t="s">
        <v>10</v>
      </c>
    </row>
    <row r="7513" spans="1:9" x14ac:dyDescent="0.2">
      <c r="A7513" s="2" t="s">
        <v>3755</v>
      </c>
      <c r="B7513" s="2" t="s">
        <v>2280</v>
      </c>
      <c r="C7513" s="2">
        <v>819.26869999999997</v>
      </c>
      <c r="D7513" s="2">
        <f>HYPERLINK("http://mcb-m6.bioreg.kyushu-u.ac.jp/M3/20110414/F50957/2403/1", 42.61)</f>
        <v>42.61</v>
      </c>
      <c r="E7513" s="2">
        <v>22.97</v>
      </c>
      <c r="F7513" s="2">
        <v>2</v>
      </c>
      <c r="G7513" s="2" t="s">
        <v>11</v>
      </c>
      <c r="I7513" s="2" t="s">
        <v>4918</v>
      </c>
    </row>
    <row r="7514" spans="1:9" x14ac:dyDescent="0.2">
      <c r="A7514" s="2" t="s">
        <v>3755</v>
      </c>
      <c r="B7514" s="2" t="s">
        <v>2031</v>
      </c>
      <c r="C7514" s="2">
        <v>794.15470000000005</v>
      </c>
      <c r="D7514" s="2">
        <f>HYPERLINK("http://mcb-m6.bioreg.kyushu-u.ac.jp/M3/20110414/F50957/2260/1", 56.48)</f>
        <v>56.48</v>
      </c>
      <c r="E7514" s="2">
        <v>44.65</v>
      </c>
      <c r="F7514" s="2">
        <v>2</v>
      </c>
      <c r="G7514" s="2" t="s">
        <v>11</v>
      </c>
    </row>
    <row r="7515" spans="1:9" x14ac:dyDescent="0.2">
      <c r="A7515" s="2" t="s">
        <v>3755</v>
      </c>
      <c r="B7515" s="2" t="s">
        <v>2280</v>
      </c>
      <c r="C7515" s="2">
        <v>820.0077</v>
      </c>
      <c r="D7515" s="2">
        <f>HYPERLINK("http://mcb-m6.bioreg.kyushu-u.ac.jp/M3/20110414/F50959/2460/1", 41.4)</f>
        <v>41.4</v>
      </c>
      <c r="E7515" s="2">
        <v>25.1</v>
      </c>
      <c r="F7515" s="2">
        <v>2</v>
      </c>
      <c r="G7515" s="2" t="s">
        <v>12</v>
      </c>
      <c r="I7515" s="2" t="s">
        <v>4918</v>
      </c>
    </row>
    <row r="7516" spans="1:9" x14ac:dyDescent="0.2">
      <c r="A7516" s="2" t="s">
        <v>3755</v>
      </c>
      <c r="B7516" s="2" t="s">
        <v>1378</v>
      </c>
      <c r="C7516" s="2">
        <v>710.15170000000001</v>
      </c>
      <c r="D7516" s="2">
        <f>HYPERLINK("http://mcb-m6.bioreg.kyushu-u.ac.jp/M3/20110414/F50959/1650/1", 50.77)</f>
        <v>50.77</v>
      </c>
      <c r="E7516" s="2">
        <v>29.43</v>
      </c>
      <c r="F7516" s="2">
        <v>2</v>
      </c>
      <c r="G7516" s="2" t="s">
        <v>12</v>
      </c>
    </row>
    <row r="7517" spans="1:9" x14ac:dyDescent="0.2">
      <c r="A7517" s="2" t="s">
        <v>3755</v>
      </c>
      <c r="B7517" s="2" t="s">
        <v>2280</v>
      </c>
      <c r="C7517" s="2">
        <v>819.3827</v>
      </c>
      <c r="D7517" s="2">
        <f>HYPERLINK("http://mcb-m6.bioreg.kyushu-u.ac.jp/M3/20110414/F50959/2451/1", 54.44)</f>
        <v>54.44</v>
      </c>
      <c r="E7517" s="2">
        <v>32.659999999999997</v>
      </c>
      <c r="F7517" s="2">
        <v>2</v>
      </c>
      <c r="G7517" s="2" t="s">
        <v>12</v>
      </c>
      <c r="I7517" s="2" t="s">
        <v>4918</v>
      </c>
    </row>
    <row r="7518" spans="1:9" x14ac:dyDescent="0.2">
      <c r="A7518" s="2" t="s">
        <v>3755</v>
      </c>
      <c r="B7518" s="2" t="s">
        <v>767</v>
      </c>
      <c r="C7518" s="2">
        <v>489.55610000000001</v>
      </c>
      <c r="D7518" s="2">
        <f>HYPERLINK("http://mcb-m6.bioreg.kyushu-u.ac.jp/M3/20110414/F50959/513/1", 55.57)</f>
        <v>55.57</v>
      </c>
      <c r="E7518" s="2">
        <v>21.27</v>
      </c>
      <c r="F7518" s="2">
        <v>2</v>
      </c>
      <c r="G7518" s="2" t="s">
        <v>12</v>
      </c>
    </row>
    <row r="7519" spans="1:9" x14ac:dyDescent="0.2">
      <c r="A7519" s="2" t="s">
        <v>3755</v>
      </c>
      <c r="B7519" s="2" t="s">
        <v>2031</v>
      </c>
      <c r="C7519" s="2">
        <v>794.72360000000003</v>
      </c>
      <c r="D7519" s="2">
        <f>HYPERLINK("http://mcb-m6.bioreg.kyushu-u.ac.jp/M3/20110414/F50959/2262/1", 61.8)</f>
        <v>61.8</v>
      </c>
      <c r="E7519" s="2">
        <v>45.71</v>
      </c>
      <c r="F7519" s="2">
        <v>2</v>
      </c>
      <c r="G7519" s="2" t="s">
        <v>12</v>
      </c>
    </row>
    <row r="7520" spans="1:9" x14ac:dyDescent="0.2">
      <c r="A7520" s="2" t="s">
        <v>3755</v>
      </c>
      <c r="B7520" s="2" t="s">
        <v>2736</v>
      </c>
      <c r="C7520" s="2">
        <v>1064.876</v>
      </c>
      <c r="D7520" s="2">
        <f>HYPERLINK("http://mcb-m6.bioreg.kyushu-u.ac.jp/M3/20110414/F50959/3843/1", 70.32)</f>
        <v>70.319999999999993</v>
      </c>
      <c r="E7520" s="2">
        <v>58.01</v>
      </c>
      <c r="F7520" s="2">
        <v>2</v>
      </c>
      <c r="G7520" s="2" t="s">
        <v>12</v>
      </c>
      <c r="I7520" s="2" t="s">
        <v>4923</v>
      </c>
    </row>
    <row r="7521" spans="1:9" x14ac:dyDescent="0.2">
      <c r="A7521" s="2" t="s">
        <v>3755</v>
      </c>
      <c r="B7521" s="2" t="s">
        <v>2030</v>
      </c>
      <c r="C7521" s="2">
        <v>684.79420000000005</v>
      </c>
      <c r="D7521" s="2">
        <f>HYPERLINK("http://mcb-m6.bioreg.kyushu-u.ac.jp/M3/20110502/F51173/1459/1", 40.14)</f>
        <v>40.14</v>
      </c>
      <c r="E7521" s="2">
        <v>24.48</v>
      </c>
      <c r="F7521" s="2">
        <v>2</v>
      </c>
      <c r="G7521" s="2" t="s">
        <v>13</v>
      </c>
      <c r="I7521" s="2" t="s">
        <v>4898</v>
      </c>
    </row>
    <row r="7522" spans="1:9" x14ac:dyDescent="0.2">
      <c r="A7522" s="2" t="s">
        <v>3755</v>
      </c>
      <c r="B7522" s="2" t="s">
        <v>2892</v>
      </c>
      <c r="C7522" s="2">
        <v>790.9742</v>
      </c>
      <c r="D7522" s="2">
        <f>HYPERLINK("http://mcb-m6.bioreg.kyushu-u.ac.jp/M3/20110502/F51173/2137/1", 44.86)</f>
        <v>44.86</v>
      </c>
      <c r="E7522" s="2">
        <v>31.23</v>
      </c>
      <c r="F7522" s="2">
        <v>2</v>
      </c>
      <c r="G7522" s="2" t="s">
        <v>13</v>
      </c>
      <c r="I7522" s="2" t="s">
        <v>4905</v>
      </c>
    </row>
    <row r="7523" spans="1:9" x14ac:dyDescent="0.2">
      <c r="A7523" s="2" t="s">
        <v>3755</v>
      </c>
      <c r="B7523" s="2" t="s">
        <v>2031</v>
      </c>
      <c r="C7523" s="2">
        <v>794.64869999999996</v>
      </c>
      <c r="D7523" s="2">
        <f>HYPERLINK("http://mcb-m6.bioreg.kyushu-u.ac.jp/M3/20110502/F51173/2156/1", 74.43)</f>
        <v>74.430000000000007</v>
      </c>
      <c r="E7523" s="2">
        <v>56.13</v>
      </c>
      <c r="F7523" s="2">
        <v>2</v>
      </c>
      <c r="G7523" s="2" t="s">
        <v>13</v>
      </c>
    </row>
    <row r="7524" spans="1:9" x14ac:dyDescent="0.2">
      <c r="A7524" s="2" t="s">
        <v>3755</v>
      </c>
      <c r="B7524" s="2" t="s">
        <v>2736</v>
      </c>
      <c r="C7524" s="2">
        <v>1064.748</v>
      </c>
      <c r="D7524" s="2">
        <f>HYPERLINK("http://mcb-m6.bioreg.kyushu-u.ac.jp/M3/20110502/F51184/3505/1", 66.95)</f>
        <v>66.95</v>
      </c>
      <c r="E7524" s="2">
        <v>47.82</v>
      </c>
      <c r="F7524" s="2">
        <v>2</v>
      </c>
      <c r="G7524" s="2" t="s">
        <v>14</v>
      </c>
      <c r="I7524" s="2" t="s">
        <v>4923</v>
      </c>
    </row>
    <row r="7525" spans="1:9" x14ac:dyDescent="0.2">
      <c r="A7525" s="2" t="s">
        <v>3755</v>
      </c>
      <c r="B7525" s="2" t="s">
        <v>2031</v>
      </c>
      <c r="C7525" s="2">
        <v>794.71119999999996</v>
      </c>
      <c r="D7525" s="2">
        <f>HYPERLINK("http://mcb-m6.bioreg.kyushu-u.ac.jp/M3/20110502/F51184/2185/1", 76.7)</f>
        <v>76.7</v>
      </c>
      <c r="E7525" s="2">
        <v>58.54</v>
      </c>
      <c r="F7525" s="2">
        <v>2</v>
      </c>
      <c r="G7525" s="2" t="s">
        <v>14</v>
      </c>
    </row>
    <row r="7526" spans="1:9" x14ac:dyDescent="0.2">
      <c r="A7526" s="2" t="s">
        <v>4181</v>
      </c>
      <c r="B7526" s="2" t="s">
        <v>1758</v>
      </c>
      <c r="C7526" s="2">
        <v>590.98659999999995</v>
      </c>
      <c r="D7526" s="2">
        <f>HYPERLINK("http://mcb-m6.bioreg.kyushu-u.ac.jp/M3/20110411/F50896/1597/1", 38.12)</f>
        <v>38.119999999999997</v>
      </c>
      <c r="E7526" s="2">
        <v>17.739999999999998</v>
      </c>
      <c r="F7526" s="2">
        <v>2</v>
      </c>
      <c r="G7526" s="2" t="s">
        <v>10</v>
      </c>
    </row>
    <row r="7527" spans="1:9" x14ac:dyDescent="0.2">
      <c r="A7527" s="2" t="s">
        <v>4335</v>
      </c>
      <c r="B7527" s="2" t="s">
        <v>2147</v>
      </c>
      <c r="C7527" s="2">
        <v>755.1327</v>
      </c>
      <c r="D7527" s="2">
        <f>HYPERLINK("http://mcb-m6.bioreg.kyushu-u.ac.jp/M3/20110411/F50912/2103/1", 117.11)</f>
        <v>117.11</v>
      </c>
      <c r="E7527" s="2">
        <v>90.04</v>
      </c>
      <c r="F7527" s="2">
        <v>2</v>
      </c>
      <c r="G7527" s="2" t="s">
        <v>10</v>
      </c>
    </row>
    <row r="7528" spans="1:9" x14ac:dyDescent="0.2">
      <c r="A7528" s="2" t="s">
        <v>4335</v>
      </c>
      <c r="B7528" s="2" t="s">
        <v>2147</v>
      </c>
      <c r="C7528" s="2">
        <v>755.23170000000005</v>
      </c>
      <c r="D7528" s="2">
        <f>HYPERLINK("http://mcb-m6.bioreg.kyushu-u.ac.jp/M3/20110414/F50941/2192/1", 76.33)</f>
        <v>76.33</v>
      </c>
      <c r="E7528" s="2">
        <v>57.05</v>
      </c>
      <c r="F7528" s="2">
        <v>2</v>
      </c>
      <c r="G7528" s="2" t="s">
        <v>11</v>
      </c>
    </row>
    <row r="7529" spans="1:9" x14ac:dyDescent="0.2">
      <c r="A7529" s="2" t="s">
        <v>4335</v>
      </c>
      <c r="B7529" s="2" t="s">
        <v>2147</v>
      </c>
      <c r="C7529" s="2">
        <v>755.37959999999998</v>
      </c>
      <c r="D7529" s="2">
        <f>HYPERLINK("http://mcb-m6.bioreg.kyushu-u.ac.jp/M3/20110414/F50947/2068/1", 85.37)</f>
        <v>85.37</v>
      </c>
      <c r="E7529" s="2">
        <v>61.87</v>
      </c>
      <c r="F7529" s="2">
        <v>2</v>
      </c>
      <c r="G7529" s="2" t="s">
        <v>12</v>
      </c>
    </row>
    <row r="7530" spans="1:9" x14ac:dyDescent="0.2">
      <c r="A7530" s="2" t="s">
        <v>4335</v>
      </c>
      <c r="B7530" s="2" t="s">
        <v>2147</v>
      </c>
      <c r="C7530" s="2">
        <v>754.8107</v>
      </c>
      <c r="D7530" s="2">
        <f>HYPERLINK("http://mcb-m6.bioreg.kyushu-u.ac.jp/M3/20110414/F50947/2064/1", 102.65)</f>
        <v>102.65</v>
      </c>
      <c r="E7530" s="2">
        <v>87.67</v>
      </c>
      <c r="F7530" s="2">
        <v>2</v>
      </c>
      <c r="G7530" s="2" t="s">
        <v>12</v>
      </c>
    </row>
    <row r="7531" spans="1:9" x14ac:dyDescent="0.2">
      <c r="A7531" s="2" t="s">
        <v>4335</v>
      </c>
      <c r="B7531" s="2" t="s">
        <v>2147</v>
      </c>
      <c r="C7531" s="2">
        <v>754.93320000000006</v>
      </c>
      <c r="D7531" s="2">
        <f>HYPERLINK("http://mcb-m6.bioreg.kyushu-u.ac.jp/M3/20110502/F51170/2149/1", 81.06)</f>
        <v>81.06</v>
      </c>
      <c r="E7531" s="2">
        <v>65.150000000000006</v>
      </c>
      <c r="F7531" s="2">
        <v>2</v>
      </c>
      <c r="G7531" s="2" t="s">
        <v>13</v>
      </c>
    </row>
    <row r="7532" spans="1:9" x14ac:dyDescent="0.2">
      <c r="A7532" s="2" t="s">
        <v>3447</v>
      </c>
      <c r="B7532" s="2" t="s">
        <v>257</v>
      </c>
      <c r="C7532" s="2">
        <v>728.32920000000001</v>
      </c>
      <c r="D7532" s="2">
        <f>HYPERLINK("http://mcb-m6.bioreg.kyushu-u.ac.jp/M3/20110411/F50889/2207/1", 38.61)</f>
        <v>38.61</v>
      </c>
      <c r="E7532" s="2">
        <v>30.79</v>
      </c>
      <c r="F7532" s="2">
        <v>2</v>
      </c>
      <c r="G7532" s="2" t="s">
        <v>9</v>
      </c>
      <c r="I7532" s="2" t="s">
        <v>4914</v>
      </c>
    </row>
    <row r="7533" spans="1:9" x14ac:dyDescent="0.2">
      <c r="A7533" s="2" t="s">
        <v>3447</v>
      </c>
      <c r="B7533" s="2" t="s">
        <v>257</v>
      </c>
      <c r="C7533" s="2">
        <v>728.48019999999997</v>
      </c>
      <c r="D7533" s="2">
        <f>HYPERLINK("http://mcb-m6.bioreg.kyushu-u.ac.jp/M3/20110414/F50926/2163/1", 50.15)</f>
        <v>50.15</v>
      </c>
      <c r="E7533" s="2">
        <v>23.8</v>
      </c>
      <c r="F7533" s="2">
        <v>2</v>
      </c>
      <c r="G7533" s="2" t="s">
        <v>11</v>
      </c>
      <c r="I7533" s="2" t="s">
        <v>4914</v>
      </c>
    </row>
    <row r="7534" spans="1:9" x14ac:dyDescent="0.2">
      <c r="A7534" s="2" t="s">
        <v>4119</v>
      </c>
      <c r="B7534" s="2" t="s">
        <v>1626</v>
      </c>
      <c r="C7534" s="2">
        <v>801.77560000000005</v>
      </c>
      <c r="D7534" s="2">
        <f>HYPERLINK("http://mcb-m6.bioreg.kyushu-u.ac.jp/M3/20110411/F50889/2433/2", 103.45)</f>
        <v>103.45</v>
      </c>
      <c r="E7534" s="2">
        <v>78.88</v>
      </c>
      <c r="F7534" s="2">
        <v>2</v>
      </c>
      <c r="G7534" s="2" t="s">
        <v>9</v>
      </c>
      <c r="I7534" s="2" t="s">
        <v>4923</v>
      </c>
    </row>
    <row r="7535" spans="1:9" x14ac:dyDescent="0.2">
      <c r="A7535" s="2" t="s">
        <v>3250</v>
      </c>
      <c r="B7535" s="2" t="s">
        <v>30</v>
      </c>
      <c r="C7535" s="2">
        <v>643.76549999999997</v>
      </c>
      <c r="D7535" s="2">
        <f>HYPERLINK("http://mcb-m6.bioreg.kyushu-u.ac.jp/M3/20110411/F50916/2975/1", 35.2)</f>
        <v>35.200000000000003</v>
      </c>
      <c r="E7535" s="2">
        <v>24.24</v>
      </c>
      <c r="F7535" s="2">
        <v>3</v>
      </c>
      <c r="G7535" s="2" t="s">
        <v>9</v>
      </c>
      <c r="I7535" s="2" t="s">
        <v>4894</v>
      </c>
    </row>
    <row r="7536" spans="1:9" x14ac:dyDescent="0.2">
      <c r="A7536" s="2" t="s">
        <v>3250</v>
      </c>
      <c r="B7536" s="2" t="s">
        <v>77</v>
      </c>
      <c r="C7536" s="2">
        <v>574.89319999999998</v>
      </c>
      <c r="D7536" s="2">
        <f>HYPERLINK("http://mcb-m6.bioreg.kyushu-u.ac.jp/M3/20110411/F50905/1254/1", 35.73)</f>
        <v>35.729999999999997</v>
      </c>
      <c r="E7536" s="2">
        <v>12.09</v>
      </c>
      <c r="F7536" s="2">
        <v>2</v>
      </c>
      <c r="G7536" s="2" t="s">
        <v>9</v>
      </c>
    </row>
    <row r="7537" spans="1:9" x14ac:dyDescent="0.2">
      <c r="A7537" s="2" t="s">
        <v>3250</v>
      </c>
      <c r="B7537" s="2" t="s">
        <v>90</v>
      </c>
      <c r="C7537" s="2">
        <v>717.09310000000005</v>
      </c>
      <c r="D7537" s="2">
        <f>HYPERLINK("http://mcb-m6.bioreg.kyushu-u.ac.jp/M3/20110411/F50893/2067/1", 35.92)</f>
        <v>35.92</v>
      </c>
      <c r="E7537" s="2">
        <v>12.72</v>
      </c>
      <c r="F7537" s="2">
        <v>2</v>
      </c>
      <c r="G7537" s="2" t="s">
        <v>9</v>
      </c>
    </row>
    <row r="7538" spans="1:9" x14ac:dyDescent="0.2">
      <c r="A7538" s="2" t="s">
        <v>3250</v>
      </c>
      <c r="B7538" s="2" t="s">
        <v>102</v>
      </c>
      <c r="C7538" s="2">
        <v>1216.7850000000001</v>
      </c>
      <c r="D7538" s="2">
        <f>HYPERLINK("http://mcb-m6.bioreg.kyushu-u.ac.jp/M3/20110411/F50895/1476/1", 36.09)</f>
        <v>36.090000000000003</v>
      </c>
      <c r="E7538" s="2">
        <v>16.78</v>
      </c>
      <c r="F7538" s="2">
        <v>1</v>
      </c>
      <c r="G7538" s="2" t="s">
        <v>9</v>
      </c>
    </row>
    <row r="7539" spans="1:9" x14ac:dyDescent="0.2">
      <c r="A7539" s="2" t="s">
        <v>3250</v>
      </c>
      <c r="B7539" s="2" t="s">
        <v>142</v>
      </c>
      <c r="C7539" s="2">
        <v>847.57100000000003</v>
      </c>
      <c r="D7539" s="2">
        <f>HYPERLINK("http://mcb-m6.bioreg.kyushu-u.ac.jp/M3/20110411/F50911/733/1", 36.66)</f>
        <v>36.659999999999997</v>
      </c>
      <c r="E7539" s="2">
        <v>8.1199999999999992</v>
      </c>
      <c r="F7539" s="2">
        <v>1</v>
      </c>
      <c r="G7539" s="2" t="s">
        <v>9</v>
      </c>
    </row>
    <row r="7540" spans="1:9" x14ac:dyDescent="0.2">
      <c r="A7540" s="2" t="s">
        <v>3250</v>
      </c>
      <c r="B7540" s="2" t="s">
        <v>175</v>
      </c>
      <c r="C7540" s="2">
        <v>523.40049999999997</v>
      </c>
      <c r="D7540" s="2">
        <f>HYPERLINK("http://mcb-m6.bioreg.kyushu-u.ac.jp/M3/20110411/F50905/2292/1", 37.25)</f>
        <v>37.25</v>
      </c>
      <c r="E7540" s="2">
        <v>20.010000000000002</v>
      </c>
      <c r="F7540" s="2">
        <v>3</v>
      </c>
      <c r="G7540" s="2" t="s">
        <v>9</v>
      </c>
      <c r="I7540" s="2" t="s">
        <v>4893</v>
      </c>
    </row>
    <row r="7541" spans="1:9" x14ac:dyDescent="0.2">
      <c r="A7541" s="2" t="s">
        <v>3250</v>
      </c>
      <c r="B7541" s="2" t="s">
        <v>77</v>
      </c>
      <c r="C7541" s="2">
        <v>1148.779</v>
      </c>
      <c r="D7541" s="2">
        <f>HYPERLINK("http://mcb-m6.bioreg.kyushu-u.ac.jp/M3/20110411/F50895/1315/1", 37.35)</f>
        <v>37.35</v>
      </c>
      <c r="E7541" s="2">
        <v>19.739999999999998</v>
      </c>
      <c r="F7541" s="2">
        <v>1</v>
      </c>
      <c r="G7541" s="2" t="s">
        <v>9</v>
      </c>
    </row>
    <row r="7542" spans="1:9" x14ac:dyDescent="0.2">
      <c r="A7542" s="2" t="s">
        <v>3250</v>
      </c>
      <c r="B7542" s="2" t="s">
        <v>102</v>
      </c>
      <c r="C7542" s="2">
        <v>616.35310000000004</v>
      </c>
      <c r="D7542" s="2">
        <f>HYPERLINK("http://mcb-m6.bioreg.kyushu-u.ac.jp/M3/20110411/F50916/1254/1", 38.31)</f>
        <v>38.31</v>
      </c>
      <c r="E7542" s="2">
        <v>20.440000000000001</v>
      </c>
      <c r="F7542" s="2">
        <v>2</v>
      </c>
      <c r="G7542" s="2" t="s">
        <v>9</v>
      </c>
      <c r="H7542" s="2" t="s">
        <v>4900</v>
      </c>
    </row>
    <row r="7543" spans="1:9" x14ac:dyDescent="0.2">
      <c r="A7543" s="2" t="s">
        <v>3250</v>
      </c>
      <c r="B7543" s="2" t="s">
        <v>142</v>
      </c>
      <c r="C7543" s="2">
        <v>847.59100000000001</v>
      </c>
      <c r="D7543" s="2">
        <f>HYPERLINK("http://mcb-m6.bioreg.kyushu-u.ac.jp/M3/20110411/F50916/608/1", 38.51)</f>
        <v>38.51</v>
      </c>
      <c r="E7543" s="2">
        <v>14.65</v>
      </c>
      <c r="F7543" s="2">
        <v>1</v>
      </c>
      <c r="G7543" s="2" t="s">
        <v>9</v>
      </c>
    </row>
    <row r="7544" spans="1:9" x14ac:dyDescent="0.2">
      <c r="A7544" s="2" t="s">
        <v>3250</v>
      </c>
      <c r="B7544" s="2" t="s">
        <v>142</v>
      </c>
      <c r="C7544" s="2">
        <v>847.68399999999997</v>
      </c>
      <c r="D7544" s="2">
        <f>HYPERLINK("http://mcb-m6.bioreg.kyushu-u.ac.jp/M3/20110411/F50894/1179/1", 38.58)</f>
        <v>38.58</v>
      </c>
      <c r="E7544" s="2">
        <v>14.68</v>
      </c>
      <c r="F7544" s="2">
        <v>1</v>
      </c>
      <c r="G7544" s="2" t="s">
        <v>9</v>
      </c>
    </row>
    <row r="7545" spans="1:9" x14ac:dyDescent="0.2">
      <c r="A7545" s="2" t="s">
        <v>3250</v>
      </c>
      <c r="B7545" s="2" t="s">
        <v>90</v>
      </c>
      <c r="C7545" s="2">
        <v>717.01670000000001</v>
      </c>
      <c r="D7545" s="2">
        <f>HYPERLINK("http://mcb-m6.bioreg.kyushu-u.ac.jp/M3/20110411/F50894/2128/1", 38.72)</f>
        <v>38.72</v>
      </c>
      <c r="E7545" s="2">
        <v>13.19</v>
      </c>
      <c r="F7545" s="2">
        <v>2</v>
      </c>
      <c r="G7545" s="2" t="s">
        <v>9</v>
      </c>
    </row>
    <row r="7546" spans="1:9" x14ac:dyDescent="0.2">
      <c r="A7546" s="2" t="s">
        <v>3250</v>
      </c>
      <c r="B7546" s="2" t="s">
        <v>311</v>
      </c>
      <c r="C7546" s="2">
        <v>1196.741</v>
      </c>
      <c r="D7546" s="2">
        <f>HYPERLINK("http://mcb-m6.bioreg.kyushu-u.ac.jp/M3/20110411/F50905/1351/1", 39.5)</f>
        <v>39.5</v>
      </c>
      <c r="E7546" s="2">
        <v>19.03</v>
      </c>
      <c r="F7546" s="2">
        <v>1</v>
      </c>
      <c r="G7546" s="2" t="s">
        <v>9</v>
      </c>
    </row>
    <row r="7547" spans="1:9" x14ac:dyDescent="0.2">
      <c r="A7547" s="2" t="s">
        <v>3250</v>
      </c>
      <c r="B7547" s="2" t="s">
        <v>142</v>
      </c>
      <c r="C7547" s="2">
        <v>847.66800000000001</v>
      </c>
      <c r="D7547" s="2">
        <f>HYPERLINK("http://mcb-m6.bioreg.kyushu-u.ac.jp/M3/20110411/F50895/837/1", 40.09)</f>
        <v>40.090000000000003</v>
      </c>
      <c r="E7547" s="2">
        <v>17.8</v>
      </c>
      <c r="F7547" s="2">
        <v>1</v>
      </c>
      <c r="G7547" s="2" t="s">
        <v>9</v>
      </c>
    </row>
    <row r="7548" spans="1:9" x14ac:dyDescent="0.2">
      <c r="A7548" s="2" t="s">
        <v>3250</v>
      </c>
      <c r="B7548" s="2" t="s">
        <v>351</v>
      </c>
      <c r="C7548" s="2">
        <v>861.58600000000001</v>
      </c>
      <c r="D7548" s="2">
        <f>HYPERLINK("http://mcb-m6.bioreg.kyushu-u.ac.jp/M3/20110411/F50916/617/1", 40.11)</f>
        <v>40.11</v>
      </c>
      <c r="E7548" s="2">
        <v>17.32</v>
      </c>
      <c r="F7548" s="2">
        <v>1</v>
      </c>
      <c r="G7548" s="2" t="s">
        <v>9</v>
      </c>
      <c r="I7548" s="2" t="s">
        <v>4899</v>
      </c>
    </row>
    <row r="7549" spans="1:9" x14ac:dyDescent="0.2">
      <c r="A7549" s="2" t="s">
        <v>3250</v>
      </c>
      <c r="B7549" s="2" t="s">
        <v>356</v>
      </c>
      <c r="C7549" s="2">
        <v>815.98069999999996</v>
      </c>
      <c r="D7549" s="2">
        <f>HYPERLINK("http://mcb-m6.bioreg.kyushu-u.ac.jp/M3/20110411/F50895/2457/1", 40.19)</f>
        <v>40.19</v>
      </c>
      <c r="E7549" s="2">
        <v>23.08</v>
      </c>
      <c r="F7549" s="2">
        <v>2</v>
      </c>
      <c r="G7549" s="2" t="s">
        <v>9</v>
      </c>
    </row>
    <row r="7550" spans="1:9" x14ac:dyDescent="0.2">
      <c r="A7550" s="2" t="s">
        <v>3250</v>
      </c>
      <c r="B7550" s="2" t="s">
        <v>77</v>
      </c>
      <c r="C7550" s="2">
        <v>1148.558</v>
      </c>
      <c r="D7550" s="2">
        <f>HYPERLINK("http://mcb-m6.bioreg.kyushu-u.ac.jp/M3/20110411/F50891/1258/1", 40.33)</f>
        <v>40.33</v>
      </c>
      <c r="E7550" s="2">
        <v>23.26</v>
      </c>
      <c r="F7550" s="2">
        <v>1</v>
      </c>
      <c r="G7550" s="2" t="s">
        <v>9</v>
      </c>
    </row>
    <row r="7551" spans="1:9" x14ac:dyDescent="0.2">
      <c r="A7551" s="2" t="s">
        <v>3250</v>
      </c>
      <c r="B7551" s="2" t="s">
        <v>365</v>
      </c>
      <c r="C7551" s="2">
        <v>849.35609999999997</v>
      </c>
      <c r="D7551" s="2">
        <f>HYPERLINK("http://mcb-m6.bioreg.kyushu-u.ac.jp/M3/20110411/F50894/2630/1", 40.35)</f>
        <v>40.35</v>
      </c>
      <c r="E7551" s="2">
        <v>19.399999999999999</v>
      </c>
      <c r="F7551" s="2">
        <v>2</v>
      </c>
      <c r="G7551" s="2" t="s">
        <v>9</v>
      </c>
    </row>
    <row r="7552" spans="1:9" x14ac:dyDescent="0.2">
      <c r="A7552" s="2" t="s">
        <v>3250</v>
      </c>
      <c r="B7552" s="2" t="s">
        <v>175</v>
      </c>
      <c r="C7552" s="2">
        <v>784.5172</v>
      </c>
      <c r="D7552" s="2">
        <f>HYPERLINK("http://mcb-m6.bioreg.kyushu-u.ac.jp/M3/20110411/F50916/2143/1", 40.77)</f>
        <v>40.770000000000003</v>
      </c>
      <c r="E7552" s="2">
        <v>25.91</v>
      </c>
      <c r="F7552" s="2">
        <v>2</v>
      </c>
      <c r="G7552" s="2" t="s">
        <v>9</v>
      </c>
      <c r="I7552" s="2" t="s">
        <v>4893</v>
      </c>
    </row>
    <row r="7553" spans="1:9" x14ac:dyDescent="0.2">
      <c r="A7553" s="2" t="s">
        <v>3250</v>
      </c>
      <c r="B7553" s="2" t="s">
        <v>311</v>
      </c>
      <c r="C7553" s="2">
        <v>1196.69</v>
      </c>
      <c r="D7553" s="2">
        <f>HYPERLINK("http://mcb-m6.bioreg.kyushu-u.ac.jp/M3/20110411/F50895/1428/1", 41)</f>
        <v>41</v>
      </c>
      <c r="E7553" s="2">
        <v>19.190000000000001</v>
      </c>
      <c r="F7553" s="2">
        <v>1</v>
      </c>
      <c r="G7553" s="2" t="s">
        <v>9</v>
      </c>
    </row>
    <row r="7554" spans="1:9" x14ac:dyDescent="0.2">
      <c r="A7554" s="2" t="s">
        <v>3250</v>
      </c>
      <c r="B7554" s="2" t="s">
        <v>398</v>
      </c>
      <c r="C7554" s="2">
        <v>640.48109999999997</v>
      </c>
      <c r="D7554" s="2">
        <f>HYPERLINK("http://mcb-m6.bioreg.kyushu-u.ac.jp/M3/20110411/F50916/1355/1", 41.12)</f>
        <v>41.12</v>
      </c>
      <c r="E7554" s="2">
        <v>17.45</v>
      </c>
      <c r="F7554" s="2">
        <v>2</v>
      </c>
      <c r="G7554" s="2" t="s">
        <v>9</v>
      </c>
    </row>
    <row r="7555" spans="1:9" x14ac:dyDescent="0.2">
      <c r="A7555" s="2" t="s">
        <v>3250</v>
      </c>
      <c r="B7555" s="2" t="s">
        <v>311</v>
      </c>
      <c r="C7555" s="2">
        <v>1196.787</v>
      </c>
      <c r="D7555" s="2">
        <f>HYPERLINK("http://mcb-m6.bioreg.kyushu-u.ac.jp/M3/20110411/F50911/1385/1", 41.62)</f>
        <v>41.62</v>
      </c>
      <c r="E7555" s="2">
        <v>22.8</v>
      </c>
      <c r="F7555" s="2">
        <v>1</v>
      </c>
      <c r="G7555" s="2" t="s">
        <v>9</v>
      </c>
    </row>
    <row r="7556" spans="1:9" x14ac:dyDescent="0.2">
      <c r="A7556" s="2" t="s">
        <v>3250</v>
      </c>
      <c r="B7556" s="2" t="s">
        <v>102</v>
      </c>
      <c r="C7556" s="2">
        <v>1215.7170000000001</v>
      </c>
      <c r="D7556" s="2">
        <f>HYPERLINK("http://mcb-m6.bioreg.kyushu-u.ac.jp/M3/20110411/F50895/1471/1", 41.75)</f>
        <v>41.75</v>
      </c>
      <c r="E7556" s="2">
        <v>25.51</v>
      </c>
      <c r="F7556" s="2">
        <v>1</v>
      </c>
      <c r="G7556" s="2" t="s">
        <v>9</v>
      </c>
    </row>
    <row r="7557" spans="1:9" x14ac:dyDescent="0.2">
      <c r="A7557" s="2" t="s">
        <v>3250</v>
      </c>
      <c r="B7557" s="2" t="s">
        <v>467</v>
      </c>
      <c r="C7557" s="2">
        <v>691.97119999999995</v>
      </c>
      <c r="D7557" s="2">
        <f>HYPERLINK("http://mcb-m6.bioreg.kyushu-u.ac.jp/M3/20110411/F50919/1392/1", 42.45)</f>
        <v>42.45</v>
      </c>
      <c r="E7557" s="2">
        <v>21.43</v>
      </c>
      <c r="F7557" s="2">
        <v>2</v>
      </c>
      <c r="G7557" s="2" t="s">
        <v>9</v>
      </c>
    </row>
    <row r="7558" spans="1:9" x14ac:dyDescent="0.2">
      <c r="A7558" s="2" t="s">
        <v>3250</v>
      </c>
      <c r="B7558" s="2" t="s">
        <v>481</v>
      </c>
      <c r="C7558" s="2">
        <v>1418.701</v>
      </c>
      <c r="D7558" s="2">
        <f>HYPERLINK("http://mcb-m6.bioreg.kyushu-u.ac.jp/M3/20110411/F50916/1725/1", 42.76)</f>
        <v>42.76</v>
      </c>
      <c r="E7558" s="2">
        <v>27.34</v>
      </c>
      <c r="F7558" s="2">
        <v>1</v>
      </c>
      <c r="G7558" s="2" t="s">
        <v>9</v>
      </c>
      <c r="I7558" s="2" t="s">
        <v>4898</v>
      </c>
    </row>
    <row r="7559" spans="1:9" x14ac:dyDescent="0.2">
      <c r="A7559" s="2" t="s">
        <v>3250</v>
      </c>
      <c r="B7559" s="2" t="s">
        <v>77</v>
      </c>
      <c r="C7559" s="2">
        <v>574.90560000000005</v>
      </c>
      <c r="D7559" s="2">
        <f>HYPERLINK("http://mcb-m6.bioreg.kyushu-u.ac.jp/M3/20110411/F50895/1316/1", 43.26)</f>
        <v>43.26</v>
      </c>
      <c r="E7559" s="2">
        <v>15.81</v>
      </c>
      <c r="F7559" s="2">
        <v>2</v>
      </c>
      <c r="G7559" s="2" t="s">
        <v>9</v>
      </c>
    </row>
    <row r="7560" spans="1:9" x14ac:dyDescent="0.2">
      <c r="A7560" s="2" t="s">
        <v>3250</v>
      </c>
      <c r="B7560" s="2" t="s">
        <v>77</v>
      </c>
      <c r="C7560" s="2">
        <v>1148.617</v>
      </c>
      <c r="D7560" s="2">
        <f>HYPERLINK("http://mcb-m6.bioreg.kyushu-u.ac.jp/M3/20110411/F50915/1055/1", 43.32)</f>
        <v>43.32</v>
      </c>
      <c r="E7560" s="2">
        <v>24.39</v>
      </c>
      <c r="F7560" s="2">
        <v>1</v>
      </c>
      <c r="G7560" s="2" t="s">
        <v>9</v>
      </c>
    </row>
    <row r="7561" spans="1:9" x14ac:dyDescent="0.2">
      <c r="A7561" s="2" t="s">
        <v>3250</v>
      </c>
      <c r="B7561" s="2" t="s">
        <v>503</v>
      </c>
      <c r="C7561" s="2">
        <v>816.49069999999995</v>
      </c>
      <c r="D7561" s="2">
        <f>HYPERLINK("http://mcb-m6.bioreg.kyushu-u.ac.jp/M3/20110411/F50916/2307/1", 43.38)</f>
        <v>43.38</v>
      </c>
      <c r="E7561" s="2">
        <v>32.340000000000003</v>
      </c>
      <c r="F7561" s="2">
        <v>2</v>
      </c>
      <c r="G7561" s="2" t="s">
        <v>9</v>
      </c>
      <c r="H7561" s="2" t="s">
        <v>4907</v>
      </c>
    </row>
    <row r="7562" spans="1:9" x14ac:dyDescent="0.2">
      <c r="A7562" s="2" t="s">
        <v>3250</v>
      </c>
      <c r="B7562" s="2" t="s">
        <v>365</v>
      </c>
      <c r="C7562" s="2">
        <v>1697.8989999999999</v>
      </c>
      <c r="D7562" s="2">
        <f>HYPERLINK("http://mcb-m6.bioreg.kyushu-u.ac.jp/M3/20110411/F50916/2459/1", 43.65)</f>
        <v>43.65</v>
      </c>
      <c r="E7562" s="2">
        <v>33.24</v>
      </c>
      <c r="F7562" s="2">
        <v>1</v>
      </c>
      <c r="G7562" s="2" t="s">
        <v>9</v>
      </c>
    </row>
    <row r="7563" spans="1:9" x14ac:dyDescent="0.2">
      <c r="A7563" s="2" t="s">
        <v>3250</v>
      </c>
      <c r="B7563" s="2" t="s">
        <v>543</v>
      </c>
      <c r="C7563" s="2">
        <v>927.42970000000003</v>
      </c>
      <c r="D7563" s="2">
        <f>HYPERLINK("http://mcb-m6.bioreg.kyushu-u.ac.jp/M3/20110411/F50895/2951/1", 44.35)</f>
        <v>44.35</v>
      </c>
      <c r="E7563" s="2">
        <v>21.8</v>
      </c>
      <c r="F7563" s="2">
        <v>2</v>
      </c>
      <c r="G7563" s="2" t="s">
        <v>9</v>
      </c>
    </row>
    <row r="7564" spans="1:9" x14ac:dyDescent="0.2">
      <c r="A7564" s="2" t="s">
        <v>3250</v>
      </c>
      <c r="B7564" s="2" t="s">
        <v>311</v>
      </c>
      <c r="C7564" s="2">
        <v>1212.7550000000001</v>
      </c>
      <c r="D7564" s="2">
        <f>HYPERLINK("http://mcb-m6.bioreg.kyushu-u.ac.jp/M3/20110411/F50905/1388/1", 44.54)</f>
        <v>44.54</v>
      </c>
      <c r="E7564" s="2">
        <v>18.43</v>
      </c>
      <c r="F7564" s="2">
        <v>1</v>
      </c>
      <c r="G7564" s="2" t="s">
        <v>9</v>
      </c>
      <c r="H7564" s="2" t="s">
        <v>4908</v>
      </c>
    </row>
    <row r="7565" spans="1:9" x14ac:dyDescent="0.2">
      <c r="A7565" s="2" t="s">
        <v>3250</v>
      </c>
      <c r="B7565" s="2" t="s">
        <v>175</v>
      </c>
      <c r="C7565" s="2">
        <v>784.53020000000004</v>
      </c>
      <c r="D7565" s="2">
        <f>HYPERLINK("http://mcb-m6.bioreg.kyushu-u.ac.jp/M3/20110411/F50915/2184/1", 44.58)</f>
        <v>44.58</v>
      </c>
      <c r="E7565" s="2">
        <v>24.98</v>
      </c>
      <c r="F7565" s="2">
        <v>2</v>
      </c>
      <c r="G7565" s="2" t="s">
        <v>9</v>
      </c>
      <c r="I7565" s="2" t="s">
        <v>4893</v>
      </c>
    </row>
    <row r="7566" spans="1:9" x14ac:dyDescent="0.2">
      <c r="A7566" s="2" t="s">
        <v>3250</v>
      </c>
      <c r="B7566" s="2" t="s">
        <v>90</v>
      </c>
      <c r="C7566" s="2">
        <v>717.02719999999999</v>
      </c>
      <c r="D7566" s="2">
        <f>HYPERLINK("http://mcb-m6.bioreg.kyushu-u.ac.jp/M3/20110411/F50916/1791/1", 44.59)</f>
        <v>44.59</v>
      </c>
      <c r="E7566" s="2">
        <v>31.44</v>
      </c>
      <c r="F7566" s="2">
        <v>2</v>
      </c>
      <c r="G7566" s="2" t="s">
        <v>9</v>
      </c>
    </row>
    <row r="7567" spans="1:9" x14ac:dyDescent="0.2">
      <c r="A7567" s="2" t="s">
        <v>3250</v>
      </c>
      <c r="B7567" s="2" t="s">
        <v>561</v>
      </c>
      <c r="C7567" s="2">
        <v>1307.691</v>
      </c>
      <c r="D7567" s="2">
        <f>HYPERLINK("http://mcb-m6.bioreg.kyushu-u.ac.jp/M3/20110411/F50895/1649/1", 44.89)</f>
        <v>44.89</v>
      </c>
      <c r="E7567" s="2">
        <v>30.99</v>
      </c>
      <c r="F7567" s="2">
        <v>1</v>
      </c>
      <c r="G7567" s="2" t="s">
        <v>9</v>
      </c>
    </row>
    <row r="7568" spans="1:9" x14ac:dyDescent="0.2">
      <c r="A7568" s="2" t="s">
        <v>3250</v>
      </c>
      <c r="B7568" s="2" t="s">
        <v>481</v>
      </c>
      <c r="C7568" s="2">
        <v>1417.8630000000001</v>
      </c>
      <c r="D7568" s="2">
        <f>HYPERLINK("http://mcb-m6.bioreg.kyushu-u.ac.jp/M3/20110411/F50903/1893/1", 45.65)</f>
        <v>45.65</v>
      </c>
      <c r="E7568" s="2">
        <v>19.670000000000002</v>
      </c>
      <c r="F7568" s="2">
        <v>1</v>
      </c>
      <c r="G7568" s="2" t="s">
        <v>9</v>
      </c>
      <c r="I7568" s="2" t="s">
        <v>4898</v>
      </c>
    </row>
    <row r="7569" spans="1:9" x14ac:dyDescent="0.2">
      <c r="A7569" s="2" t="s">
        <v>3250</v>
      </c>
      <c r="B7569" s="2" t="s">
        <v>604</v>
      </c>
      <c r="C7569" s="2">
        <v>521.03219999999999</v>
      </c>
      <c r="D7569" s="2">
        <f>HYPERLINK("http://mcb-m6.bioreg.kyushu-u.ac.jp/M3/20110411/F50919/787/1", 46.03)</f>
        <v>46.03</v>
      </c>
      <c r="E7569" s="2">
        <v>13.13</v>
      </c>
      <c r="F7569" s="2">
        <v>2</v>
      </c>
      <c r="G7569" s="2" t="s">
        <v>9</v>
      </c>
    </row>
    <row r="7570" spans="1:9" x14ac:dyDescent="0.2">
      <c r="A7570" s="2" t="s">
        <v>3250</v>
      </c>
      <c r="B7570" s="2" t="s">
        <v>356</v>
      </c>
      <c r="C7570" s="2">
        <v>816.11969999999997</v>
      </c>
      <c r="D7570" s="2">
        <f>HYPERLINK("http://mcb-m6.bioreg.kyushu-u.ac.jp/M3/20110411/F50903/2391/1", 46.1)</f>
        <v>46.1</v>
      </c>
      <c r="E7570" s="2">
        <v>34.24</v>
      </c>
      <c r="F7570" s="2">
        <v>2</v>
      </c>
      <c r="G7570" s="2" t="s">
        <v>9</v>
      </c>
    </row>
    <row r="7571" spans="1:9" x14ac:dyDescent="0.2">
      <c r="A7571" s="2" t="s">
        <v>3250</v>
      </c>
      <c r="B7571" s="2" t="s">
        <v>617</v>
      </c>
      <c r="C7571" s="2">
        <v>686.43370000000004</v>
      </c>
      <c r="D7571" s="2">
        <f>HYPERLINK("http://mcb-m6.bioreg.kyushu-u.ac.jp/M3/20110411/F50916/1583/1", 46.26)</f>
        <v>46.26</v>
      </c>
      <c r="E7571" s="2">
        <v>27.44</v>
      </c>
      <c r="F7571" s="2">
        <v>2</v>
      </c>
      <c r="G7571" s="2" t="s">
        <v>9</v>
      </c>
    </row>
    <row r="7572" spans="1:9" x14ac:dyDescent="0.2">
      <c r="A7572" s="2" t="s">
        <v>3250</v>
      </c>
      <c r="B7572" s="2" t="s">
        <v>102</v>
      </c>
      <c r="C7572" s="2">
        <v>1215.6189999999999</v>
      </c>
      <c r="D7572" s="2">
        <f>HYPERLINK("http://mcb-m6.bioreg.kyushu-u.ac.jp/M3/20110411/F50916/1207/1", 46.43)</f>
        <v>46.43</v>
      </c>
      <c r="E7572" s="2">
        <v>35.35</v>
      </c>
      <c r="F7572" s="2">
        <v>1</v>
      </c>
      <c r="G7572" s="2" t="s">
        <v>9</v>
      </c>
    </row>
    <row r="7573" spans="1:9" x14ac:dyDescent="0.2">
      <c r="A7573" s="2" t="s">
        <v>3250</v>
      </c>
      <c r="B7573" s="2" t="s">
        <v>90</v>
      </c>
      <c r="C7573" s="2">
        <v>717.02470000000005</v>
      </c>
      <c r="D7573" s="2">
        <f>HYPERLINK("http://mcb-m6.bioreg.kyushu-u.ac.jp/M3/20110411/F50904/1924/1", 47.18)</f>
        <v>47.18</v>
      </c>
      <c r="E7573" s="2">
        <v>25.66</v>
      </c>
      <c r="F7573" s="2">
        <v>2</v>
      </c>
      <c r="G7573" s="2" t="s">
        <v>9</v>
      </c>
    </row>
    <row r="7574" spans="1:9" x14ac:dyDescent="0.2">
      <c r="A7574" s="2" t="s">
        <v>3250</v>
      </c>
      <c r="B7574" s="2" t="s">
        <v>365</v>
      </c>
      <c r="C7574" s="2">
        <v>849.08119999999997</v>
      </c>
      <c r="D7574" s="2">
        <f>HYPERLINK("http://mcb-m6.bioreg.kyushu-u.ac.jp/M3/20110411/F50895/2586/1", 47.86)</f>
        <v>47.86</v>
      </c>
      <c r="E7574" s="2">
        <v>27.66</v>
      </c>
      <c r="F7574" s="2">
        <v>2</v>
      </c>
      <c r="G7574" s="2" t="s">
        <v>9</v>
      </c>
    </row>
    <row r="7575" spans="1:9" x14ac:dyDescent="0.2">
      <c r="A7575" s="2" t="s">
        <v>3250</v>
      </c>
      <c r="B7575" s="2" t="s">
        <v>175</v>
      </c>
      <c r="C7575" s="2">
        <v>784.66610000000003</v>
      </c>
      <c r="D7575" s="2">
        <f>HYPERLINK("http://mcb-m6.bioreg.kyushu-u.ac.jp/M3/20110411/F50895/2308/1", 48.13)</f>
        <v>48.13</v>
      </c>
      <c r="E7575" s="2">
        <v>30.35</v>
      </c>
      <c r="F7575" s="2">
        <v>2</v>
      </c>
      <c r="G7575" s="2" t="s">
        <v>9</v>
      </c>
      <c r="I7575" s="2" t="s">
        <v>4893</v>
      </c>
    </row>
    <row r="7576" spans="1:9" x14ac:dyDescent="0.2">
      <c r="A7576" s="2" t="s">
        <v>3250</v>
      </c>
      <c r="B7576" s="2" t="s">
        <v>311</v>
      </c>
      <c r="C7576" s="2">
        <v>599.07370000000003</v>
      </c>
      <c r="D7576" s="2">
        <f>HYPERLINK("http://mcb-m6.bioreg.kyushu-u.ac.jp/M3/20110411/F50915/1164/1", 48.54)</f>
        <v>48.54</v>
      </c>
      <c r="E7576" s="2">
        <v>28.27</v>
      </c>
      <c r="F7576" s="2">
        <v>2</v>
      </c>
      <c r="G7576" s="2" t="s">
        <v>9</v>
      </c>
    </row>
    <row r="7577" spans="1:9" x14ac:dyDescent="0.2">
      <c r="A7577" s="2" t="s">
        <v>3250</v>
      </c>
      <c r="B7577" s="2" t="s">
        <v>311</v>
      </c>
      <c r="C7577" s="2">
        <v>1196.5550000000001</v>
      </c>
      <c r="D7577" s="2">
        <f>HYPERLINK("http://mcb-m6.bioreg.kyushu-u.ac.jp/M3/20110411/F50916/1169/1", 48.82)</f>
        <v>48.82</v>
      </c>
      <c r="E7577" s="2">
        <v>30.36</v>
      </c>
      <c r="F7577" s="2">
        <v>1</v>
      </c>
      <c r="G7577" s="2" t="s">
        <v>9</v>
      </c>
    </row>
    <row r="7578" spans="1:9" x14ac:dyDescent="0.2">
      <c r="A7578" s="2" t="s">
        <v>3250</v>
      </c>
      <c r="B7578" s="2" t="s">
        <v>365</v>
      </c>
      <c r="C7578" s="2">
        <v>849.27560000000005</v>
      </c>
      <c r="D7578" s="2">
        <f>HYPERLINK("http://mcb-m6.bioreg.kyushu-u.ac.jp/M3/20110411/F50893/2651/1", 49.2)</f>
        <v>49.2</v>
      </c>
      <c r="E7578" s="2">
        <v>31.3</v>
      </c>
      <c r="F7578" s="2">
        <v>2</v>
      </c>
      <c r="G7578" s="2" t="s">
        <v>9</v>
      </c>
    </row>
    <row r="7579" spans="1:9" x14ac:dyDescent="0.2">
      <c r="A7579" s="2" t="s">
        <v>3250</v>
      </c>
      <c r="B7579" s="2" t="s">
        <v>561</v>
      </c>
      <c r="C7579" s="2">
        <v>1307.7280000000001</v>
      </c>
      <c r="D7579" s="2">
        <f>HYPERLINK("http://mcb-m6.bioreg.kyushu-u.ac.jp/M3/20110411/F50916/1408/1", 49.78)</f>
        <v>49.78</v>
      </c>
      <c r="E7579" s="2">
        <v>36.68</v>
      </c>
      <c r="F7579" s="2">
        <v>1</v>
      </c>
      <c r="G7579" s="2" t="s">
        <v>9</v>
      </c>
    </row>
    <row r="7580" spans="1:9" x14ac:dyDescent="0.2">
      <c r="A7580" s="2" t="s">
        <v>3250</v>
      </c>
      <c r="B7580" s="2" t="s">
        <v>77</v>
      </c>
      <c r="C7580" s="2">
        <v>1148.8119999999999</v>
      </c>
      <c r="D7580" s="2">
        <f>HYPERLINK("http://mcb-m6.bioreg.kyushu-u.ac.jp/M3/20110411/F50911/1270/1", 50.12)</f>
        <v>50.12</v>
      </c>
      <c r="E7580" s="2">
        <v>26.66</v>
      </c>
      <c r="F7580" s="2">
        <v>1</v>
      </c>
      <c r="G7580" s="2" t="s">
        <v>9</v>
      </c>
    </row>
    <row r="7581" spans="1:9" x14ac:dyDescent="0.2">
      <c r="A7581" s="2" t="s">
        <v>3250</v>
      </c>
      <c r="B7581" s="2" t="s">
        <v>77</v>
      </c>
      <c r="C7581" s="2">
        <v>574.90419999999995</v>
      </c>
      <c r="D7581" s="2">
        <f>HYPERLINK("http://mcb-m6.bioreg.kyushu-u.ac.jp/M3/20110411/F50904/1346/1", 50.52)</f>
        <v>50.52</v>
      </c>
      <c r="E7581" s="2">
        <v>30.22</v>
      </c>
      <c r="F7581" s="2">
        <v>2</v>
      </c>
      <c r="G7581" s="2" t="s">
        <v>9</v>
      </c>
    </row>
    <row r="7582" spans="1:9" x14ac:dyDescent="0.2">
      <c r="A7582" s="2" t="s">
        <v>3250</v>
      </c>
      <c r="B7582" s="2" t="s">
        <v>365</v>
      </c>
      <c r="C7582" s="2">
        <v>1696.991</v>
      </c>
      <c r="D7582" s="2">
        <f>HYPERLINK("http://mcb-m6.bioreg.kyushu-u.ac.jp/M3/20110411/F50904/2523/1", 50.58)</f>
        <v>50.58</v>
      </c>
      <c r="E7582" s="2">
        <v>35.9</v>
      </c>
      <c r="F7582" s="2">
        <v>1</v>
      </c>
      <c r="G7582" s="2" t="s">
        <v>9</v>
      </c>
    </row>
    <row r="7583" spans="1:9" x14ac:dyDescent="0.2">
      <c r="A7583" s="2" t="s">
        <v>3250</v>
      </c>
      <c r="B7583" s="2" t="s">
        <v>772</v>
      </c>
      <c r="C7583" s="2">
        <v>595.93709999999999</v>
      </c>
      <c r="D7583" s="2">
        <f>HYPERLINK("http://mcb-m6.bioreg.kyushu-u.ac.jp/M3/20110411/F50915/1147/1", 50.71)</f>
        <v>50.71</v>
      </c>
      <c r="E7583" s="2">
        <v>25.45</v>
      </c>
      <c r="F7583" s="2">
        <v>2</v>
      </c>
      <c r="G7583" s="2" t="s">
        <v>9</v>
      </c>
    </row>
    <row r="7584" spans="1:9" x14ac:dyDescent="0.2">
      <c r="A7584" s="2" t="s">
        <v>3250</v>
      </c>
      <c r="B7584" s="2" t="s">
        <v>102</v>
      </c>
      <c r="C7584" s="2">
        <v>1231.5719999999999</v>
      </c>
      <c r="D7584" s="2">
        <f>HYPERLINK("http://mcb-m6.bioreg.kyushu-u.ac.jp/M3/20110411/F50916/1252/1", 50.86)</f>
        <v>50.86</v>
      </c>
      <c r="E7584" s="2">
        <v>28.63</v>
      </c>
      <c r="F7584" s="2">
        <v>1</v>
      </c>
      <c r="G7584" s="2" t="s">
        <v>9</v>
      </c>
      <c r="H7584" s="2" t="s">
        <v>4900</v>
      </c>
    </row>
    <row r="7585" spans="1:9" x14ac:dyDescent="0.2">
      <c r="A7585" s="2" t="s">
        <v>3250</v>
      </c>
      <c r="B7585" s="2" t="s">
        <v>175</v>
      </c>
      <c r="C7585" s="2">
        <v>784.60059999999999</v>
      </c>
      <c r="D7585" s="2">
        <f>HYPERLINK("http://mcb-m6.bioreg.kyushu-u.ac.jp/M3/20110411/F50911/2347/1", 51.23)</f>
        <v>51.23</v>
      </c>
      <c r="E7585" s="2">
        <v>30.38</v>
      </c>
      <c r="F7585" s="2">
        <v>2</v>
      </c>
      <c r="G7585" s="2" t="s">
        <v>9</v>
      </c>
      <c r="I7585" s="2" t="s">
        <v>4893</v>
      </c>
    </row>
    <row r="7586" spans="1:9" x14ac:dyDescent="0.2">
      <c r="A7586" s="2" t="s">
        <v>3250</v>
      </c>
      <c r="B7586" s="2" t="s">
        <v>77</v>
      </c>
      <c r="C7586" s="2">
        <v>1148.913</v>
      </c>
      <c r="D7586" s="2">
        <f>HYPERLINK("http://mcb-m6.bioreg.kyushu-u.ac.jp/M3/20110411/F50893/1539/1", 51.53)</f>
        <v>51.53</v>
      </c>
      <c r="E7586" s="2">
        <v>27.38</v>
      </c>
      <c r="F7586" s="2">
        <v>1</v>
      </c>
      <c r="G7586" s="2" t="s">
        <v>9</v>
      </c>
    </row>
    <row r="7587" spans="1:9" x14ac:dyDescent="0.2">
      <c r="A7587" s="2" t="s">
        <v>3250</v>
      </c>
      <c r="B7587" s="2" t="s">
        <v>77</v>
      </c>
      <c r="C7587" s="2">
        <v>1148.664</v>
      </c>
      <c r="D7587" s="2">
        <f>HYPERLINK("http://mcb-m6.bioreg.kyushu-u.ac.jp/M3/20110411/F50916/1067/1", 51.66)</f>
        <v>51.66</v>
      </c>
      <c r="E7587" s="2">
        <v>33.92</v>
      </c>
      <c r="F7587" s="2">
        <v>1</v>
      </c>
      <c r="G7587" s="2" t="s">
        <v>9</v>
      </c>
    </row>
    <row r="7588" spans="1:9" x14ac:dyDescent="0.2">
      <c r="A7588" s="2" t="s">
        <v>3250</v>
      </c>
      <c r="B7588" s="2" t="s">
        <v>77</v>
      </c>
      <c r="C7588" s="2">
        <v>574.97270000000003</v>
      </c>
      <c r="D7588" s="2">
        <f>HYPERLINK("http://mcb-m6.bioreg.kyushu-u.ac.jp/M3/20110411/F50919/926/1", 51.81)</f>
        <v>51.81</v>
      </c>
      <c r="E7588" s="2">
        <v>32.35</v>
      </c>
      <c r="F7588" s="2">
        <v>2</v>
      </c>
      <c r="G7588" s="2" t="s">
        <v>9</v>
      </c>
    </row>
    <row r="7589" spans="1:9" x14ac:dyDescent="0.2">
      <c r="A7589" s="2" t="s">
        <v>3250</v>
      </c>
      <c r="B7589" s="2" t="s">
        <v>772</v>
      </c>
      <c r="C7589" s="2">
        <v>1190.711</v>
      </c>
      <c r="D7589" s="2">
        <f>HYPERLINK("http://mcb-m6.bioreg.kyushu-u.ac.jp/M3/20110411/F50916/1152/1", 52.02)</f>
        <v>52.02</v>
      </c>
      <c r="E7589" s="2">
        <v>17.79</v>
      </c>
      <c r="F7589" s="2">
        <v>1</v>
      </c>
      <c r="G7589" s="2" t="s">
        <v>9</v>
      </c>
    </row>
    <row r="7590" spans="1:9" x14ac:dyDescent="0.2">
      <c r="A7590" s="2" t="s">
        <v>3250</v>
      </c>
      <c r="B7590" s="2" t="s">
        <v>365</v>
      </c>
      <c r="C7590" s="2">
        <v>849.38869999999997</v>
      </c>
      <c r="D7590" s="2">
        <f>HYPERLINK("http://mcb-m6.bioreg.kyushu-u.ac.jp/M3/20110411/F50915/2554/1", 52.48)</f>
        <v>52.48</v>
      </c>
      <c r="E7590" s="2">
        <v>36.520000000000003</v>
      </c>
      <c r="F7590" s="2">
        <v>2</v>
      </c>
      <c r="G7590" s="2" t="s">
        <v>9</v>
      </c>
    </row>
    <row r="7591" spans="1:9" x14ac:dyDescent="0.2">
      <c r="A7591" s="2" t="s">
        <v>3250</v>
      </c>
      <c r="B7591" s="2" t="s">
        <v>834</v>
      </c>
      <c r="C7591" s="2">
        <v>622.08810000000005</v>
      </c>
      <c r="D7591" s="2">
        <f>HYPERLINK("http://mcb-m6.bioreg.kyushu-u.ac.jp/M3/20110411/F50903/1496/1", 52.85)</f>
        <v>52.85</v>
      </c>
      <c r="E7591" s="2">
        <v>30.31</v>
      </c>
      <c r="F7591" s="2">
        <v>2</v>
      </c>
      <c r="G7591" s="2" t="s">
        <v>9</v>
      </c>
    </row>
    <row r="7592" spans="1:9" x14ac:dyDescent="0.2">
      <c r="A7592" s="2" t="s">
        <v>3250</v>
      </c>
      <c r="B7592" s="2" t="s">
        <v>561</v>
      </c>
      <c r="C7592" s="2">
        <v>1324.6579999999999</v>
      </c>
      <c r="D7592" s="2">
        <f>HYPERLINK("http://mcb-m6.bioreg.kyushu-u.ac.jp/M3/20110411/F50916/1450/1", 53.61)</f>
        <v>53.61</v>
      </c>
      <c r="E7592" s="2">
        <v>35.31</v>
      </c>
      <c r="F7592" s="2">
        <v>1</v>
      </c>
      <c r="G7592" s="2" t="s">
        <v>9</v>
      </c>
      <c r="H7592" s="2" t="s">
        <v>4919</v>
      </c>
    </row>
    <row r="7593" spans="1:9" x14ac:dyDescent="0.2">
      <c r="A7593" s="2" t="s">
        <v>3250</v>
      </c>
      <c r="B7593" s="2" t="s">
        <v>365</v>
      </c>
      <c r="C7593" s="2">
        <v>849.25120000000004</v>
      </c>
      <c r="D7593" s="2">
        <f>HYPERLINK("http://mcb-m6.bioreg.kyushu-u.ac.jp/M3/20110411/F50894/2629/1", 54.17)</f>
        <v>54.17</v>
      </c>
      <c r="E7593" s="2">
        <v>34.82</v>
      </c>
      <c r="F7593" s="2">
        <v>2</v>
      </c>
      <c r="G7593" s="2" t="s">
        <v>9</v>
      </c>
    </row>
    <row r="7594" spans="1:9" x14ac:dyDescent="0.2">
      <c r="A7594" s="2" t="s">
        <v>3250</v>
      </c>
      <c r="B7594" s="2" t="s">
        <v>365</v>
      </c>
      <c r="C7594" s="2">
        <v>849.35310000000004</v>
      </c>
      <c r="D7594" s="2">
        <f>HYPERLINK("http://mcb-m6.bioreg.kyushu-u.ac.jp/M3/20110411/F50911/2670/1", 54.32)</f>
        <v>54.32</v>
      </c>
      <c r="E7594" s="2">
        <v>37.86</v>
      </c>
      <c r="F7594" s="2">
        <v>2</v>
      </c>
      <c r="G7594" s="2" t="s">
        <v>9</v>
      </c>
    </row>
    <row r="7595" spans="1:9" x14ac:dyDescent="0.2">
      <c r="A7595" s="2" t="s">
        <v>3250</v>
      </c>
      <c r="B7595" s="2" t="s">
        <v>888</v>
      </c>
      <c r="C7595" s="2">
        <v>811.41150000000005</v>
      </c>
      <c r="D7595" s="2">
        <f>HYPERLINK("http://mcb-m6.bioreg.kyushu-u.ac.jp/M3/20110411/F50916/3745/1", 54.67)</f>
        <v>54.67</v>
      </c>
      <c r="E7595" s="2">
        <v>40.93</v>
      </c>
      <c r="F7595" s="2">
        <v>3</v>
      </c>
      <c r="G7595" s="2" t="s">
        <v>9</v>
      </c>
      <c r="I7595" s="2" t="s">
        <v>4895</v>
      </c>
    </row>
    <row r="7596" spans="1:9" x14ac:dyDescent="0.2">
      <c r="A7596" s="2" t="s">
        <v>3250</v>
      </c>
      <c r="B7596" s="2" t="s">
        <v>467</v>
      </c>
      <c r="C7596" s="2">
        <v>692.27719999999999</v>
      </c>
      <c r="D7596" s="2">
        <f>HYPERLINK("http://mcb-m6.bioreg.kyushu-u.ac.jp/M3/20110411/F50891/1811/1", 55.27)</f>
        <v>55.27</v>
      </c>
      <c r="E7596" s="2">
        <v>28.44</v>
      </c>
      <c r="F7596" s="2">
        <v>2</v>
      </c>
      <c r="G7596" s="2" t="s">
        <v>9</v>
      </c>
    </row>
    <row r="7597" spans="1:9" x14ac:dyDescent="0.2">
      <c r="A7597" s="2" t="s">
        <v>3250</v>
      </c>
      <c r="B7597" s="2" t="s">
        <v>772</v>
      </c>
      <c r="C7597" s="2">
        <v>1190.8969999999999</v>
      </c>
      <c r="D7597" s="2">
        <f>HYPERLINK("http://mcb-m6.bioreg.kyushu-u.ac.jp/M3/20110411/F50894/1746/1", 55.69)</f>
        <v>55.69</v>
      </c>
      <c r="E7597" s="2">
        <v>24.08</v>
      </c>
      <c r="F7597" s="2">
        <v>1</v>
      </c>
      <c r="G7597" s="2" t="s">
        <v>9</v>
      </c>
    </row>
    <row r="7598" spans="1:9" x14ac:dyDescent="0.2">
      <c r="A7598" s="2" t="s">
        <v>3250</v>
      </c>
      <c r="B7598" s="2" t="s">
        <v>772</v>
      </c>
      <c r="C7598" s="2">
        <v>1190.6769999999999</v>
      </c>
      <c r="D7598" s="2">
        <f>HYPERLINK("http://mcb-m6.bioreg.kyushu-u.ac.jp/M3/20110411/F50915/1145/1", 55.72)</f>
        <v>55.72</v>
      </c>
      <c r="E7598" s="2">
        <v>23.84</v>
      </c>
      <c r="F7598" s="2">
        <v>1</v>
      </c>
      <c r="G7598" s="2" t="s">
        <v>9</v>
      </c>
    </row>
    <row r="7599" spans="1:9" x14ac:dyDescent="0.2">
      <c r="A7599" s="2" t="s">
        <v>3250</v>
      </c>
      <c r="B7599" s="2" t="s">
        <v>772</v>
      </c>
      <c r="C7599" s="2">
        <v>1191.018</v>
      </c>
      <c r="D7599" s="2">
        <f>HYPERLINK("http://mcb-m6.bioreg.kyushu-u.ac.jp/M3/20110411/F50893/1608/1", 55.84)</f>
        <v>55.84</v>
      </c>
      <c r="E7599" s="2">
        <v>24.33</v>
      </c>
      <c r="F7599" s="2">
        <v>1</v>
      </c>
      <c r="G7599" s="2" t="s">
        <v>9</v>
      </c>
    </row>
    <row r="7600" spans="1:9" x14ac:dyDescent="0.2">
      <c r="A7600" s="2" t="s">
        <v>3250</v>
      </c>
      <c r="B7600" s="2" t="s">
        <v>543</v>
      </c>
      <c r="C7600" s="2">
        <v>927.10220000000004</v>
      </c>
      <c r="D7600" s="2">
        <f>HYPERLINK("http://mcb-m6.bioreg.kyushu-u.ac.jp/M3/20110411/F50915/2976/1", 55.92)</f>
        <v>55.92</v>
      </c>
      <c r="E7600" s="2">
        <v>38.049999999999997</v>
      </c>
      <c r="F7600" s="2">
        <v>2</v>
      </c>
      <c r="G7600" s="2" t="s">
        <v>9</v>
      </c>
    </row>
    <row r="7601" spans="1:9" x14ac:dyDescent="0.2">
      <c r="A7601" s="2" t="s">
        <v>3250</v>
      </c>
      <c r="B7601" s="2" t="s">
        <v>365</v>
      </c>
      <c r="C7601" s="2">
        <v>849.04970000000003</v>
      </c>
      <c r="D7601" s="2">
        <f>HYPERLINK("http://mcb-m6.bioreg.kyushu-u.ac.jp/M3/20110411/F50905/2586/1", 56.55)</f>
        <v>56.55</v>
      </c>
      <c r="E7601" s="2">
        <v>40.26</v>
      </c>
      <c r="F7601" s="2">
        <v>2</v>
      </c>
      <c r="G7601" s="2" t="s">
        <v>9</v>
      </c>
    </row>
    <row r="7602" spans="1:9" x14ac:dyDescent="0.2">
      <c r="A7602" s="2" t="s">
        <v>3250</v>
      </c>
      <c r="B7602" s="2" t="s">
        <v>77</v>
      </c>
      <c r="C7602" s="2">
        <v>574.65219999999999</v>
      </c>
      <c r="D7602" s="2">
        <f>HYPERLINK("http://mcb-m6.bioreg.kyushu-u.ac.jp/M3/20110411/F50891/1257/1", 56.61)</f>
        <v>56.61</v>
      </c>
      <c r="E7602" s="2">
        <v>38.11</v>
      </c>
      <c r="F7602" s="2">
        <v>2</v>
      </c>
      <c r="G7602" s="2" t="s">
        <v>9</v>
      </c>
    </row>
    <row r="7603" spans="1:9" x14ac:dyDescent="0.2">
      <c r="A7603" s="2" t="s">
        <v>3250</v>
      </c>
      <c r="B7603" s="2" t="s">
        <v>561</v>
      </c>
      <c r="C7603" s="2">
        <v>662.37459999999999</v>
      </c>
      <c r="D7603" s="2">
        <f>HYPERLINK("http://mcb-m6.bioreg.kyushu-u.ac.jp/M3/20110411/F50903/1649/1", 57.84)</f>
        <v>57.84</v>
      </c>
      <c r="E7603" s="2">
        <v>37.21</v>
      </c>
      <c r="F7603" s="2">
        <v>2</v>
      </c>
      <c r="G7603" s="2" t="s">
        <v>9</v>
      </c>
      <c r="H7603" s="2" t="s">
        <v>4919</v>
      </c>
    </row>
    <row r="7604" spans="1:9" x14ac:dyDescent="0.2">
      <c r="A7604" s="2" t="s">
        <v>3250</v>
      </c>
      <c r="B7604" s="2" t="s">
        <v>365</v>
      </c>
      <c r="C7604" s="2">
        <v>848.62660000000005</v>
      </c>
      <c r="D7604" s="2">
        <f>HYPERLINK("http://mcb-m6.bioreg.kyushu-u.ac.jp/M3/20110411/F50889/2563/1", 58.12)</f>
        <v>58.12</v>
      </c>
      <c r="E7604" s="2">
        <v>33</v>
      </c>
      <c r="F7604" s="2">
        <v>2</v>
      </c>
      <c r="G7604" s="2" t="s">
        <v>9</v>
      </c>
    </row>
    <row r="7605" spans="1:9" x14ac:dyDescent="0.2">
      <c r="A7605" s="2" t="s">
        <v>3250</v>
      </c>
      <c r="B7605" s="2" t="s">
        <v>481</v>
      </c>
      <c r="C7605" s="2">
        <v>709.54859999999996</v>
      </c>
      <c r="D7605" s="2">
        <f>HYPERLINK("http://mcb-m6.bioreg.kyushu-u.ac.jp/M3/20110411/F50905/1855/1", 58.26)</f>
        <v>58.26</v>
      </c>
      <c r="E7605" s="2">
        <v>29.27</v>
      </c>
      <c r="F7605" s="2">
        <v>2</v>
      </c>
      <c r="G7605" s="2" t="s">
        <v>9</v>
      </c>
      <c r="I7605" s="2" t="s">
        <v>4898</v>
      </c>
    </row>
    <row r="7606" spans="1:9" x14ac:dyDescent="0.2">
      <c r="A7606" s="2" t="s">
        <v>3250</v>
      </c>
      <c r="B7606" s="2" t="s">
        <v>77</v>
      </c>
      <c r="C7606" s="2">
        <v>575.33259999999996</v>
      </c>
      <c r="D7606" s="2">
        <f>HYPERLINK("http://mcb-m6.bioreg.kyushu-u.ac.jp/M3/20110411/F50916/1069/1", 58.45)</f>
        <v>58.45</v>
      </c>
      <c r="E7606" s="2">
        <v>31.52</v>
      </c>
      <c r="F7606" s="2">
        <v>2</v>
      </c>
      <c r="G7606" s="2" t="s">
        <v>9</v>
      </c>
    </row>
    <row r="7607" spans="1:9" x14ac:dyDescent="0.2">
      <c r="A7607" s="2" t="s">
        <v>3250</v>
      </c>
      <c r="B7607" s="2" t="s">
        <v>772</v>
      </c>
      <c r="C7607" s="2">
        <v>1190.923</v>
      </c>
      <c r="D7607" s="2">
        <f>HYPERLINK("http://mcb-m6.bioreg.kyushu-u.ac.jp/M3/20110411/F50895/1415/1", 58.6)</f>
        <v>58.6</v>
      </c>
      <c r="E7607" s="2">
        <v>25.16</v>
      </c>
      <c r="F7607" s="2">
        <v>1</v>
      </c>
      <c r="G7607" s="2" t="s">
        <v>9</v>
      </c>
    </row>
    <row r="7608" spans="1:9" x14ac:dyDescent="0.2">
      <c r="A7608" s="2" t="s">
        <v>3250</v>
      </c>
      <c r="B7608" s="2" t="s">
        <v>467</v>
      </c>
      <c r="C7608" s="2">
        <v>1383.482</v>
      </c>
      <c r="D7608" s="2">
        <f>HYPERLINK("http://mcb-m6.bioreg.kyushu-u.ac.jp/M3/20110411/F50890/1914/1", 59.1)</f>
        <v>59.1</v>
      </c>
      <c r="E7608" s="2">
        <v>40.479999999999997</v>
      </c>
      <c r="F7608" s="2">
        <v>1</v>
      </c>
      <c r="G7608" s="2" t="s">
        <v>9</v>
      </c>
    </row>
    <row r="7609" spans="1:9" x14ac:dyDescent="0.2">
      <c r="A7609" s="2" t="s">
        <v>3250</v>
      </c>
      <c r="B7609" s="2" t="s">
        <v>365</v>
      </c>
      <c r="C7609" s="2">
        <v>849.03219999999999</v>
      </c>
      <c r="D7609" s="2">
        <f>HYPERLINK("http://mcb-m6.bioreg.kyushu-u.ac.jp/M3/20110411/F50895/2585/1", 59.18)</f>
        <v>59.18</v>
      </c>
      <c r="E7609" s="2">
        <v>38.03</v>
      </c>
      <c r="F7609" s="2">
        <v>2</v>
      </c>
      <c r="G7609" s="2" t="s">
        <v>9</v>
      </c>
    </row>
    <row r="7610" spans="1:9" x14ac:dyDescent="0.2">
      <c r="A7610" s="2" t="s">
        <v>3250</v>
      </c>
      <c r="B7610" s="2" t="s">
        <v>467</v>
      </c>
      <c r="C7610" s="2">
        <v>1382.836</v>
      </c>
      <c r="D7610" s="2">
        <f>HYPERLINK("http://mcb-m6.bioreg.kyushu-u.ac.jp/M3/20110411/F50895/1839/1", 59.29)</f>
        <v>59.29</v>
      </c>
      <c r="E7610" s="2">
        <v>39.159999999999997</v>
      </c>
      <c r="F7610" s="2">
        <v>1</v>
      </c>
      <c r="G7610" s="2" t="s">
        <v>9</v>
      </c>
    </row>
    <row r="7611" spans="1:9" x14ac:dyDescent="0.2">
      <c r="A7611" s="2" t="s">
        <v>3250</v>
      </c>
      <c r="B7611" s="2" t="s">
        <v>467</v>
      </c>
      <c r="C7611" s="2">
        <v>1383.018</v>
      </c>
      <c r="D7611" s="2">
        <f>HYPERLINK("http://mcb-m6.bioreg.kyushu-u.ac.jp/M3/20110411/F50893/1955/1", 59.33)</f>
        <v>59.33</v>
      </c>
      <c r="E7611" s="2">
        <v>39.32</v>
      </c>
      <c r="F7611" s="2">
        <v>1</v>
      </c>
      <c r="G7611" s="2" t="s">
        <v>9</v>
      </c>
    </row>
    <row r="7612" spans="1:9" x14ac:dyDescent="0.2">
      <c r="A7612" s="2" t="s">
        <v>3250</v>
      </c>
      <c r="B7612" s="2" t="s">
        <v>481</v>
      </c>
      <c r="C7612" s="2">
        <v>1417.9390000000001</v>
      </c>
      <c r="D7612" s="2">
        <f>HYPERLINK("http://mcb-m6.bioreg.kyushu-u.ac.jp/M3/20110411/F50895/1919/1", 59.91)</f>
        <v>59.91</v>
      </c>
      <c r="E7612" s="2">
        <v>32.840000000000003</v>
      </c>
      <c r="F7612" s="2">
        <v>1</v>
      </c>
      <c r="G7612" s="2" t="s">
        <v>9</v>
      </c>
      <c r="I7612" s="2" t="s">
        <v>4898</v>
      </c>
    </row>
    <row r="7613" spans="1:9" x14ac:dyDescent="0.2">
      <c r="A7613" s="2" t="s">
        <v>3250</v>
      </c>
      <c r="B7613" s="2" t="s">
        <v>543</v>
      </c>
      <c r="C7613" s="2">
        <v>927.52369999999996</v>
      </c>
      <c r="D7613" s="2">
        <f>HYPERLINK("http://mcb-m6.bioreg.kyushu-u.ac.jp/M3/20110411/F50895/2952/1", 61.14)</f>
        <v>61.14</v>
      </c>
      <c r="E7613" s="2">
        <v>41.87</v>
      </c>
      <c r="F7613" s="2">
        <v>2</v>
      </c>
      <c r="G7613" s="2" t="s">
        <v>9</v>
      </c>
    </row>
    <row r="7614" spans="1:9" x14ac:dyDescent="0.2">
      <c r="A7614" s="2" t="s">
        <v>3250</v>
      </c>
      <c r="B7614" s="2" t="s">
        <v>311</v>
      </c>
      <c r="C7614" s="2">
        <v>598.95259999999996</v>
      </c>
      <c r="D7614" s="2">
        <f>HYPERLINK("http://mcb-m6.bioreg.kyushu-u.ac.jp/M3/20110411/F50905/1352/1", 61.17)</f>
        <v>61.17</v>
      </c>
      <c r="E7614" s="2">
        <v>38.090000000000003</v>
      </c>
      <c r="F7614" s="2">
        <v>2</v>
      </c>
      <c r="G7614" s="2" t="s">
        <v>9</v>
      </c>
    </row>
    <row r="7615" spans="1:9" x14ac:dyDescent="0.2">
      <c r="A7615" s="2" t="s">
        <v>3250</v>
      </c>
      <c r="B7615" s="2" t="s">
        <v>1065</v>
      </c>
      <c r="C7615" s="2">
        <v>716.85969999999998</v>
      </c>
      <c r="D7615" s="2">
        <f>HYPERLINK("http://mcb-m6.bioreg.kyushu-u.ac.jp/M3/20110411/F50890/2046/1", 61.21)</f>
        <v>61.21</v>
      </c>
      <c r="E7615" s="2">
        <v>45.56</v>
      </c>
      <c r="F7615" s="2">
        <v>2</v>
      </c>
      <c r="G7615" s="2" t="s">
        <v>9</v>
      </c>
      <c r="I7615" s="2" t="s">
        <v>4892</v>
      </c>
    </row>
    <row r="7616" spans="1:9" x14ac:dyDescent="0.2">
      <c r="A7616" s="2" t="s">
        <v>3250</v>
      </c>
      <c r="B7616" s="2" t="s">
        <v>481</v>
      </c>
      <c r="C7616" s="2">
        <v>709.76009999999997</v>
      </c>
      <c r="D7616" s="2">
        <f>HYPERLINK("http://mcb-m6.bioreg.kyushu-u.ac.jp/M3/20110411/F50895/1924/1", 61.32)</f>
        <v>61.32</v>
      </c>
      <c r="E7616" s="2">
        <v>34.549999999999997</v>
      </c>
      <c r="F7616" s="2">
        <v>2</v>
      </c>
      <c r="G7616" s="2" t="s">
        <v>9</v>
      </c>
      <c r="I7616" s="2" t="s">
        <v>4898</v>
      </c>
    </row>
    <row r="7617" spans="1:9" x14ac:dyDescent="0.2">
      <c r="A7617" s="2" t="s">
        <v>3250</v>
      </c>
      <c r="B7617" s="2" t="s">
        <v>561</v>
      </c>
      <c r="C7617" s="2">
        <v>654.84720000000004</v>
      </c>
      <c r="D7617" s="2">
        <f>HYPERLINK("http://mcb-m6.bioreg.kyushu-u.ac.jp/M3/20110411/F50915/1411/1", 61.41)</f>
        <v>61.41</v>
      </c>
      <c r="E7617" s="2">
        <v>38.32</v>
      </c>
      <c r="F7617" s="2">
        <v>2</v>
      </c>
      <c r="G7617" s="2" t="s">
        <v>9</v>
      </c>
    </row>
    <row r="7618" spans="1:9" x14ac:dyDescent="0.2">
      <c r="A7618" s="2" t="s">
        <v>3250</v>
      </c>
      <c r="B7618" s="2" t="s">
        <v>481</v>
      </c>
      <c r="C7618" s="2">
        <v>1417.672</v>
      </c>
      <c r="D7618" s="2">
        <f>HYPERLINK("http://mcb-m6.bioreg.kyushu-u.ac.jp/M3/20110411/F50916/1720/1", 62.13)</f>
        <v>62.13</v>
      </c>
      <c r="E7618" s="2">
        <v>47.19</v>
      </c>
      <c r="F7618" s="2">
        <v>1</v>
      </c>
      <c r="G7618" s="2" t="s">
        <v>9</v>
      </c>
      <c r="I7618" s="2" t="s">
        <v>4898</v>
      </c>
    </row>
    <row r="7619" spans="1:9" x14ac:dyDescent="0.2">
      <c r="A7619" s="2" t="s">
        <v>3250</v>
      </c>
      <c r="B7619" s="2" t="s">
        <v>1065</v>
      </c>
      <c r="C7619" s="2">
        <v>1432.6569999999999</v>
      </c>
      <c r="D7619" s="2">
        <f>HYPERLINK("http://mcb-m6.bioreg.kyushu-u.ac.jp/M3/20110411/F50916/1783/1", 63.12)</f>
        <v>63.12</v>
      </c>
      <c r="E7619" s="2">
        <v>50.92</v>
      </c>
      <c r="F7619" s="2">
        <v>1</v>
      </c>
      <c r="G7619" s="2" t="s">
        <v>9</v>
      </c>
      <c r="I7619" s="2" t="s">
        <v>4892</v>
      </c>
    </row>
    <row r="7620" spans="1:9" x14ac:dyDescent="0.2">
      <c r="A7620" s="2" t="s">
        <v>3250</v>
      </c>
      <c r="B7620" s="2" t="s">
        <v>311</v>
      </c>
      <c r="C7620" s="2">
        <v>599.14469999999994</v>
      </c>
      <c r="D7620" s="2">
        <f>HYPERLINK("http://mcb-m6.bioreg.kyushu-u.ac.jp/M3/20110411/F50893/1621/1", 63.13)</f>
        <v>63.13</v>
      </c>
      <c r="E7620" s="2">
        <v>40.119999999999997</v>
      </c>
      <c r="F7620" s="2">
        <v>2</v>
      </c>
      <c r="G7620" s="2" t="s">
        <v>9</v>
      </c>
    </row>
    <row r="7621" spans="1:9" x14ac:dyDescent="0.2">
      <c r="A7621" s="2" t="s">
        <v>3250</v>
      </c>
      <c r="B7621" s="2" t="s">
        <v>175</v>
      </c>
      <c r="C7621" s="2">
        <v>784.64419999999996</v>
      </c>
      <c r="D7621" s="2">
        <f>HYPERLINK("http://mcb-m6.bioreg.kyushu-u.ac.jp/M3/20110411/F50905/2294/1", 64.17)</f>
        <v>64.17</v>
      </c>
      <c r="E7621" s="2">
        <v>46.73</v>
      </c>
      <c r="F7621" s="2">
        <v>2</v>
      </c>
      <c r="G7621" s="2" t="s">
        <v>9</v>
      </c>
      <c r="I7621" s="2" t="s">
        <v>4893</v>
      </c>
    </row>
    <row r="7622" spans="1:9" x14ac:dyDescent="0.2">
      <c r="A7622" s="2" t="s">
        <v>3250</v>
      </c>
      <c r="B7622" s="2" t="s">
        <v>1065</v>
      </c>
      <c r="C7622" s="2">
        <v>717.04769999999996</v>
      </c>
      <c r="D7622" s="2">
        <f>HYPERLINK("http://mcb-m6.bioreg.kyushu-u.ac.jp/M3/20110411/F50895/1971/1", 64.67)</f>
        <v>64.67</v>
      </c>
      <c r="E7622" s="2">
        <v>37.380000000000003</v>
      </c>
      <c r="F7622" s="2">
        <v>2</v>
      </c>
      <c r="G7622" s="2" t="s">
        <v>9</v>
      </c>
      <c r="I7622" s="2" t="s">
        <v>4892</v>
      </c>
    </row>
    <row r="7623" spans="1:9" x14ac:dyDescent="0.2">
      <c r="A7623" s="2" t="s">
        <v>3250</v>
      </c>
      <c r="B7623" s="2" t="s">
        <v>311</v>
      </c>
      <c r="C7623" s="2">
        <v>607.00459999999998</v>
      </c>
      <c r="D7623" s="2">
        <f>HYPERLINK("http://mcb-m6.bioreg.kyushu-u.ac.jp/M3/20110411/F50905/1390/1", 65.06)</f>
        <v>65.06</v>
      </c>
      <c r="E7623" s="2">
        <v>40.36</v>
      </c>
      <c r="F7623" s="2">
        <v>2</v>
      </c>
      <c r="G7623" s="2" t="s">
        <v>9</v>
      </c>
      <c r="H7623" s="2" t="s">
        <v>4908</v>
      </c>
    </row>
    <row r="7624" spans="1:9" x14ac:dyDescent="0.2">
      <c r="A7624" s="2" t="s">
        <v>3250</v>
      </c>
      <c r="B7624" s="2" t="s">
        <v>311</v>
      </c>
      <c r="C7624" s="2">
        <v>599.05359999999996</v>
      </c>
      <c r="D7624" s="2">
        <f>HYPERLINK("http://mcb-m6.bioreg.kyushu-u.ac.jp/M3/20110411/F50904/1425/1", 65.55)</f>
        <v>65.55</v>
      </c>
      <c r="E7624" s="2">
        <v>34.9</v>
      </c>
      <c r="F7624" s="2">
        <v>2</v>
      </c>
      <c r="G7624" s="2" t="s">
        <v>9</v>
      </c>
    </row>
    <row r="7625" spans="1:9" x14ac:dyDescent="0.2">
      <c r="A7625" s="2" t="s">
        <v>3250</v>
      </c>
      <c r="B7625" s="2" t="s">
        <v>772</v>
      </c>
      <c r="C7625" s="2">
        <v>595.80269999999996</v>
      </c>
      <c r="D7625" s="2">
        <f>HYPERLINK("http://mcb-m6.bioreg.kyushu-u.ac.jp/M3/20110411/F50916/1151/1", 65.74)</f>
        <v>65.739999999999995</v>
      </c>
      <c r="E7625" s="2">
        <v>36.44</v>
      </c>
      <c r="F7625" s="2">
        <v>2</v>
      </c>
      <c r="G7625" s="2" t="s">
        <v>9</v>
      </c>
    </row>
    <row r="7626" spans="1:9" x14ac:dyDescent="0.2">
      <c r="A7626" s="2" t="s">
        <v>3250</v>
      </c>
      <c r="B7626" s="2" t="s">
        <v>365</v>
      </c>
      <c r="C7626" s="2">
        <v>849.1327</v>
      </c>
      <c r="D7626" s="2">
        <f>HYPERLINK("http://mcb-m6.bioreg.kyushu-u.ac.jp/M3/20110411/F50919/2179/1", 65.84)</f>
        <v>65.84</v>
      </c>
      <c r="E7626" s="2">
        <v>52.25</v>
      </c>
      <c r="F7626" s="2">
        <v>2</v>
      </c>
      <c r="G7626" s="2" t="s">
        <v>9</v>
      </c>
    </row>
    <row r="7627" spans="1:9" x14ac:dyDescent="0.2">
      <c r="A7627" s="2" t="s">
        <v>3250</v>
      </c>
      <c r="B7627" s="2" t="s">
        <v>365</v>
      </c>
      <c r="C7627" s="2">
        <v>848.95820000000003</v>
      </c>
      <c r="D7627" s="2">
        <f>HYPERLINK("http://mcb-m6.bioreg.kyushu-u.ac.jp/M3/20110411/F50916/2455/1", 65.99)</f>
        <v>65.989999999999995</v>
      </c>
      <c r="E7627" s="2">
        <v>52.46</v>
      </c>
      <c r="F7627" s="2">
        <v>2</v>
      </c>
      <c r="G7627" s="2" t="s">
        <v>9</v>
      </c>
    </row>
    <row r="7628" spans="1:9" x14ac:dyDescent="0.2">
      <c r="A7628" s="2" t="s">
        <v>3250</v>
      </c>
      <c r="B7628" s="2" t="s">
        <v>467</v>
      </c>
      <c r="C7628" s="2">
        <v>691.77670000000001</v>
      </c>
      <c r="D7628" s="2">
        <f>HYPERLINK("http://mcb-m6.bioreg.kyushu-u.ac.jp/M3/20110411/F50890/1912/1", 66.12)</f>
        <v>66.12</v>
      </c>
      <c r="E7628" s="2">
        <v>42.75</v>
      </c>
      <c r="F7628" s="2">
        <v>2</v>
      </c>
      <c r="G7628" s="2" t="s">
        <v>9</v>
      </c>
    </row>
    <row r="7629" spans="1:9" x14ac:dyDescent="0.2">
      <c r="A7629" s="2" t="s">
        <v>3250</v>
      </c>
      <c r="B7629" s="2" t="s">
        <v>77</v>
      </c>
      <c r="C7629" s="2">
        <v>575.38670000000002</v>
      </c>
      <c r="D7629" s="2">
        <f>HYPERLINK("http://mcb-m6.bioreg.kyushu-u.ac.jp/M3/20110411/F50892/1550/1", 66.39)</f>
        <v>66.39</v>
      </c>
      <c r="E7629" s="2">
        <v>43.52</v>
      </c>
      <c r="F7629" s="2">
        <v>2</v>
      </c>
      <c r="G7629" s="2" t="s">
        <v>9</v>
      </c>
    </row>
    <row r="7630" spans="1:9" x14ac:dyDescent="0.2">
      <c r="A7630" s="2" t="s">
        <v>3250</v>
      </c>
      <c r="B7630" s="2" t="s">
        <v>365</v>
      </c>
      <c r="C7630" s="2">
        <v>1697.029</v>
      </c>
      <c r="D7630" s="2">
        <f>HYPERLINK("http://mcb-m6.bioreg.kyushu-u.ac.jp/M3/20110411/F50905/2585/1", 66.82)</f>
        <v>66.819999999999993</v>
      </c>
      <c r="E7630" s="2">
        <v>46.28</v>
      </c>
      <c r="F7630" s="2">
        <v>1</v>
      </c>
      <c r="G7630" s="2" t="s">
        <v>9</v>
      </c>
    </row>
    <row r="7631" spans="1:9" x14ac:dyDescent="0.2">
      <c r="A7631" s="2" t="s">
        <v>3250</v>
      </c>
      <c r="B7631" s="2" t="s">
        <v>467</v>
      </c>
      <c r="C7631" s="2">
        <v>692.11019999999996</v>
      </c>
      <c r="D7631" s="2">
        <f>HYPERLINK("http://mcb-m6.bioreg.kyushu-u.ac.jp/M3/20110411/F50893/1956/1", 66.95)</f>
        <v>66.95</v>
      </c>
      <c r="E7631" s="2">
        <v>33.47</v>
      </c>
      <c r="F7631" s="2">
        <v>2</v>
      </c>
      <c r="G7631" s="2" t="s">
        <v>9</v>
      </c>
    </row>
    <row r="7632" spans="1:9" x14ac:dyDescent="0.2">
      <c r="A7632" s="2" t="s">
        <v>3250</v>
      </c>
      <c r="B7632" s="2" t="s">
        <v>90</v>
      </c>
      <c r="C7632" s="2">
        <v>1433.759</v>
      </c>
      <c r="D7632" s="2">
        <f>HYPERLINK("http://mcb-m6.bioreg.kyushu-u.ac.jp/M3/20110411/F50916/1794/1", 67.11)</f>
        <v>67.11</v>
      </c>
      <c r="E7632" s="2">
        <v>54.21</v>
      </c>
      <c r="F7632" s="2">
        <v>1</v>
      </c>
      <c r="G7632" s="2" t="s">
        <v>9</v>
      </c>
    </row>
    <row r="7633" spans="1:9" x14ac:dyDescent="0.2">
      <c r="A7633" s="2" t="s">
        <v>3250</v>
      </c>
      <c r="B7633" s="2" t="s">
        <v>467</v>
      </c>
      <c r="C7633" s="2">
        <v>691.89319999999998</v>
      </c>
      <c r="D7633" s="2">
        <f>HYPERLINK("http://mcb-m6.bioreg.kyushu-u.ac.jp/M3/20110411/F50915/1614/1", 67.72)</f>
        <v>67.72</v>
      </c>
      <c r="E7633" s="2">
        <v>37.450000000000003</v>
      </c>
      <c r="F7633" s="2">
        <v>2</v>
      </c>
      <c r="G7633" s="2" t="s">
        <v>9</v>
      </c>
    </row>
    <row r="7634" spans="1:9" x14ac:dyDescent="0.2">
      <c r="A7634" s="2" t="s">
        <v>3250</v>
      </c>
      <c r="B7634" s="2" t="s">
        <v>90</v>
      </c>
      <c r="C7634" s="2">
        <v>717.32169999999996</v>
      </c>
      <c r="D7634" s="2">
        <f>HYPERLINK("http://mcb-m6.bioreg.kyushu-u.ac.jp/M3/20110411/F50903/1940/1", 67.92)</f>
        <v>67.92</v>
      </c>
      <c r="E7634" s="2">
        <v>22.94</v>
      </c>
      <c r="F7634" s="2">
        <v>2</v>
      </c>
      <c r="G7634" s="2" t="s">
        <v>9</v>
      </c>
    </row>
    <row r="7635" spans="1:9" x14ac:dyDescent="0.2">
      <c r="A7635" s="2" t="s">
        <v>3250</v>
      </c>
      <c r="B7635" s="2" t="s">
        <v>311</v>
      </c>
      <c r="C7635" s="2">
        <v>598.88019999999995</v>
      </c>
      <c r="D7635" s="2">
        <f>HYPERLINK("http://mcb-m6.bioreg.kyushu-u.ac.jp/M3/20110411/F50895/1429/1", 68)</f>
        <v>68</v>
      </c>
      <c r="E7635" s="2">
        <v>44.58</v>
      </c>
      <c r="F7635" s="2">
        <v>2</v>
      </c>
      <c r="G7635" s="2" t="s">
        <v>9</v>
      </c>
    </row>
    <row r="7636" spans="1:9" x14ac:dyDescent="0.2">
      <c r="A7636" s="2" t="s">
        <v>3250</v>
      </c>
      <c r="B7636" s="2" t="s">
        <v>30</v>
      </c>
      <c r="C7636" s="2">
        <v>965.05769999999995</v>
      </c>
      <c r="D7636" s="2">
        <f>HYPERLINK("http://mcb-m6.bioreg.kyushu-u.ac.jp/M3/20110411/F50915/3135/1", 68.16)</f>
        <v>68.16</v>
      </c>
      <c r="E7636" s="2">
        <v>58.99</v>
      </c>
      <c r="F7636" s="2">
        <v>2</v>
      </c>
      <c r="G7636" s="2" t="s">
        <v>9</v>
      </c>
      <c r="I7636" s="2" t="s">
        <v>4894</v>
      </c>
    </row>
    <row r="7637" spans="1:9" x14ac:dyDescent="0.2">
      <c r="A7637" s="2" t="s">
        <v>3250</v>
      </c>
      <c r="B7637" s="2" t="s">
        <v>311</v>
      </c>
      <c r="C7637" s="2">
        <v>598.98320000000001</v>
      </c>
      <c r="D7637" s="2">
        <f>HYPERLINK("http://mcb-m6.bioreg.kyushu-u.ac.jp/M3/20110411/F50911/1386/1", 68.28)</f>
        <v>68.28</v>
      </c>
      <c r="E7637" s="2">
        <v>44.83</v>
      </c>
      <c r="F7637" s="2">
        <v>2</v>
      </c>
      <c r="G7637" s="2" t="s">
        <v>9</v>
      </c>
    </row>
    <row r="7638" spans="1:9" x14ac:dyDescent="0.2">
      <c r="A7638" s="2" t="s">
        <v>3250</v>
      </c>
      <c r="B7638" s="2" t="s">
        <v>467</v>
      </c>
      <c r="C7638" s="2">
        <v>691.98860000000002</v>
      </c>
      <c r="D7638" s="2">
        <f>HYPERLINK("http://mcb-m6.bioreg.kyushu-u.ac.jp/M3/20110411/F50903/1809/1", 68.41)</f>
        <v>68.41</v>
      </c>
      <c r="E7638" s="2">
        <v>34.79</v>
      </c>
      <c r="F7638" s="2">
        <v>2</v>
      </c>
      <c r="G7638" s="2" t="s">
        <v>9</v>
      </c>
    </row>
    <row r="7639" spans="1:9" x14ac:dyDescent="0.2">
      <c r="A7639" s="2" t="s">
        <v>3250</v>
      </c>
      <c r="B7639" s="2" t="s">
        <v>467</v>
      </c>
      <c r="C7639" s="2">
        <v>691.98220000000003</v>
      </c>
      <c r="D7639" s="2">
        <f>HYPERLINK("http://mcb-m6.bioreg.kyushu-u.ac.jp/M3/20110411/F50895/1840/1", 68.42)</f>
        <v>68.42</v>
      </c>
      <c r="E7639" s="2">
        <v>43.24</v>
      </c>
      <c r="F7639" s="2">
        <v>2</v>
      </c>
      <c r="G7639" s="2" t="s">
        <v>9</v>
      </c>
    </row>
    <row r="7640" spans="1:9" x14ac:dyDescent="0.2">
      <c r="A7640" s="2" t="s">
        <v>3250</v>
      </c>
      <c r="B7640" s="2" t="s">
        <v>467</v>
      </c>
      <c r="C7640" s="2">
        <v>1382.748</v>
      </c>
      <c r="D7640" s="2">
        <f>HYPERLINK("http://mcb-m6.bioreg.kyushu-u.ac.jp/M3/20110411/F50903/1808/1", 68.58)</f>
        <v>68.58</v>
      </c>
      <c r="E7640" s="2">
        <v>55.97</v>
      </c>
      <c r="F7640" s="2">
        <v>1</v>
      </c>
      <c r="G7640" s="2" t="s">
        <v>9</v>
      </c>
    </row>
    <row r="7641" spans="1:9" x14ac:dyDescent="0.2">
      <c r="A7641" s="2" t="s">
        <v>3250</v>
      </c>
      <c r="B7641" s="2" t="s">
        <v>1255</v>
      </c>
      <c r="C7641" s="2">
        <v>1274.19</v>
      </c>
      <c r="D7641" s="2">
        <f>HYPERLINK("http://mcb-m6.bioreg.kyushu-u.ac.jp/M3/20110411/F50894/3404/1", 69.33)</f>
        <v>69.33</v>
      </c>
      <c r="E7641" s="2">
        <v>59.06</v>
      </c>
      <c r="F7641" s="2">
        <v>2</v>
      </c>
      <c r="G7641" s="2" t="s">
        <v>9</v>
      </c>
      <c r="I7641" s="2" t="s">
        <v>4906</v>
      </c>
    </row>
    <row r="7642" spans="1:9" x14ac:dyDescent="0.2">
      <c r="A7642" s="2" t="s">
        <v>3250</v>
      </c>
      <c r="B7642" s="2" t="s">
        <v>481</v>
      </c>
      <c r="C7642" s="2">
        <v>709.36609999999996</v>
      </c>
      <c r="D7642" s="2">
        <f>HYPERLINK("http://mcb-m6.bioreg.kyushu-u.ac.jp/M3/20110411/F50891/1919/1", 69.43)</f>
        <v>69.430000000000007</v>
      </c>
      <c r="E7642" s="2">
        <v>48.86</v>
      </c>
      <c r="F7642" s="2">
        <v>2</v>
      </c>
      <c r="G7642" s="2" t="s">
        <v>9</v>
      </c>
      <c r="I7642" s="2" t="s">
        <v>4898</v>
      </c>
    </row>
    <row r="7643" spans="1:9" x14ac:dyDescent="0.2">
      <c r="A7643" s="2" t="s">
        <v>3250</v>
      </c>
      <c r="B7643" s="2" t="s">
        <v>503</v>
      </c>
      <c r="C7643" s="2">
        <v>808.7097</v>
      </c>
      <c r="D7643" s="2">
        <f>HYPERLINK("http://mcb-m6.bioreg.kyushu-u.ac.jp/M3/20110411/F50895/2428/1", 69.86)</f>
        <v>69.86</v>
      </c>
      <c r="E7643" s="2">
        <v>55.27</v>
      </c>
      <c r="F7643" s="2">
        <v>2</v>
      </c>
      <c r="G7643" s="2" t="s">
        <v>9</v>
      </c>
    </row>
    <row r="7644" spans="1:9" x14ac:dyDescent="0.2">
      <c r="A7644" s="2" t="s">
        <v>3250</v>
      </c>
      <c r="B7644" s="2" t="s">
        <v>561</v>
      </c>
      <c r="C7644" s="2">
        <v>662.27670000000001</v>
      </c>
      <c r="D7644" s="2">
        <f>HYPERLINK("http://mcb-m6.bioreg.kyushu-u.ac.jp/M3/20110411/F50890/1757/1", 70.06)</f>
        <v>70.06</v>
      </c>
      <c r="E7644" s="2">
        <v>58.71</v>
      </c>
      <c r="F7644" s="2">
        <v>2</v>
      </c>
      <c r="G7644" s="2" t="s">
        <v>9</v>
      </c>
      <c r="H7644" s="2" t="s">
        <v>4919</v>
      </c>
    </row>
    <row r="7645" spans="1:9" x14ac:dyDescent="0.2">
      <c r="A7645" s="2" t="s">
        <v>3250</v>
      </c>
      <c r="B7645" s="2" t="s">
        <v>90</v>
      </c>
      <c r="C7645" s="2">
        <v>717.3347</v>
      </c>
      <c r="D7645" s="2">
        <f>HYPERLINK("http://mcb-m6.bioreg.kyushu-u.ac.jp/M3/20110411/F50891/1964/1", 70.98)</f>
        <v>70.98</v>
      </c>
      <c r="E7645" s="2">
        <v>54.61</v>
      </c>
      <c r="F7645" s="2">
        <v>2</v>
      </c>
      <c r="G7645" s="2" t="s">
        <v>9</v>
      </c>
    </row>
    <row r="7646" spans="1:9" x14ac:dyDescent="0.2">
      <c r="A7646" s="2" t="s">
        <v>3250</v>
      </c>
      <c r="B7646" s="2" t="s">
        <v>467</v>
      </c>
      <c r="C7646" s="2">
        <v>691.97469999999998</v>
      </c>
      <c r="D7646" s="2">
        <f>HYPERLINK("http://mcb-m6.bioreg.kyushu-u.ac.jp/M3/20110411/F50904/1793/1", 71)</f>
        <v>71</v>
      </c>
      <c r="E7646" s="2">
        <v>40.65</v>
      </c>
      <c r="F7646" s="2">
        <v>2</v>
      </c>
      <c r="G7646" s="2" t="s">
        <v>9</v>
      </c>
    </row>
    <row r="7647" spans="1:9" x14ac:dyDescent="0.2">
      <c r="A7647" s="2" t="s">
        <v>3250</v>
      </c>
      <c r="B7647" s="2" t="s">
        <v>365</v>
      </c>
      <c r="C7647" s="2">
        <v>849.47310000000004</v>
      </c>
      <c r="D7647" s="2">
        <f>HYPERLINK("http://mcb-m6.bioreg.kyushu-u.ac.jp/M3/20110411/F50916/2460/1", 71.33)</f>
        <v>71.33</v>
      </c>
      <c r="E7647" s="2">
        <v>58.25</v>
      </c>
      <c r="F7647" s="2">
        <v>2</v>
      </c>
      <c r="G7647" s="2" t="s">
        <v>9</v>
      </c>
    </row>
    <row r="7648" spans="1:9" x14ac:dyDescent="0.2">
      <c r="A7648" s="2" t="s">
        <v>3250</v>
      </c>
      <c r="B7648" s="2" t="s">
        <v>772</v>
      </c>
      <c r="C7648" s="2">
        <v>596.03769999999997</v>
      </c>
      <c r="D7648" s="2">
        <f>HYPERLINK("http://mcb-m6.bioreg.kyushu-u.ac.jp/M3/20110411/F50892/1634/1", 71.63)</f>
        <v>71.63</v>
      </c>
      <c r="E7648" s="2">
        <v>48.47</v>
      </c>
      <c r="F7648" s="2">
        <v>2</v>
      </c>
      <c r="G7648" s="2" t="s">
        <v>9</v>
      </c>
    </row>
    <row r="7649" spans="1:9" x14ac:dyDescent="0.2">
      <c r="A7649" s="2" t="s">
        <v>3250</v>
      </c>
      <c r="B7649" s="2" t="s">
        <v>90</v>
      </c>
      <c r="C7649" s="2">
        <v>717.0652</v>
      </c>
      <c r="D7649" s="2">
        <f>HYPERLINK("http://mcb-m6.bioreg.kyushu-u.ac.jp/M3/20110411/F50905/1896/1", 72.23)</f>
        <v>72.23</v>
      </c>
      <c r="E7649" s="2">
        <v>50.12</v>
      </c>
      <c r="F7649" s="2">
        <v>2</v>
      </c>
      <c r="G7649" s="2" t="s">
        <v>9</v>
      </c>
    </row>
    <row r="7650" spans="1:9" x14ac:dyDescent="0.2">
      <c r="A7650" s="2" t="s">
        <v>3250</v>
      </c>
      <c r="B7650" s="2" t="s">
        <v>543</v>
      </c>
      <c r="C7650" s="2">
        <v>927.21310000000005</v>
      </c>
      <c r="D7650" s="2">
        <f>HYPERLINK("http://mcb-m6.bioreg.kyushu-u.ac.jp/M3/20110411/F50904/2878/1", 72.44)</f>
        <v>72.44</v>
      </c>
      <c r="E7650" s="2">
        <v>45.49</v>
      </c>
      <c r="F7650" s="2">
        <v>2</v>
      </c>
      <c r="G7650" s="2" t="s">
        <v>9</v>
      </c>
    </row>
    <row r="7651" spans="1:9" x14ac:dyDescent="0.2">
      <c r="A7651" s="2" t="s">
        <v>3250</v>
      </c>
      <c r="B7651" s="2" t="s">
        <v>543</v>
      </c>
      <c r="C7651" s="2">
        <v>927.21559999999999</v>
      </c>
      <c r="D7651" s="2">
        <f>HYPERLINK("http://mcb-m6.bioreg.kyushu-u.ac.jp/M3/20110411/F50905/2983/1", 72.9)</f>
        <v>72.900000000000006</v>
      </c>
      <c r="E7651" s="2">
        <v>55.89</v>
      </c>
      <c r="F7651" s="2">
        <v>2</v>
      </c>
      <c r="G7651" s="2" t="s">
        <v>9</v>
      </c>
    </row>
    <row r="7652" spans="1:9" x14ac:dyDescent="0.2">
      <c r="A7652" s="2" t="s">
        <v>3250</v>
      </c>
      <c r="B7652" s="2" t="s">
        <v>561</v>
      </c>
      <c r="C7652" s="2">
        <v>662.68219999999997</v>
      </c>
      <c r="D7652" s="2">
        <f>HYPERLINK("http://mcb-m6.bioreg.kyushu-u.ac.jp/M3/20110411/F50889/2000/1", 73.15)</f>
        <v>73.150000000000006</v>
      </c>
      <c r="E7652" s="2">
        <v>52.9</v>
      </c>
      <c r="F7652" s="2">
        <v>2</v>
      </c>
      <c r="G7652" s="2" t="s">
        <v>9</v>
      </c>
      <c r="H7652" s="2" t="s">
        <v>4919</v>
      </c>
    </row>
    <row r="7653" spans="1:9" x14ac:dyDescent="0.2">
      <c r="A7653" s="2" t="s">
        <v>3250</v>
      </c>
      <c r="B7653" s="2" t="s">
        <v>772</v>
      </c>
      <c r="C7653" s="2">
        <v>596.31960000000004</v>
      </c>
      <c r="D7653" s="2">
        <f>HYPERLINK("http://mcb-m6.bioreg.kyushu-u.ac.jp/M3/20110411/F50916/1154/1", 74.35)</f>
        <v>74.349999999999994</v>
      </c>
      <c r="E7653" s="2">
        <v>45.25</v>
      </c>
      <c r="F7653" s="2">
        <v>2</v>
      </c>
      <c r="G7653" s="2" t="s">
        <v>9</v>
      </c>
    </row>
    <row r="7654" spans="1:9" x14ac:dyDescent="0.2">
      <c r="A7654" s="2" t="s">
        <v>3250</v>
      </c>
      <c r="B7654" s="2" t="s">
        <v>481</v>
      </c>
      <c r="C7654" s="2">
        <v>709.32320000000004</v>
      </c>
      <c r="D7654" s="2">
        <f>HYPERLINK("http://mcb-m6.bioreg.kyushu-u.ac.jp/M3/20110411/F50890/2004/1", 74.39)</f>
        <v>74.39</v>
      </c>
      <c r="E7654" s="2">
        <v>52.03</v>
      </c>
      <c r="F7654" s="2">
        <v>2</v>
      </c>
      <c r="G7654" s="2" t="s">
        <v>9</v>
      </c>
      <c r="I7654" s="2" t="s">
        <v>4898</v>
      </c>
    </row>
    <row r="7655" spans="1:9" x14ac:dyDescent="0.2">
      <c r="A7655" s="2" t="s">
        <v>3250</v>
      </c>
      <c r="B7655" s="2" t="s">
        <v>102</v>
      </c>
      <c r="C7655" s="2">
        <v>608.7482</v>
      </c>
      <c r="D7655" s="2">
        <f>HYPERLINK("http://mcb-m6.bioreg.kyushu-u.ac.jp/M3/20110411/F50895/1475/1", 74.69)</f>
        <v>74.69</v>
      </c>
      <c r="E7655" s="2">
        <v>56.12</v>
      </c>
      <c r="F7655" s="2">
        <v>2</v>
      </c>
      <c r="G7655" s="2" t="s">
        <v>9</v>
      </c>
    </row>
    <row r="7656" spans="1:9" x14ac:dyDescent="0.2">
      <c r="A7656" s="2" t="s">
        <v>3250</v>
      </c>
      <c r="B7656" s="2" t="s">
        <v>561</v>
      </c>
      <c r="C7656" s="2">
        <v>662.93910000000005</v>
      </c>
      <c r="D7656" s="2">
        <f>HYPERLINK("http://mcb-m6.bioreg.kyushu-u.ac.jp/M3/20110411/F50903/1656/1", 75.53)</f>
        <v>75.53</v>
      </c>
      <c r="E7656" s="2">
        <v>51.4</v>
      </c>
      <c r="F7656" s="2">
        <v>2</v>
      </c>
      <c r="G7656" s="2" t="s">
        <v>9</v>
      </c>
      <c r="H7656" s="2" t="s">
        <v>4919</v>
      </c>
    </row>
    <row r="7657" spans="1:9" x14ac:dyDescent="0.2">
      <c r="A7657" s="2" t="s">
        <v>3250</v>
      </c>
      <c r="B7657" s="2" t="s">
        <v>467</v>
      </c>
      <c r="C7657" s="2">
        <v>1382.6310000000001</v>
      </c>
      <c r="D7657" s="2">
        <f>HYPERLINK("http://mcb-m6.bioreg.kyushu-u.ac.jp/M3/20110411/F50916/1628/1", 75.71)</f>
        <v>75.709999999999994</v>
      </c>
      <c r="E7657" s="2">
        <v>57.9</v>
      </c>
      <c r="F7657" s="2">
        <v>1</v>
      </c>
      <c r="G7657" s="2" t="s">
        <v>9</v>
      </c>
    </row>
    <row r="7658" spans="1:9" x14ac:dyDescent="0.2">
      <c r="A7658" s="2" t="s">
        <v>3250</v>
      </c>
      <c r="B7658" s="2" t="s">
        <v>90</v>
      </c>
      <c r="C7658" s="2">
        <v>1433.413</v>
      </c>
      <c r="D7658" s="2">
        <f>HYPERLINK("http://mcb-m6.bioreg.kyushu-u.ac.jp/M3/20110411/F50895/1972/1", 76.35)</f>
        <v>76.349999999999994</v>
      </c>
      <c r="E7658" s="2">
        <v>44.4</v>
      </c>
      <c r="F7658" s="2">
        <v>1</v>
      </c>
      <c r="G7658" s="2" t="s">
        <v>9</v>
      </c>
    </row>
    <row r="7659" spans="1:9" x14ac:dyDescent="0.2">
      <c r="A7659" s="2" t="s">
        <v>3250</v>
      </c>
      <c r="B7659" s="2" t="s">
        <v>467</v>
      </c>
      <c r="C7659" s="2">
        <v>692.29520000000002</v>
      </c>
      <c r="D7659" s="2">
        <f>HYPERLINK("http://mcb-m6.bioreg.kyushu-u.ac.jp/M3/20110411/F50890/1916/1", 77.9)</f>
        <v>77.900000000000006</v>
      </c>
      <c r="E7659" s="2">
        <v>45.21</v>
      </c>
      <c r="F7659" s="2">
        <v>2</v>
      </c>
      <c r="G7659" s="2" t="s">
        <v>9</v>
      </c>
    </row>
    <row r="7660" spans="1:9" x14ac:dyDescent="0.2">
      <c r="A7660" s="2" t="s">
        <v>3250</v>
      </c>
      <c r="B7660" s="2" t="s">
        <v>561</v>
      </c>
      <c r="C7660" s="2">
        <v>654.67319999999995</v>
      </c>
      <c r="D7660" s="2">
        <f>HYPERLINK("http://mcb-m6.bioreg.kyushu-u.ac.jp/M3/20110411/F50895/1653/1", 78.27)</f>
        <v>78.27</v>
      </c>
      <c r="E7660" s="2">
        <v>58.61</v>
      </c>
      <c r="F7660" s="2">
        <v>2</v>
      </c>
      <c r="G7660" s="2" t="s">
        <v>9</v>
      </c>
    </row>
    <row r="7661" spans="1:9" x14ac:dyDescent="0.2">
      <c r="A7661" s="2" t="s">
        <v>3250</v>
      </c>
      <c r="B7661" s="2" t="s">
        <v>77</v>
      </c>
      <c r="C7661" s="2">
        <v>574.8057</v>
      </c>
      <c r="D7661" s="2">
        <f>HYPERLINK("http://mcb-m6.bioreg.kyushu-u.ac.jp/M3/20110411/F50916/1066/1", 78.81)</f>
        <v>78.81</v>
      </c>
      <c r="E7661" s="2">
        <v>51.77</v>
      </c>
      <c r="F7661" s="2">
        <v>2</v>
      </c>
      <c r="G7661" s="2" t="s">
        <v>9</v>
      </c>
    </row>
    <row r="7662" spans="1:9" x14ac:dyDescent="0.2">
      <c r="A7662" s="2" t="s">
        <v>3250</v>
      </c>
      <c r="B7662" s="2" t="s">
        <v>356</v>
      </c>
      <c r="C7662" s="2">
        <v>815.93960000000004</v>
      </c>
      <c r="D7662" s="2">
        <f>HYPERLINK("http://mcb-m6.bioreg.kyushu-u.ac.jp/M3/20110411/F50916/2301/1", 79.15)</f>
        <v>79.150000000000006</v>
      </c>
      <c r="E7662" s="2">
        <v>61.24</v>
      </c>
      <c r="F7662" s="2">
        <v>2</v>
      </c>
      <c r="G7662" s="2" t="s">
        <v>9</v>
      </c>
    </row>
    <row r="7663" spans="1:9" x14ac:dyDescent="0.2">
      <c r="A7663" s="2" t="s">
        <v>3250</v>
      </c>
      <c r="B7663" s="2" t="s">
        <v>356</v>
      </c>
      <c r="C7663" s="2">
        <v>815.99620000000004</v>
      </c>
      <c r="D7663" s="2">
        <f>HYPERLINK("http://mcb-m6.bioreg.kyushu-u.ac.jp/M3/20110411/F50916/2304/1", 81.02)</f>
        <v>81.02</v>
      </c>
      <c r="E7663" s="2">
        <v>66.45</v>
      </c>
      <c r="F7663" s="2">
        <v>2</v>
      </c>
      <c r="G7663" s="2" t="s">
        <v>9</v>
      </c>
    </row>
    <row r="7664" spans="1:9" x14ac:dyDescent="0.2">
      <c r="A7664" s="2" t="s">
        <v>3250</v>
      </c>
      <c r="B7664" s="2" t="s">
        <v>90</v>
      </c>
      <c r="C7664" s="2">
        <v>716.80820000000006</v>
      </c>
      <c r="D7664" s="2">
        <f>HYPERLINK("http://mcb-m6.bioreg.kyushu-u.ac.jp/M3/20110411/F50892/2099/1", 81.33)</f>
        <v>81.33</v>
      </c>
      <c r="E7664" s="2">
        <v>63</v>
      </c>
      <c r="F7664" s="2">
        <v>2</v>
      </c>
      <c r="G7664" s="2" t="s">
        <v>9</v>
      </c>
    </row>
    <row r="7665" spans="1:9" x14ac:dyDescent="0.2">
      <c r="A7665" s="2" t="s">
        <v>3250</v>
      </c>
      <c r="B7665" s="2" t="s">
        <v>772</v>
      </c>
      <c r="C7665" s="2">
        <v>595.98019999999997</v>
      </c>
      <c r="D7665" s="2">
        <f>HYPERLINK("http://mcb-m6.bioreg.kyushu-u.ac.jp/M3/20110411/F50911/1375/1", 81.41)</f>
        <v>81.41</v>
      </c>
      <c r="E7665" s="2">
        <v>54.87</v>
      </c>
      <c r="F7665" s="2">
        <v>2</v>
      </c>
      <c r="G7665" s="2" t="s">
        <v>9</v>
      </c>
    </row>
    <row r="7666" spans="1:9" x14ac:dyDescent="0.2">
      <c r="A7666" s="2" t="s">
        <v>3250</v>
      </c>
      <c r="B7666" s="2" t="s">
        <v>1065</v>
      </c>
      <c r="C7666" s="2">
        <v>716.82820000000004</v>
      </c>
      <c r="D7666" s="2">
        <f>HYPERLINK("http://mcb-m6.bioreg.kyushu-u.ac.jp/M3/20110411/F50889/2173/1", 81.63)</f>
        <v>81.63</v>
      </c>
      <c r="E7666" s="2">
        <v>69.37</v>
      </c>
      <c r="F7666" s="2">
        <v>2</v>
      </c>
      <c r="G7666" s="2" t="s">
        <v>9</v>
      </c>
      <c r="I7666" s="2" t="s">
        <v>4892</v>
      </c>
    </row>
    <row r="7667" spans="1:9" x14ac:dyDescent="0.2">
      <c r="A7667" s="2" t="s">
        <v>3250</v>
      </c>
      <c r="B7667" s="2" t="s">
        <v>772</v>
      </c>
      <c r="C7667" s="2">
        <v>596.16420000000005</v>
      </c>
      <c r="D7667" s="2">
        <f>HYPERLINK("http://mcb-m6.bioreg.kyushu-u.ac.jp/M3/20110411/F50893/1609/1", 81.65)</f>
        <v>81.650000000000006</v>
      </c>
      <c r="E7667" s="2">
        <v>56.71</v>
      </c>
      <c r="F7667" s="2">
        <v>2</v>
      </c>
      <c r="G7667" s="2" t="s">
        <v>9</v>
      </c>
    </row>
    <row r="7668" spans="1:9" x14ac:dyDescent="0.2">
      <c r="A7668" s="2" t="s">
        <v>3250</v>
      </c>
      <c r="B7668" s="2" t="s">
        <v>1065</v>
      </c>
      <c r="C7668" s="2">
        <v>717.08920000000001</v>
      </c>
      <c r="D7668" s="2">
        <f>HYPERLINK("http://mcb-m6.bioreg.kyushu-u.ac.jp/M3/20110411/F50904/1925/1", 81.8)</f>
        <v>81.8</v>
      </c>
      <c r="E7668" s="2">
        <v>63.01</v>
      </c>
      <c r="F7668" s="2">
        <v>2</v>
      </c>
      <c r="G7668" s="2" t="s">
        <v>9</v>
      </c>
      <c r="I7668" s="2" t="s">
        <v>4892</v>
      </c>
    </row>
    <row r="7669" spans="1:9" x14ac:dyDescent="0.2">
      <c r="A7669" s="2" t="s">
        <v>3250</v>
      </c>
      <c r="B7669" s="2" t="s">
        <v>1255</v>
      </c>
      <c r="C7669" s="2">
        <v>1274.1790000000001</v>
      </c>
      <c r="D7669" s="2">
        <f>HYPERLINK("http://mcb-m6.bioreg.kyushu-u.ac.jp/M3/20110411/F50895/3818/1", 82.11)</f>
        <v>82.11</v>
      </c>
      <c r="E7669" s="2">
        <v>73.19</v>
      </c>
      <c r="F7669" s="2">
        <v>2</v>
      </c>
      <c r="G7669" s="2" t="s">
        <v>9</v>
      </c>
      <c r="I7669" s="2" t="s">
        <v>4906</v>
      </c>
    </row>
    <row r="7670" spans="1:9" x14ac:dyDescent="0.2">
      <c r="A7670" s="2" t="s">
        <v>3250</v>
      </c>
      <c r="B7670" s="2" t="s">
        <v>503</v>
      </c>
      <c r="C7670" s="2">
        <v>808.8972</v>
      </c>
      <c r="D7670" s="2">
        <f>HYPERLINK("http://mcb-m6.bioreg.kyushu-u.ac.jp/M3/20110411/F50916/2266/1", 82.52)</f>
        <v>82.52</v>
      </c>
      <c r="E7670" s="2">
        <v>69.03</v>
      </c>
      <c r="F7670" s="2">
        <v>2</v>
      </c>
      <c r="G7670" s="2" t="s">
        <v>9</v>
      </c>
    </row>
    <row r="7671" spans="1:9" x14ac:dyDescent="0.2">
      <c r="A7671" s="2" t="s">
        <v>3250</v>
      </c>
      <c r="B7671" s="2" t="s">
        <v>481</v>
      </c>
      <c r="C7671" s="2">
        <v>709.52760000000001</v>
      </c>
      <c r="D7671" s="2">
        <f>HYPERLINK("http://mcb-m6.bioreg.kyushu-u.ac.jp/M3/20110411/F50904/1879/1", 82.88)</f>
        <v>82.88</v>
      </c>
      <c r="E7671" s="2">
        <v>52.43</v>
      </c>
      <c r="F7671" s="2">
        <v>2</v>
      </c>
      <c r="G7671" s="2" t="s">
        <v>9</v>
      </c>
      <c r="I7671" s="2" t="s">
        <v>4898</v>
      </c>
    </row>
    <row r="7672" spans="1:9" x14ac:dyDescent="0.2">
      <c r="A7672" s="2" t="s">
        <v>3250</v>
      </c>
      <c r="B7672" s="2" t="s">
        <v>561</v>
      </c>
      <c r="C7672" s="2">
        <v>662.4692</v>
      </c>
      <c r="D7672" s="2">
        <f>HYPERLINK("http://mcb-m6.bioreg.kyushu-u.ac.jp/M3/20110411/F50895/1682/1", 83.68)</f>
        <v>83.68</v>
      </c>
      <c r="E7672" s="2">
        <v>60.99</v>
      </c>
      <c r="F7672" s="2">
        <v>2</v>
      </c>
      <c r="G7672" s="2" t="s">
        <v>9</v>
      </c>
      <c r="H7672" s="2" t="s">
        <v>4919</v>
      </c>
    </row>
    <row r="7673" spans="1:9" x14ac:dyDescent="0.2">
      <c r="A7673" s="2" t="s">
        <v>3250</v>
      </c>
      <c r="B7673" s="2" t="s">
        <v>365</v>
      </c>
      <c r="C7673" s="2">
        <v>1696.9380000000001</v>
      </c>
      <c r="D7673" s="2">
        <f>HYPERLINK("http://mcb-m6.bioreg.kyushu-u.ac.jp/M3/20110411/F50916/2456/1", 83.85)</f>
        <v>83.85</v>
      </c>
      <c r="E7673" s="2">
        <v>70.14</v>
      </c>
      <c r="F7673" s="2">
        <v>1</v>
      </c>
      <c r="G7673" s="2" t="s">
        <v>9</v>
      </c>
    </row>
    <row r="7674" spans="1:9" x14ac:dyDescent="0.2">
      <c r="A7674" s="2" t="s">
        <v>3250</v>
      </c>
      <c r="B7674" s="2" t="s">
        <v>561</v>
      </c>
      <c r="C7674" s="2">
        <v>662.78420000000006</v>
      </c>
      <c r="D7674" s="2">
        <f>HYPERLINK("http://mcb-m6.bioreg.kyushu-u.ac.jp/M3/20110411/F50904/1660/1", 83.93)</f>
        <v>83.93</v>
      </c>
      <c r="E7674" s="2">
        <v>66.55</v>
      </c>
      <c r="F7674" s="2">
        <v>2</v>
      </c>
      <c r="G7674" s="2" t="s">
        <v>9</v>
      </c>
      <c r="H7674" s="2" t="s">
        <v>4919</v>
      </c>
    </row>
    <row r="7675" spans="1:9" x14ac:dyDescent="0.2">
      <c r="A7675" s="2" t="s">
        <v>3250</v>
      </c>
      <c r="B7675" s="2" t="s">
        <v>1065</v>
      </c>
      <c r="C7675" s="2">
        <v>717.01670000000001</v>
      </c>
      <c r="D7675" s="2">
        <f>HYPERLINK("http://mcb-m6.bioreg.kyushu-u.ac.jp/M3/20110411/F50911/1961/1", 83.95)</f>
        <v>83.95</v>
      </c>
      <c r="E7675" s="2">
        <v>68.81</v>
      </c>
      <c r="F7675" s="2">
        <v>2</v>
      </c>
      <c r="G7675" s="2" t="s">
        <v>9</v>
      </c>
      <c r="I7675" s="2" t="s">
        <v>4892</v>
      </c>
    </row>
    <row r="7676" spans="1:9" x14ac:dyDescent="0.2">
      <c r="A7676" s="2" t="s">
        <v>3250</v>
      </c>
      <c r="B7676" s="2" t="s">
        <v>481</v>
      </c>
      <c r="C7676" s="2">
        <v>709.56960000000004</v>
      </c>
      <c r="D7676" s="2">
        <f>HYPERLINK("http://mcb-m6.bioreg.kyushu-u.ac.jp/M3/20110411/F50911/1920/1", 84.06)</f>
        <v>84.06</v>
      </c>
      <c r="E7676" s="2">
        <v>60.21</v>
      </c>
      <c r="F7676" s="2">
        <v>2</v>
      </c>
      <c r="G7676" s="2" t="s">
        <v>9</v>
      </c>
      <c r="I7676" s="2" t="s">
        <v>4898</v>
      </c>
    </row>
    <row r="7677" spans="1:9" x14ac:dyDescent="0.2">
      <c r="A7677" s="2" t="s">
        <v>3250</v>
      </c>
      <c r="B7677" s="2" t="s">
        <v>1255</v>
      </c>
      <c r="C7677" s="2">
        <v>1274.1659999999999</v>
      </c>
      <c r="D7677" s="2">
        <f>HYPERLINK("http://mcb-m6.bioreg.kyushu-u.ac.jp/M3/20110411/F50911/4106/1", 84.41)</f>
        <v>84.41</v>
      </c>
      <c r="E7677" s="2">
        <v>70.47</v>
      </c>
      <c r="F7677" s="2">
        <v>2</v>
      </c>
      <c r="G7677" s="2" t="s">
        <v>9</v>
      </c>
      <c r="I7677" s="2" t="s">
        <v>4906</v>
      </c>
    </row>
    <row r="7678" spans="1:9" x14ac:dyDescent="0.2">
      <c r="A7678" s="2" t="s">
        <v>3250</v>
      </c>
      <c r="B7678" s="2" t="s">
        <v>772</v>
      </c>
      <c r="C7678" s="2">
        <v>595.83370000000002</v>
      </c>
      <c r="D7678" s="2">
        <f>HYPERLINK("http://mcb-m6.bioreg.kyushu-u.ac.jp/M3/20110411/F50894/1745/1", 86.79)</f>
        <v>86.79</v>
      </c>
      <c r="E7678" s="2">
        <v>57.01</v>
      </c>
      <c r="F7678" s="2">
        <v>2</v>
      </c>
      <c r="G7678" s="2" t="s">
        <v>9</v>
      </c>
    </row>
    <row r="7679" spans="1:9" x14ac:dyDescent="0.2">
      <c r="A7679" s="2" t="s">
        <v>3250</v>
      </c>
      <c r="B7679" s="2" t="s">
        <v>481</v>
      </c>
      <c r="C7679" s="2">
        <v>709.34770000000003</v>
      </c>
      <c r="D7679" s="2">
        <f>HYPERLINK("http://mcb-m6.bioreg.kyushu-u.ac.jp/M3/20110411/F50889/2145/1", 86.87)</f>
        <v>86.87</v>
      </c>
      <c r="E7679" s="2">
        <v>63.83</v>
      </c>
      <c r="F7679" s="2">
        <v>2</v>
      </c>
      <c r="G7679" s="2" t="s">
        <v>9</v>
      </c>
      <c r="I7679" s="2" t="s">
        <v>4898</v>
      </c>
    </row>
    <row r="7680" spans="1:9" x14ac:dyDescent="0.2">
      <c r="A7680" s="2" t="s">
        <v>3250</v>
      </c>
      <c r="B7680" s="2" t="s">
        <v>30</v>
      </c>
      <c r="C7680" s="2">
        <v>964.99270000000001</v>
      </c>
      <c r="D7680" s="2">
        <f>HYPERLINK("http://mcb-m6.bioreg.kyushu-u.ac.jp/M3/20110411/F50916/2973/1", 86.9)</f>
        <v>86.9</v>
      </c>
      <c r="E7680" s="2">
        <v>78.290000000000006</v>
      </c>
      <c r="F7680" s="2">
        <v>2</v>
      </c>
      <c r="G7680" s="2" t="s">
        <v>9</v>
      </c>
      <c r="I7680" s="2" t="s">
        <v>4894</v>
      </c>
    </row>
    <row r="7681" spans="1:9" x14ac:dyDescent="0.2">
      <c r="A7681" s="2" t="s">
        <v>3250</v>
      </c>
      <c r="B7681" s="2" t="s">
        <v>1065</v>
      </c>
      <c r="C7681" s="2">
        <v>717.04110000000003</v>
      </c>
      <c r="D7681" s="2">
        <f>HYPERLINK("http://mcb-m6.bioreg.kyushu-u.ac.jp/M3/20110411/F50895/1970/1", 87.58)</f>
        <v>87.58</v>
      </c>
      <c r="E7681" s="2">
        <v>71.87</v>
      </c>
      <c r="F7681" s="2">
        <v>2</v>
      </c>
      <c r="G7681" s="2" t="s">
        <v>9</v>
      </c>
      <c r="I7681" s="2" t="s">
        <v>4892</v>
      </c>
    </row>
    <row r="7682" spans="1:9" x14ac:dyDescent="0.2">
      <c r="A7682" s="2" t="s">
        <v>3250</v>
      </c>
      <c r="B7682" s="2" t="s">
        <v>1065</v>
      </c>
      <c r="C7682" s="2">
        <v>716.96559999999999</v>
      </c>
      <c r="D7682" s="2">
        <f>HYPERLINK("http://mcb-m6.bioreg.kyushu-u.ac.jp/M3/20110411/F50916/1786/1", 87.78)</f>
        <v>87.78</v>
      </c>
      <c r="E7682" s="2">
        <v>76.41</v>
      </c>
      <c r="F7682" s="2">
        <v>2</v>
      </c>
      <c r="G7682" s="2" t="s">
        <v>9</v>
      </c>
      <c r="I7682" s="2" t="s">
        <v>4892</v>
      </c>
    </row>
    <row r="7683" spans="1:9" x14ac:dyDescent="0.2">
      <c r="A7683" s="2" t="s">
        <v>3250</v>
      </c>
      <c r="B7683" s="2" t="s">
        <v>1521</v>
      </c>
      <c r="C7683" s="2">
        <v>989.07069999999999</v>
      </c>
      <c r="D7683" s="2">
        <f>HYPERLINK("http://mcb-m6.bioreg.kyushu-u.ac.jp/M3/20110411/F50916/3088/1", 87.88)</f>
        <v>87.88</v>
      </c>
      <c r="E7683" s="2">
        <v>65.11</v>
      </c>
      <c r="F7683" s="2">
        <v>2</v>
      </c>
      <c r="G7683" s="2" t="s">
        <v>9</v>
      </c>
    </row>
    <row r="7684" spans="1:9" x14ac:dyDescent="0.2">
      <c r="A7684" s="2" t="s">
        <v>3250</v>
      </c>
      <c r="B7684" s="2" t="s">
        <v>90</v>
      </c>
      <c r="C7684" s="2">
        <v>717.34059999999999</v>
      </c>
      <c r="D7684" s="2">
        <f>HYPERLINK("http://mcb-m6.bioreg.kyushu-u.ac.jp/M3/20110411/F50916/1793/1", 88.21)</f>
        <v>88.21</v>
      </c>
      <c r="E7684" s="2">
        <v>68.3</v>
      </c>
      <c r="F7684" s="2">
        <v>2</v>
      </c>
      <c r="G7684" s="2" t="s">
        <v>9</v>
      </c>
    </row>
    <row r="7685" spans="1:9" x14ac:dyDescent="0.2">
      <c r="A7685" s="2" t="s">
        <v>3250</v>
      </c>
      <c r="B7685" s="2" t="s">
        <v>561</v>
      </c>
      <c r="C7685" s="2">
        <v>654.38120000000004</v>
      </c>
      <c r="D7685" s="2">
        <f>HYPERLINK("http://mcb-m6.bioreg.kyushu-u.ac.jp/M3/20110411/F50916/1409/1", 88.86)</f>
        <v>88.86</v>
      </c>
      <c r="E7685" s="2">
        <v>64.319999999999993</v>
      </c>
      <c r="F7685" s="2">
        <v>2</v>
      </c>
      <c r="G7685" s="2" t="s">
        <v>9</v>
      </c>
    </row>
    <row r="7686" spans="1:9" x14ac:dyDescent="0.2">
      <c r="A7686" s="2" t="s">
        <v>3250</v>
      </c>
      <c r="B7686" s="2" t="s">
        <v>90</v>
      </c>
      <c r="C7686" s="2">
        <v>1432.7049999999999</v>
      </c>
      <c r="D7686" s="2">
        <f>HYPERLINK("http://mcb-m6.bioreg.kyushu-u.ac.jp/M3/20110411/F50916/1784/1", 89.49)</f>
        <v>89.49</v>
      </c>
      <c r="E7686" s="2">
        <v>72.56</v>
      </c>
      <c r="F7686" s="2">
        <v>1</v>
      </c>
      <c r="G7686" s="2" t="s">
        <v>9</v>
      </c>
    </row>
    <row r="7687" spans="1:9" x14ac:dyDescent="0.2">
      <c r="A7687" s="2" t="s">
        <v>3250</v>
      </c>
      <c r="B7687" s="2" t="s">
        <v>888</v>
      </c>
      <c r="C7687" s="2">
        <v>1216.6489999999999</v>
      </c>
      <c r="D7687" s="2">
        <f>HYPERLINK("http://mcb-m6.bioreg.kyushu-u.ac.jp/M3/20110411/F50916/3746/1", 89.85)</f>
        <v>89.85</v>
      </c>
      <c r="E7687" s="2">
        <v>79.540000000000006</v>
      </c>
      <c r="F7687" s="2">
        <v>2</v>
      </c>
      <c r="G7687" s="2" t="s">
        <v>9</v>
      </c>
      <c r="I7687" s="2" t="s">
        <v>4895</v>
      </c>
    </row>
    <row r="7688" spans="1:9" x14ac:dyDescent="0.2">
      <c r="A7688" s="2" t="s">
        <v>3250</v>
      </c>
      <c r="B7688" s="2" t="s">
        <v>561</v>
      </c>
      <c r="C7688" s="2">
        <v>654.39009999999996</v>
      </c>
      <c r="D7688" s="2">
        <f>HYPERLINK("http://mcb-m6.bioreg.kyushu-u.ac.jp/M3/20110411/F50919/1246/1", 91.84)</f>
        <v>91.84</v>
      </c>
      <c r="E7688" s="2">
        <v>69.010000000000005</v>
      </c>
      <c r="F7688" s="2">
        <v>2</v>
      </c>
      <c r="G7688" s="2" t="s">
        <v>9</v>
      </c>
    </row>
    <row r="7689" spans="1:9" x14ac:dyDescent="0.2">
      <c r="A7689" s="2" t="s">
        <v>3250</v>
      </c>
      <c r="B7689" s="2" t="s">
        <v>467</v>
      </c>
      <c r="C7689" s="2">
        <v>692.39260000000002</v>
      </c>
      <c r="D7689" s="2">
        <f>HYPERLINK("http://mcb-m6.bioreg.kyushu-u.ac.jp/M3/20110411/F50916/1633/1", 92.58)</f>
        <v>92.58</v>
      </c>
      <c r="E7689" s="2">
        <v>57.2</v>
      </c>
      <c r="F7689" s="2">
        <v>2</v>
      </c>
      <c r="G7689" s="2" t="s">
        <v>9</v>
      </c>
    </row>
    <row r="7690" spans="1:9" x14ac:dyDescent="0.2">
      <c r="A7690" s="2" t="s">
        <v>3250</v>
      </c>
      <c r="B7690" s="2" t="s">
        <v>356</v>
      </c>
      <c r="C7690" s="2">
        <v>816.32569999999998</v>
      </c>
      <c r="D7690" s="2">
        <f>HYPERLINK("http://mcb-m6.bioreg.kyushu-u.ac.jp/M3/20110411/F50890/2593/1", 93.09)</f>
        <v>93.09</v>
      </c>
      <c r="E7690" s="2">
        <v>69.75</v>
      </c>
      <c r="F7690" s="2">
        <v>2</v>
      </c>
      <c r="G7690" s="2" t="s">
        <v>9</v>
      </c>
    </row>
    <row r="7691" spans="1:9" x14ac:dyDescent="0.2">
      <c r="A7691" s="2" t="s">
        <v>3250</v>
      </c>
      <c r="B7691" s="2" t="s">
        <v>356</v>
      </c>
      <c r="C7691" s="2">
        <v>1630.893</v>
      </c>
      <c r="D7691" s="2">
        <f>HYPERLINK("http://mcb-m6.bioreg.kyushu-u.ac.jp/M3/20110411/F50916/2302/1", 93.21)</f>
        <v>93.21</v>
      </c>
      <c r="E7691" s="2">
        <v>65.92</v>
      </c>
      <c r="F7691" s="2">
        <v>1</v>
      </c>
      <c r="G7691" s="2" t="s">
        <v>9</v>
      </c>
    </row>
    <row r="7692" spans="1:9" x14ac:dyDescent="0.2">
      <c r="A7692" s="2" t="s">
        <v>3250</v>
      </c>
      <c r="B7692" s="2" t="s">
        <v>356</v>
      </c>
      <c r="C7692" s="2">
        <v>816.45510000000002</v>
      </c>
      <c r="D7692" s="2">
        <f>HYPERLINK("http://mcb-m6.bioreg.kyushu-u.ac.jp/M3/20110411/F50916/2306/1", 94.84)</f>
        <v>94.84</v>
      </c>
      <c r="E7692" s="2">
        <v>78.739999999999995</v>
      </c>
      <c r="F7692" s="2">
        <v>2</v>
      </c>
      <c r="G7692" s="2" t="s">
        <v>9</v>
      </c>
    </row>
    <row r="7693" spans="1:9" x14ac:dyDescent="0.2">
      <c r="A7693" s="2" t="s">
        <v>3250</v>
      </c>
      <c r="B7693" s="2" t="s">
        <v>1581</v>
      </c>
      <c r="C7693" s="2">
        <v>1147.598</v>
      </c>
      <c r="D7693" s="2">
        <f>HYPERLINK("http://mcb-m6.bioreg.kyushu-u.ac.jp/M3/20110411/F50916/3577/1", 95)</f>
        <v>95</v>
      </c>
      <c r="E7693" s="2">
        <v>83.06</v>
      </c>
      <c r="F7693" s="2">
        <v>2</v>
      </c>
      <c r="G7693" s="2" t="s">
        <v>9</v>
      </c>
      <c r="I7693" s="2" t="s">
        <v>4895</v>
      </c>
    </row>
    <row r="7694" spans="1:9" x14ac:dyDescent="0.2">
      <c r="A7694" s="2" t="s">
        <v>3250</v>
      </c>
      <c r="B7694" s="2" t="s">
        <v>467</v>
      </c>
      <c r="C7694" s="2">
        <v>691.67470000000003</v>
      </c>
      <c r="D7694" s="2">
        <f>HYPERLINK("http://mcb-m6.bioreg.kyushu-u.ac.jp/M3/20110411/F50889/2085/1", 95.32)</f>
        <v>95.32</v>
      </c>
      <c r="E7694" s="2">
        <v>61.36</v>
      </c>
      <c r="F7694" s="2">
        <v>2</v>
      </c>
      <c r="G7694" s="2" t="s">
        <v>9</v>
      </c>
    </row>
    <row r="7695" spans="1:9" x14ac:dyDescent="0.2">
      <c r="A7695" s="2" t="s">
        <v>3250</v>
      </c>
      <c r="B7695" s="2" t="s">
        <v>561</v>
      </c>
      <c r="C7695" s="2">
        <v>662.45209999999997</v>
      </c>
      <c r="D7695" s="2">
        <f>HYPERLINK("http://mcb-m6.bioreg.kyushu-u.ac.jp/M3/20110411/F50915/1451/1", 95.53)</f>
        <v>95.53</v>
      </c>
      <c r="E7695" s="2">
        <v>73.959999999999994</v>
      </c>
      <c r="F7695" s="2">
        <v>2</v>
      </c>
      <c r="G7695" s="2" t="s">
        <v>9</v>
      </c>
      <c r="H7695" s="2" t="s">
        <v>4919</v>
      </c>
    </row>
    <row r="7696" spans="1:9" x14ac:dyDescent="0.2">
      <c r="A7696" s="2" t="s">
        <v>3250</v>
      </c>
      <c r="B7696" s="2" t="s">
        <v>561</v>
      </c>
      <c r="C7696" s="2">
        <v>662.78610000000003</v>
      </c>
      <c r="D7696" s="2">
        <f>HYPERLINK("http://mcb-m6.bioreg.kyushu-u.ac.jp/M3/20110411/F50891/1663/1", 95.75)</f>
        <v>95.75</v>
      </c>
      <c r="E7696" s="2">
        <v>73.989999999999995</v>
      </c>
      <c r="F7696" s="2">
        <v>2</v>
      </c>
      <c r="G7696" s="2" t="s">
        <v>9</v>
      </c>
      <c r="H7696" s="2" t="s">
        <v>4919</v>
      </c>
    </row>
    <row r="7697" spans="1:9" x14ac:dyDescent="0.2">
      <c r="A7697" s="2" t="s">
        <v>3250</v>
      </c>
      <c r="B7697" s="2" t="s">
        <v>467</v>
      </c>
      <c r="C7697" s="2">
        <v>692.28970000000004</v>
      </c>
      <c r="D7697" s="2">
        <f>HYPERLINK("http://mcb-m6.bioreg.kyushu-u.ac.jp/M3/20110411/F50894/2022/1", 96.3)</f>
        <v>96.3</v>
      </c>
      <c r="E7697" s="2">
        <v>62.26</v>
      </c>
      <c r="F7697" s="2">
        <v>2</v>
      </c>
      <c r="G7697" s="2" t="s">
        <v>9</v>
      </c>
    </row>
    <row r="7698" spans="1:9" x14ac:dyDescent="0.2">
      <c r="A7698" s="2" t="s">
        <v>3250</v>
      </c>
      <c r="B7698" s="2" t="s">
        <v>467</v>
      </c>
      <c r="C7698" s="2">
        <v>691.84010000000001</v>
      </c>
      <c r="D7698" s="2">
        <f>HYPERLINK("http://mcb-m6.bioreg.kyushu-u.ac.jp/M3/20110411/F50916/1629/1", 98.35)</f>
        <v>98.35</v>
      </c>
      <c r="E7698" s="2">
        <v>62.97</v>
      </c>
      <c r="F7698" s="2">
        <v>2</v>
      </c>
      <c r="G7698" s="2" t="s">
        <v>9</v>
      </c>
    </row>
    <row r="7699" spans="1:9" x14ac:dyDescent="0.2">
      <c r="A7699" s="2" t="s">
        <v>3250</v>
      </c>
      <c r="B7699" s="2" t="s">
        <v>1255</v>
      </c>
      <c r="C7699" s="2">
        <v>1274.106</v>
      </c>
      <c r="D7699" s="2">
        <f>HYPERLINK("http://mcb-m6.bioreg.kyushu-u.ac.jp/M3/20110411/F50916/3861/1", 100.93)</f>
        <v>100.93</v>
      </c>
      <c r="E7699" s="2">
        <v>87.15</v>
      </c>
      <c r="F7699" s="2">
        <v>2</v>
      </c>
      <c r="G7699" s="2" t="s">
        <v>9</v>
      </c>
      <c r="I7699" s="2" t="s">
        <v>4906</v>
      </c>
    </row>
    <row r="7700" spans="1:9" x14ac:dyDescent="0.2">
      <c r="A7700" s="2" t="s">
        <v>3250</v>
      </c>
      <c r="B7700" s="2" t="s">
        <v>356</v>
      </c>
      <c r="C7700" s="2">
        <v>816.12120000000004</v>
      </c>
      <c r="D7700" s="2">
        <f>HYPERLINK("http://mcb-m6.bioreg.kyushu-u.ac.jp/M3/20110411/F50904/2386/1", 107.52)</f>
        <v>107.52</v>
      </c>
      <c r="E7700" s="2">
        <v>85.16</v>
      </c>
      <c r="F7700" s="2">
        <v>2</v>
      </c>
      <c r="G7700" s="2" t="s">
        <v>9</v>
      </c>
    </row>
    <row r="7701" spans="1:9" x14ac:dyDescent="0.2">
      <c r="A7701" s="2" t="s">
        <v>3250</v>
      </c>
      <c r="B7701" s="2" t="s">
        <v>356</v>
      </c>
      <c r="C7701" s="2">
        <v>815.69460000000004</v>
      </c>
      <c r="D7701" s="2">
        <f>HYPERLINK("http://mcb-m6.bioreg.kyushu-u.ac.jp/M3/20110411/F50889/2463/1", 112.07)</f>
        <v>112.07</v>
      </c>
      <c r="E7701" s="2">
        <v>92.85</v>
      </c>
      <c r="F7701" s="2">
        <v>2</v>
      </c>
      <c r="G7701" s="2" t="s">
        <v>9</v>
      </c>
    </row>
    <row r="7702" spans="1:9" x14ac:dyDescent="0.2">
      <c r="A7702" s="2" t="s">
        <v>3250</v>
      </c>
      <c r="B7702" s="2" t="s">
        <v>356</v>
      </c>
      <c r="C7702" s="2">
        <v>816.41110000000003</v>
      </c>
      <c r="D7702" s="2">
        <f>HYPERLINK("http://mcb-m6.bioreg.kyushu-u.ac.jp/M3/20110411/F50893/2514/1", 112.78)</f>
        <v>112.78</v>
      </c>
      <c r="E7702" s="2">
        <v>82.45</v>
      </c>
      <c r="F7702" s="2">
        <v>2</v>
      </c>
      <c r="G7702" s="2" t="s">
        <v>9</v>
      </c>
    </row>
    <row r="7703" spans="1:9" x14ac:dyDescent="0.2">
      <c r="A7703" s="2" t="s">
        <v>3250</v>
      </c>
      <c r="B7703" s="2" t="s">
        <v>1665</v>
      </c>
      <c r="C7703" s="2">
        <v>1147.3440000000001</v>
      </c>
      <c r="D7703" s="2">
        <f>HYPERLINK("http://mcb-m6.bioreg.kyushu-u.ac.jp/M3/20110411/F50916/3576/1", 117.57)</f>
        <v>117.57</v>
      </c>
      <c r="E7703" s="2">
        <v>106.04</v>
      </c>
      <c r="F7703" s="2">
        <v>2</v>
      </c>
      <c r="G7703" s="2" t="s">
        <v>9</v>
      </c>
    </row>
    <row r="7704" spans="1:9" x14ac:dyDescent="0.2">
      <c r="A7704" s="2" t="s">
        <v>3250</v>
      </c>
      <c r="B7704" s="2" t="s">
        <v>351</v>
      </c>
      <c r="C7704" s="2">
        <v>861.66700000000003</v>
      </c>
      <c r="D7704" s="2">
        <f>HYPERLINK("http://mcb-m6.bioreg.kyushu-u.ac.jp/M3/20110411/F50897/715/1", 35.04)</f>
        <v>35.04</v>
      </c>
      <c r="E7704" s="2">
        <v>10.07</v>
      </c>
      <c r="F7704" s="2">
        <v>1</v>
      </c>
      <c r="G7704" s="2" t="s">
        <v>10</v>
      </c>
      <c r="I7704" s="2" t="s">
        <v>4899</v>
      </c>
    </row>
    <row r="7705" spans="1:9" x14ac:dyDescent="0.2">
      <c r="A7705" s="2" t="s">
        <v>3250</v>
      </c>
      <c r="B7705" s="2" t="s">
        <v>90</v>
      </c>
      <c r="C7705" s="2">
        <v>716.89170000000001</v>
      </c>
      <c r="D7705" s="2">
        <f>HYPERLINK("http://mcb-m6.bioreg.kyushu-u.ac.jp/M3/20110411/F50899/2145/1", 35.15)</f>
        <v>35.15</v>
      </c>
      <c r="E7705" s="2">
        <v>13.83</v>
      </c>
      <c r="F7705" s="2">
        <v>2</v>
      </c>
      <c r="G7705" s="2" t="s">
        <v>10</v>
      </c>
    </row>
    <row r="7706" spans="1:9" x14ac:dyDescent="0.2">
      <c r="A7706" s="2" t="s">
        <v>3250</v>
      </c>
      <c r="B7706" s="2" t="s">
        <v>617</v>
      </c>
      <c r="C7706" s="2">
        <v>686.58619999999996</v>
      </c>
      <c r="D7706" s="2">
        <f>HYPERLINK("http://mcb-m6.bioreg.kyushu-u.ac.jp/M3/20110411/F50902/1784/1", 35.26)</f>
        <v>35.26</v>
      </c>
      <c r="E7706" s="2">
        <v>16.34</v>
      </c>
      <c r="F7706" s="2">
        <v>2</v>
      </c>
      <c r="G7706" s="2" t="s">
        <v>10</v>
      </c>
    </row>
    <row r="7707" spans="1:9" x14ac:dyDescent="0.2">
      <c r="A7707" s="2" t="s">
        <v>3250</v>
      </c>
      <c r="B7707" s="2" t="s">
        <v>90</v>
      </c>
      <c r="C7707" s="2">
        <v>716.91859999999997</v>
      </c>
      <c r="D7707" s="2">
        <f>HYPERLINK("http://mcb-m6.bioreg.kyushu-u.ac.jp/M3/20110411/F50918/1764/1", 35.36)</f>
        <v>35.36</v>
      </c>
      <c r="E7707" s="2">
        <v>23.67</v>
      </c>
      <c r="F7707" s="2">
        <v>2</v>
      </c>
      <c r="G7707" s="2" t="s">
        <v>10</v>
      </c>
    </row>
    <row r="7708" spans="1:9" x14ac:dyDescent="0.2">
      <c r="A7708" s="2" t="s">
        <v>3250</v>
      </c>
      <c r="B7708" s="2" t="s">
        <v>142</v>
      </c>
      <c r="C7708" s="2">
        <v>847.60500000000002</v>
      </c>
      <c r="D7708" s="2">
        <f>HYPERLINK("http://mcb-m6.bioreg.kyushu-u.ac.jp/M3/20110411/F50902/939/1", 35.55)</f>
        <v>35.549999999999997</v>
      </c>
      <c r="E7708" s="2">
        <v>10.47</v>
      </c>
      <c r="F7708" s="2">
        <v>1</v>
      </c>
      <c r="G7708" s="2" t="s">
        <v>10</v>
      </c>
    </row>
    <row r="7709" spans="1:9" x14ac:dyDescent="0.2">
      <c r="A7709" s="2" t="s">
        <v>3250</v>
      </c>
      <c r="B7709" s="2" t="s">
        <v>834</v>
      </c>
      <c r="C7709" s="2">
        <v>1242.777</v>
      </c>
      <c r="D7709" s="2">
        <f>HYPERLINK("http://mcb-m6.bioreg.kyushu-u.ac.jp/M3/20110411/F50900/1729/1", 35.88)</f>
        <v>35.880000000000003</v>
      </c>
      <c r="E7709" s="2">
        <v>17.899999999999999</v>
      </c>
      <c r="F7709" s="2">
        <v>1</v>
      </c>
      <c r="G7709" s="2" t="s">
        <v>10</v>
      </c>
    </row>
    <row r="7710" spans="1:9" x14ac:dyDescent="0.2">
      <c r="A7710" s="2" t="s">
        <v>3250</v>
      </c>
      <c r="B7710" s="2" t="s">
        <v>834</v>
      </c>
      <c r="C7710" s="2">
        <v>1242.944</v>
      </c>
      <c r="D7710" s="2">
        <f>HYPERLINK("http://mcb-m6.bioreg.kyushu-u.ac.jp/M3/20110411/F50901/1576/1", 36.02)</f>
        <v>36.020000000000003</v>
      </c>
      <c r="E7710" s="2">
        <v>19.559999999999999</v>
      </c>
      <c r="F7710" s="2">
        <v>1</v>
      </c>
      <c r="G7710" s="2" t="s">
        <v>10</v>
      </c>
    </row>
    <row r="7711" spans="1:9" x14ac:dyDescent="0.2">
      <c r="A7711" s="2" t="s">
        <v>3250</v>
      </c>
      <c r="B7711" s="2" t="s">
        <v>77</v>
      </c>
      <c r="C7711" s="2">
        <v>1148.6659999999999</v>
      </c>
      <c r="D7711" s="2">
        <f>HYPERLINK("http://mcb-m6.bioreg.kyushu-u.ac.jp/M3/20110411/F50918/1047/1", 36.39)</f>
        <v>36.39</v>
      </c>
      <c r="E7711" s="2">
        <v>24.66</v>
      </c>
      <c r="F7711" s="2">
        <v>1</v>
      </c>
      <c r="G7711" s="2" t="s">
        <v>10</v>
      </c>
    </row>
    <row r="7712" spans="1:9" x14ac:dyDescent="0.2">
      <c r="A7712" s="2" t="s">
        <v>3250</v>
      </c>
      <c r="B7712" s="2" t="s">
        <v>142</v>
      </c>
      <c r="C7712" s="2">
        <v>847.99800000000005</v>
      </c>
      <c r="D7712" s="2">
        <f>HYPERLINK("http://mcb-m6.bioreg.kyushu-u.ac.jp/M3/20110411/F50900/1100/1", 36.78)</f>
        <v>36.78</v>
      </c>
      <c r="E7712" s="2">
        <v>14.33</v>
      </c>
      <c r="F7712" s="2">
        <v>1</v>
      </c>
      <c r="G7712" s="2" t="s">
        <v>10</v>
      </c>
    </row>
    <row r="7713" spans="1:9" x14ac:dyDescent="0.2">
      <c r="A7713" s="2" t="s">
        <v>3250</v>
      </c>
      <c r="B7713" s="2" t="s">
        <v>467</v>
      </c>
      <c r="C7713" s="2">
        <v>691.73109999999997</v>
      </c>
      <c r="D7713" s="2">
        <f>HYPERLINK("http://mcb-m6.bioreg.kyushu-u.ac.jp/M3/20110411/F50914/1846/1", 37.54)</f>
        <v>37.54</v>
      </c>
      <c r="E7713" s="2">
        <v>12.78</v>
      </c>
      <c r="F7713" s="2">
        <v>2</v>
      </c>
      <c r="G7713" s="2" t="s">
        <v>10</v>
      </c>
    </row>
    <row r="7714" spans="1:9" x14ac:dyDescent="0.2">
      <c r="A7714" s="2" t="s">
        <v>3250</v>
      </c>
      <c r="B7714" s="2" t="s">
        <v>356</v>
      </c>
      <c r="C7714" s="2">
        <v>816.36360000000002</v>
      </c>
      <c r="D7714" s="2">
        <f>HYPERLINK("http://mcb-m6.bioreg.kyushu-u.ac.jp/M3/20110411/F50898/2497/1", 37.72)</f>
        <v>37.72</v>
      </c>
      <c r="E7714" s="2">
        <v>26.29</v>
      </c>
      <c r="F7714" s="2">
        <v>2</v>
      </c>
      <c r="G7714" s="2" t="s">
        <v>10</v>
      </c>
    </row>
    <row r="7715" spans="1:9" x14ac:dyDescent="0.2">
      <c r="A7715" s="2" t="s">
        <v>3250</v>
      </c>
      <c r="B7715" s="2" t="s">
        <v>142</v>
      </c>
      <c r="C7715" s="2">
        <v>847.53399999999999</v>
      </c>
      <c r="D7715" s="2">
        <f>HYPERLINK("http://mcb-m6.bioreg.kyushu-u.ac.jp/M3/20110411/F50901/990/1", 38.03)</f>
        <v>38.03</v>
      </c>
      <c r="E7715" s="2">
        <v>12.9</v>
      </c>
      <c r="F7715" s="2">
        <v>1</v>
      </c>
      <c r="G7715" s="2" t="s">
        <v>10</v>
      </c>
    </row>
    <row r="7716" spans="1:9" x14ac:dyDescent="0.2">
      <c r="A7716" s="2" t="s">
        <v>3250</v>
      </c>
      <c r="B7716" s="2" t="s">
        <v>834</v>
      </c>
      <c r="C7716" s="2">
        <v>1243.8109999999999</v>
      </c>
      <c r="D7716" s="2">
        <f>HYPERLINK("http://mcb-m6.bioreg.kyushu-u.ac.jp/M3/20110411/F50901/1578/1", 38.16)</f>
        <v>38.159999999999997</v>
      </c>
      <c r="E7716" s="2">
        <v>19.489999999999998</v>
      </c>
      <c r="F7716" s="2">
        <v>1</v>
      </c>
      <c r="G7716" s="2" t="s">
        <v>10</v>
      </c>
    </row>
    <row r="7717" spans="1:9" x14ac:dyDescent="0.2">
      <c r="A7717" s="2" t="s">
        <v>3250</v>
      </c>
      <c r="B7717" s="2" t="s">
        <v>1765</v>
      </c>
      <c r="C7717" s="2">
        <v>1522.8009999999999</v>
      </c>
      <c r="D7717" s="2">
        <f>HYPERLINK("http://mcb-m6.bioreg.kyushu-u.ac.jp/M3/20110411/F50917/2085/1", 38.26)</f>
        <v>38.26</v>
      </c>
      <c r="E7717" s="2">
        <v>16.59</v>
      </c>
      <c r="F7717" s="2">
        <v>1</v>
      </c>
      <c r="G7717" s="2" t="s">
        <v>10</v>
      </c>
    </row>
    <row r="7718" spans="1:9" x14ac:dyDescent="0.2">
      <c r="A7718" s="2" t="s">
        <v>3250</v>
      </c>
      <c r="B7718" s="2" t="s">
        <v>543</v>
      </c>
      <c r="C7718" s="2">
        <v>926.69920000000002</v>
      </c>
      <c r="D7718" s="2">
        <f>HYPERLINK("http://mcb-m6.bioreg.kyushu-u.ac.jp/M3/20110411/F50912/2890/1", 38.35)</f>
        <v>38.35</v>
      </c>
      <c r="E7718" s="2">
        <v>23.02</v>
      </c>
      <c r="F7718" s="2">
        <v>2</v>
      </c>
      <c r="G7718" s="2" t="s">
        <v>10</v>
      </c>
    </row>
    <row r="7719" spans="1:9" x14ac:dyDescent="0.2">
      <c r="A7719" s="2" t="s">
        <v>3250</v>
      </c>
      <c r="B7719" s="2" t="s">
        <v>1787</v>
      </c>
      <c r="C7719" s="2">
        <v>1175.6320000000001</v>
      </c>
      <c r="D7719" s="2">
        <f>HYPERLINK("http://mcb-m6.bioreg.kyushu-u.ac.jp/M3/20110411/F50914/1395/1", 39.24)</f>
        <v>39.24</v>
      </c>
      <c r="E7719" s="2">
        <v>16.850000000000001</v>
      </c>
      <c r="F7719" s="2">
        <v>1</v>
      </c>
      <c r="G7719" s="2" t="s">
        <v>10</v>
      </c>
      <c r="I7719" s="2" t="s">
        <v>4895</v>
      </c>
    </row>
    <row r="7720" spans="1:9" x14ac:dyDescent="0.2">
      <c r="A7720" s="2" t="s">
        <v>3250</v>
      </c>
      <c r="B7720" s="2" t="s">
        <v>1787</v>
      </c>
      <c r="C7720" s="2">
        <v>1176.2090000000001</v>
      </c>
      <c r="D7720" s="2">
        <f>HYPERLINK("http://mcb-m6.bioreg.kyushu-u.ac.jp/M3/20110411/F50917/1188/1", 39.29)</f>
        <v>39.29</v>
      </c>
      <c r="E7720" s="2">
        <v>8.6199999999999992</v>
      </c>
      <c r="F7720" s="2">
        <v>1</v>
      </c>
      <c r="G7720" s="2" t="s">
        <v>10</v>
      </c>
      <c r="I7720" s="2" t="s">
        <v>4895</v>
      </c>
    </row>
    <row r="7721" spans="1:9" x14ac:dyDescent="0.2">
      <c r="A7721" s="2" t="s">
        <v>3250</v>
      </c>
      <c r="B7721" s="2" t="s">
        <v>561</v>
      </c>
      <c r="C7721" s="2">
        <v>1307.8610000000001</v>
      </c>
      <c r="D7721" s="2">
        <f>HYPERLINK("http://mcb-m6.bioreg.kyushu-u.ac.jp/M3/20110411/F50902/1652/1", 39.51)</f>
        <v>39.51</v>
      </c>
      <c r="E7721" s="2">
        <v>27.35</v>
      </c>
      <c r="F7721" s="2">
        <v>1</v>
      </c>
      <c r="G7721" s="2" t="s">
        <v>10</v>
      </c>
    </row>
    <row r="7722" spans="1:9" x14ac:dyDescent="0.2">
      <c r="A7722" s="2" t="s">
        <v>3250</v>
      </c>
      <c r="B7722" s="2" t="s">
        <v>77</v>
      </c>
      <c r="C7722" s="2">
        <v>575.17070000000001</v>
      </c>
      <c r="D7722" s="2">
        <f>HYPERLINK("http://mcb-m6.bioreg.kyushu-u.ac.jp/M3/20110411/F50897/1248/1", 39.85)</f>
        <v>39.85</v>
      </c>
      <c r="E7722" s="2">
        <v>18.89</v>
      </c>
      <c r="F7722" s="2">
        <v>2</v>
      </c>
      <c r="G7722" s="2" t="s">
        <v>10</v>
      </c>
    </row>
    <row r="7723" spans="1:9" x14ac:dyDescent="0.2">
      <c r="A7723" s="2" t="s">
        <v>3250</v>
      </c>
      <c r="B7723" s="2" t="s">
        <v>351</v>
      </c>
      <c r="C7723" s="2">
        <v>861.74099999999999</v>
      </c>
      <c r="D7723" s="2">
        <f>HYPERLINK("http://mcb-m6.bioreg.kyushu-u.ac.jp/M3/20110411/F50901/1006/1", 39.94)</f>
        <v>39.94</v>
      </c>
      <c r="E7723" s="2">
        <v>17.309999999999999</v>
      </c>
      <c r="F7723" s="2">
        <v>1</v>
      </c>
      <c r="G7723" s="2" t="s">
        <v>10</v>
      </c>
      <c r="I7723" s="2" t="s">
        <v>4899</v>
      </c>
    </row>
    <row r="7724" spans="1:9" x14ac:dyDescent="0.2">
      <c r="A7724" s="2" t="s">
        <v>3250</v>
      </c>
      <c r="B7724" s="2" t="s">
        <v>481</v>
      </c>
      <c r="C7724" s="2">
        <v>1418.7180000000001</v>
      </c>
      <c r="D7724" s="2">
        <f>HYPERLINK("http://mcb-m6.bioreg.kyushu-u.ac.jp/M3/20110411/F50918/1700/1", 41.24)</f>
        <v>41.24</v>
      </c>
      <c r="E7724" s="2">
        <v>25.98</v>
      </c>
      <c r="F7724" s="2">
        <v>1</v>
      </c>
      <c r="G7724" s="2" t="s">
        <v>10</v>
      </c>
      <c r="I7724" s="2" t="s">
        <v>4898</v>
      </c>
    </row>
    <row r="7725" spans="1:9" x14ac:dyDescent="0.2">
      <c r="A7725" s="2" t="s">
        <v>3250</v>
      </c>
      <c r="B7725" s="2" t="s">
        <v>311</v>
      </c>
      <c r="C7725" s="2">
        <v>1196.866</v>
      </c>
      <c r="D7725" s="2">
        <f>HYPERLINK("http://mcb-m6.bioreg.kyushu-u.ac.jp/M3/20110411/F50912/1431/1", 41.59)</f>
        <v>41.59</v>
      </c>
      <c r="E7725" s="2">
        <v>16.03</v>
      </c>
      <c r="F7725" s="2">
        <v>1</v>
      </c>
      <c r="G7725" s="2" t="s">
        <v>10</v>
      </c>
    </row>
    <row r="7726" spans="1:9" x14ac:dyDescent="0.2">
      <c r="A7726" s="2" t="s">
        <v>3250</v>
      </c>
      <c r="B7726" s="2" t="s">
        <v>1665</v>
      </c>
      <c r="C7726" s="2">
        <v>765.44219999999996</v>
      </c>
      <c r="D7726" s="2">
        <f>HYPERLINK("http://mcb-m6.bioreg.kyushu-u.ac.jp/M3/20110411/F50902/3600/1", 41.93)</f>
        <v>41.93</v>
      </c>
      <c r="E7726" s="2">
        <v>29.77</v>
      </c>
      <c r="F7726" s="2">
        <v>3</v>
      </c>
      <c r="G7726" s="2" t="s">
        <v>10</v>
      </c>
    </row>
    <row r="7727" spans="1:9" x14ac:dyDescent="0.2">
      <c r="A7727" s="2" t="s">
        <v>3250</v>
      </c>
      <c r="B7727" s="2" t="s">
        <v>834</v>
      </c>
      <c r="C7727" s="2">
        <v>1242.7729999999999</v>
      </c>
      <c r="D7727" s="2">
        <f>HYPERLINK("http://mcb-m6.bioreg.kyushu-u.ac.jp/M3/20110411/F50902/1527/1", 42.2)</f>
        <v>42.2</v>
      </c>
      <c r="E7727" s="2">
        <v>24.59</v>
      </c>
      <c r="F7727" s="2">
        <v>1</v>
      </c>
      <c r="G7727" s="2" t="s">
        <v>10</v>
      </c>
    </row>
    <row r="7728" spans="1:9" x14ac:dyDescent="0.2">
      <c r="A7728" s="2" t="s">
        <v>3250</v>
      </c>
      <c r="B7728" s="2" t="s">
        <v>834</v>
      </c>
      <c r="C7728" s="2">
        <v>1242.9380000000001</v>
      </c>
      <c r="D7728" s="2">
        <f>HYPERLINK("http://mcb-m6.bioreg.kyushu-u.ac.jp/M3/20110411/F50917/1343/1", 42.36)</f>
        <v>42.36</v>
      </c>
      <c r="E7728" s="2">
        <v>20.55</v>
      </c>
      <c r="F7728" s="2">
        <v>1</v>
      </c>
      <c r="G7728" s="2" t="s">
        <v>10</v>
      </c>
    </row>
    <row r="7729" spans="1:9" x14ac:dyDescent="0.2">
      <c r="A7729" s="2" t="s">
        <v>3250</v>
      </c>
      <c r="B7729" s="2" t="s">
        <v>311</v>
      </c>
      <c r="C7729" s="2">
        <v>1196.509</v>
      </c>
      <c r="D7729" s="2">
        <f>HYPERLINK("http://mcb-m6.bioreg.kyushu-u.ac.jp/M3/20110411/F50914/1458/1", 43.55)</f>
        <v>43.55</v>
      </c>
      <c r="E7729" s="2">
        <v>30.06</v>
      </c>
      <c r="F7729" s="2">
        <v>1</v>
      </c>
      <c r="G7729" s="2" t="s">
        <v>10</v>
      </c>
    </row>
    <row r="7730" spans="1:9" x14ac:dyDescent="0.2">
      <c r="A7730" s="2" t="s">
        <v>3250</v>
      </c>
      <c r="B7730" s="2" t="s">
        <v>102</v>
      </c>
      <c r="C7730" s="2">
        <v>608.38760000000002</v>
      </c>
      <c r="D7730" s="2">
        <f>HYPERLINK("http://mcb-m6.bioreg.kyushu-u.ac.jp/M3/20110411/F50900/1678/1", 43.68)</f>
        <v>43.68</v>
      </c>
      <c r="E7730" s="2">
        <v>25.98</v>
      </c>
      <c r="F7730" s="2">
        <v>2</v>
      </c>
      <c r="G7730" s="2" t="s">
        <v>10</v>
      </c>
    </row>
    <row r="7731" spans="1:9" x14ac:dyDescent="0.2">
      <c r="A7731" s="2" t="s">
        <v>3250</v>
      </c>
      <c r="B7731" s="2" t="s">
        <v>77</v>
      </c>
      <c r="C7731" s="2">
        <v>574.90769999999998</v>
      </c>
      <c r="D7731" s="2">
        <f>HYPERLINK("http://mcb-m6.bioreg.kyushu-u.ac.jp/M3/20110411/F50913/1292/1", 43.87)</f>
        <v>43.87</v>
      </c>
      <c r="E7731" s="2">
        <v>17.93</v>
      </c>
      <c r="F7731" s="2">
        <v>2</v>
      </c>
      <c r="G7731" s="2" t="s">
        <v>10</v>
      </c>
    </row>
    <row r="7732" spans="1:9" x14ac:dyDescent="0.2">
      <c r="A7732" s="2" t="s">
        <v>3250</v>
      </c>
      <c r="B7732" s="2" t="s">
        <v>1787</v>
      </c>
      <c r="C7732" s="2">
        <v>1175.9290000000001</v>
      </c>
      <c r="D7732" s="2">
        <f>HYPERLINK("http://mcb-m6.bioreg.kyushu-u.ac.jp/M3/20110411/F50901/1459/1", 44.13)</f>
        <v>44.13</v>
      </c>
      <c r="E7732" s="2">
        <v>16.86</v>
      </c>
      <c r="F7732" s="2">
        <v>1</v>
      </c>
      <c r="G7732" s="2" t="s">
        <v>10</v>
      </c>
      <c r="I7732" s="2" t="s">
        <v>4895</v>
      </c>
    </row>
    <row r="7733" spans="1:9" x14ac:dyDescent="0.2">
      <c r="A7733" s="2" t="s">
        <v>3250</v>
      </c>
      <c r="B7733" s="2" t="s">
        <v>467</v>
      </c>
      <c r="C7733" s="2">
        <v>691.94960000000003</v>
      </c>
      <c r="D7733" s="2">
        <f>HYPERLINK("http://mcb-m6.bioreg.kyushu-u.ac.jp/M3/20110411/F50897/1719/1", 44.59)</f>
        <v>44.59</v>
      </c>
      <c r="E7733" s="2">
        <v>23.63</v>
      </c>
      <c r="F7733" s="2">
        <v>2</v>
      </c>
      <c r="G7733" s="2" t="s">
        <v>10</v>
      </c>
    </row>
    <row r="7734" spans="1:9" x14ac:dyDescent="0.2">
      <c r="A7734" s="2" t="s">
        <v>3250</v>
      </c>
      <c r="B7734" s="2" t="s">
        <v>77</v>
      </c>
      <c r="C7734" s="2">
        <v>1149.2080000000001</v>
      </c>
      <c r="D7734" s="2">
        <f>HYPERLINK("http://mcb-m6.bioreg.kyushu-u.ac.jp/M3/20110411/F50900/1567/1", 44.75)</f>
        <v>44.75</v>
      </c>
      <c r="E7734" s="2">
        <v>18.989999999999998</v>
      </c>
      <c r="F7734" s="2">
        <v>1</v>
      </c>
      <c r="G7734" s="2" t="s">
        <v>10</v>
      </c>
    </row>
    <row r="7735" spans="1:9" x14ac:dyDescent="0.2">
      <c r="A7735" s="2" t="s">
        <v>3250</v>
      </c>
      <c r="B7735" s="2" t="s">
        <v>561</v>
      </c>
      <c r="C7735" s="2">
        <v>1307.759</v>
      </c>
      <c r="D7735" s="2">
        <f>HYPERLINK("http://mcb-m6.bioreg.kyushu-u.ac.jp/M3/20110411/F50917/1482/1", 44.8)</f>
        <v>44.8</v>
      </c>
      <c r="E7735" s="2">
        <v>29.43</v>
      </c>
      <c r="F7735" s="2">
        <v>1</v>
      </c>
      <c r="G7735" s="2" t="s">
        <v>10</v>
      </c>
    </row>
    <row r="7736" spans="1:9" x14ac:dyDescent="0.2">
      <c r="A7736" s="2" t="s">
        <v>3250</v>
      </c>
      <c r="B7736" s="2" t="s">
        <v>365</v>
      </c>
      <c r="C7736" s="2">
        <v>849.50120000000004</v>
      </c>
      <c r="D7736" s="2">
        <f>HYPERLINK("http://mcb-m6.bioreg.kyushu-u.ac.jp/M3/20110411/F50896/2575/1", 45.02)</f>
        <v>45.02</v>
      </c>
      <c r="E7736" s="2">
        <v>29.48</v>
      </c>
      <c r="F7736" s="2">
        <v>2</v>
      </c>
      <c r="G7736" s="2" t="s">
        <v>10</v>
      </c>
    </row>
    <row r="7737" spans="1:9" x14ac:dyDescent="0.2">
      <c r="A7737" s="2" t="s">
        <v>3250</v>
      </c>
      <c r="B7737" s="2" t="s">
        <v>467</v>
      </c>
      <c r="C7737" s="2">
        <v>691.8691</v>
      </c>
      <c r="D7737" s="2">
        <f>HYPERLINK("http://mcb-m6.bioreg.kyushu-u.ac.jp/M3/20110411/F50898/2009/1", 45.22)</f>
        <v>45.22</v>
      </c>
      <c r="E7737" s="2">
        <v>22.4</v>
      </c>
      <c r="F7737" s="2">
        <v>2</v>
      </c>
      <c r="G7737" s="2" t="s">
        <v>10</v>
      </c>
    </row>
    <row r="7738" spans="1:9" x14ac:dyDescent="0.2">
      <c r="A7738" s="2" t="s">
        <v>3250</v>
      </c>
      <c r="B7738" s="2" t="s">
        <v>77</v>
      </c>
      <c r="C7738" s="2">
        <v>1148.6320000000001</v>
      </c>
      <c r="D7738" s="2">
        <f>HYPERLINK("http://mcb-m6.bioreg.kyushu-u.ac.jp/M3/20110411/F50917/1118/1", 45.24)</f>
        <v>45.24</v>
      </c>
      <c r="E7738" s="2">
        <v>13.74</v>
      </c>
      <c r="F7738" s="2">
        <v>1</v>
      </c>
      <c r="G7738" s="2" t="s">
        <v>10</v>
      </c>
    </row>
    <row r="7739" spans="1:9" x14ac:dyDescent="0.2">
      <c r="A7739" s="2" t="s">
        <v>3250</v>
      </c>
      <c r="B7739" s="2" t="s">
        <v>772</v>
      </c>
      <c r="C7739" s="2">
        <v>595.83619999999996</v>
      </c>
      <c r="D7739" s="2">
        <f>HYPERLINK("http://mcb-m6.bioreg.kyushu-u.ac.jp/M3/20110411/F50902/1425/1", 45.34)</f>
        <v>45.34</v>
      </c>
      <c r="E7739" s="2">
        <v>24.04</v>
      </c>
      <c r="F7739" s="2">
        <v>2</v>
      </c>
      <c r="G7739" s="2" t="s">
        <v>10</v>
      </c>
    </row>
    <row r="7740" spans="1:9" x14ac:dyDescent="0.2">
      <c r="A7740" s="2" t="s">
        <v>3250</v>
      </c>
      <c r="B7740" s="2" t="s">
        <v>398</v>
      </c>
      <c r="C7740" s="2">
        <v>640.46169999999995</v>
      </c>
      <c r="D7740" s="2">
        <f>HYPERLINK("http://mcb-m6.bioreg.kyushu-u.ac.jp/M3/20110411/F50918/1342/1", 45.37)</f>
        <v>45.37</v>
      </c>
      <c r="E7740" s="2">
        <v>18.899999999999999</v>
      </c>
      <c r="F7740" s="2">
        <v>2</v>
      </c>
      <c r="G7740" s="2" t="s">
        <v>10</v>
      </c>
    </row>
    <row r="7741" spans="1:9" x14ac:dyDescent="0.2">
      <c r="A7741" s="2" t="s">
        <v>3250</v>
      </c>
      <c r="B7741" s="2" t="s">
        <v>90</v>
      </c>
      <c r="C7741" s="2">
        <v>716.97670000000005</v>
      </c>
      <c r="D7741" s="2">
        <f>HYPERLINK("http://mcb-m6.bioreg.kyushu-u.ac.jp/M3/20110411/F50918/1765/1", 45.6)</f>
        <v>45.6</v>
      </c>
      <c r="E7741" s="2">
        <v>22.72</v>
      </c>
      <c r="F7741" s="2">
        <v>2</v>
      </c>
      <c r="G7741" s="2" t="s">
        <v>10</v>
      </c>
    </row>
    <row r="7742" spans="1:9" x14ac:dyDescent="0.2">
      <c r="A7742" s="2" t="s">
        <v>3250</v>
      </c>
      <c r="B7742" s="2" t="s">
        <v>543</v>
      </c>
      <c r="C7742" s="2">
        <v>927.52760000000001</v>
      </c>
      <c r="D7742" s="2">
        <f>HYPERLINK("http://mcb-m6.bioreg.kyushu-u.ac.jp/M3/20110411/F50914/2971/1", 45.83)</f>
        <v>45.83</v>
      </c>
      <c r="E7742" s="2">
        <v>21.89</v>
      </c>
      <c r="F7742" s="2">
        <v>2</v>
      </c>
      <c r="G7742" s="2" t="s">
        <v>10</v>
      </c>
    </row>
    <row r="7743" spans="1:9" x14ac:dyDescent="0.2">
      <c r="A7743" s="2" t="s">
        <v>3250</v>
      </c>
      <c r="B7743" s="2" t="s">
        <v>1581</v>
      </c>
      <c r="C7743" s="2">
        <v>765.64080000000001</v>
      </c>
      <c r="D7743" s="2">
        <f>HYPERLINK("http://mcb-m6.bioreg.kyushu-u.ac.jp/M3/20110411/F50918/3476/1", 45.9)</f>
        <v>45.9</v>
      </c>
      <c r="E7743" s="2">
        <v>25.14</v>
      </c>
      <c r="F7743" s="2">
        <v>3</v>
      </c>
      <c r="G7743" s="2" t="s">
        <v>10</v>
      </c>
      <c r="I7743" s="2" t="s">
        <v>4895</v>
      </c>
    </row>
    <row r="7744" spans="1:9" x14ac:dyDescent="0.2">
      <c r="A7744" s="2" t="s">
        <v>3250</v>
      </c>
      <c r="B7744" s="2" t="s">
        <v>1875</v>
      </c>
      <c r="C7744" s="2">
        <v>772.61069999999995</v>
      </c>
      <c r="D7744" s="2">
        <f>HYPERLINK("http://mcb-m6.bioreg.kyushu-u.ac.jp/M3/20110411/F50901/2191/1", 46.19)</f>
        <v>46.19</v>
      </c>
      <c r="E7744" s="2">
        <v>31.28</v>
      </c>
      <c r="F7744" s="2">
        <v>2</v>
      </c>
      <c r="G7744" s="2" t="s">
        <v>10</v>
      </c>
    </row>
    <row r="7745" spans="1:9" x14ac:dyDescent="0.2">
      <c r="A7745" s="2" t="s">
        <v>3250</v>
      </c>
      <c r="B7745" s="2" t="s">
        <v>356</v>
      </c>
      <c r="C7745" s="2">
        <v>815.98170000000005</v>
      </c>
      <c r="D7745" s="2">
        <f>HYPERLINK("http://mcb-m6.bioreg.kyushu-u.ac.jp/M3/20110411/F50917/2407/1", 46.63)</f>
        <v>46.63</v>
      </c>
      <c r="E7745" s="2">
        <v>33.35</v>
      </c>
      <c r="F7745" s="2">
        <v>2</v>
      </c>
      <c r="G7745" s="2" t="s">
        <v>10</v>
      </c>
    </row>
    <row r="7746" spans="1:9" x14ac:dyDescent="0.2">
      <c r="A7746" s="2" t="s">
        <v>3250</v>
      </c>
      <c r="B7746" s="2" t="s">
        <v>1888</v>
      </c>
      <c r="C7746" s="2">
        <v>457.05360000000002</v>
      </c>
      <c r="D7746" s="2">
        <f>HYPERLINK("http://mcb-m6.bioreg.kyushu-u.ac.jp/M3/20110411/F50912/916/1", 46.83)</f>
        <v>46.83</v>
      </c>
      <c r="E7746" s="2">
        <v>8.61</v>
      </c>
      <c r="F7746" s="2">
        <v>2</v>
      </c>
      <c r="G7746" s="2" t="s">
        <v>10</v>
      </c>
    </row>
    <row r="7747" spans="1:9" x14ac:dyDescent="0.2">
      <c r="A7747" s="2" t="s">
        <v>3250</v>
      </c>
      <c r="B7747" s="2" t="s">
        <v>77</v>
      </c>
      <c r="C7747" s="2">
        <v>1148.7239999999999</v>
      </c>
      <c r="D7747" s="2">
        <f>HYPERLINK("http://mcb-m6.bioreg.kyushu-u.ac.jp/M3/20110411/F50901/1411/1", 47.1)</f>
        <v>47.1</v>
      </c>
      <c r="E7747" s="2">
        <v>22.88</v>
      </c>
      <c r="F7747" s="2">
        <v>1</v>
      </c>
      <c r="G7747" s="2" t="s">
        <v>10</v>
      </c>
    </row>
    <row r="7748" spans="1:9" x14ac:dyDescent="0.2">
      <c r="A7748" s="2" t="s">
        <v>3250</v>
      </c>
      <c r="B7748" s="2" t="s">
        <v>1875</v>
      </c>
      <c r="C7748" s="2">
        <v>788.44569999999999</v>
      </c>
      <c r="D7748" s="2">
        <f>HYPERLINK("http://mcb-m6.bioreg.kyushu-u.ac.jp/M3/20110411/F50914/2341/1", 47.18)</f>
        <v>47.18</v>
      </c>
      <c r="E7748" s="2">
        <v>36.19</v>
      </c>
      <c r="F7748" s="2">
        <v>2</v>
      </c>
      <c r="G7748" s="2" t="s">
        <v>10</v>
      </c>
      <c r="H7748" s="2" t="s">
        <v>4953</v>
      </c>
    </row>
    <row r="7749" spans="1:9" x14ac:dyDescent="0.2">
      <c r="A7749" s="2" t="s">
        <v>3250</v>
      </c>
      <c r="B7749" s="2" t="s">
        <v>1065</v>
      </c>
      <c r="C7749" s="2">
        <v>716.97270000000003</v>
      </c>
      <c r="D7749" s="2">
        <f>HYPERLINK("http://mcb-m6.bioreg.kyushu-u.ac.jp/M3/20110411/F50901/1931/1", 47.53)</f>
        <v>47.53</v>
      </c>
      <c r="E7749" s="2">
        <v>26.66</v>
      </c>
      <c r="F7749" s="2">
        <v>2</v>
      </c>
      <c r="G7749" s="2" t="s">
        <v>10</v>
      </c>
      <c r="I7749" s="2" t="s">
        <v>4892</v>
      </c>
    </row>
    <row r="7750" spans="1:9" x14ac:dyDescent="0.2">
      <c r="A7750" s="2" t="s">
        <v>3250</v>
      </c>
      <c r="B7750" s="2" t="s">
        <v>102</v>
      </c>
      <c r="C7750" s="2">
        <v>1215.673</v>
      </c>
      <c r="D7750" s="2">
        <f>HYPERLINK("http://mcb-m6.bioreg.kyushu-u.ac.jp/M3/20110411/F50901/1528/1", 47.78)</f>
        <v>47.78</v>
      </c>
      <c r="E7750" s="2">
        <v>27.76</v>
      </c>
      <c r="F7750" s="2">
        <v>1</v>
      </c>
      <c r="G7750" s="2" t="s">
        <v>10</v>
      </c>
    </row>
    <row r="7751" spans="1:9" x14ac:dyDescent="0.2">
      <c r="A7751" s="2" t="s">
        <v>3250</v>
      </c>
      <c r="B7751" s="2" t="s">
        <v>77</v>
      </c>
      <c r="C7751" s="2">
        <v>575.38319999999999</v>
      </c>
      <c r="D7751" s="2">
        <f>HYPERLINK("http://mcb-m6.bioreg.kyushu-u.ac.jp/M3/20110411/F50896/1551/1", 47.83)</f>
        <v>47.83</v>
      </c>
      <c r="E7751" s="2">
        <v>30.51</v>
      </c>
      <c r="F7751" s="2">
        <v>2</v>
      </c>
      <c r="G7751" s="2" t="s">
        <v>10</v>
      </c>
    </row>
    <row r="7752" spans="1:9" x14ac:dyDescent="0.2">
      <c r="A7752" s="2" t="s">
        <v>3250</v>
      </c>
      <c r="B7752" s="2" t="s">
        <v>77</v>
      </c>
      <c r="C7752" s="2">
        <v>1148.7139999999999</v>
      </c>
      <c r="D7752" s="2">
        <f>HYPERLINK("http://mcb-m6.bioreg.kyushu-u.ac.jp/M3/20110411/F50902/1349/1", 47.87)</f>
        <v>47.87</v>
      </c>
      <c r="E7752" s="2">
        <v>25.7</v>
      </c>
      <c r="F7752" s="2">
        <v>1</v>
      </c>
      <c r="G7752" s="2" t="s">
        <v>10</v>
      </c>
    </row>
    <row r="7753" spans="1:9" x14ac:dyDescent="0.2">
      <c r="A7753" s="2" t="s">
        <v>3250</v>
      </c>
      <c r="B7753" s="2" t="s">
        <v>365</v>
      </c>
      <c r="C7753" s="2">
        <v>849.53859999999997</v>
      </c>
      <c r="D7753" s="2">
        <f>HYPERLINK("http://mcb-m6.bioreg.kyushu-u.ac.jp/M3/20110411/F50913/2524/1", 48.28)</f>
        <v>48.28</v>
      </c>
      <c r="E7753" s="2">
        <v>33.450000000000003</v>
      </c>
      <c r="F7753" s="2">
        <v>2</v>
      </c>
      <c r="G7753" s="2" t="s">
        <v>10</v>
      </c>
    </row>
    <row r="7754" spans="1:9" x14ac:dyDescent="0.2">
      <c r="A7754" s="2" t="s">
        <v>3250</v>
      </c>
      <c r="B7754" s="2" t="s">
        <v>1787</v>
      </c>
      <c r="C7754" s="2">
        <v>1175.797</v>
      </c>
      <c r="D7754" s="2">
        <f>HYPERLINK("http://mcb-m6.bioreg.kyushu-u.ac.jp/M3/20110411/F50913/1351/1", 48.32)</f>
        <v>48.32</v>
      </c>
      <c r="E7754" s="2">
        <v>11.85</v>
      </c>
      <c r="F7754" s="2">
        <v>1</v>
      </c>
      <c r="G7754" s="2" t="s">
        <v>10</v>
      </c>
      <c r="I7754" s="2" t="s">
        <v>4895</v>
      </c>
    </row>
    <row r="7755" spans="1:9" x14ac:dyDescent="0.2">
      <c r="A7755" s="2" t="s">
        <v>3250</v>
      </c>
      <c r="B7755" s="2" t="s">
        <v>617</v>
      </c>
      <c r="C7755" s="2">
        <v>686.52560000000005</v>
      </c>
      <c r="D7755" s="2">
        <f>HYPERLINK("http://mcb-m6.bioreg.kyushu-u.ac.jp/M3/20110411/F50918/1557/1", 48.43)</f>
        <v>48.43</v>
      </c>
      <c r="E7755" s="2">
        <v>27.48</v>
      </c>
      <c r="F7755" s="2">
        <v>2</v>
      </c>
      <c r="G7755" s="2" t="s">
        <v>10</v>
      </c>
    </row>
    <row r="7756" spans="1:9" x14ac:dyDescent="0.2">
      <c r="A7756" s="2" t="s">
        <v>3250</v>
      </c>
      <c r="B7756" s="2" t="s">
        <v>481</v>
      </c>
      <c r="C7756" s="2">
        <v>1417.8230000000001</v>
      </c>
      <c r="D7756" s="2">
        <f>HYPERLINK("http://mcb-m6.bioreg.kyushu-u.ac.jp/M3/20110411/F50901/1898/1", 48.62)</f>
        <v>48.62</v>
      </c>
      <c r="E7756" s="2">
        <v>31.6</v>
      </c>
      <c r="F7756" s="2">
        <v>1</v>
      </c>
      <c r="G7756" s="2" t="s">
        <v>10</v>
      </c>
      <c r="I7756" s="2" t="s">
        <v>4898</v>
      </c>
    </row>
    <row r="7757" spans="1:9" x14ac:dyDescent="0.2">
      <c r="A7757" s="2" t="s">
        <v>3250</v>
      </c>
      <c r="B7757" s="2" t="s">
        <v>175</v>
      </c>
      <c r="C7757" s="2">
        <v>784.61360000000002</v>
      </c>
      <c r="D7757" s="2">
        <f>HYPERLINK("http://mcb-m6.bioreg.kyushu-u.ac.jp/M3/20110411/F50896/2311/1", 48.72)</f>
        <v>48.72</v>
      </c>
      <c r="E7757" s="2">
        <v>27.16</v>
      </c>
      <c r="F7757" s="2">
        <v>2</v>
      </c>
      <c r="G7757" s="2" t="s">
        <v>10</v>
      </c>
      <c r="I7757" s="2" t="s">
        <v>4893</v>
      </c>
    </row>
    <row r="7758" spans="1:9" x14ac:dyDescent="0.2">
      <c r="A7758" s="2" t="s">
        <v>3250</v>
      </c>
      <c r="B7758" s="2" t="s">
        <v>90</v>
      </c>
      <c r="C7758" s="2">
        <v>716.92319999999995</v>
      </c>
      <c r="D7758" s="2">
        <f>HYPERLINK("http://mcb-m6.bioreg.kyushu-u.ac.jp/M3/20110411/F50917/1821/1", 48.78)</f>
        <v>48.78</v>
      </c>
      <c r="E7758" s="2">
        <v>34</v>
      </c>
      <c r="F7758" s="2">
        <v>2</v>
      </c>
      <c r="G7758" s="2" t="s">
        <v>10</v>
      </c>
    </row>
    <row r="7759" spans="1:9" x14ac:dyDescent="0.2">
      <c r="A7759" s="2" t="s">
        <v>3250</v>
      </c>
      <c r="B7759" s="2" t="s">
        <v>311</v>
      </c>
      <c r="C7759" s="2">
        <v>598.8732</v>
      </c>
      <c r="D7759" s="2">
        <f>HYPERLINK("http://mcb-m6.bioreg.kyushu-u.ac.jp/M3/20110411/F50917/1236/1", 48.79)</f>
        <v>48.79</v>
      </c>
      <c r="E7759" s="2">
        <v>33.43</v>
      </c>
      <c r="F7759" s="2">
        <v>2</v>
      </c>
      <c r="G7759" s="2" t="s">
        <v>10</v>
      </c>
    </row>
    <row r="7760" spans="1:9" x14ac:dyDescent="0.2">
      <c r="A7760" s="2" t="s">
        <v>3250</v>
      </c>
      <c r="B7760" s="2" t="s">
        <v>311</v>
      </c>
      <c r="C7760" s="2">
        <v>1196.6099999999999</v>
      </c>
      <c r="D7760" s="2">
        <f>HYPERLINK("http://mcb-m6.bioreg.kyushu-u.ac.jp/M3/20110411/F50900/1647/1", 48.81)</f>
        <v>48.81</v>
      </c>
      <c r="E7760" s="2">
        <v>33.72</v>
      </c>
      <c r="F7760" s="2">
        <v>1</v>
      </c>
      <c r="G7760" s="2" t="s">
        <v>10</v>
      </c>
    </row>
    <row r="7761" spans="1:9" x14ac:dyDescent="0.2">
      <c r="A7761" s="2" t="s">
        <v>3250</v>
      </c>
      <c r="B7761" s="2" t="s">
        <v>311</v>
      </c>
      <c r="C7761" s="2">
        <v>1196.721</v>
      </c>
      <c r="D7761" s="2">
        <f>HYPERLINK("http://mcb-m6.bioreg.kyushu-u.ac.jp/M3/20110411/F50902/1438/1", 49.01)</f>
        <v>49.01</v>
      </c>
      <c r="E7761" s="2">
        <v>29.27</v>
      </c>
      <c r="F7761" s="2">
        <v>1</v>
      </c>
      <c r="G7761" s="2" t="s">
        <v>10</v>
      </c>
    </row>
    <row r="7762" spans="1:9" x14ac:dyDescent="0.2">
      <c r="A7762" s="2" t="s">
        <v>3250</v>
      </c>
      <c r="B7762" s="2" t="s">
        <v>90</v>
      </c>
      <c r="C7762" s="2">
        <v>717.29319999999996</v>
      </c>
      <c r="D7762" s="2">
        <f>HYPERLINK("http://mcb-m6.bioreg.kyushu-u.ac.jp/M3/20110411/F50900/2031/1", 49.19)</f>
        <v>49.19</v>
      </c>
      <c r="E7762" s="2">
        <v>18.64</v>
      </c>
      <c r="F7762" s="2">
        <v>2</v>
      </c>
      <c r="G7762" s="2" t="s">
        <v>10</v>
      </c>
    </row>
    <row r="7763" spans="1:9" x14ac:dyDescent="0.2">
      <c r="A7763" s="2" t="s">
        <v>3250</v>
      </c>
      <c r="B7763" s="2" t="s">
        <v>1787</v>
      </c>
      <c r="C7763" s="2">
        <v>1175.759</v>
      </c>
      <c r="D7763" s="2">
        <f>HYPERLINK("http://mcb-m6.bioreg.kyushu-u.ac.jp/M3/20110411/F50902/1397/1", 49.35)</f>
        <v>49.35</v>
      </c>
      <c r="E7763" s="2">
        <v>8.99</v>
      </c>
      <c r="F7763" s="2">
        <v>1</v>
      </c>
      <c r="G7763" s="2" t="s">
        <v>10</v>
      </c>
      <c r="I7763" s="2" t="s">
        <v>4895</v>
      </c>
    </row>
    <row r="7764" spans="1:9" x14ac:dyDescent="0.2">
      <c r="A7764" s="2" t="s">
        <v>3250</v>
      </c>
      <c r="B7764" s="2" t="s">
        <v>561</v>
      </c>
      <c r="C7764" s="2">
        <v>1307.634</v>
      </c>
      <c r="D7764" s="2">
        <f>HYPERLINK("http://mcb-m6.bioreg.kyushu-u.ac.jp/M3/20110411/F50918/1389/1", 49.78)</f>
        <v>49.78</v>
      </c>
      <c r="E7764" s="2">
        <v>37.03</v>
      </c>
      <c r="F7764" s="2">
        <v>1</v>
      </c>
      <c r="G7764" s="2" t="s">
        <v>10</v>
      </c>
    </row>
    <row r="7765" spans="1:9" x14ac:dyDescent="0.2">
      <c r="A7765" s="2" t="s">
        <v>3250</v>
      </c>
      <c r="B7765" s="2" t="s">
        <v>365</v>
      </c>
      <c r="C7765" s="2">
        <v>849.4982</v>
      </c>
      <c r="D7765" s="2">
        <f>HYPERLINK("http://mcb-m6.bioreg.kyushu-u.ac.jp/M3/20110411/F50901/2491/1", 50.15)</f>
        <v>50.15</v>
      </c>
      <c r="E7765" s="2">
        <v>32.369999999999997</v>
      </c>
      <c r="F7765" s="2">
        <v>2</v>
      </c>
      <c r="G7765" s="2" t="s">
        <v>10</v>
      </c>
    </row>
    <row r="7766" spans="1:9" x14ac:dyDescent="0.2">
      <c r="A7766" s="2" t="s">
        <v>3250</v>
      </c>
      <c r="B7766" s="2" t="s">
        <v>102</v>
      </c>
      <c r="C7766" s="2">
        <v>1215.692</v>
      </c>
      <c r="D7766" s="2">
        <f>HYPERLINK("http://mcb-m6.bioreg.kyushu-u.ac.jp/M3/20110411/F50902/1479/1", 50.65)</f>
        <v>50.65</v>
      </c>
      <c r="E7766" s="2">
        <v>32.47</v>
      </c>
      <c r="F7766" s="2">
        <v>1</v>
      </c>
      <c r="G7766" s="2" t="s">
        <v>10</v>
      </c>
    </row>
    <row r="7767" spans="1:9" x14ac:dyDescent="0.2">
      <c r="A7767" s="2" t="s">
        <v>3250</v>
      </c>
      <c r="B7767" s="2" t="s">
        <v>102</v>
      </c>
      <c r="C7767" s="2">
        <v>1231.7049999999999</v>
      </c>
      <c r="D7767" s="2">
        <f>HYPERLINK("http://mcb-m6.bioreg.kyushu-u.ac.jp/M3/20110411/F50902/1502/1", 50.9)</f>
        <v>50.9</v>
      </c>
      <c r="E7767" s="2">
        <v>28.62</v>
      </c>
      <c r="F7767" s="2">
        <v>1</v>
      </c>
      <c r="G7767" s="2" t="s">
        <v>10</v>
      </c>
      <c r="H7767" s="2" t="s">
        <v>4900</v>
      </c>
    </row>
    <row r="7768" spans="1:9" x14ac:dyDescent="0.2">
      <c r="A7768" s="2" t="s">
        <v>3250</v>
      </c>
      <c r="B7768" s="2" t="s">
        <v>543</v>
      </c>
      <c r="C7768" s="2">
        <v>927.14120000000003</v>
      </c>
      <c r="D7768" s="2">
        <f>HYPERLINK("http://mcb-m6.bioreg.kyushu-u.ac.jp/M3/20110411/F50917/3031/1", 51.23)</f>
        <v>51.23</v>
      </c>
      <c r="E7768" s="2">
        <v>32.04</v>
      </c>
      <c r="F7768" s="2">
        <v>2</v>
      </c>
      <c r="G7768" s="2" t="s">
        <v>10</v>
      </c>
    </row>
    <row r="7769" spans="1:9" x14ac:dyDescent="0.2">
      <c r="A7769" s="2" t="s">
        <v>3250</v>
      </c>
      <c r="B7769" s="2" t="s">
        <v>311</v>
      </c>
      <c r="C7769" s="2">
        <v>1196.72</v>
      </c>
      <c r="D7769" s="2">
        <f>HYPERLINK("http://mcb-m6.bioreg.kyushu-u.ac.jp/M3/20110411/F50918/1151/1", 51.67)</f>
        <v>51.67</v>
      </c>
      <c r="E7769" s="2">
        <v>36.96</v>
      </c>
      <c r="F7769" s="2">
        <v>1</v>
      </c>
      <c r="G7769" s="2" t="s">
        <v>10</v>
      </c>
    </row>
    <row r="7770" spans="1:9" x14ac:dyDescent="0.2">
      <c r="A7770" s="2" t="s">
        <v>3250</v>
      </c>
      <c r="B7770" s="2" t="s">
        <v>467</v>
      </c>
      <c r="C7770" s="2">
        <v>691.9597</v>
      </c>
      <c r="D7770" s="2">
        <f>HYPERLINK("http://mcb-m6.bioreg.kyushu-u.ac.jp/M3/20110411/F50913/1772/1", 51.9)</f>
        <v>51.9</v>
      </c>
      <c r="E7770" s="2">
        <v>26.97</v>
      </c>
      <c r="F7770" s="2">
        <v>2</v>
      </c>
      <c r="G7770" s="2" t="s">
        <v>10</v>
      </c>
    </row>
    <row r="7771" spans="1:9" x14ac:dyDescent="0.2">
      <c r="A7771" s="2" t="s">
        <v>3250</v>
      </c>
      <c r="B7771" s="2" t="s">
        <v>175</v>
      </c>
      <c r="C7771" s="2">
        <v>784.56320000000005</v>
      </c>
      <c r="D7771" s="2">
        <f>HYPERLINK("http://mcb-m6.bioreg.kyushu-u.ac.jp/M3/20110411/F50902/2272/1", 52.66)</f>
        <v>52.66</v>
      </c>
      <c r="E7771" s="2">
        <v>32.58</v>
      </c>
      <c r="F7771" s="2">
        <v>2</v>
      </c>
      <c r="G7771" s="2" t="s">
        <v>10</v>
      </c>
      <c r="I7771" s="2" t="s">
        <v>4893</v>
      </c>
    </row>
    <row r="7772" spans="1:9" x14ac:dyDescent="0.2">
      <c r="A7772" s="2" t="s">
        <v>3250</v>
      </c>
      <c r="B7772" s="2" t="s">
        <v>481</v>
      </c>
      <c r="C7772" s="2">
        <v>1417.817</v>
      </c>
      <c r="D7772" s="2">
        <f>HYPERLINK("http://mcb-m6.bioreg.kyushu-u.ac.jp/M3/20110411/F50902/1888/1", 52.73)</f>
        <v>52.73</v>
      </c>
      <c r="E7772" s="2">
        <v>35.94</v>
      </c>
      <c r="F7772" s="2">
        <v>1</v>
      </c>
      <c r="G7772" s="2" t="s">
        <v>10</v>
      </c>
      <c r="I7772" s="2" t="s">
        <v>4898</v>
      </c>
    </row>
    <row r="7773" spans="1:9" x14ac:dyDescent="0.2">
      <c r="A7773" s="2" t="s">
        <v>3250</v>
      </c>
      <c r="B7773" s="2" t="s">
        <v>467</v>
      </c>
      <c r="C7773" s="2">
        <v>692.28920000000005</v>
      </c>
      <c r="D7773" s="2">
        <f>HYPERLINK("http://mcb-m6.bioreg.kyushu-u.ac.jp/M3/20110411/F50918/1607/1", 52.98)</f>
        <v>52.98</v>
      </c>
      <c r="E7773" s="2">
        <v>23.09</v>
      </c>
      <c r="F7773" s="2">
        <v>2</v>
      </c>
      <c r="G7773" s="2" t="s">
        <v>10</v>
      </c>
    </row>
    <row r="7774" spans="1:9" x14ac:dyDescent="0.2">
      <c r="A7774" s="2" t="s">
        <v>3250</v>
      </c>
      <c r="B7774" s="2" t="s">
        <v>467</v>
      </c>
      <c r="C7774" s="2">
        <v>691.92660000000001</v>
      </c>
      <c r="D7774" s="2">
        <f>HYPERLINK("http://mcb-m6.bioreg.kyushu-u.ac.jp/M3/20110411/F50912/1803/1", 53.05)</f>
        <v>53.05</v>
      </c>
      <c r="E7774" s="2">
        <v>22.42</v>
      </c>
      <c r="F7774" s="2">
        <v>2</v>
      </c>
      <c r="G7774" s="2" t="s">
        <v>10</v>
      </c>
    </row>
    <row r="7775" spans="1:9" x14ac:dyDescent="0.2">
      <c r="A7775" s="2" t="s">
        <v>3250</v>
      </c>
      <c r="B7775" s="2" t="s">
        <v>1875</v>
      </c>
      <c r="C7775" s="2">
        <v>772.66520000000003</v>
      </c>
      <c r="D7775" s="2">
        <f>HYPERLINK("http://mcb-m6.bioreg.kyushu-u.ac.jp/M3/20110411/F50913/2181/1", 53.32)</f>
        <v>53.32</v>
      </c>
      <c r="E7775" s="2">
        <v>33.54</v>
      </c>
      <c r="F7775" s="2">
        <v>2</v>
      </c>
      <c r="G7775" s="2" t="s">
        <v>10</v>
      </c>
    </row>
    <row r="7776" spans="1:9" x14ac:dyDescent="0.2">
      <c r="A7776" s="2" t="s">
        <v>3250</v>
      </c>
      <c r="B7776" s="2" t="s">
        <v>772</v>
      </c>
      <c r="C7776" s="2">
        <v>1190.8679999999999</v>
      </c>
      <c r="D7776" s="2">
        <f>HYPERLINK("http://mcb-m6.bioreg.kyushu-u.ac.jp/M3/20110411/F50901/1490/1", 53.43)</f>
        <v>53.43</v>
      </c>
      <c r="E7776" s="2">
        <v>26.67</v>
      </c>
      <c r="F7776" s="2">
        <v>1</v>
      </c>
      <c r="G7776" s="2" t="s">
        <v>10</v>
      </c>
    </row>
    <row r="7777" spans="1:8" x14ac:dyDescent="0.2">
      <c r="A7777" s="2" t="s">
        <v>3250</v>
      </c>
      <c r="B7777" s="2" t="s">
        <v>365</v>
      </c>
      <c r="C7777" s="2">
        <v>849.49220000000003</v>
      </c>
      <c r="D7777" s="2">
        <f>HYPERLINK("http://mcb-m6.bioreg.kyushu-u.ac.jp/M3/20110411/F50900/2550/1", 53.62)</f>
        <v>53.62</v>
      </c>
      <c r="E7777" s="2">
        <v>36.729999999999997</v>
      </c>
      <c r="F7777" s="2">
        <v>2</v>
      </c>
      <c r="G7777" s="2" t="s">
        <v>10</v>
      </c>
    </row>
    <row r="7778" spans="1:8" x14ac:dyDescent="0.2">
      <c r="A7778" s="2" t="s">
        <v>3250</v>
      </c>
      <c r="B7778" s="2" t="s">
        <v>772</v>
      </c>
      <c r="C7778" s="2">
        <v>1190.895</v>
      </c>
      <c r="D7778" s="2">
        <f>HYPERLINK("http://mcb-m6.bioreg.kyushu-u.ac.jp/M3/20110411/F50902/1427/1", 53.85)</f>
        <v>53.85</v>
      </c>
      <c r="E7778" s="2">
        <v>25.61</v>
      </c>
      <c r="F7778" s="2">
        <v>1</v>
      </c>
      <c r="G7778" s="2" t="s">
        <v>10</v>
      </c>
    </row>
    <row r="7779" spans="1:8" x14ac:dyDescent="0.2">
      <c r="A7779" s="2" t="s">
        <v>3250</v>
      </c>
      <c r="B7779" s="2" t="s">
        <v>365</v>
      </c>
      <c r="C7779" s="2">
        <v>849.01570000000004</v>
      </c>
      <c r="D7779" s="2">
        <f>HYPERLINK("http://mcb-m6.bioreg.kyushu-u.ac.jp/M3/20110411/F50913/2520/1", 54.34)</f>
        <v>54.34</v>
      </c>
      <c r="E7779" s="2">
        <v>40.619999999999997</v>
      </c>
      <c r="F7779" s="2">
        <v>2</v>
      </c>
      <c r="G7779" s="2" t="s">
        <v>10</v>
      </c>
    </row>
    <row r="7780" spans="1:8" x14ac:dyDescent="0.2">
      <c r="A7780" s="2" t="s">
        <v>3250</v>
      </c>
      <c r="B7780" s="2" t="s">
        <v>772</v>
      </c>
      <c r="C7780" s="2">
        <v>1190.7260000000001</v>
      </c>
      <c r="D7780" s="2">
        <f>HYPERLINK("http://mcb-m6.bioreg.kyushu-u.ac.jp/M3/20110411/F50918/1137/1", 54.59)</f>
        <v>54.59</v>
      </c>
      <c r="E7780" s="2">
        <v>20.82</v>
      </c>
      <c r="F7780" s="2">
        <v>1</v>
      </c>
      <c r="G7780" s="2" t="s">
        <v>10</v>
      </c>
    </row>
    <row r="7781" spans="1:8" x14ac:dyDescent="0.2">
      <c r="A7781" s="2" t="s">
        <v>3250</v>
      </c>
      <c r="B7781" s="2" t="s">
        <v>1875</v>
      </c>
      <c r="C7781" s="2">
        <v>788.55409999999995</v>
      </c>
      <c r="D7781" s="2">
        <f>HYPERLINK("http://mcb-m6.bioreg.kyushu-u.ac.jp/M3/20110411/F50918/2117/1", 54.74)</f>
        <v>54.74</v>
      </c>
      <c r="E7781" s="2">
        <v>38.130000000000003</v>
      </c>
      <c r="F7781" s="2">
        <v>2</v>
      </c>
      <c r="G7781" s="2" t="s">
        <v>10</v>
      </c>
      <c r="H7781" s="2" t="s">
        <v>4953</v>
      </c>
    </row>
    <row r="7782" spans="1:8" x14ac:dyDescent="0.2">
      <c r="A7782" s="2" t="s">
        <v>3250</v>
      </c>
      <c r="B7782" s="2" t="s">
        <v>467</v>
      </c>
      <c r="C7782" s="2">
        <v>691.73419999999999</v>
      </c>
      <c r="D7782" s="2">
        <f>HYPERLINK("http://mcb-m6.bioreg.kyushu-u.ac.jp/M3/20110411/F50900/1933/1", 54.94)</f>
        <v>54.94</v>
      </c>
      <c r="E7782" s="2">
        <v>25.33</v>
      </c>
      <c r="F7782" s="2">
        <v>2</v>
      </c>
      <c r="G7782" s="2" t="s">
        <v>10</v>
      </c>
    </row>
    <row r="7783" spans="1:8" x14ac:dyDescent="0.2">
      <c r="A7783" s="2" t="s">
        <v>3250</v>
      </c>
      <c r="B7783" s="2" t="s">
        <v>90</v>
      </c>
      <c r="C7783" s="2">
        <v>717.02970000000005</v>
      </c>
      <c r="D7783" s="2">
        <f>HYPERLINK("http://mcb-m6.bioreg.kyushu-u.ac.jp/M3/20110411/F50918/1767/1", 55.15)</f>
        <v>55.15</v>
      </c>
      <c r="E7783" s="2">
        <v>42.82</v>
      </c>
      <c r="F7783" s="2">
        <v>2</v>
      </c>
      <c r="G7783" s="2" t="s">
        <v>10</v>
      </c>
    </row>
    <row r="7784" spans="1:8" x14ac:dyDescent="0.2">
      <c r="A7784" s="2" t="s">
        <v>3250</v>
      </c>
      <c r="B7784" s="2" t="s">
        <v>90</v>
      </c>
      <c r="C7784" s="2">
        <v>716.9357</v>
      </c>
      <c r="D7784" s="2">
        <f>HYPERLINK("http://mcb-m6.bioreg.kyushu-u.ac.jp/M3/20110411/F50898/2102/1", 55.29)</f>
        <v>55.29</v>
      </c>
      <c r="E7784" s="2">
        <v>39.56</v>
      </c>
      <c r="F7784" s="2">
        <v>2</v>
      </c>
      <c r="G7784" s="2" t="s">
        <v>10</v>
      </c>
    </row>
    <row r="7785" spans="1:8" x14ac:dyDescent="0.2">
      <c r="A7785" s="2" t="s">
        <v>3250</v>
      </c>
      <c r="B7785" s="2" t="s">
        <v>1875</v>
      </c>
      <c r="C7785" s="2">
        <v>788.60860000000002</v>
      </c>
      <c r="D7785" s="2">
        <f>HYPERLINK("http://mcb-m6.bioreg.kyushu-u.ac.jp/M3/20110411/F50902/2293/1", 55.51)</f>
        <v>55.51</v>
      </c>
      <c r="E7785" s="2">
        <v>28.63</v>
      </c>
      <c r="F7785" s="2">
        <v>2</v>
      </c>
      <c r="G7785" s="2" t="s">
        <v>10</v>
      </c>
      <c r="H7785" s="2" t="s">
        <v>4953</v>
      </c>
    </row>
    <row r="7786" spans="1:8" x14ac:dyDescent="0.2">
      <c r="A7786" s="2" t="s">
        <v>3250</v>
      </c>
      <c r="B7786" s="2" t="s">
        <v>834</v>
      </c>
      <c r="C7786" s="2">
        <v>622.05409999999995</v>
      </c>
      <c r="D7786" s="2">
        <f>HYPERLINK("http://mcb-m6.bioreg.kyushu-u.ac.jp/M3/20110411/F50913/1488/1", 55.52)</f>
        <v>55.52</v>
      </c>
      <c r="E7786" s="2">
        <v>27.54</v>
      </c>
      <c r="F7786" s="2">
        <v>2</v>
      </c>
      <c r="G7786" s="2" t="s">
        <v>10</v>
      </c>
    </row>
    <row r="7787" spans="1:8" x14ac:dyDescent="0.2">
      <c r="A7787" s="2" t="s">
        <v>3250</v>
      </c>
      <c r="B7787" s="2" t="s">
        <v>467</v>
      </c>
      <c r="C7787" s="2">
        <v>691.99659999999994</v>
      </c>
      <c r="D7787" s="2">
        <f>HYPERLINK("http://mcb-m6.bioreg.kyushu-u.ac.jp/M3/20110411/F50901/1831/1", 55.59)</f>
        <v>55.59</v>
      </c>
      <c r="E7787" s="2">
        <v>22.25</v>
      </c>
      <c r="F7787" s="2">
        <v>2</v>
      </c>
      <c r="G7787" s="2" t="s">
        <v>10</v>
      </c>
    </row>
    <row r="7788" spans="1:8" x14ac:dyDescent="0.2">
      <c r="A7788" s="2" t="s">
        <v>3250</v>
      </c>
      <c r="B7788" s="2" t="s">
        <v>365</v>
      </c>
      <c r="C7788" s="2">
        <v>849.52470000000005</v>
      </c>
      <c r="D7788" s="2">
        <f>HYPERLINK("http://mcb-m6.bioreg.kyushu-u.ac.jp/M3/20110411/F50901/2492/1", 55.72)</f>
        <v>55.72</v>
      </c>
      <c r="E7788" s="2">
        <v>37.880000000000003</v>
      </c>
      <c r="F7788" s="2">
        <v>2</v>
      </c>
      <c r="G7788" s="2" t="s">
        <v>10</v>
      </c>
    </row>
    <row r="7789" spans="1:8" x14ac:dyDescent="0.2">
      <c r="A7789" s="2" t="s">
        <v>3250</v>
      </c>
      <c r="B7789" s="2" t="s">
        <v>772</v>
      </c>
      <c r="C7789" s="2">
        <v>1190.7339999999999</v>
      </c>
      <c r="D7789" s="2">
        <f>HYPERLINK("http://mcb-m6.bioreg.kyushu-u.ac.jp/M3/20110411/F50900/1637/1", 55.85)</f>
        <v>55.85</v>
      </c>
      <c r="E7789" s="2">
        <v>28.91</v>
      </c>
      <c r="F7789" s="2">
        <v>1</v>
      </c>
      <c r="G7789" s="2" t="s">
        <v>10</v>
      </c>
    </row>
    <row r="7790" spans="1:8" x14ac:dyDescent="0.2">
      <c r="A7790" s="2" t="s">
        <v>3250</v>
      </c>
      <c r="B7790" s="2" t="s">
        <v>90</v>
      </c>
      <c r="C7790" s="2">
        <v>717.33619999999996</v>
      </c>
      <c r="D7790" s="2">
        <f>HYPERLINK("http://mcb-m6.bioreg.kyushu-u.ac.jp/M3/20110411/F50914/1988/1", 55.94)</f>
        <v>55.94</v>
      </c>
      <c r="E7790" s="2">
        <v>34.799999999999997</v>
      </c>
      <c r="F7790" s="2">
        <v>2</v>
      </c>
      <c r="G7790" s="2" t="s">
        <v>10</v>
      </c>
    </row>
    <row r="7791" spans="1:8" x14ac:dyDescent="0.2">
      <c r="A7791" s="2" t="s">
        <v>3250</v>
      </c>
      <c r="B7791" s="2" t="s">
        <v>356</v>
      </c>
      <c r="C7791" s="2">
        <v>816.4932</v>
      </c>
      <c r="D7791" s="2">
        <f>HYPERLINK("http://mcb-m6.bioreg.kyushu-u.ac.jp/M3/20110411/F50918/2245/1", 55.99)</f>
        <v>55.99</v>
      </c>
      <c r="E7791" s="2">
        <v>43.5</v>
      </c>
      <c r="F7791" s="2">
        <v>2</v>
      </c>
      <c r="G7791" s="2" t="s">
        <v>10</v>
      </c>
    </row>
    <row r="7792" spans="1:8" x14ac:dyDescent="0.2">
      <c r="A7792" s="2" t="s">
        <v>3250</v>
      </c>
      <c r="B7792" s="2" t="s">
        <v>365</v>
      </c>
      <c r="C7792" s="2">
        <v>849.01620000000003</v>
      </c>
      <c r="D7792" s="2">
        <f>HYPERLINK("http://mcb-m6.bioreg.kyushu-u.ac.jp/M3/20110411/F50901/2489/1", 56.57)</f>
        <v>56.57</v>
      </c>
      <c r="E7792" s="2">
        <v>37.869999999999997</v>
      </c>
      <c r="F7792" s="2">
        <v>2</v>
      </c>
      <c r="G7792" s="2" t="s">
        <v>10</v>
      </c>
    </row>
    <row r="7793" spans="1:9" x14ac:dyDescent="0.2">
      <c r="A7793" s="2" t="s">
        <v>3250</v>
      </c>
      <c r="B7793" s="2" t="s">
        <v>311</v>
      </c>
      <c r="C7793" s="2">
        <v>598.80110000000002</v>
      </c>
      <c r="D7793" s="2">
        <f>HYPERLINK("http://mcb-m6.bioreg.kyushu-u.ac.jp/M3/20110411/F50914/1459/1", 57.64)</f>
        <v>57.64</v>
      </c>
      <c r="E7793" s="2">
        <v>38.869999999999997</v>
      </c>
      <c r="F7793" s="2">
        <v>2</v>
      </c>
      <c r="G7793" s="2" t="s">
        <v>10</v>
      </c>
    </row>
    <row r="7794" spans="1:9" x14ac:dyDescent="0.2">
      <c r="A7794" s="2" t="s">
        <v>3250</v>
      </c>
      <c r="B7794" s="2" t="s">
        <v>77</v>
      </c>
      <c r="C7794" s="2">
        <v>575.28769999999997</v>
      </c>
      <c r="D7794" s="2">
        <f>HYPERLINK("http://mcb-m6.bioreg.kyushu-u.ac.jp/M3/20110411/F50917/1119/1", 58.08)</f>
        <v>58.08</v>
      </c>
      <c r="E7794" s="2">
        <v>33.5</v>
      </c>
      <c r="F7794" s="2">
        <v>2</v>
      </c>
      <c r="G7794" s="2" t="s">
        <v>10</v>
      </c>
    </row>
    <row r="7795" spans="1:9" x14ac:dyDescent="0.2">
      <c r="A7795" s="2" t="s">
        <v>3250</v>
      </c>
      <c r="B7795" s="2" t="s">
        <v>365</v>
      </c>
      <c r="C7795" s="2">
        <v>848.96870000000001</v>
      </c>
      <c r="D7795" s="2">
        <f>HYPERLINK("http://mcb-m6.bioreg.kyushu-u.ac.jp/M3/20110411/F50901/2488/1", 58.83)</f>
        <v>58.83</v>
      </c>
      <c r="E7795" s="2">
        <v>45.91</v>
      </c>
      <c r="F7795" s="2">
        <v>2</v>
      </c>
      <c r="G7795" s="2" t="s">
        <v>10</v>
      </c>
    </row>
    <row r="7796" spans="1:9" x14ac:dyDescent="0.2">
      <c r="A7796" s="2" t="s">
        <v>3250</v>
      </c>
      <c r="B7796" s="2" t="s">
        <v>90</v>
      </c>
      <c r="C7796" s="2">
        <v>716.79520000000002</v>
      </c>
      <c r="D7796" s="2">
        <f>HYPERLINK("http://mcb-m6.bioreg.kyushu-u.ac.jp/M3/20110411/F50918/1762/1", 59.16)</f>
        <v>59.16</v>
      </c>
      <c r="E7796" s="2">
        <v>37.590000000000003</v>
      </c>
      <c r="F7796" s="2">
        <v>2</v>
      </c>
      <c r="G7796" s="2" t="s">
        <v>10</v>
      </c>
    </row>
    <row r="7797" spans="1:9" x14ac:dyDescent="0.2">
      <c r="A7797" s="2" t="s">
        <v>3250</v>
      </c>
      <c r="B7797" s="2" t="s">
        <v>1765</v>
      </c>
      <c r="C7797" s="2">
        <v>761.88120000000004</v>
      </c>
      <c r="D7797" s="2">
        <f>HYPERLINK("http://mcb-m6.bioreg.kyushu-u.ac.jp/M3/20110411/F50914/2190/1", 59.5)</f>
        <v>59.5</v>
      </c>
      <c r="E7797" s="2">
        <v>43.5</v>
      </c>
      <c r="F7797" s="2">
        <v>2</v>
      </c>
      <c r="G7797" s="2" t="s">
        <v>10</v>
      </c>
    </row>
    <row r="7798" spans="1:9" x14ac:dyDescent="0.2">
      <c r="A7798" s="2" t="s">
        <v>3250</v>
      </c>
      <c r="B7798" s="2" t="s">
        <v>481</v>
      </c>
      <c r="C7798" s="2">
        <v>1417.779</v>
      </c>
      <c r="D7798" s="2">
        <f>HYPERLINK("http://mcb-m6.bioreg.kyushu-u.ac.jp/M3/20110411/F50918/1697/1", 59.74)</f>
        <v>59.74</v>
      </c>
      <c r="E7798" s="2">
        <v>41.9</v>
      </c>
      <c r="F7798" s="2">
        <v>1</v>
      </c>
      <c r="G7798" s="2" t="s">
        <v>10</v>
      </c>
      <c r="I7798" s="2" t="s">
        <v>4898</v>
      </c>
    </row>
    <row r="7799" spans="1:9" x14ac:dyDescent="0.2">
      <c r="A7799" s="2" t="s">
        <v>3250</v>
      </c>
      <c r="B7799" s="2" t="s">
        <v>1065</v>
      </c>
      <c r="C7799" s="2">
        <v>716.87959999999998</v>
      </c>
      <c r="D7799" s="2">
        <f>HYPERLINK("http://mcb-m6.bioreg.kyushu-u.ac.jp/M3/20110411/F50900/2029/1", 60)</f>
        <v>60</v>
      </c>
      <c r="E7799" s="2">
        <v>48.83</v>
      </c>
      <c r="F7799" s="2">
        <v>2</v>
      </c>
      <c r="G7799" s="2" t="s">
        <v>10</v>
      </c>
      <c r="I7799" s="2" t="s">
        <v>4892</v>
      </c>
    </row>
    <row r="7800" spans="1:9" x14ac:dyDescent="0.2">
      <c r="A7800" s="2" t="s">
        <v>3250</v>
      </c>
      <c r="B7800" s="2" t="s">
        <v>543</v>
      </c>
      <c r="C7800" s="2">
        <v>927.05520000000001</v>
      </c>
      <c r="D7800" s="2">
        <f>HYPERLINK("http://mcb-m6.bioreg.kyushu-u.ac.jp/M3/20110411/F50918/2760/1", 60.72)</f>
        <v>60.72</v>
      </c>
      <c r="E7800" s="2">
        <v>40.340000000000003</v>
      </c>
      <c r="F7800" s="2">
        <v>2</v>
      </c>
      <c r="G7800" s="2" t="s">
        <v>10</v>
      </c>
    </row>
    <row r="7801" spans="1:9" x14ac:dyDescent="0.2">
      <c r="A7801" s="2" t="s">
        <v>3250</v>
      </c>
      <c r="B7801" s="2" t="s">
        <v>834</v>
      </c>
      <c r="C7801" s="2">
        <v>621.83420000000001</v>
      </c>
      <c r="D7801" s="2">
        <f>HYPERLINK("http://mcb-m6.bioreg.kyushu-u.ac.jp/M3/20110411/F50900/1727/1", 61.72)</f>
        <v>61.72</v>
      </c>
      <c r="E7801" s="2">
        <v>34.43</v>
      </c>
      <c r="F7801" s="2">
        <v>2</v>
      </c>
      <c r="G7801" s="2" t="s">
        <v>10</v>
      </c>
    </row>
    <row r="7802" spans="1:9" x14ac:dyDescent="0.2">
      <c r="A7802" s="2" t="s">
        <v>3250</v>
      </c>
      <c r="B7802" s="2" t="s">
        <v>356</v>
      </c>
      <c r="C7802" s="2">
        <v>1631.9949999999999</v>
      </c>
      <c r="D7802" s="2">
        <f>HYPERLINK("http://mcb-m6.bioreg.kyushu-u.ac.jp/M3/20110411/F50902/2413/1", 62.55)</f>
        <v>62.55</v>
      </c>
      <c r="E7802" s="2">
        <v>27.54</v>
      </c>
      <c r="F7802" s="2">
        <v>1</v>
      </c>
      <c r="G7802" s="2" t="s">
        <v>10</v>
      </c>
    </row>
    <row r="7803" spans="1:9" x14ac:dyDescent="0.2">
      <c r="A7803" s="2" t="s">
        <v>3250</v>
      </c>
      <c r="B7803" s="2" t="s">
        <v>561</v>
      </c>
      <c r="C7803" s="2">
        <v>1323.7349999999999</v>
      </c>
      <c r="D7803" s="2">
        <f>HYPERLINK("http://mcb-m6.bioreg.kyushu-u.ac.jp/M3/20110411/F50918/1422/1", 62.58)</f>
        <v>62.58</v>
      </c>
      <c r="E7803" s="2">
        <v>46.35</v>
      </c>
      <c r="F7803" s="2">
        <v>1</v>
      </c>
      <c r="G7803" s="2" t="s">
        <v>10</v>
      </c>
      <c r="H7803" s="2" t="s">
        <v>4919</v>
      </c>
    </row>
    <row r="7804" spans="1:9" x14ac:dyDescent="0.2">
      <c r="A7804" s="2" t="s">
        <v>3250</v>
      </c>
      <c r="B7804" s="2" t="s">
        <v>1875</v>
      </c>
      <c r="C7804" s="2">
        <v>780.93910000000005</v>
      </c>
      <c r="D7804" s="2">
        <f>HYPERLINK("http://mcb-m6.bioreg.kyushu-u.ac.jp/M3/20110411/F50914/2292/1", 62.63)</f>
        <v>62.63</v>
      </c>
      <c r="E7804" s="2">
        <v>47.86</v>
      </c>
      <c r="F7804" s="2">
        <v>2</v>
      </c>
      <c r="G7804" s="2" t="s">
        <v>10</v>
      </c>
      <c r="H7804" s="2" t="s">
        <v>4920</v>
      </c>
    </row>
    <row r="7805" spans="1:9" x14ac:dyDescent="0.2">
      <c r="A7805" s="2" t="s">
        <v>3250</v>
      </c>
      <c r="B7805" s="2" t="s">
        <v>834</v>
      </c>
      <c r="C7805" s="2">
        <v>621.91110000000003</v>
      </c>
      <c r="D7805" s="2">
        <f>HYPERLINK("http://mcb-m6.bioreg.kyushu-u.ac.jp/M3/20110411/F50918/1256/1", 62.75)</f>
        <v>62.75</v>
      </c>
      <c r="E7805" s="2">
        <v>42.44</v>
      </c>
      <c r="F7805" s="2">
        <v>2</v>
      </c>
      <c r="G7805" s="2" t="s">
        <v>10</v>
      </c>
    </row>
    <row r="7806" spans="1:9" x14ac:dyDescent="0.2">
      <c r="A7806" s="2" t="s">
        <v>3250</v>
      </c>
      <c r="B7806" s="2" t="s">
        <v>1875</v>
      </c>
      <c r="C7806" s="2">
        <v>772.67470000000003</v>
      </c>
      <c r="D7806" s="2">
        <f>HYPERLINK("http://mcb-m6.bioreg.kyushu-u.ac.jp/M3/20110411/F50912/2195/1", 63.12)</f>
        <v>63.12</v>
      </c>
      <c r="E7806" s="2">
        <v>44.03</v>
      </c>
      <c r="F7806" s="2">
        <v>2</v>
      </c>
      <c r="G7806" s="2" t="s">
        <v>10</v>
      </c>
    </row>
    <row r="7807" spans="1:9" x14ac:dyDescent="0.2">
      <c r="A7807" s="2" t="s">
        <v>3250</v>
      </c>
      <c r="B7807" s="2" t="s">
        <v>365</v>
      </c>
      <c r="C7807" s="2">
        <v>849.17470000000003</v>
      </c>
      <c r="D7807" s="2">
        <f>HYPERLINK("http://mcb-m6.bioreg.kyushu-u.ac.jp/M3/20110411/F50912/2525/1", 63.16)</f>
        <v>63.16</v>
      </c>
      <c r="E7807" s="2">
        <v>44.89</v>
      </c>
      <c r="F7807" s="2">
        <v>2</v>
      </c>
      <c r="G7807" s="2" t="s">
        <v>10</v>
      </c>
    </row>
    <row r="7808" spans="1:9" x14ac:dyDescent="0.2">
      <c r="A7808" s="2" t="s">
        <v>3250</v>
      </c>
      <c r="B7808" s="2" t="s">
        <v>311</v>
      </c>
      <c r="C7808" s="2">
        <v>606.78769999999997</v>
      </c>
      <c r="D7808" s="2">
        <f>HYPERLINK("http://mcb-m6.bioreg.kyushu-u.ac.jp/M3/20110411/F50914/1494/1", 63.58)</f>
        <v>63.58</v>
      </c>
      <c r="E7808" s="2">
        <v>43.65</v>
      </c>
      <c r="F7808" s="2">
        <v>2</v>
      </c>
      <c r="G7808" s="2" t="s">
        <v>10</v>
      </c>
      <c r="H7808" s="2" t="s">
        <v>4908</v>
      </c>
    </row>
    <row r="7809" spans="1:9" x14ac:dyDescent="0.2">
      <c r="A7809" s="2" t="s">
        <v>3250</v>
      </c>
      <c r="B7809" s="2" t="s">
        <v>311</v>
      </c>
      <c r="C7809" s="2">
        <v>607.02719999999999</v>
      </c>
      <c r="D7809" s="2">
        <f>HYPERLINK("http://mcb-m6.bioreg.kyushu-u.ac.jp/M3/20110411/F50912/1470/1", 63.59)</f>
        <v>63.59</v>
      </c>
      <c r="E7809" s="2">
        <v>34.07</v>
      </c>
      <c r="F7809" s="2">
        <v>2</v>
      </c>
      <c r="G7809" s="2" t="s">
        <v>10</v>
      </c>
      <c r="H7809" s="2" t="s">
        <v>4908</v>
      </c>
    </row>
    <row r="7810" spans="1:9" x14ac:dyDescent="0.2">
      <c r="A7810" s="2" t="s">
        <v>3250</v>
      </c>
      <c r="B7810" s="2" t="s">
        <v>1875</v>
      </c>
      <c r="C7810" s="2">
        <v>772.56460000000004</v>
      </c>
      <c r="D7810" s="2">
        <f>HYPERLINK("http://mcb-m6.bioreg.kyushu-u.ac.jp/M3/20110411/F50914/2248/1", 63.65)</f>
        <v>63.65</v>
      </c>
      <c r="E7810" s="2">
        <v>46.69</v>
      </c>
      <c r="F7810" s="2">
        <v>2</v>
      </c>
      <c r="G7810" s="2" t="s">
        <v>10</v>
      </c>
    </row>
    <row r="7811" spans="1:9" x14ac:dyDescent="0.2">
      <c r="A7811" s="2" t="s">
        <v>3250</v>
      </c>
      <c r="B7811" s="2" t="s">
        <v>503</v>
      </c>
      <c r="C7811" s="2">
        <v>808.57420000000002</v>
      </c>
      <c r="D7811" s="2">
        <f>HYPERLINK("http://mcb-m6.bioreg.kyushu-u.ac.jp/M3/20110411/F50917/2369/1", 64.44)</f>
        <v>64.44</v>
      </c>
      <c r="E7811" s="2">
        <v>55.66</v>
      </c>
      <c r="F7811" s="2">
        <v>2</v>
      </c>
      <c r="G7811" s="2" t="s">
        <v>10</v>
      </c>
    </row>
    <row r="7812" spans="1:9" x14ac:dyDescent="0.2">
      <c r="A7812" s="2" t="s">
        <v>3250</v>
      </c>
      <c r="B7812" s="2" t="s">
        <v>311</v>
      </c>
      <c r="C7812" s="2">
        <v>598.98469999999998</v>
      </c>
      <c r="D7812" s="2">
        <f>HYPERLINK("http://mcb-m6.bioreg.kyushu-u.ac.jp/M3/20110411/F50913/1402/1", 64.66)</f>
        <v>64.66</v>
      </c>
      <c r="E7812" s="2">
        <v>41.29</v>
      </c>
      <c r="F7812" s="2">
        <v>2</v>
      </c>
      <c r="G7812" s="2" t="s">
        <v>10</v>
      </c>
    </row>
    <row r="7813" spans="1:9" x14ac:dyDescent="0.2">
      <c r="A7813" s="2" t="s">
        <v>3250</v>
      </c>
      <c r="B7813" s="2" t="s">
        <v>1065</v>
      </c>
      <c r="C7813" s="2">
        <v>717.2106</v>
      </c>
      <c r="D7813" s="2">
        <f>HYPERLINK("http://mcb-m6.bioreg.kyushu-u.ac.jp/M3/20110411/F50902/1941/1", 64.75)</f>
        <v>64.75</v>
      </c>
      <c r="E7813" s="2">
        <v>50.37</v>
      </c>
      <c r="F7813" s="2">
        <v>2</v>
      </c>
      <c r="G7813" s="2" t="s">
        <v>10</v>
      </c>
      <c r="I7813" s="2" t="s">
        <v>4892</v>
      </c>
    </row>
    <row r="7814" spans="1:9" x14ac:dyDescent="0.2">
      <c r="A7814" s="2" t="s">
        <v>3250</v>
      </c>
      <c r="B7814" s="2" t="s">
        <v>772</v>
      </c>
      <c r="C7814" s="2">
        <v>596.25869999999998</v>
      </c>
      <c r="D7814" s="2">
        <f>HYPERLINK("http://mcb-m6.bioreg.kyushu-u.ac.jp/M3/20110411/F50898/1777/1", 65.48)</f>
        <v>65.48</v>
      </c>
      <c r="E7814" s="2">
        <v>36.409999999999997</v>
      </c>
      <c r="F7814" s="2">
        <v>2</v>
      </c>
      <c r="G7814" s="2" t="s">
        <v>10</v>
      </c>
    </row>
    <row r="7815" spans="1:9" x14ac:dyDescent="0.2">
      <c r="A7815" s="2" t="s">
        <v>3250</v>
      </c>
      <c r="B7815" s="2" t="s">
        <v>1787</v>
      </c>
      <c r="C7815" s="2">
        <v>588.36410000000001</v>
      </c>
      <c r="D7815" s="2">
        <f>HYPERLINK("http://mcb-m6.bioreg.kyushu-u.ac.jp/M3/20110411/F50901/1457/1", 65.56)</f>
        <v>65.56</v>
      </c>
      <c r="E7815" s="2">
        <v>47.75</v>
      </c>
      <c r="F7815" s="2">
        <v>2</v>
      </c>
      <c r="G7815" s="2" t="s">
        <v>10</v>
      </c>
      <c r="I7815" s="2" t="s">
        <v>4895</v>
      </c>
    </row>
    <row r="7816" spans="1:9" x14ac:dyDescent="0.2">
      <c r="A7816" s="2" t="s">
        <v>3250</v>
      </c>
      <c r="B7816" s="2" t="s">
        <v>1255</v>
      </c>
      <c r="C7816" s="2">
        <v>1274.1310000000001</v>
      </c>
      <c r="D7816" s="2">
        <f>HYPERLINK("http://mcb-m6.bioreg.kyushu-u.ac.jp/M3/20110411/F50917/4100/1", 65.81)</f>
        <v>65.81</v>
      </c>
      <c r="E7816" s="2">
        <v>56.16</v>
      </c>
      <c r="F7816" s="2">
        <v>2</v>
      </c>
      <c r="G7816" s="2" t="s">
        <v>10</v>
      </c>
      <c r="I7816" s="2" t="s">
        <v>4906</v>
      </c>
    </row>
    <row r="7817" spans="1:9" x14ac:dyDescent="0.2">
      <c r="A7817" s="2" t="s">
        <v>3250</v>
      </c>
      <c r="B7817" s="2" t="s">
        <v>365</v>
      </c>
      <c r="C7817" s="2">
        <v>1697.4079999999999</v>
      </c>
      <c r="D7817" s="2">
        <f>HYPERLINK("http://mcb-m6.bioreg.kyushu-u.ac.jp/M3/20110411/F50918/2390/1", 65.81)</f>
        <v>65.81</v>
      </c>
      <c r="E7817" s="2">
        <v>54.11</v>
      </c>
      <c r="F7817" s="2">
        <v>1</v>
      </c>
      <c r="G7817" s="2" t="s">
        <v>10</v>
      </c>
    </row>
    <row r="7818" spans="1:9" x14ac:dyDescent="0.2">
      <c r="A7818" s="2" t="s">
        <v>3250</v>
      </c>
      <c r="B7818" s="2" t="s">
        <v>561</v>
      </c>
      <c r="C7818" s="2">
        <v>654.83619999999996</v>
      </c>
      <c r="D7818" s="2">
        <f>HYPERLINK("http://mcb-m6.bioreg.kyushu-u.ac.jp/M3/20110411/F50900/1809/1", 66.07)</f>
        <v>66.069999999999993</v>
      </c>
      <c r="E7818" s="2">
        <v>46.84</v>
      </c>
      <c r="F7818" s="2">
        <v>2</v>
      </c>
      <c r="G7818" s="2" t="s">
        <v>10</v>
      </c>
    </row>
    <row r="7819" spans="1:9" x14ac:dyDescent="0.2">
      <c r="A7819" s="2" t="s">
        <v>3250</v>
      </c>
      <c r="B7819" s="2" t="s">
        <v>481</v>
      </c>
      <c r="C7819" s="2">
        <v>709.4991</v>
      </c>
      <c r="D7819" s="2">
        <f>HYPERLINK("http://mcb-m6.bioreg.kyushu-u.ac.jp/M3/20110411/F50917/1774/1", 66.18)</f>
        <v>66.180000000000007</v>
      </c>
      <c r="E7819" s="2">
        <v>51.3</v>
      </c>
      <c r="F7819" s="2">
        <v>2</v>
      </c>
      <c r="G7819" s="2" t="s">
        <v>10</v>
      </c>
      <c r="I7819" s="2" t="s">
        <v>4898</v>
      </c>
    </row>
    <row r="7820" spans="1:9" x14ac:dyDescent="0.2">
      <c r="A7820" s="2" t="s">
        <v>3250</v>
      </c>
      <c r="B7820" s="2" t="s">
        <v>365</v>
      </c>
      <c r="C7820" s="2">
        <v>849.04319999999996</v>
      </c>
      <c r="D7820" s="2">
        <f>HYPERLINK("http://mcb-m6.bioreg.kyushu-u.ac.jp/M3/20110411/F50918/2389/1", 67.39)</f>
        <v>67.39</v>
      </c>
      <c r="E7820" s="2">
        <v>52.14</v>
      </c>
      <c r="F7820" s="2">
        <v>2</v>
      </c>
      <c r="G7820" s="2" t="s">
        <v>10</v>
      </c>
    </row>
    <row r="7821" spans="1:9" x14ac:dyDescent="0.2">
      <c r="A7821" s="2" t="s">
        <v>3250</v>
      </c>
      <c r="B7821" s="2" t="s">
        <v>1787</v>
      </c>
      <c r="C7821" s="2">
        <v>588.86320000000001</v>
      </c>
      <c r="D7821" s="2">
        <f>HYPERLINK("http://mcb-m6.bioreg.kyushu-u.ac.jp/M3/20110411/F50918/1100/1", 67.62)</f>
        <v>67.62</v>
      </c>
      <c r="E7821" s="2">
        <v>47.91</v>
      </c>
      <c r="F7821" s="2">
        <v>2</v>
      </c>
      <c r="G7821" s="2" t="s">
        <v>10</v>
      </c>
      <c r="I7821" s="2" t="s">
        <v>4895</v>
      </c>
    </row>
    <row r="7822" spans="1:9" x14ac:dyDescent="0.2">
      <c r="A7822" s="2" t="s">
        <v>3250</v>
      </c>
      <c r="B7822" s="2" t="s">
        <v>102</v>
      </c>
      <c r="C7822" s="2">
        <v>608.71770000000004</v>
      </c>
      <c r="D7822" s="2">
        <f>HYPERLINK("http://mcb-m6.bioreg.kyushu-u.ac.jp/M3/20110411/F50902/1481/1", 67.99)</f>
        <v>67.989999999999995</v>
      </c>
      <c r="E7822" s="2">
        <v>52.85</v>
      </c>
      <c r="F7822" s="2">
        <v>2</v>
      </c>
      <c r="G7822" s="2" t="s">
        <v>10</v>
      </c>
    </row>
    <row r="7823" spans="1:9" x14ac:dyDescent="0.2">
      <c r="A7823" s="2" t="s">
        <v>3250</v>
      </c>
      <c r="B7823" s="2" t="s">
        <v>1875</v>
      </c>
      <c r="C7823" s="2">
        <v>780.41359999999997</v>
      </c>
      <c r="D7823" s="2">
        <f>HYPERLINK("http://mcb-m6.bioreg.kyushu-u.ac.jp/M3/20110411/F50914/2282/1", 68.02)</f>
        <v>68.02</v>
      </c>
      <c r="E7823" s="2">
        <v>55.87</v>
      </c>
      <c r="F7823" s="2">
        <v>2</v>
      </c>
      <c r="G7823" s="2" t="s">
        <v>10</v>
      </c>
      <c r="H7823" s="2" t="s">
        <v>4920</v>
      </c>
    </row>
    <row r="7824" spans="1:9" x14ac:dyDescent="0.2">
      <c r="A7824" s="2" t="s">
        <v>3250</v>
      </c>
      <c r="B7824" s="2" t="s">
        <v>834</v>
      </c>
      <c r="C7824" s="2">
        <v>622.30219999999997</v>
      </c>
      <c r="D7824" s="2">
        <f>HYPERLINK("http://mcb-m6.bioreg.kyushu-u.ac.jp/M3/20110411/F50914/1552/1", 68.39)</f>
        <v>68.39</v>
      </c>
      <c r="E7824" s="2">
        <v>52.75</v>
      </c>
      <c r="F7824" s="2">
        <v>2</v>
      </c>
      <c r="G7824" s="2" t="s">
        <v>10</v>
      </c>
    </row>
    <row r="7825" spans="1:9" x14ac:dyDescent="0.2">
      <c r="A7825" s="2" t="s">
        <v>3250</v>
      </c>
      <c r="B7825" s="2" t="s">
        <v>356</v>
      </c>
      <c r="C7825" s="2">
        <v>816.48270000000002</v>
      </c>
      <c r="D7825" s="2">
        <f>HYPERLINK("http://mcb-m6.bioreg.kyushu-u.ac.jp/M3/20110411/F50918/2244/1", 68.44)</f>
        <v>68.44</v>
      </c>
      <c r="E7825" s="2">
        <v>56.74</v>
      </c>
      <c r="F7825" s="2">
        <v>2</v>
      </c>
      <c r="G7825" s="2" t="s">
        <v>10</v>
      </c>
    </row>
    <row r="7826" spans="1:9" x14ac:dyDescent="0.2">
      <c r="A7826" s="2" t="s">
        <v>3250</v>
      </c>
      <c r="B7826" s="2" t="s">
        <v>467</v>
      </c>
      <c r="C7826" s="2">
        <v>1382.72</v>
      </c>
      <c r="D7826" s="2">
        <f>HYPERLINK("http://mcb-m6.bioreg.kyushu-u.ac.jp/M3/20110411/F50918/1603/1", 68.68)</f>
        <v>68.680000000000007</v>
      </c>
      <c r="E7826" s="2">
        <v>48.74</v>
      </c>
      <c r="F7826" s="2">
        <v>1</v>
      </c>
      <c r="G7826" s="2" t="s">
        <v>10</v>
      </c>
    </row>
    <row r="7827" spans="1:9" x14ac:dyDescent="0.2">
      <c r="A7827" s="2" t="s">
        <v>3250</v>
      </c>
      <c r="B7827" s="2" t="s">
        <v>834</v>
      </c>
      <c r="C7827" s="2">
        <v>622.25070000000005</v>
      </c>
      <c r="D7827" s="2">
        <f>HYPERLINK("http://mcb-m6.bioreg.kyushu-u.ac.jp/M3/20110411/F50902/1529/1", 68.73)</f>
        <v>68.73</v>
      </c>
      <c r="E7827" s="2">
        <v>38.090000000000003</v>
      </c>
      <c r="F7827" s="2">
        <v>2</v>
      </c>
      <c r="G7827" s="2" t="s">
        <v>10</v>
      </c>
    </row>
    <row r="7828" spans="1:9" x14ac:dyDescent="0.2">
      <c r="A7828" s="2" t="s">
        <v>3250</v>
      </c>
      <c r="B7828" s="2" t="s">
        <v>365</v>
      </c>
      <c r="C7828" s="2">
        <v>849.4316</v>
      </c>
      <c r="D7828" s="2">
        <f>HYPERLINK("http://mcb-m6.bioreg.kyushu-u.ac.jp/M3/20110411/F50914/2587/1", 69.72)</f>
        <v>69.72</v>
      </c>
      <c r="E7828" s="2">
        <v>51.45</v>
      </c>
      <c r="F7828" s="2">
        <v>2</v>
      </c>
      <c r="G7828" s="2" t="s">
        <v>10</v>
      </c>
    </row>
    <row r="7829" spans="1:9" x14ac:dyDescent="0.2">
      <c r="A7829" s="2" t="s">
        <v>3250</v>
      </c>
      <c r="B7829" s="2" t="s">
        <v>365</v>
      </c>
      <c r="C7829" s="2">
        <v>1697.0150000000001</v>
      </c>
      <c r="D7829" s="2">
        <f>HYPERLINK("http://mcb-m6.bioreg.kyushu-u.ac.jp/M3/20110411/F50902/2578/1", 70.71)</f>
        <v>70.709999999999994</v>
      </c>
      <c r="E7829" s="2">
        <v>54.96</v>
      </c>
      <c r="F7829" s="2">
        <v>1</v>
      </c>
      <c r="G7829" s="2" t="s">
        <v>10</v>
      </c>
    </row>
    <row r="7830" spans="1:9" x14ac:dyDescent="0.2">
      <c r="A7830" s="2" t="s">
        <v>3250</v>
      </c>
      <c r="B7830" s="2" t="s">
        <v>561</v>
      </c>
      <c r="C7830" s="2">
        <v>654.90060000000005</v>
      </c>
      <c r="D7830" s="2">
        <f>HYPERLINK("http://mcb-m6.bioreg.kyushu-u.ac.jp/M3/20110411/F50917/1484/1", 70.83)</f>
        <v>70.83</v>
      </c>
      <c r="E7830" s="2">
        <v>54.64</v>
      </c>
      <c r="F7830" s="2">
        <v>2</v>
      </c>
      <c r="G7830" s="2" t="s">
        <v>10</v>
      </c>
    </row>
    <row r="7831" spans="1:9" x14ac:dyDescent="0.2">
      <c r="A7831" s="2" t="s">
        <v>3250</v>
      </c>
      <c r="B7831" s="2" t="s">
        <v>543</v>
      </c>
      <c r="C7831" s="2">
        <v>926.8682</v>
      </c>
      <c r="D7831" s="2">
        <f>HYPERLINK("http://mcb-m6.bioreg.kyushu-u.ac.jp/M3/20110411/F50902/2916/1", 71.06)</f>
        <v>71.06</v>
      </c>
      <c r="E7831" s="2">
        <v>44.15</v>
      </c>
      <c r="F7831" s="2">
        <v>2</v>
      </c>
      <c r="G7831" s="2" t="s">
        <v>10</v>
      </c>
    </row>
    <row r="7832" spans="1:9" x14ac:dyDescent="0.2">
      <c r="A7832" s="2" t="s">
        <v>3250</v>
      </c>
      <c r="B7832" s="2" t="s">
        <v>356</v>
      </c>
      <c r="C7832" s="2">
        <v>1631.9169999999999</v>
      </c>
      <c r="D7832" s="2">
        <f>HYPERLINK("http://mcb-m6.bioreg.kyushu-u.ac.jp/M3/20110411/F50918/2243/1", 71.07)</f>
        <v>71.069999999999993</v>
      </c>
      <c r="E7832" s="2">
        <v>45.31</v>
      </c>
      <c r="F7832" s="2">
        <v>1</v>
      </c>
      <c r="G7832" s="2" t="s">
        <v>10</v>
      </c>
    </row>
    <row r="7833" spans="1:9" x14ac:dyDescent="0.2">
      <c r="A7833" s="2" t="s">
        <v>3250</v>
      </c>
      <c r="B7833" s="2" t="s">
        <v>561</v>
      </c>
      <c r="C7833" s="2">
        <v>654.94920000000002</v>
      </c>
      <c r="D7833" s="2">
        <f>HYPERLINK("http://mcb-m6.bioreg.kyushu-u.ac.jp/M3/20110411/F50901/1675/1", 71.74)</f>
        <v>71.739999999999995</v>
      </c>
      <c r="E7833" s="2">
        <v>49.45</v>
      </c>
      <c r="F7833" s="2">
        <v>2</v>
      </c>
      <c r="G7833" s="2" t="s">
        <v>10</v>
      </c>
    </row>
    <row r="7834" spans="1:9" x14ac:dyDescent="0.2">
      <c r="A7834" s="2" t="s">
        <v>3250</v>
      </c>
      <c r="B7834" s="2" t="s">
        <v>467</v>
      </c>
      <c r="C7834" s="2">
        <v>1382.895</v>
      </c>
      <c r="D7834" s="2">
        <f>HYPERLINK("http://mcb-m6.bioreg.kyushu-u.ac.jp/M3/20110411/F50901/1829/1", 71.98)</f>
        <v>71.98</v>
      </c>
      <c r="E7834" s="2">
        <v>44.84</v>
      </c>
      <c r="F7834" s="2">
        <v>1</v>
      </c>
      <c r="G7834" s="2" t="s">
        <v>10</v>
      </c>
    </row>
    <row r="7835" spans="1:9" x14ac:dyDescent="0.2">
      <c r="A7835" s="2" t="s">
        <v>3250</v>
      </c>
      <c r="B7835" s="2" t="s">
        <v>503</v>
      </c>
      <c r="C7835" s="2">
        <v>816.5317</v>
      </c>
      <c r="D7835" s="2">
        <f>HYPERLINK("http://mcb-m6.bioreg.kyushu-u.ac.jp/M3/20110411/F50918/2246/1", 72.01)</f>
        <v>72.010000000000005</v>
      </c>
      <c r="E7835" s="2">
        <v>57.96</v>
      </c>
      <c r="F7835" s="2">
        <v>2</v>
      </c>
      <c r="G7835" s="2" t="s">
        <v>10</v>
      </c>
      <c r="H7835" s="2" t="s">
        <v>4907</v>
      </c>
    </row>
    <row r="7836" spans="1:9" x14ac:dyDescent="0.2">
      <c r="A7836" s="2" t="s">
        <v>3250</v>
      </c>
      <c r="B7836" s="2" t="s">
        <v>1875</v>
      </c>
      <c r="C7836" s="2">
        <v>772.56269999999995</v>
      </c>
      <c r="D7836" s="2">
        <f>HYPERLINK("http://mcb-m6.bioreg.kyushu-u.ac.jp/M3/20110411/F50918/2030/1", 72.14)</f>
        <v>72.14</v>
      </c>
      <c r="E7836" s="2">
        <v>49.81</v>
      </c>
      <c r="F7836" s="2">
        <v>2</v>
      </c>
      <c r="G7836" s="2" t="s">
        <v>10</v>
      </c>
    </row>
    <row r="7837" spans="1:9" x14ac:dyDescent="0.2">
      <c r="A7837" s="2" t="s">
        <v>3250</v>
      </c>
      <c r="B7837" s="2" t="s">
        <v>175</v>
      </c>
      <c r="C7837" s="2">
        <v>784.5027</v>
      </c>
      <c r="D7837" s="2">
        <f>HYPERLINK("http://mcb-m6.bioreg.kyushu-u.ac.jp/M3/20110411/F50917/2238/1", 72.54)</f>
        <v>72.540000000000006</v>
      </c>
      <c r="E7837" s="2">
        <v>53.15</v>
      </c>
      <c r="F7837" s="2">
        <v>2</v>
      </c>
      <c r="G7837" s="2" t="s">
        <v>10</v>
      </c>
      <c r="I7837" s="2" t="s">
        <v>4893</v>
      </c>
    </row>
    <row r="7838" spans="1:9" x14ac:dyDescent="0.2">
      <c r="A7838" s="2" t="s">
        <v>3250</v>
      </c>
      <c r="B7838" s="2" t="s">
        <v>90</v>
      </c>
      <c r="C7838" s="2">
        <v>1432.8710000000001</v>
      </c>
      <c r="D7838" s="2">
        <f>HYPERLINK("http://mcb-m6.bioreg.kyushu-u.ac.jp/M3/20110411/F50902/1935/1", 72.59)</f>
        <v>72.59</v>
      </c>
      <c r="E7838" s="2">
        <v>45.63</v>
      </c>
      <c r="F7838" s="2">
        <v>1</v>
      </c>
      <c r="G7838" s="2" t="s">
        <v>10</v>
      </c>
    </row>
    <row r="7839" spans="1:9" x14ac:dyDescent="0.2">
      <c r="A7839" s="2" t="s">
        <v>3250</v>
      </c>
      <c r="B7839" s="2" t="s">
        <v>365</v>
      </c>
      <c r="C7839" s="2">
        <v>849.0652</v>
      </c>
      <c r="D7839" s="2">
        <f>HYPERLINK("http://mcb-m6.bioreg.kyushu-u.ac.jp/M3/20110411/F50902/2580/1", 72.69)</f>
        <v>72.69</v>
      </c>
      <c r="E7839" s="2">
        <v>55.9</v>
      </c>
      <c r="F7839" s="2">
        <v>2</v>
      </c>
      <c r="G7839" s="2" t="s">
        <v>10</v>
      </c>
    </row>
    <row r="7840" spans="1:9" x14ac:dyDescent="0.2">
      <c r="A7840" s="2" t="s">
        <v>3250</v>
      </c>
      <c r="B7840" s="2" t="s">
        <v>1665</v>
      </c>
      <c r="C7840" s="2">
        <v>765.26350000000002</v>
      </c>
      <c r="D7840" s="2">
        <f>HYPERLINK("http://mcb-m6.bioreg.kyushu-u.ac.jp/M3/20110411/F50920/3216/1", 73.91)</f>
        <v>73.91</v>
      </c>
      <c r="E7840" s="2">
        <v>62.1</v>
      </c>
      <c r="F7840" s="2">
        <v>3</v>
      </c>
      <c r="G7840" s="2" t="s">
        <v>10</v>
      </c>
    </row>
    <row r="7841" spans="1:9" x14ac:dyDescent="0.2">
      <c r="A7841" s="2" t="s">
        <v>3250</v>
      </c>
      <c r="B7841" s="2" t="s">
        <v>77</v>
      </c>
      <c r="C7841" s="2">
        <v>574.96119999999996</v>
      </c>
      <c r="D7841" s="2">
        <f>HYPERLINK("http://mcb-m6.bioreg.kyushu-u.ac.jp/M3/20110411/F50901/1412/1", 74.16)</f>
        <v>74.16</v>
      </c>
      <c r="E7841" s="2">
        <v>48.16</v>
      </c>
      <c r="F7841" s="2">
        <v>2</v>
      </c>
      <c r="G7841" s="2" t="s">
        <v>10</v>
      </c>
    </row>
    <row r="7842" spans="1:9" x14ac:dyDescent="0.2">
      <c r="A7842" s="2" t="s">
        <v>3250</v>
      </c>
      <c r="B7842" s="2" t="s">
        <v>503</v>
      </c>
      <c r="C7842" s="2">
        <v>816.56870000000004</v>
      </c>
      <c r="D7842" s="2">
        <f>HYPERLINK("http://mcb-m6.bioreg.kyushu-u.ac.jp/M3/20110411/F50902/2416/1", 74.28)</f>
        <v>74.28</v>
      </c>
      <c r="E7842" s="2">
        <v>57.71</v>
      </c>
      <c r="F7842" s="2">
        <v>2</v>
      </c>
      <c r="G7842" s="2" t="s">
        <v>10</v>
      </c>
      <c r="H7842" s="2" t="s">
        <v>4907</v>
      </c>
    </row>
    <row r="7843" spans="1:9" x14ac:dyDescent="0.2">
      <c r="A7843" s="2" t="s">
        <v>3250</v>
      </c>
      <c r="B7843" s="2" t="s">
        <v>175</v>
      </c>
      <c r="C7843" s="2">
        <v>784.44870000000003</v>
      </c>
      <c r="D7843" s="2">
        <f>HYPERLINK("http://mcb-m6.bioreg.kyushu-u.ac.jp/M3/20110411/F50914/2321/1", 74.93)</f>
        <v>74.930000000000007</v>
      </c>
      <c r="E7843" s="2">
        <v>53.68</v>
      </c>
      <c r="F7843" s="2">
        <v>2</v>
      </c>
      <c r="G7843" s="2" t="s">
        <v>10</v>
      </c>
      <c r="I7843" s="2" t="s">
        <v>4893</v>
      </c>
    </row>
    <row r="7844" spans="1:9" x14ac:dyDescent="0.2">
      <c r="A7844" s="2" t="s">
        <v>3250</v>
      </c>
      <c r="B7844" s="2" t="s">
        <v>834</v>
      </c>
      <c r="C7844" s="2">
        <v>621.64319999999998</v>
      </c>
      <c r="D7844" s="2">
        <f>HYPERLINK("http://mcb-m6.bioreg.kyushu-u.ac.jp/M3/20110411/F50914/1549/1", 75.26)</f>
        <v>75.260000000000005</v>
      </c>
      <c r="E7844" s="2">
        <v>54.64</v>
      </c>
      <c r="F7844" s="2">
        <v>2</v>
      </c>
      <c r="G7844" s="2" t="s">
        <v>10</v>
      </c>
    </row>
    <row r="7845" spans="1:9" x14ac:dyDescent="0.2">
      <c r="A7845" s="2" t="s">
        <v>3250</v>
      </c>
      <c r="B7845" s="2" t="s">
        <v>311</v>
      </c>
      <c r="C7845" s="2">
        <v>598.99770000000001</v>
      </c>
      <c r="D7845" s="2">
        <f>HYPERLINK("http://mcb-m6.bioreg.kyushu-u.ac.jp/M3/20110411/F50902/1439/1", 75.35)</f>
        <v>75.349999999999994</v>
      </c>
      <c r="E7845" s="2">
        <v>49.02</v>
      </c>
      <c r="F7845" s="2">
        <v>2</v>
      </c>
      <c r="G7845" s="2" t="s">
        <v>10</v>
      </c>
    </row>
    <row r="7846" spans="1:9" x14ac:dyDescent="0.2">
      <c r="A7846" s="2" t="s">
        <v>3250</v>
      </c>
      <c r="B7846" s="2" t="s">
        <v>543</v>
      </c>
      <c r="C7846" s="2">
        <v>927.20370000000003</v>
      </c>
      <c r="D7846" s="2">
        <f>HYPERLINK("http://mcb-m6.bioreg.kyushu-u.ac.jp/M3/20110411/F50902/2917/1", 75.67)</f>
        <v>75.67</v>
      </c>
      <c r="E7846" s="2">
        <v>56</v>
      </c>
      <c r="F7846" s="2">
        <v>2</v>
      </c>
      <c r="G7846" s="2" t="s">
        <v>10</v>
      </c>
    </row>
    <row r="7847" spans="1:9" x14ac:dyDescent="0.2">
      <c r="A7847" s="2" t="s">
        <v>3250</v>
      </c>
      <c r="B7847" s="2" t="s">
        <v>467</v>
      </c>
      <c r="C7847" s="2">
        <v>1382.807</v>
      </c>
      <c r="D7847" s="2">
        <f>HYPERLINK("http://mcb-m6.bioreg.kyushu-u.ac.jp/M3/20110411/F50900/1934/1", 75.78)</f>
        <v>75.78</v>
      </c>
      <c r="E7847" s="2">
        <v>63.96</v>
      </c>
      <c r="F7847" s="2">
        <v>1</v>
      </c>
      <c r="G7847" s="2" t="s">
        <v>10</v>
      </c>
    </row>
    <row r="7848" spans="1:9" x14ac:dyDescent="0.2">
      <c r="A7848" s="2" t="s">
        <v>3250</v>
      </c>
      <c r="B7848" s="2" t="s">
        <v>467</v>
      </c>
      <c r="C7848" s="2">
        <v>691.9117</v>
      </c>
      <c r="D7848" s="2">
        <f>HYPERLINK("http://mcb-m6.bioreg.kyushu-u.ac.jp/M3/20110411/F50902/1813/1", 76.17)</f>
        <v>76.17</v>
      </c>
      <c r="E7848" s="2">
        <v>45.4</v>
      </c>
      <c r="F7848" s="2">
        <v>2</v>
      </c>
      <c r="G7848" s="2" t="s">
        <v>10</v>
      </c>
    </row>
    <row r="7849" spans="1:9" x14ac:dyDescent="0.2">
      <c r="A7849" s="2" t="s">
        <v>3250</v>
      </c>
      <c r="B7849" s="2" t="s">
        <v>1875</v>
      </c>
      <c r="C7849" s="2">
        <v>772.86069999999995</v>
      </c>
      <c r="D7849" s="2">
        <f>HYPERLINK("http://mcb-m6.bioreg.kyushu-u.ac.jp/M3/20110411/F50902/2213/1", 76.37)</f>
        <v>76.37</v>
      </c>
      <c r="E7849" s="2">
        <v>52.67</v>
      </c>
      <c r="F7849" s="2">
        <v>2</v>
      </c>
      <c r="G7849" s="2" t="s">
        <v>10</v>
      </c>
    </row>
    <row r="7850" spans="1:9" x14ac:dyDescent="0.2">
      <c r="A7850" s="2" t="s">
        <v>3250</v>
      </c>
      <c r="B7850" s="2" t="s">
        <v>467</v>
      </c>
      <c r="C7850" s="2">
        <v>1383.87</v>
      </c>
      <c r="D7850" s="2">
        <f>HYPERLINK("http://mcb-m6.bioreg.kyushu-u.ac.jp/M3/20110411/F50900/1937/1", 76.69)</f>
        <v>76.69</v>
      </c>
      <c r="E7850" s="2">
        <v>56.47</v>
      </c>
      <c r="F7850" s="2">
        <v>1</v>
      </c>
      <c r="G7850" s="2" t="s">
        <v>10</v>
      </c>
    </row>
    <row r="7851" spans="1:9" x14ac:dyDescent="0.2">
      <c r="A7851" s="2" t="s">
        <v>3250</v>
      </c>
      <c r="B7851" s="2" t="s">
        <v>1875</v>
      </c>
      <c r="C7851" s="2">
        <v>780.6241</v>
      </c>
      <c r="D7851" s="2">
        <f>HYPERLINK("http://mcb-m6.bioreg.kyushu-u.ac.jp/M3/20110411/F50902/2244/1", 76.93)</f>
        <v>76.930000000000007</v>
      </c>
      <c r="E7851" s="2">
        <v>54.87</v>
      </c>
      <c r="F7851" s="2">
        <v>2</v>
      </c>
      <c r="G7851" s="2" t="s">
        <v>10</v>
      </c>
      <c r="H7851" s="2" t="s">
        <v>4920</v>
      </c>
    </row>
    <row r="7852" spans="1:9" x14ac:dyDescent="0.2">
      <c r="A7852" s="2" t="s">
        <v>3250</v>
      </c>
      <c r="B7852" s="2" t="s">
        <v>30</v>
      </c>
      <c r="C7852" s="2">
        <v>965.01570000000004</v>
      </c>
      <c r="D7852" s="2">
        <f>HYPERLINK("http://mcb-m6.bioreg.kyushu-u.ac.jp/M3/20110411/F50917/3178/1", 76.97)</f>
        <v>76.97</v>
      </c>
      <c r="E7852" s="2">
        <v>70.67</v>
      </c>
      <c r="F7852" s="2">
        <v>2</v>
      </c>
      <c r="G7852" s="2" t="s">
        <v>10</v>
      </c>
      <c r="I7852" s="2" t="s">
        <v>4894</v>
      </c>
    </row>
    <row r="7853" spans="1:9" x14ac:dyDescent="0.2">
      <c r="A7853" s="2" t="s">
        <v>3250</v>
      </c>
      <c r="B7853" s="2" t="s">
        <v>467</v>
      </c>
      <c r="C7853" s="2">
        <v>1382.943</v>
      </c>
      <c r="D7853" s="2">
        <f>HYPERLINK("http://mcb-m6.bioreg.kyushu-u.ac.jp/M3/20110411/F50902/1814/1", 77.02)</f>
        <v>77.02</v>
      </c>
      <c r="E7853" s="2">
        <v>53.68</v>
      </c>
      <c r="F7853" s="2">
        <v>1</v>
      </c>
      <c r="G7853" s="2" t="s">
        <v>10</v>
      </c>
    </row>
    <row r="7854" spans="1:9" x14ac:dyDescent="0.2">
      <c r="A7854" s="2" t="s">
        <v>3250</v>
      </c>
      <c r="B7854" s="2" t="s">
        <v>1065</v>
      </c>
      <c r="C7854" s="2">
        <v>717.42169999999999</v>
      </c>
      <c r="D7854" s="2">
        <f>HYPERLINK("http://mcb-m6.bioreg.kyushu-u.ac.jp/M3/20110411/F50914/1990/1", 77.46)</f>
        <v>77.459999999999994</v>
      </c>
      <c r="E7854" s="2">
        <v>52.24</v>
      </c>
      <c r="F7854" s="2">
        <v>2</v>
      </c>
      <c r="G7854" s="2" t="s">
        <v>10</v>
      </c>
      <c r="I7854" s="2" t="s">
        <v>4892</v>
      </c>
    </row>
    <row r="7855" spans="1:9" x14ac:dyDescent="0.2">
      <c r="A7855" s="2" t="s">
        <v>3250</v>
      </c>
      <c r="B7855" s="2" t="s">
        <v>1065</v>
      </c>
      <c r="C7855" s="2">
        <v>717.01509999999996</v>
      </c>
      <c r="D7855" s="2">
        <f>HYPERLINK("http://mcb-m6.bioreg.kyushu-u.ac.jp/M3/20110411/F50901/1933/1", 77.72)</f>
        <v>77.72</v>
      </c>
      <c r="E7855" s="2">
        <v>63.39</v>
      </c>
      <c r="F7855" s="2">
        <v>2</v>
      </c>
      <c r="G7855" s="2" t="s">
        <v>10</v>
      </c>
      <c r="I7855" s="2" t="s">
        <v>4892</v>
      </c>
    </row>
    <row r="7856" spans="1:9" x14ac:dyDescent="0.2">
      <c r="A7856" s="2" t="s">
        <v>3250</v>
      </c>
      <c r="B7856" s="2" t="s">
        <v>888</v>
      </c>
      <c r="C7856" s="2">
        <v>811.27250000000004</v>
      </c>
      <c r="D7856" s="2">
        <f>HYPERLINK("http://mcb-m6.bioreg.kyushu-u.ac.jp/M3/20110411/F50918/3634/1", 78.46)</f>
        <v>78.459999999999994</v>
      </c>
      <c r="E7856" s="2">
        <v>59.22</v>
      </c>
      <c r="F7856" s="2">
        <v>3</v>
      </c>
      <c r="G7856" s="2" t="s">
        <v>10</v>
      </c>
      <c r="I7856" s="2" t="s">
        <v>4895</v>
      </c>
    </row>
    <row r="7857" spans="1:9" x14ac:dyDescent="0.2">
      <c r="A7857" s="2" t="s">
        <v>3250</v>
      </c>
      <c r="B7857" s="2" t="s">
        <v>1787</v>
      </c>
      <c r="C7857" s="2">
        <v>588.33370000000002</v>
      </c>
      <c r="D7857" s="2">
        <f>HYPERLINK("http://mcb-m6.bioreg.kyushu-u.ac.jp/M3/20110411/F50914/1396/1", 78.53)</f>
        <v>78.53</v>
      </c>
      <c r="E7857" s="2">
        <v>58.31</v>
      </c>
      <c r="F7857" s="2">
        <v>2</v>
      </c>
      <c r="G7857" s="2" t="s">
        <v>10</v>
      </c>
      <c r="I7857" s="2" t="s">
        <v>4895</v>
      </c>
    </row>
    <row r="7858" spans="1:9" x14ac:dyDescent="0.2">
      <c r="A7858" s="2" t="s">
        <v>3250</v>
      </c>
      <c r="B7858" s="2" t="s">
        <v>772</v>
      </c>
      <c r="C7858" s="2">
        <v>595.83370000000002</v>
      </c>
      <c r="D7858" s="2">
        <f>HYPERLINK("http://mcb-m6.bioreg.kyushu-u.ac.jp/M3/20110411/F50918/1136/1", 78.87)</f>
        <v>78.87</v>
      </c>
      <c r="E7858" s="2">
        <v>54.2</v>
      </c>
      <c r="F7858" s="2">
        <v>2</v>
      </c>
      <c r="G7858" s="2" t="s">
        <v>10</v>
      </c>
    </row>
    <row r="7859" spans="1:9" x14ac:dyDescent="0.2">
      <c r="A7859" s="2" t="s">
        <v>3250</v>
      </c>
      <c r="B7859" s="2" t="s">
        <v>561</v>
      </c>
      <c r="C7859" s="2">
        <v>654.47670000000005</v>
      </c>
      <c r="D7859" s="2">
        <f>HYPERLINK("http://mcb-m6.bioreg.kyushu-u.ac.jp/M3/20110411/F50920/1173/1", 78.91)</f>
        <v>78.91</v>
      </c>
      <c r="E7859" s="2">
        <v>61.4</v>
      </c>
      <c r="F7859" s="2">
        <v>2</v>
      </c>
      <c r="G7859" s="2" t="s">
        <v>10</v>
      </c>
    </row>
    <row r="7860" spans="1:9" x14ac:dyDescent="0.2">
      <c r="A7860" s="2" t="s">
        <v>3250</v>
      </c>
      <c r="B7860" s="2" t="s">
        <v>834</v>
      </c>
      <c r="C7860" s="2">
        <v>621.91719999999998</v>
      </c>
      <c r="D7860" s="2">
        <f>HYPERLINK("http://mcb-m6.bioreg.kyushu-u.ac.jp/M3/20110411/F50917/1341/1", 78.93)</f>
        <v>78.930000000000007</v>
      </c>
      <c r="E7860" s="2">
        <v>43.21</v>
      </c>
      <c r="F7860" s="2">
        <v>2</v>
      </c>
      <c r="G7860" s="2" t="s">
        <v>10</v>
      </c>
    </row>
    <row r="7861" spans="1:9" x14ac:dyDescent="0.2">
      <c r="A7861" s="2" t="s">
        <v>3250</v>
      </c>
      <c r="B7861" s="2" t="s">
        <v>1065</v>
      </c>
      <c r="C7861" s="2">
        <v>716.99659999999994</v>
      </c>
      <c r="D7861" s="2">
        <f>HYPERLINK("http://mcb-m6.bioreg.kyushu-u.ac.jp/M3/20110411/F50917/1823/1", 79.15)</f>
        <v>79.150000000000006</v>
      </c>
      <c r="E7861" s="2">
        <v>63.9</v>
      </c>
      <c r="F7861" s="2">
        <v>2</v>
      </c>
      <c r="G7861" s="2" t="s">
        <v>10</v>
      </c>
      <c r="I7861" s="2" t="s">
        <v>4892</v>
      </c>
    </row>
    <row r="7862" spans="1:9" x14ac:dyDescent="0.2">
      <c r="A7862" s="2" t="s">
        <v>3250</v>
      </c>
      <c r="B7862" s="2" t="s">
        <v>356</v>
      </c>
      <c r="C7862" s="2">
        <v>816.21969999999999</v>
      </c>
      <c r="D7862" s="2">
        <f>HYPERLINK("http://mcb-m6.bioreg.kyushu-u.ac.jp/M3/20110411/F50902/2412/1", 79.16)</f>
        <v>79.16</v>
      </c>
      <c r="E7862" s="2">
        <v>60.43</v>
      </c>
      <c r="F7862" s="2">
        <v>2</v>
      </c>
      <c r="G7862" s="2" t="s">
        <v>10</v>
      </c>
    </row>
    <row r="7863" spans="1:9" x14ac:dyDescent="0.2">
      <c r="A7863" s="2" t="s">
        <v>3250</v>
      </c>
      <c r="B7863" s="2" t="s">
        <v>365</v>
      </c>
      <c r="C7863" s="2">
        <v>849.27070000000003</v>
      </c>
      <c r="D7863" s="2">
        <f>HYPERLINK("http://mcb-m6.bioreg.kyushu-u.ac.jp/M3/20110411/F50900/2549/1", 79.26)</f>
        <v>79.260000000000005</v>
      </c>
      <c r="E7863" s="2">
        <v>64.12</v>
      </c>
      <c r="F7863" s="2">
        <v>2</v>
      </c>
      <c r="G7863" s="2" t="s">
        <v>10</v>
      </c>
    </row>
    <row r="7864" spans="1:9" x14ac:dyDescent="0.2">
      <c r="A7864" s="2" t="s">
        <v>3250</v>
      </c>
      <c r="B7864" s="2" t="s">
        <v>1581</v>
      </c>
      <c r="C7864" s="2">
        <v>1148.1010000000001</v>
      </c>
      <c r="D7864" s="2">
        <f>HYPERLINK("http://mcb-m6.bioreg.kyushu-u.ac.jp/M3/20110411/F50918/3477/1", 79.6)</f>
        <v>79.599999999999994</v>
      </c>
      <c r="E7864" s="2">
        <v>68.510000000000005</v>
      </c>
      <c r="F7864" s="2">
        <v>2</v>
      </c>
      <c r="G7864" s="2" t="s">
        <v>10</v>
      </c>
      <c r="I7864" s="2" t="s">
        <v>4895</v>
      </c>
    </row>
    <row r="7865" spans="1:9" x14ac:dyDescent="0.2">
      <c r="A7865" s="2" t="s">
        <v>3250</v>
      </c>
      <c r="B7865" s="2" t="s">
        <v>467</v>
      </c>
      <c r="C7865" s="2">
        <v>1382.72</v>
      </c>
      <c r="D7865" s="2">
        <f>HYPERLINK("http://mcb-m6.bioreg.kyushu-u.ac.jp/M3/20110411/F50920/1336/1", 80.04)</f>
        <v>80.040000000000006</v>
      </c>
      <c r="E7865" s="2">
        <v>60.11</v>
      </c>
      <c r="F7865" s="2">
        <v>1</v>
      </c>
      <c r="G7865" s="2" t="s">
        <v>10</v>
      </c>
    </row>
    <row r="7866" spans="1:9" x14ac:dyDescent="0.2">
      <c r="A7866" s="2" t="s">
        <v>3250</v>
      </c>
      <c r="B7866" s="2" t="s">
        <v>356</v>
      </c>
      <c r="C7866" s="2">
        <v>1631.0730000000001</v>
      </c>
      <c r="D7866" s="2">
        <f>HYPERLINK("http://mcb-m6.bioreg.kyushu-u.ac.jp/M3/20110411/F50902/2411/1", 80.31)</f>
        <v>80.31</v>
      </c>
      <c r="E7866" s="2">
        <v>43.46</v>
      </c>
      <c r="F7866" s="2">
        <v>1</v>
      </c>
      <c r="G7866" s="2" t="s">
        <v>10</v>
      </c>
    </row>
    <row r="7867" spans="1:9" x14ac:dyDescent="0.2">
      <c r="A7867" s="2" t="s">
        <v>3250</v>
      </c>
      <c r="B7867" s="2" t="s">
        <v>175</v>
      </c>
      <c r="C7867" s="2">
        <v>784.53610000000003</v>
      </c>
      <c r="D7867" s="2">
        <f>HYPERLINK("http://mcb-m6.bioreg.kyushu-u.ac.jp/M3/20110411/F50918/2099/1", 80.35)</f>
        <v>80.349999999999994</v>
      </c>
      <c r="E7867" s="2">
        <v>62.83</v>
      </c>
      <c r="F7867" s="2">
        <v>2</v>
      </c>
      <c r="G7867" s="2" t="s">
        <v>10</v>
      </c>
      <c r="I7867" s="2" t="s">
        <v>4893</v>
      </c>
    </row>
    <row r="7868" spans="1:9" x14ac:dyDescent="0.2">
      <c r="A7868" s="2" t="s">
        <v>3250</v>
      </c>
      <c r="B7868" s="2" t="s">
        <v>1875</v>
      </c>
      <c r="C7868" s="2">
        <v>772.50319999999999</v>
      </c>
      <c r="D7868" s="2">
        <f>HYPERLINK("http://mcb-m6.bioreg.kyushu-u.ac.jp/M3/20110411/F50917/2157/1", 80.7)</f>
        <v>80.7</v>
      </c>
      <c r="E7868" s="2">
        <v>65.77</v>
      </c>
      <c r="F7868" s="2">
        <v>2</v>
      </c>
      <c r="G7868" s="2" t="s">
        <v>10</v>
      </c>
    </row>
    <row r="7869" spans="1:9" x14ac:dyDescent="0.2">
      <c r="A7869" s="2" t="s">
        <v>3250</v>
      </c>
      <c r="B7869" s="2" t="s">
        <v>481</v>
      </c>
      <c r="C7869" s="2">
        <v>709.50959999999998</v>
      </c>
      <c r="D7869" s="2">
        <f>HYPERLINK("http://mcb-m6.bioreg.kyushu-u.ac.jp/M3/20110411/F50900/1995/1", 80.9)</f>
        <v>80.900000000000006</v>
      </c>
      <c r="E7869" s="2">
        <v>60.16</v>
      </c>
      <c r="F7869" s="2">
        <v>2</v>
      </c>
      <c r="G7869" s="2" t="s">
        <v>10</v>
      </c>
      <c r="I7869" s="2" t="s">
        <v>4898</v>
      </c>
    </row>
    <row r="7870" spans="1:9" x14ac:dyDescent="0.2">
      <c r="A7870" s="2" t="s">
        <v>3250</v>
      </c>
      <c r="B7870" s="2" t="s">
        <v>1521</v>
      </c>
      <c r="C7870" s="2">
        <v>989.55769999999995</v>
      </c>
      <c r="D7870" s="2">
        <f>HYPERLINK("http://mcb-m6.bioreg.kyushu-u.ac.jp/M3/20110411/F50918/3021/1", 80.92)</f>
        <v>80.92</v>
      </c>
      <c r="E7870" s="2">
        <v>65.69</v>
      </c>
      <c r="F7870" s="2">
        <v>2</v>
      </c>
      <c r="G7870" s="2" t="s">
        <v>10</v>
      </c>
    </row>
    <row r="7871" spans="1:9" x14ac:dyDescent="0.2">
      <c r="A7871" s="2" t="s">
        <v>3250</v>
      </c>
      <c r="B7871" s="2" t="s">
        <v>30</v>
      </c>
      <c r="C7871" s="2">
        <v>965.00120000000004</v>
      </c>
      <c r="D7871" s="2">
        <f>HYPERLINK("http://mcb-m6.bioreg.kyushu-u.ac.jp/M3/20110411/F50918/2919/1", 81.01)</f>
        <v>81.010000000000005</v>
      </c>
      <c r="E7871" s="2">
        <v>67.44</v>
      </c>
      <c r="F7871" s="2">
        <v>2</v>
      </c>
      <c r="G7871" s="2" t="s">
        <v>10</v>
      </c>
      <c r="I7871" s="2" t="s">
        <v>4894</v>
      </c>
    </row>
    <row r="7872" spans="1:9" x14ac:dyDescent="0.2">
      <c r="A7872" s="2" t="s">
        <v>3250</v>
      </c>
      <c r="B7872" s="2" t="s">
        <v>1765</v>
      </c>
      <c r="C7872" s="2">
        <v>761.54269999999997</v>
      </c>
      <c r="D7872" s="2">
        <f>HYPERLINK("http://mcb-m6.bioreg.kyushu-u.ac.jp/M3/20110411/F50918/1984/1", 81.23)</f>
        <v>81.23</v>
      </c>
      <c r="E7872" s="2">
        <v>54.16</v>
      </c>
      <c r="F7872" s="2">
        <v>2</v>
      </c>
      <c r="G7872" s="2" t="s">
        <v>10</v>
      </c>
    </row>
    <row r="7873" spans="1:9" x14ac:dyDescent="0.2">
      <c r="A7873" s="2" t="s">
        <v>3250</v>
      </c>
      <c r="B7873" s="2" t="s">
        <v>481</v>
      </c>
      <c r="C7873" s="2">
        <v>709.54859999999996</v>
      </c>
      <c r="D7873" s="2">
        <f>HYPERLINK("http://mcb-m6.bioreg.kyushu-u.ac.jp/M3/20110411/F50902/1891/1", 81.38)</f>
        <v>81.38</v>
      </c>
      <c r="E7873" s="2">
        <v>51.9</v>
      </c>
      <c r="F7873" s="2">
        <v>2</v>
      </c>
      <c r="G7873" s="2" t="s">
        <v>10</v>
      </c>
      <c r="I7873" s="2" t="s">
        <v>4898</v>
      </c>
    </row>
    <row r="7874" spans="1:9" x14ac:dyDescent="0.2">
      <c r="A7874" s="2" t="s">
        <v>3250</v>
      </c>
      <c r="B7874" s="2" t="s">
        <v>888</v>
      </c>
      <c r="C7874" s="2">
        <v>1216.6310000000001</v>
      </c>
      <c r="D7874" s="2">
        <f>HYPERLINK("http://mcb-m6.bioreg.kyushu-u.ac.jp/M3/20110411/F50918/3635/1", 81.44)</f>
        <v>81.44</v>
      </c>
      <c r="E7874" s="2">
        <v>72.150000000000006</v>
      </c>
      <c r="F7874" s="2">
        <v>2</v>
      </c>
      <c r="G7874" s="2" t="s">
        <v>10</v>
      </c>
      <c r="I7874" s="2" t="s">
        <v>4895</v>
      </c>
    </row>
    <row r="7875" spans="1:9" x14ac:dyDescent="0.2">
      <c r="A7875" s="2" t="s">
        <v>3250</v>
      </c>
      <c r="B7875" s="2" t="s">
        <v>481</v>
      </c>
      <c r="C7875" s="2">
        <v>709.42970000000003</v>
      </c>
      <c r="D7875" s="2">
        <f>HYPERLINK("http://mcb-m6.bioreg.kyushu-u.ac.jp/M3/20110411/F50914/1940/1", 81.56)</f>
        <v>81.56</v>
      </c>
      <c r="E7875" s="2">
        <v>60.9</v>
      </c>
      <c r="F7875" s="2">
        <v>2</v>
      </c>
      <c r="G7875" s="2" t="s">
        <v>10</v>
      </c>
      <c r="I7875" s="2" t="s">
        <v>4898</v>
      </c>
    </row>
    <row r="7876" spans="1:9" x14ac:dyDescent="0.2">
      <c r="A7876" s="2" t="s">
        <v>3250</v>
      </c>
      <c r="B7876" s="2" t="s">
        <v>561</v>
      </c>
      <c r="C7876" s="2">
        <v>654.39869999999996</v>
      </c>
      <c r="D7876" s="2">
        <f>HYPERLINK("http://mcb-m6.bioreg.kyushu-u.ac.jp/M3/20110411/F50917/1483/1", 81.78)</f>
        <v>81.78</v>
      </c>
      <c r="E7876" s="2">
        <v>59.29</v>
      </c>
      <c r="F7876" s="2">
        <v>2</v>
      </c>
      <c r="G7876" s="2" t="s">
        <v>10</v>
      </c>
    </row>
    <row r="7877" spans="1:9" x14ac:dyDescent="0.2">
      <c r="A7877" s="2" t="s">
        <v>3250</v>
      </c>
      <c r="B7877" s="2" t="s">
        <v>1765</v>
      </c>
      <c r="C7877" s="2">
        <v>762.00019999999995</v>
      </c>
      <c r="D7877" s="2">
        <f>HYPERLINK("http://mcb-m6.bioreg.kyushu-u.ac.jp/M3/20110411/F50900/2233/1", 81.79)</f>
        <v>81.790000000000006</v>
      </c>
      <c r="E7877" s="2">
        <v>66.040000000000006</v>
      </c>
      <c r="F7877" s="2">
        <v>2</v>
      </c>
      <c r="G7877" s="2" t="s">
        <v>10</v>
      </c>
    </row>
    <row r="7878" spans="1:9" x14ac:dyDescent="0.2">
      <c r="A7878" s="2" t="s">
        <v>3250</v>
      </c>
      <c r="B7878" s="2" t="s">
        <v>365</v>
      </c>
      <c r="C7878" s="2">
        <v>849.24869999999999</v>
      </c>
      <c r="D7878" s="2">
        <f>HYPERLINK("http://mcb-m6.bioreg.kyushu-u.ac.jp/M3/20110411/F50917/2596/1", 82.21)</f>
        <v>82.21</v>
      </c>
      <c r="E7878" s="2">
        <v>66.989999999999995</v>
      </c>
      <c r="F7878" s="2">
        <v>2</v>
      </c>
      <c r="G7878" s="2" t="s">
        <v>10</v>
      </c>
    </row>
    <row r="7879" spans="1:9" x14ac:dyDescent="0.2">
      <c r="A7879" s="2" t="s">
        <v>3250</v>
      </c>
      <c r="B7879" s="2" t="s">
        <v>481</v>
      </c>
      <c r="C7879" s="2">
        <v>709.54819999999995</v>
      </c>
      <c r="D7879" s="2">
        <f>HYPERLINK("http://mcb-m6.bioreg.kyushu-u.ac.jp/M3/20110411/F50913/1862/1", 82.73)</f>
        <v>82.73</v>
      </c>
      <c r="E7879" s="2">
        <v>53.09</v>
      </c>
      <c r="F7879" s="2">
        <v>2</v>
      </c>
      <c r="G7879" s="2" t="s">
        <v>10</v>
      </c>
      <c r="I7879" s="2" t="s">
        <v>4898</v>
      </c>
    </row>
    <row r="7880" spans="1:9" x14ac:dyDescent="0.2">
      <c r="A7880" s="2" t="s">
        <v>3250</v>
      </c>
      <c r="B7880" s="2" t="s">
        <v>481</v>
      </c>
      <c r="C7880" s="2">
        <v>709.48910000000001</v>
      </c>
      <c r="D7880" s="2">
        <f>HYPERLINK("http://mcb-m6.bioreg.kyushu-u.ac.jp/M3/20110411/F50897/1799/1", 82.82)</f>
        <v>82.82</v>
      </c>
      <c r="E7880" s="2">
        <v>60.66</v>
      </c>
      <c r="F7880" s="2">
        <v>2</v>
      </c>
      <c r="G7880" s="2" t="s">
        <v>10</v>
      </c>
      <c r="I7880" s="2" t="s">
        <v>4898</v>
      </c>
    </row>
    <row r="7881" spans="1:9" x14ac:dyDescent="0.2">
      <c r="A7881" s="2" t="s">
        <v>3250</v>
      </c>
      <c r="B7881" s="2" t="s">
        <v>503</v>
      </c>
      <c r="C7881" s="2">
        <v>808.54909999999995</v>
      </c>
      <c r="D7881" s="2">
        <f>HYPERLINK("http://mcb-m6.bioreg.kyushu-u.ac.jp/M3/20110411/F50902/2380/1", 83.03)</f>
        <v>83.03</v>
      </c>
      <c r="E7881" s="2">
        <v>65.28</v>
      </c>
      <c r="F7881" s="2">
        <v>2</v>
      </c>
      <c r="G7881" s="2" t="s">
        <v>10</v>
      </c>
    </row>
    <row r="7882" spans="1:9" x14ac:dyDescent="0.2">
      <c r="A7882" s="2" t="s">
        <v>3250</v>
      </c>
      <c r="B7882" s="2" t="s">
        <v>2107</v>
      </c>
      <c r="C7882" s="2">
        <v>1019.623</v>
      </c>
      <c r="D7882" s="2">
        <f>HYPERLINK("http://mcb-m6.bioreg.kyushu-u.ac.jp/M3/20110411/F50918/3138/1", 83.18)</f>
        <v>83.18</v>
      </c>
      <c r="E7882" s="2">
        <v>48.82</v>
      </c>
      <c r="F7882" s="2">
        <v>2</v>
      </c>
      <c r="G7882" s="2" t="s">
        <v>10</v>
      </c>
    </row>
    <row r="7883" spans="1:9" x14ac:dyDescent="0.2">
      <c r="A7883" s="2" t="s">
        <v>3250</v>
      </c>
      <c r="B7883" s="2" t="s">
        <v>467</v>
      </c>
      <c r="C7883" s="2">
        <v>691.8297</v>
      </c>
      <c r="D7883" s="2">
        <f>HYPERLINK("http://mcb-m6.bioreg.kyushu-u.ac.jp/M3/20110411/F50920/1335/1", 83.53)</f>
        <v>83.53</v>
      </c>
      <c r="E7883" s="2">
        <v>56.15</v>
      </c>
      <c r="F7883" s="2">
        <v>2</v>
      </c>
      <c r="G7883" s="2" t="s">
        <v>10</v>
      </c>
    </row>
    <row r="7884" spans="1:9" x14ac:dyDescent="0.2">
      <c r="A7884" s="2" t="s">
        <v>3250</v>
      </c>
      <c r="B7884" s="2" t="s">
        <v>561</v>
      </c>
      <c r="C7884" s="2">
        <v>662.81619999999998</v>
      </c>
      <c r="D7884" s="2">
        <f>HYPERLINK("http://mcb-m6.bioreg.kyushu-u.ac.jp/M3/20110411/F50901/1699/1", 84.25)</f>
        <v>84.25</v>
      </c>
      <c r="E7884" s="2">
        <v>62.47</v>
      </c>
      <c r="F7884" s="2">
        <v>2</v>
      </c>
      <c r="G7884" s="2" t="s">
        <v>10</v>
      </c>
      <c r="H7884" s="2" t="s">
        <v>4919</v>
      </c>
    </row>
    <row r="7885" spans="1:9" x14ac:dyDescent="0.2">
      <c r="A7885" s="2" t="s">
        <v>3250</v>
      </c>
      <c r="B7885" s="2" t="s">
        <v>90</v>
      </c>
      <c r="C7885" s="2">
        <v>717.33920000000001</v>
      </c>
      <c r="D7885" s="2">
        <f>HYPERLINK("http://mcb-m6.bioreg.kyushu-u.ac.jp/M3/20110411/F50918/1768/1", 84.97)</f>
        <v>84.97</v>
      </c>
      <c r="E7885" s="2">
        <v>62.66</v>
      </c>
      <c r="F7885" s="2">
        <v>2</v>
      </c>
      <c r="G7885" s="2" t="s">
        <v>10</v>
      </c>
    </row>
    <row r="7886" spans="1:9" x14ac:dyDescent="0.2">
      <c r="A7886" s="2" t="s">
        <v>3250</v>
      </c>
      <c r="B7886" s="2" t="s">
        <v>1255</v>
      </c>
      <c r="C7886" s="2">
        <v>1274.056</v>
      </c>
      <c r="D7886" s="2">
        <f>HYPERLINK("http://mcb-m6.bioreg.kyushu-u.ac.jp/M3/20110411/F50918/3735/1", 85.23)</f>
        <v>85.23</v>
      </c>
      <c r="E7886" s="2">
        <v>77.11</v>
      </c>
      <c r="F7886" s="2">
        <v>2</v>
      </c>
      <c r="G7886" s="2" t="s">
        <v>10</v>
      </c>
      <c r="I7886" s="2" t="s">
        <v>4906</v>
      </c>
    </row>
    <row r="7887" spans="1:9" x14ac:dyDescent="0.2">
      <c r="A7887" s="2" t="s">
        <v>3250</v>
      </c>
      <c r="B7887" s="2" t="s">
        <v>481</v>
      </c>
      <c r="C7887" s="2">
        <v>709.50819999999999</v>
      </c>
      <c r="D7887" s="2">
        <f>HYPERLINK("http://mcb-m6.bioreg.kyushu-u.ac.jp/M3/20110411/F50896/2015/1", 86.36)</f>
        <v>86.36</v>
      </c>
      <c r="E7887" s="2">
        <v>59.96</v>
      </c>
      <c r="F7887" s="2">
        <v>2</v>
      </c>
      <c r="G7887" s="2" t="s">
        <v>10</v>
      </c>
      <c r="I7887" s="2" t="s">
        <v>4898</v>
      </c>
    </row>
    <row r="7888" spans="1:9" x14ac:dyDescent="0.2">
      <c r="A7888" s="2" t="s">
        <v>3250</v>
      </c>
      <c r="B7888" s="2" t="s">
        <v>772</v>
      </c>
      <c r="C7888" s="2">
        <v>596.26919999999996</v>
      </c>
      <c r="D7888" s="2">
        <f>HYPERLINK("http://mcb-m6.bioreg.kyushu-u.ac.jp/M3/20110411/F50900/1639/1", 86.68)</f>
        <v>86.68</v>
      </c>
      <c r="E7888" s="2">
        <v>59.72</v>
      </c>
      <c r="F7888" s="2">
        <v>2</v>
      </c>
      <c r="G7888" s="2" t="s">
        <v>10</v>
      </c>
    </row>
    <row r="7889" spans="1:9" x14ac:dyDescent="0.2">
      <c r="A7889" s="2" t="s">
        <v>3250</v>
      </c>
      <c r="B7889" s="2" t="s">
        <v>467</v>
      </c>
      <c r="C7889" s="2">
        <v>692.02120000000002</v>
      </c>
      <c r="D7889" s="2">
        <f>HYPERLINK("http://mcb-m6.bioreg.kyushu-u.ac.jp/M3/20110411/F50917/1680/1", 86.75)</f>
        <v>86.75</v>
      </c>
      <c r="E7889" s="2">
        <v>58.54</v>
      </c>
      <c r="F7889" s="2">
        <v>2</v>
      </c>
      <c r="G7889" s="2" t="s">
        <v>10</v>
      </c>
    </row>
    <row r="7890" spans="1:9" x14ac:dyDescent="0.2">
      <c r="A7890" s="2" t="s">
        <v>3250</v>
      </c>
      <c r="B7890" s="2" t="s">
        <v>481</v>
      </c>
      <c r="C7890" s="2">
        <v>709.61159999999995</v>
      </c>
      <c r="D7890" s="2">
        <f>HYPERLINK("http://mcb-m6.bioreg.kyushu-u.ac.jp/M3/20110411/F50920/1414/1", 86.96)</f>
        <v>86.96</v>
      </c>
      <c r="E7890" s="2">
        <v>65.650000000000006</v>
      </c>
      <c r="F7890" s="2">
        <v>2</v>
      </c>
      <c r="G7890" s="2" t="s">
        <v>10</v>
      </c>
      <c r="I7890" s="2" t="s">
        <v>4898</v>
      </c>
    </row>
    <row r="7891" spans="1:9" x14ac:dyDescent="0.2">
      <c r="A7891" s="2" t="s">
        <v>3250</v>
      </c>
      <c r="B7891" s="2" t="s">
        <v>356</v>
      </c>
      <c r="C7891" s="2">
        <v>816.52970000000005</v>
      </c>
      <c r="D7891" s="2">
        <f>HYPERLINK("http://mcb-m6.bioreg.kyushu-u.ac.jp/M3/20110411/F50902/2414/1", 89.37)</f>
        <v>89.37</v>
      </c>
      <c r="E7891" s="2">
        <v>75.83</v>
      </c>
      <c r="F7891" s="2">
        <v>2</v>
      </c>
      <c r="G7891" s="2" t="s">
        <v>10</v>
      </c>
    </row>
    <row r="7892" spans="1:9" x14ac:dyDescent="0.2">
      <c r="A7892" s="2" t="s">
        <v>3250</v>
      </c>
      <c r="B7892" s="2" t="s">
        <v>356</v>
      </c>
      <c r="C7892" s="2">
        <v>815.98910000000001</v>
      </c>
      <c r="D7892" s="2">
        <f>HYPERLINK("http://mcb-m6.bioreg.kyushu-u.ac.jp/M3/20110411/F50902/2409/1", 90.05)</f>
        <v>90.05</v>
      </c>
      <c r="E7892" s="2">
        <v>75.19</v>
      </c>
      <c r="F7892" s="2">
        <v>2</v>
      </c>
      <c r="G7892" s="2" t="s">
        <v>10</v>
      </c>
    </row>
    <row r="7893" spans="1:9" x14ac:dyDescent="0.2">
      <c r="A7893" s="2" t="s">
        <v>3250</v>
      </c>
      <c r="B7893" s="2" t="s">
        <v>503</v>
      </c>
      <c r="C7893" s="2">
        <v>808.46370000000002</v>
      </c>
      <c r="D7893" s="2">
        <f>HYPERLINK("http://mcb-m6.bioreg.kyushu-u.ac.jp/M3/20110411/F50918/2207/1", 91.35)</f>
        <v>91.35</v>
      </c>
      <c r="E7893" s="2">
        <v>77.94</v>
      </c>
      <c r="F7893" s="2">
        <v>2</v>
      </c>
      <c r="G7893" s="2" t="s">
        <v>10</v>
      </c>
    </row>
    <row r="7894" spans="1:9" x14ac:dyDescent="0.2">
      <c r="A7894" s="2" t="s">
        <v>3250</v>
      </c>
      <c r="B7894" s="2" t="s">
        <v>561</v>
      </c>
      <c r="C7894" s="2">
        <v>662.4982</v>
      </c>
      <c r="D7894" s="2">
        <f>HYPERLINK("http://mcb-m6.bioreg.kyushu-u.ac.jp/M3/20110411/F50902/1680/1", 91.68)</f>
        <v>91.68</v>
      </c>
      <c r="E7894" s="2">
        <v>70.69</v>
      </c>
      <c r="F7894" s="2">
        <v>2</v>
      </c>
      <c r="G7894" s="2" t="s">
        <v>10</v>
      </c>
      <c r="H7894" s="2" t="s">
        <v>4919</v>
      </c>
    </row>
    <row r="7895" spans="1:9" x14ac:dyDescent="0.2">
      <c r="A7895" s="2" t="s">
        <v>3250</v>
      </c>
      <c r="B7895" s="2" t="s">
        <v>90</v>
      </c>
      <c r="C7895" s="2">
        <v>716.94960000000003</v>
      </c>
      <c r="D7895" s="2">
        <f>HYPERLINK("http://mcb-m6.bioreg.kyushu-u.ac.jp/M3/20110411/F50896/2045/1", 92.45)</f>
        <v>92.45</v>
      </c>
      <c r="E7895" s="2">
        <v>58.41</v>
      </c>
      <c r="F7895" s="2">
        <v>2</v>
      </c>
      <c r="G7895" s="2" t="s">
        <v>10</v>
      </c>
    </row>
    <row r="7896" spans="1:9" x14ac:dyDescent="0.2">
      <c r="A7896" s="2" t="s">
        <v>3250</v>
      </c>
      <c r="B7896" s="2" t="s">
        <v>1255</v>
      </c>
      <c r="C7896" s="2">
        <v>1274.1379999999999</v>
      </c>
      <c r="D7896" s="2">
        <f>HYPERLINK("http://mcb-m6.bioreg.kyushu-u.ac.jp/M3/20110411/F50901/3616/1", 92.55)</f>
        <v>92.55</v>
      </c>
      <c r="E7896" s="2">
        <v>80.41</v>
      </c>
      <c r="F7896" s="2">
        <v>2</v>
      </c>
      <c r="G7896" s="2" t="s">
        <v>10</v>
      </c>
      <c r="I7896" s="2" t="s">
        <v>4906</v>
      </c>
    </row>
    <row r="7897" spans="1:9" x14ac:dyDescent="0.2">
      <c r="A7897" s="2" t="s">
        <v>3250</v>
      </c>
      <c r="B7897" s="2" t="s">
        <v>356</v>
      </c>
      <c r="C7897" s="2">
        <v>816.09220000000005</v>
      </c>
      <c r="D7897" s="2">
        <f>HYPERLINK("http://mcb-m6.bioreg.kyushu-u.ac.jp/M3/20110411/F50896/2448/1", 93.36)</f>
        <v>93.36</v>
      </c>
      <c r="E7897" s="2">
        <v>73.17</v>
      </c>
      <c r="F7897" s="2">
        <v>2</v>
      </c>
      <c r="G7897" s="2" t="s">
        <v>10</v>
      </c>
    </row>
    <row r="7898" spans="1:9" x14ac:dyDescent="0.2">
      <c r="A7898" s="2" t="s">
        <v>3250</v>
      </c>
      <c r="B7898" s="2" t="s">
        <v>467</v>
      </c>
      <c r="C7898" s="2">
        <v>692.23820000000001</v>
      </c>
      <c r="D7898" s="2">
        <f>HYPERLINK("http://mcb-m6.bioreg.kyushu-u.ac.jp/M3/20110411/F50914/1848/1", 94.26)</f>
        <v>94.26</v>
      </c>
      <c r="E7898" s="2">
        <v>65.64</v>
      </c>
      <c r="F7898" s="2">
        <v>2</v>
      </c>
      <c r="G7898" s="2" t="s">
        <v>10</v>
      </c>
    </row>
    <row r="7899" spans="1:9" x14ac:dyDescent="0.2">
      <c r="A7899" s="2" t="s">
        <v>3250</v>
      </c>
      <c r="B7899" s="2" t="s">
        <v>772</v>
      </c>
      <c r="C7899" s="2">
        <v>596.38620000000003</v>
      </c>
      <c r="D7899" s="2">
        <f>HYPERLINK("http://mcb-m6.bioreg.kyushu-u.ac.jp/M3/20110411/F50901/1491/1", 95.29)</f>
        <v>95.29</v>
      </c>
      <c r="E7899" s="2">
        <v>68.33</v>
      </c>
      <c r="F7899" s="2">
        <v>2</v>
      </c>
      <c r="G7899" s="2" t="s">
        <v>10</v>
      </c>
    </row>
    <row r="7900" spans="1:9" x14ac:dyDescent="0.2">
      <c r="A7900" s="2" t="s">
        <v>3250</v>
      </c>
      <c r="B7900" s="2" t="s">
        <v>481</v>
      </c>
      <c r="C7900" s="2">
        <v>709.50919999999996</v>
      </c>
      <c r="D7900" s="2">
        <f>HYPERLINK("http://mcb-m6.bioreg.kyushu-u.ac.jp/M3/20110411/F50901/1902/1", 95.82)</f>
        <v>95.82</v>
      </c>
      <c r="E7900" s="2">
        <v>73.209999999999994</v>
      </c>
      <c r="F7900" s="2">
        <v>2</v>
      </c>
      <c r="G7900" s="2" t="s">
        <v>10</v>
      </c>
      <c r="I7900" s="2" t="s">
        <v>4898</v>
      </c>
    </row>
    <row r="7901" spans="1:9" x14ac:dyDescent="0.2">
      <c r="A7901" s="2" t="s">
        <v>3250</v>
      </c>
      <c r="B7901" s="2" t="s">
        <v>467</v>
      </c>
      <c r="C7901" s="2">
        <v>691.98770000000002</v>
      </c>
      <c r="D7901" s="2">
        <f>HYPERLINK("http://mcb-m6.bioreg.kyushu-u.ac.jp/M3/20110411/F50896/1942/1", 96.53)</f>
        <v>96.53</v>
      </c>
      <c r="E7901" s="2">
        <v>62.07</v>
      </c>
      <c r="F7901" s="2">
        <v>2</v>
      </c>
      <c r="G7901" s="2" t="s">
        <v>10</v>
      </c>
    </row>
    <row r="7902" spans="1:9" x14ac:dyDescent="0.2">
      <c r="A7902" s="2" t="s">
        <v>3250</v>
      </c>
      <c r="B7902" s="2" t="s">
        <v>90</v>
      </c>
      <c r="C7902" s="2">
        <v>1432.691</v>
      </c>
      <c r="D7902" s="2">
        <f>HYPERLINK("http://mcb-m6.bioreg.kyushu-u.ac.jp/M3/20110411/F50918/1763/1", 96.92)</f>
        <v>96.92</v>
      </c>
      <c r="E7902" s="2">
        <v>75.290000000000006</v>
      </c>
      <c r="F7902" s="2">
        <v>1</v>
      </c>
      <c r="G7902" s="2" t="s">
        <v>10</v>
      </c>
    </row>
    <row r="7903" spans="1:9" x14ac:dyDescent="0.2">
      <c r="A7903" s="2" t="s">
        <v>3250</v>
      </c>
      <c r="B7903" s="2" t="s">
        <v>1665</v>
      </c>
      <c r="C7903" s="2">
        <v>1147.54</v>
      </c>
      <c r="D7903" s="2">
        <f>HYPERLINK("http://mcb-m6.bioreg.kyushu-u.ac.jp/M3/20110411/F50920/3217/1", 99.03)</f>
        <v>99.03</v>
      </c>
      <c r="E7903" s="2">
        <v>82</v>
      </c>
      <c r="F7903" s="2">
        <v>2</v>
      </c>
      <c r="G7903" s="2" t="s">
        <v>10</v>
      </c>
    </row>
    <row r="7904" spans="1:9" x14ac:dyDescent="0.2">
      <c r="A7904" s="2" t="s">
        <v>3250</v>
      </c>
      <c r="B7904" s="2" t="s">
        <v>1255</v>
      </c>
      <c r="C7904" s="2">
        <v>1274.2070000000001</v>
      </c>
      <c r="D7904" s="2">
        <f>HYPERLINK("http://mcb-m6.bioreg.kyushu-u.ac.jp/M3/20110411/F50902/3911/1", 102.11)</f>
        <v>102.11</v>
      </c>
      <c r="E7904" s="2">
        <v>94.62</v>
      </c>
      <c r="F7904" s="2">
        <v>2</v>
      </c>
      <c r="G7904" s="2" t="s">
        <v>10</v>
      </c>
      <c r="I7904" s="2" t="s">
        <v>4906</v>
      </c>
    </row>
    <row r="7905" spans="1:9" x14ac:dyDescent="0.2">
      <c r="A7905" s="2" t="s">
        <v>3250</v>
      </c>
      <c r="B7905" s="2" t="s">
        <v>1065</v>
      </c>
      <c r="C7905" s="2">
        <v>716.8691</v>
      </c>
      <c r="D7905" s="2">
        <f>HYPERLINK("http://mcb-m6.bioreg.kyushu-u.ac.jp/M3/20110411/F50920/1450/1", 103.55)</f>
        <v>103.55</v>
      </c>
      <c r="E7905" s="2">
        <v>90.19</v>
      </c>
      <c r="F7905" s="2">
        <v>2</v>
      </c>
      <c r="G7905" s="2" t="s">
        <v>10</v>
      </c>
      <c r="I7905" s="2" t="s">
        <v>4892</v>
      </c>
    </row>
    <row r="7906" spans="1:9" x14ac:dyDescent="0.2">
      <c r="A7906" s="2" t="s">
        <v>3250</v>
      </c>
      <c r="B7906" s="2" t="s">
        <v>356</v>
      </c>
      <c r="C7906" s="2">
        <v>815.96870000000001</v>
      </c>
      <c r="D7906" s="2">
        <f>HYPERLINK("http://mcb-m6.bioreg.kyushu-u.ac.jp/M3/20110411/F50918/2241/1", 104.71)</f>
        <v>104.71</v>
      </c>
      <c r="E7906" s="2">
        <v>85.99</v>
      </c>
      <c r="F7906" s="2">
        <v>2</v>
      </c>
      <c r="G7906" s="2" t="s">
        <v>10</v>
      </c>
    </row>
    <row r="7907" spans="1:9" x14ac:dyDescent="0.2">
      <c r="A7907" s="2" t="s">
        <v>3250</v>
      </c>
      <c r="B7907" s="2" t="s">
        <v>90</v>
      </c>
      <c r="C7907" s="2">
        <v>717.04110000000003</v>
      </c>
      <c r="D7907" s="2">
        <f>HYPERLINK("http://mcb-m6.bioreg.kyushu-u.ac.jp/M3/20110411/F50913/1904/1", 106.05)</f>
        <v>106.05</v>
      </c>
      <c r="E7907" s="2">
        <v>83.92</v>
      </c>
      <c r="F7907" s="2">
        <v>2</v>
      </c>
      <c r="G7907" s="2" t="s">
        <v>10</v>
      </c>
    </row>
    <row r="7908" spans="1:9" x14ac:dyDescent="0.2">
      <c r="A7908" s="2" t="s">
        <v>3250</v>
      </c>
      <c r="B7908" s="2" t="s">
        <v>356</v>
      </c>
      <c r="C7908" s="2">
        <v>816.30470000000003</v>
      </c>
      <c r="D7908" s="2">
        <f>HYPERLINK("http://mcb-m6.bioreg.kyushu-u.ac.jp/M3/20110411/F50920/1931/1", 106.3)</f>
        <v>106.3</v>
      </c>
      <c r="E7908" s="2">
        <v>87.3</v>
      </c>
      <c r="F7908" s="2">
        <v>2</v>
      </c>
      <c r="G7908" s="2" t="s">
        <v>10</v>
      </c>
    </row>
    <row r="7909" spans="1:9" x14ac:dyDescent="0.2">
      <c r="A7909" s="2" t="s">
        <v>3250</v>
      </c>
      <c r="B7909" s="2" t="s">
        <v>561</v>
      </c>
      <c r="C7909" s="2">
        <v>654.39009999999996</v>
      </c>
      <c r="D7909" s="2">
        <f>HYPERLINK("http://mcb-m6.bioreg.kyushu-u.ac.jp/M3/20110411/F50918/1390/1", 113.02)</f>
        <v>113.02</v>
      </c>
      <c r="E7909" s="2">
        <v>93.65</v>
      </c>
      <c r="F7909" s="2">
        <v>2</v>
      </c>
      <c r="G7909" s="2" t="s">
        <v>10</v>
      </c>
    </row>
    <row r="7910" spans="1:9" x14ac:dyDescent="0.2">
      <c r="A7910" s="2" t="s">
        <v>3250</v>
      </c>
      <c r="B7910" s="2" t="s">
        <v>1581</v>
      </c>
      <c r="C7910" s="2">
        <v>1147.5350000000001</v>
      </c>
      <c r="D7910" s="2">
        <f>HYPERLINK("http://mcb-m6.bioreg.kyushu-u.ac.jp/M3/20110411/F50918/3474/1", 117.43)</f>
        <v>117.43</v>
      </c>
      <c r="E7910" s="2">
        <v>107.61</v>
      </c>
      <c r="F7910" s="2">
        <v>2</v>
      </c>
      <c r="G7910" s="2" t="s">
        <v>10</v>
      </c>
      <c r="I7910" s="2" t="s">
        <v>4895</v>
      </c>
    </row>
    <row r="7911" spans="1:9" x14ac:dyDescent="0.2">
      <c r="A7911" s="2" t="s">
        <v>3250</v>
      </c>
      <c r="B7911" s="2" t="s">
        <v>356</v>
      </c>
      <c r="C7911" s="2">
        <v>816.49519999999995</v>
      </c>
      <c r="D7911" s="2">
        <f>HYPERLINK("http://mcb-m6.bioreg.kyushu-u.ac.jp/M3/20110411/F50917/2412/1", 121.92)</f>
        <v>121.92</v>
      </c>
      <c r="E7911" s="2">
        <v>105.26</v>
      </c>
      <c r="F7911" s="2">
        <v>2</v>
      </c>
      <c r="G7911" s="2" t="s">
        <v>10</v>
      </c>
    </row>
    <row r="7912" spans="1:9" x14ac:dyDescent="0.2">
      <c r="A7912" s="2" t="s">
        <v>3250</v>
      </c>
      <c r="B7912" s="2" t="s">
        <v>1665</v>
      </c>
      <c r="C7912" s="2">
        <v>1147.5619999999999</v>
      </c>
      <c r="D7912" s="2">
        <f>HYPERLINK("http://mcb-m6.bioreg.kyushu-u.ac.jp/M3/20110411/F50918/3475/1", 130.32)</f>
        <v>130.32</v>
      </c>
      <c r="E7912" s="2">
        <v>115.76</v>
      </c>
      <c r="F7912" s="2">
        <v>2</v>
      </c>
      <c r="G7912" s="2" t="s">
        <v>10</v>
      </c>
    </row>
    <row r="7913" spans="1:9" x14ac:dyDescent="0.2">
      <c r="A7913" s="2" t="s">
        <v>3250</v>
      </c>
      <c r="B7913" s="2" t="s">
        <v>102</v>
      </c>
      <c r="C7913" s="2">
        <v>608.3442</v>
      </c>
      <c r="D7913" s="2">
        <f>HYPERLINK("http://mcb-m6.bioreg.kyushu-u.ac.jp/M3/20110414/F50956/1099/1", 35.22)</f>
        <v>35.22</v>
      </c>
      <c r="E7913" s="2">
        <v>12.2</v>
      </c>
      <c r="F7913" s="2">
        <v>2</v>
      </c>
      <c r="G7913" s="2" t="s">
        <v>11</v>
      </c>
    </row>
    <row r="7914" spans="1:9" x14ac:dyDescent="0.2">
      <c r="A7914" s="2" t="s">
        <v>3250</v>
      </c>
      <c r="B7914" s="2" t="s">
        <v>90</v>
      </c>
      <c r="C7914" s="2">
        <v>717.30820000000006</v>
      </c>
      <c r="D7914" s="2">
        <f>HYPERLINK("http://mcb-m6.bioreg.kyushu-u.ac.jp/M3/20110414/F50943/1737/1", 35.38)</f>
        <v>35.380000000000003</v>
      </c>
      <c r="E7914" s="2">
        <v>12.61</v>
      </c>
      <c r="F7914" s="2">
        <v>2</v>
      </c>
      <c r="G7914" s="2" t="s">
        <v>11</v>
      </c>
    </row>
    <row r="7915" spans="1:9" x14ac:dyDescent="0.2">
      <c r="A7915" s="2" t="s">
        <v>3250</v>
      </c>
      <c r="B7915" s="2" t="s">
        <v>90</v>
      </c>
      <c r="C7915" s="2">
        <v>717.28560000000004</v>
      </c>
      <c r="D7915" s="2">
        <f>HYPERLINK("http://mcb-m6.bioreg.kyushu-u.ac.jp/M3/20110414/F50943/1736/1", 35.76)</f>
        <v>35.76</v>
      </c>
      <c r="E7915" s="2">
        <v>18.46</v>
      </c>
      <c r="F7915" s="2">
        <v>2</v>
      </c>
      <c r="G7915" s="2" t="s">
        <v>11</v>
      </c>
    </row>
    <row r="7916" spans="1:9" x14ac:dyDescent="0.2">
      <c r="A7916" s="2" t="s">
        <v>3250</v>
      </c>
      <c r="B7916" s="2" t="s">
        <v>90</v>
      </c>
      <c r="C7916" s="2">
        <v>717.06669999999997</v>
      </c>
      <c r="D7916" s="2">
        <f>HYPERLINK("http://mcb-m6.bioreg.kyushu-u.ac.jp/M3/20110414/F50956/1760/1", 36.09)</f>
        <v>36.090000000000003</v>
      </c>
      <c r="E7916" s="2">
        <v>17.670000000000002</v>
      </c>
      <c r="F7916" s="2">
        <v>2</v>
      </c>
      <c r="G7916" s="2" t="s">
        <v>11</v>
      </c>
    </row>
    <row r="7917" spans="1:9" x14ac:dyDescent="0.2">
      <c r="A7917" s="2" t="s">
        <v>3250</v>
      </c>
      <c r="B7917" s="2" t="s">
        <v>311</v>
      </c>
      <c r="C7917" s="2">
        <v>1212.33</v>
      </c>
      <c r="D7917" s="2">
        <f>HYPERLINK("http://mcb-m6.bioreg.kyushu-u.ac.jp/M3/20110414/F50957/1018/1", 36.17)</f>
        <v>36.17</v>
      </c>
      <c r="E7917" s="2">
        <v>11.43</v>
      </c>
      <c r="F7917" s="2">
        <v>1</v>
      </c>
      <c r="G7917" s="2" t="s">
        <v>11</v>
      </c>
      <c r="H7917" s="2" t="s">
        <v>4908</v>
      </c>
    </row>
    <row r="7918" spans="1:9" x14ac:dyDescent="0.2">
      <c r="A7918" s="2" t="s">
        <v>3250</v>
      </c>
      <c r="B7918" s="2" t="s">
        <v>1581</v>
      </c>
      <c r="C7918" s="2">
        <v>765.40390000000002</v>
      </c>
      <c r="D7918" s="2">
        <f>HYPERLINK("http://mcb-m6.bioreg.kyushu-u.ac.jp/M3/20110414/F50957/4094/1", 36.3)</f>
        <v>36.299999999999997</v>
      </c>
      <c r="E7918" s="2">
        <v>19.440000000000001</v>
      </c>
      <c r="F7918" s="2">
        <v>3</v>
      </c>
      <c r="G7918" s="2" t="s">
        <v>11</v>
      </c>
      <c r="I7918" s="2" t="s">
        <v>4895</v>
      </c>
    </row>
    <row r="7919" spans="1:9" x14ac:dyDescent="0.2">
      <c r="A7919" s="2" t="s">
        <v>3250</v>
      </c>
      <c r="B7919" s="2" t="s">
        <v>1065</v>
      </c>
      <c r="C7919" s="2">
        <v>717.39509999999996</v>
      </c>
      <c r="D7919" s="2">
        <f>HYPERLINK("http://mcb-m6.bioreg.kyushu-u.ac.jp/M3/20110414/F50962/1810/1", 36.32)</f>
        <v>36.32</v>
      </c>
      <c r="E7919" s="2">
        <v>23.49</v>
      </c>
      <c r="F7919" s="2">
        <v>2</v>
      </c>
      <c r="G7919" s="2" t="s">
        <v>11</v>
      </c>
      <c r="I7919" s="2" t="s">
        <v>4892</v>
      </c>
    </row>
    <row r="7920" spans="1:9" x14ac:dyDescent="0.2">
      <c r="A7920" s="2" t="s">
        <v>3250</v>
      </c>
      <c r="B7920" s="2" t="s">
        <v>142</v>
      </c>
      <c r="C7920" s="2">
        <v>847.38400000000001</v>
      </c>
      <c r="D7920" s="2">
        <f>HYPERLINK("http://mcb-m6.bioreg.kyushu-u.ac.jp/M3/20110414/F50943/774/1", 36.41)</f>
        <v>36.409999999999997</v>
      </c>
      <c r="E7920" s="2">
        <v>14.2</v>
      </c>
      <c r="F7920" s="2">
        <v>1</v>
      </c>
      <c r="G7920" s="2" t="s">
        <v>11</v>
      </c>
    </row>
    <row r="7921" spans="1:9" x14ac:dyDescent="0.2">
      <c r="A7921" s="2" t="s">
        <v>3250</v>
      </c>
      <c r="B7921" s="2" t="s">
        <v>365</v>
      </c>
      <c r="C7921" s="2">
        <v>848.60270000000003</v>
      </c>
      <c r="D7921" s="2">
        <f>HYPERLINK("http://mcb-m6.bioreg.kyushu-u.ac.jp/M3/20110414/F50928/2773/1", 36.46)</f>
        <v>36.46</v>
      </c>
      <c r="E7921" s="2">
        <v>20.170000000000002</v>
      </c>
      <c r="F7921" s="2">
        <v>2</v>
      </c>
      <c r="G7921" s="2" t="s">
        <v>11</v>
      </c>
    </row>
    <row r="7922" spans="1:9" x14ac:dyDescent="0.2">
      <c r="A7922" s="2" t="s">
        <v>3250</v>
      </c>
      <c r="B7922" s="2" t="s">
        <v>365</v>
      </c>
      <c r="C7922" s="2">
        <v>849.50519999999995</v>
      </c>
      <c r="D7922" s="2">
        <f>HYPERLINK("http://mcb-m6.bioreg.kyushu-u.ac.jp/M3/20110414/F50957/2600/1", 36.48)</f>
        <v>36.479999999999997</v>
      </c>
      <c r="E7922" s="2">
        <v>19.48</v>
      </c>
      <c r="F7922" s="2">
        <v>2</v>
      </c>
      <c r="G7922" s="2" t="s">
        <v>11</v>
      </c>
    </row>
    <row r="7923" spans="1:9" x14ac:dyDescent="0.2">
      <c r="A7923" s="2" t="s">
        <v>3250</v>
      </c>
      <c r="B7923" s="2" t="s">
        <v>77</v>
      </c>
      <c r="C7923" s="2">
        <v>574.68470000000002</v>
      </c>
      <c r="D7923" s="2">
        <f>HYPERLINK("http://mcb-m6.bioreg.kyushu-u.ac.jp/M3/20110414/F50956/939/1", 36.62)</f>
        <v>36.619999999999997</v>
      </c>
      <c r="E7923" s="2">
        <v>12.87</v>
      </c>
      <c r="F7923" s="2">
        <v>2</v>
      </c>
      <c r="G7923" s="2" t="s">
        <v>11</v>
      </c>
    </row>
    <row r="7924" spans="1:9" x14ac:dyDescent="0.2">
      <c r="A7924" s="2" t="s">
        <v>3250</v>
      </c>
      <c r="B7924" s="2" t="s">
        <v>351</v>
      </c>
      <c r="C7924" s="2">
        <v>861.51700000000005</v>
      </c>
      <c r="D7924" s="2">
        <f>HYPERLINK("http://mcb-m6.bioreg.kyushu-u.ac.jp/M3/20110414/F50925/1180/1", 36.68)</f>
        <v>36.68</v>
      </c>
      <c r="E7924" s="2">
        <v>13.99</v>
      </c>
      <c r="F7924" s="2">
        <v>1</v>
      </c>
      <c r="G7924" s="2" t="s">
        <v>11</v>
      </c>
      <c r="I7924" s="2" t="s">
        <v>4899</v>
      </c>
    </row>
    <row r="7925" spans="1:9" x14ac:dyDescent="0.2">
      <c r="A7925" s="2" t="s">
        <v>3250</v>
      </c>
      <c r="B7925" s="2" t="s">
        <v>351</v>
      </c>
      <c r="C7925" s="2">
        <v>861.43</v>
      </c>
      <c r="D7925" s="2">
        <f>HYPERLINK("http://mcb-m6.bioreg.kyushu-u.ac.jp/M3/20110414/F50924/743/1", 36.71)</f>
        <v>36.71</v>
      </c>
      <c r="E7925" s="2">
        <v>10.83</v>
      </c>
      <c r="F7925" s="2">
        <v>1</v>
      </c>
      <c r="G7925" s="2" t="s">
        <v>11</v>
      </c>
      <c r="I7925" s="2" t="s">
        <v>4899</v>
      </c>
    </row>
    <row r="7926" spans="1:9" x14ac:dyDescent="0.2">
      <c r="A7926" s="2" t="s">
        <v>3250</v>
      </c>
      <c r="B7926" s="2" t="s">
        <v>543</v>
      </c>
      <c r="C7926" s="2">
        <v>927.36720000000003</v>
      </c>
      <c r="D7926" s="2">
        <f>HYPERLINK("http://mcb-m6.bioreg.kyushu-u.ac.jp/M3/20110414/F50956/3174/1", 36.88)</f>
        <v>36.880000000000003</v>
      </c>
      <c r="E7926" s="2">
        <v>22.17</v>
      </c>
      <c r="F7926" s="2">
        <v>2</v>
      </c>
      <c r="G7926" s="2" t="s">
        <v>11</v>
      </c>
    </row>
    <row r="7927" spans="1:9" x14ac:dyDescent="0.2">
      <c r="A7927" s="2" t="s">
        <v>3250</v>
      </c>
      <c r="B7927" s="2" t="s">
        <v>356</v>
      </c>
      <c r="C7927" s="2">
        <v>815.5607</v>
      </c>
      <c r="D7927" s="2">
        <f>HYPERLINK("http://mcb-m6.bioreg.kyushu-u.ac.jp/M3/20110414/F50956/2447/1", 37.07)</f>
        <v>37.07</v>
      </c>
      <c r="E7927" s="2">
        <v>20.93</v>
      </c>
      <c r="F7927" s="2">
        <v>2</v>
      </c>
      <c r="G7927" s="2" t="s">
        <v>11</v>
      </c>
    </row>
    <row r="7928" spans="1:9" x14ac:dyDescent="0.2">
      <c r="A7928" s="2" t="s">
        <v>3250</v>
      </c>
      <c r="B7928" s="2" t="s">
        <v>467</v>
      </c>
      <c r="C7928" s="2">
        <v>692.15470000000005</v>
      </c>
      <c r="D7928" s="2">
        <f>HYPERLINK("http://mcb-m6.bioreg.kyushu-u.ac.jp/M3/20110414/F50943/1587/1", 37.2)</f>
        <v>37.200000000000003</v>
      </c>
      <c r="E7928" s="2">
        <v>15.53</v>
      </c>
      <c r="F7928" s="2">
        <v>2</v>
      </c>
      <c r="G7928" s="2" t="s">
        <v>11</v>
      </c>
    </row>
    <row r="7929" spans="1:9" x14ac:dyDescent="0.2">
      <c r="A7929" s="2" t="s">
        <v>3250</v>
      </c>
      <c r="B7929" s="2" t="s">
        <v>1065</v>
      </c>
      <c r="C7929" s="2">
        <v>716.68870000000004</v>
      </c>
      <c r="D7929" s="2">
        <f>HYPERLINK("http://mcb-m6.bioreg.kyushu-u.ac.jp/M3/20110414/F50956/1752/1", 37.32)</f>
        <v>37.32</v>
      </c>
      <c r="E7929" s="2">
        <v>24.4</v>
      </c>
      <c r="F7929" s="2">
        <v>2</v>
      </c>
      <c r="G7929" s="2" t="s">
        <v>11</v>
      </c>
      <c r="I7929" s="2" t="s">
        <v>4892</v>
      </c>
    </row>
    <row r="7930" spans="1:9" x14ac:dyDescent="0.2">
      <c r="A7930" s="2" t="s">
        <v>3250</v>
      </c>
      <c r="B7930" s="2" t="s">
        <v>102</v>
      </c>
      <c r="C7930" s="2">
        <v>1215.5519999999999</v>
      </c>
      <c r="D7930" s="2">
        <f>HYPERLINK("http://mcb-m6.bioreg.kyushu-u.ac.jp/M3/20110414/F50943/1263/1", 37.35)</f>
        <v>37.35</v>
      </c>
      <c r="E7930" s="2">
        <v>21.21</v>
      </c>
      <c r="F7930" s="2">
        <v>1</v>
      </c>
      <c r="G7930" s="2" t="s">
        <v>11</v>
      </c>
    </row>
    <row r="7931" spans="1:9" x14ac:dyDescent="0.2">
      <c r="A7931" s="2" t="s">
        <v>3250</v>
      </c>
      <c r="B7931" s="2" t="s">
        <v>543</v>
      </c>
      <c r="C7931" s="2">
        <v>926.76120000000003</v>
      </c>
      <c r="D7931" s="2">
        <f>HYPERLINK("http://mcb-m6.bioreg.kyushu-u.ac.jp/M3/20110414/F50956/3169/1", 37.39)</f>
        <v>37.39</v>
      </c>
      <c r="E7931" s="2">
        <v>25.26</v>
      </c>
      <c r="F7931" s="2">
        <v>2</v>
      </c>
      <c r="G7931" s="2" t="s">
        <v>11</v>
      </c>
    </row>
    <row r="7932" spans="1:9" x14ac:dyDescent="0.2">
      <c r="A7932" s="2" t="s">
        <v>3250</v>
      </c>
      <c r="B7932" s="2" t="s">
        <v>102</v>
      </c>
      <c r="C7932" s="2">
        <v>1215.6310000000001</v>
      </c>
      <c r="D7932" s="2">
        <f>HYPERLINK("http://mcb-m6.bioreg.kyushu-u.ac.jp/M3/20110414/F50944/1581/1", 37.4)</f>
        <v>37.4</v>
      </c>
      <c r="E7932" s="2">
        <v>22</v>
      </c>
      <c r="F7932" s="2">
        <v>1</v>
      </c>
      <c r="G7932" s="2" t="s">
        <v>11</v>
      </c>
    </row>
    <row r="7933" spans="1:9" x14ac:dyDescent="0.2">
      <c r="A7933" s="2" t="s">
        <v>3250</v>
      </c>
      <c r="B7933" s="2" t="s">
        <v>90</v>
      </c>
      <c r="C7933" s="2">
        <v>717.33669999999995</v>
      </c>
      <c r="D7933" s="2">
        <f>HYPERLINK("http://mcb-m6.bioreg.kyushu-u.ac.jp/M3/20110414/F50942/1754/1", 37.53)</f>
        <v>37.53</v>
      </c>
      <c r="E7933" s="2">
        <v>17.77</v>
      </c>
      <c r="F7933" s="2">
        <v>2</v>
      </c>
      <c r="G7933" s="2" t="s">
        <v>11</v>
      </c>
    </row>
    <row r="7934" spans="1:9" x14ac:dyDescent="0.2">
      <c r="A7934" s="2" t="s">
        <v>3250</v>
      </c>
      <c r="B7934" s="2" t="s">
        <v>503</v>
      </c>
      <c r="C7934" s="2">
        <v>544.8768</v>
      </c>
      <c r="D7934" s="2">
        <f>HYPERLINK("http://mcb-m6.bioreg.kyushu-u.ac.jp/M3/20110414/F50957/2389/1", 38.37)</f>
        <v>38.369999999999997</v>
      </c>
      <c r="E7934" s="2">
        <v>21.92</v>
      </c>
      <c r="F7934" s="2">
        <v>3</v>
      </c>
      <c r="G7934" s="2" t="s">
        <v>11</v>
      </c>
      <c r="H7934" s="2" t="s">
        <v>4907</v>
      </c>
    </row>
    <row r="7935" spans="1:9" x14ac:dyDescent="0.2">
      <c r="A7935" s="2" t="s">
        <v>3250</v>
      </c>
      <c r="B7935" s="2" t="s">
        <v>481</v>
      </c>
      <c r="C7935" s="2">
        <v>1417.588</v>
      </c>
      <c r="D7935" s="2">
        <f>HYPERLINK("http://mcb-m6.bioreg.kyushu-u.ac.jp/M3/20110414/F50925/2065/1", 39.15)</f>
        <v>39.15</v>
      </c>
      <c r="E7935" s="2">
        <v>22.46</v>
      </c>
      <c r="F7935" s="2">
        <v>1</v>
      </c>
      <c r="G7935" s="2" t="s">
        <v>11</v>
      </c>
      <c r="I7935" s="2" t="s">
        <v>4898</v>
      </c>
    </row>
    <row r="7936" spans="1:9" x14ac:dyDescent="0.2">
      <c r="A7936" s="2" t="s">
        <v>3250</v>
      </c>
      <c r="B7936" s="2" t="s">
        <v>102</v>
      </c>
      <c r="C7936" s="2">
        <v>1215.384</v>
      </c>
      <c r="D7936" s="2">
        <f>HYPERLINK("http://mcb-m6.bioreg.kyushu-u.ac.jp/M3/20110414/F50957/1030/1", 39.31)</f>
        <v>39.31</v>
      </c>
      <c r="E7936" s="2">
        <v>25.58</v>
      </c>
      <c r="F7936" s="2">
        <v>1</v>
      </c>
      <c r="G7936" s="2" t="s">
        <v>11</v>
      </c>
    </row>
    <row r="7937" spans="1:9" x14ac:dyDescent="0.2">
      <c r="A7937" s="2" t="s">
        <v>3250</v>
      </c>
      <c r="B7937" s="2" t="s">
        <v>467</v>
      </c>
      <c r="C7937" s="2">
        <v>691.4742</v>
      </c>
      <c r="D7937" s="2">
        <f>HYPERLINK("http://mcb-m6.bioreg.kyushu-u.ac.jp/M3/20110414/F50927/2067/1", 39.35)</f>
        <v>39.35</v>
      </c>
      <c r="E7937" s="2">
        <v>10.65</v>
      </c>
      <c r="F7937" s="2">
        <v>2</v>
      </c>
      <c r="G7937" s="2" t="s">
        <v>11</v>
      </c>
    </row>
    <row r="7938" spans="1:9" x14ac:dyDescent="0.2">
      <c r="A7938" s="2" t="s">
        <v>3250</v>
      </c>
      <c r="B7938" s="2" t="s">
        <v>543</v>
      </c>
      <c r="C7938" s="2">
        <v>926.77009999999996</v>
      </c>
      <c r="D7938" s="2">
        <f>HYPERLINK("http://mcb-m6.bioreg.kyushu-u.ac.jp/M3/20110414/F50957/3060/1", 39.41)</f>
        <v>39.409999999999997</v>
      </c>
      <c r="E7938" s="2">
        <v>25.09</v>
      </c>
      <c r="F7938" s="2">
        <v>2</v>
      </c>
      <c r="G7938" s="2" t="s">
        <v>11</v>
      </c>
    </row>
    <row r="7939" spans="1:9" x14ac:dyDescent="0.2">
      <c r="A7939" s="2" t="s">
        <v>3250</v>
      </c>
      <c r="B7939" s="2" t="s">
        <v>543</v>
      </c>
      <c r="C7939" s="2">
        <v>927.3981</v>
      </c>
      <c r="D7939" s="2">
        <f>HYPERLINK("http://mcb-m6.bioreg.kyushu-u.ac.jp/M3/20110414/F50956/3175/1", 39.62)</f>
        <v>39.619999999999997</v>
      </c>
      <c r="E7939" s="2">
        <v>25.58</v>
      </c>
      <c r="F7939" s="2">
        <v>2</v>
      </c>
      <c r="G7939" s="2" t="s">
        <v>11</v>
      </c>
    </row>
    <row r="7940" spans="1:9" x14ac:dyDescent="0.2">
      <c r="A7940" s="2" t="s">
        <v>3250</v>
      </c>
      <c r="B7940" s="2" t="s">
        <v>90</v>
      </c>
      <c r="C7940" s="2">
        <v>716.75319999999999</v>
      </c>
      <c r="D7940" s="2">
        <f>HYPERLINK("http://mcb-m6.bioreg.kyushu-u.ac.jp/M3/20110414/F50957/1736/1", 39.8)</f>
        <v>39.799999999999997</v>
      </c>
      <c r="E7940" s="2">
        <v>12.04</v>
      </c>
      <c r="F7940" s="2">
        <v>2</v>
      </c>
      <c r="G7940" s="2" t="s">
        <v>11</v>
      </c>
    </row>
    <row r="7941" spans="1:9" x14ac:dyDescent="0.2">
      <c r="A7941" s="2" t="s">
        <v>3250</v>
      </c>
      <c r="B7941" s="2" t="s">
        <v>365</v>
      </c>
      <c r="C7941" s="2">
        <v>849.31269999999995</v>
      </c>
      <c r="D7941" s="2">
        <f>HYPERLINK("http://mcb-m6.bioreg.kyushu-u.ac.jp/M3/20110414/F50956/2708/1", 39.92)</f>
        <v>39.92</v>
      </c>
      <c r="E7941" s="2">
        <v>26.23</v>
      </c>
      <c r="F7941" s="2">
        <v>2</v>
      </c>
      <c r="G7941" s="2" t="s">
        <v>11</v>
      </c>
    </row>
    <row r="7942" spans="1:9" x14ac:dyDescent="0.2">
      <c r="A7942" s="2" t="s">
        <v>3250</v>
      </c>
      <c r="B7942" s="2" t="s">
        <v>543</v>
      </c>
      <c r="C7942" s="2">
        <v>926.93870000000004</v>
      </c>
      <c r="D7942" s="2">
        <f>HYPERLINK("http://mcb-m6.bioreg.kyushu-u.ac.jp/M3/20110414/F50942/3045/1", 40.14)</f>
        <v>40.14</v>
      </c>
      <c r="E7942" s="2">
        <v>26.33</v>
      </c>
      <c r="F7942" s="2">
        <v>2</v>
      </c>
      <c r="G7942" s="2" t="s">
        <v>11</v>
      </c>
    </row>
    <row r="7943" spans="1:9" x14ac:dyDescent="0.2">
      <c r="A7943" s="2" t="s">
        <v>3250</v>
      </c>
      <c r="B7943" s="2" t="s">
        <v>503</v>
      </c>
      <c r="C7943" s="2">
        <v>816.42169999999999</v>
      </c>
      <c r="D7943" s="2">
        <f>HYPERLINK("http://mcb-m6.bioreg.kyushu-u.ac.jp/M3/20110414/F50942/2347/1", 40.15)</f>
        <v>40.15</v>
      </c>
      <c r="E7943" s="2">
        <v>32.58</v>
      </c>
      <c r="F7943" s="2">
        <v>2</v>
      </c>
      <c r="G7943" s="2" t="s">
        <v>11</v>
      </c>
      <c r="H7943" s="2" t="s">
        <v>4907</v>
      </c>
    </row>
    <row r="7944" spans="1:9" x14ac:dyDescent="0.2">
      <c r="A7944" s="2" t="s">
        <v>3250</v>
      </c>
      <c r="B7944" s="2" t="s">
        <v>356</v>
      </c>
      <c r="C7944" s="2">
        <v>544.62350000000004</v>
      </c>
      <c r="D7944" s="2">
        <f>HYPERLINK("http://mcb-m6.bioreg.kyushu-u.ac.jp/M3/20110414/F50957/2384/1", 40.54)</f>
        <v>40.54</v>
      </c>
      <c r="E7944" s="2">
        <v>14.05</v>
      </c>
      <c r="F7944" s="2">
        <v>3</v>
      </c>
      <c r="G7944" s="2" t="s">
        <v>11</v>
      </c>
    </row>
    <row r="7945" spans="1:9" x14ac:dyDescent="0.2">
      <c r="A7945" s="2" t="s">
        <v>3250</v>
      </c>
      <c r="B7945" s="2" t="s">
        <v>90</v>
      </c>
      <c r="C7945" s="2">
        <v>717.14509999999996</v>
      </c>
      <c r="D7945" s="2">
        <f>HYPERLINK("http://mcb-m6.bioreg.kyushu-u.ac.jp/M3/20110414/F50962/1806/1", 40.57)</f>
        <v>40.57</v>
      </c>
      <c r="E7945" s="2">
        <v>26.33</v>
      </c>
      <c r="F7945" s="2">
        <v>2</v>
      </c>
      <c r="G7945" s="2" t="s">
        <v>11</v>
      </c>
    </row>
    <row r="7946" spans="1:9" x14ac:dyDescent="0.2">
      <c r="A7946" s="2" t="s">
        <v>3250</v>
      </c>
      <c r="B7946" s="2" t="s">
        <v>1065</v>
      </c>
      <c r="C7946" s="2">
        <v>716.79060000000004</v>
      </c>
      <c r="D7946" s="2">
        <f>HYPERLINK("http://mcb-m6.bioreg.kyushu-u.ac.jp/M3/20110414/F50957/1741/1", 40.72)</f>
        <v>40.72</v>
      </c>
      <c r="E7946" s="2">
        <v>20.13</v>
      </c>
      <c r="F7946" s="2">
        <v>2</v>
      </c>
      <c r="G7946" s="2" t="s">
        <v>11</v>
      </c>
      <c r="I7946" s="2" t="s">
        <v>4892</v>
      </c>
    </row>
    <row r="7947" spans="1:9" x14ac:dyDescent="0.2">
      <c r="A7947" s="2" t="s">
        <v>3250</v>
      </c>
      <c r="B7947" s="2" t="s">
        <v>77</v>
      </c>
      <c r="C7947" s="2">
        <v>575.11360000000002</v>
      </c>
      <c r="D7947" s="2">
        <f>HYPERLINK("http://mcb-m6.bioreg.kyushu-u.ac.jp/M3/20110414/F50945/1303/1", 40.86)</f>
        <v>40.86</v>
      </c>
      <c r="E7947" s="2">
        <v>21.89</v>
      </c>
      <c r="F7947" s="2">
        <v>2</v>
      </c>
      <c r="G7947" s="2" t="s">
        <v>11</v>
      </c>
    </row>
    <row r="7948" spans="1:9" x14ac:dyDescent="0.2">
      <c r="A7948" s="2" t="s">
        <v>3250</v>
      </c>
      <c r="B7948" s="2" t="s">
        <v>481</v>
      </c>
      <c r="C7948" s="2">
        <v>1418.5150000000001</v>
      </c>
      <c r="D7948" s="2">
        <f>HYPERLINK("http://mcb-m6.bioreg.kyushu-u.ac.jp/M3/20110414/F50942/1709/1", 40.96)</f>
        <v>40.96</v>
      </c>
      <c r="E7948" s="2">
        <v>24.36</v>
      </c>
      <c r="F7948" s="2">
        <v>1</v>
      </c>
      <c r="G7948" s="2" t="s">
        <v>11</v>
      </c>
      <c r="I7948" s="2" t="s">
        <v>4898</v>
      </c>
    </row>
    <row r="7949" spans="1:9" x14ac:dyDescent="0.2">
      <c r="A7949" s="2" t="s">
        <v>3250</v>
      </c>
      <c r="B7949" s="2" t="s">
        <v>356</v>
      </c>
      <c r="C7949" s="2">
        <v>815.73019999999997</v>
      </c>
      <c r="D7949" s="2">
        <f>HYPERLINK("http://mcb-m6.bioreg.kyushu-u.ac.jp/M3/20110414/F50957/2375/1", 41.16)</f>
        <v>41.16</v>
      </c>
      <c r="E7949" s="2">
        <v>28.22</v>
      </c>
      <c r="F7949" s="2">
        <v>2</v>
      </c>
      <c r="G7949" s="2" t="s">
        <v>11</v>
      </c>
    </row>
    <row r="7950" spans="1:9" x14ac:dyDescent="0.2">
      <c r="A7950" s="2" t="s">
        <v>3250</v>
      </c>
      <c r="B7950" s="2" t="s">
        <v>467</v>
      </c>
      <c r="C7950" s="2">
        <v>691.72360000000003</v>
      </c>
      <c r="D7950" s="2">
        <f>HYPERLINK("http://mcb-m6.bioreg.kyushu-u.ac.jp/M3/20110414/F50924/1846/1", 42.27)</f>
        <v>42.27</v>
      </c>
      <c r="E7950" s="2">
        <v>21.25</v>
      </c>
      <c r="F7950" s="2">
        <v>2</v>
      </c>
      <c r="G7950" s="2" t="s">
        <v>11</v>
      </c>
    </row>
    <row r="7951" spans="1:9" x14ac:dyDescent="0.2">
      <c r="A7951" s="2" t="s">
        <v>3250</v>
      </c>
      <c r="B7951" s="2" t="s">
        <v>543</v>
      </c>
      <c r="C7951" s="2">
        <v>927.30269999999996</v>
      </c>
      <c r="D7951" s="2">
        <f>HYPERLINK("http://mcb-m6.bioreg.kyushu-u.ac.jp/M3/20110414/F50957/3069/1", 42.92)</f>
        <v>42.92</v>
      </c>
      <c r="E7951" s="2">
        <v>31.89</v>
      </c>
      <c r="F7951" s="2">
        <v>2</v>
      </c>
      <c r="G7951" s="2" t="s">
        <v>11</v>
      </c>
    </row>
    <row r="7952" spans="1:9" x14ac:dyDescent="0.2">
      <c r="A7952" s="2" t="s">
        <v>3250</v>
      </c>
      <c r="B7952" s="2" t="s">
        <v>503</v>
      </c>
      <c r="C7952" s="2">
        <v>539.27020000000005</v>
      </c>
      <c r="D7952" s="2">
        <f>HYPERLINK("http://mcb-m6.bioreg.kyushu-u.ac.jp/M3/20110414/F50957/2327/1", 42.93)</f>
        <v>42.93</v>
      </c>
      <c r="E7952" s="2">
        <v>26.91</v>
      </c>
      <c r="F7952" s="2">
        <v>3</v>
      </c>
      <c r="G7952" s="2" t="s">
        <v>11</v>
      </c>
    </row>
    <row r="7953" spans="1:9" x14ac:dyDescent="0.2">
      <c r="A7953" s="2" t="s">
        <v>3250</v>
      </c>
      <c r="B7953" s="2" t="s">
        <v>467</v>
      </c>
      <c r="C7953" s="2">
        <v>692.28369999999995</v>
      </c>
      <c r="D7953" s="2">
        <f>HYPERLINK("http://mcb-m6.bioreg.kyushu-u.ac.jp/M3/20110414/F50943/1589/1", 43.19)</f>
        <v>43.19</v>
      </c>
      <c r="E7953" s="2">
        <v>15.39</v>
      </c>
      <c r="F7953" s="2">
        <v>2</v>
      </c>
      <c r="G7953" s="2" t="s">
        <v>11</v>
      </c>
    </row>
    <row r="7954" spans="1:9" x14ac:dyDescent="0.2">
      <c r="A7954" s="2" t="s">
        <v>3250</v>
      </c>
      <c r="B7954" s="2" t="s">
        <v>1065</v>
      </c>
      <c r="C7954" s="2">
        <v>716.75160000000005</v>
      </c>
      <c r="D7954" s="2">
        <f>HYPERLINK("http://mcb-m6.bioreg.kyushu-u.ac.jp/M3/20110414/F50956/1756/1", 43.26)</f>
        <v>43.26</v>
      </c>
      <c r="E7954" s="2">
        <v>30.42</v>
      </c>
      <c r="F7954" s="2">
        <v>2</v>
      </c>
      <c r="G7954" s="2" t="s">
        <v>11</v>
      </c>
      <c r="I7954" s="2" t="s">
        <v>4892</v>
      </c>
    </row>
    <row r="7955" spans="1:9" x14ac:dyDescent="0.2">
      <c r="A7955" s="2" t="s">
        <v>3250</v>
      </c>
      <c r="B7955" s="2" t="s">
        <v>90</v>
      </c>
      <c r="C7955" s="2">
        <v>717.11109999999996</v>
      </c>
      <c r="D7955" s="2">
        <f>HYPERLINK("http://mcb-m6.bioreg.kyushu-u.ac.jp/M3/20110414/F50928/2179/1", 43.43)</f>
        <v>43.43</v>
      </c>
      <c r="E7955" s="2">
        <v>23.2</v>
      </c>
      <c r="F7955" s="2">
        <v>2</v>
      </c>
      <c r="G7955" s="2" t="s">
        <v>11</v>
      </c>
    </row>
    <row r="7956" spans="1:9" x14ac:dyDescent="0.2">
      <c r="A7956" s="2" t="s">
        <v>3250</v>
      </c>
      <c r="B7956" s="2" t="s">
        <v>175</v>
      </c>
      <c r="C7956" s="2">
        <v>784.40470000000005</v>
      </c>
      <c r="D7956" s="2">
        <f>HYPERLINK("http://mcb-m6.bioreg.kyushu-u.ac.jp/M3/20110414/F50943/2166/1", 43.79)</f>
        <v>43.79</v>
      </c>
      <c r="E7956" s="2">
        <v>25.4</v>
      </c>
      <c r="F7956" s="2">
        <v>2</v>
      </c>
      <c r="G7956" s="2" t="s">
        <v>11</v>
      </c>
      <c r="I7956" s="2" t="s">
        <v>4893</v>
      </c>
    </row>
    <row r="7957" spans="1:9" x14ac:dyDescent="0.2">
      <c r="A7957" s="2" t="s">
        <v>3250</v>
      </c>
      <c r="B7957" s="2" t="s">
        <v>467</v>
      </c>
      <c r="C7957" s="2">
        <v>691.71770000000004</v>
      </c>
      <c r="D7957" s="2">
        <f>HYPERLINK("http://mcb-m6.bioreg.kyushu-u.ac.jp/M3/20110414/F50944/1840/1", 43.79)</f>
        <v>43.79</v>
      </c>
      <c r="E7957" s="2">
        <v>21.27</v>
      </c>
      <c r="F7957" s="2">
        <v>2</v>
      </c>
      <c r="G7957" s="2" t="s">
        <v>11</v>
      </c>
    </row>
    <row r="7958" spans="1:9" x14ac:dyDescent="0.2">
      <c r="A7958" s="2" t="s">
        <v>3250</v>
      </c>
      <c r="B7958" s="2" t="s">
        <v>365</v>
      </c>
      <c r="C7958" s="2">
        <v>849.32759999999996</v>
      </c>
      <c r="D7958" s="2">
        <f>HYPERLINK("http://mcb-m6.bioreg.kyushu-u.ac.jp/M3/20110414/F50941/2670/1", 43.92)</f>
        <v>43.92</v>
      </c>
      <c r="E7958" s="2">
        <v>28.82</v>
      </c>
      <c r="F7958" s="2">
        <v>2</v>
      </c>
      <c r="G7958" s="2" t="s">
        <v>11</v>
      </c>
    </row>
    <row r="7959" spans="1:9" x14ac:dyDescent="0.2">
      <c r="A7959" s="2" t="s">
        <v>3250</v>
      </c>
      <c r="B7959" s="2" t="s">
        <v>561</v>
      </c>
      <c r="C7959" s="2">
        <v>1308.442</v>
      </c>
      <c r="D7959" s="2">
        <f>HYPERLINK("http://mcb-m6.bioreg.kyushu-u.ac.jp/M3/20110414/F50957/1300/1", 44.09)</f>
        <v>44.09</v>
      </c>
      <c r="E7959" s="2">
        <v>32.85</v>
      </c>
      <c r="F7959" s="2">
        <v>1</v>
      </c>
      <c r="G7959" s="2" t="s">
        <v>11</v>
      </c>
    </row>
    <row r="7960" spans="1:9" x14ac:dyDescent="0.2">
      <c r="A7960" s="2" t="s">
        <v>3250</v>
      </c>
      <c r="B7960" s="2" t="s">
        <v>467</v>
      </c>
      <c r="C7960" s="2">
        <v>692.20510000000002</v>
      </c>
      <c r="D7960" s="2">
        <f>HYPERLINK("http://mcb-m6.bioreg.kyushu-u.ac.jp/M3/20110414/F50956/1595/1", 44.15)</f>
        <v>44.15</v>
      </c>
      <c r="E7960" s="2">
        <v>19.88</v>
      </c>
      <c r="F7960" s="2">
        <v>2</v>
      </c>
      <c r="G7960" s="2" t="s">
        <v>11</v>
      </c>
    </row>
    <row r="7961" spans="1:9" x14ac:dyDescent="0.2">
      <c r="A7961" s="2" t="s">
        <v>3250</v>
      </c>
      <c r="B7961" s="2" t="s">
        <v>467</v>
      </c>
      <c r="C7961" s="2">
        <v>692.11159999999995</v>
      </c>
      <c r="D7961" s="2">
        <f>HYPERLINK("http://mcb-m6.bioreg.kyushu-u.ac.jp/M3/20110414/F50944/1845/1", 44.18)</f>
        <v>44.18</v>
      </c>
      <c r="E7961" s="2">
        <v>20.57</v>
      </c>
      <c r="F7961" s="2">
        <v>2</v>
      </c>
      <c r="G7961" s="2" t="s">
        <v>11</v>
      </c>
    </row>
    <row r="7962" spans="1:9" x14ac:dyDescent="0.2">
      <c r="A7962" s="2" t="s">
        <v>3250</v>
      </c>
      <c r="B7962" s="2" t="s">
        <v>1065</v>
      </c>
      <c r="C7962" s="2">
        <v>717.19420000000002</v>
      </c>
      <c r="D7962" s="2">
        <f>HYPERLINK("http://mcb-m6.bioreg.kyushu-u.ac.jp/M3/20110414/F50929/2184/1", 44.21)</f>
        <v>44.21</v>
      </c>
      <c r="E7962" s="2">
        <v>36.770000000000003</v>
      </c>
      <c r="F7962" s="2">
        <v>2</v>
      </c>
      <c r="G7962" s="2" t="s">
        <v>11</v>
      </c>
      <c r="I7962" s="2" t="s">
        <v>4892</v>
      </c>
    </row>
    <row r="7963" spans="1:9" x14ac:dyDescent="0.2">
      <c r="A7963" s="2" t="s">
        <v>3250</v>
      </c>
      <c r="B7963" s="2" t="s">
        <v>467</v>
      </c>
      <c r="C7963" s="2">
        <v>691.6191</v>
      </c>
      <c r="D7963" s="2">
        <f>HYPERLINK("http://mcb-m6.bioreg.kyushu-u.ac.jp/M3/20110414/F50929/2068/1", 44.23)</f>
        <v>44.23</v>
      </c>
      <c r="E7963" s="2">
        <v>17.38</v>
      </c>
      <c r="F7963" s="2">
        <v>2</v>
      </c>
      <c r="G7963" s="2" t="s">
        <v>11</v>
      </c>
    </row>
    <row r="7964" spans="1:9" x14ac:dyDescent="0.2">
      <c r="A7964" s="2" t="s">
        <v>3250</v>
      </c>
      <c r="B7964" s="2" t="s">
        <v>772</v>
      </c>
      <c r="C7964" s="2">
        <v>596.29819999999995</v>
      </c>
      <c r="D7964" s="2">
        <f>HYPERLINK("http://mcb-m6.bioreg.kyushu-u.ac.jp/M3/20110414/F50944/1547/1", 44.28)</f>
        <v>44.28</v>
      </c>
      <c r="E7964" s="2">
        <v>20.11</v>
      </c>
      <c r="F7964" s="2">
        <v>2</v>
      </c>
      <c r="G7964" s="2" t="s">
        <v>11</v>
      </c>
    </row>
    <row r="7965" spans="1:9" x14ac:dyDescent="0.2">
      <c r="A7965" s="2" t="s">
        <v>3250</v>
      </c>
      <c r="B7965" s="2" t="s">
        <v>604</v>
      </c>
      <c r="C7965" s="2">
        <v>520.70820000000003</v>
      </c>
      <c r="D7965" s="2">
        <f>HYPERLINK("http://mcb-m6.bioreg.kyushu-u.ac.jp/M3/20110414/F50957/663/1", 44.35)</f>
        <v>44.35</v>
      </c>
      <c r="E7965" s="2">
        <v>10.7</v>
      </c>
      <c r="F7965" s="2">
        <v>2</v>
      </c>
      <c r="G7965" s="2" t="s">
        <v>11</v>
      </c>
    </row>
    <row r="7966" spans="1:9" x14ac:dyDescent="0.2">
      <c r="A7966" s="2" t="s">
        <v>3250</v>
      </c>
      <c r="B7966" s="2" t="s">
        <v>77</v>
      </c>
      <c r="C7966" s="2">
        <v>1148.4939999999999</v>
      </c>
      <c r="D7966" s="2">
        <f>HYPERLINK("http://mcb-m6.bioreg.kyushu-u.ac.jp/M3/20110414/F50944/1477/1", 44.61)</f>
        <v>44.61</v>
      </c>
      <c r="E7966" s="2">
        <v>28.82</v>
      </c>
      <c r="F7966" s="2">
        <v>1</v>
      </c>
      <c r="G7966" s="2" t="s">
        <v>11</v>
      </c>
    </row>
    <row r="7967" spans="1:9" x14ac:dyDescent="0.2">
      <c r="A7967" s="2" t="s">
        <v>3250</v>
      </c>
      <c r="B7967" s="2" t="s">
        <v>90</v>
      </c>
      <c r="C7967" s="2">
        <v>717.25819999999999</v>
      </c>
      <c r="D7967" s="2">
        <f>HYPERLINK("http://mcb-m6.bioreg.kyushu-u.ac.jp/M3/20110414/F50929/2186/1", 44.98)</f>
        <v>44.98</v>
      </c>
      <c r="E7967" s="2">
        <v>26.54</v>
      </c>
      <c r="F7967" s="2">
        <v>2</v>
      </c>
      <c r="G7967" s="2" t="s">
        <v>11</v>
      </c>
    </row>
    <row r="7968" spans="1:9" x14ac:dyDescent="0.2">
      <c r="A7968" s="2" t="s">
        <v>3250</v>
      </c>
      <c r="B7968" s="2" t="s">
        <v>772</v>
      </c>
      <c r="C7968" s="2">
        <v>595.80820000000006</v>
      </c>
      <c r="D7968" s="2">
        <f>HYPERLINK("http://mcb-m6.bioreg.kyushu-u.ac.jp/M3/20110414/F50943/1213/1", 45.09)</f>
        <v>45.09</v>
      </c>
      <c r="E7968" s="2">
        <v>25.73</v>
      </c>
      <c r="F7968" s="2">
        <v>2</v>
      </c>
      <c r="G7968" s="2" t="s">
        <v>11</v>
      </c>
    </row>
    <row r="7969" spans="1:9" x14ac:dyDescent="0.2">
      <c r="A7969" s="2" t="s">
        <v>3250</v>
      </c>
      <c r="B7969" s="2" t="s">
        <v>365</v>
      </c>
      <c r="C7969" s="2">
        <v>848.7482</v>
      </c>
      <c r="D7969" s="2">
        <f>HYPERLINK("http://mcb-m6.bioreg.kyushu-u.ac.jp/M3/20110414/F50956/2697/1", 45.15)</f>
        <v>45.15</v>
      </c>
      <c r="E7969" s="2">
        <v>28.06</v>
      </c>
      <c r="F7969" s="2">
        <v>2</v>
      </c>
      <c r="G7969" s="2" t="s">
        <v>11</v>
      </c>
    </row>
    <row r="7970" spans="1:9" x14ac:dyDescent="0.2">
      <c r="A7970" s="2" t="s">
        <v>3250</v>
      </c>
      <c r="B7970" s="2" t="s">
        <v>561</v>
      </c>
      <c r="C7970" s="2">
        <v>654.0797</v>
      </c>
      <c r="D7970" s="2">
        <f>HYPERLINK("http://mcb-m6.bioreg.kyushu-u.ac.jp/M3/20110414/F50957/1290/1", 45.27)</f>
        <v>45.27</v>
      </c>
      <c r="E7970" s="2">
        <v>27.62</v>
      </c>
      <c r="F7970" s="2">
        <v>2</v>
      </c>
      <c r="G7970" s="2" t="s">
        <v>11</v>
      </c>
    </row>
    <row r="7971" spans="1:9" x14ac:dyDescent="0.2">
      <c r="A7971" s="2" t="s">
        <v>3250</v>
      </c>
      <c r="B7971" s="2" t="s">
        <v>365</v>
      </c>
      <c r="C7971" s="2">
        <v>566.64080000000001</v>
      </c>
      <c r="D7971" s="2">
        <f>HYPERLINK("http://mcb-m6.bioreg.kyushu-u.ac.jp/M3/20110414/F50956/2709/1", 45.52)</f>
        <v>45.52</v>
      </c>
      <c r="E7971" s="2">
        <v>29.97</v>
      </c>
      <c r="F7971" s="2">
        <v>3</v>
      </c>
      <c r="G7971" s="2" t="s">
        <v>11</v>
      </c>
    </row>
    <row r="7972" spans="1:9" x14ac:dyDescent="0.2">
      <c r="A7972" s="2" t="s">
        <v>3250</v>
      </c>
      <c r="B7972" s="2" t="s">
        <v>543</v>
      </c>
      <c r="C7972" s="2">
        <v>926.78859999999997</v>
      </c>
      <c r="D7972" s="2">
        <f>HYPERLINK("http://mcb-m6.bioreg.kyushu-u.ac.jp/M3/20110414/F50956/3170/1", 45.71)</f>
        <v>45.71</v>
      </c>
      <c r="E7972" s="2">
        <v>29.79</v>
      </c>
      <c r="F7972" s="2">
        <v>2</v>
      </c>
      <c r="G7972" s="2" t="s">
        <v>11</v>
      </c>
    </row>
    <row r="7973" spans="1:9" x14ac:dyDescent="0.2">
      <c r="A7973" s="2" t="s">
        <v>3250</v>
      </c>
      <c r="B7973" s="2" t="s">
        <v>1065</v>
      </c>
      <c r="C7973" s="2">
        <v>716.65470000000005</v>
      </c>
      <c r="D7973" s="2">
        <f>HYPERLINK("http://mcb-m6.bioreg.kyushu-u.ac.jp/M3/20110414/F50957/1731/1", 45.81)</f>
        <v>45.81</v>
      </c>
      <c r="E7973" s="2">
        <v>32.869999999999997</v>
      </c>
      <c r="F7973" s="2">
        <v>2</v>
      </c>
      <c r="G7973" s="2" t="s">
        <v>11</v>
      </c>
      <c r="I7973" s="2" t="s">
        <v>4892</v>
      </c>
    </row>
    <row r="7974" spans="1:9" x14ac:dyDescent="0.2">
      <c r="A7974" s="2" t="s">
        <v>3250</v>
      </c>
      <c r="B7974" s="2" t="s">
        <v>102</v>
      </c>
      <c r="C7974" s="2">
        <v>608.45510000000002</v>
      </c>
      <c r="D7974" s="2">
        <f>HYPERLINK("http://mcb-m6.bioreg.kyushu-u.ac.jp/M3/20110414/F50928/1680/1", 46.2)</f>
        <v>46.2</v>
      </c>
      <c r="E7974" s="2">
        <v>24.91</v>
      </c>
      <c r="F7974" s="2">
        <v>2</v>
      </c>
      <c r="G7974" s="2" t="s">
        <v>11</v>
      </c>
    </row>
    <row r="7975" spans="1:9" x14ac:dyDescent="0.2">
      <c r="A7975" s="2" t="s">
        <v>3250</v>
      </c>
      <c r="B7975" s="2" t="s">
        <v>772</v>
      </c>
      <c r="C7975" s="2">
        <v>1190.626</v>
      </c>
      <c r="D7975" s="2">
        <f>HYPERLINK("http://mcb-m6.bioreg.kyushu-u.ac.jp/M3/20110414/F50943/1214/1", 46.2)</f>
        <v>46.2</v>
      </c>
      <c r="E7975" s="2">
        <v>22.05</v>
      </c>
      <c r="F7975" s="2">
        <v>1</v>
      </c>
      <c r="G7975" s="2" t="s">
        <v>11</v>
      </c>
    </row>
    <row r="7976" spans="1:9" x14ac:dyDescent="0.2">
      <c r="A7976" s="2" t="s">
        <v>3250</v>
      </c>
      <c r="B7976" s="2" t="s">
        <v>481</v>
      </c>
      <c r="C7976" s="2">
        <v>709.23659999999995</v>
      </c>
      <c r="D7976" s="2">
        <f>HYPERLINK("http://mcb-m6.bioreg.kyushu-u.ac.jp/M3/20110414/F50957/1671/1", 46.24)</f>
        <v>46.24</v>
      </c>
      <c r="E7976" s="2">
        <v>26.04</v>
      </c>
      <c r="F7976" s="2">
        <v>2</v>
      </c>
      <c r="G7976" s="2" t="s">
        <v>11</v>
      </c>
      <c r="I7976" s="2" t="s">
        <v>4898</v>
      </c>
    </row>
    <row r="7977" spans="1:9" x14ac:dyDescent="0.2">
      <c r="A7977" s="2" t="s">
        <v>3250</v>
      </c>
      <c r="B7977" s="2" t="s">
        <v>543</v>
      </c>
      <c r="C7977" s="2">
        <v>927.43409999999994</v>
      </c>
      <c r="D7977" s="2">
        <f>HYPERLINK("http://mcb-m6.bioreg.kyushu-u.ac.jp/M3/20110414/F50956/3176/1", 46.26)</f>
        <v>46.26</v>
      </c>
      <c r="E7977" s="2">
        <v>34.65</v>
      </c>
      <c r="F7977" s="2">
        <v>2</v>
      </c>
      <c r="G7977" s="2" t="s">
        <v>11</v>
      </c>
    </row>
    <row r="7978" spans="1:9" x14ac:dyDescent="0.2">
      <c r="A7978" s="2" t="s">
        <v>3250</v>
      </c>
      <c r="B7978" s="2" t="s">
        <v>481</v>
      </c>
      <c r="C7978" s="2">
        <v>1417.5409999999999</v>
      </c>
      <c r="D7978" s="2">
        <f>HYPERLINK("http://mcb-m6.bioreg.kyushu-u.ac.jp/M3/20110414/F50942/1704/1", 46.27)</f>
        <v>46.27</v>
      </c>
      <c r="E7978" s="2">
        <v>33.340000000000003</v>
      </c>
      <c r="F7978" s="2">
        <v>1</v>
      </c>
      <c r="G7978" s="2" t="s">
        <v>11</v>
      </c>
      <c r="I7978" s="2" t="s">
        <v>4898</v>
      </c>
    </row>
    <row r="7979" spans="1:9" x14ac:dyDescent="0.2">
      <c r="A7979" s="2" t="s">
        <v>3250</v>
      </c>
      <c r="B7979" s="2" t="s">
        <v>102</v>
      </c>
      <c r="C7979" s="2">
        <v>1215.326</v>
      </c>
      <c r="D7979" s="2">
        <f>HYPERLINK("http://mcb-m6.bioreg.kyushu-u.ac.jp/M3/20110414/F50956/1097/1", 46.33)</f>
        <v>46.33</v>
      </c>
      <c r="E7979" s="2">
        <v>28.2</v>
      </c>
      <c r="F7979" s="2">
        <v>1</v>
      </c>
      <c r="G7979" s="2" t="s">
        <v>11</v>
      </c>
    </row>
    <row r="7980" spans="1:9" x14ac:dyDescent="0.2">
      <c r="A7980" s="2" t="s">
        <v>3250</v>
      </c>
      <c r="B7980" s="2" t="s">
        <v>481</v>
      </c>
      <c r="C7980" s="2">
        <v>1418.6479999999999</v>
      </c>
      <c r="D7980" s="2">
        <f>HYPERLINK("http://mcb-m6.bioreg.kyushu-u.ac.jp/M3/20110414/F50943/1680/1", 46.51)</f>
        <v>46.51</v>
      </c>
      <c r="E7980" s="2">
        <v>33.93</v>
      </c>
      <c r="F7980" s="2">
        <v>1</v>
      </c>
      <c r="G7980" s="2" t="s">
        <v>11</v>
      </c>
      <c r="I7980" s="2" t="s">
        <v>4898</v>
      </c>
    </row>
    <row r="7981" spans="1:9" x14ac:dyDescent="0.2">
      <c r="A7981" s="2" t="s">
        <v>3250</v>
      </c>
      <c r="B7981" s="2" t="s">
        <v>77</v>
      </c>
      <c r="C7981" s="2">
        <v>1148.289</v>
      </c>
      <c r="D7981" s="2">
        <f>HYPERLINK("http://mcb-m6.bioreg.kyushu-u.ac.jp/M3/20110414/F50957/864/1", 46.56)</f>
        <v>46.56</v>
      </c>
      <c r="E7981" s="2">
        <v>22.94</v>
      </c>
      <c r="F7981" s="2">
        <v>1</v>
      </c>
      <c r="G7981" s="2" t="s">
        <v>11</v>
      </c>
    </row>
    <row r="7982" spans="1:9" x14ac:dyDescent="0.2">
      <c r="A7982" s="2" t="s">
        <v>3250</v>
      </c>
      <c r="B7982" s="2" t="s">
        <v>77</v>
      </c>
      <c r="C7982" s="2">
        <v>574.67269999999996</v>
      </c>
      <c r="D7982" s="2">
        <f>HYPERLINK("http://mcb-m6.bioreg.kyushu-u.ac.jp/M3/20110414/F50957/865/1", 46.72)</f>
        <v>46.72</v>
      </c>
      <c r="E7982" s="2">
        <v>27.67</v>
      </c>
      <c r="F7982" s="2">
        <v>2</v>
      </c>
      <c r="G7982" s="2" t="s">
        <v>11</v>
      </c>
    </row>
    <row r="7983" spans="1:9" x14ac:dyDescent="0.2">
      <c r="A7983" s="2" t="s">
        <v>3250</v>
      </c>
      <c r="B7983" s="2" t="s">
        <v>365</v>
      </c>
      <c r="C7983" s="2">
        <v>848.64509999999996</v>
      </c>
      <c r="D7983" s="2">
        <f>HYPERLINK("http://mcb-m6.bioreg.kyushu-u.ac.jp/M3/20110414/F50957/2581/1", 46.88)</f>
        <v>46.88</v>
      </c>
      <c r="E7983" s="2">
        <v>32.53</v>
      </c>
      <c r="F7983" s="2">
        <v>2</v>
      </c>
      <c r="G7983" s="2" t="s">
        <v>11</v>
      </c>
    </row>
    <row r="7984" spans="1:9" x14ac:dyDescent="0.2">
      <c r="A7984" s="2" t="s">
        <v>3250</v>
      </c>
      <c r="B7984" s="2" t="s">
        <v>1065</v>
      </c>
      <c r="C7984" s="2">
        <v>717.26120000000003</v>
      </c>
      <c r="D7984" s="2">
        <f>HYPERLINK("http://mcb-m6.bioreg.kyushu-u.ac.jp/M3/20110414/F50957/1749/1", 46.92)</f>
        <v>46.92</v>
      </c>
      <c r="E7984" s="2">
        <v>19.7</v>
      </c>
      <c r="F7984" s="2">
        <v>2</v>
      </c>
      <c r="G7984" s="2" t="s">
        <v>11</v>
      </c>
      <c r="I7984" s="2" t="s">
        <v>4892</v>
      </c>
    </row>
    <row r="7985" spans="1:9" x14ac:dyDescent="0.2">
      <c r="A7985" s="2" t="s">
        <v>3250</v>
      </c>
      <c r="B7985" s="2" t="s">
        <v>481</v>
      </c>
      <c r="C7985" s="2">
        <v>709.82870000000003</v>
      </c>
      <c r="D7985" s="2">
        <f>HYPERLINK("http://mcb-m6.bioreg.kyushu-u.ac.jp/M3/20110414/F50957/1675/1", 47.11)</f>
        <v>47.11</v>
      </c>
      <c r="E7985" s="2">
        <v>32.89</v>
      </c>
      <c r="F7985" s="2">
        <v>2</v>
      </c>
      <c r="G7985" s="2" t="s">
        <v>11</v>
      </c>
      <c r="I7985" s="2" t="s">
        <v>4898</v>
      </c>
    </row>
    <row r="7986" spans="1:9" x14ac:dyDescent="0.2">
      <c r="A7986" s="2" t="s">
        <v>3250</v>
      </c>
      <c r="B7986" s="2" t="s">
        <v>365</v>
      </c>
      <c r="C7986" s="2">
        <v>848.73320000000001</v>
      </c>
      <c r="D7986" s="2">
        <f>HYPERLINK("http://mcb-m6.bioreg.kyushu-u.ac.jp/M3/20110414/F50957/2585/1", 47.12)</f>
        <v>47.12</v>
      </c>
      <c r="E7986" s="2">
        <v>30.55</v>
      </c>
      <c r="F7986" s="2">
        <v>2</v>
      </c>
      <c r="G7986" s="2" t="s">
        <v>11</v>
      </c>
    </row>
    <row r="7987" spans="1:9" x14ac:dyDescent="0.2">
      <c r="A7987" s="2" t="s">
        <v>3250</v>
      </c>
      <c r="B7987" s="2" t="s">
        <v>356</v>
      </c>
      <c r="C7987" s="2">
        <v>816.20569999999998</v>
      </c>
      <c r="D7987" s="2">
        <f>HYPERLINK("http://mcb-m6.bioreg.kyushu-u.ac.jp/M3/20110414/F50928/2653/1", 47.28)</f>
        <v>47.28</v>
      </c>
      <c r="E7987" s="2">
        <v>35.700000000000003</v>
      </c>
      <c r="F7987" s="2">
        <v>2</v>
      </c>
      <c r="G7987" s="2" t="s">
        <v>11</v>
      </c>
    </row>
    <row r="7988" spans="1:9" x14ac:dyDescent="0.2">
      <c r="A7988" s="2" t="s">
        <v>3250</v>
      </c>
      <c r="B7988" s="2" t="s">
        <v>356</v>
      </c>
      <c r="C7988" s="2">
        <v>816.32169999999996</v>
      </c>
      <c r="D7988" s="2">
        <f>HYPERLINK("http://mcb-m6.bioreg.kyushu-u.ac.jp/M3/20110414/F50957/2383/1", 47.54)</f>
        <v>47.54</v>
      </c>
      <c r="E7988" s="2">
        <v>30.28</v>
      </c>
      <c r="F7988" s="2">
        <v>2</v>
      </c>
      <c r="G7988" s="2" t="s">
        <v>11</v>
      </c>
    </row>
    <row r="7989" spans="1:9" x14ac:dyDescent="0.2">
      <c r="A7989" s="2" t="s">
        <v>3250</v>
      </c>
      <c r="B7989" s="2" t="s">
        <v>77</v>
      </c>
      <c r="C7989" s="2">
        <v>1148.3510000000001</v>
      </c>
      <c r="D7989" s="2">
        <f>HYPERLINK("http://mcb-m6.bioreg.kyushu-u.ac.jp/M3/20110414/F50942/1072/1", 47.58)</f>
        <v>47.58</v>
      </c>
      <c r="E7989" s="2">
        <v>25.29</v>
      </c>
      <c r="F7989" s="2">
        <v>1</v>
      </c>
      <c r="G7989" s="2" t="s">
        <v>11</v>
      </c>
    </row>
    <row r="7990" spans="1:9" x14ac:dyDescent="0.2">
      <c r="A7990" s="2" t="s">
        <v>3250</v>
      </c>
      <c r="B7990" s="2" t="s">
        <v>311</v>
      </c>
      <c r="C7990" s="2">
        <v>598.69209999999998</v>
      </c>
      <c r="D7990" s="2">
        <f>HYPERLINK("http://mcb-m6.bioreg.kyushu-u.ac.jp/M3/20110414/F50957/985/1", 47.7)</f>
        <v>47.7</v>
      </c>
      <c r="E7990" s="2">
        <v>28.58</v>
      </c>
      <c r="F7990" s="2">
        <v>2</v>
      </c>
      <c r="G7990" s="2" t="s">
        <v>11</v>
      </c>
    </row>
    <row r="7991" spans="1:9" x14ac:dyDescent="0.2">
      <c r="A7991" s="2" t="s">
        <v>3250</v>
      </c>
      <c r="B7991" s="2" t="s">
        <v>1065</v>
      </c>
      <c r="C7991" s="2">
        <v>716.6277</v>
      </c>
      <c r="D7991" s="2">
        <f>HYPERLINK("http://mcb-m6.bioreg.kyushu-u.ac.jp/M3/20110414/F50957/1728/1", 47.7)</f>
        <v>47.7</v>
      </c>
      <c r="E7991" s="2">
        <v>35</v>
      </c>
      <c r="F7991" s="2">
        <v>2</v>
      </c>
      <c r="G7991" s="2" t="s">
        <v>11</v>
      </c>
      <c r="I7991" s="2" t="s">
        <v>4892</v>
      </c>
    </row>
    <row r="7992" spans="1:9" x14ac:dyDescent="0.2">
      <c r="A7992" s="2" t="s">
        <v>3250</v>
      </c>
      <c r="B7992" s="2" t="s">
        <v>77</v>
      </c>
      <c r="C7992" s="2">
        <v>1148.412</v>
      </c>
      <c r="D7992" s="2">
        <f>HYPERLINK("http://mcb-m6.bioreg.kyushu-u.ac.jp/M3/20110414/F50943/1132/1", 47.74)</f>
        <v>47.74</v>
      </c>
      <c r="E7992" s="2">
        <v>31.27</v>
      </c>
      <c r="F7992" s="2">
        <v>1</v>
      </c>
      <c r="G7992" s="2" t="s">
        <v>11</v>
      </c>
    </row>
    <row r="7993" spans="1:9" x14ac:dyDescent="0.2">
      <c r="A7993" s="2" t="s">
        <v>3250</v>
      </c>
      <c r="B7993" s="2" t="s">
        <v>311</v>
      </c>
      <c r="C7993" s="2">
        <v>606.73910000000001</v>
      </c>
      <c r="D7993" s="2">
        <f>HYPERLINK("http://mcb-m6.bioreg.kyushu-u.ac.jp/M3/20110414/F50956/1094/1", 47.9)</f>
        <v>47.9</v>
      </c>
      <c r="E7993" s="2">
        <v>29.22</v>
      </c>
      <c r="F7993" s="2">
        <v>2</v>
      </c>
      <c r="G7993" s="2" t="s">
        <v>11</v>
      </c>
      <c r="H7993" s="2" t="s">
        <v>4908</v>
      </c>
    </row>
    <row r="7994" spans="1:9" x14ac:dyDescent="0.2">
      <c r="A7994" s="2" t="s">
        <v>3250</v>
      </c>
      <c r="B7994" s="2" t="s">
        <v>1065</v>
      </c>
      <c r="C7994" s="2">
        <v>716.64670000000001</v>
      </c>
      <c r="D7994" s="2">
        <f>HYPERLINK("http://mcb-m6.bioreg.kyushu-u.ac.jp/M3/20110414/F50957/1729/1", 47.92)</f>
        <v>47.92</v>
      </c>
      <c r="E7994" s="2">
        <v>36.32</v>
      </c>
      <c r="F7994" s="2">
        <v>2</v>
      </c>
      <c r="G7994" s="2" t="s">
        <v>11</v>
      </c>
      <c r="I7994" s="2" t="s">
        <v>4892</v>
      </c>
    </row>
    <row r="7995" spans="1:9" x14ac:dyDescent="0.2">
      <c r="A7995" s="2" t="s">
        <v>3250</v>
      </c>
      <c r="B7995" s="2" t="s">
        <v>311</v>
      </c>
      <c r="C7995" s="2">
        <v>1196.5160000000001</v>
      </c>
      <c r="D7995" s="2">
        <f>HYPERLINK("http://mcb-m6.bioreg.kyushu-u.ac.jp/M3/20110414/F50944/1557/1", 48.12)</f>
        <v>48.12</v>
      </c>
      <c r="E7995" s="2">
        <v>30.83</v>
      </c>
      <c r="F7995" s="2">
        <v>1</v>
      </c>
      <c r="G7995" s="2" t="s">
        <v>11</v>
      </c>
    </row>
    <row r="7996" spans="1:9" x14ac:dyDescent="0.2">
      <c r="A7996" s="2" t="s">
        <v>3250</v>
      </c>
      <c r="B7996" s="2" t="s">
        <v>1065</v>
      </c>
      <c r="C7996" s="2">
        <v>717.20719999999994</v>
      </c>
      <c r="D7996" s="2">
        <f>HYPERLINK("http://mcb-m6.bioreg.kyushu-u.ac.jp/M3/20110414/F50956/1765/1", 48.2)</f>
        <v>48.2</v>
      </c>
      <c r="E7996" s="2">
        <v>25.53</v>
      </c>
      <c r="F7996" s="2">
        <v>2</v>
      </c>
      <c r="G7996" s="2" t="s">
        <v>11</v>
      </c>
      <c r="I7996" s="2" t="s">
        <v>4892</v>
      </c>
    </row>
    <row r="7997" spans="1:9" x14ac:dyDescent="0.2">
      <c r="A7997" s="2" t="s">
        <v>3250</v>
      </c>
      <c r="B7997" s="2" t="s">
        <v>77</v>
      </c>
      <c r="C7997" s="2">
        <v>574.87120000000004</v>
      </c>
      <c r="D7997" s="2">
        <f>HYPERLINK("http://mcb-m6.bioreg.kyushu-u.ac.jp/M3/20110414/F50945/1301/1", 48.64)</f>
        <v>48.64</v>
      </c>
      <c r="E7997" s="2">
        <v>21.49</v>
      </c>
      <c r="F7997" s="2">
        <v>2</v>
      </c>
      <c r="G7997" s="2" t="s">
        <v>11</v>
      </c>
    </row>
    <row r="7998" spans="1:9" x14ac:dyDescent="0.2">
      <c r="A7998" s="2" t="s">
        <v>3250</v>
      </c>
      <c r="B7998" s="2" t="s">
        <v>311</v>
      </c>
      <c r="C7998" s="2">
        <v>599.12660000000005</v>
      </c>
      <c r="D7998" s="2">
        <f>HYPERLINK("http://mcb-m6.bioreg.kyushu-u.ac.jp/M3/20110414/F50956/1050/1", 48.64)</f>
        <v>48.64</v>
      </c>
      <c r="E7998" s="2">
        <v>31.01</v>
      </c>
      <c r="F7998" s="2">
        <v>2</v>
      </c>
      <c r="G7998" s="2" t="s">
        <v>11</v>
      </c>
    </row>
    <row r="7999" spans="1:9" x14ac:dyDescent="0.2">
      <c r="A7999" s="2" t="s">
        <v>3250</v>
      </c>
      <c r="B7999" s="2" t="s">
        <v>543</v>
      </c>
      <c r="C7999" s="2">
        <v>927.52919999999995</v>
      </c>
      <c r="D7999" s="2">
        <f>HYPERLINK("http://mcb-m6.bioreg.kyushu-u.ac.jp/M3/20110414/F50942/3049/1", 48.75)</f>
        <v>48.75</v>
      </c>
      <c r="E7999" s="2">
        <v>29.57</v>
      </c>
      <c r="F7999" s="2">
        <v>2</v>
      </c>
      <c r="G7999" s="2" t="s">
        <v>11</v>
      </c>
    </row>
    <row r="8000" spans="1:9" x14ac:dyDescent="0.2">
      <c r="A8000" s="2" t="s">
        <v>3250</v>
      </c>
      <c r="B8000" s="2" t="s">
        <v>561</v>
      </c>
      <c r="C8000" s="2">
        <v>661.98860000000002</v>
      </c>
      <c r="D8000" s="2">
        <f>HYPERLINK("http://mcb-m6.bioreg.kyushu-u.ac.jp/M3/20110414/F50956/1384/1", 48.8)</f>
        <v>48.8</v>
      </c>
      <c r="E8000" s="2">
        <v>33.92</v>
      </c>
      <c r="F8000" s="2">
        <v>2</v>
      </c>
      <c r="G8000" s="2" t="s">
        <v>11</v>
      </c>
      <c r="H8000" s="2" t="s">
        <v>4919</v>
      </c>
    </row>
    <row r="8001" spans="1:9" x14ac:dyDescent="0.2">
      <c r="A8001" s="2" t="s">
        <v>3250</v>
      </c>
      <c r="B8001" s="2" t="s">
        <v>1065</v>
      </c>
      <c r="C8001" s="2">
        <v>716.90470000000005</v>
      </c>
      <c r="D8001" s="2">
        <f>HYPERLINK("http://mcb-m6.bioreg.kyushu-u.ac.jp/M3/20110414/F50944/1959/1", 48.93)</f>
        <v>48.93</v>
      </c>
      <c r="E8001" s="2">
        <v>35.94</v>
      </c>
      <c r="F8001" s="2">
        <v>2</v>
      </c>
      <c r="G8001" s="2" t="s">
        <v>11</v>
      </c>
      <c r="I8001" s="2" t="s">
        <v>4892</v>
      </c>
    </row>
    <row r="8002" spans="1:9" x14ac:dyDescent="0.2">
      <c r="A8002" s="2" t="s">
        <v>3250</v>
      </c>
      <c r="B8002" s="2" t="s">
        <v>772</v>
      </c>
      <c r="C8002" s="2">
        <v>1190.6310000000001</v>
      </c>
      <c r="D8002" s="2">
        <f>HYPERLINK("http://mcb-m6.bioreg.kyushu-u.ac.jp/M3/20110414/F50944/1545/1", 48.94)</f>
        <v>48.94</v>
      </c>
      <c r="E8002" s="2">
        <v>26.29</v>
      </c>
      <c r="F8002" s="2">
        <v>1</v>
      </c>
      <c r="G8002" s="2" t="s">
        <v>11</v>
      </c>
    </row>
    <row r="8003" spans="1:9" x14ac:dyDescent="0.2">
      <c r="A8003" s="2" t="s">
        <v>3250</v>
      </c>
      <c r="B8003" s="2" t="s">
        <v>311</v>
      </c>
      <c r="C8003" s="2">
        <v>1196.3779999999999</v>
      </c>
      <c r="D8003" s="2">
        <f>HYPERLINK("http://mcb-m6.bioreg.kyushu-u.ac.jp/M3/20110414/F50956/1048/1", 48.99)</f>
        <v>48.99</v>
      </c>
      <c r="E8003" s="2">
        <v>30.41</v>
      </c>
      <c r="F8003" s="2">
        <v>1</v>
      </c>
      <c r="G8003" s="2" t="s">
        <v>11</v>
      </c>
    </row>
    <row r="8004" spans="1:9" x14ac:dyDescent="0.2">
      <c r="A8004" s="2" t="s">
        <v>3250</v>
      </c>
      <c r="B8004" s="2" t="s">
        <v>467</v>
      </c>
      <c r="C8004" s="2">
        <v>691.97720000000004</v>
      </c>
      <c r="D8004" s="2">
        <f>HYPERLINK("http://mcb-m6.bioreg.kyushu-u.ac.jp/M3/20110414/F50956/1587/1", 48.99)</f>
        <v>48.99</v>
      </c>
      <c r="E8004" s="2">
        <v>25.11</v>
      </c>
      <c r="F8004" s="2">
        <v>2</v>
      </c>
      <c r="G8004" s="2" t="s">
        <v>11</v>
      </c>
    </row>
    <row r="8005" spans="1:9" x14ac:dyDescent="0.2">
      <c r="A8005" s="2" t="s">
        <v>3250</v>
      </c>
      <c r="B8005" s="2" t="s">
        <v>90</v>
      </c>
      <c r="C8005" s="2">
        <v>717.41920000000005</v>
      </c>
      <c r="D8005" s="2">
        <f>HYPERLINK("http://mcb-m6.bioreg.kyushu-u.ac.jp/M3/20110414/F50945/1886/1", 49.02)</f>
        <v>49.02</v>
      </c>
      <c r="E8005" s="2">
        <v>27.94</v>
      </c>
      <c r="F8005" s="2">
        <v>2</v>
      </c>
      <c r="G8005" s="2" t="s">
        <v>11</v>
      </c>
    </row>
    <row r="8006" spans="1:9" x14ac:dyDescent="0.2">
      <c r="A8006" s="2" t="s">
        <v>3250</v>
      </c>
      <c r="B8006" s="2" t="s">
        <v>365</v>
      </c>
      <c r="C8006" s="2">
        <v>848.88070000000005</v>
      </c>
      <c r="D8006" s="2">
        <f>HYPERLINK("http://mcb-m6.bioreg.kyushu-u.ac.jp/M3/20110414/F50942/2528/1", 49.12)</f>
        <v>49.12</v>
      </c>
      <c r="E8006" s="2">
        <v>34.29</v>
      </c>
      <c r="F8006" s="2">
        <v>2</v>
      </c>
      <c r="G8006" s="2" t="s">
        <v>11</v>
      </c>
    </row>
    <row r="8007" spans="1:9" x14ac:dyDescent="0.2">
      <c r="A8007" s="2" t="s">
        <v>3250</v>
      </c>
      <c r="B8007" s="2" t="s">
        <v>77</v>
      </c>
      <c r="C8007" s="2">
        <v>1148.3510000000001</v>
      </c>
      <c r="D8007" s="2">
        <f>HYPERLINK("http://mcb-m6.bioreg.kyushu-u.ac.jp/M3/20110414/F50957/866/1", 49.23)</f>
        <v>49.23</v>
      </c>
      <c r="E8007" s="2">
        <v>25.03</v>
      </c>
      <c r="F8007" s="2">
        <v>1</v>
      </c>
      <c r="G8007" s="2" t="s">
        <v>11</v>
      </c>
    </row>
    <row r="8008" spans="1:9" x14ac:dyDescent="0.2">
      <c r="A8008" s="2" t="s">
        <v>3250</v>
      </c>
      <c r="B8008" s="2" t="s">
        <v>175</v>
      </c>
      <c r="C8008" s="2">
        <v>784.36659999999995</v>
      </c>
      <c r="D8008" s="2">
        <f>HYPERLINK("http://mcb-m6.bioreg.kyushu-u.ac.jp/M3/20110414/F50957/2191/1", 49.23)</f>
        <v>49.23</v>
      </c>
      <c r="E8008" s="2">
        <v>39.15</v>
      </c>
      <c r="F8008" s="2">
        <v>2</v>
      </c>
      <c r="G8008" s="2" t="s">
        <v>11</v>
      </c>
      <c r="I8008" s="2" t="s">
        <v>4893</v>
      </c>
    </row>
    <row r="8009" spans="1:9" x14ac:dyDescent="0.2">
      <c r="A8009" s="2" t="s">
        <v>3250</v>
      </c>
      <c r="B8009" s="2" t="s">
        <v>175</v>
      </c>
      <c r="C8009" s="2">
        <v>784.33010000000002</v>
      </c>
      <c r="D8009" s="2">
        <f>HYPERLINK("http://mcb-m6.bioreg.kyushu-u.ac.jp/M3/20110414/F50942/2184/1", 49.29)</f>
        <v>49.29</v>
      </c>
      <c r="E8009" s="2">
        <v>34.81</v>
      </c>
      <c r="F8009" s="2">
        <v>2</v>
      </c>
      <c r="G8009" s="2" t="s">
        <v>11</v>
      </c>
      <c r="I8009" s="2" t="s">
        <v>4893</v>
      </c>
    </row>
    <row r="8010" spans="1:9" x14ac:dyDescent="0.2">
      <c r="A8010" s="2" t="s">
        <v>3250</v>
      </c>
      <c r="B8010" s="2" t="s">
        <v>102</v>
      </c>
      <c r="C8010" s="2">
        <v>616.3741</v>
      </c>
      <c r="D8010" s="2">
        <f>HYPERLINK("http://mcb-m6.bioreg.kyushu-u.ac.jp/M3/20110414/F50944/1616/1", 49.33)</f>
        <v>49.33</v>
      </c>
      <c r="E8010" s="2">
        <v>32.79</v>
      </c>
      <c r="F8010" s="2">
        <v>2</v>
      </c>
      <c r="G8010" s="2" t="s">
        <v>11</v>
      </c>
      <c r="H8010" s="2" t="s">
        <v>4900</v>
      </c>
    </row>
    <row r="8011" spans="1:9" x14ac:dyDescent="0.2">
      <c r="A8011" s="2" t="s">
        <v>3250</v>
      </c>
      <c r="B8011" s="2" t="s">
        <v>90</v>
      </c>
      <c r="C8011" s="2">
        <v>717.15219999999999</v>
      </c>
      <c r="D8011" s="2">
        <f>HYPERLINK("http://mcb-m6.bioreg.kyushu-u.ac.jp/M3/20110414/F50962/1807/1", 49.41)</f>
        <v>49.41</v>
      </c>
      <c r="E8011" s="2">
        <v>33.47</v>
      </c>
      <c r="F8011" s="2">
        <v>2</v>
      </c>
      <c r="G8011" s="2" t="s">
        <v>11</v>
      </c>
    </row>
    <row r="8012" spans="1:9" x14ac:dyDescent="0.2">
      <c r="A8012" s="2" t="s">
        <v>3250</v>
      </c>
      <c r="B8012" s="2" t="s">
        <v>772</v>
      </c>
      <c r="C8012" s="2">
        <v>595.8116</v>
      </c>
      <c r="D8012" s="2">
        <f>HYPERLINK("http://mcb-m6.bioreg.kyushu-u.ac.jp/M3/20110414/F50956/1030/1", 49.55)</f>
        <v>49.55</v>
      </c>
      <c r="E8012" s="2">
        <v>28.46</v>
      </c>
      <c r="F8012" s="2">
        <v>2</v>
      </c>
      <c r="G8012" s="2" t="s">
        <v>11</v>
      </c>
    </row>
    <row r="8013" spans="1:9" x14ac:dyDescent="0.2">
      <c r="A8013" s="2" t="s">
        <v>3250</v>
      </c>
      <c r="B8013" s="2" t="s">
        <v>467</v>
      </c>
      <c r="C8013" s="2">
        <v>691.56410000000005</v>
      </c>
      <c r="D8013" s="2">
        <f>HYPERLINK("http://mcb-m6.bioreg.kyushu-u.ac.jp/M3/20110414/F50956/1575/1", 49.6)</f>
        <v>49.6</v>
      </c>
      <c r="E8013" s="2">
        <v>24.06</v>
      </c>
      <c r="F8013" s="2">
        <v>2</v>
      </c>
      <c r="G8013" s="2" t="s">
        <v>11</v>
      </c>
    </row>
    <row r="8014" spans="1:9" x14ac:dyDescent="0.2">
      <c r="A8014" s="2" t="s">
        <v>3250</v>
      </c>
      <c r="B8014" s="2" t="s">
        <v>77</v>
      </c>
      <c r="C8014" s="2">
        <v>1148.364</v>
      </c>
      <c r="D8014" s="2">
        <f>HYPERLINK("http://mcb-m6.bioreg.kyushu-u.ac.jp/M3/20110414/F50956/940/1", 49.8)</f>
        <v>49.8</v>
      </c>
      <c r="E8014" s="2">
        <v>27.34</v>
      </c>
      <c r="F8014" s="2">
        <v>1</v>
      </c>
      <c r="G8014" s="2" t="s">
        <v>11</v>
      </c>
    </row>
    <row r="8015" spans="1:9" x14ac:dyDescent="0.2">
      <c r="A8015" s="2" t="s">
        <v>3250</v>
      </c>
      <c r="B8015" s="2" t="s">
        <v>772</v>
      </c>
      <c r="C8015" s="2">
        <v>595.66819999999996</v>
      </c>
      <c r="D8015" s="2">
        <f>HYPERLINK("http://mcb-m6.bioreg.kyushu-u.ac.jp/M3/20110414/F50962/1220/1", 49.83)</f>
        <v>49.83</v>
      </c>
      <c r="E8015" s="2">
        <v>33.14</v>
      </c>
      <c r="F8015" s="2">
        <v>2</v>
      </c>
      <c r="G8015" s="2" t="s">
        <v>11</v>
      </c>
    </row>
    <row r="8016" spans="1:9" x14ac:dyDescent="0.2">
      <c r="A8016" s="2" t="s">
        <v>3250</v>
      </c>
      <c r="B8016" s="2" t="s">
        <v>1665</v>
      </c>
      <c r="C8016" s="2">
        <v>1147.431</v>
      </c>
      <c r="D8016" s="2">
        <f>HYPERLINK("http://mcb-m6.bioreg.kyushu-u.ac.jp/M3/20110414/F50956/4146/1", 49.96)</f>
        <v>49.96</v>
      </c>
      <c r="E8016" s="2">
        <v>45.55</v>
      </c>
      <c r="F8016" s="2">
        <v>2</v>
      </c>
      <c r="G8016" s="2" t="s">
        <v>11</v>
      </c>
    </row>
    <row r="8017" spans="1:9" x14ac:dyDescent="0.2">
      <c r="A8017" s="2" t="s">
        <v>3250</v>
      </c>
      <c r="B8017" s="2" t="s">
        <v>365</v>
      </c>
      <c r="C8017" s="2">
        <v>848.82069999999999</v>
      </c>
      <c r="D8017" s="2">
        <f>HYPERLINK("http://mcb-m6.bioreg.kyushu-u.ac.jp/M3/20110414/F50929/2621/1", 50.1)</f>
        <v>50.1</v>
      </c>
      <c r="E8017" s="2">
        <v>33.880000000000003</v>
      </c>
      <c r="F8017" s="2">
        <v>2</v>
      </c>
      <c r="G8017" s="2" t="s">
        <v>11</v>
      </c>
    </row>
    <row r="8018" spans="1:9" x14ac:dyDescent="0.2">
      <c r="A8018" s="2" t="s">
        <v>3250</v>
      </c>
      <c r="B8018" s="2" t="s">
        <v>543</v>
      </c>
      <c r="C8018" s="2">
        <v>926.89120000000003</v>
      </c>
      <c r="D8018" s="2">
        <f>HYPERLINK("http://mcb-m6.bioreg.kyushu-u.ac.jp/M3/20110414/F50943/2862/1", 50.24)</f>
        <v>50.24</v>
      </c>
      <c r="E8018" s="2">
        <v>40.020000000000003</v>
      </c>
      <c r="F8018" s="2">
        <v>2</v>
      </c>
      <c r="G8018" s="2" t="s">
        <v>11</v>
      </c>
    </row>
    <row r="8019" spans="1:9" x14ac:dyDescent="0.2">
      <c r="A8019" s="2" t="s">
        <v>3250</v>
      </c>
      <c r="B8019" s="2" t="s">
        <v>1665</v>
      </c>
      <c r="C8019" s="2">
        <v>1147.146</v>
      </c>
      <c r="D8019" s="2">
        <f>HYPERLINK("http://mcb-m6.bioreg.kyushu-u.ac.jp/M3/20110414/F50956/4141/1", 50.35)</f>
        <v>50.35</v>
      </c>
      <c r="E8019" s="2">
        <v>44.71</v>
      </c>
      <c r="F8019" s="2">
        <v>2</v>
      </c>
      <c r="G8019" s="2" t="s">
        <v>11</v>
      </c>
    </row>
    <row r="8020" spans="1:9" x14ac:dyDescent="0.2">
      <c r="A8020" s="2" t="s">
        <v>3250</v>
      </c>
      <c r="B8020" s="2" t="s">
        <v>467</v>
      </c>
      <c r="C8020" s="2">
        <v>692.38670000000002</v>
      </c>
      <c r="D8020" s="2">
        <f>HYPERLINK("http://mcb-m6.bioreg.kyushu-u.ac.jp/M3/20110414/F50944/1850/1", 50.54)</f>
        <v>50.54</v>
      </c>
      <c r="E8020" s="2">
        <v>26.04</v>
      </c>
      <c r="F8020" s="2">
        <v>2</v>
      </c>
      <c r="G8020" s="2" t="s">
        <v>11</v>
      </c>
    </row>
    <row r="8021" spans="1:9" x14ac:dyDescent="0.2">
      <c r="A8021" s="2" t="s">
        <v>3250</v>
      </c>
      <c r="B8021" s="2" t="s">
        <v>1065</v>
      </c>
      <c r="C8021" s="2">
        <v>716.94820000000004</v>
      </c>
      <c r="D8021" s="2">
        <f>HYPERLINK("http://mcb-m6.bioreg.kyushu-u.ac.jp/M3/20110414/F50944/1960/1", 50.9)</f>
        <v>50.9</v>
      </c>
      <c r="E8021" s="2">
        <v>36.520000000000003</v>
      </c>
      <c r="F8021" s="2">
        <v>2</v>
      </c>
      <c r="G8021" s="2" t="s">
        <v>11</v>
      </c>
      <c r="I8021" s="2" t="s">
        <v>4892</v>
      </c>
    </row>
    <row r="8022" spans="1:9" x14ac:dyDescent="0.2">
      <c r="A8022" s="2" t="s">
        <v>3250</v>
      </c>
      <c r="B8022" s="2" t="s">
        <v>77</v>
      </c>
      <c r="C8022" s="2">
        <v>574.63919999999996</v>
      </c>
      <c r="D8022" s="2">
        <f>HYPERLINK("http://mcb-m6.bioreg.kyushu-u.ac.jp/M3/20110414/F50929/1707/1", 51.04)</f>
        <v>51.04</v>
      </c>
      <c r="E8022" s="2">
        <v>28.47</v>
      </c>
      <c r="F8022" s="2">
        <v>2</v>
      </c>
      <c r="G8022" s="2" t="s">
        <v>11</v>
      </c>
    </row>
    <row r="8023" spans="1:9" x14ac:dyDescent="0.2">
      <c r="A8023" s="2" t="s">
        <v>3250</v>
      </c>
      <c r="B8023" s="2" t="s">
        <v>543</v>
      </c>
      <c r="C8023" s="2">
        <v>926.90120000000002</v>
      </c>
      <c r="D8023" s="2">
        <f>HYPERLINK("http://mcb-m6.bioreg.kyushu-u.ac.jp/M3/20110414/F50957/3066/1", 51.16)</f>
        <v>51.16</v>
      </c>
      <c r="E8023" s="2">
        <v>37.57</v>
      </c>
      <c r="F8023" s="2">
        <v>2</v>
      </c>
      <c r="G8023" s="2" t="s">
        <v>11</v>
      </c>
    </row>
    <row r="8024" spans="1:9" x14ac:dyDescent="0.2">
      <c r="A8024" s="2" t="s">
        <v>3250</v>
      </c>
      <c r="B8024" s="2" t="s">
        <v>77</v>
      </c>
      <c r="C8024" s="2">
        <v>574.59670000000006</v>
      </c>
      <c r="D8024" s="2">
        <f>HYPERLINK("http://mcb-m6.bioreg.kyushu-u.ac.jp/M3/20110414/F50957/860/1", 51.27)</f>
        <v>51.27</v>
      </c>
      <c r="E8024" s="2">
        <v>23.7</v>
      </c>
      <c r="F8024" s="2">
        <v>2</v>
      </c>
      <c r="G8024" s="2" t="s">
        <v>11</v>
      </c>
    </row>
    <row r="8025" spans="1:9" x14ac:dyDescent="0.2">
      <c r="A8025" s="2" t="s">
        <v>3250</v>
      </c>
      <c r="B8025" s="2" t="s">
        <v>356</v>
      </c>
      <c r="C8025" s="2">
        <v>815.7527</v>
      </c>
      <c r="D8025" s="2">
        <f>HYPERLINK("http://mcb-m6.bioreg.kyushu-u.ac.jp/M3/20110414/F50926/2452/1", 51.34)</f>
        <v>51.34</v>
      </c>
      <c r="E8025" s="2">
        <v>27.96</v>
      </c>
      <c r="F8025" s="2">
        <v>2</v>
      </c>
      <c r="G8025" s="2" t="s">
        <v>11</v>
      </c>
    </row>
    <row r="8026" spans="1:9" x14ac:dyDescent="0.2">
      <c r="A8026" s="2" t="s">
        <v>3250</v>
      </c>
      <c r="B8026" s="2" t="s">
        <v>311</v>
      </c>
      <c r="C8026" s="2">
        <v>1196.5450000000001</v>
      </c>
      <c r="D8026" s="2">
        <f>HYPERLINK("http://mcb-m6.bioreg.kyushu-u.ac.jp/M3/20110414/F50943/1223/1", 51.63)</f>
        <v>51.63</v>
      </c>
      <c r="E8026" s="2">
        <v>38.14</v>
      </c>
      <c r="F8026" s="2">
        <v>1</v>
      </c>
      <c r="G8026" s="2" t="s">
        <v>11</v>
      </c>
    </row>
    <row r="8027" spans="1:9" x14ac:dyDescent="0.2">
      <c r="A8027" s="2" t="s">
        <v>3250</v>
      </c>
      <c r="B8027" s="2" t="s">
        <v>481</v>
      </c>
      <c r="C8027" s="2">
        <v>709.85310000000004</v>
      </c>
      <c r="D8027" s="2">
        <f>HYPERLINK("http://mcb-m6.bioreg.kyushu-u.ac.jp/M3/20110414/F50942/1711/1", 51.93)</f>
        <v>51.93</v>
      </c>
      <c r="E8027" s="2">
        <v>35.299999999999997</v>
      </c>
      <c r="F8027" s="2">
        <v>2</v>
      </c>
      <c r="G8027" s="2" t="s">
        <v>11</v>
      </c>
      <c r="I8027" s="2" t="s">
        <v>4898</v>
      </c>
    </row>
    <row r="8028" spans="1:9" x14ac:dyDescent="0.2">
      <c r="A8028" s="2" t="s">
        <v>3250</v>
      </c>
      <c r="B8028" s="2" t="s">
        <v>561</v>
      </c>
      <c r="C8028" s="2">
        <v>1323.5060000000001</v>
      </c>
      <c r="D8028" s="2">
        <f>HYPERLINK("http://mcb-m6.bioreg.kyushu-u.ac.jp/M3/20110414/F50925/1888/1", 52.07)</f>
        <v>52.07</v>
      </c>
      <c r="E8028" s="2">
        <v>35.799999999999997</v>
      </c>
      <c r="F8028" s="2">
        <v>1</v>
      </c>
      <c r="G8028" s="2" t="s">
        <v>11</v>
      </c>
      <c r="H8028" s="2" t="s">
        <v>4919</v>
      </c>
    </row>
    <row r="8029" spans="1:9" x14ac:dyDescent="0.2">
      <c r="A8029" s="2" t="s">
        <v>3250</v>
      </c>
      <c r="B8029" s="2" t="s">
        <v>561</v>
      </c>
      <c r="C8029" s="2">
        <v>1307.364</v>
      </c>
      <c r="D8029" s="2">
        <f>HYPERLINK("http://mcb-m6.bioreg.kyushu-u.ac.jp/M3/20110414/F50957/1294/1", 52.08)</f>
        <v>52.08</v>
      </c>
      <c r="E8029" s="2">
        <v>31.65</v>
      </c>
      <c r="F8029" s="2">
        <v>1</v>
      </c>
      <c r="G8029" s="2" t="s">
        <v>11</v>
      </c>
    </row>
    <row r="8030" spans="1:9" x14ac:dyDescent="0.2">
      <c r="A8030" s="2" t="s">
        <v>3250</v>
      </c>
      <c r="B8030" s="2" t="s">
        <v>365</v>
      </c>
      <c r="C8030" s="2">
        <v>848.72270000000003</v>
      </c>
      <c r="D8030" s="2">
        <f>HYPERLINK("http://mcb-m6.bioreg.kyushu-u.ac.jp/M3/20110414/F50925/2557/1", 52.78)</f>
        <v>52.78</v>
      </c>
      <c r="E8030" s="2">
        <v>35.869999999999997</v>
      </c>
      <c r="F8030" s="2">
        <v>2</v>
      </c>
      <c r="G8030" s="2" t="s">
        <v>11</v>
      </c>
    </row>
    <row r="8031" spans="1:9" x14ac:dyDescent="0.2">
      <c r="A8031" s="2" t="s">
        <v>3250</v>
      </c>
      <c r="B8031" s="2" t="s">
        <v>311</v>
      </c>
      <c r="C8031" s="2">
        <v>1196.623</v>
      </c>
      <c r="D8031" s="2">
        <f>HYPERLINK("http://mcb-m6.bioreg.kyushu-u.ac.jp/M3/20110414/F50942/1189/1", 52.81)</f>
        <v>52.81</v>
      </c>
      <c r="E8031" s="2">
        <v>39.35</v>
      </c>
      <c r="F8031" s="2">
        <v>1</v>
      </c>
      <c r="G8031" s="2" t="s">
        <v>11</v>
      </c>
    </row>
    <row r="8032" spans="1:9" x14ac:dyDescent="0.2">
      <c r="A8032" s="2" t="s">
        <v>3250</v>
      </c>
      <c r="B8032" s="2" t="s">
        <v>311</v>
      </c>
      <c r="C8032" s="2">
        <v>606.79970000000003</v>
      </c>
      <c r="D8032" s="2">
        <f>HYPERLINK("http://mcb-m6.bioreg.kyushu-u.ac.jp/M3/20110414/F50944/1577/1", 52.83)</f>
        <v>52.83</v>
      </c>
      <c r="E8032" s="2">
        <v>32.42</v>
      </c>
      <c r="F8032" s="2">
        <v>2</v>
      </c>
      <c r="G8032" s="2" t="s">
        <v>11</v>
      </c>
      <c r="H8032" s="2" t="s">
        <v>4908</v>
      </c>
    </row>
    <row r="8033" spans="1:9" x14ac:dyDescent="0.2">
      <c r="A8033" s="2" t="s">
        <v>3250</v>
      </c>
      <c r="B8033" s="2" t="s">
        <v>467</v>
      </c>
      <c r="C8033" s="2">
        <v>691.90620000000001</v>
      </c>
      <c r="D8033" s="2">
        <f>HYPERLINK("http://mcb-m6.bioreg.kyushu-u.ac.jp/M3/20110414/F50928/2031/1", 53.03)</f>
        <v>53.03</v>
      </c>
      <c r="E8033" s="2">
        <v>23.44</v>
      </c>
      <c r="F8033" s="2">
        <v>2</v>
      </c>
      <c r="G8033" s="2" t="s">
        <v>11</v>
      </c>
    </row>
    <row r="8034" spans="1:9" x14ac:dyDescent="0.2">
      <c r="A8034" s="2" t="s">
        <v>3250</v>
      </c>
      <c r="B8034" s="2" t="s">
        <v>356</v>
      </c>
      <c r="C8034" s="2">
        <v>815.71619999999996</v>
      </c>
      <c r="D8034" s="2">
        <f>HYPERLINK("http://mcb-m6.bioreg.kyushu-u.ac.jp/M3/20110414/F50924/2472/1", 53.51)</f>
        <v>53.51</v>
      </c>
      <c r="E8034" s="2">
        <v>29.64</v>
      </c>
      <c r="F8034" s="2">
        <v>2</v>
      </c>
      <c r="G8034" s="2" t="s">
        <v>11</v>
      </c>
    </row>
    <row r="8035" spans="1:9" x14ac:dyDescent="0.2">
      <c r="A8035" s="2" t="s">
        <v>3250</v>
      </c>
      <c r="B8035" s="2" t="s">
        <v>77</v>
      </c>
      <c r="C8035" s="2">
        <v>575.16920000000005</v>
      </c>
      <c r="D8035" s="2">
        <f>HYPERLINK("http://mcb-m6.bioreg.kyushu-u.ac.jp/M3/20110414/F50942/1074/1", 53.57)</f>
        <v>53.57</v>
      </c>
      <c r="E8035" s="2">
        <v>17.239999999999998</v>
      </c>
      <c r="F8035" s="2">
        <v>2</v>
      </c>
      <c r="G8035" s="2" t="s">
        <v>11</v>
      </c>
    </row>
    <row r="8036" spans="1:9" x14ac:dyDescent="0.2">
      <c r="A8036" s="2" t="s">
        <v>3250</v>
      </c>
      <c r="B8036" s="2" t="s">
        <v>467</v>
      </c>
      <c r="C8036" s="2">
        <v>692.15560000000005</v>
      </c>
      <c r="D8036" s="2">
        <f>HYPERLINK("http://mcb-m6.bioreg.kyushu-u.ac.jp/M3/20110414/F50957/1571/1", 53.79)</f>
        <v>53.79</v>
      </c>
      <c r="E8036" s="2">
        <v>30.68</v>
      </c>
      <c r="F8036" s="2">
        <v>2</v>
      </c>
      <c r="G8036" s="2" t="s">
        <v>11</v>
      </c>
    </row>
    <row r="8037" spans="1:9" x14ac:dyDescent="0.2">
      <c r="A8037" s="2" t="s">
        <v>3250</v>
      </c>
      <c r="B8037" s="2" t="s">
        <v>90</v>
      </c>
      <c r="C8037" s="2">
        <v>717.34119999999996</v>
      </c>
      <c r="D8037" s="2">
        <f>HYPERLINK("http://mcb-m6.bioreg.kyushu-u.ac.jp/M3/20110414/F50924/2021/1", 54.01)</f>
        <v>54.01</v>
      </c>
      <c r="E8037" s="2">
        <v>34.33</v>
      </c>
      <c r="F8037" s="2">
        <v>2</v>
      </c>
      <c r="G8037" s="2" t="s">
        <v>11</v>
      </c>
    </row>
    <row r="8038" spans="1:9" x14ac:dyDescent="0.2">
      <c r="A8038" s="2" t="s">
        <v>3250</v>
      </c>
      <c r="B8038" s="2" t="s">
        <v>102</v>
      </c>
      <c r="C8038" s="2">
        <v>608.49869999999999</v>
      </c>
      <c r="D8038" s="2">
        <f>HYPERLINK("http://mcb-m6.bioreg.kyushu-u.ac.jp/M3/20110414/F50944/1584/1", 54.16)</f>
        <v>54.16</v>
      </c>
      <c r="E8038" s="2">
        <v>36.369999999999997</v>
      </c>
      <c r="F8038" s="2">
        <v>2</v>
      </c>
      <c r="G8038" s="2" t="s">
        <v>11</v>
      </c>
    </row>
    <row r="8039" spans="1:9" x14ac:dyDescent="0.2">
      <c r="A8039" s="2" t="s">
        <v>3250</v>
      </c>
      <c r="B8039" s="2" t="s">
        <v>561</v>
      </c>
      <c r="C8039" s="2">
        <v>662.24720000000002</v>
      </c>
      <c r="D8039" s="2">
        <f>HYPERLINK("http://mcb-m6.bioreg.kyushu-u.ac.jp/M3/20110414/F50928/1877/1", 54.22)</f>
        <v>54.22</v>
      </c>
      <c r="E8039" s="2">
        <v>31.18</v>
      </c>
      <c r="F8039" s="2">
        <v>2</v>
      </c>
      <c r="G8039" s="2" t="s">
        <v>11</v>
      </c>
      <c r="H8039" s="2" t="s">
        <v>4919</v>
      </c>
    </row>
    <row r="8040" spans="1:9" x14ac:dyDescent="0.2">
      <c r="A8040" s="2" t="s">
        <v>3250</v>
      </c>
      <c r="B8040" s="2" t="s">
        <v>365</v>
      </c>
      <c r="C8040" s="2">
        <v>849.21770000000004</v>
      </c>
      <c r="D8040" s="2">
        <f>HYPERLINK("http://mcb-m6.bioreg.kyushu-u.ac.jp/M3/20110414/F50962/2327/1", 54.26)</f>
        <v>54.26</v>
      </c>
      <c r="E8040" s="2">
        <v>37.130000000000003</v>
      </c>
      <c r="F8040" s="2">
        <v>2</v>
      </c>
      <c r="G8040" s="2" t="s">
        <v>11</v>
      </c>
    </row>
    <row r="8041" spans="1:9" x14ac:dyDescent="0.2">
      <c r="A8041" s="2" t="s">
        <v>3250</v>
      </c>
      <c r="B8041" s="2" t="s">
        <v>481</v>
      </c>
      <c r="C8041" s="2">
        <v>709.79420000000005</v>
      </c>
      <c r="D8041" s="2">
        <f>HYPERLINK("http://mcb-m6.bioreg.kyushu-u.ac.jp/M3/20110414/F50943/1679/1", 54.31)</f>
        <v>54.31</v>
      </c>
      <c r="E8041" s="2">
        <v>37.89</v>
      </c>
      <c r="F8041" s="2">
        <v>2</v>
      </c>
      <c r="G8041" s="2" t="s">
        <v>11</v>
      </c>
      <c r="I8041" s="2" t="s">
        <v>4898</v>
      </c>
    </row>
    <row r="8042" spans="1:9" x14ac:dyDescent="0.2">
      <c r="A8042" s="2" t="s">
        <v>3250</v>
      </c>
      <c r="B8042" s="2" t="s">
        <v>503</v>
      </c>
      <c r="C8042" s="2">
        <v>816.40219999999999</v>
      </c>
      <c r="D8042" s="2">
        <f>HYPERLINK("http://mcb-m6.bioreg.kyushu-u.ac.jp/M3/20110414/F50943/2324/1", 54.52)</f>
        <v>54.52</v>
      </c>
      <c r="E8042" s="2">
        <v>46.13</v>
      </c>
      <c r="F8042" s="2">
        <v>2</v>
      </c>
      <c r="G8042" s="2" t="s">
        <v>11</v>
      </c>
      <c r="H8042" s="2" t="s">
        <v>4907</v>
      </c>
    </row>
    <row r="8043" spans="1:9" x14ac:dyDescent="0.2">
      <c r="A8043" s="2" t="s">
        <v>3250</v>
      </c>
      <c r="B8043" s="2" t="s">
        <v>481</v>
      </c>
      <c r="C8043" s="2">
        <v>1417.405</v>
      </c>
      <c r="D8043" s="2">
        <f>HYPERLINK("http://mcb-m6.bioreg.kyushu-u.ac.jp/M3/20110414/F50956/1694/1", 54.65)</f>
        <v>54.65</v>
      </c>
      <c r="E8043" s="2">
        <v>36.409999999999997</v>
      </c>
      <c r="F8043" s="2">
        <v>1</v>
      </c>
      <c r="G8043" s="2" t="s">
        <v>11</v>
      </c>
      <c r="I8043" s="2" t="s">
        <v>4898</v>
      </c>
    </row>
    <row r="8044" spans="1:9" x14ac:dyDescent="0.2">
      <c r="A8044" s="2" t="s">
        <v>3250</v>
      </c>
      <c r="B8044" s="2" t="s">
        <v>311</v>
      </c>
      <c r="C8044" s="2">
        <v>607.15260000000001</v>
      </c>
      <c r="D8044" s="2">
        <f>HYPERLINK("http://mcb-m6.bioreg.kyushu-u.ac.jp/M3/20110414/F50941/1365/1", 54.74)</f>
        <v>54.74</v>
      </c>
      <c r="E8044" s="2">
        <v>40.909999999999997</v>
      </c>
      <c r="F8044" s="2">
        <v>2</v>
      </c>
      <c r="G8044" s="2" t="s">
        <v>11</v>
      </c>
      <c r="H8044" s="2" t="s">
        <v>4908</v>
      </c>
    </row>
    <row r="8045" spans="1:9" x14ac:dyDescent="0.2">
      <c r="A8045" s="2" t="s">
        <v>3250</v>
      </c>
      <c r="B8045" s="2" t="s">
        <v>772</v>
      </c>
      <c r="C8045" s="2">
        <v>596.17819999999995</v>
      </c>
      <c r="D8045" s="2">
        <f>HYPERLINK("http://mcb-m6.bioreg.kyushu-u.ac.jp/M3/20110414/F50957/969/1", 54.84)</f>
        <v>54.84</v>
      </c>
      <c r="E8045" s="2">
        <v>35.25</v>
      </c>
      <c r="F8045" s="2">
        <v>2</v>
      </c>
      <c r="G8045" s="2" t="s">
        <v>11</v>
      </c>
    </row>
    <row r="8046" spans="1:9" x14ac:dyDescent="0.2">
      <c r="A8046" s="2" t="s">
        <v>3250</v>
      </c>
      <c r="B8046" s="2" t="s">
        <v>365</v>
      </c>
      <c r="C8046" s="2">
        <v>848.52869999999996</v>
      </c>
      <c r="D8046" s="2">
        <f>HYPERLINK("http://mcb-m6.bioreg.kyushu-u.ac.jp/M3/20110414/F50957/2579/1", 55.13)</f>
        <v>55.13</v>
      </c>
      <c r="E8046" s="2">
        <v>37.130000000000003</v>
      </c>
      <c r="F8046" s="2">
        <v>2</v>
      </c>
      <c r="G8046" s="2" t="s">
        <v>11</v>
      </c>
    </row>
    <row r="8047" spans="1:9" x14ac:dyDescent="0.2">
      <c r="A8047" s="2" t="s">
        <v>3250</v>
      </c>
      <c r="B8047" s="2" t="s">
        <v>77</v>
      </c>
      <c r="C8047" s="2">
        <v>575.14570000000003</v>
      </c>
      <c r="D8047" s="2">
        <f>HYPERLINK("http://mcb-m6.bioreg.kyushu-u.ac.jp/M3/20110414/F50929/1711/1", 55.3)</f>
        <v>55.3</v>
      </c>
      <c r="E8047" s="2">
        <v>25.14</v>
      </c>
      <c r="F8047" s="2">
        <v>2</v>
      </c>
      <c r="G8047" s="2" t="s">
        <v>11</v>
      </c>
    </row>
    <row r="8048" spans="1:9" x14ac:dyDescent="0.2">
      <c r="A8048" s="2" t="s">
        <v>3250</v>
      </c>
      <c r="B8048" s="2" t="s">
        <v>365</v>
      </c>
      <c r="C8048" s="2">
        <v>849.33010000000002</v>
      </c>
      <c r="D8048" s="2">
        <f>HYPERLINK("http://mcb-m6.bioreg.kyushu-u.ac.jp/M3/20110414/F50941/2671/1", 55.33)</f>
        <v>55.33</v>
      </c>
      <c r="E8048" s="2">
        <v>40.06</v>
      </c>
      <c r="F8048" s="2">
        <v>2</v>
      </c>
      <c r="G8048" s="2" t="s">
        <v>11</v>
      </c>
    </row>
    <row r="8049" spans="1:9" x14ac:dyDescent="0.2">
      <c r="A8049" s="2" t="s">
        <v>3250</v>
      </c>
      <c r="B8049" s="2" t="s">
        <v>772</v>
      </c>
      <c r="C8049" s="2">
        <v>596.00519999999995</v>
      </c>
      <c r="D8049" s="2">
        <f>HYPERLINK("http://mcb-m6.bioreg.kyushu-u.ac.jp/M3/20110414/F50945/1414/1", 55.34)</f>
        <v>55.34</v>
      </c>
      <c r="E8049" s="2">
        <v>22.51</v>
      </c>
      <c r="F8049" s="2">
        <v>2</v>
      </c>
      <c r="G8049" s="2" t="s">
        <v>11</v>
      </c>
    </row>
    <row r="8050" spans="1:9" x14ac:dyDescent="0.2">
      <c r="A8050" s="2" t="s">
        <v>3250</v>
      </c>
      <c r="B8050" s="2" t="s">
        <v>888</v>
      </c>
      <c r="C8050" s="2">
        <v>811.25350000000003</v>
      </c>
      <c r="D8050" s="2">
        <f>HYPERLINK("http://mcb-m6.bioreg.kyushu-u.ac.jp/M3/20110414/F50957/4299/1", 55.36)</f>
        <v>55.36</v>
      </c>
      <c r="E8050" s="2">
        <v>44.03</v>
      </c>
      <c r="F8050" s="2">
        <v>3</v>
      </c>
      <c r="G8050" s="2" t="s">
        <v>11</v>
      </c>
      <c r="I8050" s="2" t="s">
        <v>4895</v>
      </c>
    </row>
    <row r="8051" spans="1:9" x14ac:dyDescent="0.2">
      <c r="A8051" s="2" t="s">
        <v>3250</v>
      </c>
      <c r="B8051" s="2" t="s">
        <v>772</v>
      </c>
      <c r="C8051" s="2">
        <v>595.90419999999995</v>
      </c>
      <c r="D8051" s="2">
        <f>HYPERLINK("http://mcb-m6.bioreg.kyushu-u.ac.jp/M3/20110414/F50957/963/1", 55.43)</f>
        <v>55.43</v>
      </c>
      <c r="E8051" s="2">
        <v>15.72</v>
      </c>
      <c r="F8051" s="2">
        <v>2</v>
      </c>
      <c r="G8051" s="2" t="s">
        <v>11</v>
      </c>
    </row>
    <row r="8052" spans="1:9" x14ac:dyDescent="0.2">
      <c r="A8052" s="2" t="s">
        <v>3250</v>
      </c>
      <c r="B8052" s="2" t="s">
        <v>90</v>
      </c>
      <c r="C8052" s="2">
        <v>717.18269999999995</v>
      </c>
      <c r="D8052" s="2">
        <f>HYPERLINK("http://mcb-m6.bioreg.kyushu-u.ac.jp/M3/20110414/F50956/1764/1", 55.44)</f>
        <v>55.44</v>
      </c>
      <c r="E8052" s="2">
        <v>29.4</v>
      </c>
      <c r="F8052" s="2">
        <v>2</v>
      </c>
      <c r="G8052" s="2" t="s">
        <v>11</v>
      </c>
    </row>
    <row r="8053" spans="1:9" x14ac:dyDescent="0.2">
      <c r="A8053" s="2" t="s">
        <v>3250</v>
      </c>
      <c r="B8053" s="2" t="s">
        <v>467</v>
      </c>
      <c r="C8053" s="2">
        <v>692.17319999999995</v>
      </c>
      <c r="D8053" s="2">
        <f>HYPERLINK("http://mcb-m6.bioreg.kyushu-u.ac.jp/M3/20110414/F50956/1593/1", 55.46)</f>
        <v>55.46</v>
      </c>
      <c r="E8053" s="2">
        <v>28.67</v>
      </c>
      <c r="F8053" s="2">
        <v>2</v>
      </c>
      <c r="G8053" s="2" t="s">
        <v>11</v>
      </c>
    </row>
    <row r="8054" spans="1:9" x14ac:dyDescent="0.2">
      <c r="A8054" s="2" t="s">
        <v>3250</v>
      </c>
      <c r="B8054" s="2" t="s">
        <v>561</v>
      </c>
      <c r="C8054" s="2">
        <v>654.76009999999997</v>
      </c>
      <c r="D8054" s="2">
        <f>HYPERLINK("http://mcb-m6.bioreg.kyushu-u.ac.jp/M3/20110414/F50956/1347/1", 55.5)</f>
        <v>55.5</v>
      </c>
      <c r="E8054" s="2">
        <v>36.26</v>
      </c>
      <c r="F8054" s="2">
        <v>2</v>
      </c>
      <c r="G8054" s="2" t="s">
        <v>11</v>
      </c>
    </row>
    <row r="8055" spans="1:9" x14ac:dyDescent="0.2">
      <c r="A8055" s="2" t="s">
        <v>3250</v>
      </c>
      <c r="B8055" s="2" t="s">
        <v>481</v>
      </c>
      <c r="C8055" s="2">
        <v>709.73069999999996</v>
      </c>
      <c r="D8055" s="2">
        <f>HYPERLINK("http://mcb-m6.bioreg.kyushu-u.ac.jp/M3/20110414/F50956/1698/1", 55.52)</f>
        <v>55.52</v>
      </c>
      <c r="E8055" s="2">
        <v>23.16</v>
      </c>
      <c r="F8055" s="2">
        <v>2</v>
      </c>
      <c r="G8055" s="2" t="s">
        <v>11</v>
      </c>
      <c r="I8055" s="2" t="s">
        <v>4898</v>
      </c>
    </row>
    <row r="8056" spans="1:9" x14ac:dyDescent="0.2">
      <c r="A8056" s="2" t="s">
        <v>3250</v>
      </c>
      <c r="B8056" s="2" t="s">
        <v>467</v>
      </c>
      <c r="C8056" s="2">
        <v>691.74869999999999</v>
      </c>
      <c r="D8056" s="2">
        <f>HYPERLINK("http://mcb-m6.bioreg.kyushu-u.ac.jp/M3/20110414/F50941/1791/1", 55.68)</f>
        <v>55.68</v>
      </c>
      <c r="E8056" s="2">
        <v>32.99</v>
      </c>
      <c r="F8056" s="2">
        <v>2</v>
      </c>
      <c r="G8056" s="2" t="s">
        <v>11</v>
      </c>
    </row>
    <row r="8057" spans="1:9" x14ac:dyDescent="0.2">
      <c r="A8057" s="2" t="s">
        <v>3250</v>
      </c>
      <c r="B8057" s="2" t="s">
        <v>481</v>
      </c>
      <c r="C8057" s="2">
        <v>1417.7470000000001</v>
      </c>
      <c r="D8057" s="2">
        <f>HYPERLINK("http://mcb-m6.bioreg.kyushu-u.ac.jp/M3/20110414/F50944/1918/1", 55.96)</f>
        <v>55.96</v>
      </c>
      <c r="E8057" s="2">
        <v>43.33</v>
      </c>
      <c r="F8057" s="2">
        <v>1</v>
      </c>
      <c r="G8057" s="2" t="s">
        <v>11</v>
      </c>
      <c r="I8057" s="2" t="s">
        <v>4898</v>
      </c>
    </row>
    <row r="8058" spans="1:9" x14ac:dyDescent="0.2">
      <c r="A8058" s="2" t="s">
        <v>3250</v>
      </c>
      <c r="B8058" s="2" t="s">
        <v>77</v>
      </c>
      <c r="C8058" s="2">
        <v>575.26459999999997</v>
      </c>
      <c r="D8058" s="2">
        <f>HYPERLINK("http://mcb-m6.bioreg.kyushu-u.ac.jp/M3/20110414/F50944/1479/1", 55.97)</f>
        <v>55.97</v>
      </c>
      <c r="E8058" s="2">
        <v>24.8</v>
      </c>
      <c r="F8058" s="2">
        <v>2</v>
      </c>
      <c r="G8058" s="2" t="s">
        <v>11</v>
      </c>
    </row>
    <row r="8059" spans="1:9" x14ac:dyDescent="0.2">
      <c r="A8059" s="2" t="s">
        <v>3250</v>
      </c>
      <c r="B8059" s="2" t="s">
        <v>365</v>
      </c>
      <c r="C8059" s="2">
        <v>848.73910000000001</v>
      </c>
      <c r="D8059" s="2">
        <f>HYPERLINK("http://mcb-m6.bioreg.kyushu-u.ac.jp/M3/20110414/F50956/2696/1", 56.14)</f>
        <v>56.14</v>
      </c>
      <c r="E8059" s="2">
        <v>35.39</v>
      </c>
      <c r="F8059" s="2">
        <v>2</v>
      </c>
      <c r="G8059" s="2" t="s">
        <v>11</v>
      </c>
    </row>
    <row r="8060" spans="1:9" x14ac:dyDescent="0.2">
      <c r="A8060" s="2" t="s">
        <v>3250</v>
      </c>
      <c r="B8060" s="2" t="s">
        <v>481</v>
      </c>
      <c r="C8060" s="2">
        <v>709.24469999999997</v>
      </c>
      <c r="D8060" s="2">
        <f>HYPERLINK("http://mcb-m6.bioreg.kyushu-u.ac.jp/M3/20110414/F50924/1949/1", 56.24)</f>
        <v>56.24</v>
      </c>
      <c r="E8060" s="2">
        <v>34.229999999999997</v>
      </c>
      <c r="F8060" s="2">
        <v>2</v>
      </c>
      <c r="G8060" s="2" t="s">
        <v>11</v>
      </c>
      <c r="I8060" s="2" t="s">
        <v>4898</v>
      </c>
    </row>
    <row r="8061" spans="1:9" x14ac:dyDescent="0.2">
      <c r="A8061" s="2" t="s">
        <v>3250</v>
      </c>
      <c r="B8061" s="2" t="s">
        <v>1065</v>
      </c>
      <c r="C8061" s="2">
        <v>717.30110000000002</v>
      </c>
      <c r="D8061" s="2">
        <f>HYPERLINK("http://mcb-m6.bioreg.kyushu-u.ac.jp/M3/20110414/F50925/2122/1", 56.27)</f>
        <v>56.27</v>
      </c>
      <c r="E8061" s="2">
        <v>27.03</v>
      </c>
      <c r="F8061" s="2">
        <v>2</v>
      </c>
      <c r="G8061" s="2" t="s">
        <v>11</v>
      </c>
      <c r="I8061" s="2" t="s">
        <v>4892</v>
      </c>
    </row>
    <row r="8062" spans="1:9" x14ac:dyDescent="0.2">
      <c r="A8062" s="2" t="s">
        <v>3250</v>
      </c>
      <c r="B8062" s="2" t="s">
        <v>543</v>
      </c>
      <c r="C8062" s="2">
        <v>926.78120000000001</v>
      </c>
      <c r="D8062" s="2">
        <f>HYPERLINK("http://mcb-m6.bioreg.kyushu-u.ac.jp/M3/20110414/F50957/3061/1", 56.34)</f>
        <v>56.34</v>
      </c>
      <c r="E8062" s="2">
        <v>38.61</v>
      </c>
      <c r="F8062" s="2">
        <v>2</v>
      </c>
      <c r="G8062" s="2" t="s">
        <v>11</v>
      </c>
    </row>
    <row r="8063" spans="1:9" x14ac:dyDescent="0.2">
      <c r="A8063" s="2" t="s">
        <v>3250</v>
      </c>
      <c r="B8063" s="2" t="s">
        <v>467</v>
      </c>
      <c r="C8063" s="2">
        <v>692.26869999999997</v>
      </c>
      <c r="D8063" s="2">
        <f>HYPERLINK("http://mcb-m6.bioreg.kyushu-u.ac.jp/M3/20110414/F50945/1747/1", 56.49)</f>
        <v>56.49</v>
      </c>
      <c r="E8063" s="2">
        <v>37.47</v>
      </c>
      <c r="F8063" s="2">
        <v>2</v>
      </c>
      <c r="G8063" s="2" t="s">
        <v>11</v>
      </c>
    </row>
    <row r="8064" spans="1:9" x14ac:dyDescent="0.2">
      <c r="A8064" s="2" t="s">
        <v>3250</v>
      </c>
      <c r="B8064" s="2" t="s">
        <v>543</v>
      </c>
      <c r="C8064" s="2">
        <v>927.40260000000001</v>
      </c>
      <c r="D8064" s="2">
        <f>HYPERLINK("http://mcb-m6.bioreg.kyushu-u.ac.jp/M3/20110414/F50957/3071/1", 56.66)</f>
        <v>56.66</v>
      </c>
      <c r="E8064" s="2">
        <v>39.49</v>
      </c>
      <c r="F8064" s="2">
        <v>2</v>
      </c>
      <c r="G8064" s="2" t="s">
        <v>11</v>
      </c>
    </row>
    <row r="8065" spans="1:9" x14ac:dyDescent="0.2">
      <c r="A8065" s="2" t="s">
        <v>3250</v>
      </c>
      <c r="B8065" s="2" t="s">
        <v>561</v>
      </c>
      <c r="C8065" s="2">
        <v>654.6816</v>
      </c>
      <c r="D8065" s="2">
        <f>HYPERLINK("http://mcb-m6.bioreg.kyushu-u.ac.jp/M3/20110414/F50957/1299/1", 56.72)</f>
        <v>56.72</v>
      </c>
      <c r="E8065" s="2">
        <v>37.64</v>
      </c>
      <c r="F8065" s="2">
        <v>2</v>
      </c>
      <c r="G8065" s="2" t="s">
        <v>11</v>
      </c>
    </row>
    <row r="8066" spans="1:9" x14ac:dyDescent="0.2">
      <c r="A8066" s="2" t="s">
        <v>3250</v>
      </c>
      <c r="B8066" s="2" t="s">
        <v>481</v>
      </c>
      <c r="C8066" s="2">
        <v>709.17110000000002</v>
      </c>
      <c r="D8066" s="2">
        <f>HYPERLINK("http://mcb-m6.bioreg.kyushu-u.ac.jp/M3/20110414/F50957/1669/1", 56.75)</f>
        <v>56.75</v>
      </c>
      <c r="E8066" s="2">
        <v>46.14</v>
      </c>
      <c r="F8066" s="2">
        <v>2</v>
      </c>
      <c r="G8066" s="2" t="s">
        <v>11</v>
      </c>
      <c r="I8066" s="2" t="s">
        <v>4898</v>
      </c>
    </row>
    <row r="8067" spans="1:9" x14ac:dyDescent="0.2">
      <c r="A8067" s="2" t="s">
        <v>3250</v>
      </c>
      <c r="B8067" s="2" t="s">
        <v>467</v>
      </c>
      <c r="C8067" s="2">
        <v>691.65970000000004</v>
      </c>
      <c r="D8067" s="2">
        <f>HYPERLINK("http://mcb-m6.bioreg.kyushu-u.ac.jp/M3/20110414/F50957/1556/1", 56.78)</f>
        <v>56.78</v>
      </c>
      <c r="E8067" s="2">
        <v>31.8</v>
      </c>
      <c r="F8067" s="2">
        <v>2</v>
      </c>
      <c r="G8067" s="2" t="s">
        <v>11</v>
      </c>
    </row>
    <row r="8068" spans="1:9" x14ac:dyDescent="0.2">
      <c r="A8068" s="2" t="s">
        <v>3250</v>
      </c>
      <c r="B8068" s="2" t="s">
        <v>467</v>
      </c>
      <c r="C8068" s="2">
        <v>692.20510000000002</v>
      </c>
      <c r="D8068" s="2">
        <f>HYPERLINK("http://mcb-m6.bioreg.kyushu-u.ac.jp/M3/20110414/F50956/1596/1", 56.8)</f>
        <v>56.8</v>
      </c>
      <c r="E8068" s="2">
        <v>30.35</v>
      </c>
      <c r="F8068" s="2">
        <v>2</v>
      </c>
      <c r="G8068" s="2" t="s">
        <v>11</v>
      </c>
    </row>
    <row r="8069" spans="1:9" x14ac:dyDescent="0.2">
      <c r="A8069" s="2" t="s">
        <v>3250</v>
      </c>
      <c r="B8069" s="2" t="s">
        <v>467</v>
      </c>
      <c r="C8069" s="2">
        <v>691.6617</v>
      </c>
      <c r="D8069" s="2">
        <f>HYPERLINK("http://mcb-m6.bioreg.kyushu-u.ac.jp/M3/20110414/F50962/1678/1", 56.9)</f>
        <v>56.9</v>
      </c>
      <c r="E8069" s="2">
        <v>29.42</v>
      </c>
      <c r="F8069" s="2">
        <v>2</v>
      </c>
      <c r="G8069" s="2" t="s">
        <v>11</v>
      </c>
    </row>
    <row r="8070" spans="1:9" x14ac:dyDescent="0.2">
      <c r="A8070" s="2" t="s">
        <v>3250</v>
      </c>
      <c r="B8070" s="2" t="s">
        <v>356</v>
      </c>
      <c r="C8070" s="2">
        <v>544.58050000000003</v>
      </c>
      <c r="D8070" s="2">
        <f>HYPERLINK("http://mcb-m6.bioreg.kyushu-u.ac.jp/M3/20110414/F50956/2466/1", 56.95)</f>
        <v>56.95</v>
      </c>
      <c r="E8070" s="2">
        <v>37.42</v>
      </c>
      <c r="F8070" s="2">
        <v>3</v>
      </c>
      <c r="G8070" s="2" t="s">
        <v>11</v>
      </c>
    </row>
    <row r="8071" spans="1:9" x14ac:dyDescent="0.2">
      <c r="A8071" s="2" t="s">
        <v>3250</v>
      </c>
      <c r="B8071" s="2" t="s">
        <v>356</v>
      </c>
      <c r="C8071" s="2">
        <v>816.29520000000002</v>
      </c>
      <c r="D8071" s="2">
        <f>HYPERLINK("http://mcb-m6.bioreg.kyushu-u.ac.jp/M3/20110414/F50942/2346/1", 57.27)</f>
        <v>57.27</v>
      </c>
      <c r="E8071" s="2">
        <v>39.479999999999997</v>
      </c>
      <c r="F8071" s="2">
        <v>2</v>
      </c>
      <c r="G8071" s="2" t="s">
        <v>11</v>
      </c>
    </row>
    <row r="8072" spans="1:9" x14ac:dyDescent="0.2">
      <c r="A8072" s="2" t="s">
        <v>3250</v>
      </c>
      <c r="B8072" s="2" t="s">
        <v>90</v>
      </c>
      <c r="C8072" s="2">
        <v>717.13369999999998</v>
      </c>
      <c r="D8072" s="2">
        <f>HYPERLINK("http://mcb-m6.bioreg.kyushu-u.ac.jp/M3/20110414/F50928/2181/1", 57.28)</f>
        <v>57.28</v>
      </c>
      <c r="E8072" s="2">
        <v>32.14</v>
      </c>
      <c r="F8072" s="2">
        <v>2</v>
      </c>
      <c r="G8072" s="2" t="s">
        <v>11</v>
      </c>
    </row>
    <row r="8073" spans="1:9" x14ac:dyDescent="0.2">
      <c r="A8073" s="2" t="s">
        <v>3250</v>
      </c>
      <c r="B8073" s="2" t="s">
        <v>561</v>
      </c>
      <c r="C8073" s="2">
        <v>654.09169999999995</v>
      </c>
      <c r="D8073" s="2">
        <f>HYPERLINK("http://mcb-m6.bioreg.kyushu-u.ac.jp/M3/20110414/F50924/1640/1", 57.4)</f>
        <v>57.4</v>
      </c>
      <c r="E8073" s="2">
        <v>44.59</v>
      </c>
      <c r="F8073" s="2">
        <v>2</v>
      </c>
      <c r="G8073" s="2" t="s">
        <v>11</v>
      </c>
    </row>
    <row r="8074" spans="1:9" x14ac:dyDescent="0.2">
      <c r="A8074" s="2" t="s">
        <v>3250</v>
      </c>
      <c r="B8074" s="2" t="s">
        <v>365</v>
      </c>
      <c r="C8074" s="2">
        <v>848.83370000000002</v>
      </c>
      <c r="D8074" s="2">
        <f>HYPERLINK("http://mcb-m6.bioreg.kyushu-u.ac.jp/M3/20110414/F50941/2663/1", 57.45)</f>
        <v>57.45</v>
      </c>
      <c r="E8074" s="2">
        <v>43.41</v>
      </c>
      <c r="F8074" s="2">
        <v>2</v>
      </c>
      <c r="G8074" s="2" t="s">
        <v>11</v>
      </c>
    </row>
    <row r="8075" spans="1:9" x14ac:dyDescent="0.2">
      <c r="A8075" s="2" t="s">
        <v>3250</v>
      </c>
      <c r="B8075" s="2" t="s">
        <v>467</v>
      </c>
      <c r="C8075" s="2">
        <v>691.65769999999998</v>
      </c>
      <c r="D8075" s="2">
        <f>HYPERLINK("http://mcb-m6.bioreg.kyushu-u.ac.jp/M3/20110414/F50956/1580/1", 57.75)</f>
        <v>57.75</v>
      </c>
      <c r="E8075" s="2">
        <v>30.58</v>
      </c>
      <c r="F8075" s="2">
        <v>2</v>
      </c>
      <c r="G8075" s="2" t="s">
        <v>11</v>
      </c>
    </row>
    <row r="8076" spans="1:9" x14ac:dyDescent="0.2">
      <c r="A8076" s="2" t="s">
        <v>3250</v>
      </c>
      <c r="B8076" s="2" t="s">
        <v>467</v>
      </c>
      <c r="C8076" s="2">
        <v>692.38819999999998</v>
      </c>
      <c r="D8076" s="2">
        <f>HYPERLINK("http://mcb-m6.bioreg.kyushu-u.ac.jp/M3/20110414/F50956/1600/1", 57.95)</f>
        <v>57.95</v>
      </c>
      <c r="E8076" s="2">
        <v>32.44</v>
      </c>
      <c r="F8076" s="2">
        <v>2</v>
      </c>
      <c r="G8076" s="2" t="s">
        <v>11</v>
      </c>
    </row>
    <row r="8077" spans="1:9" x14ac:dyDescent="0.2">
      <c r="A8077" s="2" t="s">
        <v>3250</v>
      </c>
      <c r="B8077" s="2" t="s">
        <v>543</v>
      </c>
      <c r="C8077" s="2">
        <v>927.42610000000002</v>
      </c>
      <c r="D8077" s="2">
        <f>HYPERLINK("http://mcb-m6.bioreg.kyushu-u.ac.jp/M3/20110414/F50943/2864/1", 58.02)</f>
        <v>58.02</v>
      </c>
      <c r="E8077" s="2">
        <v>39.79</v>
      </c>
      <c r="F8077" s="2">
        <v>2</v>
      </c>
      <c r="G8077" s="2" t="s">
        <v>11</v>
      </c>
    </row>
    <row r="8078" spans="1:9" x14ac:dyDescent="0.2">
      <c r="A8078" s="2" t="s">
        <v>3250</v>
      </c>
      <c r="B8078" s="2" t="s">
        <v>365</v>
      </c>
      <c r="C8078" s="2">
        <v>1697.1379999999999</v>
      </c>
      <c r="D8078" s="2">
        <f>HYPERLINK("http://mcb-m6.bioreg.kyushu-u.ac.jp/M3/20110414/F50942/2532/1", 58.18)</f>
        <v>58.18</v>
      </c>
      <c r="E8078" s="2">
        <v>47.96</v>
      </c>
      <c r="F8078" s="2">
        <v>1</v>
      </c>
      <c r="G8078" s="2" t="s">
        <v>11</v>
      </c>
    </row>
    <row r="8079" spans="1:9" x14ac:dyDescent="0.2">
      <c r="A8079" s="2" t="s">
        <v>3250</v>
      </c>
      <c r="B8079" s="2" t="s">
        <v>772</v>
      </c>
      <c r="C8079" s="2">
        <v>1190.4190000000001</v>
      </c>
      <c r="D8079" s="2">
        <f>HYPERLINK("http://mcb-m6.bioreg.kyushu-u.ac.jp/M3/20110414/F50956/1027/1", 58.42)</f>
        <v>58.42</v>
      </c>
      <c r="E8079" s="2">
        <v>32.26</v>
      </c>
      <c r="F8079" s="2">
        <v>1</v>
      </c>
      <c r="G8079" s="2" t="s">
        <v>11</v>
      </c>
    </row>
    <row r="8080" spans="1:9" x14ac:dyDescent="0.2">
      <c r="A8080" s="2" t="s">
        <v>3250</v>
      </c>
      <c r="B8080" s="2" t="s">
        <v>772</v>
      </c>
      <c r="C8080" s="2">
        <v>1190.588</v>
      </c>
      <c r="D8080" s="2">
        <f>HYPERLINK("http://mcb-m6.bioreg.kyushu-u.ac.jp/M3/20110414/F50942/1168/1", 58.83)</f>
        <v>58.83</v>
      </c>
      <c r="E8080" s="2">
        <v>25.21</v>
      </c>
      <c r="F8080" s="2">
        <v>1</v>
      </c>
      <c r="G8080" s="2" t="s">
        <v>11</v>
      </c>
    </row>
    <row r="8081" spans="1:9" x14ac:dyDescent="0.2">
      <c r="A8081" s="2" t="s">
        <v>3250</v>
      </c>
      <c r="B8081" s="2" t="s">
        <v>772</v>
      </c>
      <c r="C8081" s="2">
        <v>1190.5260000000001</v>
      </c>
      <c r="D8081" s="2">
        <f>HYPERLINK("http://mcb-m6.bioreg.kyushu-u.ac.jp/M3/20110414/F50957/962/1", 58.84)</f>
        <v>58.84</v>
      </c>
      <c r="E8081" s="2">
        <v>25.03</v>
      </c>
      <c r="F8081" s="2">
        <v>1</v>
      </c>
      <c r="G8081" s="2" t="s">
        <v>11</v>
      </c>
    </row>
    <row r="8082" spans="1:9" x14ac:dyDescent="0.2">
      <c r="A8082" s="2" t="s">
        <v>3250</v>
      </c>
      <c r="B8082" s="2" t="s">
        <v>481</v>
      </c>
      <c r="C8082" s="2">
        <v>1417.443</v>
      </c>
      <c r="D8082" s="2">
        <f>HYPERLINK("http://mcb-m6.bioreg.kyushu-u.ac.jp/M3/20110414/F50957/1670/1", 58.88)</f>
        <v>58.88</v>
      </c>
      <c r="E8082" s="2">
        <v>48.25</v>
      </c>
      <c r="F8082" s="2">
        <v>1</v>
      </c>
      <c r="G8082" s="2" t="s">
        <v>11</v>
      </c>
      <c r="I8082" s="2" t="s">
        <v>4898</v>
      </c>
    </row>
    <row r="8083" spans="1:9" x14ac:dyDescent="0.2">
      <c r="A8083" s="2" t="s">
        <v>3250</v>
      </c>
      <c r="B8083" s="2" t="s">
        <v>1065</v>
      </c>
      <c r="C8083" s="2">
        <v>716.69460000000004</v>
      </c>
      <c r="D8083" s="2">
        <f>HYPERLINK("http://mcb-m6.bioreg.kyushu-u.ac.jp/M3/20110414/F50957/1733/1", 58.92)</f>
        <v>58.92</v>
      </c>
      <c r="E8083" s="2">
        <v>30.02</v>
      </c>
      <c r="F8083" s="2">
        <v>2</v>
      </c>
      <c r="G8083" s="2" t="s">
        <v>11</v>
      </c>
      <c r="I8083" s="2" t="s">
        <v>4892</v>
      </c>
    </row>
    <row r="8084" spans="1:9" x14ac:dyDescent="0.2">
      <c r="A8084" s="2" t="s">
        <v>3250</v>
      </c>
      <c r="B8084" s="2" t="s">
        <v>90</v>
      </c>
      <c r="C8084" s="2">
        <v>717.10569999999996</v>
      </c>
      <c r="D8084" s="2">
        <f>HYPERLINK("http://mcb-m6.bioreg.kyushu-u.ac.jp/M3/20110414/F50962/1805/1", 58.98)</f>
        <v>58.98</v>
      </c>
      <c r="E8084" s="2">
        <v>46.15</v>
      </c>
      <c r="F8084" s="2">
        <v>2</v>
      </c>
      <c r="G8084" s="2" t="s">
        <v>11</v>
      </c>
    </row>
    <row r="8085" spans="1:9" x14ac:dyDescent="0.2">
      <c r="A8085" s="2" t="s">
        <v>3250</v>
      </c>
      <c r="B8085" s="2" t="s">
        <v>365</v>
      </c>
      <c r="C8085" s="2">
        <v>1697.066</v>
      </c>
      <c r="D8085" s="2">
        <f>HYPERLINK("http://mcb-m6.bioreg.kyushu-u.ac.jp/M3/20110414/F50957/2588/1", 59.03)</f>
        <v>59.03</v>
      </c>
      <c r="E8085" s="2">
        <v>39.880000000000003</v>
      </c>
      <c r="F8085" s="2">
        <v>1</v>
      </c>
      <c r="G8085" s="2" t="s">
        <v>11</v>
      </c>
    </row>
    <row r="8086" spans="1:9" x14ac:dyDescent="0.2">
      <c r="A8086" s="2" t="s">
        <v>3250</v>
      </c>
      <c r="B8086" s="2" t="s">
        <v>365</v>
      </c>
      <c r="C8086" s="2">
        <v>848.97810000000004</v>
      </c>
      <c r="D8086" s="2">
        <f>HYPERLINK("http://mcb-m6.bioreg.kyushu-u.ac.jp/M3/20110414/F50944/2499/1", 59.56)</f>
        <v>59.56</v>
      </c>
      <c r="E8086" s="2">
        <v>45.72</v>
      </c>
      <c r="F8086" s="2">
        <v>2</v>
      </c>
      <c r="G8086" s="2" t="s">
        <v>11</v>
      </c>
    </row>
    <row r="8087" spans="1:9" x14ac:dyDescent="0.2">
      <c r="A8087" s="2" t="s">
        <v>3250</v>
      </c>
      <c r="B8087" s="2" t="s">
        <v>481</v>
      </c>
      <c r="C8087" s="2">
        <v>1417.454</v>
      </c>
      <c r="D8087" s="2">
        <f>HYPERLINK("http://mcb-m6.bioreg.kyushu-u.ac.jp/M3/20110414/F50943/1674/1", 59.58)</f>
        <v>59.58</v>
      </c>
      <c r="E8087" s="2">
        <v>47.24</v>
      </c>
      <c r="F8087" s="2">
        <v>1</v>
      </c>
      <c r="G8087" s="2" t="s">
        <v>11</v>
      </c>
      <c r="I8087" s="2" t="s">
        <v>4898</v>
      </c>
    </row>
    <row r="8088" spans="1:9" x14ac:dyDescent="0.2">
      <c r="A8088" s="2" t="s">
        <v>3250</v>
      </c>
      <c r="B8088" s="2" t="s">
        <v>175</v>
      </c>
      <c r="C8088" s="2">
        <v>784.59860000000003</v>
      </c>
      <c r="D8088" s="2">
        <f>HYPERLINK("http://mcb-m6.bioreg.kyushu-u.ac.jp/M3/20110414/F50957/2197/1", 59.85)</f>
        <v>59.85</v>
      </c>
      <c r="E8088" s="2">
        <v>43.1</v>
      </c>
      <c r="F8088" s="2">
        <v>2</v>
      </c>
      <c r="G8088" s="2" t="s">
        <v>11</v>
      </c>
      <c r="I8088" s="2" t="s">
        <v>4893</v>
      </c>
    </row>
    <row r="8089" spans="1:9" x14ac:dyDescent="0.2">
      <c r="A8089" s="2" t="s">
        <v>3250</v>
      </c>
      <c r="B8089" s="2" t="s">
        <v>365</v>
      </c>
      <c r="C8089" s="2">
        <v>849.37019999999995</v>
      </c>
      <c r="D8089" s="2">
        <f>HYPERLINK("http://mcb-m6.bioreg.kyushu-u.ac.jp/M3/20110414/F50924/2605/1", 60.17)</f>
        <v>60.17</v>
      </c>
      <c r="E8089" s="2">
        <v>44.4</v>
      </c>
      <c r="F8089" s="2">
        <v>2</v>
      </c>
      <c r="G8089" s="2" t="s">
        <v>11</v>
      </c>
    </row>
    <row r="8090" spans="1:9" x14ac:dyDescent="0.2">
      <c r="A8090" s="2" t="s">
        <v>3250</v>
      </c>
      <c r="B8090" s="2" t="s">
        <v>102</v>
      </c>
      <c r="C8090" s="2">
        <v>616.70370000000003</v>
      </c>
      <c r="D8090" s="2">
        <f>HYPERLINK("http://mcb-m6.bioreg.kyushu-u.ac.jp/M3/20110414/F50943/1297/1", 60.19)</f>
        <v>60.19</v>
      </c>
      <c r="E8090" s="2">
        <v>37.590000000000003</v>
      </c>
      <c r="F8090" s="2">
        <v>2</v>
      </c>
      <c r="G8090" s="2" t="s">
        <v>11</v>
      </c>
      <c r="H8090" s="2" t="s">
        <v>4900</v>
      </c>
    </row>
    <row r="8091" spans="1:9" x14ac:dyDescent="0.2">
      <c r="A8091" s="2" t="s">
        <v>3250</v>
      </c>
      <c r="B8091" s="2" t="s">
        <v>467</v>
      </c>
      <c r="C8091" s="2">
        <v>691.68409999999994</v>
      </c>
      <c r="D8091" s="2">
        <f>HYPERLINK("http://mcb-m6.bioreg.kyushu-u.ac.jp/M3/20110414/F50957/1557/1", 60.29)</f>
        <v>60.29</v>
      </c>
      <c r="E8091" s="2">
        <v>35.5</v>
      </c>
      <c r="F8091" s="2">
        <v>2</v>
      </c>
      <c r="G8091" s="2" t="s">
        <v>11</v>
      </c>
    </row>
    <row r="8092" spans="1:9" x14ac:dyDescent="0.2">
      <c r="A8092" s="2" t="s">
        <v>3250</v>
      </c>
      <c r="B8092" s="2" t="s">
        <v>90</v>
      </c>
      <c r="C8092" s="2">
        <v>716.81920000000002</v>
      </c>
      <c r="D8092" s="2">
        <f>HYPERLINK("http://mcb-m6.bioreg.kyushu-u.ac.jp/M3/20110414/F50956/1757/1", 60.89)</f>
        <v>60.89</v>
      </c>
      <c r="E8092" s="2">
        <v>26.24</v>
      </c>
      <c r="F8092" s="2">
        <v>2</v>
      </c>
      <c r="G8092" s="2" t="s">
        <v>11</v>
      </c>
    </row>
    <row r="8093" spans="1:9" x14ac:dyDescent="0.2">
      <c r="A8093" s="2" t="s">
        <v>3250</v>
      </c>
      <c r="B8093" s="2" t="s">
        <v>77</v>
      </c>
      <c r="C8093" s="2">
        <v>575.18520000000001</v>
      </c>
      <c r="D8093" s="2">
        <f>HYPERLINK("http://mcb-m6.bioreg.kyushu-u.ac.jp/M3/20110414/F50942/1075/1", 60.9)</f>
        <v>60.9</v>
      </c>
      <c r="E8093" s="2">
        <v>25.82</v>
      </c>
      <c r="F8093" s="2">
        <v>2</v>
      </c>
      <c r="G8093" s="2" t="s">
        <v>11</v>
      </c>
    </row>
    <row r="8094" spans="1:9" x14ac:dyDescent="0.2">
      <c r="A8094" s="2" t="s">
        <v>3250</v>
      </c>
      <c r="B8094" s="2" t="s">
        <v>467</v>
      </c>
      <c r="C8094" s="2">
        <v>691.71370000000002</v>
      </c>
      <c r="D8094" s="2">
        <f>HYPERLINK("http://mcb-m6.bioreg.kyushu-u.ac.jp/M3/20110414/F50924/1845/1", 61.16)</f>
        <v>61.16</v>
      </c>
      <c r="E8094" s="2">
        <v>36.72</v>
      </c>
      <c r="F8094" s="2">
        <v>2</v>
      </c>
      <c r="G8094" s="2" t="s">
        <v>11</v>
      </c>
    </row>
    <row r="8095" spans="1:9" x14ac:dyDescent="0.2">
      <c r="A8095" s="2" t="s">
        <v>3250</v>
      </c>
      <c r="B8095" s="2" t="s">
        <v>90</v>
      </c>
      <c r="C8095" s="2">
        <v>717.00819999999999</v>
      </c>
      <c r="D8095" s="2">
        <f>HYPERLINK("http://mcb-m6.bioreg.kyushu-u.ac.jp/M3/20110414/F50944/1962/1", 61.4)</f>
        <v>61.4</v>
      </c>
      <c r="E8095" s="2">
        <v>26.91</v>
      </c>
      <c r="F8095" s="2">
        <v>2</v>
      </c>
      <c r="G8095" s="2" t="s">
        <v>11</v>
      </c>
    </row>
    <row r="8096" spans="1:9" x14ac:dyDescent="0.2">
      <c r="A8096" s="2" t="s">
        <v>3250</v>
      </c>
      <c r="B8096" s="2" t="s">
        <v>1065</v>
      </c>
      <c r="C8096" s="2">
        <v>1432.4849999999999</v>
      </c>
      <c r="D8096" s="2">
        <f>HYPERLINK("http://mcb-m6.bioreg.kyushu-u.ac.jp/M3/20110414/F50957/1735/1", 61.64)</f>
        <v>61.64</v>
      </c>
      <c r="E8096" s="2">
        <v>44.29</v>
      </c>
      <c r="F8096" s="2">
        <v>1</v>
      </c>
      <c r="G8096" s="2" t="s">
        <v>11</v>
      </c>
      <c r="I8096" s="2" t="s">
        <v>4892</v>
      </c>
    </row>
    <row r="8097" spans="1:9" x14ac:dyDescent="0.2">
      <c r="A8097" s="2" t="s">
        <v>3250</v>
      </c>
      <c r="B8097" s="2" t="s">
        <v>356</v>
      </c>
      <c r="C8097" s="2">
        <v>815.74959999999999</v>
      </c>
      <c r="D8097" s="2">
        <f>HYPERLINK("http://mcb-m6.bioreg.kyushu-u.ac.jp/M3/20110414/F50956/2455/1", 61.69)</f>
        <v>61.69</v>
      </c>
      <c r="E8097" s="2">
        <v>50.38</v>
      </c>
      <c r="F8097" s="2">
        <v>2</v>
      </c>
      <c r="G8097" s="2" t="s">
        <v>11</v>
      </c>
    </row>
    <row r="8098" spans="1:9" x14ac:dyDescent="0.2">
      <c r="A8098" s="2" t="s">
        <v>3250</v>
      </c>
      <c r="B8098" s="2" t="s">
        <v>1665</v>
      </c>
      <c r="C8098" s="2">
        <v>1147.5239999999999</v>
      </c>
      <c r="D8098" s="2">
        <f>HYPERLINK("http://mcb-m6.bioreg.kyushu-u.ac.jp/M3/20110414/F50957/4093/1", 62.03)</f>
        <v>62.03</v>
      </c>
      <c r="E8098" s="2">
        <v>53.03</v>
      </c>
      <c r="F8098" s="2">
        <v>2</v>
      </c>
      <c r="G8098" s="2" t="s">
        <v>11</v>
      </c>
    </row>
    <row r="8099" spans="1:9" x14ac:dyDescent="0.2">
      <c r="A8099" s="2" t="s">
        <v>3250</v>
      </c>
      <c r="B8099" s="2" t="s">
        <v>467</v>
      </c>
      <c r="C8099" s="2">
        <v>691.69069999999999</v>
      </c>
      <c r="D8099" s="2">
        <f>HYPERLINK("http://mcb-m6.bioreg.kyushu-u.ac.jp/M3/20110414/F50957/1559/1", 62.07)</f>
        <v>62.07</v>
      </c>
      <c r="E8099" s="2">
        <v>34.14</v>
      </c>
      <c r="F8099" s="2">
        <v>2</v>
      </c>
      <c r="G8099" s="2" t="s">
        <v>11</v>
      </c>
    </row>
    <row r="8100" spans="1:9" x14ac:dyDescent="0.2">
      <c r="A8100" s="2" t="s">
        <v>3250</v>
      </c>
      <c r="B8100" s="2" t="s">
        <v>467</v>
      </c>
      <c r="C8100" s="2">
        <v>692.27620000000002</v>
      </c>
      <c r="D8100" s="2">
        <f>HYPERLINK("http://mcb-m6.bioreg.kyushu-u.ac.jp/M3/20110414/F50943/1588/1", 62.4)</f>
        <v>62.4</v>
      </c>
      <c r="E8100" s="2">
        <v>40.58</v>
      </c>
      <c r="F8100" s="2">
        <v>2</v>
      </c>
      <c r="G8100" s="2" t="s">
        <v>11</v>
      </c>
    </row>
    <row r="8101" spans="1:9" x14ac:dyDescent="0.2">
      <c r="A8101" s="2" t="s">
        <v>3250</v>
      </c>
      <c r="B8101" s="2" t="s">
        <v>1065</v>
      </c>
      <c r="C8101" s="2">
        <v>716.7867</v>
      </c>
      <c r="D8101" s="2">
        <f>HYPERLINK("http://mcb-m6.bioreg.kyushu-u.ac.jp/M3/20110414/F50925/2119/1", 62.77)</f>
        <v>62.77</v>
      </c>
      <c r="E8101" s="2">
        <v>50.68</v>
      </c>
      <c r="F8101" s="2">
        <v>2</v>
      </c>
      <c r="G8101" s="2" t="s">
        <v>11</v>
      </c>
      <c r="I8101" s="2" t="s">
        <v>4892</v>
      </c>
    </row>
    <row r="8102" spans="1:9" x14ac:dyDescent="0.2">
      <c r="A8102" s="2" t="s">
        <v>3250</v>
      </c>
      <c r="B8102" s="2" t="s">
        <v>481</v>
      </c>
      <c r="C8102" s="2">
        <v>709.2242</v>
      </c>
      <c r="D8102" s="2">
        <f>HYPERLINK("http://mcb-m6.bioreg.kyushu-u.ac.jp/M3/20110414/F50956/1695/1", 62.8)</f>
        <v>62.8</v>
      </c>
      <c r="E8102" s="2">
        <v>40.39</v>
      </c>
      <c r="F8102" s="2">
        <v>2</v>
      </c>
      <c r="G8102" s="2" t="s">
        <v>11</v>
      </c>
      <c r="I8102" s="2" t="s">
        <v>4898</v>
      </c>
    </row>
    <row r="8103" spans="1:9" x14ac:dyDescent="0.2">
      <c r="A8103" s="2" t="s">
        <v>3250</v>
      </c>
      <c r="B8103" s="2" t="s">
        <v>481</v>
      </c>
      <c r="C8103" s="2">
        <v>709.70010000000002</v>
      </c>
      <c r="D8103" s="2">
        <f>HYPERLINK("http://mcb-m6.bioreg.kyushu-u.ac.jp/M3/20110414/F50957/1673/1", 62.92)</f>
        <v>62.92</v>
      </c>
      <c r="E8103" s="2">
        <v>43.43</v>
      </c>
      <c r="F8103" s="2">
        <v>2</v>
      </c>
      <c r="G8103" s="2" t="s">
        <v>11</v>
      </c>
      <c r="I8103" s="2" t="s">
        <v>4898</v>
      </c>
    </row>
    <row r="8104" spans="1:9" x14ac:dyDescent="0.2">
      <c r="A8104" s="2" t="s">
        <v>3250</v>
      </c>
      <c r="B8104" s="2" t="s">
        <v>467</v>
      </c>
      <c r="C8104" s="2">
        <v>692.17070000000001</v>
      </c>
      <c r="D8104" s="2">
        <f>HYPERLINK("http://mcb-m6.bioreg.kyushu-u.ac.jp/M3/20110414/F50957/1572/1", 62.99)</f>
        <v>62.99</v>
      </c>
      <c r="E8104" s="2">
        <v>36.24</v>
      </c>
      <c r="F8104" s="2">
        <v>2</v>
      </c>
      <c r="G8104" s="2" t="s">
        <v>11</v>
      </c>
    </row>
    <row r="8105" spans="1:9" x14ac:dyDescent="0.2">
      <c r="A8105" s="2" t="s">
        <v>3250</v>
      </c>
      <c r="B8105" s="2" t="s">
        <v>1065</v>
      </c>
      <c r="C8105" s="2">
        <v>716.99469999999997</v>
      </c>
      <c r="D8105" s="2">
        <f>HYPERLINK("http://mcb-m6.bioreg.kyushu-u.ac.jp/M3/20110414/F50944/1961/1", 63.05)</f>
        <v>63.05</v>
      </c>
      <c r="E8105" s="2">
        <v>50.02</v>
      </c>
      <c r="F8105" s="2">
        <v>2</v>
      </c>
      <c r="G8105" s="2" t="s">
        <v>11</v>
      </c>
      <c r="I8105" s="2" t="s">
        <v>4892</v>
      </c>
    </row>
    <row r="8106" spans="1:9" x14ac:dyDescent="0.2">
      <c r="A8106" s="2" t="s">
        <v>3250</v>
      </c>
      <c r="B8106" s="2" t="s">
        <v>543</v>
      </c>
      <c r="C8106" s="2">
        <v>927.51509999999996</v>
      </c>
      <c r="D8106" s="2">
        <f>HYPERLINK("http://mcb-m6.bioreg.kyushu-u.ac.jp/M3/20110414/F50956/3178/1", 63.22)</f>
        <v>63.22</v>
      </c>
      <c r="E8106" s="2">
        <v>46.96</v>
      </c>
      <c r="F8106" s="2">
        <v>2</v>
      </c>
      <c r="G8106" s="2" t="s">
        <v>11</v>
      </c>
    </row>
    <row r="8107" spans="1:9" x14ac:dyDescent="0.2">
      <c r="A8107" s="2" t="s">
        <v>3250</v>
      </c>
      <c r="B8107" s="2" t="s">
        <v>90</v>
      </c>
      <c r="C8107" s="2">
        <v>717.27919999999995</v>
      </c>
      <c r="D8107" s="2">
        <f>HYPERLINK("http://mcb-m6.bioreg.kyushu-u.ac.jp/M3/20110414/F50943/1735/1", 63.84)</f>
        <v>63.84</v>
      </c>
      <c r="E8107" s="2">
        <v>41.7</v>
      </c>
      <c r="F8107" s="2">
        <v>2</v>
      </c>
      <c r="G8107" s="2" t="s">
        <v>11</v>
      </c>
    </row>
    <row r="8108" spans="1:9" x14ac:dyDescent="0.2">
      <c r="A8108" s="2" t="s">
        <v>3250</v>
      </c>
      <c r="B8108" s="2" t="s">
        <v>365</v>
      </c>
      <c r="C8108" s="2">
        <v>849.05110000000002</v>
      </c>
      <c r="D8108" s="2">
        <f>HYPERLINK("http://mcb-m6.bioreg.kyushu-u.ac.jp/M3/20110414/F50941/2667/1", 63.9)</f>
        <v>63.9</v>
      </c>
      <c r="E8108" s="2">
        <v>46.01</v>
      </c>
      <c r="F8108" s="2">
        <v>2</v>
      </c>
      <c r="G8108" s="2" t="s">
        <v>11</v>
      </c>
    </row>
    <row r="8109" spans="1:9" x14ac:dyDescent="0.2">
      <c r="A8109" s="2" t="s">
        <v>3250</v>
      </c>
      <c r="B8109" s="2" t="s">
        <v>467</v>
      </c>
      <c r="C8109" s="2">
        <v>691.81920000000002</v>
      </c>
      <c r="D8109" s="2">
        <f>HYPERLINK("http://mcb-m6.bioreg.kyushu-u.ac.jp/M3/20110414/F50957/1563/1", 63.9)</f>
        <v>63.9</v>
      </c>
      <c r="E8109" s="2">
        <v>37.31</v>
      </c>
      <c r="F8109" s="2">
        <v>2</v>
      </c>
      <c r="G8109" s="2" t="s">
        <v>11</v>
      </c>
    </row>
    <row r="8110" spans="1:9" x14ac:dyDescent="0.2">
      <c r="A8110" s="2" t="s">
        <v>3250</v>
      </c>
      <c r="B8110" s="2" t="s">
        <v>90</v>
      </c>
      <c r="C8110" s="2">
        <v>717.17070000000001</v>
      </c>
      <c r="D8110" s="2">
        <f>HYPERLINK("http://mcb-m6.bioreg.kyushu-u.ac.jp/M3/20110414/F50956/1763/1", 63.97)</f>
        <v>63.97</v>
      </c>
      <c r="E8110" s="2">
        <v>39.76</v>
      </c>
      <c r="F8110" s="2">
        <v>2</v>
      </c>
      <c r="G8110" s="2" t="s">
        <v>11</v>
      </c>
    </row>
    <row r="8111" spans="1:9" x14ac:dyDescent="0.2">
      <c r="A8111" s="2" t="s">
        <v>3250</v>
      </c>
      <c r="B8111" s="2" t="s">
        <v>90</v>
      </c>
      <c r="C8111" s="2">
        <v>717.38170000000002</v>
      </c>
      <c r="D8111" s="2">
        <f>HYPERLINK("http://mcb-m6.bioreg.kyushu-u.ac.jp/M3/20110414/F50944/1963/1", 64)</f>
        <v>64</v>
      </c>
      <c r="E8111" s="2">
        <v>28.8</v>
      </c>
      <c r="F8111" s="2">
        <v>2</v>
      </c>
      <c r="G8111" s="2" t="s">
        <v>11</v>
      </c>
    </row>
    <row r="8112" spans="1:9" x14ac:dyDescent="0.2">
      <c r="A8112" s="2" t="s">
        <v>3250</v>
      </c>
      <c r="B8112" s="2" t="s">
        <v>543</v>
      </c>
      <c r="C8112" s="2">
        <v>927.20719999999994</v>
      </c>
      <c r="D8112" s="2">
        <f>HYPERLINK("http://mcb-m6.bioreg.kyushu-u.ac.jp/M3/20110414/F50944/2750/1", 64.14)</f>
        <v>64.14</v>
      </c>
      <c r="E8112" s="2">
        <v>50.25</v>
      </c>
      <c r="F8112" s="2">
        <v>2</v>
      </c>
      <c r="G8112" s="2" t="s">
        <v>11</v>
      </c>
    </row>
    <row r="8113" spans="1:9" x14ac:dyDescent="0.2">
      <c r="A8113" s="2" t="s">
        <v>3250</v>
      </c>
      <c r="B8113" s="2" t="s">
        <v>311</v>
      </c>
      <c r="C8113" s="2">
        <v>599.19920000000002</v>
      </c>
      <c r="D8113" s="2">
        <f>HYPERLINK("http://mcb-m6.bioreg.kyushu-u.ac.jp/M3/20110414/F50943/1224/1", 64.16)</f>
        <v>64.16</v>
      </c>
      <c r="E8113" s="2">
        <v>45.38</v>
      </c>
      <c r="F8113" s="2">
        <v>2</v>
      </c>
      <c r="G8113" s="2" t="s">
        <v>11</v>
      </c>
    </row>
    <row r="8114" spans="1:9" x14ac:dyDescent="0.2">
      <c r="A8114" s="2" t="s">
        <v>3250</v>
      </c>
      <c r="B8114" s="2" t="s">
        <v>102</v>
      </c>
      <c r="C8114" s="2">
        <v>608.66219999999998</v>
      </c>
      <c r="D8114" s="2">
        <f>HYPERLINK("http://mcb-m6.bioreg.kyushu-u.ac.jp/M3/20110414/F50943/1266/1", 64.24)</f>
        <v>64.239999999999995</v>
      </c>
      <c r="E8114" s="2">
        <v>47.45</v>
      </c>
      <c r="F8114" s="2">
        <v>2</v>
      </c>
      <c r="G8114" s="2" t="s">
        <v>11</v>
      </c>
    </row>
    <row r="8115" spans="1:9" x14ac:dyDescent="0.2">
      <c r="A8115" s="2" t="s">
        <v>3250</v>
      </c>
      <c r="B8115" s="2" t="s">
        <v>311</v>
      </c>
      <c r="C8115" s="2">
        <v>598.88070000000005</v>
      </c>
      <c r="D8115" s="2">
        <f>HYPERLINK("http://mcb-m6.bioreg.kyushu-u.ac.jp/M3/20110414/F50942/1191/1", 64.28)</f>
        <v>64.28</v>
      </c>
      <c r="E8115" s="2">
        <v>45.53</v>
      </c>
      <c r="F8115" s="2">
        <v>2</v>
      </c>
      <c r="G8115" s="2" t="s">
        <v>11</v>
      </c>
    </row>
    <row r="8116" spans="1:9" x14ac:dyDescent="0.2">
      <c r="A8116" s="2" t="s">
        <v>3250</v>
      </c>
      <c r="B8116" s="2" t="s">
        <v>467</v>
      </c>
      <c r="C8116" s="2">
        <v>692.15560000000005</v>
      </c>
      <c r="D8116" s="2">
        <f>HYPERLINK("http://mcb-m6.bioreg.kyushu-u.ac.jp/M3/20110414/F50957/1570/1", 64.5)</f>
        <v>64.5</v>
      </c>
      <c r="E8116" s="2">
        <v>44.32</v>
      </c>
      <c r="F8116" s="2">
        <v>2</v>
      </c>
      <c r="G8116" s="2" t="s">
        <v>11</v>
      </c>
    </row>
    <row r="8117" spans="1:9" x14ac:dyDescent="0.2">
      <c r="A8117" s="2" t="s">
        <v>3250</v>
      </c>
      <c r="B8117" s="2" t="s">
        <v>356</v>
      </c>
      <c r="C8117" s="2">
        <v>816.29769999999996</v>
      </c>
      <c r="D8117" s="2">
        <f>HYPERLINK("http://mcb-m6.bioreg.kyushu-u.ac.jp/M3/20110414/F50944/2406/1", 65.37)</f>
        <v>65.37</v>
      </c>
      <c r="E8117" s="2">
        <v>38.31</v>
      </c>
      <c r="F8117" s="2">
        <v>2</v>
      </c>
      <c r="G8117" s="2" t="s">
        <v>11</v>
      </c>
    </row>
    <row r="8118" spans="1:9" x14ac:dyDescent="0.2">
      <c r="A8118" s="2" t="s">
        <v>3250</v>
      </c>
      <c r="B8118" s="2" t="s">
        <v>365</v>
      </c>
      <c r="C8118" s="2">
        <v>849.11320000000001</v>
      </c>
      <c r="D8118" s="2">
        <f>HYPERLINK("http://mcb-m6.bioreg.kyushu-u.ac.jp/M3/20110414/F50926/2545/1", 65.6)</f>
        <v>65.599999999999994</v>
      </c>
      <c r="E8118" s="2">
        <v>45.45</v>
      </c>
      <c r="F8118" s="2">
        <v>2</v>
      </c>
      <c r="G8118" s="2" t="s">
        <v>11</v>
      </c>
    </row>
    <row r="8119" spans="1:9" x14ac:dyDescent="0.2">
      <c r="A8119" s="2" t="s">
        <v>3250</v>
      </c>
      <c r="B8119" s="2" t="s">
        <v>481</v>
      </c>
      <c r="C8119" s="2">
        <v>709.79970000000003</v>
      </c>
      <c r="D8119" s="2">
        <f>HYPERLINK("http://mcb-m6.bioreg.kyushu-u.ac.jp/M3/20110414/F50925/2069/1", 65.79)</f>
        <v>65.790000000000006</v>
      </c>
      <c r="E8119" s="2">
        <v>47.58</v>
      </c>
      <c r="F8119" s="2">
        <v>2</v>
      </c>
      <c r="G8119" s="2" t="s">
        <v>11</v>
      </c>
      <c r="I8119" s="2" t="s">
        <v>4898</v>
      </c>
    </row>
    <row r="8120" spans="1:9" x14ac:dyDescent="0.2">
      <c r="A8120" s="2" t="s">
        <v>3250</v>
      </c>
      <c r="B8120" s="2" t="s">
        <v>365</v>
      </c>
      <c r="C8120" s="2">
        <v>1696.59</v>
      </c>
      <c r="D8120" s="2">
        <f>HYPERLINK("http://mcb-m6.bioreg.kyushu-u.ac.jp/M3/20110414/F50941/2661/1", 65.91)</f>
        <v>65.91</v>
      </c>
      <c r="E8120" s="2">
        <v>52</v>
      </c>
      <c r="F8120" s="2">
        <v>1</v>
      </c>
      <c r="G8120" s="2" t="s">
        <v>11</v>
      </c>
    </row>
    <row r="8121" spans="1:9" x14ac:dyDescent="0.2">
      <c r="A8121" s="2" t="s">
        <v>3250</v>
      </c>
      <c r="B8121" s="2" t="s">
        <v>90</v>
      </c>
      <c r="C8121" s="2">
        <v>716.91769999999997</v>
      </c>
      <c r="D8121" s="2">
        <f>HYPERLINK("http://mcb-m6.bioreg.kyushu-u.ac.jp/M3/20110414/F50957/1743/1", 66.43)</f>
        <v>66.430000000000007</v>
      </c>
      <c r="E8121" s="2">
        <v>33.090000000000003</v>
      </c>
      <c r="F8121" s="2">
        <v>2</v>
      </c>
      <c r="G8121" s="2" t="s">
        <v>11</v>
      </c>
    </row>
    <row r="8122" spans="1:9" x14ac:dyDescent="0.2">
      <c r="A8122" s="2" t="s">
        <v>3250</v>
      </c>
      <c r="B8122" s="2" t="s">
        <v>90</v>
      </c>
      <c r="C8122" s="2">
        <v>716.86609999999996</v>
      </c>
      <c r="D8122" s="2">
        <f>HYPERLINK("http://mcb-m6.bioreg.kyushu-u.ac.jp/M3/20110414/F50956/1758/1", 66.77)</f>
        <v>66.77</v>
      </c>
      <c r="E8122" s="2">
        <v>25.25</v>
      </c>
      <c r="F8122" s="2">
        <v>2</v>
      </c>
      <c r="G8122" s="2" t="s">
        <v>11</v>
      </c>
    </row>
    <row r="8123" spans="1:9" x14ac:dyDescent="0.2">
      <c r="A8123" s="2" t="s">
        <v>3250</v>
      </c>
      <c r="B8123" s="2" t="s">
        <v>561</v>
      </c>
      <c r="C8123" s="2">
        <v>1323.489</v>
      </c>
      <c r="D8123" s="2">
        <f>HYPERLINK("http://mcb-m6.bioreg.kyushu-u.ac.jp/M3/20110414/F50924/1667/1", 66.93)</f>
        <v>66.930000000000007</v>
      </c>
      <c r="E8123" s="2">
        <v>50.7</v>
      </c>
      <c r="F8123" s="2">
        <v>1</v>
      </c>
      <c r="G8123" s="2" t="s">
        <v>11</v>
      </c>
      <c r="H8123" s="2" t="s">
        <v>4919</v>
      </c>
    </row>
    <row r="8124" spans="1:9" x14ac:dyDescent="0.2">
      <c r="A8124" s="2" t="s">
        <v>3250</v>
      </c>
      <c r="B8124" s="2" t="s">
        <v>356</v>
      </c>
      <c r="C8124" s="2">
        <v>815.78769999999997</v>
      </c>
      <c r="D8124" s="2">
        <f>HYPERLINK("http://mcb-m6.bioreg.kyushu-u.ac.jp/M3/20110414/F50942/2343/1", 66.97)</f>
        <v>66.97</v>
      </c>
      <c r="E8124" s="2">
        <v>54.44</v>
      </c>
      <c r="F8124" s="2">
        <v>2</v>
      </c>
      <c r="G8124" s="2" t="s">
        <v>11</v>
      </c>
    </row>
    <row r="8125" spans="1:9" x14ac:dyDescent="0.2">
      <c r="A8125" s="2" t="s">
        <v>3250</v>
      </c>
      <c r="B8125" s="2" t="s">
        <v>175</v>
      </c>
      <c r="C8125" s="2">
        <v>784.84619999999995</v>
      </c>
      <c r="D8125" s="2">
        <f>HYPERLINK("http://mcb-m6.bioreg.kyushu-u.ac.jp/M3/20110414/F50943/2169/1", 67.01)</f>
        <v>67.010000000000005</v>
      </c>
      <c r="E8125" s="2">
        <v>49.78</v>
      </c>
      <c r="F8125" s="2">
        <v>2</v>
      </c>
      <c r="G8125" s="2" t="s">
        <v>11</v>
      </c>
      <c r="I8125" s="2" t="s">
        <v>4893</v>
      </c>
    </row>
    <row r="8126" spans="1:9" x14ac:dyDescent="0.2">
      <c r="A8126" s="2" t="s">
        <v>3250</v>
      </c>
      <c r="B8126" s="2" t="s">
        <v>365</v>
      </c>
      <c r="C8126" s="2">
        <v>1697.076</v>
      </c>
      <c r="D8126" s="2">
        <f>HYPERLINK("http://mcb-m6.bioreg.kyushu-u.ac.jp/M3/20110414/F50956/2702/1", 67.02)</f>
        <v>67.02</v>
      </c>
      <c r="E8126" s="2">
        <v>49.68</v>
      </c>
      <c r="F8126" s="2">
        <v>1</v>
      </c>
      <c r="G8126" s="2" t="s">
        <v>11</v>
      </c>
    </row>
    <row r="8127" spans="1:9" x14ac:dyDescent="0.2">
      <c r="A8127" s="2" t="s">
        <v>3250</v>
      </c>
      <c r="B8127" s="2" t="s">
        <v>467</v>
      </c>
      <c r="C8127" s="2">
        <v>692.11609999999996</v>
      </c>
      <c r="D8127" s="2">
        <f>HYPERLINK("http://mcb-m6.bioreg.kyushu-u.ac.jp/M3/20110414/F50957/1569/1", 67.15)</f>
        <v>67.150000000000006</v>
      </c>
      <c r="E8127" s="2">
        <v>39.99</v>
      </c>
      <c r="F8127" s="2">
        <v>2</v>
      </c>
      <c r="G8127" s="2" t="s">
        <v>11</v>
      </c>
    </row>
    <row r="8128" spans="1:9" x14ac:dyDescent="0.2">
      <c r="A8128" s="2" t="s">
        <v>3250</v>
      </c>
      <c r="B8128" s="2" t="s">
        <v>481</v>
      </c>
      <c r="C8128" s="2">
        <v>709.18269999999995</v>
      </c>
      <c r="D8128" s="2">
        <f>HYPERLINK("http://mcb-m6.bioreg.kyushu-u.ac.jp/M3/20110414/F50956/1693/1", 67.25)</f>
        <v>67.25</v>
      </c>
      <c r="E8128" s="2">
        <v>48.82</v>
      </c>
      <c r="F8128" s="2">
        <v>2</v>
      </c>
      <c r="G8128" s="2" t="s">
        <v>11</v>
      </c>
      <c r="I8128" s="2" t="s">
        <v>4898</v>
      </c>
    </row>
    <row r="8129" spans="1:9" x14ac:dyDescent="0.2">
      <c r="A8129" s="2" t="s">
        <v>3250</v>
      </c>
      <c r="B8129" s="2" t="s">
        <v>356</v>
      </c>
      <c r="C8129" s="2">
        <v>816.21169999999995</v>
      </c>
      <c r="D8129" s="2">
        <f>HYPERLINK("http://mcb-m6.bioreg.kyushu-u.ac.jp/M3/20110414/F50956/2462/1", 67.28)</f>
        <v>67.28</v>
      </c>
      <c r="E8129" s="2">
        <v>49.44</v>
      </c>
      <c r="F8129" s="2">
        <v>2</v>
      </c>
      <c r="G8129" s="2" t="s">
        <v>11</v>
      </c>
    </row>
    <row r="8130" spans="1:9" x14ac:dyDescent="0.2">
      <c r="A8130" s="2" t="s">
        <v>3250</v>
      </c>
      <c r="B8130" s="2" t="s">
        <v>561</v>
      </c>
      <c r="C8130" s="2">
        <v>662.70119999999997</v>
      </c>
      <c r="D8130" s="2">
        <f>HYPERLINK("http://mcb-m6.bioreg.kyushu-u.ac.jp/M3/20110414/F50957/1355/1", 67.32)</f>
        <v>67.319999999999993</v>
      </c>
      <c r="E8130" s="2">
        <v>45.68</v>
      </c>
      <c r="F8130" s="2">
        <v>2</v>
      </c>
      <c r="G8130" s="2" t="s">
        <v>11</v>
      </c>
      <c r="H8130" s="2" t="s">
        <v>4919</v>
      </c>
    </row>
    <row r="8131" spans="1:9" x14ac:dyDescent="0.2">
      <c r="A8131" s="2" t="s">
        <v>3250</v>
      </c>
      <c r="B8131" s="2" t="s">
        <v>467</v>
      </c>
      <c r="C8131" s="2">
        <v>692.02919999999995</v>
      </c>
      <c r="D8131" s="2">
        <f>HYPERLINK("http://mcb-m6.bioreg.kyushu-u.ac.jp/M3/20110414/F50956/1590/1", 67.42)</f>
        <v>67.42</v>
      </c>
      <c r="E8131" s="2">
        <v>44.16</v>
      </c>
      <c r="F8131" s="2">
        <v>2</v>
      </c>
      <c r="G8131" s="2" t="s">
        <v>11</v>
      </c>
    </row>
    <row r="8132" spans="1:9" x14ac:dyDescent="0.2">
      <c r="A8132" s="2" t="s">
        <v>3250</v>
      </c>
      <c r="B8132" s="2" t="s">
        <v>356</v>
      </c>
      <c r="C8132" s="2">
        <v>816.31920000000002</v>
      </c>
      <c r="D8132" s="2">
        <f>HYPERLINK("http://mcb-m6.bioreg.kyushu-u.ac.jp/M3/20110414/F50956/2465/1", 67.59)</f>
        <v>67.59</v>
      </c>
      <c r="E8132" s="2">
        <v>50.85</v>
      </c>
      <c r="F8132" s="2">
        <v>2</v>
      </c>
      <c r="G8132" s="2" t="s">
        <v>11</v>
      </c>
    </row>
    <row r="8133" spans="1:9" x14ac:dyDescent="0.2">
      <c r="A8133" s="2" t="s">
        <v>3250</v>
      </c>
      <c r="B8133" s="2" t="s">
        <v>90</v>
      </c>
      <c r="C8133" s="2">
        <v>1432.5350000000001</v>
      </c>
      <c r="D8133" s="2">
        <f>HYPERLINK("http://mcb-m6.bioreg.kyushu-u.ac.jp/M3/20110414/F50925/2118/1", 67.64)</f>
        <v>67.64</v>
      </c>
      <c r="E8133" s="2">
        <v>42.61</v>
      </c>
      <c r="F8133" s="2">
        <v>1</v>
      </c>
      <c r="G8133" s="2" t="s">
        <v>11</v>
      </c>
    </row>
    <row r="8134" spans="1:9" x14ac:dyDescent="0.2">
      <c r="A8134" s="2" t="s">
        <v>3250</v>
      </c>
      <c r="B8134" s="2" t="s">
        <v>561</v>
      </c>
      <c r="C8134" s="2">
        <v>662.68619999999999</v>
      </c>
      <c r="D8134" s="2">
        <f>HYPERLINK("http://mcb-m6.bioreg.kyushu-u.ac.jp/M3/20110414/F50956/1397/1", 67.74)</f>
        <v>67.739999999999995</v>
      </c>
      <c r="E8134" s="2">
        <v>44.69</v>
      </c>
      <c r="F8134" s="2">
        <v>2</v>
      </c>
      <c r="G8134" s="2" t="s">
        <v>11</v>
      </c>
      <c r="H8134" s="2" t="s">
        <v>4919</v>
      </c>
    </row>
    <row r="8135" spans="1:9" x14ac:dyDescent="0.2">
      <c r="A8135" s="2" t="s">
        <v>3250</v>
      </c>
      <c r="B8135" s="2" t="s">
        <v>365</v>
      </c>
      <c r="C8135" s="2">
        <v>849.24869999999999</v>
      </c>
      <c r="D8135" s="2">
        <f>HYPERLINK("http://mcb-m6.bioreg.kyushu-u.ac.jp/M3/20110414/F50957/2594/1", 67.79)</f>
        <v>67.790000000000006</v>
      </c>
      <c r="E8135" s="2">
        <v>49.22</v>
      </c>
      <c r="F8135" s="2">
        <v>2</v>
      </c>
      <c r="G8135" s="2" t="s">
        <v>11</v>
      </c>
    </row>
    <row r="8136" spans="1:9" x14ac:dyDescent="0.2">
      <c r="A8136" s="2" t="s">
        <v>3250</v>
      </c>
      <c r="B8136" s="2" t="s">
        <v>365</v>
      </c>
      <c r="C8136" s="2">
        <v>849.33169999999996</v>
      </c>
      <c r="D8136" s="2">
        <f>HYPERLINK("http://mcb-m6.bioreg.kyushu-u.ac.jp/M3/20110414/F50925/2560/1", 67.84)</f>
        <v>67.84</v>
      </c>
      <c r="E8136" s="2">
        <v>46.59</v>
      </c>
      <c r="F8136" s="2">
        <v>2</v>
      </c>
      <c r="G8136" s="2" t="s">
        <v>11</v>
      </c>
    </row>
    <row r="8137" spans="1:9" x14ac:dyDescent="0.2">
      <c r="A8137" s="2" t="s">
        <v>3250</v>
      </c>
      <c r="B8137" s="2" t="s">
        <v>561</v>
      </c>
      <c r="C8137" s="2">
        <v>654.63210000000004</v>
      </c>
      <c r="D8137" s="2">
        <f>HYPERLINK("http://mcb-m6.bioreg.kyushu-u.ac.jp/M3/20110414/F50956/1346/1", 68.03)</f>
        <v>68.03</v>
      </c>
      <c r="E8137" s="2">
        <v>46.54</v>
      </c>
      <c r="F8137" s="2">
        <v>2</v>
      </c>
      <c r="G8137" s="2" t="s">
        <v>11</v>
      </c>
    </row>
    <row r="8138" spans="1:9" x14ac:dyDescent="0.2">
      <c r="A8138" s="2" t="s">
        <v>3250</v>
      </c>
      <c r="B8138" s="2" t="s">
        <v>311</v>
      </c>
      <c r="C8138" s="2">
        <v>598.91269999999997</v>
      </c>
      <c r="D8138" s="2">
        <f>HYPERLINK("http://mcb-m6.bioreg.kyushu-u.ac.jp/M3/20110414/F50944/1558/1", 68.19)</f>
        <v>68.19</v>
      </c>
      <c r="E8138" s="2">
        <v>45.09</v>
      </c>
      <c r="F8138" s="2">
        <v>2</v>
      </c>
      <c r="G8138" s="2" t="s">
        <v>11</v>
      </c>
    </row>
    <row r="8139" spans="1:9" x14ac:dyDescent="0.2">
      <c r="A8139" s="2" t="s">
        <v>3250</v>
      </c>
      <c r="B8139" s="2" t="s">
        <v>311</v>
      </c>
      <c r="C8139" s="2">
        <v>606.70069999999998</v>
      </c>
      <c r="D8139" s="2">
        <f>HYPERLINK("http://mcb-m6.bioreg.kyushu-u.ac.jp/M3/20110414/F50957/1019/1", 68.22)</f>
        <v>68.22</v>
      </c>
      <c r="E8139" s="2">
        <v>49.34</v>
      </c>
      <c r="F8139" s="2">
        <v>2</v>
      </c>
      <c r="G8139" s="2" t="s">
        <v>11</v>
      </c>
      <c r="H8139" s="2" t="s">
        <v>4908</v>
      </c>
    </row>
    <row r="8140" spans="1:9" x14ac:dyDescent="0.2">
      <c r="A8140" s="2" t="s">
        <v>3250</v>
      </c>
      <c r="B8140" s="2" t="s">
        <v>90</v>
      </c>
      <c r="C8140" s="2">
        <v>716.6866</v>
      </c>
      <c r="D8140" s="2">
        <f>HYPERLINK("http://mcb-m6.bioreg.kyushu-u.ac.jp/M3/20110414/F50957/1732/1", 68.24)</f>
        <v>68.239999999999995</v>
      </c>
      <c r="E8140" s="2">
        <v>36.94</v>
      </c>
      <c r="F8140" s="2">
        <v>2</v>
      </c>
      <c r="G8140" s="2" t="s">
        <v>11</v>
      </c>
    </row>
    <row r="8141" spans="1:9" x14ac:dyDescent="0.2">
      <c r="A8141" s="2" t="s">
        <v>3250</v>
      </c>
      <c r="B8141" s="2" t="s">
        <v>561</v>
      </c>
      <c r="C8141" s="2">
        <v>654.05619999999999</v>
      </c>
      <c r="D8141" s="2">
        <f>HYPERLINK("http://mcb-m6.bioreg.kyushu-u.ac.jp/M3/20110414/F50956/1341/1", 68.26)</f>
        <v>68.260000000000005</v>
      </c>
      <c r="E8141" s="2">
        <v>40.17</v>
      </c>
      <c r="F8141" s="2">
        <v>2</v>
      </c>
      <c r="G8141" s="2" t="s">
        <v>11</v>
      </c>
    </row>
    <row r="8142" spans="1:9" x14ac:dyDescent="0.2">
      <c r="A8142" s="2" t="s">
        <v>3250</v>
      </c>
      <c r="B8142" s="2" t="s">
        <v>1065</v>
      </c>
      <c r="C8142" s="2">
        <v>716.82510000000002</v>
      </c>
      <c r="D8142" s="2">
        <f>HYPERLINK("http://mcb-m6.bioreg.kyushu-u.ac.jp/M3/20110414/F50942/1747/1", 68.44)</f>
        <v>68.44</v>
      </c>
      <c r="E8142" s="2">
        <v>51.11</v>
      </c>
      <c r="F8142" s="2">
        <v>2</v>
      </c>
      <c r="G8142" s="2" t="s">
        <v>11</v>
      </c>
      <c r="I8142" s="2" t="s">
        <v>4892</v>
      </c>
    </row>
    <row r="8143" spans="1:9" x14ac:dyDescent="0.2">
      <c r="A8143" s="2" t="s">
        <v>3250</v>
      </c>
      <c r="B8143" s="2" t="s">
        <v>467</v>
      </c>
      <c r="C8143" s="2">
        <v>1382.5550000000001</v>
      </c>
      <c r="D8143" s="2">
        <f>HYPERLINK("http://mcb-m6.bioreg.kyushu-u.ac.jp/M3/20110414/F50925/1993/1", 68.71)</f>
        <v>68.709999999999994</v>
      </c>
      <c r="E8143" s="2">
        <v>56.01</v>
      </c>
      <c r="F8143" s="2">
        <v>1</v>
      </c>
      <c r="G8143" s="2" t="s">
        <v>11</v>
      </c>
    </row>
    <row r="8144" spans="1:9" x14ac:dyDescent="0.2">
      <c r="A8144" s="2" t="s">
        <v>3250</v>
      </c>
      <c r="B8144" s="2" t="s">
        <v>467</v>
      </c>
      <c r="C8144" s="2">
        <v>1382.692</v>
      </c>
      <c r="D8144" s="2">
        <f>HYPERLINK("http://mcb-m6.bioreg.kyushu-u.ac.jp/M3/20110414/F50944/1841/1", 68.76)</f>
        <v>68.760000000000005</v>
      </c>
      <c r="E8144" s="2">
        <v>53.68</v>
      </c>
      <c r="F8144" s="2">
        <v>1</v>
      </c>
      <c r="G8144" s="2" t="s">
        <v>11</v>
      </c>
    </row>
    <row r="8145" spans="1:9" x14ac:dyDescent="0.2">
      <c r="A8145" s="2" t="s">
        <v>3250</v>
      </c>
      <c r="B8145" s="2" t="s">
        <v>481</v>
      </c>
      <c r="C8145" s="2">
        <v>709.45619999999997</v>
      </c>
      <c r="D8145" s="2">
        <f>HYPERLINK("http://mcb-m6.bioreg.kyushu-u.ac.jp/M3/20110414/F50944/1920/1", 68.81)</f>
        <v>68.81</v>
      </c>
      <c r="E8145" s="2">
        <v>49.35</v>
      </c>
      <c r="F8145" s="2">
        <v>2</v>
      </c>
      <c r="G8145" s="2" t="s">
        <v>11</v>
      </c>
      <c r="I8145" s="2" t="s">
        <v>4898</v>
      </c>
    </row>
    <row r="8146" spans="1:9" x14ac:dyDescent="0.2">
      <c r="A8146" s="2" t="s">
        <v>3250</v>
      </c>
      <c r="B8146" s="2" t="s">
        <v>467</v>
      </c>
      <c r="C8146" s="2">
        <v>692.16020000000003</v>
      </c>
      <c r="D8146" s="2">
        <f>HYPERLINK("http://mcb-m6.bioreg.kyushu-u.ac.jp/M3/20110414/F50956/1592/1", 69.14)</f>
        <v>69.14</v>
      </c>
      <c r="E8146" s="2">
        <v>44.8</v>
      </c>
      <c r="F8146" s="2">
        <v>2</v>
      </c>
      <c r="G8146" s="2" t="s">
        <v>11</v>
      </c>
    </row>
    <row r="8147" spans="1:9" x14ac:dyDescent="0.2">
      <c r="A8147" s="2" t="s">
        <v>3250</v>
      </c>
      <c r="B8147" s="2" t="s">
        <v>481</v>
      </c>
      <c r="C8147" s="2">
        <v>709.76369999999997</v>
      </c>
      <c r="D8147" s="2">
        <f>HYPERLINK("http://mcb-m6.bioreg.kyushu-u.ac.jp/M3/20110414/F50924/1952/1", 69.31)</f>
        <v>69.31</v>
      </c>
      <c r="E8147" s="2">
        <v>50.91</v>
      </c>
      <c r="F8147" s="2">
        <v>2</v>
      </c>
      <c r="G8147" s="2" t="s">
        <v>11</v>
      </c>
      <c r="I8147" s="2" t="s">
        <v>4898</v>
      </c>
    </row>
    <row r="8148" spans="1:9" x14ac:dyDescent="0.2">
      <c r="A8148" s="2" t="s">
        <v>3250</v>
      </c>
      <c r="B8148" s="2" t="s">
        <v>467</v>
      </c>
      <c r="C8148" s="2">
        <v>692.14419999999996</v>
      </c>
      <c r="D8148" s="2">
        <f>HYPERLINK("http://mcb-m6.bioreg.kyushu-u.ac.jp/M3/20110414/F50928/2036/1", 69.51)</f>
        <v>69.510000000000005</v>
      </c>
      <c r="E8148" s="2">
        <v>40.89</v>
      </c>
      <c r="F8148" s="2">
        <v>2</v>
      </c>
      <c r="G8148" s="2" t="s">
        <v>11</v>
      </c>
    </row>
    <row r="8149" spans="1:9" x14ac:dyDescent="0.2">
      <c r="A8149" s="2" t="s">
        <v>3250</v>
      </c>
      <c r="B8149" s="2" t="s">
        <v>1065</v>
      </c>
      <c r="C8149" s="2">
        <v>717.19709999999998</v>
      </c>
      <c r="D8149" s="2">
        <f>HYPERLINK("http://mcb-m6.bioreg.kyushu-u.ac.jp/M3/20110414/F50957/1748/1", 69.58)</f>
        <v>69.58</v>
      </c>
      <c r="E8149" s="2">
        <v>58.39</v>
      </c>
      <c r="F8149" s="2">
        <v>2</v>
      </c>
      <c r="G8149" s="2" t="s">
        <v>11</v>
      </c>
      <c r="I8149" s="2" t="s">
        <v>4892</v>
      </c>
    </row>
    <row r="8150" spans="1:9" x14ac:dyDescent="0.2">
      <c r="A8150" s="2" t="s">
        <v>3250</v>
      </c>
      <c r="B8150" s="2" t="s">
        <v>365</v>
      </c>
      <c r="C8150" s="2">
        <v>849.11069999999995</v>
      </c>
      <c r="D8150" s="2">
        <f>HYPERLINK("http://mcb-m6.bioreg.kyushu-u.ac.jp/M3/20110414/F50928/2776/1", 69.65)</f>
        <v>69.650000000000006</v>
      </c>
      <c r="E8150" s="2">
        <v>49.54</v>
      </c>
      <c r="F8150" s="2">
        <v>2</v>
      </c>
      <c r="G8150" s="2" t="s">
        <v>11</v>
      </c>
    </row>
    <row r="8151" spans="1:9" x14ac:dyDescent="0.2">
      <c r="A8151" s="2" t="s">
        <v>3250</v>
      </c>
      <c r="B8151" s="2" t="s">
        <v>561</v>
      </c>
      <c r="C8151" s="2">
        <v>662.24620000000004</v>
      </c>
      <c r="D8151" s="2">
        <f>HYPERLINK("http://mcb-m6.bioreg.kyushu-u.ac.jp/M3/20110414/F50956/1393/1", 69.66)</f>
        <v>69.66</v>
      </c>
      <c r="E8151" s="2">
        <v>53.93</v>
      </c>
      <c r="F8151" s="2">
        <v>2</v>
      </c>
      <c r="G8151" s="2" t="s">
        <v>11</v>
      </c>
      <c r="H8151" s="2" t="s">
        <v>4919</v>
      </c>
    </row>
    <row r="8152" spans="1:9" x14ac:dyDescent="0.2">
      <c r="A8152" s="2" t="s">
        <v>3250</v>
      </c>
      <c r="B8152" s="2" t="s">
        <v>365</v>
      </c>
      <c r="C8152" s="2">
        <v>849.29819999999995</v>
      </c>
      <c r="D8152" s="2">
        <f>HYPERLINK("http://mcb-m6.bioreg.kyushu-u.ac.jp/M3/20110414/F50956/2707/1", 69.9)</f>
        <v>69.900000000000006</v>
      </c>
      <c r="E8152" s="2">
        <v>52.03</v>
      </c>
      <c r="F8152" s="2">
        <v>2</v>
      </c>
      <c r="G8152" s="2" t="s">
        <v>11</v>
      </c>
    </row>
    <row r="8153" spans="1:9" x14ac:dyDescent="0.2">
      <c r="A8153" s="2" t="s">
        <v>3250</v>
      </c>
      <c r="B8153" s="2" t="s">
        <v>503</v>
      </c>
      <c r="C8153" s="2">
        <v>816.2867</v>
      </c>
      <c r="D8153" s="2">
        <f>HYPERLINK("http://mcb-m6.bioreg.kyushu-u.ac.jp/M3/20110414/F50956/2463/1", 70.34)</f>
        <v>70.34</v>
      </c>
      <c r="E8153" s="2">
        <v>59.68</v>
      </c>
      <c r="F8153" s="2">
        <v>2</v>
      </c>
      <c r="G8153" s="2" t="s">
        <v>11</v>
      </c>
      <c r="H8153" s="2" t="s">
        <v>4907</v>
      </c>
    </row>
    <row r="8154" spans="1:9" x14ac:dyDescent="0.2">
      <c r="A8154" s="2" t="s">
        <v>3250</v>
      </c>
      <c r="B8154" s="2" t="s">
        <v>561</v>
      </c>
      <c r="C8154" s="2">
        <v>662.6472</v>
      </c>
      <c r="D8154" s="2">
        <f>HYPERLINK("http://mcb-m6.bioreg.kyushu-u.ac.jp/M3/20110414/F50956/1396/1", 70.59)</f>
        <v>70.59</v>
      </c>
      <c r="E8154" s="2">
        <v>53.31</v>
      </c>
      <c r="F8154" s="2">
        <v>2</v>
      </c>
      <c r="G8154" s="2" t="s">
        <v>11</v>
      </c>
      <c r="H8154" s="2" t="s">
        <v>4919</v>
      </c>
    </row>
    <row r="8155" spans="1:9" x14ac:dyDescent="0.2">
      <c r="A8155" s="2" t="s">
        <v>3250</v>
      </c>
      <c r="B8155" s="2" t="s">
        <v>467</v>
      </c>
      <c r="C8155" s="2">
        <v>691.89170000000001</v>
      </c>
      <c r="D8155" s="2">
        <f>HYPERLINK("http://mcb-m6.bioreg.kyushu-u.ac.jp/M3/20110414/F50957/1565/1", 70.59)</f>
        <v>70.59</v>
      </c>
      <c r="E8155" s="2">
        <v>43.74</v>
      </c>
      <c r="F8155" s="2">
        <v>2</v>
      </c>
      <c r="G8155" s="2" t="s">
        <v>11</v>
      </c>
    </row>
    <row r="8156" spans="1:9" x14ac:dyDescent="0.2">
      <c r="A8156" s="2" t="s">
        <v>3250</v>
      </c>
      <c r="B8156" s="2" t="s">
        <v>90</v>
      </c>
      <c r="C8156" s="2">
        <v>717.16769999999997</v>
      </c>
      <c r="D8156" s="2">
        <f>HYPERLINK("http://mcb-m6.bioreg.kyushu-u.ac.jp/M3/20110414/F50957/1746/1", 70.67)</f>
        <v>70.67</v>
      </c>
      <c r="E8156" s="2">
        <v>32.93</v>
      </c>
      <c r="F8156" s="2">
        <v>2</v>
      </c>
      <c r="G8156" s="2" t="s">
        <v>11</v>
      </c>
    </row>
    <row r="8157" spans="1:9" x14ac:dyDescent="0.2">
      <c r="A8157" s="2" t="s">
        <v>3250</v>
      </c>
      <c r="B8157" s="2" t="s">
        <v>365</v>
      </c>
      <c r="C8157" s="2">
        <v>849.26170000000002</v>
      </c>
      <c r="D8157" s="2">
        <f>HYPERLINK("http://mcb-m6.bioreg.kyushu-u.ac.jp/M3/20110414/F50956/2706/1", 70.93)</f>
        <v>70.930000000000007</v>
      </c>
      <c r="E8157" s="2">
        <v>50.88</v>
      </c>
      <c r="F8157" s="2">
        <v>2</v>
      </c>
      <c r="G8157" s="2" t="s">
        <v>11</v>
      </c>
    </row>
    <row r="8158" spans="1:9" x14ac:dyDescent="0.2">
      <c r="A8158" s="2" t="s">
        <v>3250</v>
      </c>
      <c r="B8158" s="2" t="s">
        <v>1065</v>
      </c>
      <c r="C8158" s="2">
        <v>717.38919999999996</v>
      </c>
      <c r="D8158" s="2">
        <f>HYPERLINK("http://mcb-m6.bioreg.kyushu-u.ac.jp/M3/20110414/F50943/1739/1", 71.18)</f>
        <v>71.180000000000007</v>
      </c>
      <c r="E8158" s="2">
        <v>60.13</v>
      </c>
      <c r="F8158" s="2">
        <v>2</v>
      </c>
      <c r="G8158" s="2" t="s">
        <v>11</v>
      </c>
      <c r="I8158" s="2" t="s">
        <v>4892</v>
      </c>
    </row>
    <row r="8159" spans="1:9" x14ac:dyDescent="0.2">
      <c r="A8159" s="2" t="s">
        <v>3250</v>
      </c>
      <c r="B8159" s="2" t="s">
        <v>356</v>
      </c>
      <c r="C8159" s="2">
        <v>815.71010000000001</v>
      </c>
      <c r="D8159" s="2">
        <f>HYPERLINK("http://mcb-m6.bioreg.kyushu-u.ac.jp/M3/20110414/F50956/2453/1", 71.33)</f>
        <v>71.33</v>
      </c>
      <c r="E8159" s="2">
        <v>49.6</v>
      </c>
      <c r="F8159" s="2">
        <v>2</v>
      </c>
      <c r="G8159" s="2" t="s">
        <v>11</v>
      </c>
    </row>
    <row r="8160" spans="1:9" x14ac:dyDescent="0.2">
      <c r="A8160" s="2" t="s">
        <v>3250</v>
      </c>
      <c r="B8160" s="2" t="s">
        <v>365</v>
      </c>
      <c r="C8160" s="2">
        <v>848.8347</v>
      </c>
      <c r="D8160" s="2">
        <f>HYPERLINK("http://mcb-m6.bioreg.kyushu-u.ac.jp/M3/20110414/F50927/2730/1", 71.5)</f>
        <v>71.5</v>
      </c>
      <c r="E8160" s="2">
        <v>50.11</v>
      </c>
      <c r="F8160" s="2">
        <v>2</v>
      </c>
      <c r="G8160" s="2" t="s">
        <v>11</v>
      </c>
    </row>
    <row r="8161" spans="1:9" x14ac:dyDescent="0.2">
      <c r="A8161" s="2" t="s">
        <v>3250</v>
      </c>
      <c r="B8161" s="2" t="s">
        <v>481</v>
      </c>
      <c r="C8161" s="2">
        <v>709.32069999999999</v>
      </c>
      <c r="D8161" s="2">
        <f>HYPERLINK("http://mcb-m6.bioreg.kyushu-u.ac.jp/M3/20110414/F50927/2138/1", 71.69)</f>
        <v>71.69</v>
      </c>
      <c r="E8161" s="2">
        <v>41.72</v>
      </c>
      <c r="F8161" s="2">
        <v>2</v>
      </c>
      <c r="G8161" s="2" t="s">
        <v>11</v>
      </c>
      <c r="I8161" s="2" t="s">
        <v>4898</v>
      </c>
    </row>
    <row r="8162" spans="1:9" x14ac:dyDescent="0.2">
      <c r="A8162" s="2" t="s">
        <v>3250</v>
      </c>
      <c r="B8162" s="2" t="s">
        <v>772</v>
      </c>
      <c r="C8162" s="2">
        <v>596.14760000000001</v>
      </c>
      <c r="D8162" s="2">
        <f>HYPERLINK("http://mcb-m6.bioreg.kyushu-u.ac.jp/M3/20110414/F50957/968/1", 71.74)</f>
        <v>71.739999999999995</v>
      </c>
      <c r="E8162" s="2">
        <v>47.59</v>
      </c>
      <c r="F8162" s="2">
        <v>2</v>
      </c>
      <c r="G8162" s="2" t="s">
        <v>11</v>
      </c>
    </row>
    <row r="8163" spans="1:9" x14ac:dyDescent="0.2">
      <c r="A8163" s="2" t="s">
        <v>3250</v>
      </c>
      <c r="B8163" s="2" t="s">
        <v>467</v>
      </c>
      <c r="C8163" s="2">
        <v>692.17909999999995</v>
      </c>
      <c r="D8163" s="2">
        <f>HYPERLINK("http://mcb-m6.bioreg.kyushu-u.ac.jp/M3/20110414/F50956/1594/1", 71.86)</f>
        <v>71.86</v>
      </c>
      <c r="E8163" s="2">
        <v>46.22</v>
      </c>
      <c r="F8163" s="2">
        <v>2</v>
      </c>
      <c r="G8163" s="2" t="s">
        <v>11</v>
      </c>
    </row>
    <row r="8164" spans="1:9" x14ac:dyDescent="0.2">
      <c r="A8164" s="2" t="s">
        <v>3250</v>
      </c>
      <c r="B8164" s="2" t="s">
        <v>102</v>
      </c>
      <c r="C8164" s="2">
        <v>616.69820000000004</v>
      </c>
      <c r="D8164" s="2">
        <f>HYPERLINK("http://mcb-m6.bioreg.kyushu-u.ac.jp/M3/20110414/F50957/1085/1", 71.91)</f>
        <v>71.91</v>
      </c>
      <c r="E8164" s="2">
        <v>54.91</v>
      </c>
      <c r="F8164" s="2">
        <v>2</v>
      </c>
      <c r="G8164" s="2" t="s">
        <v>11</v>
      </c>
      <c r="H8164" s="2" t="s">
        <v>4900</v>
      </c>
    </row>
    <row r="8165" spans="1:9" x14ac:dyDescent="0.2">
      <c r="A8165" s="2" t="s">
        <v>3250</v>
      </c>
      <c r="B8165" s="2" t="s">
        <v>467</v>
      </c>
      <c r="C8165" s="2">
        <v>1382.5050000000001</v>
      </c>
      <c r="D8165" s="2">
        <f>HYPERLINK("http://mcb-m6.bioreg.kyushu-u.ac.jp/M3/20110414/F50957/1562/1", 72)</f>
        <v>72</v>
      </c>
      <c r="E8165" s="2">
        <v>54.31</v>
      </c>
      <c r="F8165" s="2">
        <v>1</v>
      </c>
      <c r="G8165" s="2" t="s">
        <v>11</v>
      </c>
    </row>
    <row r="8166" spans="1:9" x14ac:dyDescent="0.2">
      <c r="A8166" s="2" t="s">
        <v>3250</v>
      </c>
      <c r="B8166" s="2" t="s">
        <v>365</v>
      </c>
      <c r="C8166" s="2">
        <v>848.91819999999996</v>
      </c>
      <c r="D8166" s="2">
        <f>HYPERLINK("http://mcb-m6.bioreg.kyushu-u.ac.jp/M3/20110414/F50942/2531/1", 72.07)</f>
        <v>72.069999999999993</v>
      </c>
      <c r="E8166" s="2">
        <v>55.84</v>
      </c>
      <c r="F8166" s="2">
        <v>2</v>
      </c>
      <c r="G8166" s="2" t="s">
        <v>11</v>
      </c>
    </row>
    <row r="8167" spans="1:9" x14ac:dyDescent="0.2">
      <c r="A8167" s="2" t="s">
        <v>3250</v>
      </c>
      <c r="B8167" s="2" t="s">
        <v>467</v>
      </c>
      <c r="C8167" s="2">
        <v>692.31269999999995</v>
      </c>
      <c r="D8167" s="2">
        <f>HYPERLINK("http://mcb-m6.bioreg.kyushu-u.ac.jp/M3/20110414/F50944/1849/1", 72.07)</f>
        <v>72.069999999999993</v>
      </c>
      <c r="E8167" s="2">
        <v>49.48</v>
      </c>
      <c r="F8167" s="2">
        <v>2</v>
      </c>
      <c r="G8167" s="2" t="s">
        <v>11</v>
      </c>
    </row>
    <row r="8168" spans="1:9" x14ac:dyDescent="0.2">
      <c r="A8168" s="2" t="s">
        <v>3250</v>
      </c>
      <c r="B8168" s="2" t="s">
        <v>467</v>
      </c>
      <c r="C8168" s="2">
        <v>1382.415</v>
      </c>
      <c r="D8168" s="2">
        <f>HYPERLINK("http://mcb-m6.bioreg.kyushu-u.ac.jp/M3/20110414/F50956/1582/1", 72.13)</f>
        <v>72.13</v>
      </c>
      <c r="E8168" s="2">
        <v>55.76</v>
      </c>
      <c r="F8168" s="2">
        <v>1</v>
      </c>
      <c r="G8168" s="2" t="s">
        <v>11</v>
      </c>
    </row>
    <row r="8169" spans="1:9" x14ac:dyDescent="0.2">
      <c r="A8169" s="2" t="s">
        <v>3250</v>
      </c>
      <c r="B8169" s="2" t="s">
        <v>772</v>
      </c>
      <c r="C8169" s="2">
        <v>595.58969999999999</v>
      </c>
      <c r="D8169" s="2">
        <f>HYPERLINK("http://mcb-m6.bioreg.kyushu-u.ac.jp/M3/20110414/F50956/1021/1", 72.22)</f>
        <v>72.22</v>
      </c>
      <c r="E8169" s="2">
        <v>40.64</v>
      </c>
      <c r="F8169" s="2">
        <v>2</v>
      </c>
      <c r="G8169" s="2" t="s">
        <v>11</v>
      </c>
    </row>
    <row r="8170" spans="1:9" x14ac:dyDescent="0.2">
      <c r="A8170" s="2" t="s">
        <v>3250</v>
      </c>
      <c r="B8170" s="2" t="s">
        <v>503</v>
      </c>
      <c r="C8170" s="2">
        <v>816.20870000000002</v>
      </c>
      <c r="D8170" s="2">
        <f>HYPERLINK("http://mcb-m6.bioreg.kyushu-u.ac.jp/M3/20110414/F50957/2382/1", 72.29)</f>
        <v>72.290000000000006</v>
      </c>
      <c r="E8170" s="2">
        <v>63.51</v>
      </c>
      <c r="F8170" s="2">
        <v>2</v>
      </c>
      <c r="G8170" s="2" t="s">
        <v>11</v>
      </c>
      <c r="H8170" s="2" t="s">
        <v>4907</v>
      </c>
    </row>
    <row r="8171" spans="1:9" x14ac:dyDescent="0.2">
      <c r="A8171" s="2" t="s">
        <v>3250</v>
      </c>
      <c r="B8171" s="2" t="s">
        <v>102</v>
      </c>
      <c r="C8171" s="2">
        <v>616.61320000000001</v>
      </c>
      <c r="D8171" s="2">
        <f>HYPERLINK("http://mcb-m6.bioreg.kyushu-u.ac.jp/M3/20110414/F50927/1814/1", 72.53)</f>
        <v>72.53</v>
      </c>
      <c r="E8171" s="2">
        <v>50.37</v>
      </c>
      <c r="F8171" s="2">
        <v>2</v>
      </c>
      <c r="G8171" s="2" t="s">
        <v>11</v>
      </c>
      <c r="H8171" s="2" t="s">
        <v>4900</v>
      </c>
    </row>
    <row r="8172" spans="1:9" x14ac:dyDescent="0.2">
      <c r="A8172" s="2" t="s">
        <v>3250</v>
      </c>
      <c r="B8172" s="2" t="s">
        <v>481</v>
      </c>
      <c r="C8172" s="2">
        <v>709.37369999999999</v>
      </c>
      <c r="D8172" s="2">
        <f>HYPERLINK("http://mcb-m6.bioreg.kyushu-u.ac.jp/M3/20110414/F50943/1676/1", 72.64)</f>
        <v>72.64</v>
      </c>
      <c r="E8172" s="2">
        <v>55.24</v>
      </c>
      <c r="F8172" s="2">
        <v>2</v>
      </c>
      <c r="G8172" s="2" t="s">
        <v>11</v>
      </c>
      <c r="I8172" s="2" t="s">
        <v>4898</v>
      </c>
    </row>
    <row r="8173" spans="1:9" x14ac:dyDescent="0.2">
      <c r="A8173" s="2" t="s">
        <v>3250</v>
      </c>
      <c r="B8173" s="2" t="s">
        <v>77</v>
      </c>
      <c r="C8173" s="2">
        <v>574.63959999999997</v>
      </c>
      <c r="D8173" s="2">
        <f>HYPERLINK("http://mcb-m6.bioreg.kyushu-u.ac.jp/M3/20110414/F50962/1122/1", 73.22)</f>
        <v>73.22</v>
      </c>
      <c r="E8173" s="2">
        <v>42.84</v>
      </c>
      <c r="F8173" s="2">
        <v>2</v>
      </c>
      <c r="G8173" s="2" t="s">
        <v>11</v>
      </c>
    </row>
    <row r="8174" spans="1:9" x14ac:dyDescent="0.2">
      <c r="A8174" s="2" t="s">
        <v>3250</v>
      </c>
      <c r="B8174" s="2" t="s">
        <v>561</v>
      </c>
      <c r="C8174" s="2">
        <v>662.82069999999999</v>
      </c>
      <c r="D8174" s="2">
        <f>HYPERLINK("http://mcb-m6.bioreg.kyushu-u.ac.jp/M3/20110414/F50943/1463/1", 73.25)</f>
        <v>73.25</v>
      </c>
      <c r="E8174" s="2">
        <v>50.8</v>
      </c>
      <c r="F8174" s="2">
        <v>2</v>
      </c>
      <c r="G8174" s="2" t="s">
        <v>11</v>
      </c>
      <c r="H8174" s="2" t="s">
        <v>4919</v>
      </c>
    </row>
    <row r="8175" spans="1:9" x14ac:dyDescent="0.2">
      <c r="A8175" s="2" t="s">
        <v>3250</v>
      </c>
      <c r="B8175" s="2" t="s">
        <v>356</v>
      </c>
      <c r="C8175" s="2">
        <v>816.10360000000003</v>
      </c>
      <c r="D8175" s="2">
        <f>HYPERLINK("http://mcb-m6.bioreg.kyushu-u.ac.jp/M3/20110414/F50957/2381/1", 73.39)</f>
        <v>73.39</v>
      </c>
      <c r="E8175" s="2">
        <v>56.58</v>
      </c>
      <c r="F8175" s="2">
        <v>2</v>
      </c>
      <c r="G8175" s="2" t="s">
        <v>11</v>
      </c>
    </row>
    <row r="8176" spans="1:9" x14ac:dyDescent="0.2">
      <c r="A8176" s="2" t="s">
        <v>3250</v>
      </c>
      <c r="B8176" s="2" t="s">
        <v>1255</v>
      </c>
      <c r="C8176" s="2">
        <v>1273.8610000000001</v>
      </c>
      <c r="D8176" s="2">
        <f>HYPERLINK("http://mcb-m6.bioreg.kyushu-u.ac.jp/M3/20110414/F50943/4069/1", 73.61)</f>
        <v>73.61</v>
      </c>
      <c r="E8176" s="2">
        <v>63.23</v>
      </c>
      <c r="F8176" s="2">
        <v>2</v>
      </c>
      <c r="G8176" s="2" t="s">
        <v>11</v>
      </c>
      <c r="I8176" s="2" t="s">
        <v>4906</v>
      </c>
    </row>
    <row r="8177" spans="1:9" x14ac:dyDescent="0.2">
      <c r="A8177" s="2" t="s">
        <v>3250</v>
      </c>
      <c r="B8177" s="2" t="s">
        <v>543</v>
      </c>
      <c r="C8177" s="2">
        <v>927.33069999999998</v>
      </c>
      <c r="D8177" s="2">
        <f>HYPERLINK("http://mcb-m6.bioreg.kyushu-u.ac.jp/M3/20110414/F50957/3070/1", 73.66)</f>
        <v>73.66</v>
      </c>
      <c r="E8177" s="2">
        <v>56.03</v>
      </c>
      <c r="F8177" s="2">
        <v>2</v>
      </c>
      <c r="G8177" s="2" t="s">
        <v>11</v>
      </c>
    </row>
    <row r="8178" spans="1:9" x14ac:dyDescent="0.2">
      <c r="A8178" s="2" t="s">
        <v>3250</v>
      </c>
      <c r="B8178" s="2" t="s">
        <v>467</v>
      </c>
      <c r="C8178" s="2">
        <v>691.70259999999996</v>
      </c>
      <c r="D8178" s="2">
        <f>HYPERLINK("http://mcb-m6.bioreg.kyushu-u.ac.jp/M3/20110414/F50957/1561/1", 73.68)</f>
        <v>73.680000000000007</v>
      </c>
      <c r="E8178" s="2">
        <v>46.37</v>
      </c>
      <c r="F8178" s="2">
        <v>2</v>
      </c>
      <c r="G8178" s="2" t="s">
        <v>11</v>
      </c>
    </row>
    <row r="8179" spans="1:9" x14ac:dyDescent="0.2">
      <c r="A8179" s="2" t="s">
        <v>3250</v>
      </c>
      <c r="B8179" s="2" t="s">
        <v>467</v>
      </c>
      <c r="C8179" s="2">
        <v>692.21559999999999</v>
      </c>
      <c r="D8179" s="2">
        <f>HYPERLINK("http://mcb-m6.bioreg.kyushu-u.ac.jp/M3/20110414/F50956/1598/1", 73.75)</f>
        <v>73.75</v>
      </c>
      <c r="E8179" s="2">
        <v>46.79</v>
      </c>
      <c r="F8179" s="2">
        <v>2</v>
      </c>
      <c r="G8179" s="2" t="s">
        <v>11</v>
      </c>
    </row>
    <row r="8180" spans="1:9" x14ac:dyDescent="0.2">
      <c r="A8180" s="2" t="s">
        <v>3250</v>
      </c>
      <c r="B8180" s="2" t="s">
        <v>1065</v>
      </c>
      <c r="C8180" s="2">
        <v>716.69960000000003</v>
      </c>
      <c r="D8180" s="2">
        <f>HYPERLINK("http://mcb-m6.bioreg.kyushu-u.ac.jp/M3/20110414/F50956/1753/1", 73.77)</f>
        <v>73.77</v>
      </c>
      <c r="E8180" s="2">
        <v>56.29</v>
      </c>
      <c r="F8180" s="2">
        <v>2</v>
      </c>
      <c r="G8180" s="2" t="s">
        <v>11</v>
      </c>
      <c r="I8180" s="2" t="s">
        <v>4892</v>
      </c>
    </row>
    <row r="8181" spans="1:9" x14ac:dyDescent="0.2">
      <c r="A8181" s="2" t="s">
        <v>3250</v>
      </c>
      <c r="B8181" s="2" t="s">
        <v>356</v>
      </c>
      <c r="C8181" s="2">
        <v>815.66420000000005</v>
      </c>
      <c r="D8181" s="2">
        <f>HYPERLINK("http://mcb-m6.bioreg.kyushu-u.ac.jp/M3/20110414/F50956/2452/1", 73.87)</f>
        <v>73.87</v>
      </c>
      <c r="E8181" s="2">
        <v>57.79</v>
      </c>
      <c r="F8181" s="2">
        <v>2</v>
      </c>
      <c r="G8181" s="2" t="s">
        <v>11</v>
      </c>
    </row>
    <row r="8182" spans="1:9" x14ac:dyDescent="0.2">
      <c r="A8182" s="2" t="s">
        <v>3250</v>
      </c>
      <c r="B8182" s="2" t="s">
        <v>90</v>
      </c>
      <c r="C8182" s="2">
        <v>716.76210000000003</v>
      </c>
      <c r="D8182" s="2">
        <f>HYPERLINK("http://mcb-m6.bioreg.kyushu-u.ac.jp/M3/20110414/F50957/1737/1", 73.92)</f>
        <v>73.92</v>
      </c>
      <c r="E8182" s="2">
        <v>47.82</v>
      </c>
      <c r="F8182" s="2">
        <v>2</v>
      </c>
      <c r="G8182" s="2" t="s">
        <v>11</v>
      </c>
    </row>
    <row r="8183" spans="1:9" x14ac:dyDescent="0.2">
      <c r="A8183" s="2" t="s">
        <v>3250</v>
      </c>
      <c r="B8183" s="2" t="s">
        <v>561</v>
      </c>
      <c r="C8183" s="2">
        <v>662.24869999999999</v>
      </c>
      <c r="D8183" s="2">
        <f>HYPERLINK("http://mcb-m6.bioreg.kyushu-u.ac.jp/M3/20110414/F50943/1460/1", 74.11)</f>
        <v>74.11</v>
      </c>
      <c r="E8183" s="2">
        <v>56.04</v>
      </c>
      <c r="F8183" s="2">
        <v>2</v>
      </c>
      <c r="G8183" s="2" t="s">
        <v>11</v>
      </c>
      <c r="H8183" s="2" t="s">
        <v>4919</v>
      </c>
    </row>
    <row r="8184" spans="1:9" x14ac:dyDescent="0.2">
      <c r="A8184" s="2" t="s">
        <v>3250</v>
      </c>
      <c r="B8184" s="2" t="s">
        <v>1065</v>
      </c>
      <c r="C8184" s="2">
        <v>716.73820000000001</v>
      </c>
      <c r="D8184" s="2">
        <f>HYPERLINK("http://mcb-m6.bioreg.kyushu-u.ac.jp/M3/20110414/F50924/2017/1", 74.2)</f>
        <v>74.2</v>
      </c>
      <c r="E8184" s="2">
        <v>60.67</v>
      </c>
      <c r="F8184" s="2">
        <v>2</v>
      </c>
      <c r="G8184" s="2" t="s">
        <v>11</v>
      </c>
      <c r="I8184" s="2" t="s">
        <v>4892</v>
      </c>
    </row>
    <row r="8185" spans="1:9" x14ac:dyDescent="0.2">
      <c r="A8185" s="2" t="s">
        <v>3250</v>
      </c>
      <c r="B8185" s="2" t="s">
        <v>543</v>
      </c>
      <c r="C8185" s="2">
        <v>926.89009999999996</v>
      </c>
      <c r="D8185" s="2">
        <f>HYPERLINK("http://mcb-m6.bioreg.kyushu-u.ac.jp/M3/20110414/F50957/3064/1", 74.2)</f>
        <v>74.2</v>
      </c>
      <c r="E8185" s="2">
        <v>58.25</v>
      </c>
      <c r="F8185" s="2">
        <v>2</v>
      </c>
      <c r="G8185" s="2" t="s">
        <v>11</v>
      </c>
    </row>
    <row r="8186" spans="1:9" x14ac:dyDescent="0.2">
      <c r="A8186" s="2" t="s">
        <v>3250</v>
      </c>
      <c r="B8186" s="2" t="s">
        <v>467</v>
      </c>
      <c r="C8186" s="2">
        <v>692.22119999999995</v>
      </c>
      <c r="D8186" s="2">
        <f>HYPERLINK("http://mcb-m6.bioreg.kyushu-u.ac.jp/M3/20110414/F50957/1574/1", 74.28)</f>
        <v>74.28</v>
      </c>
      <c r="E8186" s="2">
        <v>47.66</v>
      </c>
      <c r="F8186" s="2">
        <v>2</v>
      </c>
      <c r="G8186" s="2" t="s">
        <v>11</v>
      </c>
    </row>
    <row r="8187" spans="1:9" x14ac:dyDescent="0.2">
      <c r="A8187" s="2" t="s">
        <v>3250</v>
      </c>
      <c r="B8187" s="2" t="s">
        <v>1065</v>
      </c>
      <c r="C8187" s="2">
        <v>717.19669999999996</v>
      </c>
      <c r="D8187" s="2">
        <f>HYPERLINK("http://mcb-m6.bioreg.kyushu-u.ac.jp/M3/20110414/F50928/2182/1", 74.43)</f>
        <v>74.430000000000007</v>
      </c>
      <c r="E8187" s="2">
        <v>61.7</v>
      </c>
      <c r="F8187" s="2">
        <v>2</v>
      </c>
      <c r="G8187" s="2" t="s">
        <v>11</v>
      </c>
      <c r="I8187" s="2" t="s">
        <v>4892</v>
      </c>
    </row>
    <row r="8188" spans="1:9" x14ac:dyDescent="0.2">
      <c r="A8188" s="2" t="s">
        <v>3250</v>
      </c>
      <c r="B8188" s="2" t="s">
        <v>467</v>
      </c>
      <c r="C8188" s="2">
        <v>692.20759999999996</v>
      </c>
      <c r="D8188" s="2">
        <f>HYPERLINK("http://mcb-m6.bioreg.kyushu-u.ac.jp/M3/20110414/F50956/1597/1", 74.69)</f>
        <v>74.69</v>
      </c>
      <c r="E8188" s="2">
        <v>50.17</v>
      </c>
      <c r="F8188" s="2">
        <v>2</v>
      </c>
      <c r="G8188" s="2" t="s">
        <v>11</v>
      </c>
    </row>
    <row r="8189" spans="1:9" x14ac:dyDescent="0.2">
      <c r="A8189" s="2" t="s">
        <v>3250</v>
      </c>
      <c r="B8189" s="2" t="s">
        <v>772</v>
      </c>
      <c r="C8189" s="2">
        <v>596.12159999999994</v>
      </c>
      <c r="D8189" s="2">
        <f>HYPERLINK("http://mcb-m6.bioreg.kyushu-u.ac.jp/M3/20110414/F50957/964/1", 74.77)</f>
        <v>74.77</v>
      </c>
      <c r="E8189" s="2">
        <v>50.43</v>
      </c>
      <c r="F8189" s="2">
        <v>2</v>
      </c>
      <c r="G8189" s="2" t="s">
        <v>11</v>
      </c>
    </row>
    <row r="8190" spans="1:9" x14ac:dyDescent="0.2">
      <c r="A8190" s="2" t="s">
        <v>3250</v>
      </c>
      <c r="B8190" s="2" t="s">
        <v>356</v>
      </c>
      <c r="C8190" s="2">
        <v>815.7672</v>
      </c>
      <c r="D8190" s="2">
        <f>HYPERLINK("http://mcb-m6.bioreg.kyushu-u.ac.jp/M3/20110414/F50957/2378/1", 74.89)</f>
        <v>74.89</v>
      </c>
      <c r="E8190" s="2">
        <v>51.52</v>
      </c>
      <c r="F8190" s="2">
        <v>2</v>
      </c>
      <c r="G8190" s="2" t="s">
        <v>11</v>
      </c>
    </row>
    <row r="8191" spans="1:9" x14ac:dyDescent="0.2">
      <c r="A8191" s="2" t="s">
        <v>3250</v>
      </c>
      <c r="B8191" s="2" t="s">
        <v>175</v>
      </c>
      <c r="C8191" s="2">
        <v>784.2817</v>
      </c>
      <c r="D8191" s="2">
        <f>HYPERLINK("http://mcb-m6.bioreg.kyushu-u.ac.jp/M3/20110414/F50943/2162/1", 75.04)</f>
        <v>75.040000000000006</v>
      </c>
      <c r="E8191" s="2">
        <v>52.79</v>
      </c>
      <c r="F8191" s="2">
        <v>2</v>
      </c>
      <c r="G8191" s="2" t="s">
        <v>11</v>
      </c>
      <c r="I8191" s="2" t="s">
        <v>4893</v>
      </c>
    </row>
    <row r="8192" spans="1:9" x14ac:dyDescent="0.2">
      <c r="A8192" s="2" t="s">
        <v>3250</v>
      </c>
      <c r="B8192" s="2" t="s">
        <v>561</v>
      </c>
      <c r="C8192" s="2">
        <v>654.37120000000004</v>
      </c>
      <c r="D8192" s="2">
        <f>HYPERLINK("http://mcb-m6.bioreg.kyushu-u.ac.jp/M3/20110414/F50957/1297/1", 75.06)</f>
        <v>75.06</v>
      </c>
      <c r="E8192" s="2">
        <v>55.48</v>
      </c>
      <c r="F8192" s="2">
        <v>2</v>
      </c>
      <c r="G8192" s="2" t="s">
        <v>11</v>
      </c>
    </row>
    <row r="8193" spans="1:9" x14ac:dyDescent="0.2">
      <c r="A8193" s="2" t="s">
        <v>3250</v>
      </c>
      <c r="B8193" s="2" t="s">
        <v>175</v>
      </c>
      <c r="C8193" s="2">
        <v>784.54769999999996</v>
      </c>
      <c r="D8193" s="2">
        <f>HYPERLINK("http://mcb-m6.bioreg.kyushu-u.ac.jp/M3/20110414/F50942/2189/1", 75.07)</f>
        <v>75.069999999999993</v>
      </c>
      <c r="E8193" s="2">
        <v>58.66</v>
      </c>
      <c r="F8193" s="2">
        <v>2</v>
      </c>
      <c r="G8193" s="2" t="s">
        <v>11</v>
      </c>
      <c r="I8193" s="2" t="s">
        <v>4893</v>
      </c>
    </row>
    <row r="8194" spans="1:9" x14ac:dyDescent="0.2">
      <c r="A8194" s="2" t="s">
        <v>3250</v>
      </c>
      <c r="B8194" s="2" t="s">
        <v>772</v>
      </c>
      <c r="C8194" s="2">
        <v>595.62120000000004</v>
      </c>
      <c r="D8194" s="2">
        <f>HYPERLINK("http://mcb-m6.bioreg.kyushu-u.ac.jp/M3/20110414/F50957/955/1", 75.14)</f>
        <v>75.14</v>
      </c>
      <c r="E8194" s="2">
        <v>34.4</v>
      </c>
      <c r="F8194" s="2">
        <v>2</v>
      </c>
      <c r="G8194" s="2" t="s">
        <v>11</v>
      </c>
    </row>
    <row r="8195" spans="1:9" x14ac:dyDescent="0.2">
      <c r="A8195" s="2" t="s">
        <v>3250</v>
      </c>
      <c r="B8195" s="2" t="s">
        <v>90</v>
      </c>
      <c r="C8195" s="2">
        <v>717.1902</v>
      </c>
      <c r="D8195" s="2">
        <f>HYPERLINK("http://mcb-m6.bioreg.kyushu-u.ac.jp/M3/20110414/F50957/1747/1", 75.27)</f>
        <v>75.27</v>
      </c>
      <c r="E8195" s="2">
        <v>34.57</v>
      </c>
      <c r="F8195" s="2">
        <v>2</v>
      </c>
      <c r="G8195" s="2" t="s">
        <v>11</v>
      </c>
    </row>
    <row r="8196" spans="1:9" x14ac:dyDescent="0.2">
      <c r="A8196" s="2" t="s">
        <v>3250</v>
      </c>
      <c r="B8196" s="2" t="s">
        <v>77</v>
      </c>
      <c r="C8196" s="2">
        <v>574.5702</v>
      </c>
      <c r="D8196" s="2">
        <f>HYPERLINK("http://mcb-m6.bioreg.kyushu-u.ac.jp/M3/20110414/F50956/936/1", 75.53)</f>
        <v>75.53</v>
      </c>
      <c r="E8196" s="2">
        <v>46.87</v>
      </c>
      <c r="F8196" s="2">
        <v>2</v>
      </c>
      <c r="G8196" s="2" t="s">
        <v>11</v>
      </c>
    </row>
    <row r="8197" spans="1:9" x14ac:dyDescent="0.2">
      <c r="A8197" s="2" t="s">
        <v>3250</v>
      </c>
      <c r="B8197" s="2" t="s">
        <v>90</v>
      </c>
      <c r="C8197" s="2">
        <v>717.43219999999997</v>
      </c>
      <c r="D8197" s="2">
        <f>HYPERLINK("http://mcb-m6.bioreg.kyushu-u.ac.jp/M3/20110414/F50962/1811/1", 75.66)</f>
        <v>75.66</v>
      </c>
      <c r="E8197" s="2">
        <v>53.49</v>
      </c>
      <c r="F8197" s="2">
        <v>2</v>
      </c>
      <c r="G8197" s="2" t="s">
        <v>11</v>
      </c>
    </row>
    <row r="8198" spans="1:9" x14ac:dyDescent="0.2">
      <c r="A8198" s="2" t="s">
        <v>3250</v>
      </c>
      <c r="B8198" s="2" t="s">
        <v>467</v>
      </c>
      <c r="C8198" s="2">
        <v>1382.5730000000001</v>
      </c>
      <c r="D8198" s="2">
        <f>HYPERLINK("http://mcb-m6.bioreg.kyushu-u.ac.jp/M3/20110414/F50943/1583/1", 75.78)</f>
        <v>75.78</v>
      </c>
      <c r="E8198" s="2">
        <v>59.93</v>
      </c>
      <c r="F8198" s="2">
        <v>1</v>
      </c>
      <c r="G8198" s="2" t="s">
        <v>11</v>
      </c>
    </row>
    <row r="8199" spans="1:9" x14ac:dyDescent="0.2">
      <c r="A8199" s="2" t="s">
        <v>3250</v>
      </c>
      <c r="B8199" s="2" t="s">
        <v>77</v>
      </c>
      <c r="C8199" s="2">
        <v>574.64170000000001</v>
      </c>
      <c r="D8199" s="2">
        <f>HYPERLINK("http://mcb-m6.bioreg.kyushu-u.ac.jp/M3/20110414/F50957/862/1", 75.91)</f>
        <v>75.91</v>
      </c>
      <c r="E8199" s="2">
        <v>52.99</v>
      </c>
      <c r="F8199" s="2">
        <v>2</v>
      </c>
      <c r="G8199" s="2" t="s">
        <v>11</v>
      </c>
    </row>
    <row r="8200" spans="1:9" x14ac:dyDescent="0.2">
      <c r="A8200" s="2" t="s">
        <v>3250</v>
      </c>
      <c r="B8200" s="2" t="s">
        <v>467</v>
      </c>
      <c r="C8200" s="2">
        <v>1383.424</v>
      </c>
      <c r="D8200" s="2">
        <f>HYPERLINK("http://mcb-m6.bioreg.kyushu-u.ac.jp/M3/20110414/F50956/1599/1", 76.44)</f>
        <v>76.44</v>
      </c>
      <c r="E8200" s="2">
        <v>59.68</v>
      </c>
      <c r="F8200" s="2">
        <v>1</v>
      </c>
      <c r="G8200" s="2" t="s">
        <v>11</v>
      </c>
    </row>
    <row r="8201" spans="1:9" x14ac:dyDescent="0.2">
      <c r="A8201" s="2" t="s">
        <v>3250</v>
      </c>
      <c r="B8201" s="2" t="s">
        <v>561</v>
      </c>
      <c r="C8201" s="2">
        <v>654.65769999999998</v>
      </c>
      <c r="D8201" s="2">
        <f>HYPERLINK("http://mcb-m6.bioreg.kyushu-u.ac.jp/M3/20110414/F50957/1298/1", 76.6)</f>
        <v>76.599999999999994</v>
      </c>
      <c r="E8201" s="2">
        <v>57.09</v>
      </c>
      <c r="F8201" s="2">
        <v>2</v>
      </c>
      <c r="G8201" s="2" t="s">
        <v>11</v>
      </c>
    </row>
    <row r="8202" spans="1:9" x14ac:dyDescent="0.2">
      <c r="A8202" s="2" t="s">
        <v>3250</v>
      </c>
      <c r="B8202" s="2" t="s">
        <v>561</v>
      </c>
      <c r="C8202" s="2">
        <v>662.51620000000003</v>
      </c>
      <c r="D8202" s="2">
        <f>HYPERLINK("http://mcb-m6.bioreg.kyushu-u.ac.jp/M3/20110414/F50956/1394/1", 76.81)</f>
        <v>76.81</v>
      </c>
      <c r="E8202" s="2">
        <v>56.77</v>
      </c>
      <c r="F8202" s="2">
        <v>2</v>
      </c>
      <c r="G8202" s="2" t="s">
        <v>11</v>
      </c>
      <c r="H8202" s="2" t="s">
        <v>4919</v>
      </c>
    </row>
    <row r="8203" spans="1:9" x14ac:dyDescent="0.2">
      <c r="A8203" s="2" t="s">
        <v>3250</v>
      </c>
      <c r="B8203" s="2" t="s">
        <v>1065</v>
      </c>
      <c r="C8203" s="2">
        <v>717.02170000000001</v>
      </c>
      <c r="D8203" s="2">
        <f>HYPERLINK("http://mcb-m6.bioreg.kyushu-u.ac.jp/M3/20110414/F50945/1874/1", 76.88)</f>
        <v>76.88</v>
      </c>
      <c r="E8203" s="2">
        <v>59.49</v>
      </c>
      <c r="F8203" s="2">
        <v>2</v>
      </c>
      <c r="G8203" s="2" t="s">
        <v>11</v>
      </c>
      <c r="I8203" s="2" t="s">
        <v>4892</v>
      </c>
    </row>
    <row r="8204" spans="1:9" x14ac:dyDescent="0.2">
      <c r="A8204" s="2" t="s">
        <v>3250</v>
      </c>
      <c r="B8204" s="2" t="s">
        <v>1065</v>
      </c>
      <c r="C8204" s="2">
        <v>716.6472</v>
      </c>
      <c r="D8204" s="2">
        <f>HYPERLINK("http://mcb-m6.bioreg.kyushu-u.ac.jp/M3/20110414/F50928/2176/1", 77.12)</f>
        <v>77.12</v>
      </c>
      <c r="E8204" s="2">
        <v>64.989999999999995</v>
      </c>
      <c r="F8204" s="2">
        <v>2</v>
      </c>
      <c r="G8204" s="2" t="s">
        <v>11</v>
      </c>
      <c r="I8204" s="2" t="s">
        <v>4892</v>
      </c>
    </row>
    <row r="8205" spans="1:9" x14ac:dyDescent="0.2">
      <c r="A8205" s="2" t="s">
        <v>3250</v>
      </c>
      <c r="B8205" s="2" t="s">
        <v>467</v>
      </c>
      <c r="C8205" s="2">
        <v>692.19870000000003</v>
      </c>
      <c r="D8205" s="2">
        <f>HYPERLINK("http://mcb-m6.bioreg.kyushu-u.ac.jp/M3/20110414/F50944/1846/1", 77.53)</f>
        <v>77.53</v>
      </c>
      <c r="E8205" s="2">
        <v>49.56</v>
      </c>
      <c r="F8205" s="2">
        <v>2</v>
      </c>
      <c r="G8205" s="2" t="s">
        <v>11</v>
      </c>
    </row>
    <row r="8206" spans="1:9" x14ac:dyDescent="0.2">
      <c r="A8206" s="2" t="s">
        <v>3250</v>
      </c>
      <c r="B8206" s="2" t="s">
        <v>1581</v>
      </c>
      <c r="C8206" s="2">
        <v>1147.854</v>
      </c>
      <c r="D8206" s="2">
        <f>HYPERLINK("http://mcb-m6.bioreg.kyushu-u.ac.jp/M3/20110414/F50957/4096/1", 77.57)</f>
        <v>77.569999999999993</v>
      </c>
      <c r="E8206" s="2">
        <v>69.83</v>
      </c>
      <c r="F8206" s="2">
        <v>2</v>
      </c>
      <c r="G8206" s="2" t="s">
        <v>11</v>
      </c>
      <c r="I8206" s="2" t="s">
        <v>4895</v>
      </c>
    </row>
    <row r="8207" spans="1:9" x14ac:dyDescent="0.2">
      <c r="A8207" s="2" t="s">
        <v>3250</v>
      </c>
      <c r="B8207" s="2" t="s">
        <v>467</v>
      </c>
      <c r="C8207" s="2">
        <v>692.03520000000003</v>
      </c>
      <c r="D8207" s="2">
        <f>HYPERLINK("http://mcb-m6.bioreg.kyushu-u.ac.jp/M3/20110414/F50943/1586/1", 77.66)</f>
        <v>77.66</v>
      </c>
      <c r="E8207" s="2">
        <v>52.69</v>
      </c>
      <c r="F8207" s="2">
        <v>2</v>
      </c>
      <c r="G8207" s="2" t="s">
        <v>11</v>
      </c>
    </row>
    <row r="8208" spans="1:9" x14ac:dyDescent="0.2">
      <c r="A8208" s="2" t="s">
        <v>3250</v>
      </c>
      <c r="B8208" s="2" t="s">
        <v>90</v>
      </c>
      <c r="C8208" s="2">
        <v>716.92520000000002</v>
      </c>
      <c r="D8208" s="2">
        <f>HYPERLINK("http://mcb-m6.bioreg.kyushu-u.ac.jp/M3/20110414/F50942/1750/1", 78.03)</f>
        <v>78.03</v>
      </c>
      <c r="E8208" s="2">
        <v>54.02</v>
      </c>
      <c r="F8208" s="2">
        <v>2</v>
      </c>
      <c r="G8208" s="2" t="s">
        <v>11</v>
      </c>
    </row>
    <row r="8209" spans="1:9" x14ac:dyDescent="0.2">
      <c r="A8209" s="2" t="s">
        <v>3250</v>
      </c>
      <c r="B8209" s="2" t="s">
        <v>561</v>
      </c>
      <c r="C8209" s="2">
        <v>654.5566</v>
      </c>
      <c r="D8209" s="2">
        <f>HYPERLINK("http://mcb-m6.bioreg.kyushu-u.ac.jp/M3/20110414/F50926/1928/1", 78.18)</f>
        <v>78.180000000000007</v>
      </c>
      <c r="E8209" s="2">
        <v>54.08</v>
      </c>
      <c r="F8209" s="2">
        <v>2</v>
      </c>
      <c r="G8209" s="2" t="s">
        <v>11</v>
      </c>
    </row>
    <row r="8210" spans="1:9" x14ac:dyDescent="0.2">
      <c r="A8210" s="2" t="s">
        <v>3250</v>
      </c>
      <c r="B8210" s="2" t="s">
        <v>356</v>
      </c>
      <c r="C8210" s="2">
        <v>816.19420000000002</v>
      </c>
      <c r="D8210" s="2">
        <f>HYPERLINK("http://mcb-m6.bioreg.kyushu-u.ac.jp/M3/20110414/F50956/2461/1", 78.34)</f>
        <v>78.34</v>
      </c>
      <c r="E8210" s="2">
        <v>65.48</v>
      </c>
      <c r="F8210" s="2">
        <v>2</v>
      </c>
      <c r="G8210" s="2" t="s">
        <v>11</v>
      </c>
    </row>
    <row r="8211" spans="1:9" x14ac:dyDescent="0.2">
      <c r="A8211" s="2" t="s">
        <v>3250</v>
      </c>
      <c r="B8211" s="2" t="s">
        <v>561</v>
      </c>
      <c r="C8211" s="2">
        <v>654.23910000000001</v>
      </c>
      <c r="D8211" s="2">
        <f>HYPERLINK("http://mcb-m6.bioreg.kyushu-u.ac.jp/M3/20110414/F50956/1345/1", 78.78)</f>
        <v>78.78</v>
      </c>
      <c r="E8211" s="2">
        <v>51.76</v>
      </c>
      <c r="F8211" s="2">
        <v>2</v>
      </c>
      <c r="G8211" s="2" t="s">
        <v>11</v>
      </c>
    </row>
    <row r="8212" spans="1:9" x14ac:dyDescent="0.2">
      <c r="A8212" s="2" t="s">
        <v>3250</v>
      </c>
      <c r="B8212" s="2" t="s">
        <v>356</v>
      </c>
      <c r="C8212" s="2">
        <v>816.03269999999998</v>
      </c>
      <c r="D8212" s="2">
        <f>HYPERLINK("http://mcb-m6.bioreg.kyushu-u.ac.jp/M3/20110414/F50943/2323/1", 78.85)</f>
        <v>78.849999999999994</v>
      </c>
      <c r="E8212" s="2">
        <v>65.61</v>
      </c>
      <c r="F8212" s="2">
        <v>2</v>
      </c>
      <c r="G8212" s="2" t="s">
        <v>11</v>
      </c>
    </row>
    <row r="8213" spans="1:9" x14ac:dyDescent="0.2">
      <c r="A8213" s="2" t="s">
        <v>3250</v>
      </c>
      <c r="B8213" s="2" t="s">
        <v>356</v>
      </c>
      <c r="C8213" s="2">
        <v>815.68910000000005</v>
      </c>
      <c r="D8213" s="2">
        <f>HYPERLINK("http://mcb-m6.bioreg.kyushu-u.ac.jp/M3/20110414/F50957/2372/1", 78.97)</f>
        <v>78.97</v>
      </c>
      <c r="E8213" s="2">
        <v>60.84</v>
      </c>
      <c r="F8213" s="2">
        <v>2</v>
      </c>
      <c r="G8213" s="2" t="s">
        <v>11</v>
      </c>
    </row>
    <row r="8214" spans="1:9" x14ac:dyDescent="0.2">
      <c r="A8214" s="2" t="s">
        <v>3250</v>
      </c>
      <c r="B8214" s="2" t="s">
        <v>365</v>
      </c>
      <c r="C8214" s="2">
        <v>848.84559999999999</v>
      </c>
      <c r="D8214" s="2">
        <f>HYPERLINK("http://mcb-m6.bioreg.kyushu-u.ac.jp/M3/20110414/F50924/2601/1", 79.26)</f>
        <v>79.260000000000005</v>
      </c>
      <c r="E8214" s="2">
        <v>57.32</v>
      </c>
      <c r="F8214" s="2">
        <v>2</v>
      </c>
      <c r="G8214" s="2" t="s">
        <v>11</v>
      </c>
    </row>
    <row r="8215" spans="1:9" x14ac:dyDescent="0.2">
      <c r="A8215" s="2" t="s">
        <v>3250</v>
      </c>
      <c r="B8215" s="2" t="s">
        <v>1065</v>
      </c>
      <c r="C8215" s="2">
        <v>1432.2670000000001</v>
      </c>
      <c r="D8215" s="2">
        <f>HYPERLINK("http://mcb-m6.bioreg.kyushu-u.ac.jp/M3/20110414/F50956/1751/1", 79.36)</f>
        <v>79.36</v>
      </c>
      <c r="E8215" s="2">
        <v>57.86</v>
      </c>
      <c r="F8215" s="2">
        <v>1</v>
      </c>
      <c r="G8215" s="2" t="s">
        <v>11</v>
      </c>
      <c r="I8215" s="2" t="s">
        <v>4892</v>
      </c>
    </row>
    <row r="8216" spans="1:9" x14ac:dyDescent="0.2">
      <c r="A8216" s="2" t="s">
        <v>3250</v>
      </c>
      <c r="B8216" s="2" t="s">
        <v>1581</v>
      </c>
      <c r="C8216" s="2">
        <v>1147.894</v>
      </c>
      <c r="D8216" s="2">
        <f>HYPERLINK("http://mcb-m6.bioreg.kyushu-u.ac.jp/M3/20110414/F50956/4150/1", 79.53)</f>
        <v>79.53</v>
      </c>
      <c r="E8216" s="2">
        <v>69.84</v>
      </c>
      <c r="F8216" s="2">
        <v>2</v>
      </c>
      <c r="G8216" s="2" t="s">
        <v>11</v>
      </c>
      <c r="I8216" s="2" t="s">
        <v>4895</v>
      </c>
    </row>
    <row r="8217" spans="1:9" x14ac:dyDescent="0.2">
      <c r="A8217" s="2" t="s">
        <v>3250</v>
      </c>
      <c r="B8217" s="2" t="s">
        <v>772</v>
      </c>
      <c r="C8217" s="2">
        <v>596.13419999999996</v>
      </c>
      <c r="D8217" s="2">
        <f>HYPERLINK("http://mcb-m6.bioreg.kyushu-u.ac.jp/M3/20110414/F50957/966/1", 79.64)</f>
        <v>79.64</v>
      </c>
      <c r="E8217" s="2">
        <v>56.28</v>
      </c>
      <c r="F8217" s="2">
        <v>2</v>
      </c>
      <c r="G8217" s="2" t="s">
        <v>11</v>
      </c>
    </row>
    <row r="8218" spans="1:9" x14ac:dyDescent="0.2">
      <c r="A8218" s="2" t="s">
        <v>3250</v>
      </c>
      <c r="B8218" s="2" t="s">
        <v>772</v>
      </c>
      <c r="C8218" s="2">
        <v>596.14369999999997</v>
      </c>
      <c r="D8218" s="2">
        <f>HYPERLINK("http://mcb-m6.bioreg.kyushu-u.ac.jp/M3/20110414/F50956/1033/1", 79.75)</f>
        <v>79.75</v>
      </c>
      <c r="E8218" s="2">
        <v>52.95</v>
      </c>
      <c r="F8218" s="2">
        <v>2</v>
      </c>
      <c r="G8218" s="2" t="s">
        <v>11</v>
      </c>
    </row>
    <row r="8219" spans="1:9" x14ac:dyDescent="0.2">
      <c r="A8219" s="2" t="s">
        <v>3250</v>
      </c>
      <c r="B8219" s="2" t="s">
        <v>356</v>
      </c>
      <c r="C8219" s="2">
        <v>815.74270000000001</v>
      </c>
      <c r="D8219" s="2">
        <f>HYPERLINK("http://mcb-m6.bioreg.kyushu-u.ac.jp/M3/20110414/F50957/2376/1", 80.04)</f>
        <v>80.040000000000006</v>
      </c>
      <c r="E8219" s="2">
        <v>59.56</v>
      </c>
      <c r="F8219" s="2">
        <v>2</v>
      </c>
      <c r="G8219" s="2" t="s">
        <v>11</v>
      </c>
    </row>
    <row r="8220" spans="1:9" x14ac:dyDescent="0.2">
      <c r="A8220" s="2" t="s">
        <v>3250</v>
      </c>
      <c r="B8220" s="2" t="s">
        <v>102</v>
      </c>
      <c r="C8220" s="2">
        <v>616.17319999999995</v>
      </c>
      <c r="D8220" s="2">
        <f>HYPERLINK("http://mcb-m6.bioreg.kyushu-u.ac.jp/M3/20110414/F50957/1080/1", 80.1)</f>
        <v>80.099999999999994</v>
      </c>
      <c r="E8220" s="2">
        <v>62.85</v>
      </c>
      <c r="F8220" s="2">
        <v>2</v>
      </c>
      <c r="G8220" s="2" t="s">
        <v>11</v>
      </c>
      <c r="H8220" s="2" t="s">
        <v>4900</v>
      </c>
    </row>
    <row r="8221" spans="1:9" x14ac:dyDescent="0.2">
      <c r="A8221" s="2" t="s">
        <v>3250</v>
      </c>
      <c r="B8221" s="2" t="s">
        <v>467</v>
      </c>
      <c r="C8221" s="2">
        <v>692.37159999999994</v>
      </c>
      <c r="D8221" s="2">
        <f>HYPERLINK("http://mcb-m6.bioreg.kyushu-u.ac.jp/M3/20110414/F50925/1997/1", 80.16)</f>
        <v>80.16</v>
      </c>
      <c r="E8221" s="2">
        <v>53.98</v>
      </c>
      <c r="F8221" s="2">
        <v>2</v>
      </c>
      <c r="G8221" s="2" t="s">
        <v>11</v>
      </c>
    </row>
    <row r="8222" spans="1:9" x14ac:dyDescent="0.2">
      <c r="A8222" s="2" t="s">
        <v>3250</v>
      </c>
      <c r="B8222" s="2" t="s">
        <v>481</v>
      </c>
      <c r="C8222" s="2">
        <v>709.79219999999998</v>
      </c>
      <c r="D8222" s="2">
        <f>HYPERLINK("http://mcb-m6.bioreg.kyushu-u.ac.jp/M3/20110414/F50941/1908/1", 80.35)</f>
        <v>80.349999999999994</v>
      </c>
      <c r="E8222" s="2">
        <v>50.43</v>
      </c>
      <c r="F8222" s="2">
        <v>2</v>
      </c>
      <c r="G8222" s="2" t="s">
        <v>11</v>
      </c>
      <c r="I8222" s="2" t="s">
        <v>4898</v>
      </c>
    </row>
    <row r="8223" spans="1:9" x14ac:dyDescent="0.2">
      <c r="A8223" s="2" t="s">
        <v>3250</v>
      </c>
      <c r="B8223" s="2" t="s">
        <v>77</v>
      </c>
      <c r="C8223" s="2">
        <v>574.61410000000001</v>
      </c>
      <c r="D8223" s="2">
        <f>HYPERLINK("http://mcb-m6.bioreg.kyushu-u.ac.jp/M3/20110414/F50956/937/1", 80.56)</f>
        <v>80.56</v>
      </c>
      <c r="E8223" s="2">
        <v>55.65</v>
      </c>
      <c r="F8223" s="2">
        <v>2</v>
      </c>
      <c r="G8223" s="2" t="s">
        <v>11</v>
      </c>
    </row>
    <row r="8224" spans="1:9" x14ac:dyDescent="0.2">
      <c r="A8224" s="2" t="s">
        <v>3250</v>
      </c>
      <c r="B8224" s="2" t="s">
        <v>1065</v>
      </c>
      <c r="C8224" s="2">
        <v>717.33510000000001</v>
      </c>
      <c r="D8224" s="2">
        <f>HYPERLINK("http://mcb-m6.bioreg.kyushu-u.ac.jp/M3/20110414/F50924/2019/1", 80.78)</f>
        <v>80.78</v>
      </c>
      <c r="E8224" s="2">
        <v>73</v>
      </c>
      <c r="F8224" s="2">
        <v>2</v>
      </c>
      <c r="G8224" s="2" t="s">
        <v>11</v>
      </c>
      <c r="I8224" s="2" t="s">
        <v>4892</v>
      </c>
    </row>
    <row r="8225" spans="1:9" x14ac:dyDescent="0.2">
      <c r="A8225" s="2" t="s">
        <v>3250</v>
      </c>
      <c r="B8225" s="2" t="s">
        <v>467</v>
      </c>
      <c r="C8225" s="2">
        <v>692.43709999999999</v>
      </c>
      <c r="D8225" s="2">
        <f>HYPERLINK("http://mcb-m6.bioreg.kyushu-u.ac.jp/M3/20110414/F50957/1576/1", 81.64)</f>
        <v>81.64</v>
      </c>
      <c r="E8225" s="2">
        <v>59.06</v>
      </c>
      <c r="F8225" s="2">
        <v>2</v>
      </c>
      <c r="G8225" s="2" t="s">
        <v>11</v>
      </c>
    </row>
    <row r="8226" spans="1:9" x14ac:dyDescent="0.2">
      <c r="A8226" s="2" t="s">
        <v>3250</v>
      </c>
      <c r="B8226" s="2" t="s">
        <v>503</v>
      </c>
      <c r="C8226" s="2">
        <v>808.78920000000005</v>
      </c>
      <c r="D8226" s="2">
        <f>HYPERLINK("http://mcb-m6.bioreg.kyushu-u.ac.jp/M3/20110414/F50957/2331/1", 82.75)</f>
        <v>82.75</v>
      </c>
      <c r="E8226" s="2">
        <v>71.8</v>
      </c>
      <c r="F8226" s="2">
        <v>2</v>
      </c>
      <c r="G8226" s="2" t="s">
        <v>11</v>
      </c>
    </row>
    <row r="8227" spans="1:9" x14ac:dyDescent="0.2">
      <c r="A8227" s="2" t="s">
        <v>3250</v>
      </c>
      <c r="B8227" s="2" t="s">
        <v>467</v>
      </c>
      <c r="C8227" s="2">
        <v>691.52419999999995</v>
      </c>
      <c r="D8227" s="2">
        <f>HYPERLINK("http://mcb-m6.bioreg.kyushu-u.ac.jp/M3/20110414/F50928/2026/1", 82.8)</f>
        <v>82.8</v>
      </c>
      <c r="E8227" s="2">
        <v>53.9</v>
      </c>
      <c r="F8227" s="2">
        <v>2</v>
      </c>
      <c r="G8227" s="2" t="s">
        <v>11</v>
      </c>
    </row>
    <row r="8228" spans="1:9" x14ac:dyDescent="0.2">
      <c r="A8228" s="2" t="s">
        <v>3250</v>
      </c>
      <c r="B8228" s="2" t="s">
        <v>561</v>
      </c>
      <c r="C8228" s="2">
        <v>662.37710000000004</v>
      </c>
      <c r="D8228" s="2">
        <f>HYPERLINK("http://mcb-m6.bioreg.kyushu-u.ac.jp/M3/20110414/F50957/1352/1", 82.8)</f>
        <v>82.8</v>
      </c>
      <c r="E8228" s="2">
        <v>63.55</v>
      </c>
      <c r="F8228" s="2">
        <v>2</v>
      </c>
      <c r="G8228" s="2" t="s">
        <v>11</v>
      </c>
      <c r="H8228" s="2" t="s">
        <v>4919</v>
      </c>
    </row>
    <row r="8229" spans="1:9" x14ac:dyDescent="0.2">
      <c r="A8229" s="2" t="s">
        <v>3250</v>
      </c>
      <c r="B8229" s="2" t="s">
        <v>481</v>
      </c>
      <c r="C8229" s="2">
        <v>709.2441</v>
      </c>
      <c r="D8229" s="2">
        <f>HYPERLINK("http://mcb-m6.bioreg.kyushu-u.ac.jp/M3/20110414/F50929/2143/1", 82.99)</f>
        <v>82.99</v>
      </c>
      <c r="E8229" s="2">
        <v>56.42</v>
      </c>
      <c r="F8229" s="2">
        <v>2</v>
      </c>
      <c r="G8229" s="2" t="s">
        <v>11</v>
      </c>
      <c r="I8229" s="2" t="s">
        <v>4898</v>
      </c>
    </row>
    <row r="8230" spans="1:9" x14ac:dyDescent="0.2">
      <c r="A8230" s="2" t="s">
        <v>3250</v>
      </c>
      <c r="B8230" s="2" t="s">
        <v>561</v>
      </c>
      <c r="C8230" s="2">
        <v>654.15260000000001</v>
      </c>
      <c r="D8230" s="2">
        <f>HYPERLINK("http://mcb-m6.bioreg.kyushu-u.ac.jp/M3/20110414/F50957/1293/1", 83.81)</f>
        <v>83.81</v>
      </c>
      <c r="E8230" s="2">
        <v>59.52</v>
      </c>
      <c r="F8230" s="2">
        <v>2</v>
      </c>
      <c r="G8230" s="2" t="s">
        <v>11</v>
      </c>
    </row>
    <row r="8231" spans="1:9" x14ac:dyDescent="0.2">
      <c r="A8231" s="2" t="s">
        <v>3250</v>
      </c>
      <c r="B8231" s="2" t="s">
        <v>77</v>
      </c>
      <c r="C8231" s="2">
        <v>574.73019999999997</v>
      </c>
      <c r="D8231" s="2">
        <f>HYPERLINK("http://mcb-m6.bioreg.kyushu-u.ac.jp/M3/20110414/F50944/1476/1", 84.03)</f>
        <v>84.03</v>
      </c>
      <c r="E8231" s="2">
        <v>52.14</v>
      </c>
      <c r="F8231" s="2">
        <v>2</v>
      </c>
      <c r="G8231" s="2" t="s">
        <v>11</v>
      </c>
    </row>
    <row r="8232" spans="1:9" x14ac:dyDescent="0.2">
      <c r="A8232" s="2" t="s">
        <v>3250</v>
      </c>
      <c r="B8232" s="2" t="s">
        <v>467</v>
      </c>
      <c r="C8232" s="2">
        <v>691.43520000000001</v>
      </c>
      <c r="D8232" s="2">
        <f>HYPERLINK("http://mcb-m6.bioreg.kyushu-u.ac.jp/M3/20110414/F50926/2025/1", 84.2)</f>
        <v>84.2</v>
      </c>
      <c r="E8232" s="2">
        <v>54.42</v>
      </c>
      <c r="F8232" s="2">
        <v>2</v>
      </c>
      <c r="G8232" s="2" t="s">
        <v>11</v>
      </c>
    </row>
    <row r="8233" spans="1:9" x14ac:dyDescent="0.2">
      <c r="A8233" s="2" t="s">
        <v>3250</v>
      </c>
      <c r="B8233" s="2" t="s">
        <v>481</v>
      </c>
      <c r="C8233" s="2">
        <v>709.10820000000001</v>
      </c>
      <c r="D8233" s="2">
        <f>HYPERLINK("http://mcb-m6.bioreg.kyushu-u.ac.jp/M3/20110414/F50928/2126/1", 84.22)</f>
        <v>84.22</v>
      </c>
      <c r="E8233" s="2">
        <v>63.29</v>
      </c>
      <c r="F8233" s="2">
        <v>2</v>
      </c>
      <c r="G8233" s="2" t="s">
        <v>11</v>
      </c>
      <c r="I8233" s="2" t="s">
        <v>4898</v>
      </c>
    </row>
    <row r="8234" spans="1:9" x14ac:dyDescent="0.2">
      <c r="A8234" s="2" t="s">
        <v>3250</v>
      </c>
      <c r="B8234" s="2" t="s">
        <v>481</v>
      </c>
      <c r="C8234" s="2">
        <v>709.33720000000005</v>
      </c>
      <c r="D8234" s="2">
        <f>HYPERLINK("http://mcb-m6.bioreg.kyushu-u.ac.jp/M3/20110414/F50942/1706/1", 84.29)</f>
        <v>84.29</v>
      </c>
      <c r="E8234" s="2">
        <v>65.150000000000006</v>
      </c>
      <c r="F8234" s="2">
        <v>2</v>
      </c>
      <c r="G8234" s="2" t="s">
        <v>11</v>
      </c>
      <c r="I8234" s="2" t="s">
        <v>4898</v>
      </c>
    </row>
    <row r="8235" spans="1:9" x14ac:dyDescent="0.2">
      <c r="A8235" s="2" t="s">
        <v>3250</v>
      </c>
      <c r="B8235" s="2" t="s">
        <v>561</v>
      </c>
      <c r="C8235" s="2">
        <v>654.10670000000005</v>
      </c>
      <c r="D8235" s="2">
        <f>HYPERLINK("http://mcb-m6.bioreg.kyushu-u.ac.jp/M3/20110414/F50956/1343/1", 84.52)</f>
        <v>84.52</v>
      </c>
      <c r="E8235" s="2">
        <v>58.21</v>
      </c>
      <c r="F8235" s="2">
        <v>2</v>
      </c>
      <c r="G8235" s="2" t="s">
        <v>11</v>
      </c>
    </row>
    <row r="8236" spans="1:9" x14ac:dyDescent="0.2">
      <c r="A8236" s="2" t="s">
        <v>3250</v>
      </c>
      <c r="B8236" s="2" t="s">
        <v>772</v>
      </c>
      <c r="C8236" s="2">
        <v>596.12369999999999</v>
      </c>
      <c r="D8236" s="2">
        <f>HYPERLINK("http://mcb-m6.bioreg.kyushu-u.ac.jp/M3/20110414/F50957/965/1", 84.87)</f>
        <v>84.87</v>
      </c>
      <c r="E8236" s="2">
        <v>60</v>
      </c>
      <c r="F8236" s="2">
        <v>2</v>
      </c>
      <c r="G8236" s="2" t="s">
        <v>11</v>
      </c>
    </row>
    <row r="8237" spans="1:9" x14ac:dyDescent="0.2">
      <c r="A8237" s="2" t="s">
        <v>3250</v>
      </c>
      <c r="B8237" s="2" t="s">
        <v>561</v>
      </c>
      <c r="C8237" s="2">
        <v>654.10670000000005</v>
      </c>
      <c r="D8237" s="2">
        <f>HYPERLINK("http://mcb-m6.bioreg.kyushu-u.ac.jp/M3/20110414/F50957/1291/1", 85.16)</f>
        <v>85.16</v>
      </c>
      <c r="E8237" s="2">
        <v>53.39</v>
      </c>
      <c r="F8237" s="2">
        <v>2</v>
      </c>
      <c r="G8237" s="2" t="s">
        <v>11</v>
      </c>
    </row>
    <row r="8238" spans="1:9" x14ac:dyDescent="0.2">
      <c r="A8238" s="2" t="s">
        <v>3250</v>
      </c>
      <c r="B8238" s="2" t="s">
        <v>772</v>
      </c>
      <c r="C8238" s="2">
        <v>596.13570000000004</v>
      </c>
      <c r="D8238" s="2">
        <f>HYPERLINK("http://mcb-m6.bioreg.kyushu-u.ac.jp/M3/20110414/F50957/967/1", 85.55)</f>
        <v>85.55</v>
      </c>
      <c r="E8238" s="2">
        <v>60.66</v>
      </c>
      <c r="F8238" s="2">
        <v>2</v>
      </c>
      <c r="G8238" s="2" t="s">
        <v>11</v>
      </c>
    </row>
    <row r="8239" spans="1:9" x14ac:dyDescent="0.2">
      <c r="A8239" s="2" t="s">
        <v>3250</v>
      </c>
      <c r="B8239" s="2" t="s">
        <v>503</v>
      </c>
      <c r="C8239" s="2">
        <v>808.48109999999997</v>
      </c>
      <c r="D8239" s="2">
        <f>HYPERLINK("http://mcb-m6.bioreg.kyushu-u.ac.jp/M3/20110414/F50942/2309/1", 86.28)</f>
        <v>86.28</v>
      </c>
      <c r="E8239" s="2">
        <v>71.89</v>
      </c>
      <c r="F8239" s="2">
        <v>2</v>
      </c>
      <c r="G8239" s="2" t="s">
        <v>11</v>
      </c>
    </row>
    <row r="8240" spans="1:9" x14ac:dyDescent="0.2">
      <c r="A8240" s="2" t="s">
        <v>3250</v>
      </c>
      <c r="B8240" s="2" t="s">
        <v>90</v>
      </c>
      <c r="C8240" s="2">
        <v>717.42319999999995</v>
      </c>
      <c r="D8240" s="2">
        <f>HYPERLINK("http://mcb-m6.bioreg.kyushu-u.ac.jp/M3/20110414/F50944/1964/1", 86.35)</f>
        <v>86.35</v>
      </c>
      <c r="E8240" s="2">
        <v>64.17</v>
      </c>
      <c r="F8240" s="2">
        <v>2</v>
      </c>
      <c r="G8240" s="2" t="s">
        <v>11</v>
      </c>
    </row>
    <row r="8241" spans="1:9" x14ac:dyDescent="0.2">
      <c r="A8241" s="2" t="s">
        <v>3250</v>
      </c>
      <c r="B8241" s="2" t="s">
        <v>481</v>
      </c>
      <c r="C8241" s="2">
        <v>709.13620000000003</v>
      </c>
      <c r="D8241" s="2">
        <f>HYPERLINK("http://mcb-m6.bioreg.kyushu-u.ac.jp/M3/20110414/F50926/2090/1", 86.85)</f>
        <v>86.85</v>
      </c>
      <c r="E8241" s="2">
        <v>65.5</v>
      </c>
      <c r="F8241" s="2">
        <v>2</v>
      </c>
      <c r="G8241" s="2" t="s">
        <v>11</v>
      </c>
      <c r="I8241" s="2" t="s">
        <v>4898</v>
      </c>
    </row>
    <row r="8242" spans="1:9" x14ac:dyDescent="0.2">
      <c r="A8242" s="2" t="s">
        <v>3250</v>
      </c>
      <c r="B8242" s="2" t="s">
        <v>1065</v>
      </c>
      <c r="C8242" s="2">
        <v>716.77719999999999</v>
      </c>
      <c r="D8242" s="2">
        <f>HYPERLINK("http://mcb-m6.bioreg.kyushu-u.ac.jp/M3/20110414/F50957/1739/1", 87.01)</f>
        <v>87.01</v>
      </c>
      <c r="E8242" s="2">
        <v>73.28</v>
      </c>
      <c r="F8242" s="2">
        <v>2</v>
      </c>
      <c r="G8242" s="2" t="s">
        <v>11</v>
      </c>
      <c r="I8242" s="2" t="s">
        <v>4892</v>
      </c>
    </row>
    <row r="8243" spans="1:9" x14ac:dyDescent="0.2">
      <c r="A8243" s="2" t="s">
        <v>3250</v>
      </c>
      <c r="B8243" s="2" t="s">
        <v>561</v>
      </c>
      <c r="C8243" s="2">
        <v>662.13170000000002</v>
      </c>
      <c r="D8243" s="2">
        <f>HYPERLINK("http://mcb-m6.bioreg.kyushu-u.ac.jp/M3/20110414/F50924/1666/1", 87.39)</f>
        <v>87.39</v>
      </c>
      <c r="E8243" s="2">
        <v>69.78</v>
      </c>
      <c r="F8243" s="2">
        <v>2</v>
      </c>
      <c r="G8243" s="2" t="s">
        <v>11</v>
      </c>
      <c r="H8243" s="2" t="s">
        <v>4919</v>
      </c>
    </row>
    <row r="8244" spans="1:9" x14ac:dyDescent="0.2">
      <c r="A8244" s="2" t="s">
        <v>3250</v>
      </c>
      <c r="B8244" s="2" t="s">
        <v>772</v>
      </c>
      <c r="C8244" s="2">
        <v>595.70320000000004</v>
      </c>
      <c r="D8244" s="2">
        <f>HYPERLINK("http://mcb-m6.bioreg.kyushu-u.ac.jp/M3/20110414/F50929/1777/1", 87.71)</f>
        <v>87.71</v>
      </c>
      <c r="E8244" s="2">
        <v>43.29</v>
      </c>
      <c r="F8244" s="2">
        <v>2</v>
      </c>
      <c r="G8244" s="2" t="s">
        <v>11</v>
      </c>
    </row>
    <row r="8245" spans="1:9" x14ac:dyDescent="0.2">
      <c r="A8245" s="2" t="s">
        <v>3250</v>
      </c>
      <c r="B8245" s="2" t="s">
        <v>365</v>
      </c>
      <c r="C8245" s="2">
        <v>848.93619999999999</v>
      </c>
      <c r="D8245" s="2">
        <f>HYPERLINK("http://mcb-m6.bioreg.kyushu-u.ac.jp/M3/20110414/F50945/2546/1", 87.79)</f>
        <v>87.79</v>
      </c>
      <c r="E8245" s="2">
        <v>71.69</v>
      </c>
      <c r="F8245" s="2">
        <v>2</v>
      </c>
      <c r="G8245" s="2" t="s">
        <v>11</v>
      </c>
    </row>
    <row r="8246" spans="1:9" x14ac:dyDescent="0.2">
      <c r="A8246" s="2" t="s">
        <v>3250</v>
      </c>
      <c r="B8246" s="2" t="s">
        <v>467</v>
      </c>
      <c r="C8246" s="2">
        <v>692.16560000000004</v>
      </c>
      <c r="D8246" s="2">
        <f>HYPERLINK("http://mcb-m6.bioreg.kyushu-u.ac.jp/M3/20110414/F50962/1687/1", 87.94)</f>
        <v>87.94</v>
      </c>
      <c r="E8246" s="2">
        <v>61.45</v>
      </c>
      <c r="F8246" s="2">
        <v>2</v>
      </c>
      <c r="G8246" s="2" t="s">
        <v>11</v>
      </c>
    </row>
    <row r="8247" spans="1:9" x14ac:dyDescent="0.2">
      <c r="A8247" s="2" t="s">
        <v>3250</v>
      </c>
      <c r="B8247" s="2" t="s">
        <v>561</v>
      </c>
      <c r="C8247" s="2">
        <v>662.5992</v>
      </c>
      <c r="D8247" s="2">
        <f>HYPERLINK("http://mcb-m6.bioreg.kyushu-u.ac.jp/M3/20110414/F50926/1942/1", 88.82)</f>
        <v>88.82</v>
      </c>
      <c r="E8247" s="2">
        <v>66.16</v>
      </c>
      <c r="F8247" s="2">
        <v>2</v>
      </c>
      <c r="G8247" s="2" t="s">
        <v>11</v>
      </c>
      <c r="H8247" s="2" t="s">
        <v>4919</v>
      </c>
    </row>
    <row r="8248" spans="1:9" x14ac:dyDescent="0.2">
      <c r="A8248" s="2" t="s">
        <v>3250</v>
      </c>
      <c r="B8248" s="2" t="s">
        <v>1665</v>
      </c>
      <c r="C8248" s="2">
        <v>1147.3800000000001</v>
      </c>
      <c r="D8248" s="2">
        <f>HYPERLINK("http://mcb-m6.bioreg.kyushu-u.ac.jp/M3/20110414/F50957/4092/1", 88.83)</f>
        <v>88.83</v>
      </c>
      <c r="E8248" s="2">
        <v>75.959999999999994</v>
      </c>
      <c r="F8248" s="2">
        <v>2</v>
      </c>
      <c r="G8248" s="2" t="s">
        <v>11</v>
      </c>
    </row>
    <row r="8249" spans="1:9" x14ac:dyDescent="0.2">
      <c r="A8249" s="2" t="s">
        <v>3250</v>
      </c>
      <c r="B8249" s="2" t="s">
        <v>503</v>
      </c>
      <c r="C8249" s="2">
        <v>808.3682</v>
      </c>
      <c r="D8249" s="2">
        <f>HYPERLINK("http://mcb-m6.bioreg.kyushu-u.ac.jp/M3/20110414/F50943/2295/1", 88.86)</f>
        <v>88.86</v>
      </c>
      <c r="E8249" s="2">
        <v>77.63</v>
      </c>
      <c r="F8249" s="2">
        <v>2</v>
      </c>
      <c r="G8249" s="2" t="s">
        <v>11</v>
      </c>
    </row>
    <row r="8250" spans="1:9" x14ac:dyDescent="0.2">
      <c r="A8250" s="2" t="s">
        <v>3250</v>
      </c>
      <c r="B8250" s="2" t="s">
        <v>356</v>
      </c>
      <c r="C8250" s="2">
        <v>815.75519999999995</v>
      </c>
      <c r="D8250" s="2">
        <f>HYPERLINK("http://mcb-m6.bioreg.kyushu-u.ac.jp/M3/20110414/F50957/2377/1", 89.21)</f>
        <v>89.21</v>
      </c>
      <c r="E8250" s="2">
        <v>74.19</v>
      </c>
      <c r="F8250" s="2">
        <v>2</v>
      </c>
      <c r="G8250" s="2" t="s">
        <v>11</v>
      </c>
    </row>
    <row r="8251" spans="1:9" x14ac:dyDescent="0.2">
      <c r="A8251" s="2" t="s">
        <v>3250</v>
      </c>
      <c r="B8251" s="2" t="s">
        <v>467</v>
      </c>
      <c r="C8251" s="2">
        <v>692.29219999999998</v>
      </c>
      <c r="D8251" s="2">
        <f>HYPERLINK("http://mcb-m6.bioreg.kyushu-u.ac.jp/M3/20110414/F50942/1618/1", 89.37)</f>
        <v>89.37</v>
      </c>
      <c r="E8251" s="2">
        <v>60.21</v>
      </c>
      <c r="F8251" s="2">
        <v>2</v>
      </c>
      <c r="G8251" s="2" t="s">
        <v>11</v>
      </c>
    </row>
    <row r="8252" spans="1:9" x14ac:dyDescent="0.2">
      <c r="A8252" s="2" t="s">
        <v>3250</v>
      </c>
      <c r="B8252" s="2" t="s">
        <v>90</v>
      </c>
      <c r="C8252" s="2">
        <v>717.34059999999999</v>
      </c>
      <c r="D8252" s="2">
        <f>HYPERLINK("http://mcb-m6.bioreg.kyushu-u.ac.jp/M3/20110414/F50924/2020/1", 89.56)</f>
        <v>89.56</v>
      </c>
      <c r="E8252" s="2">
        <v>67.150000000000006</v>
      </c>
      <c r="F8252" s="2">
        <v>2</v>
      </c>
      <c r="G8252" s="2" t="s">
        <v>11</v>
      </c>
    </row>
    <row r="8253" spans="1:9" x14ac:dyDescent="0.2">
      <c r="A8253" s="2" t="s">
        <v>3250</v>
      </c>
      <c r="B8253" s="2" t="s">
        <v>772</v>
      </c>
      <c r="C8253" s="2">
        <v>595.7672</v>
      </c>
      <c r="D8253" s="2">
        <f>HYPERLINK("http://mcb-m6.bioreg.kyushu-u.ac.jp/M3/20110414/F50944/1543/1", 89.6)</f>
        <v>89.6</v>
      </c>
      <c r="E8253" s="2">
        <v>62.57</v>
      </c>
      <c r="F8253" s="2">
        <v>2</v>
      </c>
      <c r="G8253" s="2" t="s">
        <v>11</v>
      </c>
    </row>
    <row r="8254" spans="1:9" x14ac:dyDescent="0.2">
      <c r="A8254" s="2" t="s">
        <v>3250</v>
      </c>
      <c r="B8254" s="2" t="s">
        <v>1581</v>
      </c>
      <c r="C8254" s="2">
        <v>1147.2280000000001</v>
      </c>
      <c r="D8254" s="2">
        <f>HYPERLINK("http://mcb-m6.bioreg.kyushu-u.ac.jp/M3/20110414/F50956/4143/1", 90)</f>
        <v>90</v>
      </c>
      <c r="E8254" s="2">
        <v>79.61</v>
      </c>
      <c r="F8254" s="2">
        <v>2</v>
      </c>
      <c r="G8254" s="2" t="s">
        <v>11</v>
      </c>
      <c r="I8254" s="2" t="s">
        <v>4895</v>
      </c>
    </row>
    <row r="8255" spans="1:9" x14ac:dyDescent="0.2">
      <c r="A8255" s="2" t="s">
        <v>3250</v>
      </c>
      <c r="B8255" s="2" t="s">
        <v>1255</v>
      </c>
      <c r="C8255" s="2">
        <v>1273.883</v>
      </c>
      <c r="D8255" s="2">
        <f>HYPERLINK("http://mcb-m6.bioreg.kyushu-u.ac.jp/M3/20110414/F50941/4121/1", 90.19)</f>
        <v>90.19</v>
      </c>
      <c r="E8255" s="2">
        <v>79.14</v>
      </c>
      <c r="F8255" s="2">
        <v>2</v>
      </c>
      <c r="G8255" s="2" t="s">
        <v>11</v>
      </c>
      <c r="I8255" s="2" t="s">
        <v>4906</v>
      </c>
    </row>
    <row r="8256" spans="1:9" x14ac:dyDescent="0.2">
      <c r="A8256" s="2" t="s">
        <v>3250</v>
      </c>
      <c r="B8256" s="2" t="s">
        <v>356</v>
      </c>
      <c r="C8256" s="2">
        <v>816.08069999999998</v>
      </c>
      <c r="D8256" s="2">
        <f>HYPERLINK("http://mcb-m6.bioreg.kyushu-u.ac.jp/M3/20110414/F50957/2380/1", 90.4)</f>
        <v>90.4</v>
      </c>
      <c r="E8256" s="2">
        <v>70.45</v>
      </c>
      <c r="F8256" s="2">
        <v>2</v>
      </c>
      <c r="G8256" s="2" t="s">
        <v>11</v>
      </c>
    </row>
    <row r="8257" spans="1:9" x14ac:dyDescent="0.2">
      <c r="A8257" s="2" t="s">
        <v>3250</v>
      </c>
      <c r="B8257" s="2" t="s">
        <v>467</v>
      </c>
      <c r="C8257" s="2">
        <v>692.23659999999995</v>
      </c>
      <c r="D8257" s="2">
        <f>HYPERLINK("http://mcb-m6.bioreg.kyushu-u.ac.jp/M3/20110414/F50924/1852/1", 91.05)</f>
        <v>91.05</v>
      </c>
      <c r="E8257" s="2">
        <v>63.28</v>
      </c>
      <c r="F8257" s="2">
        <v>2</v>
      </c>
      <c r="G8257" s="2" t="s">
        <v>11</v>
      </c>
    </row>
    <row r="8258" spans="1:9" x14ac:dyDescent="0.2">
      <c r="A8258" s="2" t="s">
        <v>3250</v>
      </c>
      <c r="B8258" s="2" t="s">
        <v>561</v>
      </c>
      <c r="C8258" s="2">
        <v>662.18119999999999</v>
      </c>
      <c r="D8258" s="2">
        <f>HYPERLINK("http://mcb-m6.bioreg.kyushu-u.ac.jp/M3/20110414/F50925/1887/1", 91.29)</f>
        <v>91.29</v>
      </c>
      <c r="E8258" s="2">
        <v>73.27</v>
      </c>
      <c r="F8258" s="2">
        <v>2</v>
      </c>
      <c r="G8258" s="2" t="s">
        <v>11</v>
      </c>
      <c r="H8258" s="2" t="s">
        <v>4919</v>
      </c>
    </row>
    <row r="8259" spans="1:9" x14ac:dyDescent="0.2">
      <c r="A8259" s="2" t="s">
        <v>3250</v>
      </c>
      <c r="B8259" s="2" t="s">
        <v>561</v>
      </c>
      <c r="C8259" s="2">
        <v>654.07669999999996</v>
      </c>
      <c r="D8259" s="2">
        <f>HYPERLINK("http://mcb-m6.bioreg.kyushu-u.ac.jp/M3/20110414/F50957/1289/1", 91.41)</f>
        <v>91.41</v>
      </c>
      <c r="E8259" s="2">
        <v>65.959999999999994</v>
      </c>
      <c r="F8259" s="2">
        <v>2</v>
      </c>
      <c r="G8259" s="2" t="s">
        <v>11</v>
      </c>
    </row>
    <row r="8260" spans="1:9" x14ac:dyDescent="0.2">
      <c r="A8260" s="2" t="s">
        <v>3250</v>
      </c>
      <c r="B8260" s="2" t="s">
        <v>561</v>
      </c>
      <c r="C8260" s="2">
        <v>654.20259999999996</v>
      </c>
      <c r="D8260" s="2">
        <f>HYPERLINK("http://mcb-m6.bioreg.kyushu-u.ac.jp/M3/20110414/F50925/1878/1", 91.72)</f>
        <v>91.72</v>
      </c>
      <c r="E8260" s="2">
        <v>67.150000000000006</v>
      </c>
      <c r="F8260" s="2">
        <v>2</v>
      </c>
      <c r="G8260" s="2" t="s">
        <v>11</v>
      </c>
    </row>
    <row r="8261" spans="1:9" x14ac:dyDescent="0.2">
      <c r="A8261" s="2" t="s">
        <v>3250</v>
      </c>
      <c r="B8261" s="2" t="s">
        <v>481</v>
      </c>
      <c r="C8261" s="2">
        <v>709.24570000000006</v>
      </c>
      <c r="D8261" s="2">
        <f>HYPERLINK("http://mcb-m6.bioreg.kyushu-u.ac.jp/M3/20110414/F50925/2062/1", 91.83)</f>
        <v>91.83</v>
      </c>
      <c r="E8261" s="2">
        <v>70.06</v>
      </c>
      <c r="F8261" s="2">
        <v>2</v>
      </c>
      <c r="G8261" s="2" t="s">
        <v>11</v>
      </c>
      <c r="I8261" s="2" t="s">
        <v>4898</v>
      </c>
    </row>
    <row r="8262" spans="1:9" x14ac:dyDescent="0.2">
      <c r="A8262" s="2" t="s">
        <v>3250</v>
      </c>
      <c r="B8262" s="2" t="s">
        <v>90</v>
      </c>
      <c r="C8262" s="2">
        <v>717.08370000000002</v>
      </c>
      <c r="D8262" s="2">
        <f>HYPERLINK("http://mcb-m6.bioreg.kyushu-u.ac.jp/M3/20110414/F50956/1761/1", 92.3)</f>
        <v>92.3</v>
      </c>
      <c r="E8262" s="2">
        <v>65.62</v>
      </c>
      <c r="F8262" s="2">
        <v>2</v>
      </c>
      <c r="G8262" s="2" t="s">
        <v>11</v>
      </c>
    </row>
    <row r="8263" spans="1:9" x14ac:dyDescent="0.2">
      <c r="A8263" s="2" t="s">
        <v>3250</v>
      </c>
      <c r="B8263" s="2" t="s">
        <v>561</v>
      </c>
      <c r="C8263" s="2">
        <v>654.39670000000001</v>
      </c>
      <c r="D8263" s="2">
        <f>HYPERLINK("http://mcb-m6.bioreg.kyushu-u.ac.jp/M3/20110414/F50928/1854/1", 92.35)</f>
        <v>92.35</v>
      </c>
      <c r="E8263" s="2">
        <v>68.66</v>
      </c>
      <c r="F8263" s="2">
        <v>2</v>
      </c>
      <c r="G8263" s="2" t="s">
        <v>11</v>
      </c>
    </row>
    <row r="8264" spans="1:9" x14ac:dyDescent="0.2">
      <c r="A8264" s="2" t="s">
        <v>3250</v>
      </c>
      <c r="B8264" s="2" t="s">
        <v>467</v>
      </c>
      <c r="C8264" s="2">
        <v>692.21010000000001</v>
      </c>
      <c r="D8264" s="2">
        <f>HYPERLINK("http://mcb-m6.bioreg.kyushu-u.ac.jp/M3/20110414/F50925/1996/1", 92.39)</f>
        <v>92.39</v>
      </c>
      <c r="E8264" s="2">
        <v>64.45</v>
      </c>
      <c r="F8264" s="2">
        <v>2</v>
      </c>
      <c r="G8264" s="2" t="s">
        <v>11</v>
      </c>
    </row>
    <row r="8265" spans="1:9" x14ac:dyDescent="0.2">
      <c r="A8265" s="2" t="s">
        <v>3250</v>
      </c>
      <c r="B8265" s="2" t="s">
        <v>90</v>
      </c>
      <c r="C8265" s="2">
        <v>717.11019999999996</v>
      </c>
      <c r="D8265" s="2">
        <f>HYPERLINK("http://mcb-m6.bioreg.kyushu-u.ac.jp/M3/20110414/F50957/1744/1", 92.61)</f>
        <v>92.61</v>
      </c>
      <c r="E8265" s="2">
        <v>70.69</v>
      </c>
      <c r="F8265" s="2">
        <v>2</v>
      </c>
      <c r="G8265" s="2" t="s">
        <v>11</v>
      </c>
    </row>
    <row r="8266" spans="1:9" x14ac:dyDescent="0.2">
      <c r="A8266" s="2" t="s">
        <v>3250</v>
      </c>
      <c r="B8266" s="2" t="s">
        <v>90</v>
      </c>
      <c r="C8266" s="2">
        <v>1432.39</v>
      </c>
      <c r="D8266" s="2">
        <f>HYPERLINK("http://mcb-m6.bioreg.kyushu-u.ac.jp/M3/20110414/F50957/1734/1", 93.23)</f>
        <v>93.23</v>
      </c>
      <c r="E8266" s="2">
        <v>75.16</v>
      </c>
      <c r="F8266" s="2">
        <v>1</v>
      </c>
      <c r="G8266" s="2" t="s">
        <v>11</v>
      </c>
    </row>
    <row r="8267" spans="1:9" x14ac:dyDescent="0.2">
      <c r="A8267" s="2" t="s">
        <v>3250</v>
      </c>
      <c r="B8267" s="2" t="s">
        <v>356</v>
      </c>
      <c r="C8267" s="2">
        <v>816.41219999999998</v>
      </c>
      <c r="D8267" s="2">
        <f>HYPERLINK("http://mcb-m6.bioreg.kyushu-u.ac.jp/M3/20110414/F50956/2467/1", 94.11)</f>
        <v>94.11</v>
      </c>
      <c r="E8267" s="2">
        <v>77.64</v>
      </c>
      <c r="F8267" s="2">
        <v>2</v>
      </c>
      <c r="G8267" s="2" t="s">
        <v>11</v>
      </c>
    </row>
    <row r="8268" spans="1:9" x14ac:dyDescent="0.2">
      <c r="A8268" s="2" t="s">
        <v>3250</v>
      </c>
      <c r="B8268" s="2" t="s">
        <v>77</v>
      </c>
      <c r="C8268" s="2">
        <v>574.66520000000003</v>
      </c>
      <c r="D8268" s="2">
        <f>HYPERLINK("http://mcb-m6.bioreg.kyushu-u.ac.jp/M3/20110414/F50942/1071/1", 95.72)</f>
        <v>95.72</v>
      </c>
      <c r="E8268" s="2">
        <v>70.58</v>
      </c>
      <c r="F8268" s="2">
        <v>2</v>
      </c>
      <c r="G8268" s="2" t="s">
        <v>11</v>
      </c>
    </row>
    <row r="8269" spans="1:9" x14ac:dyDescent="0.2">
      <c r="A8269" s="2" t="s">
        <v>3250</v>
      </c>
      <c r="B8269" s="2" t="s">
        <v>467</v>
      </c>
      <c r="C8269" s="2">
        <v>692.1952</v>
      </c>
      <c r="D8269" s="2">
        <f>HYPERLINK("http://mcb-m6.bioreg.kyushu-u.ac.jp/M3/20110414/F50957/1573/1", 96.15)</f>
        <v>96.15</v>
      </c>
      <c r="E8269" s="2">
        <v>63.93</v>
      </c>
      <c r="F8269" s="2">
        <v>2</v>
      </c>
      <c r="G8269" s="2" t="s">
        <v>11</v>
      </c>
    </row>
    <row r="8270" spans="1:9" x14ac:dyDescent="0.2">
      <c r="A8270" s="2" t="s">
        <v>3250</v>
      </c>
      <c r="B8270" s="2" t="s">
        <v>1521</v>
      </c>
      <c r="C8270" s="2">
        <v>988.78420000000006</v>
      </c>
      <c r="D8270" s="2">
        <f>HYPERLINK("http://mcb-m6.bioreg.kyushu-u.ac.jp/M3/20110414/F50956/3504/1", 96.49)</f>
        <v>96.49</v>
      </c>
      <c r="E8270" s="2">
        <v>85.02</v>
      </c>
      <c r="F8270" s="2">
        <v>2</v>
      </c>
      <c r="G8270" s="2" t="s">
        <v>11</v>
      </c>
    </row>
    <row r="8271" spans="1:9" x14ac:dyDescent="0.2">
      <c r="A8271" s="2" t="s">
        <v>3250</v>
      </c>
      <c r="B8271" s="2" t="s">
        <v>503</v>
      </c>
      <c r="C8271" s="2">
        <v>808.28470000000004</v>
      </c>
      <c r="D8271" s="2">
        <f>HYPERLINK("http://mcb-m6.bioreg.kyushu-u.ac.jp/M3/20110414/F50957/2326/1", 98.33)</f>
        <v>98.33</v>
      </c>
      <c r="E8271" s="2">
        <v>83.64</v>
      </c>
      <c r="F8271" s="2">
        <v>2</v>
      </c>
      <c r="G8271" s="2" t="s">
        <v>11</v>
      </c>
    </row>
    <row r="8272" spans="1:9" x14ac:dyDescent="0.2">
      <c r="A8272" s="2" t="s">
        <v>3250</v>
      </c>
      <c r="B8272" s="2" t="s">
        <v>356</v>
      </c>
      <c r="C8272" s="2">
        <v>816.29359999999997</v>
      </c>
      <c r="D8272" s="2">
        <f>HYPERLINK("http://mcb-m6.bioreg.kyushu-u.ac.jp/M3/20110414/F50956/2464/1", 99.98)</f>
        <v>99.98</v>
      </c>
      <c r="E8272" s="2">
        <v>85.13</v>
      </c>
      <c r="F8272" s="2">
        <v>2</v>
      </c>
      <c r="G8272" s="2" t="s">
        <v>11</v>
      </c>
    </row>
    <row r="8273" spans="1:9" x14ac:dyDescent="0.2">
      <c r="A8273" s="2" t="s">
        <v>3250</v>
      </c>
      <c r="B8273" s="2" t="s">
        <v>1665</v>
      </c>
      <c r="C8273" s="2">
        <v>1147.2919999999999</v>
      </c>
      <c r="D8273" s="2">
        <f>HYPERLINK("http://mcb-m6.bioreg.kyushu-u.ac.jp/M3/20110414/F50957/4089/1", 100.37)</f>
        <v>100.37</v>
      </c>
      <c r="E8273" s="2">
        <v>88.82</v>
      </c>
      <c r="F8273" s="2">
        <v>2</v>
      </c>
      <c r="G8273" s="2" t="s">
        <v>11</v>
      </c>
    </row>
    <row r="8274" spans="1:9" x14ac:dyDescent="0.2">
      <c r="A8274" s="2" t="s">
        <v>3250</v>
      </c>
      <c r="B8274" s="2" t="s">
        <v>356</v>
      </c>
      <c r="C8274" s="2">
        <v>815.83669999999995</v>
      </c>
      <c r="D8274" s="2">
        <f>HYPERLINK("http://mcb-m6.bioreg.kyushu-u.ac.jp/M3/20110414/F50927/2616/1", 100.75)</f>
        <v>100.75</v>
      </c>
      <c r="E8274" s="2">
        <v>84.43</v>
      </c>
      <c r="F8274" s="2">
        <v>2</v>
      </c>
      <c r="G8274" s="2" t="s">
        <v>11</v>
      </c>
    </row>
    <row r="8275" spans="1:9" x14ac:dyDescent="0.2">
      <c r="A8275" s="2" t="s">
        <v>3250</v>
      </c>
      <c r="B8275" s="2" t="s">
        <v>481</v>
      </c>
      <c r="C8275" s="2">
        <v>709.2722</v>
      </c>
      <c r="D8275" s="2">
        <f>HYPERLINK("http://mcb-m6.bioreg.kyushu-u.ac.jp/M3/20110414/F50941/1906/1", 101.04)</f>
        <v>101.04</v>
      </c>
      <c r="E8275" s="2">
        <v>79.790000000000006</v>
      </c>
      <c r="F8275" s="2">
        <v>2</v>
      </c>
      <c r="G8275" s="2" t="s">
        <v>11</v>
      </c>
      <c r="I8275" s="2" t="s">
        <v>4898</v>
      </c>
    </row>
    <row r="8276" spans="1:9" x14ac:dyDescent="0.2">
      <c r="A8276" s="2" t="s">
        <v>3250</v>
      </c>
      <c r="B8276" s="2" t="s">
        <v>467</v>
      </c>
      <c r="C8276" s="2">
        <v>691.70209999999997</v>
      </c>
      <c r="D8276" s="2">
        <f>HYPERLINK("http://mcb-m6.bioreg.kyushu-u.ac.jp/M3/20110414/F50925/1992/1", 101.75)</f>
        <v>101.75</v>
      </c>
      <c r="E8276" s="2">
        <v>71.040000000000006</v>
      </c>
      <c r="F8276" s="2">
        <v>2</v>
      </c>
      <c r="G8276" s="2" t="s">
        <v>11</v>
      </c>
    </row>
    <row r="8277" spans="1:9" x14ac:dyDescent="0.2">
      <c r="A8277" s="2" t="s">
        <v>3250</v>
      </c>
      <c r="B8277" s="2" t="s">
        <v>90</v>
      </c>
      <c r="C8277" s="2">
        <v>716.77170000000001</v>
      </c>
      <c r="D8277" s="2">
        <f>HYPERLINK("http://mcb-m6.bioreg.kyushu-u.ac.jp/M3/20110414/F50962/1801/1", 102.11)</f>
        <v>102.11</v>
      </c>
      <c r="E8277" s="2">
        <v>77.319999999999993</v>
      </c>
      <c r="F8277" s="2">
        <v>2</v>
      </c>
      <c r="G8277" s="2" t="s">
        <v>11</v>
      </c>
    </row>
    <row r="8278" spans="1:9" x14ac:dyDescent="0.2">
      <c r="A8278" s="2" t="s">
        <v>3250</v>
      </c>
      <c r="B8278" s="2" t="s">
        <v>1581</v>
      </c>
      <c r="C8278" s="2">
        <v>1147.309</v>
      </c>
      <c r="D8278" s="2">
        <f>HYPERLINK("http://mcb-m6.bioreg.kyushu-u.ac.jp/M3/20110414/F50957/4090/1", 104.08)</f>
        <v>104.08</v>
      </c>
      <c r="E8278" s="2">
        <v>94.37</v>
      </c>
      <c r="F8278" s="2">
        <v>2</v>
      </c>
      <c r="G8278" s="2" t="s">
        <v>11</v>
      </c>
      <c r="I8278" s="2" t="s">
        <v>4895</v>
      </c>
    </row>
    <row r="8279" spans="1:9" x14ac:dyDescent="0.2">
      <c r="A8279" s="2" t="s">
        <v>3250</v>
      </c>
      <c r="B8279" s="2" t="s">
        <v>356</v>
      </c>
      <c r="C8279" s="2">
        <v>815.71420000000001</v>
      </c>
      <c r="D8279" s="2">
        <f>HYPERLINK("http://mcb-m6.bioreg.kyushu-u.ac.jp/M3/20110414/F50957/2374/1", 107.18)</f>
        <v>107.18</v>
      </c>
      <c r="E8279" s="2">
        <v>88.57</v>
      </c>
      <c r="F8279" s="2">
        <v>2</v>
      </c>
      <c r="G8279" s="2" t="s">
        <v>11</v>
      </c>
    </row>
    <row r="8280" spans="1:9" x14ac:dyDescent="0.2">
      <c r="A8280" s="2" t="s">
        <v>3250</v>
      </c>
      <c r="B8280" s="2" t="s">
        <v>356</v>
      </c>
      <c r="C8280" s="2">
        <v>816.17970000000003</v>
      </c>
      <c r="D8280" s="2">
        <f>HYPERLINK("http://mcb-m6.bioreg.kyushu-u.ac.jp/M3/20110414/F50956/2460/1", 107.92)</f>
        <v>107.92</v>
      </c>
      <c r="E8280" s="2">
        <v>82.98</v>
      </c>
      <c r="F8280" s="2">
        <v>2</v>
      </c>
      <c r="G8280" s="2" t="s">
        <v>11</v>
      </c>
    </row>
    <row r="8281" spans="1:9" x14ac:dyDescent="0.2">
      <c r="A8281" s="2" t="s">
        <v>3250</v>
      </c>
      <c r="B8281" s="2" t="s">
        <v>356</v>
      </c>
      <c r="C8281" s="2">
        <v>816.14170000000001</v>
      </c>
      <c r="D8281" s="2">
        <f>HYPERLINK("http://mcb-m6.bioreg.kyushu-u.ac.jp/M3/20110414/F50956/2459/1", 108)</f>
        <v>108</v>
      </c>
      <c r="E8281" s="2">
        <v>89.09</v>
      </c>
      <c r="F8281" s="2">
        <v>2</v>
      </c>
      <c r="G8281" s="2" t="s">
        <v>11</v>
      </c>
    </row>
    <row r="8282" spans="1:9" x14ac:dyDescent="0.2">
      <c r="A8282" s="2" t="s">
        <v>3250</v>
      </c>
      <c r="B8282" s="2" t="s">
        <v>503</v>
      </c>
      <c r="C8282" s="2">
        <v>808.29169999999999</v>
      </c>
      <c r="D8282" s="2">
        <f>HYPERLINK("http://mcb-m6.bioreg.kyushu-u.ac.jp/M3/20110414/F50956/2398/1", 109.29)</f>
        <v>109.29</v>
      </c>
      <c r="E8282" s="2">
        <v>90.9</v>
      </c>
      <c r="F8282" s="2">
        <v>2</v>
      </c>
      <c r="G8282" s="2" t="s">
        <v>11</v>
      </c>
    </row>
    <row r="8283" spans="1:9" x14ac:dyDescent="0.2">
      <c r="A8283" s="2" t="s">
        <v>3250</v>
      </c>
      <c r="B8283" s="2" t="s">
        <v>467</v>
      </c>
      <c r="C8283" s="2">
        <v>691.77919999999995</v>
      </c>
      <c r="D8283" s="2">
        <f>HYPERLINK("http://mcb-m6.bioreg.kyushu-u.ac.jp/M3/20110414/F50942/1612/1", 109.58)</f>
        <v>109.58</v>
      </c>
      <c r="E8283" s="2">
        <v>74.66</v>
      </c>
      <c r="F8283" s="2">
        <v>2</v>
      </c>
      <c r="G8283" s="2" t="s">
        <v>11</v>
      </c>
    </row>
    <row r="8284" spans="1:9" x14ac:dyDescent="0.2">
      <c r="A8284" s="2" t="s">
        <v>3250</v>
      </c>
      <c r="B8284" s="2" t="s">
        <v>356</v>
      </c>
      <c r="C8284" s="2">
        <v>815.80470000000003</v>
      </c>
      <c r="D8284" s="2">
        <f>HYPERLINK("http://mcb-m6.bioreg.kyushu-u.ac.jp/M3/20110414/F50962/2229/1", 109.72)</f>
        <v>109.72</v>
      </c>
      <c r="E8284" s="2">
        <v>91.33</v>
      </c>
      <c r="F8284" s="2">
        <v>2</v>
      </c>
      <c r="G8284" s="2" t="s">
        <v>11</v>
      </c>
    </row>
    <row r="8285" spans="1:9" x14ac:dyDescent="0.2">
      <c r="A8285" s="2" t="s">
        <v>3250</v>
      </c>
      <c r="B8285" s="2" t="s">
        <v>356</v>
      </c>
      <c r="C8285" s="2">
        <v>815.71119999999996</v>
      </c>
      <c r="D8285" s="2">
        <f>HYPERLINK("http://mcb-m6.bioreg.kyushu-u.ac.jp/M3/20110414/F50928/2652/1", 111.23)</f>
        <v>111.23</v>
      </c>
      <c r="E8285" s="2">
        <v>85.8</v>
      </c>
      <c r="F8285" s="2">
        <v>2</v>
      </c>
      <c r="G8285" s="2" t="s">
        <v>11</v>
      </c>
    </row>
    <row r="8286" spans="1:9" x14ac:dyDescent="0.2">
      <c r="A8286" s="2" t="s">
        <v>3250</v>
      </c>
      <c r="B8286" s="2" t="s">
        <v>356</v>
      </c>
      <c r="C8286" s="2">
        <v>816.29909999999995</v>
      </c>
      <c r="D8286" s="2">
        <f>HYPERLINK("http://mcb-m6.bioreg.kyushu-u.ac.jp/M3/20110414/F50925/2484/1", 115.06)</f>
        <v>115.06</v>
      </c>
      <c r="E8286" s="2">
        <v>95.95</v>
      </c>
      <c r="F8286" s="2">
        <v>2</v>
      </c>
      <c r="G8286" s="2" t="s">
        <v>11</v>
      </c>
    </row>
    <row r="8287" spans="1:9" x14ac:dyDescent="0.2">
      <c r="A8287" s="2" t="s">
        <v>3250</v>
      </c>
      <c r="B8287" s="2" t="s">
        <v>142</v>
      </c>
      <c r="C8287" s="2">
        <v>848.03200000000004</v>
      </c>
      <c r="D8287" s="2">
        <f>HYPERLINK("http://mcb-m6.bioreg.kyushu-u.ac.jp/M3/20110414/F50950/657/1", 35.01)</f>
        <v>35.01</v>
      </c>
      <c r="E8287" s="2">
        <v>11.29</v>
      </c>
      <c r="F8287" s="2">
        <v>1</v>
      </c>
      <c r="G8287" s="2" t="s">
        <v>12</v>
      </c>
    </row>
    <row r="8288" spans="1:9" x14ac:dyDescent="0.2">
      <c r="A8288" s="2" t="s">
        <v>3250</v>
      </c>
      <c r="B8288" s="2" t="s">
        <v>561</v>
      </c>
      <c r="C8288" s="2">
        <v>654.53859999999997</v>
      </c>
      <c r="D8288" s="2">
        <f>HYPERLINK("http://mcb-m6.bioreg.kyushu-u.ac.jp/M3/20110414/F50966/1436/1", 35.11)</f>
        <v>35.11</v>
      </c>
      <c r="E8288" s="2">
        <v>19.600000000000001</v>
      </c>
      <c r="F8288" s="2">
        <v>2</v>
      </c>
      <c r="G8288" s="2" t="s">
        <v>12</v>
      </c>
    </row>
    <row r="8289" spans="1:9" x14ac:dyDescent="0.2">
      <c r="A8289" s="2" t="s">
        <v>3250</v>
      </c>
      <c r="B8289" s="2" t="s">
        <v>1065</v>
      </c>
      <c r="C8289" s="2">
        <v>716.32370000000003</v>
      </c>
      <c r="D8289" s="2">
        <f>HYPERLINK("http://mcb-m6.bioreg.kyushu-u.ac.jp/M3/20110414/F50950/2010/1", 35.45)</f>
        <v>35.450000000000003</v>
      </c>
      <c r="E8289" s="2">
        <v>18.41</v>
      </c>
      <c r="F8289" s="2">
        <v>2</v>
      </c>
      <c r="G8289" s="2" t="s">
        <v>12</v>
      </c>
      <c r="I8289" s="2" t="s">
        <v>4892</v>
      </c>
    </row>
    <row r="8290" spans="1:9" x14ac:dyDescent="0.2">
      <c r="A8290" s="2" t="s">
        <v>3250</v>
      </c>
      <c r="B8290" s="2" t="s">
        <v>1065</v>
      </c>
      <c r="C8290" s="2">
        <v>716.47119999999995</v>
      </c>
      <c r="D8290" s="2">
        <f>HYPERLINK("http://mcb-m6.bioreg.kyushu-u.ac.jp/M3/20110414/F50950/2014/1", 35.94)</f>
        <v>35.94</v>
      </c>
      <c r="E8290" s="2">
        <v>8.42</v>
      </c>
      <c r="F8290" s="2">
        <v>2</v>
      </c>
      <c r="G8290" s="2" t="s">
        <v>12</v>
      </c>
      <c r="I8290" s="2" t="s">
        <v>4892</v>
      </c>
    </row>
    <row r="8291" spans="1:9" x14ac:dyDescent="0.2">
      <c r="A8291" s="2" t="s">
        <v>3250</v>
      </c>
      <c r="B8291" s="2" t="s">
        <v>834</v>
      </c>
      <c r="C8291" s="2">
        <v>621.41970000000003</v>
      </c>
      <c r="D8291" s="2">
        <f>HYPERLINK("http://mcb-m6.bioreg.kyushu-u.ac.jp/M3/20110414/F50950/1443/1", 36.02)</f>
        <v>36.020000000000003</v>
      </c>
      <c r="E8291" s="2">
        <v>20.61</v>
      </c>
      <c r="F8291" s="2">
        <v>2</v>
      </c>
      <c r="G8291" s="2" t="s">
        <v>12</v>
      </c>
    </row>
    <row r="8292" spans="1:9" x14ac:dyDescent="0.2">
      <c r="A8292" s="2" t="s">
        <v>3250</v>
      </c>
      <c r="B8292" s="2" t="s">
        <v>356</v>
      </c>
      <c r="C8292" s="2">
        <v>816.4366</v>
      </c>
      <c r="D8292" s="2">
        <f>HYPERLINK("http://mcb-m6.bioreg.kyushu-u.ac.jp/M3/20110414/F50931/2319/1", 36.4)</f>
        <v>36.4</v>
      </c>
      <c r="E8292" s="2">
        <v>16.28</v>
      </c>
      <c r="F8292" s="2">
        <v>2</v>
      </c>
      <c r="G8292" s="2" t="s">
        <v>12</v>
      </c>
    </row>
    <row r="8293" spans="1:9" x14ac:dyDescent="0.2">
      <c r="A8293" s="2" t="s">
        <v>3250</v>
      </c>
      <c r="B8293" s="2" t="s">
        <v>503</v>
      </c>
      <c r="C8293" s="2">
        <v>808.90170000000001</v>
      </c>
      <c r="D8293" s="2">
        <f>HYPERLINK("http://mcb-m6.bioreg.kyushu-u.ac.jp/M3/20110414/F50948/2514/1", 36.51)</f>
        <v>36.51</v>
      </c>
      <c r="E8293" s="2">
        <v>24.92</v>
      </c>
      <c r="F8293" s="2">
        <v>2</v>
      </c>
      <c r="G8293" s="2" t="s">
        <v>12</v>
      </c>
    </row>
    <row r="8294" spans="1:9" x14ac:dyDescent="0.2">
      <c r="A8294" s="2" t="s">
        <v>3250</v>
      </c>
      <c r="B8294" s="2" t="s">
        <v>888</v>
      </c>
      <c r="C8294" s="2">
        <v>810.94010000000003</v>
      </c>
      <c r="D8294" s="2">
        <f>HYPERLINK("http://mcb-m6.bioreg.kyushu-u.ac.jp/M3/20110414/F50958/4402/1", 36.8)</f>
        <v>36.799999999999997</v>
      </c>
      <c r="E8294" s="2">
        <v>27.22</v>
      </c>
      <c r="F8294" s="2">
        <v>3</v>
      </c>
      <c r="G8294" s="2" t="s">
        <v>12</v>
      </c>
      <c r="I8294" s="2" t="s">
        <v>4895</v>
      </c>
    </row>
    <row r="8295" spans="1:9" x14ac:dyDescent="0.2">
      <c r="A8295" s="2" t="s">
        <v>3250</v>
      </c>
      <c r="B8295" s="2" t="s">
        <v>1787</v>
      </c>
      <c r="C8295" s="2">
        <v>588.22519999999997</v>
      </c>
      <c r="D8295" s="2">
        <f>HYPERLINK("http://mcb-m6.bioreg.kyushu-u.ac.jp/M3/20110414/F50947/1131/1", 36.86)</f>
        <v>36.86</v>
      </c>
      <c r="E8295" s="2">
        <v>24</v>
      </c>
      <c r="F8295" s="2">
        <v>2</v>
      </c>
      <c r="G8295" s="2" t="s">
        <v>12</v>
      </c>
      <c r="I8295" s="2" t="s">
        <v>4895</v>
      </c>
    </row>
    <row r="8296" spans="1:9" x14ac:dyDescent="0.2">
      <c r="A8296" s="2" t="s">
        <v>3250</v>
      </c>
      <c r="B8296" s="2" t="s">
        <v>1765</v>
      </c>
      <c r="C8296" s="2">
        <v>1521.597</v>
      </c>
      <c r="D8296" s="2">
        <f>HYPERLINK("http://mcb-m6.bioreg.kyushu-u.ac.jp/M3/20110414/F50959/2005/1", 36.92)</f>
        <v>36.92</v>
      </c>
      <c r="E8296" s="2">
        <v>20.99</v>
      </c>
      <c r="F8296" s="2">
        <v>1</v>
      </c>
      <c r="G8296" s="2" t="s">
        <v>12</v>
      </c>
    </row>
    <row r="8297" spans="1:9" x14ac:dyDescent="0.2">
      <c r="A8297" s="2" t="s">
        <v>3250</v>
      </c>
      <c r="B8297" s="2" t="s">
        <v>365</v>
      </c>
      <c r="C8297" s="2">
        <v>848.89009999999996</v>
      </c>
      <c r="D8297" s="2">
        <f>HYPERLINK("http://mcb-m6.bioreg.kyushu-u.ac.jp/M3/20110414/F50959/2641/1", 36.95)</f>
        <v>36.950000000000003</v>
      </c>
      <c r="E8297" s="2">
        <v>23.94</v>
      </c>
      <c r="F8297" s="2">
        <v>2</v>
      </c>
      <c r="G8297" s="2" t="s">
        <v>12</v>
      </c>
    </row>
    <row r="8298" spans="1:9" x14ac:dyDescent="0.2">
      <c r="A8298" s="2" t="s">
        <v>3250</v>
      </c>
      <c r="B8298" s="2" t="s">
        <v>77</v>
      </c>
      <c r="C8298" s="2">
        <v>1148.145</v>
      </c>
      <c r="D8298" s="2">
        <f>HYPERLINK("http://mcb-m6.bioreg.kyushu-u.ac.jp/M3/20110414/F50949/1813/1", 37.04)</f>
        <v>37.04</v>
      </c>
      <c r="E8298" s="2">
        <v>15.62</v>
      </c>
      <c r="F8298" s="2">
        <v>1</v>
      </c>
      <c r="G8298" s="2" t="s">
        <v>12</v>
      </c>
    </row>
    <row r="8299" spans="1:9" x14ac:dyDescent="0.2">
      <c r="A8299" s="2" t="s">
        <v>3250</v>
      </c>
      <c r="B8299" s="2" t="s">
        <v>467</v>
      </c>
      <c r="C8299" s="2">
        <v>692.09220000000005</v>
      </c>
      <c r="D8299" s="2">
        <f>HYPERLINK("http://mcb-m6.bioreg.kyushu-u.ac.jp/M3/20110414/F50933/2160/1", 37.09)</f>
        <v>37.090000000000003</v>
      </c>
      <c r="E8299" s="2">
        <v>20.09</v>
      </c>
      <c r="F8299" s="2">
        <v>2</v>
      </c>
      <c r="G8299" s="2" t="s">
        <v>12</v>
      </c>
    </row>
    <row r="8300" spans="1:9" x14ac:dyDescent="0.2">
      <c r="A8300" s="2" t="s">
        <v>3250</v>
      </c>
      <c r="B8300" s="2" t="s">
        <v>90</v>
      </c>
      <c r="C8300" s="2">
        <v>717.30110000000002</v>
      </c>
      <c r="D8300" s="2">
        <f>HYPERLINK("http://mcb-m6.bioreg.kyushu-u.ac.jp/M3/20110414/F50963/1719/1", 37.21)</f>
        <v>37.21</v>
      </c>
      <c r="E8300" s="2">
        <v>19.77</v>
      </c>
      <c r="F8300" s="2">
        <v>2</v>
      </c>
      <c r="G8300" s="2" t="s">
        <v>12</v>
      </c>
    </row>
    <row r="8301" spans="1:9" x14ac:dyDescent="0.2">
      <c r="A8301" s="2" t="s">
        <v>3250</v>
      </c>
      <c r="B8301" s="2" t="s">
        <v>2552</v>
      </c>
      <c r="C8301" s="2">
        <v>1034.5250000000001</v>
      </c>
      <c r="D8301" s="2">
        <f>HYPERLINK("http://mcb-m6.bioreg.kyushu-u.ac.jp/M3/20110414/F50959/3743/1", 37.4)</f>
        <v>37.4</v>
      </c>
      <c r="E8301" s="2">
        <v>27</v>
      </c>
      <c r="F8301" s="2">
        <v>2</v>
      </c>
      <c r="G8301" s="2" t="s">
        <v>12</v>
      </c>
    </row>
    <row r="8302" spans="1:9" x14ac:dyDescent="0.2">
      <c r="A8302" s="2" t="s">
        <v>3250</v>
      </c>
      <c r="B8302" s="2" t="s">
        <v>467</v>
      </c>
      <c r="C8302" s="2">
        <v>692.19820000000004</v>
      </c>
      <c r="D8302" s="2">
        <f>HYPERLINK("http://mcb-m6.bioreg.kyushu-u.ac.jp/M3/20110414/F50958/1665/1", 37.43)</f>
        <v>37.43</v>
      </c>
      <c r="E8302" s="2">
        <v>10.91</v>
      </c>
      <c r="F8302" s="2">
        <v>2</v>
      </c>
      <c r="G8302" s="2" t="s">
        <v>12</v>
      </c>
    </row>
    <row r="8303" spans="1:9" x14ac:dyDescent="0.2">
      <c r="A8303" s="2" t="s">
        <v>3250</v>
      </c>
      <c r="B8303" s="2" t="s">
        <v>467</v>
      </c>
      <c r="C8303" s="2">
        <v>692.21870000000001</v>
      </c>
      <c r="D8303" s="2">
        <f>HYPERLINK("http://mcb-m6.bioreg.kyushu-u.ac.jp/M3/20110414/F50959/1548/1", 37.49)</f>
        <v>37.49</v>
      </c>
      <c r="E8303" s="2">
        <v>20.91</v>
      </c>
      <c r="F8303" s="2">
        <v>2</v>
      </c>
      <c r="G8303" s="2" t="s">
        <v>12</v>
      </c>
    </row>
    <row r="8304" spans="1:9" x14ac:dyDescent="0.2">
      <c r="A8304" s="2" t="s">
        <v>3250</v>
      </c>
      <c r="B8304" s="2" t="s">
        <v>888</v>
      </c>
      <c r="C8304" s="2">
        <v>811.29160000000002</v>
      </c>
      <c r="D8304" s="2">
        <f>HYPERLINK("http://mcb-m6.bioreg.kyushu-u.ac.jp/M3/20110414/F50959/4411/1", 37.61)</f>
        <v>37.61</v>
      </c>
      <c r="E8304" s="2">
        <v>23.59</v>
      </c>
      <c r="F8304" s="2">
        <v>3</v>
      </c>
      <c r="G8304" s="2" t="s">
        <v>12</v>
      </c>
      <c r="I8304" s="2" t="s">
        <v>4895</v>
      </c>
    </row>
    <row r="8305" spans="1:9" x14ac:dyDescent="0.2">
      <c r="A8305" s="2" t="s">
        <v>3250</v>
      </c>
      <c r="B8305" s="2" t="s">
        <v>365</v>
      </c>
      <c r="C8305" s="2">
        <v>848.61469999999997</v>
      </c>
      <c r="D8305" s="2">
        <f>HYPERLINK("http://mcb-m6.bioreg.kyushu-u.ac.jp/M3/20110414/F50948/2704/1", 37.62)</f>
        <v>37.619999999999997</v>
      </c>
      <c r="E8305" s="2">
        <v>22.2</v>
      </c>
      <c r="F8305" s="2">
        <v>2</v>
      </c>
      <c r="G8305" s="2" t="s">
        <v>12</v>
      </c>
    </row>
    <row r="8306" spans="1:9" x14ac:dyDescent="0.2">
      <c r="A8306" s="2" t="s">
        <v>3250</v>
      </c>
      <c r="B8306" s="2" t="s">
        <v>1255</v>
      </c>
      <c r="C8306" s="2">
        <v>1273.3910000000001</v>
      </c>
      <c r="D8306" s="2">
        <f>HYPERLINK("http://mcb-m6.bioreg.kyushu-u.ac.jp/M3/20110414/F50949/2851/1", 37.72)</f>
        <v>37.72</v>
      </c>
      <c r="E8306" s="2">
        <v>25.05</v>
      </c>
      <c r="F8306" s="2">
        <v>2</v>
      </c>
      <c r="G8306" s="2" t="s">
        <v>12</v>
      </c>
      <c r="I8306" s="2" t="s">
        <v>4906</v>
      </c>
    </row>
    <row r="8307" spans="1:9" x14ac:dyDescent="0.2">
      <c r="A8307" s="2" t="s">
        <v>3250</v>
      </c>
      <c r="B8307" s="2" t="s">
        <v>772</v>
      </c>
      <c r="C8307" s="2">
        <v>596.24519999999995</v>
      </c>
      <c r="D8307" s="2">
        <f>HYPERLINK("http://mcb-m6.bioreg.kyushu-u.ac.jp/M3/20110414/F50948/1226/1", 37.78)</f>
        <v>37.78</v>
      </c>
      <c r="E8307" s="2">
        <v>19.59</v>
      </c>
      <c r="F8307" s="2">
        <v>2</v>
      </c>
      <c r="G8307" s="2" t="s">
        <v>12</v>
      </c>
    </row>
    <row r="8308" spans="1:9" x14ac:dyDescent="0.2">
      <c r="A8308" s="2" t="s">
        <v>3250</v>
      </c>
      <c r="B8308" s="2" t="s">
        <v>30</v>
      </c>
      <c r="C8308" s="2">
        <v>643.83450000000005</v>
      </c>
      <c r="D8308" s="2">
        <f>HYPERLINK("http://mcb-m6.bioreg.kyushu-u.ac.jp/M3/20110414/F50959/3403/1", 37.8)</f>
        <v>37.799999999999997</v>
      </c>
      <c r="E8308" s="2">
        <v>18.690000000000001</v>
      </c>
      <c r="F8308" s="2">
        <v>3</v>
      </c>
      <c r="G8308" s="2" t="s">
        <v>12</v>
      </c>
      <c r="I8308" s="2" t="s">
        <v>4894</v>
      </c>
    </row>
    <row r="8309" spans="1:9" x14ac:dyDescent="0.2">
      <c r="A8309" s="2" t="s">
        <v>3250</v>
      </c>
      <c r="B8309" s="2" t="s">
        <v>77</v>
      </c>
      <c r="C8309" s="2">
        <v>1148.095</v>
      </c>
      <c r="D8309" s="2">
        <f>HYPERLINK("http://mcb-m6.bioreg.kyushu-u.ac.jp/M3/20110414/F50950/1174/1", 37.85)</f>
        <v>37.85</v>
      </c>
      <c r="E8309" s="2">
        <v>9.61</v>
      </c>
      <c r="F8309" s="2">
        <v>1</v>
      </c>
      <c r="G8309" s="2" t="s">
        <v>12</v>
      </c>
    </row>
    <row r="8310" spans="1:9" x14ac:dyDescent="0.2">
      <c r="A8310" s="2" t="s">
        <v>3250</v>
      </c>
      <c r="B8310" s="2" t="s">
        <v>175</v>
      </c>
      <c r="C8310" s="2">
        <v>784.95920000000001</v>
      </c>
      <c r="D8310" s="2">
        <f>HYPERLINK("http://mcb-m6.bioreg.kyushu-u.ac.jp/M3/20110414/F50950/2424/1", 38.23)</f>
        <v>38.229999999999997</v>
      </c>
      <c r="E8310" s="2">
        <v>21.23</v>
      </c>
      <c r="F8310" s="2">
        <v>2</v>
      </c>
      <c r="G8310" s="2" t="s">
        <v>12</v>
      </c>
      <c r="I8310" s="2" t="s">
        <v>4893</v>
      </c>
    </row>
    <row r="8311" spans="1:9" x14ac:dyDescent="0.2">
      <c r="A8311" s="2" t="s">
        <v>3250</v>
      </c>
      <c r="B8311" s="2" t="s">
        <v>834</v>
      </c>
      <c r="C8311" s="2">
        <v>621.63959999999997</v>
      </c>
      <c r="D8311" s="2">
        <f>HYPERLINK("http://mcb-m6.bioreg.kyushu-u.ac.jp/M3/20110414/F50959/1083/1", 38.23)</f>
        <v>38.229999999999997</v>
      </c>
      <c r="E8311" s="2">
        <v>23.23</v>
      </c>
      <c r="F8311" s="2">
        <v>2</v>
      </c>
      <c r="G8311" s="2" t="s">
        <v>12</v>
      </c>
    </row>
    <row r="8312" spans="1:9" x14ac:dyDescent="0.2">
      <c r="A8312" s="2" t="s">
        <v>3250</v>
      </c>
      <c r="B8312" s="2" t="s">
        <v>772</v>
      </c>
      <c r="C8312" s="2">
        <v>596.1422</v>
      </c>
      <c r="D8312" s="2">
        <f>HYPERLINK("http://mcb-m6.bioreg.kyushu-u.ac.jp/M3/20110414/F50958/1098/1", 38.43)</f>
        <v>38.43</v>
      </c>
      <c r="E8312" s="2">
        <v>13.79</v>
      </c>
      <c r="F8312" s="2">
        <v>2</v>
      </c>
      <c r="G8312" s="2" t="s">
        <v>12</v>
      </c>
    </row>
    <row r="8313" spans="1:9" x14ac:dyDescent="0.2">
      <c r="A8313" s="2" t="s">
        <v>3250</v>
      </c>
      <c r="B8313" s="2" t="s">
        <v>1065</v>
      </c>
      <c r="C8313" s="2">
        <v>716.9316</v>
      </c>
      <c r="D8313" s="2">
        <f>HYPERLINK("http://mcb-m6.bioreg.kyushu-u.ac.jp/M3/20110414/F50959/1714/1", 38.54)</f>
        <v>38.54</v>
      </c>
      <c r="E8313" s="2">
        <v>8.3800000000000008</v>
      </c>
      <c r="F8313" s="2">
        <v>2</v>
      </c>
      <c r="G8313" s="2" t="s">
        <v>12</v>
      </c>
      <c r="I8313" s="2" t="s">
        <v>4892</v>
      </c>
    </row>
    <row r="8314" spans="1:9" x14ac:dyDescent="0.2">
      <c r="A8314" s="2" t="s">
        <v>3250</v>
      </c>
      <c r="B8314" s="2" t="s">
        <v>311</v>
      </c>
      <c r="C8314" s="2">
        <v>607.26919999999996</v>
      </c>
      <c r="D8314" s="2">
        <f>HYPERLINK("http://mcb-m6.bioreg.kyushu-u.ac.jp/M3/20110414/F50959/1003/1", 38.63)</f>
        <v>38.630000000000003</v>
      </c>
      <c r="E8314" s="2">
        <v>23.19</v>
      </c>
      <c r="F8314" s="2">
        <v>2</v>
      </c>
      <c r="G8314" s="2" t="s">
        <v>12</v>
      </c>
      <c r="H8314" s="2" t="s">
        <v>4908</v>
      </c>
    </row>
    <row r="8315" spans="1:9" x14ac:dyDescent="0.2">
      <c r="A8315" s="2" t="s">
        <v>3250</v>
      </c>
      <c r="B8315" s="2" t="s">
        <v>772</v>
      </c>
      <c r="C8315" s="2">
        <v>596.15260000000001</v>
      </c>
      <c r="D8315" s="2">
        <f>HYPERLINK("http://mcb-m6.bioreg.kyushu-u.ac.jp/M3/20110414/F50959/945/1", 38.66)</f>
        <v>38.659999999999997</v>
      </c>
      <c r="E8315" s="2">
        <v>27.16</v>
      </c>
      <c r="F8315" s="2">
        <v>2</v>
      </c>
      <c r="G8315" s="2" t="s">
        <v>12</v>
      </c>
    </row>
    <row r="8316" spans="1:9" x14ac:dyDescent="0.2">
      <c r="A8316" s="2" t="s">
        <v>3250</v>
      </c>
      <c r="B8316" s="2" t="s">
        <v>356</v>
      </c>
      <c r="C8316" s="2">
        <v>815.76260000000002</v>
      </c>
      <c r="D8316" s="2">
        <f>HYPERLINK("http://mcb-m6.bioreg.kyushu-u.ac.jp/M3/20110414/F50958/2524/1", 38.85)</f>
        <v>38.85</v>
      </c>
      <c r="E8316" s="2">
        <v>28.11</v>
      </c>
      <c r="F8316" s="2">
        <v>2</v>
      </c>
      <c r="G8316" s="2" t="s">
        <v>12</v>
      </c>
    </row>
    <row r="8317" spans="1:9" x14ac:dyDescent="0.2">
      <c r="A8317" s="2" t="s">
        <v>3250</v>
      </c>
      <c r="B8317" s="2" t="s">
        <v>365</v>
      </c>
      <c r="C8317" s="2">
        <v>849.28470000000004</v>
      </c>
      <c r="D8317" s="2">
        <f>HYPERLINK("http://mcb-m6.bioreg.kyushu-u.ac.jp/M3/20110414/F50958/2774/1", 39.12)</f>
        <v>39.119999999999997</v>
      </c>
      <c r="E8317" s="2">
        <v>24.3</v>
      </c>
      <c r="F8317" s="2">
        <v>2</v>
      </c>
      <c r="G8317" s="2" t="s">
        <v>12</v>
      </c>
    </row>
    <row r="8318" spans="1:9" x14ac:dyDescent="0.2">
      <c r="A8318" s="2" t="s">
        <v>3250</v>
      </c>
      <c r="B8318" s="2" t="s">
        <v>834</v>
      </c>
      <c r="C8318" s="2">
        <v>622.3066</v>
      </c>
      <c r="D8318" s="2">
        <f>HYPERLINK("http://mcb-m6.bioreg.kyushu-u.ac.jp/M3/20110414/F50947/1273/1", 39.44)</f>
        <v>39.44</v>
      </c>
      <c r="E8318" s="2">
        <v>25.25</v>
      </c>
      <c r="F8318" s="2">
        <v>2</v>
      </c>
      <c r="G8318" s="2" t="s">
        <v>12</v>
      </c>
    </row>
    <row r="8319" spans="1:9" x14ac:dyDescent="0.2">
      <c r="A8319" s="2" t="s">
        <v>3250</v>
      </c>
      <c r="B8319" s="2" t="s">
        <v>543</v>
      </c>
      <c r="C8319" s="2">
        <v>926.98609999999996</v>
      </c>
      <c r="D8319" s="2">
        <f>HYPERLINK("http://mcb-m6.bioreg.kyushu-u.ac.jp/M3/20110414/F50959/3151/1", 39.49)</f>
        <v>39.49</v>
      </c>
      <c r="E8319" s="2">
        <v>22.49</v>
      </c>
      <c r="F8319" s="2">
        <v>2</v>
      </c>
      <c r="G8319" s="2" t="s">
        <v>12</v>
      </c>
    </row>
    <row r="8320" spans="1:9" x14ac:dyDescent="0.2">
      <c r="A8320" s="2" t="s">
        <v>3250</v>
      </c>
      <c r="B8320" s="2" t="s">
        <v>90</v>
      </c>
      <c r="C8320" s="2">
        <v>717.22810000000004</v>
      </c>
      <c r="D8320" s="2">
        <f>HYPERLINK("http://mcb-m6.bioreg.kyushu-u.ac.jp/M3/20110414/F50958/1826/1", 39.57)</f>
        <v>39.57</v>
      </c>
      <c r="E8320" s="2">
        <v>18.38</v>
      </c>
      <c r="F8320" s="2">
        <v>2</v>
      </c>
      <c r="G8320" s="2" t="s">
        <v>12</v>
      </c>
    </row>
    <row r="8321" spans="1:9" x14ac:dyDescent="0.2">
      <c r="A8321" s="2" t="s">
        <v>3250</v>
      </c>
      <c r="B8321" s="2" t="s">
        <v>1787</v>
      </c>
      <c r="C8321" s="2">
        <v>588.59720000000004</v>
      </c>
      <c r="D8321" s="2">
        <f>HYPERLINK("http://mcb-m6.bioreg.kyushu-u.ac.jp/M3/20110414/F50958/1053/1", 39.89)</f>
        <v>39.89</v>
      </c>
      <c r="E8321" s="2">
        <v>18.61</v>
      </c>
      <c r="F8321" s="2">
        <v>2</v>
      </c>
      <c r="G8321" s="2" t="s">
        <v>12</v>
      </c>
      <c r="I8321" s="2" t="s">
        <v>4895</v>
      </c>
    </row>
    <row r="8322" spans="1:9" x14ac:dyDescent="0.2">
      <c r="A8322" s="2" t="s">
        <v>3250</v>
      </c>
      <c r="B8322" s="2" t="s">
        <v>543</v>
      </c>
      <c r="C8322" s="2">
        <v>927.00319999999999</v>
      </c>
      <c r="D8322" s="2">
        <f>HYPERLINK("http://mcb-m6.bioreg.kyushu-u.ac.jp/M3/20110414/F50959/3152/1", 40.03)</f>
        <v>40.03</v>
      </c>
      <c r="E8322" s="2">
        <v>26.63</v>
      </c>
      <c r="F8322" s="2">
        <v>2</v>
      </c>
      <c r="G8322" s="2" t="s">
        <v>12</v>
      </c>
    </row>
    <row r="8323" spans="1:9" x14ac:dyDescent="0.2">
      <c r="A8323" s="2" t="s">
        <v>3250</v>
      </c>
      <c r="B8323" s="2" t="s">
        <v>102</v>
      </c>
      <c r="C8323" s="2">
        <v>1231.4590000000001</v>
      </c>
      <c r="D8323" s="2">
        <f>HYPERLINK("http://mcb-m6.bioreg.kyushu-u.ac.jp/M3/20110414/F50959/1063/1", 40.12)</f>
        <v>40.119999999999997</v>
      </c>
      <c r="E8323" s="2">
        <v>17.809999999999999</v>
      </c>
      <c r="F8323" s="2">
        <v>1</v>
      </c>
      <c r="G8323" s="2" t="s">
        <v>12</v>
      </c>
      <c r="H8323" s="2" t="s">
        <v>4900</v>
      </c>
    </row>
    <row r="8324" spans="1:9" x14ac:dyDescent="0.2">
      <c r="A8324" s="2" t="s">
        <v>3250</v>
      </c>
      <c r="B8324" s="2" t="s">
        <v>834</v>
      </c>
      <c r="C8324" s="2">
        <v>1242.7080000000001</v>
      </c>
      <c r="D8324" s="2">
        <f>HYPERLINK("http://mcb-m6.bioreg.kyushu-u.ac.jp/M3/20110414/F50959/1090/1", 40.16)</f>
        <v>40.159999999999997</v>
      </c>
      <c r="E8324" s="2">
        <v>21.06</v>
      </c>
      <c r="F8324" s="2">
        <v>1</v>
      </c>
      <c r="G8324" s="2" t="s">
        <v>12</v>
      </c>
    </row>
    <row r="8325" spans="1:9" x14ac:dyDescent="0.2">
      <c r="A8325" s="2" t="s">
        <v>3250</v>
      </c>
      <c r="B8325" s="2" t="s">
        <v>311</v>
      </c>
      <c r="C8325" s="2">
        <v>1212.4380000000001</v>
      </c>
      <c r="D8325" s="2">
        <f>HYPERLINK("http://mcb-m6.bioreg.kyushu-u.ac.jp/M3/20110414/F50959/999/1", 41.26)</f>
        <v>41.26</v>
      </c>
      <c r="E8325" s="2">
        <v>18.47</v>
      </c>
      <c r="F8325" s="2">
        <v>1</v>
      </c>
      <c r="G8325" s="2" t="s">
        <v>12</v>
      </c>
      <c r="H8325" s="2" t="s">
        <v>4908</v>
      </c>
    </row>
    <row r="8326" spans="1:9" x14ac:dyDescent="0.2">
      <c r="A8326" s="2" t="s">
        <v>3250</v>
      </c>
      <c r="B8326" s="2" t="s">
        <v>481</v>
      </c>
      <c r="C8326" s="2">
        <v>1417.1379999999999</v>
      </c>
      <c r="D8326" s="2">
        <f>HYPERLINK("http://mcb-m6.bioreg.kyushu-u.ac.jp/M3/20110414/F50950/1953/1", 41.57)</f>
        <v>41.57</v>
      </c>
      <c r="E8326" s="2">
        <v>24.97</v>
      </c>
      <c r="F8326" s="2">
        <v>1</v>
      </c>
      <c r="G8326" s="2" t="s">
        <v>12</v>
      </c>
      <c r="I8326" s="2" t="s">
        <v>4898</v>
      </c>
    </row>
    <row r="8327" spans="1:9" x14ac:dyDescent="0.2">
      <c r="A8327" s="2" t="s">
        <v>3250</v>
      </c>
      <c r="B8327" s="2" t="s">
        <v>175</v>
      </c>
      <c r="C8327" s="2">
        <v>784.37070000000006</v>
      </c>
      <c r="D8327" s="2">
        <f>HYPERLINK("http://mcb-m6.bioreg.kyushu-u.ac.jp/M3/20110414/F50959/2189/1", 41.59)</f>
        <v>41.59</v>
      </c>
      <c r="E8327" s="2">
        <v>33.47</v>
      </c>
      <c r="F8327" s="2">
        <v>2</v>
      </c>
      <c r="G8327" s="2" t="s">
        <v>12</v>
      </c>
      <c r="I8327" s="2" t="s">
        <v>4893</v>
      </c>
    </row>
    <row r="8328" spans="1:9" x14ac:dyDescent="0.2">
      <c r="A8328" s="2" t="s">
        <v>3250</v>
      </c>
      <c r="B8328" s="2" t="s">
        <v>1787</v>
      </c>
      <c r="C8328" s="2">
        <v>1175.1179999999999</v>
      </c>
      <c r="D8328" s="2">
        <f>HYPERLINK("http://mcb-m6.bioreg.kyushu-u.ac.jp/M3/20110414/F50950/1253/1", 41.69)</f>
        <v>41.69</v>
      </c>
      <c r="E8328" s="2">
        <v>25.23</v>
      </c>
      <c r="F8328" s="2">
        <v>1</v>
      </c>
      <c r="G8328" s="2" t="s">
        <v>12</v>
      </c>
      <c r="I8328" s="2" t="s">
        <v>4895</v>
      </c>
    </row>
    <row r="8329" spans="1:9" x14ac:dyDescent="0.2">
      <c r="A8329" s="2" t="s">
        <v>3250</v>
      </c>
      <c r="B8329" s="2" t="s">
        <v>365</v>
      </c>
      <c r="C8329" s="2">
        <v>848.86869999999999</v>
      </c>
      <c r="D8329" s="2">
        <f>HYPERLINK("http://mcb-m6.bioreg.kyushu-u.ac.jp/M3/20110414/F50958/2769/1", 41.82)</f>
        <v>41.82</v>
      </c>
      <c r="E8329" s="2">
        <v>23.91</v>
      </c>
      <c r="F8329" s="2">
        <v>2</v>
      </c>
      <c r="G8329" s="2" t="s">
        <v>12</v>
      </c>
    </row>
    <row r="8330" spans="1:9" x14ac:dyDescent="0.2">
      <c r="A8330" s="2" t="s">
        <v>3250</v>
      </c>
      <c r="B8330" s="2" t="s">
        <v>77</v>
      </c>
      <c r="C8330" s="2">
        <v>574.6952</v>
      </c>
      <c r="D8330" s="2">
        <f>HYPERLINK("http://mcb-m6.bioreg.kyushu-u.ac.jp/M3/20110414/F50947/1062/1", 42.55)</f>
        <v>42.55</v>
      </c>
      <c r="E8330" s="2">
        <v>24.82</v>
      </c>
      <c r="F8330" s="2">
        <v>2</v>
      </c>
      <c r="G8330" s="2" t="s">
        <v>12</v>
      </c>
    </row>
    <row r="8331" spans="1:9" x14ac:dyDescent="0.2">
      <c r="A8331" s="2" t="s">
        <v>3250</v>
      </c>
      <c r="B8331" s="2" t="s">
        <v>102</v>
      </c>
      <c r="C8331" s="2">
        <v>1215.3989999999999</v>
      </c>
      <c r="D8331" s="2">
        <f>HYPERLINK("http://mcb-m6.bioreg.kyushu-u.ac.jp/M3/20110414/F50959/1009/1", 42.57)</f>
        <v>42.57</v>
      </c>
      <c r="E8331" s="2">
        <v>26.86</v>
      </c>
      <c r="F8331" s="2">
        <v>1</v>
      </c>
      <c r="G8331" s="2" t="s">
        <v>12</v>
      </c>
    </row>
    <row r="8332" spans="1:9" x14ac:dyDescent="0.2">
      <c r="A8332" s="2" t="s">
        <v>3250</v>
      </c>
      <c r="B8332" s="2" t="s">
        <v>834</v>
      </c>
      <c r="C8332" s="2">
        <v>621.84860000000003</v>
      </c>
      <c r="D8332" s="2">
        <f>HYPERLINK("http://mcb-m6.bioreg.kyushu-u.ac.jp/M3/20110414/F50950/1449/1", 42.78)</f>
        <v>42.78</v>
      </c>
      <c r="E8332" s="2">
        <v>20.05</v>
      </c>
      <c r="F8332" s="2">
        <v>2</v>
      </c>
      <c r="G8332" s="2" t="s">
        <v>12</v>
      </c>
    </row>
    <row r="8333" spans="1:9" x14ac:dyDescent="0.2">
      <c r="A8333" s="2" t="s">
        <v>3250</v>
      </c>
      <c r="B8333" s="2" t="s">
        <v>365</v>
      </c>
      <c r="C8333" s="2">
        <v>849.1422</v>
      </c>
      <c r="D8333" s="2">
        <f>HYPERLINK("http://mcb-m6.bioreg.kyushu-u.ac.jp/M3/20110414/F50950/2763/1", 42.98)</f>
        <v>42.98</v>
      </c>
      <c r="E8333" s="2">
        <v>20.54</v>
      </c>
      <c r="F8333" s="2">
        <v>2</v>
      </c>
      <c r="G8333" s="2" t="s">
        <v>12</v>
      </c>
    </row>
    <row r="8334" spans="1:9" x14ac:dyDescent="0.2">
      <c r="A8334" s="2" t="s">
        <v>3250</v>
      </c>
      <c r="B8334" s="2" t="s">
        <v>467</v>
      </c>
      <c r="C8334" s="2">
        <v>692.24519999999995</v>
      </c>
      <c r="D8334" s="2">
        <f>HYPERLINK("http://mcb-m6.bioreg.kyushu-u.ac.jp/M3/20110414/F50958/1667/1", 43.03)</f>
        <v>43.03</v>
      </c>
      <c r="E8334" s="2">
        <v>13.39</v>
      </c>
      <c r="F8334" s="2">
        <v>2</v>
      </c>
      <c r="G8334" s="2" t="s">
        <v>12</v>
      </c>
    </row>
    <row r="8335" spans="1:9" x14ac:dyDescent="0.2">
      <c r="A8335" s="2" t="s">
        <v>3250</v>
      </c>
      <c r="B8335" s="2" t="s">
        <v>356</v>
      </c>
      <c r="C8335" s="2">
        <v>815.8922</v>
      </c>
      <c r="D8335" s="2">
        <f>HYPERLINK("http://mcb-m6.bioreg.kyushu-u.ac.jp/M3/20110414/F50950/2602/1", 43.44)</f>
        <v>43.44</v>
      </c>
      <c r="E8335" s="2">
        <v>23.17</v>
      </c>
      <c r="F8335" s="2">
        <v>2</v>
      </c>
      <c r="G8335" s="2" t="s">
        <v>12</v>
      </c>
    </row>
    <row r="8336" spans="1:9" x14ac:dyDescent="0.2">
      <c r="A8336" s="2" t="s">
        <v>3250</v>
      </c>
      <c r="B8336" s="2" t="s">
        <v>834</v>
      </c>
      <c r="C8336" s="2">
        <v>621.56209999999999</v>
      </c>
      <c r="D8336" s="2">
        <f>HYPERLINK("http://mcb-m6.bioreg.kyushu-u.ac.jp/M3/20110414/F50950/1447/1", 43.46)</f>
        <v>43.46</v>
      </c>
      <c r="E8336" s="2">
        <v>19.54</v>
      </c>
      <c r="F8336" s="2">
        <v>2</v>
      </c>
      <c r="G8336" s="2" t="s">
        <v>12</v>
      </c>
    </row>
    <row r="8337" spans="1:9" x14ac:dyDescent="0.2">
      <c r="A8337" s="2" t="s">
        <v>3250</v>
      </c>
      <c r="B8337" s="2" t="s">
        <v>356</v>
      </c>
      <c r="C8337" s="2">
        <v>816.34860000000003</v>
      </c>
      <c r="D8337" s="2">
        <f>HYPERLINK("http://mcb-m6.bioreg.kyushu-u.ac.jp/M3/20110414/F50959/2422/1", 43.83)</f>
        <v>43.83</v>
      </c>
      <c r="E8337" s="2">
        <v>27.99</v>
      </c>
      <c r="F8337" s="2">
        <v>2</v>
      </c>
      <c r="G8337" s="2" t="s">
        <v>12</v>
      </c>
    </row>
    <row r="8338" spans="1:9" x14ac:dyDescent="0.2">
      <c r="A8338" s="2" t="s">
        <v>3250</v>
      </c>
      <c r="B8338" s="2" t="s">
        <v>102</v>
      </c>
      <c r="C8338" s="2">
        <v>1216.4760000000001</v>
      </c>
      <c r="D8338" s="2">
        <f>HYPERLINK("http://mcb-m6.bioreg.kyushu-u.ac.jp/M3/20110414/F50959/1018/1", 44.03)</f>
        <v>44.03</v>
      </c>
      <c r="E8338" s="2">
        <v>27.36</v>
      </c>
      <c r="F8338" s="2">
        <v>1</v>
      </c>
      <c r="G8338" s="2" t="s">
        <v>12</v>
      </c>
    </row>
    <row r="8339" spans="1:9" x14ac:dyDescent="0.2">
      <c r="A8339" s="2" t="s">
        <v>3250</v>
      </c>
      <c r="B8339" s="2" t="s">
        <v>1787</v>
      </c>
      <c r="C8339" s="2">
        <v>1175.375</v>
      </c>
      <c r="D8339" s="2">
        <f>HYPERLINK("http://mcb-m6.bioreg.kyushu-u.ac.jp/M3/20110414/F50958/1051/1", 44.1)</f>
        <v>44.1</v>
      </c>
      <c r="E8339" s="2">
        <v>14.81</v>
      </c>
      <c r="F8339" s="2">
        <v>1</v>
      </c>
      <c r="G8339" s="2" t="s">
        <v>12</v>
      </c>
      <c r="I8339" s="2" t="s">
        <v>4895</v>
      </c>
    </row>
    <row r="8340" spans="1:9" x14ac:dyDescent="0.2">
      <c r="A8340" s="2" t="s">
        <v>3250</v>
      </c>
      <c r="B8340" s="2" t="s">
        <v>1875</v>
      </c>
      <c r="C8340" s="2">
        <v>788.28420000000006</v>
      </c>
      <c r="D8340" s="2">
        <f>HYPERLINK("http://mcb-m6.bioreg.kyushu-u.ac.jp/M3/20110414/F50948/2411/1", 44.53)</f>
        <v>44.53</v>
      </c>
      <c r="E8340" s="2">
        <v>27.54</v>
      </c>
      <c r="F8340" s="2">
        <v>2</v>
      </c>
      <c r="G8340" s="2" t="s">
        <v>12</v>
      </c>
      <c r="H8340" s="2" t="s">
        <v>4953</v>
      </c>
    </row>
    <row r="8341" spans="1:9" x14ac:dyDescent="0.2">
      <c r="A8341" s="2" t="s">
        <v>3250</v>
      </c>
      <c r="B8341" s="2" t="s">
        <v>77</v>
      </c>
      <c r="C8341" s="2">
        <v>1148.058</v>
      </c>
      <c r="D8341" s="2">
        <f>HYPERLINK("http://mcb-m6.bioreg.kyushu-u.ac.jp/M3/20110414/F50950/1173/1", 44.84)</f>
        <v>44.84</v>
      </c>
      <c r="E8341" s="2">
        <v>23.15</v>
      </c>
      <c r="F8341" s="2">
        <v>1</v>
      </c>
      <c r="G8341" s="2" t="s">
        <v>12</v>
      </c>
    </row>
    <row r="8342" spans="1:9" x14ac:dyDescent="0.2">
      <c r="A8342" s="2" t="s">
        <v>3250</v>
      </c>
      <c r="B8342" s="2" t="s">
        <v>834</v>
      </c>
      <c r="C8342" s="2">
        <v>621.42570000000001</v>
      </c>
      <c r="D8342" s="2">
        <f>HYPERLINK("http://mcb-m6.bioreg.kyushu-u.ac.jp/M3/20110414/F50950/1444/1", 44.89)</f>
        <v>44.89</v>
      </c>
      <c r="E8342" s="2">
        <v>23.34</v>
      </c>
      <c r="F8342" s="2">
        <v>2</v>
      </c>
      <c r="G8342" s="2" t="s">
        <v>12</v>
      </c>
    </row>
    <row r="8343" spans="1:9" x14ac:dyDescent="0.2">
      <c r="A8343" s="2" t="s">
        <v>3250</v>
      </c>
      <c r="B8343" s="2" t="s">
        <v>311</v>
      </c>
      <c r="C8343" s="2">
        <v>606.46370000000002</v>
      </c>
      <c r="D8343" s="2">
        <f>HYPERLINK("http://mcb-m6.bioreg.kyushu-u.ac.jp/M3/20110414/F50950/1365/1", 44.96)</f>
        <v>44.96</v>
      </c>
      <c r="E8343" s="2">
        <v>19.05</v>
      </c>
      <c r="F8343" s="2">
        <v>2</v>
      </c>
      <c r="G8343" s="2" t="s">
        <v>12</v>
      </c>
      <c r="H8343" s="2" t="s">
        <v>4908</v>
      </c>
    </row>
    <row r="8344" spans="1:9" x14ac:dyDescent="0.2">
      <c r="A8344" s="2" t="s">
        <v>3250</v>
      </c>
      <c r="B8344" s="2" t="s">
        <v>90</v>
      </c>
      <c r="C8344" s="2">
        <v>717.29470000000003</v>
      </c>
      <c r="D8344" s="2">
        <f>HYPERLINK("http://mcb-m6.bioreg.kyushu-u.ac.jp/M3/20110414/F50948/1927/1", 45.07)</f>
        <v>45.07</v>
      </c>
      <c r="E8344" s="2">
        <v>26.75</v>
      </c>
      <c r="F8344" s="2">
        <v>2</v>
      </c>
      <c r="G8344" s="2" t="s">
        <v>12</v>
      </c>
    </row>
    <row r="8345" spans="1:9" x14ac:dyDescent="0.2">
      <c r="A8345" s="2" t="s">
        <v>3250</v>
      </c>
      <c r="B8345" s="2" t="s">
        <v>1787</v>
      </c>
      <c r="C8345" s="2">
        <v>1175.4069999999999</v>
      </c>
      <c r="D8345" s="2">
        <f>HYPERLINK("http://mcb-m6.bioreg.kyushu-u.ac.jp/M3/20110414/F50948/1185/1", 45.2)</f>
        <v>45.2</v>
      </c>
      <c r="E8345" s="2">
        <v>31.7</v>
      </c>
      <c r="F8345" s="2">
        <v>1</v>
      </c>
      <c r="G8345" s="2" t="s">
        <v>12</v>
      </c>
      <c r="I8345" s="2" t="s">
        <v>4895</v>
      </c>
    </row>
    <row r="8346" spans="1:9" x14ac:dyDescent="0.2">
      <c r="A8346" s="2" t="s">
        <v>3250</v>
      </c>
      <c r="B8346" s="2" t="s">
        <v>1581</v>
      </c>
      <c r="C8346" s="2">
        <v>765.57719999999995</v>
      </c>
      <c r="D8346" s="2">
        <f>HYPERLINK("http://mcb-m6.bioreg.kyushu-u.ac.jp/M3/20110414/F50959/4172/1", 45.43)</f>
        <v>45.43</v>
      </c>
      <c r="E8346" s="2">
        <v>29.48</v>
      </c>
      <c r="F8346" s="2">
        <v>3</v>
      </c>
      <c r="G8346" s="2" t="s">
        <v>12</v>
      </c>
      <c r="I8346" s="2" t="s">
        <v>4895</v>
      </c>
    </row>
    <row r="8347" spans="1:9" x14ac:dyDescent="0.2">
      <c r="A8347" s="2" t="s">
        <v>3250</v>
      </c>
      <c r="B8347" s="2" t="s">
        <v>467</v>
      </c>
      <c r="C8347" s="2">
        <v>691.7047</v>
      </c>
      <c r="D8347" s="2">
        <f>HYPERLINK("http://mcb-m6.bioreg.kyushu-u.ac.jp/M3/20110414/F50959/1538/1", 45.47)</f>
        <v>45.47</v>
      </c>
      <c r="E8347" s="2">
        <v>29.49</v>
      </c>
      <c r="F8347" s="2">
        <v>2</v>
      </c>
      <c r="G8347" s="2" t="s">
        <v>12</v>
      </c>
    </row>
    <row r="8348" spans="1:9" x14ac:dyDescent="0.2">
      <c r="A8348" s="2" t="s">
        <v>3250</v>
      </c>
      <c r="B8348" s="2" t="s">
        <v>77</v>
      </c>
      <c r="C8348" s="2">
        <v>1148.357</v>
      </c>
      <c r="D8348" s="2">
        <f>HYPERLINK("http://mcb-m6.bioreg.kyushu-u.ac.jp/M3/20110414/F50958/989/1", 45.49)</f>
        <v>45.49</v>
      </c>
      <c r="E8348" s="2">
        <v>25.82</v>
      </c>
      <c r="F8348" s="2">
        <v>1</v>
      </c>
      <c r="G8348" s="2" t="s">
        <v>12</v>
      </c>
    </row>
    <row r="8349" spans="1:9" x14ac:dyDescent="0.2">
      <c r="A8349" s="2" t="s">
        <v>3250</v>
      </c>
      <c r="B8349" s="2" t="s">
        <v>1065</v>
      </c>
      <c r="C8349" s="2">
        <v>717.3057</v>
      </c>
      <c r="D8349" s="2">
        <f>HYPERLINK("http://mcb-m6.bioreg.kyushu-u.ac.jp/M3/20110414/F50950/2023/1", 45.68)</f>
        <v>45.68</v>
      </c>
      <c r="E8349" s="2">
        <v>2.54</v>
      </c>
      <c r="F8349" s="2">
        <v>2</v>
      </c>
      <c r="G8349" s="2" t="s">
        <v>12</v>
      </c>
      <c r="I8349" s="2" t="s">
        <v>4892</v>
      </c>
    </row>
    <row r="8350" spans="1:9" x14ac:dyDescent="0.2">
      <c r="A8350" s="2" t="s">
        <v>3250</v>
      </c>
      <c r="B8350" s="2" t="s">
        <v>311</v>
      </c>
      <c r="C8350" s="2">
        <v>1196.377</v>
      </c>
      <c r="D8350" s="2">
        <f>HYPERLINK("http://mcb-m6.bioreg.kyushu-u.ac.jp/M3/20110414/F50948/1238/1", 46.59)</f>
        <v>46.59</v>
      </c>
      <c r="E8350" s="2">
        <v>32.979999999999997</v>
      </c>
      <c r="F8350" s="2">
        <v>1</v>
      </c>
      <c r="G8350" s="2" t="s">
        <v>12</v>
      </c>
    </row>
    <row r="8351" spans="1:9" x14ac:dyDescent="0.2">
      <c r="A8351" s="2" t="s">
        <v>3250</v>
      </c>
      <c r="B8351" s="2" t="s">
        <v>561</v>
      </c>
      <c r="C8351" s="2">
        <v>662.73720000000003</v>
      </c>
      <c r="D8351" s="2">
        <f>HYPERLINK("http://mcb-m6.bioreg.kyushu-u.ac.jp/M3/20110414/F50930/1988/1", 46.7)</f>
        <v>46.7</v>
      </c>
      <c r="E8351" s="2">
        <v>29.58</v>
      </c>
      <c r="F8351" s="2">
        <v>2</v>
      </c>
      <c r="G8351" s="2" t="s">
        <v>12</v>
      </c>
      <c r="H8351" s="2" t="s">
        <v>4919</v>
      </c>
    </row>
    <row r="8352" spans="1:9" x14ac:dyDescent="0.2">
      <c r="A8352" s="2" t="s">
        <v>3250</v>
      </c>
      <c r="B8352" s="2" t="s">
        <v>90</v>
      </c>
      <c r="C8352" s="2">
        <v>717.03369999999995</v>
      </c>
      <c r="D8352" s="2">
        <f>HYPERLINK("http://mcb-m6.bioreg.kyushu-u.ac.jp/M3/20110414/F50948/1922/1", 47.18)</f>
        <v>47.18</v>
      </c>
      <c r="E8352" s="2">
        <v>29.18</v>
      </c>
      <c r="F8352" s="2">
        <v>2</v>
      </c>
      <c r="G8352" s="2" t="s">
        <v>12</v>
      </c>
    </row>
    <row r="8353" spans="1:9" x14ac:dyDescent="0.2">
      <c r="A8353" s="2" t="s">
        <v>3250</v>
      </c>
      <c r="B8353" s="2" t="s">
        <v>102</v>
      </c>
      <c r="C8353" s="2">
        <v>607.96669999999995</v>
      </c>
      <c r="D8353" s="2">
        <f>HYPERLINK("http://mcb-m6.bioreg.kyushu-u.ac.jp/M3/20110414/F50950/1372/1", 47.34)</f>
        <v>47.34</v>
      </c>
      <c r="E8353" s="2">
        <v>23.06</v>
      </c>
      <c r="F8353" s="2">
        <v>2</v>
      </c>
      <c r="G8353" s="2" t="s">
        <v>12</v>
      </c>
    </row>
    <row r="8354" spans="1:9" x14ac:dyDescent="0.2">
      <c r="A8354" s="2" t="s">
        <v>3250</v>
      </c>
      <c r="B8354" s="2" t="s">
        <v>772</v>
      </c>
      <c r="C8354" s="2">
        <v>596.19709999999998</v>
      </c>
      <c r="D8354" s="2">
        <f>HYPERLINK("http://mcb-m6.bioreg.kyushu-u.ac.jp/M3/20110414/F50959/946/1", 47.45)</f>
        <v>47.45</v>
      </c>
      <c r="E8354" s="2">
        <v>26.73</v>
      </c>
      <c r="F8354" s="2">
        <v>2</v>
      </c>
      <c r="G8354" s="2" t="s">
        <v>12</v>
      </c>
    </row>
    <row r="8355" spans="1:9" x14ac:dyDescent="0.2">
      <c r="A8355" s="2" t="s">
        <v>3250</v>
      </c>
      <c r="B8355" s="2" t="s">
        <v>1065</v>
      </c>
      <c r="C8355" s="2">
        <v>716.72969999999998</v>
      </c>
      <c r="D8355" s="2">
        <f>HYPERLINK("http://mcb-m6.bioreg.kyushu-u.ac.jp/M3/20110414/F50959/1705/1", 47.54)</f>
        <v>47.54</v>
      </c>
      <c r="E8355" s="2">
        <v>2.78</v>
      </c>
      <c r="F8355" s="2">
        <v>2</v>
      </c>
      <c r="G8355" s="2" t="s">
        <v>12</v>
      </c>
      <c r="I8355" s="2" t="s">
        <v>4892</v>
      </c>
    </row>
    <row r="8356" spans="1:9" x14ac:dyDescent="0.2">
      <c r="A8356" s="2" t="s">
        <v>3250</v>
      </c>
      <c r="B8356" s="2" t="s">
        <v>467</v>
      </c>
      <c r="C8356" s="2">
        <v>691.61109999999996</v>
      </c>
      <c r="D8356" s="2">
        <f>HYPERLINK("http://mcb-m6.bioreg.kyushu-u.ac.jp/M3/20110414/F50949/2022/1", 47.81)</f>
        <v>47.81</v>
      </c>
      <c r="E8356" s="2">
        <v>15.18</v>
      </c>
      <c r="F8356" s="2">
        <v>2</v>
      </c>
      <c r="G8356" s="2" t="s">
        <v>12</v>
      </c>
    </row>
    <row r="8357" spans="1:9" x14ac:dyDescent="0.2">
      <c r="A8357" s="2" t="s">
        <v>3250</v>
      </c>
      <c r="B8357" s="2" t="s">
        <v>77</v>
      </c>
      <c r="C8357" s="2">
        <v>1148.518</v>
      </c>
      <c r="D8357" s="2">
        <f>HYPERLINK("http://mcb-m6.bioreg.kyushu-u.ac.jp/M3/20110414/F50959/830/1", 47.93)</f>
        <v>47.93</v>
      </c>
      <c r="E8357" s="2">
        <v>29.98</v>
      </c>
      <c r="F8357" s="2">
        <v>1</v>
      </c>
      <c r="G8357" s="2" t="s">
        <v>12</v>
      </c>
    </row>
    <row r="8358" spans="1:9" x14ac:dyDescent="0.2">
      <c r="A8358" s="2" t="s">
        <v>3250</v>
      </c>
      <c r="B8358" s="2" t="s">
        <v>467</v>
      </c>
      <c r="C8358" s="2">
        <v>691.3972</v>
      </c>
      <c r="D8358" s="2">
        <f>HYPERLINK("http://mcb-m6.bioreg.kyushu-u.ac.jp/M3/20110414/F50950/1843/1", 48)</f>
        <v>48</v>
      </c>
      <c r="E8358" s="2">
        <v>20.91</v>
      </c>
      <c r="F8358" s="2">
        <v>2</v>
      </c>
      <c r="G8358" s="2" t="s">
        <v>12</v>
      </c>
    </row>
    <row r="8359" spans="1:9" x14ac:dyDescent="0.2">
      <c r="A8359" s="2" t="s">
        <v>3250</v>
      </c>
      <c r="B8359" s="2" t="s">
        <v>1787</v>
      </c>
      <c r="C8359" s="2">
        <v>588.22310000000004</v>
      </c>
      <c r="D8359" s="2">
        <f>HYPERLINK("http://mcb-m6.bioreg.kyushu-u.ac.jp/M3/20110414/F50959/900/1", 48.23)</f>
        <v>48.23</v>
      </c>
      <c r="E8359" s="2">
        <v>36.56</v>
      </c>
      <c r="F8359" s="2">
        <v>2</v>
      </c>
      <c r="G8359" s="2" t="s">
        <v>12</v>
      </c>
      <c r="I8359" s="2" t="s">
        <v>4895</v>
      </c>
    </row>
    <row r="8360" spans="1:9" x14ac:dyDescent="0.2">
      <c r="A8360" s="2" t="s">
        <v>3250</v>
      </c>
      <c r="B8360" s="2" t="s">
        <v>481</v>
      </c>
      <c r="C8360" s="2">
        <v>1417.0429999999999</v>
      </c>
      <c r="D8360" s="2">
        <f>HYPERLINK("http://mcb-m6.bioreg.kyushu-u.ac.jp/M3/20110414/F50949/2058/1", 48.43)</f>
        <v>48.43</v>
      </c>
      <c r="E8360" s="2">
        <v>31.3</v>
      </c>
      <c r="F8360" s="2">
        <v>1</v>
      </c>
      <c r="G8360" s="2" t="s">
        <v>12</v>
      </c>
      <c r="I8360" s="2" t="s">
        <v>4898</v>
      </c>
    </row>
    <row r="8361" spans="1:9" x14ac:dyDescent="0.2">
      <c r="A8361" s="2" t="s">
        <v>3250</v>
      </c>
      <c r="B8361" s="2" t="s">
        <v>30</v>
      </c>
      <c r="C8361" s="2">
        <v>643.57449999999994</v>
      </c>
      <c r="D8361" s="2">
        <f>HYPERLINK("http://mcb-m6.bioreg.kyushu-u.ac.jp/M3/20110414/F50959/3399/1", 48.46)</f>
        <v>48.46</v>
      </c>
      <c r="E8361" s="2">
        <v>26.45</v>
      </c>
      <c r="F8361" s="2">
        <v>3</v>
      </c>
      <c r="G8361" s="2" t="s">
        <v>12</v>
      </c>
      <c r="I8361" s="2" t="s">
        <v>4894</v>
      </c>
    </row>
    <row r="8362" spans="1:9" x14ac:dyDescent="0.2">
      <c r="A8362" s="2" t="s">
        <v>3250</v>
      </c>
      <c r="B8362" s="2" t="s">
        <v>481</v>
      </c>
      <c r="C8362" s="2">
        <v>1418.4780000000001</v>
      </c>
      <c r="D8362" s="2">
        <f>HYPERLINK("http://mcb-m6.bioreg.kyushu-u.ac.jp/M3/20110414/F50948/1870/1", 48.98)</f>
        <v>48.98</v>
      </c>
      <c r="E8362" s="2">
        <v>35.549999999999997</v>
      </c>
      <c r="F8362" s="2">
        <v>1</v>
      </c>
      <c r="G8362" s="2" t="s">
        <v>12</v>
      </c>
      <c r="I8362" s="2" t="s">
        <v>4898</v>
      </c>
    </row>
    <row r="8363" spans="1:9" x14ac:dyDescent="0.2">
      <c r="A8363" s="2" t="s">
        <v>3250</v>
      </c>
      <c r="B8363" s="2" t="s">
        <v>311</v>
      </c>
      <c r="C8363" s="2">
        <v>598.77620000000002</v>
      </c>
      <c r="D8363" s="2">
        <f>HYPERLINK("http://mcb-m6.bioreg.kyushu-u.ac.jp/M3/20110414/F50947/1170/1", 49.12)</f>
        <v>49.12</v>
      </c>
      <c r="E8363" s="2">
        <v>38.69</v>
      </c>
      <c r="F8363" s="2">
        <v>2</v>
      </c>
      <c r="G8363" s="2" t="s">
        <v>12</v>
      </c>
    </row>
    <row r="8364" spans="1:9" x14ac:dyDescent="0.2">
      <c r="A8364" s="2" t="s">
        <v>3250</v>
      </c>
      <c r="B8364" s="2" t="s">
        <v>90</v>
      </c>
      <c r="C8364" s="2">
        <v>717.12710000000004</v>
      </c>
      <c r="D8364" s="2">
        <f>HYPERLINK("http://mcb-m6.bioreg.kyushu-u.ac.jp/M3/20110414/F50958/1825/1", 49.12)</f>
        <v>49.12</v>
      </c>
      <c r="E8364" s="2">
        <v>29.77</v>
      </c>
      <c r="F8364" s="2">
        <v>2</v>
      </c>
      <c r="G8364" s="2" t="s">
        <v>12</v>
      </c>
    </row>
    <row r="8365" spans="1:9" x14ac:dyDescent="0.2">
      <c r="A8365" s="2" t="s">
        <v>3250</v>
      </c>
      <c r="B8365" s="2" t="s">
        <v>77</v>
      </c>
      <c r="C8365" s="2">
        <v>575.16520000000003</v>
      </c>
      <c r="D8365" s="2">
        <f>HYPERLINK("http://mcb-m6.bioreg.kyushu-u.ac.jp/M3/20110414/F50948/1125/1", 49.32)</f>
        <v>49.32</v>
      </c>
      <c r="E8365" s="2">
        <v>29.76</v>
      </c>
      <c r="F8365" s="2">
        <v>2</v>
      </c>
      <c r="G8365" s="2" t="s">
        <v>12</v>
      </c>
    </row>
    <row r="8366" spans="1:9" x14ac:dyDescent="0.2">
      <c r="A8366" s="2" t="s">
        <v>3250</v>
      </c>
      <c r="B8366" s="2" t="s">
        <v>1765</v>
      </c>
      <c r="C8366" s="2">
        <v>761.44169999999997</v>
      </c>
      <c r="D8366" s="2">
        <f>HYPERLINK("http://mcb-m6.bioreg.kyushu-u.ac.jp/M3/20110414/F50948/2235/1", 49.33)</f>
        <v>49.33</v>
      </c>
      <c r="E8366" s="2">
        <v>18.059999999999999</v>
      </c>
      <c r="F8366" s="2">
        <v>2</v>
      </c>
      <c r="G8366" s="2" t="s">
        <v>12</v>
      </c>
    </row>
    <row r="8367" spans="1:9" x14ac:dyDescent="0.2">
      <c r="A8367" s="2" t="s">
        <v>3250</v>
      </c>
      <c r="B8367" s="2" t="s">
        <v>467</v>
      </c>
      <c r="C8367" s="2">
        <v>691.79859999999996</v>
      </c>
      <c r="D8367" s="2">
        <f>HYPERLINK("http://mcb-m6.bioreg.kyushu-u.ac.jp/M3/20110414/F50959/1543/1", 49.93)</f>
        <v>49.93</v>
      </c>
      <c r="E8367" s="2">
        <v>25.07</v>
      </c>
      <c r="F8367" s="2">
        <v>2</v>
      </c>
      <c r="G8367" s="2" t="s">
        <v>12</v>
      </c>
    </row>
    <row r="8368" spans="1:9" x14ac:dyDescent="0.2">
      <c r="A8368" s="2" t="s">
        <v>3250</v>
      </c>
      <c r="B8368" s="2" t="s">
        <v>356</v>
      </c>
      <c r="C8368" s="2">
        <v>816.24220000000003</v>
      </c>
      <c r="D8368" s="2">
        <f>HYPERLINK("http://mcb-m6.bioreg.kyushu-u.ac.jp/M3/20110414/F50958/2531/1", 50.07)</f>
        <v>50.07</v>
      </c>
      <c r="E8368" s="2">
        <v>41.07</v>
      </c>
      <c r="F8368" s="2">
        <v>2</v>
      </c>
      <c r="G8368" s="2" t="s">
        <v>12</v>
      </c>
    </row>
    <row r="8369" spans="1:9" x14ac:dyDescent="0.2">
      <c r="A8369" s="2" t="s">
        <v>3250</v>
      </c>
      <c r="B8369" s="2" t="s">
        <v>1065</v>
      </c>
      <c r="C8369" s="2">
        <v>717.04819999999995</v>
      </c>
      <c r="D8369" s="2">
        <f>HYPERLINK("http://mcb-m6.bioreg.kyushu-u.ac.jp/M3/20110414/F50959/1717/1", 50.08)</f>
        <v>50.08</v>
      </c>
      <c r="E8369" s="2">
        <v>14.35</v>
      </c>
      <c r="F8369" s="2">
        <v>2</v>
      </c>
      <c r="G8369" s="2" t="s">
        <v>12</v>
      </c>
      <c r="I8369" s="2" t="s">
        <v>4892</v>
      </c>
    </row>
    <row r="8370" spans="1:9" x14ac:dyDescent="0.2">
      <c r="A8370" s="2" t="s">
        <v>3250</v>
      </c>
      <c r="B8370" s="2" t="s">
        <v>102</v>
      </c>
      <c r="C8370" s="2">
        <v>608.68910000000005</v>
      </c>
      <c r="D8370" s="2">
        <f>HYPERLINK("http://mcb-m6.bioreg.kyushu-u.ac.jp/M3/20110414/F50948/1281/1", 50.21)</f>
        <v>50.21</v>
      </c>
      <c r="E8370" s="2">
        <v>32.78</v>
      </c>
      <c r="F8370" s="2">
        <v>2</v>
      </c>
      <c r="G8370" s="2" t="s">
        <v>12</v>
      </c>
    </row>
    <row r="8371" spans="1:9" x14ac:dyDescent="0.2">
      <c r="A8371" s="2" t="s">
        <v>3250</v>
      </c>
      <c r="B8371" s="2" t="s">
        <v>1875</v>
      </c>
      <c r="C8371" s="2">
        <v>788.79909999999995</v>
      </c>
      <c r="D8371" s="2">
        <f>HYPERLINK("http://mcb-m6.bioreg.kyushu-u.ac.jp/M3/20110414/F50959/2218/1", 50.43)</f>
        <v>50.43</v>
      </c>
      <c r="E8371" s="2">
        <v>31.38</v>
      </c>
      <c r="F8371" s="2">
        <v>2</v>
      </c>
      <c r="G8371" s="2" t="s">
        <v>12</v>
      </c>
      <c r="H8371" s="2" t="s">
        <v>4953</v>
      </c>
    </row>
    <row r="8372" spans="1:9" x14ac:dyDescent="0.2">
      <c r="A8372" s="2" t="s">
        <v>3250</v>
      </c>
      <c r="B8372" s="2" t="s">
        <v>1875</v>
      </c>
      <c r="C8372" s="2">
        <v>788.22969999999998</v>
      </c>
      <c r="D8372" s="2">
        <f>HYPERLINK("http://mcb-m6.bioreg.kyushu-u.ac.jp/M3/20110414/F50958/2355/1", 50.44)</f>
        <v>50.44</v>
      </c>
      <c r="E8372" s="2">
        <v>29.57</v>
      </c>
      <c r="F8372" s="2">
        <v>2</v>
      </c>
      <c r="G8372" s="2" t="s">
        <v>12</v>
      </c>
      <c r="H8372" s="2" t="s">
        <v>4953</v>
      </c>
    </row>
    <row r="8373" spans="1:9" x14ac:dyDescent="0.2">
      <c r="A8373" s="2" t="s">
        <v>3250</v>
      </c>
      <c r="B8373" s="2" t="s">
        <v>365</v>
      </c>
      <c r="C8373" s="2">
        <v>848.57759999999996</v>
      </c>
      <c r="D8373" s="2">
        <f>HYPERLINK("http://mcb-m6.bioreg.kyushu-u.ac.jp/M3/20110414/F50947/2590/1", 50.47)</f>
        <v>50.47</v>
      </c>
      <c r="E8373" s="2">
        <v>36.29</v>
      </c>
      <c r="F8373" s="2">
        <v>2</v>
      </c>
      <c r="G8373" s="2" t="s">
        <v>12</v>
      </c>
    </row>
    <row r="8374" spans="1:9" x14ac:dyDescent="0.2">
      <c r="A8374" s="2" t="s">
        <v>3250</v>
      </c>
      <c r="B8374" s="2" t="s">
        <v>481</v>
      </c>
      <c r="C8374" s="2">
        <v>1417.5889999999999</v>
      </c>
      <c r="D8374" s="2">
        <f>HYPERLINK("http://mcb-m6.bioreg.kyushu-u.ac.jp/M3/20110414/F50959/1643/1", 50.47)</f>
        <v>50.47</v>
      </c>
      <c r="E8374" s="2">
        <v>35.840000000000003</v>
      </c>
      <c r="F8374" s="2">
        <v>1</v>
      </c>
      <c r="G8374" s="2" t="s">
        <v>12</v>
      </c>
      <c r="I8374" s="2" t="s">
        <v>4898</v>
      </c>
    </row>
    <row r="8375" spans="1:9" x14ac:dyDescent="0.2">
      <c r="A8375" s="2" t="s">
        <v>3250</v>
      </c>
      <c r="B8375" s="2" t="s">
        <v>1065</v>
      </c>
      <c r="C8375" s="2">
        <v>716.70619999999997</v>
      </c>
      <c r="D8375" s="2">
        <f>HYPERLINK("http://mcb-m6.bioreg.kyushu-u.ac.jp/M3/20110414/F50959/1704/1", 50.75)</f>
        <v>50.75</v>
      </c>
      <c r="E8375" s="2">
        <v>37.17</v>
      </c>
      <c r="F8375" s="2">
        <v>2</v>
      </c>
      <c r="G8375" s="2" t="s">
        <v>12</v>
      </c>
      <c r="I8375" s="2" t="s">
        <v>4892</v>
      </c>
    </row>
    <row r="8376" spans="1:9" x14ac:dyDescent="0.2">
      <c r="A8376" s="2" t="s">
        <v>3250</v>
      </c>
      <c r="B8376" s="2" t="s">
        <v>1065</v>
      </c>
      <c r="C8376" s="2">
        <v>717.24069999999995</v>
      </c>
      <c r="D8376" s="2">
        <f>HYPERLINK("http://mcb-m6.bioreg.kyushu-u.ac.jp/M3/20110414/F50959/1720/1", 50.75)</f>
        <v>50.75</v>
      </c>
      <c r="E8376" s="2">
        <v>29.04</v>
      </c>
      <c r="F8376" s="2">
        <v>2</v>
      </c>
      <c r="G8376" s="2" t="s">
        <v>12</v>
      </c>
      <c r="I8376" s="2" t="s">
        <v>4892</v>
      </c>
    </row>
    <row r="8377" spans="1:9" x14ac:dyDescent="0.2">
      <c r="A8377" s="2" t="s">
        <v>3250</v>
      </c>
      <c r="B8377" s="2" t="s">
        <v>467</v>
      </c>
      <c r="C8377" s="2">
        <v>691.69420000000002</v>
      </c>
      <c r="D8377" s="2">
        <f>HYPERLINK("http://mcb-m6.bioreg.kyushu-u.ac.jp/M3/20110414/F50959/1537/1", 50.87)</f>
        <v>50.87</v>
      </c>
      <c r="E8377" s="2">
        <v>26.25</v>
      </c>
      <c r="F8377" s="2">
        <v>2</v>
      </c>
      <c r="G8377" s="2" t="s">
        <v>12</v>
      </c>
    </row>
    <row r="8378" spans="1:9" x14ac:dyDescent="0.2">
      <c r="A8378" s="2" t="s">
        <v>3250</v>
      </c>
      <c r="B8378" s="2" t="s">
        <v>1765</v>
      </c>
      <c r="C8378" s="2">
        <v>761.5367</v>
      </c>
      <c r="D8378" s="2">
        <f>HYPERLINK("http://mcb-m6.bioreg.kyushu-u.ac.jp/M3/20110414/F50958/2135/1", 50.9)</f>
        <v>50.9</v>
      </c>
      <c r="E8378" s="2">
        <v>33.619999999999997</v>
      </c>
      <c r="F8378" s="2">
        <v>2</v>
      </c>
      <c r="G8378" s="2" t="s">
        <v>12</v>
      </c>
    </row>
    <row r="8379" spans="1:9" x14ac:dyDescent="0.2">
      <c r="A8379" s="2" t="s">
        <v>3250</v>
      </c>
      <c r="B8379" s="2" t="s">
        <v>365</v>
      </c>
      <c r="C8379" s="2">
        <v>848.66520000000003</v>
      </c>
      <c r="D8379" s="2">
        <f>HYPERLINK("http://mcb-m6.bioreg.kyushu-u.ac.jp/M3/20110414/F50948/2706/1", 50.97)</f>
        <v>50.97</v>
      </c>
      <c r="E8379" s="2">
        <v>31.09</v>
      </c>
      <c r="F8379" s="2">
        <v>2</v>
      </c>
      <c r="G8379" s="2" t="s">
        <v>12</v>
      </c>
    </row>
    <row r="8380" spans="1:9" x14ac:dyDescent="0.2">
      <c r="A8380" s="2" t="s">
        <v>3250</v>
      </c>
      <c r="B8380" s="2" t="s">
        <v>1787</v>
      </c>
      <c r="C8380" s="2">
        <v>1175.502</v>
      </c>
      <c r="D8380" s="2">
        <f>HYPERLINK("http://mcb-m6.bioreg.kyushu-u.ac.jp/M3/20110414/F50959/901/1", 51)</f>
        <v>51</v>
      </c>
      <c r="E8380" s="2">
        <v>21.4</v>
      </c>
      <c r="F8380" s="2">
        <v>1</v>
      </c>
      <c r="G8380" s="2" t="s">
        <v>12</v>
      </c>
      <c r="I8380" s="2" t="s">
        <v>4895</v>
      </c>
    </row>
    <row r="8381" spans="1:9" x14ac:dyDescent="0.2">
      <c r="A8381" s="2" t="s">
        <v>3250</v>
      </c>
      <c r="B8381" s="2" t="s">
        <v>1787</v>
      </c>
      <c r="C8381" s="2">
        <v>1175.0809999999999</v>
      </c>
      <c r="D8381" s="2">
        <f>HYPERLINK("http://mcb-m6.bioreg.kyushu-u.ac.jp/M3/20110414/F50949/1833/1", 51.06)</f>
        <v>51.06</v>
      </c>
      <c r="E8381" s="2">
        <v>27.05</v>
      </c>
      <c r="F8381" s="2">
        <v>1</v>
      </c>
      <c r="G8381" s="2" t="s">
        <v>12</v>
      </c>
      <c r="I8381" s="2" t="s">
        <v>4895</v>
      </c>
    </row>
    <row r="8382" spans="1:9" x14ac:dyDescent="0.2">
      <c r="A8382" s="2" t="s">
        <v>3250</v>
      </c>
      <c r="B8382" s="2" t="s">
        <v>834</v>
      </c>
      <c r="C8382" s="2">
        <v>1242.337</v>
      </c>
      <c r="D8382" s="2">
        <f>HYPERLINK("http://mcb-m6.bioreg.kyushu-u.ac.jp/M3/20110414/F50948/1346/1", 51.24)</f>
        <v>51.24</v>
      </c>
      <c r="E8382" s="2">
        <v>36.03</v>
      </c>
      <c r="F8382" s="2">
        <v>1</v>
      </c>
      <c r="G8382" s="2" t="s">
        <v>12</v>
      </c>
    </row>
    <row r="8383" spans="1:9" x14ac:dyDescent="0.2">
      <c r="A8383" s="2" t="s">
        <v>3250</v>
      </c>
      <c r="B8383" s="2" t="s">
        <v>467</v>
      </c>
      <c r="C8383" s="2">
        <v>691.61220000000003</v>
      </c>
      <c r="D8383" s="2">
        <f>HYPERLINK("http://mcb-m6.bioreg.kyushu-u.ac.jp/M3/20110414/F50963/1585/1", 51.26)</f>
        <v>51.26</v>
      </c>
      <c r="E8383" s="2">
        <v>28.5</v>
      </c>
      <c r="F8383" s="2">
        <v>2</v>
      </c>
      <c r="G8383" s="2" t="s">
        <v>12</v>
      </c>
    </row>
    <row r="8384" spans="1:9" x14ac:dyDescent="0.2">
      <c r="A8384" s="2" t="s">
        <v>3250</v>
      </c>
      <c r="B8384" s="2" t="s">
        <v>1065</v>
      </c>
      <c r="C8384" s="2">
        <v>716.93409999999994</v>
      </c>
      <c r="D8384" s="2">
        <f>HYPERLINK("http://mcb-m6.bioreg.kyushu-u.ac.jp/M3/20110414/F50959/1715/1", 51.27)</f>
        <v>51.27</v>
      </c>
      <c r="E8384" s="2">
        <v>18.55</v>
      </c>
      <c r="F8384" s="2">
        <v>2</v>
      </c>
      <c r="G8384" s="2" t="s">
        <v>12</v>
      </c>
      <c r="I8384" s="2" t="s">
        <v>4892</v>
      </c>
    </row>
    <row r="8385" spans="1:9" x14ac:dyDescent="0.2">
      <c r="A8385" s="2" t="s">
        <v>3250</v>
      </c>
      <c r="B8385" s="2" t="s">
        <v>604</v>
      </c>
      <c r="C8385" s="2">
        <v>520.59059999999999</v>
      </c>
      <c r="D8385" s="2">
        <f>HYPERLINK("http://mcb-m6.bioreg.kyushu-u.ac.jp/M3/20110414/F50958/703/1", 51.46)</f>
        <v>51.46</v>
      </c>
      <c r="E8385" s="2">
        <v>4.3</v>
      </c>
      <c r="F8385" s="2">
        <v>2</v>
      </c>
      <c r="G8385" s="2" t="s">
        <v>12</v>
      </c>
    </row>
    <row r="8386" spans="1:9" x14ac:dyDescent="0.2">
      <c r="A8386" s="2" t="s">
        <v>3250</v>
      </c>
      <c r="B8386" s="2" t="s">
        <v>311</v>
      </c>
      <c r="C8386" s="2">
        <v>1196.4169999999999</v>
      </c>
      <c r="D8386" s="2">
        <f>HYPERLINK("http://mcb-m6.bioreg.kyushu-u.ac.jp/M3/20110414/F50959/960/1", 51.51)</f>
        <v>51.51</v>
      </c>
      <c r="E8386" s="2">
        <v>37.75</v>
      </c>
      <c r="F8386" s="2">
        <v>1</v>
      </c>
      <c r="G8386" s="2" t="s">
        <v>12</v>
      </c>
    </row>
    <row r="8387" spans="1:9" x14ac:dyDescent="0.2">
      <c r="A8387" s="2" t="s">
        <v>3250</v>
      </c>
      <c r="B8387" s="2" t="s">
        <v>1065</v>
      </c>
      <c r="C8387" s="2">
        <v>716.73109999999997</v>
      </c>
      <c r="D8387" s="2">
        <f>HYPERLINK("http://mcb-m6.bioreg.kyushu-u.ac.jp/M3/20110414/F50958/1817/1", 51.56)</f>
        <v>51.56</v>
      </c>
      <c r="E8387" s="2">
        <v>39.31</v>
      </c>
      <c r="F8387" s="2">
        <v>2</v>
      </c>
      <c r="G8387" s="2" t="s">
        <v>12</v>
      </c>
      <c r="I8387" s="2" t="s">
        <v>4892</v>
      </c>
    </row>
    <row r="8388" spans="1:9" x14ac:dyDescent="0.2">
      <c r="A8388" s="2" t="s">
        <v>3250</v>
      </c>
      <c r="B8388" s="2" t="s">
        <v>356</v>
      </c>
      <c r="C8388" s="2">
        <v>815.80619999999999</v>
      </c>
      <c r="D8388" s="2">
        <f>HYPERLINK("http://mcb-m6.bioreg.kyushu-u.ac.jp/M3/20110414/F50950/2601/1", 51.57)</f>
        <v>51.57</v>
      </c>
      <c r="E8388" s="2">
        <v>32.32</v>
      </c>
      <c r="F8388" s="2">
        <v>2</v>
      </c>
      <c r="G8388" s="2" t="s">
        <v>12</v>
      </c>
    </row>
    <row r="8389" spans="1:9" x14ac:dyDescent="0.2">
      <c r="A8389" s="2" t="s">
        <v>3250</v>
      </c>
      <c r="B8389" s="2" t="s">
        <v>772</v>
      </c>
      <c r="C8389" s="2">
        <v>1190.2660000000001</v>
      </c>
      <c r="D8389" s="2">
        <f>HYPERLINK("http://mcb-m6.bioreg.kyushu-u.ac.jp/M3/20110414/F50958/1088/1", 51.57)</f>
        <v>51.57</v>
      </c>
      <c r="E8389" s="2">
        <v>21.04</v>
      </c>
      <c r="F8389" s="2">
        <v>1</v>
      </c>
      <c r="G8389" s="2" t="s">
        <v>12</v>
      </c>
    </row>
    <row r="8390" spans="1:9" x14ac:dyDescent="0.2">
      <c r="A8390" s="2" t="s">
        <v>3250</v>
      </c>
      <c r="B8390" s="2" t="s">
        <v>503</v>
      </c>
      <c r="C8390" s="2">
        <v>816.1902</v>
      </c>
      <c r="D8390" s="2">
        <f>HYPERLINK("http://mcb-m6.bioreg.kyushu-u.ac.jp/M3/20110414/F50958/2529/1", 51.62)</f>
        <v>51.62</v>
      </c>
      <c r="E8390" s="2">
        <v>40.04</v>
      </c>
      <c r="F8390" s="2">
        <v>2</v>
      </c>
      <c r="G8390" s="2" t="s">
        <v>12</v>
      </c>
      <c r="H8390" s="2" t="s">
        <v>4907</v>
      </c>
    </row>
    <row r="8391" spans="1:9" x14ac:dyDescent="0.2">
      <c r="A8391" s="2" t="s">
        <v>3250</v>
      </c>
      <c r="B8391" s="2" t="s">
        <v>1875</v>
      </c>
      <c r="C8391" s="2">
        <v>788.01419999999996</v>
      </c>
      <c r="D8391" s="2">
        <f>HYPERLINK("http://mcb-m6.bioreg.kyushu-u.ac.jp/M3/20110414/F50950/2445/1", 51.92)</f>
        <v>51.92</v>
      </c>
      <c r="E8391" s="2">
        <v>26.37</v>
      </c>
      <c r="F8391" s="2">
        <v>2</v>
      </c>
      <c r="G8391" s="2" t="s">
        <v>12</v>
      </c>
      <c r="H8391" s="2" t="s">
        <v>4953</v>
      </c>
    </row>
    <row r="8392" spans="1:9" x14ac:dyDescent="0.2">
      <c r="A8392" s="2" t="s">
        <v>3250</v>
      </c>
      <c r="B8392" s="2" t="s">
        <v>467</v>
      </c>
      <c r="C8392" s="2">
        <v>692.30719999999997</v>
      </c>
      <c r="D8392" s="2">
        <f>HYPERLINK("http://mcb-m6.bioreg.kyushu-u.ac.jp/M3/20110414/F50959/1552/1", 52.24)</f>
        <v>52.24</v>
      </c>
      <c r="E8392" s="2">
        <v>30.92</v>
      </c>
      <c r="F8392" s="2">
        <v>2</v>
      </c>
      <c r="G8392" s="2" t="s">
        <v>12</v>
      </c>
    </row>
    <row r="8393" spans="1:9" x14ac:dyDescent="0.2">
      <c r="A8393" s="2" t="s">
        <v>3250</v>
      </c>
      <c r="B8393" s="2" t="s">
        <v>1065</v>
      </c>
      <c r="C8393" s="2">
        <v>717.1952</v>
      </c>
      <c r="D8393" s="2">
        <f>HYPERLINK("http://mcb-m6.bioreg.kyushu-u.ac.jp/M3/20110414/F50959/1719/1", 52.26)</f>
        <v>52.26</v>
      </c>
      <c r="E8393" s="2">
        <v>35.630000000000003</v>
      </c>
      <c r="F8393" s="2">
        <v>2</v>
      </c>
      <c r="G8393" s="2" t="s">
        <v>12</v>
      </c>
      <c r="I8393" s="2" t="s">
        <v>4892</v>
      </c>
    </row>
    <row r="8394" spans="1:9" x14ac:dyDescent="0.2">
      <c r="A8394" s="2" t="s">
        <v>3250</v>
      </c>
      <c r="B8394" s="2" t="s">
        <v>772</v>
      </c>
      <c r="C8394" s="2">
        <v>1190.5060000000001</v>
      </c>
      <c r="D8394" s="2">
        <f>HYPERLINK("http://mcb-m6.bioreg.kyushu-u.ac.jp/M3/20110414/F50959/940/1", 52.41)</f>
        <v>52.41</v>
      </c>
      <c r="E8394" s="2">
        <v>29.71</v>
      </c>
      <c r="F8394" s="2">
        <v>1</v>
      </c>
      <c r="G8394" s="2" t="s">
        <v>12</v>
      </c>
    </row>
    <row r="8395" spans="1:9" x14ac:dyDescent="0.2">
      <c r="A8395" s="2" t="s">
        <v>3250</v>
      </c>
      <c r="B8395" s="2" t="s">
        <v>561</v>
      </c>
      <c r="C8395" s="2">
        <v>662.84559999999999</v>
      </c>
      <c r="D8395" s="2">
        <f>HYPERLINK("http://mcb-m6.bioreg.kyushu-u.ac.jp/M3/20110414/F50959/1353/1", 52.44)</f>
        <v>52.44</v>
      </c>
      <c r="E8395" s="2">
        <v>29.67</v>
      </c>
      <c r="F8395" s="2">
        <v>2</v>
      </c>
      <c r="G8395" s="2" t="s">
        <v>12</v>
      </c>
      <c r="H8395" s="2" t="s">
        <v>4919</v>
      </c>
    </row>
    <row r="8396" spans="1:9" x14ac:dyDescent="0.2">
      <c r="A8396" s="2" t="s">
        <v>3250</v>
      </c>
      <c r="B8396" s="2" t="s">
        <v>561</v>
      </c>
      <c r="C8396" s="2">
        <v>662.28719999999998</v>
      </c>
      <c r="D8396" s="2">
        <f>HYPERLINK("http://mcb-m6.bioreg.kyushu-u.ac.jp/M3/20110414/F50958/1465/1", 52.74)</f>
        <v>52.74</v>
      </c>
      <c r="E8396" s="2">
        <v>34.85</v>
      </c>
      <c r="F8396" s="2">
        <v>2</v>
      </c>
      <c r="G8396" s="2" t="s">
        <v>12</v>
      </c>
      <c r="H8396" s="2" t="s">
        <v>4919</v>
      </c>
    </row>
    <row r="8397" spans="1:9" x14ac:dyDescent="0.2">
      <c r="A8397" s="2" t="s">
        <v>3250</v>
      </c>
      <c r="B8397" s="2" t="s">
        <v>1875</v>
      </c>
      <c r="C8397" s="2">
        <v>788.29570000000001</v>
      </c>
      <c r="D8397" s="2">
        <f>HYPERLINK("http://mcb-m6.bioreg.kyushu-u.ac.jp/M3/20110414/F50959/2215/1", 52.96)</f>
        <v>52.96</v>
      </c>
      <c r="E8397" s="2">
        <v>37.96</v>
      </c>
      <c r="F8397" s="2">
        <v>2</v>
      </c>
      <c r="G8397" s="2" t="s">
        <v>12</v>
      </c>
      <c r="H8397" s="2" t="s">
        <v>4953</v>
      </c>
    </row>
    <row r="8398" spans="1:9" x14ac:dyDescent="0.2">
      <c r="A8398" s="2" t="s">
        <v>3250</v>
      </c>
      <c r="B8398" s="2" t="s">
        <v>834</v>
      </c>
      <c r="C8398" s="2">
        <v>621.44619999999998</v>
      </c>
      <c r="D8398" s="2">
        <f>HYPERLINK("http://mcb-m6.bioreg.kyushu-u.ac.jp/M3/20110414/F50950/1445/1", 52.99)</f>
        <v>52.99</v>
      </c>
      <c r="E8398" s="2">
        <v>23.57</v>
      </c>
      <c r="F8398" s="2">
        <v>2</v>
      </c>
      <c r="G8398" s="2" t="s">
        <v>12</v>
      </c>
    </row>
    <row r="8399" spans="1:9" x14ac:dyDescent="0.2">
      <c r="A8399" s="2" t="s">
        <v>3250</v>
      </c>
      <c r="B8399" s="2" t="s">
        <v>77</v>
      </c>
      <c r="C8399" s="2">
        <v>574.61609999999996</v>
      </c>
      <c r="D8399" s="2">
        <f>HYPERLINK("http://mcb-m6.bioreg.kyushu-u.ac.jp/M3/20110414/F50948/1122/1", 53.13)</f>
        <v>53.13</v>
      </c>
      <c r="E8399" s="2">
        <v>28.47</v>
      </c>
      <c r="F8399" s="2">
        <v>2</v>
      </c>
      <c r="G8399" s="2" t="s">
        <v>12</v>
      </c>
    </row>
    <row r="8400" spans="1:9" x14ac:dyDescent="0.2">
      <c r="A8400" s="2" t="s">
        <v>3250</v>
      </c>
      <c r="B8400" s="2" t="s">
        <v>834</v>
      </c>
      <c r="C8400" s="2">
        <v>1242.6099999999999</v>
      </c>
      <c r="D8400" s="2">
        <f>HYPERLINK("http://mcb-m6.bioreg.kyushu-u.ac.jp/M3/20110414/F50950/1448/1", 53.33)</f>
        <v>53.33</v>
      </c>
      <c r="E8400" s="2">
        <v>22.83</v>
      </c>
      <c r="F8400" s="2">
        <v>1</v>
      </c>
      <c r="G8400" s="2" t="s">
        <v>12</v>
      </c>
    </row>
    <row r="8401" spans="1:9" x14ac:dyDescent="0.2">
      <c r="A8401" s="2" t="s">
        <v>3250</v>
      </c>
      <c r="B8401" s="2" t="s">
        <v>90</v>
      </c>
      <c r="C8401" s="2">
        <v>717.39369999999997</v>
      </c>
      <c r="D8401" s="2">
        <f>HYPERLINK("http://mcb-m6.bioreg.kyushu-u.ac.jp/M3/20110414/F50958/1829/1", 53.33)</f>
        <v>53.33</v>
      </c>
      <c r="E8401" s="2">
        <v>26.43</v>
      </c>
      <c r="F8401" s="2">
        <v>2</v>
      </c>
      <c r="G8401" s="2" t="s">
        <v>12</v>
      </c>
    </row>
    <row r="8402" spans="1:9" x14ac:dyDescent="0.2">
      <c r="A8402" s="2" t="s">
        <v>3250</v>
      </c>
      <c r="B8402" s="2" t="s">
        <v>90</v>
      </c>
      <c r="C8402" s="2">
        <v>716.91819999999996</v>
      </c>
      <c r="D8402" s="2">
        <f>HYPERLINK("http://mcb-m6.bioreg.kyushu-u.ac.jp/M3/20110414/F50949/2093/1", 53.34)</f>
        <v>53.34</v>
      </c>
      <c r="E8402" s="2">
        <v>26.34</v>
      </c>
      <c r="F8402" s="2">
        <v>2</v>
      </c>
      <c r="G8402" s="2" t="s">
        <v>12</v>
      </c>
    </row>
    <row r="8403" spans="1:9" x14ac:dyDescent="0.2">
      <c r="A8403" s="2" t="s">
        <v>3250</v>
      </c>
      <c r="B8403" s="2" t="s">
        <v>90</v>
      </c>
      <c r="C8403" s="2">
        <v>717.38210000000004</v>
      </c>
      <c r="D8403" s="2">
        <f>HYPERLINK("http://mcb-m6.bioreg.kyushu-u.ac.jp/M3/20110414/F50950/2024/1", 53.51)</f>
        <v>53.51</v>
      </c>
      <c r="E8403" s="2">
        <v>32.81</v>
      </c>
      <c r="F8403" s="2">
        <v>2</v>
      </c>
      <c r="G8403" s="2" t="s">
        <v>12</v>
      </c>
    </row>
    <row r="8404" spans="1:9" x14ac:dyDescent="0.2">
      <c r="A8404" s="2" t="s">
        <v>3250</v>
      </c>
      <c r="B8404" s="2" t="s">
        <v>311</v>
      </c>
      <c r="C8404" s="2">
        <v>598.63620000000003</v>
      </c>
      <c r="D8404" s="2">
        <f>HYPERLINK("http://mcb-m6.bioreg.kyushu-u.ac.jp/M3/20110414/F50958/1119/1", 53.52)</f>
        <v>53.52</v>
      </c>
      <c r="E8404" s="2">
        <v>35.369999999999997</v>
      </c>
      <c r="F8404" s="2">
        <v>2</v>
      </c>
      <c r="G8404" s="2" t="s">
        <v>12</v>
      </c>
    </row>
    <row r="8405" spans="1:9" x14ac:dyDescent="0.2">
      <c r="A8405" s="2" t="s">
        <v>3250</v>
      </c>
      <c r="B8405" s="2" t="s">
        <v>1787</v>
      </c>
      <c r="C8405" s="2">
        <v>588.83759999999995</v>
      </c>
      <c r="D8405" s="2">
        <f>HYPERLINK("http://mcb-m6.bioreg.kyushu-u.ac.jp/M3/20110414/F50959/905/1", 53.53)</f>
        <v>53.53</v>
      </c>
      <c r="E8405" s="2">
        <v>37.44</v>
      </c>
      <c r="F8405" s="2">
        <v>2</v>
      </c>
      <c r="G8405" s="2" t="s">
        <v>12</v>
      </c>
      <c r="I8405" s="2" t="s">
        <v>4895</v>
      </c>
    </row>
    <row r="8406" spans="1:9" x14ac:dyDescent="0.2">
      <c r="A8406" s="2" t="s">
        <v>3250</v>
      </c>
      <c r="B8406" s="2" t="s">
        <v>102</v>
      </c>
      <c r="C8406" s="2">
        <v>616.72360000000003</v>
      </c>
      <c r="D8406" s="2">
        <f>HYPERLINK("http://mcb-m6.bioreg.kyushu-u.ac.jp/M3/20110414/F50959/1067/1", 53.53)</f>
        <v>53.53</v>
      </c>
      <c r="E8406" s="2">
        <v>36.64</v>
      </c>
      <c r="F8406" s="2">
        <v>2</v>
      </c>
      <c r="G8406" s="2" t="s">
        <v>12</v>
      </c>
      <c r="H8406" s="2" t="s">
        <v>4900</v>
      </c>
    </row>
    <row r="8407" spans="1:9" x14ac:dyDescent="0.2">
      <c r="A8407" s="2" t="s">
        <v>3250</v>
      </c>
      <c r="B8407" s="2" t="s">
        <v>77</v>
      </c>
      <c r="C8407" s="2">
        <v>574.46420000000001</v>
      </c>
      <c r="D8407" s="2">
        <f>HYPERLINK("http://mcb-m6.bioreg.kyushu-u.ac.jp/M3/20110414/F50950/1172/1", 53.57)</f>
        <v>53.57</v>
      </c>
      <c r="E8407" s="2">
        <v>21.8</v>
      </c>
      <c r="F8407" s="2">
        <v>2</v>
      </c>
      <c r="G8407" s="2" t="s">
        <v>12</v>
      </c>
    </row>
    <row r="8408" spans="1:9" x14ac:dyDescent="0.2">
      <c r="A8408" s="2" t="s">
        <v>3250</v>
      </c>
      <c r="B8408" s="2" t="s">
        <v>834</v>
      </c>
      <c r="C8408" s="2">
        <v>621.99369999999999</v>
      </c>
      <c r="D8408" s="2">
        <f>HYPERLINK("http://mcb-m6.bioreg.kyushu-u.ac.jp/M3/20110414/F50950/1451/1", 53.69)</f>
        <v>53.69</v>
      </c>
      <c r="E8408" s="2">
        <v>36.700000000000003</v>
      </c>
      <c r="F8408" s="2">
        <v>2</v>
      </c>
      <c r="G8408" s="2" t="s">
        <v>12</v>
      </c>
    </row>
    <row r="8409" spans="1:9" x14ac:dyDescent="0.2">
      <c r="A8409" s="2" t="s">
        <v>3250</v>
      </c>
      <c r="B8409" s="2" t="s">
        <v>481</v>
      </c>
      <c r="C8409" s="2">
        <v>709.24270000000001</v>
      </c>
      <c r="D8409" s="2">
        <f>HYPERLINK("http://mcb-m6.bioreg.kyushu-u.ac.jp/M3/20110414/F50959/1642/1", 53.9)</f>
        <v>53.9</v>
      </c>
      <c r="E8409" s="2">
        <v>40.840000000000003</v>
      </c>
      <c r="F8409" s="2">
        <v>2</v>
      </c>
      <c r="G8409" s="2" t="s">
        <v>12</v>
      </c>
      <c r="I8409" s="2" t="s">
        <v>4898</v>
      </c>
    </row>
    <row r="8410" spans="1:9" x14ac:dyDescent="0.2">
      <c r="A8410" s="2" t="s">
        <v>3250</v>
      </c>
      <c r="B8410" s="2" t="s">
        <v>772</v>
      </c>
      <c r="C8410" s="2">
        <v>595.42859999999996</v>
      </c>
      <c r="D8410" s="2">
        <f>HYPERLINK("http://mcb-m6.bioreg.kyushu-u.ac.jp/M3/20110414/F50950/1302/1", 53.96)</f>
        <v>53.96</v>
      </c>
      <c r="E8410" s="2">
        <v>18.670000000000002</v>
      </c>
      <c r="F8410" s="2">
        <v>2</v>
      </c>
      <c r="G8410" s="2" t="s">
        <v>12</v>
      </c>
    </row>
    <row r="8411" spans="1:9" x14ac:dyDescent="0.2">
      <c r="A8411" s="2" t="s">
        <v>3250</v>
      </c>
      <c r="B8411" s="2" t="s">
        <v>543</v>
      </c>
      <c r="C8411" s="2">
        <v>927.47360000000003</v>
      </c>
      <c r="D8411" s="2">
        <f>HYPERLINK("http://mcb-m6.bioreg.kyushu-u.ac.jp/M3/20110414/F50959/3154/1", 54.18)</f>
        <v>54.18</v>
      </c>
      <c r="E8411" s="2">
        <v>37.65</v>
      </c>
      <c r="F8411" s="2">
        <v>2</v>
      </c>
      <c r="G8411" s="2" t="s">
        <v>12</v>
      </c>
    </row>
    <row r="8412" spans="1:9" x14ac:dyDescent="0.2">
      <c r="A8412" s="2" t="s">
        <v>3250</v>
      </c>
      <c r="B8412" s="2" t="s">
        <v>834</v>
      </c>
      <c r="C8412" s="2">
        <v>621.72860000000003</v>
      </c>
      <c r="D8412" s="2">
        <f>HYPERLINK("http://mcb-m6.bioreg.kyushu-u.ac.jp/M3/20110414/F50948/1347/1", 54.45)</f>
        <v>54.45</v>
      </c>
      <c r="E8412" s="2">
        <v>31.12</v>
      </c>
      <c r="F8412" s="2">
        <v>2</v>
      </c>
      <c r="G8412" s="2" t="s">
        <v>12</v>
      </c>
    </row>
    <row r="8413" spans="1:9" x14ac:dyDescent="0.2">
      <c r="A8413" s="2" t="s">
        <v>3250</v>
      </c>
      <c r="B8413" s="2" t="s">
        <v>365</v>
      </c>
      <c r="C8413" s="2">
        <v>848.80110000000002</v>
      </c>
      <c r="D8413" s="2">
        <f>HYPERLINK("http://mcb-m6.bioreg.kyushu-u.ac.jp/M3/20110414/F50948/2708/1", 54.45)</f>
        <v>54.45</v>
      </c>
      <c r="E8413" s="2">
        <v>34.119999999999997</v>
      </c>
      <c r="F8413" s="2">
        <v>2</v>
      </c>
      <c r="G8413" s="2" t="s">
        <v>12</v>
      </c>
    </row>
    <row r="8414" spans="1:9" x14ac:dyDescent="0.2">
      <c r="A8414" s="2" t="s">
        <v>3250</v>
      </c>
      <c r="B8414" s="2" t="s">
        <v>77</v>
      </c>
      <c r="C8414" s="2">
        <v>575.12159999999994</v>
      </c>
      <c r="D8414" s="2">
        <f>HYPERLINK("http://mcb-m6.bioreg.kyushu-u.ac.jp/M3/20110414/F50948/1124/1", 54.67)</f>
        <v>54.67</v>
      </c>
      <c r="E8414" s="2">
        <v>21.4</v>
      </c>
      <c r="F8414" s="2">
        <v>2</v>
      </c>
      <c r="G8414" s="2" t="s">
        <v>12</v>
      </c>
    </row>
    <row r="8415" spans="1:9" x14ac:dyDescent="0.2">
      <c r="A8415" s="2" t="s">
        <v>3250</v>
      </c>
      <c r="B8415" s="2" t="s">
        <v>90</v>
      </c>
      <c r="C8415" s="2">
        <v>717.02419999999995</v>
      </c>
      <c r="D8415" s="2">
        <f>HYPERLINK("http://mcb-m6.bioreg.kyushu-u.ac.jp/M3/20110414/F50948/1921/1", 54.74)</f>
        <v>54.74</v>
      </c>
      <c r="E8415" s="2">
        <v>36.58</v>
      </c>
      <c r="F8415" s="2">
        <v>2</v>
      </c>
      <c r="G8415" s="2" t="s">
        <v>12</v>
      </c>
    </row>
    <row r="8416" spans="1:9" x14ac:dyDescent="0.2">
      <c r="A8416" s="2" t="s">
        <v>3250</v>
      </c>
      <c r="B8416" s="2" t="s">
        <v>77</v>
      </c>
      <c r="C8416" s="2">
        <v>574.45119999999997</v>
      </c>
      <c r="D8416" s="2">
        <f>HYPERLINK("http://mcb-m6.bioreg.kyushu-u.ac.jp/M3/20110414/F50949/1812/1", 55.21)</f>
        <v>55.21</v>
      </c>
      <c r="E8416" s="2">
        <v>24.38</v>
      </c>
      <c r="F8416" s="2">
        <v>2</v>
      </c>
      <c r="G8416" s="2" t="s">
        <v>12</v>
      </c>
    </row>
    <row r="8417" spans="1:9" x14ac:dyDescent="0.2">
      <c r="A8417" s="2" t="s">
        <v>3250</v>
      </c>
      <c r="B8417" s="2" t="s">
        <v>1065</v>
      </c>
      <c r="C8417" s="2">
        <v>717.32119999999998</v>
      </c>
      <c r="D8417" s="2">
        <f>HYPERLINK("http://mcb-m6.bioreg.kyushu-u.ac.jp/M3/20110414/F50946/1805/1", 55.29)</f>
        <v>55.29</v>
      </c>
      <c r="E8417" s="2">
        <v>40.94</v>
      </c>
      <c r="F8417" s="2">
        <v>2</v>
      </c>
      <c r="G8417" s="2" t="s">
        <v>12</v>
      </c>
      <c r="I8417" s="2" t="s">
        <v>4892</v>
      </c>
    </row>
    <row r="8418" spans="1:9" x14ac:dyDescent="0.2">
      <c r="A8418" s="2" t="s">
        <v>3250</v>
      </c>
      <c r="B8418" s="2" t="s">
        <v>467</v>
      </c>
      <c r="C8418" s="2">
        <v>691.87819999999999</v>
      </c>
      <c r="D8418" s="2">
        <f>HYPERLINK("http://mcb-m6.bioreg.kyushu-u.ac.jp/M3/20110414/F50950/1853/1", 55.39)</f>
        <v>55.39</v>
      </c>
      <c r="E8418" s="2">
        <v>22.49</v>
      </c>
      <c r="F8418" s="2">
        <v>2</v>
      </c>
      <c r="G8418" s="2" t="s">
        <v>12</v>
      </c>
    </row>
    <row r="8419" spans="1:9" x14ac:dyDescent="0.2">
      <c r="A8419" s="2" t="s">
        <v>3250</v>
      </c>
      <c r="B8419" s="2" t="s">
        <v>834</v>
      </c>
      <c r="C8419" s="2">
        <v>621.61109999999996</v>
      </c>
      <c r="D8419" s="2">
        <f>HYPERLINK("http://mcb-m6.bioreg.kyushu-u.ac.jp/M3/20110414/F50948/1344/1", 55.58)</f>
        <v>55.58</v>
      </c>
      <c r="E8419" s="2">
        <v>34.950000000000003</v>
      </c>
      <c r="F8419" s="2">
        <v>2</v>
      </c>
      <c r="G8419" s="2" t="s">
        <v>12</v>
      </c>
    </row>
    <row r="8420" spans="1:9" x14ac:dyDescent="0.2">
      <c r="A8420" s="2" t="s">
        <v>3250</v>
      </c>
      <c r="B8420" s="2" t="s">
        <v>481</v>
      </c>
      <c r="C8420" s="2">
        <v>709.34810000000004</v>
      </c>
      <c r="D8420" s="2">
        <f>HYPERLINK("http://mcb-m6.bioreg.kyushu-u.ac.jp/M3/20110414/F50946/1764/1", 55.67)</f>
        <v>55.67</v>
      </c>
      <c r="E8420" s="2">
        <v>29.56</v>
      </c>
      <c r="F8420" s="2">
        <v>2</v>
      </c>
      <c r="G8420" s="2" t="s">
        <v>12</v>
      </c>
      <c r="I8420" s="2" t="s">
        <v>4898</v>
      </c>
    </row>
    <row r="8421" spans="1:9" x14ac:dyDescent="0.2">
      <c r="A8421" s="2" t="s">
        <v>3250</v>
      </c>
      <c r="B8421" s="2" t="s">
        <v>543</v>
      </c>
      <c r="C8421" s="2">
        <v>927.22810000000004</v>
      </c>
      <c r="D8421" s="2">
        <f>HYPERLINK("http://mcb-m6.bioreg.kyushu-u.ac.jp/M3/20110414/F50948/3182/1", 55.89)</f>
        <v>55.89</v>
      </c>
      <c r="E8421" s="2">
        <v>36.15</v>
      </c>
      <c r="F8421" s="2">
        <v>2</v>
      </c>
      <c r="G8421" s="2" t="s">
        <v>12</v>
      </c>
    </row>
    <row r="8422" spans="1:9" x14ac:dyDescent="0.2">
      <c r="A8422" s="2" t="s">
        <v>3250</v>
      </c>
      <c r="B8422" s="2" t="s">
        <v>772</v>
      </c>
      <c r="C8422" s="2">
        <v>596.15170000000001</v>
      </c>
      <c r="D8422" s="2">
        <f>HYPERLINK("http://mcb-m6.bioreg.kyushu-u.ac.jp/M3/20110414/F50959/944/1", 55.89)</f>
        <v>55.89</v>
      </c>
      <c r="E8422" s="2">
        <v>29.8</v>
      </c>
      <c r="F8422" s="2">
        <v>2</v>
      </c>
      <c r="G8422" s="2" t="s">
        <v>12</v>
      </c>
    </row>
    <row r="8423" spans="1:9" x14ac:dyDescent="0.2">
      <c r="A8423" s="2" t="s">
        <v>3250</v>
      </c>
      <c r="B8423" s="2" t="s">
        <v>365</v>
      </c>
      <c r="C8423" s="2">
        <v>1697.6610000000001</v>
      </c>
      <c r="D8423" s="2">
        <f>HYPERLINK("http://mcb-m6.bioreg.kyushu-u.ac.jp/M3/20110414/F50958/2776/1", 55.94)</f>
        <v>55.94</v>
      </c>
      <c r="E8423" s="2">
        <v>47.78</v>
      </c>
      <c r="F8423" s="2">
        <v>1</v>
      </c>
      <c r="G8423" s="2" t="s">
        <v>12</v>
      </c>
    </row>
    <row r="8424" spans="1:9" x14ac:dyDescent="0.2">
      <c r="A8424" s="2" t="s">
        <v>3250</v>
      </c>
      <c r="B8424" s="2" t="s">
        <v>467</v>
      </c>
      <c r="C8424" s="2">
        <v>692.2482</v>
      </c>
      <c r="D8424" s="2">
        <f>HYPERLINK("http://mcb-m6.bioreg.kyushu-u.ac.jp/M3/20110414/F50959/1549/1", 56.01)</f>
        <v>56.01</v>
      </c>
      <c r="E8424" s="2">
        <v>24.16</v>
      </c>
      <c r="F8424" s="2">
        <v>2</v>
      </c>
      <c r="G8424" s="2" t="s">
        <v>12</v>
      </c>
    </row>
    <row r="8425" spans="1:9" x14ac:dyDescent="0.2">
      <c r="A8425" s="2" t="s">
        <v>3250</v>
      </c>
      <c r="B8425" s="2" t="s">
        <v>356</v>
      </c>
      <c r="C8425" s="2">
        <v>816.29110000000003</v>
      </c>
      <c r="D8425" s="2">
        <f>HYPERLINK("http://mcb-m6.bioreg.kyushu-u.ac.jp/M3/20110414/F50959/2419/1", 56.06)</f>
        <v>56.06</v>
      </c>
      <c r="E8425" s="2">
        <v>46.98</v>
      </c>
      <c r="F8425" s="2">
        <v>2</v>
      </c>
      <c r="G8425" s="2" t="s">
        <v>12</v>
      </c>
    </row>
    <row r="8426" spans="1:9" x14ac:dyDescent="0.2">
      <c r="A8426" s="2" t="s">
        <v>3250</v>
      </c>
      <c r="B8426" s="2" t="s">
        <v>834</v>
      </c>
      <c r="C8426" s="2">
        <v>622.17610000000002</v>
      </c>
      <c r="D8426" s="2">
        <f>HYPERLINK("http://mcb-m6.bioreg.kyushu-u.ac.jp/M3/20110414/F50959/1092/1", 56.18)</f>
        <v>56.18</v>
      </c>
      <c r="E8426" s="2">
        <v>42.33</v>
      </c>
      <c r="F8426" s="2">
        <v>2</v>
      </c>
      <c r="G8426" s="2" t="s">
        <v>12</v>
      </c>
    </row>
    <row r="8427" spans="1:9" x14ac:dyDescent="0.2">
      <c r="A8427" s="2" t="s">
        <v>3250</v>
      </c>
      <c r="B8427" s="2" t="s">
        <v>90</v>
      </c>
      <c r="C8427" s="2">
        <v>717.0557</v>
      </c>
      <c r="D8427" s="2">
        <f>HYPERLINK("http://mcb-m6.bioreg.kyushu-u.ac.jp/M3/20110414/F50948/1923/1", 56.4)</f>
        <v>56.4</v>
      </c>
      <c r="E8427" s="2">
        <v>30.06</v>
      </c>
      <c r="F8427" s="2">
        <v>2</v>
      </c>
      <c r="G8427" s="2" t="s">
        <v>12</v>
      </c>
    </row>
    <row r="8428" spans="1:9" x14ac:dyDescent="0.2">
      <c r="A8428" s="2" t="s">
        <v>3250</v>
      </c>
      <c r="B8428" s="2" t="s">
        <v>1665</v>
      </c>
      <c r="C8428" s="2">
        <v>1147.2560000000001</v>
      </c>
      <c r="D8428" s="2">
        <f>HYPERLINK("http://mcb-m6.bioreg.kyushu-u.ac.jp/M3/20110414/F50958/4189/1", 56.43)</f>
        <v>56.43</v>
      </c>
      <c r="E8428" s="2">
        <v>50.8</v>
      </c>
      <c r="F8428" s="2">
        <v>2</v>
      </c>
      <c r="G8428" s="2" t="s">
        <v>12</v>
      </c>
    </row>
    <row r="8429" spans="1:9" x14ac:dyDescent="0.2">
      <c r="A8429" s="2" t="s">
        <v>3250</v>
      </c>
      <c r="B8429" s="2" t="s">
        <v>604</v>
      </c>
      <c r="C8429" s="2">
        <v>520.78120000000001</v>
      </c>
      <c r="D8429" s="2">
        <f>HYPERLINK("http://mcb-m6.bioreg.kyushu-u.ac.jp/M3/20110414/F50959/604/1", 56.52)</f>
        <v>56.52</v>
      </c>
      <c r="E8429" s="2">
        <v>6.13</v>
      </c>
      <c r="F8429" s="2">
        <v>2</v>
      </c>
      <c r="G8429" s="2" t="s">
        <v>12</v>
      </c>
    </row>
    <row r="8430" spans="1:9" x14ac:dyDescent="0.2">
      <c r="A8430" s="2" t="s">
        <v>3250</v>
      </c>
      <c r="B8430" s="2" t="s">
        <v>467</v>
      </c>
      <c r="C8430" s="2">
        <v>691.96559999999999</v>
      </c>
      <c r="D8430" s="2">
        <f>HYPERLINK("http://mcb-m6.bioreg.kyushu-u.ac.jp/M3/20110414/F50950/1860/1", 56.71)</f>
        <v>56.71</v>
      </c>
      <c r="E8430" s="2">
        <v>30.68</v>
      </c>
      <c r="F8430" s="2">
        <v>2</v>
      </c>
      <c r="G8430" s="2" t="s">
        <v>12</v>
      </c>
    </row>
    <row r="8431" spans="1:9" x14ac:dyDescent="0.2">
      <c r="A8431" s="2" t="s">
        <v>3250</v>
      </c>
      <c r="B8431" s="2" t="s">
        <v>467</v>
      </c>
      <c r="C8431" s="2">
        <v>692.03120000000001</v>
      </c>
      <c r="D8431" s="2">
        <f>HYPERLINK("http://mcb-m6.bioreg.kyushu-u.ac.jp/M3/20110414/F50950/1866/1", 56.77)</f>
        <v>56.77</v>
      </c>
      <c r="E8431" s="2">
        <v>7.71</v>
      </c>
      <c r="F8431" s="2">
        <v>2</v>
      </c>
      <c r="G8431" s="2" t="s">
        <v>12</v>
      </c>
    </row>
    <row r="8432" spans="1:9" x14ac:dyDescent="0.2">
      <c r="A8432" s="2" t="s">
        <v>3250</v>
      </c>
      <c r="B8432" s="2" t="s">
        <v>365</v>
      </c>
      <c r="C8432" s="2">
        <v>848.98910000000001</v>
      </c>
      <c r="D8432" s="2">
        <f>HYPERLINK("http://mcb-m6.bioreg.kyushu-u.ac.jp/M3/20110414/F50950/2760/1", 57.06)</f>
        <v>57.06</v>
      </c>
      <c r="E8432" s="2">
        <v>36.19</v>
      </c>
      <c r="F8432" s="2">
        <v>2</v>
      </c>
      <c r="G8432" s="2" t="s">
        <v>12</v>
      </c>
    </row>
    <row r="8433" spans="1:9" x14ac:dyDescent="0.2">
      <c r="A8433" s="2" t="s">
        <v>3250</v>
      </c>
      <c r="B8433" s="2" t="s">
        <v>311</v>
      </c>
      <c r="C8433" s="2">
        <v>599.12570000000005</v>
      </c>
      <c r="D8433" s="2">
        <f>HYPERLINK("http://mcb-m6.bioreg.kyushu-u.ac.jp/M3/20110414/F50959/965/1", 57.5)</f>
        <v>57.5</v>
      </c>
      <c r="E8433" s="2">
        <v>36.04</v>
      </c>
      <c r="F8433" s="2">
        <v>2</v>
      </c>
      <c r="G8433" s="2" t="s">
        <v>12</v>
      </c>
    </row>
    <row r="8434" spans="1:9" x14ac:dyDescent="0.2">
      <c r="A8434" s="2" t="s">
        <v>3250</v>
      </c>
      <c r="B8434" s="2" t="s">
        <v>90</v>
      </c>
      <c r="C8434" s="2">
        <v>717.01369999999997</v>
      </c>
      <c r="D8434" s="2">
        <f>HYPERLINK("http://mcb-m6.bioreg.kyushu-u.ac.jp/M3/20110414/F50959/1716/1", 57.82)</f>
        <v>57.82</v>
      </c>
      <c r="E8434" s="2">
        <v>20.87</v>
      </c>
      <c r="F8434" s="2">
        <v>2</v>
      </c>
      <c r="G8434" s="2" t="s">
        <v>12</v>
      </c>
    </row>
    <row r="8435" spans="1:9" x14ac:dyDescent="0.2">
      <c r="A8435" s="2" t="s">
        <v>3250</v>
      </c>
      <c r="B8435" s="2" t="s">
        <v>467</v>
      </c>
      <c r="C8435" s="2">
        <v>691.69320000000005</v>
      </c>
      <c r="D8435" s="2">
        <f>HYPERLINK("http://mcb-m6.bioreg.kyushu-u.ac.jp/M3/20110414/F50959/1536/1", 57.83)</f>
        <v>57.83</v>
      </c>
      <c r="E8435" s="2">
        <v>38.32</v>
      </c>
      <c r="F8435" s="2">
        <v>2</v>
      </c>
      <c r="G8435" s="2" t="s">
        <v>12</v>
      </c>
    </row>
    <row r="8436" spans="1:9" x14ac:dyDescent="0.2">
      <c r="A8436" s="2" t="s">
        <v>3250</v>
      </c>
      <c r="B8436" s="2" t="s">
        <v>311</v>
      </c>
      <c r="C8436" s="2">
        <v>606.67660000000001</v>
      </c>
      <c r="D8436" s="2">
        <f>HYPERLINK("http://mcb-m6.bioreg.kyushu-u.ac.jp/M3/20110414/F50959/998/1", 57.85)</f>
        <v>57.85</v>
      </c>
      <c r="E8436" s="2">
        <v>42.89</v>
      </c>
      <c r="F8436" s="2">
        <v>2</v>
      </c>
      <c r="G8436" s="2" t="s">
        <v>12</v>
      </c>
      <c r="H8436" s="2" t="s">
        <v>4908</v>
      </c>
    </row>
    <row r="8437" spans="1:9" x14ac:dyDescent="0.2">
      <c r="A8437" s="2" t="s">
        <v>3250</v>
      </c>
      <c r="B8437" s="2" t="s">
        <v>1065</v>
      </c>
      <c r="C8437" s="2">
        <v>716.59010000000001</v>
      </c>
      <c r="D8437" s="2">
        <f>HYPERLINK("http://mcb-m6.bioreg.kyushu-u.ac.jp/M3/20110414/F50950/2017/1", 57.96)</f>
        <v>57.96</v>
      </c>
      <c r="E8437" s="2">
        <v>36.17</v>
      </c>
      <c r="F8437" s="2">
        <v>2</v>
      </c>
      <c r="G8437" s="2" t="s">
        <v>12</v>
      </c>
      <c r="I8437" s="2" t="s">
        <v>4892</v>
      </c>
    </row>
    <row r="8438" spans="1:9" x14ac:dyDescent="0.2">
      <c r="A8438" s="2" t="s">
        <v>3250</v>
      </c>
      <c r="B8438" s="2" t="s">
        <v>503</v>
      </c>
      <c r="C8438" s="2">
        <v>808.15369999999996</v>
      </c>
      <c r="D8438" s="2">
        <f>HYPERLINK("http://mcb-m6.bioreg.kyushu-u.ac.jp/M3/20110414/F50958/2464/1", 57.96)</f>
        <v>57.96</v>
      </c>
      <c r="E8438" s="2">
        <v>46.15</v>
      </c>
      <c r="F8438" s="2">
        <v>2</v>
      </c>
      <c r="G8438" s="2" t="s">
        <v>12</v>
      </c>
    </row>
    <row r="8439" spans="1:9" x14ac:dyDescent="0.2">
      <c r="A8439" s="2" t="s">
        <v>3250</v>
      </c>
      <c r="B8439" s="2" t="s">
        <v>481</v>
      </c>
      <c r="C8439" s="2">
        <v>709.22919999999999</v>
      </c>
      <c r="D8439" s="2">
        <f>HYPERLINK("http://mcb-m6.bioreg.kyushu-u.ac.jp/M3/20110414/F50959/1641/1", 58.03)</f>
        <v>58.03</v>
      </c>
      <c r="E8439" s="2">
        <v>43.15</v>
      </c>
      <c r="F8439" s="2">
        <v>2</v>
      </c>
      <c r="G8439" s="2" t="s">
        <v>12</v>
      </c>
      <c r="I8439" s="2" t="s">
        <v>4898</v>
      </c>
    </row>
    <row r="8440" spans="1:9" x14ac:dyDescent="0.2">
      <c r="A8440" s="2" t="s">
        <v>3250</v>
      </c>
      <c r="B8440" s="2" t="s">
        <v>467</v>
      </c>
      <c r="C8440" s="2">
        <v>691.5222</v>
      </c>
      <c r="D8440" s="2">
        <f>HYPERLINK("http://mcb-m6.bioreg.kyushu-u.ac.jp/M3/20110414/F50950/1847/1", 58.13)</f>
        <v>58.13</v>
      </c>
      <c r="E8440" s="2">
        <v>20.11</v>
      </c>
      <c r="F8440" s="2">
        <v>2</v>
      </c>
      <c r="G8440" s="2" t="s">
        <v>12</v>
      </c>
    </row>
    <row r="8441" spans="1:9" x14ac:dyDescent="0.2">
      <c r="A8441" s="2" t="s">
        <v>3250</v>
      </c>
      <c r="B8441" s="2" t="s">
        <v>834</v>
      </c>
      <c r="C8441" s="2">
        <v>622.14070000000004</v>
      </c>
      <c r="D8441" s="2">
        <f>HYPERLINK("http://mcb-m6.bioreg.kyushu-u.ac.jp/M3/20110414/F50950/1456/1", 58.27)</f>
        <v>58.27</v>
      </c>
      <c r="E8441" s="2">
        <v>35.369999999999997</v>
      </c>
      <c r="F8441" s="2">
        <v>2</v>
      </c>
      <c r="G8441" s="2" t="s">
        <v>12</v>
      </c>
    </row>
    <row r="8442" spans="1:9" x14ac:dyDescent="0.2">
      <c r="A8442" s="2" t="s">
        <v>3250</v>
      </c>
      <c r="B8442" s="2" t="s">
        <v>543</v>
      </c>
      <c r="C8442" s="2">
        <v>926.95069999999998</v>
      </c>
      <c r="D8442" s="2">
        <f>HYPERLINK("http://mcb-m6.bioreg.kyushu-u.ac.jp/M3/20110414/F50948/3181/1", 58.32)</f>
        <v>58.32</v>
      </c>
      <c r="E8442" s="2">
        <v>39.75</v>
      </c>
      <c r="F8442" s="2">
        <v>2</v>
      </c>
      <c r="G8442" s="2" t="s">
        <v>12</v>
      </c>
    </row>
    <row r="8443" spans="1:9" x14ac:dyDescent="0.2">
      <c r="A8443" s="2" t="s">
        <v>3250</v>
      </c>
      <c r="B8443" s="2" t="s">
        <v>77</v>
      </c>
      <c r="C8443" s="2">
        <v>574.64970000000005</v>
      </c>
      <c r="D8443" s="2">
        <f>HYPERLINK("http://mcb-m6.bioreg.kyushu-u.ac.jp/M3/20110414/F50950/1176/1", 58.41)</f>
        <v>58.41</v>
      </c>
      <c r="E8443" s="2">
        <v>19.809999999999999</v>
      </c>
      <c r="F8443" s="2">
        <v>2</v>
      </c>
      <c r="G8443" s="2" t="s">
        <v>12</v>
      </c>
    </row>
    <row r="8444" spans="1:9" x14ac:dyDescent="0.2">
      <c r="A8444" s="2" t="s">
        <v>3250</v>
      </c>
      <c r="B8444" s="2" t="s">
        <v>1065</v>
      </c>
      <c r="C8444" s="2">
        <v>716.82619999999997</v>
      </c>
      <c r="D8444" s="2">
        <f>HYPERLINK("http://mcb-m6.bioreg.kyushu-u.ac.jp/M3/20110414/F50959/1710/1", 58.77)</f>
        <v>58.77</v>
      </c>
      <c r="E8444" s="2">
        <v>50.63</v>
      </c>
      <c r="F8444" s="2">
        <v>2</v>
      </c>
      <c r="G8444" s="2" t="s">
        <v>12</v>
      </c>
      <c r="I8444" s="2" t="s">
        <v>4892</v>
      </c>
    </row>
    <row r="8445" spans="1:9" x14ac:dyDescent="0.2">
      <c r="A8445" s="2" t="s">
        <v>3250</v>
      </c>
      <c r="B8445" s="2" t="s">
        <v>356</v>
      </c>
      <c r="C8445" s="2">
        <v>816.27970000000005</v>
      </c>
      <c r="D8445" s="2">
        <f>HYPERLINK("http://mcb-m6.bioreg.kyushu-u.ac.jp/M3/20110414/F50958/2532/1", 59.23)</f>
        <v>59.23</v>
      </c>
      <c r="E8445" s="2">
        <v>45.13</v>
      </c>
      <c r="F8445" s="2">
        <v>2</v>
      </c>
      <c r="G8445" s="2" t="s">
        <v>12</v>
      </c>
    </row>
    <row r="8446" spans="1:9" x14ac:dyDescent="0.2">
      <c r="A8446" s="2" t="s">
        <v>3250</v>
      </c>
      <c r="B8446" s="2" t="s">
        <v>90</v>
      </c>
      <c r="C8446" s="2">
        <v>717.04060000000004</v>
      </c>
      <c r="D8446" s="2">
        <f>HYPERLINK("http://mcb-m6.bioreg.kyushu-u.ac.jp/M3/20110414/F50950/2019/1", 59.31)</f>
        <v>59.31</v>
      </c>
      <c r="E8446" s="2">
        <v>34.96</v>
      </c>
      <c r="F8446" s="2">
        <v>2</v>
      </c>
      <c r="G8446" s="2" t="s">
        <v>12</v>
      </c>
    </row>
    <row r="8447" spans="1:9" x14ac:dyDescent="0.2">
      <c r="A8447" s="2" t="s">
        <v>3250</v>
      </c>
      <c r="B8447" s="2" t="s">
        <v>467</v>
      </c>
      <c r="C8447" s="2">
        <v>691.57069999999999</v>
      </c>
      <c r="D8447" s="2">
        <f>HYPERLINK("http://mcb-m6.bioreg.kyushu-u.ac.jp/M3/20110414/F50958/1654/1", 59.34)</f>
        <v>59.34</v>
      </c>
      <c r="E8447" s="2">
        <v>31.26</v>
      </c>
      <c r="F8447" s="2">
        <v>2</v>
      </c>
      <c r="G8447" s="2" t="s">
        <v>12</v>
      </c>
    </row>
    <row r="8448" spans="1:9" x14ac:dyDescent="0.2">
      <c r="A8448" s="2" t="s">
        <v>3250</v>
      </c>
      <c r="B8448" s="2" t="s">
        <v>356</v>
      </c>
      <c r="C8448" s="2">
        <v>816.52509999999995</v>
      </c>
      <c r="D8448" s="2">
        <f>HYPERLINK("http://mcb-m6.bioreg.kyushu-u.ac.jp/M3/20110414/F50966/2199/1", 59.71)</f>
        <v>59.71</v>
      </c>
      <c r="E8448" s="2">
        <v>48.05</v>
      </c>
      <c r="F8448" s="2">
        <v>2</v>
      </c>
      <c r="G8448" s="2" t="s">
        <v>12</v>
      </c>
    </row>
    <row r="8449" spans="1:9" x14ac:dyDescent="0.2">
      <c r="A8449" s="2" t="s">
        <v>3250</v>
      </c>
      <c r="B8449" s="2" t="s">
        <v>561</v>
      </c>
      <c r="C8449" s="2">
        <v>662.68219999999997</v>
      </c>
      <c r="D8449" s="2">
        <f>HYPERLINK("http://mcb-m6.bioreg.kyushu-u.ac.jp/M3/20110414/F50959/1352/1", 59.88)</f>
        <v>59.88</v>
      </c>
      <c r="E8449" s="2">
        <v>43.31</v>
      </c>
      <c r="F8449" s="2">
        <v>2</v>
      </c>
      <c r="G8449" s="2" t="s">
        <v>12</v>
      </c>
      <c r="H8449" s="2" t="s">
        <v>4919</v>
      </c>
    </row>
    <row r="8450" spans="1:9" x14ac:dyDescent="0.2">
      <c r="A8450" s="2" t="s">
        <v>3250</v>
      </c>
      <c r="B8450" s="2" t="s">
        <v>543</v>
      </c>
      <c r="C8450" s="2">
        <v>926.57119999999998</v>
      </c>
      <c r="D8450" s="2">
        <f>HYPERLINK("http://mcb-m6.bioreg.kyushu-u.ac.jp/M3/20110414/F50948/3176/1", 59.9)</f>
        <v>59.9</v>
      </c>
      <c r="E8450" s="2">
        <v>43.15</v>
      </c>
      <c r="F8450" s="2">
        <v>2</v>
      </c>
      <c r="G8450" s="2" t="s">
        <v>12</v>
      </c>
    </row>
    <row r="8451" spans="1:9" x14ac:dyDescent="0.2">
      <c r="A8451" s="2" t="s">
        <v>3250</v>
      </c>
      <c r="B8451" s="2" t="s">
        <v>90</v>
      </c>
      <c r="C8451" s="2">
        <v>716.82619999999997</v>
      </c>
      <c r="D8451" s="2">
        <f>HYPERLINK("http://mcb-m6.bioreg.kyushu-u.ac.jp/M3/20110414/F50959/1711/1", 59.94)</f>
        <v>59.94</v>
      </c>
      <c r="E8451" s="2">
        <v>13.05</v>
      </c>
      <c r="F8451" s="2">
        <v>2</v>
      </c>
      <c r="G8451" s="2" t="s">
        <v>12</v>
      </c>
    </row>
    <row r="8452" spans="1:9" x14ac:dyDescent="0.2">
      <c r="A8452" s="2" t="s">
        <v>3250</v>
      </c>
      <c r="B8452" s="2" t="s">
        <v>311</v>
      </c>
      <c r="C8452" s="2">
        <v>606.78120000000001</v>
      </c>
      <c r="D8452" s="2">
        <f>HYPERLINK("http://mcb-m6.bioreg.kyushu-u.ac.jp/M3/20110414/F50947/1202/1", 60.09)</f>
        <v>60.09</v>
      </c>
      <c r="E8452" s="2">
        <v>41.1</v>
      </c>
      <c r="F8452" s="2">
        <v>2</v>
      </c>
      <c r="G8452" s="2" t="s">
        <v>12</v>
      </c>
      <c r="H8452" s="2" t="s">
        <v>4908</v>
      </c>
    </row>
    <row r="8453" spans="1:9" x14ac:dyDescent="0.2">
      <c r="A8453" s="2" t="s">
        <v>3250</v>
      </c>
      <c r="B8453" s="2" t="s">
        <v>834</v>
      </c>
      <c r="C8453" s="2">
        <v>622.24369999999999</v>
      </c>
      <c r="D8453" s="2">
        <f>HYPERLINK("http://mcb-m6.bioreg.kyushu-u.ac.jp/M3/20110414/F50959/1094/1", 60.1)</f>
        <v>60.1</v>
      </c>
      <c r="E8453" s="2">
        <v>43.92</v>
      </c>
      <c r="F8453" s="2">
        <v>2</v>
      </c>
      <c r="G8453" s="2" t="s">
        <v>12</v>
      </c>
    </row>
    <row r="8454" spans="1:9" x14ac:dyDescent="0.2">
      <c r="A8454" s="2" t="s">
        <v>3250</v>
      </c>
      <c r="B8454" s="2" t="s">
        <v>467</v>
      </c>
      <c r="C8454" s="2">
        <v>692.14570000000003</v>
      </c>
      <c r="D8454" s="2">
        <f>HYPERLINK("http://mcb-m6.bioreg.kyushu-u.ac.jp/M3/20110414/F50932/2091/1", 60.7)</f>
        <v>60.7</v>
      </c>
      <c r="E8454" s="2">
        <v>34.79</v>
      </c>
      <c r="F8454" s="2">
        <v>2</v>
      </c>
      <c r="G8454" s="2" t="s">
        <v>12</v>
      </c>
    </row>
    <row r="8455" spans="1:9" x14ac:dyDescent="0.2">
      <c r="A8455" s="2" t="s">
        <v>3250</v>
      </c>
      <c r="B8455" s="2" t="s">
        <v>834</v>
      </c>
      <c r="C8455" s="2">
        <v>622.0231</v>
      </c>
      <c r="D8455" s="2">
        <f>HYPERLINK("http://mcb-m6.bioreg.kyushu-u.ac.jp/M3/20110414/F50948/1349/1", 60.76)</f>
        <v>60.76</v>
      </c>
      <c r="E8455" s="2">
        <v>33.090000000000003</v>
      </c>
      <c r="F8455" s="2">
        <v>2</v>
      </c>
      <c r="G8455" s="2" t="s">
        <v>12</v>
      </c>
    </row>
    <row r="8456" spans="1:9" x14ac:dyDescent="0.2">
      <c r="A8456" s="2" t="s">
        <v>3250</v>
      </c>
      <c r="B8456" s="2" t="s">
        <v>365</v>
      </c>
      <c r="C8456" s="2">
        <v>1696.674</v>
      </c>
      <c r="D8456" s="2">
        <f>HYPERLINK("http://mcb-m6.bioreg.kyushu-u.ac.jp/M3/20110414/F50947/2592/1", 60.81)</f>
        <v>60.81</v>
      </c>
      <c r="E8456" s="2">
        <v>47.43</v>
      </c>
      <c r="F8456" s="2">
        <v>1</v>
      </c>
      <c r="G8456" s="2" t="s">
        <v>12</v>
      </c>
    </row>
    <row r="8457" spans="1:9" x14ac:dyDescent="0.2">
      <c r="A8457" s="2" t="s">
        <v>3250</v>
      </c>
      <c r="B8457" s="2" t="s">
        <v>834</v>
      </c>
      <c r="C8457" s="2">
        <v>622.22810000000004</v>
      </c>
      <c r="D8457" s="2">
        <f>HYPERLINK("http://mcb-m6.bioreg.kyushu-u.ac.jp/M3/20110414/F50958/1235/1", 61.01)</f>
        <v>61.01</v>
      </c>
      <c r="E8457" s="2">
        <v>41.65</v>
      </c>
      <c r="F8457" s="2">
        <v>2</v>
      </c>
      <c r="G8457" s="2" t="s">
        <v>12</v>
      </c>
    </row>
    <row r="8458" spans="1:9" x14ac:dyDescent="0.2">
      <c r="A8458" s="2" t="s">
        <v>3250</v>
      </c>
      <c r="B8458" s="2" t="s">
        <v>561</v>
      </c>
      <c r="C8458" s="2">
        <v>1307.4949999999999</v>
      </c>
      <c r="D8458" s="2">
        <f>HYPERLINK("http://mcb-m6.bioreg.kyushu-u.ac.jp/M3/20110414/F50959/1293/1", 61.18)</f>
        <v>61.18</v>
      </c>
      <c r="E8458" s="2">
        <v>45.27</v>
      </c>
      <c r="F8458" s="2">
        <v>1</v>
      </c>
      <c r="G8458" s="2" t="s">
        <v>12</v>
      </c>
    </row>
    <row r="8459" spans="1:9" x14ac:dyDescent="0.2">
      <c r="A8459" s="2" t="s">
        <v>3250</v>
      </c>
      <c r="B8459" s="2" t="s">
        <v>834</v>
      </c>
      <c r="C8459" s="2">
        <v>622.34310000000005</v>
      </c>
      <c r="D8459" s="2">
        <f>HYPERLINK("http://mcb-m6.bioreg.kyushu-u.ac.jp/M3/20110414/F50959/1096/1", 61.3)</f>
        <v>61.3</v>
      </c>
      <c r="E8459" s="2">
        <v>45.76</v>
      </c>
      <c r="F8459" s="2">
        <v>2</v>
      </c>
      <c r="G8459" s="2" t="s">
        <v>12</v>
      </c>
    </row>
    <row r="8460" spans="1:9" x14ac:dyDescent="0.2">
      <c r="A8460" s="2" t="s">
        <v>3250</v>
      </c>
      <c r="B8460" s="2" t="s">
        <v>772</v>
      </c>
      <c r="C8460" s="2">
        <v>1190.624</v>
      </c>
      <c r="D8460" s="2">
        <f>HYPERLINK("http://mcb-m6.bioreg.kyushu-u.ac.jp/M3/20110414/F50949/1847/1", 61.47)</f>
        <v>61.47</v>
      </c>
      <c r="E8460" s="2">
        <v>27.99</v>
      </c>
      <c r="F8460" s="2">
        <v>1</v>
      </c>
      <c r="G8460" s="2" t="s">
        <v>12</v>
      </c>
    </row>
    <row r="8461" spans="1:9" x14ac:dyDescent="0.2">
      <c r="A8461" s="2" t="s">
        <v>3250</v>
      </c>
      <c r="B8461" s="2" t="s">
        <v>1665</v>
      </c>
      <c r="C8461" s="2">
        <v>1147.5350000000001</v>
      </c>
      <c r="D8461" s="2">
        <f>HYPERLINK("http://mcb-m6.bioreg.kyushu-u.ac.jp/M3/20110414/F50959/4168/1", 61.51)</f>
        <v>61.51</v>
      </c>
      <c r="E8461" s="2">
        <v>56.36</v>
      </c>
      <c r="F8461" s="2">
        <v>2</v>
      </c>
      <c r="G8461" s="2" t="s">
        <v>12</v>
      </c>
    </row>
    <row r="8462" spans="1:9" x14ac:dyDescent="0.2">
      <c r="A8462" s="2" t="s">
        <v>3250</v>
      </c>
      <c r="B8462" s="2" t="s">
        <v>481</v>
      </c>
      <c r="C8462" s="2">
        <v>708.98519999999996</v>
      </c>
      <c r="D8462" s="2">
        <f>HYPERLINK("http://mcb-m6.bioreg.kyushu-u.ac.jp/M3/20110414/F50949/2057/1", 61.77)</f>
        <v>61.77</v>
      </c>
      <c r="E8462" s="2">
        <v>37.729999999999997</v>
      </c>
      <c r="F8462" s="2">
        <v>2</v>
      </c>
      <c r="G8462" s="2" t="s">
        <v>12</v>
      </c>
      <c r="I8462" s="2" t="s">
        <v>4898</v>
      </c>
    </row>
    <row r="8463" spans="1:9" x14ac:dyDescent="0.2">
      <c r="A8463" s="2" t="s">
        <v>3250</v>
      </c>
      <c r="B8463" s="2" t="s">
        <v>561</v>
      </c>
      <c r="C8463" s="2">
        <v>654.73270000000002</v>
      </c>
      <c r="D8463" s="2">
        <f>HYPERLINK("http://mcb-m6.bioreg.kyushu-u.ac.jp/M3/20110414/F50959/1299/1", 61.9)</f>
        <v>61.9</v>
      </c>
      <c r="E8463" s="2">
        <v>40.479999999999997</v>
      </c>
      <c r="F8463" s="2">
        <v>2</v>
      </c>
      <c r="G8463" s="2" t="s">
        <v>12</v>
      </c>
    </row>
    <row r="8464" spans="1:9" x14ac:dyDescent="0.2">
      <c r="A8464" s="2" t="s">
        <v>3250</v>
      </c>
      <c r="B8464" s="2" t="s">
        <v>311</v>
      </c>
      <c r="C8464" s="2">
        <v>599.20510000000002</v>
      </c>
      <c r="D8464" s="2">
        <f>HYPERLINK("http://mcb-m6.bioreg.kyushu-u.ac.jp/M3/20110414/F50948/1241/1", 62.13)</f>
        <v>62.13</v>
      </c>
      <c r="E8464" s="2">
        <v>41.76</v>
      </c>
      <c r="F8464" s="2">
        <v>2</v>
      </c>
      <c r="G8464" s="2" t="s">
        <v>12</v>
      </c>
    </row>
    <row r="8465" spans="1:9" x14ac:dyDescent="0.2">
      <c r="A8465" s="2" t="s">
        <v>3250</v>
      </c>
      <c r="B8465" s="2" t="s">
        <v>365</v>
      </c>
      <c r="C8465" s="2">
        <v>1697.221</v>
      </c>
      <c r="D8465" s="2">
        <f>HYPERLINK("http://mcb-m6.bioreg.kyushu-u.ac.jp/M3/20110414/F50959/2644/1", 62.34)</f>
        <v>62.34</v>
      </c>
      <c r="E8465" s="2">
        <v>47.2</v>
      </c>
      <c r="F8465" s="2">
        <v>1</v>
      </c>
      <c r="G8465" s="2" t="s">
        <v>12</v>
      </c>
    </row>
    <row r="8466" spans="1:9" x14ac:dyDescent="0.2">
      <c r="A8466" s="2" t="s">
        <v>3250</v>
      </c>
      <c r="B8466" s="2" t="s">
        <v>1875</v>
      </c>
      <c r="C8466" s="2">
        <v>772.62519999999995</v>
      </c>
      <c r="D8466" s="2">
        <f>HYPERLINK("http://mcb-m6.bioreg.kyushu-u.ac.jp/M3/20110414/F50959/2098/1", 62.58)</f>
        <v>62.58</v>
      </c>
      <c r="E8466" s="2">
        <v>50.88</v>
      </c>
      <c r="F8466" s="2">
        <v>2</v>
      </c>
      <c r="G8466" s="2" t="s">
        <v>12</v>
      </c>
    </row>
    <row r="8467" spans="1:9" x14ac:dyDescent="0.2">
      <c r="A8467" s="2" t="s">
        <v>3250</v>
      </c>
      <c r="B8467" s="2" t="s">
        <v>365</v>
      </c>
      <c r="C8467" s="2">
        <v>1696.731</v>
      </c>
      <c r="D8467" s="2">
        <f>HYPERLINK("http://mcb-m6.bioreg.kyushu-u.ac.jp/M3/20110414/F50958/2770/1", 62.87)</f>
        <v>62.87</v>
      </c>
      <c r="E8467" s="2">
        <v>52.84</v>
      </c>
      <c r="F8467" s="2">
        <v>1</v>
      </c>
      <c r="G8467" s="2" t="s">
        <v>12</v>
      </c>
    </row>
    <row r="8468" spans="1:9" x14ac:dyDescent="0.2">
      <c r="A8468" s="2" t="s">
        <v>3250</v>
      </c>
      <c r="B8468" s="2" t="s">
        <v>365</v>
      </c>
      <c r="C8468" s="2">
        <v>849.31410000000005</v>
      </c>
      <c r="D8468" s="2">
        <f>HYPERLINK("http://mcb-m6.bioreg.kyushu-u.ac.jp/M3/20110414/F50959/2645/1", 63)</f>
        <v>63</v>
      </c>
      <c r="E8468" s="2">
        <v>48.54</v>
      </c>
      <c r="F8468" s="2">
        <v>2</v>
      </c>
      <c r="G8468" s="2" t="s">
        <v>12</v>
      </c>
    </row>
    <row r="8469" spans="1:9" x14ac:dyDescent="0.2">
      <c r="A8469" s="2" t="s">
        <v>3250</v>
      </c>
      <c r="B8469" s="2" t="s">
        <v>90</v>
      </c>
      <c r="C8469" s="2">
        <v>716.8827</v>
      </c>
      <c r="D8469" s="2">
        <f>HYPERLINK("http://mcb-m6.bioreg.kyushu-u.ac.jp/M3/20110414/F50949/2092/1", 63.19)</f>
        <v>63.19</v>
      </c>
      <c r="E8469" s="2">
        <v>27.95</v>
      </c>
      <c r="F8469" s="2">
        <v>2</v>
      </c>
      <c r="G8469" s="2" t="s">
        <v>12</v>
      </c>
    </row>
    <row r="8470" spans="1:9" x14ac:dyDescent="0.2">
      <c r="A8470" s="2" t="s">
        <v>3250</v>
      </c>
      <c r="B8470" s="2" t="s">
        <v>311</v>
      </c>
      <c r="C8470" s="2">
        <v>606.84670000000006</v>
      </c>
      <c r="D8470" s="2">
        <f>HYPERLINK("http://mcb-m6.bioreg.kyushu-u.ac.jp/M3/20110414/F50958/1160/1", 63.25)</f>
        <v>63.25</v>
      </c>
      <c r="E8470" s="2">
        <v>36.130000000000003</v>
      </c>
      <c r="F8470" s="2">
        <v>2</v>
      </c>
      <c r="G8470" s="2" t="s">
        <v>12</v>
      </c>
      <c r="H8470" s="2" t="s">
        <v>4908</v>
      </c>
    </row>
    <row r="8471" spans="1:9" x14ac:dyDescent="0.2">
      <c r="A8471" s="2" t="s">
        <v>3250</v>
      </c>
      <c r="B8471" s="2" t="s">
        <v>102</v>
      </c>
      <c r="C8471" s="2">
        <v>616.48270000000002</v>
      </c>
      <c r="D8471" s="2">
        <f>HYPERLINK("http://mcb-m6.bioreg.kyushu-u.ac.jp/M3/20110414/F50950/1422/1", 63.5)</f>
        <v>63.5</v>
      </c>
      <c r="E8471" s="2">
        <v>44.19</v>
      </c>
      <c r="F8471" s="2">
        <v>2</v>
      </c>
      <c r="G8471" s="2" t="s">
        <v>12</v>
      </c>
      <c r="H8471" s="2" t="s">
        <v>4900</v>
      </c>
    </row>
    <row r="8472" spans="1:9" x14ac:dyDescent="0.2">
      <c r="A8472" s="2" t="s">
        <v>3250</v>
      </c>
      <c r="B8472" s="2" t="s">
        <v>467</v>
      </c>
      <c r="C8472" s="2">
        <v>692.30110000000002</v>
      </c>
      <c r="D8472" s="2">
        <f>HYPERLINK("http://mcb-m6.bioreg.kyushu-u.ac.jp/M3/20110414/F50959/1551/1", 63.82)</f>
        <v>63.82</v>
      </c>
      <c r="E8472" s="2">
        <v>33.97</v>
      </c>
      <c r="F8472" s="2">
        <v>2</v>
      </c>
      <c r="G8472" s="2" t="s">
        <v>12</v>
      </c>
    </row>
    <row r="8473" spans="1:9" x14ac:dyDescent="0.2">
      <c r="A8473" s="2" t="s">
        <v>3250</v>
      </c>
      <c r="B8473" s="2" t="s">
        <v>1065</v>
      </c>
      <c r="C8473" s="2">
        <v>1432.598</v>
      </c>
      <c r="D8473" s="2">
        <f>HYPERLINK("http://mcb-m6.bioreg.kyushu-u.ac.jp/M3/20110414/F50959/1709/1", 63.82)</f>
        <v>63.82</v>
      </c>
      <c r="E8473" s="2">
        <v>45.77</v>
      </c>
      <c r="F8473" s="2">
        <v>1</v>
      </c>
      <c r="G8473" s="2" t="s">
        <v>12</v>
      </c>
      <c r="I8473" s="2" t="s">
        <v>4892</v>
      </c>
    </row>
    <row r="8474" spans="1:9" x14ac:dyDescent="0.2">
      <c r="A8474" s="2" t="s">
        <v>3250</v>
      </c>
      <c r="B8474" s="2" t="s">
        <v>888</v>
      </c>
      <c r="C8474" s="2">
        <v>811.25919999999996</v>
      </c>
      <c r="D8474" s="2">
        <f>HYPERLINK("http://mcb-m6.bioreg.kyushu-u.ac.jp/M3/20110414/F50959/4408/1", 64.61)</f>
        <v>64.61</v>
      </c>
      <c r="E8474" s="2">
        <v>55.64</v>
      </c>
      <c r="F8474" s="2">
        <v>3</v>
      </c>
      <c r="G8474" s="2" t="s">
        <v>12</v>
      </c>
      <c r="I8474" s="2" t="s">
        <v>4895</v>
      </c>
    </row>
    <row r="8475" spans="1:9" x14ac:dyDescent="0.2">
      <c r="A8475" s="2" t="s">
        <v>3250</v>
      </c>
      <c r="B8475" s="2" t="s">
        <v>772</v>
      </c>
      <c r="C8475" s="2">
        <v>595.96310000000005</v>
      </c>
      <c r="D8475" s="2">
        <f>HYPERLINK("http://mcb-m6.bioreg.kyushu-u.ac.jp/M3/20110414/F50959/941/1", 64.75)</f>
        <v>64.75</v>
      </c>
      <c r="E8475" s="2">
        <v>29.53</v>
      </c>
      <c r="F8475" s="2">
        <v>2</v>
      </c>
      <c r="G8475" s="2" t="s">
        <v>12</v>
      </c>
    </row>
    <row r="8476" spans="1:9" x14ac:dyDescent="0.2">
      <c r="A8476" s="2" t="s">
        <v>3250</v>
      </c>
      <c r="B8476" s="2" t="s">
        <v>1065</v>
      </c>
      <c r="C8476" s="2">
        <v>717.36220000000003</v>
      </c>
      <c r="D8476" s="2">
        <f>HYPERLINK("http://mcb-m6.bioreg.kyushu-u.ac.jp/M3/20110414/F50959/1723/1", 64.8)</f>
        <v>64.8</v>
      </c>
      <c r="E8476" s="2">
        <v>53.16</v>
      </c>
      <c r="F8476" s="2">
        <v>2</v>
      </c>
      <c r="G8476" s="2" t="s">
        <v>12</v>
      </c>
      <c r="I8476" s="2" t="s">
        <v>4892</v>
      </c>
    </row>
    <row r="8477" spans="1:9" x14ac:dyDescent="0.2">
      <c r="A8477" s="2" t="s">
        <v>3250</v>
      </c>
      <c r="B8477" s="2" t="s">
        <v>834</v>
      </c>
      <c r="C8477" s="2">
        <v>622.39319999999998</v>
      </c>
      <c r="D8477" s="2">
        <f>HYPERLINK("http://mcb-m6.bioreg.kyushu-u.ac.jp/M3/20110414/F50950/1457/1", 64.96)</f>
        <v>64.959999999999994</v>
      </c>
      <c r="E8477" s="2">
        <v>38.47</v>
      </c>
      <c r="F8477" s="2">
        <v>2</v>
      </c>
      <c r="G8477" s="2" t="s">
        <v>12</v>
      </c>
    </row>
    <row r="8478" spans="1:9" x14ac:dyDescent="0.2">
      <c r="A8478" s="2" t="s">
        <v>3250</v>
      </c>
      <c r="B8478" s="2" t="s">
        <v>1665</v>
      </c>
      <c r="C8478" s="2">
        <v>1147.0119999999999</v>
      </c>
      <c r="D8478" s="2">
        <f>HYPERLINK("http://mcb-m6.bioreg.kyushu-u.ac.jp/M3/20110414/F50959/4160/1", 65.15)</f>
        <v>65.150000000000006</v>
      </c>
      <c r="E8478" s="2">
        <v>62.06</v>
      </c>
      <c r="F8478" s="2">
        <v>2</v>
      </c>
      <c r="G8478" s="2" t="s">
        <v>12</v>
      </c>
    </row>
    <row r="8479" spans="1:9" x14ac:dyDescent="0.2">
      <c r="A8479" s="2" t="s">
        <v>3250</v>
      </c>
      <c r="B8479" s="2" t="s">
        <v>1875</v>
      </c>
      <c r="C8479" s="2">
        <v>780.3057</v>
      </c>
      <c r="D8479" s="2">
        <f>HYPERLINK("http://mcb-m6.bioreg.kyushu-u.ac.jp/M3/20110414/F50959/2143/1", 65.33)</f>
        <v>65.33</v>
      </c>
      <c r="E8479" s="2">
        <v>51.11</v>
      </c>
      <c r="F8479" s="2">
        <v>2</v>
      </c>
      <c r="G8479" s="2" t="s">
        <v>12</v>
      </c>
      <c r="H8479" s="2" t="s">
        <v>4920</v>
      </c>
    </row>
    <row r="8480" spans="1:9" x14ac:dyDescent="0.2">
      <c r="A8480" s="2" t="s">
        <v>3250</v>
      </c>
      <c r="B8480" s="2" t="s">
        <v>834</v>
      </c>
      <c r="C8480" s="2">
        <v>622.05820000000006</v>
      </c>
      <c r="D8480" s="2">
        <f>HYPERLINK("http://mcb-m6.bioreg.kyushu-u.ac.jp/M3/20110414/F50948/1350/1", 65.34)</f>
        <v>65.34</v>
      </c>
      <c r="E8480" s="2">
        <v>43.21</v>
      </c>
      <c r="F8480" s="2">
        <v>2</v>
      </c>
      <c r="G8480" s="2" t="s">
        <v>12</v>
      </c>
    </row>
    <row r="8481" spans="1:9" x14ac:dyDescent="0.2">
      <c r="A8481" s="2" t="s">
        <v>3250</v>
      </c>
      <c r="B8481" s="2" t="s">
        <v>365</v>
      </c>
      <c r="C8481" s="2">
        <v>1696.2139999999999</v>
      </c>
      <c r="D8481" s="2">
        <f>HYPERLINK("http://mcb-m6.bioreg.kyushu-u.ac.jp/M3/20110414/F50950/2756/1", 65.4)</f>
        <v>65.400000000000006</v>
      </c>
      <c r="E8481" s="2">
        <v>40.79</v>
      </c>
      <c r="F8481" s="2">
        <v>1</v>
      </c>
      <c r="G8481" s="2" t="s">
        <v>12</v>
      </c>
    </row>
    <row r="8482" spans="1:9" x14ac:dyDescent="0.2">
      <c r="A8482" s="2" t="s">
        <v>3250</v>
      </c>
      <c r="B8482" s="2" t="s">
        <v>834</v>
      </c>
      <c r="C8482" s="2">
        <v>621.73220000000003</v>
      </c>
      <c r="D8482" s="2">
        <f>HYPERLINK("http://mcb-m6.bioreg.kyushu-u.ac.jp/M3/20110414/F50959/1086/1", 65.42)</f>
        <v>65.42</v>
      </c>
      <c r="E8482" s="2">
        <v>46.17</v>
      </c>
      <c r="F8482" s="2">
        <v>2</v>
      </c>
      <c r="G8482" s="2" t="s">
        <v>12</v>
      </c>
    </row>
    <row r="8483" spans="1:9" x14ac:dyDescent="0.2">
      <c r="A8483" s="2" t="s">
        <v>3250</v>
      </c>
      <c r="B8483" s="2" t="s">
        <v>481</v>
      </c>
      <c r="C8483" s="2">
        <v>709.85469999999998</v>
      </c>
      <c r="D8483" s="2">
        <f>HYPERLINK("http://mcb-m6.bioreg.kyushu-u.ac.jp/M3/20110414/F50947/1739/1", 65.57)</f>
        <v>65.569999999999993</v>
      </c>
      <c r="E8483" s="2">
        <v>47.08</v>
      </c>
      <c r="F8483" s="2">
        <v>2</v>
      </c>
      <c r="G8483" s="2" t="s">
        <v>12</v>
      </c>
      <c r="I8483" s="2" t="s">
        <v>4898</v>
      </c>
    </row>
    <row r="8484" spans="1:9" x14ac:dyDescent="0.2">
      <c r="A8484" s="2" t="s">
        <v>3250</v>
      </c>
      <c r="B8484" s="2" t="s">
        <v>561</v>
      </c>
      <c r="C8484" s="2">
        <v>654.6902</v>
      </c>
      <c r="D8484" s="2">
        <f>HYPERLINK("http://mcb-m6.bioreg.kyushu-u.ac.jp/M3/20110414/F50959/1298/1", 65.65)</f>
        <v>65.650000000000006</v>
      </c>
      <c r="E8484" s="2">
        <v>46.29</v>
      </c>
      <c r="F8484" s="2">
        <v>2</v>
      </c>
      <c r="G8484" s="2" t="s">
        <v>12</v>
      </c>
    </row>
    <row r="8485" spans="1:9" x14ac:dyDescent="0.2">
      <c r="A8485" s="2" t="s">
        <v>3250</v>
      </c>
      <c r="B8485" s="2" t="s">
        <v>1665</v>
      </c>
      <c r="C8485" s="2">
        <v>1146.9559999999999</v>
      </c>
      <c r="D8485" s="2">
        <f>HYPERLINK("http://mcb-m6.bioreg.kyushu-u.ac.jp/M3/20110414/F50959/4159/1", 66.08)</f>
        <v>66.08</v>
      </c>
      <c r="E8485" s="2">
        <v>57.02</v>
      </c>
      <c r="F8485" s="2">
        <v>2</v>
      </c>
      <c r="G8485" s="2" t="s">
        <v>12</v>
      </c>
    </row>
    <row r="8486" spans="1:9" x14ac:dyDescent="0.2">
      <c r="A8486" s="2" t="s">
        <v>3250</v>
      </c>
      <c r="B8486" s="2" t="s">
        <v>365</v>
      </c>
      <c r="C8486" s="2">
        <v>849.1481</v>
      </c>
      <c r="D8486" s="2">
        <f>HYPERLINK("http://mcb-m6.bioreg.kyushu-u.ac.jp/M3/20110414/F50948/2712/1", 66.4)</f>
        <v>66.400000000000006</v>
      </c>
      <c r="E8486" s="2">
        <v>46.45</v>
      </c>
      <c r="F8486" s="2">
        <v>2</v>
      </c>
      <c r="G8486" s="2" t="s">
        <v>12</v>
      </c>
    </row>
    <row r="8487" spans="1:9" x14ac:dyDescent="0.2">
      <c r="A8487" s="2" t="s">
        <v>3250</v>
      </c>
      <c r="B8487" s="2" t="s">
        <v>772</v>
      </c>
      <c r="C8487" s="2">
        <v>595.77620000000002</v>
      </c>
      <c r="D8487" s="2">
        <f>HYPERLINK("http://mcb-m6.bioreg.kyushu-u.ac.jp/M3/20110414/F50958/1093/1", 66.43)</f>
        <v>66.430000000000007</v>
      </c>
      <c r="E8487" s="2">
        <v>25.84</v>
      </c>
      <c r="F8487" s="2">
        <v>2</v>
      </c>
      <c r="G8487" s="2" t="s">
        <v>12</v>
      </c>
    </row>
    <row r="8488" spans="1:9" x14ac:dyDescent="0.2">
      <c r="A8488" s="2" t="s">
        <v>3250</v>
      </c>
      <c r="B8488" s="2" t="s">
        <v>1787</v>
      </c>
      <c r="C8488" s="2">
        <v>588.82870000000003</v>
      </c>
      <c r="D8488" s="2">
        <f>HYPERLINK("http://mcb-m6.bioreg.kyushu-u.ac.jp/M3/20110414/F50947/1135/1", 66.55)</f>
        <v>66.55</v>
      </c>
      <c r="E8488" s="2">
        <v>46.69</v>
      </c>
      <c r="F8488" s="2">
        <v>2</v>
      </c>
      <c r="G8488" s="2" t="s">
        <v>12</v>
      </c>
      <c r="I8488" s="2" t="s">
        <v>4895</v>
      </c>
    </row>
    <row r="8489" spans="1:9" x14ac:dyDescent="0.2">
      <c r="A8489" s="2" t="s">
        <v>3250</v>
      </c>
      <c r="B8489" s="2" t="s">
        <v>772</v>
      </c>
      <c r="C8489" s="2">
        <v>1190.1010000000001</v>
      </c>
      <c r="D8489" s="2">
        <f>HYPERLINK("http://mcb-m6.bioreg.kyushu-u.ac.jp/M3/20110414/F50950/1306/1", 66.62)</f>
        <v>66.62</v>
      </c>
      <c r="E8489" s="2">
        <v>36.869999999999997</v>
      </c>
      <c r="F8489" s="2">
        <v>1</v>
      </c>
      <c r="G8489" s="2" t="s">
        <v>12</v>
      </c>
    </row>
    <row r="8490" spans="1:9" x14ac:dyDescent="0.2">
      <c r="A8490" s="2" t="s">
        <v>3250</v>
      </c>
      <c r="B8490" s="2" t="s">
        <v>1065</v>
      </c>
      <c r="C8490" s="2">
        <v>717.37570000000005</v>
      </c>
      <c r="D8490" s="2">
        <f>HYPERLINK("http://mcb-m6.bioreg.kyushu-u.ac.jp/M3/20110414/F50947/1789/1", 67.01)</f>
        <v>67.010000000000005</v>
      </c>
      <c r="E8490" s="2">
        <v>56.83</v>
      </c>
      <c r="F8490" s="2">
        <v>2</v>
      </c>
      <c r="G8490" s="2" t="s">
        <v>12</v>
      </c>
      <c r="I8490" s="2" t="s">
        <v>4892</v>
      </c>
    </row>
    <row r="8491" spans="1:9" x14ac:dyDescent="0.2">
      <c r="A8491" s="2" t="s">
        <v>3250</v>
      </c>
      <c r="B8491" s="2" t="s">
        <v>356</v>
      </c>
      <c r="C8491" s="2">
        <v>815.74659999999994</v>
      </c>
      <c r="D8491" s="2">
        <f>HYPERLINK("http://mcb-m6.bioreg.kyushu-u.ac.jp/M3/20110414/F50959/2404/1", 67.26)</f>
        <v>67.260000000000005</v>
      </c>
      <c r="E8491" s="2">
        <v>46.73</v>
      </c>
      <c r="F8491" s="2">
        <v>2</v>
      </c>
      <c r="G8491" s="2" t="s">
        <v>12</v>
      </c>
    </row>
    <row r="8492" spans="1:9" x14ac:dyDescent="0.2">
      <c r="A8492" s="2" t="s">
        <v>3250</v>
      </c>
      <c r="B8492" s="2" t="s">
        <v>481</v>
      </c>
      <c r="C8492" s="2">
        <v>708.97670000000005</v>
      </c>
      <c r="D8492" s="2">
        <f>HYPERLINK("http://mcb-m6.bioreg.kyushu-u.ac.jp/M3/20110414/F50950/1949/1", 67.63)</f>
        <v>67.63</v>
      </c>
      <c r="E8492" s="2">
        <v>45.6</v>
      </c>
      <c r="F8492" s="2">
        <v>2</v>
      </c>
      <c r="G8492" s="2" t="s">
        <v>12</v>
      </c>
      <c r="I8492" s="2" t="s">
        <v>4898</v>
      </c>
    </row>
    <row r="8493" spans="1:9" x14ac:dyDescent="0.2">
      <c r="A8493" s="2" t="s">
        <v>3250</v>
      </c>
      <c r="B8493" s="2" t="s">
        <v>772</v>
      </c>
      <c r="C8493" s="2">
        <v>595.95820000000003</v>
      </c>
      <c r="D8493" s="2">
        <f>HYPERLINK("http://mcb-m6.bioreg.kyushu-u.ac.jp/M3/20110414/F50950/1309/1", 67.76)</f>
        <v>67.760000000000005</v>
      </c>
      <c r="E8493" s="2">
        <v>33.950000000000003</v>
      </c>
      <c r="F8493" s="2">
        <v>2</v>
      </c>
      <c r="G8493" s="2" t="s">
        <v>12</v>
      </c>
    </row>
    <row r="8494" spans="1:9" x14ac:dyDescent="0.2">
      <c r="A8494" s="2" t="s">
        <v>3250</v>
      </c>
      <c r="B8494" s="2" t="s">
        <v>1065</v>
      </c>
      <c r="C8494" s="2">
        <v>717.00369999999998</v>
      </c>
      <c r="D8494" s="2">
        <f>HYPERLINK("http://mcb-m6.bioreg.kyushu-u.ac.jp/M3/20110414/F50948/1920/1", 67.79)</f>
        <v>67.790000000000006</v>
      </c>
      <c r="E8494" s="2">
        <v>54.97</v>
      </c>
      <c r="F8494" s="2">
        <v>2</v>
      </c>
      <c r="G8494" s="2" t="s">
        <v>12</v>
      </c>
      <c r="I8494" s="2" t="s">
        <v>4892</v>
      </c>
    </row>
    <row r="8495" spans="1:9" x14ac:dyDescent="0.2">
      <c r="A8495" s="2" t="s">
        <v>3250</v>
      </c>
      <c r="B8495" s="2" t="s">
        <v>90</v>
      </c>
      <c r="C8495" s="2">
        <v>717.44669999999996</v>
      </c>
      <c r="D8495" s="2">
        <f>HYPERLINK("http://mcb-m6.bioreg.kyushu-u.ac.jp/M3/20110414/F50958/1830/1", 67.85)</f>
        <v>67.849999999999994</v>
      </c>
      <c r="E8495" s="2">
        <v>46.14</v>
      </c>
      <c r="F8495" s="2">
        <v>2</v>
      </c>
      <c r="G8495" s="2" t="s">
        <v>12</v>
      </c>
    </row>
    <row r="8496" spans="1:9" x14ac:dyDescent="0.2">
      <c r="A8496" s="2" t="s">
        <v>3250</v>
      </c>
      <c r="B8496" s="2" t="s">
        <v>1065</v>
      </c>
      <c r="C8496" s="2">
        <v>717.35569999999996</v>
      </c>
      <c r="D8496" s="2">
        <f>HYPERLINK("http://mcb-m6.bioreg.kyushu-u.ac.jp/M3/20110414/F50932/2179/1", 67.86)</f>
        <v>67.86</v>
      </c>
      <c r="E8496" s="2">
        <v>55.91</v>
      </c>
      <c r="F8496" s="2">
        <v>2</v>
      </c>
      <c r="G8496" s="2" t="s">
        <v>12</v>
      </c>
      <c r="I8496" s="2" t="s">
        <v>4892</v>
      </c>
    </row>
    <row r="8497" spans="1:9" x14ac:dyDescent="0.2">
      <c r="A8497" s="2" t="s">
        <v>3250</v>
      </c>
      <c r="B8497" s="2" t="s">
        <v>30</v>
      </c>
      <c r="C8497" s="2">
        <v>964.82569999999998</v>
      </c>
      <c r="D8497" s="2">
        <f>HYPERLINK("http://mcb-m6.bioreg.kyushu-u.ac.jp/M3/20110414/F50959/3398/1", 67.88)</f>
        <v>67.88</v>
      </c>
      <c r="E8497" s="2">
        <v>59.85</v>
      </c>
      <c r="F8497" s="2">
        <v>2</v>
      </c>
      <c r="G8497" s="2" t="s">
        <v>12</v>
      </c>
      <c r="I8497" s="2" t="s">
        <v>4894</v>
      </c>
    </row>
    <row r="8498" spans="1:9" x14ac:dyDescent="0.2">
      <c r="A8498" s="2" t="s">
        <v>3250</v>
      </c>
      <c r="B8498" s="2" t="s">
        <v>1787</v>
      </c>
      <c r="C8498" s="2">
        <v>588.68269999999995</v>
      </c>
      <c r="D8498" s="2">
        <f>HYPERLINK("http://mcb-m6.bioreg.kyushu-u.ac.jp/M3/20110414/F50948/1188/1", 67.92)</f>
        <v>67.92</v>
      </c>
      <c r="E8498" s="2">
        <v>46.96</v>
      </c>
      <c r="F8498" s="2">
        <v>2</v>
      </c>
      <c r="G8498" s="2" t="s">
        <v>12</v>
      </c>
      <c r="I8498" s="2" t="s">
        <v>4895</v>
      </c>
    </row>
    <row r="8499" spans="1:9" x14ac:dyDescent="0.2">
      <c r="A8499" s="2" t="s">
        <v>3250</v>
      </c>
      <c r="B8499" s="2" t="s">
        <v>834</v>
      </c>
      <c r="C8499" s="2">
        <v>621.86270000000002</v>
      </c>
      <c r="D8499" s="2">
        <f>HYPERLINK("http://mcb-m6.bioreg.kyushu-u.ac.jp/M3/20110414/F50948/1348/1", 68.28)</f>
        <v>68.28</v>
      </c>
      <c r="E8499" s="2">
        <v>49.69</v>
      </c>
      <c r="F8499" s="2">
        <v>2</v>
      </c>
      <c r="G8499" s="2" t="s">
        <v>12</v>
      </c>
    </row>
    <row r="8500" spans="1:9" x14ac:dyDescent="0.2">
      <c r="A8500" s="2" t="s">
        <v>3250</v>
      </c>
      <c r="B8500" s="2" t="s">
        <v>561</v>
      </c>
      <c r="C8500" s="2">
        <v>654.25419999999997</v>
      </c>
      <c r="D8500" s="2">
        <f>HYPERLINK("http://mcb-m6.bioreg.kyushu-u.ac.jp/M3/20110414/F50959/1294/1", 68.28)</f>
        <v>68.28</v>
      </c>
      <c r="E8500" s="2">
        <v>50.25</v>
      </c>
      <c r="F8500" s="2">
        <v>2</v>
      </c>
      <c r="G8500" s="2" t="s">
        <v>12</v>
      </c>
    </row>
    <row r="8501" spans="1:9" x14ac:dyDescent="0.2">
      <c r="A8501" s="2" t="s">
        <v>3250</v>
      </c>
      <c r="B8501" s="2" t="s">
        <v>772</v>
      </c>
      <c r="C8501" s="2">
        <v>595.37159999999994</v>
      </c>
      <c r="D8501" s="2">
        <f>HYPERLINK("http://mcb-m6.bioreg.kyushu-u.ac.jp/M3/20110414/F50950/1299/1", 68.35)</f>
        <v>68.349999999999994</v>
      </c>
      <c r="E8501" s="2">
        <v>25.94</v>
      </c>
      <c r="F8501" s="2">
        <v>2</v>
      </c>
      <c r="G8501" s="2" t="s">
        <v>12</v>
      </c>
    </row>
    <row r="8502" spans="1:9" x14ac:dyDescent="0.2">
      <c r="A8502" s="2" t="s">
        <v>3250</v>
      </c>
      <c r="B8502" s="2" t="s">
        <v>481</v>
      </c>
      <c r="C8502" s="2">
        <v>709.23469999999998</v>
      </c>
      <c r="D8502" s="2">
        <f>HYPERLINK("http://mcb-m6.bioreg.kyushu-u.ac.jp/M3/20110414/F50948/1866/1", 68.7)</f>
        <v>68.7</v>
      </c>
      <c r="E8502" s="2">
        <v>48.37</v>
      </c>
      <c r="F8502" s="2">
        <v>2</v>
      </c>
      <c r="G8502" s="2" t="s">
        <v>12</v>
      </c>
      <c r="I8502" s="2" t="s">
        <v>4898</v>
      </c>
    </row>
    <row r="8503" spans="1:9" x14ac:dyDescent="0.2">
      <c r="A8503" s="2" t="s">
        <v>3250</v>
      </c>
      <c r="B8503" s="2" t="s">
        <v>834</v>
      </c>
      <c r="C8503" s="2">
        <v>622.01369999999997</v>
      </c>
      <c r="D8503" s="2">
        <f>HYPERLINK("http://mcb-m6.bioreg.kyushu-u.ac.jp/M3/20110414/F50950/1452/1", 68.7)</f>
        <v>68.7</v>
      </c>
      <c r="E8503" s="2">
        <v>44.3</v>
      </c>
      <c r="F8503" s="2">
        <v>2</v>
      </c>
      <c r="G8503" s="2" t="s">
        <v>12</v>
      </c>
    </row>
    <row r="8504" spans="1:9" x14ac:dyDescent="0.2">
      <c r="A8504" s="2" t="s">
        <v>3250</v>
      </c>
      <c r="B8504" s="2" t="s">
        <v>467</v>
      </c>
      <c r="C8504" s="2">
        <v>1382.1469999999999</v>
      </c>
      <c r="D8504" s="2">
        <f>HYPERLINK("http://mcb-m6.bioreg.kyushu-u.ac.jp/M3/20110414/F50950/1849/1", 68.73)</f>
        <v>68.73</v>
      </c>
      <c r="E8504" s="2">
        <v>46.67</v>
      </c>
      <c r="F8504" s="2">
        <v>1</v>
      </c>
      <c r="G8504" s="2" t="s">
        <v>12</v>
      </c>
    </row>
    <row r="8505" spans="1:9" x14ac:dyDescent="0.2">
      <c r="A8505" s="2" t="s">
        <v>3250</v>
      </c>
      <c r="B8505" s="2" t="s">
        <v>356</v>
      </c>
      <c r="C8505" s="2">
        <v>816.37369999999999</v>
      </c>
      <c r="D8505" s="2">
        <f>HYPERLINK("http://mcb-m6.bioreg.kyushu-u.ac.jp/M3/20110414/F50932/2547/1", 69.06)</f>
        <v>69.06</v>
      </c>
      <c r="E8505" s="2">
        <v>55.02</v>
      </c>
      <c r="F8505" s="2">
        <v>2</v>
      </c>
      <c r="G8505" s="2" t="s">
        <v>12</v>
      </c>
    </row>
    <row r="8506" spans="1:9" x14ac:dyDescent="0.2">
      <c r="A8506" s="2" t="s">
        <v>3250</v>
      </c>
      <c r="B8506" s="2" t="s">
        <v>772</v>
      </c>
      <c r="C8506" s="2">
        <v>596.23019999999997</v>
      </c>
      <c r="D8506" s="2">
        <f>HYPERLINK("http://mcb-m6.bioreg.kyushu-u.ac.jp/M3/20110414/F50946/1332/1", 69.28)</f>
        <v>69.28</v>
      </c>
      <c r="E8506" s="2">
        <v>42.83</v>
      </c>
      <c r="F8506" s="2">
        <v>2</v>
      </c>
      <c r="G8506" s="2" t="s">
        <v>12</v>
      </c>
    </row>
    <row r="8507" spans="1:9" x14ac:dyDescent="0.2">
      <c r="A8507" s="2" t="s">
        <v>3250</v>
      </c>
      <c r="B8507" s="2" t="s">
        <v>561</v>
      </c>
      <c r="C8507" s="2">
        <v>654.43320000000006</v>
      </c>
      <c r="D8507" s="2">
        <f>HYPERLINK("http://mcb-m6.bioreg.kyushu-u.ac.jp/M3/20110414/F50959/1297/1", 69.32)</f>
        <v>69.319999999999993</v>
      </c>
      <c r="E8507" s="2">
        <v>49.41</v>
      </c>
      <c r="F8507" s="2">
        <v>2</v>
      </c>
      <c r="G8507" s="2" t="s">
        <v>12</v>
      </c>
    </row>
    <row r="8508" spans="1:9" x14ac:dyDescent="0.2">
      <c r="A8508" s="2" t="s">
        <v>3250</v>
      </c>
      <c r="B8508" s="2" t="s">
        <v>561</v>
      </c>
      <c r="C8508" s="2">
        <v>662.63670000000002</v>
      </c>
      <c r="D8508" s="2">
        <f>HYPERLINK("http://mcb-m6.bioreg.kyushu-u.ac.jp/M3/20110414/F50950/1671/1", 69.66)</f>
        <v>69.66</v>
      </c>
      <c r="E8508" s="2">
        <v>45.93</v>
      </c>
      <c r="F8508" s="2">
        <v>2</v>
      </c>
      <c r="G8508" s="2" t="s">
        <v>12</v>
      </c>
      <c r="H8508" s="2" t="s">
        <v>4919</v>
      </c>
    </row>
    <row r="8509" spans="1:9" x14ac:dyDescent="0.2">
      <c r="A8509" s="2" t="s">
        <v>3250</v>
      </c>
      <c r="B8509" s="2" t="s">
        <v>467</v>
      </c>
      <c r="C8509" s="2">
        <v>691.52260000000001</v>
      </c>
      <c r="D8509" s="2">
        <f>HYPERLINK("http://mcb-m6.bioreg.kyushu-u.ac.jp/M3/20110414/F50950/1848/1", 69.86)</f>
        <v>69.86</v>
      </c>
      <c r="E8509" s="2">
        <v>38.75</v>
      </c>
      <c r="F8509" s="2">
        <v>2</v>
      </c>
      <c r="G8509" s="2" t="s">
        <v>12</v>
      </c>
    </row>
    <row r="8510" spans="1:9" x14ac:dyDescent="0.2">
      <c r="A8510" s="2" t="s">
        <v>3250</v>
      </c>
      <c r="B8510" s="2" t="s">
        <v>834</v>
      </c>
      <c r="C8510" s="2">
        <v>622.0222</v>
      </c>
      <c r="D8510" s="2">
        <f>HYPERLINK("http://mcb-m6.bioreg.kyushu-u.ac.jp/M3/20110414/F50950/1453/1", 69.99)</f>
        <v>69.989999999999995</v>
      </c>
      <c r="E8510" s="2">
        <v>44.62</v>
      </c>
      <c r="F8510" s="2">
        <v>2</v>
      </c>
      <c r="G8510" s="2" t="s">
        <v>12</v>
      </c>
    </row>
    <row r="8511" spans="1:9" x14ac:dyDescent="0.2">
      <c r="A8511" s="2" t="s">
        <v>3250</v>
      </c>
      <c r="B8511" s="2" t="s">
        <v>481</v>
      </c>
      <c r="C8511" s="2">
        <v>709.86519999999996</v>
      </c>
      <c r="D8511" s="2">
        <f>HYPERLINK("http://mcb-m6.bioreg.kyushu-u.ac.jp/M3/20110414/F50934/2206/1", 70.12)</f>
        <v>70.12</v>
      </c>
      <c r="E8511" s="2">
        <v>49.27</v>
      </c>
      <c r="F8511" s="2">
        <v>2</v>
      </c>
      <c r="G8511" s="2" t="s">
        <v>12</v>
      </c>
      <c r="I8511" s="2" t="s">
        <v>4898</v>
      </c>
    </row>
    <row r="8512" spans="1:9" x14ac:dyDescent="0.2">
      <c r="A8512" s="2" t="s">
        <v>3250</v>
      </c>
      <c r="B8512" s="2" t="s">
        <v>543</v>
      </c>
      <c r="C8512" s="2">
        <v>927.04819999999995</v>
      </c>
      <c r="D8512" s="2">
        <f>HYPERLINK("http://mcb-m6.bioreg.kyushu-u.ac.jp/M3/20110414/F50959/3153/1", 70.45)</f>
        <v>70.45</v>
      </c>
      <c r="E8512" s="2">
        <v>53.81</v>
      </c>
      <c r="F8512" s="2">
        <v>2</v>
      </c>
      <c r="G8512" s="2" t="s">
        <v>12</v>
      </c>
    </row>
    <row r="8513" spans="1:8" x14ac:dyDescent="0.2">
      <c r="A8513" s="2" t="s">
        <v>3250</v>
      </c>
      <c r="B8513" s="2" t="s">
        <v>467</v>
      </c>
      <c r="C8513" s="2">
        <v>692.24959999999999</v>
      </c>
      <c r="D8513" s="2">
        <f>HYPERLINK("http://mcb-m6.bioreg.kyushu-u.ac.jp/M3/20110414/F50959/1550/1", 70.49)</f>
        <v>70.489999999999995</v>
      </c>
      <c r="E8513" s="2">
        <v>46.1</v>
      </c>
      <c r="F8513" s="2">
        <v>2</v>
      </c>
      <c r="G8513" s="2" t="s">
        <v>12</v>
      </c>
    </row>
    <row r="8514" spans="1:8" x14ac:dyDescent="0.2">
      <c r="A8514" s="2" t="s">
        <v>3250</v>
      </c>
      <c r="B8514" s="2" t="s">
        <v>90</v>
      </c>
      <c r="C8514" s="2">
        <v>1432.0889999999999</v>
      </c>
      <c r="D8514" s="2">
        <f>HYPERLINK("http://mcb-m6.bioreg.kyushu-u.ac.jp/M3/20110414/F50949/2088/1", 70.87)</f>
        <v>70.87</v>
      </c>
      <c r="E8514" s="2">
        <v>57.21</v>
      </c>
      <c r="F8514" s="2">
        <v>1</v>
      </c>
      <c r="G8514" s="2" t="s">
        <v>12</v>
      </c>
    </row>
    <row r="8515" spans="1:8" x14ac:dyDescent="0.2">
      <c r="A8515" s="2" t="s">
        <v>3250</v>
      </c>
      <c r="B8515" s="2" t="s">
        <v>772</v>
      </c>
      <c r="C8515" s="2">
        <v>596.31020000000001</v>
      </c>
      <c r="D8515" s="2">
        <f>HYPERLINK("http://mcb-m6.bioreg.kyushu-u.ac.jp/M3/20110414/F50959/948/1", 71.05)</f>
        <v>71.05</v>
      </c>
      <c r="E8515" s="2">
        <v>44.95</v>
      </c>
      <c r="F8515" s="2">
        <v>2</v>
      </c>
      <c r="G8515" s="2" t="s">
        <v>12</v>
      </c>
    </row>
    <row r="8516" spans="1:8" x14ac:dyDescent="0.2">
      <c r="A8516" s="2" t="s">
        <v>3250</v>
      </c>
      <c r="B8516" s="2" t="s">
        <v>561</v>
      </c>
      <c r="C8516" s="2">
        <v>662.64369999999997</v>
      </c>
      <c r="D8516" s="2">
        <f>HYPERLINK("http://mcb-m6.bioreg.kyushu-u.ac.jp/M3/20110414/F50959/1350/1", 71.41)</f>
        <v>71.41</v>
      </c>
      <c r="E8516" s="2">
        <v>53.79</v>
      </c>
      <c r="F8516" s="2">
        <v>2</v>
      </c>
      <c r="G8516" s="2" t="s">
        <v>12</v>
      </c>
      <c r="H8516" s="2" t="s">
        <v>4919</v>
      </c>
    </row>
    <row r="8517" spans="1:8" x14ac:dyDescent="0.2">
      <c r="A8517" s="2" t="s">
        <v>3250</v>
      </c>
      <c r="B8517" s="2" t="s">
        <v>77</v>
      </c>
      <c r="C8517" s="2">
        <v>574.83810000000005</v>
      </c>
      <c r="D8517" s="2">
        <f>HYPERLINK("http://mcb-m6.bioreg.kyushu-u.ac.jp/M3/20110414/F50950/1177/1", 71.57)</f>
        <v>71.569999999999993</v>
      </c>
      <c r="E8517" s="2">
        <v>36.200000000000003</v>
      </c>
      <c r="F8517" s="2">
        <v>2</v>
      </c>
      <c r="G8517" s="2" t="s">
        <v>12</v>
      </c>
    </row>
    <row r="8518" spans="1:8" x14ac:dyDescent="0.2">
      <c r="A8518" s="2" t="s">
        <v>3250</v>
      </c>
      <c r="B8518" s="2" t="s">
        <v>467</v>
      </c>
      <c r="C8518" s="2">
        <v>692.02070000000003</v>
      </c>
      <c r="D8518" s="2">
        <f>HYPERLINK("http://mcb-m6.bioreg.kyushu-u.ac.jp/M3/20110414/F50950/1863/1", 71.79)</f>
        <v>71.790000000000006</v>
      </c>
      <c r="E8518" s="2">
        <v>43.79</v>
      </c>
      <c r="F8518" s="2">
        <v>2</v>
      </c>
      <c r="G8518" s="2" t="s">
        <v>12</v>
      </c>
    </row>
    <row r="8519" spans="1:8" x14ac:dyDescent="0.2">
      <c r="A8519" s="2" t="s">
        <v>3250</v>
      </c>
      <c r="B8519" s="2" t="s">
        <v>772</v>
      </c>
      <c r="C8519" s="2">
        <v>596.03120000000001</v>
      </c>
      <c r="D8519" s="2">
        <f>HYPERLINK("http://mcb-m6.bioreg.kyushu-u.ac.jp/M3/20110414/F50949/1849/1", 72.13)</f>
        <v>72.13</v>
      </c>
      <c r="E8519" s="2">
        <v>40.659999999999997</v>
      </c>
      <c r="F8519" s="2">
        <v>2</v>
      </c>
      <c r="G8519" s="2" t="s">
        <v>12</v>
      </c>
    </row>
    <row r="8520" spans="1:8" x14ac:dyDescent="0.2">
      <c r="A8520" s="2" t="s">
        <v>3250</v>
      </c>
      <c r="B8520" s="2" t="s">
        <v>503</v>
      </c>
      <c r="C8520" s="2">
        <v>815.98659999999995</v>
      </c>
      <c r="D8520" s="2">
        <f>HYPERLINK("http://mcb-m6.bioreg.kyushu-u.ac.jp/M3/20110414/F50950/2603/1", 72.4)</f>
        <v>72.400000000000006</v>
      </c>
      <c r="E8520" s="2">
        <v>46.52</v>
      </c>
      <c r="F8520" s="2">
        <v>2</v>
      </c>
      <c r="G8520" s="2" t="s">
        <v>12</v>
      </c>
      <c r="H8520" s="2" t="s">
        <v>4907</v>
      </c>
    </row>
    <row r="8521" spans="1:8" x14ac:dyDescent="0.2">
      <c r="A8521" s="2" t="s">
        <v>3250</v>
      </c>
      <c r="B8521" s="2" t="s">
        <v>543</v>
      </c>
      <c r="C8521" s="2">
        <v>926.98419999999999</v>
      </c>
      <c r="D8521" s="2">
        <f>HYPERLINK("http://mcb-m6.bioreg.kyushu-u.ac.jp/M3/20110414/F50959/3150/1", 72.48)</f>
        <v>72.48</v>
      </c>
      <c r="E8521" s="2">
        <v>54.26</v>
      </c>
      <c r="F8521" s="2">
        <v>2</v>
      </c>
      <c r="G8521" s="2" t="s">
        <v>12</v>
      </c>
    </row>
    <row r="8522" spans="1:8" x14ac:dyDescent="0.2">
      <c r="A8522" s="2" t="s">
        <v>3250</v>
      </c>
      <c r="B8522" s="2" t="s">
        <v>467</v>
      </c>
      <c r="C8522" s="2">
        <v>1382.546</v>
      </c>
      <c r="D8522" s="2">
        <f>HYPERLINK("http://mcb-m6.bioreg.kyushu-u.ac.jp/M3/20110414/F50959/1541/1", 72.59)</f>
        <v>72.59</v>
      </c>
      <c r="E8522" s="2">
        <v>54.47</v>
      </c>
      <c r="F8522" s="2">
        <v>1</v>
      </c>
      <c r="G8522" s="2" t="s">
        <v>12</v>
      </c>
    </row>
    <row r="8523" spans="1:8" x14ac:dyDescent="0.2">
      <c r="A8523" s="2" t="s">
        <v>3250</v>
      </c>
      <c r="B8523" s="2" t="s">
        <v>356</v>
      </c>
      <c r="C8523" s="2">
        <v>816.03769999999997</v>
      </c>
      <c r="D8523" s="2">
        <f>HYPERLINK("http://mcb-m6.bioreg.kyushu-u.ac.jp/M3/20110414/F50950/2604/1", 72.91)</f>
        <v>72.91</v>
      </c>
      <c r="E8523" s="2">
        <v>38.36</v>
      </c>
      <c r="F8523" s="2">
        <v>2</v>
      </c>
      <c r="G8523" s="2" t="s">
        <v>12</v>
      </c>
    </row>
    <row r="8524" spans="1:8" x14ac:dyDescent="0.2">
      <c r="A8524" s="2" t="s">
        <v>3250</v>
      </c>
      <c r="B8524" s="2" t="s">
        <v>365</v>
      </c>
      <c r="C8524" s="2">
        <v>849.3691</v>
      </c>
      <c r="D8524" s="2">
        <f>HYPERLINK("http://mcb-m6.bioreg.kyushu-u.ac.jp/M3/20110414/F50947/2597/1", 73.68)</f>
        <v>73.680000000000007</v>
      </c>
      <c r="E8524" s="2">
        <v>42.39</v>
      </c>
      <c r="F8524" s="2">
        <v>2</v>
      </c>
      <c r="G8524" s="2" t="s">
        <v>12</v>
      </c>
    </row>
    <row r="8525" spans="1:8" x14ac:dyDescent="0.2">
      <c r="A8525" s="2" t="s">
        <v>3250</v>
      </c>
      <c r="B8525" s="2" t="s">
        <v>467</v>
      </c>
      <c r="C8525" s="2">
        <v>691.62270000000001</v>
      </c>
      <c r="D8525" s="2">
        <f>HYPERLINK("http://mcb-m6.bioreg.kyushu-u.ac.jp/M3/20110414/F50948/1745/1", 73.83)</f>
        <v>73.83</v>
      </c>
      <c r="E8525" s="2">
        <v>43.04</v>
      </c>
      <c r="F8525" s="2">
        <v>2</v>
      </c>
      <c r="G8525" s="2" t="s">
        <v>12</v>
      </c>
    </row>
    <row r="8526" spans="1:8" x14ac:dyDescent="0.2">
      <c r="A8526" s="2" t="s">
        <v>3250</v>
      </c>
      <c r="B8526" s="2" t="s">
        <v>467</v>
      </c>
      <c r="C8526" s="2">
        <v>692.15620000000001</v>
      </c>
      <c r="D8526" s="2">
        <f>HYPERLINK("http://mcb-m6.bioreg.kyushu-u.ac.jp/M3/20110414/F50959/1545/1", 74.27)</f>
        <v>74.27</v>
      </c>
      <c r="E8526" s="2">
        <v>46.63</v>
      </c>
      <c r="F8526" s="2">
        <v>2</v>
      </c>
      <c r="G8526" s="2" t="s">
        <v>12</v>
      </c>
    </row>
    <row r="8527" spans="1:8" x14ac:dyDescent="0.2">
      <c r="A8527" s="2" t="s">
        <v>3250</v>
      </c>
      <c r="B8527" s="2" t="s">
        <v>90</v>
      </c>
      <c r="C8527" s="2">
        <v>716.51760000000002</v>
      </c>
      <c r="D8527" s="2">
        <f>HYPERLINK("http://mcb-m6.bioreg.kyushu-u.ac.jp/M3/20110414/F50950/2015/1", 74.49)</f>
        <v>74.489999999999995</v>
      </c>
      <c r="E8527" s="2">
        <v>34.4</v>
      </c>
      <c r="F8527" s="2">
        <v>2</v>
      </c>
      <c r="G8527" s="2" t="s">
        <v>12</v>
      </c>
    </row>
    <row r="8528" spans="1:8" x14ac:dyDescent="0.2">
      <c r="A8528" s="2" t="s">
        <v>3250</v>
      </c>
      <c r="B8528" s="2" t="s">
        <v>102</v>
      </c>
      <c r="C8528" s="2">
        <v>607.88019999999995</v>
      </c>
      <c r="D8528" s="2">
        <f>HYPERLINK("http://mcb-m6.bioreg.kyushu-u.ac.jp/M3/20110414/F50959/1004/1", 74.52)</f>
        <v>74.52</v>
      </c>
      <c r="E8528" s="2">
        <v>55.71</v>
      </c>
      <c r="F8528" s="2">
        <v>2</v>
      </c>
      <c r="G8528" s="2" t="s">
        <v>12</v>
      </c>
    </row>
    <row r="8529" spans="1:9" x14ac:dyDescent="0.2">
      <c r="A8529" s="2" t="s">
        <v>3250</v>
      </c>
      <c r="B8529" s="2" t="s">
        <v>90</v>
      </c>
      <c r="C8529" s="2">
        <v>717.27070000000003</v>
      </c>
      <c r="D8529" s="2">
        <f>HYPERLINK("http://mcb-m6.bioreg.kyushu-u.ac.jp/M3/20110414/F50950/2021/1", 74.72)</f>
        <v>74.72</v>
      </c>
      <c r="E8529" s="2">
        <v>52.04</v>
      </c>
      <c r="F8529" s="2">
        <v>2</v>
      </c>
      <c r="G8529" s="2" t="s">
        <v>12</v>
      </c>
    </row>
    <row r="8530" spans="1:9" x14ac:dyDescent="0.2">
      <c r="A8530" s="2" t="s">
        <v>3250</v>
      </c>
      <c r="B8530" s="2" t="s">
        <v>356</v>
      </c>
      <c r="C8530" s="2">
        <v>1630.6210000000001</v>
      </c>
      <c r="D8530" s="2">
        <f>HYPERLINK("http://mcb-m6.bioreg.kyushu-u.ac.jp/M3/20110414/F50959/2409/1", 74.76)</f>
        <v>74.760000000000005</v>
      </c>
      <c r="E8530" s="2">
        <v>62.79</v>
      </c>
      <c r="F8530" s="2">
        <v>1</v>
      </c>
      <c r="G8530" s="2" t="s">
        <v>12</v>
      </c>
    </row>
    <row r="8531" spans="1:9" x14ac:dyDescent="0.2">
      <c r="A8531" s="2" t="s">
        <v>3250</v>
      </c>
      <c r="B8531" s="2" t="s">
        <v>467</v>
      </c>
      <c r="C8531" s="2">
        <v>692.21810000000005</v>
      </c>
      <c r="D8531" s="2">
        <f>HYPERLINK("http://mcb-m6.bioreg.kyushu-u.ac.jp/M3/20110414/F50959/1547/1", 75.19)</f>
        <v>75.19</v>
      </c>
      <c r="E8531" s="2">
        <v>49.9</v>
      </c>
      <c r="F8531" s="2">
        <v>2</v>
      </c>
      <c r="G8531" s="2" t="s">
        <v>12</v>
      </c>
    </row>
    <row r="8532" spans="1:9" x14ac:dyDescent="0.2">
      <c r="A8532" s="2" t="s">
        <v>3250</v>
      </c>
      <c r="B8532" s="2" t="s">
        <v>503</v>
      </c>
      <c r="C8532" s="2">
        <v>816.34720000000004</v>
      </c>
      <c r="D8532" s="2">
        <f>HYPERLINK("http://mcb-m6.bioreg.kyushu-u.ac.jp/M3/20110414/F50959/2421/1", 75.27)</f>
        <v>75.27</v>
      </c>
      <c r="E8532" s="2">
        <v>66.06</v>
      </c>
      <c r="F8532" s="2">
        <v>2</v>
      </c>
      <c r="G8532" s="2" t="s">
        <v>12</v>
      </c>
      <c r="H8532" s="2" t="s">
        <v>4907</v>
      </c>
    </row>
    <row r="8533" spans="1:9" x14ac:dyDescent="0.2">
      <c r="A8533" s="2" t="s">
        <v>3250</v>
      </c>
      <c r="B8533" s="2" t="s">
        <v>90</v>
      </c>
      <c r="C8533" s="2">
        <v>717.32820000000004</v>
      </c>
      <c r="D8533" s="2">
        <f>HYPERLINK("http://mcb-m6.bioreg.kyushu-u.ac.jp/M3/20110414/F50958/1828/1", 75.44)</f>
        <v>75.44</v>
      </c>
      <c r="E8533" s="2">
        <v>54.26</v>
      </c>
      <c r="F8533" s="2">
        <v>2</v>
      </c>
      <c r="G8533" s="2" t="s">
        <v>12</v>
      </c>
    </row>
    <row r="8534" spans="1:9" x14ac:dyDescent="0.2">
      <c r="A8534" s="2" t="s">
        <v>3250</v>
      </c>
      <c r="B8534" s="2" t="s">
        <v>1787</v>
      </c>
      <c r="C8534" s="2">
        <v>587.93020000000001</v>
      </c>
      <c r="D8534" s="2">
        <f>HYPERLINK("http://mcb-m6.bioreg.kyushu-u.ac.jp/M3/20110414/F50949/1832/1", 75.57)</f>
        <v>75.569999999999993</v>
      </c>
      <c r="E8534" s="2">
        <v>50.52</v>
      </c>
      <c r="F8534" s="2">
        <v>2</v>
      </c>
      <c r="G8534" s="2" t="s">
        <v>12</v>
      </c>
      <c r="I8534" s="2" t="s">
        <v>4895</v>
      </c>
    </row>
    <row r="8535" spans="1:9" x14ac:dyDescent="0.2">
      <c r="A8535" s="2" t="s">
        <v>3250</v>
      </c>
      <c r="B8535" s="2" t="s">
        <v>467</v>
      </c>
      <c r="C8535" s="2">
        <v>1382.3889999999999</v>
      </c>
      <c r="D8535" s="2">
        <f>HYPERLINK("http://mcb-m6.bioreg.kyushu-u.ac.jp/M3/20110414/F50958/1660/1", 75.71)</f>
        <v>75.709999999999994</v>
      </c>
      <c r="E8535" s="2">
        <v>54.93</v>
      </c>
      <c r="F8535" s="2">
        <v>1</v>
      </c>
      <c r="G8535" s="2" t="s">
        <v>12</v>
      </c>
    </row>
    <row r="8536" spans="1:9" x14ac:dyDescent="0.2">
      <c r="A8536" s="2" t="s">
        <v>3250</v>
      </c>
      <c r="B8536" s="2" t="s">
        <v>365</v>
      </c>
      <c r="C8536" s="2">
        <v>848.92660000000001</v>
      </c>
      <c r="D8536" s="2">
        <f>HYPERLINK("http://mcb-m6.bioreg.kyushu-u.ac.jp/M3/20110414/F50949/2329/1", 75.93)</f>
        <v>75.930000000000007</v>
      </c>
      <c r="E8536" s="2">
        <v>49.25</v>
      </c>
      <c r="F8536" s="2">
        <v>2</v>
      </c>
      <c r="G8536" s="2" t="s">
        <v>12</v>
      </c>
    </row>
    <row r="8537" spans="1:9" x14ac:dyDescent="0.2">
      <c r="A8537" s="2" t="s">
        <v>3250</v>
      </c>
      <c r="B8537" s="2" t="s">
        <v>365</v>
      </c>
      <c r="C8537" s="2">
        <v>1696.8440000000001</v>
      </c>
      <c r="D8537" s="2">
        <f>HYPERLINK("http://mcb-m6.bioreg.kyushu-u.ac.jp/M3/20110414/F50948/2711/1", 76.13)</f>
        <v>76.13</v>
      </c>
      <c r="E8537" s="2">
        <v>48.84</v>
      </c>
      <c r="F8537" s="2">
        <v>1</v>
      </c>
      <c r="G8537" s="2" t="s">
        <v>12</v>
      </c>
    </row>
    <row r="8538" spans="1:9" x14ac:dyDescent="0.2">
      <c r="A8538" s="2" t="s">
        <v>3250</v>
      </c>
      <c r="B8538" s="2" t="s">
        <v>356</v>
      </c>
      <c r="C8538" s="2">
        <v>815.98659999999995</v>
      </c>
      <c r="D8538" s="2">
        <f>HYPERLINK("http://mcb-m6.bioreg.kyushu-u.ac.jp/M3/20110414/F50959/2413/1", 76.95)</f>
        <v>76.95</v>
      </c>
      <c r="E8538" s="2">
        <v>60.18</v>
      </c>
      <c r="F8538" s="2">
        <v>2</v>
      </c>
      <c r="G8538" s="2" t="s">
        <v>12</v>
      </c>
    </row>
    <row r="8539" spans="1:9" x14ac:dyDescent="0.2">
      <c r="A8539" s="2" t="s">
        <v>3250</v>
      </c>
      <c r="B8539" s="2" t="s">
        <v>561</v>
      </c>
      <c r="C8539" s="2">
        <v>654.22770000000003</v>
      </c>
      <c r="D8539" s="2">
        <f>HYPERLINK("http://mcb-m6.bioreg.kyushu-u.ac.jp/M3/20110414/F50959/1292/1", 77.38)</f>
        <v>77.38</v>
      </c>
      <c r="E8539" s="2">
        <v>59.83</v>
      </c>
      <c r="F8539" s="2">
        <v>2</v>
      </c>
      <c r="G8539" s="2" t="s">
        <v>12</v>
      </c>
    </row>
    <row r="8540" spans="1:9" x14ac:dyDescent="0.2">
      <c r="A8540" s="2" t="s">
        <v>3250</v>
      </c>
      <c r="B8540" s="2" t="s">
        <v>503</v>
      </c>
      <c r="C8540" s="2">
        <v>808.06269999999995</v>
      </c>
      <c r="D8540" s="2">
        <f>HYPERLINK("http://mcb-m6.bioreg.kyushu-u.ac.jp/M3/20110414/F50950/2565/1", 77.39)</f>
        <v>77.39</v>
      </c>
      <c r="E8540" s="2">
        <v>58.64</v>
      </c>
      <c r="F8540" s="2">
        <v>2</v>
      </c>
      <c r="G8540" s="2" t="s">
        <v>12</v>
      </c>
    </row>
    <row r="8541" spans="1:9" x14ac:dyDescent="0.2">
      <c r="A8541" s="2" t="s">
        <v>3250</v>
      </c>
      <c r="B8541" s="2" t="s">
        <v>365</v>
      </c>
      <c r="C8541" s="2">
        <v>848.80359999999996</v>
      </c>
      <c r="D8541" s="2">
        <f>HYPERLINK("http://mcb-m6.bioreg.kyushu-u.ac.jp/M3/20110414/F50959/2638/1", 77.44)</f>
        <v>77.44</v>
      </c>
      <c r="E8541" s="2">
        <v>49.68</v>
      </c>
      <c r="F8541" s="2">
        <v>2</v>
      </c>
      <c r="G8541" s="2" t="s">
        <v>12</v>
      </c>
    </row>
    <row r="8542" spans="1:9" x14ac:dyDescent="0.2">
      <c r="A8542" s="2" t="s">
        <v>3250</v>
      </c>
      <c r="B8542" s="2" t="s">
        <v>311</v>
      </c>
      <c r="C8542" s="2">
        <v>598.62869999999998</v>
      </c>
      <c r="D8542" s="2">
        <f>HYPERLINK("http://mcb-m6.bioreg.kyushu-u.ac.jp/M3/20110414/F50948/1237/1", 77.5)</f>
        <v>77.5</v>
      </c>
      <c r="E8542" s="2">
        <v>54.41</v>
      </c>
      <c r="F8542" s="2">
        <v>2</v>
      </c>
      <c r="G8542" s="2" t="s">
        <v>12</v>
      </c>
    </row>
    <row r="8543" spans="1:9" x14ac:dyDescent="0.2">
      <c r="A8543" s="2" t="s">
        <v>3250</v>
      </c>
      <c r="B8543" s="2" t="s">
        <v>561</v>
      </c>
      <c r="C8543" s="2">
        <v>662.27120000000002</v>
      </c>
      <c r="D8543" s="2">
        <f>HYPERLINK("http://mcb-m6.bioreg.kyushu-u.ac.jp/M3/20110414/F50959/1346/1", 77.71)</f>
        <v>77.709999999999994</v>
      </c>
      <c r="E8543" s="2">
        <v>54.57</v>
      </c>
      <c r="F8543" s="2">
        <v>2</v>
      </c>
      <c r="G8543" s="2" t="s">
        <v>12</v>
      </c>
      <c r="H8543" s="2" t="s">
        <v>4919</v>
      </c>
    </row>
    <row r="8544" spans="1:9" x14ac:dyDescent="0.2">
      <c r="A8544" s="2" t="s">
        <v>3250</v>
      </c>
      <c r="B8544" s="2" t="s">
        <v>772</v>
      </c>
      <c r="C8544" s="2">
        <v>595.92169999999999</v>
      </c>
      <c r="D8544" s="2">
        <f>HYPERLINK("http://mcb-m6.bioreg.kyushu-u.ac.jp/M3/20110414/F50949/1848/1", 77.74)</f>
        <v>77.739999999999995</v>
      </c>
      <c r="E8544" s="2">
        <v>29.62</v>
      </c>
      <c r="F8544" s="2">
        <v>2</v>
      </c>
      <c r="G8544" s="2" t="s">
        <v>12</v>
      </c>
    </row>
    <row r="8545" spans="1:9" x14ac:dyDescent="0.2">
      <c r="A8545" s="2" t="s">
        <v>3250</v>
      </c>
      <c r="B8545" s="2" t="s">
        <v>467</v>
      </c>
      <c r="C8545" s="2">
        <v>691.60569999999996</v>
      </c>
      <c r="D8545" s="2">
        <f>HYPERLINK("http://mcb-m6.bioreg.kyushu-u.ac.jp/M3/20110414/F50930/2059/1", 78.27)</f>
        <v>78.27</v>
      </c>
      <c r="E8545" s="2">
        <v>58.97</v>
      </c>
      <c r="F8545" s="2">
        <v>2</v>
      </c>
      <c r="G8545" s="2" t="s">
        <v>12</v>
      </c>
    </row>
    <row r="8546" spans="1:9" x14ac:dyDescent="0.2">
      <c r="A8546" s="2" t="s">
        <v>3250</v>
      </c>
      <c r="B8546" s="2" t="s">
        <v>175</v>
      </c>
      <c r="C8546" s="2">
        <v>784.47360000000003</v>
      </c>
      <c r="D8546" s="2">
        <f>HYPERLINK("http://mcb-m6.bioreg.kyushu-u.ac.jp/M3/20110414/F50959/2192/1", 78.47)</f>
        <v>78.47</v>
      </c>
      <c r="E8546" s="2">
        <v>62.05</v>
      </c>
      <c r="F8546" s="2">
        <v>2</v>
      </c>
      <c r="G8546" s="2" t="s">
        <v>12</v>
      </c>
      <c r="I8546" s="2" t="s">
        <v>4893</v>
      </c>
    </row>
    <row r="8547" spans="1:9" x14ac:dyDescent="0.2">
      <c r="A8547" s="2" t="s">
        <v>3250</v>
      </c>
      <c r="B8547" s="2" t="s">
        <v>834</v>
      </c>
      <c r="C8547" s="2">
        <v>621.75620000000004</v>
      </c>
      <c r="D8547" s="2">
        <f>HYPERLINK("http://mcb-m6.bioreg.kyushu-u.ac.jp/M3/20110414/F50959/1087/1", 78.97)</f>
        <v>78.97</v>
      </c>
      <c r="E8547" s="2">
        <v>56.03</v>
      </c>
      <c r="F8547" s="2">
        <v>2</v>
      </c>
      <c r="G8547" s="2" t="s">
        <v>12</v>
      </c>
    </row>
    <row r="8548" spans="1:9" x14ac:dyDescent="0.2">
      <c r="A8548" s="2" t="s">
        <v>3250</v>
      </c>
      <c r="B8548" s="2" t="s">
        <v>467</v>
      </c>
      <c r="C8548" s="2">
        <v>691.79359999999997</v>
      </c>
      <c r="D8548" s="2">
        <f>HYPERLINK("http://mcb-m6.bioreg.kyushu-u.ac.jp/M3/20110414/F50959/1542/1", 78.99)</f>
        <v>78.989999999999995</v>
      </c>
      <c r="E8548" s="2">
        <v>49.23</v>
      </c>
      <c r="F8548" s="2">
        <v>2</v>
      </c>
      <c r="G8548" s="2" t="s">
        <v>12</v>
      </c>
    </row>
    <row r="8549" spans="1:9" x14ac:dyDescent="0.2">
      <c r="A8549" s="2" t="s">
        <v>3250</v>
      </c>
      <c r="B8549" s="2" t="s">
        <v>90</v>
      </c>
      <c r="C8549" s="2">
        <v>717.14869999999996</v>
      </c>
      <c r="D8549" s="2">
        <f>HYPERLINK("http://mcb-m6.bioreg.kyushu-u.ac.jp/M3/20110414/F50930/2113/1", 78.99)</f>
        <v>78.989999999999995</v>
      </c>
      <c r="E8549" s="2">
        <v>56.34</v>
      </c>
      <c r="F8549" s="2">
        <v>2</v>
      </c>
      <c r="G8549" s="2" t="s">
        <v>12</v>
      </c>
    </row>
    <row r="8550" spans="1:9" x14ac:dyDescent="0.2">
      <c r="A8550" s="2" t="s">
        <v>3250</v>
      </c>
      <c r="B8550" s="2" t="s">
        <v>2755</v>
      </c>
      <c r="C8550" s="2">
        <v>810.98910000000001</v>
      </c>
      <c r="D8550" s="2">
        <f>HYPERLINK("http://mcb-m6.bioreg.kyushu-u.ac.jp/M3/20110414/F50950/2578/1", 79.04)</f>
        <v>79.040000000000006</v>
      </c>
      <c r="E8550" s="2">
        <v>52.76</v>
      </c>
      <c r="F8550" s="2">
        <v>2</v>
      </c>
      <c r="G8550" s="2" t="s">
        <v>12</v>
      </c>
      <c r="I8550" s="2" t="s">
        <v>4899</v>
      </c>
    </row>
    <row r="8551" spans="1:9" x14ac:dyDescent="0.2">
      <c r="A8551" s="2" t="s">
        <v>3250</v>
      </c>
      <c r="B8551" s="2" t="s">
        <v>543</v>
      </c>
      <c r="C8551" s="2">
        <v>926.84810000000004</v>
      </c>
      <c r="D8551" s="2">
        <f>HYPERLINK("http://mcb-m6.bioreg.kyushu-u.ac.jp/M3/20110414/F50958/3261/1", 79.31)</f>
        <v>79.31</v>
      </c>
      <c r="E8551" s="2">
        <v>61.58</v>
      </c>
      <c r="F8551" s="2">
        <v>2</v>
      </c>
      <c r="G8551" s="2" t="s">
        <v>12</v>
      </c>
    </row>
    <row r="8552" spans="1:9" x14ac:dyDescent="0.2">
      <c r="A8552" s="2" t="s">
        <v>3250</v>
      </c>
      <c r="B8552" s="2" t="s">
        <v>481</v>
      </c>
      <c r="C8552" s="2">
        <v>708.99659999999994</v>
      </c>
      <c r="D8552" s="2">
        <f>HYPERLINK("http://mcb-m6.bioreg.kyushu-u.ac.jp/M3/20110414/F50950/1951/1", 79.61)</f>
        <v>79.61</v>
      </c>
      <c r="E8552" s="2">
        <v>55.09</v>
      </c>
      <c r="F8552" s="2">
        <v>2</v>
      </c>
      <c r="G8552" s="2" t="s">
        <v>12</v>
      </c>
      <c r="I8552" s="2" t="s">
        <v>4898</v>
      </c>
    </row>
    <row r="8553" spans="1:9" x14ac:dyDescent="0.2">
      <c r="A8553" s="2" t="s">
        <v>3250</v>
      </c>
      <c r="B8553" s="2" t="s">
        <v>356</v>
      </c>
      <c r="C8553" s="2">
        <v>816.22969999999998</v>
      </c>
      <c r="D8553" s="2">
        <f>HYPERLINK("http://mcb-m6.bioreg.kyushu-u.ac.jp/M3/20110414/F50966/2198/1", 80.19)</f>
        <v>80.19</v>
      </c>
      <c r="E8553" s="2">
        <v>66.83</v>
      </c>
      <c r="F8553" s="2">
        <v>2</v>
      </c>
      <c r="G8553" s="2" t="s">
        <v>12</v>
      </c>
    </row>
    <row r="8554" spans="1:9" x14ac:dyDescent="0.2">
      <c r="A8554" s="2" t="s">
        <v>3250</v>
      </c>
      <c r="B8554" s="2" t="s">
        <v>1255</v>
      </c>
      <c r="C8554" s="2">
        <v>1273.634</v>
      </c>
      <c r="D8554" s="2">
        <f>HYPERLINK("http://mcb-m6.bioreg.kyushu-u.ac.jp/M3/20110414/F50948/4325/1", 80.54)</f>
        <v>80.540000000000006</v>
      </c>
      <c r="E8554" s="2">
        <v>65.61</v>
      </c>
      <c r="F8554" s="2">
        <v>2</v>
      </c>
      <c r="G8554" s="2" t="s">
        <v>12</v>
      </c>
      <c r="I8554" s="2" t="s">
        <v>4906</v>
      </c>
    </row>
    <row r="8555" spans="1:9" x14ac:dyDescent="0.2">
      <c r="A8555" s="2" t="s">
        <v>3250</v>
      </c>
      <c r="B8555" s="2" t="s">
        <v>1065</v>
      </c>
      <c r="C8555" s="2">
        <v>716.82759999999996</v>
      </c>
      <c r="D8555" s="2">
        <f>HYPERLINK("http://mcb-m6.bioreg.kyushu-u.ac.jp/M3/20110414/F50959/1712/1", 80.69)</f>
        <v>80.69</v>
      </c>
      <c r="E8555" s="2">
        <v>70.150000000000006</v>
      </c>
      <c r="F8555" s="2">
        <v>2</v>
      </c>
      <c r="G8555" s="2" t="s">
        <v>12</v>
      </c>
      <c r="I8555" s="2" t="s">
        <v>4892</v>
      </c>
    </row>
    <row r="8556" spans="1:9" x14ac:dyDescent="0.2">
      <c r="A8556" s="2" t="s">
        <v>3250</v>
      </c>
      <c r="B8556" s="2" t="s">
        <v>772</v>
      </c>
      <c r="C8556" s="2">
        <v>596.02869999999996</v>
      </c>
      <c r="D8556" s="2">
        <f>HYPERLINK("http://mcb-m6.bioreg.kyushu-u.ac.jp/M3/20110414/F50950/1311/1", 80.76)</f>
        <v>80.760000000000005</v>
      </c>
      <c r="E8556" s="2">
        <v>55.27</v>
      </c>
      <c r="F8556" s="2">
        <v>2</v>
      </c>
      <c r="G8556" s="2" t="s">
        <v>12</v>
      </c>
    </row>
    <row r="8557" spans="1:9" x14ac:dyDescent="0.2">
      <c r="A8557" s="2" t="s">
        <v>3250</v>
      </c>
      <c r="B8557" s="2" t="s">
        <v>481</v>
      </c>
      <c r="C8557" s="2">
        <v>709.54269999999997</v>
      </c>
      <c r="D8557" s="2">
        <f>HYPERLINK("http://mcb-m6.bioreg.kyushu-u.ac.jp/M3/20110414/F50950/1959/1", 80.89)</f>
        <v>80.89</v>
      </c>
      <c r="E8557" s="2">
        <v>47.74</v>
      </c>
      <c r="F8557" s="2">
        <v>2</v>
      </c>
      <c r="G8557" s="2" t="s">
        <v>12</v>
      </c>
      <c r="I8557" s="2" t="s">
        <v>4898</v>
      </c>
    </row>
    <row r="8558" spans="1:9" x14ac:dyDescent="0.2">
      <c r="A8558" s="2" t="s">
        <v>3250</v>
      </c>
      <c r="B8558" s="2" t="s">
        <v>467</v>
      </c>
      <c r="C8558" s="2">
        <v>692.19420000000002</v>
      </c>
      <c r="D8558" s="2">
        <f>HYPERLINK("http://mcb-m6.bioreg.kyushu-u.ac.jp/M3/20110414/F50959/1546/1", 81.05)</f>
        <v>81.05</v>
      </c>
      <c r="E8558" s="2">
        <v>56.61</v>
      </c>
      <c r="F8558" s="2">
        <v>2</v>
      </c>
      <c r="G8558" s="2" t="s">
        <v>12</v>
      </c>
    </row>
    <row r="8559" spans="1:9" x14ac:dyDescent="0.2">
      <c r="A8559" s="2" t="s">
        <v>3250</v>
      </c>
      <c r="B8559" s="2" t="s">
        <v>77</v>
      </c>
      <c r="C8559" s="2">
        <v>574.52009999999996</v>
      </c>
      <c r="D8559" s="2">
        <f>HYPERLINK("http://mcb-m6.bioreg.kyushu-u.ac.jp/M3/20110414/F50958/986/1", 81.92)</f>
        <v>81.92</v>
      </c>
      <c r="E8559" s="2">
        <v>45.56</v>
      </c>
      <c r="F8559" s="2">
        <v>2</v>
      </c>
      <c r="G8559" s="2" t="s">
        <v>12</v>
      </c>
    </row>
    <row r="8560" spans="1:9" x14ac:dyDescent="0.2">
      <c r="A8560" s="2" t="s">
        <v>3250</v>
      </c>
      <c r="B8560" s="2" t="s">
        <v>481</v>
      </c>
      <c r="C8560" s="2">
        <v>709.36270000000002</v>
      </c>
      <c r="D8560" s="2">
        <f>HYPERLINK("http://mcb-m6.bioreg.kyushu-u.ac.jp/M3/20110414/F50934/2203/1", 82.41)</f>
        <v>82.41</v>
      </c>
      <c r="E8560" s="2">
        <v>61.81</v>
      </c>
      <c r="F8560" s="2">
        <v>2</v>
      </c>
      <c r="G8560" s="2" t="s">
        <v>12</v>
      </c>
      <c r="I8560" s="2" t="s">
        <v>4898</v>
      </c>
    </row>
    <row r="8561" spans="1:9" x14ac:dyDescent="0.2">
      <c r="A8561" s="2" t="s">
        <v>3250</v>
      </c>
      <c r="B8561" s="2" t="s">
        <v>481</v>
      </c>
      <c r="C8561" s="2">
        <v>709.29420000000005</v>
      </c>
      <c r="D8561" s="2">
        <f>HYPERLINK("http://mcb-m6.bioreg.kyushu-u.ac.jp/M3/20110414/F50932/2146/1", 82.65)</f>
        <v>82.65</v>
      </c>
      <c r="E8561" s="2">
        <v>64.650000000000006</v>
      </c>
      <c r="F8561" s="2">
        <v>2</v>
      </c>
      <c r="G8561" s="2" t="s">
        <v>12</v>
      </c>
      <c r="I8561" s="2" t="s">
        <v>4898</v>
      </c>
    </row>
    <row r="8562" spans="1:9" x14ac:dyDescent="0.2">
      <c r="A8562" s="2" t="s">
        <v>3250</v>
      </c>
      <c r="B8562" s="2" t="s">
        <v>481</v>
      </c>
      <c r="C8562" s="2">
        <v>709.33669999999995</v>
      </c>
      <c r="D8562" s="2">
        <f>HYPERLINK("http://mcb-m6.bioreg.kyushu-u.ac.jp/M3/20110414/F50930/2096/1", 82.69)</f>
        <v>82.69</v>
      </c>
      <c r="E8562" s="2">
        <v>61.37</v>
      </c>
      <c r="F8562" s="2">
        <v>2</v>
      </c>
      <c r="G8562" s="2" t="s">
        <v>12</v>
      </c>
      <c r="I8562" s="2" t="s">
        <v>4898</v>
      </c>
    </row>
    <row r="8563" spans="1:9" x14ac:dyDescent="0.2">
      <c r="A8563" s="2" t="s">
        <v>3250</v>
      </c>
      <c r="B8563" s="2" t="s">
        <v>481</v>
      </c>
      <c r="C8563" s="2">
        <v>709.22360000000003</v>
      </c>
      <c r="D8563" s="2">
        <f>HYPERLINK("http://mcb-m6.bioreg.kyushu-u.ac.jp/M3/20110414/F50966/1711/1", 82.94)</f>
        <v>82.94</v>
      </c>
      <c r="E8563" s="2">
        <v>62.68</v>
      </c>
      <c r="F8563" s="2">
        <v>2</v>
      </c>
      <c r="G8563" s="2" t="s">
        <v>12</v>
      </c>
      <c r="I8563" s="2" t="s">
        <v>4898</v>
      </c>
    </row>
    <row r="8564" spans="1:9" x14ac:dyDescent="0.2">
      <c r="A8564" s="2" t="s">
        <v>3250</v>
      </c>
      <c r="B8564" s="2" t="s">
        <v>90</v>
      </c>
      <c r="C8564" s="2">
        <v>717.26009999999997</v>
      </c>
      <c r="D8564" s="2">
        <f>HYPERLINK("http://mcb-m6.bioreg.kyushu-u.ac.jp/M3/20110414/F50958/1827/1", 83.05)</f>
        <v>83.05</v>
      </c>
      <c r="E8564" s="2">
        <v>61.56</v>
      </c>
      <c r="F8564" s="2">
        <v>2</v>
      </c>
      <c r="G8564" s="2" t="s">
        <v>12</v>
      </c>
    </row>
    <row r="8565" spans="1:9" x14ac:dyDescent="0.2">
      <c r="A8565" s="2" t="s">
        <v>3250</v>
      </c>
      <c r="B8565" s="2" t="s">
        <v>1765</v>
      </c>
      <c r="C8565" s="2">
        <v>761.36569999999995</v>
      </c>
      <c r="D8565" s="2">
        <f>HYPERLINK("http://mcb-m6.bioreg.kyushu-u.ac.jp/M3/20110414/F50950/2280/1", 83.33)</f>
        <v>83.33</v>
      </c>
      <c r="E8565" s="2">
        <v>44.66</v>
      </c>
      <c r="F8565" s="2">
        <v>2</v>
      </c>
      <c r="G8565" s="2" t="s">
        <v>12</v>
      </c>
    </row>
    <row r="8566" spans="1:9" x14ac:dyDescent="0.2">
      <c r="A8566" s="2" t="s">
        <v>3250</v>
      </c>
      <c r="B8566" s="2" t="s">
        <v>561</v>
      </c>
      <c r="C8566" s="2">
        <v>662.3442</v>
      </c>
      <c r="D8566" s="2">
        <f>HYPERLINK("http://mcb-m6.bioreg.kyushu-u.ac.jp/M3/20110414/F50959/1348/1", 83.59)</f>
        <v>83.59</v>
      </c>
      <c r="E8566" s="2">
        <v>63.09</v>
      </c>
      <c r="F8566" s="2">
        <v>2</v>
      </c>
      <c r="G8566" s="2" t="s">
        <v>12</v>
      </c>
      <c r="H8566" s="2" t="s">
        <v>4919</v>
      </c>
    </row>
    <row r="8567" spans="1:9" x14ac:dyDescent="0.2">
      <c r="A8567" s="2" t="s">
        <v>3250</v>
      </c>
      <c r="B8567" s="2" t="s">
        <v>561</v>
      </c>
      <c r="C8567" s="2">
        <v>654.15970000000004</v>
      </c>
      <c r="D8567" s="2">
        <f>HYPERLINK("http://mcb-m6.bioreg.kyushu-u.ac.jp/M3/20110414/F50959/1289/1", 83.63)</f>
        <v>83.63</v>
      </c>
      <c r="E8567" s="2">
        <v>64.69</v>
      </c>
      <c r="F8567" s="2">
        <v>2</v>
      </c>
      <c r="G8567" s="2" t="s">
        <v>12</v>
      </c>
    </row>
    <row r="8568" spans="1:9" x14ac:dyDescent="0.2">
      <c r="A8568" s="2" t="s">
        <v>3250</v>
      </c>
      <c r="B8568" s="2" t="s">
        <v>356</v>
      </c>
      <c r="C8568" s="2">
        <v>816.26120000000003</v>
      </c>
      <c r="D8568" s="2">
        <f>HYPERLINK("http://mcb-m6.bioreg.kyushu-u.ac.jp/M3/20110414/F50950/2605/1", 84.28)</f>
        <v>84.28</v>
      </c>
      <c r="E8568" s="2">
        <v>54.41</v>
      </c>
      <c r="F8568" s="2">
        <v>2</v>
      </c>
      <c r="G8568" s="2" t="s">
        <v>12</v>
      </c>
    </row>
    <row r="8569" spans="1:9" x14ac:dyDescent="0.2">
      <c r="A8569" s="2" t="s">
        <v>3250</v>
      </c>
      <c r="B8569" s="2" t="s">
        <v>90</v>
      </c>
      <c r="C8569" s="2">
        <v>717.19960000000003</v>
      </c>
      <c r="D8569" s="2">
        <f>HYPERLINK("http://mcb-m6.bioreg.kyushu-u.ac.jp/M3/20110414/F50950/2020/1", 84.55)</f>
        <v>84.55</v>
      </c>
      <c r="E8569" s="2">
        <v>57.72</v>
      </c>
      <c r="F8569" s="2">
        <v>2</v>
      </c>
      <c r="G8569" s="2" t="s">
        <v>12</v>
      </c>
    </row>
    <row r="8570" spans="1:9" x14ac:dyDescent="0.2">
      <c r="A8570" s="2" t="s">
        <v>3250</v>
      </c>
      <c r="B8570" s="2" t="s">
        <v>561</v>
      </c>
      <c r="C8570" s="2">
        <v>662.28060000000005</v>
      </c>
      <c r="D8570" s="2">
        <f>HYPERLINK("http://mcb-m6.bioreg.kyushu-u.ac.jp/M3/20110414/F50959/1347/1", 84.58)</f>
        <v>84.58</v>
      </c>
      <c r="E8570" s="2">
        <v>71.73</v>
      </c>
      <c r="F8570" s="2">
        <v>2</v>
      </c>
      <c r="G8570" s="2" t="s">
        <v>12</v>
      </c>
      <c r="H8570" s="2" t="s">
        <v>4919</v>
      </c>
    </row>
    <row r="8571" spans="1:9" x14ac:dyDescent="0.2">
      <c r="A8571" s="2" t="s">
        <v>3250</v>
      </c>
      <c r="B8571" s="2" t="s">
        <v>356</v>
      </c>
      <c r="C8571" s="2">
        <v>816.08870000000002</v>
      </c>
      <c r="D8571" s="2">
        <f>HYPERLINK("http://mcb-m6.bioreg.kyushu-u.ac.jp/M3/20110414/F50959/2415/1", 84.79)</f>
        <v>84.79</v>
      </c>
      <c r="E8571" s="2">
        <v>70.03</v>
      </c>
      <c r="F8571" s="2">
        <v>2</v>
      </c>
      <c r="G8571" s="2" t="s">
        <v>12</v>
      </c>
    </row>
    <row r="8572" spans="1:9" x14ac:dyDescent="0.2">
      <c r="A8572" s="2" t="s">
        <v>3250</v>
      </c>
      <c r="B8572" s="2" t="s">
        <v>561</v>
      </c>
      <c r="C8572" s="2">
        <v>654.22360000000003</v>
      </c>
      <c r="D8572" s="2">
        <f>HYPERLINK("http://mcb-m6.bioreg.kyushu-u.ac.jp/M3/20110414/F50959/1291/1", 85.34)</f>
        <v>85.34</v>
      </c>
      <c r="E8572" s="2">
        <v>65.42</v>
      </c>
      <c r="F8572" s="2">
        <v>2</v>
      </c>
      <c r="G8572" s="2" t="s">
        <v>12</v>
      </c>
    </row>
    <row r="8573" spans="1:9" x14ac:dyDescent="0.2">
      <c r="A8573" s="2" t="s">
        <v>3250</v>
      </c>
      <c r="B8573" s="2" t="s">
        <v>561</v>
      </c>
      <c r="C8573" s="2">
        <v>654.13869999999997</v>
      </c>
      <c r="D8573" s="2">
        <f>HYPERLINK("http://mcb-m6.bioreg.kyushu-u.ac.jp/M3/20110414/F50959/1288/1", 85.38)</f>
        <v>85.38</v>
      </c>
      <c r="E8573" s="2">
        <v>57.42</v>
      </c>
      <c r="F8573" s="2">
        <v>2</v>
      </c>
      <c r="G8573" s="2" t="s">
        <v>12</v>
      </c>
    </row>
    <row r="8574" spans="1:9" x14ac:dyDescent="0.2">
      <c r="A8574" s="2" t="s">
        <v>3250</v>
      </c>
      <c r="B8574" s="2" t="s">
        <v>561</v>
      </c>
      <c r="C8574" s="2">
        <v>654.21510000000001</v>
      </c>
      <c r="D8574" s="2">
        <f>HYPERLINK("http://mcb-m6.bioreg.kyushu-u.ac.jp/M3/20110414/F50959/1290/1", 85.5)</f>
        <v>85.5</v>
      </c>
      <c r="E8574" s="2">
        <v>64.58</v>
      </c>
      <c r="F8574" s="2">
        <v>2</v>
      </c>
      <c r="G8574" s="2" t="s">
        <v>12</v>
      </c>
    </row>
    <row r="8575" spans="1:9" x14ac:dyDescent="0.2">
      <c r="A8575" s="2" t="s">
        <v>3250</v>
      </c>
      <c r="B8575" s="2" t="s">
        <v>1255</v>
      </c>
      <c r="C8575" s="2">
        <v>1273.954</v>
      </c>
      <c r="D8575" s="2">
        <f>HYPERLINK("http://mcb-m6.bioreg.kyushu-u.ac.jp/M3/20110414/F50947/4343/1", 86.52)</f>
        <v>86.52</v>
      </c>
      <c r="E8575" s="2">
        <v>77.989999999999995</v>
      </c>
      <c r="F8575" s="2">
        <v>2</v>
      </c>
      <c r="G8575" s="2" t="s">
        <v>12</v>
      </c>
      <c r="I8575" s="2" t="s">
        <v>4906</v>
      </c>
    </row>
    <row r="8576" spans="1:9" x14ac:dyDescent="0.2">
      <c r="A8576" s="2" t="s">
        <v>3250</v>
      </c>
      <c r="B8576" s="2" t="s">
        <v>356</v>
      </c>
      <c r="C8576" s="2">
        <v>816.29570000000001</v>
      </c>
      <c r="D8576" s="2">
        <f>HYPERLINK("http://mcb-m6.bioreg.kyushu-u.ac.jp/M3/20110414/F50958/2533/1", 87.24)</f>
        <v>87.24</v>
      </c>
      <c r="E8576" s="2">
        <v>73.489999999999995</v>
      </c>
      <c r="F8576" s="2">
        <v>2</v>
      </c>
      <c r="G8576" s="2" t="s">
        <v>12</v>
      </c>
    </row>
    <row r="8577" spans="1:9" x14ac:dyDescent="0.2">
      <c r="A8577" s="2" t="s">
        <v>3250</v>
      </c>
      <c r="B8577" s="2" t="s">
        <v>543</v>
      </c>
      <c r="C8577" s="2">
        <v>926.9991</v>
      </c>
      <c r="D8577" s="2">
        <f>HYPERLINK("http://mcb-m6.bioreg.kyushu-u.ac.jp/M3/20110414/F50950/3159/1", 89.18)</f>
        <v>89.18</v>
      </c>
      <c r="E8577" s="2">
        <v>68.75</v>
      </c>
      <c r="F8577" s="2">
        <v>2</v>
      </c>
      <c r="G8577" s="2" t="s">
        <v>12</v>
      </c>
    </row>
    <row r="8578" spans="1:9" x14ac:dyDescent="0.2">
      <c r="A8578" s="2" t="s">
        <v>3250</v>
      </c>
      <c r="B8578" s="2" t="s">
        <v>503</v>
      </c>
      <c r="C8578" s="2">
        <v>808.58969999999999</v>
      </c>
      <c r="D8578" s="2">
        <f>HYPERLINK("http://mcb-m6.bioreg.kyushu-u.ac.jp/M3/20110414/F50959/2342/1", 89.21)</f>
        <v>89.21</v>
      </c>
      <c r="E8578" s="2">
        <v>78.25</v>
      </c>
      <c r="F8578" s="2">
        <v>2</v>
      </c>
      <c r="G8578" s="2" t="s">
        <v>12</v>
      </c>
    </row>
    <row r="8579" spans="1:9" x14ac:dyDescent="0.2">
      <c r="A8579" s="2" t="s">
        <v>3250</v>
      </c>
      <c r="B8579" s="2" t="s">
        <v>1765</v>
      </c>
      <c r="C8579" s="2">
        <v>761.76670000000001</v>
      </c>
      <c r="D8579" s="2">
        <f>HYPERLINK("http://mcb-m6.bioreg.kyushu-u.ac.jp/M3/20110414/F50959/2008/1", 89.36)</f>
        <v>89.36</v>
      </c>
      <c r="E8579" s="2">
        <v>60.82</v>
      </c>
      <c r="F8579" s="2">
        <v>2</v>
      </c>
      <c r="G8579" s="2" t="s">
        <v>12</v>
      </c>
    </row>
    <row r="8580" spans="1:9" x14ac:dyDescent="0.2">
      <c r="A8580" s="2" t="s">
        <v>3250</v>
      </c>
      <c r="B8580" s="2" t="s">
        <v>356</v>
      </c>
      <c r="C8580" s="2">
        <v>816.43870000000004</v>
      </c>
      <c r="D8580" s="2">
        <f>HYPERLINK("http://mcb-m6.bioreg.kyushu-u.ac.jp/M3/20110414/F50959/2423/1", 89.73)</f>
        <v>89.73</v>
      </c>
      <c r="E8580" s="2">
        <v>75.05</v>
      </c>
      <c r="F8580" s="2">
        <v>2</v>
      </c>
      <c r="G8580" s="2" t="s">
        <v>12</v>
      </c>
    </row>
    <row r="8581" spans="1:9" x14ac:dyDescent="0.2">
      <c r="A8581" s="2" t="s">
        <v>3250</v>
      </c>
      <c r="B8581" s="2" t="s">
        <v>90</v>
      </c>
      <c r="C8581" s="2">
        <v>717.24659999999994</v>
      </c>
      <c r="D8581" s="2">
        <f>HYPERLINK("http://mcb-m6.bioreg.kyushu-u.ac.jp/M3/20110414/F50959/1721/1", 91.14)</f>
        <v>91.14</v>
      </c>
      <c r="E8581" s="2">
        <v>58.48</v>
      </c>
      <c r="F8581" s="2">
        <v>2</v>
      </c>
      <c r="G8581" s="2" t="s">
        <v>12</v>
      </c>
    </row>
    <row r="8582" spans="1:9" x14ac:dyDescent="0.2">
      <c r="A8582" s="2" t="s">
        <v>3250</v>
      </c>
      <c r="B8582" s="2" t="s">
        <v>356</v>
      </c>
      <c r="C8582" s="2">
        <v>815.74620000000004</v>
      </c>
      <c r="D8582" s="2">
        <f>HYPERLINK("http://mcb-m6.bioreg.kyushu-u.ac.jp/M3/20110414/F50959/2403/1", 91.53)</f>
        <v>91.53</v>
      </c>
      <c r="E8582" s="2">
        <v>68</v>
      </c>
      <c r="F8582" s="2">
        <v>2</v>
      </c>
      <c r="G8582" s="2" t="s">
        <v>12</v>
      </c>
    </row>
    <row r="8583" spans="1:9" x14ac:dyDescent="0.2">
      <c r="A8583" s="2" t="s">
        <v>3250</v>
      </c>
      <c r="B8583" s="2" t="s">
        <v>1065</v>
      </c>
      <c r="C8583" s="2">
        <v>716.79520000000002</v>
      </c>
      <c r="D8583" s="2">
        <f>HYPERLINK("http://mcb-m6.bioreg.kyushu-u.ac.jp/M3/20110414/F50959/1708/1", 91.58)</f>
        <v>91.58</v>
      </c>
      <c r="E8583" s="2">
        <v>74.239999999999995</v>
      </c>
      <c r="F8583" s="2">
        <v>2</v>
      </c>
      <c r="G8583" s="2" t="s">
        <v>12</v>
      </c>
      <c r="I8583" s="2" t="s">
        <v>4892</v>
      </c>
    </row>
    <row r="8584" spans="1:9" x14ac:dyDescent="0.2">
      <c r="A8584" s="2" t="s">
        <v>3250</v>
      </c>
      <c r="B8584" s="2" t="s">
        <v>561</v>
      </c>
      <c r="C8584" s="2">
        <v>661.9982</v>
      </c>
      <c r="D8584" s="2">
        <f>HYPERLINK("http://mcb-m6.bioreg.kyushu-u.ac.jp/M3/20110414/F50950/1667/1", 91.7)</f>
        <v>91.7</v>
      </c>
      <c r="E8584" s="2">
        <v>66.56</v>
      </c>
      <c r="F8584" s="2">
        <v>2</v>
      </c>
      <c r="G8584" s="2" t="s">
        <v>12</v>
      </c>
      <c r="H8584" s="2" t="s">
        <v>4919</v>
      </c>
    </row>
    <row r="8585" spans="1:9" x14ac:dyDescent="0.2">
      <c r="A8585" s="2" t="s">
        <v>3250</v>
      </c>
      <c r="B8585" s="2" t="s">
        <v>356</v>
      </c>
      <c r="C8585" s="2">
        <v>816.21259999999995</v>
      </c>
      <c r="D8585" s="2">
        <f>HYPERLINK("http://mcb-m6.bioreg.kyushu-u.ac.jp/M3/20110414/F50958/2530/1", 92.2)</f>
        <v>92.2</v>
      </c>
      <c r="E8585" s="2">
        <v>77.63</v>
      </c>
      <c r="F8585" s="2">
        <v>2</v>
      </c>
      <c r="G8585" s="2" t="s">
        <v>12</v>
      </c>
    </row>
    <row r="8586" spans="1:9" x14ac:dyDescent="0.2">
      <c r="A8586" s="2" t="s">
        <v>3250</v>
      </c>
      <c r="B8586" s="2" t="s">
        <v>356</v>
      </c>
      <c r="C8586" s="2">
        <v>816.35720000000003</v>
      </c>
      <c r="D8586" s="2">
        <f>HYPERLINK("http://mcb-m6.bioreg.kyushu-u.ac.jp/M3/20110414/F50934/2560/1", 92.36)</f>
        <v>92.36</v>
      </c>
      <c r="E8586" s="2">
        <v>74.11</v>
      </c>
      <c r="F8586" s="2">
        <v>2</v>
      </c>
      <c r="G8586" s="2" t="s">
        <v>12</v>
      </c>
    </row>
    <row r="8587" spans="1:9" x14ac:dyDescent="0.2">
      <c r="A8587" s="2" t="s">
        <v>3250</v>
      </c>
      <c r="B8587" s="2" t="s">
        <v>1521</v>
      </c>
      <c r="C8587" s="2">
        <v>988.92359999999996</v>
      </c>
      <c r="D8587" s="2">
        <f>HYPERLINK("http://mcb-m6.bioreg.kyushu-u.ac.jp/M3/20110414/F50959/3530/1", 92.55)</f>
        <v>92.55</v>
      </c>
      <c r="E8587" s="2">
        <v>80.540000000000006</v>
      </c>
      <c r="F8587" s="2">
        <v>2</v>
      </c>
      <c r="G8587" s="2" t="s">
        <v>12</v>
      </c>
    </row>
    <row r="8588" spans="1:9" x14ac:dyDescent="0.2">
      <c r="A8588" s="2" t="s">
        <v>3250</v>
      </c>
      <c r="B8588" s="2" t="s">
        <v>888</v>
      </c>
      <c r="C8588" s="2">
        <v>1215.924</v>
      </c>
      <c r="D8588" s="2">
        <f>HYPERLINK("http://mcb-m6.bioreg.kyushu-u.ac.jp/M3/20110414/F50959/4406/1", 94.73)</f>
        <v>94.73</v>
      </c>
      <c r="E8588" s="2">
        <v>89.66</v>
      </c>
      <c r="F8588" s="2">
        <v>2</v>
      </c>
      <c r="G8588" s="2" t="s">
        <v>12</v>
      </c>
      <c r="I8588" s="2" t="s">
        <v>4895</v>
      </c>
    </row>
    <row r="8589" spans="1:9" x14ac:dyDescent="0.2">
      <c r="A8589" s="2" t="s">
        <v>3250</v>
      </c>
      <c r="B8589" s="2" t="s">
        <v>481</v>
      </c>
      <c r="C8589" s="2">
        <v>709.44460000000004</v>
      </c>
      <c r="D8589" s="2">
        <f>HYPERLINK("http://mcb-m6.bioreg.kyushu-u.ac.jp/M3/20110414/F50933/2238/1", 96.04)</f>
        <v>96.04</v>
      </c>
      <c r="E8589" s="2">
        <v>72.2</v>
      </c>
      <c r="F8589" s="2">
        <v>2</v>
      </c>
      <c r="G8589" s="2" t="s">
        <v>12</v>
      </c>
      <c r="I8589" s="2" t="s">
        <v>4898</v>
      </c>
    </row>
    <row r="8590" spans="1:9" x14ac:dyDescent="0.2">
      <c r="A8590" s="2" t="s">
        <v>3250</v>
      </c>
      <c r="B8590" s="2" t="s">
        <v>1665</v>
      </c>
      <c r="C8590" s="2">
        <v>1147.42</v>
      </c>
      <c r="D8590" s="2">
        <f>HYPERLINK("http://mcb-m6.bioreg.kyushu-u.ac.jp/M3/20110414/F50959/4167/1", 96.41)</f>
        <v>96.41</v>
      </c>
      <c r="E8590" s="2">
        <v>88.29</v>
      </c>
      <c r="F8590" s="2">
        <v>2</v>
      </c>
      <c r="G8590" s="2" t="s">
        <v>12</v>
      </c>
    </row>
    <row r="8591" spans="1:9" x14ac:dyDescent="0.2">
      <c r="A8591" s="2" t="s">
        <v>3250</v>
      </c>
      <c r="B8591" s="2" t="s">
        <v>356</v>
      </c>
      <c r="C8591" s="2">
        <v>816.34969999999998</v>
      </c>
      <c r="D8591" s="2">
        <f>HYPERLINK("http://mcb-m6.bioreg.kyushu-u.ac.jp/M3/20110414/F50958/2534/1", 96.74)</f>
        <v>96.74</v>
      </c>
      <c r="E8591" s="2">
        <v>83.12</v>
      </c>
      <c r="F8591" s="2">
        <v>2</v>
      </c>
      <c r="G8591" s="2" t="s">
        <v>12</v>
      </c>
    </row>
    <row r="8592" spans="1:9" x14ac:dyDescent="0.2">
      <c r="A8592" s="2" t="s">
        <v>3250</v>
      </c>
      <c r="B8592" s="2" t="s">
        <v>1521</v>
      </c>
      <c r="C8592" s="2">
        <v>989.06669999999997</v>
      </c>
      <c r="D8592" s="2">
        <f>HYPERLINK("http://mcb-m6.bioreg.kyushu-u.ac.jp/M3/20110414/F50950/3448/1", 97.81)</f>
        <v>97.81</v>
      </c>
      <c r="E8592" s="2">
        <v>85.2</v>
      </c>
      <c r="F8592" s="2">
        <v>2</v>
      </c>
      <c r="G8592" s="2" t="s">
        <v>12</v>
      </c>
    </row>
    <row r="8593" spans="1:9" x14ac:dyDescent="0.2">
      <c r="A8593" s="2" t="s">
        <v>3250</v>
      </c>
      <c r="B8593" s="2" t="s">
        <v>467</v>
      </c>
      <c r="C8593" s="2">
        <v>691.63319999999999</v>
      </c>
      <c r="D8593" s="2">
        <f>HYPERLINK("http://mcb-m6.bioreg.kyushu-u.ac.jp/M3/20110414/F50966/1624/1", 98.41)</f>
        <v>98.41</v>
      </c>
      <c r="E8593" s="2">
        <v>69.62</v>
      </c>
      <c r="F8593" s="2">
        <v>2</v>
      </c>
      <c r="G8593" s="2" t="s">
        <v>12</v>
      </c>
    </row>
    <row r="8594" spans="1:9" x14ac:dyDescent="0.2">
      <c r="A8594" s="2" t="s">
        <v>3250</v>
      </c>
      <c r="B8594" s="2" t="s">
        <v>356</v>
      </c>
      <c r="C8594" s="2">
        <v>816.28060000000005</v>
      </c>
      <c r="D8594" s="2">
        <f>HYPERLINK("http://mcb-m6.bioreg.kyushu-u.ac.jp/M3/20110414/F50959/2418/1", 98.53)</f>
        <v>98.53</v>
      </c>
      <c r="E8594" s="2">
        <v>81.78</v>
      </c>
      <c r="F8594" s="2">
        <v>2</v>
      </c>
      <c r="G8594" s="2" t="s">
        <v>12</v>
      </c>
    </row>
    <row r="8595" spans="1:9" x14ac:dyDescent="0.2">
      <c r="A8595" s="2" t="s">
        <v>3250</v>
      </c>
      <c r="B8595" s="2" t="s">
        <v>356</v>
      </c>
      <c r="C8595" s="2">
        <v>815.71669999999995</v>
      </c>
      <c r="D8595" s="2">
        <f>HYPERLINK("http://mcb-m6.bioreg.kyushu-u.ac.jp/M3/20110414/F50966/2193/1", 99.05)</f>
        <v>99.05</v>
      </c>
      <c r="E8595" s="2">
        <v>80.58</v>
      </c>
      <c r="F8595" s="2">
        <v>2</v>
      </c>
      <c r="G8595" s="2" t="s">
        <v>12</v>
      </c>
    </row>
    <row r="8596" spans="1:9" x14ac:dyDescent="0.2">
      <c r="A8596" s="2" t="s">
        <v>3250</v>
      </c>
      <c r="B8596" s="2" t="s">
        <v>356</v>
      </c>
      <c r="C8596" s="2">
        <v>816.10270000000003</v>
      </c>
      <c r="D8596" s="2">
        <f>HYPERLINK("http://mcb-m6.bioreg.kyushu-u.ac.jp/M3/20110414/F50959/2416/1", 100.14)</f>
        <v>100.14</v>
      </c>
      <c r="E8596" s="2">
        <v>82.05</v>
      </c>
      <c r="F8596" s="2">
        <v>2</v>
      </c>
      <c r="G8596" s="2" t="s">
        <v>12</v>
      </c>
    </row>
    <row r="8597" spans="1:9" x14ac:dyDescent="0.2">
      <c r="A8597" s="2" t="s">
        <v>3250</v>
      </c>
      <c r="B8597" s="2" t="s">
        <v>1581</v>
      </c>
      <c r="C8597" s="2">
        <v>1147.4169999999999</v>
      </c>
      <c r="D8597" s="2">
        <f>HYPERLINK("http://mcb-m6.bioreg.kyushu-u.ac.jp/M3/20110414/F50959/4166/1", 101.02)</f>
        <v>101.02</v>
      </c>
      <c r="E8597" s="2">
        <v>88.88</v>
      </c>
      <c r="F8597" s="2">
        <v>2</v>
      </c>
      <c r="G8597" s="2" t="s">
        <v>12</v>
      </c>
      <c r="I8597" s="2" t="s">
        <v>4895</v>
      </c>
    </row>
    <row r="8598" spans="1:9" x14ac:dyDescent="0.2">
      <c r="A8598" s="2" t="s">
        <v>3250</v>
      </c>
      <c r="B8598" s="2" t="s">
        <v>1765</v>
      </c>
      <c r="C8598" s="2">
        <v>761.76319999999998</v>
      </c>
      <c r="D8598" s="2">
        <f>HYPERLINK("http://mcb-m6.bioreg.kyushu-u.ac.jp/M3/20110414/F50948/2238/1", 101.73)</f>
        <v>101.73</v>
      </c>
      <c r="E8598" s="2">
        <v>68.790000000000006</v>
      </c>
      <c r="F8598" s="2">
        <v>2</v>
      </c>
      <c r="G8598" s="2" t="s">
        <v>12</v>
      </c>
    </row>
    <row r="8599" spans="1:9" x14ac:dyDescent="0.2">
      <c r="A8599" s="2" t="s">
        <v>3250</v>
      </c>
      <c r="B8599" s="2" t="s">
        <v>356</v>
      </c>
      <c r="C8599" s="2">
        <v>815.80269999999996</v>
      </c>
      <c r="D8599" s="2">
        <f>HYPERLINK("http://mcb-m6.bioreg.kyushu-u.ac.jp/M3/20110414/F50959/2407/1", 102.29)</f>
        <v>102.29</v>
      </c>
      <c r="E8599" s="2">
        <v>87.04</v>
      </c>
      <c r="F8599" s="2">
        <v>2</v>
      </c>
      <c r="G8599" s="2" t="s">
        <v>12</v>
      </c>
    </row>
    <row r="8600" spans="1:9" x14ac:dyDescent="0.2">
      <c r="A8600" s="2" t="s">
        <v>3250</v>
      </c>
      <c r="B8600" s="2" t="s">
        <v>90</v>
      </c>
      <c r="C8600" s="2">
        <v>717.43269999999995</v>
      </c>
      <c r="D8600" s="2">
        <f>HYPERLINK("http://mcb-m6.bioreg.kyushu-u.ac.jp/M3/20110414/F50949/2095/1", 103.38)</f>
        <v>103.38</v>
      </c>
      <c r="E8600" s="2">
        <v>75.98</v>
      </c>
      <c r="F8600" s="2">
        <v>2</v>
      </c>
      <c r="G8600" s="2" t="s">
        <v>12</v>
      </c>
    </row>
    <row r="8601" spans="1:9" x14ac:dyDescent="0.2">
      <c r="A8601" s="2" t="s">
        <v>3250</v>
      </c>
      <c r="B8601" s="2" t="s">
        <v>356</v>
      </c>
      <c r="C8601" s="2">
        <v>815.79669999999999</v>
      </c>
      <c r="D8601" s="2">
        <f>HYPERLINK("http://mcb-m6.bioreg.kyushu-u.ac.jp/M3/20110414/F50959/2406/1", 103.44)</f>
        <v>103.44</v>
      </c>
      <c r="E8601" s="2">
        <v>87.12</v>
      </c>
      <c r="F8601" s="2">
        <v>2</v>
      </c>
      <c r="G8601" s="2" t="s">
        <v>12</v>
      </c>
    </row>
    <row r="8602" spans="1:9" x14ac:dyDescent="0.2">
      <c r="A8602" s="2" t="s">
        <v>3250</v>
      </c>
      <c r="B8602" s="2" t="s">
        <v>90</v>
      </c>
      <c r="C8602" s="2">
        <v>1432.5519999999999</v>
      </c>
      <c r="D8602" s="2">
        <f>HYPERLINK("http://mcb-m6.bioreg.kyushu-u.ac.jp/M3/20110414/F50959/1707/1", 105.94)</f>
        <v>105.94</v>
      </c>
      <c r="E8602" s="2">
        <v>88.86</v>
      </c>
      <c r="F8602" s="2">
        <v>1</v>
      </c>
      <c r="G8602" s="2" t="s">
        <v>12</v>
      </c>
    </row>
    <row r="8603" spans="1:9" x14ac:dyDescent="0.2">
      <c r="A8603" s="2" t="s">
        <v>3250</v>
      </c>
      <c r="B8603" s="2" t="s">
        <v>356</v>
      </c>
      <c r="C8603" s="2">
        <v>816.23419999999999</v>
      </c>
      <c r="D8603" s="2">
        <f>HYPERLINK("http://mcb-m6.bioreg.kyushu-u.ac.jp/M3/20110414/F50963/2197/1", 107.73)</f>
        <v>107.73</v>
      </c>
      <c r="E8603" s="2">
        <v>90.65</v>
      </c>
      <c r="F8603" s="2">
        <v>2</v>
      </c>
      <c r="G8603" s="2" t="s">
        <v>12</v>
      </c>
    </row>
    <row r="8604" spans="1:9" x14ac:dyDescent="0.2">
      <c r="A8604" s="2" t="s">
        <v>3250</v>
      </c>
      <c r="B8604" s="2" t="s">
        <v>1255</v>
      </c>
      <c r="C8604" s="2">
        <v>1273.7929999999999</v>
      </c>
      <c r="D8604" s="2">
        <f>HYPERLINK("http://mcb-m6.bioreg.kyushu-u.ac.jp/M3/20110414/F50958/4577/1", 108.48)</f>
        <v>108.48</v>
      </c>
      <c r="E8604" s="2">
        <v>91.86</v>
      </c>
      <c r="F8604" s="2">
        <v>2</v>
      </c>
      <c r="G8604" s="2" t="s">
        <v>12</v>
      </c>
      <c r="I8604" s="2" t="s">
        <v>4906</v>
      </c>
    </row>
    <row r="8605" spans="1:9" x14ac:dyDescent="0.2">
      <c r="A8605" s="2" t="s">
        <v>3250</v>
      </c>
      <c r="B8605" s="2" t="s">
        <v>1255</v>
      </c>
      <c r="C8605" s="2">
        <v>1273.422</v>
      </c>
      <c r="D8605" s="2">
        <f>HYPERLINK("http://mcb-m6.bioreg.kyushu-u.ac.jp/M3/20110414/F50950/4169/1", 108.68)</f>
        <v>108.68</v>
      </c>
      <c r="E8605" s="2">
        <v>98.25</v>
      </c>
      <c r="F8605" s="2">
        <v>2</v>
      </c>
      <c r="G8605" s="2" t="s">
        <v>12</v>
      </c>
      <c r="I8605" s="2" t="s">
        <v>4906</v>
      </c>
    </row>
    <row r="8606" spans="1:9" x14ac:dyDescent="0.2">
      <c r="A8606" s="2" t="s">
        <v>3250</v>
      </c>
      <c r="B8606" s="2" t="s">
        <v>356</v>
      </c>
      <c r="C8606" s="2">
        <v>815.80970000000002</v>
      </c>
      <c r="D8606" s="2">
        <f>HYPERLINK("http://mcb-m6.bioreg.kyushu-u.ac.jp/M3/20110414/F50959/2408/1", 109.89)</f>
        <v>109.89</v>
      </c>
      <c r="E8606" s="2">
        <v>93.27</v>
      </c>
      <c r="F8606" s="2">
        <v>2</v>
      </c>
      <c r="G8606" s="2" t="s">
        <v>12</v>
      </c>
    </row>
    <row r="8607" spans="1:9" x14ac:dyDescent="0.2">
      <c r="A8607" s="2" t="s">
        <v>3250</v>
      </c>
      <c r="B8607" s="2" t="s">
        <v>1665</v>
      </c>
      <c r="C8607" s="2">
        <v>1147.5509999999999</v>
      </c>
      <c r="D8607" s="2">
        <f>HYPERLINK("http://mcb-m6.bioreg.kyushu-u.ac.jp/M3/20110414/F50959/4169/1", 110.75)</f>
        <v>110.75</v>
      </c>
      <c r="E8607" s="2">
        <v>98.62</v>
      </c>
      <c r="F8607" s="2">
        <v>2</v>
      </c>
      <c r="G8607" s="2" t="s">
        <v>12</v>
      </c>
    </row>
    <row r="8608" spans="1:9" x14ac:dyDescent="0.2">
      <c r="A8608" s="2" t="s">
        <v>3250</v>
      </c>
      <c r="B8608" s="2" t="s">
        <v>356</v>
      </c>
      <c r="C8608" s="2">
        <v>815.90920000000006</v>
      </c>
      <c r="D8608" s="2">
        <f>HYPERLINK("http://mcb-m6.bioreg.kyushu-u.ac.jp/M3/20110414/F50959/2412/1", 112.15)</f>
        <v>112.15</v>
      </c>
      <c r="E8608" s="2">
        <v>94.15</v>
      </c>
      <c r="F8608" s="2">
        <v>2</v>
      </c>
      <c r="G8608" s="2" t="s">
        <v>12</v>
      </c>
    </row>
    <row r="8609" spans="1:9" x14ac:dyDescent="0.2">
      <c r="A8609" s="2" t="s">
        <v>3250</v>
      </c>
      <c r="B8609" s="2" t="s">
        <v>356</v>
      </c>
      <c r="C8609" s="2">
        <v>816.11019999999996</v>
      </c>
      <c r="D8609" s="2">
        <f>HYPERLINK("http://mcb-m6.bioreg.kyushu-u.ac.jp/M3/20110414/F50948/2549/1", 113.09)</f>
        <v>113.09</v>
      </c>
      <c r="E8609" s="2">
        <v>93.63</v>
      </c>
      <c r="F8609" s="2">
        <v>2</v>
      </c>
      <c r="G8609" s="2" t="s">
        <v>12</v>
      </c>
    </row>
    <row r="8610" spans="1:9" x14ac:dyDescent="0.2">
      <c r="A8610" s="2" t="s">
        <v>3250</v>
      </c>
      <c r="B8610" s="2" t="s">
        <v>1255</v>
      </c>
      <c r="C8610" s="2">
        <v>1273.8119999999999</v>
      </c>
      <c r="D8610" s="2">
        <f>HYPERLINK("http://mcb-m6.bioreg.kyushu-u.ac.jp/M3/20110414/F50959/4606/1", 113.53)</f>
        <v>113.53</v>
      </c>
      <c r="E8610" s="2">
        <v>107.13</v>
      </c>
      <c r="F8610" s="2">
        <v>2</v>
      </c>
      <c r="G8610" s="2" t="s">
        <v>12</v>
      </c>
      <c r="I8610" s="2" t="s">
        <v>4906</v>
      </c>
    </row>
    <row r="8611" spans="1:9" x14ac:dyDescent="0.2">
      <c r="A8611" s="2" t="s">
        <v>3250</v>
      </c>
      <c r="B8611" s="2" t="s">
        <v>90</v>
      </c>
      <c r="C8611" s="2">
        <v>717.38509999999997</v>
      </c>
      <c r="D8611" s="2">
        <f>HYPERLINK("http://mcb-m6.bioreg.kyushu-u.ac.jp/M3/20110414/F50959/1725/1", 114.46)</f>
        <v>114.46</v>
      </c>
      <c r="E8611" s="2">
        <v>89.88</v>
      </c>
      <c r="F8611" s="2">
        <v>2</v>
      </c>
      <c r="G8611" s="2" t="s">
        <v>12</v>
      </c>
    </row>
    <row r="8612" spans="1:9" x14ac:dyDescent="0.2">
      <c r="A8612" s="2" t="s">
        <v>3250</v>
      </c>
      <c r="B8612" s="2" t="s">
        <v>90</v>
      </c>
      <c r="C8612" s="2">
        <v>716.37819999999999</v>
      </c>
      <c r="D8612" s="2">
        <f>HYPERLINK("http://mcb-m6.bioreg.kyushu-u.ac.jp/M3/20110414/F50949/2087/1", 117.34)</f>
        <v>117.34</v>
      </c>
      <c r="E8612" s="2">
        <v>84.73</v>
      </c>
      <c r="F8612" s="2">
        <v>2</v>
      </c>
      <c r="G8612" s="2" t="s">
        <v>12</v>
      </c>
    </row>
    <row r="8613" spans="1:9" x14ac:dyDescent="0.2">
      <c r="A8613" s="2" t="s">
        <v>3250</v>
      </c>
      <c r="B8613" s="2" t="s">
        <v>142</v>
      </c>
      <c r="C8613" s="2">
        <v>847.76400000000001</v>
      </c>
      <c r="D8613" s="2">
        <f>HYPERLINK("http://mcb-m6.bioreg.kyushu-u.ac.jp/M3/20110502/F51172/410/1", 35.63)</f>
        <v>35.630000000000003</v>
      </c>
      <c r="E8613" s="2">
        <v>12.94</v>
      </c>
      <c r="F8613" s="2">
        <v>1</v>
      </c>
      <c r="G8613" s="2" t="s">
        <v>13</v>
      </c>
    </row>
    <row r="8614" spans="1:9" x14ac:dyDescent="0.2">
      <c r="A8614" s="2" t="s">
        <v>3250</v>
      </c>
      <c r="B8614" s="2" t="s">
        <v>772</v>
      </c>
      <c r="C8614" s="2">
        <v>596.39009999999996</v>
      </c>
      <c r="D8614" s="2">
        <f>HYPERLINK("http://mcb-m6.bioreg.kyushu-u.ac.jp/M3/20110502/F51175/1353/1", 36.45)</f>
        <v>36.450000000000003</v>
      </c>
      <c r="E8614" s="2">
        <v>20.239999999999998</v>
      </c>
      <c r="F8614" s="2">
        <v>2</v>
      </c>
      <c r="G8614" s="2" t="s">
        <v>13</v>
      </c>
    </row>
    <row r="8615" spans="1:9" x14ac:dyDescent="0.2">
      <c r="A8615" s="2" t="s">
        <v>3250</v>
      </c>
      <c r="B8615" s="2" t="s">
        <v>772</v>
      </c>
      <c r="C8615" s="2">
        <v>595.87220000000002</v>
      </c>
      <c r="D8615" s="2">
        <f>HYPERLINK("http://mcb-m6.bioreg.kyushu-u.ac.jp/M3/20110502/F51172/1252/1", 36.49)</f>
        <v>36.49</v>
      </c>
      <c r="E8615" s="2">
        <v>19.21</v>
      </c>
      <c r="F8615" s="2">
        <v>2</v>
      </c>
      <c r="G8615" s="2" t="s">
        <v>13</v>
      </c>
    </row>
    <row r="8616" spans="1:9" x14ac:dyDescent="0.2">
      <c r="A8616" s="2" t="s">
        <v>3250</v>
      </c>
      <c r="B8616" s="2" t="s">
        <v>351</v>
      </c>
      <c r="C8616" s="2">
        <v>861.79700000000003</v>
      </c>
      <c r="D8616" s="2">
        <f>HYPERLINK("http://mcb-m6.bioreg.kyushu-u.ac.jp/M3/20110502/F51173/411/1", 36.54)</f>
        <v>36.54</v>
      </c>
      <c r="E8616" s="2">
        <v>14.99</v>
      </c>
      <c r="F8616" s="2">
        <v>1</v>
      </c>
      <c r="G8616" s="2" t="s">
        <v>13</v>
      </c>
      <c r="I8616" s="2" t="s">
        <v>4899</v>
      </c>
    </row>
    <row r="8617" spans="1:9" x14ac:dyDescent="0.2">
      <c r="A8617" s="2" t="s">
        <v>3250</v>
      </c>
      <c r="B8617" s="2" t="s">
        <v>351</v>
      </c>
      <c r="C8617" s="2">
        <v>861.87199999999996</v>
      </c>
      <c r="D8617" s="2">
        <f>HYPERLINK("http://mcb-m6.bioreg.kyushu-u.ac.jp/M3/20110502/F51172/417/1", 36.84)</f>
        <v>36.840000000000003</v>
      </c>
      <c r="E8617" s="2">
        <v>15.1</v>
      </c>
      <c r="F8617" s="2">
        <v>1</v>
      </c>
      <c r="G8617" s="2" t="s">
        <v>13</v>
      </c>
      <c r="I8617" s="2" t="s">
        <v>4899</v>
      </c>
    </row>
    <row r="8618" spans="1:9" x14ac:dyDescent="0.2">
      <c r="A8618" s="2" t="s">
        <v>3250</v>
      </c>
      <c r="B8618" s="2" t="s">
        <v>77</v>
      </c>
      <c r="C8618" s="2">
        <v>1148.829</v>
      </c>
      <c r="D8618" s="2">
        <f>HYPERLINK("http://mcb-m6.bioreg.kyushu-u.ac.jp/M3/20110502/F51174/1382/1", 37.19)</f>
        <v>37.19</v>
      </c>
      <c r="E8618" s="2">
        <v>21.42</v>
      </c>
      <c r="F8618" s="2">
        <v>1</v>
      </c>
      <c r="G8618" s="2" t="s">
        <v>13</v>
      </c>
    </row>
    <row r="8619" spans="1:9" x14ac:dyDescent="0.2">
      <c r="A8619" s="2" t="s">
        <v>3250</v>
      </c>
      <c r="B8619" s="2" t="s">
        <v>1065</v>
      </c>
      <c r="C8619" s="2">
        <v>716.87919999999997</v>
      </c>
      <c r="D8619" s="2">
        <f>HYPERLINK("http://mcb-m6.bioreg.kyushu-u.ac.jp/M3/20110502/F51187/1642/1", 38.22)</f>
        <v>38.22</v>
      </c>
      <c r="E8619" s="2">
        <v>21.14</v>
      </c>
      <c r="F8619" s="2">
        <v>2</v>
      </c>
      <c r="G8619" s="2" t="s">
        <v>13</v>
      </c>
      <c r="I8619" s="2" t="s">
        <v>4892</v>
      </c>
    </row>
    <row r="8620" spans="1:9" x14ac:dyDescent="0.2">
      <c r="A8620" s="2" t="s">
        <v>3250</v>
      </c>
      <c r="B8620" s="2" t="s">
        <v>102</v>
      </c>
      <c r="C8620" s="2">
        <v>608.52869999999996</v>
      </c>
      <c r="D8620" s="2">
        <f>HYPERLINK("http://mcb-m6.bioreg.kyushu-u.ac.jp/M3/20110502/F51171/1486/1", 38.38)</f>
        <v>38.380000000000003</v>
      </c>
      <c r="E8620" s="2">
        <v>25.4</v>
      </c>
      <c r="F8620" s="2">
        <v>2</v>
      </c>
      <c r="G8620" s="2" t="s">
        <v>13</v>
      </c>
    </row>
    <row r="8621" spans="1:9" x14ac:dyDescent="0.2">
      <c r="A8621" s="2" t="s">
        <v>3250</v>
      </c>
      <c r="B8621" s="2" t="s">
        <v>311</v>
      </c>
      <c r="C8621" s="2">
        <v>607.21619999999996</v>
      </c>
      <c r="D8621" s="2">
        <f>HYPERLINK("http://mcb-m6.bioreg.kyushu-u.ac.jp/M3/20110502/F51167/1742/1", 38.57)</f>
        <v>38.57</v>
      </c>
      <c r="E8621" s="2">
        <v>25.64</v>
      </c>
      <c r="F8621" s="2">
        <v>2</v>
      </c>
      <c r="G8621" s="2" t="s">
        <v>13</v>
      </c>
      <c r="H8621" s="2" t="s">
        <v>4908</v>
      </c>
    </row>
    <row r="8622" spans="1:9" x14ac:dyDescent="0.2">
      <c r="A8622" s="2" t="s">
        <v>3250</v>
      </c>
      <c r="B8622" s="2" t="s">
        <v>351</v>
      </c>
      <c r="C8622" s="2">
        <v>861.75</v>
      </c>
      <c r="D8622" s="2">
        <f>HYPERLINK("http://mcb-m6.bioreg.kyushu-u.ac.jp/M3/20110502/F51174/916/1", 38.59)</f>
        <v>38.590000000000003</v>
      </c>
      <c r="E8622" s="2">
        <v>15.7</v>
      </c>
      <c r="F8622" s="2">
        <v>1</v>
      </c>
      <c r="G8622" s="2" t="s">
        <v>13</v>
      </c>
      <c r="I8622" s="2" t="s">
        <v>4899</v>
      </c>
    </row>
    <row r="8623" spans="1:9" x14ac:dyDescent="0.2">
      <c r="A8623" s="2" t="s">
        <v>3250</v>
      </c>
      <c r="B8623" s="2" t="s">
        <v>311</v>
      </c>
      <c r="C8623" s="2">
        <v>599.02809999999999</v>
      </c>
      <c r="D8623" s="2">
        <f>HYPERLINK("http://mcb-m6.bioreg.kyushu-u.ac.jp/M3/20110502/F51175/1370/1", 38.78)</f>
        <v>38.78</v>
      </c>
      <c r="E8623" s="2">
        <v>21.86</v>
      </c>
      <c r="F8623" s="2">
        <v>2</v>
      </c>
      <c r="G8623" s="2" t="s">
        <v>13</v>
      </c>
    </row>
    <row r="8624" spans="1:9" x14ac:dyDescent="0.2">
      <c r="A8624" s="2" t="s">
        <v>3250</v>
      </c>
      <c r="B8624" s="2" t="s">
        <v>77</v>
      </c>
      <c r="C8624" s="2">
        <v>1148.809</v>
      </c>
      <c r="D8624" s="2">
        <f>HYPERLINK("http://mcb-m6.bioreg.kyushu-u.ac.jp/M3/20110502/F51189/1079/1", 38.96)</f>
        <v>38.96</v>
      </c>
      <c r="E8624" s="2">
        <v>18.850000000000001</v>
      </c>
      <c r="F8624" s="2">
        <v>1</v>
      </c>
      <c r="G8624" s="2" t="s">
        <v>13</v>
      </c>
    </row>
    <row r="8625" spans="1:9" x14ac:dyDescent="0.2">
      <c r="A8625" s="2" t="s">
        <v>3250</v>
      </c>
      <c r="B8625" s="2" t="s">
        <v>398</v>
      </c>
      <c r="C8625" s="2">
        <v>640.52670000000001</v>
      </c>
      <c r="D8625" s="2">
        <f>HYPERLINK("http://mcb-m6.bioreg.kyushu-u.ac.jp/M3/20110502/F51189/1322/1", 38.98)</f>
        <v>38.979999999999997</v>
      </c>
      <c r="E8625" s="2">
        <v>14.65</v>
      </c>
      <c r="F8625" s="2">
        <v>2</v>
      </c>
      <c r="G8625" s="2" t="s">
        <v>13</v>
      </c>
    </row>
    <row r="8626" spans="1:9" x14ac:dyDescent="0.2">
      <c r="A8626" s="2" t="s">
        <v>3250</v>
      </c>
      <c r="B8626" s="2" t="s">
        <v>142</v>
      </c>
      <c r="C8626" s="2">
        <v>847.56500000000005</v>
      </c>
      <c r="D8626" s="2">
        <f>HYPERLINK("http://mcb-m6.bioreg.kyushu-u.ac.jp/M3/20110502/F51188/577/1", 39.16)</f>
        <v>39.159999999999997</v>
      </c>
      <c r="E8626" s="2">
        <v>14.13</v>
      </c>
      <c r="F8626" s="2">
        <v>1</v>
      </c>
      <c r="G8626" s="2" t="s">
        <v>13</v>
      </c>
    </row>
    <row r="8627" spans="1:9" x14ac:dyDescent="0.2">
      <c r="A8627" s="2" t="s">
        <v>3250</v>
      </c>
      <c r="B8627" s="2" t="s">
        <v>365</v>
      </c>
      <c r="C8627" s="2">
        <v>849.05359999999996</v>
      </c>
      <c r="D8627" s="2">
        <f>HYPERLINK("http://mcb-m6.bioreg.kyushu-u.ac.jp/M3/20110502/F51189/2274/1", 39.3)</f>
        <v>39.299999999999997</v>
      </c>
      <c r="E8627" s="2">
        <v>22.56</v>
      </c>
      <c r="F8627" s="2">
        <v>2</v>
      </c>
      <c r="G8627" s="2" t="s">
        <v>13</v>
      </c>
    </row>
    <row r="8628" spans="1:9" x14ac:dyDescent="0.2">
      <c r="A8628" s="2" t="s">
        <v>3250</v>
      </c>
      <c r="B8628" s="2" t="s">
        <v>90</v>
      </c>
      <c r="C8628" s="2">
        <v>717.17269999999996</v>
      </c>
      <c r="D8628" s="2">
        <f>HYPERLINK("http://mcb-m6.bioreg.kyushu-u.ac.jp/M3/20110502/F51174/1870/1", 39.43)</f>
        <v>39.43</v>
      </c>
      <c r="E8628" s="2">
        <v>26.37</v>
      </c>
      <c r="F8628" s="2">
        <v>2</v>
      </c>
      <c r="G8628" s="2" t="s">
        <v>13</v>
      </c>
    </row>
    <row r="8629" spans="1:9" x14ac:dyDescent="0.2">
      <c r="A8629" s="2" t="s">
        <v>3250</v>
      </c>
      <c r="B8629" s="2" t="s">
        <v>398</v>
      </c>
      <c r="C8629" s="2">
        <v>640.5172</v>
      </c>
      <c r="D8629" s="2">
        <f>HYPERLINK("http://mcb-m6.bioreg.kyushu-u.ac.jp/M3/20110502/F51175/1490/1", 39.61)</f>
        <v>39.61</v>
      </c>
      <c r="E8629" s="2">
        <v>17.71</v>
      </c>
      <c r="F8629" s="2">
        <v>2</v>
      </c>
      <c r="G8629" s="2" t="s">
        <v>13</v>
      </c>
    </row>
    <row r="8630" spans="1:9" x14ac:dyDescent="0.2">
      <c r="A8630" s="2" t="s">
        <v>3250</v>
      </c>
      <c r="B8630" s="2" t="s">
        <v>102</v>
      </c>
      <c r="C8630" s="2">
        <v>1215.7919999999999</v>
      </c>
      <c r="D8630" s="2">
        <f>HYPERLINK("http://mcb-m6.bioreg.kyushu-u.ac.jp/M3/20110502/F51174/1511/1", 39.87)</f>
        <v>39.869999999999997</v>
      </c>
      <c r="E8630" s="2">
        <v>20.059999999999999</v>
      </c>
      <c r="F8630" s="2">
        <v>1</v>
      </c>
      <c r="G8630" s="2" t="s">
        <v>13</v>
      </c>
    </row>
    <row r="8631" spans="1:9" x14ac:dyDescent="0.2">
      <c r="A8631" s="2" t="s">
        <v>3250</v>
      </c>
      <c r="B8631" s="2" t="s">
        <v>365</v>
      </c>
      <c r="C8631" s="2">
        <v>849.03020000000004</v>
      </c>
      <c r="D8631" s="2">
        <f>HYPERLINK("http://mcb-m6.bioreg.kyushu-u.ac.jp/M3/20110502/F51189/2272/1", 40.55)</f>
        <v>40.549999999999997</v>
      </c>
      <c r="E8631" s="2">
        <v>23.28</v>
      </c>
      <c r="F8631" s="2">
        <v>2</v>
      </c>
      <c r="G8631" s="2" t="s">
        <v>13</v>
      </c>
    </row>
    <row r="8632" spans="1:9" x14ac:dyDescent="0.2">
      <c r="A8632" s="2" t="s">
        <v>3250</v>
      </c>
      <c r="B8632" s="2" t="s">
        <v>77</v>
      </c>
      <c r="C8632" s="2">
        <v>1148.8620000000001</v>
      </c>
      <c r="D8632" s="2">
        <f>HYPERLINK("http://mcb-m6.bioreg.kyushu-u.ac.jp/M3/20110502/F51172/1135/1", 40.64)</f>
        <v>40.64</v>
      </c>
      <c r="E8632" s="2">
        <v>22.85</v>
      </c>
      <c r="F8632" s="2">
        <v>1</v>
      </c>
      <c r="G8632" s="2" t="s">
        <v>13</v>
      </c>
    </row>
    <row r="8633" spans="1:9" x14ac:dyDescent="0.2">
      <c r="A8633" s="2" t="s">
        <v>3250</v>
      </c>
      <c r="B8633" s="2" t="s">
        <v>481</v>
      </c>
      <c r="C8633" s="2">
        <v>709.54020000000003</v>
      </c>
      <c r="D8633" s="2">
        <f>HYPERLINK("http://mcb-m6.bioreg.kyushu-u.ac.jp/M3/20110502/F51166/1984/1", 41.33)</f>
        <v>41.33</v>
      </c>
      <c r="E8633" s="2">
        <v>24.4</v>
      </c>
      <c r="F8633" s="2">
        <v>2</v>
      </c>
      <c r="G8633" s="2" t="s">
        <v>13</v>
      </c>
      <c r="I8633" s="2" t="s">
        <v>4898</v>
      </c>
    </row>
    <row r="8634" spans="1:9" x14ac:dyDescent="0.2">
      <c r="A8634" s="2" t="s">
        <v>3250</v>
      </c>
      <c r="B8634" s="2" t="s">
        <v>365</v>
      </c>
      <c r="C8634" s="2">
        <v>848.97860000000003</v>
      </c>
      <c r="D8634" s="2">
        <f>HYPERLINK("http://mcb-m6.bioreg.kyushu-u.ac.jp/M3/20110502/F51167/2211/1", 41.49)</f>
        <v>41.49</v>
      </c>
      <c r="E8634" s="2">
        <v>25.47</v>
      </c>
      <c r="F8634" s="2">
        <v>2</v>
      </c>
      <c r="G8634" s="2" t="s">
        <v>13</v>
      </c>
    </row>
    <row r="8635" spans="1:9" x14ac:dyDescent="0.2">
      <c r="A8635" s="2" t="s">
        <v>3250</v>
      </c>
      <c r="B8635" s="2" t="s">
        <v>102</v>
      </c>
      <c r="C8635" s="2">
        <v>1215.732</v>
      </c>
      <c r="D8635" s="2">
        <f>HYPERLINK("http://mcb-m6.bioreg.kyushu-u.ac.jp/M3/20110502/F51175/1404/1", 41.68)</f>
        <v>41.68</v>
      </c>
      <c r="E8635" s="2">
        <v>26.38</v>
      </c>
      <c r="F8635" s="2">
        <v>1</v>
      </c>
      <c r="G8635" s="2" t="s">
        <v>13</v>
      </c>
    </row>
    <row r="8636" spans="1:9" x14ac:dyDescent="0.2">
      <c r="A8636" s="2" t="s">
        <v>3250</v>
      </c>
      <c r="B8636" s="2" t="s">
        <v>102</v>
      </c>
      <c r="C8636" s="2">
        <v>608.4117</v>
      </c>
      <c r="D8636" s="2">
        <f>HYPERLINK("http://mcb-m6.bioreg.kyushu-u.ac.jp/M3/20110502/F51188/1300/1", 42.23)</f>
        <v>42.23</v>
      </c>
      <c r="E8636" s="2">
        <v>28.36</v>
      </c>
      <c r="F8636" s="2">
        <v>2</v>
      </c>
      <c r="G8636" s="2" t="s">
        <v>13</v>
      </c>
    </row>
    <row r="8637" spans="1:9" x14ac:dyDescent="0.2">
      <c r="A8637" s="2" t="s">
        <v>3250</v>
      </c>
      <c r="B8637" s="2" t="s">
        <v>175</v>
      </c>
      <c r="C8637" s="2">
        <v>784.65560000000005</v>
      </c>
      <c r="D8637" s="2">
        <f>HYPERLINK("http://mcb-m6.bioreg.kyushu-u.ac.jp/M3/20110502/F51173/2088/1", 42.33)</f>
        <v>42.33</v>
      </c>
      <c r="E8637" s="2">
        <v>23.26</v>
      </c>
      <c r="F8637" s="2">
        <v>2</v>
      </c>
      <c r="G8637" s="2" t="s">
        <v>13</v>
      </c>
      <c r="I8637" s="2" t="s">
        <v>4893</v>
      </c>
    </row>
    <row r="8638" spans="1:9" x14ac:dyDescent="0.2">
      <c r="A8638" s="2" t="s">
        <v>3250</v>
      </c>
      <c r="B8638" s="2" t="s">
        <v>481</v>
      </c>
      <c r="C8638" s="2">
        <v>1418.809</v>
      </c>
      <c r="D8638" s="2">
        <f>HYPERLINK("http://mcb-m6.bioreg.kyushu-u.ac.jp/M3/20110502/F51175/1783/1", 42.49)</f>
        <v>42.49</v>
      </c>
      <c r="E8638" s="2">
        <v>19.149999999999999</v>
      </c>
      <c r="F8638" s="2">
        <v>1</v>
      </c>
      <c r="G8638" s="2" t="s">
        <v>13</v>
      </c>
      <c r="I8638" s="2" t="s">
        <v>4898</v>
      </c>
    </row>
    <row r="8639" spans="1:9" x14ac:dyDescent="0.2">
      <c r="A8639" s="2" t="s">
        <v>3250</v>
      </c>
      <c r="B8639" s="2" t="s">
        <v>1065</v>
      </c>
      <c r="C8639" s="2">
        <v>716.98320000000001</v>
      </c>
      <c r="D8639" s="2">
        <f>HYPERLINK("http://mcb-m6.bioreg.kyushu-u.ac.jp/M3/20110502/F51173/1659/1", 43)</f>
        <v>43</v>
      </c>
      <c r="E8639" s="2">
        <v>28</v>
      </c>
      <c r="F8639" s="2">
        <v>2</v>
      </c>
      <c r="G8639" s="2" t="s">
        <v>13</v>
      </c>
      <c r="I8639" s="2" t="s">
        <v>4892</v>
      </c>
    </row>
    <row r="8640" spans="1:9" x14ac:dyDescent="0.2">
      <c r="A8640" s="2" t="s">
        <v>3250</v>
      </c>
      <c r="B8640" s="2" t="s">
        <v>1065</v>
      </c>
      <c r="C8640" s="2">
        <v>716.97360000000003</v>
      </c>
      <c r="D8640" s="2">
        <f>HYPERLINK("http://mcb-m6.bioreg.kyushu-u.ac.jp/M3/20110502/F51175/1826/1", 43.43)</f>
        <v>43.43</v>
      </c>
      <c r="E8640" s="2">
        <v>28.89</v>
      </c>
      <c r="F8640" s="2">
        <v>2</v>
      </c>
      <c r="G8640" s="2" t="s">
        <v>13</v>
      </c>
      <c r="I8640" s="2" t="s">
        <v>4892</v>
      </c>
    </row>
    <row r="8641" spans="1:9" x14ac:dyDescent="0.2">
      <c r="A8641" s="2" t="s">
        <v>3250</v>
      </c>
      <c r="B8641" s="2" t="s">
        <v>311</v>
      </c>
      <c r="C8641" s="2">
        <v>599.0231</v>
      </c>
      <c r="D8641" s="2">
        <f>HYPERLINK("http://mcb-m6.bioreg.kyushu-u.ac.jp/M3/20110502/F51172/1271/1", 43.99)</f>
        <v>43.99</v>
      </c>
      <c r="E8641" s="2">
        <v>21.42</v>
      </c>
      <c r="F8641" s="2">
        <v>2</v>
      </c>
      <c r="G8641" s="2" t="s">
        <v>13</v>
      </c>
    </row>
    <row r="8642" spans="1:9" x14ac:dyDescent="0.2">
      <c r="A8642" s="2" t="s">
        <v>3250</v>
      </c>
      <c r="B8642" s="2" t="s">
        <v>102</v>
      </c>
      <c r="C8642" s="2">
        <v>608.54570000000001</v>
      </c>
      <c r="D8642" s="2">
        <f>HYPERLINK("http://mcb-m6.bioreg.kyushu-u.ac.jp/M3/20110502/F51172/1324/1", 44.05)</f>
        <v>44.05</v>
      </c>
      <c r="E8642" s="2">
        <v>23.44</v>
      </c>
      <c r="F8642" s="2">
        <v>2</v>
      </c>
      <c r="G8642" s="2" t="s">
        <v>13</v>
      </c>
    </row>
    <row r="8643" spans="1:9" x14ac:dyDescent="0.2">
      <c r="A8643" s="2" t="s">
        <v>3250</v>
      </c>
      <c r="B8643" s="2" t="s">
        <v>77</v>
      </c>
      <c r="C8643" s="2">
        <v>574.96870000000001</v>
      </c>
      <c r="D8643" s="2">
        <f>HYPERLINK("http://mcb-m6.bioreg.kyushu-u.ac.jp/M3/20110502/F51187/1023/1", 44.09)</f>
        <v>44.09</v>
      </c>
      <c r="E8643" s="2">
        <v>26.65</v>
      </c>
      <c r="F8643" s="2">
        <v>2</v>
      </c>
      <c r="G8643" s="2" t="s">
        <v>13</v>
      </c>
    </row>
    <row r="8644" spans="1:9" x14ac:dyDescent="0.2">
      <c r="A8644" s="2" t="s">
        <v>3250</v>
      </c>
      <c r="B8644" s="2" t="s">
        <v>561</v>
      </c>
      <c r="C8644" s="2">
        <v>1307.904</v>
      </c>
      <c r="D8644" s="2">
        <f>HYPERLINK("http://mcb-m6.bioreg.kyushu-u.ac.jp/M3/20110502/F51189/1362/1", 44.52)</f>
        <v>44.52</v>
      </c>
      <c r="E8644" s="2">
        <v>32.36</v>
      </c>
      <c r="F8644" s="2">
        <v>1</v>
      </c>
      <c r="G8644" s="2" t="s">
        <v>13</v>
      </c>
    </row>
    <row r="8645" spans="1:9" x14ac:dyDescent="0.2">
      <c r="A8645" s="2" t="s">
        <v>3250</v>
      </c>
      <c r="B8645" s="2" t="s">
        <v>102</v>
      </c>
      <c r="C8645" s="2">
        <v>608.50369999999998</v>
      </c>
      <c r="D8645" s="2">
        <f>HYPERLINK("http://mcb-m6.bioreg.kyushu-u.ac.jp/M3/20110502/F51173/1092/1", 45.19)</f>
        <v>45.19</v>
      </c>
      <c r="E8645" s="2">
        <v>28.15</v>
      </c>
      <c r="F8645" s="2">
        <v>2</v>
      </c>
      <c r="G8645" s="2" t="s">
        <v>13</v>
      </c>
    </row>
    <row r="8646" spans="1:9" x14ac:dyDescent="0.2">
      <c r="A8646" s="2" t="s">
        <v>3250</v>
      </c>
      <c r="B8646" s="2" t="s">
        <v>365</v>
      </c>
      <c r="C8646" s="2">
        <v>849.13210000000004</v>
      </c>
      <c r="D8646" s="2">
        <f>HYPERLINK("http://mcb-m6.bioreg.kyushu-u.ac.jp/M3/20110502/F51187/2126/1", 46.13)</f>
        <v>46.13</v>
      </c>
      <c r="E8646" s="2">
        <v>33.450000000000003</v>
      </c>
      <c r="F8646" s="2">
        <v>2</v>
      </c>
      <c r="G8646" s="2" t="s">
        <v>13</v>
      </c>
    </row>
    <row r="8647" spans="1:9" x14ac:dyDescent="0.2">
      <c r="A8647" s="2" t="s">
        <v>3250</v>
      </c>
      <c r="B8647" s="2" t="s">
        <v>77</v>
      </c>
      <c r="C8647" s="2">
        <v>1148.7539999999999</v>
      </c>
      <c r="D8647" s="2">
        <f>HYPERLINK("http://mcb-m6.bioreg.kyushu-u.ac.jp/M3/20110502/F51175/1257/1", 46.54)</f>
        <v>46.54</v>
      </c>
      <c r="E8647" s="2">
        <v>24.83</v>
      </c>
      <c r="F8647" s="2">
        <v>1</v>
      </c>
      <c r="G8647" s="2" t="s">
        <v>13</v>
      </c>
    </row>
    <row r="8648" spans="1:9" x14ac:dyDescent="0.2">
      <c r="A8648" s="2" t="s">
        <v>3250</v>
      </c>
      <c r="B8648" s="2" t="s">
        <v>481</v>
      </c>
      <c r="C8648" s="2">
        <v>1417.902</v>
      </c>
      <c r="D8648" s="2">
        <f>HYPERLINK("http://mcb-m6.bioreg.kyushu-u.ac.jp/M3/20110502/F51173/1609/1", 46.86)</f>
        <v>46.86</v>
      </c>
      <c r="E8648" s="2">
        <v>16.87</v>
      </c>
      <c r="F8648" s="2">
        <v>1</v>
      </c>
      <c r="G8648" s="2" t="s">
        <v>13</v>
      </c>
      <c r="I8648" s="2" t="s">
        <v>4898</v>
      </c>
    </row>
    <row r="8649" spans="1:9" x14ac:dyDescent="0.2">
      <c r="A8649" s="2" t="s">
        <v>3250</v>
      </c>
      <c r="B8649" s="2" t="s">
        <v>772</v>
      </c>
      <c r="C8649" s="2">
        <v>596.01260000000002</v>
      </c>
      <c r="D8649" s="2">
        <f>HYPERLINK("http://mcb-m6.bioreg.kyushu-u.ac.jp/M3/20110502/F51189/1168/1", 47.25)</f>
        <v>47.25</v>
      </c>
      <c r="E8649" s="2">
        <v>19.22</v>
      </c>
      <c r="F8649" s="2">
        <v>2</v>
      </c>
      <c r="G8649" s="2" t="s">
        <v>13</v>
      </c>
    </row>
    <row r="8650" spans="1:9" x14ac:dyDescent="0.2">
      <c r="A8650" s="2" t="s">
        <v>3250</v>
      </c>
      <c r="B8650" s="2" t="s">
        <v>365</v>
      </c>
      <c r="C8650" s="2">
        <v>849.23019999999997</v>
      </c>
      <c r="D8650" s="2">
        <f>HYPERLINK("http://mcb-m6.bioreg.kyushu-u.ac.jp/M3/20110502/F51172/2866/1", 47.85)</f>
        <v>47.85</v>
      </c>
      <c r="E8650" s="2">
        <v>27</v>
      </c>
      <c r="F8650" s="2">
        <v>2</v>
      </c>
      <c r="G8650" s="2" t="s">
        <v>13</v>
      </c>
    </row>
    <row r="8651" spans="1:9" x14ac:dyDescent="0.2">
      <c r="A8651" s="2" t="s">
        <v>3250</v>
      </c>
      <c r="B8651" s="2" t="s">
        <v>311</v>
      </c>
      <c r="C8651" s="2">
        <v>1197.7329999999999</v>
      </c>
      <c r="D8651" s="2">
        <f>HYPERLINK("http://mcb-m6.bioreg.kyushu-u.ac.jp/M3/20110502/F51175/1371/1", 48.02)</f>
        <v>48.02</v>
      </c>
      <c r="E8651" s="2">
        <v>23.08</v>
      </c>
      <c r="F8651" s="2">
        <v>1</v>
      </c>
      <c r="G8651" s="2" t="s">
        <v>13</v>
      </c>
    </row>
    <row r="8652" spans="1:9" x14ac:dyDescent="0.2">
      <c r="A8652" s="2" t="s">
        <v>3250</v>
      </c>
      <c r="B8652" s="2" t="s">
        <v>311</v>
      </c>
      <c r="C8652" s="2">
        <v>598.92070000000001</v>
      </c>
      <c r="D8652" s="2">
        <f>HYPERLINK("http://mcb-m6.bioreg.kyushu-u.ac.jp/M3/20110502/F51170/1426/1", 48.03)</f>
        <v>48.03</v>
      </c>
      <c r="E8652" s="2">
        <v>25.63</v>
      </c>
      <c r="F8652" s="2">
        <v>2</v>
      </c>
      <c r="G8652" s="2" t="s">
        <v>13</v>
      </c>
    </row>
    <row r="8653" spans="1:9" x14ac:dyDescent="0.2">
      <c r="A8653" s="2" t="s">
        <v>3250</v>
      </c>
      <c r="B8653" s="2" t="s">
        <v>365</v>
      </c>
      <c r="C8653" s="2">
        <v>849.48170000000005</v>
      </c>
      <c r="D8653" s="2">
        <f>HYPERLINK("http://mcb-m6.bioreg.kyushu-u.ac.jp/M3/20110502/F51167/2212/1", 48.65)</f>
        <v>48.65</v>
      </c>
      <c r="E8653" s="2">
        <v>31.41</v>
      </c>
      <c r="F8653" s="2">
        <v>2</v>
      </c>
      <c r="G8653" s="2" t="s">
        <v>13</v>
      </c>
    </row>
    <row r="8654" spans="1:9" x14ac:dyDescent="0.2">
      <c r="A8654" s="2" t="s">
        <v>3250</v>
      </c>
      <c r="B8654" s="2" t="s">
        <v>561</v>
      </c>
      <c r="C8654" s="2">
        <v>662.41920000000005</v>
      </c>
      <c r="D8654" s="2">
        <f>HYPERLINK("http://mcb-m6.bioreg.kyushu-u.ac.jp/M3/20110502/F51189/1387/1", 49.03)</f>
        <v>49.03</v>
      </c>
      <c r="E8654" s="2">
        <v>34.43</v>
      </c>
      <c r="F8654" s="2">
        <v>2</v>
      </c>
      <c r="G8654" s="2" t="s">
        <v>13</v>
      </c>
      <c r="H8654" s="2" t="s">
        <v>4919</v>
      </c>
    </row>
    <row r="8655" spans="1:9" x14ac:dyDescent="0.2">
      <c r="A8655" s="2" t="s">
        <v>3250</v>
      </c>
      <c r="B8655" s="2" t="s">
        <v>481</v>
      </c>
      <c r="C8655" s="2">
        <v>709.52560000000005</v>
      </c>
      <c r="D8655" s="2">
        <f>HYPERLINK("http://mcb-m6.bioreg.kyushu-u.ac.jp/M3/20110502/F51165/1997/1", 49.7)</f>
        <v>49.7</v>
      </c>
      <c r="E8655" s="2">
        <v>27.73</v>
      </c>
      <c r="F8655" s="2">
        <v>2</v>
      </c>
      <c r="G8655" s="2" t="s">
        <v>13</v>
      </c>
      <c r="I8655" s="2" t="s">
        <v>4898</v>
      </c>
    </row>
    <row r="8656" spans="1:9" x14ac:dyDescent="0.2">
      <c r="A8656" s="2" t="s">
        <v>3250</v>
      </c>
      <c r="B8656" s="2" t="s">
        <v>772</v>
      </c>
      <c r="C8656" s="2">
        <v>1191.037</v>
      </c>
      <c r="D8656" s="2">
        <f>HYPERLINK("http://mcb-m6.bioreg.kyushu-u.ac.jp/M3/20110502/F51172/1254/1", 50.03)</f>
        <v>50.03</v>
      </c>
      <c r="E8656" s="2">
        <v>26.93</v>
      </c>
      <c r="F8656" s="2">
        <v>1</v>
      </c>
      <c r="G8656" s="2" t="s">
        <v>13</v>
      </c>
    </row>
    <row r="8657" spans="1:9" x14ac:dyDescent="0.2">
      <c r="A8657" s="2" t="s">
        <v>3250</v>
      </c>
      <c r="B8657" s="2" t="s">
        <v>1065</v>
      </c>
      <c r="C8657" s="2">
        <v>716.99469999999997</v>
      </c>
      <c r="D8657" s="2">
        <f>HYPERLINK("http://mcb-m6.bioreg.kyushu-u.ac.jp/M3/20110502/F51174/1865/1", 50.65)</f>
        <v>50.65</v>
      </c>
      <c r="E8657" s="2">
        <v>35.83</v>
      </c>
      <c r="F8657" s="2">
        <v>2</v>
      </c>
      <c r="G8657" s="2" t="s">
        <v>13</v>
      </c>
      <c r="I8657" s="2" t="s">
        <v>4892</v>
      </c>
    </row>
    <row r="8658" spans="1:9" x14ac:dyDescent="0.2">
      <c r="A8658" s="2" t="s">
        <v>3250</v>
      </c>
      <c r="B8658" s="2" t="s">
        <v>481</v>
      </c>
      <c r="C8658" s="2">
        <v>1417.848</v>
      </c>
      <c r="D8658" s="2">
        <f>HYPERLINK("http://mcb-m6.bioreg.kyushu-u.ac.jp/M3/20110502/F51175/1775/1", 50.8)</f>
        <v>50.8</v>
      </c>
      <c r="E8658" s="2">
        <v>13.2</v>
      </c>
      <c r="F8658" s="2">
        <v>1</v>
      </c>
      <c r="G8658" s="2" t="s">
        <v>13</v>
      </c>
      <c r="I8658" s="2" t="s">
        <v>4898</v>
      </c>
    </row>
    <row r="8659" spans="1:9" x14ac:dyDescent="0.2">
      <c r="A8659" s="2" t="s">
        <v>3250</v>
      </c>
      <c r="B8659" s="2" t="s">
        <v>77</v>
      </c>
      <c r="C8659" s="2">
        <v>1148.7370000000001</v>
      </c>
      <c r="D8659" s="2">
        <f>HYPERLINK("http://mcb-m6.bioreg.kyushu-u.ac.jp/M3/20110502/F51171/1325/1", 50.88)</f>
        <v>50.88</v>
      </c>
      <c r="E8659" s="2">
        <v>30.33</v>
      </c>
      <c r="F8659" s="2">
        <v>1</v>
      </c>
      <c r="G8659" s="2" t="s">
        <v>13</v>
      </c>
    </row>
    <row r="8660" spans="1:9" x14ac:dyDescent="0.2">
      <c r="A8660" s="2" t="s">
        <v>3250</v>
      </c>
      <c r="B8660" s="2" t="s">
        <v>561</v>
      </c>
      <c r="C8660" s="2">
        <v>662.36869999999999</v>
      </c>
      <c r="D8660" s="2">
        <f>HYPERLINK("http://mcb-m6.bioreg.kyushu-u.ac.jp/M3/20110502/F51167/1816/1", 51.25)</f>
        <v>51.25</v>
      </c>
      <c r="E8660" s="2">
        <v>30.46</v>
      </c>
      <c r="F8660" s="2">
        <v>2</v>
      </c>
      <c r="G8660" s="2" t="s">
        <v>13</v>
      </c>
      <c r="H8660" s="2" t="s">
        <v>4919</v>
      </c>
    </row>
    <row r="8661" spans="1:9" x14ac:dyDescent="0.2">
      <c r="A8661" s="2" t="s">
        <v>3250</v>
      </c>
      <c r="B8661" s="2" t="s">
        <v>90</v>
      </c>
      <c r="C8661" s="2">
        <v>717.09220000000005</v>
      </c>
      <c r="D8661" s="2">
        <f>HYPERLINK("http://mcb-m6.bioreg.kyushu-u.ac.jp/M3/20110502/F51167/1943/1", 51.4)</f>
        <v>51.4</v>
      </c>
      <c r="E8661" s="2">
        <v>35.22</v>
      </c>
      <c r="F8661" s="2">
        <v>2</v>
      </c>
      <c r="G8661" s="2" t="s">
        <v>13</v>
      </c>
    </row>
    <row r="8662" spans="1:9" x14ac:dyDescent="0.2">
      <c r="A8662" s="2" t="s">
        <v>3250</v>
      </c>
      <c r="B8662" s="2" t="s">
        <v>175</v>
      </c>
      <c r="C8662" s="2">
        <v>784.62459999999999</v>
      </c>
      <c r="D8662" s="2">
        <f>HYPERLINK("http://mcb-m6.bioreg.kyushu-u.ac.jp/M3/20110502/F51189/2025/1", 51.54)</f>
        <v>51.54</v>
      </c>
      <c r="E8662" s="2">
        <v>34.53</v>
      </c>
      <c r="F8662" s="2">
        <v>2</v>
      </c>
      <c r="G8662" s="2" t="s">
        <v>13</v>
      </c>
      <c r="I8662" s="2" t="s">
        <v>4893</v>
      </c>
    </row>
    <row r="8663" spans="1:9" x14ac:dyDescent="0.2">
      <c r="A8663" s="2" t="s">
        <v>3250</v>
      </c>
      <c r="B8663" s="2" t="s">
        <v>365</v>
      </c>
      <c r="C8663" s="2">
        <v>849.56269999999995</v>
      </c>
      <c r="D8663" s="2">
        <f>HYPERLINK("http://mcb-m6.bioreg.kyushu-u.ac.jp/M3/20110502/F51171/2459/1", 51.89)</f>
        <v>51.89</v>
      </c>
      <c r="E8663" s="2">
        <v>33.99</v>
      </c>
      <c r="F8663" s="2">
        <v>2</v>
      </c>
      <c r="G8663" s="2" t="s">
        <v>13</v>
      </c>
    </row>
    <row r="8664" spans="1:9" x14ac:dyDescent="0.2">
      <c r="A8664" s="2" t="s">
        <v>3250</v>
      </c>
      <c r="B8664" s="2" t="s">
        <v>311</v>
      </c>
      <c r="C8664" s="2">
        <v>599.30619999999999</v>
      </c>
      <c r="D8664" s="2">
        <f>HYPERLINK("http://mcb-m6.bioreg.kyushu-u.ac.jp/M3/20110502/F51173/1048/1", 51.97)</f>
        <v>51.97</v>
      </c>
      <c r="E8664" s="2">
        <v>24.59</v>
      </c>
      <c r="F8664" s="2">
        <v>2</v>
      </c>
      <c r="G8664" s="2" t="s">
        <v>13</v>
      </c>
    </row>
    <row r="8665" spans="1:9" x14ac:dyDescent="0.2">
      <c r="A8665" s="2" t="s">
        <v>3250</v>
      </c>
      <c r="B8665" s="2" t="s">
        <v>561</v>
      </c>
      <c r="C8665" s="2">
        <v>662.4307</v>
      </c>
      <c r="D8665" s="2">
        <f>HYPERLINK("http://mcb-m6.bioreg.kyushu-u.ac.jp/M3/20110502/F51165/1806/1", 52.39)</f>
        <v>52.39</v>
      </c>
      <c r="E8665" s="2">
        <v>38.21</v>
      </c>
      <c r="F8665" s="2">
        <v>2</v>
      </c>
      <c r="G8665" s="2" t="s">
        <v>13</v>
      </c>
      <c r="H8665" s="2" t="s">
        <v>4919</v>
      </c>
    </row>
    <row r="8666" spans="1:9" x14ac:dyDescent="0.2">
      <c r="A8666" s="2" t="s">
        <v>3250</v>
      </c>
      <c r="B8666" s="2" t="s">
        <v>481</v>
      </c>
      <c r="C8666" s="2">
        <v>1417.943</v>
      </c>
      <c r="D8666" s="2">
        <f>HYPERLINK("http://mcb-m6.bioreg.kyushu-u.ac.jp/M3/20110502/F51174/1833/1", 52.68)</f>
        <v>52.68</v>
      </c>
      <c r="E8666" s="2">
        <v>30.53</v>
      </c>
      <c r="F8666" s="2">
        <v>1</v>
      </c>
      <c r="G8666" s="2" t="s">
        <v>13</v>
      </c>
      <c r="I8666" s="2" t="s">
        <v>4898</v>
      </c>
    </row>
    <row r="8667" spans="1:9" x14ac:dyDescent="0.2">
      <c r="A8667" s="2" t="s">
        <v>3250</v>
      </c>
      <c r="B8667" s="2" t="s">
        <v>102</v>
      </c>
      <c r="C8667" s="2">
        <v>608.87019999999995</v>
      </c>
      <c r="D8667" s="2">
        <f>HYPERLINK("http://mcb-m6.bioreg.kyushu-u.ac.jp/M3/20110502/F51168/1581/1", 53.26)</f>
        <v>53.26</v>
      </c>
      <c r="E8667" s="2">
        <v>36.270000000000003</v>
      </c>
      <c r="F8667" s="2">
        <v>2</v>
      </c>
      <c r="G8667" s="2" t="s">
        <v>13</v>
      </c>
    </row>
    <row r="8668" spans="1:9" x14ac:dyDescent="0.2">
      <c r="A8668" s="2" t="s">
        <v>3250</v>
      </c>
      <c r="B8668" s="2" t="s">
        <v>365</v>
      </c>
      <c r="C8668" s="2">
        <v>849.49959999999999</v>
      </c>
      <c r="D8668" s="2">
        <f>HYPERLINK("http://mcb-m6.bioreg.kyushu-u.ac.jp/M3/20110502/F51188/2300/1", 54.05)</f>
        <v>54.05</v>
      </c>
      <c r="E8668" s="2">
        <v>36.93</v>
      </c>
      <c r="F8668" s="2">
        <v>2</v>
      </c>
      <c r="G8668" s="2" t="s">
        <v>13</v>
      </c>
    </row>
    <row r="8669" spans="1:9" x14ac:dyDescent="0.2">
      <c r="A8669" s="2" t="s">
        <v>3250</v>
      </c>
      <c r="B8669" s="2" t="s">
        <v>772</v>
      </c>
      <c r="C8669" s="2">
        <v>1190.8219999999999</v>
      </c>
      <c r="D8669" s="2">
        <f>HYPERLINK("http://mcb-m6.bioreg.kyushu-u.ac.jp/M3/20110502/F51189/1165/1", 54.28)</f>
        <v>54.28</v>
      </c>
      <c r="E8669" s="2">
        <v>26.44</v>
      </c>
      <c r="F8669" s="2">
        <v>1</v>
      </c>
      <c r="G8669" s="2" t="s">
        <v>13</v>
      </c>
    </row>
    <row r="8670" spans="1:9" x14ac:dyDescent="0.2">
      <c r="A8670" s="2" t="s">
        <v>3250</v>
      </c>
      <c r="B8670" s="2" t="s">
        <v>772</v>
      </c>
      <c r="C8670" s="2">
        <v>1190.867</v>
      </c>
      <c r="D8670" s="2">
        <f>HYPERLINK("http://mcb-m6.bioreg.kyushu-u.ac.jp/M3/20110502/F51173/1028/1", 54.28)</f>
        <v>54.28</v>
      </c>
      <c r="E8670" s="2">
        <v>20.350000000000001</v>
      </c>
      <c r="F8670" s="2">
        <v>1</v>
      </c>
      <c r="G8670" s="2" t="s">
        <v>13</v>
      </c>
    </row>
    <row r="8671" spans="1:9" x14ac:dyDescent="0.2">
      <c r="A8671" s="2" t="s">
        <v>3250</v>
      </c>
      <c r="B8671" s="2" t="s">
        <v>467</v>
      </c>
      <c r="C8671" s="2">
        <v>691.96770000000004</v>
      </c>
      <c r="D8671" s="2">
        <f>HYPERLINK("http://mcb-m6.bioreg.kyushu-u.ac.jp/M3/20110502/F51170/1826/1", 54.71)</f>
        <v>54.71</v>
      </c>
      <c r="E8671" s="2">
        <v>24.58</v>
      </c>
      <c r="F8671" s="2">
        <v>2</v>
      </c>
      <c r="G8671" s="2" t="s">
        <v>13</v>
      </c>
    </row>
    <row r="8672" spans="1:9" x14ac:dyDescent="0.2">
      <c r="A8672" s="2" t="s">
        <v>3250</v>
      </c>
      <c r="B8672" s="2" t="s">
        <v>77</v>
      </c>
      <c r="C8672" s="2">
        <v>1148.7940000000001</v>
      </c>
      <c r="D8672" s="2">
        <f>HYPERLINK("http://mcb-m6.bioreg.kyushu-u.ac.jp/M3/20110502/F51173/921/1", 55.39)</f>
        <v>55.39</v>
      </c>
      <c r="E8672" s="2">
        <v>22.58</v>
      </c>
      <c r="F8672" s="2">
        <v>1</v>
      </c>
      <c r="G8672" s="2" t="s">
        <v>13</v>
      </c>
    </row>
    <row r="8673" spans="1:9" x14ac:dyDescent="0.2">
      <c r="A8673" s="2" t="s">
        <v>3250</v>
      </c>
      <c r="B8673" s="2" t="s">
        <v>356</v>
      </c>
      <c r="C8673" s="2">
        <v>816.16359999999997</v>
      </c>
      <c r="D8673" s="2">
        <f>HYPERLINK("http://mcb-m6.bioreg.kyushu-u.ac.jp/M3/20110502/F51175/2231/1", 55.66)</f>
        <v>55.66</v>
      </c>
      <c r="E8673" s="2">
        <v>27.19</v>
      </c>
      <c r="F8673" s="2">
        <v>2</v>
      </c>
      <c r="G8673" s="2" t="s">
        <v>13</v>
      </c>
    </row>
    <row r="8674" spans="1:9" x14ac:dyDescent="0.2">
      <c r="A8674" s="2" t="s">
        <v>3250</v>
      </c>
      <c r="B8674" s="2" t="s">
        <v>1065</v>
      </c>
      <c r="C8674" s="2">
        <v>717.00369999999998</v>
      </c>
      <c r="D8674" s="2">
        <f>HYPERLINK("http://mcb-m6.bioreg.kyushu-u.ac.jp/M3/20110502/F51189/1714/1", 55.87)</f>
        <v>55.87</v>
      </c>
      <c r="E8674" s="2">
        <v>11.99</v>
      </c>
      <c r="F8674" s="2">
        <v>2</v>
      </c>
      <c r="G8674" s="2" t="s">
        <v>13</v>
      </c>
      <c r="I8674" s="2" t="s">
        <v>4892</v>
      </c>
    </row>
    <row r="8675" spans="1:9" x14ac:dyDescent="0.2">
      <c r="A8675" s="2" t="s">
        <v>3250</v>
      </c>
      <c r="B8675" s="2" t="s">
        <v>772</v>
      </c>
      <c r="C8675" s="2">
        <v>1190.7860000000001</v>
      </c>
      <c r="D8675" s="2">
        <f>HYPERLINK("http://mcb-m6.bioreg.kyushu-u.ac.jp/M3/20110502/F51175/1349/1", 56.31)</f>
        <v>56.31</v>
      </c>
      <c r="E8675" s="2">
        <v>26.54</v>
      </c>
      <c r="F8675" s="2">
        <v>1</v>
      </c>
      <c r="G8675" s="2" t="s">
        <v>13</v>
      </c>
    </row>
    <row r="8676" spans="1:9" x14ac:dyDescent="0.2">
      <c r="A8676" s="2" t="s">
        <v>3250</v>
      </c>
      <c r="B8676" s="2" t="s">
        <v>543</v>
      </c>
      <c r="C8676" s="2">
        <v>927.44619999999998</v>
      </c>
      <c r="D8676" s="2">
        <f>HYPERLINK("http://mcb-m6.bioreg.kyushu-u.ac.jp/M3/20110502/F51173/2920/1", 56.86)</f>
        <v>56.86</v>
      </c>
      <c r="E8676" s="2">
        <v>35.21</v>
      </c>
      <c r="F8676" s="2">
        <v>2</v>
      </c>
      <c r="G8676" s="2" t="s">
        <v>13</v>
      </c>
    </row>
    <row r="8677" spans="1:9" x14ac:dyDescent="0.2">
      <c r="A8677" s="2" t="s">
        <v>3250</v>
      </c>
      <c r="B8677" s="2" t="s">
        <v>311</v>
      </c>
      <c r="C8677" s="2">
        <v>598.99069999999995</v>
      </c>
      <c r="D8677" s="2">
        <f>HYPERLINK("http://mcb-m6.bioreg.kyushu-u.ac.jp/M3/20110502/F51171/1449/1", 56.92)</f>
        <v>56.92</v>
      </c>
      <c r="E8677" s="2">
        <v>32.14</v>
      </c>
      <c r="F8677" s="2">
        <v>2</v>
      </c>
      <c r="G8677" s="2" t="s">
        <v>13</v>
      </c>
    </row>
    <row r="8678" spans="1:9" x14ac:dyDescent="0.2">
      <c r="A8678" s="2" t="s">
        <v>3250</v>
      </c>
      <c r="B8678" s="2" t="s">
        <v>772</v>
      </c>
      <c r="C8678" s="2">
        <v>1190.874</v>
      </c>
      <c r="D8678" s="2">
        <f>HYPERLINK("http://mcb-m6.bioreg.kyushu-u.ac.jp/M3/20110502/F51174/1474/1", 57.31)</f>
        <v>57.31</v>
      </c>
      <c r="E8678" s="2">
        <v>30.49</v>
      </c>
      <c r="F8678" s="2">
        <v>1</v>
      </c>
      <c r="G8678" s="2" t="s">
        <v>13</v>
      </c>
    </row>
    <row r="8679" spans="1:9" x14ac:dyDescent="0.2">
      <c r="A8679" s="2" t="s">
        <v>3250</v>
      </c>
      <c r="B8679" s="2" t="s">
        <v>365</v>
      </c>
      <c r="C8679" s="2">
        <v>849.09720000000004</v>
      </c>
      <c r="D8679" s="2">
        <f>HYPERLINK("http://mcb-m6.bioreg.kyushu-u.ac.jp/M3/20110502/F51175/2338/1", 57.76)</f>
        <v>57.76</v>
      </c>
      <c r="E8679" s="2">
        <v>41.1</v>
      </c>
      <c r="F8679" s="2">
        <v>2</v>
      </c>
      <c r="G8679" s="2" t="s">
        <v>13</v>
      </c>
    </row>
    <row r="8680" spans="1:9" x14ac:dyDescent="0.2">
      <c r="A8680" s="2" t="s">
        <v>3250</v>
      </c>
      <c r="B8680" s="2" t="s">
        <v>311</v>
      </c>
      <c r="C8680" s="2">
        <v>606.88419999999996</v>
      </c>
      <c r="D8680" s="2">
        <f>HYPERLINK("http://mcb-m6.bioreg.kyushu-u.ac.jp/M3/20110502/F51189/1204/1", 58.12)</f>
        <v>58.12</v>
      </c>
      <c r="E8680" s="2">
        <v>31.94</v>
      </c>
      <c r="F8680" s="2">
        <v>2</v>
      </c>
      <c r="G8680" s="2" t="s">
        <v>13</v>
      </c>
      <c r="H8680" s="2" t="s">
        <v>4908</v>
      </c>
    </row>
    <row r="8681" spans="1:9" x14ac:dyDescent="0.2">
      <c r="A8681" s="2" t="s">
        <v>3250</v>
      </c>
      <c r="B8681" s="2" t="s">
        <v>77</v>
      </c>
      <c r="C8681" s="2">
        <v>575.00959999999998</v>
      </c>
      <c r="D8681" s="2">
        <f>HYPERLINK("http://mcb-m6.bioreg.kyushu-u.ac.jp/M3/20110502/F51180/984/1", 58.7)</f>
        <v>58.7</v>
      </c>
      <c r="E8681" s="2">
        <v>28.66</v>
      </c>
      <c r="F8681" s="2">
        <v>2</v>
      </c>
      <c r="G8681" s="2" t="s">
        <v>13</v>
      </c>
    </row>
    <row r="8682" spans="1:9" x14ac:dyDescent="0.2">
      <c r="A8682" s="2" t="s">
        <v>3250</v>
      </c>
      <c r="B8682" s="2" t="s">
        <v>90</v>
      </c>
      <c r="C8682" s="2">
        <v>717.17169999999999</v>
      </c>
      <c r="D8682" s="2">
        <f>HYPERLINK("http://mcb-m6.bioreg.kyushu-u.ac.jp/M3/20110502/F51189/1717/1", 59.37)</f>
        <v>59.37</v>
      </c>
      <c r="E8682" s="2">
        <v>33</v>
      </c>
      <c r="F8682" s="2">
        <v>2</v>
      </c>
      <c r="G8682" s="2" t="s">
        <v>13</v>
      </c>
    </row>
    <row r="8683" spans="1:9" x14ac:dyDescent="0.2">
      <c r="A8683" s="2" t="s">
        <v>3250</v>
      </c>
      <c r="B8683" s="2" t="s">
        <v>1255</v>
      </c>
      <c r="C8683" s="2">
        <v>1273.829</v>
      </c>
      <c r="D8683" s="2">
        <f>HYPERLINK("http://mcb-m6.bioreg.kyushu-u.ac.jp/M3/20110502/F51188/3162/1", 60.69)</f>
        <v>60.69</v>
      </c>
      <c r="E8683" s="2">
        <v>53.04</v>
      </c>
      <c r="F8683" s="2">
        <v>2</v>
      </c>
      <c r="G8683" s="2" t="s">
        <v>13</v>
      </c>
      <c r="I8683" s="2" t="s">
        <v>4906</v>
      </c>
    </row>
    <row r="8684" spans="1:9" x14ac:dyDescent="0.2">
      <c r="A8684" s="2" t="s">
        <v>3250</v>
      </c>
      <c r="B8684" s="2" t="s">
        <v>561</v>
      </c>
      <c r="C8684" s="2">
        <v>654.44759999999997</v>
      </c>
      <c r="D8684" s="2">
        <f>HYPERLINK("http://mcb-m6.bioreg.kyushu-u.ac.jp/M3/20110502/F51187/1327/1", 61.63)</f>
        <v>61.63</v>
      </c>
      <c r="E8684" s="2">
        <v>44.73</v>
      </c>
      <c r="F8684" s="2">
        <v>2</v>
      </c>
      <c r="G8684" s="2" t="s">
        <v>13</v>
      </c>
    </row>
    <row r="8685" spans="1:9" x14ac:dyDescent="0.2">
      <c r="A8685" s="2" t="s">
        <v>3250</v>
      </c>
      <c r="B8685" s="2" t="s">
        <v>90</v>
      </c>
      <c r="C8685" s="2">
        <v>717.2672</v>
      </c>
      <c r="D8685" s="2">
        <f>HYPERLINK("http://mcb-m6.bioreg.kyushu-u.ac.jp/M3/20110502/F51167/1944/1", 61.89)</f>
        <v>61.89</v>
      </c>
      <c r="E8685" s="2">
        <v>40.35</v>
      </c>
      <c r="F8685" s="2">
        <v>2</v>
      </c>
      <c r="G8685" s="2" t="s">
        <v>13</v>
      </c>
    </row>
    <row r="8686" spans="1:9" x14ac:dyDescent="0.2">
      <c r="A8686" s="2" t="s">
        <v>3250</v>
      </c>
      <c r="B8686" s="2" t="s">
        <v>1255</v>
      </c>
      <c r="C8686" s="2">
        <v>1274.19</v>
      </c>
      <c r="D8686" s="2">
        <f>HYPERLINK("http://mcb-m6.bioreg.kyushu-u.ac.jp/M3/20110502/F51172/4289/1", 62.09)</f>
        <v>62.09</v>
      </c>
      <c r="E8686" s="2">
        <v>50.59</v>
      </c>
      <c r="F8686" s="2">
        <v>2</v>
      </c>
      <c r="G8686" s="2" t="s">
        <v>13</v>
      </c>
      <c r="I8686" s="2" t="s">
        <v>4906</v>
      </c>
    </row>
    <row r="8687" spans="1:9" x14ac:dyDescent="0.2">
      <c r="A8687" s="2" t="s">
        <v>3250</v>
      </c>
      <c r="B8687" s="2" t="s">
        <v>561</v>
      </c>
      <c r="C8687" s="2">
        <v>1323.825</v>
      </c>
      <c r="D8687" s="2">
        <f>HYPERLINK("http://mcb-m6.bioreg.kyushu-u.ac.jp/M3/20110502/F51189/1386/1", 62.66)</f>
        <v>62.66</v>
      </c>
      <c r="E8687" s="2">
        <v>40.200000000000003</v>
      </c>
      <c r="F8687" s="2">
        <v>1</v>
      </c>
      <c r="G8687" s="2" t="s">
        <v>13</v>
      </c>
      <c r="H8687" s="2" t="s">
        <v>4919</v>
      </c>
    </row>
    <row r="8688" spans="1:9" x14ac:dyDescent="0.2">
      <c r="A8688" s="2" t="s">
        <v>3250</v>
      </c>
      <c r="B8688" s="2" t="s">
        <v>365</v>
      </c>
      <c r="C8688" s="2">
        <v>849.56320000000005</v>
      </c>
      <c r="D8688" s="2">
        <f>HYPERLINK("http://mcb-m6.bioreg.kyushu-u.ac.jp/M3/20110502/F51166/2276/1", 62.92)</f>
        <v>62.92</v>
      </c>
      <c r="E8688" s="2">
        <v>47.94</v>
      </c>
      <c r="F8688" s="2">
        <v>2</v>
      </c>
      <c r="G8688" s="2" t="s">
        <v>13</v>
      </c>
    </row>
    <row r="8689" spans="1:9" x14ac:dyDescent="0.2">
      <c r="A8689" s="2" t="s">
        <v>3250</v>
      </c>
      <c r="B8689" s="2" t="s">
        <v>772</v>
      </c>
      <c r="C8689" s="2">
        <v>595.88620000000003</v>
      </c>
      <c r="D8689" s="2">
        <f>HYPERLINK("http://mcb-m6.bioreg.kyushu-u.ac.jp/M3/20110502/F51175/1348/1", 63.48)</f>
        <v>63.48</v>
      </c>
      <c r="E8689" s="2">
        <v>46.49</v>
      </c>
      <c r="F8689" s="2">
        <v>2</v>
      </c>
      <c r="G8689" s="2" t="s">
        <v>13</v>
      </c>
    </row>
    <row r="8690" spans="1:9" x14ac:dyDescent="0.2">
      <c r="A8690" s="2" t="s">
        <v>3250</v>
      </c>
      <c r="B8690" s="2" t="s">
        <v>90</v>
      </c>
      <c r="C8690" s="2">
        <v>717.08069999999998</v>
      </c>
      <c r="D8690" s="2">
        <f>HYPERLINK("http://mcb-m6.bioreg.kyushu-u.ac.jp/M3/20110502/F51188/1729/1", 64.36)</f>
        <v>64.36</v>
      </c>
      <c r="E8690" s="2">
        <v>45.46</v>
      </c>
      <c r="F8690" s="2">
        <v>2</v>
      </c>
      <c r="G8690" s="2" t="s">
        <v>13</v>
      </c>
    </row>
    <row r="8691" spans="1:9" x14ac:dyDescent="0.2">
      <c r="A8691" s="2" t="s">
        <v>3250</v>
      </c>
      <c r="B8691" s="2" t="s">
        <v>90</v>
      </c>
      <c r="C8691" s="2">
        <v>717.44269999999995</v>
      </c>
      <c r="D8691" s="2">
        <f>HYPERLINK("http://mcb-m6.bioreg.kyushu-u.ac.jp/M3/20110502/F51169/2019/1", 64.74)</f>
        <v>64.739999999999995</v>
      </c>
      <c r="E8691" s="2">
        <v>43.29</v>
      </c>
      <c r="F8691" s="2">
        <v>2</v>
      </c>
      <c r="G8691" s="2" t="s">
        <v>13</v>
      </c>
    </row>
    <row r="8692" spans="1:9" x14ac:dyDescent="0.2">
      <c r="A8692" s="2" t="s">
        <v>3250</v>
      </c>
      <c r="B8692" s="2" t="s">
        <v>467</v>
      </c>
      <c r="C8692" s="2">
        <v>692.0856</v>
      </c>
      <c r="D8692" s="2">
        <f>HYPERLINK("http://mcb-m6.bioreg.kyushu-u.ac.jp/M3/20110502/F51173/1520/1", 65.16)</f>
        <v>65.16</v>
      </c>
      <c r="E8692" s="2">
        <v>39.11</v>
      </c>
      <c r="F8692" s="2">
        <v>2</v>
      </c>
      <c r="G8692" s="2" t="s">
        <v>13</v>
      </c>
    </row>
    <row r="8693" spans="1:9" x14ac:dyDescent="0.2">
      <c r="A8693" s="2" t="s">
        <v>3250</v>
      </c>
      <c r="B8693" s="2" t="s">
        <v>561</v>
      </c>
      <c r="C8693" s="2">
        <v>662.45320000000004</v>
      </c>
      <c r="D8693" s="2">
        <f>HYPERLINK("http://mcb-m6.bioreg.kyushu-u.ac.jp/M3/20110502/F51189/1388/1", 65.31)</f>
        <v>65.31</v>
      </c>
      <c r="E8693" s="2">
        <v>46.86</v>
      </c>
      <c r="F8693" s="2">
        <v>2</v>
      </c>
      <c r="G8693" s="2" t="s">
        <v>13</v>
      </c>
      <c r="H8693" s="2" t="s">
        <v>4919</v>
      </c>
    </row>
    <row r="8694" spans="1:9" x14ac:dyDescent="0.2">
      <c r="A8694" s="2" t="s">
        <v>3250</v>
      </c>
      <c r="B8694" s="2" t="s">
        <v>77</v>
      </c>
      <c r="C8694" s="2">
        <v>574.85019999999997</v>
      </c>
      <c r="D8694" s="2">
        <f>HYPERLINK("http://mcb-m6.bioreg.kyushu-u.ac.jp/M3/20110502/F51169/1475/1", 66.17)</f>
        <v>66.17</v>
      </c>
      <c r="E8694" s="2">
        <v>44.57</v>
      </c>
      <c r="F8694" s="2">
        <v>2</v>
      </c>
      <c r="G8694" s="2" t="s">
        <v>13</v>
      </c>
    </row>
    <row r="8695" spans="1:9" x14ac:dyDescent="0.2">
      <c r="A8695" s="2" t="s">
        <v>3250</v>
      </c>
      <c r="B8695" s="2" t="s">
        <v>1787</v>
      </c>
      <c r="C8695" s="2">
        <v>588.63670000000002</v>
      </c>
      <c r="D8695" s="2">
        <f>HYPERLINK("http://mcb-m6.bioreg.kyushu-u.ac.jp/M3/20110502/F51187/1072/1", 66.38)</f>
        <v>66.38</v>
      </c>
      <c r="E8695" s="2">
        <v>41.71</v>
      </c>
      <c r="F8695" s="2">
        <v>2</v>
      </c>
      <c r="G8695" s="2" t="s">
        <v>13</v>
      </c>
      <c r="I8695" s="2" t="s">
        <v>4895</v>
      </c>
    </row>
    <row r="8696" spans="1:9" x14ac:dyDescent="0.2">
      <c r="A8696" s="2" t="s">
        <v>3250</v>
      </c>
      <c r="B8696" s="2" t="s">
        <v>481</v>
      </c>
      <c r="C8696" s="2">
        <v>709.49220000000003</v>
      </c>
      <c r="D8696" s="2">
        <f>HYPERLINK("http://mcb-m6.bioreg.kyushu-u.ac.jp/M3/20110502/F51170/1909/1", 67.8)</f>
        <v>67.8</v>
      </c>
      <c r="E8696" s="2">
        <v>44.97</v>
      </c>
      <c r="F8696" s="2">
        <v>2</v>
      </c>
      <c r="G8696" s="2" t="s">
        <v>13</v>
      </c>
      <c r="I8696" s="2" t="s">
        <v>4898</v>
      </c>
    </row>
    <row r="8697" spans="1:9" x14ac:dyDescent="0.2">
      <c r="A8697" s="2" t="s">
        <v>3250</v>
      </c>
      <c r="B8697" s="2" t="s">
        <v>467</v>
      </c>
      <c r="C8697" s="2">
        <v>692.03309999999999</v>
      </c>
      <c r="D8697" s="2">
        <f>HYPERLINK("http://mcb-m6.bioreg.kyushu-u.ac.jp/M3/20110502/F51172/1792/1", 68.05)</f>
        <v>68.05</v>
      </c>
      <c r="E8697" s="2">
        <v>34.44</v>
      </c>
      <c r="F8697" s="2">
        <v>2</v>
      </c>
      <c r="G8697" s="2" t="s">
        <v>13</v>
      </c>
    </row>
    <row r="8698" spans="1:9" x14ac:dyDescent="0.2">
      <c r="A8698" s="2" t="s">
        <v>3250</v>
      </c>
      <c r="B8698" s="2" t="s">
        <v>481</v>
      </c>
      <c r="C8698" s="2">
        <v>709.31569999999999</v>
      </c>
      <c r="D8698" s="2">
        <f>HYPERLINK("http://mcb-m6.bioreg.kyushu-u.ac.jp/M3/20110502/F51166/1982/1", 68.69)</f>
        <v>68.69</v>
      </c>
      <c r="E8698" s="2">
        <v>50.13</v>
      </c>
      <c r="F8698" s="2">
        <v>2</v>
      </c>
      <c r="G8698" s="2" t="s">
        <v>13</v>
      </c>
      <c r="I8698" s="2" t="s">
        <v>4898</v>
      </c>
    </row>
    <row r="8699" spans="1:9" x14ac:dyDescent="0.2">
      <c r="A8699" s="2" t="s">
        <v>3250</v>
      </c>
      <c r="B8699" s="2" t="s">
        <v>481</v>
      </c>
      <c r="C8699" s="2">
        <v>709.56410000000005</v>
      </c>
      <c r="D8699" s="2">
        <f>HYPERLINK("http://mcb-m6.bioreg.kyushu-u.ac.jp/M3/20110502/F51175/1778/1", 68.81)</f>
        <v>68.81</v>
      </c>
      <c r="E8699" s="2">
        <v>46.58</v>
      </c>
      <c r="F8699" s="2">
        <v>2</v>
      </c>
      <c r="G8699" s="2" t="s">
        <v>13</v>
      </c>
      <c r="I8699" s="2" t="s">
        <v>4898</v>
      </c>
    </row>
    <row r="8700" spans="1:9" x14ac:dyDescent="0.2">
      <c r="A8700" s="2" t="s">
        <v>3250</v>
      </c>
      <c r="B8700" s="2" t="s">
        <v>1255</v>
      </c>
      <c r="C8700" s="2">
        <v>1274.068</v>
      </c>
      <c r="D8700" s="2">
        <f>HYPERLINK("http://mcb-m6.bioreg.kyushu-u.ac.jp/M3/20110502/F51171/3366/1", 69.07)</f>
        <v>69.069999999999993</v>
      </c>
      <c r="E8700" s="2">
        <v>60.72</v>
      </c>
      <c r="F8700" s="2">
        <v>2</v>
      </c>
      <c r="G8700" s="2" t="s">
        <v>13</v>
      </c>
      <c r="I8700" s="2" t="s">
        <v>4906</v>
      </c>
    </row>
    <row r="8701" spans="1:9" x14ac:dyDescent="0.2">
      <c r="A8701" s="2" t="s">
        <v>3250</v>
      </c>
      <c r="B8701" s="2" t="s">
        <v>467</v>
      </c>
      <c r="C8701" s="2">
        <v>692.11569999999995</v>
      </c>
      <c r="D8701" s="2">
        <f>HYPERLINK("http://mcb-m6.bioreg.kyushu-u.ac.jp/M3/20110502/F51180/1523/1", 69.24)</f>
        <v>69.239999999999995</v>
      </c>
      <c r="E8701" s="2">
        <v>38.67</v>
      </c>
      <c r="F8701" s="2">
        <v>2</v>
      </c>
      <c r="G8701" s="2" t="s">
        <v>13</v>
      </c>
    </row>
    <row r="8702" spans="1:9" x14ac:dyDescent="0.2">
      <c r="A8702" s="2" t="s">
        <v>3250</v>
      </c>
      <c r="B8702" s="2" t="s">
        <v>1255</v>
      </c>
      <c r="C8702" s="2">
        <v>1274.201</v>
      </c>
      <c r="D8702" s="2">
        <f>HYPERLINK("http://mcb-m6.bioreg.kyushu-u.ac.jp/M3/20110502/F51175/3166/1", 70)</f>
        <v>70</v>
      </c>
      <c r="E8702" s="2">
        <v>58.31</v>
      </c>
      <c r="F8702" s="2">
        <v>2</v>
      </c>
      <c r="G8702" s="2" t="s">
        <v>13</v>
      </c>
      <c r="I8702" s="2" t="s">
        <v>4906</v>
      </c>
    </row>
    <row r="8703" spans="1:9" x14ac:dyDescent="0.2">
      <c r="A8703" s="2" t="s">
        <v>3250</v>
      </c>
      <c r="B8703" s="2" t="s">
        <v>481</v>
      </c>
      <c r="C8703" s="2">
        <v>709.85419999999999</v>
      </c>
      <c r="D8703" s="2">
        <f>HYPERLINK("http://mcb-m6.bioreg.kyushu-u.ac.jp/M3/20110502/F51174/1837/1", 70.67)</f>
        <v>70.67</v>
      </c>
      <c r="E8703" s="2">
        <v>43.61</v>
      </c>
      <c r="F8703" s="2">
        <v>2</v>
      </c>
      <c r="G8703" s="2" t="s">
        <v>13</v>
      </c>
      <c r="I8703" s="2" t="s">
        <v>4898</v>
      </c>
    </row>
    <row r="8704" spans="1:9" x14ac:dyDescent="0.2">
      <c r="A8704" s="2" t="s">
        <v>3250</v>
      </c>
      <c r="B8704" s="2" t="s">
        <v>467</v>
      </c>
      <c r="C8704" s="2">
        <v>1382.7919999999999</v>
      </c>
      <c r="D8704" s="2">
        <f>HYPERLINK("http://mcb-m6.bioreg.kyushu-u.ac.jp/M3/20110502/F51175/1698/1", 71.95)</f>
        <v>71.95</v>
      </c>
      <c r="E8704" s="2">
        <v>52.44</v>
      </c>
      <c r="F8704" s="2">
        <v>1</v>
      </c>
      <c r="G8704" s="2" t="s">
        <v>13</v>
      </c>
    </row>
    <row r="8705" spans="1:9" x14ac:dyDescent="0.2">
      <c r="A8705" s="2" t="s">
        <v>3250</v>
      </c>
      <c r="B8705" s="2" t="s">
        <v>834</v>
      </c>
      <c r="C8705" s="2">
        <v>621.9991</v>
      </c>
      <c r="D8705" s="2">
        <f>HYPERLINK("http://mcb-m6.bioreg.kyushu-u.ac.jp/M3/20110502/F51187/1224/1", 72.09)</f>
        <v>72.09</v>
      </c>
      <c r="E8705" s="2">
        <v>35.700000000000003</v>
      </c>
      <c r="F8705" s="2">
        <v>2</v>
      </c>
      <c r="G8705" s="2" t="s">
        <v>13</v>
      </c>
    </row>
    <row r="8706" spans="1:9" x14ac:dyDescent="0.2">
      <c r="A8706" s="2" t="s">
        <v>3250</v>
      </c>
      <c r="B8706" s="2" t="s">
        <v>467</v>
      </c>
      <c r="C8706" s="2">
        <v>1382.9069999999999</v>
      </c>
      <c r="D8706" s="2">
        <f>HYPERLINK("http://mcb-m6.bioreg.kyushu-u.ac.jp/M3/20110502/F51189/1563/1", 72.82)</f>
        <v>72.819999999999993</v>
      </c>
      <c r="E8706" s="2">
        <v>52.69</v>
      </c>
      <c r="F8706" s="2">
        <v>1</v>
      </c>
      <c r="G8706" s="2" t="s">
        <v>13</v>
      </c>
    </row>
    <row r="8707" spans="1:9" x14ac:dyDescent="0.2">
      <c r="A8707" s="2" t="s">
        <v>3250</v>
      </c>
      <c r="B8707" s="2" t="s">
        <v>1065</v>
      </c>
      <c r="C8707" s="2">
        <v>717.07569999999998</v>
      </c>
      <c r="D8707" s="2">
        <f>HYPERLINK("http://mcb-m6.bioreg.kyushu-u.ac.jp/M3/20110502/F51171/1926/1", 73.34)</f>
        <v>73.34</v>
      </c>
      <c r="E8707" s="2">
        <v>59.94</v>
      </c>
      <c r="F8707" s="2">
        <v>2</v>
      </c>
      <c r="G8707" s="2" t="s">
        <v>13</v>
      </c>
      <c r="I8707" s="2" t="s">
        <v>4892</v>
      </c>
    </row>
    <row r="8708" spans="1:9" x14ac:dyDescent="0.2">
      <c r="A8708" s="2" t="s">
        <v>3250</v>
      </c>
      <c r="B8708" s="2" t="s">
        <v>561</v>
      </c>
      <c r="C8708" s="2">
        <v>662.76260000000002</v>
      </c>
      <c r="D8708" s="2">
        <f>HYPERLINK("http://mcb-m6.bioreg.kyushu-u.ac.jp/M3/20110502/F51174/1645/1", 73.72)</f>
        <v>73.72</v>
      </c>
      <c r="E8708" s="2">
        <v>46.88</v>
      </c>
      <c r="F8708" s="2">
        <v>2</v>
      </c>
      <c r="G8708" s="2" t="s">
        <v>13</v>
      </c>
      <c r="H8708" s="2" t="s">
        <v>4919</v>
      </c>
    </row>
    <row r="8709" spans="1:9" x14ac:dyDescent="0.2">
      <c r="A8709" s="2" t="s">
        <v>3250</v>
      </c>
      <c r="B8709" s="2" t="s">
        <v>561</v>
      </c>
      <c r="C8709" s="2">
        <v>662.92219999999998</v>
      </c>
      <c r="D8709" s="2">
        <f>HYPERLINK("http://mcb-m6.bioreg.kyushu-u.ac.jp/M3/20110502/F51187/1350/1", 73.72)</f>
        <v>73.72</v>
      </c>
      <c r="E8709" s="2">
        <v>53.26</v>
      </c>
      <c r="F8709" s="2">
        <v>2</v>
      </c>
      <c r="G8709" s="2" t="s">
        <v>13</v>
      </c>
      <c r="H8709" s="2" t="s">
        <v>4919</v>
      </c>
    </row>
    <row r="8710" spans="1:9" x14ac:dyDescent="0.2">
      <c r="A8710" s="2" t="s">
        <v>3250</v>
      </c>
      <c r="B8710" s="2" t="s">
        <v>356</v>
      </c>
      <c r="C8710" s="2">
        <v>816.50210000000004</v>
      </c>
      <c r="D8710" s="2">
        <f>HYPERLINK("http://mcb-m6.bioreg.kyushu-u.ac.jp/M3/20110502/F51189/2162/1", 73.8)</f>
        <v>73.8</v>
      </c>
      <c r="E8710" s="2">
        <v>58.52</v>
      </c>
      <c r="F8710" s="2">
        <v>2</v>
      </c>
      <c r="G8710" s="2" t="s">
        <v>13</v>
      </c>
    </row>
    <row r="8711" spans="1:9" x14ac:dyDescent="0.2">
      <c r="A8711" s="2" t="s">
        <v>3250</v>
      </c>
      <c r="B8711" s="2" t="s">
        <v>503</v>
      </c>
      <c r="C8711" s="2">
        <v>816.66359999999997</v>
      </c>
      <c r="D8711" s="2">
        <f>HYPERLINK("http://mcb-m6.bioreg.kyushu-u.ac.jp/M3/20110502/F51189/2164/1", 74.29)</f>
        <v>74.290000000000006</v>
      </c>
      <c r="E8711" s="2">
        <v>58.16</v>
      </c>
      <c r="F8711" s="2">
        <v>2</v>
      </c>
      <c r="G8711" s="2" t="s">
        <v>13</v>
      </c>
      <c r="H8711" s="2" t="s">
        <v>4907</v>
      </c>
    </row>
    <row r="8712" spans="1:9" x14ac:dyDescent="0.2">
      <c r="A8712" s="2" t="s">
        <v>3250</v>
      </c>
      <c r="B8712" s="2" t="s">
        <v>102</v>
      </c>
      <c r="C8712" s="2">
        <v>616.62660000000005</v>
      </c>
      <c r="D8712" s="2">
        <f>HYPERLINK("http://mcb-m6.bioreg.kyushu-u.ac.jp/M3/20110502/F51175/1439/1", 74.41)</f>
        <v>74.41</v>
      </c>
      <c r="E8712" s="2">
        <v>58.85</v>
      </c>
      <c r="F8712" s="2">
        <v>2</v>
      </c>
      <c r="G8712" s="2" t="s">
        <v>13</v>
      </c>
      <c r="H8712" s="2" t="s">
        <v>4900</v>
      </c>
    </row>
    <row r="8713" spans="1:9" x14ac:dyDescent="0.2">
      <c r="A8713" s="2" t="s">
        <v>3250</v>
      </c>
      <c r="B8713" s="2" t="s">
        <v>1065</v>
      </c>
      <c r="C8713" s="2">
        <v>717.08920000000001</v>
      </c>
      <c r="D8713" s="2">
        <f>HYPERLINK("http://mcb-m6.bioreg.kyushu-u.ac.jp/M3/20110502/F51175/1830/1", 74.55)</f>
        <v>74.55</v>
      </c>
      <c r="E8713" s="2">
        <v>49.03</v>
      </c>
      <c r="F8713" s="2">
        <v>2</v>
      </c>
      <c r="G8713" s="2" t="s">
        <v>13</v>
      </c>
      <c r="I8713" s="2" t="s">
        <v>4892</v>
      </c>
    </row>
    <row r="8714" spans="1:9" x14ac:dyDescent="0.2">
      <c r="A8714" s="2" t="s">
        <v>3250</v>
      </c>
      <c r="B8714" s="2" t="s">
        <v>175</v>
      </c>
      <c r="C8714" s="2">
        <v>784.73469999999998</v>
      </c>
      <c r="D8714" s="2">
        <f>HYPERLINK("http://mcb-m6.bioreg.kyushu-u.ac.jp/M3/20110502/F51172/2421/1", 76.83)</f>
        <v>76.83</v>
      </c>
      <c r="E8714" s="2">
        <v>59.3</v>
      </c>
      <c r="F8714" s="2">
        <v>2</v>
      </c>
      <c r="G8714" s="2" t="s">
        <v>13</v>
      </c>
      <c r="I8714" s="2" t="s">
        <v>4893</v>
      </c>
    </row>
    <row r="8715" spans="1:9" x14ac:dyDescent="0.2">
      <c r="A8715" s="2" t="s">
        <v>3250</v>
      </c>
      <c r="B8715" s="2" t="s">
        <v>1065</v>
      </c>
      <c r="C8715" s="2">
        <v>717.18470000000002</v>
      </c>
      <c r="D8715" s="2">
        <f>HYPERLINK("http://mcb-m6.bioreg.kyushu-u.ac.jp/M3/20110502/F51172/1951/1", 76.84)</f>
        <v>76.84</v>
      </c>
      <c r="E8715" s="2">
        <v>61.78</v>
      </c>
      <c r="F8715" s="2">
        <v>2</v>
      </c>
      <c r="G8715" s="2" t="s">
        <v>13</v>
      </c>
      <c r="I8715" s="2" t="s">
        <v>4892</v>
      </c>
    </row>
    <row r="8716" spans="1:9" x14ac:dyDescent="0.2">
      <c r="A8716" s="2" t="s">
        <v>3250</v>
      </c>
      <c r="B8716" s="2" t="s">
        <v>481</v>
      </c>
      <c r="C8716" s="2">
        <v>709.65009999999995</v>
      </c>
      <c r="D8716" s="2">
        <f>HYPERLINK("http://mcb-m6.bioreg.kyushu-u.ac.jp/M3/20110502/F51180/1612/1", 77.06)</f>
        <v>77.06</v>
      </c>
      <c r="E8716" s="2">
        <v>48.79</v>
      </c>
      <c r="F8716" s="2">
        <v>2</v>
      </c>
      <c r="G8716" s="2" t="s">
        <v>13</v>
      </c>
      <c r="I8716" s="2" t="s">
        <v>4898</v>
      </c>
    </row>
    <row r="8717" spans="1:9" x14ac:dyDescent="0.2">
      <c r="A8717" s="2" t="s">
        <v>3250</v>
      </c>
      <c r="B8717" s="2" t="s">
        <v>561</v>
      </c>
      <c r="C8717" s="2">
        <v>662.42219999999998</v>
      </c>
      <c r="D8717" s="2">
        <f>HYPERLINK("http://mcb-m6.bioreg.kyushu-u.ac.jp/M3/20110502/F51166/1894/1", 78.08)</f>
        <v>78.08</v>
      </c>
      <c r="E8717" s="2">
        <v>61.88</v>
      </c>
      <c r="F8717" s="2">
        <v>2</v>
      </c>
      <c r="G8717" s="2" t="s">
        <v>13</v>
      </c>
      <c r="H8717" s="2" t="s">
        <v>4919</v>
      </c>
    </row>
    <row r="8718" spans="1:9" x14ac:dyDescent="0.2">
      <c r="A8718" s="2" t="s">
        <v>3250</v>
      </c>
      <c r="B8718" s="2" t="s">
        <v>77</v>
      </c>
      <c r="C8718" s="2">
        <v>574.86469999999997</v>
      </c>
      <c r="D8718" s="2">
        <f>HYPERLINK("http://mcb-m6.bioreg.kyushu-u.ac.jp/M3/20110502/F51189/1078/1", 78.41)</f>
        <v>78.41</v>
      </c>
      <c r="E8718" s="2">
        <v>43.04</v>
      </c>
      <c r="F8718" s="2">
        <v>2</v>
      </c>
      <c r="G8718" s="2" t="s">
        <v>13</v>
      </c>
    </row>
    <row r="8719" spans="1:9" x14ac:dyDescent="0.2">
      <c r="A8719" s="2" t="s">
        <v>3250</v>
      </c>
      <c r="B8719" s="2" t="s">
        <v>356</v>
      </c>
      <c r="C8719" s="2">
        <v>816.28420000000006</v>
      </c>
      <c r="D8719" s="2">
        <f>HYPERLINK("http://mcb-m6.bioreg.kyushu-u.ac.jp/M3/20110502/F51189/2159/1", 78.53)</f>
        <v>78.53</v>
      </c>
      <c r="E8719" s="2">
        <v>57.58</v>
      </c>
      <c r="F8719" s="2">
        <v>2</v>
      </c>
      <c r="G8719" s="2" t="s">
        <v>13</v>
      </c>
    </row>
    <row r="8720" spans="1:9" x14ac:dyDescent="0.2">
      <c r="A8720" s="2" t="s">
        <v>3250</v>
      </c>
      <c r="B8720" s="2" t="s">
        <v>503</v>
      </c>
      <c r="C8720" s="2">
        <v>808.63319999999999</v>
      </c>
      <c r="D8720" s="2">
        <f>HYPERLINK("http://mcb-m6.bioreg.kyushu-u.ac.jp/M3/20110502/F51173/2229/1", 78.63)</f>
        <v>78.63</v>
      </c>
      <c r="E8720" s="2">
        <v>61.29</v>
      </c>
      <c r="F8720" s="2">
        <v>2</v>
      </c>
      <c r="G8720" s="2" t="s">
        <v>13</v>
      </c>
    </row>
    <row r="8721" spans="1:9" x14ac:dyDescent="0.2">
      <c r="A8721" s="2" t="s">
        <v>3250</v>
      </c>
      <c r="B8721" s="2" t="s">
        <v>102</v>
      </c>
      <c r="C8721" s="2">
        <v>608.18619999999999</v>
      </c>
      <c r="D8721" s="2">
        <f>HYPERLINK("http://mcb-m6.bioreg.kyushu-u.ac.jp/M3/20110502/F51175/1402/1", 79.4)</f>
        <v>79.400000000000006</v>
      </c>
      <c r="E8721" s="2">
        <v>58.57</v>
      </c>
      <c r="F8721" s="2">
        <v>2</v>
      </c>
      <c r="G8721" s="2" t="s">
        <v>13</v>
      </c>
    </row>
    <row r="8722" spans="1:9" x14ac:dyDescent="0.2">
      <c r="A8722" s="2" t="s">
        <v>3250</v>
      </c>
      <c r="B8722" s="2" t="s">
        <v>561</v>
      </c>
      <c r="C8722" s="2">
        <v>662.93219999999997</v>
      </c>
      <c r="D8722" s="2">
        <f>HYPERLINK("http://mcb-m6.bioreg.kyushu-u.ac.jp/M3/20110502/F51171/1650/1", 79.42)</f>
        <v>79.42</v>
      </c>
      <c r="E8722" s="2">
        <v>58.59</v>
      </c>
      <c r="F8722" s="2">
        <v>2</v>
      </c>
      <c r="G8722" s="2" t="s">
        <v>13</v>
      </c>
      <c r="H8722" s="2" t="s">
        <v>4919</v>
      </c>
    </row>
    <row r="8723" spans="1:9" x14ac:dyDescent="0.2">
      <c r="A8723" s="2" t="s">
        <v>3250</v>
      </c>
      <c r="B8723" s="2" t="s">
        <v>102</v>
      </c>
      <c r="C8723" s="2">
        <v>608.3827</v>
      </c>
      <c r="D8723" s="2">
        <f>HYPERLINK("http://mcb-m6.bioreg.kyushu-u.ac.jp/M3/20110502/F51189/1211/1", 79.43)</f>
        <v>79.430000000000007</v>
      </c>
      <c r="E8723" s="2">
        <v>63.96</v>
      </c>
      <c r="F8723" s="2">
        <v>2</v>
      </c>
      <c r="G8723" s="2" t="s">
        <v>13</v>
      </c>
    </row>
    <row r="8724" spans="1:9" x14ac:dyDescent="0.2">
      <c r="A8724" s="2" t="s">
        <v>3250</v>
      </c>
      <c r="B8724" s="2" t="s">
        <v>481</v>
      </c>
      <c r="C8724" s="2">
        <v>709.45719999999994</v>
      </c>
      <c r="D8724" s="2">
        <f>HYPERLINK("http://mcb-m6.bioreg.kyushu-u.ac.jp/M3/20110502/F51167/1921/1", 79.69)</f>
        <v>79.69</v>
      </c>
      <c r="E8724" s="2">
        <v>58.33</v>
      </c>
      <c r="F8724" s="2">
        <v>2</v>
      </c>
      <c r="G8724" s="2" t="s">
        <v>13</v>
      </c>
      <c r="I8724" s="2" t="s">
        <v>4898</v>
      </c>
    </row>
    <row r="8725" spans="1:9" x14ac:dyDescent="0.2">
      <c r="A8725" s="2" t="s">
        <v>3250</v>
      </c>
      <c r="B8725" s="2" t="s">
        <v>481</v>
      </c>
      <c r="C8725" s="2">
        <v>709.50869999999998</v>
      </c>
      <c r="D8725" s="2">
        <f>HYPERLINK("http://mcb-m6.bioreg.kyushu-u.ac.jp/M3/20110502/F51189/1654/1", 80)</f>
        <v>80</v>
      </c>
      <c r="E8725" s="2">
        <v>59.4</v>
      </c>
      <c r="F8725" s="2">
        <v>2</v>
      </c>
      <c r="G8725" s="2" t="s">
        <v>13</v>
      </c>
      <c r="I8725" s="2" t="s">
        <v>4898</v>
      </c>
    </row>
    <row r="8726" spans="1:9" x14ac:dyDescent="0.2">
      <c r="A8726" s="2" t="s">
        <v>3250</v>
      </c>
      <c r="B8726" s="2" t="s">
        <v>467</v>
      </c>
      <c r="C8726" s="2">
        <v>691.90769999999998</v>
      </c>
      <c r="D8726" s="2">
        <f>HYPERLINK("http://mcb-m6.bioreg.kyushu-u.ac.jp/M3/20110502/F51187/1516/1", 80.1)</f>
        <v>80.099999999999994</v>
      </c>
      <c r="E8726" s="2">
        <v>47.38</v>
      </c>
      <c r="F8726" s="2">
        <v>2</v>
      </c>
      <c r="G8726" s="2" t="s">
        <v>13</v>
      </c>
    </row>
    <row r="8727" spans="1:9" x14ac:dyDescent="0.2">
      <c r="A8727" s="2" t="s">
        <v>3250</v>
      </c>
      <c r="B8727" s="2" t="s">
        <v>102</v>
      </c>
      <c r="C8727" s="2">
        <v>616.47670000000005</v>
      </c>
      <c r="D8727" s="2">
        <f>HYPERLINK("http://mcb-m6.bioreg.kyushu-u.ac.jp/M3/20110502/F51189/1250/1", 80.39)</f>
        <v>80.39</v>
      </c>
      <c r="E8727" s="2">
        <v>54.59</v>
      </c>
      <c r="F8727" s="2">
        <v>2</v>
      </c>
      <c r="G8727" s="2" t="s">
        <v>13</v>
      </c>
      <c r="H8727" s="2" t="s">
        <v>4900</v>
      </c>
    </row>
    <row r="8728" spans="1:9" x14ac:dyDescent="0.2">
      <c r="A8728" s="2" t="s">
        <v>3250</v>
      </c>
      <c r="B8728" s="2" t="s">
        <v>481</v>
      </c>
      <c r="C8728" s="2">
        <v>709.76070000000004</v>
      </c>
      <c r="D8728" s="2">
        <f>HYPERLINK("http://mcb-m6.bioreg.kyushu-u.ac.jp/M3/20110502/F51166/1985/1", 80.59)</f>
        <v>80.59</v>
      </c>
      <c r="E8728" s="2">
        <v>59.88</v>
      </c>
      <c r="F8728" s="2">
        <v>2</v>
      </c>
      <c r="G8728" s="2" t="s">
        <v>13</v>
      </c>
      <c r="I8728" s="2" t="s">
        <v>4898</v>
      </c>
    </row>
    <row r="8729" spans="1:9" x14ac:dyDescent="0.2">
      <c r="A8729" s="2" t="s">
        <v>3250</v>
      </c>
      <c r="B8729" s="2" t="s">
        <v>561</v>
      </c>
      <c r="C8729" s="2">
        <v>654.5027</v>
      </c>
      <c r="D8729" s="2">
        <f>HYPERLINK("http://mcb-m6.bioreg.kyushu-u.ac.jp/M3/20110502/F51175/1527/1", 81.75)</f>
        <v>81.75</v>
      </c>
      <c r="E8729" s="2">
        <v>64.14</v>
      </c>
      <c r="F8729" s="2">
        <v>2</v>
      </c>
      <c r="G8729" s="2" t="s">
        <v>13</v>
      </c>
    </row>
    <row r="8730" spans="1:9" x14ac:dyDescent="0.2">
      <c r="A8730" s="2" t="s">
        <v>3250</v>
      </c>
      <c r="B8730" s="2" t="s">
        <v>481</v>
      </c>
      <c r="C8730" s="2">
        <v>709.54169999999999</v>
      </c>
      <c r="D8730" s="2">
        <f>HYPERLINK("http://mcb-m6.bioreg.kyushu-u.ac.jp/M3/20110502/F51187/1606/1", 82.82)</f>
        <v>82.82</v>
      </c>
      <c r="E8730" s="2">
        <v>63.95</v>
      </c>
      <c r="F8730" s="2">
        <v>2</v>
      </c>
      <c r="G8730" s="2" t="s">
        <v>13</v>
      </c>
      <c r="I8730" s="2" t="s">
        <v>4898</v>
      </c>
    </row>
    <row r="8731" spans="1:9" x14ac:dyDescent="0.2">
      <c r="A8731" s="2" t="s">
        <v>3250</v>
      </c>
      <c r="B8731" s="2" t="s">
        <v>481</v>
      </c>
      <c r="C8731" s="2">
        <v>709.48069999999996</v>
      </c>
      <c r="D8731" s="2">
        <f>HYPERLINK("http://mcb-m6.bioreg.kyushu-u.ac.jp/M3/20110502/F51169/1980/1", 82.83)</f>
        <v>82.83</v>
      </c>
      <c r="E8731" s="2">
        <v>60.71</v>
      </c>
      <c r="F8731" s="2">
        <v>2</v>
      </c>
      <c r="G8731" s="2" t="s">
        <v>13</v>
      </c>
      <c r="I8731" s="2" t="s">
        <v>4898</v>
      </c>
    </row>
    <row r="8732" spans="1:9" x14ac:dyDescent="0.2">
      <c r="A8732" s="2" t="s">
        <v>3250</v>
      </c>
      <c r="B8732" s="2" t="s">
        <v>1065</v>
      </c>
      <c r="C8732" s="2">
        <v>717.10919999999999</v>
      </c>
      <c r="D8732" s="2">
        <f>HYPERLINK("http://mcb-m6.bioreg.kyushu-u.ac.jp/M3/20110502/F51173/1661/1", 83.39)</f>
        <v>83.39</v>
      </c>
      <c r="E8732" s="2">
        <v>63.09</v>
      </c>
      <c r="F8732" s="2">
        <v>2</v>
      </c>
      <c r="G8732" s="2" t="s">
        <v>13</v>
      </c>
      <c r="I8732" s="2" t="s">
        <v>4892</v>
      </c>
    </row>
    <row r="8733" spans="1:9" x14ac:dyDescent="0.2">
      <c r="A8733" s="2" t="s">
        <v>3250</v>
      </c>
      <c r="B8733" s="2" t="s">
        <v>481</v>
      </c>
      <c r="C8733" s="2">
        <v>709.52170000000001</v>
      </c>
      <c r="D8733" s="2">
        <f>HYPERLINK("http://mcb-m6.bioreg.kyushu-u.ac.jp/M3/20110502/F51188/1679/1", 83.41)</f>
        <v>83.41</v>
      </c>
      <c r="E8733" s="2">
        <v>56.79</v>
      </c>
      <c r="F8733" s="2">
        <v>2</v>
      </c>
      <c r="G8733" s="2" t="s">
        <v>13</v>
      </c>
      <c r="I8733" s="2" t="s">
        <v>4898</v>
      </c>
    </row>
    <row r="8734" spans="1:9" x14ac:dyDescent="0.2">
      <c r="A8734" s="2" t="s">
        <v>3250</v>
      </c>
      <c r="B8734" s="2" t="s">
        <v>561</v>
      </c>
      <c r="C8734" s="2">
        <v>662.50160000000005</v>
      </c>
      <c r="D8734" s="2">
        <f>HYPERLINK("http://mcb-m6.bioreg.kyushu-u.ac.jp/M3/20110502/F51175/1546/1", 83.44)</f>
        <v>83.44</v>
      </c>
      <c r="E8734" s="2">
        <v>61.56</v>
      </c>
      <c r="F8734" s="2">
        <v>2</v>
      </c>
      <c r="G8734" s="2" t="s">
        <v>13</v>
      </c>
      <c r="H8734" s="2" t="s">
        <v>4919</v>
      </c>
    </row>
    <row r="8735" spans="1:9" x14ac:dyDescent="0.2">
      <c r="A8735" s="2" t="s">
        <v>3250</v>
      </c>
      <c r="B8735" s="2" t="s">
        <v>561</v>
      </c>
      <c r="C8735" s="2">
        <v>662.37869999999998</v>
      </c>
      <c r="D8735" s="2">
        <f>HYPERLINK("http://mcb-m6.bioreg.kyushu-u.ac.jp/M3/20110502/F51187/1349/1", 84.65)</f>
        <v>84.65</v>
      </c>
      <c r="E8735" s="2">
        <v>66.28</v>
      </c>
      <c r="F8735" s="2">
        <v>2</v>
      </c>
      <c r="G8735" s="2" t="s">
        <v>13</v>
      </c>
      <c r="H8735" s="2" t="s">
        <v>4919</v>
      </c>
    </row>
    <row r="8736" spans="1:9" x14ac:dyDescent="0.2">
      <c r="A8736" s="2" t="s">
        <v>3250</v>
      </c>
      <c r="B8736" s="2" t="s">
        <v>467</v>
      </c>
      <c r="C8736" s="2">
        <v>692.1567</v>
      </c>
      <c r="D8736" s="2">
        <f>HYPERLINK("http://mcb-m6.bioreg.kyushu-u.ac.jp/M3/20110502/F51169/1906/1", 84.82)</f>
        <v>84.82</v>
      </c>
      <c r="E8736" s="2">
        <v>53.14</v>
      </c>
      <c r="F8736" s="2">
        <v>2</v>
      </c>
      <c r="G8736" s="2" t="s">
        <v>13</v>
      </c>
    </row>
    <row r="8737" spans="1:9" x14ac:dyDescent="0.2">
      <c r="A8737" s="2" t="s">
        <v>3250</v>
      </c>
      <c r="B8737" s="2" t="s">
        <v>1065</v>
      </c>
      <c r="C8737" s="2">
        <v>717.07759999999996</v>
      </c>
      <c r="D8737" s="2">
        <f>HYPERLINK("http://mcb-m6.bioreg.kyushu-u.ac.jp/M3/20110502/F51189/1716/1", 85.03)</f>
        <v>85.03</v>
      </c>
      <c r="E8737" s="2">
        <v>70.81</v>
      </c>
      <c r="F8737" s="2">
        <v>2</v>
      </c>
      <c r="G8737" s="2" t="s">
        <v>13</v>
      </c>
      <c r="I8737" s="2" t="s">
        <v>4892</v>
      </c>
    </row>
    <row r="8738" spans="1:9" x14ac:dyDescent="0.2">
      <c r="A8738" s="2" t="s">
        <v>3250</v>
      </c>
      <c r="B8738" s="2" t="s">
        <v>90</v>
      </c>
      <c r="C8738" s="2">
        <v>717.19460000000004</v>
      </c>
      <c r="D8738" s="2">
        <f>HYPERLINK("http://mcb-m6.bioreg.kyushu-u.ac.jp/M3/20110502/F51189/1718/1", 85.18)</f>
        <v>85.18</v>
      </c>
      <c r="E8738" s="2">
        <v>64.930000000000007</v>
      </c>
      <c r="F8738" s="2">
        <v>2</v>
      </c>
      <c r="G8738" s="2" t="s">
        <v>13</v>
      </c>
    </row>
    <row r="8739" spans="1:9" x14ac:dyDescent="0.2">
      <c r="A8739" s="2" t="s">
        <v>3250</v>
      </c>
      <c r="B8739" s="2" t="s">
        <v>90</v>
      </c>
      <c r="C8739" s="2">
        <v>717.44709999999998</v>
      </c>
      <c r="D8739" s="2">
        <f>HYPERLINK("http://mcb-m6.bioreg.kyushu-u.ac.jp/M3/20110502/F51189/1720/1", 86.43)</f>
        <v>86.43</v>
      </c>
      <c r="E8739" s="2">
        <v>61.08</v>
      </c>
      <c r="F8739" s="2">
        <v>2</v>
      </c>
      <c r="G8739" s="2" t="s">
        <v>13</v>
      </c>
    </row>
    <row r="8740" spans="1:9" x14ac:dyDescent="0.2">
      <c r="A8740" s="2" t="s">
        <v>3250</v>
      </c>
      <c r="B8740" s="2" t="s">
        <v>1065</v>
      </c>
      <c r="C8740" s="2">
        <v>717.08720000000005</v>
      </c>
      <c r="D8740" s="2">
        <f>HYPERLINK("http://mcb-m6.bioreg.kyushu-u.ac.jp/M3/20110502/F51174/1867/1", 86.63)</f>
        <v>86.63</v>
      </c>
      <c r="E8740" s="2">
        <v>68.760000000000005</v>
      </c>
      <c r="F8740" s="2">
        <v>2</v>
      </c>
      <c r="G8740" s="2" t="s">
        <v>13</v>
      </c>
      <c r="I8740" s="2" t="s">
        <v>4892</v>
      </c>
    </row>
    <row r="8741" spans="1:9" x14ac:dyDescent="0.2">
      <c r="A8741" s="2" t="s">
        <v>3250</v>
      </c>
      <c r="B8741" s="2" t="s">
        <v>481</v>
      </c>
      <c r="C8741" s="2">
        <v>709.55219999999997</v>
      </c>
      <c r="D8741" s="2">
        <f>HYPERLINK("http://mcb-m6.bioreg.kyushu-u.ac.jp/M3/20110502/F51168/1921/1", 86.7)</f>
        <v>86.7</v>
      </c>
      <c r="E8741" s="2">
        <v>63.69</v>
      </c>
      <c r="F8741" s="2">
        <v>2</v>
      </c>
      <c r="G8741" s="2" t="s">
        <v>13</v>
      </c>
      <c r="I8741" s="2" t="s">
        <v>4898</v>
      </c>
    </row>
    <row r="8742" spans="1:9" x14ac:dyDescent="0.2">
      <c r="A8742" s="2" t="s">
        <v>3250</v>
      </c>
      <c r="B8742" s="2" t="s">
        <v>102</v>
      </c>
      <c r="C8742" s="2">
        <v>608.45510000000002</v>
      </c>
      <c r="D8742" s="2">
        <f>HYPERLINK("http://mcb-m6.bioreg.kyushu-u.ac.jp/M3/20110502/F51174/1514/1", 87.08)</f>
        <v>87.08</v>
      </c>
      <c r="E8742" s="2">
        <v>68.44</v>
      </c>
      <c r="F8742" s="2">
        <v>2</v>
      </c>
      <c r="G8742" s="2" t="s">
        <v>13</v>
      </c>
    </row>
    <row r="8743" spans="1:9" x14ac:dyDescent="0.2">
      <c r="A8743" s="2" t="s">
        <v>3250</v>
      </c>
      <c r="B8743" s="2" t="s">
        <v>1065</v>
      </c>
      <c r="C8743" s="2">
        <v>717.11720000000003</v>
      </c>
      <c r="D8743" s="2">
        <f>HYPERLINK("http://mcb-m6.bioreg.kyushu-u.ac.jp/M3/20110502/F51175/1831/1", 87.73)</f>
        <v>87.73</v>
      </c>
      <c r="E8743" s="2">
        <v>72.48</v>
      </c>
      <c r="F8743" s="2">
        <v>2</v>
      </c>
      <c r="G8743" s="2" t="s">
        <v>13</v>
      </c>
      <c r="I8743" s="2" t="s">
        <v>4892</v>
      </c>
    </row>
    <row r="8744" spans="1:9" x14ac:dyDescent="0.2">
      <c r="A8744" s="2" t="s">
        <v>3250</v>
      </c>
      <c r="B8744" s="2" t="s">
        <v>561</v>
      </c>
      <c r="C8744" s="2">
        <v>662.50070000000005</v>
      </c>
      <c r="D8744" s="2">
        <f>HYPERLINK("http://mcb-m6.bioreg.kyushu-u.ac.jp/M3/20110502/F51188/1447/1", 87.96)</f>
        <v>87.96</v>
      </c>
      <c r="E8744" s="2">
        <v>66.67</v>
      </c>
      <c r="F8744" s="2">
        <v>2</v>
      </c>
      <c r="G8744" s="2" t="s">
        <v>13</v>
      </c>
      <c r="H8744" s="2" t="s">
        <v>4919</v>
      </c>
    </row>
    <row r="8745" spans="1:9" x14ac:dyDescent="0.2">
      <c r="A8745" s="2" t="s">
        <v>3250</v>
      </c>
      <c r="B8745" s="2" t="s">
        <v>365</v>
      </c>
      <c r="C8745" s="2">
        <v>849.15560000000005</v>
      </c>
      <c r="D8745" s="2">
        <f>HYPERLINK("http://mcb-m6.bioreg.kyushu-u.ac.jp/M3/20110502/F51165/2443/1", 88.25)</f>
        <v>88.25</v>
      </c>
      <c r="E8745" s="2">
        <v>74.430000000000007</v>
      </c>
      <c r="F8745" s="2">
        <v>2</v>
      </c>
      <c r="G8745" s="2" t="s">
        <v>13</v>
      </c>
    </row>
    <row r="8746" spans="1:9" x14ac:dyDescent="0.2">
      <c r="A8746" s="2" t="s">
        <v>3250</v>
      </c>
      <c r="B8746" s="2" t="s">
        <v>561</v>
      </c>
      <c r="C8746" s="2">
        <v>654.53859999999997</v>
      </c>
      <c r="D8746" s="2">
        <f>HYPERLINK("http://mcb-m6.bioreg.kyushu-u.ac.jp/M3/20110502/F51173/1298/1", 88.77)</f>
        <v>88.77</v>
      </c>
      <c r="E8746" s="2">
        <v>61.76</v>
      </c>
      <c r="F8746" s="2">
        <v>2</v>
      </c>
      <c r="G8746" s="2" t="s">
        <v>13</v>
      </c>
    </row>
    <row r="8747" spans="1:9" x14ac:dyDescent="0.2">
      <c r="A8747" s="2" t="s">
        <v>3250</v>
      </c>
      <c r="B8747" s="2" t="s">
        <v>561</v>
      </c>
      <c r="C8747" s="2">
        <v>654.44820000000004</v>
      </c>
      <c r="D8747" s="2">
        <f>HYPERLINK("http://mcb-m6.bioreg.kyushu-u.ac.jp/M3/20110502/F51189/1361/1", 88.87)</f>
        <v>88.87</v>
      </c>
      <c r="E8747" s="2">
        <v>64.400000000000006</v>
      </c>
      <c r="F8747" s="2">
        <v>2</v>
      </c>
      <c r="G8747" s="2" t="s">
        <v>13</v>
      </c>
    </row>
    <row r="8748" spans="1:9" x14ac:dyDescent="0.2">
      <c r="A8748" s="2" t="s">
        <v>3250</v>
      </c>
      <c r="B8748" s="2" t="s">
        <v>772</v>
      </c>
      <c r="C8748" s="2">
        <v>596.00670000000002</v>
      </c>
      <c r="D8748" s="2">
        <f>HYPERLINK("http://mcb-m6.bioreg.kyushu-u.ac.jp/M3/20110502/F51172/1253/1", 89.23)</f>
        <v>89.23</v>
      </c>
      <c r="E8748" s="2">
        <v>62.51</v>
      </c>
      <c r="F8748" s="2">
        <v>2</v>
      </c>
      <c r="G8748" s="2" t="s">
        <v>13</v>
      </c>
    </row>
    <row r="8749" spans="1:9" x14ac:dyDescent="0.2">
      <c r="A8749" s="2" t="s">
        <v>3250</v>
      </c>
      <c r="B8749" s="2" t="s">
        <v>467</v>
      </c>
      <c r="C8749" s="2">
        <v>692.10569999999996</v>
      </c>
      <c r="D8749" s="2">
        <f>HYPERLINK("http://mcb-m6.bioreg.kyushu-u.ac.jp/M3/20110502/F51174/1765/1", 89.35)</f>
        <v>89.35</v>
      </c>
      <c r="E8749" s="2">
        <v>61.71</v>
      </c>
      <c r="F8749" s="2">
        <v>2</v>
      </c>
      <c r="G8749" s="2" t="s">
        <v>13</v>
      </c>
    </row>
    <row r="8750" spans="1:9" x14ac:dyDescent="0.2">
      <c r="A8750" s="2" t="s">
        <v>3250</v>
      </c>
      <c r="B8750" s="2" t="s">
        <v>467</v>
      </c>
      <c r="C8750" s="2">
        <v>691.96770000000004</v>
      </c>
      <c r="D8750" s="2">
        <f>HYPERLINK("http://mcb-m6.bioreg.kyushu-u.ac.jp/M3/20110502/F51171/1800/1", 89.5)</f>
        <v>89.5</v>
      </c>
      <c r="E8750" s="2">
        <v>63.89</v>
      </c>
      <c r="F8750" s="2">
        <v>2</v>
      </c>
      <c r="G8750" s="2" t="s">
        <v>13</v>
      </c>
    </row>
    <row r="8751" spans="1:9" x14ac:dyDescent="0.2">
      <c r="A8751" s="2" t="s">
        <v>3250</v>
      </c>
      <c r="B8751" s="2" t="s">
        <v>90</v>
      </c>
      <c r="C8751" s="2">
        <v>717.40120000000002</v>
      </c>
      <c r="D8751" s="2">
        <f>HYPERLINK("http://mcb-m6.bioreg.kyushu-u.ac.jp/M3/20110502/F51187/1646/1", 89.6)</f>
        <v>89.6</v>
      </c>
      <c r="E8751" s="2">
        <v>56.97</v>
      </c>
      <c r="F8751" s="2">
        <v>2</v>
      </c>
      <c r="G8751" s="2" t="s">
        <v>13</v>
      </c>
    </row>
    <row r="8752" spans="1:9" x14ac:dyDescent="0.2">
      <c r="A8752" s="2" t="s">
        <v>3250</v>
      </c>
      <c r="B8752" s="2" t="s">
        <v>481</v>
      </c>
      <c r="C8752" s="2">
        <v>709.51009999999997</v>
      </c>
      <c r="D8752" s="2">
        <f>HYPERLINK("http://mcb-m6.bioreg.kyushu-u.ac.jp/M3/20110502/F51165/1996/1", 90.24)</f>
        <v>90.24</v>
      </c>
      <c r="E8752" s="2">
        <v>67.03</v>
      </c>
      <c r="F8752" s="2">
        <v>2</v>
      </c>
      <c r="G8752" s="2" t="s">
        <v>13</v>
      </c>
      <c r="I8752" s="2" t="s">
        <v>4898</v>
      </c>
    </row>
    <row r="8753" spans="1:9" x14ac:dyDescent="0.2">
      <c r="A8753" s="2" t="s">
        <v>3250</v>
      </c>
      <c r="B8753" s="2" t="s">
        <v>365</v>
      </c>
      <c r="C8753" s="2">
        <v>849.14260000000002</v>
      </c>
      <c r="D8753" s="2">
        <f>HYPERLINK("http://mcb-m6.bioreg.kyushu-u.ac.jp/M3/20110502/F51173/2480/1", 90.92)</f>
        <v>90.92</v>
      </c>
      <c r="E8753" s="2">
        <v>70.31</v>
      </c>
      <c r="F8753" s="2">
        <v>2</v>
      </c>
      <c r="G8753" s="2" t="s">
        <v>13</v>
      </c>
    </row>
    <row r="8754" spans="1:9" x14ac:dyDescent="0.2">
      <c r="A8754" s="2" t="s">
        <v>3250</v>
      </c>
      <c r="B8754" s="2" t="s">
        <v>561</v>
      </c>
      <c r="C8754" s="2">
        <v>654.47770000000003</v>
      </c>
      <c r="D8754" s="2">
        <f>HYPERLINK("http://mcb-m6.bioreg.kyushu-u.ac.jp/M3/20110502/F51189/1364/1", 91.65)</f>
        <v>91.65</v>
      </c>
      <c r="E8754" s="2">
        <v>73.150000000000006</v>
      </c>
      <c r="F8754" s="2">
        <v>2</v>
      </c>
      <c r="G8754" s="2" t="s">
        <v>13</v>
      </c>
    </row>
    <row r="8755" spans="1:9" x14ac:dyDescent="0.2">
      <c r="A8755" s="2" t="s">
        <v>3250</v>
      </c>
      <c r="B8755" s="2" t="s">
        <v>561</v>
      </c>
      <c r="C8755" s="2">
        <v>654.41859999999997</v>
      </c>
      <c r="D8755" s="2">
        <f>HYPERLINK("http://mcb-m6.bioreg.kyushu-u.ac.jp/M3/20110502/F51189/1359/1", 91.7)</f>
        <v>91.7</v>
      </c>
      <c r="E8755" s="2">
        <v>65.45</v>
      </c>
      <c r="F8755" s="2">
        <v>2</v>
      </c>
      <c r="G8755" s="2" t="s">
        <v>13</v>
      </c>
    </row>
    <row r="8756" spans="1:9" x14ac:dyDescent="0.2">
      <c r="A8756" s="2" t="s">
        <v>3250</v>
      </c>
      <c r="B8756" s="2" t="s">
        <v>561</v>
      </c>
      <c r="C8756" s="2">
        <v>662.44420000000002</v>
      </c>
      <c r="D8756" s="2">
        <f>HYPERLINK("http://mcb-m6.bioreg.kyushu-u.ac.jp/M3/20110502/F51168/1714/1", 91.73)</f>
        <v>91.73</v>
      </c>
      <c r="E8756" s="2">
        <v>75.3</v>
      </c>
      <c r="F8756" s="2">
        <v>2</v>
      </c>
      <c r="G8756" s="2" t="s">
        <v>13</v>
      </c>
      <c r="H8756" s="2" t="s">
        <v>4919</v>
      </c>
    </row>
    <row r="8757" spans="1:9" x14ac:dyDescent="0.2">
      <c r="A8757" s="2" t="s">
        <v>3250</v>
      </c>
      <c r="B8757" s="2" t="s">
        <v>561</v>
      </c>
      <c r="C8757" s="2">
        <v>654.46969999999999</v>
      </c>
      <c r="D8757" s="2">
        <f>HYPERLINK("http://mcb-m6.bioreg.kyushu-u.ac.jp/M3/20110502/F51189/1363/1", 91.89)</f>
        <v>91.89</v>
      </c>
      <c r="E8757" s="2">
        <v>70.290000000000006</v>
      </c>
      <c r="F8757" s="2">
        <v>2</v>
      </c>
      <c r="G8757" s="2" t="s">
        <v>13</v>
      </c>
    </row>
    <row r="8758" spans="1:9" x14ac:dyDescent="0.2">
      <c r="A8758" s="2" t="s">
        <v>3250</v>
      </c>
      <c r="B8758" s="2" t="s">
        <v>90</v>
      </c>
      <c r="C8758" s="2">
        <v>716.9307</v>
      </c>
      <c r="D8758" s="2">
        <f>HYPERLINK("http://mcb-m6.bioreg.kyushu-u.ac.jp/M3/20110502/F51167/1942/1", 92.59)</f>
        <v>92.59</v>
      </c>
      <c r="E8758" s="2">
        <v>70.11</v>
      </c>
      <c r="F8758" s="2">
        <v>2</v>
      </c>
      <c r="G8758" s="2" t="s">
        <v>13</v>
      </c>
    </row>
    <row r="8759" spans="1:9" x14ac:dyDescent="0.2">
      <c r="A8759" s="2" t="s">
        <v>3250</v>
      </c>
      <c r="B8759" s="2" t="s">
        <v>467</v>
      </c>
      <c r="C8759" s="2">
        <v>692.38760000000002</v>
      </c>
      <c r="D8759" s="2">
        <f>HYPERLINK("http://mcb-m6.bioreg.kyushu-u.ac.jp/M3/20110502/F51166/1948/1", 92.86)</f>
        <v>92.86</v>
      </c>
      <c r="E8759" s="2">
        <v>64.36</v>
      </c>
      <c r="F8759" s="2">
        <v>2</v>
      </c>
      <c r="G8759" s="2" t="s">
        <v>13</v>
      </c>
    </row>
    <row r="8760" spans="1:9" x14ac:dyDescent="0.2">
      <c r="A8760" s="2" t="s">
        <v>3250</v>
      </c>
      <c r="B8760" s="2" t="s">
        <v>90</v>
      </c>
      <c r="C8760" s="2">
        <v>717.22310000000004</v>
      </c>
      <c r="D8760" s="2">
        <f>HYPERLINK("http://mcb-m6.bioreg.kyushu-u.ac.jp/M3/20110502/F51175/1833/1", 93.14)</f>
        <v>93.14</v>
      </c>
      <c r="E8760" s="2">
        <v>71.03</v>
      </c>
      <c r="F8760" s="2">
        <v>2</v>
      </c>
      <c r="G8760" s="2" t="s">
        <v>13</v>
      </c>
    </row>
    <row r="8761" spans="1:9" x14ac:dyDescent="0.2">
      <c r="A8761" s="2" t="s">
        <v>3250</v>
      </c>
      <c r="B8761" s="2" t="s">
        <v>481</v>
      </c>
      <c r="C8761" s="2">
        <v>709.59969999999998</v>
      </c>
      <c r="D8761" s="2">
        <f>HYPERLINK("http://mcb-m6.bioreg.kyushu-u.ac.jp/M3/20110502/F51171/1888/1", 93.18)</f>
        <v>93.18</v>
      </c>
      <c r="E8761" s="2">
        <v>62.68</v>
      </c>
      <c r="F8761" s="2">
        <v>2</v>
      </c>
      <c r="G8761" s="2" t="s">
        <v>13</v>
      </c>
      <c r="I8761" s="2" t="s">
        <v>4898</v>
      </c>
    </row>
    <row r="8762" spans="1:9" x14ac:dyDescent="0.2">
      <c r="A8762" s="2" t="s">
        <v>3250</v>
      </c>
      <c r="B8762" s="2" t="s">
        <v>481</v>
      </c>
      <c r="C8762" s="2">
        <v>709.59010000000001</v>
      </c>
      <c r="D8762" s="2">
        <f>HYPERLINK("http://mcb-m6.bioreg.kyushu-u.ac.jp/M3/20110502/F51175/1779/1", 93.74)</f>
        <v>93.74</v>
      </c>
      <c r="E8762" s="2">
        <v>69.2</v>
      </c>
      <c r="F8762" s="2">
        <v>2</v>
      </c>
      <c r="G8762" s="2" t="s">
        <v>13</v>
      </c>
      <c r="I8762" s="2" t="s">
        <v>4898</v>
      </c>
    </row>
    <row r="8763" spans="1:9" x14ac:dyDescent="0.2">
      <c r="A8763" s="2" t="s">
        <v>3250</v>
      </c>
      <c r="B8763" s="2" t="s">
        <v>481</v>
      </c>
      <c r="C8763" s="2">
        <v>709.56569999999999</v>
      </c>
      <c r="D8763" s="2">
        <f>HYPERLINK("http://mcb-m6.bioreg.kyushu-u.ac.jp/M3/20110502/F51189/1655/1", 95.11)</f>
        <v>95.11</v>
      </c>
      <c r="E8763" s="2">
        <v>67.180000000000007</v>
      </c>
      <c r="F8763" s="2">
        <v>2</v>
      </c>
      <c r="G8763" s="2" t="s">
        <v>13</v>
      </c>
      <c r="I8763" s="2" t="s">
        <v>4898</v>
      </c>
    </row>
    <row r="8764" spans="1:9" x14ac:dyDescent="0.2">
      <c r="A8764" s="2" t="s">
        <v>3250</v>
      </c>
      <c r="B8764" s="2" t="s">
        <v>772</v>
      </c>
      <c r="C8764" s="2">
        <v>595.98720000000003</v>
      </c>
      <c r="D8764" s="2">
        <f>HYPERLINK("http://mcb-m6.bioreg.kyushu-u.ac.jp/M3/20110502/F51175/1351/1", 95.17)</f>
        <v>95.17</v>
      </c>
      <c r="E8764" s="2">
        <v>68.22</v>
      </c>
      <c r="F8764" s="2">
        <v>2</v>
      </c>
      <c r="G8764" s="2" t="s">
        <v>13</v>
      </c>
    </row>
    <row r="8765" spans="1:9" x14ac:dyDescent="0.2">
      <c r="A8765" s="2" t="s">
        <v>3250</v>
      </c>
      <c r="B8765" s="2" t="s">
        <v>90</v>
      </c>
      <c r="C8765" s="2">
        <v>717.19320000000005</v>
      </c>
      <c r="D8765" s="2">
        <f>HYPERLINK("http://mcb-m6.bioreg.kyushu-u.ac.jp/M3/20110502/F51169/2018/1", 95.77)</f>
        <v>95.77</v>
      </c>
      <c r="E8765" s="2">
        <v>66.45</v>
      </c>
      <c r="F8765" s="2">
        <v>2</v>
      </c>
      <c r="G8765" s="2" t="s">
        <v>13</v>
      </c>
    </row>
    <row r="8766" spans="1:9" x14ac:dyDescent="0.2">
      <c r="A8766" s="2" t="s">
        <v>3250</v>
      </c>
      <c r="B8766" s="2" t="s">
        <v>467</v>
      </c>
      <c r="C8766" s="2">
        <v>692.38319999999999</v>
      </c>
      <c r="D8766" s="2">
        <f>HYPERLINK("http://mcb-m6.bioreg.kyushu-u.ac.jp/M3/20110502/F51168/1855/1", 98.36)</f>
        <v>98.36</v>
      </c>
      <c r="E8766" s="2">
        <v>68.47</v>
      </c>
      <c r="F8766" s="2">
        <v>2</v>
      </c>
      <c r="G8766" s="2" t="s">
        <v>13</v>
      </c>
    </row>
    <row r="8767" spans="1:9" x14ac:dyDescent="0.2">
      <c r="A8767" s="2" t="s">
        <v>3250</v>
      </c>
      <c r="B8767" s="2" t="s">
        <v>356</v>
      </c>
      <c r="C8767" s="2">
        <v>816.07259999999997</v>
      </c>
      <c r="D8767" s="2">
        <f>HYPERLINK("http://mcb-m6.bioreg.kyushu-u.ac.jp/M3/20110502/F51187/2032/1", 99.43)</f>
        <v>99.43</v>
      </c>
      <c r="E8767" s="2">
        <v>79.010000000000005</v>
      </c>
      <c r="F8767" s="2">
        <v>2</v>
      </c>
      <c r="G8767" s="2" t="s">
        <v>13</v>
      </c>
    </row>
    <row r="8768" spans="1:9" x14ac:dyDescent="0.2">
      <c r="A8768" s="2" t="s">
        <v>3250</v>
      </c>
      <c r="B8768" s="2" t="s">
        <v>1065</v>
      </c>
      <c r="C8768" s="2">
        <v>716.98659999999995</v>
      </c>
      <c r="D8768" s="2">
        <f>HYPERLINK("http://mcb-m6.bioreg.kyushu-u.ac.jp/M3/20110502/F51187/1644/1", 100.86)</f>
        <v>100.86</v>
      </c>
      <c r="E8768" s="2">
        <v>83.21</v>
      </c>
      <c r="F8768" s="2">
        <v>2</v>
      </c>
      <c r="G8768" s="2" t="s">
        <v>13</v>
      </c>
      <c r="I8768" s="2" t="s">
        <v>4892</v>
      </c>
    </row>
    <row r="8769" spans="1:9" x14ac:dyDescent="0.2">
      <c r="A8769" s="2" t="s">
        <v>3250</v>
      </c>
      <c r="B8769" s="2" t="s">
        <v>365</v>
      </c>
      <c r="C8769" s="2">
        <v>849.1232</v>
      </c>
      <c r="D8769" s="2">
        <f>HYPERLINK("http://mcb-m6.bioreg.kyushu-u.ac.jp/M3/20110502/F51174/2342/1", 103.31)</f>
        <v>103.31</v>
      </c>
      <c r="E8769" s="2">
        <v>86.97</v>
      </c>
      <c r="F8769" s="2">
        <v>2</v>
      </c>
      <c r="G8769" s="2" t="s">
        <v>13</v>
      </c>
    </row>
    <row r="8770" spans="1:9" x14ac:dyDescent="0.2">
      <c r="A8770" s="2" t="s">
        <v>3250</v>
      </c>
      <c r="B8770" s="2" t="s">
        <v>356</v>
      </c>
      <c r="C8770" s="2">
        <v>816.42020000000002</v>
      </c>
      <c r="D8770" s="2">
        <f>HYPERLINK("http://mcb-m6.bioreg.kyushu-u.ac.jp/M3/20110502/F51173/2280/1", 110.69)</f>
        <v>110.69</v>
      </c>
      <c r="E8770" s="2">
        <v>88.25</v>
      </c>
      <c r="F8770" s="2">
        <v>2</v>
      </c>
      <c r="G8770" s="2" t="s">
        <v>13</v>
      </c>
    </row>
    <row r="8771" spans="1:9" x14ac:dyDescent="0.2">
      <c r="A8771" s="2" t="s">
        <v>3250</v>
      </c>
      <c r="B8771" s="2" t="s">
        <v>356</v>
      </c>
      <c r="C8771" s="2">
        <v>816.20510000000002</v>
      </c>
      <c r="D8771" s="2">
        <f>HYPERLINK("http://mcb-m6.bioreg.kyushu-u.ac.jp/M3/20110502/F51189/2157/1", 117.5)</f>
        <v>117.5</v>
      </c>
      <c r="E8771" s="2">
        <v>86.55</v>
      </c>
      <c r="F8771" s="2">
        <v>2</v>
      </c>
      <c r="G8771" s="2" t="s">
        <v>13</v>
      </c>
    </row>
    <row r="8772" spans="1:9" x14ac:dyDescent="0.2">
      <c r="A8772" s="2" t="s">
        <v>3250</v>
      </c>
      <c r="B8772" s="2" t="s">
        <v>356</v>
      </c>
      <c r="C8772" s="2">
        <v>816.1866</v>
      </c>
      <c r="D8772" s="2">
        <f>HYPERLINK("http://mcb-m6.bioreg.kyushu-u.ac.jp/M3/20110502/F51174/2247/1", 130.53)</f>
        <v>130.53</v>
      </c>
      <c r="E8772" s="2">
        <v>101.64</v>
      </c>
      <c r="F8772" s="2">
        <v>2</v>
      </c>
      <c r="G8772" s="2" t="s">
        <v>13</v>
      </c>
    </row>
    <row r="8773" spans="1:9" x14ac:dyDescent="0.2">
      <c r="A8773" s="2" t="s">
        <v>3250</v>
      </c>
      <c r="B8773" s="2" t="s">
        <v>834</v>
      </c>
      <c r="C8773" s="2">
        <v>621.97220000000004</v>
      </c>
      <c r="D8773" s="2">
        <f>HYPERLINK("http://mcb-m6.bioreg.kyushu-u.ac.jp/M3/20110502/F51194/1172/1", 35.05)</f>
        <v>35.049999999999997</v>
      </c>
      <c r="E8773" s="2">
        <v>8.68</v>
      </c>
      <c r="F8773" s="2">
        <v>2</v>
      </c>
      <c r="G8773" s="2" t="s">
        <v>14</v>
      </c>
    </row>
    <row r="8774" spans="1:9" x14ac:dyDescent="0.2">
      <c r="A8774" s="2" t="s">
        <v>3250</v>
      </c>
      <c r="B8774" s="2" t="s">
        <v>1765</v>
      </c>
      <c r="C8774" s="2">
        <v>761.77070000000003</v>
      </c>
      <c r="D8774" s="2">
        <f>HYPERLINK("http://mcb-m6.bioreg.kyushu-u.ac.jp/M3/20110502/F51185/1998/1", 35.21)</f>
        <v>35.21</v>
      </c>
      <c r="E8774" s="2">
        <v>13.85</v>
      </c>
      <c r="F8774" s="2">
        <v>2</v>
      </c>
      <c r="G8774" s="2" t="s">
        <v>14</v>
      </c>
    </row>
    <row r="8775" spans="1:9" x14ac:dyDescent="0.2">
      <c r="A8775" s="2" t="s">
        <v>3250</v>
      </c>
      <c r="B8775" s="2" t="s">
        <v>1581</v>
      </c>
      <c r="C8775" s="2">
        <v>765.62049999999999</v>
      </c>
      <c r="D8775" s="2">
        <f>HYPERLINK("http://mcb-m6.bioreg.kyushu-u.ac.jp/M3/20110502/F51194/3443/1", 36.14)</f>
        <v>36.14</v>
      </c>
      <c r="E8775" s="2">
        <v>24.96</v>
      </c>
      <c r="F8775" s="2">
        <v>3</v>
      </c>
      <c r="G8775" s="2" t="s">
        <v>14</v>
      </c>
      <c r="I8775" s="2" t="s">
        <v>4895</v>
      </c>
    </row>
    <row r="8776" spans="1:9" x14ac:dyDescent="0.2">
      <c r="A8776" s="2" t="s">
        <v>3250</v>
      </c>
      <c r="B8776" s="2" t="s">
        <v>365</v>
      </c>
      <c r="C8776" s="2">
        <v>849.33069999999998</v>
      </c>
      <c r="D8776" s="2">
        <f>HYPERLINK("http://mcb-m6.bioreg.kyushu-u.ac.jp/M3/20110502/F51183/2466/1", 36.51)</f>
        <v>36.51</v>
      </c>
      <c r="E8776" s="2">
        <v>15.97</v>
      </c>
      <c r="F8776" s="2">
        <v>2</v>
      </c>
      <c r="G8776" s="2" t="s">
        <v>14</v>
      </c>
    </row>
    <row r="8777" spans="1:9" x14ac:dyDescent="0.2">
      <c r="A8777" s="2" t="s">
        <v>3250</v>
      </c>
      <c r="B8777" s="2" t="s">
        <v>356</v>
      </c>
      <c r="C8777" s="2">
        <v>816.48270000000002</v>
      </c>
      <c r="D8777" s="2">
        <f>HYPERLINK("http://mcb-m6.bioreg.kyushu-u.ac.jp/M3/20110502/F51178/2433/1", 36.83)</f>
        <v>36.83</v>
      </c>
      <c r="E8777" s="2">
        <v>22.91</v>
      </c>
      <c r="F8777" s="2">
        <v>2</v>
      </c>
      <c r="G8777" s="2" t="s">
        <v>14</v>
      </c>
    </row>
    <row r="8778" spans="1:9" x14ac:dyDescent="0.2">
      <c r="A8778" s="2" t="s">
        <v>3250</v>
      </c>
      <c r="B8778" s="2" t="s">
        <v>351</v>
      </c>
      <c r="C8778" s="2">
        <v>861.72</v>
      </c>
      <c r="D8778" s="2">
        <f>HYPERLINK("http://mcb-m6.bioreg.kyushu-u.ac.jp/M3/20110502/F51194/374/1", 36.87)</f>
        <v>36.869999999999997</v>
      </c>
      <c r="E8778" s="2">
        <v>15.34</v>
      </c>
      <c r="F8778" s="2">
        <v>1</v>
      </c>
      <c r="G8778" s="2" t="s">
        <v>14</v>
      </c>
      <c r="I8778" s="2" t="s">
        <v>4899</v>
      </c>
    </row>
    <row r="8779" spans="1:9" x14ac:dyDescent="0.2">
      <c r="A8779" s="2" t="s">
        <v>3250</v>
      </c>
      <c r="B8779" s="2" t="s">
        <v>834</v>
      </c>
      <c r="C8779" s="2">
        <v>621.97360000000003</v>
      </c>
      <c r="D8779" s="2">
        <f>HYPERLINK("http://mcb-m6.bioreg.kyushu-u.ac.jp/M3/20110502/F51186/1323/1", 37.59)</f>
        <v>37.590000000000003</v>
      </c>
      <c r="E8779" s="2">
        <v>20.41</v>
      </c>
      <c r="F8779" s="2">
        <v>2</v>
      </c>
      <c r="G8779" s="2" t="s">
        <v>14</v>
      </c>
    </row>
    <row r="8780" spans="1:9" x14ac:dyDescent="0.2">
      <c r="A8780" s="2" t="s">
        <v>3250</v>
      </c>
      <c r="B8780" s="2" t="s">
        <v>3010</v>
      </c>
      <c r="C8780" s="2">
        <v>466.86759999999998</v>
      </c>
      <c r="D8780" s="2">
        <f>HYPERLINK("http://mcb-m6.bioreg.kyushu-u.ac.jp/M3/20110502/F51186/721/1", 37.65)</f>
        <v>37.65</v>
      </c>
      <c r="E8780" s="2">
        <v>9.7799999999999994</v>
      </c>
      <c r="F8780" s="2">
        <v>2</v>
      </c>
      <c r="G8780" s="2" t="s">
        <v>14</v>
      </c>
    </row>
    <row r="8781" spans="1:9" x14ac:dyDescent="0.2">
      <c r="A8781" s="2" t="s">
        <v>3250</v>
      </c>
      <c r="B8781" s="2" t="s">
        <v>1787</v>
      </c>
      <c r="C8781" s="2">
        <v>588.39120000000003</v>
      </c>
      <c r="D8781" s="2">
        <f>HYPERLINK("http://mcb-m6.bioreg.kyushu-u.ac.jp/M3/20110502/F51186/1160/1", 37.76)</f>
        <v>37.76</v>
      </c>
      <c r="E8781" s="2">
        <v>18.32</v>
      </c>
      <c r="F8781" s="2">
        <v>2</v>
      </c>
      <c r="G8781" s="2" t="s">
        <v>14</v>
      </c>
      <c r="I8781" s="2" t="s">
        <v>4895</v>
      </c>
    </row>
    <row r="8782" spans="1:9" x14ac:dyDescent="0.2">
      <c r="A8782" s="2" t="s">
        <v>3250</v>
      </c>
      <c r="B8782" s="2" t="s">
        <v>311</v>
      </c>
      <c r="C8782" s="2">
        <v>1196.636</v>
      </c>
      <c r="D8782" s="2">
        <f>HYPERLINK("http://mcb-m6.bioreg.kyushu-u.ac.jp/M3/20110502/F51194/1050/1", 37.89)</f>
        <v>37.89</v>
      </c>
      <c r="E8782" s="2">
        <v>24.35</v>
      </c>
      <c r="F8782" s="2">
        <v>1</v>
      </c>
      <c r="G8782" s="2" t="s">
        <v>14</v>
      </c>
    </row>
    <row r="8783" spans="1:9" x14ac:dyDescent="0.2">
      <c r="A8783" s="2" t="s">
        <v>3250</v>
      </c>
      <c r="B8783" s="2" t="s">
        <v>77</v>
      </c>
      <c r="C8783" s="2">
        <v>1148.758</v>
      </c>
      <c r="D8783" s="2">
        <f>HYPERLINK("http://mcb-m6.bioreg.kyushu-u.ac.jp/M3/20110502/F51179/931/1", 38.02)</f>
        <v>38.020000000000003</v>
      </c>
      <c r="E8783" s="2">
        <v>20.62</v>
      </c>
      <c r="F8783" s="2">
        <v>1</v>
      </c>
      <c r="G8783" s="2" t="s">
        <v>14</v>
      </c>
    </row>
    <row r="8784" spans="1:9" x14ac:dyDescent="0.2">
      <c r="A8784" s="2" t="s">
        <v>3250</v>
      </c>
      <c r="B8784" s="2" t="s">
        <v>834</v>
      </c>
      <c r="C8784" s="2">
        <v>622.39670000000001</v>
      </c>
      <c r="D8784" s="2">
        <f>HYPERLINK("http://mcb-m6.bioreg.kyushu-u.ac.jp/M3/20110502/F51190/1248/1", 38.02)</f>
        <v>38.020000000000003</v>
      </c>
      <c r="E8784" s="2">
        <v>20.02</v>
      </c>
      <c r="F8784" s="2">
        <v>2</v>
      </c>
      <c r="G8784" s="2" t="s">
        <v>14</v>
      </c>
    </row>
    <row r="8785" spans="1:9" x14ac:dyDescent="0.2">
      <c r="A8785" s="2" t="s">
        <v>3250</v>
      </c>
      <c r="B8785" s="2" t="s">
        <v>561</v>
      </c>
      <c r="C8785" s="2">
        <v>662.37070000000006</v>
      </c>
      <c r="D8785" s="2">
        <f>HYPERLINK("http://mcb-m6.bioreg.kyushu-u.ac.jp/M3/20110502/F51186/1456/1", 38.41)</f>
        <v>38.409999999999997</v>
      </c>
      <c r="E8785" s="2">
        <v>24.3</v>
      </c>
      <c r="F8785" s="2">
        <v>2</v>
      </c>
      <c r="G8785" s="2" t="s">
        <v>14</v>
      </c>
      <c r="H8785" s="2" t="s">
        <v>4919</v>
      </c>
    </row>
    <row r="8786" spans="1:9" x14ac:dyDescent="0.2">
      <c r="A8786" s="2" t="s">
        <v>3250</v>
      </c>
      <c r="B8786" s="2" t="s">
        <v>1765</v>
      </c>
      <c r="C8786" s="2">
        <v>762.00459999999998</v>
      </c>
      <c r="D8786" s="2">
        <f>HYPERLINK("http://mcb-m6.bioreg.kyushu-u.ac.jp/M3/20110502/F51184/1971/1", 38.47)</f>
        <v>38.47</v>
      </c>
      <c r="E8786" s="2">
        <v>18.36</v>
      </c>
      <c r="F8786" s="2">
        <v>2</v>
      </c>
      <c r="G8786" s="2" t="s">
        <v>14</v>
      </c>
    </row>
    <row r="8787" spans="1:9" x14ac:dyDescent="0.2">
      <c r="A8787" s="2" t="s">
        <v>3250</v>
      </c>
      <c r="B8787" s="2" t="s">
        <v>351</v>
      </c>
      <c r="C8787" s="2">
        <v>861.90599999999995</v>
      </c>
      <c r="D8787" s="2">
        <f>HYPERLINK("http://mcb-m6.bioreg.kyushu-u.ac.jp/M3/20110502/F51182/462/1", 38.48)</f>
        <v>38.479999999999997</v>
      </c>
      <c r="E8787" s="2">
        <v>15.64</v>
      </c>
      <c r="F8787" s="2">
        <v>1</v>
      </c>
      <c r="G8787" s="2" t="s">
        <v>14</v>
      </c>
      <c r="I8787" s="2" t="s">
        <v>4899</v>
      </c>
    </row>
    <row r="8788" spans="1:9" x14ac:dyDescent="0.2">
      <c r="A8788" s="2" t="s">
        <v>3250</v>
      </c>
      <c r="B8788" s="2" t="s">
        <v>142</v>
      </c>
      <c r="C8788" s="2">
        <v>847.76800000000003</v>
      </c>
      <c r="D8788" s="2">
        <f>HYPERLINK("http://mcb-m6.bioreg.kyushu-u.ac.jp/M3/20110502/F51193/403/1", 38.73)</f>
        <v>38.729999999999997</v>
      </c>
      <c r="E8788" s="2">
        <v>13.58</v>
      </c>
      <c r="F8788" s="2">
        <v>1</v>
      </c>
      <c r="G8788" s="2" t="s">
        <v>14</v>
      </c>
    </row>
    <row r="8789" spans="1:9" x14ac:dyDescent="0.2">
      <c r="A8789" s="2" t="s">
        <v>3250</v>
      </c>
      <c r="B8789" s="2" t="s">
        <v>1765</v>
      </c>
      <c r="C8789" s="2">
        <v>1522.1030000000001</v>
      </c>
      <c r="D8789" s="2">
        <f>HYPERLINK("http://mcb-m6.bioreg.kyushu-u.ac.jp/M3/20110502/F51184/1966/1", 38.95)</f>
        <v>38.950000000000003</v>
      </c>
      <c r="E8789" s="2">
        <v>16.559999999999999</v>
      </c>
      <c r="F8789" s="2">
        <v>1</v>
      </c>
      <c r="G8789" s="2" t="s">
        <v>14</v>
      </c>
    </row>
    <row r="8790" spans="1:9" x14ac:dyDescent="0.2">
      <c r="A8790" s="2" t="s">
        <v>3250</v>
      </c>
      <c r="B8790" s="2" t="s">
        <v>772</v>
      </c>
      <c r="C8790" s="2">
        <v>595.88710000000003</v>
      </c>
      <c r="D8790" s="2">
        <f>HYPERLINK("http://mcb-m6.bioreg.kyushu-u.ac.jp/M3/20110502/F51194/1030/1", 39.38)</f>
        <v>39.380000000000003</v>
      </c>
      <c r="E8790" s="2">
        <v>21.25</v>
      </c>
      <c r="F8790" s="2">
        <v>2</v>
      </c>
      <c r="G8790" s="2" t="s">
        <v>14</v>
      </c>
    </row>
    <row r="8791" spans="1:9" x14ac:dyDescent="0.2">
      <c r="A8791" s="2" t="s">
        <v>3250</v>
      </c>
      <c r="B8791" s="2" t="s">
        <v>311</v>
      </c>
      <c r="C8791" s="2">
        <v>1212.636</v>
      </c>
      <c r="D8791" s="2">
        <f>HYPERLINK("http://mcb-m6.bioreg.kyushu-u.ac.jp/M3/20110502/F51194/1081/1", 39.46)</f>
        <v>39.46</v>
      </c>
      <c r="E8791" s="2">
        <v>22.27</v>
      </c>
      <c r="F8791" s="2">
        <v>1</v>
      </c>
      <c r="G8791" s="2" t="s">
        <v>14</v>
      </c>
      <c r="H8791" s="2" t="s">
        <v>4908</v>
      </c>
    </row>
    <row r="8792" spans="1:9" x14ac:dyDescent="0.2">
      <c r="A8792" s="2" t="s">
        <v>3250</v>
      </c>
      <c r="B8792" s="2" t="s">
        <v>365</v>
      </c>
      <c r="C8792" s="2">
        <v>849.12819999999999</v>
      </c>
      <c r="D8792" s="2">
        <f>HYPERLINK("http://mcb-m6.bioreg.kyushu-u.ac.jp/M3/20110502/F51186/2310/1", 39.64)</f>
        <v>39.64</v>
      </c>
      <c r="E8792" s="2">
        <v>24.16</v>
      </c>
      <c r="F8792" s="2">
        <v>2</v>
      </c>
      <c r="G8792" s="2" t="s">
        <v>14</v>
      </c>
    </row>
    <row r="8793" spans="1:9" x14ac:dyDescent="0.2">
      <c r="A8793" s="2" t="s">
        <v>3250</v>
      </c>
      <c r="B8793" s="2" t="s">
        <v>365</v>
      </c>
      <c r="C8793" s="2">
        <v>848.89509999999996</v>
      </c>
      <c r="D8793" s="2">
        <f>HYPERLINK("http://mcb-m6.bioreg.kyushu-u.ac.jp/M3/20110502/F51192/2361/1", 39.67)</f>
        <v>39.67</v>
      </c>
      <c r="E8793" s="2">
        <v>26.02</v>
      </c>
      <c r="F8793" s="2">
        <v>2</v>
      </c>
      <c r="G8793" s="2" t="s">
        <v>14</v>
      </c>
    </row>
    <row r="8794" spans="1:9" x14ac:dyDescent="0.2">
      <c r="A8794" s="2" t="s">
        <v>3250</v>
      </c>
      <c r="B8794" s="2" t="s">
        <v>834</v>
      </c>
      <c r="C8794" s="2">
        <v>1242.932</v>
      </c>
      <c r="D8794" s="2">
        <f>HYPERLINK("http://mcb-m6.bioreg.kyushu-u.ac.jp/M3/20110502/F51185/1269/1", 39.98)</f>
        <v>39.979999999999997</v>
      </c>
      <c r="E8794" s="2">
        <v>14.32</v>
      </c>
      <c r="F8794" s="2">
        <v>1</v>
      </c>
      <c r="G8794" s="2" t="s">
        <v>14</v>
      </c>
    </row>
    <row r="8795" spans="1:9" x14ac:dyDescent="0.2">
      <c r="A8795" s="2" t="s">
        <v>3250</v>
      </c>
      <c r="B8795" s="2" t="s">
        <v>365</v>
      </c>
      <c r="C8795" s="2">
        <v>849.29269999999997</v>
      </c>
      <c r="D8795" s="2">
        <f>HYPERLINK("http://mcb-m6.bioreg.kyushu-u.ac.jp/M3/20110502/F51184/2499/1", 40.19)</f>
        <v>40.19</v>
      </c>
      <c r="E8795" s="2">
        <v>23.52</v>
      </c>
      <c r="F8795" s="2">
        <v>2</v>
      </c>
      <c r="G8795" s="2" t="s">
        <v>14</v>
      </c>
    </row>
    <row r="8796" spans="1:9" x14ac:dyDescent="0.2">
      <c r="A8796" s="2" t="s">
        <v>3250</v>
      </c>
      <c r="B8796" s="2" t="s">
        <v>467</v>
      </c>
      <c r="C8796" s="2">
        <v>692.40260000000001</v>
      </c>
      <c r="D8796" s="2">
        <f>HYPERLINK("http://mcb-m6.bioreg.kyushu-u.ac.jp/M3/20110502/F51185/1621/1", 40.77)</f>
        <v>40.770000000000003</v>
      </c>
      <c r="E8796" s="2">
        <v>14.1</v>
      </c>
      <c r="F8796" s="2">
        <v>2</v>
      </c>
      <c r="G8796" s="2" t="s">
        <v>14</v>
      </c>
    </row>
    <row r="8797" spans="1:9" x14ac:dyDescent="0.2">
      <c r="A8797" s="2" t="s">
        <v>3250</v>
      </c>
      <c r="B8797" s="2" t="s">
        <v>772</v>
      </c>
      <c r="C8797" s="2">
        <v>596.04819999999995</v>
      </c>
      <c r="D8797" s="2">
        <f>HYPERLINK("http://mcb-m6.bioreg.kyushu-u.ac.jp/M3/20110502/F51184/992/1", 40.83)</f>
        <v>40.83</v>
      </c>
      <c r="E8797" s="2">
        <v>25.16</v>
      </c>
      <c r="F8797" s="2">
        <v>2</v>
      </c>
      <c r="G8797" s="2" t="s">
        <v>14</v>
      </c>
    </row>
    <row r="8798" spans="1:9" x14ac:dyDescent="0.2">
      <c r="A8798" s="2" t="s">
        <v>3250</v>
      </c>
      <c r="B8798" s="2" t="s">
        <v>834</v>
      </c>
      <c r="C8798" s="2">
        <v>1243.0219999999999</v>
      </c>
      <c r="D8798" s="2">
        <f>HYPERLINK("http://mcb-m6.bioreg.kyushu-u.ac.jp/M3/20110502/F51186/1325/1", 41.04)</f>
        <v>41.04</v>
      </c>
      <c r="E8798" s="2">
        <v>19.350000000000001</v>
      </c>
      <c r="F8798" s="2">
        <v>1</v>
      </c>
      <c r="G8798" s="2" t="s">
        <v>14</v>
      </c>
    </row>
    <row r="8799" spans="1:9" x14ac:dyDescent="0.2">
      <c r="A8799" s="2" t="s">
        <v>3250</v>
      </c>
      <c r="B8799" s="2" t="s">
        <v>772</v>
      </c>
      <c r="C8799" s="2">
        <v>595.94119999999998</v>
      </c>
      <c r="D8799" s="2">
        <f>HYPERLINK("http://mcb-m6.bioreg.kyushu-u.ac.jp/M3/20110502/F51185/1141/1", 41.78)</f>
        <v>41.78</v>
      </c>
      <c r="E8799" s="2">
        <v>10.97</v>
      </c>
      <c r="F8799" s="2">
        <v>2</v>
      </c>
      <c r="G8799" s="2" t="s">
        <v>14</v>
      </c>
    </row>
    <row r="8800" spans="1:9" x14ac:dyDescent="0.2">
      <c r="A8800" s="2" t="s">
        <v>3250</v>
      </c>
      <c r="B8800" s="2" t="s">
        <v>90</v>
      </c>
      <c r="C8800" s="2">
        <v>717.10609999999997</v>
      </c>
      <c r="D8800" s="2">
        <f>HYPERLINK("http://mcb-m6.bioreg.kyushu-u.ac.jp/M3/20110502/F51190/1617/1", 41.86)</f>
        <v>41.86</v>
      </c>
      <c r="E8800" s="2">
        <v>26.5</v>
      </c>
      <c r="F8800" s="2">
        <v>2</v>
      </c>
      <c r="G8800" s="2" t="s">
        <v>14</v>
      </c>
    </row>
    <row r="8801" spans="1:9" x14ac:dyDescent="0.2">
      <c r="A8801" s="2" t="s">
        <v>3250</v>
      </c>
      <c r="B8801" s="2" t="s">
        <v>1065</v>
      </c>
      <c r="C8801" s="2">
        <v>716.98860000000002</v>
      </c>
      <c r="D8801" s="2">
        <f>HYPERLINK("http://mcb-m6.bioreg.kyushu-u.ac.jp/M3/20110502/F51194/1706/1", 41.98)</f>
        <v>41.98</v>
      </c>
      <c r="E8801" s="2">
        <v>26.82</v>
      </c>
      <c r="F8801" s="2">
        <v>2</v>
      </c>
      <c r="G8801" s="2" t="s">
        <v>14</v>
      </c>
      <c r="I8801" s="2" t="s">
        <v>4892</v>
      </c>
    </row>
    <row r="8802" spans="1:9" x14ac:dyDescent="0.2">
      <c r="A8802" s="2" t="s">
        <v>3250</v>
      </c>
      <c r="B8802" s="2" t="s">
        <v>356</v>
      </c>
      <c r="C8802" s="2">
        <v>816.49959999999999</v>
      </c>
      <c r="D8802" s="2">
        <f>HYPERLINK("http://mcb-m6.bioreg.kyushu-u.ac.jp/M3/20110502/F51182/2369/1", 42.28)</f>
        <v>42.28</v>
      </c>
      <c r="E8802" s="2">
        <v>17.829999999999998</v>
      </c>
      <c r="F8802" s="2">
        <v>2</v>
      </c>
      <c r="G8802" s="2" t="s">
        <v>14</v>
      </c>
    </row>
    <row r="8803" spans="1:9" x14ac:dyDescent="0.2">
      <c r="A8803" s="2" t="s">
        <v>3250</v>
      </c>
      <c r="B8803" s="2" t="s">
        <v>481</v>
      </c>
      <c r="C8803" s="2">
        <v>709.46810000000005</v>
      </c>
      <c r="D8803" s="2">
        <f>HYPERLINK("http://mcb-m6.bioreg.kyushu-u.ac.jp/M3/20110502/F51194/1650/1", 42.46)</f>
        <v>42.46</v>
      </c>
      <c r="E8803" s="2">
        <v>30.02</v>
      </c>
      <c r="F8803" s="2">
        <v>2</v>
      </c>
      <c r="G8803" s="2" t="s">
        <v>14</v>
      </c>
      <c r="I8803" s="2" t="s">
        <v>4898</v>
      </c>
    </row>
    <row r="8804" spans="1:9" x14ac:dyDescent="0.2">
      <c r="A8804" s="2" t="s">
        <v>3250</v>
      </c>
      <c r="B8804" s="2" t="s">
        <v>617</v>
      </c>
      <c r="C8804" s="2">
        <v>694.51070000000004</v>
      </c>
      <c r="D8804" s="2">
        <f>HYPERLINK("http://mcb-m6.bioreg.kyushu-u.ac.jp/M3/20110502/F51194/1552/1", 42.64)</f>
        <v>42.64</v>
      </c>
      <c r="E8804" s="2">
        <v>14.72</v>
      </c>
      <c r="F8804" s="2">
        <v>2</v>
      </c>
      <c r="G8804" s="2" t="s">
        <v>14</v>
      </c>
      <c r="H8804" s="2" t="s">
        <v>4919</v>
      </c>
    </row>
    <row r="8805" spans="1:9" x14ac:dyDescent="0.2">
      <c r="A8805" s="2" t="s">
        <v>3250</v>
      </c>
      <c r="B8805" s="2" t="s">
        <v>772</v>
      </c>
      <c r="C8805" s="2">
        <v>596.26260000000002</v>
      </c>
      <c r="D8805" s="2">
        <f>HYPERLINK("http://mcb-m6.bioreg.kyushu-u.ac.jp/M3/20110502/F51186/1219/1", 42.87)</f>
        <v>42.87</v>
      </c>
      <c r="E8805" s="2">
        <v>18.45</v>
      </c>
      <c r="F8805" s="2">
        <v>2</v>
      </c>
      <c r="G8805" s="2" t="s">
        <v>14</v>
      </c>
    </row>
    <row r="8806" spans="1:9" x14ac:dyDescent="0.2">
      <c r="A8806" s="2" t="s">
        <v>3250</v>
      </c>
      <c r="B8806" s="2" t="s">
        <v>1875</v>
      </c>
      <c r="C8806" s="2">
        <v>788.52719999999999</v>
      </c>
      <c r="D8806" s="2">
        <f>HYPERLINK("http://mcb-m6.bioreg.kyushu-u.ac.jp/M3/20110502/F51194/2085/1", 43.21)</f>
        <v>43.21</v>
      </c>
      <c r="E8806" s="2">
        <v>24.08</v>
      </c>
      <c r="F8806" s="2">
        <v>2</v>
      </c>
      <c r="G8806" s="2" t="s">
        <v>14</v>
      </c>
      <c r="H8806" s="2" t="s">
        <v>4953</v>
      </c>
    </row>
    <row r="8807" spans="1:9" x14ac:dyDescent="0.2">
      <c r="A8807" s="2" t="s">
        <v>3250</v>
      </c>
      <c r="B8807" s="2" t="s">
        <v>77</v>
      </c>
      <c r="C8807" s="2">
        <v>575.33510000000001</v>
      </c>
      <c r="D8807" s="2">
        <f>HYPERLINK("http://mcb-m6.bioreg.kyushu-u.ac.jp/M3/20110502/F51190/1090/1", 43.39)</f>
        <v>43.39</v>
      </c>
      <c r="E8807" s="2">
        <v>24.94</v>
      </c>
      <c r="F8807" s="2">
        <v>2</v>
      </c>
      <c r="G8807" s="2" t="s">
        <v>14</v>
      </c>
    </row>
    <row r="8808" spans="1:9" x14ac:dyDescent="0.2">
      <c r="A8808" s="2" t="s">
        <v>3250</v>
      </c>
      <c r="B8808" s="2" t="s">
        <v>1065</v>
      </c>
      <c r="C8808" s="2">
        <v>716.92660000000001</v>
      </c>
      <c r="D8808" s="2">
        <f>HYPERLINK("http://mcb-m6.bioreg.kyushu-u.ac.jp/M3/20110502/F51194/1704/1", 43.65)</f>
        <v>43.65</v>
      </c>
      <c r="E8808" s="2">
        <v>29.94</v>
      </c>
      <c r="F8808" s="2">
        <v>2</v>
      </c>
      <c r="G8808" s="2" t="s">
        <v>14</v>
      </c>
      <c r="I8808" s="2" t="s">
        <v>4892</v>
      </c>
    </row>
    <row r="8809" spans="1:9" x14ac:dyDescent="0.2">
      <c r="A8809" s="2" t="s">
        <v>3250</v>
      </c>
      <c r="B8809" s="2" t="s">
        <v>543</v>
      </c>
      <c r="C8809" s="2">
        <v>927.36770000000001</v>
      </c>
      <c r="D8809" s="2">
        <f>HYPERLINK("http://mcb-m6.bioreg.kyushu-u.ac.jp/M3/20110502/F51184/2945/1", 43.77)</f>
        <v>43.77</v>
      </c>
      <c r="E8809" s="2">
        <v>26.54</v>
      </c>
      <c r="F8809" s="2">
        <v>2</v>
      </c>
      <c r="G8809" s="2" t="s">
        <v>14</v>
      </c>
    </row>
    <row r="8810" spans="1:9" x14ac:dyDescent="0.2">
      <c r="A8810" s="2" t="s">
        <v>3250</v>
      </c>
      <c r="B8810" s="2" t="s">
        <v>102</v>
      </c>
      <c r="C8810" s="2">
        <v>616.53060000000005</v>
      </c>
      <c r="D8810" s="2">
        <f>HYPERLINK("http://mcb-m6.bioreg.kyushu-u.ac.jp/M3/20110502/F51193/1249/1", 44.04)</f>
        <v>44.04</v>
      </c>
      <c r="E8810" s="2">
        <v>29.7</v>
      </c>
      <c r="F8810" s="2">
        <v>2</v>
      </c>
      <c r="G8810" s="2" t="s">
        <v>14</v>
      </c>
      <c r="H8810" s="2" t="s">
        <v>4900</v>
      </c>
    </row>
    <row r="8811" spans="1:9" x14ac:dyDescent="0.2">
      <c r="A8811" s="2" t="s">
        <v>3250</v>
      </c>
      <c r="B8811" s="2" t="s">
        <v>1875</v>
      </c>
      <c r="C8811" s="2">
        <v>788.87869999999998</v>
      </c>
      <c r="D8811" s="2">
        <f>HYPERLINK("http://mcb-m6.bioreg.kyushu-u.ac.jp/M3/20110502/F51183/2182/1", 44.44)</f>
        <v>44.44</v>
      </c>
      <c r="E8811" s="2">
        <v>17.43</v>
      </c>
      <c r="F8811" s="2">
        <v>2</v>
      </c>
      <c r="G8811" s="2" t="s">
        <v>14</v>
      </c>
      <c r="H8811" s="2" t="s">
        <v>4953</v>
      </c>
    </row>
    <row r="8812" spans="1:9" x14ac:dyDescent="0.2">
      <c r="A8812" s="2" t="s">
        <v>3250</v>
      </c>
      <c r="B8812" s="2" t="s">
        <v>77</v>
      </c>
      <c r="C8812" s="2">
        <v>1148.9090000000001</v>
      </c>
      <c r="D8812" s="2">
        <f>HYPERLINK("http://mcb-m6.bioreg.kyushu-u.ac.jp/M3/20110502/F51185/1029/1", 44.95)</f>
        <v>44.95</v>
      </c>
      <c r="E8812" s="2">
        <v>21.13</v>
      </c>
      <c r="F8812" s="2">
        <v>1</v>
      </c>
      <c r="G8812" s="2" t="s">
        <v>14</v>
      </c>
    </row>
    <row r="8813" spans="1:9" x14ac:dyDescent="0.2">
      <c r="A8813" s="2" t="s">
        <v>3250</v>
      </c>
      <c r="B8813" s="2" t="s">
        <v>398</v>
      </c>
      <c r="C8813" s="2">
        <v>640.44320000000005</v>
      </c>
      <c r="D8813" s="2">
        <f>HYPERLINK("http://mcb-m6.bioreg.kyushu-u.ac.jp/M3/20110502/F51194/1270/1", 45.04)</f>
        <v>45.04</v>
      </c>
      <c r="E8813" s="2">
        <v>20.09</v>
      </c>
      <c r="F8813" s="2">
        <v>2</v>
      </c>
      <c r="G8813" s="2" t="s">
        <v>14</v>
      </c>
    </row>
    <row r="8814" spans="1:9" x14ac:dyDescent="0.2">
      <c r="A8814" s="2" t="s">
        <v>3250</v>
      </c>
      <c r="B8814" s="2" t="s">
        <v>543</v>
      </c>
      <c r="C8814" s="2">
        <v>927.11609999999996</v>
      </c>
      <c r="D8814" s="2">
        <f>HYPERLINK("http://mcb-m6.bioreg.kyushu-u.ac.jp/M3/20110502/F51194/2765/1", 45.13)</f>
        <v>45.13</v>
      </c>
      <c r="E8814" s="2">
        <v>26.2</v>
      </c>
      <c r="F8814" s="2">
        <v>2</v>
      </c>
      <c r="G8814" s="2" t="s">
        <v>14</v>
      </c>
    </row>
    <row r="8815" spans="1:9" x14ac:dyDescent="0.2">
      <c r="A8815" s="2" t="s">
        <v>3250</v>
      </c>
      <c r="B8815" s="2" t="s">
        <v>503</v>
      </c>
      <c r="C8815" s="2">
        <v>816.71559999999999</v>
      </c>
      <c r="D8815" s="2">
        <f>HYPERLINK("http://mcb-m6.bioreg.kyushu-u.ac.jp/M3/20110502/F51184/2325/1", 45.17)</f>
        <v>45.17</v>
      </c>
      <c r="E8815" s="2">
        <v>35.090000000000003</v>
      </c>
      <c r="F8815" s="2">
        <v>2</v>
      </c>
      <c r="G8815" s="2" t="s">
        <v>14</v>
      </c>
      <c r="H8815" s="2" t="s">
        <v>4907</v>
      </c>
    </row>
    <row r="8816" spans="1:9" x14ac:dyDescent="0.2">
      <c r="A8816" s="2" t="s">
        <v>3250</v>
      </c>
      <c r="B8816" s="2" t="s">
        <v>175</v>
      </c>
      <c r="C8816" s="2">
        <v>784.67859999999996</v>
      </c>
      <c r="D8816" s="2">
        <f>HYPERLINK("http://mcb-m6.bioreg.kyushu-u.ac.jp/M3/20110502/F51184/2118/1", 45.18)</f>
        <v>45.18</v>
      </c>
      <c r="E8816" s="2">
        <v>27.09</v>
      </c>
      <c r="F8816" s="2">
        <v>2</v>
      </c>
      <c r="G8816" s="2" t="s">
        <v>14</v>
      </c>
      <c r="I8816" s="2" t="s">
        <v>4893</v>
      </c>
    </row>
    <row r="8817" spans="1:9" x14ac:dyDescent="0.2">
      <c r="A8817" s="2" t="s">
        <v>3250</v>
      </c>
      <c r="B8817" s="2" t="s">
        <v>561</v>
      </c>
      <c r="C8817" s="2">
        <v>654.80359999999996</v>
      </c>
      <c r="D8817" s="2">
        <f>HYPERLINK("http://mcb-m6.bioreg.kyushu-u.ac.jp/M3/20110502/F51190/1327/1", 45.29)</f>
        <v>45.29</v>
      </c>
      <c r="E8817" s="2">
        <v>31.73</v>
      </c>
      <c r="F8817" s="2">
        <v>2</v>
      </c>
      <c r="G8817" s="2" t="s">
        <v>14</v>
      </c>
    </row>
    <row r="8818" spans="1:9" x14ac:dyDescent="0.2">
      <c r="A8818" s="2" t="s">
        <v>3250</v>
      </c>
      <c r="B8818" s="2" t="s">
        <v>1765</v>
      </c>
      <c r="C8818" s="2">
        <v>761.49220000000003</v>
      </c>
      <c r="D8818" s="2">
        <f>HYPERLINK("http://mcb-m6.bioreg.kyushu-u.ac.jp/M3/20110502/F51194/1928/1", 45.46)</f>
        <v>45.46</v>
      </c>
      <c r="E8818" s="2">
        <v>31.47</v>
      </c>
      <c r="F8818" s="2">
        <v>2</v>
      </c>
      <c r="G8818" s="2" t="s">
        <v>14</v>
      </c>
    </row>
    <row r="8819" spans="1:9" x14ac:dyDescent="0.2">
      <c r="A8819" s="2" t="s">
        <v>3250</v>
      </c>
      <c r="B8819" s="2" t="s">
        <v>398</v>
      </c>
      <c r="C8819" s="2">
        <v>640.64319999999998</v>
      </c>
      <c r="D8819" s="2">
        <f>HYPERLINK("http://mcb-m6.bioreg.kyushu-u.ac.jp/M3/20110502/F51185/1355/1", 45.59)</f>
        <v>45.59</v>
      </c>
      <c r="E8819" s="2">
        <v>25.32</v>
      </c>
      <c r="F8819" s="2">
        <v>2</v>
      </c>
      <c r="G8819" s="2" t="s">
        <v>14</v>
      </c>
    </row>
    <row r="8820" spans="1:9" x14ac:dyDescent="0.2">
      <c r="A8820" s="2" t="s">
        <v>3250</v>
      </c>
      <c r="B8820" s="2" t="s">
        <v>102</v>
      </c>
      <c r="C8820" s="2">
        <v>616.47019999999998</v>
      </c>
      <c r="D8820" s="2">
        <f>HYPERLINK("http://mcb-m6.bioreg.kyushu-u.ac.jp/M3/20110502/F51190/1239/1", 45.98)</f>
        <v>45.98</v>
      </c>
      <c r="E8820" s="2">
        <v>23.38</v>
      </c>
      <c r="F8820" s="2">
        <v>2</v>
      </c>
      <c r="G8820" s="2" t="s">
        <v>14</v>
      </c>
      <c r="H8820" s="2" t="s">
        <v>4900</v>
      </c>
    </row>
    <row r="8821" spans="1:9" x14ac:dyDescent="0.2">
      <c r="A8821" s="2" t="s">
        <v>3250</v>
      </c>
      <c r="B8821" s="2" t="s">
        <v>102</v>
      </c>
      <c r="C8821" s="2">
        <v>1215.7660000000001</v>
      </c>
      <c r="D8821" s="2">
        <f>HYPERLINK("http://mcb-m6.bioreg.kyushu-u.ac.jp/M3/20110502/F51194/1088/1", 46.38)</f>
        <v>46.38</v>
      </c>
      <c r="E8821" s="2">
        <v>32.15</v>
      </c>
      <c r="F8821" s="2">
        <v>1</v>
      </c>
      <c r="G8821" s="2" t="s">
        <v>14</v>
      </c>
    </row>
    <row r="8822" spans="1:9" x14ac:dyDescent="0.2">
      <c r="A8822" s="2" t="s">
        <v>3250</v>
      </c>
      <c r="B8822" s="2" t="s">
        <v>311</v>
      </c>
      <c r="C8822" s="2">
        <v>598.89869999999996</v>
      </c>
      <c r="D8822" s="2">
        <f>HYPERLINK("http://mcb-m6.bioreg.kyushu-u.ac.jp/M3/20110502/F51194/1051/1", 46.52)</f>
        <v>46.52</v>
      </c>
      <c r="E8822" s="2">
        <v>24.21</v>
      </c>
      <c r="F8822" s="2">
        <v>2</v>
      </c>
      <c r="G8822" s="2" t="s">
        <v>14</v>
      </c>
    </row>
    <row r="8823" spans="1:9" x14ac:dyDescent="0.2">
      <c r="A8823" s="2" t="s">
        <v>3250</v>
      </c>
      <c r="B8823" s="2" t="s">
        <v>365</v>
      </c>
      <c r="C8823" s="2">
        <v>849.24720000000002</v>
      </c>
      <c r="D8823" s="2">
        <f>HYPERLINK("http://mcb-m6.bioreg.kyushu-u.ac.jp/M3/20110502/F51183/2464/1", 46.59)</f>
        <v>46.59</v>
      </c>
      <c r="E8823" s="2">
        <v>21.58</v>
      </c>
      <c r="F8823" s="2">
        <v>2</v>
      </c>
      <c r="G8823" s="2" t="s">
        <v>14</v>
      </c>
    </row>
    <row r="8824" spans="1:9" x14ac:dyDescent="0.2">
      <c r="A8824" s="2" t="s">
        <v>3250</v>
      </c>
      <c r="B8824" s="2" t="s">
        <v>481</v>
      </c>
      <c r="C8824" s="2">
        <v>1417.914</v>
      </c>
      <c r="D8824" s="2">
        <f>HYPERLINK("http://mcb-m6.bioreg.kyushu-u.ac.jp/M3/20110502/F51185/1723/1", 46.7)</f>
        <v>46.7</v>
      </c>
      <c r="E8824" s="2">
        <v>14.47</v>
      </c>
      <c r="F8824" s="2">
        <v>1</v>
      </c>
      <c r="G8824" s="2" t="s">
        <v>14</v>
      </c>
      <c r="I8824" s="2" t="s">
        <v>4898</v>
      </c>
    </row>
    <row r="8825" spans="1:9" x14ac:dyDescent="0.2">
      <c r="A8825" s="2" t="s">
        <v>3250</v>
      </c>
      <c r="B8825" s="2" t="s">
        <v>1875</v>
      </c>
      <c r="C8825" s="2">
        <v>772.55769999999995</v>
      </c>
      <c r="D8825" s="2">
        <f>HYPERLINK("http://mcb-m6.bioreg.kyushu-u.ac.jp/M3/20110502/F51194/1990/1", 46.76)</f>
        <v>46.76</v>
      </c>
      <c r="E8825" s="2">
        <v>34.619999999999997</v>
      </c>
      <c r="F8825" s="2">
        <v>2</v>
      </c>
      <c r="G8825" s="2" t="s">
        <v>14</v>
      </c>
    </row>
    <row r="8826" spans="1:9" x14ac:dyDescent="0.2">
      <c r="A8826" s="2" t="s">
        <v>3250</v>
      </c>
      <c r="B8826" s="2" t="s">
        <v>77</v>
      </c>
      <c r="C8826" s="2">
        <v>1148.731</v>
      </c>
      <c r="D8826" s="2">
        <f>HYPERLINK("http://mcb-m6.bioreg.kyushu-u.ac.jp/M3/20110502/F51184/882/1", 46.92)</f>
        <v>46.92</v>
      </c>
      <c r="E8826" s="2">
        <v>21.24</v>
      </c>
      <c r="F8826" s="2">
        <v>1</v>
      </c>
      <c r="G8826" s="2" t="s">
        <v>14</v>
      </c>
    </row>
    <row r="8827" spans="1:9" x14ac:dyDescent="0.2">
      <c r="A8827" s="2" t="s">
        <v>3250</v>
      </c>
      <c r="B8827" s="2" t="s">
        <v>77</v>
      </c>
      <c r="C8827" s="2">
        <v>1148.694</v>
      </c>
      <c r="D8827" s="2">
        <f>HYPERLINK("http://mcb-m6.bioreg.kyushu-u.ac.jp/M3/20110502/F51194/933/1", 46.96)</f>
        <v>46.96</v>
      </c>
      <c r="E8827" s="2">
        <v>23.12</v>
      </c>
      <c r="F8827" s="2">
        <v>1</v>
      </c>
      <c r="G8827" s="2" t="s">
        <v>14</v>
      </c>
    </row>
    <row r="8828" spans="1:9" x14ac:dyDescent="0.2">
      <c r="A8828" s="2" t="s">
        <v>3250</v>
      </c>
      <c r="B8828" s="2" t="s">
        <v>311</v>
      </c>
      <c r="C8828" s="2">
        <v>599.29269999999997</v>
      </c>
      <c r="D8828" s="2">
        <f>HYPERLINK("http://mcb-m6.bioreg.kyushu-u.ac.jp/M3/20110502/F51194/1054/1", 46.99)</f>
        <v>46.99</v>
      </c>
      <c r="E8828" s="2">
        <v>26.91</v>
      </c>
      <c r="F8828" s="2">
        <v>2</v>
      </c>
      <c r="G8828" s="2" t="s">
        <v>14</v>
      </c>
    </row>
    <row r="8829" spans="1:9" x14ac:dyDescent="0.2">
      <c r="A8829" s="2" t="s">
        <v>3250</v>
      </c>
      <c r="B8829" s="2" t="s">
        <v>365</v>
      </c>
      <c r="C8829" s="2">
        <v>849.10469999999998</v>
      </c>
      <c r="D8829" s="2">
        <f>HYPERLINK("http://mcb-m6.bioreg.kyushu-u.ac.jp/M3/20110502/F51184/2497/1", 47.01)</f>
        <v>47.01</v>
      </c>
      <c r="E8829" s="2">
        <v>30.08</v>
      </c>
      <c r="F8829" s="2">
        <v>2</v>
      </c>
      <c r="G8829" s="2" t="s">
        <v>14</v>
      </c>
    </row>
    <row r="8830" spans="1:9" x14ac:dyDescent="0.2">
      <c r="A8830" s="2" t="s">
        <v>3250</v>
      </c>
      <c r="B8830" s="2" t="s">
        <v>77</v>
      </c>
      <c r="C8830" s="2">
        <v>575.07759999999996</v>
      </c>
      <c r="D8830" s="2">
        <f>HYPERLINK("http://mcb-m6.bioreg.kyushu-u.ac.jp/M3/20110502/F51178/1411/1", 47.18)</f>
        <v>47.18</v>
      </c>
      <c r="E8830" s="2">
        <v>26.1</v>
      </c>
      <c r="F8830" s="2">
        <v>2</v>
      </c>
      <c r="G8830" s="2" t="s">
        <v>14</v>
      </c>
    </row>
    <row r="8831" spans="1:9" x14ac:dyDescent="0.2">
      <c r="A8831" s="2" t="s">
        <v>3250</v>
      </c>
      <c r="B8831" s="2" t="s">
        <v>365</v>
      </c>
      <c r="C8831" s="2">
        <v>849.21510000000001</v>
      </c>
      <c r="D8831" s="2">
        <f>HYPERLINK("http://mcb-m6.bioreg.kyushu-u.ac.jp/M3/20110502/F51184/2498/1", 47.27)</f>
        <v>47.27</v>
      </c>
      <c r="E8831" s="2">
        <v>33.840000000000003</v>
      </c>
      <c r="F8831" s="2">
        <v>2</v>
      </c>
      <c r="G8831" s="2" t="s">
        <v>14</v>
      </c>
    </row>
    <row r="8832" spans="1:9" x14ac:dyDescent="0.2">
      <c r="A8832" s="2" t="s">
        <v>3250</v>
      </c>
      <c r="B8832" s="2" t="s">
        <v>1875</v>
      </c>
      <c r="C8832" s="2">
        <v>788.70259999999996</v>
      </c>
      <c r="D8832" s="2">
        <f>HYPERLINK("http://mcb-m6.bioreg.kyushu-u.ac.jp/M3/20110502/F51185/2135/1", 47.33)</f>
        <v>47.33</v>
      </c>
      <c r="E8832" s="2">
        <v>27.66</v>
      </c>
      <c r="F8832" s="2">
        <v>2</v>
      </c>
      <c r="G8832" s="2" t="s">
        <v>14</v>
      </c>
      <c r="H8832" s="2" t="s">
        <v>4953</v>
      </c>
    </row>
    <row r="8833" spans="1:9" x14ac:dyDescent="0.2">
      <c r="A8833" s="2" t="s">
        <v>3250</v>
      </c>
      <c r="B8833" s="2" t="s">
        <v>561</v>
      </c>
      <c r="C8833" s="2">
        <v>654.86320000000001</v>
      </c>
      <c r="D8833" s="2">
        <f>HYPERLINK("http://mcb-m6.bioreg.kyushu-u.ac.jp/M3/20110502/F51183/1419/1", 47.9)</f>
        <v>47.9</v>
      </c>
      <c r="E8833" s="2">
        <v>25.97</v>
      </c>
      <c r="F8833" s="2">
        <v>2</v>
      </c>
      <c r="G8833" s="2" t="s">
        <v>14</v>
      </c>
    </row>
    <row r="8834" spans="1:9" x14ac:dyDescent="0.2">
      <c r="A8834" s="2" t="s">
        <v>3250</v>
      </c>
      <c r="B8834" s="2" t="s">
        <v>481</v>
      </c>
      <c r="C8834" s="2">
        <v>1417.7950000000001</v>
      </c>
      <c r="D8834" s="2">
        <f>HYPERLINK("http://mcb-m6.bioreg.kyushu-u.ac.jp/M3/20110502/F51184/1641/1", 47.96)</f>
        <v>47.96</v>
      </c>
      <c r="E8834" s="2">
        <v>19.14</v>
      </c>
      <c r="F8834" s="2">
        <v>1</v>
      </c>
      <c r="G8834" s="2" t="s">
        <v>14</v>
      </c>
      <c r="I8834" s="2" t="s">
        <v>4898</v>
      </c>
    </row>
    <row r="8835" spans="1:9" x14ac:dyDescent="0.2">
      <c r="A8835" s="2" t="s">
        <v>3250</v>
      </c>
      <c r="B8835" s="2" t="s">
        <v>834</v>
      </c>
      <c r="C8835" s="2">
        <v>622.1232</v>
      </c>
      <c r="D8835" s="2">
        <f>HYPERLINK("http://mcb-m6.bioreg.kyushu-u.ac.jp/M3/20110502/F51184/1120/1", 48)</f>
        <v>48</v>
      </c>
      <c r="E8835" s="2">
        <v>23.22</v>
      </c>
      <c r="F8835" s="2">
        <v>2</v>
      </c>
      <c r="G8835" s="2" t="s">
        <v>14</v>
      </c>
    </row>
    <row r="8836" spans="1:9" x14ac:dyDescent="0.2">
      <c r="A8836" s="2" t="s">
        <v>3250</v>
      </c>
      <c r="B8836" s="2" t="s">
        <v>90</v>
      </c>
      <c r="C8836" s="2">
        <v>717.29859999999996</v>
      </c>
      <c r="D8836" s="2">
        <f>HYPERLINK("http://mcb-m6.bioreg.kyushu-u.ac.jp/M3/20110502/F51183/1775/1", 48.14)</f>
        <v>48.14</v>
      </c>
      <c r="E8836" s="2">
        <v>13.01</v>
      </c>
      <c r="F8836" s="2">
        <v>2</v>
      </c>
      <c r="G8836" s="2" t="s">
        <v>14</v>
      </c>
    </row>
    <row r="8837" spans="1:9" x14ac:dyDescent="0.2">
      <c r="A8837" s="2" t="s">
        <v>3250</v>
      </c>
      <c r="B8837" s="2" t="s">
        <v>1787</v>
      </c>
      <c r="C8837" s="2">
        <v>1176.242</v>
      </c>
      <c r="D8837" s="2">
        <f>HYPERLINK("http://mcb-m6.bioreg.kyushu-u.ac.jp/M3/20110502/F51183/1131/1", 48.24)</f>
        <v>48.24</v>
      </c>
      <c r="E8837" s="2">
        <v>11.84</v>
      </c>
      <c r="F8837" s="2">
        <v>1</v>
      </c>
      <c r="G8837" s="2" t="s">
        <v>14</v>
      </c>
      <c r="I8837" s="2" t="s">
        <v>4895</v>
      </c>
    </row>
    <row r="8838" spans="1:9" x14ac:dyDescent="0.2">
      <c r="A8838" s="2" t="s">
        <v>3250</v>
      </c>
      <c r="B8838" s="2" t="s">
        <v>1787</v>
      </c>
      <c r="C8838" s="2">
        <v>1175.867</v>
      </c>
      <c r="D8838" s="2">
        <f>HYPERLINK("http://mcb-m6.bioreg.kyushu-u.ac.jp/M3/20110502/F51185/1089/1", 48.25)</f>
        <v>48.25</v>
      </c>
      <c r="E8838" s="2">
        <v>11.87</v>
      </c>
      <c r="F8838" s="2">
        <v>1</v>
      </c>
      <c r="G8838" s="2" t="s">
        <v>14</v>
      </c>
      <c r="I8838" s="2" t="s">
        <v>4895</v>
      </c>
    </row>
    <row r="8839" spans="1:9" x14ac:dyDescent="0.2">
      <c r="A8839" s="2" t="s">
        <v>3250</v>
      </c>
      <c r="B8839" s="2" t="s">
        <v>365</v>
      </c>
      <c r="C8839" s="2">
        <v>849.52919999999995</v>
      </c>
      <c r="D8839" s="2">
        <f>HYPERLINK("http://mcb-m6.bioreg.kyushu-u.ac.jp/M3/20110502/F51184/2504/1", 48.34)</f>
        <v>48.34</v>
      </c>
      <c r="E8839" s="2">
        <v>28.36</v>
      </c>
      <c r="F8839" s="2">
        <v>2</v>
      </c>
      <c r="G8839" s="2" t="s">
        <v>14</v>
      </c>
    </row>
    <row r="8840" spans="1:9" x14ac:dyDescent="0.2">
      <c r="A8840" s="2" t="s">
        <v>3250</v>
      </c>
      <c r="B8840" s="2" t="s">
        <v>1787</v>
      </c>
      <c r="C8840" s="2">
        <v>1175.806</v>
      </c>
      <c r="D8840" s="2">
        <f>HYPERLINK("http://mcb-m6.bioreg.kyushu-u.ac.jp/M3/20110502/F51186/1161/1", 48.39)</f>
        <v>48.39</v>
      </c>
      <c r="E8840" s="2">
        <v>11.85</v>
      </c>
      <c r="F8840" s="2">
        <v>1</v>
      </c>
      <c r="G8840" s="2" t="s">
        <v>14</v>
      </c>
      <c r="I8840" s="2" t="s">
        <v>4895</v>
      </c>
    </row>
    <row r="8841" spans="1:9" x14ac:dyDescent="0.2">
      <c r="A8841" s="2" t="s">
        <v>3250</v>
      </c>
      <c r="B8841" s="2" t="s">
        <v>1581</v>
      </c>
      <c r="C8841" s="2">
        <v>765.42049999999995</v>
      </c>
      <c r="D8841" s="2">
        <f>HYPERLINK("http://mcb-m6.bioreg.kyushu-u.ac.jp/M3/20110502/F51194/3442/1", 48.44)</f>
        <v>48.44</v>
      </c>
      <c r="E8841" s="2">
        <v>28.4</v>
      </c>
      <c r="F8841" s="2">
        <v>3</v>
      </c>
      <c r="G8841" s="2" t="s">
        <v>14</v>
      </c>
      <c r="I8841" s="2" t="s">
        <v>4895</v>
      </c>
    </row>
    <row r="8842" spans="1:9" x14ac:dyDescent="0.2">
      <c r="A8842" s="2" t="s">
        <v>3250</v>
      </c>
      <c r="B8842" s="2" t="s">
        <v>834</v>
      </c>
      <c r="C8842" s="2">
        <v>622.17319999999995</v>
      </c>
      <c r="D8842" s="2">
        <f>HYPERLINK("http://mcb-m6.bioreg.kyushu-u.ac.jp/M3/20110502/F51185/1271/1", 48.7)</f>
        <v>48.7</v>
      </c>
      <c r="E8842" s="2">
        <v>29.04</v>
      </c>
      <c r="F8842" s="2">
        <v>2</v>
      </c>
      <c r="G8842" s="2" t="s">
        <v>14</v>
      </c>
    </row>
    <row r="8843" spans="1:9" x14ac:dyDescent="0.2">
      <c r="A8843" s="2" t="s">
        <v>3250</v>
      </c>
      <c r="B8843" s="2" t="s">
        <v>1065</v>
      </c>
      <c r="C8843" s="2">
        <v>716.98270000000002</v>
      </c>
      <c r="D8843" s="2">
        <f>HYPERLINK("http://mcb-m6.bioreg.kyushu-u.ac.jp/M3/20110502/F51184/1694/1", 48.9)</f>
        <v>48.9</v>
      </c>
      <c r="E8843" s="2">
        <v>37.229999999999997</v>
      </c>
      <c r="F8843" s="2">
        <v>2</v>
      </c>
      <c r="G8843" s="2" t="s">
        <v>14</v>
      </c>
      <c r="I8843" s="2" t="s">
        <v>4892</v>
      </c>
    </row>
    <row r="8844" spans="1:9" x14ac:dyDescent="0.2">
      <c r="A8844" s="2" t="s">
        <v>3250</v>
      </c>
      <c r="B8844" s="2" t="s">
        <v>834</v>
      </c>
      <c r="C8844" s="2">
        <v>622.09559999999999</v>
      </c>
      <c r="D8844" s="2">
        <f>HYPERLINK("http://mcb-m6.bioreg.kyushu-u.ac.jp/M3/20110502/F51185/1270/1", 49.04)</f>
        <v>49.04</v>
      </c>
      <c r="E8844" s="2">
        <v>19.510000000000002</v>
      </c>
      <c r="F8844" s="2">
        <v>2</v>
      </c>
      <c r="G8844" s="2" t="s">
        <v>14</v>
      </c>
    </row>
    <row r="8845" spans="1:9" x14ac:dyDescent="0.2">
      <c r="A8845" s="2" t="s">
        <v>3250</v>
      </c>
      <c r="B8845" s="2" t="s">
        <v>1255</v>
      </c>
      <c r="C8845" s="2">
        <v>849.80110000000002</v>
      </c>
      <c r="D8845" s="2">
        <f>HYPERLINK("http://mcb-m6.bioreg.kyushu-u.ac.jp/M3/20110502/F51192/3555/1", 49.09)</f>
        <v>49.09</v>
      </c>
      <c r="E8845" s="2">
        <v>36.72</v>
      </c>
      <c r="F8845" s="2">
        <v>3</v>
      </c>
      <c r="G8845" s="2" t="s">
        <v>14</v>
      </c>
      <c r="I8845" s="2" t="s">
        <v>4906</v>
      </c>
    </row>
    <row r="8846" spans="1:9" x14ac:dyDescent="0.2">
      <c r="A8846" s="2" t="s">
        <v>3250</v>
      </c>
      <c r="B8846" s="2" t="s">
        <v>77</v>
      </c>
      <c r="C8846" s="2">
        <v>1148.81</v>
      </c>
      <c r="D8846" s="2">
        <f>HYPERLINK("http://mcb-m6.bioreg.kyushu-u.ac.jp/M3/20110502/F51186/1106/1", 49.23)</f>
        <v>49.23</v>
      </c>
      <c r="E8846" s="2">
        <v>24.96</v>
      </c>
      <c r="F8846" s="2">
        <v>1</v>
      </c>
      <c r="G8846" s="2" t="s">
        <v>14</v>
      </c>
    </row>
    <row r="8847" spans="1:9" x14ac:dyDescent="0.2">
      <c r="A8847" s="2" t="s">
        <v>3250</v>
      </c>
      <c r="B8847" s="2" t="s">
        <v>90</v>
      </c>
      <c r="C8847" s="2">
        <v>717.12369999999999</v>
      </c>
      <c r="D8847" s="2">
        <f>HYPERLINK("http://mcb-m6.bioreg.kyushu-u.ac.jp/M3/20110502/F51190/1618/1", 49.47)</f>
        <v>49.47</v>
      </c>
      <c r="E8847" s="2">
        <v>8.56</v>
      </c>
      <c r="F8847" s="2">
        <v>2</v>
      </c>
      <c r="G8847" s="2" t="s">
        <v>14</v>
      </c>
    </row>
    <row r="8848" spans="1:9" x14ac:dyDescent="0.2">
      <c r="A8848" s="2" t="s">
        <v>3250</v>
      </c>
      <c r="B8848" s="2" t="s">
        <v>1875</v>
      </c>
      <c r="C8848" s="2">
        <v>788.60820000000001</v>
      </c>
      <c r="D8848" s="2">
        <f>HYPERLINK("http://mcb-m6.bioreg.kyushu-u.ac.jp/M3/20110502/F51186/2088/1", 49.49)</f>
        <v>49.49</v>
      </c>
      <c r="E8848" s="2">
        <v>30.86</v>
      </c>
      <c r="F8848" s="2">
        <v>2</v>
      </c>
      <c r="G8848" s="2" t="s">
        <v>14</v>
      </c>
      <c r="H8848" s="2" t="s">
        <v>4953</v>
      </c>
    </row>
    <row r="8849" spans="1:9" x14ac:dyDescent="0.2">
      <c r="A8849" s="2" t="s">
        <v>3250</v>
      </c>
      <c r="B8849" s="2" t="s">
        <v>365</v>
      </c>
      <c r="C8849" s="2">
        <v>849.15120000000002</v>
      </c>
      <c r="D8849" s="2">
        <f>HYPERLINK("http://mcb-m6.bioreg.kyushu-u.ac.jp/M3/20110502/F51191/2136/1", 49.72)</f>
        <v>49.72</v>
      </c>
      <c r="E8849" s="2">
        <v>32.79</v>
      </c>
      <c r="F8849" s="2">
        <v>2</v>
      </c>
      <c r="G8849" s="2" t="s">
        <v>14</v>
      </c>
    </row>
    <row r="8850" spans="1:9" x14ac:dyDescent="0.2">
      <c r="A8850" s="2" t="s">
        <v>3250</v>
      </c>
      <c r="B8850" s="2" t="s">
        <v>617</v>
      </c>
      <c r="C8850" s="2">
        <v>686.53809999999999</v>
      </c>
      <c r="D8850" s="2">
        <f>HYPERLINK("http://mcb-m6.bioreg.kyushu-u.ac.jp/M3/20110502/F51194/1483/1", 49.73)</f>
        <v>49.73</v>
      </c>
      <c r="E8850" s="2">
        <v>31.09</v>
      </c>
      <c r="F8850" s="2">
        <v>2</v>
      </c>
      <c r="G8850" s="2" t="s">
        <v>14</v>
      </c>
    </row>
    <row r="8851" spans="1:9" x14ac:dyDescent="0.2">
      <c r="A8851" s="2" t="s">
        <v>3250</v>
      </c>
      <c r="B8851" s="2" t="s">
        <v>834</v>
      </c>
      <c r="C8851" s="2">
        <v>622.33119999999997</v>
      </c>
      <c r="D8851" s="2">
        <f>HYPERLINK("http://mcb-m6.bioreg.kyushu-u.ac.jp/M3/20110502/F51185/1273/1", 50.17)</f>
        <v>50.17</v>
      </c>
      <c r="E8851" s="2">
        <v>26.08</v>
      </c>
      <c r="F8851" s="2">
        <v>2</v>
      </c>
      <c r="G8851" s="2" t="s">
        <v>14</v>
      </c>
    </row>
    <row r="8852" spans="1:9" x14ac:dyDescent="0.2">
      <c r="A8852" s="2" t="s">
        <v>3250</v>
      </c>
      <c r="B8852" s="2" t="s">
        <v>311</v>
      </c>
      <c r="C8852" s="2">
        <v>606.98360000000002</v>
      </c>
      <c r="D8852" s="2">
        <f>HYPERLINK("http://mcb-m6.bioreg.kyushu-u.ac.jp/M3/20110502/F51193/1208/1", 50.22)</f>
        <v>50.22</v>
      </c>
      <c r="E8852" s="2">
        <v>18.14</v>
      </c>
      <c r="F8852" s="2">
        <v>2</v>
      </c>
      <c r="G8852" s="2" t="s">
        <v>14</v>
      </c>
      <c r="H8852" s="2" t="s">
        <v>4908</v>
      </c>
    </row>
    <row r="8853" spans="1:9" x14ac:dyDescent="0.2">
      <c r="A8853" s="2" t="s">
        <v>3250</v>
      </c>
      <c r="B8853" s="2" t="s">
        <v>834</v>
      </c>
      <c r="C8853" s="2">
        <v>622.14419999999996</v>
      </c>
      <c r="D8853" s="2">
        <f>HYPERLINK("http://mcb-m6.bioreg.kyushu-u.ac.jp/M3/20110502/F51183/1285/1", 50.68)</f>
        <v>50.68</v>
      </c>
      <c r="E8853" s="2">
        <v>31.17</v>
      </c>
      <c r="F8853" s="2">
        <v>2</v>
      </c>
      <c r="G8853" s="2" t="s">
        <v>14</v>
      </c>
    </row>
    <row r="8854" spans="1:9" x14ac:dyDescent="0.2">
      <c r="A8854" s="2" t="s">
        <v>3250</v>
      </c>
      <c r="B8854" s="2" t="s">
        <v>1065</v>
      </c>
      <c r="C8854" s="2">
        <v>716.9742</v>
      </c>
      <c r="D8854" s="2">
        <f>HYPERLINK("http://mcb-m6.bioreg.kyushu-u.ac.jp/M3/20110502/F51185/1775/1", 50.72)</f>
        <v>50.72</v>
      </c>
      <c r="E8854" s="2">
        <v>36.14</v>
      </c>
      <c r="F8854" s="2">
        <v>2</v>
      </c>
      <c r="G8854" s="2" t="s">
        <v>14</v>
      </c>
      <c r="I8854" s="2" t="s">
        <v>4892</v>
      </c>
    </row>
    <row r="8855" spans="1:9" x14ac:dyDescent="0.2">
      <c r="A8855" s="2" t="s">
        <v>3250</v>
      </c>
      <c r="B8855" s="2" t="s">
        <v>356</v>
      </c>
      <c r="C8855" s="2">
        <v>816.02919999999995</v>
      </c>
      <c r="D8855" s="2">
        <f>HYPERLINK("http://mcb-m6.bioreg.kyushu-u.ac.jp/M3/20110502/F51194/2234/1", 50.84)</f>
        <v>50.84</v>
      </c>
      <c r="E8855" s="2">
        <v>38.53</v>
      </c>
      <c r="F8855" s="2">
        <v>2</v>
      </c>
      <c r="G8855" s="2" t="s">
        <v>14</v>
      </c>
    </row>
    <row r="8856" spans="1:9" x14ac:dyDescent="0.2">
      <c r="A8856" s="2" t="s">
        <v>3250</v>
      </c>
      <c r="B8856" s="2" t="s">
        <v>77</v>
      </c>
      <c r="C8856" s="2">
        <v>575.37019999999995</v>
      </c>
      <c r="D8856" s="2">
        <f>HYPERLINK("http://mcb-m6.bioreg.kyushu-u.ac.jp/M3/20110502/F51184/886/1", 50.92)</f>
        <v>50.92</v>
      </c>
      <c r="E8856" s="2">
        <v>31.28</v>
      </c>
      <c r="F8856" s="2">
        <v>2</v>
      </c>
      <c r="G8856" s="2" t="s">
        <v>14</v>
      </c>
    </row>
    <row r="8857" spans="1:9" x14ac:dyDescent="0.2">
      <c r="A8857" s="2" t="s">
        <v>3250</v>
      </c>
      <c r="B8857" s="2" t="s">
        <v>1065</v>
      </c>
      <c r="C8857" s="2">
        <v>717.05470000000003</v>
      </c>
      <c r="D8857" s="2">
        <f>HYPERLINK("http://mcb-m6.bioreg.kyushu-u.ac.jp/M3/20110502/F51191/1635/1", 51.19)</f>
        <v>51.19</v>
      </c>
      <c r="E8857" s="2">
        <v>39.06</v>
      </c>
      <c r="F8857" s="2">
        <v>2</v>
      </c>
      <c r="G8857" s="2" t="s">
        <v>14</v>
      </c>
      <c r="I8857" s="2" t="s">
        <v>4892</v>
      </c>
    </row>
    <row r="8858" spans="1:9" x14ac:dyDescent="0.2">
      <c r="A8858" s="2" t="s">
        <v>3250</v>
      </c>
      <c r="B8858" s="2" t="s">
        <v>1875</v>
      </c>
      <c r="C8858" s="2">
        <v>780.89469999999994</v>
      </c>
      <c r="D8858" s="2">
        <f>HYPERLINK("http://mcb-m6.bioreg.kyushu-u.ac.jp/M3/20110502/F51183/2133/1", 51.85)</f>
        <v>51.85</v>
      </c>
      <c r="E8858" s="2">
        <v>36.090000000000003</v>
      </c>
      <c r="F8858" s="2">
        <v>2</v>
      </c>
      <c r="G8858" s="2" t="s">
        <v>14</v>
      </c>
      <c r="H8858" s="2" t="s">
        <v>4920</v>
      </c>
    </row>
    <row r="8859" spans="1:9" x14ac:dyDescent="0.2">
      <c r="A8859" s="2" t="s">
        <v>3250</v>
      </c>
      <c r="B8859" s="2" t="s">
        <v>1875</v>
      </c>
      <c r="C8859" s="2">
        <v>788.63070000000005</v>
      </c>
      <c r="D8859" s="2">
        <f>HYPERLINK("http://mcb-m6.bioreg.kyushu-u.ac.jp/M3/20110502/F51184/2139/1", 51.87)</f>
        <v>51.87</v>
      </c>
      <c r="E8859" s="2">
        <v>33.6</v>
      </c>
      <c r="F8859" s="2">
        <v>2</v>
      </c>
      <c r="G8859" s="2" t="s">
        <v>14</v>
      </c>
      <c r="H8859" s="2" t="s">
        <v>4953</v>
      </c>
    </row>
    <row r="8860" spans="1:9" x14ac:dyDescent="0.2">
      <c r="A8860" s="2" t="s">
        <v>3250</v>
      </c>
      <c r="B8860" s="2" t="s">
        <v>102</v>
      </c>
      <c r="C8860" s="2">
        <v>1232.6859999999999</v>
      </c>
      <c r="D8860" s="2">
        <f>HYPERLINK("http://mcb-m6.bioreg.kyushu-u.ac.jp/M3/20110502/F51194/1153/1", 52.2)</f>
        <v>52.2</v>
      </c>
      <c r="E8860" s="2">
        <v>37.35</v>
      </c>
      <c r="F8860" s="2">
        <v>1</v>
      </c>
      <c r="G8860" s="2" t="s">
        <v>14</v>
      </c>
      <c r="H8860" s="2" t="s">
        <v>4900</v>
      </c>
    </row>
    <row r="8861" spans="1:9" x14ac:dyDescent="0.2">
      <c r="A8861" s="2" t="s">
        <v>3250</v>
      </c>
      <c r="B8861" s="2" t="s">
        <v>365</v>
      </c>
      <c r="C8861" s="2">
        <v>849.52419999999995</v>
      </c>
      <c r="D8861" s="2">
        <f>HYPERLINK("http://mcb-m6.bioreg.kyushu-u.ac.jp/M3/20110502/F51194/2388/1", 52.32)</f>
        <v>52.32</v>
      </c>
      <c r="E8861" s="2">
        <v>35.590000000000003</v>
      </c>
      <c r="F8861" s="2">
        <v>2</v>
      </c>
      <c r="G8861" s="2" t="s">
        <v>14</v>
      </c>
    </row>
    <row r="8862" spans="1:9" x14ac:dyDescent="0.2">
      <c r="A8862" s="2" t="s">
        <v>3250</v>
      </c>
      <c r="B8862" s="2" t="s">
        <v>365</v>
      </c>
      <c r="C8862" s="2">
        <v>848.99770000000001</v>
      </c>
      <c r="D8862" s="2">
        <f>HYPERLINK("http://mcb-m6.bioreg.kyushu-u.ac.jp/M3/20110502/F51185/2404/1", 52.42)</f>
        <v>52.42</v>
      </c>
      <c r="E8862" s="2">
        <v>38.25</v>
      </c>
      <c r="F8862" s="2">
        <v>2</v>
      </c>
      <c r="G8862" s="2" t="s">
        <v>14</v>
      </c>
    </row>
    <row r="8863" spans="1:9" x14ac:dyDescent="0.2">
      <c r="A8863" s="2" t="s">
        <v>3250</v>
      </c>
      <c r="B8863" s="2" t="s">
        <v>834</v>
      </c>
      <c r="C8863" s="2">
        <v>622.01919999999996</v>
      </c>
      <c r="D8863" s="2">
        <f>HYPERLINK("http://mcb-m6.bioreg.kyushu-u.ac.jp/M3/20110502/F51186/1326/1", 52.45)</f>
        <v>52.45</v>
      </c>
      <c r="E8863" s="2">
        <v>30.47</v>
      </c>
      <c r="F8863" s="2">
        <v>2</v>
      </c>
      <c r="G8863" s="2" t="s">
        <v>14</v>
      </c>
    </row>
    <row r="8864" spans="1:9" x14ac:dyDescent="0.2">
      <c r="A8864" s="2" t="s">
        <v>3250</v>
      </c>
      <c r="B8864" s="2" t="s">
        <v>561</v>
      </c>
      <c r="C8864" s="2">
        <v>1323.8</v>
      </c>
      <c r="D8864" s="2">
        <f>HYPERLINK("http://mcb-m6.bioreg.kyushu-u.ac.jp/M3/20110502/F51186/1458/1", 52.51)</f>
        <v>52.51</v>
      </c>
      <c r="E8864" s="2">
        <v>30.08</v>
      </c>
      <c r="F8864" s="2">
        <v>1</v>
      </c>
      <c r="G8864" s="2" t="s">
        <v>14</v>
      </c>
      <c r="H8864" s="2" t="s">
        <v>4919</v>
      </c>
    </row>
    <row r="8865" spans="1:9" x14ac:dyDescent="0.2">
      <c r="A8865" s="2" t="s">
        <v>3250</v>
      </c>
      <c r="B8865" s="2" t="s">
        <v>561</v>
      </c>
      <c r="C8865" s="2">
        <v>1307.713</v>
      </c>
      <c r="D8865" s="2">
        <f>HYPERLINK("http://mcb-m6.bioreg.kyushu-u.ac.jp/M3/20110502/F51194/1324/1", 52.54)</f>
        <v>52.54</v>
      </c>
      <c r="E8865" s="2">
        <v>36.64</v>
      </c>
      <c r="F8865" s="2">
        <v>1</v>
      </c>
      <c r="G8865" s="2" t="s">
        <v>14</v>
      </c>
    </row>
    <row r="8866" spans="1:9" x14ac:dyDescent="0.2">
      <c r="A8866" s="2" t="s">
        <v>3250</v>
      </c>
      <c r="B8866" s="2" t="s">
        <v>365</v>
      </c>
      <c r="C8866" s="2">
        <v>849.1807</v>
      </c>
      <c r="D8866" s="2">
        <f>HYPERLINK("http://mcb-m6.bioreg.kyushu-u.ac.jp/M3/20110502/F51194/2386/1", 52.64)</f>
        <v>52.64</v>
      </c>
      <c r="E8866" s="2">
        <v>33.659999999999997</v>
      </c>
      <c r="F8866" s="2">
        <v>2</v>
      </c>
      <c r="G8866" s="2" t="s">
        <v>14</v>
      </c>
    </row>
    <row r="8867" spans="1:9" x14ac:dyDescent="0.2">
      <c r="A8867" s="2" t="s">
        <v>3250</v>
      </c>
      <c r="B8867" s="2" t="s">
        <v>834</v>
      </c>
      <c r="C8867" s="2">
        <v>1242.857</v>
      </c>
      <c r="D8867" s="2">
        <f>HYPERLINK("http://mcb-m6.bioreg.kyushu-u.ac.jp/M3/20110502/F51194/1170/1", 52.67)</f>
        <v>52.67</v>
      </c>
      <c r="E8867" s="2">
        <v>30.35</v>
      </c>
      <c r="F8867" s="2">
        <v>1</v>
      </c>
      <c r="G8867" s="2" t="s">
        <v>14</v>
      </c>
    </row>
    <row r="8868" spans="1:9" x14ac:dyDescent="0.2">
      <c r="A8868" s="2" t="s">
        <v>3250</v>
      </c>
      <c r="B8868" s="2" t="s">
        <v>77</v>
      </c>
      <c r="C8868" s="2">
        <v>574.93119999999999</v>
      </c>
      <c r="D8868" s="2">
        <f>HYPERLINK("http://mcb-m6.bioreg.kyushu-u.ac.jp/M3/20110502/F51191/994/1", 52.76)</f>
        <v>52.76</v>
      </c>
      <c r="E8868" s="2">
        <v>31.94</v>
      </c>
      <c r="F8868" s="2">
        <v>2</v>
      </c>
      <c r="G8868" s="2" t="s">
        <v>14</v>
      </c>
    </row>
    <row r="8869" spans="1:9" x14ac:dyDescent="0.2">
      <c r="A8869" s="2" t="s">
        <v>3250</v>
      </c>
      <c r="B8869" s="2" t="s">
        <v>1787</v>
      </c>
      <c r="C8869" s="2">
        <v>1175.8920000000001</v>
      </c>
      <c r="D8869" s="2">
        <f>HYPERLINK("http://mcb-m6.bioreg.kyushu-u.ac.jp/M3/20110502/F51193/1118/1", 53.04)</f>
        <v>53.04</v>
      </c>
      <c r="E8869" s="2">
        <v>16.61</v>
      </c>
      <c r="F8869" s="2">
        <v>1</v>
      </c>
      <c r="G8869" s="2" t="s">
        <v>14</v>
      </c>
      <c r="I8869" s="2" t="s">
        <v>4895</v>
      </c>
    </row>
    <row r="8870" spans="1:9" x14ac:dyDescent="0.2">
      <c r="A8870" s="2" t="s">
        <v>3250</v>
      </c>
      <c r="B8870" s="2" t="s">
        <v>772</v>
      </c>
      <c r="C8870" s="2">
        <v>1190.819</v>
      </c>
      <c r="D8870" s="2">
        <f>HYPERLINK("http://mcb-m6.bioreg.kyushu-u.ac.jp/M3/20110502/F51186/1210/1", 53.13)</f>
        <v>53.13</v>
      </c>
      <c r="E8870" s="2">
        <v>12.8</v>
      </c>
      <c r="F8870" s="2">
        <v>1</v>
      </c>
      <c r="G8870" s="2" t="s">
        <v>14</v>
      </c>
    </row>
    <row r="8871" spans="1:9" x14ac:dyDescent="0.2">
      <c r="A8871" s="2" t="s">
        <v>3250</v>
      </c>
      <c r="B8871" s="2" t="s">
        <v>481</v>
      </c>
      <c r="C8871" s="2">
        <v>709.82510000000002</v>
      </c>
      <c r="D8871" s="2">
        <f>HYPERLINK("http://mcb-m6.bioreg.kyushu-u.ac.jp/M3/20110502/F51184/1648/1", 53.15)</f>
        <v>53.15</v>
      </c>
      <c r="E8871" s="2">
        <v>31.38</v>
      </c>
      <c r="F8871" s="2">
        <v>2</v>
      </c>
      <c r="G8871" s="2" t="s">
        <v>14</v>
      </c>
      <c r="I8871" s="2" t="s">
        <v>4898</v>
      </c>
    </row>
    <row r="8872" spans="1:9" x14ac:dyDescent="0.2">
      <c r="A8872" s="2" t="s">
        <v>3250</v>
      </c>
      <c r="B8872" s="2" t="s">
        <v>102</v>
      </c>
      <c r="C8872" s="2">
        <v>1231.7429999999999</v>
      </c>
      <c r="D8872" s="2">
        <f>HYPERLINK("http://mcb-m6.bioreg.kyushu-u.ac.jp/M3/20110502/F51186/1309/1", 53.57)</f>
        <v>53.57</v>
      </c>
      <c r="E8872" s="2">
        <v>36.76</v>
      </c>
      <c r="F8872" s="2">
        <v>1</v>
      </c>
      <c r="G8872" s="2" t="s">
        <v>14</v>
      </c>
      <c r="H8872" s="2" t="s">
        <v>4900</v>
      </c>
    </row>
    <row r="8873" spans="1:9" x14ac:dyDescent="0.2">
      <c r="A8873" s="2" t="s">
        <v>3250</v>
      </c>
      <c r="B8873" s="2" t="s">
        <v>481</v>
      </c>
      <c r="C8873" s="2">
        <v>709.61270000000002</v>
      </c>
      <c r="D8873" s="2">
        <f>HYPERLINK("http://mcb-m6.bioreg.kyushu-u.ac.jp/M3/20110502/F51186/1718/1", 53.62)</f>
        <v>53.62</v>
      </c>
      <c r="E8873" s="2">
        <v>37.22</v>
      </c>
      <c r="F8873" s="2">
        <v>2</v>
      </c>
      <c r="G8873" s="2" t="s">
        <v>14</v>
      </c>
      <c r="I8873" s="2" t="s">
        <v>4898</v>
      </c>
    </row>
    <row r="8874" spans="1:9" x14ac:dyDescent="0.2">
      <c r="A8874" s="2" t="s">
        <v>3250</v>
      </c>
      <c r="B8874" s="2" t="s">
        <v>1065</v>
      </c>
      <c r="C8874" s="2">
        <v>717.00519999999995</v>
      </c>
      <c r="D8874" s="2">
        <f>HYPERLINK("http://mcb-m6.bioreg.kyushu-u.ac.jp/M3/20110502/F51194/1707/1", 53.67)</f>
        <v>53.67</v>
      </c>
      <c r="E8874" s="2">
        <v>40.380000000000003</v>
      </c>
      <c r="F8874" s="2">
        <v>2</v>
      </c>
      <c r="G8874" s="2" t="s">
        <v>14</v>
      </c>
      <c r="I8874" s="2" t="s">
        <v>4892</v>
      </c>
    </row>
    <row r="8875" spans="1:9" x14ac:dyDescent="0.2">
      <c r="A8875" s="2" t="s">
        <v>3250</v>
      </c>
      <c r="B8875" s="2" t="s">
        <v>102</v>
      </c>
      <c r="C8875" s="2">
        <v>616.41110000000003</v>
      </c>
      <c r="D8875" s="2">
        <f>HYPERLINK("http://mcb-m6.bioreg.kyushu-u.ac.jp/M3/20110502/F51194/1149/1", 53.92)</f>
        <v>53.92</v>
      </c>
      <c r="E8875" s="2">
        <v>38.630000000000003</v>
      </c>
      <c r="F8875" s="2">
        <v>2</v>
      </c>
      <c r="G8875" s="2" t="s">
        <v>14</v>
      </c>
      <c r="H8875" s="2" t="s">
        <v>4900</v>
      </c>
    </row>
    <row r="8876" spans="1:9" x14ac:dyDescent="0.2">
      <c r="A8876" s="2" t="s">
        <v>3250</v>
      </c>
      <c r="B8876" s="2" t="s">
        <v>90</v>
      </c>
      <c r="C8876" s="2">
        <v>717.27719999999999</v>
      </c>
      <c r="D8876" s="2">
        <f>HYPERLINK("http://mcb-m6.bioreg.kyushu-u.ac.jp/M3/20110502/F51192/1657/1", 54.14)</f>
        <v>54.14</v>
      </c>
      <c r="E8876" s="2">
        <v>34.74</v>
      </c>
      <c r="F8876" s="2">
        <v>2</v>
      </c>
      <c r="G8876" s="2" t="s">
        <v>14</v>
      </c>
    </row>
    <row r="8877" spans="1:9" x14ac:dyDescent="0.2">
      <c r="A8877" s="2" t="s">
        <v>3250</v>
      </c>
      <c r="B8877" s="2" t="s">
        <v>102</v>
      </c>
      <c r="C8877" s="2">
        <v>616.90309999999999</v>
      </c>
      <c r="D8877" s="2">
        <f>HYPERLINK("http://mcb-m6.bioreg.kyushu-u.ac.jp/M3/20110502/F51194/1154/1", 54.18)</f>
        <v>54.18</v>
      </c>
      <c r="E8877" s="2">
        <v>37.81</v>
      </c>
      <c r="F8877" s="2">
        <v>2</v>
      </c>
      <c r="G8877" s="2" t="s">
        <v>14</v>
      </c>
      <c r="H8877" s="2" t="s">
        <v>4900</v>
      </c>
    </row>
    <row r="8878" spans="1:9" x14ac:dyDescent="0.2">
      <c r="A8878" s="2" t="s">
        <v>3250</v>
      </c>
      <c r="B8878" s="2" t="s">
        <v>561</v>
      </c>
      <c r="C8878" s="2">
        <v>662.52070000000003</v>
      </c>
      <c r="D8878" s="2">
        <f>HYPERLINK("http://mcb-m6.bioreg.kyushu-u.ac.jp/M3/20110502/F51191/1348/1", 54.37)</f>
        <v>54.37</v>
      </c>
      <c r="E8878" s="2">
        <v>33.020000000000003</v>
      </c>
      <c r="F8878" s="2">
        <v>2</v>
      </c>
      <c r="G8878" s="2" t="s">
        <v>14</v>
      </c>
      <c r="H8878" s="2" t="s">
        <v>4919</v>
      </c>
    </row>
    <row r="8879" spans="1:9" x14ac:dyDescent="0.2">
      <c r="A8879" s="2" t="s">
        <v>3250</v>
      </c>
      <c r="B8879" s="2" t="s">
        <v>834</v>
      </c>
      <c r="C8879" s="2">
        <v>622.1191</v>
      </c>
      <c r="D8879" s="2">
        <f>HYPERLINK("http://mcb-m6.bioreg.kyushu-u.ac.jp/M3/20110502/F51179/1161/1", 54.54)</f>
        <v>54.54</v>
      </c>
      <c r="E8879" s="2">
        <v>30.19</v>
      </c>
      <c r="F8879" s="2">
        <v>2</v>
      </c>
      <c r="G8879" s="2" t="s">
        <v>14</v>
      </c>
    </row>
    <row r="8880" spans="1:9" x14ac:dyDescent="0.2">
      <c r="A8880" s="2" t="s">
        <v>3250</v>
      </c>
      <c r="B8880" s="2" t="s">
        <v>772</v>
      </c>
      <c r="C8880" s="2">
        <v>1190.769</v>
      </c>
      <c r="D8880" s="2">
        <f>HYPERLINK("http://mcb-m6.bioreg.kyushu-u.ac.jp/M3/20110502/F51194/1031/1", 54.58)</f>
        <v>54.58</v>
      </c>
      <c r="E8880" s="2">
        <v>20.7</v>
      </c>
      <c r="F8880" s="2">
        <v>1</v>
      </c>
      <c r="G8880" s="2" t="s">
        <v>14</v>
      </c>
    </row>
    <row r="8881" spans="1:9" x14ac:dyDescent="0.2">
      <c r="A8881" s="2" t="s">
        <v>3250</v>
      </c>
      <c r="B8881" s="2" t="s">
        <v>365</v>
      </c>
      <c r="C8881" s="2">
        <v>849.55820000000006</v>
      </c>
      <c r="D8881" s="2">
        <f>HYPERLINK("http://mcb-m6.bioreg.kyushu-u.ac.jp/M3/20110502/F51183/2468/1", 54.59)</f>
        <v>54.59</v>
      </c>
      <c r="E8881" s="2">
        <v>37.450000000000003</v>
      </c>
      <c r="F8881" s="2">
        <v>2</v>
      </c>
      <c r="G8881" s="2" t="s">
        <v>14</v>
      </c>
    </row>
    <row r="8882" spans="1:9" x14ac:dyDescent="0.2">
      <c r="A8882" s="2" t="s">
        <v>3250</v>
      </c>
      <c r="B8882" s="2" t="s">
        <v>1765</v>
      </c>
      <c r="C8882" s="2">
        <v>762.02009999999996</v>
      </c>
      <c r="D8882" s="2">
        <f>HYPERLINK("http://mcb-m6.bioreg.kyushu-u.ac.jp/M3/20110502/F51184/1972/1", 54.88)</f>
        <v>54.88</v>
      </c>
      <c r="E8882" s="2">
        <v>31.9</v>
      </c>
      <c r="F8882" s="2">
        <v>2</v>
      </c>
      <c r="G8882" s="2" t="s">
        <v>14</v>
      </c>
    </row>
    <row r="8883" spans="1:9" x14ac:dyDescent="0.2">
      <c r="A8883" s="2" t="s">
        <v>3250</v>
      </c>
      <c r="B8883" s="2" t="s">
        <v>1765</v>
      </c>
      <c r="C8883" s="2">
        <v>762.02170000000001</v>
      </c>
      <c r="D8883" s="2">
        <f>HYPERLINK("http://mcb-m6.bioreg.kyushu-u.ac.jp/M3/20110502/F51194/1933/1", 54.9)</f>
        <v>54.9</v>
      </c>
      <c r="E8883" s="2">
        <v>38.840000000000003</v>
      </c>
      <c r="F8883" s="2">
        <v>2</v>
      </c>
      <c r="G8883" s="2" t="s">
        <v>14</v>
      </c>
    </row>
    <row r="8884" spans="1:9" x14ac:dyDescent="0.2">
      <c r="A8884" s="2" t="s">
        <v>3250</v>
      </c>
      <c r="B8884" s="2" t="s">
        <v>503</v>
      </c>
      <c r="C8884" s="2">
        <v>544.6902</v>
      </c>
      <c r="D8884" s="2">
        <f>HYPERLINK("http://mcb-m6.bioreg.kyushu-u.ac.jp/M3/20110502/F51194/2243/1", 55.04)</f>
        <v>55.04</v>
      </c>
      <c r="E8884" s="2">
        <v>36.869999999999997</v>
      </c>
      <c r="F8884" s="2">
        <v>3</v>
      </c>
      <c r="G8884" s="2" t="s">
        <v>14</v>
      </c>
      <c r="H8884" s="2" t="s">
        <v>4907</v>
      </c>
    </row>
    <row r="8885" spans="1:9" x14ac:dyDescent="0.2">
      <c r="A8885" s="2" t="s">
        <v>3250</v>
      </c>
      <c r="B8885" s="2" t="s">
        <v>543</v>
      </c>
      <c r="C8885" s="2">
        <v>926.88070000000005</v>
      </c>
      <c r="D8885" s="2">
        <f>HYPERLINK("http://mcb-m6.bioreg.kyushu-u.ac.jp/M3/20110502/F51194/2764/1", 55.04)</f>
        <v>55.04</v>
      </c>
      <c r="E8885" s="2">
        <v>34.86</v>
      </c>
      <c r="F8885" s="2">
        <v>2</v>
      </c>
      <c r="G8885" s="2" t="s">
        <v>14</v>
      </c>
    </row>
    <row r="8886" spans="1:9" x14ac:dyDescent="0.2">
      <c r="A8886" s="2" t="s">
        <v>3250</v>
      </c>
      <c r="B8886" s="2" t="s">
        <v>561</v>
      </c>
      <c r="C8886" s="2">
        <v>662.70619999999997</v>
      </c>
      <c r="D8886" s="2">
        <f>HYPERLINK("http://mcb-m6.bioreg.kyushu-u.ac.jp/M3/20110502/F51177/1333/1", 55.15)</f>
        <v>55.15</v>
      </c>
      <c r="E8886" s="2">
        <v>34.270000000000003</v>
      </c>
      <c r="F8886" s="2">
        <v>2</v>
      </c>
      <c r="G8886" s="2" t="s">
        <v>14</v>
      </c>
      <c r="H8886" s="2" t="s">
        <v>4919</v>
      </c>
    </row>
    <row r="8887" spans="1:9" x14ac:dyDescent="0.2">
      <c r="A8887" s="2" t="s">
        <v>3250</v>
      </c>
      <c r="B8887" s="2" t="s">
        <v>365</v>
      </c>
      <c r="C8887" s="2">
        <v>849.02719999999999</v>
      </c>
      <c r="D8887" s="2">
        <f>HYPERLINK("http://mcb-m6.bioreg.kyushu-u.ac.jp/M3/20110502/F51184/2496/1", 55.83)</f>
        <v>55.83</v>
      </c>
      <c r="E8887" s="2">
        <v>37.26</v>
      </c>
      <c r="F8887" s="2">
        <v>2</v>
      </c>
      <c r="G8887" s="2" t="s">
        <v>14</v>
      </c>
    </row>
    <row r="8888" spans="1:9" x14ac:dyDescent="0.2">
      <c r="A8888" s="2" t="s">
        <v>3250</v>
      </c>
      <c r="B8888" s="2" t="s">
        <v>365</v>
      </c>
      <c r="C8888" s="2">
        <v>849.13570000000004</v>
      </c>
      <c r="D8888" s="2">
        <f>HYPERLINK("http://mcb-m6.bioreg.kyushu-u.ac.jp/M3/20110502/F51193/2451/1", 56.19)</f>
        <v>56.19</v>
      </c>
      <c r="E8888" s="2">
        <v>37.85</v>
      </c>
      <c r="F8888" s="2">
        <v>2</v>
      </c>
      <c r="G8888" s="2" t="s">
        <v>14</v>
      </c>
    </row>
    <row r="8889" spans="1:9" x14ac:dyDescent="0.2">
      <c r="A8889" s="2" t="s">
        <v>3250</v>
      </c>
      <c r="B8889" s="2" t="s">
        <v>772</v>
      </c>
      <c r="C8889" s="2">
        <v>596.01419999999996</v>
      </c>
      <c r="D8889" s="2">
        <f>HYPERLINK("http://mcb-m6.bioreg.kyushu-u.ac.jp/M3/20110502/F51185/1144/1", 56.24)</f>
        <v>56.24</v>
      </c>
      <c r="E8889" s="2">
        <v>29.35</v>
      </c>
      <c r="F8889" s="2">
        <v>2</v>
      </c>
      <c r="G8889" s="2" t="s">
        <v>14</v>
      </c>
    </row>
    <row r="8890" spans="1:9" x14ac:dyDescent="0.2">
      <c r="A8890" s="2" t="s">
        <v>3250</v>
      </c>
      <c r="B8890" s="2" t="s">
        <v>365</v>
      </c>
      <c r="C8890" s="2">
        <v>849.01260000000002</v>
      </c>
      <c r="D8890" s="2">
        <f>HYPERLINK("http://mcb-m6.bioreg.kyushu-u.ac.jp/M3/20110502/F51194/2384/1", 56.39)</f>
        <v>56.39</v>
      </c>
      <c r="E8890" s="2">
        <v>37.200000000000003</v>
      </c>
      <c r="F8890" s="2">
        <v>2</v>
      </c>
      <c r="G8890" s="2" t="s">
        <v>14</v>
      </c>
    </row>
    <row r="8891" spans="1:9" x14ac:dyDescent="0.2">
      <c r="A8891" s="2" t="s">
        <v>3250</v>
      </c>
      <c r="B8891" s="2" t="s">
        <v>834</v>
      </c>
      <c r="C8891" s="2">
        <v>622.26419999999996</v>
      </c>
      <c r="D8891" s="2">
        <f>HYPERLINK("http://mcb-m6.bioreg.kyushu-u.ac.jp/M3/20110502/F51186/1328/1", 56.4)</f>
        <v>56.4</v>
      </c>
      <c r="E8891" s="2">
        <v>29.23</v>
      </c>
      <c r="F8891" s="2">
        <v>2</v>
      </c>
      <c r="G8891" s="2" t="s">
        <v>14</v>
      </c>
    </row>
    <row r="8892" spans="1:9" x14ac:dyDescent="0.2">
      <c r="A8892" s="2" t="s">
        <v>3250</v>
      </c>
      <c r="B8892" s="2" t="s">
        <v>503</v>
      </c>
      <c r="C8892" s="2">
        <v>808.48659999999995</v>
      </c>
      <c r="D8892" s="2">
        <f>HYPERLINK("http://mcb-m6.bioreg.kyushu-u.ac.jp/M3/20110502/F51194/2192/1", 56.56)</f>
        <v>56.56</v>
      </c>
      <c r="E8892" s="2">
        <v>47.63</v>
      </c>
      <c r="F8892" s="2">
        <v>2</v>
      </c>
      <c r="G8892" s="2" t="s">
        <v>14</v>
      </c>
    </row>
    <row r="8893" spans="1:9" x14ac:dyDescent="0.2">
      <c r="A8893" s="2" t="s">
        <v>3250</v>
      </c>
      <c r="B8893" s="2" t="s">
        <v>481</v>
      </c>
      <c r="C8893" s="2">
        <v>1417.7550000000001</v>
      </c>
      <c r="D8893" s="2">
        <f>HYPERLINK("http://mcb-m6.bioreg.kyushu-u.ac.jp/M3/20110502/F51194/1646/1", 56.96)</f>
        <v>56.96</v>
      </c>
      <c r="E8893" s="2">
        <v>43</v>
      </c>
      <c r="F8893" s="2">
        <v>1</v>
      </c>
      <c r="G8893" s="2" t="s">
        <v>14</v>
      </c>
      <c r="I8893" s="2" t="s">
        <v>4898</v>
      </c>
    </row>
    <row r="8894" spans="1:9" x14ac:dyDescent="0.2">
      <c r="A8894" s="2" t="s">
        <v>3250</v>
      </c>
      <c r="B8894" s="2" t="s">
        <v>1065</v>
      </c>
      <c r="C8894" s="2">
        <v>1433.8150000000001</v>
      </c>
      <c r="D8894" s="2">
        <f>HYPERLINK("http://mcb-m6.bioreg.kyushu-u.ac.jp/M3/20110502/F51194/1715/1", 57.44)</f>
        <v>57.44</v>
      </c>
      <c r="E8894" s="2">
        <v>35.619999999999997</v>
      </c>
      <c r="F8894" s="2">
        <v>1</v>
      </c>
      <c r="G8894" s="2" t="s">
        <v>14</v>
      </c>
      <c r="I8894" s="2" t="s">
        <v>4892</v>
      </c>
    </row>
    <row r="8895" spans="1:9" x14ac:dyDescent="0.2">
      <c r="A8895" s="2" t="s">
        <v>3250</v>
      </c>
      <c r="B8895" s="2" t="s">
        <v>834</v>
      </c>
      <c r="C8895" s="2">
        <v>1242.9649999999999</v>
      </c>
      <c r="D8895" s="2">
        <f>HYPERLINK("http://mcb-m6.bioreg.kyushu-u.ac.jp/M3/20110502/F51184/1117/1", 57.6)</f>
        <v>57.6</v>
      </c>
      <c r="E8895" s="2">
        <v>34.049999999999997</v>
      </c>
      <c r="F8895" s="2">
        <v>1</v>
      </c>
      <c r="G8895" s="2" t="s">
        <v>14</v>
      </c>
    </row>
    <row r="8896" spans="1:9" x14ac:dyDescent="0.2">
      <c r="A8896" s="2" t="s">
        <v>3250</v>
      </c>
      <c r="B8896" s="2" t="s">
        <v>311</v>
      </c>
      <c r="C8896" s="2">
        <v>599.15520000000004</v>
      </c>
      <c r="D8896" s="2">
        <f>HYPERLINK("http://mcb-m6.bioreg.kyushu-u.ac.jp/M3/20110502/F51192/1109/1", 57.75)</f>
        <v>57.75</v>
      </c>
      <c r="E8896" s="2">
        <v>37.9</v>
      </c>
      <c r="F8896" s="2">
        <v>2</v>
      </c>
      <c r="G8896" s="2" t="s">
        <v>14</v>
      </c>
    </row>
    <row r="8897" spans="1:9" x14ac:dyDescent="0.2">
      <c r="A8897" s="2" t="s">
        <v>3250</v>
      </c>
      <c r="B8897" s="2" t="s">
        <v>834</v>
      </c>
      <c r="C8897" s="2">
        <v>622.34519999999998</v>
      </c>
      <c r="D8897" s="2">
        <f>HYPERLINK("http://mcb-m6.bioreg.kyushu-u.ac.jp/M3/20110502/F51186/1329/1", 58.46)</f>
        <v>58.46</v>
      </c>
      <c r="E8897" s="2">
        <v>31.48</v>
      </c>
      <c r="F8897" s="2">
        <v>2</v>
      </c>
      <c r="G8897" s="2" t="s">
        <v>14</v>
      </c>
    </row>
    <row r="8898" spans="1:9" x14ac:dyDescent="0.2">
      <c r="A8898" s="2" t="s">
        <v>3250</v>
      </c>
      <c r="B8898" s="2" t="s">
        <v>356</v>
      </c>
      <c r="C8898" s="2">
        <v>815.92520000000002</v>
      </c>
      <c r="D8898" s="2">
        <f>HYPERLINK("http://mcb-m6.bioreg.kyushu-u.ac.jp/M3/20110502/F51184/2312/1", 58.47)</f>
        <v>58.47</v>
      </c>
      <c r="E8898" s="2">
        <v>46.86</v>
      </c>
      <c r="F8898" s="2">
        <v>2</v>
      </c>
      <c r="G8898" s="2" t="s">
        <v>14</v>
      </c>
    </row>
    <row r="8899" spans="1:9" x14ac:dyDescent="0.2">
      <c r="A8899" s="2" t="s">
        <v>3250</v>
      </c>
      <c r="B8899" s="2" t="s">
        <v>1875</v>
      </c>
      <c r="C8899" s="2">
        <v>772.8777</v>
      </c>
      <c r="D8899" s="2">
        <f>HYPERLINK("http://mcb-m6.bioreg.kyushu-u.ac.jp/M3/20110502/F51194/1995/1", 58.49)</f>
        <v>58.49</v>
      </c>
      <c r="E8899" s="2">
        <v>41.75</v>
      </c>
      <c r="F8899" s="2">
        <v>2</v>
      </c>
      <c r="G8899" s="2" t="s">
        <v>14</v>
      </c>
    </row>
    <row r="8900" spans="1:9" x14ac:dyDescent="0.2">
      <c r="A8900" s="2" t="s">
        <v>3250</v>
      </c>
      <c r="B8900" s="2" t="s">
        <v>1521</v>
      </c>
      <c r="C8900" s="2">
        <v>659.90650000000005</v>
      </c>
      <c r="D8900" s="2">
        <f>HYPERLINK("http://mcb-m6.bioreg.kyushu-u.ac.jp/M3/20110502/F51194/3017/1", 58.55)</f>
        <v>58.55</v>
      </c>
      <c r="E8900" s="2">
        <v>45.73</v>
      </c>
      <c r="F8900" s="2">
        <v>3</v>
      </c>
      <c r="G8900" s="2" t="s">
        <v>14</v>
      </c>
    </row>
    <row r="8901" spans="1:9" x14ac:dyDescent="0.2">
      <c r="A8901" s="2" t="s">
        <v>3250</v>
      </c>
      <c r="B8901" s="2" t="s">
        <v>90</v>
      </c>
      <c r="C8901" s="2">
        <v>716.98360000000002</v>
      </c>
      <c r="D8901" s="2">
        <f>HYPERLINK("http://mcb-m6.bioreg.kyushu-u.ac.jp/M3/20110502/F51193/1768/1", 58.56)</f>
        <v>58.56</v>
      </c>
      <c r="E8901" s="2">
        <v>36.6</v>
      </c>
      <c r="F8901" s="2">
        <v>2</v>
      </c>
      <c r="G8901" s="2" t="s">
        <v>14</v>
      </c>
    </row>
    <row r="8902" spans="1:9" x14ac:dyDescent="0.2">
      <c r="A8902" s="2" t="s">
        <v>3250</v>
      </c>
      <c r="B8902" s="2" t="s">
        <v>834</v>
      </c>
      <c r="C8902" s="2">
        <v>621.80520000000001</v>
      </c>
      <c r="D8902" s="2">
        <f>HYPERLINK("http://mcb-m6.bioreg.kyushu-u.ac.jp/M3/20110502/F51194/1168/1", 59.13)</f>
        <v>59.13</v>
      </c>
      <c r="E8902" s="2">
        <v>37.76</v>
      </c>
      <c r="F8902" s="2">
        <v>2</v>
      </c>
      <c r="G8902" s="2" t="s">
        <v>14</v>
      </c>
    </row>
    <row r="8903" spans="1:9" x14ac:dyDescent="0.2">
      <c r="A8903" s="2" t="s">
        <v>3250</v>
      </c>
      <c r="B8903" s="2" t="s">
        <v>1787</v>
      </c>
      <c r="C8903" s="2">
        <v>588.87710000000004</v>
      </c>
      <c r="D8903" s="2">
        <f>HYPERLINK("http://mcb-m6.bioreg.kyushu-u.ac.jp/M3/20110502/F51194/992/1", 59.98)</f>
        <v>59.98</v>
      </c>
      <c r="E8903" s="2">
        <v>41.22</v>
      </c>
      <c r="F8903" s="2">
        <v>2</v>
      </c>
      <c r="G8903" s="2" t="s">
        <v>14</v>
      </c>
      <c r="I8903" s="2" t="s">
        <v>4895</v>
      </c>
    </row>
    <row r="8904" spans="1:9" x14ac:dyDescent="0.2">
      <c r="A8904" s="2" t="s">
        <v>3250</v>
      </c>
      <c r="B8904" s="2" t="s">
        <v>1787</v>
      </c>
      <c r="C8904" s="2">
        <v>1175.8240000000001</v>
      </c>
      <c r="D8904" s="2">
        <f>HYPERLINK("http://mcb-m6.bioreg.kyushu-u.ac.jp/M3/20110502/F51184/946/1", 60.26)</f>
        <v>60.26</v>
      </c>
      <c r="E8904" s="2">
        <v>34.72</v>
      </c>
      <c r="F8904" s="2">
        <v>1</v>
      </c>
      <c r="G8904" s="2" t="s">
        <v>14</v>
      </c>
      <c r="I8904" s="2" t="s">
        <v>4895</v>
      </c>
    </row>
    <row r="8905" spans="1:9" x14ac:dyDescent="0.2">
      <c r="A8905" s="2" t="s">
        <v>3250</v>
      </c>
      <c r="B8905" s="2" t="s">
        <v>311</v>
      </c>
      <c r="C8905" s="2">
        <v>599.24270000000001</v>
      </c>
      <c r="D8905" s="2">
        <f>HYPERLINK("http://mcb-m6.bioreg.kyushu-u.ac.jp/M3/20110502/F51183/1192/1", 60.63)</f>
        <v>60.63</v>
      </c>
      <c r="E8905" s="2">
        <v>36.86</v>
      </c>
      <c r="F8905" s="2">
        <v>2</v>
      </c>
      <c r="G8905" s="2" t="s">
        <v>14</v>
      </c>
    </row>
    <row r="8906" spans="1:9" x14ac:dyDescent="0.2">
      <c r="A8906" s="2" t="s">
        <v>3250</v>
      </c>
      <c r="B8906" s="2" t="s">
        <v>365</v>
      </c>
      <c r="C8906" s="2">
        <v>849.54060000000004</v>
      </c>
      <c r="D8906" s="2">
        <f>HYPERLINK("http://mcb-m6.bioreg.kyushu-u.ac.jp/M3/20110502/F51194/2389/1", 60.65)</f>
        <v>60.65</v>
      </c>
      <c r="E8906" s="2">
        <v>45.73</v>
      </c>
      <c r="F8906" s="2">
        <v>2</v>
      </c>
      <c r="G8906" s="2" t="s">
        <v>14</v>
      </c>
    </row>
    <row r="8907" spans="1:9" x14ac:dyDescent="0.2">
      <c r="A8907" s="2" t="s">
        <v>3250</v>
      </c>
      <c r="B8907" s="2" t="s">
        <v>1065</v>
      </c>
      <c r="C8907" s="2">
        <v>717.35670000000005</v>
      </c>
      <c r="D8907" s="2">
        <f>HYPERLINK("http://mcb-m6.bioreg.kyushu-u.ac.jp/M3/20110502/F51183/1776/1", 60.88)</f>
        <v>60.88</v>
      </c>
      <c r="E8907" s="2">
        <v>40.97</v>
      </c>
      <c r="F8907" s="2">
        <v>2</v>
      </c>
      <c r="G8907" s="2" t="s">
        <v>14</v>
      </c>
      <c r="I8907" s="2" t="s">
        <v>4892</v>
      </c>
    </row>
    <row r="8908" spans="1:9" x14ac:dyDescent="0.2">
      <c r="A8908" s="2" t="s">
        <v>3250</v>
      </c>
      <c r="B8908" s="2" t="s">
        <v>772</v>
      </c>
      <c r="C8908" s="2">
        <v>1190.943</v>
      </c>
      <c r="D8908" s="2">
        <f>HYPERLINK("http://mcb-m6.bioreg.kyushu-u.ac.jp/M3/20110502/F51185/1142/1", 61.29)</f>
        <v>61.29</v>
      </c>
      <c r="E8908" s="2">
        <v>31.49</v>
      </c>
      <c r="F8908" s="2">
        <v>1</v>
      </c>
      <c r="G8908" s="2" t="s">
        <v>14</v>
      </c>
    </row>
    <row r="8909" spans="1:9" x14ac:dyDescent="0.2">
      <c r="A8909" s="2" t="s">
        <v>3250</v>
      </c>
      <c r="B8909" s="2" t="s">
        <v>356</v>
      </c>
      <c r="C8909" s="2">
        <v>816.22559999999999</v>
      </c>
      <c r="D8909" s="2">
        <f>HYPERLINK("http://mcb-m6.bioreg.kyushu-u.ac.jp/M3/20110502/F51191/2028/1", 61.4)</f>
        <v>61.4</v>
      </c>
      <c r="E8909" s="2">
        <v>40.89</v>
      </c>
      <c r="F8909" s="2">
        <v>2</v>
      </c>
      <c r="G8909" s="2" t="s">
        <v>14</v>
      </c>
    </row>
    <row r="8910" spans="1:9" x14ac:dyDescent="0.2">
      <c r="A8910" s="2" t="s">
        <v>3250</v>
      </c>
      <c r="B8910" s="2" t="s">
        <v>1875</v>
      </c>
      <c r="C8910" s="2">
        <v>780.6191</v>
      </c>
      <c r="D8910" s="2">
        <f>HYPERLINK("http://mcb-m6.bioreg.kyushu-u.ac.jp/M3/20110502/F51184/2086/1", 61.44)</f>
        <v>61.44</v>
      </c>
      <c r="E8910" s="2">
        <v>43.94</v>
      </c>
      <c r="F8910" s="2">
        <v>2</v>
      </c>
      <c r="G8910" s="2" t="s">
        <v>14</v>
      </c>
      <c r="H8910" s="2" t="s">
        <v>4917</v>
      </c>
    </row>
    <row r="8911" spans="1:9" x14ac:dyDescent="0.2">
      <c r="A8911" s="2" t="s">
        <v>3250</v>
      </c>
      <c r="B8911" s="2" t="s">
        <v>77</v>
      </c>
      <c r="C8911" s="2">
        <v>574.91269999999997</v>
      </c>
      <c r="D8911" s="2">
        <f>HYPERLINK("http://mcb-m6.bioreg.kyushu-u.ac.jp/M3/20110502/F51194/935/1", 61.47)</f>
        <v>61.47</v>
      </c>
      <c r="E8911" s="2">
        <v>38.26</v>
      </c>
      <c r="F8911" s="2">
        <v>2</v>
      </c>
      <c r="G8911" s="2" t="s">
        <v>14</v>
      </c>
    </row>
    <row r="8912" spans="1:9" x14ac:dyDescent="0.2">
      <c r="A8912" s="2" t="s">
        <v>3250</v>
      </c>
      <c r="B8912" s="2" t="s">
        <v>481</v>
      </c>
      <c r="C8912" s="2">
        <v>1417.8009999999999</v>
      </c>
      <c r="D8912" s="2">
        <f>HYPERLINK("http://mcb-m6.bioreg.kyushu-u.ac.jp/M3/20110502/F51186/1714/1", 61.63)</f>
        <v>61.63</v>
      </c>
      <c r="E8912" s="2">
        <v>34.729999999999997</v>
      </c>
      <c r="F8912" s="2">
        <v>1</v>
      </c>
      <c r="G8912" s="2" t="s">
        <v>14</v>
      </c>
      <c r="I8912" s="2" t="s">
        <v>4898</v>
      </c>
    </row>
    <row r="8913" spans="1:9" x14ac:dyDescent="0.2">
      <c r="A8913" s="2" t="s">
        <v>3250</v>
      </c>
      <c r="B8913" s="2" t="s">
        <v>365</v>
      </c>
      <c r="C8913" s="2">
        <v>849.10860000000002</v>
      </c>
      <c r="D8913" s="2">
        <f>HYPERLINK("http://mcb-m6.bioreg.kyushu-u.ac.jp/M3/20110502/F51186/2309/1", 61.95)</f>
        <v>61.95</v>
      </c>
      <c r="E8913" s="2">
        <v>47.75</v>
      </c>
      <c r="F8913" s="2">
        <v>2</v>
      </c>
      <c r="G8913" s="2" t="s">
        <v>14</v>
      </c>
    </row>
    <row r="8914" spans="1:9" x14ac:dyDescent="0.2">
      <c r="A8914" s="2" t="s">
        <v>3250</v>
      </c>
      <c r="B8914" s="2" t="s">
        <v>561</v>
      </c>
      <c r="C8914" s="2">
        <v>1324.797</v>
      </c>
      <c r="D8914" s="2">
        <f>HYPERLINK("http://mcb-m6.bioreg.kyushu-u.ac.jp/M3/20110502/F51194/1366/1", 62.15)</f>
        <v>62.15</v>
      </c>
      <c r="E8914" s="2">
        <v>42.02</v>
      </c>
      <c r="F8914" s="2">
        <v>1</v>
      </c>
      <c r="G8914" s="2" t="s">
        <v>14</v>
      </c>
      <c r="H8914" s="2" t="s">
        <v>4919</v>
      </c>
    </row>
    <row r="8915" spans="1:9" x14ac:dyDescent="0.2">
      <c r="A8915" s="2" t="s">
        <v>3250</v>
      </c>
      <c r="B8915" s="2" t="s">
        <v>311</v>
      </c>
      <c r="C8915" s="2">
        <v>598.92610000000002</v>
      </c>
      <c r="D8915" s="2">
        <f>HYPERLINK("http://mcb-m6.bioreg.kyushu-u.ac.jp/M3/20110502/F51179/1052/1", 62.31)</f>
        <v>62.31</v>
      </c>
      <c r="E8915" s="2">
        <v>36.51</v>
      </c>
      <c r="F8915" s="2">
        <v>2</v>
      </c>
      <c r="G8915" s="2" t="s">
        <v>14</v>
      </c>
    </row>
    <row r="8916" spans="1:9" x14ac:dyDescent="0.2">
      <c r="A8916" s="2" t="s">
        <v>3250</v>
      </c>
      <c r="B8916" s="2" t="s">
        <v>365</v>
      </c>
      <c r="C8916" s="2">
        <v>849.02170000000001</v>
      </c>
      <c r="D8916" s="2">
        <f>HYPERLINK("http://mcb-m6.bioreg.kyushu-u.ac.jp/M3/20110502/F51176/2281/1", 62.46)</f>
        <v>62.46</v>
      </c>
      <c r="E8916" s="2">
        <v>44.89</v>
      </c>
      <c r="F8916" s="2">
        <v>2</v>
      </c>
      <c r="G8916" s="2" t="s">
        <v>14</v>
      </c>
    </row>
    <row r="8917" spans="1:9" x14ac:dyDescent="0.2">
      <c r="A8917" s="2" t="s">
        <v>3250</v>
      </c>
      <c r="B8917" s="2" t="s">
        <v>1875</v>
      </c>
      <c r="C8917" s="2">
        <v>772.5367</v>
      </c>
      <c r="D8917" s="2">
        <f>HYPERLINK("http://mcb-m6.bioreg.kyushu-u.ac.jp/M3/20110502/F51194/1989/1", 63.37)</f>
        <v>63.37</v>
      </c>
      <c r="E8917" s="2">
        <v>47.1</v>
      </c>
      <c r="F8917" s="2">
        <v>2</v>
      </c>
      <c r="G8917" s="2" t="s">
        <v>14</v>
      </c>
    </row>
    <row r="8918" spans="1:9" x14ac:dyDescent="0.2">
      <c r="A8918" s="2" t="s">
        <v>3250</v>
      </c>
      <c r="B8918" s="2" t="s">
        <v>772</v>
      </c>
      <c r="C8918" s="2">
        <v>596.03769999999997</v>
      </c>
      <c r="D8918" s="2">
        <f>HYPERLINK("http://mcb-m6.bioreg.kyushu-u.ac.jp/M3/20110502/F51184/991/1", 63.54)</f>
        <v>63.54</v>
      </c>
      <c r="E8918" s="2">
        <v>37.43</v>
      </c>
      <c r="F8918" s="2">
        <v>2</v>
      </c>
      <c r="G8918" s="2" t="s">
        <v>14</v>
      </c>
    </row>
    <row r="8919" spans="1:9" x14ac:dyDescent="0.2">
      <c r="A8919" s="2" t="s">
        <v>3250</v>
      </c>
      <c r="B8919" s="2" t="s">
        <v>561</v>
      </c>
      <c r="C8919" s="2">
        <v>1307.7860000000001</v>
      </c>
      <c r="D8919" s="2">
        <f>HYPERLINK("http://mcb-m6.bioreg.kyushu-u.ac.jp/M3/20110502/F51184/1285/1", 63.74)</f>
        <v>63.74</v>
      </c>
      <c r="E8919" s="2">
        <v>48.75</v>
      </c>
      <c r="F8919" s="2">
        <v>1</v>
      </c>
      <c r="G8919" s="2" t="s">
        <v>14</v>
      </c>
    </row>
    <row r="8920" spans="1:9" x14ac:dyDescent="0.2">
      <c r="A8920" s="2" t="s">
        <v>3250</v>
      </c>
      <c r="B8920" s="2" t="s">
        <v>1875</v>
      </c>
      <c r="C8920" s="2">
        <v>780.51819999999998</v>
      </c>
      <c r="D8920" s="2">
        <f>HYPERLINK("http://mcb-m6.bioreg.kyushu-u.ac.jp/M3/20110502/F51194/2032/1", 64.74)</f>
        <v>64.739999999999995</v>
      </c>
      <c r="E8920" s="2">
        <v>48.57</v>
      </c>
      <c r="F8920" s="2">
        <v>2</v>
      </c>
      <c r="G8920" s="2" t="s">
        <v>14</v>
      </c>
      <c r="H8920" s="2" t="s">
        <v>4920</v>
      </c>
    </row>
    <row r="8921" spans="1:9" x14ac:dyDescent="0.2">
      <c r="A8921" s="2" t="s">
        <v>3250</v>
      </c>
      <c r="B8921" s="2" t="s">
        <v>356</v>
      </c>
      <c r="C8921" s="2">
        <v>816.09559999999999</v>
      </c>
      <c r="D8921" s="2">
        <f>HYPERLINK("http://mcb-m6.bioreg.kyushu-u.ac.jp/M3/20110502/F51193/2293/1", 64.87)</f>
        <v>64.87</v>
      </c>
      <c r="E8921" s="2">
        <v>36.950000000000003</v>
      </c>
      <c r="F8921" s="2">
        <v>2</v>
      </c>
      <c r="G8921" s="2" t="s">
        <v>14</v>
      </c>
    </row>
    <row r="8922" spans="1:9" x14ac:dyDescent="0.2">
      <c r="A8922" s="2" t="s">
        <v>3250</v>
      </c>
      <c r="B8922" s="2" t="s">
        <v>772</v>
      </c>
      <c r="C8922" s="2">
        <v>1190.9159999999999</v>
      </c>
      <c r="D8922" s="2">
        <f>HYPERLINK("http://mcb-m6.bioreg.kyushu-u.ac.jp/M3/20110502/F51184/989/1", 64.88)</f>
        <v>64.88</v>
      </c>
      <c r="E8922" s="2">
        <v>35.26</v>
      </c>
      <c r="F8922" s="2">
        <v>1</v>
      </c>
      <c r="G8922" s="2" t="s">
        <v>14</v>
      </c>
    </row>
    <row r="8923" spans="1:9" x14ac:dyDescent="0.2">
      <c r="A8923" s="2" t="s">
        <v>3250</v>
      </c>
      <c r="B8923" s="2" t="s">
        <v>834</v>
      </c>
      <c r="C8923" s="2">
        <v>621.87869999999998</v>
      </c>
      <c r="D8923" s="2">
        <f>HYPERLINK("http://mcb-m6.bioreg.kyushu-u.ac.jp/M3/20110502/F51192/1197/1", 65.28)</f>
        <v>65.28</v>
      </c>
      <c r="E8923" s="2">
        <v>35.94</v>
      </c>
      <c r="F8923" s="2">
        <v>2</v>
      </c>
      <c r="G8923" s="2" t="s">
        <v>14</v>
      </c>
    </row>
    <row r="8924" spans="1:9" x14ac:dyDescent="0.2">
      <c r="A8924" s="2" t="s">
        <v>3250</v>
      </c>
      <c r="B8924" s="2" t="s">
        <v>467</v>
      </c>
      <c r="C8924" s="2">
        <v>1382.84</v>
      </c>
      <c r="D8924" s="2">
        <f>HYPERLINK("http://mcb-m6.bioreg.kyushu-u.ac.jp/M3/20110502/F51186/1627/1", 65.46)</f>
        <v>65.459999999999994</v>
      </c>
      <c r="E8924" s="2">
        <v>44.51</v>
      </c>
      <c r="F8924" s="2">
        <v>1</v>
      </c>
      <c r="G8924" s="2" t="s">
        <v>14</v>
      </c>
    </row>
    <row r="8925" spans="1:9" x14ac:dyDescent="0.2">
      <c r="A8925" s="2" t="s">
        <v>3250</v>
      </c>
      <c r="B8925" s="2" t="s">
        <v>365</v>
      </c>
      <c r="C8925" s="2">
        <v>849.27620000000002</v>
      </c>
      <c r="D8925" s="2">
        <f>HYPERLINK("http://mcb-m6.bioreg.kyushu-u.ac.jp/M3/20110502/F51186/2313/1", 65.46)</f>
        <v>65.459999999999994</v>
      </c>
      <c r="E8925" s="2">
        <v>47.12</v>
      </c>
      <c r="F8925" s="2">
        <v>2</v>
      </c>
      <c r="G8925" s="2" t="s">
        <v>14</v>
      </c>
    </row>
    <row r="8926" spans="1:9" x14ac:dyDescent="0.2">
      <c r="A8926" s="2" t="s">
        <v>3250</v>
      </c>
      <c r="B8926" s="2" t="s">
        <v>834</v>
      </c>
      <c r="C8926" s="2">
        <v>621.69709999999998</v>
      </c>
      <c r="D8926" s="2">
        <f>HYPERLINK("http://mcb-m6.bioreg.kyushu-u.ac.jp/M3/20110502/F51194/1167/1", 65.5)</f>
        <v>65.5</v>
      </c>
      <c r="E8926" s="2">
        <v>37.26</v>
      </c>
      <c r="F8926" s="2">
        <v>2</v>
      </c>
      <c r="G8926" s="2" t="s">
        <v>14</v>
      </c>
    </row>
    <row r="8927" spans="1:9" x14ac:dyDescent="0.2">
      <c r="A8927" s="2" t="s">
        <v>3250</v>
      </c>
      <c r="B8927" s="2" t="s">
        <v>1787</v>
      </c>
      <c r="C8927" s="2">
        <v>588.81820000000005</v>
      </c>
      <c r="D8927" s="2">
        <f>HYPERLINK("http://mcb-m6.bioreg.kyushu-u.ac.jp/M3/20110502/F51192/1050/1", 65.57)</f>
        <v>65.569999999999993</v>
      </c>
      <c r="E8927" s="2">
        <v>45.95</v>
      </c>
      <c r="F8927" s="2">
        <v>2</v>
      </c>
      <c r="G8927" s="2" t="s">
        <v>14</v>
      </c>
      <c r="I8927" s="2" t="s">
        <v>4895</v>
      </c>
    </row>
    <row r="8928" spans="1:9" x14ac:dyDescent="0.2">
      <c r="A8928" s="2" t="s">
        <v>3250</v>
      </c>
      <c r="B8928" s="2" t="s">
        <v>561</v>
      </c>
      <c r="C8928" s="2">
        <v>662.93709999999999</v>
      </c>
      <c r="D8928" s="2">
        <f>HYPERLINK("http://mcb-m6.bioreg.kyushu-u.ac.jp/M3/20110502/F51193/1398/1", 65.86)</f>
        <v>65.86</v>
      </c>
      <c r="E8928" s="2">
        <v>41.61</v>
      </c>
      <c r="F8928" s="2">
        <v>2</v>
      </c>
      <c r="G8928" s="2" t="s">
        <v>14</v>
      </c>
      <c r="H8928" s="2" t="s">
        <v>4919</v>
      </c>
    </row>
    <row r="8929" spans="1:9" x14ac:dyDescent="0.2">
      <c r="A8929" s="2" t="s">
        <v>3250</v>
      </c>
      <c r="B8929" s="2" t="s">
        <v>1787</v>
      </c>
      <c r="C8929" s="2">
        <v>588.36609999999996</v>
      </c>
      <c r="D8929" s="2">
        <f>HYPERLINK("http://mcb-m6.bioreg.kyushu-u.ac.jp/M3/20110502/F51194/987/1", 65.89)</f>
        <v>65.89</v>
      </c>
      <c r="E8929" s="2">
        <v>46</v>
      </c>
      <c r="F8929" s="2">
        <v>2</v>
      </c>
      <c r="G8929" s="2" t="s">
        <v>14</v>
      </c>
      <c r="I8929" s="2" t="s">
        <v>4895</v>
      </c>
    </row>
    <row r="8930" spans="1:9" x14ac:dyDescent="0.2">
      <c r="A8930" s="2" t="s">
        <v>3250</v>
      </c>
      <c r="B8930" s="2" t="s">
        <v>1255</v>
      </c>
      <c r="C8930" s="2">
        <v>1274.0360000000001</v>
      </c>
      <c r="D8930" s="2">
        <f>HYPERLINK("http://mcb-m6.bioreg.kyushu-u.ac.jp/M3/20110502/F51185/3562/1", 66.05)</f>
        <v>66.05</v>
      </c>
      <c r="E8930" s="2">
        <v>54.12</v>
      </c>
      <c r="F8930" s="2">
        <v>2</v>
      </c>
      <c r="G8930" s="2" t="s">
        <v>14</v>
      </c>
      <c r="I8930" s="2" t="s">
        <v>4906</v>
      </c>
    </row>
    <row r="8931" spans="1:9" x14ac:dyDescent="0.2">
      <c r="A8931" s="2" t="s">
        <v>3250</v>
      </c>
      <c r="B8931" s="2" t="s">
        <v>481</v>
      </c>
      <c r="C8931" s="2">
        <v>709.48019999999997</v>
      </c>
      <c r="D8931" s="2">
        <f>HYPERLINK("http://mcb-m6.bioreg.kyushu-u.ac.jp/M3/20110502/F51194/1651/1", 66.09)</f>
        <v>66.09</v>
      </c>
      <c r="E8931" s="2">
        <v>49.36</v>
      </c>
      <c r="F8931" s="2">
        <v>2</v>
      </c>
      <c r="G8931" s="2" t="s">
        <v>14</v>
      </c>
      <c r="I8931" s="2" t="s">
        <v>4898</v>
      </c>
    </row>
    <row r="8932" spans="1:9" x14ac:dyDescent="0.2">
      <c r="A8932" s="2" t="s">
        <v>3250</v>
      </c>
      <c r="B8932" s="2" t="s">
        <v>365</v>
      </c>
      <c r="C8932" s="2">
        <v>849.52369999999996</v>
      </c>
      <c r="D8932" s="2">
        <f>HYPERLINK("http://mcb-m6.bioreg.kyushu-u.ac.jp/M3/20110502/F51185/2409/1", 66.37)</f>
        <v>66.37</v>
      </c>
      <c r="E8932" s="2">
        <v>50.19</v>
      </c>
      <c r="F8932" s="2">
        <v>2</v>
      </c>
      <c r="G8932" s="2" t="s">
        <v>14</v>
      </c>
    </row>
    <row r="8933" spans="1:9" x14ac:dyDescent="0.2">
      <c r="A8933" s="2" t="s">
        <v>3250</v>
      </c>
      <c r="B8933" s="2" t="s">
        <v>102</v>
      </c>
      <c r="C8933" s="2">
        <v>608.63869999999997</v>
      </c>
      <c r="D8933" s="2">
        <f>HYPERLINK("http://mcb-m6.bioreg.kyushu-u.ac.jp/M3/20110502/F51177/1137/1", 66.51)</f>
        <v>66.510000000000005</v>
      </c>
      <c r="E8933" s="2">
        <v>45.73</v>
      </c>
      <c r="F8933" s="2">
        <v>2</v>
      </c>
      <c r="G8933" s="2" t="s">
        <v>14</v>
      </c>
    </row>
    <row r="8934" spans="1:9" x14ac:dyDescent="0.2">
      <c r="A8934" s="2" t="s">
        <v>3250</v>
      </c>
      <c r="B8934" s="2" t="s">
        <v>561</v>
      </c>
      <c r="C8934" s="2">
        <v>654.44119999999998</v>
      </c>
      <c r="D8934" s="2">
        <f>HYPERLINK("http://mcb-m6.bioreg.kyushu-u.ac.jp/M3/20110502/F51194/1325/1", 66.57)</f>
        <v>66.569999999999993</v>
      </c>
      <c r="E8934" s="2">
        <v>42.87</v>
      </c>
      <c r="F8934" s="2">
        <v>2</v>
      </c>
      <c r="G8934" s="2" t="s">
        <v>14</v>
      </c>
    </row>
    <row r="8935" spans="1:9" x14ac:dyDescent="0.2">
      <c r="A8935" s="2" t="s">
        <v>3250</v>
      </c>
      <c r="B8935" s="2" t="s">
        <v>1065</v>
      </c>
      <c r="C8935" s="2">
        <v>716.96720000000005</v>
      </c>
      <c r="D8935" s="2">
        <f>HYPERLINK("http://mcb-m6.bioreg.kyushu-u.ac.jp/M3/20110502/F51194/1705/1", 66.57)</f>
        <v>66.569999999999993</v>
      </c>
      <c r="E8935" s="2">
        <v>46.94</v>
      </c>
      <c r="F8935" s="2">
        <v>2</v>
      </c>
      <c r="G8935" s="2" t="s">
        <v>14</v>
      </c>
      <c r="I8935" s="2" t="s">
        <v>4892</v>
      </c>
    </row>
    <row r="8936" spans="1:9" x14ac:dyDescent="0.2">
      <c r="A8936" s="2" t="s">
        <v>3250</v>
      </c>
      <c r="B8936" s="2" t="s">
        <v>365</v>
      </c>
      <c r="C8936" s="2">
        <v>1696.914</v>
      </c>
      <c r="D8936" s="2">
        <f>HYPERLINK("http://mcb-m6.bioreg.kyushu-u.ac.jp/M3/20110502/F51194/2383/1", 66.75)</f>
        <v>66.75</v>
      </c>
      <c r="E8936" s="2">
        <v>53.25</v>
      </c>
      <c r="F8936" s="2">
        <v>1</v>
      </c>
      <c r="G8936" s="2" t="s">
        <v>14</v>
      </c>
    </row>
    <row r="8937" spans="1:9" x14ac:dyDescent="0.2">
      <c r="A8937" s="2" t="s">
        <v>3250</v>
      </c>
      <c r="B8937" s="2" t="s">
        <v>481</v>
      </c>
      <c r="C8937" s="2">
        <v>709.44169999999997</v>
      </c>
      <c r="D8937" s="2">
        <f>HYPERLINK("http://mcb-m6.bioreg.kyushu-u.ac.jp/M3/20110502/F51194/1648/1", 67.32)</f>
        <v>67.319999999999993</v>
      </c>
      <c r="E8937" s="2">
        <v>45.43</v>
      </c>
      <c r="F8937" s="2">
        <v>2</v>
      </c>
      <c r="G8937" s="2" t="s">
        <v>14</v>
      </c>
      <c r="I8937" s="2" t="s">
        <v>4898</v>
      </c>
    </row>
    <row r="8938" spans="1:9" x14ac:dyDescent="0.2">
      <c r="A8938" s="2" t="s">
        <v>3250</v>
      </c>
      <c r="B8938" s="2" t="s">
        <v>481</v>
      </c>
      <c r="C8938" s="2">
        <v>709.87270000000001</v>
      </c>
      <c r="D8938" s="2">
        <f>HYPERLINK("http://mcb-m6.bioreg.kyushu-u.ac.jp/M3/20110502/F51186/1721/1", 68.04)</f>
        <v>68.040000000000006</v>
      </c>
      <c r="E8938" s="2">
        <v>45.95</v>
      </c>
      <c r="F8938" s="2">
        <v>2</v>
      </c>
      <c r="G8938" s="2" t="s">
        <v>14</v>
      </c>
      <c r="I8938" s="2" t="s">
        <v>4898</v>
      </c>
    </row>
    <row r="8939" spans="1:9" x14ac:dyDescent="0.2">
      <c r="A8939" s="2" t="s">
        <v>3250</v>
      </c>
      <c r="B8939" s="2" t="s">
        <v>834</v>
      </c>
      <c r="C8939" s="2">
        <v>622.41110000000003</v>
      </c>
      <c r="D8939" s="2">
        <f>HYPERLINK("http://mcb-m6.bioreg.kyushu-u.ac.jp/M3/20110502/F51194/1175/1", 68.12)</f>
        <v>68.12</v>
      </c>
      <c r="E8939" s="2">
        <v>36.79</v>
      </c>
      <c r="F8939" s="2">
        <v>2</v>
      </c>
      <c r="G8939" s="2" t="s">
        <v>14</v>
      </c>
    </row>
    <row r="8940" spans="1:9" x14ac:dyDescent="0.2">
      <c r="A8940" s="2" t="s">
        <v>3250</v>
      </c>
      <c r="B8940" s="2" t="s">
        <v>543</v>
      </c>
      <c r="C8940" s="2">
        <v>927.09310000000005</v>
      </c>
      <c r="D8940" s="2">
        <f>HYPERLINK("http://mcb-m6.bioreg.kyushu-u.ac.jp/M3/20110502/F51185/2776/1", 68.71)</f>
        <v>68.709999999999994</v>
      </c>
      <c r="E8940" s="2">
        <v>50.31</v>
      </c>
      <c r="F8940" s="2">
        <v>2</v>
      </c>
      <c r="G8940" s="2" t="s">
        <v>14</v>
      </c>
    </row>
    <row r="8941" spans="1:9" x14ac:dyDescent="0.2">
      <c r="A8941" s="2" t="s">
        <v>3250</v>
      </c>
      <c r="B8941" s="2" t="s">
        <v>77</v>
      </c>
      <c r="C8941" s="2">
        <v>574.91309999999999</v>
      </c>
      <c r="D8941" s="2">
        <f>HYPERLINK("http://mcb-m6.bioreg.kyushu-u.ac.jp/M3/20110502/F51186/1107/1", 68.86)</f>
        <v>68.86</v>
      </c>
      <c r="E8941" s="2">
        <v>40.71</v>
      </c>
      <c r="F8941" s="2">
        <v>2</v>
      </c>
      <c r="G8941" s="2" t="s">
        <v>14</v>
      </c>
    </row>
    <row r="8942" spans="1:9" x14ac:dyDescent="0.2">
      <c r="A8942" s="2" t="s">
        <v>3250</v>
      </c>
      <c r="B8942" s="2" t="s">
        <v>77</v>
      </c>
      <c r="C8942" s="2">
        <v>574.97310000000004</v>
      </c>
      <c r="D8942" s="2">
        <f>HYPERLINK("http://mcb-m6.bioreg.kyushu-u.ac.jp/M3/20110502/F51179/932/1", 68.97)</f>
        <v>68.97</v>
      </c>
      <c r="E8942" s="2">
        <v>36.67</v>
      </c>
      <c r="F8942" s="2">
        <v>2</v>
      </c>
      <c r="G8942" s="2" t="s">
        <v>14</v>
      </c>
    </row>
    <row r="8943" spans="1:9" x14ac:dyDescent="0.2">
      <c r="A8943" s="2" t="s">
        <v>3250</v>
      </c>
      <c r="B8943" s="2" t="s">
        <v>90</v>
      </c>
      <c r="C8943" s="2">
        <v>716.9117</v>
      </c>
      <c r="D8943" s="2">
        <f>HYPERLINK("http://mcb-m6.bioreg.kyushu-u.ac.jp/M3/20110502/F51194/1702/1", 69.11)</f>
        <v>69.11</v>
      </c>
      <c r="E8943" s="2">
        <v>13.13</v>
      </c>
      <c r="F8943" s="2">
        <v>2</v>
      </c>
      <c r="G8943" s="2" t="s">
        <v>14</v>
      </c>
    </row>
    <row r="8944" spans="1:9" x14ac:dyDescent="0.2">
      <c r="A8944" s="2" t="s">
        <v>3250</v>
      </c>
      <c r="B8944" s="2" t="s">
        <v>365</v>
      </c>
      <c r="C8944" s="2">
        <v>849.47860000000003</v>
      </c>
      <c r="D8944" s="2">
        <f>HYPERLINK("http://mcb-m6.bioreg.kyushu-u.ac.jp/M3/20110502/F51190/2215/1", 69.39)</f>
        <v>69.39</v>
      </c>
      <c r="E8944" s="2">
        <v>49.37</v>
      </c>
      <c r="F8944" s="2">
        <v>2</v>
      </c>
      <c r="G8944" s="2" t="s">
        <v>14</v>
      </c>
    </row>
    <row r="8945" spans="1:9" x14ac:dyDescent="0.2">
      <c r="A8945" s="2" t="s">
        <v>3250</v>
      </c>
      <c r="B8945" s="2" t="s">
        <v>1065</v>
      </c>
      <c r="C8945" s="2">
        <v>717.02369999999996</v>
      </c>
      <c r="D8945" s="2">
        <f>HYPERLINK("http://mcb-m6.bioreg.kyushu-u.ac.jp/M3/20110502/F51185/1776/1", 69.41)</f>
        <v>69.41</v>
      </c>
      <c r="E8945" s="2">
        <v>52.8</v>
      </c>
      <c r="F8945" s="2">
        <v>2</v>
      </c>
      <c r="G8945" s="2" t="s">
        <v>14</v>
      </c>
      <c r="I8945" s="2" t="s">
        <v>4892</v>
      </c>
    </row>
    <row r="8946" spans="1:9" x14ac:dyDescent="0.2">
      <c r="A8946" s="2" t="s">
        <v>3250</v>
      </c>
      <c r="B8946" s="2" t="s">
        <v>481</v>
      </c>
      <c r="C8946" s="2">
        <v>709.72119999999995</v>
      </c>
      <c r="D8946" s="2">
        <f>HYPERLINK("http://mcb-m6.bioreg.kyushu-u.ac.jp/M3/20110502/F51185/1730/1", 69.79)</f>
        <v>69.790000000000006</v>
      </c>
      <c r="E8946" s="2">
        <v>39.53</v>
      </c>
      <c r="F8946" s="2">
        <v>2</v>
      </c>
      <c r="G8946" s="2" t="s">
        <v>14</v>
      </c>
      <c r="I8946" s="2" t="s">
        <v>4898</v>
      </c>
    </row>
    <row r="8947" spans="1:9" x14ac:dyDescent="0.2">
      <c r="A8947" s="2" t="s">
        <v>3250</v>
      </c>
      <c r="B8947" s="2" t="s">
        <v>772</v>
      </c>
      <c r="C8947" s="2">
        <v>596.18219999999997</v>
      </c>
      <c r="D8947" s="2">
        <f>HYPERLINK("http://mcb-m6.bioreg.kyushu-u.ac.jp/M3/20110502/F51183/1178/1", 69.84)</f>
        <v>69.84</v>
      </c>
      <c r="E8947" s="2">
        <v>49.37</v>
      </c>
      <c r="F8947" s="2">
        <v>2</v>
      </c>
      <c r="G8947" s="2" t="s">
        <v>14</v>
      </c>
    </row>
    <row r="8948" spans="1:9" x14ac:dyDescent="0.2">
      <c r="A8948" s="2" t="s">
        <v>3250</v>
      </c>
      <c r="B8948" s="2" t="s">
        <v>90</v>
      </c>
      <c r="C8948" s="2">
        <v>716.9742</v>
      </c>
      <c r="D8948" s="2">
        <f>HYPERLINK("http://mcb-m6.bioreg.kyushu-u.ac.jp/M3/20110502/F51190/1613/1", 70.47)</f>
        <v>70.47</v>
      </c>
      <c r="E8948" s="2">
        <v>23.93</v>
      </c>
      <c r="F8948" s="2">
        <v>2</v>
      </c>
      <c r="G8948" s="2" t="s">
        <v>14</v>
      </c>
    </row>
    <row r="8949" spans="1:9" x14ac:dyDescent="0.2">
      <c r="A8949" s="2" t="s">
        <v>3250</v>
      </c>
      <c r="B8949" s="2" t="s">
        <v>1065</v>
      </c>
      <c r="C8949" s="2">
        <v>717.21370000000002</v>
      </c>
      <c r="D8949" s="2">
        <f>HYPERLINK("http://mcb-m6.bioreg.kyushu-u.ac.jp/M3/20110502/F51185/1780/1", 70.54)</f>
        <v>70.540000000000006</v>
      </c>
      <c r="E8949" s="2">
        <v>34.93</v>
      </c>
      <c r="F8949" s="2">
        <v>2</v>
      </c>
      <c r="G8949" s="2" t="s">
        <v>14</v>
      </c>
      <c r="I8949" s="2" t="s">
        <v>4892</v>
      </c>
    </row>
    <row r="8950" spans="1:9" x14ac:dyDescent="0.2">
      <c r="A8950" s="2" t="s">
        <v>3250</v>
      </c>
      <c r="B8950" s="2" t="s">
        <v>90</v>
      </c>
      <c r="C8950" s="2">
        <v>716.9402</v>
      </c>
      <c r="D8950" s="2">
        <f>HYPERLINK("http://mcb-m6.bioreg.kyushu-u.ac.jp/M3/20110502/F51179/1632/1", 71.08)</f>
        <v>71.08</v>
      </c>
      <c r="E8950" s="2">
        <v>37.770000000000003</v>
      </c>
      <c r="F8950" s="2">
        <v>2</v>
      </c>
      <c r="G8950" s="2" t="s">
        <v>14</v>
      </c>
    </row>
    <row r="8951" spans="1:9" x14ac:dyDescent="0.2">
      <c r="A8951" s="2" t="s">
        <v>3250</v>
      </c>
      <c r="B8951" s="2" t="s">
        <v>467</v>
      </c>
      <c r="C8951" s="2">
        <v>692.04610000000002</v>
      </c>
      <c r="D8951" s="2">
        <f>HYPERLINK("http://mcb-m6.bioreg.kyushu-u.ac.jp/M3/20110502/F51181/1605/1", 71.15)</f>
        <v>71.150000000000006</v>
      </c>
      <c r="E8951" s="2">
        <v>40.159999999999997</v>
      </c>
      <c r="F8951" s="2">
        <v>2</v>
      </c>
      <c r="G8951" s="2" t="s">
        <v>14</v>
      </c>
    </row>
    <row r="8952" spans="1:9" x14ac:dyDescent="0.2">
      <c r="A8952" s="2" t="s">
        <v>3250</v>
      </c>
      <c r="B8952" s="2" t="s">
        <v>102</v>
      </c>
      <c r="C8952" s="2">
        <v>608.57209999999998</v>
      </c>
      <c r="D8952" s="2">
        <f>HYPERLINK("http://mcb-m6.bioreg.kyushu-u.ac.jp/M3/20110502/F51176/1743/1", 71.6)</f>
        <v>71.599999999999994</v>
      </c>
      <c r="E8952" s="2">
        <v>46.83</v>
      </c>
      <c r="F8952" s="2">
        <v>2</v>
      </c>
      <c r="G8952" s="2" t="s">
        <v>14</v>
      </c>
    </row>
    <row r="8953" spans="1:9" x14ac:dyDescent="0.2">
      <c r="A8953" s="2" t="s">
        <v>3250</v>
      </c>
      <c r="B8953" s="2" t="s">
        <v>1787</v>
      </c>
      <c r="C8953" s="2">
        <v>588.41020000000003</v>
      </c>
      <c r="D8953" s="2">
        <f>HYPERLINK("http://mcb-m6.bioreg.kyushu-u.ac.jp/M3/20110502/F51186/1162/1", 71.71)</f>
        <v>71.709999999999994</v>
      </c>
      <c r="E8953" s="2">
        <v>43.44</v>
      </c>
      <c r="F8953" s="2">
        <v>2</v>
      </c>
      <c r="G8953" s="2" t="s">
        <v>14</v>
      </c>
      <c r="I8953" s="2" t="s">
        <v>4895</v>
      </c>
    </row>
    <row r="8954" spans="1:9" x14ac:dyDescent="0.2">
      <c r="A8954" s="2" t="s">
        <v>3250</v>
      </c>
      <c r="B8954" s="2" t="s">
        <v>467</v>
      </c>
      <c r="C8954" s="2">
        <v>1382.8420000000001</v>
      </c>
      <c r="D8954" s="2">
        <f>HYPERLINK("http://mcb-m6.bioreg.kyushu-u.ac.jp/M3/20110502/F51184/1536/1", 71.76)</f>
        <v>71.760000000000005</v>
      </c>
      <c r="E8954" s="2">
        <v>52.8</v>
      </c>
      <c r="F8954" s="2">
        <v>1</v>
      </c>
      <c r="G8954" s="2" t="s">
        <v>14</v>
      </c>
    </row>
    <row r="8955" spans="1:9" x14ac:dyDescent="0.2">
      <c r="A8955" s="2" t="s">
        <v>3250</v>
      </c>
      <c r="B8955" s="2" t="s">
        <v>561</v>
      </c>
      <c r="C8955" s="2">
        <v>654.72119999999995</v>
      </c>
      <c r="D8955" s="2">
        <f>HYPERLINK("http://mcb-m6.bioreg.kyushu-u.ac.jp/M3/20110502/F51186/1437/1", 71.8)</f>
        <v>71.8</v>
      </c>
      <c r="E8955" s="2">
        <v>52.05</v>
      </c>
      <c r="F8955" s="2">
        <v>2</v>
      </c>
      <c r="G8955" s="2" t="s">
        <v>14</v>
      </c>
    </row>
    <row r="8956" spans="1:9" x14ac:dyDescent="0.2">
      <c r="A8956" s="2" t="s">
        <v>3250</v>
      </c>
      <c r="B8956" s="2" t="s">
        <v>467</v>
      </c>
      <c r="C8956" s="2">
        <v>1382.77</v>
      </c>
      <c r="D8956" s="2">
        <f>HYPERLINK("http://mcb-m6.bioreg.kyushu-u.ac.jp/M3/20110502/F51194/1536/1", 72.05)</f>
        <v>72.05</v>
      </c>
      <c r="E8956" s="2">
        <v>47.34</v>
      </c>
      <c r="F8956" s="2">
        <v>1</v>
      </c>
      <c r="G8956" s="2" t="s">
        <v>14</v>
      </c>
    </row>
    <row r="8957" spans="1:9" x14ac:dyDescent="0.2">
      <c r="A8957" s="2" t="s">
        <v>3250</v>
      </c>
      <c r="B8957" s="2" t="s">
        <v>467</v>
      </c>
      <c r="C8957" s="2">
        <v>1382.998</v>
      </c>
      <c r="D8957" s="2">
        <f>HYPERLINK("http://mcb-m6.bioreg.kyushu-u.ac.jp/M3/20110502/F51185/1617/1", 72.06)</f>
        <v>72.06</v>
      </c>
      <c r="E8957" s="2">
        <v>52.59</v>
      </c>
      <c r="F8957" s="2">
        <v>1</v>
      </c>
      <c r="G8957" s="2" t="s">
        <v>14</v>
      </c>
    </row>
    <row r="8958" spans="1:9" x14ac:dyDescent="0.2">
      <c r="A8958" s="2" t="s">
        <v>3250</v>
      </c>
      <c r="B8958" s="2" t="s">
        <v>175</v>
      </c>
      <c r="C8958" s="2">
        <v>784.52070000000003</v>
      </c>
      <c r="D8958" s="2">
        <f>HYPERLINK("http://mcb-m6.bioreg.kyushu-u.ac.jp/M3/20110502/F51194/2068/1", 72.23)</f>
        <v>72.23</v>
      </c>
      <c r="E8958" s="2">
        <v>50.03</v>
      </c>
      <c r="F8958" s="2">
        <v>2</v>
      </c>
      <c r="G8958" s="2" t="s">
        <v>14</v>
      </c>
      <c r="I8958" s="2" t="s">
        <v>4893</v>
      </c>
    </row>
    <row r="8959" spans="1:9" x14ac:dyDescent="0.2">
      <c r="A8959" s="2" t="s">
        <v>3250</v>
      </c>
      <c r="B8959" s="2" t="s">
        <v>1065</v>
      </c>
      <c r="C8959" s="2">
        <v>717.32069999999999</v>
      </c>
      <c r="D8959" s="2">
        <f>HYPERLINK("http://mcb-m6.bioreg.kyushu-u.ac.jp/M3/20110502/F51184/1704/1", 72.24)</f>
        <v>72.239999999999995</v>
      </c>
      <c r="E8959" s="2">
        <v>52.22</v>
      </c>
      <c r="F8959" s="2">
        <v>2</v>
      </c>
      <c r="G8959" s="2" t="s">
        <v>14</v>
      </c>
      <c r="I8959" s="2" t="s">
        <v>4892</v>
      </c>
    </row>
    <row r="8960" spans="1:9" x14ac:dyDescent="0.2">
      <c r="A8960" s="2" t="s">
        <v>3250</v>
      </c>
      <c r="B8960" s="2" t="s">
        <v>1065</v>
      </c>
      <c r="C8960" s="2">
        <v>716.86360000000002</v>
      </c>
      <c r="D8960" s="2">
        <f>HYPERLINK("http://mcb-m6.bioreg.kyushu-u.ac.jp/M3/20110502/F51194/1700/1", 72.3)</f>
        <v>72.3</v>
      </c>
      <c r="E8960" s="2">
        <v>60.55</v>
      </c>
      <c r="F8960" s="2">
        <v>2</v>
      </c>
      <c r="G8960" s="2" t="s">
        <v>14</v>
      </c>
      <c r="I8960" s="2" t="s">
        <v>4892</v>
      </c>
    </row>
    <row r="8961" spans="1:9" x14ac:dyDescent="0.2">
      <c r="A8961" s="2" t="s">
        <v>3250</v>
      </c>
      <c r="B8961" s="2" t="s">
        <v>1065</v>
      </c>
      <c r="C8961" s="2">
        <v>717.0856</v>
      </c>
      <c r="D8961" s="2">
        <f>HYPERLINK("http://mcb-m6.bioreg.kyushu-u.ac.jp/M3/20110502/F51193/1769/1", 72.39)</f>
        <v>72.39</v>
      </c>
      <c r="E8961" s="2">
        <v>56.49</v>
      </c>
      <c r="F8961" s="2">
        <v>2</v>
      </c>
      <c r="G8961" s="2" t="s">
        <v>14</v>
      </c>
      <c r="I8961" s="2" t="s">
        <v>4892</v>
      </c>
    </row>
    <row r="8962" spans="1:9" x14ac:dyDescent="0.2">
      <c r="A8962" s="2" t="s">
        <v>3250</v>
      </c>
      <c r="B8962" s="2" t="s">
        <v>1065</v>
      </c>
      <c r="C8962" s="2">
        <v>717.14509999999996</v>
      </c>
      <c r="D8962" s="2">
        <f>HYPERLINK("http://mcb-m6.bioreg.kyushu-u.ac.jp/M3/20110502/F51179/1634/1", 72.39)</f>
        <v>72.39</v>
      </c>
      <c r="E8962" s="2">
        <v>56.22</v>
      </c>
      <c r="F8962" s="2">
        <v>2</v>
      </c>
      <c r="G8962" s="2" t="s">
        <v>14</v>
      </c>
      <c r="I8962" s="2" t="s">
        <v>4892</v>
      </c>
    </row>
    <row r="8963" spans="1:9" x14ac:dyDescent="0.2">
      <c r="A8963" s="2" t="s">
        <v>3250</v>
      </c>
      <c r="B8963" s="2" t="s">
        <v>90</v>
      </c>
      <c r="C8963" s="2">
        <v>717.41470000000004</v>
      </c>
      <c r="D8963" s="2">
        <f>HYPERLINK("http://mcb-m6.bioreg.kyushu-u.ac.jp/M3/20110502/F51185/1781/1", 72.46)</f>
        <v>72.459999999999994</v>
      </c>
      <c r="E8963" s="2">
        <v>46.7</v>
      </c>
      <c r="F8963" s="2">
        <v>2</v>
      </c>
      <c r="G8963" s="2" t="s">
        <v>14</v>
      </c>
    </row>
    <row r="8964" spans="1:9" x14ac:dyDescent="0.2">
      <c r="A8964" s="2" t="s">
        <v>3250</v>
      </c>
      <c r="B8964" s="2" t="s">
        <v>561</v>
      </c>
      <c r="C8964" s="2">
        <v>654.51760000000002</v>
      </c>
      <c r="D8964" s="2">
        <f>HYPERLINK("http://mcb-m6.bioreg.kyushu-u.ac.jp/M3/20110502/F51194/1328/1", 72.62)</f>
        <v>72.62</v>
      </c>
      <c r="E8964" s="2">
        <v>53.52</v>
      </c>
      <c r="F8964" s="2">
        <v>2</v>
      </c>
      <c r="G8964" s="2" t="s">
        <v>14</v>
      </c>
    </row>
    <row r="8965" spans="1:9" x14ac:dyDescent="0.2">
      <c r="A8965" s="2" t="s">
        <v>3250</v>
      </c>
      <c r="B8965" s="2" t="s">
        <v>1255</v>
      </c>
      <c r="C8965" s="2">
        <v>1274.1420000000001</v>
      </c>
      <c r="D8965" s="2">
        <f>HYPERLINK("http://mcb-m6.bioreg.kyushu-u.ac.jp/M3/20110502/F51194/3695/1", 72.93)</f>
        <v>72.930000000000007</v>
      </c>
      <c r="E8965" s="2">
        <v>59.43</v>
      </c>
      <c r="F8965" s="2">
        <v>2</v>
      </c>
      <c r="G8965" s="2" t="s">
        <v>14</v>
      </c>
      <c r="I8965" s="2" t="s">
        <v>4906</v>
      </c>
    </row>
    <row r="8966" spans="1:9" x14ac:dyDescent="0.2">
      <c r="A8966" s="2" t="s">
        <v>3250</v>
      </c>
      <c r="B8966" s="2" t="s">
        <v>481</v>
      </c>
      <c r="C8966" s="2">
        <v>709.81709999999998</v>
      </c>
      <c r="D8966" s="2">
        <f>HYPERLINK("http://mcb-m6.bioreg.kyushu-u.ac.jp/M3/20110502/F51186/1720/1", 73.03)</f>
        <v>73.03</v>
      </c>
      <c r="E8966" s="2">
        <v>47.96</v>
      </c>
      <c r="F8966" s="2">
        <v>2</v>
      </c>
      <c r="G8966" s="2" t="s">
        <v>14</v>
      </c>
      <c r="I8966" s="2" t="s">
        <v>4898</v>
      </c>
    </row>
    <row r="8967" spans="1:9" x14ac:dyDescent="0.2">
      <c r="A8967" s="2" t="s">
        <v>3250</v>
      </c>
      <c r="B8967" s="2" t="s">
        <v>561</v>
      </c>
      <c r="C8967" s="2">
        <v>654.81820000000005</v>
      </c>
      <c r="D8967" s="2">
        <f>HYPERLINK("http://mcb-m6.bioreg.kyushu-u.ac.jp/M3/20110502/F51184/1291/1", 73.47)</f>
        <v>73.47</v>
      </c>
      <c r="E8967" s="2">
        <v>40.35</v>
      </c>
      <c r="F8967" s="2">
        <v>2</v>
      </c>
      <c r="G8967" s="2" t="s">
        <v>14</v>
      </c>
    </row>
    <row r="8968" spans="1:9" x14ac:dyDescent="0.2">
      <c r="A8968" s="2" t="s">
        <v>3250</v>
      </c>
      <c r="B8968" s="2" t="s">
        <v>561</v>
      </c>
      <c r="C8968" s="2">
        <v>662.88120000000004</v>
      </c>
      <c r="D8968" s="2">
        <f>HYPERLINK("http://mcb-m6.bioreg.kyushu-u.ac.jp/M3/20110502/F51184/1335/1", 73.96)</f>
        <v>73.959999999999994</v>
      </c>
      <c r="E8968" s="2">
        <v>60.74</v>
      </c>
      <c r="F8968" s="2">
        <v>2</v>
      </c>
      <c r="G8968" s="2" t="s">
        <v>14</v>
      </c>
      <c r="H8968" s="2" t="s">
        <v>4919</v>
      </c>
    </row>
    <row r="8969" spans="1:9" x14ac:dyDescent="0.2">
      <c r="A8969" s="2" t="s">
        <v>3250</v>
      </c>
      <c r="B8969" s="2" t="s">
        <v>561</v>
      </c>
      <c r="C8969" s="2">
        <v>662.47670000000005</v>
      </c>
      <c r="D8969" s="2">
        <f>HYPERLINK("http://mcb-m6.bioreg.kyushu-u.ac.jp/M3/20110502/F51194/1364/1", 74.11)</f>
        <v>74.11</v>
      </c>
      <c r="E8969" s="2">
        <v>61.18</v>
      </c>
      <c r="F8969" s="2">
        <v>2</v>
      </c>
      <c r="G8969" s="2" t="s">
        <v>14</v>
      </c>
      <c r="H8969" s="2" t="s">
        <v>4919</v>
      </c>
    </row>
    <row r="8970" spans="1:9" x14ac:dyDescent="0.2">
      <c r="A8970" s="2" t="s">
        <v>3250</v>
      </c>
      <c r="B8970" s="2" t="s">
        <v>90</v>
      </c>
      <c r="C8970" s="2">
        <v>717.36410000000001</v>
      </c>
      <c r="D8970" s="2">
        <f>HYPERLINK("http://mcb-m6.bioreg.kyushu-u.ac.jp/M3/20110502/F51194/1714/1", 74.37)</f>
        <v>74.37</v>
      </c>
      <c r="E8970" s="2">
        <v>42.36</v>
      </c>
      <c r="F8970" s="2">
        <v>2</v>
      </c>
      <c r="G8970" s="2" t="s">
        <v>14</v>
      </c>
    </row>
    <row r="8971" spans="1:9" x14ac:dyDescent="0.2">
      <c r="A8971" s="2" t="s">
        <v>3250</v>
      </c>
      <c r="B8971" s="2" t="s">
        <v>834</v>
      </c>
      <c r="C8971" s="2">
        <v>621.94420000000002</v>
      </c>
      <c r="D8971" s="2">
        <f>HYPERLINK("http://mcb-m6.bioreg.kyushu-u.ac.jp/M3/20110502/F51194/1171/1", 74.69)</f>
        <v>74.69</v>
      </c>
      <c r="E8971" s="2">
        <v>48.06</v>
      </c>
      <c r="F8971" s="2">
        <v>2</v>
      </c>
      <c r="G8971" s="2" t="s">
        <v>14</v>
      </c>
    </row>
    <row r="8972" spans="1:9" x14ac:dyDescent="0.2">
      <c r="A8972" s="2" t="s">
        <v>3250</v>
      </c>
      <c r="B8972" s="2" t="s">
        <v>356</v>
      </c>
      <c r="C8972" s="2">
        <v>816.04319999999996</v>
      </c>
      <c r="D8972" s="2">
        <f>HYPERLINK("http://mcb-m6.bioreg.kyushu-u.ac.jp/M3/20110502/F51194/2235/1", 74.77)</f>
        <v>74.77</v>
      </c>
      <c r="E8972" s="2">
        <v>56.25</v>
      </c>
      <c r="F8972" s="2">
        <v>2</v>
      </c>
      <c r="G8972" s="2" t="s">
        <v>14</v>
      </c>
    </row>
    <row r="8973" spans="1:9" x14ac:dyDescent="0.2">
      <c r="A8973" s="2" t="s">
        <v>3250</v>
      </c>
      <c r="B8973" s="2" t="s">
        <v>834</v>
      </c>
      <c r="C8973" s="2">
        <v>621.99659999999994</v>
      </c>
      <c r="D8973" s="2">
        <f>HYPERLINK("http://mcb-m6.bioreg.kyushu-u.ac.jp/M3/20110502/F51186/1324/1", 74.8)</f>
        <v>74.8</v>
      </c>
      <c r="E8973" s="2">
        <v>45.56</v>
      </c>
      <c r="F8973" s="2">
        <v>2</v>
      </c>
      <c r="G8973" s="2" t="s">
        <v>14</v>
      </c>
    </row>
    <row r="8974" spans="1:9" x14ac:dyDescent="0.2">
      <c r="A8974" s="2" t="s">
        <v>3250</v>
      </c>
      <c r="B8974" s="2" t="s">
        <v>467</v>
      </c>
      <c r="C8974" s="2">
        <v>692.01620000000003</v>
      </c>
      <c r="D8974" s="2">
        <f>HYPERLINK("http://mcb-m6.bioreg.kyushu-u.ac.jp/M3/20110502/F51185/1618/1", 75.46)</f>
        <v>75.459999999999994</v>
      </c>
      <c r="E8974" s="2">
        <v>41.55</v>
      </c>
      <c r="F8974" s="2">
        <v>2</v>
      </c>
      <c r="G8974" s="2" t="s">
        <v>14</v>
      </c>
    </row>
    <row r="8975" spans="1:9" x14ac:dyDescent="0.2">
      <c r="A8975" s="2" t="s">
        <v>3250</v>
      </c>
      <c r="B8975" s="2" t="s">
        <v>1065</v>
      </c>
      <c r="C8975" s="2">
        <v>717.19169999999997</v>
      </c>
      <c r="D8975" s="2">
        <f>HYPERLINK("http://mcb-m6.bioreg.kyushu-u.ac.jp/M3/20110502/F51185/1778/1", 75.82)</f>
        <v>75.819999999999993</v>
      </c>
      <c r="E8975" s="2">
        <v>59.93</v>
      </c>
      <c r="F8975" s="2">
        <v>2</v>
      </c>
      <c r="G8975" s="2" t="s">
        <v>14</v>
      </c>
      <c r="I8975" s="2" t="s">
        <v>4892</v>
      </c>
    </row>
    <row r="8976" spans="1:9" x14ac:dyDescent="0.2">
      <c r="A8976" s="2" t="s">
        <v>3250</v>
      </c>
      <c r="B8976" s="2" t="s">
        <v>772</v>
      </c>
      <c r="C8976" s="2">
        <v>596.32820000000004</v>
      </c>
      <c r="D8976" s="2">
        <f>HYPERLINK("http://mcb-m6.bioreg.kyushu-u.ac.jp/M3/20110502/F51194/1033/1", 75.96)</f>
        <v>75.959999999999994</v>
      </c>
      <c r="E8976" s="2">
        <v>50</v>
      </c>
      <c r="F8976" s="2">
        <v>2</v>
      </c>
      <c r="G8976" s="2" t="s">
        <v>14</v>
      </c>
    </row>
    <row r="8977" spans="1:9" x14ac:dyDescent="0.2">
      <c r="A8977" s="2" t="s">
        <v>3250</v>
      </c>
      <c r="B8977" s="2" t="s">
        <v>481</v>
      </c>
      <c r="C8977" s="2">
        <v>709.85670000000005</v>
      </c>
      <c r="D8977" s="2">
        <f>HYPERLINK("http://mcb-m6.bioreg.kyushu-u.ac.jp/M3/20110502/F51192/1610/1", 76.09)</f>
        <v>76.09</v>
      </c>
      <c r="E8977" s="2">
        <v>50.27</v>
      </c>
      <c r="F8977" s="2">
        <v>2</v>
      </c>
      <c r="G8977" s="2" t="s">
        <v>14</v>
      </c>
      <c r="I8977" s="2" t="s">
        <v>4898</v>
      </c>
    </row>
    <row r="8978" spans="1:9" x14ac:dyDescent="0.2">
      <c r="A8978" s="2" t="s">
        <v>3250</v>
      </c>
      <c r="B8978" s="2" t="s">
        <v>90</v>
      </c>
      <c r="C8978" s="2">
        <v>717.14509999999996</v>
      </c>
      <c r="D8978" s="2">
        <f>HYPERLINK("http://mcb-m6.bioreg.kyushu-u.ac.jp/M3/20110502/F51194/1711/1", 76.19)</f>
        <v>76.19</v>
      </c>
      <c r="E8978" s="2">
        <v>30.98</v>
      </c>
      <c r="F8978" s="2">
        <v>2</v>
      </c>
      <c r="G8978" s="2" t="s">
        <v>14</v>
      </c>
    </row>
    <row r="8979" spans="1:9" x14ac:dyDescent="0.2">
      <c r="A8979" s="2" t="s">
        <v>3250</v>
      </c>
      <c r="B8979" s="2" t="s">
        <v>356</v>
      </c>
      <c r="C8979" s="2">
        <v>816.51319999999998</v>
      </c>
      <c r="D8979" s="2">
        <f>HYPERLINK("http://mcb-m6.bioreg.kyushu-u.ac.jp/M3/20110502/F51184/2320/1", 76.47)</f>
        <v>76.47</v>
      </c>
      <c r="E8979" s="2">
        <v>64.540000000000006</v>
      </c>
      <c r="F8979" s="2">
        <v>2</v>
      </c>
      <c r="G8979" s="2" t="s">
        <v>14</v>
      </c>
    </row>
    <row r="8980" spans="1:9" x14ac:dyDescent="0.2">
      <c r="A8980" s="2" t="s">
        <v>3250</v>
      </c>
      <c r="B8980" s="2" t="s">
        <v>772</v>
      </c>
      <c r="C8980" s="2">
        <v>596.36720000000003</v>
      </c>
      <c r="D8980" s="2">
        <f>HYPERLINK("http://mcb-m6.bioreg.kyushu-u.ac.jp/M3/20110502/F51194/1034/1", 76.76)</f>
        <v>76.760000000000005</v>
      </c>
      <c r="E8980" s="2">
        <v>49.5</v>
      </c>
      <c r="F8980" s="2">
        <v>2</v>
      </c>
      <c r="G8980" s="2" t="s">
        <v>14</v>
      </c>
    </row>
    <row r="8981" spans="1:9" x14ac:dyDescent="0.2">
      <c r="A8981" s="2" t="s">
        <v>3250</v>
      </c>
      <c r="B8981" s="2" t="s">
        <v>561</v>
      </c>
      <c r="C8981" s="2">
        <v>662.46770000000004</v>
      </c>
      <c r="D8981" s="2">
        <f>HYPERLINK("http://mcb-m6.bioreg.kyushu-u.ac.jp/M3/20110502/F51176/1840/1", 76.89)</f>
        <v>76.89</v>
      </c>
      <c r="E8981" s="2">
        <v>57.59</v>
      </c>
      <c r="F8981" s="2">
        <v>2</v>
      </c>
      <c r="G8981" s="2" t="s">
        <v>14</v>
      </c>
      <c r="H8981" s="2" t="s">
        <v>4919</v>
      </c>
    </row>
    <row r="8982" spans="1:9" x14ac:dyDescent="0.2">
      <c r="A8982" s="2" t="s">
        <v>3250</v>
      </c>
      <c r="B8982" s="2" t="s">
        <v>356</v>
      </c>
      <c r="C8982" s="2">
        <v>816.08510000000001</v>
      </c>
      <c r="D8982" s="2">
        <f>HYPERLINK("http://mcb-m6.bioreg.kyushu-u.ac.jp/M3/20110502/F51191/2027/1", 76.95)</f>
        <v>76.95</v>
      </c>
      <c r="E8982" s="2">
        <v>56.41</v>
      </c>
      <c r="F8982" s="2">
        <v>2</v>
      </c>
      <c r="G8982" s="2" t="s">
        <v>14</v>
      </c>
    </row>
    <row r="8983" spans="1:9" x14ac:dyDescent="0.2">
      <c r="A8983" s="2" t="s">
        <v>3250</v>
      </c>
      <c r="B8983" s="2" t="s">
        <v>467</v>
      </c>
      <c r="C8983" s="2">
        <v>692.07119999999998</v>
      </c>
      <c r="D8983" s="2">
        <f>HYPERLINK("http://mcb-m6.bioreg.kyushu-u.ac.jp/M3/20110502/F51184/1544/1", 77)</f>
        <v>77</v>
      </c>
      <c r="E8983" s="2">
        <v>49.64</v>
      </c>
      <c r="F8983" s="2">
        <v>2</v>
      </c>
      <c r="G8983" s="2" t="s">
        <v>14</v>
      </c>
    </row>
    <row r="8984" spans="1:9" x14ac:dyDescent="0.2">
      <c r="A8984" s="2" t="s">
        <v>3250</v>
      </c>
      <c r="B8984" s="2" t="s">
        <v>365</v>
      </c>
      <c r="C8984" s="2">
        <v>849.1481</v>
      </c>
      <c r="D8984" s="2">
        <f>HYPERLINK("http://mcb-m6.bioreg.kyushu-u.ac.jp/M3/20110502/F51186/2311/1", 77.01)</f>
        <v>77.010000000000005</v>
      </c>
      <c r="E8984" s="2">
        <v>58.52</v>
      </c>
      <c r="F8984" s="2">
        <v>2</v>
      </c>
      <c r="G8984" s="2" t="s">
        <v>14</v>
      </c>
    </row>
    <row r="8985" spans="1:9" x14ac:dyDescent="0.2">
      <c r="A8985" s="2" t="s">
        <v>3250</v>
      </c>
      <c r="B8985" s="2" t="s">
        <v>467</v>
      </c>
      <c r="C8985" s="2">
        <v>692.01070000000004</v>
      </c>
      <c r="D8985" s="2">
        <f>HYPERLINK("http://mcb-m6.bioreg.kyushu-u.ac.jp/M3/20110502/F51186/1631/1", 77.04)</f>
        <v>77.040000000000006</v>
      </c>
      <c r="E8985" s="2">
        <v>51.01</v>
      </c>
      <c r="F8985" s="2">
        <v>2</v>
      </c>
      <c r="G8985" s="2" t="s">
        <v>14</v>
      </c>
    </row>
    <row r="8986" spans="1:9" x14ac:dyDescent="0.2">
      <c r="A8986" s="2" t="s">
        <v>3250</v>
      </c>
      <c r="B8986" s="2" t="s">
        <v>481</v>
      </c>
      <c r="C8986" s="2">
        <v>709.55520000000001</v>
      </c>
      <c r="D8986" s="2">
        <f>HYPERLINK("http://mcb-m6.bioreg.kyushu-u.ac.jp/M3/20110502/F51182/1661/1", 77.38)</f>
        <v>77.38</v>
      </c>
      <c r="E8986" s="2">
        <v>39.840000000000003</v>
      </c>
      <c r="F8986" s="2">
        <v>2</v>
      </c>
      <c r="G8986" s="2" t="s">
        <v>14</v>
      </c>
      <c r="I8986" s="2" t="s">
        <v>4898</v>
      </c>
    </row>
    <row r="8987" spans="1:9" x14ac:dyDescent="0.2">
      <c r="A8987" s="2" t="s">
        <v>3250</v>
      </c>
      <c r="B8987" s="2" t="s">
        <v>1875</v>
      </c>
      <c r="C8987" s="2">
        <v>772.65060000000005</v>
      </c>
      <c r="D8987" s="2">
        <f>HYPERLINK("http://mcb-m6.bioreg.kyushu-u.ac.jp/M3/20110502/F51184/2037/1", 77.72)</f>
        <v>77.72</v>
      </c>
      <c r="E8987" s="2">
        <v>54.55</v>
      </c>
      <c r="F8987" s="2">
        <v>2</v>
      </c>
      <c r="G8987" s="2" t="s">
        <v>14</v>
      </c>
    </row>
    <row r="8988" spans="1:9" x14ac:dyDescent="0.2">
      <c r="A8988" s="2" t="s">
        <v>3250</v>
      </c>
      <c r="B8988" s="2" t="s">
        <v>467</v>
      </c>
      <c r="C8988" s="2">
        <v>691.93219999999997</v>
      </c>
      <c r="D8988" s="2">
        <f>HYPERLINK("http://mcb-m6.bioreg.kyushu-u.ac.jp/M3/20110502/F51194/1540/1", 78.28)</f>
        <v>78.28</v>
      </c>
      <c r="E8988" s="2">
        <v>47.68</v>
      </c>
      <c r="F8988" s="2">
        <v>2</v>
      </c>
      <c r="G8988" s="2" t="s">
        <v>14</v>
      </c>
    </row>
    <row r="8989" spans="1:9" x14ac:dyDescent="0.2">
      <c r="A8989" s="2" t="s">
        <v>3250</v>
      </c>
      <c r="B8989" s="2" t="s">
        <v>467</v>
      </c>
      <c r="C8989" s="2">
        <v>692.24220000000003</v>
      </c>
      <c r="D8989" s="2">
        <f>HYPERLINK("http://mcb-m6.bioreg.kyushu-u.ac.jp/M3/20110502/F51182/1555/1", 78.35)</f>
        <v>78.349999999999994</v>
      </c>
      <c r="E8989" s="2">
        <v>48.99</v>
      </c>
      <c r="F8989" s="2">
        <v>2</v>
      </c>
      <c r="G8989" s="2" t="s">
        <v>14</v>
      </c>
    </row>
    <row r="8990" spans="1:9" x14ac:dyDescent="0.2">
      <c r="A8990" s="2" t="s">
        <v>3250</v>
      </c>
      <c r="B8990" s="2" t="s">
        <v>1765</v>
      </c>
      <c r="C8990" s="2">
        <v>761.83420000000001</v>
      </c>
      <c r="D8990" s="2">
        <f>HYPERLINK("http://mcb-m6.bioreg.kyushu-u.ac.jp/M3/20110502/F51192/1925/1", 78.36)</f>
        <v>78.36</v>
      </c>
      <c r="E8990" s="2">
        <v>51.18</v>
      </c>
      <c r="F8990" s="2">
        <v>2</v>
      </c>
      <c r="G8990" s="2" t="s">
        <v>14</v>
      </c>
    </row>
    <row r="8991" spans="1:9" x14ac:dyDescent="0.2">
      <c r="A8991" s="2" t="s">
        <v>3250</v>
      </c>
      <c r="B8991" s="2" t="s">
        <v>561</v>
      </c>
      <c r="C8991" s="2">
        <v>662.85820000000001</v>
      </c>
      <c r="D8991" s="2">
        <f>HYPERLINK("http://mcb-m6.bioreg.kyushu-u.ac.jp/M3/20110502/F51192/1336/1", 78.47)</f>
        <v>78.47</v>
      </c>
      <c r="E8991" s="2">
        <v>57.39</v>
      </c>
      <c r="F8991" s="2">
        <v>2</v>
      </c>
      <c r="G8991" s="2" t="s">
        <v>14</v>
      </c>
      <c r="H8991" s="2" t="s">
        <v>4919</v>
      </c>
    </row>
    <row r="8992" spans="1:9" x14ac:dyDescent="0.2">
      <c r="A8992" s="2" t="s">
        <v>3250</v>
      </c>
      <c r="B8992" s="2" t="s">
        <v>772</v>
      </c>
      <c r="C8992" s="2">
        <v>595.85569999999996</v>
      </c>
      <c r="D8992" s="2">
        <f>HYPERLINK("http://mcb-m6.bioreg.kyushu-u.ac.jp/M3/20110502/F51194/1028/1", 78.48)</f>
        <v>78.48</v>
      </c>
      <c r="E8992" s="2">
        <v>49.11</v>
      </c>
      <c r="F8992" s="2">
        <v>2</v>
      </c>
      <c r="G8992" s="2" t="s">
        <v>14</v>
      </c>
    </row>
    <row r="8993" spans="1:9" x14ac:dyDescent="0.2">
      <c r="A8993" s="2" t="s">
        <v>3250</v>
      </c>
      <c r="B8993" s="2" t="s">
        <v>481</v>
      </c>
      <c r="C8993" s="2">
        <v>709.57569999999998</v>
      </c>
      <c r="D8993" s="2">
        <f>HYPERLINK("http://mcb-m6.bioreg.kyushu-u.ac.jp/M3/20110502/F51179/1592/1", 78.49)</f>
        <v>78.489999999999995</v>
      </c>
      <c r="E8993" s="2">
        <v>56.17</v>
      </c>
      <c r="F8993" s="2">
        <v>2</v>
      </c>
      <c r="G8993" s="2" t="s">
        <v>14</v>
      </c>
      <c r="I8993" s="2" t="s">
        <v>4898</v>
      </c>
    </row>
    <row r="8994" spans="1:9" x14ac:dyDescent="0.2">
      <c r="A8994" s="2" t="s">
        <v>3250</v>
      </c>
      <c r="B8994" s="2" t="s">
        <v>1065</v>
      </c>
      <c r="C8994" s="2">
        <v>717.21220000000005</v>
      </c>
      <c r="D8994" s="2">
        <f>HYPERLINK("http://mcb-m6.bioreg.kyushu-u.ac.jp/M3/20110502/F51192/1656/1", 78.51)</f>
        <v>78.510000000000005</v>
      </c>
      <c r="E8994" s="2">
        <v>61.43</v>
      </c>
      <c r="F8994" s="2">
        <v>2</v>
      </c>
      <c r="G8994" s="2" t="s">
        <v>14</v>
      </c>
      <c r="I8994" s="2" t="s">
        <v>4892</v>
      </c>
    </row>
    <row r="8995" spans="1:9" x14ac:dyDescent="0.2">
      <c r="A8995" s="2" t="s">
        <v>3250</v>
      </c>
      <c r="B8995" s="2" t="s">
        <v>834</v>
      </c>
      <c r="C8995" s="2">
        <v>621.97609999999997</v>
      </c>
      <c r="D8995" s="2">
        <f>HYPERLINK("http://mcb-m6.bioreg.kyushu-u.ac.jp/M3/20110502/F51194/1173/1", 78.85)</f>
        <v>78.849999999999994</v>
      </c>
      <c r="E8995" s="2">
        <v>47.34</v>
      </c>
      <c r="F8995" s="2">
        <v>2</v>
      </c>
      <c r="G8995" s="2" t="s">
        <v>14</v>
      </c>
    </row>
    <row r="8996" spans="1:9" x14ac:dyDescent="0.2">
      <c r="A8996" s="2" t="s">
        <v>3250</v>
      </c>
      <c r="B8996" s="2" t="s">
        <v>561</v>
      </c>
      <c r="C8996" s="2">
        <v>662.46510000000001</v>
      </c>
      <c r="D8996" s="2">
        <f>HYPERLINK("http://mcb-m6.bioreg.kyushu-u.ac.jp/M3/20110502/F51186/1459/1", 79.13)</f>
        <v>79.13</v>
      </c>
      <c r="E8996" s="2">
        <v>59.72</v>
      </c>
      <c r="F8996" s="2">
        <v>2</v>
      </c>
      <c r="G8996" s="2" t="s">
        <v>14</v>
      </c>
      <c r="H8996" s="2" t="s">
        <v>4919</v>
      </c>
    </row>
    <row r="8997" spans="1:9" x14ac:dyDescent="0.2">
      <c r="A8997" s="2" t="s">
        <v>3250</v>
      </c>
      <c r="B8997" s="2" t="s">
        <v>102</v>
      </c>
      <c r="C8997" s="2">
        <v>608.42070000000001</v>
      </c>
      <c r="D8997" s="2">
        <f>HYPERLINK("http://mcb-m6.bioreg.kyushu-u.ac.jp/M3/20110502/F51185/1207/1", 79.26)</f>
        <v>79.260000000000005</v>
      </c>
      <c r="E8997" s="2">
        <v>60.76</v>
      </c>
      <c r="F8997" s="2">
        <v>2</v>
      </c>
      <c r="G8997" s="2" t="s">
        <v>14</v>
      </c>
    </row>
    <row r="8998" spans="1:9" x14ac:dyDescent="0.2">
      <c r="A8998" s="2" t="s">
        <v>3250</v>
      </c>
      <c r="B8998" s="2" t="s">
        <v>102</v>
      </c>
      <c r="C8998" s="2">
        <v>608.4932</v>
      </c>
      <c r="D8998" s="2">
        <f>HYPERLINK("http://mcb-m6.bioreg.kyushu-u.ac.jp/M3/20110502/F51194/1095/1", 79.33)</f>
        <v>79.33</v>
      </c>
      <c r="E8998" s="2">
        <v>63.23</v>
      </c>
      <c r="F8998" s="2">
        <v>2</v>
      </c>
      <c r="G8998" s="2" t="s">
        <v>14</v>
      </c>
    </row>
    <row r="8999" spans="1:9" x14ac:dyDescent="0.2">
      <c r="A8999" s="2" t="s">
        <v>3250</v>
      </c>
      <c r="B8999" s="2" t="s">
        <v>356</v>
      </c>
      <c r="C8999" s="2">
        <v>816.46510000000001</v>
      </c>
      <c r="D8999" s="2">
        <f>HYPERLINK("http://mcb-m6.bioreg.kyushu-u.ac.jp/M3/20110502/F51192/2215/1", 79.88)</f>
        <v>79.88</v>
      </c>
      <c r="E8999" s="2">
        <v>61.15</v>
      </c>
      <c r="F8999" s="2">
        <v>2</v>
      </c>
      <c r="G8999" s="2" t="s">
        <v>14</v>
      </c>
    </row>
    <row r="9000" spans="1:9" x14ac:dyDescent="0.2">
      <c r="A9000" s="2" t="s">
        <v>3250</v>
      </c>
      <c r="B9000" s="2" t="s">
        <v>481</v>
      </c>
      <c r="C9000" s="2">
        <v>709.73609999999996</v>
      </c>
      <c r="D9000" s="2">
        <f>HYPERLINK("http://mcb-m6.bioreg.kyushu-u.ac.jp/M3/20110502/F51181/1680/1", 80.57)</f>
        <v>80.569999999999993</v>
      </c>
      <c r="E9000" s="2">
        <v>44.66</v>
      </c>
      <c r="F9000" s="2">
        <v>2</v>
      </c>
      <c r="G9000" s="2" t="s">
        <v>14</v>
      </c>
      <c r="I9000" s="2" t="s">
        <v>4898</v>
      </c>
    </row>
    <row r="9001" spans="1:9" x14ac:dyDescent="0.2">
      <c r="A9001" s="2" t="s">
        <v>3250</v>
      </c>
      <c r="B9001" s="2" t="s">
        <v>1065</v>
      </c>
      <c r="C9001" s="2">
        <v>716.92269999999996</v>
      </c>
      <c r="D9001" s="2">
        <f>HYPERLINK("http://mcb-m6.bioreg.kyushu-u.ac.jp/M3/20110502/F51194/1703/1", 81.13)</f>
        <v>81.13</v>
      </c>
      <c r="E9001" s="2">
        <v>68.510000000000005</v>
      </c>
      <c r="F9001" s="2">
        <v>2</v>
      </c>
      <c r="G9001" s="2" t="s">
        <v>14</v>
      </c>
      <c r="I9001" s="2" t="s">
        <v>4892</v>
      </c>
    </row>
    <row r="9002" spans="1:9" x14ac:dyDescent="0.2">
      <c r="A9002" s="2" t="s">
        <v>3250</v>
      </c>
      <c r="B9002" s="2" t="s">
        <v>356</v>
      </c>
      <c r="C9002" s="2">
        <v>815.90470000000005</v>
      </c>
      <c r="D9002" s="2">
        <f>HYPERLINK("http://mcb-m6.bioreg.kyushu-u.ac.jp/M3/20110502/F51194/2231/1", 81.19)</f>
        <v>81.19</v>
      </c>
      <c r="E9002" s="2">
        <v>67.959999999999994</v>
      </c>
      <c r="F9002" s="2">
        <v>2</v>
      </c>
      <c r="G9002" s="2" t="s">
        <v>14</v>
      </c>
    </row>
    <row r="9003" spans="1:9" x14ac:dyDescent="0.2">
      <c r="A9003" s="2" t="s">
        <v>3250</v>
      </c>
      <c r="B9003" s="2" t="s">
        <v>481</v>
      </c>
      <c r="C9003" s="2">
        <v>709.56960000000004</v>
      </c>
      <c r="D9003" s="2">
        <f>HYPERLINK("http://mcb-m6.bioreg.kyushu-u.ac.jp/M3/20110502/F51190/1566/1", 81.4)</f>
        <v>81.400000000000006</v>
      </c>
      <c r="E9003" s="2">
        <v>49.45</v>
      </c>
      <c r="F9003" s="2">
        <v>2</v>
      </c>
      <c r="G9003" s="2" t="s">
        <v>14</v>
      </c>
      <c r="I9003" s="2" t="s">
        <v>4898</v>
      </c>
    </row>
    <row r="9004" spans="1:9" x14ac:dyDescent="0.2">
      <c r="A9004" s="2" t="s">
        <v>3250</v>
      </c>
      <c r="B9004" s="2" t="s">
        <v>561</v>
      </c>
      <c r="C9004" s="2">
        <v>654.51620000000003</v>
      </c>
      <c r="D9004" s="2">
        <f>HYPERLINK("http://mcb-m6.bioreg.kyushu-u.ac.jp/M3/20110502/F51193/1363/1", 82.31)</f>
        <v>82.31</v>
      </c>
      <c r="E9004" s="2">
        <v>57.64</v>
      </c>
      <c r="F9004" s="2">
        <v>2</v>
      </c>
      <c r="G9004" s="2" t="s">
        <v>14</v>
      </c>
    </row>
    <row r="9005" spans="1:9" x14ac:dyDescent="0.2">
      <c r="A9005" s="2" t="s">
        <v>3250</v>
      </c>
      <c r="B9005" s="2" t="s">
        <v>467</v>
      </c>
      <c r="C9005" s="2">
        <v>691.78610000000003</v>
      </c>
      <c r="D9005" s="2">
        <f>HYPERLINK("http://mcb-m6.bioreg.kyushu-u.ac.jp/M3/20110502/F51192/1510/1", 82.91)</f>
        <v>82.91</v>
      </c>
      <c r="E9005" s="2">
        <v>51.11</v>
      </c>
      <c r="F9005" s="2">
        <v>2</v>
      </c>
      <c r="G9005" s="2" t="s">
        <v>14</v>
      </c>
    </row>
    <row r="9006" spans="1:9" x14ac:dyDescent="0.2">
      <c r="A9006" s="2" t="s">
        <v>3250</v>
      </c>
      <c r="B9006" s="2" t="s">
        <v>102</v>
      </c>
      <c r="C9006" s="2">
        <v>608.48469999999998</v>
      </c>
      <c r="D9006" s="2">
        <f>HYPERLINK("http://mcb-m6.bioreg.kyushu-u.ac.jp/M3/20110502/F51184/1057/1", 82.95)</f>
        <v>82.95</v>
      </c>
      <c r="E9006" s="2">
        <v>64.209999999999994</v>
      </c>
      <c r="F9006" s="2">
        <v>2</v>
      </c>
      <c r="G9006" s="2" t="s">
        <v>14</v>
      </c>
    </row>
    <row r="9007" spans="1:9" x14ac:dyDescent="0.2">
      <c r="A9007" s="2" t="s">
        <v>3250</v>
      </c>
      <c r="B9007" s="2" t="s">
        <v>102</v>
      </c>
      <c r="C9007" s="2">
        <v>608.50210000000004</v>
      </c>
      <c r="D9007" s="2">
        <f>HYPERLINK("http://mcb-m6.bioreg.kyushu-u.ac.jp/M3/20110502/F51186/1265/1", 83.22)</f>
        <v>83.22</v>
      </c>
      <c r="E9007" s="2">
        <v>61.75</v>
      </c>
      <c r="F9007" s="2">
        <v>2</v>
      </c>
      <c r="G9007" s="2" t="s">
        <v>14</v>
      </c>
    </row>
    <row r="9008" spans="1:9" x14ac:dyDescent="0.2">
      <c r="A9008" s="2" t="s">
        <v>3250</v>
      </c>
      <c r="B9008" s="2" t="s">
        <v>1521</v>
      </c>
      <c r="C9008" s="2">
        <v>989.27369999999996</v>
      </c>
      <c r="D9008" s="2">
        <f>HYPERLINK("http://mcb-m6.bioreg.kyushu-u.ac.jp/M3/20110502/F51184/3237/1", 83.5)</f>
        <v>83.5</v>
      </c>
      <c r="E9008" s="2">
        <v>65.83</v>
      </c>
      <c r="F9008" s="2">
        <v>2</v>
      </c>
      <c r="G9008" s="2" t="s">
        <v>14</v>
      </c>
    </row>
    <row r="9009" spans="1:9" x14ac:dyDescent="0.2">
      <c r="A9009" s="2" t="s">
        <v>3250</v>
      </c>
      <c r="B9009" s="2" t="s">
        <v>90</v>
      </c>
      <c r="C9009" s="2">
        <v>1432.7570000000001</v>
      </c>
      <c r="D9009" s="2">
        <f>HYPERLINK("http://mcb-m6.bioreg.kyushu-u.ac.jp/M3/20110502/F51194/1701/1", 83.51)</f>
        <v>83.51</v>
      </c>
      <c r="E9009" s="2">
        <v>72.989999999999995</v>
      </c>
      <c r="F9009" s="2">
        <v>1</v>
      </c>
      <c r="G9009" s="2" t="s">
        <v>14</v>
      </c>
    </row>
    <row r="9010" spans="1:9" x14ac:dyDescent="0.2">
      <c r="A9010" s="2" t="s">
        <v>3250</v>
      </c>
      <c r="B9010" s="2" t="s">
        <v>467</v>
      </c>
      <c r="C9010" s="2">
        <v>691.94820000000004</v>
      </c>
      <c r="D9010" s="2">
        <f>HYPERLINK("http://mcb-m6.bioreg.kyushu-u.ac.jp/M3/20110502/F51176/1902/1", 83.77)</f>
        <v>83.77</v>
      </c>
      <c r="E9010" s="2">
        <v>54.84</v>
      </c>
      <c r="F9010" s="2">
        <v>2</v>
      </c>
      <c r="G9010" s="2" t="s">
        <v>14</v>
      </c>
    </row>
    <row r="9011" spans="1:9" x14ac:dyDescent="0.2">
      <c r="A9011" s="2" t="s">
        <v>3250</v>
      </c>
      <c r="B9011" s="2" t="s">
        <v>1065</v>
      </c>
      <c r="C9011" s="2">
        <v>717.1182</v>
      </c>
      <c r="D9011" s="2">
        <f>HYPERLINK("http://mcb-m6.bioreg.kyushu-u.ac.jp/M3/20110502/F51184/1702/1", 83.89)</f>
        <v>83.89</v>
      </c>
      <c r="E9011" s="2">
        <v>69.900000000000006</v>
      </c>
      <c r="F9011" s="2">
        <v>2</v>
      </c>
      <c r="G9011" s="2" t="s">
        <v>14</v>
      </c>
      <c r="I9011" s="2" t="s">
        <v>4892</v>
      </c>
    </row>
    <row r="9012" spans="1:9" x14ac:dyDescent="0.2">
      <c r="A9012" s="2" t="s">
        <v>3250</v>
      </c>
      <c r="B9012" s="2" t="s">
        <v>1875</v>
      </c>
      <c r="C9012" s="2">
        <v>772.61519999999996</v>
      </c>
      <c r="D9012" s="2">
        <f>HYPERLINK("http://mcb-m6.bioreg.kyushu-u.ac.jp/M3/20110502/F51185/2044/1", 84.08)</f>
        <v>84.08</v>
      </c>
      <c r="E9012" s="2">
        <v>61.08</v>
      </c>
      <c r="F9012" s="2">
        <v>2</v>
      </c>
      <c r="G9012" s="2" t="s">
        <v>14</v>
      </c>
    </row>
    <row r="9013" spans="1:9" x14ac:dyDescent="0.2">
      <c r="A9013" s="2" t="s">
        <v>3250</v>
      </c>
      <c r="B9013" s="2" t="s">
        <v>90</v>
      </c>
      <c r="C9013" s="2">
        <v>717.07669999999996</v>
      </c>
      <c r="D9013" s="2">
        <f>HYPERLINK("http://mcb-m6.bioreg.kyushu-u.ac.jp/M3/20110502/F51186/1763/1", 84.28)</f>
        <v>84.28</v>
      </c>
      <c r="E9013" s="2">
        <v>32.380000000000003</v>
      </c>
      <c r="F9013" s="2">
        <v>2</v>
      </c>
      <c r="G9013" s="2" t="s">
        <v>14</v>
      </c>
    </row>
    <row r="9014" spans="1:9" x14ac:dyDescent="0.2">
      <c r="A9014" s="2" t="s">
        <v>3250</v>
      </c>
      <c r="B9014" s="2" t="s">
        <v>543</v>
      </c>
      <c r="C9014" s="2">
        <v>927.36220000000003</v>
      </c>
      <c r="D9014" s="2">
        <f>HYPERLINK("http://mcb-m6.bioreg.kyushu-u.ac.jp/M3/20110502/F51184/2944/1", 85.41)</f>
        <v>85.41</v>
      </c>
      <c r="E9014" s="2">
        <v>60.13</v>
      </c>
      <c r="F9014" s="2">
        <v>2</v>
      </c>
      <c r="G9014" s="2" t="s">
        <v>14</v>
      </c>
    </row>
    <row r="9015" spans="1:9" x14ac:dyDescent="0.2">
      <c r="A9015" s="2" t="s">
        <v>3250</v>
      </c>
      <c r="B9015" s="2" t="s">
        <v>772</v>
      </c>
      <c r="C9015" s="2">
        <v>596.02560000000005</v>
      </c>
      <c r="D9015" s="2">
        <f>HYPERLINK("http://mcb-m6.bioreg.kyushu-u.ac.jp/M3/20110502/F51193/1164/1", 86.29)</f>
        <v>86.29</v>
      </c>
      <c r="E9015" s="2">
        <v>59.75</v>
      </c>
      <c r="F9015" s="2">
        <v>2</v>
      </c>
      <c r="G9015" s="2" t="s">
        <v>14</v>
      </c>
    </row>
    <row r="9016" spans="1:9" x14ac:dyDescent="0.2">
      <c r="A9016" s="2" t="s">
        <v>3250</v>
      </c>
      <c r="B9016" s="2" t="s">
        <v>481</v>
      </c>
      <c r="C9016" s="2">
        <v>709.84559999999999</v>
      </c>
      <c r="D9016" s="2">
        <f>HYPERLINK("http://mcb-m6.bioreg.kyushu-u.ac.jp/M3/20110502/F51183/1730/1", 86.6)</f>
        <v>86.6</v>
      </c>
      <c r="E9016" s="2">
        <v>56.17</v>
      </c>
      <c r="F9016" s="2">
        <v>2</v>
      </c>
      <c r="G9016" s="2" t="s">
        <v>14</v>
      </c>
      <c r="I9016" s="2" t="s">
        <v>4898</v>
      </c>
    </row>
    <row r="9017" spans="1:9" x14ac:dyDescent="0.2">
      <c r="A9017" s="2" t="s">
        <v>3250</v>
      </c>
      <c r="B9017" s="2" t="s">
        <v>481</v>
      </c>
      <c r="C9017" s="2">
        <v>709.56769999999995</v>
      </c>
      <c r="D9017" s="2">
        <f>HYPERLINK("http://mcb-m6.bioreg.kyushu-u.ac.jp/M3/20110502/F51177/1667/1", 86.86)</f>
        <v>86.86</v>
      </c>
      <c r="E9017" s="2">
        <v>62.08</v>
      </c>
      <c r="F9017" s="2">
        <v>2</v>
      </c>
      <c r="G9017" s="2" t="s">
        <v>14</v>
      </c>
      <c r="I9017" s="2" t="s">
        <v>4898</v>
      </c>
    </row>
    <row r="9018" spans="1:9" x14ac:dyDescent="0.2">
      <c r="A9018" s="2" t="s">
        <v>3250</v>
      </c>
      <c r="B9018" s="2" t="s">
        <v>467</v>
      </c>
      <c r="C9018" s="2">
        <v>691.99519999999995</v>
      </c>
      <c r="D9018" s="2">
        <f>HYPERLINK("http://mcb-m6.bioreg.kyushu-u.ac.jp/M3/20110502/F51186/1630/1", 86.98)</f>
        <v>86.98</v>
      </c>
      <c r="E9018" s="2">
        <v>57.89</v>
      </c>
      <c r="F9018" s="2">
        <v>2</v>
      </c>
      <c r="G9018" s="2" t="s">
        <v>14</v>
      </c>
    </row>
    <row r="9019" spans="1:9" x14ac:dyDescent="0.2">
      <c r="A9019" s="2" t="s">
        <v>3250</v>
      </c>
      <c r="B9019" s="2" t="s">
        <v>503</v>
      </c>
      <c r="C9019" s="2">
        <v>816.5856</v>
      </c>
      <c r="D9019" s="2">
        <f>HYPERLINK("http://mcb-m6.bioreg.kyushu-u.ac.jp/M3/20110502/F51194/2246/1", 87.55)</f>
        <v>87.55</v>
      </c>
      <c r="E9019" s="2">
        <v>76.290000000000006</v>
      </c>
      <c r="F9019" s="2">
        <v>2</v>
      </c>
      <c r="G9019" s="2" t="s">
        <v>14</v>
      </c>
      <c r="H9019" s="2" t="s">
        <v>4907</v>
      </c>
    </row>
    <row r="9020" spans="1:9" x14ac:dyDescent="0.2">
      <c r="A9020" s="2" t="s">
        <v>3250</v>
      </c>
      <c r="B9020" s="2" t="s">
        <v>561</v>
      </c>
      <c r="C9020" s="2">
        <v>654.57920000000001</v>
      </c>
      <c r="D9020" s="2">
        <f>HYPERLINK("http://mcb-m6.bioreg.kyushu-u.ac.jp/M3/20110502/F51194/1330/1", 87.88)</f>
        <v>87.88</v>
      </c>
      <c r="E9020" s="2">
        <v>61.13</v>
      </c>
      <c r="F9020" s="2">
        <v>2</v>
      </c>
      <c r="G9020" s="2" t="s">
        <v>14</v>
      </c>
    </row>
    <row r="9021" spans="1:9" x14ac:dyDescent="0.2">
      <c r="A9021" s="2" t="s">
        <v>3250</v>
      </c>
      <c r="B9021" s="2" t="s">
        <v>1065</v>
      </c>
      <c r="C9021" s="2">
        <v>717.07709999999997</v>
      </c>
      <c r="D9021" s="2">
        <f>HYPERLINK("http://mcb-m6.bioreg.kyushu-u.ac.jp/M3/20110502/F51194/1710/1", 87.95)</f>
        <v>87.95</v>
      </c>
      <c r="E9021" s="2">
        <v>73.510000000000005</v>
      </c>
      <c r="F9021" s="2">
        <v>2</v>
      </c>
      <c r="G9021" s="2" t="s">
        <v>14</v>
      </c>
      <c r="I9021" s="2" t="s">
        <v>4892</v>
      </c>
    </row>
    <row r="9022" spans="1:9" x14ac:dyDescent="0.2">
      <c r="A9022" s="2" t="s">
        <v>3250</v>
      </c>
      <c r="B9022" s="2" t="s">
        <v>772</v>
      </c>
      <c r="C9022" s="2">
        <v>595.95510000000002</v>
      </c>
      <c r="D9022" s="2">
        <f>HYPERLINK("http://mcb-m6.bioreg.kyushu-u.ac.jp/M3/20110502/F51186/1213/1", 88.18)</f>
        <v>88.18</v>
      </c>
      <c r="E9022" s="2">
        <v>57.13</v>
      </c>
      <c r="F9022" s="2">
        <v>2</v>
      </c>
      <c r="G9022" s="2" t="s">
        <v>14</v>
      </c>
    </row>
    <row r="9023" spans="1:9" x14ac:dyDescent="0.2">
      <c r="A9023" s="2" t="s">
        <v>3250</v>
      </c>
      <c r="B9023" s="2" t="s">
        <v>102</v>
      </c>
      <c r="C9023" s="2">
        <v>616.42269999999996</v>
      </c>
      <c r="D9023" s="2">
        <f>HYPERLINK("http://mcb-m6.bioreg.kyushu-u.ac.jp/M3/20110502/F51194/1150/1", 88.22)</f>
        <v>88.22</v>
      </c>
      <c r="E9023" s="2">
        <v>72.239999999999995</v>
      </c>
      <c r="F9023" s="2">
        <v>2</v>
      </c>
      <c r="G9023" s="2" t="s">
        <v>14</v>
      </c>
      <c r="H9023" s="2" t="s">
        <v>4900</v>
      </c>
    </row>
    <row r="9024" spans="1:9" x14ac:dyDescent="0.2">
      <c r="A9024" s="2" t="s">
        <v>3250</v>
      </c>
      <c r="B9024" s="2" t="s">
        <v>561</v>
      </c>
      <c r="C9024" s="2">
        <v>654.49369999999999</v>
      </c>
      <c r="D9024" s="2">
        <f>HYPERLINK("http://mcb-m6.bioreg.kyushu-u.ac.jp/M3/20110502/F51194/1327/1", 89.11)</f>
        <v>89.11</v>
      </c>
      <c r="E9024" s="2">
        <v>66.209999999999994</v>
      </c>
      <c r="F9024" s="2">
        <v>2</v>
      </c>
      <c r="G9024" s="2" t="s">
        <v>14</v>
      </c>
    </row>
    <row r="9025" spans="1:9" x14ac:dyDescent="0.2">
      <c r="A9025" s="2" t="s">
        <v>3250</v>
      </c>
      <c r="B9025" s="2" t="s">
        <v>503</v>
      </c>
      <c r="C9025" s="2">
        <v>808.68320000000006</v>
      </c>
      <c r="D9025" s="2">
        <f>HYPERLINK("http://mcb-m6.bioreg.kyushu-u.ac.jp/M3/20110502/F51184/2261/1", 89.39)</f>
        <v>89.39</v>
      </c>
      <c r="E9025" s="2">
        <v>74.67</v>
      </c>
      <c r="F9025" s="2">
        <v>2</v>
      </c>
      <c r="G9025" s="2" t="s">
        <v>14</v>
      </c>
    </row>
    <row r="9026" spans="1:9" x14ac:dyDescent="0.2">
      <c r="A9026" s="2" t="s">
        <v>3250</v>
      </c>
      <c r="B9026" s="2" t="s">
        <v>467</v>
      </c>
      <c r="C9026" s="2">
        <v>692.10270000000003</v>
      </c>
      <c r="D9026" s="2">
        <f>HYPERLINK("http://mcb-m6.bioreg.kyushu-u.ac.jp/M3/20110502/F51179/1502/1", 89.66)</f>
        <v>89.66</v>
      </c>
      <c r="E9026" s="2">
        <v>58.61</v>
      </c>
      <c r="F9026" s="2">
        <v>2</v>
      </c>
      <c r="G9026" s="2" t="s">
        <v>14</v>
      </c>
    </row>
    <row r="9027" spans="1:9" x14ac:dyDescent="0.2">
      <c r="A9027" s="2" t="s">
        <v>3250</v>
      </c>
      <c r="B9027" s="2" t="s">
        <v>1765</v>
      </c>
      <c r="C9027" s="2">
        <v>761.67819999999995</v>
      </c>
      <c r="D9027" s="2">
        <f>HYPERLINK("http://mcb-m6.bioreg.kyushu-u.ac.jp/M3/20110502/F51194/1929/1", 90.2)</f>
        <v>90.2</v>
      </c>
      <c r="E9027" s="2">
        <v>67.16</v>
      </c>
      <c r="F9027" s="2">
        <v>2</v>
      </c>
      <c r="G9027" s="2" t="s">
        <v>14</v>
      </c>
    </row>
    <row r="9028" spans="1:9" x14ac:dyDescent="0.2">
      <c r="A9028" s="2" t="s">
        <v>3250</v>
      </c>
      <c r="B9028" s="2" t="s">
        <v>356</v>
      </c>
      <c r="C9028" s="2">
        <v>816.1857</v>
      </c>
      <c r="D9028" s="2">
        <f>HYPERLINK("http://mcb-m6.bioreg.kyushu-u.ac.jp/M3/20110502/F51177/2305/1", 90.21)</f>
        <v>90.21</v>
      </c>
      <c r="E9028" s="2">
        <v>72.12</v>
      </c>
      <c r="F9028" s="2">
        <v>2</v>
      </c>
      <c r="G9028" s="2" t="s">
        <v>14</v>
      </c>
    </row>
    <row r="9029" spans="1:9" x14ac:dyDescent="0.2">
      <c r="A9029" s="2" t="s">
        <v>3250</v>
      </c>
      <c r="B9029" s="2" t="s">
        <v>561</v>
      </c>
      <c r="C9029" s="2">
        <v>662.43409999999994</v>
      </c>
      <c r="D9029" s="2">
        <f>HYPERLINK("http://mcb-m6.bioreg.kyushu-u.ac.jp/M3/20110502/F51194/1362/1", 91.11)</f>
        <v>91.11</v>
      </c>
      <c r="E9029" s="2">
        <v>75.09</v>
      </c>
      <c r="F9029" s="2">
        <v>2</v>
      </c>
      <c r="G9029" s="2" t="s">
        <v>14</v>
      </c>
      <c r="H9029" s="2" t="s">
        <v>4919</v>
      </c>
    </row>
    <row r="9030" spans="1:9" x14ac:dyDescent="0.2">
      <c r="A9030" s="2" t="s">
        <v>3250</v>
      </c>
      <c r="B9030" s="2" t="s">
        <v>1065</v>
      </c>
      <c r="C9030" s="2">
        <v>717.09469999999999</v>
      </c>
      <c r="D9030" s="2">
        <f>HYPERLINK("http://mcb-m6.bioreg.kyushu-u.ac.jp/M3/20110502/F51186/1764/1", 91.62)</f>
        <v>91.62</v>
      </c>
      <c r="E9030" s="2">
        <v>72.430000000000007</v>
      </c>
      <c r="F9030" s="2">
        <v>2</v>
      </c>
      <c r="G9030" s="2" t="s">
        <v>14</v>
      </c>
      <c r="I9030" s="2" t="s">
        <v>4892</v>
      </c>
    </row>
    <row r="9031" spans="1:9" x14ac:dyDescent="0.2">
      <c r="A9031" s="2" t="s">
        <v>3250</v>
      </c>
      <c r="B9031" s="2" t="s">
        <v>561</v>
      </c>
      <c r="C9031" s="2">
        <v>662.42819999999995</v>
      </c>
      <c r="D9031" s="2">
        <f>HYPERLINK("http://mcb-m6.bioreg.kyushu-u.ac.jp/M3/20110502/F51194/1361/1", 91.71)</f>
        <v>91.71</v>
      </c>
      <c r="E9031" s="2">
        <v>70.400000000000006</v>
      </c>
      <c r="F9031" s="2">
        <v>2</v>
      </c>
      <c r="G9031" s="2" t="s">
        <v>14</v>
      </c>
      <c r="H9031" s="2" t="s">
        <v>4919</v>
      </c>
    </row>
    <row r="9032" spans="1:9" x14ac:dyDescent="0.2">
      <c r="A9032" s="2" t="s">
        <v>3250</v>
      </c>
      <c r="B9032" s="2" t="s">
        <v>1065</v>
      </c>
      <c r="C9032" s="2">
        <v>717.05070000000001</v>
      </c>
      <c r="D9032" s="2">
        <f>HYPERLINK("http://mcb-m6.bioreg.kyushu-u.ac.jp/M3/20110502/F51190/1615/1", 91.71)</f>
        <v>91.71</v>
      </c>
      <c r="E9032" s="2">
        <v>75.680000000000007</v>
      </c>
      <c r="F9032" s="2">
        <v>2</v>
      </c>
      <c r="G9032" s="2" t="s">
        <v>14</v>
      </c>
      <c r="I9032" s="2" t="s">
        <v>4892</v>
      </c>
    </row>
    <row r="9033" spans="1:9" x14ac:dyDescent="0.2">
      <c r="A9033" s="2" t="s">
        <v>3250</v>
      </c>
      <c r="B9033" s="2" t="s">
        <v>561</v>
      </c>
      <c r="C9033" s="2">
        <v>662.42110000000002</v>
      </c>
      <c r="D9033" s="2">
        <f>HYPERLINK("http://mcb-m6.bioreg.kyushu-u.ac.jp/M3/20110502/F51194/1360/1", 91.75)</f>
        <v>91.75</v>
      </c>
      <c r="E9033" s="2">
        <v>70.38</v>
      </c>
      <c r="F9033" s="2">
        <v>2</v>
      </c>
      <c r="G9033" s="2" t="s">
        <v>14</v>
      </c>
      <c r="H9033" s="2" t="s">
        <v>4919</v>
      </c>
    </row>
    <row r="9034" spans="1:9" x14ac:dyDescent="0.2">
      <c r="A9034" s="2" t="s">
        <v>3250</v>
      </c>
      <c r="B9034" s="2" t="s">
        <v>365</v>
      </c>
      <c r="C9034" s="2">
        <v>849.02070000000003</v>
      </c>
      <c r="D9034" s="2">
        <f>HYPERLINK("http://mcb-m6.bioreg.kyushu-u.ac.jp/M3/20110502/F51194/2385/1", 92.45)</f>
        <v>92.45</v>
      </c>
      <c r="E9034" s="2">
        <v>75.97</v>
      </c>
      <c r="F9034" s="2">
        <v>2</v>
      </c>
      <c r="G9034" s="2" t="s">
        <v>14</v>
      </c>
    </row>
    <row r="9035" spans="1:9" x14ac:dyDescent="0.2">
      <c r="A9035" s="2" t="s">
        <v>3250</v>
      </c>
      <c r="B9035" s="2" t="s">
        <v>90</v>
      </c>
      <c r="C9035" s="2">
        <v>1433.3119999999999</v>
      </c>
      <c r="D9035" s="2">
        <f>HYPERLINK("http://mcb-m6.bioreg.kyushu-u.ac.jp/M3/20110502/F51186/1767/1", 92.52)</f>
        <v>92.52</v>
      </c>
      <c r="E9035" s="2">
        <v>66.709999999999994</v>
      </c>
      <c r="F9035" s="2">
        <v>1</v>
      </c>
      <c r="G9035" s="2" t="s">
        <v>14</v>
      </c>
    </row>
    <row r="9036" spans="1:9" x14ac:dyDescent="0.2">
      <c r="A9036" s="2" t="s">
        <v>3250</v>
      </c>
      <c r="B9036" s="2" t="s">
        <v>90</v>
      </c>
      <c r="C9036" s="2">
        <v>717.05870000000004</v>
      </c>
      <c r="D9036" s="2">
        <f>HYPERLINK("http://mcb-m6.bioreg.kyushu-u.ac.jp/M3/20110502/F51191/1636/1", 93.55)</f>
        <v>93.55</v>
      </c>
      <c r="E9036" s="2">
        <v>65.39</v>
      </c>
      <c r="F9036" s="2">
        <v>2</v>
      </c>
      <c r="G9036" s="2" t="s">
        <v>14</v>
      </c>
    </row>
    <row r="9037" spans="1:9" x14ac:dyDescent="0.2">
      <c r="A9037" s="2" t="s">
        <v>3250</v>
      </c>
      <c r="B9037" s="2" t="s">
        <v>467</v>
      </c>
      <c r="C9037" s="2">
        <v>692.32820000000004</v>
      </c>
      <c r="D9037" s="2">
        <f>HYPERLINK("http://mcb-m6.bioreg.kyushu-u.ac.jp/M3/20110502/F51190/1496/1", 94.12)</f>
        <v>94.12</v>
      </c>
      <c r="E9037" s="2">
        <v>60.22</v>
      </c>
      <c r="F9037" s="2">
        <v>2</v>
      </c>
      <c r="G9037" s="2" t="s">
        <v>14</v>
      </c>
    </row>
    <row r="9038" spans="1:9" x14ac:dyDescent="0.2">
      <c r="A9038" s="2" t="s">
        <v>3250</v>
      </c>
      <c r="B9038" s="2" t="s">
        <v>356</v>
      </c>
      <c r="C9038" s="2">
        <v>816.46770000000004</v>
      </c>
      <c r="D9038" s="2">
        <f>HYPERLINK("http://mcb-m6.bioreg.kyushu-u.ac.jp/M3/20110502/F51194/2242/1", 95.26)</f>
        <v>95.26</v>
      </c>
      <c r="E9038" s="2">
        <v>75.8</v>
      </c>
      <c r="F9038" s="2">
        <v>2</v>
      </c>
      <c r="G9038" s="2" t="s">
        <v>14</v>
      </c>
    </row>
    <row r="9039" spans="1:9" x14ac:dyDescent="0.2">
      <c r="A9039" s="2" t="s">
        <v>3250</v>
      </c>
      <c r="B9039" s="2" t="s">
        <v>90</v>
      </c>
      <c r="C9039" s="2">
        <v>717.21770000000004</v>
      </c>
      <c r="D9039" s="2">
        <f>HYPERLINK("http://mcb-m6.bioreg.kyushu-u.ac.jp/M3/20110502/F51194/1713/1", 95.51)</f>
        <v>95.51</v>
      </c>
      <c r="E9039" s="2">
        <v>72.58</v>
      </c>
      <c r="F9039" s="2">
        <v>2</v>
      </c>
      <c r="G9039" s="2" t="s">
        <v>14</v>
      </c>
    </row>
    <row r="9040" spans="1:9" x14ac:dyDescent="0.2">
      <c r="A9040" s="2" t="s">
        <v>3250</v>
      </c>
      <c r="B9040" s="2" t="s">
        <v>561</v>
      </c>
      <c r="C9040" s="2">
        <v>662.4402</v>
      </c>
      <c r="D9040" s="2">
        <f>HYPERLINK("http://mcb-m6.bioreg.kyushu-u.ac.jp/M3/20110502/F51194/1363/1", 96.34)</f>
        <v>96.34</v>
      </c>
      <c r="E9040" s="2">
        <v>75.06</v>
      </c>
      <c r="F9040" s="2">
        <v>2</v>
      </c>
      <c r="G9040" s="2" t="s">
        <v>14</v>
      </c>
      <c r="H9040" s="2" t="s">
        <v>4919</v>
      </c>
    </row>
    <row r="9041" spans="1:9" x14ac:dyDescent="0.2">
      <c r="A9041" s="2" t="s">
        <v>3250</v>
      </c>
      <c r="B9041" s="2" t="s">
        <v>1255</v>
      </c>
      <c r="C9041" s="2">
        <v>1273.9659999999999</v>
      </c>
      <c r="D9041" s="2">
        <f>HYPERLINK("http://mcb-m6.bioreg.kyushu-u.ac.jp/M3/20110502/F51192/3554/1", 96.7)</f>
        <v>96.7</v>
      </c>
      <c r="E9041" s="2">
        <v>83.87</v>
      </c>
      <c r="F9041" s="2">
        <v>2</v>
      </c>
      <c r="G9041" s="2" t="s">
        <v>14</v>
      </c>
      <c r="I9041" s="2" t="s">
        <v>4906</v>
      </c>
    </row>
    <row r="9042" spans="1:9" x14ac:dyDescent="0.2">
      <c r="A9042" s="2" t="s">
        <v>3250</v>
      </c>
      <c r="B9042" s="2" t="s">
        <v>1521</v>
      </c>
      <c r="C9042" s="2">
        <v>989.21310000000005</v>
      </c>
      <c r="D9042" s="2">
        <f>HYPERLINK("http://mcb-m6.bioreg.kyushu-u.ac.jp/M3/20110502/F51194/3016/1", 97.43)</f>
        <v>97.43</v>
      </c>
      <c r="E9042" s="2">
        <v>76.459999999999994</v>
      </c>
      <c r="F9042" s="2">
        <v>2</v>
      </c>
      <c r="G9042" s="2" t="s">
        <v>14</v>
      </c>
    </row>
    <row r="9043" spans="1:9" x14ac:dyDescent="0.2">
      <c r="A9043" s="2" t="s">
        <v>3250</v>
      </c>
      <c r="B9043" s="2" t="s">
        <v>481</v>
      </c>
      <c r="C9043" s="2">
        <v>709.56269999999995</v>
      </c>
      <c r="D9043" s="2">
        <f>HYPERLINK("http://mcb-m6.bioreg.kyushu-u.ac.jp/M3/20110502/F51178/1964/1", 97.99)</f>
        <v>97.99</v>
      </c>
      <c r="E9043" s="2">
        <v>75.209999999999994</v>
      </c>
      <c r="F9043" s="2">
        <v>2</v>
      </c>
      <c r="G9043" s="2" t="s">
        <v>14</v>
      </c>
      <c r="I9043" s="2" t="s">
        <v>4898</v>
      </c>
    </row>
    <row r="9044" spans="1:9" x14ac:dyDescent="0.2">
      <c r="A9044" s="2" t="s">
        <v>3250</v>
      </c>
      <c r="B9044" s="2" t="s">
        <v>467</v>
      </c>
      <c r="C9044" s="2">
        <v>692.1857</v>
      </c>
      <c r="D9044" s="2">
        <f>HYPERLINK("http://mcb-m6.bioreg.kyushu-u.ac.jp/M3/20110502/F51183/1622/1", 98.17)</f>
        <v>98.17</v>
      </c>
      <c r="E9044" s="2">
        <v>58.23</v>
      </c>
      <c r="F9044" s="2">
        <v>2</v>
      </c>
      <c r="G9044" s="2" t="s">
        <v>14</v>
      </c>
    </row>
    <row r="9045" spans="1:9" x14ac:dyDescent="0.2">
      <c r="A9045" s="2" t="s">
        <v>3250</v>
      </c>
      <c r="B9045" s="2" t="s">
        <v>356</v>
      </c>
      <c r="C9045" s="2">
        <v>816.32619999999997</v>
      </c>
      <c r="D9045" s="2">
        <f>HYPERLINK("http://mcb-m6.bioreg.kyushu-u.ac.jp/M3/20110502/F51194/2239/1", 99.07)</f>
        <v>99.07</v>
      </c>
      <c r="E9045" s="2">
        <v>75.42</v>
      </c>
      <c r="F9045" s="2">
        <v>2</v>
      </c>
      <c r="G9045" s="2" t="s">
        <v>14</v>
      </c>
    </row>
    <row r="9046" spans="1:9" x14ac:dyDescent="0.2">
      <c r="A9046" s="2" t="s">
        <v>3250</v>
      </c>
      <c r="B9046" s="2" t="s">
        <v>356</v>
      </c>
      <c r="C9046" s="2">
        <v>816.27470000000005</v>
      </c>
      <c r="D9046" s="2">
        <f>HYPERLINK("http://mcb-m6.bioreg.kyushu-u.ac.jp/M3/20110502/F51186/2201/1", 99.22)</f>
        <v>99.22</v>
      </c>
      <c r="E9046" s="2">
        <v>81.56</v>
      </c>
      <c r="F9046" s="2">
        <v>2</v>
      </c>
      <c r="G9046" s="2" t="s">
        <v>14</v>
      </c>
    </row>
    <row r="9047" spans="1:9" x14ac:dyDescent="0.2">
      <c r="A9047" s="2" t="s">
        <v>3250</v>
      </c>
      <c r="B9047" s="2" t="s">
        <v>772</v>
      </c>
      <c r="C9047" s="2">
        <v>595.93910000000005</v>
      </c>
      <c r="D9047" s="2">
        <f>HYPERLINK("http://mcb-m6.bioreg.kyushu-u.ac.jp/M3/20110502/F51184/988/1", 99.73)</f>
        <v>99.73</v>
      </c>
      <c r="E9047" s="2">
        <v>70.459999999999994</v>
      </c>
      <c r="F9047" s="2">
        <v>2</v>
      </c>
      <c r="G9047" s="2" t="s">
        <v>14</v>
      </c>
    </row>
    <row r="9048" spans="1:9" x14ac:dyDescent="0.2">
      <c r="A9048" s="2" t="s">
        <v>3250</v>
      </c>
      <c r="B9048" s="2" t="s">
        <v>481</v>
      </c>
      <c r="C9048" s="2">
        <v>709.63070000000005</v>
      </c>
      <c r="D9048" s="2">
        <f>HYPERLINK("http://mcb-m6.bioreg.kyushu-u.ac.jp/M3/20110502/F51185/1726/1", 100.89)</f>
        <v>100.89</v>
      </c>
      <c r="E9048" s="2">
        <v>75.95</v>
      </c>
      <c r="F9048" s="2">
        <v>2</v>
      </c>
      <c r="G9048" s="2" t="s">
        <v>14</v>
      </c>
      <c r="I9048" s="2" t="s">
        <v>4898</v>
      </c>
    </row>
    <row r="9049" spans="1:9" x14ac:dyDescent="0.2">
      <c r="A9049" s="2" t="s">
        <v>3250</v>
      </c>
      <c r="B9049" s="2" t="s">
        <v>356</v>
      </c>
      <c r="C9049" s="2">
        <v>816.34010000000001</v>
      </c>
      <c r="D9049" s="2">
        <f>HYPERLINK("http://mcb-m6.bioreg.kyushu-u.ac.jp/M3/20110502/F51194/2240/1", 102.24)</f>
        <v>102.24</v>
      </c>
      <c r="E9049" s="2">
        <v>83.64</v>
      </c>
      <c r="F9049" s="2">
        <v>2</v>
      </c>
      <c r="G9049" s="2" t="s">
        <v>14</v>
      </c>
    </row>
    <row r="9050" spans="1:9" x14ac:dyDescent="0.2">
      <c r="A9050" s="2" t="s">
        <v>3250</v>
      </c>
      <c r="B9050" s="2" t="s">
        <v>356</v>
      </c>
      <c r="C9050" s="2">
        <v>816.41420000000005</v>
      </c>
      <c r="D9050" s="2">
        <f>HYPERLINK("http://mcb-m6.bioreg.kyushu-u.ac.jp/M3/20110502/F51194/2241/1", 102.39)</f>
        <v>102.39</v>
      </c>
      <c r="E9050" s="2">
        <v>76.19</v>
      </c>
      <c r="F9050" s="2">
        <v>2</v>
      </c>
      <c r="G9050" s="2" t="s">
        <v>14</v>
      </c>
    </row>
    <row r="9051" spans="1:9" x14ac:dyDescent="0.2">
      <c r="A9051" s="2" t="s">
        <v>3250</v>
      </c>
      <c r="B9051" s="2" t="s">
        <v>1255</v>
      </c>
      <c r="C9051" s="2">
        <v>1273.8869999999999</v>
      </c>
      <c r="D9051" s="2">
        <f>HYPERLINK("http://mcb-m6.bioreg.kyushu-u.ac.jp/M3/20110502/F51186/3305/1", 102.43)</f>
        <v>102.43</v>
      </c>
      <c r="E9051" s="2">
        <v>85.45</v>
      </c>
      <c r="F9051" s="2">
        <v>2</v>
      </c>
      <c r="G9051" s="2" t="s">
        <v>14</v>
      </c>
      <c r="I9051" s="2" t="s">
        <v>4906</v>
      </c>
    </row>
    <row r="9052" spans="1:9" x14ac:dyDescent="0.2">
      <c r="A9052" s="2" t="s">
        <v>3250</v>
      </c>
      <c r="B9052" s="2" t="s">
        <v>90</v>
      </c>
      <c r="C9052" s="2">
        <v>717.12919999999997</v>
      </c>
      <c r="D9052" s="2">
        <f>HYPERLINK("http://mcb-m6.bioreg.kyushu-u.ac.jp/M3/20110502/F51186/1766/1", 105.28)</f>
        <v>105.28</v>
      </c>
      <c r="E9052" s="2">
        <v>82.56</v>
      </c>
      <c r="F9052" s="2">
        <v>2</v>
      </c>
      <c r="G9052" s="2" t="s">
        <v>14</v>
      </c>
    </row>
    <row r="9053" spans="1:9" x14ac:dyDescent="0.2">
      <c r="A9053" s="2" t="s">
        <v>3250</v>
      </c>
      <c r="B9053" s="2" t="s">
        <v>1765</v>
      </c>
      <c r="C9053" s="2">
        <v>761.68470000000002</v>
      </c>
      <c r="D9053" s="2">
        <f>HYPERLINK("http://mcb-m6.bioreg.kyushu-u.ac.jp/M3/20110502/F51194/1931/1", 105.32)</f>
        <v>105.32</v>
      </c>
      <c r="E9053" s="2">
        <v>75.489999999999995</v>
      </c>
      <c r="F9053" s="2">
        <v>2</v>
      </c>
      <c r="G9053" s="2" t="s">
        <v>14</v>
      </c>
    </row>
    <row r="9054" spans="1:9" x14ac:dyDescent="0.2">
      <c r="A9054" s="2" t="s">
        <v>3250</v>
      </c>
      <c r="B9054" s="2" t="s">
        <v>356</v>
      </c>
      <c r="C9054" s="2">
        <v>815.96559999999999</v>
      </c>
      <c r="D9054" s="2">
        <f>HYPERLINK("http://mcb-m6.bioreg.kyushu-u.ac.jp/M3/20110502/F51194/2232/1", 106.63)</f>
        <v>106.63</v>
      </c>
      <c r="E9054" s="2">
        <v>86.98</v>
      </c>
      <c r="F9054" s="2">
        <v>2</v>
      </c>
      <c r="G9054" s="2" t="s">
        <v>14</v>
      </c>
    </row>
    <row r="9055" spans="1:9" x14ac:dyDescent="0.2">
      <c r="A9055" s="2" t="s">
        <v>3250</v>
      </c>
      <c r="B9055" s="2" t="s">
        <v>503</v>
      </c>
      <c r="C9055" s="2">
        <v>808.39469999999994</v>
      </c>
      <c r="D9055" s="2">
        <f>HYPERLINK("http://mcb-m6.bioreg.kyushu-u.ac.jp/M3/20110502/F51194/2190/1", 109.52)</f>
        <v>109.52</v>
      </c>
      <c r="E9055" s="2">
        <v>97.76</v>
      </c>
      <c r="F9055" s="2">
        <v>2</v>
      </c>
      <c r="G9055" s="2" t="s">
        <v>14</v>
      </c>
    </row>
    <row r="9056" spans="1:9" x14ac:dyDescent="0.2">
      <c r="A9056" s="2" t="s">
        <v>3250</v>
      </c>
      <c r="B9056" s="2" t="s">
        <v>356</v>
      </c>
      <c r="C9056" s="2">
        <v>816.30970000000002</v>
      </c>
      <c r="D9056" s="2">
        <f>HYPERLINK("http://mcb-m6.bioreg.kyushu-u.ac.jp/M3/20110502/F51181/2217/1", 110.3)</f>
        <v>110.3</v>
      </c>
      <c r="E9056" s="2">
        <v>76.94</v>
      </c>
      <c r="F9056" s="2">
        <v>2</v>
      </c>
      <c r="G9056" s="2" t="s">
        <v>14</v>
      </c>
    </row>
    <row r="9057" spans="1:7" x14ac:dyDescent="0.2">
      <c r="A9057" s="2" t="s">
        <v>3250</v>
      </c>
      <c r="B9057" s="2" t="s">
        <v>90</v>
      </c>
      <c r="C9057" s="2">
        <v>717.27369999999996</v>
      </c>
      <c r="D9057" s="2">
        <f>HYPERLINK("http://mcb-m6.bioreg.kyushu-u.ac.jp/M3/20110502/F51178/2005/1", 111.94)</f>
        <v>111.94</v>
      </c>
      <c r="E9057" s="2">
        <v>78.88</v>
      </c>
      <c r="F9057" s="2">
        <v>2</v>
      </c>
      <c r="G9057" s="2" t="s">
        <v>14</v>
      </c>
    </row>
    <row r="9058" spans="1:7" x14ac:dyDescent="0.2">
      <c r="A9058" s="2" t="s">
        <v>3250</v>
      </c>
      <c r="B9058" s="2" t="s">
        <v>356</v>
      </c>
      <c r="C9058" s="2">
        <v>816.16020000000003</v>
      </c>
      <c r="D9058" s="2">
        <f>HYPERLINK("http://mcb-m6.bioreg.kyushu-u.ac.jp/M3/20110502/F51184/2316/1", 113.97)</f>
        <v>113.97</v>
      </c>
      <c r="E9058" s="2">
        <v>86.65</v>
      </c>
      <c r="F9058" s="2">
        <v>2</v>
      </c>
      <c r="G9058" s="2" t="s">
        <v>14</v>
      </c>
    </row>
    <row r="9059" spans="1:7" x14ac:dyDescent="0.2">
      <c r="A9059" s="2" t="s">
        <v>3250</v>
      </c>
      <c r="B9059" s="2" t="s">
        <v>356</v>
      </c>
      <c r="C9059" s="2">
        <v>816.14620000000002</v>
      </c>
      <c r="D9059" s="2">
        <f>HYPERLINK("http://mcb-m6.bioreg.kyushu-u.ac.jp/M3/20110502/F51185/2271/1", 115.25)</f>
        <v>115.25</v>
      </c>
      <c r="E9059" s="2">
        <v>85.85</v>
      </c>
      <c r="F9059" s="2">
        <v>2</v>
      </c>
      <c r="G9059" s="2" t="s">
        <v>14</v>
      </c>
    </row>
    <row r="9060" spans="1:7" x14ac:dyDescent="0.2">
      <c r="A9060" s="2" t="s">
        <v>3250</v>
      </c>
      <c r="B9060" s="2" t="s">
        <v>467</v>
      </c>
      <c r="C9060" s="2">
        <v>692.1232</v>
      </c>
      <c r="D9060" s="2">
        <f>HYPERLINK("http://mcb-m6.bioreg.kyushu-u.ac.jp/M3/20110502/F51191/1511/1", 116.48)</f>
        <v>116.48</v>
      </c>
      <c r="E9060" s="2">
        <v>81.22</v>
      </c>
      <c r="F9060" s="2">
        <v>2</v>
      </c>
      <c r="G9060" s="2" t="s">
        <v>14</v>
      </c>
    </row>
    <row r="9061" spans="1:7" x14ac:dyDescent="0.2">
      <c r="A9061" s="2" t="s">
        <v>3250</v>
      </c>
      <c r="B9061" s="2" t="s">
        <v>90</v>
      </c>
      <c r="C9061" s="2">
        <v>717.40869999999995</v>
      </c>
      <c r="D9061" s="2">
        <f>HYPERLINK("http://mcb-m6.bioreg.kyushu-u.ac.jp/M3/20110502/F51186/1768/1", 117.98)</f>
        <v>117.98</v>
      </c>
      <c r="E9061" s="2">
        <v>92.92</v>
      </c>
      <c r="F9061" s="2">
        <v>2</v>
      </c>
      <c r="G9061" s="2" t="s">
        <v>14</v>
      </c>
    </row>
    <row r="9062" spans="1:7" x14ac:dyDescent="0.2">
      <c r="A9062" s="2" t="s">
        <v>3250</v>
      </c>
      <c r="B9062" s="2" t="s">
        <v>356</v>
      </c>
      <c r="C9062" s="2">
        <v>816.16020000000003</v>
      </c>
      <c r="D9062" s="2">
        <f>HYPERLINK("http://mcb-m6.bioreg.kyushu-u.ac.jp/M3/20110502/F51190/2090/1", 120.53)</f>
        <v>120.53</v>
      </c>
      <c r="E9062" s="2">
        <v>95.27</v>
      </c>
      <c r="F9062" s="2">
        <v>2</v>
      </c>
      <c r="G9062" s="2" t="s">
        <v>14</v>
      </c>
    </row>
    <row r="9063" spans="1:7" x14ac:dyDescent="0.2">
      <c r="A9063" s="2" t="s">
        <v>3250</v>
      </c>
      <c r="B9063" s="2" t="s">
        <v>356</v>
      </c>
      <c r="C9063" s="2">
        <v>816.17719999999997</v>
      </c>
      <c r="D9063" s="2">
        <f>HYPERLINK("http://mcb-m6.bioreg.kyushu-u.ac.jp/M3/20110502/F51176/2203/1", 121.44)</f>
        <v>121.44</v>
      </c>
      <c r="E9063" s="2">
        <v>95.43</v>
      </c>
      <c r="F9063" s="2">
        <v>2</v>
      </c>
      <c r="G9063" s="2" t="s">
        <v>14</v>
      </c>
    </row>
    <row r="9064" spans="1:7" x14ac:dyDescent="0.2">
      <c r="A9064" s="2" t="s">
        <v>3894</v>
      </c>
      <c r="B9064" s="2" t="s">
        <v>1040</v>
      </c>
      <c r="C9064" s="2">
        <v>670.42819999999995</v>
      </c>
      <c r="D9064" s="2">
        <f>HYPERLINK("http://mcb-m6.bioreg.kyushu-u.ac.jp/M3/20110411/F50890/1795/1", 59.94)</f>
        <v>59.94</v>
      </c>
      <c r="E9064" s="2">
        <v>46.44</v>
      </c>
      <c r="F9064" s="2">
        <v>2</v>
      </c>
      <c r="G9064" s="2" t="s">
        <v>9</v>
      </c>
    </row>
    <row r="9065" spans="1:7" x14ac:dyDescent="0.2">
      <c r="A9065" s="2" t="s">
        <v>3894</v>
      </c>
      <c r="B9065" s="2" t="s">
        <v>1040</v>
      </c>
      <c r="C9065" s="2">
        <v>670.46969999999999</v>
      </c>
      <c r="D9065" s="2">
        <f>HYPERLINK("http://mcb-m6.bioreg.kyushu-u.ac.jp/M3/20110411/F50891/1702/1", 60.04)</f>
        <v>60.04</v>
      </c>
      <c r="E9065" s="2">
        <v>49.13</v>
      </c>
      <c r="F9065" s="2">
        <v>2</v>
      </c>
      <c r="G9065" s="2" t="s">
        <v>9</v>
      </c>
    </row>
    <row r="9066" spans="1:7" x14ac:dyDescent="0.2">
      <c r="A9066" s="2" t="s">
        <v>3894</v>
      </c>
      <c r="B9066" s="2" t="s">
        <v>1040</v>
      </c>
      <c r="C9066" s="2">
        <v>670.85969999999998</v>
      </c>
      <c r="D9066" s="2">
        <f>HYPERLINK("http://mcb-m6.bioreg.kyushu-u.ac.jp/M3/20110411/F50897/1602/1", 55.48)</f>
        <v>55.48</v>
      </c>
      <c r="E9066" s="2">
        <v>31.58</v>
      </c>
      <c r="F9066" s="2">
        <v>2</v>
      </c>
      <c r="G9066" s="2" t="s">
        <v>10</v>
      </c>
    </row>
    <row r="9067" spans="1:7" x14ac:dyDescent="0.2">
      <c r="A9067" s="2" t="s">
        <v>3894</v>
      </c>
      <c r="B9067" s="2" t="s">
        <v>1040</v>
      </c>
      <c r="C9067" s="2">
        <v>670.54269999999997</v>
      </c>
      <c r="D9067" s="2">
        <f>HYPERLINK("http://mcb-m6.bioreg.kyushu-u.ac.jp/M3/20110411/F50898/1944/1", 69.69)</f>
        <v>69.69</v>
      </c>
      <c r="E9067" s="2">
        <v>41.32</v>
      </c>
      <c r="F9067" s="2">
        <v>2</v>
      </c>
      <c r="G9067" s="2" t="s">
        <v>10</v>
      </c>
    </row>
    <row r="9068" spans="1:7" x14ac:dyDescent="0.2">
      <c r="A9068" s="2" t="s">
        <v>3894</v>
      </c>
      <c r="B9068" s="2" t="s">
        <v>1040</v>
      </c>
      <c r="C9068" s="2">
        <v>670.23019999999997</v>
      </c>
      <c r="D9068" s="2">
        <f>HYPERLINK("http://mcb-m6.bioreg.kyushu-u.ac.jp/M3/20110414/F50928/1914/1", 60.6)</f>
        <v>60.6</v>
      </c>
      <c r="E9068" s="2">
        <v>46.98</v>
      </c>
      <c r="F9068" s="2">
        <v>2</v>
      </c>
      <c r="G9068" s="2" t="s">
        <v>11</v>
      </c>
    </row>
    <row r="9069" spans="1:7" x14ac:dyDescent="0.2">
      <c r="A9069" s="2" t="s">
        <v>3894</v>
      </c>
      <c r="B9069" s="2" t="s">
        <v>1040</v>
      </c>
      <c r="C9069" s="2">
        <v>670.18219999999997</v>
      </c>
      <c r="D9069" s="2">
        <f>HYPERLINK("http://mcb-m6.bioreg.kyushu-u.ac.jp/M3/20110414/F50927/1973/1", 61.25)</f>
        <v>61.25</v>
      </c>
      <c r="E9069" s="2">
        <v>43.48</v>
      </c>
      <c r="F9069" s="2">
        <v>2</v>
      </c>
      <c r="G9069" s="2" t="s">
        <v>11</v>
      </c>
    </row>
    <row r="9070" spans="1:7" x14ac:dyDescent="0.2">
      <c r="A9070" s="2" t="s">
        <v>3804</v>
      </c>
      <c r="B9070" s="2" t="s">
        <v>860</v>
      </c>
      <c r="C9070" s="2">
        <v>664.8827</v>
      </c>
      <c r="D9070" s="2">
        <f>HYPERLINK("http://mcb-m6.bioreg.kyushu-u.ac.jp/M3/20110411/F50905/1628/1", 53.75)</f>
        <v>53.75</v>
      </c>
      <c r="E9070" s="2">
        <v>34.61</v>
      </c>
      <c r="F9070" s="2">
        <v>2</v>
      </c>
      <c r="G9070" s="2" t="s">
        <v>9</v>
      </c>
    </row>
    <row r="9071" spans="1:7" x14ac:dyDescent="0.2">
      <c r="A9071" s="2" t="s">
        <v>3804</v>
      </c>
      <c r="B9071" s="2" t="s">
        <v>860</v>
      </c>
      <c r="C9071" s="2">
        <v>665.22559999999999</v>
      </c>
      <c r="D9071" s="2">
        <f>HYPERLINK("http://mcb-m6.bioreg.kyushu-u.ac.jp/M3/20110411/F50913/1633/1", 57.88)</f>
        <v>57.88</v>
      </c>
      <c r="E9071" s="2">
        <v>34.33</v>
      </c>
      <c r="F9071" s="2">
        <v>2</v>
      </c>
      <c r="G9071" s="2" t="s">
        <v>10</v>
      </c>
    </row>
    <row r="9072" spans="1:7" x14ac:dyDescent="0.2">
      <c r="A9072" s="2" t="s">
        <v>4266</v>
      </c>
      <c r="B9072" s="2" t="s">
        <v>1927</v>
      </c>
      <c r="C9072" s="2">
        <v>494.0591</v>
      </c>
      <c r="D9072" s="2">
        <f>HYPERLINK("http://mcb-m6.bioreg.kyushu-u.ac.jp/M3/20110411/F50901/1201/1", 50.56)</f>
        <v>50.56</v>
      </c>
      <c r="E9072" s="2">
        <v>21.45</v>
      </c>
      <c r="F9072" s="2">
        <v>2</v>
      </c>
      <c r="G9072" s="2" t="s">
        <v>10</v>
      </c>
    </row>
    <row r="9073" spans="1:7" x14ac:dyDescent="0.2">
      <c r="A9073" s="2" t="s">
        <v>4266</v>
      </c>
      <c r="B9073" s="2" t="s">
        <v>1927</v>
      </c>
      <c r="C9073" s="2">
        <v>493.71409999999997</v>
      </c>
      <c r="D9073" s="2">
        <f>HYPERLINK("http://mcb-m6.bioreg.kyushu-u.ac.jp/M3/20110414/F50943/923/1", 37.68)</f>
        <v>37.68</v>
      </c>
      <c r="E9073" s="2">
        <v>15.99</v>
      </c>
      <c r="F9073" s="2">
        <v>2</v>
      </c>
      <c r="G9073" s="2" t="s">
        <v>11</v>
      </c>
    </row>
    <row r="9074" spans="1:7" x14ac:dyDescent="0.2">
      <c r="A9074" s="2" t="s">
        <v>4266</v>
      </c>
      <c r="B9074" s="2" t="s">
        <v>2381</v>
      </c>
      <c r="C9074" s="2">
        <v>906.4067</v>
      </c>
      <c r="D9074" s="2">
        <f>HYPERLINK("http://mcb-m6.bioreg.kyushu-u.ac.jp/M3/20110414/F50943/2751/1", 52.46)</f>
        <v>52.46</v>
      </c>
      <c r="E9074" s="2">
        <v>38.19</v>
      </c>
      <c r="F9074" s="2">
        <v>2</v>
      </c>
      <c r="G9074" s="2" t="s">
        <v>11</v>
      </c>
    </row>
    <row r="9075" spans="1:7" x14ac:dyDescent="0.2">
      <c r="A9075" s="2" t="s">
        <v>4043</v>
      </c>
      <c r="B9075" s="2" t="s">
        <v>1386</v>
      </c>
      <c r="C9075" s="2">
        <v>908.20119999999997</v>
      </c>
      <c r="D9075" s="2">
        <f>HYPERLINK("http://mcb-m6.bioreg.kyushu-u.ac.jp/M3/20110411/F50893/2846/1", 77.18)</f>
        <v>77.180000000000007</v>
      </c>
      <c r="E9075" s="2">
        <v>59.86</v>
      </c>
      <c r="F9075" s="2">
        <v>2</v>
      </c>
      <c r="G9075" s="2" t="s">
        <v>9</v>
      </c>
    </row>
    <row r="9076" spans="1:7" x14ac:dyDescent="0.2">
      <c r="A9076" s="2" t="s">
        <v>4043</v>
      </c>
      <c r="B9076" s="2" t="s">
        <v>1386</v>
      </c>
      <c r="C9076" s="2">
        <v>908.01509999999996</v>
      </c>
      <c r="D9076" s="2">
        <f>HYPERLINK("http://mcb-m6.bioreg.kyushu-u.ac.jp/M3/20110411/F50900/2755/1", 70.92)</f>
        <v>70.92</v>
      </c>
      <c r="E9076" s="2">
        <v>55.64</v>
      </c>
      <c r="F9076" s="2">
        <v>2</v>
      </c>
      <c r="G9076" s="2" t="s">
        <v>10</v>
      </c>
    </row>
    <row r="9077" spans="1:7" x14ac:dyDescent="0.2">
      <c r="A9077" s="2" t="s">
        <v>4043</v>
      </c>
      <c r="B9077" s="2" t="s">
        <v>2185</v>
      </c>
      <c r="C9077" s="2">
        <v>896.33920000000001</v>
      </c>
      <c r="D9077" s="2">
        <f>HYPERLINK("http://mcb-m6.bioreg.kyushu-u.ac.jp/M3/20110414/F50943/2699/1", 36.22)</f>
        <v>36.22</v>
      </c>
      <c r="E9077" s="2">
        <v>25.68</v>
      </c>
      <c r="F9077" s="2">
        <v>2</v>
      </c>
      <c r="G9077" s="2" t="s">
        <v>11</v>
      </c>
    </row>
    <row r="9078" spans="1:7" x14ac:dyDescent="0.2">
      <c r="A9078" s="2" t="s">
        <v>4043</v>
      </c>
      <c r="B9078" s="2" t="s">
        <v>2382</v>
      </c>
      <c r="C9078" s="2">
        <v>522.68910000000005</v>
      </c>
      <c r="D9078" s="2">
        <f>HYPERLINK("http://mcb-m6.bioreg.kyushu-u.ac.jp/M3/20110414/F50943/1000/1", 53.08)</f>
        <v>53.08</v>
      </c>
      <c r="E9078" s="2">
        <v>21.18</v>
      </c>
      <c r="F9078" s="2">
        <v>2</v>
      </c>
      <c r="G9078" s="2" t="s">
        <v>11</v>
      </c>
    </row>
    <row r="9079" spans="1:7" x14ac:dyDescent="0.2">
      <c r="A9079" s="2" t="s">
        <v>4043</v>
      </c>
      <c r="B9079" s="2" t="s">
        <v>1386</v>
      </c>
      <c r="C9079" s="2">
        <v>907.84770000000003</v>
      </c>
      <c r="D9079" s="2">
        <f>HYPERLINK("http://mcb-m6.bioreg.kyushu-u.ac.jp/M3/20110414/F50943/2758/1", 66.33)</f>
        <v>66.33</v>
      </c>
      <c r="E9079" s="2">
        <v>55.73</v>
      </c>
      <c r="F9079" s="2">
        <v>2</v>
      </c>
      <c r="G9079" s="2" t="s">
        <v>11</v>
      </c>
    </row>
    <row r="9080" spans="1:7" x14ac:dyDescent="0.2">
      <c r="A9080" s="2" t="s">
        <v>4043</v>
      </c>
      <c r="B9080" s="2" t="s">
        <v>1386</v>
      </c>
      <c r="C9080" s="2">
        <v>907.89919999999995</v>
      </c>
      <c r="D9080" s="2">
        <f>HYPERLINK("http://mcb-m6.bioreg.kyushu-u.ac.jp/M3/20110414/F50949/2438/1", 73.26)</f>
        <v>73.260000000000005</v>
      </c>
      <c r="E9080" s="2">
        <v>53.35</v>
      </c>
      <c r="F9080" s="2">
        <v>2</v>
      </c>
      <c r="G9080" s="2" t="s">
        <v>12</v>
      </c>
    </row>
    <row r="9081" spans="1:7" x14ac:dyDescent="0.2">
      <c r="A9081" s="2" t="s">
        <v>4043</v>
      </c>
      <c r="B9081" s="2" t="s">
        <v>1386</v>
      </c>
      <c r="C9081" s="2">
        <v>908.09770000000003</v>
      </c>
      <c r="D9081" s="2">
        <f>HYPERLINK("http://mcb-m6.bioreg.kyushu-u.ac.jp/M3/20110502/F51173/2809/1", 82.38)</f>
        <v>82.38</v>
      </c>
      <c r="E9081" s="2">
        <v>68.709999999999994</v>
      </c>
      <c r="F9081" s="2">
        <v>2</v>
      </c>
      <c r="G9081" s="2" t="s">
        <v>13</v>
      </c>
    </row>
    <row r="9082" spans="1:7" x14ac:dyDescent="0.2">
      <c r="A9082" s="2" t="s">
        <v>3729</v>
      </c>
      <c r="B9082" s="2" t="s">
        <v>726</v>
      </c>
      <c r="C9082" s="2">
        <v>642.85820000000001</v>
      </c>
      <c r="D9082" s="2">
        <f>HYPERLINK("http://mcb-m6.bioreg.kyushu-u.ac.jp/M3/20110411/F50891/1580/1", 49.46)</f>
        <v>49.46</v>
      </c>
      <c r="E9082" s="2">
        <v>15.1</v>
      </c>
      <c r="F9082" s="2">
        <v>2</v>
      </c>
      <c r="G9082" s="2" t="s">
        <v>9</v>
      </c>
    </row>
    <row r="9083" spans="1:7" x14ac:dyDescent="0.2">
      <c r="A9083" s="2" t="s">
        <v>4269</v>
      </c>
      <c r="B9083" s="2" t="s">
        <v>1937</v>
      </c>
      <c r="C9083" s="2">
        <v>595.75670000000002</v>
      </c>
      <c r="D9083" s="2">
        <f>HYPERLINK("http://mcb-m6.bioreg.kyushu-u.ac.jp/M3/20110411/F50898/1775/1", 51.38)</f>
        <v>51.38</v>
      </c>
      <c r="E9083" s="2">
        <v>27.73</v>
      </c>
      <c r="F9083" s="2">
        <v>2</v>
      </c>
      <c r="G9083" s="2" t="s">
        <v>10</v>
      </c>
    </row>
    <row r="9084" spans="1:7" x14ac:dyDescent="0.2">
      <c r="A9084" s="2" t="s">
        <v>4269</v>
      </c>
      <c r="B9084" s="2" t="s">
        <v>1937</v>
      </c>
      <c r="C9084" s="2">
        <v>595.62459999999999</v>
      </c>
      <c r="D9084" s="2">
        <f>HYPERLINK("http://mcb-m6.bioreg.kyushu-u.ac.jp/M3/20110414/F50928/1625/1", 43.8)</f>
        <v>43.8</v>
      </c>
      <c r="E9084" s="2">
        <v>16.02</v>
      </c>
      <c r="F9084" s="2">
        <v>2</v>
      </c>
      <c r="G9084" s="2" t="s">
        <v>11</v>
      </c>
    </row>
    <row r="9085" spans="1:7" x14ac:dyDescent="0.2">
      <c r="A9085" s="2" t="s">
        <v>4269</v>
      </c>
      <c r="B9085" s="2" t="s">
        <v>1937</v>
      </c>
      <c r="C9085" s="2">
        <v>595.7242</v>
      </c>
      <c r="D9085" s="2">
        <f>HYPERLINK("http://mcb-m6.bioreg.kyushu-u.ac.jp/M3/20110502/F51169/1583/1", 45.63)</f>
        <v>45.63</v>
      </c>
      <c r="E9085" s="2">
        <v>21.63</v>
      </c>
      <c r="F9085" s="2">
        <v>2</v>
      </c>
      <c r="G9085" s="2" t="s">
        <v>13</v>
      </c>
    </row>
    <row r="9086" spans="1:7" x14ac:dyDescent="0.2">
      <c r="A9086" s="2" t="s">
        <v>3265</v>
      </c>
      <c r="B9086" s="2" t="s">
        <v>45</v>
      </c>
      <c r="C9086" s="2">
        <v>563.3442</v>
      </c>
      <c r="D9086" s="2">
        <f>HYPERLINK("http://mcb-m6.bioreg.kyushu-u.ac.jp/M3/20110411/F50890/1369/1", 35.35)</f>
        <v>35.35</v>
      </c>
      <c r="E9086" s="2">
        <v>22.46</v>
      </c>
      <c r="F9086" s="2">
        <v>2</v>
      </c>
      <c r="G9086" s="2" t="s">
        <v>9</v>
      </c>
    </row>
    <row r="9087" spans="1:7" x14ac:dyDescent="0.2">
      <c r="A9087" s="2" t="s">
        <v>3265</v>
      </c>
      <c r="B9087" s="2" t="s">
        <v>506</v>
      </c>
      <c r="C9087" s="2">
        <v>684.4366</v>
      </c>
      <c r="D9087" s="2">
        <f>HYPERLINK("http://mcb-m6.bioreg.kyushu-u.ac.jp/M3/20110411/F50890/1869/1", 43.45)</f>
        <v>43.45</v>
      </c>
      <c r="E9087" s="2">
        <v>30.77</v>
      </c>
      <c r="F9087" s="2">
        <v>2</v>
      </c>
      <c r="G9087" s="2" t="s">
        <v>9</v>
      </c>
    </row>
    <row r="9088" spans="1:7" x14ac:dyDescent="0.2">
      <c r="A9088" s="2" t="s">
        <v>3265</v>
      </c>
      <c r="B9088" s="2" t="s">
        <v>1559</v>
      </c>
      <c r="C9088" s="2">
        <v>729.83370000000002</v>
      </c>
      <c r="D9088" s="2">
        <f>HYPERLINK("http://mcb-m6.bioreg.kyushu-u.ac.jp/M3/20110411/F50890/2125/1", 92.5)</f>
        <v>92.5</v>
      </c>
      <c r="E9088" s="2">
        <v>59.12</v>
      </c>
      <c r="F9088" s="2">
        <v>2</v>
      </c>
      <c r="G9088" s="2" t="s">
        <v>9</v>
      </c>
    </row>
    <row r="9089" spans="1:9" x14ac:dyDescent="0.2">
      <c r="A9089" s="2" t="s">
        <v>3265</v>
      </c>
      <c r="B9089" s="2" t="s">
        <v>1559</v>
      </c>
      <c r="C9089" s="2">
        <v>730.04909999999995</v>
      </c>
      <c r="D9089" s="2">
        <f>HYPERLINK("http://mcb-m6.bioreg.kyushu-u.ac.jp/M3/20110411/F50897/1911/1", 58.8)</f>
        <v>58.8</v>
      </c>
      <c r="E9089" s="2">
        <v>42.01</v>
      </c>
      <c r="F9089" s="2">
        <v>2</v>
      </c>
      <c r="G9089" s="2" t="s">
        <v>10</v>
      </c>
    </row>
    <row r="9090" spans="1:9" x14ac:dyDescent="0.2">
      <c r="A9090" s="2" t="s">
        <v>3416</v>
      </c>
      <c r="B9090" s="2" t="s">
        <v>215</v>
      </c>
      <c r="C9090" s="2">
        <v>609.34559999999999</v>
      </c>
      <c r="D9090" s="2">
        <f>HYPERLINK("http://mcb-m6.bioreg.kyushu-u.ac.jp/M3/20110411/F50890/1555/1", 37.9)</f>
        <v>37.9</v>
      </c>
      <c r="E9090" s="2">
        <v>26.03</v>
      </c>
      <c r="F9090" s="2">
        <v>2</v>
      </c>
      <c r="G9090" s="2" t="s">
        <v>9</v>
      </c>
    </row>
    <row r="9091" spans="1:9" x14ac:dyDescent="0.2">
      <c r="A9091" s="2" t="s">
        <v>3416</v>
      </c>
      <c r="B9091" s="2" t="s">
        <v>824</v>
      </c>
      <c r="C9091" s="2">
        <v>673.48860000000002</v>
      </c>
      <c r="D9091" s="2">
        <f>HYPERLINK("http://mcb-m6.bioreg.kyushu-u.ac.jp/M3/20110411/F50890/1804/1", 52.52)</f>
        <v>52.52</v>
      </c>
      <c r="E9091" s="2">
        <v>33.07</v>
      </c>
      <c r="F9091" s="2">
        <v>2</v>
      </c>
      <c r="G9091" s="2" t="s">
        <v>9</v>
      </c>
    </row>
    <row r="9092" spans="1:9" x14ac:dyDescent="0.2">
      <c r="A9092" s="2" t="s">
        <v>3885</v>
      </c>
      <c r="B9092" s="2" t="s">
        <v>1026</v>
      </c>
      <c r="C9092" s="2">
        <v>662.36869999999999</v>
      </c>
      <c r="D9092" s="2">
        <f>HYPERLINK("http://mcb-m6.bioreg.kyushu-u.ac.jp/M3/20110411/F50891/1661/1", 59.35)</f>
        <v>59.35</v>
      </c>
      <c r="E9092" s="2">
        <v>32.43</v>
      </c>
      <c r="F9092" s="2">
        <v>2</v>
      </c>
      <c r="G9092" s="2" t="s">
        <v>9</v>
      </c>
      <c r="I9092" s="2" t="s">
        <v>4905</v>
      </c>
    </row>
    <row r="9093" spans="1:9" x14ac:dyDescent="0.2">
      <c r="A9093" s="2" t="s">
        <v>3885</v>
      </c>
      <c r="B9093" s="2" t="s">
        <v>1403</v>
      </c>
      <c r="C9093" s="2">
        <v>905.80409999999995</v>
      </c>
      <c r="D9093" s="2">
        <f>HYPERLINK("http://mcb-m6.bioreg.kyushu-u.ac.jp/M3/20110411/F50891/3028/1", 78.11)</f>
        <v>78.11</v>
      </c>
      <c r="E9093" s="2">
        <v>64.13</v>
      </c>
      <c r="F9093" s="2">
        <v>2</v>
      </c>
      <c r="G9093" s="2" t="s">
        <v>9</v>
      </c>
    </row>
    <row r="9094" spans="1:9" x14ac:dyDescent="0.2">
      <c r="A9094" s="2" t="s">
        <v>3885</v>
      </c>
      <c r="B9094" s="2" t="s">
        <v>1026</v>
      </c>
      <c r="C9094" s="2">
        <v>662.33510000000001</v>
      </c>
      <c r="D9094" s="2">
        <f>HYPERLINK("http://mcb-m6.bioreg.kyushu-u.ac.jp/M3/20110411/F50890/1758/1", 79.53)</f>
        <v>79.53</v>
      </c>
      <c r="E9094" s="2">
        <v>66.790000000000006</v>
      </c>
      <c r="F9094" s="2">
        <v>2</v>
      </c>
      <c r="G9094" s="2" t="s">
        <v>9</v>
      </c>
      <c r="I9094" s="2" t="s">
        <v>4905</v>
      </c>
    </row>
    <row r="9095" spans="1:9" x14ac:dyDescent="0.2">
      <c r="A9095" s="2" t="s">
        <v>3885</v>
      </c>
      <c r="B9095" s="2" t="s">
        <v>1524</v>
      </c>
      <c r="C9095" s="2">
        <v>565.29020000000003</v>
      </c>
      <c r="D9095" s="2">
        <f>HYPERLINK("http://mcb-m6.bioreg.kyushu-u.ac.jp/M3/20110411/F50891/1221/1", 87.95)</f>
        <v>87.95</v>
      </c>
      <c r="E9095" s="2">
        <v>58.6</v>
      </c>
      <c r="F9095" s="2">
        <v>2</v>
      </c>
      <c r="G9095" s="2" t="s">
        <v>9</v>
      </c>
    </row>
    <row r="9096" spans="1:9" x14ac:dyDescent="0.2">
      <c r="A9096" s="2" t="s">
        <v>3885</v>
      </c>
      <c r="B9096" s="2" t="s">
        <v>1026</v>
      </c>
      <c r="C9096" s="2">
        <v>662.11519999999996</v>
      </c>
      <c r="D9096" s="2">
        <f>HYPERLINK("http://mcb-m6.bioreg.kyushu-u.ac.jp/M3/20110414/F50928/1875/1", 49.11)</f>
        <v>49.11</v>
      </c>
      <c r="E9096" s="2">
        <v>26.47</v>
      </c>
      <c r="F9096" s="2">
        <v>2</v>
      </c>
      <c r="G9096" s="2" t="s">
        <v>11</v>
      </c>
      <c r="I9096" s="2" t="s">
        <v>4905</v>
      </c>
    </row>
    <row r="9097" spans="1:9" x14ac:dyDescent="0.2">
      <c r="A9097" s="2" t="s">
        <v>3885</v>
      </c>
      <c r="B9097" s="2" t="s">
        <v>1026</v>
      </c>
      <c r="C9097" s="2">
        <v>662.64670000000001</v>
      </c>
      <c r="D9097" s="2">
        <f>HYPERLINK("http://mcb-m6.bioreg.kyushu-u.ac.jp/M3/20110414/F50928/1878/1", 57.34)</f>
        <v>57.34</v>
      </c>
      <c r="E9097" s="2">
        <v>40.43</v>
      </c>
      <c r="F9097" s="2">
        <v>2</v>
      </c>
      <c r="G9097" s="2" t="s">
        <v>11</v>
      </c>
      <c r="I9097" s="2" t="s">
        <v>4905</v>
      </c>
    </row>
    <row r="9098" spans="1:9" x14ac:dyDescent="0.2">
      <c r="A9098" s="2" t="s">
        <v>3885</v>
      </c>
      <c r="B9098" s="2" t="s">
        <v>1524</v>
      </c>
      <c r="C9098" s="2">
        <v>565.6816</v>
      </c>
      <c r="D9098" s="2">
        <f>HYPERLINK("http://mcb-m6.bioreg.kyushu-u.ac.jp/M3/20110414/F50928/1487/1", 60.55)</f>
        <v>60.55</v>
      </c>
      <c r="E9098" s="2">
        <v>40.65</v>
      </c>
      <c r="F9098" s="2">
        <v>2</v>
      </c>
      <c r="G9098" s="2" t="s">
        <v>11</v>
      </c>
    </row>
    <row r="9099" spans="1:9" x14ac:dyDescent="0.2">
      <c r="A9099" s="2" t="s">
        <v>3885</v>
      </c>
      <c r="B9099" s="2" t="s">
        <v>1524</v>
      </c>
      <c r="C9099" s="2">
        <v>565.47059999999999</v>
      </c>
      <c r="D9099" s="2">
        <f>HYPERLINK("http://mcb-m6.bioreg.kyushu-u.ac.jp/M3/20110502/F51169/1433/1", 69.22)</f>
        <v>69.22</v>
      </c>
      <c r="E9099" s="2">
        <v>44.35</v>
      </c>
      <c r="F9099" s="2">
        <v>2</v>
      </c>
      <c r="G9099" s="2" t="s">
        <v>13</v>
      </c>
    </row>
    <row r="9100" spans="1:9" x14ac:dyDescent="0.2">
      <c r="A9100" s="2" t="s">
        <v>4852</v>
      </c>
      <c r="B9100" s="2" t="s">
        <v>3132</v>
      </c>
      <c r="C9100" s="2">
        <v>705.52260000000001</v>
      </c>
      <c r="D9100" s="2">
        <f>HYPERLINK("http://mcb-m6.bioreg.kyushu-u.ac.jp/M3/20110502/F51185/1701/1", 49.35)</f>
        <v>49.35</v>
      </c>
      <c r="E9100" s="2">
        <v>23.9</v>
      </c>
      <c r="F9100" s="2">
        <v>2</v>
      </c>
      <c r="G9100" s="2" t="s">
        <v>14</v>
      </c>
    </row>
    <row r="9101" spans="1:9" x14ac:dyDescent="0.2">
      <c r="A9101" s="2" t="s">
        <v>4852</v>
      </c>
      <c r="B9101" s="2" t="s">
        <v>3213</v>
      </c>
      <c r="C9101" s="2">
        <v>996.08320000000003</v>
      </c>
      <c r="D9101" s="2">
        <f>HYPERLINK("http://mcb-m6.bioreg.kyushu-u.ac.jp/M3/20110502/F51185/3007/1", 81.16)</f>
        <v>81.16</v>
      </c>
      <c r="E9101" s="2">
        <v>73.25</v>
      </c>
      <c r="F9101" s="2">
        <v>2</v>
      </c>
      <c r="G9101" s="2" t="s">
        <v>14</v>
      </c>
    </row>
    <row r="9102" spans="1:9" x14ac:dyDescent="0.2">
      <c r="A9102" s="2" t="s">
        <v>4852</v>
      </c>
      <c r="B9102" s="2" t="s">
        <v>3228</v>
      </c>
      <c r="C9102" s="2">
        <v>909.03120000000001</v>
      </c>
      <c r="D9102" s="2">
        <f>HYPERLINK("http://mcb-m6.bioreg.kyushu-u.ac.jp/M3/20110502/F51185/2682/1", 95.86)</f>
        <v>95.86</v>
      </c>
      <c r="E9102" s="2">
        <v>79.67</v>
      </c>
      <c r="F9102" s="2">
        <v>2</v>
      </c>
      <c r="G9102" s="2" t="s">
        <v>14</v>
      </c>
      <c r="I9102" s="2" t="s">
        <v>4941</v>
      </c>
    </row>
    <row r="9103" spans="1:9" x14ac:dyDescent="0.2">
      <c r="A9103" s="2" t="s">
        <v>4461</v>
      </c>
      <c r="B9103" s="2" t="s">
        <v>2384</v>
      </c>
      <c r="C9103" s="2">
        <v>914.9452</v>
      </c>
      <c r="D9103" s="2">
        <f>HYPERLINK("http://mcb-m6.bioreg.kyushu-u.ac.jp/M3/20110414/F50943/2804/1", 53.14)</f>
        <v>53.14</v>
      </c>
      <c r="E9103" s="2">
        <v>37.270000000000003</v>
      </c>
      <c r="F9103" s="2">
        <v>2</v>
      </c>
      <c r="G9103" s="2" t="s">
        <v>11</v>
      </c>
    </row>
    <row r="9104" spans="1:9" x14ac:dyDescent="0.2">
      <c r="A9104" s="2" t="s">
        <v>4461</v>
      </c>
      <c r="B9104" s="2" t="s">
        <v>3192</v>
      </c>
      <c r="C9104" s="2">
        <v>768.78769999999997</v>
      </c>
      <c r="D9104" s="2">
        <f>HYPERLINK("http://mcb-m6.bioreg.kyushu-u.ac.jp/M3/20110502/F51185/2033/1", 67.61)</f>
        <v>67.61</v>
      </c>
      <c r="E9104" s="2">
        <v>37.869999999999997</v>
      </c>
      <c r="F9104" s="2">
        <v>2</v>
      </c>
      <c r="G9104" s="2" t="s">
        <v>14</v>
      </c>
    </row>
    <row r="9105" spans="1:9" x14ac:dyDescent="0.2">
      <c r="A9105" s="2" t="s">
        <v>4461</v>
      </c>
      <c r="B9105" s="2" t="s">
        <v>2384</v>
      </c>
      <c r="C9105" s="2">
        <v>914.92470000000003</v>
      </c>
      <c r="D9105" s="2">
        <f>HYPERLINK("http://mcb-m6.bioreg.kyushu-u.ac.jp/M3/20110502/F51185/2721/1", 83.62)</f>
        <v>83.62</v>
      </c>
      <c r="E9105" s="2">
        <v>66.569999999999993</v>
      </c>
      <c r="F9105" s="2">
        <v>2</v>
      </c>
      <c r="G9105" s="2" t="s">
        <v>14</v>
      </c>
    </row>
    <row r="9106" spans="1:9" x14ac:dyDescent="0.2">
      <c r="A9106" s="2" t="s">
        <v>4072</v>
      </c>
      <c r="B9106" s="2" t="s">
        <v>1463</v>
      </c>
      <c r="C9106" s="2">
        <v>822.45320000000004</v>
      </c>
      <c r="D9106" s="2">
        <f>HYPERLINK("http://mcb-m6.bioreg.kyushu-u.ac.jp/M3/20110411/F50919/2058/1", 83.01)</f>
        <v>83.01</v>
      </c>
      <c r="E9106" s="2">
        <v>64.97</v>
      </c>
      <c r="F9106" s="2">
        <v>2</v>
      </c>
      <c r="G9106" s="2" t="s">
        <v>9</v>
      </c>
      <c r="I9106" s="2" t="s">
        <v>4890</v>
      </c>
    </row>
    <row r="9107" spans="1:9" x14ac:dyDescent="0.2">
      <c r="A9107" s="2" t="s">
        <v>4072</v>
      </c>
      <c r="B9107" s="2" t="s">
        <v>1685</v>
      </c>
      <c r="C9107" s="2">
        <v>677.81920000000002</v>
      </c>
      <c r="D9107" s="2">
        <f>HYPERLINK("http://mcb-m6.bioreg.kyushu-u.ac.jp/M3/20110411/F50921/1507/1", 35.11)</f>
        <v>35.11</v>
      </c>
      <c r="E9107" s="2">
        <v>8.1999999999999993</v>
      </c>
      <c r="F9107" s="2">
        <v>2</v>
      </c>
      <c r="G9107" s="2" t="s">
        <v>10</v>
      </c>
    </row>
    <row r="9108" spans="1:9" x14ac:dyDescent="0.2">
      <c r="A9108" s="2" t="s">
        <v>4072</v>
      </c>
      <c r="B9108" s="2" t="s">
        <v>1463</v>
      </c>
      <c r="C9108" s="2">
        <v>822.88509999999997</v>
      </c>
      <c r="D9108" s="2">
        <f>HYPERLINK("http://mcb-m6.bioreg.kyushu-u.ac.jp/M3/20110411/F50921/2220/1", 70.43)</f>
        <v>70.430000000000007</v>
      </c>
      <c r="E9108" s="2">
        <v>52.46</v>
      </c>
      <c r="F9108" s="2">
        <v>2</v>
      </c>
      <c r="G9108" s="2" t="s">
        <v>10</v>
      </c>
      <c r="I9108" s="2" t="s">
        <v>4890</v>
      </c>
    </row>
    <row r="9109" spans="1:9" x14ac:dyDescent="0.2">
      <c r="A9109" s="2" t="s">
        <v>4072</v>
      </c>
      <c r="B9109" s="2" t="s">
        <v>2102</v>
      </c>
      <c r="C9109" s="2">
        <v>667.86869999999999</v>
      </c>
      <c r="D9109" s="2">
        <f>HYPERLINK("http://mcb-m6.bioreg.kyushu-u.ac.jp/M3/20110411/F50921/1462/1", 81.2)</f>
        <v>81.2</v>
      </c>
      <c r="E9109" s="2">
        <v>56.65</v>
      </c>
      <c r="F9109" s="2">
        <v>2</v>
      </c>
      <c r="G9109" s="2" t="s">
        <v>10</v>
      </c>
    </row>
    <row r="9110" spans="1:9" x14ac:dyDescent="0.2">
      <c r="A9110" s="2" t="s">
        <v>4072</v>
      </c>
      <c r="B9110" s="2" t="s">
        <v>2102</v>
      </c>
      <c r="C9110" s="2">
        <v>667.92819999999995</v>
      </c>
      <c r="D9110" s="2">
        <f>HYPERLINK("http://mcb-m6.bioreg.kyushu-u.ac.jp/M3/20110414/F50945/1642/1", 67.47)</f>
        <v>67.47</v>
      </c>
      <c r="E9110" s="2">
        <v>42.01</v>
      </c>
      <c r="F9110" s="2">
        <v>2</v>
      </c>
      <c r="G9110" s="2" t="s">
        <v>11</v>
      </c>
    </row>
    <row r="9111" spans="1:9" x14ac:dyDescent="0.2">
      <c r="A9111" s="2" t="s">
        <v>4072</v>
      </c>
      <c r="B9111" s="2" t="s">
        <v>1463</v>
      </c>
      <c r="C9111" s="2">
        <v>822.68370000000004</v>
      </c>
      <c r="D9111" s="2">
        <f>HYPERLINK("http://mcb-m6.bioreg.kyushu-u.ac.jp/M3/20110414/F50945/2475/1", 75.29)</f>
        <v>75.290000000000006</v>
      </c>
      <c r="E9111" s="2">
        <v>56.65</v>
      </c>
      <c r="F9111" s="2">
        <v>2</v>
      </c>
      <c r="G9111" s="2" t="s">
        <v>11</v>
      </c>
      <c r="I9111" s="2" t="s">
        <v>4890</v>
      </c>
    </row>
    <row r="9112" spans="1:9" x14ac:dyDescent="0.2">
      <c r="A9112" s="2" t="s">
        <v>4072</v>
      </c>
      <c r="B9112" s="2" t="s">
        <v>2669</v>
      </c>
      <c r="C9112" s="2">
        <v>807.32069999999999</v>
      </c>
      <c r="D9112" s="2">
        <f>HYPERLINK("http://mcb-m6.bioreg.kyushu-u.ac.jp/M3/20110414/F50946/2403/1", 50.37)</f>
        <v>50.37</v>
      </c>
      <c r="E9112" s="2">
        <v>40.94</v>
      </c>
      <c r="F9112" s="2">
        <v>2</v>
      </c>
      <c r="G9112" s="2" t="s">
        <v>12</v>
      </c>
    </row>
    <row r="9113" spans="1:9" x14ac:dyDescent="0.2">
      <c r="A9113" s="2" t="s">
        <v>4072</v>
      </c>
      <c r="B9113" s="2" t="s">
        <v>2102</v>
      </c>
      <c r="C9113" s="2">
        <v>676.38459999999998</v>
      </c>
      <c r="D9113" s="2">
        <f>HYPERLINK("http://mcb-m6.bioreg.kyushu-u.ac.jp/M3/20110414/F50946/1583/1", 67.29)</f>
        <v>67.290000000000006</v>
      </c>
      <c r="E9113" s="2">
        <v>47.49</v>
      </c>
      <c r="F9113" s="2">
        <v>2</v>
      </c>
      <c r="G9113" s="2" t="s">
        <v>12</v>
      </c>
      <c r="H9113" s="2" t="s">
        <v>4920</v>
      </c>
    </row>
    <row r="9114" spans="1:9" x14ac:dyDescent="0.2">
      <c r="A9114" s="2" t="s">
        <v>4072</v>
      </c>
      <c r="B9114" s="2" t="s">
        <v>2102</v>
      </c>
      <c r="C9114" s="2">
        <v>668.20119999999997</v>
      </c>
      <c r="D9114" s="2">
        <f>HYPERLINK("http://mcb-m6.bioreg.kyushu-u.ac.jp/M3/20110414/F50946/1556/1", 79.16)</f>
        <v>79.16</v>
      </c>
      <c r="E9114" s="2">
        <v>54.62</v>
      </c>
      <c r="F9114" s="2">
        <v>2</v>
      </c>
      <c r="G9114" s="2" t="s">
        <v>12</v>
      </c>
    </row>
    <row r="9115" spans="1:9" x14ac:dyDescent="0.2">
      <c r="A9115" s="2" t="s">
        <v>4072</v>
      </c>
      <c r="B9115" s="2" t="s">
        <v>1463</v>
      </c>
      <c r="C9115" s="2">
        <v>822.3691</v>
      </c>
      <c r="D9115" s="2">
        <f>HYPERLINK("http://mcb-m6.bioreg.kyushu-u.ac.jp/M3/20110414/F50946/2447/1", 89.34)</f>
        <v>89.34</v>
      </c>
      <c r="E9115" s="2">
        <v>68.08</v>
      </c>
      <c r="F9115" s="2">
        <v>2</v>
      </c>
      <c r="G9115" s="2" t="s">
        <v>12</v>
      </c>
      <c r="I9115" s="2" t="s">
        <v>4890</v>
      </c>
    </row>
    <row r="9116" spans="1:9" x14ac:dyDescent="0.2">
      <c r="A9116" s="2" t="s">
        <v>4072</v>
      </c>
      <c r="B9116" s="2" t="s">
        <v>1463</v>
      </c>
      <c r="C9116" s="2">
        <v>822.66309999999999</v>
      </c>
      <c r="D9116" s="2">
        <f>HYPERLINK("http://mcb-m6.bioreg.kyushu-u.ac.jp/M3/20110502/F51180/2276/1", 96.33)</f>
        <v>96.33</v>
      </c>
      <c r="E9116" s="2">
        <v>69.11</v>
      </c>
      <c r="F9116" s="2">
        <v>2</v>
      </c>
      <c r="G9116" s="2" t="s">
        <v>13</v>
      </c>
      <c r="I9116" s="2" t="s">
        <v>4890</v>
      </c>
    </row>
    <row r="9117" spans="1:9" x14ac:dyDescent="0.2">
      <c r="A9117" s="2" t="s">
        <v>4072</v>
      </c>
      <c r="B9117" s="2" t="s">
        <v>3182</v>
      </c>
      <c r="C9117" s="2">
        <v>712.2047</v>
      </c>
      <c r="D9117" s="2">
        <f>HYPERLINK("http://mcb-m6.bioreg.kyushu-u.ac.jp/M3/20110502/F51182/1673/1", 63.61)</f>
        <v>63.61</v>
      </c>
      <c r="E9117" s="2">
        <v>47.09</v>
      </c>
      <c r="F9117" s="2">
        <v>2</v>
      </c>
      <c r="G9117" s="2" t="s">
        <v>14</v>
      </c>
      <c r="I9117" s="2" t="s">
        <v>4905</v>
      </c>
    </row>
    <row r="9118" spans="1:9" x14ac:dyDescent="0.2">
      <c r="A9118" s="2" t="s">
        <v>4072</v>
      </c>
      <c r="B9118" s="2" t="s">
        <v>1463</v>
      </c>
      <c r="C9118" s="2">
        <v>822.67719999999997</v>
      </c>
      <c r="D9118" s="2">
        <f>HYPERLINK("http://mcb-m6.bioreg.kyushu-u.ac.jp/M3/20110502/F51182/2400/1", 94.16)</f>
        <v>94.16</v>
      </c>
      <c r="E9118" s="2">
        <v>56.46</v>
      </c>
      <c r="F9118" s="2">
        <v>2</v>
      </c>
      <c r="G9118" s="2" t="s">
        <v>14</v>
      </c>
      <c r="I9118" s="2" t="s">
        <v>4890</v>
      </c>
    </row>
    <row r="9119" spans="1:9" x14ac:dyDescent="0.2">
      <c r="A9119" s="2" t="s">
        <v>4147</v>
      </c>
      <c r="B9119" s="2" t="s">
        <v>1698</v>
      </c>
      <c r="C9119" s="2">
        <v>492.32659999999998</v>
      </c>
      <c r="D9119" s="2">
        <f>HYPERLINK("http://mcb-m6.bioreg.kyushu-u.ac.jp/M3/20110411/F50914/1023/1", 35.42)</f>
        <v>35.42</v>
      </c>
      <c r="E9119" s="2">
        <v>14.95</v>
      </c>
      <c r="F9119" s="2">
        <v>2</v>
      </c>
      <c r="G9119" s="2" t="s">
        <v>10</v>
      </c>
    </row>
    <row r="9120" spans="1:9" x14ac:dyDescent="0.2">
      <c r="A9120" s="2" t="s">
        <v>4147</v>
      </c>
      <c r="B9120" s="2" t="s">
        <v>1907</v>
      </c>
      <c r="C9120" s="2">
        <v>644.67819999999995</v>
      </c>
      <c r="D9120" s="2">
        <f>HYPERLINK("http://mcb-m6.bioreg.kyushu-u.ac.jp/M3/20110411/F50913/1572/1", 48.31)</f>
        <v>48.31</v>
      </c>
      <c r="E9120" s="2">
        <v>29.1</v>
      </c>
      <c r="F9120" s="2">
        <v>2</v>
      </c>
      <c r="G9120" s="2" t="s">
        <v>10</v>
      </c>
    </row>
    <row r="9121" spans="1:9" x14ac:dyDescent="0.2">
      <c r="A9121" s="2" t="s">
        <v>4147</v>
      </c>
      <c r="B9121" s="2" t="s">
        <v>1907</v>
      </c>
      <c r="C9121" s="2">
        <v>644.47770000000003</v>
      </c>
      <c r="D9121" s="2">
        <f>HYPERLINK("http://mcb-m6.bioreg.kyushu-u.ac.jp/M3/20110411/F50914/1633/1", 75.14)</f>
        <v>75.14</v>
      </c>
      <c r="E9121" s="2">
        <v>62.63</v>
      </c>
      <c r="F9121" s="2">
        <v>2</v>
      </c>
      <c r="G9121" s="2" t="s">
        <v>10</v>
      </c>
    </row>
    <row r="9122" spans="1:9" x14ac:dyDescent="0.2">
      <c r="A9122" s="2" t="s">
        <v>4147</v>
      </c>
      <c r="B9122" s="2" t="s">
        <v>2103</v>
      </c>
      <c r="C9122" s="2">
        <v>790.4932</v>
      </c>
      <c r="D9122" s="2">
        <f>HYPERLINK("http://mcb-m6.bioreg.kyushu-u.ac.jp/M3/20110411/F50913/2276/1", 81.33)</f>
        <v>81.33</v>
      </c>
      <c r="E9122" s="2">
        <v>64.98</v>
      </c>
      <c r="F9122" s="2">
        <v>2</v>
      </c>
      <c r="G9122" s="2" t="s">
        <v>10</v>
      </c>
    </row>
    <row r="9123" spans="1:9" x14ac:dyDescent="0.2">
      <c r="A9123" s="2" t="s">
        <v>4147</v>
      </c>
      <c r="B9123" s="2" t="s">
        <v>2103</v>
      </c>
      <c r="C9123" s="2">
        <v>790.64970000000005</v>
      </c>
      <c r="D9123" s="2">
        <f>HYPERLINK("http://mcb-m6.bioreg.kyushu-u.ac.jp/M3/20110411/F50914/2351/1", 102.78)</f>
        <v>102.78</v>
      </c>
      <c r="E9123" s="2">
        <v>91.04</v>
      </c>
      <c r="F9123" s="2">
        <v>2</v>
      </c>
      <c r="G9123" s="2" t="s">
        <v>10</v>
      </c>
    </row>
    <row r="9124" spans="1:9" x14ac:dyDescent="0.2">
      <c r="A9124" s="2" t="s">
        <v>4147</v>
      </c>
      <c r="B9124" s="2" t="s">
        <v>2531</v>
      </c>
      <c r="C9124" s="2">
        <v>778.95320000000004</v>
      </c>
      <c r="D9124" s="2">
        <f>HYPERLINK("http://mcb-m6.bioreg.kyushu-u.ac.jp/M3/20110414/F50947/2263/1", 36.2)</f>
        <v>36.200000000000003</v>
      </c>
      <c r="E9124" s="2">
        <v>20.58</v>
      </c>
      <c r="F9124" s="2">
        <v>2</v>
      </c>
      <c r="G9124" s="2" t="s">
        <v>12</v>
      </c>
    </row>
    <row r="9125" spans="1:9" x14ac:dyDescent="0.2">
      <c r="A9125" s="2" t="s">
        <v>4147</v>
      </c>
      <c r="B9125" s="2" t="s">
        <v>1698</v>
      </c>
      <c r="C9125" s="2">
        <v>492.15609999999998</v>
      </c>
      <c r="D9125" s="2">
        <f>HYPERLINK("http://mcb-m6.bioreg.kyushu-u.ac.jp/M3/20110414/F50948/784/1", 37.43)</f>
        <v>37.43</v>
      </c>
      <c r="E9125" s="2">
        <v>17.190000000000001</v>
      </c>
      <c r="F9125" s="2">
        <v>2</v>
      </c>
      <c r="G9125" s="2" t="s">
        <v>12</v>
      </c>
    </row>
    <row r="9126" spans="1:9" x14ac:dyDescent="0.2">
      <c r="A9126" s="2" t="s">
        <v>4147</v>
      </c>
      <c r="B9126" s="2" t="s">
        <v>2531</v>
      </c>
      <c r="C9126" s="2">
        <v>778.25120000000004</v>
      </c>
      <c r="D9126" s="2">
        <f>HYPERLINK("http://mcb-m6.bioreg.kyushu-u.ac.jp/M3/20110414/F50948/2338/1", 71.15)</f>
        <v>71.150000000000006</v>
      </c>
      <c r="E9126" s="2">
        <v>54.66</v>
      </c>
      <c r="F9126" s="2">
        <v>2</v>
      </c>
      <c r="G9126" s="2" t="s">
        <v>12</v>
      </c>
    </row>
    <row r="9127" spans="1:9" x14ac:dyDescent="0.2">
      <c r="A9127" s="2" t="s">
        <v>4147</v>
      </c>
      <c r="B9127" s="2" t="s">
        <v>1698</v>
      </c>
      <c r="C9127" s="2">
        <v>492.65410000000003</v>
      </c>
      <c r="D9127" s="2">
        <f>HYPERLINK("http://mcb-m6.bioreg.kyushu-u.ac.jp/M3/20110502/F51183/704/1", 40.94)</f>
        <v>40.94</v>
      </c>
      <c r="E9127" s="2">
        <v>17.600000000000001</v>
      </c>
      <c r="F9127" s="2">
        <v>2</v>
      </c>
      <c r="G9127" s="2" t="s">
        <v>14</v>
      </c>
    </row>
    <row r="9128" spans="1:9" x14ac:dyDescent="0.2">
      <c r="A9128" s="2" t="s">
        <v>4147</v>
      </c>
      <c r="B9128" s="2" t="s">
        <v>2103</v>
      </c>
      <c r="C9128" s="2">
        <v>790.76969999999994</v>
      </c>
      <c r="D9128" s="2">
        <f>HYPERLINK("http://mcb-m6.bioreg.kyushu-u.ac.jp/M3/20110502/F51183/2196/1", 57.1)</f>
        <v>57.1</v>
      </c>
      <c r="E9128" s="2">
        <v>40.79</v>
      </c>
      <c r="F9128" s="2">
        <v>2</v>
      </c>
      <c r="G9128" s="2" t="s">
        <v>14</v>
      </c>
    </row>
    <row r="9129" spans="1:9" x14ac:dyDescent="0.2">
      <c r="A9129" s="2" t="s">
        <v>4147</v>
      </c>
      <c r="B9129" s="2" t="s">
        <v>2531</v>
      </c>
      <c r="C9129" s="2">
        <v>778.89570000000003</v>
      </c>
      <c r="D9129" s="2">
        <f>HYPERLINK("http://mcb-m6.bioreg.kyushu-u.ac.jp/M3/20110502/F51183/2122/1", 92.91)</f>
        <v>92.91</v>
      </c>
      <c r="E9129" s="2">
        <v>64.47</v>
      </c>
      <c r="F9129" s="2">
        <v>2</v>
      </c>
      <c r="G9129" s="2" t="s">
        <v>14</v>
      </c>
    </row>
    <row r="9130" spans="1:9" x14ac:dyDescent="0.2">
      <c r="A9130" s="2" t="s">
        <v>3576</v>
      </c>
      <c r="B9130" s="2" t="s">
        <v>446</v>
      </c>
      <c r="C9130" s="2">
        <v>509.8861</v>
      </c>
      <c r="D9130" s="2">
        <f>HYPERLINK("http://mcb-m6.bioreg.kyushu-u.ac.jp/M3/20110411/F50891/1014/1", 42.06)</f>
        <v>42.06</v>
      </c>
      <c r="E9130" s="2">
        <v>18.75</v>
      </c>
      <c r="F9130" s="2">
        <v>2</v>
      </c>
      <c r="G9130" s="2" t="s">
        <v>9</v>
      </c>
    </row>
    <row r="9131" spans="1:9" x14ac:dyDescent="0.2">
      <c r="A9131" s="2" t="s">
        <v>3576</v>
      </c>
      <c r="B9131" s="2" t="s">
        <v>659</v>
      </c>
      <c r="C9131" s="2">
        <v>627.89970000000005</v>
      </c>
      <c r="D9131" s="2">
        <f>HYPERLINK("http://mcb-m6.bioreg.kyushu-u.ac.jp/M3/20110411/F50891/1510/1", 47.5)</f>
        <v>47.5</v>
      </c>
      <c r="E9131" s="2">
        <v>29.56</v>
      </c>
      <c r="F9131" s="2">
        <v>2</v>
      </c>
      <c r="G9131" s="2" t="s">
        <v>9</v>
      </c>
    </row>
    <row r="9132" spans="1:9" x14ac:dyDescent="0.2">
      <c r="A9132" s="2" t="s">
        <v>3589</v>
      </c>
      <c r="B9132" s="2" t="s">
        <v>474</v>
      </c>
      <c r="C9132" s="2">
        <v>648.01509999999996</v>
      </c>
      <c r="D9132" s="2">
        <f>HYPERLINK("http://mcb-m6.bioreg.kyushu-u.ac.jp/M3/20110411/F50891/1599/1", 42.64)</f>
        <v>42.64</v>
      </c>
      <c r="E9132" s="2">
        <v>23.08</v>
      </c>
      <c r="F9132" s="2">
        <v>2</v>
      </c>
      <c r="G9132" s="2" t="s">
        <v>9</v>
      </c>
      <c r="H9132" s="2" t="s">
        <v>4904</v>
      </c>
    </row>
    <row r="9133" spans="1:9" x14ac:dyDescent="0.2">
      <c r="A9133" s="2" t="s">
        <v>4384</v>
      </c>
      <c r="B9133" s="2" t="s">
        <v>2220</v>
      </c>
      <c r="C9133" s="2">
        <v>756.27620000000002</v>
      </c>
      <c r="D9133" s="2">
        <f>HYPERLINK("http://mcb-m6.bioreg.kyushu-u.ac.jp/M3/20110414/F50957/1994/1", 38.09)</f>
        <v>38.090000000000003</v>
      </c>
      <c r="E9133" s="2">
        <v>26.29</v>
      </c>
      <c r="F9133" s="2">
        <v>2</v>
      </c>
      <c r="G9133" s="2" t="s">
        <v>11</v>
      </c>
      <c r="I9133" s="2" t="s">
        <v>4957</v>
      </c>
    </row>
    <row r="9134" spans="1:9" x14ac:dyDescent="0.2">
      <c r="A9134" s="2" t="s">
        <v>4384</v>
      </c>
      <c r="B9134" s="2" t="s">
        <v>2220</v>
      </c>
      <c r="C9134" s="2">
        <v>756.16520000000003</v>
      </c>
      <c r="D9134" s="2">
        <f>HYPERLINK("http://mcb-m6.bioreg.kyushu-u.ac.jp/M3/20110414/F50959/1976/1", 41.71)</f>
        <v>41.71</v>
      </c>
      <c r="E9134" s="2">
        <v>32.25</v>
      </c>
      <c r="F9134" s="2">
        <v>2</v>
      </c>
      <c r="G9134" s="2" t="s">
        <v>12</v>
      </c>
      <c r="I9134" s="2" t="s">
        <v>4957</v>
      </c>
    </row>
    <row r="9135" spans="1:9" x14ac:dyDescent="0.2">
      <c r="A9135" s="2" t="s">
        <v>4384</v>
      </c>
      <c r="B9135" s="2" t="s">
        <v>2220</v>
      </c>
      <c r="C9135" s="2">
        <v>756.58870000000002</v>
      </c>
      <c r="D9135" s="2">
        <f>HYPERLINK("http://mcb-m6.bioreg.kyushu-u.ac.jp/M3/20110502/F51184/1934/1", 43.87)</f>
        <v>43.87</v>
      </c>
      <c r="E9135" s="2">
        <v>27.3</v>
      </c>
      <c r="F9135" s="2">
        <v>2</v>
      </c>
      <c r="G9135" s="2" t="s">
        <v>14</v>
      </c>
      <c r="I9135" s="2" t="s">
        <v>4957</v>
      </c>
    </row>
    <row r="9136" spans="1:9" x14ac:dyDescent="0.2">
      <c r="A9136" s="2" t="s">
        <v>4384</v>
      </c>
      <c r="B9136" s="2" t="s">
        <v>3111</v>
      </c>
      <c r="C9136" s="2">
        <v>606.48569999999995</v>
      </c>
      <c r="D9136" s="2">
        <f>HYPERLINK("http://mcb-m6.bioreg.kyushu-u.ac.jp/M3/20110502/F51184/1043/1", 46.42)</f>
        <v>46.42</v>
      </c>
      <c r="E9136" s="2">
        <v>18.96</v>
      </c>
      <c r="F9136" s="2">
        <v>2</v>
      </c>
      <c r="G9136" s="2" t="s">
        <v>14</v>
      </c>
    </row>
    <row r="9137" spans="1:9" x14ac:dyDescent="0.2">
      <c r="A9137" s="2" t="s">
        <v>4320</v>
      </c>
      <c r="B9137" s="2" t="s">
        <v>2090</v>
      </c>
      <c r="C9137" s="2">
        <v>774.79020000000003</v>
      </c>
      <c r="D9137" s="2">
        <f>HYPERLINK("http://mcb-m6.bioreg.kyushu-u.ac.jp/M3/20110411/F50896/2268/1", 77.3)</f>
        <v>77.3</v>
      </c>
      <c r="E9137" s="2">
        <v>61.85</v>
      </c>
      <c r="F9137" s="2">
        <v>2</v>
      </c>
      <c r="G9137" s="2" t="s">
        <v>10</v>
      </c>
    </row>
    <row r="9138" spans="1:9" x14ac:dyDescent="0.2">
      <c r="A9138" s="2" t="s">
        <v>4443</v>
      </c>
      <c r="B9138" s="2" t="s">
        <v>2340</v>
      </c>
      <c r="C9138" s="2">
        <v>502.19409999999999</v>
      </c>
      <c r="D9138" s="2">
        <f>HYPERLINK("http://mcb-m6.bioreg.kyushu-u.ac.jp/M3/20110414/F50925/1463/1", 48.6)</f>
        <v>48.6</v>
      </c>
      <c r="E9138" s="2">
        <v>12.03</v>
      </c>
      <c r="F9138" s="2">
        <v>2</v>
      </c>
      <c r="G9138" s="2" t="s">
        <v>11</v>
      </c>
      <c r="I9138" s="2" t="s">
        <v>4903</v>
      </c>
    </row>
    <row r="9139" spans="1:9" x14ac:dyDescent="0.2">
      <c r="A9139" s="2" t="s">
        <v>4443</v>
      </c>
      <c r="B9139" s="2" t="s">
        <v>2500</v>
      </c>
      <c r="C9139" s="2">
        <v>1012.437</v>
      </c>
      <c r="D9139" s="2">
        <f>HYPERLINK("http://mcb-m6.bioreg.kyushu-u.ac.jp/M3/20110414/F50925/2873/1", 87.61)</f>
        <v>87.61</v>
      </c>
      <c r="E9139" s="2">
        <v>79.430000000000007</v>
      </c>
      <c r="F9139" s="2">
        <v>2</v>
      </c>
      <c r="G9139" s="2" t="s">
        <v>11</v>
      </c>
    </row>
    <row r="9140" spans="1:9" x14ac:dyDescent="0.2">
      <c r="A9140" s="2" t="s">
        <v>4476</v>
      </c>
      <c r="B9140" s="2" t="s">
        <v>2419</v>
      </c>
      <c r="C9140" s="2">
        <v>666.65219999999999</v>
      </c>
      <c r="D9140" s="2">
        <f>HYPERLINK("http://mcb-m6.bioreg.kyushu-u.ac.jp/M3/20110414/F50941/1639/1", 59.83)</f>
        <v>59.83</v>
      </c>
      <c r="E9140" s="2">
        <v>33.840000000000003</v>
      </c>
      <c r="F9140" s="2">
        <v>2</v>
      </c>
      <c r="G9140" s="2" t="s">
        <v>11</v>
      </c>
    </row>
    <row r="9141" spans="1:9" x14ac:dyDescent="0.2">
      <c r="A9141" s="2" t="s">
        <v>3264</v>
      </c>
      <c r="B9141" s="2" t="s">
        <v>44</v>
      </c>
      <c r="C9141" s="2">
        <v>454.2971</v>
      </c>
      <c r="D9141" s="2">
        <f>HYPERLINK("http://mcb-m6.bioreg.kyushu-u.ac.jp/M3/20110411/F50890/896/1", 35.34)</f>
        <v>35.340000000000003</v>
      </c>
      <c r="E9141" s="2">
        <v>12.18</v>
      </c>
      <c r="F9141" s="2">
        <v>2</v>
      </c>
      <c r="G9141" s="2" t="s">
        <v>9</v>
      </c>
    </row>
    <row r="9142" spans="1:9" x14ac:dyDescent="0.2">
      <c r="A9142" s="2" t="s">
        <v>3264</v>
      </c>
      <c r="B9142" s="2" t="s">
        <v>478</v>
      </c>
      <c r="C9142" s="2">
        <v>529.27869999999996</v>
      </c>
      <c r="D9142" s="2">
        <f>HYPERLINK("http://mcb-m6.bioreg.kyushu-u.ac.jp/M3/20110411/F50890/1250/1", 42.7)</f>
        <v>42.7</v>
      </c>
      <c r="E9142" s="2">
        <v>16.39</v>
      </c>
      <c r="F9142" s="2">
        <v>2</v>
      </c>
      <c r="G9142" s="2" t="s">
        <v>9</v>
      </c>
    </row>
    <row r="9143" spans="1:9" x14ac:dyDescent="0.2">
      <c r="A9143" s="2" t="s">
        <v>3264</v>
      </c>
      <c r="B9143" s="2" t="s">
        <v>44</v>
      </c>
      <c r="C9143" s="2">
        <v>906.452</v>
      </c>
      <c r="D9143" s="2">
        <f>HYPERLINK("http://mcb-m6.bioreg.kyushu-u.ac.jp/M3/20110411/F50890/893/1", 46.98)</f>
        <v>46.98</v>
      </c>
      <c r="E9143" s="2">
        <v>17.07</v>
      </c>
      <c r="F9143" s="2">
        <v>1</v>
      </c>
      <c r="G9143" s="2" t="s">
        <v>9</v>
      </c>
    </row>
    <row r="9144" spans="1:9" x14ac:dyDescent="0.2">
      <c r="A9144" s="2" t="s">
        <v>3414</v>
      </c>
      <c r="B9144" s="2" t="s">
        <v>213</v>
      </c>
      <c r="C9144" s="2">
        <v>698.23320000000001</v>
      </c>
      <c r="D9144" s="2">
        <f>HYPERLINK("http://mcb-m6.bioreg.kyushu-u.ac.jp/M3/20110411/F50890/1945/1", 37.87)</f>
        <v>37.869999999999997</v>
      </c>
      <c r="E9144" s="2">
        <v>11.09</v>
      </c>
      <c r="F9144" s="2">
        <v>2</v>
      </c>
      <c r="G9144" s="2" t="s">
        <v>9</v>
      </c>
      <c r="I9144" s="2" t="s">
        <v>4903</v>
      </c>
    </row>
    <row r="9145" spans="1:9" x14ac:dyDescent="0.2">
      <c r="A9145" s="2" t="s">
        <v>3414</v>
      </c>
      <c r="B9145" s="2" t="s">
        <v>213</v>
      </c>
      <c r="C9145" s="2">
        <v>698.1182</v>
      </c>
      <c r="D9145" s="2">
        <f>HYPERLINK("http://mcb-m6.bioreg.kyushu-u.ac.jp/M3/20110414/F50927/2101/1", 56.08)</f>
        <v>56.08</v>
      </c>
      <c r="E9145" s="2">
        <v>6.19</v>
      </c>
      <c r="F9145" s="2">
        <v>2</v>
      </c>
      <c r="G9145" s="2" t="s">
        <v>11</v>
      </c>
      <c r="I9145" s="2" t="s">
        <v>4903</v>
      </c>
    </row>
    <row r="9146" spans="1:9" x14ac:dyDescent="0.2">
      <c r="A9146" s="2" t="s">
        <v>3414</v>
      </c>
      <c r="B9146" s="2" t="s">
        <v>213</v>
      </c>
      <c r="C9146" s="2">
        <v>698.17719999999997</v>
      </c>
      <c r="D9146" s="2">
        <f>HYPERLINK("http://mcb-m6.bioreg.kyushu-u.ac.jp/M3/20110414/F50932/2115/1", 37.05)</f>
        <v>37.049999999999997</v>
      </c>
      <c r="E9146" s="2">
        <v>20</v>
      </c>
      <c r="F9146" s="2">
        <v>2</v>
      </c>
      <c r="G9146" s="2" t="s">
        <v>12</v>
      </c>
      <c r="I9146" s="2" t="s">
        <v>4903</v>
      </c>
    </row>
    <row r="9147" spans="1:9" x14ac:dyDescent="0.2">
      <c r="A9147" s="2" t="s">
        <v>4211</v>
      </c>
      <c r="B9147" s="2" t="s">
        <v>1805</v>
      </c>
      <c r="C9147" s="2">
        <v>920.36159999999995</v>
      </c>
      <c r="D9147" s="2">
        <f>HYPERLINK("http://mcb-m6.bioreg.kyushu-u.ac.jp/M3/20110411/F50920/2376/1", 40.33)</f>
        <v>40.33</v>
      </c>
      <c r="E9147" s="2">
        <v>18.100000000000001</v>
      </c>
      <c r="F9147" s="2">
        <v>2</v>
      </c>
      <c r="G9147" s="2" t="s">
        <v>10</v>
      </c>
    </row>
    <row r="9148" spans="1:9" x14ac:dyDescent="0.2">
      <c r="A9148" s="2" t="s">
        <v>4211</v>
      </c>
      <c r="B9148" s="2" t="s">
        <v>1805</v>
      </c>
      <c r="C9148" s="2">
        <v>919.8297</v>
      </c>
      <c r="D9148" s="2">
        <f>HYPERLINK("http://mcb-m6.bioreg.kyushu-u.ac.jp/M3/20110411/F50920/2374/1", 46.69)</f>
        <v>46.69</v>
      </c>
      <c r="E9148" s="2">
        <v>18.68</v>
      </c>
      <c r="F9148" s="2">
        <v>2</v>
      </c>
      <c r="G9148" s="2" t="s">
        <v>10</v>
      </c>
    </row>
    <row r="9149" spans="1:9" x14ac:dyDescent="0.2">
      <c r="A9149" s="2" t="s">
        <v>3683</v>
      </c>
      <c r="B9149" s="2" t="s">
        <v>643</v>
      </c>
      <c r="C9149" s="2">
        <v>1149.989</v>
      </c>
      <c r="D9149" s="2">
        <f>HYPERLINK("http://mcb-m6.bioreg.kyushu-u.ac.jp/M3/20110411/F50916/3582/1", 47.08)</f>
        <v>47.08</v>
      </c>
      <c r="E9149" s="2">
        <v>41.97</v>
      </c>
      <c r="F9149" s="2">
        <v>2</v>
      </c>
      <c r="G9149" s="2" t="s">
        <v>9</v>
      </c>
    </row>
    <row r="9150" spans="1:9" x14ac:dyDescent="0.2">
      <c r="A9150" s="2" t="s">
        <v>3267</v>
      </c>
      <c r="B9150" s="2" t="s">
        <v>47</v>
      </c>
      <c r="C9150" s="2">
        <v>1113.74</v>
      </c>
      <c r="D9150" s="2">
        <f>HYPERLINK("http://mcb-m6.bioreg.kyushu-u.ac.jp/M3/20110411/F50915/993/1", 35.42)</f>
        <v>35.42</v>
      </c>
      <c r="E9150" s="2">
        <v>16.45</v>
      </c>
      <c r="F9150" s="2">
        <v>1</v>
      </c>
      <c r="G9150" s="2" t="s">
        <v>9</v>
      </c>
    </row>
    <row r="9151" spans="1:9" x14ac:dyDescent="0.2">
      <c r="A9151" s="2" t="s">
        <v>3267</v>
      </c>
      <c r="B9151" s="2" t="s">
        <v>97</v>
      </c>
      <c r="C9151" s="2">
        <v>668.86360000000002</v>
      </c>
      <c r="D9151" s="2">
        <f>HYPERLINK("http://mcb-m6.bioreg.kyushu-u.ac.jp/M3/20110411/F50916/1485/1", 35.99)</f>
        <v>35.99</v>
      </c>
      <c r="E9151" s="2">
        <v>18.3</v>
      </c>
      <c r="F9151" s="2">
        <v>2</v>
      </c>
      <c r="G9151" s="2" t="s">
        <v>9</v>
      </c>
    </row>
    <row r="9152" spans="1:9" x14ac:dyDescent="0.2">
      <c r="A9152" s="2" t="s">
        <v>3267</v>
      </c>
      <c r="B9152" s="2" t="s">
        <v>147</v>
      </c>
      <c r="C9152" s="2">
        <v>829.8</v>
      </c>
      <c r="D9152" s="2">
        <f>HYPERLINK("http://mcb-m6.bioreg.kyushu-u.ac.jp/M3/20110411/F50895/820/1", 36.72)</f>
        <v>36.72</v>
      </c>
      <c r="E9152" s="2">
        <v>17.079999999999998</v>
      </c>
      <c r="F9152" s="2">
        <v>1</v>
      </c>
      <c r="G9152" s="2" t="s">
        <v>9</v>
      </c>
    </row>
    <row r="9153" spans="1:8" x14ac:dyDescent="0.2">
      <c r="A9153" s="2" t="s">
        <v>3267</v>
      </c>
      <c r="B9153" s="2" t="s">
        <v>223</v>
      </c>
      <c r="C9153" s="2">
        <v>782.43769999999995</v>
      </c>
      <c r="D9153" s="2">
        <f>HYPERLINK("http://mcb-m6.bioreg.kyushu-u.ac.jp/M3/20110411/F50915/2168/1", 38.09)</f>
        <v>38.090000000000003</v>
      </c>
      <c r="E9153" s="2">
        <v>23.88</v>
      </c>
      <c r="F9153" s="2">
        <v>2</v>
      </c>
      <c r="G9153" s="2" t="s">
        <v>9</v>
      </c>
    </row>
    <row r="9154" spans="1:8" x14ac:dyDescent="0.2">
      <c r="A9154" s="2" t="s">
        <v>3267</v>
      </c>
      <c r="B9154" s="2" t="s">
        <v>433</v>
      </c>
      <c r="C9154" s="2">
        <v>819.56020000000001</v>
      </c>
      <c r="D9154" s="2">
        <f>HYPERLINK("http://mcb-m6.bioreg.kyushu-u.ac.jp/M3/20110411/F50915/2376/1", 41.77)</f>
        <v>41.77</v>
      </c>
      <c r="E9154" s="2">
        <v>30.42</v>
      </c>
      <c r="F9154" s="2">
        <v>2</v>
      </c>
      <c r="G9154" s="2" t="s">
        <v>9</v>
      </c>
    </row>
    <row r="9155" spans="1:8" x14ac:dyDescent="0.2">
      <c r="A9155" s="2" t="s">
        <v>3267</v>
      </c>
      <c r="B9155" s="2" t="s">
        <v>97</v>
      </c>
      <c r="C9155" s="2">
        <v>669.21220000000005</v>
      </c>
      <c r="D9155" s="2">
        <f>HYPERLINK("http://mcb-m6.bioreg.kyushu-u.ac.jp/M3/20110411/F50895/1717/1", 42.62)</f>
        <v>42.62</v>
      </c>
      <c r="E9155" s="2">
        <v>21.38</v>
      </c>
      <c r="F9155" s="2">
        <v>2</v>
      </c>
      <c r="G9155" s="2" t="s">
        <v>9</v>
      </c>
    </row>
    <row r="9156" spans="1:8" x14ac:dyDescent="0.2">
      <c r="A9156" s="2" t="s">
        <v>3267</v>
      </c>
      <c r="B9156" s="2" t="s">
        <v>480</v>
      </c>
      <c r="C9156" s="2">
        <v>1551.758</v>
      </c>
      <c r="D9156" s="2">
        <f>HYPERLINK("http://mcb-m6.bioreg.kyushu-u.ac.jp/M3/20110411/F50915/4500/1", 42.76)</f>
        <v>42.76</v>
      </c>
      <c r="E9156" s="2">
        <v>35.47</v>
      </c>
      <c r="F9156" s="2">
        <v>2</v>
      </c>
      <c r="G9156" s="2" t="s">
        <v>9</v>
      </c>
    </row>
    <row r="9157" spans="1:8" x14ac:dyDescent="0.2">
      <c r="A9157" s="2" t="s">
        <v>3267</v>
      </c>
      <c r="B9157" s="2" t="s">
        <v>491</v>
      </c>
      <c r="C9157" s="2">
        <v>766.99869999999999</v>
      </c>
      <c r="D9157" s="2">
        <f>HYPERLINK("http://mcb-m6.bioreg.kyushu-u.ac.jp/M3/20110411/F50915/2065/1", 43.1)</f>
        <v>43.1</v>
      </c>
      <c r="E9157" s="2">
        <v>20.170000000000002</v>
      </c>
      <c r="F9157" s="2">
        <v>2</v>
      </c>
      <c r="G9157" s="2" t="s">
        <v>9</v>
      </c>
    </row>
    <row r="9158" spans="1:8" x14ac:dyDescent="0.2">
      <c r="A9158" s="2" t="s">
        <v>3267</v>
      </c>
      <c r="B9158" s="2" t="s">
        <v>97</v>
      </c>
      <c r="C9158" s="2">
        <v>1336.7829999999999</v>
      </c>
      <c r="D9158" s="2">
        <f>HYPERLINK("http://mcb-m6.bioreg.kyushu-u.ac.jp/M3/20110411/F50915/1482/1", 43.82)</f>
        <v>43.82</v>
      </c>
      <c r="E9158" s="2">
        <v>23.21</v>
      </c>
      <c r="F9158" s="2">
        <v>1</v>
      </c>
      <c r="G9158" s="2" t="s">
        <v>9</v>
      </c>
    </row>
    <row r="9159" spans="1:8" x14ac:dyDescent="0.2">
      <c r="A9159" s="2" t="s">
        <v>3267</v>
      </c>
      <c r="B9159" s="2" t="s">
        <v>433</v>
      </c>
      <c r="C9159" s="2">
        <v>819.53060000000005</v>
      </c>
      <c r="D9159" s="2">
        <f>HYPERLINK("http://mcb-m6.bioreg.kyushu-u.ac.jp/M3/20110411/F50915/2375/1", 44.24)</f>
        <v>44.24</v>
      </c>
      <c r="E9159" s="2">
        <v>29.73</v>
      </c>
      <c r="F9159" s="2">
        <v>2</v>
      </c>
      <c r="G9159" s="2" t="s">
        <v>9</v>
      </c>
    </row>
    <row r="9160" spans="1:8" x14ac:dyDescent="0.2">
      <c r="A9160" s="2" t="s">
        <v>3267</v>
      </c>
      <c r="B9160" s="2" t="s">
        <v>562</v>
      </c>
      <c r="C9160" s="2">
        <v>964.99450000000002</v>
      </c>
      <c r="D9160" s="2">
        <f>HYPERLINK("http://mcb-m6.bioreg.kyushu-u.ac.jp/M3/20110411/F50915/4405/1", 44.9)</f>
        <v>44.9</v>
      </c>
      <c r="E9160" s="2">
        <v>37.28</v>
      </c>
      <c r="F9160" s="2">
        <v>3</v>
      </c>
      <c r="G9160" s="2" t="s">
        <v>9</v>
      </c>
    </row>
    <row r="9161" spans="1:8" x14ac:dyDescent="0.2">
      <c r="A9161" s="2" t="s">
        <v>3267</v>
      </c>
      <c r="B9161" s="2" t="s">
        <v>568</v>
      </c>
      <c r="C9161" s="2">
        <v>836.55499999999995</v>
      </c>
      <c r="D9161" s="2">
        <f>HYPERLINK("http://mcb-m6.bioreg.kyushu-u.ac.jp/M3/20110411/F50915/511/1", 45.1)</f>
        <v>45.1</v>
      </c>
      <c r="E9161" s="2">
        <v>25.94</v>
      </c>
      <c r="F9161" s="2">
        <v>1</v>
      </c>
      <c r="G9161" s="2" t="s">
        <v>9</v>
      </c>
    </row>
    <row r="9162" spans="1:8" x14ac:dyDescent="0.2">
      <c r="A9162" s="2" t="s">
        <v>3267</v>
      </c>
      <c r="B9162" s="2" t="s">
        <v>47</v>
      </c>
      <c r="C9162" s="2">
        <v>548.93960000000004</v>
      </c>
      <c r="D9162" s="2">
        <f>HYPERLINK("http://mcb-m6.bioreg.kyushu-u.ac.jp/M3/20110411/F50915/954/1", 45.86)</f>
        <v>45.86</v>
      </c>
      <c r="E9162" s="2">
        <v>23.13</v>
      </c>
      <c r="F9162" s="2">
        <v>2</v>
      </c>
      <c r="G9162" s="2" t="s">
        <v>9</v>
      </c>
      <c r="H9162" s="2" t="s">
        <v>4904</v>
      </c>
    </row>
    <row r="9163" spans="1:8" x14ac:dyDescent="0.2">
      <c r="A9163" s="2" t="s">
        <v>3267</v>
      </c>
      <c r="B9163" s="2" t="s">
        <v>602</v>
      </c>
      <c r="C9163" s="2">
        <v>1483.8579999999999</v>
      </c>
      <c r="D9163" s="2">
        <f>HYPERLINK("http://mcb-m6.bioreg.kyushu-u.ac.jp/M3/20110411/F50915/1907/1", 46)</f>
        <v>46</v>
      </c>
      <c r="E9163" s="2">
        <v>36.25</v>
      </c>
      <c r="F9163" s="2">
        <v>1</v>
      </c>
      <c r="G9163" s="2" t="s">
        <v>9</v>
      </c>
    </row>
    <row r="9164" spans="1:8" x14ac:dyDescent="0.2">
      <c r="A9164" s="2" t="s">
        <v>3267</v>
      </c>
      <c r="B9164" s="2" t="s">
        <v>491</v>
      </c>
      <c r="C9164" s="2">
        <v>766.73109999999997</v>
      </c>
      <c r="D9164" s="2">
        <f>HYPERLINK("http://mcb-m6.bioreg.kyushu-u.ac.jp/M3/20110411/F50905/2185/1", 47.27)</f>
        <v>47.27</v>
      </c>
      <c r="E9164" s="2">
        <v>20.149999999999999</v>
      </c>
      <c r="F9164" s="2">
        <v>2</v>
      </c>
      <c r="G9164" s="2" t="s">
        <v>9</v>
      </c>
    </row>
    <row r="9165" spans="1:8" x14ac:dyDescent="0.2">
      <c r="A9165" s="2" t="s">
        <v>3267</v>
      </c>
      <c r="B9165" s="2" t="s">
        <v>433</v>
      </c>
      <c r="C9165" s="2">
        <v>546.75210000000004</v>
      </c>
      <c r="D9165" s="2">
        <f>HYPERLINK("http://mcb-m6.bioreg.kyushu-u.ac.jp/M3/20110411/F50915/2378/1", 47.45)</f>
        <v>47.45</v>
      </c>
      <c r="E9165" s="2">
        <v>25.36</v>
      </c>
      <c r="F9165" s="2">
        <v>3</v>
      </c>
      <c r="G9165" s="2" t="s">
        <v>9</v>
      </c>
    </row>
    <row r="9166" spans="1:8" x14ac:dyDescent="0.2">
      <c r="A9166" s="2" t="s">
        <v>3267</v>
      </c>
      <c r="B9166" s="2" t="s">
        <v>97</v>
      </c>
      <c r="C9166" s="2">
        <v>669.00869999999998</v>
      </c>
      <c r="D9166" s="2">
        <f>HYPERLINK("http://mcb-m6.bioreg.kyushu-u.ac.jp/M3/20110411/F50905/1651/1", 48.23)</f>
        <v>48.23</v>
      </c>
      <c r="E9166" s="2">
        <v>30.61</v>
      </c>
      <c r="F9166" s="2">
        <v>2</v>
      </c>
      <c r="G9166" s="2" t="s">
        <v>9</v>
      </c>
    </row>
    <row r="9167" spans="1:8" x14ac:dyDescent="0.2">
      <c r="A9167" s="2" t="s">
        <v>3267</v>
      </c>
      <c r="B9167" s="2" t="s">
        <v>697</v>
      </c>
      <c r="C9167" s="2">
        <v>733.4742</v>
      </c>
      <c r="D9167" s="2">
        <f>HYPERLINK("http://mcb-m6.bioreg.kyushu-u.ac.jp/M3/20110411/F50915/1838/1", 48.68)</f>
        <v>48.68</v>
      </c>
      <c r="E9167" s="2">
        <v>27.57</v>
      </c>
      <c r="F9167" s="2">
        <v>2</v>
      </c>
      <c r="G9167" s="2" t="s">
        <v>9</v>
      </c>
    </row>
    <row r="9168" spans="1:8" x14ac:dyDescent="0.2">
      <c r="A9168" s="2" t="s">
        <v>3267</v>
      </c>
      <c r="B9168" s="2" t="s">
        <v>433</v>
      </c>
      <c r="C9168" s="2">
        <v>819.52919999999995</v>
      </c>
      <c r="D9168" s="2">
        <f>HYPERLINK("http://mcb-m6.bioreg.kyushu-u.ac.jp/M3/20110411/F50915/2374/1", 48.72)</f>
        <v>48.72</v>
      </c>
      <c r="E9168" s="2">
        <v>36.51</v>
      </c>
      <c r="F9168" s="2">
        <v>2</v>
      </c>
      <c r="G9168" s="2" t="s">
        <v>9</v>
      </c>
    </row>
    <row r="9169" spans="1:7" x14ac:dyDescent="0.2">
      <c r="A9169" s="2" t="s">
        <v>3267</v>
      </c>
      <c r="B9169" s="2" t="s">
        <v>602</v>
      </c>
      <c r="C9169" s="2">
        <v>742.72270000000003</v>
      </c>
      <c r="D9169" s="2">
        <f>HYPERLINK("http://mcb-m6.bioreg.kyushu-u.ac.jp/M3/20110411/F50911/2107/1", 49.4)</f>
        <v>49.4</v>
      </c>
      <c r="E9169" s="2">
        <v>37.1</v>
      </c>
      <c r="F9169" s="2">
        <v>2</v>
      </c>
      <c r="G9169" s="2" t="s">
        <v>9</v>
      </c>
    </row>
    <row r="9170" spans="1:7" x14ac:dyDescent="0.2">
      <c r="A9170" s="2" t="s">
        <v>3267</v>
      </c>
      <c r="B9170" s="2" t="s">
        <v>491</v>
      </c>
      <c r="C9170" s="2">
        <v>1532.84</v>
      </c>
      <c r="D9170" s="2">
        <f>HYPERLINK("http://mcb-m6.bioreg.kyushu-u.ac.jp/M3/20110411/F50915/2064/1", 50.24)</f>
        <v>50.24</v>
      </c>
      <c r="E9170" s="2">
        <v>25.97</v>
      </c>
      <c r="F9170" s="2">
        <v>1</v>
      </c>
      <c r="G9170" s="2" t="s">
        <v>9</v>
      </c>
    </row>
    <row r="9171" spans="1:7" x14ac:dyDescent="0.2">
      <c r="A9171" s="2" t="s">
        <v>3267</v>
      </c>
      <c r="B9171" s="2" t="s">
        <v>491</v>
      </c>
      <c r="C9171" s="2">
        <v>766.79269999999997</v>
      </c>
      <c r="D9171" s="2">
        <f>HYPERLINK("http://mcb-m6.bioreg.kyushu-u.ac.jp/M3/20110411/F50915/2063/1", 50.37)</f>
        <v>50.37</v>
      </c>
      <c r="E9171" s="2">
        <v>28.23</v>
      </c>
      <c r="F9171" s="2">
        <v>2</v>
      </c>
      <c r="G9171" s="2" t="s">
        <v>9</v>
      </c>
    </row>
    <row r="9172" spans="1:7" x14ac:dyDescent="0.2">
      <c r="A9172" s="2" t="s">
        <v>3267</v>
      </c>
      <c r="B9172" s="2" t="s">
        <v>697</v>
      </c>
      <c r="C9172" s="2">
        <v>732.97360000000003</v>
      </c>
      <c r="D9172" s="2">
        <f>HYPERLINK("http://mcb-m6.bioreg.kyushu-u.ac.jp/M3/20110411/F50915/1833/1", 52.05)</f>
        <v>52.05</v>
      </c>
      <c r="E9172" s="2">
        <v>28.73</v>
      </c>
      <c r="F9172" s="2">
        <v>2</v>
      </c>
      <c r="G9172" s="2" t="s">
        <v>9</v>
      </c>
    </row>
    <row r="9173" spans="1:7" x14ac:dyDescent="0.2">
      <c r="A9173" s="2" t="s">
        <v>3267</v>
      </c>
      <c r="B9173" s="2" t="s">
        <v>855</v>
      </c>
      <c r="C9173" s="2">
        <v>996.61099999999999</v>
      </c>
      <c r="D9173" s="2">
        <f>HYPERLINK("http://mcb-m6.bioreg.kyushu-u.ac.jp/M3/20110411/F50915/742/1", 53.54)</f>
        <v>53.54</v>
      </c>
      <c r="E9173" s="2">
        <v>12.25</v>
      </c>
      <c r="F9173" s="2">
        <v>1</v>
      </c>
      <c r="G9173" s="2" t="s">
        <v>9</v>
      </c>
    </row>
    <row r="9174" spans="1:7" x14ac:dyDescent="0.2">
      <c r="A9174" s="2" t="s">
        <v>3267</v>
      </c>
      <c r="B9174" s="2" t="s">
        <v>491</v>
      </c>
      <c r="C9174" s="2">
        <v>766.43409999999994</v>
      </c>
      <c r="D9174" s="2">
        <f>HYPERLINK("http://mcb-m6.bioreg.kyushu-u.ac.jp/M3/20110411/F50915/2056/1", 53.9)</f>
        <v>53.9</v>
      </c>
      <c r="E9174" s="2">
        <v>33.49</v>
      </c>
      <c r="F9174" s="2">
        <v>2</v>
      </c>
      <c r="G9174" s="2" t="s">
        <v>9</v>
      </c>
    </row>
    <row r="9175" spans="1:7" x14ac:dyDescent="0.2">
      <c r="A9175" s="2" t="s">
        <v>3267</v>
      </c>
      <c r="B9175" s="2" t="s">
        <v>697</v>
      </c>
      <c r="C9175" s="2">
        <v>733.03269999999998</v>
      </c>
      <c r="D9175" s="2">
        <f>HYPERLINK("http://mcb-m6.bioreg.kyushu-u.ac.jp/M3/20110411/F50895/2048/1", 54.42)</f>
        <v>54.42</v>
      </c>
      <c r="E9175" s="2">
        <v>25.83</v>
      </c>
      <c r="F9175" s="2">
        <v>2</v>
      </c>
      <c r="G9175" s="2" t="s">
        <v>9</v>
      </c>
    </row>
    <row r="9176" spans="1:7" x14ac:dyDescent="0.2">
      <c r="A9176" s="2" t="s">
        <v>3267</v>
      </c>
      <c r="B9176" s="2" t="s">
        <v>697</v>
      </c>
      <c r="C9176" s="2">
        <v>733.22469999999998</v>
      </c>
      <c r="D9176" s="2">
        <f>HYPERLINK("http://mcb-m6.bioreg.kyushu-u.ac.jp/M3/20110411/F50916/1872/1", 56.15)</f>
        <v>56.15</v>
      </c>
      <c r="E9176" s="2">
        <v>30.74</v>
      </c>
      <c r="F9176" s="2">
        <v>2</v>
      </c>
      <c r="G9176" s="2" t="s">
        <v>9</v>
      </c>
    </row>
    <row r="9177" spans="1:7" x14ac:dyDescent="0.2">
      <c r="A9177" s="2" t="s">
        <v>3267</v>
      </c>
      <c r="B9177" s="2" t="s">
        <v>994</v>
      </c>
      <c r="C9177" s="2">
        <v>580.37660000000005</v>
      </c>
      <c r="D9177" s="2">
        <f>HYPERLINK("http://mcb-m6.bioreg.kyushu-u.ac.jp/M3/20110411/F50915/1079/1", 58.07)</f>
        <v>58.07</v>
      </c>
      <c r="E9177" s="2">
        <v>37.58</v>
      </c>
      <c r="F9177" s="2">
        <v>2</v>
      </c>
      <c r="G9177" s="2" t="s">
        <v>9</v>
      </c>
    </row>
    <row r="9178" spans="1:7" x14ac:dyDescent="0.2">
      <c r="A9178" s="2" t="s">
        <v>3267</v>
      </c>
      <c r="B9178" s="2" t="s">
        <v>491</v>
      </c>
      <c r="C9178" s="2">
        <v>766.67470000000003</v>
      </c>
      <c r="D9178" s="2">
        <f>HYPERLINK("http://mcb-m6.bioreg.kyushu-u.ac.jp/M3/20110411/F50904/2175/1", 59.87)</f>
        <v>59.87</v>
      </c>
      <c r="E9178" s="2">
        <v>34.19</v>
      </c>
      <c r="F9178" s="2">
        <v>2</v>
      </c>
      <c r="G9178" s="2" t="s">
        <v>9</v>
      </c>
    </row>
    <row r="9179" spans="1:7" x14ac:dyDescent="0.2">
      <c r="A9179" s="2" t="s">
        <v>3267</v>
      </c>
      <c r="B9179" s="2" t="s">
        <v>433</v>
      </c>
      <c r="C9179" s="2">
        <v>819.6902</v>
      </c>
      <c r="D9179" s="2">
        <f>HYPERLINK("http://mcb-m6.bioreg.kyushu-u.ac.jp/M3/20110411/F50911/2528/1", 60.52)</f>
        <v>60.52</v>
      </c>
      <c r="E9179" s="2">
        <v>39.69</v>
      </c>
      <c r="F9179" s="2">
        <v>2</v>
      </c>
      <c r="G9179" s="2" t="s">
        <v>9</v>
      </c>
    </row>
    <row r="9180" spans="1:7" x14ac:dyDescent="0.2">
      <c r="A9180" s="2" t="s">
        <v>3267</v>
      </c>
      <c r="B9180" s="2" t="s">
        <v>491</v>
      </c>
      <c r="C9180" s="2">
        <v>766.85270000000003</v>
      </c>
      <c r="D9180" s="2">
        <f>HYPERLINK("http://mcb-m6.bioreg.kyushu-u.ac.jp/M3/20110411/F50894/2352/1", 61.69)</f>
        <v>61.69</v>
      </c>
      <c r="E9180" s="2">
        <v>39.06</v>
      </c>
      <c r="F9180" s="2">
        <v>2</v>
      </c>
      <c r="G9180" s="2" t="s">
        <v>9</v>
      </c>
    </row>
    <row r="9181" spans="1:7" x14ac:dyDescent="0.2">
      <c r="A9181" s="2" t="s">
        <v>3267</v>
      </c>
      <c r="B9181" s="2" t="s">
        <v>491</v>
      </c>
      <c r="C9181" s="2">
        <v>766.55359999999996</v>
      </c>
      <c r="D9181" s="2">
        <f>HYPERLINK("http://mcb-m6.bioreg.kyushu-u.ac.jp/M3/20110411/F50919/1756/1", 62.13)</f>
        <v>62.13</v>
      </c>
      <c r="E9181" s="2">
        <v>41.3</v>
      </c>
      <c r="F9181" s="2">
        <v>2</v>
      </c>
      <c r="G9181" s="2" t="s">
        <v>9</v>
      </c>
    </row>
    <row r="9182" spans="1:7" x14ac:dyDescent="0.2">
      <c r="A9182" s="2" t="s">
        <v>3267</v>
      </c>
      <c r="B9182" s="2" t="s">
        <v>491</v>
      </c>
      <c r="C9182" s="2">
        <v>766.6567</v>
      </c>
      <c r="D9182" s="2">
        <f>HYPERLINK("http://mcb-m6.bioreg.kyushu-u.ac.jp/M3/20110411/F50894/2351/1", 62.32)</f>
        <v>62.32</v>
      </c>
      <c r="E9182" s="2">
        <v>39.6</v>
      </c>
      <c r="F9182" s="2">
        <v>2</v>
      </c>
      <c r="G9182" s="2" t="s">
        <v>9</v>
      </c>
    </row>
    <row r="9183" spans="1:7" x14ac:dyDescent="0.2">
      <c r="A9183" s="2" t="s">
        <v>3267</v>
      </c>
      <c r="B9183" s="2" t="s">
        <v>562</v>
      </c>
      <c r="C9183" s="2">
        <v>965.18520000000001</v>
      </c>
      <c r="D9183" s="2">
        <f>HYPERLINK("http://mcb-m6.bioreg.kyushu-u.ac.jp/M3/20110411/F50915/4408/1", 62.57)</f>
        <v>62.57</v>
      </c>
      <c r="E9183" s="2">
        <v>49.67</v>
      </c>
      <c r="F9183" s="2">
        <v>3</v>
      </c>
      <c r="G9183" s="2" t="s">
        <v>9</v>
      </c>
    </row>
    <row r="9184" spans="1:7" x14ac:dyDescent="0.2">
      <c r="A9184" s="2" t="s">
        <v>3267</v>
      </c>
      <c r="B9184" s="2" t="s">
        <v>697</v>
      </c>
      <c r="C9184" s="2">
        <v>733.01070000000004</v>
      </c>
      <c r="D9184" s="2">
        <f>HYPERLINK("http://mcb-m6.bioreg.kyushu-u.ac.jp/M3/20110411/F50905/1989/1", 65.27)</f>
        <v>65.27</v>
      </c>
      <c r="E9184" s="2">
        <v>39.4</v>
      </c>
      <c r="F9184" s="2">
        <v>2</v>
      </c>
      <c r="G9184" s="2" t="s">
        <v>9</v>
      </c>
    </row>
    <row r="9185" spans="1:9" x14ac:dyDescent="0.2">
      <c r="A9185" s="2" t="s">
        <v>3267</v>
      </c>
      <c r="B9185" s="2" t="s">
        <v>491</v>
      </c>
      <c r="C9185" s="2">
        <v>766.52369999999996</v>
      </c>
      <c r="D9185" s="2">
        <f>HYPERLINK("http://mcb-m6.bioreg.kyushu-u.ac.jp/M3/20110411/F50892/2340/1", 69.64)</f>
        <v>69.64</v>
      </c>
      <c r="E9185" s="2">
        <v>54.76</v>
      </c>
      <c r="F9185" s="2">
        <v>2</v>
      </c>
      <c r="G9185" s="2" t="s">
        <v>9</v>
      </c>
    </row>
    <row r="9186" spans="1:9" x14ac:dyDescent="0.2">
      <c r="A9186" s="2" t="s">
        <v>3267</v>
      </c>
      <c r="B9186" s="2" t="s">
        <v>1353</v>
      </c>
      <c r="C9186" s="2">
        <v>825.36469999999997</v>
      </c>
      <c r="D9186" s="2">
        <f>HYPERLINK("http://mcb-m6.bioreg.kyushu-u.ac.jp/M3/20110411/F50904/2428/1", 74.78)</f>
        <v>74.78</v>
      </c>
      <c r="E9186" s="2">
        <v>55.77</v>
      </c>
      <c r="F9186" s="2">
        <v>2</v>
      </c>
      <c r="G9186" s="2" t="s">
        <v>9</v>
      </c>
    </row>
    <row r="9187" spans="1:9" x14ac:dyDescent="0.2">
      <c r="A9187" s="2" t="s">
        <v>3267</v>
      </c>
      <c r="B9187" s="2" t="s">
        <v>491</v>
      </c>
      <c r="C9187" s="2">
        <v>766.66020000000003</v>
      </c>
      <c r="D9187" s="2">
        <f>HYPERLINK("http://mcb-m6.bioreg.kyushu-u.ac.jp/M3/20110411/F50911/2235/1", 77.41)</f>
        <v>77.41</v>
      </c>
      <c r="E9187" s="2">
        <v>54.39</v>
      </c>
      <c r="F9187" s="2">
        <v>2</v>
      </c>
      <c r="G9187" s="2" t="s">
        <v>9</v>
      </c>
    </row>
    <row r="9188" spans="1:9" x14ac:dyDescent="0.2">
      <c r="A9188" s="2" t="s">
        <v>3267</v>
      </c>
      <c r="B9188" s="2" t="s">
        <v>491</v>
      </c>
      <c r="C9188" s="2">
        <v>766.53060000000005</v>
      </c>
      <c r="D9188" s="2">
        <f>HYPERLINK("http://mcb-m6.bioreg.kyushu-u.ac.jp/M3/20110411/F50915/2062/1", 79.72)</f>
        <v>79.72</v>
      </c>
      <c r="E9188" s="2">
        <v>56.85</v>
      </c>
      <c r="F9188" s="2">
        <v>2</v>
      </c>
      <c r="G9188" s="2" t="s">
        <v>9</v>
      </c>
    </row>
    <row r="9189" spans="1:9" x14ac:dyDescent="0.2">
      <c r="A9189" s="2" t="s">
        <v>3267</v>
      </c>
      <c r="B9189" s="2" t="s">
        <v>562</v>
      </c>
      <c r="C9189" s="2">
        <v>1447.056</v>
      </c>
      <c r="D9189" s="2">
        <f>HYPERLINK("http://mcb-m6.bioreg.kyushu-u.ac.jp/M3/20110411/F50915/4406/1", 87.08)</f>
        <v>87.08</v>
      </c>
      <c r="E9189" s="2">
        <v>79.33</v>
      </c>
      <c r="F9189" s="2">
        <v>2</v>
      </c>
      <c r="G9189" s="2" t="s">
        <v>9</v>
      </c>
    </row>
    <row r="9190" spans="1:9" x14ac:dyDescent="0.2">
      <c r="A9190" s="2" t="s">
        <v>3267</v>
      </c>
      <c r="B9190" s="2" t="s">
        <v>1526</v>
      </c>
      <c r="C9190" s="2">
        <v>1238.646</v>
      </c>
      <c r="D9190" s="2">
        <f>HYPERLINK("http://mcb-m6.bioreg.kyushu-u.ac.jp/M3/20110411/F50915/1253/1", 88.11)</f>
        <v>88.11</v>
      </c>
      <c r="E9190" s="2">
        <v>62.37</v>
      </c>
      <c r="F9190" s="2">
        <v>1</v>
      </c>
      <c r="G9190" s="2" t="s">
        <v>9</v>
      </c>
    </row>
    <row r="9191" spans="1:9" x14ac:dyDescent="0.2">
      <c r="A9191" s="2" t="s">
        <v>3267</v>
      </c>
      <c r="B9191" s="2" t="s">
        <v>491</v>
      </c>
      <c r="C9191" s="2">
        <v>1531.8779999999999</v>
      </c>
      <c r="D9191" s="2">
        <f>HYPERLINK("http://mcb-m6.bioreg.kyushu-u.ac.jp/M3/20110411/F50915/2057/1", 88.23)</f>
        <v>88.23</v>
      </c>
      <c r="E9191" s="2">
        <v>57.22</v>
      </c>
      <c r="F9191" s="2">
        <v>1</v>
      </c>
      <c r="G9191" s="2" t="s">
        <v>9</v>
      </c>
    </row>
    <row r="9192" spans="1:9" x14ac:dyDescent="0.2">
      <c r="A9192" s="2" t="s">
        <v>3267</v>
      </c>
      <c r="B9192" s="2" t="s">
        <v>480</v>
      </c>
      <c r="C9192" s="2">
        <v>1035.0060000000001</v>
      </c>
      <c r="D9192" s="2">
        <f>HYPERLINK("http://mcb-m6.bioreg.kyushu-u.ac.jp/M3/20110411/F50915/4502/1", 89.85)</f>
        <v>89.85</v>
      </c>
      <c r="E9192" s="2">
        <v>77.63</v>
      </c>
      <c r="F9192" s="2">
        <v>3</v>
      </c>
      <c r="G9192" s="2" t="s">
        <v>9</v>
      </c>
    </row>
    <row r="9193" spans="1:9" x14ac:dyDescent="0.2">
      <c r="A9193" s="2" t="s">
        <v>3267</v>
      </c>
      <c r="B9193" s="2" t="s">
        <v>1606</v>
      </c>
      <c r="C9193" s="2">
        <v>862.56320000000005</v>
      </c>
      <c r="D9193" s="2">
        <f>HYPERLINK("http://mcb-m6.bioreg.kyushu-u.ac.jp/M3/20110411/F50911/2737/1", 98.66)</f>
        <v>98.66</v>
      </c>
      <c r="E9193" s="2">
        <v>81.59</v>
      </c>
      <c r="F9193" s="2">
        <v>2</v>
      </c>
      <c r="G9193" s="2" t="s">
        <v>9</v>
      </c>
    </row>
    <row r="9194" spans="1:9" x14ac:dyDescent="0.2">
      <c r="A9194" s="2" t="s">
        <v>3267</v>
      </c>
      <c r="B9194" s="2" t="s">
        <v>480</v>
      </c>
      <c r="C9194" s="2">
        <v>1034.758</v>
      </c>
      <c r="D9194" s="2">
        <f>HYPERLINK("http://mcb-m6.bioreg.kyushu-u.ac.jp/M3/20110411/F50915/4499/1", 99.25)</f>
        <v>99.25</v>
      </c>
      <c r="E9194" s="2">
        <v>88.02</v>
      </c>
      <c r="F9194" s="2">
        <v>3</v>
      </c>
      <c r="G9194" s="2" t="s">
        <v>9</v>
      </c>
    </row>
    <row r="9195" spans="1:9" x14ac:dyDescent="0.2">
      <c r="A9195" s="2" t="s">
        <v>3267</v>
      </c>
      <c r="B9195" s="2" t="s">
        <v>1612</v>
      </c>
      <c r="C9195" s="2">
        <v>1003.481</v>
      </c>
      <c r="D9195" s="2">
        <f>HYPERLINK("http://mcb-m6.bioreg.kyushu-u.ac.jp/M3/20110411/F50915/3317/1", 100.28)</f>
        <v>100.28</v>
      </c>
      <c r="E9195" s="2">
        <v>93.42</v>
      </c>
      <c r="F9195" s="2">
        <v>2</v>
      </c>
      <c r="G9195" s="2" t="s">
        <v>9</v>
      </c>
      <c r="I9195" s="2" t="s">
        <v>4935</v>
      </c>
    </row>
    <row r="9196" spans="1:9" x14ac:dyDescent="0.2">
      <c r="A9196" s="2" t="s">
        <v>3267</v>
      </c>
      <c r="B9196" s="2" t="s">
        <v>1606</v>
      </c>
      <c r="C9196" s="2">
        <v>862.70010000000002</v>
      </c>
      <c r="D9196" s="2">
        <f>HYPERLINK("http://mcb-m6.bioreg.kyushu-u.ac.jp/M3/20110411/F50905/2659/1", 101.94)</f>
        <v>101.94</v>
      </c>
      <c r="E9196" s="2">
        <v>89.72</v>
      </c>
      <c r="F9196" s="2">
        <v>2</v>
      </c>
      <c r="G9196" s="2" t="s">
        <v>9</v>
      </c>
    </row>
    <row r="9197" spans="1:9" x14ac:dyDescent="0.2">
      <c r="A9197" s="2" t="s">
        <v>3267</v>
      </c>
      <c r="B9197" s="2" t="s">
        <v>1606</v>
      </c>
      <c r="C9197" s="2">
        <v>862.57320000000004</v>
      </c>
      <c r="D9197" s="2">
        <f>HYPERLINK("http://mcb-m6.bioreg.kyushu-u.ac.jp/M3/20110411/F50895/2649/1", 102.34)</f>
        <v>102.34</v>
      </c>
      <c r="E9197" s="2">
        <v>82.68</v>
      </c>
      <c r="F9197" s="2">
        <v>2</v>
      </c>
      <c r="G9197" s="2" t="s">
        <v>9</v>
      </c>
    </row>
    <row r="9198" spans="1:9" x14ac:dyDescent="0.2">
      <c r="A9198" s="2" t="s">
        <v>3267</v>
      </c>
      <c r="B9198" s="2" t="s">
        <v>1623</v>
      </c>
      <c r="C9198" s="2">
        <v>796.44709999999998</v>
      </c>
      <c r="D9198" s="2">
        <f>HYPERLINK("http://mcb-m6.bioreg.kyushu-u.ac.jp/M3/20110411/F50915/2252/1", 102.58)</f>
        <v>102.58</v>
      </c>
      <c r="E9198" s="2">
        <v>87.29</v>
      </c>
      <c r="F9198" s="2">
        <v>2</v>
      </c>
      <c r="G9198" s="2" t="s">
        <v>9</v>
      </c>
      <c r="I9198" s="2" t="s">
        <v>4909</v>
      </c>
    </row>
    <row r="9199" spans="1:9" x14ac:dyDescent="0.2">
      <c r="A9199" s="2" t="s">
        <v>3267</v>
      </c>
      <c r="B9199" s="2" t="s">
        <v>1353</v>
      </c>
      <c r="C9199" s="2">
        <v>825.45820000000003</v>
      </c>
      <c r="D9199" s="2">
        <f>HYPERLINK("http://mcb-m6.bioreg.kyushu-u.ac.jp/M3/20110411/F50915/2411/1", 104.67)</f>
        <v>104.67</v>
      </c>
      <c r="E9199" s="2">
        <v>84.64</v>
      </c>
      <c r="F9199" s="2">
        <v>2</v>
      </c>
      <c r="G9199" s="2" t="s">
        <v>9</v>
      </c>
    </row>
    <row r="9200" spans="1:9" x14ac:dyDescent="0.2">
      <c r="A9200" s="2" t="s">
        <v>3267</v>
      </c>
      <c r="B9200" s="2" t="s">
        <v>602</v>
      </c>
      <c r="C9200" s="2">
        <v>742.79359999999997</v>
      </c>
      <c r="D9200" s="2">
        <f>HYPERLINK("http://mcb-m6.bioreg.kyushu-u.ac.jp/M3/20110411/F50893/2185/1", 105)</f>
        <v>105</v>
      </c>
      <c r="E9200" s="2">
        <v>86.3</v>
      </c>
      <c r="F9200" s="2">
        <v>2</v>
      </c>
      <c r="G9200" s="2" t="s">
        <v>9</v>
      </c>
    </row>
    <row r="9201" spans="1:7" x14ac:dyDescent="0.2">
      <c r="A9201" s="2" t="s">
        <v>3267</v>
      </c>
      <c r="B9201" s="2" t="s">
        <v>1640</v>
      </c>
      <c r="C9201" s="2">
        <v>864.11069999999995</v>
      </c>
      <c r="D9201" s="2">
        <f>HYPERLINK("http://mcb-m6.bioreg.kyushu-u.ac.jp/M3/20110411/F50915/2638/1", 106.45)</f>
        <v>106.45</v>
      </c>
      <c r="E9201" s="2">
        <v>88.69</v>
      </c>
      <c r="F9201" s="2">
        <v>2</v>
      </c>
      <c r="G9201" s="2" t="s">
        <v>9</v>
      </c>
    </row>
    <row r="9202" spans="1:7" x14ac:dyDescent="0.2">
      <c r="A9202" s="2" t="s">
        <v>3267</v>
      </c>
      <c r="B9202" s="2" t="s">
        <v>1666</v>
      </c>
      <c r="C9202" s="2">
        <v>1473.692</v>
      </c>
      <c r="D9202" s="2">
        <f>HYPERLINK("http://mcb-m6.bioreg.kyushu-u.ac.jp/M3/20110411/F50915/4439/1", 118.09)</f>
        <v>118.09</v>
      </c>
      <c r="E9202" s="2">
        <v>96.23</v>
      </c>
      <c r="F9202" s="2">
        <v>2</v>
      </c>
      <c r="G9202" s="2" t="s">
        <v>9</v>
      </c>
    </row>
    <row r="9203" spans="1:7" x14ac:dyDescent="0.2">
      <c r="A9203" s="2" t="s">
        <v>3267</v>
      </c>
      <c r="B9203" s="2" t="s">
        <v>602</v>
      </c>
      <c r="C9203" s="2">
        <v>742.41669999999999</v>
      </c>
      <c r="D9203" s="2">
        <f>HYPERLINK("http://mcb-m6.bioreg.kyushu-u.ac.jp/M3/20110411/F50915/1906/1", 129.38)</f>
        <v>129.38</v>
      </c>
      <c r="E9203" s="2">
        <v>114.14</v>
      </c>
      <c r="F9203" s="2">
        <v>2</v>
      </c>
      <c r="G9203" s="2" t="s">
        <v>9</v>
      </c>
    </row>
    <row r="9204" spans="1:7" x14ac:dyDescent="0.2">
      <c r="A9204" s="2" t="s">
        <v>3267</v>
      </c>
      <c r="B9204" s="2" t="s">
        <v>97</v>
      </c>
      <c r="C9204" s="2">
        <v>668.89419999999996</v>
      </c>
      <c r="D9204" s="2">
        <f>HYPERLINK("http://mcb-m6.bioreg.kyushu-u.ac.jp/M3/20110411/F50914/1722/1", 35.01)</f>
        <v>35.01</v>
      </c>
      <c r="E9204" s="2">
        <v>20.079999999999998</v>
      </c>
      <c r="F9204" s="2">
        <v>2</v>
      </c>
      <c r="G9204" s="2" t="s">
        <v>10</v>
      </c>
    </row>
    <row r="9205" spans="1:7" x14ac:dyDescent="0.2">
      <c r="A9205" s="2" t="s">
        <v>3267</v>
      </c>
      <c r="B9205" s="2" t="s">
        <v>97</v>
      </c>
      <c r="C9205" s="2">
        <v>669.37519999999995</v>
      </c>
      <c r="D9205" s="2">
        <f>HYPERLINK("http://mcb-m6.bioreg.kyushu-u.ac.jp/M3/20110411/F50917/1551/1", 35.07)</f>
        <v>35.07</v>
      </c>
      <c r="E9205" s="2">
        <v>10.08</v>
      </c>
      <c r="F9205" s="2">
        <v>2</v>
      </c>
      <c r="G9205" s="2" t="s">
        <v>10</v>
      </c>
    </row>
    <row r="9206" spans="1:7" x14ac:dyDescent="0.2">
      <c r="A9206" s="2" t="s">
        <v>3267</v>
      </c>
      <c r="B9206" s="2" t="s">
        <v>491</v>
      </c>
      <c r="C9206" s="2">
        <v>766.53470000000004</v>
      </c>
      <c r="D9206" s="2">
        <f>HYPERLINK("http://mcb-m6.bioreg.kyushu-u.ac.jp/M3/20110411/F50917/2117/1", 36.45)</f>
        <v>36.450000000000003</v>
      </c>
      <c r="E9206" s="2">
        <v>14.84</v>
      </c>
      <c r="F9206" s="2">
        <v>2</v>
      </c>
      <c r="G9206" s="2" t="s">
        <v>10</v>
      </c>
    </row>
    <row r="9207" spans="1:7" x14ac:dyDescent="0.2">
      <c r="A9207" s="2" t="s">
        <v>3267</v>
      </c>
      <c r="B9207" s="2" t="s">
        <v>433</v>
      </c>
      <c r="C9207" s="2">
        <v>819.58759999999995</v>
      </c>
      <c r="D9207" s="2">
        <f>HYPERLINK("http://mcb-m6.bioreg.kyushu-u.ac.jp/M3/20110411/F50917/2429/1", 37.39)</f>
        <v>37.39</v>
      </c>
      <c r="E9207" s="2">
        <v>26.88</v>
      </c>
      <c r="F9207" s="2">
        <v>2</v>
      </c>
      <c r="G9207" s="2" t="s">
        <v>10</v>
      </c>
    </row>
    <row r="9208" spans="1:7" x14ac:dyDescent="0.2">
      <c r="A9208" s="2" t="s">
        <v>3267</v>
      </c>
      <c r="B9208" s="2" t="s">
        <v>568</v>
      </c>
      <c r="C9208" s="2">
        <v>836.46400000000006</v>
      </c>
      <c r="D9208" s="2">
        <f>HYPERLINK("http://mcb-m6.bioreg.kyushu-u.ac.jp/M3/20110411/F50917/572/1", 37.94)</f>
        <v>37.94</v>
      </c>
      <c r="E9208" s="2">
        <v>23.8</v>
      </c>
      <c r="F9208" s="2">
        <v>1</v>
      </c>
      <c r="G9208" s="2" t="s">
        <v>10</v>
      </c>
    </row>
    <row r="9209" spans="1:7" x14ac:dyDescent="0.2">
      <c r="A9209" s="2" t="s">
        <v>3267</v>
      </c>
      <c r="B9209" s="2" t="s">
        <v>602</v>
      </c>
      <c r="C9209" s="2">
        <v>1483.8689999999999</v>
      </c>
      <c r="D9209" s="2">
        <f>HYPERLINK("http://mcb-m6.bioreg.kyushu-u.ac.jp/M3/20110411/F50917/1962/1", 39.6)</f>
        <v>39.6</v>
      </c>
      <c r="E9209" s="2">
        <v>30.59</v>
      </c>
      <c r="F9209" s="2">
        <v>1</v>
      </c>
      <c r="G9209" s="2" t="s">
        <v>10</v>
      </c>
    </row>
    <row r="9210" spans="1:7" x14ac:dyDescent="0.2">
      <c r="A9210" s="2" t="s">
        <v>3267</v>
      </c>
      <c r="B9210" s="2" t="s">
        <v>97</v>
      </c>
      <c r="C9210" s="2">
        <v>668.64070000000004</v>
      </c>
      <c r="D9210" s="2">
        <f>HYPERLINK("http://mcb-m6.bioreg.kyushu-u.ac.jp/M3/20110411/F50900/1851/1", 39.87)</f>
        <v>39.869999999999997</v>
      </c>
      <c r="E9210" s="2">
        <v>19.739999999999998</v>
      </c>
      <c r="F9210" s="2">
        <v>2</v>
      </c>
      <c r="G9210" s="2" t="s">
        <v>10</v>
      </c>
    </row>
    <row r="9211" spans="1:7" x14ac:dyDescent="0.2">
      <c r="A9211" s="2" t="s">
        <v>3267</v>
      </c>
      <c r="B9211" s="2" t="s">
        <v>1666</v>
      </c>
      <c r="C9211" s="2">
        <v>982.92449999999997</v>
      </c>
      <c r="D9211" s="2">
        <f>HYPERLINK("http://mcb-m6.bioreg.kyushu-u.ac.jp/M3/20110411/F50917/4395/1", 40.5)</f>
        <v>40.5</v>
      </c>
      <c r="E9211" s="2">
        <v>27.84</v>
      </c>
      <c r="F9211" s="2">
        <v>3</v>
      </c>
      <c r="G9211" s="2" t="s">
        <v>10</v>
      </c>
    </row>
    <row r="9212" spans="1:7" x14ac:dyDescent="0.2">
      <c r="A9212" s="2" t="s">
        <v>3267</v>
      </c>
      <c r="B9212" s="2" t="s">
        <v>433</v>
      </c>
      <c r="C9212" s="2">
        <v>819.52009999999996</v>
      </c>
      <c r="D9212" s="2">
        <f>HYPERLINK("http://mcb-m6.bioreg.kyushu-u.ac.jp/M3/20110411/F50917/2426/1", 40.83)</f>
        <v>40.83</v>
      </c>
      <c r="E9212" s="2">
        <v>31.26</v>
      </c>
      <c r="F9212" s="2">
        <v>2</v>
      </c>
      <c r="G9212" s="2" t="s">
        <v>10</v>
      </c>
    </row>
    <row r="9213" spans="1:7" x14ac:dyDescent="0.2">
      <c r="A9213" s="2" t="s">
        <v>3267</v>
      </c>
      <c r="B9213" s="2" t="s">
        <v>433</v>
      </c>
      <c r="C9213" s="2">
        <v>819.87459999999999</v>
      </c>
      <c r="D9213" s="2">
        <f>HYPERLINK("http://mcb-m6.bioreg.kyushu-u.ac.jp/M3/20110411/F50902/2432/1", 41.72)</f>
        <v>41.72</v>
      </c>
      <c r="E9213" s="2">
        <v>29.09</v>
      </c>
      <c r="F9213" s="2">
        <v>2</v>
      </c>
      <c r="G9213" s="2" t="s">
        <v>10</v>
      </c>
    </row>
    <row r="9214" spans="1:7" x14ac:dyDescent="0.2">
      <c r="A9214" s="2" t="s">
        <v>3267</v>
      </c>
      <c r="B9214" s="2" t="s">
        <v>1837</v>
      </c>
      <c r="C9214" s="2">
        <v>1204.6079999999999</v>
      </c>
      <c r="D9214" s="2">
        <f>HYPERLINK("http://mcb-m6.bioreg.kyushu-u.ac.jp/M3/20110411/F50917/1264/1", 42.44)</f>
        <v>42.44</v>
      </c>
      <c r="E9214" s="2">
        <v>24.51</v>
      </c>
      <c r="F9214" s="2">
        <v>1</v>
      </c>
      <c r="G9214" s="2" t="s">
        <v>10</v>
      </c>
    </row>
    <row r="9215" spans="1:7" x14ac:dyDescent="0.2">
      <c r="A9215" s="2" t="s">
        <v>3267</v>
      </c>
      <c r="B9215" s="2" t="s">
        <v>97</v>
      </c>
      <c r="C9215" s="2">
        <v>668.7491</v>
      </c>
      <c r="D9215" s="2">
        <f>HYPERLINK("http://mcb-m6.bioreg.kyushu-u.ac.jp/M3/20110411/F50918/1458/1", 44.4)</f>
        <v>44.4</v>
      </c>
      <c r="E9215" s="2">
        <v>26.41</v>
      </c>
      <c r="F9215" s="2">
        <v>2</v>
      </c>
      <c r="G9215" s="2" t="s">
        <v>10</v>
      </c>
    </row>
    <row r="9216" spans="1:7" x14ac:dyDescent="0.2">
      <c r="A9216" s="2" t="s">
        <v>3267</v>
      </c>
      <c r="B9216" s="2" t="s">
        <v>97</v>
      </c>
      <c r="C9216" s="2">
        <v>668.86469999999997</v>
      </c>
      <c r="D9216" s="2">
        <f>HYPERLINK("http://mcb-m6.bioreg.kyushu-u.ac.jp/M3/20110411/F50917/1546/1", 44.78)</f>
        <v>44.78</v>
      </c>
      <c r="E9216" s="2">
        <v>27.47</v>
      </c>
      <c r="F9216" s="2">
        <v>2</v>
      </c>
      <c r="G9216" s="2" t="s">
        <v>10</v>
      </c>
    </row>
    <row r="9217" spans="1:7" x14ac:dyDescent="0.2">
      <c r="A9217" s="2" t="s">
        <v>3267</v>
      </c>
      <c r="B9217" s="2" t="s">
        <v>97</v>
      </c>
      <c r="C9217" s="2">
        <v>669.00570000000005</v>
      </c>
      <c r="D9217" s="2">
        <f>HYPERLINK("http://mcb-m6.bioreg.kyushu-u.ac.jp/M3/20110411/F50913/1650/1", 45.82)</f>
        <v>45.82</v>
      </c>
      <c r="E9217" s="2">
        <v>21.49</v>
      </c>
      <c r="F9217" s="2">
        <v>2</v>
      </c>
      <c r="G9217" s="2" t="s">
        <v>10</v>
      </c>
    </row>
    <row r="9218" spans="1:7" x14ac:dyDescent="0.2">
      <c r="A9218" s="2" t="s">
        <v>3267</v>
      </c>
      <c r="B9218" s="2" t="s">
        <v>491</v>
      </c>
      <c r="C9218" s="2">
        <v>766.98860000000002</v>
      </c>
      <c r="D9218" s="2">
        <f>HYPERLINK("http://mcb-m6.bioreg.kyushu-u.ac.jp/M3/20110411/F50900/2253/1", 46.03)</f>
        <v>46.03</v>
      </c>
      <c r="E9218" s="2">
        <v>24.72</v>
      </c>
      <c r="F9218" s="2">
        <v>2</v>
      </c>
      <c r="G9218" s="2" t="s">
        <v>10</v>
      </c>
    </row>
    <row r="9219" spans="1:7" x14ac:dyDescent="0.2">
      <c r="A9219" s="2" t="s">
        <v>3267</v>
      </c>
      <c r="B9219" s="2" t="s">
        <v>47</v>
      </c>
      <c r="C9219" s="2">
        <v>557.4941</v>
      </c>
      <c r="D9219" s="2">
        <f>HYPERLINK("http://mcb-m6.bioreg.kyushu-u.ac.jp/M3/20110411/F50917/1041/1", 47.06)</f>
        <v>47.06</v>
      </c>
      <c r="E9219" s="2">
        <v>14.75</v>
      </c>
      <c r="F9219" s="2">
        <v>2</v>
      </c>
      <c r="G9219" s="2" t="s">
        <v>10</v>
      </c>
    </row>
    <row r="9220" spans="1:7" x14ac:dyDescent="0.2">
      <c r="A9220" s="2" t="s">
        <v>3267</v>
      </c>
      <c r="B9220" s="2" t="s">
        <v>697</v>
      </c>
      <c r="C9220" s="2">
        <v>732.97310000000004</v>
      </c>
      <c r="D9220" s="2">
        <f>HYPERLINK("http://mcb-m6.bioreg.kyushu-u.ac.jp/M3/20110411/F50917/1900/1", 47.61)</f>
        <v>47.61</v>
      </c>
      <c r="E9220" s="2">
        <v>20.66</v>
      </c>
      <c r="F9220" s="2">
        <v>2</v>
      </c>
      <c r="G9220" s="2" t="s">
        <v>10</v>
      </c>
    </row>
    <row r="9221" spans="1:7" x14ac:dyDescent="0.2">
      <c r="A9221" s="2" t="s">
        <v>3267</v>
      </c>
      <c r="B9221" s="2" t="s">
        <v>97</v>
      </c>
      <c r="C9221" s="2">
        <v>668.98220000000003</v>
      </c>
      <c r="D9221" s="2">
        <f>HYPERLINK("http://mcb-m6.bioreg.kyushu-u.ac.jp/M3/20110411/F50902/1706/1", 48.16)</f>
        <v>48.16</v>
      </c>
      <c r="E9221" s="2">
        <v>30.12</v>
      </c>
      <c r="F9221" s="2">
        <v>2</v>
      </c>
      <c r="G9221" s="2" t="s">
        <v>10</v>
      </c>
    </row>
    <row r="9222" spans="1:7" x14ac:dyDescent="0.2">
      <c r="A9222" s="2" t="s">
        <v>3267</v>
      </c>
      <c r="B9222" s="2" t="s">
        <v>97</v>
      </c>
      <c r="C9222" s="2">
        <v>669.35519999999997</v>
      </c>
      <c r="D9222" s="2">
        <f>HYPERLINK("http://mcb-m6.bioreg.kyushu-u.ac.jp/M3/20110411/F50918/1463/1", 48.28)</f>
        <v>48.28</v>
      </c>
      <c r="E9222" s="2">
        <v>30.53</v>
      </c>
      <c r="F9222" s="2">
        <v>2</v>
      </c>
      <c r="G9222" s="2" t="s">
        <v>10</v>
      </c>
    </row>
    <row r="9223" spans="1:7" x14ac:dyDescent="0.2">
      <c r="A9223" s="2" t="s">
        <v>3267</v>
      </c>
      <c r="B9223" s="2" t="s">
        <v>855</v>
      </c>
      <c r="C9223" s="2">
        <v>996.58199999999999</v>
      </c>
      <c r="D9223" s="2">
        <f>HYPERLINK("http://mcb-m6.bioreg.kyushu-u.ac.jp/M3/20110411/F50917/780/1", 48.4)</f>
        <v>48.4</v>
      </c>
      <c r="E9223" s="2">
        <v>11.47</v>
      </c>
      <c r="F9223" s="2">
        <v>1</v>
      </c>
      <c r="G9223" s="2" t="s">
        <v>10</v>
      </c>
    </row>
    <row r="9224" spans="1:7" x14ac:dyDescent="0.2">
      <c r="A9224" s="2" t="s">
        <v>3267</v>
      </c>
      <c r="B9224" s="2" t="s">
        <v>1923</v>
      </c>
      <c r="C9224" s="2">
        <v>1088.588</v>
      </c>
      <c r="D9224" s="2">
        <f>HYPERLINK("http://mcb-m6.bioreg.kyushu-u.ac.jp/M3/20110411/F50917/987/1", 49.75)</f>
        <v>49.75</v>
      </c>
      <c r="E9224" s="2">
        <v>19.559999999999999</v>
      </c>
      <c r="F9224" s="2">
        <v>1</v>
      </c>
      <c r="G9224" s="2" t="s">
        <v>10</v>
      </c>
    </row>
    <row r="9225" spans="1:7" x14ac:dyDescent="0.2">
      <c r="A9225" s="2" t="s">
        <v>3267</v>
      </c>
      <c r="B9225" s="2" t="s">
        <v>433</v>
      </c>
      <c r="C9225" s="2">
        <v>546.69349999999997</v>
      </c>
      <c r="D9225" s="2">
        <f>HYPERLINK("http://mcb-m6.bioreg.kyushu-u.ac.jp/M3/20110411/F50917/2427/1", 50)</f>
        <v>50</v>
      </c>
      <c r="E9225" s="2">
        <v>27.85</v>
      </c>
      <c r="F9225" s="2">
        <v>3</v>
      </c>
      <c r="G9225" s="2" t="s">
        <v>10</v>
      </c>
    </row>
    <row r="9226" spans="1:7" x14ac:dyDescent="0.2">
      <c r="A9226" s="2" t="s">
        <v>3267</v>
      </c>
      <c r="B9226" s="2" t="s">
        <v>855</v>
      </c>
      <c r="C9226" s="2">
        <v>498.94560000000001</v>
      </c>
      <c r="D9226" s="2">
        <f>HYPERLINK("http://mcb-m6.bioreg.kyushu-u.ac.jp/M3/20110411/F50917/784/1", 50.79)</f>
        <v>50.79</v>
      </c>
      <c r="E9226" s="2">
        <v>9.6300000000000008</v>
      </c>
      <c r="F9226" s="2">
        <v>2</v>
      </c>
      <c r="G9226" s="2" t="s">
        <v>10</v>
      </c>
    </row>
    <row r="9227" spans="1:7" x14ac:dyDescent="0.2">
      <c r="A9227" s="2" t="s">
        <v>3267</v>
      </c>
      <c r="B9227" s="2" t="s">
        <v>491</v>
      </c>
      <c r="C9227" s="2">
        <v>766.79470000000003</v>
      </c>
      <c r="D9227" s="2">
        <f>HYPERLINK("http://mcb-m6.bioreg.kyushu-u.ac.jp/M3/20110411/F50912/2159/1", 51.47)</f>
        <v>51.47</v>
      </c>
      <c r="E9227" s="2">
        <v>29.17</v>
      </c>
      <c r="F9227" s="2">
        <v>2</v>
      </c>
      <c r="G9227" s="2" t="s">
        <v>10</v>
      </c>
    </row>
    <row r="9228" spans="1:7" x14ac:dyDescent="0.2">
      <c r="A9228" s="2" t="s">
        <v>3267</v>
      </c>
      <c r="B9228" s="2" t="s">
        <v>491</v>
      </c>
      <c r="C9228" s="2">
        <v>766.5847</v>
      </c>
      <c r="D9228" s="2">
        <f>HYPERLINK("http://mcb-m6.bioreg.kyushu-u.ac.jp/M3/20110411/F50917/2120/1", 52.91)</f>
        <v>52.91</v>
      </c>
      <c r="E9228" s="2">
        <v>31.19</v>
      </c>
      <c r="F9228" s="2">
        <v>2</v>
      </c>
      <c r="G9228" s="2" t="s">
        <v>10</v>
      </c>
    </row>
    <row r="9229" spans="1:7" x14ac:dyDescent="0.2">
      <c r="A9229" s="2" t="s">
        <v>3267</v>
      </c>
      <c r="B9229" s="2" t="s">
        <v>433</v>
      </c>
      <c r="C9229" s="2">
        <v>819.53769999999997</v>
      </c>
      <c r="D9229" s="2">
        <f>HYPERLINK("http://mcb-m6.bioreg.kyushu-u.ac.jp/M3/20110411/F50917/2428/1", 53.04)</f>
        <v>53.04</v>
      </c>
      <c r="E9229" s="2">
        <v>44.7</v>
      </c>
      <c r="F9229" s="2">
        <v>2</v>
      </c>
      <c r="G9229" s="2" t="s">
        <v>10</v>
      </c>
    </row>
    <row r="9230" spans="1:7" x14ac:dyDescent="0.2">
      <c r="A9230" s="2" t="s">
        <v>3267</v>
      </c>
      <c r="B9230" s="2" t="s">
        <v>433</v>
      </c>
      <c r="C9230" s="2">
        <v>819.51009999999997</v>
      </c>
      <c r="D9230" s="2">
        <f>HYPERLINK("http://mcb-m6.bioreg.kyushu-u.ac.jp/M3/20110411/F50914/2464/1", 53.05)</f>
        <v>53.05</v>
      </c>
      <c r="E9230" s="2">
        <v>42.52</v>
      </c>
      <c r="F9230" s="2">
        <v>2</v>
      </c>
      <c r="G9230" s="2" t="s">
        <v>10</v>
      </c>
    </row>
    <row r="9231" spans="1:7" x14ac:dyDescent="0.2">
      <c r="A9231" s="2" t="s">
        <v>3267</v>
      </c>
      <c r="B9231" s="2" t="s">
        <v>433</v>
      </c>
      <c r="C9231" s="2">
        <v>819.58069999999998</v>
      </c>
      <c r="D9231" s="2">
        <f>HYPERLINK("http://mcb-m6.bioreg.kyushu-u.ac.jp/M3/20110411/F50913/2395/1", 53.54)</f>
        <v>53.54</v>
      </c>
      <c r="E9231" s="2">
        <v>35.520000000000003</v>
      </c>
      <c r="F9231" s="2">
        <v>2</v>
      </c>
      <c r="G9231" s="2" t="s">
        <v>10</v>
      </c>
    </row>
    <row r="9232" spans="1:7" x14ac:dyDescent="0.2">
      <c r="A9232" s="2" t="s">
        <v>3267</v>
      </c>
      <c r="B9232" s="2" t="s">
        <v>697</v>
      </c>
      <c r="C9232" s="2">
        <v>733.06320000000005</v>
      </c>
      <c r="D9232" s="2">
        <f>HYPERLINK("http://mcb-m6.bioreg.kyushu-u.ac.jp/M3/20110411/F50900/2098/1", 53.56)</f>
        <v>53.56</v>
      </c>
      <c r="E9232" s="2">
        <v>26.52</v>
      </c>
      <c r="F9232" s="2">
        <v>2</v>
      </c>
      <c r="G9232" s="2" t="s">
        <v>10</v>
      </c>
    </row>
    <row r="9233" spans="1:7" x14ac:dyDescent="0.2">
      <c r="A9233" s="2" t="s">
        <v>3267</v>
      </c>
      <c r="B9233" s="2" t="s">
        <v>994</v>
      </c>
      <c r="C9233" s="2">
        <v>580.38710000000003</v>
      </c>
      <c r="D9233" s="2">
        <f>HYPERLINK("http://mcb-m6.bioreg.kyushu-u.ac.jp/M3/20110411/F50917/1146/1", 53.6)</f>
        <v>53.6</v>
      </c>
      <c r="E9233" s="2">
        <v>27.76</v>
      </c>
      <c r="F9233" s="2">
        <v>2</v>
      </c>
      <c r="G9233" s="2" t="s">
        <v>10</v>
      </c>
    </row>
    <row r="9234" spans="1:7" x14ac:dyDescent="0.2">
      <c r="A9234" s="2" t="s">
        <v>3267</v>
      </c>
      <c r="B9234" s="2" t="s">
        <v>97</v>
      </c>
      <c r="C9234" s="2">
        <v>1336.8109999999999</v>
      </c>
      <c r="D9234" s="2">
        <f>HYPERLINK("http://mcb-m6.bioreg.kyushu-u.ac.jp/M3/20110411/F50917/1548/1", 54.69)</f>
        <v>54.69</v>
      </c>
      <c r="E9234" s="2">
        <v>26.32</v>
      </c>
      <c r="F9234" s="2">
        <v>1</v>
      </c>
      <c r="G9234" s="2" t="s">
        <v>10</v>
      </c>
    </row>
    <row r="9235" spans="1:7" x14ac:dyDescent="0.2">
      <c r="A9235" s="2" t="s">
        <v>3267</v>
      </c>
      <c r="B9235" s="2" t="s">
        <v>697</v>
      </c>
      <c r="C9235" s="2">
        <v>733.21969999999999</v>
      </c>
      <c r="D9235" s="2">
        <f>HYPERLINK("http://mcb-m6.bioreg.kyushu-u.ac.jp/M3/20110411/F50901/1995/1", 55.52)</f>
        <v>55.52</v>
      </c>
      <c r="E9235" s="2">
        <v>28.04</v>
      </c>
      <c r="F9235" s="2">
        <v>2</v>
      </c>
      <c r="G9235" s="2" t="s">
        <v>10</v>
      </c>
    </row>
    <row r="9236" spans="1:7" x14ac:dyDescent="0.2">
      <c r="A9236" s="2" t="s">
        <v>3267</v>
      </c>
      <c r="B9236" s="2" t="s">
        <v>562</v>
      </c>
      <c r="C9236" s="2">
        <v>964.92489999999998</v>
      </c>
      <c r="D9236" s="2">
        <f>HYPERLINK("http://mcb-m6.bioreg.kyushu-u.ac.jp/M3/20110411/F50917/4357/1", 56.51)</f>
        <v>56.51</v>
      </c>
      <c r="E9236" s="2">
        <v>48.44</v>
      </c>
      <c r="F9236" s="2">
        <v>3</v>
      </c>
      <c r="G9236" s="2" t="s">
        <v>10</v>
      </c>
    </row>
    <row r="9237" spans="1:7" x14ac:dyDescent="0.2">
      <c r="A9237" s="2" t="s">
        <v>3267</v>
      </c>
      <c r="B9237" s="2" t="s">
        <v>97</v>
      </c>
      <c r="C9237" s="2">
        <v>669.04859999999996</v>
      </c>
      <c r="D9237" s="2">
        <f>HYPERLINK("http://mcb-m6.bioreg.kyushu-u.ac.jp/M3/20110411/F50901/1725/1", 56.72)</f>
        <v>56.72</v>
      </c>
      <c r="E9237" s="2">
        <v>30.04</v>
      </c>
      <c r="F9237" s="2">
        <v>2</v>
      </c>
      <c r="G9237" s="2" t="s">
        <v>10</v>
      </c>
    </row>
    <row r="9238" spans="1:7" x14ac:dyDescent="0.2">
      <c r="A9238" s="2" t="s">
        <v>3267</v>
      </c>
      <c r="B9238" s="2" t="s">
        <v>1606</v>
      </c>
      <c r="C9238" s="2">
        <v>575.34820000000002</v>
      </c>
      <c r="D9238" s="2">
        <f>HYPERLINK("http://mcb-m6.bioreg.kyushu-u.ac.jp/M3/20110411/F50917/2684/1", 56.76)</f>
        <v>56.76</v>
      </c>
      <c r="E9238" s="2">
        <v>38.65</v>
      </c>
      <c r="F9238" s="2">
        <v>3</v>
      </c>
      <c r="G9238" s="2" t="s">
        <v>10</v>
      </c>
    </row>
    <row r="9239" spans="1:7" x14ac:dyDescent="0.2">
      <c r="A9239" s="2" t="s">
        <v>3267</v>
      </c>
      <c r="B9239" s="2" t="s">
        <v>491</v>
      </c>
      <c r="C9239" s="2">
        <v>766.91769999999997</v>
      </c>
      <c r="D9239" s="2">
        <f>HYPERLINK("http://mcb-m6.bioreg.kyushu-u.ac.jp/M3/20110411/F50901/2160/1", 58.84)</f>
        <v>58.84</v>
      </c>
      <c r="E9239" s="2">
        <v>35.14</v>
      </c>
      <c r="F9239" s="2">
        <v>2</v>
      </c>
      <c r="G9239" s="2" t="s">
        <v>10</v>
      </c>
    </row>
    <row r="9240" spans="1:7" x14ac:dyDescent="0.2">
      <c r="A9240" s="2" t="s">
        <v>3267</v>
      </c>
      <c r="B9240" s="2" t="s">
        <v>491</v>
      </c>
      <c r="C9240" s="2">
        <v>766.64070000000004</v>
      </c>
      <c r="D9240" s="2">
        <f>HYPERLINK("http://mcb-m6.bioreg.kyushu-u.ac.jp/M3/20110411/F50900/2252/1", 60.58)</f>
        <v>60.58</v>
      </c>
      <c r="E9240" s="2">
        <v>39.72</v>
      </c>
      <c r="F9240" s="2">
        <v>2</v>
      </c>
      <c r="G9240" s="2" t="s">
        <v>10</v>
      </c>
    </row>
    <row r="9241" spans="1:7" x14ac:dyDescent="0.2">
      <c r="A9241" s="2" t="s">
        <v>3267</v>
      </c>
      <c r="B9241" s="2" t="s">
        <v>602</v>
      </c>
      <c r="C9241" s="2">
        <v>742.64419999999996</v>
      </c>
      <c r="D9241" s="2">
        <f>HYPERLINK("http://mcb-m6.bioreg.kyushu-u.ac.jp/M3/20110411/F50921/1850/1", 62.96)</f>
        <v>62.96</v>
      </c>
      <c r="E9241" s="2">
        <v>51.96</v>
      </c>
      <c r="F9241" s="2">
        <v>2</v>
      </c>
      <c r="G9241" s="2" t="s">
        <v>10</v>
      </c>
    </row>
    <row r="9242" spans="1:7" x14ac:dyDescent="0.2">
      <c r="A9242" s="2" t="s">
        <v>3267</v>
      </c>
      <c r="B9242" s="2" t="s">
        <v>491</v>
      </c>
      <c r="C9242" s="2">
        <v>766.60720000000003</v>
      </c>
      <c r="D9242" s="2">
        <f>HYPERLINK("http://mcb-m6.bioreg.kyushu-u.ac.jp/M3/20110411/F50902/2168/1", 63.25)</f>
        <v>63.25</v>
      </c>
      <c r="E9242" s="2">
        <v>40.479999999999997</v>
      </c>
      <c r="F9242" s="2">
        <v>2</v>
      </c>
      <c r="G9242" s="2" t="s">
        <v>10</v>
      </c>
    </row>
    <row r="9243" spans="1:7" x14ac:dyDescent="0.2">
      <c r="A9243" s="2" t="s">
        <v>3267</v>
      </c>
      <c r="B9243" s="2" t="s">
        <v>2026</v>
      </c>
      <c r="C9243" s="2">
        <v>679.48770000000002</v>
      </c>
      <c r="D9243" s="2">
        <f>HYPERLINK("http://mcb-m6.bioreg.kyushu-u.ac.jp/M3/20110411/F50917/1604/1", 63.86)</f>
        <v>63.86</v>
      </c>
      <c r="E9243" s="2">
        <v>36.049999999999997</v>
      </c>
      <c r="F9243" s="2">
        <v>2</v>
      </c>
      <c r="G9243" s="2" t="s">
        <v>10</v>
      </c>
    </row>
    <row r="9244" spans="1:7" x14ac:dyDescent="0.2">
      <c r="A9244" s="2" t="s">
        <v>3267</v>
      </c>
      <c r="B9244" s="2" t="s">
        <v>491</v>
      </c>
      <c r="C9244" s="2">
        <v>766.56370000000004</v>
      </c>
      <c r="D9244" s="2">
        <f>HYPERLINK("http://mcb-m6.bioreg.kyushu-u.ac.jp/M3/20110411/F50917/2118/1", 65.53)</f>
        <v>65.53</v>
      </c>
      <c r="E9244" s="2">
        <v>41.64</v>
      </c>
      <c r="F9244" s="2">
        <v>2</v>
      </c>
      <c r="G9244" s="2" t="s">
        <v>10</v>
      </c>
    </row>
    <row r="9245" spans="1:7" x14ac:dyDescent="0.2">
      <c r="A9245" s="2" t="s">
        <v>3267</v>
      </c>
      <c r="B9245" s="2" t="s">
        <v>1526</v>
      </c>
      <c r="C9245" s="2">
        <v>1238.713</v>
      </c>
      <c r="D9245" s="2">
        <f>HYPERLINK("http://mcb-m6.bioreg.kyushu-u.ac.jp/M3/20110411/F50917/1334/1", 68.12)</f>
        <v>68.12</v>
      </c>
      <c r="E9245" s="2">
        <v>46.4</v>
      </c>
      <c r="F9245" s="2">
        <v>1</v>
      </c>
      <c r="G9245" s="2" t="s">
        <v>10</v>
      </c>
    </row>
    <row r="9246" spans="1:7" x14ac:dyDescent="0.2">
      <c r="A9246" s="2" t="s">
        <v>3267</v>
      </c>
      <c r="B9246" s="2" t="s">
        <v>491</v>
      </c>
      <c r="C9246" s="2">
        <v>766.6327</v>
      </c>
      <c r="D9246" s="2">
        <f>HYPERLINK("http://mcb-m6.bioreg.kyushu-u.ac.jp/M3/20110411/F50913/2149/1", 69.31)</f>
        <v>69.31</v>
      </c>
      <c r="E9246" s="2">
        <v>46.27</v>
      </c>
      <c r="F9246" s="2">
        <v>2</v>
      </c>
      <c r="G9246" s="2" t="s">
        <v>10</v>
      </c>
    </row>
    <row r="9247" spans="1:7" x14ac:dyDescent="0.2">
      <c r="A9247" s="2" t="s">
        <v>3267</v>
      </c>
      <c r="B9247" s="2" t="s">
        <v>491</v>
      </c>
      <c r="C9247" s="2">
        <v>1531.902</v>
      </c>
      <c r="D9247" s="2">
        <f>HYPERLINK("http://mcb-m6.bioreg.kyushu-u.ac.jp/M3/20110411/F50917/2114/1", 71.98)</f>
        <v>71.98</v>
      </c>
      <c r="E9247" s="2">
        <v>55.09</v>
      </c>
      <c r="F9247" s="2">
        <v>1</v>
      </c>
      <c r="G9247" s="2" t="s">
        <v>10</v>
      </c>
    </row>
    <row r="9248" spans="1:7" x14ac:dyDescent="0.2">
      <c r="A9248" s="2" t="s">
        <v>3267</v>
      </c>
      <c r="B9248" s="2" t="s">
        <v>2071</v>
      </c>
      <c r="C9248" s="2">
        <v>1164.46</v>
      </c>
      <c r="D9248" s="2">
        <f>HYPERLINK("http://mcb-m6.bioreg.kyushu-u.ac.jp/M3/20110411/F50917/3859/1", 72.93)</f>
        <v>72.930000000000007</v>
      </c>
      <c r="E9248" s="2">
        <v>64.400000000000006</v>
      </c>
      <c r="F9248" s="2">
        <v>2</v>
      </c>
      <c r="G9248" s="2" t="s">
        <v>10</v>
      </c>
    </row>
    <row r="9249" spans="1:9" x14ac:dyDescent="0.2">
      <c r="A9249" s="2" t="s">
        <v>3267</v>
      </c>
      <c r="B9249" s="2" t="s">
        <v>562</v>
      </c>
      <c r="C9249" s="2">
        <v>1447.1769999999999</v>
      </c>
      <c r="D9249" s="2">
        <f>HYPERLINK("http://mcb-m6.bioreg.kyushu-u.ac.jp/M3/20110411/F50917/4360/1", 73.77)</f>
        <v>73.77</v>
      </c>
      <c r="E9249" s="2">
        <v>65.08</v>
      </c>
      <c r="F9249" s="2">
        <v>2</v>
      </c>
      <c r="G9249" s="2" t="s">
        <v>10</v>
      </c>
    </row>
    <row r="9250" spans="1:9" x14ac:dyDescent="0.2">
      <c r="A9250" s="2" t="s">
        <v>3267</v>
      </c>
      <c r="B9250" s="2" t="s">
        <v>491</v>
      </c>
      <c r="C9250" s="2">
        <v>766.52509999999995</v>
      </c>
      <c r="D9250" s="2">
        <f>HYPERLINK("http://mcb-m6.bioreg.kyushu-u.ac.jp/M3/20110411/F50914/2213/1", 77.35)</f>
        <v>77.349999999999994</v>
      </c>
      <c r="E9250" s="2">
        <v>54.74</v>
      </c>
      <c r="F9250" s="2">
        <v>2</v>
      </c>
      <c r="G9250" s="2" t="s">
        <v>10</v>
      </c>
    </row>
    <row r="9251" spans="1:9" x14ac:dyDescent="0.2">
      <c r="A9251" s="2" t="s">
        <v>3267</v>
      </c>
      <c r="B9251" s="2" t="s">
        <v>1612</v>
      </c>
      <c r="C9251" s="2">
        <v>1004.0410000000001</v>
      </c>
      <c r="D9251" s="2">
        <f>HYPERLINK("http://mcb-m6.bioreg.kyushu-u.ac.jp/M3/20110411/F50917/3359/1", 84.08)</f>
        <v>84.08</v>
      </c>
      <c r="E9251" s="2">
        <v>73.75</v>
      </c>
      <c r="F9251" s="2">
        <v>2</v>
      </c>
      <c r="G9251" s="2" t="s">
        <v>10</v>
      </c>
      <c r="I9251" s="2" t="s">
        <v>4935</v>
      </c>
    </row>
    <row r="9252" spans="1:9" x14ac:dyDescent="0.2">
      <c r="A9252" s="2" t="s">
        <v>3267</v>
      </c>
      <c r="B9252" s="2" t="s">
        <v>1606</v>
      </c>
      <c r="C9252" s="2">
        <v>862.71969999999999</v>
      </c>
      <c r="D9252" s="2">
        <f>HYPERLINK("http://mcb-m6.bioreg.kyushu-u.ac.jp/M3/20110411/F50912/2603/1", 86.85)</f>
        <v>86.85</v>
      </c>
      <c r="E9252" s="2">
        <v>68.180000000000007</v>
      </c>
      <c r="F9252" s="2">
        <v>2</v>
      </c>
      <c r="G9252" s="2" t="s">
        <v>10</v>
      </c>
    </row>
    <row r="9253" spans="1:9" x14ac:dyDescent="0.2">
      <c r="A9253" s="2" t="s">
        <v>3267</v>
      </c>
      <c r="B9253" s="2" t="s">
        <v>1640</v>
      </c>
      <c r="C9253" s="2">
        <v>864.14970000000005</v>
      </c>
      <c r="D9253" s="2">
        <f>HYPERLINK("http://mcb-m6.bioreg.kyushu-u.ac.jp/M3/20110411/F50917/2697/1", 90.49)</f>
        <v>90.49</v>
      </c>
      <c r="E9253" s="2">
        <v>76.239999999999995</v>
      </c>
      <c r="F9253" s="2">
        <v>2</v>
      </c>
      <c r="G9253" s="2" t="s">
        <v>10</v>
      </c>
    </row>
    <row r="9254" spans="1:9" x14ac:dyDescent="0.2">
      <c r="A9254" s="2" t="s">
        <v>3267</v>
      </c>
      <c r="B9254" s="2" t="s">
        <v>1606</v>
      </c>
      <c r="C9254" s="2">
        <v>862.51969999999994</v>
      </c>
      <c r="D9254" s="2">
        <f>HYPERLINK("http://mcb-m6.bioreg.kyushu-u.ac.jp/M3/20110411/F50917/2685/1", 93.03)</f>
        <v>93.03</v>
      </c>
      <c r="E9254" s="2">
        <v>82.61</v>
      </c>
      <c r="F9254" s="2">
        <v>2</v>
      </c>
      <c r="G9254" s="2" t="s">
        <v>10</v>
      </c>
    </row>
    <row r="9255" spans="1:9" x14ac:dyDescent="0.2">
      <c r="A9255" s="2" t="s">
        <v>3267</v>
      </c>
      <c r="B9255" s="2" t="s">
        <v>1612</v>
      </c>
      <c r="C9255" s="2">
        <v>1003.432</v>
      </c>
      <c r="D9255" s="2">
        <f>HYPERLINK("http://mcb-m6.bioreg.kyushu-u.ac.jp/M3/20110411/F50917/3356/1", 98.38)</f>
        <v>98.38</v>
      </c>
      <c r="E9255" s="2">
        <v>87.44</v>
      </c>
      <c r="F9255" s="2">
        <v>2</v>
      </c>
      <c r="G9255" s="2" t="s">
        <v>10</v>
      </c>
      <c r="I9255" s="2" t="s">
        <v>4935</v>
      </c>
    </row>
    <row r="9256" spans="1:9" x14ac:dyDescent="0.2">
      <c r="A9256" s="2" t="s">
        <v>3267</v>
      </c>
      <c r="B9256" s="2" t="s">
        <v>480</v>
      </c>
      <c r="C9256" s="2">
        <v>1034.723</v>
      </c>
      <c r="D9256" s="2">
        <f>HYPERLINK("http://mcb-m6.bioreg.kyushu-u.ac.jp/M3/20110411/F50917/4444/1", 98.58)</f>
        <v>98.58</v>
      </c>
      <c r="E9256" s="2">
        <v>87.9</v>
      </c>
      <c r="F9256" s="2">
        <v>3</v>
      </c>
      <c r="G9256" s="2" t="s">
        <v>10</v>
      </c>
    </row>
    <row r="9257" spans="1:9" x14ac:dyDescent="0.2">
      <c r="A9257" s="2" t="s">
        <v>3267</v>
      </c>
      <c r="B9257" s="2" t="s">
        <v>1606</v>
      </c>
      <c r="C9257" s="2">
        <v>862.49369999999999</v>
      </c>
      <c r="D9257" s="2">
        <f>HYPERLINK("http://mcb-m6.bioreg.kyushu-u.ac.jp/M3/20110411/F50914/2645/1", 98.65)</f>
        <v>98.65</v>
      </c>
      <c r="E9257" s="2">
        <v>87.51</v>
      </c>
      <c r="F9257" s="2">
        <v>2</v>
      </c>
      <c r="G9257" s="2" t="s">
        <v>10</v>
      </c>
    </row>
    <row r="9258" spans="1:9" x14ac:dyDescent="0.2">
      <c r="A9258" s="2" t="s">
        <v>3267</v>
      </c>
      <c r="B9258" s="2" t="s">
        <v>1606</v>
      </c>
      <c r="C9258" s="2">
        <v>862.50869999999998</v>
      </c>
      <c r="D9258" s="2">
        <f>HYPERLINK("http://mcb-m6.bioreg.kyushu-u.ac.jp/M3/20110411/F50918/2457/1", 102.95)</f>
        <v>102.95</v>
      </c>
      <c r="E9258" s="2">
        <v>92.14</v>
      </c>
      <c r="F9258" s="2">
        <v>2</v>
      </c>
      <c r="G9258" s="2" t="s">
        <v>10</v>
      </c>
    </row>
    <row r="9259" spans="1:9" x14ac:dyDescent="0.2">
      <c r="A9259" s="2" t="s">
        <v>3267</v>
      </c>
      <c r="B9259" s="2" t="s">
        <v>602</v>
      </c>
      <c r="C9259" s="2">
        <v>742.47220000000004</v>
      </c>
      <c r="D9259" s="2">
        <f>HYPERLINK("http://mcb-m6.bioreg.kyushu-u.ac.jp/M3/20110411/F50918/1896/1", 106.11)</f>
        <v>106.11</v>
      </c>
      <c r="E9259" s="2">
        <v>88.23</v>
      </c>
      <c r="F9259" s="2">
        <v>2</v>
      </c>
      <c r="G9259" s="2" t="s">
        <v>10</v>
      </c>
    </row>
    <row r="9260" spans="1:9" x14ac:dyDescent="0.2">
      <c r="A9260" s="2" t="s">
        <v>3267</v>
      </c>
      <c r="B9260" s="2" t="s">
        <v>1353</v>
      </c>
      <c r="C9260" s="2">
        <v>825.74109999999996</v>
      </c>
      <c r="D9260" s="2">
        <f>HYPERLINK("http://mcb-m6.bioreg.kyushu-u.ac.jp/M3/20110411/F50917/2460/1", 109.62)</f>
        <v>109.62</v>
      </c>
      <c r="E9260" s="2">
        <v>84.94</v>
      </c>
      <c r="F9260" s="2">
        <v>2</v>
      </c>
      <c r="G9260" s="2" t="s">
        <v>10</v>
      </c>
    </row>
    <row r="9261" spans="1:9" x14ac:dyDescent="0.2">
      <c r="A9261" s="2" t="s">
        <v>3267</v>
      </c>
      <c r="B9261" s="2" t="s">
        <v>602</v>
      </c>
      <c r="C9261" s="2">
        <v>742.44069999999999</v>
      </c>
      <c r="D9261" s="2">
        <f>HYPERLINK("http://mcb-m6.bioreg.kyushu-u.ac.jp/M3/20110411/F50917/1963/1", 116.13)</f>
        <v>116.13</v>
      </c>
      <c r="E9261" s="2">
        <v>102.2</v>
      </c>
      <c r="F9261" s="2">
        <v>2</v>
      </c>
      <c r="G9261" s="2" t="s">
        <v>10</v>
      </c>
    </row>
    <row r="9262" spans="1:9" x14ac:dyDescent="0.2">
      <c r="A9262" s="2" t="s">
        <v>3267</v>
      </c>
      <c r="B9262" s="2" t="s">
        <v>602</v>
      </c>
      <c r="C9262" s="2">
        <v>742.69669999999996</v>
      </c>
      <c r="D9262" s="2">
        <f>HYPERLINK("http://mcb-m6.bioreg.kyushu-u.ac.jp/M3/20110411/F50913/2028/1", 119.14)</f>
        <v>119.14</v>
      </c>
      <c r="E9262" s="2">
        <v>107.62</v>
      </c>
      <c r="F9262" s="2">
        <v>2</v>
      </c>
      <c r="G9262" s="2" t="s">
        <v>10</v>
      </c>
    </row>
    <row r="9263" spans="1:9" x14ac:dyDescent="0.2">
      <c r="A9263" s="2" t="s">
        <v>3267</v>
      </c>
      <c r="B9263" s="2" t="s">
        <v>602</v>
      </c>
      <c r="C9263" s="2">
        <v>742.57619999999997</v>
      </c>
      <c r="D9263" s="2">
        <f>HYPERLINK("http://mcb-m6.bioreg.kyushu-u.ac.jp/M3/20110411/F50902/2056/1", 121.5)</f>
        <v>121.5</v>
      </c>
      <c r="E9263" s="2">
        <v>109.77</v>
      </c>
      <c r="F9263" s="2">
        <v>2</v>
      </c>
      <c r="G9263" s="2" t="s">
        <v>10</v>
      </c>
    </row>
    <row r="9264" spans="1:9" x14ac:dyDescent="0.2">
      <c r="A9264" s="2" t="s">
        <v>3267</v>
      </c>
      <c r="B9264" s="2" t="s">
        <v>602</v>
      </c>
      <c r="C9264" s="2">
        <v>742.64260000000002</v>
      </c>
      <c r="D9264" s="2">
        <f>HYPERLINK("http://mcb-m6.bioreg.kyushu-u.ac.jp/M3/20110411/F50901/2056/1", 123.79)</f>
        <v>123.79</v>
      </c>
      <c r="E9264" s="2">
        <v>107.3</v>
      </c>
      <c r="F9264" s="2">
        <v>2</v>
      </c>
      <c r="G9264" s="2" t="s">
        <v>10</v>
      </c>
    </row>
    <row r="9265" spans="1:7" x14ac:dyDescent="0.2">
      <c r="A9265" s="2" t="s">
        <v>3267</v>
      </c>
      <c r="B9265" s="2" t="s">
        <v>97</v>
      </c>
      <c r="C9265" s="2">
        <v>668.62120000000004</v>
      </c>
      <c r="D9265" s="2">
        <f>HYPERLINK("http://mcb-m6.bioreg.kyushu-u.ac.jp/M3/20110414/F50929/1987/1", 35.29)</f>
        <v>35.29</v>
      </c>
      <c r="E9265" s="2">
        <v>14.03</v>
      </c>
      <c r="F9265" s="2">
        <v>2</v>
      </c>
      <c r="G9265" s="2" t="s">
        <v>11</v>
      </c>
    </row>
    <row r="9266" spans="1:7" x14ac:dyDescent="0.2">
      <c r="A9266" s="2" t="s">
        <v>3267</v>
      </c>
      <c r="B9266" s="2" t="s">
        <v>433</v>
      </c>
      <c r="C9266" s="2">
        <v>819.32209999999998</v>
      </c>
      <c r="D9266" s="2">
        <f>HYPERLINK("http://mcb-m6.bioreg.kyushu-u.ac.jp/M3/20110414/F50956/2490/1", 35.29)</f>
        <v>35.29</v>
      </c>
      <c r="E9266" s="2">
        <v>26.5</v>
      </c>
      <c r="F9266" s="2">
        <v>2</v>
      </c>
      <c r="G9266" s="2" t="s">
        <v>11</v>
      </c>
    </row>
    <row r="9267" spans="1:7" x14ac:dyDescent="0.2">
      <c r="A9267" s="2" t="s">
        <v>3267</v>
      </c>
      <c r="B9267" s="2" t="s">
        <v>491</v>
      </c>
      <c r="C9267" s="2">
        <v>766.87919999999997</v>
      </c>
      <c r="D9267" s="2">
        <f>HYPERLINK("http://mcb-m6.bioreg.kyushu-u.ac.jp/M3/20110414/F50957/2067/1", 36.04)</f>
        <v>36.04</v>
      </c>
      <c r="E9267" s="2">
        <v>24.9</v>
      </c>
      <c r="F9267" s="2">
        <v>2</v>
      </c>
      <c r="G9267" s="2" t="s">
        <v>11</v>
      </c>
    </row>
    <row r="9268" spans="1:7" x14ac:dyDescent="0.2">
      <c r="A9268" s="2" t="s">
        <v>3267</v>
      </c>
      <c r="B9268" s="2" t="s">
        <v>97</v>
      </c>
      <c r="C9268" s="2">
        <v>668.6191</v>
      </c>
      <c r="D9268" s="2">
        <f>HYPERLINK("http://mcb-m6.bioreg.kyushu-u.ac.jp/M3/20110414/F50956/1425/1", 36.26)</f>
        <v>36.26</v>
      </c>
      <c r="E9268" s="2">
        <v>19.55</v>
      </c>
      <c r="F9268" s="2">
        <v>2</v>
      </c>
      <c r="G9268" s="2" t="s">
        <v>11</v>
      </c>
    </row>
    <row r="9269" spans="1:7" x14ac:dyDescent="0.2">
      <c r="A9269" s="2" t="s">
        <v>3267</v>
      </c>
      <c r="B9269" s="2" t="s">
        <v>433</v>
      </c>
      <c r="C9269" s="2">
        <v>819.37220000000002</v>
      </c>
      <c r="D9269" s="2">
        <f>HYPERLINK("http://mcb-m6.bioreg.kyushu-u.ac.jp/M3/20110414/F50957/2405/1", 36.37)</f>
        <v>36.369999999999997</v>
      </c>
      <c r="E9269" s="2">
        <v>24.07</v>
      </c>
      <c r="F9269" s="2">
        <v>2</v>
      </c>
      <c r="G9269" s="2" t="s">
        <v>11</v>
      </c>
    </row>
    <row r="9270" spans="1:7" x14ac:dyDescent="0.2">
      <c r="A9270" s="2" t="s">
        <v>3267</v>
      </c>
      <c r="B9270" s="2" t="s">
        <v>147</v>
      </c>
      <c r="C9270" s="2">
        <v>829.73800000000006</v>
      </c>
      <c r="D9270" s="2">
        <f>HYPERLINK("http://mcb-m6.bioreg.kyushu-u.ac.jp/M3/20110414/F50944/1061/1", 36.76)</f>
        <v>36.76</v>
      </c>
      <c r="E9270" s="2">
        <v>19.350000000000001</v>
      </c>
      <c r="F9270" s="2">
        <v>1</v>
      </c>
      <c r="G9270" s="2" t="s">
        <v>11</v>
      </c>
    </row>
    <row r="9271" spans="1:7" x14ac:dyDescent="0.2">
      <c r="A9271" s="2" t="s">
        <v>3267</v>
      </c>
      <c r="B9271" s="2" t="s">
        <v>433</v>
      </c>
      <c r="C9271" s="2">
        <v>819.78520000000003</v>
      </c>
      <c r="D9271" s="2">
        <f>HYPERLINK("http://mcb-m6.bioreg.kyushu-u.ac.jp/M3/20110414/F50956/2497/1", 37.38)</f>
        <v>37.380000000000003</v>
      </c>
      <c r="E9271" s="2">
        <v>22.44</v>
      </c>
      <c r="F9271" s="2">
        <v>2</v>
      </c>
      <c r="G9271" s="2" t="s">
        <v>11</v>
      </c>
    </row>
    <row r="9272" spans="1:7" x14ac:dyDescent="0.2">
      <c r="A9272" s="2" t="s">
        <v>3267</v>
      </c>
      <c r="B9272" s="2" t="s">
        <v>433</v>
      </c>
      <c r="C9272" s="2">
        <v>819.58010000000002</v>
      </c>
      <c r="D9272" s="2">
        <f>HYPERLINK("http://mcb-m6.bioreg.kyushu-u.ac.jp/M3/20110414/F50942/2368/1", 37.91)</f>
        <v>37.909999999999997</v>
      </c>
      <c r="E9272" s="2">
        <v>27.3</v>
      </c>
      <c r="F9272" s="2">
        <v>2</v>
      </c>
      <c r="G9272" s="2" t="s">
        <v>11</v>
      </c>
    </row>
    <row r="9273" spans="1:7" x14ac:dyDescent="0.2">
      <c r="A9273" s="2" t="s">
        <v>3267</v>
      </c>
      <c r="B9273" s="2" t="s">
        <v>697</v>
      </c>
      <c r="C9273" s="2">
        <v>733.15260000000001</v>
      </c>
      <c r="D9273" s="2">
        <f>HYPERLINK("http://mcb-m6.bioreg.kyushu-u.ac.jp/M3/20110414/F50956/1864/1", 38.78)</f>
        <v>38.78</v>
      </c>
      <c r="E9273" s="2">
        <v>13.11</v>
      </c>
      <c r="F9273" s="2">
        <v>2</v>
      </c>
      <c r="G9273" s="2" t="s">
        <v>11</v>
      </c>
    </row>
    <row r="9274" spans="1:7" x14ac:dyDescent="0.2">
      <c r="A9274" s="2" t="s">
        <v>3267</v>
      </c>
      <c r="B9274" s="2" t="s">
        <v>97</v>
      </c>
      <c r="C9274" s="2">
        <v>1337.07</v>
      </c>
      <c r="D9274" s="2">
        <f>HYPERLINK("http://mcb-m6.bioreg.kyushu-u.ac.jp/M3/20110414/F50956/1428/1", 38.79)</f>
        <v>38.79</v>
      </c>
      <c r="E9274" s="2">
        <v>21.81</v>
      </c>
      <c r="F9274" s="2">
        <v>1</v>
      </c>
      <c r="G9274" s="2" t="s">
        <v>11</v>
      </c>
    </row>
    <row r="9275" spans="1:7" x14ac:dyDescent="0.2">
      <c r="A9275" s="2" t="s">
        <v>3267</v>
      </c>
      <c r="B9275" s="2" t="s">
        <v>697</v>
      </c>
      <c r="C9275" s="2">
        <v>732.64009999999996</v>
      </c>
      <c r="D9275" s="2">
        <f>HYPERLINK("http://mcb-m6.bioreg.kyushu-u.ac.jp/M3/20110414/F50956/1859/1", 39.57)</f>
        <v>39.57</v>
      </c>
      <c r="E9275" s="2">
        <v>14.93</v>
      </c>
      <c r="F9275" s="2">
        <v>2</v>
      </c>
      <c r="G9275" s="2" t="s">
        <v>11</v>
      </c>
    </row>
    <row r="9276" spans="1:7" x14ac:dyDescent="0.2">
      <c r="A9276" s="2" t="s">
        <v>3267</v>
      </c>
      <c r="B9276" s="2" t="s">
        <v>433</v>
      </c>
      <c r="C9276" s="2">
        <v>819.38819999999998</v>
      </c>
      <c r="D9276" s="2">
        <f>HYPERLINK("http://mcb-m6.bioreg.kyushu-u.ac.jp/M3/20110414/F50943/2340/1", 40.3)</f>
        <v>40.299999999999997</v>
      </c>
      <c r="E9276" s="2">
        <v>34.39</v>
      </c>
      <c r="F9276" s="2">
        <v>2</v>
      </c>
      <c r="G9276" s="2" t="s">
        <v>11</v>
      </c>
    </row>
    <row r="9277" spans="1:7" x14ac:dyDescent="0.2">
      <c r="A9277" s="2" t="s">
        <v>3267</v>
      </c>
      <c r="B9277" s="2" t="s">
        <v>97</v>
      </c>
      <c r="C9277" s="2">
        <v>669.36109999999996</v>
      </c>
      <c r="D9277" s="2">
        <f>HYPERLINK("http://mcb-m6.bioreg.kyushu-u.ac.jp/M3/20110414/F50944/1754/1", 40.34)</f>
        <v>40.340000000000003</v>
      </c>
      <c r="E9277" s="2">
        <v>20.059999999999999</v>
      </c>
      <c r="F9277" s="2">
        <v>2</v>
      </c>
      <c r="G9277" s="2" t="s">
        <v>11</v>
      </c>
    </row>
    <row r="9278" spans="1:7" x14ac:dyDescent="0.2">
      <c r="A9278" s="2" t="s">
        <v>3267</v>
      </c>
      <c r="B9278" s="2" t="s">
        <v>47</v>
      </c>
      <c r="C9278" s="2">
        <v>557.27869999999996</v>
      </c>
      <c r="D9278" s="2">
        <f>HYPERLINK("http://mcb-m6.bioreg.kyushu-u.ac.jp/M3/20110414/F50956/873/1", 40.95)</f>
        <v>40.950000000000003</v>
      </c>
      <c r="E9278" s="2">
        <v>11.37</v>
      </c>
      <c r="F9278" s="2">
        <v>2</v>
      </c>
      <c r="G9278" s="2" t="s">
        <v>11</v>
      </c>
    </row>
    <row r="9279" spans="1:7" x14ac:dyDescent="0.2">
      <c r="A9279" s="2" t="s">
        <v>3267</v>
      </c>
      <c r="B9279" s="2" t="s">
        <v>491</v>
      </c>
      <c r="C9279" s="2">
        <v>766.43219999999997</v>
      </c>
      <c r="D9279" s="2">
        <f>HYPERLINK("http://mcb-m6.bioreg.kyushu-u.ac.jp/M3/20110414/F50956/2115/1", 40.96)</f>
        <v>40.96</v>
      </c>
      <c r="E9279" s="2">
        <v>28</v>
      </c>
      <c r="F9279" s="2">
        <v>2</v>
      </c>
      <c r="G9279" s="2" t="s">
        <v>11</v>
      </c>
    </row>
    <row r="9280" spans="1:7" x14ac:dyDescent="0.2">
      <c r="A9280" s="2" t="s">
        <v>3267</v>
      </c>
      <c r="B9280" s="2" t="s">
        <v>491</v>
      </c>
      <c r="C9280" s="2">
        <v>766.96310000000005</v>
      </c>
      <c r="D9280" s="2">
        <f>HYPERLINK("http://mcb-m6.bioreg.kyushu-u.ac.jp/M3/20110414/F50956/2126/1", 41.02)</f>
        <v>41.02</v>
      </c>
      <c r="E9280" s="2">
        <v>24.58</v>
      </c>
      <c r="F9280" s="2">
        <v>2</v>
      </c>
      <c r="G9280" s="2" t="s">
        <v>11</v>
      </c>
    </row>
    <row r="9281" spans="1:7" x14ac:dyDescent="0.2">
      <c r="A9281" s="2" t="s">
        <v>3267</v>
      </c>
      <c r="B9281" s="2" t="s">
        <v>491</v>
      </c>
      <c r="C9281" s="2">
        <v>766.84310000000005</v>
      </c>
      <c r="D9281" s="2">
        <f>HYPERLINK("http://mcb-m6.bioreg.kyushu-u.ac.jp/M3/20110414/F50956/2122/1", 41.51)</f>
        <v>41.51</v>
      </c>
      <c r="E9281" s="2">
        <v>29.38</v>
      </c>
      <c r="F9281" s="2">
        <v>2</v>
      </c>
      <c r="G9281" s="2" t="s">
        <v>11</v>
      </c>
    </row>
    <row r="9282" spans="1:7" x14ac:dyDescent="0.2">
      <c r="A9282" s="2" t="s">
        <v>3267</v>
      </c>
      <c r="B9282" s="2" t="s">
        <v>491</v>
      </c>
      <c r="C9282" s="2">
        <v>766.86019999999996</v>
      </c>
      <c r="D9282" s="2">
        <f>HYPERLINK("http://mcb-m6.bioreg.kyushu-u.ac.jp/M3/20110414/F50941/2253/1", 41.57)</f>
        <v>41.57</v>
      </c>
      <c r="E9282" s="2">
        <v>31.01</v>
      </c>
      <c r="F9282" s="2">
        <v>2</v>
      </c>
      <c r="G9282" s="2" t="s">
        <v>11</v>
      </c>
    </row>
    <row r="9283" spans="1:7" x14ac:dyDescent="0.2">
      <c r="A9283" s="2" t="s">
        <v>3267</v>
      </c>
      <c r="B9283" s="2" t="s">
        <v>491</v>
      </c>
      <c r="C9283" s="2">
        <v>766.40419999999995</v>
      </c>
      <c r="D9283" s="2">
        <f>HYPERLINK("http://mcb-m6.bioreg.kyushu-u.ac.jp/M3/20110414/F50943/2045/1", 41.58)</f>
        <v>41.58</v>
      </c>
      <c r="E9283" s="2">
        <v>28.36</v>
      </c>
      <c r="F9283" s="2">
        <v>2</v>
      </c>
      <c r="G9283" s="2" t="s">
        <v>11</v>
      </c>
    </row>
    <row r="9284" spans="1:7" x14ac:dyDescent="0.2">
      <c r="A9284" s="2" t="s">
        <v>3267</v>
      </c>
      <c r="B9284" s="2" t="s">
        <v>491</v>
      </c>
      <c r="C9284" s="2">
        <v>766.11609999999996</v>
      </c>
      <c r="D9284" s="2">
        <f>HYPERLINK("http://mcb-m6.bioreg.kyushu-u.ac.jp/M3/20110414/F50956/2106/1", 42.27)</f>
        <v>42.27</v>
      </c>
      <c r="E9284" s="2">
        <v>29.66</v>
      </c>
      <c r="F9284" s="2">
        <v>2</v>
      </c>
      <c r="G9284" s="2" t="s">
        <v>11</v>
      </c>
    </row>
    <row r="9285" spans="1:7" x14ac:dyDescent="0.2">
      <c r="A9285" s="2" t="s">
        <v>3267</v>
      </c>
      <c r="B9285" s="2" t="s">
        <v>223</v>
      </c>
      <c r="C9285" s="2">
        <v>782.32759999999996</v>
      </c>
      <c r="D9285" s="2">
        <f>HYPERLINK("http://mcb-m6.bioreg.kyushu-u.ac.jp/M3/20110414/F50942/2169/1", 42.69)</f>
        <v>42.69</v>
      </c>
      <c r="E9285" s="2">
        <v>28.42</v>
      </c>
      <c r="F9285" s="2">
        <v>2</v>
      </c>
      <c r="G9285" s="2" t="s">
        <v>11</v>
      </c>
    </row>
    <row r="9286" spans="1:7" x14ac:dyDescent="0.2">
      <c r="A9286" s="2" t="s">
        <v>3267</v>
      </c>
      <c r="B9286" s="2" t="s">
        <v>491</v>
      </c>
      <c r="C9286" s="2">
        <v>766.44820000000004</v>
      </c>
      <c r="D9286" s="2">
        <f>HYPERLINK("http://mcb-m6.bioreg.kyushu-u.ac.jp/M3/20110414/F50944/2217/1", 43.58)</f>
        <v>43.58</v>
      </c>
      <c r="E9286" s="2">
        <v>31.9</v>
      </c>
      <c r="F9286" s="2">
        <v>2</v>
      </c>
      <c r="G9286" s="2" t="s">
        <v>11</v>
      </c>
    </row>
    <row r="9287" spans="1:7" x14ac:dyDescent="0.2">
      <c r="A9287" s="2" t="s">
        <v>3267</v>
      </c>
      <c r="B9287" s="2" t="s">
        <v>491</v>
      </c>
      <c r="C9287" s="2">
        <v>766.96969999999999</v>
      </c>
      <c r="D9287" s="2">
        <f>HYPERLINK("http://mcb-m6.bioreg.kyushu-u.ac.jp/M3/20110414/F50944/2220/1", 44.01)</f>
        <v>44.01</v>
      </c>
      <c r="E9287" s="2">
        <v>27.06</v>
      </c>
      <c r="F9287" s="2">
        <v>2</v>
      </c>
      <c r="G9287" s="2" t="s">
        <v>11</v>
      </c>
    </row>
    <row r="9288" spans="1:7" x14ac:dyDescent="0.2">
      <c r="A9288" s="2" t="s">
        <v>3267</v>
      </c>
      <c r="B9288" s="2" t="s">
        <v>491</v>
      </c>
      <c r="C9288" s="2">
        <v>766.70209999999997</v>
      </c>
      <c r="D9288" s="2">
        <f>HYPERLINK("http://mcb-m6.bioreg.kyushu-u.ac.jp/M3/20110414/F50956/2119/1", 44.29)</f>
        <v>44.29</v>
      </c>
      <c r="E9288" s="2">
        <v>33.81</v>
      </c>
      <c r="F9288" s="2">
        <v>2</v>
      </c>
      <c r="G9288" s="2" t="s">
        <v>11</v>
      </c>
    </row>
    <row r="9289" spans="1:7" x14ac:dyDescent="0.2">
      <c r="A9289" s="2" t="s">
        <v>3267</v>
      </c>
      <c r="B9289" s="2" t="s">
        <v>697</v>
      </c>
      <c r="C9289" s="2">
        <v>733.32169999999996</v>
      </c>
      <c r="D9289" s="2">
        <f>HYPERLINK("http://mcb-m6.bioreg.kyushu-u.ac.jp/M3/20110414/F50942/1837/1", 45.38)</f>
        <v>45.38</v>
      </c>
      <c r="E9289" s="2">
        <v>23.28</v>
      </c>
      <c r="F9289" s="2">
        <v>2</v>
      </c>
      <c r="G9289" s="2" t="s">
        <v>11</v>
      </c>
    </row>
    <row r="9290" spans="1:7" x14ac:dyDescent="0.2">
      <c r="A9290" s="2" t="s">
        <v>3267</v>
      </c>
      <c r="B9290" s="2" t="s">
        <v>1666</v>
      </c>
      <c r="C9290" s="2">
        <v>982.66049999999996</v>
      </c>
      <c r="D9290" s="2">
        <f>HYPERLINK("http://mcb-m6.bioreg.kyushu-u.ac.jp/M3/20110414/F50956/4923/1", 45.47)</f>
        <v>45.47</v>
      </c>
      <c r="E9290" s="2">
        <v>39.770000000000003</v>
      </c>
      <c r="F9290" s="2">
        <v>3</v>
      </c>
      <c r="G9290" s="2" t="s">
        <v>11</v>
      </c>
    </row>
    <row r="9291" spans="1:7" x14ac:dyDescent="0.2">
      <c r="A9291" s="2" t="s">
        <v>3267</v>
      </c>
      <c r="B9291" s="2" t="s">
        <v>994</v>
      </c>
      <c r="C9291" s="2">
        <v>580.16359999999997</v>
      </c>
      <c r="D9291" s="2">
        <f>HYPERLINK("http://mcb-m6.bioreg.kyushu-u.ac.jp/M3/20110414/F50956/965/1", 45.58)</f>
        <v>45.58</v>
      </c>
      <c r="E9291" s="2">
        <v>26.78</v>
      </c>
      <c r="F9291" s="2">
        <v>2</v>
      </c>
      <c r="G9291" s="2" t="s">
        <v>11</v>
      </c>
    </row>
    <row r="9292" spans="1:7" x14ac:dyDescent="0.2">
      <c r="A9292" s="2" t="s">
        <v>3267</v>
      </c>
      <c r="B9292" s="2" t="s">
        <v>562</v>
      </c>
      <c r="C9292" s="2">
        <v>965.00250000000005</v>
      </c>
      <c r="D9292" s="2">
        <f>HYPERLINK("http://mcb-m6.bioreg.kyushu-u.ac.jp/M3/20110414/F50942/4715/1", 47.06)</f>
        <v>47.06</v>
      </c>
      <c r="E9292" s="2">
        <v>39</v>
      </c>
      <c r="F9292" s="2">
        <v>3</v>
      </c>
      <c r="G9292" s="2" t="s">
        <v>11</v>
      </c>
    </row>
    <row r="9293" spans="1:7" x14ac:dyDescent="0.2">
      <c r="A9293" s="2" t="s">
        <v>3267</v>
      </c>
      <c r="B9293" s="2" t="s">
        <v>97</v>
      </c>
      <c r="C9293" s="2">
        <v>668.86109999999996</v>
      </c>
      <c r="D9293" s="2">
        <f>HYPERLINK("http://mcb-m6.bioreg.kyushu-u.ac.jp/M3/20110414/F50943/1483/1", 47.06)</f>
        <v>47.06</v>
      </c>
      <c r="E9293" s="2">
        <v>20.72</v>
      </c>
      <c r="F9293" s="2">
        <v>2</v>
      </c>
      <c r="G9293" s="2" t="s">
        <v>11</v>
      </c>
    </row>
    <row r="9294" spans="1:7" x14ac:dyDescent="0.2">
      <c r="A9294" s="2" t="s">
        <v>3267</v>
      </c>
      <c r="B9294" s="2" t="s">
        <v>602</v>
      </c>
      <c r="C9294" s="2">
        <v>742.45510000000002</v>
      </c>
      <c r="D9294" s="2">
        <f>HYPERLINK("http://mcb-m6.bioreg.kyushu-u.ac.jp/M3/20110414/F50927/2302/1", 47.2)</f>
        <v>47.2</v>
      </c>
      <c r="E9294" s="2">
        <v>29.54</v>
      </c>
      <c r="F9294" s="2">
        <v>2</v>
      </c>
      <c r="G9294" s="2" t="s">
        <v>11</v>
      </c>
    </row>
    <row r="9295" spans="1:7" x14ac:dyDescent="0.2">
      <c r="A9295" s="2" t="s">
        <v>3267</v>
      </c>
      <c r="B9295" s="2" t="s">
        <v>697</v>
      </c>
      <c r="C9295" s="2">
        <v>733.34169999999995</v>
      </c>
      <c r="D9295" s="2">
        <f>HYPERLINK("http://mcb-m6.bioreg.kyushu-u.ac.jp/M3/20110414/F50929/2263/1", 47.59)</f>
        <v>47.59</v>
      </c>
      <c r="E9295" s="2">
        <v>27.11</v>
      </c>
      <c r="F9295" s="2">
        <v>2</v>
      </c>
      <c r="G9295" s="2" t="s">
        <v>11</v>
      </c>
    </row>
    <row r="9296" spans="1:7" x14ac:dyDescent="0.2">
      <c r="A9296" s="2" t="s">
        <v>3267</v>
      </c>
      <c r="B9296" s="2" t="s">
        <v>433</v>
      </c>
      <c r="C9296" s="2">
        <v>819.87620000000004</v>
      </c>
      <c r="D9296" s="2">
        <f>HYPERLINK("http://mcb-m6.bioreg.kyushu-u.ac.jp/M3/20110414/F50957/2409/1", 47.59)</f>
        <v>47.59</v>
      </c>
      <c r="E9296" s="2">
        <v>39.06</v>
      </c>
      <c r="F9296" s="2">
        <v>2</v>
      </c>
      <c r="G9296" s="2" t="s">
        <v>11</v>
      </c>
    </row>
    <row r="9297" spans="1:7" x14ac:dyDescent="0.2">
      <c r="A9297" s="2" t="s">
        <v>3267</v>
      </c>
      <c r="B9297" s="2" t="s">
        <v>491</v>
      </c>
      <c r="C9297" s="2">
        <v>766.93409999999994</v>
      </c>
      <c r="D9297" s="2">
        <f>HYPERLINK("http://mcb-m6.bioreg.kyushu-u.ac.jp/M3/20110414/F50956/2125/1", 47.97)</f>
        <v>47.97</v>
      </c>
      <c r="E9297" s="2">
        <v>26.98</v>
      </c>
      <c r="F9297" s="2">
        <v>2</v>
      </c>
      <c r="G9297" s="2" t="s">
        <v>11</v>
      </c>
    </row>
    <row r="9298" spans="1:7" x14ac:dyDescent="0.2">
      <c r="A9298" s="2" t="s">
        <v>3267</v>
      </c>
      <c r="B9298" s="2" t="s">
        <v>562</v>
      </c>
      <c r="C9298" s="2">
        <v>965.17759999999998</v>
      </c>
      <c r="D9298" s="2">
        <f>HYPERLINK("http://mcb-m6.bioreg.kyushu-u.ac.jp/M3/20110414/F50956/4877/1", 48.7)</f>
        <v>48.7</v>
      </c>
      <c r="E9298" s="2">
        <v>38.74</v>
      </c>
      <c r="F9298" s="2">
        <v>3</v>
      </c>
      <c r="G9298" s="2" t="s">
        <v>11</v>
      </c>
    </row>
    <row r="9299" spans="1:7" x14ac:dyDescent="0.2">
      <c r="A9299" s="2" t="s">
        <v>3267</v>
      </c>
      <c r="B9299" s="2" t="s">
        <v>697</v>
      </c>
      <c r="C9299" s="2">
        <v>733.40170000000001</v>
      </c>
      <c r="D9299" s="2">
        <f>HYPERLINK("http://mcb-m6.bioreg.kyushu-u.ac.jp/M3/20110414/F50944/2059/1", 48.85)</f>
        <v>48.85</v>
      </c>
      <c r="E9299" s="2">
        <v>23.77</v>
      </c>
      <c r="F9299" s="2">
        <v>2</v>
      </c>
      <c r="G9299" s="2" t="s">
        <v>11</v>
      </c>
    </row>
    <row r="9300" spans="1:7" x14ac:dyDescent="0.2">
      <c r="A9300" s="2" t="s">
        <v>3267</v>
      </c>
      <c r="B9300" s="2" t="s">
        <v>433</v>
      </c>
      <c r="C9300" s="2">
        <v>819.27760000000001</v>
      </c>
      <c r="D9300" s="2">
        <f>HYPERLINK("http://mcb-m6.bioreg.kyushu-u.ac.jp/M3/20110414/F50957/2404/1", 49.19)</f>
        <v>49.19</v>
      </c>
      <c r="E9300" s="2">
        <v>35.35</v>
      </c>
      <c r="F9300" s="2">
        <v>2</v>
      </c>
      <c r="G9300" s="2" t="s">
        <v>11</v>
      </c>
    </row>
    <row r="9301" spans="1:7" x14ac:dyDescent="0.2">
      <c r="A9301" s="2" t="s">
        <v>3267</v>
      </c>
      <c r="B9301" s="2" t="s">
        <v>433</v>
      </c>
      <c r="C9301" s="2">
        <v>819.26120000000003</v>
      </c>
      <c r="D9301" s="2">
        <f>HYPERLINK("http://mcb-m6.bioreg.kyushu-u.ac.jp/M3/20110414/F50956/2488/1", 49.69)</f>
        <v>49.69</v>
      </c>
      <c r="E9301" s="2">
        <v>38.89</v>
      </c>
      <c r="F9301" s="2">
        <v>2</v>
      </c>
      <c r="G9301" s="2" t="s">
        <v>11</v>
      </c>
    </row>
    <row r="9302" spans="1:7" x14ac:dyDescent="0.2">
      <c r="A9302" s="2" t="s">
        <v>3267</v>
      </c>
      <c r="B9302" s="2" t="s">
        <v>1606</v>
      </c>
      <c r="C9302" s="2">
        <v>862.48109999999997</v>
      </c>
      <c r="D9302" s="2">
        <f>HYPERLINK("http://mcb-m6.bioreg.kyushu-u.ac.jp/M3/20110414/F50944/2537/1", 49.79)</f>
        <v>49.79</v>
      </c>
      <c r="E9302" s="2">
        <v>35.869999999999997</v>
      </c>
      <c r="F9302" s="2">
        <v>2</v>
      </c>
      <c r="G9302" s="2" t="s">
        <v>11</v>
      </c>
    </row>
    <row r="9303" spans="1:7" x14ac:dyDescent="0.2">
      <c r="A9303" s="2" t="s">
        <v>3267</v>
      </c>
      <c r="B9303" s="2" t="s">
        <v>697</v>
      </c>
      <c r="C9303" s="2">
        <v>733.28020000000004</v>
      </c>
      <c r="D9303" s="2">
        <f>HYPERLINK("http://mcb-m6.bioreg.kyushu-u.ac.jp/M3/20110414/F50941/2070/1", 52.4)</f>
        <v>52.4</v>
      </c>
      <c r="E9303" s="2">
        <v>32.659999999999997</v>
      </c>
      <c r="F9303" s="2">
        <v>2</v>
      </c>
      <c r="G9303" s="2" t="s">
        <v>11</v>
      </c>
    </row>
    <row r="9304" spans="1:7" x14ac:dyDescent="0.2">
      <c r="A9304" s="2" t="s">
        <v>3267</v>
      </c>
      <c r="B9304" s="2" t="s">
        <v>491</v>
      </c>
      <c r="C9304" s="2">
        <v>766.97360000000003</v>
      </c>
      <c r="D9304" s="2">
        <f>HYPERLINK("http://mcb-m6.bioreg.kyushu-u.ac.jp/M3/20110414/F50944/2221/1", 53.79)</f>
        <v>53.79</v>
      </c>
      <c r="E9304" s="2">
        <v>33.19</v>
      </c>
      <c r="F9304" s="2">
        <v>2</v>
      </c>
      <c r="G9304" s="2" t="s">
        <v>11</v>
      </c>
    </row>
    <row r="9305" spans="1:7" x14ac:dyDescent="0.2">
      <c r="A9305" s="2" t="s">
        <v>3267</v>
      </c>
      <c r="B9305" s="2" t="s">
        <v>491</v>
      </c>
      <c r="C9305" s="2">
        <v>766.34770000000003</v>
      </c>
      <c r="D9305" s="2">
        <f>HYPERLINK("http://mcb-m6.bioreg.kyushu-u.ac.jp/M3/20110414/F50941/2251/1", 53.89)</f>
        <v>53.89</v>
      </c>
      <c r="E9305" s="2">
        <v>40.700000000000003</v>
      </c>
      <c r="F9305" s="2">
        <v>2</v>
      </c>
      <c r="G9305" s="2" t="s">
        <v>11</v>
      </c>
    </row>
    <row r="9306" spans="1:7" x14ac:dyDescent="0.2">
      <c r="A9306" s="2" t="s">
        <v>3267</v>
      </c>
      <c r="B9306" s="2" t="s">
        <v>491</v>
      </c>
      <c r="C9306" s="2">
        <v>766.78269999999998</v>
      </c>
      <c r="D9306" s="2">
        <f>HYPERLINK("http://mcb-m6.bioreg.kyushu-u.ac.jp/M3/20110414/F50956/2121/1", 53.91)</f>
        <v>53.91</v>
      </c>
      <c r="E9306" s="2">
        <v>39.5</v>
      </c>
      <c r="F9306" s="2">
        <v>2</v>
      </c>
      <c r="G9306" s="2" t="s">
        <v>11</v>
      </c>
    </row>
    <row r="9307" spans="1:7" x14ac:dyDescent="0.2">
      <c r="A9307" s="2" t="s">
        <v>3267</v>
      </c>
      <c r="B9307" s="2" t="s">
        <v>433</v>
      </c>
      <c r="C9307" s="2">
        <v>819.39120000000003</v>
      </c>
      <c r="D9307" s="2">
        <f>HYPERLINK("http://mcb-m6.bioreg.kyushu-u.ac.jp/M3/20110414/F50942/2366/1", 56.18)</f>
        <v>56.18</v>
      </c>
      <c r="E9307" s="2">
        <v>45.03</v>
      </c>
      <c r="F9307" s="2">
        <v>2</v>
      </c>
      <c r="G9307" s="2" t="s">
        <v>11</v>
      </c>
    </row>
    <row r="9308" spans="1:7" x14ac:dyDescent="0.2">
      <c r="A9308" s="2" t="s">
        <v>3267</v>
      </c>
      <c r="B9308" s="2" t="s">
        <v>433</v>
      </c>
      <c r="C9308" s="2">
        <v>819.52260000000001</v>
      </c>
      <c r="D9308" s="2">
        <f>HYPERLINK("http://mcb-m6.bioreg.kyushu-u.ac.jp/M3/20110414/F50956/2492/1", 56.56)</f>
        <v>56.56</v>
      </c>
      <c r="E9308" s="2">
        <v>43.45</v>
      </c>
      <c r="F9308" s="2">
        <v>2</v>
      </c>
      <c r="G9308" s="2" t="s">
        <v>11</v>
      </c>
    </row>
    <row r="9309" spans="1:7" x14ac:dyDescent="0.2">
      <c r="A9309" s="2" t="s">
        <v>3267</v>
      </c>
      <c r="B9309" s="2" t="s">
        <v>433</v>
      </c>
      <c r="C9309" s="2">
        <v>819.72019999999998</v>
      </c>
      <c r="D9309" s="2">
        <f>HYPERLINK("http://mcb-m6.bioreg.kyushu-u.ac.jp/M3/20110414/F50943/2343/1", 58.32)</f>
        <v>58.32</v>
      </c>
      <c r="E9309" s="2">
        <v>46.21</v>
      </c>
      <c r="F9309" s="2">
        <v>2</v>
      </c>
      <c r="G9309" s="2" t="s">
        <v>11</v>
      </c>
    </row>
    <row r="9310" spans="1:7" x14ac:dyDescent="0.2">
      <c r="A9310" s="2" t="s">
        <v>3267</v>
      </c>
      <c r="B9310" s="2" t="s">
        <v>697</v>
      </c>
      <c r="C9310" s="2">
        <v>732.71469999999999</v>
      </c>
      <c r="D9310" s="2">
        <f>HYPERLINK("http://mcb-m6.bioreg.kyushu-u.ac.jp/M3/20110414/F50944/2055/1", 59.88)</f>
        <v>59.88</v>
      </c>
      <c r="E9310" s="2">
        <v>36.950000000000003</v>
      </c>
      <c r="F9310" s="2">
        <v>2</v>
      </c>
      <c r="G9310" s="2" t="s">
        <v>11</v>
      </c>
    </row>
    <row r="9311" spans="1:7" x14ac:dyDescent="0.2">
      <c r="A9311" s="2" t="s">
        <v>3267</v>
      </c>
      <c r="B9311" s="2" t="s">
        <v>2071</v>
      </c>
      <c r="C9311" s="2">
        <v>776.72619999999995</v>
      </c>
      <c r="D9311" s="2">
        <f>HYPERLINK("http://mcb-m6.bioreg.kyushu-u.ac.jp/M3/20110414/F50956/4232/1", 60.09)</f>
        <v>60.09</v>
      </c>
      <c r="E9311" s="2">
        <v>48.35</v>
      </c>
      <c r="F9311" s="2">
        <v>3</v>
      </c>
      <c r="G9311" s="2" t="s">
        <v>11</v>
      </c>
    </row>
    <row r="9312" spans="1:7" x14ac:dyDescent="0.2">
      <c r="A9312" s="2" t="s">
        <v>3267</v>
      </c>
      <c r="B9312" s="2" t="s">
        <v>491</v>
      </c>
      <c r="C9312" s="2">
        <v>766.19709999999998</v>
      </c>
      <c r="D9312" s="2">
        <f>HYPERLINK("http://mcb-m6.bioreg.kyushu-u.ac.jp/M3/20110414/F50956/2108/1", 60.33)</f>
        <v>60.33</v>
      </c>
      <c r="E9312" s="2">
        <v>39.94</v>
      </c>
      <c r="F9312" s="2">
        <v>2</v>
      </c>
      <c r="G9312" s="2" t="s">
        <v>11</v>
      </c>
    </row>
    <row r="9313" spans="1:9" x14ac:dyDescent="0.2">
      <c r="A9313" s="2" t="s">
        <v>3267</v>
      </c>
      <c r="B9313" s="2" t="s">
        <v>491</v>
      </c>
      <c r="C9313" s="2">
        <v>766.23860000000002</v>
      </c>
      <c r="D9313" s="2">
        <f>HYPERLINK("http://mcb-m6.bioreg.kyushu-u.ac.jp/M3/20110414/F50956/2111/1", 61.13)</f>
        <v>61.13</v>
      </c>
      <c r="E9313" s="2">
        <v>45.96</v>
      </c>
      <c r="F9313" s="2">
        <v>2</v>
      </c>
      <c r="G9313" s="2" t="s">
        <v>11</v>
      </c>
    </row>
    <row r="9314" spans="1:9" x14ac:dyDescent="0.2">
      <c r="A9314" s="2" t="s">
        <v>3267</v>
      </c>
      <c r="B9314" s="2" t="s">
        <v>562</v>
      </c>
      <c r="C9314" s="2">
        <v>964.83950000000004</v>
      </c>
      <c r="D9314" s="2">
        <f>HYPERLINK("http://mcb-m6.bioreg.kyushu-u.ac.jp/M3/20110414/F50957/4770/1", 62.04)</f>
        <v>62.04</v>
      </c>
      <c r="E9314" s="2">
        <v>53.33</v>
      </c>
      <c r="F9314" s="2">
        <v>3</v>
      </c>
      <c r="G9314" s="2" t="s">
        <v>11</v>
      </c>
    </row>
    <row r="9315" spans="1:9" x14ac:dyDescent="0.2">
      <c r="A9315" s="2" t="s">
        <v>3267</v>
      </c>
      <c r="B9315" s="2" t="s">
        <v>491</v>
      </c>
      <c r="C9315" s="2">
        <v>766.8741</v>
      </c>
      <c r="D9315" s="2">
        <f>HYPERLINK("http://mcb-m6.bioreg.kyushu-u.ac.jp/M3/20110414/F50941/2254/1", 64.12)</f>
        <v>64.12</v>
      </c>
      <c r="E9315" s="2">
        <v>50.23</v>
      </c>
      <c r="F9315" s="2">
        <v>2</v>
      </c>
      <c r="G9315" s="2" t="s">
        <v>11</v>
      </c>
    </row>
    <row r="9316" spans="1:9" x14ac:dyDescent="0.2">
      <c r="A9316" s="2" t="s">
        <v>3267</v>
      </c>
      <c r="B9316" s="2" t="s">
        <v>491</v>
      </c>
      <c r="C9316" s="2">
        <v>766.74519999999995</v>
      </c>
      <c r="D9316" s="2">
        <f>HYPERLINK("http://mcb-m6.bioreg.kyushu-u.ac.jp/M3/20110414/F50956/2120/1", 64.93)</f>
        <v>64.930000000000007</v>
      </c>
      <c r="E9316" s="2">
        <v>47.92</v>
      </c>
      <c r="F9316" s="2">
        <v>2</v>
      </c>
      <c r="G9316" s="2" t="s">
        <v>11</v>
      </c>
    </row>
    <row r="9317" spans="1:9" x14ac:dyDescent="0.2">
      <c r="A9317" s="2" t="s">
        <v>3267</v>
      </c>
      <c r="B9317" s="2" t="s">
        <v>491</v>
      </c>
      <c r="C9317" s="2">
        <v>766.38319999999999</v>
      </c>
      <c r="D9317" s="2">
        <f>HYPERLINK("http://mcb-m6.bioreg.kyushu-u.ac.jp/M3/20110414/F50957/2063/1", 65.63)</f>
        <v>65.63</v>
      </c>
      <c r="E9317" s="2">
        <v>51.41</v>
      </c>
      <c r="F9317" s="2">
        <v>2</v>
      </c>
      <c r="G9317" s="2" t="s">
        <v>11</v>
      </c>
    </row>
    <row r="9318" spans="1:9" x14ac:dyDescent="0.2">
      <c r="A9318" s="2" t="s">
        <v>3267</v>
      </c>
      <c r="B9318" s="2" t="s">
        <v>491</v>
      </c>
      <c r="C9318" s="2">
        <v>766.4941</v>
      </c>
      <c r="D9318" s="2">
        <f>HYPERLINK("http://mcb-m6.bioreg.kyushu-u.ac.jp/M3/20110414/F50944/2218/1", 68.18)</f>
        <v>68.180000000000007</v>
      </c>
      <c r="E9318" s="2">
        <v>45.47</v>
      </c>
      <c r="F9318" s="2">
        <v>2</v>
      </c>
      <c r="G9318" s="2" t="s">
        <v>11</v>
      </c>
    </row>
    <row r="9319" spans="1:9" x14ac:dyDescent="0.2">
      <c r="A9319" s="2" t="s">
        <v>3267</v>
      </c>
      <c r="B9319" s="2" t="s">
        <v>491</v>
      </c>
      <c r="C9319" s="2">
        <v>766.4067</v>
      </c>
      <c r="D9319" s="2">
        <f>HYPERLINK("http://mcb-m6.bioreg.kyushu-u.ac.jp/M3/20110414/F50945/2206/1", 68.35)</f>
        <v>68.349999999999994</v>
      </c>
      <c r="E9319" s="2">
        <v>47.35</v>
      </c>
      <c r="F9319" s="2">
        <v>2</v>
      </c>
      <c r="G9319" s="2" t="s">
        <v>11</v>
      </c>
    </row>
    <row r="9320" spans="1:9" x14ac:dyDescent="0.2">
      <c r="A9320" s="2" t="s">
        <v>3267</v>
      </c>
      <c r="B9320" s="2" t="s">
        <v>491</v>
      </c>
      <c r="C9320" s="2">
        <v>1531.5409999999999</v>
      </c>
      <c r="D9320" s="2">
        <f>HYPERLINK("http://mcb-m6.bioreg.kyushu-u.ac.jp/M3/20110414/F50956/2112/1", 68.53)</f>
        <v>68.53</v>
      </c>
      <c r="E9320" s="2">
        <v>51.43</v>
      </c>
      <c r="F9320" s="2">
        <v>1</v>
      </c>
      <c r="G9320" s="2" t="s">
        <v>11</v>
      </c>
    </row>
    <row r="9321" spans="1:9" x14ac:dyDescent="0.2">
      <c r="A9321" s="2" t="s">
        <v>3267</v>
      </c>
      <c r="B9321" s="2" t="s">
        <v>491</v>
      </c>
      <c r="C9321" s="2">
        <v>766.63459999999998</v>
      </c>
      <c r="D9321" s="2">
        <f>HYPERLINK("http://mcb-m6.bioreg.kyushu-u.ac.jp/M3/20110414/F50962/2038/1", 69.8)</f>
        <v>69.8</v>
      </c>
      <c r="E9321" s="2">
        <v>54.54</v>
      </c>
      <c r="F9321" s="2">
        <v>2</v>
      </c>
      <c r="G9321" s="2" t="s">
        <v>11</v>
      </c>
    </row>
    <row r="9322" spans="1:9" x14ac:dyDescent="0.2">
      <c r="A9322" s="2" t="s">
        <v>3267</v>
      </c>
      <c r="B9322" s="2" t="s">
        <v>491</v>
      </c>
      <c r="C9322" s="2">
        <v>766.46119999999996</v>
      </c>
      <c r="D9322" s="2">
        <f>HYPERLINK("http://mcb-m6.bioreg.kyushu-u.ac.jp/M3/20110414/F50942/2070/1", 72.59)</f>
        <v>72.59</v>
      </c>
      <c r="E9322" s="2">
        <v>56.9</v>
      </c>
      <c r="F9322" s="2">
        <v>2</v>
      </c>
      <c r="G9322" s="2" t="s">
        <v>11</v>
      </c>
    </row>
    <row r="9323" spans="1:9" x14ac:dyDescent="0.2">
      <c r="A9323" s="2" t="s">
        <v>3267</v>
      </c>
      <c r="B9323" s="2" t="s">
        <v>1353</v>
      </c>
      <c r="C9323" s="2">
        <v>825.11069999999995</v>
      </c>
      <c r="D9323" s="2">
        <f>HYPERLINK("http://mcb-m6.bioreg.kyushu-u.ac.jp/M3/20110414/F50945/2482/1", 74.31)</f>
        <v>74.31</v>
      </c>
      <c r="E9323" s="2">
        <v>64.25</v>
      </c>
      <c r="F9323" s="2">
        <v>2</v>
      </c>
      <c r="G9323" s="2" t="s">
        <v>11</v>
      </c>
    </row>
    <row r="9324" spans="1:9" x14ac:dyDescent="0.2">
      <c r="A9324" s="2" t="s">
        <v>3267</v>
      </c>
      <c r="B9324" s="2" t="s">
        <v>602</v>
      </c>
      <c r="C9324" s="2">
        <v>742.64869999999996</v>
      </c>
      <c r="D9324" s="2">
        <f>HYPERLINK("http://mcb-m6.bioreg.kyushu-u.ac.jp/M3/20110414/F50956/1946/1", 74.94)</f>
        <v>74.94</v>
      </c>
      <c r="E9324" s="2">
        <v>63.55</v>
      </c>
      <c r="F9324" s="2">
        <v>2</v>
      </c>
      <c r="G9324" s="2" t="s">
        <v>11</v>
      </c>
    </row>
    <row r="9325" spans="1:9" x14ac:dyDescent="0.2">
      <c r="A9325" s="2" t="s">
        <v>3267</v>
      </c>
      <c r="B9325" s="2" t="s">
        <v>602</v>
      </c>
      <c r="C9325" s="2">
        <v>742.06960000000004</v>
      </c>
      <c r="D9325" s="2">
        <f>HYPERLINK("http://mcb-m6.bioreg.kyushu-u.ac.jp/M3/20110414/F50957/1916/1", 77.02)</f>
        <v>77.02</v>
      </c>
      <c r="E9325" s="2">
        <v>62.81</v>
      </c>
      <c r="F9325" s="2">
        <v>2</v>
      </c>
      <c r="G9325" s="2" t="s">
        <v>11</v>
      </c>
    </row>
    <row r="9326" spans="1:9" x14ac:dyDescent="0.2">
      <c r="A9326" s="2" t="s">
        <v>3267</v>
      </c>
      <c r="B9326" s="2" t="s">
        <v>562</v>
      </c>
      <c r="C9326" s="2">
        <v>964.64589999999998</v>
      </c>
      <c r="D9326" s="2">
        <f>HYPERLINK("http://mcb-m6.bioreg.kyushu-u.ac.jp/M3/20110414/F50956/4872/1", 81.62)</f>
        <v>81.62</v>
      </c>
      <c r="E9326" s="2">
        <v>68.569999999999993</v>
      </c>
      <c r="F9326" s="2">
        <v>3</v>
      </c>
      <c r="G9326" s="2" t="s">
        <v>11</v>
      </c>
    </row>
    <row r="9327" spans="1:9" x14ac:dyDescent="0.2">
      <c r="A9327" s="2" t="s">
        <v>3267</v>
      </c>
      <c r="B9327" s="2" t="s">
        <v>1623</v>
      </c>
      <c r="C9327" s="2">
        <v>796.1422</v>
      </c>
      <c r="D9327" s="2">
        <f>HYPERLINK("http://mcb-m6.bioreg.kyushu-u.ac.jp/M3/20110414/F50956/2338/1", 84.32)</f>
        <v>84.32</v>
      </c>
      <c r="E9327" s="2">
        <v>59.48</v>
      </c>
      <c r="F9327" s="2">
        <v>2</v>
      </c>
      <c r="G9327" s="2" t="s">
        <v>11</v>
      </c>
      <c r="I9327" s="2" t="s">
        <v>4909</v>
      </c>
    </row>
    <row r="9328" spans="1:9" x14ac:dyDescent="0.2">
      <c r="A9328" s="2" t="s">
        <v>3267</v>
      </c>
      <c r="B9328" s="2" t="s">
        <v>2071</v>
      </c>
      <c r="C9328" s="2">
        <v>1163.998</v>
      </c>
      <c r="D9328" s="2">
        <f>HYPERLINK("http://mcb-m6.bioreg.kyushu-u.ac.jp/M3/20110414/F50956/4230/1", 86.72)</f>
        <v>86.72</v>
      </c>
      <c r="E9328" s="2">
        <v>77.53</v>
      </c>
      <c r="F9328" s="2">
        <v>2</v>
      </c>
      <c r="G9328" s="2" t="s">
        <v>11</v>
      </c>
    </row>
    <row r="9329" spans="1:9" x14ac:dyDescent="0.2">
      <c r="A9329" s="2" t="s">
        <v>3267</v>
      </c>
      <c r="B9329" s="2" t="s">
        <v>480</v>
      </c>
      <c r="C9329" s="2">
        <v>1034.796</v>
      </c>
      <c r="D9329" s="2">
        <f>HYPERLINK("http://mcb-m6.bioreg.kyushu-u.ac.jp/M3/20110414/F50956/5007/1", 90.68)</f>
        <v>90.68</v>
      </c>
      <c r="E9329" s="2">
        <v>75.81</v>
      </c>
      <c r="F9329" s="2">
        <v>3</v>
      </c>
      <c r="G9329" s="2" t="s">
        <v>11</v>
      </c>
    </row>
    <row r="9330" spans="1:9" x14ac:dyDescent="0.2">
      <c r="A9330" s="2" t="s">
        <v>3267</v>
      </c>
      <c r="B9330" s="2" t="s">
        <v>1606</v>
      </c>
      <c r="C9330" s="2">
        <v>862.48910000000001</v>
      </c>
      <c r="D9330" s="2">
        <f>HYPERLINK("http://mcb-m6.bioreg.kyushu-u.ac.jp/M3/20110414/F50956/2789/1", 91.41)</f>
        <v>91.41</v>
      </c>
      <c r="E9330" s="2">
        <v>77.5</v>
      </c>
      <c r="F9330" s="2">
        <v>2</v>
      </c>
      <c r="G9330" s="2" t="s">
        <v>11</v>
      </c>
    </row>
    <row r="9331" spans="1:9" x14ac:dyDescent="0.2">
      <c r="A9331" s="2" t="s">
        <v>3267</v>
      </c>
      <c r="B9331" s="2" t="s">
        <v>602</v>
      </c>
      <c r="C9331" s="2">
        <v>742.26369999999997</v>
      </c>
      <c r="D9331" s="2">
        <f>HYPERLINK("http://mcb-m6.bioreg.kyushu-u.ac.jp/M3/20110414/F50962/1929/1", 91.87)</f>
        <v>91.87</v>
      </c>
      <c r="E9331" s="2">
        <v>77.08</v>
      </c>
      <c r="F9331" s="2">
        <v>2</v>
      </c>
      <c r="G9331" s="2" t="s">
        <v>11</v>
      </c>
    </row>
    <row r="9332" spans="1:9" x14ac:dyDescent="0.2">
      <c r="A9332" s="2" t="s">
        <v>3267</v>
      </c>
      <c r="B9332" s="2" t="s">
        <v>2506</v>
      </c>
      <c r="C9332" s="2">
        <v>1045.557</v>
      </c>
      <c r="D9332" s="2">
        <f>HYPERLINK("http://mcb-m6.bioreg.kyushu-u.ac.jp/M3/20110414/F50957/3708/1", 94.02)</f>
        <v>94.02</v>
      </c>
      <c r="E9332" s="2">
        <v>83.77</v>
      </c>
      <c r="F9332" s="2">
        <v>2</v>
      </c>
      <c r="G9332" s="2" t="s">
        <v>11</v>
      </c>
      <c r="I9332" s="2" t="s">
        <v>4966</v>
      </c>
    </row>
    <row r="9333" spans="1:9" x14ac:dyDescent="0.2">
      <c r="A9333" s="2" t="s">
        <v>3267</v>
      </c>
      <c r="B9333" s="2" t="s">
        <v>1353</v>
      </c>
      <c r="C9333" s="2">
        <v>825.29420000000005</v>
      </c>
      <c r="D9333" s="2">
        <f>HYPERLINK("http://mcb-m6.bioreg.kyushu-u.ac.jp/M3/20110414/F50962/2259/1", 94.92)</f>
        <v>94.92</v>
      </c>
      <c r="E9333" s="2">
        <v>65.38</v>
      </c>
      <c r="F9333" s="2">
        <v>2</v>
      </c>
      <c r="G9333" s="2" t="s">
        <v>11</v>
      </c>
    </row>
    <row r="9334" spans="1:9" x14ac:dyDescent="0.2">
      <c r="A9334" s="2" t="s">
        <v>3267</v>
      </c>
      <c r="B9334" s="2" t="s">
        <v>602</v>
      </c>
      <c r="C9334" s="2">
        <v>742.44119999999998</v>
      </c>
      <c r="D9334" s="2">
        <f>HYPERLINK("http://mcb-m6.bioreg.kyushu-u.ac.jp/M3/20110414/F50941/2131/1", 95.5)</f>
        <v>95.5</v>
      </c>
      <c r="E9334" s="2">
        <v>79.849999999999994</v>
      </c>
      <c r="F9334" s="2">
        <v>2</v>
      </c>
      <c r="G9334" s="2" t="s">
        <v>11</v>
      </c>
    </row>
    <row r="9335" spans="1:9" x14ac:dyDescent="0.2">
      <c r="A9335" s="2" t="s">
        <v>3267</v>
      </c>
      <c r="B9335" s="2" t="s">
        <v>1612</v>
      </c>
      <c r="C9335" s="2">
        <v>1003.4829999999999</v>
      </c>
      <c r="D9335" s="2">
        <f>HYPERLINK("http://mcb-m6.bioreg.kyushu-u.ac.jp/M3/20110414/F50943/3206/1", 95.77)</f>
        <v>95.77</v>
      </c>
      <c r="E9335" s="2">
        <v>87.99</v>
      </c>
      <c r="F9335" s="2">
        <v>2</v>
      </c>
      <c r="G9335" s="2" t="s">
        <v>11</v>
      </c>
      <c r="I9335" s="2" t="s">
        <v>4935</v>
      </c>
    </row>
    <row r="9336" spans="1:9" x14ac:dyDescent="0.2">
      <c r="A9336" s="2" t="s">
        <v>3267</v>
      </c>
      <c r="B9336" s="2" t="s">
        <v>1623</v>
      </c>
      <c r="C9336" s="2">
        <v>796.67409999999995</v>
      </c>
      <c r="D9336" s="2">
        <f>HYPERLINK("http://mcb-m6.bioreg.kyushu-u.ac.jp/M3/20110414/F50956/2339/1", 97.49)</f>
        <v>97.49</v>
      </c>
      <c r="E9336" s="2">
        <v>79.150000000000006</v>
      </c>
      <c r="F9336" s="2">
        <v>2</v>
      </c>
      <c r="G9336" s="2" t="s">
        <v>11</v>
      </c>
      <c r="I9336" s="2" t="s">
        <v>4909</v>
      </c>
    </row>
    <row r="9337" spans="1:9" x14ac:dyDescent="0.2">
      <c r="A9337" s="2" t="s">
        <v>3267</v>
      </c>
      <c r="B9337" s="2" t="s">
        <v>480</v>
      </c>
      <c r="C9337" s="2">
        <v>1035.047</v>
      </c>
      <c r="D9337" s="2">
        <f>HYPERLINK("http://mcb-m6.bioreg.kyushu-u.ac.jp/M3/20110414/F50957/4898/1", 100.78)</f>
        <v>100.78</v>
      </c>
      <c r="E9337" s="2">
        <v>92.86</v>
      </c>
      <c r="F9337" s="2">
        <v>3</v>
      </c>
      <c r="G9337" s="2" t="s">
        <v>11</v>
      </c>
    </row>
    <row r="9338" spans="1:9" x14ac:dyDescent="0.2">
      <c r="A9338" s="2" t="s">
        <v>3267</v>
      </c>
      <c r="B9338" s="2" t="s">
        <v>1606</v>
      </c>
      <c r="C9338" s="2">
        <v>862.17660000000001</v>
      </c>
      <c r="D9338" s="2">
        <f>HYPERLINK("http://mcb-m6.bioreg.kyushu-u.ac.jp/M3/20110414/F50942/2612/1", 102.01)</f>
        <v>102.01</v>
      </c>
      <c r="E9338" s="2">
        <v>89.38</v>
      </c>
      <c r="F9338" s="2">
        <v>2</v>
      </c>
      <c r="G9338" s="2" t="s">
        <v>11</v>
      </c>
    </row>
    <row r="9339" spans="1:9" x14ac:dyDescent="0.2">
      <c r="A9339" s="2" t="s">
        <v>3267</v>
      </c>
      <c r="B9339" s="2" t="s">
        <v>1353</v>
      </c>
      <c r="C9339" s="2">
        <v>825.20209999999997</v>
      </c>
      <c r="D9339" s="2">
        <f>HYPERLINK("http://mcb-m6.bioreg.kyushu-u.ac.jp/M3/20110414/F50957/2434/1", 107.17)</f>
        <v>107.17</v>
      </c>
      <c r="E9339" s="2">
        <v>68.959999999999994</v>
      </c>
      <c r="F9339" s="2">
        <v>2</v>
      </c>
      <c r="G9339" s="2" t="s">
        <v>11</v>
      </c>
    </row>
    <row r="9340" spans="1:9" x14ac:dyDescent="0.2">
      <c r="A9340" s="2" t="s">
        <v>3267</v>
      </c>
      <c r="B9340" s="2" t="s">
        <v>1612</v>
      </c>
      <c r="C9340" s="2">
        <v>1003.301</v>
      </c>
      <c r="D9340" s="2">
        <f>HYPERLINK("http://mcb-m6.bioreg.kyushu-u.ac.jp/M3/20110414/F50956/3592/1", 108.98)</f>
        <v>108.98</v>
      </c>
      <c r="E9340" s="2">
        <v>94.16</v>
      </c>
      <c r="F9340" s="2">
        <v>2</v>
      </c>
      <c r="G9340" s="2" t="s">
        <v>11</v>
      </c>
      <c r="I9340" s="2" t="s">
        <v>4935</v>
      </c>
    </row>
    <row r="9341" spans="1:9" x14ac:dyDescent="0.2">
      <c r="A9341" s="2" t="s">
        <v>3267</v>
      </c>
      <c r="B9341" s="2" t="s">
        <v>1353</v>
      </c>
      <c r="C9341" s="2">
        <v>825.66560000000004</v>
      </c>
      <c r="D9341" s="2">
        <f>HYPERLINK("http://mcb-m6.bioreg.kyushu-u.ac.jp/M3/20110414/F50945/2483/1", 110.1)</f>
        <v>110.1</v>
      </c>
      <c r="E9341" s="2">
        <v>92.97</v>
      </c>
      <c r="F9341" s="2">
        <v>2</v>
      </c>
      <c r="G9341" s="2" t="s">
        <v>11</v>
      </c>
    </row>
    <row r="9342" spans="1:9" x14ac:dyDescent="0.2">
      <c r="A9342" s="2" t="s">
        <v>3267</v>
      </c>
      <c r="B9342" s="2" t="s">
        <v>1612</v>
      </c>
      <c r="C9342" s="2">
        <v>1003.354</v>
      </c>
      <c r="D9342" s="2">
        <f>HYPERLINK("http://mcb-m6.bioreg.kyushu-u.ac.jp/M3/20110414/F50957/3521/1", 112.37)</f>
        <v>112.37</v>
      </c>
      <c r="E9342" s="2">
        <v>104.45</v>
      </c>
      <c r="F9342" s="2">
        <v>2</v>
      </c>
      <c r="G9342" s="2" t="s">
        <v>11</v>
      </c>
      <c r="I9342" s="2" t="s">
        <v>4935</v>
      </c>
    </row>
    <row r="9343" spans="1:9" x14ac:dyDescent="0.2">
      <c r="A9343" s="2" t="s">
        <v>3267</v>
      </c>
      <c r="B9343" s="2" t="s">
        <v>1353</v>
      </c>
      <c r="C9343" s="2">
        <v>825.28520000000003</v>
      </c>
      <c r="D9343" s="2">
        <f>HYPERLINK("http://mcb-m6.bioreg.kyushu-u.ac.jp/M3/20110414/F50956/2529/1", 123.21)</f>
        <v>123.21</v>
      </c>
      <c r="E9343" s="2">
        <v>91.33</v>
      </c>
      <c r="F9343" s="2">
        <v>2</v>
      </c>
      <c r="G9343" s="2" t="s">
        <v>11</v>
      </c>
    </row>
    <row r="9344" spans="1:9" x14ac:dyDescent="0.2">
      <c r="A9344" s="2" t="s">
        <v>3267</v>
      </c>
      <c r="B9344" s="2" t="s">
        <v>1666</v>
      </c>
      <c r="C9344" s="2">
        <v>1473.905</v>
      </c>
      <c r="D9344" s="2">
        <f>HYPERLINK("http://mcb-m6.bioreg.kyushu-u.ac.jp/M3/20110414/F50956/4926/1", 123.95)</f>
        <v>123.95</v>
      </c>
      <c r="E9344" s="2">
        <v>109.44</v>
      </c>
      <c r="F9344" s="2">
        <v>2</v>
      </c>
      <c r="G9344" s="2" t="s">
        <v>11</v>
      </c>
    </row>
    <row r="9345" spans="1:7" x14ac:dyDescent="0.2">
      <c r="A9345" s="2" t="s">
        <v>3267</v>
      </c>
      <c r="B9345" s="2" t="s">
        <v>602</v>
      </c>
      <c r="C9345" s="2">
        <v>742.11320000000001</v>
      </c>
      <c r="D9345" s="2">
        <f>HYPERLINK("http://mcb-m6.bioreg.kyushu-u.ac.jp/M3/20110414/F50956/1935/1", 132.01)</f>
        <v>132.01</v>
      </c>
      <c r="E9345" s="2">
        <v>110.98</v>
      </c>
      <c r="F9345" s="2">
        <v>2</v>
      </c>
      <c r="G9345" s="2" t="s">
        <v>11</v>
      </c>
    </row>
    <row r="9346" spans="1:7" x14ac:dyDescent="0.2">
      <c r="A9346" s="2" t="s">
        <v>3267</v>
      </c>
      <c r="B9346" s="2" t="s">
        <v>491</v>
      </c>
      <c r="C9346" s="2">
        <v>766.17819999999995</v>
      </c>
      <c r="D9346" s="2">
        <f>HYPERLINK("http://mcb-m6.bioreg.kyushu-u.ac.jp/M3/20110414/F50958/2166/1", 35.25)</f>
        <v>35.25</v>
      </c>
      <c r="E9346" s="2">
        <v>20.38</v>
      </c>
      <c r="F9346" s="2">
        <v>2</v>
      </c>
      <c r="G9346" s="2" t="s">
        <v>12</v>
      </c>
    </row>
    <row r="9347" spans="1:7" x14ac:dyDescent="0.2">
      <c r="A9347" s="2" t="s">
        <v>3267</v>
      </c>
      <c r="B9347" s="2" t="s">
        <v>433</v>
      </c>
      <c r="C9347" s="2">
        <v>819.39260000000002</v>
      </c>
      <c r="D9347" s="2">
        <f>HYPERLINK("http://mcb-m6.bioreg.kyushu-u.ac.jp/M3/20110414/F50948/2568/1", 35.35)</f>
        <v>35.35</v>
      </c>
      <c r="E9347" s="2">
        <v>25.78</v>
      </c>
      <c r="F9347" s="2">
        <v>2</v>
      </c>
      <c r="G9347" s="2" t="s">
        <v>12</v>
      </c>
    </row>
    <row r="9348" spans="1:7" x14ac:dyDescent="0.2">
      <c r="A9348" s="2" t="s">
        <v>3267</v>
      </c>
      <c r="B9348" s="2" t="s">
        <v>433</v>
      </c>
      <c r="C9348" s="2">
        <v>819.24270000000001</v>
      </c>
      <c r="D9348" s="2">
        <f>HYPERLINK("http://mcb-m6.bioreg.kyushu-u.ac.jp/M3/20110414/F50948/2566/1", 35.61)</f>
        <v>35.61</v>
      </c>
      <c r="E9348" s="2">
        <v>24.72</v>
      </c>
      <c r="F9348" s="2">
        <v>2</v>
      </c>
      <c r="G9348" s="2" t="s">
        <v>12</v>
      </c>
    </row>
    <row r="9349" spans="1:7" x14ac:dyDescent="0.2">
      <c r="A9349" s="2" t="s">
        <v>3267</v>
      </c>
      <c r="B9349" s="2" t="s">
        <v>562</v>
      </c>
      <c r="C9349" s="2">
        <v>965.16949999999997</v>
      </c>
      <c r="D9349" s="2">
        <f>HYPERLINK("http://mcb-m6.bioreg.kyushu-u.ac.jp/M3/20110414/F50959/4948/1", 35.84)</f>
        <v>35.840000000000003</v>
      </c>
      <c r="E9349" s="2">
        <v>21.22</v>
      </c>
      <c r="F9349" s="2">
        <v>3</v>
      </c>
      <c r="G9349" s="2" t="s">
        <v>12</v>
      </c>
    </row>
    <row r="9350" spans="1:7" x14ac:dyDescent="0.2">
      <c r="A9350" s="2" t="s">
        <v>3267</v>
      </c>
      <c r="B9350" s="2" t="s">
        <v>2071</v>
      </c>
      <c r="C9350" s="2">
        <v>1164.1569999999999</v>
      </c>
      <c r="D9350" s="2">
        <f>HYPERLINK("http://mcb-m6.bioreg.kyushu-u.ac.jp/M3/20110414/F50958/4255/1", 36.49)</f>
        <v>36.49</v>
      </c>
      <c r="E9350" s="2">
        <v>31.02</v>
      </c>
      <c r="F9350" s="2">
        <v>2</v>
      </c>
      <c r="G9350" s="2" t="s">
        <v>12</v>
      </c>
    </row>
    <row r="9351" spans="1:7" x14ac:dyDescent="0.2">
      <c r="A9351" s="2" t="s">
        <v>3267</v>
      </c>
      <c r="B9351" s="2" t="s">
        <v>2539</v>
      </c>
      <c r="C9351" s="2">
        <v>598.80219999999997</v>
      </c>
      <c r="D9351" s="2">
        <f>HYPERLINK("http://mcb-m6.bioreg.kyushu-u.ac.jp/M3/20110414/F50958/3085/1", 36.5)</f>
        <v>36.5</v>
      </c>
      <c r="E9351" s="2">
        <v>18.93</v>
      </c>
      <c r="F9351" s="2">
        <v>3</v>
      </c>
      <c r="G9351" s="2" t="s">
        <v>12</v>
      </c>
    </row>
    <row r="9352" spans="1:7" x14ac:dyDescent="0.2">
      <c r="A9352" s="2" t="s">
        <v>3267</v>
      </c>
      <c r="B9352" s="2" t="s">
        <v>433</v>
      </c>
      <c r="C9352" s="2">
        <v>819.22860000000003</v>
      </c>
      <c r="D9352" s="2">
        <f>HYPERLINK("http://mcb-m6.bioreg.kyushu-u.ac.jp/M3/20110414/F50958/2555/1", 38.33)</f>
        <v>38.33</v>
      </c>
      <c r="E9352" s="2">
        <v>20.64</v>
      </c>
      <c r="F9352" s="2">
        <v>2</v>
      </c>
      <c r="G9352" s="2" t="s">
        <v>12</v>
      </c>
    </row>
    <row r="9353" spans="1:7" x14ac:dyDescent="0.2">
      <c r="A9353" s="2" t="s">
        <v>3267</v>
      </c>
      <c r="B9353" s="2" t="s">
        <v>223</v>
      </c>
      <c r="C9353" s="2">
        <v>782.1567</v>
      </c>
      <c r="D9353" s="2">
        <f>HYPERLINK("http://mcb-m6.bioreg.kyushu-u.ac.jp/M3/20110414/F50958/2300/1", 38.75)</f>
        <v>38.75</v>
      </c>
      <c r="E9353" s="2">
        <v>24.36</v>
      </c>
      <c r="F9353" s="2">
        <v>2</v>
      </c>
      <c r="G9353" s="2" t="s">
        <v>12</v>
      </c>
    </row>
    <row r="9354" spans="1:7" x14ac:dyDescent="0.2">
      <c r="A9354" s="2" t="s">
        <v>3267</v>
      </c>
      <c r="B9354" s="2" t="s">
        <v>97</v>
      </c>
      <c r="C9354" s="2">
        <v>669.21220000000005</v>
      </c>
      <c r="D9354" s="2">
        <f>HYPERLINK("http://mcb-m6.bioreg.kyushu-u.ac.jp/M3/20110414/F50948/1608/1", 38.95)</f>
        <v>38.950000000000003</v>
      </c>
      <c r="E9354" s="2">
        <v>19.88</v>
      </c>
      <c r="F9354" s="2">
        <v>2</v>
      </c>
      <c r="G9354" s="2" t="s">
        <v>12</v>
      </c>
    </row>
    <row r="9355" spans="1:7" x14ac:dyDescent="0.2">
      <c r="A9355" s="2" t="s">
        <v>3267</v>
      </c>
      <c r="B9355" s="2" t="s">
        <v>491</v>
      </c>
      <c r="C9355" s="2">
        <v>766.09270000000004</v>
      </c>
      <c r="D9355" s="2">
        <f>HYPERLINK("http://mcb-m6.bioreg.kyushu-u.ac.jp/M3/20110414/F50966/1974/1", 39.5)</f>
        <v>39.5</v>
      </c>
      <c r="E9355" s="2">
        <v>28.19</v>
      </c>
      <c r="F9355" s="2">
        <v>2</v>
      </c>
      <c r="G9355" s="2" t="s">
        <v>12</v>
      </c>
    </row>
    <row r="9356" spans="1:7" x14ac:dyDescent="0.2">
      <c r="A9356" s="2" t="s">
        <v>3267</v>
      </c>
      <c r="B9356" s="2" t="s">
        <v>491</v>
      </c>
      <c r="C9356" s="2">
        <v>766.40060000000005</v>
      </c>
      <c r="D9356" s="2">
        <f>HYPERLINK("http://mcb-m6.bioreg.kyushu-u.ac.jp/M3/20110414/F50958/2176/1", 39.95)</f>
        <v>39.950000000000003</v>
      </c>
      <c r="E9356" s="2">
        <v>24.68</v>
      </c>
      <c r="F9356" s="2">
        <v>2</v>
      </c>
      <c r="G9356" s="2" t="s">
        <v>12</v>
      </c>
    </row>
    <row r="9357" spans="1:7" x14ac:dyDescent="0.2">
      <c r="A9357" s="2" t="s">
        <v>3267</v>
      </c>
      <c r="B9357" s="2" t="s">
        <v>2589</v>
      </c>
      <c r="C9357" s="2">
        <v>680.10969999999998</v>
      </c>
      <c r="D9357" s="2">
        <f>HYPERLINK("http://mcb-m6.bioreg.kyushu-u.ac.jp/M3/20110414/F50958/1571/1", 39.98)</f>
        <v>39.979999999999997</v>
      </c>
      <c r="E9357" s="2">
        <v>21.23</v>
      </c>
      <c r="F9357" s="2">
        <v>2</v>
      </c>
      <c r="G9357" s="2" t="s">
        <v>12</v>
      </c>
    </row>
    <row r="9358" spans="1:7" x14ac:dyDescent="0.2">
      <c r="A9358" s="2" t="s">
        <v>3267</v>
      </c>
      <c r="B9358" s="2" t="s">
        <v>433</v>
      </c>
      <c r="C9358" s="2">
        <v>819.40719999999999</v>
      </c>
      <c r="D9358" s="2">
        <f>HYPERLINK("http://mcb-m6.bioreg.kyushu-u.ac.jp/M3/20110414/F50959/2453/1", 40.11)</f>
        <v>40.11</v>
      </c>
      <c r="E9358" s="2">
        <v>28.78</v>
      </c>
      <c r="F9358" s="2">
        <v>2</v>
      </c>
      <c r="G9358" s="2" t="s">
        <v>12</v>
      </c>
    </row>
    <row r="9359" spans="1:7" x14ac:dyDescent="0.2">
      <c r="A9359" s="2" t="s">
        <v>3267</v>
      </c>
      <c r="B9359" s="2" t="s">
        <v>491</v>
      </c>
      <c r="C9359" s="2">
        <v>511.35120000000001</v>
      </c>
      <c r="D9359" s="2">
        <f>HYPERLINK("http://mcb-m6.bioreg.kyushu-u.ac.jp/M3/20110414/F50958/2177/1", 41.02)</f>
        <v>41.02</v>
      </c>
      <c r="E9359" s="2">
        <v>23.96</v>
      </c>
      <c r="F9359" s="2">
        <v>3</v>
      </c>
      <c r="G9359" s="2" t="s">
        <v>12</v>
      </c>
    </row>
    <row r="9360" spans="1:7" x14ac:dyDescent="0.2">
      <c r="A9360" s="2" t="s">
        <v>3267</v>
      </c>
      <c r="B9360" s="2" t="s">
        <v>491</v>
      </c>
      <c r="C9360" s="2">
        <v>766.39070000000004</v>
      </c>
      <c r="D9360" s="2">
        <f>HYPERLINK("http://mcb-m6.bioreg.kyushu-u.ac.jp/M3/20110414/F50958/2173/1", 41.49)</f>
        <v>41.49</v>
      </c>
      <c r="E9360" s="2">
        <v>20.92</v>
      </c>
      <c r="F9360" s="2">
        <v>2</v>
      </c>
      <c r="G9360" s="2" t="s">
        <v>12</v>
      </c>
    </row>
    <row r="9361" spans="1:8" x14ac:dyDescent="0.2">
      <c r="A9361" s="2" t="s">
        <v>3267</v>
      </c>
      <c r="B9361" s="2" t="s">
        <v>97</v>
      </c>
      <c r="C9361" s="2">
        <v>668.60310000000004</v>
      </c>
      <c r="D9361" s="2">
        <f>HYPERLINK("http://mcb-m6.bioreg.kyushu-u.ac.jp/M3/20110414/F50958/1499/1", 41.81)</f>
        <v>41.81</v>
      </c>
      <c r="E9361" s="2">
        <v>24</v>
      </c>
      <c r="F9361" s="2">
        <v>2</v>
      </c>
      <c r="G9361" s="2" t="s">
        <v>12</v>
      </c>
    </row>
    <row r="9362" spans="1:8" x14ac:dyDescent="0.2">
      <c r="A9362" s="2" t="s">
        <v>3267</v>
      </c>
      <c r="B9362" s="2" t="s">
        <v>97</v>
      </c>
      <c r="C9362" s="2">
        <v>669.21370000000002</v>
      </c>
      <c r="D9362" s="2">
        <f>HYPERLINK("http://mcb-m6.bioreg.kyushu-u.ac.jp/M3/20110414/F50966/1490/1", 42.58)</f>
        <v>42.58</v>
      </c>
      <c r="E9362" s="2">
        <v>26.91</v>
      </c>
      <c r="F9362" s="2">
        <v>2</v>
      </c>
      <c r="G9362" s="2" t="s">
        <v>12</v>
      </c>
    </row>
    <row r="9363" spans="1:8" x14ac:dyDescent="0.2">
      <c r="A9363" s="2" t="s">
        <v>3267</v>
      </c>
      <c r="B9363" s="2" t="s">
        <v>97</v>
      </c>
      <c r="C9363" s="2">
        <v>668.80820000000006</v>
      </c>
      <c r="D9363" s="2">
        <f>HYPERLINK("http://mcb-m6.bioreg.kyushu-u.ac.jp/M3/20110414/F50946/1559/1", 42.63)</f>
        <v>42.63</v>
      </c>
      <c r="E9363" s="2">
        <v>25.92</v>
      </c>
      <c r="F9363" s="2">
        <v>2</v>
      </c>
      <c r="G9363" s="2" t="s">
        <v>12</v>
      </c>
    </row>
    <row r="9364" spans="1:8" x14ac:dyDescent="0.2">
      <c r="A9364" s="2" t="s">
        <v>3267</v>
      </c>
      <c r="B9364" s="2" t="s">
        <v>568</v>
      </c>
      <c r="C9364" s="2">
        <v>836.24900000000002</v>
      </c>
      <c r="D9364" s="2">
        <f>HYPERLINK("http://mcb-m6.bioreg.kyushu-u.ac.jp/M3/20110414/F50958/378/1", 42.69)</f>
        <v>42.69</v>
      </c>
      <c r="E9364" s="2">
        <v>15.55</v>
      </c>
      <c r="F9364" s="2">
        <v>1</v>
      </c>
      <c r="G9364" s="2" t="s">
        <v>12</v>
      </c>
    </row>
    <row r="9365" spans="1:8" x14ac:dyDescent="0.2">
      <c r="A9365" s="2" t="s">
        <v>3267</v>
      </c>
      <c r="B9365" s="2" t="s">
        <v>433</v>
      </c>
      <c r="C9365" s="2">
        <v>819.20169999999996</v>
      </c>
      <c r="D9365" s="2">
        <f>HYPERLINK("http://mcb-m6.bioreg.kyushu-u.ac.jp/M3/20110414/F50958/2554/1", 42.91)</f>
        <v>42.91</v>
      </c>
      <c r="E9365" s="2">
        <v>32.21</v>
      </c>
      <c r="F9365" s="2">
        <v>2</v>
      </c>
      <c r="G9365" s="2" t="s">
        <v>12</v>
      </c>
    </row>
    <row r="9366" spans="1:8" x14ac:dyDescent="0.2">
      <c r="A9366" s="2" t="s">
        <v>3267</v>
      </c>
      <c r="B9366" s="2" t="s">
        <v>97</v>
      </c>
      <c r="C9366" s="2">
        <v>668.76509999999996</v>
      </c>
      <c r="D9366" s="2">
        <f>HYPERLINK("http://mcb-m6.bioreg.kyushu-u.ac.jp/M3/20110414/F50932/2019/1", 43.22)</f>
        <v>43.22</v>
      </c>
      <c r="E9366" s="2">
        <v>25.21</v>
      </c>
      <c r="F9366" s="2">
        <v>2</v>
      </c>
      <c r="G9366" s="2" t="s">
        <v>12</v>
      </c>
    </row>
    <row r="9367" spans="1:8" x14ac:dyDescent="0.2">
      <c r="A9367" s="2" t="s">
        <v>3267</v>
      </c>
      <c r="B9367" s="2" t="s">
        <v>433</v>
      </c>
      <c r="C9367" s="2">
        <v>819.17269999999996</v>
      </c>
      <c r="D9367" s="2">
        <f>HYPERLINK("http://mcb-m6.bioreg.kyushu-u.ac.jp/M3/20110414/F50950/2623/1", 43.3)</f>
        <v>43.3</v>
      </c>
      <c r="E9367" s="2">
        <v>26.03</v>
      </c>
      <c r="F9367" s="2">
        <v>2</v>
      </c>
      <c r="G9367" s="2" t="s">
        <v>12</v>
      </c>
    </row>
    <row r="9368" spans="1:8" x14ac:dyDescent="0.2">
      <c r="A9368" s="2" t="s">
        <v>3267</v>
      </c>
      <c r="B9368" s="2" t="s">
        <v>491</v>
      </c>
      <c r="C9368" s="2">
        <v>766.82370000000003</v>
      </c>
      <c r="D9368" s="2">
        <f>HYPERLINK("http://mcb-m6.bioreg.kyushu-u.ac.jp/M3/20110414/F50958/2181/1", 43.5)</f>
        <v>43.5</v>
      </c>
      <c r="E9368" s="2">
        <v>27.76</v>
      </c>
      <c r="F9368" s="2">
        <v>2</v>
      </c>
      <c r="G9368" s="2" t="s">
        <v>12</v>
      </c>
    </row>
    <row r="9369" spans="1:8" x14ac:dyDescent="0.2">
      <c r="A9369" s="2" t="s">
        <v>3267</v>
      </c>
      <c r="B9369" s="2" t="s">
        <v>562</v>
      </c>
      <c r="C9369" s="2">
        <v>964.75519999999995</v>
      </c>
      <c r="D9369" s="2">
        <f>HYPERLINK("http://mcb-m6.bioreg.kyushu-u.ac.jp/M3/20110414/F50966/3398/1", 43.59)</f>
        <v>43.59</v>
      </c>
      <c r="E9369" s="2">
        <v>34.130000000000003</v>
      </c>
      <c r="F9369" s="2">
        <v>3</v>
      </c>
      <c r="G9369" s="2" t="s">
        <v>12</v>
      </c>
    </row>
    <row r="9370" spans="1:8" x14ac:dyDescent="0.2">
      <c r="A9370" s="2" t="s">
        <v>3267</v>
      </c>
      <c r="B9370" s="2" t="s">
        <v>97</v>
      </c>
      <c r="C9370" s="2">
        <v>668.38710000000003</v>
      </c>
      <c r="D9370" s="2">
        <f>HYPERLINK("http://mcb-m6.bioreg.kyushu-u.ac.jp/M3/20110414/F50949/1977/1", 43.94)</f>
        <v>43.94</v>
      </c>
      <c r="E9370" s="2">
        <v>20.21</v>
      </c>
      <c r="F9370" s="2">
        <v>2</v>
      </c>
      <c r="G9370" s="2" t="s">
        <v>12</v>
      </c>
    </row>
    <row r="9371" spans="1:8" x14ac:dyDescent="0.2">
      <c r="A9371" s="2" t="s">
        <v>3267</v>
      </c>
      <c r="B9371" s="2" t="s">
        <v>47</v>
      </c>
      <c r="C9371" s="2">
        <v>548.61569999999995</v>
      </c>
      <c r="D9371" s="2">
        <f>HYPERLINK("http://mcb-m6.bioreg.kyushu-u.ac.jp/M3/20110414/F50958/857/1", 44.43)</f>
        <v>44.43</v>
      </c>
      <c r="E9371" s="2">
        <v>21.1</v>
      </c>
      <c r="F9371" s="2">
        <v>2</v>
      </c>
      <c r="G9371" s="2" t="s">
        <v>12</v>
      </c>
      <c r="H9371" s="2" t="s">
        <v>4904</v>
      </c>
    </row>
    <row r="9372" spans="1:8" x14ac:dyDescent="0.2">
      <c r="A9372" s="2" t="s">
        <v>3267</v>
      </c>
      <c r="B9372" s="2" t="s">
        <v>1606</v>
      </c>
      <c r="C9372" s="2">
        <v>575.15890000000002</v>
      </c>
      <c r="D9372" s="2">
        <f>HYPERLINK("http://mcb-m6.bioreg.kyushu-u.ac.jp/M3/20110414/F50958/2870/1", 44.67)</f>
        <v>44.67</v>
      </c>
      <c r="E9372" s="2">
        <v>28.93</v>
      </c>
      <c r="F9372" s="2">
        <v>3</v>
      </c>
      <c r="G9372" s="2" t="s">
        <v>12</v>
      </c>
    </row>
    <row r="9373" spans="1:8" x14ac:dyDescent="0.2">
      <c r="A9373" s="2" t="s">
        <v>3267</v>
      </c>
      <c r="B9373" s="2" t="s">
        <v>47</v>
      </c>
      <c r="C9373" s="2">
        <v>548.64509999999996</v>
      </c>
      <c r="D9373" s="2">
        <f>HYPERLINK("http://mcb-m6.bioreg.kyushu-u.ac.jp/M3/20110414/F50958/858/1", 45.2)</f>
        <v>45.2</v>
      </c>
      <c r="E9373" s="2">
        <v>20.61</v>
      </c>
      <c r="F9373" s="2">
        <v>2</v>
      </c>
      <c r="G9373" s="2" t="s">
        <v>12</v>
      </c>
      <c r="H9373" s="2" t="s">
        <v>4904</v>
      </c>
    </row>
    <row r="9374" spans="1:8" x14ac:dyDescent="0.2">
      <c r="A9374" s="2" t="s">
        <v>3267</v>
      </c>
      <c r="B9374" s="2" t="s">
        <v>491</v>
      </c>
      <c r="C9374" s="2">
        <v>766.3981</v>
      </c>
      <c r="D9374" s="2">
        <f>HYPERLINK("http://mcb-m6.bioreg.kyushu-u.ac.jp/M3/20110414/F50958/2175/1", 45.85)</f>
        <v>45.85</v>
      </c>
      <c r="E9374" s="2">
        <v>32.81</v>
      </c>
      <c r="F9374" s="2">
        <v>2</v>
      </c>
      <c r="G9374" s="2" t="s">
        <v>12</v>
      </c>
    </row>
    <row r="9375" spans="1:8" x14ac:dyDescent="0.2">
      <c r="A9375" s="2" t="s">
        <v>3267</v>
      </c>
      <c r="B9375" s="2" t="s">
        <v>97</v>
      </c>
      <c r="C9375" s="2">
        <v>669.34270000000004</v>
      </c>
      <c r="D9375" s="2">
        <f>HYPERLINK("http://mcb-m6.bioreg.kyushu-u.ac.jp/M3/20110414/F50947/1475/1", 45.96)</f>
        <v>45.96</v>
      </c>
      <c r="E9375" s="2">
        <v>26.38</v>
      </c>
      <c r="F9375" s="2">
        <v>2</v>
      </c>
      <c r="G9375" s="2" t="s">
        <v>12</v>
      </c>
    </row>
    <row r="9376" spans="1:8" x14ac:dyDescent="0.2">
      <c r="A9376" s="2" t="s">
        <v>3267</v>
      </c>
      <c r="B9376" s="2" t="s">
        <v>697</v>
      </c>
      <c r="C9376" s="2">
        <v>733.24019999999996</v>
      </c>
      <c r="D9376" s="2">
        <f>HYPERLINK("http://mcb-m6.bioreg.kyushu-u.ac.jp/M3/20110414/F50963/1803/1", 46.96)</f>
        <v>46.96</v>
      </c>
      <c r="E9376" s="2">
        <v>29.21</v>
      </c>
      <c r="F9376" s="2">
        <v>2</v>
      </c>
      <c r="G9376" s="2" t="s">
        <v>12</v>
      </c>
    </row>
    <row r="9377" spans="1:9" x14ac:dyDescent="0.2">
      <c r="A9377" s="2" t="s">
        <v>3267</v>
      </c>
      <c r="B9377" s="2" t="s">
        <v>223</v>
      </c>
      <c r="C9377" s="2">
        <v>790.46810000000005</v>
      </c>
      <c r="D9377" s="2">
        <f>HYPERLINK("http://mcb-m6.bioreg.kyushu-u.ac.jp/M3/20110414/F50958/2367/1", 47.15)</f>
        <v>47.15</v>
      </c>
      <c r="E9377" s="2">
        <v>27.13</v>
      </c>
      <c r="F9377" s="2">
        <v>2</v>
      </c>
      <c r="G9377" s="2" t="s">
        <v>12</v>
      </c>
      <c r="H9377" s="2" t="s">
        <v>4917</v>
      </c>
    </row>
    <row r="9378" spans="1:9" x14ac:dyDescent="0.2">
      <c r="A9378" s="2" t="s">
        <v>3267</v>
      </c>
      <c r="B9378" s="2" t="s">
        <v>491</v>
      </c>
      <c r="C9378" s="2">
        <v>766.25120000000004</v>
      </c>
      <c r="D9378" s="2">
        <f>HYPERLINK("http://mcb-m6.bioreg.kyushu-u.ac.jp/M3/20110414/F50958/2169/1", 48.34)</f>
        <v>48.34</v>
      </c>
      <c r="E9378" s="2">
        <v>31.28</v>
      </c>
      <c r="F9378" s="2">
        <v>2</v>
      </c>
      <c r="G9378" s="2" t="s">
        <v>12</v>
      </c>
    </row>
    <row r="9379" spans="1:9" x14ac:dyDescent="0.2">
      <c r="A9379" s="2" t="s">
        <v>3267</v>
      </c>
      <c r="B9379" s="2" t="s">
        <v>1526</v>
      </c>
      <c r="C9379" s="2">
        <v>619.59770000000003</v>
      </c>
      <c r="D9379" s="2">
        <f>HYPERLINK("http://mcb-m6.bioreg.kyushu-u.ac.jp/M3/20110414/F50958/1221/1", 48.7)</f>
        <v>48.7</v>
      </c>
      <c r="E9379" s="2">
        <v>29.87</v>
      </c>
      <c r="F9379" s="2">
        <v>2</v>
      </c>
      <c r="G9379" s="2" t="s">
        <v>12</v>
      </c>
    </row>
    <row r="9380" spans="1:9" x14ac:dyDescent="0.2">
      <c r="A9380" s="2" t="s">
        <v>3267</v>
      </c>
      <c r="B9380" s="2" t="s">
        <v>480</v>
      </c>
      <c r="C9380" s="2">
        <v>1552.029</v>
      </c>
      <c r="D9380" s="2">
        <f>HYPERLINK("http://mcb-m6.bioreg.kyushu-u.ac.jp/M3/20110414/F50958/4965/1", 48.7)</f>
        <v>48.7</v>
      </c>
      <c r="E9380" s="2">
        <v>35.28</v>
      </c>
      <c r="F9380" s="2">
        <v>2</v>
      </c>
      <c r="G9380" s="2" t="s">
        <v>12</v>
      </c>
    </row>
    <row r="9381" spans="1:9" x14ac:dyDescent="0.2">
      <c r="A9381" s="2" t="s">
        <v>3267</v>
      </c>
      <c r="B9381" s="2" t="s">
        <v>97</v>
      </c>
      <c r="C9381" s="2">
        <v>668.66309999999999</v>
      </c>
      <c r="D9381" s="2">
        <f>HYPERLINK("http://mcb-m6.bioreg.kyushu-u.ac.jp/M3/20110414/F50948/1607/1", 49.67)</f>
        <v>49.67</v>
      </c>
      <c r="E9381" s="2">
        <v>33.700000000000003</v>
      </c>
      <c r="F9381" s="2">
        <v>2</v>
      </c>
      <c r="G9381" s="2" t="s">
        <v>12</v>
      </c>
    </row>
    <row r="9382" spans="1:9" x14ac:dyDescent="0.2">
      <c r="A9382" s="2" t="s">
        <v>3267</v>
      </c>
      <c r="B9382" s="2" t="s">
        <v>97</v>
      </c>
      <c r="C9382" s="2">
        <v>669.41859999999997</v>
      </c>
      <c r="D9382" s="2">
        <f>HYPERLINK("http://mcb-m6.bioreg.kyushu-u.ac.jp/M3/20110414/F50949/1980/1", 49.9)</f>
        <v>49.9</v>
      </c>
      <c r="E9382" s="2">
        <v>28.33</v>
      </c>
      <c r="F9382" s="2">
        <v>2</v>
      </c>
      <c r="G9382" s="2" t="s">
        <v>12</v>
      </c>
    </row>
    <row r="9383" spans="1:9" x14ac:dyDescent="0.2">
      <c r="A9383" s="2" t="s">
        <v>3267</v>
      </c>
      <c r="B9383" s="2" t="s">
        <v>697</v>
      </c>
      <c r="C9383" s="2">
        <v>733.38620000000003</v>
      </c>
      <c r="D9383" s="2">
        <f>HYPERLINK("http://mcb-m6.bioreg.kyushu-u.ac.jp/M3/20110414/F50947/1905/1", 49.93)</f>
        <v>49.93</v>
      </c>
      <c r="E9383" s="2">
        <v>31.08</v>
      </c>
      <c r="F9383" s="2">
        <v>2</v>
      </c>
      <c r="G9383" s="2" t="s">
        <v>12</v>
      </c>
    </row>
    <row r="9384" spans="1:9" x14ac:dyDescent="0.2">
      <c r="A9384" s="2" t="s">
        <v>3267</v>
      </c>
      <c r="B9384" s="2" t="s">
        <v>562</v>
      </c>
      <c r="C9384" s="2">
        <v>964.93119999999999</v>
      </c>
      <c r="D9384" s="2">
        <f>HYPERLINK("http://mcb-m6.bioreg.kyushu-u.ac.jp/M3/20110414/F50959/4947/1", 50.37)</f>
        <v>50.37</v>
      </c>
      <c r="E9384" s="2">
        <v>40.56</v>
      </c>
      <c r="F9384" s="2">
        <v>3</v>
      </c>
      <c r="G9384" s="2" t="s">
        <v>12</v>
      </c>
    </row>
    <row r="9385" spans="1:9" x14ac:dyDescent="0.2">
      <c r="A9385" s="2" t="s">
        <v>3267</v>
      </c>
      <c r="B9385" s="2" t="s">
        <v>97</v>
      </c>
      <c r="C9385" s="2">
        <v>1336.886</v>
      </c>
      <c r="D9385" s="2">
        <f>HYPERLINK("http://mcb-m6.bioreg.kyushu-u.ac.jp/M3/20110414/F50958/1502/1", 50.48)</f>
        <v>50.48</v>
      </c>
      <c r="E9385" s="2">
        <v>22.15</v>
      </c>
      <c r="F9385" s="2">
        <v>1</v>
      </c>
      <c r="G9385" s="2" t="s">
        <v>12</v>
      </c>
    </row>
    <row r="9386" spans="1:9" x14ac:dyDescent="0.2">
      <c r="A9386" s="2" t="s">
        <v>3267</v>
      </c>
      <c r="B9386" s="2" t="s">
        <v>697</v>
      </c>
      <c r="C9386" s="2">
        <v>733.16269999999997</v>
      </c>
      <c r="D9386" s="2">
        <f>HYPERLINK("http://mcb-m6.bioreg.kyushu-u.ac.jp/M3/20110414/F50959/1825/1", 50.54)</f>
        <v>50.54</v>
      </c>
      <c r="E9386" s="2">
        <v>31.05</v>
      </c>
      <c r="F9386" s="2">
        <v>2</v>
      </c>
      <c r="G9386" s="2" t="s">
        <v>12</v>
      </c>
    </row>
    <row r="9387" spans="1:9" x14ac:dyDescent="0.2">
      <c r="A9387" s="2" t="s">
        <v>3267</v>
      </c>
      <c r="B9387" s="2" t="s">
        <v>491</v>
      </c>
      <c r="C9387" s="2">
        <v>766.22360000000003</v>
      </c>
      <c r="D9387" s="2">
        <f>HYPERLINK("http://mcb-m6.bioreg.kyushu-u.ac.jp/M3/20110414/F50958/2168/1", 50.86)</f>
        <v>50.86</v>
      </c>
      <c r="E9387" s="2">
        <v>38.49</v>
      </c>
      <c r="F9387" s="2">
        <v>2</v>
      </c>
      <c r="G9387" s="2" t="s">
        <v>12</v>
      </c>
    </row>
    <row r="9388" spans="1:9" x14ac:dyDescent="0.2">
      <c r="A9388" s="2" t="s">
        <v>3267</v>
      </c>
      <c r="B9388" s="2" t="s">
        <v>697</v>
      </c>
      <c r="C9388" s="2">
        <v>732.65309999999999</v>
      </c>
      <c r="D9388" s="2">
        <f>HYPERLINK("http://mcb-m6.bioreg.kyushu-u.ac.jp/M3/20110414/F50948/2021/1", 53.8)</f>
        <v>53.8</v>
      </c>
      <c r="E9388" s="2">
        <v>34.229999999999997</v>
      </c>
      <c r="F9388" s="2">
        <v>2</v>
      </c>
      <c r="G9388" s="2" t="s">
        <v>12</v>
      </c>
    </row>
    <row r="9389" spans="1:9" x14ac:dyDescent="0.2">
      <c r="A9389" s="2" t="s">
        <v>3267</v>
      </c>
      <c r="B9389" s="2" t="s">
        <v>697</v>
      </c>
      <c r="C9389" s="2">
        <v>732.8691</v>
      </c>
      <c r="D9389" s="2">
        <f>HYPERLINK("http://mcb-m6.bioreg.kyushu-u.ac.jp/M3/20110414/F50947/1902/1", 54.21)</f>
        <v>54.21</v>
      </c>
      <c r="E9389" s="2">
        <v>32.090000000000003</v>
      </c>
      <c r="F9389" s="2">
        <v>2</v>
      </c>
      <c r="G9389" s="2" t="s">
        <v>12</v>
      </c>
    </row>
    <row r="9390" spans="1:9" x14ac:dyDescent="0.2">
      <c r="A9390" s="2" t="s">
        <v>3267</v>
      </c>
      <c r="B9390" s="2" t="s">
        <v>491</v>
      </c>
      <c r="C9390" s="2">
        <v>766.81460000000004</v>
      </c>
      <c r="D9390" s="2">
        <f>HYPERLINK("http://mcb-m6.bioreg.kyushu-u.ac.jp/M3/20110414/F50958/2180/1", 54.23)</f>
        <v>54.23</v>
      </c>
      <c r="E9390" s="2">
        <v>39.729999999999997</v>
      </c>
      <c r="F9390" s="2">
        <v>2</v>
      </c>
      <c r="G9390" s="2" t="s">
        <v>12</v>
      </c>
    </row>
    <row r="9391" spans="1:9" x14ac:dyDescent="0.2">
      <c r="A9391" s="2" t="s">
        <v>3267</v>
      </c>
      <c r="B9391" s="2" t="s">
        <v>1612</v>
      </c>
      <c r="C9391" s="2">
        <v>1003.056</v>
      </c>
      <c r="D9391" s="2">
        <f>HYPERLINK("http://mcb-m6.bioreg.kyushu-u.ac.jp/M3/20110414/F50949/2591/1", 55.23)</f>
        <v>55.23</v>
      </c>
      <c r="E9391" s="2">
        <v>37.96</v>
      </c>
      <c r="F9391" s="2">
        <v>2</v>
      </c>
      <c r="G9391" s="2" t="s">
        <v>12</v>
      </c>
      <c r="I9391" s="2" t="s">
        <v>4935</v>
      </c>
    </row>
    <row r="9392" spans="1:9" x14ac:dyDescent="0.2">
      <c r="A9392" s="2" t="s">
        <v>3267</v>
      </c>
      <c r="B9392" s="2" t="s">
        <v>433</v>
      </c>
      <c r="C9392" s="2">
        <v>819.45420000000001</v>
      </c>
      <c r="D9392" s="2">
        <f>HYPERLINK("http://mcb-m6.bioreg.kyushu-u.ac.jp/M3/20110414/F50946/2439/1", 57.05)</f>
        <v>57.05</v>
      </c>
      <c r="E9392" s="2">
        <v>46.96</v>
      </c>
      <c r="F9392" s="2">
        <v>2</v>
      </c>
      <c r="G9392" s="2" t="s">
        <v>12</v>
      </c>
    </row>
    <row r="9393" spans="1:9" x14ac:dyDescent="0.2">
      <c r="A9393" s="2" t="s">
        <v>3267</v>
      </c>
      <c r="B9393" s="2" t="s">
        <v>491</v>
      </c>
      <c r="C9393" s="2">
        <v>766.86770000000001</v>
      </c>
      <c r="D9393" s="2">
        <f>HYPERLINK("http://mcb-m6.bioreg.kyushu-u.ac.jp/M3/20110414/F50948/2267/1", 59.58)</f>
        <v>59.58</v>
      </c>
      <c r="E9393" s="2">
        <v>42.62</v>
      </c>
      <c r="F9393" s="2">
        <v>2</v>
      </c>
      <c r="G9393" s="2" t="s">
        <v>12</v>
      </c>
    </row>
    <row r="9394" spans="1:9" x14ac:dyDescent="0.2">
      <c r="A9394" s="2" t="s">
        <v>3267</v>
      </c>
      <c r="B9394" s="2" t="s">
        <v>97</v>
      </c>
      <c r="C9394" s="2">
        <v>669.32209999999998</v>
      </c>
      <c r="D9394" s="2">
        <f>HYPERLINK("http://mcb-m6.bioreg.kyushu-u.ac.jp/M3/20110414/F50946/1560/1", 59.96)</f>
        <v>59.96</v>
      </c>
      <c r="E9394" s="2">
        <v>39.96</v>
      </c>
      <c r="F9394" s="2">
        <v>2</v>
      </c>
      <c r="G9394" s="2" t="s">
        <v>12</v>
      </c>
    </row>
    <row r="9395" spans="1:9" x14ac:dyDescent="0.2">
      <c r="A9395" s="2" t="s">
        <v>3267</v>
      </c>
      <c r="B9395" s="2" t="s">
        <v>562</v>
      </c>
      <c r="C9395" s="2">
        <v>965.06380000000001</v>
      </c>
      <c r="D9395" s="2">
        <f>HYPERLINK("http://mcb-m6.bioreg.kyushu-u.ac.jp/M3/20110414/F50958/4874/1", 60.44)</f>
        <v>60.44</v>
      </c>
      <c r="E9395" s="2">
        <v>48.93</v>
      </c>
      <c r="F9395" s="2">
        <v>3</v>
      </c>
      <c r="G9395" s="2" t="s">
        <v>12</v>
      </c>
    </row>
    <row r="9396" spans="1:9" x14ac:dyDescent="0.2">
      <c r="A9396" s="2" t="s">
        <v>3267</v>
      </c>
      <c r="B9396" s="2" t="s">
        <v>491</v>
      </c>
      <c r="C9396" s="2">
        <v>766.41719999999998</v>
      </c>
      <c r="D9396" s="2">
        <f>HYPERLINK("http://mcb-m6.bioreg.kyushu-u.ac.jp/M3/20110414/F50947/2155/1", 62.44)</f>
        <v>62.44</v>
      </c>
      <c r="E9396" s="2">
        <v>48.44</v>
      </c>
      <c r="F9396" s="2">
        <v>2</v>
      </c>
      <c r="G9396" s="2" t="s">
        <v>12</v>
      </c>
    </row>
    <row r="9397" spans="1:9" x14ac:dyDescent="0.2">
      <c r="A9397" s="2" t="s">
        <v>3267</v>
      </c>
      <c r="B9397" s="2" t="s">
        <v>994</v>
      </c>
      <c r="C9397" s="2">
        <v>580.09860000000003</v>
      </c>
      <c r="D9397" s="2">
        <f>HYPERLINK("http://mcb-m6.bioreg.kyushu-u.ac.jp/M3/20110414/F50958/1017/1", 63.59)</f>
        <v>63.59</v>
      </c>
      <c r="E9397" s="2">
        <v>41.34</v>
      </c>
      <c r="F9397" s="2">
        <v>2</v>
      </c>
      <c r="G9397" s="2" t="s">
        <v>12</v>
      </c>
    </row>
    <row r="9398" spans="1:9" x14ac:dyDescent="0.2">
      <c r="A9398" s="2" t="s">
        <v>3267</v>
      </c>
      <c r="B9398" s="2" t="s">
        <v>697</v>
      </c>
      <c r="C9398" s="2">
        <v>732.52009999999996</v>
      </c>
      <c r="D9398" s="2">
        <f>HYPERLINK("http://mcb-m6.bioreg.kyushu-u.ac.jp/M3/20110414/F50950/2118/1", 64.41)</f>
        <v>64.41</v>
      </c>
      <c r="E9398" s="2">
        <v>33.380000000000003</v>
      </c>
      <c r="F9398" s="2">
        <v>2</v>
      </c>
      <c r="G9398" s="2" t="s">
        <v>12</v>
      </c>
    </row>
    <row r="9399" spans="1:9" x14ac:dyDescent="0.2">
      <c r="A9399" s="2" t="s">
        <v>3267</v>
      </c>
      <c r="B9399" s="2" t="s">
        <v>855</v>
      </c>
      <c r="C9399" s="2">
        <v>498.61160000000001</v>
      </c>
      <c r="D9399" s="2">
        <f>HYPERLINK("http://mcb-m6.bioreg.kyushu-u.ac.jp/M3/20110414/F50958/610/1", 64.89)</f>
        <v>64.89</v>
      </c>
      <c r="E9399" s="2">
        <v>25.53</v>
      </c>
      <c r="F9399" s="2">
        <v>2</v>
      </c>
      <c r="G9399" s="2" t="s">
        <v>12</v>
      </c>
    </row>
    <row r="9400" spans="1:9" x14ac:dyDescent="0.2">
      <c r="A9400" s="2" t="s">
        <v>3267</v>
      </c>
      <c r="B9400" s="2" t="s">
        <v>562</v>
      </c>
      <c r="C9400" s="2">
        <v>1447.1179999999999</v>
      </c>
      <c r="D9400" s="2">
        <f>HYPERLINK("http://mcb-m6.bioreg.kyushu-u.ac.jp/M3/20110414/F50958/4875/1", 67.99)</f>
        <v>67.989999999999995</v>
      </c>
      <c r="E9400" s="2">
        <v>60.36</v>
      </c>
      <c r="F9400" s="2">
        <v>2</v>
      </c>
      <c r="G9400" s="2" t="s">
        <v>12</v>
      </c>
    </row>
    <row r="9401" spans="1:9" x14ac:dyDescent="0.2">
      <c r="A9401" s="2" t="s">
        <v>3267</v>
      </c>
      <c r="B9401" s="2" t="s">
        <v>491</v>
      </c>
      <c r="C9401" s="2">
        <v>766.22019999999998</v>
      </c>
      <c r="D9401" s="2">
        <f>HYPERLINK("http://mcb-m6.bioreg.kyushu-u.ac.jp/M3/20110414/F50958/2167/1", 68.4)</f>
        <v>68.400000000000006</v>
      </c>
      <c r="E9401" s="2">
        <v>52.94</v>
      </c>
      <c r="F9401" s="2">
        <v>2</v>
      </c>
      <c r="G9401" s="2" t="s">
        <v>12</v>
      </c>
    </row>
    <row r="9402" spans="1:9" x14ac:dyDescent="0.2">
      <c r="A9402" s="2" t="s">
        <v>3267</v>
      </c>
      <c r="B9402" s="2" t="s">
        <v>562</v>
      </c>
      <c r="C9402" s="2">
        <v>964.89319999999998</v>
      </c>
      <c r="D9402" s="2">
        <f>HYPERLINK("http://mcb-m6.bioreg.kyushu-u.ac.jp/M3/20110414/F50958/4873/1", 68.48)</f>
        <v>68.48</v>
      </c>
      <c r="E9402" s="2">
        <v>62.16</v>
      </c>
      <c r="F9402" s="2">
        <v>3</v>
      </c>
      <c r="G9402" s="2" t="s">
        <v>12</v>
      </c>
    </row>
    <row r="9403" spans="1:9" x14ac:dyDescent="0.2">
      <c r="A9403" s="2" t="s">
        <v>3267</v>
      </c>
      <c r="B9403" s="2" t="s">
        <v>491</v>
      </c>
      <c r="C9403" s="2">
        <v>1531.5260000000001</v>
      </c>
      <c r="D9403" s="2">
        <f>HYPERLINK("http://mcb-m6.bioreg.kyushu-u.ac.jp/M3/20110414/F50958/2170/1", 69.37)</f>
        <v>69.37</v>
      </c>
      <c r="E9403" s="2">
        <v>59.67</v>
      </c>
      <c r="F9403" s="2">
        <v>1</v>
      </c>
      <c r="G9403" s="2" t="s">
        <v>12</v>
      </c>
    </row>
    <row r="9404" spans="1:9" x14ac:dyDescent="0.2">
      <c r="A9404" s="2" t="s">
        <v>3267</v>
      </c>
      <c r="B9404" s="2" t="s">
        <v>491</v>
      </c>
      <c r="C9404" s="2">
        <v>766.29020000000003</v>
      </c>
      <c r="D9404" s="2">
        <f>HYPERLINK("http://mcb-m6.bioreg.kyushu-u.ac.jp/M3/20110414/F50963/1972/1", 71.78)</f>
        <v>71.78</v>
      </c>
      <c r="E9404" s="2">
        <v>55.34</v>
      </c>
      <c r="F9404" s="2">
        <v>2</v>
      </c>
      <c r="G9404" s="2" t="s">
        <v>12</v>
      </c>
    </row>
    <row r="9405" spans="1:9" x14ac:dyDescent="0.2">
      <c r="A9405" s="2" t="s">
        <v>3267</v>
      </c>
      <c r="B9405" s="2" t="s">
        <v>491</v>
      </c>
      <c r="C9405" s="2">
        <v>766.9307</v>
      </c>
      <c r="D9405" s="2">
        <f>HYPERLINK("http://mcb-m6.bioreg.kyushu-u.ac.jp/M3/20110414/F50946/2140/1", 73.46)</f>
        <v>73.459999999999994</v>
      </c>
      <c r="E9405" s="2">
        <v>59.49</v>
      </c>
      <c r="F9405" s="2">
        <v>2</v>
      </c>
      <c r="G9405" s="2" t="s">
        <v>12</v>
      </c>
    </row>
    <row r="9406" spans="1:9" x14ac:dyDescent="0.2">
      <c r="A9406" s="2" t="s">
        <v>3267</v>
      </c>
      <c r="B9406" s="2" t="s">
        <v>562</v>
      </c>
      <c r="C9406" s="2">
        <v>964.75919999999996</v>
      </c>
      <c r="D9406" s="2">
        <f>HYPERLINK("http://mcb-m6.bioreg.kyushu-u.ac.jp/M3/20110414/F50963/4015/1", 75.73)</f>
        <v>75.73</v>
      </c>
      <c r="E9406" s="2">
        <v>63.52</v>
      </c>
      <c r="F9406" s="2">
        <v>3</v>
      </c>
      <c r="G9406" s="2" t="s">
        <v>12</v>
      </c>
    </row>
    <row r="9407" spans="1:9" x14ac:dyDescent="0.2">
      <c r="A9407" s="2" t="s">
        <v>3267</v>
      </c>
      <c r="B9407" s="2" t="s">
        <v>491</v>
      </c>
      <c r="C9407" s="2">
        <v>766.3057</v>
      </c>
      <c r="D9407" s="2">
        <f>HYPERLINK("http://mcb-m6.bioreg.kyushu-u.ac.jp/M3/20110414/F50948/2263/1", 75.75)</f>
        <v>75.75</v>
      </c>
      <c r="E9407" s="2">
        <v>59.55</v>
      </c>
      <c r="F9407" s="2">
        <v>2</v>
      </c>
      <c r="G9407" s="2" t="s">
        <v>12</v>
      </c>
    </row>
    <row r="9408" spans="1:9" x14ac:dyDescent="0.2">
      <c r="A9408" s="2" t="s">
        <v>3267</v>
      </c>
      <c r="B9408" s="2" t="s">
        <v>2506</v>
      </c>
      <c r="C9408" s="2">
        <v>1045.9770000000001</v>
      </c>
      <c r="D9408" s="2">
        <f>HYPERLINK("http://mcb-m6.bioreg.kyushu-u.ac.jp/M3/20110414/F50959/3797/1", 76.65)</f>
        <v>76.650000000000006</v>
      </c>
      <c r="E9408" s="2">
        <v>67.680000000000007</v>
      </c>
      <c r="F9408" s="2">
        <v>2</v>
      </c>
      <c r="G9408" s="2" t="s">
        <v>12</v>
      </c>
      <c r="I9408" s="2" t="s">
        <v>4966</v>
      </c>
    </row>
    <row r="9409" spans="1:9" x14ac:dyDescent="0.2">
      <c r="A9409" s="2" t="s">
        <v>3267</v>
      </c>
      <c r="B9409" s="2" t="s">
        <v>491</v>
      </c>
      <c r="C9409" s="2">
        <v>766.49869999999999</v>
      </c>
      <c r="D9409" s="2">
        <f>HYPERLINK("http://mcb-m6.bioreg.kyushu-u.ac.jp/M3/20110414/F50959/2047/1", 78.71)</f>
        <v>78.709999999999994</v>
      </c>
      <c r="E9409" s="2">
        <v>63.42</v>
      </c>
      <c r="F9409" s="2">
        <v>2</v>
      </c>
      <c r="G9409" s="2" t="s">
        <v>12</v>
      </c>
    </row>
    <row r="9410" spans="1:9" x14ac:dyDescent="0.2">
      <c r="A9410" s="2" t="s">
        <v>3267</v>
      </c>
      <c r="B9410" s="2" t="s">
        <v>491</v>
      </c>
      <c r="C9410" s="2">
        <v>766.01509999999996</v>
      </c>
      <c r="D9410" s="2">
        <f>HYPERLINK("http://mcb-m6.bioreg.kyushu-u.ac.jp/M3/20110414/F50950/2305/1", 82.34)</f>
        <v>82.34</v>
      </c>
      <c r="E9410" s="2">
        <v>60.8</v>
      </c>
      <c r="F9410" s="2">
        <v>2</v>
      </c>
      <c r="G9410" s="2" t="s">
        <v>12</v>
      </c>
    </row>
    <row r="9411" spans="1:9" x14ac:dyDescent="0.2">
      <c r="A9411" s="2" t="s">
        <v>3267</v>
      </c>
      <c r="B9411" s="2" t="s">
        <v>480</v>
      </c>
      <c r="C9411" s="2">
        <v>1035.2349999999999</v>
      </c>
      <c r="D9411" s="2">
        <f>HYPERLINK("http://mcb-m6.bioreg.kyushu-u.ac.jp/M3/20110414/F50958/4966/1", 85.14)</f>
        <v>85.14</v>
      </c>
      <c r="E9411" s="2">
        <v>76.05</v>
      </c>
      <c r="F9411" s="2">
        <v>3</v>
      </c>
      <c r="G9411" s="2" t="s">
        <v>12</v>
      </c>
    </row>
    <row r="9412" spans="1:9" x14ac:dyDescent="0.2">
      <c r="A9412" s="2" t="s">
        <v>3267</v>
      </c>
      <c r="B9412" s="2" t="s">
        <v>1353</v>
      </c>
      <c r="C9412" s="2">
        <v>825.70569999999998</v>
      </c>
      <c r="D9412" s="2">
        <f>HYPERLINK("http://mcb-m6.bioreg.kyushu-u.ac.jp/M3/20110414/F50946/2461/1", 85.35)</f>
        <v>85.35</v>
      </c>
      <c r="E9412" s="2">
        <v>63.6</v>
      </c>
      <c r="F9412" s="2">
        <v>2</v>
      </c>
      <c r="G9412" s="2" t="s">
        <v>12</v>
      </c>
    </row>
    <row r="9413" spans="1:9" x14ac:dyDescent="0.2">
      <c r="A9413" s="2" t="s">
        <v>3267</v>
      </c>
      <c r="B9413" s="2" t="s">
        <v>1666</v>
      </c>
      <c r="C9413" s="2">
        <v>982.54160000000002</v>
      </c>
      <c r="D9413" s="2">
        <f>HYPERLINK("http://mcb-m6.bioreg.kyushu-u.ac.jp/M3/20110414/F50958/4903/1", 85.57)</f>
        <v>85.57</v>
      </c>
      <c r="E9413" s="2">
        <v>66</v>
      </c>
      <c r="F9413" s="2">
        <v>3</v>
      </c>
      <c r="G9413" s="2" t="s">
        <v>12</v>
      </c>
    </row>
    <row r="9414" spans="1:9" x14ac:dyDescent="0.2">
      <c r="A9414" s="2" t="s">
        <v>3267</v>
      </c>
      <c r="B9414" s="2" t="s">
        <v>1623</v>
      </c>
      <c r="C9414" s="2">
        <v>796.28120000000001</v>
      </c>
      <c r="D9414" s="2">
        <f>HYPERLINK("http://mcb-m6.bioreg.kyushu-u.ac.jp/M3/20110414/F50959/2267/1", 85.78)</f>
        <v>85.78</v>
      </c>
      <c r="E9414" s="2">
        <v>75.66</v>
      </c>
      <c r="F9414" s="2">
        <v>2</v>
      </c>
      <c r="G9414" s="2" t="s">
        <v>12</v>
      </c>
      <c r="I9414" s="2" t="s">
        <v>4909</v>
      </c>
    </row>
    <row r="9415" spans="1:9" x14ac:dyDescent="0.2">
      <c r="A9415" s="2" t="s">
        <v>3267</v>
      </c>
      <c r="B9415" s="2" t="s">
        <v>2071</v>
      </c>
      <c r="C9415" s="2">
        <v>1164.454</v>
      </c>
      <c r="D9415" s="2">
        <f>HYPERLINK("http://mcb-m6.bioreg.kyushu-u.ac.jp/M3/20110414/F50958/4258/1", 86.57)</f>
        <v>86.57</v>
      </c>
      <c r="E9415" s="2">
        <v>72.31</v>
      </c>
      <c r="F9415" s="2">
        <v>2</v>
      </c>
      <c r="G9415" s="2" t="s">
        <v>12</v>
      </c>
    </row>
    <row r="9416" spans="1:9" x14ac:dyDescent="0.2">
      <c r="A9416" s="2" t="s">
        <v>3267</v>
      </c>
      <c r="B9416" s="2" t="s">
        <v>480</v>
      </c>
      <c r="C9416" s="2">
        <v>1035.146</v>
      </c>
      <c r="D9416" s="2">
        <f>HYPERLINK("http://mcb-m6.bioreg.kyushu-u.ac.jp/M3/20110414/F50959/5055/1", 88.58)</f>
        <v>88.58</v>
      </c>
      <c r="E9416" s="2">
        <v>81.819999999999993</v>
      </c>
      <c r="F9416" s="2">
        <v>3</v>
      </c>
      <c r="G9416" s="2" t="s">
        <v>12</v>
      </c>
    </row>
    <row r="9417" spans="1:9" x14ac:dyDescent="0.2">
      <c r="A9417" s="2" t="s">
        <v>3267</v>
      </c>
      <c r="B9417" s="2" t="s">
        <v>491</v>
      </c>
      <c r="C9417" s="2">
        <v>766.39869999999996</v>
      </c>
      <c r="D9417" s="2">
        <f>HYPERLINK("http://mcb-m6.bioreg.kyushu-u.ac.jp/M3/20110414/F50946/2137/1", 93.43)</f>
        <v>93.43</v>
      </c>
      <c r="E9417" s="2">
        <v>70.45</v>
      </c>
      <c r="F9417" s="2">
        <v>2</v>
      </c>
      <c r="G9417" s="2" t="s">
        <v>12</v>
      </c>
    </row>
    <row r="9418" spans="1:9" x14ac:dyDescent="0.2">
      <c r="A9418" s="2" t="s">
        <v>3267</v>
      </c>
      <c r="B9418" s="2" t="s">
        <v>1606</v>
      </c>
      <c r="C9418" s="2">
        <v>862.19460000000004</v>
      </c>
      <c r="D9418" s="2">
        <f>HYPERLINK("http://mcb-m6.bioreg.kyushu-u.ac.jp/M3/20110414/F50958/2868/1", 96.23)</f>
        <v>96.23</v>
      </c>
      <c r="E9418" s="2">
        <v>81.239999999999995</v>
      </c>
      <c r="F9418" s="2">
        <v>2</v>
      </c>
      <c r="G9418" s="2" t="s">
        <v>12</v>
      </c>
    </row>
    <row r="9419" spans="1:9" x14ac:dyDescent="0.2">
      <c r="A9419" s="2" t="s">
        <v>3267</v>
      </c>
      <c r="B9419" s="2" t="s">
        <v>480</v>
      </c>
      <c r="C9419" s="2">
        <v>1034.646</v>
      </c>
      <c r="D9419" s="2">
        <f>HYPERLINK("http://mcb-m6.bioreg.kyushu-u.ac.jp/M3/20110414/F50958/4964/1", 96.24)</f>
        <v>96.24</v>
      </c>
      <c r="E9419" s="2">
        <v>83.58</v>
      </c>
      <c r="F9419" s="2">
        <v>3</v>
      </c>
      <c r="G9419" s="2" t="s">
        <v>12</v>
      </c>
    </row>
    <row r="9420" spans="1:9" x14ac:dyDescent="0.2">
      <c r="A9420" s="2" t="s">
        <v>3267</v>
      </c>
      <c r="B9420" s="2" t="s">
        <v>1612</v>
      </c>
      <c r="C9420" s="2">
        <v>1003.337</v>
      </c>
      <c r="D9420" s="2">
        <f>HYPERLINK("http://mcb-m6.bioreg.kyushu-u.ac.jp/M3/20110414/F50959/3611/1", 98.74)</f>
        <v>98.74</v>
      </c>
      <c r="E9420" s="2">
        <v>92.34</v>
      </c>
      <c r="F9420" s="2">
        <v>2</v>
      </c>
      <c r="G9420" s="2" t="s">
        <v>12</v>
      </c>
      <c r="I9420" s="2" t="s">
        <v>4935</v>
      </c>
    </row>
    <row r="9421" spans="1:9" x14ac:dyDescent="0.2">
      <c r="A9421" s="2" t="s">
        <v>3267</v>
      </c>
      <c r="B9421" s="2" t="s">
        <v>480</v>
      </c>
      <c r="C9421" s="2">
        <v>1034.58</v>
      </c>
      <c r="D9421" s="2">
        <f>HYPERLINK("http://mcb-m6.bioreg.kyushu-u.ac.jp/M3/20110414/F50959/5054/1", 102.03)</f>
        <v>102.03</v>
      </c>
      <c r="E9421" s="2">
        <v>87.28</v>
      </c>
      <c r="F9421" s="2">
        <v>3</v>
      </c>
      <c r="G9421" s="2" t="s">
        <v>12</v>
      </c>
    </row>
    <row r="9422" spans="1:9" x14ac:dyDescent="0.2">
      <c r="A9422" s="2" t="s">
        <v>3267</v>
      </c>
      <c r="B9422" s="2" t="s">
        <v>1606</v>
      </c>
      <c r="C9422" s="2">
        <v>862.07870000000003</v>
      </c>
      <c r="D9422" s="2">
        <f>HYPERLINK("http://mcb-m6.bioreg.kyushu-u.ac.jp/M3/20110414/F50958/2866/1", 105.73)</f>
        <v>105.73</v>
      </c>
      <c r="E9422" s="2">
        <v>86.85</v>
      </c>
      <c r="F9422" s="2">
        <v>2</v>
      </c>
      <c r="G9422" s="2" t="s">
        <v>12</v>
      </c>
    </row>
    <row r="9423" spans="1:9" x14ac:dyDescent="0.2">
      <c r="A9423" s="2" t="s">
        <v>3267</v>
      </c>
      <c r="B9423" s="2" t="s">
        <v>1612</v>
      </c>
      <c r="C9423" s="2">
        <v>1003.722</v>
      </c>
      <c r="D9423" s="2">
        <f>HYPERLINK("http://mcb-m6.bioreg.kyushu-u.ac.jp/M3/20110414/F50958/3650/1", 107.35)</f>
        <v>107.35</v>
      </c>
      <c r="E9423" s="2">
        <v>91.64</v>
      </c>
      <c r="F9423" s="2">
        <v>2</v>
      </c>
      <c r="G9423" s="2" t="s">
        <v>12</v>
      </c>
      <c r="I9423" s="2" t="s">
        <v>4935</v>
      </c>
    </row>
    <row r="9424" spans="1:9" x14ac:dyDescent="0.2">
      <c r="A9424" s="2" t="s">
        <v>3267</v>
      </c>
      <c r="B9424" s="2" t="s">
        <v>602</v>
      </c>
      <c r="C9424" s="2">
        <v>742.12570000000005</v>
      </c>
      <c r="D9424" s="2">
        <f>HYPERLINK("http://mcb-m6.bioreg.kyushu-u.ac.jp/M3/20110414/F50958/1994/1", 109.43)</f>
        <v>109.43</v>
      </c>
      <c r="E9424" s="2">
        <v>95.43</v>
      </c>
      <c r="F9424" s="2">
        <v>2</v>
      </c>
      <c r="G9424" s="2" t="s">
        <v>12</v>
      </c>
    </row>
    <row r="9425" spans="1:9" x14ac:dyDescent="0.2">
      <c r="A9425" s="2" t="s">
        <v>3267</v>
      </c>
      <c r="B9425" s="2" t="s">
        <v>1353</v>
      </c>
      <c r="C9425" s="2">
        <v>825.37459999999999</v>
      </c>
      <c r="D9425" s="2">
        <f>HYPERLINK("http://mcb-m6.bioreg.kyushu-u.ac.jp/M3/20110414/F50959/2492/1", 110.71)</f>
        <v>110.71</v>
      </c>
      <c r="E9425" s="2">
        <v>92.67</v>
      </c>
      <c r="F9425" s="2">
        <v>2</v>
      </c>
      <c r="G9425" s="2" t="s">
        <v>12</v>
      </c>
    </row>
    <row r="9426" spans="1:9" x14ac:dyDescent="0.2">
      <c r="A9426" s="2" t="s">
        <v>3267</v>
      </c>
      <c r="B9426" s="2" t="s">
        <v>602</v>
      </c>
      <c r="C9426" s="2">
        <v>742.65920000000006</v>
      </c>
      <c r="D9426" s="2">
        <f>HYPERLINK("http://mcb-m6.bioreg.kyushu-u.ac.jp/M3/20110414/F50950/2172/1", 113.76)</f>
        <v>113.76</v>
      </c>
      <c r="E9426" s="2">
        <v>99.11</v>
      </c>
      <c r="F9426" s="2">
        <v>2</v>
      </c>
      <c r="G9426" s="2" t="s">
        <v>12</v>
      </c>
    </row>
    <row r="9427" spans="1:9" x14ac:dyDescent="0.2">
      <c r="A9427" s="2" t="s">
        <v>3267</v>
      </c>
      <c r="B9427" s="2" t="s">
        <v>2506</v>
      </c>
      <c r="C9427" s="2">
        <v>1045.22</v>
      </c>
      <c r="D9427" s="2">
        <f>HYPERLINK("http://mcb-m6.bioreg.kyushu-u.ac.jp/M3/20110414/F50958/3802/1", 113.9)</f>
        <v>113.9</v>
      </c>
      <c r="E9427" s="2">
        <v>84.81</v>
      </c>
      <c r="F9427" s="2">
        <v>2</v>
      </c>
      <c r="G9427" s="2" t="s">
        <v>12</v>
      </c>
      <c r="I9427" s="2" t="s">
        <v>4966</v>
      </c>
    </row>
    <row r="9428" spans="1:9" x14ac:dyDescent="0.2">
      <c r="A9428" s="2" t="s">
        <v>3267</v>
      </c>
      <c r="B9428" s="2" t="s">
        <v>602</v>
      </c>
      <c r="C9428" s="2">
        <v>742.30870000000004</v>
      </c>
      <c r="D9428" s="2">
        <f>HYPERLINK("http://mcb-m6.bioreg.kyushu-u.ac.jp/M3/20110414/F50948/2100/1", 114.56)</f>
        <v>114.56</v>
      </c>
      <c r="E9428" s="2">
        <v>102</v>
      </c>
      <c r="F9428" s="2">
        <v>2</v>
      </c>
      <c r="G9428" s="2" t="s">
        <v>12</v>
      </c>
    </row>
    <row r="9429" spans="1:9" x14ac:dyDescent="0.2">
      <c r="A9429" s="2" t="s">
        <v>3267</v>
      </c>
      <c r="B9429" s="2" t="s">
        <v>1623</v>
      </c>
      <c r="C9429" s="2">
        <v>796.35310000000004</v>
      </c>
      <c r="D9429" s="2">
        <f>HYPERLINK("http://mcb-m6.bioreg.kyushu-u.ac.jp/M3/20110414/F50958/2406/1", 116.28)</f>
        <v>116.28</v>
      </c>
      <c r="E9429" s="2">
        <v>96.24</v>
      </c>
      <c r="F9429" s="2">
        <v>2</v>
      </c>
      <c r="G9429" s="2" t="s">
        <v>12</v>
      </c>
      <c r="I9429" s="2" t="s">
        <v>4909</v>
      </c>
    </row>
    <row r="9430" spans="1:9" x14ac:dyDescent="0.2">
      <c r="A9430" s="2" t="s">
        <v>3267</v>
      </c>
      <c r="B9430" s="2" t="s">
        <v>1666</v>
      </c>
      <c r="C9430" s="2">
        <v>1473.481</v>
      </c>
      <c r="D9430" s="2">
        <f>HYPERLINK("http://mcb-m6.bioreg.kyushu-u.ac.jp/M3/20110414/F50958/4905/1", 120.88)</f>
        <v>120.88</v>
      </c>
      <c r="E9430" s="2">
        <v>107.01</v>
      </c>
      <c r="F9430" s="2">
        <v>2</v>
      </c>
      <c r="G9430" s="2" t="s">
        <v>12</v>
      </c>
    </row>
    <row r="9431" spans="1:9" x14ac:dyDescent="0.2">
      <c r="A9431" s="2" t="s">
        <v>3267</v>
      </c>
      <c r="B9431" s="2" t="s">
        <v>1353</v>
      </c>
      <c r="C9431" s="2">
        <v>825.40170000000001</v>
      </c>
      <c r="D9431" s="2">
        <f>HYPERLINK("http://mcb-m6.bioreg.kyushu-u.ac.jp/M3/20110414/F50958/2601/1", 120.91)</f>
        <v>120.91</v>
      </c>
      <c r="E9431" s="2">
        <v>87.93</v>
      </c>
      <c r="F9431" s="2">
        <v>2</v>
      </c>
      <c r="G9431" s="2" t="s">
        <v>12</v>
      </c>
    </row>
    <row r="9432" spans="1:9" x14ac:dyDescent="0.2">
      <c r="A9432" s="2" t="s">
        <v>3267</v>
      </c>
      <c r="B9432" s="2" t="s">
        <v>602</v>
      </c>
      <c r="C9432" s="2">
        <v>742.65120000000002</v>
      </c>
      <c r="D9432" s="2">
        <f>HYPERLINK("http://mcb-m6.bioreg.kyushu-u.ac.jp/M3/20110414/F50959/1901/1", 128.51)</f>
        <v>128.51</v>
      </c>
      <c r="E9432" s="2">
        <v>120.44</v>
      </c>
      <c r="F9432" s="2">
        <v>2</v>
      </c>
      <c r="G9432" s="2" t="s">
        <v>12</v>
      </c>
    </row>
    <row r="9433" spans="1:9" x14ac:dyDescent="0.2">
      <c r="A9433" s="2" t="s">
        <v>3267</v>
      </c>
      <c r="B9433" s="2" t="s">
        <v>602</v>
      </c>
      <c r="C9433" s="2">
        <v>741.9402</v>
      </c>
      <c r="D9433" s="2">
        <f>HYPERLINK("http://mcb-m6.bioreg.kyushu-u.ac.jp/M3/20110414/F50950/2168/1", 144.36)</f>
        <v>144.36000000000001</v>
      </c>
      <c r="E9433" s="2">
        <v>123.25</v>
      </c>
      <c r="F9433" s="2">
        <v>2</v>
      </c>
      <c r="G9433" s="2" t="s">
        <v>12</v>
      </c>
    </row>
    <row r="9434" spans="1:9" x14ac:dyDescent="0.2">
      <c r="A9434" s="2" t="s">
        <v>3267</v>
      </c>
      <c r="B9434" s="2" t="s">
        <v>47</v>
      </c>
      <c r="C9434" s="2">
        <v>549.10270000000003</v>
      </c>
      <c r="D9434" s="2">
        <f>HYPERLINK("http://mcb-m6.bioreg.kyushu-u.ac.jp/M3/20110502/F51174/1296/1", 35.59)</f>
        <v>35.590000000000003</v>
      </c>
      <c r="E9434" s="2">
        <v>8.36</v>
      </c>
      <c r="F9434" s="2">
        <v>2</v>
      </c>
      <c r="G9434" s="2" t="s">
        <v>13</v>
      </c>
      <c r="H9434" s="2" t="s">
        <v>4904</v>
      </c>
    </row>
    <row r="9435" spans="1:9" x14ac:dyDescent="0.2">
      <c r="A9435" s="2" t="s">
        <v>3267</v>
      </c>
      <c r="B9435" s="2" t="s">
        <v>47</v>
      </c>
      <c r="C9435" s="2">
        <v>557.61220000000003</v>
      </c>
      <c r="D9435" s="2">
        <f>HYPERLINK("http://mcb-m6.bioreg.kyushu-u.ac.jp/M3/20110502/F51174/1328/3", 36.15)</f>
        <v>36.15</v>
      </c>
      <c r="E9435" s="2">
        <v>10.67</v>
      </c>
      <c r="F9435" s="2">
        <v>2</v>
      </c>
      <c r="G9435" s="2" t="s">
        <v>13</v>
      </c>
    </row>
    <row r="9436" spans="1:9" x14ac:dyDescent="0.2">
      <c r="A9436" s="2" t="s">
        <v>3267</v>
      </c>
      <c r="B9436" s="2" t="s">
        <v>47</v>
      </c>
      <c r="C9436" s="2">
        <v>549.11109999999996</v>
      </c>
      <c r="D9436" s="2">
        <f>HYPERLINK("http://mcb-m6.bioreg.kyushu-u.ac.jp/M3/20110502/F51173/809/1", 36.51)</f>
        <v>36.51</v>
      </c>
      <c r="E9436" s="2">
        <v>11.88</v>
      </c>
      <c r="F9436" s="2">
        <v>2</v>
      </c>
      <c r="G9436" s="2" t="s">
        <v>13</v>
      </c>
      <c r="H9436" s="2" t="s">
        <v>4904</v>
      </c>
    </row>
    <row r="9437" spans="1:9" x14ac:dyDescent="0.2">
      <c r="A9437" s="2" t="s">
        <v>3267</v>
      </c>
      <c r="B9437" s="2" t="s">
        <v>433</v>
      </c>
      <c r="C9437" s="2">
        <v>546.77189999999996</v>
      </c>
      <c r="D9437" s="2">
        <f>HYPERLINK("http://mcb-m6.bioreg.kyushu-u.ac.jp/M3/20110502/F51172/2655/1", 37.03)</f>
        <v>37.03</v>
      </c>
      <c r="E9437" s="2">
        <v>20.2</v>
      </c>
      <c r="F9437" s="2">
        <v>3</v>
      </c>
      <c r="G9437" s="2" t="s">
        <v>13</v>
      </c>
    </row>
    <row r="9438" spans="1:9" x14ac:dyDescent="0.2">
      <c r="A9438" s="2" t="s">
        <v>3267</v>
      </c>
      <c r="B9438" s="2" t="s">
        <v>602</v>
      </c>
      <c r="C9438" s="2">
        <v>742.76670000000001</v>
      </c>
      <c r="D9438" s="2">
        <f>HYPERLINK("http://mcb-m6.bioreg.kyushu-u.ac.jp/M3/20110502/F51165/2108/1", 37.26)</f>
        <v>37.26</v>
      </c>
      <c r="E9438" s="2">
        <v>28.19</v>
      </c>
      <c r="F9438" s="2">
        <v>2</v>
      </c>
      <c r="G9438" s="2" t="s">
        <v>13</v>
      </c>
    </row>
    <row r="9439" spans="1:9" x14ac:dyDescent="0.2">
      <c r="A9439" s="2" t="s">
        <v>3267</v>
      </c>
      <c r="B9439" s="2" t="s">
        <v>491</v>
      </c>
      <c r="C9439" s="2">
        <v>766.66470000000004</v>
      </c>
      <c r="D9439" s="2">
        <f>HYPERLINK("http://mcb-m6.bioreg.kyushu-u.ac.jp/M3/20110502/F51172/2264/1", 37.44)</f>
        <v>37.44</v>
      </c>
      <c r="E9439" s="2">
        <v>19.5</v>
      </c>
      <c r="F9439" s="2">
        <v>2</v>
      </c>
      <c r="G9439" s="2" t="s">
        <v>13</v>
      </c>
    </row>
    <row r="9440" spans="1:9" x14ac:dyDescent="0.2">
      <c r="A9440" s="2" t="s">
        <v>3267</v>
      </c>
      <c r="B9440" s="2" t="s">
        <v>433</v>
      </c>
      <c r="C9440" s="2">
        <v>819.65920000000006</v>
      </c>
      <c r="D9440" s="2">
        <f>HYPERLINK("http://mcb-m6.bioreg.kyushu-u.ac.jp/M3/20110502/F51172/2656/1", 38.12)</f>
        <v>38.119999999999997</v>
      </c>
      <c r="E9440" s="2">
        <v>26.85</v>
      </c>
      <c r="F9440" s="2">
        <v>2</v>
      </c>
      <c r="G9440" s="2" t="s">
        <v>13</v>
      </c>
    </row>
    <row r="9441" spans="1:8" x14ac:dyDescent="0.2">
      <c r="A9441" s="2" t="s">
        <v>3267</v>
      </c>
      <c r="B9441" s="2" t="s">
        <v>433</v>
      </c>
      <c r="C9441" s="2">
        <v>819.72360000000003</v>
      </c>
      <c r="D9441" s="2">
        <f>HYPERLINK("http://mcb-m6.bioreg.kyushu-u.ac.jp/M3/20110502/F51173/2299/1", 38.74)</f>
        <v>38.74</v>
      </c>
      <c r="E9441" s="2">
        <v>28.83</v>
      </c>
      <c r="F9441" s="2">
        <v>2</v>
      </c>
      <c r="G9441" s="2" t="s">
        <v>13</v>
      </c>
    </row>
    <row r="9442" spans="1:8" x14ac:dyDescent="0.2">
      <c r="A9442" s="2" t="s">
        <v>3267</v>
      </c>
      <c r="B9442" s="2" t="s">
        <v>1526</v>
      </c>
      <c r="C9442" s="2">
        <v>619.62660000000005</v>
      </c>
      <c r="D9442" s="2">
        <f>HYPERLINK("http://mcb-m6.bioreg.kyushu-u.ac.jp/M3/20110502/F51172/1384/1", 38.84)</f>
        <v>38.840000000000003</v>
      </c>
      <c r="E9442" s="2">
        <v>16.809999999999999</v>
      </c>
      <c r="F9442" s="2">
        <v>2</v>
      </c>
      <c r="G9442" s="2" t="s">
        <v>13</v>
      </c>
    </row>
    <row r="9443" spans="1:8" x14ac:dyDescent="0.2">
      <c r="A9443" s="2" t="s">
        <v>3267</v>
      </c>
      <c r="B9443" s="2" t="s">
        <v>491</v>
      </c>
      <c r="C9443" s="2">
        <v>766.71119999999996</v>
      </c>
      <c r="D9443" s="2">
        <f>HYPERLINK("http://mcb-m6.bioreg.kyushu-u.ac.jp/M3/20110502/F51172/2273/1", 39.59)</f>
        <v>39.590000000000003</v>
      </c>
      <c r="E9443" s="2">
        <v>25.98</v>
      </c>
      <c r="F9443" s="2">
        <v>2</v>
      </c>
      <c r="G9443" s="2" t="s">
        <v>13</v>
      </c>
    </row>
    <row r="9444" spans="1:8" x14ac:dyDescent="0.2">
      <c r="A9444" s="2" t="s">
        <v>3267</v>
      </c>
      <c r="B9444" s="2" t="s">
        <v>491</v>
      </c>
      <c r="C9444" s="2">
        <v>766.61659999999995</v>
      </c>
      <c r="D9444" s="2">
        <f>HYPERLINK("http://mcb-m6.bioreg.kyushu-u.ac.jp/M3/20110502/F51172/2262/1", 39.79)</f>
        <v>39.79</v>
      </c>
      <c r="E9444" s="2">
        <v>24.67</v>
      </c>
      <c r="F9444" s="2">
        <v>2</v>
      </c>
      <c r="G9444" s="2" t="s">
        <v>13</v>
      </c>
    </row>
    <row r="9445" spans="1:8" x14ac:dyDescent="0.2">
      <c r="A9445" s="2" t="s">
        <v>3267</v>
      </c>
      <c r="B9445" s="2" t="s">
        <v>1837</v>
      </c>
      <c r="C9445" s="2">
        <v>1204.8219999999999</v>
      </c>
      <c r="D9445" s="2">
        <f>HYPERLINK("http://mcb-m6.bioreg.kyushu-u.ac.jp/M3/20110502/F51172/1296/1", 39.91)</f>
        <v>39.909999999999997</v>
      </c>
      <c r="E9445" s="2">
        <v>17.8</v>
      </c>
      <c r="F9445" s="2">
        <v>1</v>
      </c>
      <c r="G9445" s="2" t="s">
        <v>13</v>
      </c>
    </row>
    <row r="9446" spans="1:8" x14ac:dyDescent="0.2">
      <c r="A9446" s="2" t="s">
        <v>3267</v>
      </c>
      <c r="B9446" s="2" t="s">
        <v>1353</v>
      </c>
      <c r="C9446" s="2">
        <v>825.65309999999999</v>
      </c>
      <c r="D9446" s="2">
        <f>HYPERLINK("http://mcb-m6.bioreg.kyushu-u.ac.jp/M3/20110502/F51172/2709/1", 41.86)</f>
        <v>41.86</v>
      </c>
      <c r="E9446" s="2">
        <v>24.8</v>
      </c>
      <c r="F9446" s="2">
        <v>2</v>
      </c>
      <c r="G9446" s="2" t="s">
        <v>13</v>
      </c>
    </row>
    <row r="9447" spans="1:8" x14ac:dyDescent="0.2">
      <c r="A9447" s="2" t="s">
        <v>3267</v>
      </c>
      <c r="B9447" s="2" t="s">
        <v>491</v>
      </c>
      <c r="C9447" s="2">
        <v>766.6952</v>
      </c>
      <c r="D9447" s="2">
        <f>HYPERLINK("http://mcb-m6.bioreg.kyushu-u.ac.jp/M3/20110502/F51172/2269/1", 41.96)</f>
        <v>41.96</v>
      </c>
      <c r="E9447" s="2">
        <v>22.41</v>
      </c>
      <c r="F9447" s="2">
        <v>2</v>
      </c>
      <c r="G9447" s="2" t="s">
        <v>13</v>
      </c>
    </row>
    <row r="9448" spans="1:8" x14ac:dyDescent="0.2">
      <c r="A9448" s="2" t="s">
        <v>3267</v>
      </c>
      <c r="B9448" s="2" t="s">
        <v>697</v>
      </c>
      <c r="C9448" s="2">
        <v>733.16060000000004</v>
      </c>
      <c r="D9448" s="2">
        <f>HYPERLINK("http://mcb-m6.bioreg.kyushu-u.ac.jp/M3/20110502/F51172/2042/1", 42.22)</f>
        <v>42.22</v>
      </c>
      <c r="E9448" s="2">
        <v>23.28</v>
      </c>
      <c r="F9448" s="2">
        <v>2</v>
      </c>
      <c r="G9448" s="2" t="s">
        <v>13</v>
      </c>
    </row>
    <row r="9449" spans="1:8" x14ac:dyDescent="0.2">
      <c r="A9449" s="2" t="s">
        <v>3267</v>
      </c>
      <c r="B9449" s="2" t="s">
        <v>97</v>
      </c>
      <c r="C9449" s="2">
        <v>669.39170000000001</v>
      </c>
      <c r="D9449" s="2">
        <f>HYPERLINK("http://mcb-m6.bioreg.kyushu-u.ac.jp/M3/20110502/F51172/1611/1", 42.31)</f>
        <v>42.31</v>
      </c>
      <c r="E9449" s="2">
        <v>23.07</v>
      </c>
      <c r="F9449" s="2">
        <v>2</v>
      </c>
      <c r="G9449" s="2" t="s">
        <v>13</v>
      </c>
    </row>
    <row r="9450" spans="1:8" x14ac:dyDescent="0.2">
      <c r="A9450" s="2" t="s">
        <v>3267</v>
      </c>
      <c r="B9450" s="2" t="s">
        <v>97</v>
      </c>
      <c r="C9450" s="2">
        <v>669.16420000000005</v>
      </c>
      <c r="D9450" s="2">
        <f>HYPERLINK("http://mcb-m6.bioreg.kyushu-u.ac.jp/M3/20110502/F51172/1608/1", 42.68)</f>
        <v>42.68</v>
      </c>
      <c r="E9450" s="2">
        <v>23.01</v>
      </c>
      <c r="F9450" s="2">
        <v>2</v>
      </c>
      <c r="G9450" s="2" t="s">
        <v>13</v>
      </c>
    </row>
    <row r="9451" spans="1:8" x14ac:dyDescent="0.2">
      <c r="A9451" s="2" t="s">
        <v>3267</v>
      </c>
      <c r="B9451" s="2" t="s">
        <v>433</v>
      </c>
      <c r="C9451" s="2">
        <v>819.6567</v>
      </c>
      <c r="D9451" s="2">
        <f>HYPERLINK("http://mcb-m6.bioreg.kyushu-u.ac.jp/M3/20110502/F51173/2298/1", 42.83)</f>
        <v>42.83</v>
      </c>
      <c r="E9451" s="2">
        <v>30.6</v>
      </c>
      <c r="F9451" s="2">
        <v>2</v>
      </c>
      <c r="G9451" s="2" t="s">
        <v>13</v>
      </c>
    </row>
    <row r="9452" spans="1:8" x14ac:dyDescent="0.2">
      <c r="A9452" s="2" t="s">
        <v>3267</v>
      </c>
      <c r="B9452" s="2" t="s">
        <v>697</v>
      </c>
      <c r="C9452" s="2">
        <v>733.38760000000002</v>
      </c>
      <c r="D9452" s="2">
        <f>HYPERLINK("http://mcb-m6.bioreg.kyushu-u.ac.jp/M3/20110502/F51170/2026/1", 43.02)</f>
        <v>43.02</v>
      </c>
      <c r="E9452" s="2">
        <v>22.78</v>
      </c>
      <c r="F9452" s="2">
        <v>2</v>
      </c>
      <c r="G9452" s="2" t="s">
        <v>13</v>
      </c>
    </row>
    <row r="9453" spans="1:8" x14ac:dyDescent="0.2">
      <c r="A9453" s="2" t="s">
        <v>3267</v>
      </c>
      <c r="B9453" s="2" t="s">
        <v>433</v>
      </c>
      <c r="C9453" s="2">
        <v>819.87369999999999</v>
      </c>
      <c r="D9453" s="2">
        <f>HYPERLINK("http://mcb-m6.bioreg.kyushu-u.ac.jp/M3/20110502/F51172/2664/1", 43.34)</f>
        <v>43.34</v>
      </c>
      <c r="E9453" s="2">
        <v>24.02</v>
      </c>
      <c r="F9453" s="2">
        <v>2</v>
      </c>
      <c r="G9453" s="2" t="s">
        <v>13</v>
      </c>
    </row>
    <row r="9454" spans="1:8" x14ac:dyDescent="0.2">
      <c r="A9454" s="2" t="s">
        <v>3267</v>
      </c>
      <c r="B9454" s="2" t="s">
        <v>2889</v>
      </c>
      <c r="C9454" s="2">
        <v>1146.8340000000001</v>
      </c>
      <c r="D9454" s="2">
        <f>HYPERLINK("http://mcb-m6.bioreg.kyushu-u.ac.jp/M3/20110502/F51172/1126/1", 44.49)</f>
        <v>44.49</v>
      </c>
      <c r="E9454" s="2">
        <v>23.56</v>
      </c>
      <c r="F9454" s="2">
        <v>1</v>
      </c>
      <c r="G9454" s="2" t="s">
        <v>13</v>
      </c>
    </row>
    <row r="9455" spans="1:8" x14ac:dyDescent="0.2">
      <c r="A9455" s="2" t="s">
        <v>3267</v>
      </c>
      <c r="B9455" s="2" t="s">
        <v>568</v>
      </c>
      <c r="C9455" s="2">
        <v>852.87900000000002</v>
      </c>
      <c r="D9455" s="2">
        <f>HYPERLINK("http://mcb-m6.bioreg.kyushu-u.ac.jp/M3/20110502/F51172/411/1", 44.85)</f>
        <v>44.85</v>
      </c>
      <c r="E9455" s="2">
        <v>29.51</v>
      </c>
      <c r="F9455" s="2">
        <v>1</v>
      </c>
      <c r="G9455" s="2" t="s">
        <v>13</v>
      </c>
      <c r="H9455" s="2" t="s">
        <v>4917</v>
      </c>
    </row>
    <row r="9456" spans="1:8" x14ac:dyDescent="0.2">
      <c r="A9456" s="2" t="s">
        <v>3267</v>
      </c>
      <c r="B9456" s="2" t="s">
        <v>491</v>
      </c>
      <c r="C9456" s="2">
        <v>766.60919999999999</v>
      </c>
      <c r="D9456" s="2">
        <f>HYPERLINK("http://mcb-m6.bioreg.kyushu-u.ac.jp/M3/20110502/F51172/2261/1", 46.03)</f>
        <v>46.03</v>
      </c>
      <c r="E9456" s="2">
        <v>31.63</v>
      </c>
      <c r="F9456" s="2">
        <v>2</v>
      </c>
      <c r="G9456" s="2" t="s">
        <v>13</v>
      </c>
    </row>
    <row r="9457" spans="1:9" x14ac:dyDescent="0.2">
      <c r="A9457" s="2" t="s">
        <v>3267</v>
      </c>
      <c r="B9457" s="2" t="s">
        <v>602</v>
      </c>
      <c r="C9457" s="2">
        <v>742.8682</v>
      </c>
      <c r="D9457" s="2">
        <f>HYPERLINK("http://mcb-m6.bioreg.kyushu-u.ac.jp/M3/20110502/F51172/2109/1", 46.23)</f>
        <v>46.23</v>
      </c>
      <c r="E9457" s="2">
        <v>21.32</v>
      </c>
      <c r="F9457" s="2">
        <v>2</v>
      </c>
      <c r="G9457" s="2" t="s">
        <v>13</v>
      </c>
    </row>
    <row r="9458" spans="1:9" x14ac:dyDescent="0.2">
      <c r="A9458" s="2" t="s">
        <v>3267</v>
      </c>
      <c r="B9458" s="2" t="s">
        <v>97</v>
      </c>
      <c r="C9458" s="2">
        <v>669.15419999999995</v>
      </c>
      <c r="D9458" s="2">
        <f>HYPERLINK("http://mcb-m6.bioreg.kyushu-u.ac.jp/M3/20110502/F51173/1371/1", 47.02)</f>
        <v>47.02</v>
      </c>
      <c r="E9458" s="2">
        <v>23.96</v>
      </c>
      <c r="F9458" s="2">
        <v>2</v>
      </c>
      <c r="G9458" s="2" t="s">
        <v>13</v>
      </c>
    </row>
    <row r="9459" spans="1:9" x14ac:dyDescent="0.2">
      <c r="A9459" s="2" t="s">
        <v>3267</v>
      </c>
      <c r="B9459" s="2" t="s">
        <v>97</v>
      </c>
      <c r="C9459" s="2">
        <v>669.31370000000004</v>
      </c>
      <c r="D9459" s="2">
        <f>HYPERLINK("http://mcb-m6.bioreg.kyushu-u.ac.jp/M3/20110502/F51180/1365/1", 47.2)</f>
        <v>47.2</v>
      </c>
      <c r="E9459" s="2">
        <v>21.68</v>
      </c>
      <c r="F9459" s="2">
        <v>2</v>
      </c>
      <c r="G9459" s="2" t="s">
        <v>13</v>
      </c>
    </row>
    <row r="9460" spans="1:9" x14ac:dyDescent="0.2">
      <c r="A9460" s="2" t="s">
        <v>3267</v>
      </c>
      <c r="B9460" s="2" t="s">
        <v>2906</v>
      </c>
      <c r="C9460" s="2">
        <v>1000.681</v>
      </c>
      <c r="D9460" s="2">
        <f>HYPERLINK("http://mcb-m6.bioreg.kyushu-u.ac.jp/M3/20110502/F51172/690/1", 47.48)</f>
        <v>47.48</v>
      </c>
      <c r="E9460" s="2">
        <v>6.98</v>
      </c>
      <c r="F9460" s="2">
        <v>1</v>
      </c>
      <c r="G9460" s="2" t="s">
        <v>13</v>
      </c>
    </row>
    <row r="9461" spans="1:9" x14ac:dyDescent="0.2">
      <c r="A9461" s="2" t="s">
        <v>3267</v>
      </c>
      <c r="B9461" s="2" t="s">
        <v>97</v>
      </c>
      <c r="C9461" s="2">
        <v>668.94820000000004</v>
      </c>
      <c r="D9461" s="2">
        <f>HYPERLINK("http://mcb-m6.bioreg.kyushu-u.ac.jp/M3/20110502/F51170/1698/1", 48.29)</f>
        <v>48.29</v>
      </c>
      <c r="E9461" s="2">
        <v>22.02</v>
      </c>
      <c r="F9461" s="2">
        <v>2</v>
      </c>
      <c r="G9461" s="2" t="s">
        <v>13</v>
      </c>
    </row>
    <row r="9462" spans="1:9" x14ac:dyDescent="0.2">
      <c r="A9462" s="2" t="s">
        <v>3267</v>
      </c>
      <c r="B9462" s="2" t="s">
        <v>223</v>
      </c>
      <c r="C9462" s="2">
        <v>782.66020000000003</v>
      </c>
      <c r="D9462" s="2">
        <f>HYPERLINK("http://mcb-m6.bioreg.kyushu-u.ac.jp/M3/20110502/F51172/2393/1", 48.5)</f>
        <v>48.5</v>
      </c>
      <c r="E9462" s="2">
        <v>29.71</v>
      </c>
      <c r="F9462" s="2">
        <v>2</v>
      </c>
      <c r="G9462" s="2" t="s">
        <v>13</v>
      </c>
    </row>
    <row r="9463" spans="1:9" x14ac:dyDescent="0.2">
      <c r="A9463" s="2" t="s">
        <v>3267</v>
      </c>
      <c r="B9463" s="2" t="s">
        <v>491</v>
      </c>
      <c r="C9463" s="2">
        <v>766.70169999999996</v>
      </c>
      <c r="D9463" s="2">
        <f>HYPERLINK("http://mcb-m6.bioreg.kyushu-u.ac.jp/M3/20110502/F51173/1956/1", 49.29)</f>
        <v>49.29</v>
      </c>
      <c r="E9463" s="2">
        <v>26.76</v>
      </c>
      <c r="F9463" s="2">
        <v>2</v>
      </c>
      <c r="G9463" s="2" t="s">
        <v>13</v>
      </c>
    </row>
    <row r="9464" spans="1:9" x14ac:dyDescent="0.2">
      <c r="A9464" s="2" t="s">
        <v>3267</v>
      </c>
      <c r="B9464" s="2" t="s">
        <v>2906</v>
      </c>
      <c r="C9464" s="2">
        <v>999.78399999999999</v>
      </c>
      <c r="D9464" s="2">
        <f>HYPERLINK("http://mcb-m6.bioreg.kyushu-u.ac.jp/M3/20110502/F51172/684/1", 49.73)</f>
        <v>49.73</v>
      </c>
      <c r="E9464" s="2">
        <v>9.9</v>
      </c>
      <c r="F9464" s="2">
        <v>1</v>
      </c>
      <c r="G9464" s="2" t="s">
        <v>13</v>
      </c>
    </row>
    <row r="9465" spans="1:9" x14ac:dyDescent="0.2">
      <c r="A9465" s="2" t="s">
        <v>3267</v>
      </c>
      <c r="B9465" s="2" t="s">
        <v>855</v>
      </c>
      <c r="C9465" s="2">
        <v>499.12060000000002</v>
      </c>
      <c r="D9465" s="2">
        <f>HYPERLINK("http://mcb-m6.bioreg.kyushu-u.ac.jp/M3/20110502/F51172/678/1", 49.9)</f>
        <v>49.9</v>
      </c>
      <c r="E9465" s="2">
        <v>8.8800000000000008</v>
      </c>
      <c r="F9465" s="2">
        <v>2</v>
      </c>
      <c r="G9465" s="2" t="s">
        <v>13</v>
      </c>
    </row>
    <row r="9466" spans="1:9" x14ac:dyDescent="0.2">
      <c r="A9466" s="2" t="s">
        <v>3267</v>
      </c>
      <c r="B9466" s="2" t="s">
        <v>697</v>
      </c>
      <c r="C9466" s="2">
        <v>733.15309999999999</v>
      </c>
      <c r="D9466" s="2">
        <f>HYPERLINK("http://mcb-m6.bioreg.kyushu-u.ac.jp/M3/20110502/F51189/1799/1", 50.01)</f>
        <v>50.01</v>
      </c>
      <c r="E9466" s="2">
        <v>25.61</v>
      </c>
      <c r="F9466" s="2">
        <v>2</v>
      </c>
      <c r="G9466" s="2" t="s">
        <v>13</v>
      </c>
    </row>
    <row r="9467" spans="1:9" x14ac:dyDescent="0.2">
      <c r="A9467" s="2" t="s">
        <v>3267</v>
      </c>
      <c r="B9467" s="2" t="s">
        <v>97</v>
      </c>
      <c r="C9467" s="2">
        <v>1336.9639999999999</v>
      </c>
      <c r="D9467" s="2">
        <f>HYPERLINK("http://mcb-m6.bioreg.kyushu-u.ac.jp/M3/20110502/F51172/1605/1", 50.75)</f>
        <v>50.75</v>
      </c>
      <c r="E9467" s="2">
        <v>21.78</v>
      </c>
      <c r="F9467" s="2">
        <v>1</v>
      </c>
      <c r="G9467" s="2" t="s">
        <v>13</v>
      </c>
    </row>
    <row r="9468" spans="1:9" x14ac:dyDescent="0.2">
      <c r="A9468" s="2" t="s">
        <v>3267</v>
      </c>
      <c r="B9468" s="2" t="s">
        <v>491</v>
      </c>
      <c r="C9468" s="2">
        <v>766.70420000000001</v>
      </c>
      <c r="D9468" s="2">
        <f>HYPERLINK("http://mcb-m6.bioreg.kyushu-u.ac.jp/M3/20110502/F51172/2271/1", 50.88)</f>
        <v>50.88</v>
      </c>
      <c r="E9468" s="2">
        <v>26.87</v>
      </c>
      <c r="F9468" s="2">
        <v>2</v>
      </c>
      <c r="G9468" s="2" t="s">
        <v>13</v>
      </c>
    </row>
    <row r="9469" spans="1:9" x14ac:dyDescent="0.2">
      <c r="A9469" s="2" t="s">
        <v>3267</v>
      </c>
      <c r="B9469" s="2" t="s">
        <v>97</v>
      </c>
      <c r="C9469" s="2">
        <v>668.98820000000001</v>
      </c>
      <c r="D9469" s="2">
        <f>HYPERLINK("http://mcb-m6.bioreg.kyushu-u.ac.jp/M3/20110502/F51175/1572/1", 51.24)</f>
        <v>51.24</v>
      </c>
      <c r="E9469" s="2">
        <v>35.04</v>
      </c>
      <c r="F9469" s="2">
        <v>2</v>
      </c>
      <c r="G9469" s="2" t="s">
        <v>13</v>
      </c>
    </row>
    <row r="9470" spans="1:9" x14ac:dyDescent="0.2">
      <c r="A9470" s="2" t="s">
        <v>3267</v>
      </c>
      <c r="B9470" s="2" t="s">
        <v>491</v>
      </c>
      <c r="C9470" s="2">
        <v>766.68409999999994</v>
      </c>
      <c r="D9470" s="2">
        <f>HYPERLINK("http://mcb-m6.bioreg.kyushu-u.ac.jp/M3/20110502/F51172/2266/1", 51.3)</f>
        <v>51.3</v>
      </c>
      <c r="E9470" s="2">
        <v>22.26</v>
      </c>
      <c r="F9470" s="2">
        <v>2</v>
      </c>
      <c r="G9470" s="2" t="s">
        <v>13</v>
      </c>
    </row>
    <row r="9471" spans="1:9" x14ac:dyDescent="0.2">
      <c r="A9471" s="2" t="s">
        <v>3267</v>
      </c>
      <c r="B9471" s="2" t="s">
        <v>491</v>
      </c>
      <c r="C9471" s="2">
        <v>766.69460000000004</v>
      </c>
      <c r="D9471" s="2">
        <f>HYPERLINK("http://mcb-m6.bioreg.kyushu-u.ac.jp/M3/20110502/F51172/2268/1", 52.02)</f>
        <v>52.02</v>
      </c>
      <c r="E9471" s="2">
        <v>34.03</v>
      </c>
      <c r="F9471" s="2">
        <v>2</v>
      </c>
      <c r="G9471" s="2" t="s">
        <v>13</v>
      </c>
    </row>
    <row r="9472" spans="1:9" x14ac:dyDescent="0.2">
      <c r="A9472" s="2" t="s">
        <v>3267</v>
      </c>
      <c r="B9472" s="2" t="s">
        <v>2506</v>
      </c>
      <c r="C9472" s="2">
        <v>1045.511</v>
      </c>
      <c r="D9472" s="2">
        <f>HYPERLINK("http://mcb-m6.bioreg.kyushu-u.ac.jp/M3/20110502/F51172/3712/1", 53.34)</f>
        <v>53.34</v>
      </c>
      <c r="E9472" s="2">
        <v>46.97</v>
      </c>
      <c r="F9472" s="2">
        <v>2</v>
      </c>
      <c r="G9472" s="2" t="s">
        <v>13</v>
      </c>
      <c r="I9472" s="2" t="s">
        <v>4966</v>
      </c>
    </row>
    <row r="9473" spans="1:7" x14ac:dyDescent="0.2">
      <c r="A9473" s="2" t="s">
        <v>3267</v>
      </c>
      <c r="B9473" s="2" t="s">
        <v>97</v>
      </c>
      <c r="C9473" s="2">
        <v>669.06119999999999</v>
      </c>
      <c r="D9473" s="2">
        <f>HYPERLINK("http://mcb-m6.bioreg.kyushu-u.ac.jp/M3/20110502/F51174/1665/1", 53.67)</f>
        <v>53.67</v>
      </c>
      <c r="E9473" s="2">
        <v>35.659999999999997</v>
      </c>
      <c r="F9473" s="2">
        <v>2</v>
      </c>
      <c r="G9473" s="2" t="s">
        <v>13</v>
      </c>
    </row>
    <row r="9474" spans="1:7" x14ac:dyDescent="0.2">
      <c r="A9474" s="2" t="s">
        <v>3267</v>
      </c>
      <c r="B9474" s="2" t="s">
        <v>97</v>
      </c>
      <c r="C9474" s="2">
        <v>669.01969999999994</v>
      </c>
      <c r="D9474" s="2">
        <f>HYPERLINK("http://mcb-m6.bioreg.kyushu-u.ac.jp/M3/20110502/F51166/1906/1", 54.12)</f>
        <v>54.12</v>
      </c>
      <c r="E9474" s="2">
        <v>35.82</v>
      </c>
      <c r="F9474" s="2">
        <v>2</v>
      </c>
      <c r="G9474" s="2" t="s">
        <v>13</v>
      </c>
    </row>
    <row r="9475" spans="1:7" x14ac:dyDescent="0.2">
      <c r="A9475" s="2" t="s">
        <v>3267</v>
      </c>
      <c r="B9475" s="2" t="s">
        <v>491</v>
      </c>
      <c r="C9475" s="2">
        <v>766.64319999999998</v>
      </c>
      <c r="D9475" s="2">
        <f>HYPERLINK("http://mcb-m6.bioreg.kyushu-u.ac.jp/M3/20110502/F51172/2263/1", 55.89)</f>
        <v>55.89</v>
      </c>
      <c r="E9475" s="2">
        <v>43.72</v>
      </c>
      <c r="F9475" s="2">
        <v>2</v>
      </c>
      <c r="G9475" s="2" t="s">
        <v>13</v>
      </c>
    </row>
    <row r="9476" spans="1:7" x14ac:dyDescent="0.2">
      <c r="A9476" s="2" t="s">
        <v>3267</v>
      </c>
      <c r="B9476" s="2" t="s">
        <v>433</v>
      </c>
      <c r="C9476" s="2">
        <v>819.60419999999999</v>
      </c>
      <c r="D9476" s="2">
        <f>HYPERLINK("http://mcb-m6.bioreg.kyushu-u.ac.jp/M3/20110502/F51172/2654/1", 60.01)</f>
        <v>60.01</v>
      </c>
      <c r="E9476" s="2">
        <v>40.659999999999997</v>
      </c>
      <c r="F9476" s="2">
        <v>2</v>
      </c>
      <c r="G9476" s="2" t="s">
        <v>13</v>
      </c>
    </row>
    <row r="9477" spans="1:7" x14ac:dyDescent="0.2">
      <c r="A9477" s="2" t="s">
        <v>3267</v>
      </c>
      <c r="B9477" s="2" t="s">
        <v>433</v>
      </c>
      <c r="C9477" s="2">
        <v>819.75419999999997</v>
      </c>
      <c r="D9477" s="2">
        <f>HYPERLINK("http://mcb-m6.bioreg.kyushu-u.ac.jp/M3/20110502/F51172/2660/1", 61)</f>
        <v>61</v>
      </c>
      <c r="E9477" s="2">
        <v>45.06</v>
      </c>
      <c r="F9477" s="2">
        <v>2</v>
      </c>
      <c r="G9477" s="2" t="s">
        <v>13</v>
      </c>
    </row>
    <row r="9478" spans="1:7" x14ac:dyDescent="0.2">
      <c r="A9478" s="2" t="s">
        <v>3267</v>
      </c>
      <c r="B9478" s="2" t="s">
        <v>697</v>
      </c>
      <c r="C9478" s="2">
        <v>733.18960000000004</v>
      </c>
      <c r="D9478" s="2">
        <f>HYPERLINK("http://mcb-m6.bioreg.kyushu-u.ac.jp/M3/20110502/F51172/2043/1", 61.38)</f>
        <v>61.38</v>
      </c>
      <c r="E9478" s="2">
        <v>31.89</v>
      </c>
      <c r="F9478" s="2">
        <v>2</v>
      </c>
      <c r="G9478" s="2" t="s">
        <v>13</v>
      </c>
    </row>
    <row r="9479" spans="1:7" x14ac:dyDescent="0.2">
      <c r="A9479" s="2" t="s">
        <v>3267</v>
      </c>
      <c r="B9479" s="2" t="s">
        <v>433</v>
      </c>
      <c r="C9479" s="2">
        <v>819.8057</v>
      </c>
      <c r="D9479" s="2">
        <f>HYPERLINK("http://mcb-m6.bioreg.kyushu-u.ac.jp/M3/20110502/F51172/2662/1", 64.68)</f>
        <v>64.680000000000007</v>
      </c>
      <c r="E9479" s="2">
        <v>45.07</v>
      </c>
      <c r="F9479" s="2">
        <v>2</v>
      </c>
      <c r="G9479" s="2" t="s">
        <v>13</v>
      </c>
    </row>
    <row r="9480" spans="1:7" x14ac:dyDescent="0.2">
      <c r="A9480" s="2" t="s">
        <v>3267</v>
      </c>
      <c r="B9480" s="2" t="s">
        <v>491</v>
      </c>
      <c r="C9480" s="2">
        <v>1532.1079999999999</v>
      </c>
      <c r="D9480" s="2">
        <f>HYPERLINK("http://mcb-m6.bioreg.kyushu-u.ac.jp/M3/20110502/F51172/2260/1", 65.76)</f>
        <v>65.760000000000005</v>
      </c>
      <c r="E9480" s="2">
        <v>48.67</v>
      </c>
      <c r="F9480" s="2">
        <v>1</v>
      </c>
      <c r="G9480" s="2" t="s">
        <v>13</v>
      </c>
    </row>
    <row r="9481" spans="1:7" x14ac:dyDescent="0.2">
      <c r="A9481" s="2" t="s">
        <v>3267</v>
      </c>
      <c r="B9481" s="2" t="s">
        <v>491</v>
      </c>
      <c r="C9481" s="2">
        <v>766.69960000000003</v>
      </c>
      <c r="D9481" s="2">
        <f>HYPERLINK("http://mcb-m6.bioreg.kyushu-u.ac.jp/M3/20110502/F51174/2071/1", 65.77)</f>
        <v>65.77</v>
      </c>
      <c r="E9481" s="2">
        <v>40.01</v>
      </c>
      <c r="F9481" s="2">
        <v>2</v>
      </c>
      <c r="G9481" s="2" t="s">
        <v>13</v>
      </c>
    </row>
    <row r="9482" spans="1:7" x14ac:dyDescent="0.2">
      <c r="A9482" s="2" t="s">
        <v>3267</v>
      </c>
      <c r="B9482" s="2" t="s">
        <v>2906</v>
      </c>
      <c r="C9482" s="2">
        <v>500.48009999999999</v>
      </c>
      <c r="D9482" s="2">
        <f>HYPERLINK("http://mcb-m6.bioreg.kyushu-u.ac.jp/M3/20110502/F51172/686/1", 67.02)</f>
        <v>67.02</v>
      </c>
      <c r="E9482" s="2">
        <v>34.29</v>
      </c>
      <c r="F9482" s="2">
        <v>2</v>
      </c>
      <c r="G9482" s="2" t="s">
        <v>13</v>
      </c>
    </row>
    <row r="9483" spans="1:7" x14ac:dyDescent="0.2">
      <c r="A9483" s="2" t="s">
        <v>3267</v>
      </c>
      <c r="B9483" s="2" t="s">
        <v>491</v>
      </c>
      <c r="C9483" s="2">
        <v>766.68020000000001</v>
      </c>
      <c r="D9483" s="2">
        <f>HYPERLINK("http://mcb-m6.bioreg.kyushu-u.ac.jp/M3/20110502/F51188/2008/1", 69.07)</f>
        <v>69.069999999999993</v>
      </c>
      <c r="E9483" s="2">
        <v>47.7</v>
      </c>
      <c r="F9483" s="2">
        <v>2</v>
      </c>
      <c r="G9483" s="2" t="s">
        <v>13</v>
      </c>
    </row>
    <row r="9484" spans="1:7" x14ac:dyDescent="0.2">
      <c r="A9484" s="2" t="s">
        <v>3267</v>
      </c>
      <c r="B9484" s="2" t="s">
        <v>491</v>
      </c>
      <c r="C9484" s="2">
        <v>766.69759999999997</v>
      </c>
      <c r="D9484" s="2">
        <f>HYPERLINK("http://mcb-m6.bioreg.kyushu-u.ac.jp/M3/20110502/F51175/2032/1", 70.63)</f>
        <v>70.63</v>
      </c>
      <c r="E9484" s="2">
        <v>45.25</v>
      </c>
      <c r="F9484" s="2">
        <v>2</v>
      </c>
      <c r="G9484" s="2" t="s">
        <v>13</v>
      </c>
    </row>
    <row r="9485" spans="1:7" x14ac:dyDescent="0.2">
      <c r="A9485" s="2" t="s">
        <v>3267</v>
      </c>
      <c r="B9485" s="2" t="s">
        <v>2071</v>
      </c>
      <c r="C9485" s="2">
        <v>1164.539</v>
      </c>
      <c r="D9485" s="2">
        <f>HYPERLINK("http://mcb-m6.bioreg.kyushu-u.ac.jp/M3/20110502/F51172/4038/1", 73.32)</f>
        <v>73.319999999999993</v>
      </c>
      <c r="E9485" s="2">
        <v>61.42</v>
      </c>
      <c r="F9485" s="2">
        <v>2</v>
      </c>
      <c r="G9485" s="2" t="s">
        <v>13</v>
      </c>
    </row>
    <row r="9486" spans="1:7" x14ac:dyDescent="0.2">
      <c r="A9486" s="2" t="s">
        <v>3267</v>
      </c>
      <c r="B9486" s="2" t="s">
        <v>697</v>
      </c>
      <c r="C9486" s="2">
        <v>733.08619999999996</v>
      </c>
      <c r="D9486" s="2">
        <f>HYPERLINK("http://mcb-m6.bioreg.kyushu-u.ac.jp/M3/20110502/F51174/1927/1", 73.87)</f>
        <v>73.87</v>
      </c>
      <c r="E9486" s="2">
        <v>35.68</v>
      </c>
      <c r="F9486" s="2">
        <v>2</v>
      </c>
      <c r="G9486" s="2" t="s">
        <v>13</v>
      </c>
    </row>
    <row r="9487" spans="1:7" x14ac:dyDescent="0.2">
      <c r="A9487" s="2" t="s">
        <v>3267</v>
      </c>
      <c r="B9487" s="2" t="s">
        <v>491</v>
      </c>
      <c r="C9487" s="2">
        <v>766.54719999999998</v>
      </c>
      <c r="D9487" s="2">
        <f>HYPERLINK("http://mcb-m6.bioreg.kyushu-u.ac.jp/M3/20110502/F51170/2222/1", 74.01)</f>
        <v>74.010000000000005</v>
      </c>
      <c r="E9487" s="2">
        <v>51.03</v>
      </c>
      <c r="F9487" s="2">
        <v>2</v>
      </c>
      <c r="G9487" s="2" t="s">
        <v>13</v>
      </c>
    </row>
    <row r="9488" spans="1:7" x14ac:dyDescent="0.2">
      <c r="A9488" s="2" t="s">
        <v>3267</v>
      </c>
      <c r="B9488" s="2" t="s">
        <v>491</v>
      </c>
      <c r="C9488" s="2">
        <v>766.57669999999996</v>
      </c>
      <c r="D9488" s="2">
        <f>HYPERLINK("http://mcb-m6.bioreg.kyushu-u.ac.jp/M3/20110502/F51171/2124/1", 79.18)</f>
        <v>79.180000000000007</v>
      </c>
      <c r="E9488" s="2">
        <v>57.57</v>
      </c>
      <c r="F9488" s="2">
        <v>2</v>
      </c>
      <c r="G9488" s="2" t="s">
        <v>13</v>
      </c>
    </row>
    <row r="9489" spans="1:9" x14ac:dyDescent="0.2">
      <c r="A9489" s="2" t="s">
        <v>3267</v>
      </c>
      <c r="B9489" s="2" t="s">
        <v>2952</v>
      </c>
      <c r="C9489" s="2">
        <v>670.99159999999995</v>
      </c>
      <c r="D9489" s="2">
        <f>HYPERLINK("http://mcb-m6.bioreg.kyushu-u.ac.jp/M3/20110502/F51172/1622/1", 79.59)</f>
        <v>79.59</v>
      </c>
      <c r="E9489" s="2">
        <v>52.4</v>
      </c>
      <c r="F9489" s="2">
        <v>2</v>
      </c>
      <c r="G9489" s="2" t="s">
        <v>13</v>
      </c>
    </row>
    <row r="9490" spans="1:9" x14ac:dyDescent="0.2">
      <c r="A9490" s="2" t="s">
        <v>3267</v>
      </c>
      <c r="B9490" s="2" t="s">
        <v>491</v>
      </c>
      <c r="C9490" s="2">
        <v>766.72119999999995</v>
      </c>
      <c r="D9490" s="2">
        <f>HYPERLINK("http://mcb-m6.bioreg.kyushu-u.ac.jp/M3/20110502/F51172/2274/1", 90.11)</f>
        <v>90.11</v>
      </c>
      <c r="E9490" s="2">
        <v>61.29</v>
      </c>
      <c r="F9490" s="2">
        <v>2</v>
      </c>
      <c r="G9490" s="2" t="s">
        <v>13</v>
      </c>
    </row>
    <row r="9491" spans="1:9" x14ac:dyDescent="0.2">
      <c r="A9491" s="2" t="s">
        <v>3267</v>
      </c>
      <c r="B9491" s="2" t="s">
        <v>1623</v>
      </c>
      <c r="C9491" s="2">
        <v>796.61969999999997</v>
      </c>
      <c r="D9491" s="2">
        <f>HYPERLINK("http://mcb-m6.bioreg.kyushu-u.ac.jp/M3/20110502/F51172/2501/1", 93.71)</f>
        <v>93.71</v>
      </c>
      <c r="E9491" s="2">
        <v>73.59</v>
      </c>
      <c r="F9491" s="2">
        <v>2</v>
      </c>
      <c r="G9491" s="2" t="s">
        <v>13</v>
      </c>
      <c r="I9491" s="2" t="s">
        <v>4909</v>
      </c>
    </row>
    <row r="9492" spans="1:9" x14ac:dyDescent="0.2">
      <c r="A9492" s="2" t="s">
        <v>3267</v>
      </c>
      <c r="B9492" s="2" t="s">
        <v>1612</v>
      </c>
      <c r="C9492" s="2">
        <v>1003.7380000000001</v>
      </c>
      <c r="D9492" s="2">
        <f>HYPERLINK("http://mcb-m6.bioreg.kyushu-u.ac.jp/M3/20110502/F51173/3218/1", 96.5)</f>
        <v>96.5</v>
      </c>
      <c r="E9492" s="2">
        <v>83.18</v>
      </c>
      <c r="F9492" s="2">
        <v>2</v>
      </c>
      <c r="G9492" s="2" t="s">
        <v>13</v>
      </c>
      <c r="I9492" s="2" t="s">
        <v>4935</v>
      </c>
    </row>
    <row r="9493" spans="1:9" x14ac:dyDescent="0.2">
      <c r="A9493" s="2" t="s">
        <v>3267</v>
      </c>
      <c r="B9493" s="2" t="s">
        <v>1606</v>
      </c>
      <c r="C9493" s="2">
        <v>862.59860000000003</v>
      </c>
      <c r="D9493" s="2">
        <f>HYPERLINK("http://mcb-m6.bioreg.kyushu-u.ac.jp/M3/20110502/F51173/2565/1", 97.2)</f>
        <v>97.2</v>
      </c>
      <c r="E9493" s="2">
        <v>80.42</v>
      </c>
      <c r="F9493" s="2">
        <v>2</v>
      </c>
      <c r="G9493" s="2" t="s">
        <v>13</v>
      </c>
    </row>
    <row r="9494" spans="1:9" x14ac:dyDescent="0.2">
      <c r="A9494" s="2" t="s">
        <v>3267</v>
      </c>
      <c r="B9494" s="2" t="s">
        <v>1640</v>
      </c>
      <c r="C9494" s="2">
        <v>864.26869999999997</v>
      </c>
      <c r="D9494" s="2">
        <f>HYPERLINK("http://mcb-m6.bioreg.kyushu-u.ac.jp/M3/20110502/F51172/2961/1", 97.65)</f>
        <v>97.65</v>
      </c>
      <c r="E9494" s="2">
        <v>73.95</v>
      </c>
      <c r="F9494" s="2">
        <v>2</v>
      </c>
      <c r="G9494" s="2" t="s">
        <v>13</v>
      </c>
    </row>
    <row r="9495" spans="1:9" x14ac:dyDescent="0.2">
      <c r="A9495" s="2" t="s">
        <v>3267</v>
      </c>
      <c r="B9495" s="2" t="s">
        <v>1353</v>
      </c>
      <c r="C9495" s="2">
        <v>825.5607</v>
      </c>
      <c r="D9495" s="2">
        <f>HYPERLINK("http://mcb-m6.bioreg.kyushu-u.ac.jp/M3/20110502/F51170/2506/1", 105.74)</f>
        <v>105.74</v>
      </c>
      <c r="E9495" s="2">
        <v>80.260000000000005</v>
      </c>
      <c r="F9495" s="2">
        <v>2</v>
      </c>
      <c r="G9495" s="2" t="s">
        <v>13</v>
      </c>
    </row>
    <row r="9496" spans="1:9" x14ac:dyDescent="0.2">
      <c r="A9496" s="2" t="s">
        <v>3267</v>
      </c>
      <c r="B9496" s="2" t="s">
        <v>1353</v>
      </c>
      <c r="C9496" s="2">
        <v>825.68520000000001</v>
      </c>
      <c r="D9496" s="2">
        <f>HYPERLINK("http://mcb-m6.bioreg.kyushu-u.ac.jp/M3/20110502/F51180/2285/1", 107.99)</f>
        <v>107.99</v>
      </c>
      <c r="E9496" s="2">
        <v>84.84</v>
      </c>
      <c r="F9496" s="2">
        <v>2</v>
      </c>
      <c r="G9496" s="2" t="s">
        <v>13</v>
      </c>
    </row>
    <row r="9497" spans="1:9" x14ac:dyDescent="0.2">
      <c r="A9497" s="2" t="s">
        <v>3267</v>
      </c>
      <c r="B9497" s="2" t="s">
        <v>1606</v>
      </c>
      <c r="C9497" s="2">
        <v>862.57460000000003</v>
      </c>
      <c r="D9497" s="2">
        <f>HYPERLINK("http://mcb-m6.bioreg.kyushu-u.ac.jp/M3/20110502/F51170/2708/1", 111.86)</f>
        <v>111.86</v>
      </c>
      <c r="E9497" s="2">
        <v>95.57</v>
      </c>
      <c r="F9497" s="2">
        <v>2</v>
      </c>
      <c r="G9497" s="2" t="s">
        <v>13</v>
      </c>
    </row>
    <row r="9498" spans="1:9" x14ac:dyDescent="0.2">
      <c r="A9498" s="2" t="s">
        <v>3267</v>
      </c>
      <c r="B9498" s="2" t="s">
        <v>1612</v>
      </c>
      <c r="C9498" s="2">
        <v>1003.842</v>
      </c>
      <c r="D9498" s="2">
        <f>HYPERLINK("http://mcb-m6.bioreg.kyushu-u.ac.jp/M3/20110502/F51172/3569/1", 115.44)</f>
        <v>115.44</v>
      </c>
      <c r="E9498" s="2">
        <v>96.01</v>
      </c>
      <c r="F9498" s="2">
        <v>2</v>
      </c>
      <c r="G9498" s="2" t="s">
        <v>13</v>
      </c>
      <c r="I9498" s="2" t="s">
        <v>4935</v>
      </c>
    </row>
    <row r="9499" spans="1:9" x14ac:dyDescent="0.2">
      <c r="A9499" s="2" t="s">
        <v>3267</v>
      </c>
      <c r="B9499" s="2" t="s">
        <v>602</v>
      </c>
      <c r="C9499" s="2">
        <v>742.71870000000001</v>
      </c>
      <c r="D9499" s="2">
        <f>HYPERLINK("http://mcb-m6.bioreg.kyushu-u.ac.jp/M3/20110502/F51173/1814/1", 125.52)</f>
        <v>125.52</v>
      </c>
      <c r="E9499" s="2">
        <v>108.49</v>
      </c>
      <c r="F9499" s="2">
        <v>2</v>
      </c>
      <c r="G9499" s="2" t="s">
        <v>13</v>
      </c>
    </row>
    <row r="9500" spans="1:9" x14ac:dyDescent="0.2">
      <c r="A9500" s="2" t="s">
        <v>3267</v>
      </c>
      <c r="B9500" s="2" t="s">
        <v>1353</v>
      </c>
      <c r="C9500" s="2">
        <v>825.72270000000003</v>
      </c>
      <c r="D9500" s="2">
        <f>HYPERLINK("http://mcb-m6.bioreg.kyushu-u.ac.jp/M3/20110502/F51172/2710/1", 130.71)</f>
        <v>130.71</v>
      </c>
      <c r="E9500" s="2">
        <v>105.42</v>
      </c>
      <c r="F9500" s="2">
        <v>2</v>
      </c>
      <c r="G9500" s="2" t="s">
        <v>13</v>
      </c>
    </row>
    <row r="9501" spans="1:9" x14ac:dyDescent="0.2">
      <c r="A9501" s="2" t="s">
        <v>3267</v>
      </c>
      <c r="B9501" s="2" t="s">
        <v>602</v>
      </c>
      <c r="C9501" s="2">
        <v>742.71870000000001</v>
      </c>
      <c r="D9501" s="2">
        <f>HYPERLINK("http://mcb-m6.bioreg.kyushu-u.ac.jp/M3/20110502/F51172/2105/1", 130.99)</f>
        <v>130.99</v>
      </c>
      <c r="E9501" s="2">
        <v>111.89</v>
      </c>
      <c r="F9501" s="2">
        <v>2</v>
      </c>
      <c r="G9501" s="2" t="s">
        <v>13</v>
      </c>
    </row>
    <row r="9502" spans="1:9" x14ac:dyDescent="0.2">
      <c r="A9502" s="2" t="s">
        <v>3267</v>
      </c>
      <c r="B9502" s="2" t="s">
        <v>1353</v>
      </c>
      <c r="C9502" s="2">
        <v>825.59010000000001</v>
      </c>
      <c r="D9502" s="2">
        <f>HYPERLINK("http://mcb-m6.bioreg.kyushu-u.ac.jp/M3/20110502/F51171/2362/1", 131.38)</f>
        <v>131.38</v>
      </c>
      <c r="E9502" s="2">
        <v>107.25</v>
      </c>
      <c r="F9502" s="2">
        <v>2</v>
      </c>
      <c r="G9502" s="2" t="s">
        <v>13</v>
      </c>
    </row>
    <row r="9503" spans="1:9" x14ac:dyDescent="0.2">
      <c r="A9503" s="2" t="s">
        <v>3267</v>
      </c>
      <c r="B9503" s="2" t="s">
        <v>1353</v>
      </c>
      <c r="C9503" s="2">
        <v>825.63670000000002</v>
      </c>
      <c r="D9503" s="2">
        <f>HYPERLINK("http://mcb-m6.bioreg.kyushu-u.ac.jp/M3/20110502/F51173/2342/1", 131.58)</f>
        <v>131.58000000000001</v>
      </c>
      <c r="E9503" s="2">
        <v>105.36</v>
      </c>
      <c r="F9503" s="2">
        <v>2</v>
      </c>
      <c r="G9503" s="2" t="s">
        <v>13</v>
      </c>
    </row>
    <row r="9504" spans="1:9" x14ac:dyDescent="0.2">
      <c r="A9504" s="2" t="s">
        <v>3267</v>
      </c>
      <c r="B9504" s="2" t="s">
        <v>1353</v>
      </c>
      <c r="C9504" s="2">
        <v>825.59220000000005</v>
      </c>
      <c r="D9504" s="2">
        <f>HYPERLINK("http://mcb-m6.bioreg.kyushu-u.ac.jp/M3/20110502/F51174/2274/1", 135.45)</f>
        <v>135.44999999999999</v>
      </c>
      <c r="E9504" s="2">
        <v>108.72</v>
      </c>
      <c r="F9504" s="2">
        <v>2</v>
      </c>
      <c r="G9504" s="2" t="s">
        <v>13</v>
      </c>
    </row>
    <row r="9505" spans="1:9" x14ac:dyDescent="0.2">
      <c r="A9505" s="2" t="s">
        <v>3267</v>
      </c>
      <c r="B9505" s="2" t="s">
        <v>47</v>
      </c>
      <c r="C9505" s="2">
        <v>548.94420000000002</v>
      </c>
      <c r="D9505" s="2">
        <f>HYPERLINK("http://mcb-m6.bioreg.kyushu-u.ac.jp/M3/20110502/F51194/823/1", 35.07)</f>
        <v>35.07</v>
      </c>
      <c r="E9505" s="2">
        <v>14.91</v>
      </c>
      <c r="F9505" s="2">
        <v>2</v>
      </c>
      <c r="G9505" s="2" t="s">
        <v>14</v>
      </c>
      <c r="H9505" s="2" t="s">
        <v>4904</v>
      </c>
    </row>
    <row r="9506" spans="1:9" x14ac:dyDescent="0.2">
      <c r="A9506" s="2" t="s">
        <v>3267</v>
      </c>
      <c r="B9506" s="2" t="s">
        <v>562</v>
      </c>
      <c r="C9506" s="2">
        <v>965.02949999999998</v>
      </c>
      <c r="D9506" s="2">
        <f>HYPERLINK("http://mcb-m6.bioreg.kyushu-u.ac.jp/M3/20110502/F51193/3616/1", 37.62)</f>
        <v>37.619999999999997</v>
      </c>
      <c r="E9506" s="2">
        <v>31.16</v>
      </c>
      <c r="F9506" s="2">
        <v>3</v>
      </c>
      <c r="G9506" s="2" t="s">
        <v>14</v>
      </c>
    </row>
    <row r="9507" spans="1:9" x14ac:dyDescent="0.2">
      <c r="A9507" s="2" t="s">
        <v>3267</v>
      </c>
      <c r="B9507" s="2" t="s">
        <v>3018</v>
      </c>
      <c r="C9507" s="2">
        <v>521.79110000000003</v>
      </c>
      <c r="D9507" s="2">
        <f>HYPERLINK("http://mcb-m6.bioreg.kyushu-u.ac.jp/M3/20110502/F51193/830/1", 38.29)</f>
        <v>38.29</v>
      </c>
      <c r="E9507" s="2">
        <v>11.51</v>
      </c>
      <c r="F9507" s="2">
        <v>2</v>
      </c>
      <c r="G9507" s="2" t="s">
        <v>14</v>
      </c>
    </row>
    <row r="9508" spans="1:9" x14ac:dyDescent="0.2">
      <c r="A9508" s="2" t="s">
        <v>3267</v>
      </c>
      <c r="B9508" s="2" t="s">
        <v>223</v>
      </c>
      <c r="C9508" s="2">
        <v>782.59119999999996</v>
      </c>
      <c r="D9508" s="2">
        <f>HYPERLINK("http://mcb-m6.bioreg.kyushu-u.ac.jp/M3/20110502/F51193/2134/1", 38.79)</f>
        <v>38.79</v>
      </c>
      <c r="E9508" s="2">
        <v>20.37</v>
      </c>
      <c r="F9508" s="2">
        <v>2</v>
      </c>
      <c r="G9508" s="2" t="s">
        <v>14</v>
      </c>
    </row>
    <row r="9509" spans="1:9" x14ac:dyDescent="0.2">
      <c r="A9509" s="2" t="s">
        <v>3267</v>
      </c>
      <c r="B9509" s="2" t="s">
        <v>2071</v>
      </c>
      <c r="C9509" s="2">
        <v>1164.3520000000001</v>
      </c>
      <c r="D9509" s="2">
        <f>HYPERLINK("http://mcb-m6.bioreg.kyushu-u.ac.jp/M3/20110502/F51193/3331/1", 39.5)</f>
        <v>39.5</v>
      </c>
      <c r="E9509" s="2">
        <v>27.2</v>
      </c>
      <c r="F9509" s="2">
        <v>2</v>
      </c>
      <c r="G9509" s="2" t="s">
        <v>14</v>
      </c>
    </row>
    <row r="9510" spans="1:9" x14ac:dyDescent="0.2">
      <c r="A9510" s="2" t="s">
        <v>3267</v>
      </c>
      <c r="B9510" s="2" t="s">
        <v>2506</v>
      </c>
      <c r="C9510" s="2">
        <v>1045.3689999999999</v>
      </c>
      <c r="D9510" s="2">
        <f>HYPERLINK("http://mcb-m6.bioreg.kyushu-u.ac.jp/M3/20110502/F51193/3084/1", 41.14)</f>
        <v>41.14</v>
      </c>
      <c r="E9510" s="2">
        <v>30</v>
      </c>
      <c r="F9510" s="2">
        <v>2</v>
      </c>
      <c r="G9510" s="2" t="s">
        <v>14</v>
      </c>
      <c r="I9510" s="2" t="s">
        <v>4966</v>
      </c>
    </row>
    <row r="9511" spans="1:9" x14ac:dyDescent="0.2">
      <c r="A9511" s="2" t="s">
        <v>3267</v>
      </c>
      <c r="B9511" s="2" t="s">
        <v>433</v>
      </c>
      <c r="C9511" s="2">
        <v>819.74270000000001</v>
      </c>
      <c r="D9511" s="2">
        <f>HYPERLINK("http://mcb-m6.bioreg.kyushu-u.ac.jp/M3/20110502/F51193/2308/1", 42.27)</f>
        <v>42.27</v>
      </c>
      <c r="E9511" s="2">
        <v>24.92</v>
      </c>
      <c r="F9511" s="2">
        <v>2</v>
      </c>
      <c r="G9511" s="2" t="s">
        <v>14</v>
      </c>
    </row>
    <row r="9512" spans="1:9" x14ac:dyDescent="0.2">
      <c r="A9512" s="2" t="s">
        <v>3267</v>
      </c>
      <c r="B9512" s="2" t="s">
        <v>433</v>
      </c>
      <c r="C9512" s="2">
        <v>819.53920000000005</v>
      </c>
      <c r="D9512" s="2">
        <f>HYPERLINK("http://mcb-m6.bioreg.kyushu-u.ac.jp/M3/20110502/F51194/2267/1", 42.59)</f>
        <v>42.59</v>
      </c>
      <c r="E9512" s="2">
        <v>30.49</v>
      </c>
      <c r="F9512" s="2">
        <v>2</v>
      </c>
      <c r="G9512" s="2" t="s">
        <v>14</v>
      </c>
    </row>
    <row r="9513" spans="1:9" x14ac:dyDescent="0.2">
      <c r="A9513" s="2" t="s">
        <v>3267</v>
      </c>
      <c r="B9513" s="2" t="s">
        <v>2906</v>
      </c>
      <c r="C9513" s="2">
        <v>500.53309999999999</v>
      </c>
      <c r="D9513" s="2">
        <f>HYPERLINK("http://mcb-m6.bioreg.kyushu-u.ac.jp/M3/20110502/F51193/726/1", 43.5)</f>
        <v>43.5</v>
      </c>
      <c r="E9513" s="2">
        <v>17.52</v>
      </c>
      <c r="F9513" s="2">
        <v>2</v>
      </c>
      <c r="G9513" s="2" t="s">
        <v>14</v>
      </c>
    </row>
    <row r="9514" spans="1:9" x14ac:dyDescent="0.2">
      <c r="A9514" s="2" t="s">
        <v>3267</v>
      </c>
      <c r="B9514" s="2" t="s">
        <v>97</v>
      </c>
      <c r="C9514" s="2">
        <v>669.39009999999996</v>
      </c>
      <c r="D9514" s="2">
        <f>HYPERLINK("http://mcb-m6.bioreg.kyushu-u.ac.jp/M3/20110502/F51193/1434/1", 45.54)</f>
        <v>45.54</v>
      </c>
      <c r="E9514" s="2">
        <v>27.36</v>
      </c>
      <c r="F9514" s="2">
        <v>2</v>
      </c>
      <c r="G9514" s="2" t="s">
        <v>14</v>
      </c>
    </row>
    <row r="9515" spans="1:9" x14ac:dyDescent="0.2">
      <c r="A9515" s="2" t="s">
        <v>3267</v>
      </c>
      <c r="B9515" s="2" t="s">
        <v>491</v>
      </c>
      <c r="C9515" s="2">
        <v>766.63319999999999</v>
      </c>
      <c r="D9515" s="2">
        <f>HYPERLINK("http://mcb-m6.bioreg.kyushu-u.ac.jp/M3/20110502/F51193/2043/1", 45.77)</f>
        <v>45.77</v>
      </c>
      <c r="E9515" s="2">
        <v>22.06</v>
      </c>
      <c r="F9515" s="2">
        <v>2</v>
      </c>
      <c r="G9515" s="2" t="s">
        <v>14</v>
      </c>
    </row>
    <row r="9516" spans="1:9" x14ac:dyDescent="0.2">
      <c r="A9516" s="2" t="s">
        <v>3267</v>
      </c>
      <c r="B9516" s="2" t="s">
        <v>491</v>
      </c>
      <c r="C9516" s="2">
        <v>766.27970000000005</v>
      </c>
      <c r="D9516" s="2">
        <f>HYPERLINK("http://mcb-m6.bioreg.kyushu-u.ac.jp/M3/20110502/F51193/2040/1", 46.1)</f>
        <v>46.1</v>
      </c>
      <c r="E9516" s="2">
        <v>21.27</v>
      </c>
      <c r="F9516" s="2">
        <v>2</v>
      </c>
      <c r="G9516" s="2" t="s">
        <v>14</v>
      </c>
    </row>
    <row r="9517" spans="1:9" x14ac:dyDescent="0.2">
      <c r="A9517" s="2" t="s">
        <v>3267</v>
      </c>
      <c r="B9517" s="2" t="s">
        <v>47</v>
      </c>
      <c r="C9517" s="2">
        <v>548.99770000000001</v>
      </c>
      <c r="D9517" s="2">
        <f>HYPERLINK("http://mcb-m6.bioreg.kyushu-u.ac.jp/M3/20110502/F51193/959/1", 46.8)</f>
        <v>46.8</v>
      </c>
      <c r="E9517" s="2">
        <v>23.48</v>
      </c>
      <c r="F9517" s="2">
        <v>2</v>
      </c>
      <c r="G9517" s="2" t="s">
        <v>14</v>
      </c>
      <c r="H9517" s="2" t="s">
        <v>4904</v>
      </c>
    </row>
    <row r="9518" spans="1:9" x14ac:dyDescent="0.2">
      <c r="A9518" s="2" t="s">
        <v>3267</v>
      </c>
      <c r="B9518" s="2" t="s">
        <v>433</v>
      </c>
      <c r="C9518" s="2">
        <v>819.54819999999995</v>
      </c>
      <c r="D9518" s="2">
        <f>HYPERLINK("http://mcb-m6.bioreg.kyushu-u.ac.jp/M3/20110502/F51194/2268/1", 46.93)</f>
        <v>46.93</v>
      </c>
      <c r="E9518" s="2">
        <v>32.61</v>
      </c>
      <c r="F9518" s="2">
        <v>2</v>
      </c>
      <c r="G9518" s="2" t="s">
        <v>14</v>
      </c>
    </row>
    <row r="9519" spans="1:9" x14ac:dyDescent="0.2">
      <c r="A9519" s="2" t="s">
        <v>3267</v>
      </c>
      <c r="B9519" s="2" t="s">
        <v>491</v>
      </c>
      <c r="C9519" s="2">
        <v>766.68520000000001</v>
      </c>
      <c r="D9519" s="2">
        <f>HYPERLINK("http://mcb-m6.bioreg.kyushu-u.ac.jp/M3/20110502/F51193/2046/1", 46.98)</f>
        <v>46.98</v>
      </c>
      <c r="E9519" s="2">
        <v>27.89</v>
      </c>
      <c r="F9519" s="2">
        <v>2</v>
      </c>
      <c r="G9519" s="2" t="s">
        <v>14</v>
      </c>
    </row>
    <row r="9520" spans="1:9" x14ac:dyDescent="0.2">
      <c r="A9520" s="2" t="s">
        <v>3267</v>
      </c>
      <c r="B9520" s="2" t="s">
        <v>97</v>
      </c>
      <c r="C9520" s="2">
        <v>668.97270000000003</v>
      </c>
      <c r="D9520" s="2">
        <f>HYPERLINK("http://mcb-m6.bioreg.kyushu-u.ac.jp/M3/20110502/F51193/1430/1", 48.31)</f>
        <v>48.31</v>
      </c>
      <c r="E9520" s="2">
        <v>22.17</v>
      </c>
      <c r="F9520" s="2">
        <v>2</v>
      </c>
      <c r="G9520" s="2" t="s">
        <v>14</v>
      </c>
    </row>
    <row r="9521" spans="1:7" x14ac:dyDescent="0.2">
      <c r="A9521" s="2" t="s">
        <v>3267</v>
      </c>
      <c r="B9521" s="2" t="s">
        <v>1606</v>
      </c>
      <c r="C9521" s="2">
        <v>862.68219999999997</v>
      </c>
      <c r="D9521" s="2">
        <f>HYPERLINK("http://mcb-m6.bioreg.kyushu-u.ac.jp/M3/20110502/F51192/2428/1", 48.33)</f>
        <v>48.33</v>
      </c>
      <c r="E9521" s="2">
        <v>34.549999999999997</v>
      </c>
      <c r="F9521" s="2">
        <v>2</v>
      </c>
      <c r="G9521" s="2" t="s">
        <v>14</v>
      </c>
    </row>
    <row r="9522" spans="1:7" x14ac:dyDescent="0.2">
      <c r="A9522" s="2" t="s">
        <v>3267</v>
      </c>
      <c r="B9522" s="2" t="s">
        <v>433</v>
      </c>
      <c r="C9522" s="2">
        <v>819.68320000000006</v>
      </c>
      <c r="D9522" s="2">
        <f>HYPERLINK("http://mcb-m6.bioreg.kyushu-u.ac.jp/M3/20110502/F51193/2307/1", 50.41)</f>
        <v>50.41</v>
      </c>
      <c r="E9522" s="2">
        <v>29.46</v>
      </c>
      <c r="F9522" s="2">
        <v>2</v>
      </c>
      <c r="G9522" s="2" t="s">
        <v>14</v>
      </c>
    </row>
    <row r="9523" spans="1:7" x14ac:dyDescent="0.2">
      <c r="A9523" s="2" t="s">
        <v>3267</v>
      </c>
      <c r="B9523" s="2" t="s">
        <v>697</v>
      </c>
      <c r="C9523" s="2">
        <v>733.10360000000003</v>
      </c>
      <c r="D9523" s="2">
        <f>HYPERLINK("http://mcb-m6.bioreg.kyushu-u.ac.jp/M3/20110502/F51192/1737/1", 50.82)</f>
        <v>50.82</v>
      </c>
      <c r="E9523" s="2">
        <v>26.9</v>
      </c>
      <c r="F9523" s="2">
        <v>2</v>
      </c>
      <c r="G9523" s="2" t="s">
        <v>14</v>
      </c>
    </row>
    <row r="9524" spans="1:7" x14ac:dyDescent="0.2">
      <c r="A9524" s="2" t="s">
        <v>3267</v>
      </c>
      <c r="B9524" s="2" t="s">
        <v>697</v>
      </c>
      <c r="C9524" s="2">
        <v>733.1232</v>
      </c>
      <c r="D9524" s="2">
        <f>HYPERLINK("http://mcb-m6.bioreg.kyushu-u.ac.jp/M3/20110502/F51184/1804/1", 52.44)</f>
        <v>52.44</v>
      </c>
      <c r="E9524" s="2">
        <v>25.69</v>
      </c>
      <c r="F9524" s="2">
        <v>2</v>
      </c>
      <c r="G9524" s="2" t="s">
        <v>14</v>
      </c>
    </row>
    <row r="9525" spans="1:7" x14ac:dyDescent="0.2">
      <c r="A9525" s="2" t="s">
        <v>3267</v>
      </c>
      <c r="B9525" s="2" t="s">
        <v>97</v>
      </c>
      <c r="C9525" s="2">
        <v>669.04520000000002</v>
      </c>
      <c r="D9525" s="2">
        <f>HYPERLINK("http://mcb-m6.bioreg.kyushu-u.ac.jp/M3/20110502/F51192/1366/1", 55.79)</f>
        <v>55.79</v>
      </c>
      <c r="E9525" s="2">
        <v>31.12</v>
      </c>
      <c r="F9525" s="2">
        <v>2</v>
      </c>
      <c r="G9525" s="2" t="s">
        <v>14</v>
      </c>
    </row>
    <row r="9526" spans="1:7" x14ac:dyDescent="0.2">
      <c r="A9526" s="2" t="s">
        <v>3267</v>
      </c>
      <c r="B9526" s="2" t="s">
        <v>433</v>
      </c>
      <c r="C9526" s="2">
        <v>819.66060000000004</v>
      </c>
      <c r="D9526" s="2">
        <f>HYPERLINK("http://mcb-m6.bioreg.kyushu-u.ac.jp/M3/20110502/F51193/2306/1", 56.66)</f>
        <v>56.66</v>
      </c>
      <c r="E9526" s="2">
        <v>37.520000000000003</v>
      </c>
      <c r="F9526" s="2">
        <v>2</v>
      </c>
      <c r="G9526" s="2" t="s">
        <v>14</v>
      </c>
    </row>
    <row r="9527" spans="1:7" x14ac:dyDescent="0.2">
      <c r="A9527" s="2" t="s">
        <v>3267</v>
      </c>
      <c r="B9527" s="2" t="s">
        <v>491</v>
      </c>
      <c r="C9527" s="2">
        <v>766.64009999999996</v>
      </c>
      <c r="D9527" s="2">
        <f>HYPERLINK("http://mcb-m6.bioreg.kyushu-u.ac.jp/M3/20110502/F51179/1930/1", 57.03)</f>
        <v>57.03</v>
      </c>
      <c r="E9527" s="2">
        <v>41.01</v>
      </c>
      <c r="F9527" s="2">
        <v>2</v>
      </c>
      <c r="G9527" s="2" t="s">
        <v>14</v>
      </c>
    </row>
    <row r="9528" spans="1:7" x14ac:dyDescent="0.2">
      <c r="A9528" s="2" t="s">
        <v>3267</v>
      </c>
      <c r="B9528" s="2" t="s">
        <v>697</v>
      </c>
      <c r="C9528" s="2">
        <v>733.0992</v>
      </c>
      <c r="D9528" s="2">
        <f>HYPERLINK("http://mcb-m6.bioreg.kyushu-u.ac.jp/M3/20110502/F51193/1852/1", 59.24)</f>
        <v>59.24</v>
      </c>
      <c r="E9528" s="2">
        <v>33.32</v>
      </c>
      <c r="F9528" s="2">
        <v>2</v>
      </c>
      <c r="G9528" s="2" t="s">
        <v>14</v>
      </c>
    </row>
    <row r="9529" spans="1:7" x14ac:dyDescent="0.2">
      <c r="A9529" s="2" t="s">
        <v>3267</v>
      </c>
      <c r="B9529" s="2" t="s">
        <v>491</v>
      </c>
      <c r="C9529" s="2">
        <v>766.90060000000005</v>
      </c>
      <c r="D9529" s="2">
        <f>HYPERLINK("http://mcb-m6.bioreg.kyushu-u.ac.jp/M3/20110502/F51184/2010/1", 59.6)</f>
        <v>59.6</v>
      </c>
      <c r="E9529" s="2">
        <v>38.32</v>
      </c>
      <c r="F9529" s="2">
        <v>2</v>
      </c>
      <c r="G9529" s="2" t="s">
        <v>14</v>
      </c>
    </row>
    <row r="9530" spans="1:7" x14ac:dyDescent="0.2">
      <c r="A9530" s="2" t="s">
        <v>3267</v>
      </c>
      <c r="B9530" s="2" t="s">
        <v>491</v>
      </c>
      <c r="C9530" s="2">
        <v>766.62819999999999</v>
      </c>
      <c r="D9530" s="2">
        <f>HYPERLINK("http://mcb-m6.bioreg.kyushu-u.ac.jp/M3/20110502/F51193/2041/1", 59.92)</f>
        <v>59.92</v>
      </c>
      <c r="E9530" s="2">
        <v>38.869999999999997</v>
      </c>
      <c r="F9530" s="2">
        <v>2</v>
      </c>
      <c r="G9530" s="2" t="s">
        <v>14</v>
      </c>
    </row>
    <row r="9531" spans="1:7" x14ac:dyDescent="0.2">
      <c r="A9531" s="2" t="s">
        <v>3267</v>
      </c>
      <c r="B9531" s="2" t="s">
        <v>994</v>
      </c>
      <c r="C9531" s="2">
        <v>580.50519999999995</v>
      </c>
      <c r="D9531" s="2">
        <f>HYPERLINK("http://mcb-m6.bioreg.kyushu-u.ac.jp/M3/20110502/F51193/1086/1", 63.13)</f>
        <v>63.13</v>
      </c>
      <c r="E9531" s="2">
        <v>31.01</v>
      </c>
      <c r="F9531" s="2">
        <v>2</v>
      </c>
      <c r="G9531" s="2" t="s">
        <v>14</v>
      </c>
    </row>
    <row r="9532" spans="1:7" x14ac:dyDescent="0.2">
      <c r="A9532" s="2" t="s">
        <v>3267</v>
      </c>
      <c r="B9532" s="2" t="s">
        <v>1353</v>
      </c>
      <c r="C9532" s="2">
        <v>825.71810000000005</v>
      </c>
      <c r="D9532" s="2">
        <f>HYPERLINK("http://mcb-m6.bioreg.kyushu-u.ac.jp/M3/20110502/F51182/2410/1", 71.77)</f>
        <v>71.77</v>
      </c>
      <c r="E9532" s="2">
        <v>41.59</v>
      </c>
      <c r="F9532" s="2">
        <v>2</v>
      </c>
      <c r="G9532" s="2" t="s">
        <v>14</v>
      </c>
    </row>
    <row r="9533" spans="1:7" x14ac:dyDescent="0.2">
      <c r="A9533" s="2" t="s">
        <v>3267</v>
      </c>
      <c r="B9533" s="2" t="s">
        <v>491</v>
      </c>
      <c r="C9533" s="2">
        <v>766.69320000000005</v>
      </c>
      <c r="D9533" s="2">
        <f>HYPERLINK("http://mcb-m6.bioreg.kyushu-u.ac.jp/M3/20110502/F51193/2047/1", 72.11)</f>
        <v>72.11</v>
      </c>
      <c r="E9533" s="2">
        <v>50.69</v>
      </c>
      <c r="F9533" s="2">
        <v>2</v>
      </c>
      <c r="G9533" s="2" t="s">
        <v>14</v>
      </c>
    </row>
    <row r="9534" spans="1:7" x14ac:dyDescent="0.2">
      <c r="A9534" s="2" t="s">
        <v>3267</v>
      </c>
      <c r="B9534" s="2" t="s">
        <v>491</v>
      </c>
      <c r="C9534" s="2">
        <v>766.77719999999999</v>
      </c>
      <c r="D9534" s="2">
        <f>HYPERLINK("http://mcb-m6.bioreg.kyushu-u.ac.jp/M3/20110502/F51182/2074/1", 73.78)</f>
        <v>73.78</v>
      </c>
      <c r="E9534" s="2">
        <v>52.56</v>
      </c>
      <c r="F9534" s="2">
        <v>2</v>
      </c>
      <c r="G9534" s="2" t="s">
        <v>14</v>
      </c>
    </row>
    <row r="9535" spans="1:7" x14ac:dyDescent="0.2">
      <c r="A9535" s="2" t="s">
        <v>3267</v>
      </c>
      <c r="B9535" s="2" t="s">
        <v>1923</v>
      </c>
      <c r="C9535" s="2">
        <v>544.94209999999998</v>
      </c>
      <c r="D9535" s="2">
        <f>HYPERLINK("http://mcb-m6.bioreg.kyushu-u.ac.jp/M3/20110502/F51193/949/1", 76.06)</f>
        <v>76.06</v>
      </c>
      <c r="E9535" s="2">
        <v>38.479999999999997</v>
      </c>
      <c r="F9535" s="2">
        <v>2</v>
      </c>
      <c r="G9535" s="2" t="s">
        <v>14</v>
      </c>
    </row>
    <row r="9536" spans="1:7" x14ac:dyDescent="0.2">
      <c r="A9536" s="2" t="s">
        <v>3267</v>
      </c>
      <c r="B9536" s="2" t="s">
        <v>491</v>
      </c>
      <c r="C9536" s="2">
        <v>766.84969999999998</v>
      </c>
      <c r="D9536" s="2">
        <f>HYPERLINK("http://mcb-m6.bioreg.kyushu-u.ac.jp/M3/20110502/F51183/2050/1", 78.21)</f>
        <v>78.209999999999994</v>
      </c>
      <c r="E9536" s="2">
        <v>53.41</v>
      </c>
      <c r="F9536" s="2">
        <v>2</v>
      </c>
      <c r="G9536" s="2" t="s">
        <v>14</v>
      </c>
    </row>
    <row r="9537" spans="1:9" x14ac:dyDescent="0.2">
      <c r="A9537" s="2" t="s">
        <v>3267</v>
      </c>
      <c r="B9537" s="2" t="s">
        <v>491</v>
      </c>
      <c r="C9537" s="2">
        <v>766.53269999999998</v>
      </c>
      <c r="D9537" s="2">
        <f>HYPERLINK("http://mcb-m6.bioreg.kyushu-u.ac.jp/M3/20110502/F51194/1956/1", 79.58)</f>
        <v>79.58</v>
      </c>
      <c r="E9537" s="2">
        <v>59.31</v>
      </c>
      <c r="F9537" s="2">
        <v>2</v>
      </c>
      <c r="G9537" s="2" t="s">
        <v>14</v>
      </c>
    </row>
    <row r="9538" spans="1:9" x14ac:dyDescent="0.2">
      <c r="A9538" s="2" t="s">
        <v>3267</v>
      </c>
      <c r="B9538" s="2" t="s">
        <v>491</v>
      </c>
      <c r="C9538" s="2">
        <v>766.72220000000004</v>
      </c>
      <c r="D9538" s="2">
        <f>HYPERLINK("http://mcb-m6.bioreg.kyushu-u.ac.jp/M3/20110502/F51185/2021/1", 81.22)</f>
        <v>81.22</v>
      </c>
      <c r="E9538" s="2">
        <v>57.96</v>
      </c>
      <c r="F9538" s="2">
        <v>2</v>
      </c>
      <c r="G9538" s="2" t="s">
        <v>14</v>
      </c>
    </row>
    <row r="9539" spans="1:9" x14ac:dyDescent="0.2">
      <c r="A9539" s="2" t="s">
        <v>3267</v>
      </c>
      <c r="B9539" s="2" t="s">
        <v>602</v>
      </c>
      <c r="C9539" s="2">
        <v>742.70320000000004</v>
      </c>
      <c r="D9539" s="2">
        <f>HYPERLINK("http://mcb-m6.bioreg.kyushu-u.ac.jp/M3/20110502/F51176/2025/1", 82.81)</f>
        <v>82.81</v>
      </c>
      <c r="E9539" s="2">
        <v>66.760000000000005</v>
      </c>
      <c r="F9539" s="2">
        <v>2</v>
      </c>
      <c r="G9539" s="2" t="s">
        <v>14</v>
      </c>
    </row>
    <row r="9540" spans="1:9" x14ac:dyDescent="0.2">
      <c r="A9540" s="2" t="s">
        <v>3267</v>
      </c>
      <c r="B9540" s="2" t="s">
        <v>491</v>
      </c>
      <c r="C9540" s="2">
        <v>766.44460000000004</v>
      </c>
      <c r="D9540" s="2">
        <f>HYPERLINK("http://mcb-m6.bioreg.kyushu-u.ac.jp/M3/20110502/F51192/1955/1", 83.7)</f>
        <v>83.7</v>
      </c>
      <c r="E9540" s="2">
        <v>61.54</v>
      </c>
      <c r="F9540" s="2">
        <v>2</v>
      </c>
      <c r="G9540" s="2" t="s">
        <v>14</v>
      </c>
    </row>
    <row r="9541" spans="1:9" x14ac:dyDescent="0.2">
      <c r="A9541" s="2" t="s">
        <v>3267</v>
      </c>
      <c r="B9541" s="2" t="s">
        <v>1606</v>
      </c>
      <c r="C9541" s="2">
        <v>862.92660000000001</v>
      </c>
      <c r="D9541" s="2">
        <f>HYPERLINK("http://mcb-m6.bioreg.kyushu-u.ac.jp/M3/20110502/F51179/2488/1", 86.13)</f>
        <v>86.13</v>
      </c>
      <c r="E9541" s="2">
        <v>67.19</v>
      </c>
      <c r="F9541" s="2">
        <v>2</v>
      </c>
      <c r="G9541" s="2" t="s">
        <v>14</v>
      </c>
    </row>
    <row r="9542" spans="1:9" x14ac:dyDescent="0.2">
      <c r="A9542" s="2" t="s">
        <v>3267</v>
      </c>
      <c r="B9542" s="2" t="s">
        <v>1623</v>
      </c>
      <c r="C9542" s="2">
        <v>796.56209999999999</v>
      </c>
      <c r="D9542" s="2">
        <f>HYPERLINK("http://mcb-m6.bioreg.kyushu-u.ac.jp/M3/20110502/F51193/2205/1", 87.25)</f>
        <v>87.25</v>
      </c>
      <c r="E9542" s="2">
        <v>71.69</v>
      </c>
      <c r="F9542" s="2">
        <v>2</v>
      </c>
      <c r="G9542" s="2" t="s">
        <v>14</v>
      </c>
      <c r="I9542" s="2" t="s">
        <v>4909</v>
      </c>
    </row>
    <row r="9543" spans="1:9" x14ac:dyDescent="0.2">
      <c r="A9543" s="2" t="s">
        <v>3267</v>
      </c>
      <c r="B9543" s="2" t="s">
        <v>1353</v>
      </c>
      <c r="C9543" s="2">
        <v>825.90520000000004</v>
      </c>
      <c r="D9543" s="2">
        <f>HYPERLINK("http://mcb-m6.bioreg.kyushu-u.ac.jp/M3/20110502/F51184/2370/1", 90.91)</f>
        <v>90.91</v>
      </c>
      <c r="E9543" s="2">
        <v>71.95</v>
      </c>
      <c r="F9543" s="2">
        <v>2</v>
      </c>
      <c r="G9543" s="2" t="s">
        <v>14</v>
      </c>
    </row>
    <row r="9544" spans="1:9" x14ac:dyDescent="0.2">
      <c r="A9544" s="2" t="s">
        <v>3267</v>
      </c>
      <c r="B9544" s="2" t="s">
        <v>1353</v>
      </c>
      <c r="C9544" s="2">
        <v>825.5566</v>
      </c>
      <c r="D9544" s="2">
        <f>HYPERLINK("http://mcb-m6.bioreg.kyushu-u.ac.jp/M3/20110502/F51191/2061/1", 91.02)</f>
        <v>91.02</v>
      </c>
      <c r="E9544" s="2">
        <v>74.739999999999995</v>
      </c>
      <c r="F9544" s="2">
        <v>2</v>
      </c>
      <c r="G9544" s="2" t="s">
        <v>14</v>
      </c>
    </row>
    <row r="9545" spans="1:9" x14ac:dyDescent="0.2">
      <c r="A9545" s="2" t="s">
        <v>3267</v>
      </c>
      <c r="B9545" s="2" t="s">
        <v>2506</v>
      </c>
      <c r="C9545" s="2">
        <v>1045.942</v>
      </c>
      <c r="D9545" s="2">
        <f>HYPERLINK("http://mcb-m6.bioreg.kyushu-u.ac.jp/M3/20110502/F51193/3088/1", 95.77)</f>
        <v>95.77</v>
      </c>
      <c r="E9545" s="2">
        <v>89.99</v>
      </c>
      <c r="F9545" s="2">
        <v>2</v>
      </c>
      <c r="G9545" s="2" t="s">
        <v>14</v>
      </c>
      <c r="I9545" s="2" t="s">
        <v>4966</v>
      </c>
    </row>
    <row r="9546" spans="1:9" x14ac:dyDescent="0.2">
      <c r="A9546" s="2" t="s">
        <v>3267</v>
      </c>
      <c r="B9546" s="2" t="s">
        <v>1606</v>
      </c>
      <c r="C9546" s="2">
        <v>862.90060000000005</v>
      </c>
      <c r="D9546" s="2">
        <f>HYPERLINK("http://mcb-m6.bioreg.kyushu-u.ac.jp/M3/20110502/F51184/2601/1", 97.67)</f>
        <v>97.67</v>
      </c>
      <c r="E9546" s="2">
        <v>82.27</v>
      </c>
      <c r="F9546" s="2">
        <v>2</v>
      </c>
      <c r="G9546" s="2" t="s">
        <v>14</v>
      </c>
    </row>
    <row r="9547" spans="1:9" x14ac:dyDescent="0.2">
      <c r="A9547" s="2" t="s">
        <v>3267</v>
      </c>
      <c r="B9547" s="2" t="s">
        <v>1353</v>
      </c>
      <c r="C9547" s="2">
        <v>825.96220000000005</v>
      </c>
      <c r="D9547" s="2">
        <f>HYPERLINK("http://mcb-m6.bioreg.kyushu-u.ac.jp/M3/20110502/F51185/2310/1", 103.73)</f>
        <v>103.73</v>
      </c>
      <c r="E9547" s="2">
        <v>77.13</v>
      </c>
      <c r="F9547" s="2">
        <v>2</v>
      </c>
      <c r="G9547" s="2" t="s">
        <v>14</v>
      </c>
    </row>
    <row r="9548" spans="1:9" x14ac:dyDescent="0.2">
      <c r="A9548" s="2" t="s">
        <v>3267</v>
      </c>
      <c r="B9548" s="2" t="s">
        <v>1612</v>
      </c>
      <c r="C9548" s="2">
        <v>1003.829</v>
      </c>
      <c r="D9548" s="2">
        <f>HYPERLINK("http://mcb-m6.bioreg.kyushu-u.ac.jp/M3/20110502/F51193/2985/1", 106.28)</f>
        <v>106.28</v>
      </c>
      <c r="E9548" s="2">
        <v>90.89</v>
      </c>
      <c r="F9548" s="2">
        <v>2</v>
      </c>
      <c r="G9548" s="2" t="s">
        <v>14</v>
      </c>
      <c r="I9548" s="2" t="s">
        <v>4935</v>
      </c>
    </row>
    <row r="9549" spans="1:9" x14ac:dyDescent="0.2">
      <c r="A9549" s="2" t="s">
        <v>3267</v>
      </c>
      <c r="B9549" s="2" t="s">
        <v>1606</v>
      </c>
      <c r="C9549" s="2">
        <v>862.50869999999998</v>
      </c>
      <c r="D9549" s="2">
        <f>HYPERLINK("http://mcb-m6.bioreg.kyushu-u.ac.jp/M3/20110502/F51193/2509/1", 113.88)</f>
        <v>113.88</v>
      </c>
      <c r="E9549" s="2">
        <v>95.06</v>
      </c>
      <c r="F9549" s="2">
        <v>2</v>
      </c>
      <c r="G9549" s="2" t="s">
        <v>14</v>
      </c>
    </row>
    <row r="9550" spans="1:9" x14ac:dyDescent="0.2">
      <c r="A9550" s="2" t="s">
        <v>3267</v>
      </c>
      <c r="B9550" s="2" t="s">
        <v>1353</v>
      </c>
      <c r="C9550" s="2">
        <v>825.84469999999999</v>
      </c>
      <c r="D9550" s="2">
        <f>HYPERLINK("http://mcb-m6.bioreg.kyushu-u.ac.jp/M3/20110502/F51186/2238/1", 115.51)</f>
        <v>115.51</v>
      </c>
      <c r="E9550" s="2">
        <v>94.84</v>
      </c>
      <c r="F9550" s="2">
        <v>2</v>
      </c>
      <c r="G9550" s="2" t="s">
        <v>14</v>
      </c>
    </row>
    <row r="9551" spans="1:9" x14ac:dyDescent="0.2">
      <c r="A9551" s="2" t="s">
        <v>3267</v>
      </c>
      <c r="B9551" s="2" t="s">
        <v>602</v>
      </c>
      <c r="C9551" s="2">
        <v>742.5797</v>
      </c>
      <c r="D9551" s="2">
        <f>HYPERLINK("http://mcb-m6.bioreg.kyushu-u.ac.jp/M3/20110502/F51193/1900/1", 116.76)</f>
        <v>116.76</v>
      </c>
      <c r="E9551" s="2">
        <v>99.28</v>
      </c>
      <c r="F9551" s="2">
        <v>2</v>
      </c>
      <c r="G9551" s="2" t="s">
        <v>14</v>
      </c>
    </row>
    <row r="9552" spans="1:9" x14ac:dyDescent="0.2">
      <c r="A9552" s="2" t="s">
        <v>3267</v>
      </c>
      <c r="B9552" s="2" t="s">
        <v>1353</v>
      </c>
      <c r="C9552" s="2">
        <v>825.62070000000006</v>
      </c>
      <c r="D9552" s="2">
        <f>HYPERLINK("http://mcb-m6.bioreg.kyushu-u.ac.jp/M3/20110502/F51179/2262/1", 119.96)</f>
        <v>119.96</v>
      </c>
      <c r="E9552" s="2">
        <v>95.98</v>
      </c>
      <c r="F9552" s="2">
        <v>2</v>
      </c>
      <c r="G9552" s="2" t="s">
        <v>14</v>
      </c>
    </row>
    <row r="9553" spans="1:9" x14ac:dyDescent="0.2">
      <c r="A9553" s="2" t="s">
        <v>3267</v>
      </c>
      <c r="B9553" s="2" t="s">
        <v>1353</v>
      </c>
      <c r="C9553" s="2">
        <v>825.63620000000003</v>
      </c>
      <c r="D9553" s="2">
        <f>HYPERLINK("http://mcb-m6.bioreg.kyushu-u.ac.jp/M3/20110502/F51177/2363/1", 122.15)</f>
        <v>122.15</v>
      </c>
      <c r="E9553" s="2">
        <v>96.01</v>
      </c>
      <c r="F9553" s="2">
        <v>2</v>
      </c>
      <c r="G9553" s="2" t="s">
        <v>14</v>
      </c>
    </row>
    <row r="9554" spans="1:9" x14ac:dyDescent="0.2">
      <c r="A9554" s="2" t="s">
        <v>3267</v>
      </c>
      <c r="B9554" s="2" t="s">
        <v>1353</v>
      </c>
      <c r="C9554" s="2">
        <v>825.63120000000004</v>
      </c>
      <c r="D9554" s="2">
        <f>HYPERLINK("http://mcb-m6.bioreg.kyushu-u.ac.jp/M3/20110502/F51193/2346/1", 128.37)</f>
        <v>128.37</v>
      </c>
      <c r="E9554" s="2">
        <v>103.58</v>
      </c>
      <c r="F9554" s="2">
        <v>2</v>
      </c>
      <c r="G9554" s="2" t="s">
        <v>14</v>
      </c>
    </row>
    <row r="9555" spans="1:9" x14ac:dyDescent="0.2">
      <c r="A9555" s="2" t="s">
        <v>3267</v>
      </c>
      <c r="B9555" s="2" t="s">
        <v>602</v>
      </c>
      <c r="C9555" s="2">
        <v>742.66020000000003</v>
      </c>
      <c r="D9555" s="2">
        <f>HYPERLINK("http://mcb-m6.bioreg.kyushu-u.ac.jp/M3/20110502/F51179/1782/1", 143.94)</f>
        <v>143.94</v>
      </c>
      <c r="E9555" s="2">
        <v>129.69</v>
      </c>
      <c r="F9555" s="2">
        <v>2</v>
      </c>
      <c r="G9555" s="2" t="s">
        <v>14</v>
      </c>
    </row>
    <row r="9556" spans="1:9" x14ac:dyDescent="0.2">
      <c r="A9556" s="2" t="s">
        <v>3258</v>
      </c>
      <c r="B9556" s="2" t="s">
        <v>38</v>
      </c>
      <c r="C9556" s="2">
        <v>870.00319999999999</v>
      </c>
      <c r="D9556" s="2">
        <f>HYPERLINK("http://mcb-m6.bioreg.kyushu-u.ac.jp/M3/20110411/F50916/2566/1", 35.29)</f>
        <v>35.29</v>
      </c>
      <c r="E9556" s="2">
        <v>10.11</v>
      </c>
      <c r="F9556" s="2">
        <v>2</v>
      </c>
      <c r="G9556" s="2" t="s">
        <v>9</v>
      </c>
    </row>
    <row r="9557" spans="1:9" x14ac:dyDescent="0.2">
      <c r="A9557" s="2" t="s">
        <v>3258</v>
      </c>
      <c r="B9557" s="2" t="s">
        <v>38</v>
      </c>
      <c r="C9557" s="2">
        <v>870.1617</v>
      </c>
      <c r="D9557" s="2">
        <f>HYPERLINK("http://mcb-m6.bioreg.kyushu-u.ac.jp/M3/20110411/F50918/2489/1", 50.47)</f>
        <v>50.47</v>
      </c>
      <c r="E9557" s="2">
        <v>20.47</v>
      </c>
      <c r="F9557" s="2">
        <v>2</v>
      </c>
      <c r="G9557" s="2" t="s">
        <v>10</v>
      </c>
    </row>
    <row r="9558" spans="1:9" x14ac:dyDescent="0.2">
      <c r="A9558" s="2" t="s">
        <v>3512</v>
      </c>
      <c r="B9558" s="2" t="s">
        <v>353</v>
      </c>
      <c r="C9558" s="2">
        <v>759.3972</v>
      </c>
      <c r="D9558" s="2">
        <f>HYPERLINK("http://mcb-m6.bioreg.kyushu-u.ac.jp/M3/20110411/F50890/2297/1", 40.12)</f>
        <v>40.119999999999997</v>
      </c>
      <c r="E9558" s="2">
        <v>22.86</v>
      </c>
      <c r="F9558" s="2">
        <v>2</v>
      </c>
      <c r="G9558" s="2" t="s">
        <v>9</v>
      </c>
      <c r="H9558" s="2" t="s">
        <v>4920</v>
      </c>
    </row>
    <row r="9559" spans="1:9" x14ac:dyDescent="0.2">
      <c r="A9559" s="2" t="s">
        <v>3512</v>
      </c>
      <c r="B9559" s="2" t="s">
        <v>1069</v>
      </c>
      <c r="C9559" s="2">
        <v>847.24959999999999</v>
      </c>
      <c r="D9559" s="2">
        <f>HYPERLINK("http://mcb-m6.bioreg.kyushu-u.ac.jp/M3/20110411/F50890/2738/1", 61.56)</f>
        <v>61.56</v>
      </c>
      <c r="E9559" s="2">
        <v>50.92</v>
      </c>
      <c r="F9559" s="2">
        <v>2</v>
      </c>
      <c r="G9559" s="2" t="s">
        <v>9</v>
      </c>
      <c r="I9559" s="2" t="s">
        <v>4905</v>
      </c>
    </row>
    <row r="9560" spans="1:9" x14ac:dyDescent="0.2">
      <c r="A9560" s="2" t="s">
        <v>3512</v>
      </c>
      <c r="B9560" s="2" t="s">
        <v>1135</v>
      </c>
      <c r="C9560" s="2">
        <v>610.80909999999994</v>
      </c>
      <c r="D9560" s="2">
        <f>HYPERLINK("http://mcb-m6.bioreg.kyushu-u.ac.jp/M3/20110411/F50890/1566/1", 64.51)</f>
        <v>64.510000000000005</v>
      </c>
      <c r="E9560" s="2">
        <v>49.13</v>
      </c>
      <c r="F9560" s="2">
        <v>2</v>
      </c>
      <c r="G9560" s="2" t="s">
        <v>9</v>
      </c>
    </row>
    <row r="9561" spans="1:9" x14ac:dyDescent="0.2">
      <c r="A9561" s="2" t="s">
        <v>3512</v>
      </c>
      <c r="B9561" s="2" t="s">
        <v>1282</v>
      </c>
      <c r="C9561" s="2">
        <v>692.32510000000002</v>
      </c>
      <c r="D9561" s="2">
        <f>HYPERLINK("http://mcb-m6.bioreg.kyushu-u.ac.jp/M3/20110411/F50890/1917/1", 70.46)</f>
        <v>70.459999999999994</v>
      </c>
      <c r="E9561" s="2">
        <v>56.83</v>
      </c>
      <c r="F9561" s="2">
        <v>2</v>
      </c>
      <c r="G9561" s="2" t="s">
        <v>9</v>
      </c>
    </row>
    <row r="9562" spans="1:9" x14ac:dyDescent="0.2">
      <c r="A9562" s="2" t="s">
        <v>3512</v>
      </c>
      <c r="B9562" s="2" t="s">
        <v>1282</v>
      </c>
      <c r="C9562" s="2">
        <v>691.81709999999998</v>
      </c>
      <c r="D9562" s="2">
        <f>HYPERLINK("http://mcb-m6.bioreg.kyushu-u.ac.jp/M3/20110411/F50890/1913/1", 71.31)</f>
        <v>71.31</v>
      </c>
      <c r="E9562" s="2">
        <v>60.03</v>
      </c>
      <c r="F9562" s="2">
        <v>2</v>
      </c>
      <c r="G9562" s="2" t="s">
        <v>9</v>
      </c>
    </row>
    <row r="9563" spans="1:9" x14ac:dyDescent="0.2">
      <c r="A9563" s="2" t="s">
        <v>3512</v>
      </c>
      <c r="B9563" s="2" t="s">
        <v>1069</v>
      </c>
      <c r="C9563" s="2">
        <v>847.87070000000006</v>
      </c>
      <c r="D9563" s="2">
        <f>HYPERLINK("http://mcb-m6.bioreg.kyushu-u.ac.jp/M3/20110411/F50890/2742/1", 76.76)</f>
        <v>76.760000000000005</v>
      </c>
      <c r="E9563" s="2">
        <v>65.38</v>
      </c>
      <c r="F9563" s="2">
        <v>2</v>
      </c>
      <c r="G9563" s="2" t="s">
        <v>9</v>
      </c>
      <c r="I9563" s="2" t="s">
        <v>4905</v>
      </c>
    </row>
    <row r="9564" spans="1:9" x14ac:dyDescent="0.2">
      <c r="A9564" s="2" t="s">
        <v>3512</v>
      </c>
      <c r="B9564" s="2" t="s">
        <v>1456</v>
      </c>
      <c r="C9564" s="2">
        <v>916.33219999999994</v>
      </c>
      <c r="D9564" s="2">
        <f>HYPERLINK("http://mcb-m6.bioreg.kyushu-u.ac.jp/M3/20110411/F50890/3041/1", 81.73)</f>
        <v>81.73</v>
      </c>
      <c r="E9564" s="2">
        <v>69.959999999999994</v>
      </c>
      <c r="F9564" s="2">
        <v>2</v>
      </c>
      <c r="G9564" s="2" t="s">
        <v>9</v>
      </c>
    </row>
    <row r="9565" spans="1:9" x14ac:dyDescent="0.2">
      <c r="A9565" s="2" t="s">
        <v>3512</v>
      </c>
      <c r="B9565" s="2" t="s">
        <v>1991</v>
      </c>
      <c r="C9565" s="2">
        <v>814.08370000000002</v>
      </c>
      <c r="D9565" s="2">
        <f>HYPERLINK("http://mcb-m6.bioreg.kyushu-u.ac.jp/M3/20110411/F50897/2373/1", 57.42)</f>
        <v>57.42</v>
      </c>
      <c r="E9565" s="2">
        <v>36.14</v>
      </c>
      <c r="F9565" s="2">
        <v>2</v>
      </c>
      <c r="G9565" s="2" t="s">
        <v>10</v>
      </c>
    </row>
    <row r="9566" spans="1:9" x14ac:dyDescent="0.2">
      <c r="A9566" s="2" t="s">
        <v>3512</v>
      </c>
      <c r="B9566" s="2" t="s">
        <v>1135</v>
      </c>
      <c r="C9566" s="2">
        <v>611.12710000000004</v>
      </c>
      <c r="D9566" s="2">
        <f>HYPERLINK("http://mcb-m6.bioreg.kyushu-u.ac.jp/M3/20110411/F50897/1392/1", 64.25)</f>
        <v>64.25</v>
      </c>
      <c r="E9566" s="2">
        <v>42.24</v>
      </c>
      <c r="F9566" s="2">
        <v>2</v>
      </c>
      <c r="G9566" s="2" t="s">
        <v>10</v>
      </c>
    </row>
    <row r="9567" spans="1:9" x14ac:dyDescent="0.2">
      <c r="A9567" s="2" t="s">
        <v>3512</v>
      </c>
      <c r="B9567" s="2" t="s">
        <v>353</v>
      </c>
      <c r="C9567" s="2">
        <v>759.76620000000003</v>
      </c>
      <c r="D9567" s="2">
        <f>HYPERLINK("http://mcb-m6.bioreg.kyushu-u.ac.jp/M3/20110411/F50897/2081/1", 69.56)</f>
        <v>69.56</v>
      </c>
      <c r="E9567" s="2">
        <v>47.67</v>
      </c>
      <c r="F9567" s="2">
        <v>2</v>
      </c>
      <c r="G9567" s="2" t="s">
        <v>10</v>
      </c>
      <c r="H9567" s="2" t="s">
        <v>4920</v>
      </c>
    </row>
    <row r="9568" spans="1:9" x14ac:dyDescent="0.2">
      <c r="A9568" s="2" t="s">
        <v>3512</v>
      </c>
      <c r="B9568" s="2" t="s">
        <v>1456</v>
      </c>
      <c r="C9568" s="2">
        <v>916.49659999999994</v>
      </c>
      <c r="D9568" s="2">
        <f>HYPERLINK("http://mcb-m6.bioreg.kyushu-u.ac.jp/M3/20110411/F50897/2856/1", 85.15)</f>
        <v>85.15</v>
      </c>
      <c r="E9568" s="2">
        <v>71.900000000000006</v>
      </c>
      <c r="F9568" s="2">
        <v>2</v>
      </c>
      <c r="G9568" s="2" t="s">
        <v>10</v>
      </c>
    </row>
    <row r="9569" spans="1:9" x14ac:dyDescent="0.2">
      <c r="A9569" s="2" t="s">
        <v>3512</v>
      </c>
      <c r="B9569" s="2" t="s">
        <v>1991</v>
      </c>
      <c r="C9569" s="2">
        <v>813.70920000000001</v>
      </c>
      <c r="D9569" s="2">
        <f>HYPERLINK("http://mcb-m6.bioreg.kyushu-u.ac.jp/M3/20110414/F50927/2607/1", 77.89)</f>
        <v>77.89</v>
      </c>
      <c r="E9569" s="2">
        <v>50.03</v>
      </c>
      <c r="F9569" s="2">
        <v>2</v>
      </c>
      <c r="G9569" s="2" t="s">
        <v>11</v>
      </c>
    </row>
    <row r="9570" spans="1:9" x14ac:dyDescent="0.2">
      <c r="A9570" s="2" t="s">
        <v>3512</v>
      </c>
      <c r="B9570" s="2" t="s">
        <v>353</v>
      </c>
      <c r="C9570" s="2">
        <v>759.88509999999997</v>
      </c>
      <c r="D9570" s="2">
        <f>HYPERLINK("http://mcb-m6.bioreg.kyushu-u.ac.jp/M3/20110414/F50932/2387/1", 61.83)</f>
        <v>61.83</v>
      </c>
      <c r="E9570" s="2">
        <v>38.76</v>
      </c>
      <c r="F9570" s="2">
        <v>2</v>
      </c>
      <c r="G9570" s="2" t="s">
        <v>12</v>
      </c>
      <c r="H9570" s="2" t="s">
        <v>4920</v>
      </c>
    </row>
    <row r="9571" spans="1:9" x14ac:dyDescent="0.2">
      <c r="A9571" s="2" t="s">
        <v>3512</v>
      </c>
      <c r="B9571" s="2" t="s">
        <v>1991</v>
      </c>
      <c r="C9571" s="2">
        <v>813.80870000000004</v>
      </c>
      <c r="D9571" s="2">
        <f>HYPERLINK("http://mcb-m6.bioreg.kyushu-u.ac.jp/M3/20110414/F50932/2545/1", 92.51)</f>
        <v>92.51</v>
      </c>
      <c r="E9571" s="2">
        <v>67.37</v>
      </c>
      <c r="F9571" s="2">
        <v>2</v>
      </c>
      <c r="G9571" s="2" t="s">
        <v>12</v>
      </c>
    </row>
    <row r="9572" spans="1:9" x14ac:dyDescent="0.2">
      <c r="A9572" s="2" t="s">
        <v>4821</v>
      </c>
      <c r="B9572" s="2" t="s">
        <v>3076</v>
      </c>
      <c r="C9572" s="2">
        <v>528.62379999999996</v>
      </c>
      <c r="D9572" s="2">
        <f>HYPERLINK("http://mcb-m6.bioreg.kyushu-u.ac.jp/M3/20110502/F51177/2163/1", 42.25)</f>
        <v>42.25</v>
      </c>
      <c r="E9572" s="2">
        <v>26.48</v>
      </c>
      <c r="F9572" s="2">
        <v>3</v>
      </c>
      <c r="G9572" s="2" t="s">
        <v>14</v>
      </c>
      <c r="H9572" s="2" t="s">
        <v>4927</v>
      </c>
    </row>
    <row r="9573" spans="1:9" x14ac:dyDescent="0.2">
      <c r="A9573" s="2" t="s">
        <v>3717</v>
      </c>
      <c r="B9573" s="2" t="s">
        <v>705</v>
      </c>
      <c r="C9573" s="2">
        <v>950.12019999999995</v>
      </c>
      <c r="D9573" s="2">
        <f>HYPERLINK("http://mcb-m6.bioreg.kyushu-u.ac.jp/M3/20110411/F50911/3158/1", 48.82)</f>
        <v>48.82</v>
      </c>
      <c r="E9573" s="2">
        <v>28.99</v>
      </c>
      <c r="F9573" s="2">
        <v>2</v>
      </c>
      <c r="G9573" s="2" t="s">
        <v>9</v>
      </c>
      <c r="I9573" s="2" t="s">
        <v>4924</v>
      </c>
    </row>
    <row r="9574" spans="1:9" x14ac:dyDescent="0.2">
      <c r="A9574" s="2" t="s">
        <v>3717</v>
      </c>
      <c r="B9574" s="2" t="s">
        <v>705</v>
      </c>
      <c r="C9574" s="2">
        <v>950.38670000000002</v>
      </c>
      <c r="D9574" s="2">
        <f>HYPERLINK("http://mcb-m6.bioreg.kyushu-u.ac.jp/M3/20110411/F50914/3044/1", 36.04)</f>
        <v>36.04</v>
      </c>
      <c r="E9574" s="2">
        <v>26.84</v>
      </c>
      <c r="F9574" s="2">
        <v>2</v>
      </c>
      <c r="G9574" s="2" t="s">
        <v>10</v>
      </c>
      <c r="I9574" s="2" t="s">
        <v>4924</v>
      </c>
    </row>
    <row r="9575" spans="1:9" x14ac:dyDescent="0.2">
      <c r="A9575" s="2" t="s">
        <v>3717</v>
      </c>
      <c r="B9575" s="2" t="s">
        <v>705</v>
      </c>
      <c r="C9575" s="2">
        <v>950.55020000000002</v>
      </c>
      <c r="D9575" s="2">
        <f>HYPERLINK("http://mcb-m6.bioreg.kyushu-u.ac.jp/M3/20110411/F50913/3008/1", 72.65)</f>
        <v>72.650000000000006</v>
      </c>
      <c r="E9575" s="2">
        <v>56.96</v>
      </c>
      <c r="F9575" s="2">
        <v>2</v>
      </c>
      <c r="G9575" s="2" t="s">
        <v>10</v>
      </c>
      <c r="I9575" s="2" t="s">
        <v>4924</v>
      </c>
    </row>
    <row r="9576" spans="1:9" x14ac:dyDescent="0.2">
      <c r="A9576" s="2" t="s">
        <v>3717</v>
      </c>
      <c r="B9576" s="2" t="s">
        <v>705</v>
      </c>
      <c r="C9576" s="2">
        <v>950.48069999999996</v>
      </c>
      <c r="D9576" s="2">
        <f>HYPERLINK("http://mcb-m6.bioreg.kyushu-u.ac.jp/M3/20110502/F51170/3086/1", 42.88)</f>
        <v>42.88</v>
      </c>
      <c r="E9576" s="2">
        <v>33.119999999999997</v>
      </c>
      <c r="F9576" s="2">
        <v>2</v>
      </c>
      <c r="G9576" s="2" t="s">
        <v>13</v>
      </c>
      <c r="I9576" s="2" t="s">
        <v>4924</v>
      </c>
    </row>
    <row r="9577" spans="1:9" x14ac:dyDescent="0.2">
      <c r="A9577" s="2" t="s">
        <v>4591</v>
      </c>
      <c r="B9577" s="2" t="s">
        <v>2666</v>
      </c>
      <c r="C9577" s="2">
        <v>487.25659999999999</v>
      </c>
      <c r="D9577" s="2">
        <f>HYPERLINK("http://mcb-m6.bioreg.kyushu-u.ac.jp/M3/20110414/F50950/829/1", 50.3)</f>
        <v>50.3</v>
      </c>
      <c r="E9577" s="2">
        <v>9.75</v>
      </c>
      <c r="F9577" s="2">
        <v>2</v>
      </c>
      <c r="G9577" s="2" t="s">
        <v>12</v>
      </c>
    </row>
    <row r="9578" spans="1:9" x14ac:dyDescent="0.2">
      <c r="A9578" s="2" t="s">
        <v>4610</v>
      </c>
      <c r="B9578" s="2" t="s">
        <v>2724</v>
      </c>
      <c r="C9578" s="2">
        <v>651.48170000000005</v>
      </c>
      <c r="D9578" s="2">
        <f>HYPERLINK("http://mcb-m6.bioreg.kyushu-u.ac.jp/M3/20110414/F50948/1508/1", 65.19)</f>
        <v>65.19</v>
      </c>
      <c r="E9578" s="2">
        <v>3.32</v>
      </c>
      <c r="F9578" s="2">
        <v>2</v>
      </c>
      <c r="G9578" s="2" t="s">
        <v>12</v>
      </c>
    </row>
    <row r="9579" spans="1:9" x14ac:dyDescent="0.2">
      <c r="A9579" s="2" t="s">
        <v>4610</v>
      </c>
      <c r="B9579" s="2" t="s">
        <v>2724</v>
      </c>
      <c r="C9579" s="2">
        <v>651.46720000000005</v>
      </c>
      <c r="D9579" s="2">
        <f>HYPERLINK("http://mcb-m6.bioreg.kyushu-u.ac.jp/M3/20110414/F50950/1621/1", 68.19)</f>
        <v>68.19</v>
      </c>
      <c r="E9579" s="2">
        <v>1.85</v>
      </c>
      <c r="F9579" s="2">
        <v>2</v>
      </c>
      <c r="G9579" s="2" t="s">
        <v>12</v>
      </c>
    </row>
    <row r="9580" spans="1:9" x14ac:dyDescent="0.2">
      <c r="A9580" s="2" t="s">
        <v>4202</v>
      </c>
      <c r="B9580" s="2" t="s">
        <v>1794</v>
      </c>
      <c r="C9580" s="2">
        <v>470.28710000000001</v>
      </c>
      <c r="D9580" s="2">
        <f>HYPERLINK("http://mcb-m6.bioreg.kyushu-u.ac.jp/M3/20110411/F50912/981/1", 39.52)</f>
        <v>39.520000000000003</v>
      </c>
      <c r="E9580" s="2">
        <v>8.49</v>
      </c>
      <c r="F9580" s="2">
        <v>2</v>
      </c>
      <c r="G9580" s="2" t="s">
        <v>10</v>
      </c>
      <c r="H9580" s="2" t="s">
        <v>4896</v>
      </c>
    </row>
    <row r="9581" spans="1:9" x14ac:dyDescent="0.2">
      <c r="A9581" s="2" t="s">
        <v>4471</v>
      </c>
      <c r="B9581" s="2" t="s">
        <v>2410</v>
      </c>
      <c r="C9581" s="2">
        <v>971.40920000000006</v>
      </c>
      <c r="D9581" s="2">
        <f>HYPERLINK("http://mcb-m6.bioreg.kyushu-u.ac.jp/M3/20110414/F50942/3301/1", 58.39)</f>
        <v>58.39</v>
      </c>
      <c r="E9581" s="2">
        <v>47.48</v>
      </c>
      <c r="F9581" s="2">
        <v>2</v>
      </c>
      <c r="G9581" s="2" t="s">
        <v>11</v>
      </c>
      <c r="I9581" s="2" t="s">
        <v>4895</v>
      </c>
    </row>
    <row r="9582" spans="1:9" x14ac:dyDescent="0.2">
      <c r="A9582" s="2" t="s">
        <v>4471</v>
      </c>
      <c r="B9582" s="2" t="s">
        <v>2439</v>
      </c>
      <c r="C9582" s="2">
        <v>963.43409999999994</v>
      </c>
      <c r="D9582" s="2">
        <f>HYPERLINK("http://mcb-m6.bioreg.kyushu-u.ac.jp/M3/20110414/F50942/3243/1", 63.9)</f>
        <v>63.9</v>
      </c>
      <c r="E9582" s="2">
        <v>55.77</v>
      </c>
      <c r="F9582" s="2">
        <v>2</v>
      </c>
      <c r="G9582" s="2" t="s">
        <v>11</v>
      </c>
    </row>
    <row r="9583" spans="1:9" x14ac:dyDescent="0.2">
      <c r="A9583" s="2" t="s">
        <v>4471</v>
      </c>
      <c r="B9583" s="2" t="s">
        <v>2410</v>
      </c>
      <c r="C9583" s="2">
        <v>971.07619999999997</v>
      </c>
      <c r="D9583" s="2">
        <f>HYPERLINK("http://mcb-m6.bioreg.kyushu-u.ac.jp/M3/20110414/F50948/3427/1", 61.05)</f>
        <v>61.05</v>
      </c>
      <c r="E9583" s="2">
        <v>50.94</v>
      </c>
      <c r="F9583" s="2">
        <v>2</v>
      </c>
      <c r="G9583" s="2" t="s">
        <v>12</v>
      </c>
      <c r="I9583" s="2" t="s">
        <v>4895</v>
      </c>
    </row>
    <row r="9584" spans="1:9" x14ac:dyDescent="0.2">
      <c r="A9584" s="2" t="s">
        <v>4471</v>
      </c>
      <c r="B9584" s="2" t="s">
        <v>2410</v>
      </c>
      <c r="C9584" s="2">
        <v>971.74519999999995</v>
      </c>
      <c r="D9584" s="2">
        <f>HYPERLINK("http://mcb-m6.bioreg.kyushu-u.ac.jp/M3/20110502/F51183/3033/1", 73.35)</f>
        <v>73.349999999999994</v>
      </c>
      <c r="E9584" s="2">
        <v>58.62</v>
      </c>
      <c r="F9584" s="2">
        <v>2</v>
      </c>
      <c r="G9584" s="2" t="s">
        <v>14</v>
      </c>
      <c r="I9584" s="2" t="s">
        <v>4895</v>
      </c>
    </row>
    <row r="9585" spans="1:7" x14ac:dyDescent="0.2">
      <c r="A9585" s="2" t="s">
        <v>4314</v>
      </c>
      <c r="B9585" s="2" t="s">
        <v>2079</v>
      </c>
      <c r="C9585" s="2">
        <v>801.72170000000006</v>
      </c>
      <c r="D9585" s="2">
        <f>HYPERLINK("http://mcb-m6.bioreg.kyushu-u.ac.jp/M3/20110411/F50912/2348/1", 74.95)</f>
        <v>74.95</v>
      </c>
      <c r="E9585" s="2">
        <v>51.07</v>
      </c>
      <c r="F9585" s="2">
        <v>2</v>
      </c>
      <c r="G9585" s="2" t="s">
        <v>10</v>
      </c>
    </row>
    <row r="9586" spans="1:7" x14ac:dyDescent="0.2">
      <c r="A9586" s="2" t="s">
        <v>4314</v>
      </c>
      <c r="B9586" s="2" t="s">
        <v>2079</v>
      </c>
      <c r="C9586" s="2">
        <v>801.25919999999996</v>
      </c>
      <c r="D9586" s="2">
        <f>HYPERLINK("http://mcb-m6.bioreg.kyushu-u.ac.jp/M3/20110414/F50941/2446/1", 63.51)</f>
        <v>63.51</v>
      </c>
      <c r="E9586" s="2">
        <v>53.35</v>
      </c>
      <c r="F9586" s="2">
        <v>2</v>
      </c>
      <c r="G9586" s="2" t="s">
        <v>11</v>
      </c>
    </row>
    <row r="9587" spans="1:7" x14ac:dyDescent="0.2">
      <c r="A9587" s="2" t="s">
        <v>4314</v>
      </c>
      <c r="B9587" s="2" t="s">
        <v>2079</v>
      </c>
      <c r="C9587" s="2">
        <v>801.36270000000002</v>
      </c>
      <c r="D9587" s="2">
        <f>HYPERLINK("http://mcb-m6.bioreg.kyushu-u.ac.jp/M3/20110414/F50947/2397/1", 78.13)</f>
        <v>78.13</v>
      </c>
      <c r="E9587" s="2">
        <v>63.91</v>
      </c>
      <c r="F9587" s="2">
        <v>2</v>
      </c>
      <c r="G9587" s="2" t="s">
        <v>12</v>
      </c>
    </row>
    <row r="9588" spans="1:7" x14ac:dyDescent="0.2">
      <c r="A9588" s="2" t="s">
        <v>4314</v>
      </c>
      <c r="B9588" s="2" t="s">
        <v>2079</v>
      </c>
      <c r="C9588" s="2">
        <v>801.48320000000001</v>
      </c>
      <c r="D9588" s="2">
        <f>HYPERLINK("http://mcb-m6.bioreg.kyushu-u.ac.jp/M3/20110502/F51170/2408/1", 76.11)</f>
        <v>76.11</v>
      </c>
      <c r="E9588" s="2">
        <v>65.14</v>
      </c>
      <c r="F9588" s="2">
        <v>2</v>
      </c>
      <c r="G9588" s="2" t="s">
        <v>13</v>
      </c>
    </row>
    <row r="9589" spans="1:7" x14ac:dyDescent="0.2">
      <c r="A9589" s="2" t="s">
        <v>4091</v>
      </c>
      <c r="B9589" s="2" t="s">
        <v>1534</v>
      </c>
      <c r="C9589" s="2">
        <v>693.98360000000002</v>
      </c>
      <c r="D9589" s="2">
        <f>HYPERLINK("http://mcb-m6.bioreg.kyushu-u.ac.jp/M3/20110411/F50905/1772/1", 89.36)</f>
        <v>89.36</v>
      </c>
      <c r="E9589" s="2">
        <v>63.03</v>
      </c>
      <c r="F9589" s="2">
        <v>2</v>
      </c>
      <c r="G9589" s="2" t="s">
        <v>9</v>
      </c>
    </row>
    <row r="9590" spans="1:7" x14ac:dyDescent="0.2">
      <c r="A9590" s="2" t="s">
        <v>4091</v>
      </c>
      <c r="B9590" s="2" t="s">
        <v>1534</v>
      </c>
      <c r="C9590" s="2">
        <v>694.43409999999994</v>
      </c>
      <c r="D9590" s="2">
        <f>HYPERLINK("http://mcb-m6.bioreg.kyushu-u.ac.jp/M3/20110502/F51170/1835/1", 36.81)</f>
        <v>36.81</v>
      </c>
      <c r="E9590" s="2">
        <v>20.62</v>
      </c>
      <c r="F9590" s="2">
        <v>2</v>
      </c>
      <c r="G9590" s="2" t="s">
        <v>13</v>
      </c>
    </row>
    <row r="9591" spans="1:7" x14ac:dyDescent="0.2">
      <c r="A9591" s="2" t="s">
        <v>4091</v>
      </c>
      <c r="B9591" s="2" t="s">
        <v>3037</v>
      </c>
      <c r="C9591" s="2">
        <v>765.46810000000005</v>
      </c>
      <c r="D9591" s="2">
        <f>HYPERLINK("http://mcb-m6.bioreg.kyushu-u.ac.jp/M3/20110502/F51179/1922/1", 39.13)</f>
        <v>39.130000000000003</v>
      </c>
      <c r="E9591" s="2">
        <v>17.46</v>
      </c>
      <c r="F9591" s="2">
        <v>2</v>
      </c>
      <c r="G9591" s="2" t="s">
        <v>14</v>
      </c>
    </row>
    <row r="9592" spans="1:7" x14ac:dyDescent="0.2">
      <c r="A9592" s="2" t="s">
        <v>4091</v>
      </c>
      <c r="B9592" s="2" t="s">
        <v>3112</v>
      </c>
      <c r="C9592" s="2">
        <v>742.5652</v>
      </c>
      <c r="D9592" s="2">
        <f>HYPERLINK("http://mcb-m6.bioreg.kyushu-u.ac.jp/M3/20110502/F51179/1780/1", 46.48)</f>
        <v>46.48</v>
      </c>
      <c r="E9592" s="2">
        <v>14.4</v>
      </c>
      <c r="F9592" s="2">
        <v>2</v>
      </c>
      <c r="G9592" s="2" t="s">
        <v>14</v>
      </c>
    </row>
    <row r="9593" spans="1:7" x14ac:dyDescent="0.2">
      <c r="A9593" s="2" t="s">
        <v>3296</v>
      </c>
      <c r="B9593" s="2" t="s">
        <v>76</v>
      </c>
      <c r="C9593" s="2">
        <v>572.52369999999996</v>
      </c>
      <c r="D9593" s="2">
        <f>HYPERLINK("http://mcb-m6.bioreg.kyushu-u.ac.jp/M3/20110411/F50904/1340/1", 35.72)</f>
        <v>35.72</v>
      </c>
      <c r="E9593" s="2">
        <v>11.32</v>
      </c>
      <c r="F9593" s="2">
        <v>2</v>
      </c>
      <c r="G9593" s="2" t="s">
        <v>9</v>
      </c>
    </row>
    <row r="9594" spans="1:7" x14ac:dyDescent="0.2">
      <c r="A9594" s="2" t="s">
        <v>3296</v>
      </c>
      <c r="B9594" s="2" t="s">
        <v>1460</v>
      </c>
      <c r="C9594" s="2">
        <v>752.54359999999997</v>
      </c>
      <c r="D9594" s="2">
        <f>HYPERLINK("http://mcb-m6.bioreg.kyushu-u.ac.jp/M3/20110411/F50904/2099/1", 82.54)</f>
        <v>82.54</v>
      </c>
      <c r="E9594" s="2">
        <v>55.32</v>
      </c>
      <c r="F9594" s="2">
        <v>2</v>
      </c>
      <c r="G9594" s="2" t="s">
        <v>9</v>
      </c>
    </row>
    <row r="9595" spans="1:7" x14ac:dyDescent="0.2">
      <c r="A9595" s="2" t="s">
        <v>3296</v>
      </c>
      <c r="B9595" s="2" t="s">
        <v>2001</v>
      </c>
      <c r="C9595" s="2">
        <v>701.01319999999998</v>
      </c>
      <c r="D9595" s="2">
        <f>HYPERLINK("http://mcb-m6.bioreg.kyushu-u.ac.jp/M3/20110411/F50912/1851/1", 59.2)</f>
        <v>59.2</v>
      </c>
      <c r="E9595" s="2">
        <v>40.82</v>
      </c>
      <c r="F9595" s="2">
        <v>2</v>
      </c>
      <c r="G9595" s="2" t="s">
        <v>10</v>
      </c>
    </row>
    <row r="9596" spans="1:7" x14ac:dyDescent="0.2">
      <c r="A9596" s="2" t="s">
        <v>3296</v>
      </c>
      <c r="B9596" s="2" t="s">
        <v>2027</v>
      </c>
      <c r="C9596" s="2">
        <v>858.06410000000005</v>
      </c>
      <c r="D9596" s="2">
        <f>HYPERLINK("http://mcb-m6.bioreg.kyushu-u.ac.jp/M3/20110411/F50912/2581/1", 63.89)</f>
        <v>63.89</v>
      </c>
      <c r="E9596" s="2">
        <v>43.36</v>
      </c>
      <c r="F9596" s="2">
        <v>2</v>
      </c>
      <c r="G9596" s="2" t="s">
        <v>10</v>
      </c>
    </row>
    <row r="9597" spans="1:7" x14ac:dyDescent="0.2">
      <c r="A9597" s="2" t="s">
        <v>3296</v>
      </c>
      <c r="B9597" s="2" t="s">
        <v>1460</v>
      </c>
      <c r="C9597" s="2">
        <v>752.54610000000002</v>
      </c>
      <c r="D9597" s="2">
        <f>HYPERLINK("http://mcb-m6.bioreg.kyushu-u.ac.jp/M3/20110411/F50912/2087/1", 82.3)</f>
        <v>82.3</v>
      </c>
      <c r="E9597" s="2">
        <v>48.59</v>
      </c>
      <c r="F9597" s="2">
        <v>2</v>
      </c>
      <c r="G9597" s="2" t="s">
        <v>10</v>
      </c>
    </row>
    <row r="9598" spans="1:7" x14ac:dyDescent="0.2">
      <c r="A9598" s="2" t="s">
        <v>3296</v>
      </c>
      <c r="B9598" s="2" t="s">
        <v>2001</v>
      </c>
      <c r="C9598" s="2">
        <v>700.66560000000004</v>
      </c>
      <c r="D9598" s="2">
        <f>HYPERLINK("http://mcb-m6.bioreg.kyushu-u.ac.jp/M3/20110414/F50963/1627/1", 49.72)</f>
        <v>49.72</v>
      </c>
      <c r="E9598" s="2">
        <v>32.68</v>
      </c>
      <c r="F9598" s="2">
        <v>2</v>
      </c>
      <c r="G9598" s="2" t="s">
        <v>12</v>
      </c>
    </row>
    <row r="9599" spans="1:7" x14ac:dyDescent="0.2">
      <c r="A9599" s="2" t="s">
        <v>3296</v>
      </c>
      <c r="B9599" s="2" t="s">
        <v>1460</v>
      </c>
      <c r="C9599" s="2">
        <v>752.25919999999996</v>
      </c>
      <c r="D9599" s="2">
        <f>HYPERLINK("http://mcb-m6.bioreg.kyushu-u.ac.jp/M3/20110414/F50963/1891/1", 72.91)</f>
        <v>72.91</v>
      </c>
      <c r="E9599" s="2">
        <v>47</v>
      </c>
      <c r="F9599" s="2">
        <v>2</v>
      </c>
      <c r="G9599" s="2" t="s">
        <v>12</v>
      </c>
    </row>
    <row r="9600" spans="1:7" x14ac:dyDescent="0.2">
      <c r="A9600" s="2" t="s">
        <v>3296</v>
      </c>
      <c r="B9600" s="2" t="s">
        <v>3056</v>
      </c>
      <c r="C9600" s="2">
        <v>759.08810000000005</v>
      </c>
      <c r="D9600" s="2">
        <f>HYPERLINK("http://mcb-m6.bioreg.kyushu-u.ac.jp/M3/20110502/F51191/1820/1", 40.64)</f>
        <v>40.64</v>
      </c>
      <c r="E9600" s="2">
        <v>18.25</v>
      </c>
      <c r="F9600" s="2">
        <v>2</v>
      </c>
      <c r="G9600" s="2" t="s">
        <v>14</v>
      </c>
    </row>
    <row r="9601" spans="1:9" x14ac:dyDescent="0.2">
      <c r="A9601" s="2" t="s">
        <v>3296</v>
      </c>
      <c r="B9601" s="2" t="s">
        <v>1460</v>
      </c>
      <c r="C9601" s="2">
        <v>752.61469999999997</v>
      </c>
      <c r="D9601" s="2">
        <f>HYPERLINK("http://mcb-m6.bioreg.kyushu-u.ac.jp/M3/20110502/F51191/1784/1", 51.15)</f>
        <v>51.15</v>
      </c>
      <c r="E9601" s="2">
        <v>18.16</v>
      </c>
      <c r="F9601" s="2">
        <v>2</v>
      </c>
      <c r="G9601" s="2" t="s">
        <v>14</v>
      </c>
    </row>
    <row r="9602" spans="1:9" x14ac:dyDescent="0.2">
      <c r="A9602" s="2" t="s">
        <v>4578</v>
      </c>
      <c r="B9602" s="2" t="s">
        <v>2632</v>
      </c>
      <c r="C9602" s="2">
        <v>872.87869999999998</v>
      </c>
      <c r="D9602" s="2">
        <f>HYPERLINK("http://mcb-m6.bioreg.kyushu-u.ac.jp/M3/20110414/F50946/2670/1", 44.63)</f>
        <v>44.63</v>
      </c>
      <c r="E9602" s="2">
        <v>35.29</v>
      </c>
      <c r="F9602" s="2">
        <v>2</v>
      </c>
      <c r="G9602" s="2" t="s">
        <v>12</v>
      </c>
    </row>
    <row r="9603" spans="1:9" x14ac:dyDescent="0.2">
      <c r="A9603" s="2" t="s">
        <v>3817</v>
      </c>
      <c r="B9603" s="2" t="s">
        <v>877</v>
      </c>
      <c r="C9603" s="2">
        <v>622.04020000000003</v>
      </c>
      <c r="D9603" s="2">
        <f>HYPERLINK("http://mcb-m6.bioreg.kyushu-u.ac.jp/M3/20110411/F50903/1495/1", 54.2)</f>
        <v>54.2</v>
      </c>
      <c r="E9603" s="2">
        <v>28.55</v>
      </c>
      <c r="F9603" s="2">
        <v>2</v>
      </c>
      <c r="G9603" s="2" t="s">
        <v>9</v>
      </c>
    </row>
    <row r="9604" spans="1:9" x14ac:dyDescent="0.2">
      <c r="A9604" s="2" t="s">
        <v>3817</v>
      </c>
      <c r="B9604" s="2" t="s">
        <v>877</v>
      </c>
      <c r="C9604" s="2">
        <v>622.12159999999994</v>
      </c>
      <c r="D9604" s="2">
        <f>HYPERLINK("http://mcb-m6.bioreg.kyushu-u.ac.jp/M3/20110414/F50925/1809/1", 38.6)</f>
        <v>38.6</v>
      </c>
      <c r="E9604" s="2">
        <v>21.74</v>
      </c>
      <c r="F9604" s="2">
        <v>2</v>
      </c>
      <c r="G9604" s="2" t="s">
        <v>11</v>
      </c>
    </row>
    <row r="9605" spans="1:9" x14ac:dyDescent="0.2">
      <c r="A9605" s="2" t="s">
        <v>3817</v>
      </c>
      <c r="B9605" s="2" t="s">
        <v>877</v>
      </c>
      <c r="C9605" s="2">
        <v>621.68470000000002</v>
      </c>
      <c r="D9605" s="2">
        <f>HYPERLINK("http://mcb-m6.bioreg.kyushu-u.ac.jp/M3/20110414/F50924/1539/1", 52.4)</f>
        <v>52.4</v>
      </c>
      <c r="E9605" s="2">
        <v>24.92</v>
      </c>
      <c r="F9605" s="2">
        <v>2</v>
      </c>
      <c r="G9605" s="2" t="s">
        <v>11</v>
      </c>
    </row>
    <row r="9606" spans="1:9" x14ac:dyDescent="0.2">
      <c r="A9606" s="2" t="s">
        <v>3817</v>
      </c>
      <c r="B9606" s="2" t="s">
        <v>877</v>
      </c>
      <c r="C9606" s="2">
        <v>622.24519999999995</v>
      </c>
      <c r="D9606" s="2">
        <f>HYPERLINK("http://mcb-m6.bioreg.kyushu-u.ac.jp/M3/20110414/F50924/1545/1", 64.28)</f>
        <v>64.28</v>
      </c>
      <c r="E9606" s="2">
        <v>49.06</v>
      </c>
      <c r="F9606" s="2">
        <v>2</v>
      </c>
      <c r="G9606" s="2" t="s">
        <v>11</v>
      </c>
    </row>
    <row r="9607" spans="1:9" x14ac:dyDescent="0.2">
      <c r="A9607" s="2" t="s">
        <v>3817</v>
      </c>
      <c r="B9607" s="2" t="s">
        <v>877</v>
      </c>
      <c r="C9607" s="2">
        <v>622.16610000000003</v>
      </c>
      <c r="D9607" s="2">
        <f>HYPERLINK("http://mcb-m6.bioreg.kyushu-u.ac.jp/M3/20110502/F51165/1732/1", 50.58)</f>
        <v>50.58</v>
      </c>
      <c r="E9607" s="2">
        <v>30.42</v>
      </c>
      <c r="F9607" s="2">
        <v>2</v>
      </c>
      <c r="G9607" s="2" t="s">
        <v>13</v>
      </c>
    </row>
    <row r="9608" spans="1:9" x14ac:dyDescent="0.2">
      <c r="A9608" s="2" t="s">
        <v>3621</v>
      </c>
      <c r="B9608" s="2" t="s">
        <v>530</v>
      </c>
      <c r="C9608" s="2">
        <v>648.23069999999996</v>
      </c>
      <c r="D9608" s="2">
        <f>HYPERLINK("http://mcb-m6.bioreg.kyushu-u.ac.jp/M3/20110411/F50903/1574/1", 43.95)</f>
        <v>43.95</v>
      </c>
      <c r="E9608" s="2">
        <v>26.01</v>
      </c>
      <c r="F9608" s="2">
        <v>2</v>
      </c>
      <c r="G9608" s="2" t="s">
        <v>9</v>
      </c>
    </row>
    <row r="9609" spans="1:9" x14ac:dyDescent="0.2">
      <c r="A9609" s="2" t="s">
        <v>3621</v>
      </c>
      <c r="B9609" s="2" t="s">
        <v>2326</v>
      </c>
      <c r="C9609" s="2">
        <v>1043.4739999999999</v>
      </c>
      <c r="D9609" s="2">
        <f>HYPERLINK("http://mcb-m6.bioreg.kyushu-u.ac.jp/M3/20110414/F50924/1148/1", 46.36)</f>
        <v>46.36</v>
      </c>
      <c r="E9609" s="2">
        <v>25.63</v>
      </c>
      <c r="F9609" s="2">
        <v>1</v>
      </c>
      <c r="G9609" s="2" t="s">
        <v>11</v>
      </c>
    </row>
    <row r="9610" spans="1:9" x14ac:dyDescent="0.2">
      <c r="A9610" s="2" t="s">
        <v>3621</v>
      </c>
      <c r="B9610" s="2" t="s">
        <v>530</v>
      </c>
      <c r="C9610" s="2">
        <v>647.7482</v>
      </c>
      <c r="D9610" s="2">
        <f>HYPERLINK("http://mcb-m6.bioreg.kyushu-u.ac.jp/M3/20110414/F50924/1611/1", 60.39)</f>
        <v>60.39</v>
      </c>
      <c r="E9610" s="2">
        <v>35.17</v>
      </c>
      <c r="F9610" s="2">
        <v>2</v>
      </c>
      <c r="G9610" s="2" t="s">
        <v>11</v>
      </c>
    </row>
    <row r="9611" spans="1:9" x14ac:dyDescent="0.2">
      <c r="A9611" s="2" t="s">
        <v>4595</v>
      </c>
      <c r="B9611" s="2" t="s">
        <v>2683</v>
      </c>
      <c r="C9611" s="2">
        <v>677.26210000000003</v>
      </c>
      <c r="D9611" s="2">
        <f>HYPERLINK("http://mcb-m6.bioreg.kyushu-u.ac.jp/M3/20110414/F50930/2016/1", 52.77)</f>
        <v>52.77</v>
      </c>
      <c r="E9611" s="2">
        <v>24.47</v>
      </c>
      <c r="F9611" s="2">
        <v>2</v>
      </c>
      <c r="G9611" s="2" t="s">
        <v>12</v>
      </c>
      <c r="I9611" s="2" t="s">
        <v>4923</v>
      </c>
    </row>
    <row r="9612" spans="1:9" x14ac:dyDescent="0.2">
      <c r="A9612" s="2" t="s">
        <v>4870</v>
      </c>
      <c r="B9612" s="2" t="s">
        <v>3174</v>
      </c>
      <c r="C9612" s="2">
        <v>823.23270000000002</v>
      </c>
      <c r="D9612" s="2">
        <f>HYPERLINK("http://mcb-m6.bioreg.kyushu-u.ac.jp/M3/20110502/F51179/2253/1", 61.56)</f>
        <v>61.56</v>
      </c>
      <c r="E9612" s="2">
        <v>43.31</v>
      </c>
      <c r="F9612" s="2">
        <v>2</v>
      </c>
      <c r="G9612" s="2" t="s">
        <v>14</v>
      </c>
      <c r="I9612" s="2" t="s">
        <v>4895</v>
      </c>
    </row>
    <row r="9613" spans="1:9" x14ac:dyDescent="0.2">
      <c r="A9613" s="2" t="s">
        <v>3514</v>
      </c>
      <c r="B9613" s="2" t="s">
        <v>355</v>
      </c>
      <c r="C9613" s="2">
        <v>541.9606</v>
      </c>
      <c r="D9613" s="2">
        <f>HYPERLINK("http://mcb-m6.bioreg.kyushu-u.ac.jp/M3/20110411/F50911/1139/1", 40.18)</f>
        <v>40.18</v>
      </c>
      <c r="E9613" s="2">
        <v>11.88</v>
      </c>
      <c r="F9613" s="2">
        <v>2</v>
      </c>
      <c r="G9613" s="2" t="s">
        <v>9</v>
      </c>
    </row>
    <row r="9614" spans="1:9" x14ac:dyDescent="0.2">
      <c r="A9614" s="2" t="s">
        <v>3514</v>
      </c>
      <c r="B9614" s="2" t="s">
        <v>798</v>
      </c>
      <c r="C9614" s="2">
        <v>958.63319999999999</v>
      </c>
      <c r="D9614" s="2">
        <f>HYPERLINK("http://mcb-m6.bioreg.kyushu-u.ac.jp/M3/20110411/F50911/3188/1", 51.67)</f>
        <v>51.67</v>
      </c>
      <c r="E9614" s="2">
        <v>32.880000000000003</v>
      </c>
      <c r="F9614" s="2">
        <v>2</v>
      </c>
      <c r="G9614" s="2" t="s">
        <v>9</v>
      </c>
    </row>
    <row r="9615" spans="1:9" x14ac:dyDescent="0.2">
      <c r="A9615" s="2" t="s">
        <v>3514</v>
      </c>
      <c r="B9615" s="2" t="s">
        <v>914</v>
      </c>
      <c r="C9615" s="2">
        <v>643.62710000000004</v>
      </c>
      <c r="D9615" s="2">
        <f>HYPERLINK("http://mcb-m6.bioreg.kyushu-u.ac.jp/M3/20110411/F50911/1574/1", 55.37)</f>
        <v>55.37</v>
      </c>
      <c r="E9615" s="2">
        <v>15.36</v>
      </c>
      <c r="F9615" s="2">
        <v>2</v>
      </c>
      <c r="G9615" s="2" t="s">
        <v>9</v>
      </c>
    </row>
    <row r="9616" spans="1:9" x14ac:dyDescent="0.2">
      <c r="A9616" s="2" t="s">
        <v>3514</v>
      </c>
      <c r="B9616" s="2" t="s">
        <v>950</v>
      </c>
      <c r="C9616" s="2">
        <v>590.21619999999996</v>
      </c>
      <c r="D9616" s="2">
        <f>HYPERLINK("http://mcb-m6.bioreg.kyushu-u.ac.jp/M3/20110411/F50911/1350/1", 56.47)</f>
        <v>56.47</v>
      </c>
      <c r="E9616" s="2">
        <v>24.8</v>
      </c>
      <c r="F9616" s="2">
        <v>2</v>
      </c>
      <c r="G9616" s="2" t="s">
        <v>9</v>
      </c>
    </row>
    <row r="9617" spans="1:7" x14ac:dyDescent="0.2">
      <c r="A9617" s="2" t="s">
        <v>3514</v>
      </c>
      <c r="B9617" s="2" t="s">
        <v>1058</v>
      </c>
      <c r="C9617" s="2">
        <v>622.54420000000005</v>
      </c>
      <c r="D9617" s="2">
        <f>HYPERLINK("http://mcb-m6.bioreg.kyushu-u.ac.jp/M3/20110411/F50911/1487/1", 60.85)</f>
        <v>60.85</v>
      </c>
      <c r="E9617" s="2">
        <v>33.1</v>
      </c>
      <c r="F9617" s="2">
        <v>2</v>
      </c>
      <c r="G9617" s="2" t="s">
        <v>9</v>
      </c>
    </row>
    <row r="9618" spans="1:7" x14ac:dyDescent="0.2">
      <c r="A9618" s="2" t="s">
        <v>3514</v>
      </c>
      <c r="B9618" s="2" t="s">
        <v>1120</v>
      </c>
      <c r="C9618" s="2">
        <v>774.6277</v>
      </c>
      <c r="D9618" s="2">
        <f>HYPERLINK("http://mcb-m6.bioreg.kyushu-u.ac.jp/M3/20110411/F50911/2279/1", 63.93)</f>
        <v>63.93</v>
      </c>
      <c r="E9618" s="2">
        <v>44.09</v>
      </c>
      <c r="F9618" s="2">
        <v>2</v>
      </c>
      <c r="G9618" s="2" t="s">
        <v>9</v>
      </c>
    </row>
    <row r="9619" spans="1:7" x14ac:dyDescent="0.2">
      <c r="A9619" s="2" t="s">
        <v>3514</v>
      </c>
      <c r="B9619" s="2" t="s">
        <v>1213</v>
      </c>
      <c r="C9619" s="2">
        <v>627.25710000000004</v>
      </c>
      <c r="D9619" s="2">
        <f>HYPERLINK("http://mcb-m6.bioreg.kyushu-u.ac.jp/M3/20110411/F50911/1507/1", 67.67)</f>
        <v>67.67</v>
      </c>
      <c r="E9619" s="2">
        <v>45.65</v>
      </c>
      <c r="F9619" s="2">
        <v>2</v>
      </c>
      <c r="G9619" s="2" t="s">
        <v>9</v>
      </c>
    </row>
    <row r="9620" spans="1:7" x14ac:dyDescent="0.2">
      <c r="A9620" s="2" t="s">
        <v>3514</v>
      </c>
      <c r="B9620" s="2" t="s">
        <v>1424</v>
      </c>
      <c r="C9620" s="2">
        <v>596.0557</v>
      </c>
      <c r="D9620" s="2">
        <f>HYPERLINK("http://mcb-m6.bioreg.kyushu-u.ac.jp/M3/20110411/F50911/1376/1", 79.51)</f>
        <v>79.510000000000005</v>
      </c>
      <c r="E9620" s="2">
        <v>50.97</v>
      </c>
      <c r="F9620" s="2">
        <v>2</v>
      </c>
      <c r="G9620" s="2" t="s">
        <v>9</v>
      </c>
    </row>
    <row r="9621" spans="1:7" x14ac:dyDescent="0.2">
      <c r="A9621" s="2" t="s">
        <v>3514</v>
      </c>
      <c r="B9621" s="2" t="s">
        <v>1634</v>
      </c>
      <c r="C9621" s="2">
        <v>731.58259999999996</v>
      </c>
      <c r="D9621" s="2">
        <f>HYPERLINK("http://mcb-m6.bioreg.kyushu-u.ac.jp/M3/20110411/F50911/2037/1", 105.52)</f>
        <v>105.52</v>
      </c>
      <c r="E9621" s="2">
        <v>87.97</v>
      </c>
      <c r="F9621" s="2">
        <v>2</v>
      </c>
      <c r="G9621" s="2" t="s">
        <v>9</v>
      </c>
    </row>
    <row r="9622" spans="1:7" x14ac:dyDescent="0.2">
      <c r="A9622" s="2" t="s">
        <v>3514</v>
      </c>
      <c r="B9622" s="2" t="s">
        <v>1852</v>
      </c>
      <c r="C9622" s="2">
        <v>494.08010000000002</v>
      </c>
      <c r="D9622" s="2">
        <f>HYPERLINK("http://mcb-m6.bioreg.kyushu-u.ac.jp/M3/20110411/F50914/1027/1", 44.3)</f>
        <v>44.3</v>
      </c>
      <c r="E9622" s="2">
        <v>21.48</v>
      </c>
      <c r="F9622" s="2">
        <v>2</v>
      </c>
      <c r="G9622" s="2" t="s">
        <v>10</v>
      </c>
    </row>
    <row r="9623" spans="1:7" x14ac:dyDescent="0.2">
      <c r="A9623" s="2" t="s">
        <v>3514</v>
      </c>
      <c r="B9623" s="2" t="s">
        <v>1058</v>
      </c>
      <c r="C9623" s="2">
        <v>622.39260000000002</v>
      </c>
      <c r="D9623" s="2">
        <f>HYPERLINK("http://mcb-m6.bioreg.kyushu-u.ac.jp/M3/20110411/F50914/1555/1", 54.25)</f>
        <v>54.25</v>
      </c>
      <c r="E9623" s="2">
        <v>33.04</v>
      </c>
      <c r="F9623" s="2">
        <v>2</v>
      </c>
      <c r="G9623" s="2" t="s">
        <v>10</v>
      </c>
    </row>
    <row r="9624" spans="1:7" x14ac:dyDescent="0.2">
      <c r="A9624" s="2" t="s">
        <v>3514</v>
      </c>
      <c r="B9624" s="2" t="s">
        <v>1978</v>
      </c>
      <c r="C9624" s="2">
        <v>644.34519999999998</v>
      </c>
      <c r="D9624" s="2">
        <f>HYPERLINK("http://mcb-m6.bioreg.kyushu-u.ac.jp/M3/20110411/F50914/1632/1", 56.08)</f>
        <v>56.08</v>
      </c>
      <c r="E9624" s="2">
        <v>28.29</v>
      </c>
      <c r="F9624" s="2">
        <v>2</v>
      </c>
      <c r="G9624" s="2" t="s">
        <v>10</v>
      </c>
    </row>
    <row r="9625" spans="1:7" x14ac:dyDescent="0.2">
      <c r="A9625" s="2" t="s">
        <v>3514</v>
      </c>
      <c r="B9625" s="2" t="s">
        <v>1993</v>
      </c>
      <c r="C9625" s="2">
        <v>701.44069999999999</v>
      </c>
      <c r="D9625" s="2">
        <f>HYPERLINK("http://mcb-m6.bioreg.kyushu-u.ac.jp/M3/20110411/F50914/1898/1", 57.6)</f>
        <v>57.6</v>
      </c>
      <c r="E9625" s="2">
        <v>44.01</v>
      </c>
      <c r="F9625" s="2">
        <v>2</v>
      </c>
      <c r="G9625" s="2" t="s">
        <v>10</v>
      </c>
    </row>
    <row r="9626" spans="1:7" x14ac:dyDescent="0.2">
      <c r="A9626" s="2" t="s">
        <v>3514</v>
      </c>
      <c r="B9626" s="2" t="s">
        <v>914</v>
      </c>
      <c r="C9626" s="2">
        <v>643.47519999999997</v>
      </c>
      <c r="D9626" s="2">
        <f>HYPERLINK("http://mcb-m6.bioreg.kyushu-u.ac.jp/M3/20110411/F50914/1627/1", 57.93)</f>
        <v>57.93</v>
      </c>
      <c r="E9626" s="2">
        <v>19.43</v>
      </c>
      <c r="F9626" s="2">
        <v>2</v>
      </c>
      <c r="G9626" s="2" t="s">
        <v>10</v>
      </c>
    </row>
    <row r="9627" spans="1:7" x14ac:dyDescent="0.2">
      <c r="A9627" s="2" t="s">
        <v>3514</v>
      </c>
      <c r="B9627" s="2" t="s">
        <v>1213</v>
      </c>
      <c r="C9627" s="2">
        <v>627.3442</v>
      </c>
      <c r="D9627" s="2">
        <f>HYPERLINK("http://mcb-m6.bioreg.kyushu-u.ac.jp/M3/20110411/F50914/1575/1", 67.11)</f>
        <v>67.11</v>
      </c>
      <c r="E9627" s="2">
        <v>42.4</v>
      </c>
      <c r="F9627" s="2">
        <v>2</v>
      </c>
      <c r="G9627" s="2" t="s">
        <v>10</v>
      </c>
    </row>
    <row r="9628" spans="1:7" x14ac:dyDescent="0.2">
      <c r="A9628" s="2" t="s">
        <v>3514</v>
      </c>
      <c r="B9628" s="2" t="s">
        <v>2080</v>
      </c>
      <c r="C9628" s="2">
        <v>681.29909999999995</v>
      </c>
      <c r="D9628" s="2">
        <f>HYPERLINK("http://mcb-m6.bioreg.kyushu-u.ac.jp/M3/20110411/F50914/1791/1", 75.48)</f>
        <v>75.48</v>
      </c>
      <c r="E9628" s="2">
        <v>52.11</v>
      </c>
      <c r="F9628" s="2">
        <v>2</v>
      </c>
      <c r="G9628" s="2" t="s">
        <v>10</v>
      </c>
    </row>
    <row r="9629" spans="1:7" x14ac:dyDescent="0.2">
      <c r="A9629" s="2" t="s">
        <v>3514</v>
      </c>
      <c r="B9629" s="2" t="s">
        <v>1424</v>
      </c>
      <c r="C9629" s="2">
        <v>595.79610000000002</v>
      </c>
      <c r="D9629" s="2">
        <f>HYPERLINK("http://mcb-m6.bioreg.kyushu-u.ac.jp/M3/20110411/F50914/1442/1", 76.45)</f>
        <v>76.45</v>
      </c>
      <c r="E9629" s="2">
        <v>51.48</v>
      </c>
      <c r="F9629" s="2">
        <v>2</v>
      </c>
      <c r="G9629" s="2" t="s">
        <v>10</v>
      </c>
    </row>
    <row r="9630" spans="1:7" x14ac:dyDescent="0.2">
      <c r="A9630" s="2" t="s">
        <v>3514</v>
      </c>
      <c r="B9630" s="2" t="s">
        <v>1634</v>
      </c>
      <c r="C9630" s="2">
        <v>731.42110000000002</v>
      </c>
      <c r="D9630" s="2">
        <f>HYPERLINK("http://mcb-m6.bioreg.kyushu-u.ac.jp/M3/20110411/F50914/2044/1", 92.53)</f>
        <v>92.53</v>
      </c>
      <c r="E9630" s="2">
        <v>74.72</v>
      </c>
      <c r="F9630" s="2">
        <v>2</v>
      </c>
      <c r="G9630" s="2" t="s">
        <v>10</v>
      </c>
    </row>
    <row r="9631" spans="1:7" x14ac:dyDescent="0.2">
      <c r="A9631" s="2" t="s">
        <v>3514</v>
      </c>
      <c r="B9631" s="2" t="s">
        <v>2133</v>
      </c>
      <c r="C9631" s="2">
        <v>789.45010000000002</v>
      </c>
      <c r="D9631" s="2">
        <f>HYPERLINK("http://mcb-m6.bioreg.kyushu-u.ac.jp/M3/20110411/F50914/2346/1", 97.72)</f>
        <v>97.72</v>
      </c>
      <c r="E9631" s="2">
        <v>85.61</v>
      </c>
      <c r="F9631" s="2">
        <v>2</v>
      </c>
      <c r="G9631" s="2" t="s">
        <v>10</v>
      </c>
    </row>
    <row r="9632" spans="1:7" x14ac:dyDescent="0.2">
      <c r="A9632" s="2" t="s">
        <v>3514</v>
      </c>
      <c r="B9632" s="2" t="s">
        <v>2136</v>
      </c>
      <c r="C9632" s="2">
        <v>1143.5930000000001</v>
      </c>
      <c r="D9632" s="2">
        <f>HYPERLINK("http://mcb-m6.bioreg.kyushu-u.ac.jp/M3/20110411/F50914/3587/1", 103.95)</f>
        <v>103.95</v>
      </c>
      <c r="E9632" s="2">
        <v>95.67</v>
      </c>
      <c r="F9632" s="2">
        <v>2</v>
      </c>
      <c r="G9632" s="2" t="s">
        <v>10</v>
      </c>
    </row>
    <row r="9633" spans="1:7" x14ac:dyDescent="0.2">
      <c r="A9633" s="2" t="s">
        <v>3514</v>
      </c>
      <c r="B9633" s="2" t="s">
        <v>1424</v>
      </c>
      <c r="C9633" s="2">
        <v>595.83259999999996</v>
      </c>
      <c r="D9633" s="2">
        <f>HYPERLINK("http://mcb-m6.bioreg.kyushu-u.ac.jp/M3/20110414/F50942/1171/1", 61.33)</f>
        <v>61.33</v>
      </c>
      <c r="E9633" s="2">
        <v>44.79</v>
      </c>
      <c r="F9633" s="2">
        <v>2</v>
      </c>
      <c r="G9633" s="2" t="s">
        <v>11</v>
      </c>
    </row>
    <row r="9634" spans="1:7" x14ac:dyDescent="0.2">
      <c r="A9634" s="2" t="s">
        <v>3514</v>
      </c>
      <c r="B9634" s="2" t="s">
        <v>2080</v>
      </c>
      <c r="C9634" s="2">
        <v>681.76570000000004</v>
      </c>
      <c r="D9634" s="2">
        <f>HYPERLINK("http://mcb-m6.bioreg.kyushu-u.ac.jp/M3/20110414/F50942/1572/1", 64.79)</f>
        <v>64.790000000000006</v>
      </c>
      <c r="E9634" s="2">
        <v>45.88</v>
      </c>
      <c r="F9634" s="2">
        <v>2</v>
      </c>
      <c r="G9634" s="2" t="s">
        <v>11</v>
      </c>
    </row>
    <row r="9635" spans="1:7" x14ac:dyDescent="0.2">
      <c r="A9635" s="2" t="s">
        <v>3514</v>
      </c>
      <c r="B9635" s="2" t="s">
        <v>950</v>
      </c>
      <c r="C9635" s="2">
        <v>590.28809999999999</v>
      </c>
      <c r="D9635" s="2">
        <f>HYPERLINK("http://mcb-m6.bioreg.kyushu-u.ac.jp/M3/20110414/F50942/1147/1", 64.86)</f>
        <v>64.86</v>
      </c>
      <c r="E9635" s="2">
        <v>38.58</v>
      </c>
      <c r="F9635" s="2">
        <v>2</v>
      </c>
      <c r="G9635" s="2" t="s">
        <v>11</v>
      </c>
    </row>
    <row r="9636" spans="1:7" x14ac:dyDescent="0.2">
      <c r="A9636" s="2" t="s">
        <v>3514</v>
      </c>
      <c r="B9636" s="2" t="s">
        <v>1120</v>
      </c>
      <c r="C9636" s="2">
        <v>774.92719999999997</v>
      </c>
      <c r="D9636" s="2">
        <f>HYPERLINK("http://mcb-m6.bioreg.kyushu-u.ac.jp/M3/20110414/F50942/2130/1", 80.07)</f>
        <v>80.069999999999993</v>
      </c>
      <c r="E9636" s="2">
        <v>55.38</v>
      </c>
      <c r="F9636" s="2">
        <v>2</v>
      </c>
      <c r="G9636" s="2" t="s">
        <v>11</v>
      </c>
    </row>
    <row r="9637" spans="1:7" x14ac:dyDescent="0.2">
      <c r="A9637" s="2" t="s">
        <v>3514</v>
      </c>
      <c r="B9637" s="2" t="s">
        <v>2507</v>
      </c>
      <c r="C9637" s="2">
        <v>899.36109999999996</v>
      </c>
      <c r="D9637" s="2">
        <f>HYPERLINK("http://mcb-m6.bioreg.kyushu-u.ac.jp/M3/20110414/F50942/2877/1", 96.97)</f>
        <v>96.97</v>
      </c>
      <c r="E9637" s="2">
        <v>86.29</v>
      </c>
      <c r="F9637" s="2">
        <v>2</v>
      </c>
      <c r="G9637" s="2" t="s">
        <v>11</v>
      </c>
    </row>
    <row r="9638" spans="1:7" x14ac:dyDescent="0.2">
      <c r="A9638" s="2" t="s">
        <v>3514</v>
      </c>
      <c r="B9638" s="2" t="s">
        <v>1993</v>
      </c>
      <c r="C9638" s="2">
        <v>701.33920000000001</v>
      </c>
      <c r="D9638" s="2">
        <f>HYPERLINK("http://mcb-m6.bioreg.kyushu-u.ac.jp/M3/20110414/F50948/1824/1", 40.31)</f>
        <v>40.31</v>
      </c>
      <c r="E9638" s="2">
        <v>21.81</v>
      </c>
      <c r="F9638" s="2">
        <v>2</v>
      </c>
      <c r="G9638" s="2" t="s">
        <v>12</v>
      </c>
    </row>
    <row r="9639" spans="1:7" x14ac:dyDescent="0.2">
      <c r="A9639" s="2" t="s">
        <v>3514</v>
      </c>
      <c r="B9639" s="2" t="s">
        <v>1852</v>
      </c>
      <c r="C9639" s="2">
        <v>494.39409999999998</v>
      </c>
      <c r="D9639" s="2">
        <f>HYPERLINK("http://mcb-m6.bioreg.kyushu-u.ac.jp/M3/20110502/F51171/1020/1", 40.42)</f>
        <v>40.42</v>
      </c>
      <c r="E9639" s="2">
        <v>21.34</v>
      </c>
      <c r="F9639" s="2">
        <v>2</v>
      </c>
      <c r="G9639" s="2" t="s">
        <v>13</v>
      </c>
    </row>
    <row r="9640" spans="1:7" x14ac:dyDescent="0.2">
      <c r="A9640" s="2" t="s">
        <v>3514</v>
      </c>
      <c r="B9640" s="2" t="s">
        <v>1634</v>
      </c>
      <c r="C9640" s="2">
        <v>731.58119999999997</v>
      </c>
      <c r="D9640" s="2">
        <f>HYPERLINK("http://mcb-m6.bioreg.kyushu-u.ac.jp/M3/20110502/F51171/1986/1", 41.63)</f>
        <v>41.63</v>
      </c>
      <c r="E9640" s="2">
        <v>22.73</v>
      </c>
      <c r="F9640" s="2">
        <v>2</v>
      </c>
      <c r="G9640" s="2" t="s">
        <v>13</v>
      </c>
    </row>
    <row r="9641" spans="1:7" x14ac:dyDescent="0.2">
      <c r="A9641" s="2" t="s">
        <v>3514</v>
      </c>
      <c r="B9641" s="2" t="s">
        <v>950</v>
      </c>
      <c r="C9641" s="2">
        <v>589.97860000000003</v>
      </c>
      <c r="D9641" s="2">
        <f>HYPERLINK("http://mcb-m6.bioreg.kyushu-u.ac.jp/M3/20110502/F51171/1400/1", 60.52)</f>
        <v>60.52</v>
      </c>
      <c r="E9641" s="2">
        <v>25.67</v>
      </c>
      <c r="F9641" s="2">
        <v>2</v>
      </c>
      <c r="G9641" s="2" t="s">
        <v>13</v>
      </c>
    </row>
    <row r="9642" spans="1:7" x14ac:dyDescent="0.2">
      <c r="A9642" s="2" t="s">
        <v>3514</v>
      </c>
      <c r="B9642" s="2" t="s">
        <v>2080</v>
      </c>
      <c r="C9642" s="2">
        <v>681.80820000000006</v>
      </c>
      <c r="D9642" s="2">
        <f>HYPERLINK("http://mcb-m6.bioreg.kyushu-u.ac.jp/M3/20110502/F51171/1732/1", 65.75)</f>
        <v>65.75</v>
      </c>
      <c r="E9642" s="2">
        <v>44.37</v>
      </c>
      <c r="F9642" s="2">
        <v>2</v>
      </c>
      <c r="G9642" s="2" t="s">
        <v>13</v>
      </c>
    </row>
    <row r="9643" spans="1:7" x14ac:dyDescent="0.2">
      <c r="A9643" s="2" t="s">
        <v>3514</v>
      </c>
      <c r="B9643" s="2" t="s">
        <v>2133</v>
      </c>
      <c r="C9643" s="2">
        <v>789.95619999999997</v>
      </c>
      <c r="D9643" s="2">
        <f>HYPERLINK("http://mcb-m6.bioreg.kyushu-u.ac.jp/M3/20110502/F51183/2188/1", 51.71)</f>
        <v>51.71</v>
      </c>
      <c r="E9643" s="2">
        <v>31.69</v>
      </c>
      <c r="F9643" s="2">
        <v>2</v>
      </c>
      <c r="G9643" s="2" t="s">
        <v>14</v>
      </c>
    </row>
    <row r="9644" spans="1:7" x14ac:dyDescent="0.2">
      <c r="A9644" s="2" t="s">
        <v>3514</v>
      </c>
      <c r="B9644" s="2" t="s">
        <v>2080</v>
      </c>
      <c r="C9644" s="2">
        <v>681.80110000000002</v>
      </c>
      <c r="D9644" s="2">
        <f>HYPERLINK("http://mcb-m6.bioreg.kyushu-u.ac.jp/M3/20110502/F51183/1543/1", 79.77)</f>
        <v>79.77</v>
      </c>
      <c r="E9644" s="2">
        <v>43.87</v>
      </c>
      <c r="F9644" s="2">
        <v>2</v>
      </c>
      <c r="G9644" s="2" t="s">
        <v>14</v>
      </c>
    </row>
    <row r="9645" spans="1:7" x14ac:dyDescent="0.2">
      <c r="A9645" s="2" t="s">
        <v>3514</v>
      </c>
      <c r="B9645" s="2" t="s">
        <v>2507</v>
      </c>
      <c r="C9645" s="2">
        <v>899.32370000000003</v>
      </c>
      <c r="D9645" s="2">
        <f>HYPERLINK("http://mcb-m6.bioreg.kyushu-u.ac.jp/M3/20110502/F51183/2740/1", 88.45)</f>
        <v>88.45</v>
      </c>
      <c r="E9645" s="2">
        <v>69</v>
      </c>
      <c r="F9645" s="2">
        <v>2</v>
      </c>
      <c r="G9645" s="2" t="s">
        <v>14</v>
      </c>
    </row>
    <row r="9646" spans="1:7" x14ac:dyDescent="0.2">
      <c r="A9646" s="2" t="s">
        <v>3389</v>
      </c>
      <c r="B9646" s="2" t="s">
        <v>182</v>
      </c>
      <c r="C9646" s="2">
        <v>651.0856</v>
      </c>
      <c r="D9646" s="2">
        <f>HYPERLINK("http://mcb-m6.bioreg.kyushu-u.ac.jp/M3/20110411/F50893/1776/1", 37.33)</f>
        <v>37.33</v>
      </c>
      <c r="E9646" s="2">
        <v>11.21</v>
      </c>
      <c r="F9646" s="2">
        <v>2</v>
      </c>
      <c r="G9646" s="2" t="s">
        <v>9</v>
      </c>
    </row>
    <row r="9647" spans="1:7" x14ac:dyDescent="0.2">
      <c r="A9647" s="2" t="s">
        <v>4037</v>
      </c>
      <c r="B9647" s="2" t="s">
        <v>1370</v>
      </c>
      <c r="C9647" s="2">
        <v>578.8066</v>
      </c>
      <c r="D9647" s="2">
        <f>HYPERLINK("http://mcb-m6.bioreg.kyushu-u.ac.jp/M3/20110411/F50889/1772/1", 76.19)</f>
        <v>76.19</v>
      </c>
      <c r="E9647" s="2">
        <v>57.09</v>
      </c>
      <c r="F9647" s="2">
        <v>2</v>
      </c>
      <c r="G9647" s="2" t="s">
        <v>9</v>
      </c>
    </row>
    <row r="9648" spans="1:7" x14ac:dyDescent="0.2">
      <c r="A9648" s="2" t="s">
        <v>4094</v>
      </c>
      <c r="B9648" s="2" t="s">
        <v>1540</v>
      </c>
      <c r="C9648" s="2">
        <v>626.78369999999995</v>
      </c>
      <c r="D9648" s="2">
        <f>HYPERLINK("http://mcb-m6.bioreg.kyushu-u.ac.jp/M3/20110411/F50889/1933/1", 90.19)</f>
        <v>90.19</v>
      </c>
      <c r="E9648" s="2">
        <v>66.069999999999993</v>
      </c>
      <c r="F9648" s="2">
        <v>2</v>
      </c>
      <c r="G9648" s="2" t="s">
        <v>9</v>
      </c>
    </row>
    <row r="9649" spans="1:9" x14ac:dyDescent="0.2">
      <c r="A9649" s="2" t="s">
        <v>4094</v>
      </c>
      <c r="B9649" s="2" t="s">
        <v>1540</v>
      </c>
      <c r="C9649" s="2">
        <v>627.0942</v>
      </c>
      <c r="D9649" s="2">
        <f>HYPERLINK("http://mcb-m6.bioreg.kyushu-u.ac.jp/M3/20110411/F50896/1739/1", 51.33)</f>
        <v>51.33</v>
      </c>
      <c r="E9649" s="2">
        <v>29</v>
      </c>
      <c r="F9649" s="2">
        <v>2</v>
      </c>
      <c r="G9649" s="2" t="s">
        <v>10</v>
      </c>
    </row>
    <row r="9650" spans="1:9" x14ac:dyDescent="0.2">
      <c r="A9650" s="2" t="s">
        <v>4094</v>
      </c>
      <c r="B9650" s="2" t="s">
        <v>1540</v>
      </c>
      <c r="C9650" s="2">
        <v>627.01819999999998</v>
      </c>
      <c r="D9650" s="2">
        <f>HYPERLINK("http://mcb-m6.bioreg.kyushu-u.ac.jp/M3/20110502/F51176/1785/1", 46.37)</f>
        <v>46.37</v>
      </c>
      <c r="E9650" s="2">
        <v>21.85</v>
      </c>
      <c r="F9650" s="2">
        <v>2</v>
      </c>
      <c r="G9650" s="2" t="s">
        <v>14</v>
      </c>
    </row>
    <row r="9651" spans="1:9" x14ac:dyDescent="0.2">
      <c r="A9651" s="2" t="s">
        <v>4012</v>
      </c>
      <c r="B9651" s="2" t="s">
        <v>1309</v>
      </c>
      <c r="C9651" s="2">
        <v>715.88070000000005</v>
      </c>
      <c r="D9651" s="2">
        <f>HYPERLINK("http://mcb-m6.bioreg.kyushu-u.ac.jp/M3/20110411/F50889/2168/1", 72.19)</f>
        <v>72.19</v>
      </c>
      <c r="E9651" s="2">
        <v>42.19</v>
      </c>
      <c r="F9651" s="2">
        <v>2</v>
      </c>
      <c r="G9651" s="2" t="s">
        <v>9</v>
      </c>
      <c r="I9651" s="2" t="s">
        <v>4893</v>
      </c>
    </row>
    <row r="9652" spans="1:9" x14ac:dyDescent="0.2">
      <c r="A9652" s="2" t="s">
        <v>4006</v>
      </c>
      <c r="B9652" s="2" t="s">
        <v>1301</v>
      </c>
      <c r="C9652" s="2">
        <v>516.12220000000002</v>
      </c>
      <c r="D9652" s="2">
        <f>HYPERLINK("http://mcb-m6.bioreg.kyushu-u.ac.jp/M3/20110411/F50915/820/1", 71.52)</f>
        <v>71.52</v>
      </c>
      <c r="E9652" s="2">
        <v>45.17</v>
      </c>
      <c r="F9652" s="2">
        <v>2</v>
      </c>
      <c r="G9652" s="2" t="s">
        <v>9</v>
      </c>
    </row>
    <row r="9653" spans="1:9" x14ac:dyDescent="0.2">
      <c r="A9653" s="2" t="s">
        <v>4006</v>
      </c>
      <c r="B9653" s="2" t="s">
        <v>2407</v>
      </c>
      <c r="C9653" s="2">
        <v>788.35820000000001</v>
      </c>
      <c r="D9653" s="2">
        <f>HYPERLINK("http://mcb-m6.bioreg.kyushu-u.ac.jp/M3/20110414/F50956/4287/1", 57.81)</f>
        <v>57.81</v>
      </c>
      <c r="E9653" s="2">
        <v>43.91</v>
      </c>
      <c r="F9653" s="2">
        <v>3</v>
      </c>
      <c r="G9653" s="2" t="s">
        <v>11</v>
      </c>
    </row>
    <row r="9654" spans="1:9" x14ac:dyDescent="0.2">
      <c r="A9654" s="2" t="s">
        <v>3641</v>
      </c>
      <c r="B9654" s="2" t="s">
        <v>560</v>
      </c>
      <c r="C9654" s="2">
        <v>890.88419999999996</v>
      </c>
      <c r="D9654" s="2">
        <f>HYPERLINK("http://mcb-m6.bioreg.kyushu-u.ac.jp/M3/20110411/F50915/2773/1", 44.88)</f>
        <v>44.88</v>
      </c>
      <c r="E9654" s="2">
        <v>33.08</v>
      </c>
      <c r="F9654" s="2">
        <v>2</v>
      </c>
      <c r="G9654" s="2" t="s">
        <v>9</v>
      </c>
    </row>
    <row r="9655" spans="1:9" x14ac:dyDescent="0.2">
      <c r="A9655" s="2" t="s">
        <v>3641</v>
      </c>
      <c r="B9655" s="2" t="s">
        <v>560</v>
      </c>
      <c r="C9655" s="2">
        <v>891.05470000000003</v>
      </c>
      <c r="D9655" s="2">
        <f>HYPERLINK("http://mcb-m6.bioreg.kyushu-u.ac.jp/M3/20110411/F50911/2901/1", 71.37)</f>
        <v>71.37</v>
      </c>
      <c r="E9655" s="2">
        <v>55.48</v>
      </c>
      <c r="F9655" s="2">
        <v>2</v>
      </c>
      <c r="G9655" s="2" t="s">
        <v>9</v>
      </c>
    </row>
    <row r="9656" spans="1:9" x14ac:dyDescent="0.2">
      <c r="A9656" s="2" t="s">
        <v>3641</v>
      </c>
      <c r="B9656" s="2" t="s">
        <v>560</v>
      </c>
      <c r="C9656" s="2">
        <v>891.47469999999998</v>
      </c>
      <c r="D9656" s="2">
        <f>HYPERLINK("http://mcb-m6.bioreg.kyushu-u.ac.jp/M3/20110411/F50914/2792/1", 78.83)</f>
        <v>78.83</v>
      </c>
      <c r="E9656" s="2">
        <v>61.84</v>
      </c>
      <c r="F9656" s="2">
        <v>2</v>
      </c>
      <c r="G9656" s="2" t="s">
        <v>10</v>
      </c>
    </row>
    <row r="9657" spans="1:9" x14ac:dyDescent="0.2">
      <c r="A9657" s="2" t="s">
        <v>3641</v>
      </c>
      <c r="B9657" s="2" t="s">
        <v>560</v>
      </c>
      <c r="C9657" s="2">
        <v>890.94870000000003</v>
      </c>
      <c r="D9657" s="2">
        <f>HYPERLINK("http://mcb-m6.bioreg.kyushu-u.ac.jp/M3/20110411/F50914/2786/1", 80.71)</f>
        <v>80.709999999999994</v>
      </c>
      <c r="E9657" s="2">
        <v>63.97</v>
      </c>
      <c r="F9657" s="2">
        <v>2</v>
      </c>
      <c r="G9657" s="2" t="s">
        <v>10</v>
      </c>
    </row>
    <row r="9658" spans="1:9" x14ac:dyDescent="0.2">
      <c r="A9658" s="2" t="s">
        <v>3641</v>
      </c>
      <c r="B9658" s="2" t="s">
        <v>560</v>
      </c>
      <c r="C9658" s="2">
        <v>891.34670000000006</v>
      </c>
      <c r="D9658" s="2">
        <f>HYPERLINK("http://mcb-m6.bioreg.kyushu-u.ac.jp/M3/20110414/F50942/2803/1", 76.13)</f>
        <v>76.13</v>
      </c>
      <c r="E9658" s="2">
        <v>62.57</v>
      </c>
      <c r="F9658" s="2">
        <v>2</v>
      </c>
      <c r="G9658" s="2" t="s">
        <v>11</v>
      </c>
    </row>
    <row r="9659" spans="1:9" x14ac:dyDescent="0.2">
      <c r="A9659" s="2" t="s">
        <v>3641</v>
      </c>
      <c r="B9659" s="2" t="s">
        <v>560</v>
      </c>
      <c r="C9659" s="2">
        <v>890.80269999999996</v>
      </c>
      <c r="D9659" s="2">
        <f>HYPERLINK("http://mcb-m6.bioreg.kyushu-u.ac.jp/M3/20110414/F50942/2801/1", 82.32)</f>
        <v>82.32</v>
      </c>
      <c r="E9659" s="2">
        <v>66.31</v>
      </c>
      <c r="F9659" s="2">
        <v>2</v>
      </c>
      <c r="G9659" s="2" t="s">
        <v>11</v>
      </c>
    </row>
    <row r="9660" spans="1:9" x14ac:dyDescent="0.2">
      <c r="A9660" s="2" t="s">
        <v>3641</v>
      </c>
      <c r="B9660" s="2" t="s">
        <v>560</v>
      </c>
      <c r="C9660" s="2">
        <v>890.70870000000002</v>
      </c>
      <c r="D9660" s="2">
        <f>HYPERLINK("http://mcb-m6.bioreg.kyushu-u.ac.jp/M3/20110414/F50948/2960/1", 57.58)</f>
        <v>57.58</v>
      </c>
      <c r="E9660" s="2">
        <v>45.12</v>
      </c>
      <c r="F9660" s="2">
        <v>2</v>
      </c>
      <c r="G9660" s="2" t="s">
        <v>12</v>
      </c>
    </row>
    <row r="9661" spans="1:9" x14ac:dyDescent="0.2">
      <c r="A9661" s="2" t="s">
        <v>3641</v>
      </c>
      <c r="B9661" s="2" t="s">
        <v>560</v>
      </c>
      <c r="C9661" s="2">
        <v>891.02170000000001</v>
      </c>
      <c r="D9661" s="2">
        <f>HYPERLINK("http://mcb-m6.bioreg.kyushu-u.ac.jp/M3/20110502/F51171/2636/1", 83.82)</f>
        <v>83.82</v>
      </c>
      <c r="E9661" s="2">
        <v>70.38</v>
      </c>
      <c r="F9661" s="2">
        <v>2</v>
      </c>
      <c r="G9661" s="2" t="s">
        <v>13</v>
      </c>
    </row>
    <row r="9662" spans="1:9" x14ac:dyDescent="0.2">
      <c r="A9662" s="2" t="s">
        <v>3335</v>
      </c>
      <c r="B9662" s="2" t="s">
        <v>123</v>
      </c>
      <c r="C9662" s="2">
        <v>1098.6880000000001</v>
      </c>
      <c r="D9662" s="2">
        <f>HYPERLINK("http://mcb-m6.bioreg.kyushu-u.ac.jp/M3/20110411/F50911/1174/1", 36.36)</f>
        <v>36.36</v>
      </c>
      <c r="E9662" s="2">
        <v>20.52</v>
      </c>
      <c r="F9662" s="2">
        <v>1</v>
      </c>
      <c r="G9662" s="2" t="s">
        <v>9</v>
      </c>
      <c r="I9662" s="2" t="s">
        <v>4903</v>
      </c>
    </row>
    <row r="9663" spans="1:9" x14ac:dyDescent="0.2">
      <c r="A9663" s="2" t="s">
        <v>3335</v>
      </c>
      <c r="B9663" s="2" t="s">
        <v>123</v>
      </c>
      <c r="C9663" s="2">
        <v>549.9366</v>
      </c>
      <c r="D9663" s="2">
        <f>HYPERLINK("http://mcb-m6.bioreg.kyushu-u.ac.jp/M3/20110411/F50911/1175/1", 51.65)</f>
        <v>51.65</v>
      </c>
      <c r="E9663" s="2">
        <v>23.54</v>
      </c>
      <c r="F9663" s="2">
        <v>2</v>
      </c>
      <c r="G9663" s="2" t="s">
        <v>9</v>
      </c>
      <c r="I9663" s="2" t="s">
        <v>4903</v>
      </c>
    </row>
    <row r="9664" spans="1:9" x14ac:dyDescent="0.2">
      <c r="A9664" s="2" t="s">
        <v>3335</v>
      </c>
      <c r="B9664" s="2" t="s">
        <v>1773</v>
      </c>
      <c r="C9664" s="2">
        <v>760.49369999999999</v>
      </c>
      <c r="D9664" s="2">
        <f>HYPERLINK("http://mcb-m6.bioreg.kyushu-u.ac.jp/M3/20110411/F50917/2074/1", 38.49)</f>
        <v>38.49</v>
      </c>
      <c r="E9664" s="2">
        <v>21.34</v>
      </c>
      <c r="F9664" s="2">
        <v>2</v>
      </c>
      <c r="G9664" s="2" t="s">
        <v>10</v>
      </c>
    </row>
    <row r="9665" spans="1:9" x14ac:dyDescent="0.2">
      <c r="A9665" s="2" t="s">
        <v>3335</v>
      </c>
      <c r="B9665" s="2" t="s">
        <v>123</v>
      </c>
      <c r="C9665" s="2">
        <v>549.82920000000001</v>
      </c>
      <c r="D9665" s="2">
        <f>HYPERLINK("http://mcb-m6.bioreg.kyushu-u.ac.jp/M3/20110411/F50914/1243/1", 52.98)</f>
        <v>52.98</v>
      </c>
      <c r="E9665" s="2">
        <v>27.17</v>
      </c>
      <c r="F9665" s="2">
        <v>2</v>
      </c>
      <c r="G9665" s="2" t="s">
        <v>10</v>
      </c>
      <c r="I9665" s="2" t="s">
        <v>4903</v>
      </c>
    </row>
    <row r="9666" spans="1:9" x14ac:dyDescent="0.2">
      <c r="A9666" s="2" t="s">
        <v>3335</v>
      </c>
      <c r="B9666" s="2" t="s">
        <v>123</v>
      </c>
      <c r="C9666" s="2">
        <v>549.61220000000003</v>
      </c>
      <c r="D9666" s="2">
        <f>HYPERLINK("http://mcb-m6.bioreg.kyushu-u.ac.jp/M3/20110414/F50948/1014/1", 40.41)</f>
        <v>40.409999999999997</v>
      </c>
      <c r="E9666" s="2">
        <v>23.41</v>
      </c>
      <c r="F9666" s="2">
        <v>2</v>
      </c>
      <c r="G9666" s="2" t="s">
        <v>12</v>
      </c>
      <c r="I9666" s="2" t="s">
        <v>4903</v>
      </c>
    </row>
    <row r="9667" spans="1:9" x14ac:dyDescent="0.2">
      <c r="A9667" s="2" t="s">
        <v>3335</v>
      </c>
      <c r="B9667" s="2" t="s">
        <v>123</v>
      </c>
      <c r="C9667" s="2">
        <v>550.03809999999999</v>
      </c>
      <c r="D9667" s="2">
        <f>HYPERLINK("http://mcb-m6.bioreg.kyushu-u.ac.jp/M3/20110502/F51171/1226/1", 52.16)</f>
        <v>52.16</v>
      </c>
      <c r="E9667" s="2">
        <v>25.04</v>
      </c>
      <c r="F9667" s="2">
        <v>2</v>
      </c>
      <c r="G9667" s="2" t="s">
        <v>13</v>
      </c>
      <c r="I9667" s="2" t="s">
        <v>4903</v>
      </c>
    </row>
    <row r="9668" spans="1:9" x14ac:dyDescent="0.2">
      <c r="A9668" s="2" t="s">
        <v>3335</v>
      </c>
      <c r="B9668" s="2" t="s">
        <v>123</v>
      </c>
      <c r="C9668" s="2">
        <v>550.16269999999997</v>
      </c>
      <c r="D9668" s="2">
        <f>HYPERLINK("http://mcb-m6.bioreg.kyushu-u.ac.jp/M3/20110502/F51183/953/1", 59.02)</f>
        <v>59.02</v>
      </c>
      <c r="E9668" s="2">
        <v>25.98</v>
      </c>
      <c r="F9668" s="2">
        <v>2</v>
      </c>
      <c r="G9668" s="2" t="s">
        <v>14</v>
      </c>
      <c r="I9668" s="2" t="s">
        <v>4903</v>
      </c>
    </row>
    <row r="9669" spans="1:9" x14ac:dyDescent="0.2">
      <c r="A9669" s="2" t="s">
        <v>3335</v>
      </c>
      <c r="B9669" s="2" t="s">
        <v>1773</v>
      </c>
      <c r="C9669" s="2">
        <v>759.89919999999995</v>
      </c>
      <c r="D9669" s="2">
        <f>HYPERLINK("http://mcb-m6.bioreg.kyushu-u.ac.jp/M3/20110502/F51183/2007/1", 60.22)</f>
        <v>60.22</v>
      </c>
      <c r="E9669" s="2">
        <v>36.159999999999997</v>
      </c>
      <c r="F9669" s="2">
        <v>2</v>
      </c>
      <c r="G9669" s="2" t="s">
        <v>14</v>
      </c>
    </row>
    <row r="9670" spans="1:9" x14ac:dyDescent="0.2">
      <c r="A9670" s="2" t="s">
        <v>4065</v>
      </c>
      <c r="B9670" s="2" t="s">
        <v>1440</v>
      </c>
      <c r="C9670" s="2">
        <v>775.52760000000001</v>
      </c>
      <c r="D9670" s="2">
        <f>HYPERLINK("http://mcb-m6.bioreg.kyushu-u.ac.jp/M3/20110411/F50911/2287/1", 80.68)</f>
        <v>80.680000000000007</v>
      </c>
      <c r="E9670" s="2">
        <v>55.61</v>
      </c>
      <c r="F9670" s="2">
        <v>2</v>
      </c>
      <c r="G9670" s="2" t="s">
        <v>9</v>
      </c>
      <c r="I9670" s="2" t="s">
        <v>4937</v>
      </c>
    </row>
    <row r="9671" spans="1:9" x14ac:dyDescent="0.2">
      <c r="A9671" s="2" t="s">
        <v>4065</v>
      </c>
      <c r="B9671" s="2" t="s">
        <v>1440</v>
      </c>
      <c r="C9671" s="2">
        <v>775.25210000000004</v>
      </c>
      <c r="D9671" s="2">
        <f>HYPERLINK("http://mcb-m6.bioreg.kyushu-u.ac.jp/M3/20110414/F50942/2131/1", 88.05)</f>
        <v>88.05</v>
      </c>
      <c r="E9671" s="2">
        <v>66.17</v>
      </c>
      <c r="F9671" s="2">
        <v>2</v>
      </c>
      <c r="G9671" s="2" t="s">
        <v>11</v>
      </c>
      <c r="I9671" s="2" t="s">
        <v>4937</v>
      </c>
    </row>
    <row r="9672" spans="1:9" x14ac:dyDescent="0.2">
      <c r="A9672" s="2" t="s">
        <v>4065</v>
      </c>
      <c r="B9672" s="2" t="s">
        <v>2668</v>
      </c>
      <c r="C9672" s="2">
        <v>527.19320000000005</v>
      </c>
      <c r="D9672" s="2">
        <f>HYPERLINK("http://mcb-m6.bioreg.kyushu-u.ac.jp/M3/20110414/F50948/937/1", 50.32)</f>
        <v>50.32</v>
      </c>
      <c r="E9672" s="2">
        <v>27.16</v>
      </c>
      <c r="F9672" s="2">
        <v>2</v>
      </c>
      <c r="G9672" s="2" t="s">
        <v>12</v>
      </c>
    </row>
    <row r="9673" spans="1:9" x14ac:dyDescent="0.2">
      <c r="A9673" s="2" t="s">
        <v>3643</v>
      </c>
      <c r="B9673" s="2" t="s">
        <v>565</v>
      </c>
      <c r="C9673" s="2">
        <v>671.26819999999998</v>
      </c>
      <c r="D9673" s="2">
        <f>HYPERLINK("http://mcb-m6.bioreg.kyushu-u.ac.jp/M3/20110411/F50911/1701/1", 45.03)</f>
        <v>45.03</v>
      </c>
      <c r="E9673" s="2">
        <v>23.18</v>
      </c>
      <c r="F9673" s="2">
        <v>2</v>
      </c>
      <c r="G9673" s="2" t="s">
        <v>9</v>
      </c>
    </row>
    <row r="9674" spans="1:9" x14ac:dyDescent="0.2">
      <c r="A9674" s="2" t="s">
        <v>3643</v>
      </c>
      <c r="B9674" s="2" t="s">
        <v>1335</v>
      </c>
      <c r="C9674" s="2">
        <v>959.15419999999995</v>
      </c>
      <c r="D9674" s="2">
        <f>HYPERLINK("http://mcb-m6.bioreg.kyushu-u.ac.jp/M3/20110411/F50915/3118/1", 73.77)</f>
        <v>73.77</v>
      </c>
      <c r="E9674" s="2">
        <v>61.32</v>
      </c>
      <c r="F9674" s="2">
        <v>2</v>
      </c>
      <c r="G9674" s="2" t="s">
        <v>9</v>
      </c>
    </row>
    <row r="9675" spans="1:9" x14ac:dyDescent="0.2">
      <c r="A9675" s="2" t="s">
        <v>3643</v>
      </c>
      <c r="B9675" s="2" t="s">
        <v>1835</v>
      </c>
      <c r="C9675" s="2">
        <v>828.52599999999995</v>
      </c>
      <c r="D9675" s="2">
        <f>HYPERLINK("http://mcb-m6.bioreg.kyushu-u.ac.jp/M3/20110411/F50914/783/1", 42.39)</f>
        <v>42.39</v>
      </c>
      <c r="E9675" s="2">
        <v>16.88</v>
      </c>
      <c r="F9675" s="2">
        <v>1</v>
      </c>
      <c r="G9675" s="2" t="s">
        <v>10</v>
      </c>
    </row>
    <row r="9676" spans="1:9" x14ac:dyDescent="0.2">
      <c r="A9676" s="2" t="s">
        <v>3643</v>
      </c>
      <c r="B9676" s="2" t="s">
        <v>1335</v>
      </c>
      <c r="C9676" s="2">
        <v>959.22720000000004</v>
      </c>
      <c r="D9676" s="2">
        <f>HYPERLINK("http://mcb-m6.bioreg.kyushu-u.ac.jp/M3/20110411/F50917/3159/1", 46.44)</f>
        <v>46.44</v>
      </c>
      <c r="E9676" s="2">
        <v>38.43</v>
      </c>
      <c r="F9676" s="2">
        <v>2</v>
      </c>
      <c r="G9676" s="2" t="s">
        <v>10</v>
      </c>
    </row>
    <row r="9677" spans="1:9" x14ac:dyDescent="0.2">
      <c r="A9677" s="2" t="s">
        <v>3643</v>
      </c>
      <c r="B9677" s="2" t="s">
        <v>1335</v>
      </c>
      <c r="C9677" s="2">
        <v>958.95119999999997</v>
      </c>
      <c r="D9677" s="2">
        <f>HYPERLINK("http://mcb-m6.bioreg.kyushu-u.ac.jp/M3/20110411/F50914/3073/1", 87.8)</f>
        <v>87.8</v>
      </c>
      <c r="E9677" s="2">
        <v>67.5</v>
      </c>
      <c r="F9677" s="2">
        <v>2</v>
      </c>
      <c r="G9677" s="2" t="s">
        <v>10</v>
      </c>
    </row>
    <row r="9678" spans="1:9" x14ac:dyDescent="0.2">
      <c r="A9678" s="2" t="s">
        <v>3643</v>
      </c>
      <c r="B9678" s="2" t="s">
        <v>1335</v>
      </c>
      <c r="C9678" s="2">
        <v>958.85670000000005</v>
      </c>
      <c r="D9678" s="2">
        <f>HYPERLINK("http://mcb-m6.bioreg.kyushu-u.ac.jp/M3/20110414/F50942/3225/1", 38.46)</f>
        <v>38.46</v>
      </c>
      <c r="E9678" s="2">
        <v>22.46</v>
      </c>
      <c r="F9678" s="2">
        <v>2</v>
      </c>
      <c r="G9678" s="2" t="s">
        <v>11</v>
      </c>
    </row>
    <row r="9679" spans="1:9" x14ac:dyDescent="0.2">
      <c r="A9679" s="2" t="s">
        <v>3643</v>
      </c>
      <c r="B9679" s="2" t="s">
        <v>1335</v>
      </c>
      <c r="C9679" s="2">
        <v>959.57759999999996</v>
      </c>
      <c r="D9679" s="2">
        <f>HYPERLINK("http://mcb-m6.bioreg.kyushu-u.ac.jp/M3/20110414/F50942/3230/1", 53.22)</f>
        <v>53.22</v>
      </c>
      <c r="E9679" s="2">
        <v>36.75</v>
      </c>
      <c r="F9679" s="2">
        <v>2</v>
      </c>
      <c r="G9679" s="2" t="s">
        <v>11</v>
      </c>
    </row>
    <row r="9680" spans="1:9" x14ac:dyDescent="0.2">
      <c r="A9680" s="2" t="s">
        <v>3643</v>
      </c>
      <c r="B9680" s="2" t="s">
        <v>1335</v>
      </c>
      <c r="C9680" s="2">
        <v>958.9991</v>
      </c>
      <c r="D9680" s="2">
        <f>HYPERLINK("http://mcb-m6.bioreg.kyushu-u.ac.jp/M3/20110414/F50942/3226/1", 72.19)</f>
        <v>72.19</v>
      </c>
      <c r="E9680" s="2">
        <v>56.32</v>
      </c>
      <c r="F9680" s="2">
        <v>2</v>
      </c>
      <c r="G9680" s="2" t="s">
        <v>11</v>
      </c>
    </row>
    <row r="9681" spans="1:7" x14ac:dyDescent="0.2">
      <c r="A9681" s="2" t="s">
        <v>3643</v>
      </c>
      <c r="B9681" s="2" t="s">
        <v>1335</v>
      </c>
      <c r="C9681" s="2">
        <v>959.5942</v>
      </c>
      <c r="D9681" s="2">
        <f>HYPERLINK("http://mcb-m6.bioreg.kyushu-u.ac.jp/M3/20110414/F50948/3370/1", 43.11)</f>
        <v>43.11</v>
      </c>
      <c r="E9681" s="2">
        <v>27.63</v>
      </c>
      <c r="F9681" s="2">
        <v>2</v>
      </c>
      <c r="G9681" s="2" t="s">
        <v>12</v>
      </c>
    </row>
    <row r="9682" spans="1:7" x14ac:dyDescent="0.2">
      <c r="A9682" s="2" t="s">
        <v>3643</v>
      </c>
      <c r="B9682" s="2" t="s">
        <v>1335</v>
      </c>
      <c r="C9682" s="2">
        <v>959.19960000000003</v>
      </c>
      <c r="D9682" s="2">
        <f>HYPERLINK("http://mcb-m6.bioreg.kyushu-u.ac.jp/M3/20110414/F50948/3368/1", 44.29)</f>
        <v>44.29</v>
      </c>
      <c r="E9682" s="2">
        <v>28.58</v>
      </c>
      <c r="F9682" s="2">
        <v>2</v>
      </c>
      <c r="G9682" s="2" t="s">
        <v>12</v>
      </c>
    </row>
    <row r="9683" spans="1:7" x14ac:dyDescent="0.2">
      <c r="A9683" s="2" t="s">
        <v>3643</v>
      </c>
      <c r="B9683" s="2" t="s">
        <v>1335</v>
      </c>
      <c r="C9683" s="2">
        <v>958.72559999999999</v>
      </c>
      <c r="D9683" s="2">
        <f>HYPERLINK("http://mcb-m6.bioreg.kyushu-u.ac.jp/M3/20110414/F50948/3365/1", 49.67)</f>
        <v>49.67</v>
      </c>
      <c r="E9683" s="2">
        <v>37.75</v>
      </c>
      <c r="F9683" s="2">
        <v>2</v>
      </c>
      <c r="G9683" s="2" t="s">
        <v>12</v>
      </c>
    </row>
    <row r="9684" spans="1:7" x14ac:dyDescent="0.2">
      <c r="A9684" s="2" t="s">
        <v>3643</v>
      </c>
      <c r="B9684" s="2" t="s">
        <v>565</v>
      </c>
      <c r="C9684" s="2">
        <v>670.7482</v>
      </c>
      <c r="D9684" s="2">
        <f>HYPERLINK("http://mcb-m6.bioreg.kyushu-u.ac.jp/M3/20110414/F50948/1621/1", 57.08)</f>
        <v>57.08</v>
      </c>
      <c r="E9684" s="2">
        <v>25.49</v>
      </c>
      <c r="F9684" s="2">
        <v>2</v>
      </c>
      <c r="G9684" s="2" t="s">
        <v>12</v>
      </c>
    </row>
    <row r="9685" spans="1:7" x14ac:dyDescent="0.2">
      <c r="A9685" s="2" t="s">
        <v>3643</v>
      </c>
      <c r="B9685" s="2" t="s">
        <v>565</v>
      </c>
      <c r="C9685" s="2">
        <v>1340.8009999999999</v>
      </c>
      <c r="D9685" s="2">
        <f>HYPERLINK("http://mcb-m6.bioreg.kyushu-u.ac.jp/M3/20110502/F51171/1679/1", 52.19)</f>
        <v>52.19</v>
      </c>
      <c r="E9685" s="2">
        <v>30.98</v>
      </c>
      <c r="F9685" s="2">
        <v>1</v>
      </c>
      <c r="G9685" s="2" t="s">
        <v>13</v>
      </c>
    </row>
    <row r="9686" spans="1:7" x14ac:dyDescent="0.2">
      <c r="A9686" s="2" t="s">
        <v>3643</v>
      </c>
      <c r="B9686" s="2" t="s">
        <v>1335</v>
      </c>
      <c r="C9686" s="2">
        <v>959.05319999999995</v>
      </c>
      <c r="D9686" s="2">
        <f>HYPERLINK("http://mcb-m6.bioreg.kyushu-u.ac.jp/M3/20110502/F51171/2859/1", 70.44)</f>
        <v>70.44</v>
      </c>
      <c r="E9686" s="2">
        <v>50.16</v>
      </c>
      <c r="F9686" s="2">
        <v>2</v>
      </c>
      <c r="G9686" s="2" t="s">
        <v>13</v>
      </c>
    </row>
    <row r="9687" spans="1:7" x14ac:dyDescent="0.2">
      <c r="A9687" s="2" t="s">
        <v>3643</v>
      </c>
      <c r="B9687" s="2" t="s">
        <v>565</v>
      </c>
      <c r="C9687" s="2">
        <v>671.34770000000003</v>
      </c>
      <c r="D9687" s="2">
        <f>HYPERLINK("http://mcb-m6.bioreg.kyushu-u.ac.jp/M3/20110502/F51171/1684/1", 78.78)</f>
        <v>78.78</v>
      </c>
      <c r="E9687" s="2">
        <v>50.4</v>
      </c>
      <c r="F9687" s="2">
        <v>2</v>
      </c>
      <c r="G9687" s="2" t="s">
        <v>13</v>
      </c>
    </row>
    <row r="9688" spans="1:7" x14ac:dyDescent="0.2">
      <c r="A9688" s="2" t="s">
        <v>3643</v>
      </c>
      <c r="B9688" s="2" t="s">
        <v>1335</v>
      </c>
      <c r="C9688" s="2">
        <v>959.44420000000002</v>
      </c>
      <c r="D9688" s="2">
        <f>HYPERLINK("http://mcb-m6.bioreg.kyushu-u.ac.jp/M3/20110502/F51183/2978/1", 82.14)</f>
        <v>82.14</v>
      </c>
      <c r="E9688" s="2">
        <v>53.74</v>
      </c>
      <c r="F9688" s="2">
        <v>2</v>
      </c>
      <c r="G9688" s="2" t="s">
        <v>14</v>
      </c>
    </row>
    <row r="9689" spans="1:7" x14ac:dyDescent="0.2">
      <c r="A9689" s="2" t="s">
        <v>4318</v>
      </c>
      <c r="B9689" s="2" t="s">
        <v>2086</v>
      </c>
      <c r="C9689" s="2">
        <v>630.3732</v>
      </c>
      <c r="D9689" s="2">
        <f>HYPERLINK("http://mcb-m6.bioreg.kyushu-u.ac.jp/M3/20110411/F50914/1588/1", 76.54)</f>
        <v>76.540000000000006</v>
      </c>
      <c r="E9689" s="2">
        <v>54.85</v>
      </c>
      <c r="F9689" s="2">
        <v>2</v>
      </c>
      <c r="G9689" s="2" t="s">
        <v>10</v>
      </c>
    </row>
    <row r="9690" spans="1:7" x14ac:dyDescent="0.2">
      <c r="A9690" s="2" t="s">
        <v>4318</v>
      </c>
      <c r="B9690" s="2" t="s">
        <v>2411</v>
      </c>
      <c r="C9690" s="2">
        <v>863.91120000000001</v>
      </c>
      <c r="D9690" s="2">
        <f>HYPERLINK("http://mcb-m6.bioreg.kyushu-u.ac.jp/M3/20110414/F50942/4379/1", 58.47)</f>
        <v>58.47</v>
      </c>
      <c r="E9690" s="2">
        <v>51.57</v>
      </c>
      <c r="F9690" s="2">
        <v>3</v>
      </c>
      <c r="G9690" s="2" t="s">
        <v>11</v>
      </c>
    </row>
    <row r="9691" spans="1:7" x14ac:dyDescent="0.2">
      <c r="A9691" s="2" t="s">
        <v>4318</v>
      </c>
      <c r="B9691" s="2" t="s">
        <v>2086</v>
      </c>
      <c r="C9691" s="2">
        <v>630.29420000000005</v>
      </c>
      <c r="D9691" s="2">
        <f>HYPERLINK("http://mcb-m6.bioreg.kyushu-u.ac.jp/M3/20110414/F50942/1338/1", 58.53)</f>
        <v>58.53</v>
      </c>
      <c r="E9691" s="2">
        <v>37.130000000000003</v>
      </c>
      <c r="F9691" s="2">
        <v>2</v>
      </c>
      <c r="G9691" s="2" t="s">
        <v>11</v>
      </c>
    </row>
    <row r="9692" spans="1:7" x14ac:dyDescent="0.2">
      <c r="A9692" s="2" t="s">
        <v>4318</v>
      </c>
      <c r="B9692" s="2" t="s">
        <v>2086</v>
      </c>
      <c r="C9692" s="2">
        <v>630.69320000000005</v>
      </c>
      <c r="D9692" s="2">
        <f>HYPERLINK("http://mcb-m6.bioreg.kyushu-u.ac.jp/M3/20110502/F51171/1564/1", 78.35)</f>
        <v>78.349999999999994</v>
      </c>
      <c r="E9692" s="2">
        <v>52.32</v>
      </c>
      <c r="F9692" s="2">
        <v>2</v>
      </c>
      <c r="G9692" s="2" t="s">
        <v>13</v>
      </c>
    </row>
    <row r="9693" spans="1:7" x14ac:dyDescent="0.2">
      <c r="A9693" s="2" t="s">
        <v>4318</v>
      </c>
      <c r="B9693" s="2" t="s">
        <v>2086</v>
      </c>
      <c r="C9693" s="2">
        <v>630.71469999999999</v>
      </c>
      <c r="D9693" s="2">
        <f>HYPERLINK("http://mcb-m6.bioreg.kyushu-u.ac.jp/M3/20110502/F51183/1328/1", 68.88)</f>
        <v>68.88</v>
      </c>
      <c r="E9693" s="2">
        <v>43.42</v>
      </c>
      <c r="F9693" s="2">
        <v>2</v>
      </c>
      <c r="G9693" s="2" t="s">
        <v>14</v>
      </c>
    </row>
    <row r="9694" spans="1:7" x14ac:dyDescent="0.2">
      <c r="A9694" s="2" t="s">
        <v>3884</v>
      </c>
      <c r="B9694" s="2" t="s">
        <v>1023</v>
      </c>
      <c r="C9694" s="2">
        <v>642.17819999999995</v>
      </c>
      <c r="D9694" s="2">
        <f>HYPERLINK("http://mcb-m6.bioreg.kyushu-u.ac.jp/M3/20110411/F50889/1969/1", 59.21)</f>
        <v>59.21</v>
      </c>
      <c r="E9694" s="2">
        <v>33.21</v>
      </c>
      <c r="F9694" s="2">
        <v>2</v>
      </c>
      <c r="G9694" s="2" t="s">
        <v>9</v>
      </c>
    </row>
    <row r="9695" spans="1:7" x14ac:dyDescent="0.2">
      <c r="A9695" s="2" t="s">
        <v>3884</v>
      </c>
      <c r="B9695" s="2" t="s">
        <v>1023</v>
      </c>
      <c r="C9695" s="2">
        <v>642.16020000000003</v>
      </c>
      <c r="D9695" s="2">
        <f>HYPERLINK("http://mcb-m6.bioreg.kyushu-u.ac.jp/M3/20110414/F50932/1959/1", 46.48)</f>
        <v>46.48</v>
      </c>
      <c r="E9695" s="2">
        <v>22.95</v>
      </c>
      <c r="F9695" s="2">
        <v>2</v>
      </c>
      <c r="G9695" s="2" t="s">
        <v>12</v>
      </c>
    </row>
    <row r="9696" spans="1:7" x14ac:dyDescent="0.2">
      <c r="A9696" s="2" t="s">
        <v>3884</v>
      </c>
      <c r="B9696" s="2" t="s">
        <v>1023</v>
      </c>
      <c r="C9696" s="2">
        <v>641.87570000000005</v>
      </c>
      <c r="D9696" s="2">
        <f>HYPERLINK("http://mcb-m6.bioreg.kyushu-u.ac.jp/M3/20110502/F51168/1663/1", 42.9)</f>
        <v>42.9</v>
      </c>
      <c r="E9696" s="2">
        <v>24.74</v>
      </c>
      <c r="F9696" s="2">
        <v>2</v>
      </c>
      <c r="G9696" s="2" t="s">
        <v>13</v>
      </c>
    </row>
    <row r="9697" spans="1:8" x14ac:dyDescent="0.2">
      <c r="A9697" s="2" t="s">
        <v>4657</v>
      </c>
      <c r="B9697" s="2" t="s">
        <v>2817</v>
      </c>
      <c r="C9697" s="2">
        <v>520.53920000000005</v>
      </c>
      <c r="D9697" s="2">
        <f>HYPERLINK("http://mcb-m6.bioreg.kyushu-u.ac.jp/M3/20110502/F51175/1054/1", 36.96)</f>
        <v>36.96</v>
      </c>
      <c r="E9697" s="2">
        <v>9.01</v>
      </c>
      <c r="F9697" s="2">
        <v>2</v>
      </c>
      <c r="G9697" s="2" t="s">
        <v>13</v>
      </c>
    </row>
    <row r="9698" spans="1:8" x14ac:dyDescent="0.2">
      <c r="A9698" s="2" t="s">
        <v>4341</v>
      </c>
      <c r="B9698" s="2" t="s">
        <v>2156</v>
      </c>
      <c r="C9698" s="2">
        <v>601.81209999999999</v>
      </c>
      <c r="D9698" s="2">
        <f>HYPERLINK("http://mcb-m6.bioreg.kyushu-u.ac.jp/M3/20110414/F50945/1438/1", 35.22)</f>
        <v>35.22</v>
      </c>
      <c r="E9698" s="2">
        <v>8.67</v>
      </c>
      <c r="F9698" s="2">
        <v>2</v>
      </c>
      <c r="G9698" s="2" t="s">
        <v>11</v>
      </c>
    </row>
    <row r="9699" spans="1:8" x14ac:dyDescent="0.2">
      <c r="A9699" s="2" t="s">
        <v>4767</v>
      </c>
      <c r="B9699" s="2" t="s">
        <v>2995</v>
      </c>
      <c r="C9699" s="2">
        <v>944.70209999999997</v>
      </c>
      <c r="D9699" s="2">
        <f>HYPERLINK("http://mcb-m6.bioreg.kyushu-u.ac.jp/M3/20110502/F51193/2811/1", 36.8)</f>
        <v>36.799999999999997</v>
      </c>
      <c r="E9699" s="2">
        <v>20.190000000000001</v>
      </c>
      <c r="F9699" s="2">
        <v>2</v>
      </c>
      <c r="G9699" s="2" t="s">
        <v>14</v>
      </c>
    </row>
    <row r="9700" spans="1:8" x14ac:dyDescent="0.2">
      <c r="A9700" s="2" t="s">
        <v>3754</v>
      </c>
      <c r="B9700" s="2" t="s">
        <v>766</v>
      </c>
      <c r="C9700" s="2">
        <v>689.30359999999996</v>
      </c>
      <c r="D9700" s="2">
        <f>HYPERLINK("http://mcb-m6.bioreg.kyushu-u.ac.jp/M3/20110411/F50891/1794/1", 50.58)</f>
        <v>50.58</v>
      </c>
      <c r="E9700" s="2">
        <v>33.9</v>
      </c>
      <c r="F9700" s="2">
        <v>2</v>
      </c>
      <c r="G9700" s="2" t="s">
        <v>9</v>
      </c>
    </row>
    <row r="9701" spans="1:8" x14ac:dyDescent="0.2">
      <c r="A9701" s="2" t="s">
        <v>3754</v>
      </c>
      <c r="B9701" s="2" t="s">
        <v>766</v>
      </c>
      <c r="C9701" s="2">
        <v>689.4402</v>
      </c>
      <c r="D9701" s="2">
        <f>HYPERLINK("http://mcb-m6.bioreg.kyushu-u.ac.jp/M3/20110411/F50892/1961/1", 59)</f>
        <v>59</v>
      </c>
      <c r="E9701" s="2">
        <v>26.82</v>
      </c>
      <c r="F9701" s="2">
        <v>2</v>
      </c>
      <c r="G9701" s="2" t="s">
        <v>9</v>
      </c>
    </row>
    <row r="9702" spans="1:8" x14ac:dyDescent="0.2">
      <c r="A9702" s="2" t="s">
        <v>3754</v>
      </c>
      <c r="B9702" s="2" t="s">
        <v>766</v>
      </c>
      <c r="C9702" s="2">
        <v>689.50160000000005</v>
      </c>
      <c r="D9702" s="2">
        <f>HYPERLINK("http://mcb-m6.bioreg.kyushu-u.ac.jp/M3/20110414/F50945/1738/1", 51)</f>
        <v>51</v>
      </c>
      <c r="E9702" s="2">
        <v>26.89</v>
      </c>
      <c r="F9702" s="2">
        <v>2</v>
      </c>
      <c r="G9702" s="2" t="s">
        <v>11</v>
      </c>
    </row>
    <row r="9703" spans="1:8" x14ac:dyDescent="0.2">
      <c r="A9703" s="2" t="s">
        <v>3754</v>
      </c>
      <c r="B9703" s="2" t="s">
        <v>766</v>
      </c>
      <c r="C9703" s="2">
        <v>689.58669999999995</v>
      </c>
      <c r="D9703" s="2">
        <f>HYPERLINK("http://mcb-m6.bioreg.kyushu-u.ac.jp/M3/20110502/F51180/1504/1", 51.29)</f>
        <v>51.29</v>
      </c>
      <c r="E9703" s="2">
        <v>17.920000000000002</v>
      </c>
      <c r="F9703" s="2">
        <v>2</v>
      </c>
      <c r="G9703" s="2" t="s">
        <v>13</v>
      </c>
    </row>
    <row r="9704" spans="1:8" x14ac:dyDescent="0.2">
      <c r="A9704" s="2" t="s">
        <v>3479</v>
      </c>
      <c r="B9704" s="2" t="s">
        <v>299</v>
      </c>
      <c r="C9704" s="2">
        <v>615.31709999999998</v>
      </c>
      <c r="D9704" s="2">
        <f>HYPERLINK("http://mcb-m6.bioreg.kyushu-u.ac.jp/M3/20110411/F50891/1459/1", 39.28)</f>
        <v>39.28</v>
      </c>
      <c r="E9704" s="2">
        <v>19.87</v>
      </c>
      <c r="F9704" s="2">
        <v>2</v>
      </c>
      <c r="G9704" s="2" t="s">
        <v>9</v>
      </c>
    </row>
    <row r="9705" spans="1:8" x14ac:dyDescent="0.2">
      <c r="A9705" s="2" t="s">
        <v>3479</v>
      </c>
      <c r="B9705" s="2" t="s">
        <v>299</v>
      </c>
      <c r="C9705" s="2">
        <v>614.78420000000006</v>
      </c>
      <c r="D9705" s="2">
        <f>HYPERLINK("http://mcb-m6.bioreg.kyushu-u.ac.jp/M3/20110411/F50892/1701/1", 40.51)</f>
        <v>40.51</v>
      </c>
      <c r="E9705" s="2">
        <v>20.38</v>
      </c>
      <c r="F9705" s="2">
        <v>2</v>
      </c>
      <c r="G9705" s="2" t="s">
        <v>9</v>
      </c>
    </row>
    <row r="9706" spans="1:8" x14ac:dyDescent="0.2">
      <c r="A9706" s="2" t="s">
        <v>3479</v>
      </c>
      <c r="B9706" s="2" t="s">
        <v>299</v>
      </c>
      <c r="C9706" s="2">
        <v>1228.5719999999999</v>
      </c>
      <c r="D9706" s="2">
        <f>HYPERLINK("http://mcb-m6.bioreg.kyushu-u.ac.jp/M3/20110411/F50892/1702/1", 55.47)</f>
        <v>55.47</v>
      </c>
      <c r="E9706" s="2">
        <v>44.49</v>
      </c>
      <c r="F9706" s="2">
        <v>1</v>
      </c>
      <c r="G9706" s="2" t="s">
        <v>9</v>
      </c>
    </row>
    <row r="9707" spans="1:8" x14ac:dyDescent="0.2">
      <c r="A9707" s="2" t="s">
        <v>4106</v>
      </c>
      <c r="B9707" s="2" t="s">
        <v>1586</v>
      </c>
      <c r="C9707" s="2">
        <v>729.41859999999997</v>
      </c>
      <c r="D9707" s="2">
        <f>HYPERLINK("http://mcb-m6.bioreg.kyushu-u.ac.jp/M3/20110411/F50891/2022/1", 95.84)</f>
        <v>95.84</v>
      </c>
      <c r="E9707" s="2">
        <v>75.33</v>
      </c>
      <c r="F9707" s="2">
        <v>2</v>
      </c>
      <c r="G9707" s="2" t="s">
        <v>9</v>
      </c>
    </row>
    <row r="9708" spans="1:8" x14ac:dyDescent="0.2">
      <c r="A9708" s="2" t="s">
        <v>3778</v>
      </c>
      <c r="B9708" s="2" t="s">
        <v>810</v>
      </c>
      <c r="C9708" s="2">
        <v>706.81709999999998</v>
      </c>
      <c r="D9708" s="2">
        <f>HYPERLINK("http://mcb-m6.bioreg.kyushu-u.ac.jp/M3/20110411/F50890/1995/1", 51.97)</f>
        <v>51.97</v>
      </c>
      <c r="E9708" s="2">
        <v>34.15</v>
      </c>
      <c r="F9708" s="2">
        <v>2</v>
      </c>
      <c r="G9708" s="2" t="s">
        <v>9</v>
      </c>
      <c r="H9708" s="2" t="s">
        <v>4919</v>
      </c>
    </row>
    <row r="9709" spans="1:8" x14ac:dyDescent="0.2">
      <c r="A9709" s="2" t="s">
        <v>3778</v>
      </c>
      <c r="B9709" s="2" t="s">
        <v>810</v>
      </c>
      <c r="C9709" s="2">
        <v>699.36320000000001</v>
      </c>
      <c r="D9709" s="2">
        <f>HYPERLINK("http://mcb-m6.bioreg.kyushu-u.ac.jp/M3/20110411/F50890/1952/1", 54.36)</f>
        <v>54.36</v>
      </c>
      <c r="E9709" s="2">
        <v>38.68</v>
      </c>
      <c r="F9709" s="2">
        <v>2</v>
      </c>
      <c r="G9709" s="2" t="s">
        <v>9</v>
      </c>
    </row>
    <row r="9710" spans="1:8" x14ac:dyDescent="0.2">
      <c r="A9710" s="2" t="s">
        <v>3778</v>
      </c>
      <c r="B9710" s="2" t="s">
        <v>810</v>
      </c>
      <c r="C9710" s="2">
        <v>706.60969999999998</v>
      </c>
      <c r="D9710" s="2">
        <f>HYPERLINK("http://mcb-m6.bioreg.kyushu-u.ac.jp/M3/20110414/F50927/2129/1", 60.37)</f>
        <v>60.37</v>
      </c>
      <c r="E9710" s="2">
        <v>36.99</v>
      </c>
      <c r="F9710" s="2">
        <v>2</v>
      </c>
      <c r="G9710" s="2" t="s">
        <v>11</v>
      </c>
      <c r="H9710" s="2" t="s">
        <v>4919</v>
      </c>
    </row>
    <row r="9711" spans="1:8" x14ac:dyDescent="0.2">
      <c r="A9711" s="2" t="s">
        <v>3244</v>
      </c>
      <c r="B9711" s="2" t="s">
        <v>24</v>
      </c>
      <c r="C9711" s="2">
        <v>928.56600000000003</v>
      </c>
      <c r="D9711" s="2">
        <f>HYPERLINK("http://mcb-m6.bioreg.kyushu-u.ac.jp/M3/20110411/F50911/835/1", 35.15)</f>
        <v>35.15</v>
      </c>
      <c r="E9711" s="2">
        <v>20.07</v>
      </c>
      <c r="F9711" s="2">
        <v>1</v>
      </c>
      <c r="G9711" s="2" t="s">
        <v>9</v>
      </c>
    </row>
    <row r="9712" spans="1:8" x14ac:dyDescent="0.2">
      <c r="A9712" s="2" t="s">
        <v>4483</v>
      </c>
      <c r="B9712" s="2" t="s">
        <v>2441</v>
      </c>
      <c r="C9712" s="2">
        <v>758.86569999999995</v>
      </c>
      <c r="D9712" s="2">
        <f>HYPERLINK("http://mcb-m6.bioreg.kyushu-u.ac.jp/M3/20110414/F50957/2011/1", 64.28)</f>
        <v>64.28</v>
      </c>
      <c r="E9712" s="2">
        <v>48.08</v>
      </c>
      <c r="F9712" s="2">
        <v>2</v>
      </c>
      <c r="G9712" s="2" t="s">
        <v>11</v>
      </c>
    </row>
    <row r="9713" spans="1:9" x14ac:dyDescent="0.2">
      <c r="A9713" s="2" t="s">
        <v>4483</v>
      </c>
      <c r="B9713" s="2" t="s">
        <v>2441</v>
      </c>
      <c r="C9713" s="2">
        <v>758.34220000000005</v>
      </c>
      <c r="D9713" s="2">
        <f>HYPERLINK("http://mcb-m6.bioreg.kyushu-u.ac.jp/M3/20110414/F50959/1989/1", 36.17)</f>
        <v>36.17</v>
      </c>
      <c r="E9713" s="2">
        <v>25.27</v>
      </c>
      <c r="F9713" s="2">
        <v>2</v>
      </c>
      <c r="G9713" s="2" t="s">
        <v>12</v>
      </c>
    </row>
    <row r="9714" spans="1:9" x14ac:dyDescent="0.2">
      <c r="A9714" s="2" t="s">
        <v>4483</v>
      </c>
      <c r="B9714" s="2" t="s">
        <v>2819</v>
      </c>
      <c r="C9714" s="2">
        <v>715.62220000000002</v>
      </c>
      <c r="D9714" s="2">
        <f>HYPERLINK("http://mcb-m6.bioreg.kyushu-u.ac.jp/M3/20110502/F51173/1649/1", 37.03)</f>
        <v>37.03</v>
      </c>
      <c r="E9714" s="2">
        <v>17.940000000000001</v>
      </c>
      <c r="F9714" s="2">
        <v>2</v>
      </c>
      <c r="G9714" s="2" t="s">
        <v>13</v>
      </c>
      <c r="I9714" s="2" t="s">
        <v>4898</v>
      </c>
    </row>
    <row r="9715" spans="1:9" x14ac:dyDescent="0.2">
      <c r="A9715" s="2" t="s">
        <v>4483</v>
      </c>
      <c r="B9715" s="2" t="s">
        <v>2960</v>
      </c>
      <c r="C9715" s="2">
        <v>766.56870000000004</v>
      </c>
      <c r="D9715" s="2">
        <f>HYPERLINK("http://mcb-m6.bioreg.kyushu-u.ac.jp/M3/20110502/F51173/1955/1", 102.51)</f>
        <v>102.51</v>
      </c>
      <c r="E9715" s="2">
        <v>73.13</v>
      </c>
      <c r="F9715" s="2">
        <v>2</v>
      </c>
      <c r="G9715" s="2" t="s">
        <v>13</v>
      </c>
    </row>
    <row r="9716" spans="1:9" x14ac:dyDescent="0.2">
      <c r="A9716" s="2" t="s">
        <v>4483</v>
      </c>
      <c r="B9716" s="2" t="s">
        <v>2960</v>
      </c>
      <c r="C9716" s="2">
        <v>766.54669999999999</v>
      </c>
      <c r="D9716" s="2">
        <f>HYPERLINK("http://mcb-m6.bioreg.kyushu-u.ac.jp/M3/20110502/F51184/2005/1", 91.81)</f>
        <v>91.81</v>
      </c>
      <c r="E9716" s="2">
        <v>69.41</v>
      </c>
      <c r="F9716" s="2">
        <v>2</v>
      </c>
      <c r="G9716" s="2" t="s">
        <v>14</v>
      </c>
    </row>
    <row r="9717" spans="1:9" x14ac:dyDescent="0.2">
      <c r="A9717" s="2" t="s">
        <v>4478</v>
      </c>
      <c r="B9717" s="2" t="s">
        <v>2422</v>
      </c>
      <c r="C9717" s="2">
        <v>828.38620000000003</v>
      </c>
      <c r="D9717" s="2">
        <f>HYPERLINK("http://mcb-m6.bioreg.kyushu-u.ac.jp/M3/20110414/F50924/2528/1", 60.03)</f>
        <v>60.03</v>
      </c>
      <c r="E9717" s="2">
        <v>47.62</v>
      </c>
      <c r="F9717" s="2">
        <v>2</v>
      </c>
      <c r="G9717" s="2" t="s">
        <v>11</v>
      </c>
      <c r="H9717" s="2" t="s">
        <v>4927</v>
      </c>
    </row>
    <row r="9718" spans="1:9" x14ac:dyDescent="0.2">
      <c r="A9718" s="2" t="s">
        <v>4478</v>
      </c>
      <c r="B9718" s="2" t="s">
        <v>2923</v>
      </c>
      <c r="C9718" s="2">
        <v>809.50070000000005</v>
      </c>
      <c r="D9718" s="2">
        <f>HYPERLINK("http://mcb-m6.bioreg.kyushu-u.ac.jp/M3/20110502/F51165/2312/1", 54.11)</f>
        <v>54.11</v>
      </c>
      <c r="E9718" s="2">
        <v>44.08</v>
      </c>
      <c r="F9718" s="2">
        <v>2</v>
      </c>
      <c r="G9718" s="2" t="s">
        <v>13</v>
      </c>
    </row>
    <row r="9719" spans="1:9" x14ac:dyDescent="0.2">
      <c r="A9719" s="2" t="s">
        <v>4771</v>
      </c>
      <c r="B9719" s="2" t="s">
        <v>3000</v>
      </c>
      <c r="C9719" s="2">
        <v>581.68020000000001</v>
      </c>
      <c r="D9719" s="2">
        <f>HYPERLINK("http://mcb-m6.bioreg.kyushu-u.ac.jp/M3/20110502/F51184/916/1", 37.18)</f>
        <v>37.18</v>
      </c>
      <c r="E9719" s="2">
        <v>10.87</v>
      </c>
      <c r="F9719" s="2">
        <v>2</v>
      </c>
      <c r="G9719" s="2" t="s">
        <v>14</v>
      </c>
    </row>
    <row r="9720" spans="1:9" x14ac:dyDescent="0.2">
      <c r="A9720" s="2" t="s">
        <v>4437</v>
      </c>
      <c r="B9720" s="2" t="s">
        <v>2325</v>
      </c>
      <c r="C9720" s="2">
        <v>573.25210000000004</v>
      </c>
      <c r="D9720" s="2">
        <f>HYPERLINK("http://mcb-m6.bioreg.kyushu-u.ac.jp/M3/20110414/F50942/1065/1", 46.34)</f>
        <v>46.34</v>
      </c>
      <c r="E9720" s="2">
        <v>33.950000000000003</v>
      </c>
      <c r="F9720" s="2">
        <v>2</v>
      </c>
      <c r="G9720" s="2" t="s">
        <v>11</v>
      </c>
    </row>
    <row r="9721" spans="1:9" x14ac:dyDescent="0.2">
      <c r="A9721" s="2" t="s">
        <v>4038</v>
      </c>
      <c r="B9721" s="2" t="s">
        <v>1375</v>
      </c>
      <c r="C9721" s="2">
        <v>678.06370000000004</v>
      </c>
      <c r="D9721" s="2">
        <f>HYPERLINK("http://mcb-m6.bioreg.kyushu-u.ac.jp/M3/20110411/F50911/1736/1", 76.6)</f>
        <v>76.599999999999994</v>
      </c>
      <c r="E9721" s="2">
        <v>50.95</v>
      </c>
      <c r="F9721" s="2">
        <v>2</v>
      </c>
      <c r="G9721" s="2" t="s">
        <v>9</v>
      </c>
    </row>
    <row r="9722" spans="1:9" x14ac:dyDescent="0.2">
      <c r="A9722" s="2" t="s">
        <v>4038</v>
      </c>
      <c r="B9722" s="2" t="s">
        <v>1413</v>
      </c>
      <c r="C9722" s="2">
        <v>646.4941</v>
      </c>
      <c r="D9722" s="2">
        <f>HYPERLINK("http://mcb-m6.bioreg.kyushu-u.ac.jp/M3/20110411/F50911/1591/1", 78.36)</f>
        <v>78.36</v>
      </c>
      <c r="E9722" s="2">
        <v>35.56</v>
      </c>
      <c r="F9722" s="2">
        <v>2</v>
      </c>
      <c r="G9722" s="2" t="s">
        <v>9</v>
      </c>
    </row>
    <row r="9723" spans="1:9" x14ac:dyDescent="0.2">
      <c r="A9723" s="2" t="s">
        <v>4038</v>
      </c>
      <c r="B9723" s="2" t="s">
        <v>1375</v>
      </c>
      <c r="C9723" s="2">
        <v>678.04319999999996</v>
      </c>
      <c r="D9723" s="2">
        <f>HYPERLINK("http://mcb-m6.bioreg.kyushu-u.ac.jp/M3/20110411/F50913/1689/1", 60.63)</f>
        <v>60.63</v>
      </c>
      <c r="E9723" s="2">
        <v>35.47</v>
      </c>
      <c r="F9723" s="2">
        <v>2</v>
      </c>
      <c r="G9723" s="2" t="s">
        <v>10</v>
      </c>
    </row>
    <row r="9724" spans="1:9" x14ac:dyDescent="0.2">
      <c r="A9724" s="2" t="s">
        <v>4038</v>
      </c>
      <c r="B9724" s="2" t="s">
        <v>1375</v>
      </c>
      <c r="C9724" s="2">
        <v>677.96559999999999</v>
      </c>
      <c r="D9724" s="2">
        <f>HYPERLINK("http://mcb-m6.bioreg.kyushu-u.ac.jp/M3/20110411/F50914/1772/1", 69.62)</f>
        <v>69.62</v>
      </c>
      <c r="E9724" s="2">
        <v>47.59</v>
      </c>
      <c r="F9724" s="2">
        <v>2</v>
      </c>
      <c r="G9724" s="2" t="s">
        <v>10</v>
      </c>
    </row>
    <row r="9725" spans="1:9" x14ac:dyDescent="0.2">
      <c r="A9725" s="2" t="s">
        <v>4038</v>
      </c>
      <c r="B9725" s="2" t="s">
        <v>1375</v>
      </c>
      <c r="C9725" s="2">
        <v>677.80070000000001</v>
      </c>
      <c r="D9725" s="2">
        <f>HYPERLINK("http://mcb-m6.bioreg.kyushu-u.ac.jp/M3/20110414/F50942/1547/1", 36.91)</f>
        <v>36.909999999999997</v>
      </c>
      <c r="E9725" s="2">
        <v>21.73</v>
      </c>
      <c r="F9725" s="2">
        <v>2</v>
      </c>
      <c r="G9725" s="2" t="s">
        <v>11</v>
      </c>
    </row>
    <row r="9726" spans="1:9" x14ac:dyDescent="0.2">
      <c r="A9726" s="2" t="s">
        <v>4038</v>
      </c>
      <c r="B9726" s="2" t="s">
        <v>1413</v>
      </c>
      <c r="C9726" s="2">
        <v>646.29909999999995</v>
      </c>
      <c r="D9726" s="2">
        <f>HYPERLINK("http://mcb-m6.bioreg.kyushu-u.ac.jp/M3/20110414/F50942/1408/1", 58.12)</f>
        <v>58.12</v>
      </c>
      <c r="E9726" s="2">
        <v>44.19</v>
      </c>
      <c r="F9726" s="2">
        <v>2</v>
      </c>
      <c r="G9726" s="2" t="s">
        <v>11</v>
      </c>
    </row>
    <row r="9727" spans="1:9" x14ac:dyDescent="0.2">
      <c r="A9727" s="2" t="s">
        <v>4038</v>
      </c>
      <c r="B9727" s="2" t="s">
        <v>1375</v>
      </c>
      <c r="C9727" s="2">
        <v>678.11220000000003</v>
      </c>
      <c r="D9727" s="2">
        <f>HYPERLINK("http://mcb-m6.bioreg.kyushu-u.ac.jp/M3/20110414/F50948/1660/1", 70.41)</f>
        <v>70.41</v>
      </c>
      <c r="E9727" s="2">
        <v>54.36</v>
      </c>
      <c r="F9727" s="2">
        <v>2</v>
      </c>
      <c r="G9727" s="2" t="s">
        <v>12</v>
      </c>
    </row>
    <row r="9728" spans="1:9" x14ac:dyDescent="0.2">
      <c r="A9728" s="2" t="s">
        <v>4038</v>
      </c>
      <c r="B9728" s="2" t="s">
        <v>1375</v>
      </c>
      <c r="C9728" s="2">
        <v>678.10360000000003</v>
      </c>
      <c r="D9728" s="2">
        <f>HYPERLINK("http://mcb-m6.bioreg.kyushu-u.ac.jp/M3/20110502/F51171/1708/1", 44.11)</f>
        <v>44.11</v>
      </c>
      <c r="E9728" s="2">
        <v>23.25</v>
      </c>
      <c r="F9728" s="2">
        <v>2</v>
      </c>
      <c r="G9728" s="2" t="s">
        <v>13</v>
      </c>
    </row>
    <row r="9729" spans="1:8" x14ac:dyDescent="0.2">
      <c r="A9729" s="2" t="s">
        <v>4038</v>
      </c>
      <c r="B9729" s="2" t="s">
        <v>1375</v>
      </c>
      <c r="C9729" s="2">
        <v>678.35969999999998</v>
      </c>
      <c r="D9729" s="2">
        <f>HYPERLINK("http://mcb-m6.bioreg.kyushu-u.ac.jp/M3/20110502/F51179/1402/1", 56.11)</f>
        <v>56.11</v>
      </c>
      <c r="E9729" s="2">
        <v>31.49</v>
      </c>
      <c r="F9729" s="2">
        <v>2</v>
      </c>
      <c r="G9729" s="2" t="s">
        <v>14</v>
      </c>
    </row>
    <row r="9730" spans="1:8" x14ac:dyDescent="0.2">
      <c r="A9730" s="2" t="s">
        <v>4038</v>
      </c>
      <c r="B9730" s="2" t="s">
        <v>1413</v>
      </c>
      <c r="C9730" s="2">
        <v>646.76919999999996</v>
      </c>
      <c r="D9730" s="2">
        <f>HYPERLINK("http://mcb-m6.bioreg.kyushu-u.ac.jp/M3/20110502/F51183/1388/1", 75.12)</f>
        <v>75.12</v>
      </c>
      <c r="E9730" s="2">
        <v>32.69</v>
      </c>
      <c r="F9730" s="2">
        <v>2</v>
      </c>
      <c r="G9730" s="2" t="s">
        <v>14</v>
      </c>
    </row>
    <row r="9731" spans="1:8" x14ac:dyDescent="0.2">
      <c r="A9731" s="2" t="s">
        <v>4038</v>
      </c>
      <c r="B9731" s="2" t="s">
        <v>1375</v>
      </c>
      <c r="C9731" s="2">
        <v>678.32569999999998</v>
      </c>
      <c r="D9731" s="2">
        <f>HYPERLINK("http://mcb-m6.bioreg.kyushu-u.ac.jp/M3/20110502/F51183/1520/1", 77.52)</f>
        <v>77.52</v>
      </c>
      <c r="E9731" s="2">
        <v>54.31</v>
      </c>
      <c r="F9731" s="2">
        <v>2</v>
      </c>
      <c r="G9731" s="2" t="s">
        <v>14</v>
      </c>
    </row>
    <row r="9732" spans="1:8" x14ac:dyDescent="0.2">
      <c r="A9732" s="2" t="s">
        <v>4165</v>
      </c>
      <c r="B9732" s="2" t="s">
        <v>1728</v>
      </c>
      <c r="C9732" s="2">
        <v>881.91769999999997</v>
      </c>
      <c r="D9732" s="2">
        <f>HYPERLINK("http://mcb-m6.bioreg.kyushu-u.ac.jp/M3/20110411/F50898/2633/1", 36.55)</f>
        <v>36.549999999999997</v>
      </c>
      <c r="E9732" s="2">
        <v>18.41</v>
      </c>
      <c r="F9732" s="2">
        <v>2</v>
      </c>
      <c r="G9732" s="2" t="s">
        <v>10</v>
      </c>
      <c r="H9732" s="2" t="s">
        <v>4904</v>
      </c>
    </row>
    <row r="9733" spans="1:8" x14ac:dyDescent="0.2">
      <c r="A9733" s="2" t="s">
        <v>3525</v>
      </c>
      <c r="B9733" s="2" t="s">
        <v>370</v>
      </c>
      <c r="C9733" s="2">
        <v>560.37070000000006</v>
      </c>
      <c r="D9733" s="2">
        <f>HYPERLINK("http://mcb-m6.bioreg.kyushu-u.ac.jp/M3/20110411/F50919/889/1", 40.48)</f>
        <v>40.479999999999997</v>
      </c>
      <c r="E9733" s="2">
        <v>18.62</v>
      </c>
      <c r="F9733" s="2">
        <v>2</v>
      </c>
      <c r="G9733" s="2" t="s">
        <v>9</v>
      </c>
    </row>
    <row r="9734" spans="1:8" x14ac:dyDescent="0.2">
      <c r="A9734" s="2" t="s">
        <v>3525</v>
      </c>
      <c r="B9734" s="2" t="s">
        <v>437</v>
      </c>
      <c r="C9734" s="2">
        <v>586.37459999999999</v>
      </c>
      <c r="D9734" s="2">
        <f>HYPERLINK("http://mcb-m6.bioreg.kyushu-u.ac.jp/M3/20110411/F50919/979/1", 41.81)</f>
        <v>41.81</v>
      </c>
      <c r="E9734" s="2">
        <v>20.86</v>
      </c>
      <c r="F9734" s="2">
        <v>2</v>
      </c>
      <c r="G9734" s="2" t="s">
        <v>9</v>
      </c>
    </row>
    <row r="9735" spans="1:8" x14ac:dyDescent="0.2">
      <c r="A9735" s="2" t="s">
        <v>3525</v>
      </c>
      <c r="B9735" s="2" t="s">
        <v>881</v>
      </c>
      <c r="C9735" s="2">
        <v>779.38620000000003</v>
      </c>
      <c r="D9735" s="2">
        <f>HYPERLINK("http://mcb-m6.bioreg.kyushu-u.ac.jp/M3/20110411/F50892/2389/1", 54.28)</f>
        <v>54.28</v>
      </c>
      <c r="E9735" s="2">
        <v>45.18</v>
      </c>
      <c r="F9735" s="2">
        <v>2</v>
      </c>
      <c r="G9735" s="2" t="s">
        <v>9</v>
      </c>
      <c r="H9735" s="2" t="s">
        <v>4904</v>
      </c>
    </row>
    <row r="9736" spans="1:8" x14ac:dyDescent="0.2">
      <c r="A9736" s="2" t="s">
        <v>3525</v>
      </c>
      <c r="B9736" s="2" t="s">
        <v>1855</v>
      </c>
      <c r="C9736" s="2">
        <v>514.27719999999999</v>
      </c>
      <c r="D9736" s="2">
        <f>HYPERLINK("http://mcb-m6.bioreg.kyushu-u.ac.jp/M3/20110411/F50921/910/1", 44.68)</f>
        <v>44.68</v>
      </c>
      <c r="E9736" s="2">
        <v>25.98</v>
      </c>
      <c r="F9736" s="2">
        <v>2</v>
      </c>
      <c r="G9736" s="2" t="s">
        <v>10</v>
      </c>
    </row>
    <row r="9737" spans="1:8" x14ac:dyDescent="0.2">
      <c r="A9737" s="2" t="s">
        <v>3525</v>
      </c>
      <c r="B9737" s="2" t="s">
        <v>881</v>
      </c>
      <c r="C9737" s="2">
        <v>779.54909999999995</v>
      </c>
      <c r="D9737" s="2">
        <f>HYPERLINK("http://mcb-m6.bioreg.kyushu-u.ac.jp/M3/20110411/F50921/2062/1", 58.82)</f>
        <v>58.82</v>
      </c>
      <c r="E9737" s="2">
        <v>52.93</v>
      </c>
      <c r="F9737" s="2">
        <v>2</v>
      </c>
      <c r="G9737" s="2" t="s">
        <v>10</v>
      </c>
      <c r="H9737" s="2" t="s">
        <v>4904</v>
      </c>
    </row>
    <row r="9738" spans="1:8" x14ac:dyDescent="0.2">
      <c r="A9738" s="2" t="s">
        <v>3525</v>
      </c>
      <c r="B9738" s="2" t="s">
        <v>1855</v>
      </c>
      <c r="C9738" s="2">
        <v>514.38070000000005</v>
      </c>
      <c r="D9738" s="2">
        <f>HYPERLINK("http://mcb-m6.bioreg.kyushu-u.ac.jp/M3/20110414/F50945/1149/1", 55.68)</f>
        <v>55.68</v>
      </c>
      <c r="E9738" s="2">
        <v>29.05</v>
      </c>
      <c r="F9738" s="2">
        <v>2</v>
      </c>
      <c r="G9738" s="2" t="s">
        <v>11</v>
      </c>
    </row>
    <row r="9739" spans="1:8" x14ac:dyDescent="0.2">
      <c r="A9739" s="2" t="s">
        <v>3525</v>
      </c>
      <c r="B9739" s="2" t="s">
        <v>881</v>
      </c>
      <c r="C9739" s="2">
        <v>779.37070000000006</v>
      </c>
      <c r="D9739" s="2">
        <f>HYPERLINK("http://mcb-m6.bioreg.kyushu-u.ac.jp/M3/20110414/F50945/2295/1", 90.31)</f>
        <v>90.31</v>
      </c>
      <c r="E9739" s="2">
        <v>79.66</v>
      </c>
      <c r="F9739" s="2">
        <v>2</v>
      </c>
      <c r="G9739" s="2" t="s">
        <v>11</v>
      </c>
      <c r="H9739" s="2" t="s">
        <v>4904</v>
      </c>
    </row>
    <row r="9740" spans="1:8" x14ac:dyDescent="0.2">
      <c r="A9740" s="2" t="s">
        <v>3525</v>
      </c>
      <c r="B9740" s="2" t="s">
        <v>2542</v>
      </c>
      <c r="C9740" s="2">
        <v>975.01260000000002</v>
      </c>
      <c r="D9740" s="2">
        <f>HYPERLINK("http://mcb-m6.bioreg.kyushu-u.ac.jp/M3/20110414/F50946/3100/1", 36.61)</f>
        <v>36.61</v>
      </c>
      <c r="E9740" s="2">
        <v>24.9</v>
      </c>
      <c r="F9740" s="2">
        <v>2</v>
      </c>
      <c r="G9740" s="2" t="s">
        <v>12</v>
      </c>
    </row>
    <row r="9741" spans="1:8" x14ac:dyDescent="0.2">
      <c r="A9741" s="2" t="s">
        <v>3525</v>
      </c>
      <c r="B9741" s="2" t="s">
        <v>1855</v>
      </c>
      <c r="C9741" s="2">
        <v>514.19460000000004</v>
      </c>
      <c r="D9741" s="2">
        <f>HYPERLINK("http://mcb-m6.bioreg.kyushu-u.ac.jp/M3/20110414/F50963/816/1", 49.18)</f>
        <v>49.18</v>
      </c>
      <c r="E9741" s="2">
        <v>24.7</v>
      </c>
      <c r="F9741" s="2">
        <v>2</v>
      </c>
      <c r="G9741" s="2" t="s">
        <v>12</v>
      </c>
    </row>
    <row r="9742" spans="1:8" x14ac:dyDescent="0.2">
      <c r="A9742" s="2" t="s">
        <v>3525</v>
      </c>
      <c r="B9742" s="2" t="s">
        <v>1855</v>
      </c>
      <c r="C9742" s="2">
        <v>514.25210000000004</v>
      </c>
      <c r="D9742" s="2">
        <f>HYPERLINK("http://mcb-m6.bioreg.kyushu-u.ac.jp/M3/20110414/F50946/1054/1", 49.59)</f>
        <v>49.59</v>
      </c>
      <c r="E9742" s="2">
        <v>24.76</v>
      </c>
      <c r="F9742" s="2">
        <v>2</v>
      </c>
      <c r="G9742" s="2" t="s">
        <v>12</v>
      </c>
    </row>
    <row r="9743" spans="1:8" x14ac:dyDescent="0.2">
      <c r="A9743" s="2" t="s">
        <v>3525</v>
      </c>
      <c r="B9743" s="2" t="s">
        <v>881</v>
      </c>
      <c r="C9743" s="2">
        <v>788.49109999999996</v>
      </c>
      <c r="D9743" s="2">
        <f>HYPERLINK("http://mcb-m6.bioreg.kyushu-u.ac.jp/M3/20110414/F50946/2312/1", 50.76)</f>
        <v>50.76</v>
      </c>
      <c r="E9743" s="2">
        <v>34.450000000000003</v>
      </c>
      <c r="F9743" s="2">
        <v>2</v>
      </c>
      <c r="G9743" s="2" t="s">
        <v>12</v>
      </c>
    </row>
    <row r="9744" spans="1:8" x14ac:dyDescent="0.2">
      <c r="A9744" s="2" t="s">
        <v>3525</v>
      </c>
      <c r="B9744" s="2" t="s">
        <v>881</v>
      </c>
      <c r="C9744" s="2">
        <v>787.98609999999996</v>
      </c>
      <c r="D9744" s="2">
        <f>HYPERLINK("http://mcb-m6.bioreg.kyushu-u.ac.jp/M3/20110414/F50946/2310/1", 58.31)</f>
        <v>58.31</v>
      </c>
      <c r="E9744" s="2">
        <v>39.97</v>
      </c>
      <c r="F9744" s="2">
        <v>2</v>
      </c>
      <c r="G9744" s="2" t="s">
        <v>12</v>
      </c>
    </row>
    <row r="9745" spans="1:9" x14ac:dyDescent="0.2">
      <c r="A9745" s="2" t="s">
        <v>3525</v>
      </c>
      <c r="B9745" s="2" t="s">
        <v>881</v>
      </c>
      <c r="C9745" s="2">
        <v>779.31960000000004</v>
      </c>
      <c r="D9745" s="2">
        <f>HYPERLINK("http://mcb-m6.bioreg.kyushu-u.ac.jp/M3/20110414/F50946/2244/1", 86.04)</f>
        <v>86.04</v>
      </c>
      <c r="E9745" s="2">
        <v>73.73</v>
      </c>
      <c r="F9745" s="2">
        <v>2</v>
      </c>
      <c r="G9745" s="2" t="s">
        <v>12</v>
      </c>
      <c r="H9745" s="2" t="s">
        <v>4904</v>
      </c>
    </row>
    <row r="9746" spans="1:9" x14ac:dyDescent="0.2">
      <c r="A9746" s="2" t="s">
        <v>3525</v>
      </c>
      <c r="B9746" s="2" t="s">
        <v>881</v>
      </c>
      <c r="C9746" s="2">
        <v>779.55470000000003</v>
      </c>
      <c r="D9746" s="2">
        <f>HYPERLINK("http://mcb-m6.bioreg.kyushu-u.ac.jp/M3/20110502/F51180/2077/1", 40.22)</f>
        <v>40.22</v>
      </c>
      <c r="E9746" s="2">
        <v>20.99</v>
      </c>
      <c r="F9746" s="2">
        <v>2</v>
      </c>
      <c r="G9746" s="2" t="s">
        <v>13</v>
      </c>
      <c r="H9746" s="2" t="s">
        <v>4904</v>
      </c>
    </row>
    <row r="9747" spans="1:9" x14ac:dyDescent="0.2">
      <c r="A9747" s="2" t="s">
        <v>3525</v>
      </c>
      <c r="B9747" s="2" t="s">
        <v>370</v>
      </c>
      <c r="C9747" s="2">
        <v>560.63120000000004</v>
      </c>
      <c r="D9747" s="2">
        <f>HYPERLINK("http://mcb-m6.bioreg.kyushu-u.ac.jp/M3/20110502/F51182/936/1", 40.24)</f>
        <v>40.24</v>
      </c>
      <c r="E9747" s="2">
        <v>19.21</v>
      </c>
      <c r="F9747" s="2">
        <v>2</v>
      </c>
      <c r="G9747" s="2" t="s">
        <v>14</v>
      </c>
    </row>
    <row r="9748" spans="1:9" x14ac:dyDescent="0.2">
      <c r="A9748" s="2" t="s">
        <v>3525</v>
      </c>
      <c r="B9748" s="2" t="s">
        <v>1855</v>
      </c>
      <c r="C9748" s="2">
        <v>514.3732</v>
      </c>
      <c r="D9748" s="2">
        <f>HYPERLINK("http://mcb-m6.bioreg.kyushu-u.ac.jp/M3/20110502/F51182/784/1", 49.22)</f>
        <v>49.22</v>
      </c>
      <c r="E9748" s="2">
        <v>18.89</v>
      </c>
      <c r="F9748" s="2">
        <v>2</v>
      </c>
      <c r="G9748" s="2" t="s">
        <v>14</v>
      </c>
    </row>
    <row r="9749" spans="1:9" x14ac:dyDescent="0.2">
      <c r="A9749" s="2" t="s">
        <v>3982</v>
      </c>
      <c r="B9749" s="2" t="s">
        <v>1234</v>
      </c>
      <c r="C9749" s="2">
        <v>774.96010000000001</v>
      </c>
      <c r="D9749" s="2">
        <f>HYPERLINK("http://mcb-m6.bioreg.kyushu-u.ac.jp/M3/20110411/F50919/1814/1", 68.27)</f>
        <v>68.27</v>
      </c>
      <c r="E9749" s="2">
        <v>45.39</v>
      </c>
      <c r="F9749" s="2">
        <v>2</v>
      </c>
      <c r="G9749" s="2" t="s">
        <v>9</v>
      </c>
      <c r="I9749" s="2" t="s">
        <v>4893</v>
      </c>
    </row>
    <row r="9750" spans="1:9" x14ac:dyDescent="0.2">
      <c r="A9750" s="2" t="s">
        <v>3982</v>
      </c>
      <c r="B9750" s="2" t="s">
        <v>1939</v>
      </c>
      <c r="C9750" s="2">
        <v>751.4117</v>
      </c>
      <c r="D9750" s="2">
        <f>HYPERLINK("http://mcb-m6.bioreg.kyushu-u.ac.jp/M3/20110411/F50921/1905/1", 51.99)</f>
        <v>51.99</v>
      </c>
      <c r="E9750" s="2">
        <v>30.78</v>
      </c>
      <c r="F9750" s="2">
        <v>2</v>
      </c>
      <c r="G9750" s="2" t="s">
        <v>10</v>
      </c>
    </row>
    <row r="9751" spans="1:9" x14ac:dyDescent="0.2">
      <c r="A9751" s="2" t="s">
        <v>3982</v>
      </c>
      <c r="B9751" s="2" t="s">
        <v>1234</v>
      </c>
      <c r="C9751" s="2">
        <v>774.4991</v>
      </c>
      <c r="D9751" s="2">
        <f>HYPERLINK("http://mcb-m6.bioreg.kyushu-u.ac.jp/M3/20110411/F50921/2035/1", 78.8)</f>
        <v>78.8</v>
      </c>
      <c r="E9751" s="2">
        <v>56.46</v>
      </c>
      <c r="F9751" s="2">
        <v>2</v>
      </c>
      <c r="G9751" s="2" t="s">
        <v>10</v>
      </c>
      <c r="I9751" s="2" t="s">
        <v>4893</v>
      </c>
    </row>
    <row r="9752" spans="1:9" x14ac:dyDescent="0.2">
      <c r="A9752" s="2" t="s">
        <v>3982</v>
      </c>
      <c r="B9752" s="2" t="s">
        <v>2109</v>
      </c>
      <c r="C9752" s="2">
        <v>808.3922</v>
      </c>
      <c r="D9752" s="2">
        <f>HYPERLINK("http://mcb-m6.bioreg.kyushu-u.ac.jp/M3/20110411/F50921/2182/1", 83.82)</f>
        <v>83.82</v>
      </c>
      <c r="E9752" s="2">
        <v>74.34</v>
      </c>
      <c r="F9752" s="2">
        <v>2</v>
      </c>
      <c r="G9752" s="2" t="s">
        <v>10</v>
      </c>
      <c r="I9752" s="2" t="s">
        <v>4903</v>
      </c>
    </row>
    <row r="9753" spans="1:9" x14ac:dyDescent="0.2">
      <c r="A9753" s="2" t="s">
        <v>3982</v>
      </c>
      <c r="B9753" s="2" t="s">
        <v>1939</v>
      </c>
      <c r="C9753" s="2">
        <v>751.36019999999996</v>
      </c>
      <c r="D9753" s="2">
        <f>HYPERLINK("http://mcb-m6.bioreg.kyushu-u.ac.jp/M3/20110414/F50945/2121/1", 41.06)</f>
        <v>41.06</v>
      </c>
      <c r="E9753" s="2">
        <v>18.190000000000001</v>
      </c>
      <c r="F9753" s="2">
        <v>2</v>
      </c>
      <c r="G9753" s="2" t="s">
        <v>11</v>
      </c>
    </row>
    <row r="9754" spans="1:9" x14ac:dyDescent="0.2">
      <c r="A9754" s="2" t="s">
        <v>3982</v>
      </c>
      <c r="B9754" s="2" t="s">
        <v>1234</v>
      </c>
      <c r="C9754" s="2">
        <v>774.31920000000002</v>
      </c>
      <c r="D9754" s="2">
        <f>HYPERLINK("http://mcb-m6.bioreg.kyushu-u.ac.jp/M3/20110414/F50945/2270/1", 49.28)</f>
        <v>49.28</v>
      </c>
      <c r="E9754" s="2">
        <v>31.57</v>
      </c>
      <c r="F9754" s="2">
        <v>2</v>
      </c>
      <c r="G9754" s="2" t="s">
        <v>11</v>
      </c>
      <c r="I9754" s="2" t="s">
        <v>4893</v>
      </c>
    </row>
    <row r="9755" spans="1:9" x14ac:dyDescent="0.2">
      <c r="A9755" s="2" t="s">
        <v>3982</v>
      </c>
      <c r="B9755" s="2" t="s">
        <v>1939</v>
      </c>
      <c r="C9755" s="2">
        <v>767.33870000000002</v>
      </c>
      <c r="D9755" s="2">
        <f>HYPERLINK("http://mcb-m6.bioreg.kyushu-u.ac.jp/M3/20110414/F50945/2213/1", 73.27)</f>
        <v>73.27</v>
      </c>
      <c r="E9755" s="2">
        <v>40.53</v>
      </c>
      <c r="F9755" s="2">
        <v>2</v>
      </c>
      <c r="G9755" s="2" t="s">
        <v>11</v>
      </c>
      <c r="H9755" s="2" t="s">
        <v>4964</v>
      </c>
    </row>
    <row r="9756" spans="1:9" x14ac:dyDescent="0.2">
      <c r="A9756" s="2" t="s">
        <v>3982</v>
      </c>
      <c r="B9756" s="2" t="s">
        <v>1939</v>
      </c>
      <c r="C9756" s="2">
        <v>767.25919999999996</v>
      </c>
      <c r="D9756" s="2">
        <f>HYPERLINK("http://mcb-m6.bioreg.kyushu-u.ac.jp/M3/20110414/F50946/2144/1", 40.69)</f>
        <v>40.69</v>
      </c>
      <c r="E9756" s="2">
        <v>18.350000000000001</v>
      </c>
      <c r="F9756" s="2">
        <v>2</v>
      </c>
      <c r="G9756" s="2" t="s">
        <v>12</v>
      </c>
      <c r="H9756" s="2" t="s">
        <v>4964</v>
      </c>
    </row>
    <row r="9757" spans="1:9" x14ac:dyDescent="0.2">
      <c r="A9757" s="2" t="s">
        <v>3982</v>
      </c>
      <c r="B9757" s="2" t="s">
        <v>1939</v>
      </c>
      <c r="C9757" s="2">
        <v>751.88210000000004</v>
      </c>
      <c r="D9757" s="2">
        <f>HYPERLINK("http://mcb-m6.bioreg.kyushu-u.ac.jp/M3/20110414/F50946/2043/1", 44.98)</f>
        <v>44.98</v>
      </c>
      <c r="E9757" s="2">
        <v>24.13</v>
      </c>
      <c r="F9757" s="2">
        <v>2</v>
      </c>
      <c r="G9757" s="2" t="s">
        <v>12</v>
      </c>
    </row>
    <row r="9758" spans="1:9" x14ac:dyDescent="0.2">
      <c r="A9758" s="2" t="s">
        <v>3982</v>
      </c>
      <c r="B9758" s="2" t="s">
        <v>2109</v>
      </c>
      <c r="C9758" s="2">
        <v>808.54060000000004</v>
      </c>
      <c r="D9758" s="2">
        <f>HYPERLINK("http://mcb-m6.bioreg.kyushu-u.ac.jp/M3/20110502/F51180/2225/1", 55.46)</f>
        <v>55.46</v>
      </c>
      <c r="E9758" s="2">
        <v>42.09</v>
      </c>
      <c r="F9758" s="2">
        <v>2</v>
      </c>
      <c r="G9758" s="2" t="s">
        <v>13</v>
      </c>
      <c r="I9758" s="2" t="s">
        <v>4903</v>
      </c>
    </row>
    <row r="9759" spans="1:9" x14ac:dyDescent="0.2">
      <c r="A9759" s="2" t="s">
        <v>3982</v>
      </c>
      <c r="B9759" s="2" t="s">
        <v>1234</v>
      </c>
      <c r="C9759" s="2">
        <v>774.61720000000003</v>
      </c>
      <c r="D9759" s="2">
        <f>HYPERLINK("http://mcb-m6.bioreg.kyushu-u.ac.jp/M3/20110502/F51180/2045/1", 68.91)</f>
        <v>68.91</v>
      </c>
      <c r="E9759" s="2">
        <v>39.5</v>
      </c>
      <c r="F9759" s="2">
        <v>2</v>
      </c>
      <c r="G9759" s="2" t="s">
        <v>13</v>
      </c>
      <c r="I9759" s="2" t="s">
        <v>4893</v>
      </c>
    </row>
    <row r="9760" spans="1:9" x14ac:dyDescent="0.2">
      <c r="A9760" s="2" t="s">
        <v>3982</v>
      </c>
      <c r="B9760" s="2" t="s">
        <v>2109</v>
      </c>
      <c r="C9760" s="2">
        <v>816.57209999999998</v>
      </c>
      <c r="D9760" s="2">
        <f>HYPERLINK("http://mcb-m6.bioreg.kyushu-u.ac.jp/M3/20110502/F51180/2253/1", 91.06)</f>
        <v>91.06</v>
      </c>
      <c r="E9760" s="2">
        <v>73.430000000000007</v>
      </c>
      <c r="F9760" s="2">
        <v>2</v>
      </c>
      <c r="G9760" s="2" t="s">
        <v>13</v>
      </c>
      <c r="H9760" s="2" t="s">
        <v>4901</v>
      </c>
      <c r="I9760" s="2" t="s">
        <v>4903</v>
      </c>
    </row>
    <row r="9761" spans="1:9" x14ac:dyDescent="0.2">
      <c r="A9761" s="2" t="s">
        <v>3982</v>
      </c>
      <c r="B9761" s="2" t="s">
        <v>1234</v>
      </c>
      <c r="C9761" s="2">
        <v>774.73519999999996</v>
      </c>
      <c r="D9761" s="2">
        <f>HYPERLINK("http://mcb-m6.bioreg.kyushu-u.ac.jp/M3/20110502/F51182/2148/1", 72.44)</f>
        <v>72.44</v>
      </c>
      <c r="E9761" s="2">
        <v>33.18</v>
      </c>
      <c r="F9761" s="2">
        <v>2</v>
      </c>
      <c r="G9761" s="2" t="s">
        <v>14</v>
      </c>
      <c r="I9761" s="2" t="s">
        <v>4893</v>
      </c>
    </row>
    <row r="9762" spans="1:9" x14ac:dyDescent="0.2">
      <c r="A9762" s="2" t="s">
        <v>4401</v>
      </c>
      <c r="B9762" s="2" t="s">
        <v>2251</v>
      </c>
      <c r="C9762" s="2">
        <v>908.45169999999996</v>
      </c>
      <c r="D9762" s="2">
        <f>HYPERLINK("http://mcb-m6.bioreg.kyushu-u.ac.jp/M3/20110414/F50943/2761/1", 39.77)</f>
        <v>39.770000000000003</v>
      </c>
      <c r="E9762" s="2">
        <v>22.02</v>
      </c>
      <c r="F9762" s="2">
        <v>2</v>
      </c>
      <c r="G9762" s="2" t="s">
        <v>11</v>
      </c>
    </row>
    <row r="9763" spans="1:9" x14ac:dyDescent="0.2">
      <c r="A9763" s="2" t="s">
        <v>4401</v>
      </c>
      <c r="B9763" s="2" t="s">
        <v>2349</v>
      </c>
      <c r="C9763" s="2">
        <v>523.21259999999995</v>
      </c>
      <c r="D9763" s="2">
        <f>HYPERLINK("http://mcb-m6.bioreg.kyushu-u.ac.jp/M3/20110414/F50943/1003/1", 49.34)</f>
        <v>49.34</v>
      </c>
      <c r="E9763" s="2">
        <v>23.96</v>
      </c>
      <c r="F9763" s="2">
        <v>2</v>
      </c>
      <c r="G9763" s="2" t="s">
        <v>11</v>
      </c>
    </row>
    <row r="9764" spans="1:9" x14ac:dyDescent="0.2">
      <c r="A9764" s="2" t="s">
        <v>4401</v>
      </c>
      <c r="B9764" s="2" t="s">
        <v>2423</v>
      </c>
      <c r="C9764" s="2">
        <v>727.03769999999997</v>
      </c>
      <c r="D9764" s="2">
        <f>HYPERLINK("http://mcb-m6.bioreg.kyushu-u.ac.jp/M3/20110414/F50943/1787/1", 60.03)</f>
        <v>60.03</v>
      </c>
      <c r="E9764" s="2">
        <v>44.88</v>
      </c>
      <c r="F9764" s="2">
        <v>2</v>
      </c>
      <c r="G9764" s="2" t="s">
        <v>11</v>
      </c>
    </row>
    <row r="9765" spans="1:9" x14ac:dyDescent="0.2">
      <c r="A9765" s="2" t="s">
        <v>4401</v>
      </c>
      <c r="B9765" s="2" t="s">
        <v>2864</v>
      </c>
      <c r="C9765" s="2">
        <v>673.10220000000004</v>
      </c>
      <c r="D9765" s="2">
        <f>HYPERLINK("http://mcb-m6.bioreg.kyushu-u.ac.jp/M3/20110502/F51173/1387/1", 40.08)</f>
        <v>40.08</v>
      </c>
      <c r="E9765" s="2">
        <v>24.99</v>
      </c>
      <c r="F9765" s="2">
        <v>2</v>
      </c>
      <c r="G9765" s="2" t="s">
        <v>13</v>
      </c>
    </row>
    <row r="9766" spans="1:9" x14ac:dyDescent="0.2">
      <c r="A9766" s="2" t="s">
        <v>4401</v>
      </c>
      <c r="B9766" s="2" t="s">
        <v>2910</v>
      </c>
      <c r="C9766" s="2">
        <v>785.09619999999995</v>
      </c>
      <c r="D9766" s="2">
        <f>HYPERLINK("http://mcb-m6.bioreg.kyushu-u.ac.jp/M3/20110502/F51173/2095/1", 48.6)</f>
        <v>48.6</v>
      </c>
      <c r="E9766" s="2">
        <v>30.61</v>
      </c>
      <c r="F9766" s="2">
        <v>2</v>
      </c>
      <c r="G9766" s="2" t="s">
        <v>13</v>
      </c>
    </row>
    <row r="9767" spans="1:9" x14ac:dyDescent="0.2">
      <c r="A9767" s="2" t="s">
        <v>4401</v>
      </c>
      <c r="B9767" s="2" t="s">
        <v>2920</v>
      </c>
      <c r="C9767" s="2">
        <v>853.66060000000004</v>
      </c>
      <c r="D9767" s="2">
        <f>HYPERLINK("http://mcb-m6.bioreg.kyushu-u.ac.jp/M3/20110502/F51173/2510/1", 51.4)</f>
        <v>51.4</v>
      </c>
      <c r="E9767" s="2">
        <v>32.090000000000003</v>
      </c>
      <c r="F9767" s="2">
        <v>2</v>
      </c>
      <c r="G9767" s="2" t="s">
        <v>13</v>
      </c>
    </row>
    <row r="9768" spans="1:9" x14ac:dyDescent="0.2">
      <c r="A9768" s="2" t="s">
        <v>4723</v>
      </c>
      <c r="B9768" s="2" t="s">
        <v>2926</v>
      </c>
      <c r="C9768" s="2">
        <v>550.39469999999994</v>
      </c>
      <c r="D9768" s="2">
        <f>HYPERLINK("http://mcb-m6.bioreg.kyushu-u.ac.jp/M3/20110502/F51170/1200/1", 56.03)</f>
        <v>56.03</v>
      </c>
      <c r="E9768" s="2">
        <v>22.39</v>
      </c>
      <c r="F9768" s="2">
        <v>2</v>
      </c>
      <c r="G9768" s="2" t="s">
        <v>13</v>
      </c>
    </row>
    <row r="9769" spans="1:9" x14ac:dyDescent="0.2">
      <c r="A9769" s="2" t="s">
        <v>4731</v>
      </c>
      <c r="B9769" s="2" t="s">
        <v>2945</v>
      </c>
      <c r="C9769" s="2">
        <v>565.99220000000003</v>
      </c>
      <c r="D9769" s="2">
        <f>HYPERLINK("http://mcb-m6.bioreg.kyushu-u.ac.jp/M3/20110502/F51170/1260/1", 65.99)</f>
        <v>65.989999999999995</v>
      </c>
      <c r="E9769" s="2">
        <v>44.11</v>
      </c>
      <c r="F9769" s="2">
        <v>2</v>
      </c>
      <c r="G9769" s="2" t="s">
        <v>13</v>
      </c>
    </row>
    <row r="9770" spans="1:9" x14ac:dyDescent="0.2">
      <c r="A9770" s="2" t="s">
        <v>4168</v>
      </c>
      <c r="B9770" s="2" t="s">
        <v>1736</v>
      </c>
      <c r="C9770" s="2">
        <v>747.87220000000002</v>
      </c>
      <c r="D9770" s="2">
        <f>HYPERLINK("http://mcb-m6.bioreg.kyushu-u.ac.jp/M3/20110411/F50897/2021/1", 36.93)</f>
        <v>36.93</v>
      </c>
      <c r="E9770" s="2">
        <v>18.809999999999999</v>
      </c>
      <c r="F9770" s="2">
        <v>2</v>
      </c>
      <c r="G9770" s="2" t="s">
        <v>10</v>
      </c>
    </row>
    <row r="9771" spans="1:9" x14ac:dyDescent="0.2">
      <c r="A9771" s="2" t="s">
        <v>3513</v>
      </c>
      <c r="B9771" s="2" t="s">
        <v>354</v>
      </c>
      <c r="C9771" s="2">
        <v>809.04570000000001</v>
      </c>
      <c r="D9771" s="2">
        <f>HYPERLINK("http://mcb-m6.bioreg.kyushu-u.ac.jp/M3/20110411/F50904/2361/1", 40.15)</f>
        <v>40.15</v>
      </c>
      <c r="E9771" s="2">
        <v>27.55</v>
      </c>
      <c r="F9771" s="2">
        <v>2</v>
      </c>
      <c r="G9771" s="2" t="s">
        <v>9</v>
      </c>
      <c r="I9771" s="2" t="s">
        <v>4905</v>
      </c>
    </row>
    <row r="9772" spans="1:9" x14ac:dyDescent="0.2">
      <c r="A9772" s="2" t="s">
        <v>3513</v>
      </c>
      <c r="B9772" s="2" t="s">
        <v>1351</v>
      </c>
      <c r="C9772" s="2">
        <v>891.61159999999995</v>
      </c>
      <c r="D9772" s="2">
        <f>HYPERLINK("http://mcb-m6.bioreg.kyushu-u.ac.jp/M3/20110411/F50904/2701/1", 74.62)</f>
        <v>74.62</v>
      </c>
      <c r="E9772" s="2">
        <v>55.52</v>
      </c>
      <c r="F9772" s="2">
        <v>2</v>
      </c>
      <c r="G9772" s="2" t="s">
        <v>9</v>
      </c>
    </row>
    <row r="9773" spans="1:9" x14ac:dyDescent="0.2">
      <c r="A9773" s="2" t="s">
        <v>3513</v>
      </c>
      <c r="B9773" s="2" t="s">
        <v>1455</v>
      </c>
      <c r="C9773" s="2">
        <v>934.44820000000004</v>
      </c>
      <c r="D9773" s="2">
        <f>HYPERLINK("http://mcb-m6.bioreg.kyushu-u.ac.jp/M3/20110411/F50891/3178/1", 81.72)</f>
        <v>81.72</v>
      </c>
      <c r="E9773" s="2">
        <v>60.2</v>
      </c>
      <c r="F9773" s="2">
        <v>2</v>
      </c>
      <c r="G9773" s="2" t="s">
        <v>9</v>
      </c>
    </row>
    <row r="9774" spans="1:9" x14ac:dyDescent="0.2">
      <c r="A9774" s="2" t="s">
        <v>3513</v>
      </c>
      <c r="B9774" s="2" t="s">
        <v>1455</v>
      </c>
      <c r="C9774" s="2">
        <v>934.62519999999995</v>
      </c>
      <c r="D9774" s="2">
        <f>HYPERLINK("http://mcb-m6.bioreg.kyushu-u.ac.jp/M3/20110411/F50904/2911/1", 102.86)</f>
        <v>102.86</v>
      </c>
      <c r="E9774" s="2">
        <v>74.69</v>
      </c>
      <c r="F9774" s="2">
        <v>2</v>
      </c>
      <c r="G9774" s="2" t="s">
        <v>9</v>
      </c>
    </row>
    <row r="9775" spans="1:9" x14ac:dyDescent="0.2">
      <c r="A9775" s="2" t="s">
        <v>3513</v>
      </c>
      <c r="B9775" s="2" t="s">
        <v>1656</v>
      </c>
      <c r="C9775" s="2">
        <v>816.12710000000004</v>
      </c>
      <c r="D9775" s="2">
        <f>HYPERLINK("http://mcb-m6.bioreg.kyushu-u.ac.jp/M3/20110411/F50904/2387/1", 112.36)</f>
        <v>112.36</v>
      </c>
      <c r="E9775" s="2">
        <v>90.7</v>
      </c>
      <c r="F9775" s="2">
        <v>2</v>
      </c>
      <c r="G9775" s="2" t="s">
        <v>9</v>
      </c>
    </row>
    <row r="9776" spans="1:9" x14ac:dyDescent="0.2">
      <c r="A9776" s="2" t="s">
        <v>3513</v>
      </c>
      <c r="B9776" s="2" t="s">
        <v>1455</v>
      </c>
      <c r="C9776" s="2">
        <v>934.55070000000001</v>
      </c>
      <c r="D9776" s="2">
        <f>HYPERLINK("http://mcb-m6.bioreg.kyushu-u.ac.jp/M3/20110411/F50905/3016/1", 117.81)</f>
        <v>117.81</v>
      </c>
      <c r="E9776" s="2">
        <v>97.31</v>
      </c>
      <c r="F9776" s="2">
        <v>2</v>
      </c>
      <c r="G9776" s="2" t="s">
        <v>9</v>
      </c>
    </row>
    <row r="9777" spans="1:7" x14ac:dyDescent="0.2">
      <c r="A9777" s="2" t="s">
        <v>3513</v>
      </c>
      <c r="B9777" s="2" t="s">
        <v>1455</v>
      </c>
      <c r="C9777" s="2">
        <v>934.6807</v>
      </c>
      <c r="D9777" s="2">
        <f>HYPERLINK("http://mcb-m6.bioreg.kyushu-u.ac.jp/M3/20110411/F50912/2926/1", 82.92)</f>
        <v>82.92</v>
      </c>
      <c r="E9777" s="2">
        <v>57.42</v>
      </c>
      <c r="F9777" s="2">
        <v>2</v>
      </c>
      <c r="G9777" s="2" t="s">
        <v>10</v>
      </c>
    </row>
    <row r="9778" spans="1:7" x14ac:dyDescent="0.2">
      <c r="A9778" s="2" t="s">
        <v>3513</v>
      </c>
      <c r="B9778" s="2" t="s">
        <v>1455</v>
      </c>
      <c r="C9778" s="2">
        <v>934.49869999999999</v>
      </c>
      <c r="D9778" s="2">
        <f>HYPERLINK("http://mcb-m6.bioreg.kyushu-u.ac.jp/M3/20110411/F50913/2943/1", 93.14)</f>
        <v>93.14</v>
      </c>
      <c r="E9778" s="2">
        <v>69.87</v>
      </c>
      <c r="F9778" s="2">
        <v>2</v>
      </c>
      <c r="G9778" s="2" t="s">
        <v>10</v>
      </c>
    </row>
    <row r="9779" spans="1:7" x14ac:dyDescent="0.2">
      <c r="A9779" s="2" t="s">
        <v>3513</v>
      </c>
      <c r="B9779" s="2" t="s">
        <v>1656</v>
      </c>
      <c r="C9779" s="2">
        <v>816.26260000000002</v>
      </c>
      <c r="D9779" s="2">
        <f>HYPERLINK("http://mcb-m6.bioreg.kyushu-u.ac.jp/M3/20110411/F50912/2396/1", 95.09)</f>
        <v>95.09</v>
      </c>
      <c r="E9779" s="2">
        <v>77.7</v>
      </c>
      <c r="F9779" s="2">
        <v>2</v>
      </c>
      <c r="G9779" s="2" t="s">
        <v>10</v>
      </c>
    </row>
    <row r="9780" spans="1:7" x14ac:dyDescent="0.2">
      <c r="A9780" s="2" t="s">
        <v>3513</v>
      </c>
      <c r="B9780" s="2" t="s">
        <v>1455</v>
      </c>
      <c r="C9780" s="2">
        <v>934.65170000000001</v>
      </c>
      <c r="D9780" s="2">
        <f>HYPERLINK("http://mcb-m6.bioreg.kyushu-u.ac.jp/M3/20110414/F50942/3086/1", 67.88)</f>
        <v>67.88</v>
      </c>
      <c r="E9780" s="2">
        <v>46.45</v>
      </c>
      <c r="F9780" s="2">
        <v>2</v>
      </c>
      <c r="G9780" s="2" t="s">
        <v>11</v>
      </c>
    </row>
    <row r="9781" spans="1:7" x14ac:dyDescent="0.2">
      <c r="A9781" s="2" t="s">
        <v>3513</v>
      </c>
      <c r="B9781" s="2" t="s">
        <v>1455</v>
      </c>
      <c r="C9781" s="2">
        <v>934.83619999999996</v>
      </c>
      <c r="D9781" s="2">
        <f>HYPERLINK("http://mcb-m6.bioreg.kyushu-u.ac.jp/M3/20110414/F50943/2892/1", 85.27)</f>
        <v>85.27</v>
      </c>
      <c r="E9781" s="2">
        <v>71.47</v>
      </c>
      <c r="F9781" s="2">
        <v>2</v>
      </c>
      <c r="G9781" s="2" t="s">
        <v>11</v>
      </c>
    </row>
    <row r="9782" spans="1:7" x14ac:dyDescent="0.2">
      <c r="A9782" s="2" t="s">
        <v>3513</v>
      </c>
      <c r="B9782" s="2" t="s">
        <v>1455</v>
      </c>
      <c r="C9782" s="2">
        <v>934.36569999999995</v>
      </c>
      <c r="D9782" s="2">
        <f>HYPERLINK("http://mcb-m6.bioreg.kyushu-u.ac.jp/M3/20110414/F50941/3150/1", 120.86)</f>
        <v>120.86</v>
      </c>
      <c r="E9782" s="2">
        <v>99.61</v>
      </c>
      <c r="F9782" s="2">
        <v>2</v>
      </c>
      <c r="G9782" s="2" t="s">
        <v>11</v>
      </c>
    </row>
    <row r="9783" spans="1:7" x14ac:dyDescent="0.2">
      <c r="A9783" s="2" t="s">
        <v>3513</v>
      </c>
      <c r="B9783" s="2" t="s">
        <v>1455</v>
      </c>
      <c r="C9783" s="2">
        <v>934.28560000000004</v>
      </c>
      <c r="D9783" s="2">
        <f>HYPERLINK("http://mcb-m6.bioreg.kyushu-u.ac.jp/M3/20110414/F50963/2767/1", 60.34)</f>
        <v>60.34</v>
      </c>
      <c r="E9783" s="2">
        <v>46.66</v>
      </c>
      <c r="F9783" s="2">
        <v>2</v>
      </c>
      <c r="G9783" s="2" t="s">
        <v>12</v>
      </c>
    </row>
    <row r="9784" spans="1:7" x14ac:dyDescent="0.2">
      <c r="A9784" s="2" t="s">
        <v>3513</v>
      </c>
      <c r="B9784" s="2" t="s">
        <v>1455</v>
      </c>
      <c r="C9784" s="2">
        <v>934.11720000000003</v>
      </c>
      <c r="D9784" s="2">
        <f>HYPERLINK("http://mcb-m6.bioreg.kyushu-u.ac.jp/M3/20110414/F50948/3221/1", 69.82)</f>
        <v>69.819999999999993</v>
      </c>
      <c r="E9784" s="2">
        <v>46.44</v>
      </c>
      <c r="F9784" s="2">
        <v>2</v>
      </c>
      <c r="G9784" s="2" t="s">
        <v>12</v>
      </c>
    </row>
    <row r="9785" spans="1:7" x14ac:dyDescent="0.2">
      <c r="A9785" s="2" t="s">
        <v>3513</v>
      </c>
      <c r="B9785" s="2" t="s">
        <v>1455</v>
      </c>
      <c r="C9785" s="2">
        <v>934.4357</v>
      </c>
      <c r="D9785" s="2">
        <f>HYPERLINK("http://mcb-m6.bioreg.kyushu-u.ac.jp/M3/20110414/F50947/3111/1", 74.63)</f>
        <v>74.63</v>
      </c>
      <c r="E9785" s="2">
        <v>51.6</v>
      </c>
      <c r="F9785" s="2">
        <v>2</v>
      </c>
      <c r="G9785" s="2" t="s">
        <v>12</v>
      </c>
    </row>
    <row r="9786" spans="1:7" x14ac:dyDescent="0.2">
      <c r="A9786" s="2" t="s">
        <v>3513</v>
      </c>
      <c r="B9786" s="2" t="s">
        <v>1656</v>
      </c>
      <c r="C9786" s="2">
        <v>816.44209999999998</v>
      </c>
      <c r="D9786" s="2">
        <f>HYPERLINK("http://mcb-m6.bioreg.kyushu-u.ac.jp/M3/20110414/F50947/2455/1", 91.44)</f>
        <v>91.44</v>
      </c>
      <c r="E9786" s="2">
        <v>78.73</v>
      </c>
      <c r="F9786" s="2">
        <v>2</v>
      </c>
      <c r="G9786" s="2" t="s">
        <v>12</v>
      </c>
    </row>
    <row r="9787" spans="1:7" x14ac:dyDescent="0.2">
      <c r="A9787" s="2" t="s">
        <v>3513</v>
      </c>
      <c r="B9787" s="2" t="s">
        <v>1455</v>
      </c>
      <c r="C9787" s="2">
        <v>935.05319999999995</v>
      </c>
      <c r="D9787" s="2">
        <f>HYPERLINK("http://mcb-m6.bioreg.kyushu-u.ac.jp/M3/20110502/F51170/3032/1", 96.08)</f>
        <v>96.08</v>
      </c>
      <c r="E9787" s="2">
        <v>74.95</v>
      </c>
      <c r="F9787" s="2">
        <v>2</v>
      </c>
      <c r="G9787" s="2" t="s">
        <v>13</v>
      </c>
    </row>
    <row r="9788" spans="1:7" x14ac:dyDescent="0.2">
      <c r="A9788" s="2" t="s">
        <v>3513</v>
      </c>
      <c r="B9788" s="2" t="s">
        <v>1455</v>
      </c>
      <c r="C9788" s="2">
        <v>934.53809999999999</v>
      </c>
      <c r="D9788" s="2">
        <f>HYPERLINK("http://mcb-m6.bioreg.kyushu-u.ac.jp/M3/20110502/F51187/2536/1", 108.28)</f>
        <v>108.28</v>
      </c>
      <c r="E9788" s="2">
        <v>84.72</v>
      </c>
      <c r="F9788" s="2">
        <v>2</v>
      </c>
      <c r="G9788" s="2" t="s">
        <v>13</v>
      </c>
    </row>
    <row r="9789" spans="1:7" x14ac:dyDescent="0.2">
      <c r="A9789" s="2" t="s">
        <v>3513</v>
      </c>
      <c r="B9789" s="2" t="s">
        <v>1455</v>
      </c>
      <c r="C9789" s="2">
        <v>934.53809999999999</v>
      </c>
      <c r="D9789" s="2">
        <f>HYPERLINK("http://mcb-m6.bioreg.kyushu-u.ac.jp/M3/20110502/F51170/3029/1", 123.46)</f>
        <v>123.46</v>
      </c>
      <c r="E9789" s="2">
        <v>104.38</v>
      </c>
      <c r="F9789" s="2">
        <v>2</v>
      </c>
      <c r="G9789" s="2" t="s">
        <v>13</v>
      </c>
    </row>
    <row r="9790" spans="1:7" x14ac:dyDescent="0.2">
      <c r="A9790" s="2" t="s">
        <v>3513</v>
      </c>
      <c r="B9790" s="2" t="s">
        <v>1455</v>
      </c>
      <c r="C9790" s="2">
        <v>934.62220000000002</v>
      </c>
      <c r="D9790" s="2">
        <f>HYPERLINK("http://mcb-m6.bioreg.kyushu-u.ac.jp/M3/20110502/F51179/2861/1", 105.31)</f>
        <v>105.31</v>
      </c>
      <c r="E9790" s="2">
        <v>70.650000000000006</v>
      </c>
      <c r="F9790" s="2">
        <v>2</v>
      </c>
      <c r="G9790" s="2" t="s">
        <v>14</v>
      </c>
    </row>
    <row r="9791" spans="1:7" x14ac:dyDescent="0.2">
      <c r="A9791" s="2" t="s">
        <v>3513</v>
      </c>
      <c r="B9791" s="2" t="s">
        <v>1455</v>
      </c>
      <c r="C9791" s="2">
        <v>934.52120000000002</v>
      </c>
      <c r="D9791" s="2">
        <f>HYPERLINK("http://mcb-m6.bioreg.kyushu-u.ac.jp/M3/20110502/F51191/2571/1", 107.55)</f>
        <v>107.55</v>
      </c>
      <c r="E9791" s="2">
        <v>85.82</v>
      </c>
      <c r="F9791" s="2">
        <v>2</v>
      </c>
      <c r="G9791" s="2" t="s">
        <v>14</v>
      </c>
    </row>
    <row r="9792" spans="1:7" x14ac:dyDescent="0.2">
      <c r="A9792" s="2" t="s">
        <v>3873</v>
      </c>
      <c r="B9792" s="2" t="s">
        <v>996</v>
      </c>
      <c r="C9792" s="2">
        <v>470.40109999999999</v>
      </c>
      <c r="D9792" s="2">
        <f>HYPERLINK("http://mcb-m6.bioreg.kyushu-u.ac.jp/M3/20110411/F50905/872/1", 58.13)</f>
        <v>58.13</v>
      </c>
      <c r="E9792" s="2">
        <v>15.78</v>
      </c>
      <c r="F9792" s="2">
        <v>2</v>
      </c>
      <c r="G9792" s="2" t="s">
        <v>9</v>
      </c>
    </row>
    <row r="9793" spans="1:8" x14ac:dyDescent="0.2">
      <c r="A9793" s="2" t="s">
        <v>3873</v>
      </c>
      <c r="B9793" s="2" t="s">
        <v>996</v>
      </c>
      <c r="C9793" s="2">
        <v>470.5421</v>
      </c>
      <c r="D9793" s="2">
        <f>HYPERLINK("http://mcb-m6.bioreg.kyushu-u.ac.jp/M3/20110502/F51170/877/1", 51.69)</f>
        <v>51.69</v>
      </c>
      <c r="E9793" s="2">
        <v>25.29</v>
      </c>
      <c r="F9793" s="2">
        <v>2</v>
      </c>
      <c r="G9793" s="2" t="s">
        <v>13</v>
      </c>
    </row>
    <row r="9794" spans="1:8" x14ac:dyDescent="0.2">
      <c r="A9794" s="2" t="s">
        <v>4139</v>
      </c>
      <c r="B9794" s="2" t="s">
        <v>1688</v>
      </c>
      <c r="C9794" s="2">
        <v>747.14260000000002</v>
      </c>
      <c r="D9794" s="2">
        <f>HYPERLINK("http://mcb-m6.bioreg.kyushu-u.ac.jp/M3/20110411/F50901/2084/1", 35.2)</f>
        <v>35.200000000000003</v>
      </c>
      <c r="E9794" s="2">
        <v>18.559999999999999</v>
      </c>
      <c r="F9794" s="2">
        <v>2</v>
      </c>
      <c r="G9794" s="2" t="s">
        <v>10</v>
      </c>
      <c r="H9794" s="2" t="s">
        <v>4908</v>
      </c>
    </row>
    <row r="9795" spans="1:8" x14ac:dyDescent="0.2">
      <c r="A9795" s="2" t="s">
        <v>4567</v>
      </c>
      <c r="B9795" s="2" t="s">
        <v>2610</v>
      </c>
      <c r="C9795" s="2">
        <v>712.64120000000003</v>
      </c>
      <c r="D9795" s="2">
        <f>HYPERLINK("http://mcb-m6.bioreg.kyushu-u.ac.jp/M3/20110414/F50958/1787/1", 42.24)</f>
        <v>42.24</v>
      </c>
      <c r="E9795" s="2">
        <v>29.36</v>
      </c>
      <c r="F9795" s="2">
        <v>2</v>
      </c>
      <c r="G9795" s="2" t="s">
        <v>12</v>
      </c>
    </row>
    <row r="9796" spans="1:8" x14ac:dyDescent="0.2">
      <c r="A9796" s="2" t="s">
        <v>4051</v>
      </c>
      <c r="B9796" s="2" t="s">
        <v>1406</v>
      </c>
      <c r="C9796" s="2">
        <v>715.65560000000005</v>
      </c>
      <c r="D9796" s="2">
        <f>HYPERLINK("http://mcb-m6.bioreg.kyushu-u.ac.jp/M3/20110411/F50895/1956/1", 78.24)</f>
        <v>78.239999999999995</v>
      </c>
      <c r="E9796" s="2">
        <v>58.27</v>
      </c>
      <c r="F9796" s="2">
        <v>2</v>
      </c>
      <c r="G9796" s="2" t="s">
        <v>9</v>
      </c>
    </row>
    <row r="9797" spans="1:8" x14ac:dyDescent="0.2">
      <c r="A9797" s="2" t="s">
        <v>4051</v>
      </c>
      <c r="B9797" s="2" t="s">
        <v>1527</v>
      </c>
      <c r="C9797" s="2">
        <v>716.49069999999995</v>
      </c>
      <c r="D9797" s="2">
        <f>HYPERLINK("http://mcb-m6.bioreg.kyushu-u.ac.jp/M3/20110411/F50895/1959/1", 88.14)</f>
        <v>88.14</v>
      </c>
      <c r="E9797" s="2">
        <v>64.069999999999993</v>
      </c>
      <c r="F9797" s="2">
        <v>2</v>
      </c>
      <c r="G9797" s="2" t="s">
        <v>9</v>
      </c>
    </row>
    <row r="9798" spans="1:8" x14ac:dyDescent="0.2">
      <c r="A9798" s="2" t="s">
        <v>3429</v>
      </c>
      <c r="B9798" s="2" t="s">
        <v>236</v>
      </c>
      <c r="C9798" s="2">
        <v>1076.4459999999999</v>
      </c>
      <c r="D9798" s="2">
        <f>HYPERLINK("http://mcb-m6.bioreg.kyushu-u.ac.jp/M3/20110411/F50891/1124/1", 38.29)</f>
        <v>38.29</v>
      </c>
      <c r="E9798" s="2">
        <v>17.52</v>
      </c>
      <c r="F9798" s="2">
        <v>1</v>
      </c>
      <c r="G9798" s="2" t="s">
        <v>9</v>
      </c>
    </row>
    <row r="9799" spans="1:8" x14ac:dyDescent="0.2">
      <c r="A9799" s="2" t="s">
        <v>3429</v>
      </c>
      <c r="B9799" s="2" t="s">
        <v>1744</v>
      </c>
      <c r="C9799" s="2">
        <v>1016.796</v>
      </c>
      <c r="D9799" s="2">
        <f>HYPERLINK("http://mcb-m6.bioreg.kyushu-u.ac.jp/M3/20110411/F50898/1577/1", 37.27)</f>
        <v>37.270000000000003</v>
      </c>
      <c r="E9799" s="2">
        <v>12.27</v>
      </c>
      <c r="F9799" s="2">
        <v>1</v>
      </c>
      <c r="G9799" s="2" t="s">
        <v>10</v>
      </c>
    </row>
    <row r="9800" spans="1:8" x14ac:dyDescent="0.2">
      <c r="A9800" s="2" t="s">
        <v>3429</v>
      </c>
      <c r="B9800" s="2" t="s">
        <v>236</v>
      </c>
      <c r="C9800" s="2">
        <v>1076.684</v>
      </c>
      <c r="D9800" s="2">
        <f>HYPERLINK("http://mcb-m6.bioreg.kyushu-u.ac.jp/M3/20110411/F50898/1660/1", 38.51)</f>
        <v>38.51</v>
      </c>
      <c r="E9800" s="2">
        <v>9.76</v>
      </c>
      <c r="F9800" s="2">
        <v>1</v>
      </c>
      <c r="G9800" s="2" t="s">
        <v>10</v>
      </c>
    </row>
    <row r="9801" spans="1:8" x14ac:dyDescent="0.2">
      <c r="A9801" s="2" t="s">
        <v>3429</v>
      </c>
      <c r="B9801" s="2" t="s">
        <v>2330</v>
      </c>
      <c r="C9801" s="2">
        <v>668.21810000000005</v>
      </c>
      <c r="D9801" s="2">
        <f>HYPERLINK("http://mcb-m6.bioreg.kyushu-u.ac.jp/M3/20110414/F50928/1907/1", 46.97)</f>
        <v>46.97</v>
      </c>
      <c r="E9801" s="2">
        <v>24.56</v>
      </c>
      <c r="F9801" s="2">
        <v>2</v>
      </c>
      <c r="G9801" s="2" t="s">
        <v>11</v>
      </c>
    </row>
    <row r="9802" spans="1:8" x14ac:dyDescent="0.2">
      <c r="A9802" s="2" t="s">
        <v>3429</v>
      </c>
      <c r="B9802" s="2" t="s">
        <v>236</v>
      </c>
      <c r="C9802" s="2">
        <v>539.10770000000002</v>
      </c>
      <c r="D9802" s="2">
        <f>HYPERLINK("http://mcb-m6.bioreg.kyushu-u.ac.jp/M3/20110414/F50933/1609/1", 36.39)</f>
        <v>36.39</v>
      </c>
      <c r="E9802" s="2">
        <v>14.57</v>
      </c>
      <c r="F9802" s="2">
        <v>2</v>
      </c>
      <c r="G9802" s="2" t="s">
        <v>12</v>
      </c>
    </row>
    <row r="9803" spans="1:8" x14ac:dyDescent="0.2">
      <c r="A9803" s="2" t="s">
        <v>3429</v>
      </c>
      <c r="B9803" s="2" t="s">
        <v>2330</v>
      </c>
      <c r="C9803" s="2">
        <v>668.42020000000002</v>
      </c>
      <c r="D9803" s="2">
        <f>HYPERLINK("http://mcb-m6.bioreg.kyushu-u.ac.jp/M3/20110414/F50933/2052/1", 43.01)</f>
        <v>43.01</v>
      </c>
      <c r="E9803" s="2">
        <v>26.29</v>
      </c>
      <c r="F9803" s="2">
        <v>2</v>
      </c>
      <c r="G9803" s="2" t="s">
        <v>12</v>
      </c>
    </row>
    <row r="9804" spans="1:8" x14ac:dyDescent="0.2">
      <c r="A9804" s="2" t="s">
        <v>3429</v>
      </c>
      <c r="B9804" s="2" t="s">
        <v>2330</v>
      </c>
      <c r="C9804" s="2">
        <v>668.41669999999999</v>
      </c>
      <c r="D9804" s="2">
        <f>HYPERLINK("http://mcb-m6.bioreg.kyushu-u.ac.jp/M3/20110502/F51169/1804/1", 72.82)</f>
        <v>72.819999999999993</v>
      </c>
      <c r="E9804" s="2">
        <v>44.39</v>
      </c>
      <c r="F9804" s="2">
        <v>2</v>
      </c>
      <c r="G9804" s="2" t="s">
        <v>13</v>
      </c>
    </row>
    <row r="9805" spans="1:8" x14ac:dyDescent="0.2">
      <c r="A9805" s="2" t="s">
        <v>3429</v>
      </c>
      <c r="B9805" s="2" t="s">
        <v>236</v>
      </c>
      <c r="C9805" s="2">
        <v>539.39260000000002</v>
      </c>
      <c r="D9805" s="2">
        <f>HYPERLINK("http://mcb-m6.bioreg.kyushu-u.ac.jp/M3/20110502/F51178/1274/1", 75.41)</f>
        <v>75.41</v>
      </c>
      <c r="E9805" s="2">
        <v>40.15</v>
      </c>
      <c r="F9805" s="2">
        <v>2</v>
      </c>
      <c r="G9805" s="2" t="s">
        <v>14</v>
      </c>
    </row>
    <row r="9806" spans="1:8" x14ac:dyDescent="0.2">
      <c r="A9806" s="2" t="s">
        <v>4452</v>
      </c>
      <c r="B9806" s="2" t="s">
        <v>2362</v>
      </c>
      <c r="C9806" s="2">
        <v>592.30319999999995</v>
      </c>
      <c r="D9806" s="2">
        <f>HYPERLINK("http://mcb-m6.bioreg.kyushu-u.ac.jp/M3/20110414/F50928/1599/1", 50.52)</f>
        <v>50.52</v>
      </c>
      <c r="E9806" s="2">
        <v>19.86</v>
      </c>
      <c r="F9806" s="2">
        <v>2</v>
      </c>
      <c r="G9806" s="2" t="s">
        <v>11</v>
      </c>
    </row>
    <row r="9807" spans="1:8" x14ac:dyDescent="0.2">
      <c r="A9807" s="2" t="s">
        <v>3444</v>
      </c>
      <c r="B9807" s="2" t="s">
        <v>253</v>
      </c>
      <c r="C9807" s="2">
        <v>790.33370000000002</v>
      </c>
      <c r="D9807" s="2">
        <f>HYPERLINK("http://mcb-m6.bioreg.kyushu-u.ac.jp/M3/20110411/F50915/2221/1", 38.52)</f>
        <v>38.520000000000003</v>
      </c>
      <c r="E9807" s="2">
        <v>27.67</v>
      </c>
      <c r="F9807" s="2">
        <v>2</v>
      </c>
      <c r="G9807" s="2" t="s">
        <v>9</v>
      </c>
      <c r="H9807" s="2" t="s">
        <v>4908</v>
      </c>
    </row>
    <row r="9808" spans="1:8" x14ac:dyDescent="0.2">
      <c r="A9808" s="2" t="s">
        <v>4276</v>
      </c>
      <c r="B9808" s="2" t="s">
        <v>1953</v>
      </c>
      <c r="C9808" s="2">
        <v>455.22210000000001</v>
      </c>
      <c r="D9808" s="2">
        <f>HYPERLINK("http://mcb-m6.bioreg.kyushu-u.ac.jp/M3/20110411/F50899/1390/1", 53.94)</f>
        <v>53.94</v>
      </c>
      <c r="E9808" s="2">
        <v>31.46</v>
      </c>
      <c r="F9808" s="2">
        <v>2</v>
      </c>
      <c r="G9808" s="2" t="s">
        <v>10</v>
      </c>
    </row>
    <row r="9809" spans="1:9" x14ac:dyDescent="0.2">
      <c r="A9809" s="2" t="s">
        <v>4276</v>
      </c>
      <c r="B9809" s="2" t="s">
        <v>1953</v>
      </c>
      <c r="C9809" s="2">
        <v>454.97660000000002</v>
      </c>
      <c r="D9809" s="2">
        <f>HYPERLINK("http://mcb-m6.bioreg.kyushu-u.ac.jp/M3/20110502/F51177/483/1", 41.58)</f>
        <v>41.58</v>
      </c>
      <c r="E9809" s="2">
        <v>15.58</v>
      </c>
      <c r="F9809" s="2">
        <v>2</v>
      </c>
      <c r="G9809" s="2" t="s">
        <v>14</v>
      </c>
    </row>
    <row r="9810" spans="1:9" x14ac:dyDescent="0.2">
      <c r="A9810" s="2" t="s">
        <v>4049</v>
      </c>
      <c r="B9810" s="2" t="s">
        <v>1398</v>
      </c>
      <c r="C9810" s="2">
        <v>681.34169999999995</v>
      </c>
      <c r="D9810" s="2">
        <f>HYPERLINK("http://mcb-m6.bioreg.kyushu-u.ac.jp/M3/20110411/F50891/1759/1", 77.81)</f>
        <v>77.81</v>
      </c>
      <c r="E9810" s="2">
        <v>63.67</v>
      </c>
      <c r="F9810" s="2">
        <v>2</v>
      </c>
      <c r="G9810" s="2" t="s">
        <v>9</v>
      </c>
    </row>
    <row r="9811" spans="1:9" x14ac:dyDescent="0.2">
      <c r="A9811" s="2" t="s">
        <v>4049</v>
      </c>
      <c r="B9811" s="2" t="s">
        <v>1398</v>
      </c>
      <c r="C9811" s="2">
        <v>681.53719999999998</v>
      </c>
      <c r="D9811" s="2">
        <f>HYPERLINK("http://mcb-m6.bioreg.kyushu-u.ac.jp/M3/20110411/F50905/1708/1", 85.76)</f>
        <v>85.76</v>
      </c>
      <c r="E9811" s="2">
        <v>67.36</v>
      </c>
      <c r="F9811" s="2">
        <v>2</v>
      </c>
      <c r="G9811" s="2" t="s">
        <v>9</v>
      </c>
    </row>
    <row r="9812" spans="1:9" x14ac:dyDescent="0.2">
      <c r="A9812" s="2" t="s">
        <v>4049</v>
      </c>
      <c r="B9812" s="2" t="s">
        <v>1398</v>
      </c>
      <c r="C9812" s="2">
        <v>681.90920000000006</v>
      </c>
      <c r="D9812" s="2">
        <f>HYPERLINK("http://mcb-m6.bioreg.kyushu-u.ac.jp/M3/20110411/F50893/1898/1", 100.42)</f>
        <v>100.42</v>
      </c>
      <c r="E9812" s="2">
        <v>73.86</v>
      </c>
      <c r="F9812" s="2">
        <v>2</v>
      </c>
      <c r="G9812" s="2" t="s">
        <v>9</v>
      </c>
    </row>
    <row r="9813" spans="1:9" x14ac:dyDescent="0.2">
      <c r="A9813" s="2" t="s">
        <v>4049</v>
      </c>
      <c r="B9813" s="2" t="s">
        <v>1398</v>
      </c>
      <c r="C9813" s="2">
        <v>681.63710000000003</v>
      </c>
      <c r="D9813" s="2">
        <f>HYPERLINK("http://mcb-m6.bioreg.kyushu-u.ac.jp/M3/20110411/F50912/1749/1", 85.52)</f>
        <v>85.52</v>
      </c>
      <c r="E9813" s="2">
        <v>58.68</v>
      </c>
      <c r="F9813" s="2">
        <v>2</v>
      </c>
      <c r="G9813" s="2" t="s">
        <v>10</v>
      </c>
    </row>
    <row r="9814" spans="1:9" x14ac:dyDescent="0.2">
      <c r="A9814" s="2" t="s">
        <v>4049</v>
      </c>
      <c r="B9814" s="2" t="s">
        <v>1398</v>
      </c>
      <c r="C9814" s="2">
        <v>681.34310000000005</v>
      </c>
      <c r="D9814" s="2">
        <f>HYPERLINK("http://mcb-m6.bioreg.kyushu-u.ac.jp/M3/20110411/F50920/1276/1", 89.82)</f>
        <v>89.82</v>
      </c>
      <c r="E9814" s="2">
        <v>74.55</v>
      </c>
      <c r="F9814" s="2">
        <v>2</v>
      </c>
      <c r="G9814" s="2" t="s">
        <v>10</v>
      </c>
    </row>
    <row r="9815" spans="1:9" x14ac:dyDescent="0.2">
      <c r="A9815" s="2" t="s">
        <v>4049</v>
      </c>
      <c r="B9815" s="2" t="s">
        <v>1398</v>
      </c>
      <c r="C9815" s="2">
        <v>681.59559999999999</v>
      </c>
      <c r="D9815" s="2">
        <f>HYPERLINK("http://mcb-m6.bioreg.kyushu-u.ac.jp/M3/20110502/F51177/1459/1", 72.34)</f>
        <v>72.34</v>
      </c>
      <c r="E9815" s="2">
        <v>57.65</v>
      </c>
      <c r="F9815" s="2">
        <v>2</v>
      </c>
      <c r="G9815" s="2" t="s">
        <v>14</v>
      </c>
    </row>
    <row r="9816" spans="1:9" x14ac:dyDescent="0.2">
      <c r="A9816" s="2" t="s">
        <v>4049</v>
      </c>
      <c r="B9816" s="2" t="s">
        <v>1398</v>
      </c>
      <c r="C9816" s="2">
        <v>681.6232</v>
      </c>
      <c r="D9816" s="2">
        <f>HYPERLINK("http://mcb-m6.bioreg.kyushu-u.ac.jp/M3/20110502/F51182/1480/1", 92.17)</f>
        <v>92.17</v>
      </c>
      <c r="E9816" s="2">
        <v>69.64</v>
      </c>
      <c r="F9816" s="2">
        <v>2</v>
      </c>
      <c r="G9816" s="2" t="s">
        <v>14</v>
      </c>
    </row>
    <row r="9817" spans="1:9" x14ac:dyDescent="0.2">
      <c r="A9817" s="2" t="s">
        <v>3775</v>
      </c>
      <c r="B9817" s="2" t="s">
        <v>802</v>
      </c>
      <c r="C9817" s="2">
        <v>602.53369999999995</v>
      </c>
      <c r="D9817" s="2">
        <f>HYPERLINK("http://mcb-m6.bioreg.kyushu-u.ac.jp/M3/20110411/F50893/1633/1", 51.75)</f>
        <v>51.75</v>
      </c>
      <c r="E9817" s="2">
        <v>23.35</v>
      </c>
      <c r="F9817" s="2">
        <v>2</v>
      </c>
      <c r="G9817" s="2" t="s">
        <v>9</v>
      </c>
    </row>
    <row r="9818" spans="1:9" x14ac:dyDescent="0.2">
      <c r="A9818" s="2" t="s">
        <v>3775</v>
      </c>
      <c r="B9818" s="2" t="s">
        <v>802</v>
      </c>
      <c r="C9818" s="2">
        <v>602.38620000000003</v>
      </c>
      <c r="D9818" s="2">
        <f>HYPERLINK("http://mcb-m6.bioreg.kyushu-u.ac.jp/M3/20110414/F50944/1567/1", 42.22)</f>
        <v>42.22</v>
      </c>
      <c r="E9818" s="2">
        <v>16.41</v>
      </c>
      <c r="F9818" s="2">
        <v>2</v>
      </c>
      <c r="G9818" s="2" t="s">
        <v>11</v>
      </c>
    </row>
    <row r="9819" spans="1:9" x14ac:dyDescent="0.2">
      <c r="A9819" s="2" t="s">
        <v>3727</v>
      </c>
      <c r="B9819" s="2" t="s">
        <v>723</v>
      </c>
      <c r="C9819" s="2">
        <v>597.80520000000001</v>
      </c>
      <c r="D9819" s="2">
        <f>HYPERLINK("http://mcb-m6.bioreg.kyushu-u.ac.jp/M3/20110411/F50890/1519/1", 49.32)</f>
        <v>49.32</v>
      </c>
      <c r="E9819" s="2">
        <v>31.62</v>
      </c>
      <c r="F9819" s="2">
        <v>2</v>
      </c>
      <c r="G9819" s="2" t="s">
        <v>9</v>
      </c>
    </row>
    <row r="9820" spans="1:9" x14ac:dyDescent="0.2">
      <c r="A9820" s="2" t="s">
        <v>3727</v>
      </c>
      <c r="B9820" s="2" t="s">
        <v>723</v>
      </c>
      <c r="C9820" s="2">
        <v>598.37919999999997</v>
      </c>
      <c r="D9820" s="2">
        <f>HYPERLINK("http://mcb-m6.bioreg.kyushu-u.ac.jp/M3/20110411/F50890/1521/1", 50.93)</f>
        <v>50.93</v>
      </c>
      <c r="E9820" s="2">
        <v>21.29</v>
      </c>
      <c r="F9820" s="2">
        <v>2</v>
      </c>
      <c r="G9820" s="2" t="s">
        <v>9</v>
      </c>
    </row>
    <row r="9821" spans="1:9" x14ac:dyDescent="0.2">
      <c r="A9821" s="2" t="s">
        <v>3727</v>
      </c>
      <c r="B9821" s="2" t="s">
        <v>1372</v>
      </c>
      <c r="C9821" s="2">
        <v>866.85059999999999</v>
      </c>
      <c r="D9821" s="2">
        <f>HYPERLINK("http://mcb-m6.bioreg.kyushu-u.ac.jp/M3/20110411/F50890/2819/1", 76.42)</f>
        <v>76.42</v>
      </c>
      <c r="E9821" s="2">
        <v>49.71</v>
      </c>
      <c r="F9821" s="2">
        <v>2</v>
      </c>
      <c r="G9821" s="2" t="s">
        <v>9</v>
      </c>
      <c r="I9821" s="2" t="s">
        <v>4903</v>
      </c>
    </row>
    <row r="9822" spans="1:9" x14ac:dyDescent="0.2">
      <c r="A9822" s="2" t="s">
        <v>3727</v>
      </c>
      <c r="B9822" s="2" t="s">
        <v>1372</v>
      </c>
      <c r="C9822" s="2">
        <v>866.2192</v>
      </c>
      <c r="D9822" s="2">
        <f>HYPERLINK("http://mcb-m6.bioreg.kyushu-u.ac.jp/M3/20110411/F50890/2814/1", 99.68)</f>
        <v>99.68</v>
      </c>
      <c r="E9822" s="2">
        <v>77.849999999999994</v>
      </c>
      <c r="F9822" s="2">
        <v>2</v>
      </c>
      <c r="G9822" s="2" t="s">
        <v>9</v>
      </c>
      <c r="I9822" s="2" t="s">
        <v>4903</v>
      </c>
    </row>
    <row r="9823" spans="1:9" x14ac:dyDescent="0.2">
      <c r="A9823" s="2" t="s">
        <v>3727</v>
      </c>
      <c r="B9823" s="2" t="s">
        <v>1723</v>
      </c>
      <c r="C9823" s="2">
        <v>793.96220000000005</v>
      </c>
      <c r="D9823" s="2">
        <f>HYPERLINK("http://mcb-m6.bioreg.kyushu-u.ac.jp/M3/20110411/F50897/2273/1", 36.38)</f>
        <v>36.380000000000003</v>
      </c>
      <c r="E9823" s="2">
        <v>24</v>
      </c>
      <c r="F9823" s="2">
        <v>2</v>
      </c>
      <c r="G9823" s="2" t="s">
        <v>10</v>
      </c>
    </row>
    <row r="9824" spans="1:9" x14ac:dyDescent="0.2">
      <c r="A9824" s="2" t="s">
        <v>3727</v>
      </c>
      <c r="B9824" s="2" t="s">
        <v>1372</v>
      </c>
      <c r="C9824" s="2">
        <v>866.24069999999995</v>
      </c>
      <c r="D9824" s="2">
        <f>HYPERLINK("http://mcb-m6.bioreg.kyushu-u.ac.jp/M3/20110411/F50897/2601/1", 68.49)</f>
        <v>68.489999999999995</v>
      </c>
      <c r="E9824" s="2">
        <v>50.66</v>
      </c>
      <c r="F9824" s="2">
        <v>2</v>
      </c>
      <c r="G9824" s="2" t="s">
        <v>10</v>
      </c>
      <c r="I9824" s="2" t="s">
        <v>4903</v>
      </c>
    </row>
    <row r="9825" spans="1:7" x14ac:dyDescent="0.2">
      <c r="A9825" s="2" t="s">
        <v>3727</v>
      </c>
      <c r="B9825" s="2" t="s">
        <v>1723</v>
      </c>
      <c r="C9825" s="2">
        <v>793.59469999999999</v>
      </c>
      <c r="D9825" s="2">
        <f>HYPERLINK("http://mcb-m6.bioreg.kyushu-u.ac.jp/M3/20110414/F50927/2531/1", 103.03)</f>
        <v>103.03</v>
      </c>
      <c r="E9825" s="2">
        <v>56.96</v>
      </c>
      <c r="F9825" s="2">
        <v>2</v>
      </c>
      <c r="G9825" s="2" t="s">
        <v>11</v>
      </c>
    </row>
    <row r="9826" spans="1:7" x14ac:dyDescent="0.2">
      <c r="A9826" s="2" t="s">
        <v>3727</v>
      </c>
      <c r="B9826" s="2" t="s">
        <v>1723</v>
      </c>
      <c r="C9826" s="2">
        <v>793.75570000000005</v>
      </c>
      <c r="D9826" s="2">
        <f>HYPERLINK("http://mcb-m6.bioreg.kyushu-u.ac.jp/M3/20110414/F50932/2500/1", 104.56)</f>
        <v>104.56</v>
      </c>
      <c r="E9826" s="2">
        <v>88.94</v>
      </c>
      <c r="F9826" s="2">
        <v>2</v>
      </c>
      <c r="G9826" s="2" t="s">
        <v>12</v>
      </c>
    </row>
    <row r="9827" spans="1:7" x14ac:dyDescent="0.2">
      <c r="A9827" s="2" t="s">
        <v>3727</v>
      </c>
      <c r="B9827" s="2" t="s">
        <v>1723</v>
      </c>
      <c r="C9827" s="2">
        <v>793.96510000000001</v>
      </c>
      <c r="D9827" s="2">
        <f>HYPERLINK("http://mcb-m6.bioreg.kyushu-u.ac.jp/M3/20110502/F51168/2247/1", 60.26)</f>
        <v>60.26</v>
      </c>
      <c r="E9827" s="2">
        <v>38.04</v>
      </c>
      <c r="F9827" s="2">
        <v>2</v>
      </c>
      <c r="G9827" s="2" t="s">
        <v>13</v>
      </c>
    </row>
    <row r="9828" spans="1:7" x14ac:dyDescent="0.2">
      <c r="A9828" s="2" t="s">
        <v>3727</v>
      </c>
      <c r="B9828" s="2" t="s">
        <v>1723</v>
      </c>
      <c r="C9828" s="2">
        <v>794.03470000000004</v>
      </c>
      <c r="D9828" s="2">
        <f>HYPERLINK("http://mcb-m6.bioreg.kyushu-u.ac.jp/M3/20110502/F51177/2174/1", 90.66)</f>
        <v>90.66</v>
      </c>
      <c r="E9828" s="2">
        <v>70.209999999999994</v>
      </c>
      <c r="F9828" s="2">
        <v>2</v>
      </c>
      <c r="G9828" s="2" t="s">
        <v>14</v>
      </c>
    </row>
    <row r="9829" spans="1:7" x14ac:dyDescent="0.2">
      <c r="A9829" s="2" t="s">
        <v>3647</v>
      </c>
      <c r="B9829" s="2" t="s">
        <v>573</v>
      </c>
      <c r="C9829" s="2">
        <v>903.43</v>
      </c>
      <c r="D9829" s="2">
        <f>HYPERLINK("http://mcb-m6.bioreg.kyushu-u.ac.jp/M3/20110411/F50890/883/2", 45.18)</f>
        <v>45.18</v>
      </c>
      <c r="E9829" s="2">
        <v>16.079999999999998</v>
      </c>
      <c r="F9829" s="2">
        <v>1</v>
      </c>
      <c r="G9829" s="2" t="s">
        <v>9</v>
      </c>
    </row>
    <row r="9830" spans="1:7" x14ac:dyDescent="0.2">
      <c r="A9830" s="2" t="s">
        <v>3647</v>
      </c>
      <c r="B9830" s="2" t="s">
        <v>573</v>
      </c>
      <c r="C9830" s="2">
        <v>903.59900000000005</v>
      </c>
      <c r="D9830" s="2">
        <f>HYPERLINK("http://mcb-m6.bioreg.kyushu-u.ac.jp/M3/20110411/F50897/756/2", 51.61)</f>
        <v>51.61</v>
      </c>
      <c r="E9830" s="2">
        <v>23.76</v>
      </c>
      <c r="F9830" s="2">
        <v>1</v>
      </c>
      <c r="G9830" s="2" t="s">
        <v>10</v>
      </c>
    </row>
    <row r="9831" spans="1:7" x14ac:dyDescent="0.2">
      <c r="A9831" s="2" t="s">
        <v>3647</v>
      </c>
      <c r="B9831" s="2" t="s">
        <v>573</v>
      </c>
      <c r="C9831" s="2">
        <v>452.3476</v>
      </c>
      <c r="D9831" s="2">
        <f>HYPERLINK("http://mcb-m6.bioreg.kyushu-u.ac.jp/M3/20110502/F51168/968/2", 53.49)</f>
        <v>53.49</v>
      </c>
      <c r="E9831" s="2">
        <v>17.97</v>
      </c>
      <c r="F9831" s="2">
        <v>2</v>
      </c>
      <c r="G9831" s="2" t="s">
        <v>13</v>
      </c>
    </row>
    <row r="9832" spans="1:7" x14ac:dyDescent="0.2">
      <c r="A9832" s="2" t="s">
        <v>3647</v>
      </c>
      <c r="B9832" s="2" t="s">
        <v>573</v>
      </c>
      <c r="C9832" s="2">
        <v>452.47410000000002</v>
      </c>
      <c r="D9832" s="2">
        <f>HYPERLINK("http://mcb-m6.bioreg.kyushu-u.ac.jp/M3/20110502/F51177/467/2", 53.9)</f>
        <v>53.9</v>
      </c>
      <c r="E9832" s="2">
        <v>17.850000000000001</v>
      </c>
      <c r="F9832" s="2">
        <v>2</v>
      </c>
      <c r="G9832" s="2" t="s">
        <v>14</v>
      </c>
    </row>
    <row r="9833" spans="1:7" x14ac:dyDescent="0.2">
      <c r="A9833" s="2" t="s">
        <v>4670</v>
      </c>
      <c r="B9833" s="2" t="s">
        <v>2839</v>
      </c>
      <c r="C9833" s="2">
        <v>456.40260000000001</v>
      </c>
      <c r="D9833" s="2">
        <f>HYPERLINK("http://mcb-m6.bioreg.kyushu-u.ac.jp/M3/20110502/F51174/945/1", 38.25)</f>
        <v>38.25</v>
      </c>
      <c r="E9833" s="2">
        <v>22.1</v>
      </c>
      <c r="F9833" s="2">
        <v>2</v>
      </c>
      <c r="G9833" s="2" t="s">
        <v>13</v>
      </c>
    </row>
    <row r="9834" spans="1:7" x14ac:dyDescent="0.2">
      <c r="A9834" s="2" t="s">
        <v>4682</v>
      </c>
      <c r="B9834" s="2" t="s">
        <v>2853</v>
      </c>
      <c r="C9834" s="2">
        <v>485.00909999999999</v>
      </c>
      <c r="D9834" s="2">
        <f>HYPERLINK("http://mcb-m6.bioreg.kyushu-u.ac.jp/M3/20110502/F51180/664/1", 39.37)</f>
        <v>39.369999999999997</v>
      </c>
      <c r="E9834" s="2">
        <v>16.29</v>
      </c>
      <c r="F9834" s="2">
        <v>2</v>
      </c>
      <c r="G9834" s="2" t="s">
        <v>13</v>
      </c>
    </row>
    <row r="9835" spans="1:7" x14ac:dyDescent="0.2">
      <c r="A9835" s="2" t="s">
        <v>3319</v>
      </c>
      <c r="B9835" s="2" t="s">
        <v>104</v>
      </c>
      <c r="C9835" s="2">
        <v>782.43820000000005</v>
      </c>
      <c r="D9835" s="2">
        <f>HYPERLINK("http://mcb-m6.bioreg.kyushu-u.ac.jp/M3/20110411/F50916/2130/1", 36.1)</f>
        <v>36.1</v>
      </c>
      <c r="E9835" s="2">
        <v>23.53</v>
      </c>
      <c r="F9835" s="2">
        <v>2</v>
      </c>
      <c r="G9835" s="2" t="s">
        <v>9</v>
      </c>
    </row>
    <row r="9836" spans="1:7" x14ac:dyDescent="0.2">
      <c r="A9836" s="2" t="s">
        <v>3319</v>
      </c>
      <c r="B9836" s="2" t="s">
        <v>232</v>
      </c>
      <c r="C9836" s="2">
        <v>790.46400000000006</v>
      </c>
      <c r="D9836" s="2">
        <f>HYPERLINK("http://mcb-m6.bioreg.kyushu-u.ac.jp/M3/20110411/F50916/581/1", 38.22)</f>
        <v>38.22</v>
      </c>
      <c r="E9836" s="2">
        <v>10.79</v>
      </c>
      <c r="F9836" s="2">
        <v>1</v>
      </c>
      <c r="G9836" s="2" t="s">
        <v>9</v>
      </c>
    </row>
    <row r="9837" spans="1:7" x14ac:dyDescent="0.2">
      <c r="A9837" s="2" t="s">
        <v>3319</v>
      </c>
      <c r="B9837" s="2" t="s">
        <v>524</v>
      </c>
      <c r="C9837" s="2">
        <v>586.49159999999995</v>
      </c>
      <c r="D9837" s="2">
        <f>HYPERLINK("http://mcb-m6.bioreg.kyushu-u.ac.jp/M3/20110411/F50916/1113/1", 43.84)</f>
        <v>43.84</v>
      </c>
      <c r="E9837" s="2">
        <v>20.34</v>
      </c>
      <c r="F9837" s="2">
        <v>2</v>
      </c>
      <c r="G9837" s="2" t="s">
        <v>9</v>
      </c>
    </row>
    <row r="9838" spans="1:7" x14ac:dyDescent="0.2">
      <c r="A9838" s="2" t="s">
        <v>3319</v>
      </c>
      <c r="B9838" s="2" t="s">
        <v>566</v>
      </c>
      <c r="C9838" s="2">
        <v>1058.694</v>
      </c>
      <c r="D9838" s="2">
        <f>HYPERLINK("http://mcb-m6.bioreg.kyushu-u.ac.jp/M3/20110411/F50916/917/1", 45.03)</f>
        <v>45.03</v>
      </c>
      <c r="E9838" s="2">
        <v>10.09</v>
      </c>
      <c r="F9838" s="2">
        <v>1</v>
      </c>
      <c r="G9838" s="2" t="s">
        <v>9</v>
      </c>
    </row>
    <row r="9839" spans="1:7" x14ac:dyDescent="0.2">
      <c r="A9839" s="2" t="s">
        <v>3319</v>
      </c>
      <c r="B9839" s="2" t="s">
        <v>638</v>
      </c>
      <c r="C9839" s="2">
        <v>1112.6400000000001</v>
      </c>
      <c r="D9839" s="2">
        <f>HYPERLINK("http://mcb-m6.bioreg.kyushu-u.ac.jp/M3/20110411/F50916/1008/1", 46.88)</f>
        <v>46.88</v>
      </c>
      <c r="E9839" s="2">
        <v>33.49</v>
      </c>
      <c r="F9839" s="2">
        <v>1</v>
      </c>
      <c r="G9839" s="2" t="s">
        <v>9</v>
      </c>
    </row>
    <row r="9840" spans="1:7" x14ac:dyDescent="0.2">
      <c r="A9840" s="2" t="s">
        <v>3319</v>
      </c>
      <c r="B9840" s="2" t="s">
        <v>638</v>
      </c>
      <c r="C9840" s="2">
        <v>557.39509999999996</v>
      </c>
      <c r="D9840" s="2">
        <f>HYPERLINK("http://mcb-m6.bioreg.kyushu-u.ac.jp/M3/20110411/F50895/1261/1", 48.97)</f>
        <v>48.97</v>
      </c>
      <c r="E9840" s="2">
        <v>18.2</v>
      </c>
      <c r="F9840" s="2">
        <v>2</v>
      </c>
      <c r="G9840" s="2" t="s">
        <v>9</v>
      </c>
    </row>
    <row r="9841" spans="1:8" x14ac:dyDescent="0.2">
      <c r="A9841" s="2" t="s">
        <v>3319</v>
      </c>
      <c r="B9841" s="2" t="s">
        <v>638</v>
      </c>
      <c r="C9841" s="2">
        <v>557.38070000000005</v>
      </c>
      <c r="D9841" s="2">
        <f>HYPERLINK("http://mcb-m6.bioreg.kyushu-u.ac.jp/M3/20110411/F50916/1009/1", 55.84)</f>
        <v>55.84</v>
      </c>
      <c r="E9841" s="2">
        <v>26.69</v>
      </c>
      <c r="F9841" s="2">
        <v>2</v>
      </c>
      <c r="G9841" s="2" t="s">
        <v>9</v>
      </c>
    </row>
    <row r="9842" spans="1:8" x14ac:dyDescent="0.2">
      <c r="A9842" s="2" t="s">
        <v>3319</v>
      </c>
      <c r="B9842" s="2" t="s">
        <v>979</v>
      </c>
      <c r="C9842" s="2">
        <v>1216.655</v>
      </c>
      <c r="D9842" s="2">
        <f>HYPERLINK("http://mcb-m6.bioreg.kyushu-u.ac.jp/M3/20110411/F50916/1208/1", 57.7)</f>
        <v>57.7</v>
      </c>
      <c r="E9842" s="2">
        <v>31.06</v>
      </c>
      <c r="F9842" s="2">
        <v>1</v>
      </c>
      <c r="G9842" s="2" t="s">
        <v>9</v>
      </c>
    </row>
    <row r="9843" spans="1:8" x14ac:dyDescent="0.2">
      <c r="A9843" s="2" t="s">
        <v>3319</v>
      </c>
      <c r="B9843" s="2" t="s">
        <v>987</v>
      </c>
      <c r="C9843" s="2">
        <v>753.25319999999999</v>
      </c>
      <c r="D9843" s="2">
        <f>HYPERLINK("http://mcb-m6.bioreg.kyushu-u.ac.jp/M3/20110411/F50916/1969/1", 57.95)</f>
        <v>57.95</v>
      </c>
      <c r="E9843" s="2">
        <v>34.24</v>
      </c>
      <c r="F9843" s="2">
        <v>2</v>
      </c>
      <c r="G9843" s="2" t="s">
        <v>9</v>
      </c>
    </row>
    <row r="9844" spans="1:8" x14ac:dyDescent="0.2">
      <c r="A9844" s="2" t="s">
        <v>3319</v>
      </c>
      <c r="B9844" s="2" t="s">
        <v>1051</v>
      </c>
      <c r="C9844" s="2">
        <v>776.49369999999999</v>
      </c>
      <c r="D9844" s="2">
        <f>HYPERLINK("http://mcb-m6.bioreg.kyushu-u.ac.jp/M3/20110411/F50916/2085/1", 60.37)</f>
        <v>60.37</v>
      </c>
      <c r="E9844" s="2">
        <v>38.89</v>
      </c>
      <c r="F9844" s="2">
        <v>2</v>
      </c>
      <c r="G9844" s="2" t="s">
        <v>9</v>
      </c>
      <c r="H9844" s="2" t="s">
        <v>4908</v>
      </c>
    </row>
    <row r="9845" spans="1:8" x14ac:dyDescent="0.2">
      <c r="A9845" s="2" t="s">
        <v>3319</v>
      </c>
      <c r="B9845" s="2" t="s">
        <v>1280</v>
      </c>
      <c r="C9845" s="2">
        <v>1245.6010000000001</v>
      </c>
      <c r="D9845" s="2">
        <f>HYPERLINK("http://mcb-m6.bioreg.kyushu-u.ac.jp/M3/20110411/F50916/1285/1", 70.31)</f>
        <v>70.31</v>
      </c>
      <c r="E9845" s="2">
        <v>51.25</v>
      </c>
      <c r="F9845" s="2">
        <v>1</v>
      </c>
      <c r="G9845" s="2" t="s">
        <v>9</v>
      </c>
    </row>
    <row r="9846" spans="1:8" x14ac:dyDescent="0.2">
      <c r="A9846" s="2" t="s">
        <v>3319</v>
      </c>
      <c r="B9846" s="2" t="s">
        <v>1311</v>
      </c>
      <c r="C9846" s="2">
        <v>826.51260000000002</v>
      </c>
      <c r="D9846" s="2">
        <f>HYPERLINK("http://mcb-m6.bioreg.kyushu-u.ac.jp/M3/20110411/F50916/2353/1", 72.32)</f>
        <v>72.319999999999993</v>
      </c>
      <c r="E9846" s="2">
        <v>46.66</v>
      </c>
      <c r="F9846" s="2">
        <v>2</v>
      </c>
      <c r="G9846" s="2" t="s">
        <v>9</v>
      </c>
    </row>
    <row r="9847" spans="1:8" x14ac:dyDescent="0.2">
      <c r="A9847" s="2" t="s">
        <v>3319</v>
      </c>
      <c r="B9847" s="2" t="s">
        <v>1324</v>
      </c>
      <c r="C9847" s="2">
        <v>581.81820000000005</v>
      </c>
      <c r="D9847" s="2">
        <f>HYPERLINK("http://mcb-m6.bioreg.kyushu-u.ac.jp/M3/20110411/F50916/1097/1", 73.21)</f>
        <v>73.209999999999994</v>
      </c>
      <c r="E9847" s="2">
        <v>40.869999999999997</v>
      </c>
      <c r="F9847" s="2">
        <v>2</v>
      </c>
      <c r="G9847" s="2" t="s">
        <v>9</v>
      </c>
    </row>
    <row r="9848" spans="1:8" x14ac:dyDescent="0.2">
      <c r="A9848" s="2" t="s">
        <v>3319</v>
      </c>
      <c r="B9848" s="2" t="s">
        <v>1324</v>
      </c>
      <c r="C9848" s="2">
        <v>582.3297</v>
      </c>
      <c r="D9848" s="2">
        <f>HYPERLINK("http://mcb-m6.bioreg.kyushu-u.ac.jp/M3/20110411/F50916/1099/1", 74.58)</f>
        <v>74.58</v>
      </c>
      <c r="E9848" s="2">
        <v>52.15</v>
      </c>
      <c r="F9848" s="2">
        <v>2</v>
      </c>
      <c r="G9848" s="2" t="s">
        <v>9</v>
      </c>
    </row>
    <row r="9849" spans="1:8" x14ac:dyDescent="0.2">
      <c r="A9849" s="2" t="s">
        <v>3319</v>
      </c>
      <c r="B9849" s="2" t="s">
        <v>104</v>
      </c>
      <c r="C9849" s="2">
        <v>782.06669999999997</v>
      </c>
      <c r="D9849" s="2">
        <f>HYPERLINK("http://mcb-m6.bioreg.kyushu-u.ac.jp/M3/20110411/F50916/2127/1", 76.27)</f>
        <v>76.27</v>
      </c>
      <c r="E9849" s="2">
        <v>61.03</v>
      </c>
      <c r="F9849" s="2">
        <v>2</v>
      </c>
      <c r="G9849" s="2" t="s">
        <v>9</v>
      </c>
    </row>
    <row r="9850" spans="1:8" x14ac:dyDescent="0.2">
      <c r="A9850" s="2" t="s">
        <v>3319</v>
      </c>
      <c r="B9850" s="2" t="s">
        <v>1420</v>
      </c>
      <c r="C9850" s="2">
        <v>554.91610000000003</v>
      </c>
      <c r="D9850" s="2">
        <f>HYPERLINK("http://mcb-m6.bioreg.kyushu-u.ac.jp/M3/20110411/F50916/1005/1", 79.41)</f>
        <v>79.41</v>
      </c>
      <c r="E9850" s="2">
        <v>31.47</v>
      </c>
      <c r="F9850" s="2">
        <v>2</v>
      </c>
      <c r="G9850" s="2" t="s">
        <v>9</v>
      </c>
    </row>
    <row r="9851" spans="1:8" x14ac:dyDescent="0.2">
      <c r="A9851" s="2" t="s">
        <v>3319</v>
      </c>
      <c r="B9851" s="2" t="s">
        <v>104</v>
      </c>
      <c r="C9851" s="2">
        <v>782.17660000000001</v>
      </c>
      <c r="D9851" s="2">
        <f>HYPERLINK("http://mcb-m6.bioreg.kyushu-u.ac.jp/M3/20110411/F50919/1869/1", 90.46)</f>
        <v>90.46</v>
      </c>
      <c r="E9851" s="2">
        <v>79.75</v>
      </c>
      <c r="F9851" s="2">
        <v>2</v>
      </c>
      <c r="G9851" s="2" t="s">
        <v>9</v>
      </c>
    </row>
    <row r="9852" spans="1:8" x14ac:dyDescent="0.2">
      <c r="A9852" s="2" t="s">
        <v>3319</v>
      </c>
      <c r="B9852" s="2" t="s">
        <v>1671</v>
      </c>
      <c r="C9852" s="2">
        <v>871.08619999999996</v>
      </c>
      <c r="D9852" s="2">
        <f>HYPERLINK("http://mcb-m6.bioreg.kyushu-u.ac.jp/M3/20110411/F50916/2573/1", 123.21)</f>
        <v>123.21</v>
      </c>
      <c r="E9852" s="2">
        <v>106.11</v>
      </c>
      <c r="F9852" s="2">
        <v>2</v>
      </c>
      <c r="G9852" s="2" t="s">
        <v>9</v>
      </c>
    </row>
    <row r="9853" spans="1:8" x14ac:dyDescent="0.2">
      <c r="A9853" s="2" t="s">
        <v>3319</v>
      </c>
      <c r="B9853" s="2" t="s">
        <v>638</v>
      </c>
      <c r="C9853" s="2">
        <v>1112.7639999999999</v>
      </c>
      <c r="D9853" s="2">
        <f>HYPERLINK("http://mcb-m6.bioreg.kyushu-u.ac.jp/M3/20110411/F50918/987/1", 37.59)</f>
        <v>37.590000000000003</v>
      </c>
      <c r="E9853" s="2">
        <v>14.2</v>
      </c>
      <c r="F9853" s="2">
        <v>1</v>
      </c>
      <c r="G9853" s="2" t="s">
        <v>10</v>
      </c>
    </row>
    <row r="9854" spans="1:8" x14ac:dyDescent="0.2">
      <c r="A9854" s="2" t="s">
        <v>3319</v>
      </c>
      <c r="B9854" s="2" t="s">
        <v>1749</v>
      </c>
      <c r="C9854" s="2">
        <v>778.45119999999997</v>
      </c>
      <c r="D9854" s="2">
        <f>HYPERLINK("http://mcb-m6.bioreg.kyushu-u.ac.jp/M3/20110411/F50917/2188/1", 37.61)</f>
        <v>37.61</v>
      </c>
      <c r="E9854" s="2">
        <v>16.22</v>
      </c>
      <c r="F9854" s="2">
        <v>2</v>
      </c>
      <c r="G9854" s="2" t="s">
        <v>10</v>
      </c>
    </row>
    <row r="9855" spans="1:8" x14ac:dyDescent="0.2">
      <c r="A9855" s="2" t="s">
        <v>3319</v>
      </c>
      <c r="B9855" s="2" t="s">
        <v>1753</v>
      </c>
      <c r="C9855" s="2">
        <v>573.42169999999999</v>
      </c>
      <c r="D9855" s="2">
        <f>HYPERLINK("http://mcb-m6.bioreg.kyushu-u.ac.jp/M3/20110411/F50918/1039/1", 37.73)</f>
        <v>37.729999999999997</v>
      </c>
      <c r="E9855" s="2">
        <v>20.57</v>
      </c>
      <c r="F9855" s="2">
        <v>2</v>
      </c>
      <c r="G9855" s="2" t="s">
        <v>10</v>
      </c>
    </row>
    <row r="9856" spans="1:8" x14ac:dyDescent="0.2">
      <c r="A9856" s="2" t="s">
        <v>3319</v>
      </c>
      <c r="B9856" s="2" t="s">
        <v>1420</v>
      </c>
      <c r="C9856" s="2">
        <v>1108.7339999999999</v>
      </c>
      <c r="D9856" s="2">
        <f>HYPERLINK("http://mcb-m6.bioreg.kyushu-u.ac.jp/M3/20110411/F50918/982/1", 38.14)</f>
        <v>38.14</v>
      </c>
      <c r="E9856" s="2">
        <v>9.08</v>
      </c>
      <c r="F9856" s="2">
        <v>1</v>
      </c>
      <c r="G9856" s="2" t="s">
        <v>10</v>
      </c>
    </row>
    <row r="9857" spans="1:7" x14ac:dyDescent="0.2">
      <c r="A9857" s="2" t="s">
        <v>3319</v>
      </c>
      <c r="B9857" s="2" t="s">
        <v>987</v>
      </c>
      <c r="C9857" s="2">
        <v>753.02620000000002</v>
      </c>
      <c r="D9857" s="2">
        <f>HYPERLINK("http://mcb-m6.bioreg.kyushu-u.ac.jp/M3/20110411/F50901/2107/1", 39.34)</f>
        <v>39.340000000000003</v>
      </c>
      <c r="E9857" s="2">
        <v>26.36</v>
      </c>
      <c r="F9857" s="2">
        <v>2</v>
      </c>
      <c r="G9857" s="2" t="s">
        <v>10</v>
      </c>
    </row>
    <row r="9858" spans="1:7" x14ac:dyDescent="0.2">
      <c r="A9858" s="2" t="s">
        <v>3319</v>
      </c>
      <c r="B9858" s="2" t="s">
        <v>1812</v>
      </c>
      <c r="C9858" s="2">
        <v>581.42610000000002</v>
      </c>
      <c r="D9858" s="2">
        <f>HYPERLINK("http://mcb-m6.bioreg.kyushu-u.ac.jp/M3/20110411/F50902/1376/1", 40.91)</f>
        <v>40.909999999999997</v>
      </c>
      <c r="E9858" s="2">
        <v>12.92</v>
      </c>
      <c r="F9858" s="2">
        <v>2</v>
      </c>
      <c r="G9858" s="2" t="s">
        <v>10</v>
      </c>
    </row>
    <row r="9859" spans="1:7" x14ac:dyDescent="0.2">
      <c r="A9859" s="2" t="s">
        <v>3319</v>
      </c>
      <c r="B9859" s="2" t="s">
        <v>1826</v>
      </c>
      <c r="C9859" s="2">
        <v>688.84559999999999</v>
      </c>
      <c r="D9859" s="2">
        <f>HYPERLINK("http://mcb-m6.bioreg.kyushu-u.ac.jp/M3/20110411/F50900/1926/1", 41.48)</f>
        <v>41.48</v>
      </c>
      <c r="E9859" s="2">
        <v>21.5</v>
      </c>
      <c r="F9859" s="2">
        <v>2</v>
      </c>
      <c r="G9859" s="2" t="s">
        <v>10</v>
      </c>
    </row>
    <row r="9860" spans="1:7" x14ac:dyDescent="0.2">
      <c r="A9860" s="2" t="s">
        <v>3319</v>
      </c>
      <c r="B9860" s="2" t="s">
        <v>987</v>
      </c>
      <c r="C9860" s="2">
        <v>753.09059999999999</v>
      </c>
      <c r="D9860" s="2">
        <f>HYPERLINK("http://mcb-m6.bioreg.kyushu-u.ac.jp/M3/20110411/F50902/2107/1", 46.24)</f>
        <v>46.24</v>
      </c>
      <c r="E9860" s="2">
        <v>20.079999999999998</v>
      </c>
      <c r="F9860" s="2">
        <v>2</v>
      </c>
      <c r="G9860" s="2" t="s">
        <v>10</v>
      </c>
    </row>
    <row r="9861" spans="1:7" x14ac:dyDescent="0.2">
      <c r="A9861" s="2" t="s">
        <v>3319</v>
      </c>
      <c r="B9861" s="2" t="s">
        <v>566</v>
      </c>
      <c r="C9861" s="2">
        <v>1058.616</v>
      </c>
      <c r="D9861" s="2">
        <f>HYPERLINK("http://mcb-m6.bioreg.kyushu-u.ac.jp/M3/20110411/F50918/895/1", 46.47)</f>
        <v>46.47</v>
      </c>
      <c r="E9861" s="2">
        <v>13.28</v>
      </c>
      <c r="F9861" s="2">
        <v>1</v>
      </c>
      <c r="G9861" s="2" t="s">
        <v>10</v>
      </c>
    </row>
    <row r="9862" spans="1:7" x14ac:dyDescent="0.2">
      <c r="A9862" s="2" t="s">
        <v>3319</v>
      </c>
      <c r="B9862" s="2" t="s">
        <v>1280</v>
      </c>
      <c r="C9862" s="2">
        <v>623.34010000000001</v>
      </c>
      <c r="D9862" s="2">
        <f>HYPERLINK("http://mcb-m6.bioreg.kyushu-u.ac.jp/M3/20110411/F50918/1264/1", 47.21)</f>
        <v>47.21</v>
      </c>
      <c r="E9862" s="2">
        <v>32.42</v>
      </c>
      <c r="F9862" s="2">
        <v>2</v>
      </c>
      <c r="G9862" s="2" t="s">
        <v>10</v>
      </c>
    </row>
    <row r="9863" spans="1:7" x14ac:dyDescent="0.2">
      <c r="A9863" s="2" t="s">
        <v>3319</v>
      </c>
      <c r="B9863" s="2" t="s">
        <v>1909</v>
      </c>
      <c r="C9863" s="2">
        <v>870.41420000000005</v>
      </c>
      <c r="D9863" s="2">
        <f>HYPERLINK("http://mcb-m6.bioreg.kyushu-u.ac.jp/M3/20110411/F50917/2732/1", 49.02)</f>
        <v>49.02</v>
      </c>
      <c r="E9863" s="2">
        <v>29.18</v>
      </c>
      <c r="F9863" s="2">
        <v>2</v>
      </c>
      <c r="G9863" s="2" t="s">
        <v>10</v>
      </c>
    </row>
    <row r="9864" spans="1:7" x14ac:dyDescent="0.2">
      <c r="A9864" s="2" t="s">
        <v>3319</v>
      </c>
      <c r="B9864" s="2" t="s">
        <v>1929</v>
      </c>
      <c r="C9864" s="2">
        <v>696.92769999999996</v>
      </c>
      <c r="D9864" s="2">
        <f>HYPERLINK("http://mcb-m6.bioreg.kyushu-u.ac.jp/M3/20110411/F50918/1636/1", 50.72)</f>
        <v>50.72</v>
      </c>
      <c r="E9864" s="2">
        <v>31.17</v>
      </c>
      <c r="F9864" s="2">
        <v>2</v>
      </c>
      <c r="G9864" s="2" t="s">
        <v>10</v>
      </c>
    </row>
    <row r="9865" spans="1:7" x14ac:dyDescent="0.2">
      <c r="A9865" s="2" t="s">
        <v>3319</v>
      </c>
      <c r="B9865" s="2" t="s">
        <v>1938</v>
      </c>
      <c r="C9865" s="2">
        <v>479.3261</v>
      </c>
      <c r="D9865" s="2">
        <f>HYPERLINK("http://mcb-m6.bioreg.kyushu-u.ac.jp/M3/20110411/F50918/748/1", 51.46)</f>
        <v>51.46</v>
      </c>
      <c r="E9865" s="2">
        <v>17.829999999999998</v>
      </c>
      <c r="F9865" s="2">
        <v>2</v>
      </c>
      <c r="G9865" s="2" t="s">
        <v>10</v>
      </c>
    </row>
    <row r="9866" spans="1:7" x14ac:dyDescent="0.2">
      <c r="A9866" s="2" t="s">
        <v>3319</v>
      </c>
      <c r="B9866" s="2" t="s">
        <v>1420</v>
      </c>
      <c r="C9866" s="2">
        <v>555.00710000000004</v>
      </c>
      <c r="D9866" s="2">
        <f>HYPERLINK("http://mcb-m6.bioreg.kyushu-u.ac.jp/M3/20110411/F50902/1283/1", 52.46)</f>
        <v>52.46</v>
      </c>
      <c r="E9866" s="2">
        <v>19.649999999999999</v>
      </c>
      <c r="F9866" s="2">
        <v>2</v>
      </c>
      <c r="G9866" s="2" t="s">
        <v>10</v>
      </c>
    </row>
    <row r="9867" spans="1:7" x14ac:dyDescent="0.2">
      <c r="A9867" s="2" t="s">
        <v>3319</v>
      </c>
      <c r="B9867" s="2" t="s">
        <v>638</v>
      </c>
      <c r="C9867" s="2">
        <v>557.07569999999998</v>
      </c>
      <c r="D9867" s="2">
        <f>HYPERLINK("http://mcb-m6.bioreg.kyushu-u.ac.jp/M3/20110411/F50901/1376/1", 52.89)</f>
        <v>52.89</v>
      </c>
      <c r="E9867" s="2">
        <v>26.5</v>
      </c>
      <c r="F9867" s="2">
        <v>2</v>
      </c>
      <c r="G9867" s="2" t="s">
        <v>10</v>
      </c>
    </row>
    <row r="9868" spans="1:7" x14ac:dyDescent="0.2">
      <c r="A9868" s="2" t="s">
        <v>3319</v>
      </c>
      <c r="B9868" s="2" t="s">
        <v>1311</v>
      </c>
      <c r="C9868" s="2">
        <v>826.61609999999996</v>
      </c>
      <c r="D9868" s="2">
        <f>HYPERLINK("http://mcb-m6.bioreg.kyushu-u.ac.jp/M3/20110411/F50917/2468/1", 53.17)</f>
        <v>53.17</v>
      </c>
      <c r="E9868" s="2">
        <v>38.78</v>
      </c>
      <c r="F9868" s="2">
        <v>2</v>
      </c>
      <c r="G9868" s="2" t="s">
        <v>10</v>
      </c>
    </row>
    <row r="9869" spans="1:7" x14ac:dyDescent="0.2">
      <c r="A9869" s="2" t="s">
        <v>3319</v>
      </c>
      <c r="B9869" s="2" t="s">
        <v>1826</v>
      </c>
      <c r="C9869" s="2">
        <v>688.84860000000003</v>
      </c>
      <c r="D9869" s="2">
        <f>HYPERLINK("http://mcb-m6.bioreg.kyushu-u.ac.jp/M3/20110411/F50918/1581/1", 53.58)</f>
        <v>53.58</v>
      </c>
      <c r="E9869" s="2">
        <v>33.630000000000003</v>
      </c>
      <c r="F9869" s="2">
        <v>2</v>
      </c>
      <c r="G9869" s="2" t="s">
        <v>10</v>
      </c>
    </row>
    <row r="9870" spans="1:7" x14ac:dyDescent="0.2">
      <c r="A9870" s="2" t="s">
        <v>3319</v>
      </c>
      <c r="B9870" s="2" t="s">
        <v>987</v>
      </c>
      <c r="C9870" s="2">
        <v>752.99109999999996</v>
      </c>
      <c r="D9870" s="2">
        <f>HYPERLINK("http://mcb-m6.bioreg.kyushu-u.ac.jp/M3/20110411/F50918/1949/1", 54.67)</f>
        <v>54.67</v>
      </c>
      <c r="E9870" s="2">
        <v>31.91</v>
      </c>
      <c r="F9870" s="2">
        <v>2</v>
      </c>
      <c r="G9870" s="2" t="s">
        <v>10</v>
      </c>
    </row>
    <row r="9871" spans="1:7" x14ac:dyDescent="0.2">
      <c r="A9871" s="2" t="s">
        <v>3319</v>
      </c>
      <c r="B9871" s="2" t="s">
        <v>979</v>
      </c>
      <c r="C9871" s="2">
        <v>1216.675</v>
      </c>
      <c r="D9871" s="2">
        <f>HYPERLINK("http://mcb-m6.bioreg.kyushu-u.ac.jp/M3/20110411/F50918/1190/1", 55.92)</f>
        <v>55.92</v>
      </c>
      <c r="E9871" s="2">
        <v>27.66</v>
      </c>
      <c r="F9871" s="2">
        <v>1</v>
      </c>
      <c r="G9871" s="2" t="s">
        <v>10</v>
      </c>
    </row>
    <row r="9872" spans="1:7" x14ac:dyDescent="0.2">
      <c r="A9872" s="2" t="s">
        <v>3319</v>
      </c>
      <c r="B9872" s="2" t="s">
        <v>638</v>
      </c>
      <c r="C9872" s="2">
        <v>556.90560000000005</v>
      </c>
      <c r="D9872" s="2">
        <f>HYPERLINK("http://mcb-m6.bioreg.kyushu-u.ac.jp/M3/20110411/F50918/988/1", 59.37)</f>
        <v>59.37</v>
      </c>
      <c r="E9872" s="2">
        <v>34.380000000000003</v>
      </c>
      <c r="F9872" s="2">
        <v>2</v>
      </c>
      <c r="G9872" s="2" t="s">
        <v>10</v>
      </c>
    </row>
    <row r="9873" spans="1:9" x14ac:dyDescent="0.2">
      <c r="A9873" s="2" t="s">
        <v>3319</v>
      </c>
      <c r="B9873" s="2" t="s">
        <v>524</v>
      </c>
      <c r="C9873" s="2">
        <v>586.3972</v>
      </c>
      <c r="D9873" s="2">
        <f>HYPERLINK("http://mcb-m6.bioreg.kyushu-u.ac.jp/M3/20110411/F50918/1092/1", 59.67)</f>
        <v>59.67</v>
      </c>
      <c r="E9873" s="2">
        <v>28.92</v>
      </c>
      <c r="F9873" s="2">
        <v>2</v>
      </c>
      <c r="G9873" s="2" t="s">
        <v>10</v>
      </c>
    </row>
    <row r="9874" spans="1:9" x14ac:dyDescent="0.2">
      <c r="A9874" s="2" t="s">
        <v>3319</v>
      </c>
      <c r="B9874" s="2" t="s">
        <v>2017</v>
      </c>
      <c r="C9874" s="2">
        <v>1120.164</v>
      </c>
      <c r="D9874" s="2">
        <f>HYPERLINK("http://mcb-m6.bioreg.kyushu-u.ac.jp/M3/20110411/F50918/3421/1", 61.98)</f>
        <v>61.98</v>
      </c>
      <c r="E9874" s="2">
        <v>57.01</v>
      </c>
      <c r="F9874" s="2">
        <v>2</v>
      </c>
      <c r="G9874" s="2" t="s">
        <v>10</v>
      </c>
    </row>
    <row r="9875" spans="1:9" x14ac:dyDescent="0.2">
      <c r="A9875" s="2" t="s">
        <v>3319</v>
      </c>
      <c r="B9875" s="2" t="s">
        <v>1324</v>
      </c>
      <c r="C9875" s="2">
        <v>581.79319999999996</v>
      </c>
      <c r="D9875" s="2">
        <f>HYPERLINK("http://mcb-m6.bioreg.kyushu-u.ac.jp/M3/20110411/F50918/1074/1", 64.24)</f>
        <v>64.239999999999995</v>
      </c>
      <c r="E9875" s="2">
        <v>37.049999999999997</v>
      </c>
      <c r="F9875" s="2">
        <v>2</v>
      </c>
      <c r="G9875" s="2" t="s">
        <v>10</v>
      </c>
    </row>
    <row r="9876" spans="1:9" x14ac:dyDescent="0.2">
      <c r="A9876" s="2" t="s">
        <v>3319</v>
      </c>
      <c r="B9876" s="2" t="s">
        <v>1051</v>
      </c>
      <c r="C9876" s="2">
        <v>776.50019999999995</v>
      </c>
      <c r="D9876" s="2">
        <f>HYPERLINK("http://mcb-m6.bioreg.kyushu-u.ac.jp/M3/20110411/F50918/2050/1", 68.1)</f>
        <v>68.099999999999994</v>
      </c>
      <c r="E9876" s="2">
        <v>51.66</v>
      </c>
      <c r="F9876" s="2">
        <v>2</v>
      </c>
      <c r="G9876" s="2" t="s">
        <v>10</v>
      </c>
      <c r="H9876" s="2" t="s">
        <v>4908</v>
      </c>
    </row>
    <row r="9877" spans="1:9" x14ac:dyDescent="0.2">
      <c r="A9877" s="2" t="s">
        <v>3319</v>
      </c>
      <c r="B9877" s="2" t="s">
        <v>2070</v>
      </c>
      <c r="C9877" s="2">
        <v>714.5222</v>
      </c>
      <c r="D9877" s="2">
        <f>HYPERLINK("http://mcb-m6.bioreg.kyushu-u.ac.jp/M3/20110411/F50902/1920/1", 72.9)</f>
        <v>72.900000000000006</v>
      </c>
      <c r="E9877" s="2">
        <v>54.13</v>
      </c>
      <c r="F9877" s="2">
        <v>2</v>
      </c>
      <c r="G9877" s="2" t="s">
        <v>10</v>
      </c>
    </row>
    <row r="9878" spans="1:9" x14ac:dyDescent="0.2">
      <c r="A9878" s="2" t="s">
        <v>3319</v>
      </c>
      <c r="B9878" s="2" t="s">
        <v>1671</v>
      </c>
      <c r="C9878" s="2">
        <v>871.10820000000001</v>
      </c>
      <c r="D9878" s="2">
        <f>HYPERLINK("http://mcb-m6.bioreg.kyushu-u.ac.jp/M3/20110411/F50917/2735/1", 74.99)</f>
        <v>74.989999999999995</v>
      </c>
      <c r="E9878" s="2">
        <v>54.78</v>
      </c>
      <c r="F9878" s="2">
        <v>2</v>
      </c>
      <c r="G9878" s="2" t="s">
        <v>10</v>
      </c>
    </row>
    <row r="9879" spans="1:9" x14ac:dyDescent="0.2">
      <c r="A9879" s="2" t="s">
        <v>3319</v>
      </c>
      <c r="B9879" s="2" t="s">
        <v>1749</v>
      </c>
      <c r="C9879" s="2">
        <v>779.05110000000002</v>
      </c>
      <c r="D9879" s="2">
        <f>HYPERLINK("http://mcb-m6.bioreg.kyushu-u.ac.jp/M3/20110411/F50901/2218/1", 78.06)</f>
        <v>78.06</v>
      </c>
      <c r="E9879" s="2">
        <v>63.05</v>
      </c>
      <c r="F9879" s="2">
        <v>2</v>
      </c>
      <c r="G9879" s="2" t="s">
        <v>10</v>
      </c>
    </row>
    <row r="9880" spans="1:9" x14ac:dyDescent="0.2">
      <c r="A9880" s="2" t="s">
        <v>3319</v>
      </c>
      <c r="B9880" s="2" t="s">
        <v>2093</v>
      </c>
      <c r="C9880" s="2">
        <v>797.39009999999996</v>
      </c>
      <c r="D9880" s="2">
        <f>HYPERLINK("http://mcb-m6.bioreg.kyushu-u.ac.jp/M3/20110411/F50918/2164/1", 78.54)</f>
        <v>78.540000000000006</v>
      </c>
      <c r="E9880" s="2">
        <v>52.19</v>
      </c>
      <c r="F9880" s="2">
        <v>2</v>
      </c>
      <c r="G9880" s="2" t="s">
        <v>10</v>
      </c>
    </row>
    <row r="9881" spans="1:9" x14ac:dyDescent="0.2">
      <c r="A9881" s="2" t="s">
        <v>3319</v>
      </c>
      <c r="B9881" s="2" t="s">
        <v>1311</v>
      </c>
      <c r="C9881" s="2">
        <v>826.80359999999996</v>
      </c>
      <c r="D9881" s="2">
        <f>HYPERLINK("http://mcb-m6.bioreg.kyushu-u.ac.jp/M3/20110411/F50918/2296/1", 94.4)</f>
        <v>94.4</v>
      </c>
      <c r="E9881" s="2">
        <v>68.25</v>
      </c>
      <c r="F9881" s="2">
        <v>2</v>
      </c>
      <c r="G9881" s="2" t="s">
        <v>10</v>
      </c>
    </row>
    <row r="9882" spans="1:9" x14ac:dyDescent="0.2">
      <c r="A9882" s="2" t="s">
        <v>3319</v>
      </c>
      <c r="B9882" s="2" t="s">
        <v>104</v>
      </c>
      <c r="C9882" s="2">
        <v>782.41859999999997</v>
      </c>
      <c r="D9882" s="2">
        <f>HYPERLINK("http://mcb-m6.bioreg.kyushu-u.ac.jp/M3/20110411/F50917/2220/1", 103.82)</f>
        <v>103.82</v>
      </c>
      <c r="E9882" s="2">
        <v>89.11</v>
      </c>
      <c r="F9882" s="2">
        <v>2</v>
      </c>
      <c r="G9882" s="2" t="s">
        <v>10</v>
      </c>
    </row>
    <row r="9883" spans="1:9" x14ac:dyDescent="0.2">
      <c r="A9883" s="2" t="s">
        <v>3319</v>
      </c>
      <c r="B9883" s="2" t="s">
        <v>1749</v>
      </c>
      <c r="C9883" s="2">
        <v>778.44759999999997</v>
      </c>
      <c r="D9883" s="2">
        <f>HYPERLINK("http://mcb-m6.bioreg.kyushu-u.ac.jp/M3/20110411/F50918/2058/1", 105.2)</f>
        <v>105.2</v>
      </c>
      <c r="E9883" s="2">
        <v>76.45</v>
      </c>
      <c r="F9883" s="2">
        <v>2</v>
      </c>
      <c r="G9883" s="2" t="s">
        <v>10</v>
      </c>
    </row>
    <row r="9884" spans="1:9" x14ac:dyDescent="0.2">
      <c r="A9884" s="2" t="s">
        <v>3319</v>
      </c>
      <c r="B9884" s="2" t="s">
        <v>1671</v>
      </c>
      <c r="C9884" s="2">
        <v>871.04769999999996</v>
      </c>
      <c r="D9884" s="2">
        <f>HYPERLINK("http://mcb-m6.bioreg.kyushu-u.ac.jp/M3/20110411/F50918/2493/1", 121.11)</f>
        <v>121.11</v>
      </c>
      <c r="E9884" s="2">
        <v>95.31</v>
      </c>
      <c r="F9884" s="2">
        <v>2</v>
      </c>
      <c r="G9884" s="2" t="s">
        <v>10</v>
      </c>
    </row>
    <row r="9885" spans="1:9" x14ac:dyDescent="0.2">
      <c r="A9885" s="2" t="s">
        <v>3319</v>
      </c>
      <c r="B9885" s="2" t="s">
        <v>104</v>
      </c>
      <c r="C9885" s="2">
        <v>781.75959999999998</v>
      </c>
      <c r="D9885" s="2">
        <f>HYPERLINK("http://mcb-m6.bioreg.kyushu-u.ac.jp/M3/20110414/F50957/2165/1", 35.49)</f>
        <v>35.49</v>
      </c>
      <c r="E9885" s="2">
        <v>25.65</v>
      </c>
      <c r="F9885" s="2">
        <v>2</v>
      </c>
      <c r="G9885" s="2" t="s">
        <v>11</v>
      </c>
    </row>
    <row r="9886" spans="1:9" x14ac:dyDescent="0.2">
      <c r="A9886" s="2" t="s">
        <v>3319</v>
      </c>
      <c r="B9886" s="2" t="s">
        <v>2181</v>
      </c>
      <c r="C9886" s="2">
        <v>504.71559999999999</v>
      </c>
      <c r="D9886" s="2">
        <f>HYPERLINK("http://mcb-m6.bioreg.kyushu-u.ac.jp/M3/20110414/F50956/649/1", 36.1)</f>
        <v>36.1</v>
      </c>
      <c r="E9886" s="2">
        <v>20.78</v>
      </c>
      <c r="F9886" s="2">
        <v>2</v>
      </c>
      <c r="G9886" s="2" t="s">
        <v>11</v>
      </c>
      <c r="H9886" s="2" t="s">
        <v>4891</v>
      </c>
    </row>
    <row r="9887" spans="1:9" x14ac:dyDescent="0.2">
      <c r="A9887" s="2" t="s">
        <v>3319</v>
      </c>
      <c r="B9887" s="2" t="s">
        <v>2204</v>
      </c>
      <c r="C9887" s="2">
        <v>966.37400000000002</v>
      </c>
      <c r="D9887" s="2">
        <f>HYPERLINK("http://mcb-m6.bioreg.kyushu-u.ac.jp/M3/20110414/F50957/560/1", 37.01)</f>
        <v>37.01</v>
      </c>
      <c r="E9887" s="2">
        <v>14.86</v>
      </c>
      <c r="F9887" s="2">
        <v>1</v>
      </c>
      <c r="G9887" s="2" t="s">
        <v>11</v>
      </c>
      <c r="I9887" s="2" t="s">
        <v>4903</v>
      </c>
    </row>
    <row r="9888" spans="1:9" x14ac:dyDescent="0.2">
      <c r="A9888" s="2" t="s">
        <v>3319</v>
      </c>
      <c r="B9888" s="2" t="s">
        <v>2222</v>
      </c>
      <c r="C9888" s="2">
        <v>1049.412</v>
      </c>
      <c r="D9888" s="2">
        <f>HYPERLINK("http://mcb-m6.bioreg.kyushu-u.ac.jp/M3/20110414/F50957/693/1", 38.1)</f>
        <v>38.1</v>
      </c>
      <c r="E9888" s="2">
        <v>26.49</v>
      </c>
      <c r="F9888" s="2">
        <v>1</v>
      </c>
      <c r="G9888" s="2" t="s">
        <v>11</v>
      </c>
    </row>
    <row r="9889" spans="1:9" x14ac:dyDescent="0.2">
      <c r="A9889" s="2" t="s">
        <v>3319</v>
      </c>
      <c r="B9889" s="2" t="s">
        <v>987</v>
      </c>
      <c r="C9889" s="2">
        <v>753.2867</v>
      </c>
      <c r="D9889" s="2">
        <f>HYPERLINK("http://mcb-m6.bioreg.kyushu-u.ac.jp/M3/20110414/F50957/1978/1", 40.77)</f>
        <v>40.770000000000003</v>
      </c>
      <c r="E9889" s="2">
        <v>24.85</v>
      </c>
      <c r="F9889" s="2">
        <v>2</v>
      </c>
      <c r="G9889" s="2" t="s">
        <v>11</v>
      </c>
    </row>
    <row r="9890" spans="1:9" x14ac:dyDescent="0.2">
      <c r="A9890" s="2" t="s">
        <v>3319</v>
      </c>
      <c r="B9890" s="2" t="s">
        <v>1826</v>
      </c>
      <c r="C9890" s="2">
        <v>689.17570000000001</v>
      </c>
      <c r="D9890" s="2">
        <f>HYPERLINK("http://mcb-m6.bioreg.kyushu-u.ac.jp/M3/20110414/F50957/1540/1", 43.33)</f>
        <v>43.33</v>
      </c>
      <c r="E9890" s="2">
        <v>18.09</v>
      </c>
      <c r="F9890" s="2">
        <v>2</v>
      </c>
      <c r="G9890" s="2" t="s">
        <v>11</v>
      </c>
    </row>
    <row r="9891" spans="1:9" x14ac:dyDescent="0.2">
      <c r="A9891" s="2" t="s">
        <v>3319</v>
      </c>
      <c r="B9891" s="2" t="s">
        <v>987</v>
      </c>
      <c r="C9891" s="2">
        <v>752.69759999999997</v>
      </c>
      <c r="D9891" s="2">
        <f>HYPERLINK("http://mcb-m6.bioreg.kyushu-u.ac.jp/M3/20110414/F50957/1972/1", 47.59)</f>
        <v>47.59</v>
      </c>
      <c r="E9891" s="2">
        <v>27.77</v>
      </c>
      <c r="F9891" s="2">
        <v>2</v>
      </c>
      <c r="G9891" s="2" t="s">
        <v>11</v>
      </c>
    </row>
    <row r="9892" spans="1:9" x14ac:dyDescent="0.2">
      <c r="A9892" s="2" t="s">
        <v>3319</v>
      </c>
      <c r="B9892" s="2" t="s">
        <v>1324</v>
      </c>
      <c r="C9892" s="2">
        <v>581.66920000000005</v>
      </c>
      <c r="D9892" s="2">
        <f>HYPERLINK("http://mcb-m6.bioreg.kyushu-u.ac.jp/M3/20110414/F50957/899/1", 48.64)</f>
        <v>48.64</v>
      </c>
      <c r="E9892" s="2">
        <v>26.48</v>
      </c>
      <c r="F9892" s="2">
        <v>2</v>
      </c>
      <c r="G9892" s="2" t="s">
        <v>11</v>
      </c>
    </row>
    <row r="9893" spans="1:9" x14ac:dyDescent="0.2">
      <c r="A9893" s="2" t="s">
        <v>3319</v>
      </c>
      <c r="B9893" s="2" t="s">
        <v>104</v>
      </c>
      <c r="C9893" s="2">
        <v>781.86069999999995</v>
      </c>
      <c r="D9893" s="2">
        <f>HYPERLINK("http://mcb-m6.bioreg.kyushu-u.ac.jp/M3/20110414/F50957/2169/1", 50.37)</f>
        <v>50.37</v>
      </c>
      <c r="E9893" s="2">
        <v>28.1</v>
      </c>
      <c r="F9893" s="2">
        <v>2</v>
      </c>
      <c r="G9893" s="2" t="s">
        <v>11</v>
      </c>
    </row>
    <row r="9894" spans="1:9" x14ac:dyDescent="0.2">
      <c r="A9894" s="2" t="s">
        <v>3319</v>
      </c>
      <c r="B9894" s="2" t="s">
        <v>566</v>
      </c>
      <c r="C9894" s="2">
        <v>1058.3699999999999</v>
      </c>
      <c r="D9894" s="2">
        <f>HYPERLINK("http://mcb-m6.bioreg.kyushu-u.ac.jp/M3/20110414/F50957/716/1", 51.59)</f>
        <v>51.59</v>
      </c>
      <c r="E9894" s="2">
        <v>17.78</v>
      </c>
      <c r="F9894" s="2">
        <v>1</v>
      </c>
      <c r="G9894" s="2" t="s">
        <v>11</v>
      </c>
    </row>
    <row r="9895" spans="1:9" x14ac:dyDescent="0.2">
      <c r="A9895" s="2" t="s">
        <v>3319</v>
      </c>
      <c r="B9895" s="2" t="s">
        <v>1909</v>
      </c>
      <c r="C9895" s="2">
        <v>870.22019999999998</v>
      </c>
      <c r="D9895" s="2">
        <f>HYPERLINK("http://mcb-m6.bioreg.kyushu-u.ac.jp/M3/20110414/F50957/2721/1", 53.53)</f>
        <v>53.53</v>
      </c>
      <c r="E9895" s="2">
        <v>37.049999999999997</v>
      </c>
      <c r="F9895" s="2">
        <v>2</v>
      </c>
      <c r="G9895" s="2" t="s">
        <v>11</v>
      </c>
    </row>
    <row r="9896" spans="1:9" x14ac:dyDescent="0.2">
      <c r="A9896" s="2" t="s">
        <v>3319</v>
      </c>
      <c r="B9896" s="2" t="s">
        <v>104</v>
      </c>
      <c r="C9896" s="2">
        <v>782.19320000000005</v>
      </c>
      <c r="D9896" s="2">
        <f>HYPERLINK("http://mcb-m6.bioreg.kyushu-u.ac.jp/M3/20110414/F50957/2171/1", 53.61)</f>
        <v>53.61</v>
      </c>
      <c r="E9896" s="2">
        <v>39.630000000000003</v>
      </c>
      <c r="F9896" s="2">
        <v>2</v>
      </c>
      <c r="G9896" s="2" t="s">
        <v>11</v>
      </c>
    </row>
    <row r="9897" spans="1:9" x14ac:dyDescent="0.2">
      <c r="A9897" s="2" t="s">
        <v>3319</v>
      </c>
      <c r="B9897" s="2" t="s">
        <v>2392</v>
      </c>
      <c r="C9897" s="2">
        <v>897.78269999999998</v>
      </c>
      <c r="D9897" s="2">
        <f>HYPERLINK("http://mcb-m6.bioreg.kyushu-u.ac.jp/M3/20110414/F50957/2889/1", 53.79)</f>
        <v>53.79</v>
      </c>
      <c r="E9897" s="2">
        <v>35.85</v>
      </c>
      <c r="F9897" s="2">
        <v>2</v>
      </c>
      <c r="G9897" s="2" t="s">
        <v>11</v>
      </c>
      <c r="I9897" s="2" t="s">
        <v>4895</v>
      </c>
    </row>
    <row r="9898" spans="1:9" x14ac:dyDescent="0.2">
      <c r="A9898" s="2" t="s">
        <v>3319</v>
      </c>
      <c r="B9898" s="2" t="s">
        <v>104</v>
      </c>
      <c r="C9898" s="2">
        <v>782.22810000000004</v>
      </c>
      <c r="D9898" s="2">
        <f>HYPERLINK("http://mcb-m6.bioreg.kyushu-u.ac.jp/M3/20110414/F50943/2148/1", 54.45)</f>
        <v>54.45</v>
      </c>
      <c r="E9898" s="2">
        <v>33.67</v>
      </c>
      <c r="F9898" s="2">
        <v>2</v>
      </c>
      <c r="G9898" s="2" t="s">
        <v>11</v>
      </c>
    </row>
    <row r="9899" spans="1:9" x14ac:dyDescent="0.2">
      <c r="A9899" s="2" t="s">
        <v>3319</v>
      </c>
      <c r="B9899" s="2" t="s">
        <v>979</v>
      </c>
      <c r="C9899" s="2">
        <v>1216.412</v>
      </c>
      <c r="D9899" s="2">
        <f>HYPERLINK("http://mcb-m6.bioreg.kyushu-u.ac.jp/M3/20110414/F50957/1035/1", 57.25)</f>
        <v>57.25</v>
      </c>
      <c r="E9899" s="2">
        <v>29.08</v>
      </c>
      <c r="F9899" s="2">
        <v>1</v>
      </c>
      <c r="G9899" s="2" t="s">
        <v>11</v>
      </c>
    </row>
    <row r="9900" spans="1:9" x14ac:dyDescent="0.2">
      <c r="A9900" s="2" t="s">
        <v>3319</v>
      </c>
      <c r="B9900" s="2" t="s">
        <v>524</v>
      </c>
      <c r="C9900" s="2">
        <v>586.17769999999996</v>
      </c>
      <c r="D9900" s="2">
        <f>HYPERLINK("http://mcb-m6.bioreg.kyushu-u.ac.jp/M3/20110414/F50957/917/1", 57.99)</f>
        <v>57.99</v>
      </c>
      <c r="E9900" s="2">
        <v>36.590000000000003</v>
      </c>
      <c r="F9900" s="2">
        <v>2</v>
      </c>
      <c r="G9900" s="2" t="s">
        <v>11</v>
      </c>
    </row>
    <row r="9901" spans="1:9" x14ac:dyDescent="0.2">
      <c r="A9901" s="2" t="s">
        <v>3319</v>
      </c>
      <c r="B9901" s="2" t="s">
        <v>1311</v>
      </c>
      <c r="C9901" s="2">
        <v>826.48419999999999</v>
      </c>
      <c r="D9901" s="2">
        <f>HYPERLINK("http://mcb-m6.bioreg.kyushu-u.ac.jp/M3/20110414/F50957/2444/1", 60.37)</f>
        <v>60.37</v>
      </c>
      <c r="E9901" s="2">
        <v>42.3</v>
      </c>
      <c r="F9901" s="2">
        <v>2</v>
      </c>
      <c r="G9901" s="2" t="s">
        <v>11</v>
      </c>
    </row>
    <row r="9902" spans="1:9" x14ac:dyDescent="0.2">
      <c r="A9902" s="2" t="s">
        <v>3319</v>
      </c>
      <c r="B9902" s="2" t="s">
        <v>638</v>
      </c>
      <c r="C9902" s="2">
        <v>556.62459999999999</v>
      </c>
      <c r="D9902" s="2">
        <f>HYPERLINK("http://mcb-m6.bioreg.kyushu-u.ac.jp/M3/20110414/F50957/803/1", 62.97)</f>
        <v>62.97</v>
      </c>
      <c r="E9902" s="2">
        <v>30.14</v>
      </c>
      <c r="F9902" s="2">
        <v>2</v>
      </c>
      <c r="G9902" s="2" t="s">
        <v>11</v>
      </c>
    </row>
    <row r="9903" spans="1:9" x14ac:dyDescent="0.2">
      <c r="A9903" s="2" t="s">
        <v>3319</v>
      </c>
      <c r="B9903" s="2" t="s">
        <v>104</v>
      </c>
      <c r="C9903" s="2">
        <v>782.31569999999999</v>
      </c>
      <c r="D9903" s="2">
        <f>HYPERLINK("http://mcb-m6.bioreg.kyushu-u.ac.jp/M3/20110414/F50956/2244/1", 68.13)</f>
        <v>68.13</v>
      </c>
      <c r="E9903" s="2">
        <v>55.36</v>
      </c>
      <c r="F9903" s="2">
        <v>2</v>
      </c>
      <c r="G9903" s="2" t="s">
        <v>11</v>
      </c>
    </row>
    <row r="9904" spans="1:9" x14ac:dyDescent="0.2">
      <c r="A9904" s="2" t="s">
        <v>3319</v>
      </c>
      <c r="B9904" s="2" t="s">
        <v>2070</v>
      </c>
      <c r="C9904" s="2">
        <v>714.32069999999999</v>
      </c>
      <c r="D9904" s="2">
        <f>HYPERLINK("http://mcb-m6.bioreg.kyushu-u.ac.jp/M3/20110414/F50957/1711/1", 79.38)</f>
        <v>79.38</v>
      </c>
      <c r="E9904" s="2">
        <v>59.96</v>
      </c>
      <c r="F9904" s="2">
        <v>2</v>
      </c>
      <c r="G9904" s="2" t="s">
        <v>11</v>
      </c>
    </row>
    <row r="9905" spans="1:9" x14ac:dyDescent="0.2">
      <c r="A9905" s="2" t="s">
        <v>3319</v>
      </c>
      <c r="B9905" s="2" t="s">
        <v>2505</v>
      </c>
      <c r="C9905" s="2">
        <v>864.22059999999999</v>
      </c>
      <c r="D9905" s="2">
        <f>HYPERLINK("http://mcb-m6.bioreg.kyushu-u.ac.jp/M3/20110414/F50957/2684/1", 90.67)</f>
        <v>90.67</v>
      </c>
      <c r="E9905" s="2">
        <v>79.819999999999993</v>
      </c>
      <c r="F9905" s="2">
        <v>2</v>
      </c>
      <c r="G9905" s="2" t="s">
        <v>11</v>
      </c>
      <c r="I9905" s="2" t="s">
        <v>4918</v>
      </c>
    </row>
    <row r="9906" spans="1:9" x14ac:dyDescent="0.2">
      <c r="A9906" s="2" t="s">
        <v>3319</v>
      </c>
      <c r="B9906" s="2" t="s">
        <v>104</v>
      </c>
      <c r="C9906" s="2">
        <v>782.25210000000004</v>
      </c>
      <c r="D9906" s="2">
        <f>HYPERLINK("http://mcb-m6.bioreg.kyushu-u.ac.jp/M3/20110414/F50957/2173/1", 99.89)</f>
        <v>99.89</v>
      </c>
      <c r="E9906" s="2">
        <v>86.23</v>
      </c>
      <c r="F9906" s="2">
        <v>2</v>
      </c>
      <c r="G9906" s="2" t="s">
        <v>11</v>
      </c>
    </row>
    <row r="9907" spans="1:9" x14ac:dyDescent="0.2">
      <c r="A9907" s="2" t="s">
        <v>3319</v>
      </c>
      <c r="B9907" s="2" t="s">
        <v>1749</v>
      </c>
      <c r="C9907" s="2">
        <v>778.28719999999998</v>
      </c>
      <c r="D9907" s="2">
        <f>HYPERLINK("http://mcb-m6.bioreg.kyushu-u.ac.jp/M3/20110414/F50957/2133/1", 105.65)</f>
        <v>105.65</v>
      </c>
      <c r="E9907" s="2">
        <v>81.83</v>
      </c>
      <c r="F9907" s="2">
        <v>2</v>
      </c>
      <c r="G9907" s="2" t="s">
        <v>11</v>
      </c>
    </row>
    <row r="9908" spans="1:9" x14ac:dyDescent="0.2">
      <c r="A9908" s="2" t="s">
        <v>3319</v>
      </c>
      <c r="B9908" s="2" t="s">
        <v>1909</v>
      </c>
      <c r="C9908" s="2">
        <v>869.77560000000005</v>
      </c>
      <c r="D9908" s="2">
        <f>HYPERLINK("http://mcb-m6.bioreg.kyushu-u.ac.jp/M3/20110414/F50957/2719/1", 113.4)</f>
        <v>113.4</v>
      </c>
      <c r="E9908" s="2">
        <v>91.72</v>
      </c>
      <c r="F9908" s="2">
        <v>2</v>
      </c>
      <c r="G9908" s="2" t="s">
        <v>11</v>
      </c>
    </row>
    <row r="9909" spans="1:9" x14ac:dyDescent="0.2">
      <c r="A9909" s="2" t="s">
        <v>3319</v>
      </c>
      <c r="B9909" s="2" t="s">
        <v>2523</v>
      </c>
      <c r="C9909" s="2">
        <v>762.23149999999998</v>
      </c>
      <c r="D9909" s="2">
        <f>HYPERLINK("http://mcb-m6.bioreg.kyushu-u.ac.jp/M3/20110414/F50959/4144/1", 35.46)</f>
        <v>35.46</v>
      </c>
      <c r="E9909" s="2">
        <v>20.71</v>
      </c>
      <c r="F9909" s="2">
        <v>3</v>
      </c>
      <c r="G9909" s="2" t="s">
        <v>12</v>
      </c>
      <c r="I9909" s="2" t="s">
        <v>4968</v>
      </c>
    </row>
    <row r="9910" spans="1:9" x14ac:dyDescent="0.2">
      <c r="A9910" s="2" t="s">
        <v>3319</v>
      </c>
      <c r="B9910" s="2" t="s">
        <v>2526</v>
      </c>
      <c r="C9910" s="2">
        <v>704.30409999999995</v>
      </c>
      <c r="D9910" s="2">
        <f>HYPERLINK("http://mcb-m6.bioreg.kyushu-u.ac.jp/M3/20110414/F50959/1616/1", 35.7)</f>
        <v>35.700000000000003</v>
      </c>
      <c r="E9910" s="2">
        <v>21.93</v>
      </c>
      <c r="F9910" s="2">
        <v>2</v>
      </c>
      <c r="G9910" s="2" t="s">
        <v>12</v>
      </c>
    </row>
    <row r="9911" spans="1:9" x14ac:dyDescent="0.2">
      <c r="A9911" s="2" t="s">
        <v>3319</v>
      </c>
      <c r="B9911" s="2" t="s">
        <v>104</v>
      </c>
      <c r="C9911" s="2">
        <v>781.85720000000003</v>
      </c>
      <c r="D9911" s="2">
        <f>HYPERLINK("http://mcb-m6.bioreg.kyushu-u.ac.jp/M3/20110414/F50959/2168/1", 36.6)</f>
        <v>36.6</v>
      </c>
      <c r="E9911" s="2">
        <v>28.91</v>
      </c>
      <c r="F9911" s="2">
        <v>2</v>
      </c>
      <c r="G9911" s="2" t="s">
        <v>12</v>
      </c>
    </row>
    <row r="9912" spans="1:9" x14ac:dyDescent="0.2">
      <c r="A9912" s="2" t="s">
        <v>3319</v>
      </c>
      <c r="B9912" s="2" t="s">
        <v>2544</v>
      </c>
      <c r="C9912" s="2">
        <v>695.63670000000002</v>
      </c>
      <c r="D9912" s="2">
        <f>HYPERLINK("http://mcb-m6.bioreg.kyushu-u.ac.jp/M3/20110414/F50950/1886/1", 36.92)</f>
        <v>36.92</v>
      </c>
      <c r="E9912" s="2">
        <v>18.28</v>
      </c>
      <c r="F9912" s="2">
        <v>2</v>
      </c>
      <c r="G9912" s="2" t="s">
        <v>12</v>
      </c>
      <c r="I9912" s="2" t="s">
        <v>4903</v>
      </c>
    </row>
    <row r="9913" spans="1:9" x14ac:dyDescent="0.2">
      <c r="A9913" s="2" t="s">
        <v>3319</v>
      </c>
      <c r="B9913" s="2" t="s">
        <v>1749</v>
      </c>
      <c r="C9913" s="2">
        <v>778.68269999999995</v>
      </c>
      <c r="D9913" s="2">
        <f>HYPERLINK("http://mcb-m6.bioreg.kyushu-u.ac.jp/M3/20110414/F50963/2049/1", 37.61)</f>
        <v>37.61</v>
      </c>
      <c r="E9913" s="2">
        <v>30.47</v>
      </c>
      <c r="F9913" s="2">
        <v>2</v>
      </c>
      <c r="G9913" s="2" t="s">
        <v>12</v>
      </c>
    </row>
    <row r="9914" spans="1:9" x14ac:dyDescent="0.2">
      <c r="A9914" s="2" t="s">
        <v>3319</v>
      </c>
      <c r="B9914" s="2" t="s">
        <v>104</v>
      </c>
      <c r="C9914" s="2">
        <v>782.32709999999997</v>
      </c>
      <c r="D9914" s="2">
        <f>HYPERLINK("http://mcb-m6.bioreg.kyushu-u.ac.jp/M3/20110414/F50959/2174/1", 38.67)</f>
        <v>38.67</v>
      </c>
      <c r="E9914" s="2">
        <v>29.61</v>
      </c>
      <c r="F9914" s="2">
        <v>2</v>
      </c>
      <c r="G9914" s="2" t="s">
        <v>12</v>
      </c>
    </row>
    <row r="9915" spans="1:9" x14ac:dyDescent="0.2">
      <c r="A9915" s="2" t="s">
        <v>3319</v>
      </c>
      <c r="B9915" s="2" t="s">
        <v>2609</v>
      </c>
      <c r="C9915" s="2">
        <v>1260.4359999999999</v>
      </c>
      <c r="D9915" s="2">
        <f>HYPERLINK("http://mcb-m6.bioreg.kyushu-u.ac.jp/M3/20110414/F50959/1156/1", 42.16)</f>
        <v>42.16</v>
      </c>
      <c r="E9915" s="2">
        <v>20.420000000000002</v>
      </c>
      <c r="F9915" s="2">
        <v>1</v>
      </c>
      <c r="G9915" s="2" t="s">
        <v>12</v>
      </c>
      <c r="I9915" s="2" t="s">
        <v>4892</v>
      </c>
    </row>
    <row r="9916" spans="1:9" x14ac:dyDescent="0.2">
      <c r="A9916" s="2" t="s">
        <v>3319</v>
      </c>
      <c r="B9916" s="2" t="s">
        <v>1909</v>
      </c>
      <c r="C9916" s="2">
        <v>870.27120000000002</v>
      </c>
      <c r="D9916" s="2">
        <f>HYPERLINK("http://mcb-m6.bioreg.kyushu-u.ac.jp/M3/20110414/F50958/2914/1", 42.64)</f>
        <v>42.64</v>
      </c>
      <c r="E9916" s="2">
        <v>29.45</v>
      </c>
      <c r="F9916" s="2">
        <v>2</v>
      </c>
      <c r="G9916" s="2" t="s">
        <v>12</v>
      </c>
    </row>
    <row r="9917" spans="1:9" x14ac:dyDescent="0.2">
      <c r="A9917" s="2" t="s">
        <v>3319</v>
      </c>
      <c r="B9917" s="2" t="s">
        <v>2181</v>
      </c>
      <c r="C9917" s="2">
        <v>504.5496</v>
      </c>
      <c r="D9917" s="2">
        <f>HYPERLINK("http://mcb-m6.bioreg.kyushu-u.ac.jp/M3/20110414/F50958/637/1", 43.11)</f>
        <v>43.11</v>
      </c>
      <c r="E9917" s="2">
        <v>20.03</v>
      </c>
      <c r="F9917" s="2">
        <v>2</v>
      </c>
      <c r="G9917" s="2" t="s">
        <v>12</v>
      </c>
      <c r="H9917" s="2" t="s">
        <v>4891</v>
      </c>
    </row>
    <row r="9918" spans="1:9" x14ac:dyDescent="0.2">
      <c r="A9918" s="2" t="s">
        <v>3319</v>
      </c>
      <c r="B9918" s="2" t="s">
        <v>2392</v>
      </c>
      <c r="C9918" s="2">
        <v>598.98689999999999</v>
      </c>
      <c r="D9918" s="2">
        <f>HYPERLINK("http://mcb-m6.bioreg.kyushu-u.ac.jp/M3/20110414/F50959/2970/1", 45.18)</f>
        <v>45.18</v>
      </c>
      <c r="E9918" s="2">
        <v>27.57</v>
      </c>
      <c r="F9918" s="2">
        <v>3</v>
      </c>
      <c r="G9918" s="2" t="s">
        <v>12</v>
      </c>
      <c r="I9918" s="2" t="s">
        <v>4895</v>
      </c>
    </row>
    <row r="9919" spans="1:9" x14ac:dyDescent="0.2">
      <c r="A9919" s="2" t="s">
        <v>3319</v>
      </c>
      <c r="B9919" s="2" t="s">
        <v>1420</v>
      </c>
      <c r="C9919" s="2">
        <v>1108.5530000000001</v>
      </c>
      <c r="D9919" s="2">
        <f>HYPERLINK("http://mcb-m6.bioreg.kyushu-u.ac.jp/M3/20110414/F50959/746/1", 46.53)</f>
        <v>46.53</v>
      </c>
      <c r="E9919" s="2">
        <v>10.98</v>
      </c>
      <c r="F9919" s="2">
        <v>1</v>
      </c>
      <c r="G9919" s="2" t="s">
        <v>12</v>
      </c>
    </row>
    <row r="9920" spans="1:9" x14ac:dyDescent="0.2">
      <c r="A9920" s="2" t="s">
        <v>3319</v>
      </c>
      <c r="B9920" s="2" t="s">
        <v>566</v>
      </c>
      <c r="C9920" s="2">
        <v>1058.3620000000001</v>
      </c>
      <c r="D9920" s="2">
        <f>HYPERLINK("http://mcb-m6.bioreg.kyushu-u.ac.jp/M3/20110414/F50959/650/1", 47.29)</f>
        <v>47.29</v>
      </c>
      <c r="E9920" s="2">
        <v>13.92</v>
      </c>
      <c r="F9920" s="2">
        <v>1</v>
      </c>
      <c r="G9920" s="2" t="s">
        <v>12</v>
      </c>
    </row>
    <row r="9921" spans="1:9" x14ac:dyDescent="0.2">
      <c r="A9921" s="2" t="s">
        <v>3319</v>
      </c>
      <c r="B9921" s="2" t="s">
        <v>1671</v>
      </c>
      <c r="C9921" s="2">
        <v>871.0607</v>
      </c>
      <c r="D9921" s="2">
        <f>HYPERLINK("http://mcb-m6.bioreg.kyushu-u.ac.jp/M3/20110414/F50959/2801/1", 47.71)</f>
        <v>47.71</v>
      </c>
      <c r="E9921" s="2">
        <v>39.590000000000003</v>
      </c>
      <c r="F9921" s="2">
        <v>2</v>
      </c>
      <c r="G9921" s="2" t="s">
        <v>12</v>
      </c>
    </row>
    <row r="9922" spans="1:9" x14ac:dyDescent="0.2">
      <c r="A9922" s="2" t="s">
        <v>3319</v>
      </c>
      <c r="B9922" s="2" t="s">
        <v>2093</v>
      </c>
      <c r="C9922" s="2">
        <v>797.28920000000005</v>
      </c>
      <c r="D9922" s="2">
        <f>HYPERLINK("http://mcb-m6.bioreg.kyushu-u.ac.jp/M3/20110414/F50959/2278/1", 49.13)</f>
        <v>49.13</v>
      </c>
      <c r="E9922" s="2">
        <v>32.770000000000003</v>
      </c>
      <c r="F9922" s="2">
        <v>2</v>
      </c>
      <c r="G9922" s="2" t="s">
        <v>12</v>
      </c>
    </row>
    <row r="9923" spans="1:9" x14ac:dyDescent="0.2">
      <c r="A9923" s="2" t="s">
        <v>3319</v>
      </c>
      <c r="B9923" s="2" t="s">
        <v>2017</v>
      </c>
      <c r="C9923" s="2">
        <v>746.84649999999999</v>
      </c>
      <c r="D9923" s="2">
        <f>HYPERLINK("http://mcb-m6.bioreg.kyushu-u.ac.jp/M3/20110414/F50959/4079/1", 49.57)</f>
        <v>49.57</v>
      </c>
      <c r="E9923" s="2">
        <v>36.799999999999997</v>
      </c>
      <c r="F9923" s="2">
        <v>3</v>
      </c>
      <c r="G9923" s="2" t="s">
        <v>12</v>
      </c>
    </row>
    <row r="9924" spans="1:9" x14ac:dyDescent="0.2">
      <c r="A9924" s="2" t="s">
        <v>3319</v>
      </c>
      <c r="B9924" s="2" t="s">
        <v>104</v>
      </c>
      <c r="C9924" s="2">
        <v>782.01319999999998</v>
      </c>
      <c r="D9924" s="2">
        <f>HYPERLINK("http://mcb-m6.bioreg.kyushu-u.ac.jp/M3/20110414/F50950/2400/1", 53.74)</f>
        <v>53.74</v>
      </c>
      <c r="E9924" s="2">
        <v>44.97</v>
      </c>
      <c r="F9924" s="2">
        <v>2</v>
      </c>
      <c r="G9924" s="2" t="s">
        <v>12</v>
      </c>
    </row>
    <row r="9925" spans="1:9" x14ac:dyDescent="0.2">
      <c r="A9925" s="2" t="s">
        <v>3319</v>
      </c>
      <c r="B9925" s="2" t="s">
        <v>1280</v>
      </c>
      <c r="C9925" s="2">
        <v>623.69269999999995</v>
      </c>
      <c r="D9925" s="2">
        <f>HYPERLINK("http://mcb-m6.bioreg.kyushu-u.ac.jp/M3/20110414/F50959/1106/1", 53.86)</f>
        <v>53.86</v>
      </c>
      <c r="E9925" s="2">
        <v>35.11</v>
      </c>
      <c r="F9925" s="2">
        <v>2</v>
      </c>
      <c r="G9925" s="2" t="s">
        <v>12</v>
      </c>
    </row>
    <row r="9926" spans="1:9" x14ac:dyDescent="0.2">
      <c r="A9926" s="2" t="s">
        <v>3319</v>
      </c>
      <c r="B9926" s="2" t="s">
        <v>566</v>
      </c>
      <c r="C9926" s="2">
        <v>530.21310000000005</v>
      </c>
      <c r="D9926" s="2">
        <f>HYPERLINK("http://mcb-m6.bioreg.kyushu-u.ac.jp/M3/20110414/F50959/654/1", 55.32)</f>
        <v>55.32</v>
      </c>
      <c r="E9926" s="2">
        <v>17.98</v>
      </c>
      <c r="F9926" s="2">
        <v>2</v>
      </c>
      <c r="G9926" s="2" t="s">
        <v>12</v>
      </c>
    </row>
    <row r="9927" spans="1:9" x14ac:dyDescent="0.2">
      <c r="A9927" s="2" t="s">
        <v>3319</v>
      </c>
      <c r="B9927" s="2" t="s">
        <v>2070</v>
      </c>
      <c r="C9927" s="2">
        <v>714.27120000000002</v>
      </c>
      <c r="D9927" s="2">
        <f>HYPERLINK("http://mcb-m6.bioreg.kyushu-u.ac.jp/M3/20110414/F50958/1800/1", 56.24)</f>
        <v>56.24</v>
      </c>
      <c r="E9927" s="2">
        <v>39</v>
      </c>
      <c r="F9927" s="2">
        <v>2</v>
      </c>
      <c r="G9927" s="2" t="s">
        <v>12</v>
      </c>
    </row>
    <row r="9928" spans="1:9" x14ac:dyDescent="0.2">
      <c r="A9928" s="2" t="s">
        <v>3319</v>
      </c>
      <c r="B9928" s="2" t="s">
        <v>2222</v>
      </c>
      <c r="C9928" s="2">
        <v>525.74720000000002</v>
      </c>
      <c r="D9928" s="2">
        <f>HYPERLINK("http://mcb-m6.bioreg.kyushu-u.ac.jp/M3/20110414/F50959/634/1", 56.67)</f>
        <v>56.67</v>
      </c>
      <c r="E9928" s="2">
        <v>37.770000000000003</v>
      </c>
      <c r="F9928" s="2">
        <v>2</v>
      </c>
      <c r="G9928" s="2" t="s">
        <v>12</v>
      </c>
    </row>
    <row r="9929" spans="1:9" x14ac:dyDescent="0.2">
      <c r="A9929" s="2" t="s">
        <v>3319</v>
      </c>
      <c r="B9929" s="2" t="s">
        <v>987</v>
      </c>
      <c r="C9929" s="2">
        <v>752.90009999999995</v>
      </c>
      <c r="D9929" s="2">
        <f>HYPERLINK("http://mcb-m6.bioreg.kyushu-u.ac.jp/M3/20110414/F50959/1960/1", 56.82)</f>
        <v>56.82</v>
      </c>
      <c r="E9929" s="2">
        <v>32.01</v>
      </c>
      <c r="F9929" s="2">
        <v>2</v>
      </c>
      <c r="G9929" s="2" t="s">
        <v>12</v>
      </c>
    </row>
    <row r="9930" spans="1:9" x14ac:dyDescent="0.2">
      <c r="A9930" s="2" t="s">
        <v>3319</v>
      </c>
      <c r="B9930" s="2" t="s">
        <v>1929</v>
      </c>
      <c r="C9930" s="2">
        <v>696.31960000000004</v>
      </c>
      <c r="D9930" s="2">
        <f>HYPERLINK("http://mcb-m6.bioreg.kyushu-u.ac.jp/M3/20110414/F50959/1575/1", 56.95)</f>
        <v>56.95</v>
      </c>
      <c r="E9930" s="2">
        <v>37.729999999999997</v>
      </c>
      <c r="F9930" s="2">
        <v>2</v>
      </c>
      <c r="G9930" s="2" t="s">
        <v>12</v>
      </c>
    </row>
    <row r="9931" spans="1:9" x14ac:dyDescent="0.2">
      <c r="A9931" s="2" t="s">
        <v>3319</v>
      </c>
      <c r="B9931" s="2" t="s">
        <v>2392</v>
      </c>
      <c r="C9931" s="2">
        <v>897.29359999999997</v>
      </c>
      <c r="D9931" s="2">
        <f>HYPERLINK("http://mcb-m6.bioreg.kyushu-u.ac.jp/M3/20110414/F50959/2962/1", 57.75)</f>
        <v>57.75</v>
      </c>
      <c r="E9931" s="2">
        <v>39.43</v>
      </c>
      <c r="F9931" s="2">
        <v>2</v>
      </c>
      <c r="G9931" s="2" t="s">
        <v>12</v>
      </c>
      <c r="I9931" s="2" t="s">
        <v>4895</v>
      </c>
    </row>
    <row r="9932" spans="1:9" x14ac:dyDescent="0.2">
      <c r="A9932" s="2" t="s">
        <v>3319</v>
      </c>
      <c r="B9932" s="2" t="s">
        <v>638</v>
      </c>
      <c r="C9932" s="2">
        <v>556.72860000000003</v>
      </c>
      <c r="D9932" s="2">
        <f>HYPERLINK("http://mcb-m6.bioreg.kyushu-u.ac.jp/M3/20110414/F50959/755/1", 57.79)</f>
        <v>57.79</v>
      </c>
      <c r="E9932" s="2">
        <v>25.32</v>
      </c>
      <c r="F9932" s="2">
        <v>2</v>
      </c>
      <c r="G9932" s="2" t="s">
        <v>12</v>
      </c>
    </row>
    <row r="9933" spans="1:9" x14ac:dyDescent="0.2">
      <c r="A9933" s="2" t="s">
        <v>3319</v>
      </c>
      <c r="B9933" s="2" t="s">
        <v>104</v>
      </c>
      <c r="C9933" s="2">
        <v>781.63319999999999</v>
      </c>
      <c r="D9933" s="2">
        <f>HYPERLINK("http://mcb-m6.bioreg.kyushu-u.ac.jp/M3/20110414/F50959/2162/1", 59.62)</f>
        <v>59.62</v>
      </c>
      <c r="E9933" s="2">
        <v>47.86</v>
      </c>
      <c r="F9933" s="2">
        <v>2</v>
      </c>
      <c r="G9933" s="2" t="s">
        <v>12</v>
      </c>
    </row>
    <row r="9934" spans="1:9" x14ac:dyDescent="0.2">
      <c r="A9934" s="2" t="s">
        <v>3319</v>
      </c>
      <c r="B9934" s="2" t="s">
        <v>1909</v>
      </c>
      <c r="C9934" s="2">
        <v>870.26210000000003</v>
      </c>
      <c r="D9934" s="2">
        <f>HYPERLINK("http://mcb-m6.bioreg.kyushu-u.ac.jp/M3/20110414/F50963/2405/1", 60.22)</f>
        <v>60.22</v>
      </c>
      <c r="E9934" s="2">
        <v>42.49</v>
      </c>
      <c r="F9934" s="2">
        <v>2</v>
      </c>
      <c r="G9934" s="2" t="s">
        <v>12</v>
      </c>
    </row>
    <row r="9935" spans="1:9" x14ac:dyDescent="0.2">
      <c r="A9935" s="2" t="s">
        <v>3319</v>
      </c>
      <c r="B9935" s="2" t="s">
        <v>979</v>
      </c>
      <c r="C9935" s="2">
        <v>1216.501</v>
      </c>
      <c r="D9935" s="2">
        <f>HYPERLINK("http://mcb-m6.bioreg.kyushu-u.ac.jp/M3/20110414/F50959/1019/1", 60.92)</f>
        <v>60.92</v>
      </c>
      <c r="E9935" s="2">
        <v>32.28</v>
      </c>
      <c r="F9935" s="2">
        <v>1</v>
      </c>
      <c r="G9935" s="2" t="s">
        <v>12</v>
      </c>
    </row>
    <row r="9936" spans="1:9" x14ac:dyDescent="0.2">
      <c r="A9936" s="2" t="s">
        <v>3319</v>
      </c>
      <c r="B9936" s="2" t="s">
        <v>1749</v>
      </c>
      <c r="C9936" s="2">
        <v>778.84469999999999</v>
      </c>
      <c r="D9936" s="2">
        <f>HYPERLINK("http://mcb-m6.bioreg.kyushu-u.ac.jp/M3/20110414/F50959/2135/1", 61.89)</f>
        <v>61.89</v>
      </c>
      <c r="E9936" s="2">
        <v>42.1</v>
      </c>
      <c r="F9936" s="2">
        <v>2</v>
      </c>
      <c r="G9936" s="2" t="s">
        <v>12</v>
      </c>
    </row>
    <row r="9937" spans="1:9" x14ac:dyDescent="0.2">
      <c r="A9937" s="2" t="s">
        <v>3319</v>
      </c>
      <c r="B9937" s="2" t="s">
        <v>1311</v>
      </c>
      <c r="C9937" s="2">
        <v>826.40809999999999</v>
      </c>
      <c r="D9937" s="2">
        <f>HYPERLINK("http://mcb-m6.bioreg.kyushu-u.ac.jp/M3/20110414/F50959/2501/1", 62.15)</f>
        <v>62.15</v>
      </c>
      <c r="E9937" s="2">
        <v>42.9</v>
      </c>
      <c r="F9937" s="2">
        <v>2</v>
      </c>
      <c r="G9937" s="2" t="s">
        <v>12</v>
      </c>
    </row>
    <row r="9938" spans="1:9" x14ac:dyDescent="0.2">
      <c r="A9938" s="2" t="s">
        <v>3319</v>
      </c>
      <c r="B9938" s="2" t="s">
        <v>1324</v>
      </c>
      <c r="C9938" s="2">
        <v>582.16859999999997</v>
      </c>
      <c r="D9938" s="2">
        <f>HYPERLINK("http://mcb-m6.bioreg.kyushu-u.ac.jp/M3/20110414/F50959/868/1", 62.49)</f>
        <v>62.49</v>
      </c>
      <c r="E9938" s="2">
        <v>37.01</v>
      </c>
      <c r="F9938" s="2">
        <v>2</v>
      </c>
      <c r="G9938" s="2" t="s">
        <v>12</v>
      </c>
    </row>
    <row r="9939" spans="1:9" x14ac:dyDescent="0.2">
      <c r="A9939" s="2" t="s">
        <v>3319</v>
      </c>
      <c r="B9939" s="2" t="s">
        <v>104</v>
      </c>
      <c r="C9939" s="2">
        <v>782.16920000000005</v>
      </c>
      <c r="D9939" s="2">
        <f>HYPERLINK("http://mcb-m6.bioreg.kyushu-u.ac.jp/M3/20110414/F50959/2171/1", 67.37)</f>
        <v>67.37</v>
      </c>
      <c r="E9939" s="2">
        <v>52.63</v>
      </c>
      <c r="F9939" s="2">
        <v>2</v>
      </c>
      <c r="G9939" s="2" t="s">
        <v>12</v>
      </c>
    </row>
    <row r="9940" spans="1:9" x14ac:dyDescent="0.2">
      <c r="A9940" s="2" t="s">
        <v>3319</v>
      </c>
      <c r="B9940" s="2" t="s">
        <v>2609</v>
      </c>
      <c r="C9940" s="2">
        <v>631.3057</v>
      </c>
      <c r="D9940" s="2">
        <f>HYPERLINK("http://mcb-m6.bioreg.kyushu-u.ac.jp/M3/20110414/F50959/1159/1", 67.78)</f>
        <v>67.78</v>
      </c>
      <c r="E9940" s="2">
        <v>45.93</v>
      </c>
      <c r="F9940" s="2">
        <v>2</v>
      </c>
      <c r="G9940" s="2" t="s">
        <v>12</v>
      </c>
      <c r="I9940" s="2" t="s">
        <v>4892</v>
      </c>
    </row>
    <row r="9941" spans="1:9" x14ac:dyDescent="0.2">
      <c r="A9941" s="2" t="s">
        <v>3319</v>
      </c>
      <c r="B9941" s="2" t="s">
        <v>2505</v>
      </c>
      <c r="C9941" s="2">
        <v>864.25919999999996</v>
      </c>
      <c r="D9941" s="2">
        <f>HYPERLINK("http://mcb-m6.bioreg.kyushu-u.ac.jp/M3/20110414/F50959/2759/1", 68.49)</f>
        <v>68.489999999999995</v>
      </c>
      <c r="E9941" s="2">
        <v>50.15</v>
      </c>
      <c r="F9941" s="2">
        <v>2</v>
      </c>
      <c r="G9941" s="2" t="s">
        <v>12</v>
      </c>
      <c r="I9941" s="2" t="s">
        <v>4918</v>
      </c>
    </row>
    <row r="9942" spans="1:9" x14ac:dyDescent="0.2">
      <c r="A9942" s="2" t="s">
        <v>3319</v>
      </c>
      <c r="B9942" s="2" t="s">
        <v>1812</v>
      </c>
      <c r="C9942" s="2">
        <v>581.8152</v>
      </c>
      <c r="D9942" s="2">
        <f>HYPERLINK("http://mcb-m6.bioreg.kyushu-u.ac.jp/M3/20110414/F50959/866/1", 68.77)</f>
        <v>68.77</v>
      </c>
      <c r="E9942" s="2">
        <v>46.85</v>
      </c>
      <c r="F9942" s="2">
        <v>2</v>
      </c>
      <c r="G9942" s="2" t="s">
        <v>12</v>
      </c>
    </row>
    <row r="9943" spans="1:9" x14ac:dyDescent="0.2">
      <c r="A9943" s="2" t="s">
        <v>3319</v>
      </c>
      <c r="B9943" s="2" t="s">
        <v>1749</v>
      </c>
      <c r="C9943" s="2">
        <v>778.41470000000004</v>
      </c>
      <c r="D9943" s="2">
        <f>HYPERLINK("http://mcb-m6.bioreg.kyushu-u.ac.jp/M3/20110414/F50959/2133/1", 71.38)</f>
        <v>71.38</v>
      </c>
      <c r="E9943" s="2">
        <v>56.21</v>
      </c>
      <c r="F9943" s="2">
        <v>2</v>
      </c>
      <c r="G9943" s="2" t="s">
        <v>12</v>
      </c>
    </row>
    <row r="9944" spans="1:9" x14ac:dyDescent="0.2">
      <c r="A9944" s="2" t="s">
        <v>3319</v>
      </c>
      <c r="B9944" s="2" t="s">
        <v>2526</v>
      </c>
      <c r="C9944" s="2">
        <v>712.63459999999998</v>
      </c>
      <c r="D9944" s="2">
        <f>HYPERLINK("http://mcb-m6.bioreg.kyushu-u.ac.jp/M3/20110414/F50959/1675/1", 71.92)</f>
        <v>71.92</v>
      </c>
      <c r="E9944" s="2">
        <v>56.68</v>
      </c>
      <c r="F9944" s="2">
        <v>2</v>
      </c>
      <c r="G9944" s="2" t="s">
        <v>12</v>
      </c>
      <c r="H9944" s="2" t="s">
        <v>4908</v>
      </c>
    </row>
    <row r="9945" spans="1:9" x14ac:dyDescent="0.2">
      <c r="A9945" s="2" t="s">
        <v>3319</v>
      </c>
      <c r="B9945" s="2" t="s">
        <v>104</v>
      </c>
      <c r="C9945" s="2">
        <v>781.78269999999998</v>
      </c>
      <c r="D9945" s="2">
        <f>HYPERLINK("http://mcb-m6.bioreg.kyushu-u.ac.jp/M3/20110414/F50959/2164/1", 74.62)</f>
        <v>74.62</v>
      </c>
      <c r="E9945" s="2">
        <v>63.94</v>
      </c>
      <c r="F9945" s="2">
        <v>2</v>
      </c>
      <c r="G9945" s="2" t="s">
        <v>12</v>
      </c>
    </row>
    <row r="9946" spans="1:9" x14ac:dyDescent="0.2">
      <c r="A9946" s="2" t="s">
        <v>3319</v>
      </c>
      <c r="B9946" s="2" t="s">
        <v>2070</v>
      </c>
      <c r="C9946" s="2">
        <v>714.7577</v>
      </c>
      <c r="D9946" s="2">
        <f>HYPERLINK("http://mcb-m6.bioreg.kyushu-u.ac.jp/M3/20110414/F50959/1688/1", 75.61)</f>
        <v>75.61</v>
      </c>
      <c r="E9946" s="2">
        <v>53.09</v>
      </c>
      <c r="F9946" s="2">
        <v>2</v>
      </c>
      <c r="G9946" s="2" t="s">
        <v>12</v>
      </c>
    </row>
    <row r="9947" spans="1:9" x14ac:dyDescent="0.2">
      <c r="A9947" s="2" t="s">
        <v>3319</v>
      </c>
      <c r="B9947" s="2" t="s">
        <v>1324</v>
      </c>
      <c r="C9947" s="2">
        <v>581.62660000000005</v>
      </c>
      <c r="D9947" s="2">
        <f>HYPERLINK("http://mcb-m6.bioreg.kyushu-u.ac.jp/M3/20110414/F50959/863/1", 75.88)</f>
        <v>75.88</v>
      </c>
      <c r="E9947" s="2">
        <v>45.22</v>
      </c>
      <c r="F9947" s="2">
        <v>2</v>
      </c>
      <c r="G9947" s="2" t="s">
        <v>12</v>
      </c>
    </row>
    <row r="9948" spans="1:9" x14ac:dyDescent="0.2">
      <c r="A9948" s="2" t="s">
        <v>3319</v>
      </c>
      <c r="B9948" s="2" t="s">
        <v>1051</v>
      </c>
      <c r="C9948" s="2">
        <v>776.87570000000005</v>
      </c>
      <c r="D9948" s="2">
        <f>HYPERLINK("http://mcb-m6.bioreg.kyushu-u.ac.jp/M3/20110414/F50959/2121/1", 76.39)</f>
        <v>76.39</v>
      </c>
      <c r="E9948" s="2">
        <v>64.239999999999995</v>
      </c>
      <c r="F9948" s="2">
        <v>2</v>
      </c>
      <c r="G9948" s="2" t="s">
        <v>12</v>
      </c>
      <c r="H9948" s="2" t="s">
        <v>4908</v>
      </c>
    </row>
    <row r="9949" spans="1:9" x14ac:dyDescent="0.2">
      <c r="A9949" s="2" t="s">
        <v>3319</v>
      </c>
      <c r="B9949" s="2" t="s">
        <v>104</v>
      </c>
      <c r="C9949" s="2">
        <v>782.28809999999999</v>
      </c>
      <c r="D9949" s="2">
        <f>HYPERLINK("http://mcb-m6.bioreg.kyushu-u.ac.jp/M3/20110414/F50959/2173/1", 77.65)</f>
        <v>77.650000000000006</v>
      </c>
      <c r="E9949" s="2">
        <v>69.680000000000007</v>
      </c>
      <c r="F9949" s="2">
        <v>2</v>
      </c>
      <c r="G9949" s="2" t="s">
        <v>12</v>
      </c>
    </row>
    <row r="9950" spans="1:9" x14ac:dyDescent="0.2">
      <c r="A9950" s="2" t="s">
        <v>3319</v>
      </c>
      <c r="B9950" s="2" t="s">
        <v>2761</v>
      </c>
      <c r="C9950" s="2">
        <v>879.85270000000003</v>
      </c>
      <c r="D9950" s="2">
        <f>HYPERLINK("http://mcb-m6.bioreg.kyushu-u.ac.jp/M3/20110414/F50959/2859/1", 80.46)</f>
        <v>80.459999999999994</v>
      </c>
      <c r="E9950" s="2">
        <v>62.33</v>
      </c>
      <c r="F9950" s="2">
        <v>2</v>
      </c>
      <c r="G9950" s="2" t="s">
        <v>12</v>
      </c>
      <c r="I9950" s="2" t="s">
        <v>4895</v>
      </c>
    </row>
    <row r="9951" spans="1:9" x14ac:dyDescent="0.2">
      <c r="A9951" s="2" t="s">
        <v>3319</v>
      </c>
      <c r="B9951" s="2" t="s">
        <v>104</v>
      </c>
      <c r="C9951" s="2">
        <v>781.79570000000001</v>
      </c>
      <c r="D9951" s="2">
        <f>HYPERLINK("http://mcb-m6.bioreg.kyushu-u.ac.jp/M3/20110414/F50958/2294/1", 81.55)</f>
        <v>81.55</v>
      </c>
      <c r="E9951" s="2">
        <v>69.86</v>
      </c>
      <c r="F9951" s="2">
        <v>2</v>
      </c>
      <c r="G9951" s="2" t="s">
        <v>12</v>
      </c>
    </row>
    <row r="9952" spans="1:9" x14ac:dyDescent="0.2">
      <c r="A9952" s="2" t="s">
        <v>3319</v>
      </c>
      <c r="B9952" s="2" t="s">
        <v>1909</v>
      </c>
      <c r="C9952" s="2">
        <v>870.31619999999998</v>
      </c>
      <c r="D9952" s="2">
        <f>HYPERLINK("http://mcb-m6.bioreg.kyushu-u.ac.jp/M3/20110414/F50959/2798/1", 105.43)</f>
        <v>105.43</v>
      </c>
      <c r="E9952" s="2">
        <v>85.72</v>
      </c>
      <c r="F9952" s="2">
        <v>2</v>
      </c>
      <c r="G9952" s="2" t="s">
        <v>12</v>
      </c>
    </row>
    <row r="9953" spans="1:9" x14ac:dyDescent="0.2">
      <c r="A9953" s="2" t="s">
        <v>3319</v>
      </c>
      <c r="B9953" s="2" t="s">
        <v>2222</v>
      </c>
      <c r="C9953" s="2">
        <v>1049.8530000000001</v>
      </c>
      <c r="D9953" s="2">
        <f>HYPERLINK("http://mcb-m6.bioreg.kyushu-u.ac.jp/M3/20110502/F51189/909/1", 40.54)</f>
        <v>40.54</v>
      </c>
      <c r="E9953" s="2">
        <v>30.51</v>
      </c>
      <c r="F9953" s="2">
        <v>1</v>
      </c>
      <c r="G9953" s="2" t="s">
        <v>13</v>
      </c>
    </row>
    <row r="9954" spans="1:9" x14ac:dyDescent="0.2">
      <c r="A9954" s="2" t="s">
        <v>3319</v>
      </c>
      <c r="B9954" s="2" t="s">
        <v>1324</v>
      </c>
      <c r="C9954" s="2">
        <v>581.99019999999996</v>
      </c>
      <c r="D9954" s="2">
        <f>HYPERLINK("http://mcb-m6.bioreg.kyushu-u.ac.jp/M3/20110502/F51172/1173/1", 41.33)</f>
        <v>41.33</v>
      </c>
      <c r="E9954" s="2">
        <v>23.46</v>
      </c>
      <c r="F9954" s="2">
        <v>2</v>
      </c>
      <c r="G9954" s="2" t="s">
        <v>13</v>
      </c>
    </row>
    <row r="9955" spans="1:9" x14ac:dyDescent="0.2">
      <c r="A9955" s="2" t="s">
        <v>3319</v>
      </c>
      <c r="B9955" s="2" t="s">
        <v>1826</v>
      </c>
      <c r="C9955" s="2">
        <v>688.83870000000002</v>
      </c>
      <c r="D9955" s="2">
        <f>HYPERLINK("http://mcb-m6.bioreg.kyushu-u.ac.jp/M3/20110502/F51189/1537/1", 42.37)</f>
        <v>42.37</v>
      </c>
      <c r="E9955" s="2">
        <v>22.58</v>
      </c>
      <c r="F9955" s="2">
        <v>2</v>
      </c>
      <c r="G9955" s="2" t="s">
        <v>13</v>
      </c>
    </row>
    <row r="9956" spans="1:9" x14ac:dyDescent="0.2">
      <c r="A9956" s="2" t="s">
        <v>3319</v>
      </c>
      <c r="B9956" s="2" t="s">
        <v>1938</v>
      </c>
      <c r="C9956" s="2">
        <v>479.40010000000001</v>
      </c>
      <c r="D9956" s="2">
        <f>HYPERLINK("http://mcb-m6.bioreg.kyushu-u.ac.jp/M3/20110502/F51174/1040/1", 47.44)</f>
        <v>47.44</v>
      </c>
      <c r="E9956" s="2">
        <v>12.86</v>
      </c>
      <c r="F9956" s="2">
        <v>2</v>
      </c>
      <c r="G9956" s="2" t="s">
        <v>13</v>
      </c>
    </row>
    <row r="9957" spans="1:9" x14ac:dyDescent="0.2">
      <c r="A9957" s="2" t="s">
        <v>3319</v>
      </c>
      <c r="B9957" s="2" t="s">
        <v>638</v>
      </c>
      <c r="C9957" s="2">
        <v>557.28369999999995</v>
      </c>
      <c r="D9957" s="2">
        <f>HYPERLINK("http://mcb-m6.bioreg.kyushu-u.ac.jp/M3/20110502/F51173/848/1", 48.12)</f>
        <v>48.12</v>
      </c>
      <c r="E9957" s="2">
        <v>18.16</v>
      </c>
      <c r="F9957" s="2">
        <v>2</v>
      </c>
      <c r="G9957" s="2" t="s">
        <v>13</v>
      </c>
    </row>
    <row r="9958" spans="1:9" x14ac:dyDescent="0.2">
      <c r="A9958" s="2" t="s">
        <v>3319</v>
      </c>
      <c r="B9958" s="2" t="s">
        <v>2204</v>
      </c>
      <c r="C9958" s="2">
        <v>483.89260000000002</v>
      </c>
      <c r="D9958" s="2">
        <f>HYPERLINK("http://mcb-m6.bioreg.kyushu-u.ac.jp/M3/20110502/F51189/726/1", 48.9)</f>
        <v>48.9</v>
      </c>
      <c r="E9958" s="2">
        <v>24.53</v>
      </c>
      <c r="F9958" s="2">
        <v>2</v>
      </c>
      <c r="G9958" s="2" t="s">
        <v>13</v>
      </c>
      <c r="I9958" s="2" t="s">
        <v>4903</v>
      </c>
    </row>
    <row r="9959" spans="1:9" x14ac:dyDescent="0.2">
      <c r="A9959" s="2" t="s">
        <v>3319</v>
      </c>
      <c r="B9959" s="2" t="s">
        <v>104</v>
      </c>
      <c r="C9959" s="2">
        <v>782.1191</v>
      </c>
      <c r="D9959" s="2">
        <f>HYPERLINK("http://mcb-m6.bioreg.kyushu-u.ac.jp/M3/20110502/F51189/2012/1", 54.92)</f>
        <v>54.92</v>
      </c>
      <c r="E9959" s="2">
        <v>47.06</v>
      </c>
      <c r="F9959" s="2">
        <v>2</v>
      </c>
      <c r="G9959" s="2" t="s">
        <v>13</v>
      </c>
    </row>
    <row r="9960" spans="1:9" x14ac:dyDescent="0.2">
      <c r="A9960" s="2" t="s">
        <v>3319</v>
      </c>
      <c r="B9960" s="2" t="s">
        <v>1938</v>
      </c>
      <c r="C9960" s="2">
        <v>479.43810000000002</v>
      </c>
      <c r="D9960" s="2">
        <f>HYPERLINK("http://mcb-m6.bioreg.kyushu-u.ac.jp/M3/20110502/F51189/706/1", 57.74)</f>
        <v>57.74</v>
      </c>
      <c r="E9960" s="2">
        <v>25.95</v>
      </c>
      <c r="F9960" s="2">
        <v>2</v>
      </c>
      <c r="G9960" s="2" t="s">
        <v>13</v>
      </c>
    </row>
    <row r="9961" spans="1:9" x14ac:dyDescent="0.2">
      <c r="A9961" s="2" t="s">
        <v>3319</v>
      </c>
      <c r="B9961" s="2" t="s">
        <v>2093</v>
      </c>
      <c r="C9961" s="2">
        <v>797.55409999999995</v>
      </c>
      <c r="D9961" s="2">
        <f>HYPERLINK("http://mcb-m6.bioreg.kyushu-u.ac.jp/M3/20110502/F51189/2078/1", 58.49)</f>
        <v>58.49</v>
      </c>
      <c r="E9961" s="2">
        <v>24.52</v>
      </c>
      <c r="F9961" s="2">
        <v>2</v>
      </c>
      <c r="G9961" s="2" t="s">
        <v>13</v>
      </c>
    </row>
    <row r="9962" spans="1:9" x14ac:dyDescent="0.2">
      <c r="A9962" s="2" t="s">
        <v>3319</v>
      </c>
      <c r="B9962" s="2" t="s">
        <v>987</v>
      </c>
      <c r="C9962" s="2">
        <v>753.36519999999996</v>
      </c>
      <c r="D9962" s="2">
        <f>HYPERLINK("http://mcb-m6.bioreg.kyushu-u.ac.jp/M3/20110502/F51189/1892/1", 63.19)</f>
        <v>63.19</v>
      </c>
      <c r="E9962" s="2">
        <v>33.94</v>
      </c>
      <c r="F9962" s="2">
        <v>2</v>
      </c>
      <c r="G9962" s="2" t="s">
        <v>13</v>
      </c>
    </row>
    <row r="9963" spans="1:9" x14ac:dyDescent="0.2">
      <c r="A9963" s="2" t="s">
        <v>3319</v>
      </c>
      <c r="B9963" s="2" t="s">
        <v>979</v>
      </c>
      <c r="C9963" s="2">
        <v>608.89419999999996</v>
      </c>
      <c r="D9963" s="2">
        <f>HYPERLINK("http://mcb-m6.bioreg.kyushu-u.ac.jp/M3/20110502/F51189/1213/1", 63.9)</f>
        <v>63.9</v>
      </c>
      <c r="E9963" s="2">
        <v>27.99</v>
      </c>
      <c r="F9963" s="2">
        <v>2</v>
      </c>
      <c r="G9963" s="2" t="s">
        <v>13</v>
      </c>
    </row>
    <row r="9964" spans="1:9" x14ac:dyDescent="0.2">
      <c r="A9964" s="2" t="s">
        <v>3319</v>
      </c>
      <c r="B9964" s="2" t="s">
        <v>1420</v>
      </c>
      <c r="C9964" s="2">
        <v>554.90369999999996</v>
      </c>
      <c r="D9964" s="2">
        <f>HYPERLINK("http://mcb-m6.bioreg.kyushu-u.ac.jp/M3/20110502/F51189/1017/1", 65.81)</f>
        <v>65.81</v>
      </c>
      <c r="E9964" s="2">
        <v>15.72</v>
      </c>
      <c r="F9964" s="2">
        <v>2</v>
      </c>
      <c r="G9964" s="2" t="s">
        <v>13</v>
      </c>
    </row>
    <row r="9965" spans="1:9" x14ac:dyDescent="0.2">
      <c r="A9965" s="2" t="s">
        <v>3319</v>
      </c>
      <c r="B9965" s="2" t="s">
        <v>1324</v>
      </c>
      <c r="C9965" s="2">
        <v>582.15470000000005</v>
      </c>
      <c r="D9965" s="2">
        <f>HYPERLINK("http://mcb-m6.bioreg.kyushu-u.ac.jp/M3/20110502/F51189/1102/1", 70.64)</f>
        <v>70.64</v>
      </c>
      <c r="E9965" s="2">
        <v>42.38</v>
      </c>
      <c r="F9965" s="2">
        <v>2</v>
      </c>
      <c r="G9965" s="2" t="s">
        <v>13</v>
      </c>
    </row>
    <row r="9966" spans="1:9" x14ac:dyDescent="0.2">
      <c r="A9966" s="2" t="s">
        <v>3319</v>
      </c>
      <c r="B9966" s="2" t="s">
        <v>638</v>
      </c>
      <c r="C9966" s="2">
        <v>556.96310000000005</v>
      </c>
      <c r="D9966" s="2">
        <f>HYPERLINK("http://mcb-m6.bioreg.kyushu-u.ac.jp/M3/20110502/F51189/1025/1", 70.84)</f>
        <v>70.84</v>
      </c>
      <c r="E9966" s="2">
        <v>45.95</v>
      </c>
      <c r="F9966" s="2">
        <v>2</v>
      </c>
      <c r="G9966" s="2" t="s">
        <v>13</v>
      </c>
    </row>
    <row r="9967" spans="1:9" x14ac:dyDescent="0.2">
      <c r="A9967" s="2" t="s">
        <v>3319</v>
      </c>
      <c r="B9967" s="2" t="s">
        <v>104</v>
      </c>
      <c r="C9967" s="2">
        <v>782.49159999999995</v>
      </c>
      <c r="D9967" s="2">
        <f>HYPERLINK("http://mcb-m6.bioreg.kyushu-u.ac.jp/M3/20110502/F51189/2013/1", 78.13)</f>
        <v>78.13</v>
      </c>
      <c r="E9967" s="2">
        <v>67.38</v>
      </c>
      <c r="F9967" s="2">
        <v>2</v>
      </c>
      <c r="G9967" s="2" t="s">
        <v>13</v>
      </c>
    </row>
    <row r="9968" spans="1:9" x14ac:dyDescent="0.2">
      <c r="A9968" s="2" t="s">
        <v>3319</v>
      </c>
      <c r="B9968" s="2" t="s">
        <v>1749</v>
      </c>
      <c r="C9968" s="2">
        <v>779.01670000000001</v>
      </c>
      <c r="D9968" s="2">
        <f>HYPERLINK("http://mcb-m6.bioreg.kyushu-u.ac.jp/M3/20110502/F51189/1989/1", 79.24)</f>
        <v>79.239999999999995</v>
      </c>
      <c r="E9968" s="2">
        <v>52.35</v>
      </c>
      <c r="F9968" s="2">
        <v>2</v>
      </c>
      <c r="G9968" s="2" t="s">
        <v>13</v>
      </c>
    </row>
    <row r="9969" spans="1:9" x14ac:dyDescent="0.2">
      <c r="A9969" s="2" t="s">
        <v>3319</v>
      </c>
      <c r="B9969" s="2" t="s">
        <v>2609</v>
      </c>
      <c r="C9969" s="2">
        <v>630.9307</v>
      </c>
      <c r="D9969" s="2">
        <f>HYPERLINK("http://mcb-m6.bioreg.kyushu-u.ac.jp/M3/20110502/F51189/1294/1", 82.41)</f>
        <v>82.41</v>
      </c>
      <c r="E9969" s="2">
        <v>50.99</v>
      </c>
      <c r="F9969" s="2">
        <v>2</v>
      </c>
      <c r="G9969" s="2" t="s">
        <v>13</v>
      </c>
      <c r="I9969" s="2" t="s">
        <v>4892</v>
      </c>
    </row>
    <row r="9970" spans="1:9" x14ac:dyDescent="0.2">
      <c r="A9970" s="2" t="s">
        <v>3319</v>
      </c>
      <c r="B9970" s="2" t="s">
        <v>1909</v>
      </c>
      <c r="C9970" s="2">
        <v>869.96510000000001</v>
      </c>
      <c r="D9970" s="2">
        <f>HYPERLINK("http://mcb-m6.bioreg.kyushu-u.ac.jp/M3/20110502/F51189/2349/1", 107.5)</f>
        <v>107.5</v>
      </c>
      <c r="E9970" s="2">
        <v>78.709999999999994</v>
      </c>
      <c r="F9970" s="2">
        <v>2</v>
      </c>
      <c r="G9970" s="2" t="s">
        <v>13</v>
      </c>
    </row>
    <row r="9971" spans="1:9" x14ac:dyDescent="0.2">
      <c r="A9971" s="2" t="s">
        <v>3319</v>
      </c>
      <c r="B9971" s="2" t="s">
        <v>2609</v>
      </c>
      <c r="C9971" s="2">
        <v>631.08370000000002</v>
      </c>
      <c r="D9971" s="2">
        <f>HYPERLINK("http://mcb-m6.bioreg.kyushu-u.ac.jp/M3/20110502/F51185/1312/1", 36.14)</f>
        <v>36.14</v>
      </c>
      <c r="E9971" s="2">
        <v>18.73</v>
      </c>
      <c r="F9971" s="2">
        <v>2</v>
      </c>
      <c r="G9971" s="2" t="s">
        <v>14</v>
      </c>
      <c r="I9971" s="2" t="s">
        <v>4892</v>
      </c>
    </row>
    <row r="9972" spans="1:9" x14ac:dyDescent="0.2">
      <c r="A9972" s="2" t="s">
        <v>3319</v>
      </c>
      <c r="B9972" s="2" t="s">
        <v>1753</v>
      </c>
      <c r="C9972" s="2">
        <v>564.94169999999997</v>
      </c>
      <c r="D9972" s="2">
        <f>HYPERLINK("http://mcb-m6.bioreg.kyushu-u.ac.jp/M3/20110502/F51194/884/1", 37.75)</f>
        <v>37.75</v>
      </c>
      <c r="E9972" s="2">
        <v>25.73</v>
      </c>
      <c r="F9972" s="2">
        <v>2</v>
      </c>
      <c r="G9972" s="2" t="s">
        <v>14</v>
      </c>
      <c r="H9972" s="2" t="s">
        <v>4904</v>
      </c>
    </row>
    <row r="9973" spans="1:9" x14ac:dyDescent="0.2">
      <c r="A9973" s="2" t="s">
        <v>3319</v>
      </c>
      <c r="B9973" s="2" t="s">
        <v>1280</v>
      </c>
      <c r="C9973" s="2">
        <v>623.46169999999995</v>
      </c>
      <c r="D9973" s="2">
        <f>HYPERLINK("http://mcb-m6.bioreg.kyushu-u.ac.jp/M3/20110502/F51185/1280/1", 38.21)</f>
        <v>38.21</v>
      </c>
      <c r="E9973" s="2">
        <v>26.41</v>
      </c>
      <c r="F9973" s="2">
        <v>2</v>
      </c>
      <c r="G9973" s="2" t="s">
        <v>14</v>
      </c>
    </row>
    <row r="9974" spans="1:9" x14ac:dyDescent="0.2">
      <c r="A9974" s="2" t="s">
        <v>3319</v>
      </c>
      <c r="B9974" s="2" t="s">
        <v>2070</v>
      </c>
      <c r="C9974" s="2">
        <v>714.59670000000006</v>
      </c>
      <c r="D9974" s="2">
        <f>HYPERLINK("http://mcb-m6.bioreg.kyushu-u.ac.jp/M3/20110502/F51186/1742/1", 38.37)</f>
        <v>38.369999999999997</v>
      </c>
      <c r="E9974" s="2">
        <v>24.57</v>
      </c>
      <c r="F9974" s="2">
        <v>2</v>
      </c>
      <c r="G9974" s="2" t="s">
        <v>14</v>
      </c>
    </row>
    <row r="9975" spans="1:9" x14ac:dyDescent="0.2">
      <c r="A9975" s="2" t="s">
        <v>3319</v>
      </c>
      <c r="B9975" s="2" t="s">
        <v>3047</v>
      </c>
      <c r="C9975" s="2">
        <v>467.37060000000002</v>
      </c>
      <c r="D9975" s="2">
        <f>HYPERLINK("http://mcb-m6.bioreg.kyushu-u.ac.jp/M3/20110502/F51194/490/1", 39.99)</f>
        <v>39.99</v>
      </c>
      <c r="E9975" s="2">
        <v>15.78</v>
      </c>
      <c r="F9975" s="2">
        <v>2</v>
      </c>
      <c r="G9975" s="2" t="s">
        <v>14</v>
      </c>
    </row>
    <row r="9976" spans="1:9" x14ac:dyDescent="0.2">
      <c r="A9976" s="2" t="s">
        <v>3319</v>
      </c>
      <c r="B9976" s="2" t="s">
        <v>2609</v>
      </c>
      <c r="C9976" s="2">
        <v>631.01760000000002</v>
      </c>
      <c r="D9976" s="2">
        <f>HYPERLINK("http://mcb-m6.bioreg.kyushu-u.ac.jp/M3/20110502/F51184/1172/1", 43.52)</f>
        <v>43.52</v>
      </c>
      <c r="E9976" s="2">
        <v>21.44</v>
      </c>
      <c r="F9976" s="2">
        <v>2</v>
      </c>
      <c r="G9976" s="2" t="s">
        <v>14</v>
      </c>
      <c r="I9976" s="2" t="s">
        <v>4892</v>
      </c>
    </row>
    <row r="9977" spans="1:9" x14ac:dyDescent="0.2">
      <c r="A9977" s="2" t="s">
        <v>3319</v>
      </c>
      <c r="B9977" s="2" t="s">
        <v>1420</v>
      </c>
      <c r="C9977" s="2">
        <v>554.94920000000002</v>
      </c>
      <c r="D9977" s="2">
        <f>HYPERLINK("http://mcb-m6.bioreg.kyushu-u.ac.jp/M3/20110502/F51184/788/1", 45.93)</f>
        <v>45.93</v>
      </c>
      <c r="E9977" s="2">
        <v>6.62</v>
      </c>
      <c r="F9977" s="2">
        <v>2</v>
      </c>
      <c r="G9977" s="2" t="s">
        <v>14</v>
      </c>
    </row>
    <row r="9978" spans="1:9" x14ac:dyDescent="0.2">
      <c r="A9978" s="2" t="s">
        <v>3319</v>
      </c>
      <c r="B9978" s="2" t="s">
        <v>566</v>
      </c>
      <c r="C9978" s="2">
        <v>530.07510000000002</v>
      </c>
      <c r="D9978" s="2">
        <f>HYPERLINK("http://mcb-m6.bioreg.kyushu-u.ac.jp/M3/20110502/F51184/680/1", 47.02)</f>
        <v>47.02</v>
      </c>
      <c r="E9978" s="2">
        <v>16.18</v>
      </c>
      <c r="F9978" s="2">
        <v>2</v>
      </c>
      <c r="G9978" s="2" t="s">
        <v>14</v>
      </c>
    </row>
    <row r="9979" spans="1:9" x14ac:dyDescent="0.2">
      <c r="A9979" s="2" t="s">
        <v>3319</v>
      </c>
      <c r="B9979" s="2" t="s">
        <v>524</v>
      </c>
      <c r="C9979" s="2">
        <v>586.47220000000004</v>
      </c>
      <c r="D9979" s="2">
        <f>HYPERLINK("http://mcb-m6.bioreg.kyushu-u.ac.jp/M3/20110502/F51194/980/1", 48.09)</f>
        <v>48.09</v>
      </c>
      <c r="E9979" s="2">
        <v>26.32</v>
      </c>
      <c r="F9979" s="2">
        <v>2</v>
      </c>
      <c r="G9979" s="2" t="s">
        <v>14</v>
      </c>
    </row>
    <row r="9980" spans="1:9" x14ac:dyDescent="0.2">
      <c r="A9980" s="2" t="s">
        <v>3319</v>
      </c>
      <c r="B9980" s="2" t="s">
        <v>2544</v>
      </c>
      <c r="C9980" s="2">
        <v>695.81410000000005</v>
      </c>
      <c r="D9980" s="2">
        <f>HYPERLINK("http://mcb-m6.bioreg.kyushu-u.ac.jp/M3/20110502/F51194/1563/1", 55.4)</f>
        <v>55.4</v>
      </c>
      <c r="E9980" s="2">
        <v>29.21</v>
      </c>
      <c r="F9980" s="2">
        <v>2</v>
      </c>
      <c r="G9980" s="2" t="s">
        <v>14</v>
      </c>
      <c r="I9980" s="2" t="s">
        <v>4903</v>
      </c>
    </row>
    <row r="9981" spans="1:9" x14ac:dyDescent="0.2">
      <c r="A9981" s="2" t="s">
        <v>3319</v>
      </c>
      <c r="B9981" s="2" t="s">
        <v>1324</v>
      </c>
      <c r="C9981" s="2">
        <v>582.20259999999996</v>
      </c>
      <c r="D9981" s="2">
        <f>HYPERLINK("http://mcb-m6.bioreg.kyushu-u.ac.jp/M3/20110502/F51185/1058/1", 58.2)</f>
        <v>58.2</v>
      </c>
      <c r="E9981" s="2">
        <v>27.57</v>
      </c>
      <c r="F9981" s="2">
        <v>2</v>
      </c>
      <c r="G9981" s="2" t="s">
        <v>14</v>
      </c>
    </row>
    <row r="9982" spans="1:9" x14ac:dyDescent="0.2">
      <c r="A9982" s="2" t="s">
        <v>3319</v>
      </c>
      <c r="B9982" s="2" t="s">
        <v>2505</v>
      </c>
      <c r="C9982" s="2">
        <v>864.52419999999995</v>
      </c>
      <c r="D9982" s="2">
        <f>HYPERLINK("http://mcb-m6.bioreg.kyushu-u.ac.jp/M3/20110502/F51194/2475/1", 59.21)</f>
        <v>59.21</v>
      </c>
      <c r="E9982" s="2">
        <v>51.25</v>
      </c>
      <c r="F9982" s="2">
        <v>2</v>
      </c>
      <c r="G9982" s="2" t="s">
        <v>14</v>
      </c>
      <c r="I9982" s="2" t="s">
        <v>4918</v>
      </c>
    </row>
    <row r="9983" spans="1:9" x14ac:dyDescent="0.2">
      <c r="A9983" s="2" t="s">
        <v>3319</v>
      </c>
      <c r="B9983" s="2" t="s">
        <v>1812</v>
      </c>
      <c r="C9983" s="2">
        <v>581.53520000000003</v>
      </c>
      <c r="D9983" s="2">
        <f>HYPERLINK("http://mcb-m6.bioreg.kyushu-u.ac.jp/M3/20110502/F51184/915/1", 59.26)</f>
        <v>59.26</v>
      </c>
      <c r="E9983" s="2">
        <v>24.06</v>
      </c>
      <c r="F9983" s="2">
        <v>2</v>
      </c>
      <c r="G9983" s="2" t="s">
        <v>14</v>
      </c>
    </row>
    <row r="9984" spans="1:9" x14ac:dyDescent="0.2">
      <c r="A9984" s="2" t="s">
        <v>3319</v>
      </c>
      <c r="B9984" s="2" t="s">
        <v>638</v>
      </c>
      <c r="C9984" s="2">
        <v>556.88019999999995</v>
      </c>
      <c r="D9984" s="2">
        <f>HYPERLINK("http://mcb-m6.bioreg.kyushu-u.ac.jp/M3/20110502/F51194/862/1", 60.12)</f>
        <v>60.12</v>
      </c>
      <c r="E9984" s="2">
        <v>33.880000000000003</v>
      </c>
      <c r="F9984" s="2">
        <v>2</v>
      </c>
      <c r="G9984" s="2" t="s">
        <v>14</v>
      </c>
    </row>
    <row r="9985" spans="1:9" x14ac:dyDescent="0.2">
      <c r="A9985" s="2" t="s">
        <v>3319</v>
      </c>
      <c r="B9985" s="2" t="s">
        <v>987</v>
      </c>
      <c r="C9985" s="2">
        <v>753.39869999999996</v>
      </c>
      <c r="D9985" s="2">
        <f>HYPERLINK("http://mcb-m6.bioreg.kyushu-u.ac.jp/M3/20110502/F51194/1889/1", 60.16)</f>
        <v>60.16</v>
      </c>
      <c r="E9985" s="2">
        <v>38.49</v>
      </c>
      <c r="F9985" s="2">
        <v>2</v>
      </c>
      <c r="G9985" s="2" t="s">
        <v>14</v>
      </c>
    </row>
    <row r="9986" spans="1:9" x14ac:dyDescent="0.2">
      <c r="A9986" s="2" t="s">
        <v>3319</v>
      </c>
      <c r="B9986" s="2" t="s">
        <v>104</v>
      </c>
      <c r="C9986" s="2">
        <v>782.23170000000005</v>
      </c>
      <c r="D9986" s="2">
        <f>HYPERLINK("http://mcb-m6.bioreg.kyushu-u.ac.jp/M3/20110502/F51185/2106/1", 60.35)</f>
        <v>60.35</v>
      </c>
      <c r="E9986" s="2">
        <v>51.14</v>
      </c>
      <c r="F9986" s="2">
        <v>2</v>
      </c>
      <c r="G9986" s="2" t="s">
        <v>14</v>
      </c>
    </row>
    <row r="9987" spans="1:9" x14ac:dyDescent="0.2">
      <c r="A9987" s="2" t="s">
        <v>3319</v>
      </c>
      <c r="B9987" s="2" t="s">
        <v>1051</v>
      </c>
      <c r="C9987" s="2">
        <v>776.50120000000004</v>
      </c>
      <c r="D9987" s="2">
        <f>HYPERLINK("http://mcb-m6.bioreg.kyushu-u.ac.jp/M3/20110502/F51194/2015/1", 61.74)</f>
        <v>61.74</v>
      </c>
      <c r="E9987" s="2">
        <v>47.22</v>
      </c>
      <c r="F9987" s="2">
        <v>2</v>
      </c>
      <c r="G9987" s="2" t="s">
        <v>14</v>
      </c>
      <c r="H9987" s="2" t="s">
        <v>4908</v>
      </c>
    </row>
    <row r="9988" spans="1:9" x14ac:dyDescent="0.2">
      <c r="A9988" s="2" t="s">
        <v>3319</v>
      </c>
      <c r="B9988" s="2" t="s">
        <v>2093</v>
      </c>
      <c r="C9988" s="2">
        <v>798.01570000000004</v>
      </c>
      <c r="D9988" s="2">
        <f>HYPERLINK("http://mcb-m6.bioreg.kyushu-u.ac.jp/M3/20110502/F51194/2139/1", 64.88)</f>
        <v>64.88</v>
      </c>
      <c r="E9988" s="2">
        <v>39.74</v>
      </c>
      <c r="F9988" s="2">
        <v>2</v>
      </c>
      <c r="G9988" s="2" t="s">
        <v>14</v>
      </c>
    </row>
    <row r="9989" spans="1:9" x14ac:dyDescent="0.2">
      <c r="A9989" s="2" t="s">
        <v>3319</v>
      </c>
      <c r="B9989" s="2" t="s">
        <v>2761</v>
      </c>
      <c r="C9989" s="2">
        <v>880.11569999999995</v>
      </c>
      <c r="D9989" s="2">
        <f>HYPERLINK("http://mcb-m6.bioreg.kyushu-u.ac.jp/M3/20110502/F51194/2538/1", 68.32)</f>
        <v>68.319999999999993</v>
      </c>
      <c r="E9989" s="2">
        <v>53.41</v>
      </c>
      <c r="F9989" s="2">
        <v>2</v>
      </c>
      <c r="G9989" s="2" t="s">
        <v>14</v>
      </c>
      <c r="I9989" s="2" t="s">
        <v>4895</v>
      </c>
    </row>
    <row r="9990" spans="1:9" x14ac:dyDescent="0.2">
      <c r="A9990" s="2" t="s">
        <v>3319</v>
      </c>
      <c r="B9990" s="2" t="s">
        <v>2505</v>
      </c>
      <c r="C9990" s="2">
        <v>872.53120000000001</v>
      </c>
      <c r="D9990" s="2">
        <f>HYPERLINK("http://mcb-m6.bioreg.kyushu-u.ac.jp/M3/20110502/F51194/2513/1", 68.65)</f>
        <v>68.650000000000006</v>
      </c>
      <c r="E9990" s="2">
        <v>56.01</v>
      </c>
      <c r="F9990" s="2">
        <v>2</v>
      </c>
      <c r="G9990" s="2" t="s">
        <v>14</v>
      </c>
      <c r="H9990" s="2" t="s">
        <v>4912</v>
      </c>
      <c r="I9990" s="2" t="s">
        <v>4918</v>
      </c>
    </row>
    <row r="9991" spans="1:9" x14ac:dyDescent="0.2">
      <c r="A9991" s="2" t="s">
        <v>3319</v>
      </c>
      <c r="B9991" s="2" t="s">
        <v>1909</v>
      </c>
      <c r="C9991" s="2">
        <v>870.03920000000005</v>
      </c>
      <c r="D9991" s="2">
        <f>HYPERLINK("http://mcb-m6.bioreg.kyushu-u.ac.jp/M3/20110502/F51194/2498/1", 69.03)</f>
        <v>69.03</v>
      </c>
      <c r="E9991" s="2">
        <v>54.82</v>
      </c>
      <c r="F9991" s="2">
        <v>2</v>
      </c>
      <c r="G9991" s="2" t="s">
        <v>14</v>
      </c>
    </row>
    <row r="9992" spans="1:9" x14ac:dyDescent="0.2">
      <c r="A9992" s="2" t="s">
        <v>3319</v>
      </c>
      <c r="B9992" s="2" t="s">
        <v>1671</v>
      </c>
      <c r="C9992" s="2">
        <v>871.36159999999995</v>
      </c>
      <c r="D9992" s="2">
        <f>HYPERLINK("http://mcb-m6.bioreg.kyushu-u.ac.jp/M3/20110502/F51194/2504/1", 71.63)</f>
        <v>71.63</v>
      </c>
      <c r="E9992" s="2">
        <v>51.05</v>
      </c>
      <c r="F9992" s="2">
        <v>2</v>
      </c>
      <c r="G9992" s="2" t="s">
        <v>14</v>
      </c>
    </row>
    <row r="9993" spans="1:9" x14ac:dyDescent="0.2">
      <c r="A9993" s="2" t="s">
        <v>3319</v>
      </c>
      <c r="B9993" s="2" t="s">
        <v>2609</v>
      </c>
      <c r="C9993" s="2">
        <v>631.02560000000005</v>
      </c>
      <c r="D9993" s="2">
        <f>HYPERLINK("http://mcb-m6.bioreg.kyushu-u.ac.jp/M3/20110502/F51194/1225/1", 74.28)</f>
        <v>74.28</v>
      </c>
      <c r="E9993" s="2">
        <v>51.17</v>
      </c>
      <c r="F9993" s="2">
        <v>2</v>
      </c>
      <c r="G9993" s="2" t="s">
        <v>14</v>
      </c>
      <c r="I9993" s="2" t="s">
        <v>4892</v>
      </c>
    </row>
    <row r="9994" spans="1:9" x14ac:dyDescent="0.2">
      <c r="A9994" s="2" t="s">
        <v>3319</v>
      </c>
      <c r="B9994" s="2" t="s">
        <v>2070</v>
      </c>
      <c r="C9994" s="2">
        <v>714.69119999999998</v>
      </c>
      <c r="D9994" s="2">
        <f>HYPERLINK("http://mcb-m6.bioreg.kyushu-u.ac.jp/M3/20110502/F51184/1677/1", 79.86)</f>
        <v>79.86</v>
      </c>
      <c r="E9994" s="2">
        <v>60.81</v>
      </c>
      <c r="F9994" s="2">
        <v>2</v>
      </c>
      <c r="G9994" s="2" t="s">
        <v>14</v>
      </c>
    </row>
    <row r="9995" spans="1:9" x14ac:dyDescent="0.2">
      <c r="A9995" s="2" t="s">
        <v>3319</v>
      </c>
      <c r="B9995" s="2" t="s">
        <v>1812</v>
      </c>
      <c r="C9995" s="2">
        <v>581.45169999999996</v>
      </c>
      <c r="D9995" s="2">
        <f>HYPERLINK("http://mcb-m6.bioreg.kyushu-u.ac.jp/M3/20110502/F51194/956/1", 83.02)</f>
        <v>83.02</v>
      </c>
      <c r="E9995" s="2">
        <v>59.29</v>
      </c>
      <c r="F9995" s="2">
        <v>2</v>
      </c>
      <c r="G9995" s="2" t="s">
        <v>14</v>
      </c>
    </row>
    <row r="9996" spans="1:9" x14ac:dyDescent="0.2">
      <c r="A9996" s="2" t="s">
        <v>3319</v>
      </c>
      <c r="B9996" s="2" t="s">
        <v>1909</v>
      </c>
      <c r="C9996" s="2">
        <v>869.96619999999996</v>
      </c>
      <c r="D9996" s="2">
        <f>HYPERLINK("http://mcb-m6.bioreg.kyushu-u.ac.jp/M3/20110502/F51184/2638/1", 87.95)</f>
        <v>87.95</v>
      </c>
      <c r="E9996" s="2">
        <v>67.36</v>
      </c>
      <c r="F9996" s="2">
        <v>2</v>
      </c>
      <c r="G9996" s="2" t="s">
        <v>14</v>
      </c>
    </row>
    <row r="9997" spans="1:9" x14ac:dyDescent="0.2">
      <c r="A9997" s="2" t="s">
        <v>3319</v>
      </c>
      <c r="B9997" s="2" t="s">
        <v>104</v>
      </c>
      <c r="C9997" s="2">
        <v>782.51869999999997</v>
      </c>
      <c r="D9997" s="2">
        <f>HYPERLINK("http://mcb-m6.bioreg.kyushu-u.ac.jp/M3/20110502/F51194/2054/1", 88.18)</f>
        <v>88.18</v>
      </c>
      <c r="E9997" s="2">
        <v>80.87</v>
      </c>
      <c r="F9997" s="2">
        <v>2</v>
      </c>
      <c r="G9997" s="2" t="s">
        <v>14</v>
      </c>
    </row>
    <row r="9998" spans="1:9" x14ac:dyDescent="0.2">
      <c r="A9998" s="2" t="s">
        <v>3319</v>
      </c>
      <c r="B9998" s="2" t="s">
        <v>1749</v>
      </c>
      <c r="C9998" s="2">
        <v>778.76260000000002</v>
      </c>
      <c r="D9998" s="2">
        <f>HYPERLINK("http://mcb-m6.bioreg.kyushu-u.ac.jp/M3/20110502/F51194/2024/1", 90.3)</f>
        <v>90.3</v>
      </c>
      <c r="E9998" s="2">
        <v>73.06</v>
      </c>
      <c r="F9998" s="2">
        <v>2</v>
      </c>
      <c r="G9998" s="2" t="s">
        <v>14</v>
      </c>
    </row>
    <row r="9999" spans="1:9" x14ac:dyDescent="0.2">
      <c r="A9999" s="2" t="s">
        <v>3319</v>
      </c>
      <c r="B9999" s="2" t="s">
        <v>1909</v>
      </c>
      <c r="C9999" s="2">
        <v>870.47559999999999</v>
      </c>
      <c r="D9999" s="2">
        <f>HYPERLINK("http://mcb-m6.bioreg.kyushu-u.ac.jp/M3/20110502/F51184/2643/1", 96.19)</f>
        <v>96.19</v>
      </c>
      <c r="E9999" s="2">
        <v>77.75</v>
      </c>
      <c r="F9999" s="2">
        <v>2</v>
      </c>
      <c r="G9999" s="2" t="s">
        <v>14</v>
      </c>
    </row>
    <row r="10000" spans="1:9" x14ac:dyDescent="0.2">
      <c r="A10000" s="2" t="s">
        <v>3319</v>
      </c>
      <c r="B10000" s="2" t="s">
        <v>1909</v>
      </c>
      <c r="C10000" s="2">
        <v>870.00670000000002</v>
      </c>
      <c r="D10000" s="2">
        <f>HYPERLINK("http://mcb-m6.bioreg.kyushu-u.ac.jp/M3/20110502/F51194/2497/1", 103.16)</f>
        <v>103.16</v>
      </c>
      <c r="E10000" s="2">
        <v>75.83</v>
      </c>
      <c r="F10000" s="2">
        <v>2</v>
      </c>
      <c r="G10000" s="2" t="s">
        <v>14</v>
      </c>
    </row>
    <row r="10001" spans="1:9" x14ac:dyDescent="0.2">
      <c r="A10001" s="2" t="s">
        <v>3319</v>
      </c>
      <c r="B10001" s="2" t="s">
        <v>1749</v>
      </c>
      <c r="C10001" s="2">
        <v>779.01620000000003</v>
      </c>
      <c r="D10001" s="2">
        <f>HYPERLINK("http://mcb-m6.bioreg.kyushu-u.ac.jp/M3/20110502/F51190/1894/1", 104.37)</f>
        <v>104.37</v>
      </c>
      <c r="E10001" s="2">
        <v>79.209999999999994</v>
      </c>
      <c r="F10001" s="2">
        <v>2</v>
      </c>
      <c r="G10001" s="2" t="s">
        <v>14</v>
      </c>
    </row>
    <row r="10002" spans="1:9" x14ac:dyDescent="0.2">
      <c r="A10002" s="2" t="s">
        <v>3747</v>
      </c>
      <c r="B10002" s="2" t="s">
        <v>754</v>
      </c>
      <c r="C10002" s="2">
        <v>667.43960000000004</v>
      </c>
      <c r="D10002" s="2">
        <f>HYPERLINK("http://mcb-m6.bioreg.kyushu-u.ac.jp/M3/20110411/F50894/1938/1", 50.18)</f>
        <v>50.18</v>
      </c>
      <c r="E10002" s="2">
        <v>29.2</v>
      </c>
      <c r="F10002" s="2">
        <v>2</v>
      </c>
      <c r="G10002" s="2" t="s">
        <v>9</v>
      </c>
    </row>
    <row r="10003" spans="1:9" x14ac:dyDescent="0.2">
      <c r="A10003" s="2" t="s">
        <v>3747</v>
      </c>
      <c r="B10003" s="2" t="s">
        <v>1236</v>
      </c>
      <c r="C10003" s="2">
        <v>763.09310000000005</v>
      </c>
      <c r="D10003" s="2">
        <f>HYPERLINK("http://mcb-m6.bioreg.kyushu-u.ac.jp/M3/20110411/F50894/2335/1", 68.35)</f>
        <v>68.349999999999994</v>
      </c>
      <c r="E10003" s="2">
        <v>45.3</v>
      </c>
      <c r="F10003" s="2">
        <v>2</v>
      </c>
      <c r="G10003" s="2" t="s">
        <v>9</v>
      </c>
    </row>
    <row r="10004" spans="1:9" x14ac:dyDescent="0.2">
      <c r="A10004" s="2" t="s">
        <v>3747</v>
      </c>
      <c r="B10004" s="2" t="s">
        <v>1782</v>
      </c>
      <c r="C10004" s="2">
        <v>701.31119999999999</v>
      </c>
      <c r="D10004" s="2">
        <f>HYPERLINK("http://mcb-m6.bioreg.kyushu-u.ac.jp/M3/20110411/F50901/1866/1", 38.92)</f>
        <v>38.92</v>
      </c>
      <c r="E10004" s="2">
        <v>24.09</v>
      </c>
      <c r="F10004" s="2">
        <v>2</v>
      </c>
      <c r="G10004" s="2" t="s">
        <v>10</v>
      </c>
      <c r="H10004" s="2" t="s">
        <v>4904</v>
      </c>
    </row>
    <row r="10005" spans="1:9" x14ac:dyDescent="0.2">
      <c r="A10005" s="2" t="s">
        <v>3747</v>
      </c>
      <c r="B10005" s="2" t="s">
        <v>1236</v>
      </c>
      <c r="C10005" s="2">
        <v>763.35059999999999</v>
      </c>
      <c r="D10005" s="2">
        <f>HYPERLINK("http://mcb-m6.bioreg.kyushu-u.ac.jp/M3/20110411/F50902/2154/1", 55.12)</f>
        <v>55.12</v>
      </c>
      <c r="E10005" s="2">
        <v>40.4</v>
      </c>
      <c r="F10005" s="2">
        <v>2</v>
      </c>
      <c r="G10005" s="2" t="s">
        <v>10</v>
      </c>
    </row>
    <row r="10006" spans="1:9" x14ac:dyDescent="0.2">
      <c r="A10006" s="2" t="s">
        <v>3747</v>
      </c>
      <c r="B10006" s="2" t="s">
        <v>754</v>
      </c>
      <c r="C10006" s="2">
        <v>667.50919999999996</v>
      </c>
      <c r="D10006" s="2">
        <f>HYPERLINK("http://mcb-m6.bioreg.kyushu-u.ac.jp/M3/20110411/F50901/1721/1", 61.4)</f>
        <v>61.4</v>
      </c>
      <c r="E10006" s="2">
        <v>34.35</v>
      </c>
      <c r="F10006" s="2">
        <v>2</v>
      </c>
      <c r="G10006" s="2" t="s">
        <v>10</v>
      </c>
    </row>
    <row r="10007" spans="1:9" x14ac:dyDescent="0.2">
      <c r="A10007" s="2" t="s">
        <v>3747</v>
      </c>
      <c r="B10007" s="2" t="s">
        <v>2016</v>
      </c>
      <c r="C10007" s="2">
        <v>777.47170000000006</v>
      </c>
      <c r="D10007" s="2">
        <f>HYPERLINK("http://mcb-m6.bioreg.kyushu-u.ac.jp/M3/20110411/F50901/2212/1", 61.9)</f>
        <v>61.9</v>
      </c>
      <c r="E10007" s="2">
        <v>45.77</v>
      </c>
      <c r="F10007" s="2">
        <v>2</v>
      </c>
      <c r="G10007" s="2" t="s">
        <v>10</v>
      </c>
    </row>
    <row r="10008" spans="1:9" x14ac:dyDescent="0.2">
      <c r="A10008" s="2" t="s">
        <v>3747</v>
      </c>
      <c r="B10008" s="2" t="s">
        <v>1236</v>
      </c>
      <c r="C10008" s="2">
        <v>762.9117</v>
      </c>
      <c r="D10008" s="2">
        <f>HYPERLINK("http://mcb-m6.bioreg.kyushu-u.ac.jp/M3/20110411/F50901/2139/1", 79.98)</f>
        <v>79.98</v>
      </c>
      <c r="E10008" s="2">
        <v>60.42</v>
      </c>
      <c r="F10008" s="2">
        <v>2</v>
      </c>
      <c r="G10008" s="2" t="s">
        <v>10</v>
      </c>
    </row>
    <row r="10009" spans="1:9" x14ac:dyDescent="0.2">
      <c r="A10009" s="2" t="s">
        <v>3747</v>
      </c>
      <c r="B10009" s="2" t="s">
        <v>2281</v>
      </c>
      <c r="C10009" s="2">
        <v>693.40620000000001</v>
      </c>
      <c r="D10009" s="2">
        <f>HYPERLINK("http://mcb-m6.bioreg.kyushu-u.ac.jp/M3/20110414/F50943/1594/1", 42.68)</f>
        <v>42.68</v>
      </c>
      <c r="E10009" s="2">
        <v>26.85</v>
      </c>
      <c r="F10009" s="2">
        <v>2</v>
      </c>
      <c r="G10009" s="2" t="s">
        <v>11</v>
      </c>
    </row>
    <row r="10010" spans="1:9" x14ac:dyDescent="0.2">
      <c r="A10010" s="2" t="s">
        <v>3747</v>
      </c>
      <c r="B10010" s="2" t="s">
        <v>2016</v>
      </c>
      <c r="C10010" s="2">
        <v>777.22270000000003</v>
      </c>
      <c r="D10010" s="2">
        <f>HYPERLINK("http://mcb-m6.bioreg.kyushu-u.ac.jp/M3/20110414/F50943/2117/1", 53.16)</f>
        <v>53.16</v>
      </c>
      <c r="E10010" s="2">
        <v>37.71</v>
      </c>
      <c r="F10010" s="2">
        <v>2</v>
      </c>
      <c r="G10010" s="2" t="s">
        <v>11</v>
      </c>
    </row>
    <row r="10011" spans="1:9" x14ac:dyDescent="0.2">
      <c r="A10011" s="2" t="s">
        <v>3747</v>
      </c>
      <c r="B10011" s="2" t="s">
        <v>1236</v>
      </c>
      <c r="C10011" s="2">
        <v>762.82759999999996</v>
      </c>
      <c r="D10011" s="2">
        <f>HYPERLINK("http://mcb-m6.bioreg.kyushu-u.ac.jp/M3/20110414/F50943/2029/1", 60.02)</f>
        <v>60.02</v>
      </c>
      <c r="E10011" s="2">
        <v>44.54</v>
      </c>
      <c r="F10011" s="2">
        <v>2</v>
      </c>
      <c r="G10011" s="2" t="s">
        <v>11</v>
      </c>
    </row>
    <row r="10012" spans="1:9" x14ac:dyDescent="0.2">
      <c r="A10012" s="2" t="s">
        <v>3747</v>
      </c>
      <c r="B10012" s="2" t="s">
        <v>2461</v>
      </c>
      <c r="C10012" s="2">
        <v>589.69920000000002</v>
      </c>
      <c r="D10012" s="2">
        <f>HYPERLINK("http://mcb-m6.bioreg.kyushu-u.ac.jp/M3/20110414/F50943/1191/1", 71.08)</f>
        <v>71.08</v>
      </c>
      <c r="E10012" s="2">
        <v>48.56</v>
      </c>
      <c r="F10012" s="2">
        <v>2</v>
      </c>
      <c r="G10012" s="2" t="s">
        <v>11</v>
      </c>
    </row>
    <row r="10013" spans="1:9" x14ac:dyDescent="0.2">
      <c r="A10013" s="2" t="s">
        <v>3747</v>
      </c>
      <c r="B10013" s="2" t="s">
        <v>2496</v>
      </c>
      <c r="C10013" s="2">
        <v>806.93470000000002</v>
      </c>
      <c r="D10013" s="2">
        <f>HYPERLINK("http://mcb-m6.bioreg.kyushu-u.ac.jp/M3/20110414/F50943/2287/1", 85.14)</f>
        <v>85.14</v>
      </c>
      <c r="E10013" s="2">
        <v>68.48</v>
      </c>
      <c r="F10013" s="2">
        <v>2</v>
      </c>
      <c r="G10013" s="2" t="s">
        <v>11</v>
      </c>
      <c r="I10013" s="2" t="s">
        <v>4893</v>
      </c>
    </row>
    <row r="10014" spans="1:9" x14ac:dyDescent="0.2">
      <c r="A10014" s="2" t="s">
        <v>3747</v>
      </c>
      <c r="B10014" s="2" t="s">
        <v>2622</v>
      </c>
      <c r="C10014" s="2">
        <v>799.77120000000002</v>
      </c>
      <c r="D10014" s="2">
        <f>HYPERLINK("http://mcb-m6.bioreg.kyushu-u.ac.jp/M3/20110414/F50949/2821/1", 43.58)</f>
        <v>43.58</v>
      </c>
      <c r="E10014" s="2">
        <v>30.96</v>
      </c>
      <c r="F10014" s="2">
        <v>3</v>
      </c>
      <c r="G10014" s="2" t="s">
        <v>12</v>
      </c>
    </row>
    <row r="10015" spans="1:9" x14ac:dyDescent="0.2">
      <c r="A10015" s="2" t="s">
        <v>3747</v>
      </c>
      <c r="B10015" s="2" t="s">
        <v>754</v>
      </c>
      <c r="C10015" s="2">
        <v>667.42970000000003</v>
      </c>
      <c r="D10015" s="2">
        <f>HYPERLINK("http://mcb-m6.bioreg.kyushu-u.ac.jp/M3/20110414/F50949/1971/1", 61.07)</f>
        <v>61.07</v>
      </c>
      <c r="E10015" s="2">
        <v>33.86</v>
      </c>
      <c r="F10015" s="2">
        <v>2</v>
      </c>
      <c r="G10015" s="2" t="s">
        <v>12</v>
      </c>
    </row>
    <row r="10016" spans="1:9" x14ac:dyDescent="0.2">
      <c r="A10016" s="2" t="s">
        <v>3747</v>
      </c>
      <c r="B10016" s="2" t="s">
        <v>2723</v>
      </c>
      <c r="C10016" s="2">
        <v>772.53470000000004</v>
      </c>
      <c r="D10016" s="2">
        <f>HYPERLINK("http://mcb-m6.bioreg.kyushu-u.ac.jp/M3/20110414/F50949/2217/1", 64.32)</f>
        <v>64.319999999999993</v>
      </c>
      <c r="E10016" s="2">
        <v>43.4</v>
      </c>
      <c r="F10016" s="2">
        <v>2</v>
      </c>
      <c r="G10016" s="2" t="s">
        <v>12</v>
      </c>
    </row>
    <row r="10017" spans="1:9" x14ac:dyDescent="0.2">
      <c r="A10017" s="2" t="s">
        <v>3747</v>
      </c>
      <c r="B10017" s="2" t="s">
        <v>3054</v>
      </c>
      <c r="C10017" s="2">
        <v>758.16859999999997</v>
      </c>
      <c r="D10017" s="2">
        <f>HYPERLINK("http://mcb-m6.bioreg.kyushu-u.ac.jp/M3/20110502/F51185/1985/1", 40.55)</f>
        <v>40.549999999999997</v>
      </c>
      <c r="E10017" s="2">
        <v>16.11</v>
      </c>
      <c r="F10017" s="2">
        <v>2</v>
      </c>
      <c r="G10017" s="2" t="s">
        <v>14</v>
      </c>
      <c r="I10017" s="2" t="s">
        <v>4893</v>
      </c>
    </row>
    <row r="10018" spans="1:9" x14ac:dyDescent="0.2">
      <c r="A10018" s="2" t="s">
        <v>4464</v>
      </c>
      <c r="B10018" s="2" t="s">
        <v>2396</v>
      </c>
      <c r="C10018" s="2">
        <v>853.94370000000004</v>
      </c>
      <c r="D10018" s="2">
        <f>HYPERLINK("http://mcb-m6.bioreg.kyushu-u.ac.jp/M3/20110414/F50945/2577/1", 54.8)</f>
        <v>54.8</v>
      </c>
      <c r="E10018" s="2">
        <v>38.4</v>
      </c>
      <c r="F10018" s="2">
        <v>2</v>
      </c>
      <c r="G10018" s="2" t="s">
        <v>11</v>
      </c>
    </row>
    <row r="10019" spans="1:9" x14ac:dyDescent="0.2">
      <c r="A10019" s="2" t="s">
        <v>4464</v>
      </c>
      <c r="B10019" s="2" t="s">
        <v>2396</v>
      </c>
      <c r="C10019" s="2">
        <v>854.39620000000002</v>
      </c>
      <c r="D10019" s="2">
        <f>HYPERLINK("http://mcb-m6.bioreg.kyushu-u.ac.jp/M3/20110414/F50946/2563/1", 62.86)</f>
        <v>62.86</v>
      </c>
      <c r="E10019" s="2">
        <v>46.42</v>
      </c>
      <c r="F10019" s="2">
        <v>2</v>
      </c>
      <c r="G10019" s="2" t="s">
        <v>12</v>
      </c>
    </row>
    <row r="10020" spans="1:9" x14ac:dyDescent="0.2">
      <c r="A10020" s="2" t="s">
        <v>4464</v>
      </c>
      <c r="B10020" s="2" t="s">
        <v>2396</v>
      </c>
      <c r="C10020" s="2">
        <v>853.84559999999999</v>
      </c>
      <c r="D10020" s="2">
        <f>HYPERLINK("http://mcb-m6.bioreg.kyushu-u.ac.jp/M3/20110414/F50946/2559/1", 63.07)</f>
        <v>63.07</v>
      </c>
      <c r="E10020" s="2">
        <v>50.38</v>
      </c>
      <c r="F10020" s="2">
        <v>2</v>
      </c>
      <c r="G10020" s="2" t="s">
        <v>12</v>
      </c>
    </row>
    <row r="10021" spans="1:9" x14ac:dyDescent="0.2">
      <c r="A10021" s="2" t="s">
        <v>4464</v>
      </c>
      <c r="B10021" s="2" t="s">
        <v>2847</v>
      </c>
      <c r="C10021" s="2">
        <v>490.50060000000002</v>
      </c>
      <c r="D10021" s="2">
        <f>HYPERLINK("http://mcb-m6.bioreg.kyushu-u.ac.jp/M3/20110502/F51180/677/1", 38.93)</f>
        <v>38.93</v>
      </c>
      <c r="E10021" s="2">
        <v>13.09</v>
      </c>
      <c r="F10021" s="2">
        <v>2</v>
      </c>
      <c r="G10021" s="2" t="s">
        <v>13</v>
      </c>
    </row>
    <row r="10022" spans="1:9" x14ac:dyDescent="0.2">
      <c r="A10022" s="2" t="s">
        <v>4464</v>
      </c>
      <c r="B10022" s="2" t="s">
        <v>2396</v>
      </c>
      <c r="C10022" s="2">
        <v>854.1807</v>
      </c>
      <c r="D10022" s="2">
        <f>HYPERLINK("http://mcb-m6.bioreg.kyushu-u.ac.jp/M3/20110502/F51180/2413/1", 67.78)</f>
        <v>67.78</v>
      </c>
      <c r="E10022" s="2">
        <v>50.58</v>
      </c>
      <c r="F10022" s="2">
        <v>2</v>
      </c>
      <c r="G10022" s="2" t="s">
        <v>13</v>
      </c>
    </row>
    <row r="10023" spans="1:9" x14ac:dyDescent="0.2">
      <c r="A10023" s="2" t="s">
        <v>3920</v>
      </c>
      <c r="B10023" s="2" t="s">
        <v>1095</v>
      </c>
      <c r="C10023" s="2">
        <v>709.48220000000003</v>
      </c>
      <c r="D10023" s="2">
        <f>HYPERLINK("http://mcb-m6.bioreg.kyushu-u.ac.jp/M3/20110411/F50911/1918/1", 62.91)</f>
        <v>62.91</v>
      </c>
      <c r="E10023" s="2">
        <v>42</v>
      </c>
      <c r="F10023" s="2">
        <v>2</v>
      </c>
      <c r="G10023" s="2" t="s">
        <v>9</v>
      </c>
      <c r="I10023" s="2" t="s">
        <v>4914</v>
      </c>
    </row>
    <row r="10024" spans="1:9" x14ac:dyDescent="0.2">
      <c r="A10024" s="2" t="s">
        <v>3920</v>
      </c>
      <c r="B10024" s="2" t="s">
        <v>1095</v>
      </c>
      <c r="C10024" s="2">
        <v>709.25869999999998</v>
      </c>
      <c r="D10024" s="2">
        <f>HYPERLINK("http://mcb-m6.bioreg.kyushu-u.ac.jp/M3/20110411/F50914/1939/1", 48.11)</f>
        <v>48.11</v>
      </c>
      <c r="E10024" s="2">
        <v>34</v>
      </c>
      <c r="F10024" s="2">
        <v>2</v>
      </c>
      <c r="G10024" s="2" t="s">
        <v>10</v>
      </c>
      <c r="I10024" s="2" t="s">
        <v>4914</v>
      </c>
    </row>
    <row r="10025" spans="1:9" x14ac:dyDescent="0.2">
      <c r="A10025" s="2" t="s">
        <v>3920</v>
      </c>
      <c r="B10025" s="2" t="s">
        <v>1949</v>
      </c>
      <c r="C10025" s="2">
        <v>833.59559999999999</v>
      </c>
      <c r="D10025" s="2">
        <f>HYPERLINK("http://mcb-m6.bioreg.kyushu-u.ac.jp/M3/20110411/F50914/2517/1", 53.05)</f>
        <v>53.05</v>
      </c>
      <c r="E10025" s="2">
        <v>39</v>
      </c>
      <c r="F10025" s="2">
        <v>2</v>
      </c>
      <c r="G10025" s="2" t="s">
        <v>10</v>
      </c>
    </row>
    <row r="10026" spans="1:9" x14ac:dyDescent="0.2">
      <c r="A10026" s="2" t="s">
        <v>3920</v>
      </c>
      <c r="B10026" s="2" t="s">
        <v>1095</v>
      </c>
      <c r="C10026" s="2">
        <v>709.88710000000003</v>
      </c>
      <c r="D10026" s="2">
        <f>HYPERLINK("http://mcb-m6.bioreg.kyushu-u.ac.jp/M3/20110411/F50914/1942/1", 66.51)</f>
        <v>66.510000000000005</v>
      </c>
      <c r="E10026" s="2">
        <v>51.58</v>
      </c>
      <c r="F10026" s="2">
        <v>2</v>
      </c>
      <c r="G10026" s="2" t="s">
        <v>10</v>
      </c>
      <c r="I10026" s="2" t="s">
        <v>4914</v>
      </c>
    </row>
    <row r="10027" spans="1:9" x14ac:dyDescent="0.2">
      <c r="A10027" s="2" t="s">
        <v>3920</v>
      </c>
      <c r="B10027" s="2" t="s">
        <v>1949</v>
      </c>
      <c r="C10027" s="2">
        <v>833.46370000000002</v>
      </c>
      <c r="D10027" s="2">
        <f>HYPERLINK("http://mcb-m6.bioreg.kyushu-u.ac.jp/M3/20110414/F50948/2642/1", 56.81)</f>
        <v>56.81</v>
      </c>
      <c r="E10027" s="2">
        <v>37.36</v>
      </c>
      <c r="F10027" s="2">
        <v>2</v>
      </c>
      <c r="G10027" s="2" t="s">
        <v>12</v>
      </c>
    </row>
    <row r="10028" spans="1:9" x14ac:dyDescent="0.2">
      <c r="A10028" s="2" t="s">
        <v>3920</v>
      </c>
      <c r="B10028" s="2" t="s">
        <v>2750</v>
      </c>
      <c r="C10028" s="2">
        <v>826.26819999999998</v>
      </c>
      <c r="D10028" s="2">
        <f>HYPERLINK("http://mcb-m6.bioreg.kyushu-u.ac.jp/M3/20110414/F50948/2600/1", 76.26)</f>
        <v>76.260000000000005</v>
      </c>
      <c r="E10028" s="2">
        <v>54.58</v>
      </c>
      <c r="F10028" s="2">
        <v>2</v>
      </c>
      <c r="G10028" s="2" t="s">
        <v>12</v>
      </c>
    </row>
    <row r="10029" spans="1:9" x14ac:dyDescent="0.2">
      <c r="A10029" s="2" t="s">
        <v>3920</v>
      </c>
      <c r="B10029" s="2" t="s">
        <v>2750</v>
      </c>
      <c r="C10029" s="2">
        <v>826.80269999999996</v>
      </c>
      <c r="D10029" s="2">
        <f>HYPERLINK("http://mcb-m6.bioreg.kyushu-u.ac.jp/M3/20110502/F51183/2361/1", 109.58)</f>
        <v>109.58</v>
      </c>
      <c r="E10029" s="2">
        <v>89.11</v>
      </c>
      <c r="F10029" s="2">
        <v>2</v>
      </c>
      <c r="G10029" s="2" t="s">
        <v>14</v>
      </c>
    </row>
    <row r="10030" spans="1:9" x14ac:dyDescent="0.2">
      <c r="A10030" s="2" t="s">
        <v>4333</v>
      </c>
      <c r="B10030" s="2" t="s">
        <v>2143</v>
      </c>
      <c r="C10030" s="2">
        <v>817.85569999999996</v>
      </c>
      <c r="D10030" s="2">
        <f>HYPERLINK("http://mcb-m6.bioreg.kyushu-u.ac.jp/M3/20110411/F50912/2402/1", 115.29)</f>
        <v>115.29</v>
      </c>
      <c r="E10030" s="2">
        <v>94.67</v>
      </c>
      <c r="F10030" s="2">
        <v>2</v>
      </c>
      <c r="G10030" s="2" t="s">
        <v>10</v>
      </c>
      <c r="I10030" s="2" t="s">
        <v>4909</v>
      </c>
    </row>
    <row r="10031" spans="1:9" x14ac:dyDescent="0.2">
      <c r="A10031" s="2" t="s">
        <v>3954</v>
      </c>
      <c r="B10031" s="2" t="s">
        <v>1160</v>
      </c>
      <c r="C10031" s="2">
        <v>857.60860000000002</v>
      </c>
      <c r="D10031" s="2">
        <f>HYPERLINK("http://mcb-m6.bioreg.kyushu-u.ac.jp/M3/20110411/F50903/2572/1", 65.42)</f>
        <v>65.42</v>
      </c>
      <c r="E10031" s="2">
        <v>52.42</v>
      </c>
      <c r="F10031" s="2">
        <v>2</v>
      </c>
      <c r="G10031" s="2" t="s">
        <v>9</v>
      </c>
    </row>
    <row r="10032" spans="1:9" x14ac:dyDescent="0.2">
      <c r="A10032" s="2" t="s">
        <v>3954</v>
      </c>
      <c r="B10032" s="2" t="s">
        <v>1160</v>
      </c>
      <c r="C10032" s="2">
        <v>857.56769999999995</v>
      </c>
      <c r="D10032" s="2">
        <f>HYPERLINK("http://mcb-m6.bioreg.kyushu-u.ac.jp/M3/20110411/F50920/2112/1", 83.92)</f>
        <v>83.92</v>
      </c>
      <c r="E10032" s="2">
        <v>71.7</v>
      </c>
      <c r="F10032" s="2">
        <v>2</v>
      </c>
      <c r="G10032" s="2" t="s">
        <v>10</v>
      </c>
    </row>
    <row r="10033" spans="1:7" x14ac:dyDescent="0.2">
      <c r="A10033" s="2" t="s">
        <v>3954</v>
      </c>
      <c r="B10033" s="2" t="s">
        <v>1160</v>
      </c>
      <c r="C10033" s="2">
        <v>857.33920000000001</v>
      </c>
      <c r="D10033" s="2">
        <f>HYPERLINK("http://mcb-m6.bioreg.kyushu-u.ac.jp/M3/20110414/F50924/2636/1", 65.7)</f>
        <v>65.7</v>
      </c>
      <c r="E10033" s="2">
        <v>55.84</v>
      </c>
      <c r="F10033" s="2">
        <v>2</v>
      </c>
      <c r="G10033" s="2" t="s">
        <v>11</v>
      </c>
    </row>
    <row r="10034" spans="1:7" x14ac:dyDescent="0.2">
      <c r="A10034" s="2" t="s">
        <v>3954</v>
      </c>
      <c r="B10034" s="2" t="s">
        <v>1160</v>
      </c>
      <c r="C10034" s="2">
        <v>857.90219999999999</v>
      </c>
      <c r="D10034" s="2">
        <f>HYPERLINK("http://mcb-m6.bioreg.kyushu-u.ac.jp/M3/20110414/F50930/2475/1", 99.12)</f>
        <v>99.12</v>
      </c>
      <c r="E10034" s="2">
        <v>81.63</v>
      </c>
      <c r="F10034" s="2">
        <v>2</v>
      </c>
      <c r="G10034" s="2" t="s">
        <v>12</v>
      </c>
    </row>
    <row r="10035" spans="1:7" x14ac:dyDescent="0.2">
      <c r="A10035" s="2" t="s">
        <v>4788</v>
      </c>
      <c r="B10035" s="2" t="s">
        <v>3023</v>
      </c>
      <c r="C10035" s="2">
        <v>835.79669999999999</v>
      </c>
      <c r="D10035" s="2">
        <f>HYPERLINK("http://mcb-m6.bioreg.kyushu-u.ac.jp/M3/20110502/F51182/2455/1", 38.43)</f>
        <v>38.43</v>
      </c>
      <c r="E10035" s="2">
        <v>14.45</v>
      </c>
      <c r="F10035" s="2">
        <v>2</v>
      </c>
      <c r="G10035" s="2" t="s">
        <v>14</v>
      </c>
    </row>
    <row r="10036" spans="1:7" x14ac:dyDescent="0.2">
      <c r="A10036" s="2" t="s">
        <v>3438</v>
      </c>
      <c r="B10036" s="2" t="s">
        <v>246</v>
      </c>
      <c r="C10036" s="2">
        <v>537.91309999999999</v>
      </c>
      <c r="D10036" s="2">
        <f>HYPERLINK("http://mcb-m6.bioreg.kyushu-u.ac.jp/M3/20110411/F50891/1121/1", 38.41)</f>
        <v>38.409999999999997</v>
      </c>
      <c r="E10036" s="2">
        <v>9.08</v>
      </c>
      <c r="F10036" s="2">
        <v>2</v>
      </c>
      <c r="G10036" s="2" t="s">
        <v>9</v>
      </c>
    </row>
    <row r="10037" spans="1:7" x14ac:dyDescent="0.2">
      <c r="A10037" s="2" t="s">
        <v>3871</v>
      </c>
      <c r="B10037" s="2" t="s">
        <v>990</v>
      </c>
      <c r="C10037" s="2">
        <v>625.38019999999995</v>
      </c>
      <c r="D10037" s="2">
        <f>HYPERLINK("http://mcb-m6.bioreg.kyushu-u.ac.jp/M3/20110411/F50916/1292/1", 58.01)</f>
        <v>58.01</v>
      </c>
      <c r="E10037" s="2">
        <v>31.95</v>
      </c>
      <c r="F10037" s="2">
        <v>2</v>
      </c>
      <c r="G10037" s="2" t="s">
        <v>9</v>
      </c>
    </row>
    <row r="10038" spans="1:7" x14ac:dyDescent="0.2">
      <c r="A10038" s="2" t="s">
        <v>3871</v>
      </c>
      <c r="B10038" s="2" t="s">
        <v>990</v>
      </c>
      <c r="C10038" s="2">
        <v>625.15719999999999</v>
      </c>
      <c r="D10038" s="2">
        <f>HYPERLINK("http://mcb-m6.bioreg.kyushu-u.ac.jp/M3/20110414/F50956/1181/1", 50.47)</f>
        <v>50.47</v>
      </c>
      <c r="E10038" s="2">
        <v>37.15</v>
      </c>
      <c r="F10038" s="2">
        <v>2</v>
      </c>
      <c r="G10038" s="2" t="s">
        <v>11</v>
      </c>
    </row>
    <row r="10039" spans="1:7" x14ac:dyDescent="0.2">
      <c r="A10039" s="2" t="s">
        <v>3871</v>
      </c>
      <c r="B10039" s="2" t="s">
        <v>990</v>
      </c>
      <c r="C10039" s="2">
        <v>625.05470000000003</v>
      </c>
      <c r="D10039" s="2">
        <f>HYPERLINK("http://mcb-m6.bioreg.kyushu-u.ac.jp/M3/20110414/F50958/1245/1", 57.03)</f>
        <v>57.03</v>
      </c>
      <c r="E10039" s="2">
        <v>36.090000000000003</v>
      </c>
      <c r="F10039" s="2">
        <v>2</v>
      </c>
      <c r="G10039" s="2" t="s">
        <v>12</v>
      </c>
    </row>
    <row r="10040" spans="1:7" x14ac:dyDescent="0.2">
      <c r="A10040" s="2" t="s">
        <v>3871</v>
      </c>
      <c r="B10040" s="2" t="s">
        <v>990</v>
      </c>
      <c r="C10040" s="2">
        <v>625.47469999999998</v>
      </c>
      <c r="D10040" s="2">
        <f>HYPERLINK("http://mcb-m6.bioreg.kyushu-u.ac.jp/M3/20110502/F51189/1275/1", 38.82)</f>
        <v>38.82</v>
      </c>
      <c r="E10040" s="2">
        <v>18.25</v>
      </c>
      <c r="F10040" s="2">
        <v>2</v>
      </c>
      <c r="G10040" s="2" t="s">
        <v>13</v>
      </c>
    </row>
    <row r="10041" spans="1:7" x14ac:dyDescent="0.2">
      <c r="A10041" s="2" t="s">
        <v>3871</v>
      </c>
      <c r="B10041" s="2" t="s">
        <v>990</v>
      </c>
      <c r="C10041" s="2">
        <v>625.58969999999999</v>
      </c>
      <c r="D10041" s="2">
        <f>HYPERLINK("http://mcb-m6.bioreg.kyushu-u.ac.jp/M3/20110502/F51172/1409/1", 62.17)</f>
        <v>62.17</v>
      </c>
      <c r="E10041" s="2">
        <v>33.79</v>
      </c>
      <c r="F10041" s="2">
        <v>2</v>
      </c>
      <c r="G10041" s="2" t="s">
        <v>13</v>
      </c>
    </row>
    <row r="10042" spans="1:7" x14ac:dyDescent="0.2">
      <c r="A10042" s="2" t="s">
        <v>3871</v>
      </c>
      <c r="B10042" s="2" t="s">
        <v>990</v>
      </c>
      <c r="C10042" s="2">
        <v>625.48519999999996</v>
      </c>
      <c r="D10042" s="2">
        <f>HYPERLINK("http://mcb-m6.bioreg.kyushu-u.ac.jp/M3/20110502/F51193/1269/1", 57.49)</f>
        <v>57.49</v>
      </c>
      <c r="E10042" s="2">
        <v>16.14</v>
      </c>
      <c r="F10042" s="2">
        <v>2</v>
      </c>
      <c r="G10042" s="2" t="s">
        <v>14</v>
      </c>
    </row>
    <row r="10043" spans="1:7" x14ac:dyDescent="0.2">
      <c r="A10043" s="2" t="s">
        <v>4871</v>
      </c>
      <c r="B10043" s="2" t="s">
        <v>3175</v>
      </c>
      <c r="C10043" s="2">
        <v>656.49959999999999</v>
      </c>
      <c r="D10043" s="2">
        <f>HYPERLINK("http://mcb-m6.bioreg.kyushu-u.ac.jp/M3/20110502/F51193/1369/1", 61.87)</f>
        <v>61.87</v>
      </c>
      <c r="E10043" s="2">
        <v>46.48</v>
      </c>
      <c r="F10043" s="2">
        <v>2</v>
      </c>
      <c r="G10043" s="2" t="s">
        <v>14</v>
      </c>
    </row>
    <row r="10044" spans="1:7" x14ac:dyDescent="0.2">
      <c r="A10044" s="2" t="s">
        <v>3810</v>
      </c>
      <c r="B10044" s="2" t="s">
        <v>870</v>
      </c>
      <c r="C10044" s="2">
        <v>576.87919999999997</v>
      </c>
      <c r="D10044" s="2">
        <f>HYPERLINK("http://mcb-m6.bioreg.kyushu-u.ac.jp/M3/20110411/F50915/1062/1", 54.05)</f>
        <v>54.05</v>
      </c>
      <c r="E10044" s="2">
        <v>21.27</v>
      </c>
      <c r="F10044" s="2">
        <v>2</v>
      </c>
      <c r="G10044" s="2" t="s">
        <v>9</v>
      </c>
    </row>
    <row r="10045" spans="1:7" x14ac:dyDescent="0.2">
      <c r="A10045" s="2" t="s">
        <v>3810</v>
      </c>
      <c r="B10045" s="2" t="s">
        <v>870</v>
      </c>
      <c r="C10045" s="2">
        <v>576.40060000000005</v>
      </c>
      <c r="D10045" s="2">
        <f>HYPERLINK("http://mcb-m6.bioreg.kyushu-u.ac.jp/M3/20110411/F50916/1073/1", 62.38)</f>
        <v>62.38</v>
      </c>
      <c r="E10045" s="2">
        <v>25.21</v>
      </c>
      <c r="F10045" s="2">
        <v>2</v>
      </c>
      <c r="G10045" s="2" t="s">
        <v>9</v>
      </c>
    </row>
    <row r="10046" spans="1:7" x14ac:dyDescent="0.2">
      <c r="A10046" s="2" t="s">
        <v>3810</v>
      </c>
      <c r="B10046" s="2" t="s">
        <v>1343</v>
      </c>
      <c r="C10046" s="2">
        <v>757.59860000000003</v>
      </c>
      <c r="D10046" s="2">
        <f>HYPERLINK("http://mcb-m6.bioreg.kyushu-u.ac.jp/M3/20110411/F50895/2177/2", 74.15)</f>
        <v>74.150000000000006</v>
      </c>
      <c r="E10046" s="2">
        <v>36.869999999999997</v>
      </c>
      <c r="F10046" s="2">
        <v>2</v>
      </c>
      <c r="G10046" s="2" t="s">
        <v>9</v>
      </c>
    </row>
    <row r="10047" spans="1:7" x14ac:dyDescent="0.2">
      <c r="A10047" s="2" t="s">
        <v>3810</v>
      </c>
      <c r="B10047" s="2" t="s">
        <v>1343</v>
      </c>
      <c r="C10047" s="2">
        <v>1513.7840000000001</v>
      </c>
      <c r="D10047" s="2">
        <f>HYPERLINK("http://mcb-m6.bioreg.kyushu-u.ac.jp/M3/20110411/F50915/2003/2", 78.27)</f>
        <v>78.27</v>
      </c>
      <c r="E10047" s="2">
        <v>61.74</v>
      </c>
      <c r="F10047" s="2">
        <v>1</v>
      </c>
      <c r="G10047" s="2" t="s">
        <v>9</v>
      </c>
    </row>
    <row r="10048" spans="1:7" x14ac:dyDescent="0.2">
      <c r="A10048" s="2" t="s">
        <v>3810</v>
      </c>
      <c r="B10048" s="2" t="s">
        <v>1343</v>
      </c>
      <c r="C10048" s="2">
        <v>757.46559999999999</v>
      </c>
      <c r="D10048" s="2">
        <f>HYPERLINK("http://mcb-m6.bioreg.kyushu-u.ac.jp/M3/20110411/F50916/1990/2", 83.98)</f>
        <v>83.98</v>
      </c>
      <c r="E10048" s="2">
        <v>53.32</v>
      </c>
      <c r="F10048" s="2">
        <v>2</v>
      </c>
      <c r="G10048" s="2" t="s">
        <v>9</v>
      </c>
    </row>
    <row r="10049" spans="1:7" x14ac:dyDescent="0.2">
      <c r="A10049" s="2" t="s">
        <v>3810</v>
      </c>
      <c r="B10049" s="2" t="s">
        <v>1343</v>
      </c>
      <c r="C10049" s="2">
        <v>757.43709999999999</v>
      </c>
      <c r="D10049" s="2">
        <f>HYPERLINK("http://mcb-m6.bioreg.kyushu-u.ac.jp/M3/20110411/F50915/2004/2", 98.87)</f>
        <v>98.87</v>
      </c>
      <c r="E10049" s="2">
        <v>73.3</v>
      </c>
      <c r="F10049" s="2">
        <v>2</v>
      </c>
      <c r="G10049" s="2" t="s">
        <v>9</v>
      </c>
    </row>
    <row r="10050" spans="1:7" x14ac:dyDescent="0.2">
      <c r="A10050" s="2" t="s">
        <v>3810</v>
      </c>
      <c r="B10050" s="2" t="s">
        <v>1343</v>
      </c>
      <c r="C10050" s="2">
        <v>757.71619999999996</v>
      </c>
      <c r="D10050" s="2">
        <f>HYPERLINK("http://mcb-m6.bioreg.kyushu-u.ac.jp/M3/20110411/F50918/1970/2", 60.57)</f>
        <v>60.57</v>
      </c>
      <c r="E10050" s="2">
        <v>27.57</v>
      </c>
      <c r="F10050" s="2">
        <v>2</v>
      </c>
      <c r="G10050" s="2" t="s">
        <v>10</v>
      </c>
    </row>
    <row r="10051" spans="1:7" x14ac:dyDescent="0.2">
      <c r="A10051" s="2" t="s">
        <v>3810</v>
      </c>
      <c r="B10051" s="2" t="s">
        <v>1343</v>
      </c>
      <c r="C10051" s="2">
        <v>757.44870000000003</v>
      </c>
      <c r="D10051" s="2">
        <f>HYPERLINK("http://mcb-m6.bioreg.kyushu-u.ac.jp/M3/20110411/F50901/2121/2", 72.35)</f>
        <v>72.349999999999994</v>
      </c>
      <c r="E10051" s="2">
        <v>48.95</v>
      </c>
      <c r="F10051" s="2">
        <v>2</v>
      </c>
      <c r="G10051" s="2" t="s">
        <v>10</v>
      </c>
    </row>
    <row r="10052" spans="1:7" x14ac:dyDescent="0.2">
      <c r="A10052" s="2" t="s">
        <v>3810</v>
      </c>
      <c r="B10052" s="2" t="s">
        <v>1343</v>
      </c>
      <c r="C10052" s="2">
        <v>757.43219999999997</v>
      </c>
      <c r="D10052" s="2">
        <f>HYPERLINK("http://mcb-m6.bioreg.kyushu-u.ac.jp/M3/20110414/F50944/2191/2", 53.71)</f>
        <v>53.71</v>
      </c>
      <c r="E10052" s="2">
        <v>36.090000000000003</v>
      </c>
      <c r="F10052" s="2">
        <v>2</v>
      </c>
      <c r="G10052" s="2" t="s">
        <v>11</v>
      </c>
    </row>
    <row r="10053" spans="1:7" x14ac:dyDescent="0.2">
      <c r="A10053" s="2" t="s">
        <v>3810</v>
      </c>
      <c r="B10053" s="2" t="s">
        <v>1343</v>
      </c>
      <c r="C10053" s="2">
        <v>1513.4580000000001</v>
      </c>
      <c r="D10053" s="2">
        <f>HYPERLINK("http://mcb-m6.bioreg.kyushu-u.ac.jp/M3/20110414/F50956/2045/2", 78.25)</f>
        <v>78.25</v>
      </c>
      <c r="E10053" s="2">
        <v>60.05</v>
      </c>
      <c r="F10053" s="2">
        <v>1</v>
      </c>
      <c r="G10053" s="2" t="s">
        <v>11</v>
      </c>
    </row>
    <row r="10054" spans="1:7" x14ac:dyDescent="0.2">
      <c r="A10054" s="2" t="s">
        <v>3810</v>
      </c>
      <c r="B10054" s="2" t="s">
        <v>1343</v>
      </c>
      <c r="C10054" s="2">
        <v>757.34169999999995</v>
      </c>
      <c r="D10054" s="2">
        <f>HYPERLINK("http://mcb-m6.bioreg.kyushu-u.ac.jp/M3/20110414/F50943/2004/2", 83.3)</f>
        <v>83.3</v>
      </c>
      <c r="E10054" s="2">
        <v>53.23</v>
      </c>
      <c r="F10054" s="2">
        <v>2</v>
      </c>
      <c r="G10054" s="2" t="s">
        <v>11</v>
      </c>
    </row>
    <row r="10055" spans="1:7" x14ac:dyDescent="0.2">
      <c r="A10055" s="2" t="s">
        <v>3810</v>
      </c>
      <c r="B10055" s="2" t="s">
        <v>1343</v>
      </c>
      <c r="C10055" s="2">
        <v>757.59010000000001</v>
      </c>
      <c r="D10055" s="2">
        <f>HYPERLINK("http://mcb-m6.bioreg.kyushu-u.ac.jp/M3/20110414/F50941/2205/2", 85.47)</f>
        <v>85.47</v>
      </c>
      <c r="E10055" s="2">
        <v>52.34</v>
      </c>
      <c r="F10055" s="2">
        <v>2</v>
      </c>
      <c r="G10055" s="2" t="s">
        <v>11</v>
      </c>
    </row>
    <row r="10056" spans="1:7" x14ac:dyDescent="0.2">
      <c r="A10056" s="2" t="s">
        <v>3810</v>
      </c>
      <c r="B10056" s="2" t="s">
        <v>1343</v>
      </c>
      <c r="C10056" s="2">
        <v>757.15520000000004</v>
      </c>
      <c r="D10056" s="2">
        <f>HYPERLINK("http://mcb-m6.bioreg.kyushu-u.ac.jp/M3/20110414/F50956/2042/2", 92.77)</f>
        <v>92.77</v>
      </c>
      <c r="E10056" s="2">
        <v>53.14</v>
      </c>
      <c r="F10056" s="2">
        <v>2</v>
      </c>
      <c r="G10056" s="2" t="s">
        <v>11</v>
      </c>
    </row>
    <row r="10057" spans="1:7" x14ac:dyDescent="0.2">
      <c r="A10057" s="2" t="s">
        <v>3810</v>
      </c>
      <c r="B10057" s="2" t="s">
        <v>1343</v>
      </c>
      <c r="C10057" s="2">
        <v>757.54570000000001</v>
      </c>
      <c r="D10057" s="2">
        <f>HYPERLINK("http://mcb-m6.bioreg.kyushu-u.ac.jp/M3/20110414/F50950/2263/2", 38.42)</f>
        <v>38.42</v>
      </c>
      <c r="E10057" s="2">
        <v>10.52</v>
      </c>
      <c r="F10057" s="2">
        <v>2</v>
      </c>
      <c r="G10057" s="2" t="s">
        <v>12</v>
      </c>
    </row>
    <row r="10058" spans="1:7" x14ac:dyDescent="0.2">
      <c r="A10058" s="2" t="s">
        <v>3810</v>
      </c>
      <c r="B10058" s="2" t="s">
        <v>1343</v>
      </c>
      <c r="C10058" s="2">
        <v>757.27120000000002</v>
      </c>
      <c r="D10058" s="2">
        <f>HYPERLINK("http://mcb-m6.bioreg.kyushu-u.ac.jp/M3/20110414/F50958/2106/2", 46.95)</f>
        <v>46.95</v>
      </c>
      <c r="E10058" s="2">
        <v>32.15</v>
      </c>
      <c r="F10058" s="2">
        <v>2</v>
      </c>
      <c r="G10058" s="2" t="s">
        <v>12</v>
      </c>
    </row>
    <row r="10059" spans="1:7" x14ac:dyDescent="0.2">
      <c r="A10059" s="2" t="s">
        <v>3810</v>
      </c>
      <c r="B10059" s="2" t="s">
        <v>1343</v>
      </c>
      <c r="C10059" s="2">
        <v>757.1241</v>
      </c>
      <c r="D10059" s="2">
        <f>HYPERLINK("http://mcb-m6.bioreg.kyushu-u.ac.jp/M3/20110414/F50948/2196/2", 64.03)</f>
        <v>64.03</v>
      </c>
      <c r="E10059" s="2">
        <v>38.01</v>
      </c>
      <c r="F10059" s="2">
        <v>2</v>
      </c>
      <c r="G10059" s="2" t="s">
        <v>12</v>
      </c>
    </row>
    <row r="10060" spans="1:7" x14ac:dyDescent="0.2">
      <c r="A10060" s="2" t="s">
        <v>3810</v>
      </c>
      <c r="B10060" s="2" t="s">
        <v>1343</v>
      </c>
      <c r="C10060" s="2">
        <v>756.8981</v>
      </c>
      <c r="D10060" s="2">
        <f>HYPERLINK("http://mcb-m6.bioreg.kyushu-u.ac.jp/M3/20110414/F50950/2259/2", 74.99)</f>
        <v>74.989999999999995</v>
      </c>
      <c r="E10060" s="2">
        <v>31.5</v>
      </c>
      <c r="F10060" s="2">
        <v>2</v>
      </c>
      <c r="G10060" s="2" t="s">
        <v>12</v>
      </c>
    </row>
    <row r="10061" spans="1:7" x14ac:dyDescent="0.2">
      <c r="A10061" s="2" t="s">
        <v>3810</v>
      </c>
      <c r="B10061" s="2" t="s">
        <v>870</v>
      </c>
      <c r="C10061" s="2">
        <v>576.56410000000005</v>
      </c>
      <c r="D10061" s="2">
        <f>HYPERLINK("http://mcb-m6.bioreg.kyushu-u.ac.jp/M3/20110502/F51175/1268/1", 46.97)</f>
        <v>46.97</v>
      </c>
      <c r="E10061" s="2">
        <v>16.760000000000002</v>
      </c>
      <c r="F10061" s="2">
        <v>2</v>
      </c>
      <c r="G10061" s="2" t="s">
        <v>13</v>
      </c>
    </row>
    <row r="10062" spans="1:7" x14ac:dyDescent="0.2">
      <c r="A10062" s="2" t="s">
        <v>3810</v>
      </c>
      <c r="B10062" s="2" t="s">
        <v>870</v>
      </c>
      <c r="C10062" s="2">
        <v>576.45169999999996</v>
      </c>
      <c r="D10062" s="2">
        <f>HYPERLINK("http://mcb-m6.bioreg.kyushu-u.ac.jp/M3/20110502/F51189/1083/1", 48.92)</f>
        <v>48.92</v>
      </c>
      <c r="E10062" s="2">
        <v>20.18</v>
      </c>
      <c r="F10062" s="2">
        <v>2</v>
      </c>
      <c r="G10062" s="2" t="s">
        <v>13</v>
      </c>
    </row>
    <row r="10063" spans="1:7" x14ac:dyDescent="0.2">
      <c r="A10063" s="2" t="s">
        <v>3810</v>
      </c>
      <c r="B10063" s="2" t="s">
        <v>2919</v>
      </c>
      <c r="C10063" s="2">
        <v>705.17110000000002</v>
      </c>
      <c r="D10063" s="2">
        <f>HYPERLINK("http://mcb-m6.bioreg.kyushu-u.ac.jp/M3/20110502/F51172/1876/1", 50.74)</f>
        <v>50.74</v>
      </c>
      <c r="E10063" s="2">
        <v>19.61</v>
      </c>
      <c r="F10063" s="2">
        <v>2</v>
      </c>
      <c r="G10063" s="2" t="s">
        <v>13</v>
      </c>
    </row>
    <row r="10064" spans="1:7" x14ac:dyDescent="0.2">
      <c r="A10064" s="2" t="s">
        <v>3810</v>
      </c>
      <c r="B10064" s="2" t="s">
        <v>870</v>
      </c>
      <c r="C10064" s="2">
        <v>1151.8330000000001</v>
      </c>
      <c r="D10064" s="2">
        <f>HYPERLINK("http://mcb-m6.bioreg.kyushu-u.ac.jp/M3/20110502/F51172/1144/1", 53.93)</f>
        <v>53.93</v>
      </c>
      <c r="E10064" s="2">
        <v>7.03</v>
      </c>
      <c r="F10064" s="2">
        <v>1</v>
      </c>
      <c r="G10064" s="2" t="s">
        <v>13</v>
      </c>
    </row>
    <row r="10065" spans="1:7" x14ac:dyDescent="0.2">
      <c r="A10065" s="2" t="s">
        <v>3810</v>
      </c>
      <c r="B10065" s="2" t="s">
        <v>1343</v>
      </c>
      <c r="C10065" s="2">
        <v>757.86720000000003</v>
      </c>
      <c r="D10065" s="2">
        <f>HYPERLINK("http://mcb-m6.bioreg.kyushu-u.ac.jp/M3/20110502/F51175/2008/2", 88.97)</f>
        <v>88.97</v>
      </c>
      <c r="E10065" s="2">
        <v>52.5</v>
      </c>
      <c r="F10065" s="2">
        <v>2</v>
      </c>
      <c r="G10065" s="2" t="s">
        <v>13</v>
      </c>
    </row>
    <row r="10066" spans="1:7" x14ac:dyDescent="0.2">
      <c r="A10066" s="2" t="s">
        <v>3810</v>
      </c>
      <c r="B10066" s="2" t="s">
        <v>1343</v>
      </c>
      <c r="C10066" s="2">
        <v>757.64570000000003</v>
      </c>
      <c r="D10066" s="2">
        <f>HYPERLINK("http://mcb-m6.bioreg.kyushu-u.ac.jp/M3/20110502/F51189/1922/2", 93.81)</f>
        <v>93.81</v>
      </c>
      <c r="E10066" s="2">
        <v>64.83</v>
      </c>
      <c r="F10066" s="2">
        <v>2</v>
      </c>
      <c r="G10066" s="2" t="s">
        <v>13</v>
      </c>
    </row>
    <row r="10067" spans="1:7" x14ac:dyDescent="0.2">
      <c r="A10067" s="2" t="s">
        <v>3810</v>
      </c>
      <c r="B10067" s="2" t="s">
        <v>1343</v>
      </c>
      <c r="C10067" s="2">
        <v>757.95209999999997</v>
      </c>
      <c r="D10067" s="2">
        <f>HYPERLINK("http://mcb-m6.bioreg.kyushu-u.ac.jp/M3/20110502/F51192/1895/2", 43.24)</f>
        <v>43.24</v>
      </c>
      <c r="E10067" s="2">
        <v>24.33</v>
      </c>
      <c r="F10067" s="2">
        <v>2</v>
      </c>
      <c r="G10067" s="2" t="s">
        <v>14</v>
      </c>
    </row>
    <row r="10068" spans="1:7" x14ac:dyDescent="0.2">
      <c r="A10068" s="2" t="s">
        <v>3810</v>
      </c>
      <c r="B10068" s="2" t="s">
        <v>1343</v>
      </c>
      <c r="C10068" s="2">
        <v>757.57169999999996</v>
      </c>
      <c r="D10068" s="2">
        <f>HYPERLINK("http://mcb-m6.bioreg.kyushu-u.ac.jp/M3/20110502/F51193/2001/2", 44.55)</f>
        <v>44.55</v>
      </c>
      <c r="E10068" s="2">
        <v>30.27</v>
      </c>
      <c r="F10068" s="2">
        <v>2</v>
      </c>
      <c r="G10068" s="2" t="s">
        <v>14</v>
      </c>
    </row>
    <row r="10069" spans="1:7" x14ac:dyDescent="0.2">
      <c r="A10069" s="2" t="s">
        <v>3810</v>
      </c>
      <c r="B10069" s="2" t="s">
        <v>1343</v>
      </c>
      <c r="C10069" s="2">
        <v>757.5222</v>
      </c>
      <c r="D10069" s="2">
        <f>HYPERLINK("http://mcb-m6.bioreg.kyushu-u.ac.jp/M3/20110502/F51186/1945/2", 71.44)</f>
        <v>71.44</v>
      </c>
      <c r="E10069" s="2">
        <v>41.97</v>
      </c>
      <c r="F10069" s="2">
        <v>2</v>
      </c>
      <c r="G10069" s="2" t="s">
        <v>14</v>
      </c>
    </row>
    <row r="10070" spans="1:7" x14ac:dyDescent="0.2">
      <c r="A10070" s="2" t="s">
        <v>3378</v>
      </c>
      <c r="B10070" s="2" t="s">
        <v>170</v>
      </c>
      <c r="C10070" s="2">
        <v>1242.6010000000001</v>
      </c>
      <c r="D10070" s="2">
        <f>HYPERLINK("http://mcb-m6.bioreg.kyushu-u.ac.jp/M3/20110411/F50915/1259/1", 37.19)</f>
        <v>37.19</v>
      </c>
      <c r="E10070" s="2">
        <v>24.98</v>
      </c>
      <c r="F10070" s="2">
        <v>1</v>
      </c>
      <c r="G10070" s="2" t="s">
        <v>9</v>
      </c>
    </row>
    <row r="10071" spans="1:7" x14ac:dyDescent="0.2">
      <c r="A10071" s="2" t="s">
        <v>3378</v>
      </c>
      <c r="B10071" s="2" t="s">
        <v>1000</v>
      </c>
      <c r="C10071" s="2">
        <v>770.56619999999998</v>
      </c>
      <c r="D10071" s="2">
        <f>HYPERLINK("http://mcb-m6.bioreg.kyushu-u.ac.jp/M3/20110411/F50915/2091/1", 58.32)</f>
        <v>58.32</v>
      </c>
      <c r="E10071" s="2">
        <v>44.22</v>
      </c>
      <c r="F10071" s="2">
        <v>2</v>
      </c>
      <c r="G10071" s="2" t="s">
        <v>9</v>
      </c>
    </row>
    <row r="10072" spans="1:7" x14ac:dyDescent="0.2">
      <c r="A10072" s="2" t="s">
        <v>3378</v>
      </c>
      <c r="B10072" s="2" t="s">
        <v>170</v>
      </c>
      <c r="C10072" s="2">
        <v>621.8682</v>
      </c>
      <c r="D10072" s="2">
        <f>HYPERLINK("http://mcb-m6.bioreg.kyushu-u.ac.jp/M3/20110411/F50916/1278/1", 67.83)</f>
        <v>67.83</v>
      </c>
      <c r="E10072" s="2">
        <v>45.23</v>
      </c>
      <c r="F10072" s="2">
        <v>2</v>
      </c>
      <c r="G10072" s="2" t="s">
        <v>9</v>
      </c>
    </row>
    <row r="10073" spans="1:7" x14ac:dyDescent="0.2">
      <c r="A10073" s="2" t="s">
        <v>3378</v>
      </c>
      <c r="B10073" s="2" t="s">
        <v>1000</v>
      </c>
      <c r="C10073" s="2">
        <v>770.50019999999995</v>
      </c>
      <c r="D10073" s="2">
        <f>HYPERLINK("http://mcb-m6.bioreg.kyushu-u.ac.jp/M3/20110411/F50916/2054/1", 76.04)</f>
        <v>76.040000000000006</v>
      </c>
      <c r="E10073" s="2">
        <v>55.55</v>
      </c>
      <c r="F10073" s="2">
        <v>2</v>
      </c>
      <c r="G10073" s="2" t="s">
        <v>9</v>
      </c>
    </row>
    <row r="10074" spans="1:7" x14ac:dyDescent="0.2">
      <c r="A10074" s="2" t="s">
        <v>3378</v>
      </c>
      <c r="B10074" s="2" t="s">
        <v>1000</v>
      </c>
      <c r="C10074" s="2">
        <v>770.1816</v>
      </c>
      <c r="D10074" s="2">
        <f>HYPERLINK("http://mcb-m6.bioreg.kyushu-u.ac.jp/M3/20110414/F50956/2154/1", 67.64)</f>
        <v>67.64</v>
      </c>
      <c r="E10074" s="2">
        <v>51.45</v>
      </c>
      <c r="F10074" s="2">
        <v>2</v>
      </c>
      <c r="G10074" s="2" t="s">
        <v>11</v>
      </c>
    </row>
    <row r="10075" spans="1:7" x14ac:dyDescent="0.2">
      <c r="A10075" s="2" t="s">
        <v>3378</v>
      </c>
      <c r="B10075" s="2" t="s">
        <v>170</v>
      </c>
      <c r="C10075" s="2">
        <v>621.71420000000001</v>
      </c>
      <c r="D10075" s="2">
        <f>HYPERLINK("http://mcb-m6.bioreg.kyushu-u.ac.jp/M3/20110414/F50956/1168/1", 78.49)</f>
        <v>78.489999999999995</v>
      </c>
      <c r="E10075" s="2">
        <v>41.67</v>
      </c>
      <c r="F10075" s="2">
        <v>2</v>
      </c>
      <c r="G10075" s="2" t="s">
        <v>11</v>
      </c>
    </row>
    <row r="10076" spans="1:7" x14ac:dyDescent="0.2">
      <c r="A10076" s="2" t="s">
        <v>3378</v>
      </c>
      <c r="B10076" s="2" t="s">
        <v>170</v>
      </c>
      <c r="C10076" s="2">
        <v>621.76260000000002</v>
      </c>
      <c r="D10076" s="2">
        <f>HYPERLINK("http://mcb-m6.bioreg.kyushu-u.ac.jp/M3/20110414/F50958/1228/1", 61.53)</f>
        <v>61.53</v>
      </c>
      <c r="E10076" s="2">
        <v>36.76</v>
      </c>
      <c r="F10076" s="2">
        <v>2</v>
      </c>
      <c r="G10076" s="2" t="s">
        <v>12</v>
      </c>
    </row>
    <row r="10077" spans="1:7" x14ac:dyDescent="0.2">
      <c r="A10077" s="2" t="s">
        <v>3378</v>
      </c>
      <c r="B10077" s="2" t="s">
        <v>1000</v>
      </c>
      <c r="C10077" s="2">
        <v>770.20119999999997</v>
      </c>
      <c r="D10077" s="2">
        <f>HYPERLINK("http://mcb-m6.bioreg.kyushu-u.ac.jp/M3/20110414/F50958/2204/1", 64.19)</f>
        <v>64.19</v>
      </c>
      <c r="E10077" s="2">
        <v>46.88</v>
      </c>
      <c r="F10077" s="2">
        <v>2</v>
      </c>
      <c r="G10077" s="2" t="s">
        <v>12</v>
      </c>
    </row>
    <row r="10078" spans="1:7" x14ac:dyDescent="0.2">
      <c r="A10078" s="2" t="s">
        <v>3378</v>
      </c>
      <c r="B10078" s="2" t="s">
        <v>170</v>
      </c>
      <c r="C10078" s="2">
        <v>1242.8689999999999</v>
      </c>
      <c r="D10078" s="2">
        <f>HYPERLINK("http://mcb-m6.bioreg.kyushu-u.ac.jp/M3/20110502/F51172/1394/1", 35.01)</f>
        <v>35.01</v>
      </c>
      <c r="E10078" s="2">
        <v>15.51</v>
      </c>
      <c r="F10078" s="2">
        <v>1</v>
      </c>
      <c r="G10078" s="2" t="s">
        <v>13</v>
      </c>
    </row>
    <row r="10079" spans="1:7" x14ac:dyDescent="0.2">
      <c r="A10079" s="2" t="s">
        <v>3378</v>
      </c>
      <c r="B10079" s="2" t="s">
        <v>170</v>
      </c>
      <c r="C10079" s="2">
        <v>622.01670000000001</v>
      </c>
      <c r="D10079" s="2">
        <f>HYPERLINK("http://mcb-m6.bioreg.kyushu-u.ac.jp/M3/20110502/F51172/1395/1", 39.82)</f>
        <v>39.82</v>
      </c>
      <c r="E10079" s="2">
        <v>19.38</v>
      </c>
      <c r="F10079" s="2">
        <v>2</v>
      </c>
      <c r="G10079" s="2" t="s">
        <v>13</v>
      </c>
    </row>
    <row r="10080" spans="1:7" x14ac:dyDescent="0.2">
      <c r="A10080" s="2" t="s">
        <v>3378</v>
      </c>
      <c r="B10080" s="2" t="s">
        <v>170</v>
      </c>
      <c r="C10080" s="2">
        <v>622.10609999999997</v>
      </c>
      <c r="D10080" s="2">
        <f>HYPERLINK("http://mcb-m6.bioreg.kyushu-u.ac.jp/M3/20110502/F51172/1397/1", 68.17)</f>
        <v>68.17</v>
      </c>
      <c r="E10080" s="2">
        <v>47.85</v>
      </c>
      <c r="F10080" s="2">
        <v>2</v>
      </c>
      <c r="G10080" s="2" t="s">
        <v>13</v>
      </c>
    </row>
    <row r="10081" spans="1:7" x14ac:dyDescent="0.2">
      <c r="A10081" s="2" t="s">
        <v>3378</v>
      </c>
      <c r="B10081" s="2" t="s">
        <v>170</v>
      </c>
      <c r="C10081" s="2">
        <v>621.95209999999997</v>
      </c>
      <c r="D10081" s="2">
        <f>HYPERLINK("http://mcb-m6.bioreg.kyushu-u.ac.jp/M3/20110502/F51189/1264/1", 72.4)</f>
        <v>72.400000000000006</v>
      </c>
      <c r="E10081" s="2">
        <v>39.06</v>
      </c>
      <c r="F10081" s="2">
        <v>2</v>
      </c>
      <c r="G10081" s="2" t="s">
        <v>13</v>
      </c>
    </row>
    <row r="10082" spans="1:7" x14ac:dyDescent="0.2">
      <c r="A10082" s="2" t="s">
        <v>3378</v>
      </c>
      <c r="B10082" s="2" t="s">
        <v>1000</v>
      </c>
      <c r="C10082" s="2">
        <v>770.69269999999995</v>
      </c>
      <c r="D10082" s="2">
        <f>HYPERLINK("http://mcb-m6.bioreg.kyushu-u.ac.jp/M3/20110502/F51172/2303/1", 85.07)</f>
        <v>85.07</v>
      </c>
      <c r="E10082" s="2">
        <v>60.76</v>
      </c>
      <c r="F10082" s="2">
        <v>2</v>
      </c>
      <c r="G10082" s="2" t="s">
        <v>13</v>
      </c>
    </row>
    <row r="10083" spans="1:7" x14ac:dyDescent="0.2">
      <c r="A10083" s="2" t="s">
        <v>3378</v>
      </c>
      <c r="B10083" s="2" t="s">
        <v>170</v>
      </c>
      <c r="C10083" s="2">
        <v>622.02070000000003</v>
      </c>
      <c r="D10083" s="2">
        <f>HYPERLINK("http://mcb-m6.bioreg.kyushu-u.ac.jp/M3/20110502/F51193/1256/1", 42.22)</f>
        <v>42.22</v>
      </c>
      <c r="E10083" s="2">
        <v>17.010000000000002</v>
      </c>
      <c r="F10083" s="2">
        <v>2</v>
      </c>
      <c r="G10083" s="2" t="s">
        <v>14</v>
      </c>
    </row>
    <row r="10084" spans="1:7" x14ac:dyDescent="0.2">
      <c r="A10084" s="2" t="s">
        <v>3268</v>
      </c>
      <c r="B10084" s="2" t="s">
        <v>48</v>
      </c>
      <c r="C10084" s="2">
        <v>1160.5909999999999</v>
      </c>
      <c r="D10084" s="2">
        <f>HYPERLINK("http://mcb-m6.bioreg.kyushu-u.ac.jp/M3/20110411/F50915/1081/1", 35.42)</f>
        <v>35.42</v>
      </c>
      <c r="E10084" s="2">
        <v>24.77</v>
      </c>
      <c r="F10084" s="2">
        <v>1</v>
      </c>
      <c r="G10084" s="2" t="s">
        <v>9</v>
      </c>
    </row>
    <row r="10085" spans="1:7" x14ac:dyDescent="0.2">
      <c r="A10085" s="2" t="s">
        <v>3268</v>
      </c>
      <c r="B10085" s="2" t="s">
        <v>513</v>
      </c>
      <c r="C10085" s="2">
        <v>595.28449999999998</v>
      </c>
      <c r="D10085" s="2">
        <f>HYPERLINK("http://mcb-m6.bioreg.kyushu-u.ac.jp/M3/20110411/F50915/2781/1", 43.56)</f>
        <v>43.56</v>
      </c>
      <c r="E10085" s="2">
        <v>27.23</v>
      </c>
      <c r="F10085" s="2">
        <v>3</v>
      </c>
      <c r="G10085" s="2" t="s">
        <v>9</v>
      </c>
    </row>
    <row r="10086" spans="1:7" x14ac:dyDescent="0.2">
      <c r="A10086" s="2" t="s">
        <v>3268</v>
      </c>
      <c r="B10086" s="2" t="s">
        <v>922</v>
      </c>
      <c r="C10086" s="2">
        <v>904.91219999999998</v>
      </c>
      <c r="D10086" s="2">
        <f>HYPERLINK("http://mcb-m6.bioreg.kyushu-u.ac.jp/M3/20110411/F50915/2866/1", 55.81)</f>
        <v>55.81</v>
      </c>
      <c r="E10086" s="2">
        <v>37.64</v>
      </c>
      <c r="F10086" s="2">
        <v>2</v>
      </c>
      <c r="G10086" s="2" t="s">
        <v>9</v>
      </c>
    </row>
    <row r="10087" spans="1:7" x14ac:dyDescent="0.2">
      <c r="A10087" s="2" t="s">
        <v>3268</v>
      </c>
      <c r="B10087" s="2" t="s">
        <v>922</v>
      </c>
      <c r="C10087" s="2">
        <v>905.48720000000003</v>
      </c>
      <c r="D10087" s="2">
        <f>HYPERLINK("http://mcb-m6.bioreg.kyushu-u.ac.jp/M3/20110411/F50915/2870/1", 57.39)</f>
        <v>57.39</v>
      </c>
      <c r="E10087" s="2">
        <v>44.7</v>
      </c>
      <c r="F10087" s="2">
        <v>2</v>
      </c>
      <c r="G10087" s="2" t="s">
        <v>9</v>
      </c>
    </row>
    <row r="10088" spans="1:7" x14ac:dyDescent="0.2">
      <c r="A10088" s="2" t="s">
        <v>3268</v>
      </c>
      <c r="B10088" s="2" t="s">
        <v>1430</v>
      </c>
      <c r="C10088" s="2">
        <v>675.38319999999999</v>
      </c>
      <c r="D10088" s="2">
        <f>HYPERLINK("http://mcb-m6.bioreg.kyushu-u.ac.jp/M3/20110411/F50915/1512/2", 79.84)</f>
        <v>79.84</v>
      </c>
      <c r="E10088" s="2">
        <v>66.88</v>
      </c>
      <c r="F10088" s="2">
        <v>2</v>
      </c>
      <c r="G10088" s="2" t="s">
        <v>9</v>
      </c>
    </row>
    <row r="10089" spans="1:7" x14ac:dyDescent="0.2">
      <c r="A10089" s="2" t="s">
        <v>3268</v>
      </c>
      <c r="B10089" s="2" t="s">
        <v>513</v>
      </c>
      <c r="C10089" s="2">
        <v>892.11109999999996</v>
      </c>
      <c r="D10089" s="2">
        <f>HYPERLINK("http://mcb-m6.bioreg.kyushu-u.ac.jp/M3/20110411/F50915/2779/1", 101.01)</f>
        <v>101.01</v>
      </c>
      <c r="E10089" s="2">
        <v>83.2</v>
      </c>
      <c r="F10089" s="2">
        <v>2</v>
      </c>
      <c r="G10089" s="2" t="s">
        <v>9</v>
      </c>
    </row>
    <row r="10090" spans="1:7" x14ac:dyDescent="0.2">
      <c r="A10090" s="2" t="s">
        <v>3268</v>
      </c>
      <c r="B10090" s="2" t="s">
        <v>48</v>
      </c>
      <c r="C10090" s="2">
        <v>1160.5999999999999</v>
      </c>
      <c r="D10090" s="2">
        <f>HYPERLINK("http://mcb-m6.bioreg.kyushu-u.ac.jp/M3/20110411/F50917/1149/1", 36.01)</f>
        <v>36.01</v>
      </c>
      <c r="E10090" s="2">
        <v>25.84</v>
      </c>
      <c r="F10090" s="2">
        <v>1</v>
      </c>
      <c r="G10090" s="2" t="s">
        <v>10</v>
      </c>
    </row>
    <row r="10091" spans="1:7" x14ac:dyDescent="0.2">
      <c r="A10091" s="2" t="s">
        <v>3268</v>
      </c>
      <c r="B10091" s="2" t="s">
        <v>1831</v>
      </c>
      <c r="C10091" s="2">
        <v>571.44569999999999</v>
      </c>
      <c r="D10091" s="2">
        <f>HYPERLINK("http://mcb-m6.bioreg.kyushu-u.ac.jp/M3/20110411/F50917/1099/1", 41.85)</f>
        <v>41.85</v>
      </c>
      <c r="E10091" s="2">
        <v>17.96</v>
      </c>
      <c r="F10091" s="2">
        <v>2</v>
      </c>
      <c r="G10091" s="2" t="s">
        <v>10</v>
      </c>
    </row>
    <row r="10092" spans="1:7" x14ac:dyDescent="0.2">
      <c r="A10092" s="2" t="s">
        <v>3268</v>
      </c>
      <c r="B10092" s="2" t="s">
        <v>922</v>
      </c>
      <c r="C10092" s="2">
        <v>905.44820000000004</v>
      </c>
      <c r="D10092" s="2">
        <f>HYPERLINK("http://mcb-m6.bioreg.kyushu-u.ac.jp/M3/20110414/F50956/3040/1", 36.36)</f>
        <v>36.36</v>
      </c>
      <c r="E10092" s="2">
        <v>25.81</v>
      </c>
      <c r="F10092" s="2">
        <v>2</v>
      </c>
      <c r="G10092" s="2" t="s">
        <v>11</v>
      </c>
    </row>
    <row r="10093" spans="1:7" x14ac:dyDescent="0.2">
      <c r="A10093" s="2" t="s">
        <v>3268</v>
      </c>
      <c r="B10093" s="2" t="s">
        <v>48</v>
      </c>
      <c r="C10093" s="2">
        <v>1160.2249999999999</v>
      </c>
      <c r="D10093" s="2">
        <f>HYPERLINK("http://mcb-m6.bioreg.kyushu-u.ac.jp/M3/20110414/F50956/967/1", 37.36)</f>
        <v>37.36</v>
      </c>
      <c r="E10093" s="2">
        <v>22.24</v>
      </c>
      <c r="F10093" s="2">
        <v>1</v>
      </c>
      <c r="G10093" s="2" t="s">
        <v>11</v>
      </c>
    </row>
    <row r="10094" spans="1:7" x14ac:dyDescent="0.2">
      <c r="A10094" s="2" t="s">
        <v>3268</v>
      </c>
      <c r="B10094" s="2" t="s">
        <v>48</v>
      </c>
      <c r="C10094" s="2">
        <v>1160.154</v>
      </c>
      <c r="D10094" s="2">
        <f>HYPERLINK("http://mcb-m6.bioreg.kyushu-u.ac.jp/M3/20110414/F50958/1018/1", 35.22)</f>
        <v>35.22</v>
      </c>
      <c r="E10094" s="2">
        <v>12.47</v>
      </c>
      <c r="F10094" s="2">
        <v>1</v>
      </c>
      <c r="G10094" s="2" t="s">
        <v>12</v>
      </c>
    </row>
    <row r="10095" spans="1:7" x14ac:dyDescent="0.2">
      <c r="A10095" s="2" t="s">
        <v>3268</v>
      </c>
      <c r="B10095" s="2" t="s">
        <v>48</v>
      </c>
      <c r="C10095" s="2">
        <v>580.85919999999999</v>
      </c>
      <c r="D10095" s="2">
        <f>HYPERLINK("http://mcb-m6.bioreg.kyushu-u.ac.jp/M3/20110414/F50958/1020/1", 49.24)</f>
        <v>49.24</v>
      </c>
      <c r="E10095" s="2">
        <v>20.96</v>
      </c>
      <c r="F10095" s="2">
        <v>2</v>
      </c>
      <c r="G10095" s="2" t="s">
        <v>12</v>
      </c>
    </row>
    <row r="10096" spans="1:7" x14ac:dyDescent="0.2">
      <c r="A10096" s="2" t="s">
        <v>3268</v>
      </c>
      <c r="B10096" s="2" t="s">
        <v>1831</v>
      </c>
      <c r="C10096" s="2">
        <v>571.13570000000004</v>
      </c>
      <c r="D10096" s="2">
        <f>HYPERLINK("http://mcb-m6.bioreg.kyushu-u.ac.jp/M3/20110414/F50958/970/1", 51.81)</f>
        <v>51.81</v>
      </c>
      <c r="E10096" s="2">
        <v>28.06</v>
      </c>
      <c r="F10096" s="2">
        <v>2</v>
      </c>
      <c r="G10096" s="2" t="s">
        <v>12</v>
      </c>
    </row>
    <row r="10097" spans="1:7" x14ac:dyDescent="0.2">
      <c r="A10097" s="2" t="s">
        <v>3268</v>
      </c>
      <c r="B10097" s="2" t="s">
        <v>1430</v>
      </c>
      <c r="C10097" s="2">
        <v>675.84270000000004</v>
      </c>
      <c r="D10097" s="2">
        <f>HYPERLINK("http://mcb-m6.bioreg.kyushu-u.ac.jp/M3/20110414/F50958/1547/2", 71.53)</f>
        <v>71.53</v>
      </c>
      <c r="E10097" s="2">
        <v>58.93</v>
      </c>
      <c r="F10097" s="2">
        <v>2</v>
      </c>
      <c r="G10097" s="2" t="s">
        <v>12</v>
      </c>
    </row>
    <row r="10098" spans="1:7" x14ac:dyDescent="0.2">
      <c r="A10098" s="2" t="s">
        <v>3268</v>
      </c>
      <c r="B10098" s="2" t="s">
        <v>48</v>
      </c>
      <c r="C10098" s="2">
        <v>1160.7760000000001</v>
      </c>
      <c r="D10098" s="2">
        <f>HYPERLINK("http://mcb-m6.bioreg.kyushu-u.ac.jp/M3/20110502/F51172/1166/1", 36.43)</f>
        <v>36.43</v>
      </c>
      <c r="E10098" s="2">
        <v>23.18</v>
      </c>
      <c r="F10098" s="2">
        <v>1</v>
      </c>
      <c r="G10098" s="2" t="s">
        <v>13</v>
      </c>
    </row>
    <row r="10099" spans="1:7" x14ac:dyDescent="0.2">
      <c r="A10099" s="2" t="s">
        <v>3268</v>
      </c>
      <c r="B10099" s="2" t="s">
        <v>1430</v>
      </c>
      <c r="C10099" s="2">
        <v>675.60059999999999</v>
      </c>
      <c r="D10099" s="2">
        <f>HYPERLINK("http://mcb-m6.bioreg.kyushu-u.ac.jp/M3/20110502/F51172/1664/2", 45.72)</f>
        <v>45.72</v>
      </c>
      <c r="E10099" s="2">
        <v>36.6</v>
      </c>
      <c r="F10099" s="2">
        <v>2</v>
      </c>
      <c r="G10099" s="2" t="s">
        <v>13</v>
      </c>
    </row>
    <row r="10100" spans="1:7" x14ac:dyDescent="0.2">
      <c r="A10100" s="2" t="s">
        <v>3268</v>
      </c>
      <c r="B10100" s="2" t="s">
        <v>1831</v>
      </c>
      <c r="C10100" s="2">
        <v>571.54909999999995</v>
      </c>
      <c r="D10100" s="2">
        <f>HYPERLINK("http://mcb-m6.bioreg.kyushu-u.ac.jp/M3/20110502/F51193/1053/1", 51.9)</f>
        <v>51.9</v>
      </c>
      <c r="E10100" s="2">
        <v>27.54</v>
      </c>
      <c r="F10100" s="2">
        <v>2</v>
      </c>
      <c r="G10100" s="2" t="s">
        <v>14</v>
      </c>
    </row>
    <row r="10101" spans="1:7" x14ac:dyDescent="0.2">
      <c r="A10101" s="2" t="s">
        <v>3483</v>
      </c>
      <c r="B10101" s="2" t="s">
        <v>306</v>
      </c>
      <c r="C10101" s="2">
        <v>618.90869999999995</v>
      </c>
      <c r="D10101" s="2">
        <f>HYPERLINK("http://mcb-m6.bioreg.kyushu-u.ac.jp/M3/20110411/F50916/1265/1", 39.36)</f>
        <v>39.36</v>
      </c>
      <c r="E10101" s="2">
        <v>9.7200000000000006</v>
      </c>
      <c r="F10101" s="2">
        <v>2</v>
      </c>
      <c r="G10101" s="2" t="s">
        <v>9</v>
      </c>
    </row>
    <row r="10102" spans="1:7" x14ac:dyDescent="0.2">
      <c r="A10102" s="2" t="s">
        <v>3483</v>
      </c>
      <c r="B10102" s="2" t="s">
        <v>584</v>
      </c>
      <c r="C10102" s="2">
        <v>924.63419999999996</v>
      </c>
      <c r="D10102" s="2">
        <f>HYPERLINK("http://mcb-m6.bioreg.kyushu-u.ac.jp/M3/20110411/F50895/2938/1", 45.49)</f>
        <v>45.49</v>
      </c>
      <c r="E10102" s="2">
        <v>25.18</v>
      </c>
      <c r="F10102" s="2">
        <v>2</v>
      </c>
      <c r="G10102" s="2" t="s">
        <v>9</v>
      </c>
    </row>
    <row r="10103" spans="1:7" x14ac:dyDescent="0.2">
      <c r="A10103" s="2" t="s">
        <v>3483</v>
      </c>
      <c r="B10103" s="2" t="s">
        <v>1296</v>
      </c>
      <c r="C10103" s="2">
        <v>764.55219999999997</v>
      </c>
      <c r="D10103" s="2">
        <f>HYPERLINK("http://mcb-m6.bioreg.kyushu-u.ac.jp/M3/20110411/F50915/2047/1", 71.32)</f>
        <v>71.319999999999993</v>
      </c>
      <c r="E10103" s="2">
        <v>34.770000000000003</v>
      </c>
      <c r="F10103" s="2">
        <v>2</v>
      </c>
      <c r="G10103" s="2" t="s">
        <v>9</v>
      </c>
    </row>
    <row r="10104" spans="1:7" x14ac:dyDescent="0.2">
      <c r="A10104" s="2" t="s">
        <v>3483</v>
      </c>
      <c r="B10104" s="2" t="s">
        <v>584</v>
      </c>
      <c r="C10104" s="2">
        <v>924.95510000000002</v>
      </c>
      <c r="D10104" s="2">
        <f>HYPERLINK("http://mcb-m6.bioreg.kyushu-u.ac.jp/M3/20110411/F50916/2823/1", 80.98)</f>
        <v>80.98</v>
      </c>
      <c r="E10104" s="2">
        <v>71.239999999999995</v>
      </c>
      <c r="F10104" s="2">
        <v>2</v>
      </c>
      <c r="G10104" s="2" t="s">
        <v>9</v>
      </c>
    </row>
    <row r="10105" spans="1:7" x14ac:dyDescent="0.2">
      <c r="A10105" s="2" t="s">
        <v>3483</v>
      </c>
      <c r="B10105" s="2" t="s">
        <v>1296</v>
      </c>
      <c r="C10105" s="2">
        <v>764.41110000000003</v>
      </c>
      <c r="D10105" s="2">
        <f>HYPERLINK("http://mcb-m6.bioreg.kyushu-u.ac.jp/M3/20110411/F50916/2016/1", 83.16)</f>
        <v>83.16</v>
      </c>
      <c r="E10105" s="2">
        <v>61.54</v>
      </c>
      <c r="F10105" s="2">
        <v>2</v>
      </c>
      <c r="G10105" s="2" t="s">
        <v>9</v>
      </c>
    </row>
    <row r="10106" spans="1:7" x14ac:dyDescent="0.2">
      <c r="A10106" s="2" t="s">
        <v>3483</v>
      </c>
      <c r="B10106" s="2" t="s">
        <v>584</v>
      </c>
      <c r="C10106" s="2">
        <v>924.45169999999996</v>
      </c>
      <c r="D10106" s="2">
        <f>HYPERLINK("http://mcb-m6.bioreg.kyushu-u.ac.jp/M3/20110411/F50916/2821/1", 83.63)</f>
        <v>83.63</v>
      </c>
      <c r="E10106" s="2">
        <v>71.739999999999995</v>
      </c>
      <c r="F10106" s="2">
        <v>2</v>
      </c>
      <c r="G10106" s="2" t="s">
        <v>9</v>
      </c>
    </row>
    <row r="10107" spans="1:7" x14ac:dyDescent="0.2">
      <c r="A10107" s="2" t="s">
        <v>3483</v>
      </c>
      <c r="B10107" s="2" t="s">
        <v>584</v>
      </c>
      <c r="C10107" s="2">
        <v>924.44269999999995</v>
      </c>
      <c r="D10107" s="2">
        <f>HYPERLINK("http://mcb-m6.bioreg.kyushu-u.ac.jp/M3/20110411/F50915/2959/1", 88.63)</f>
        <v>88.63</v>
      </c>
      <c r="E10107" s="2">
        <v>76.42</v>
      </c>
      <c r="F10107" s="2">
        <v>2</v>
      </c>
      <c r="G10107" s="2" t="s">
        <v>9</v>
      </c>
    </row>
    <row r="10108" spans="1:7" x14ac:dyDescent="0.2">
      <c r="A10108" s="2" t="s">
        <v>3483</v>
      </c>
      <c r="B10108" s="2" t="s">
        <v>306</v>
      </c>
      <c r="C10108" s="2">
        <v>618.96169999999995</v>
      </c>
      <c r="D10108" s="2">
        <f>HYPERLINK("http://mcb-m6.bioreg.kyushu-u.ac.jp/M3/20110411/F50917/1331/1", 38.34)</f>
        <v>38.340000000000003</v>
      </c>
      <c r="E10108" s="2">
        <v>10.1</v>
      </c>
      <c r="F10108" s="2">
        <v>2</v>
      </c>
      <c r="G10108" s="2" t="s">
        <v>10</v>
      </c>
    </row>
    <row r="10109" spans="1:7" x14ac:dyDescent="0.2">
      <c r="A10109" s="2" t="s">
        <v>3483</v>
      </c>
      <c r="B10109" s="2" t="s">
        <v>584</v>
      </c>
      <c r="C10109" s="2">
        <v>924.80219999999997</v>
      </c>
      <c r="D10109" s="2">
        <f>HYPERLINK("http://mcb-m6.bioreg.kyushu-u.ac.jp/M3/20110411/F50902/2903/1", 67.07)</f>
        <v>67.069999999999993</v>
      </c>
      <c r="E10109" s="2">
        <v>58.28</v>
      </c>
      <c r="F10109" s="2">
        <v>2</v>
      </c>
      <c r="G10109" s="2" t="s">
        <v>10</v>
      </c>
    </row>
    <row r="10110" spans="1:7" x14ac:dyDescent="0.2">
      <c r="A10110" s="2" t="s">
        <v>3483</v>
      </c>
      <c r="B10110" s="2" t="s">
        <v>584</v>
      </c>
      <c r="C10110" s="2">
        <v>924.77670000000001</v>
      </c>
      <c r="D10110" s="2">
        <f>HYPERLINK("http://mcb-m6.bioreg.kyushu-u.ac.jp/M3/20110411/F50917/3020/1", 77.33)</f>
        <v>77.33</v>
      </c>
      <c r="E10110" s="2">
        <v>65.23</v>
      </c>
      <c r="F10110" s="2">
        <v>2</v>
      </c>
      <c r="G10110" s="2" t="s">
        <v>10</v>
      </c>
    </row>
    <row r="10111" spans="1:7" x14ac:dyDescent="0.2">
      <c r="A10111" s="2" t="s">
        <v>3483</v>
      </c>
      <c r="B10111" s="2" t="s">
        <v>1296</v>
      </c>
      <c r="C10111" s="2">
        <v>764.36569999999995</v>
      </c>
      <c r="D10111" s="2">
        <f>HYPERLINK("http://mcb-m6.bioreg.kyushu-u.ac.jp/M3/20110411/F50917/2099/1", 79.71)</f>
        <v>79.709999999999994</v>
      </c>
      <c r="E10111" s="2">
        <v>57.44</v>
      </c>
      <c r="F10111" s="2">
        <v>2</v>
      </c>
      <c r="G10111" s="2" t="s">
        <v>10</v>
      </c>
    </row>
    <row r="10112" spans="1:7" x14ac:dyDescent="0.2">
      <c r="A10112" s="2" t="s">
        <v>3483</v>
      </c>
      <c r="B10112" s="2" t="s">
        <v>1296</v>
      </c>
      <c r="C10112" s="2">
        <v>764.97310000000004</v>
      </c>
      <c r="D10112" s="2">
        <f>HYPERLINK("http://mcb-m6.bioreg.kyushu-u.ac.jp/M3/20110411/F50917/2102/1", 86.96)</f>
        <v>86.96</v>
      </c>
      <c r="E10112" s="2">
        <v>56.08</v>
      </c>
      <c r="F10112" s="2">
        <v>2</v>
      </c>
      <c r="G10112" s="2" t="s">
        <v>10</v>
      </c>
    </row>
    <row r="10113" spans="1:7" x14ac:dyDescent="0.2">
      <c r="A10113" s="2" t="s">
        <v>3483</v>
      </c>
      <c r="B10113" s="2" t="s">
        <v>1296</v>
      </c>
      <c r="C10113" s="2">
        <v>764.24220000000003</v>
      </c>
      <c r="D10113" s="2">
        <f>HYPERLINK("http://mcb-m6.bioreg.kyushu-u.ac.jp/M3/20110414/F50943/2034/1", 42.54)</f>
        <v>42.54</v>
      </c>
      <c r="E10113" s="2">
        <v>27.41</v>
      </c>
      <c r="F10113" s="2">
        <v>2</v>
      </c>
      <c r="G10113" s="2" t="s">
        <v>11</v>
      </c>
    </row>
    <row r="10114" spans="1:7" x14ac:dyDescent="0.2">
      <c r="A10114" s="2" t="s">
        <v>3483</v>
      </c>
      <c r="B10114" s="2" t="s">
        <v>306</v>
      </c>
      <c r="C10114" s="2">
        <v>619.03769999999997</v>
      </c>
      <c r="D10114" s="2">
        <f>HYPERLINK("http://mcb-m6.bioreg.kyushu-u.ac.jp/M3/20110414/F50956/1157/1", 53.78)</f>
        <v>53.78</v>
      </c>
      <c r="E10114" s="2">
        <v>31.98</v>
      </c>
      <c r="F10114" s="2">
        <v>2</v>
      </c>
      <c r="G10114" s="2" t="s">
        <v>11</v>
      </c>
    </row>
    <row r="10115" spans="1:7" x14ac:dyDescent="0.2">
      <c r="A10115" s="2" t="s">
        <v>3483</v>
      </c>
      <c r="B10115" s="2" t="s">
        <v>1296</v>
      </c>
      <c r="C10115" s="2">
        <v>764.73220000000003</v>
      </c>
      <c r="D10115" s="2">
        <f>HYPERLINK("http://mcb-m6.bioreg.kyushu-u.ac.jp/M3/20110414/F50957/2043/1", 65.42)</f>
        <v>65.42</v>
      </c>
      <c r="E10115" s="2">
        <v>35.81</v>
      </c>
      <c r="F10115" s="2">
        <v>2</v>
      </c>
      <c r="G10115" s="2" t="s">
        <v>11</v>
      </c>
    </row>
    <row r="10116" spans="1:7" x14ac:dyDescent="0.2">
      <c r="A10116" s="2" t="s">
        <v>3483</v>
      </c>
      <c r="B10116" s="2" t="s">
        <v>1296</v>
      </c>
      <c r="C10116" s="2">
        <v>764.20510000000002</v>
      </c>
      <c r="D10116" s="2">
        <f>HYPERLINK("http://mcb-m6.bioreg.kyushu-u.ac.jp/M3/20110414/F50956/2091/1", 66.91)</f>
        <v>66.91</v>
      </c>
      <c r="E10116" s="2">
        <v>35.96</v>
      </c>
      <c r="F10116" s="2">
        <v>2</v>
      </c>
      <c r="G10116" s="2" t="s">
        <v>11</v>
      </c>
    </row>
    <row r="10117" spans="1:7" x14ac:dyDescent="0.2">
      <c r="A10117" s="2" t="s">
        <v>3483</v>
      </c>
      <c r="B10117" s="2" t="s">
        <v>584</v>
      </c>
      <c r="C10117" s="2">
        <v>924.40560000000005</v>
      </c>
      <c r="D10117" s="2">
        <f>HYPERLINK("http://mcb-m6.bioreg.kyushu-u.ac.jp/M3/20110414/F50943/2849/1", 68.47)</f>
        <v>68.47</v>
      </c>
      <c r="E10117" s="2">
        <v>56.67</v>
      </c>
      <c r="F10117" s="2">
        <v>2</v>
      </c>
      <c r="G10117" s="2" t="s">
        <v>11</v>
      </c>
    </row>
    <row r="10118" spans="1:7" x14ac:dyDescent="0.2">
      <c r="A10118" s="2" t="s">
        <v>3483</v>
      </c>
      <c r="B10118" s="2" t="s">
        <v>1296</v>
      </c>
      <c r="C10118" s="2">
        <v>764.81020000000001</v>
      </c>
      <c r="D10118" s="2">
        <f>HYPERLINK("http://mcb-m6.bioreg.kyushu-u.ac.jp/M3/20110414/F50943/2036/1", 70.62)</f>
        <v>70.62</v>
      </c>
      <c r="E10118" s="2">
        <v>48.44</v>
      </c>
      <c r="F10118" s="2">
        <v>2</v>
      </c>
      <c r="G10118" s="2" t="s">
        <v>11</v>
      </c>
    </row>
    <row r="10119" spans="1:7" x14ac:dyDescent="0.2">
      <c r="A10119" s="2" t="s">
        <v>3483</v>
      </c>
      <c r="B10119" s="2" t="s">
        <v>584</v>
      </c>
      <c r="C10119" s="2">
        <v>924.28719999999998</v>
      </c>
      <c r="D10119" s="2">
        <f>HYPERLINK("http://mcb-m6.bioreg.kyushu-u.ac.jp/M3/20110414/F50957/3048/1", 71.48)</f>
        <v>71.48</v>
      </c>
      <c r="E10119" s="2">
        <v>58.48</v>
      </c>
      <c r="F10119" s="2">
        <v>2</v>
      </c>
      <c r="G10119" s="2" t="s">
        <v>11</v>
      </c>
    </row>
    <row r="10120" spans="1:7" x14ac:dyDescent="0.2">
      <c r="A10120" s="2" t="s">
        <v>3483</v>
      </c>
      <c r="B10120" s="2" t="s">
        <v>584</v>
      </c>
      <c r="C10120" s="2">
        <v>924.86159999999995</v>
      </c>
      <c r="D10120" s="2">
        <f>HYPERLINK("http://mcb-m6.bioreg.kyushu-u.ac.jp/M3/20110414/F50941/3111/1", 73.37)</f>
        <v>73.37</v>
      </c>
      <c r="E10120" s="2">
        <v>59.45</v>
      </c>
      <c r="F10120" s="2">
        <v>2</v>
      </c>
      <c r="G10120" s="2" t="s">
        <v>11</v>
      </c>
    </row>
    <row r="10121" spans="1:7" x14ac:dyDescent="0.2">
      <c r="A10121" s="2" t="s">
        <v>3483</v>
      </c>
      <c r="B10121" s="2" t="s">
        <v>584</v>
      </c>
      <c r="C10121" s="2">
        <v>924.93820000000005</v>
      </c>
      <c r="D10121" s="2">
        <f>HYPERLINK("http://mcb-m6.bioreg.kyushu-u.ac.jp/M3/20110414/F50943/2851/1", 77.21)</f>
        <v>77.209999999999994</v>
      </c>
      <c r="E10121" s="2">
        <v>64.61</v>
      </c>
      <c r="F10121" s="2">
        <v>2</v>
      </c>
      <c r="G10121" s="2" t="s">
        <v>11</v>
      </c>
    </row>
    <row r="10122" spans="1:7" x14ac:dyDescent="0.2">
      <c r="A10122" s="2" t="s">
        <v>3483</v>
      </c>
      <c r="B10122" s="2" t="s">
        <v>584</v>
      </c>
      <c r="C10122" s="2">
        <v>924.18269999999995</v>
      </c>
      <c r="D10122" s="2">
        <f>HYPERLINK("http://mcb-m6.bioreg.kyushu-u.ac.jp/M3/20110414/F50956/3151/1", 79.14)</f>
        <v>79.14</v>
      </c>
      <c r="E10122" s="2">
        <v>66.680000000000007</v>
      </c>
      <c r="F10122" s="2">
        <v>2</v>
      </c>
      <c r="G10122" s="2" t="s">
        <v>11</v>
      </c>
    </row>
    <row r="10123" spans="1:7" x14ac:dyDescent="0.2">
      <c r="A10123" s="2" t="s">
        <v>3483</v>
      </c>
      <c r="B10123" s="2" t="s">
        <v>584</v>
      </c>
      <c r="C10123" s="2">
        <v>924.77509999999995</v>
      </c>
      <c r="D10123" s="2">
        <f>HYPERLINK("http://mcb-m6.bioreg.kyushu-u.ac.jp/M3/20110414/F50956/3154/1", 83.56)</f>
        <v>83.56</v>
      </c>
      <c r="E10123" s="2">
        <v>68.94</v>
      </c>
      <c r="F10123" s="2">
        <v>2</v>
      </c>
      <c r="G10123" s="2" t="s">
        <v>11</v>
      </c>
    </row>
    <row r="10124" spans="1:7" x14ac:dyDescent="0.2">
      <c r="A10124" s="2" t="s">
        <v>3483</v>
      </c>
      <c r="B10124" s="2" t="s">
        <v>1296</v>
      </c>
      <c r="C10124" s="2">
        <v>764.16359999999997</v>
      </c>
      <c r="D10124" s="2">
        <f>HYPERLINK("http://mcb-m6.bioreg.kyushu-u.ac.jp/M3/20110414/F50957/2041/1", 90.11)</f>
        <v>90.11</v>
      </c>
      <c r="E10124" s="2">
        <v>71.34</v>
      </c>
      <c r="F10124" s="2">
        <v>2</v>
      </c>
      <c r="G10124" s="2" t="s">
        <v>11</v>
      </c>
    </row>
    <row r="10125" spans="1:7" x14ac:dyDescent="0.2">
      <c r="A10125" s="2" t="s">
        <v>3483</v>
      </c>
      <c r="B10125" s="2" t="s">
        <v>306</v>
      </c>
      <c r="C10125" s="2">
        <v>618.78610000000003</v>
      </c>
      <c r="D10125" s="2">
        <f>HYPERLINK("http://mcb-m6.bioreg.kyushu-u.ac.jp/M3/20110414/F50958/1218/1", 49.76)</f>
        <v>49.76</v>
      </c>
      <c r="E10125" s="2">
        <v>28.05</v>
      </c>
      <c r="F10125" s="2">
        <v>2</v>
      </c>
      <c r="G10125" s="2" t="s">
        <v>12</v>
      </c>
    </row>
    <row r="10126" spans="1:7" x14ac:dyDescent="0.2">
      <c r="A10126" s="2" t="s">
        <v>3483</v>
      </c>
      <c r="B10126" s="2" t="s">
        <v>1296</v>
      </c>
      <c r="C10126" s="2">
        <v>764.90309999999999</v>
      </c>
      <c r="D10126" s="2">
        <f>HYPERLINK("http://mcb-m6.bioreg.kyushu-u.ac.jp/M3/20110414/F50959/2030/1", 59.83)</f>
        <v>59.83</v>
      </c>
      <c r="E10126" s="2">
        <v>34.49</v>
      </c>
      <c r="F10126" s="2">
        <v>2</v>
      </c>
      <c r="G10126" s="2" t="s">
        <v>12</v>
      </c>
    </row>
    <row r="10127" spans="1:7" x14ac:dyDescent="0.2">
      <c r="A10127" s="2" t="s">
        <v>3483</v>
      </c>
      <c r="B10127" s="2" t="s">
        <v>584</v>
      </c>
      <c r="C10127" s="2">
        <v>924.27509999999995</v>
      </c>
      <c r="D10127" s="2">
        <f>HYPERLINK("http://mcb-m6.bioreg.kyushu-u.ac.jp/M3/20110414/F50959/3135/1", 79.39)</f>
        <v>79.39</v>
      </c>
      <c r="E10127" s="2">
        <v>67</v>
      </c>
      <c r="F10127" s="2">
        <v>2</v>
      </c>
      <c r="G10127" s="2" t="s">
        <v>12</v>
      </c>
    </row>
    <row r="10128" spans="1:7" x14ac:dyDescent="0.2">
      <c r="A10128" s="2" t="s">
        <v>3483</v>
      </c>
      <c r="B10128" s="2" t="s">
        <v>1296</v>
      </c>
      <c r="C10128" s="2">
        <v>764.18769999999995</v>
      </c>
      <c r="D10128" s="2">
        <f>HYPERLINK("http://mcb-m6.bioreg.kyushu-u.ac.jp/M3/20110414/F50958/2152/1", 79.4)</f>
        <v>79.400000000000006</v>
      </c>
      <c r="E10128" s="2">
        <v>57.26</v>
      </c>
      <c r="F10128" s="2">
        <v>2</v>
      </c>
      <c r="G10128" s="2" t="s">
        <v>12</v>
      </c>
    </row>
    <row r="10129" spans="1:9" x14ac:dyDescent="0.2">
      <c r="A10129" s="2" t="s">
        <v>3483</v>
      </c>
      <c r="B10129" s="2" t="s">
        <v>584</v>
      </c>
      <c r="C10129" s="2">
        <v>924.25620000000004</v>
      </c>
      <c r="D10129" s="2">
        <f>HYPERLINK("http://mcb-m6.bioreg.kyushu-u.ac.jp/M3/20110414/F50958/3249/1", 105.4)</f>
        <v>105.4</v>
      </c>
      <c r="E10129" s="2">
        <v>89.18</v>
      </c>
      <c r="F10129" s="2">
        <v>2</v>
      </c>
      <c r="G10129" s="2" t="s">
        <v>12</v>
      </c>
    </row>
    <row r="10130" spans="1:9" x14ac:dyDescent="0.2">
      <c r="A10130" s="2" t="s">
        <v>3483</v>
      </c>
      <c r="B10130" s="2" t="s">
        <v>306</v>
      </c>
      <c r="C10130" s="2">
        <v>619.18370000000004</v>
      </c>
      <c r="D10130" s="2">
        <f>HYPERLINK("http://mcb-m6.bioreg.kyushu-u.ac.jp/M3/20110502/F51172/1382/1", 53.4)</f>
        <v>53.4</v>
      </c>
      <c r="E10130" s="2">
        <v>14.27</v>
      </c>
      <c r="F10130" s="2">
        <v>2</v>
      </c>
      <c r="G10130" s="2" t="s">
        <v>13</v>
      </c>
    </row>
    <row r="10131" spans="1:9" x14ac:dyDescent="0.2">
      <c r="A10131" s="2" t="s">
        <v>3483</v>
      </c>
      <c r="B10131" s="2" t="s">
        <v>584</v>
      </c>
      <c r="C10131" s="2">
        <v>924.93370000000004</v>
      </c>
      <c r="D10131" s="2">
        <f>HYPERLINK("http://mcb-m6.bioreg.kyushu-u.ac.jp/M3/20110502/F51172/3271/1", 75.7)</f>
        <v>75.7</v>
      </c>
      <c r="E10131" s="2">
        <v>61.81</v>
      </c>
      <c r="F10131" s="2">
        <v>2</v>
      </c>
      <c r="G10131" s="2" t="s">
        <v>13</v>
      </c>
    </row>
    <row r="10132" spans="1:9" x14ac:dyDescent="0.2">
      <c r="A10132" s="2" t="s">
        <v>3483</v>
      </c>
      <c r="B10132" s="2" t="s">
        <v>584</v>
      </c>
      <c r="C10132" s="2">
        <v>924.60059999999999</v>
      </c>
      <c r="D10132" s="2">
        <f>HYPERLINK("http://mcb-m6.bioreg.kyushu-u.ac.jp/M3/20110502/F51175/2610/1", 81.22)</f>
        <v>81.22</v>
      </c>
      <c r="E10132" s="2">
        <v>65.13</v>
      </c>
      <c r="F10132" s="2">
        <v>2</v>
      </c>
      <c r="G10132" s="2" t="s">
        <v>13</v>
      </c>
    </row>
    <row r="10133" spans="1:9" x14ac:dyDescent="0.2">
      <c r="A10133" s="2" t="s">
        <v>3483</v>
      </c>
      <c r="B10133" s="2" t="s">
        <v>584</v>
      </c>
      <c r="C10133" s="2">
        <v>924.59810000000004</v>
      </c>
      <c r="D10133" s="2">
        <f>HYPERLINK("http://mcb-m6.bioreg.kyushu-u.ac.jp/M3/20110502/F51173/2902/1", 85.61)</f>
        <v>85.61</v>
      </c>
      <c r="E10133" s="2">
        <v>71.27</v>
      </c>
      <c r="F10133" s="2">
        <v>2</v>
      </c>
      <c r="G10133" s="2" t="s">
        <v>13</v>
      </c>
    </row>
    <row r="10134" spans="1:9" x14ac:dyDescent="0.2">
      <c r="A10134" s="2" t="s">
        <v>3483</v>
      </c>
      <c r="B10134" s="2" t="s">
        <v>584</v>
      </c>
      <c r="C10134" s="2">
        <v>924.65620000000001</v>
      </c>
      <c r="D10134" s="2">
        <f>HYPERLINK("http://mcb-m6.bioreg.kyushu-u.ac.jp/M3/20110502/F51189/2543/1", 88.96)</f>
        <v>88.96</v>
      </c>
      <c r="E10134" s="2">
        <v>80.650000000000006</v>
      </c>
      <c r="F10134" s="2">
        <v>2</v>
      </c>
      <c r="G10134" s="2" t="s">
        <v>13</v>
      </c>
    </row>
    <row r="10135" spans="1:9" x14ac:dyDescent="0.2">
      <c r="A10135" s="2" t="s">
        <v>4200</v>
      </c>
      <c r="B10135" s="2" t="s">
        <v>1788</v>
      </c>
      <c r="C10135" s="2">
        <v>599.98919999999998</v>
      </c>
      <c r="D10135" s="2">
        <f>HYPERLINK("http://mcb-m6.bioreg.kyushu-u.ac.jp/M3/20110411/F50912/2765/1", 39.25)</f>
        <v>39.25</v>
      </c>
      <c r="E10135" s="2">
        <v>26.06</v>
      </c>
      <c r="F10135" s="2">
        <v>3</v>
      </c>
      <c r="G10135" s="2" t="s">
        <v>10</v>
      </c>
    </row>
    <row r="10136" spans="1:9" x14ac:dyDescent="0.2">
      <c r="A10136" s="2" t="s">
        <v>4200</v>
      </c>
      <c r="B10136" s="2" t="s">
        <v>1788</v>
      </c>
      <c r="C10136" s="2">
        <v>599.94090000000006</v>
      </c>
      <c r="D10136" s="2">
        <f>HYPERLINK("http://mcb-m6.bioreg.kyushu-u.ac.jp/M3/20110502/F51169/2752/1", 37.8)</f>
        <v>37.799999999999997</v>
      </c>
      <c r="E10136" s="2">
        <v>23.95</v>
      </c>
      <c r="F10136" s="2">
        <v>3</v>
      </c>
      <c r="G10136" s="2" t="s">
        <v>13</v>
      </c>
    </row>
    <row r="10137" spans="1:9" x14ac:dyDescent="0.2">
      <c r="A10137" s="2" t="s">
        <v>4200</v>
      </c>
      <c r="B10137" s="2" t="s">
        <v>1788</v>
      </c>
      <c r="C10137" s="2">
        <v>599.9085</v>
      </c>
      <c r="D10137" s="2">
        <f>HYPERLINK("http://mcb-m6.bioreg.kyushu-u.ac.jp/M3/20110502/F51179/2678/1", 39.77)</f>
        <v>39.770000000000003</v>
      </c>
      <c r="E10137" s="2">
        <v>22.15</v>
      </c>
      <c r="F10137" s="2">
        <v>3</v>
      </c>
      <c r="G10137" s="2" t="s">
        <v>14</v>
      </c>
    </row>
    <row r="10138" spans="1:9" x14ac:dyDescent="0.2">
      <c r="A10138" s="2" t="s">
        <v>4232</v>
      </c>
      <c r="B10138" s="2" t="s">
        <v>1844</v>
      </c>
      <c r="C10138" s="2">
        <v>725.46220000000005</v>
      </c>
      <c r="D10138" s="2">
        <f>HYPERLINK("http://mcb-m6.bioreg.kyushu-u.ac.jp/M3/20110411/F50920/1488/1", 43.18)</f>
        <v>43.18</v>
      </c>
      <c r="E10138" s="2">
        <v>25.97</v>
      </c>
      <c r="F10138" s="2">
        <v>2</v>
      </c>
      <c r="G10138" s="2" t="s">
        <v>10</v>
      </c>
    </row>
    <row r="10139" spans="1:9" x14ac:dyDescent="0.2">
      <c r="A10139" s="2" t="s">
        <v>4232</v>
      </c>
      <c r="B10139" s="2" t="s">
        <v>3127</v>
      </c>
      <c r="C10139" s="2">
        <v>544.54909999999995</v>
      </c>
      <c r="D10139" s="2">
        <f>HYPERLINK("http://mcb-m6.bioreg.kyushu-u.ac.jp/M3/20110502/F51177/837/1", 48.54)</f>
        <v>48.54</v>
      </c>
      <c r="E10139" s="2">
        <v>24.42</v>
      </c>
      <c r="F10139" s="2">
        <v>2</v>
      </c>
      <c r="G10139" s="2" t="s">
        <v>14</v>
      </c>
    </row>
    <row r="10140" spans="1:9" x14ac:dyDescent="0.2">
      <c r="A10140" s="2" t="s">
        <v>4232</v>
      </c>
      <c r="B10140" s="2" t="s">
        <v>3154</v>
      </c>
      <c r="C10140" s="2">
        <v>676.70569999999998</v>
      </c>
      <c r="D10140" s="2">
        <f>HYPERLINK("http://mcb-m6.bioreg.kyushu-u.ac.jp/M3/20110502/F51177/1417/1", 54.14)</f>
        <v>54.14</v>
      </c>
      <c r="E10140" s="2">
        <v>31.78</v>
      </c>
      <c r="F10140" s="2">
        <v>2</v>
      </c>
      <c r="G10140" s="2" t="s">
        <v>14</v>
      </c>
    </row>
    <row r="10141" spans="1:9" x14ac:dyDescent="0.2">
      <c r="A10141" s="2" t="s">
        <v>3491</v>
      </c>
      <c r="B10141" s="2" t="s">
        <v>321</v>
      </c>
      <c r="C10141" s="2">
        <v>831.42319999999995</v>
      </c>
      <c r="D10141" s="2">
        <f>HYPERLINK("http://mcb-m6.bioreg.kyushu-u.ac.jp/M3/20110411/F50903/2469/1", 39.66)</f>
        <v>39.659999999999997</v>
      </c>
      <c r="E10141" s="2">
        <v>21.56</v>
      </c>
      <c r="F10141" s="2">
        <v>2</v>
      </c>
      <c r="G10141" s="2" t="s">
        <v>9</v>
      </c>
      <c r="I10141" s="2" t="s">
        <v>4918</v>
      </c>
    </row>
    <row r="10142" spans="1:9" x14ac:dyDescent="0.2">
      <c r="A10142" s="2" t="s">
        <v>3602</v>
      </c>
      <c r="B10142" s="2" t="s">
        <v>494</v>
      </c>
      <c r="C10142" s="2">
        <v>531.59519999999998</v>
      </c>
      <c r="D10142" s="2">
        <f>HYPERLINK("http://mcb-m6.bioreg.kyushu-u.ac.jp/M3/20110411/F50890/2507/1", 43.15)</f>
        <v>43.15</v>
      </c>
      <c r="E10142" s="2">
        <v>22.76</v>
      </c>
      <c r="F10142" s="2">
        <v>3</v>
      </c>
      <c r="G10142" s="2" t="s">
        <v>9</v>
      </c>
    </row>
    <row r="10143" spans="1:9" x14ac:dyDescent="0.2">
      <c r="A10143" s="2" t="s">
        <v>3602</v>
      </c>
      <c r="B10143" s="2" t="s">
        <v>494</v>
      </c>
      <c r="C10143" s="2">
        <v>796.92020000000002</v>
      </c>
      <c r="D10143" s="2">
        <f>HYPERLINK("http://mcb-m6.bioreg.kyushu-u.ac.jp/M3/20110411/F50890/2508/1", 102.46)</f>
        <v>102.46</v>
      </c>
      <c r="E10143" s="2">
        <v>63.73</v>
      </c>
      <c r="F10143" s="2">
        <v>2</v>
      </c>
      <c r="G10143" s="2" t="s">
        <v>9</v>
      </c>
    </row>
    <row r="10144" spans="1:9" x14ac:dyDescent="0.2">
      <c r="A10144" s="2" t="s">
        <v>3602</v>
      </c>
      <c r="B10144" s="2" t="s">
        <v>2041</v>
      </c>
      <c r="C10144" s="2">
        <v>733.0172</v>
      </c>
      <c r="D10144" s="2">
        <f>HYPERLINK("http://mcb-m6.bioreg.kyushu-u.ac.jp/M3/20110411/F50897/1926/1", 66.77)</f>
        <v>66.77</v>
      </c>
      <c r="E10144" s="2">
        <v>45.21</v>
      </c>
      <c r="F10144" s="2">
        <v>2</v>
      </c>
      <c r="G10144" s="2" t="s">
        <v>10</v>
      </c>
    </row>
    <row r="10145" spans="1:9" x14ac:dyDescent="0.2">
      <c r="A10145" s="2" t="s">
        <v>3602</v>
      </c>
      <c r="B10145" s="2" t="s">
        <v>2041</v>
      </c>
      <c r="C10145" s="2">
        <v>732.99570000000006</v>
      </c>
      <c r="D10145" s="2">
        <f>HYPERLINK("http://mcb-m6.bioreg.kyushu-u.ac.jp/M3/20110411/F50897/1925/1", 75.6)</f>
        <v>75.599999999999994</v>
      </c>
      <c r="E10145" s="2">
        <v>45.75</v>
      </c>
      <c r="F10145" s="2">
        <v>2</v>
      </c>
      <c r="G10145" s="2" t="s">
        <v>10</v>
      </c>
    </row>
    <row r="10146" spans="1:9" x14ac:dyDescent="0.2">
      <c r="A10146" s="2" t="s">
        <v>4260</v>
      </c>
      <c r="B10146" s="2" t="s">
        <v>1914</v>
      </c>
      <c r="C10146" s="2">
        <v>595.35860000000002</v>
      </c>
      <c r="D10146" s="2">
        <f>HYPERLINK("http://mcb-m6.bioreg.kyushu-u.ac.jp/M3/20110411/F50918/1135/1", 49.23)</f>
        <v>49.23</v>
      </c>
      <c r="E10146" s="2">
        <v>23.67</v>
      </c>
      <c r="F10146" s="2">
        <v>2</v>
      </c>
      <c r="G10146" s="2" t="s">
        <v>10</v>
      </c>
      <c r="I10146" s="2" t="s">
        <v>4903</v>
      </c>
    </row>
    <row r="10147" spans="1:9" x14ac:dyDescent="0.2">
      <c r="A10147" s="2" t="s">
        <v>4260</v>
      </c>
      <c r="B10147" s="2" t="s">
        <v>1914</v>
      </c>
      <c r="C10147" s="2">
        <v>595.15120000000002</v>
      </c>
      <c r="D10147" s="2">
        <f>HYPERLINK("http://mcb-m6.bioreg.kyushu-u.ac.jp/M3/20110502/F51184/983/1", 46.47)</f>
        <v>46.47</v>
      </c>
      <c r="E10147" s="2">
        <v>16.3</v>
      </c>
      <c r="F10147" s="2">
        <v>2</v>
      </c>
      <c r="G10147" s="2" t="s">
        <v>14</v>
      </c>
      <c r="I10147" s="2" t="s">
        <v>4903</v>
      </c>
    </row>
    <row r="10148" spans="1:9" x14ac:dyDescent="0.2">
      <c r="A10148" s="2" t="s">
        <v>3875</v>
      </c>
      <c r="B10148" s="2" t="s">
        <v>1003</v>
      </c>
      <c r="C10148" s="2">
        <v>890.80820000000006</v>
      </c>
      <c r="D10148" s="2">
        <f>HYPERLINK("http://mcb-m6.bioreg.kyushu-u.ac.jp/M3/20110411/F50890/2922/1", 58.45)</f>
        <v>58.45</v>
      </c>
      <c r="E10148" s="2">
        <v>46.18</v>
      </c>
      <c r="F10148" s="2">
        <v>2</v>
      </c>
      <c r="G10148" s="2" t="s">
        <v>9</v>
      </c>
    </row>
    <row r="10149" spans="1:9" x14ac:dyDescent="0.2">
      <c r="A10149" s="2" t="s">
        <v>3875</v>
      </c>
      <c r="B10149" s="2" t="s">
        <v>2631</v>
      </c>
      <c r="C10149" s="2">
        <v>586.86609999999996</v>
      </c>
      <c r="D10149" s="2">
        <f>HYPERLINK("http://mcb-m6.bioreg.kyushu-u.ac.jp/M3/20110414/F50932/1873/1", 44.33)</f>
        <v>44.33</v>
      </c>
      <c r="E10149" s="2">
        <v>23.17</v>
      </c>
      <c r="F10149" s="2">
        <v>2</v>
      </c>
      <c r="G10149" s="2" t="s">
        <v>12</v>
      </c>
    </row>
    <row r="10150" spans="1:9" x14ac:dyDescent="0.2">
      <c r="A10150" s="2" t="s">
        <v>3411</v>
      </c>
      <c r="B10150" s="2" t="s">
        <v>209</v>
      </c>
      <c r="C10150" s="2">
        <v>747.91769999999997</v>
      </c>
      <c r="D10150" s="2">
        <f>HYPERLINK("http://mcb-m6.bioreg.kyushu-u.ac.jp/M3/20110411/F50915/1950/1", 37.73)</f>
        <v>37.729999999999997</v>
      </c>
      <c r="E10150" s="2">
        <v>21.95</v>
      </c>
      <c r="F10150" s="2">
        <v>2</v>
      </c>
      <c r="G10150" s="2" t="s">
        <v>9</v>
      </c>
    </row>
    <row r="10151" spans="1:9" x14ac:dyDescent="0.2">
      <c r="A10151" s="2" t="s">
        <v>3411</v>
      </c>
      <c r="B10151" s="2" t="s">
        <v>209</v>
      </c>
      <c r="C10151" s="2">
        <v>748.34370000000001</v>
      </c>
      <c r="D10151" s="2">
        <f>HYPERLINK("http://mcb-m6.bioreg.kyushu-u.ac.jp/M3/20110411/F50914/2129/1", 44.07)</f>
        <v>44.07</v>
      </c>
      <c r="E10151" s="2">
        <v>30.28</v>
      </c>
      <c r="F10151" s="2">
        <v>2</v>
      </c>
      <c r="G10151" s="2" t="s">
        <v>10</v>
      </c>
    </row>
    <row r="10152" spans="1:9" x14ac:dyDescent="0.2">
      <c r="A10152" s="2" t="s">
        <v>3411</v>
      </c>
      <c r="B10152" s="2" t="s">
        <v>209</v>
      </c>
      <c r="C10152" s="2">
        <v>747.94709999999998</v>
      </c>
      <c r="D10152" s="2">
        <f>HYPERLINK("http://mcb-m6.bioreg.kyushu-u.ac.jp/M3/20110411/F50917/2004/1", 52.83)</f>
        <v>52.83</v>
      </c>
      <c r="E10152" s="2">
        <v>43.34</v>
      </c>
      <c r="F10152" s="2">
        <v>2</v>
      </c>
      <c r="G10152" s="2" t="s">
        <v>10</v>
      </c>
    </row>
    <row r="10153" spans="1:9" x14ac:dyDescent="0.2">
      <c r="A10153" s="2" t="s">
        <v>3411</v>
      </c>
      <c r="B10153" s="2" t="s">
        <v>2081</v>
      </c>
      <c r="C10153" s="2">
        <v>678.90009999999995</v>
      </c>
      <c r="D10153" s="2">
        <f>HYPERLINK("http://mcb-m6.bioreg.kyushu-u.ac.jp/M3/20110411/F50917/1601/1", 75.65)</f>
        <v>75.650000000000006</v>
      </c>
      <c r="E10153" s="2">
        <v>55.99</v>
      </c>
      <c r="F10153" s="2">
        <v>2</v>
      </c>
      <c r="G10153" s="2" t="s">
        <v>10</v>
      </c>
    </row>
    <row r="10154" spans="1:9" x14ac:dyDescent="0.2">
      <c r="A10154" s="2" t="s">
        <v>3411</v>
      </c>
      <c r="B10154" s="2" t="s">
        <v>2705</v>
      </c>
      <c r="C10154" s="2">
        <v>637.05110000000002</v>
      </c>
      <c r="D10154" s="2">
        <f>HYPERLINK("http://mcb-m6.bioreg.kyushu-u.ac.jp/M3/20110414/F50958/1316/1", 58.88)</f>
        <v>58.88</v>
      </c>
      <c r="E10154" s="2">
        <v>45.43</v>
      </c>
      <c r="F10154" s="2">
        <v>2</v>
      </c>
      <c r="G10154" s="2" t="s">
        <v>12</v>
      </c>
    </row>
    <row r="10155" spans="1:9" x14ac:dyDescent="0.2">
      <c r="A10155" s="2" t="s">
        <v>3411</v>
      </c>
      <c r="B10155" s="2" t="s">
        <v>209</v>
      </c>
      <c r="C10155" s="2">
        <v>747.69320000000005</v>
      </c>
      <c r="D10155" s="2">
        <f>HYPERLINK("http://mcb-m6.bioreg.kyushu-u.ac.jp/M3/20110414/F50958/2048/1", 64.94)</f>
        <v>64.94</v>
      </c>
      <c r="E10155" s="2">
        <v>49.92</v>
      </c>
      <c r="F10155" s="2">
        <v>2</v>
      </c>
      <c r="G10155" s="2" t="s">
        <v>12</v>
      </c>
    </row>
    <row r="10156" spans="1:9" x14ac:dyDescent="0.2">
      <c r="A10156" s="2" t="s">
        <v>3411</v>
      </c>
      <c r="B10156" s="2" t="s">
        <v>209</v>
      </c>
      <c r="C10156" s="2">
        <v>748.04420000000005</v>
      </c>
      <c r="D10156" s="2">
        <f>HYPERLINK("http://mcb-m6.bioreg.kyushu-u.ac.jp/M3/20110502/F51193/1941/1", 55.48)</f>
        <v>55.48</v>
      </c>
      <c r="E10156" s="2">
        <v>44.26</v>
      </c>
      <c r="F10156" s="2">
        <v>2</v>
      </c>
      <c r="G10156" s="2" t="s">
        <v>14</v>
      </c>
    </row>
    <row r="10157" spans="1:9" x14ac:dyDescent="0.2">
      <c r="A10157" s="2" t="s">
        <v>3336</v>
      </c>
      <c r="B10157" s="2" t="s">
        <v>124</v>
      </c>
      <c r="C10157" s="2">
        <v>893.56320000000005</v>
      </c>
      <c r="D10157" s="2">
        <f>HYPERLINK("http://mcb-m6.bioreg.kyushu-u.ac.jp/M3/20110411/F50911/2917/1", 36.4)</f>
        <v>36.4</v>
      </c>
      <c r="E10157" s="2">
        <v>23.26</v>
      </c>
      <c r="F10157" s="2">
        <v>2</v>
      </c>
      <c r="G10157" s="2" t="s">
        <v>9</v>
      </c>
      <c r="I10157" s="2" t="s">
        <v>4898</v>
      </c>
    </row>
    <row r="10158" spans="1:9" x14ac:dyDescent="0.2">
      <c r="A10158" s="2" t="s">
        <v>3336</v>
      </c>
      <c r="B10158" s="2" t="s">
        <v>138</v>
      </c>
      <c r="C10158" s="2">
        <v>589.80219999999997</v>
      </c>
      <c r="D10158" s="2">
        <f>HYPERLINK("http://mcb-m6.bioreg.kyushu-u.ac.jp/M3/20110411/F50915/2740/1", 36.59)</f>
        <v>36.590000000000003</v>
      </c>
      <c r="E10158" s="2">
        <v>27.08</v>
      </c>
      <c r="F10158" s="2">
        <v>3</v>
      </c>
      <c r="G10158" s="2" t="s">
        <v>9</v>
      </c>
      <c r="H10158" s="2" t="s">
        <v>4901</v>
      </c>
      <c r="I10158" s="2" t="s">
        <v>4892</v>
      </c>
    </row>
    <row r="10159" spans="1:9" x14ac:dyDescent="0.2">
      <c r="A10159" s="2" t="s">
        <v>3336</v>
      </c>
      <c r="B10159" s="2" t="s">
        <v>222</v>
      </c>
      <c r="C10159" s="2">
        <v>554.90060000000005</v>
      </c>
      <c r="D10159" s="2">
        <f>HYPERLINK("http://mcb-m6.bioreg.kyushu-u.ac.jp/M3/20110411/F50915/983/1", 38.07)</f>
        <v>38.07</v>
      </c>
      <c r="E10159" s="2">
        <v>25.12</v>
      </c>
      <c r="F10159" s="2">
        <v>2</v>
      </c>
      <c r="G10159" s="2" t="s">
        <v>9</v>
      </c>
    </row>
    <row r="10160" spans="1:9" x14ac:dyDescent="0.2">
      <c r="A10160" s="2" t="s">
        <v>3336</v>
      </c>
      <c r="B10160" s="2" t="s">
        <v>222</v>
      </c>
      <c r="C10160" s="2">
        <v>1108.662</v>
      </c>
      <c r="D10160" s="2">
        <f>HYPERLINK("http://mcb-m6.bioreg.kyushu-u.ac.jp/M3/20110411/F50915/982/1", 38.08)</f>
        <v>38.08</v>
      </c>
      <c r="E10160" s="2">
        <v>21.77</v>
      </c>
      <c r="F10160" s="2">
        <v>1</v>
      </c>
      <c r="G10160" s="2" t="s">
        <v>9</v>
      </c>
    </row>
    <row r="10161" spans="1:9" x14ac:dyDescent="0.2">
      <c r="A10161" s="2" t="s">
        <v>3336</v>
      </c>
      <c r="B10161" s="2" t="s">
        <v>263</v>
      </c>
      <c r="C10161" s="2">
        <v>961.38800000000003</v>
      </c>
      <c r="D10161" s="2">
        <f>HYPERLINK("http://mcb-m6.bioreg.kyushu-u.ac.jp/M3/20110411/F50890/1042/1", 38.68)</f>
        <v>38.68</v>
      </c>
      <c r="E10161" s="2">
        <v>9.2200000000000006</v>
      </c>
      <c r="F10161" s="2">
        <v>1</v>
      </c>
      <c r="G10161" s="2" t="s">
        <v>9</v>
      </c>
    </row>
    <row r="10162" spans="1:9" x14ac:dyDescent="0.2">
      <c r="A10162" s="2" t="s">
        <v>3336</v>
      </c>
      <c r="B10162" s="2" t="s">
        <v>318</v>
      </c>
      <c r="C10162" s="2">
        <v>926.5847</v>
      </c>
      <c r="D10162" s="2">
        <f>HYPERLINK("http://mcb-m6.bioreg.kyushu-u.ac.jp/M3/20110411/F50915/2972/1", 39.64)</f>
        <v>39.64</v>
      </c>
      <c r="E10162" s="2">
        <v>27.9</v>
      </c>
      <c r="F10162" s="2">
        <v>2</v>
      </c>
      <c r="G10162" s="2" t="s">
        <v>9</v>
      </c>
    </row>
    <row r="10163" spans="1:9" x14ac:dyDescent="0.2">
      <c r="A10163" s="2" t="s">
        <v>3336</v>
      </c>
      <c r="B10163" s="2" t="s">
        <v>337</v>
      </c>
      <c r="C10163" s="2">
        <v>590.3107</v>
      </c>
      <c r="D10163" s="2">
        <f>HYPERLINK("http://mcb-m6.bioreg.kyushu-u.ac.jp/M3/20110411/F50890/1481/1", 39.9)</f>
        <v>39.9</v>
      </c>
      <c r="E10163" s="2">
        <v>22.26</v>
      </c>
      <c r="F10163" s="2">
        <v>2</v>
      </c>
      <c r="G10163" s="2" t="s">
        <v>9</v>
      </c>
    </row>
    <row r="10164" spans="1:9" x14ac:dyDescent="0.2">
      <c r="A10164" s="2" t="s">
        <v>3336</v>
      </c>
      <c r="B10164" s="2" t="s">
        <v>124</v>
      </c>
      <c r="C10164" s="2">
        <v>893.36969999999997</v>
      </c>
      <c r="D10164" s="2">
        <f>HYPERLINK("http://mcb-m6.bioreg.kyushu-u.ac.jp/M3/20110411/F50891/2936/1", 40.38)</f>
        <v>40.380000000000003</v>
      </c>
      <c r="E10164" s="2">
        <v>29.32</v>
      </c>
      <c r="F10164" s="2">
        <v>2</v>
      </c>
      <c r="G10164" s="2" t="s">
        <v>9</v>
      </c>
      <c r="I10164" s="2" t="s">
        <v>4898</v>
      </c>
    </row>
    <row r="10165" spans="1:9" x14ac:dyDescent="0.2">
      <c r="A10165" s="2" t="s">
        <v>3336</v>
      </c>
      <c r="B10165" s="2" t="s">
        <v>373</v>
      </c>
      <c r="C10165" s="2">
        <v>523.4991</v>
      </c>
      <c r="D10165" s="2">
        <f>HYPERLINK("http://mcb-m6.bioreg.kyushu-u.ac.jp/M3/20110411/F50905/1050/1", 40.6)</f>
        <v>40.6</v>
      </c>
      <c r="E10165" s="2">
        <v>26.38</v>
      </c>
      <c r="F10165" s="2">
        <v>2</v>
      </c>
      <c r="G10165" s="2" t="s">
        <v>9</v>
      </c>
    </row>
    <row r="10166" spans="1:9" x14ac:dyDescent="0.2">
      <c r="A10166" s="2" t="s">
        <v>3336</v>
      </c>
      <c r="B10166" s="2" t="s">
        <v>373</v>
      </c>
      <c r="C10166" s="2">
        <v>1045.5450000000001</v>
      </c>
      <c r="D10166" s="2">
        <f>HYPERLINK("http://mcb-m6.bioreg.kyushu-u.ac.jp/M3/20110411/F50915/848/1", 41.79)</f>
        <v>41.79</v>
      </c>
      <c r="E10166" s="2">
        <v>15.56</v>
      </c>
      <c r="F10166" s="2">
        <v>1</v>
      </c>
      <c r="G10166" s="2" t="s">
        <v>9</v>
      </c>
    </row>
    <row r="10167" spans="1:9" x14ac:dyDescent="0.2">
      <c r="A10167" s="2" t="s">
        <v>3336</v>
      </c>
      <c r="B10167" s="2" t="s">
        <v>450</v>
      </c>
      <c r="C10167" s="2">
        <v>1002.513</v>
      </c>
      <c r="D10167" s="2">
        <f>HYPERLINK("http://mcb-m6.bioreg.kyushu-u.ac.jp/M3/20110411/F50915/3311/1", 42.11)</f>
        <v>42.11</v>
      </c>
      <c r="E10167" s="2">
        <v>30.71</v>
      </c>
      <c r="F10167" s="2">
        <v>2</v>
      </c>
      <c r="G10167" s="2" t="s">
        <v>9</v>
      </c>
    </row>
    <row r="10168" spans="1:9" x14ac:dyDescent="0.2">
      <c r="A10168" s="2" t="s">
        <v>3336</v>
      </c>
      <c r="B10168" s="2" t="s">
        <v>373</v>
      </c>
      <c r="C10168" s="2">
        <v>1045.402</v>
      </c>
      <c r="D10168" s="2">
        <f>HYPERLINK("http://mcb-m6.bioreg.kyushu-u.ac.jp/M3/20110411/F50890/1218/1", 42.45)</f>
        <v>42.45</v>
      </c>
      <c r="E10168" s="2">
        <v>17.78</v>
      </c>
      <c r="F10168" s="2">
        <v>1</v>
      </c>
      <c r="G10168" s="2" t="s">
        <v>9</v>
      </c>
    </row>
    <row r="10169" spans="1:9" x14ac:dyDescent="0.2">
      <c r="A10169" s="2" t="s">
        <v>3336</v>
      </c>
      <c r="B10169" s="2" t="s">
        <v>124</v>
      </c>
      <c r="C10169" s="2">
        <v>893.5557</v>
      </c>
      <c r="D10169" s="2">
        <f>HYPERLINK("http://mcb-m6.bioreg.kyushu-u.ac.jp/M3/20110411/F50905/2810/1", 44.05)</f>
        <v>44.05</v>
      </c>
      <c r="E10169" s="2">
        <v>33.18</v>
      </c>
      <c r="F10169" s="2">
        <v>2</v>
      </c>
      <c r="G10169" s="2" t="s">
        <v>9</v>
      </c>
      <c r="I10169" s="2" t="s">
        <v>4898</v>
      </c>
    </row>
    <row r="10170" spans="1:9" x14ac:dyDescent="0.2">
      <c r="A10170" s="2" t="s">
        <v>3336</v>
      </c>
      <c r="B10170" s="2" t="s">
        <v>337</v>
      </c>
      <c r="C10170" s="2">
        <v>1179.6769999999999</v>
      </c>
      <c r="D10170" s="2">
        <f>HYPERLINK("http://mcb-m6.bioreg.kyushu-u.ac.jp/M3/20110411/F50915/1119/1", 44.31)</f>
        <v>44.31</v>
      </c>
      <c r="E10170" s="2">
        <v>24.29</v>
      </c>
      <c r="F10170" s="2">
        <v>1</v>
      </c>
      <c r="G10170" s="2" t="s">
        <v>9</v>
      </c>
    </row>
    <row r="10171" spans="1:9" x14ac:dyDescent="0.2">
      <c r="A10171" s="2" t="s">
        <v>3336</v>
      </c>
      <c r="B10171" s="2" t="s">
        <v>373</v>
      </c>
      <c r="C10171" s="2">
        <v>1045.75</v>
      </c>
      <c r="D10171" s="2">
        <f>HYPERLINK("http://mcb-m6.bioreg.kyushu-u.ac.jp/M3/20110411/F50905/1046/1", 44.33)</f>
        <v>44.33</v>
      </c>
      <c r="E10171" s="2">
        <v>21.24</v>
      </c>
      <c r="F10171" s="2">
        <v>1</v>
      </c>
      <c r="G10171" s="2" t="s">
        <v>9</v>
      </c>
    </row>
    <row r="10172" spans="1:9" x14ac:dyDescent="0.2">
      <c r="A10172" s="2" t="s">
        <v>3336</v>
      </c>
      <c r="B10172" s="2" t="s">
        <v>263</v>
      </c>
      <c r="C10172" s="2">
        <v>961.49099999999999</v>
      </c>
      <c r="D10172" s="2">
        <f>HYPERLINK("http://mcb-m6.bioreg.kyushu-u.ac.jp/M3/20110411/F50892/1253/1", 44.64)</f>
        <v>44.64</v>
      </c>
      <c r="E10172" s="2">
        <v>12.69</v>
      </c>
      <c r="F10172" s="2">
        <v>1</v>
      </c>
      <c r="G10172" s="2" t="s">
        <v>9</v>
      </c>
    </row>
    <row r="10173" spans="1:9" x14ac:dyDescent="0.2">
      <c r="A10173" s="2" t="s">
        <v>3336</v>
      </c>
      <c r="B10173" s="2" t="s">
        <v>263</v>
      </c>
      <c r="C10173" s="2">
        <v>961.53800000000001</v>
      </c>
      <c r="D10173" s="2">
        <f>HYPERLINK("http://mcb-m6.bioreg.kyushu-u.ac.jp/M3/20110411/F50915/681/1", 45.02)</f>
        <v>45.02</v>
      </c>
      <c r="E10173" s="2">
        <v>9.9600000000000009</v>
      </c>
      <c r="F10173" s="2">
        <v>1</v>
      </c>
      <c r="G10173" s="2" t="s">
        <v>9</v>
      </c>
    </row>
    <row r="10174" spans="1:9" x14ac:dyDescent="0.2">
      <c r="A10174" s="2" t="s">
        <v>3336</v>
      </c>
      <c r="B10174" s="2" t="s">
        <v>124</v>
      </c>
      <c r="C10174" s="2">
        <v>893.9692</v>
      </c>
      <c r="D10174" s="2">
        <f>HYPERLINK("http://mcb-m6.bioreg.kyushu-u.ac.jp/M3/20110411/F50915/2792/1", 45.87)</f>
        <v>45.87</v>
      </c>
      <c r="E10174" s="2">
        <v>37.14</v>
      </c>
      <c r="F10174" s="2">
        <v>2</v>
      </c>
      <c r="G10174" s="2" t="s">
        <v>9</v>
      </c>
      <c r="I10174" s="2" t="s">
        <v>4898</v>
      </c>
    </row>
    <row r="10175" spans="1:9" x14ac:dyDescent="0.2">
      <c r="A10175" s="2" t="s">
        <v>3336</v>
      </c>
      <c r="B10175" s="2" t="s">
        <v>373</v>
      </c>
      <c r="C10175" s="2">
        <v>1045.7639999999999</v>
      </c>
      <c r="D10175" s="2">
        <f>HYPERLINK("http://mcb-m6.bioreg.kyushu-u.ac.jp/M3/20110411/F50895/1141/1", 46.42)</f>
        <v>46.42</v>
      </c>
      <c r="E10175" s="2">
        <v>19.54</v>
      </c>
      <c r="F10175" s="2">
        <v>1</v>
      </c>
      <c r="G10175" s="2" t="s">
        <v>9</v>
      </c>
    </row>
    <row r="10176" spans="1:9" x14ac:dyDescent="0.2">
      <c r="A10176" s="2" t="s">
        <v>3336</v>
      </c>
      <c r="B10176" s="2" t="s">
        <v>623</v>
      </c>
      <c r="C10176" s="2">
        <v>1086</v>
      </c>
      <c r="D10176" s="2">
        <f>HYPERLINK("http://mcb-m6.bioreg.kyushu-u.ac.jp/M3/20110411/F50916/3417/1", 46.5)</f>
        <v>46.5</v>
      </c>
      <c r="E10176" s="2">
        <v>36.89</v>
      </c>
      <c r="F10176" s="2">
        <v>2</v>
      </c>
      <c r="G10176" s="2" t="s">
        <v>9</v>
      </c>
    </row>
    <row r="10177" spans="1:9" x14ac:dyDescent="0.2">
      <c r="A10177" s="2" t="s">
        <v>3336</v>
      </c>
      <c r="B10177" s="2" t="s">
        <v>222</v>
      </c>
      <c r="C10177" s="2">
        <v>555.37369999999999</v>
      </c>
      <c r="D10177" s="2">
        <f>HYPERLINK("http://mcb-m6.bioreg.kyushu-u.ac.jp/M3/20110411/F50892/1496/1", 46.52)</f>
        <v>46.52</v>
      </c>
      <c r="E10177" s="2">
        <v>26.03</v>
      </c>
      <c r="F10177" s="2">
        <v>2</v>
      </c>
      <c r="G10177" s="2" t="s">
        <v>9</v>
      </c>
    </row>
    <row r="10178" spans="1:9" x14ac:dyDescent="0.2">
      <c r="A10178" s="2" t="s">
        <v>3336</v>
      </c>
      <c r="B10178" s="2" t="s">
        <v>646</v>
      </c>
      <c r="C10178" s="2">
        <v>826.30520000000001</v>
      </c>
      <c r="D10178" s="2">
        <f>HYPERLINK("http://mcb-m6.bioreg.kyushu-u.ac.jp/M3/20110411/F50915/2418/1", 47.16)</f>
        <v>47.16</v>
      </c>
      <c r="E10178" s="2">
        <v>35.24</v>
      </c>
      <c r="F10178" s="2">
        <v>2</v>
      </c>
      <c r="G10178" s="2" t="s">
        <v>9</v>
      </c>
      <c r="I10178" s="2" t="s">
        <v>4918</v>
      </c>
    </row>
    <row r="10179" spans="1:9" x14ac:dyDescent="0.2">
      <c r="A10179" s="2" t="s">
        <v>3336</v>
      </c>
      <c r="B10179" s="2" t="s">
        <v>222</v>
      </c>
      <c r="C10179" s="2">
        <v>554.73109999999997</v>
      </c>
      <c r="D10179" s="2">
        <f>HYPERLINK("http://mcb-m6.bioreg.kyushu-u.ac.jp/M3/20110411/F50889/1718/1", 49.12)</f>
        <v>49.12</v>
      </c>
      <c r="E10179" s="2">
        <v>31.93</v>
      </c>
      <c r="F10179" s="2">
        <v>2</v>
      </c>
      <c r="G10179" s="2" t="s">
        <v>9</v>
      </c>
    </row>
    <row r="10180" spans="1:9" x14ac:dyDescent="0.2">
      <c r="A10180" s="2" t="s">
        <v>3336</v>
      </c>
      <c r="B10180" s="2" t="s">
        <v>373</v>
      </c>
      <c r="C10180" s="2">
        <v>523.88120000000004</v>
      </c>
      <c r="D10180" s="2">
        <f>HYPERLINK("http://mcb-m6.bioreg.kyushu-u.ac.jp/M3/20110411/F50895/1147/1", 50.36)</f>
        <v>50.36</v>
      </c>
      <c r="E10180" s="2">
        <v>28.83</v>
      </c>
      <c r="F10180" s="2">
        <v>2</v>
      </c>
      <c r="G10180" s="2" t="s">
        <v>9</v>
      </c>
    </row>
    <row r="10181" spans="1:9" x14ac:dyDescent="0.2">
      <c r="A10181" s="2" t="s">
        <v>3336</v>
      </c>
      <c r="B10181" s="2" t="s">
        <v>222</v>
      </c>
      <c r="C10181" s="2">
        <v>554.86869999999999</v>
      </c>
      <c r="D10181" s="2">
        <f>HYPERLINK("http://mcb-m6.bioreg.kyushu-u.ac.jp/M3/20110411/F50892/1494/1", 52.21)</f>
        <v>52.21</v>
      </c>
      <c r="E10181" s="2">
        <v>36.33</v>
      </c>
      <c r="F10181" s="2">
        <v>2</v>
      </c>
      <c r="G10181" s="2" t="s">
        <v>9</v>
      </c>
    </row>
    <row r="10182" spans="1:9" x14ac:dyDescent="0.2">
      <c r="A10182" s="2" t="s">
        <v>3336</v>
      </c>
      <c r="B10182" s="2" t="s">
        <v>222</v>
      </c>
      <c r="C10182" s="2">
        <v>554.76369999999997</v>
      </c>
      <c r="D10182" s="2">
        <f>HYPERLINK("http://mcb-m6.bioreg.kyushu-u.ac.jp/M3/20110411/F50890/1341/1", 54.45)</f>
        <v>54.45</v>
      </c>
      <c r="E10182" s="2">
        <v>40.19</v>
      </c>
      <c r="F10182" s="2">
        <v>2</v>
      </c>
      <c r="G10182" s="2" t="s">
        <v>9</v>
      </c>
    </row>
    <row r="10183" spans="1:9" x14ac:dyDescent="0.2">
      <c r="A10183" s="2" t="s">
        <v>3336</v>
      </c>
      <c r="B10183" s="2" t="s">
        <v>138</v>
      </c>
      <c r="C10183" s="2">
        <v>867.70669999999996</v>
      </c>
      <c r="D10183" s="2">
        <f>HYPERLINK("http://mcb-m6.bioreg.kyushu-u.ac.jp/M3/20110411/F50915/2660/1", 59.36)</f>
        <v>59.36</v>
      </c>
      <c r="E10183" s="2">
        <v>43.14</v>
      </c>
      <c r="F10183" s="2">
        <v>2</v>
      </c>
      <c r="G10183" s="2" t="s">
        <v>9</v>
      </c>
      <c r="H10183" s="2" t="s">
        <v>4904</v>
      </c>
      <c r="I10183" s="2" t="s">
        <v>4892</v>
      </c>
    </row>
    <row r="10184" spans="1:9" x14ac:dyDescent="0.2">
      <c r="A10184" s="2" t="s">
        <v>3336</v>
      </c>
      <c r="B10184" s="2" t="s">
        <v>124</v>
      </c>
      <c r="C10184" s="2">
        <v>893.45719999999994</v>
      </c>
      <c r="D10184" s="2">
        <f>HYPERLINK("http://mcb-m6.bioreg.kyushu-u.ac.jp/M3/20110411/F50915/2790/1", 60.35)</f>
        <v>60.35</v>
      </c>
      <c r="E10184" s="2">
        <v>47.91</v>
      </c>
      <c r="F10184" s="2">
        <v>2</v>
      </c>
      <c r="G10184" s="2" t="s">
        <v>9</v>
      </c>
      <c r="I10184" s="2" t="s">
        <v>4898</v>
      </c>
    </row>
    <row r="10185" spans="1:9" x14ac:dyDescent="0.2">
      <c r="A10185" s="2" t="s">
        <v>3336</v>
      </c>
      <c r="B10185" s="2" t="s">
        <v>124</v>
      </c>
      <c r="C10185" s="2">
        <v>893.97170000000006</v>
      </c>
      <c r="D10185" s="2">
        <f>HYPERLINK("http://mcb-m6.bioreg.kyushu-u.ac.jp/M3/20110411/F50892/2811/1", 67.15)</f>
        <v>67.150000000000006</v>
      </c>
      <c r="E10185" s="2">
        <v>51.43</v>
      </c>
      <c r="F10185" s="2">
        <v>2</v>
      </c>
      <c r="G10185" s="2" t="s">
        <v>9</v>
      </c>
      <c r="I10185" s="2" t="s">
        <v>4898</v>
      </c>
    </row>
    <row r="10186" spans="1:9" x14ac:dyDescent="0.2">
      <c r="A10186" s="2" t="s">
        <v>3336</v>
      </c>
      <c r="B10186" s="2" t="s">
        <v>646</v>
      </c>
      <c r="C10186" s="2">
        <v>817.50670000000002</v>
      </c>
      <c r="D10186" s="2">
        <f>HYPERLINK("http://mcb-m6.bioreg.kyushu-u.ac.jp/M3/20110411/F50915/2363/1", 70.17)</f>
        <v>70.17</v>
      </c>
      <c r="E10186" s="2">
        <v>57.05</v>
      </c>
      <c r="F10186" s="2">
        <v>2</v>
      </c>
      <c r="G10186" s="2" t="s">
        <v>9</v>
      </c>
      <c r="H10186" s="2" t="s">
        <v>4904</v>
      </c>
      <c r="I10186" s="2" t="s">
        <v>4918</v>
      </c>
    </row>
    <row r="10187" spans="1:9" x14ac:dyDescent="0.2">
      <c r="A10187" s="2" t="s">
        <v>3336</v>
      </c>
      <c r="B10187" s="2" t="s">
        <v>124</v>
      </c>
      <c r="C10187" s="2">
        <v>893.9452</v>
      </c>
      <c r="D10187" s="2">
        <f>HYPERLINK("http://mcb-m6.bioreg.kyushu-u.ac.jp/M3/20110411/F50915/2791/1", 71.94)</f>
        <v>71.94</v>
      </c>
      <c r="E10187" s="2">
        <v>64.489999999999995</v>
      </c>
      <c r="F10187" s="2">
        <v>2</v>
      </c>
      <c r="G10187" s="2" t="s">
        <v>9</v>
      </c>
      <c r="I10187" s="2" t="s">
        <v>4898</v>
      </c>
    </row>
    <row r="10188" spans="1:9" x14ac:dyDescent="0.2">
      <c r="A10188" s="2" t="s">
        <v>3336</v>
      </c>
      <c r="B10188" s="2" t="s">
        <v>124</v>
      </c>
      <c r="C10188" s="2">
        <v>893.84770000000003</v>
      </c>
      <c r="D10188" s="2">
        <f>HYPERLINK("http://mcb-m6.bioreg.kyushu-u.ac.jp/M3/20110411/F50903/2717/1", 75.03)</f>
        <v>75.03</v>
      </c>
      <c r="E10188" s="2">
        <v>61.97</v>
      </c>
      <c r="F10188" s="2">
        <v>2</v>
      </c>
      <c r="G10188" s="2" t="s">
        <v>9</v>
      </c>
      <c r="I10188" s="2" t="s">
        <v>4898</v>
      </c>
    </row>
    <row r="10189" spans="1:9" x14ac:dyDescent="0.2">
      <c r="A10189" s="2" t="s">
        <v>3336</v>
      </c>
      <c r="B10189" s="2" t="s">
        <v>124</v>
      </c>
      <c r="C10189" s="2">
        <v>893.89760000000001</v>
      </c>
      <c r="D10189" s="2">
        <f>HYPERLINK("http://mcb-m6.bioreg.kyushu-u.ac.jp/M3/20110411/F50895/2792/1", 79.41)</f>
        <v>79.41</v>
      </c>
      <c r="E10189" s="2">
        <v>60.13</v>
      </c>
      <c r="F10189" s="2">
        <v>2</v>
      </c>
      <c r="G10189" s="2" t="s">
        <v>9</v>
      </c>
      <c r="I10189" s="2" t="s">
        <v>4898</v>
      </c>
    </row>
    <row r="10190" spans="1:9" x14ac:dyDescent="0.2">
      <c r="A10190" s="2" t="s">
        <v>3336</v>
      </c>
      <c r="B10190" s="2" t="s">
        <v>450</v>
      </c>
      <c r="C10190" s="2">
        <v>1001.952</v>
      </c>
      <c r="D10190" s="2">
        <f>HYPERLINK("http://mcb-m6.bioreg.kyushu-u.ac.jp/M3/20110411/F50915/3307/1", 87.29)</f>
        <v>87.29</v>
      </c>
      <c r="E10190" s="2">
        <v>66.28</v>
      </c>
      <c r="F10190" s="2">
        <v>2</v>
      </c>
      <c r="G10190" s="2" t="s">
        <v>9</v>
      </c>
    </row>
    <row r="10191" spans="1:9" x14ac:dyDescent="0.2">
      <c r="A10191" s="2" t="s">
        <v>3336</v>
      </c>
      <c r="B10191" s="2" t="s">
        <v>450</v>
      </c>
      <c r="C10191" s="2">
        <v>1002.5</v>
      </c>
      <c r="D10191" s="2">
        <f>HYPERLINK("http://mcb-m6.bioreg.kyushu-u.ac.jp/M3/20110411/F50915/3310/1", 97.22)</f>
        <v>97.22</v>
      </c>
      <c r="E10191" s="2">
        <v>76.11</v>
      </c>
      <c r="F10191" s="2">
        <v>2</v>
      </c>
      <c r="G10191" s="2" t="s">
        <v>9</v>
      </c>
    </row>
    <row r="10192" spans="1:9" x14ac:dyDescent="0.2">
      <c r="A10192" s="2" t="s">
        <v>3336</v>
      </c>
      <c r="B10192" s="2" t="s">
        <v>222</v>
      </c>
      <c r="C10192" s="2">
        <v>555.17610000000002</v>
      </c>
      <c r="D10192" s="2">
        <f>HYPERLINK("http://mcb-m6.bioreg.kyushu-u.ac.jp/M3/20110411/F50896/1496/1", 35.35)</f>
        <v>35.35</v>
      </c>
      <c r="E10192" s="2">
        <v>17.29</v>
      </c>
      <c r="F10192" s="2">
        <v>2</v>
      </c>
      <c r="G10192" s="2" t="s">
        <v>10</v>
      </c>
    </row>
    <row r="10193" spans="1:9" x14ac:dyDescent="0.2">
      <c r="A10193" s="2" t="s">
        <v>3336</v>
      </c>
      <c r="B10193" s="2" t="s">
        <v>124</v>
      </c>
      <c r="C10193" s="2">
        <v>894.03420000000006</v>
      </c>
      <c r="D10193" s="2">
        <f>HYPERLINK("http://mcb-m6.bioreg.kyushu-u.ac.jp/M3/20110411/F50897/2752/1", 36.65)</f>
        <v>36.65</v>
      </c>
      <c r="E10193" s="2">
        <v>25.12</v>
      </c>
      <c r="F10193" s="2">
        <v>2</v>
      </c>
      <c r="G10193" s="2" t="s">
        <v>10</v>
      </c>
      <c r="I10193" s="2" t="s">
        <v>4898</v>
      </c>
    </row>
    <row r="10194" spans="1:9" x14ac:dyDescent="0.2">
      <c r="A10194" s="2" t="s">
        <v>3336</v>
      </c>
      <c r="B10194" s="2" t="s">
        <v>263</v>
      </c>
      <c r="C10194" s="2">
        <v>961.83</v>
      </c>
      <c r="D10194" s="2">
        <f>HYPERLINK("http://mcb-m6.bioreg.kyushu-u.ac.jp/M3/20110411/F50912/1021/1", 37.62)</f>
        <v>37.619999999999997</v>
      </c>
      <c r="E10194" s="2">
        <v>8.57</v>
      </c>
      <c r="F10194" s="2">
        <v>1</v>
      </c>
      <c r="G10194" s="2" t="s">
        <v>10</v>
      </c>
    </row>
    <row r="10195" spans="1:9" x14ac:dyDescent="0.2">
      <c r="A10195" s="2" t="s">
        <v>3336</v>
      </c>
      <c r="B10195" s="2" t="s">
        <v>222</v>
      </c>
      <c r="C10195" s="2">
        <v>555.06269999999995</v>
      </c>
      <c r="D10195" s="2">
        <f>HYPERLINK("http://mcb-m6.bioreg.kyushu-u.ac.jp/M3/20110411/F50901/1372/1", 40.05)</f>
        <v>40.049999999999997</v>
      </c>
      <c r="E10195" s="2">
        <v>23.59</v>
      </c>
      <c r="F10195" s="2">
        <v>2</v>
      </c>
      <c r="G10195" s="2" t="s">
        <v>10</v>
      </c>
    </row>
    <row r="10196" spans="1:9" x14ac:dyDescent="0.2">
      <c r="A10196" s="2" t="s">
        <v>3336</v>
      </c>
      <c r="B10196" s="2" t="s">
        <v>337</v>
      </c>
      <c r="C10196" s="2">
        <v>590.89260000000002</v>
      </c>
      <c r="D10196" s="2">
        <f>HYPERLINK("http://mcb-m6.bioreg.kyushu-u.ac.jp/M3/20110411/F50917/1197/1", 40.1)</f>
        <v>40.1</v>
      </c>
      <c r="E10196" s="2">
        <v>20.72</v>
      </c>
      <c r="F10196" s="2">
        <v>2</v>
      </c>
      <c r="G10196" s="2" t="s">
        <v>10</v>
      </c>
    </row>
    <row r="10197" spans="1:9" x14ac:dyDescent="0.2">
      <c r="A10197" s="2" t="s">
        <v>3336</v>
      </c>
      <c r="B10197" s="2" t="s">
        <v>318</v>
      </c>
      <c r="C10197" s="2">
        <v>926.67169999999999</v>
      </c>
      <c r="D10197" s="2">
        <f>HYPERLINK("http://mcb-m6.bioreg.kyushu-u.ac.jp/M3/20110411/F50902/2913/1", 41.07)</f>
        <v>41.07</v>
      </c>
      <c r="E10197" s="2">
        <v>24.51</v>
      </c>
      <c r="F10197" s="2">
        <v>2</v>
      </c>
      <c r="G10197" s="2" t="s">
        <v>10</v>
      </c>
    </row>
    <row r="10198" spans="1:9" x14ac:dyDescent="0.2">
      <c r="A10198" s="2" t="s">
        <v>3336</v>
      </c>
      <c r="B10198" s="2" t="s">
        <v>373</v>
      </c>
      <c r="C10198" s="2">
        <v>1045.7049999999999</v>
      </c>
      <c r="D10198" s="2">
        <f>HYPERLINK("http://mcb-m6.bioreg.kyushu-u.ac.jp/M3/20110411/F50902/1209/1", 44.46)</f>
        <v>44.46</v>
      </c>
      <c r="E10198" s="2">
        <v>20.75</v>
      </c>
      <c r="F10198" s="2">
        <v>1</v>
      </c>
      <c r="G10198" s="2" t="s">
        <v>10</v>
      </c>
    </row>
    <row r="10199" spans="1:9" x14ac:dyDescent="0.2">
      <c r="A10199" s="2" t="s">
        <v>3336</v>
      </c>
      <c r="B10199" s="2" t="s">
        <v>263</v>
      </c>
      <c r="C10199" s="2">
        <v>962.16600000000005</v>
      </c>
      <c r="D10199" s="2">
        <f>HYPERLINK("http://mcb-m6.bioreg.kyushu-u.ac.jp/M3/20110411/F50900/1274/1", 44.51)</f>
        <v>44.51</v>
      </c>
      <c r="E10199" s="2">
        <v>11.67</v>
      </c>
      <c r="F10199" s="2">
        <v>1</v>
      </c>
      <c r="G10199" s="2" t="s">
        <v>10</v>
      </c>
    </row>
    <row r="10200" spans="1:9" x14ac:dyDescent="0.2">
      <c r="A10200" s="2" t="s">
        <v>3336</v>
      </c>
      <c r="B10200" s="2" t="s">
        <v>337</v>
      </c>
      <c r="C10200" s="2">
        <v>590.45259999999996</v>
      </c>
      <c r="D10200" s="2">
        <f>HYPERLINK("http://mcb-m6.bioreg.kyushu-u.ac.jp/M3/20110411/F50902/1404/1", 44.51)</f>
        <v>44.51</v>
      </c>
      <c r="E10200" s="2">
        <v>26.61</v>
      </c>
      <c r="F10200" s="2">
        <v>2</v>
      </c>
      <c r="G10200" s="2" t="s">
        <v>10</v>
      </c>
    </row>
    <row r="10201" spans="1:9" x14ac:dyDescent="0.2">
      <c r="A10201" s="2" t="s">
        <v>3336</v>
      </c>
      <c r="B10201" s="2" t="s">
        <v>1860</v>
      </c>
      <c r="C10201" s="2">
        <v>791.47170000000006</v>
      </c>
      <c r="D10201" s="2">
        <f>HYPERLINK("http://mcb-m6.bioreg.kyushu-u.ac.jp/M3/20110411/F50901/2279/1", 45.07)</f>
        <v>45.07</v>
      </c>
      <c r="E10201" s="2">
        <v>30.92</v>
      </c>
      <c r="F10201" s="2">
        <v>2</v>
      </c>
      <c r="G10201" s="2" t="s">
        <v>10</v>
      </c>
    </row>
    <row r="10202" spans="1:9" x14ac:dyDescent="0.2">
      <c r="A10202" s="2" t="s">
        <v>3336</v>
      </c>
      <c r="B10202" s="2" t="s">
        <v>138</v>
      </c>
      <c r="C10202" s="2">
        <v>867.46310000000005</v>
      </c>
      <c r="D10202" s="2">
        <f>HYPERLINK("http://mcb-m6.bioreg.kyushu-u.ac.jp/M3/20110411/F50917/2716/1", 46.15)</f>
        <v>46.15</v>
      </c>
      <c r="E10202" s="2">
        <v>35.71</v>
      </c>
      <c r="F10202" s="2">
        <v>2</v>
      </c>
      <c r="G10202" s="2" t="s">
        <v>10</v>
      </c>
      <c r="H10202" s="2" t="s">
        <v>4904</v>
      </c>
      <c r="I10202" s="2" t="s">
        <v>4892</v>
      </c>
    </row>
    <row r="10203" spans="1:9" x14ac:dyDescent="0.2">
      <c r="A10203" s="2" t="s">
        <v>3336</v>
      </c>
      <c r="B10203" s="2" t="s">
        <v>373</v>
      </c>
      <c r="C10203" s="2">
        <v>1045.5840000000001</v>
      </c>
      <c r="D10203" s="2">
        <f>HYPERLINK("http://mcb-m6.bioreg.kyushu-u.ac.jp/M3/20110411/F50917/885/1", 46.34)</f>
        <v>46.34</v>
      </c>
      <c r="E10203" s="2">
        <v>19.32</v>
      </c>
      <c r="F10203" s="2">
        <v>1</v>
      </c>
      <c r="G10203" s="2" t="s">
        <v>10</v>
      </c>
    </row>
    <row r="10204" spans="1:9" x14ac:dyDescent="0.2">
      <c r="A10204" s="2" t="s">
        <v>3336</v>
      </c>
      <c r="B10204" s="2" t="s">
        <v>263</v>
      </c>
      <c r="C10204" s="2">
        <v>961.67700000000002</v>
      </c>
      <c r="D10204" s="2">
        <f>HYPERLINK("http://mcb-m6.bioreg.kyushu-u.ac.jp/M3/20110411/F50902/1106/1", 48.66)</f>
        <v>48.66</v>
      </c>
      <c r="E10204" s="2">
        <v>15.6</v>
      </c>
      <c r="F10204" s="2">
        <v>1</v>
      </c>
      <c r="G10204" s="2" t="s">
        <v>10</v>
      </c>
    </row>
    <row r="10205" spans="1:9" x14ac:dyDescent="0.2">
      <c r="A10205" s="2" t="s">
        <v>3336</v>
      </c>
      <c r="B10205" s="2" t="s">
        <v>222</v>
      </c>
      <c r="C10205" s="2">
        <v>554.89070000000004</v>
      </c>
      <c r="D10205" s="2">
        <f>HYPERLINK("http://mcb-m6.bioreg.kyushu-u.ac.jp/M3/20110411/F50917/1028/1", 49.33)</f>
        <v>49.33</v>
      </c>
      <c r="E10205" s="2">
        <v>33.15</v>
      </c>
      <c r="F10205" s="2">
        <v>2</v>
      </c>
      <c r="G10205" s="2" t="s">
        <v>10</v>
      </c>
    </row>
    <row r="10206" spans="1:9" x14ac:dyDescent="0.2">
      <c r="A10206" s="2" t="s">
        <v>3336</v>
      </c>
      <c r="B10206" s="2" t="s">
        <v>124</v>
      </c>
      <c r="C10206" s="2">
        <v>893.39970000000005</v>
      </c>
      <c r="D10206" s="2">
        <f>HYPERLINK("http://mcb-m6.bioreg.kyushu-u.ac.jp/M3/20110411/F50896/2703/1", 49.65)</f>
        <v>49.65</v>
      </c>
      <c r="E10206" s="2">
        <v>29.6</v>
      </c>
      <c r="F10206" s="2">
        <v>2</v>
      </c>
      <c r="G10206" s="2" t="s">
        <v>10</v>
      </c>
      <c r="I10206" s="2" t="s">
        <v>4898</v>
      </c>
    </row>
    <row r="10207" spans="1:9" x14ac:dyDescent="0.2">
      <c r="A10207" s="2" t="s">
        <v>3336</v>
      </c>
      <c r="B10207" s="2" t="s">
        <v>124</v>
      </c>
      <c r="C10207" s="2">
        <v>893.94619999999998</v>
      </c>
      <c r="D10207" s="2">
        <f>HYPERLINK("http://mcb-m6.bioreg.kyushu-u.ac.jp/M3/20110411/F50914/2804/1", 49.71)</f>
        <v>49.71</v>
      </c>
      <c r="E10207" s="2">
        <v>39.46</v>
      </c>
      <c r="F10207" s="2">
        <v>2</v>
      </c>
      <c r="G10207" s="2" t="s">
        <v>10</v>
      </c>
      <c r="I10207" s="2" t="s">
        <v>4898</v>
      </c>
    </row>
    <row r="10208" spans="1:9" x14ac:dyDescent="0.2">
      <c r="A10208" s="2" t="s">
        <v>3336</v>
      </c>
      <c r="B10208" s="2" t="s">
        <v>263</v>
      </c>
      <c r="C10208" s="2">
        <v>961.71799999999996</v>
      </c>
      <c r="D10208" s="2">
        <f>HYPERLINK("http://mcb-m6.bioreg.kyushu-u.ac.jp/M3/20110411/F50901/1165/1", 51.72)</f>
        <v>51.72</v>
      </c>
      <c r="E10208" s="2">
        <v>17.96</v>
      </c>
      <c r="F10208" s="2">
        <v>1</v>
      </c>
      <c r="G10208" s="2" t="s">
        <v>10</v>
      </c>
    </row>
    <row r="10209" spans="1:9" x14ac:dyDescent="0.2">
      <c r="A10209" s="2" t="s">
        <v>3336</v>
      </c>
      <c r="B10209" s="2" t="s">
        <v>263</v>
      </c>
      <c r="C10209" s="2">
        <v>961.625</v>
      </c>
      <c r="D10209" s="2">
        <f>HYPERLINK("http://mcb-m6.bioreg.kyushu-u.ac.jp/M3/20110411/F50899/1494/1", 52.65)</f>
        <v>52.65</v>
      </c>
      <c r="E10209" s="2">
        <v>19.48</v>
      </c>
      <c r="F10209" s="2">
        <v>1</v>
      </c>
      <c r="G10209" s="2" t="s">
        <v>10</v>
      </c>
    </row>
    <row r="10210" spans="1:9" x14ac:dyDescent="0.2">
      <c r="A10210" s="2" t="s">
        <v>3336</v>
      </c>
      <c r="B10210" s="2" t="s">
        <v>263</v>
      </c>
      <c r="C10210" s="2">
        <v>961.59199999999998</v>
      </c>
      <c r="D10210" s="2">
        <f>HYPERLINK("http://mcb-m6.bioreg.kyushu-u.ac.jp/M3/20110411/F50917/734/1", 52.81)</f>
        <v>52.81</v>
      </c>
      <c r="E10210" s="2">
        <v>19.489999999999998</v>
      </c>
      <c r="F10210" s="2">
        <v>1</v>
      </c>
      <c r="G10210" s="2" t="s">
        <v>10</v>
      </c>
    </row>
    <row r="10211" spans="1:9" x14ac:dyDescent="0.2">
      <c r="A10211" s="2" t="s">
        <v>3336</v>
      </c>
      <c r="B10211" s="2" t="s">
        <v>373</v>
      </c>
      <c r="C10211" s="2">
        <v>1045.6690000000001</v>
      </c>
      <c r="D10211" s="2">
        <f>HYPERLINK("http://mcb-m6.bioreg.kyushu-u.ac.jp/M3/20110411/F50900/1418/1", 55.89)</f>
        <v>55.89</v>
      </c>
      <c r="E10211" s="2">
        <v>29.05</v>
      </c>
      <c r="F10211" s="2">
        <v>1</v>
      </c>
      <c r="G10211" s="2" t="s">
        <v>10</v>
      </c>
    </row>
    <row r="10212" spans="1:9" x14ac:dyDescent="0.2">
      <c r="A10212" s="2" t="s">
        <v>3336</v>
      </c>
      <c r="B10212" s="2" t="s">
        <v>124</v>
      </c>
      <c r="C10212" s="2">
        <v>894.01509999999996</v>
      </c>
      <c r="D10212" s="2">
        <f>HYPERLINK("http://mcb-m6.bioreg.kyushu-u.ac.jp/M3/20110411/F50920/2272/1", 64.62)</f>
        <v>64.62</v>
      </c>
      <c r="E10212" s="2">
        <v>48.36</v>
      </c>
      <c r="F10212" s="2">
        <v>2</v>
      </c>
      <c r="G10212" s="2" t="s">
        <v>10</v>
      </c>
      <c r="I10212" s="2" t="s">
        <v>4898</v>
      </c>
    </row>
    <row r="10213" spans="1:9" x14ac:dyDescent="0.2">
      <c r="A10213" s="2" t="s">
        <v>3336</v>
      </c>
      <c r="B10213" s="2" t="s">
        <v>124</v>
      </c>
      <c r="C10213" s="2">
        <v>893.50869999999998</v>
      </c>
      <c r="D10213" s="2">
        <f>HYPERLINK("http://mcb-m6.bioreg.kyushu-u.ac.jp/M3/20110411/F50902/2768/1", 69.79)</f>
        <v>69.790000000000006</v>
      </c>
      <c r="E10213" s="2">
        <v>57.08</v>
      </c>
      <c r="F10213" s="2">
        <v>2</v>
      </c>
      <c r="G10213" s="2" t="s">
        <v>10</v>
      </c>
      <c r="I10213" s="2" t="s">
        <v>4898</v>
      </c>
    </row>
    <row r="10214" spans="1:9" x14ac:dyDescent="0.2">
      <c r="A10214" s="2" t="s">
        <v>3336</v>
      </c>
      <c r="B10214" s="2" t="s">
        <v>124</v>
      </c>
      <c r="C10214" s="2">
        <v>893.38869999999997</v>
      </c>
      <c r="D10214" s="2">
        <f>HYPERLINK("http://mcb-m6.bioreg.kyushu-u.ac.jp/M3/20110411/F50900/2703/1", 75.13)</f>
        <v>75.13</v>
      </c>
      <c r="E10214" s="2">
        <v>62.6</v>
      </c>
      <c r="F10214" s="2">
        <v>2</v>
      </c>
      <c r="G10214" s="2" t="s">
        <v>10</v>
      </c>
      <c r="I10214" s="2" t="s">
        <v>4898</v>
      </c>
    </row>
    <row r="10215" spans="1:9" x14ac:dyDescent="0.2">
      <c r="A10215" s="2" t="s">
        <v>3336</v>
      </c>
      <c r="B10215" s="2" t="s">
        <v>124</v>
      </c>
      <c r="C10215" s="2">
        <v>893.50710000000004</v>
      </c>
      <c r="D10215" s="2">
        <f>HYPERLINK("http://mcb-m6.bioreg.kyushu-u.ac.jp/M3/20110411/F50913/2754/1", 77.57)</f>
        <v>77.569999999999993</v>
      </c>
      <c r="E10215" s="2">
        <v>55.73</v>
      </c>
      <c r="F10215" s="2">
        <v>2</v>
      </c>
      <c r="G10215" s="2" t="s">
        <v>10</v>
      </c>
      <c r="I10215" s="2" t="s">
        <v>4898</v>
      </c>
    </row>
    <row r="10216" spans="1:9" x14ac:dyDescent="0.2">
      <c r="A10216" s="2" t="s">
        <v>3336</v>
      </c>
      <c r="B10216" s="2" t="s">
        <v>450</v>
      </c>
      <c r="C10216" s="2">
        <v>668.49149999999997</v>
      </c>
      <c r="D10216" s="2">
        <f>HYPERLINK("http://mcb-m6.bioreg.kyushu-u.ac.jp/M3/20110411/F50917/3349/1", 78)</f>
        <v>78</v>
      </c>
      <c r="E10216" s="2">
        <v>54.36</v>
      </c>
      <c r="F10216" s="2">
        <v>3</v>
      </c>
      <c r="G10216" s="2" t="s">
        <v>10</v>
      </c>
    </row>
    <row r="10217" spans="1:9" x14ac:dyDescent="0.2">
      <c r="A10217" s="2" t="s">
        <v>3336</v>
      </c>
      <c r="B10217" s="2" t="s">
        <v>124</v>
      </c>
      <c r="C10217" s="2">
        <v>893.52419999999995</v>
      </c>
      <c r="D10217" s="2">
        <f>HYPERLINK("http://mcb-m6.bioreg.kyushu-u.ac.jp/M3/20110411/F50912/2728/1", 86.46)</f>
        <v>86.46</v>
      </c>
      <c r="E10217" s="2">
        <v>69.92</v>
      </c>
      <c r="F10217" s="2">
        <v>2</v>
      </c>
      <c r="G10217" s="2" t="s">
        <v>10</v>
      </c>
      <c r="I10217" s="2" t="s">
        <v>4898</v>
      </c>
    </row>
    <row r="10218" spans="1:9" x14ac:dyDescent="0.2">
      <c r="A10218" s="2" t="s">
        <v>3336</v>
      </c>
      <c r="B10218" s="2" t="s">
        <v>450</v>
      </c>
      <c r="C10218" s="2">
        <v>1002.62</v>
      </c>
      <c r="D10218" s="2">
        <f>HYPERLINK("http://mcb-m6.bioreg.kyushu-u.ac.jp/M3/20110411/F50917/3351/1", 87.09)</f>
        <v>87.09</v>
      </c>
      <c r="E10218" s="2">
        <v>63.81</v>
      </c>
      <c r="F10218" s="2">
        <v>2</v>
      </c>
      <c r="G10218" s="2" t="s">
        <v>10</v>
      </c>
    </row>
    <row r="10219" spans="1:9" x14ac:dyDescent="0.2">
      <c r="A10219" s="2" t="s">
        <v>3336</v>
      </c>
      <c r="B10219" s="2" t="s">
        <v>124</v>
      </c>
      <c r="C10219" s="2">
        <v>893.60220000000004</v>
      </c>
      <c r="D10219" s="2">
        <f>HYPERLINK("http://mcb-m6.bioreg.kyushu-u.ac.jp/M3/20110411/F50918/2597/1", 106.54)</f>
        <v>106.54</v>
      </c>
      <c r="E10219" s="2">
        <v>84.21</v>
      </c>
      <c r="F10219" s="2">
        <v>2</v>
      </c>
      <c r="G10219" s="2" t="s">
        <v>10</v>
      </c>
      <c r="I10219" s="2" t="s">
        <v>4898</v>
      </c>
    </row>
    <row r="10220" spans="1:9" x14ac:dyDescent="0.2">
      <c r="A10220" s="2" t="s">
        <v>3336</v>
      </c>
      <c r="B10220" s="2" t="s">
        <v>623</v>
      </c>
      <c r="C10220" s="2">
        <v>1085.9190000000001</v>
      </c>
      <c r="D10220" s="2">
        <f>HYPERLINK("http://mcb-m6.bioreg.kyushu-u.ac.jp/M3/20110411/F50917/3591/1", 109.22)</f>
        <v>109.22</v>
      </c>
      <c r="E10220" s="2">
        <v>100.22</v>
      </c>
      <c r="F10220" s="2">
        <v>2</v>
      </c>
      <c r="G10220" s="2" t="s">
        <v>10</v>
      </c>
    </row>
    <row r="10221" spans="1:9" x14ac:dyDescent="0.2">
      <c r="A10221" s="2" t="s">
        <v>3336</v>
      </c>
      <c r="B10221" s="2" t="s">
        <v>138</v>
      </c>
      <c r="C10221" s="2">
        <v>867.19709999999998</v>
      </c>
      <c r="D10221" s="2">
        <f>HYPERLINK("http://mcb-m6.bioreg.kyushu-u.ac.jp/M3/20110414/F50956/2824/1", 37.37)</f>
        <v>37.369999999999997</v>
      </c>
      <c r="E10221" s="2">
        <v>24.62</v>
      </c>
      <c r="F10221" s="2">
        <v>2</v>
      </c>
      <c r="G10221" s="2" t="s">
        <v>11</v>
      </c>
      <c r="H10221" s="2" t="s">
        <v>4904</v>
      </c>
      <c r="I10221" s="2" t="s">
        <v>4892</v>
      </c>
    </row>
    <row r="10222" spans="1:9" x14ac:dyDescent="0.2">
      <c r="A10222" s="2" t="s">
        <v>3336</v>
      </c>
      <c r="B10222" s="2" t="s">
        <v>138</v>
      </c>
      <c r="C10222" s="2">
        <v>875.77509999999995</v>
      </c>
      <c r="D10222" s="2">
        <f>HYPERLINK("http://mcb-m6.bioreg.kyushu-u.ac.jp/M3/20110414/F50956/2858/1", 38.45)</f>
        <v>38.450000000000003</v>
      </c>
      <c r="E10222" s="2">
        <v>21.82</v>
      </c>
      <c r="F10222" s="2">
        <v>2</v>
      </c>
      <c r="G10222" s="2" t="s">
        <v>11</v>
      </c>
      <c r="H10222" s="2" t="s">
        <v>4958</v>
      </c>
      <c r="I10222" s="2" t="s">
        <v>4892</v>
      </c>
    </row>
    <row r="10223" spans="1:9" x14ac:dyDescent="0.2">
      <c r="A10223" s="2" t="s">
        <v>3336</v>
      </c>
      <c r="B10223" s="2" t="s">
        <v>222</v>
      </c>
      <c r="C10223" s="2">
        <v>555.15369999999996</v>
      </c>
      <c r="D10223" s="2">
        <f>HYPERLINK("http://mcb-m6.bioreg.kyushu-u.ac.jp/M3/20110414/F50956/864/1", 38.64)</f>
        <v>38.64</v>
      </c>
      <c r="E10223" s="2">
        <v>19.489999999999998</v>
      </c>
      <c r="F10223" s="2">
        <v>2</v>
      </c>
      <c r="G10223" s="2" t="s">
        <v>11</v>
      </c>
    </row>
    <row r="10224" spans="1:9" x14ac:dyDescent="0.2">
      <c r="A10224" s="2" t="s">
        <v>3336</v>
      </c>
      <c r="B10224" s="2" t="s">
        <v>337</v>
      </c>
      <c r="C10224" s="2">
        <v>590.16470000000004</v>
      </c>
      <c r="D10224" s="2">
        <f>HYPERLINK("http://mcb-m6.bioreg.kyushu-u.ac.jp/M3/20110414/F50956/998/1", 38.7)</f>
        <v>38.700000000000003</v>
      </c>
      <c r="E10224" s="2">
        <v>23.02</v>
      </c>
      <c r="F10224" s="2">
        <v>2</v>
      </c>
      <c r="G10224" s="2" t="s">
        <v>11</v>
      </c>
    </row>
    <row r="10225" spans="1:9" x14ac:dyDescent="0.2">
      <c r="A10225" s="2" t="s">
        <v>3336</v>
      </c>
      <c r="B10225" s="2" t="s">
        <v>124</v>
      </c>
      <c r="C10225" s="2">
        <v>893.50459999999998</v>
      </c>
      <c r="D10225" s="2">
        <f>HYPERLINK("http://mcb-m6.bioreg.kyushu-u.ac.jp/M3/20110414/F50942/2822/1", 39.95)</f>
        <v>39.950000000000003</v>
      </c>
      <c r="E10225" s="2">
        <v>24.95</v>
      </c>
      <c r="F10225" s="2">
        <v>2</v>
      </c>
      <c r="G10225" s="2" t="s">
        <v>11</v>
      </c>
      <c r="I10225" s="2" t="s">
        <v>4898</v>
      </c>
    </row>
    <row r="10226" spans="1:9" x14ac:dyDescent="0.2">
      <c r="A10226" s="2" t="s">
        <v>3336</v>
      </c>
      <c r="B10226" s="2" t="s">
        <v>124</v>
      </c>
      <c r="C10226" s="2">
        <v>893.74770000000001</v>
      </c>
      <c r="D10226" s="2">
        <f>HYPERLINK("http://mcb-m6.bioreg.kyushu-u.ac.jp/M3/20110414/F50957/2853/1", 41.12)</f>
        <v>41.12</v>
      </c>
      <c r="E10226" s="2">
        <v>34.340000000000003</v>
      </c>
      <c r="F10226" s="2">
        <v>2</v>
      </c>
      <c r="G10226" s="2" t="s">
        <v>11</v>
      </c>
      <c r="I10226" s="2" t="s">
        <v>4898</v>
      </c>
    </row>
    <row r="10227" spans="1:9" x14ac:dyDescent="0.2">
      <c r="A10227" s="2" t="s">
        <v>3336</v>
      </c>
      <c r="B10227" s="2" t="s">
        <v>222</v>
      </c>
      <c r="C10227" s="2">
        <v>1108.479</v>
      </c>
      <c r="D10227" s="2">
        <f>HYPERLINK("http://mcb-m6.bioreg.kyushu-u.ac.jp/M3/20110414/F50956/863/1", 41.35)</f>
        <v>41.35</v>
      </c>
      <c r="E10227" s="2">
        <v>24.06</v>
      </c>
      <c r="F10227" s="2">
        <v>1</v>
      </c>
      <c r="G10227" s="2" t="s">
        <v>11</v>
      </c>
    </row>
    <row r="10228" spans="1:9" x14ac:dyDescent="0.2">
      <c r="A10228" s="2" t="s">
        <v>3336</v>
      </c>
      <c r="B10228" s="2" t="s">
        <v>337</v>
      </c>
      <c r="C10228" s="2">
        <v>590.8152</v>
      </c>
      <c r="D10228" s="2">
        <f>HYPERLINK("http://mcb-m6.bioreg.kyushu-u.ac.jp/M3/20110414/F50957/929/1", 41.48)</f>
        <v>41.48</v>
      </c>
      <c r="E10228" s="2">
        <v>26.72</v>
      </c>
      <c r="F10228" s="2">
        <v>2</v>
      </c>
      <c r="G10228" s="2" t="s">
        <v>11</v>
      </c>
    </row>
    <row r="10229" spans="1:9" x14ac:dyDescent="0.2">
      <c r="A10229" s="2" t="s">
        <v>3336</v>
      </c>
      <c r="B10229" s="2" t="s">
        <v>222</v>
      </c>
      <c r="C10229" s="2">
        <v>1108.6479999999999</v>
      </c>
      <c r="D10229" s="2">
        <f>HYPERLINK("http://mcb-m6.bioreg.kyushu-u.ac.jp/M3/20110414/F50942/1010/1", 43.72)</f>
        <v>43.72</v>
      </c>
      <c r="E10229" s="2">
        <v>27.71</v>
      </c>
      <c r="F10229" s="2">
        <v>1</v>
      </c>
      <c r="G10229" s="2" t="s">
        <v>11</v>
      </c>
    </row>
    <row r="10230" spans="1:9" x14ac:dyDescent="0.2">
      <c r="A10230" s="2" t="s">
        <v>3336</v>
      </c>
      <c r="B10230" s="2" t="s">
        <v>373</v>
      </c>
      <c r="C10230" s="2">
        <v>523.55970000000002</v>
      </c>
      <c r="D10230" s="2">
        <f>HYPERLINK("http://mcb-m6.bioreg.kyushu-u.ac.jp/M3/20110414/F50927/1450/1", 43.87)</f>
        <v>43.87</v>
      </c>
      <c r="E10230" s="2">
        <v>15.73</v>
      </c>
      <c r="F10230" s="2">
        <v>2</v>
      </c>
      <c r="G10230" s="2" t="s">
        <v>11</v>
      </c>
    </row>
    <row r="10231" spans="1:9" x14ac:dyDescent="0.2">
      <c r="A10231" s="2" t="s">
        <v>3336</v>
      </c>
      <c r="B10231" s="2" t="s">
        <v>373</v>
      </c>
      <c r="C10231" s="2">
        <v>523.49220000000003</v>
      </c>
      <c r="D10231" s="2">
        <f>HYPERLINK("http://mcb-m6.bioreg.kyushu-u.ac.jp/M3/20110414/F50943/1005/1", 44.24)</f>
        <v>44.24</v>
      </c>
      <c r="E10231" s="2">
        <v>23.36</v>
      </c>
      <c r="F10231" s="2">
        <v>2</v>
      </c>
      <c r="G10231" s="2" t="s">
        <v>11</v>
      </c>
    </row>
    <row r="10232" spans="1:9" x14ac:dyDescent="0.2">
      <c r="A10232" s="2" t="s">
        <v>3336</v>
      </c>
      <c r="B10232" s="2" t="s">
        <v>124</v>
      </c>
      <c r="C10232" s="2">
        <v>893.75819999999999</v>
      </c>
      <c r="D10232" s="2">
        <f>HYPERLINK("http://mcb-m6.bioreg.kyushu-u.ac.jp/M3/20110414/F50941/2903/1", 44.57)</f>
        <v>44.57</v>
      </c>
      <c r="E10232" s="2">
        <v>36.26</v>
      </c>
      <c r="F10232" s="2">
        <v>2</v>
      </c>
      <c r="G10232" s="2" t="s">
        <v>11</v>
      </c>
      <c r="I10232" s="2" t="s">
        <v>4898</v>
      </c>
    </row>
    <row r="10233" spans="1:9" x14ac:dyDescent="0.2">
      <c r="A10233" s="2" t="s">
        <v>3336</v>
      </c>
      <c r="B10233" s="2" t="s">
        <v>337</v>
      </c>
      <c r="C10233" s="2">
        <v>1179.4280000000001</v>
      </c>
      <c r="D10233" s="2">
        <f>HYPERLINK("http://mcb-m6.bioreg.kyushu-u.ac.jp/M3/20110414/F50956/999/1", 46.33)</f>
        <v>46.33</v>
      </c>
      <c r="E10233" s="2">
        <v>26.74</v>
      </c>
      <c r="F10233" s="2">
        <v>1</v>
      </c>
      <c r="G10233" s="2" t="s">
        <v>11</v>
      </c>
    </row>
    <row r="10234" spans="1:9" x14ac:dyDescent="0.2">
      <c r="A10234" s="2" t="s">
        <v>3336</v>
      </c>
      <c r="B10234" s="2" t="s">
        <v>124</v>
      </c>
      <c r="C10234" s="2">
        <v>893.17219999999998</v>
      </c>
      <c r="D10234" s="2">
        <f>HYPERLINK("http://mcb-m6.bioreg.kyushu-u.ac.jp/M3/20110414/F50924/2755/1", 48.32)</f>
        <v>48.32</v>
      </c>
      <c r="E10234" s="2">
        <v>24.65</v>
      </c>
      <c r="F10234" s="2">
        <v>2</v>
      </c>
      <c r="G10234" s="2" t="s">
        <v>11</v>
      </c>
      <c r="I10234" s="2" t="s">
        <v>4898</v>
      </c>
    </row>
    <row r="10235" spans="1:9" x14ac:dyDescent="0.2">
      <c r="A10235" s="2" t="s">
        <v>3336</v>
      </c>
      <c r="B10235" s="2" t="s">
        <v>124</v>
      </c>
      <c r="C10235" s="2">
        <v>894.01670000000001</v>
      </c>
      <c r="D10235" s="2">
        <f>HYPERLINK("http://mcb-m6.bioreg.kyushu-u.ac.jp/M3/20110414/F50956/2953/1", 48.96)</f>
        <v>48.96</v>
      </c>
      <c r="E10235" s="2">
        <v>4.4400000000000004</v>
      </c>
      <c r="F10235" s="2">
        <v>2</v>
      </c>
      <c r="G10235" s="2" t="s">
        <v>11</v>
      </c>
      <c r="I10235" s="2" t="s">
        <v>4898</v>
      </c>
    </row>
    <row r="10236" spans="1:9" x14ac:dyDescent="0.2">
      <c r="A10236" s="2" t="s">
        <v>3336</v>
      </c>
      <c r="B10236" s="2" t="s">
        <v>222</v>
      </c>
      <c r="C10236" s="2">
        <v>554.84310000000005</v>
      </c>
      <c r="D10236" s="2">
        <f>HYPERLINK("http://mcb-m6.bioreg.kyushu-u.ac.jp/M3/20110414/F50944/1435/1", 50.54)</f>
        <v>50.54</v>
      </c>
      <c r="E10236" s="2">
        <v>25.75</v>
      </c>
      <c r="F10236" s="2">
        <v>2</v>
      </c>
      <c r="G10236" s="2" t="s">
        <v>11</v>
      </c>
    </row>
    <row r="10237" spans="1:9" x14ac:dyDescent="0.2">
      <c r="A10237" s="2" t="s">
        <v>3336</v>
      </c>
      <c r="B10237" s="2" t="s">
        <v>373</v>
      </c>
      <c r="C10237" s="2">
        <v>1045.3420000000001</v>
      </c>
      <c r="D10237" s="2">
        <f>HYPERLINK("http://mcb-m6.bioreg.kyushu-u.ac.jp/M3/20110414/F50929/1585/1", 50.62)</f>
        <v>50.62</v>
      </c>
      <c r="E10237" s="2">
        <v>34.04</v>
      </c>
      <c r="F10237" s="2">
        <v>1</v>
      </c>
      <c r="G10237" s="2" t="s">
        <v>11</v>
      </c>
    </row>
    <row r="10238" spans="1:9" x14ac:dyDescent="0.2">
      <c r="A10238" s="2" t="s">
        <v>3336</v>
      </c>
      <c r="B10238" s="2" t="s">
        <v>124</v>
      </c>
      <c r="C10238" s="2">
        <v>596.08180000000004</v>
      </c>
      <c r="D10238" s="2">
        <f>HYPERLINK("http://mcb-m6.bioreg.kyushu-u.ac.jp/M3/20110414/F50956/2949/1", 52.1)</f>
        <v>52.1</v>
      </c>
      <c r="E10238" s="2">
        <v>32.22</v>
      </c>
      <c r="F10238" s="2">
        <v>3</v>
      </c>
      <c r="G10238" s="2" t="s">
        <v>11</v>
      </c>
      <c r="I10238" s="2" t="s">
        <v>4898</v>
      </c>
    </row>
    <row r="10239" spans="1:9" x14ac:dyDescent="0.2">
      <c r="A10239" s="2" t="s">
        <v>3336</v>
      </c>
      <c r="B10239" s="2" t="s">
        <v>263</v>
      </c>
      <c r="C10239" s="2">
        <v>961.54499999999996</v>
      </c>
      <c r="D10239" s="2">
        <f>HYPERLINK("http://mcb-m6.bioreg.kyushu-u.ac.jp/M3/20110414/F50924/969/1", 52.53)</f>
        <v>52.53</v>
      </c>
      <c r="E10239" s="2">
        <v>21.15</v>
      </c>
      <c r="F10239" s="2">
        <v>1</v>
      </c>
      <c r="G10239" s="2" t="s">
        <v>11</v>
      </c>
    </row>
    <row r="10240" spans="1:9" x14ac:dyDescent="0.2">
      <c r="A10240" s="2" t="s">
        <v>3336</v>
      </c>
      <c r="B10240" s="2" t="s">
        <v>263</v>
      </c>
      <c r="C10240" s="2">
        <v>961.33600000000001</v>
      </c>
      <c r="D10240" s="2">
        <f>HYPERLINK("http://mcb-m6.bioreg.kyushu-u.ac.jp/M3/20110414/F50929/1432/1", 52.59)</f>
        <v>52.59</v>
      </c>
      <c r="E10240" s="2">
        <v>24.24</v>
      </c>
      <c r="F10240" s="2">
        <v>1</v>
      </c>
      <c r="G10240" s="2" t="s">
        <v>11</v>
      </c>
    </row>
    <row r="10241" spans="1:9" x14ac:dyDescent="0.2">
      <c r="A10241" s="2" t="s">
        <v>3336</v>
      </c>
      <c r="B10241" s="2" t="s">
        <v>263</v>
      </c>
      <c r="C10241" s="2">
        <v>961.41099999999994</v>
      </c>
      <c r="D10241" s="2">
        <f>HYPERLINK("http://mcb-m6.bioreg.kyushu-u.ac.jp/M3/20110414/F50942/776/1", 52.69)</f>
        <v>52.69</v>
      </c>
      <c r="E10241" s="2">
        <v>21.71</v>
      </c>
      <c r="F10241" s="2">
        <v>1</v>
      </c>
      <c r="G10241" s="2" t="s">
        <v>11</v>
      </c>
    </row>
    <row r="10242" spans="1:9" x14ac:dyDescent="0.2">
      <c r="A10242" s="2" t="s">
        <v>3336</v>
      </c>
      <c r="B10242" s="2" t="s">
        <v>337</v>
      </c>
      <c r="C10242" s="2">
        <v>1179.4369999999999</v>
      </c>
      <c r="D10242" s="2">
        <f>HYPERLINK("http://mcb-m6.bioreg.kyushu-u.ac.jp/M3/20110414/F50942/1145/1", 53.44)</f>
        <v>53.44</v>
      </c>
      <c r="E10242" s="2">
        <v>36.409999999999997</v>
      </c>
      <c r="F10242" s="2">
        <v>1</v>
      </c>
      <c r="G10242" s="2" t="s">
        <v>11</v>
      </c>
    </row>
    <row r="10243" spans="1:9" x14ac:dyDescent="0.2">
      <c r="A10243" s="2" t="s">
        <v>3336</v>
      </c>
      <c r="B10243" s="2" t="s">
        <v>124</v>
      </c>
      <c r="C10243" s="2">
        <v>596.24419999999998</v>
      </c>
      <c r="D10243" s="2">
        <f>HYPERLINK("http://mcb-m6.bioreg.kyushu-u.ac.jp/M3/20110414/F50941/2904/1", 55.04)</f>
        <v>55.04</v>
      </c>
      <c r="E10243" s="2">
        <v>36.72</v>
      </c>
      <c r="F10243" s="2">
        <v>3</v>
      </c>
      <c r="G10243" s="2" t="s">
        <v>11</v>
      </c>
      <c r="I10243" s="2" t="s">
        <v>4898</v>
      </c>
    </row>
    <row r="10244" spans="1:9" x14ac:dyDescent="0.2">
      <c r="A10244" s="2" t="s">
        <v>3336</v>
      </c>
      <c r="B10244" s="2" t="s">
        <v>124</v>
      </c>
      <c r="C10244" s="2">
        <v>893.35609999999997</v>
      </c>
      <c r="D10244" s="2">
        <f>HYPERLINK("http://mcb-m6.bioreg.kyushu-u.ac.jp/M3/20110414/F50945/2745/1", 55.85)</f>
        <v>55.85</v>
      </c>
      <c r="E10244" s="2">
        <v>42.91</v>
      </c>
      <c r="F10244" s="2">
        <v>2</v>
      </c>
      <c r="G10244" s="2" t="s">
        <v>11</v>
      </c>
      <c r="I10244" s="2" t="s">
        <v>4898</v>
      </c>
    </row>
    <row r="10245" spans="1:9" x14ac:dyDescent="0.2">
      <c r="A10245" s="2" t="s">
        <v>3336</v>
      </c>
      <c r="B10245" s="2" t="s">
        <v>623</v>
      </c>
      <c r="C10245" s="2">
        <v>1085.3869999999999</v>
      </c>
      <c r="D10245" s="2">
        <f>HYPERLINK("http://mcb-m6.bioreg.kyushu-u.ac.jp/M3/20110414/F50942/3729/1", 57.69)</f>
        <v>57.69</v>
      </c>
      <c r="E10245" s="2">
        <v>45.99</v>
      </c>
      <c r="F10245" s="2">
        <v>2</v>
      </c>
      <c r="G10245" s="2" t="s">
        <v>11</v>
      </c>
    </row>
    <row r="10246" spans="1:9" x14ac:dyDescent="0.2">
      <c r="A10246" s="2" t="s">
        <v>3336</v>
      </c>
      <c r="B10246" s="2" t="s">
        <v>222</v>
      </c>
      <c r="C10246" s="2">
        <v>554.80769999999995</v>
      </c>
      <c r="D10246" s="2">
        <f>HYPERLINK("http://mcb-m6.bioreg.kyushu-u.ac.jp/M3/20110414/F50942/1009/1", 58.14)</f>
        <v>58.14</v>
      </c>
      <c r="E10246" s="2">
        <v>40.4</v>
      </c>
      <c r="F10246" s="2">
        <v>2</v>
      </c>
      <c r="G10246" s="2" t="s">
        <v>11</v>
      </c>
    </row>
    <row r="10247" spans="1:9" x14ac:dyDescent="0.2">
      <c r="A10247" s="2" t="s">
        <v>3336</v>
      </c>
      <c r="B10247" s="2" t="s">
        <v>222</v>
      </c>
      <c r="C10247" s="2">
        <v>554.64970000000005</v>
      </c>
      <c r="D10247" s="2">
        <f>HYPERLINK("http://mcb-m6.bioreg.kyushu-u.ac.jp/M3/20110414/F50956/861/1", 59.81)</f>
        <v>59.81</v>
      </c>
      <c r="E10247" s="2">
        <v>44.28</v>
      </c>
      <c r="F10247" s="2">
        <v>2</v>
      </c>
      <c r="G10247" s="2" t="s">
        <v>11</v>
      </c>
    </row>
    <row r="10248" spans="1:9" x14ac:dyDescent="0.2">
      <c r="A10248" s="2" t="s">
        <v>3336</v>
      </c>
      <c r="B10248" s="2" t="s">
        <v>646</v>
      </c>
      <c r="C10248" s="2">
        <v>817.37570000000005</v>
      </c>
      <c r="D10248" s="2">
        <f>HYPERLINK("http://mcb-m6.bioreg.kyushu-u.ac.jp/M3/20110414/F50942/2351/1", 66.05)</f>
        <v>66.05</v>
      </c>
      <c r="E10248" s="2">
        <v>45.88</v>
      </c>
      <c r="F10248" s="2">
        <v>2</v>
      </c>
      <c r="G10248" s="2" t="s">
        <v>11</v>
      </c>
      <c r="H10248" s="2" t="s">
        <v>4904</v>
      </c>
      <c r="I10248" s="2" t="s">
        <v>4918</v>
      </c>
    </row>
    <row r="10249" spans="1:9" x14ac:dyDescent="0.2">
      <c r="A10249" s="2" t="s">
        <v>3336</v>
      </c>
      <c r="B10249" s="2" t="s">
        <v>124</v>
      </c>
      <c r="C10249" s="2">
        <v>893.58259999999996</v>
      </c>
      <c r="D10249" s="2">
        <f>HYPERLINK("http://mcb-m6.bioreg.kyushu-u.ac.jp/M3/20110414/F50956/2948/1", 67.03)</f>
        <v>67.03</v>
      </c>
      <c r="E10249" s="2">
        <v>52.19</v>
      </c>
      <c r="F10249" s="2">
        <v>2</v>
      </c>
      <c r="G10249" s="2" t="s">
        <v>11</v>
      </c>
      <c r="I10249" s="2" t="s">
        <v>4898</v>
      </c>
    </row>
    <row r="10250" spans="1:9" x14ac:dyDescent="0.2">
      <c r="A10250" s="2" t="s">
        <v>3336</v>
      </c>
      <c r="B10250" s="2" t="s">
        <v>124</v>
      </c>
      <c r="C10250" s="2">
        <v>893.24369999999999</v>
      </c>
      <c r="D10250" s="2">
        <f>HYPERLINK("http://mcb-m6.bioreg.kyushu-u.ac.jp/M3/20110414/F50943/2684/1", 67.89)</f>
        <v>67.89</v>
      </c>
      <c r="E10250" s="2">
        <v>60.11</v>
      </c>
      <c r="F10250" s="2">
        <v>2</v>
      </c>
      <c r="G10250" s="2" t="s">
        <v>11</v>
      </c>
      <c r="I10250" s="2" t="s">
        <v>4898</v>
      </c>
    </row>
    <row r="10251" spans="1:9" x14ac:dyDescent="0.2">
      <c r="A10251" s="2" t="s">
        <v>3336</v>
      </c>
      <c r="B10251" s="2" t="s">
        <v>124</v>
      </c>
      <c r="C10251" s="2">
        <v>892.92819999999995</v>
      </c>
      <c r="D10251" s="2">
        <f>HYPERLINK("http://mcb-m6.bioreg.kyushu-u.ac.jp/M3/20110414/F50956/2938/1", 69.03)</f>
        <v>69.03</v>
      </c>
      <c r="E10251" s="2">
        <v>56.94</v>
      </c>
      <c r="F10251" s="2">
        <v>2</v>
      </c>
      <c r="G10251" s="2" t="s">
        <v>11</v>
      </c>
      <c r="I10251" s="2" t="s">
        <v>4898</v>
      </c>
    </row>
    <row r="10252" spans="1:9" x14ac:dyDescent="0.2">
      <c r="A10252" s="2" t="s">
        <v>3336</v>
      </c>
      <c r="B10252" s="2" t="s">
        <v>124</v>
      </c>
      <c r="C10252" s="2">
        <v>893.06320000000005</v>
      </c>
      <c r="D10252" s="2">
        <f>HYPERLINK("http://mcb-m6.bioreg.kyushu-u.ac.jp/M3/20110414/F50956/2940/1", 71.92)</f>
        <v>71.92</v>
      </c>
      <c r="E10252" s="2">
        <v>59.06</v>
      </c>
      <c r="F10252" s="2">
        <v>2</v>
      </c>
      <c r="G10252" s="2" t="s">
        <v>11</v>
      </c>
      <c r="I10252" s="2" t="s">
        <v>4898</v>
      </c>
    </row>
    <row r="10253" spans="1:9" x14ac:dyDescent="0.2">
      <c r="A10253" s="2" t="s">
        <v>3336</v>
      </c>
      <c r="B10253" s="2" t="s">
        <v>623</v>
      </c>
      <c r="C10253" s="2">
        <v>1085.9390000000001</v>
      </c>
      <c r="D10253" s="2">
        <f>HYPERLINK("http://mcb-m6.bioreg.kyushu-u.ac.jp/M3/20110414/F50942/3731/1", 74.91)</f>
        <v>74.91</v>
      </c>
      <c r="E10253" s="2">
        <v>67.63</v>
      </c>
      <c r="F10253" s="2">
        <v>2</v>
      </c>
      <c r="G10253" s="2" t="s">
        <v>11</v>
      </c>
    </row>
    <row r="10254" spans="1:9" x14ac:dyDescent="0.2">
      <c r="A10254" s="2" t="s">
        <v>3336</v>
      </c>
      <c r="B10254" s="2" t="s">
        <v>124</v>
      </c>
      <c r="C10254" s="2">
        <v>893.31920000000002</v>
      </c>
      <c r="D10254" s="2">
        <f>HYPERLINK("http://mcb-m6.bioreg.kyushu-u.ac.jp/M3/20110414/F50944/2637/1", 76.39)</f>
        <v>76.39</v>
      </c>
      <c r="E10254" s="2">
        <v>63.57</v>
      </c>
      <c r="F10254" s="2">
        <v>2</v>
      </c>
      <c r="G10254" s="2" t="s">
        <v>11</v>
      </c>
      <c r="I10254" s="2" t="s">
        <v>4898</v>
      </c>
    </row>
    <row r="10255" spans="1:9" x14ac:dyDescent="0.2">
      <c r="A10255" s="2" t="s">
        <v>3336</v>
      </c>
      <c r="B10255" s="2" t="s">
        <v>124</v>
      </c>
      <c r="C10255" s="2">
        <v>893.19209999999998</v>
      </c>
      <c r="D10255" s="2">
        <f>HYPERLINK("http://mcb-m6.bioreg.kyushu-u.ac.jp/M3/20110414/F50956/2943/1", 76.49)</f>
        <v>76.489999999999995</v>
      </c>
      <c r="E10255" s="2">
        <v>52.99</v>
      </c>
      <c r="F10255" s="2">
        <v>2</v>
      </c>
      <c r="G10255" s="2" t="s">
        <v>11</v>
      </c>
      <c r="I10255" s="2" t="s">
        <v>4898</v>
      </c>
    </row>
    <row r="10256" spans="1:9" x14ac:dyDescent="0.2">
      <c r="A10256" s="2" t="s">
        <v>3336</v>
      </c>
      <c r="B10256" s="2" t="s">
        <v>124</v>
      </c>
      <c r="C10256" s="2">
        <v>893.58510000000001</v>
      </c>
      <c r="D10256" s="2">
        <f>HYPERLINK("http://mcb-m6.bioreg.kyushu-u.ac.jp/M3/20110414/F50928/2942/1", 85.26)</f>
        <v>85.26</v>
      </c>
      <c r="E10256" s="2">
        <v>60.79</v>
      </c>
      <c r="F10256" s="2">
        <v>2</v>
      </c>
      <c r="G10256" s="2" t="s">
        <v>11</v>
      </c>
      <c r="I10256" s="2" t="s">
        <v>4898</v>
      </c>
    </row>
    <row r="10257" spans="1:9" x14ac:dyDescent="0.2">
      <c r="A10257" s="2" t="s">
        <v>3336</v>
      </c>
      <c r="B10257" s="2" t="s">
        <v>124</v>
      </c>
      <c r="C10257" s="2">
        <v>893.55769999999995</v>
      </c>
      <c r="D10257" s="2">
        <f>HYPERLINK("http://mcb-m6.bioreg.kyushu-u.ac.jp/M3/20110414/F50942/2823/1", 89.52)</f>
        <v>89.52</v>
      </c>
      <c r="E10257" s="2">
        <v>73.91</v>
      </c>
      <c r="F10257" s="2">
        <v>2</v>
      </c>
      <c r="G10257" s="2" t="s">
        <v>11</v>
      </c>
      <c r="I10257" s="2" t="s">
        <v>4898</v>
      </c>
    </row>
    <row r="10258" spans="1:9" x14ac:dyDescent="0.2">
      <c r="A10258" s="2" t="s">
        <v>3336</v>
      </c>
      <c r="B10258" s="2" t="s">
        <v>623</v>
      </c>
      <c r="C10258" s="2">
        <v>1086.096</v>
      </c>
      <c r="D10258" s="2">
        <f>HYPERLINK("http://mcb-m6.bioreg.kyushu-u.ac.jp/M3/20110414/F50927/3272/1", 98.52)</f>
        <v>98.52</v>
      </c>
      <c r="E10258" s="2">
        <v>85.86</v>
      </c>
      <c r="F10258" s="2">
        <v>2</v>
      </c>
      <c r="G10258" s="2" t="s">
        <v>11</v>
      </c>
    </row>
    <row r="10259" spans="1:9" x14ac:dyDescent="0.2">
      <c r="A10259" s="2" t="s">
        <v>3336</v>
      </c>
      <c r="B10259" s="2" t="s">
        <v>124</v>
      </c>
      <c r="C10259" s="2">
        <v>893.08969999999999</v>
      </c>
      <c r="D10259" s="2">
        <f>HYPERLINK("http://mcb-m6.bioreg.kyushu-u.ac.jp/M3/20110414/F50958/3031/1", 38.09)</f>
        <v>38.090000000000003</v>
      </c>
      <c r="E10259" s="2">
        <v>24.68</v>
      </c>
      <c r="F10259" s="2">
        <v>2</v>
      </c>
      <c r="G10259" s="2" t="s">
        <v>12</v>
      </c>
      <c r="I10259" s="2" t="s">
        <v>4898</v>
      </c>
    </row>
    <row r="10260" spans="1:9" x14ac:dyDescent="0.2">
      <c r="A10260" s="2" t="s">
        <v>3336</v>
      </c>
      <c r="B10260" s="2" t="s">
        <v>138</v>
      </c>
      <c r="C10260" s="2">
        <v>867.01869999999997</v>
      </c>
      <c r="D10260" s="2">
        <f>HYPERLINK("http://mcb-m6.bioreg.kyushu-u.ac.jp/M3/20110414/F50948/2821/1", 38.46)</f>
        <v>38.46</v>
      </c>
      <c r="E10260" s="2">
        <v>23.87</v>
      </c>
      <c r="F10260" s="2">
        <v>2</v>
      </c>
      <c r="G10260" s="2" t="s">
        <v>12</v>
      </c>
      <c r="H10260" s="2" t="s">
        <v>4904</v>
      </c>
      <c r="I10260" s="2" t="s">
        <v>4892</v>
      </c>
    </row>
    <row r="10261" spans="1:9" x14ac:dyDescent="0.2">
      <c r="A10261" s="2" t="s">
        <v>3336</v>
      </c>
      <c r="B10261" s="2" t="s">
        <v>138</v>
      </c>
      <c r="C10261" s="2">
        <v>867.14970000000005</v>
      </c>
      <c r="D10261" s="2">
        <f>HYPERLINK("http://mcb-m6.bioreg.kyushu-u.ac.jp/M3/20110414/F50958/2903/1", 40.24)</f>
        <v>40.24</v>
      </c>
      <c r="E10261" s="2">
        <v>22.96</v>
      </c>
      <c r="F10261" s="2">
        <v>2</v>
      </c>
      <c r="G10261" s="2" t="s">
        <v>12</v>
      </c>
      <c r="H10261" s="2" t="s">
        <v>4904</v>
      </c>
      <c r="I10261" s="2" t="s">
        <v>4892</v>
      </c>
    </row>
    <row r="10262" spans="1:9" x14ac:dyDescent="0.2">
      <c r="A10262" s="2" t="s">
        <v>3336</v>
      </c>
      <c r="B10262" s="2" t="s">
        <v>222</v>
      </c>
      <c r="C10262" s="2">
        <v>1108.4829999999999</v>
      </c>
      <c r="D10262" s="2">
        <f>HYPERLINK("http://mcb-m6.bioreg.kyushu-u.ac.jp/M3/20110414/F50948/1043/1", 41.38)</f>
        <v>41.38</v>
      </c>
      <c r="E10262" s="2">
        <v>24.13</v>
      </c>
      <c r="F10262" s="2">
        <v>1</v>
      </c>
      <c r="G10262" s="2" t="s">
        <v>12</v>
      </c>
    </row>
    <row r="10263" spans="1:9" x14ac:dyDescent="0.2">
      <c r="A10263" s="2" t="s">
        <v>3336</v>
      </c>
      <c r="B10263" s="2" t="s">
        <v>337</v>
      </c>
      <c r="C10263" s="2">
        <v>1180.3440000000001</v>
      </c>
      <c r="D10263" s="2">
        <f>HYPERLINK("http://mcb-m6.bioreg.kyushu-u.ac.jp/M3/20110414/F50958/1062/1", 41.43)</f>
        <v>41.43</v>
      </c>
      <c r="E10263" s="2">
        <v>24.96</v>
      </c>
      <c r="F10263" s="2">
        <v>1</v>
      </c>
      <c r="G10263" s="2" t="s">
        <v>12</v>
      </c>
    </row>
    <row r="10264" spans="1:9" x14ac:dyDescent="0.2">
      <c r="A10264" s="2" t="s">
        <v>3336</v>
      </c>
      <c r="B10264" s="2" t="s">
        <v>222</v>
      </c>
      <c r="C10264" s="2">
        <v>554.77419999999995</v>
      </c>
      <c r="D10264" s="2">
        <f>HYPERLINK("http://mcb-m6.bioreg.kyushu-u.ac.jp/M3/20110414/F50932/1820/1", 42.92)</f>
        <v>42.92</v>
      </c>
      <c r="E10264" s="2">
        <v>27.11</v>
      </c>
      <c r="F10264" s="2">
        <v>2</v>
      </c>
      <c r="G10264" s="2" t="s">
        <v>12</v>
      </c>
    </row>
    <row r="10265" spans="1:9" x14ac:dyDescent="0.2">
      <c r="A10265" s="2" t="s">
        <v>3336</v>
      </c>
      <c r="B10265" s="2" t="s">
        <v>318</v>
      </c>
      <c r="C10265" s="2">
        <v>926.25959999999998</v>
      </c>
      <c r="D10265" s="2">
        <f>HYPERLINK("http://mcb-m6.bioreg.kyushu-u.ac.jp/M3/20110414/F50958/3258/1", 43.53)</f>
        <v>43.53</v>
      </c>
      <c r="E10265" s="2">
        <v>27.46</v>
      </c>
      <c r="F10265" s="2">
        <v>2</v>
      </c>
      <c r="G10265" s="2" t="s">
        <v>12</v>
      </c>
    </row>
    <row r="10266" spans="1:9" x14ac:dyDescent="0.2">
      <c r="A10266" s="2" t="s">
        <v>3336</v>
      </c>
      <c r="B10266" s="2" t="s">
        <v>2626</v>
      </c>
      <c r="C10266" s="2">
        <v>496.04759999999999</v>
      </c>
      <c r="D10266" s="2">
        <f>HYPERLINK("http://mcb-m6.bioreg.kyushu-u.ac.jp/M3/20110414/F50958/600/1", 43.77)</f>
        <v>43.77</v>
      </c>
      <c r="E10266" s="2">
        <v>15.08</v>
      </c>
      <c r="F10266" s="2">
        <v>2</v>
      </c>
      <c r="G10266" s="2" t="s">
        <v>12</v>
      </c>
      <c r="H10266" s="2" t="s">
        <v>4920</v>
      </c>
    </row>
    <row r="10267" spans="1:9" x14ac:dyDescent="0.2">
      <c r="A10267" s="2" t="s">
        <v>3336</v>
      </c>
      <c r="B10267" s="2" t="s">
        <v>373</v>
      </c>
      <c r="C10267" s="2">
        <v>523.38620000000003</v>
      </c>
      <c r="D10267" s="2">
        <f>HYPERLINK("http://mcb-m6.bioreg.kyushu-u.ac.jp/M3/20110414/F50946/1071/1", 43.85)</f>
        <v>43.85</v>
      </c>
      <c r="E10267" s="2">
        <v>23.41</v>
      </c>
      <c r="F10267" s="2">
        <v>2</v>
      </c>
      <c r="G10267" s="2" t="s">
        <v>12</v>
      </c>
    </row>
    <row r="10268" spans="1:9" x14ac:dyDescent="0.2">
      <c r="A10268" s="2" t="s">
        <v>3336</v>
      </c>
      <c r="B10268" s="2" t="s">
        <v>373</v>
      </c>
      <c r="C10268" s="2">
        <v>1045.21</v>
      </c>
      <c r="D10268" s="2">
        <f>HYPERLINK("http://mcb-m6.bioreg.kyushu-u.ac.jp/M3/20110414/F50948/913/1", 44.4)</f>
        <v>44.4</v>
      </c>
      <c r="E10268" s="2">
        <v>20.350000000000001</v>
      </c>
      <c r="F10268" s="2">
        <v>1</v>
      </c>
      <c r="G10268" s="2" t="s">
        <v>12</v>
      </c>
    </row>
    <row r="10269" spans="1:9" x14ac:dyDescent="0.2">
      <c r="A10269" s="2" t="s">
        <v>3336</v>
      </c>
      <c r="B10269" s="2" t="s">
        <v>263</v>
      </c>
      <c r="C10269" s="2">
        <v>961.30100000000004</v>
      </c>
      <c r="D10269" s="2">
        <f>HYPERLINK("http://mcb-m6.bioreg.kyushu-u.ac.jp/M3/20110414/F50948/757/1", 44.56)</f>
        <v>44.56</v>
      </c>
      <c r="E10269" s="2">
        <v>13.84</v>
      </c>
      <c r="F10269" s="2">
        <v>1</v>
      </c>
      <c r="G10269" s="2" t="s">
        <v>12</v>
      </c>
    </row>
    <row r="10270" spans="1:9" x14ac:dyDescent="0.2">
      <c r="A10270" s="2" t="s">
        <v>3336</v>
      </c>
      <c r="B10270" s="2" t="s">
        <v>124</v>
      </c>
      <c r="C10270" s="2">
        <v>893.39869999999996</v>
      </c>
      <c r="D10270" s="2">
        <f>HYPERLINK("http://mcb-m6.bioreg.kyushu-u.ac.jp/M3/20110414/F50946/2777/1", 46.08)</f>
        <v>46.08</v>
      </c>
      <c r="E10270" s="2">
        <v>33.17</v>
      </c>
      <c r="F10270" s="2">
        <v>2</v>
      </c>
      <c r="G10270" s="2" t="s">
        <v>12</v>
      </c>
      <c r="I10270" s="2" t="s">
        <v>4898</v>
      </c>
    </row>
    <row r="10271" spans="1:9" x14ac:dyDescent="0.2">
      <c r="A10271" s="2" t="s">
        <v>3336</v>
      </c>
      <c r="B10271" s="2" t="s">
        <v>623</v>
      </c>
      <c r="C10271" s="2">
        <v>1085.8019999999999</v>
      </c>
      <c r="D10271" s="2">
        <f>HYPERLINK("http://mcb-m6.bioreg.kyushu-u.ac.jp/M3/20110414/F50958/3950/1", 46.48)</f>
        <v>46.48</v>
      </c>
      <c r="E10271" s="2">
        <v>32.380000000000003</v>
      </c>
      <c r="F10271" s="2">
        <v>2</v>
      </c>
      <c r="G10271" s="2" t="s">
        <v>12</v>
      </c>
    </row>
    <row r="10272" spans="1:9" x14ac:dyDescent="0.2">
      <c r="A10272" s="2" t="s">
        <v>3336</v>
      </c>
      <c r="B10272" s="2" t="s">
        <v>337</v>
      </c>
      <c r="C10272" s="2">
        <v>590.11410000000001</v>
      </c>
      <c r="D10272" s="2">
        <f>HYPERLINK("http://mcb-m6.bioreg.kyushu-u.ac.jp/M3/20110414/F50958/1058/1", 50.95)</f>
        <v>50.95</v>
      </c>
      <c r="E10272" s="2">
        <v>31.07</v>
      </c>
      <c r="F10272" s="2">
        <v>2</v>
      </c>
      <c r="G10272" s="2" t="s">
        <v>12</v>
      </c>
    </row>
    <row r="10273" spans="1:9" x14ac:dyDescent="0.2">
      <c r="A10273" s="2" t="s">
        <v>3336</v>
      </c>
      <c r="B10273" s="2" t="s">
        <v>222</v>
      </c>
      <c r="C10273" s="2">
        <v>554.98419999999999</v>
      </c>
      <c r="D10273" s="2">
        <f>HYPERLINK("http://mcb-m6.bioreg.kyushu-u.ac.jp/M3/20110414/F50958/893/1", 51.67)</f>
        <v>51.67</v>
      </c>
      <c r="E10273" s="2">
        <v>36.08</v>
      </c>
      <c r="F10273" s="2">
        <v>2</v>
      </c>
      <c r="G10273" s="2" t="s">
        <v>12</v>
      </c>
    </row>
    <row r="10274" spans="1:9" x14ac:dyDescent="0.2">
      <c r="A10274" s="2" t="s">
        <v>3336</v>
      </c>
      <c r="B10274" s="2" t="s">
        <v>263</v>
      </c>
      <c r="C10274" s="2">
        <v>961.21600000000001</v>
      </c>
      <c r="D10274" s="2">
        <f>HYPERLINK("http://mcb-m6.bioreg.kyushu-u.ac.jp/M3/20110414/F50958/550/1", 52.87)</f>
        <v>52.87</v>
      </c>
      <c r="E10274" s="2">
        <v>7.81</v>
      </c>
      <c r="F10274" s="2">
        <v>1</v>
      </c>
      <c r="G10274" s="2" t="s">
        <v>12</v>
      </c>
    </row>
    <row r="10275" spans="1:9" x14ac:dyDescent="0.2">
      <c r="A10275" s="2" t="s">
        <v>3336</v>
      </c>
      <c r="B10275" s="2" t="s">
        <v>337</v>
      </c>
      <c r="C10275" s="2">
        <v>1179.413</v>
      </c>
      <c r="D10275" s="2">
        <f>HYPERLINK("http://mcb-m6.bioreg.kyushu-u.ac.jp/M3/20110414/F50958/1059/1", 53.36)</f>
        <v>53.36</v>
      </c>
      <c r="E10275" s="2">
        <v>27.14</v>
      </c>
      <c r="F10275" s="2">
        <v>1</v>
      </c>
      <c r="G10275" s="2" t="s">
        <v>12</v>
      </c>
    </row>
    <row r="10276" spans="1:9" x14ac:dyDescent="0.2">
      <c r="A10276" s="2" t="s">
        <v>3336</v>
      </c>
      <c r="B10276" s="2" t="s">
        <v>646</v>
      </c>
      <c r="C10276" s="2">
        <v>817.30870000000004</v>
      </c>
      <c r="D10276" s="2">
        <f>HYPERLINK("http://mcb-m6.bioreg.kyushu-u.ac.jp/M3/20110414/F50948/2559/1", 53.58)</f>
        <v>53.58</v>
      </c>
      <c r="E10276" s="2">
        <v>38.57</v>
      </c>
      <c r="F10276" s="2">
        <v>2</v>
      </c>
      <c r="G10276" s="2" t="s">
        <v>12</v>
      </c>
      <c r="H10276" s="2" t="s">
        <v>4904</v>
      </c>
      <c r="I10276" s="2" t="s">
        <v>4918</v>
      </c>
    </row>
    <row r="10277" spans="1:9" x14ac:dyDescent="0.2">
      <c r="A10277" s="2" t="s">
        <v>3336</v>
      </c>
      <c r="B10277" s="2" t="s">
        <v>450</v>
      </c>
      <c r="C10277" s="2">
        <v>1002.311</v>
      </c>
      <c r="D10277" s="2">
        <f>HYPERLINK("http://mcb-m6.bioreg.kyushu-u.ac.jp/M3/20110414/F50958/3643/1", 53.8)</f>
        <v>53.8</v>
      </c>
      <c r="E10277" s="2">
        <v>45.31</v>
      </c>
      <c r="F10277" s="2">
        <v>2</v>
      </c>
      <c r="G10277" s="2" t="s">
        <v>12</v>
      </c>
    </row>
    <row r="10278" spans="1:9" x14ac:dyDescent="0.2">
      <c r="A10278" s="2" t="s">
        <v>3336</v>
      </c>
      <c r="B10278" s="2" t="s">
        <v>124</v>
      </c>
      <c r="C10278" s="2">
        <v>1786.1120000000001</v>
      </c>
      <c r="D10278" s="2">
        <f>HYPERLINK("http://mcb-m6.bioreg.kyushu-u.ac.jp/M3/20110414/F50958/3039/1", 57.2)</f>
        <v>57.2</v>
      </c>
      <c r="E10278" s="2">
        <v>47.88</v>
      </c>
      <c r="F10278" s="2">
        <v>1</v>
      </c>
      <c r="G10278" s="2" t="s">
        <v>12</v>
      </c>
      <c r="I10278" s="2" t="s">
        <v>4898</v>
      </c>
    </row>
    <row r="10279" spans="1:9" x14ac:dyDescent="0.2">
      <c r="A10279" s="2" t="s">
        <v>3336</v>
      </c>
      <c r="B10279" s="2" t="s">
        <v>222</v>
      </c>
      <c r="C10279" s="2">
        <v>554.7192</v>
      </c>
      <c r="D10279" s="2">
        <f>HYPERLINK("http://mcb-m6.bioreg.kyushu-u.ac.jp/M3/20110414/F50948/1042/1", 57.42)</f>
        <v>57.42</v>
      </c>
      <c r="E10279" s="2">
        <v>41.69</v>
      </c>
      <c r="F10279" s="2">
        <v>2</v>
      </c>
      <c r="G10279" s="2" t="s">
        <v>12</v>
      </c>
    </row>
    <row r="10280" spans="1:9" x14ac:dyDescent="0.2">
      <c r="A10280" s="2" t="s">
        <v>3336</v>
      </c>
      <c r="B10280" s="2" t="s">
        <v>124</v>
      </c>
      <c r="C10280" s="2">
        <v>893.28719999999998</v>
      </c>
      <c r="D10280" s="2">
        <f>HYPERLINK("http://mcb-m6.bioreg.kyushu-u.ac.jp/M3/20110414/F50958/3037/1", 58.09)</f>
        <v>58.09</v>
      </c>
      <c r="E10280" s="2">
        <v>43.83</v>
      </c>
      <c r="F10280" s="2">
        <v>2</v>
      </c>
      <c r="G10280" s="2" t="s">
        <v>12</v>
      </c>
      <c r="I10280" s="2" t="s">
        <v>4898</v>
      </c>
    </row>
    <row r="10281" spans="1:9" x14ac:dyDescent="0.2">
      <c r="A10281" s="2" t="s">
        <v>3336</v>
      </c>
      <c r="B10281" s="2" t="s">
        <v>138</v>
      </c>
      <c r="C10281" s="2">
        <v>867.82920000000001</v>
      </c>
      <c r="D10281" s="2">
        <f>HYPERLINK("http://mcb-m6.bioreg.kyushu-u.ac.jp/M3/20110414/F50958/2906/1", 58.63)</f>
        <v>58.63</v>
      </c>
      <c r="E10281" s="2">
        <v>44.16</v>
      </c>
      <c r="F10281" s="2">
        <v>2</v>
      </c>
      <c r="G10281" s="2" t="s">
        <v>12</v>
      </c>
      <c r="H10281" s="2" t="s">
        <v>4904</v>
      </c>
      <c r="I10281" s="2" t="s">
        <v>4892</v>
      </c>
    </row>
    <row r="10282" spans="1:9" x14ac:dyDescent="0.2">
      <c r="A10282" s="2" t="s">
        <v>3336</v>
      </c>
      <c r="B10282" s="2" t="s">
        <v>124</v>
      </c>
      <c r="C10282" s="2">
        <v>893.30909999999994</v>
      </c>
      <c r="D10282" s="2">
        <f>HYPERLINK("http://mcb-m6.bioreg.kyushu-u.ac.jp/M3/20110414/F50947/2861/1", 59.01)</f>
        <v>59.01</v>
      </c>
      <c r="E10282" s="2">
        <v>45.07</v>
      </c>
      <c r="F10282" s="2">
        <v>2</v>
      </c>
      <c r="G10282" s="2" t="s">
        <v>12</v>
      </c>
      <c r="I10282" s="2" t="s">
        <v>4898</v>
      </c>
    </row>
    <row r="10283" spans="1:9" x14ac:dyDescent="0.2">
      <c r="A10283" s="2" t="s">
        <v>3336</v>
      </c>
      <c r="B10283" s="2" t="s">
        <v>124</v>
      </c>
      <c r="C10283" s="2">
        <v>893.4941</v>
      </c>
      <c r="D10283" s="2">
        <f>HYPERLINK("http://mcb-m6.bioreg.kyushu-u.ac.jp/M3/20110414/F50963/2509/1", 62.33)</f>
        <v>62.33</v>
      </c>
      <c r="E10283" s="2">
        <v>51.2</v>
      </c>
      <c r="F10283" s="2">
        <v>2</v>
      </c>
      <c r="G10283" s="2" t="s">
        <v>12</v>
      </c>
      <c r="I10283" s="2" t="s">
        <v>4898</v>
      </c>
    </row>
    <row r="10284" spans="1:9" x14ac:dyDescent="0.2">
      <c r="A10284" s="2" t="s">
        <v>3336</v>
      </c>
      <c r="B10284" s="2" t="s">
        <v>124</v>
      </c>
      <c r="C10284" s="2">
        <v>893.53859999999997</v>
      </c>
      <c r="D10284" s="2">
        <f>HYPERLINK("http://mcb-m6.bioreg.kyushu-u.ac.jp/M3/20110414/F50948/2979/1", 64.02)</f>
        <v>64.02</v>
      </c>
      <c r="E10284" s="2">
        <v>45.4</v>
      </c>
      <c r="F10284" s="2">
        <v>2</v>
      </c>
      <c r="G10284" s="2" t="s">
        <v>12</v>
      </c>
      <c r="I10284" s="2" t="s">
        <v>4898</v>
      </c>
    </row>
    <row r="10285" spans="1:9" x14ac:dyDescent="0.2">
      <c r="A10285" s="2" t="s">
        <v>3336</v>
      </c>
      <c r="B10285" s="2" t="s">
        <v>124</v>
      </c>
      <c r="C10285" s="2">
        <v>893.4452</v>
      </c>
      <c r="D10285" s="2">
        <f>HYPERLINK("http://mcb-m6.bioreg.kyushu-u.ac.jp/M3/20110414/F50948/2977/1", 67.17)</f>
        <v>67.17</v>
      </c>
      <c r="E10285" s="2">
        <v>47.12</v>
      </c>
      <c r="F10285" s="2">
        <v>2</v>
      </c>
      <c r="G10285" s="2" t="s">
        <v>12</v>
      </c>
      <c r="I10285" s="2" t="s">
        <v>4898</v>
      </c>
    </row>
    <row r="10286" spans="1:9" x14ac:dyDescent="0.2">
      <c r="A10286" s="2" t="s">
        <v>3336</v>
      </c>
      <c r="B10286" s="2" t="s">
        <v>646</v>
      </c>
      <c r="C10286" s="2">
        <v>817.16719999999998</v>
      </c>
      <c r="D10286" s="2">
        <f>HYPERLINK("http://mcb-m6.bioreg.kyushu-u.ac.jp/M3/20110414/F50958/2542/1", 72.25)</f>
        <v>72.25</v>
      </c>
      <c r="E10286" s="2">
        <v>52.13</v>
      </c>
      <c r="F10286" s="2">
        <v>2</v>
      </c>
      <c r="G10286" s="2" t="s">
        <v>12</v>
      </c>
      <c r="H10286" s="2" t="s">
        <v>4904</v>
      </c>
      <c r="I10286" s="2" t="s">
        <v>4918</v>
      </c>
    </row>
    <row r="10287" spans="1:9" x14ac:dyDescent="0.2">
      <c r="A10287" s="2" t="s">
        <v>3336</v>
      </c>
      <c r="B10287" s="2" t="s">
        <v>124</v>
      </c>
      <c r="C10287" s="2">
        <v>595.76890000000003</v>
      </c>
      <c r="D10287" s="2">
        <f>HYPERLINK("http://mcb-m6.bioreg.kyushu-u.ac.jp/M3/20110414/F50958/3032/1", 74.32)</f>
        <v>74.319999999999993</v>
      </c>
      <c r="E10287" s="2">
        <v>52.63</v>
      </c>
      <c r="F10287" s="2">
        <v>3</v>
      </c>
      <c r="G10287" s="2" t="s">
        <v>12</v>
      </c>
      <c r="I10287" s="2" t="s">
        <v>4898</v>
      </c>
    </row>
    <row r="10288" spans="1:9" x14ac:dyDescent="0.2">
      <c r="A10288" s="2" t="s">
        <v>3336</v>
      </c>
      <c r="B10288" s="2" t="s">
        <v>124</v>
      </c>
      <c r="C10288" s="2">
        <v>893.50869999999998</v>
      </c>
      <c r="D10288" s="2">
        <f>HYPERLINK("http://mcb-m6.bioreg.kyushu-u.ac.jp/M3/20110414/F50948/2978/1", 75.11)</f>
        <v>75.11</v>
      </c>
      <c r="E10288" s="2">
        <v>52.7</v>
      </c>
      <c r="F10288" s="2">
        <v>2</v>
      </c>
      <c r="G10288" s="2" t="s">
        <v>12</v>
      </c>
      <c r="I10288" s="2" t="s">
        <v>4898</v>
      </c>
    </row>
    <row r="10289" spans="1:9" x14ac:dyDescent="0.2">
      <c r="A10289" s="2" t="s">
        <v>3336</v>
      </c>
      <c r="B10289" s="2" t="s">
        <v>623</v>
      </c>
      <c r="C10289" s="2">
        <v>1085.845</v>
      </c>
      <c r="D10289" s="2">
        <f>HYPERLINK("http://mcb-m6.bioreg.kyushu-u.ac.jp/M3/20110414/F50958/3951/1", 85.54)</f>
        <v>85.54</v>
      </c>
      <c r="E10289" s="2">
        <v>71.180000000000007</v>
      </c>
      <c r="F10289" s="2">
        <v>2</v>
      </c>
      <c r="G10289" s="2" t="s">
        <v>12</v>
      </c>
    </row>
    <row r="10290" spans="1:9" x14ac:dyDescent="0.2">
      <c r="A10290" s="2" t="s">
        <v>3336</v>
      </c>
      <c r="B10290" s="2" t="s">
        <v>124</v>
      </c>
      <c r="C10290" s="2">
        <v>893.51419999999996</v>
      </c>
      <c r="D10290" s="2">
        <f>HYPERLINK("http://mcb-m6.bioreg.kyushu-u.ac.jp/M3/20110414/F50950/2991/1", 85.66)</f>
        <v>85.66</v>
      </c>
      <c r="E10290" s="2">
        <v>64.72</v>
      </c>
      <c r="F10290" s="2">
        <v>2</v>
      </c>
      <c r="G10290" s="2" t="s">
        <v>12</v>
      </c>
      <c r="I10290" s="2" t="s">
        <v>4898</v>
      </c>
    </row>
    <row r="10291" spans="1:9" x14ac:dyDescent="0.2">
      <c r="A10291" s="2" t="s">
        <v>3336</v>
      </c>
      <c r="B10291" s="2" t="s">
        <v>124</v>
      </c>
      <c r="C10291" s="2">
        <v>893.20820000000003</v>
      </c>
      <c r="D10291" s="2">
        <f>HYPERLINK("http://mcb-m6.bioreg.kyushu-u.ac.jp/M3/20110414/F50958/3036/1", 85.8)</f>
        <v>85.8</v>
      </c>
      <c r="E10291" s="2">
        <v>64.900000000000006</v>
      </c>
      <c r="F10291" s="2">
        <v>2</v>
      </c>
      <c r="G10291" s="2" t="s">
        <v>12</v>
      </c>
      <c r="I10291" s="2" t="s">
        <v>4898</v>
      </c>
    </row>
    <row r="10292" spans="1:9" x14ac:dyDescent="0.2">
      <c r="A10292" s="2" t="s">
        <v>3336</v>
      </c>
      <c r="B10292" s="2" t="s">
        <v>124</v>
      </c>
      <c r="C10292" s="2">
        <v>893.62459999999999</v>
      </c>
      <c r="D10292" s="2">
        <f>HYPERLINK("http://mcb-m6.bioreg.kyushu-u.ac.jp/M3/20110414/F50958/3041/1", 87.29)</f>
        <v>87.29</v>
      </c>
      <c r="E10292" s="2">
        <v>65.86</v>
      </c>
      <c r="F10292" s="2">
        <v>2</v>
      </c>
      <c r="G10292" s="2" t="s">
        <v>12</v>
      </c>
      <c r="I10292" s="2" t="s">
        <v>4898</v>
      </c>
    </row>
    <row r="10293" spans="1:9" x14ac:dyDescent="0.2">
      <c r="A10293" s="2" t="s">
        <v>3336</v>
      </c>
      <c r="B10293" s="2" t="s">
        <v>623</v>
      </c>
      <c r="C10293" s="2">
        <v>1085.0519999999999</v>
      </c>
      <c r="D10293" s="2">
        <f>HYPERLINK("http://mcb-m6.bioreg.kyushu-u.ac.jp/M3/20110414/F50948/3824/1", 90.74)</f>
        <v>90.74</v>
      </c>
      <c r="E10293" s="2">
        <v>70.92</v>
      </c>
      <c r="F10293" s="2">
        <v>2</v>
      </c>
      <c r="G10293" s="2" t="s">
        <v>12</v>
      </c>
    </row>
    <row r="10294" spans="1:9" x14ac:dyDescent="0.2">
      <c r="A10294" s="2" t="s">
        <v>3336</v>
      </c>
      <c r="B10294" s="2" t="s">
        <v>623</v>
      </c>
      <c r="C10294" s="2">
        <v>1085.5530000000001</v>
      </c>
      <c r="D10294" s="2">
        <f>HYPERLINK("http://mcb-m6.bioreg.kyushu-u.ac.jp/M3/20110414/F50950/3754/1", 90.99)</f>
        <v>90.99</v>
      </c>
      <c r="E10294" s="2">
        <v>71.010000000000005</v>
      </c>
      <c r="F10294" s="2">
        <v>2</v>
      </c>
      <c r="G10294" s="2" t="s">
        <v>12</v>
      </c>
    </row>
    <row r="10295" spans="1:9" x14ac:dyDescent="0.2">
      <c r="A10295" s="2" t="s">
        <v>3336</v>
      </c>
      <c r="B10295" s="2" t="s">
        <v>623</v>
      </c>
      <c r="C10295" s="2">
        <v>1085.559</v>
      </c>
      <c r="D10295" s="2">
        <f>HYPERLINK("http://mcb-m6.bioreg.kyushu-u.ac.jp/M3/20110414/F50948/3826/1", 91.81)</f>
        <v>91.81</v>
      </c>
      <c r="E10295" s="2">
        <v>70.599999999999994</v>
      </c>
      <c r="F10295" s="2">
        <v>2</v>
      </c>
      <c r="G10295" s="2" t="s">
        <v>12</v>
      </c>
    </row>
    <row r="10296" spans="1:9" x14ac:dyDescent="0.2">
      <c r="A10296" s="2" t="s">
        <v>3336</v>
      </c>
      <c r="B10296" s="2" t="s">
        <v>124</v>
      </c>
      <c r="C10296" s="2">
        <v>893.25019999999995</v>
      </c>
      <c r="D10296" s="2">
        <f>HYPERLINK("http://mcb-m6.bioreg.kyushu-u.ac.jp/M3/20110414/F50948/2975/1", 98.11)</f>
        <v>98.11</v>
      </c>
      <c r="E10296" s="2">
        <v>74.61</v>
      </c>
      <c r="F10296" s="2">
        <v>2</v>
      </c>
      <c r="G10296" s="2" t="s">
        <v>12</v>
      </c>
      <c r="I10296" s="2" t="s">
        <v>4898</v>
      </c>
    </row>
    <row r="10297" spans="1:9" x14ac:dyDescent="0.2">
      <c r="A10297" s="2" t="s">
        <v>3336</v>
      </c>
      <c r="B10297" s="2" t="s">
        <v>373</v>
      </c>
      <c r="C10297" s="2">
        <v>523.40869999999995</v>
      </c>
      <c r="D10297" s="2">
        <f>HYPERLINK("http://mcb-m6.bioreg.kyushu-u.ac.jp/M3/20110502/F51188/978/1", 37.59)</f>
        <v>37.590000000000003</v>
      </c>
      <c r="E10297" s="2">
        <v>15.88</v>
      </c>
      <c r="F10297" s="2">
        <v>2</v>
      </c>
      <c r="G10297" s="2" t="s">
        <v>13</v>
      </c>
    </row>
    <row r="10298" spans="1:9" x14ac:dyDescent="0.2">
      <c r="A10298" s="2" t="s">
        <v>3336</v>
      </c>
      <c r="B10298" s="2" t="s">
        <v>124</v>
      </c>
      <c r="C10298" s="2">
        <v>893.5222</v>
      </c>
      <c r="D10298" s="2">
        <f>HYPERLINK("http://mcb-m6.bioreg.kyushu-u.ac.jp/M3/20110502/F51171/2653/1", 38.93)</f>
        <v>38.93</v>
      </c>
      <c r="E10298" s="2">
        <v>16.95</v>
      </c>
      <c r="F10298" s="2">
        <v>2</v>
      </c>
      <c r="G10298" s="2" t="s">
        <v>13</v>
      </c>
      <c r="I10298" s="2" t="s">
        <v>4898</v>
      </c>
    </row>
    <row r="10299" spans="1:9" x14ac:dyDescent="0.2">
      <c r="A10299" s="2" t="s">
        <v>3336</v>
      </c>
      <c r="B10299" s="2" t="s">
        <v>124</v>
      </c>
      <c r="C10299" s="2">
        <v>893.34270000000004</v>
      </c>
      <c r="D10299" s="2">
        <f>HYPERLINK("http://mcb-m6.bioreg.kyushu-u.ac.jp/M3/20110502/F51168/2588/1", 41.11)</f>
        <v>41.11</v>
      </c>
      <c r="E10299" s="2">
        <v>22.71</v>
      </c>
      <c r="F10299" s="2">
        <v>2</v>
      </c>
      <c r="G10299" s="2" t="s">
        <v>13</v>
      </c>
      <c r="I10299" s="2" t="s">
        <v>4898</v>
      </c>
    </row>
    <row r="10300" spans="1:9" x14ac:dyDescent="0.2">
      <c r="A10300" s="2" t="s">
        <v>3336</v>
      </c>
      <c r="B10300" s="2" t="s">
        <v>373</v>
      </c>
      <c r="C10300" s="2">
        <v>1045.713</v>
      </c>
      <c r="D10300" s="2">
        <f>HYPERLINK("http://mcb-m6.bioreg.kyushu-u.ac.jp/M3/20110502/F51175/1074/1", 41.89)</f>
        <v>41.89</v>
      </c>
      <c r="E10300" s="2">
        <v>13.75</v>
      </c>
      <c r="F10300" s="2">
        <v>1</v>
      </c>
      <c r="G10300" s="2" t="s">
        <v>13</v>
      </c>
    </row>
    <row r="10301" spans="1:9" x14ac:dyDescent="0.2">
      <c r="A10301" s="2" t="s">
        <v>3336</v>
      </c>
      <c r="B10301" s="2" t="s">
        <v>373</v>
      </c>
      <c r="C10301" s="2">
        <v>1045.692</v>
      </c>
      <c r="D10301" s="2">
        <f>HYPERLINK("http://mcb-m6.bioreg.kyushu-u.ac.jp/M3/20110502/F51188/974/1", 46.51)</f>
        <v>46.51</v>
      </c>
      <c r="E10301" s="2">
        <v>19.3</v>
      </c>
      <c r="F10301" s="2">
        <v>1</v>
      </c>
      <c r="G10301" s="2" t="s">
        <v>13</v>
      </c>
    </row>
    <row r="10302" spans="1:9" x14ac:dyDescent="0.2">
      <c r="A10302" s="2" t="s">
        <v>3336</v>
      </c>
      <c r="B10302" s="2" t="s">
        <v>138</v>
      </c>
      <c r="C10302" s="2">
        <v>875.49159999999995</v>
      </c>
      <c r="D10302" s="2">
        <f>HYPERLINK("http://mcb-m6.bioreg.kyushu-u.ac.jp/M3/20110502/F51188/2396/1", 48.68)</f>
        <v>48.68</v>
      </c>
      <c r="E10302" s="2">
        <v>36.61</v>
      </c>
      <c r="F10302" s="2">
        <v>2</v>
      </c>
      <c r="G10302" s="2" t="s">
        <v>13</v>
      </c>
      <c r="H10302" s="2" t="s">
        <v>4958</v>
      </c>
      <c r="I10302" s="2" t="s">
        <v>4892</v>
      </c>
    </row>
    <row r="10303" spans="1:9" x14ac:dyDescent="0.2">
      <c r="A10303" s="2" t="s">
        <v>3336</v>
      </c>
      <c r="B10303" s="2" t="s">
        <v>124</v>
      </c>
      <c r="C10303" s="2">
        <v>893.53719999999998</v>
      </c>
      <c r="D10303" s="2">
        <f>HYPERLINK("http://mcb-m6.bioreg.kyushu-u.ac.jp/M3/20110502/F51187/2315/1", 52.2)</f>
        <v>52.2</v>
      </c>
      <c r="E10303" s="2">
        <v>40.19</v>
      </c>
      <c r="F10303" s="2">
        <v>2</v>
      </c>
      <c r="G10303" s="2" t="s">
        <v>13</v>
      </c>
      <c r="I10303" s="2" t="s">
        <v>4898</v>
      </c>
    </row>
    <row r="10304" spans="1:9" x14ac:dyDescent="0.2">
      <c r="A10304" s="2" t="s">
        <v>3336</v>
      </c>
      <c r="B10304" s="2" t="s">
        <v>263</v>
      </c>
      <c r="C10304" s="2">
        <v>961.71900000000005</v>
      </c>
      <c r="D10304" s="2">
        <f>HYPERLINK("http://mcb-m6.bioreg.kyushu-u.ac.jp/M3/20110502/F51188/769/1", 52.9)</f>
        <v>52.9</v>
      </c>
      <c r="E10304" s="2">
        <v>17.739999999999998</v>
      </c>
      <c r="F10304" s="2">
        <v>1</v>
      </c>
      <c r="G10304" s="2" t="s">
        <v>13</v>
      </c>
    </row>
    <row r="10305" spans="1:9" x14ac:dyDescent="0.2">
      <c r="A10305" s="2" t="s">
        <v>3336</v>
      </c>
      <c r="B10305" s="2" t="s">
        <v>222</v>
      </c>
      <c r="C10305" s="2">
        <v>554.91560000000004</v>
      </c>
      <c r="D10305" s="2">
        <f>HYPERLINK("http://mcb-m6.bioreg.kyushu-u.ac.jp/M3/20110502/F51188/1104/1", 57.37)</f>
        <v>57.37</v>
      </c>
      <c r="E10305" s="2">
        <v>34.44</v>
      </c>
      <c r="F10305" s="2">
        <v>2</v>
      </c>
      <c r="G10305" s="2" t="s">
        <v>13</v>
      </c>
    </row>
    <row r="10306" spans="1:9" x14ac:dyDescent="0.2">
      <c r="A10306" s="2" t="s">
        <v>3336</v>
      </c>
      <c r="B10306" s="2" t="s">
        <v>373</v>
      </c>
      <c r="C10306" s="2">
        <v>1045.8330000000001</v>
      </c>
      <c r="D10306" s="2">
        <f>HYPERLINK("http://mcb-m6.bioreg.kyushu-u.ac.jp/M3/20110502/F51172/836/1", 58.17)</f>
        <v>58.17</v>
      </c>
      <c r="E10306" s="2">
        <v>30.9</v>
      </c>
      <c r="F10306" s="2">
        <v>1</v>
      </c>
      <c r="G10306" s="2" t="s">
        <v>13</v>
      </c>
    </row>
    <row r="10307" spans="1:9" x14ac:dyDescent="0.2">
      <c r="A10307" s="2" t="s">
        <v>3336</v>
      </c>
      <c r="B10307" s="2" t="s">
        <v>124</v>
      </c>
      <c r="C10307" s="2">
        <v>893.96420000000001</v>
      </c>
      <c r="D10307" s="2">
        <f>HYPERLINK("http://mcb-m6.bioreg.kyushu-u.ac.jp/M3/20110502/F51169/2717/1", 58.88)</f>
        <v>58.88</v>
      </c>
      <c r="E10307" s="2">
        <v>40.770000000000003</v>
      </c>
      <c r="F10307" s="2">
        <v>2</v>
      </c>
      <c r="G10307" s="2" t="s">
        <v>13</v>
      </c>
      <c r="I10307" s="2" t="s">
        <v>4898</v>
      </c>
    </row>
    <row r="10308" spans="1:9" x14ac:dyDescent="0.2">
      <c r="A10308" s="2" t="s">
        <v>3336</v>
      </c>
      <c r="B10308" s="2" t="s">
        <v>124</v>
      </c>
      <c r="C10308" s="2">
        <v>893.52170000000001</v>
      </c>
      <c r="D10308" s="2">
        <f>HYPERLINK("http://mcb-m6.bioreg.kyushu-u.ac.jp/M3/20110502/F51174/2492/1", 61.23)</f>
        <v>61.23</v>
      </c>
      <c r="E10308" s="2">
        <v>44.37</v>
      </c>
      <c r="F10308" s="2">
        <v>2</v>
      </c>
      <c r="G10308" s="2" t="s">
        <v>13</v>
      </c>
      <c r="I10308" s="2" t="s">
        <v>4898</v>
      </c>
    </row>
    <row r="10309" spans="1:9" x14ac:dyDescent="0.2">
      <c r="A10309" s="2" t="s">
        <v>3336</v>
      </c>
      <c r="B10309" s="2" t="s">
        <v>124</v>
      </c>
      <c r="C10309" s="2">
        <v>894.03809999999999</v>
      </c>
      <c r="D10309" s="2">
        <f>HYPERLINK("http://mcb-m6.bioreg.kyushu-u.ac.jp/M3/20110502/F51171/2656/1", 65.31)</f>
        <v>65.31</v>
      </c>
      <c r="E10309" s="2">
        <v>49.05</v>
      </c>
      <c r="F10309" s="2">
        <v>2</v>
      </c>
      <c r="G10309" s="2" t="s">
        <v>13</v>
      </c>
      <c r="I10309" s="2" t="s">
        <v>4898</v>
      </c>
    </row>
    <row r="10310" spans="1:9" x14ac:dyDescent="0.2">
      <c r="A10310" s="2" t="s">
        <v>3336</v>
      </c>
      <c r="B10310" s="2" t="s">
        <v>646</v>
      </c>
      <c r="C10310" s="2">
        <v>817.75919999999996</v>
      </c>
      <c r="D10310" s="2">
        <f>HYPERLINK("http://mcb-m6.bioreg.kyushu-u.ac.jp/M3/20110502/F51172/2642/1", 67.74)</f>
        <v>67.739999999999995</v>
      </c>
      <c r="E10310" s="2">
        <v>52.91</v>
      </c>
      <c r="F10310" s="2">
        <v>2</v>
      </c>
      <c r="G10310" s="2" t="s">
        <v>13</v>
      </c>
      <c r="H10310" s="2" t="s">
        <v>4904</v>
      </c>
      <c r="I10310" s="2" t="s">
        <v>4918</v>
      </c>
    </row>
    <row r="10311" spans="1:9" x14ac:dyDescent="0.2">
      <c r="A10311" s="2" t="s">
        <v>3336</v>
      </c>
      <c r="B10311" s="2" t="s">
        <v>623</v>
      </c>
      <c r="C10311" s="2">
        <v>1085.673</v>
      </c>
      <c r="D10311" s="2">
        <f>HYPERLINK("http://mcb-m6.bioreg.kyushu-u.ac.jp/M3/20110502/F51173/3473/1", 79.62)</f>
        <v>79.62</v>
      </c>
      <c r="E10311" s="2">
        <v>68.010000000000005</v>
      </c>
      <c r="F10311" s="2">
        <v>2</v>
      </c>
      <c r="G10311" s="2" t="s">
        <v>13</v>
      </c>
    </row>
    <row r="10312" spans="1:9" x14ac:dyDescent="0.2">
      <c r="A10312" s="2" t="s">
        <v>3336</v>
      </c>
      <c r="B10312" s="2" t="s">
        <v>124</v>
      </c>
      <c r="C10312" s="2">
        <v>893.89369999999997</v>
      </c>
      <c r="D10312" s="2">
        <f>HYPERLINK("http://mcb-m6.bioreg.kyushu-u.ac.jp/M3/20110502/F51172/3111/1", 81.35)</f>
        <v>81.349999999999994</v>
      </c>
      <c r="E10312" s="2">
        <v>59.44</v>
      </c>
      <c r="F10312" s="2">
        <v>2</v>
      </c>
      <c r="G10312" s="2" t="s">
        <v>13</v>
      </c>
      <c r="I10312" s="2" t="s">
        <v>4898</v>
      </c>
    </row>
    <row r="10313" spans="1:9" x14ac:dyDescent="0.2">
      <c r="A10313" s="2" t="s">
        <v>3336</v>
      </c>
      <c r="B10313" s="2" t="s">
        <v>124</v>
      </c>
      <c r="C10313" s="2">
        <v>893.43769999999995</v>
      </c>
      <c r="D10313" s="2">
        <f>HYPERLINK("http://mcb-m6.bioreg.kyushu-u.ac.jp/M3/20110502/F51170/2853/1", 92.47)</f>
        <v>92.47</v>
      </c>
      <c r="E10313" s="2">
        <v>74.400000000000006</v>
      </c>
      <c r="F10313" s="2">
        <v>2</v>
      </c>
      <c r="G10313" s="2" t="s">
        <v>13</v>
      </c>
      <c r="I10313" s="2" t="s">
        <v>4898</v>
      </c>
    </row>
    <row r="10314" spans="1:9" x14ac:dyDescent="0.2">
      <c r="A10314" s="2" t="s">
        <v>3336</v>
      </c>
      <c r="B10314" s="2" t="s">
        <v>124</v>
      </c>
      <c r="C10314" s="2">
        <v>894.04769999999996</v>
      </c>
      <c r="D10314" s="2">
        <f>HYPERLINK("http://mcb-m6.bioreg.kyushu-u.ac.jp/M3/20110502/F51174/2494/1", 94.62)</f>
        <v>94.62</v>
      </c>
      <c r="E10314" s="2">
        <v>73.27</v>
      </c>
      <c r="F10314" s="2">
        <v>2</v>
      </c>
      <c r="G10314" s="2" t="s">
        <v>13</v>
      </c>
      <c r="I10314" s="2" t="s">
        <v>4898</v>
      </c>
    </row>
    <row r="10315" spans="1:9" x14ac:dyDescent="0.2">
      <c r="A10315" s="2" t="s">
        <v>3336</v>
      </c>
      <c r="B10315" s="2" t="s">
        <v>623</v>
      </c>
      <c r="C10315" s="2">
        <v>1085.729</v>
      </c>
      <c r="D10315" s="2">
        <f>HYPERLINK("http://mcb-m6.bioreg.kyushu-u.ac.jp/M3/20110502/F51172/3814/1", 97.57)</f>
        <v>97.57</v>
      </c>
      <c r="E10315" s="2">
        <v>83.08</v>
      </c>
      <c r="F10315" s="2">
        <v>2</v>
      </c>
      <c r="G10315" s="2" t="s">
        <v>13</v>
      </c>
    </row>
    <row r="10316" spans="1:9" x14ac:dyDescent="0.2">
      <c r="A10316" s="2" t="s">
        <v>3336</v>
      </c>
      <c r="B10316" s="2" t="s">
        <v>124</v>
      </c>
      <c r="C10316" s="2">
        <v>893.93520000000001</v>
      </c>
      <c r="D10316" s="2">
        <f>HYPERLINK("http://mcb-m6.bioreg.kyushu-u.ac.jp/M3/20110502/F51168/2591/1", 100.94)</f>
        <v>100.94</v>
      </c>
      <c r="E10316" s="2">
        <v>82.37</v>
      </c>
      <c r="F10316" s="2">
        <v>2</v>
      </c>
      <c r="G10316" s="2" t="s">
        <v>13</v>
      </c>
      <c r="I10316" s="2" t="s">
        <v>4898</v>
      </c>
    </row>
    <row r="10317" spans="1:9" x14ac:dyDescent="0.2">
      <c r="A10317" s="2" t="s">
        <v>3336</v>
      </c>
      <c r="B10317" s="2" t="s">
        <v>124</v>
      </c>
      <c r="C10317" s="2">
        <v>893.5797</v>
      </c>
      <c r="D10317" s="2">
        <f>HYPERLINK("http://mcb-m6.bioreg.kyushu-u.ac.jp/M3/20110502/F51180/2584/1", 106.38)</f>
        <v>106.38</v>
      </c>
      <c r="E10317" s="2">
        <v>87.5</v>
      </c>
      <c r="F10317" s="2">
        <v>2</v>
      </c>
      <c r="G10317" s="2" t="s">
        <v>13</v>
      </c>
      <c r="I10317" s="2" t="s">
        <v>4898</v>
      </c>
    </row>
    <row r="10318" spans="1:9" x14ac:dyDescent="0.2">
      <c r="A10318" s="2" t="s">
        <v>3336</v>
      </c>
      <c r="B10318" s="2" t="s">
        <v>124</v>
      </c>
      <c r="C10318" s="2">
        <v>893.45259999999996</v>
      </c>
      <c r="D10318" s="2">
        <f>HYPERLINK("http://mcb-m6.bioreg.kyushu-u.ac.jp/M3/20110502/F51165/2596/1", 108.35)</f>
        <v>108.35</v>
      </c>
      <c r="E10318" s="2">
        <v>93.1</v>
      </c>
      <c r="F10318" s="2">
        <v>2</v>
      </c>
      <c r="G10318" s="2" t="s">
        <v>13</v>
      </c>
      <c r="I10318" s="2" t="s">
        <v>4898</v>
      </c>
    </row>
    <row r="10319" spans="1:9" x14ac:dyDescent="0.2">
      <c r="A10319" s="2" t="s">
        <v>3336</v>
      </c>
      <c r="B10319" s="2" t="s">
        <v>623</v>
      </c>
      <c r="C10319" s="2">
        <v>1085.6289999999999</v>
      </c>
      <c r="D10319" s="2">
        <f>HYPERLINK("http://mcb-m6.bioreg.kyushu-u.ac.jp/M3/20110502/F51188/2913/1", 109.98)</f>
        <v>109.98</v>
      </c>
      <c r="E10319" s="2">
        <v>99.54</v>
      </c>
      <c r="F10319" s="2">
        <v>2</v>
      </c>
      <c r="G10319" s="2" t="s">
        <v>13</v>
      </c>
    </row>
    <row r="10320" spans="1:9" x14ac:dyDescent="0.2">
      <c r="A10320" s="2" t="s">
        <v>3336</v>
      </c>
      <c r="B10320" s="2" t="s">
        <v>222</v>
      </c>
      <c r="C10320" s="2">
        <v>555.19870000000003</v>
      </c>
      <c r="D10320" s="2">
        <f>HYPERLINK("http://mcb-m6.bioreg.kyushu-u.ac.jp/M3/20110502/F51182/922/1", 36.59)</f>
        <v>36.590000000000003</v>
      </c>
      <c r="E10320" s="2">
        <v>22.99</v>
      </c>
      <c r="F10320" s="2">
        <v>2</v>
      </c>
      <c r="G10320" s="2" t="s">
        <v>14</v>
      </c>
    </row>
    <row r="10321" spans="1:9" x14ac:dyDescent="0.2">
      <c r="A10321" s="2" t="s">
        <v>3336</v>
      </c>
      <c r="B10321" s="2" t="s">
        <v>373</v>
      </c>
      <c r="C10321" s="2">
        <v>523.39670000000001</v>
      </c>
      <c r="D10321" s="2">
        <f>HYPERLINK("http://mcb-m6.bioreg.kyushu-u.ac.jp/M3/20110502/F51193/845/1", 38)</f>
        <v>38</v>
      </c>
      <c r="E10321" s="2">
        <v>16.059999999999999</v>
      </c>
      <c r="F10321" s="2">
        <v>2</v>
      </c>
      <c r="G10321" s="2" t="s">
        <v>14</v>
      </c>
    </row>
    <row r="10322" spans="1:9" x14ac:dyDescent="0.2">
      <c r="A10322" s="2" t="s">
        <v>3336</v>
      </c>
      <c r="B10322" s="2" t="s">
        <v>263</v>
      </c>
      <c r="C10322" s="2">
        <v>961.65200000000004</v>
      </c>
      <c r="D10322" s="2">
        <f>HYPERLINK("http://mcb-m6.bioreg.kyushu-u.ac.jp/M3/20110502/F51193/636/1", 38.78)</f>
        <v>38.78</v>
      </c>
      <c r="E10322" s="2">
        <v>8.15</v>
      </c>
      <c r="F10322" s="2">
        <v>1</v>
      </c>
      <c r="G10322" s="2" t="s">
        <v>14</v>
      </c>
    </row>
    <row r="10323" spans="1:9" x14ac:dyDescent="0.2">
      <c r="A10323" s="2" t="s">
        <v>3336</v>
      </c>
      <c r="B10323" s="2" t="s">
        <v>222</v>
      </c>
      <c r="C10323" s="2">
        <v>554.79610000000002</v>
      </c>
      <c r="D10323" s="2">
        <f>HYPERLINK("http://mcb-m6.bioreg.kyushu-u.ac.jp/M3/20110502/F51192/924/1", 39.8)</f>
        <v>39.799999999999997</v>
      </c>
      <c r="E10323" s="2">
        <v>21.66</v>
      </c>
      <c r="F10323" s="2">
        <v>2</v>
      </c>
      <c r="G10323" s="2" t="s">
        <v>14</v>
      </c>
    </row>
    <row r="10324" spans="1:9" x14ac:dyDescent="0.2">
      <c r="A10324" s="2" t="s">
        <v>3336</v>
      </c>
      <c r="B10324" s="2" t="s">
        <v>222</v>
      </c>
      <c r="C10324" s="2">
        <v>555.01070000000004</v>
      </c>
      <c r="D10324" s="2">
        <f>HYPERLINK("http://mcb-m6.bioreg.kyushu-u.ac.jp/M3/20110502/F51193/994/1", 42.65)</f>
        <v>42.65</v>
      </c>
      <c r="E10324" s="2">
        <v>21.54</v>
      </c>
      <c r="F10324" s="2">
        <v>2</v>
      </c>
      <c r="G10324" s="2" t="s">
        <v>14</v>
      </c>
    </row>
    <row r="10325" spans="1:9" x14ac:dyDescent="0.2">
      <c r="A10325" s="2" t="s">
        <v>3336</v>
      </c>
      <c r="B10325" s="2" t="s">
        <v>124</v>
      </c>
      <c r="C10325" s="2">
        <v>893.51459999999997</v>
      </c>
      <c r="D10325" s="2">
        <f>HYPERLINK("http://mcb-m6.bioreg.kyushu-u.ac.jp/M3/20110502/F51192/2562/1", 42.96)</f>
        <v>42.96</v>
      </c>
      <c r="E10325" s="2">
        <v>33.799999999999997</v>
      </c>
      <c r="F10325" s="2">
        <v>2</v>
      </c>
      <c r="G10325" s="2" t="s">
        <v>14</v>
      </c>
      <c r="I10325" s="2" t="s">
        <v>4898</v>
      </c>
    </row>
    <row r="10326" spans="1:9" x14ac:dyDescent="0.2">
      <c r="A10326" s="2" t="s">
        <v>3336</v>
      </c>
      <c r="B10326" s="2" t="s">
        <v>373</v>
      </c>
      <c r="C10326" s="2">
        <v>1045.5640000000001</v>
      </c>
      <c r="D10326" s="2">
        <f>HYPERLINK("http://mcb-m6.bioreg.kyushu-u.ac.jp/M3/20110502/F51192/780/1", 44.62)</f>
        <v>44.62</v>
      </c>
      <c r="E10326" s="2">
        <v>19.010000000000002</v>
      </c>
      <c r="F10326" s="2">
        <v>1</v>
      </c>
      <c r="G10326" s="2" t="s">
        <v>14</v>
      </c>
    </row>
    <row r="10327" spans="1:9" x14ac:dyDescent="0.2">
      <c r="A10327" s="2" t="s">
        <v>3336</v>
      </c>
      <c r="B10327" s="2" t="s">
        <v>3105</v>
      </c>
      <c r="C10327" s="2">
        <v>559.54909999999995</v>
      </c>
      <c r="D10327" s="2">
        <f>HYPERLINK("http://mcb-m6.bioreg.kyushu-u.ac.jp/M3/20110502/F51192/942/1", 45.48)</f>
        <v>45.48</v>
      </c>
      <c r="E10327" s="2">
        <v>20.59</v>
      </c>
      <c r="F10327" s="2">
        <v>2</v>
      </c>
      <c r="G10327" s="2" t="s">
        <v>14</v>
      </c>
    </row>
    <row r="10328" spans="1:9" x14ac:dyDescent="0.2">
      <c r="A10328" s="2" t="s">
        <v>3336</v>
      </c>
      <c r="B10328" s="2" t="s">
        <v>373</v>
      </c>
      <c r="C10328" s="2">
        <v>1045.825</v>
      </c>
      <c r="D10328" s="2">
        <f>HYPERLINK("http://mcb-m6.bioreg.kyushu-u.ac.jp/M3/20110502/F51193/847/1", 46.36)</f>
        <v>46.36</v>
      </c>
      <c r="E10328" s="2">
        <v>17.63</v>
      </c>
      <c r="F10328" s="2">
        <v>1</v>
      </c>
      <c r="G10328" s="2" t="s">
        <v>14</v>
      </c>
    </row>
    <row r="10329" spans="1:9" x14ac:dyDescent="0.2">
      <c r="A10329" s="2" t="s">
        <v>3336</v>
      </c>
      <c r="B10329" s="2" t="s">
        <v>373</v>
      </c>
      <c r="C10329" s="2">
        <v>1046.7670000000001</v>
      </c>
      <c r="D10329" s="2">
        <f>HYPERLINK("http://mcb-m6.bioreg.kyushu-u.ac.jp/M3/20110502/F51186/923/1", 47)</f>
        <v>47</v>
      </c>
      <c r="E10329" s="2">
        <v>14.09</v>
      </c>
      <c r="F10329" s="2">
        <v>1</v>
      </c>
      <c r="G10329" s="2" t="s">
        <v>14</v>
      </c>
    </row>
    <row r="10330" spans="1:9" x14ac:dyDescent="0.2">
      <c r="A10330" s="2" t="s">
        <v>3336</v>
      </c>
      <c r="B10330" s="2" t="s">
        <v>263</v>
      </c>
      <c r="C10330" s="2">
        <v>961.76700000000005</v>
      </c>
      <c r="D10330" s="2">
        <f>HYPERLINK("http://mcb-m6.bioreg.kyushu-u.ac.jp/M3/20110502/F51192/606/1", 48.3)</f>
        <v>48.3</v>
      </c>
      <c r="E10330" s="2">
        <v>9.43</v>
      </c>
      <c r="F10330" s="2">
        <v>1</v>
      </c>
      <c r="G10330" s="2" t="s">
        <v>14</v>
      </c>
    </row>
    <row r="10331" spans="1:9" x14ac:dyDescent="0.2">
      <c r="A10331" s="2" t="s">
        <v>3336</v>
      </c>
      <c r="B10331" s="2" t="s">
        <v>138</v>
      </c>
      <c r="C10331" s="2">
        <v>867.43619999999999</v>
      </c>
      <c r="D10331" s="2">
        <f>HYPERLINK("http://mcb-m6.bioreg.kyushu-u.ac.jp/M3/20110502/F51192/2452/1", 50.51)</f>
        <v>50.51</v>
      </c>
      <c r="E10331" s="2">
        <v>37.76</v>
      </c>
      <c r="F10331" s="2">
        <v>2</v>
      </c>
      <c r="G10331" s="2" t="s">
        <v>14</v>
      </c>
      <c r="H10331" s="2" t="s">
        <v>4904</v>
      </c>
      <c r="I10331" s="2" t="s">
        <v>4892</v>
      </c>
    </row>
    <row r="10332" spans="1:9" x14ac:dyDescent="0.2">
      <c r="A10332" s="2" t="s">
        <v>3336</v>
      </c>
      <c r="B10332" s="2" t="s">
        <v>222</v>
      </c>
      <c r="C10332" s="2">
        <v>554.79610000000002</v>
      </c>
      <c r="D10332" s="2">
        <f>HYPERLINK("http://mcb-m6.bioreg.kyushu-u.ac.jp/M3/20110502/F51192/923/1", 50.61)</f>
        <v>50.61</v>
      </c>
      <c r="E10332" s="2">
        <v>25.73</v>
      </c>
      <c r="F10332" s="2">
        <v>2</v>
      </c>
      <c r="G10332" s="2" t="s">
        <v>14</v>
      </c>
    </row>
    <row r="10333" spans="1:9" x14ac:dyDescent="0.2">
      <c r="A10333" s="2" t="s">
        <v>3336</v>
      </c>
      <c r="B10333" s="2" t="s">
        <v>623</v>
      </c>
      <c r="C10333" s="2">
        <v>1085.931</v>
      </c>
      <c r="D10333" s="2">
        <f>HYPERLINK("http://mcb-m6.bioreg.kyushu-u.ac.jp/M3/20110502/F51183/3333/1", 51.61)</f>
        <v>51.61</v>
      </c>
      <c r="E10333" s="2">
        <v>41.1</v>
      </c>
      <c r="F10333" s="2">
        <v>2</v>
      </c>
      <c r="G10333" s="2" t="s">
        <v>14</v>
      </c>
    </row>
    <row r="10334" spans="1:9" x14ac:dyDescent="0.2">
      <c r="A10334" s="2" t="s">
        <v>3336</v>
      </c>
      <c r="B10334" s="2" t="s">
        <v>646</v>
      </c>
      <c r="C10334" s="2">
        <v>826.19320000000005</v>
      </c>
      <c r="D10334" s="2">
        <f>HYPERLINK("http://mcb-m6.bioreg.kyushu-u.ac.jp/M3/20110502/F51192/2264/1", 59.11)</f>
        <v>59.11</v>
      </c>
      <c r="E10334" s="2">
        <v>39.35</v>
      </c>
      <c r="F10334" s="2">
        <v>2</v>
      </c>
      <c r="G10334" s="2" t="s">
        <v>14</v>
      </c>
      <c r="I10334" s="2" t="s">
        <v>4918</v>
      </c>
    </row>
    <row r="10335" spans="1:9" x14ac:dyDescent="0.2">
      <c r="A10335" s="2" t="s">
        <v>3336</v>
      </c>
      <c r="B10335" s="2" t="s">
        <v>646</v>
      </c>
      <c r="C10335" s="2">
        <v>817.41669999999999</v>
      </c>
      <c r="D10335" s="2">
        <f>HYPERLINK("http://mcb-m6.bioreg.kyushu-u.ac.jp/M3/20110502/F51192/2221/1", 67.92)</f>
        <v>67.92</v>
      </c>
      <c r="E10335" s="2">
        <v>51.64</v>
      </c>
      <c r="F10335" s="2">
        <v>2</v>
      </c>
      <c r="G10335" s="2" t="s">
        <v>14</v>
      </c>
      <c r="H10335" s="2" t="s">
        <v>4904</v>
      </c>
      <c r="I10335" s="2" t="s">
        <v>4918</v>
      </c>
    </row>
    <row r="10336" spans="1:9" x14ac:dyDescent="0.2">
      <c r="A10336" s="2" t="s">
        <v>3336</v>
      </c>
      <c r="B10336" s="2" t="s">
        <v>450</v>
      </c>
      <c r="C10336" s="2">
        <v>1002.508</v>
      </c>
      <c r="D10336" s="2">
        <f>HYPERLINK("http://mcb-m6.bioreg.kyushu-u.ac.jp/M3/20110502/F51192/2973/1", 69.14)</f>
        <v>69.14</v>
      </c>
      <c r="E10336" s="2">
        <v>58.5</v>
      </c>
      <c r="F10336" s="2">
        <v>2</v>
      </c>
      <c r="G10336" s="2" t="s">
        <v>14</v>
      </c>
    </row>
    <row r="10337" spans="1:9" x14ac:dyDescent="0.2">
      <c r="A10337" s="2" t="s">
        <v>3336</v>
      </c>
      <c r="B10337" s="2" t="s">
        <v>3200</v>
      </c>
      <c r="C10337" s="2">
        <v>944.05970000000002</v>
      </c>
      <c r="D10337" s="2">
        <f>HYPERLINK("http://mcb-m6.bioreg.kyushu-u.ac.jp/M3/20110502/F51192/2788/1", 71.31)</f>
        <v>71.31</v>
      </c>
      <c r="E10337" s="2">
        <v>50.9</v>
      </c>
      <c r="F10337" s="2">
        <v>2</v>
      </c>
      <c r="G10337" s="2" t="s">
        <v>14</v>
      </c>
    </row>
    <row r="10338" spans="1:9" x14ac:dyDescent="0.2">
      <c r="A10338" s="2" t="s">
        <v>3336</v>
      </c>
      <c r="B10338" s="2" t="s">
        <v>124</v>
      </c>
      <c r="C10338" s="2">
        <v>893.85519999999997</v>
      </c>
      <c r="D10338" s="2">
        <f>HYPERLINK("http://mcb-m6.bioreg.kyushu-u.ac.jp/M3/20110502/F51192/2566/1", 74.75)</f>
        <v>74.75</v>
      </c>
      <c r="E10338" s="2">
        <v>60.51</v>
      </c>
      <c r="F10338" s="2">
        <v>2</v>
      </c>
      <c r="G10338" s="2" t="s">
        <v>14</v>
      </c>
      <c r="I10338" s="2" t="s">
        <v>4898</v>
      </c>
    </row>
    <row r="10339" spans="1:9" x14ac:dyDescent="0.2">
      <c r="A10339" s="2" t="s">
        <v>3336</v>
      </c>
      <c r="B10339" s="2" t="s">
        <v>124</v>
      </c>
      <c r="C10339" s="2">
        <v>893.8972</v>
      </c>
      <c r="D10339" s="2">
        <f>HYPERLINK("http://mcb-m6.bioreg.kyushu-u.ac.jp/M3/20110502/F51182/2762/1", 83.15)</f>
        <v>83.15</v>
      </c>
      <c r="E10339" s="2">
        <v>65.11</v>
      </c>
      <c r="F10339" s="2">
        <v>2</v>
      </c>
      <c r="G10339" s="2" t="s">
        <v>14</v>
      </c>
      <c r="I10339" s="2" t="s">
        <v>4898</v>
      </c>
    </row>
    <row r="10340" spans="1:9" x14ac:dyDescent="0.2">
      <c r="A10340" s="2" t="s">
        <v>3336</v>
      </c>
      <c r="B10340" s="2" t="s">
        <v>623</v>
      </c>
      <c r="C10340" s="2">
        <v>1086.076</v>
      </c>
      <c r="D10340" s="2">
        <f>HYPERLINK("http://mcb-m6.bioreg.kyushu-u.ac.jp/M3/20110502/F51185/3248/1", 83.2)</f>
        <v>83.2</v>
      </c>
      <c r="E10340" s="2">
        <v>71.930000000000007</v>
      </c>
      <c r="F10340" s="2">
        <v>2</v>
      </c>
      <c r="G10340" s="2" t="s">
        <v>14</v>
      </c>
    </row>
    <row r="10341" spans="1:9" x14ac:dyDescent="0.2">
      <c r="A10341" s="2" t="s">
        <v>3336</v>
      </c>
      <c r="B10341" s="2" t="s">
        <v>623</v>
      </c>
      <c r="C10341" s="2">
        <v>1085.711</v>
      </c>
      <c r="D10341" s="2">
        <f>HYPERLINK("http://mcb-m6.bioreg.kyushu-u.ac.jp/M3/20110502/F51177/3427/1", 87.32)</f>
        <v>87.32</v>
      </c>
      <c r="E10341" s="2">
        <v>74.989999999999995</v>
      </c>
      <c r="F10341" s="2">
        <v>2</v>
      </c>
      <c r="G10341" s="2" t="s">
        <v>14</v>
      </c>
    </row>
    <row r="10342" spans="1:9" x14ac:dyDescent="0.2">
      <c r="A10342" s="2" t="s">
        <v>3336</v>
      </c>
      <c r="B10342" s="2" t="s">
        <v>124</v>
      </c>
      <c r="C10342" s="2">
        <v>893.54570000000001</v>
      </c>
      <c r="D10342" s="2">
        <f>HYPERLINK("http://mcb-m6.bioreg.kyushu-u.ac.jp/M3/20110502/F51179/2638/1", 92.75)</f>
        <v>92.75</v>
      </c>
      <c r="E10342" s="2">
        <v>77.61</v>
      </c>
      <c r="F10342" s="2">
        <v>2</v>
      </c>
      <c r="G10342" s="2" t="s">
        <v>14</v>
      </c>
      <c r="I10342" s="2" t="s">
        <v>4898</v>
      </c>
    </row>
    <row r="10343" spans="1:9" x14ac:dyDescent="0.2">
      <c r="A10343" s="2" t="s">
        <v>3336</v>
      </c>
      <c r="B10343" s="2" t="s">
        <v>623</v>
      </c>
      <c r="C10343" s="2">
        <v>1085.4749999999999</v>
      </c>
      <c r="D10343" s="2">
        <f>HYPERLINK("http://mcb-m6.bioreg.kyushu-u.ac.jp/M3/20110502/F51184/3584/1", 97.33)</f>
        <v>97.33</v>
      </c>
      <c r="E10343" s="2">
        <v>80.67</v>
      </c>
      <c r="F10343" s="2">
        <v>2</v>
      </c>
      <c r="G10343" s="2" t="s">
        <v>14</v>
      </c>
    </row>
    <row r="10344" spans="1:9" x14ac:dyDescent="0.2">
      <c r="A10344" s="2" t="s">
        <v>3336</v>
      </c>
      <c r="B10344" s="2" t="s">
        <v>124</v>
      </c>
      <c r="C10344" s="2">
        <v>893.59559999999999</v>
      </c>
      <c r="D10344" s="2">
        <f>HYPERLINK("http://mcb-m6.bioreg.kyushu-u.ac.jp/M3/20110502/F51177/2709/1", 98.07)</f>
        <v>98.07</v>
      </c>
      <c r="E10344" s="2">
        <v>79.97</v>
      </c>
      <c r="F10344" s="2">
        <v>2</v>
      </c>
      <c r="G10344" s="2" t="s">
        <v>14</v>
      </c>
      <c r="I10344" s="2" t="s">
        <v>4898</v>
      </c>
    </row>
    <row r="10345" spans="1:9" x14ac:dyDescent="0.2">
      <c r="A10345" s="2" t="s">
        <v>3336</v>
      </c>
      <c r="B10345" s="2" t="s">
        <v>124</v>
      </c>
      <c r="C10345" s="2">
        <v>893.80269999999996</v>
      </c>
      <c r="D10345" s="2">
        <f>HYPERLINK("http://mcb-m6.bioreg.kyushu-u.ac.jp/M3/20110502/F51183/2709/1", 99.95)</f>
        <v>99.95</v>
      </c>
      <c r="E10345" s="2">
        <v>68.73</v>
      </c>
      <c r="F10345" s="2">
        <v>2</v>
      </c>
      <c r="G10345" s="2" t="s">
        <v>14</v>
      </c>
      <c r="I10345" s="2" t="s">
        <v>4898</v>
      </c>
    </row>
    <row r="10346" spans="1:9" x14ac:dyDescent="0.2">
      <c r="A10346" s="2" t="s">
        <v>3336</v>
      </c>
      <c r="B10346" s="2" t="s">
        <v>124</v>
      </c>
      <c r="C10346" s="2">
        <v>893.74770000000001</v>
      </c>
      <c r="D10346" s="2">
        <f>HYPERLINK("http://mcb-m6.bioreg.kyushu-u.ac.jp/M3/20110502/F51194/2606/1", 105.86)</f>
        <v>105.86</v>
      </c>
      <c r="E10346" s="2">
        <v>84</v>
      </c>
      <c r="F10346" s="2">
        <v>2</v>
      </c>
      <c r="G10346" s="2" t="s">
        <v>14</v>
      </c>
      <c r="I10346" s="2" t="s">
        <v>4898</v>
      </c>
    </row>
    <row r="10347" spans="1:9" x14ac:dyDescent="0.2">
      <c r="A10347" s="2" t="s">
        <v>3336</v>
      </c>
      <c r="B10347" s="2" t="s">
        <v>623</v>
      </c>
      <c r="C10347" s="2">
        <v>1085.68</v>
      </c>
      <c r="D10347" s="2">
        <f>HYPERLINK("http://mcb-m6.bioreg.kyushu-u.ac.jp/M3/20110502/F51192/3168/1", 109.34)</f>
        <v>109.34</v>
      </c>
      <c r="E10347" s="2">
        <v>86.31</v>
      </c>
      <c r="F10347" s="2">
        <v>2</v>
      </c>
      <c r="G10347" s="2" t="s">
        <v>14</v>
      </c>
    </row>
    <row r="10348" spans="1:9" x14ac:dyDescent="0.2">
      <c r="A10348" s="2" t="s">
        <v>3336</v>
      </c>
      <c r="B10348" s="2" t="s">
        <v>124</v>
      </c>
      <c r="C10348" s="2">
        <v>893.54169999999999</v>
      </c>
      <c r="D10348" s="2">
        <f>HYPERLINK("http://mcb-m6.bioreg.kyushu-u.ac.jp/M3/20110502/F51192/2563/1", 110.43)</f>
        <v>110.43</v>
      </c>
      <c r="E10348" s="2">
        <v>85.36</v>
      </c>
      <c r="F10348" s="2">
        <v>2</v>
      </c>
      <c r="G10348" s="2" t="s">
        <v>14</v>
      </c>
      <c r="I10348" s="2" t="s">
        <v>4898</v>
      </c>
    </row>
    <row r="10349" spans="1:9" x14ac:dyDescent="0.2">
      <c r="A10349" s="2" t="s">
        <v>3336</v>
      </c>
      <c r="B10349" s="2" t="s">
        <v>124</v>
      </c>
      <c r="C10349" s="2">
        <v>893.59860000000003</v>
      </c>
      <c r="D10349" s="2">
        <f>HYPERLINK("http://mcb-m6.bioreg.kyushu-u.ac.jp/M3/20110502/F51193/2632/1", 110.8)</f>
        <v>110.8</v>
      </c>
      <c r="E10349" s="2">
        <v>87.39</v>
      </c>
      <c r="F10349" s="2">
        <v>2</v>
      </c>
      <c r="G10349" s="2" t="s">
        <v>14</v>
      </c>
      <c r="I10349" s="2" t="s">
        <v>4898</v>
      </c>
    </row>
    <row r="10350" spans="1:9" x14ac:dyDescent="0.2">
      <c r="A10350" s="2" t="s">
        <v>3311</v>
      </c>
      <c r="B10350" s="2" t="s">
        <v>94</v>
      </c>
      <c r="C10350" s="2">
        <v>752.49770000000001</v>
      </c>
      <c r="D10350" s="2">
        <f>HYPERLINK("http://mcb-m6.bioreg.kyushu-u.ac.jp/M3/20110411/F50915/1975/1", 35.95)</f>
        <v>35.950000000000003</v>
      </c>
      <c r="E10350" s="2">
        <v>10.61</v>
      </c>
      <c r="F10350" s="2">
        <v>2</v>
      </c>
      <c r="G10350" s="2" t="s">
        <v>9</v>
      </c>
      <c r="H10350" s="2" t="s">
        <v>4901</v>
      </c>
    </row>
    <row r="10351" spans="1:9" x14ac:dyDescent="0.2">
      <c r="A10351" s="2" t="s">
        <v>3311</v>
      </c>
      <c r="B10351" s="2" t="s">
        <v>191</v>
      </c>
      <c r="C10351" s="2">
        <v>695.35019999999997</v>
      </c>
      <c r="D10351" s="2">
        <f>HYPERLINK("http://mcb-m6.bioreg.kyushu-u.ac.jp/M3/20110411/F50891/1837/1", 37.46)</f>
        <v>37.46</v>
      </c>
      <c r="E10351" s="2">
        <v>24.78</v>
      </c>
      <c r="F10351" s="2">
        <v>2</v>
      </c>
      <c r="G10351" s="2" t="s">
        <v>9</v>
      </c>
    </row>
    <row r="10352" spans="1:9" x14ac:dyDescent="0.2">
      <c r="A10352" s="2" t="s">
        <v>3311</v>
      </c>
      <c r="B10352" s="2" t="s">
        <v>191</v>
      </c>
      <c r="C10352" s="2">
        <v>694.70320000000004</v>
      </c>
      <c r="D10352" s="2">
        <f>HYPERLINK("http://mcb-m6.bioreg.kyushu-u.ac.jp/M3/20110411/F50915/1620/1", 37.77)</f>
        <v>37.770000000000003</v>
      </c>
      <c r="E10352" s="2">
        <v>25.74</v>
      </c>
      <c r="F10352" s="2">
        <v>2</v>
      </c>
      <c r="G10352" s="2" t="s">
        <v>9</v>
      </c>
    </row>
    <row r="10353" spans="1:7" x14ac:dyDescent="0.2">
      <c r="A10353" s="2" t="s">
        <v>3311</v>
      </c>
      <c r="B10353" s="2" t="s">
        <v>383</v>
      </c>
      <c r="C10353" s="2">
        <v>1291.6569999999999</v>
      </c>
      <c r="D10353" s="2">
        <f>HYPERLINK("http://mcb-m6.bioreg.kyushu-u.ac.jp/M3/20110411/F50915/1367/1", 40.84)</f>
        <v>40.840000000000003</v>
      </c>
      <c r="E10353" s="2">
        <v>22.93</v>
      </c>
      <c r="F10353" s="2">
        <v>1</v>
      </c>
      <c r="G10353" s="2" t="s">
        <v>9</v>
      </c>
    </row>
    <row r="10354" spans="1:7" x14ac:dyDescent="0.2">
      <c r="A10354" s="2" t="s">
        <v>3311</v>
      </c>
      <c r="B10354" s="2" t="s">
        <v>191</v>
      </c>
      <c r="C10354" s="2">
        <v>695.35059999999999</v>
      </c>
      <c r="D10354" s="2">
        <f>HYPERLINK("http://mcb-m6.bioreg.kyushu-u.ac.jp/M3/20110411/F50895/1854/1", 42.94)</f>
        <v>42.94</v>
      </c>
      <c r="E10354" s="2">
        <v>30.54</v>
      </c>
      <c r="F10354" s="2">
        <v>2</v>
      </c>
      <c r="G10354" s="2" t="s">
        <v>9</v>
      </c>
    </row>
    <row r="10355" spans="1:7" x14ac:dyDescent="0.2">
      <c r="A10355" s="2" t="s">
        <v>3311</v>
      </c>
      <c r="B10355" s="2" t="s">
        <v>383</v>
      </c>
      <c r="C10355" s="2">
        <v>646.61220000000003</v>
      </c>
      <c r="D10355" s="2">
        <f>HYPERLINK("http://mcb-m6.bioreg.kyushu-u.ac.jp/M3/20110411/F50895/1619/1", 54.3)</f>
        <v>54.3</v>
      </c>
      <c r="E10355" s="2">
        <v>37.46</v>
      </c>
      <c r="F10355" s="2">
        <v>2</v>
      </c>
      <c r="G10355" s="2" t="s">
        <v>9</v>
      </c>
    </row>
    <row r="10356" spans="1:7" x14ac:dyDescent="0.2">
      <c r="A10356" s="2" t="s">
        <v>3311</v>
      </c>
      <c r="B10356" s="2" t="s">
        <v>383</v>
      </c>
      <c r="C10356" s="2">
        <v>646.46370000000002</v>
      </c>
      <c r="D10356" s="2">
        <f>HYPERLINK("http://mcb-m6.bioreg.kyushu-u.ac.jp/M3/20110411/F50905/1549/1", 54.88)</f>
        <v>54.88</v>
      </c>
      <c r="E10356" s="2">
        <v>35.630000000000003</v>
      </c>
      <c r="F10356" s="2">
        <v>2</v>
      </c>
      <c r="G10356" s="2" t="s">
        <v>9</v>
      </c>
    </row>
    <row r="10357" spans="1:7" x14ac:dyDescent="0.2">
      <c r="A10357" s="2" t="s">
        <v>3311</v>
      </c>
      <c r="B10357" s="2" t="s">
        <v>960</v>
      </c>
      <c r="C10357" s="2">
        <v>463.88709999999998</v>
      </c>
      <c r="D10357" s="2">
        <f>HYPERLINK("http://mcb-m6.bioreg.kyushu-u.ac.jp/M3/20110411/F50915/609/1", 56.99)</f>
        <v>56.99</v>
      </c>
      <c r="E10357" s="2">
        <v>30.8</v>
      </c>
      <c r="F10357" s="2">
        <v>2</v>
      </c>
      <c r="G10357" s="2" t="s">
        <v>9</v>
      </c>
    </row>
    <row r="10358" spans="1:7" x14ac:dyDescent="0.2">
      <c r="A10358" s="2" t="s">
        <v>3311</v>
      </c>
      <c r="B10358" s="2" t="s">
        <v>383</v>
      </c>
      <c r="C10358" s="2">
        <v>646.38319999999999</v>
      </c>
      <c r="D10358" s="2">
        <f>HYPERLINK("http://mcb-m6.bioreg.kyushu-u.ac.jp/M3/20110411/F50915/1368/1", 57.43)</f>
        <v>57.43</v>
      </c>
      <c r="E10358" s="2">
        <v>40.98</v>
      </c>
      <c r="F10358" s="2">
        <v>2</v>
      </c>
      <c r="G10358" s="2" t="s">
        <v>9</v>
      </c>
    </row>
    <row r="10359" spans="1:7" x14ac:dyDescent="0.2">
      <c r="A10359" s="2" t="s">
        <v>3311</v>
      </c>
      <c r="B10359" s="2" t="s">
        <v>383</v>
      </c>
      <c r="C10359" s="2">
        <v>646.43910000000005</v>
      </c>
      <c r="D10359" s="2">
        <f>HYPERLINK("http://mcb-m6.bioreg.kyushu-u.ac.jp/M3/20110411/F50911/1590/1", 57.82)</f>
        <v>57.82</v>
      </c>
      <c r="E10359" s="2">
        <v>34.79</v>
      </c>
      <c r="F10359" s="2">
        <v>2</v>
      </c>
      <c r="G10359" s="2" t="s">
        <v>9</v>
      </c>
    </row>
    <row r="10360" spans="1:7" x14ac:dyDescent="0.2">
      <c r="A10360" s="2" t="s">
        <v>3311</v>
      </c>
      <c r="B10360" s="2" t="s">
        <v>383</v>
      </c>
      <c r="C10360" s="2">
        <v>646.38019999999995</v>
      </c>
      <c r="D10360" s="2">
        <f>HYPERLINK("http://mcb-m6.bioreg.kyushu-u.ac.jp/M3/20110411/F50916/1370/1", 59.57)</f>
        <v>59.57</v>
      </c>
      <c r="E10360" s="2">
        <v>45.14</v>
      </c>
      <c r="F10360" s="2">
        <v>2</v>
      </c>
      <c r="G10360" s="2" t="s">
        <v>9</v>
      </c>
    </row>
    <row r="10361" spans="1:7" x14ac:dyDescent="0.2">
      <c r="A10361" s="2" t="s">
        <v>3311</v>
      </c>
      <c r="B10361" s="2" t="s">
        <v>383</v>
      </c>
      <c r="C10361" s="2">
        <v>646.45209999999997</v>
      </c>
      <c r="D10361" s="2">
        <f>HYPERLINK("http://mcb-m6.bioreg.kyushu-u.ac.jp/M3/20110411/F50904/1597/1", 59.81)</f>
        <v>59.81</v>
      </c>
      <c r="E10361" s="2">
        <v>41.22</v>
      </c>
      <c r="F10361" s="2">
        <v>2</v>
      </c>
      <c r="G10361" s="2" t="s">
        <v>9</v>
      </c>
    </row>
    <row r="10362" spans="1:7" x14ac:dyDescent="0.2">
      <c r="A10362" s="2" t="s">
        <v>3311</v>
      </c>
      <c r="B10362" s="2" t="s">
        <v>191</v>
      </c>
      <c r="C10362" s="2">
        <v>695.01620000000003</v>
      </c>
      <c r="D10362" s="2">
        <f>HYPERLINK("http://mcb-m6.bioreg.kyushu-u.ac.jp/M3/20110411/F50905/1777/1", 61.56)</f>
        <v>61.56</v>
      </c>
      <c r="E10362" s="2">
        <v>44.62</v>
      </c>
      <c r="F10362" s="2">
        <v>2</v>
      </c>
      <c r="G10362" s="2" t="s">
        <v>9</v>
      </c>
    </row>
    <row r="10363" spans="1:7" x14ac:dyDescent="0.2">
      <c r="A10363" s="2" t="s">
        <v>3311</v>
      </c>
      <c r="B10363" s="2" t="s">
        <v>191</v>
      </c>
      <c r="C10363" s="2">
        <v>694.83370000000002</v>
      </c>
      <c r="D10363" s="2">
        <f>HYPERLINK("http://mcb-m6.bioreg.kyushu-u.ac.jp/M3/20110411/F50891/1830/1", 62.51)</f>
        <v>62.51</v>
      </c>
      <c r="E10363" s="2">
        <v>50.85</v>
      </c>
      <c r="F10363" s="2">
        <v>2</v>
      </c>
      <c r="G10363" s="2" t="s">
        <v>9</v>
      </c>
    </row>
    <row r="10364" spans="1:7" x14ac:dyDescent="0.2">
      <c r="A10364" s="2" t="s">
        <v>3311</v>
      </c>
      <c r="B10364" s="2" t="s">
        <v>960</v>
      </c>
      <c r="C10364" s="2">
        <v>463.88459999999998</v>
      </c>
      <c r="D10364" s="2">
        <f>HYPERLINK("http://mcb-m6.bioreg.kyushu-u.ac.jp/M3/20110411/F50905/849/1", 66.07)</f>
        <v>66.069999999999993</v>
      </c>
      <c r="E10364" s="2">
        <v>37.69</v>
      </c>
      <c r="F10364" s="2">
        <v>2</v>
      </c>
      <c r="G10364" s="2" t="s">
        <v>9</v>
      </c>
    </row>
    <row r="10365" spans="1:7" x14ac:dyDescent="0.2">
      <c r="A10365" s="2" t="s">
        <v>3311</v>
      </c>
      <c r="B10365" s="2" t="s">
        <v>960</v>
      </c>
      <c r="C10365" s="2">
        <v>463.91460000000001</v>
      </c>
      <c r="D10365" s="2">
        <f>HYPERLINK("http://mcb-m6.bioreg.kyushu-u.ac.jp/M3/20110411/F50911/832/1", 66.21)</f>
        <v>66.209999999999994</v>
      </c>
      <c r="E10365" s="2">
        <v>37.15</v>
      </c>
      <c r="F10365" s="2">
        <v>2</v>
      </c>
      <c r="G10365" s="2" t="s">
        <v>9</v>
      </c>
    </row>
    <row r="10366" spans="1:7" x14ac:dyDescent="0.2">
      <c r="A10366" s="2" t="s">
        <v>3311</v>
      </c>
      <c r="B10366" s="2" t="s">
        <v>960</v>
      </c>
      <c r="C10366" s="2">
        <v>463.96409999999997</v>
      </c>
      <c r="D10366" s="2">
        <f>HYPERLINK("http://mcb-m6.bioreg.kyushu-u.ac.jp/M3/20110411/F50904/1008/1", 74.88)</f>
        <v>74.88</v>
      </c>
      <c r="E10366" s="2">
        <v>41.31</v>
      </c>
      <c r="F10366" s="2">
        <v>2</v>
      </c>
      <c r="G10366" s="2" t="s">
        <v>9</v>
      </c>
    </row>
    <row r="10367" spans="1:7" x14ac:dyDescent="0.2">
      <c r="A10367" s="2" t="s">
        <v>3311</v>
      </c>
      <c r="B10367" s="2" t="s">
        <v>1407</v>
      </c>
      <c r="C10367" s="2">
        <v>759.04420000000005</v>
      </c>
      <c r="D10367" s="2">
        <f>HYPERLINK("http://mcb-m6.bioreg.kyushu-u.ac.jp/M3/20110411/F50915/2011/1", 78.25)</f>
        <v>78.25</v>
      </c>
      <c r="E10367" s="2">
        <v>62.59</v>
      </c>
      <c r="F10367" s="2">
        <v>2</v>
      </c>
      <c r="G10367" s="2" t="s">
        <v>9</v>
      </c>
    </row>
    <row r="10368" spans="1:7" x14ac:dyDescent="0.2">
      <c r="A10368" s="2" t="s">
        <v>3311</v>
      </c>
      <c r="B10368" s="2" t="s">
        <v>383</v>
      </c>
      <c r="C10368" s="2">
        <v>1291.605</v>
      </c>
      <c r="D10368" s="2">
        <f>HYPERLINK("http://mcb-m6.bioreg.kyushu-u.ac.jp/M3/20110411/F50917/1439/1", 38.31)</f>
        <v>38.31</v>
      </c>
      <c r="E10368" s="2">
        <v>15.76</v>
      </c>
      <c r="F10368" s="2">
        <v>1</v>
      </c>
      <c r="G10368" s="2" t="s">
        <v>10</v>
      </c>
    </row>
    <row r="10369" spans="1:8" x14ac:dyDescent="0.2">
      <c r="A10369" s="2" t="s">
        <v>3311</v>
      </c>
      <c r="B10369" s="2" t="s">
        <v>1792</v>
      </c>
      <c r="C10369" s="2">
        <v>842.6</v>
      </c>
      <c r="D10369" s="2">
        <f>HYPERLINK("http://mcb-m6.bioreg.kyushu-u.ac.jp/M3/20110411/F50917/575/1", 39.48)</f>
        <v>39.479999999999997</v>
      </c>
      <c r="E10369" s="2">
        <v>12.24</v>
      </c>
      <c r="F10369" s="2">
        <v>1</v>
      </c>
      <c r="G10369" s="2" t="s">
        <v>10</v>
      </c>
    </row>
    <row r="10370" spans="1:8" x14ac:dyDescent="0.2">
      <c r="A10370" s="2" t="s">
        <v>3311</v>
      </c>
      <c r="B10370" s="2" t="s">
        <v>383</v>
      </c>
      <c r="C10370" s="2">
        <v>646.48969999999997</v>
      </c>
      <c r="D10370" s="2">
        <f>HYPERLINK("http://mcb-m6.bioreg.kyushu-u.ac.jp/M3/20110411/F50900/1786/1", 47.59)</f>
        <v>47.59</v>
      </c>
      <c r="E10370" s="2">
        <v>32.61</v>
      </c>
      <c r="F10370" s="2">
        <v>2</v>
      </c>
      <c r="G10370" s="2" t="s">
        <v>10</v>
      </c>
    </row>
    <row r="10371" spans="1:8" x14ac:dyDescent="0.2">
      <c r="A10371" s="2" t="s">
        <v>3311</v>
      </c>
      <c r="B10371" s="2" t="s">
        <v>383</v>
      </c>
      <c r="C10371" s="2">
        <v>646.85469999999998</v>
      </c>
      <c r="D10371" s="2">
        <f>HYPERLINK("http://mcb-m6.bioreg.kyushu-u.ac.jp/M3/20110411/F50901/1650/1", 53.57)</f>
        <v>53.57</v>
      </c>
      <c r="E10371" s="2">
        <v>38.299999999999997</v>
      </c>
      <c r="F10371" s="2">
        <v>2</v>
      </c>
      <c r="G10371" s="2" t="s">
        <v>10</v>
      </c>
    </row>
    <row r="10372" spans="1:8" x14ac:dyDescent="0.2">
      <c r="A10372" s="2" t="s">
        <v>3311</v>
      </c>
      <c r="B10372" s="2" t="s">
        <v>383</v>
      </c>
      <c r="C10372" s="2">
        <v>646.6952</v>
      </c>
      <c r="D10372" s="2">
        <f>HYPERLINK("http://mcb-m6.bioreg.kyushu-u.ac.jp/M3/20110411/F50918/1357/1", 54.46)</f>
        <v>54.46</v>
      </c>
      <c r="E10372" s="2">
        <v>38.57</v>
      </c>
      <c r="F10372" s="2">
        <v>2</v>
      </c>
      <c r="G10372" s="2" t="s">
        <v>10</v>
      </c>
    </row>
    <row r="10373" spans="1:8" x14ac:dyDescent="0.2">
      <c r="A10373" s="2" t="s">
        <v>3311</v>
      </c>
      <c r="B10373" s="2" t="s">
        <v>191</v>
      </c>
      <c r="C10373" s="2">
        <v>694.92470000000003</v>
      </c>
      <c r="D10373" s="2">
        <f>HYPERLINK("http://mcb-m6.bioreg.kyushu-u.ac.jp/M3/20110411/F50912/1814/1", 55.94)</f>
        <v>55.94</v>
      </c>
      <c r="E10373" s="2">
        <v>36.56</v>
      </c>
      <c r="F10373" s="2">
        <v>2</v>
      </c>
      <c r="G10373" s="2" t="s">
        <v>10</v>
      </c>
    </row>
    <row r="10374" spans="1:8" x14ac:dyDescent="0.2">
      <c r="A10374" s="2" t="s">
        <v>3311</v>
      </c>
      <c r="B10374" s="2" t="s">
        <v>94</v>
      </c>
      <c r="C10374" s="2">
        <v>752.4982</v>
      </c>
      <c r="D10374" s="2">
        <f>HYPERLINK("http://mcb-m6.bioreg.kyushu-u.ac.jp/M3/20110411/F50917/2027/1", 57.62)</f>
        <v>57.62</v>
      </c>
      <c r="E10374" s="2">
        <v>32.49</v>
      </c>
      <c r="F10374" s="2">
        <v>2</v>
      </c>
      <c r="G10374" s="2" t="s">
        <v>10</v>
      </c>
      <c r="H10374" s="2" t="s">
        <v>4901</v>
      </c>
    </row>
    <row r="10375" spans="1:8" x14ac:dyDescent="0.2">
      <c r="A10375" s="2" t="s">
        <v>3311</v>
      </c>
      <c r="B10375" s="2" t="s">
        <v>383</v>
      </c>
      <c r="C10375" s="2">
        <v>646.38170000000002</v>
      </c>
      <c r="D10375" s="2">
        <f>HYPERLINK("http://mcb-m6.bioreg.kyushu-u.ac.jp/M3/20110411/F50917/1440/1", 59.29)</f>
        <v>59.29</v>
      </c>
      <c r="E10375" s="2">
        <v>44.22</v>
      </c>
      <c r="F10375" s="2">
        <v>2</v>
      </c>
      <c r="G10375" s="2" t="s">
        <v>10</v>
      </c>
    </row>
    <row r="10376" spans="1:8" x14ac:dyDescent="0.2">
      <c r="A10376" s="2" t="s">
        <v>3311</v>
      </c>
      <c r="B10376" s="2" t="s">
        <v>383</v>
      </c>
      <c r="C10376" s="2">
        <v>646.59220000000005</v>
      </c>
      <c r="D10376" s="2">
        <f>HYPERLINK("http://mcb-m6.bioreg.kyushu-u.ac.jp/M3/20110411/F50912/1615/1", 60.12)</f>
        <v>60.12</v>
      </c>
      <c r="E10376" s="2">
        <v>41.08</v>
      </c>
      <c r="F10376" s="2">
        <v>2</v>
      </c>
      <c r="G10376" s="2" t="s">
        <v>10</v>
      </c>
    </row>
    <row r="10377" spans="1:8" x14ac:dyDescent="0.2">
      <c r="A10377" s="2" t="s">
        <v>3311</v>
      </c>
      <c r="B10377" s="2" t="s">
        <v>960</v>
      </c>
      <c r="C10377" s="2">
        <v>463.93209999999999</v>
      </c>
      <c r="D10377" s="2">
        <f>HYPERLINK("http://mcb-m6.bioreg.kyushu-u.ac.jp/M3/20110411/F50901/1096/1", 60.65)</f>
        <v>60.65</v>
      </c>
      <c r="E10377" s="2">
        <v>38.49</v>
      </c>
      <c r="F10377" s="2">
        <v>2</v>
      </c>
      <c r="G10377" s="2" t="s">
        <v>10</v>
      </c>
    </row>
    <row r="10378" spans="1:8" x14ac:dyDescent="0.2">
      <c r="A10378" s="2" t="s">
        <v>3311</v>
      </c>
      <c r="B10378" s="2" t="s">
        <v>960</v>
      </c>
      <c r="C10378" s="2">
        <v>463.93009999999998</v>
      </c>
      <c r="D10378" s="2">
        <f>HYPERLINK("http://mcb-m6.bioreg.kyushu-u.ac.jp/M3/20110411/F50902/1040/1", 61.25)</f>
        <v>61.25</v>
      </c>
      <c r="E10378" s="2">
        <v>28.98</v>
      </c>
      <c r="F10378" s="2">
        <v>2</v>
      </c>
      <c r="G10378" s="2" t="s">
        <v>10</v>
      </c>
    </row>
    <row r="10379" spans="1:8" x14ac:dyDescent="0.2">
      <c r="A10379" s="2" t="s">
        <v>3311</v>
      </c>
      <c r="B10379" s="2" t="s">
        <v>383</v>
      </c>
      <c r="C10379" s="2">
        <v>646.42169999999999</v>
      </c>
      <c r="D10379" s="2">
        <f>HYPERLINK("http://mcb-m6.bioreg.kyushu-u.ac.jp/M3/20110411/F50913/1577/1", 63.56)</f>
        <v>63.56</v>
      </c>
      <c r="E10379" s="2">
        <v>43.46</v>
      </c>
      <c r="F10379" s="2">
        <v>2</v>
      </c>
      <c r="G10379" s="2" t="s">
        <v>10</v>
      </c>
    </row>
    <row r="10380" spans="1:8" x14ac:dyDescent="0.2">
      <c r="A10380" s="2" t="s">
        <v>3311</v>
      </c>
      <c r="B10380" s="2" t="s">
        <v>960</v>
      </c>
      <c r="C10380" s="2">
        <v>463.89909999999998</v>
      </c>
      <c r="D10380" s="2">
        <f>HYPERLINK("http://mcb-m6.bioreg.kyushu-u.ac.jp/M3/20110411/F50917/665/1", 65.79)</f>
        <v>65.790000000000006</v>
      </c>
      <c r="E10380" s="2">
        <v>40.090000000000003</v>
      </c>
      <c r="F10380" s="2">
        <v>2</v>
      </c>
      <c r="G10380" s="2" t="s">
        <v>10</v>
      </c>
    </row>
    <row r="10381" spans="1:8" x14ac:dyDescent="0.2">
      <c r="A10381" s="2" t="s">
        <v>3311</v>
      </c>
      <c r="B10381" s="2" t="s">
        <v>191</v>
      </c>
      <c r="C10381" s="2">
        <v>694.97469999999998</v>
      </c>
      <c r="D10381" s="2">
        <f>HYPERLINK("http://mcb-m6.bioreg.kyushu-u.ac.jp/M3/20110411/F50901/1841/1", 66.47)</f>
        <v>66.47</v>
      </c>
      <c r="E10381" s="2">
        <v>52.77</v>
      </c>
      <c r="F10381" s="2">
        <v>2</v>
      </c>
      <c r="G10381" s="2" t="s">
        <v>10</v>
      </c>
    </row>
    <row r="10382" spans="1:8" x14ac:dyDescent="0.2">
      <c r="A10382" s="2" t="s">
        <v>3311</v>
      </c>
      <c r="B10382" s="2" t="s">
        <v>191</v>
      </c>
      <c r="C10382" s="2">
        <v>695.41110000000003</v>
      </c>
      <c r="D10382" s="2">
        <f>HYPERLINK("http://mcb-m6.bioreg.kyushu-u.ac.jp/M3/20110411/F50914/1864/1", 68.15)</f>
        <v>68.150000000000006</v>
      </c>
      <c r="E10382" s="2">
        <v>51.05</v>
      </c>
      <c r="F10382" s="2">
        <v>2</v>
      </c>
      <c r="G10382" s="2" t="s">
        <v>10</v>
      </c>
    </row>
    <row r="10383" spans="1:8" x14ac:dyDescent="0.2">
      <c r="A10383" s="2" t="s">
        <v>3311</v>
      </c>
      <c r="B10383" s="2" t="s">
        <v>191</v>
      </c>
      <c r="C10383" s="2">
        <v>695.47919999999999</v>
      </c>
      <c r="D10383" s="2">
        <f>HYPERLINK("http://mcb-m6.bioreg.kyushu-u.ac.jp/M3/20110411/F50902/1831/1", 69.42)</f>
        <v>69.42</v>
      </c>
      <c r="E10383" s="2">
        <v>55.38</v>
      </c>
      <c r="F10383" s="2">
        <v>2</v>
      </c>
      <c r="G10383" s="2" t="s">
        <v>10</v>
      </c>
    </row>
    <row r="10384" spans="1:8" x14ac:dyDescent="0.2">
      <c r="A10384" s="2" t="s">
        <v>3311</v>
      </c>
      <c r="B10384" s="2" t="s">
        <v>1407</v>
      </c>
      <c r="C10384" s="2">
        <v>759.07619999999997</v>
      </c>
      <c r="D10384" s="2">
        <f>HYPERLINK("http://mcb-m6.bioreg.kyushu-u.ac.jp/M3/20110411/F50917/2063/1", 76.72)</f>
        <v>76.72</v>
      </c>
      <c r="E10384" s="2">
        <v>61.03</v>
      </c>
      <c r="F10384" s="2">
        <v>2</v>
      </c>
      <c r="G10384" s="2" t="s">
        <v>10</v>
      </c>
    </row>
    <row r="10385" spans="1:7" x14ac:dyDescent="0.2">
      <c r="A10385" s="2" t="s">
        <v>3311</v>
      </c>
      <c r="B10385" s="2" t="s">
        <v>960</v>
      </c>
      <c r="C10385" s="2">
        <v>463.8596</v>
      </c>
      <c r="D10385" s="2">
        <f>HYPERLINK("http://mcb-m6.bioreg.kyushu-u.ac.jp/M3/20110411/F50914/916/1", 77.58)</f>
        <v>77.58</v>
      </c>
      <c r="E10385" s="2">
        <v>48.78</v>
      </c>
      <c r="F10385" s="2">
        <v>2</v>
      </c>
      <c r="G10385" s="2" t="s">
        <v>10</v>
      </c>
    </row>
    <row r="10386" spans="1:7" x14ac:dyDescent="0.2">
      <c r="A10386" s="2" t="s">
        <v>3311</v>
      </c>
      <c r="B10386" s="2" t="s">
        <v>383</v>
      </c>
      <c r="C10386" s="2">
        <v>646.4547</v>
      </c>
      <c r="D10386" s="2">
        <f>HYPERLINK("http://mcb-m6.bioreg.kyushu-u.ac.jp/M3/20110411/F50902/1626/1", 78.12)</f>
        <v>78.12</v>
      </c>
      <c r="E10386" s="2">
        <v>58.26</v>
      </c>
      <c r="F10386" s="2">
        <v>2</v>
      </c>
      <c r="G10386" s="2" t="s">
        <v>10</v>
      </c>
    </row>
    <row r="10387" spans="1:7" x14ac:dyDescent="0.2">
      <c r="A10387" s="2" t="s">
        <v>3311</v>
      </c>
      <c r="B10387" s="2" t="s">
        <v>191</v>
      </c>
      <c r="C10387" s="2">
        <v>695.05470000000003</v>
      </c>
      <c r="D10387" s="2">
        <f>HYPERLINK("http://mcb-m6.bioreg.kyushu-u.ac.jp/M3/20110411/F50917/1685/1", 86.75)</f>
        <v>86.75</v>
      </c>
      <c r="E10387" s="2">
        <v>71.819999999999993</v>
      </c>
      <c r="F10387" s="2">
        <v>2</v>
      </c>
      <c r="G10387" s="2" t="s">
        <v>10</v>
      </c>
    </row>
    <row r="10388" spans="1:7" x14ac:dyDescent="0.2">
      <c r="A10388" s="2" t="s">
        <v>3311</v>
      </c>
      <c r="B10388" s="2" t="s">
        <v>191</v>
      </c>
      <c r="C10388" s="2">
        <v>694.95759999999996</v>
      </c>
      <c r="D10388" s="2">
        <f>HYPERLINK("http://mcb-m6.bioreg.kyushu-u.ac.jp/M3/20110411/F50902/1828/1", 91.33)</f>
        <v>91.33</v>
      </c>
      <c r="E10388" s="2">
        <v>71.62</v>
      </c>
      <c r="F10388" s="2">
        <v>2</v>
      </c>
      <c r="G10388" s="2" t="s">
        <v>10</v>
      </c>
    </row>
    <row r="10389" spans="1:7" x14ac:dyDescent="0.2">
      <c r="A10389" s="2" t="s">
        <v>3311</v>
      </c>
      <c r="B10389" s="2" t="s">
        <v>1407</v>
      </c>
      <c r="C10389" s="2">
        <v>759.49720000000002</v>
      </c>
      <c r="D10389" s="2">
        <f>HYPERLINK("http://mcb-m6.bioreg.kyushu-u.ac.jp/M3/20110414/F50942/2033/1", 37.38)</f>
        <v>37.380000000000003</v>
      </c>
      <c r="E10389" s="2">
        <v>20.82</v>
      </c>
      <c r="F10389" s="2">
        <v>2</v>
      </c>
      <c r="G10389" s="2" t="s">
        <v>11</v>
      </c>
    </row>
    <row r="10390" spans="1:7" x14ac:dyDescent="0.2">
      <c r="A10390" s="2" t="s">
        <v>3311</v>
      </c>
      <c r="B10390" s="2" t="s">
        <v>383</v>
      </c>
      <c r="C10390" s="2">
        <v>1291.4970000000001</v>
      </c>
      <c r="D10390" s="2">
        <f>HYPERLINK("http://mcb-m6.bioreg.kyushu-u.ac.jp/M3/20110414/F50942/1406/1", 38.29)</f>
        <v>38.29</v>
      </c>
      <c r="E10390" s="2">
        <v>22.04</v>
      </c>
      <c r="F10390" s="2">
        <v>1</v>
      </c>
      <c r="G10390" s="2" t="s">
        <v>11</v>
      </c>
    </row>
    <row r="10391" spans="1:7" x14ac:dyDescent="0.2">
      <c r="A10391" s="2" t="s">
        <v>3311</v>
      </c>
      <c r="B10391" s="2" t="s">
        <v>1792</v>
      </c>
      <c r="C10391" s="2">
        <v>842.34299999999996</v>
      </c>
      <c r="D10391" s="2">
        <f>HYPERLINK("http://mcb-m6.bioreg.kyushu-u.ac.jp/M3/20110414/F50956/403/1", 38.44)</f>
        <v>38.44</v>
      </c>
      <c r="E10391" s="2">
        <v>12.23</v>
      </c>
      <c r="F10391" s="2">
        <v>1</v>
      </c>
      <c r="G10391" s="2" t="s">
        <v>11</v>
      </c>
    </row>
    <row r="10392" spans="1:7" x14ac:dyDescent="0.2">
      <c r="A10392" s="2" t="s">
        <v>3311</v>
      </c>
      <c r="B10392" s="2" t="s">
        <v>383</v>
      </c>
      <c r="C10392" s="2">
        <v>646.66110000000003</v>
      </c>
      <c r="D10392" s="2">
        <f>HYPERLINK("http://mcb-m6.bioreg.kyushu-u.ac.jp/M3/20110414/F50962/1437/1", 41.86)</f>
        <v>41.86</v>
      </c>
      <c r="E10392" s="2">
        <v>30.41</v>
      </c>
      <c r="F10392" s="2">
        <v>2</v>
      </c>
      <c r="G10392" s="2" t="s">
        <v>11</v>
      </c>
    </row>
    <row r="10393" spans="1:7" x14ac:dyDescent="0.2">
      <c r="A10393" s="2" t="s">
        <v>3311</v>
      </c>
      <c r="B10393" s="2" t="s">
        <v>1407</v>
      </c>
      <c r="C10393" s="2">
        <v>759.23109999999997</v>
      </c>
      <c r="D10393" s="2">
        <f>HYPERLINK("http://mcb-m6.bioreg.kyushu-u.ac.jp/M3/20110414/F50956/2061/1", 42.4)</f>
        <v>42.4</v>
      </c>
      <c r="E10393" s="2">
        <v>29.12</v>
      </c>
      <c r="F10393" s="2">
        <v>2</v>
      </c>
      <c r="G10393" s="2" t="s">
        <v>11</v>
      </c>
    </row>
    <row r="10394" spans="1:7" x14ac:dyDescent="0.2">
      <c r="A10394" s="2" t="s">
        <v>3311</v>
      </c>
      <c r="B10394" s="2" t="s">
        <v>960</v>
      </c>
      <c r="C10394" s="2">
        <v>464.01459999999997</v>
      </c>
      <c r="D10394" s="2">
        <f>HYPERLINK("http://mcb-m6.bioreg.kyushu-u.ac.jp/M3/20110414/F50962/710/1", 42.69)</f>
        <v>42.69</v>
      </c>
      <c r="E10394" s="2">
        <v>26.59</v>
      </c>
      <c r="F10394" s="2">
        <v>2</v>
      </c>
      <c r="G10394" s="2" t="s">
        <v>11</v>
      </c>
    </row>
    <row r="10395" spans="1:7" x14ac:dyDescent="0.2">
      <c r="A10395" s="2" t="s">
        <v>3311</v>
      </c>
      <c r="B10395" s="2" t="s">
        <v>383</v>
      </c>
      <c r="C10395" s="2">
        <v>1291.3620000000001</v>
      </c>
      <c r="D10395" s="2">
        <f>HYPERLINK("http://mcb-m6.bioreg.kyushu-u.ac.jp/M3/20110414/F50956/1300/1", 44.6)</f>
        <v>44.6</v>
      </c>
      <c r="E10395" s="2">
        <v>17.22</v>
      </c>
      <c r="F10395" s="2">
        <v>1</v>
      </c>
      <c r="G10395" s="2" t="s">
        <v>11</v>
      </c>
    </row>
    <row r="10396" spans="1:7" x14ac:dyDescent="0.2">
      <c r="A10396" s="2" t="s">
        <v>3311</v>
      </c>
      <c r="B10396" s="2" t="s">
        <v>191</v>
      </c>
      <c r="C10396" s="2">
        <v>1389.386</v>
      </c>
      <c r="D10396" s="2">
        <f>HYPERLINK("http://mcb-m6.bioreg.kyushu-u.ac.jp/M3/20110414/F50956/1613/1", 44.8)</f>
        <v>44.8</v>
      </c>
      <c r="E10396" s="2">
        <v>32.78</v>
      </c>
      <c r="F10396" s="2">
        <v>1</v>
      </c>
      <c r="G10396" s="2" t="s">
        <v>11</v>
      </c>
    </row>
    <row r="10397" spans="1:7" x14ac:dyDescent="0.2">
      <c r="A10397" s="2" t="s">
        <v>3311</v>
      </c>
      <c r="B10397" s="2" t="s">
        <v>383</v>
      </c>
      <c r="C10397" s="2">
        <v>646.09860000000003</v>
      </c>
      <c r="D10397" s="2">
        <f>HYPERLINK("http://mcb-m6.bioreg.kyushu-u.ac.jp/M3/20110414/F50957/1249/1", 46.47)</f>
        <v>46.47</v>
      </c>
      <c r="E10397" s="2">
        <v>34.479999999999997</v>
      </c>
      <c r="F10397" s="2">
        <v>2</v>
      </c>
      <c r="G10397" s="2" t="s">
        <v>11</v>
      </c>
    </row>
    <row r="10398" spans="1:7" x14ac:dyDescent="0.2">
      <c r="A10398" s="2" t="s">
        <v>3311</v>
      </c>
      <c r="B10398" s="2" t="s">
        <v>191</v>
      </c>
      <c r="C10398" s="2">
        <v>695.34370000000001</v>
      </c>
      <c r="D10398" s="2">
        <f>HYPERLINK("http://mcb-m6.bioreg.kyushu-u.ac.jp/M3/20110414/F50943/1602/1", 52.7)</f>
        <v>52.7</v>
      </c>
      <c r="E10398" s="2">
        <v>38.79</v>
      </c>
      <c r="F10398" s="2">
        <v>2</v>
      </c>
      <c r="G10398" s="2" t="s">
        <v>11</v>
      </c>
    </row>
    <row r="10399" spans="1:7" x14ac:dyDescent="0.2">
      <c r="A10399" s="2" t="s">
        <v>3311</v>
      </c>
      <c r="B10399" s="2" t="s">
        <v>960</v>
      </c>
      <c r="C10399" s="2">
        <v>463.8091</v>
      </c>
      <c r="D10399" s="2">
        <f>HYPERLINK("http://mcb-m6.bioreg.kyushu-u.ac.jp/M3/20110414/F50942/689/1", 54.83)</f>
        <v>54.83</v>
      </c>
      <c r="E10399" s="2">
        <v>32.08</v>
      </c>
      <c r="F10399" s="2">
        <v>2</v>
      </c>
      <c r="G10399" s="2" t="s">
        <v>11</v>
      </c>
    </row>
    <row r="10400" spans="1:7" x14ac:dyDescent="0.2">
      <c r="A10400" s="2" t="s">
        <v>3311</v>
      </c>
      <c r="B10400" s="2" t="s">
        <v>383</v>
      </c>
      <c r="C10400" s="2">
        <v>646.78120000000001</v>
      </c>
      <c r="D10400" s="2">
        <f>HYPERLINK("http://mcb-m6.bioreg.kyushu-u.ac.jp/M3/20110414/F50943/1396/1", 55.93)</f>
        <v>55.93</v>
      </c>
      <c r="E10400" s="2">
        <v>45.37</v>
      </c>
      <c r="F10400" s="2">
        <v>2</v>
      </c>
      <c r="G10400" s="2" t="s">
        <v>11</v>
      </c>
    </row>
    <row r="10401" spans="1:7" x14ac:dyDescent="0.2">
      <c r="A10401" s="2" t="s">
        <v>3311</v>
      </c>
      <c r="B10401" s="2" t="s">
        <v>960</v>
      </c>
      <c r="C10401" s="2">
        <v>463.7226</v>
      </c>
      <c r="D10401" s="2">
        <f>HYPERLINK("http://mcb-m6.bioreg.kyushu-u.ac.jp/M3/20110414/F50957/492/1", 56.02)</f>
        <v>56.02</v>
      </c>
      <c r="E10401" s="2">
        <v>36.03</v>
      </c>
      <c r="F10401" s="2">
        <v>2</v>
      </c>
      <c r="G10401" s="2" t="s">
        <v>11</v>
      </c>
    </row>
    <row r="10402" spans="1:7" x14ac:dyDescent="0.2">
      <c r="A10402" s="2" t="s">
        <v>3311</v>
      </c>
      <c r="B10402" s="2" t="s">
        <v>960</v>
      </c>
      <c r="C10402" s="2">
        <v>463.7996</v>
      </c>
      <c r="D10402" s="2">
        <f>HYPERLINK("http://mcb-m6.bioreg.kyushu-u.ac.jp/M3/20110414/F50941/720/1", 56.71)</f>
        <v>56.71</v>
      </c>
      <c r="E10402" s="2">
        <v>30.54</v>
      </c>
      <c r="F10402" s="2">
        <v>2</v>
      </c>
      <c r="G10402" s="2" t="s">
        <v>11</v>
      </c>
    </row>
    <row r="10403" spans="1:7" x14ac:dyDescent="0.2">
      <c r="A10403" s="2" t="s">
        <v>3311</v>
      </c>
      <c r="B10403" s="2" t="s">
        <v>383</v>
      </c>
      <c r="C10403" s="2">
        <v>646.39260000000002</v>
      </c>
      <c r="D10403" s="2">
        <f>HYPERLINK("http://mcb-m6.bioreg.kyushu-u.ac.jp/M3/20110414/F50944/1687/1", 58.24)</f>
        <v>58.24</v>
      </c>
      <c r="E10403" s="2">
        <v>41.39</v>
      </c>
      <c r="F10403" s="2">
        <v>2</v>
      </c>
      <c r="G10403" s="2" t="s">
        <v>11</v>
      </c>
    </row>
    <row r="10404" spans="1:7" x14ac:dyDescent="0.2">
      <c r="A10404" s="2" t="s">
        <v>3311</v>
      </c>
      <c r="B10404" s="2" t="s">
        <v>1407</v>
      </c>
      <c r="C10404" s="2">
        <v>758.82870000000003</v>
      </c>
      <c r="D10404" s="2">
        <f>HYPERLINK("http://mcb-m6.bioreg.kyushu-u.ac.jp/M3/20110414/F50957/2010/1", 59.26)</f>
        <v>59.26</v>
      </c>
      <c r="E10404" s="2">
        <v>41.95</v>
      </c>
      <c r="F10404" s="2">
        <v>2</v>
      </c>
      <c r="G10404" s="2" t="s">
        <v>11</v>
      </c>
    </row>
    <row r="10405" spans="1:7" x14ac:dyDescent="0.2">
      <c r="A10405" s="2" t="s">
        <v>3311</v>
      </c>
      <c r="B10405" s="2" t="s">
        <v>383</v>
      </c>
      <c r="C10405" s="2">
        <v>646.76509999999996</v>
      </c>
      <c r="D10405" s="2">
        <f>HYPERLINK("http://mcb-m6.bioreg.kyushu-u.ac.jp/M3/20110414/F50942/1410/1", 60.45)</f>
        <v>60.45</v>
      </c>
      <c r="E10405" s="2">
        <v>44.74</v>
      </c>
      <c r="F10405" s="2">
        <v>2</v>
      </c>
      <c r="G10405" s="2" t="s">
        <v>11</v>
      </c>
    </row>
    <row r="10406" spans="1:7" x14ac:dyDescent="0.2">
      <c r="A10406" s="2" t="s">
        <v>3311</v>
      </c>
      <c r="B10406" s="2" t="s">
        <v>383</v>
      </c>
      <c r="C10406" s="2">
        <v>646.24620000000004</v>
      </c>
      <c r="D10406" s="2">
        <f>HYPERLINK("http://mcb-m6.bioreg.kyushu-u.ac.jp/M3/20110414/F50943/1395/1", 60.55)</f>
        <v>60.55</v>
      </c>
      <c r="E10406" s="2">
        <v>46.63</v>
      </c>
      <c r="F10406" s="2">
        <v>2</v>
      </c>
      <c r="G10406" s="2" t="s">
        <v>11</v>
      </c>
    </row>
    <row r="10407" spans="1:7" x14ac:dyDescent="0.2">
      <c r="A10407" s="2" t="s">
        <v>3311</v>
      </c>
      <c r="B10407" s="2" t="s">
        <v>383</v>
      </c>
      <c r="C10407" s="2">
        <v>646.16309999999999</v>
      </c>
      <c r="D10407" s="2">
        <f>HYPERLINK("http://mcb-m6.bioreg.kyushu-u.ac.jp/M3/20110414/F50929/1928/1", 62.49)</f>
        <v>62.49</v>
      </c>
      <c r="E10407" s="2">
        <v>44.89</v>
      </c>
      <c r="F10407" s="2">
        <v>2</v>
      </c>
      <c r="G10407" s="2" t="s">
        <v>11</v>
      </c>
    </row>
    <row r="10408" spans="1:7" x14ac:dyDescent="0.2">
      <c r="A10408" s="2" t="s">
        <v>3311</v>
      </c>
      <c r="B10408" s="2" t="s">
        <v>960</v>
      </c>
      <c r="C10408" s="2">
        <v>464.13909999999998</v>
      </c>
      <c r="D10408" s="2">
        <f>HYPERLINK("http://mcb-m6.bioreg.kyushu-u.ac.jp/M3/20110414/F50956/500/1", 62.74)</f>
        <v>62.74</v>
      </c>
      <c r="E10408" s="2">
        <v>41.08</v>
      </c>
      <c r="F10408" s="2">
        <v>2</v>
      </c>
      <c r="G10408" s="2" t="s">
        <v>11</v>
      </c>
    </row>
    <row r="10409" spans="1:7" x14ac:dyDescent="0.2">
      <c r="A10409" s="2" t="s">
        <v>3311</v>
      </c>
      <c r="B10409" s="2" t="s">
        <v>191</v>
      </c>
      <c r="C10409" s="2">
        <v>694.71420000000001</v>
      </c>
      <c r="D10409" s="2">
        <f>HYPERLINK("http://mcb-m6.bioreg.kyushu-u.ac.jp/M3/20110414/F50956/1605/1", 65.38)</f>
        <v>65.38</v>
      </c>
      <c r="E10409" s="2">
        <v>49.92</v>
      </c>
      <c r="F10409" s="2">
        <v>2</v>
      </c>
      <c r="G10409" s="2" t="s">
        <v>11</v>
      </c>
    </row>
    <row r="10410" spans="1:7" x14ac:dyDescent="0.2">
      <c r="A10410" s="2" t="s">
        <v>3311</v>
      </c>
      <c r="B10410" s="2" t="s">
        <v>383</v>
      </c>
      <c r="C10410" s="2">
        <v>646.2106</v>
      </c>
      <c r="D10410" s="2">
        <f>HYPERLINK("http://mcb-m6.bioreg.kyushu-u.ac.jp/M3/20110414/F50941/1543/1", 65.69)</f>
        <v>65.69</v>
      </c>
      <c r="E10410" s="2">
        <v>44.24</v>
      </c>
      <c r="F10410" s="2">
        <v>2</v>
      </c>
      <c r="G10410" s="2" t="s">
        <v>11</v>
      </c>
    </row>
    <row r="10411" spans="1:7" x14ac:dyDescent="0.2">
      <c r="A10411" s="2" t="s">
        <v>3311</v>
      </c>
      <c r="B10411" s="2" t="s">
        <v>383</v>
      </c>
      <c r="C10411" s="2">
        <v>646.25819999999999</v>
      </c>
      <c r="D10411" s="2">
        <f>HYPERLINK("http://mcb-m6.bioreg.kyushu-u.ac.jp/M3/20110414/F50942/1407/1", 66.15)</f>
        <v>66.150000000000006</v>
      </c>
      <c r="E10411" s="2">
        <v>50.86</v>
      </c>
      <c r="F10411" s="2">
        <v>2</v>
      </c>
      <c r="G10411" s="2" t="s">
        <v>11</v>
      </c>
    </row>
    <row r="10412" spans="1:7" x14ac:dyDescent="0.2">
      <c r="A10412" s="2" t="s">
        <v>3311</v>
      </c>
      <c r="B10412" s="2" t="s">
        <v>191</v>
      </c>
      <c r="C10412" s="2">
        <v>694.80020000000002</v>
      </c>
      <c r="D10412" s="2">
        <f>HYPERLINK("http://mcb-m6.bioreg.kyushu-u.ac.jp/M3/20110414/F50944/1853/1", 69)</f>
        <v>69</v>
      </c>
      <c r="E10412" s="2">
        <v>55.65</v>
      </c>
      <c r="F10412" s="2">
        <v>2</v>
      </c>
      <c r="G10412" s="2" t="s">
        <v>11</v>
      </c>
    </row>
    <row r="10413" spans="1:7" x14ac:dyDescent="0.2">
      <c r="A10413" s="2" t="s">
        <v>3311</v>
      </c>
      <c r="B10413" s="2" t="s">
        <v>191</v>
      </c>
      <c r="C10413" s="2">
        <v>695.29570000000001</v>
      </c>
      <c r="D10413" s="2">
        <f>HYPERLINK("http://mcb-m6.bioreg.kyushu-u.ac.jp/M3/20110414/F50941/1814/1", 75.37)</f>
        <v>75.37</v>
      </c>
      <c r="E10413" s="2">
        <v>61.78</v>
      </c>
      <c r="F10413" s="2">
        <v>2</v>
      </c>
      <c r="G10413" s="2" t="s">
        <v>11</v>
      </c>
    </row>
    <row r="10414" spans="1:7" x14ac:dyDescent="0.2">
      <c r="A10414" s="2" t="s">
        <v>3311</v>
      </c>
      <c r="B10414" s="2" t="s">
        <v>191</v>
      </c>
      <c r="C10414" s="2">
        <v>695.3057</v>
      </c>
      <c r="D10414" s="2">
        <f>HYPERLINK("http://mcb-m6.bioreg.kyushu-u.ac.jp/M3/20110414/F50944/1856/1", 75.9)</f>
        <v>75.900000000000006</v>
      </c>
      <c r="E10414" s="2">
        <v>63.09</v>
      </c>
      <c r="F10414" s="2">
        <v>2</v>
      </c>
      <c r="G10414" s="2" t="s">
        <v>11</v>
      </c>
    </row>
    <row r="10415" spans="1:7" x14ac:dyDescent="0.2">
      <c r="A10415" s="2" t="s">
        <v>3311</v>
      </c>
      <c r="B10415" s="2" t="s">
        <v>191</v>
      </c>
      <c r="C10415" s="2">
        <v>695.31619999999998</v>
      </c>
      <c r="D10415" s="2">
        <f>HYPERLINK("http://mcb-m6.bioreg.kyushu-u.ac.jp/M3/20110414/F50956/1615/1", 77.23)</f>
        <v>77.23</v>
      </c>
      <c r="E10415" s="2">
        <v>63.45</v>
      </c>
      <c r="F10415" s="2">
        <v>2</v>
      </c>
      <c r="G10415" s="2" t="s">
        <v>11</v>
      </c>
    </row>
    <row r="10416" spans="1:7" x14ac:dyDescent="0.2">
      <c r="A10416" s="2" t="s">
        <v>3311</v>
      </c>
      <c r="B10416" s="2" t="s">
        <v>1407</v>
      </c>
      <c r="C10416" s="2">
        <v>758.98969999999997</v>
      </c>
      <c r="D10416" s="2">
        <f>HYPERLINK("http://mcb-m6.bioreg.kyushu-u.ac.jp/M3/20110414/F50942/2026/1", 77.87)</f>
        <v>77.87</v>
      </c>
      <c r="E10416" s="2">
        <v>62.31</v>
      </c>
      <c r="F10416" s="2">
        <v>2</v>
      </c>
      <c r="G10416" s="2" t="s">
        <v>11</v>
      </c>
    </row>
    <row r="10417" spans="1:7" x14ac:dyDescent="0.2">
      <c r="A10417" s="2" t="s">
        <v>3311</v>
      </c>
      <c r="B10417" s="2" t="s">
        <v>1407</v>
      </c>
      <c r="C10417" s="2">
        <v>758.72969999999998</v>
      </c>
      <c r="D10417" s="2">
        <f>HYPERLINK("http://mcb-m6.bioreg.kyushu-u.ac.jp/M3/20110414/F50956/2055/1", 85.06)</f>
        <v>85.06</v>
      </c>
      <c r="E10417" s="2">
        <v>69.28</v>
      </c>
      <c r="F10417" s="2">
        <v>2</v>
      </c>
      <c r="G10417" s="2" t="s">
        <v>11</v>
      </c>
    </row>
    <row r="10418" spans="1:7" x14ac:dyDescent="0.2">
      <c r="A10418" s="2" t="s">
        <v>3311</v>
      </c>
      <c r="B10418" s="2" t="s">
        <v>191</v>
      </c>
      <c r="C10418" s="2">
        <v>695.01760000000002</v>
      </c>
      <c r="D10418" s="2">
        <f>HYPERLINK("http://mcb-m6.bioreg.kyushu-u.ac.jp/M3/20110414/F50942/1626/1", 88.2)</f>
        <v>88.2</v>
      </c>
      <c r="E10418" s="2">
        <v>72.099999999999994</v>
      </c>
      <c r="F10418" s="2">
        <v>2</v>
      </c>
      <c r="G10418" s="2" t="s">
        <v>11</v>
      </c>
    </row>
    <row r="10419" spans="1:7" x14ac:dyDescent="0.2">
      <c r="A10419" s="2" t="s">
        <v>3311</v>
      </c>
      <c r="B10419" s="2" t="s">
        <v>191</v>
      </c>
      <c r="C10419" s="2">
        <v>694.77509999999995</v>
      </c>
      <c r="D10419" s="2">
        <f>HYPERLINK("http://mcb-m6.bioreg.kyushu-u.ac.jp/M3/20110414/F50941/1804/1", 93.28)</f>
        <v>93.28</v>
      </c>
      <c r="E10419" s="2">
        <v>79.09</v>
      </c>
      <c r="F10419" s="2">
        <v>2</v>
      </c>
      <c r="G10419" s="2" t="s">
        <v>11</v>
      </c>
    </row>
    <row r="10420" spans="1:7" x14ac:dyDescent="0.2">
      <c r="A10420" s="2" t="s">
        <v>3311</v>
      </c>
      <c r="B10420" s="2" t="s">
        <v>960</v>
      </c>
      <c r="C10420" s="2">
        <v>464.1746</v>
      </c>
      <c r="D10420" s="2">
        <f>HYPERLINK("http://mcb-m6.bioreg.kyushu-u.ac.jp/M3/20110414/F50948/663/1", 36.28)</f>
        <v>36.28</v>
      </c>
      <c r="E10420" s="2">
        <v>9.9700000000000006</v>
      </c>
      <c r="F10420" s="2">
        <v>2</v>
      </c>
      <c r="G10420" s="2" t="s">
        <v>12</v>
      </c>
    </row>
    <row r="10421" spans="1:7" x14ac:dyDescent="0.2">
      <c r="A10421" s="2" t="s">
        <v>3311</v>
      </c>
      <c r="B10421" s="2" t="s">
        <v>383</v>
      </c>
      <c r="C10421" s="2">
        <v>1291.269</v>
      </c>
      <c r="D10421" s="2">
        <f>HYPERLINK("http://mcb-m6.bioreg.kyushu-u.ac.jp/M3/20110414/F50958/1371/1", 37.67)</f>
        <v>37.67</v>
      </c>
      <c r="E10421" s="2">
        <v>18.059999999999999</v>
      </c>
      <c r="F10421" s="2">
        <v>1</v>
      </c>
      <c r="G10421" s="2" t="s">
        <v>12</v>
      </c>
    </row>
    <row r="10422" spans="1:7" x14ac:dyDescent="0.2">
      <c r="A10422" s="2" t="s">
        <v>3311</v>
      </c>
      <c r="B10422" s="2" t="s">
        <v>383</v>
      </c>
      <c r="C10422" s="2">
        <v>1291.2860000000001</v>
      </c>
      <c r="D10422" s="2">
        <f>HYPERLINK("http://mcb-m6.bioreg.kyushu-u.ac.jp/M3/20110414/F50948/1475/1", 37.72)</f>
        <v>37.72</v>
      </c>
      <c r="E10422" s="2">
        <v>18.25</v>
      </c>
      <c r="F10422" s="2">
        <v>1</v>
      </c>
      <c r="G10422" s="2" t="s">
        <v>12</v>
      </c>
    </row>
    <row r="10423" spans="1:7" x14ac:dyDescent="0.2">
      <c r="A10423" s="2" t="s">
        <v>3311</v>
      </c>
      <c r="B10423" s="2" t="s">
        <v>383</v>
      </c>
      <c r="C10423" s="2">
        <v>646.05769999999995</v>
      </c>
      <c r="D10423" s="2">
        <f>HYPERLINK("http://mcb-m6.bioreg.kyushu-u.ac.jp/M3/20110414/F50949/1928/1", 40.96)</f>
        <v>40.96</v>
      </c>
      <c r="E10423" s="2">
        <v>25.58</v>
      </c>
      <c r="F10423" s="2">
        <v>2</v>
      </c>
      <c r="G10423" s="2" t="s">
        <v>12</v>
      </c>
    </row>
    <row r="10424" spans="1:7" x14ac:dyDescent="0.2">
      <c r="A10424" s="2" t="s">
        <v>3311</v>
      </c>
      <c r="B10424" s="2" t="s">
        <v>1407</v>
      </c>
      <c r="C10424" s="2">
        <v>758.57820000000004</v>
      </c>
      <c r="D10424" s="2">
        <f>HYPERLINK("http://mcb-m6.bioreg.kyushu-u.ac.jp/M3/20110414/F50948/2209/1", 43.13)</f>
        <v>43.13</v>
      </c>
      <c r="E10424" s="2">
        <v>27.54</v>
      </c>
      <c r="F10424" s="2">
        <v>2</v>
      </c>
      <c r="G10424" s="2" t="s">
        <v>12</v>
      </c>
    </row>
    <row r="10425" spans="1:7" x14ac:dyDescent="0.2">
      <c r="A10425" s="2" t="s">
        <v>3311</v>
      </c>
      <c r="B10425" s="2" t="s">
        <v>960</v>
      </c>
      <c r="C10425" s="2">
        <v>463.69009999999997</v>
      </c>
      <c r="D10425" s="2">
        <f>HYPERLINK("http://mcb-m6.bioreg.kyushu-u.ac.jp/M3/20110414/F50959/411/1", 44.07)</f>
        <v>44.07</v>
      </c>
      <c r="E10425" s="2">
        <v>25.05</v>
      </c>
      <c r="F10425" s="2">
        <v>2</v>
      </c>
      <c r="G10425" s="2" t="s">
        <v>12</v>
      </c>
    </row>
    <row r="10426" spans="1:7" x14ac:dyDescent="0.2">
      <c r="A10426" s="2" t="s">
        <v>3311</v>
      </c>
      <c r="B10426" s="2" t="s">
        <v>383</v>
      </c>
      <c r="C10426" s="2">
        <v>646.22770000000003</v>
      </c>
      <c r="D10426" s="2">
        <f>HYPERLINK("http://mcb-m6.bioreg.kyushu-u.ac.jp/M3/20110414/F50959/1254/1", 46.51)</f>
        <v>46.51</v>
      </c>
      <c r="E10426" s="2">
        <v>31.9</v>
      </c>
      <c r="F10426" s="2">
        <v>2</v>
      </c>
      <c r="G10426" s="2" t="s">
        <v>12</v>
      </c>
    </row>
    <row r="10427" spans="1:7" x14ac:dyDescent="0.2">
      <c r="A10427" s="2" t="s">
        <v>3311</v>
      </c>
      <c r="B10427" s="2" t="s">
        <v>191</v>
      </c>
      <c r="C10427" s="2">
        <v>694.48860000000002</v>
      </c>
      <c r="D10427" s="2">
        <f>HYPERLINK("http://mcb-m6.bioreg.kyushu-u.ac.jp/M3/20110414/F50950/1872/1", 47.77)</f>
        <v>47.77</v>
      </c>
      <c r="E10427" s="2">
        <v>23.34</v>
      </c>
      <c r="F10427" s="2">
        <v>2</v>
      </c>
      <c r="G10427" s="2" t="s">
        <v>12</v>
      </c>
    </row>
    <row r="10428" spans="1:7" x14ac:dyDescent="0.2">
      <c r="A10428" s="2" t="s">
        <v>3311</v>
      </c>
      <c r="B10428" s="2" t="s">
        <v>960</v>
      </c>
      <c r="C10428" s="2">
        <v>463.74709999999999</v>
      </c>
      <c r="D10428" s="2">
        <f>HYPERLINK("http://mcb-m6.bioreg.kyushu-u.ac.jp/M3/20110414/F50947/650/1", 52.49)</f>
        <v>52.49</v>
      </c>
      <c r="E10428" s="2">
        <v>33.65</v>
      </c>
      <c r="F10428" s="2">
        <v>2</v>
      </c>
      <c r="G10428" s="2" t="s">
        <v>12</v>
      </c>
    </row>
    <row r="10429" spans="1:7" x14ac:dyDescent="0.2">
      <c r="A10429" s="2" t="s">
        <v>3311</v>
      </c>
      <c r="B10429" s="2" t="s">
        <v>2685</v>
      </c>
      <c r="C10429" s="2">
        <v>1230.6780000000001</v>
      </c>
      <c r="D10429" s="2">
        <f>HYPERLINK("http://mcb-m6.bioreg.kyushu-u.ac.jp/M3/20110414/F50958/5089/1", 53.28)</f>
        <v>53.28</v>
      </c>
      <c r="E10429" s="2">
        <v>40.15</v>
      </c>
      <c r="F10429" s="2">
        <v>3</v>
      </c>
      <c r="G10429" s="2" t="s">
        <v>12</v>
      </c>
    </row>
    <row r="10430" spans="1:7" x14ac:dyDescent="0.2">
      <c r="A10430" s="2" t="s">
        <v>3311</v>
      </c>
      <c r="B10430" s="2" t="s">
        <v>383</v>
      </c>
      <c r="C10430" s="2">
        <v>646.60059999999999</v>
      </c>
      <c r="D10430" s="2">
        <f>HYPERLINK("http://mcb-m6.bioreg.kyushu-u.ac.jp/M3/20110414/F50947/1376/1", 56.95)</f>
        <v>56.95</v>
      </c>
      <c r="E10430" s="2">
        <v>44.07</v>
      </c>
      <c r="F10430" s="2">
        <v>2</v>
      </c>
      <c r="G10430" s="2" t="s">
        <v>12</v>
      </c>
    </row>
    <row r="10431" spans="1:7" x14ac:dyDescent="0.2">
      <c r="A10431" s="2" t="s">
        <v>3311</v>
      </c>
      <c r="B10431" s="2" t="s">
        <v>191</v>
      </c>
      <c r="C10431" s="2">
        <v>694.78219999999999</v>
      </c>
      <c r="D10431" s="2">
        <f>HYPERLINK("http://mcb-m6.bioreg.kyushu-u.ac.jp/M3/20110414/F50959/1565/1", 57.8)</f>
        <v>57.8</v>
      </c>
      <c r="E10431" s="2">
        <v>44.31</v>
      </c>
      <c r="F10431" s="2">
        <v>2</v>
      </c>
      <c r="G10431" s="2" t="s">
        <v>12</v>
      </c>
    </row>
    <row r="10432" spans="1:7" x14ac:dyDescent="0.2">
      <c r="A10432" s="2" t="s">
        <v>3311</v>
      </c>
      <c r="B10432" s="2" t="s">
        <v>960</v>
      </c>
      <c r="C10432" s="2">
        <v>464.15960000000001</v>
      </c>
      <c r="D10432" s="2">
        <f>HYPERLINK("http://mcb-m6.bioreg.kyushu-u.ac.jp/M3/20110414/F50958/483/1", 57.92)</f>
        <v>57.92</v>
      </c>
      <c r="E10432" s="2">
        <v>31.36</v>
      </c>
      <c r="F10432" s="2">
        <v>2</v>
      </c>
      <c r="G10432" s="2" t="s">
        <v>12</v>
      </c>
    </row>
    <row r="10433" spans="1:7" x14ac:dyDescent="0.2">
      <c r="A10433" s="2" t="s">
        <v>3311</v>
      </c>
      <c r="B10433" s="2" t="s">
        <v>960</v>
      </c>
      <c r="C10433" s="2">
        <v>463.9486</v>
      </c>
      <c r="D10433" s="2">
        <f>HYPERLINK("http://mcb-m6.bioreg.kyushu-u.ac.jp/M3/20110414/F50950/745/1", 58.6)</f>
        <v>58.6</v>
      </c>
      <c r="E10433" s="2">
        <v>36.32</v>
      </c>
      <c r="F10433" s="2">
        <v>2</v>
      </c>
      <c r="G10433" s="2" t="s">
        <v>12</v>
      </c>
    </row>
    <row r="10434" spans="1:7" x14ac:dyDescent="0.2">
      <c r="A10434" s="2" t="s">
        <v>3311</v>
      </c>
      <c r="B10434" s="2" t="s">
        <v>1407</v>
      </c>
      <c r="C10434" s="2">
        <v>759.23969999999997</v>
      </c>
      <c r="D10434" s="2">
        <f>HYPERLINK("http://mcb-m6.bioreg.kyushu-u.ac.jp/M3/20110414/F50948/2215/1", 62.32)</f>
        <v>62.32</v>
      </c>
      <c r="E10434" s="2">
        <v>47.61</v>
      </c>
      <c r="F10434" s="2">
        <v>2</v>
      </c>
      <c r="G10434" s="2" t="s">
        <v>12</v>
      </c>
    </row>
    <row r="10435" spans="1:7" x14ac:dyDescent="0.2">
      <c r="A10435" s="2" t="s">
        <v>3311</v>
      </c>
      <c r="B10435" s="2" t="s">
        <v>383</v>
      </c>
      <c r="C10435" s="2">
        <v>645.96870000000001</v>
      </c>
      <c r="D10435" s="2">
        <f>HYPERLINK("http://mcb-m6.bioreg.kyushu-u.ac.jp/M3/20110414/F50950/1592/1", 63.58)</f>
        <v>63.58</v>
      </c>
      <c r="E10435" s="2">
        <v>37.47</v>
      </c>
      <c r="F10435" s="2">
        <v>2</v>
      </c>
      <c r="G10435" s="2" t="s">
        <v>12</v>
      </c>
    </row>
    <row r="10436" spans="1:7" x14ac:dyDescent="0.2">
      <c r="A10436" s="2" t="s">
        <v>3311</v>
      </c>
      <c r="B10436" s="2" t="s">
        <v>960</v>
      </c>
      <c r="C10436" s="2">
        <v>463.70659999999998</v>
      </c>
      <c r="D10436" s="2">
        <f>HYPERLINK("http://mcb-m6.bioreg.kyushu-u.ac.jp/M3/20110414/F50948/654/1", 63.71)</f>
        <v>63.71</v>
      </c>
      <c r="E10436" s="2">
        <v>39.32</v>
      </c>
      <c r="F10436" s="2">
        <v>2</v>
      </c>
      <c r="G10436" s="2" t="s">
        <v>12</v>
      </c>
    </row>
    <row r="10437" spans="1:7" x14ac:dyDescent="0.2">
      <c r="A10437" s="2" t="s">
        <v>3311</v>
      </c>
      <c r="B10437" s="2" t="s">
        <v>383</v>
      </c>
      <c r="C10437" s="2">
        <v>646.49109999999996</v>
      </c>
      <c r="D10437" s="2">
        <f>HYPERLINK("http://mcb-m6.bioreg.kyushu-u.ac.jp/M3/20110414/F50950/1595/1", 65.19)</f>
        <v>65.19</v>
      </c>
      <c r="E10437" s="2">
        <v>38.18</v>
      </c>
      <c r="F10437" s="2">
        <v>2</v>
      </c>
      <c r="G10437" s="2" t="s">
        <v>12</v>
      </c>
    </row>
    <row r="10438" spans="1:7" x14ac:dyDescent="0.2">
      <c r="A10438" s="2" t="s">
        <v>3311</v>
      </c>
      <c r="B10438" s="2" t="s">
        <v>383</v>
      </c>
      <c r="C10438" s="2">
        <v>646.15419999999995</v>
      </c>
      <c r="D10438" s="2">
        <f>HYPERLINK("http://mcb-m6.bioreg.kyushu-u.ac.jp/M3/20110414/F50948/1477/1", 65.59)</f>
        <v>65.59</v>
      </c>
      <c r="E10438" s="2">
        <v>41.32</v>
      </c>
      <c r="F10438" s="2">
        <v>2</v>
      </c>
      <c r="G10438" s="2" t="s">
        <v>12</v>
      </c>
    </row>
    <row r="10439" spans="1:7" x14ac:dyDescent="0.2">
      <c r="A10439" s="2" t="s">
        <v>3311</v>
      </c>
      <c r="B10439" s="2" t="s">
        <v>383</v>
      </c>
      <c r="C10439" s="2">
        <v>646.0077</v>
      </c>
      <c r="D10439" s="2">
        <f>HYPERLINK("http://mcb-m6.bioreg.kyushu-u.ac.jp/M3/20110414/F50958/1366/1", 67.65)</f>
        <v>67.650000000000006</v>
      </c>
      <c r="E10439" s="2">
        <v>46</v>
      </c>
      <c r="F10439" s="2">
        <v>2</v>
      </c>
      <c r="G10439" s="2" t="s">
        <v>12</v>
      </c>
    </row>
    <row r="10440" spans="1:7" x14ac:dyDescent="0.2">
      <c r="A10440" s="2" t="s">
        <v>3311</v>
      </c>
      <c r="B10440" s="2" t="s">
        <v>1407</v>
      </c>
      <c r="C10440" s="2">
        <v>758.77009999999996</v>
      </c>
      <c r="D10440" s="2">
        <f>HYPERLINK("http://mcb-m6.bioreg.kyushu-u.ac.jp/M3/20110414/F50958/2113/1", 76.14)</f>
        <v>76.14</v>
      </c>
      <c r="E10440" s="2">
        <v>60.29</v>
      </c>
      <c r="F10440" s="2">
        <v>2</v>
      </c>
      <c r="G10440" s="2" t="s">
        <v>12</v>
      </c>
    </row>
    <row r="10441" spans="1:7" x14ac:dyDescent="0.2">
      <c r="A10441" s="2" t="s">
        <v>3311</v>
      </c>
      <c r="B10441" s="2" t="s">
        <v>191</v>
      </c>
      <c r="C10441" s="2">
        <v>695.0027</v>
      </c>
      <c r="D10441" s="2">
        <f>HYPERLINK("http://mcb-m6.bioreg.kyushu-u.ac.jp/M3/20110414/F50948/1771/1", 77.39)</f>
        <v>77.39</v>
      </c>
      <c r="E10441" s="2">
        <v>60.86</v>
      </c>
      <c r="F10441" s="2">
        <v>2</v>
      </c>
      <c r="G10441" s="2" t="s">
        <v>12</v>
      </c>
    </row>
    <row r="10442" spans="1:7" x14ac:dyDescent="0.2">
      <c r="A10442" s="2" t="s">
        <v>3311</v>
      </c>
      <c r="B10442" s="2" t="s">
        <v>191</v>
      </c>
      <c r="C10442" s="2">
        <v>695.15170000000001</v>
      </c>
      <c r="D10442" s="2">
        <f>HYPERLINK("http://mcb-m6.bioreg.kyushu-u.ac.jp/M3/20110414/F50948/1775/1", 85.05)</f>
        <v>85.05</v>
      </c>
      <c r="E10442" s="2">
        <v>68.739999999999995</v>
      </c>
      <c r="F10442" s="2">
        <v>2</v>
      </c>
      <c r="G10442" s="2" t="s">
        <v>12</v>
      </c>
    </row>
    <row r="10443" spans="1:7" x14ac:dyDescent="0.2">
      <c r="A10443" s="2" t="s">
        <v>3311</v>
      </c>
      <c r="B10443" s="2" t="s">
        <v>191</v>
      </c>
      <c r="C10443" s="2">
        <v>694.76459999999997</v>
      </c>
      <c r="D10443" s="2">
        <f>HYPERLINK("http://mcb-m6.bioreg.kyushu-u.ac.jp/M3/20110414/F50958/1675/1", 104.63)</f>
        <v>104.63</v>
      </c>
      <c r="E10443" s="2">
        <v>88.97</v>
      </c>
      <c r="F10443" s="2">
        <v>2</v>
      </c>
      <c r="G10443" s="2" t="s">
        <v>12</v>
      </c>
    </row>
    <row r="10444" spans="1:7" x14ac:dyDescent="0.2">
      <c r="A10444" s="2" t="s">
        <v>3311</v>
      </c>
      <c r="B10444" s="2" t="s">
        <v>960</v>
      </c>
      <c r="C10444" s="2">
        <v>464.27960000000002</v>
      </c>
      <c r="D10444" s="2">
        <f>HYPERLINK("http://mcb-m6.bioreg.kyushu-u.ac.jp/M3/20110502/F51188/673/1", 39.12)</f>
        <v>39.119999999999997</v>
      </c>
      <c r="E10444" s="2">
        <v>11.83</v>
      </c>
      <c r="F10444" s="2">
        <v>2</v>
      </c>
      <c r="G10444" s="2" t="s">
        <v>13</v>
      </c>
    </row>
    <row r="10445" spans="1:7" x14ac:dyDescent="0.2">
      <c r="A10445" s="2" t="s">
        <v>3311</v>
      </c>
      <c r="B10445" s="2" t="s">
        <v>383</v>
      </c>
      <c r="C10445" s="2">
        <v>646.56669999999997</v>
      </c>
      <c r="D10445" s="2">
        <f>HYPERLINK("http://mcb-m6.bioreg.kyushu-u.ac.jp/M3/20110502/F51173/1272/1", 55.7)</f>
        <v>55.7</v>
      </c>
      <c r="E10445" s="2">
        <v>36.39</v>
      </c>
      <c r="F10445" s="2">
        <v>2</v>
      </c>
      <c r="G10445" s="2" t="s">
        <v>13</v>
      </c>
    </row>
    <row r="10446" spans="1:7" x14ac:dyDescent="0.2">
      <c r="A10446" s="2" t="s">
        <v>3311</v>
      </c>
      <c r="B10446" s="2" t="s">
        <v>383</v>
      </c>
      <c r="C10446" s="2">
        <v>646.48109999999997</v>
      </c>
      <c r="D10446" s="2">
        <f>HYPERLINK("http://mcb-m6.bioreg.kyushu-u.ac.jp/M3/20110502/F51175/1507/1", 56.93)</f>
        <v>56.93</v>
      </c>
      <c r="E10446" s="2">
        <v>36.770000000000003</v>
      </c>
      <c r="F10446" s="2">
        <v>2</v>
      </c>
      <c r="G10446" s="2" t="s">
        <v>13</v>
      </c>
    </row>
    <row r="10447" spans="1:7" x14ac:dyDescent="0.2">
      <c r="A10447" s="2" t="s">
        <v>3311</v>
      </c>
      <c r="B10447" s="2" t="s">
        <v>383</v>
      </c>
      <c r="C10447" s="2">
        <v>646.56669999999997</v>
      </c>
      <c r="D10447" s="2">
        <f>HYPERLINK("http://mcb-m6.bioreg.kyushu-u.ac.jp/M3/20110502/F51172/1509/1", 58.35)</f>
        <v>58.35</v>
      </c>
      <c r="E10447" s="2">
        <v>41.14</v>
      </c>
      <c r="F10447" s="2">
        <v>2</v>
      </c>
      <c r="G10447" s="2" t="s">
        <v>13</v>
      </c>
    </row>
    <row r="10448" spans="1:7" x14ac:dyDescent="0.2">
      <c r="A10448" s="2" t="s">
        <v>3311</v>
      </c>
      <c r="B10448" s="2" t="s">
        <v>960</v>
      </c>
      <c r="C10448" s="2">
        <v>463.9606</v>
      </c>
      <c r="D10448" s="2">
        <f>HYPERLINK("http://mcb-m6.bioreg.kyushu-u.ac.jp/M3/20110502/F51174/977/1", 61.44)</f>
        <v>61.44</v>
      </c>
      <c r="E10448" s="2">
        <v>30.45</v>
      </c>
      <c r="F10448" s="2">
        <v>2</v>
      </c>
      <c r="G10448" s="2" t="s">
        <v>13</v>
      </c>
    </row>
    <row r="10449" spans="1:7" x14ac:dyDescent="0.2">
      <c r="A10449" s="2" t="s">
        <v>3311</v>
      </c>
      <c r="B10449" s="2" t="s">
        <v>383</v>
      </c>
      <c r="C10449" s="2">
        <v>646.50710000000004</v>
      </c>
      <c r="D10449" s="2">
        <f>HYPERLINK("http://mcb-m6.bioreg.kyushu-u.ac.jp/M3/20110502/F51189/1341/1", 61.5)</f>
        <v>61.5</v>
      </c>
      <c r="E10449" s="2">
        <v>42.82</v>
      </c>
      <c r="F10449" s="2">
        <v>2</v>
      </c>
      <c r="G10449" s="2" t="s">
        <v>13</v>
      </c>
    </row>
    <row r="10450" spans="1:7" x14ac:dyDescent="0.2">
      <c r="A10450" s="2" t="s">
        <v>3311</v>
      </c>
      <c r="B10450" s="2" t="s">
        <v>383</v>
      </c>
      <c r="C10450" s="2">
        <v>646.52369999999996</v>
      </c>
      <c r="D10450" s="2">
        <f>HYPERLINK("http://mcb-m6.bioreg.kyushu-u.ac.jp/M3/20110502/F51174/1601/1", 61.94)</f>
        <v>61.94</v>
      </c>
      <c r="E10450" s="2">
        <v>43.03</v>
      </c>
      <c r="F10450" s="2">
        <v>2</v>
      </c>
      <c r="G10450" s="2" t="s">
        <v>13</v>
      </c>
    </row>
    <row r="10451" spans="1:7" x14ac:dyDescent="0.2">
      <c r="A10451" s="2" t="s">
        <v>3311</v>
      </c>
      <c r="B10451" s="2" t="s">
        <v>383</v>
      </c>
      <c r="C10451" s="2">
        <v>646.44569999999999</v>
      </c>
      <c r="D10451" s="2">
        <f>HYPERLINK("http://mcb-m6.bioreg.kyushu-u.ac.jp/M3/20110502/F51170/1613/1", 64.83)</f>
        <v>64.83</v>
      </c>
      <c r="E10451" s="2">
        <v>42.64</v>
      </c>
      <c r="F10451" s="2">
        <v>2</v>
      </c>
      <c r="G10451" s="2" t="s">
        <v>13</v>
      </c>
    </row>
    <row r="10452" spans="1:7" x14ac:dyDescent="0.2">
      <c r="A10452" s="2" t="s">
        <v>3311</v>
      </c>
      <c r="B10452" s="2" t="s">
        <v>383</v>
      </c>
      <c r="C10452" s="2">
        <v>646.43370000000004</v>
      </c>
      <c r="D10452" s="2">
        <f>HYPERLINK("http://mcb-m6.bioreg.kyushu-u.ac.jp/M3/20110502/F51188/1408/1", 66.18)</f>
        <v>66.180000000000007</v>
      </c>
      <c r="E10452" s="2">
        <v>46.11</v>
      </c>
      <c r="F10452" s="2">
        <v>2</v>
      </c>
      <c r="G10452" s="2" t="s">
        <v>13</v>
      </c>
    </row>
    <row r="10453" spans="1:7" x14ac:dyDescent="0.2">
      <c r="A10453" s="2" t="s">
        <v>3311</v>
      </c>
      <c r="B10453" s="2" t="s">
        <v>191</v>
      </c>
      <c r="C10453" s="2">
        <v>695.05619999999999</v>
      </c>
      <c r="D10453" s="2">
        <f>HYPERLINK("http://mcb-m6.bioreg.kyushu-u.ac.jp/M3/20110502/F51174/1771/1", 66.83)</f>
        <v>66.83</v>
      </c>
      <c r="E10453" s="2">
        <v>52.6</v>
      </c>
      <c r="F10453" s="2">
        <v>2</v>
      </c>
      <c r="G10453" s="2" t="s">
        <v>13</v>
      </c>
    </row>
    <row r="10454" spans="1:7" x14ac:dyDescent="0.2">
      <c r="A10454" s="2" t="s">
        <v>3311</v>
      </c>
      <c r="B10454" s="2" t="s">
        <v>191</v>
      </c>
      <c r="C10454" s="2">
        <v>694.94709999999998</v>
      </c>
      <c r="D10454" s="2">
        <f>HYPERLINK("http://mcb-m6.bioreg.kyushu-u.ac.jp/M3/20110502/F51188/1611/1", 69.6)</f>
        <v>69.599999999999994</v>
      </c>
      <c r="E10454" s="2">
        <v>54.49</v>
      </c>
      <c r="F10454" s="2">
        <v>2</v>
      </c>
      <c r="G10454" s="2" t="s">
        <v>13</v>
      </c>
    </row>
    <row r="10455" spans="1:7" x14ac:dyDescent="0.2">
      <c r="A10455" s="2" t="s">
        <v>3311</v>
      </c>
      <c r="B10455" s="2" t="s">
        <v>191</v>
      </c>
      <c r="C10455" s="2">
        <v>695.04719999999998</v>
      </c>
      <c r="D10455" s="2">
        <f>HYPERLINK("http://mcb-m6.bioreg.kyushu-u.ac.jp/M3/20110502/F51175/1709/1", 77.64)</f>
        <v>77.64</v>
      </c>
      <c r="E10455" s="2">
        <v>62.17</v>
      </c>
      <c r="F10455" s="2">
        <v>2</v>
      </c>
      <c r="G10455" s="2" t="s">
        <v>13</v>
      </c>
    </row>
    <row r="10456" spans="1:7" x14ac:dyDescent="0.2">
      <c r="A10456" s="2" t="s">
        <v>3311</v>
      </c>
      <c r="B10456" s="2" t="s">
        <v>960</v>
      </c>
      <c r="C10456" s="2">
        <v>464.17559999999997</v>
      </c>
      <c r="D10456" s="2">
        <f>HYPERLINK("http://mcb-m6.bioreg.kyushu-u.ac.jp/M3/20110502/F51192/527/1", 35.05)</f>
        <v>35.049999999999997</v>
      </c>
      <c r="E10456" s="2">
        <v>15.06</v>
      </c>
      <c r="F10456" s="2">
        <v>2</v>
      </c>
      <c r="G10456" s="2" t="s">
        <v>14</v>
      </c>
    </row>
    <row r="10457" spans="1:7" x14ac:dyDescent="0.2">
      <c r="A10457" s="2" t="s">
        <v>3311</v>
      </c>
      <c r="B10457" s="2" t="s">
        <v>960</v>
      </c>
      <c r="C10457" s="2">
        <v>464.36160000000001</v>
      </c>
      <c r="D10457" s="2">
        <f>HYPERLINK("http://mcb-m6.bioreg.kyushu-u.ac.jp/M3/20110502/F51185/598/1", 37.77)</f>
        <v>37.770000000000003</v>
      </c>
      <c r="E10457" s="2">
        <v>10</v>
      </c>
      <c r="F10457" s="2">
        <v>2</v>
      </c>
      <c r="G10457" s="2" t="s">
        <v>14</v>
      </c>
    </row>
    <row r="10458" spans="1:7" x14ac:dyDescent="0.2">
      <c r="A10458" s="2" t="s">
        <v>3311</v>
      </c>
      <c r="B10458" s="2" t="s">
        <v>960</v>
      </c>
      <c r="C10458" s="2">
        <v>464.16160000000002</v>
      </c>
      <c r="D10458" s="2">
        <f>HYPERLINK("http://mcb-m6.bioreg.kyushu-u.ac.jp/M3/20110502/F51192/526/1", 42.92)</f>
        <v>42.92</v>
      </c>
      <c r="E10458" s="2">
        <v>20.11</v>
      </c>
      <c r="F10458" s="2">
        <v>2</v>
      </c>
      <c r="G10458" s="2" t="s">
        <v>14</v>
      </c>
    </row>
    <row r="10459" spans="1:7" x14ac:dyDescent="0.2">
      <c r="A10459" s="2" t="s">
        <v>3311</v>
      </c>
      <c r="B10459" s="2" t="s">
        <v>191</v>
      </c>
      <c r="C10459" s="2">
        <v>695.19759999999997</v>
      </c>
      <c r="D10459" s="2">
        <f>HYPERLINK("http://mcb-m6.bioreg.kyushu-u.ac.jp/M3/20110502/F51184/1560/1", 43.56)</f>
        <v>43.56</v>
      </c>
      <c r="E10459" s="2">
        <v>32.159999999999997</v>
      </c>
      <c r="F10459" s="2">
        <v>2</v>
      </c>
      <c r="G10459" s="2" t="s">
        <v>14</v>
      </c>
    </row>
    <row r="10460" spans="1:7" x14ac:dyDescent="0.2">
      <c r="A10460" s="2" t="s">
        <v>3311</v>
      </c>
      <c r="B10460" s="2" t="s">
        <v>383</v>
      </c>
      <c r="C10460" s="2">
        <v>646.35170000000005</v>
      </c>
      <c r="D10460" s="2">
        <f>HYPERLINK("http://mcb-m6.bioreg.kyushu-u.ac.jp/M3/20110502/F51194/1294/1", 48.78)</f>
        <v>48.78</v>
      </c>
      <c r="E10460" s="2">
        <v>35.770000000000003</v>
      </c>
      <c r="F10460" s="2">
        <v>2</v>
      </c>
      <c r="G10460" s="2" t="s">
        <v>14</v>
      </c>
    </row>
    <row r="10461" spans="1:7" x14ac:dyDescent="0.2">
      <c r="A10461" s="2" t="s">
        <v>3311</v>
      </c>
      <c r="B10461" s="2" t="s">
        <v>191</v>
      </c>
      <c r="C10461" s="2">
        <v>694.96010000000001</v>
      </c>
      <c r="D10461" s="2">
        <f>HYPERLINK("http://mcb-m6.bioreg.kyushu-u.ac.jp/M3/20110502/F51186/1639/1", 54.4)</f>
        <v>54.4</v>
      </c>
      <c r="E10461" s="2">
        <v>38.07</v>
      </c>
      <c r="F10461" s="2">
        <v>2</v>
      </c>
      <c r="G10461" s="2" t="s">
        <v>14</v>
      </c>
    </row>
    <row r="10462" spans="1:7" x14ac:dyDescent="0.2">
      <c r="A10462" s="2" t="s">
        <v>3311</v>
      </c>
      <c r="B10462" s="2" t="s">
        <v>383</v>
      </c>
      <c r="C10462" s="2">
        <v>646.49369999999999</v>
      </c>
      <c r="D10462" s="2">
        <f>HYPERLINK("http://mcb-m6.bioreg.kyushu-u.ac.jp/M3/20110502/F51193/1340/1", 54.64)</f>
        <v>54.64</v>
      </c>
      <c r="E10462" s="2">
        <v>38.54</v>
      </c>
      <c r="F10462" s="2">
        <v>2</v>
      </c>
      <c r="G10462" s="2" t="s">
        <v>14</v>
      </c>
    </row>
    <row r="10463" spans="1:7" x14ac:dyDescent="0.2">
      <c r="A10463" s="2" t="s">
        <v>3311</v>
      </c>
      <c r="B10463" s="2" t="s">
        <v>383</v>
      </c>
      <c r="C10463" s="2">
        <v>646.49720000000002</v>
      </c>
      <c r="D10463" s="2">
        <f>HYPERLINK("http://mcb-m6.bioreg.kyushu-u.ac.jp/M3/20110502/F51185/1371/1", 59.44)</f>
        <v>59.44</v>
      </c>
      <c r="E10463" s="2">
        <v>36.9</v>
      </c>
      <c r="F10463" s="2">
        <v>2</v>
      </c>
      <c r="G10463" s="2" t="s">
        <v>14</v>
      </c>
    </row>
    <row r="10464" spans="1:7" x14ac:dyDescent="0.2">
      <c r="A10464" s="2" t="s">
        <v>3311</v>
      </c>
      <c r="B10464" s="2" t="s">
        <v>383</v>
      </c>
      <c r="C10464" s="2">
        <v>646.45920000000001</v>
      </c>
      <c r="D10464" s="2">
        <f>HYPERLINK("http://mcb-m6.bioreg.kyushu-u.ac.jp/M3/20110502/F51179/1255/1", 59.8)</f>
        <v>59.8</v>
      </c>
      <c r="E10464" s="2">
        <v>37.67</v>
      </c>
      <c r="F10464" s="2">
        <v>2</v>
      </c>
      <c r="G10464" s="2" t="s">
        <v>14</v>
      </c>
    </row>
    <row r="10465" spans="1:9" x14ac:dyDescent="0.2">
      <c r="A10465" s="2" t="s">
        <v>3311</v>
      </c>
      <c r="B10465" s="2" t="s">
        <v>383</v>
      </c>
      <c r="C10465" s="2">
        <v>646.55970000000002</v>
      </c>
      <c r="D10465" s="2">
        <f>HYPERLINK("http://mcb-m6.bioreg.kyushu-u.ac.jp/M3/20110502/F51192/1277/1", 60.13)</f>
        <v>60.13</v>
      </c>
      <c r="E10465" s="2">
        <v>42.17</v>
      </c>
      <c r="F10465" s="2">
        <v>2</v>
      </c>
      <c r="G10465" s="2" t="s">
        <v>14</v>
      </c>
    </row>
    <row r="10466" spans="1:9" x14ac:dyDescent="0.2">
      <c r="A10466" s="2" t="s">
        <v>3311</v>
      </c>
      <c r="B10466" s="2" t="s">
        <v>960</v>
      </c>
      <c r="C10466" s="2">
        <v>464.32810000000001</v>
      </c>
      <c r="D10466" s="2">
        <f>HYPERLINK("http://mcb-m6.bioreg.kyushu-u.ac.jp/M3/20110502/F51192/531/1", 60.86)</f>
        <v>60.86</v>
      </c>
      <c r="E10466" s="2">
        <v>37.049999999999997</v>
      </c>
      <c r="F10466" s="2">
        <v>2</v>
      </c>
      <c r="G10466" s="2" t="s">
        <v>14</v>
      </c>
    </row>
    <row r="10467" spans="1:9" x14ac:dyDescent="0.2">
      <c r="A10467" s="2" t="s">
        <v>3311</v>
      </c>
      <c r="B10467" s="2" t="s">
        <v>960</v>
      </c>
      <c r="C10467" s="2">
        <v>464.02210000000002</v>
      </c>
      <c r="D10467" s="2">
        <f>HYPERLINK("http://mcb-m6.bioreg.kyushu-u.ac.jp/M3/20110502/F51186/702/1", 60.96)</f>
        <v>60.96</v>
      </c>
      <c r="E10467" s="2">
        <v>32.6</v>
      </c>
      <c r="F10467" s="2">
        <v>2</v>
      </c>
      <c r="G10467" s="2" t="s">
        <v>14</v>
      </c>
    </row>
    <row r="10468" spans="1:9" x14ac:dyDescent="0.2">
      <c r="A10468" s="2" t="s">
        <v>3311</v>
      </c>
      <c r="B10468" s="2" t="s">
        <v>383</v>
      </c>
      <c r="C10468" s="2">
        <v>646.52760000000001</v>
      </c>
      <c r="D10468" s="2">
        <f>HYPERLINK("http://mcb-m6.bioreg.kyushu-u.ac.jp/M3/20110502/F51186/1410/1", 62.74)</f>
        <v>62.74</v>
      </c>
      <c r="E10468" s="2">
        <v>46.08</v>
      </c>
      <c r="F10468" s="2">
        <v>2</v>
      </c>
      <c r="G10468" s="2" t="s">
        <v>14</v>
      </c>
    </row>
    <row r="10469" spans="1:9" x14ac:dyDescent="0.2">
      <c r="A10469" s="2" t="s">
        <v>3311</v>
      </c>
      <c r="B10469" s="2" t="s">
        <v>383</v>
      </c>
      <c r="C10469" s="2">
        <v>646.53970000000004</v>
      </c>
      <c r="D10469" s="2">
        <f>HYPERLINK("http://mcb-m6.bioreg.kyushu-u.ac.jp/M3/20110502/F51184/1253/1", 62.9)</f>
        <v>62.9</v>
      </c>
      <c r="E10469" s="2">
        <v>34.950000000000003</v>
      </c>
      <c r="F10469" s="2">
        <v>2</v>
      </c>
      <c r="G10469" s="2" t="s">
        <v>14</v>
      </c>
    </row>
    <row r="10470" spans="1:9" x14ac:dyDescent="0.2">
      <c r="A10470" s="2" t="s">
        <v>3311</v>
      </c>
      <c r="B10470" s="2" t="s">
        <v>1407</v>
      </c>
      <c r="C10470" s="2">
        <v>758.89260000000002</v>
      </c>
      <c r="D10470" s="2">
        <f>HYPERLINK("http://mcb-m6.bioreg.kyushu-u.ac.jp/M3/20110502/F51192/1901/1", 71)</f>
        <v>71</v>
      </c>
      <c r="E10470" s="2">
        <v>58.84</v>
      </c>
      <c r="F10470" s="2">
        <v>2</v>
      </c>
      <c r="G10470" s="2" t="s">
        <v>14</v>
      </c>
    </row>
    <row r="10471" spans="1:9" x14ac:dyDescent="0.2">
      <c r="A10471" s="2" t="s">
        <v>3311</v>
      </c>
      <c r="B10471" s="2" t="s">
        <v>191</v>
      </c>
      <c r="C10471" s="2">
        <v>695.48109999999997</v>
      </c>
      <c r="D10471" s="2">
        <f>HYPERLINK("http://mcb-m6.bioreg.kyushu-u.ac.jp/M3/20110502/F51185/1634/1", 71.4)</f>
        <v>71.400000000000006</v>
      </c>
      <c r="E10471" s="2">
        <v>58.38</v>
      </c>
      <c r="F10471" s="2">
        <v>2</v>
      </c>
      <c r="G10471" s="2" t="s">
        <v>14</v>
      </c>
    </row>
    <row r="10472" spans="1:9" x14ac:dyDescent="0.2">
      <c r="A10472" s="2" t="s">
        <v>3311</v>
      </c>
      <c r="B10472" s="2" t="s">
        <v>191</v>
      </c>
      <c r="C10472" s="2">
        <v>695.49019999999996</v>
      </c>
      <c r="D10472" s="2">
        <f>HYPERLINK("http://mcb-m6.bioreg.kyushu-u.ac.jp/M3/20110502/F51194/1556/1", 74.99)</f>
        <v>74.989999999999995</v>
      </c>
      <c r="E10472" s="2">
        <v>59.02</v>
      </c>
      <c r="F10472" s="2">
        <v>2</v>
      </c>
      <c r="G10472" s="2" t="s">
        <v>14</v>
      </c>
    </row>
    <row r="10473" spans="1:9" x14ac:dyDescent="0.2">
      <c r="A10473" s="2" t="s">
        <v>3311</v>
      </c>
      <c r="B10473" s="2" t="s">
        <v>191</v>
      </c>
      <c r="C10473" s="2">
        <v>694.96720000000005</v>
      </c>
      <c r="D10473" s="2">
        <f>HYPERLINK("http://mcb-m6.bioreg.kyushu-u.ac.jp/M3/20110502/F51185/1629/1", 80.91)</f>
        <v>80.91</v>
      </c>
      <c r="E10473" s="2">
        <v>69.790000000000006</v>
      </c>
      <c r="F10473" s="2">
        <v>2</v>
      </c>
      <c r="G10473" s="2" t="s">
        <v>14</v>
      </c>
    </row>
    <row r="10474" spans="1:9" x14ac:dyDescent="0.2">
      <c r="A10474" s="2" t="s">
        <v>3311</v>
      </c>
      <c r="B10474" s="2" t="s">
        <v>960</v>
      </c>
      <c r="C10474" s="2">
        <v>463.77809999999999</v>
      </c>
      <c r="D10474" s="2">
        <f>HYPERLINK("http://mcb-m6.bioreg.kyushu-u.ac.jp/M3/20110502/F51192/518/1", 83.81)</f>
        <v>83.81</v>
      </c>
      <c r="E10474" s="2">
        <v>57.91</v>
      </c>
      <c r="F10474" s="2">
        <v>2</v>
      </c>
      <c r="G10474" s="2" t="s">
        <v>14</v>
      </c>
    </row>
    <row r="10475" spans="1:9" x14ac:dyDescent="0.2">
      <c r="A10475" s="2" t="s">
        <v>3311</v>
      </c>
      <c r="B10475" s="2" t="s">
        <v>191</v>
      </c>
      <c r="C10475" s="2">
        <v>695.13869999999997</v>
      </c>
      <c r="D10475" s="2">
        <f>HYPERLINK("http://mcb-m6.bioreg.kyushu-u.ac.jp/M3/20110502/F51179/1515/1", 91.6)</f>
        <v>91.6</v>
      </c>
      <c r="E10475" s="2">
        <v>70.709999999999994</v>
      </c>
      <c r="F10475" s="2">
        <v>2</v>
      </c>
      <c r="G10475" s="2" t="s">
        <v>14</v>
      </c>
    </row>
    <row r="10476" spans="1:9" x14ac:dyDescent="0.2">
      <c r="A10476" s="2" t="s">
        <v>3311</v>
      </c>
      <c r="B10476" s="2" t="s">
        <v>191</v>
      </c>
      <c r="C10476" s="2">
        <v>695.16359999999997</v>
      </c>
      <c r="D10476" s="2">
        <f>HYPERLINK("http://mcb-m6.bioreg.kyushu-u.ac.jp/M3/20110502/F51193/1603/1", 97.03)</f>
        <v>97.03</v>
      </c>
      <c r="E10476" s="2">
        <v>76.45</v>
      </c>
      <c r="F10476" s="2">
        <v>2</v>
      </c>
      <c r="G10476" s="2" t="s">
        <v>14</v>
      </c>
    </row>
    <row r="10477" spans="1:9" x14ac:dyDescent="0.2">
      <c r="A10477" s="2" t="s">
        <v>4824</v>
      </c>
      <c r="B10477" s="2" t="s">
        <v>3082</v>
      </c>
      <c r="C10477" s="2">
        <v>460.51560000000001</v>
      </c>
      <c r="D10477" s="2">
        <f>HYPERLINK("http://mcb-m6.bioreg.kyushu-u.ac.jp/M3/20110502/F51194/453/1", 42.66)</f>
        <v>42.66</v>
      </c>
      <c r="E10477" s="2">
        <v>10.45</v>
      </c>
      <c r="F10477" s="2">
        <v>2</v>
      </c>
      <c r="G10477" s="2" t="s">
        <v>14</v>
      </c>
    </row>
    <row r="10478" spans="1:9" x14ac:dyDescent="0.2">
      <c r="A10478" s="2" t="s">
        <v>4620</v>
      </c>
      <c r="B10478" s="2" t="s">
        <v>2747</v>
      </c>
      <c r="C10478" s="2">
        <v>821.9366</v>
      </c>
      <c r="D10478" s="2">
        <f>HYPERLINK("http://mcb-m6.bioreg.kyushu-u.ac.jp/M3/20110414/F50933/2746/2", 74.75)</f>
        <v>74.75</v>
      </c>
      <c r="E10478" s="2">
        <v>65.72</v>
      </c>
      <c r="F10478" s="2">
        <v>2</v>
      </c>
      <c r="G10478" s="2" t="s">
        <v>12</v>
      </c>
    </row>
    <row r="10479" spans="1:9" x14ac:dyDescent="0.2">
      <c r="A10479" s="2" t="s">
        <v>4855</v>
      </c>
      <c r="B10479" s="2" t="s">
        <v>3136</v>
      </c>
      <c r="C10479" s="2">
        <v>659.02560000000005</v>
      </c>
      <c r="D10479" s="2">
        <f>HYPERLINK("http://mcb-m6.bioreg.kyushu-u.ac.jp/M3/20110502/F51178/1733/1", 50.31)</f>
        <v>50.31</v>
      </c>
      <c r="E10479" s="2">
        <v>4.4800000000000004</v>
      </c>
      <c r="F10479" s="2">
        <v>2</v>
      </c>
      <c r="G10479" s="2" t="s">
        <v>14</v>
      </c>
    </row>
    <row r="10480" spans="1:9" x14ac:dyDescent="0.2">
      <c r="A10480" s="2" t="s">
        <v>3321</v>
      </c>
      <c r="B10480" s="2" t="s">
        <v>107</v>
      </c>
      <c r="C10480" s="2">
        <v>1167.5239999999999</v>
      </c>
      <c r="D10480" s="2">
        <f>HYPERLINK("http://mcb-m6.bioreg.kyushu-u.ac.jp/M3/20110411/F50892/1584/2", 36.17)</f>
        <v>36.17</v>
      </c>
      <c r="E10480" s="2">
        <v>24.28</v>
      </c>
      <c r="F10480" s="2">
        <v>1</v>
      </c>
      <c r="G10480" s="2" t="s">
        <v>9</v>
      </c>
      <c r="I10480" s="2" t="s">
        <v>4892</v>
      </c>
    </row>
    <row r="10481" spans="1:9" x14ac:dyDescent="0.2">
      <c r="A10481" s="2" t="s">
        <v>3321</v>
      </c>
      <c r="B10481" s="2" t="s">
        <v>107</v>
      </c>
      <c r="C10481" s="2">
        <v>584.35720000000003</v>
      </c>
      <c r="D10481" s="2">
        <f>HYPERLINK("http://mcb-m6.bioreg.kyushu-u.ac.jp/M3/20110411/F50892/1586/2", 65.68)</f>
        <v>65.680000000000007</v>
      </c>
      <c r="E10481" s="2">
        <v>38.24</v>
      </c>
      <c r="F10481" s="2">
        <v>2</v>
      </c>
      <c r="G10481" s="2" t="s">
        <v>9</v>
      </c>
      <c r="I10481" s="2" t="s">
        <v>4892</v>
      </c>
    </row>
    <row r="10482" spans="1:9" x14ac:dyDescent="0.2">
      <c r="A10482" s="2" t="s">
        <v>3321</v>
      </c>
      <c r="B10482" s="2" t="s">
        <v>2199</v>
      </c>
      <c r="C10482" s="2">
        <v>745.32370000000003</v>
      </c>
      <c r="D10482" s="2">
        <f>HYPERLINK("http://mcb-m6.bioreg.kyushu-u.ac.jp/M3/20110414/F50945/2067/1", 36.87)</f>
        <v>36.869999999999997</v>
      </c>
      <c r="E10482" s="2">
        <v>17.100000000000001</v>
      </c>
      <c r="F10482" s="2">
        <v>2</v>
      </c>
      <c r="G10482" s="2" t="s">
        <v>11</v>
      </c>
    </row>
    <row r="10483" spans="1:9" x14ac:dyDescent="0.2">
      <c r="A10483" s="2" t="s">
        <v>3321</v>
      </c>
      <c r="B10483" s="2" t="s">
        <v>107</v>
      </c>
      <c r="C10483" s="2">
        <v>584.38120000000004</v>
      </c>
      <c r="D10483" s="2">
        <f>HYPERLINK("http://mcb-m6.bioreg.kyushu-u.ac.jp/M3/20110414/F50945/1367/2", 47.01)</f>
        <v>47.01</v>
      </c>
      <c r="E10483" s="2">
        <v>28.32</v>
      </c>
      <c r="F10483" s="2">
        <v>2</v>
      </c>
      <c r="G10483" s="2" t="s">
        <v>11</v>
      </c>
      <c r="I10483" s="2" t="s">
        <v>4892</v>
      </c>
    </row>
    <row r="10484" spans="1:9" x14ac:dyDescent="0.2">
      <c r="A10484" s="2" t="s">
        <v>3381</v>
      </c>
      <c r="B10484" s="2" t="s">
        <v>173</v>
      </c>
      <c r="C10484" s="2">
        <v>698.16610000000003</v>
      </c>
      <c r="D10484" s="2">
        <f>HYPERLINK("http://mcb-m6.bioreg.kyushu-u.ac.jp/M3/20110411/F50911/1848/1", 37.23)</f>
        <v>37.229999999999997</v>
      </c>
      <c r="E10484" s="2">
        <v>15.98</v>
      </c>
      <c r="F10484" s="2">
        <v>2</v>
      </c>
      <c r="G10484" s="2" t="s">
        <v>9</v>
      </c>
    </row>
    <row r="10485" spans="1:9" x14ac:dyDescent="0.2">
      <c r="A10485" s="2" t="s">
        <v>3381</v>
      </c>
      <c r="B10485" s="2" t="s">
        <v>613</v>
      </c>
      <c r="C10485" s="2">
        <v>691.95169999999996</v>
      </c>
      <c r="D10485" s="2">
        <f>HYPERLINK("http://mcb-m6.bioreg.kyushu-u.ac.jp/M3/20110411/F50911/1812/1", 46.2)</f>
        <v>46.2</v>
      </c>
      <c r="E10485" s="2">
        <v>22.99</v>
      </c>
      <c r="F10485" s="2">
        <v>2</v>
      </c>
      <c r="G10485" s="2" t="s">
        <v>9</v>
      </c>
    </row>
    <row r="10486" spans="1:9" x14ac:dyDescent="0.2">
      <c r="A10486" s="2" t="s">
        <v>3381</v>
      </c>
      <c r="B10486" s="2" t="s">
        <v>1380</v>
      </c>
      <c r="C10486" s="2">
        <v>797.65309999999999</v>
      </c>
      <c r="D10486" s="2">
        <f>HYPERLINK("http://mcb-m6.bioreg.kyushu-u.ac.jp/M3/20110411/F50911/2423/1", 77)</f>
        <v>77</v>
      </c>
      <c r="E10486" s="2">
        <v>51.24</v>
      </c>
      <c r="F10486" s="2">
        <v>2</v>
      </c>
      <c r="G10486" s="2" t="s">
        <v>9</v>
      </c>
    </row>
    <row r="10487" spans="1:9" x14ac:dyDescent="0.2">
      <c r="A10487" s="2" t="s">
        <v>3381</v>
      </c>
      <c r="B10487" s="2" t="s">
        <v>1900</v>
      </c>
      <c r="C10487" s="2">
        <v>804.55619999999999</v>
      </c>
      <c r="D10487" s="2">
        <f>HYPERLINK("http://mcb-m6.bioreg.kyushu-u.ac.jp/M3/20110411/F50914/2412/1", 48.04)</f>
        <v>48.04</v>
      </c>
      <c r="E10487" s="2">
        <v>35.53</v>
      </c>
      <c r="F10487" s="2">
        <v>2</v>
      </c>
      <c r="G10487" s="2" t="s">
        <v>10</v>
      </c>
    </row>
    <row r="10488" spans="1:9" x14ac:dyDescent="0.2">
      <c r="A10488" s="2" t="s">
        <v>3381</v>
      </c>
      <c r="B10488" s="2" t="s">
        <v>1958</v>
      </c>
      <c r="C10488" s="2">
        <v>699.90970000000004</v>
      </c>
      <c r="D10488" s="2">
        <f>HYPERLINK("http://mcb-m6.bioreg.kyushu-u.ac.jp/M3/20110411/F50914/1888/1", 54.23)</f>
        <v>54.23</v>
      </c>
      <c r="E10488" s="2">
        <v>39.11</v>
      </c>
      <c r="F10488" s="2">
        <v>2</v>
      </c>
      <c r="G10488" s="2" t="s">
        <v>10</v>
      </c>
    </row>
    <row r="10489" spans="1:9" x14ac:dyDescent="0.2">
      <c r="A10489" s="2" t="s">
        <v>3381</v>
      </c>
      <c r="B10489" s="2" t="s">
        <v>1900</v>
      </c>
      <c r="C10489" s="2">
        <v>804.85059999999999</v>
      </c>
      <c r="D10489" s="2">
        <f>HYPERLINK("http://mcb-m6.bioreg.kyushu-u.ac.jp/M3/20110502/F51183/2262/1", 40.08)</f>
        <v>40.08</v>
      </c>
      <c r="E10489" s="2">
        <v>23.97</v>
      </c>
      <c r="F10489" s="2">
        <v>2</v>
      </c>
      <c r="G10489" s="2" t="s">
        <v>14</v>
      </c>
    </row>
    <row r="10490" spans="1:9" x14ac:dyDescent="0.2">
      <c r="A10490" s="2" t="s">
        <v>3381</v>
      </c>
      <c r="B10490" s="2" t="s">
        <v>613</v>
      </c>
      <c r="C10490" s="2">
        <v>692.37070000000006</v>
      </c>
      <c r="D10490" s="2">
        <f>HYPERLINK("http://mcb-m6.bioreg.kyushu-u.ac.jp/M3/20110502/F51183/1624/1", 45.49)</f>
        <v>45.49</v>
      </c>
      <c r="E10490" s="2">
        <v>22.8</v>
      </c>
      <c r="F10490" s="2">
        <v>2</v>
      </c>
      <c r="G10490" s="2" t="s">
        <v>14</v>
      </c>
    </row>
    <row r="10491" spans="1:9" x14ac:dyDescent="0.2">
      <c r="A10491" s="2" t="s">
        <v>4044</v>
      </c>
      <c r="B10491" s="2" t="s">
        <v>1387</v>
      </c>
      <c r="C10491" s="2">
        <v>596.69209999999998</v>
      </c>
      <c r="D10491" s="2">
        <f>HYPERLINK("http://mcb-m6.bioreg.kyushu-u.ac.jp/M3/20110411/F50911/1377/1", 77.27)</f>
        <v>77.27</v>
      </c>
      <c r="E10491" s="2">
        <v>54.61</v>
      </c>
      <c r="F10491" s="2">
        <v>2</v>
      </c>
      <c r="G10491" s="2" t="s">
        <v>9</v>
      </c>
    </row>
    <row r="10492" spans="1:9" x14ac:dyDescent="0.2">
      <c r="A10492" s="2" t="s">
        <v>4044</v>
      </c>
      <c r="B10492" s="2" t="s">
        <v>1387</v>
      </c>
      <c r="C10492" s="2">
        <v>596.31619999999998</v>
      </c>
      <c r="D10492" s="2">
        <f>HYPERLINK("http://mcb-m6.bioreg.kyushu-u.ac.jp/M3/20110411/F50914/1445/1", 66.25)</f>
        <v>66.25</v>
      </c>
      <c r="E10492" s="2">
        <v>51.75</v>
      </c>
      <c r="F10492" s="2">
        <v>2</v>
      </c>
      <c r="G10492" s="2" t="s">
        <v>10</v>
      </c>
    </row>
    <row r="10493" spans="1:9" x14ac:dyDescent="0.2">
      <c r="A10493" s="2" t="s">
        <v>4230</v>
      </c>
      <c r="B10493" s="2" t="s">
        <v>1841</v>
      </c>
      <c r="C10493" s="2">
        <v>611.88369999999998</v>
      </c>
      <c r="D10493" s="2">
        <f>HYPERLINK("http://mcb-m6.bioreg.kyushu-u.ac.jp/M3/20110411/F50920/1021/1", 42.95)</f>
        <v>42.95</v>
      </c>
      <c r="E10493" s="2">
        <v>11.19</v>
      </c>
      <c r="F10493" s="2">
        <v>2</v>
      </c>
      <c r="G10493" s="2" t="s">
        <v>10</v>
      </c>
    </row>
    <row r="10494" spans="1:9" x14ac:dyDescent="0.2">
      <c r="A10494" s="2" t="s">
        <v>4867</v>
      </c>
      <c r="B10494" s="2" t="s">
        <v>3164</v>
      </c>
      <c r="C10494" s="2">
        <v>622.01620000000003</v>
      </c>
      <c r="D10494" s="2">
        <f>HYPERLINK("http://mcb-m6.bioreg.kyushu-u.ac.jp/M3/20110502/F51177/1179/1", 57.24)</f>
        <v>57.24</v>
      </c>
      <c r="E10494" s="2">
        <v>35.29</v>
      </c>
      <c r="F10494" s="2">
        <v>2</v>
      </c>
      <c r="G10494" s="2" t="s">
        <v>14</v>
      </c>
    </row>
    <row r="10495" spans="1:9" x14ac:dyDescent="0.2">
      <c r="A10495" s="2" t="s">
        <v>4187</v>
      </c>
      <c r="B10495" s="2" t="s">
        <v>1768</v>
      </c>
      <c r="C10495" s="2">
        <v>916.423</v>
      </c>
      <c r="D10495" s="2">
        <f>HYPERLINK("http://mcb-m6.bioreg.kyushu-u.ac.jp/M3/20110411/F50899/1405/1", 38.35)</f>
        <v>38.35</v>
      </c>
      <c r="E10495" s="2">
        <v>24.91</v>
      </c>
      <c r="F10495" s="2">
        <v>1</v>
      </c>
      <c r="G10495" s="2" t="s">
        <v>10</v>
      </c>
      <c r="I10495" s="2" t="s">
        <v>4903</v>
      </c>
    </row>
    <row r="10496" spans="1:9" x14ac:dyDescent="0.2">
      <c r="A10496" s="2" t="s">
        <v>3301</v>
      </c>
      <c r="B10496" s="2" t="s">
        <v>82</v>
      </c>
      <c r="C10496" s="2">
        <v>772.41920000000005</v>
      </c>
      <c r="D10496" s="2">
        <f>HYPERLINK("http://mcb-m6.bioreg.kyushu-u.ac.jp/M3/20110411/F50892/2363/1", 35.79)</f>
        <v>35.79</v>
      </c>
      <c r="E10496" s="2">
        <v>18.59</v>
      </c>
      <c r="F10496" s="2">
        <v>2</v>
      </c>
      <c r="G10496" s="2" t="s">
        <v>9</v>
      </c>
    </row>
    <row r="10497" spans="1:9" x14ac:dyDescent="0.2">
      <c r="A10497" s="2" t="s">
        <v>3301</v>
      </c>
      <c r="B10497" s="2" t="s">
        <v>640</v>
      </c>
      <c r="C10497" s="2">
        <v>671.91610000000003</v>
      </c>
      <c r="D10497" s="2">
        <f>HYPERLINK("http://mcb-m6.bioreg.kyushu-u.ac.jp/M3/20110411/F50892/1879/1", 46.94)</f>
        <v>46.94</v>
      </c>
      <c r="E10497" s="2">
        <v>18.13</v>
      </c>
      <c r="F10497" s="2">
        <v>2</v>
      </c>
      <c r="G10497" s="2" t="s">
        <v>9</v>
      </c>
    </row>
    <row r="10498" spans="1:9" x14ac:dyDescent="0.2">
      <c r="A10498" s="2" t="s">
        <v>3301</v>
      </c>
      <c r="B10498" s="2" t="s">
        <v>768</v>
      </c>
      <c r="C10498" s="2">
        <v>762.88509999999997</v>
      </c>
      <c r="D10498" s="2">
        <f>HYPERLINK("http://mcb-m6.bioreg.kyushu-u.ac.jp/M3/20110411/F50892/2322/1", 50.65)</f>
        <v>50.65</v>
      </c>
      <c r="E10498" s="2">
        <v>31.97</v>
      </c>
      <c r="F10498" s="2">
        <v>2</v>
      </c>
      <c r="G10498" s="2" t="s">
        <v>9</v>
      </c>
    </row>
    <row r="10499" spans="1:9" x14ac:dyDescent="0.2">
      <c r="A10499" s="2" t="s">
        <v>3301</v>
      </c>
      <c r="B10499" s="2" t="s">
        <v>1103</v>
      </c>
      <c r="C10499" s="2">
        <v>631.86770000000001</v>
      </c>
      <c r="D10499" s="2">
        <f>HYPERLINK("http://mcb-m6.bioreg.kyushu-u.ac.jp/M3/20110411/F50892/1752/1", 63.23)</f>
        <v>63.23</v>
      </c>
      <c r="E10499" s="2">
        <v>39.46</v>
      </c>
      <c r="F10499" s="2">
        <v>2</v>
      </c>
      <c r="G10499" s="2" t="s">
        <v>9</v>
      </c>
    </row>
    <row r="10500" spans="1:9" x14ac:dyDescent="0.2">
      <c r="A10500" s="2" t="s">
        <v>3301</v>
      </c>
      <c r="B10500" s="2" t="s">
        <v>1439</v>
      </c>
      <c r="C10500" s="2">
        <v>862.87159999999994</v>
      </c>
      <c r="D10500" s="2">
        <f>HYPERLINK("http://mcb-m6.bioreg.kyushu-u.ac.jp/M3/20110411/F50892/2700/1", 80.54)</f>
        <v>80.540000000000006</v>
      </c>
      <c r="E10500" s="2">
        <v>57.86</v>
      </c>
      <c r="F10500" s="2">
        <v>2</v>
      </c>
      <c r="G10500" s="2" t="s">
        <v>9</v>
      </c>
    </row>
    <row r="10501" spans="1:9" x14ac:dyDescent="0.2">
      <c r="A10501" s="2" t="s">
        <v>3301</v>
      </c>
      <c r="B10501" s="2" t="s">
        <v>1722</v>
      </c>
      <c r="C10501" s="2">
        <v>455.09160000000003</v>
      </c>
      <c r="D10501" s="2">
        <f>HYPERLINK("http://mcb-m6.bioreg.kyushu-u.ac.jp/M3/20110411/F50899/1389/1", 36.34)</f>
        <v>36.340000000000003</v>
      </c>
      <c r="E10501" s="2">
        <v>11.57</v>
      </c>
      <c r="F10501" s="2">
        <v>2</v>
      </c>
      <c r="G10501" s="2" t="s">
        <v>10</v>
      </c>
    </row>
    <row r="10502" spans="1:9" x14ac:dyDescent="0.2">
      <c r="A10502" s="2" t="s">
        <v>3301</v>
      </c>
      <c r="B10502" s="2" t="s">
        <v>1103</v>
      </c>
      <c r="C10502" s="2">
        <v>631.73519999999996</v>
      </c>
      <c r="D10502" s="2">
        <f>HYPERLINK("http://mcb-m6.bioreg.kyushu-u.ac.jp/M3/20110411/F50899/1901/1", 51.72)</f>
        <v>51.72</v>
      </c>
      <c r="E10502" s="2">
        <v>28.72</v>
      </c>
      <c r="F10502" s="2">
        <v>2</v>
      </c>
      <c r="G10502" s="2" t="s">
        <v>10</v>
      </c>
    </row>
    <row r="10503" spans="1:9" x14ac:dyDescent="0.2">
      <c r="A10503" s="2" t="s">
        <v>3301</v>
      </c>
      <c r="B10503" s="2" t="s">
        <v>640</v>
      </c>
      <c r="C10503" s="2">
        <v>671.68219999999997</v>
      </c>
      <c r="D10503" s="2">
        <f>HYPERLINK("http://mcb-m6.bioreg.kyushu-u.ac.jp/M3/20110414/F50929/1998/1", 38.89)</f>
        <v>38.89</v>
      </c>
      <c r="E10503" s="2">
        <v>19.43</v>
      </c>
      <c r="F10503" s="2">
        <v>2</v>
      </c>
      <c r="G10503" s="2" t="s">
        <v>11</v>
      </c>
    </row>
    <row r="10504" spans="1:9" x14ac:dyDescent="0.2">
      <c r="A10504" s="2" t="s">
        <v>3301</v>
      </c>
      <c r="B10504" s="2" t="s">
        <v>1103</v>
      </c>
      <c r="C10504" s="2">
        <v>632.23860000000002</v>
      </c>
      <c r="D10504" s="2">
        <f>HYPERLINK("http://mcb-m6.bioreg.kyushu-u.ac.jp/M3/20110414/F50929/1892/1", 50.73)</f>
        <v>50.73</v>
      </c>
      <c r="E10504" s="2">
        <v>23.45</v>
      </c>
      <c r="F10504" s="2">
        <v>2</v>
      </c>
      <c r="G10504" s="2" t="s">
        <v>11</v>
      </c>
    </row>
    <row r="10505" spans="1:9" x14ac:dyDescent="0.2">
      <c r="A10505" s="2" t="s">
        <v>3301</v>
      </c>
      <c r="B10505" s="2" t="s">
        <v>2778</v>
      </c>
      <c r="C10505" s="2">
        <v>911.35059999999999</v>
      </c>
      <c r="D10505" s="2">
        <f>HYPERLINK("http://mcb-m6.bioreg.kyushu-u.ac.jp/M3/20110414/F50946/2868/1", 90.9)</f>
        <v>90.9</v>
      </c>
      <c r="E10505" s="2">
        <v>72.760000000000005</v>
      </c>
      <c r="F10505" s="2">
        <v>2</v>
      </c>
      <c r="G10505" s="2" t="s">
        <v>12</v>
      </c>
      <c r="I10505" s="2" t="s">
        <v>4893</v>
      </c>
    </row>
    <row r="10506" spans="1:9" x14ac:dyDescent="0.2">
      <c r="A10506" s="2" t="s">
        <v>3301</v>
      </c>
      <c r="B10506" s="2" t="s">
        <v>2863</v>
      </c>
      <c r="C10506" s="2">
        <v>874.00459999999998</v>
      </c>
      <c r="D10506" s="2">
        <f>HYPERLINK("http://mcb-m6.bioreg.kyushu-u.ac.jp/M3/20110502/F51180/2517/1", 40.04)</f>
        <v>40.04</v>
      </c>
      <c r="E10506" s="2">
        <v>19.239999999999998</v>
      </c>
      <c r="F10506" s="2">
        <v>2</v>
      </c>
      <c r="G10506" s="2" t="s">
        <v>13</v>
      </c>
    </row>
    <row r="10507" spans="1:9" x14ac:dyDescent="0.2">
      <c r="A10507" s="2" t="s">
        <v>3301</v>
      </c>
      <c r="B10507" s="2" t="s">
        <v>768</v>
      </c>
      <c r="C10507" s="2">
        <v>762.66520000000003</v>
      </c>
      <c r="D10507" s="2">
        <f>HYPERLINK("http://mcb-m6.bioreg.kyushu-u.ac.jp/M3/20110502/F51182/2044/1", 37.61)</f>
        <v>37.61</v>
      </c>
      <c r="E10507" s="2">
        <v>21.14</v>
      </c>
      <c r="F10507" s="2">
        <v>2</v>
      </c>
      <c r="G10507" s="2" t="s">
        <v>14</v>
      </c>
    </row>
    <row r="10508" spans="1:9" x14ac:dyDescent="0.2">
      <c r="A10508" s="2" t="s">
        <v>3301</v>
      </c>
      <c r="B10508" s="2" t="s">
        <v>3170</v>
      </c>
      <c r="C10508" s="2">
        <v>694.67520000000002</v>
      </c>
      <c r="D10508" s="2">
        <f>HYPERLINK("http://mcb-m6.bioreg.kyushu-u.ac.jp/M3/20110502/F51182/1570/1", 58.87)</f>
        <v>58.87</v>
      </c>
      <c r="E10508" s="2">
        <v>19.63</v>
      </c>
      <c r="F10508" s="2">
        <v>2</v>
      </c>
      <c r="G10508" s="2" t="s">
        <v>14</v>
      </c>
    </row>
    <row r="10509" spans="1:9" x14ac:dyDescent="0.2">
      <c r="A10509" s="2" t="s">
        <v>3301</v>
      </c>
      <c r="B10509" s="2" t="s">
        <v>1439</v>
      </c>
      <c r="C10509" s="2">
        <v>863.22270000000003</v>
      </c>
      <c r="D10509" s="2">
        <f>HYPERLINK("http://mcb-m6.bioreg.kyushu-u.ac.jp/M3/20110502/F51182/2593/1", 92.23)</f>
        <v>92.23</v>
      </c>
      <c r="E10509" s="2">
        <v>67.16</v>
      </c>
      <c r="F10509" s="2">
        <v>2</v>
      </c>
      <c r="G10509" s="2" t="s">
        <v>14</v>
      </c>
    </row>
    <row r="10510" spans="1:9" x14ac:dyDescent="0.2">
      <c r="A10510" s="2" t="s">
        <v>4813</v>
      </c>
      <c r="B10510" s="2" t="s">
        <v>3064</v>
      </c>
      <c r="C10510" s="2">
        <v>552.48860000000002</v>
      </c>
      <c r="D10510" s="2">
        <f>HYPERLINK("http://mcb-m6.bioreg.kyushu-u.ac.jp/M3/20110502/F51179/836/1", 41.25)</f>
        <v>41.25</v>
      </c>
      <c r="E10510" s="2">
        <v>19.66</v>
      </c>
      <c r="F10510" s="2">
        <v>2</v>
      </c>
      <c r="G10510" s="2" t="s">
        <v>14</v>
      </c>
    </row>
    <row r="10511" spans="1:9" x14ac:dyDescent="0.2">
      <c r="A10511" s="2" t="s">
        <v>3985</v>
      </c>
      <c r="B10511" s="2" t="s">
        <v>1250</v>
      </c>
      <c r="C10511" s="2">
        <v>780.04219999999998</v>
      </c>
      <c r="D10511" s="2">
        <f>HYPERLINK("http://mcb-m6.bioreg.kyushu-u.ac.jp/M3/20110411/F50905/2266/1", 69.13)</f>
        <v>69.13</v>
      </c>
      <c r="E10511" s="2">
        <v>53.42</v>
      </c>
      <c r="F10511" s="2">
        <v>2</v>
      </c>
      <c r="G10511" s="2" t="s">
        <v>9</v>
      </c>
      <c r="I10511" s="2" t="s">
        <v>4923</v>
      </c>
    </row>
    <row r="10512" spans="1:9" x14ac:dyDescent="0.2">
      <c r="A10512" s="2" t="s">
        <v>3985</v>
      </c>
      <c r="B10512" s="2" t="s">
        <v>1250</v>
      </c>
      <c r="C10512" s="2">
        <v>780.24220000000003</v>
      </c>
      <c r="D10512" s="2">
        <f>HYPERLINK("http://mcb-m6.bioreg.kyushu-u.ac.jp/M3/20110414/F50941/2318/1", 55.43)</f>
        <v>55.43</v>
      </c>
      <c r="E10512" s="2">
        <v>46.67</v>
      </c>
      <c r="F10512" s="2">
        <v>2</v>
      </c>
      <c r="G10512" s="2" t="s">
        <v>11</v>
      </c>
      <c r="I10512" s="2" t="s">
        <v>4923</v>
      </c>
    </row>
    <row r="10513" spans="1:9" x14ac:dyDescent="0.2">
      <c r="A10513" s="2" t="s">
        <v>3985</v>
      </c>
      <c r="B10513" s="2" t="s">
        <v>1250</v>
      </c>
      <c r="C10513" s="2">
        <v>779.71370000000002</v>
      </c>
      <c r="D10513" s="2">
        <f>HYPERLINK("http://mcb-m6.bioreg.kyushu-u.ac.jp/M3/20110414/F50941/2316/1", 85.56)</f>
        <v>85.56</v>
      </c>
      <c r="E10513" s="2">
        <v>71.900000000000006</v>
      </c>
      <c r="F10513" s="2">
        <v>2</v>
      </c>
      <c r="G10513" s="2" t="s">
        <v>11</v>
      </c>
      <c r="I10513" s="2" t="s">
        <v>4923</v>
      </c>
    </row>
    <row r="10514" spans="1:9" x14ac:dyDescent="0.2">
      <c r="A10514" s="2" t="s">
        <v>3985</v>
      </c>
      <c r="B10514" s="2" t="s">
        <v>1250</v>
      </c>
      <c r="C10514" s="2">
        <v>780.35019999999997</v>
      </c>
      <c r="D10514" s="2">
        <f>HYPERLINK("http://mcb-m6.bioreg.kyushu-u.ac.jp/M3/20110502/F51179/2006/1", 61.71)</f>
        <v>61.71</v>
      </c>
      <c r="E10514" s="2">
        <v>49.79</v>
      </c>
      <c r="F10514" s="2">
        <v>2</v>
      </c>
      <c r="G10514" s="2" t="s">
        <v>14</v>
      </c>
      <c r="I10514" s="2" t="s">
        <v>4923</v>
      </c>
    </row>
    <row r="10515" spans="1:9" x14ac:dyDescent="0.2">
      <c r="A10515" s="2" t="s">
        <v>4011</v>
      </c>
      <c r="B10515" s="2" t="s">
        <v>1306</v>
      </c>
      <c r="C10515" s="2">
        <v>700.54359999999997</v>
      </c>
      <c r="D10515" s="2">
        <f>HYPERLINK("http://mcb-m6.bioreg.kyushu-u.ac.jp/M3/20110411/F50915/1653/1", 71.97)</f>
        <v>71.97</v>
      </c>
      <c r="E10515" s="2">
        <v>47.56</v>
      </c>
      <c r="F10515" s="2">
        <v>2</v>
      </c>
      <c r="G10515" s="2" t="s">
        <v>9</v>
      </c>
    </row>
    <row r="10516" spans="1:9" x14ac:dyDescent="0.2">
      <c r="A10516" s="2" t="s">
        <v>4011</v>
      </c>
      <c r="B10516" s="2" t="s">
        <v>1535</v>
      </c>
      <c r="C10516" s="2">
        <v>879.72860000000003</v>
      </c>
      <c r="D10516" s="2">
        <f>HYPERLINK("http://mcb-m6.bioreg.kyushu-u.ac.jp/M3/20110411/F50911/2837/1", 89.5)</f>
        <v>89.5</v>
      </c>
      <c r="E10516" s="2">
        <v>66.88</v>
      </c>
      <c r="F10516" s="2">
        <v>2</v>
      </c>
      <c r="G10516" s="2" t="s">
        <v>9</v>
      </c>
    </row>
    <row r="10517" spans="1:9" x14ac:dyDescent="0.2">
      <c r="A10517" s="2" t="s">
        <v>4011</v>
      </c>
      <c r="B10517" s="2" t="s">
        <v>1306</v>
      </c>
      <c r="C10517" s="2">
        <v>700.88959999999997</v>
      </c>
      <c r="D10517" s="2">
        <f>HYPERLINK("http://mcb-m6.bioreg.kyushu-u.ac.jp/M3/20110414/F50942/1664/1", 52.51)</f>
        <v>52.51</v>
      </c>
      <c r="E10517" s="2">
        <v>24.05</v>
      </c>
      <c r="F10517" s="2">
        <v>2</v>
      </c>
      <c r="G10517" s="2" t="s">
        <v>11</v>
      </c>
    </row>
    <row r="10518" spans="1:9" x14ac:dyDescent="0.2">
      <c r="A10518" s="2" t="s">
        <v>4011</v>
      </c>
      <c r="B10518" s="2" t="s">
        <v>1306</v>
      </c>
      <c r="C10518" s="2">
        <v>700.8732</v>
      </c>
      <c r="D10518" s="2">
        <f>HYPERLINK("http://mcb-m6.bioreg.kyushu-u.ac.jp/M3/20110502/F51172/1847/1", 69.55)</f>
        <v>69.55</v>
      </c>
      <c r="E10518" s="2">
        <v>38.630000000000003</v>
      </c>
      <c r="F10518" s="2">
        <v>2</v>
      </c>
      <c r="G10518" s="2" t="s">
        <v>13</v>
      </c>
    </row>
    <row r="10519" spans="1:9" x14ac:dyDescent="0.2">
      <c r="A10519" s="2" t="s">
        <v>4011</v>
      </c>
      <c r="B10519" s="2" t="s">
        <v>1535</v>
      </c>
      <c r="C10519" s="2">
        <v>879.58720000000005</v>
      </c>
      <c r="D10519" s="2">
        <f>HYPERLINK("http://mcb-m6.bioreg.kyushu-u.ac.jp/M3/20110502/F51171/2583/1", 84.24)</f>
        <v>84.24</v>
      </c>
      <c r="E10519" s="2">
        <v>65.25</v>
      </c>
      <c r="F10519" s="2">
        <v>2</v>
      </c>
      <c r="G10519" s="2" t="s">
        <v>13</v>
      </c>
    </row>
    <row r="10520" spans="1:9" x14ac:dyDescent="0.2">
      <c r="A10520" s="2" t="s">
        <v>3441</v>
      </c>
      <c r="B10520" s="2" t="s">
        <v>249</v>
      </c>
      <c r="C10520" s="2">
        <v>877.51919999999996</v>
      </c>
      <c r="D10520" s="2">
        <f>HYPERLINK("http://mcb-m6.bioreg.kyushu-u.ac.jp/M3/20110411/F50911/2827/1", 38.46)</f>
        <v>38.46</v>
      </c>
      <c r="E10520" s="2">
        <v>25.92</v>
      </c>
      <c r="F10520" s="2">
        <v>2</v>
      </c>
      <c r="G10520" s="2" t="s">
        <v>9</v>
      </c>
    </row>
    <row r="10521" spans="1:9" x14ac:dyDescent="0.2">
      <c r="A10521" s="2" t="s">
        <v>3441</v>
      </c>
      <c r="B10521" s="2" t="s">
        <v>1789</v>
      </c>
      <c r="C10521" s="2">
        <v>515.45719999999994</v>
      </c>
      <c r="D10521" s="2">
        <f>HYPERLINK("http://mcb-m6.bioreg.kyushu-u.ac.jp/M3/20110411/F50914/1115/1", 39.26)</f>
        <v>39.26</v>
      </c>
      <c r="E10521" s="2">
        <v>14.88</v>
      </c>
      <c r="F10521" s="2">
        <v>2</v>
      </c>
      <c r="G10521" s="2" t="s">
        <v>10</v>
      </c>
    </row>
    <row r="10522" spans="1:9" x14ac:dyDescent="0.2">
      <c r="A10522" s="2" t="s">
        <v>3441</v>
      </c>
      <c r="B10522" s="2" t="s">
        <v>2040</v>
      </c>
      <c r="C10522" s="2">
        <v>515.3691</v>
      </c>
      <c r="D10522" s="2">
        <f>HYPERLINK("http://mcb-m6.bioreg.kyushu-u.ac.jp/M3/20110411/F50914/1114/1", 66.53)</f>
        <v>66.53</v>
      </c>
      <c r="E10522" s="2">
        <v>35.76</v>
      </c>
      <c r="F10522" s="2">
        <v>2</v>
      </c>
      <c r="G10522" s="2" t="s">
        <v>10</v>
      </c>
    </row>
    <row r="10523" spans="1:9" x14ac:dyDescent="0.2">
      <c r="A10523" s="2" t="s">
        <v>3441</v>
      </c>
      <c r="B10523" s="2" t="s">
        <v>2059</v>
      </c>
      <c r="C10523" s="2">
        <v>746.4692</v>
      </c>
      <c r="D10523" s="2">
        <f>HYPERLINK("http://mcb-m6.bioreg.kyushu-u.ac.jp/M3/20110411/F50914/2116/1", 70.29)</f>
        <v>70.290000000000006</v>
      </c>
      <c r="E10523" s="2">
        <v>52.02</v>
      </c>
      <c r="F10523" s="2">
        <v>2</v>
      </c>
      <c r="G10523" s="2" t="s">
        <v>10</v>
      </c>
    </row>
    <row r="10524" spans="1:9" x14ac:dyDescent="0.2">
      <c r="A10524" s="2" t="s">
        <v>3441</v>
      </c>
      <c r="B10524" s="2" t="s">
        <v>2061</v>
      </c>
      <c r="C10524" s="2">
        <v>947.82069999999999</v>
      </c>
      <c r="D10524" s="2">
        <f>HYPERLINK("http://mcb-m6.bioreg.kyushu-u.ac.jp/M3/20110411/F50914/3036/1", 70.5)</f>
        <v>70.5</v>
      </c>
      <c r="E10524" s="2">
        <v>51.36</v>
      </c>
      <c r="F10524" s="2">
        <v>2</v>
      </c>
      <c r="G10524" s="2" t="s">
        <v>10</v>
      </c>
    </row>
    <row r="10525" spans="1:9" x14ac:dyDescent="0.2">
      <c r="A10525" s="2" t="s">
        <v>3441</v>
      </c>
      <c r="B10525" s="2" t="s">
        <v>2061</v>
      </c>
      <c r="C10525" s="2">
        <v>947.60019999999997</v>
      </c>
      <c r="D10525" s="2">
        <f>HYPERLINK("http://mcb-m6.bioreg.kyushu-u.ac.jp/M3/20110502/F51177/2920/1", 59.05)</f>
        <v>59.05</v>
      </c>
      <c r="E10525" s="2">
        <v>39.21</v>
      </c>
      <c r="F10525" s="2">
        <v>2</v>
      </c>
      <c r="G10525" s="2" t="s">
        <v>14</v>
      </c>
    </row>
    <row r="10526" spans="1:9" x14ac:dyDescent="0.2">
      <c r="A10526" s="2" t="s">
        <v>3441</v>
      </c>
      <c r="B10526" s="2" t="s">
        <v>3194</v>
      </c>
      <c r="C10526" s="2">
        <v>803.87220000000002</v>
      </c>
      <c r="D10526" s="2">
        <f>HYPERLINK("http://mcb-m6.bioreg.kyushu-u.ac.jp/M3/20110502/F51183/2258/1", 67.88)</f>
        <v>67.88</v>
      </c>
      <c r="E10526" s="2">
        <v>45.65</v>
      </c>
      <c r="F10526" s="2">
        <v>2</v>
      </c>
      <c r="G10526" s="2" t="s">
        <v>14</v>
      </c>
    </row>
    <row r="10527" spans="1:9" x14ac:dyDescent="0.2">
      <c r="A10527" s="2" t="s">
        <v>4572</v>
      </c>
      <c r="B10527" s="2" t="s">
        <v>2617</v>
      </c>
      <c r="C10527" s="2">
        <v>472.20209999999997</v>
      </c>
      <c r="D10527" s="2">
        <f>HYPERLINK("http://mcb-m6.bioreg.kyushu-u.ac.jp/M3/20110414/F50948/709/1", 43.07)</f>
        <v>43.07</v>
      </c>
      <c r="E10527" s="2">
        <v>22.24</v>
      </c>
      <c r="F10527" s="2">
        <v>2</v>
      </c>
      <c r="G10527" s="2" t="s">
        <v>12</v>
      </c>
    </row>
    <row r="10528" spans="1:9" x14ac:dyDescent="0.2">
      <c r="A10528" s="2" t="s">
        <v>4564</v>
      </c>
      <c r="B10528" s="2" t="s">
        <v>2602</v>
      </c>
      <c r="C10528" s="2">
        <v>542.87959999999998</v>
      </c>
      <c r="D10528" s="2">
        <f>HYPERLINK("http://mcb-m6.bioreg.kyushu-u.ac.jp/M3/20110414/F50930/1847/1", 41.62)</f>
        <v>41.62</v>
      </c>
      <c r="E10528" s="2">
        <v>21.64</v>
      </c>
      <c r="F10528" s="2">
        <v>2</v>
      </c>
      <c r="G10528" s="2" t="s">
        <v>12</v>
      </c>
      <c r="H10528" s="2" t="s">
        <v>4904</v>
      </c>
      <c r="I10528" s="2" t="s">
        <v>4892</v>
      </c>
    </row>
    <row r="10529" spans="1:9" x14ac:dyDescent="0.2">
      <c r="A10529" s="2" t="s">
        <v>4111</v>
      </c>
      <c r="B10529" s="2" t="s">
        <v>1596</v>
      </c>
      <c r="C10529" s="2">
        <v>1080.479</v>
      </c>
      <c r="D10529" s="2">
        <f>HYPERLINK("http://mcb-m6.bioreg.kyushu-u.ac.jp/M3/20110411/F50890/3517/1", 97.36)</f>
        <v>97.36</v>
      </c>
      <c r="E10529" s="2">
        <v>89.82</v>
      </c>
      <c r="F10529" s="2">
        <v>2</v>
      </c>
      <c r="G10529" s="2" t="s">
        <v>9</v>
      </c>
    </row>
    <row r="10530" spans="1:9" x14ac:dyDescent="0.2">
      <c r="A10530" s="2" t="s">
        <v>3263</v>
      </c>
      <c r="B10530" s="2" t="s">
        <v>43</v>
      </c>
      <c r="C10530" s="2">
        <v>1097.5060000000001</v>
      </c>
      <c r="D10530" s="2">
        <f>HYPERLINK("http://mcb-m6.bioreg.kyushu-u.ac.jp/M3/20110411/F50890/3566/1", 35.33)</f>
        <v>35.33</v>
      </c>
      <c r="E10530" s="2">
        <v>28.88</v>
      </c>
      <c r="F10530" s="2">
        <v>2</v>
      </c>
      <c r="G10530" s="2" t="s">
        <v>9</v>
      </c>
    </row>
    <row r="10531" spans="1:9" x14ac:dyDescent="0.2">
      <c r="A10531" s="2" t="s">
        <v>3263</v>
      </c>
      <c r="B10531" s="2" t="s">
        <v>526</v>
      </c>
      <c r="C10531" s="2">
        <v>619.17660000000001</v>
      </c>
      <c r="D10531" s="2">
        <f>HYPERLINK("http://mcb-m6.bioreg.kyushu-u.ac.jp/M3/20110411/F50890/1608/1", 43.85)</f>
        <v>43.85</v>
      </c>
      <c r="E10531" s="2">
        <v>23.75</v>
      </c>
      <c r="F10531" s="2">
        <v>2</v>
      </c>
      <c r="G10531" s="2" t="s">
        <v>9</v>
      </c>
    </row>
    <row r="10532" spans="1:9" x14ac:dyDescent="0.2">
      <c r="A10532" s="2" t="s">
        <v>3263</v>
      </c>
      <c r="B10532" s="2" t="s">
        <v>1045</v>
      </c>
      <c r="C10532" s="2">
        <v>1080.499</v>
      </c>
      <c r="D10532" s="2">
        <f>HYPERLINK("http://mcb-m6.bioreg.kyushu-u.ac.jp/M3/20110411/F50890/1297/1", 60.22)</f>
        <v>60.22</v>
      </c>
      <c r="E10532" s="2">
        <v>40.72</v>
      </c>
      <c r="F10532" s="2">
        <v>1</v>
      </c>
      <c r="G10532" s="2" t="s">
        <v>9</v>
      </c>
    </row>
    <row r="10533" spans="1:9" x14ac:dyDescent="0.2">
      <c r="A10533" s="2" t="s">
        <v>3263</v>
      </c>
      <c r="B10533" s="2" t="s">
        <v>1045</v>
      </c>
      <c r="C10533" s="2">
        <v>540.73770000000002</v>
      </c>
      <c r="D10533" s="2">
        <f>HYPERLINK("http://mcb-m6.bioreg.kyushu-u.ac.jp/M3/20110411/F50890/1296/1", 75.25)</f>
        <v>75.25</v>
      </c>
      <c r="E10533" s="2">
        <v>38.43</v>
      </c>
      <c r="F10533" s="2">
        <v>2</v>
      </c>
      <c r="G10533" s="2" t="s">
        <v>9</v>
      </c>
    </row>
    <row r="10534" spans="1:9" x14ac:dyDescent="0.2">
      <c r="A10534" s="2" t="s">
        <v>3263</v>
      </c>
      <c r="B10534" s="2" t="s">
        <v>1493</v>
      </c>
      <c r="C10534" s="2">
        <v>822.57209999999998</v>
      </c>
      <c r="D10534" s="2">
        <f>HYPERLINK("http://mcb-m6.bioreg.kyushu-u.ac.jp/M3/20110411/F50890/2625/1", 86.3)</f>
        <v>86.3</v>
      </c>
      <c r="E10534" s="2">
        <v>70.260000000000005</v>
      </c>
      <c r="F10534" s="2">
        <v>2</v>
      </c>
      <c r="G10534" s="2" t="s">
        <v>9</v>
      </c>
    </row>
    <row r="10535" spans="1:9" x14ac:dyDescent="0.2">
      <c r="A10535" s="2" t="s">
        <v>3263</v>
      </c>
      <c r="B10535" s="2" t="s">
        <v>1680</v>
      </c>
      <c r="C10535" s="2">
        <v>1066.347</v>
      </c>
      <c r="D10535" s="2">
        <f>HYPERLINK("http://mcb-m6.bioreg.kyushu-u.ac.jp/M3/20110411/F50890/3483/1", 141.54)</f>
        <v>141.54</v>
      </c>
      <c r="E10535" s="2">
        <v>123.24</v>
      </c>
      <c r="F10535" s="2">
        <v>2</v>
      </c>
      <c r="G10535" s="2" t="s">
        <v>9</v>
      </c>
    </row>
    <row r="10536" spans="1:9" x14ac:dyDescent="0.2">
      <c r="A10536" s="2" t="s">
        <v>3263</v>
      </c>
      <c r="B10536" s="2" t="s">
        <v>1045</v>
      </c>
      <c r="C10536" s="2">
        <v>1080.711</v>
      </c>
      <c r="D10536" s="2">
        <f>HYPERLINK("http://mcb-m6.bioreg.kyushu-u.ac.jp/M3/20110411/F50897/1156/1", 47.99)</f>
        <v>47.99</v>
      </c>
      <c r="E10536" s="2">
        <v>27.83</v>
      </c>
      <c r="F10536" s="2">
        <v>1</v>
      </c>
      <c r="G10536" s="2" t="s">
        <v>10</v>
      </c>
    </row>
    <row r="10537" spans="1:9" x14ac:dyDescent="0.2">
      <c r="A10537" s="2" t="s">
        <v>3263</v>
      </c>
      <c r="B10537" s="2" t="s">
        <v>1045</v>
      </c>
      <c r="C10537" s="2">
        <v>541.17269999999996</v>
      </c>
      <c r="D10537" s="2">
        <f>HYPERLINK("http://mcb-m6.bioreg.kyushu-u.ac.jp/M3/20110411/F50897/1157/1", 58.41)</f>
        <v>58.41</v>
      </c>
      <c r="E10537" s="2">
        <v>8.4700000000000006</v>
      </c>
      <c r="F10537" s="2">
        <v>2</v>
      </c>
      <c r="G10537" s="2" t="s">
        <v>10</v>
      </c>
    </row>
    <row r="10538" spans="1:9" x14ac:dyDescent="0.2">
      <c r="A10538" s="2" t="s">
        <v>3263</v>
      </c>
      <c r="B10538" s="2" t="s">
        <v>2015</v>
      </c>
      <c r="C10538" s="2">
        <v>1118.46</v>
      </c>
      <c r="D10538" s="2">
        <f>HYPERLINK("http://mcb-m6.bioreg.kyushu-u.ac.jp/M3/20110411/F50897/3481/1", 61.8)</f>
        <v>61.8</v>
      </c>
      <c r="E10538" s="2">
        <v>50.75</v>
      </c>
      <c r="F10538" s="2">
        <v>2</v>
      </c>
      <c r="G10538" s="2" t="s">
        <v>10</v>
      </c>
      <c r="I10538" s="2" t="s">
        <v>4903</v>
      </c>
    </row>
    <row r="10539" spans="1:9" x14ac:dyDescent="0.2">
      <c r="A10539" s="2" t="s">
        <v>3263</v>
      </c>
      <c r="B10539" s="2" t="s">
        <v>1680</v>
      </c>
      <c r="C10539" s="2">
        <v>1065.836</v>
      </c>
      <c r="D10539" s="2">
        <f>HYPERLINK("http://mcb-m6.bioreg.kyushu-u.ac.jp/M3/20110411/F50897/3301/1", 115.87)</f>
        <v>115.87</v>
      </c>
      <c r="E10539" s="2">
        <v>99.71</v>
      </c>
      <c r="F10539" s="2">
        <v>2</v>
      </c>
      <c r="G10539" s="2" t="s">
        <v>10</v>
      </c>
    </row>
    <row r="10540" spans="1:9" x14ac:dyDescent="0.2">
      <c r="A10540" s="2" t="s">
        <v>3263</v>
      </c>
      <c r="B10540" s="2" t="s">
        <v>2350</v>
      </c>
      <c r="C10540" s="2">
        <v>623.73659999999995</v>
      </c>
      <c r="D10540" s="2">
        <f>HYPERLINK("http://mcb-m6.bioreg.kyushu-u.ac.jp/M3/20110414/F50927/1836/1", 49.38)</f>
        <v>49.38</v>
      </c>
      <c r="E10540" s="2">
        <v>20.420000000000002</v>
      </c>
      <c r="F10540" s="2">
        <v>2</v>
      </c>
      <c r="G10540" s="2" t="s">
        <v>11</v>
      </c>
      <c r="I10540" s="2" t="s">
        <v>4890</v>
      </c>
    </row>
    <row r="10541" spans="1:9" x14ac:dyDescent="0.2">
      <c r="A10541" s="2" t="s">
        <v>3263</v>
      </c>
      <c r="B10541" s="2" t="s">
        <v>1493</v>
      </c>
      <c r="C10541" s="2">
        <v>822.1567</v>
      </c>
      <c r="D10541" s="2">
        <f>HYPERLINK("http://mcb-m6.bioreg.kyushu-u.ac.jp/M3/20110414/F50928/2673/1", 66.25)</f>
        <v>66.25</v>
      </c>
      <c r="E10541" s="2">
        <v>48.95</v>
      </c>
      <c r="F10541" s="2">
        <v>2</v>
      </c>
      <c r="G10541" s="2" t="s">
        <v>11</v>
      </c>
    </row>
    <row r="10542" spans="1:9" x14ac:dyDescent="0.2">
      <c r="A10542" s="2" t="s">
        <v>3263</v>
      </c>
      <c r="B10542" s="2" t="s">
        <v>1045</v>
      </c>
      <c r="C10542" s="2">
        <v>540.87070000000006</v>
      </c>
      <c r="D10542" s="2">
        <f>HYPERLINK("http://mcb-m6.bioreg.kyushu-u.ac.jp/M3/20110414/F50927/1519/1", 72.77)</f>
        <v>72.77</v>
      </c>
      <c r="E10542" s="2">
        <v>29.64</v>
      </c>
      <c r="F10542" s="2">
        <v>2</v>
      </c>
      <c r="G10542" s="2" t="s">
        <v>11</v>
      </c>
    </row>
    <row r="10543" spans="1:9" x14ac:dyDescent="0.2">
      <c r="A10543" s="2" t="s">
        <v>3263</v>
      </c>
      <c r="B10543" s="2" t="s">
        <v>1493</v>
      </c>
      <c r="C10543" s="2">
        <v>822.47670000000005</v>
      </c>
      <c r="D10543" s="2">
        <f>HYPERLINK("http://mcb-m6.bioreg.kyushu-u.ac.jp/M3/20110414/F50927/2637/1", 83.41)</f>
        <v>83.41</v>
      </c>
      <c r="E10543" s="2">
        <v>54.53</v>
      </c>
      <c r="F10543" s="2">
        <v>2</v>
      </c>
      <c r="G10543" s="2" t="s">
        <v>11</v>
      </c>
    </row>
    <row r="10544" spans="1:9" x14ac:dyDescent="0.2">
      <c r="A10544" s="2" t="s">
        <v>3263</v>
      </c>
      <c r="B10544" s="2" t="s">
        <v>1493</v>
      </c>
      <c r="C10544" s="2">
        <v>821.91920000000005</v>
      </c>
      <c r="D10544" s="2">
        <f>HYPERLINK("http://mcb-m6.bioreg.kyushu-u.ac.jp/M3/20110414/F50927/2634/1", 99.18)</f>
        <v>99.18</v>
      </c>
      <c r="E10544" s="2">
        <v>77.19</v>
      </c>
      <c r="F10544" s="2">
        <v>2</v>
      </c>
      <c r="G10544" s="2" t="s">
        <v>11</v>
      </c>
    </row>
    <row r="10545" spans="1:9" x14ac:dyDescent="0.2">
      <c r="A10545" s="2" t="s">
        <v>3263</v>
      </c>
      <c r="B10545" s="2" t="s">
        <v>1493</v>
      </c>
      <c r="C10545" s="2">
        <v>822.34270000000004</v>
      </c>
      <c r="D10545" s="2">
        <f>HYPERLINK("http://mcb-m6.bioreg.kyushu-u.ac.jp/M3/20110414/F50932/2558/1", 99.97)</f>
        <v>99.97</v>
      </c>
      <c r="E10545" s="2">
        <v>79.33</v>
      </c>
      <c r="F10545" s="2">
        <v>2</v>
      </c>
      <c r="G10545" s="2" t="s">
        <v>12</v>
      </c>
    </row>
    <row r="10546" spans="1:9" x14ac:dyDescent="0.2">
      <c r="A10546" s="2" t="s">
        <v>3263</v>
      </c>
      <c r="B10546" s="2" t="s">
        <v>1045</v>
      </c>
      <c r="C10546" s="2">
        <v>540.93870000000004</v>
      </c>
      <c r="D10546" s="2">
        <f>HYPERLINK("http://mcb-m6.bioreg.kyushu-u.ac.jp/M3/20110502/F51168/1334/1", 69.93)</f>
        <v>69.930000000000007</v>
      </c>
      <c r="E10546" s="2">
        <v>28.2</v>
      </c>
      <c r="F10546" s="2">
        <v>2</v>
      </c>
      <c r="G10546" s="2" t="s">
        <v>13</v>
      </c>
    </row>
    <row r="10547" spans="1:9" x14ac:dyDescent="0.2">
      <c r="A10547" s="2" t="s">
        <v>3263</v>
      </c>
      <c r="B10547" s="2" t="s">
        <v>1493</v>
      </c>
      <c r="C10547" s="2">
        <v>822.76210000000003</v>
      </c>
      <c r="D10547" s="2">
        <f>HYPERLINK("http://mcb-m6.bioreg.kyushu-u.ac.jp/M3/20110502/F51169/2434/1", 79.76)</f>
        <v>79.760000000000005</v>
      </c>
      <c r="E10547" s="2">
        <v>61.63</v>
      </c>
      <c r="F10547" s="2">
        <v>2</v>
      </c>
      <c r="G10547" s="2" t="s">
        <v>13</v>
      </c>
    </row>
    <row r="10548" spans="1:9" x14ac:dyDescent="0.2">
      <c r="A10548" s="2" t="s">
        <v>3263</v>
      </c>
      <c r="B10548" s="2" t="s">
        <v>1493</v>
      </c>
      <c r="C10548" s="2">
        <v>822.55769999999995</v>
      </c>
      <c r="D10548" s="2">
        <f>HYPERLINK("http://mcb-m6.bioreg.kyushu-u.ac.jp/M3/20110502/F51168/2349/1", 106.4)</f>
        <v>106.4</v>
      </c>
      <c r="E10548" s="2">
        <v>84.59</v>
      </c>
      <c r="F10548" s="2">
        <v>2</v>
      </c>
      <c r="G10548" s="2" t="s">
        <v>13</v>
      </c>
    </row>
    <row r="10549" spans="1:9" x14ac:dyDescent="0.2">
      <c r="A10549" s="2" t="s">
        <v>3263</v>
      </c>
      <c r="B10549" s="2" t="s">
        <v>1045</v>
      </c>
      <c r="C10549" s="2">
        <v>541.01509999999996</v>
      </c>
      <c r="D10549" s="2">
        <f>HYPERLINK("http://mcb-m6.bioreg.kyushu-u.ac.jp/M3/20110502/F51177/823/1", 50.63)</f>
        <v>50.63</v>
      </c>
      <c r="E10549" s="2">
        <v>19.350000000000001</v>
      </c>
      <c r="F10549" s="2">
        <v>2</v>
      </c>
      <c r="G10549" s="2" t="s">
        <v>14</v>
      </c>
    </row>
    <row r="10550" spans="1:9" x14ac:dyDescent="0.2">
      <c r="A10550" s="2" t="s">
        <v>3263</v>
      </c>
      <c r="B10550" s="2" t="s">
        <v>2350</v>
      </c>
      <c r="C10550" s="2">
        <v>623.4316</v>
      </c>
      <c r="D10550" s="2">
        <f>HYPERLINK("http://mcb-m6.bioreg.kyushu-u.ac.jp/M3/20110502/F51177/1183/1", 55.53)</f>
        <v>55.53</v>
      </c>
      <c r="E10550" s="2">
        <v>21.84</v>
      </c>
      <c r="F10550" s="2">
        <v>2</v>
      </c>
      <c r="G10550" s="2" t="s">
        <v>14</v>
      </c>
      <c r="I10550" s="2" t="s">
        <v>4890</v>
      </c>
    </row>
    <row r="10551" spans="1:9" x14ac:dyDescent="0.2">
      <c r="A10551" s="2" t="s">
        <v>3263</v>
      </c>
      <c r="B10551" s="2" t="s">
        <v>1045</v>
      </c>
      <c r="C10551" s="2">
        <v>540.89919999999995</v>
      </c>
      <c r="D10551" s="2">
        <f>HYPERLINK("http://mcb-m6.bioreg.kyushu-u.ac.jp/M3/20110502/F51178/1277/1", 58.17)</f>
        <v>58.17</v>
      </c>
      <c r="E10551" s="2">
        <v>20.07</v>
      </c>
      <c r="F10551" s="2">
        <v>2</v>
      </c>
      <c r="G10551" s="2" t="s">
        <v>14</v>
      </c>
    </row>
    <row r="10552" spans="1:9" x14ac:dyDescent="0.2">
      <c r="A10552" s="2" t="s">
        <v>3263</v>
      </c>
      <c r="B10552" s="2" t="s">
        <v>1493</v>
      </c>
      <c r="C10552" s="2">
        <v>822.5847</v>
      </c>
      <c r="D10552" s="2">
        <f>HYPERLINK("http://mcb-m6.bioreg.kyushu-u.ac.jp/M3/20110502/F51178/2458/1", 91.01)</f>
        <v>91.01</v>
      </c>
      <c r="E10552" s="2">
        <v>70.81</v>
      </c>
      <c r="F10552" s="2">
        <v>2</v>
      </c>
      <c r="G10552" s="2" t="s">
        <v>14</v>
      </c>
    </row>
    <row r="10553" spans="1:9" x14ac:dyDescent="0.2">
      <c r="A10553" s="2" t="s">
        <v>3263</v>
      </c>
      <c r="B10553" s="2" t="s">
        <v>1493</v>
      </c>
      <c r="C10553" s="2">
        <v>822.48519999999996</v>
      </c>
      <c r="D10553" s="2">
        <f>HYPERLINK("http://mcb-m6.bioreg.kyushu-u.ac.jp/M3/20110502/F51177/2351/1", 102.12)</f>
        <v>102.12</v>
      </c>
      <c r="E10553" s="2">
        <v>79.97</v>
      </c>
      <c r="F10553" s="2">
        <v>2</v>
      </c>
      <c r="G10553" s="2" t="s">
        <v>14</v>
      </c>
    </row>
    <row r="10554" spans="1:9" x14ac:dyDescent="0.2">
      <c r="A10554" s="2" t="s">
        <v>4613</v>
      </c>
      <c r="B10554" s="2" t="s">
        <v>2730</v>
      </c>
      <c r="C10554" s="2">
        <v>827.7432</v>
      </c>
      <c r="D10554" s="2">
        <f>HYPERLINK("http://mcb-m6.bioreg.kyushu-u.ac.jp/M3/20110414/F50930/2441/1", 68.61)</f>
        <v>68.61</v>
      </c>
      <c r="E10554" s="2">
        <v>50.63</v>
      </c>
      <c r="F10554" s="2">
        <v>2</v>
      </c>
      <c r="G10554" s="2" t="s">
        <v>12</v>
      </c>
    </row>
    <row r="10555" spans="1:9" x14ac:dyDescent="0.2">
      <c r="A10555" s="2" t="s">
        <v>3972</v>
      </c>
      <c r="B10555" s="2" t="s">
        <v>1216</v>
      </c>
      <c r="C10555" s="2">
        <v>677.96010000000001</v>
      </c>
      <c r="D10555" s="2">
        <f>HYPERLINK("http://mcb-m6.bioreg.kyushu-u.ac.jp/M3/20110411/F50903/1721/1", 67.82)</f>
        <v>67.819999999999993</v>
      </c>
      <c r="E10555" s="2">
        <v>33.479999999999997</v>
      </c>
      <c r="F10555" s="2">
        <v>2</v>
      </c>
      <c r="G10555" s="2" t="s">
        <v>9</v>
      </c>
    </row>
    <row r="10556" spans="1:9" x14ac:dyDescent="0.2">
      <c r="A10556" s="2" t="s">
        <v>3972</v>
      </c>
      <c r="B10556" s="2" t="s">
        <v>1216</v>
      </c>
      <c r="C10556" s="2">
        <v>677.68119999999999</v>
      </c>
      <c r="D10556" s="2">
        <f>HYPERLINK("http://mcb-m6.bioreg.kyushu-u.ac.jp/M3/20110414/F50924/1735/1", 58.44)</f>
        <v>58.44</v>
      </c>
      <c r="E10556" s="2">
        <v>39.89</v>
      </c>
      <c r="F10556" s="2">
        <v>2</v>
      </c>
      <c r="G10556" s="2" t="s">
        <v>11</v>
      </c>
    </row>
    <row r="10557" spans="1:9" x14ac:dyDescent="0.2">
      <c r="A10557" s="2" t="s">
        <v>3972</v>
      </c>
      <c r="B10557" s="2" t="s">
        <v>1216</v>
      </c>
      <c r="C10557" s="2">
        <v>678.24019999999996</v>
      </c>
      <c r="D10557" s="2">
        <f>HYPERLINK("http://mcb-m6.bioreg.kyushu-u.ac.jp/M3/20110414/F50930/2019/1", 54.03)</f>
        <v>54.03</v>
      </c>
      <c r="E10557" s="2">
        <v>29.61</v>
      </c>
      <c r="F10557" s="2">
        <v>2</v>
      </c>
      <c r="G10557" s="2" t="s">
        <v>12</v>
      </c>
    </row>
    <row r="10558" spans="1:9" x14ac:dyDescent="0.2">
      <c r="A10558" s="2" t="s">
        <v>3972</v>
      </c>
      <c r="B10558" s="2" t="s">
        <v>1216</v>
      </c>
      <c r="C10558" s="2">
        <v>677.72469999999998</v>
      </c>
      <c r="D10558" s="2">
        <f>HYPERLINK("http://mcb-m6.bioreg.kyushu-u.ac.jp/M3/20110414/F50930/2017/1", 72.35)</f>
        <v>72.349999999999994</v>
      </c>
      <c r="E10558" s="2">
        <v>45.37</v>
      </c>
      <c r="F10558" s="2">
        <v>2</v>
      </c>
      <c r="G10558" s="2" t="s">
        <v>12</v>
      </c>
    </row>
    <row r="10559" spans="1:9" x14ac:dyDescent="0.2">
      <c r="A10559" s="2" t="s">
        <v>3972</v>
      </c>
      <c r="B10559" s="2" t="s">
        <v>1216</v>
      </c>
      <c r="C10559" s="2">
        <v>678.18219999999997</v>
      </c>
      <c r="D10559" s="2">
        <f>HYPERLINK("http://mcb-m6.bioreg.kyushu-u.ac.jp/M3/20110502/F51165/1859/1", 53.28)</f>
        <v>53.28</v>
      </c>
      <c r="E10559" s="2">
        <v>35.08</v>
      </c>
      <c r="F10559" s="2">
        <v>2</v>
      </c>
      <c r="G10559" s="2" t="s">
        <v>13</v>
      </c>
    </row>
    <row r="10560" spans="1:9" x14ac:dyDescent="0.2">
      <c r="A10560" s="2" t="s">
        <v>3406</v>
      </c>
      <c r="B10560" s="2" t="s">
        <v>203</v>
      </c>
      <c r="C10560" s="2">
        <v>944.4991</v>
      </c>
      <c r="D10560" s="2">
        <f>HYPERLINK("http://mcb-m6.bioreg.kyushu-u.ac.jp/M3/20110411/F50891/3214/1", 37.65)</f>
        <v>37.65</v>
      </c>
      <c r="E10560" s="2">
        <v>23.34</v>
      </c>
      <c r="F10560" s="2">
        <v>2</v>
      </c>
      <c r="G10560" s="2" t="s">
        <v>9</v>
      </c>
    </row>
    <row r="10561" spans="1:9" x14ac:dyDescent="0.2">
      <c r="A10561" s="2" t="s">
        <v>4614</v>
      </c>
      <c r="B10561" s="2" t="s">
        <v>2735</v>
      </c>
      <c r="C10561" s="2">
        <v>845.82320000000004</v>
      </c>
      <c r="D10561" s="2">
        <f>HYPERLINK("http://mcb-m6.bioreg.kyushu-u.ac.jp/M3/20110414/F50946/2514/1", 70.28)</f>
        <v>70.28</v>
      </c>
      <c r="E10561" s="2">
        <v>53.17</v>
      </c>
      <c r="F10561" s="2">
        <v>2</v>
      </c>
      <c r="G10561" s="2" t="s">
        <v>12</v>
      </c>
    </row>
    <row r="10562" spans="1:9" x14ac:dyDescent="0.2">
      <c r="A10562" s="2" t="s">
        <v>4387</v>
      </c>
      <c r="B10562" s="2" t="s">
        <v>2225</v>
      </c>
      <c r="C10562" s="2">
        <v>828.24019999999996</v>
      </c>
      <c r="D10562" s="2">
        <f>HYPERLINK("http://mcb-m6.bioreg.kyushu-u.ac.jp/M3/20110414/F50924/2525/1", 38.39)</f>
        <v>38.39</v>
      </c>
      <c r="E10562" s="2">
        <v>27.1</v>
      </c>
      <c r="F10562" s="2">
        <v>2</v>
      </c>
      <c r="G10562" s="2" t="s">
        <v>11</v>
      </c>
    </row>
    <row r="10563" spans="1:9" x14ac:dyDescent="0.2">
      <c r="A10563" s="2" t="s">
        <v>4417</v>
      </c>
      <c r="B10563" s="2" t="s">
        <v>2283</v>
      </c>
      <c r="C10563" s="2">
        <v>770.18219999999997</v>
      </c>
      <c r="D10563" s="2">
        <f>HYPERLINK("http://mcb-m6.bioreg.kyushu-u.ac.jp/M3/20110414/F50924/2285/1", 42.77)</f>
        <v>42.77</v>
      </c>
      <c r="E10563" s="2">
        <v>27.31</v>
      </c>
      <c r="F10563" s="2">
        <v>2</v>
      </c>
      <c r="G10563" s="2" t="s">
        <v>11</v>
      </c>
      <c r="H10563" s="2" t="s">
        <v>4904</v>
      </c>
    </row>
    <row r="10564" spans="1:9" x14ac:dyDescent="0.2">
      <c r="A10564" s="2" t="s">
        <v>4417</v>
      </c>
      <c r="B10564" s="2" t="s">
        <v>2283</v>
      </c>
      <c r="C10564" s="2">
        <v>778.91420000000005</v>
      </c>
      <c r="D10564" s="2">
        <f>HYPERLINK("http://mcb-m6.bioreg.kyushu-u.ac.jp/M3/20110414/F50924/2313/1", 48.78)</f>
        <v>48.78</v>
      </c>
      <c r="E10564" s="2">
        <v>30.3</v>
      </c>
      <c r="F10564" s="2">
        <v>2</v>
      </c>
      <c r="G10564" s="2" t="s">
        <v>11</v>
      </c>
    </row>
    <row r="10565" spans="1:9" x14ac:dyDescent="0.2">
      <c r="A10565" s="2" t="s">
        <v>4103</v>
      </c>
      <c r="B10565" s="2" t="s">
        <v>1575</v>
      </c>
      <c r="C10565" s="2">
        <v>1071.5239999999999</v>
      </c>
      <c r="D10565" s="2">
        <f>HYPERLINK("http://mcb-m6.bioreg.kyushu-u.ac.jp/M3/20110411/F50891/3651/1", 93.98)</f>
        <v>93.98</v>
      </c>
      <c r="E10565" s="2">
        <v>33.1</v>
      </c>
      <c r="F10565" s="2">
        <v>2</v>
      </c>
      <c r="G10565" s="2" t="s">
        <v>9</v>
      </c>
      <c r="I10565" s="2" t="s">
        <v>4890</v>
      </c>
    </row>
    <row r="10566" spans="1:9" x14ac:dyDescent="0.2">
      <c r="A10566" s="2" t="s">
        <v>4088</v>
      </c>
      <c r="B10566" s="2" t="s">
        <v>1528</v>
      </c>
      <c r="C10566" s="2">
        <v>785.98019999999997</v>
      </c>
      <c r="D10566" s="2">
        <f>HYPERLINK("http://mcb-m6.bioreg.kyushu-u.ac.jp/M3/20110411/F50891/2380/1", 88.54)</f>
        <v>88.54</v>
      </c>
      <c r="E10566" s="2">
        <v>72.760000000000005</v>
      </c>
      <c r="F10566" s="2">
        <v>2</v>
      </c>
      <c r="G10566" s="2" t="s">
        <v>9</v>
      </c>
    </row>
    <row r="10567" spans="1:9" x14ac:dyDescent="0.2">
      <c r="A10567" s="2" t="s">
        <v>4088</v>
      </c>
      <c r="B10567" s="2" t="s">
        <v>1528</v>
      </c>
      <c r="C10567" s="2">
        <v>785.42909999999995</v>
      </c>
      <c r="D10567" s="2">
        <f>HYPERLINK("http://mcb-m6.bioreg.kyushu-u.ac.jp/M3/20110411/F50891/2378/1", 119.81)</f>
        <v>119.81</v>
      </c>
      <c r="E10567" s="2">
        <v>105.43</v>
      </c>
      <c r="F10567" s="2">
        <v>2</v>
      </c>
      <c r="G10567" s="2" t="s">
        <v>9</v>
      </c>
    </row>
    <row r="10568" spans="1:9" x14ac:dyDescent="0.2">
      <c r="A10568" s="2" t="s">
        <v>4088</v>
      </c>
      <c r="B10568" s="2" t="s">
        <v>1528</v>
      </c>
      <c r="C10568" s="2">
        <v>785.25819999999999</v>
      </c>
      <c r="D10568" s="2">
        <f>HYPERLINK("http://mcb-m6.bioreg.kyushu-u.ac.jp/M3/20110414/F50928/2528/1", 109.52)</f>
        <v>109.52</v>
      </c>
      <c r="E10568" s="2">
        <v>93.75</v>
      </c>
      <c r="F10568" s="2">
        <v>2</v>
      </c>
      <c r="G10568" s="2" t="s">
        <v>11</v>
      </c>
    </row>
    <row r="10569" spans="1:9" x14ac:dyDescent="0.2">
      <c r="A10569" s="2" t="s">
        <v>4088</v>
      </c>
      <c r="B10569" s="2" t="s">
        <v>1528</v>
      </c>
      <c r="C10569" s="2">
        <v>785.88459999999998</v>
      </c>
      <c r="D10569" s="2">
        <f>HYPERLINK("http://mcb-m6.bioreg.kyushu-u.ac.jp/M3/20110414/F50933/2627/1", 81.55)</f>
        <v>81.55</v>
      </c>
      <c r="E10569" s="2">
        <v>61.95</v>
      </c>
      <c r="F10569" s="2">
        <v>2</v>
      </c>
      <c r="G10569" s="2" t="s">
        <v>12</v>
      </c>
    </row>
    <row r="10570" spans="1:9" x14ac:dyDescent="0.2">
      <c r="A10570" s="2" t="s">
        <v>4034</v>
      </c>
      <c r="B10570" s="2" t="s">
        <v>1363</v>
      </c>
      <c r="C10570" s="2">
        <v>737.44209999999998</v>
      </c>
      <c r="D10570" s="2">
        <f>HYPERLINK("http://mcb-m6.bioreg.kyushu-u.ac.jp/M3/20110411/F50891/2060/1", 75.51)</f>
        <v>75.510000000000005</v>
      </c>
      <c r="E10570" s="2">
        <v>52.36</v>
      </c>
      <c r="F10570" s="2">
        <v>2</v>
      </c>
      <c r="G10570" s="2" t="s">
        <v>9</v>
      </c>
    </row>
    <row r="10571" spans="1:9" x14ac:dyDescent="0.2">
      <c r="A10571" s="2" t="s">
        <v>4034</v>
      </c>
      <c r="B10571" s="2" t="s">
        <v>1544</v>
      </c>
      <c r="C10571" s="2">
        <v>673.31269999999995</v>
      </c>
      <c r="D10571" s="2">
        <f>HYPERLINK("http://mcb-m6.bioreg.kyushu-u.ac.jp/M3/20110411/F50891/1717/1", 90.6)</f>
        <v>90.6</v>
      </c>
      <c r="E10571" s="2">
        <v>71.34</v>
      </c>
      <c r="F10571" s="2">
        <v>2</v>
      </c>
      <c r="G10571" s="2" t="s">
        <v>9</v>
      </c>
    </row>
    <row r="10572" spans="1:9" x14ac:dyDescent="0.2">
      <c r="A10572" s="2" t="s">
        <v>4034</v>
      </c>
      <c r="B10572" s="2" t="s">
        <v>1544</v>
      </c>
      <c r="C10572" s="2">
        <v>673.2106</v>
      </c>
      <c r="D10572" s="2">
        <f>HYPERLINK("http://mcb-m6.bioreg.kyushu-u.ac.jp/M3/20110411/F50898/1948/1", 71.75)</f>
        <v>71.75</v>
      </c>
      <c r="E10572" s="2">
        <v>55.38</v>
      </c>
      <c r="F10572" s="2">
        <v>2</v>
      </c>
      <c r="G10572" s="2" t="s">
        <v>10</v>
      </c>
    </row>
    <row r="10573" spans="1:9" x14ac:dyDescent="0.2">
      <c r="A10573" s="2" t="s">
        <v>4034</v>
      </c>
      <c r="B10573" s="2" t="s">
        <v>1544</v>
      </c>
      <c r="C10573" s="2">
        <v>673.08169999999996</v>
      </c>
      <c r="D10573" s="2">
        <f>HYPERLINK("http://mcb-m6.bioreg.kyushu-u.ac.jp/M3/20110414/F50928/1923/1", 80.43)</f>
        <v>80.430000000000007</v>
      </c>
      <c r="E10573" s="2">
        <v>53.29</v>
      </c>
      <c r="F10573" s="2">
        <v>2</v>
      </c>
      <c r="G10573" s="2" t="s">
        <v>11</v>
      </c>
    </row>
    <row r="10574" spans="1:9" x14ac:dyDescent="0.2">
      <c r="A10574" s="2" t="s">
        <v>4034</v>
      </c>
      <c r="B10574" s="2" t="s">
        <v>1544</v>
      </c>
      <c r="C10574" s="2">
        <v>673.87220000000002</v>
      </c>
      <c r="D10574" s="2">
        <f>HYPERLINK("http://mcb-m6.bioreg.kyushu-u.ac.jp/M3/20110414/F50933/2078/1", 91.54)</f>
        <v>91.54</v>
      </c>
      <c r="E10574" s="2">
        <v>72.900000000000006</v>
      </c>
      <c r="F10574" s="2">
        <v>2</v>
      </c>
      <c r="G10574" s="2" t="s">
        <v>12</v>
      </c>
    </row>
    <row r="10575" spans="1:9" x14ac:dyDescent="0.2">
      <c r="A10575" s="2" t="s">
        <v>4034</v>
      </c>
      <c r="B10575" s="2" t="s">
        <v>1544</v>
      </c>
      <c r="C10575" s="2">
        <v>673.69960000000003</v>
      </c>
      <c r="D10575" s="2">
        <f>HYPERLINK("http://mcb-m6.bioreg.kyushu-u.ac.jp/M3/20110502/F51178/1788/1", 88.76)</f>
        <v>88.76</v>
      </c>
      <c r="E10575" s="2">
        <v>68.95</v>
      </c>
      <c r="F10575" s="2">
        <v>2</v>
      </c>
      <c r="G10575" s="2" t="s">
        <v>14</v>
      </c>
    </row>
    <row r="10576" spans="1:9" x14ac:dyDescent="0.2">
      <c r="A10576" s="2" t="s">
        <v>3554</v>
      </c>
      <c r="B10576" s="2" t="s">
        <v>411</v>
      </c>
      <c r="C10576" s="2">
        <v>608.7722</v>
      </c>
      <c r="D10576" s="2">
        <f>HYPERLINK("http://mcb-m6.bioreg.kyushu-u.ac.jp/M3/20110411/F50891/1429/1", 41.33)</f>
        <v>41.33</v>
      </c>
      <c r="E10576" s="2">
        <v>16.7</v>
      </c>
      <c r="F10576" s="2">
        <v>2</v>
      </c>
      <c r="G10576" s="2" t="s">
        <v>9</v>
      </c>
    </row>
    <row r="10577" spans="1:8" x14ac:dyDescent="0.2">
      <c r="A10577" s="2" t="s">
        <v>3554</v>
      </c>
      <c r="B10577" s="2" t="s">
        <v>411</v>
      </c>
      <c r="C10577" s="2">
        <v>609.11019999999996</v>
      </c>
      <c r="D10577" s="2">
        <f>HYPERLINK("http://mcb-m6.bioreg.kyushu-u.ac.jp/M3/20110414/F50928/1685/1", 64.22)</f>
        <v>64.22</v>
      </c>
      <c r="E10577" s="2">
        <v>28.46</v>
      </c>
      <c r="F10577" s="2">
        <v>2</v>
      </c>
      <c r="G10577" s="2" t="s">
        <v>11</v>
      </c>
    </row>
    <row r="10578" spans="1:8" x14ac:dyDescent="0.2">
      <c r="A10578" s="2" t="s">
        <v>3554</v>
      </c>
      <c r="B10578" s="2" t="s">
        <v>411</v>
      </c>
      <c r="C10578" s="2">
        <v>608.54970000000003</v>
      </c>
      <c r="D10578" s="2">
        <f>HYPERLINK("http://mcb-m6.bioreg.kyushu-u.ac.jp/M3/20110414/F50928/1681/1", 77.12)</f>
        <v>77.12</v>
      </c>
      <c r="E10578" s="2">
        <v>46.34</v>
      </c>
      <c r="F10578" s="2">
        <v>2</v>
      </c>
      <c r="G10578" s="2" t="s">
        <v>11</v>
      </c>
    </row>
    <row r="10579" spans="1:8" x14ac:dyDescent="0.2">
      <c r="A10579" s="2" t="s">
        <v>3585</v>
      </c>
      <c r="B10579" s="2" t="s">
        <v>466</v>
      </c>
      <c r="C10579" s="2">
        <v>537.89869999999996</v>
      </c>
      <c r="D10579" s="2">
        <f>HYPERLINK("http://mcb-m6.bioreg.kyushu-u.ac.jp/M3/20110411/F50891/1120/1", 42.43)</f>
        <v>42.43</v>
      </c>
      <c r="E10579" s="2">
        <v>19.28</v>
      </c>
      <c r="F10579" s="2">
        <v>2</v>
      </c>
      <c r="G10579" s="2" t="s">
        <v>9</v>
      </c>
    </row>
    <row r="10580" spans="1:8" x14ac:dyDescent="0.2">
      <c r="A10580" s="2" t="s">
        <v>4218</v>
      </c>
      <c r="B10580" s="2" t="s">
        <v>1820</v>
      </c>
      <c r="C10580" s="2">
        <v>589.52760000000001</v>
      </c>
      <c r="D10580" s="2">
        <f>HYPERLINK("http://mcb-m6.bioreg.kyushu-u.ac.jp/M3/20110411/F50914/1403/1", 41.38)</f>
        <v>41.38</v>
      </c>
      <c r="E10580" s="2">
        <v>23.89</v>
      </c>
      <c r="F10580" s="2">
        <v>2</v>
      </c>
      <c r="G10580" s="2" t="s">
        <v>10</v>
      </c>
      <c r="H10580" s="2" t="s">
        <v>4904</v>
      </c>
    </row>
    <row r="10581" spans="1:8" x14ac:dyDescent="0.2">
      <c r="A10581" s="2" t="s">
        <v>4212</v>
      </c>
      <c r="B10581" s="2" t="s">
        <v>1809</v>
      </c>
      <c r="C10581" s="2">
        <v>476.1146</v>
      </c>
      <c r="D10581" s="2">
        <f>HYPERLINK("http://mcb-m6.bioreg.kyushu-u.ac.jp/M3/20110411/F50913/946/1", 40.57)</f>
        <v>40.57</v>
      </c>
      <c r="E10581" s="2">
        <v>14.68</v>
      </c>
      <c r="F10581" s="2">
        <v>2</v>
      </c>
      <c r="G10581" s="2" t="s">
        <v>10</v>
      </c>
    </row>
    <row r="10582" spans="1:8" x14ac:dyDescent="0.2">
      <c r="A10582" s="2" t="s">
        <v>4706</v>
      </c>
      <c r="B10582" s="2" t="s">
        <v>2891</v>
      </c>
      <c r="C10582" s="2">
        <v>745.15560000000005</v>
      </c>
      <c r="D10582" s="2">
        <f>HYPERLINK("http://mcb-m6.bioreg.kyushu-u.ac.jp/M3/20110502/F51189/1863/1", 44.83)</f>
        <v>44.83</v>
      </c>
      <c r="E10582" s="2">
        <v>18.21</v>
      </c>
      <c r="F10582" s="2">
        <v>2</v>
      </c>
      <c r="G10582" s="2" t="s">
        <v>13</v>
      </c>
    </row>
    <row r="10583" spans="1:8" x14ac:dyDescent="0.2">
      <c r="A10583" s="2" t="s">
        <v>4236</v>
      </c>
      <c r="B10583" s="2" t="s">
        <v>1851</v>
      </c>
      <c r="C10583" s="2">
        <v>587.06209999999999</v>
      </c>
      <c r="D10583" s="2">
        <f>HYPERLINK("http://mcb-m6.bioreg.kyushu-u.ac.jp/M3/20110411/F50913/1346/1", 44.23)</f>
        <v>44.23</v>
      </c>
      <c r="E10583" s="2">
        <v>9.98</v>
      </c>
      <c r="F10583" s="2">
        <v>2</v>
      </c>
      <c r="G10583" s="2" t="s">
        <v>10</v>
      </c>
    </row>
    <row r="10584" spans="1:8" x14ac:dyDescent="0.2">
      <c r="A10584" s="2" t="s">
        <v>4236</v>
      </c>
      <c r="B10584" s="2" t="s">
        <v>1851</v>
      </c>
      <c r="C10584" s="2">
        <v>587.56370000000004</v>
      </c>
      <c r="D10584" s="2">
        <f>HYPERLINK("http://mcb-m6.bioreg.kyushu-u.ac.jp/M3/20110502/F51170/1369/1", 41.88)</f>
        <v>41.88</v>
      </c>
      <c r="E10584" s="2">
        <v>10.45</v>
      </c>
      <c r="F10584" s="2">
        <v>2</v>
      </c>
      <c r="G10584" s="2" t="s">
        <v>13</v>
      </c>
    </row>
    <row r="10585" spans="1:8" x14ac:dyDescent="0.2">
      <c r="A10585" s="2" t="s">
        <v>4784</v>
      </c>
      <c r="B10585" s="2" t="s">
        <v>3016</v>
      </c>
      <c r="C10585" s="2">
        <v>460.86059999999998</v>
      </c>
      <c r="D10585" s="2">
        <f>HYPERLINK("http://mcb-m6.bioreg.kyushu-u.ac.jp/M3/20110502/F51179/485/1", 38.23)</f>
        <v>38.229999999999997</v>
      </c>
      <c r="E10585" s="2">
        <v>14.7</v>
      </c>
      <c r="F10585" s="2">
        <v>2</v>
      </c>
      <c r="G10585" s="2" t="s">
        <v>14</v>
      </c>
    </row>
    <row r="10586" spans="1:8" x14ac:dyDescent="0.2">
      <c r="A10586" s="2" t="s">
        <v>4007</v>
      </c>
      <c r="B10586" s="2" t="s">
        <v>1302</v>
      </c>
      <c r="C10586" s="2">
        <v>669.53060000000005</v>
      </c>
      <c r="D10586" s="2">
        <f>HYPERLINK("http://mcb-m6.bioreg.kyushu-u.ac.jp/M3/20110411/F50903/1671/1", 71.6)</f>
        <v>71.599999999999994</v>
      </c>
      <c r="E10586" s="2">
        <v>59.94</v>
      </c>
      <c r="F10586" s="2">
        <v>2</v>
      </c>
      <c r="G10586" s="2" t="s">
        <v>9</v>
      </c>
    </row>
    <row r="10587" spans="1:8" x14ac:dyDescent="0.2">
      <c r="A10587" s="2" t="s">
        <v>4007</v>
      </c>
      <c r="B10587" s="2" t="s">
        <v>1302</v>
      </c>
      <c r="C10587" s="2">
        <v>669.25210000000004</v>
      </c>
      <c r="D10587" s="2">
        <f>HYPERLINK("http://mcb-m6.bioreg.kyushu-u.ac.jp/M3/20110411/F50920/1214/1", 39.5)</f>
        <v>39.5</v>
      </c>
      <c r="E10587" s="2">
        <v>18.43</v>
      </c>
      <c r="F10587" s="2">
        <v>2</v>
      </c>
      <c r="G10587" s="2" t="s">
        <v>10</v>
      </c>
    </row>
    <row r="10588" spans="1:8" x14ac:dyDescent="0.2">
      <c r="A10588" s="2" t="s">
        <v>4007</v>
      </c>
      <c r="B10588" s="2" t="s">
        <v>1302</v>
      </c>
      <c r="C10588" s="2">
        <v>669.57820000000004</v>
      </c>
      <c r="D10588" s="2">
        <f>HYPERLINK("http://mcb-m6.bioreg.kyushu-u.ac.jp/M3/20110414/F50924/1689/1", 59.08)</f>
        <v>59.08</v>
      </c>
      <c r="E10588" s="2">
        <v>40.03</v>
      </c>
      <c r="F10588" s="2">
        <v>2</v>
      </c>
      <c r="G10588" s="2" t="s">
        <v>11</v>
      </c>
    </row>
    <row r="10589" spans="1:8" x14ac:dyDescent="0.2">
      <c r="A10589" s="2" t="s">
        <v>4007</v>
      </c>
      <c r="B10589" s="2" t="s">
        <v>1302</v>
      </c>
      <c r="C10589" s="2">
        <v>669.29110000000003</v>
      </c>
      <c r="D10589" s="2">
        <f>HYPERLINK("http://mcb-m6.bioreg.kyushu-u.ac.jp/M3/20110414/F50925/1906/1", 66.25)</f>
        <v>66.25</v>
      </c>
      <c r="E10589" s="2">
        <v>44.45</v>
      </c>
      <c r="F10589" s="2">
        <v>2</v>
      </c>
      <c r="G10589" s="2" t="s">
        <v>11</v>
      </c>
    </row>
    <row r="10590" spans="1:8" x14ac:dyDescent="0.2">
      <c r="A10590" s="2" t="s">
        <v>4007</v>
      </c>
      <c r="B10590" s="2" t="s">
        <v>1302</v>
      </c>
      <c r="C10590" s="2">
        <v>669.17269999999996</v>
      </c>
      <c r="D10590" s="2">
        <f>HYPERLINK("http://mcb-m6.bioreg.kyushu-u.ac.jp/M3/20110414/F50930/1998/1", 52.77)</f>
        <v>52.77</v>
      </c>
      <c r="E10590" s="2">
        <v>37</v>
      </c>
      <c r="F10590" s="2">
        <v>2</v>
      </c>
      <c r="G10590" s="2" t="s">
        <v>12</v>
      </c>
    </row>
    <row r="10591" spans="1:8" x14ac:dyDescent="0.2">
      <c r="A10591" s="2" t="s">
        <v>3427</v>
      </c>
      <c r="B10591" s="2" t="s">
        <v>233</v>
      </c>
      <c r="C10591" s="2">
        <v>552.96249999999998</v>
      </c>
      <c r="D10591" s="2">
        <f>HYPERLINK("http://mcb-m6.bioreg.kyushu-u.ac.jp/M3/20110411/F50911/2578/1", 38.24)</f>
        <v>38.24</v>
      </c>
      <c r="E10591" s="2">
        <v>20.85</v>
      </c>
      <c r="F10591" s="2">
        <v>3</v>
      </c>
      <c r="G10591" s="2" t="s">
        <v>9</v>
      </c>
    </row>
    <row r="10592" spans="1:8" x14ac:dyDescent="0.2">
      <c r="A10592" s="2" t="s">
        <v>3427</v>
      </c>
      <c r="B10592" s="2" t="s">
        <v>750</v>
      </c>
      <c r="C10592" s="2">
        <v>921.18020000000001</v>
      </c>
      <c r="D10592" s="2">
        <f>HYPERLINK("http://mcb-m6.bioreg.kyushu-u.ac.jp/M3/20110411/F50911/3043/1", 50.12)</f>
        <v>50.12</v>
      </c>
      <c r="E10592" s="2">
        <v>35.86</v>
      </c>
      <c r="F10592" s="2">
        <v>2</v>
      </c>
      <c r="G10592" s="2" t="s">
        <v>9</v>
      </c>
    </row>
    <row r="10593" spans="1:9" x14ac:dyDescent="0.2">
      <c r="A10593" s="2" t="s">
        <v>3427</v>
      </c>
      <c r="B10593" s="2" t="s">
        <v>757</v>
      </c>
      <c r="C10593" s="2">
        <v>601.03920000000005</v>
      </c>
      <c r="D10593" s="2">
        <f>HYPERLINK("http://mcb-m6.bioreg.kyushu-u.ac.jp/M3/20110411/F50911/1398/1", 50.27)</f>
        <v>50.27</v>
      </c>
      <c r="E10593" s="2">
        <v>21.74</v>
      </c>
      <c r="F10593" s="2">
        <v>2</v>
      </c>
      <c r="G10593" s="2" t="s">
        <v>9</v>
      </c>
    </row>
    <row r="10594" spans="1:9" x14ac:dyDescent="0.2">
      <c r="A10594" s="2" t="s">
        <v>3427</v>
      </c>
      <c r="B10594" s="2" t="s">
        <v>757</v>
      </c>
      <c r="C10594" s="2">
        <v>601.5652</v>
      </c>
      <c r="D10594" s="2">
        <f>HYPERLINK("http://mcb-m6.bioreg.kyushu-u.ac.jp/M3/20110411/F50911/1402/1", 51.33)</f>
        <v>51.33</v>
      </c>
      <c r="E10594" s="2">
        <v>22.47</v>
      </c>
      <c r="F10594" s="2">
        <v>2</v>
      </c>
      <c r="G10594" s="2" t="s">
        <v>9</v>
      </c>
    </row>
    <row r="10595" spans="1:9" x14ac:dyDescent="0.2">
      <c r="A10595" s="2" t="s">
        <v>3427</v>
      </c>
      <c r="B10595" s="2" t="s">
        <v>233</v>
      </c>
      <c r="C10595" s="2">
        <v>828.55870000000004</v>
      </c>
      <c r="D10595" s="2">
        <f>HYPERLINK("http://mcb-m6.bioreg.kyushu-u.ac.jp/M3/20110411/F50915/2435/1", 76.02)</f>
        <v>76.02</v>
      </c>
      <c r="E10595" s="2">
        <v>57.44</v>
      </c>
      <c r="F10595" s="2">
        <v>2</v>
      </c>
      <c r="G10595" s="2" t="s">
        <v>9</v>
      </c>
    </row>
    <row r="10596" spans="1:9" x14ac:dyDescent="0.2">
      <c r="A10596" s="2" t="s">
        <v>3427</v>
      </c>
      <c r="B10596" s="2" t="s">
        <v>233</v>
      </c>
      <c r="C10596" s="2">
        <v>828.64469999999994</v>
      </c>
      <c r="D10596" s="2">
        <f>HYPERLINK("http://mcb-m6.bioreg.kyushu-u.ac.jp/M3/20110411/F50911/2576/1", 84.58)</f>
        <v>84.58</v>
      </c>
      <c r="E10596" s="2">
        <v>66.84</v>
      </c>
      <c r="F10596" s="2">
        <v>2</v>
      </c>
      <c r="G10596" s="2" t="s">
        <v>9</v>
      </c>
    </row>
    <row r="10597" spans="1:9" x14ac:dyDescent="0.2">
      <c r="A10597" s="2" t="s">
        <v>3427</v>
      </c>
      <c r="B10597" s="2" t="s">
        <v>1573</v>
      </c>
      <c r="C10597" s="2">
        <v>789.14319999999998</v>
      </c>
      <c r="D10597" s="2">
        <f>HYPERLINK("http://mcb-m6.bioreg.kyushu-u.ac.jp/M3/20110411/F50911/2373/1", 93.91)</f>
        <v>93.91</v>
      </c>
      <c r="E10597" s="2">
        <v>76.19</v>
      </c>
      <c r="F10597" s="2">
        <v>2</v>
      </c>
      <c r="G10597" s="2" t="s">
        <v>9</v>
      </c>
    </row>
    <row r="10598" spans="1:9" x14ac:dyDescent="0.2">
      <c r="A10598" s="2" t="s">
        <v>3427</v>
      </c>
      <c r="B10598" s="2" t="s">
        <v>233</v>
      </c>
      <c r="C10598" s="2">
        <v>552.79179999999997</v>
      </c>
      <c r="D10598" s="2">
        <f>HYPERLINK("http://mcb-m6.bioreg.kyushu-u.ac.jp/M3/20110414/F50942/2419/1", 46.6)</f>
        <v>46.6</v>
      </c>
      <c r="E10598" s="2">
        <v>27.43</v>
      </c>
      <c r="F10598" s="2">
        <v>3</v>
      </c>
      <c r="G10598" s="2" t="s">
        <v>11</v>
      </c>
    </row>
    <row r="10599" spans="1:9" x14ac:dyDescent="0.2">
      <c r="A10599" s="2" t="s">
        <v>3427</v>
      </c>
      <c r="B10599" s="2" t="s">
        <v>1573</v>
      </c>
      <c r="C10599" s="2">
        <v>789.38959999999997</v>
      </c>
      <c r="D10599" s="2">
        <f>HYPERLINK("http://mcb-m6.bioreg.kyushu-u.ac.jp/M3/20110414/F50942/2225/1", 52.26)</f>
        <v>52.26</v>
      </c>
      <c r="E10599" s="2">
        <v>34.200000000000003</v>
      </c>
      <c r="F10599" s="2">
        <v>2</v>
      </c>
      <c r="G10599" s="2" t="s">
        <v>11</v>
      </c>
    </row>
    <row r="10600" spans="1:9" x14ac:dyDescent="0.2">
      <c r="A10600" s="2" t="s">
        <v>3427</v>
      </c>
      <c r="B10600" s="2" t="s">
        <v>1573</v>
      </c>
      <c r="C10600" s="2">
        <v>526.41420000000005</v>
      </c>
      <c r="D10600" s="2">
        <f>HYPERLINK("http://mcb-m6.bioreg.kyushu-u.ac.jp/M3/20110414/F50942/2224/1", 55.06)</f>
        <v>55.06</v>
      </c>
      <c r="E10600" s="2">
        <v>39.56</v>
      </c>
      <c r="F10600" s="2">
        <v>3</v>
      </c>
      <c r="G10600" s="2" t="s">
        <v>11</v>
      </c>
    </row>
    <row r="10601" spans="1:9" x14ac:dyDescent="0.2">
      <c r="A10601" s="2" t="s">
        <v>3427</v>
      </c>
      <c r="B10601" s="2" t="s">
        <v>233</v>
      </c>
      <c r="C10601" s="2">
        <v>828.63419999999996</v>
      </c>
      <c r="D10601" s="2">
        <f>HYPERLINK("http://mcb-m6.bioreg.kyushu-u.ac.jp/M3/20110502/F51171/2382/1", 86.74)</f>
        <v>86.74</v>
      </c>
      <c r="E10601" s="2">
        <v>68.489999999999995</v>
      </c>
      <c r="F10601" s="2">
        <v>2</v>
      </c>
      <c r="G10601" s="2" t="s">
        <v>13</v>
      </c>
    </row>
    <row r="10602" spans="1:9" x14ac:dyDescent="0.2">
      <c r="A10602" s="2" t="s">
        <v>3427</v>
      </c>
      <c r="B10602" s="2" t="s">
        <v>1573</v>
      </c>
      <c r="C10602" s="2">
        <v>789.0652</v>
      </c>
      <c r="D10602" s="2">
        <f>HYPERLINK("http://mcb-m6.bioreg.kyushu-u.ac.jp/M3/20110502/F51171/2232/1", 108.35)</f>
        <v>108.35</v>
      </c>
      <c r="E10602" s="2">
        <v>89</v>
      </c>
      <c r="F10602" s="2">
        <v>2</v>
      </c>
      <c r="G10602" s="2" t="s">
        <v>13</v>
      </c>
    </row>
    <row r="10603" spans="1:9" x14ac:dyDescent="0.2">
      <c r="A10603" s="2" t="s">
        <v>3794</v>
      </c>
      <c r="B10603" s="2" t="s">
        <v>840</v>
      </c>
      <c r="C10603" s="2">
        <v>662.43870000000004</v>
      </c>
      <c r="D10603" s="2">
        <f>HYPERLINK("http://mcb-m6.bioreg.kyushu-u.ac.jp/M3/20110411/F50916/1447/1", 53.06)</f>
        <v>53.06</v>
      </c>
      <c r="E10603" s="2">
        <v>38.03</v>
      </c>
      <c r="F10603" s="2">
        <v>2</v>
      </c>
      <c r="G10603" s="2" t="s">
        <v>9</v>
      </c>
    </row>
    <row r="10604" spans="1:9" x14ac:dyDescent="0.2">
      <c r="A10604" s="2" t="s">
        <v>3794</v>
      </c>
      <c r="B10604" s="2" t="s">
        <v>2775</v>
      </c>
      <c r="C10604" s="2">
        <v>800.67759999999998</v>
      </c>
      <c r="D10604" s="2">
        <f>HYPERLINK("http://mcb-m6.bioreg.kyushu-u.ac.jp/M3/20110414/F50959/4361/1", 87.59)</f>
        <v>87.59</v>
      </c>
      <c r="E10604" s="2">
        <v>79.37</v>
      </c>
      <c r="F10604" s="2">
        <v>3</v>
      </c>
      <c r="G10604" s="2" t="s">
        <v>12</v>
      </c>
      <c r="I10604" s="2" t="s">
        <v>4905</v>
      </c>
    </row>
    <row r="10605" spans="1:9" x14ac:dyDescent="0.2">
      <c r="A10605" s="2" t="s">
        <v>4449</v>
      </c>
      <c r="B10605" s="2" t="s">
        <v>2355</v>
      </c>
      <c r="C10605" s="2">
        <v>661.17359999999996</v>
      </c>
      <c r="D10605" s="2">
        <f>HYPERLINK("http://mcb-m6.bioreg.kyushu-u.ac.jp/M3/20110414/F50924/1662/1", 49.65)</f>
        <v>49.65</v>
      </c>
      <c r="E10605" s="2">
        <v>32.76</v>
      </c>
      <c r="F10605" s="2">
        <v>2</v>
      </c>
      <c r="G10605" s="2" t="s">
        <v>11</v>
      </c>
    </row>
    <row r="10606" spans="1:9" x14ac:dyDescent="0.2">
      <c r="A10606" s="2" t="s">
        <v>4492</v>
      </c>
      <c r="B10606" s="2" t="s">
        <v>2468</v>
      </c>
      <c r="C10606" s="2">
        <v>624.28420000000006</v>
      </c>
      <c r="D10606" s="2">
        <f>HYPERLINK("http://mcb-m6.bioreg.kyushu-u.ac.jp/M3/20110414/F50924/1552/1", 73.54)</f>
        <v>73.540000000000006</v>
      </c>
      <c r="E10606" s="2">
        <v>53.45</v>
      </c>
      <c r="F10606" s="2">
        <v>2</v>
      </c>
      <c r="G10606" s="2" t="s">
        <v>11</v>
      </c>
    </row>
    <row r="10607" spans="1:9" x14ac:dyDescent="0.2">
      <c r="A10607" s="2" t="s">
        <v>4492</v>
      </c>
      <c r="B10607" s="2" t="s">
        <v>2468</v>
      </c>
      <c r="C10607" s="2">
        <v>624.65060000000005</v>
      </c>
      <c r="D10607" s="2">
        <f>HYPERLINK("http://mcb-m6.bioreg.kyushu-u.ac.jp/M3/20110502/F51181/1280/1", 83.69)</f>
        <v>83.69</v>
      </c>
      <c r="E10607" s="2">
        <v>56.82</v>
      </c>
      <c r="F10607" s="2">
        <v>2</v>
      </c>
      <c r="G10607" s="2" t="s">
        <v>14</v>
      </c>
    </row>
    <row r="10608" spans="1:9" x14ac:dyDescent="0.2">
      <c r="A10608" s="2" t="s">
        <v>3452</v>
      </c>
      <c r="B10608" s="2" t="s">
        <v>262</v>
      </c>
      <c r="C10608" s="2">
        <v>990.51</v>
      </c>
      <c r="D10608" s="2">
        <f>HYPERLINK("http://mcb-m6.bioreg.kyushu-u.ac.jp/M3/20110411/F50892/1294/1", 38.66)</f>
        <v>38.659999999999997</v>
      </c>
      <c r="E10608" s="2">
        <v>12.4</v>
      </c>
      <c r="F10608" s="2">
        <v>1</v>
      </c>
      <c r="G10608" s="2" t="s">
        <v>9</v>
      </c>
    </row>
    <row r="10609" spans="1:9" x14ac:dyDescent="0.2">
      <c r="A10609" s="2" t="s">
        <v>3452</v>
      </c>
      <c r="B10609" s="2" t="s">
        <v>262</v>
      </c>
      <c r="C10609" s="2">
        <v>503.82510000000002</v>
      </c>
      <c r="D10609" s="2">
        <f>HYPERLINK("http://mcb-m6.bioreg.kyushu-u.ac.jp/M3/20110411/F50892/1319/1", 47.85)</f>
        <v>47.85</v>
      </c>
      <c r="E10609" s="2">
        <v>20.059999999999999</v>
      </c>
      <c r="F10609" s="2">
        <v>2</v>
      </c>
      <c r="G10609" s="2" t="s">
        <v>9</v>
      </c>
      <c r="H10609" s="2" t="s">
        <v>4891</v>
      </c>
    </row>
    <row r="10610" spans="1:9" x14ac:dyDescent="0.2">
      <c r="A10610" s="2" t="s">
        <v>4047</v>
      </c>
      <c r="B10610" s="2" t="s">
        <v>1394</v>
      </c>
      <c r="C10610" s="2">
        <v>703.84619999999995</v>
      </c>
      <c r="D10610" s="2">
        <f>HYPERLINK("http://mcb-m6.bioreg.kyushu-u.ac.jp/M3/20110411/F50892/2029/1", 77.57)</f>
        <v>77.569999999999993</v>
      </c>
      <c r="E10610" s="2">
        <v>58.19</v>
      </c>
      <c r="F10610" s="2">
        <v>2</v>
      </c>
      <c r="G10610" s="2" t="s">
        <v>9</v>
      </c>
    </row>
    <row r="10611" spans="1:9" x14ac:dyDescent="0.2">
      <c r="A10611" s="2" t="s">
        <v>4055</v>
      </c>
      <c r="B10611" s="2" t="s">
        <v>1411</v>
      </c>
      <c r="C10611" s="2">
        <v>785.3066</v>
      </c>
      <c r="D10611" s="2">
        <f>HYPERLINK("http://mcb-m6.bioreg.kyushu-u.ac.jp/M3/20110411/F50891/2377/1", 78.34)</f>
        <v>78.34</v>
      </c>
      <c r="E10611" s="2">
        <v>59.02</v>
      </c>
      <c r="F10611" s="2">
        <v>2</v>
      </c>
      <c r="G10611" s="2" t="s">
        <v>9</v>
      </c>
    </row>
    <row r="10612" spans="1:9" x14ac:dyDescent="0.2">
      <c r="A10612" s="2" t="s">
        <v>4055</v>
      </c>
      <c r="B10612" s="2" t="s">
        <v>1632</v>
      </c>
      <c r="C10612" s="2">
        <v>849.42909999999995</v>
      </c>
      <c r="D10612" s="2">
        <f>HYPERLINK("http://mcb-m6.bioreg.kyushu-u.ac.jp/M3/20110411/F50891/2719/1", 105.4)</f>
        <v>105.4</v>
      </c>
      <c r="E10612" s="2">
        <v>80.48</v>
      </c>
      <c r="F10612" s="2">
        <v>2</v>
      </c>
      <c r="G10612" s="2" t="s">
        <v>9</v>
      </c>
    </row>
    <row r="10613" spans="1:9" x14ac:dyDescent="0.2">
      <c r="A10613" s="2" t="s">
        <v>4055</v>
      </c>
      <c r="B10613" s="2" t="s">
        <v>1632</v>
      </c>
      <c r="C10613" s="2">
        <v>848.88819999999998</v>
      </c>
      <c r="D10613" s="2">
        <f>HYPERLINK("http://mcb-m6.bioreg.kyushu-u.ac.jp/M3/20110411/F50891/2716/1", 124.84)</f>
        <v>124.84</v>
      </c>
      <c r="E10613" s="2">
        <v>101.72</v>
      </c>
      <c r="F10613" s="2">
        <v>2</v>
      </c>
      <c r="G10613" s="2" t="s">
        <v>9</v>
      </c>
    </row>
    <row r="10614" spans="1:9" x14ac:dyDescent="0.2">
      <c r="A10614" s="2" t="s">
        <v>4055</v>
      </c>
      <c r="B10614" s="2" t="s">
        <v>1889</v>
      </c>
      <c r="C10614" s="2">
        <v>616.21010000000001</v>
      </c>
      <c r="D10614" s="2">
        <f>HYPERLINK("http://mcb-m6.bioreg.kyushu-u.ac.jp/M3/20110411/F50898/1821/1", 46.89)</f>
        <v>46.89</v>
      </c>
      <c r="E10614" s="2">
        <v>28.02</v>
      </c>
      <c r="F10614" s="2">
        <v>2</v>
      </c>
      <c r="G10614" s="2" t="s">
        <v>10</v>
      </c>
      <c r="I10614" s="2" t="s">
        <v>4905</v>
      </c>
    </row>
    <row r="10615" spans="1:9" x14ac:dyDescent="0.2">
      <c r="A10615" s="2" t="s">
        <v>3893</v>
      </c>
      <c r="B10615" s="2" t="s">
        <v>1038</v>
      </c>
      <c r="C10615" s="2">
        <v>586.55359999999996</v>
      </c>
      <c r="D10615" s="2">
        <f>HYPERLINK("http://mcb-m6.bioreg.kyushu-u.ac.jp/M3/20110411/F50891/1309/1", 59.81)</f>
        <v>59.81</v>
      </c>
      <c r="E10615" s="2">
        <v>34.130000000000003</v>
      </c>
      <c r="F10615" s="2">
        <v>2</v>
      </c>
      <c r="G10615" s="2" t="s">
        <v>9</v>
      </c>
    </row>
    <row r="10616" spans="1:9" x14ac:dyDescent="0.2">
      <c r="A10616" s="2" t="s">
        <v>3893</v>
      </c>
      <c r="B10616" s="2" t="s">
        <v>1038</v>
      </c>
      <c r="C10616" s="2">
        <v>586.19209999999998</v>
      </c>
      <c r="D10616" s="2">
        <f>HYPERLINK("http://mcb-m6.bioreg.kyushu-u.ac.jp/M3/20110411/F50898/1750/1", 49.22)</f>
        <v>49.22</v>
      </c>
      <c r="E10616" s="2">
        <v>29.53</v>
      </c>
      <c r="F10616" s="2">
        <v>2</v>
      </c>
      <c r="G10616" s="2" t="s">
        <v>10</v>
      </c>
    </row>
    <row r="10617" spans="1:9" x14ac:dyDescent="0.2">
      <c r="A10617" s="2" t="s">
        <v>3893</v>
      </c>
      <c r="B10617" s="2" t="s">
        <v>1038</v>
      </c>
      <c r="C10617" s="2">
        <v>586.11569999999995</v>
      </c>
      <c r="D10617" s="2">
        <f>HYPERLINK("http://mcb-m6.bioreg.kyushu-u.ac.jp/M3/20110414/F50928/1575/1", 76.57)</f>
        <v>76.569999999999993</v>
      </c>
      <c r="E10617" s="2">
        <v>49.45</v>
      </c>
      <c r="F10617" s="2">
        <v>2</v>
      </c>
      <c r="G10617" s="2" t="s">
        <v>11</v>
      </c>
    </row>
    <row r="10618" spans="1:9" x14ac:dyDescent="0.2">
      <c r="A10618" s="2" t="s">
        <v>3893</v>
      </c>
      <c r="B10618" s="2" t="s">
        <v>1038</v>
      </c>
      <c r="C10618" s="2">
        <v>586.60310000000004</v>
      </c>
      <c r="D10618" s="2">
        <f>HYPERLINK("http://mcb-m6.bioreg.kyushu-u.ac.jp/M3/20110414/F50933/1763/1", 47.42)</f>
        <v>47.42</v>
      </c>
      <c r="E10618" s="2">
        <v>31.31</v>
      </c>
      <c r="F10618" s="2">
        <v>2</v>
      </c>
      <c r="G10618" s="2" t="s">
        <v>12</v>
      </c>
    </row>
    <row r="10619" spans="1:9" x14ac:dyDescent="0.2">
      <c r="A10619" s="2" t="s">
        <v>3893</v>
      </c>
      <c r="B10619" s="2" t="s">
        <v>1038</v>
      </c>
      <c r="C10619" s="2">
        <v>586.90009999999995</v>
      </c>
      <c r="D10619" s="2">
        <f>HYPERLINK("http://mcb-m6.bioreg.kyushu-u.ac.jp/M3/20110502/F51169/1529/1", 57.52)</f>
        <v>57.52</v>
      </c>
      <c r="E10619" s="2">
        <v>41.58</v>
      </c>
      <c r="F10619" s="2">
        <v>2</v>
      </c>
      <c r="G10619" s="2" t="s">
        <v>13</v>
      </c>
    </row>
    <row r="10620" spans="1:9" x14ac:dyDescent="0.2">
      <c r="A10620" s="2" t="s">
        <v>3893</v>
      </c>
      <c r="B10620" s="2" t="s">
        <v>1038</v>
      </c>
      <c r="C10620" s="2">
        <v>586.51120000000003</v>
      </c>
      <c r="D10620" s="2">
        <f>HYPERLINK("http://mcb-m6.bioreg.kyushu-u.ac.jp/M3/20110502/F51178/1461/1", 43.55)</f>
        <v>43.55</v>
      </c>
      <c r="E10620" s="2">
        <v>27.2</v>
      </c>
      <c r="F10620" s="2">
        <v>2</v>
      </c>
      <c r="G10620" s="2" t="s">
        <v>14</v>
      </c>
    </row>
    <row r="10621" spans="1:9" x14ac:dyDescent="0.2">
      <c r="A10621" s="2" t="s">
        <v>4069</v>
      </c>
      <c r="B10621" s="2" t="s">
        <v>1449</v>
      </c>
      <c r="C10621" s="2">
        <v>677.32619999999997</v>
      </c>
      <c r="D10621" s="2">
        <f>HYPERLINK("http://mcb-m6.bioreg.kyushu-u.ac.jp/M3/20110411/F50891/1738/1", 81.31)</f>
        <v>81.31</v>
      </c>
      <c r="E10621" s="2">
        <v>52.94</v>
      </c>
      <c r="F10621" s="2">
        <v>2</v>
      </c>
      <c r="G10621" s="2" t="s">
        <v>9</v>
      </c>
      <c r="H10621" s="2" t="s">
        <v>4910</v>
      </c>
    </row>
    <row r="10622" spans="1:9" x14ac:dyDescent="0.2">
      <c r="A10622" s="2" t="s">
        <v>4069</v>
      </c>
      <c r="B10622" s="2" t="s">
        <v>1449</v>
      </c>
      <c r="C10622" s="2">
        <v>669.43119999999999</v>
      </c>
      <c r="D10622" s="2">
        <f>HYPERLINK("http://mcb-m6.bioreg.kyushu-u.ac.jp/M3/20110411/F50898/1942/1", 89.14)</f>
        <v>89.14</v>
      </c>
      <c r="E10622" s="2">
        <v>65.510000000000005</v>
      </c>
      <c r="F10622" s="2">
        <v>2</v>
      </c>
      <c r="G10622" s="2" t="s">
        <v>10</v>
      </c>
    </row>
    <row r="10623" spans="1:9" x14ac:dyDescent="0.2">
      <c r="A10623" s="2" t="s">
        <v>4069</v>
      </c>
      <c r="B10623" s="2" t="s">
        <v>1449</v>
      </c>
      <c r="C10623" s="2">
        <v>677.01509999999996</v>
      </c>
      <c r="D10623" s="2">
        <f>HYPERLINK("http://mcb-m6.bioreg.kyushu-u.ac.jp/M3/20110414/F50928/1947/1", 73.78)</f>
        <v>73.78</v>
      </c>
      <c r="E10623" s="2">
        <v>47.94</v>
      </c>
      <c r="F10623" s="2">
        <v>2</v>
      </c>
      <c r="G10623" s="2" t="s">
        <v>11</v>
      </c>
      <c r="H10623" s="2" t="s">
        <v>4910</v>
      </c>
    </row>
    <row r="10624" spans="1:9" x14ac:dyDescent="0.2">
      <c r="A10624" s="2" t="s">
        <v>3443</v>
      </c>
      <c r="B10624" s="2" t="s">
        <v>252</v>
      </c>
      <c r="C10624" s="2">
        <v>531.92110000000002</v>
      </c>
      <c r="D10624" s="2">
        <f>HYPERLINK("http://mcb-m6.bioreg.kyushu-u.ac.jp/M3/20110411/F50904/1227/1", 38.5)</f>
        <v>38.5</v>
      </c>
      <c r="E10624" s="2">
        <v>20.43</v>
      </c>
      <c r="F10624" s="2">
        <v>2</v>
      </c>
      <c r="G10624" s="2" t="s">
        <v>9</v>
      </c>
    </row>
    <row r="10625" spans="1:9" x14ac:dyDescent="0.2">
      <c r="A10625" s="2" t="s">
        <v>3443</v>
      </c>
      <c r="B10625" s="2" t="s">
        <v>488</v>
      </c>
      <c r="C10625" s="2">
        <v>487.38459999999998</v>
      </c>
      <c r="D10625" s="2">
        <f>HYPERLINK("http://mcb-m6.bioreg.kyushu-u.ac.jp/M3/20110411/F50904/1092/1", 42.95)</f>
        <v>42.95</v>
      </c>
      <c r="E10625" s="2">
        <v>17.78</v>
      </c>
      <c r="F10625" s="2">
        <v>2</v>
      </c>
      <c r="G10625" s="2" t="s">
        <v>9</v>
      </c>
    </row>
    <row r="10626" spans="1:9" x14ac:dyDescent="0.2">
      <c r="A10626" s="2" t="s">
        <v>3443</v>
      </c>
      <c r="B10626" s="2" t="s">
        <v>1074</v>
      </c>
      <c r="C10626" s="2">
        <v>579.43470000000002</v>
      </c>
      <c r="D10626" s="2">
        <f>HYPERLINK("http://mcb-m6.bioreg.kyushu-u.ac.jp/M3/20110411/F50904/1362/1", 61.77)</f>
        <v>61.77</v>
      </c>
      <c r="E10626" s="2">
        <v>29.05</v>
      </c>
      <c r="F10626" s="2">
        <v>2</v>
      </c>
      <c r="G10626" s="2" t="s">
        <v>9</v>
      </c>
    </row>
    <row r="10627" spans="1:9" x14ac:dyDescent="0.2">
      <c r="A10627" s="2" t="s">
        <v>3443</v>
      </c>
      <c r="B10627" s="2" t="s">
        <v>1174</v>
      </c>
      <c r="C10627" s="2">
        <v>739.64570000000003</v>
      </c>
      <c r="D10627" s="2">
        <f>HYPERLINK("http://mcb-m6.bioreg.kyushu-u.ac.jp/M3/20110411/F50904/2041/1", 65.89)</f>
        <v>65.89</v>
      </c>
      <c r="E10627" s="2">
        <v>36.4</v>
      </c>
      <c r="F10627" s="2">
        <v>2</v>
      </c>
      <c r="G10627" s="2" t="s">
        <v>9</v>
      </c>
    </row>
    <row r="10628" spans="1:9" x14ac:dyDescent="0.2">
      <c r="A10628" s="2" t="s">
        <v>3443</v>
      </c>
      <c r="B10628" s="2" t="s">
        <v>1557</v>
      </c>
      <c r="C10628" s="2">
        <v>665.06460000000004</v>
      </c>
      <c r="D10628" s="2">
        <f>HYPERLINK("http://mcb-m6.bioreg.kyushu-u.ac.jp/M3/20110411/F50904/1667/1", 92.4)</f>
        <v>92.4</v>
      </c>
      <c r="E10628" s="2">
        <v>62.82</v>
      </c>
      <c r="F10628" s="2">
        <v>2</v>
      </c>
      <c r="G10628" s="2" t="s">
        <v>9</v>
      </c>
    </row>
    <row r="10629" spans="1:9" x14ac:dyDescent="0.2">
      <c r="A10629" s="2" t="s">
        <v>3443</v>
      </c>
      <c r="B10629" s="2" t="s">
        <v>488</v>
      </c>
      <c r="C10629" s="2">
        <v>487.12759999999997</v>
      </c>
      <c r="D10629" s="2">
        <f>HYPERLINK("http://mcb-m6.bioreg.kyushu-u.ac.jp/M3/20110411/F50912/1031/1", 38.1)</f>
        <v>38.1</v>
      </c>
      <c r="E10629" s="2">
        <v>14.26</v>
      </c>
      <c r="F10629" s="2">
        <v>2</v>
      </c>
      <c r="G10629" s="2" t="s">
        <v>10</v>
      </c>
    </row>
    <row r="10630" spans="1:9" x14ac:dyDescent="0.2">
      <c r="A10630" s="2" t="s">
        <v>3443</v>
      </c>
      <c r="B10630" s="2" t="s">
        <v>1775</v>
      </c>
      <c r="C10630" s="2">
        <v>609.74069999999995</v>
      </c>
      <c r="D10630" s="2">
        <f>HYPERLINK("http://mcb-m6.bioreg.kyushu-u.ac.jp/M3/20110411/F50912/1484/1", 38.57)</f>
        <v>38.57</v>
      </c>
      <c r="E10630" s="2">
        <v>15.92</v>
      </c>
      <c r="F10630" s="2">
        <v>2</v>
      </c>
      <c r="G10630" s="2" t="s">
        <v>10</v>
      </c>
      <c r="I10630" s="2" t="s">
        <v>4890</v>
      </c>
    </row>
    <row r="10631" spans="1:9" x14ac:dyDescent="0.2">
      <c r="A10631" s="2" t="s">
        <v>3443</v>
      </c>
      <c r="B10631" s="2" t="s">
        <v>1074</v>
      </c>
      <c r="C10631" s="2">
        <v>1158.8119999999999</v>
      </c>
      <c r="D10631" s="2">
        <f>HYPERLINK("http://mcb-m6.bioreg.kyushu-u.ac.jp/M3/20110411/F50912/1348/1", 44.1)</f>
        <v>44.1</v>
      </c>
      <c r="E10631" s="2">
        <v>8.9700000000000006</v>
      </c>
      <c r="F10631" s="2">
        <v>1</v>
      </c>
      <c r="G10631" s="2" t="s">
        <v>10</v>
      </c>
    </row>
    <row r="10632" spans="1:9" x14ac:dyDescent="0.2">
      <c r="A10632" s="2" t="s">
        <v>3443</v>
      </c>
      <c r="B10632" s="2" t="s">
        <v>1557</v>
      </c>
      <c r="C10632" s="2">
        <v>665.05769999999995</v>
      </c>
      <c r="D10632" s="2">
        <f>HYPERLINK("http://mcb-m6.bioreg.kyushu-u.ac.jp/M3/20110411/F50912/1672/1", 46.35)</f>
        <v>46.35</v>
      </c>
      <c r="E10632" s="2">
        <v>25.04</v>
      </c>
      <c r="F10632" s="2">
        <v>2</v>
      </c>
      <c r="G10632" s="2" t="s">
        <v>10</v>
      </c>
    </row>
    <row r="10633" spans="1:9" x14ac:dyDescent="0.2">
      <c r="A10633" s="2" t="s">
        <v>3443</v>
      </c>
      <c r="B10633" s="2" t="s">
        <v>1174</v>
      </c>
      <c r="C10633" s="2">
        <v>739.66520000000003</v>
      </c>
      <c r="D10633" s="2">
        <f>HYPERLINK("http://mcb-m6.bioreg.kyushu-u.ac.jp/M3/20110411/F50912/2024/1", 70.49)</f>
        <v>70.489999999999995</v>
      </c>
      <c r="E10633" s="2">
        <v>44.77</v>
      </c>
      <c r="F10633" s="2">
        <v>2</v>
      </c>
      <c r="G10633" s="2" t="s">
        <v>10</v>
      </c>
    </row>
    <row r="10634" spans="1:9" x14ac:dyDescent="0.2">
      <c r="A10634" s="2" t="s">
        <v>3443</v>
      </c>
      <c r="B10634" s="2" t="s">
        <v>1074</v>
      </c>
      <c r="C10634" s="2">
        <v>579.4606</v>
      </c>
      <c r="D10634" s="2">
        <f>HYPERLINK("http://mcb-m6.bioreg.kyushu-u.ac.jp/M3/20110411/F50912/1345/1", 73.52)</f>
        <v>73.52</v>
      </c>
      <c r="E10634" s="2">
        <v>45.26</v>
      </c>
      <c r="F10634" s="2">
        <v>2</v>
      </c>
      <c r="G10634" s="2" t="s">
        <v>10</v>
      </c>
    </row>
    <row r="10635" spans="1:9" x14ac:dyDescent="0.2">
      <c r="A10635" s="2" t="s">
        <v>3443</v>
      </c>
      <c r="B10635" s="2" t="s">
        <v>2139</v>
      </c>
      <c r="C10635" s="2">
        <v>690.57460000000003</v>
      </c>
      <c r="D10635" s="2">
        <f>HYPERLINK("http://mcb-m6.bioreg.kyushu-u.ac.jp/M3/20110411/F50912/1797/1", 109.24)</f>
        <v>109.24</v>
      </c>
      <c r="E10635" s="2">
        <v>76.39</v>
      </c>
      <c r="F10635" s="2">
        <v>2</v>
      </c>
      <c r="G10635" s="2" t="s">
        <v>10</v>
      </c>
    </row>
    <row r="10636" spans="1:9" x14ac:dyDescent="0.2">
      <c r="A10636" s="2" t="s">
        <v>3443</v>
      </c>
      <c r="B10636" s="2" t="s">
        <v>1557</v>
      </c>
      <c r="C10636" s="2">
        <v>665.25369999999998</v>
      </c>
      <c r="D10636" s="2">
        <f>HYPERLINK("http://mcb-m6.bioreg.kyushu-u.ac.jp/M3/20110414/F50941/1631/1", 50.01)</f>
        <v>50.01</v>
      </c>
      <c r="E10636" s="2">
        <v>29.01</v>
      </c>
      <c r="F10636" s="2">
        <v>2</v>
      </c>
      <c r="G10636" s="2" t="s">
        <v>11</v>
      </c>
    </row>
    <row r="10637" spans="1:9" x14ac:dyDescent="0.2">
      <c r="A10637" s="2" t="s">
        <v>3443</v>
      </c>
      <c r="B10637" s="2" t="s">
        <v>2732</v>
      </c>
      <c r="C10637" s="2">
        <v>916.41359999999997</v>
      </c>
      <c r="D10637" s="2">
        <f>HYPERLINK("http://mcb-m6.bioreg.kyushu-u.ac.jp/M3/20110414/F50947/2996/1", 69.32)</f>
        <v>69.319999999999993</v>
      </c>
      <c r="E10637" s="2">
        <v>53.95</v>
      </c>
      <c r="F10637" s="2">
        <v>2</v>
      </c>
      <c r="G10637" s="2" t="s">
        <v>12</v>
      </c>
    </row>
    <row r="10638" spans="1:9" x14ac:dyDescent="0.2">
      <c r="A10638" s="2" t="s">
        <v>3443</v>
      </c>
      <c r="B10638" s="2" t="s">
        <v>2139</v>
      </c>
      <c r="C10638" s="2">
        <v>690.58420000000001</v>
      </c>
      <c r="D10638" s="2">
        <f>HYPERLINK("http://mcb-m6.bioreg.kyushu-u.ac.jp/M3/20110502/F51191/1497/1", 91.47)</f>
        <v>91.47</v>
      </c>
      <c r="E10638" s="2">
        <v>63.39</v>
      </c>
      <c r="F10638" s="2">
        <v>2</v>
      </c>
      <c r="G10638" s="2" t="s">
        <v>14</v>
      </c>
    </row>
    <row r="10639" spans="1:9" x14ac:dyDescent="0.2">
      <c r="A10639" s="2" t="s">
        <v>3818</v>
      </c>
      <c r="B10639" s="2" t="s">
        <v>880</v>
      </c>
      <c r="C10639" s="2">
        <v>814.96310000000005</v>
      </c>
      <c r="D10639" s="2">
        <f>HYPERLINK("http://mcb-m6.bioreg.kyushu-u.ac.jp/M3/20110411/F50891/2523/1", 54.26)</f>
        <v>54.26</v>
      </c>
      <c r="E10639" s="2">
        <v>28.42</v>
      </c>
      <c r="F10639" s="2">
        <v>2</v>
      </c>
      <c r="G10639" s="2" t="s">
        <v>9</v>
      </c>
    </row>
    <row r="10640" spans="1:9" x14ac:dyDescent="0.2">
      <c r="A10640" s="2" t="s">
        <v>4512</v>
      </c>
      <c r="B10640" s="2" t="s">
        <v>2521</v>
      </c>
      <c r="C10640" s="2">
        <v>943.37199999999996</v>
      </c>
      <c r="D10640" s="2">
        <f>HYPERLINK("http://mcb-m6.bioreg.kyushu-u.ac.jp/M3/20110414/F50946/899/1", 35.42)</f>
        <v>35.42</v>
      </c>
      <c r="E10640" s="2">
        <v>11.56</v>
      </c>
      <c r="F10640" s="2">
        <v>1</v>
      </c>
      <c r="G10640" s="2" t="s">
        <v>12</v>
      </c>
      <c r="H10640" s="2" t="s">
        <v>4904</v>
      </c>
    </row>
    <row r="10641" spans="1:7" x14ac:dyDescent="0.2">
      <c r="A10641" s="4" t="s">
        <v>3677</v>
      </c>
      <c r="B10641" s="2" t="s">
        <v>632</v>
      </c>
      <c r="C10641" s="2">
        <v>828.18910000000005</v>
      </c>
      <c r="D10641" s="2">
        <f>HYPERLINK("http://mcb-m6.bioreg.kyushu-u.ac.jp/M3/20110411/F50903/2457/1", 46.72)</f>
        <v>46.72</v>
      </c>
      <c r="E10641" s="2">
        <v>24.89</v>
      </c>
      <c r="F10641" s="2">
        <v>2</v>
      </c>
      <c r="G10641" s="2" t="s">
        <v>9</v>
      </c>
    </row>
    <row r="10642" spans="1:7" x14ac:dyDescent="0.2">
      <c r="A10642" s="2" t="s">
        <v>4857</v>
      </c>
      <c r="B10642" s="2" t="s">
        <v>3140</v>
      </c>
      <c r="C10642" s="2">
        <v>510.28660000000002</v>
      </c>
      <c r="D10642" s="2">
        <f>HYPERLINK("http://mcb-m6.bioreg.kyushu-u.ac.jp/M3/20110502/F51176/1475/1", 50.92)</f>
        <v>50.92</v>
      </c>
      <c r="E10642" s="2">
        <v>10.02</v>
      </c>
      <c r="F10642" s="2">
        <v>2</v>
      </c>
      <c r="G10642" s="2" t="s">
        <v>14</v>
      </c>
    </row>
    <row r="10643" spans="1:7" x14ac:dyDescent="0.2">
      <c r="A10643" s="2" t="s">
        <v>3854</v>
      </c>
      <c r="B10643" s="2" t="s">
        <v>956</v>
      </c>
      <c r="C10643" s="2">
        <v>831.04570000000001</v>
      </c>
      <c r="D10643" s="2">
        <f>HYPERLINK("http://mcb-m6.bioreg.kyushu-u.ac.jp/M3/20110411/F50889/2509/1", 56.77)</f>
        <v>56.77</v>
      </c>
      <c r="E10643" s="2">
        <v>45.19</v>
      </c>
      <c r="F10643" s="2">
        <v>2</v>
      </c>
      <c r="G10643" s="2" t="s">
        <v>9</v>
      </c>
    </row>
    <row r="10644" spans="1:7" x14ac:dyDescent="0.2">
      <c r="A10644" s="2" t="s">
        <v>4582</v>
      </c>
      <c r="B10644" s="2" t="s">
        <v>2639</v>
      </c>
      <c r="C10644" s="2">
        <v>833.22500000000002</v>
      </c>
      <c r="D10644" s="2">
        <f>HYPERLINK("http://mcb-m6.bioreg.kyushu-u.ac.jp/M3/20110414/F50966/655/1", 45.5)</f>
        <v>45.5</v>
      </c>
      <c r="E10644" s="2">
        <v>15.67</v>
      </c>
      <c r="F10644" s="2">
        <v>1</v>
      </c>
      <c r="G10644" s="2" t="s">
        <v>12</v>
      </c>
    </row>
    <row r="10645" spans="1:7" x14ac:dyDescent="0.2">
      <c r="A10645" s="2" t="s">
        <v>4128</v>
      </c>
      <c r="B10645" s="2" t="s">
        <v>1652</v>
      </c>
      <c r="C10645" s="2">
        <v>859.76670000000001</v>
      </c>
      <c r="D10645" s="2">
        <f>HYPERLINK("http://mcb-m6.bioreg.kyushu-u.ac.jp/M3/20110411/F50890/2788/1", 110.91)</f>
        <v>110.91</v>
      </c>
      <c r="E10645" s="2">
        <v>41.39</v>
      </c>
      <c r="F10645" s="2">
        <v>2</v>
      </c>
      <c r="G10645" s="2" t="s">
        <v>9</v>
      </c>
    </row>
    <row r="10646" spans="1:7" x14ac:dyDescent="0.2">
      <c r="A10646" s="2" t="s">
        <v>4128</v>
      </c>
      <c r="B10646" s="2" t="s">
        <v>1652</v>
      </c>
      <c r="C10646" s="2">
        <v>860.04570000000001</v>
      </c>
      <c r="D10646" s="2">
        <f>HYPERLINK("http://mcb-m6.bioreg.kyushu-u.ac.jp/M3/20110414/F50927/2771/1", 104.43)</f>
        <v>104.43</v>
      </c>
      <c r="E10646" s="2">
        <v>2.46</v>
      </c>
      <c r="F10646" s="2">
        <v>2</v>
      </c>
      <c r="G10646" s="2" t="s">
        <v>11</v>
      </c>
    </row>
    <row r="10647" spans="1:7" x14ac:dyDescent="0.2">
      <c r="A10647" s="2" t="s">
        <v>3374</v>
      </c>
      <c r="B10647" s="2" t="s">
        <v>166</v>
      </c>
      <c r="C10647" s="2">
        <v>1314.5740000000001</v>
      </c>
      <c r="D10647" s="2">
        <f>HYPERLINK("http://mcb-m6.bioreg.kyushu-u.ac.jp/M3/20110411/F50890/1743/1", 37.09)</f>
        <v>37.090000000000003</v>
      </c>
      <c r="E10647" s="2">
        <v>16.12</v>
      </c>
      <c r="F10647" s="2">
        <v>1</v>
      </c>
      <c r="G10647" s="2" t="s">
        <v>9</v>
      </c>
    </row>
    <row r="10648" spans="1:7" x14ac:dyDescent="0.2">
      <c r="A10648" s="2" t="s">
        <v>3374</v>
      </c>
      <c r="B10648" s="2" t="s">
        <v>283</v>
      </c>
      <c r="C10648" s="2">
        <v>754.37919999999997</v>
      </c>
      <c r="D10648" s="2">
        <f>HYPERLINK("http://mcb-m6.bioreg.kyushu-u.ac.jp/M3/20110411/F50890/2271/1", 38.96)</f>
        <v>38.96</v>
      </c>
      <c r="E10648" s="2">
        <v>20.3</v>
      </c>
      <c r="F10648" s="2">
        <v>2</v>
      </c>
      <c r="G10648" s="2" t="s">
        <v>9</v>
      </c>
    </row>
    <row r="10649" spans="1:7" x14ac:dyDescent="0.2">
      <c r="A10649" s="2" t="s">
        <v>3374</v>
      </c>
      <c r="B10649" s="2" t="s">
        <v>283</v>
      </c>
      <c r="C10649" s="2">
        <v>754.40520000000004</v>
      </c>
      <c r="D10649" s="2">
        <f>HYPERLINK("http://mcb-m6.bioreg.kyushu-u.ac.jp/M3/20110411/F50914/2157/1", 42.78)</f>
        <v>42.78</v>
      </c>
      <c r="E10649" s="2">
        <v>29.33</v>
      </c>
      <c r="F10649" s="2">
        <v>2</v>
      </c>
      <c r="G10649" s="2" t="s">
        <v>10</v>
      </c>
    </row>
    <row r="10650" spans="1:7" x14ac:dyDescent="0.2">
      <c r="A10650" s="2" t="s">
        <v>3374</v>
      </c>
      <c r="B10650" s="2" t="s">
        <v>283</v>
      </c>
      <c r="C10650" s="2">
        <v>753.99069999999995</v>
      </c>
      <c r="D10650" s="2">
        <f>HYPERLINK("http://mcb-m6.bioreg.kyushu-u.ac.jp/M3/20110411/F50897/2051/1", 70.15)</f>
        <v>70.150000000000006</v>
      </c>
      <c r="E10650" s="2">
        <v>49.41</v>
      </c>
      <c r="F10650" s="2">
        <v>2</v>
      </c>
      <c r="G10650" s="2" t="s">
        <v>10</v>
      </c>
    </row>
    <row r="10651" spans="1:7" x14ac:dyDescent="0.2">
      <c r="A10651" s="2" t="s">
        <v>3374</v>
      </c>
      <c r="B10651" s="2" t="s">
        <v>283</v>
      </c>
      <c r="C10651" s="2">
        <v>753.80110000000002</v>
      </c>
      <c r="D10651" s="2">
        <f>HYPERLINK("http://mcb-m6.bioreg.kyushu-u.ac.jp/M3/20110414/F50927/2378/1", 58.79)</f>
        <v>58.79</v>
      </c>
      <c r="E10651" s="2">
        <v>35.229999999999997</v>
      </c>
      <c r="F10651" s="2">
        <v>2</v>
      </c>
      <c r="G10651" s="2" t="s">
        <v>11</v>
      </c>
    </row>
    <row r="10652" spans="1:7" x14ac:dyDescent="0.2">
      <c r="A10652" s="2" t="s">
        <v>3374</v>
      </c>
      <c r="B10652" s="2" t="s">
        <v>283</v>
      </c>
      <c r="C10652" s="2">
        <v>753.56769999999995</v>
      </c>
      <c r="D10652" s="2">
        <f>HYPERLINK("http://mcb-m6.bioreg.kyushu-u.ac.jp/M3/20110414/F50927/2373/1", 74.77)</f>
        <v>74.77</v>
      </c>
      <c r="E10652" s="2">
        <v>46.59</v>
      </c>
      <c r="F10652" s="2">
        <v>2</v>
      </c>
      <c r="G10652" s="2" t="s">
        <v>11</v>
      </c>
    </row>
    <row r="10653" spans="1:7" x14ac:dyDescent="0.2">
      <c r="A10653" s="2" t="s">
        <v>3374</v>
      </c>
      <c r="B10653" s="2" t="s">
        <v>283</v>
      </c>
      <c r="C10653" s="2">
        <v>753.63869999999997</v>
      </c>
      <c r="D10653" s="2">
        <f>HYPERLINK("http://mcb-m6.bioreg.kyushu-u.ac.jp/M3/20110414/F50928/2391/1", 88.97)</f>
        <v>88.97</v>
      </c>
      <c r="E10653" s="2">
        <v>55.15</v>
      </c>
      <c r="F10653" s="2">
        <v>2</v>
      </c>
      <c r="G10653" s="2" t="s">
        <v>11</v>
      </c>
    </row>
    <row r="10654" spans="1:7" x14ac:dyDescent="0.2">
      <c r="A10654" s="2" t="s">
        <v>3374</v>
      </c>
      <c r="B10654" s="2" t="s">
        <v>166</v>
      </c>
      <c r="C10654" s="2">
        <v>657.75519999999995</v>
      </c>
      <c r="D10654" s="2">
        <f>HYPERLINK("http://mcb-m6.bioreg.kyushu-u.ac.jp/M3/20110414/F50932/2005/1", 58.26)</f>
        <v>58.26</v>
      </c>
      <c r="E10654" s="2">
        <v>38.28</v>
      </c>
      <c r="F10654" s="2">
        <v>2</v>
      </c>
      <c r="G10654" s="2" t="s">
        <v>12</v>
      </c>
    </row>
    <row r="10655" spans="1:7" x14ac:dyDescent="0.2">
      <c r="A10655" s="2" t="s">
        <v>3374</v>
      </c>
      <c r="B10655" s="2" t="s">
        <v>283</v>
      </c>
      <c r="C10655" s="2">
        <v>754.0847</v>
      </c>
      <c r="D10655" s="2">
        <f>HYPERLINK("http://mcb-m6.bioreg.kyushu-u.ac.jp/M3/20110414/F50932/2371/1", 74.33)</f>
        <v>74.33</v>
      </c>
      <c r="E10655" s="2">
        <v>59.66</v>
      </c>
      <c r="F10655" s="2">
        <v>2</v>
      </c>
      <c r="G10655" s="2" t="s">
        <v>12</v>
      </c>
    </row>
    <row r="10656" spans="1:7" x14ac:dyDescent="0.2">
      <c r="A10656" s="2" t="s">
        <v>3374</v>
      </c>
      <c r="B10656" s="2" t="s">
        <v>283</v>
      </c>
      <c r="C10656" s="2">
        <v>754.13760000000002</v>
      </c>
      <c r="D10656" s="2">
        <f>HYPERLINK("http://mcb-m6.bioreg.kyushu-u.ac.jp/M3/20110502/F51177/1937/1", 92.69)</f>
        <v>92.69</v>
      </c>
      <c r="E10656" s="2">
        <v>68.150000000000006</v>
      </c>
      <c r="F10656" s="2">
        <v>2</v>
      </c>
      <c r="G10656" s="2" t="s">
        <v>14</v>
      </c>
    </row>
    <row r="10657" spans="1:8" x14ac:dyDescent="0.2">
      <c r="A10657" s="2" t="s">
        <v>3624</v>
      </c>
      <c r="B10657" s="2" t="s">
        <v>536</v>
      </c>
      <c r="C10657" s="2">
        <v>485.20409999999998</v>
      </c>
      <c r="D10657" s="2">
        <f>HYPERLINK("http://mcb-m6.bioreg.kyushu-u.ac.jp/M3/20110411/F50890/1064/1", 44.13)</f>
        <v>44.13</v>
      </c>
      <c r="E10657" s="2">
        <v>12.32</v>
      </c>
      <c r="F10657" s="2">
        <v>2</v>
      </c>
      <c r="G10657" s="2" t="s">
        <v>9</v>
      </c>
    </row>
    <row r="10658" spans="1:8" x14ac:dyDescent="0.2">
      <c r="A10658" s="2" t="s">
        <v>3481</v>
      </c>
      <c r="B10658" s="2" t="s">
        <v>303</v>
      </c>
      <c r="C10658" s="2">
        <v>951.36900000000003</v>
      </c>
      <c r="D10658" s="2">
        <f>HYPERLINK("http://mcb-m6.bioreg.kyushu-u.ac.jp/M3/20110411/F50890/1011/1", 39.32)</f>
        <v>39.32</v>
      </c>
      <c r="E10658" s="2">
        <v>16.36</v>
      </c>
      <c r="F10658" s="2">
        <v>1</v>
      </c>
      <c r="G10658" s="2" t="s">
        <v>9</v>
      </c>
    </row>
    <row r="10659" spans="1:8" x14ac:dyDescent="0.2">
      <c r="A10659" s="2" t="s">
        <v>3956</v>
      </c>
      <c r="B10659" s="2" t="s">
        <v>1164</v>
      </c>
      <c r="C10659" s="2">
        <v>734.17719999999997</v>
      </c>
      <c r="D10659" s="2">
        <f>HYPERLINK("http://mcb-m6.bioreg.kyushu-u.ac.jp/M3/20110411/F50904/2013/1", 65.59)</f>
        <v>65.59</v>
      </c>
      <c r="E10659" s="2">
        <v>47.55</v>
      </c>
      <c r="F10659" s="2">
        <v>2</v>
      </c>
      <c r="G10659" s="2" t="s">
        <v>9</v>
      </c>
      <c r="H10659" s="2" t="s">
        <v>4904</v>
      </c>
    </row>
    <row r="10660" spans="1:8" x14ac:dyDescent="0.2">
      <c r="A10660" s="2" t="s">
        <v>3956</v>
      </c>
      <c r="B10660" s="2" t="s">
        <v>1551</v>
      </c>
      <c r="C10660" s="2">
        <v>593.45370000000003</v>
      </c>
      <c r="D10660" s="2">
        <f>HYPERLINK("http://mcb-m6.bioreg.kyushu-u.ac.jp/M3/20110411/F50904/1406/1", 91.49)</f>
        <v>91.49</v>
      </c>
      <c r="E10660" s="2">
        <v>56.61</v>
      </c>
      <c r="F10660" s="2">
        <v>2</v>
      </c>
      <c r="G10660" s="2" t="s">
        <v>9</v>
      </c>
    </row>
    <row r="10661" spans="1:8" x14ac:dyDescent="0.2">
      <c r="A10661" s="2" t="s">
        <v>3956</v>
      </c>
      <c r="B10661" s="2" t="s">
        <v>1608</v>
      </c>
      <c r="C10661" s="2">
        <v>837.61569999999995</v>
      </c>
      <c r="D10661" s="2">
        <f>HYPERLINK("http://mcb-m6.bioreg.kyushu-u.ac.jp/M3/20110411/F50904/2475/1", 99.23)</f>
        <v>99.23</v>
      </c>
      <c r="E10661" s="2">
        <v>78.61</v>
      </c>
      <c r="F10661" s="2">
        <v>2</v>
      </c>
      <c r="G10661" s="2" t="s">
        <v>9</v>
      </c>
    </row>
    <row r="10662" spans="1:8" x14ac:dyDescent="0.2">
      <c r="A10662" s="2" t="s">
        <v>3956</v>
      </c>
      <c r="B10662" s="2" t="s">
        <v>1164</v>
      </c>
      <c r="C10662" s="2">
        <v>734.12620000000004</v>
      </c>
      <c r="D10662" s="2">
        <f>HYPERLINK("http://mcb-m6.bioreg.kyushu-u.ac.jp/M3/20110411/F50912/2002/1", 62.92)</f>
        <v>62.92</v>
      </c>
      <c r="E10662" s="2">
        <v>44.8</v>
      </c>
      <c r="F10662" s="2">
        <v>2</v>
      </c>
      <c r="G10662" s="2" t="s">
        <v>10</v>
      </c>
      <c r="H10662" s="2" t="s">
        <v>4904</v>
      </c>
    </row>
    <row r="10663" spans="1:8" x14ac:dyDescent="0.2">
      <c r="A10663" s="2" t="s">
        <v>3956</v>
      </c>
      <c r="B10663" s="2" t="s">
        <v>2119</v>
      </c>
      <c r="C10663" s="2">
        <v>787.07759999999996</v>
      </c>
      <c r="D10663" s="2">
        <f>HYPERLINK("http://mcb-m6.bioreg.kyushu-u.ac.jp/M3/20110411/F50912/2277/1", 86.65)</f>
        <v>86.65</v>
      </c>
      <c r="E10663" s="2">
        <v>66.650000000000006</v>
      </c>
      <c r="F10663" s="2">
        <v>2</v>
      </c>
      <c r="G10663" s="2" t="s">
        <v>10</v>
      </c>
    </row>
    <row r="10664" spans="1:8" x14ac:dyDescent="0.2">
      <c r="A10664" s="2" t="s">
        <v>3956</v>
      </c>
      <c r="B10664" s="2" t="s">
        <v>1551</v>
      </c>
      <c r="C10664" s="2">
        <v>593.59220000000005</v>
      </c>
      <c r="D10664" s="2">
        <f>HYPERLINK("http://mcb-m6.bioreg.kyushu-u.ac.jp/M3/20110411/F50912/1405/1", 89.48)</f>
        <v>89.48</v>
      </c>
      <c r="E10664" s="2">
        <v>53.46</v>
      </c>
      <c r="F10664" s="2">
        <v>2</v>
      </c>
      <c r="G10664" s="2" t="s">
        <v>10</v>
      </c>
    </row>
    <row r="10665" spans="1:8" x14ac:dyDescent="0.2">
      <c r="A10665" s="2" t="s">
        <v>3956</v>
      </c>
      <c r="B10665" s="2" t="s">
        <v>1551</v>
      </c>
      <c r="C10665" s="2">
        <v>593.30319999999995</v>
      </c>
      <c r="D10665" s="2">
        <f>HYPERLINK("http://mcb-m6.bioreg.kyushu-u.ac.jp/M3/20110414/F50962/1201/1", 48.77)</f>
        <v>48.77</v>
      </c>
      <c r="E10665" s="2">
        <v>20.86</v>
      </c>
      <c r="F10665" s="2">
        <v>2</v>
      </c>
      <c r="G10665" s="2" t="s">
        <v>11</v>
      </c>
    </row>
    <row r="10666" spans="1:8" x14ac:dyDescent="0.2">
      <c r="A10666" s="2" t="s">
        <v>4003</v>
      </c>
      <c r="B10666" s="2" t="s">
        <v>1294</v>
      </c>
      <c r="C10666" s="2">
        <v>575.57209999999998</v>
      </c>
      <c r="D10666" s="2">
        <f>HYPERLINK("http://mcb-m6.bioreg.kyushu-u.ac.jp/M3/20110411/F50904/1349/1", 71.14)</f>
        <v>71.14</v>
      </c>
      <c r="E10666" s="2">
        <v>45.91</v>
      </c>
      <c r="F10666" s="2">
        <v>2</v>
      </c>
      <c r="G10666" s="2" t="s">
        <v>9</v>
      </c>
    </row>
    <row r="10667" spans="1:8" x14ac:dyDescent="0.2">
      <c r="A10667" s="2" t="s">
        <v>4489</v>
      </c>
      <c r="B10667" s="2" t="s">
        <v>2454</v>
      </c>
      <c r="C10667" s="2">
        <v>544.60820000000001</v>
      </c>
      <c r="D10667" s="2">
        <f>HYPERLINK("http://mcb-m6.bioreg.kyushu-u.ac.jp/M3/20110414/F50924/1258/1", 68.84)</f>
        <v>68.84</v>
      </c>
      <c r="E10667" s="2">
        <v>32.31</v>
      </c>
      <c r="F10667" s="2">
        <v>2</v>
      </c>
      <c r="G10667" s="2" t="s">
        <v>11</v>
      </c>
      <c r="H10667" s="2" t="s">
        <v>4896</v>
      </c>
    </row>
    <row r="10668" spans="1:8" x14ac:dyDescent="0.2">
      <c r="A10668" s="2" t="s">
        <v>4489</v>
      </c>
      <c r="B10668" s="2" t="s">
        <v>2454</v>
      </c>
      <c r="C10668" s="2">
        <v>544.21720000000005</v>
      </c>
      <c r="D10668" s="2">
        <f>HYPERLINK("http://mcb-m6.bioreg.kyushu-u.ac.jp/M3/20110414/F50930/1851/1", 60.87)</f>
        <v>60.87</v>
      </c>
      <c r="E10668" s="2">
        <v>25.42</v>
      </c>
      <c r="F10668" s="2">
        <v>2</v>
      </c>
      <c r="G10668" s="2" t="s">
        <v>12</v>
      </c>
      <c r="H10668" s="2" t="s">
        <v>4896</v>
      </c>
    </row>
    <row r="10669" spans="1:8" x14ac:dyDescent="0.2">
      <c r="A10669" s="2" t="s">
        <v>4489</v>
      </c>
      <c r="B10669" s="2" t="s">
        <v>2454</v>
      </c>
      <c r="C10669" s="2">
        <v>544.48609999999996</v>
      </c>
      <c r="D10669" s="2">
        <f>HYPERLINK("http://mcb-m6.bioreg.kyushu-u.ac.jp/M3/20110502/F51165/1444/1", 58.92)</f>
        <v>58.92</v>
      </c>
      <c r="E10669" s="2">
        <v>20.88</v>
      </c>
      <c r="F10669" s="2">
        <v>2</v>
      </c>
      <c r="G10669" s="2" t="s">
        <v>13</v>
      </c>
      <c r="H10669" s="2" t="s">
        <v>4896</v>
      </c>
    </row>
    <row r="10670" spans="1:8" x14ac:dyDescent="0.2">
      <c r="A10670" s="2" t="s">
        <v>4489</v>
      </c>
      <c r="B10670" s="2" t="s">
        <v>2454</v>
      </c>
      <c r="C10670" s="2">
        <v>544.54859999999996</v>
      </c>
      <c r="D10670" s="2">
        <f>HYPERLINK("http://mcb-m6.bioreg.kyushu-u.ac.jp/M3/20110502/F51181/985/1", 57.69)</f>
        <v>57.69</v>
      </c>
      <c r="E10670" s="2">
        <v>23.84</v>
      </c>
      <c r="F10670" s="2">
        <v>2</v>
      </c>
      <c r="G10670" s="2" t="s">
        <v>14</v>
      </c>
      <c r="H10670" s="2" t="s">
        <v>4896</v>
      </c>
    </row>
    <row r="10671" spans="1:8" x14ac:dyDescent="0.2">
      <c r="A10671" s="2" t="s">
        <v>4490</v>
      </c>
      <c r="B10671" s="2" t="s">
        <v>2455</v>
      </c>
      <c r="C10671" s="2">
        <v>501.21859999999998</v>
      </c>
      <c r="D10671" s="2">
        <f>HYPERLINK("http://mcb-m6.bioreg.kyushu-u.ac.jp/M3/20110414/F50924/1059/1", 68.94)</f>
        <v>68.94</v>
      </c>
      <c r="E10671" s="2">
        <v>23.64</v>
      </c>
      <c r="F10671" s="2">
        <v>2</v>
      </c>
      <c r="G10671" s="2" t="s">
        <v>11</v>
      </c>
    </row>
    <row r="10672" spans="1:8" x14ac:dyDescent="0.2">
      <c r="A10672" s="2" t="s">
        <v>4490</v>
      </c>
      <c r="B10672" s="2" t="s">
        <v>2455</v>
      </c>
      <c r="C10672" s="2">
        <v>501.2056</v>
      </c>
      <c r="D10672" s="2">
        <f>HYPERLINK("http://mcb-m6.bioreg.kyushu-u.ac.jp/M3/20110414/F50930/1773/1", 48.24)</f>
        <v>48.24</v>
      </c>
      <c r="E10672" s="2">
        <v>18.2</v>
      </c>
      <c r="F10672" s="2">
        <v>2</v>
      </c>
      <c r="G10672" s="2" t="s">
        <v>12</v>
      </c>
    </row>
    <row r="10673" spans="1:9" x14ac:dyDescent="0.2">
      <c r="A10673" s="2" t="s">
        <v>4109</v>
      </c>
      <c r="B10673" s="2" t="s">
        <v>1593</v>
      </c>
      <c r="C10673" s="2">
        <v>706.85170000000005</v>
      </c>
      <c r="D10673" s="2">
        <f>HYPERLINK("http://mcb-m6.bioreg.kyushu-u.ac.jp/M3/20110411/F50892/2044/1", 97.1)</f>
        <v>97.1</v>
      </c>
      <c r="E10673" s="2">
        <v>82.06</v>
      </c>
      <c r="F10673" s="2">
        <v>2</v>
      </c>
      <c r="G10673" s="2" t="s">
        <v>9</v>
      </c>
    </row>
    <row r="10674" spans="1:9" x14ac:dyDescent="0.2">
      <c r="A10674" s="2" t="s">
        <v>3805</v>
      </c>
      <c r="B10674" s="2" t="s">
        <v>862</v>
      </c>
      <c r="C10674" s="2">
        <v>739.36969999999997</v>
      </c>
      <c r="D10674" s="2">
        <f>HYPERLINK("http://mcb-m6.bioreg.kyushu-u.ac.jp/M3/20110411/F50892/2206/1", 53.82)</f>
        <v>53.82</v>
      </c>
      <c r="E10674" s="2">
        <v>40.36</v>
      </c>
      <c r="F10674" s="2">
        <v>2</v>
      </c>
      <c r="G10674" s="2" t="s">
        <v>9</v>
      </c>
    </row>
    <row r="10675" spans="1:9" x14ac:dyDescent="0.2">
      <c r="A10675" s="2" t="s">
        <v>3805</v>
      </c>
      <c r="B10675" s="2" t="s">
        <v>1193</v>
      </c>
      <c r="C10675" s="2">
        <v>754.96619999999996</v>
      </c>
      <c r="D10675" s="2">
        <f>HYPERLINK("http://mcb-m6.bioreg.kyushu-u.ac.jp/M3/20110411/F50892/2285/1", 66.85)</f>
        <v>66.849999999999994</v>
      </c>
      <c r="E10675" s="2">
        <v>43.35</v>
      </c>
      <c r="F10675" s="2">
        <v>2</v>
      </c>
      <c r="G10675" s="2" t="s">
        <v>9</v>
      </c>
    </row>
    <row r="10676" spans="1:9" x14ac:dyDescent="0.2">
      <c r="A10676" s="2" t="s">
        <v>3805</v>
      </c>
      <c r="B10676" s="2" t="s">
        <v>862</v>
      </c>
      <c r="C10676" s="2">
        <v>739.27419999999995</v>
      </c>
      <c r="D10676" s="2">
        <f>HYPERLINK("http://mcb-m6.bioreg.kyushu-u.ac.jp/M3/20110414/F50929/2296/1", 62.08)</f>
        <v>62.08</v>
      </c>
      <c r="E10676" s="2">
        <v>49.65</v>
      </c>
      <c r="F10676" s="2">
        <v>2</v>
      </c>
      <c r="G10676" s="2" t="s">
        <v>11</v>
      </c>
    </row>
    <row r="10677" spans="1:9" x14ac:dyDescent="0.2">
      <c r="A10677" s="2" t="s">
        <v>4763</v>
      </c>
      <c r="B10677" s="2" t="s">
        <v>2991</v>
      </c>
      <c r="C10677" s="2">
        <v>737.67970000000003</v>
      </c>
      <c r="D10677" s="2">
        <f>HYPERLINK("http://mcb-m6.bioreg.kyushu-u.ac.jp/M3/20110502/F51183/1880/1", 36.61)</f>
        <v>36.61</v>
      </c>
      <c r="E10677" s="2">
        <v>10.15</v>
      </c>
      <c r="F10677" s="2">
        <v>2</v>
      </c>
      <c r="G10677" s="2" t="s">
        <v>14</v>
      </c>
    </row>
    <row r="10678" spans="1:9" x14ac:dyDescent="0.2">
      <c r="A10678" s="2" t="s">
        <v>3977</v>
      </c>
      <c r="B10678" s="2" t="s">
        <v>1223</v>
      </c>
      <c r="C10678" s="2">
        <v>716.48170000000005</v>
      </c>
      <c r="D10678" s="2">
        <f>HYPERLINK("http://mcb-m6.bioreg.kyushu-u.ac.jp/M3/20110411/F50891/1959/1", 67.99)</f>
        <v>67.989999999999995</v>
      </c>
      <c r="E10678" s="2">
        <v>51.12</v>
      </c>
      <c r="F10678" s="2">
        <v>2</v>
      </c>
      <c r="G10678" s="2" t="s">
        <v>9</v>
      </c>
    </row>
    <row r="10679" spans="1:9" x14ac:dyDescent="0.2">
      <c r="A10679" s="2" t="s">
        <v>3977</v>
      </c>
      <c r="B10679" s="2" t="s">
        <v>1223</v>
      </c>
      <c r="C10679" s="2">
        <v>715.95069999999998</v>
      </c>
      <c r="D10679" s="2">
        <f>HYPERLINK("http://mcb-m6.bioreg.kyushu-u.ac.jp/M3/20110411/F50890/2039/1", 72.08)</f>
        <v>72.08</v>
      </c>
      <c r="E10679" s="2">
        <v>54.92</v>
      </c>
      <c r="F10679" s="2">
        <v>2</v>
      </c>
      <c r="G10679" s="2" t="s">
        <v>9</v>
      </c>
    </row>
    <row r="10680" spans="1:9" x14ac:dyDescent="0.2">
      <c r="A10680" s="2" t="s">
        <v>3977</v>
      </c>
      <c r="B10680" s="2" t="s">
        <v>1806</v>
      </c>
      <c r="C10680" s="2">
        <v>614.28060000000005</v>
      </c>
      <c r="D10680" s="2">
        <f>HYPERLINK("http://mcb-m6.bioreg.kyushu-u.ac.jp/M3/20110411/F50897/1402/1", 40.41)</f>
        <v>40.409999999999997</v>
      </c>
      <c r="E10680" s="2">
        <v>12.75</v>
      </c>
      <c r="F10680" s="2">
        <v>2</v>
      </c>
      <c r="G10680" s="2" t="s">
        <v>10</v>
      </c>
    </row>
    <row r="10681" spans="1:9" x14ac:dyDescent="0.2">
      <c r="A10681" s="2" t="s">
        <v>3977</v>
      </c>
      <c r="B10681" s="2" t="s">
        <v>1806</v>
      </c>
      <c r="C10681" s="2">
        <v>614.04610000000002</v>
      </c>
      <c r="D10681" s="2">
        <f>HYPERLINK("http://mcb-m6.bioreg.kyushu-u.ac.jp/M3/20110414/F50932/1922/1", 40.01)</f>
        <v>40.01</v>
      </c>
      <c r="E10681" s="2">
        <v>22.31</v>
      </c>
      <c r="F10681" s="2">
        <v>2</v>
      </c>
      <c r="G10681" s="2" t="s">
        <v>12</v>
      </c>
    </row>
    <row r="10682" spans="1:9" x14ac:dyDescent="0.2">
      <c r="A10682" s="2" t="s">
        <v>3847</v>
      </c>
      <c r="B10682" s="2" t="s">
        <v>939</v>
      </c>
      <c r="C10682" s="2">
        <v>694.0652</v>
      </c>
      <c r="D10682" s="2">
        <f>HYPERLINK("http://mcb-m6.bioreg.kyushu-u.ac.jp/M3/20110411/F50903/1818/1", 56.19)</f>
        <v>56.19</v>
      </c>
      <c r="E10682" s="2">
        <v>23.98</v>
      </c>
      <c r="F10682" s="2">
        <v>2</v>
      </c>
      <c r="G10682" s="2" t="s">
        <v>9</v>
      </c>
      <c r="I10682" s="2" t="s">
        <v>4890</v>
      </c>
    </row>
    <row r="10683" spans="1:9" x14ac:dyDescent="0.2">
      <c r="A10683" s="2" t="s">
        <v>3847</v>
      </c>
      <c r="B10683" s="2" t="s">
        <v>939</v>
      </c>
      <c r="C10683" s="2">
        <v>693.93020000000001</v>
      </c>
      <c r="D10683" s="2">
        <f>HYPERLINK("http://mcb-m6.bioreg.kyushu-u.ac.jp/M3/20110411/F50920/1345/1", 52.5)</f>
        <v>52.5</v>
      </c>
      <c r="E10683" s="2">
        <v>31.82</v>
      </c>
      <c r="F10683" s="2">
        <v>2</v>
      </c>
      <c r="G10683" s="2" t="s">
        <v>10</v>
      </c>
      <c r="I10683" s="2" t="s">
        <v>4890</v>
      </c>
    </row>
    <row r="10684" spans="1:9" x14ac:dyDescent="0.2">
      <c r="A10684" s="2" t="s">
        <v>3847</v>
      </c>
      <c r="B10684" s="2" t="s">
        <v>939</v>
      </c>
      <c r="C10684" s="2">
        <v>693.84770000000003</v>
      </c>
      <c r="D10684" s="2">
        <f>HYPERLINK("http://mcb-m6.bioreg.kyushu-u.ac.jp/M3/20110414/F50924/1854/1", 47.31)</f>
        <v>47.31</v>
      </c>
      <c r="E10684" s="2">
        <v>22.99</v>
      </c>
      <c r="F10684" s="2">
        <v>2</v>
      </c>
      <c r="G10684" s="2" t="s">
        <v>11</v>
      </c>
      <c r="I10684" s="2" t="s">
        <v>4890</v>
      </c>
    </row>
    <row r="10685" spans="1:9" x14ac:dyDescent="0.2">
      <c r="A10685" s="2" t="s">
        <v>4399</v>
      </c>
      <c r="B10685" s="2" t="s">
        <v>2249</v>
      </c>
      <c r="C10685" s="2">
        <v>778.80719999999997</v>
      </c>
      <c r="D10685" s="2">
        <f>HYPERLINK("http://mcb-m6.bioreg.kyushu-u.ac.jp/M3/20110414/F50943/2124/1", 39.64)</f>
        <v>39.64</v>
      </c>
      <c r="E10685" s="2">
        <v>25.09</v>
      </c>
      <c r="F10685" s="2">
        <v>2</v>
      </c>
      <c r="G10685" s="2" t="s">
        <v>11</v>
      </c>
    </row>
    <row r="10686" spans="1:9" x14ac:dyDescent="0.2">
      <c r="A10686" s="2" t="s">
        <v>4399</v>
      </c>
      <c r="B10686" s="2" t="s">
        <v>2249</v>
      </c>
      <c r="C10686" s="2">
        <v>779.43820000000005</v>
      </c>
      <c r="D10686" s="2">
        <f>HYPERLINK("http://mcb-m6.bioreg.kyushu-u.ac.jp/M3/20110414/F50943/2128/1", 47.11)</f>
        <v>47.11</v>
      </c>
      <c r="E10686" s="2">
        <v>36.78</v>
      </c>
      <c r="F10686" s="2">
        <v>2</v>
      </c>
      <c r="G10686" s="2" t="s">
        <v>11</v>
      </c>
    </row>
    <row r="10687" spans="1:9" x14ac:dyDescent="0.2">
      <c r="A10687" s="2" t="s">
        <v>4399</v>
      </c>
      <c r="B10687" s="2" t="s">
        <v>2389</v>
      </c>
      <c r="C10687" s="2">
        <v>683.7106</v>
      </c>
      <c r="D10687" s="2">
        <f>HYPERLINK("http://mcb-m6.bioreg.kyushu-u.ac.jp/M3/20110414/F50943/1538/1", 53.49)</f>
        <v>53.49</v>
      </c>
      <c r="E10687" s="2">
        <v>25.09</v>
      </c>
      <c r="F10687" s="2">
        <v>2</v>
      </c>
      <c r="G10687" s="2" t="s">
        <v>11</v>
      </c>
    </row>
    <row r="10688" spans="1:9" x14ac:dyDescent="0.2">
      <c r="A10688" s="2" t="s">
        <v>4399</v>
      </c>
      <c r="B10688" s="2" t="s">
        <v>2927</v>
      </c>
      <c r="C10688" s="2">
        <v>748.02809999999999</v>
      </c>
      <c r="D10688" s="2">
        <f>HYPERLINK("http://mcb-m6.bioreg.kyushu-u.ac.jp/M3/20110502/F51173/1851/1", 56.54)</f>
        <v>56.54</v>
      </c>
      <c r="E10688" s="2">
        <v>34.22</v>
      </c>
      <c r="F10688" s="2">
        <v>2</v>
      </c>
      <c r="G10688" s="2" t="s">
        <v>13</v>
      </c>
    </row>
    <row r="10689" spans="1:9" x14ac:dyDescent="0.2">
      <c r="A10689" s="2" t="s">
        <v>3665</v>
      </c>
      <c r="B10689" s="2" t="s">
        <v>601</v>
      </c>
      <c r="C10689" s="2">
        <v>905.66</v>
      </c>
      <c r="D10689" s="2">
        <f>HYPERLINK("http://mcb-m6.bioreg.kyushu-u.ac.jp/M3/20110411/F50919/523/1", 45.98)</f>
        <v>45.98</v>
      </c>
      <c r="E10689" s="2">
        <v>15.83</v>
      </c>
      <c r="F10689" s="2">
        <v>1</v>
      </c>
      <c r="G10689" s="2" t="s">
        <v>9</v>
      </c>
    </row>
    <row r="10690" spans="1:9" x14ac:dyDescent="0.2">
      <c r="A10690" s="2" t="s">
        <v>3665</v>
      </c>
      <c r="B10690" s="2" t="s">
        <v>601</v>
      </c>
      <c r="C10690" s="2">
        <v>905.70899999999995</v>
      </c>
      <c r="D10690" s="2">
        <f>HYPERLINK("http://mcb-m6.bioreg.kyushu-u.ac.jp/M3/20110411/F50902/1001/1", 45.93)</f>
        <v>45.93</v>
      </c>
      <c r="E10690" s="2">
        <v>11.67</v>
      </c>
      <c r="F10690" s="2">
        <v>1</v>
      </c>
      <c r="G10690" s="2" t="s">
        <v>10</v>
      </c>
    </row>
    <row r="10691" spans="1:9" x14ac:dyDescent="0.2">
      <c r="A10691" s="2" t="s">
        <v>3665</v>
      </c>
      <c r="B10691" s="2" t="s">
        <v>601</v>
      </c>
      <c r="C10691" s="2">
        <v>905.69399999999996</v>
      </c>
      <c r="D10691" s="2">
        <f>HYPERLINK("http://mcb-m6.bioreg.kyushu-u.ac.jp/M3/20110502/F51191/507/1", 45.81)</f>
        <v>45.81</v>
      </c>
      <c r="E10691" s="2">
        <v>11.45</v>
      </c>
      <c r="F10691" s="2">
        <v>1</v>
      </c>
      <c r="G10691" s="2" t="s">
        <v>14</v>
      </c>
    </row>
    <row r="10692" spans="1:9" x14ac:dyDescent="0.2">
      <c r="A10692" s="2" t="s">
        <v>4118</v>
      </c>
      <c r="B10692" s="2" t="s">
        <v>1625</v>
      </c>
      <c r="C10692" s="2">
        <v>801.77560000000005</v>
      </c>
      <c r="D10692" s="2">
        <f>HYPERLINK("http://mcb-m6.bioreg.kyushu-u.ac.jp/M3/20110411/F50889/2433/1", 103.45)</f>
        <v>103.45</v>
      </c>
      <c r="E10692" s="2">
        <v>78.88</v>
      </c>
      <c r="F10692" s="2">
        <v>2</v>
      </c>
      <c r="G10692" s="2" t="s">
        <v>9</v>
      </c>
      <c r="I10692" s="2" t="s">
        <v>4923</v>
      </c>
    </row>
    <row r="10693" spans="1:9" x14ac:dyDescent="0.2">
      <c r="A10693" s="2" t="s">
        <v>4792</v>
      </c>
      <c r="B10693" s="2" t="s">
        <v>3029</v>
      </c>
      <c r="C10693" s="2">
        <v>1157.057</v>
      </c>
      <c r="D10693" s="2">
        <f>HYPERLINK("http://mcb-m6.bioreg.kyushu-u.ac.jp/M3/20110502/F51182/1027/1", 38.62)</f>
        <v>38.619999999999997</v>
      </c>
      <c r="E10693" s="2">
        <v>11.97</v>
      </c>
      <c r="F10693" s="2">
        <v>1</v>
      </c>
      <c r="G10693" s="2" t="s">
        <v>14</v>
      </c>
    </row>
    <row r="10694" spans="1:9" x14ac:dyDescent="0.2">
      <c r="A10694" s="2" t="s">
        <v>3689</v>
      </c>
      <c r="B10694" s="2" t="s">
        <v>654</v>
      </c>
      <c r="C10694" s="2">
        <v>796.3066</v>
      </c>
      <c r="D10694" s="2">
        <f>HYPERLINK("http://mcb-m6.bioreg.kyushu-u.ac.jp/M3/20110411/F50916/2208/1", 47.32)</f>
        <v>47.32</v>
      </c>
      <c r="E10694" s="2">
        <v>37.65</v>
      </c>
      <c r="F10694" s="2">
        <v>2</v>
      </c>
      <c r="G10694" s="2" t="s">
        <v>9</v>
      </c>
    </row>
    <row r="10695" spans="1:9" x14ac:dyDescent="0.2">
      <c r="A10695" s="2" t="s">
        <v>3689</v>
      </c>
      <c r="B10695" s="2" t="s">
        <v>2298</v>
      </c>
      <c r="C10695" s="2">
        <v>854.26570000000004</v>
      </c>
      <c r="D10695" s="2">
        <f>HYPERLINK("http://mcb-m6.bioreg.kyushu-u.ac.jp/M3/20110414/F50957/2630/1", 44.13)</f>
        <v>44.13</v>
      </c>
      <c r="E10695" s="2">
        <v>25.97</v>
      </c>
      <c r="F10695" s="2">
        <v>2</v>
      </c>
      <c r="G10695" s="2" t="s">
        <v>11</v>
      </c>
    </row>
    <row r="10696" spans="1:9" x14ac:dyDescent="0.2">
      <c r="A10696" s="2" t="s">
        <v>3689</v>
      </c>
      <c r="B10696" s="2" t="s">
        <v>3176</v>
      </c>
      <c r="C10696" s="2">
        <v>609.60860000000002</v>
      </c>
      <c r="D10696" s="2">
        <f>HYPERLINK("http://mcb-m6.bioreg.kyushu-u.ac.jp/M3/20110502/F51184/1063/1", 61.91)</f>
        <v>61.91</v>
      </c>
      <c r="E10696" s="2">
        <v>22.1</v>
      </c>
      <c r="F10696" s="2">
        <v>2</v>
      </c>
      <c r="G10696" s="2" t="s">
        <v>14</v>
      </c>
    </row>
    <row r="10697" spans="1:9" x14ac:dyDescent="0.2">
      <c r="A10697" s="2" t="s">
        <v>3341</v>
      </c>
      <c r="B10697" s="2" t="s">
        <v>130</v>
      </c>
      <c r="C10697" s="2">
        <v>816.47799999999995</v>
      </c>
      <c r="D10697" s="2">
        <f>HYPERLINK("http://mcb-m6.bioreg.kyushu-u.ac.jp/M3/20110411/F50891/711/1", 36.48)</f>
        <v>36.479999999999997</v>
      </c>
      <c r="E10697" s="2">
        <v>12.31</v>
      </c>
      <c r="F10697" s="2">
        <v>1</v>
      </c>
      <c r="G10697" s="2" t="s">
        <v>9</v>
      </c>
    </row>
    <row r="10698" spans="1:9" x14ac:dyDescent="0.2">
      <c r="A10698" s="2" t="s">
        <v>3341</v>
      </c>
      <c r="B10698" s="2" t="s">
        <v>531</v>
      </c>
      <c r="C10698" s="2">
        <v>724.43820000000005</v>
      </c>
      <c r="D10698" s="2">
        <f>HYPERLINK("http://mcb-m6.bioreg.kyushu-u.ac.jp/M3/20110411/F50891/2005/1", 44)</f>
        <v>44</v>
      </c>
      <c r="E10698" s="2">
        <v>35.21</v>
      </c>
      <c r="F10698" s="2">
        <v>2</v>
      </c>
      <c r="G10698" s="2" t="s">
        <v>9</v>
      </c>
      <c r="H10698" s="2" t="s">
        <v>4901</v>
      </c>
    </row>
    <row r="10699" spans="1:9" x14ac:dyDescent="0.2">
      <c r="A10699" s="2" t="s">
        <v>3341</v>
      </c>
      <c r="B10699" s="2" t="s">
        <v>551</v>
      </c>
      <c r="C10699" s="2">
        <v>476.3766</v>
      </c>
      <c r="D10699" s="2">
        <f>HYPERLINK("http://mcb-m6.bioreg.kyushu-u.ac.jp/M3/20110411/F50891/884/1", 44.66)</f>
        <v>44.66</v>
      </c>
      <c r="E10699" s="2">
        <v>28.38</v>
      </c>
      <c r="F10699" s="2">
        <v>2</v>
      </c>
      <c r="G10699" s="2" t="s">
        <v>9</v>
      </c>
    </row>
    <row r="10700" spans="1:9" x14ac:dyDescent="0.2">
      <c r="A10700" s="2" t="s">
        <v>3341</v>
      </c>
      <c r="B10700" s="2" t="s">
        <v>1197</v>
      </c>
      <c r="C10700" s="2">
        <v>890.32069999999999</v>
      </c>
      <c r="D10700" s="2">
        <f>HYPERLINK("http://mcb-m6.bioreg.kyushu-u.ac.jp/M3/20110411/F50891/2918/1", 66.99)</f>
        <v>66.989999999999995</v>
      </c>
      <c r="E10700" s="2">
        <v>55.36</v>
      </c>
      <c r="F10700" s="2">
        <v>2</v>
      </c>
      <c r="G10700" s="2" t="s">
        <v>9</v>
      </c>
    </row>
    <row r="10701" spans="1:9" x14ac:dyDescent="0.2">
      <c r="A10701" s="2" t="s">
        <v>3341</v>
      </c>
      <c r="B10701" s="2" t="s">
        <v>130</v>
      </c>
      <c r="C10701" s="2">
        <v>817.15200000000004</v>
      </c>
      <c r="D10701" s="2">
        <f>HYPERLINK("http://mcb-m6.bioreg.kyushu-u.ac.jp/M3/20110411/F50898/1214/1", 36.59)</f>
        <v>36.590000000000003</v>
      </c>
      <c r="E10701" s="2">
        <v>10.43</v>
      </c>
      <c r="F10701" s="2">
        <v>1</v>
      </c>
      <c r="G10701" s="2" t="s">
        <v>10</v>
      </c>
    </row>
    <row r="10702" spans="1:9" x14ac:dyDescent="0.2">
      <c r="A10702" s="2" t="s">
        <v>3341</v>
      </c>
      <c r="B10702" s="2" t="s">
        <v>1738</v>
      </c>
      <c r="C10702" s="2">
        <v>542.07870000000003</v>
      </c>
      <c r="D10702" s="2">
        <f>HYPERLINK("http://mcb-m6.bioreg.kyushu-u.ac.jp/M3/20110411/F50898/1666/1", 36.93)</f>
        <v>36.93</v>
      </c>
      <c r="E10702" s="2">
        <v>24.08</v>
      </c>
      <c r="F10702" s="2">
        <v>2</v>
      </c>
      <c r="G10702" s="2" t="s">
        <v>10</v>
      </c>
    </row>
    <row r="10703" spans="1:9" x14ac:dyDescent="0.2">
      <c r="A10703" s="2" t="s">
        <v>3341</v>
      </c>
      <c r="B10703" s="2" t="s">
        <v>1757</v>
      </c>
      <c r="C10703" s="2">
        <v>886.62199999999996</v>
      </c>
      <c r="D10703" s="2">
        <f>HYPERLINK("http://mcb-m6.bioreg.kyushu-u.ac.jp/M3/20110411/F50898/1299/1", 38.08)</f>
        <v>38.08</v>
      </c>
      <c r="E10703" s="2">
        <v>23.77</v>
      </c>
      <c r="F10703" s="2">
        <v>1</v>
      </c>
      <c r="G10703" s="2" t="s">
        <v>10</v>
      </c>
    </row>
    <row r="10704" spans="1:9" x14ac:dyDescent="0.2">
      <c r="A10704" s="2" t="s">
        <v>3341</v>
      </c>
      <c r="B10704" s="2" t="s">
        <v>130</v>
      </c>
      <c r="C10704" s="2">
        <v>816.20399999999995</v>
      </c>
      <c r="D10704" s="2">
        <f>HYPERLINK("http://mcb-m6.bioreg.kyushu-u.ac.jp/M3/20110414/F50928/901/1", 37.56)</f>
        <v>37.56</v>
      </c>
      <c r="E10704" s="2">
        <v>11.12</v>
      </c>
      <c r="F10704" s="2">
        <v>1</v>
      </c>
      <c r="G10704" s="2" t="s">
        <v>11</v>
      </c>
    </row>
    <row r="10705" spans="1:9" x14ac:dyDescent="0.2">
      <c r="A10705" s="2" t="s">
        <v>3728</v>
      </c>
      <c r="B10705" s="2" t="s">
        <v>725</v>
      </c>
      <c r="C10705" s="2">
        <v>1005.067</v>
      </c>
      <c r="D10705" s="2">
        <f>HYPERLINK("http://mcb-m6.bioreg.kyushu-u.ac.jp/M3/20110411/F50916/3157/1", 49.42)</f>
        <v>49.42</v>
      </c>
      <c r="E10705" s="2">
        <v>41.31</v>
      </c>
      <c r="F10705" s="2">
        <v>2</v>
      </c>
      <c r="G10705" s="2" t="s">
        <v>9</v>
      </c>
    </row>
    <row r="10706" spans="1:9" x14ac:dyDescent="0.2">
      <c r="A10706" s="2" t="s">
        <v>3344</v>
      </c>
      <c r="B10706" s="2" t="s">
        <v>133</v>
      </c>
      <c r="C10706" s="2">
        <v>975.33320000000003</v>
      </c>
      <c r="D10706" s="2">
        <f>HYPERLINK("http://mcb-m6.bioreg.kyushu-u.ac.jp/M3/20110411/F50916/3024/1", 36.51)</f>
        <v>36.51</v>
      </c>
      <c r="E10706" s="2">
        <v>28.06</v>
      </c>
      <c r="F10706" s="2">
        <v>2</v>
      </c>
      <c r="G10706" s="2" t="s">
        <v>9</v>
      </c>
    </row>
    <row r="10707" spans="1:9" x14ac:dyDescent="0.2">
      <c r="A10707" s="2" t="s">
        <v>3344</v>
      </c>
      <c r="B10707" s="2" t="s">
        <v>195</v>
      </c>
      <c r="C10707" s="2">
        <v>742.66769999999997</v>
      </c>
      <c r="D10707" s="2">
        <f>HYPERLINK("http://mcb-m6.bioreg.kyushu-u.ac.jp/M3/20110411/F50916/1923/1", 37.54)</f>
        <v>37.54</v>
      </c>
      <c r="E10707" s="2">
        <v>21.89</v>
      </c>
      <c r="F10707" s="2">
        <v>2</v>
      </c>
      <c r="G10707" s="2" t="s">
        <v>9</v>
      </c>
    </row>
    <row r="10708" spans="1:9" x14ac:dyDescent="0.2">
      <c r="A10708" s="2" t="s">
        <v>3344</v>
      </c>
      <c r="B10708" s="2" t="s">
        <v>133</v>
      </c>
      <c r="C10708" s="2">
        <v>975.55769999999995</v>
      </c>
      <c r="D10708" s="2">
        <f>HYPERLINK("http://mcb-m6.bioreg.kyushu-u.ac.jp/M3/20110502/F51189/2673/1", 35.22)</f>
        <v>35.22</v>
      </c>
      <c r="E10708" s="2">
        <v>14.36</v>
      </c>
      <c r="F10708" s="2">
        <v>2</v>
      </c>
      <c r="G10708" s="2" t="s">
        <v>13</v>
      </c>
    </row>
    <row r="10709" spans="1:9" x14ac:dyDescent="0.2">
      <c r="A10709" s="2" t="s">
        <v>4458</v>
      </c>
      <c r="B10709" s="2" t="s">
        <v>2369</v>
      </c>
      <c r="C10709" s="2">
        <v>784.22860000000003</v>
      </c>
      <c r="D10709" s="2">
        <f>HYPERLINK("http://mcb-m6.bioreg.kyushu-u.ac.jp/M3/20110414/F50925/2389/1", 51.11)</f>
        <v>51.11</v>
      </c>
      <c r="E10709" s="2">
        <v>32.090000000000003</v>
      </c>
      <c r="F10709" s="2">
        <v>2</v>
      </c>
      <c r="G10709" s="2" t="s">
        <v>11</v>
      </c>
      <c r="I10709" s="2" t="s">
        <v>4905</v>
      </c>
    </row>
    <row r="10710" spans="1:9" x14ac:dyDescent="0.2">
      <c r="A10710" s="2" t="s">
        <v>3898</v>
      </c>
      <c r="B10710" s="2" t="s">
        <v>1046</v>
      </c>
      <c r="C10710" s="2">
        <v>703.01919999999996</v>
      </c>
      <c r="D10710" s="2">
        <f>HYPERLINK("http://mcb-m6.bioreg.kyushu-u.ac.jp/M3/20110411/F50904/1846/1", 60.26)</f>
        <v>60.26</v>
      </c>
      <c r="E10710" s="2">
        <v>44.69</v>
      </c>
      <c r="F10710" s="2">
        <v>2</v>
      </c>
      <c r="G10710" s="2" t="s">
        <v>9</v>
      </c>
    </row>
    <row r="10711" spans="1:9" x14ac:dyDescent="0.2">
      <c r="A10711" s="2" t="s">
        <v>3898</v>
      </c>
      <c r="B10711" s="2" t="s">
        <v>1046</v>
      </c>
      <c r="C10711" s="2">
        <v>703.08969999999999</v>
      </c>
      <c r="D10711" s="2">
        <f>HYPERLINK("http://mcb-m6.bioreg.kyushu-u.ac.jp/M3/20110411/F50912/1865/1", 60.68)</f>
        <v>60.68</v>
      </c>
      <c r="E10711" s="2">
        <v>35.44</v>
      </c>
      <c r="F10711" s="2">
        <v>2</v>
      </c>
      <c r="G10711" s="2" t="s">
        <v>10</v>
      </c>
    </row>
    <row r="10712" spans="1:9" x14ac:dyDescent="0.2">
      <c r="A10712" s="2" t="s">
        <v>3898</v>
      </c>
      <c r="B10712" s="2" t="s">
        <v>3149</v>
      </c>
      <c r="C10712" s="2">
        <v>641.99069999999995</v>
      </c>
      <c r="D10712" s="2">
        <f>HYPERLINK("http://mcb-m6.bioreg.kyushu-u.ac.jp/M3/20110502/F51179/1234/1", 52.09)</f>
        <v>52.09</v>
      </c>
      <c r="E10712" s="2">
        <v>29.08</v>
      </c>
      <c r="F10712" s="2">
        <v>2</v>
      </c>
      <c r="G10712" s="2" t="s">
        <v>14</v>
      </c>
    </row>
    <row r="10713" spans="1:9" x14ac:dyDescent="0.2">
      <c r="A10713" s="2" t="s">
        <v>3681</v>
      </c>
      <c r="B10713" s="2" t="s">
        <v>636</v>
      </c>
      <c r="C10713" s="2">
        <v>907.67570000000001</v>
      </c>
      <c r="D10713" s="2">
        <f>HYPERLINK("http://mcb-m6.bioreg.kyushu-u.ac.jp/M3/20110411/F50911/2978/1", 46.79)</f>
        <v>46.79</v>
      </c>
      <c r="E10713" s="2">
        <v>32.54</v>
      </c>
      <c r="F10713" s="2">
        <v>2</v>
      </c>
      <c r="G10713" s="2" t="s">
        <v>9</v>
      </c>
      <c r="H10713" s="2" t="s">
        <v>4907</v>
      </c>
    </row>
    <row r="10714" spans="1:9" x14ac:dyDescent="0.2">
      <c r="A10714" s="2" t="s">
        <v>3681</v>
      </c>
      <c r="B10714" s="2" t="s">
        <v>912</v>
      </c>
      <c r="C10714" s="2">
        <v>622.52009999999996</v>
      </c>
      <c r="D10714" s="2">
        <f>HYPERLINK("http://mcb-m6.bioreg.kyushu-u.ac.jp/M3/20110411/F50911/1486/1", 55.36)</f>
        <v>55.36</v>
      </c>
      <c r="E10714" s="2">
        <v>31.32</v>
      </c>
      <c r="F10714" s="2">
        <v>2</v>
      </c>
      <c r="G10714" s="2" t="s">
        <v>9</v>
      </c>
    </row>
    <row r="10715" spans="1:9" x14ac:dyDescent="0.2">
      <c r="A10715" s="2" t="s">
        <v>3681</v>
      </c>
      <c r="B10715" s="2" t="s">
        <v>1904</v>
      </c>
      <c r="C10715" s="2">
        <v>606.05619999999999</v>
      </c>
      <c r="D10715" s="2">
        <f>HYPERLINK("http://mcb-m6.bioreg.kyushu-u.ac.jp/M3/20110411/F50913/1425/1", 48.23)</f>
        <v>48.23</v>
      </c>
      <c r="E10715" s="2">
        <v>33.83</v>
      </c>
      <c r="F10715" s="2">
        <v>2</v>
      </c>
      <c r="G10715" s="2" t="s">
        <v>10</v>
      </c>
    </row>
    <row r="10716" spans="1:9" x14ac:dyDescent="0.2">
      <c r="A10716" s="2" t="s">
        <v>3681</v>
      </c>
      <c r="B10716" s="2" t="s">
        <v>636</v>
      </c>
      <c r="C10716" s="2">
        <v>908.03420000000006</v>
      </c>
      <c r="D10716" s="2">
        <f>HYPERLINK("http://mcb-m6.bioreg.kyushu-u.ac.jp/M3/20110411/F50914/2875/1", 49.9)</f>
        <v>49.9</v>
      </c>
      <c r="E10716" s="2">
        <v>37.39</v>
      </c>
      <c r="F10716" s="2">
        <v>2</v>
      </c>
      <c r="G10716" s="2" t="s">
        <v>10</v>
      </c>
      <c r="H10716" s="2" t="s">
        <v>4907</v>
      </c>
    </row>
    <row r="10717" spans="1:9" x14ac:dyDescent="0.2">
      <c r="A10717" s="2" t="s">
        <v>3681</v>
      </c>
      <c r="B10717" s="2" t="s">
        <v>912</v>
      </c>
      <c r="C10717" s="2">
        <v>1243.846</v>
      </c>
      <c r="D10717" s="2">
        <f>HYPERLINK("http://mcb-m6.bioreg.kyushu-u.ac.jp/M3/20110411/F50913/1491/1", 50.12)</f>
        <v>50.12</v>
      </c>
      <c r="E10717" s="2">
        <v>14.05</v>
      </c>
      <c r="F10717" s="2">
        <v>1</v>
      </c>
      <c r="G10717" s="2" t="s">
        <v>10</v>
      </c>
    </row>
    <row r="10718" spans="1:9" x14ac:dyDescent="0.2">
      <c r="A10718" s="2" t="s">
        <v>3681</v>
      </c>
      <c r="B10718" s="2" t="s">
        <v>636</v>
      </c>
      <c r="C10718" s="2">
        <v>907.42909999999995</v>
      </c>
      <c r="D10718" s="2">
        <f>HYPERLINK("http://mcb-m6.bioreg.kyushu-u.ac.jp/M3/20110411/F50914/2873/1", 57.67)</f>
        <v>57.67</v>
      </c>
      <c r="E10718" s="2">
        <v>38.51</v>
      </c>
      <c r="F10718" s="2">
        <v>2</v>
      </c>
      <c r="G10718" s="2" t="s">
        <v>10</v>
      </c>
      <c r="H10718" s="2" t="s">
        <v>4907</v>
      </c>
    </row>
    <row r="10719" spans="1:9" x14ac:dyDescent="0.2">
      <c r="A10719" s="2" t="s">
        <v>3681</v>
      </c>
      <c r="B10719" s="2" t="s">
        <v>912</v>
      </c>
      <c r="C10719" s="2">
        <v>622.33510000000001</v>
      </c>
      <c r="D10719" s="2">
        <f>HYPERLINK("http://mcb-m6.bioreg.kyushu-u.ac.jp/M3/20110411/F50913/1489/1", 64.48)</f>
        <v>64.48</v>
      </c>
      <c r="E10719" s="2">
        <v>45.43</v>
      </c>
      <c r="F10719" s="2">
        <v>2</v>
      </c>
      <c r="G10719" s="2" t="s">
        <v>10</v>
      </c>
    </row>
    <row r="10720" spans="1:9" x14ac:dyDescent="0.2">
      <c r="A10720" s="2" t="s">
        <v>3681</v>
      </c>
      <c r="B10720" s="2" t="s">
        <v>636</v>
      </c>
      <c r="C10720" s="2">
        <v>907.59770000000003</v>
      </c>
      <c r="D10720" s="2">
        <f>HYPERLINK("http://mcb-m6.bioreg.kyushu-u.ac.jp/M3/20110411/F50913/2819/1", 68.33)</f>
        <v>68.33</v>
      </c>
      <c r="E10720" s="2">
        <v>47.05</v>
      </c>
      <c r="F10720" s="2">
        <v>2</v>
      </c>
      <c r="G10720" s="2" t="s">
        <v>10</v>
      </c>
      <c r="H10720" s="2" t="s">
        <v>4907</v>
      </c>
    </row>
    <row r="10721" spans="1:9" x14ac:dyDescent="0.2">
      <c r="A10721" s="2" t="s">
        <v>3681</v>
      </c>
      <c r="B10721" s="2" t="s">
        <v>912</v>
      </c>
      <c r="C10721" s="2">
        <v>622.38070000000005</v>
      </c>
      <c r="D10721" s="2">
        <f>HYPERLINK("http://mcb-m6.bioreg.kyushu-u.ac.jp/M3/20110411/F50914/1554/1", 87.34)</f>
        <v>87.34</v>
      </c>
      <c r="E10721" s="2">
        <v>68.56</v>
      </c>
      <c r="F10721" s="2">
        <v>2</v>
      </c>
      <c r="G10721" s="2" t="s">
        <v>10</v>
      </c>
    </row>
    <row r="10722" spans="1:9" x14ac:dyDescent="0.2">
      <c r="A10722" s="2" t="s">
        <v>3681</v>
      </c>
      <c r="B10722" s="2" t="s">
        <v>636</v>
      </c>
      <c r="C10722" s="2">
        <v>907.36869999999999</v>
      </c>
      <c r="D10722" s="2">
        <f>HYPERLINK("http://mcb-m6.bioreg.kyushu-u.ac.jp/M3/20110414/F50941/2989/1", 36.81)</f>
        <v>36.81</v>
      </c>
      <c r="E10722" s="2">
        <v>29.59</v>
      </c>
      <c r="F10722" s="2">
        <v>2</v>
      </c>
      <c r="G10722" s="2" t="s">
        <v>11</v>
      </c>
      <c r="H10722" s="2" t="s">
        <v>4907</v>
      </c>
    </row>
    <row r="10723" spans="1:9" x14ac:dyDescent="0.2">
      <c r="A10723" s="2" t="s">
        <v>3681</v>
      </c>
      <c r="B10723" s="2" t="s">
        <v>912</v>
      </c>
      <c r="C10723" s="2">
        <v>622.40620000000001</v>
      </c>
      <c r="D10723" s="2">
        <f>HYPERLINK("http://mcb-m6.bioreg.kyushu-u.ac.jp/M3/20110414/F50942/1295/1", 45.76)</f>
        <v>45.76</v>
      </c>
      <c r="E10723" s="2">
        <v>33.04</v>
      </c>
      <c r="F10723" s="2">
        <v>2</v>
      </c>
      <c r="G10723" s="2" t="s">
        <v>11</v>
      </c>
    </row>
    <row r="10724" spans="1:9" x14ac:dyDescent="0.2">
      <c r="A10724" s="2" t="s">
        <v>3681</v>
      </c>
      <c r="B10724" s="2" t="s">
        <v>1904</v>
      </c>
      <c r="C10724" s="2">
        <v>606.15309999999999</v>
      </c>
      <c r="D10724" s="2">
        <f>HYPERLINK("http://mcb-m6.bioreg.kyushu-u.ac.jp/M3/20110414/F50942/1230/1", 48.05)</f>
        <v>48.05</v>
      </c>
      <c r="E10724" s="2">
        <v>33.42</v>
      </c>
      <c r="F10724" s="2">
        <v>2</v>
      </c>
      <c r="G10724" s="2" t="s">
        <v>11</v>
      </c>
    </row>
    <row r="10725" spans="1:9" x14ac:dyDescent="0.2">
      <c r="A10725" s="2" t="s">
        <v>3681</v>
      </c>
      <c r="B10725" s="2" t="s">
        <v>2393</v>
      </c>
      <c r="C10725" s="2">
        <v>935.98659999999995</v>
      </c>
      <c r="D10725" s="2">
        <f>HYPERLINK("http://mcb-m6.bioreg.kyushu-u.ac.jp/M3/20110414/F50942/3094/1", 54.43)</f>
        <v>54.43</v>
      </c>
      <c r="E10725" s="2">
        <v>43.83</v>
      </c>
      <c r="F10725" s="2">
        <v>2</v>
      </c>
      <c r="G10725" s="2" t="s">
        <v>11</v>
      </c>
      <c r="H10725" s="2" t="s">
        <v>4901</v>
      </c>
    </row>
    <row r="10726" spans="1:9" x14ac:dyDescent="0.2">
      <c r="A10726" s="2" t="s">
        <v>3681</v>
      </c>
      <c r="B10726" s="2" t="s">
        <v>912</v>
      </c>
      <c r="C10726" s="2">
        <v>622.71220000000005</v>
      </c>
      <c r="D10726" s="2">
        <f>HYPERLINK("http://mcb-m6.bioreg.kyushu-u.ac.jp/M3/20110414/F50941/1450/1", 58.06)</f>
        <v>58.06</v>
      </c>
      <c r="E10726" s="2">
        <v>42.68</v>
      </c>
      <c r="F10726" s="2">
        <v>2</v>
      </c>
      <c r="G10726" s="2" t="s">
        <v>11</v>
      </c>
    </row>
    <row r="10727" spans="1:9" x14ac:dyDescent="0.2">
      <c r="A10727" s="2" t="s">
        <v>3681</v>
      </c>
      <c r="B10727" s="2" t="s">
        <v>636</v>
      </c>
      <c r="C10727" s="2">
        <v>908.00959999999998</v>
      </c>
      <c r="D10727" s="2">
        <f>HYPERLINK("http://mcb-m6.bioreg.kyushu-u.ac.jp/M3/20110414/F50948/3073/1", 52.92)</f>
        <v>52.92</v>
      </c>
      <c r="E10727" s="2">
        <v>41.28</v>
      </c>
      <c r="F10727" s="2">
        <v>2</v>
      </c>
      <c r="G10727" s="2" t="s">
        <v>12</v>
      </c>
      <c r="H10727" s="2" t="s">
        <v>4907</v>
      </c>
    </row>
    <row r="10728" spans="1:9" x14ac:dyDescent="0.2">
      <c r="A10728" s="2" t="s">
        <v>3681</v>
      </c>
      <c r="B10728" s="2" t="s">
        <v>912</v>
      </c>
      <c r="C10728" s="2">
        <v>622.82669999999996</v>
      </c>
      <c r="D10728" s="2">
        <f>HYPERLINK("http://mcb-m6.bioreg.kyushu-u.ac.jp/M3/20110414/F50947/1276/1", 66.3)</f>
        <v>66.3</v>
      </c>
      <c r="E10728" s="2">
        <v>48.99</v>
      </c>
      <c r="F10728" s="2">
        <v>2</v>
      </c>
      <c r="G10728" s="2" t="s">
        <v>12</v>
      </c>
    </row>
    <row r="10729" spans="1:9" x14ac:dyDescent="0.2">
      <c r="A10729" s="2" t="s">
        <v>3681</v>
      </c>
      <c r="B10729" s="2" t="s">
        <v>912</v>
      </c>
      <c r="C10729" s="2">
        <v>622.21370000000002</v>
      </c>
      <c r="D10729" s="2">
        <f>HYPERLINK("http://mcb-m6.bioreg.kyushu-u.ac.jp/M3/20110414/F50948/1354/1", 73.31)</f>
        <v>73.31</v>
      </c>
      <c r="E10729" s="2">
        <v>54.85</v>
      </c>
      <c r="F10729" s="2">
        <v>2</v>
      </c>
      <c r="G10729" s="2" t="s">
        <v>12</v>
      </c>
    </row>
    <row r="10730" spans="1:9" x14ac:dyDescent="0.2">
      <c r="A10730" s="2" t="s">
        <v>3681</v>
      </c>
      <c r="B10730" s="2" t="s">
        <v>1904</v>
      </c>
      <c r="C10730" s="2">
        <v>606.04819999999995</v>
      </c>
      <c r="D10730" s="2">
        <f>HYPERLINK("http://mcb-m6.bioreg.kyushu-u.ac.jp/M3/20110502/F51171/1476/1", 35.03)</f>
        <v>35.03</v>
      </c>
      <c r="E10730" s="2">
        <v>17.54</v>
      </c>
      <c r="F10730" s="2">
        <v>2</v>
      </c>
      <c r="G10730" s="2" t="s">
        <v>13</v>
      </c>
    </row>
    <row r="10731" spans="1:9" x14ac:dyDescent="0.2">
      <c r="A10731" s="2" t="s">
        <v>3681</v>
      </c>
      <c r="B10731" s="2" t="s">
        <v>1904</v>
      </c>
      <c r="C10731" s="2">
        <v>606.10270000000003</v>
      </c>
      <c r="D10731" s="2">
        <f>HYPERLINK("http://mcb-m6.bioreg.kyushu-u.ac.jp/M3/20110502/F51179/1086/1", 57.07)</f>
        <v>57.07</v>
      </c>
      <c r="E10731" s="2">
        <v>40.07</v>
      </c>
      <c r="F10731" s="2">
        <v>2</v>
      </c>
      <c r="G10731" s="2" t="s">
        <v>14</v>
      </c>
    </row>
    <row r="10732" spans="1:9" x14ac:dyDescent="0.2">
      <c r="A10732" s="2" t="s">
        <v>3681</v>
      </c>
      <c r="B10732" s="2" t="s">
        <v>912</v>
      </c>
      <c r="C10732" s="2">
        <v>622.72119999999995</v>
      </c>
      <c r="D10732" s="2">
        <f>HYPERLINK("http://mcb-m6.bioreg.kyushu-u.ac.jp/M3/20110502/F51183/1289/1", 66.97)</f>
        <v>66.97</v>
      </c>
      <c r="E10732" s="2">
        <v>41.53</v>
      </c>
      <c r="F10732" s="2">
        <v>2</v>
      </c>
      <c r="G10732" s="2" t="s">
        <v>14</v>
      </c>
    </row>
    <row r="10733" spans="1:9" x14ac:dyDescent="0.2">
      <c r="A10733" s="2" t="s">
        <v>4390</v>
      </c>
      <c r="B10733" s="2" t="s">
        <v>2230</v>
      </c>
      <c r="C10733" s="2">
        <v>560.05359999999996</v>
      </c>
      <c r="D10733" s="2">
        <f>HYPERLINK("http://mcb-m6.bioreg.kyushu-u.ac.jp/M3/20110414/F50928/1468/1", 38.8)</f>
        <v>38.799999999999997</v>
      </c>
      <c r="E10733" s="2">
        <v>11.99</v>
      </c>
      <c r="F10733" s="2">
        <v>2</v>
      </c>
      <c r="G10733" s="2" t="s">
        <v>11</v>
      </c>
    </row>
    <row r="10734" spans="1:9" x14ac:dyDescent="0.2">
      <c r="A10734" s="2" t="s">
        <v>4092</v>
      </c>
      <c r="B10734" s="2" t="s">
        <v>1536</v>
      </c>
      <c r="C10734" s="2">
        <v>964.43470000000002</v>
      </c>
      <c r="D10734" s="2">
        <f>HYPERLINK("http://mcb-m6.bioreg.kyushu-u.ac.jp/M3/20110411/F50891/3293/1", 89.55)</f>
        <v>89.55</v>
      </c>
      <c r="E10734" s="2">
        <v>81.86</v>
      </c>
      <c r="F10734" s="2">
        <v>2</v>
      </c>
      <c r="G10734" s="2" t="s">
        <v>9</v>
      </c>
      <c r="I10734" s="2" t="s">
        <v>4914</v>
      </c>
    </row>
    <row r="10735" spans="1:9" x14ac:dyDescent="0.2">
      <c r="A10735" s="2" t="s">
        <v>4092</v>
      </c>
      <c r="B10735" s="2" t="s">
        <v>2339</v>
      </c>
      <c r="C10735" s="2">
        <v>670.31269999999995</v>
      </c>
      <c r="D10735" s="2">
        <f>HYPERLINK("http://mcb-m6.bioreg.kyushu-u.ac.jp/M3/20110414/F50941/1664/1", 48.15)</f>
        <v>48.15</v>
      </c>
      <c r="E10735" s="2">
        <v>28.14</v>
      </c>
      <c r="F10735" s="2">
        <v>2</v>
      </c>
      <c r="G10735" s="2" t="s">
        <v>11</v>
      </c>
    </row>
    <row r="10736" spans="1:9" x14ac:dyDescent="0.2">
      <c r="A10736" s="2" t="s">
        <v>4092</v>
      </c>
      <c r="B10736" s="2" t="s">
        <v>2339</v>
      </c>
      <c r="C10736" s="2">
        <v>669.75459999999998</v>
      </c>
      <c r="D10736" s="2">
        <f>HYPERLINK("http://mcb-m6.bioreg.kyushu-u.ac.jp/M3/20110414/F50929/1990/1", 75.56)</f>
        <v>75.56</v>
      </c>
      <c r="E10736" s="2">
        <v>54.06</v>
      </c>
      <c r="F10736" s="2">
        <v>2</v>
      </c>
      <c r="G10736" s="2" t="s">
        <v>11</v>
      </c>
    </row>
    <row r="10737" spans="1:9" x14ac:dyDescent="0.2">
      <c r="A10737" s="2" t="s">
        <v>3882</v>
      </c>
      <c r="B10737" s="2" t="s">
        <v>1017</v>
      </c>
      <c r="C10737" s="2">
        <v>695.45759999999996</v>
      </c>
      <c r="D10737" s="2">
        <f>HYPERLINK("http://mcb-m6.bioreg.kyushu-u.ac.jp/M3/20110411/F50911/1831/1", 58.97)</f>
        <v>58.97</v>
      </c>
      <c r="E10737" s="2">
        <v>40.18</v>
      </c>
      <c r="F10737" s="2">
        <v>2</v>
      </c>
      <c r="G10737" s="2" t="s">
        <v>9</v>
      </c>
    </row>
    <row r="10738" spans="1:9" x14ac:dyDescent="0.2">
      <c r="A10738" s="2" t="s">
        <v>3882</v>
      </c>
      <c r="B10738" s="2" t="s">
        <v>1110</v>
      </c>
      <c r="C10738" s="2">
        <v>801.65520000000004</v>
      </c>
      <c r="D10738" s="2">
        <f>HYPERLINK("http://mcb-m6.bioreg.kyushu-u.ac.jp/M3/20110411/F50911/2446/1", 63.62)</f>
        <v>63.62</v>
      </c>
      <c r="E10738" s="2">
        <v>44.84</v>
      </c>
      <c r="F10738" s="2">
        <v>2</v>
      </c>
      <c r="G10738" s="2" t="s">
        <v>9</v>
      </c>
      <c r="I10738" s="2" t="s">
        <v>4893</v>
      </c>
    </row>
    <row r="10739" spans="1:9" x14ac:dyDescent="0.2">
      <c r="A10739" s="2" t="s">
        <v>3882</v>
      </c>
      <c r="B10739" s="2" t="s">
        <v>2066</v>
      </c>
      <c r="C10739" s="2">
        <v>456.92160000000001</v>
      </c>
      <c r="D10739" s="2">
        <f>HYPERLINK("http://mcb-m6.bioreg.kyushu-u.ac.jp/M3/20110411/F50914/881/1", 71.47)</f>
        <v>71.47</v>
      </c>
      <c r="E10739" s="2">
        <v>37.479999999999997</v>
      </c>
      <c r="F10739" s="2">
        <v>2</v>
      </c>
      <c r="G10739" s="2" t="s">
        <v>10</v>
      </c>
    </row>
    <row r="10740" spans="1:9" x14ac:dyDescent="0.2">
      <c r="A10740" s="2" t="s">
        <v>3882</v>
      </c>
      <c r="B10740" s="2" t="s">
        <v>2066</v>
      </c>
      <c r="C10740" s="2">
        <v>457.32709999999997</v>
      </c>
      <c r="D10740" s="2">
        <f>HYPERLINK("http://mcb-m6.bioreg.kyushu-u.ac.jp/M3/20110414/F50942/667/1", 54.25)</f>
        <v>54.25</v>
      </c>
      <c r="E10740" s="2">
        <v>27.93</v>
      </c>
      <c r="F10740" s="2">
        <v>2</v>
      </c>
      <c r="G10740" s="2" t="s">
        <v>11</v>
      </c>
    </row>
    <row r="10741" spans="1:9" x14ac:dyDescent="0.2">
      <c r="A10741" s="2" t="s">
        <v>3882</v>
      </c>
      <c r="B10741" s="2" t="s">
        <v>1110</v>
      </c>
      <c r="C10741" s="2">
        <v>801.81320000000005</v>
      </c>
      <c r="D10741" s="2">
        <f>HYPERLINK("http://mcb-m6.bioreg.kyushu-u.ac.jp/M3/20110414/F50942/2286/1", 76.69)</f>
        <v>76.69</v>
      </c>
      <c r="E10741" s="2">
        <v>61.37</v>
      </c>
      <c r="F10741" s="2">
        <v>2</v>
      </c>
      <c r="G10741" s="2" t="s">
        <v>11</v>
      </c>
      <c r="I10741" s="2" t="s">
        <v>4893</v>
      </c>
    </row>
    <row r="10742" spans="1:9" x14ac:dyDescent="0.2">
      <c r="A10742" s="2" t="s">
        <v>3882</v>
      </c>
      <c r="B10742" s="2" t="s">
        <v>1110</v>
      </c>
      <c r="C10742" s="2">
        <v>801.48069999999996</v>
      </c>
      <c r="D10742" s="2">
        <f>HYPERLINK("http://mcb-m6.bioreg.kyushu-u.ac.jp/M3/20110502/F51171/2285/1", 55.56)</f>
        <v>55.56</v>
      </c>
      <c r="E10742" s="2">
        <v>44.45</v>
      </c>
      <c r="F10742" s="2">
        <v>2</v>
      </c>
      <c r="G10742" s="2" t="s">
        <v>13</v>
      </c>
      <c r="I10742" s="2" t="s">
        <v>4893</v>
      </c>
    </row>
    <row r="10743" spans="1:9" x14ac:dyDescent="0.2">
      <c r="A10743" s="2" t="s">
        <v>3882</v>
      </c>
      <c r="B10743" s="2" t="s">
        <v>2066</v>
      </c>
      <c r="C10743" s="2">
        <v>457.10860000000002</v>
      </c>
      <c r="D10743" s="2">
        <f>HYPERLINK("http://mcb-m6.bioreg.kyushu-u.ac.jp/M3/20110502/F51183/534/1", 49.82)</f>
        <v>49.82</v>
      </c>
      <c r="E10743" s="2">
        <v>9.19</v>
      </c>
      <c r="F10743" s="2">
        <v>2</v>
      </c>
      <c r="G10743" s="2" t="s">
        <v>14</v>
      </c>
    </row>
    <row r="10744" spans="1:9" x14ac:dyDescent="0.2">
      <c r="A10744" s="2" t="s">
        <v>3882</v>
      </c>
      <c r="B10744" s="2" t="s">
        <v>1017</v>
      </c>
      <c r="C10744" s="2">
        <v>695.68619999999999</v>
      </c>
      <c r="D10744" s="2">
        <f>HYPERLINK("http://mcb-m6.bioreg.kyushu-u.ac.jp/M3/20110502/F51183/1641/1", 56.32)</f>
        <v>56.32</v>
      </c>
      <c r="E10744" s="2">
        <v>37.04</v>
      </c>
      <c r="F10744" s="2">
        <v>2</v>
      </c>
      <c r="G10744" s="2" t="s">
        <v>14</v>
      </c>
    </row>
    <row r="10745" spans="1:9" x14ac:dyDescent="0.2">
      <c r="A10745" s="2" t="s">
        <v>3758</v>
      </c>
      <c r="B10745" s="2" t="s">
        <v>771</v>
      </c>
      <c r="C10745" s="2">
        <v>672.98220000000003</v>
      </c>
      <c r="D10745" s="2">
        <f>HYPERLINK("http://mcb-m6.bioreg.kyushu-u.ac.jp/M3/20110411/F50911/1708/1", 50.67)</f>
        <v>50.67</v>
      </c>
      <c r="E10745" s="2">
        <v>24.54</v>
      </c>
      <c r="F10745" s="2">
        <v>2</v>
      </c>
      <c r="G10745" s="2" t="s">
        <v>9</v>
      </c>
    </row>
    <row r="10746" spans="1:9" x14ac:dyDescent="0.2">
      <c r="A10746" s="2" t="s">
        <v>3758</v>
      </c>
      <c r="B10746" s="2" t="s">
        <v>771</v>
      </c>
      <c r="C10746" s="2">
        <v>673.35860000000002</v>
      </c>
      <c r="D10746" s="2">
        <f>HYPERLINK("http://mcb-m6.bioreg.kyushu-u.ac.jp/M3/20110502/F51171/1690/1", 51.25)</f>
        <v>51.25</v>
      </c>
      <c r="E10746" s="2">
        <v>31.57</v>
      </c>
      <c r="F10746" s="2">
        <v>2</v>
      </c>
      <c r="G10746" s="2" t="s">
        <v>13</v>
      </c>
    </row>
    <row r="10747" spans="1:9" x14ac:dyDescent="0.2">
      <c r="A10747" s="2" t="s">
        <v>4321</v>
      </c>
      <c r="B10747" s="2" t="s">
        <v>2091</v>
      </c>
      <c r="C10747" s="2">
        <v>843.3442</v>
      </c>
      <c r="D10747" s="2">
        <f>HYPERLINK("http://mcb-m6.bioreg.kyushu-u.ac.jp/M3/20110411/F50914/2557/1", 77.33)</f>
        <v>77.33</v>
      </c>
      <c r="E10747" s="2">
        <v>57.51</v>
      </c>
      <c r="F10747" s="2">
        <v>2</v>
      </c>
      <c r="G10747" s="2" t="s">
        <v>10</v>
      </c>
      <c r="I10747" s="2" t="s">
        <v>4906</v>
      </c>
    </row>
    <row r="10748" spans="1:9" x14ac:dyDescent="0.2">
      <c r="A10748" s="2" t="s">
        <v>4321</v>
      </c>
      <c r="B10748" s="2" t="s">
        <v>2955</v>
      </c>
      <c r="C10748" s="2">
        <v>480.88260000000002</v>
      </c>
      <c r="D10748" s="2">
        <f>HYPERLINK("http://mcb-m6.bioreg.kyushu-u.ac.jp/M3/20110502/F51171/989/1", 83.93)</f>
        <v>83.93</v>
      </c>
      <c r="E10748" s="2">
        <v>56.48</v>
      </c>
      <c r="F10748" s="2">
        <v>2</v>
      </c>
      <c r="G10748" s="2" t="s">
        <v>13</v>
      </c>
    </row>
    <row r="10749" spans="1:9" x14ac:dyDescent="0.2">
      <c r="A10749" s="2" t="s">
        <v>4321</v>
      </c>
      <c r="B10749" s="2" t="s">
        <v>3158</v>
      </c>
      <c r="C10749" s="2">
        <v>471.47309999999999</v>
      </c>
      <c r="D10749" s="2">
        <f>HYPERLINK("http://mcb-m6.bioreg.kyushu-u.ac.jp/M3/20110502/F51183/627/1", 54.52)</f>
        <v>54.52</v>
      </c>
      <c r="E10749" s="2">
        <v>3.66</v>
      </c>
      <c r="F10749" s="2">
        <v>2</v>
      </c>
      <c r="G10749" s="2" t="s">
        <v>14</v>
      </c>
    </row>
    <row r="10750" spans="1:9" x14ac:dyDescent="0.2">
      <c r="A10750" s="2" t="s">
        <v>4321</v>
      </c>
      <c r="B10750" s="2" t="s">
        <v>2091</v>
      </c>
      <c r="C10750" s="2">
        <v>843.40769999999998</v>
      </c>
      <c r="D10750" s="2">
        <f>HYPERLINK("http://mcb-m6.bioreg.kyushu-u.ac.jp/M3/20110502/F51183/2435/1", 61.12)</f>
        <v>61.12</v>
      </c>
      <c r="E10750" s="2">
        <v>38.869999999999997</v>
      </c>
      <c r="F10750" s="2">
        <v>2</v>
      </c>
      <c r="G10750" s="2" t="s">
        <v>14</v>
      </c>
      <c r="I10750" s="2" t="s">
        <v>4906</v>
      </c>
    </row>
    <row r="10751" spans="1:9" x14ac:dyDescent="0.2">
      <c r="A10751" s="2" t="s">
        <v>4571</v>
      </c>
      <c r="B10751" s="2" t="s">
        <v>2616</v>
      </c>
      <c r="C10751" s="2">
        <v>824.6422</v>
      </c>
      <c r="D10751" s="2">
        <f>HYPERLINK("http://mcb-m6.bioreg.kyushu-u.ac.jp/M3/20110414/F50948/2592/1", 43.06)</f>
        <v>43.06</v>
      </c>
      <c r="E10751" s="2">
        <v>29.94</v>
      </c>
      <c r="F10751" s="2">
        <v>2</v>
      </c>
      <c r="G10751" s="2" t="s">
        <v>12</v>
      </c>
    </row>
    <row r="10752" spans="1:9" x14ac:dyDescent="0.2">
      <c r="A10752" s="2" t="s">
        <v>4571</v>
      </c>
      <c r="B10752" s="2" t="s">
        <v>2616</v>
      </c>
      <c r="C10752" s="2">
        <v>824.83420000000001</v>
      </c>
      <c r="D10752" s="2">
        <f>HYPERLINK("http://mcb-m6.bioreg.kyushu-u.ac.jp/M3/20110502/F51192/2258/1", 59.03)</f>
        <v>59.03</v>
      </c>
      <c r="E10752" s="2">
        <v>46.13</v>
      </c>
      <c r="F10752" s="2">
        <v>2</v>
      </c>
      <c r="G10752" s="2" t="s">
        <v>14</v>
      </c>
    </row>
    <row r="10753" spans="1:9" x14ac:dyDescent="0.2">
      <c r="A10753" s="2" t="s">
        <v>3464</v>
      </c>
      <c r="B10753" s="2" t="s">
        <v>275</v>
      </c>
      <c r="C10753" s="2">
        <v>780.36220000000003</v>
      </c>
      <c r="D10753" s="2">
        <f>HYPERLINK("http://mcb-m6.bioreg.kyushu-u.ac.jp/M3/20110411/F50911/2304/1", 38.88)</f>
        <v>38.880000000000003</v>
      </c>
      <c r="E10753" s="2">
        <v>22.01</v>
      </c>
      <c r="F10753" s="2">
        <v>2</v>
      </c>
      <c r="G10753" s="2" t="s">
        <v>9</v>
      </c>
      <c r="I10753" s="2" t="s">
        <v>4914</v>
      </c>
    </row>
    <row r="10754" spans="1:9" x14ac:dyDescent="0.2">
      <c r="A10754" s="2" t="s">
        <v>3464</v>
      </c>
      <c r="B10754" s="2" t="s">
        <v>660</v>
      </c>
      <c r="C10754" s="2">
        <v>620.50419999999997</v>
      </c>
      <c r="D10754" s="2">
        <f>HYPERLINK("http://mcb-m6.bioreg.kyushu-u.ac.jp/M3/20110411/F50911/1479/1", 47.52)</f>
        <v>47.52</v>
      </c>
      <c r="E10754" s="2">
        <v>18.36</v>
      </c>
      <c r="F10754" s="2">
        <v>2</v>
      </c>
      <c r="G10754" s="2" t="s">
        <v>9</v>
      </c>
    </row>
    <row r="10755" spans="1:9" x14ac:dyDescent="0.2">
      <c r="A10755" s="2" t="s">
        <v>3464</v>
      </c>
      <c r="B10755" s="2" t="s">
        <v>879</v>
      </c>
      <c r="C10755" s="2">
        <v>580.9402</v>
      </c>
      <c r="D10755" s="2">
        <f>HYPERLINK("http://mcb-m6.bioreg.kyushu-u.ac.jp/M3/20110411/F50911/1300/1", 54.25)</f>
        <v>54.25</v>
      </c>
      <c r="E10755" s="2">
        <v>25.02</v>
      </c>
      <c r="F10755" s="2">
        <v>2</v>
      </c>
      <c r="G10755" s="2" t="s">
        <v>9</v>
      </c>
    </row>
    <row r="10756" spans="1:9" x14ac:dyDescent="0.2">
      <c r="A10756" s="2" t="s">
        <v>3464</v>
      </c>
      <c r="B10756" s="2" t="s">
        <v>1239</v>
      </c>
      <c r="C10756" s="2">
        <v>737.35609999999997</v>
      </c>
      <c r="D10756" s="2">
        <f>HYPERLINK("http://mcb-m6.bioreg.kyushu-u.ac.jp/M3/20110411/F50911/2067/1", 68.4)</f>
        <v>68.400000000000006</v>
      </c>
      <c r="E10756" s="2">
        <v>49.98</v>
      </c>
      <c r="F10756" s="2">
        <v>2</v>
      </c>
      <c r="G10756" s="2" t="s">
        <v>9</v>
      </c>
    </row>
    <row r="10757" spans="1:9" x14ac:dyDescent="0.2">
      <c r="A10757" s="2" t="s">
        <v>3464</v>
      </c>
      <c r="B10757" s="2" t="s">
        <v>1865</v>
      </c>
      <c r="C10757" s="2">
        <v>737.39919999999995</v>
      </c>
      <c r="D10757" s="2">
        <f>HYPERLINK("http://mcb-m6.bioreg.kyushu-u.ac.jp/M3/20110411/F50914/2067/1", 45.24)</f>
        <v>45.24</v>
      </c>
      <c r="E10757" s="2">
        <v>28.44</v>
      </c>
      <c r="F10757" s="2">
        <v>2</v>
      </c>
      <c r="G10757" s="2" t="s">
        <v>10</v>
      </c>
    </row>
    <row r="10758" spans="1:9" x14ac:dyDescent="0.2">
      <c r="A10758" s="2" t="s">
        <v>3464</v>
      </c>
      <c r="B10758" s="2" t="s">
        <v>1865</v>
      </c>
      <c r="C10758" s="2">
        <v>737.28560000000004</v>
      </c>
      <c r="D10758" s="2">
        <f>HYPERLINK("http://mcb-m6.bioreg.kyushu-u.ac.jp/M3/20110414/F50942/1862/1", 44.07)</f>
        <v>44.07</v>
      </c>
      <c r="E10758" s="2">
        <v>32.44</v>
      </c>
      <c r="F10758" s="2">
        <v>2</v>
      </c>
      <c r="G10758" s="2" t="s">
        <v>11</v>
      </c>
    </row>
    <row r="10759" spans="1:9" x14ac:dyDescent="0.2">
      <c r="A10759" s="2" t="s">
        <v>3464</v>
      </c>
      <c r="B10759" s="2" t="s">
        <v>2299</v>
      </c>
      <c r="C10759" s="2">
        <v>732.23350000000005</v>
      </c>
      <c r="D10759" s="2">
        <f>HYPERLINK("http://mcb-m6.bioreg.kyushu-u.ac.jp/M3/20110414/F50942/3760/1", 44.14)</f>
        <v>44.14</v>
      </c>
      <c r="E10759" s="2">
        <v>29.29</v>
      </c>
      <c r="F10759" s="2">
        <v>3</v>
      </c>
      <c r="G10759" s="2" t="s">
        <v>11</v>
      </c>
    </row>
    <row r="10760" spans="1:9" x14ac:dyDescent="0.2">
      <c r="A10760" s="2" t="s">
        <v>3464</v>
      </c>
      <c r="B10760" s="2" t="s">
        <v>2299</v>
      </c>
      <c r="C10760" s="2">
        <v>732.44709999999998</v>
      </c>
      <c r="D10760" s="2">
        <f>HYPERLINK("http://mcb-m6.bioreg.kyushu-u.ac.jp/M3/20110502/F51183/3363/1", 43.49)</f>
        <v>43.49</v>
      </c>
      <c r="E10760" s="2">
        <v>31.87</v>
      </c>
      <c r="F10760" s="2">
        <v>3</v>
      </c>
      <c r="G10760" s="2" t="s">
        <v>14</v>
      </c>
    </row>
    <row r="10761" spans="1:9" x14ac:dyDescent="0.2">
      <c r="A10761" s="2" t="s">
        <v>3464</v>
      </c>
      <c r="B10761" s="2" t="s">
        <v>879</v>
      </c>
      <c r="C10761" s="2">
        <v>581.26170000000002</v>
      </c>
      <c r="D10761" s="2">
        <f>HYPERLINK("http://mcb-m6.bioreg.kyushu-u.ac.jp/M3/20110502/F51183/1092/1", 62.43)</f>
        <v>62.43</v>
      </c>
      <c r="E10761" s="2">
        <v>22.23</v>
      </c>
      <c r="F10761" s="2">
        <v>2</v>
      </c>
      <c r="G10761" s="2" t="s">
        <v>14</v>
      </c>
    </row>
    <row r="10762" spans="1:9" x14ac:dyDescent="0.2">
      <c r="A10762" s="2" t="s">
        <v>4713</v>
      </c>
      <c r="B10762" s="2" t="s">
        <v>2902</v>
      </c>
      <c r="C10762" s="2">
        <v>554.29769999999996</v>
      </c>
      <c r="D10762" s="2">
        <f>HYPERLINK("http://mcb-m6.bioreg.kyushu-u.ac.jp/M3/20110502/F51169/1395/1", 46.99)</f>
        <v>46.99</v>
      </c>
      <c r="E10762" s="2">
        <v>6.5</v>
      </c>
      <c r="F10762" s="2">
        <v>2</v>
      </c>
      <c r="G10762" s="2" t="s">
        <v>13</v>
      </c>
      <c r="H10762" s="2" t="s">
        <v>4896</v>
      </c>
    </row>
    <row r="10763" spans="1:9" x14ac:dyDescent="0.2">
      <c r="A10763" s="2" t="s">
        <v>3931</v>
      </c>
      <c r="B10763" s="2" t="s">
        <v>1118</v>
      </c>
      <c r="C10763" s="2">
        <v>931.37070000000006</v>
      </c>
      <c r="D10763" s="2">
        <f>HYPERLINK("http://mcb-m6.bioreg.kyushu-u.ac.jp/M3/20110411/F50905/2999/1", 63.88)</f>
        <v>63.88</v>
      </c>
      <c r="E10763" s="2">
        <v>46.77</v>
      </c>
      <c r="F10763" s="2">
        <v>2</v>
      </c>
      <c r="G10763" s="2" t="s">
        <v>9</v>
      </c>
    </row>
    <row r="10764" spans="1:9" x14ac:dyDescent="0.2">
      <c r="A10764" s="2" t="s">
        <v>3931</v>
      </c>
      <c r="B10764" s="2" t="s">
        <v>1118</v>
      </c>
      <c r="C10764" s="2">
        <v>931.14509999999996</v>
      </c>
      <c r="D10764" s="2">
        <f>HYPERLINK("http://mcb-m6.bioreg.kyushu-u.ac.jp/M3/20110502/F51170/3019/1", 61.53)</f>
        <v>61.53</v>
      </c>
      <c r="E10764" s="2">
        <v>45.99</v>
      </c>
      <c r="F10764" s="2">
        <v>2</v>
      </c>
      <c r="G10764" s="2" t="s">
        <v>13</v>
      </c>
    </row>
    <row r="10765" spans="1:9" x14ac:dyDescent="0.2">
      <c r="A10765" s="2" t="s">
        <v>4470</v>
      </c>
      <c r="B10765" s="2" t="s">
        <v>2409</v>
      </c>
      <c r="C10765" s="2">
        <v>533.21619999999996</v>
      </c>
      <c r="D10765" s="2">
        <f>HYPERLINK("http://mcb-m6.bioreg.kyushu-u.ac.jp/M3/20110414/F50941/1039/1", 57.99)</f>
        <v>57.99</v>
      </c>
      <c r="E10765" s="2">
        <v>26.86</v>
      </c>
      <c r="F10765" s="2">
        <v>2</v>
      </c>
      <c r="G10765" s="2" t="s">
        <v>11</v>
      </c>
    </row>
    <row r="10766" spans="1:9" x14ac:dyDescent="0.2">
      <c r="A10766" s="2" t="s">
        <v>3398</v>
      </c>
      <c r="B10766" s="2" t="s">
        <v>193</v>
      </c>
      <c r="C10766" s="2">
        <v>1181.8309999999999</v>
      </c>
      <c r="D10766" s="2">
        <f>HYPERLINK("http://mcb-m6.bioreg.kyushu-u.ac.jp/M3/20110411/F50903/1389/1", 37.52)</f>
        <v>37.520000000000003</v>
      </c>
      <c r="E10766" s="2">
        <v>14.58</v>
      </c>
      <c r="F10766" s="2">
        <v>1</v>
      </c>
      <c r="G10766" s="2" t="s">
        <v>9</v>
      </c>
      <c r="H10766" s="2" t="s">
        <v>4904</v>
      </c>
    </row>
    <row r="10767" spans="1:9" x14ac:dyDescent="0.2">
      <c r="A10767" s="2" t="s">
        <v>3398</v>
      </c>
      <c r="B10767" s="2" t="s">
        <v>335</v>
      </c>
      <c r="C10767" s="2">
        <v>1059.625</v>
      </c>
      <c r="D10767" s="2">
        <f>HYPERLINK("http://mcb-m6.bioreg.kyushu-u.ac.jp/M3/20110411/F50903/1220/1", 39.88)</f>
        <v>39.880000000000003</v>
      </c>
      <c r="E10767" s="2">
        <v>18.11</v>
      </c>
      <c r="F10767" s="2">
        <v>1</v>
      </c>
      <c r="G10767" s="2" t="s">
        <v>9</v>
      </c>
    </row>
    <row r="10768" spans="1:9" x14ac:dyDescent="0.2">
      <c r="A10768" s="2" t="s">
        <v>3398</v>
      </c>
      <c r="B10768" s="2" t="s">
        <v>193</v>
      </c>
      <c r="C10768" s="2">
        <v>1181.579</v>
      </c>
      <c r="D10768" s="2">
        <f>HYPERLINK("http://mcb-m6.bioreg.kyushu-u.ac.jp/M3/20110411/F50889/1815/1", 42.42)</f>
        <v>42.42</v>
      </c>
      <c r="E10768" s="2">
        <v>25.47</v>
      </c>
      <c r="F10768" s="2">
        <v>1</v>
      </c>
      <c r="G10768" s="2" t="s">
        <v>9</v>
      </c>
      <c r="H10768" s="2" t="s">
        <v>4904</v>
      </c>
    </row>
    <row r="10769" spans="1:8" x14ac:dyDescent="0.2">
      <c r="A10769" s="2" t="s">
        <v>3398</v>
      </c>
      <c r="B10769" s="2" t="s">
        <v>193</v>
      </c>
      <c r="C10769" s="2">
        <v>600.14369999999997</v>
      </c>
      <c r="D10769" s="2">
        <f>HYPERLINK("http://mcb-m6.bioreg.kyushu-u.ac.jp/M3/20110411/F50903/1421/1", 49.88)</f>
        <v>49.88</v>
      </c>
      <c r="E10769" s="2">
        <v>26.86</v>
      </c>
      <c r="F10769" s="2">
        <v>2</v>
      </c>
      <c r="G10769" s="2" t="s">
        <v>9</v>
      </c>
    </row>
    <row r="10770" spans="1:8" x14ac:dyDescent="0.2">
      <c r="A10770" s="2" t="s">
        <v>3398</v>
      </c>
      <c r="B10770" s="2" t="s">
        <v>784</v>
      </c>
      <c r="C10770" s="2">
        <v>596.24220000000003</v>
      </c>
      <c r="D10770" s="2">
        <f>HYPERLINK("http://mcb-m6.bioreg.kyushu-u.ac.jp/M3/20110411/F50903/1407/1", 51.23)</f>
        <v>51.23</v>
      </c>
      <c r="E10770" s="2">
        <v>17.89</v>
      </c>
      <c r="F10770" s="2">
        <v>2</v>
      </c>
      <c r="G10770" s="2" t="s">
        <v>9</v>
      </c>
      <c r="H10770" s="2" t="s">
        <v>4901</v>
      </c>
    </row>
    <row r="10771" spans="1:8" x14ac:dyDescent="0.2">
      <c r="A10771" s="2" t="s">
        <v>3398</v>
      </c>
      <c r="B10771" s="2" t="s">
        <v>335</v>
      </c>
      <c r="C10771" s="2">
        <v>1059.3420000000001</v>
      </c>
      <c r="D10771" s="2">
        <f>HYPERLINK("http://mcb-m6.bioreg.kyushu-u.ac.jp/M3/20110411/F50889/1643/1", 56.63)</f>
        <v>56.63</v>
      </c>
      <c r="E10771" s="2">
        <v>29.72</v>
      </c>
      <c r="F10771" s="2">
        <v>1</v>
      </c>
      <c r="G10771" s="2" t="s">
        <v>9</v>
      </c>
    </row>
    <row r="10772" spans="1:8" x14ac:dyDescent="0.2">
      <c r="A10772" s="2" t="s">
        <v>3398</v>
      </c>
      <c r="B10772" s="2" t="s">
        <v>784</v>
      </c>
      <c r="C10772" s="2">
        <v>595.80110000000002</v>
      </c>
      <c r="D10772" s="2">
        <f>HYPERLINK("http://mcb-m6.bioreg.kyushu-u.ac.jp/M3/20110411/F50889/1840/1", 59.69)</f>
        <v>59.69</v>
      </c>
      <c r="E10772" s="2">
        <v>43.4</v>
      </c>
      <c r="F10772" s="2">
        <v>2</v>
      </c>
      <c r="G10772" s="2" t="s">
        <v>9</v>
      </c>
      <c r="H10772" s="2" t="s">
        <v>4901</v>
      </c>
    </row>
    <row r="10773" spans="1:8" x14ac:dyDescent="0.2">
      <c r="A10773" s="2" t="s">
        <v>3398</v>
      </c>
      <c r="B10773" s="2" t="s">
        <v>784</v>
      </c>
      <c r="C10773" s="2">
        <v>587.69209999999998</v>
      </c>
      <c r="D10773" s="2">
        <f>HYPERLINK("http://mcb-m6.bioreg.kyushu-u.ac.jp/M3/20110411/F50889/1802/1", 63.3)</f>
        <v>63.3</v>
      </c>
      <c r="E10773" s="2">
        <v>44.62</v>
      </c>
      <c r="F10773" s="2">
        <v>2</v>
      </c>
      <c r="G10773" s="2" t="s">
        <v>9</v>
      </c>
    </row>
    <row r="10774" spans="1:8" x14ac:dyDescent="0.2">
      <c r="A10774" s="2" t="s">
        <v>3398</v>
      </c>
      <c r="B10774" s="2" t="s">
        <v>193</v>
      </c>
      <c r="C10774" s="2">
        <v>591.6866</v>
      </c>
      <c r="D10774" s="2">
        <f>HYPERLINK("http://mcb-m6.bioreg.kyushu-u.ac.jp/M3/20110411/F50889/1816/1", 70.59)</f>
        <v>70.59</v>
      </c>
      <c r="E10774" s="2">
        <v>47.82</v>
      </c>
      <c r="F10774" s="2">
        <v>2</v>
      </c>
      <c r="G10774" s="2" t="s">
        <v>9</v>
      </c>
      <c r="H10774" s="2" t="s">
        <v>4904</v>
      </c>
    </row>
    <row r="10775" spans="1:8" x14ac:dyDescent="0.2">
      <c r="A10775" s="2" t="s">
        <v>3398</v>
      </c>
      <c r="B10775" s="2" t="s">
        <v>193</v>
      </c>
      <c r="C10775" s="2">
        <v>599.9991</v>
      </c>
      <c r="D10775" s="2">
        <f>HYPERLINK("http://mcb-m6.bioreg.kyushu-u.ac.jp/M3/20110411/F50903/1417/1", 70.86)</f>
        <v>70.86</v>
      </c>
      <c r="E10775" s="2">
        <v>29.55</v>
      </c>
      <c r="F10775" s="2">
        <v>2</v>
      </c>
      <c r="G10775" s="2" t="s">
        <v>9</v>
      </c>
    </row>
    <row r="10776" spans="1:8" x14ac:dyDescent="0.2">
      <c r="A10776" s="2" t="s">
        <v>3398</v>
      </c>
      <c r="B10776" s="2" t="s">
        <v>193</v>
      </c>
      <c r="C10776" s="2">
        <v>599.84270000000004</v>
      </c>
      <c r="D10776" s="2">
        <f>HYPERLINK("http://mcb-m6.bioreg.kyushu-u.ac.jp/M3/20110411/F50889/1856/1", 78.54)</f>
        <v>78.540000000000006</v>
      </c>
      <c r="E10776" s="2">
        <v>54.64</v>
      </c>
      <c r="F10776" s="2">
        <v>2</v>
      </c>
      <c r="G10776" s="2" t="s">
        <v>9</v>
      </c>
    </row>
    <row r="10777" spans="1:8" x14ac:dyDescent="0.2">
      <c r="A10777" s="2" t="s">
        <v>3398</v>
      </c>
      <c r="B10777" s="2" t="s">
        <v>1597</v>
      </c>
      <c r="C10777" s="2">
        <v>922.44119999999998</v>
      </c>
      <c r="D10777" s="2">
        <f>HYPERLINK("http://mcb-m6.bioreg.kyushu-u.ac.jp/M3/20110411/F50889/2743/1", 97.62)</f>
        <v>97.62</v>
      </c>
      <c r="E10777" s="2">
        <v>85.98</v>
      </c>
      <c r="F10777" s="2">
        <v>2</v>
      </c>
      <c r="G10777" s="2" t="s">
        <v>9</v>
      </c>
    </row>
    <row r="10778" spans="1:8" x14ac:dyDescent="0.2">
      <c r="A10778" s="2" t="s">
        <v>3398</v>
      </c>
      <c r="B10778" s="2" t="s">
        <v>1675</v>
      </c>
      <c r="C10778" s="2">
        <v>1145.1489999999999</v>
      </c>
      <c r="D10778" s="2">
        <f>HYPERLINK("http://mcb-m6.bioreg.kyushu-u.ac.jp/M3/20110411/F50903/3588/1", 127.66)</f>
        <v>127.66</v>
      </c>
      <c r="E10778" s="2">
        <v>112.34</v>
      </c>
      <c r="F10778" s="2">
        <v>2</v>
      </c>
      <c r="G10778" s="2" t="s">
        <v>9</v>
      </c>
    </row>
    <row r="10779" spans="1:8" x14ac:dyDescent="0.2">
      <c r="A10779" s="2" t="s">
        <v>3398</v>
      </c>
      <c r="B10779" s="2" t="s">
        <v>1675</v>
      </c>
      <c r="C10779" s="2">
        <v>1144.885</v>
      </c>
      <c r="D10779" s="2">
        <f>HYPERLINK("http://mcb-m6.bioreg.kyushu-u.ac.jp/M3/20110411/F50889/3026/1", 138.56)</f>
        <v>138.56</v>
      </c>
      <c r="E10779" s="2">
        <v>127.17</v>
      </c>
      <c r="F10779" s="2">
        <v>2</v>
      </c>
      <c r="G10779" s="2" t="s">
        <v>9</v>
      </c>
    </row>
    <row r="10780" spans="1:8" x14ac:dyDescent="0.2">
      <c r="A10780" s="2" t="s">
        <v>3398</v>
      </c>
      <c r="B10780" s="2" t="s">
        <v>784</v>
      </c>
      <c r="C10780" s="2">
        <v>588.36320000000001</v>
      </c>
      <c r="D10780" s="2">
        <f>HYPERLINK("http://mcb-m6.bioreg.kyushu-u.ac.jp/M3/20110411/F50896/1590/1", 49.59)</f>
        <v>49.59</v>
      </c>
      <c r="E10780" s="2">
        <v>28.21</v>
      </c>
      <c r="F10780" s="2">
        <v>2</v>
      </c>
      <c r="G10780" s="2" t="s">
        <v>10</v>
      </c>
    </row>
    <row r="10781" spans="1:8" x14ac:dyDescent="0.2">
      <c r="A10781" s="2" t="s">
        <v>3398</v>
      </c>
      <c r="B10781" s="2" t="s">
        <v>335</v>
      </c>
      <c r="C10781" s="2">
        <v>1059.7660000000001</v>
      </c>
      <c r="D10781" s="2">
        <f>HYPERLINK("http://mcb-m6.bioreg.kyushu-u.ac.jp/M3/20110411/F50896/1402/1", 57.7)</f>
        <v>57.7</v>
      </c>
      <c r="E10781" s="2">
        <v>30.84</v>
      </c>
      <c r="F10781" s="2">
        <v>1</v>
      </c>
      <c r="G10781" s="2" t="s">
        <v>10</v>
      </c>
    </row>
    <row r="10782" spans="1:8" x14ac:dyDescent="0.2">
      <c r="A10782" s="2" t="s">
        <v>3398</v>
      </c>
      <c r="B10782" s="2" t="s">
        <v>193</v>
      </c>
      <c r="C10782" s="2">
        <v>600.18020000000001</v>
      </c>
      <c r="D10782" s="2">
        <f>HYPERLINK("http://mcb-m6.bioreg.kyushu-u.ac.jp/M3/20110411/F50896/1647/1", 70.72)</f>
        <v>70.72</v>
      </c>
      <c r="E10782" s="2">
        <v>44.77</v>
      </c>
      <c r="F10782" s="2">
        <v>2</v>
      </c>
      <c r="G10782" s="2" t="s">
        <v>10</v>
      </c>
    </row>
    <row r="10783" spans="1:8" x14ac:dyDescent="0.2">
      <c r="A10783" s="2" t="s">
        <v>3398</v>
      </c>
      <c r="B10783" s="2" t="s">
        <v>193</v>
      </c>
      <c r="C10783" s="2">
        <v>599.86770000000001</v>
      </c>
      <c r="D10783" s="2">
        <f>HYPERLINK("http://mcb-m6.bioreg.kyushu-u.ac.jp/M3/20110411/F50920/987/1", 86.42)</f>
        <v>86.42</v>
      </c>
      <c r="E10783" s="2">
        <v>62.68</v>
      </c>
      <c r="F10783" s="2">
        <v>2</v>
      </c>
      <c r="G10783" s="2" t="s">
        <v>10</v>
      </c>
    </row>
    <row r="10784" spans="1:8" x14ac:dyDescent="0.2">
      <c r="A10784" s="2" t="s">
        <v>3398</v>
      </c>
      <c r="B10784" s="2" t="s">
        <v>1675</v>
      </c>
      <c r="C10784" s="2">
        <v>1145.2049999999999</v>
      </c>
      <c r="D10784" s="2">
        <f>HYPERLINK("http://mcb-m6.bioreg.kyushu-u.ac.jp/M3/20110411/F50896/3190/1", 157.56)</f>
        <v>157.56</v>
      </c>
      <c r="E10784" s="2">
        <v>142.27000000000001</v>
      </c>
      <c r="F10784" s="2">
        <v>2</v>
      </c>
      <c r="G10784" s="2" t="s">
        <v>10</v>
      </c>
    </row>
    <row r="10785" spans="1:8" x14ac:dyDescent="0.2">
      <c r="A10785" s="2" t="s">
        <v>3398</v>
      </c>
      <c r="B10785" s="2" t="s">
        <v>193</v>
      </c>
      <c r="C10785" s="2">
        <v>600.15009999999995</v>
      </c>
      <c r="D10785" s="2">
        <f>HYPERLINK("http://mcb-m6.bioreg.kyushu-u.ac.jp/M3/20110414/F50945/1429/1", 41.97)</f>
        <v>41.97</v>
      </c>
      <c r="E10785" s="2">
        <v>24.29</v>
      </c>
      <c r="F10785" s="2">
        <v>2</v>
      </c>
      <c r="G10785" s="2" t="s">
        <v>11</v>
      </c>
    </row>
    <row r="10786" spans="1:8" x14ac:dyDescent="0.2">
      <c r="A10786" s="2" t="s">
        <v>3398</v>
      </c>
      <c r="B10786" s="2" t="s">
        <v>193</v>
      </c>
      <c r="C10786" s="2">
        <v>1181.316</v>
      </c>
      <c r="D10786" s="2">
        <f>HYPERLINK("http://mcb-m6.bioreg.kyushu-u.ac.jp/M3/20110414/F50926/1735/1", 43.58)</f>
        <v>43.58</v>
      </c>
      <c r="E10786" s="2">
        <v>18.86</v>
      </c>
      <c r="F10786" s="2">
        <v>1</v>
      </c>
      <c r="G10786" s="2" t="s">
        <v>11</v>
      </c>
      <c r="H10786" s="2" t="s">
        <v>4904</v>
      </c>
    </row>
    <row r="10787" spans="1:8" x14ac:dyDescent="0.2">
      <c r="A10787" s="2" t="s">
        <v>3398</v>
      </c>
      <c r="B10787" s="2" t="s">
        <v>193</v>
      </c>
      <c r="C10787" s="2">
        <v>1198.396</v>
      </c>
      <c r="D10787" s="2">
        <f>HYPERLINK("http://mcb-m6.bioreg.kyushu-u.ac.jp/M3/20110414/F50926/1788/1", 44.31)</f>
        <v>44.31</v>
      </c>
      <c r="E10787" s="2">
        <v>25.41</v>
      </c>
      <c r="F10787" s="2">
        <v>1</v>
      </c>
      <c r="G10787" s="2" t="s">
        <v>11</v>
      </c>
    </row>
    <row r="10788" spans="1:8" x14ac:dyDescent="0.2">
      <c r="A10788" s="2" t="s">
        <v>3398</v>
      </c>
      <c r="B10788" s="2" t="s">
        <v>335</v>
      </c>
      <c r="C10788" s="2">
        <v>1059.498</v>
      </c>
      <c r="D10788" s="2">
        <f>HYPERLINK("http://mcb-m6.bioreg.kyushu-u.ac.jp/M3/20110414/F50925/1554/1", 45.44)</f>
        <v>45.44</v>
      </c>
      <c r="E10788" s="2">
        <v>18.36</v>
      </c>
      <c r="F10788" s="2">
        <v>1</v>
      </c>
      <c r="G10788" s="2" t="s">
        <v>11</v>
      </c>
    </row>
    <row r="10789" spans="1:8" x14ac:dyDescent="0.2">
      <c r="A10789" s="2" t="s">
        <v>3398</v>
      </c>
      <c r="B10789" s="2" t="s">
        <v>193</v>
      </c>
      <c r="C10789" s="2">
        <v>599.63170000000002</v>
      </c>
      <c r="D10789" s="2">
        <f>HYPERLINK("http://mcb-m6.bioreg.kyushu-u.ac.jp/M3/20110414/F50926/1785/1", 46.26)</f>
        <v>46.26</v>
      </c>
      <c r="E10789" s="2">
        <v>18.52</v>
      </c>
      <c r="F10789" s="2">
        <v>2</v>
      </c>
      <c r="G10789" s="2" t="s">
        <v>11</v>
      </c>
    </row>
    <row r="10790" spans="1:8" x14ac:dyDescent="0.2">
      <c r="A10790" s="2" t="s">
        <v>3398</v>
      </c>
      <c r="B10790" s="2" t="s">
        <v>193</v>
      </c>
      <c r="C10790" s="2">
        <v>600.1277</v>
      </c>
      <c r="D10790" s="2">
        <f>HYPERLINK("http://mcb-m6.bioreg.kyushu-u.ac.jp/M3/20110414/F50924/1468/1", 46.92)</f>
        <v>46.92</v>
      </c>
      <c r="E10790" s="2">
        <v>30.39</v>
      </c>
      <c r="F10790" s="2">
        <v>2</v>
      </c>
      <c r="G10790" s="2" t="s">
        <v>11</v>
      </c>
    </row>
    <row r="10791" spans="1:8" x14ac:dyDescent="0.2">
      <c r="A10791" s="2" t="s">
        <v>3398</v>
      </c>
      <c r="B10791" s="2" t="s">
        <v>1675</v>
      </c>
      <c r="C10791" s="2">
        <v>763.98050000000001</v>
      </c>
      <c r="D10791" s="2">
        <f>HYPERLINK("http://mcb-m6.bioreg.kyushu-u.ac.jp/M3/20110414/F50926/3036/1", 47.48)</f>
        <v>47.48</v>
      </c>
      <c r="E10791" s="2">
        <v>31.77</v>
      </c>
      <c r="F10791" s="2">
        <v>3</v>
      </c>
      <c r="G10791" s="2" t="s">
        <v>11</v>
      </c>
    </row>
    <row r="10792" spans="1:8" x14ac:dyDescent="0.2">
      <c r="A10792" s="2" t="s">
        <v>3398</v>
      </c>
      <c r="B10792" s="2" t="s">
        <v>193</v>
      </c>
      <c r="C10792" s="2">
        <v>1198.6279999999999</v>
      </c>
      <c r="D10792" s="2">
        <f>HYPERLINK("http://mcb-m6.bioreg.kyushu-u.ac.jp/M3/20110414/F50925/1750/1", 49.63)</f>
        <v>49.63</v>
      </c>
      <c r="E10792" s="2">
        <v>34.21</v>
      </c>
      <c r="F10792" s="2">
        <v>1</v>
      </c>
      <c r="G10792" s="2" t="s">
        <v>11</v>
      </c>
    </row>
    <row r="10793" spans="1:8" x14ac:dyDescent="0.2">
      <c r="A10793" s="2" t="s">
        <v>3398</v>
      </c>
      <c r="B10793" s="2" t="s">
        <v>193</v>
      </c>
      <c r="C10793" s="2">
        <v>1181.5909999999999</v>
      </c>
      <c r="D10793" s="2">
        <f>HYPERLINK("http://mcb-m6.bioreg.kyushu-u.ac.jp/M3/20110414/F50925/1708/1", 51.25)</f>
        <v>51.25</v>
      </c>
      <c r="E10793" s="2">
        <v>33.1</v>
      </c>
      <c r="F10793" s="2">
        <v>1</v>
      </c>
      <c r="G10793" s="2" t="s">
        <v>11</v>
      </c>
      <c r="H10793" s="2" t="s">
        <v>4904</v>
      </c>
    </row>
    <row r="10794" spans="1:8" x14ac:dyDescent="0.2">
      <c r="A10794" s="2" t="s">
        <v>3398</v>
      </c>
      <c r="B10794" s="2" t="s">
        <v>335</v>
      </c>
      <c r="C10794" s="2">
        <v>1059.1410000000001</v>
      </c>
      <c r="D10794" s="2">
        <f>HYPERLINK("http://mcb-m6.bioreg.kyushu-u.ac.jp/M3/20110414/F50926/1575/1", 54.31)</f>
        <v>54.31</v>
      </c>
      <c r="E10794" s="2">
        <v>27.56</v>
      </c>
      <c r="F10794" s="2">
        <v>1</v>
      </c>
      <c r="G10794" s="2" t="s">
        <v>11</v>
      </c>
    </row>
    <row r="10795" spans="1:8" x14ac:dyDescent="0.2">
      <c r="A10795" s="2" t="s">
        <v>3398</v>
      </c>
      <c r="B10795" s="2" t="s">
        <v>784</v>
      </c>
      <c r="C10795" s="2">
        <v>588.22919999999999</v>
      </c>
      <c r="D10795" s="2">
        <f>HYPERLINK("http://mcb-m6.bioreg.kyushu-u.ac.jp/M3/20110414/F50925/1700/1", 55.68)</f>
        <v>55.68</v>
      </c>
      <c r="E10795" s="2">
        <v>39.15</v>
      </c>
      <c r="F10795" s="2">
        <v>2</v>
      </c>
      <c r="G10795" s="2" t="s">
        <v>11</v>
      </c>
    </row>
    <row r="10796" spans="1:8" x14ac:dyDescent="0.2">
      <c r="A10796" s="2" t="s">
        <v>3398</v>
      </c>
      <c r="B10796" s="2" t="s">
        <v>193</v>
      </c>
      <c r="C10796" s="2">
        <v>599.54359999999997</v>
      </c>
      <c r="D10796" s="2">
        <f>HYPERLINK("http://mcb-m6.bioreg.kyushu-u.ac.jp/M3/20110414/F50926/1782/1", 64.8)</f>
        <v>64.8</v>
      </c>
      <c r="E10796" s="2">
        <v>32.97</v>
      </c>
      <c r="F10796" s="2">
        <v>2</v>
      </c>
      <c r="G10796" s="2" t="s">
        <v>11</v>
      </c>
    </row>
    <row r="10797" spans="1:8" x14ac:dyDescent="0.2">
      <c r="A10797" s="2" t="s">
        <v>3398</v>
      </c>
      <c r="B10797" s="2" t="s">
        <v>193</v>
      </c>
      <c r="C10797" s="2">
        <v>599.54470000000003</v>
      </c>
      <c r="D10797" s="2">
        <f>HYPERLINK("http://mcb-m6.bioreg.kyushu-u.ac.jp/M3/20110414/F50927/1739/1", 75.61)</f>
        <v>75.61</v>
      </c>
      <c r="E10797" s="2">
        <v>42.16</v>
      </c>
      <c r="F10797" s="2">
        <v>2</v>
      </c>
      <c r="G10797" s="2" t="s">
        <v>11</v>
      </c>
    </row>
    <row r="10798" spans="1:8" x14ac:dyDescent="0.2">
      <c r="A10798" s="2" t="s">
        <v>3398</v>
      </c>
      <c r="B10798" s="2" t="s">
        <v>193</v>
      </c>
      <c r="C10798" s="2">
        <v>600.09010000000001</v>
      </c>
      <c r="D10798" s="2">
        <f>HYPERLINK("http://mcb-m6.bioreg.kyushu-u.ac.jp/M3/20110414/F50926/1791/1", 77.21)</f>
        <v>77.209999999999994</v>
      </c>
      <c r="E10798" s="2">
        <v>47.77</v>
      </c>
      <c r="F10798" s="2">
        <v>2</v>
      </c>
      <c r="G10798" s="2" t="s">
        <v>11</v>
      </c>
    </row>
    <row r="10799" spans="1:8" x14ac:dyDescent="0.2">
      <c r="A10799" s="2" t="s">
        <v>3398</v>
      </c>
      <c r="B10799" s="2" t="s">
        <v>193</v>
      </c>
      <c r="C10799" s="2">
        <v>599.5566</v>
      </c>
      <c r="D10799" s="2">
        <f>HYPERLINK("http://mcb-m6.bioreg.kyushu-u.ac.jp/M3/20110414/F50926/1784/1", 82.03)</f>
        <v>82.03</v>
      </c>
      <c r="E10799" s="2">
        <v>41.14</v>
      </c>
      <c r="F10799" s="2">
        <v>2</v>
      </c>
      <c r="G10799" s="2" t="s">
        <v>11</v>
      </c>
    </row>
    <row r="10800" spans="1:8" x14ac:dyDescent="0.2">
      <c r="A10800" s="2" t="s">
        <v>3398</v>
      </c>
      <c r="B10800" s="2" t="s">
        <v>193</v>
      </c>
      <c r="C10800" s="2">
        <v>599.8297</v>
      </c>
      <c r="D10800" s="2">
        <f>HYPERLINK("http://mcb-m6.bioreg.kyushu-u.ac.jp/M3/20110414/F50925/1751/1", 85.29)</f>
        <v>85.29</v>
      </c>
      <c r="E10800" s="2">
        <v>60.14</v>
      </c>
      <c r="F10800" s="2">
        <v>2</v>
      </c>
      <c r="G10800" s="2" t="s">
        <v>11</v>
      </c>
    </row>
    <row r="10801" spans="1:8" x14ac:dyDescent="0.2">
      <c r="A10801" s="2" t="s">
        <v>3398</v>
      </c>
      <c r="B10801" s="2" t="s">
        <v>1675</v>
      </c>
      <c r="C10801" s="2">
        <v>1144.6210000000001</v>
      </c>
      <c r="D10801" s="2">
        <f>HYPERLINK("http://mcb-m6.bioreg.kyushu-u.ac.jp/M3/20110414/F50926/3033/1", 114.12)</f>
        <v>114.12</v>
      </c>
      <c r="E10801" s="2">
        <v>96.84</v>
      </c>
      <c r="F10801" s="2">
        <v>2</v>
      </c>
      <c r="G10801" s="2" t="s">
        <v>11</v>
      </c>
    </row>
    <row r="10802" spans="1:8" x14ac:dyDescent="0.2">
      <c r="A10802" s="2" t="s">
        <v>3398</v>
      </c>
      <c r="B10802" s="2" t="s">
        <v>1675</v>
      </c>
      <c r="C10802" s="2">
        <v>1145.1120000000001</v>
      </c>
      <c r="D10802" s="2">
        <f>HYPERLINK("http://mcb-m6.bioreg.kyushu-u.ac.jp/M3/20110414/F50926/3035/1", 127.39)</f>
        <v>127.39</v>
      </c>
      <c r="E10802" s="2">
        <v>106.93</v>
      </c>
      <c r="F10802" s="2">
        <v>2</v>
      </c>
      <c r="G10802" s="2" t="s">
        <v>11</v>
      </c>
    </row>
    <row r="10803" spans="1:8" x14ac:dyDescent="0.2">
      <c r="A10803" s="2" t="s">
        <v>3398</v>
      </c>
      <c r="B10803" s="2" t="s">
        <v>1675</v>
      </c>
      <c r="C10803" s="2">
        <v>1144.529</v>
      </c>
      <c r="D10803" s="2">
        <f>HYPERLINK("http://mcb-m6.bioreg.kyushu-u.ac.jp/M3/20110414/F50926/3032/1", 129.47)</f>
        <v>129.47</v>
      </c>
      <c r="E10803" s="2">
        <v>113.02</v>
      </c>
      <c r="F10803" s="2">
        <v>2</v>
      </c>
      <c r="G10803" s="2" t="s">
        <v>11</v>
      </c>
    </row>
    <row r="10804" spans="1:8" x14ac:dyDescent="0.2">
      <c r="A10804" s="2" t="s">
        <v>3398</v>
      </c>
      <c r="B10804" s="2" t="s">
        <v>1675</v>
      </c>
      <c r="C10804" s="2">
        <v>1144.904</v>
      </c>
      <c r="D10804" s="2">
        <f>HYPERLINK("http://mcb-m6.bioreg.kyushu-u.ac.jp/M3/20110414/F50925/3043/1", 134.72)</f>
        <v>134.72</v>
      </c>
      <c r="E10804" s="2">
        <v>125.45</v>
      </c>
      <c r="F10804" s="2">
        <v>2</v>
      </c>
      <c r="G10804" s="2" t="s">
        <v>11</v>
      </c>
    </row>
    <row r="10805" spans="1:8" x14ac:dyDescent="0.2">
      <c r="A10805" s="2" t="s">
        <v>3398</v>
      </c>
      <c r="B10805" s="2" t="s">
        <v>193</v>
      </c>
      <c r="C10805" s="2">
        <v>1181.779</v>
      </c>
      <c r="D10805" s="2">
        <f>HYPERLINK("http://mcb-m6.bioreg.kyushu-u.ac.jp/M3/20110502/F51167/1677/1", 40.69)</f>
        <v>40.69</v>
      </c>
      <c r="E10805" s="2">
        <v>21.03</v>
      </c>
      <c r="F10805" s="2">
        <v>1</v>
      </c>
      <c r="G10805" s="2" t="s">
        <v>13</v>
      </c>
      <c r="H10805" s="2" t="s">
        <v>4904</v>
      </c>
    </row>
    <row r="10806" spans="1:8" x14ac:dyDescent="0.2">
      <c r="A10806" s="2" t="s">
        <v>3398</v>
      </c>
      <c r="B10806" s="2" t="s">
        <v>193</v>
      </c>
      <c r="C10806" s="2">
        <v>1181.701</v>
      </c>
      <c r="D10806" s="2">
        <f>HYPERLINK("http://mcb-m6.bioreg.kyushu-u.ac.jp/M3/20110502/F51166/1746/1", 42.5)</f>
        <v>42.5</v>
      </c>
      <c r="E10806" s="2">
        <v>22.01</v>
      </c>
      <c r="F10806" s="2">
        <v>1</v>
      </c>
      <c r="G10806" s="2" t="s">
        <v>13</v>
      </c>
      <c r="H10806" s="2" t="s">
        <v>4904</v>
      </c>
    </row>
    <row r="10807" spans="1:8" x14ac:dyDescent="0.2">
      <c r="A10807" s="2" t="s">
        <v>3398</v>
      </c>
      <c r="B10807" s="2" t="s">
        <v>335</v>
      </c>
      <c r="C10807" s="2">
        <v>1059.5830000000001</v>
      </c>
      <c r="D10807" s="2">
        <f>HYPERLINK("http://mcb-m6.bioreg.kyushu-u.ac.jp/M3/20110502/F51166/1602/1", 43.14)</f>
        <v>43.14</v>
      </c>
      <c r="E10807" s="2">
        <v>16.21</v>
      </c>
      <c r="F10807" s="2">
        <v>1</v>
      </c>
      <c r="G10807" s="2" t="s">
        <v>13</v>
      </c>
    </row>
    <row r="10808" spans="1:8" x14ac:dyDescent="0.2">
      <c r="A10808" s="2" t="s">
        <v>3398</v>
      </c>
      <c r="B10808" s="2" t="s">
        <v>335</v>
      </c>
      <c r="C10808" s="2">
        <v>1059.624</v>
      </c>
      <c r="D10808" s="2">
        <f>HYPERLINK("http://mcb-m6.bioreg.kyushu-u.ac.jp/M3/20110502/F51167/1548/1", 57.88)</f>
        <v>57.88</v>
      </c>
      <c r="E10808" s="2">
        <v>30.82</v>
      </c>
      <c r="F10808" s="2">
        <v>1</v>
      </c>
      <c r="G10808" s="2" t="s">
        <v>13</v>
      </c>
    </row>
    <row r="10809" spans="1:8" x14ac:dyDescent="0.2">
      <c r="A10809" s="2" t="s">
        <v>3398</v>
      </c>
      <c r="B10809" s="2" t="s">
        <v>193</v>
      </c>
      <c r="C10809" s="2">
        <v>600.21559999999999</v>
      </c>
      <c r="D10809" s="2">
        <f>HYPERLINK("http://mcb-m6.bioreg.kyushu-u.ac.jp/M3/20110502/F51166/1788/1", 70.42)</f>
        <v>70.42</v>
      </c>
      <c r="E10809" s="2">
        <v>46.53</v>
      </c>
      <c r="F10809" s="2">
        <v>2</v>
      </c>
      <c r="G10809" s="2" t="s">
        <v>13</v>
      </c>
    </row>
    <row r="10810" spans="1:8" x14ac:dyDescent="0.2">
      <c r="A10810" s="2" t="s">
        <v>3398</v>
      </c>
      <c r="B10810" s="2" t="s">
        <v>784</v>
      </c>
      <c r="C10810" s="2">
        <v>595.9452</v>
      </c>
      <c r="D10810" s="2">
        <f>HYPERLINK("http://mcb-m6.bioreg.kyushu-u.ac.jp/M3/20110502/F51167/1705/1", 70.42)</f>
        <v>70.42</v>
      </c>
      <c r="E10810" s="2">
        <v>44.22</v>
      </c>
      <c r="F10810" s="2">
        <v>2</v>
      </c>
      <c r="G10810" s="2" t="s">
        <v>13</v>
      </c>
      <c r="H10810" s="2" t="s">
        <v>4901</v>
      </c>
    </row>
    <row r="10811" spans="1:8" x14ac:dyDescent="0.2">
      <c r="A10811" s="2" t="s">
        <v>3398</v>
      </c>
      <c r="B10811" s="2" t="s">
        <v>193</v>
      </c>
      <c r="C10811" s="2">
        <v>599.96310000000005</v>
      </c>
      <c r="D10811" s="2">
        <f>HYPERLINK("http://mcb-m6.bioreg.kyushu-u.ac.jp/M3/20110502/F51167/1717/1", 73.46)</f>
        <v>73.459999999999994</v>
      </c>
      <c r="E10811" s="2">
        <v>49.62</v>
      </c>
      <c r="F10811" s="2">
        <v>2</v>
      </c>
      <c r="G10811" s="2" t="s">
        <v>13</v>
      </c>
    </row>
    <row r="10812" spans="1:8" x14ac:dyDescent="0.2">
      <c r="A10812" s="2" t="s">
        <v>3398</v>
      </c>
      <c r="B10812" s="2" t="s">
        <v>193</v>
      </c>
      <c r="C10812" s="2">
        <v>600.0172</v>
      </c>
      <c r="D10812" s="2">
        <f>HYPERLINK("http://mcb-m6.bioreg.kyushu-u.ac.jp/M3/20110502/F51166/1786/1", 81.05)</f>
        <v>81.05</v>
      </c>
      <c r="E10812" s="2">
        <v>48.91</v>
      </c>
      <c r="F10812" s="2">
        <v>2</v>
      </c>
      <c r="G10812" s="2" t="s">
        <v>13</v>
      </c>
    </row>
    <row r="10813" spans="1:8" x14ac:dyDescent="0.2">
      <c r="A10813" s="2" t="s">
        <v>3398</v>
      </c>
      <c r="B10813" s="2" t="s">
        <v>1675</v>
      </c>
      <c r="C10813" s="2">
        <v>1145.569</v>
      </c>
      <c r="D10813" s="2">
        <f>HYPERLINK("http://mcb-m6.bioreg.kyushu-u.ac.jp/M3/20110502/F51166/2600/1", 101.24)</f>
        <v>101.24</v>
      </c>
      <c r="E10813" s="2">
        <v>89.26</v>
      </c>
      <c r="F10813" s="2">
        <v>2</v>
      </c>
      <c r="G10813" s="2" t="s">
        <v>13</v>
      </c>
    </row>
    <row r="10814" spans="1:8" x14ac:dyDescent="0.2">
      <c r="A10814" s="2" t="s">
        <v>3398</v>
      </c>
      <c r="B10814" s="2" t="s">
        <v>1675</v>
      </c>
      <c r="C10814" s="2">
        <v>1145.232</v>
      </c>
      <c r="D10814" s="2">
        <f>HYPERLINK("http://mcb-m6.bioreg.kyushu-u.ac.jp/M3/20110502/F51190/2941/1", 59.72)</f>
        <v>59.72</v>
      </c>
      <c r="E10814" s="2">
        <v>46.98</v>
      </c>
      <c r="F10814" s="2">
        <v>2</v>
      </c>
      <c r="G10814" s="2" t="s">
        <v>14</v>
      </c>
    </row>
    <row r="10815" spans="1:8" x14ac:dyDescent="0.2">
      <c r="A10815" s="2" t="s">
        <v>3398</v>
      </c>
      <c r="B10815" s="2" t="s">
        <v>193</v>
      </c>
      <c r="C10815" s="2">
        <v>600.08259999999996</v>
      </c>
      <c r="D10815" s="2">
        <f>HYPERLINK("http://mcb-m6.bioreg.kyushu-u.ac.jp/M3/20110502/F51176/1725/1", 73.08)</f>
        <v>73.08</v>
      </c>
      <c r="E10815" s="2">
        <v>42.45</v>
      </c>
      <c r="F10815" s="2">
        <v>2</v>
      </c>
      <c r="G10815" s="2" t="s">
        <v>14</v>
      </c>
    </row>
    <row r="10816" spans="1:8" x14ac:dyDescent="0.2">
      <c r="A10816" s="2" t="s">
        <v>3568</v>
      </c>
      <c r="B10816" s="2" t="s">
        <v>435</v>
      </c>
      <c r="C10816" s="2">
        <v>541.33510000000001</v>
      </c>
      <c r="D10816" s="2">
        <f>HYPERLINK("http://mcb-m6.bioreg.kyushu-u.ac.jp/M3/20110411/F50891/1128/1", 41.79)</f>
        <v>41.79</v>
      </c>
      <c r="E10816" s="2">
        <v>26.11</v>
      </c>
      <c r="F10816" s="2">
        <v>2</v>
      </c>
      <c r="G10816" s="2" t="s">
        <v>9</v>
      </c>
    </row>
    <row r="10817" spans="1:9" x14ac:dyDescent="0.2">
      <c r="A10817" s="2" t="s">
        <v>3568</v>
      </c>
      <c r="B10817" s="2" t="s">
        <v>1359</v>
      </c>
      <c r="C10817" s="2">
        <v>831.89319999999998</v>
      </c>
      <c r="D10817" s="2">
        <f>HYPERLINK("http://mcb-m6.bioreg.kyushu-u.ac.jp/M3/20110411/F50891/2626/1", 75.15)</f>
        <v>75.150000000000006</v>
      </c>
      <c r="E10817" s="2">
        <v>58.4</v>
      </c>
      <c r="F10817" s="2">
        <v>2</v>
      </c>
      <c r="G10817" s="2" t="s">
        <v>9</v>
      </c>
    </row>
    <row r="10818" spans="1:9" x14ac:dyDescent="0.2">
      <c r="A10818" s="2" t="s">
        <v>3568</v>
      </c>
      <c r="B10818" s="2" t="s">
        <v>1359</v>
      </c>
      <c r="C10818" s="2">
        <v>832.26969999999994</v>
      </c>
      <c r="D10818" s="2">
        <f>HYPERLINK("http://mcb-m6.bioreg.kyushu-u.ac.jp/M3/20110411/F50898/2536/1", 52.82)</f>
        <v>52.82</v>
      </c>
      <c r="E10818" s="2">
        <v>46.25</v>
      </c>
      <c r="F10818" s="2">
        <v>2</v>
      </c>
      <c r="G10818" s="2" t="s">
        <v>10</v>
      </c>
    </row>
    <row r="10819" spans="1:9" x14ac:dyDescent="0.2">
      <c r="A10819" s="2" t="s">
        <v>3568</v>
      </c>
      <c r="B10819" s="2" t="s">
        <v>1359</v>
      </c>
      <c r="C10819" s="2">
        <v>831.67219999999998</v>
      </c>
      <c r="D10819" s="2">
        <f>HYPERLINK("http://mcb-m6.bioreg.kyushu-u.ac.jp/M3/20110414/F50928/2713/1", 77.65)</f>
        <v>77.650000000000006</v>
      </c>
      <c r="E10819" s="2">
        <v>52.12</v>
      </c>
      <c r="F10819" s="2">
        <v>2</v>
      </c>
      <c r="G10819" s="2" t="s">
        <v>11</v>
      </c>
    </row>
    <row r="10820" spans="1:9" x14ac:dyDescent="0.2">
      <c r="A10820" s="2" t="s">
        <v>3568</v>
      </c>
      <c r="B10820" s="2" t="s">
        <v>2568</v>
      </c>
      <c r="C10820" s="2">
        <v>561.51509999999996</v>
      </c>
      <c r="D10820" s="2">
        <f>HYPERLINK("http://mcb-m6.bioreg.kyushu-u.ac.jp/M3/20110414/F50933/1673/1", 38.25)</f>
        <v>38.25</v>
      </c>
      <c r="E10820" s="2">
        <v>15.8</v>
      </c>
      <c r="F10820" s="2">
        <v>2</v>
      </c>
      <c r="G10820" s="2" t="s">
        <v>12</v>
      </c>
    </row>
    <row r="10821" spans="1:9" x14ac:dyDescent="0.2">
      <c r="A10821" s="2" t="s">
        <v>3568</v>
      </c>
      <c r="B10821" s="2" t="s">
        <v>1359</v>
      </c>
      <c r="C10821" s="2">
        <v>831.66859999999997</v>
      </c>
      <c r="D10821" s="2">
        <f>HYPERLINK("http://mcb-m6.bioreg.kyushu-u.ac.jp/M3/20110414/F50933/2781/1", 55.97)</f>
        <v>55.97</v>
      </c>
      <c r="E10821" s="2">
        <v>39.869999999999997</v>
      </c>
      <c r="F10821" s="2">
        <v>2</v>
      </c>
      <c r="G10821" s="2" t="s">
        <v>12</v>
      </c>
    </row>
    <row r="10822" spans="1:9" x14ac:dyDescent="0.2">
      <c r="A10822" s="2" t="s">
        <v>3903</v>
      </c>
      <c r="B10822" s="2" t="s">
        <v>1060</v>
      </c>
      <c r="C10822" s="2">
        <v>1069.3119999999999</v>
      </c>
      <c r="D10822" s="2">
        <f>HYPERLINK("http://mcb-m6.bioreg.kyushu-u.ac.jp/M3/20110411/F50891/3644/1", 60.89)</f>
        <v>60.89</v>
      </c>
      <c r="E10822" s="2">
        <v>53.65</v>
      </c>
      <c r="F10822" s="2">
        <v>2</v>
      </c>
      <c r="G10822" s="2" t="s">
        <v>9</v>
      </c>
      <c r="I10822" s="2" t="s">
        <v>4905</v>
      </c>
    </row>
    <row r="10823" spans="1:9" x14ac:dyDescent="0.2">
      <c r="A10823" s="2" t="s">
        <v>3583</v>
      </c>
      <c r="B10823" s="2" t="s">
        <v>463</v>
      </c>
      <c r="C10823" s="2">
        <v>507.37610000000001</v>
      </c>
      <c r="D10823" s="2">
        <f>HYPERLINK("http://mcb-m6.bioreg.kyushu-u.ac.jp/M3/20110411/F50891/1003/1", 42.41)</f>
        <v>42.41</v>
      </c>
      <c r="E10823" s="2">
        <v>16.350000000000001</v>
      </c>
      <c r="F10823" s="2">
        <v>2</v>
      </c>
      <c r="G10823" s="2" t="s">
        <v>9</v>
      </c>
    </row>
    <row r="10824" spans="1:9" x14ac:dyDescent="0.2">
      <c r="A10824" s="2" t="s">
        <v>3445</v>
      </c>
      <c r="B10824" s="2" t="s">
        <v>255</v>
      </c>
      <c r="C10824" s="2">
        <v>660.65560000000005</v>
      </c>
      <c r="D10824" s="2">
        <f>HYPERLINK("http://mcb-m6.bioreg.kyushu-u.ac.jp/M3/20110411/F50891/1655/1", 38.58)</f>
        <v>38.58</v>
      </c>
      <c r="E10824" s="2">
        <v>15.61</v>
      </c>
      <c r="F10824" s="2">
        <v>2</v>
      </c>
      <c r="G10824" s="2" t="s">
        <v>9</v>
      </c>
    </row>
    <row r="10825" spans="1:9" x14ac:dyDescent="0.2">
      <c r="A10825" s="2" t="s">
        <v>3445</v>
      </c>
      <c r="B10825" s="2" t="s">
        <v>1499</v>
      </c>
      <c r="C10825" s="2">
        <v>594.31619999999998</v>
      </c>
      <c r="D10825" s="2">
        <f>HYPERLINK("http://mcb-m6.bioreg.kyushu-u.ac.jp/M3/20110411/F50891/1350/1", 86.5)</f>
        <v>86.5</v>
      </c>
      <c r="E10825" s="2">
        <v>62.43</v>
      </c>
      <c r="F10825" s="2">
        <v>2</v>
      </c>
      <c r="G10825" s="2" t="s">
        <v>9</v>
      </c>
    </row>
    <row r="10826" spans="1:9" x14ac:dyDescent="0.2">
      <c r="A10826" s="2" t="s">
        <v>3445</v>
      </c>
      <c r="B10826" s="2" t="s">
        <v>1499</v>
      </c>
      <c r="C10826" s="2">
        <v>593.74570000000006</v>
      </c>
      <c r="D10826" s="2">
        <f>HYPERLINK("http://mcb-m6.bioreg.kyushu-u.ac.jp/M3/20110411/F50898/1771/1", 61.71)</f>
        <v>61.71</v>
      </c>
      <c r="E10826" s="2">
        <v>41.73</v>
      </c>
      <c r="F10826" s="2">
        <v>2</v>
      </c>
      <c r="G10826" s="2" t="s">
        <v>10</v>
      </c>
    </row>
    <row r="10827" spans="1:9" x14ac:dyDescent="0.2">
      <c r="A10827" s="2" t="s">
        <v>3445</v>
      </c>
      <c r="B10827" s="2" t="s">
        <v>1499</v>
      </c>
      <c r="C10827" s="2">
        <v>594.19569999999999</v>
      </c>
      <c r="D10827" s="2">
        <f>HYPERLINK("http://mcb-m6.bioreg.kyushu-u.ac.jp/M3/20110414/F50929/1769/1", 38.43)</f>
        <v>38.43</v>
      </c>
      <c r="E10827" s="2">
        <v>20.57</v>
      </c>
      <c r="F10827" s="2">
        <v>2</v>
      </c>
      <c r="G10827" s="2" t="s">
        <v>11</v>
      </c>
    </row>
    <row r="10828" spans="1:9" x14ac:dyDescent="0.2">
      <c r="A10828" s="2" t="s">
        <v>3445</v>
      </c>
      <c r="B10828" s="2" t="s">
        <v>2311</v>
      </c>
      <c r="C10828" s="2">
        <v>597.0797</v>
      </c>
      <c r="D10828" s="2">
        <f>HYPERLINK("http://mcb-m6.bioreg.kyushu-u.ac.jp/M3/20110414/F50928/1632/1", 45.05)</f>
        <v>45.05</v>
      </c>
      <c r="E10828" s="2">
        <v>25.62</v>
      </c>
      <c r="F10828" s="2">
        <v>2</v>
      </c>
      <c r="G10828" s="2" t="s">
        <v>11</v>
      </c>
    </row>
    <row r="10829" spans="1:9" x14ac:dyDescent="0.2">
      <c r="A10829" s="2" t="s">
        <v>3445</v>
      </c>
      <c r="B10829" s="2" t="s">
        <v>255</v>
      </c>
      <c r="C10829" s="2">
        <v>661.15719999999999</v>
      </c>
      <c r="D10829" s="2">
        <f>HYPERLINK("http://mcb-m6.bioreg.kyushu-u.ac.jp/M3/20110414/F50928/1871/1", 58.23)</f>
        <v>58.23</v>
      </c>
      <c r="E10829" s="2">
        <v>33.43</v>
      </c>
      <c r="F10829" s="2">
        <v>2</v>
      </c>
      <c r="G10829" s="2" t="s">
        <v>11</v>
      </c>
    </row>
    <row r="10830" spans="1:9" x14ac:dyDescent="0.2">
      <c r="A10830" s="2" t="s">
        <v>3445</v>
      </c>
      <c r="B10830" s="2" t="s">
        <v>1499</v>
      </c>
      <c r="C10830" s="2">
        <v>593.54769999999996</v>
      </c>
      <c r="D10830" s="2">
        <f>HYPERLINK("http://mcb-m6.bioreg.kyushu-u.ac.jp/M3/20110414/F50928/1613/1", 61.63)</f>
        <v>61.63</v>
      </c>
      <c r="E10830" s="2">
        <v>42.17</v>
      </c>
      <c r="F10830" s="2">
        <v>2</v>
      </c>
      <c r="G10830" s="2" t="s">
        <v>11</v>
      </c>
    </row>
    <row r="10831" spans="1:9" x14ac:dyDescent="0.2">
      <c r="A10831" s="2" t="s">
        <v>3445</v>
      </c>
      <c r="B10831" s="2" t="s">
        <v>1499</v>
      </c>
      <c r="C10831" s="2">
        <v>594.43820000000005</v>
      </c>
      <c r="D10831" s="2">
        <f>HYPERLINK("http://mcb-m6.bioreg.kyushu-u.ac.jp/M3/20110414/F50933/1792/1", 51.1)</f>
        <v>51.1</v>
      </c>
      <c r="E10831" s="2">
        <v>30.27</v>
      </c>
      <c r="F10831" s="2">
        <v>2</v>
      </c>
      <c r="G10831" s="2" t="s">
        <v>12</v>
      </c>
    </row>
    <row r="10832" spans="1:9" x14ac:dyDescent="0.2">
      <c r="A10832" s="2" t="s">
        <v>3445</v>
      </c>
      <c r="B10832" s="2" t="s">
        <v>1499</v>
      </c>
      <c r="C10832" s="2">
        <v>594.01070000000004</v>
      </c>
      <c r="D10832" s="2">
        <f>HYPERLINK("http://mcb-m6.bioreg.kyushu-u.ac.jp/M3/20110502/F51178/1507/1", 69.67)</f>
        <v>69.67</v>
      </c>
      <c r="E10832" s="2">
        <v>42.42</v>
      </c>
      <c r="F10832" s="2">
        <v>2</v>
      </c>
      <c r="G10832" s="2" t="s">
        <v>14</v>
      </c>
    </row>
    <row r="10833" spans="1:7" x14ac:dyDescent="0.2">
      <c r="A10833" s="2" t="s">
        <v>4327</v>
      </c>
      <c r="B10833" s="2" t="s">
        <v>2115</v>
      </c>
      <c r="C10833" s="2">
        <v>653.55110000000002</v>
      </c>
      <c r="D10833" s="2">
        <f>HYPERLINK("http://mcb-m6.bioreg.kyushu-u.ac.jp/M3/20110411/F50912/1642/1", 85.27)</f>
        <v>85.27</v>
      </c>
      <c r="E10833" s="2">
        <v>55.94</v>
      </c>
      <c r="F10833" s="2">
        <v>2</v>
      </c>
      <c r="G10833" s="2" t="s">
        <v>10</v>
      </c>
    </row>
    <row r="10834" spans="1:7" x14ac:dyDescent="0.2">
      <c r="A10834" s="2" t="s">
        <v>4878</v>
      </c>
      <c r="B10834" s="2" t="s">
        <v>3195</v>
      </c>
      <c r="C10834" s="2">
        <v>817.87019999999995</v>
      </c>
      <c r="D10834" s="2">
        <f>HYPERLINK("http://mcb-m6.bioreg.kyushu-u.ac.jp/M3/20110502/F51183/2325/1", 67.9)</f>
        <v>67.900000000000006</v>
      </c>
      <c r="E10834" s="2">
        <v>41.5</v>
      </c>
      <c r="F10834" s="2">
        <v>2</v>
      </c>
      <c r="G10834" s="2" t="s">
        <v>14</v>
      </c>
    </row>
    <row r="10835" spans="1:7" x14ac:dyDescent="0.2">
      <c r="A10835" s="2" t="s">
        <v>4623</v>
      </c>
      <c r="B10835" s="2" t="s">
        <v>2760</v>
      </c>
      <c r="C10835" s="2">
        <v>790.34770000000003</v>
      </c>
      <c r="D10835" s="2">
        <f>HYPERLINK("http://mcb-m6.bioreg.kyushu-u.ac.jp/M3/20110414/F50933/2650/1", 80.43)</f>
        <v>80.430000000000007</v>
      </c>
      <c r="E10835" s="2">
        <v>57.48</v>
      </c>
      <c r="F10835" s="2">
        <v>2</v>
      </c>
      <c r="G10835" s="2" t="s">
        <v>12</v>
      </c>
    </row>
    <row r="10836" spans="1:7" x14ac:dyDescent="0.2">
      <c r="A10836" s="2" t="s">
        <v>4364</v>
      </c>
      <c r="B10836" s="2" t="s">
        <v>2190</v>
      </c>
      <c r="C10836" s="2">
        <v>838.07759999999996</v>
      </c>
      <c r="D10836" s="2">
        <f>HYPERLINK("http://mcb-m6.bioreg.kyushu-u.ac.jp/M3/20110414/F50957/2514/1", 36.36)</f>
        <v>36.36</v>
      </c>
      <c r="E10836" s="2">
        <v>24.59</v>
      </c>
      <c r="F10836" s="2">
        <v>2</v>
      </c>
      <c r="G10836" s="2" t="s">
        <v>11</v>
      </c>
    </row>
    <row r="10837" spans="1:7" x14ac:dyDescent="0.2">
      <c r="A10837" s="2" t="s">
        <v>4364</v>
      </c>
      <c r="B10837" s="2" t="s">
        <v>2635</v>
      </c>
      <c r="C10837" s="2">
        <v>939.2192</v>
      </c>
      <c r="D10837" s="2">
        <f>HYPERLINK("http://mcb-m6.bioreg.kyushu-u.ac.jp/M3/20110414/F50959/3226/1", 44.98)</f>
        <v>44.98</v>
      </c>
      <c r="E10837" s="2">
        <v>36.6</v>
      </c>
      <c r="F10837" s="2">
        <v>2</v>
      </c>
      <c r="G10837" s="2" t="s">
        <v>12</v>
      </c>
    </row>
    <row r="10838" spans="1:7" x14ac:dyDescent="0.2">
      <c r="A10838" s="2" t="s">
        <v>4364</v>
      </c>
      <c r="B10838" s="2" t="s">
        <v>2635</v>
      </c>
      <c r="C10838" s="2">
        <v>939.57169999999996</v>
      </c>
      <c r="D10838" s="2">
        <f>HYPERLINK("http://mcb-m6.bioreg.kyushu-u.ac.jp/M3/20110502/F51184/3005/1", 63.3)</f>
        <v>63.3</v>
      </c>
      <c r="E10838" s="2">
        <v>52.1</v>
      </c>
      <c r="F10838" s="2">
        <v>2</v>
      </c>
      <c r="G10838" s="2" t="s">
        <v>14</v>
      </c>
    </row>
    <row r="10839" spans="1:7" x14ac:dyDescent="0.2">
      <c r="A10839" s="2" t="s">
        <v>4176</v>
      </c>
      <c r="B10839" s="2" t="s">
        <v>1750</v>
      </c>
      <c r="C10839" s="2">
        <v>524.28369999999995</v>
      </c>
      <c r="D10839" s="2">
        <f>HYPERLINK("http://mcb-m6.bioreg.kyushu-u.ac.jp/M3/20110411/F50899/1643/1", 37.62)</f>
        <v>37.619999999999997</v>
      </c>
      <c r="E10839" s="2">
        <v>9.3800000000000008</v>
      </c>
      <c r="F10839" s="2">
        <v>2</v>
      </c>
      <c r="G10839" s="2" t="s">
        <v>10</v>
      </c>
    </row>
    <row r="10840" spans="1:7" x14ac:dyDescent="0.2">
      <c r="A10840" s="2" t="s">
        <v>4538</v>
      </c>
      <c r="B10840" s="2" t="s">
        <v>2565</v>
      </c>
      <c r="C10840" s="2">
        <v>773.69669999999996</v>
      </c>
      <c r="D10840" s="2">
        <f>HYPERLINK("http://mcb-m6.bioreg.kyushu-u.ac.jp/M3/20110414/F50958/2230/1", 38.07)</f>
        <v>38.07</v>
      </c>
      <c r="E10840" s="2">
        <v>8.26</v>
      </c>
      <c r="F10840" s="2">
        <v>2</v>
      </c>
      <c r="G10840" s="2" t="s">
        <v>12</v>
      </c>
    </row>
    <row r="10841" spans="1:7" x14ac:dyDescent="0.2">
      <c r="A10841" s="2" t="s">
        <v>4343</v>
      </c>
      <c r="B10841" s="2" t="s">
        <v>2158</v>
      </c>
      <c r="C10841" s="2">
        <v>570.1241</v>
      </c>
      <c r="D10841" s="2">
        <f>HYPERLINK("http://mcb-m6.bioreg.kyushu-u.ac.jp/M3/20110414/F50929/1696/1", 35.31)</f>
        <v>35.31</v>
      </c>
      <c r="E10841" s="2">
        <v>17.88</v>
      </c>
      <c r="F10841" s="2">
        <v>2</v>
      </c>
      <c r="G10841" s="2" t="s">
        <v>11</v>
      </c>
    </row>
    <row r="10842" spans="1:7" x14ac:dyDescent="0.2">
      <c r="A10842" s="2" t="s">
        <v>3623</v>
      </c>
      <c r="B10842" s="2" t="s">
        <v>535</v>
      </c>
      <c r="C10842" s="2">
        <v>498.82760000000002</v>
      </c>
      <c r="D10842" s="2">
        <f>HYPERLINK("http://mcb-m6.bioreg.kyushu-u.ac.jp/M3/20110411/F50892/1303/1", 44.12)</f>
        <v>44.12</v>
      </c>
      <c r="E10842" s="2">
        <v>18.37</v>
      </c>
      <c r="F10842" s="2">
        <v>2</v>
      </c>
      <c r="G10842" s="2" t="s">
        <v>9</v>
      </c>
    </row>
    <row r="10843" spans="1:7" x14ac:dyDescent="0.2">
      <c r="A10843" s="2" t="s">
        <v>3623</v>
      </c>
      <c r="B10843" s="2" t="s">
        <v>1454</v>
      </c>
      <c r="C10843" s="2">
        <v>904.57259999999997</v>
      </c>
      <c r="D10843" s="2">
        <f>HYPERLINK("http://mcb-m6.bioreg.kyushu-u.ac.jp/M3/20110411/F50892/2848/1", 81.59)</f>
        <v>81.59</v>
      </c>
      <c r="E10843" s="2">
        <v>66.069999999999993</v>
      </c>
      <c r="F10843" s="2">
        <v>2</v>
      </c>
      <c r="G10843" s="2" t="s">
        <v>9</v>
      </c>
    </row>
    <row r="10844" spans="1:7" x14ac:dyDescent="0.2">
      <c r="A10844" s="2" t="s">
        <v>3623</v>
      </c>
      <c r="B10844" s="2" t="s">
        <v>1454</v>
      </c>
      <c r="C10844" s="2">
        <v>904.61659999999995</v>
      </c>
      <c r="D10844" s="2">
        <f>HYPERLINK("http://mcb-m6.bioreg.kyushu-u.ac.jp/M3/20110411/F50891/3021/1", 85.77)</f>
        <v>85.77</v>
      </c>
      <c r="E10844" s="2">
        <v>70.95</v>
      </c>
      <c r="F10844" s="2">
        <v>2</v>
      </c>
      <c r="G10844" s="2" t="s">
        <v>9</v>
      </c>
    </row>
    <row r="10845" spans="1:7" x14ac:dyDescent="0.2">
      <c r="A10845" s="2" t="s">
        <v>3623</v>
      </c>
      <c r="B10845" s="2" t="s">
        <v>1454</v>
      </c>
      <c r="C10845" s="2">
        <v>904.89369999999997</v>
      </c>
      <c r="D10845" s="2">
        <f>HYPERLINK("http://mcb-m6.bioreg.kyushu-u.ac.jp/M3/20110411/F50898/2716/1", 39.86)</f>
        <v>39.86</v>
      </c>
      <c r="E10845" s="2">
        <v>28.48</v>
      </c>
      <c r="F10845" s="2">
        <v>2</v>
      </c>
      <c r="G10845" s="2" t="s">
        <v>10</v>
      </c>
    </row>
    <row r="10846" spans="1:7" x14ac:dyDescent="0.2">
      <c r="A10846" s="2" t="s">
        <v>3623</v>
      </c>
      <c r="B10846" s="2" t="s">
        <v>1454</v>
      </c>
      <c r="C10846" s="2">
        <v>904.52670000000001</v>
      </c>
      <c r="D10846" s="2">
        <f>HYPERLINK("http://mcb-m6.bioreg.kyushu-u.ac.jp/M3/20110411/F50899/2682/1", 75.83)</f>
        <v>75.83</v>
      </c>
      <c r="E10846" s="2">
        <v>61.45</v>
      </c>
      <c r="F10846" s="2">
        <v>2</v>
      </c>
      <c r="G10846" s="2" t="s">
        <v>10</v>
      </c>
    </row>
    <row r="10847" spans="1:7" x14ac:dyDescent="0.2">
      <c r="A10847" s="2" t="s">
        <v>3858</v>
      </c>
      <c r="B10847" s="2" t="s">
        <v>964</v>
      </c>
      <c r="C10847" s="2">
        <v>863.47310000000004</v>
      </c>
      <c r="D10847" s="2">
        <f>HYPERLINK("http://mcb-m6.bioreg.kyushu-u.ac.jp/M3/20110411/F50915/2632/1", 57.06)</f>
        <v>57.06</v>
      </c>
      <c r="E10847" s="2">
        <v>39.78</v>
      </c>
      <c r="F10847" s="2">
        <v>2</v>
      </c>
      <c r="G10847" s="2" t="s">
        <v>9</v>
      </c>
    </row>
    <row r="10848" spans="1:7" x14ac:dyDescent="0.2">
      <c r="A10848" s="2" t="s">
        <v>3858</v>
      </c>
      <c r="B10848" s="2" t="s">
        <v>964</v>
      </c>
      <c r="C10848" s="2">
        <v>863.97519999999997</v>
      </c>
      <c r="D10848" s="2">
        <f>HYPERLINK("http://mcb-m6.bioreg.kyushu-u.ac.jp/M3/20110411/F50915/2636/1", 60.01)</f>
        <v>60.01</v>
      </c>
      <c r="E10848" s="2">
        <v>40.79</v>
      </c>
      <c r="F10848" s="2">
        <v>2</v>
      </c>
      <c r="G10848" s="2" t="s">
        <v>9</v>
      </c>
    </row>
    <row r="10849" spans="1:9" x14ac:dyDescent="0.2">
      <c r="A10849" s="2" t="s">
        <v>3858</v>
      </c>
      <c r="B10849" s="2" t="s">
        <v>964</v>
      </c>
      <c r="C10849" s="2">
        <v>864.03060000000005</v>
      </c>
      <c r="D10849" s="2">
        <f>HYPERLINK("http://mcb-m6.bioreg.kyushu-u.ac.jp/M3/20110411/F50911/2744/1", 93.65)</f>
        <v>93.65</v>
      </c>
      <c r="E10849" s="2">
        <v>64.400000000000006</v>
      </c>
      <c r="F10849" s="2">
        <v>2</v>
      </c>
      <c r="G10849" s="2" t="s">
        <v>9</v>
      </c>
    </row>
    <row r="10850" spans="1:9" x14ac:dyDescent="0.2">
      <c r="A10850" s="2" t="s">
        <v>3858</v>
      </c>
      <c r="B10850" s="2" t="s">
        <v>964</v>
      </c>
      <c r="C10850" s="2">
        <v>863.79219999999998</v>
      </c>
      <c r="D10850" s="2">
        <f>HYPERLINK("http://mcb-m6.bioreg.kyushu-u.ac.jp/M3/20110411/F50895/2653/1", 95.07)</f>
        <v>95.07</v>
      </c>
      <c r="E10850" s="2">
        <v>75.790000000000006</v>
      </c>
      <c r="F10850" s="2">
        <v>2</v>
      </c>
      <c r="G10850" s="2" t="s">
        <v>9</v>
      </c>
    </row>
    <row r="10851" spans="1:9" x14ac:dyDescent="0.2">
      <c r="A10851" s="2" t="s">
        <v>3858</v>
      </c>
      <c r="B10851" s="2" t="s">
        <v>964</v>
      </c>
      <c r="C10851" s="2">
        <v>863.5317</v>
      </c>
      <c r="D10851" s="2">
        <f>HYPERLINK("http://mcb-m6.bioreg.kyushu-u.ac.jp/M3/20110411/F50894/2672/1", 106.9)</f>
        <v>106.9</v>
      </c>
      <c r="E10851" s="2">
        <v>83.54</v>
      </c>
      <c r="F10851" s="2">
        <v>2</v>
      </c>
      <c r="G10851" s="2" t="s">
        <v>9</v>
      </c>
    </row>
    <row r="10852" spans="1:9" x14ac:dyDescent="0.2">
      <c r="A10852" s="2" t="s">
        <v>3858</v>
      </c>
      <c r="B10852" s="2" t="s">
        <v>2361</v>
      </c>
      <c r="C10852" s="2">
        <v>820.19209999999998</v>
      </c>
      <c r="D10852" s="2">
        <f>HYPERLINK("http://mcb-m6.bioreg.kyushu-u.ac.jp/M3/20110414/F50944/2416/1", 50.42)</f>
        <v>50.42</v>
      </c>
      <c r="E10852" s="2">
        <v>27.44</v>
      </c>
      <c r="F10852" s="2">
        <v>2</v>
      </c>
      <c r="G10852" s="2" t="s">
        <v>11</v>
      </c>
      <c r="I10852" s="2" t="s">
        <v>4923</v>
      </c>
    </row>
    <row r="10853" spans="1:9" x14ac:dyDescent="0.2">
      <c r="A10853" s="2" t="s">
        <v>3858</v>
      </c>
      <c r="B10853" s="2" t="s">
        <v>2361</v>
      </c>
      <c r="C10853" s="2">
        <v>819.94759999999997</v>
      </c>
      <c r="D10853" s="2">
        <f>HYPERLINK("http://mcb-m6.bioreg.kyushu-u.ac.jp/M3/20110414/F50942/2372/1", 52.73)</f>
        <v>52.73</v>
      </c>
      <c r="E10853" s="2">
        <v>28.44</v>
      </c>
      <c r="F10853" s="2">
        <v>2</v>
      </c>
      <c r="G10853" s="2" t="s">
        <v>11</v>
      </c>
      <c r="I10853" s="2" t="s">
        <v>4923</v>
      </c>
    </row>
    <row r="10854" spans="1:9" x14ac:dyDescent="0.2">
      <c r="A10854" s="2" t="s">
        <v>3858</v>
      </c>
      <c r="B10854" s="2" t="s">
        <v>964</v>
      </c>
      <c r="C10854" s="2">
        <v>863.72519999999997</v>
      </c>
      <c r="D10854" s="2">
        <f>HYPERLINK("http://mcb-m6.bioreg.kyushu-u.ac.jp/M3/20110414/F50944/2540/1", 85.73)</f>
        <v>85.73</v>
      </c>
      <c r="E10854" s="2">
        <v>73.72</v>
      </c>
      <c r="F10854" s="2">
        <v>2</v>
      </c>
      <c r="G10854" s="2" t="s">
        <v>11</v>
      </c>
    </row>
    <row r="10855" spans="1:9" x14ac:dyDescent="0.2">
      <c r="A10855" s="2" t="s">
        <v>3858</v>
      </c>
      <c r="B10855" s="2" t="s">
        <v>2931</v>
      </c>
      <c r="C10855" s="2">
        <v>535.0856</v>
      </c>
      <c r="D10855" s="2">
        <f>HYPERLINK("http://mcb-m6.bioreg.kyushu-u.ac.jp/M3/20110502/F51174/1257/1", 58.16)</f>
        <v>58.16</v>
      </c>
      <c r="E10855" s="2">
        <v>22.62</v>
      </c>
      <c r="F10855" s="2">
        <v>2</v>
      </c>
      <c r="G10855" s="2" t="s">
        <v>13</v>
      </c>
    </row>
    <row r="10856" spans="1:9" x14ac:dyDescent="0.2">
      <c r="A10856" s="2" t="s">
        <v>4598</v>
      </c>
      <c r="B10856" s="2" t="s">
        <v>2690</v>
      </c>
      <c r="C10856" s="2">
        <v>768.19870000000003</v>
      </c>
      <c r="D10856" s="2">
        <f>HYPERLINK("http://mcb-m6.bioreg.kyushu-u.ac.jp/M3/20110414/F50963/1988/1", 53.88)</f>
        <v>53.88</v>
      </c>
      <c r="E10856" s="2">
        <v>37.700000000000003</v>
      </c>
      <c r="F10856" s="2">
        <v>2</v>
      </c>
      <c r="G10856" s="2" t="s">
        <v>12</v>
      </c>
    </row>
    <row r="10857" spans="1:9" x14ac:dyDescent="0.2">
      <c r="A10857" s="2" t="s">
        <v>3293</v>
      </c>
      <c r="B10857" s="2" t="s">
        <v>73</v>
      </c>
      <c r="C10857" s="2">
        <v>606.42769999999996</v>
      </c>
      <c r="D10857" s="2">
        <f>HYPERLINK("http://mcb-m6.bioreg.kyushu-u.ac.jp/M3/20110411/F50911/1415/2", 35.7)</f>
        <v>35.700000000000003</v>
      </c>
      <c r="E10857" s="2">
        <v>8.44</v>
      </c>
      <c r="F10857" s="2">
        <v>2</v>
      </c>
      <c r="G10857" s="2" t="s">
        <v>9</v>
      </c>
      <c r="I10857" s="2" t="s">
        <v>4898</v>
      </c>
    </row>
    <row r="10858" spans="1:9" x14ac:dyDescent="0.2">
      <c r="A10858" s="2" t="s">
        <v>3293</v>
      </c>
      <c r="B10858" s="2" t="s">
        <v>89</v>
      </c>
      <c r="C10858" s="2">
        <v>597.91110000000003</v>
      </c>
      <c r="D10858" s="2">
        <f>HYPERLINK("http://mcb-m6.bioreg.kyushu-u.ac.jp/M3/20110411/F50915/1159/1", 35.91)</f>
        <v>35.909999999999997</v>
      </c>
      <c r="E10858" s="2">
        <v>9.75</v>
      </c>
      <c r="F10858" s="2">
        <v>2</v>
      </c>
      <c r="G10858" s="2" t="s">
        <v>9</v>
      </c>
    </row>
    <row r="10859" spans="1:9" x14ac:dyDescent="0.2">
      <c r="A10859" s="2" t="s">
        <v>3293</v>
      </c>
      <c r="B10859" s="2" t="s">
        <v>217</v>
      </c>
      <c r="C10859" s="2">
        <v>1126.693</v>
      </c>
      <c r="D10859" s="2">
        <f>HYPERLINK("http://mcb-m6.bioreg.kyushu-u.ac.jp/M3/20110411/F50915/1014/1", 37.93)</f>
        <v>37.93</v>
      </c>
      <c r="E10859" s="2">
        <v>19.8</v>
      </c>
      <c r="F10859" s="2">
        <v>1</v>
      </c>
      <c r="G10859" s="2" t="s">
        <v>9</v>
      </c>
    </row>
    <row r="10860" spans="1:9" x14ac:dyDescent="0.2">
      <c r="A10860" s="2" t="s">
        <v>3293</v>
      </c>
      <c r="B10860" s="2" t="s">
        <v>296</v>
      </c>
      <c r="C10860" s="2">
        <v>664.45169999999996</v>
      </c>
      <c r="D10860" s="2">
        <f>HYPERLINK("http://mcb-m6.bioreg.kyushu-u.ac.jp/M3/20110411/F50905/1625/1", 39.21)</f>
        <v>39.21</v>
      </c>
      <c r="E10860" s="2">
        <v>10.44</v>
      </c>
      <c r="F10860" s="2">
        <v>2</v>
      </c>
      <c r="G10860" s="2" t="s">
        <v>9</v>
      </c>
    </row>
    <row r="10861" spans="1:9" x14ac:dyDescent="0.2">
      <c r="A10861" s="2" t="s">
        <v>3293</v>
      </c>
      <c r="B10861" s="2" t="s">
        <v>305</v>
      </c>
      <c r="C10861" s="2">
        <v>739.56870000000004</v>
      </c>
      <c r="D10861" s="2">
        <f>HYPERLINK("http://mcb-m6.bioreg.kyushu-u.ac.jp/M3/20110411/F50904/2039/1", 39.35)</f>
        <v>39.35</v>
      </c>
      <c r="E10861" s="2">
        <v>26.91</v>
      </c>
      <c r="F10861" s="2">
        <v>2</v>
      </c>
      <c r="G10861" s="2" t="s">
        <v>9</v>
      </c>
    </row>
    <row r="10862" spans="1:9" x14ac:dyDescent="0.2">
      <c r="A10862" s="2" t="s">
        <v>3293</v>
      </c>
      <c r="B10862" s="2" t="s">
        <v>347</v>
      </c>
      <c r="C10862" s="2">
        <v>567.31669999999997</v>
      </c>
      <c r="D10862" s="2">
        <f>HYPERLINK("http://mcb-m6.bioreg.kyushu-u.ac.jp/M3/20110411/F50915/1029/1", 40.06)</f>
        <v>40.06</v>
      </c>
      <c r="E10862" s="2">
        <v>28.15</v>
      </c>
      <c r="F10862" s="2">
        <v>2</v>
      </c>
      <c r="G10862" s="2" t="s">
        <v>9</v>
      </c>
    </row>
    <row r="10863" spans="1:9" x14ac:dyDescent="0.2">
      <c r="A10863" s="2" t="s">
        <v>3293</v>
      </c>
      <c r="B10863" s="2" t="s">
        <v>377</v>
      </c>
      <c r="C10863" s="2">
        <v>700.47270000000003</v>
      </c>
      <c r="D10863" s="2">
        <f>HYPERLINK("http://mcb-m6.bioreg.kyushu-u.ac.jp/M3/20110411/F50911/1862/1", 40.75)</f>
        <v>40.75</v>
      </c>
      <c r="E10863" s="2">
        <v>27.08</v>
      </c>
      <c r="F10863" s="2">
        <v>2</v>
      </c>
      <c r="G10863" s="2" t="s">
        <v>9</v>
      </c>
    </row>
    <row r="10864" spans="1:9" x14ac:dyDescent="0.2">
      <c r="A10864" s="2" t="s">
        <v>3293</v>
      </c>
      <c r="B10864" s="2" t="s">
        <v>451</v>
      </c>
      <c r="C10864" s="2">
        <v>710.32370000000003</v>
      </c>
      <c r="D10864" s="2">
        <f>HYPERLINK("http://mcb-m6.bioreg.kyushu-u.ac.jp/M3/20110411/F50916/1726/1", 42.13)</f>
        <v>42.13</v>
      </c>
      <c r="E10864" s="2">
        <v>22.29</v>
      </c>
      <c r="F10864" s="2">
        <v>2</v>
      </c>
      <c r="G10864" s="2" t="s">
        <v>9</v>
      </c>
      <c r="H10864" s="2" t="s">
        <v>4891</v>
      </c>
    </row>
    <row r="10865" spans="1:9" x14ac:dyDescent="0.2">
      <c r="A10865" s="2" t="s">
        <v>3293</v>
      </c>
      <c r="B10865" s="2" t="s">
        <v>217</v>
      </c>
      <c r="C10865" s="2">
        <v>563.90620000000001</v>
      </c>
      <c r="D10865" s="2">
        <f>HYPERLINK("http://mcb-m6.bioreg.kyushu-u.ac.jp/M3/20110411/F50895/1278/1", 45.2)</f>
        <v>45.2</v>
      </c>
      <c r="E10865" s="2">
        <v>21.26</v>
      </c>
      <c r="F10865" s="2">
        <v>2</v>
      </c>
      <c r="G10865" s="2" t="s">
        <v>9</v>
      </c>
    </row>
    <row r="10866" spans="1:9" x14ac:dyDescent="0.2">
      <c r="A10866" s="2" t="s">
        <v>3293</v>
      </c>
      <c r="B10866" s="2" t="s">
        <v>600</v>
      </c>
      <c r="C10866" s="2">
        <v>778.92409999999995</v>
      </c>
      <c r="D10866" s="2">
        <f>HYPERLINK("http://mcb-m6.bioreg.kyushu-u.ac.jp/M3/20110411/F50915/2133/1", 45.97)</f>
        <v>45.97</v>
      </c>
      <c r="E10866" s="2">
        <v>30.38</v>
      </c>
      <c r="F10866" s="2">
        <v>2</v>
      </c>
      <c r="G10866" s="2" t="s">
        <v>9</v>
      </c>
    </row>
    <row r="10867" spans="1:9" x14ac:dyDescent="0.2">
      <c r="A10867" s="2" t="s">
        <v>3293</v>
      </c>
      <c r="B10867" s="2" t="s">
        <v>89</v>
      </c>
      <c r="C10867" s="2">
        <v>1194.6010000000001</v>
      </c>
      <c r="D10867" s="2">
        <f>HYPERLINK("http://mcb-m6.bioreg.kyushu-u.ac.jp/M3/20110411/F50916/1163/1", 46.19)</f>
        <v>46.19</v>
      </c>
      <c r="E10867" s="2">
        <v>35.659999999999997</v>
      </c>
      <c r="F10867" s="2">
        <v>1</v>
      </c>
      <c r="G10867" s="2" t="s">
        <v>9</v>
      </c>
    </row>
    <row r="10868" spans="1:9" x14ac:dyDescent="0.2">
      <c r="A10868" s="2" t="s">
        <v>3293</v>
      </c>
      <c r="B10868" s="2" t="s">
        <v>377</v>
      </c>
      <c r="C10868" s="2">
        <v>700.51120000000003</v>
      </c>
      <c r="D10868" s="2">
        <f>HYPERLINK("http://mcb-m6.bioreg.kyushu-u.ac.jp/M3/20110411/F50915/1652/1", 48.08)</f>
        <v>48.08</v>
      </c>
      <c r="E10868" s="2">
        <v>30.83</v>
      </c>
      <c r="F10868" s="2">
        <v>2</v>
      </c>
      <c r="G10868" s="2" t="s">
        <v>9</v>
      </c>
    </row>
    <row r="10869" spans="1:9" x14ac:dyDescent="0.2">
      <c r="A10869" s="2" t="s">
        <v>3293</v>
      </c>
      <c r="B10869" s="2" t="s">
        <v>377</v>
      </c>
      <c r="C10869" s="2">
        <v>700.73969999999997</v>
      </c>
      <c r="D10869" s="2">
        <f>HYPERLINK("http://mcb-m6.bioreg.kyushu-u.ac.jp/M3/20110411/F50890/1959/1", 48.52)</f>
        <v>48.52</v>
      </c>
      <c r="E10869" s="2">
        <v>36.58</v>
      </c>
      <c r="F10869" s="2">
        <v>2</v>
      </c>
      <c r="G10869" s="2" t="s">
        <v>9</v>
      </c>
    </row>
    <row r="10870" spans="1:9" x14ac:dyDescent="0.2">
      <c r="A10870" s="2" t="s">
        <v>3293</v>
      </c>
      <c r="B10870" s="2" t="s">
        <v>724</v>
      </c>
      <c r="C10870" s="2">
        <v>648.35419999999999</v>
      </c>
      <c r="D10870" s="2">
        <f>HYPERLINK("http://mcb-m6.bioreg.kyushu-u.ac.jp/M3/20110411/F50916/1380/1", 49.35)</f>
        <v>49.35</v>
      </c>
      <c r="E10870" s="2">
        <v>27.19</v>
      </c>
      <c r="F10870" s="2">
        <v>2</v>
      </c>
      <c r="G10870" s="2" t="s">
        <v>9</v>
      </c>
    </row>
    <row r="10871" spans="1:9" x14ac:dyDescent="0.2">
      <c r="A10871" s="2" t="s">
        <v>3293</v>
      </c>
      <c r="B10871" s="2" t="s">
        <v>752</v>
      </c>
      <c r="C10871" s="2">
        <v>746.38369999999998</v>
      </c>
      <c r="D10871" s="2">
        <f>HYPERLINK("http://mcb-m6.bioreg.kyushu-u.ac.jp/M3/20110411/F50891/2138/1", 50.13)</f>
        <v>50.13</v>
      </c>
      <c r="E10871" s="2">
        <v>27.72</v>
      </c>
      <c r="F10871" s="2">
        <v>2</v>
      </c>
      <c r="G10871" s="2" t="s">
        <v>9</v>
      </c>
    </row>
    <row r="10872" spans="1:9" x14ac:dyDescent="0.2">
      <c r="A10872" s="2" t="s">
        <v>3293</v>
      </c>
      <c r="B10872" s="2" t="s">
        <v>837</v>
      </c>
      <c r="C10872" s="2">
        <v>742.11360000000002</v>
      </c>
      <c r="D10872" s="2">
        <f>HYPERLINK("http://mcb-m6.bioreg.kyushu-u.ac.jp/M3/20110411/F50915/1903/1", 52.98)</f>
        <v>52.98</v>
      </c>
      <c r="E10872" s="2">
        <v>34.479999999999997</v>
      </c>
      <c r="F10872" s="2">
        <v>2</v>
      </c>
      <c r="G10872" s="2" t="s">
        <v>9</v>
      </c>
    </row>
    <row r="10873" spans="1:9" x14ac:dyDescent="0.2">
      <c r="A10873" s="2" t="s">
        <v>3293</v>
      </c>
      <c r="B10873" s="2" t="s">
        <v>305</v>
      </c>
      <c r="C10873" s="2">
        <v>739.5172</v>
      </c>
      <c r="D10873" s="2">
        <f>HYPERLINK("http://mcb-m6.bioreg.kyushu-u.ac.jp/M3/20110411/F50916/1901/1", 53.78)</f>
        <v>53.78</v>
      </c>
      <c r="E10873" s="2">
        <v>35.6</v>
      </c>
      <c r="F10873" s="2">
        <v>2</v>
      </c>
      <c r="G10873" s="2" t="s">
        <v>9</v>
      </c>
    </row>
    <row r="10874" spans="1:9" x14ac:dyDescent="0.2">
      <c r="A10874" s="2" t="s">
        <v>3293</v>
      </c>
      <c r="B10874" s="2" t="s">
        <v>296</v>
      </c>
      <c r="C10874" s="2">
        <v>664.26210000000003</v>
      </c>
      <c r="D10874" s="2">
        <f>HYPERLINK("http://mcb-m6.bioreg.kyushu-u.ac.jp/M3/20110411/F50915/1456/1", 55.6)</f>
        <v>55.6</v>
      </c>
      <c r="E10874" s="2">
        <v>29.77</v>
      </c>
      <c r="F10874" s="2">
        <v>2</v>
      </c>
      <c r="G10874" s="2" t="s">
        <v>9</v>
      </c>
    </row>
    <row r="10875" spans="1:9" x14ac:dyDescent="0.2">
      <c r="A10875" s="2" t="s">
        <v>3293</v>
      </c>
      <c r="B10875" s="2" t="s">
        <v>928</v>
      </c>
      <c r="C10875" s="2">
        <v>716.65719999999999</v>
      </c>
      <c r="D10875" s="2">
        <f>HYPERLINK("http://mcb-m6.bioreg.kyushu-u.ac.jp/M3/20110411/F50915/1746/1", 55.9)</f>
        <v>55.9</v>
      </c>
      <c r="E10875" s="2">
        <v>44.09</v>
      </c>
      <c r="F10875" s="2">
        <v>2</v>
      </c>
      <c r="G10875" s="2" t="s">
        <v>9</v>
      </c>
      <c r="I10875" s="2" t="s">
        <v>4932</v>
      </c>
    </row>
    <row r="10876" spans="1:9" x14ac:dyDescent="0.2">
      <c r="A10876" s="2" t="s">
        <v>3293</v>
      </c>
      <c r="B10876" s="2" t="s">
        <v>837</v>
      </c>
      <c r="C10876" s="2">
        <v>742.09169999999995</v>
      </c>
      <c r="D10876" s="2">
        <f>HYPERLINK("http://mcb-m6.bioreg.kyushu-u.ac.jp/M3/20110411/F50916/1920/1", 55.9)</f>
        <v>55.9</v>
      </c>
      <c r="E10876" s="2">
        <v>38.6</v>
      </c>
      <c r="F10876" s="2">
        <v>2</v>
      </c>
      <c r="G10876" s="2" t="s">
        <v>9</v>
      </c>
    </row>
    <row r="10877" spans="1:9" x14ac:dyDescent="0.2">
      <c r="A10877" s="2" t="s">
        <v>3293</v>
      </c>
      <c r="B10877" s="2" t="s">
        <v>945</v>
      </c>
      <c r="C10877" s="2">
        <v>686.37369999999999</v>
      </c>
      <c r="D10877" s="2">
        <f>HYPERLINK("http://mcb-m6.bioreg.kyushu-u.ac.jp/M3/20110411/F50895/1797/1", 56.32)</f>
        <v>56.32</v>
      </c>
      <c r="E10877" s="2">
        <v>34.14</v>
      </c>
      <c r="F10877" s="2">
        <v>2</v>
      </c>
      <c r="G10877" s="2" t="s">
        <v>9</v>
      </c>
    </row>
    <row r="10878" spans="1:9" x14ac:dyDescent="0.2">
      <c r="A10878" s="2" t="s">
        <v>3293</v>
      </c>
      <c r="B10878" s="2" t="s">
        <v>347</v>
      </c>
      <c r="C10878" s="2">
        <v>567.78970000000004</v>
      </c>
      <c r="D10878" s="2">
        <f>HYPERLINK("http://mcb-m6.bioreg.kyushu-u.ac.jp/M3/20110411/F50916/1046/1", 57.62)</f>
        <v>57.62</v>
      </c>
      <c r="E10878" s="2">
        <v>29.53</v>
      </c>
      <c r="F10878" s="2">
        <v>2</v>
      </c>
      <c r="G10878" s="2" t="s">
        <v>9</v>
      </c>
    </row>
    <row r="10879" spans="1:9" x14ac:dyDescent="0.2">
      <c r="A10879" s="2" t="s">
        <v>3293</v>
      </c>
      <c r="B10879" s="2" t="s">
        <v>296</v>
      </c>
      <c r="C10879" s="2">
        <v>664.05909999999994</v>
      </c>
      <c r="D10879" s="2">
        <f>HYPERLINK("http://mcb-m6.bioreg.kyushu-u.ac.jp/M3/20110411/F50895/1688/1", 58.47)</f>
        <v>58.47</v>
      </c>
      <c r="E10879" s="2">
        <v>24.71</v>
      </c>
      <c r="F10879" s="2">
        <v>2</v>
      </c>
      <c r="G10879" s="2" t="s">
        <v>9</v>
      </c>
    </row>
    <row r="10880" spans="1:9" x14ac:dyDescent="0.2">
      <c r="A10880" s="2" t="s">
        <v>3293</v>
      </c>
      <c r="B10880" s="2" t="s">
        <v>296</v>
      </c>
      <c r="C10880" s="2">
        <v>664.2432</v>
      </c>
      <c r="D10880" s="2">
        <f>HYPERLINK("http://mcb-m6.bioreg.kyushu-u.ac.jp/M3/20110411/F50891/1670/1", 59.76)</f>
        <v>59.76</v>
      </c>
      <c r="E10880" s="2">
        <v>33.64</v>
      </c>
      <c r="F10880" s="2">
        <v>2</v>
      </c>
      <c r="G10880" s="2" t="s">
        <v>9</v>
      </c>
    </row>
    <row r="10881" spans="1:9" x14ac:dyDescent="0.2">
      <c r="A10881" s="2" t="s">
        <v>3293</v>
      </c>
      <c r="B10881" s="2" t="s">
        <v>1079</v>
      </c>
      <c r="C10881" s="2">
        <v>993.58749999999998</v>
      </c>
      <c r="D10881" s="2">
        <f>HYPERLINK("http://mcb-m6.bioreg.kyushu-u.ac.jp/M3/20110411/F50915/4458/1", 61.99)</f>
        <v>61.99</v>
      </c>
      <c r="E10881" s="2">
        <v>55.3</v>
      </c>
      <c r="F10881" s="2">
        <v>3</v>
      </c>
      <c r="G10881" s="2" t="s">
        <v>9</v>
      </c>
    </row>
    <row r="10882" spans="1:9" x14ac:dyDescent="0.2">
      <c r="A10882" s="2" t="s">
        <v>3293</v>
      </c>
      <c r="B10882" s="2" t="s">
        <v>724</v>
      </c>
      <c r="C10882" s="2">
        <v>1296.6079999999999</v>
      </c>
      <c r="D10882" s="2">
        <f>HYPERLINK("http://mcb-m6.bioreg.kyushu-u.ac.jp/M3/20110411/F50916/1384/1", 62.93)</f>
        <v>62.93</v>
      </c>
      <c r="E10882" s="2">
        <v>46.17</v>
      </c>
      <c r="F10882" s="2">
        <v>1</v>
      </c>
      <c r="G10882" s="2" t="s">
        <v>9</v>
      </c>
    </row>
    <row r="10883" spans="1:9" x14ac:dyDescent="0.2">
      <c r="A10883" s="2" t="s">
        <v>3293</v>
      </c>
      <c r="B10883" s="2" t="s">
        <v>377</v>
      </c>
      <c r="C10883" s="2">
        <v>700.47310000000004</v>
      </c>
      <c r="D10883" s="2">
        <f>HYPERLINK("http://mcb-m6.bioreg.kyushu-u.ac.jp/M3/20110411/F50891/1874/1", 64.6)</f>
        <v>64.599999999999994</v>
      </c>
      <c r="E10883" s="2">
        <v>42.58</v>
      </c>
      <c r="F10883" s="2">
        <v>2</v>
      </c>
      <c r="G10883" s="2" t="s">
        <v>9</v>
      </c>
    </row>
    <row r="10884" spans="1:9" x14ac:dyDescent="0.2">
      <c r="A10884" s="2" t="s">
        <v>3293</v>
      </c>
      <c r="B10884" s="2" t="s">
        <v>296</v>
      </c>
      <c r="C10884" s="2">
        <v>663.95719999999994</v>
      </c>
      <c r="D10884" s="2">
        <f>HYPERLINK("http://mcb-m6.bioreg.kyushu-u.ac.jp/M3/20110411/F50916/1455/1", 67.45)</f>
        <v>67.45</v>
      </c>
      <c r="E10884" s="2">
        <v>41.55</v>
      </c>
      <c r="F10884" s="2">
        <v>2</v>
      </c>
      <c r="G10884" s="2" t="s">
        <v>9</v>
      </c>
    </row>
    <row r="10885" spans="1:9" x14ac:dyDescent="0.2">
      <c r="A10885" s="2" t="s">
        <v>3293</v>
      </c>
      <c r="B10885" s="2" t="s">
        <v>73</v>
      </c>
      <c r="C10885" s="2">
        <v>606.34010000000001</v>
      </c>
      <c r="D10885" s="2">
        <f>HYPERLINK("http://mcb-m6.bioreg.kyushu-u.ac.jp/M3/20110411/F50915/1199/2", 68)</f>
        <v>68</v>
      </c>
      <c r="E10885" s="2">
        <v>49.36</v>
      </c>
      <c r="F10885" s="2">
        <v>2</v>
      </c>
      <c r="G10885" s="2" t="s">
        <v>9</v>
      </c>
      <c r="I10885" s="2" t="s">
        <v>4898</v>
      </c>
    </row>
    <row r="10886" spans="1:9" x14ac:dyDescent="0.2">
      <c r="A10886" s="2" t="s">
        <v>3293</v>
      </c>
      <c r="B10886" s="2" t="s">
        <v>377</v>
      </c>
      <c r="C10886" s="2">
        <v>700.31960000000004</v>
      </c>
      <c r="D10886" s="2">
        <f>HYPERLINK("http://mcb-m6.bioreg.kyushu-u.ac.jp/M3/20110411/F50916/1672/1", 68.82)</f>
        <v>68.819999999999993</v>
      </c>
      <c r="E10886" s="2">
        <v>45.8</v>
      </c>
      <c r="F10886" s="2">
        <v>2</v>
      </c>
      <c r="G10886" s="2" t="s">
        <v>9</v>
      </c>
    </row>
    <row r="10887" spans="1:9" x14ac:dyDescent="0.2">
      <c r="A10887" s="2" t="s">
        <v>3293</v>
      </c>
      <c r="B10887" s="2" t="s">
        <v>1277</v>
      </c>
      <c r="C10887" s="2">
        <v>711.94569999999999</v>
      </c>
      <c r="D10887" s="2">
        <f>HYPERLINK("http://mcb-m6.bioreg.kyushu-u.ac.jp/M3/20110411/F50915/1715/1", 70.22)</f>
        <v>70.22</v>
      </c>
      <c r="E10887" s="2">
        <v>33.01</v>
      </c>
      <c r="F10887" s="2">
        <v>2</v>
      </c>
      <c r="G10887" s="2" t="s">
        <v>9</v>
      </c>
    </row>
    <row r="10888" spans="1:9" x14ac:dyDescent="0.2">
      <c r="A10888" s="2" t="s">
        <v>3293</v>
      </c>
      <c r="B10888" s="2" t="s">
        <v>1277</v>
      </c>
      <c r="C10888" s="2">
        <v>711.69759999999997</v>
      </c>
      <c r="D10888" s="2">
        <f>HYPERLINK("http://mcb-m6.bioreg.kyushu-u.ac.jp/M3/20110411/F50904/1893/1", 71.17)</f>
        <v>71.17</v>
      </c>
      <c r="E10888" s="2">
        <v>42.03</v>
      </c>
      <c r="F10888" s="2">
        <v>2</v>
      </c>
      <c r="G10888" s="2" t="s">
        <v>9</v>
      </c>
    </row>
    <row r="10889" spans="1:9" x14ac:dyDescent="0.2">
      <c r="A10889" s="2" t="s">
        <v>3293</v>
      </c>
      <c r="B10889" s="2" t="s">
        <v>1277</v>
      </c>
      <c r="C10889" s="2">
        <v>711.17819999999995</v>
      </c>
      <c r="D10889" s="2">
        <f>HYPERLINK("http://mcb-m6.bioreg.kyushu-u.ac.jp/M3/20110411/F50916/1733/1", 72.25)</f>
        <v>72.25</v>
      </c>
      <c r="E10889" s="2">
        <v>40.549999999999997</v>
      </c>
      <c r="F10889" s="2">
        <v>2</v>
      </c>
      <c r="G10889" s="2" t="s">
        <v>9</v>
      </c>
    </row>
    <row r="10890" spans="1:9" x14ac:dyDescent="0.2">
      <c r="A10890" s="2" t="s">
        <v>3293</v>
      </c>
      <c r="B10890" s="2" t="s">
        <v>752</v>
      </c>
      <c r="C10890" s="2">
        <v>746.4316</v>
      </c>
      <c r="D10890" s="2">
        <f>HYPERLINK("http://mcb-m6.bioreg.kyushu-u.ac.jp/M3/20110411/F50915/1942/1", 73.24)</f>
        <v>73.239999999999995</v>
      </c>
      <c r="E10890" s="2">
        <v>49.15</v>
      </c>
      <c r="F10890" s="2">
        <v>2</v>
      </c>
      <c r="G10890" s="2" t="s">
        <v>9</v>
      </c>
    </row>
    <row r="10891" spans="1:9" x14ac:dyDescent="0.2">
      <c r="A10891" s="2" t="s">
        <v>3293</v>
      </c>
      <c r="B10891" s="2" t="s">
        <v>1277</v>
      </c>
      <c r="C10891" s="2">
        <v>711.77120000000002</v>
      </c>
      <c r="D10891" s="2">
        <f>HYPERLINK("http://mcb-m6.bioreg.kyushu-u.ac.jp/M3/20110411/F50895/1934/1", 76.9)</f>
        <v>76.900000000000006</v>
      </c>
      <c r="E10891" s="2">
        <v>47.6</v>
      </c>
      <c r="F10891" s="2">
        <v>2</v>
      </c>
      <c r="G10891" s="2" t="s">
        <v>9</v>
      </c>
    </row>
    <row r="10892" spans="1:9" x14ac:dyDescent="0.2">
      <c r="A10892" s="2" t="s">
        <v>3293</v>
      </c>
      <c r="B10892" s="2" t="s">
        <v>1277</v>
      </c>
      <c r="C10892" s="2">
        <v>711.41719999999998</v>
      </c>
      <c r="D10892" s="2">
        <f>HYPERLINK("http://mcb-m6.bioreg.kyushu-u.ac.jp/M3/20110411/F50915/1711/1", 81.95)</f>
        <v>81.95</v>
      </c>
      <c r="E10892" s="2">
        <v>57.57</v>
      </c>
      <c r="F10892" s="2">
        <v>2</v>
      </c>
      <c r="G10892" s="2" t="s">
        <v>9</v>
      </c>
    </row>
    <row r="10893" spans="1:9" x14ac:dyDescent="0.2">
      <c r="A10893" s="2" t="s">
        <v>3293</v>
      </c>
      <c r="B10893" s="2" t="s">
        <v>1277</v>
      </c>
      <c r="C10893" s="2">
        <v>711.59860000000003</v>
      </c>
      <c r="D10893" s="2">
        <f>HYPERLINK("http://mcb-m6.bioreg.kyushu-u.ac.jp/M3/20110411/F50911/1933/1", 84.34)</f>
        <v>84.34</v>
      </c>
      <c r="E10893" s="2">
        <v>49.21</v>
      </c>
      <c r="F10893" s="2">
        <v>2</v>
      </c>
      <c r="G10893" s="2" t="s">
        <v>9</v>
      </c>
    </row>
    <row r="10894" spans="1:9" x14ac:dyDescent="0.2">
      <c r="A10894" s="2" t="s">
        <v>3293</v>
      </c>
      <c r="B10894" s="2" t="s">
        <v>945</v>
      </c>
      <c r="C10894" s="2">
        <v>685.98659999999995</v>
      </c>
      <c r="D10894" s="2">
        <f>HYPERLINK("http://mcb-m6.bioreg.kyushu-u.ac.jp/M3/20110411/F50915/1583/1", 85.72)</f>
        <v>85.72</v>
      </c>
      <c r="E10894" s="2">
        <v>63.71</v>
      </c>
      <c r="F10894" s="2">
        <v>2</v>
      </c>
      <c r="G10894" s="2" t="s">
        <v>9</v>
      </c>
    </row>
    <row r="10895" spans="1:9" x14ac:dyDescent="0.2">
      <c r="A10895" s="2" t="s">
        <v>3293</v>
      </c>
      <c r="B10895" s="2" t="s">
        <v>945</v>
      </c>
      <c r="C10895" s="2">
        <v>686.36770000000001</v>
      </c>
      <c r="D10895" s="2">
        <f>HYPERLINK("http://mcb-m6.bioreg.kyushu-u.ac.jp/M3/20110411/F50916/1581/1", 92.95)</f>
        <v>92.95</v>
      </c>
      <c r="E10895" s="2">
        <v>60.54</v>
      </c>
      <c r="F10895" s="2">
        <v>2</v>
      </c>
      <c r="G10895" s="2" t="s">
        <v>9</v>
      </c>
    </row>
    <row r="10896" spans="1:9" x14ac:dyDescent="0.2">
      <c r="A10896" s="2" t="s">
        <v>3293</v>
      </c>
      <c r="B10896" s="2" t="s">
        <v>1571</v>
      </c>
      <c r="C10896" s="2">
        <v>1031.05</v>
      </c>
      <c r="D10896" s="2">
        <f>HYPERLINK("http://mcb-m6.bioreg.kyushu-u.ac.jp/M3/20110411/F50916/3254/1", 93.69)</f>
        <v>93.69</v>
      </c>
      <c r="E10896" s="2">
        <v>88.38</v>
      </c>
      <c r="F10896" s="2">
        <v>2</v>
      </c>
      <c r="G10896" s="2" t="s">
        <v>9</v>
      </c>
    </row>
    <row r="10897" spans="1:8" x14ac:dyDescent="0.2">
      <c r="A10897" s="2" t="s">
        <v>3293</v>
      </c>
      <c r="B10897" s="2" t="s">
        <v>945</v>
      </c>
      <c r="C10897" s="2">
        <v>686.10059999999999</v>
      </c>
      <c r="D10897" s="2">
        <f>HYPERLINK("http://mcb-m6.bioreg.kyushu-u.ac.jp/M3/20110411/F50911/1777/1", 94.87)</f>
        <v>94.87</v>
      </c>
      <c r="E10897" s="2">
        <v>67.319999999999993</v>
      </c>
      <c r="F10897" s="2">
        <v>2</v>
      </c>
      <c r="G10897" s="2" t="s">
        <v>9</v>
      </c>
    </row>
    <row r="10898" spans="1:8" x14ac:dyDescent="0.2">
      <c r="A10898" s="2" t="s">
        <v>3293</v>
      </c>
      <c r="B10898" s="2" t="s">
        <v>217</v>
      </c>
      <c r="C10898" s="2">
        <v>1126.73</v>
      </c>
      <c r="D10898" s="2">
        <f>HYPERLINK("http://mcb-m6.bioreg.kyushu-u.ac.jp/M3/20110411/F50918/1011/1", 36.67)</f>
        <v>36.67</v>
      </c>
      <c r="E10898" s="2">
        <v>20.11</v>
      </c>
      <c r="F10898" s="2">
        <v>1</v>
      </c>
      <c r="G10898" s="2" t="s">
        <v>10</v>
      </c>
    </row>
    <row r="10899" spans="1:8" x14ac:dyDescent="0.2">
      <c r="A10899" s="2" t="s">
        <v>3293</v>
      </c>
      <c r="B10899" s="2" t="s">
        <v>945</v>
      </c>
      <c r="C10899" s="2">
        <v>686.05470000000003</v>
      </c>
      <c r="D10899" s="2">
        <f>HYPERLINK("http://mcb-m6.bioreg.kyushu-u.ac.jp/M3/20110411/F50901/1785/1", 37.23)</f>
        <v>37.229999999999997</v>
      </c>
      <c r="E10899" s="2">
        <v>21.97</v>
      </c>
      <c r="F10899" s="2">
        <v>2</v>
      </c>
      <c r="G10899" s="2" t="s">
        <v>10</v>
      </c>
    </row>
    <row r="10900" spans="1:8" x14ac:dyDescent="0.2">
      <c r="A10900" s="2" t="s">
        <v>3293</v>
      </c>
      <c r="B10900" s="2" t="s">
        <v>451</v>
      </c>
      <c r="C10900" s="2">
        <v>710.00670000000002</v>
      </c>
      <c r="D10900" s="2">
        <f>HYPERLINK("http://mcb-m6.bioreg.kyushu-u.ac.jp/M3/20110411/F50918/1701/1", 37.83)</f>
        <v>37.83</v>
      </c>
      <c r="E10900" s="2">
        <v>14.95</v>
      </c>
      <c r="F10900" s="2">
        <v>2</v>
      </c>
      <c r="G10900" s="2" t="s">
        <v>10</v>
      </c>
      <c r="H10900" s="2" t="s">
        <v>4891</v>
      </c>
    </row>
    <row r="10901" spans="1:8" x14ac:dyDescent="0.2">
      <c r="A10901" s="2" t="s">
        <v>3293</v>
      </c>
      <c r="B10901" s="2" t="s">
        <v>377</v>
      </c>
      <c r="C10901" s="2">
        <v>700.40260000000001</v>
      </c>
      <c r="D10901" s="2">
        <f>HYPERLINK("http://mcb-m6.bioreg.kyushu-u.ac.jp/M3/20110411/F50917/1722/1", 40.71)</f>
        <v>40.71</v>
      </c>
      <c r="E10901" s="2">
        <v>26.56</v>
      </c>
      <c r="F10901" s="2">
        <v>2</v>
      </c>
      <c r="G10901" s="2" t="s">
        <v>10</v>
      </c>
    </row>
    <row r="10902" spans="1:8" x14ac:dyDescent="0.2">
      <c r="A10902" s="2" t="s">
        <v>3293</v>
      </c>
      <c r="B10902" s="2" t="s">
        <v>1856</v>
      </c>
      <c r="C10902" s="2">
        <v>628.34559999999999</v>
      </c>
      <c r="D10902" s="2">
        <f>HYPERLINK("http://mcb-m6.bioreg.kyushu-u.ac.jp/M3/20110411/F50918/1288/1", 44.79)</f>
        <v>44.79</v>
      </c>
      <c r="E10902" s="2">
        <v>21.55</v>
      </c>
      <c r="F10902" s="2">
        <v>2</v>
      </c>
      <c r="G10902" s="2" t="s">
        <v>10</v>
      </c>
    </row>
    <row r="10903" spans="1:8" x14ac:dyDescent="0.2">
      <c r="A10903" s="2" t="s">
        <v>3293</v>
      </c>
      <c r="B10903" s="2" t="s">
        <v>89</v>
      </c>
      <c r="C10903" s="2">
        <v>598.00710000000004</v>
      </c>
      <c r="D10903" s="2">
        <f>HYPERLINK("http://mcb-m6.bioreg.kyushu-u.ac.jp/M3/20110411/F50902/1437/1", 45.17)</f>
        <v>45.17</v>
      </c>
      <c r="E10903" s="2">
        <v>25.32</v>
      </c>
      <c r="F10903" s="2">
        <v>2</v>
      </c>
      <c r="G10903" s="2" t="s">
        <v>10</v>
      </c>
    </row>
    <row r="10904" spans="1:8" x14ac:dyDescent="0.2">
      <c r="A10904" s="2" t="s">
        <v>3293</v>
      </c>
      <c r="B10904" s="2" t="s">
        <v>89</v>
      </c>
      <c r="C10904" s="2">
        <v>598.23609999999996</v>
      </c>
      <c r="D10904" s="2">
        <f>HYPERLINK("http://mcb-m6.bioreg.kyushu-u.ac.jp/M3/20110411/F50898/1785/1", 51.2)</f>
        <v>51.2</v>
      </c>
      <c r="E10904" s="2">
        <v>30.96</v>
      </c>
      <c r="F10904" s="2">
        <v>2</v>
      </c>
      <c r="G10904" s="2" t="s">
        <v>10</v>
      </c>
    </row>
    <row r="10905" spans="1:8" x14ac:dyDescent="0.2">
      <c r="A10905" s="2" t="s">
        <v>3293</v>
      </c>
      <c r="B10905" s="2" t="s">
        <v>377</v>
      </c>
      <c r="C10905" s="2">
        <v>700.85609999999997</v>
      </c>
      <c r="D10905" s="2">
        <f>HYPERLINK("http://mcb-m6.bioreg.kyushu-u.ac.jp/M3/20110411/F50918/1653/1", 53.17)</f>
        <v>53.17</v>
      </c>
      <c r="E10905" s="2">
        <v>37.119999999999997</v>
      </c>
      <c r="F10905" s="2">
        <v>2</v>
      </c>
      <c r="G10905" s="2" t="s">
        <v>10</v>
      </c>
    </row>
    <row r="10906" spans="1:8" x14ac:dyDescent="0.2">
      <c r="A10906" s="2" t="s">
        <v>3293</v>
      </c>
      <c r="B10906" s="2" t="s">
        <v>724</v>
      </c>
      <c r="C10906" s="2">
        <v>648.4982</v>
      </c>
      <c r="D10906" s="2">
        <f>HYPERLINK("http://mcb-m6.bioreg.kyushu-u.ac.jp/M3/20110411/F50902/1634/1", 54.78)</f>
        <v>54.78</v>
      </c>
      <c r="E10906" s="2">
        <v>30.28</v>
      </c>
      <c r="F10906" s="2">
        <v>2</v>
      </c>
      <c r="G10906" s="2" t="s">
        <v>10</v>
      </c>
    </row>
    <row r="10907" spans="1:8" x14ac:dyDescent="0.2">
      <c r="A10907" s="2" t="s">
        <v>3293</v>
      </c>
      <c r="B10907" s="2" t="s">
        <v>296</v>
      </c>
      <c r="C10907" s="2">
        <v>663.93470000000002</v>
      </c>
      <c r="D10907" s="2">
        <f>HYPERLINK("http://mcb-m6.bioreg.kyushu-u.ac.jp/M3/20110411/F50917/1523/1", 56.21)</f>
        <v>56.21</v>
      </c>
      <c r="E10907" s="2">
        <v>28.38</v>
      </c>
      <c r="F10907" s="2">
        <v>2</v>
      </c>
      <c r="G10907" s="2" t="s">
        <v>10</v>
      </c>
    </row>
    <row r="10908" spans="1:8" x14ac:dyDescent="0.2">
      <c r="A10908" s="2" t="s">
        <v>3293</v>
      </c>
      <c r="B10908" s="2" t="s">
        <v>837</v>
      </c>
      <c r="C10908" s="2">
        <v>742.11109999999996</v>
      </c>
      <c r="D10908" s="2">
        <f>HYPERLINK("http://mcb-m6.bioreg.kyushu-u.ac.jp/M3/20110411/F50918/1893/1", 56.85)</f>
        <v>56.85</v>
      </c>
      <c r="E10908" s="2">
        <v>39.36</v>
      </c>
      <c r="F10908" s="2">
        <v>2</v>
      </c>
      <c r="G10908" s="2" t="s">
        <v>10</v>
      </c>
    </row>
    <row r="10909" spans="1:8" x14ac:dyDescent="0.2">
      <c r="A10909" s="2" t="s">
        <v>3293</v>
      </c>
      <c r="B10909" s="2" t="s">
        <v>305</v>
      </c>
      <c r="C10909" s="2">
        <v>739.53269999999998</v>
      </c>
      <c r="D10909" s="2">
        <f>HYPERLINK("http://mcb-m6.bioreg.kyushu-u.ac.jp/M3/20110411/F50917/1938/1", 57.63)</f>
        <v>57.63</v>
      </c>
      <c r="E10909" s="2">
        <v>30.61</v>
      </c>
      <c r="F10909" s="2">
        <v>2</v>
      </c>
      <c r="G10909" s="2" t="s">
        <v>10</v>
      </c>
    </row>
    <row r="10910" spans="1:8" x14ac:dyDescent="0.2">
      <c r="A10910" s="2" t="s">
        <v>3293</v>
      </c>
      <c r="B10910" s="2" t="s">
        <v>347</v>
      </c>
      <c r="C10910" s="2">
        <v>567.30769999999995</v>
      </c>
      <c r="D10910" s="2">
        <f>HYPERLINK("http://mcb-m6.bioreg.kyushu-u.ac.jp/M3/20110411/F50918/1024/1", 58.18)</f>
        <v>58.18</v>
      </c>
      <c r="E10910" s="2">
        <v>38.43</v>
      </c>
      <c r="F10910" s="2">
        <v>2</v>
      </c>
      <c r="G10910" s="2" t="s">
        <v>10</v>
      </c>
    </row>
    <row r="10911" spans="1:8" x14ac:dyDescent="0.2">
      <c r="A10911" s="2" t="s">
        <v>3293</v>
      </c>
      <c r="B10911" s="2" t="s">
        <v>752</v>
      </c>
      <c r="C10911" s="2">
        <v>746.59119999999996</v>
      </c>
      <c r="D10911" s="2">
        <f>HYPERLINK("http://mcb-m6.bioreg.kyushu-u.ac.jp/M3/20110411/F50917/1995/1", 59.06)</f>
        <v>59.06</v>
      </c>
      <c r="E10911" s="2">
        <v>35.11</v>
      </c>
      <c r="F10911" s="2">
        <v>2</v>
      </c>
      <c r="G10911" s="2" t="s">
        <v>10</v>
      </c>
    </row>
    <row r="10912" spans="1:8" x14ac:dyDescent="0.2">
      <c r="A10912" s="2" t="s">
        <v>3293</v>
      </c>
      <c r="B10912" s="2" t="s">
        <v>724</v>
      </c>
      <c r="C10912" s="2">
        <v>648.30409999999995</v>
      </c>
      <c r="D10912" s="2">
        <f>HYPERLINK("http://mcb-m6.bioreg.kyushu-u.ac.jp/M3/20110411/F50918/1362/1", 60.58)</f>
        <v>60.58</v>
      </c>
      <c r="E10912" s="2">
        <v>37.22</v>
      </c>
      <c r="F10912" s="2">
        <v>2</v>
      </c>
      <c r="G10912" s="2" t="s">
        <v>10</v>
      </c>
    </row>
    <row r="10913" spans="1:9" x14ac:dyDescent="0.2">
      <c r="A10913" s="2" t="s">
        <v>3293</v>
      </c>
      <c r="B10913" s="2" t="s">
        <v>305</v>
      </c>
      <c r="C10913" s="2">
        <v>747.31569999999999</v>
      </c>
      <c r="D10913" s="2">
        <f>HYPERLINK("http://mcb-m6.bioreg.kyushu-u.ac.jp/M3/20110411/F50918/1929/1", 61.79)</f>
        <v>61.79</v>
      </c>
      <c r="E10913" s="2">
        <v>47.08</v>
      </c>
      <c r="F10913" s="2">
        <v>2</v>
      </c>
      <c r="G10913" s="2" t="s">
        <v>10</v>
      </c>
      <c r="H10913" s="2" t="s">
        <v>4908</v>
      </c>
    </row>
    <row r="10914" spans="1:9" x14ac:dyDescent="0.2">
      <c r="A10914" s="2" t="s">
        <v>3293</v>
      </c>
      <c r="B10914" s="2" t="s">
        <v>89</v>
      </c>
      <c r="C10914" s="2">
        <v>598.38819999999998</v>
      </c>
      <c r="D10914" s="2">
        <f>HYPERLINK("http://mcb-m6.bioreg.kyushu-u.ac.jp/M3/20110411/F50918/1149/1", 61.8)</f>
        <v>61.8</v>
      </c>
      <c r="E10914" s="2">
        <v>37.479999999999997</v>
      </c>
      <c r="F10914" s="2">
        <v>2</v>
      </c>
      <c r="G10914" s="2" t="s">
        <v>10</v>
      </c>
    </row>
    <row r="10915" spans="1:9" x14ac:dyDescent="0.2">
      <c r="A10915" s="2" t="s">
        <v>3293</v>
      </c>
      <c r="B10915" s="2" t="s">
        <v>296</v>
      </c>
      <c r="C10915" s="2">
        <v>663.96969999999999</v>
      </c>
      <c r="D10915" s="2">
        <f>HYPERLINK("http://mcb-m6.bioreg.kyushu-u.ac.jp/M3/20110411/F50918/1427/1", 62.51)</f>
        <v>62.51</v>
      </c>
      <c r="E10915" s="2">
        <v>34.65</v>
      </c>
      <c r="F10915" s="2">
        <v>2</v>
      </c>
      <c r="G10915" s="2" t="s">
        <v>10</v>
      </c>
    </row>
    <row r="10916" spans="1:9" x14ac:dyDescent="0.2">
      <c r="A10916" s="2" t="s">
        <v>3293</v>
      </c>
      <c r="B10916" s="2" t="s">
        <v>600</v>
      </c>
      <c r="C10916" s="2">
        <v>778.93619999999999</v>
      </c>
      <c r="D10916" s="2">
        <f>HYPERLINK("http://mcb-m6.bioreg.kyushu-u.ac.jp/M3/20110411/F50917/2191/1", 67.04)</f>
        <v>67.040000000000006</v>
      </c>
      <c r="E10916" s="2">
        <v>50.36</v>
      </c>
      <c r="F10916" s="2">
        <v>2</v>
      </c>
      <c r="G10916" s="2" t="s">
        <v>10</v>
      </c>
    </row>
    <row r="10917" spans="1:9" x14ac:dyDescent="0.2">
      <c r="A10917" s="2" t="s">
        <v>3293</v>
      </c>
      <c r="B10917" s="2" t="s">
        <v>217</v>
      </c>
      <c r="C10917" s="2">
        <v>564.1327</v>
      </c>
      <c r="D10917" s="2">
        <f>HYPERLINK("http://mcb-m6.bioreg.kyushu-u.ac.jp/M3/20110411/F50918/1013/1", 71.87)</f>
        <v>71.87</v>
      </c>
      <c r="E10917" s="2">
        <v>50.62</v>
      </c>
      <c r="F10917" s="2">
        <v>2</v>
      </c>
      <c r="G10917" s="2" t="s">
        <v>10</v>
      </c>
    </row>
    <row r="10918" spans="1:9" x14ac:dyDescent="0.2">
      <c r="A10918" s="2" t="s">
        <v>3293</v>
      </c>
      <c r="B10918" s="2" t="s">
        <v>945</v>
      </c>
      <c r="C10918" s="2">
        <v>685.92570000000001</v>
      </c>
      <c r="D10918" s="2">
        <f>HYPERLINK("http://mcb-m6.bioreg.kyushu-u.ac.jp/M3/20110411/F50917/1645/1", 76.62)</f>
        <v>76.62</v>
      </c>
      <c r="E10918" s="2">
        <v>44.81</v>
      </c>
      <c r="F10918" s="2">
        <v>2</v>
      </c>
      <c r="G10918" s="2" t="s">
        <v>10</v>
      </c>
    </row>
    <row r="10919" spans="1:9" x14ac:dyDescent="0.2">
      <c r="A10919" s="2" t="s">
        <v>3293</v>
      </c>
      <c r="B10919" s="2" t="s">
        <v>945</v>
      </c>
      <c r="C10919" s="2">
        <v>686.05160000000001</v>
      </c>
      <c r="D10919" s="2">
        <f>HYPERLINK("http://mcb-m6.bioreg.kyushu-u.ac.jp/M3/20110411/F50900/1910/1", 81.79)</f>
        <v>81.790000000000006</v>
      </c>
      <c r="E10919" s="2">
        <v>52.81</v>
      </c>
      <c r="F10919" s="2">
        <v>2</v>
      </c>
      <c r="G10919" s="2" t="s">
        <v>10</v>
      </c>
    </row>
    <row r="10920" spans="1:9" x14ac:dyDescent="0.2">
      <c r="A10920" s="2" t="s">
        <v>3293</v>
      </c>
      <c r="B10920" s="2" t="s">
        <v>305</v>
      </c>
      <c r="C10920" s="2">
        <v>739.4357</v>
      </c>
      <c r="D10920" s="2">
        <f>HYPERLINK("http://mcb-m6.bioreg.kyushu-u.ac.jp/M3/20110411/F50918/1876/1", 82.62)</f>
        <v>82.62</v>
      </c>
      <c r="E10920" s="2">
        <v>65.55</v>
      </c>
      <c r="F10920" s="2">
        <v>2</v>
      </c>
      <c r="G10920" s="2" t="s">
        <v>10</v>
      </c>
    </row>
    <row r="10921" spans="1:9" x14ac:dyDescent="0.2">
      <c r="A10921" s="2" t="s">
        <v>3293</v>
      </c>
      <c r="B10921" s="2" t="s">
        <v>305</v>
      </c>
      <c r="C10921" s="2">
        <v>739.93020000000001</v>
      </c>
      <c r="D10921" s="2">
        <f>HYPERLINK("http://mcb-m6.bioreg.kyushu-u.ac.jp/M3/20110411/F50902/2042/1", 89.41)</f>
        <v>89.41</v>
      </c>
      <c r="E10921" s="2">
        <v>58.93</v>
      </c>
      <c r="F10921" s="2">
        <v>2</v>
      </c>
      <c r="G10921" s="2" t="s">
        <v>10</v>
      </c>
    </row>
    <row r="10922" spans="1:9" x14ac:dyDescent="0.2">
      <c r="A10922" s="2" t="s">
        <v>3293</v>
      </c>
      <c r="B10922" s="2" t="s">
        <v>89</v>
      </c>
      <c r="C10922" s="2">
        <v>1194.3900000000001</v>
      </c>
      <c r="D10922" s="2">
        <f>HYPERLINK("http://mcb-m6.bioreg.kyushu-u.ac.jp/M3/20110414/F50956/1043/1", 35.68)</f>
        <v>35.68</v>
      </c>
      <c r="E10922" s="2">
        <v>18.989999999999998</v>
      </c>
      <c r="F10922" s="2">
        <v>1</v>
      </c>
      <c r="G10922" s="2" t="s">
        <v>11</v>
      </c>
    </row>
    <row r="10923" spans="1:9" x14ac:dyDescent="0.2">
      <c r="A10923" s="2" t="s">
        <v>3293</v>
      </c>
      <c r="B10923" s="2" t="s">
        <v>296</v>
      </c>
      <c r="C10923" s="2">
        <v>663.84860000000003</v>
      </c>
      <c r="D10923" s="2">
        <f>HYPERLINK("http://mcb-m6.bioreg.kyushu-u.ac.jp/M3/20110414/F50943/1468/1", 36.28)</f>
        <v>36.28</v>
      </c>
      <c r="E10923" s="2">
        <v>8.39</v>
      </c>
      <c r="F10923" s="2">
        <v>2</v>
      </c>
      <c r="G10923" s="2" t="s">
        <v>11</v>
      </c>
    </row>
    <row r="10924" spans="1:9" x14ac:dyDescent="0.2">
      <c r="A10924" s="2" t="s">
        <v>3293</v>
      </c>
      <c r="B10924" s="2" t="s">
        <v>1571</v>
      </c>
      <c r="C10924" s="2">
        <v>1030.24</v>
      </c>
      <c r="D10924" s="2">
        <f>HYPERLINK("http://mcb-m6.bioreg.kyushu-u.ac.jp/M3/20110414/F50956/3713/1", 36.58)</f>
        <v>36.58</v>
      </c>
      <c r="E10924" s="2">
        <v>19.77</v>
      </c>
      <c r="F10924" s="2">
        <v>2</v>
      </c>
      <c r="G10924" s="2" t="s">
        <v>11</v>
      </c>
      <c r="H10924" s="2" t="s">
        <v>4956</v>
      </c>
    </row>
    <row r="10925" spans="1:9" x14ac:dyDescent="0.2">
      <c r="A10925" s="2" t="s">
        <v>3293</v>
      </c>
      <c r="B10925" s="2" t="s">
        <v>928</v>
      </c>
      <c r="C10925" s="2">
        <v>716.38120000000004</v>
      </c>
      <c r="D10925" s="2">
        <f>HYPERLINK("http://mcb-m6.bioreg.kyushu-u.ac.jp/M3/20110414/F50944/1953/1", 37.4)</f>
        <v>37.4</v>
      </c>
      <c r="E10925" s="2">
        <v>17.84</v>
      </c>
      <c r="F10925" s="2">
        <v>2</v>
      </c>
      <c r="G10925" s="2" t="s">
        <v>11</v>
      </c>
      <c r="I10925" s="2" t="s">
        <v>4932</v>
      </c>
    </row>
    <row r="10926" spans="1:9" x14ac:dyDescent="0.2">
      <c r="A10926" s="2" t="s">
        <v>3293</v>
      </c>
      <c r="B10926" s="2" t="s">
        <v>945</v>
      </c>
      <c r="C10926" s="2">
        <v>685.88959999999997</v>
      </c>
      <c r="D10926" s="2">
        <f>HYPERLINK("http://mcb-m6.bioreg.kyushu-u.ac.jp/M3/20110414/F50942/1586/1", 38.14)</f>
        <v>38.14</v>
      </c>
      <c r="E10926" s="2">
        <v>17.41</v>
      </c>
      <c r="F10926" s="2">
        <v>2</v>
      </c>
      <c r="G10926" s="2" t="s">
        <v>11</v>
      </c>
    </row>
    <row r="10927" spans="1:9" x14ac:dyDescent="0.2">
      <c r="A10927" s="2" t="s">
        <v>3293</v>
      </c>
      <c r="B10927" s="2" t="s">
        <v>296</v>
      </c>
      <c r="C10927" s="2">
        <v>663.79110000000003</v>
      </c>
      <c r="D10927" s="2">
        <f>HYPERLINK("http://mcb-m6.bioreg.kyushu-u.ac.jp/M3/20110414/F50944/1737/1", 38.67)</f>
        <v>38.67</v>
      </c>
      <c r="E10927" s="2">
        <v>16.02</v>
      </c>
      <c r="F10927" s="2">
        <v>2</v>
      </c>
      <c r="G10927" s="2" t="s">
        <v>11</v>
      </c>
    </row>
    <row r="10928" spans="1:9" x14ac:dyDescent="0.2">
      <c r="A10928" s="2" t="s">
        <v>3293</v>
      </c>
      <c r="B10928" s="2" t="s">
        <v>1277</v>
      </c>
      <c r="C10928" s="2">
        <v>711.67819999999995</v>
      </c>
      <c r="D10928" s="2">
        <f>HYPERLINK("http://mcb-m6.bioreg.kyushu-u.ac.jp/M3/20110414/F50957/1693/1", 39.11)</f>
        <v>39.11</v>
      </c>
      <c r="E10928" s="2">
        <v>15.67</v>
      </c>
      <c r="F10928" s="2">
        <v>2</v>
      </c>
      <c r="G10928" s="2" t="s">
        <v>11</v>
      </c>
    </row>
    <row r="10929" spans="1:8" x14ac:dyDescent="0.2">
      <c r="A10929" s="2" t="s">
        <v>3293</v>
      </c>
      <c r="B10929" s="2" t="s">
        <v>945</v>
      </c>
      <c r="C10929" s="2">
        <v>685.73170000000005</v>
      </c>
      <c r="D10929" s="2">
        <f>HYPERLINK("http://mcb-m6.bioreg.kyushu-u.ac.jp/M3/20110414/F50943/1547/1", 40.02)</f>
        <v>40.020000000000003</v>
      </c>
      <c r="E10929" s="2">
        <v>22.45</v>
      </c>
      <c r="F10929" s="2">
        <v>2</v>
      </c>
      <c r="G10929" s="2" t="s">
        <v>11</v>
      </c>
    </row>
    <row r="10930" spans="1:8" x14ac:dyDescent="0.2">
      <c r="A10930" s="2" t="s">
        <v>3293</v>
      </c>
      <c r="B10930" s="2" t="s">
        <v>1079</v>
      </c>
      <c r="C10930" s="2">
        <v>993.72109999999998</v>
      </c>
      <c r="D10930" s="2">
        <f>HYPERLINK("http://mcb-m6.bioreg.kyushu-u.ac.jp/M3/20110414/F50956/4953/1", 40.33)</f>
        <v>40.33</v>
      </c>
      <c r="E10930" s="2">
        <v>35.380000000000003</v>
      </c>
      <c r="F10930" s="2">
        <v>3</v>
      </c>
      <c r="G10930" s="2" t="s">
        <v>11</v>
      </c>
    </row>
    <row r="10931" spans="1:8" x14ac:dyDescent="0.2">
      <c r="A10931" s="2" t="s">
        <v>3293</v>
      </c>
      <c r="B10931" s="2" t="s">
        <v>1277</v>
      </c>
      <c r="C10931" s="2">
        <v>711.29060000000004</v>
      </c>
      <c r="D10931" s="2">
        <f>HYPERLINK("http://mcb-m6.bioreg.kyushu-u.ac.jp/M3/20110414/F50962/1770/1", 40.43)</f>
        <v>40.43</v>
      </c>
      <c r="E10931" s="2">
        <v>14.76</v>
      </c>
      <c r="F10931" s="2">
        <v>2</v>
      </c>
      <c r="G10931" s="2" t="s">
        <v>11</v>
      </c>
    </row>
    <row r="10932" spans="1:8" x14ac:dyDescent="0.2">
      <c r="A10932" s="2" t="s">
        <v>3293</v>
      </c>
      <c r="B10932" s="2" t="s">
        <v>89</v>
      </c>
      <c r="C10932" s="2">
        <v>598.23360000000002</v>
      </c>
      <c r="D10932" s="2">
        <f>HYPERLINK("http://mcb-m6.bioreg.kyushu-u.ac.jp/M3/20110414/F50957/982/1", 40.97)</f>
        <v>40.97</v>
      </c>
      <c r="E10932" s="2">
        <v>19.239999999999998</v>
      </c>
      <c r="F10932" s="2">
        <v>2</v>
      </c>
      <c r="G10932" s="2" t="s">
        <v>11</v>
      </c>
    </row>
    <row r="10933" spans="1:8" x14ac:dyDescent="0.2">
      <c r="A10933" s="2" t="s">
        <v>3293</v>
      </c>
      <c r="B10933" s="2" t="s">
        <v>451</v>
      </c>
      <c r="C10933" s="2">
        <v>701.85820000000001</v>
      </c>
      <c r="D10933" s="2">
        <f>HYPERLINK("http://mcb-m6.bioreg.kyushu-u.ac.jp/M3/20110414/F50943/1640/1", 41.37)</f>
        <v>41.37</v>
      </c>
      <c r="E10933" s="2">
        <v>24.45</v>
      </c>
      <c r="F10933" s="2">
        <v>2</v>
      </c>
      <c r="G10933" s="2" t="s">
        <v>11</v>
      </c>
    </row>
    <row r="10934" spans="1:8" x14ac:dyDescent="0.2">
      <c r="A10934" s="2" t="s">
        <v>3293</v>
      </c>
      <c r="B10934" s="2" t="s">
        <v>1856</v>
      </c>
      <c r="C10934" s="2">
        <v>628.35059999999999</v>
      </c>
      <c r="D10934" s="2">
        <f>HYPERLINK("http://mcb-m6.bioreg.kyushu-u.ac.jp/M3/20110414/F50943/1339/1", 41.71)</f>
        <v>41.71</v>
      </c>
      <c r="E10934" s="2">
        <v>25.02</v>
      </c>
      <c r="F10934" s="2">
        <v>2</v>
      </c>
      <c r="G10934" s="2" t="s">
        <v>11</v>
      </c>
    </row>
    <row r="10935" spans="1:8" x14ac:dyDescent="0.2">
      <c r="A10935" s="2" t="s">
        <v>3293</v>
      </c>
      <c r="B10935" s="2" t="s">
        <v>305</v>
      </c>
      <c r="C10935" s="2">
        <v>739.29359999999997</v>
      </c>
      <c r="D10935" s="2">
        <f>HYPERLINK("http://mcb-m6.bioreg.kyushu-u.ac.jp/M3/20110414/F50957/1885/1", 41.93)</f>
        <v>41.93</v>
      </c>
      <c r="E10935" s="2">
        <v>25.53</v>
      </c>
      <c r="F10935" s="2">
        <v>2</v>
      </c>
      <c r="G10935" s="2" t="s">
        <v>11</v>
      </c>
    </row>
    <row r="10936" spans="1:8" x14ac:dyDescent="0.2">
      <c r="A10936" s="2" t="s">
        <v>3293</v>
      </c>
      <c r="B10936" s="2" t="s">
        <v>451</v>
      </c>
      <c r="C10936" s="2">
        <v>709.66669999999999</v>
      </c>
      <c r="D10936" s="2">
        <f>HYPERLINK("http://mcb-m6.bioreg.kyushu-u.ac.jp/M3/20110414/F50956/1697/1", 42.7)</f>
        <v>42.7</v>
      </c>
      <c r="E10936" s="2">
        <v>21.62</v>
      </c>
      <c r="F10936" s="2">
        <v>2</v>
      </c>
      <c r="G10936" s="2" t="s">
        <v>11</v>
      </c>
      <c r="H10936" s="2" t="s">
        <v>4891</v>
      </c>
    </row>
    <row r="10937" spans="1:8" x14ac:dyDescent="0.2">
      <c r="A10937" s="2" t="s">
        <v>3293</v>
      </c>
      <c r="B10937" s="2" t="s">
        <v>377</v>
      </c>
      <c r="C10937" s="2">
        <v>700.48770000000002</v>
      </c>
      <c r="D10937" s="2">
        <f>HYPERLINK("http://mcb-m6.bioreg.kyushu-u.ac.jp/M3/20110414/F50942/1663/1", 43.69)</f>
        <v>43.69</v>
      </c>
      <c r="E10937" s="2">
        <v>27.53</v>
      </c>
      <c r="F10937" s="2">
        <v>2</v>
      </c>
      <c r="G10937" s="2" t="s">
        <v>11</v>
      </c>
    </row>
    <row r="10938" spans="1:8" x14ac:dyDescent="0.2">
      <c r="A10938" s="2" t="s">
        <v>3293</v>
      </c>
      <c r="B10938" s="2" t="s">
        <v>347</v>
      </c>
      <c r="C10938" s="2">
        <v>567.39919999999995</v>
      </c>
      <c r="D10938" s="2">
        <f>HYPERLINK("http://mcb-m6.bioreg.kyushu-u.ac.jp/M3/20110414/F50942/1047/1", 43.87)</f>
        <v>43.87</v>
      </c>
      <c r="E10938" s="2">
        <v>21.09</v>
      </c>
      <c r="F10938" s="2">
        <v>2</v>
      </c>
      <c r="G10938" s="2" t="s">
        <v>11</v>
      </c>
    </row>
    <row r="10939" spans="1:8" x14ac:dyDescent="0.2">
      <c r="A10939" s="2" t="s">
        <v>3293</v>
      </c>
      <c r="B10939" s="2" t="s">
        <v>305</v>
      </c>
      <c r="C10939" s="2">
        <v>739.36360000000002</v>
      </c>
      <c r="D10939" s="2">
        <f>HYPERLINK("http://mcb-m6.bioreg.kyushu-u.ac.jp/M3/20110414/F50943/1874/1", 44.28)</f>
        <v>44.28</v>
      </c>
      <c r="E10939" s="2">
        <v>27.97</v>
      </c>
      <c r="F10939" s="2">
        <v>2</v>
      </c>
      <c r="G10939" s="2" t="s">
        <v>11</v>
      </c>
    </row>
    <row r="10940" spans="1:8" x14ac:dyDescent="0.2">
      <c r="A10940" s="2" t="s">
        <v>3293</v>
      </c>
      <c r="B10940" s="2" t="s">
        <v>89</v>
      </c>
      <c r="C10940" s="2">
        <v>597.72310000000004</v>
      </c>
      <c r="D10940" s="2">
        <f>HYPERLINK("http://mcb-m6.bioreg.kyushu-u.ac.jp/M3/20110414/F50957/979/1", 44.46)</f>
        <v>44.46</v>
      </c>
      <c r="E10940" s="2">
        <v>26.83</v>
      </c>
      <c r="F10940" s="2">
        <v>2</v>
      </c>
      <c r="G10940" s="2" t="s">
        <v>11</v>
      </c>
    </row>
    <row r="10941" spans="1:8" x14ac:dyDescent="0.2">
      <c r="A10941" s="2" t="s">
        <v>3293</v>
      </c>
      <c r="B10941" s="2" t="s">
        <v>296</v>
      </c>
      <c r="C10941" s="2">
        <v>663.73569999999995</v>
      </c>
      <c r="D10941" s="2">
        <f>HYPERLINK("http://mcb-m6.bioreg.kyushu-u.ac.jp/M3/20110414/F50957/1362/1", 45.03)</f>
        <v>45.03</v>
      </c>
      <c r="E10941" s="2">
        <v>21.37</v>
      </c>
      <c r="F10941" s="2">
        <v>2</v>
      </c>
      <c r="G10941" s="2" t="s">
        <v>11</v>
      </c>
    </row>
    <row r="10942" spans="1:8" x14ac:dyDescent="0.2">
      <c r="A10942" s="2" t="s">
        <v>3293</v>
      </c>
      <c r="B10942" s="2" t="s">
        <v>1856</v>
      </c>
      <c r="C10942" s="2">
        <v>627.82460000000003</v>
      </c>
      <c r="D10942" s="2">
        <f>HYPERLINK("http://mcb-m6.bioreg.kyushu-u.ac.jp/M3/20110414/F50942/1325/1", 45.17)</f>
        <v>45.17</v>
      </c>
      <c r="E10942" s="2">
        <v>30.56</v>
      </c>
      <c r="F10942" s="2">
        <v>2</v>
      </c>
      <c r="G10942" s="2" t="s">
        <v>11</v>
      </c>
    </row>
    <row r="10943" spans="1:8" x14ac:dyDescent="0.2">
      <c r="A10943" s="2" t="s">
        <v>3293</v>
      </c>
      <c r="B10943" s="2" t="s">
        <v>1856</v>
      </c>
      <c r="C10943" s="2">
        <v>627.76319999999998</v>
      </c>
      <c r="D10943" s="2">
        <f>HYPERLINK("http://mcb-m6.bioreg.kyushu-u.ac.jp/M3/20110414/F50957/1139/1", 45.34)</f>
        <v>45.34</v>
      </c>
      <c r="E10943" s="2">
        <v>29.04</v>
      </c>
      <c r="F10943" s="2">
        <v>2</v>
      </c>
      <c r="G10943" s="2" t="s">
        <v>11</v>
      </c>
    </row>
    <row r="10944" spans="1:8" x14ac:dyDescent="0.2">
      <c r="A10944" s="2" t="s">
        <v>3293</v>
      </c>
      <c r="B10944" s="2" t="s">
        <v>1856</v>
      </c>
      <c r="C10944" s="2">
        <v>628.35170000000005</v>
      </c>
      <c r="D10944" s="2">
        <f>HYPERLINK("http://mcb-m6.bioreg.kyushu-u.ac.jp/M3/20110414/F50942/1329/1", 45.65)</f>
        <v>45.65</v>
      </c>
      <c r="E10944" s="2">
        <v>29.57</v>
      </c>
      <c r="F10944" s="2">
        <v>2</v>
      </c>
      <c r="G10944" s="2" t="s">
        <v>11</v>
      </c>
    </row>
    <row r="10945" spans="1:9" x14ac:dyDescent="0.2">
      <c r="A10945" s="2" t="s">
        <v>3293</v>
      </c>
      <c r="B10945" s="2" t="s">
        <v>73</v>
      </c>
      <c r="C10945" s="2">
        <v>606.17570000000001</v>
      </c>
      <c r="D10945" s="2">
        <f>HYPERLINK("http://mcb-m6.bioreg.kyushu-u.ac.jp/M3/20110414/F50957/1015/2", 47.59)</f>
        <v>47.59</v>
      </c>
      <c r="E10945" s="2">
        <v>30.37</v>
      </c>
      <c r="F10945" s="2">
        <v>2</v>
      </c>
      <c r="G10945" s="2" t="s">
        <v>11</v>
      </c>
      <c r="I10945" s="2" t="s">
        <v>4898</v>
      </c>
    </row>
    <row r="10946" spans="1:9" x14ac:dyDescent="0.2">
      <c r="A10946" s="2" t="s">
        <v>3293</v>
      </c>
      <c r="B10946" s="2" t="s">
        <v>1571</v>
      </c>
      <c r="C10946" s="2">
        <v>1021.968</v>
      </c>
      <c r="D10946" s="2">
        <f>HYPERLINK("http://mcb-m6.bioreg.kyushu-u.ac.jp/M3/20110414/F50956/3683/1", 48.78)</f>
        <v>48.78</v>
      </c>
      <c r="E10946" s="2">
        <v>39.26</v>
      </c>
      <c r="F10946" s="2">
        <v>2</v>
      </c>
      <c r="G10946" s="2" t="s">
        <v>11</v>
      </c>
      <c r="H10946" s="2" t="s">
        <v>4904</v>
      </c>
    </row>
    <row r="10947" spans="1:9" x14ac:dyDescent="0.2">
      <c r="A10947" s="2" t="s">
        <v>3293</v>
      </c>
      <c r="B10947" s="2" t="s">
        <v>945</v>
      </c>
      <c r="C10947" s="2">
        <v>685.94269999999995</v>
      </c>
      <c r="D10947" s="2">
        <f>HYPERLINK("http://mcb-m6.bioreg.kyushu-u.ac.jp/M3/20110414/F50944/1810/1", 50.04)</f>
        <v>50.04</v>
      </c>
      <c r="E10947" s="2">
        <v>28.86</v>
      </c>
      <c r="F10947" s="2">
        <v>2</v>
      </c>
      <c r="G10947" s="2" t="s">
        <v>11</v>
      </c>
    </row>
    <row r="10948" spans="1:9" x14ac:dyDescent="0.2">
      <c r="A10948" s="2" t="s">
        <v>3293</v>
      </c>
      <c r="B10948" s="2" t="s">
        <v>1856</v>
      </c>
      <c r="C10948" s="2">
        <v>627.72860000000003</v>
      </c>
      <c r="D10948" s="2">
        <f>HYPERLINK("http://mcb-m6.bioreg.kyushu-u.ac.jp/M3/20110414/F50956/1206/1", 51.49)</f>
        <v>51.49</v>
      </c>
      <c r="E10948" s="2">
        <v>37.880000000000003</v>
      </c>
      <c r="F10948" s="2">
        <v>2</v>
      </c>
      <c r="G10948" s="2" t="s">
        <v>11</v>
      </c>
    </row>
    <row r="10949" spans="1:9" x14ac:dyDescent="0.2">
      <c r="A10949" s="2" t="s">
        <v>3293</v>
      </c>
      <c r="B10949" s="2" t="s">
        <v>73</v>
      </c>
      <c r="C10949" s="2">
        <v>606.7577</v>
      </c>
      <c r="D10949" s="2">
        <f>HYPERLINK("http://mcb-m6.bioreg.kyushu-u.ac.jp/M3/20110414/F50942/1234/2", 51.84)</f>
        <v>51.84</v>
      </c>
      <c r="E10949" s="2">
        <v>32.950000000000003</v>
      </c>
      <c r="F10949" s="2">
        <v>2</v>
      </c>
      <c r="G10949" s="2" t="s">
        <v>11</v>
      </c>
      <c r="I10949" s="2" t="s">
        <v>4898</v>
      </c>
    </row>
    <row r="10950" spans="1:9" x14ac:dyDescent="0.2">
      <c r="A10950" s="2" t="s">
        <v>3293</v>
      </c>
      <c r="B10950" s="2" t="s">
        <v>945</v>
      </c>
      <c r="C10950" s="2">
        <v>1370.337</v>
      </c>
      <c r="D10950" s="2">
        <f>HYPERLINK("http://mcb-m6.bioreg.kyushu-u.ac.jp/M3/20110414/F50956/1539/1", 52)</f>
        <v>52</v>
      </c>
      <c r="E10950" s="2">
        <v>33</v>
      </c>
      <c r="F10950" s="2">
        <v>1</v>
      </c>
      <c r="G10950" s="2" t="s">
        <v>11</v>
      </c>
    </row>
    <row r="10951" spans="1:9" x14ac:dyDescent="0.2">
      <c r="A10951" s="2" t="s">
        <v>3293</v>
      </c>
      <c r="B10951" s="2" t="s">
        <v>451</v>
      </c>
      <c r="C10951" s="2">
        <v>710.09310000000005</v>
      </c>
      <c r="D10951" s="2">
        <f>HYPERLINK("http://mcb-m6.bioreg.kyushu-u.ac.jp/M3/20110414/F50928/2135/1", 52.24)</f>
        <v>52.24</v>
      </c>
      <c r="E10951" s="2">
        <v>27.55</v>
      </c>
      <c r="F10951" s="2">
        <v>2</v>
      </c>
      <c r="G10951" s="2" t="s">
        <v>11</v>
      </c>
      <c r="H10951" s="2" t="s">
        <v>4891</v>
      </c>
    </row>
    <row r="10952" spans="1:9" x14ac:dyDescent="0.2">
      <c r="A10952" s="2" t="s">
        <v>3293</v>
      </c>
      <c r="B10952" s="2" t="s">
        <v>837</v>
      </c>
      <c r="C10952" s="2">
        <v>742.3066</v>
      </c>
      <c r="D10952" s="2">
        <f>HYPERLINK("http://mcb-m6.bioreg.kyushu-u.ac.jp/M3/20110414/F50956/1940/1", 52.49)</f>
        <v>52.49</v>
      </c>
      <c r="E10952" s="2">
        <v>40.01</v>
      </c>
      <c r="F10952" s="2">
        <v>2</v>
      </c>
      <c r="G10952" s="2" t="s">
        <v>11</v>
      </c>
    </row>
    <row r="10953" spans="1:9" x14ac:dyDescent="0.2">
      <c r="A10953" s="2" t="s">
        <v>3293</v>
      </c>
      <c r="B10953" s="2" t="s">
        <v>377</v>
      </c>
      <c r="C10953" s="2">
        <v>700.1866</v>
      </c>
      <c r="D10953" s="2">
        <f>HYPERLINK("http://mcb-m6.bioreg.kyushu-u.ac.jp/M3/20110414/F50943/1630/1", 53.13)</f>
        <v>53.13</v>
      </c>
      <c r="E10953" s="2">
        <v>40.04</v>
      </c>
      <c r="F10953" s="2">
        <v>2</v>
      </c>
      <c r="G10953" s="2" t="s">
        <v>11</v>
      </c>
    </row>
    <row r="10954" spans="1:9" x14ac:dyDescent="0.2">
      <c r="A10954" s="2" t="s">
        <v>3293</v>
      </c>
      <c r="B10954" s="2" t="s">
        <v>837</v>
      </c>
      <c r="C10954" s="2">
        <v>742.27369999999996</v>
      </c>
      <c r="D10954" s="2">
        <f>HYPERLINK("http://mcb-m6.bioreg.kyushu-u.ac.jp/M3/20110414/F50957/1920/1", 53.26)</f>
        <v>53.26</v>
      </c>
      <c r="E10954" s="2">
        <v>39.06</v>
      </c>
      <c r="F10954" s="2">
        <v>2</v>
      </c>
      <c r="G10954" s="2" t="s">
        <v>11</v>
      </c>
    </row>
    <row r="10955" spans="1:9" x14ac:dyDescent="0.2">
      <c r="A10955" s="2" t="s">
        <v>3293</v>
      </c>
      <c r="B10955" s="2" t="s">
        <v>928</v>
      </c>
      <c r="C10955" s="2">
        <v>716.37710000000004</v>
      </c>
      <c r="D10955" s="2">
        <f>HYPERLINK("http://mcb-m6.bioreg.kyushu-u.ac.jp/M3/20110414/F50942/1743/1", 53.3)</f>
        <v>53.3</v>
      </c>
      <c r="E10955" s="2">
        <v>37.9</v>
      </c>
      <c r="F10955" s="2">
        <v>2</v>
      </c>
      <c r="G10955" s="2" t="s">
        <v>11</v>
      </c>
      <c r="I10955" s="2" t="s">
        <v>4932</v>
      </c>
    </row>
    <row r="10956" spans="1:9" x14ac:dyDescent="0.2">
      <c r="A10956" s="2" t="s">
        <v>3293</v>
      </c>
      <c r="B10956" s="2" t="s">
        <v>305</v>
      </c>
      <c r="C10956" s="2">
        <v>739.2482</v>
      </c>
      <c r="D10956" s="2">
        <f>HYPERLINK("http://mcb-m6.bioreg.kyushu-u.ac.jp/M3/20110414/F50962/1912/1", 53.67)</f>
        <v>53.67</v>
      </c>
      <c r="E10956" s="2">
        <v>39.340000000000003</v>
      </c>
      <c r="F10956" s="2">
        <v>2</v>
      </c>
      <c r="G10956" s="2" t="s">
        <v>11</v>
      </c>
    </row>
    <row r="10957" spans="1:9" x14ac:dyDescent="0.2">
      <c r="A10957" s="2" t="s">
        <v>3293</v>
      </c>
      <c r="B10957" s="2" t="s">
        <v>347</v>
      </c>
      <c r="C10957" s="2">
        <v>567.39070000000004</v>
      </c>
      <c r="D10957" s="2">
        <f>HYPERLINK("http://mcb-m6.bioreg.kyushu-u.ac.jp/M3/20110414/F50944/1460/1", 53.83)</f>
        <v>53.83</v>
      </c>
      <c r="E10957" s="2">
        <v>30.02</v>
      </c>
      <c r="F10957" s="2">
        <v>2</v>
      </c>
      <c r="G10957" s="2" t="s">
        <v>11</v>
      </c>
    </row>
    <row r="10958" spans="1:9" x14ac:dyDescent="0.2">
      <c r="A10958" s="2" t="s">
        <v>3293</v>
      </c>
      <c r="B10958" s="2" t="s">
        <v>296</v>
      </c>
      <c r="C10958" s="2">
        <v>663.78610000000003</v>
      </c>
      <c r="D10958" s="2">
        <f>HYPERLINK("http://mcb-m6.bioreg.kyushu-u.ac.jp/M3/20110414/F50942/1495/1", 54)</f>
        <v>54</v>
      </c>
      <c r="E10958" s="2">
        <v>30.17</v>
      </c>
      <c r="F10958" s="2">
        <v>2</v>
      </c>
      <c r="G10958" s="2" t="s">
        <v>11</v>
      </c>
    </row>
    <row r="10959" spans="1:9" x14ac:dyDescent="0.2">
      <c r="A10959" s="2" t="s">
        <v>3293</v>
      </c>
      <c r="B10959" s="2" t="s">
        <v>451</v>
      </c>
      <c r="C10959" s="2">
        <v>702.17020000000002</v>
      </c>
      <c r="D10959" s="2">
        <f>HYPERLINK("http://mcb-m6.bioreg.kyushu-u.ac.jp/M3/20110414/F50928/2094/1", 54.18)</f>
        <v>54.18</v>
      </c>
      <c r="E10959" s="2">
        <v>34.89</v>
      </c>
      <c r="F10959" s="2">
        <v>2</v>
      </c>
      <c r="G10959" s="2" t="s">
        <v>11</v>
      </c>
    </row>
    <row r="10960" spans="1:9" x14ac:dyDescent="0.2">
      <c r="A10960" s="2" t="s">
        <v>3293</v>
      </c>
      <c r="B10960" s="2" t="s">
        <v>296</v>
      </c>
      <c r="C10960" s="2">
        <v>664.16859999999997</v>
      </c>
      <c r="D10960" s="2">
        <f>HYPERLINK("http://mcb-m6.bioreg.kyushu-u.ac.jp/M3/20110414/F50927/1947/1", 54.45)</f>
        <v>54.45</v>
      </c>
      <c r="E10960" s="2">
        <v>23.57</v>
      </c>
      <c r="F10960" s="2">
        <v>2</v>
      </c>
      <c r="G10960" s="2" t="s">
        <v>11</v>
      </c>
    </row>
    <row r="10961" spans="1:9" x14ac:dyDescent="0.2">
      <c r="A10961" s="2" t="s">
        <v>3293</v>
      </c>
      <c r="B10961" s="2" t="s">
        <v>347</v>
      </c>
      <c r="C10961" s="2">
        <v>567.69669999999996</v>
      </c>
      <c r="D10961" s="2">
        <f>HYPERLINK("http://mcb-m6.bioreg.kyushu-u.ac.jp/M3/20110414/F50957/847/1", 55.09)</f>
        <v>55.09</v>
      </c>
      <c r="E10961" s="2">
        <v>28.38</v>
      </c>
      <c r="F10961" s="2">
        <v>2</v>
      </c>
      <c r="G10961" s="2" t="s">
        <v>11</v>
      </c>
    </row>
    <row r="10962" spans="1:9" x14ac:dyDescent="0.2">
      <c r="A10962" s="2" t="s">
        <v>3293</v>
      </c>
      <c r="B10962" s="2" t="s">
        <v>1277</v>
      </c>
      <c r="C10962" s="2">
        <v>711.34519999999998</v>
      </c>
      <c r="D10962" s="2">
        <f>HYPERLINK("http://mcb-m6.bioreg.kyushu-u.ac.jp/M3/20110414/F50957/1692/1", 55.74)</f>
        <v>55.74</v>
      </c>
      <c r="E10962" s="2">
        <v>35.92</v>
      </c>
      <c r="F10962" s="2">
        <v>2</v>
      </c>
      <c r="G10962" s="2" t="s">
        <v>11</v>
      </c>
    </row>
    <row r="10963" spans="1:9" x14ac:dyDescent="0.2">
      <c r="A10963" s="2" t="s">
        <v>3293</v>
      </c>
      <c r="B10963" s="2" t="s">
        <v>347</v>
      </c>
      <c r="C10963" s="2">
        <v>567.15009999999995</v>
      </c>
      <c r="D10963" s="2">
        <f>HYPERLINK("http://mcb-m6.bioreg.kyushu-u.ac.jp/M3/20110414/F50957/843/1", 55.79)</f>
        <v>55.79</v>
      </c>
      <c r="E10963" s="2">
        <v>32.43</v>
      </c>
      <c r="F10963" s="2">
        <v>2</v>
      </c>
      <c r="G10963" s="2" t="s">
        <v>11</v>
      </c>
    </row>
    <row r="10964" spans="1:9" x14ac:dyDescent="0.2">
      <c r="A10964" s="2" t="s">
        <v>3293</v>
      </c>
      <c r="B10964" s="2" t="s">
        <v>296</v>
      </c>
      <c r="C10964" s="2">
        <v>664.28269999999998</v>
      </c>
      <c r="D10964" s="2">
        <f>HYPERLINK("http://mcb-m6.bioreg.kyushu-u.ac.jp/M3/20110414/F50941/1625/1", 56.32)</f>
        <v>56.32</v>
      </c>
      <c r="E10964" s="2">
        <v>33.409999999999997</v>
      </c>
      <c r="F10964" s="2">
        <v>2</v>
      </c>
      <c r="G10964" s="2" t="s">
        <v>11</v>
      </c>
    </row>
    <row r="10965" spans="1:9" x14ac:dyDescent="0.2">
      <c r="A10965" s="2" t="s">
        <v>3293</v>
      </c>
      <c r="B10965" s="2" t="s">
        <v>377</v>
      </c>
      <c r="C10965" s="2">
        <v>700.12570000000005</v>
      </c>
      <c r="D10965" s="2">
        <f>HYPERLINK("http://mcb-m6.bioreg.kyushu-u.ac.jp/M3/20110414/F50956/1646/1", 56.75)</f>
        <v>56.75</v>
      </c>
      <c r="E10965" s="2">
        <v>30.73</v>
      </c>
      <c r="F10965" s="2">
        <v>2</v>
      </c>
      <c r="G10965" s="2" t="s">
        <v>11</v>
      </c>
    </row>
    <row r="10966" spans="1:9" x14ac:dyDescent="0.2">
      <c r="A10966" s="2" t="s">
        <v>3293</v>
      </c>
      <c r="B10966" s="2" t="s">
        <v>1277</v>
      </c>
      <c r="C10966" s="2">
        <v>711.50160000000005</v>
      </c>
      <c r="D10966" s="2">
        <f>HYPERLINK("http://mcb-m6.bioreg.kyushu-u.ac.jp/M3/20110414/F50956/1712/1", 56.84)</f>
        <v>56.84</v>
      </c>
      <c r="E10966" s="2">
        <v>41.94</v>
      </c>
      <c r="F10966" s="2">
        <v>2</v>
      </c>
      <c r="G10966" s="2" t="s">
        <v>11</v>
      </c>
    </row>
    <row r="10967" spans="1:9" x14ac:dyDescent="0.2">
      <c r="A10967" s="2" t="s">
        <v>3293</v>
      </c>
      <c r="B10967" s="2" t="s">
        <v>347</v>
      </c>
      <c r="C10967" s="2">
        <v>567.28920000000005</v>
      </c>
      <c r="D10967" s="2">
        <f>HYPERLINK("http://mcb-m6.bioreg.kyushu-u.ac.jp/M3/20110414/F50943/1119/1", 57.83)</f>
        <v>57.83</v>
      </c>
      <c r="E10967" s="2">
        <v>33.81</v>
      </c>
      <c r="F10967" s="2">
        <v>2</v>
      </c>
      <c r="G10967" s="2" t="s">
        <v>11</v>
      </c>
    </row>
    <row r="10968" spans="1:9" x14ac:dyDescent="0.2">
      <c r="A10968" s="2" t="s">
        <v>3293</v>
      </c>
      <c r="B10968" s="2" t="s">
        <v>600</v>
      </c>
      <c r="C10968" s="2">
        <v>778.84810000000004</v>
      </c>
      <c r="D10968" s="2">
        <f>HYPERLINK("http://mcb-m6.bioreg.kyushu-u.ac.jp/M3/20110414/F50957/2136/1", 58.32)</f>
        <v>58.32</v>
      </c>
      <c r="E10968" s="2">
        <v>40.42</v>
      </c>
      <c r="F10968" s="2">
        <v>2</v>
      </c>
      <c r="G10968" s="2" t="s">
        <v>11</v>
      </c>
    </row>
    <row r="10969" spans="1:9" x14ac:dyDescent="0.2">
      <c r="A10969" s="2" t="s">
        <v>3293</v>
      </c>
      <c r="B10969" s="2" t="s">
        <v>296</v>
      </c>
      <c r="C10969" s="2">
        <v>664.20370000000003</v>
      </c>
      <c r="D10969" s="2">
        <f>HYPERLINK("http://mcb-m6.bioreg.kyushu-u.ac.jp/M3/20110414/F50956/1401/1", 58.65)</f>
        <v>58.65</v>
      </c>
      <c r="E10969" s="2">
        <v>35.21</v>
      </c>
      <c r="F10969" s="2">
        <v>2</v>
      </c>
      <c r="G10969" s="2" t="s">
        <v>11</v>
      </c>
    </row>
    <row r="10970" spans="1:9" x14ac:dyDescent="0.2">
      <c r="A10970" s="2" t="s">
        <v>3293</v>
      </c>
      <c r="B10970" s="2" t="s">
        <v>347</v>
      </c>
      <c r="C10970" s="2">
        <v>567.59860000000003</v>
      </c>
      <c r="D10970" s="2">
        <f>HYPERLINK("http://mcb-m6.bioreg.kyushu-u.ac.jp/M3/20110414/F50956/915/1", 60.17)</f>
        <v>60.17</v>
      </c>
      <c r="E10970" s="2">
        <v>37.14</v>
      </c>
      <c r="F10970" s="2">
        <v>2</v>
      </c>
      <c r="G10970" s="2" t="s">
        <v>11</v>
      </c>
    </row>
    <row r="10971" spans="1:9" x14ac:dyDescent="0.2">
      <c r="A10971" s="2" t="s">
        <v>3293</v>
      </c>
      <c r="B10971" s="2" t="s">
        <v>217</v>
      </c>
      <c r="C10971" s="2">
        <v>564.17110000000002</v>
      </c>
      <c r="D10971" s="2">
        <f>HYPERLINK("http://mcb-m6.bioreg.kyushu-u.ac.jp/M3/20110414/F50928/1483/1", 60.4)</f>
        <v>60.4</v>
      </c>
      <c r="E10971" s="2">
        <v>39.799999999999997</v>
      </c>
      <c r="F10971" s="2">
        <v>2</v>
      </c>
      <c r="G10971" s="2" t="s">
        <v>11</v>
      </c>
    </row>
    <row r="10972" spans="1:9" x14ac:dyDescent="0.2">
      <c r="A10972" s="2" t="s">
        <v>3293</v>
      </c>
      <c r="B10972" s="2" t="s">
        <v>1277</v>
      </c>
      <c r="C10972" s="2">
        <v>711.87819999999999</v>
      </c>
      <c r="D10972" s="2">
        <f>HYPERLINK("http://mcb-m6.bioreg.kyushu-u.ac.jp/M3/20110414/F50944/1935/1", 60.7)</f>
        <v>60.7</v>
      </c>
      <c r="E10972" s="2">
        <v>38.69</v>
      </c>
      <c r="F10972" s="2">
        <v>2</v>
      </c>
      <c r="G10972" s="2" t="s">
        <v>11</v>
      </c>
    </row>
    <row r="10973" spans="1:9" x14ac:dyDescent="0.2">
      <c r="A10973" s="2" t="s">
        <v>3293</v>
      </c>
      <c r="B10973" s="2" t="s">
        <v>377</v>
      </c>
      <c r="C10973" s="2">
        <v>700.20510000000002</v>
      </c>
      <c r="D10973" s="2">
        <f>HYPERLINK("http://mcb-m6.bioreg.kyushu-u.ac.jp/M3/20110414/F50957/1614/1", 60.91)</f>
        <v>60.91</v>
      </c>
      <c r="E10973" s="2">
        <v>37.119999999999997</v>
      </c>
      <c r="F10973" s="2">
        <v>2</v>
      </c>
      <c r="G10973" s="2" t="s">
        <v>11</v>
      </c>
    </row>
    <row r="10974" spans="1:9" x14ac:dyDescent="0.2">
      <c r="A10974" s="2" t="s">
        <v>3293</v>
      </c>
      <c r="B10974" s="2" t="s">
        <v>837</v>
      </c>
      <c r="C10974" s="2">
        <v>741.78859999999997</v>
      </c>
      <c r="D10974" s="2">
        <f>HYPERLINK("http://mcb-m6.bioreg.kyushu-u.ac.jp/M3/20110414/F50956/1932/1", 62.29)</f>
        <v>62.29</v>
      </c>
      <c r="E10974" s="2">
        <v>46.5</v>
      </c>
      <c r="F10974" s="2">
        <v>2</v>
      </c>
      <c r="G10974" s="2" t="s">
        <v>11</v>
      </c>
    </row>
    <row r="10975" spans="1:9" x14ac:dyDescent="0.2">
      <c r="A10975" s="2" t="s">
        <v>3293</v>
      </c>
      <c r="B10975" s="2" t="s">
        <v>73</v>
      </c>
      <c r="C10975" s="2">
        <v>606.14760000000001</v>
      </c>
      <c r="D10975" s="2">
        <f>HYPERLINK("http://mcb-m6.bioreg.kyushu-u.ac.jp/M3/20110414/F50956/1089/2", 62.41)</f>
        <v>62.41</v>
      </c>
      <c r="E10975" s="2">
        <v>43.37</v>
      </c>
      <c r="F10975" s="2">
        <v>2</v>
      </c>
      <c r="G10975" s="2" t="s">
        <v>11</v>
      </c>
      <c r="I10975" s="2" t="s">
        <v>4898</v>
      </c>
    </row>
    <row r="10976" spans="1:9" x14ac:dyDescent="0.2">
      <c r="A10976" s="2" t="s">
        <v>3293</v>
      </c>
      <c r="B10976" s="2" t="s">
        <v>451</v>
      </c>
      <c r="C10976" s="2">
        <v>709.48069999999996</v>
      </c>
      <c r="D10976" s="2">
        <f>HYPERLINK("http://mcb-m6.bioreg.kyushu-u.ac.jp/M3/20110414/F50928/2129/1", 63.73)</f>
        <v>63.73</v>
      </c>
      <c r="E10976" s="2">
        <v>40.18</v>
      </c>
      <c r="F10976" s="2">
        <v>2</v>
      </c>
      <c r="G10976" s="2" t="s">
        <v>11</v>
      </c>
      <c r="H10976" s="2" t="s">
        <v>4891</v>
      </c>
    </row>
    <row r="10977" spans="1:8" x14ac:dyDescent="0.2">
      <c r="A10977" s="2" t="s">
        <v>3293</v>
      </c>
      <c r="B10977" s="2" t="s">
        <v>600</v>
      </c>
      <c r="C10977" s="2">
        <v>778.33759999999995</v>
      </c>
      <c r="D10977" s="2">
        <f>HYPERLINK("http://mcb-m6.bioreg.kyushu-u.ac.jp/M3/20110414/F50956/2214/1", 63.91)</f>
        <v>63.91</v>
      </c>
      <c r="E10977" s="2">
        <v>50.5</v>
      </c>
      <c r="F10977" s="2">
        <v>2</v>
      </c>
      <c r="G10977" s="2" t="s">
        <v>11</v>
      </c>
    </row>
    <row r="10978" spans="1:8" x14ac:dyDescent="0.2">
      <c r="A10978" s="2" t="s">
        <v>3293</v>
      </c>
      <c r="B10978" s="2" t="s">
        <v>377</v>
      </c>
      <c r="C10978" s="2">
        <v>700.26869999999997</v>
      </c>
      <c r="D10978" s="2">
        <f>HYPERLINK("http://mcb-m6.bioreg.kyushu-u.ac.jp/M3/20110414/F50944/1877/1", 64.15)</f>
        <v>64.150000000000006</v>
      </c>
      <c r="E10978" s="2">
        <v>47.62</v>
      </c>
      <c r="F10978" s="2">
        <v>2</v>
      </c>
      <c r="G10978" s="2" t="s">
        <v>11</v>
      </c>
    </row>
    <row r="10979" spans="1:8" x14ac:dyDescent="0.2">
      <c r="A10979" s="2" t="s">
        <v>3293</v>
      </c>
      <c r="B10979" s="2" t="s">
        <v>377</v>
      </c>
      <c r="C10979" s="2">
        <v>700.06020000000001</v>
      </c>
      <c r="D10979" s="2">
        <f>HYPERLINK("http://mcb-m6.bioreg.kyushu-u.ac.jp/M3/20110414/F50928/2075/1", 64.25)</f>
        <v>64.25</v>
      </c>
      <c r="E10979" s="2">
        <v>46.91</v>
      </c>
      <c r="F10979" s="2">
        <v>2</v>
      </c>
      <c r="G10979" s="2" t="s">
        <v>11</v>
      </c>
    </row>
    <row r="10980" spans="1:8" x14ac:dyDescent="0.2">
      <c r="A10980" s="2" t="s">
        <v>3293</v>
      </c>
      <c r="B10980" s="2" t="s">
        <v>377</v>
      </c>
      <c r="C10980" s="2">
        <v>700.5847</v>
      </c>
      <c r="D10980" s="2">
        <f>HYPERLINK("http://mcb-m6.bioreg.kyushu-u.ac.jp/M3/20110414/F50928/2081/1", 64.33)</f>
        <v>64.33</v>
      </c>
      <c r="E10980" s="2">
        <v>44.03</v>
      </c>
      <c r="F10980" s="2">
        <v>2</v>
      </c>
      <c r="G10980" s="2" t="s">
        <v>11</v>
      </c>
    </row>
    <row r="10981" spans="1:8" x14ac:dyDescent="0.2">
      <c r="A10981" s="2" t="s">
        <v>3293</v>
      </c>
      <c r="B10981" s="2" t="s">
        <v>451</v>
      </c>
      <c r="C10981" s="2">
        <v>702.38760000000002</v>
      </c>
      <c r="D10981" s="2">
        <f>HYPERLINK("http://mcb-m6.bioreg.kyushu-u.ac.jp/M3/20110414/F50944/1883/1", 64.59)</f>
        <v>64.59</v>
      </c>
      <c r="E10981" s="2">
        <v>43.01</v>
      </c>
      <c r="F10981" s="2">
        <v>2</v>
      </c>
      <c r="G10981" s="2" t="s">
        <v>11</v>
      </c>
    </row>
    <row r="10982" spans="1:8" x14ac:dyDescent="0.2">
      <c r="A10982" s="2" t="s">
        <v>3293</v>
      </c>
      <c r="B10982" s="2" t="s">
        <v>296</v>
      </c>
      <c r="C10982" s="2">
        <v>664.04110000000003</v>
      </c>
      <c r="D10982" s="2">
        <f>HYPERLINK("http://mcb-m6.bioreg.kyushu-u.ac.jp/M3/20110414/F50928/1884/1", 65.09)</f>
        <v>65.09</v>
      </c>
      <c r="E10982" s="2">
        <v>35.85</v>
      </c>
      <c r="F10982" s="2">
        <v>2</v>
      </c>
      <c r="G10982" s="2" t="s">
        <v>11</v>
      </c>
    </row>
    <row r="10983" spans="1:8" x14ac:dyDescent="0.2">
      <c r="A10983" s="2" t="s">
        <v>3293</v>
      </c>
      <c r="B10983" s="2" t="s">
        <v>1571</v>
      </c>
      <c r="C10983" s="2">
        <v>1030.7439999999999</v>
      </c>
      <c r="D10983" s="2">
        <f>HYPERLINK("http://mcb-m6.bioreg.kyushu-u.ac.jp/M3/20110414/F50956/3717/1", 71.34)</f>
        <v>71.34</v>
      </c>
      <c r="E10983" s="2">
        <v>59.16</v>
      </c>
      <c r="F10983" s="2">
        <v>2</v>
      </c>
      <c r="G10983" s="2" t="s">
        <v>11</v>
      </c>
    </row>
    <row r="10984" spans="1:8" x14ac:dyDescent="0.2">
      <c r="A10984" s="2" t="s">
        <v>3293</v>
      </c>
      <c r="B10984" s="2" t="s">
        <v>2467</v>
      </c>
      <c r="C10984" s="2">
        <v>662.2731</v>
      </c>
      <c r="D10984" s="2">
        <f>HYPERLINK("http://mcb-m6.bioreg.kyushu-u.ac.jp/M3/20110414/F50943/1461/1", 73.46)</f>
        <v>73.459999999999994</v>
      </c>
      <c r="E10984" s="2">
        <v>55.45</v>
      </c>
      <c r="F10984" s="2">
        <v>2</v>
      </c>
      <c r="G10984" s="2" t="s">
        <v>11</v>
      </c>
    </row>
    <row r="10985" spans="1:8" x14ac:dyDescent="0.2">
      <c r="A10985" s="2" t="s">
        <v>3293</v>
      </c>
      <c r="B10985" s="2" t="s">
        <v>296</v>
      </c>
      <c r="C10985" s="2">
        <v>663.66560000000004</v>
      </c>
      <c r="D10985" s="2">
        <f>HYPERLINK("http://mcb-m6.bioreg.kyushu-u.ac.jp/M3/20110414/F50956/1399/1", 74.06)</f>
        <v>74.06</v>
      </c>
      <c r="E10985" s="2">
        <v>41.53</v>
      </c>
      <c r="F10985" s="2">
        <v>2</v>
      </c>
      <c r="G10985" s="2" t="s">
        <v>11</v>
      </c>
    </row>
    <row r="10986" spans="1:8" x14ac:dyDescent="0.2">
      <c r="A10986" s="2" t="s">
        <v>3293</v>
      </c>
      <c r="B10986" s="2" t="s">
        <v>89</v>
      </c>
      <c r="C10986" s="2">
        <v>597.63670000000002</v>
      </c>
      <c r="D10986" s="2">
        <f>HYPERLINK("http://mcb-m6.bioreg.kyushu-u.ac.jp/M3/20110414/F50956/1042/1", 78.32)</f>
        <v>78.319999999999993</v>
      </c>
      <c r="E10986" s="2">
        <v>51.68</v>
      </c>
      <c r="F10986" s="2">
        <v>2</v>
      </c>
      <c r="G10986" s="2" t="s">
        <v>11</v>
      </c>
    </row>
    <row r="10987" spans="1:8" x14ac:dyDescent="0.2">
      <c r="A10987" s="2" t="s">
        <v>3293</v>
      </c>
      <c r="B10987" s="2" t="s">
        <v>945</v>
      </c>
      <c r="C10987" s="2">
        <v>685.80219999999997</v>
      </c>
      <c r="D10987" s="2">
        <f>HYPERLINK("http://mcb-m6.bioreg.kyushu-u.ac.jp/M3/20110414/F50957/1509/1", 79.85)</f>
        <v>79.849999999999994</v>
      </c>
      <c r="E10987" s="2">
        <v>50.29</v>
      </c>
      <c r="F10987" s="2">
        <v>2</v>
      </c>
      <c r="G10987" s="2" t="s">
        <v>11</v>
      </c>
    </row>
    <row r="10988" spans="1:8" x14ac:dyDescent="0.2">
      <c r="A10988" s="2" t="s">
        <v>3293</v>
      </c>
      <c r="B10988" s="2" t="s">
        <v>451</v>
      </c>
      <c r="C10988" s="2">
        <v>701.64919999999995</v>
      </c>
      <c r="D10988" s="2">
        <f>HYPERLINK("http://mcb-m6.bioreg.kyushu-u.ac.jp/M3/20110414/F50956/1658/1", 85.52)</f>
        <v>85.52</v>
      </c>
      <c r="E10988" s="2">
        <v>63.13</v>
      </c>
      <c r="F10988" s="2">
        <v>2</v>
      </c>
      <c r="G10988" s="2" t="s">
        <v>11</v>
      </c>
    </row>
    <row r="10989" spans="1:8" x14ac:dyDescent="0.2">
      <c r="A10989" s="2" t="s">
        <v>3293</v>
      </c>
      <c r="B10989" s="2" t="s">
        <v>1079</v>
      </c>
      <c r="C10989" s="2">
        <v>993.68910000000005</v>
      </c>
      <c r="D10989" s="2">
        <f>HYPERLINK("http://mcb-m6.bioreg.kyushu-u.ac.jp/M3/20110414/F50956/4951/1", 87.07)</f>
        <v>87.07</v>
      </c>
      <c r="E10989" s="2">
        <v>72</v>
      </c>
      <c r="F10989" s="2">
        <v>3</v>
      </c>
      <c r="G10989" s="2" t="s">
        <v>11</v>
      </c>
    </row>
    <row r="10990" spans="1:8" x14ac:dyDescent="0.2">
      <c r="A10990" s="2" t="s">
        <v>3293</v>
      </c>
      <c r="B10990" s="2" t="s">
        <v>1571</v>
      </c>
      <c r="C10990" s="2">
        <v>1038.318</v>
      </c>
      <c r="D10990" s="2">
        <f>HYPERLINK("http://mcb-m6.bioreg.kyushu-u.ac.jp/M3/20110414/F50956/3744/1", 87.12)</f>
        <v>87.12</v>
      </c>
      <c r="E10990" s="2">
        <v>70.88</v>
      </c>
      <c r="F10990" s="2">
        <v>2</v>
      </c>
      <c r="G10990" s="2" t="s">
        <v>11</v>
      </c>
      <c r="H10990" s="2" t="s">
        <v>4907</v>
      </c>
    </row>
    <row r="10991" spans="1:8" x14ac:dyDescent="0.2">
      <c r="A10991" s="2" t="s">
        <v>3293</v>
      </c>
      <c r="B10991" s="2" t="s">
        <v>945</v>
      </c>
      <c r="C10991" s="2">
        <v>685.71969999999999</v>
      </c>
      <c r="D10991" s="2">
        <f>HYPERLINK("http://mcb-m6.bioreg.kyushu-u.ac.jp/M3/20110414/F50956/1540/1", 89.6)</f>
        <v>89.6</v>
      </c>
      <c r="E10991" s="2">
        <v>63.49</v>
      </c>
      <c r="F10991" s="2">
        <v>2</v>
      </c>
      <c r="G10991" s="2" t="s">
        <v>11</v>
      </c>
    </row>
    <row r="10992" spans="1:8" x14ac:dyDescent="0.2">
      <c r="A10992" s="2" t="s">
        <v>3293</v>
      </c>
      <c r="B10992" s="2" t="s">
        <v>1571</v>
      </c>
      <c r="C10992" s="2">
        <v>1030.348</v>
      </c>
      <c r="D10992" s="2">
        <f>HYPERLINK("http://mcb-m6.bioreg.kyushu-u.ac.jp/M3/20110414/F50957/3648/1", 90.36)</f>
        <v>90.36</v>
      </c>
      <c r="E10992" s="2">
        <v>76.81</v>
      </c>
      <c r="F10992" s="2">
        <v>2</v>
      </c>
      <c r="G10992" s="2" t="s">
        <v>11</v>
      </c>
    </row>
    <row r="10993" spans="1:9" x14ac:dyDescent="0.2">
      <c r="A10993" s="2" t="s">
        <v>3293</v>
      </c>
      <c r="B10993" s="2" t="s">
        <v>945</v>
      </c>
      <c r="C10993" s="2">
        <v>685.85609999999997</v>
      </c>
      <c r="D10993" s="2">
        <f>HYPERLINK("http://mcb-m6.bioreg.kyushu-u.ac.jp/M3/20110414/F50941/1750/1", 96.62)</f>
        <v>96.62</v>
      </c>
      <c r="E10993" s="2">
        <v>73.22</v>
      </c>
      <c r="F10993" s="2">
        <v>2</v>
      </c>
      <c r="G10993" s="2" t="s">
        <v>11</v>
      </c>
    </row>
    <row r="10994" spans="1:9" x14ac:dyDescent="0.2">
      <c r="A10994" s="2" t="s">
        <v>3293</v>
      </c>
      <c r="B10994" s="2" t="s">
        <v>2513</v>
      </c>
      <c r="C10994" s="2">
        <v>1067.145</v>
      </c>
      <c r="D10994" s="2">
        <f>HYPERLINK("http://mcb-m6.bioreg.kyushu-u.ac.jp/M3/20110414/F50956/3828/1", 110.98)</f>
        <v>110.98</v>
      </c>
      <c r="E10994" s="2">
        <v>96.56</v>
      </c>
      <c r="F10994" s="2">
        <v>2</v>
      </c>
      <c r="G10994" s="2" t="s">
        <v>11</v>
      </c>
    </row>
    <row r="10995" spans="1:9" x14ac:dyDescent="0.2">
      <c r="A10995" s="2" t="s">
        <v>3293</v>
      </c>
      <c r="B10995" s="2" t="s">
        <v>2537</v>
      </c>
      <c r="C10995" s="2">
        <v>563.44669999999996</v>
      </c>
      <c r="D10995" s="2">
        <f>HYPERLINK("http://mcb-m6.bioreg.kyushu-u.ac.jp/M3/20110414/F50950/1131/1", 36.49)</f>
        <v>36.49</v>
      </c>
      <c r="E10995" s="2">
        <v>9.64</v>
      </c>
      <c r="F10995" s="2">
        <v>2</v>
      </c>
      <c r="G10995" s="2" t="s">
        <v>12</v>
      </c>
    </row>
    <row r="10996" spans="1:9" x14ac:dyDescent="0.2">
      <c r="A10996" s="2" t="s">
        <v>3293</v>
      </c>
      <c r="B10996" s="2" t="s">
        <v>451</v>
      </c>
      <c r="C10996" s="2">
        <v>709.96010000000001</v>
      </c>
      <c r="D10996" s="2">
        <f>HYPERLINK("http://mcb-m6.bioreg.kyushu-u.ac.jp/M3/20110414/F50959/1646/1", 38.12)</f>
        <v>38.119999999999997</v>
      </c>
      <c r="E10996" s="2">
        <v>19.510000000000002</v>
      </c>
      <c r="F10996" s="2">
        <v>2</v>
      </c>
      <c r="G10996" s="2" t="s">
        <v>12</v>
      </c>
      <c r="H10996" s="2" t="s">
        <v>4891</v>
      </c>
    </row>
    <row r="10997" spans="1:9" x14ac:dyDescent="0.2">
      <c r="A10997" s="2" t="s">
        <v>3293</v>
      </c>
      <c r="B10997" s="2" t="s">
        <v>217</v>
      </c>
      <c r="C10997" s="2">
        <v>564.25120000000004</v>
      </c>
      <c r="D10997" s="2">
        <f>HYPERLINK("http://mcb-m6.bioreg.kyushu-u.ac.jp/M3/20110414/F50959/779/1", 39.29)</f>
        <v>39.29</v>
      </c>
      <c r="E10997" s="2">
        <v>25.3</v>
      </c>
      <c r="F10997" s="2">
        <v>2</v>
      </c>
      <c r="G10997" s="2" t="s">
        <v>12</v>
      </c>
    </row>
    <row r="10998" spans="1:9" x14ac:dyDescent="0.2">
      <c r="A10998" s="2" t="s">
        <v>3293</v>
      </c>
      <c r="B10998" s="2" t="s">
        <v>73</v>
      </c>
      <c r="C10998" s="2">
        <v>606.23220000000003</v>
      </c>
      <c r="D10998" s="2">
        <f>HYPERLINK("http://mcb-m6.bioreg.kyushu-u.ac.jp/M3/20110414/F50959/995/2", 39.94)</f>
        <v>39.94</v>
      </c>
      <c r="E10998" s="2">
        <v>24.21</v>
      </c>
      <c r="F10998" s="2">
        <v>2</v>
      </c>
      <c r="G10998" s="2" t="s">
        <v>12</v>
      </c>
      <c r="I10998" s="2" t="s">
        <v>4898</v>
      </c>
    </row>
    <row r="10999" spans="1:9" x14ac:dyDescent="0.2">
      <c r="A10999" s="2" t="s">
        <v>3293</v>
      </c>
      <c r="B10999" s="2" t="s">
        <v>377</v>
      </c>
      <c r="C10999" s="2">
        <v>700.22059999999999</v>
      </c>
      <c r="D10999" s="2">
        <f>HYPERLINK("http://mcb-m6.bioreg.kyushu-u.ac.jp/M3/20110414/F50933/2196/1", 40.94)</f>
        <v>40.94</v>
      </c>
      <c r="E10999" s="2">
        <v>29.82</v>
      </c>
      <c r="F10999" s="2">
        <v>2</v>
      </c>
      <c r="G10999" s="2" t="s">
        <v>12</v>
      </c>
    </row>
    <row r="11000" spans="1:9" x14ac:dyDescent="0.2">
      <c r="A11000" s="2" t="s">
        <v>3293</v>
      </c>
      <c r="B11000" s="2" t="s">
        <v>1856</v>
      </c>
      <c r="C11000" s="2">
        <v>628.38369999999998</v>
      </c>
      <c r="D11000" s="2">
        <f>HYPERLINK("http://mcb-m6.bioreg.kyushu-u.ac.jp/M3/20110414/F50959/1140/1", 41.88)</f>
        <v>41.88</v>
      </c>
      <c r="E11000" s="2">
        <v>22.08</v>
      </c>
      <c r="F11000" s="2">
        <v>2</v>
      </c>
      <c r="G11000" s="2" t="s">
        <v>12</v>
      </c>
    </row>
    <row r="11001" spans="1:9" x14ac:dyDescent="0.2">
      <c r="A11001" s="2" t="s">
        <v>3293</v>
      </c>
      <c r="B11001" s="2" t="s">
        <v>600</v>
      </c>
      <c r="C11001" s="2">
        <v>778.87019999999995</v>
      </c>
      <c r="D11001" s="2">
        <f>HYPERLINK("http://mcb-m6.bioreg.kyushu-u.ac.jp/M3/20110414/F50959/2136/1", 43.56)</f>
        <v>43.56</v>
      </c>
      <c r="E11001" s="2">
        <v>22.45</v>
      </c>
      <c r="F11001" s="2">
        <v>2</v>
      </c>
      <c r="G11001" s="2" t="s">
        <v>12</v>
      </c>
    </row>
    <row r="11002" spans="1:9" x14ac:dyDescent="0.2">
      <c r="A11002" s="2" t="s">
        <v>3293</v>
      </c>
      <c r="B11002" s="2" t="s">
        <v>2628</v>
      </c>
      <c r="C11002" s="2">
        <v>451.3116</v>
      </c>
      <c r="D11002" s="2">
        <f>HYPERLINK("http://mcb-m6.bioreg.kyushu-u.ac.jp/M3/20110414/F50959/367/1", 43.99)</f>
        <v>43.99</v>
      </c>
      <c r="E11002" s="2">
        <v>9.32</v>
      </c>
      <c r="F11002" s="2">
        <v>2</v>
      </c>
      <c r="G11002" s="2" t="s">
        <v>12</v>
      </c>
    </row>
    <row r="11003" spans="1:9" x14ac:dyDescent="0.2">
      <c r="A11003" s="2" t="s">
        <v>3293</v>
      </c>
      <c r="B11003" s="2" t="s">
        <v>451</v>
      </c>
      <c r="C11003" s="2">
        <v>709.67909999999995</v>
      </c>
      <c r="D11003" s="2">
        <f>HYPERLINK("http://mcb-m6.bioreg.kyushu-u.ac.jp/M3/20110414/F50958/1768/1", 45.38)</f>
        <v>45.38</v>
      </c>
      <c r="E11003" s="2">
        <v>26.04</v>
      </c>
      <c r="F11003" s="2">
        <v>2</v>
      </c>
      <c r="G11003" s="2" t="s">
        <v>12</v>
      </c>
      <c r="H11003" s="2" t="s">
        <v>4891</v>
      </c>
    </row>
    <row r="11004" spans="1:9" x14ac:dyDescent="0.2">
      <c r="A11004" s="2" t="s">
        <v>3293</v>
      </c>
      <c r="B11004" s="2" t="s">
        <v>451</v>
      </c>
      <c r="C11004" s="2">
        <v>709.47770000000003</v>
      </c>
      <c r="D11004" s="2">
        <f>HYPERLINK("http://mcb-m6.bioreg.kyushu-u.ac.jp/M3/20110414/F50950/1957/1", 45.47)</f>
        <v>45.47</v>
      </c>
      <c r="E11004" s="2">
        <v>23.63</v>
      </c>
      <c r="F11004" s="2">
        <v>2</v>
      </c>
      <c r="G11004" s="2" t="s">
        <v>12</v>
      </c>
      <c r="H11004" s="2" t="s">
        <v>4891</v>
      </c>
    </row>
    <row r="11005" spans="1:9" x14ac:dyDescent="0.2">
      <c r="A11005" s="2" t="s">
        <v>3293</v>
      </c>
      <c r="B11005" s="2" t="s">
        <v>305</v>
      </c>
      <c r="C11005" s="2">
        <v>739.23069999999996</v>
      </c>
      <c r="D11005" s="2">
        <f>HYPERLINK("http://mcb-m6.bioreg.kyushu-u.ac.jp/M3/20110414/F50958/1965/1", 45.54)</f>
        <v>45.54</v>
      </c>
      <c r="E11005" s="2">
        <v>24.32</v>
      </c>
      <c r="F11005" s="2">
        <v>2</v>
      </c>
      <c r="G11005" s="2" t="s">
        <v>12</v>
      </c>
    </row>
    <row r="11006" spans="1:9" x14ac:dyDescent="0.2">
      <c r="A11006" s="2" t="s">
        <v>3293</v>
      </c>
      <c r="B11006" s="2" t="s">
        <v>945</v>
      </c>
      <c r="C11006" s="2">
        <v>685.53920000000005</v>
      </c>
      <c r="D11006" s="2">
        <f>HYPERLINK("http://mcb-m6.bioreg.kyushu-u.ac.jp/M3/20110414/F50950/1794/1", 45.83)</f>
        <v>45.83</v>
      </c>
      <c r="E11006" s="2">
        <v>22.34</v>
      </c>
      <c r="F11006" s="2">
        <v>2</v>
      </c>
      <c r="G11006" s="2" t="s">
        <v>12</v>
      </c>
    </row>
    <row r="11007" spans="1:9" x14ac:dyDescent="0.2">
      <c r="A11007" s="2" t="s">
        <v>3293</v>
      </c>
      <c r="B11007" s="2" t="s">
        <v>1856</v>
      </c>
      <c r="C11007" s="2">
        <v>627.85720000000003</v>
      </c>
      <c r="D11007" s="2">
        <f>HYPERLINK("http://mcb-m6.bioreg.kyushu-u.ac.jp/M3/20110414/F50959/1135/1", 45.99)</f>
        <v>45.99</v>
      </c>
      <c r="E11007" s="2">
        <v>28.97</v>
      </c>
      <c r="F11007" s="2">
        <v>2</v>
      </c>
      <c r="G11007" s="2" t="s">
        <v>12</v>
      </c>
    </row>
    <row r="11008" spans="1:9" x14ac:dyDescent="0.2">
      <c r="A11008" s="2" t="s">
        <v>3293</v>
      </c>
      <c r="B11008" s="2" t="s">
        <v>347</v>
      </c>
      <c r="C11008" s="2">
        <v>566.98659999999995</v>
      </c>
      <c r="D11008" s="2">
        <f>HYPERLINK("http://mcb-m6.bioreg.kyushu-u.ac.jp/M3/20110414/F50950/1147/1", 47.16)</f>
        <v>47.16</v>
      </c>
      <c r="E11008" s="2">
        <v>27.27</v>
      </c>
      <c r="F11008" s="2">
        <v>2</v>
      </c>
      <c r="G11008" s="2" t="s">
        <v>12</v>
      </c>
    </row>
    <row r="11009" spans="1:8" x14ac:dyDescent="0.2">
      <c r="A11009" s="2" t="s">
        <v>3293</v>
      </c>
      <c r="B11009" s="2" t="s">
        <v>89</v>
      </c>
      <c r="C11009" s="2">
        <v>1194.5319999999999</v>
      </c>
      <c r="D11009" s="2">
        <f>HYPERLINK("http://mcb-m6.bioreg.kyushu-u.ac.jp/M3/20110414/F50958/1115/1", 48.87)</f>
        <v>48.87</v>
      </c>
      <c r="E11009" s="2">
        <v>35.24</v>
      </c>
      <c r="F11009" s="2">
        <v>1</v>
      </c>
      <c r="G11009" s="2" t="s">
        <v>12</v>
      </c>
    </row>
    <row r="11010" spans="1:8" x14ac:dyDescent="0.2">
      <c r="A11010" s="2" t="s">
        <v>3293</v>
      </c>
      <c r="B11010" s="2" t="s">
        <v>377</v>
      </c>
      <c r="C11010" s="2">
        <v>700.26170000000002</v>
      </c>
      <c r="D11010" s="2">
        <f>HYPERLINK("http://mcb-m6.bioreg.kyushu-u.ac.jp/M3/20110414/F50948/1815/1", 49.12)</f>
        <v>49.12</v>
      </c>
      <c r="E11010" s="2">
        <v>20.079999999999998</v>
      </c>
      <c r="F11010" s="2">
        <v>2</v>
      </c>
      <c r="G11010" s="2" t="s">
        <v>12</v>
      </c>
    </row>
    <row r="11011" spans="1:8" x14ac:dyDescent="0.2">
      <c r="A11011" s="2" t="s">
        <v>3293</v>
      </c>
      <c r="B11011" s="2" t="s">
        <v>837</v>
      </c>
      <c r="C11011" s="2">
        <v>742.38210000000004</v>
      </c>
      <c r="D11011" s="2">
        <f>HYPERLINK("http://mcb-m6.bioreg.kyushu-u.ac.jp/M3/20110414/F50959/1892/1", 49.35)</f>
        <v>49.35</v>
      </c>
      <c r="E11011" s="2">
        <v>35.03</v>
      </c>
      <c r="F11011" s="2">
        <v>2</v>
      </c>
      <c r="G11011" s="2" t="s">
        <v>12</v>
      </c>
    </row>
    <row r="11012" spans="1:8" x14ac:dyDescent="0.2">
      <c r="A11012" s="2" t="s">
        <v>3293</v>
      </c>
      <c r="B11012" s="2" t="s">
        <v>296</v>
      </c>
      <c r="C11012" s="2">
        <v>663.74019999999996</v>
      </c>
      <c r="D11012" s="2">
        <f>HYPERLINK("http://mcb-m6.bioreg.kyushu-u.ac.jp/M3/20110414/F50959/1357/1", 51.67)</f>
        <v>51.67</v>
      </c>
      <c r="E11012" s="2">
        <v>35.67</v>
      </c>
      <c r="F11012" s="2">
        <v>2</v>
      </c>
      <c r="G11012" s="2" t="s">
        <v>12</v>
      </c>
    </row>
    <row r="11013" spans="1:8" x14ac:dyDescent="0.2">
      <c r="A11013" s="2" t="s">
        <v>3293</v>
      </c>
      <c r="B11013" s="2" t="s">
        <v>296</v>
      </c>
      <c r="C11013" s="2">
        <v>664.07870000000003</v>
      </c>
      <c r="D11013" s="2">
        <f>HYPERLINK("http://mcb-m6.bioreg.kyushu-u.ac.jp/M3/20110414/F50958/1476/1", 52.28)</f>
        <v>52.28</v>
      </c>
      <c r="E11013" s="2">
        <v>30.41</v>
      </c>
      <c r="F11013" s="2">
        <v>2</v>
      </c>
      <c r="G11013" s="2" t="s">
        <v>12</v>
      </c>
    </row>
    <row r="11014" spans="1:8" x14ac:dyDescent="0.2">
      <c r="A11014" s="2" t="s">
        <v>3293</v>
      </c>
      <c r="B11014" s="2" t="s">
        <v>347</v>
      </c>
      <c r="C11014" s="2">
        <v>567.71220000000005</v>
      </c>
      <c r="D11014" s="2">
        <f>HYPERLINK("http://mcb-m6.bioreg.kyushu-u.ac.jp/M3/20110414/F50959/798/1", 52.95)</f>
        <v>52.95</v>
      </c>
      <c r="E11014" s="2">
        <v>34.07</v>
      </c>
      <c r="F11014" s="2">
        <v>2</v>
      </c>
      <c r="G11014" s="2" t="s">
        <v>12</v>
      </c>
    </row>
    <row r="11015" spans="1:8" x14ac:dyDescent="0.2">
      <c r="A11015" s="2" t="s">
        <v>3293</v>
      </c>
      <c r="B11015" s="2" t="s">
        <v>1277</v>
      </c>
      <c r="C11015" s="2">
        <v>711.01120000000003</v>
      </c>
      <c r="D11015" s="2">
        <f>HYPERLINK("http://mcb-m6.bioreg.kyushu-u.ac.jp/M3/20110414/F50958/1775/1", 53.58)</f>
        <v>53.58</v>
      </c>
      <c r="E11015" s="2">
        <v>27.86</v>
      </c>
      <c r="F11015" s="2">
        <v>2</v>
      </c>
      <c r="G11015" s="2" t="s">
        <v>12</v>
      </c>
    </row>
    <row r="11016" spans="1:8" x14ac:dyDescent="0.2">
      <c r="A11016" s="2" t="s">
        <v>3293</v>
      </c>
      <c r="B11016" s="2" t="s">
        <v>347</v>
      </c>
      <c r="C11016" s="2">
        <v>567.60770000000002</v>
      </c>
      <c r="D11016" s="2">
        <f>HYPERLINK("http://mcb-m6.bioreg.kyushu-u.ac.jp/M3/20110414/F50958/953/1", 53.62)</f>
        <v>53.62</v>
      </c>
      <c r="E11016" s="2">
        <v>23.14</v>
      </c>
      <c r="F11016" s="2">
        <v>2</v>
      </c>
      <c r="G11016" s="2" t="s">
        <v>12</v>
      </c>
    </row>
    <row r="11017" spans="1:8" x14ac:dyDescent="0.2">
      <c r="A11017" s="2" t="s">
        <v>3293</v>
      </c>
      <c r="B11017" s="2" t="s">
        <v>296</v>
      </c>
      <c r="C11017" s="2">
        <v>663.42610000000002</v>
      </c>
      <c r="D11017" s="2">
        <f>HYPERLINK("http://mcb-m6.bioreg.kyushu-u.ac.jp/M3/20110414/F50950/1673/1", 53.73)</f>
        <v>53.73</v>
      </c>
      <c r="E11017" s="2">
        <v>25.12</v>
      </c>
      <c r="F11017" s="2">
        <v>2</v>
      </c>
      <c r="G11017" s="2" t="s">
        <v>12</v>
      </c>
    </row>
    <row r="11018" spans="1:8" x14ac:dyDescent="0.2">
      <c r="A11018" s="2" t="s">
        <v>3293</v>
      </c>
      <c r="B11018" s="2" t="s">
        <v>837</v>
      </c>
      <c r="C11018" s="2">
        <v>741.7441</v>
      </c>
      <c r="D11018" s="2">
        <f>HYPERLINK("http://mcb-m6.bioreg.kyushu-u.ac.jp/M3/20110414/F50958/1991/1", 54.07)</f>
        <v>54.07</v>
      </c>
      <c r="E11018" s="2">
        <v>39.96</v>
      </c>
      <c r="F11018" s="2">
        <v>2</v>
      </c>
      <c r="G11018" s="2" t="s">
        <v>12</v>
      </c>
    </row>
    <row r="11019" spans="1:8" x14ac:dyDescent="0.2">
      <c r="A11019" s="2" t="s">
        <v>3293</v>
      </c>
      <c r="B11019" s="2" t="s">
        <v>600</v>
      </c>
      <c r="C11019" s="2">
        <v>778.77009999999996</v>
      </c>
      <c r="D11019" s="2">
        <f>HYPERLINK("http://mcb-m6.bioreg.kyushu-u.ac.jp/M3/20110414/F50958/2262/1", 55.28)</f>
        <v>55.28</v>
      </c>
      <c r="E11019" s="2">
        <v>45.22</v>
      </c>
      <c r="F11019" s="2">
        <v>2</v>
      </c>
      <c r="G11019" s="2" t="s">
        <v>12</v>
      </c>
    </row>
    <row r="11020" spans="1:8" x14ac:dyDescent="0.2">
      <c r="A11020" s="2" t="s">
        <v>3293</v>
      </c>
      <c r="B11020" s="2" t="s">
        <v>89</v>
      </c>
      <c r="C11020" s="2">
        <v>597.97019999999998</v>
      </c>
      <c r="D11020" s="2">
        <f>HYPERLINK("http://mcb-m6.bioreg.kyushu-u.ac.jp/M3/20110414/F50958/1116/1", 57.02)</f>
        <v>57.02</v>
      </c>
      <c r="E11020" s="2">
        <v>32.69</v>
      </c>
      <c r="F11020" s="2">
        <v>2</v>
      </c>
      <c r="G11020" s="2" t="s">
        <v>12</v>
      </c>
    </row>
    <row r="11021" spans="1:8" x14ac:dyDescent="0.2">
      <c r="A11021" s="2" t="s">
        <v>3293</v>
      </c>
      <c r="B11021" s="2" t="s">
        <v>451</v>
      </c>
      <c r="C11021" s="2">
        <v>710.20320000000004</v>
      </c>
      <c r="D11021" s="2">
        <f>HYPERLINK("http://mcb-m6.bioreg.kyushu-u.ac.jp/M3/20110414/F50958/1772/1", 58.67)</f>
        <v>58.67</v>
      </c>
      <c r="E11021" s="2">
        <v>38.450000000000003</v>
      </c>
      <c r="F11021" s="2">
        <v>2</v>
      </c>
      <c r="G11021" s="2" t="s">
        <v>12</v>
      </c>
      <c r="H11021" s="2" t="s">
        <v>4891</v>
      </c>
    </row>
    <row r="11022" spans="1:8" x14ac:dyDescent="0.2">
      <c r="A11022" s="2" t="s">
        <v>3293</v>
      </c>
      <c r="B11022" s="2" t="s">
        <v>945</v>
      </c>
      <c r="C11022" s="2">
        <v>1370.4639999999999</v>
      </c>
      <c r="D11022" s="2">
        <f>HYPERLINK("http://mcb-m6.bioreg.kyushu-u.ac.jp/M3/20110414/F50958/1613/1", 58.72)</f>
        <v>58.72</v>
      </c>
      <c r="E11022" s="2">
        <v>38.86</v>
      </c>
      <c r="F11022" s="2">
        <v>1</v>
      </c>
      <c r="G11022" s="2" t="s">
        <v>12</v>
      </c>
    </row>
    <row r="11023" spans="1:8" x14ac:dyDescent="0.2">
      <c r="A11023" s="2" t="s">
        <v>3293</v>
      </c>
      <c r="B11023" s="2" t="s">
        <v>296</v>
      </c>
      <c r="C11023" s="2">
        <v>664.30619999999999</v>
      </c>
      <c r="D11023" s="2">
        <f>HYPERLINK("http://mcb-m6.bioreg.kyushu-u.ac.jp/M3/20110414/F50959/1361/1", 58.89)</f>
        <v>58.89</v>
      </c>
      <c r="E11023" s="2">
        <v>33.19</v>
      </c>
      <c r="F11023" s="2">
        <v>2</v>
      </c>
      <c r="G11023" s="2" t="s">
        <v>12</v>
      </c>
    </row>
    <row r="11024" spans="1:8" x14ac:dyDescent="0.2">
      <c r="A11024" s="2" t="s">
        <v>3293</v>
      </c>
      <c r="B11024" s="2" t="s">
        <v>2467</v>
      </c>
      <c r="C11024" s="2">
        <v>662.41420000000005</v>
      </c>
      <c r="D11024" s="2">
        <f>HYPERLINK("http://mcb-m6.bioreg.kyushu-u.ac.jp/M3/20110414/F50950/1669/1", 60.03)</f>
        <v>60.03</v>
      </c>
      <c r="E11024" s="2">
        <v>37.76</v>
      </c>
      <c r="F11024" s="2">
        <v>2</v>
      </c>
      <c r="G11024" s="2" t="s">
        <v>12</v>
      </c>
    </row>
    <row r="11025" spans="1:7" x14ac:dyDescent="0.2">
      <c r="A11025" s="2" t="s">
        <v>3293</v>
      </c>
      <c r="B11025" s="2" t="s">
        <v>347</v>
      </c>
      <c r="C11025" s="2">
        <v>567.1952</v>
      </c>
      <c r="D11025" s="2">
        <f>HYPERLINK("http://mcb-m6.bioreg.kyushu-u.ac.jp/M3/20110414/F50959/795/1", 63.8)</f>
        <v>63.8</v>
      </c>
      <c r="E11025" s="2">
        <v>44.97</v>
      </c>
      <c r="F11025" s="2">
        <v>2</v>
      </c>
      <c r="G11025" s="2" t="s">
        <v>12</v>
      </c>
    </row>
    <row r="11026" spans="1:7" x14ac:dyDescent="0.2">
      <c r="A11026" s="2" t="s">
        <v>3293</v>
      </c>
      <c r="B11026" s="2" t="s">
        <v>2467</v>
      </c>
      <c r="C11026" s="2">
        <v>661.78560000000004</v>
      </c>
      <c r="D11026" s="2">
        <f>HYPERLINK("http://mcb-m6.bioreg.kyushu-u.ac.jp/M3/20110414/F50958/1460/1", 64.67)</f>
        <v>64.67</v>
      </c>
      <c r="E11026" s="2">
        <v>40.869999999999997</v>
      </c>
      <c r="F11026" s="2">
        <v>2</v>
      </c>
      <c r="G11026" s="2" t="s">
        <v>12</v>
      </c>
    </row>
    <row r="11027" spans="1:7" x14ac:dyDescent="0.2">
      <c r="A11027" s="2" t="s">
        <v>3293</v>
      </c>
      <c r="B11027" s="2" t="s">
        <v>89</v>
      </c>
      <c r="C11027" s="2">
        <v>598.2577</v>
      </c>
      <c r="D11027" s="2">
        <f>HYPERLINK("http://mcb-m6.bioreg.kyushu-u.ac.jp/M3/20110414/F50959/958/1", 64.68)</f>
        <v>64.680000000000007</v>
      </c>
      <c r="E11027" s="2">
        <v>45.81</v>
      </c>
      <c r="F11027" s="2">
        <v>2</v>
      </c>
      <c r="G11027" s="2" t="s">
        <v>12</v>
      </c>
    </row>
    <row r="11028" spans="1:7" x14ac:dyDescent="0.2">
      <c r="A11028" s="2" t="s">
        <v>3293</v>
      </c>
      <c r="B11028" s="2" t="s">
        <v>1571</v>
      </c>
      <c r="C11028" s="2">
        <v>1030.903</v>
      </c>
      <c r="D11028" s="2">
        <f>HYPERLINK("http://mcb-m6.bioreg.kyushu-u.ac.jp/M3/20110414/F50958/3756/1", 66.91)</f>
        <v>66.91</v>
      </c>
      <c r="E11028" s="2">
        <v>52.68</v>
      </c>
      <c r="F11028" s="2">
        <v>2</v>
      </c>
      <c r="G11028" s="2" t="s">
        <v>12</v>
      </c>
    </row>
    <row r="11029" spans="1:7" x14ac:dyDescent="0.2">
      <c r="A11029" s="2" t="s">
        <v>3293</v>
      </c>
      <c r="B11029" s="2" t="s">
        <v>377</v>
      </c>
      <c r="C11029" s="2">
        <v>699.96559999999999</v>
      </c>
      <c r="D11029" s="2">
        <f>HYPERLINK("http://mcb-m6.bioreg.kyushu-u.ac.jp/M3/20110414/F50950/1907/1", 67.36)</f>
        <v>67.36</v>
      </c>
      <c r="E11029" s="2">
        <v>45.14</v>
      </c>
      <c r="F11029" s="2">
        <v>2</v>
      </c>
      <c r="G11029" s="2" t="s">
        <v>12</v>
      </c>
    </row>
    <row r="11030" spans="1:7" x14ac:dyDescent="0.2">
      <c r="A11030" s="2" t="s">
        <v>3293</v>
      </c>
      <c r="B11030" s="2" t="s">
        <v>377</v>
      </c>
      <c r="C11030" s="2">
        <v>700.63919999999996</v>
      </c>
      <c r="D11030" s="2">
        <f>HYPERLINK("http://mcb-m6.bioreg.kyushu-u.ac.jp/M3/20110414/F50958/1716/1", 68.43)</f>
        <v>68.430000000000007</v>
      </c>
      <c r="E11030" s="2">
        <v>46.32</v>
      </c>
      <c r="F11030" s="2">
        <v>2</v>
      </c>
      <c r="G11030" s="2" t="s">
        <v>12</v>
      </c>
    </row>
    <row r="11031" spans="1:7" x14ac:dyDescent="0.2">
      <c r="A11031" s="2" t="s">
        <v>3293</v>
      </c>
      <c r="B11031" s="2" t="s">
        <v>1277</v>
      </c>
      <c r="C11031" s="2">
        <v>711.34469999999999</v>
      </c>
      <c r="D11031" s="2">
        <f>HYPERLINK("http://mcb-m6.bioreg.kyushu-u.ac.jp/M3/20110414/F50959/1660/1", 76.33)</f>
        <v>76.33</v>
      </c>
      <c r="E11031" s="2">
        <v>46.32</v>
      </c>
      <c r="F11031" s="2">
        <v>2</v>
      </c>
      <c r="G11031" s="2" t="s">
        <v>12</v>
      </c>
    </row>
    <row r="11032" spans="1:7" x14ac:dyDescent="0.2">
      <c r="A11032" s="2" t="s">
        <v>3293</v>
      </c>
      <c r="B11032" s="2" t="s">
        <v>945</v>
      </c>
      <c r="C11032" s="2">
        <v>686.22170000000006</v>
      </c>
      <c r="D11032" s="2">
        <f>HYPERLINK("http://mcb-m6.bioreg.kyushu-u.ac.jp/M3/20110414/F50959/1499/1", 79.28)</f>
        <v>79.28</v>
      </c>
      <c r="E11032" s="2">
        <v>54.3</v>
      </c>
      <c r="F11032" s="2">
        <v>2</v>
      </c>
      <c r="G11032" s="2" t="s">
        <v>12</v>
      </c>
    </row>
    <row r="11033" spans="1:7" x14ac:dyDescent="0.2">
      <c r="A11033" s="2" t="s">
        <v>3293</v>
      </c>
      <c r="B11033" s="2" t="s">
        <v>945</v>
      </c>
      <c r="C11033" s="2">
        <v>685.71420000000001</v>
      </c>
      <c r="D11033" s="2">
        <f>HYPERLINK("http://mcb-m6.bioreg.kyushu-u.ac.jp/M3/20110414/F50958/1611/1", 89.6)</f>
        <v>89.6</v>
      </c>
      <c r="E11033" s="2">
        <v>63.57</v>
      </c>
      <c r="F11033" s="2">
        <v>2</v>
      </c>
      <c r="G11033" s="2" t="s">
        <v>12</v>
      </c>
    </row>
    <row r="11034" spans="1:7" x14ac:dyDescent="0.2">
      <c r="A11034" s="2" t="s">
        <v>3293</v>
      </c>
      <c r="B11034" s="2" t="s">
        <v>451</v>
      </c>
      <c r="C11034" s="2">
        <v>701.72919999999999</v>
      </c>
      <c r="D11034" s="2">
        <f>HYPERLINK("http://mcb-m6.bioreg.kyushu-u.ac.jp/M3/20110414/F50958/1726/1", 97.76)</f>
        <v>97.76</v>
      </c>
      <c r="E11034" s="2">
        <v>80.44</v>
      </c>
      <c r="F11034" s="2">
        <v>2</v>
      </c>
      <c r="G11034" s="2" t="s">
        <v>12</v>
      </c>
    </row>
    <row r="11035" spans="1:7" x14ac:dyDescent="0.2">
      <c r="A11035" s="2" t="s">
        <v>3293</v>
      </c>
      <c r="B11035" s="2" t="s">
        <v>2537</v>
      </c>
      <c r="C11035" s="2">
        <v>564.02120000000002</v>
      </c>
      <c r="D11035" s="2">
        <f>HYPERLINK("http://mcb-m6.bioreg.kyushu-u.ac.jp/M3/20110502/F51174/1347/1", 35.99)</f>
        <v>35.99</v>
      </c>
      <c r="E11035" s="2">
        <v>16.32</v>
      </c>
      <c r="F11035" s="2">
        <v>2</v>
      </c>
      <c r="G11035" s="2" t="s">
        <v>13</v>
      </c>
    </row>
    <row r="11036" spans="1:7" x14ac:dyDescent="0.2">
      <c r="A11036" s="2" t="s">
        <v>3293</v>
      </c>
      <c r="B11036" s="2" t="s">
        <v>217</v>
      </c>
      <c r="C11036" s="2">
        <v>1126.893</v>
      </c>
      <c r="D11036" s="2">
        <f>HYPERLINK("http://mcb-m6.bioreg.kyushu-u.ac.jp/M3/20110502/F51189/1046/1", 36.22)</f>
        <v>36.22</v>
      </c>
      <c r="E11036" s="2">
        <v>15.2</v>
      </c>
      <c r="F11036" s="2">
        <v>1</v>
      </c>
      <c r="G11036" s="2" t="s">
        <v>13</v>
      </c>
    </row>
    <row r="11037" spans="1:7" x14ac:dyDescent="0.2">
      <c r="A11037" s="2" t="s">
        <v>3293</v>
      </c>
      <c r="B11037" s="2" t="s">
        <v>2467</v>
      </c>
      <c r="C11037" s="2">
        <v>662.25710000000004</v>
      </c>
      <c r="D11037" s="2">
        <f>HYPERLINK("http://mcb-m6.bioreg.kyushu-u.ac.jp/M3/20110502/F51174/1642/1", 38.77)</f>
        <v>38.770000000000003</v>
      </c>
      <c r="E11037" s="2">
        <v>17.649999999999999</v>
      </c>
      <c r="F11037" s="2">
        <v>2</v>
      </c>
      <c r="G11037" s="2" t="s">
        <v>13</v>
      </c>
    </row>
    <row r="11038" spans="1:7" x14ac:dyDescent="0.2">
      <c r="A11038" s="2" t="s">
        <v>3293</v>
      </c>
      <c r="B11038" s="2" t="s">
        <v>837</v>
      </c>
      <c r="C11038" s="2">
        <v>741.77509999999995</v>
      </c>
      <c r="D11038" s="2">
        <f>HYPERLINK("http://mcb-m6.bioreg.kyushu-u.ac.jp/M3/20110502/F51174/1963/1", 40.52)</f>
        <v>40.520000000000003</v>
      </c>
      <c r="E11038" s="2">
        <v>20.63</v>
      </c>
      <c r="F11038" s="2">
        <v>2</v>
      </c>
      <c r="G11038" s="2" t="s">
        <v>13</v>
      </c>
    </row>
    <row r="11039" spans="1:7" x14ac:dyDescent="0.2">
      <c r="A11039" s="2" t="s">
        <v>3293</v>
      </c>
      <c r="B11039" s="2" t="s">
        <v>89</v>
      </c>
      <c r="C11039" s="2">
        <v>1195.3699999999999</v>
      </c>
      <c r="D11039" s="2">
        <f>HYPERLINK("http://mcb-m6.bioreg.kyushu-u.ac.jp/M3/20110502/F51189/1180/1", 40.59)</f>
        <v>40.590000000000003</v>
      </c>
      <c r="E11039" s="2">
        <v>30.19</v>
      </c>
      <c r="F11039" s="2">
        <v>1</v>
      </c>
      <c r="G11039" s="2" t="s">
        <v>13</v>
      </c>
    </row>
    <row r="11040" spans="1:7" x14ac:dyDescent="0.2">
      <c r="A11040" s="2" t="s">
        <v>3293</v>
      </c>
      <c r="B11040" s="2" t="s">
        <v>1856</v>
      </c>
      <c r="C11040" s="2">
        <v>628.15219999999999</v>
      </c>
      <c r="D11040" s="2">
        <f>HYPERLINK("http://mcb-m6.bioreg.kyushu-u.ac.jp/M3/20110502/F51172/1425/1", 42.14)</f>
        <v>42.14</v>
      </c>
      <c r="E11040" s="2">
        <v>18.48</v>
      </c>
      <c r="F11040" s="2">
        <v>2</v>
      </c>
      <c r="G11040" s="2" t="s">
        <v>13</v>
      </c>
    </row>
    <row r="11041" spans="1:9" x14ac:dyDescent="0.2">
      <c r="A11041" s="2" t="s">
        <v>3293</v>
      </c>
      <c r="B11041" s="2" t="s">
        <v>217</v>
      </c>
      <c r="C11041" s="2">
        <v>564.0847</v>
      </c>
      <c r="D11041" s="2">
        <f>HYPERLINK("http://mcb-m6.bioreg.kyushu-u.ac.jp/M3/20110502/F51187/964/1", 42.61)</f>
        <v>42.61</v>
      </c>
      <c r="E11041" s="2">
        <v>15.08</v>
      </c>
      <c r="F11041" s="2">
        <v>2</v>
      </c>
      <c r="G11041" s="2" t="s">
        <v>13</v>
      </c>
    </row>
    <row r="11042" spans="1:9" x14ac:dyDescent="0.2">
      <c r="A11042" s="2" t="s">
        <v>3293</v>
      </c>
      <c r="B11042" s="2" t="s">
        <v>2894</v>
      </c>
      <c r="C11042" s="2">
        <v>454.87959999999998</v>
      </c>
      <c r="D11042" s="2">
        <f>HYPERLINK("http://mcb-m6.bioreg.kyushu-u.ac.jp/M3/20110502/F51189/571/1", 44.93)</f>
        <v>44.93</v>
      </c>
      <c r="E11042" s="2">
        <v>15.77</v>
      </c>
      <c r="F11042" s="2">
        <v>2</v>
      </c>
      <c r="G11042" s="2" t="s">
        <v>13</v>
      </c>
      <c r="H11042" s="2" t="s">
        <v>4908</v>
      </c>
    </row>
    <row r="11043" spans="1:9" x14ac:dyDescent="0.2">
      <c r="A11043" s="2" t="s">
        <v>3293</v>
      </c>
      <c r="B11043" s="2" t="s">
        <v>377</v>
      </c>
      <c r="C11043" s="2">
        <v>700.91359999999997</v>
      </c>
      <c r="D11043" s="2">
        <f>HYPERLINK("http://mcb-m6.bioreg.kyushu-u.ac.jp/M3/20110502/F51169/1945/1", 45.41)</f>
        <v>45.41</v>
      </c>
      <c r="E11043" s="2">
        <v>25.03</v>
      </c>
      <c r="F11043" s="2">
        <v>2</v>
      </c>
      <c r="G11043" s="2" t="s">
        <v>13</v>
      </c>
    </row>
    <row r="11044" spans="1:9" x14ac:dyDescent="0.2">
      <c r="A11044" s="2" t="s">
        <v>3293</v>
      </c>
      <c r="B11044" s="2" t="s">
        <v>600</v>
      </c>
      <c r="C11044" s="2">
        <v>778.62120000000004</v>
      </c>
      <c r="D11044" s="2">
        <f>HYPERLINK("http://mcb-m6.bioreg.kyushu-u.ac.jp/M3/20110502/F51172/2360/1", 48.52)</f>
        <v>48.52</v>
      </c>
      <c r="E11044" s="2">
        <v>28.06</v>
      </c>
      <c r="F11044" s="2">
        <v>2</v>
      </c>
      <c r="G11044" s="2" t="s">
        <v>13</v>
      </c>
    </row>
    <row r="11045" spans="1:9" x14ac:dyDescent="0.2">
      <c r="A11045" s="2" t="s">
        <v>3293</v>
      </c>
      <c r="B11045" s="2" t="s">
        <v>73</v>
      </c>
      <c r="C11045" s="2">
        <v>606.45820000000003</v>
      </c>
      <c r="D11045" s="2">
        <f>HYPERLINK("http://mcb-m6.bioreg.kyushu-u.ac.jp/M3/20110502/F51174/1505/1", 48.53)</f>
        <v>48.53</v>
      </c>
      <c r="E11045" s="2">
        <v>0.84</v>
      </c>
      <c r="F11045" s="2">
        <v>2</v>
      </c>
      <c r="G11045" s="2" t="s">
        <v>13</v>
      </c>
      <c r="I11045" s="2" t="s">
        <v>4898</v>
      </c>
    </row>
    <row r="11046" spans="1:9" x14ac:dyDescent="0.2">
      <c r="A11046" s="2" t="s">
        <v>3293</v>
      </c>
      <c r="B11046" s="2" t="s">
        <v>1277</v>
      </c>
      <c r="C11046" s="2">
        <v>711.55359999999996</v>
      </c>
      <c r="D11046" s="2">
        <f>HYPERLINK("http://mcb-m6.bioreg.kyushu-u.ac.jp/M3/20110502/F51175/1789/1", 50.09)</f>
        <v>50.09</v>
      </c>
      <c r="E11046" s="2">
        <v>24.51</v>
      </c>
      <c r="F11046" s="2">
        <v>2</v>
      </c>
      <c r="G11046" s="2" t="s">
        <v>13</v>
      </c>
    </row>
    <row r="11047" spans="1:9" x14ac:dyDescent="0.2">
      <c r="A11047" s="2" t="s">
        <v>3293</v>
      </c>
      <c r="B11047" s="2" t="s">
        <v>377</v>
      </c>
      <c r="C11047" s="2">
        <v>700.51419999999996</v>
      </c>
      <c r="D11047" s="2">
        <f>HYPERLINK("http://mcb-m6.bioreg.kyushu-u.ac.jp/M3/20110502/F51189/1604/1", 50.72)</f>
        <v>50.72</v>
      </c>
      <c r="E11047" s="2">
        <v>30.44</v>
      </c>
      <c r="F11047" s="2">
        <v>2</v>
      </c>
      <c r="G11047" s="2" t="s">
        <v>13</v>
      </c>
    </row>
    <row r="11048" spans="1:9" x14ac:dyDescent="0.2">
      <c r="A11048" s="2" t="s">
        <v>3293</v>
      </c>
      <c r="B11048" s="2" t="s">
        <v>1856</v>
      </c>
      <c r="C11048" s="2">
        <v>628.14970000000005</v>
      </c>
      <c r="D11048" s="2">
        <f>HYPERLINK("http://mcb-m6.bioreg.kyushu-u.ac.jp/M3/20110502/F51189/1284/1", 51.17)</f>
        <v>51.17</v>
      </c>
      <c r="E11048" s="2">
        <v>21.6</v>
      </c>
      <c r="F11048" s="2">
        <v>2</v>
      </c>
      <c r="G11048" s="2" t="s">
        <v>13</v>
      </c>
    </row>
    <row r="11049" spans="1:9" x14ac:dyDescent="0.2">
      <c r="A11049" s="2" t="s">
        <v>3293</v>
      </c>
      <c r="B11049" s="2" t="s">
        <v>377</v>
      </c>
      <c r="C11049" s="2">
        <v>700.5231</v>
      </c>
      <c r="D11049" s="2">
        <f>HYPERLINK("http://mcb-m6.bioreg.kyushu-u.ac.jp/M3/20110502/F51175/1737/1", 51.69)</f>
        <v>51.69</v>
      </c>
      <c r="E11049" s="2">
        <v>28.65</v>
      </c>
      <c r="F11049" s="2">
        <v>2</v>
      </c>
      <c r="G11049" s="2" t="s">
        <v>13</v>
      </c>
    </row>
    <row r="11050" spans="1:9" x14ac:dyDescent="0.2">
      <c r="A11050" s="2" t="s">
        <v>3293</v>
      </c>
      <c r="B11050" s="2" t="s">
        <v>377</v>
      </c>
      <c r="C11050" s="2">
        <v>700.57870000000003</v>
      </c>
      <c r="D11050" s="2">
        <f>HYPERLINK("http://mcb-m6.bioreg.kyushu-u.ac.jp/M3/20110502/F51174/1799/1", 52.25)</f>
        <v>52.25</v>
      </c>
      <c r="E11050" s="2">
        <v>35.15</v>
      </c>
      <c r="F11050" s="2">
        <v>2</v>
      </c>
      <c r="G11050" s="2" t="s">
        <v>13</v>
      </c>
    </row>
    <row r="11051" spans="1:9" x14ac:dyDescent="0.2">
      <c r="A11051" s="2" t="s">
        <v>3293</v>
      </c>
      <c r="B11051" s="2" t="s">
        <v>837</v>
      </c>
      <c r="C11051" s="2">
        <v>742.50070000000005</v>
      </c>
      <c r="D11051" s="2">
        <f>HYPERLINK("http://mcb-m6.bioreg.kyushu-u.ac.jp/M3/20110502/F51189/1844/1", 52.38)</f>
        <v>52.38</v>
      </c>
      <c r="E11051" s="2">
        <v>25.03</v>
      </c>
      <c r="F11051" s="2">
        <v>2</v>
      </c>
      <c r="G11051" s="2" t="s">
        <v>13</v>
      </c>
    </row>
    <row r="11052" spans="1:9" x14ac:dyDescent="0.2">
      <c r="A11052" s="2" t="s">
        <v>3293</v>
      </c>
      <c r="B11052" s="2" t="s">
        <v>377</v>
      </c>
      <c r="C11052" s="2">
        <v>700.56619999999998</v>
      </c>
      <c r="D11052" s="2">
        <f>HYPERLINK("http://mcb-m6.bioreg.kyushu-u.ac.jp/M3/20110502/F51172/1844/1", 53.3)</f>
        <v>53.3</v>
      </c>
      <c r="E11052" s="2">
        <v>28.48</v>
      </c>
      <c r="F11052" s="2">
        <v>2</v>
      </c>
      <c r="G11052" s="2" t="s">
        <v>13</v>
      </c>
    </row>
    <row r="11053" spans="1:9" x14ac:dyDescent="0.2">
      <c r="A11053" s="2" t="s">
        <v>3293</v>
      </c>
      <c r="B11053" s="2" t="s">
        <v>73</v>
      </c>
      <c r="C11053" s="2">
        <v>606.82920000000001</v>
      </c>
      <c r="D11053" s="2">
        <f>HYPERLINK("http://mcb-m6.bioreg.kyushu-u.ac.jp/M3/20110502/F51175/1396/2", 54.23)</f>
        <v>54.23</v>
      </c>
      <c r="E11053" s="2">
        <v>31.16</v>
      </c>
      <c r="F11053" s="2">
        <v>2</v>
      </c>
      <c r="G11053" s="2" t="s">
        <v>13</v>
      </c>
      <c r="I11053" s="2" t="s">
        <v>4898</v>
      </c>
    </row>
    <row r="11054" spans="1:9" x14ac:dyDescent="0.2">
      <c r="A11054" s="2" t="s">
        <v>3293</v>
      </c>
      <c r="B11054" s="2" t="s">
        <v>296</v>
      </c>
      <c r="C11054" s="2">
        <v>664.1182</v>
      </c>
      <c r="D11054" s="2">
        <f>HYPERLINK("http://mcb-m6.bioreg.kyushu-u.ac.jp/M3/20110502/F51172/1580/1", 54.73)</f>
        <v>54.73</v>
      </c>
      <c r="E11054" s="2">
        <v>27.5</v>
      </c>
      <c r="F11054" s="2">
        <v>2</v>
      </c>
      <c r="G11054" s="2" t="s">
        <v>13</v>
      </c>
    </row>
    <row r="11055" spans="1:9" x14ac:dyDescent="0.2">
      <c r="A11055" s="2" t="s">
        <v>3293</v>
      </c>
      <c r="B11055" s="2" t="s">
        <v>1277</v>
      </c>
      <c r="C11055" s="2">
        <v>711.60059999999999</v>
      </c>
      <c r="D11055" s="2">
        <f>HYPERLINK("http://mcb-m6.bioreg.kyushu-u.ac.jp/M3/20110502/F51189/1668/1", 56.32)</f>
        <v>56.32</v>
      </c>
      <c r="E11055" s="2">
        <v>23.49</v>
      </c>
      <c r="F11055" s="2">
        <v>2</v>
      </c>
      <c r="G11055" s="2" t="s">
        <v>13</v>
      </c>
    </row>
    <row r="11056" spans="1:9" x14ac:dyDescent="0.2">
      <c r="A11056" s="2" t="s">
        <v>3293</v>
      </c>
      <c r="B11056" s="2" t="s">
        <v>928</v>
      </c>
      <c r="C11056" s="2">
        <v>716.79269999999997</v>
      </c>
      <c r="D11056" s="2">
        <f>HYPERLINK("http://mcb-m6.bioreg.kyushu-u.ac.jp/M3/20110502/F51175/1825/1", 58.27)</f>
        <v>58.27</v>
      </c>
      <c r="E11056" s="2">
        <v>45.41</v>
      </c>
      <c r="F11056" s="2">
        <v>2</v>
      </c>
      <c r="G11056" s="2" t="s">
        <v>13</v>
      </c>
      <c r="I11056" s="2" t="s">
        <v>4932</v>
      </c>
    </row>
    <row r="11057" spans="1:9" x14ac:dyDescent="0.2">
      <c r="A11057" s="2" t="s">
        <v>3293</v>
      </c>
      <c r="B11057" s="2" t="s">
        <v>89</v>
      </c>
      <c r="C11057" s="2">
        <v>598.17219999999998</v>
      </c>
      <c r="D11057" s="2">
        <f>HYPERLINK("http://mcb-m6.bioreg.kyushu-u.ac.jp/M3/20110502/F51172/1265/1", 58.54)</f>
        <v>58.54</v>
      </c>
      <c r="E11057" s="2">
        <v>30.59</v>
      </c>
      <c r="F11057" s="2">
        <v>2</v>
      </c>
      <c r="G11057" s="2" t="s">
        <v>13</v>
      </c>
    </row>
    <row r="11058" spans="1:9" x14ac:dyDescent="0.2">
      <c r="A11058" s="2" t="s">
        <v>3293</v>
      </c>
      <c r="B11058" s="2" t="s">
        <v>600</v>
      </c>
      <c r="C11058" s="2">
        <v>778.65419999999995</v>
      </c>
      <c r="D11058" s="2">
        <f>HYPERLINK("http://mcb-m6.bioreg.kyushu-u.ac.jp/M3/20110502/F51175/2074/1", 58.67)</f>
        <v>58.67</v>
      </c>
      <c r="E11058" s="2">
        <v>38.96</v>
      </c>
      <c r="F11058" s="2">
        <v>2</v>
      </c>
      <c r="G11058" s="2" t="s">
        <v>13</v>
      </c>
    </row>
    <row r="11059" spans="1:9" x14ac:dyDescent="0.2">
      <c r="A11059" s="2" t="s">
        <v>3293</v>
      </c>
      <c r="B11059" s="2" t="s">
        <v>724</v>
      </c>
      <c r="C11059" s="2">
        <v>648.49720000000002</v>
      </c>
      <c r="D11059" s="2">
        <f>HYPERLINK("http://mcb-m6.bioreg.kyushu-u.ac.jp/M3/20110502/F51174/1603/1", 58.92)</f>
        <v>58.92</v>
      </c>
      <c r="E11059" s="2">
        <v>36.06</v>
      </c>
      <c r="F11059" s="2">
        <v>2</v>
      </c>
      <c r="G11059" s="2" t="s">
        <v>13</v>
      </c>
    </row>
    <row r="11060" spans="1:9" x14ac:dyDescent="0.2">
      <c r="A11060" s="2" t="s">
        <v>3293</v>
      </c>
      <c r="B11060" s="2" t="s">
        <v>724</v>
      </c>
      <c r="C11060" s="2">
        <v>648.42719999999997</v>
      </c>
      <c r="D11060" s="2">
        <f>HYPERLINK("http://mcb-m6.bioreg.kyushu-u.ac.jp/M3/20110502/F51189/1344/1", 59.23)</f>
        <v>59.23</v>
      </c>
      <c r="E11060" s="2">
        <v>39.19</v>
      </c>
      <c r="F11060" s="2">
        <v>2</v>
      </c>
      <c r="G11060" s="2" t="s">
        <v>13</v>
      </c>
    </row>
    <row r="11061" spans="1:9" x14ac:dyDescent="0.2">
      <c r="A11061" s="2" t="s">
        <v>3293</v>
      </c>
      <c r="B11061" s="2" t="s">
        <v>89</v>
      </c>
      <c r="C11061" s="2">
        <v>598.04819999999995</v>
      </c>
      <c r="D11061" s="2">
        <f>HYPERLINK("http://mcb-m6.bioreg.kyushu-u.ac.jp/M3/20110502/F51175/1365/1", 59.48)</f>
        <v>59.48</v>
      </c>
      <c r="E11061" s="2">
        <v>38.369999999999997</v>
      </c>
      <c r="F11061" s="2">
        <v>2</v>
      </c>
      <c r="G11061" s="2" t="s">
        <v>13</v>
      </c>
    </row>
    <row r="11062" spans="1:9" x14ac:dyDescent="0.2">
      <c r="A11062" s="2" t="s">
        <v>3293</v>
      </c>
      <c r="B11062" s="2" t="s">
        <v>2937</v>
      </c>
      <c r="C11062" s="2">
        <v>549.55820000000006</v>
      </c>
      <c r="D11062" s="2">
        <f>HYPERLINK("http://mcb-m6.bioreg.kyushu-u.ac.jp/M3/20110502/F51173/812/1", 60.23)</f>
        <v>60.23</v>
      </c>
      <c r="E11062" s="2">
        <v>41.57</v>
      </c>
      <c r="F11062" s="2">
        <v>2</v>
      </c>
      <c r="G11062" s="2" t="s">
        <v>13</v>
      </c>
    </row>
    <row r="11063" spans="1:9" x14ac:dyDescent="0.2">
      <c r="A11063" s="2" t="s">
        <v>3293</v>
      </c>
      <c r="B11063" s="2" t="s">
        <v>945</v>
      </c>
      <c r="C11063" s="2">
        <v>686.1952</v>
      </c>
      <c r="D11063" s="2">
        <f>HYPERLINK("http://mcb-m6.bioreg.kyushu-u.ac.jp/M3/20110502/F51172/1747/1", 60.81)</f>
        <v>60.81</v>
      </c>
      <c r="E11063" s="2">
        <v>36.01</v>
      </c>
      <c r="F11063" s="2">
        <v>2</v>
      </c>
      <c r="G11063" s="2" t="s">
        <v>13</v>
      </c>
    </row>
    <row r="11064" spans="1:9" x14ac:dyDescent="0.2">
      <c r="A11064" s="2" t="s">
        <v>3293</v>
      </c>
      <c r="B11064" s="2" t="s">
        <v>73</v>
      </c>
      <c r="C11064" s="2">
        <v>606.48320000000001</v>
      </c>
      <c r="D11064" s="2">
        <f>HYPERLINK("http://mcb-m6.bioreg.kyushu-u.ac.jp/M3/20110502/F51169/1635/2", 62.17)</f>
        <v>62.17</v>
      </c>
      <c r="E11064" s="2">
        <v>40.659999999999997</v>
      </c>
      <c r="F11064" s="2">
        <v>2</v>
      </c>
      <c r="G11064" s="2" t="s">
        <v>13</v>
      </c>
      <c r="I11064" s="2" t="s">
        <v>4898</v>
      </c>
    </row>
    <row r="11065" spans="1:9" x14ac:dyDescent="0.2">
      <c r="A11065" s="2" t="s">
        <v>3293</v>
      </c>
      <c r="B11065" s="2" t="s">
        <v>89</v>
      </c>
      <c r="C11065" s="2">
        <v>597.98170000000005</v>
      </c>
      <c r="D11065" s="2">
        <f>HYPERLINK("http://mcb-m6.bioreg.kyushu-u.ac.jp/M3/20110502/F51189/1179/1", 62.68)</f>
        <v>62.68</v>
      </c>
      <c r="E11065" s="2">
        <v>44.56</v>
      </c>
      <c r="F11065" s="2">
        <v>2</v>
      </c>
      <c r="G11065" s="2" t="s">
        <v>13</v>
      </c>
    </row>
    <row r="11066" spans="1:9" x14ac:dyDescent="0.2">
      <c r="A11066" s="2" t="s">
        <v>3293</v>
      </c>
      <c r="B11066" s="2" t="s">
        <v>296</v>
      </c>
      <c r="C11066" s="2">
        <v>664.14919999999995</v>
      </c>
      <c r="D11066" s="2">
        <f>HYPERLINK("http://mcb-m6.bioreg.kyushu-u.ac.jp/M3/20110502/F51175/1552/1", 62.81)</f>
        <v>62.81</v>
      </c>
      <c r="E11066" s="2">
        <v>37.04</v>
      </c>
      <c r="F11066" s="2">
        <v>2</v>
      </c>
      <c r="G11066" s="2" t="s">
        <v>13</v>
      </c>
    </row>
    <row r="11067" spans="1:9" x14ac:dyDescent="0.2">
      <c r="A11067" s="2" t="s">
        <v>3293</v>
      </c>
      <c r="B11067" s="2" t="s">
        <v>296</v>
      </c>
      <c r="C11067" s="2">
        <v>664.12710000000004</v>
      </c>
      <c r="D11067" s="2">
        <f>HYPERLINK("http://mcb-m6.bioreg.kyushu-u.ac.jp/M3/20110502/F51173/1348/1", 64.1)</f>
        <v>64.099999999999994</v>
      </c>
      <c r="E11067" s="2">
        <v>34.01</v>
      </c>
      <c r="F11067" s="2">
        <v>2</v>
      </c>
      <c r="G11067" s="2" t="s">
        <v>13</v>
      </c>
    </row>
    <row r="11068" spans="1:9" x14ac:dyDescent="0.2">
      <c r="A11068" s="2" t="s">
        <v>3293</v>
      </c>
      <c r="B11068" s="2" t="s">
        <v>724</v>
      </c>
      <c r="C11068" s="2">
        <v>648.43320000000006</v>
      </c>
      <c r="D11068" s="2">
        <f>HYPERLINK("http://mcb-m6.bioreg.kyushu-u.ac.jp/M3/20110502/F51175/1511/1", 64.46)</f>
        <v>64.459999999999994</v>
      </c>
      <c r="E11068" s="2">
        <v>40.29</v>
      </c>
      <c r="F11068" s="2">
        <v>2</v>
      </c>
      <c r="G11068" s="2" t="s">
        <v>13</v>
      </c>
    </row>
    <row r="11069" spans="1:9" x14ac:dyDescent="0.2">
      <c r="A11069" s="2" t="s">
        <v>3293</v>
      </c>
      <c r="B11069" s="2" t="s">
        <v>1277</v>
      </c>
      <c r="C11069" s="2">
        <v>711.55769999999995</v>
      </c>
      <c r="D11069" s="2">
        <f>HYPERLINK("http://mcb-m6.bioreg.kyushu-u.ac.jp/M3/20110502/F51171/1899/1", 66.25)</f>
        <v>66.25</v>
      </c>
      <c r="E11069" s="2">
        <v>31.65</v>
      </c>
      <c r="F11069" s="2">
        <v>2</v>
      </c>
      <c r="G11069" s="2" t="s">
        <v>13</v>
      </c>
    </row>
    <row r="11070" spans="1:9" x14ac:dyDescent="0.2">
      <c r="A11070" s="2" t="s">
        <v>3293</v>
      </c>
      <c r="B11070" s="2" t="s">
        <v>296</v>
      </c>
      <c r="C11070" s="2">
        <v>664.09220000000005</v>
      </c>
      <c r="D11070" s="2">
        <f>HYPERLINK("http://mcb-m6.bioreg.kyushu-u.ac.jp/M3/20110502/F51171/1654/1", 66.79)</f>
        <v>66.790000000000006</v>
      </c>
      <c r="E11070" s="2">
        <v>32.729999999999997</v>
      </c>
      <c r="F11070" s="2">
        <v>2</v>
      </c>
      <c r="G11070" s="2" t="s">
        <v>13</v>
      </c>
    </row>
    <row r="11071" spans="1:9" x14ac:dyDescent="0.2">
      <c r="A11071" s="2" t="s">
        <v>3293</v>
      </c>
      <c r="B11071" s="2" t="s">
        <v>305</v>
      </c>
      <c r="C11071" s="2">
        <v>739.62120000000004</v>
      </c>
      <c r="D11071" s="2">
        <f>HYPERLINK("http://mcb-m6.bioreg.kyushu-u.ac.jp/M3/20110502/F51172/2081/1", 66.85)</f>
        <v>66.849999999999994</v>
      </c>
      <c r="E11071" s="2">
        <v>46.38</v>
      </c>
      <c r="F11071" s="2">
        <v>2</v>
      </c>
      <c r="G11071" s="2" t="s">
        <v>13</v>
      </c>
    </row>
    <row r="11072" spans="1:9" x14ac:dyDescent="0.2">
      <c r="A11072" s="2" t="s">
        <v>3293</v>
      </c>
      <c r="B11072" s="2" t="s">
        <v>451</v>
      </c>
      <c r="C11072" s="2">
        <v>702.1191</v>
      </c>
      <c r="D11072" s="2">
        <f>HYPERLINK("http://mcb-m6.bioreg.kyushu-u.ac.jp/M3/20110502/F51174/1803/1", 66.95)</f>
        <v>66.95</v>
      </c>
      <c r="E11072" s="2">
        <v>50</v>
      </c>
      <c r="F11072" s="2">
        <v>2</v>
      </c>
      <c r="G11072" s="2" t="s">
        <v>13</v>
      </c>
    </row>
    <row r="11073" spans="1:8" x14ac:dyDescent="0.2">
      <c r="A11073" s="2" t="s">
        <v>3293</v>
      </c>
      <c r="B11073" s="2" t="s">
        <v>600</v>
      </c>
      <c r="C11073" s="2">
        <v>778.56769999999995</v>
      </c>
      <c r="D11073" s="2">
        <f>HYPERLINK("http://mcb-m6.bioreg.kyushu-u.ac.jp/M3/20110502/F51174/2106/1", 67.16)</f>
        <v>67.16</v>
      </c>
      <c r="E11073" s="2">
        <v>48.91</v>
      </c>
      <c r="F11073" s="2">
        <v>2</v>
      </c>
      <c r="G11073" s="2" t="s">
        <v>13</v>
      </c>
    </row>
    <row r="11074" spans="1:8" x14ac:dyDescent="0.2">
      <c r="A11074" s="2" t="s">
        <v>3293</v>
      </c>
      <c r="B11074" s="2" t="s">
        <v>377</v>
      </c>
      <c r="C11074" s="2">
        <v>700.53719999999998</v>
      </c>
      <c r="D11074" s="2">
        <f>HYPERLINK("http://mcb-m6.bioreg.kyushu-u.ac.jp/M3/20110502/F51173/1561/1", 71.56)</f>
        <v>71.56</v>
      </c>
      <c r="E11074" s="2">
        <v>48.3</v>
      </c>
      <c r="F11074" s="2">
        <v>2</v>
      </c>
      <c r="G11074" s="2" t="s">
        <v>13</v>
      </c>
    </row>
    <row r="11075" spans="1:8" x14ac:dyDescent="0.2">
      <c r="A11075" s="2" t="s">
        <v>3293</v>
      </c>
      <c r="B11075" s="2" t="s">
        <v>305</v>
      </c>
      <c r="C11075" s="2">
        <v>747.71169999999995</v>
      </c>
      <c r="D11075" s="2">
        <f>HYPERLINK("http://mcb-m6.bioreg.kyushu-u.ac.jp/M3/20110502/F51172/2144/1", 71.85)</f>
        <v>71.849999999999994</v>
      </c>
      <c r="E11075" s="2">
        <v>51.01</v>
      </c>
      <c r="F11075" s="2">
        <v>2</v>
      </c>
      <c r="G11075" s="2" t="s">
        <v>13</v>
      </c>
      <c r="H11075" s="2" t="s">
        <v>4908</v>
      </c>
    </row>
    <row r="11076" spans="1:8" x14ac:dyDescent="0.2">
      <c r="A11076" s="2" t="s">
        <v>3293</v>
      </c>
      <c r="B11076" s="2" t="s">
        <v>600</v>
      </c>
      <c r="C11076" s="2">
        <v>778.53219999999999</v>
      </c>
      <c r="D11076" s="2">
        <f>HYPERLINK("http://mcb-m6.bioreg.kyushu-u.ac.jp/M3/20110502/F51189/1987/1", 72.48)</f>
        <v>72.48</v>
      </c>
      <c r="E11076" s="2">
        <v>49.47</v>
      </c>
      <c r="F11076" s="2">
        <v>2</v>
      </c>
      <c r="G11076" s="2" t="s">
        <v>13</v>
      </c>
    </row>
    <row r="11077" spans="1:8" x14ac:dyDescent="0.2">
      <c r="A11077" s="2" t="s">
        <v>3293</v>
      </c>
      <c r="B11077" s="2" t="s">
        <v>296</v>
      </c>
      <c r="C11077" s="2">
        <v>664.04610000000002</v>
      </c>
      <c r="D11077" s="2">
        <f>HYPERLINK("http://mcb-m6.bioreg.kyushu-u.ac.jp/M3/20110502/F51169/1781/1", 72.67)</f>
        <v>72.67</v>
      </c>
      <c r="E11077" s="2">
        <v>37.57</v>
      </c>
      <c r="F11077" s="2">
        <v>2</v>
      </c>
      <c r="G11077" s="2" t="s">
        <v>13</v>
      </c>
    </row>
    <row r="11078" spans="1:8" x14ac:dyDescent="0.2">
      <c r="A11078" s="2" t="s">
        <v>3293</v>
      </c>
      <c r="B11078" s="2" t="s">
        <v>451</v>
      </c>
      <c r="C11078" s="2">
        <v>710.11720000000003</v>
      </c>
      <c r="D11078" s="2">
        <f>HYPERLINK("http://mcb-m6.bioreg.kyushu-u.ac.jp/M3/20110502/F51174/1839/1", 74.34)</f>
        <v>74.34</v>
      </c>
      <c r="E11078" s="2">
        <v>50.82</v>
      </c>
      <c r="F11078" s="2">
        <v>2</v>
      </c>
      <c r="G11078" s="2" t="s">
        <v>13</v>
      </c>
      <c r="H11078" s="2" t="s">
        <v>4891</v>
      </c>
    </row>
    <row r="11079" spans="1:8" x14ac:dyDescent="0.2">
      <c r="A11079" s="2" t="s">
        <v>3293</v>
      </c>
      <c r="B11079" s="2" t="s">
        <v>347</v>
      </c>
      <c r="C11079" s="2">
        <v>567.43960000000004</v>
      </c>
      <c r="D11079" s="2">
        <f>HYPERLINK("http://mcb-m6.bioreg.kyushu-u.ac.jp/M3/20110502/F51189/1058/1", 74.39)</f>
        <v>74.39</v>
      </c>
      <c r="E11079" s="2">
        <v>41.62</v>
      </c>
      <c r="F11079" s="2">
        <v>2</v>
      </c>
      <c r="G11079" s="2" t="s">
        <v>13</v>
      </c>
    </row>
    <row r="11080" spans="1:8" x14ac:dyDescent="0.2">
      <c r="A11080" s="2" t="s">
        <v>3293</v>
      </c>
      <c r="B11080" s="2" t="s">
        <v>451</v>
      </c>
      <c r="C11080" s="2">
        <v>710.06020000000001</v>
      </c>
      <c r="D11080" s="2">
        <f>HYPERLINK("http://mcb-m6.bioreg.kyushu-u.ac.jp/M3/20110502/F51173/1615/1", 74.49)</f>
        <v>74.489999999999995</v>
      </c>
      <c r="E11080" s="2">
        <v>45.42</v>
      </c>
      <c r="F11080" s="2">
        <v>2</v>
      </c>
      <c r="G11080" s="2" t="s">
        <v>13</v>
      </c>
      <c r="H11080" s="2" t="s">
        <v>4891</v>
      </c>
    </row>
    <row r="11081" spans="1:8" x14ac:dyDescent="0.2">
      <c r="A11081" s="2" t="s">
        <v>3293</v>
      </c>
      <c r="B11081" s="2" t="s">
        <v>305</v>
      </c>
      <c r="C11081" s="2">
        <v>739.5616</v>
      </c>
      <c r="D11081" s="2">
        <f>HYPERLINK("http://mcb-m6.bioreg.kyushu-u.ac.jp/M3/20110502/F51175/1922/1", 76.06)</f>
        <v>76.06</v>
      </c>
      <c r="E11081" s="2">
        <v>56.47</v>
      </c>
      <c r="F11081" s="2">
        <v>2</v>
      </c>
      <c r="G11081" s="2" t="s">
        <v>13</v>
      </c>
    </row>
    <row r="11082" spans="1:8" x14ac:dyDescent="0.2">
      <c r="A11082" s="2" t="s">
        <v>3293</v>
      </c>
      <c r="B11082" s="2" t="s">
        <v>1277</v>
      </c>
      <c r="C11082" s="2">
        <v>711.77120000000002</v>
      </c>
      <c r="D11082" s="2">
        <f>HYPERLINK("http://mcb-m6.bioreg.kyushu-u.ac.jp/M3/20110502/F51172/1917/1", 76.37)</f>
        <v>76.37</v>
      </c>
      <c r="E11082" s="2">
        <v>42.7</v>
      </c>
      <c r="F11082" s="2">
        <v>2</v>
      </c>
      <c r="G11082" s="2" t="s">
        <v>13</v>
      </c>
    </row>
    <row r="11083" spans="1:8" x14ac:dyDescent="0.2">
      <c r="A11083" s="2" t="s">
        <v>3293</v>
      </c>
      <c r="B11083" s="2" t="s">
        <v>296</v>
      </c>
      <c r="C11083" s="2">
        <v>664.10170000000005</v>
      </c>
      <c r="D11083" s="2">
        <f>HYPERLINK("http://mcb-m6.bioreg.kyushu-u.ac.jp/M3/20110502/F51174/1647/1", 76.55)</f>
        <v>76.55</v>
      </c>
      <c r="E11083" s="2">
        <v>43.58</v>
      </c>
      <c r="F11083" s="2">
        <v>2</v>
      </c>
      <c r="G11083" s="2" t="s">
        <v>13</v>
      </c>
    </row>
    <row r="11084" spans="1:8" x14ac:dyDescent="0.2">
      <c r="A11084" s="2" t="s">
        <v>3293</v>
      </c>
      <c r="B11084" s="2" t="s">
        <v>296</v>
      </c>
      <c r="C11084" s="2">
        <v>664.0566</v>
      </c>
      <c r="D11084" s="2">
        <f>HYPERLINK("http://mcb-m6.bioreg.kyushu-u.ac.jp/M3/20110502/F51189/1395/1", 76.63)</f>
        <v>76.63</v>
      </c>
      <c r="E11084" s="2">
        <v>42.5</v>
      </c>
      <c r="F11084" s="2">
        <v>2</v>
      </c>
      <c r="G11084" s="2" t="s">
        <v>13</v>
      </c>
    </row>
    <row r="11085" spans="1:8" x14ac:dyDescent="0.2">
      <c r="A11085" s="2" t="s">
        <v>3293</v>
      </c>
      <c r="B11085" s="2" t="s">
        <v>1571</v>
      </c>
      <c r="C11085" s="2">
        <v>1030.951</v>
      </c>
      <c r="D11085" s="2">
        <f>HYPERLINK("http://mcb-m6.bioreg.kyushu-u.ac.jp/M3/20110502/F51189/2835/1", 76.87)</f>
        <v>76.87</v>
      </c>
      <c r="E11085" s="2">
        <v>64.260000000000005</v>
      </c>
      <c r="F11085" s="2">
        <v>2</v>
      </c>
      <c r="G11085" s="2" t="s">
        <v>13</v>
      </c>
    </row>
    <row r="11086" spans="1:8" x14ac:dyDescent="0.2">
      <c r="A11086" s="2" t="s">
        <v>3293</v>
      </c>
      <c r="B11086" s="2" t="s">
        <v>945</v>
      </c>
      <c r="C11086" s="2">
        <v>686.01419999999996</v>
      </c>
      <c r="D11086" s="2">
        <f>HYPERLINK("http://mcb-m6.bioreg.kyushu-u.ac.jp/M3/20110502/F51171/1755/1", 78.08)</f>
        <v>78.08</v>
      </c>
      <c r="E11086" s="2">
        <v>53.5</v>
      </c>
      <c r="F11086" s="2">
        <v>2</v>
      </c>
      <c r="G11086" s="2" t="s">
        <v>13</v>
      </c>
    </row>
    <row r="11087" spans="1:8" x14ac:dyDescent="0.2">
      <c r="A11087" s="2" t="s">
        <v>3293</v>
      </c>
      <c r="B11087" s="2" t="s">
        <v>1571</v>
      </c>
      <c r="C11087" s="2">
        <v>1038.886</v>
      </c>
      <c r="D11087" s="2">
        <f>HYPERLINK("http://mcb-m6.bioreg.kyushu-u.ac.jp/M3/20110502/F51172/3689/1", 79.07)</f>
        <v>79.069999999999993</v>
      </c>
      <c r="E11087" s="2">
        <v>64.02</v>
      </c>
      <c r="F11087" s="2">
        <v>2</v>
      </c>
      <c r="G11087" s="2" t="s">
        <v>13</v>
      </c>
      <c r="H11087" s="2" t="s">
        <v>4907</v>
      </c>
    </row>
    <row r="11088" spans="1:8" x14ac:dyDescent="0.2">
      <c r="A11088" s="2" t="s">
        <v>3293</v>
      </c>
      <c r="B11088" s="2" t="s">
        <v>451</v>
      </c>
      <c r="C11088" s="2">
        <v>710.05870000000004</v>
      </c>
      <c r="D11088" s="2">
        <f>HYPERLINK("http://mcb-m6.bioreg.kyushu-u.ac.jp/M3/20110502/F51189/1658/1", 79.43)</f>
        <v>79.430000000000007</v>
      </c>
      <c r="E11088" s="2">
        <v>50.15</v>
      </c>
      <c r="F11088" s="2">
        <v>2</v>
      </c>
      <c r="G11088" s="2" t="s">
        <v>13</v>
      </c>
      <c r="H11088" s="2" t="s">
        <v>4891</v>
      </c>
    </row>
    <row r="11089" spans="1:8" x14ac:dyDescent="0.2">
      <c r="A11089" s="2" t="s">
        <v>3293</v>
      </c>
      <c r="B11089" s="2" t="s">
        <v>451</v>
      </c>
      <c r="C11089" s="2">
        <v>702.21720000000005</v>
      </c>
      <c r="D11089" s="2">
        <f>HYPERLINK("http://mcb-m6.bioreg.kyushu-u.ac.jp/M3/20110502/F51172/1857/1", 81.64)</f>
        <v>81.64</v>
      </c>
      <c r="E11089" s="2">
        <v>62.2</v>
      </c>
      <c r="F11089" s="2">
        <v>2</v>
      </c>
      <c r="G11089" s="2" t="s">
        <v>13</v>
      </c>
    </row>
    <row r="11090" spans="1:8" x14ac:dyDescent="0.2">
      <c r="A11090" s="2" t="s">
        <v>3293</v>
      </c>
      <c r="B11090" s="2" t="s">
        <v>945</v>
      </c>
      <c r="C11090" s="2">
        <v>686.13620000000003</v>
      </c>
      <c r="D11090" s="2">
        <f>HYPERLINK("http://mcb-m6.bioreg.kyushu-u.ac.jp/M3/20110502/F51175/1655/1", 82.12)</f>
        <v>82.12</v>
      </c>
      <c r="E11090" s="2">
        <v>53.51</v>
      </c>
      <c r="F11090" s="2">
        <v>2</v>
      </c>
      <c r="G11090" s="2" t="s">
        <v>13</v>
      </c>
    </row>
    <row r="11091" spans="1:8" x14ac:dyDescent="0.2">
      <c r="A11091" s="2" t="s">
        <v>3293</v>
      </c>
      <c r="B11091" s="2" t="s">
        <v>305</v>
      </c>
      <c r="C11091" s="2">
        <v>739.55319999999995</v>
      </c>
      <c r="D11091" s="2">
        <f>HYPERLINK("http://mcb-m6.bioreg.kyushu-u.ac.jp/M3/20110502/F51173/1792/1", 88.92)</f>
        <v>88.92</v>
      </c>
      <c r="E11091" s="2">
        <v>63.49</v>
      </c>
      <c r="F11091" s="2">
        <v>2</v>
      </c>
      <c r="G11091" s="2" t="s">
        <v>13</v>
      </c>
    </row>
    <row r="11092" spans="1:8" x14ac:dyDescent="0.2">
      <c r="A11092" s="2" t="s">
        <v>3293</v>
      </c>
      <c r="B11092" s="2" t="s">
        <v>451</v>
      </c>
      <c r="C11092" s="2">
        <v>710.01319999999998</v>
      </c>
      <c r="D11092" s="2">
        <f>HYPERLINK("http://mcb-m6.bioreg.kyushu-u.ac.jp/M3/20110502/F51175/1784/1", 92.92)</f>
        <v>92.92</v>
      </c>
      <c r="E11092" s="2">
        <v>57.95</v>
      </c>
      <c r="F11092" s="2">
        <v>2</v>
      </c>
      <c r="G11092" s="2" t="s">
        <v>13</v>
      </c>
      <c r="H11092" s="2" t="s">
        <v>4891</v>
      </c>
    </row>
    <row r="11093" spans="1:8" x14ac:dyDescent="0.2">
      <c r="A11093" s="2" t="s">
        <v>3293</v>
      </c>
      <c r="B11093" s="2" t="s">
        <v>945</v>
      </c>
      <c r="C11093" s="2">
        <v>686.10519999999997</v>
      </c>
      <c r="D11093" s="2">
        <f>HYPERLINK("http://mcb-m6.bioreg.kyushu-u.ac.jp/M3/20110502/F51173/1467/1", 93.75)</f>
        <v>93.75</v>
      </c>
      <c r="E11093" s="2">
        <v>60.65</v>
      </c>
      <c r="F11093" s="2">
        <v>2</v>
      </c>
      <c r="G11093" s="2" t="s">
        <v>13</v>
      </c>
    </row>
    <row r="11094" spans="1:8" x14ac:dyDescent="0.2">
      <c r="A11094" s="2" t="s">
        <v>3293</v>
      </c>
      <c r="B11094" s="2" t="s">
        <v>1571</v>
      </c>
      <c r="C11094" s="2">
        <v>1038.9490000000001</v>
      </c>
      <c r="D11094" s="2">
        <f>HYPERLINK("http://mcb-m6.bioreg.kyushu-u.ac.jp/M3/20110502/F51189/2856/1", 101.67)</f>
        <v>101.67</v>
      </c>
      <c r="E11094" s="2">
        <v>81.14</v>
      </c>
      <c r="F11094" s="2">
        <v>2</v>
      </c>
      <c r="G11094" s="2" t="s">
        <v>13</v>
      </c>
      <c r="H11094" s="2" t="s">
        <v>4907</v>
      </c>
    </row>
    <row r="11095" spans="1:8" x14ac:dyDescent="0.2">
      <c r="A11095" s="2" t="s">
        <v>3293</v>
      </c>
      <c r="B11095" s="2" t="s">
        <v>945</v>
      </c>
      <c r="C11095" s="2">
        <v>686.16470000000004</v>
      </c>
      <c r="D11095" s="2">
        <f>HYPERLINK("http://mcb-m6.bioreg.kyushu-u.ac.jp/M3/20110502/F51174/1729/1", 109.59)</f>
        <v>109.59</v>
      </c>
      <c r="E11095" s="2">
        <v>79.099999999999994</v>
      </c>
      <c r="F11095" s="2">
        <v>2</v>
      </c>
      <c r="G11095" s="2" t="s">
        <v>13</v>
      </c>
    </row>
    <row r="11096" spans="1:8" x14ac:dyDescent="0.2">
      <c r="A11096" s="2" t="s">
        <v>3293</v>
      </c>
      <c r="B11096" s="2" t="s">
        <v>945</v>
      </c>
      <c r="C11096" s="2">
        <v>686.10609999999997</v>
      </c>
      <c r="D11096" s="2">
        <f>HYPERLINK("http://mcb-m6.bioreg.kyushu-u.ac.jp/M3/20110502/F51189/1511/1", 114.16)</f>
        <v>114.16</v>
      </c>
      <c r="E11096" s="2">
        <v>83.92</v>
      </c>
      <c r="F11096" s="2">
        <v>2</v>
      </c>
      <c r="G11096" s="2" t="s">
        <v>13</v>
      </c>
    </row>
    <row r="11097" spans="1:8" x14ac:dyDescent="0.2">
      <c r="A11097" s="2" t="s">
        <v>3293</v>
      </c>
      <c r="B11097" s="2" t="s">
        <v>89</v>
      </c>
      <c r="C11097" s="2">
        <v>1194.8869999999999</v>
      </c>
      <c r="D11097" s="2">
        <f>HYPERLINK("http://mcb-m6.bioreg.kyushu-u.ac.jp/M3/20110502/F51193/1174/1", 35.55)</f>
        <v>35.549999999999997</v>
      </c>
      <c r="E11097" s="2">
        <v>20.8</v>
      </c>
      <c r="F11097" s="2">
        <v>1</v>
      </c>
      <c r="G11097" s="2" t="s">
        <v>14</v>
      </c>
    </row>
    <row r="11098" spans="1:8" x14ac:dyDescent="0.2">
      <c r="A11098" s="2" t="s">
        <v>3293</v>
      </c>
      <c r="B11098" s="2" t="s">
        <v>305</v>
      </c>
      <c r="C11098" s="2">
        <v>739.87819999999999</v>
      </c>
      <c r="D11098" s="2">
        <f>HYPERLINK("http://mcb-m6.bioreg.kyushu-u.ac.jp/M3/20110502/F51183/1897/1", 38.29)</f>
        <v>38.29</v>
      </c>
      <c r="E11098" s="2">
        <v>15.2</v>
      </c>
      <c r="F11098" s="2">
        <v>2</v>
      </c>
      <c r="G11098" s="2" t="s">
        <v>14</v>
      </c>
    </row>
    <row r="11099" spans="1:8" x14ac:dyDescent="0.2">
      <c r="A11099" s="2" t="s">
        <v>3293</v>
      </c>
      <c r="B11099" s="2" t="s">
        <v>1856</v>
      </c>
      <c r="C11099" s="2">
        <v>628.19069999999999</v>
      </c>
      <c r="D11099" s="2">
        <f>HYPERLINK("http://mcb-m6.bioreg.kyushu-u.ac.jp/M3/20110502/F51184/1156/1", 38.32)</f>
        <v>38.32</v>
      </c>
      <c r="E11099" s="2">
        <v>15.71</v>
      </c>
      <c r="F11099" s="2">
        <v>2</v>
      </c>
      <c r="G11099" s="2" t="s">
        <v>14</v>
      </c>
    </row>
    <row r="11100" spans="1:8" x14ac:dyDescent="0.2">
      <c r="A11100" s="2" t="s">
        <v>3293</v>
      </c>
      <c r="B11100" s="2" t="s">
        <v>89</v>
      </c>
      <c r="C11100" s="2">
        <v>597.87620000000004</v>
      </c>
      <c r="D11100" s="2">
        <f>HYPERLINK("http://mcb-m6.bioreg.kyushu-u.ac.jp/M3/20110502/F51178/1540/1", 38.54)</f>
        <v>38.54</v>
      </c>
      <c r="E11100" s="2">
        <v>23.64</v>
      </c>
      <c r="F11100" s="2">
        <v>2</v>
      </c>
      <c r="G11100" s="2" t="s">
        <v>14</v>
      </c>
    </row>
    <row r="11101" spans="1:8" x14ac:dyDescent="0.2">
      <c r="A11101" s="2" t="s">
        <v>3293</v>
      </c>
      <c r="B11101" s="2" t="s">
        <v>217</v>
      </c>
      <c r="C11101" s="2">
        <v>563.9402</v>
      </c>
      <c r="D11101" s="2">
        <f>HYPERLINK("http://mcb-m6.bioreg.kyushu-u.ac.jp/M3/20110502/F51186/1072/1", 38.94)</f>
        <v>38.94</v>
      </c>
      <c r="E11101" s="2">
        <v>17.11</v>
      </c>
      <c r="F11101" s="2">
        <v>2</v>
      </c>
      <c r="G11101" s="2" t="s">
        <v>14</v>
      </c>
    </row>
    <row r="11102" spans="1:8" x14ac:dyDescent="0.2">
      <c r="A11102" s="2" t="s">
        <v>3293</v>
      </c>
      <c r="B11102" s="2" t="s">
        <v>377</v>
      </c>
      <c r="C11102" s="2">
        <v>700.59559999999999</v>
      </c>
      <c r="D11102" s="2">
        <f>HYPERLINK("http://mcb-m6.bioreg.kyushu-u.ac.jp/M3/20110502/F51184/1599/1", 40.46)</f>
        <v>40.46</v>
      </c>
      <c r="E11102" s="2">
        <v>21.81</v>
      </c>
      <c r="F11102" s="2">
        <v>2</v>
      </c>
      <c r="G11102" s="2" t="s">
        <v>14</v>
      </c>
    </row>
    <row r="11103" spans="1:8" x14ac:dyDescent="0.2">
      <c r="A11103" s="2" t="s">
        <v>3293</v>
      </c>
      <c r="B11103" s="2" t="s">
        <v>3101</v>
      </c>
      <c r="C11103" s="2">
        <v>764.64700000000005</v>
      </c>
      <c r="D11103" s="2">
        <f>HYPERLINK("http://mcb-m6.bioreg.kyushu-u.ac.jp/M3/20110502/F51193/382/1", 45.1)</f>
        <v>45.1</v>
      </c>
      <c r="E11103" s="2">
        <v>19.12</v>
      </c>
      <c r="F11103" s="2">
        <v>1</v>
      </c>
      <c r="G11103" s="2" t="s">
        <v>14</v>
      </c>
    </row>
    <row r="11104" spans="1:8" x14ac:dyDescent="0.2">
      <c r="A11104" s="2" t="s">
        <v>3293</v>
      </c>
      <c r="B11104" s="2" t="s">
        <v>347</v>
      </c>
      <c r="C11104" s="2">
        <v>567.55909999999994</v>
      </c>
      <c r="D11104" s="2">
        <f>HYPERLINK("http://mcb-m6.bioreg.kyushu-u.ac.jp/M3/20110502/F51179/900/1", 46.15)</f>
        <v>46.15</v>
      </c>
      <c r="E11104" s="2">
        <v>27.15</v>
      </c>
      <c r="F11104" s="2">
        <v>2</v>
      </c>
      <c r="G11104" s="2" t="s">
        <v>14</v>
      </c>
    </row>
    <row r="11105" spans="1:9" x14ac:dyDescent="0.2">
      <c r="A11105" s="2" t="s">
        <v>3293</v>
      </c>
      <c r="B11105" s="2" t="s">
        <v>945</v>
      </c>
      <c r="C11105" s="2">
        <v>686.10220000000004</v>
      </c>
      <c r="D11105" s="2">
        <f>HYPERLINK("http://mcb-m6.bioreg.kyushu-u.ac.jp/M3/20110502/F51179/1451/1", 48.1)</f>
        <v>48.1</v>
      </c>
      <c r="E11105" s="2">
        <v>29.33</v>
      </c>
      <c r="F11105" s="2">
        <v>2</v>
      </c>
      <c r="G11105" s="2" t="s">
        <v>14</v>
      </c>
    </row>
    <row r="11106" spans="1:9" x14ac:dyDescent="0.2">
      <c r="A11106" s="2" t="s">
        <v>3293</v>
      </c>
      <c r="B11106" s="2" t="s">
        <v>945</v>
      </c>
      <c r="C11106" s="2">
        <v>686.06119999999999</v>
      </c>
      <c r="D11106" s="2">
        <f>HYPERLINK("http://mcb-m6.bioreg.kyushu-u.ac.jp/M3/20110502/F51186/1579/1", 49.16)</f>
        <v>49.16</v>
      </c>
      <c r="E11106" s="2">
        <v>30.36</v>
      </c>
      <c r="F11106" s="2">
        <v>2</v>
      </c>
      <c r="G11106" s="2" t="s">
        <v>14</v>
      </c>
    </row>
    <row r="11107" spans="1:9" x14ac:dyDescent="0.2">
      <c r="A11107" s="2" t="s">
        <v>3293</v>
      </c>
      <c r="B11107" s="2" t="s">
        <v>73</v>
      </c>
      <c r="C11107" s="2">
        <v>606.42570000000001</v>
      </c>
      <c r="D11107" s="2">
        <f>HYPERLINK("http://mcb-m6.bioreg.kyushu-u.ac.jp/M3/20110502/F51186/1257/2", 50.79)</f>
        <v>50.79</v>
      </c>
      <c r="E11107" s="2">
        <v>28.54</v>
      </c>
      <c r="F11107" s="2">
        <v>2</v>
      </c>
      <c r="G11107" s="2" t="s">
        <v>14</v>
      </c>
      <c r="I11107" s="2" t="s">
        <v>4898</v>
      </c>
    </row>
    <row r="11108" spans="1:9" x14ac:dyDescent="0.2">
      <c r="A11108" s="2" t="s">
        <v>3293</v>
      </c>
      <c r="B11108" s="2" t="s">
        <v>1856</v>
      </c>
      <c r="C11108" s="2">
        <v>627.91470000000004</v>
      </c>
      <c r="D11108" s="2">
        <f>HYPERLINK("http://mcb-m6.bioreg.kyushu-u.ac.jp/M3/20110502/F51194/1200/1", 51.01)</f>
        <v>51.01</v>
      </c>
      <c r="E11108" s="2">
        <v>31.19</v>
      </c>
      <c r="F11108" s="2">
        <v>2</v>
      </c>
      <c r="G11108" s="2" t="s">
        <v>14</v>
      </c>
    </row>
    <row r="11109" spans="1:9" x14ac:dyDescent="0.2">
      <c r="A11109" s="2" t="s">
        <v>3293</v>
      </c>
      <c r="B11109" s="2" t="s">
        <v>73</v>
      </c>
      <c r="C11109" s="2">
        <v>606.63919999999996</v>
      </c>
      <c r="D11109" s="2">
        <f>HYPERLINK("http://mcb-m6.bioreg.kyushu-u.ac.jp/M3/20110502/F51190/1194/2", 53.09)</f>
        <v>53.09</v>
      </c>
      <c r="E11109" s="2">
        <v>28.42</v>
      </c>
      <c r="F11109" s="2">
        <v>2</v>
      </c>
      <c r="G11109" s="2" t="s">
        <v>14</v>
      </c>
      <c r="I11109" s="2" t="s">
        <v>4898</v>
      </c>
    </row>
    <row r="11110" spans="1:9" x14ac:dyDescent="0.2">
      <c r="A11110" s="2" t="s">
        <v>3293</v>
      </c>
      <c r="B11110" s="2" t="s">
        <v>1277</v>
      </c>
      <c r="C11110" s="2">
        <v>711.64670000000001</v>
      </c>
      <c r="D11110" s="2">
        <f>HYPERLINK("http://mcb-m6.bioreg.kyushu-u.ac.jp/M3/20110502/F51185/1741/1", 53.55)</f>
        <v>53.55</v>
      </c>
      <c r="E11110" s="2">
        <v>34.049999999999997</v>
      </c>
      <c r="F11110" s="2">
        <v>2</v>
      </c>
      <c r="G11110" s="2" t="s">
        <v>14</v>
      </c>
    </row>
    <row r="11111" spans="1:9" x14ac:dyDescent="0.2">
      <c r="A11111" s="2" t="s">
        <v>3293</v>
      </c>
      <c r="B11111" s="2" t="s">
        <v>3157</v>
      </c>
      <c r="C11111" s="2">
        <v>1387.944</v>
      </c>
      <c r="D11111" s="2">
        <f>HYPERLINK("http://mcb-m6.bioreg.kyushu-u.ac.jp/M3/20110502/F51193/3586/1", 54.48)</f>
        <v>54.48</v>
      </c>
      <c r="E11111" s="2">
        <v>46.63</v>
      </c>
      <c r="F11111" s="2">
        <v>2</v>
      </c>
      <c r="G11111" s="2" t="s">
        <v>14</v>
      </c>
    </row>
    <row r="11112" spans="1:9" x14ac:dyDescent="0.2">
      <c r="A11112" s="2" t="s">
        <v>3293</v>
      </c>
      <c r="B11112" s="2" t="s">
        <v>296</v>
      </c>
      <c r="C11112" s="2">
        <v>664.05269999999996</v>
      </c>
      <c r="D11112" s="2">
        <f>HYPERLINK("http://mcb-m6.bioreg.kyushu-u.ac.jp/M3/20110502/F51178/1742/1", 54.64)</f>
        <v>54.64</v>
      </c>
      <c r="E11112" s="2">
        <v>19.8</v>
      </c>
      <c r="F11112" s="2">
        <v>2</v>
      </c>
      <c r="G11112" s="2" t="s">
        <v>14</v>
      </c>
    </row>
    <row r="11113" spans="1:9" x14ac:dyDescent="0.2">
      <c r="A11113" s="2" t="s">
        <v>3293</v>
      </c>
      <c r="B11113" s="2" t="s">
        <v>724</v>
      </c>
      <c r="C11113" s="2">
        <v>648.5942</v>
      </c>
      <c r="D11113" s="2">
        <f>HYPERLINK("http://mcb-m6.bioreg.kyushu-u.ac.jp/M3/20110502/F51185/1378/1", 55.5)</f>
        <v>55.5</v>
      </c>
      <c r="E11113" s="2">
        <v>37.42</v>
      </c>
      <c r="F11113" s="2">
        <v>2</v>
      </c>
      <c r="G11113" s="2" t="s">
        <v>14</v>
      </c>
    </row>
    <row r="11114" spans="1:9" x14ac:dyDescent="0.2">
      <c r="A11114" s="2" t="s">
        <v>3293</v>
      </c>
      <c r="B11114" s="2" t="s">
        <v>296</v>
      </c>
      <c r="C11114" s="2">
        <v>664.11569999999995</v>
      </c>
      <c r="D11114" s="2">
        <f>HYPERLINK("http://mcb-m6.bioreg.kyushu-u.ac.jp/M3/20110502/F51185/1439/1", 56.02)</f>
        <v>56.02</v>
      </c>
      <c r="E11114" s="2">
        <v>31.08</v>
      </c>
      <c r="F11114" s="2">
        <v>2</v>
      </c>
      <c r="G11114" s="2" t="s">
        <v>14</v>
      </c>
    </row>
    <row r="11115" spans="1:9" x14ac:dyDescent="0.2">
      <c r="A11115" s="2" t="s">
        <v>3293</v>
      </c>
      <c r="B11115" s="2" t="s">
        <v>2937</v>
      </c>
      <c r="C11115" s="2">
        <v>549.35059999999999</v>
      </c>
      <c r="D11115" s="2">
        <f>HYPERLINK("http://mcb-m6.bioreg.kyushu-u.ac.jp/M3/20110502/F51194/825/1", 56.4)</f>
        <v>56.4</v>
      </c>
      <c r="E11115" s="2">
        <v>37.99</v>
      </c>
      <c r="F11115" s="2">
        <v>2</v>
      </c>
      <c r="G11115" s="2" t="s">
        <v>14</v>
      </c>
    </row>
    <row r="11116" spans="1:9" x14ac:dyDescent="0.2">
      <c r="A11116" s="2" t="s">
        <v>3293</v>
      </c>
      <c r="B11116" s="2" t="s">
        <v>451</v>
      </c>
      <c r="C11116" s="2">
        <v>709.9597</v>
      </c>
      <c r="D11116" s="2">
        <f>HYPERLINK("http://mcb-m6.bioreg.kyushu-u.ac.jp/M3/20110502/F51184/1652/1", 57.65)</f>
        <v>57.65</v>
      </c>
      <c r="E11116" s="2">
        <v>30.15</v>
      </c>
      <c r="F11116" s="2">
        <v>2</v>
      </c>
      <c r="G11116" s="2" t="s">
        <v>14</v>
      </c>
      <c r="H11116" s="2" t="s">
        <v>4891</v>
      </c>
    </row>
    <row r="11117" spans="1:9" x14ac:dyDescent="0.2">
      <c r="A11117" s="2" t="s">
        <v>3293</v>
      </c>
      <c r="B11117" s="2" t="s">
        <v>296</v>
      </c>
      <c r="C11117" s="2">
        <v>664.26919999999996</v>
      </c>
      <c r="D11117" s="2">
        <f>HYPERLINK("http://mcb-m6.bioreg.kyushu-u.ac.jp/M3/20110502/F51186/1466/1", 58.65)</f>
        <v>58.65</v>
      </c>
      <c r="E11117" s="2">
        <v>28.42</v>
      </c>
      <c r="F11117" s="2">
        <v>2</v>
      </c>
      <c r="G11117" s="2" t="s">
        <v>14</v>
      </c>
    </row>
    <row r="11118" spans="1:9" x14ac:dyDescent="0.2">
      <c r="A11118" s="2" t="s">
        <v>3293</v>
      </c>
      <c r="B11118" s="2" t="s">
        <v>305</v>
      </c>
      <c r="C11118" s="2">
        <v>739.69960000000003</v>
      </c>
      <c r="D11118" s="2">
        <f>HYPERLINK("http://mcb-m6.bioreg.kyushu-u.ac.jp/M3/20110502/F51193/1880/1", 59.6)</f>
        <v>59.6</v>
      </c>
      <c r="E11118" s="2">
        <v>28.62</v>
      </c>
      <c r="F11118" s="2">
        <v>2</v>
      </c>
      <c r="G11118" s="2" t="s">
        <v>14</v>
      </c>
    </row>
    <row r="11119" spans="1:9" x14ac:dyDescent="0.2">
      <c r="A11119" s="2" t="s">
        <v>3293</v>
      </c>
      <c r="B11119" s="2" t="s">
        <v>73</v>
      </c>
      <c r="C11119" s="2">
        <v>606.49959999999999</v>
      </c>
      <c r="D11119" s="2">
        <f>HYPERLINK("http://mcb-m6.bioreg.kyushu-u.ac.jp/M3/20110502/F51184/1044/2", 60.62)</f>
        <v>60.62</v>
      </c>
      <c r="E11119" s="2">
        <v>37.86</v>
      </c>
      <c r="F11119" s="2">
        <v>2</v>
      </c>
      <c r="G11119" s="2" t="s">
        <v>14</v>
      </c>
      <c r="I11119" s="2" t="s">
        <v>4898</v>
      </c>
    </row>
    <row r="11120" spans="1:9" x14ac:dyDescent="0.2">
      <c r="A11120" s="2" t="s">
        <v>3293</v>
      </c>
      <c r="B11120" s="2" t="s">
        <v>724</v>
      </c>
      <c r="C11120" s="2">
        <v>648.52919999999995</v>
      </c>
      <c r="D11120" s="2">
        <f>HYPERLINK("http://mcb-m6.bioreg.kyushu-u.ac.jp/M3/20110502/F51186/1414/1", 61.84)</f>
        <v>61.84</v>
      </c>
      <c r="E11120" s="2">
        <v>37.9</v>
      </c>
      <c r="F11120" s="2">
        <v>2</v>
      </c>
      <c r="G11120" s="2" t="s">
        <v>14</v>
      </c>
    </row>
    <row r="11121" spans="1:9" x14ac:dyDescent="0.2">
      <c r="A11121" s="2" t="s">
        <v>3293</v>
      </c>
      <c r="B11121" s="2" t="s">
        <v>837</v>
      </c>
      <c r="C11121" s="2">
        <v>742.28420000000006</v>
      </c>
      <c r="D11121" s="2">
        <f>HYPERLINK("http://mcb-m6.bioreg.kyushu-u.ac.jp/M3/20110502/F51193/1898/1", 62.2)</f>
        <v>62.2</v>
      </c>
      <c r="E11121" s="2">
        <v>38.130000000000003</v>
      </c>
      <c r="F11121" s="2">
        <v>2</v>
      </c>
      <c r="G11121" s="2" t="s">
        <v>14</v>
      </c>
    </row>
    <row r="11122" spans="1:9" x14ac:dyDescent="0.2">
      <c r="A11122" s="2" t="s">
        <v>3293</v>
      </c>
      <c r="B11122" s="2" t="s">
        <v>73</v>
      </c>
      <c r="C11122" s="2">
        <v>606.47670000000005</v>
      </c>
      <c r="D11122" s="2">
        <f>HYPERLINK("http://mcb-m6.bioreg.kyushu-u.ac.jp/M3/20110502/F51193/1205/2", 62.77)</f>
        <v>62.77</v>
      </c>
      <c r="E11122" s="2">
        <v>40.630000000000003</v>
      </c>
      <c r="F11122" s="2">
        <v>2</v>
      </c>
      <c r="G11122" s="2" t="s">
        <v>14</v>
      </c>
      <c r="I11122" s="2" t="s">
        <v>4898</v>
      </c>
    </row>
    <row r="11123" spans="1:9" x14ac:dyDescent="0.2">
      <c r="A11123" s="2" t="s">
        <v>3293</v>
      </c>
      <c r="B11123" s="2" t="s">
        <v>377</v>
      </c>
      <c r="C11123" s="2">
        <v>700.51120000000003</v>
      </c>
      <c r="D11123" s="2">
        <f>HYPERLINK("http://mcb-m6.bioreg.kyushu-u.ac.jp/M3/20110502/F51193/1649/1", 63.34)</f>
        <v>63.34</v>
      </c>
      <c r="E11123" s="2">
        <v>44.03</v>
      </c>
      <c r="F11123" s="2">
        <v>2</v>
      </c>
      <c r="G11123" s="2" t="s">
        <v>14</v>
      </c>
    </row>
    <row r="11124" spans="1:9" x14ac:dyDescent="0.2">
      <c r="A11124" s="2" t="s">
        <v>3293</v>
      </c>
      <c r="B11124" s="2" t="s">
        <v>724</v>
      </c>
      <c r="C11124" s="2">
        <v>648.35919999999999</v>
      </c>
      <c r="D11124" s="2">
        <f>HYPERLINK("http://mcb-m6.bioreg.kyushu-u.ac.jp/M3/20110502/F51194/1300/1", 63.75)</f>
        <v>63.75</v>
      </c>
      <c r="E11124" s="2">
        <v>38.24</v>
      </c>
      <c r="F11124" s="2">
        <v>2</v>
      </c>
      <c r="G11124" s="2" t="s">
        <v>14</v>
      </c>
    </row>
    <row r="11125" spans="1:9" x14ac:dyDescent="0.2">
      <c r="A11125" s="2" t="s">
        <v>3293</v>
      </c>
      <c r="B11125" s="2" t="s">
        <v>89</v>
      </c>
      <c r="C11125" s="2">
        <v>598.01670000000001</v>
      </c>
      <c r="D11125" s="2">
        <f>HYPERLINK("http://mcb-m6.bioreg.kyushu-u.ac.jp/M3/20110502/F51193/1175/1", 64.66)</f>
        <v>64.66</v>
      </c>
      <c r="E11125" s="2">
        <v>35.94</v>
      </c>
      <c r="F11125" s="2">
        <v>2</v>
      </c>
      <c r="G11125" s="2" t="s">
        <v>14</v>
      </c>
    </row>
    <row r="11126" spans="1:9" x14ac:dyDescent="0.2">
      <c r="A11126" s="2" t="s">
        <v>3293</v>
      </c>
      <c r="B11126" s="2" t="s">
        <v>296</v>
      </c>
      <c r="C11126" s="2">
        <v>664.29520000000002</v>
      </c>
      <c r="D11126" s="2">
        <f>HYPERLINK("http://mcb-m6.bioreg.kyushu-u.ac.jp/M3/20110502/F51184/1343/1", 66.37)</f>
        <v>66.37</v>
      </c>
      <c r="E11126" s="2">
        <v>35.61</v>
      </c>
      <c r="F11126" s="2">
        <v>2</v>
      </c>
      <c r="G11126" s="2" t="s">
        <v>14</v>
      </c>
    </row>
    <row r="11127" spans="1:9" x14ac:dyDescent="0.2">
      <c r="A11127" s="2" t="s">
        <v>3293</v>
      </c>
      <c r="B11127" s="2" t="s">
        <v>1277</v>
      </c>
      <c r="C11127" s="2">
        <v>711.63919999999996</v>
      </c>
      <c r="D11127" s="2">
        <f>HYPERLINK("http://mcb-m6.bioreg.kyushu-u.ac.jp/M3/20110502/F51193/1724/1", 67.03)</f>
        <v>67.03</v>
      </c>
      <c r="E11127" s="2">
        <v>37.020000000000003</v>
      </c>
      <c r="F11127" s="2">
        <v>2</v>
      </c>
      <c r="G11127" s="2" t="s">
        <v>14</v>
      </c>
    </row>
    <row r="11128" spans="1:9" x14ac:dyDescent="0.2">
      <c r="A11128" s="2" t="s">
        <v>3293</v>
      </c>
      <c r="B11128" s="2" t="s">
        <v>2937</v>
      </c>
      <c r="C11128" s="2">
        <v>549.42169999999999</v>
      </c>
      <c r="D11128" s="2">
        <f>HYPERLINK("http://mcb-m6.bioreg.kyushu-u.ac.jp/M3/20110502/F51193/960/1", 67.8)</f>
        <v>67.8</v>
      </c>
      <c r="E11128" s="2">
        <v>50.99</v>
      </c>
      <c r="F11128" s="2">
        <v>2</v>
      </c>
      <c r="G11128" s="2" t="s">
        <v>14</v>
      </c>
    </row>
    <row r="11129" spans="1:9" x14ac:dyDescent="0.2">
      <c r="A11129" s="2" t="s">
        <v>3293</v>
      </c>
      <c r="B11129" s="2" t="s">
        <v>1277</v>
      </c>
      <c r="C11129" s="2">
        <v>711.57669999999996</v>
      </c>
      <c r="D11129" s="2">
        <f>HYPERLINK("http://mcb-m6.bioreg.kyushu-u.ac.jp/M3/20110502/F51186/1729/1", 68.85)</f>
        <v>68.849999999999994</v>
      </c>
      <c r="E11129" s="2">
        <v>34.19</v>
      </c>
      <c r="F11129" s="2">
        <v>2</v>
      </c>
      <c r="G11129" s="2" t="s">
        <v>14</v>
      </c>
    </row>
    <row r="11130" spans="1:9" x14ac:dyDescent="0.2">
      <c r="A11130" s="2" t="s">
        <v>3293</v>
      </c>
      <c r="B11130" s="2" t="s">
        <v>451</v>
      </c>
      <c r="C11130" s="2">
        <v>710.04970000000003</v>
      </c>
      <c r="D11130" s="2">
        <f>HYPERLINK("http://mcb-m6.bioreg.kyushu-u.ac.jp/M3/20110502/F51193/1715/1", 70.05)</f>
        <v>70.05</v>
      </c>
      <c r="E11130" s="2">
        <v>43.84</v>
      </c>
      <c r="F11130" s="2">
        <v>2</v>
      </c>
      <c r="G11130" s="2" t="s">
        <v>14</v>
      </c>
      <c r="H11130" s="2" t="s">
        <v>4891</v>
      </c>
    </row>
    <row r="11131" spans="1:9" x14ac:dyDescent="0.2">
      <c r="A11131" s="2" t="s">
        <v>3293</v>
      </c>
      <c r="B11131" s="2" t="s">
        <v>305</v>
      </c>
      <c r="C11131" s="2">
        <v>739.47609999999997</v>
      </c>
      <c r="D11131" s="2">
        <f>HYPERLINK("http://mcb-m6.bioreg.kyushu-u.ac.jp/M3/20110502/F51194/1814/1", 71.32)</f>
        <v>71.319999999999993</v>
      </c>
      <c r="E11131" s="2">
        <v>48.01</v>
      </c>
      <c r="F11131" s="2">
        <v>2</v>
      </c>
      <c r="G11131" s="2" t="s">
        <v>14</v>
      </c>
    </row>
    <row r="11132" spans="1:9" x14ac:dyDescent="0.2">
      <c r="A11132" s="2" t="s">
        <v>3293</v>
      </c>
      <c r="B11132" s="2" t="s">
        <v>377</v>
      </c>
      <c r="C11132" s="2">
        <v>700.51459999999997</v>
      </c>
      <c r="D11132" s="2">
        <f>HYPERLINK("http://mcb-m6.bioreg.kyushu-u.ac.jp/M3/20110502/F51186/1672/1", 71.77)</f>
        <v>71.77</v>
      </c>
      <c r="E11132" s="2">
        <v>39.590000000000003</v>
      </c>
      <c r="F11132" s="2">
        <v>2</v>
      </c>
      <c r="G11132" s="2" t="s">
        <v>14</v>
      </c>
    </row>
    <row r="11133" spans="1:9" x14ac:dyDescent="0.2">
      <c r="A11133" s="2" t="s">
        <v>3293</v>
      </c>
      <c r="B11133" s="2" t="s">
        <v>296</v>
      </c>
      <c r="C11133" s="2">
        <v>664.06920000000002</v>
      </c>
      <c r="D11133" s="2">
        <f>HYPERLINK("http://mcb-m6.bioreg.kyushu-u.ac.jp/M3/20110502/F51193/1401/1", 72.86)</f>
        <v>72.86</v>
      </c>
      <c r="E11133" s="2">
        <v>40.909999999999997</v>
      </c>
      <c r="F11133" s="2">
        <v>2</v>
      </c>
      <c r="G11133" s="2" t="s">
        <v>14</v>
      </c>
    </row>
    <row r="11134" spans="1:9" x14ac:dyDescent="0.2">
      <c r="A11134" s="2" t="s">
        <v>3293</v>
      </c>
      <c r="B11134" s="2" t="s">
        <v>1277</v>
      </c>
      <c r="C11134" s="2">
        <v>711.56320000000005</v>
      </c>
      <c r="D11134" s="2">
        <f>HYPERLINK("http://mcb-m6.bioreg.kyushu-u.ac.jp/M3/20110502/F51194/1664/1", 79.09)</f>
        <v>79.09</v>
      </c>
      <c r="E11134" s="2">
        <v>51.92</v>
      </c>
      <c r="F11134" s="2">
        <v>2</v>
      </c>
      <c r="G11134" s="2" t="s">
        <v>14</v>
      </c>
    </row>
    <row r="11135" spans="1:9" x14ac:dyDescent="0.2">
      <c r="A11135" s="2" t="s">
        <v>3293</v>
      </c>
      <c r="B11135" s="2" t="s">
        <v>945</v>
      </c>
      <c r="C11135" s="2">
        <v>685.98519999999996</v>
      </c>
      <c r="D11135" s="2">
        <f>HYPERLINK("http://mcb-m6.bioreg.kyushu-u.ac.jp/M3/20110502/F51194/1476/1", 82.62)</f>
        <v>82.62</v>
      </c>
      <c r="E11135" s="2">
        <v>52.16</v>
      </c>
      <c r="F11135" s="2">
        <v>2</v>
      </c>
      <c r="G11135" s="2" t="s">
        <v>14</v>
      </c>
    </row>
    <row r="11136" spans="1:9" x14ac:dyDescent="0.2">
      <c r="A11136" s="2" t="s">
        <v>3293</v>
      </c>
      <c r="B11136" s="2" t="s">
        <v>945</v>
      </c>
      <c r="C11136" s="2">
        <v>686.08969999999999</v>
      </c>
      <c r="D11136" s="2">
        <f>HYPERLINK("http://mcb-m6.bioreg.kyushu-u.ac.jp/M3/20110502/F51193/1539/1", 85.94)</f>
        <v>85.94</v>
      </c>
      <c r="E11136" s="2">
        <v>56.93</v>
      </c>
      <c r="F11136" s="2">
        <v>2</v>
      </c>
      <c r="G11136" s="2" t="s">
        <v>14</v>
      </c>
    </row>
    <row r="11137" spans="1:8" x14ac:dyDescent="0.2">
      <c r="A11137" s="2" t="s">
        <v>3293</v>
      </c>
      <c r="B11137" s="2" t="s">
        <v>945</v>
      </c>
      <c r="C11137" s="2">
        <v>686.0856</v>
      </c>
      <c r="D11137" s="2">
        <f>HYPERLINK("http://mcb-m6.bioreg.kyushu-u.ac.jp/M3/20110502/F51184/1474/1", 89.62)</f>
        <v>89.62</v>
      </c>
      <c r="E11137" s="2">
        <v>59.8</v>
      </c>
      <c r="F11137" s="2">
        <v>2</v>
      </c>
      <c r="G11137" s="2" t="s">
        <v>14</v>
      </c>
    </row>
    <row r="11138" spans="1:8" x14ac:dyDescent="0.2">
      <c r="A11138" s="2" t="s">
        <v>3293</v>
      </c>
      <c r="B11138" s="2" t="s">
        <v>451</v>
      </c>
      <c r="C11138" s="2">
        <v>702.14319999999998</v>
      </c>
      <c r="D11138" s="2">
        <f>HYPERLINK("http://mcb-m6.bioreg.kyushu-u.ac.jp/M3/20110502/F51193/1662/1", 98.03)</f>
        <v>98.03</v>
      </c>
      <c r="E11138" s="2">
        <v>77.099999999999994</v>
      </c>
      <c r="F11138" s="2">
        <v>2</v>
      </c>
      <c r="G11138" s="2" t="s">
        <v>14</v>
      </c>
    </row>
    <row r="11139" spans="1:8" x14ac:dyDescent="0.2">
      <c r="A11139" s="2" t="s">
        <v>3293</v>
      </c>
      <c r="B11139" s="2" t="s">
        <v>945</v>
      </c>
      <c r="C11139" s="2">
        <v>686.23360000000002</v>
      </c>
      <c r="D11139" s="2">
        <f>HYPERLINK("http://mcb-m6.bioreg.kyushu-u.ac.jp/M3/20110502/F51183/1566/1", 99.29)</f>
        <v>99.29</v>
      </c>
      <c r="E11139" s="2">
        <v>63.69</v>
      </c>
      <c r="F11139" s="2">
        <v>2</v>
      </c>
      <c r="G11139" s="2" t="s">
        <v>14</v>
      </c>
    </row>
    <row r="11140" spans="1:8" x14ac:dyDescent="0.2">
      <c r="A11140" s="2" t="s">
        <v>3468</v>
      </c>
      <c r="B11140" s="2" t="s">
        <v>280</v>
      </c>
      <c r="C11140" s="2">
        <v>850.59500000000003</v>
      </c>
      <c r="D11140" s="2">
        <f>HYPERLINK("http://mcb-m6.bioreg.kyushu-u.ac.jp/M3/20110411/F50915/521/2", 38.92)</f>
        <v>38.92</v>
      </c>
      <c r="E11140" s="2">
        <v>18.78</v>
      </c>
      <c r="F11140" s="2">
        <v>1</v>
      </c>
      <c r="G11140" s="2" t="s">
        <v>9</v>
      </c>
      <c r="H11140" s="2" t="s">
        <v>4901</v>
      </c>
    </row>
    <row r="11141" spans="1:8" x14ac:dyDescent="0.2">
      <c r="A11141" s="2" t="s">
        <v>3468</v>
      </c>
      <c r="B11141" s="2" t="s">
        <v>1714</v>
      </c>
      <c r="C11141" s="2">
        <v>722.40499999999997</v>
      </c>
      <c r="D11141" s="2">
        <f>HYPERLINK("http://mcb-m6.bioreg.kyushu-u.ac.jp/M3/20110411/F50918/513/2", 36.04)</f>
        <v>36.04</v>
      </c>
      <c r="E11141" s="2">
        <v>15.34</v>
      </c>
      <c r="F11141" s="2">
        <v>1</v>
      </c>
      <c r="G11141" s="2" t="s">
        <v>10</v>
      </c>
      <c r="H11141" s="2" t="s">
        <v>4915</v>
      </c>
    </row>
    <row r="11142" spans="1:8" x14ac:dyDescent="0.2">
      <c r="A11142" s="2" t="s">
        <v>3468</v>
      </c>
      <c r="B11142" s="2" t="s">
        <v>1714</v>
      </c>
      <c r="C11142" s="2">
        <v>722.46</v>
      </c>
      <c r="D11142" s="2">
        <f>HYPERLINK("http://mcb-m6.bioreg.kyushu-u.ac.jp/M3/20110411/F50917/495/2", 38.64)</f>
        <v>38.64</v>
      </c>
      <c r="E11142" s="2">
        <v>11.04</v>
      </c>
      <c r="F11142" s="2">
        <v>1</v>
      </c>
      <c r="G11142" s="2" t="s">
        <v>10</v>
      </c>
      <c r="H11142" s="2" t="s">
        <v>4915</v>
      </c>
    </row>
    <row r="11143" spans="1:8" x14ac:dyDescent="0.2">
      <c r="A11143" s="2" t="s">
        <v>3527</v>
      </c>
      <c r="B11143" s="2" t="s">
        <v>372</v>
      </c>
      <c r="C11143" s="2">
        <v>713.96010000000001</v>
      </c>
      <c r="D11143" s="2">
        <f>HYPERLINK("http://mcb-m6.bioreg.kyushu-u.ac.jp/M3/20110411/F50916/1760/1", 40.56)</f>
        <v>40.56</v>
      </c>
      <c r="E11143" s="2">
        <v>20.079999999999998</v>
      </c>
      <c r="F11143" s="2">
        <v>2</v>
      </c>
      <c r="G11143" s="2" t="s">
        <v>9</v>
      </c>
    </row>
    <row r="11144" spans="1:8" x14ac:dyDescent="0.2">
      <c r="A11144" s="2" t="s">
        <v>3527</v>
      </c>
      <c r="B11144" s="2" t="s">
        <v>497</v>
      </c>
      <c r="C11144" s="2">
        <v>1076.57</v>
      </c>
      <c r="D11144" s="2">
        <f>HYPERLINK("http://mcb-m6.bioreg.kyushu-u.ac.jp/M3/20110411/F50916/946/1", 43.24)</f>
        <v>43.24</v>
      </c>
      <c r="E11144" s="2">
        <v>18.989999999999998</v>
      </c>
      <c r="F11144" s="2">
        <v>1</v>
      </c>
      <c r="G11144" s="2" t="s">
        <v>9</v>
      </c>
    </row>
    <row r="11145" spans="1:8" x14ac:dyDescent="0.2">
      <c r="A11145" s="2" t="s">
        <v>3527</v>
      </c>
      <c r="B11145" s="2" t="s">
        <v>579</v>
      </c>
      <c r="C11145" s="2">
        <v>568.12519999999995</v>
      </c>
      <c r="D11145" s="2">
        <f>HYPERLINK("http://mcb-m6.bioreg.kyushu-u.ac.jp/M3/20110411/F50916/1047/1", 45.37)</f>
        <v>45.37</v>
      </c>
      <c r="E11145" s="2">
        <v>31.19</v>
      </c>
      <c r="F11145" s="2">
        <v>2</v>
      </c>
      <c r="G11145" s="2" t="s">
        <v>9</v>
      </c>
    </row>
    <row r="11146" spans="1:8" x14ac:dyDescent="0.2">
      <c r="A11146" s="2" t="s">
        <v>3527</v>
      </c>
      <c r="B11146" s="2" t="s">
        <v>497</v>
      </c>
      <c r="C11146" s="2">
        <v>1076.5139999999999</v>
      </c>
      <c r="D11146" s="2">
        <f>HYPERLINK("http://mcb-m6.bioreg.kyushu-u.ac.jp/M3/20110411/F50915/915/1", 47.95)</f>
        <v>47.95</v>
      </c>
      <c r="E11146" s="2">
        <v>18.89</v>
      </c>
      <c r="F11146" s="2">
        <v>1</v>
      </c>
      <c r="G11146" s="2" t="s">
        <v>9</v>
      </c>
    </row>
    <row r="11147" spans="1:8" x14ac:dyDescent="0.2">
      <c r="A11147" s="2" t="s">
        <v>3527</v>
      </c>
      <c r="B11147" s="2" t="s">
        <v>710</v>
      </c>
      <c r="C11147" s="2">
        <v>1257.6569999999999</v>
      </c>
      <c r="D11147" s="2">
        <f>HYPERLINK("http://mcb-m6.bioreg.kyushu-u.ac.jp/M3/20110411/F50916/1310/1", 48.94)</f>
        <v>48.94</v>
      </c>
      <c r="E11147" s="2">
        <v>20.65</v>
      </c>
      <c r="F11147" s="2">
        <v>1</v>
      </c>
      <c r="G11147" s="2" t="s">
        <v>9</v>
      </c>
    </row>
    <row r="11148" spans="1:8" x14ac:dyDescent="0.2">
      <c r="A11148" s="2" t="s">
        <v>3527</v>
      </c>
      <c r="B11148" s="2" t="s">
        <v>497</v>
      </c>
      <c r="C11148" s="2">
        <v>539.05020000000002</v>
      </c>
      <c r="D11148" s="2">
        <f>HYPERLINK("http://mcb-m6.bioreg.kyushu-u.ac.jp/M3/20110411/F50916/947/1", 52.95)</f>
        <v>52.95</v>
      </c>
      <c r="E11148" s="2">
        <v>33.450000000000003</v>
      </c>
      <c r="F11148" s="2">
        <v>2</v>
      </c>
      <c r="G11148" s="2" t="s">
        <v>9</v>
      </c>
    </row>
    <row r="11149" spans="1:8" x14ac:dyDescent="0.2">
      <c r="A11149" s="2" t="s">
        <v>3527</v>
      </c>
      <c r="B11149" s="2" t="s">
        <v>973</v>
      </c>
      <c r="C11149" s="2">
        <v>634.40769999999998</v>
      </c>
      <c r="D11149" s="2">
        <f>HYPERLINK("http://mcb-m6.bioreg.kyushu-u.ac.jp/M3/20110411/F50916/1333/1", 57.51)</f>
        <v>57.51</v>
      </c>
      <c r="E11149" s="2">
        <v>40.32</v>
      </c>
      <c r="F11149" s="2">
        <v>2</v>
      </c>
      <c r="G11149" s="2" t="s">
        <v>9</v>
      </c>
    </row>
    <row r="11150" spans="1:8" x14ac:dyDescent="0.2">
      <c r="A11150" s="2" t="s">
        <v>3527</v>
      </c>
      <c r="B11150" s="2" t="s">
        <v>1012</v>
      </c>
      <c r="C11150" s="2">
        <v>791.07259999999997</v>
      </c>
      <c r="D11150" s="2">
        <f>HYPERLINK("http://mcb-m6.bioreg.kyushu-u.ac.jp/M3/20110411/F50915/2225/1", 58.77)</f>
        <v>58.77</v>
      </c>
      <c r="E11150" s="2">
        <v>30.77</v>
      </c>
      <c r="F11150" s="2">
        <v>2</v>
      </c>
      <c r="G11150" s="2" t="s">
        <v>9</v>
      </c>
    </row>
    <row r="11151" spans="1:8" x14ac:dyDescent="0.2">
      <c r="A11151" s="2" t="s">
        <v>3527</v>
      </c>
      <c r="B11151" s="2" t="s">
        <v>1012</v>
      </c>
      <c r="C11151" s="2">
        <v>791.01070000000004</v>
      </c>
      <c r="D11151" s="2">
        <f>HYPERLINK("http://mcb-m6.bioreg.kyushu-u.ac.jp/M3/20110411/F50916/2181/1", 64.2)</f>
        <v>64.2</v>
      </c>
      <c r="E11151" s="2">
        <v>44.73</v>
      </c>
      <c r="F11151" s="2">
        <v>2</v>
      </c>
      <c r="G11151" s="2" t="s">
        <v>9</v>
      </c>
    </row>
    <row r="11152" spans="1:8" x14ac:dyDescent="0.2">
      <c r="A11152" s="2" t="s">
        <v>3527</v>
      </c>
      <c r="B11152" s="2" t="s">
        <v>710</v>
      </c>
      <c r="C11152" s="2">
        <v>629.85770000000002</v>
      </c>
      <c r="D11152" s="2">
        <f>HYPERLINK("http://mcb-m6.bioreg.kyushu-u.ac.jp/M3/20110411/F50891/1519/1", 66.52)</f>
        <v>66.52</v>
      </c>
      <c r="E11152" s="2">
        <v>42.03</v>
      </c>
      <c r="F11152" s="2">
        <v>2</v>
      </c>
      <c r="G11152" s="2" t="s">
        <v>9</v>
      </c>
    </row>
    <row r="11153" spans="1:9" x14ac:dyDescent="0.2">
      <c r="A11153" s="2" t="s">
        <v>3527</v>
      </c>
      <c r="B11153" s="2" t="s">
        <v>579</v>
      </c>
      <c r="C11153" s="2">
        <v>1134.559</v>
      </c>
      <c r="D11153" s="2">
        <f>HYPERLINK("http://mcb-m6.bioreg.kyushu-u.ac.jp/M3/20110411/F50916/1045/1", 70.79)</f>
        <v>70.790000000000006</v>
      </c>
      <c r="E11153" s="2">
        <v>43.74</v>
      </c>
      <c r="F11153" s="2">
        <v>1</v>
      </c>
      <c r="G11153" s="2" t="s">
        <v>9</v>
      </c>
    </row>
    <row r="11154" spans="1:9" x14ac:dyDescent="0.2">
      <c r="A11154" s="2" t="s">
        <v>3527</v>
      </c>
      <c r="B11154" s="2" t="s">
        <v>372</v>
      </c>
      <c r="C11154" s="2">
        <v>713.86869999999999</v>
      </c>
      <c r="D11154" s="2">
        <f>HYPERLINK("http://mcb-m6.bioreg.kyushu-u.ac.jp/M3/20110411/F50915/1728/1", 74.24)</f>
        <v>74.239999999999995</v>
      </c>
      <c r="E11154" s="2">
        <v>54.12</v>
      </c>
      <c r="F11154" s="2">
        <v>2</v>
      </c>
      <c r="G11154" s="2" t="s">
        <v>9</v>
      </c>
    </row>
    <row r="11155" spans="1:9" x14ac:dyDescent="0.2">
      <c r="A11155" s="2" t="s">
        <v>3527</v>
      </c>
      <c r="B11155" s="2" t="s">
        <v>710</v>
      </c>
      <c r="C11155" s="2">
        <v>629.90620000000001</v>
      </c>
      <c r="D11155" s="2">
        <f>HYPERLINK("http://mcb-m6.bioreg.kyushu-u.ac.jp/M3/20110411/F50916/1313/1", 76.03)</f>
        <v>76.03</v>
      </c>
      <c r="E11155" s="2">
        <v>50.77</v>
      </c>
      <c r="F11155" s="2">
        <v>2</v>
      </c>
      <c r="G11155" s="2" t="s">
        <v>9</v>
      </c>
    </row>
    <row r="11156" spans="1:9" x14ac:dyDescent="0.2">
      <c r="A11156" s="2" t="s">
        <v>3527</v>
      </c>
      <c r="B11156" s="2" t="s">
        <v>1582</v>
      </c>
      <c r="C11156" s="2">
        <v>774.52470000000005</v>
      </c>
      <c r="D11156" s="2">
        <f>HYPERLINK("http://mcb-m6.bioreg.kyushu-u.ac.jp/M3/20110411/F50915/2111/1", 95.26)</f>
        <v>95.26</v>
      </c>
      <c r="E11156" s="2">
        <v>75.91</v>
      </c>
      <c r="F11156" s="2">
        <v>2</v>
      </c>
      <c r="G11156" s="2" t="s">
        <v>9</v>
      </c>
      <c r="I11156" s="2" t="s">
        <v>4898</v>
      </c>
    </row>
    <row r="11157" spans="1:9" x14ac:dyDescent="0.2">
      <c r="A11157" s="2" t="s">
        <v>3527</v>
      </c>
      <c r="B11157" s="2" t="s">
        <v>1582</v>
      </c>
      <c r="C11157" s="2">
        <v>774.53309999999999</v>
      </c>
      <c r="D11157" s="2">
        <f>HYPERLINK("http://mcb-m6.bioreg.kyushu-u.ac.jp/M3/20110411/F50916/2074/1", 101.61)</f>
        <v>101.61</v>
      </c>
      <c r="E11157" s="2">
        <v>79.48</v>
      </c>
      <c r="F11157" s="2">
        <v>2</v>
      </c>
      <c r="G11157" s="2" t="s">
        <v>9</v>
      </c>
      <c r="I11157" s="2" t="s">
        <v>4898</v>
      </c>
    </row>
    <row r="11158" spans="1:9" x14ac:dyDescent="0.2">
      <c r="A11158" s="2" t="s">
        <v>3527</v>
      </c>
      <c r="B11158" s="2" t="s">
        <v>973</v>
      </c>
      <c r="C11158" s="2">
        <v>641.85919999999999</v>
      </c>
      <c r="D11158" s="2">
        <f>HYPERLINK("http://mcb-m6.bioreg.kyushu-u.ac.jp/M3/20110411/F50918/1345/1", 39.47)</f>
        <v>39.47</v>
      </c>
      <c r="E11158" s="2">
        <v>26.38</v>
      </c>
      <c r="F11158" s="2">
        <v>2</v>
      </c>
      <c r="G11158" s="2" t="s">
        <v>10</v>
      </c>
      <c r="H11158" s="2" t="s">
        <v>4891</v>
      </c>
    </row>
    <row r="11159" spans="1:9" x14ac:dyDescent="0.2">
      <c r="A11159" s="2" t="s">
        <v>3527</v>
      </c>
      <c r="B11159" s="2" t="s">
        <v>497</v>
      </c>
      <c r="C11159" s="2">
        <v>539.32169999999996</v>
      </c>
      <c r="D11159" s="2">
        <f>HYPERLINK("http://mcb-m6.bioreg.kyushu-u.ac.jp/M3/20110411/F50917/958/1", 44.97)</f>
        <v>44.97</v>
      </c>
      <c r="E11159" s="2">
        <v>23.86</v>
      </c>
      <c r="F11159" s="2">
        <v>2</v>
      </c>
      <c r="G11159" s="2" t="s">
        <v>10</v>
      </c>
    </row>
    <row r="11160" spans="1:9" x14ac:dyDescent="0.2">
      <c r="A11160" s="2" t="s">
        <v>3527</v>
      </c>
      <c r="B11160" s="2" t="s">
        <v>710</v>
      </c>
      <c r="C11160" s="2">
        <v>629.42359999999996</v>
      </c>
      <c r="D11160" s="2">
        <f>HYPERLINK("http://mcb-m6.bioreg.kyushu-u.ac.jp/M3/20110411/F50917/1373/1", 56.04)</f>
        <v>56.04</v>
      </c>
      <c r="E11160" s="2">
        <v>29.08</v>
      </c>
      <c r="F11160" s="2">
        <v>2</v>
      </c>
      <c r="G11160" s="2" t="s">
        <v>10</v>
      </c>
    </row>
    <row r="11161" spans="1:9" x14ac:dyDescent="0.2">
      <c r="A11161" s="2" t="s">
        <v>3527</v>
      </c>
      <c r="B11161" s="2" t="s">
        <v>579</v>
      </c>
      <c r="C11161" s="2">
        <v>567.55619999999999</v>
      </c>
      <c r="D11161" s="2">
        <f>HYPERLINK("http://mcb-m6.bioreg.kyushu-u.ac.jp/M3/20110411/F50918/1026/1", 57.06)</f>
        <v>57.06</v>
      </c>
      <c r="E11161" s="2">
        <v>42.32</v>
      </c>
      <c r="F11161" s="2">
        <v>2</v>
      </c>
      <c r="G11161" s="2" t="s">
        <v>10</v>
      </c>
    </row>
    <row r="11162" spans="1:9" x14ac:dyDescent="0.2">
      <c r="A11162" s="2" t="s">
        <v>3527</v>
      </c>
      <c r="B11162" s="2" t="s">
        <v>579</v>
      </c>
      <c r="C11162" s="2">
        <v>567.83259999999996</v>
      </c>
      <c r="D11162" s="2">
        <f>HYPERLINK("http://mcb-m6.bioreg.kyushu-u.ac.jp/M3/20110411/F50917/1083/1", 60.79)</f>
        <v>60.79</v>
      </c>
      <c r="E11162" s="2">
        <v>41.18</v>
      </c>
      <c r="F11162" s="2">
        <v>2</v>
      </c>
      <c r="G11162" s="2" t="s">
        <v>10</v>
      </c>
    </row>
    <row r="11163" spans="1:9" x14ac:dyDescent="0.2">
      <c r="A11163" s="2" t="s">
        <v>3527</v>
      </c>
      <c r="B11163" s="2" t="s">
        <v>372</v>
      </c>
      <c r="C11163" s="2">
        <v>713.89170000000001</v>
      </c>
      <c r="D11163" s="2">
        <f>HYPERLINK("http://mcb-m6.bioreg.kyushu-u.ac.jp/M3/20110411/F50918/1739/1", 65.15)</f>
        <v>65.150000000000006</v>
      </c>
      <c r="E11163" s="2">
        <v>45.26</v>
      </c>
      <c r="F11163" s="2">
        <v>2</v>
      </c>
      <c r="G11163" s="2" t="s">
        <v>10</v>
      </c>
    </row>
    <row r="11164" spans="1:9" x14ac:dyDescent="0.2">
      <c r="A11164" s="2" t="s">
        <v>3527</v>
      </c>
      <c r="B11164" s="2" t="s">
        <v>579</v>
      </c>
      <c r="C11164" s="2">
        <v>567.98270000000002</v>
      </c>
      <c r="D11164" s="2">
        <f>HYPERLINK("http://mcb-m6.bioreg.kyushu-u.ac.jp/M3/20110411/F50902/1326/1", 65.73)</f>
        <v>65.73</v>
      </c>
      <c r="E11164" s="2">
        <v>46.8</v>
      </c>
      <c r="F11164" s="2">
        <v>2</v>
      </c>
      <c r="G11164" s="2" t="s">
        <v>10</v>
      </c>
    </row>
    <row r="11165" spans="1:9" x14ac:dyDescent="0.2">
      <c r="A11165" s="2" t="s">
        <v>3527</v>
      </c>
      <c r="B11165" s="2" t="s">
        <v>710</v>
      </c>
      <c r="C11165" s="2">
        <v>629.54319999999996</v>
      </c>
      <c r="D11165" s="2">
        <f>HYPERLINK("http://mcb-m6.bioreg.kyushu-u.ac.jp/M3/20110411/F50902/1556/1", 71.9)</f>
        <v>71.900000000000006</v>
      </c>
      <c r="E11165" s="2">
        <v>45.32</v>
      </c>
      <c r="F11165" s="2">
        <v>2</v>
      </c>
      <c r="G11165" s="2" t="s">
        <v>10</v>
      </c>
    </row>
    <row r="11166" spans="1:9" x14ac:dyDescent="0.2">
      <c r="A11166" s="2" t="s">
        <v>3527</v>
      </c>
      <c r="B11166" s="2" t="s">
        <v>372</v>
      </c>
      <c r="C11166" s="2">
        <v>714.11320000000001</v>
      </c>
      <c r="D11166" s="2">
        <f>HYPERLINK("http://mcb-m6.bioreg.kyushu-u.ac.jp/M3/20110411/F50917/1805/1", 82.5)</f>
        <v>82.5</v>
      </c>
      <c r="E11166" s="2">
        <v>62.89</v>
      </c>
      <c r="F11166" s="2">
        <v>2</v>
      </c>
      <c r="G11166" s="2" t="s">
        <v>10</v>
      </c>
    </row>
    <row r="11167" spans="1:9" x14ac:dyDescent="0.2">
      <c r="A11167" s="2" t="s">
        <v>3527</v>
      </c>
      <c r="B11167" s="2" t="s">
        <v>710</v>
      </c>
      <c r="C11167" s="2">
        <v>629.90120000000002</v>
      </c>
      <c r="D11167" s="2">
        <f>HYPERLINK("http://mcb-m6.bioreg.kyushu-u.ac.jp/M3/20110411/F50918/1297/1", 96.53)</f>
        <v>96.53</v>
      </c>
      <c r="E11167" s="2">
        <v>70.61</v>
      </c>
      <c r="F11167" s="2">
        <v>2</v>
      </c>
      <c r="G11167" s="2" t="s">
        <v>10</v>
      </c>
    </row>
    <row r="11168" spans="1:9" x14ac:dyDescent="0.2">
      <c r="A11168" s="2" t="s">
        <v>3527</v>
      </c>
      <c r="B11168" s="2" t="s">
        <v>1582</v>
      </c>
      <c r="C11168" s="2">
        <v>774.48910000000001</v>
      </c>
      <c r="D11168" s="2">
        <f>HYPERLINK("http://mcb-m6.bioreg.kyushu-u.ac.jp/M3/20110411/F50918/2039/1", 97.52)</f>
        <v>97.52</v>
      </c>
      <c r="E11168" s="2">
        <v>66.02</v>
      </c>
      <c r="F11168" s="2">
        <v>2</v>
      </c>
      <c r="G11168" s="2" t="s">
        <v>10</v>
      </c>
      <c r="I11168" s="2" t="s">
        <v>4898</v>
      </c>
    </row>
    <row r="11169" spans="1:8" x14ac:dyDescent="0.2">
      <c r="A11169" s="2" t="s">
        <v>3527</v>
      </c>
      <c r="B11169" s="2" t="s">
        <v>372</v>
      </c>
      <c r="C11169" s="2">
        <v>714.21259999999995</v>
      </c>
      <c r="D11169" s="2">
        <f>HYPERLINK("http://mcb-m6.bioreg.kyushu-u.ac.jp/M3/20110414/F50956/1729/1", 35.95)</f>
        <v>35.950000000000003</v>
      </c>
      <c r="E11169" s="2">
        <v>16.079999999999998</v>
      </c>
      <c r="F11169" s="2">
        <v>2</v>
      </c>
      <c r="G11169" s="2" t="s">
        <v>11</v>
      </c>
    </row>
    <row r="11170" spans="1:8" x14ac:dyDescent="0.2">
      <c r="A11170" s="2" t="s">
        <v>3527</v>
      </c>
      <c r="B11170" s="2" t="s">
        <v>1012</v>
      </c>
      <c r="C11170" s="2">
        <v>791.33370000000002</v>
      </c>
      <c r="D11170" s="2">
        <f>HYPERLINK("http://mcb-m6.bioreg.kyushu-u.ac.jp/M3/20110414/F50956/2310/1", 36.7)</f>
        <v>36.700000000000003</v>
      </c>
      <c r="E11170" s="2">
        <v>23.16</v>
      </c>
      <c r="F11170" s="2">
        <v>2</v>
      </c>
      <c r="G11170" s="2" t="s">
        <v>11</v>
      </c>
    </row>
    <row r="11171" spans="1:8" x14ac:dyDescent="0.2">
      <c r="A11171" s="2" t="s">
        <v>3527</v>
      </c>
      <c r="B11171" s="2" t="s">
        <v>579</v>
      </c>
      <c r="C11171" s="2">
        <v>567.72220000000004</v>
      </c>
      <c r="D11171" s="2">
        <f>HYPERLINK("http://mcb-m6.bioreg.kyushu-u.ac.jp/M3/20110414/F50943/1120/1", 38.76)</f>
        <v>38.76</v>
      </c>
      <c r="E11171" s="2">
        <v>26.74</v>
      </c>
      <c r="F11171" s="2">
        <v>2</v>
      </c>
      <c r="G11171" s="2" t="s">
        <v>11</v>
      </c>
    </row>
    <row r="11172" spans="1:8" x14ac:dyDescent="0.2">
      <c r="A11172" s="2" t="s">
        <v>3527</v>
      </c>
      <c r="B11172" s="2" t="s">
        <v>2259</v>
      </c>
      <c r="C11172" s="2">
        <v>742.02470000000005</v>
      </c>
      <c r="D11172" s="2">
        <f>HYPERLINK("http://mcb-m6.bioreg.kyushu-u.ac.jp/M3/20110414/F50956/1934/1", 40.4)</f>
        <v>40.4</v>
      </c>
      <c r="E11172" s="2">
        <v>13.98</v>
      </c>
      <c r="F11172" s="2">
        <v>2</v>
      </c>
      <c r="G11172" s="2" t="s">
        <v>11</v>
      </c>
    </row>
    <row r="11173" spans="1:8" x14ac:dyDescent="0.2">
      <c r="A11173" s="2" t="s">
        <v>3527</v>
      </c>
      <c r="B11173" s="2" t="s">
        <v>2259</v>
      </c>
      <c r="C11173" s="2">
        <v>742.85019999999997</v>
      </c>
      <c r="D11173" s="2">
        <f>HYPERLINK("http://mcb-m6.bioreg.kyushu-u.ac.jp/M3/20110414/F50957/1925/1", 40.99)</f>
        <v>40.99</v>
      </c>
      <c r="E11173" s="2">
        <v>9.94</v>
      </c>
      <c r="F11173" s="2">
        <v>2</v>
      </c>
      <c r="G11173" s="2" t="s">
        <v>11</v>
      </c>
    </row>
    <row r="11174" spans="1:8" x14ac:dyDescent="0.2">
      <c r="A11174" s="2" t="s">
        <v>3527</v>
      </c>
      <c r="B11174" s="2" t="s">
        <v>372</v>
      </c>
      <c r="C11174" s="2">
        <v>714.40060000000005</v>
      </c>
      <c r="D11174" s="2">
        <f>HYPERLINK("http://mcb-m6.bioreg.kyushu-u.ac.jp/M3/20110414/F50943/1709/1", 41.62)</f>
        <v>41.62</v>
      </c>
      <c r="E11174" s="2">
        <v>26.56</v>
      </c>
      <c r="F11174" s="2">
        <v>2</v>
      </c>
      <c r="G11174" s="2" t="s">
        <v>11</v>
      </c>
    </row>
    <row r="11175" spans="1:8" x14ac:dyDescent="0.2">
      <c r="A11175" s="2" t="s">
        <v>3527</v>
      </c>
      <c r="B11175" s="2" t="s">
        <v>2259</v>
      </c>
      <c r="C11175" s="2">
        <v>742.31669999999997</v>
      </c>
      <c r="D11175" s="2">
        <f>HYPERLINK("http://mcb-m6.bioreg.kyushu-u.ac.jp/M3/20110414/F50957/1921/1", 44.14)</f>
        <v>44.14</v>
      </c>
      <c r="E11175" s="2">
        <v>16.54</v>
      </c>
      <c r="F11175" s="2">
        <v>2</v>
      </c>
      <c r="G11175" s="2" t="s">
        <v>11</v>
      </c>
    </row>
    <row r="11176" spans="1:8" x14ac:dyDescent="0.2">
      <c r="A11176" s="2" t="s">
        <v>3527</v>
      </c>
      <c r="B11176" s="2" t="s">
        <v>497</v>
      </c>
      <c r="C11176" s="2">
        <v>1076.5319999999999</v>
      </c>
      <c r="D11176" s="2">
        <f>HYPERLINK("http://mcb-m6.bioreg.kyushu-u.ac.jp/M3/20110414/F50957/742/1", 45.07)</f>
        <v>45.07</v>
      </c>
      <c r="E11176" s="2">
        <v>20.71</v>
      </c>
      <c r="F11176" s="2">
        <v>1</v>
      </c>
      <c r="G11176" s="2" t="s">
        <v>11</v>
      </c>
    </row>
    <row r="11177" spans="1:8" x14ac:dyDescent="0.2">
      <c r="A11177" s="2" t="s">
        <v>3527</v>
      </c>
      <c r="B11177" s="2" t="s">
        <v>1012</v>
      </c>
      <c r="C11177" s="2">
        <v>791.23609999999996</v>
      </c>
      <c r="D11177" s="2">
        <f>HYPERLINK("http://mcb-m6.bioreg.kyushu-u.ac.jp/M3/20110414/F50956/2306/1", 45.47)</f>
        <v>45.47</v>
      </c>
      <c r="E11177" s="2">
        <v>29.92</v>
      </c>
      <c r="F11177" s="2">
        <v>2</v>
      </c>
      <c r="G11177" s="2" t="s">
        <v>11</v>
      </c>
    </row>
    <row r="11178" spans="1:8" x14ac:dyDescent="0.2">
      <c r="A11178" s="2" t="s">
        <v>3527</v>
      </c>
      <c r="B11178" s="2" t="s">
        <v>710</v>
      </c>
      <c r="C11178" s="2">
        <v>1257.7260000000001</v>
      </c>
      <c r="D11178" s="2">
        <f>HYPERLINK("http://mcb-m6.bioreg.kyushu-u.ac.jp/M3/20110414/F50944/1638/1", 47.4)</f>
        <v>47.4</v>
      </c>
      <c r="E11178" s="2">
        <v>28</v>
      </c>
      <c r="F11178" s="2">
        <v>1</v>
      </c>
      <c r="G11178" s="2" t="s">
        <v>11</v>
      </c>
    </row>
    <row r="11179" spans="1:8" x14ac:dyDescent="0.2">
      <c r="A11179" s="2" t="s">
        <v>3527</v>
      </c>
      <c r="B11179" s="2" t="s">
        <v>497</v>
      </c>
      <c r="C11179" s="2">
        <v>1076.4090000000001</v>
      </c>
      <c r="D11179" s="2">
        <f>HYPERLINK("http://mcb-m6.bioreg.kyushu-u.ac.jp/M3/20110414/F50956/789/1", 49.96)</f>
        <v>49.96</v>
      </c>
      <c r="E11179" s="2">
        <v>12.98</v>
      </c>
      <c r="F11179" s="2">
        <v>1</v>
      </c>
      <c r="G11179" s="2" t="s">
        <v>11</v>
      </c>
    </row>
    <row r="11180" spans="1:8" x14ac:dyDescent="0.2">
      <c r="A11180" s="2" t="s">
        <v>3527</v>
      </c>
      <c r="B11180" s="2" t="s">
        <v>1012</v>
      </c>
      <c r="C11180" s="2">
        <v>791.49220000000003</v>
      </c>
      <c r="D11180" s="2">
        <f>HYPERLINK("http://mcb-m6.bioreg.kyushu-u.ac.jp/M3/20110414/F50956/2311/1", 50.69)</f>
        <v>50.69</v>
      </c>
      <c r="E11180" s="2">
        <v>38.28</v>
      </c>
      <c r="F11180" s="2">
        <v>2</v>
      </c>
      <c r="G11180" s="2" t="s">
        <v>11</v>
      </c>
    </row>
    <row r="11181" spans="1:8" x14ac:dyDescent="0.2">
      <c r="A11181" s="2" t="s">
        <v>3527</v>
      </c>
      <c r="B11181" s="2" t="s">
        <v>1012</v>
      </c>
      <c r="C11181" s="2">
        <v>790.76369999999997</v>
      </c>
      <c r="D11181" s="2">
        <f>HYPERLINK("http://mcb-m6.bioreg.kyushu-u.ac.jp/M3/20110414/F50957/2236/1", 54.69)</f>
        <v>54.69</v>
      </c>
      <c r="E11181" s="2">
        <v>37.409999999999997</v>
      </c>
      <c r="F11181" s="2">
        <v>2</v>
      </c>
      <c r="G11181" s="2" t="s">
        <v>11</v>
      </c>
    </row>
    <row r="11182" spans="1:8" x14ac:dyDescent="0.2">
      <c r="A11182" s="2" t="s">
        <v>3527</v>
      </c>
      <c r="B11182" s="2" t="s">
        <v>973</v>
      </c>
      <c r="C11182" s="2">
        <v>641.73270000000002</v>
      </c>
      <c r="D11182" s="2">
        <f>HYPERLINK("http://mcb-m6.bioreg.kyushu-u.ac.jp/M3/20110414/F50956/1281/1", 55.6)</f>
        <v>55.6</v>
      </c>
      <c r="E11182" s="2">
        <v>20.59</v>
      </c>
      <c r="F11182" s="2">
        <v>2</v>
      </c>
      <c r="G11182" s="2" t="s">
        <v>11</v>
      </c>
      <c r="H11182" s="2" t="s">
        <v>4891</v>
      </c>
    </row>
    <row r="11183" spans="1:8" x14ac:dyDescent="0.2">
      <c r="A11183" s="2" t="s">
        <v>3527</v>
      </c>
      <c r="B11183" s="2" t="s">
        <v>710</v>
      </c>
      <c r="C11183" s="2">
        <v>1257.3699999999999</v>
      </c>
      <c r="D11183" s="2">
        <f>HYPERLINK("http://mcb-m6.bioreg.kyushu-u.ac.jp/M3/20110414/F50956/1214/1", 56.48)</f>
        <v>56.48</v>
      </c>
      <c r="E11183" s="2">
        <v>33.130000000000003</v>
      </c>
      <c r="F11183" s="2">
        <v>1</v>
      </c>
      <c r="G11183" s="2" t="s">
        <v>11</v>
      </c>
    </row>
    <row r="11184" spans="1:8" x14ac:dyDescent="0.2">
      <c r="A11184" s="2" t="s">
        <v>3527</v>
      </c>
      <c r="B11184" s="2" t="s">
        <v>710</v>
      </c>
      <c r="C11184" s="2">
        <v>629.16470000000004</v>
      </c>
      <c r="D11184" s="2">
        <f>HYPERLINK("http://mcb-m6.bioreg.kyushu-u.ac.jp/M3/20110414/F50962/1384/1", 56.73)</f>
        <v>56.73</v>
      </c>
      <c r="E11184" s="2">
        <v>27.31</v>
      </c>
      <c r="F11184" s="2">
        <v>2</v>
      </c>
      <c r="G11184" s="2" t="s">
        <v>11</v>
      </c>
    </row>
    <row r="11185" spans="1:9" x14ac:dyDescent="0.2">
      <c r="A11185" s="2" t="s">
        <v>3527</v>
      </c>
      <c r="B11185" s="2" t="s">
        <v>973</v>
      </c>
      <c r="C11185" s="2">
        <v>642.04470000000003</v>
      </c>
      <c r="D11185" s="2">
        <f>HYPERLINK("http://mcb-m6.bioreg.kyushu-u.ac.jp/M3/20110414/F50957/1226/1", 57.59)</f>
        <v>57.59</v>
      </c>
      <c r="E11185" s="2">
        <v>33.28</v>
      </c>
      <c r="F11185" s="2">
        <v>2</v>
      </c>
      <c r="G11185" s="2" t="s">
        <v>11</v>
      </c>
      <c r="H11185" s="2" t="s">
        <v>4891</v>
      </c>
    </row>
    <row r="11186" spans="1:9" x14ac:dyDescent="0.2">
      <c r="A11186" s="2" t="s">
        <v>3527</v>
      </c>
      <c r="B11186" s="2" t="s">
        <v>1012</v>
      </c>
      <c r="C11186" s="2">
        <v>790.84969999999998</v>
      </c>
      <c r="D11186" s="2">
        <f>HYPERLINK("http://mcb-m6.bioreg.kyushu-u.ac.jp/M3/20110414/F50956/2304/1", 57.84)</f>
        <v>57.84</v>
      </c>
      <c r="E11186" s="2">
        <v>39.26</v>
      </c>
      <c r="F11186" s="2">
        <v>2</v>
      </c>
      <c r="G11186" s="2" t="s">
        <v>11</v>
      </c>
    </row>
    <row r="11187" spans="1:9" x14ac:dyDescent="0.2">
      <c r="A11187" s="2" t="s">
        <v>3527</v>
      </c>
      <c r="B11187" s="2" t="s">
        <v>973</v>
      </c>
      <c r="C11187" s="2">
        <v>634.2527</v>
      </c>
      <c r="D11187" s="2">
        <f>HYPERLINK("http://mcb-m6.bioreg.kyushu-u.ac.jp/M3/20110414/F50957/1170/1", 58.97)</f>
        <v>58.97</v>
      </c>
      <c r="E11187" s="2">
        <v>38.340000000000003</v>
      </c>
      <c r="F11187" s="2">
        <v>2</v>
      </c>
      <c r="G11187" s="2" t="s">
        <v>11</v>
      </c>
    </row>
    <row r="11188" spans="1:9" x14ac:dyDescent="0.2">
      <c r="A11188" s="2" t="s">
        <v>3527</v>
      </c>
      <c r="B11188" s="2" t="s">
        <v>579</v>
      </c>
      <c r="C11188" s="2">
        <v>567.59810000000004</v>
      </c>
      <c r="D11188" s="2">
        <f>HYPERLINK("http://mcb-m6.bioreg.kyushu-u.ac.jp/M3/20110414/F50956/914/1", 61.28)</f>
        <v>61.28</v>
      </c>
      <c r="E11188" s="2">
        <v>37.909999999999997</v>
      </c>
      <c r="F11188" s="2">
        <v>2</v>
      </c>
      <c r="G11188" s="2" t="s">
        <v>11</v>
      </c>
    </row>
    <row r="11189" spans="1:9" x14ac:dyDescent="0.2">
      <c r="A11189" s="2" t="s">
        <v>3527</v>
      </c>
      <c r="B11189" s="2" t="s">
        <v>372</v>
      </c>
      <c r="C11189" s="2">
        <v>713.81709999999998</v>
      </c>
      <c r="D11189" s="2">
        <f>HYPERLINK("http://mcb-m6.bioreg.kyushu-u.ac.jp/M3/20110414/F50942/1738/1", 62.1)</f>
        <v>62.1</v>
      </c>
      <c r="E11189" s="2">
        <v>48.49</v>
      </c>
      <c r="F11189" s="2">
        <v>2</v>
      </c>
      <c r="G11189" s="2" t="s">
        <v>11</v>
      </c>
    </row>
    <row r="11190" spans="1:9" x14ac:dyDescent="0.2">
      <c r="A11190" s="2" t="s">
        <v>3527</v>
      </c>
      <c r="B11190" s="2" t="s">
        <v>372</v>
      </c>
      <c r="C11190" s="2">
        <v>713.64009999999996</v>
      </c>
      <c r="D11190" s="2">
        <f>HYPERLINK("http://mcb-m6.bioreg.kyushu-u.ac.jp/M3/20110414/F50956/1725/1", 62.21)</f>
        <v>62.21</v>
      </c>
      <c r="E11190" s="2">
        <v>43.89</v>
      </c>
      <c r="F11190" s="2">
        <v>2</v>
      </c>
      <c r="G11190" s="2" t="s">
        <v>11</v>
      </c>
    </row>
    <row r="11191" spans="1:9" x14ac:dyDescent="0.2">
      <c r="A11191" s="2" t="s">
        <v>3527</v>
      </c>
      <c r="B11191" s="2" t="s">
        <v>579</v>
      </c>
      <c r="C11191" s="2">
        <v>567.64509999999996</v>
      </c>
      <c r="D11191" s="2">
        <f>HYPERLINK("http://mcb-m6.bioreg.kyushu-u.ac.jp/M3/20110414/F50957/846/1", 62.87)</f>
        <v>62.87</v>
      </c>
      <c r="E11191" s="2">
        <v>40.14</v>
      </c>
      <c r="F11191" s="2">
        <v>2</v>
      </c>
      <c r="G11191" s="2" t="s">
        <v>11</v>
      </c>
    </row>
    <row r="11192" spans="1:9" x14ac:dyDescent="0.2">
      <c r="A11192" s="2" t="s">
        <v>3527</v>
      </c>
      <c r="B11192" s="2" t="s">
        <v>372</v>
      </c>
      <c r="C11192" s="2">
        <v>713.82069999999999</v>
      </c>
      <c r="D11192" s="2">
        <f>HYPERLINK("http://mcb-m6.bioreg.kyushu-u.ac.jp/M3/20110414/F50957/1709/1", 64.29)</f>
        <v>64.290000000000006</v>
      </c>
      <c r="E11192" s="2">
        <v>49.85</v>
      </c>
      <c r="F11192" s="2">
        <v>2</v>
      </c>
      <c r="G11192" s="2" t="s">
        <v>11</v>
      </c>
    </row>
    <row r="11193" spans="1:9" x14ac:dyDescent="0.2">
      <c r="A11193" s="2" t="s">
        <v>3527</v>
      </c>
      <c r="B11193" s="2" t="s">
        <v>710</v>
      </c>
      <c r="C11193" s="2">
        <v>629.82320000000004</v>
      </c>
      <c r="D11193" s="2">
        <f>HYPERLINK("http://mcb-m6.bioreg.kyushu-u.ac.jp/M3/20110414/F50942/1336/1", 65.07)</f>
        <v>65.069999999999993</v>
      </c>
      <c r="E11193" s="2">
        <v>42.43</v>
      </c>
      <c r="F11193" s="2">
        <v>2</v>
      </c>
      <c r="G11193" s="2" t="s">
        <v>11</v>
      </c>
    </row>
    <row r="11194" spans="1:9" x14ac:dyDescent="0.2">
      <c r="A11194" s="2" t="s">
        <v>3527</v>
      </c>
      <c r="B11194" s="2" t="s">
        <v>973</v>
      </c>
      <c r="C11194" s="2">
        <v>633.96310000000005</v>
      </c>
      <c r="D11194" s="2">
        <f>HYPERLINK("http://mcb-m6.bioreg.kyushu-u.ac.jp/M3/20110414/F50956/1230/1", 70.78)</f>
        <v>70.78</v>
      </c>
      <c r="E11194" s="2">
        <v>48.09</v>
      </c>
      <c r="F11194" s="2">
        <v>2</v>
      </c>
      <c r="G11194" s="2" t="s">
        <v>11</v>
      </c>
    </row>
    <row r="11195" spans="1:9" x14ac:dyDescent="0.2">
      <c r="A11195" s="2" t="s">
        <v>3527</v>
      </c>
      <c r="B11195" s="2" t="s">
        <v>710</v>
      </c>
      <c r="C11195" s="2">
        <v>629.74519999999995</v>
      </c>
      <c r="D11195" s="2">
        <f>HYPERLINK("http://mcb-m6.bioreg.kyushu-u.ac.jp/M3/20110414/F50941/1476/1", 72.29)</f>
        <v>72.290000000000006</v>
      </c>
      <c r="E11195" s="2">
        <v>42.95</v>
      </c>
      <c r="F11195" s="2">
        <v>2</v>
      </c>
      <c r="G11195" s="2" t="s">
        <v>11</v>
      </c>
    </row>
    <row r="11196" spans="1:9" x14ac:dyDescent="0.2">
      <c r="A11196" s="2" t="s">
        <v>3527</v>
      </c>
      <c r="B11196" s="2" t="s">
        <v>1582</v>
      </c>
      <c r="C11196" s="2">
        <v>774.15309999999999</v>
      </c>
      <c r="D11196" s="2">
        <f>HYPERLINK("http://mcb-m6.bioreg.kyushu-u.ac.jp/M3/20110414/F50957/2108/1", 84.96)</f>
        <v>84.96</v>
      </c>
      <c r="E11196" s="2">
        <v>64.38</v>
      </c>
      <c r="F11196" s="2">
        <v>2</v>
      </c>
      <c r="G11196" s="2" t="s">
        <v>11</v>
      </c>
      <c r="I11196" s="2" t="s">
        <v>4898</v>
      </c>
    </row>
    <row r="11197" spans="1:9" x14ac:dyDescent="0.2">
      <c r="A11197" s="2" t="s">
        <v>3527</v>
      </c>
      <c r="B11197" s="2" t="s">
        <v>710</v>
      </c>
      <c r="C11197" s="2">
        <v>629.63620000000003</v>
      </c>
      <c r="D11197" s="2">
        <f>HYPERLINK("http://mcb-m6.bioreg.kyushu-u.ac.jp/M3/20110414/F50944/1639/1", 85.1)</f>
        <v>85.1</v>
      </c>
      <c r="E11197" s="2">
        <v>59.8</v>
      </c>
      <c r="F11197" s="2">
        <v>2</v>
      </c>
      <c r="G11197" s="2" t="s">
        <v>11</v>
      </c>
    </row>
    <row r="11198" spans="1:9" x14ac:dyDescent="0.2">
      <c r="A11198" s="2" t="s">
        <v>3527</v>
      </c>
      <c r="B11198" s="2" t="s">
        <v>1582</v>
      </c>
      <c r="C11198" s="2">
        <v>774.34860000000003</v>
      </c>
      <c r="D11198" s="2">
        <f>HYPERLINK("http://mcb-m6.bioreg.kyushu-u.ac.jp/M3/20110414/F50943/2102/1", 92.91)</f>
        <v>92.91</v>
      </c>
      <c r="E11198" s="2">
        <v>69.14</v>
      </c>
      <c r="F11198" s="2">
        <v>2</v>
      </c>
      <c r="G11198" s="2" t="s">
        <v>11</v>
      </c>
      <c r="I11198" s="2" t="s">
        <v>4898</v>
      </c>
    </row>
    <row r="11199" spans="1:9" x14ac:dyDescent="0.2">
      <c r="A11199" s="2" t="s">
        <v>3527</v>
      </c>
      <c r="B11199" s="2" t="s">
        <v>1582</v>
      </c>
      <c r="C11199" s="2">
        <v>774.17909999999995</v>
      </c>
      <c r="D11199" s="2">
        <f>HYPERLINK("http://mcb-m6.bioreg.kyushu-u.ac.jp/M3/20110414/F50956/2185/1", 95.24)</f>
        <v>95.24</v>
      </c>
      <c r="E11199" s="2">
        <v>71.02</v>
      </c>
      <c r="F11199" s="2">
        <v>2</v>
      </c>
      <c r="G11199" s="2" t="s">
        <v>11</v>
      </c>
      <c r="I11199" s="2" t="s">
        <v>4898</v>
      </c>
    </row>
    <row r="11200" spans="1:9" x14ac:dyDescent="0.2">
      <c r="A11200" s="2" t="s">
        <v>3527</v>
      </c>
      <c r="B11200" s="2" t="s">
        <v>710</v>
      </c>
      <c r="C11200" s="2">
        <v>629.31569999999999</v>
      </c>
      <c r="D11200" s="2">
        <f>HYPERLINK("http://mcb-m6.bioreg.kyushu-u.ac.jp/M3/20110414/F50947/1303/1", 38.69)</f>
        <v>38.69</v>
      </c>
      <c r="E11200" s="2">
        <v>24.06</v>
      </c>
      <c r="F11200" s="2">
        <v>2</v>
      </c>
      <c r="G11200" s="2" t="s">
        <v>12</v>
      </c>
    </row>
    <row r="11201" spans="1:9" x14ac:dyDescent="0.2">
      <c r="A11201" s="2" t="s">
        <v>3527</v>
      </c>
      <c r="B11201" s="2" t="s">
        <v>1012</v>
      </c>
      <c r="C11201" s="2">
        <v>791.22059999999999</v>
      </c>
      <c r="D11201" s="2">
        <f>HYPERLINK("http://mcb-m6.bioreg.kyushu-u.ac.jp/M3/20110414/F50959/2239/1", 40.53)</f>
        <v>40.53</v>
      </c>
      <c r="E11201" s="2">
        <v>25.54</v>
      </c>
      <c r="F11201" s="2">
        <v>2</v>
      </c>
      <c r="G11201" s="2" t="s">
        <v>12</v>
      </c>
    </row>
    <row r="11202" spans="1:9" x14ac:dyDescent="0.2">
      <c r="A11202" s="2" t="s">
        <v>3527</v>
      </c>
      <c r="B11202" s="2" t="s">
        <v>710</v>
      </c>
      <c r="C11202" s="2">
        <v>629.47720000000004</v>
      </c>
      <c r="D11202" s="2">
        <f>HYPERLINK("http://mcb-m6.bioreg.kyushu-u.ac.jp/M3/20110414/F50949/1895/1", 41.14)</f>
        <v>41.14</v>
      </c>
      <c r="E11202" s="2">
        <v>13.37</v>
      </c>
      <c r="F11202" s="2">
        <v>2</v>
      </c>
      <c r="G11202" s="2" t="s">
        <v>12</v>
      </c>
    </row>
    <row r="11203" spans="1:9" x14ac:dyDescent="0.2">
      <c r="A11203" s="2" t="s">
        <v>3527</v>
      </c>
      <c r="B11203" s="2" t="s">
        <v>372</v>
      </c>
      <c r="C11203" s="2">
        <v>713.41769999999997</v>
      </c>
      <c r="D11203" s="2">
        <f>HYPERLINK("http://mcb-m6.bioreg.kyushu-u.ac.jp/M3/20110414/F50958/1793/1", 49.29)</f>
        <v>49.29</v>
      </c>
      <c r="E11203" s="2">
        <v>37.619999999999997</v>
      </c>
      <c r="F11203" s="2">
        <v>2</v>
      </c>
      <c r="G11203" s="2" t="s">
        <v>12</v>
      </c>
    </row>
    <row r="11204" spans="1:9" x14ac:dyDescent="0.2">
      <c r="A11204" s="2" t="s">
        <v>3527</v>
      </c>
      <c r="B11204" s="2" t="s">
        <v>497</v>
      </c>
      <c r="C11204" s="2">
        <v>1076.482</v>
      </c>
      <c r="D11204" s="2">
        <f>HYPERLINK("http://mcb-m6.bioreg.kyushu-u.ac.jp/M3/20110414/F50958/808/1", 50.44)</f>
        <v>50.44</v>
      </c>
      <c r="E11204" s="2">
        <v>27.37</v>
      </c>
      <c r="F11204" s="2">
        <v>1</v>
      </c>
      <c r="G11204" s="2" t="s">
        <v>12</v>
      </c>
    </row>
    <row r="11205" spans="1:9" x14ac:dyDescent="0.2">
      <c r="A11205" s="2" t="s">
        <v>3527</v>
      </c>
      <c r="B11205" s="2" t="s">
        <v>2259</v>
      </c>
      <c r="C11205" s="2">
        <v>742.60770000000002</v>
      </c>
      <c r="D11205" s="2">
        <f>HYPERLINK("http://mcb-m6.bioreg.kyushu-u.ac.jp/M3/20110414/F50958/2005/1", 51.32)</f>
        <v>51.32</v>
      </c>
      <c r="E11205" s="2">
        <v>23.58</v>
      </c>
      <c r="F11205" s="2">
        <v>2</v>
      </c>
      <c r="G11205" s="2" t="s">
        <v>12</v>
      </c>
    </row>
    <row r="11206" spans="1:9" x14ac:dyDescent="0.2">
      <c r="A11206" s="2" t="s">
        <v>3527</v>
      </c>
      <c r="B11206" s="2" t="s">
        <v>710</v>
      </c>
      <c r="C11206" s="2">
        <v>1257.4110000000001</v>
      </c>
      <c r="D11206" s="2">
        <f>HYPERLINK("http://mcb-m6.bioreg.kyushu-u.ac.jp/M3/20110414/F50958/1275/1", 54.27)</f>
        <v>54.27</v>
      </c>
      <c r="E11206" s="2">
        <v>32.51</v>
      </c>
      <c r="F11206" s="2">
        <v>1</v>
      </c>
      <c r="G11206" s="2" t="s">
        <v>12</v>
      </c>
    </row>
    <row r="11207" spans="1:9" x14ac:dyDescent="0.2">
      <c r="A11207" s="2" t="s">
        <v>3527</v>
      </c>
      <c r="B11207" s="2" t="s">
        <v>579</v>
      </c>
      <c r="C11207" s="2">
        <v>567.58810000000005</v>
      </c>
      <c r="D11207" s="2">
        <f>HYPERLINK("http://mcb-m6.bioreg.kyushu-u.ac.jp/M3/20110414/F50958/952/1", 58.33)</f>
        <v>58.33</v>
      </c>
      <c r="E11207" s="2">
        <v>31.83</v>
      </c>
      <c r="F11207" s="2">
        <v>2</v>
      </c>
      <c r="G11207" s="2" t="s">
        <v>12</v>
      </c>
    </row>
    <row r="11208" spans="1:9" x14ac:dyDescent="0.2">
      <c r="A11208" s="2" t="s">
        <v>3527</v>
      </c>
      <c r="B11208" s="2" t="s">
        <v>372</v>
      </c>
      <c r="C11208" s="2">
        <v>714.0367</v>
      </c>
      <c r="D11208" s="2">
        <f>HYPERLINK("http://mcb-m6.bioreg.kyushu-u.ac.jp/M3/20110414/F50950/1991/1", 59.55)</f>
        <v>59.55</v>
      </c>
      <c r="E11208" s="2">
        <v>36.92</v>
      </c>
      <c r="F11208" s="2">
        <v>2</v>
      </c>
      <c r="G11208" s="2" t="s">
        <v>12</v>
      </c>
    </row>
    <row r="11209" spans="1:9" x14ac:dyDescent="0.2">
      <c r="A11209" s="2" t="s">
        <v>3527</v>
      </c>
      <c r="B11209" s="2" t="s">
        <v>710</v>
      </c>
      <c r="C11209" s="2">
        <v>629.6857</v>
      </c>
      <c r="D11209" s="2">
        <f>HYPERLINK("http://mcb-m6.bioreg.kyushu-u.ac.jp/M3/20110414/F50959/1148/1", 66.14)</f>
        <v>66.14</v>
      </c>
      <c r="E11209" s="2">
        <v>44.05</v>
      </c>
      <c r="F11209" s="2">
        <v>2</v>
      </c>
      <c r="G11209" s="2" t="s">
        <v>12</v>
      </c>
    </row>
    <row r="11210" spans="1:9" x14ac:dyDescent="0.2">
      <c r="A11210" s="2" t="s">
        <v>3527</v>
      </c>
      <c r="B11210" s="2" t="s">
        <v>1582</v>
      </c>
      <c r="C11210" s="2">
        <v>774.37570000000005</v>
      </c>
      <c r="D11210" s="2">
        <f>HYPERLINK("http://mcb-m6.bioreg.kyushu-u.ac.jp/M3/20110414/F50959/2105/1", 68.05)</f>
        <v>68.05</v>
      </c>
      <c r="E11210" s="2">
        <v>46.33</v>
      </c>
      <c r="F11210" s="2">
        <v>2</v>
      </c>
      <c r="G11210" s="2" t="s">
        <v>12</v>
      </c>
      <c r="I11210" s="2" t="s">
        <v>4898</v>
      </c>
    </row>
    <row r="11211" spans="1:9" x14ac:dyDescent="0.2">
      <c r="A11211" s="2" t="s">
        <v>3527</v>
      </c>
      <c r="B11211" s="2" t="s">
        <v>973</v>
      </c>
      <c r="C11211" s="2">
        <v>634.05470000000003</v>
      </c>
      <c r="D11211" s="2">
        <f>HYPERLINK("http://mcb-m6.bioreg.kyushu-u.ac.jp/M3/20110414/F50959/1170/1", 70.49)</f>
        <v>70.489999999999995</v>
      </c>
      <c r="E11211" s="2">
        <v>48.13</v>
      </c>
      <c r="F11211" s="2">
        <v>2</v>
      </c>
      <c r="G11211" s="2" t="s">
        <v>12</v>
      </c>
    </row>
    <row r="11212" spans="1:9" x14ac:dyDescent="0.2">
      <c r="A11212" s="2" t="s">
        <v>3527</v>
      </c>
      <c r="B11212" s="2" t="s">
        <v>973</v>
      </c>
      <c r="C11212" s="2">
        <v>634.2097</v>
      </c>
      <c r="D11212" s="2">
        <f>HYPERLINK("http://mcb-m6.bioreg.kyushu-u.ac.jp/M3/20110414/F50958/1299/1", 70.83)</f>
        <v>70.83</v>
      </c>
      <c r="E11212" s="2">
        <v>48.18</v>
      </c>
      <c r="F11212" s="2">
        <v>2</v>
      </c>
      <c r="G11212" s="2" t="s">
        <v>12</v>
      </c>
    </row>
    <row r="11213" spans="1:9" x14ac:dyDescent="0.2">
      <c r="A11213" s="2" t="s">
        <v>3527</v>
      </c>
      <c r="B11213" s="2" t="s">
        <v>710</v>
      </c>
      <c r="C11213" s="2">
        <v>629.15719999999999</v>
      </c>
      <c r="D11213" s="2">
        <f>HYPERLINK("http://mcb-m6.bioreg.kyushu-u.ac.jp/M3/20110414/F50950/1493/1", 73.27)</f>
        <v>73.27</v>
      </c>
      <c r="E11213" s="2">
        <v>40.67</v>
      </c>
      <c r="F11213" s="2">
        <v>2</v>
      </c>
      <c r="G11213" s="2" t="s">
        <v>12</v>
      </c>
    </row>
    <row r="11214" spans="1:9" x14ac:dyDescent="0.2">
      <c r="A11214" s="2" t="s">
        <v>3527</v>
      </c>
      <c r="B11214" s="2" t="s">
        <v>973</v>
      </c>
      <c r="C11214" s="2">
        <v>641.73469999999998</v>
      </c>
      <c r="D11214" s="2">
        <f>HYPERLINK("http://mcb-m6.bioreg.kyushu-u.ac.jp/M3/20110414/F50958/1343/1", 73.7)</f>
        <v>73.7</v>
      </c>
      <c r="E11214" s="2">
        <v>38.94</v>
      </c>
      <c r="F11214" s="2">
        <v>2</v>
      </c>
      <c r="G11214" s="2" t="s">
        <v>12</v>
      </c>
      <c r="H11214" s="2" t="s">
        <v>4891</v>
      </c>
    </row>
    <row r="11215" spans="1:9" x14ac:dyDescent="0.2">
      <c r="A11215" s="2" t="s">
        <v>3527</v>
      </c>
      <c r="B11215" s="2" t="s">
        <v>1582</v>
      </c>
      <c r="C11215" s="2">
        <v>773.9357</v>
      </c>
      <c r="D11215" s="2">
        <f>HYPERLINK("http://mcb-m6.bioreg.kyushu-u.ac.jp/M3/20110414/F50950/2339/1", 75.43)</f>
        <v>75.430000000000007</v>
      </c>
      <c r="E11215" s="2">
        <v>53.05</v>
      </c>
      <c r="F11215" s="2">
        <v>2</v>
      </c>
      <c r="G11215" s="2" t="s">
        <v>12</v>
      </c>
      <c r="I11215" s="2" t="s">
        <v>4898</v>
      </c>
    </row>
    <row r="11216" spans="1:9" x14ac:dyDescent="0.2">
      <c r="A11216" s="2" t="s">
        <v>3527</v>
      </c>
      <c r="B11216" s="2" t="s">
        <v>372</v>
      </c>
      <c r="C11216" s="2">
        <v>714.30160000000001</v>
      </c>
      <c r="D11216" s="2">
        <f>HYPERLINK("http://mcb-m6.bioreg.kyushu-u.ac.jp/M3/20110414/F50958/1801/1", 80.14)</f>
        <v>80.14</v>
      </c>
      <c r="E11216" s="2">
        <v>63.02</v>
      </c>
      <c r="F11216" s="2">
        <v>2</v>
      </c>
      <c r="G11216" s="2" t="s">
        <v>12</v>
      </c>
    </row>
    <row r="11217" spans="1:9" x14ac:dyDescent="0.2">
      <c r="A11217" s="2" t="s">
        <v>3527</v>
      </c>
      <c r="B11217" s="2" t="s">
        <v>710</v>
      </c>
      <c r="C11217" s="2">
        <v>629.47670000000005</v>
      </c>
      <c r="D11217" s="2">
        <f>HYPERLINK("http://mcb-m6.bioreg.kyushu-u.ac.jp/M3/20110414/F50958/1276/1", 93.62)</f>
        <v>93.62</v>
      </c>
      <c r="E11217" s="2">
        <v>61.21</v>
      </c>
      <c r="F11217" s="2">
        <v>2</v>
      </c>
      <c r="G11217" s="2" t="s">
        <v>12</v>
      </c>
    </row>
    <row r="11218" spans="1:9" x14ac:dyDescent="0.2">
      <c r="A11218" s="2" t="s">
        <v>3527</v>
      </c>
      <c r="B11218" s="2" t="s">
        <v>710</v>
      </c>
      <c r="C11218" s="2">
        <v>629.42859999999996</v>
      </c>
      <c r="D11218" s="2">
        <f>HYPERLINK("http://mcb-m6.bioreg.kyushu-u.ac.jp/M3/20110502/F51169/1704/1", 40.43)</f>
        <v>40.43</v>
      </c>
      <c r="E11218" s="2">
        <v>15.54</v>
      </c>
      <c r="F11218" s="2">
        <v>2</v>
      </c>
      <c r="G11218" s="2" t="s">
        <v>13</v>
      </c>
    </row>
    <row r="11219" spans="1:9" x14ac:dyDescent="0.2">
      <c r="A11219" s="2" t="s">
        <v>3527</v>
      </c>
      <c r="B11219" s="2" t="s">
        <v>973</v>
      </c>
      <c r="C11219" s="2">
        <v>634.02369999999996</v>
      </c>
      <c r="D11219" s="2">
        <f>HYPERLINK("http://mcb-m6.bioreg.kyushu-u.ac.jp/M3/20110502/F51189/1302/1", 40.62)</f>
        <v>40.619999999999997</v>
      </c>
      <c r="E11219" s="2">
        <v>17.61</v>
      </c>
      <c r="F11219" s="2">
        <v>2</v>
      </c>
      <c r="G11219" s="2" t="s">
        <v>13</v>
      </c>
    </row>
    <row r="11220" spans="1:9" x14ac:dyDescent="0.2">
      <c r="A11220" s="2" t="s">
        <v>3527</v>
      </c>
      <c r="B11220" s="2" t="s">
        <v>497</v>
      </c>
      <c r="C11220" s="2">
        <v>1076.6679999999999</v>
      </c>
      <c r="D11220" s="2">
        <f>HYPERLINK("http://mcb-m6.bioreg.kyushu-u.ac.jp/M3/20110502/F51189/967/1", 41.52)</f>
        <v>41.52</v>
      </c>
      <c r="E11220" s="2">
        <v>16.66</v>
      </c>
      <c r="F11220" s="2">
        <v>1</v>
      </c>
      <c r="G11220" s="2" t="s">
        <v>13</v>
      </c>
    </row>
    <row r="11221" spans="1:9" x14ac:dyDescent="0.2">
      <c r="A11221" s="2" t="s">
        <v>3527</v>
      </c>
      <c r="B11221" s="2" t="s">
        <v>497</v>
      </c>
      <c r="C11221" s="2">
        <v>1076.798</v>
      </c>
      <c r="D11221" s="2">
        <f>HYPERLINK("http://mcb-m6.bioreg.kyushu-u.ac.jp/M3/20110502/F51172/927/1", 45.49)</f>
        <v>45.49</v>
      </c>
      <c r="E11221" s="2">
        <v>17.649999999999999</v>
      </c>
      <c r="F11221" s="2">
        <v>1</v>
      </c>
      <c r="G11221" s="2" t="s">
        <v>13</v>
      </c>
    </row>
    <row r="11222" spans="1:9" x14ac:dyDescent="0.2">
      <c r="A11222" s="2" t="s">
        <v>3527</v>
      </c>
      <c r="B11222" s="2" t="s">
        <v>579</v>
      </c>
      <c r="C11222" s="2">
        <v>568.31460000000004</v>
      </c>
      <c r="D11222" s="2">
        <f>HYPERLINK("http://mcb-m6.bioreg.kyushu-u.ac.jp/M3/20110502/F51175/1243/1", 47.56)</f>
        <v>47.56</v>
      </c>
      <c r="E11222" s="2">
        <v>21.8</v>
      </c>
      <c r="F11222" s="2">
        <v>2</v>
      </c>
      <c r="G11222" s="2" t="s">
        <v>13</v>
      </c>
    </row>
    <row r="11223" spans="1:9" x14ac:dyDescent="0.2">
      <c r="A11223" s="2" t="s">
        <v>3527</v>
      </c>
      <c r="B11223" s="2" t="s">
        <v>710</v>
      </c>
      <c r="C11223" s="2">
        <v>1257.954</v>
      </c>
      <c r="D11223" s="2">
        <f>HYPERLINK("http://mcb-m6.bioreg.kyushu-u.ac.jp/M3/20110502/F51172/1434/1", 56.41)</f>
        <v>56.41</v>
      </c>
      <c r="E11223" s="2">
        <v>28.06</v>
      </c>
      <c r="F11223" s="2">
        <v>1</v>
      </c>
      <c r="G11223" s="2" t="s">
        <v>13</v>
      </c>
    </row>
    <row r="11224" spans="1:9" x14ac:dyDescent="0.2">
      <c r="A11224" s="2" t="s">
        <v>3527</v>
      </c>
      <c r="B11224" s="2" t="s">
        <v>2259</v>
      </c>
      <c r="C11224" s="2">
        <v>742.65369999999996</v>
      </c>
      <c r="D11224" s="2">
        <f>HYPERLINK("http://mcb-m6.bioreg.kyushu-u.ac.jp/M3/20110502/F51189/1846/1", 56.48)</f>
        <v>56.48</v>
      </c>
      <c r="E11224" s="2">
        <v>10.029999999999999</v>
      </c>
      <c r="F11224" s="2">
        <v>2</v>
      </c>
      <c r="G11224" s="2" t="s">
        <v>13</v>
      </c>
    </row>
    <row r="11225" spans="1:9" x14ac:dyDescent="0.2">
      <c r="A11225" s="2" t="s">
        <v>3527</v>
      </c>
      <c r="B11225" s="2" t="s">
        <v>2933</v>
      </c>
      <c r="C11225" s="2">
        <v>673.23109999999997</v>
      </c>
      <c r="D11225" s="2">
        <f>HYPERLINK("http://mcb-m6.bioreg.kyushu-u.ac.jp/M3/20110502/F51172/1641/1", 58.84)</f>
        <v>58.84</v>
      </c>
      <c r="E11225" s="2">
        <v>36.78</v>
      </c>
      <c r="F11225" s="2">
        <v>2</v>
      </c>
      <c r="G11225" s="2" t="s">
        <v>13</v>
      </c>
      <c r="I11225" s="2" t="s">
        <v>4892</v>
      </c>
    </row>
    <row r="11226" spans="1:9" x14ac:dyDescent="0.2">
      <c r="A11226" s="2" t="s">
        <v>3527</v>
      </c>
      <c r="B11226" s="2" t="s">
        <v>710</v>
      </c>
      <c r="C11226" s="2">
        <v>629.54719999999998</v>
      </c>
      <c r="D11226" s="2">
        <f>HYPERLINK("http://mcb-m6.bioreg.kyushu-u.ac.jp/M3/20110502/F51173/1193/1", 70.11)</f>
        <v>70.11</v>
      </c>
      <c r="E11226" s="2">
        <v>45.52</v>
      </c>
      <c r="F11226" s="2">
        <v>2</v>
      </c>
      <c r="G11226" s="2" t="s">
        <v>13</v>
      </c>
    </row>
    <row r="11227" spans="1:9" x14ac:dyDescent="0.2">
      <c r="A11227" s="2" t="s">
        <v>3527</v>
      </c>
      <c r="B11227" s="2" t="s">
        <v>973</v>
      </c>
      <c r="C11227" s="2">
        <v>634.01969999999994</v>
      </c>
      <c r="D11227" s="2">
        <f>HYPERLINK("http://mcb-m6.bioreg.kyushu-u.ac.jp/M3/20110502/F51174/1575/1", 71.64)</f>
        <v>71.64</v>
      </c>
      <c r="E11227" s="2">
        <v>49.05</v>
      </c>
      <c r="F11227" s="2">
        <v>2</v>
      </c>
      <c r="G11227" s="2" t="s">
        <v>13</v>
      </c>
    </row>
    <row r="11228" spans="1:9" x14ac:dyDescent="0.2">
      <c r="A11228" s="2" t="s">
        <v>3527</v>
      </c>
      <c r="B11228" s="2" t="s">
        <v>973</v>
      </c>
      <c r="C11228" s="2">
        <v>634.04610000000002</v>
      </c>
      <c r="D11228" s="2">
        <f>HYPERLINK("http://mcb-m6.bioreg.kyushu-u.ac.jp/M3/20110502/F51175/1473/1", 72.39)</f>
        <v>72.39</v>
      </c>
      <c r="E11228" s="2">
        <v>52.23</v>
      </c>
      <c r="F11228" s="2">
        <v>2</v>
      </c>
      <c r="G11228" s="2" t="s">
        <v>13</v>
      </c>
    </row>
    <row r="11229" spans="1:9" x14ac:dyDescent="0.2">
      <c r="A11229" s="2" t="s">
        <v>3527</v>
      </c>
      <c r="B11229" s="2" t="s">
        <v>372</v>
      </c>
      <c r="C11229" s="2">
        <v>714.04319999999996</v>
      </c>
      <c r="D11229" s="2">
        <f>HYPERLINK("http://mcb-m6.bioreg.kyushu-u.ac.jp/M3/20110502/F51189/1692/1", 72.81)</f>
        <v>72.81</v>
      </c>
      <c r="E11229" s="2">
        <v>54.38</v>
      </c>
      <c r="F11229" s="2">
        <v>2</v>
      </c>
      <c r="G11229" s="2" t="s">
        <v>13</v>
      </c>
    </row>
    <row r="11230" spans="1:9" x14ac:dyDescent="0.2">
      <c r="A11230" s="2" t="s">
        <v>3527</v>
      </c>
      <c r="B11230" s="2" t="s">
        <v>372</v>
      </c>
      <c r="C11230" s="2">
        <v>714.20619999999997</v>
      </c>
      <c r="D11230" s="2">
        <f>HYPERLINK("http://mcb-m6.bioreg.kyushu-u.ac.jp/M3/20110502/F51174/1854/1", 76.73)</f>
        <v>76.73</v>
      </c>
      <c r="E11230" s="2">
        <v>55.08</v>
      </c>
      <c r="F11230" s="2">
        <v>2</v>
      </c>
      <c r="G11230" s="2" t="s">
        <v>13</v>
      </c>
    </row>
    <row r="11231" spans="1:9" x14ac:dyDescent="0.2">
      <c r="A11231" s="2" t="s">
        <v>3527</v>
      </c>
      <c r="B11231" s="2" t="s">
        <v>1582</v>
      </c>
      <c r="C11231" s="2">
        <v>774.65560000000005</v>
      </c>
      <c r="D11231" s="2">
        <f>HYPERLINK("http://mcb-m6.bioreg.kyushu-u.ac.jp/M3/20110502/F51173/2002/1", 87.89)</f>
        <v>87.89</v>
      </c>
      <c r="E11231" s="2">
        <v>57.06</v>
      </c>
      <c r="F11231" s="2">
        <v>2</v>
      </c>
      <c r="G11231" s="2" t="s">
        <v>13</v>
      </c>
      <c r="I11231" s="2" t="s">
        <v>4898</v>
      </c>
    </row>
    <row r="11232" spans="1:9" x14ac:dyDescent="0.2">
      <c r="A11232" s="2" t="s">
        <v>3527</v>
      </c>
      <c r="B11232" s="2" t="s">
        <v>1582</v>
      </c>
      <c r="C11232" s="2">
        <v>774.6277</v>
      </c>
      <c r="D11232" s="2">
        <f>HYPERLINK("http://mcb-m6.bioreg.kyushu-u.ac.jp/M3/20110502/F51172/2339/1", 89.53)</f>
        <v>89.53</v>
      </c>
      <c r="E11232" s="2">
        <v>53.96</v>
      </c>
      <c r="F11232" s="2">
        <v>2</v>
      </c>
      <c r="G11232" s="2" t="s">
        <v>13</v>
      </c>
      <c r="I11232" s="2" t="s">
        <v>4898</v>
      </c>
    </row>
    <row r="11233" spans="1:9" x14ac:dyDescent="0.2">
      <c r="A11233" s="2" t="s">
        <v>3527</v>
      </c>
      <c r="B11233" s="2" t="s">
        <v>710</v>
      </c>
      <c r="C11233" s="2">
        <v>629.58119999999997</v>
      </c>
      <c r="D11233" s="2">
        <f>HYPERLINK("http://mcb-m6.bioreg.kyushu-u.ac.jp/M3/20110502/F51175/1463/1", 94.67)</f>
        <v>94.67</v>
      </c>
      <c r="E11233" s="2">
        <v>66.95</v>
      </c>
      <c r="F11233" s="2">
        <v>2</v>
      </c>
      <c r="G11233" s="2" t="s">
        <v>13</v>
      </c>
    </row>
    <row r="11234" spans="1:9" x14ac:dyDescent="0.2">
      <c r="A11234" s="2" t="s">
        <v>3527</v>
      </c>
      <c r="B11234" s="2" t="s">
        <v>1582</v>
      </c>
      <c r="C11234" s="2">
        <v>774.64869999999996</v>
      </c>
      <c r="D11234" s="2">
        <f>HYPERLINK("http://mcb-m6.bioreg.kyushu-u.ac.jp/M3/20110502/F51189/1971/1", 100.93)</f>
        <v>100.93</v>
      </c>
      <c r="E11234" s="2">
        <v>68.52</v>
      </c>
      <c r="F11234" s="2">
        <v>2</v>
      </c>
      <c r="G11234" s="2" t="s">
        <v>13</v>
      </c>
      <c r="I11234" s="2" t="s">
        <v>4898</v>
      </c>
    </row>
    <row r="11235" spans="1:9" x14ac:dyDescent="0.2">
      <c r="A11235" s="2" t="s">
        <v>3527</v>
      </c>
      <c r="B11235" s="2" t="s">
        <v>973</v>
      </c>
      <c r="C11235" s="2">
        <v>634.00070000000005</v>
      </c>
      <c r="D11235" s="2">
        <f>HYPERLINK("http://mcb-m6.bioreg.kyushu-u.ac.jp/M3/20110502/F51193/1302/1", 37.59)</f>
        <v>37.590000000000003</v>
      </c>
      <c r="E11235" s="2">
        <v>17.91</v>
      </c>
      <c r="F11235" s="2">
        <v>2</v>
      </c>
      <c r="G11235" s="2" t="s">
        <v>14</v>
      </c>
    </row>
    <row r="11236" spans="1:9" x14ac:dyDescent="0.2">
      <c r="A11236" s="2" t="s">
        <v>3527</v>
      </c>
      <c r="B11236" s="2" t="s">
        <v>497</v>
      </c>
      <c r="C11236" s="2">
        <v>538.85609999999997</v>
      </c>
      <c r="D11236" s="2">
        <f>HYPERLINK("http://mcb-m6.bioreg.kyushu-u.ac.jp/M3/20110502/F51185/886/1", 39.15)</f>
        <v>39.15</v>
      </c>
      <c r="E11236" s="2">
        <v>19.43</v>
      </c>
      <c r="F11236" s="2">
        <v>2</v>
      </c>
      <c r="G11236" s="2" t="s">
        <v>14</v>
      </c>
    </row>
    <row r="11237" spans="1:9" x14ac:dyDescent="0.2">
      <c r="A11237" s="2" t="s">
        <v>3527</v>
      </c>
      <c r="B11237" s="2" t="s">
        <v>1012</v>
      </c>
      <c r="C11237" s="2">
        <v>791.11109999999996</v>
      </c>
      <c r="D11237" s="2">
        <f>HYPERLINK("http://mcb-m6.bioreg.kyushu-u.ac.jp/M3/20110502/F51194/2110/1", 44.29)</f>
        <v>44.29</v>
      </c>
      <c r="E11237" s="2">
        <v>26.61</v>
      </c>
      <c r="F11237" s="2">
        <v>2</v>
      </c>
      <c r="G11237" s="2" t="s">
        <v>14</v>
      </c>
    </row>
    <row r="11238" spans="1:9" x14ac:dyDescent="0.2">
      <c r="A11238" s="2" t="s">
        <v>3527</v>
      </c>
      <c r="B11238" s="2" t="s">
        <v>2259</v>
      </c>
      <c r="C11238" s="2">
        <v>742.68020000000001</v>
      </c>
      <c r="D11238" s="2">
        <f>HYPERLINK("http://mcb-m6.bioreg.kyushu-u.ac.jp/M3/20110502/F51185/1906/1", 45.18)</f>
        <v>45.18</v>
      </c>
      <c r="E11238" s="2">
        <v>10.63</v>
      </c>
      <c r="F11238" s="2">
        <v>2</v>
      </c>
      <c r="G11238" s="2" t="s">
        <v>14</v>
      </c>
    </row>
    <row r="11239" spans="1:9" x14ac:dyDescent="0.2">
      <c r="A11239" s="2" t="s">
        <v>3527</v>
      </c>
      <c r="B11239" s="2" t="s">
        <v>1582</v>
      </c>
      <c r="C11239" s="2">
        <v>774.71469999999999</v>
      </c>
      <c r="D11239" s="2">
        <f>HYPERLINK("http://mcb-m6.bioreg.kyushu-u.ac.jp/M3/20110502/F51185/2054/1", 45.57)</f>
        <v>45.57</v>
      </c>
      <c r="E11239" s="2">
        <v>24.86</v>
      </c>
      <c r="F11239" s="2">
        <v>2</v>
      </c>
      <c r="G11239" s="2" t="s">
        <v>14</v>
      </c>
      <c r="I11239" s="2" t="s">
        <v>4898</v>
      </c>
    </row>
    <row r="11240" spans="1:9" x14ac:dyDescent="0.2">
      <c r="A11240" s="2" t="s">
        <v>3527</v>
      </c>
      <c r="B11240" s="2" t="s">
        <v>2259</v>
      </c>
      <c r="C11240" s="2">
        <v>742.68520000000001</v>
      </c>
      <c r="D11240" s="2">
        <f>HYPERLINK("http://mcb-m6.bioreg.kyushu-u.ac.jp/M3/20110502/F51193/1904/1", 48.92)</f>
        <v>48.92</v>
      </c>
      <c r="E11240" s="2">
        <v>6.36</v>
      </c>
      <c r="F11240" s="2">
        <v>2</v>
      </c>
      <c r="G11240" s="2" t="s">
        <v>14</v>
      </c>
    </row>
    <row r="11241" spans="1:9" x14ac:dyDescent="0.2">
      <c r="A11241" s="2" t="s">
        <v>3527</v>
      </c>
      <c r="B11241" s="2" t="s">
        <v>1012</v>
      </c>
      <c r="C11241" s="2">
        <v>791.45420000000001</v>
      </c>
      <c r="D11241" s="2">
        <f>HYPERLINK("http://mcb-m6.bioreg.kyushu-u.ac.jp/M3/20110502/F51190/1958/1", 48.95)</f>
        <v>48.95</v>
      </c>
      <c r="E11241" s="2">
        <v>25.44</v>
      </c>
      <c r="F11241" s="2">
        <v>2</v>
      </c>
      <c r="G11241" s="2" t="s">
        <v>14</v>
      </c>
    </row>
    <row r="11242" spans="1:9" x14ac:dyDescent="0.2">
      <c r="A11242" s="2" t="s">
        <v>3527</v>
      </c>
      <c r="B11242" s="2" t="s">
        <v>710</v>
      </c>
      <c r="C11242" s="2">
        <v>1257.9670000000001</v>
      </c>
      <c r="D11242" s="2">
        <f>HYPERLINK("http://mcb-m6.bioreg.kyushu-u.ac.jp/M3/20110502/F51193/1288/1", 55.93)</f>
        <v>55.93</v>
      </c>
      <c r="E11242" s="2">
        <v>34.35</v>
      </c>
      <c r="F11242" s="2">
        <v>1</v>
      </c>
      <c r="G11242" s="2" t="s">
        <v>14</v>
      </c>
    </row>
    <row r="11243" spans="1:9" x14ac:dyDescent="0.2">
      <c r="A11243" s="2" t="s">
        <v>3527</v>
      </c>
      <c r="B11243" s="2" t="s">
        <v>497</v>
      </c>
      <c r="C11243" s="2">
        <v>538.93870000000004</v>
      </c>
      <c r="D11243" s="2">
        <f>HYPERLINK("http://mcb-m6.bioreg.kyushu-u.ac.jp/M3/20110502/F51193/925/1", 58.8)</f>
        <v>58.8</v>
      </c>
      <c r="E11243" s="2">
        <v>27.69</v>
      </c>
      <c r="F11243" s="2">
        <v>2</v>
      </c>
      <c r="G11243" s="2" t="s">
        <v>14</v>
      </c>
    </row>
    <row r="11244" spans="1:9" x14ac:dyDescent="0.2">
      <c r="A11244" s="2" t="s">
        <v>3527</v>
      </c>
      <c r="B11244" s="2" t="s">
        <v>973</v>
      </c>
      <c r="C11244" s="2">
        <v>634.13419999999996</v>
      </c>
      <c r="D11244" s="2">
        <f>HYPERLINK("http://mcb-m6.bioreg.kyushu-u.ac.jp/M3/20110502/F51194/1235/1", 63.17)</f>
        <v>63.17</v>
      </c>
      <c r="E11244" s="2">
        <v>42.22</v>
      </c>
      <c r="F11244" s="2">
        <v>2</v>
      </c>
      <c r="G11244" s="2" t="s">
        <v>14</v>
      </c>
    </row>
    <row r="11245" spans="1:9" x14ac:dyDescent="0.2">
      <c r="A11245" s="2" t="s">
        <v>3527</v>
      </c>
      <c r="B11245" s="2" t="s">
        <v>372</v>
      </c>
      <c r="C11245" s="2">
        <v>714.13369999999998</v>
      </c>
      <c r="D11245" s="2">
        <f>HYPERLINK("http://mcb-m6.bioreg.kyushu-u.ac.jp/M3/20110502/F51193/1746/1", 65.4)</f>
        <v>65.400000000000006</v>
      </c>
      <c r="E11245" s="2">
        <v>45.85</v>
      </c>
      <c r="F11245" s="2">
        <v>2</v>
      </c>
      <c r="G11245" s="2" t="s">
        <v>14</v>
      </c>
    </row>
    <row r="11246" spans="1:9" x14ac:dyDescent="0.2">
      <c r="A11246" s="2" t="s">
        <v>3527</v>
      </c>
      <c r="B11246" s="2" t="s">
        <v>372</v>
      </c>
      <c r="C11246" s="2">
        <v>714.06460000000004</v>
      </c>
      <c r="D11246" s="2">
        <f>HYPERLINK("http://mcb-m6.bioreg.kyushu-u.ac.jp/M3/20110502/F51194/1682/1", 70.06)</f>
        <v>70.06</v>
      </c>
      <c r="E11246" s="2">
        <v>52.86</v>
      </c>
      <c r="F11246" s="2">
        <v>2</v>
      </c>
      <c r="G11246" s="2" t="s">
        <v>14</v>
      </c>
    </row>
    <row r="11247" spans="1:9" x14ac:dyDescent="0.2">
      <c r="A11247" s="2" t="s">
        <v>3527</v>
      </c>
      <c r="B11247" s="2" t="s">
        <v>1582</v>
      </c>
      <c r="C11247" s="2">
        <v>774.6191</v>
      </c>
      <c r="D11247" s="2">
        <f>HYPERLINK("http://mcb-m6.bioreg.kyushu-u.ac.jp/M3/20110502/F51193/2083/1", 90.93)</f>
        <v>90.93</v>
      </c>
      <c r="E11247" s="2">
        <v>62.81</v>
      </c>
      <c r="F11247" s="2">
        <v>2</v>
      </c>
      <c r="G11247" s="2" t="s">
        <v>14</v>
      </c>
      <c r="I11247" s="2" t="s">
        <v>4898</v>
      </c>
    </row>
    <row r="11248" spans="1:9" x14ac:dyDescent="0.2">
      <c r="A11248" s="2" t="s">
        <v>3527</v>
      </c>
      <c r="B11248" s="2" t="s">
        <v>1582</v>
      </c>
      <c r="C11248" s="2">
        <v>774.42169999999999</v>
      </c>
      <c r="D11248" s="2">
        <f>HYPERLINK("http://mcb-m6.bioreg.kyushu-u.ac.jp/M3/20110502/F51194/2002/1", 101.05)</f>
        <v>101.05</v>
      </c>
      <c r="E11248" s="2">
        <v>61.78</v>
      </c>
      <c r="F11248" s="2">
        <v>2</v>
      </c>
      <c r="G11248" s="2" t="s">
        <v>14</v>
      </c>
      <c r="I11248" s="2" t="s">
        <v>4898</v>
      </c>
    </row>
    <row r="11249" spans="1:8" x14ac:dyDescent="0.2">
      <c r="A11249" s="2" t="s">
        <v>3522</v>
      </c>
      <c r="B11249" s="2" t="s">
        <v>366</v>
      </c>
      <c r="C11249" s="2">
        <v>736.63710000000003</v>
      </c>
      <c r="D11249" s="2">
        <f>HYPERLINK("http://mcb-m6.bioreg.kyushu-u.ac.jp/M3/20110411/F50905/2010/1", 40.36)</f>
        <v>40.36</v>
      </c>
      <c r="E11249" s="2">
        <v>16.52</v>
      </c>
      <c r="F11249" s="2">
        <v>2</v>
      </c>
      <c r="G11249" s="2" t="s">
        <v>9</v>
      </c>
    </row>
    <row r="11250" spans="1:8" x14ac:dyDescent="0.2">
      <c r="A11250" s="2" t="s">
        <v>3522</v>
      </c>
      <c r="B11250" s="2" t="s">
        <v>479</v>
      </c>
      <c r="C11250" s="2">
        <v>781.3732</v>
      </c>
      <c r="D11250" s="2">
        <f>HYPERLINK("http://mcb-m6.bioreg.kyushu-u.ac.jp/M3/20110411/F50905/2275/1", 42.75)</f>
        <v>42.75</v>
      </c>
      <c r="E11250" s="2">
        <v>31.31</v>
      </c>
      <c r="F11250" s="2">
        <v>2</v>
      </c>
      <c r="G11250" s="2" t="s">
        <v>9</v>
      </c>
    </row>
    <row r="11251" spans="1:8" x14ac:dyDescent="0.2">
      <c r="A11251" s="2" t="s">
        <v>3522</v>
      </c>
      <c r="B11251" s="2" t="s">
        <v>570</v>
      </c>
      <c r="C11251" s="2">
        <v>692.92949999999996</v>
      </c>
      <c r="D11251" s="2">
        <f>HYPERLINK("http://mcb-m6.bioreg.kyushu-u.ac.jp/M3/20110411/F50905/3405/1", 45.14)</f>
        <v>45.14</v>
      </c>
      <c r="E11251" s="2">
        <v>30.75</v>
      </c>
      <c r="F11251" s="2">
        <v>3</v>
      </c>
      <c r="G11251" s="2" t="s">
        <v>9</v>
      </c>
    </row>
    <row r="11252" spans="1:8" x14ac:dyDescent="0.2">
      <c r="A11252" s="2" t="s">
        <v>3522</v>
      </c>
      <c r="B11252" s="2" t="s">
        <v>479</v>
      </c>
      <c r="C11252" s="2">
        <v>781.10170000000005</v>
      </c>
      <c r="D11252" s="2">
        <f>HYPERLINK("http://mcb-m6.bioreg.kyushu-u.ac.jp/M3/20110411/F50915/2154/1", 47.4)</f>
        <v>47.4</v>
      </c>
      <c r="E11252" s="2">
        <v>31.41</v>
      </c>
      <c r="F11252" s="2">
        <v>2</v>
      </c>
      <c r="G11252" s="2" t="s">
        <v>9</v>
      </c>
    </row>
    <row r="11253" spans="1:8" x14ac:dyDescent="0.2">
      <c r="A11253" s="2" t="s">
        <v>3522</v>
      </c>
      <c r="B11253" s="2" t="s">
        <v>852</v>
      </c>
      <c r="C11253" s="2">
        <v>554.01919999999996</v>
      </c>
      <c r="D11253" s="2">
        <f>HYPERLINK("http://mcb-m6.bioreg.kyushu-u.ac.jp/M3/20110411/F50905/1170/1", 53.52)</f>
        <v>53.52</v>
      </c>
      <c r="E11253" s="2">
        <v>3.52</v>
      </c>
      <c r="F11253" s="2">
        <v>2</v>
      </c>
      <c r="G11253" s="2" t="s">
        <v>9</v>
      </c>
      <c r="H11253" s="2" t="s">
        <v>4908</v>
      </c>
    </row>
    <row r="11254" spans="1:8" x14ac:dyDescent="0.2">
      <c r="A11254" s="2" t="s">
        <v>3522</v>
      </c>
      <c r="B11254" s="2" t="s">
        <v>852</v>
      </c>
      <c r="C11254" s="2">
        <v>554.03809999999999</v>
      </c>
      <c r="D11254" s="2">
        <f>HYPERLINK("http://mcb-m6.bioreg.kyushu-u.ac.jp/M3/20110411/F50911/1200/1", 55.34)</f>
        <v>55.34</v>
      </c>
      <c r="E11254" s="2">
        <v>16.600000000000001</v>
      </c>
      <c r="F11254" s="2">
        <v>2</v>
      </c>
      <c r="G11254" s="2" t="s">
        <v>9</v>
      </c>
      <c r="H11254" s="2" t="s">
        <v>4908</v>
      </c>
    </row>
    <row r="11255" spans="1:8" x14ac:dyDescent="0.2">
      <c r="A11255" s="2" t="s">
        <v>3522</v>
      </c>
      <c r="B11255" s="2" t="s">
        <v>946</v>
      </c>
      <c r="C11255" s="2">
        <v>458.91809999999998</v>
      </c>
      <c r="D11255" s="2">
        <f>HYPERLINK("http://mcb-m6.bioreg.kyushu-u.ac.jp/M3/20110411/F50905/829/1", 56.33)</f>
        <v>56.33</v>
      </c>
      <c r="E11255" s="2">
        <v>15.43</v>
      </c>
      <c r="F11255" s="2">
        <v>2</v>
      </c>
      <c r="G11255" s="2" t="s">
        <v>9</v>
      </c>
    </row>
    <row r="11256" spans="1:8" x14ac:dyDescent="0.2">
      <c r="A11256" s="2" t="s">
        <v>3522</v>
      </c>
      <c r="B11256" s="2" t="s">
        <v>947</v>
      </c>
      <c r="C11256" s="2">
        <v>579.54970000000003</v>
      </c>
      <c r="D11256" s="2">
        <f>HYPERLINK("http://mcb-m6.bioreg.kyushu-u.ac.jp/M3/20110411/F50905/1274/1", 56.37)</f>
        <v>56.37</v>
      </c>
      <c r="E11256" s="2">
        <v>22.81</v>
      </c>
      <c r="F11256" s="2">
        <v>2</v>
      </c>
      <c r="G11256" s="2" t="s">
        <v>9</v>
      </c>
    </row>
    <row r="11257" spans="1:8" x14ac:dyDescent="0.2">
      <c r="A11257" s="2" t="s">
        <v>3522</v>
      </c>
      <c r="B11257" s="2" t="s">
        <v>958</v>
      </c>
      <c r="C11257" s="2">
        <v>781.19209999999998</v>
      </c>
      <c r="D11257" s="2">
        <f>HYPERLINK("http://mcb-m6.bioreg.kyushu-u.ac.jp/M3/20110411/F50911/2318/1", 56.92)</f>
        <v>56.92</v>
      </c>
      <c r="E11257" s="2">
        <v>27.54</v>
      </c>
      <c r="F11257" s="2">
        <v>2</v>
      </c>
      <c r="G11257" s="2" t="s">
        <v>9</v>
      </c>
    </row>
    <row r="11258" spans="1:8" x14ac:dyDescent="0.2">
      <c r="A11258" s="2" t="s">
        <v>3522</v>
      </c>
      <c r="B11258" s="2" t="s">
        <v>1199</v>
      </c>
      <c r="C11258" s="2">
        <v>1422.8989999999999</v>
      </c>
      <c r="D11258" s="2">
        <f>HYPERLINK("http://mcb-m6.bioreg.kyushu-u.ac.jp/M3/20110411/F50911/1938/1", 67.09)</f>
        <v>67.09</v>
      </c>
      <c r="E11258" s="2">
        <v>41.55</v>
      </c>
      <c r="F11258" s="2">
        <v>1</v>
      </c>
      <c r="G11258" s="2" t="s">
        <v>9</v>
      </c>
    </row>
    <row r="11259" spans="1:8" x14ac:dyDescent="0.2">
      <c r="A11259" s="2" t="s">
        <v>3522</v>
      </c>
      <c r="B11259" s="2" t="s">
        <v>1199</v>
      </c>
      <c r="C11259" s="2">
        <v>712.28120000000001</v>
      </c>
      <c r="D11259" s="2">
        <f>HYPERLINK("http://mcb-m6.bioreg.kyushu-u.ac.jp/M3/20110411/F50891/1929/1", 68.42)</f>
        <v>68.42</v>
      </c>
      <c r="E11259" s="2">
        <v>44.85</v>
      </c>
      <c r="F11259" s="2">
        <v>2</v>
      </c>
      <c r="G11259" s="2" t="s">
        <v>9</v>
      </c>
    </row>
    <row r="11260" spans="1:8" x14ac:dyDescent="0.2">
      <c r="A11260" s="2" t="s">
        <v>3522</v>
      </c>
      <c r="B11260" s="2" t="s">
        <v>1199</v>
      </c>
      <c r="C11260" s="2">
        <v>1422.7429999999999</v>
      </c>
      <c r="D11260" s="2">
        <f>HYPERLINK("http://mcb-m6.bioreg.kyushu-u.ac.jp/M3/20110411/F50905/1866/1", 68.78)</f>
        <v>68.78</v>
      </c>
      <c r="E11260" s="2">
        <v>48.38</v>
      </c>
      <c r="F11260" s="2">
        <v>1</v>
      </c>
      <c r="G11260" s="2" t="s">
        <v>9</v>
      </c>
    </row>
    <row r="11261" spans="1:8" x14ac:dyDescent="0.2">
      <c r="A11261" s="2" t="s">
        <v>3522</v>
      </c>
      <c r="B11261" s="2" t="s">
        <v>1419</v>
      </c>
      <c r="C11261" s="2">
        <v>552.04020000000003</v>
      </c>
      <c r="D11261" s="2">
        <f>HYPERLINK("http://mcb-m6.bioreg.kyushu-u.ac.jp/M3/20110411/F50911/1187/1", 78.96)</f>
        <v>78.959999999999994</v>
      </c>
      <c r="E11261" s="2">
        <v>16.95</v>
      </c>
      <c r="F11261" s="2">
        <v>2</v>
      </c>
      <c r="G11261" s="2" t="s">
        <v>9</v>
      </c>
    </row>
    <row r="11262" spans="1:8" x14ac:dyDescent="0.2">
      <c r="A11262" s="2" t="s">
        <v>3522</v>
      </c>
      <c r="B11262" s="2" t="s">
        <v>479</v>
      </c>
      <c r="C11262" s="2">
        <v>1561.0250000000001</v>
      </c>
      <c r="D11262" s="2">
        <f>HYPERLINK("http://mcb-m6.bioreg.kyushu-u.ac.jp/M3/20110411/F50905/2270/1", 82.42)</f>
        <v>82.42</v>
      </c>
      <c r="E11262" s="2">
        <v>58.99</v>
      </c>
      <c r="F11262" s="2">
        <v>1</v>
      </c>
      <c r="G11262" s="2" t="s">
        <v>9</v>
      </c>
    </row>
    <row r="11263" spans="1:8" x14ac:dyDescent="0.2">
      <c r="A11263" s="2" t="s">
        <v>3522</v>
      </c>
      <c r="B11263" s="2" t="s">
        <v>1500</v>
      </c>
      <c r="C11263" s="2">
        <v>847.74019999999996</v>
      </c>
      <c r="D11263" s="2">
        <f>HYPERLINK("http://mcb-m6.bioreg.kyushu-u.ac.jp/M3/20110411/F50905/2579/1", 86.55)</f>
        <v>86.55</v>
      </c>
      <c r="E11263" s="2">
        <v>70.459999999999994</v>
      </c>
      <c r="F11263" s="2">
        <v>2</v>
      </c>
      <c r="G11263" s="2" t="s">
        <v>9</v>
      </c>
    </row>
    <row r="11264" spans="1:8" x14ac:dyDescent="0.2">
      <c r="A11264" s="2" t="s">
        <v>3522</v>
      </c>
      <c r="B11264" s="2" t="s">
        <v>1419</v>
      </c>
      <c r="C11264" s="2">
        <v>552.0027</v>
      </c>
      <c r="D11264" s="2">
        <f>HYPERLINK("http://mcb-m6.bioreg.kyushu-u.ac.jp/M3/20110411/F50905/1159/1", 92.87)</f>
        <v>92.87</v>
      </c>
      <c r="E11264" s="2">
        <v>20.28</v>
      </c>
      <c r="F11264" s="2">
        <v>2</v>
      </c>
      <c r="G11264" s="2" t="s">
        <v>9</v>
      </c>
    </row>
    <row r="11265" spans="1:8" x14ac:dyDescent="0.2">
      <c r="A11265" s="2" t="s">
        <v>3522</v>
      </c>
      <c r="B11265" s="2" t="s">
        <v>479</v>
      </c>
      <c r="C11265" s="2">
        <v>781.12710000000004</v>
      </c>
      <c r="D11265" s="2">
        <f>HYPERLINK("http://mcb-m6.bioreg.kyushu-u.ac.jp/M3/20110411/F50911/2316/1", 93.77)</f>
        <v>93.77</v>
      </c>
      <c r="E11265" s="2">
        <v>73.48</v>
      </c>
      <c r="F11265" s="2">
        <v>2</v>
      </c>
      <c r="G11265" s="2" t="s">
        <v>9</v>
      </c>
    </row>
    <row r="11266" spans="1:8" x14ac:dyDescent="0.2">
      <c r="A11266" s="2" t="s">
        <v>3522</v>
      </c>
      <c r="B11266" s="2" t="s">
        <v>1591</v>
      </c>
      <c r="C11266" s="2">
        <v>945.21510000000001</v>
      </c>
      <c r="D11266" s="2">
        <f>HYPERLINK("http://mcb-m6.bioreg.kyushu-u.ac.jp/M3/20110411/F50905/3057/1", 96.83)</f>
        <v>96.83</v>
      </c>
      <c r="E11266" s="2">
        <v>75.83</v>
      </c>
      <c r="F11266" s="2">
        <v>2</v>
      </c>
      <c r="G11266" s="2" t="s">
        <v>9</v>
      </c>
    </row>
    <row r="11267" spans="1:8" x14ac:dyDescent="0.2">
      <c r="A11267" s="2" t="s">
        <v>3522</v>
      </c>
      <c r="B11267" s="2" t="s">
        <v>1199</v>
      </c>
      <c r="C11267" s="2">
        <v>712.03520000000003</v>
      </c>
      <c r="D11267" s="2">
        <f>HYPERLINK("http://mcb-m6.bioreg.kyushu-u.ac.jp/M3/20110411/F50905/1869/1", 99.95)</f>
        <v>99.95</v>
      </c>
      <c r="E11267" s="2">
        <v>72.91</v>
      </c>
      <c r="F11267" s="2">
        <v>2</v>
      </c>
      <c r="G11267" s="2" t="s">
        <v>9</v>
      </c>
    </row>
    <row r="11268" spans="1:8" x14ac:dyDescent="0.2">
      <c r="A11268" s="2" t="s">
        <v>3522</v>
      </c>
      <c r="B11268" s="2" t="s">
        <v>958</v>
      </c>
      <c r="C11268" s="2">
        <v>781.04219999999998</v>
      </c>
      <c r="D11268" s="2">
        <f>HYPERLINK("http://mcb-m6.bioreg.kyushu-u.ac.jp/M3/20110411/F50905/2271/1", 103.33)</f>
        <v>103.33</v>
      </c>
      <c r="E11268" s="2">
        <v>71.069999999999993</v>
      </c>
      <c r="F11268" s="2">
        <v>2</v>
      </c>
      <c r="G11268" s="2" t="s">
        <v>9</v>
      </c>
    </row>
    <row r="11269" spans="1:8" x14ac:dyDescent="0.2">
      <c r="A11269" s="2" t="s">
        <v>3522</v>
      </c>
      <c r="B11269" s="2" t="s">
        <v>1199</v>
      </c>
      <c r="C11269" s="2">
        <v>712.04610000000002</v>
      </c>
      <c r="D11269" s="2">
        <f>HYPERLINK("http://mcb-m6.bioreg.kyushu-u.ac.jp/M3/20110411/F50900/2004/1", 35.14)</f>
        <v>35.14</v>
      </c>
      <c r="E11269" s="2">
        <v>15.23</v>
      </c>
      <c r="F11269" s="2">
        <v>2</v>
      </c>
      <c r="G11269" s="2" t="s">
        <v>10</v>
      </c>
    </row>
    <row r="11270" spans="1:8" x14ac:dyDescent="0.2">
      <c r="A11270" s="2" t="s">
        <v>3522</v>
      </c>
      <c r="B11270" s="2" t="s">
        <v>852</v>
      </c>
      <c r="C11270" s="2">
        <v>553.97220000000004</v>
      </c>
      <c r="D11270" s="2">
        <f>HYPERLINK("http://mcb-m6.bioreg.kyushu-u.ac.jp/M3/20110411/F50914/1263/1", 45.52)</f>
        <v>45.52</v>
      </c>
      <c r="E11270" s="2">
        <v>2.4500000000000002</v>
      </c>
      <c r="F11270" s="2">
        <v>2</v>
      </c>
      <c r="G11270" s="2" t="s">
        <v>10</v>
      </c>
      <c r="H11270" s="2" t="s">
        <v>4908</v>
      </c>
    </row>
    <row r="11271" spans="1:8" x14ac:dyDescent="0.2">
      <c r="A11271" s="2" t="s">
        <v>3522</v>
      </c>
      <c r="B11271" s="2" t="s">
        <v>1199</v>
      </c>
      <c r="C11271" s="2">
        <v>1422.825</v>
      </c>
      <c r="D11271" s="2">
        <f>HYPERLINK("http://mcb-m6.bioreg.kyushu-u.ac.jp/M3/20110411/F50913/1875/1", 47.42)</f>
        <v>47.42</v>
      </c>
      <c r="E11271" s="2">
        <v>24.15</v>
      </c>
      <c r="F11271" s="2">
        <v>1</v>
      </c>
      <c r="G11271" s="2" t="s">
        <v>10</v>
      </c>
    </row>
    <row r="11272" spans="1:8" x14ac:dyDescent="0.2">
      <c r="A11272" s="2" t="s">
        <v>3522</v>
      </c>
      <c r="B11272" s="2" t="s">
        <v>1591</v>
      </c>
      <c r="C11272" s="2">
        <v>944.71119999999996</v>
      </c>
      <c r="D11272" s="2">
        <f>HYPERLINK("http://mcb-m6.bioreg.kyushu-u.ac.jp/M3/20110411/F50913/2984/1", 60.51)</f>
        <v>60.51</v>
      </c>
      <c r="E11272" s="2">
        <v>45.41</v>
      </c>
      <c r="F11272" s="2">
        <v>2</v>
      </c>
      <c r="G11272" s="2" t="s">
        <v>10</v>
      </c>
    </row>
    <row r="11273" spans="1:8" x14ac:dyDescent="0.2">
      <c r="A11273" s="2" t="s">
        <v>3522</v>
      </c>
      <c r="B11273" s="2" t="s">
        <v>479</v>
      </c>
      <c r="C11273" s="2">
        <v>1561.9290000000001</v>
      </c>
      <c r="D11273" s="2">
        <f>HYPERLINK("http://mcb-m6.bioreg.kyushu-u.ac.jp/M3/20110411/F50913/2221/1", 65.01)</f>
        <v>65.010000000000005</v>
      </c>
      <c r="E11273" s="2">
        <v>48.04</v>
      </c>
      <c r="F11273" s="2">
        <v>1</v>
      </c>
      <c r="G11273" s="2" t="s">
        <v>10</v>
      </c>
    </row>
    <row r="11274" spans="1:8" x14ac:dyDescent="0.2">
      <c r="A11274" s="2" t="s">
        <v>3522</v>
      </c>
      <c r="B11274" s="2" t="s">
        <v>2036</v>
      </c>
      <c r="C11274" s="2">
        <v>736.63369999999998</v>
      </c>
      <c r="D11274" s="2">
        <f>HYPERLINK("http://mcb-m6.bioreg.kyushu-u.ac.jp/M3/20110411/F50913/1988/1", 65.63)</f>
        <v>65.63</v>
      </c>
      <c r="E11274" s="2">
        <v>40.43</v>
      </c>
      <c r="F11274" s="2">
        <v>2</v>
      </c>
      <c r="G11274" s="2" t="s">
        <v>10</v>
      </c>
    </row>
    <row r="11275" spans="1:8" x14ac:dyDescent="0.2">
      <c r="A11275" s="2" t="s">
        <v>3522</v>
      </c>
      <c r="B11275" s="2" t="s">
        <v>852</v>
      </c>
      <c r="C11275" s="2">
        <v>553.98609999999996</v>
      </c>
      <c r="D11275" s="2">
        <f>HYPERLINK("http://mcb-m6.bioreg.kyushu-u.ac.jp/M3/20110411/F50913/1220/1", 66.33)</f>
        <v>66.33</v>
      </c>
      <c r="E11275" s="2">
        <v>10.36</v>
      </c>
      <c r="F11275" s="2">
        <v>2</v>
      </c>
      <c r="G11275" s="2" t="s">
        <v>10</v>
      </c>
      <c r="H11275" s="2" t="s">
        <v>4908</v>
      </c>
    </row>
    <row r="11276" spans="1:8" x14ac:dyDescent="0.2">
      <c r="A11276" s="2" t="s">
        <v>3522</v>
      </c>
      <c r="B11276" s="2" t="s">
        <v>479</v>
      </c>
      <c r="C11276" s="2">
        <v>1560.9549999999999</v>
      </c>
      <c r="D11276" s="2">
        <f>HYPERLINK("http://mcb-m6.bioreg.kyushu-u.ac.jp/M3/20110411/F50913/2214/1", 69.65)</f>
        <v>69.650000000000006</v>
      </c>
      <c r="E11276" s="2">
        <v>47.1</v>
      </c>
      <c r="F11276" s="2">
        <v>1</v>
      </c>
      <c r="G11276" s="2" t="s">
        <v>10</v>
      </c>
    </row>
    <row r="11277" spans="1:8" x14ac:dyDescent="0.2">
      <c r="A11277" s="2" t="s">
        <v>3522</v>
      </c>
      <c r="B11277" s="2" t="s">
        <v>1419</v>
      </c>
      <c r="C11277" s="2">
        <v>552.02970000000005</v>
      </c>
      <c r="D11277" s="2">
        <f>HYPERLINK("http://mcb-m6.bioreg.kyushu-u.ac.jp/M3/20110411/F50913/1211/1", 72.32)</f>
        <v>72.319999999999993</v>
      </c>
      <c r="E11277" s="2">
        <v>19.23</v>
      </c>
      <c r="F11277" s="2">
        <v>2</v>
      </c>
      <c r="G11277" s="2" t="s">
        <v>10</v>
      </c>
    </row>
    <row r="11278" spans="1:8" x14ac:dyDescent="0.2">
      <c r="A11278" s="2" t="s">
        <v>3522</v>
      </c>
      <c r="B11278" s="2" t="s">
        <v>479</v>
      </c>
      <c r="C11278" s="2">
        <v>781.19820000000004</v>
      </c>
      <c r="D11278" s="2">
        <f>HYPERLINK("http://mcb-m6.bioreg.kyushu-u.ac.jp/M3/20110411/F50917/2210/1", 80.56)</f>
        <v>80.56</v>
      </c>
      <c r="E11278" s="2">
        <v>60.59</v>
      </c>
      <c r="F11278" s="2">
        <v>2</v>
      </c>
      <c r="G11278" s="2" t="s">
        <v>10</v>
      </c>
    </row>
    <row r="11279" spans="1:8" x14ac:dyDescent="0.2">
      <c r="A11279" s="2" t="s">
        <v>3522</v>
      </c>
      <c r="B11279" s="2" t="s">
        <v>2036</v>
      </c>
      <c r="C11279" s="2">
        <v>736.65419999999995</v>
      </c>
      <c r="D11279" s="2">
        <f>HYPERLINK("http://mcb-m6.bioreg.kyushu-u.ac.jp/M3/20110411/F50913/1989/1", 83.05)</f>
        <v>83.05</v>
      </c>
      <c r="E11279" s="2">
        <v>48.06</v>
      </c>
      <c r="F11279" s="2">
        <v>2</v>
      </c>
      <c r="G11279" s="2" t="s">
        <v>10</v>
      </c>
    </row>
    <row r="11280" spans="1:8" x14ac:dyDescent="0.2">
      <c r="A11280" s="2" t="s">
        <v>3522</v>
      </c>
      <c r="B11280" s="2" t="s">
        <v>1199</v>
      </c>
      <c r="C11280" s="2">
        <v>712.07370000000003</v>
      </c>
      <c r="D11280" s="2">
        <f>HYPERLINK("http://mcb-m6.bioreg.kyushu-u.ac.jp/M3/20110411/F50912/1905/1", 86.83)</f>
        <v>86.83</v>
      </c>
      <c r="E11280" s="2">
        <v>57.06</v>
      </c>
      <c r="F11280" s="2">
        <v>2</v>
      </c>
      <c r="G11280" s="2" t="s">
        <v>10</v>
      </c>
    </row>
    <row r="11281" spans="1:7" x14ac:dyDescent="0.2">
      <c r="A11281" s="2" t="s">
        <v>3522</v>
      </c>
      <c r="B11281" s="2" t="s">
        <v>1500</v>
      </c>
      <c r="C11281" s="2">
        <v>847.65560000000005</v>
      </c>
      <c r="D11281" s="2">
        <f>HYPERLINK("http://mcb-m6.bioreg.kyushu-u.ac.jp/M3/20110411/F50913/2510/1", 87.86)</f>
        <v>87.86</v>
      </c>
      <c r="E11281" s="2">
        <v>66.97</v>
      </c>
      <c r="F11281" s="2">
        <v>2</v>
      </c>
      <c r="G11281" s="2" t="s">
        <v>10</v>
      </c>
    </row>
    <row r="11282" spans="1:7" x14ac:dyDescent="0.2">
      <c r="A11282" s="2" t="s">
        <v>3522</v>
      </c>
      <c r="B11282" s="2" t="s">
        <v>479</v>
      </c>
      <c r="C11282" s="2">
        <v>781.28520000000003</v>
      </c>
      <c r="D11282" s="2">
        <f>HYPERLINK("http://mcb-m6.bioreg.kyushu-u.ac.jp/M3/20110411/F50913/2219/1", 91.03)</f>
        <v>91.03</v>
      </c>
      <c r="E11282" s="2">
        <v>72.14</v>
      </c>
      <c r="F11282" s="2">
        <v>2</v>
      </c>
      <c r="G11282" s="2" t="s">
        <v>10</v>
      </c>
    </row>
    <row r="11283" spans="1:7" x14ac:dyDescent="0.2">
      <c r="A11283" s="2" t="s">
        <v>3522</v>
      </c>
      <c r="B11283" s="2" t="s">
        <v>1199</v>
      </c>
      <c r="C11283" s="2">
        <v>712.07259999999997</v>
      </c>
      <c r="D11283" s="2">
        <f>HYPERLINK("http://mcb-m6.bioreg.kyushu-u.ac.jp/M3/20110411/F50913/1876/1", 96.67)</f>
        <v>96.67</v>
      </c>
      <c r="E11283" s="2">
        <v>70.55</v>
      </c>
      <c r="F11283" s="2">
        <v>2</v>
      </c>
      <c r="G11283" s="2" t="s">
        <v>10</v>
      </c>
    </row>
    <row r="11284" spans="1:7" x14ac:dyDescent="0.2">
      <c r="A11284" s="2" t="s">
        <v>3522</v>
      </c>
      <c r="B11284" s="2" t="s">
        <v>479</v>
      </c>
      <c r="C11284" s="2">
        <v>781.18709999999999</v>
      </c>
      <c r="D11284" s="2">
        <f>HYPERLINK("http://mcb-m6.bioreg.kyushu-u.ac.jp/M3/20110414/F50941/2330/1", 35.1)</f>
        <v>35.1</v>
      </c>
      <c r="E11284" s="2">
        <v>23.73</v>
      </c>
      <c r="F11284" s="2">
        <v>2</v>
      </c>
      <c r="G11284" s="2" t="s">
        <v>11</v>
      </c>
    </row>
    <row r="11285" spans="1:7" x14ac:dyDescent="0.2">
      <c r="A11285" s="2" t="s">
        <v>3522</v>
      </c>
      <c r="B11285" s="2" t="s">
        <v>1199</v>
      </c>
      <c r="C11285" s="2">
        <v>712.26260000000002</v>
      </c>
      <c r="D11285" s="2">
        <f>HYPERLINK("http://mcb-m6.bioreg.kyushu-u.ac.jp/M3/20110414/F50941/1928/1", 38.99)</f>
        <v>38.99</v>
      </c>
      <c r="E11285" s="2">
        <v>22.16</v>
      </c>
      <c r="F11285" s="2">
        <v>2</v>
      </c>
      <c r="G11285" s="2" t="s">
        <v>11</v>
      </c>
    </row>
    <row r="11286" spans="1:7" x14ac:dyDescent="0.2">
      <c r="A11286" s="2" t="s">
        <v>3522</v>
      </c>
      <c r="B11286" s="2" t="s">
        <v>479</v>
      </c>
      <c r="C11286" s="2">
        <v>780.79669999999999</v>
      </c>
      <c r="D11286" s="2">
        <f>HYPERLINK("http://mcb-m6.bioreg.kyushu-u.ac.jp/M3/20110414/F50941/2325/1", 45.28)</f>
        <v>45.28</v>
      </c>
      <c r="E11286" s="2">
        <v>11.92</v>
      </c>
      <c r="F11286" s="2">
        <v>2</v>
      </c>
      <c r="G11286" s="2" t="s">
        <v>11</v>
      </c>
    </row>
    <row r="11287" spans="1:7" x14ac:dyDescent="0.2">
      <c r="A11287" s="2" t="s">
        <v>3522</v>
      </c>
      <c r="B11287" s="2" t="s">
        <v>2323</v>
      </c>
      <c r="C11287" s="2">
        <v>958.77809999999999</v>
      </c>
      <c r="D11287" s="2">
        <f>HYPERLINK("http://mcb-m6.bioreg.kyushu-u.ac.jp/M3/20110414/F50941/3271/1", 46.27)</f>
        <v>46.27</v>
      </c>
      <c r="E11287" s="2">
        <v>34.409999999999997</v>
      </c>
      <c r="F11287" s="2">
        <v>2</v>
      </c>
      <c r="G11287" s="2" t="s">
        <v>11</v>
      </c>
    </row>
    <row r="11288" spans="1:7" x14ac:dyDescent="0.2">
      <c r="A11288" s="2" t="s">
        <v>3522</v>
      </c>
      <c r="B11288" s="2" t="s">
        <v>1199</v>
      </c>
      <c r="C11288" s="2">
        <v>712.29269999999997</v>
      </c>
      <c r="D11288" s="2">
        <f>HYPERLINK("http://mcb-m6.bioreg.kyushu-u.ac.jp/M3/20110414/F50941/1929/1", 50.46)</f>
        <v>50.46</v>
      </c>
      <c r="E11288" s="2">
        <v>31.58</v>
      </c>
      <c r="F11288" s="2">
        <v>2</v>
      </c>
      <c r="G11288" s="2" t="s">
        <v>11</v>
      </c>
    </row>
    <row r="11289" spans="1:7" x14ac:dyDescent="0.2">
      <c r="A11289" s="2" t="s">
        <v>3522</v>
      </c>
      <c r="B11289" s="2" t="s">
        <v>479</v>
      </c>
      <c r="C11289" s="2">
        <v>781.1232</v>
      </c>
      <c r="D11289" s="2">
        <f>HYPERLINK("http://mcb-m6.bioreg.kyushu-u.ac.jp/M3/20110414/F50941/2328/1", 52.7)</f>
        <v>52.7</v>
      </c>
      <c r="E11289" s="2">
        <v>41.95</v>
      </c>
      <c r="F11289" s="2">
        <v>2</v>
      </c>
      <c r="G11289" s="2" t="s">
        <v>11</v>
      </c>
    </row>
    <row r="11290" spans="1:7" x14ac:dyDescent="0.2">
      <c r="A11290" s="2" t="s">
        <v>3522</v>
      </c>
      <c r="B11290" s="2" t="s">
        <v>2036</v>
      </c>
      <c r="C11290" s="2">
        <v>736.89369999999997</v>
      </c>
      <c r="D11290" s="2">
        <f>HYPERLINK("http://mcb-m6.bioreg.kyushu-u.ac.jp/M3/20110414/F50943/1845/1", 62.09)</f>
        <v>62.09</v>
      </c>
      <c r="E11290" s="2">
        <v>38.51</v>
      </c>
      <c r="F11290" s="2">
        <v>2</v>
      </c>
      <c r="G11290" s="2" t="s">
        <v>11</v>
      </c>
    </row>
    <row r="11291" spans="1:7" x14ac:dyDescent="0.2">
      <c r="A11291" s="2" t="s">
        <v>3522</v>
      </c>
      <c r="B11291" s="2" t="s">
        <v>1199</v>
      </c>
      <c r="C11291" s="2">
        <v>1422.604</v>
      </c>
      <c r="D11291" s="2">
        <f>HYPERLINK("http://mcb-m6.bioreg.kyushu-u.ac.jp/M3/20110414/F50941/1925/1", 74.07)</f>
        <v>74.069999999999993</v>
      </c>
      <c r="E11291" s="2">
        <v>52.82</v>
      </c>
      <c r="F11291" s="2">
        <v>1</v>
      </c>
      <c r="G11291" s="2" t="s">
        <v>11</v>
      </c>
    </row>
    <row r="11292" spans="1:7" x14ac:dyDescent="0.2">
      <c r="A11292" s="2" t="s">
        <v>3522</v>
      </c>
      <c r="B11292" s="2" t="s">
        <v>1199</v>
      </c>
      <c r="C11292" s="2">
        <v>711.73109999999997</v>
      </c>
      <c r="D11292" s="2">
        <f>HYPERLINK("http://mcb-m6.bioreg.kyushu-u.ac.jp/M3/20110414/F50942/1727/1", 78.14)</f>
        <v>78.14</v>
      </c>
      <c r="E11292" s="2">
        <v>58.52</v>
      </c>
      <c r="F11292" s="2">
        <v>2</v>
      </c>
      <c r="G11292" s="2" t="s">
        <v>11</v>
      </c>
    </row>
    <row r="11293" spans="1:7" x14ac:dyDescent="0.2">
      <c r="A11293" s="2" t="s">
        <v>3522</v>
      </c>
      <c r="B11293" s="2" t="s">
        <v>1199</v>
      </c>
      <c r="C11293" s="2">
        <v>712.36410000000001</v>
      </c>
      <c r="D11293" s="2">
        <f>HYPERLINK("http://mcb-m6.bioreg.kyushu-u.ac.jp/M3/20110414/F50943/1699/1", 78.55)</f>
        <v>78.55</v>
      </c>
      <c r="E11293" s="2">
        <v>55.4</v>
      </c>
      <c r="F11293" s="2">
        <v>2</v>
      </c>
      <c r="G11293" s="2" t="s">
        <v>11</v>
      </c>
    </row>
    <row r="11294" spans="1:7" x14ac:dyDescent="0.2">
      <c r="A11294" s="2" t="s">
        <v>3522</v>
      </c>
      <c r="B11294" s="2" t="s">
        <v>2036</v>
      </c>
      <c r="C11294" s="2">
        <v>736.43269999999995</v>
      </c>
      <c r="D11294" s="2">
        <f>HYPERLINK("http://mcb-m6.bioreg.kyushu-u.ac.jp/M3/20110414/F50942/1857/1", 79.2)</f>
        <v>79.2</v>
      </c>
      <c r="E11294" s="2">
        <v>48.95</v>
      </c>
      <c r="F11294" s="2">
        <v>2</v>
      </c>
      <c r="G11294" s="2" t="s">
        <v>11</v>
      </c>
    </row>
    <row r="11295" spans="1:7" x14ac:dyDescent="0.2">
      <c r="A11295" s="2" t="s">
        <v>3522</v>
      </c>
      <c r="B11295" s="2" t="s">
        <v>479</v>
      </c>
      <c r="C11295" s="2">
        <v>780.81119999999999</v>
      </c>
      <c r="D11295" s="2">
        <f>HYPERLINK("http://mcb-m6.bioreg.kyushu-u.ac.jp/M3/20110414/F50942/2159/1", 83.77)</f>
        <v>83.77</v>
      </c>
      <c r="E11295" s="2">
        <v>65.88</v>
      </c>
      <c r="F11295" s="2">
        <v>2</v>
      </c>
      <c r="G11295" s="2" t="s">
        <v>11</v>
      </c>
    </row>
    <row r="11296" spans="1:7" x14ac:dyDescent="0.2">
      <c r="A11296" s="2" t="s">
        <v>3522</v>
      </c>
      <c r="B11296" s="2" t="s">
        <v>1199</v>
      </c>
      <c r="C11296" s="2">
        <v>711.8057</v>
      </c>
      <c r="D11296" s="2">
        <f>HYPERLINK("http://mcb-m6.bioreg.kyushu-u.ac.jp/M3/20110414/F50943/1695/1", 85.24)</f>
        <v>85.24</v>
      </c>
      <c r="E11296" s="2">
        <v>64.150000000000006</v>
      </c>
      <c r="F11296" s="2">
        <v>2</v>
      </c>
      <c r="G11296" s="2" t="s">
        <v>11</v>
      </c>
    </row>
    <row r="11297" spans="1:8" x14ac:dyDescent="0.2">
      <c r="A11297" s="2" t="s">
        <v>3522</v>
      </c>
      <c r="B11297" s="2" t="s">
        <v>1199</v>
      </c>
      <c r="C11297" s="2">
        <v>711.95820000000003</v>
      </c>
      <c r="D11297" s="2">
        <f>HYPERLINK("http://mcb-m6.bioreg.kyushu-u.ac.jp/M3/20110414/F50941/1927/1", 98.49)</f>
        <v>98.49</v>
      </c>
      <c r="E11297" s="2">
        <v>71.78</v>
      </c>
      <c r="F11297" s="2">
        <v>2</v>
      </c>
      <c r="G11297" s="2" t="s">
        <v>11</v>
      </c>
    </row>
    <row r="11298" spans="1:8" x14ac:dyDescent="0.2">
      <c r="A11298" s="2" t="s">
        <v>3522</v>
      </c>
      <c r="B11298" s="2" t="s">
        <v>1199</v>
      </c>
      <c r="C11298" s="2">
        <v>711.42909999999995</v>
      </c>
      <c r="D11298" s="2">
        <f>HYPERLINK("http://mcb-m6.bioreg.kyushu-u.ac.jp/M3/20110414/F50941/1922/1", 108.06)</f>
        <v>108.06</v>
      </c>
      <c r="E11298" s="2">
        <v>83.53</v>
      </c>
      <c r="F11298" s="2">
        <v>2</v>
      </c>
      <c r="G11298" s="2" t="s">
        <v>11</v>
      </c>
    </row>
    <row r="11299" spans="1:8" x14ac:dyDescent="0.2">
      <c r="A11299" s="2" t="s">
        <v>3522</v>
      </c>
      <c r="B11299" s="2" t="s">
        <v>479</v>
      </c>
      <c r="C11299" s="2">
        <v>1560.6690000000001</v>
      </c>
      <c r="D11299" s="2">
        <f>HYPERLINK("http://mcb-m6.bioreg.kyushu-u.ac.jp/M3/20110414/F50947/2275/1", 50.62)</f>
        <v>50.62</v>
      </c>
      <c r="E11299" s="2">
        <v>34.159999999999997</v>
      </c>
      <c r="F11299" s="2">
        <v>1</v>
      </c>
      <c r="G11299" s="2" t="s">
        <v>12</v>
      </c>
    </row>
    <row r="11300" spans="1:8" x14ac:dyDescent="0.2">
      <c r="A11300" s="2" t="s">
        <v>3522</v>
      </c>
      <c r="B11300" s="2" t="s">
        <v>479</v>
      </c>
      <c r="C11300" s="2">
        <v>521.02980000000002</v>
      </c>
      <c r="D11300" s="2">
        <f>HYPERLINK("http://mcb-m6.bioreg.kyushu-u.ac.jp/M3/20110414/F50947/2278/1", 52.32)</f>
        <v>52.32</v>
      </c>
      <c r="E11300" s="2">
        <v>36.909999999999997</v>
      </c>
      <c r="F11300" s="2">
        <v>3</v>
      </c>
      <c r="G11300" s="2" t="s">
        <v>12</v>
      </c>
    </row>
    <row r="11301" spans="1:8" x14ac:dyDescent="0.2">
      <c r="A11301" s="2" t="s">
        <v>3522</v>
      </c>
      <c r="B11301" s="2" t="s">
        <v>479</v>
      </c>
      <c r="C11301" s="2">
        <v>780.59770000000003</v>
      </c>
      <c r="D11301" s="2">
        <f>HYPERLINK("http://mcb-m6.bioreg.kyushu-u.ac.jp/M3/20110414/F50948/2351/1", 59.75)</f>
        <v>59.75</v>
      </c>
      <c r="E11301" s="2">
        <v>43.22</v>
      </c>
      <c r="F11301" s="2">
        <v>2</v>
      </c>
      <c r="G11301" s="2" t="s">
        <v>12</v>
      </c>
    </row>
    <row r="11302" spans="1:8" x14ac:dyDescent="0.2">
      <c r="A11302" s="2" t="s">
        <v>3522</v>
      </c>
      <c r="B11302" s="2" t="s">
        <v>2036</v>
      </c>
      <c r="C11302" s="2">
        <v>737.00570000000005</v>
      </c>
      <c r="D11302" s="2">
        <f>HYPERLINK("http://mcb-m6.bioreg.kyushu-u.ac.jp/M3/20110414/F50947/1923/1", 62.68)</f>
        <v>62.68</v>
      </c>
      <c r="E11302" s="2">
        <v>37.42</v>
      </c>
      <c r="F11302" s="2">
        <v>2</v>
      </c>
      <c r="G11302" s="2" t="s">
        <v>12</v>
      </c>
    </row>
    <row r="11303" spans="1:8" x14ac:dyDescent="0.2">
      <c r="A11303" s="2" t="s">
        <v>3522</v>
      </c>
      <c r="B11303" s="2" t="s">
        <v>479</v>
      </c>
      <c r="C11303" s="2">
        <v>781.40170000000001</v>
      </c>
      <c r="D11303" s="2">
        <f>HYPERLINK("http://mcb-m6.bioreg.kyushu-u.ac.jp/M3/20110414/F50948/2359/1", 71.31)</f>
        <v>71.31</v>
      </c>
      <c r="E11303" s="2">
        <v>53.97</v>
      </c>
      <c r="F11303" s="2">
        <v>2</v>
      </c>
      <c r="G11303" s="2" t="s">
        <v>12</v>
      </c>
    </row>
    <row r="11304" spans="1:8" x14ac:dyDescent="0.2">
      <c r="A11304" s="2" t="s">
        <v>3522</v>
      </c>
      <c r="B11304" s="2" t="s">
        <v>1199</v>
      </c>
      <c r="C11304" s="2">
        <v>1422.652</v>
      </c>
      <c r="D11304" s="2">
        <f>HYPERLINK("http://mcb-m6.bioreg.kyushu-u.ac.jp/M3/20110414/F50947/1749/1", 73.83)</f>
        <v>73.83</v>
      </c>
      <c r="E11304" s="2">
        <v>59.25</v>
      </c>
      <c r="F11304" s="2">
        <v>1</v>
      </c>
      <c r="G11304" s="2" t="s">
        <v>12</v>
      </c>
    </row>
    <row r="11305" spans="1:8" x14ac:dyDescent="0.2">
      <c r="A11305" s="2" t="s">
        <v>3522</v>
      </c>
      <c r="B11305" s="2" t="s">
        <v>1199</v>
      </c>
      <c r="C11305" s="2">
        <v>711.60220000000004</v>
      </c>
      <c r="D11305" s="2">
        <f>HYPERLINK("http://mcb-m6.bioreg.kyushu-u.ac.jp/M3/20110414/F50948/1887/1", 89.17)</f>
        <v>89.17</v>
      </c>
      <c r="E11305" s="2">
        <v>65.040000000000006</v>
      </c>
      <c r="F11305" s="2">
        <v>2</v>
      </c>
      <c r="G11305" s="2" t="s">
        <v>12</v>
      </c>
    </row>
    <row r="11306" spans="1:8" x14ac:dyDescent="0.2">
      <c r="A11306" s="2" t="s">
        <v>3522</v>
      </c>
      <c r="B11306" s="2" t="s">
        <v>1199</v>
      </c>
      <c r="C11306" s="2">
        <v>711.87070000000006</v>
      </c>
      <c r="D11306" s="2">
        <f>HYPERLINK("http://mcb-m6.bioreg.kyushu-u.ac.jp/M3/20110414/F50947/1751/1", 91.7)</f>
        <v>91.7</v>
      </c>
      <c r="E11306" s="2">
        <v>70.930000000000007</v>
      </c>
      <c r="F11306" s="2">
        <v>2</v>
      </c>
      <c r="G11306" s="2" t="s">
        <v>12</v>
      </c>
    </row>
    <row r="11307" spans="1:8" x14ac:dyDescent="0.2">
      <c r="A11307" s="2" t="s">
        <v>3522</v>
      </c>
      <c r="B11307" s="2" t="s">
        <v>2036</v>
      </c>
      <c r="C11307" s="2">
        <v>736.43409999999994</v>
      </c>
      <c r="D11307" s="2">
        <f>HYPERLINK("http://mcb-m6.bioreg.kyushu-u.ac.jp/M3/20110414/F50947/1919/1", 103.68)</f>
        <v>103.68</v>
      </c>
      <c r="E11307" s="2">
        <v>69.930000000000007</v>
      </c>
      <c r="F11307" s="2">
        <v>2</v>
      </c>
      <c r="G11307" s="2" t="s">
        <v>12</v>
      </c>
    </row>
    <row r="11308" spans="1:8" x14ac:dyDescent="0.2">
      <c r="A11308" s="2" t="s">
        <v>3522</v>
      </c>
      <c r="B11308" s="2" t="s">
        <v>1199</v>
      </c>
      <c r="C11308" s="2">
        <v>712.05769999999995</v>
      </c>
      <c r="D11308" s="2">
        <f>HYPERLINK("http://mcb-m6.bioreg.kyushu-u.ac.jp/M3/20110502/F51170/1923/1", 46.47)</f>
        <v>46.47</v>
      </c>
      <c r="E11308" s="2">
        <v>24.11</v>
      </c>
      <c r="F11308" s="2">
        <v>2</v>
      </c>
      <c r="G11308" s="2" t="s">
        <v>13</v>
      </c>
    </row>
    <row r="11309" spans="1:8" x14ac:dyDescent="0.2">
      <c r="A11309" s="2" t="s">
        <v>3522</v>
      </c>
      <c r="B11309" s="2" t="s">
        <v>1419</v>
      </c>
      <c r="C11309" s="2">
        <v>551.99659999999994</v>
      </c>
      <c r="D11309" s="2">
        <f>HYPERLINK("http://mcb-m6.bioreg.kyushu-u.ac.jp/M3/20110502/F51170/1210/1", 66.81)</f>
        <v>66.81</v>
      </c>
      <c r="E11309" s="2">
        <v>16.559999999999999</v>
      </c>
      <c r="F11309" s="2">
        <v>2</v>
      </c>
      <c r="G11309" s="2" t="s">
        <v>13</v>
      </c>
    </row>
    <row r="11310" spans="1:8" x14ac:dyDescent="0.2">
      <c r="A11310" s="2" t="s">
        <v>3522</v>
      </c>
      <c r="B11310" s="2" t="s">
        <v>2036</v>
      </c>
      <c r="C11310" s="2">
        <v>736.74519999999995</v>
      </c>
      <c r="D11310" s="2">
        <f>HYPERLINK("http://mcb-m6.bioreg.kyushu-u.ac.jp/M3/20110502/F51170/2040/1", 77.62)</f>
        <v>77.62</v>
      </c>
      <c r="E11310" s="2">
        <v>46.1</v>
      </c>
      <c r="F11310" s="2">
        <v>2</v>
      </c>
      <c r="G11310" s="2" t="s">
        <v>13</v>
      </c>
    </row>
    <row r="11311" spans="1:8" x14ac:dyDescent="0.2">
      <c r="A11311" s="2" t="s">
        <v>3522</v>
      </c>
      <c r="B11311" s="2" t="s">
        <v>1419</v>
      </c>
      <c r="C11311" s="2">
        <v>552.00819999999999</v>
      </c>
      <c r="D11311" s="2">
        <f>HYPERLINK("http://mcb-m6.bioreg.kyushu-u.ac.jp/M3/20110502/F51179/829/1", 54.99)</f>
        <v>54.99</v>
      </c>
      <c r="E11311" s="2">
        <v>12.54</v>
      </c>
      <c r="F11311" s="2">
        <v>2</v>
      </c>
      <c r="G11311" s="2" t="s">
        <v>14</v>
      </c>
    </row>
    <row r="11312" spans="1:8" x14ac:dyDescent="0.2">
      <c r="A11312" s="2" t="s">
        <v>3522</v>
      </c>
      <c r="B11312" s="2" t="s">
        <v>852</v>
      </c>
      <c r="C11312" s="2">
        <v>553.95119999999997</v>
      </c>
      <c r="D11312" s="2">
        <f>HYPERLINK("http://mcb-m6.bioreg.kyushu-u.ac.jp/M3/20110502/F51179/843/1", 56.16)</f>
        <v>56.16</v>
      </c>
      <c r="E11312" s="2">
        <v>17.07</v>
      </c>
      <c r="F11312" s="2">
        <v>2</v>
      </c>
      <c r="G11312" s="2" t="s">
        <v>14</v>
      </c>
      <c r="H11312" s="2" t="s">
        <v>4908</v>
      </c>
    </row>
    <row r="11313" spans="1:7" x14ac:dyDescent="0.2">
      <c r="A11313" s="2" t="s">
        <v>3522</v>
      </c>
      <c r="B11313" s="2" t="s">
        <v>1500</v>
      </c>
      <c r="C11313" s="2">
        <v>847.72519999999997</v>
      </c>
      <c r="D11313" s="2">
        <f>HYPERLINK("http://mcb-m6.bioreg.kyushu-u.ac.jp/M3/20110502/F51179/2383/1", 58.92)</f>
        <v>58.92</v>
      </c>
      <c r="E11313" s="2">
        <v>42.06</v>
      </c>
      <c r="F11313" s="2">
        <v>2</v>
      </c>
      <c r="G11313" s="2" t="s">
        <v>14</v>
      </c>
    </row>
    <row r="11314" spans="1:7" x14ac:dyDescent="0.2">
      <c r="A11314" s="2" t="s">
        <v>3522</v>
      </c>
      <c r="B11314" s="2" t="s">
        <v>3197</v>
      </c>
      <c r="C11314" s="2">
        <v>661.36969999999997</v>
      </c>
      <c r="D11314" s="2">
        <f>HYPERLINK("http://mcb-m6.bioreg.kyushu-u.ac.jp/M3/20110502/F51179/1312/1", 68.76)</f>
        <v>68.760000000000005</v>
      </c>
      <c r="E11314" s="2">
        <v>35.200000000000003</v>
      </c>
      <c r="F11314" s="2">
        <v>2</v>
      </c>
      <c r="G11314" s="2" t="s">
        <v>14</v>
      </c>
    </row>
    <row r="11315" spans="1:7" x14ac:dyDescent="0.2">
      <c r="A11315" s="2" t="s">
        <v>3522</v>
      </c>
      <c r="B11315" s="2" t="s">
        <v>2036</v>
      </c>
      <c r="C11315" s="2">
        <v>736.92070000000001</v>
      </c>
      <c r="D11315" s="2">
        <f>HYPERLINK("http://mcb-m6.bioreg.kyushu-u.ac.jp/M3/20110502/F51179/1737/1", 77.92)</f>
        <v>77.92</v>
      </c>
      <c r="E11315" s="2">
        <v>41.35</v>
      </c>
      <c r="F11315" s="2">
        <v>2</v>
      </c>
      <c r="G11315" s="2" t="s">
        <v>14</v>
      </c>
    </row>
    <row r="11316" spans="1:7" x14ac:dyDescent="0.2">
      <c r="A11316" s="2" t="s">
        <v>3522</v>
      </c>
      <c r="B11316" s="2" t="s">
        <v>1199</v>
      </c>
      <c r="C11316" s="2">
        <v>712.39369999999997</v>
      </c>
      <c r="D11316" s="2">
        <f>HYPERLINK("http://mcb-m6.bioreg.kyushu-u.ac.jp/M3/20110502/F51183/1744/1", 90.1)</f>
        <v>90.1</v>
      </c>
      <c r="E11316" s="2">
        <v>60.56</v>
      </c>
      <c r="F11316" s="2">
        <v>2</v>
      </c>
      <c r="G11316" s="2" t="s">
        <v>14</v>
      </c>
    </row>
    <row r="11317" spans="1:7" x14ac:dyDescent="0.2">
      <c r="A11317" s="2" t="s">
        <v>3522</v>
      </c>
      <c r="B11317" s="2" t="s">
        <v>479</v>
      </c>
      <c r="C11317" s="2">
        <v>781.31410000000005</v>
      </c>
      <c r="D11317" s="2">
        <f>HYPERLINK("http://mcb-m6.bioreg.kyushu-u.ac.jp/M3/20110502/F51183/2139/1", 90.74)</f>
        <v>90.74</v>
      </c>
      <c r="E11317" s="2">
        <v>61.68</v>
      </c>
      <c r="F11317" s="2">
        <v>2</v>
      </c>
      <c r="G11317" s="2" t="s">
        <v>14</v>
      </c>
    </row>
    <row r="11318" spans="1:7" x14ac:dyDescent="0.2">
      <c r="A11318" s="2" t="s">
        <v>3522</v>
      </c>
      <c r="B11318" s="2" t="s">
        <v>479</v>
      </c>
      <c r="C11318" s="2">
        <v>781.13369999999998</v>
      </c>
      <c r="D11318" s="2">
        <f>HYPERLINK("http://mcb-m6.bioreg.kyushu-u.ac.jp/M3/20110502/F51179/2017/1", 101.17)</f>
        <v>101.17</v>
      </c>
      <c r="E11318" s="2">
        <v>72.78</v>
      </c>
      <c r="F11318" s="2">
        <v>2</v>
      </c>
      <c r="G11318" s="2" t="s">
        <v>14</v>
      </c>
    </row>
    <row r="11319" spans="1:7" x14ac:dyDescent="0.2">
      <c r="A11319" s="2" t="s">
        <v>4253</v>
      </c>
      <c r="B11319" s="2" t="s">
        <v>1885</v>
      </c>
      <c r="C11319" s="2">
        <v>515.96259999999995</v>
      </c>
      <c r="D11319" s="2">
        <f>HYPERLINK("http://mcb-m6.bioreg.kyushu-u.ac.jp/M3/20110411/F50914/1120/1", 46.7)</f>
        <v>46.7</v>
      </c>
      <c r="E11319" s="2">
        <v>17.649999999999999</v>
      </c>
      <c r="F11319" s="2">
        <v>2</v>
      </c>
      <c r="G11319" s="2" t="s">
        <v>10</v>
      </c>
    </row>
    <row r="11320" spans="1:7" x14ac:dyDescent="0.2">
      <c r="A11320" s="2" t="s">
        <v>4311</v>
      </c>
      <c r="B11320" s="2" t="s">
        <v>2063</v>
      </c>
      <c r="C11320" s="2">
        <v>662.83810000000005</v>
      </c>
      <c r="D11320" s="2">
        <f>HYPERLINK("http://mcb-m6.bioreg.kyushu-u.ac.jp/M3/20110411/F50914/1699/1", 70.95)</f>
        <v>70.95</v>
      </c>
      <c r="E11320" s="2">
        <v>49.25</v>
      </c>
      <c r="F11320" s="2">
        <v>2</v>
      </c>
      <c r="G11320" s="2" t="s">
        <v>10</v>
      </c>
    </row>
    <row r="11321" spans="1:7" x14ac:dyDescent="0.2">
      <c r="A11321" s="2" t="s">
        <v>4311</v>
      </c>
      <c r="B11321" s="2" t="s">
        <v>2579</v>
      </c>
      <c r="C11321" s="2">
        <v>831.76369999999997</v>
      </c>
      <c r="D11321" s="2">
        <f>HYPERLINK("http://mcb-m6.bioreg.kyushu-u.ac.jp/M3/20110414/F50948/2632/1", 39.06)</f>
        <v>39.06</v>
      </c>
      <c r="E11321" s="2">
        <v>24.93</v>
      </c>
      <c r="F11321" s="2">
        <v>2</v>
      </c>
      <c r="G11321" s="2" t="s">
        <v>12</v>
      </c>
    </row>
    <row r="11322" spans="1:7" x14ac:dyDescent="0.2">
      <c r="A11322" s="2" t="s">
        <v>4311</v>
      </c>
      <c r="B11322" s="2" t="s">
        <v>2579</v>
      </c>
      <c r="C11322" s="2">
        <v>831.24519999999995</v>
      </c>
      <c r="D11322" s="2">
        <f>HYPERLINK("http://mcb-m6.bioreg.kyushu-u.ac.jp/M3/20110414/F50948/2629/1", 53.5)</f>
        <v>53.5</v>
      </c>
      <c r="E11322" s="2">
        <v>39.17</v>
      </c>
      <c r="F11322" s="2">
        <v>2</v>
      </c>
      <c r="G11322" s="2" t="s">
        <v>12</v>
      </c>
    </row>
    <row r="11323" spans="1:7" x14ac:dyDescent="0.2">
      <c r="A11323" s="2" t="s">
        <v>4311</v>
      </c>
      <c r="B11323" s="2" t="s">
        <v>2579</v>
      </c>
      <c r="C11323" s="2">
        <v>831.76260000000002</v>
      </c>
      <c r="D11323" s="2">
        <f>HYPERLINK("http://mcb-m6.bioreg.kyushu-u.ac.jp/M3/20110502/F51183/2389/1", 72.86)</f>
        <v>72.86</v>
      </c>
      <c r="E11323" s="2">
        <v>39.08</v>
      </c>
      <c r="F11323" s="2">
        <v>2</v>
      </c>
      <c r="G11323" s="2" t="s">
        <v>14</v>
      </c>
    </row>
    <row r="11324" spans="1:7" x14ac:dyDescent="0.2">
      <c r="A11324" s="2" t="s">
        <v>4311</v>
      </c>
      <c r="B11324" s="2" t="s">
        <v>2063</v>
      </c>
      <c r="C11324" s="2">
        <v>663.1807</v>
      </c>
      <c r="D11324" s="2">
        <f>HYPERLINK("http://mcb-m6.bioreg.kyushu-u.ac.jp/M3/20110502/F51183/1441/1", 78.32)</f>
        <v>78.319999999999993</v>
      </c>
      <c r="E11324" s="2">
        <v>38.049999999999997</v>
      </c>
      <c r="F11324" s="2">
        <v>2</v>
      </c>
      <c r="G11324" s="2" t="s">
        <v>14</v>
      </c>
    </row>
    <row r="11325" spans="1:7" x14ac:dyDescent="0.2">
      <c r="A11325" s="2" t="s">
        <v>4439</v>
      </c>
      <c r="B11325" s="2" t="s">
        <v>2328</v>
      </c>
      <c r="C11325" s="2">
        <v>838.33320000000003</v>
      </c>
      <c r="D11325" s="2">
        <f>HYPERLINK("http://mcb-m6.bioreg.kyushu-u.ac.jp/M3/20110414/F50942/2471/1", 46.62)</f>
        <v>46.62</v>
      </c>
      <c r="E11325" s="2">
        <v>28</v>
      </c>
      <c r="F11325" s="2">
        <v>2</v>
      </c>
      <c r="G11325" s="2" t="s">
        <v>11</v>
      </c>
    </row>
    <row r="11326" spans="1:7" x14ac:dyDescent="0.2">
      <c r="A11326" s="2" t="s">
        <v>4439</v>
      </c>
      <c r="B11326" s="2" t="s">
        <v>2328</v>
      </c>
      <c r="C11326" s="2">
        <v>837.96969999999999</v>
      </c>
      <c r="D11326" s="2">
        <f>HYPERLINK("http://mcb-m6.bioreg.kyushu-u.ac.jp/M3/20110414/F50948/2661/1", 36.78)</f>
        <v>36.78</v>
      </c>
      <c r="E11326" s="2">
        <v>16.53</v>
      </c>
      <c r="F11326" s="2">
        <v>2</v>
      </c>
      <c r="G11326" s="2" t="s">
        <v>12</v>
      </c>
    </row>
    <row r="11327" spans="1:7" x14ac:dyDescent="0.2">
      <c r="A11327" s="2" t="s">
        <v>4439</v>
      </c>
      <c r="B11327" s="2" t="s">
        <v>2633</v>
      </c>
      <c r="C11327" s="2">
        <v>479.73309999999998</v>
      </c>
      <c r="D11327" s="2">
        <f>HYPERLINK("http://mcb-m6.bioreg.kyushu-u.ac.jp/M3/20110414/F50948/749/1", 44.71)</f>
        <v>44.71</v>
      </c>
      <c r="E11327" s="2">
        <v>14.86</v>
      </c>
      <c r="F11327" s="2">
        <v>2</v>
      </c>
      <c r="G11327" s="2" t="s">
        <v>12</v>
      </c>
    </row>
    <row r="11328" spans="1:7" x14ac:dyDescent="0.2">
      <c r="A11328" s="2" t="s">
        <v>4135</v>
      </c>
      <c r="B11328" s="2" t="s">
        <v>1678</v>
      </c>
      <c r="C11328" s="2">
        <v>945.22609999999997</v>
      </c>
      <c r="D11328" s="2">
        <f>HYPERLINK("http://mcb-m6.bioreg.kyushu-u.ac.jp/M3/20110411/F50889/2782/1", 135.52)</f>
        <v>135.52000000000001</v>
      </c>
      <c r="E11328" s="2">
        <v>107.56</v>
      </c>
      <c r="F11328" s="2">
        <v>2</v>
      </c>
      <c r="G11328" s="2" t="s">
        <v>9</v>
      </c>
    </row>
    <row r="11329" spans="1:9" x14ac:dyDescent="0.2">
      <c r="A11329" s="2" t="s">
        <v>4135</v>
      </c>
      <c r="B11329" s="2" t="s">
        <v>1678</v>
      </c>
      <c r="C11329" s="2">
        <v>945.29769999999996</v>
      </c>
      <c r="D11329" s="2">
        <f>HYPERLINK("http://mcb-m6.bioreg.kyushu-u.ac.jp/M3/20110411/F50897/2969/1", 117.96)</f>
        <v>117.96</v>
      </c>
      <c r="E11329" s="2">
        <v>98.35</v>
      </c>
      <c r="F11329" s="2">
        <v>2</v>
      </c>
      <c r="G11329" s="2" t="s">
        <v>10</v>
      </c>
    </row>
    <row r="11330" spans="1:9" x14ac:dyDescent="0.2">
      <c r="A11330" s="2" t="s">
        <v>3915</v>
      </c>
      <c r="B11330" s="2" t="s">
        <v>1089</v>
      </c>
      <c r="C11330" s="2">
        <v>785.27369999999996</v>
      </c>
      <c r="D11330" s="2">
        <f>HYPERLINK("http://mcb-m6.bioreg.kyushu-u.ac.jp/M3/20110411/F50889/2389/1", 62.37)</f>
        <v>62.37</v>
      </c>
      <c r="E11330" s="2">
        <v>47.6</v>
      </c>
      <c r="F11330" s="2">
        <v>2</v>
      </c>
      <c r="G11330" s="2" t="s">
        <v>9</v>
      </c>
      <c r="H11330" s="2" t="s">
        <v>4910</v>
      </c>
    </row>
    <row r="11331" spans="1:9" x14ac:dyDescent="0.2">
      <c r="A11331" s="2" t="s">
        <v>3915</v>
      </c>
      <c r="B11331" s="2" t="s">
        <v>1089</v>
      </c>
      <c r="C11331" s="2">
        <v>777.32619999999997</v>
      </c>
      <c r="D11331" s="2">
        <f>HYPERLINK("http://mcb-m6.bioreg.kyushu-u.ac.jp/M3/20110411/F50889/2359/1", 123.53)</f>
        <v>123.53</v>
      </c>
      <c r="E11331" s="2">
        <v>104</v>
      </c>
      <c r="F11331" s="2">
        <v>2</v>
      </c>
      <c r="G11331" s="2" t="s">
        <v>9</v>
      </c>
    </row>
    <row r="11332" spans="1:9" x14ac:dyDescent="0.2">
      <c r="A11332" s="2" t="s">
        <v>4887</v>
      </c>
      <c r="B11332" s="2" t="s">
        <v>3230</v>
      </c>
      <c r="C11332" s="2">
        <v>815.62869999999998</v>
      </c>
      <c r="D11332" s="2">
        <f>HYPERLINK("http://mcb-m6.bioreg.kyushu-u.ac.jp/M3/20110502/F51177/2300/1", 98.97)</f>
        <v>98.97</v>
      </c>
      <c r="E11332" s="2">
        <v>81.94</v>
      </c>
      <c r="F11332" s="2">
        <v>2</v>
      </c>
      <c r="G11332" s="2" t="s">
        <v>14</v>
      </c>
      <c r="H11332" s="2" t="s">
        <v>4915</v>
      </c>
    </row>
    <row r="11333" spans="1:9" x14ac:dyDescent="0.2">
      <c r="A11333" s="2" t="s">
        <v>4138</v>
      </c>
      <c r="B11333" s="2" t="s">
        <v>1687</v>
      </c>
      <c r="C11333" s="2">
        <v>675.33969999999999</v>
      </c>
      <c r="D11333" s="2">
        <f>HYPERLINK("http://mcb-m6.bioreg.kyushu-u.ac.jp/M3/20110411/F50914/1758/1", 35.18)</f>
        <v>35.18</v>
      </c>
      <c r="E11333" s="2">
        <v>13.69</v>
      </c>
      <c r="F11333" s="2">
        <v>2</v>
      </c>
      <c r="G11333" s="2" t="s">
        <v>10</v>
      </c>
      <c r="H11333" s="2" t="s">
        <v>4919</v>
      </c>
    </row>
    <row r="11334" spans="1:9" x14ac:dyDescent="0.2">
      <c r="A11334" s="2" t="s">
        <v>4120</v>
      </c>
      <c r="B11334" s="2" t="s">
        <v>1627</v>
      </c>
      <c r="C11334" s="2">
        <v>821.41110000000003</v>
      </c>
      <c r="D11334" s="2">
        <f>HYPERLINK("http://mcb-m6.bioreg.kyushu-u.ac.jp/M3/20110411/F50892/2552/1", 104.06)</f>
        <v>104.06</v>
      </c>
      <c r="E11334" s="2">
        <v>80.39</v>
      </c>
      <c r="F11334" s="2">
        <v>2</v>
      </c>
      <c r="G11334" s="2" t="s">
        <v>9</v>
      </c>
    </row>
    <row r="11335" spans="1:9" x14ac:dyDescent="0.2">
      <c r="A11335" s="2" t="s">
        <v>3292</v>
      </c>
      <c r="B11335" s="2" t="s">
        <v>72</v>
      </c>
      <c r="C11335" s="2">
        <v>606.42769999999996</v>
      </c>
      <c r="D11335" s="2">
        <f>HYPERLINK("http://mcb-m6.bioreg.kyushu-u.ac.jp/M3/20110411/F50911/1415/1", 35.7)</f>
        <v>35.700000000000003</v>
      </c>
      <c r="E11335" s="2">
        <v>8.44</v>
      </c>
      <c r="F11335" s="2">
        <v>2</v>
      </c>
      <c r="G11335" s="2" t="s">
        <v>9</v>
      </c>
      <c r="I11335" s="2" t="s">
        <v>4898</v>
      </c>
    </row>
    <row r="11336" spans="1:9" x14ac:dyDescent="0.2">
      <c r="A11336" s="2" t="s">
        <v>3292</v>
      </c>
      <c r="B11336" s="2" t="s">
        <v>72</v>
      </c>
      <c r="C11336" s="2">
        <v>606.34010000000001</v>
      </c>
      <c r="D11336" s="2">
        <f>HYPERLINK("http://mcb-m6.bioreg.kyushu-u.ac.jp/M3/20110411/F50915/1199/1", 68)</f>
        <v>68</v>
      </c>
      <c r="E11336" s="2">
        <v>49.36</v>
      </c>
      <c r="F11336" s="2">
        <v>2</v>
      </c>
      <c r="G11336" s="2" t="s">
        <v>9</v>
      </c>
      <c r="I11336" s="2" t="s">
        <v>4898</v>
      </c>
    </row>
    <row r="11337" spans="1:9" x14ac:dyDescent="0.2">
      <c r="A11337" s="2" t="s">
        <v>3292</v>
      </c>
      <c r="B11337" s="2" t="s">
        <v>72</v>
      </c>
      <c r="C11337" s="2">
        <v>606.17570000000001</v>
      </c>
      <c r="D11337" s="2">
        <f>HYPERLINK("http://mcb-m6.bioreg.kyushu-u.ac.jp/M3/20110414/F50957/1015/1", 47.59)</f>
        <v>47.59</v>
      </c>
      <c r="E11337" s="2">
        <v>30.37</v>
      </c>
      <c r="F11337" s="2">
        <v>2</v>
      </c>
      <c r="G11337" s="2" t="s">
        <v>11</v>
      </c>
      <c r="I11337" s="2" t="s">
        <v>4898</v>
      </c>
    </row>
    <row r="11338" spans="1:9" x14ac:dyDescent="0.2">
      <c r="A11338" s="2" t="s">
        <v>3292</v>
      </c>
      <c r="B11338" s="2" t="s">
        <v>72</v>
      </c>
      <c r="C11338" s="2">
        <v>606.7577</v>
      </c>
      <c r="D11338" s="2">
        <f>HYPERLINK("http://mcb-m6.bioreg.kyushu-u.ac.jp/M3/20110414/F50942/1234/1", 51.84)</f>
        <v>51.84</v>
      </c>
      <c r="E11338" s="2">
        <v>32.950000000000003</v>
      </c>
      <c r="F11338" s="2">
        <v>2</v>
      </c>
      <c r="G11338" s="2" t="s">
        <v>11</v>
      </c>
      <c r="I11338" s="2" t="s">
        <v>4898</v>
      </c>
    </row>
    <row r="11339" spans="1:9" x14ac:dyDescent="0.2">
      <c r="A11339" s="2" t="s">
        <v>3292</v>
      </c>
      <c r="B11339" s="2" t="s">
        <v>72</v>
      </c>
      <c r="C11339" s="2">
        <v>606.14760000000001</v>
      </c>
      <c r="D11339" s="2">
        <f>HYPERLINK("http://mcb-m6.bioreg.kyushu-u.ac.jp/M3/20110414/F50956/1089/1", 62.41)</f>
        <v>62.41</v>
      </c>
      <c r="E11339" s="2">
        <v>43.37</v>
      </c>
      <c r="F11339" s="2">
        <v>2</v>
      </c>
      <c r="G11339" s="2" t="s">
        <v>11</v>
      </c>
      <c r="I11339" s="2" t="s">
        <v>4898</v>
      </c>
    </row>
    <row r="11340" spans="1:9" x14ac:dyDescent="0.2">
      <c r="A11340" s="2" t="s">
        <v>3292</v>
      </c>
      <c r="B11340" s="2" t="s">
        <v>72</v>
      </c>
      <c r="C11340" s="2">
        <v>606.23220000000003</v>
      </c>
      <c r="D11340" s="2">
        <f>HYPERLINK("http://mcb-m6.bioreg.kyushu-u.ac.jp/M3/20110414/F50959/995/1", 39.94)</f>
        <v>39.94</v>
      </c>
      <c r="E11340" s="2">
        <v>24.21</v>
      </c>
      <c r="F11340" s="2">
        <v>2</v>
      </c>
      <c r="G11340" s="2" t="s">
        <v>12</v>
      </c>
      <c r="I11340" s="2" t="s">
        <v>4898</v>
      </c>
    </row>
    <row r="11341" spans="1:9" x14ac:dyDescent="0.2">
      <c r="A11341" s="2" t="s">
        <v>3292</v>
      </c>
      <c r="B11341" s="2" t="s">
        <v>72</v>
      </c>
      <c r="C11341" s="2">
        <v>606.60720000000003</v>
      </c>
      <c r="D11341" s="2">
        <f>HYPERLINK("http://mcb-m6.bioreg.kyushu-u.ac.jp/M3/20110414/F50958/1159/1", 60.9)</f>
        <v>60.9</v>
      </c>
      <c r="E11341" s="2">
        <v>1.28</v>
      </c>
      <c r="F11341" s="2">
        <v>2</v>
      </c>
      <c r="G11341" s="2" t="s">
        <v>12</v>
      </c>
      <c r="I11341" s="2" t="s">
        <v>4898</v>
      </c>
    </row>
    <row r="11342" spans="1:9" x14ac:dyDescent="0.2">
      <c r="A11342" s="2" t="s">
        <v>3292</v>
      </c>
      <c r="B11342" s="2" t="s">
        <v>72</v>
      </c>
      <c r="C11342" s="2">
        <v>606.82920000000001</v>
      </c>
      <c r="D11342" s="2">
        <f>HYPERLINK("http://mcb-m6.bioreg.kyushu-u.ac.jp/M3/20110502/F51175/1396/1", 54.23)</f>
        <v>54.23</v>
      </c>
      <c r="E11342" s="2">
        <v>31.16</v>
      </c>
      <c r="F11342" s="2">
        <v>2</v>
      </c>
      <c r="G11342" s="2" t="s">
        <v>13</v>
      </c>
      <c r="I11342" s="2" t="s">
        <v>4898</v>
      </c>
    </row>
    <row r="11343" spans="1:9" x14ac:dyDescent="0.2">
      <c r="A11343" s="2" t="s">
        <v>3292</v>
      </c>
      <c r="B11343" s="2" t="s">
        <v>72</v>
      </c>
      <c r="C11343" s="2">
        <v>606.48320000000001</v>
      </c>
      <c r="D11343" s="2">
        <f>HYPERLINK("http://mcb-m6.bioreg.kyushu-u.ac.jp/M3/20110502/F51169/1635/1", 62.17)</f>
        <v>62.17</v>
      </c>
      <c r="E11343" s="2">
        <v>40.659999999999997</v>
      </c>
      <c r="F11343" s="2">
        <v>2</v>
      </c>
      <c r="G11343" s="2" t="s">
        <v>13</v>
      </c>
      <c r="I11343" s="2" t="s">
        <v>4898</v>
      </c>
    </row>
    <row r="11344" spans="1:9" x14ac:dyDescent="0.2">
      <c r="A11344" s="2" t="s">
        <v>3292</v>
      </c>
      <c r="B11344" s="2" t="s">
        <v>72</v>
      </c>
      <c r="C11344" s="2">
        <v>606.42570000000001</v>
      </c>
      <c r="D11344" s="2">
        <f>HYPERLINK("http://mcb-m6.bioreg.kyushu-u.ac.jp/M3/20110502/F51186/1257/1", 50.79)</f>
        <v>50.79</v>
      </c>
      <c r="E11344" s="2">
        <v>28.54</v>
      </c>
      <c r="F11344" s="2">
        <v>2</v>
      </c>
      <c r="G11344" s="2" t="s">
        <v>14</v>
      </c>
      <c r="I11344" s="2" t="s">
        <v>4898</v>
      </c>
    </row>
    <row r="11345" spans="1:9" x14ac:dyDescent="0.2">
      <c r="A11345" s="2" t="s">
        <v>3292</v>
      </c>
      <c r="B11345" s="2" t="s">
        <v>72</v>
      </c>
      <c r="C11345" s="2">
        <v>606.63919999999996</v>
      </c>
      <c r="D11345" s="2">
        <f>HYPERLINK("http://mcb-m6.bioreg.kyushu-u.ac.jp/M3/20110502/F51190/1194/1", 53.09)</f>
        <v>53.09</v>
      </c>
      <c r="E11345" s="2">
        <v>28.42</v>
      </c>
      <c r="F11345" s="2">
        <v>2</v>
      </c>
      <c r="G11345" s="2" t="s">
        <v>14</v>
      </c>
      <c r="I11345" s="2" t="s">
        <v>4898</v>
      </c>
    </row>
    <row r="11346" spans="1:9" x14ac:dyDescent="0.2">
      <c r="A11346" s="2" t="s">
        <v>3292</v>
      </c>
      <c r="B11346" s="2" t="s">
        <v>72</v>
      </c>
      <c r="C11346" s="2">
        <v>606.49959999999999</v>
      </c>
      <c r="D11346" s="2">
        <f>HYPERLINK("http://mcb-m6.bioreg.kyushu-u.ac.jp/M3/20110502/F51184/1044/1", 60.62)</f>
        <v>60.62</v>
      </c>
      <c r="E11346" s="2">
        <v>37.86</v>
      </c>
      <c r="F11346" s="2">
        <v>2</v>
      </c>
      <c r="G11346" s="2" t="s">
        <v>14</v>
      </c>
      <c r="I11346" s="2" t="s">
        <v>4898</v>
      </c>
    </row>
    <row r="11347" spans="1:9" x14ac:dyDescent="0.2">
      <c r="A11347" s="2" t="s">
        <v>3292</v>
      </c>
      <c r="B11347" s="2" t="s">
        <v>72</v>
      </c>
      <c r="C11347" s="2">
        <v>606.47670000000005</v>
      </c>
      <c r="D11347" s="2">
        <f>HYPERLINK("http://mcb-m6.bioreg.kyushu-u.ac.jp/M3/20110502/F51193/1205/1", 62.77)</f>
        <v>62.77</v>
      </c>
      <c r="E11347" s="2">
        <v>40.630000000000003</v>
      </c>
      <c r="F11347" s="2">
        <v>2</v>
      </c>
      <c r="G11347" s="2" t="s">
        <v>14</v>
      </c>
      <c r="I11347" s="2" t="s">
        <v>4898</v>
      </c>
    </row>
    <row r="11348" spans="1:9" x14ac:dyDescent="0.2">
      <c r="A11348" s="2" t="s">
        <v>3994</v>
      </c>
      <c r="B11348" s="2" t="s">
        <v>1275</v>
      </c>
      <c r="C11348" s="2">
        <v>970.50419999999997</v>
      </c>
      <c r="D11348" s="2">
        <f>HYPERLINK("http://mcb-m6.bioreg.kyushu-u.ac.jp/M3/20110411/F50892/3032/1", 70.09)</f>
        <v>70.09</v>
      </c>
      <c r="E11348" s="2">
        <v>59.22</v>
      </c>
      <c r="F11348" s="2">
        <v>2</v>
      </c>
      <c r="G11348" s="2" t="s">
        <v>9</v>
      </c>
    </row>
    <row r="11349" spans="1:9" x14ac:dyDescent="0.2">
      <c r="A11349" s="2" t="s">
        <v>3994</v>
      </c>
      <c r="B11349" s="2" t="s">
        <v>1275</v>
      </c>
      <c r="C11349" s="2">
        <v>970.81870000000004</v>
      </c>
      <c r="D11349" s="2">
        <f>HYPERLINK("http://mcb-m6.bioreg.kyushu-u.ac.jp/M3/20110414/F50929/2944/1", 42.52)</f>
        <v>42.52</v>
      </c>
      <c r="E11349" s="2">
        <v>29.16</v>
      </c>
      <c r="F11349" s="2">
        <v>2</v>
      </c>
      <c r="G11349" s="2" t="s">
        <v>11</v>
      </c>
    </row>
    <row r="11350" spans="1:9" x14ac:dyDescent="0.2">
      <c r="A11350" s="2" t="s">
        <v>3994</v>
      </c>
      <c r="B11350" s="2" t="s">
        <v>1275</v>
      </c>
      <c r="C11350" s="2">
        <v>970.30319999999995</v>
      </c>
      <c r="D11350" s="2">
        <f>HYPERLINK("http://mcb-m6.bioreg.kyushu-u.ac.jp/M3/20110414/F50929/2943/1", 100.75)</f>
        <v>100.75</v>
      </c>
      <c r="E11350" s="2">
        <v>85.26</v>
      </c>
      <c r="F11350" s="2">
        <v>2</v>
      </c>
      <c r="G11350" s="2" t="s">
        <v>11</v>
      </c>
    </row>
    <row r="11351" spans="1:9" x14ac:dyDescent="0.2">
      <c r="A11351" s="2" t="s">
        <v>3994</v>
      </c>
      <c r="B11351" s="2" t="s">
        <v>1275</v>
      </c>
      <c r="C11351" s="2">
        <v>970.55319999999995</v>
      </c>
      <c r="D11351" s="2">
        <f>HYPERLINK("http://mcb-m6.bioreg.kyushu-u.ac.jp/M3/20110414/F50934/2871/1", 108.7)</f>
        <v>108.7</v>
      </c>
      <c r="E11351" s="2">
        <v>96.89</v>
      </c>
      <c r="F11351" s="2">
        <v>2</v>
      </c>
      <c r="G11351" s="2" t="s">
        <v>12</v>
      </c>
    </row>
    <row r="11352" spans="1:9" x14ac:dyDescent="0.2">
      <c r="A11352" s="2" t="s">
        <v>3537</v>
      </c>
      <c r="B11352" s="2" t="s">
        <v>391</v>
      </c>
      <c r="C11352" s="2">
        <v>1313.694</v>
      </c>
      <c r="D11352" s="2">
        <f>HYPERLINK("http://mcb-m6.bioreg.kyushu-u.ac.jp/M3/20110411/F50892/1821/1", 41)</f>
        <v>41</v>
      </c>
      <c r="E11352" s="2">
        <v>30.45</v>
      </c>
      <c r="F11352" s="2">
        <v>1</v>
      </c>
      <c r="G11352" s="2" t="s">
        <v>9</v>
      </c>
    </row>
    <row r="11353" spans="1:9" x14ac:dyDescent="0.2">
      <c r="A11353" s="2" t="s">
        <v>3537</v>
      </c>
      <c r="B11353" s="2" t="s">
        <v>391</v>
      </c>
      <c r="C11353" s="2">
        <v>657.38869999999997</v>
      </c>
      <c r="D11353" s="2">
        <f>HYPERLINK("http://mcb-m6.bioreg.kyushu-u.ac.jp/M3/20110411/F50892/1822/1", 102.74)</f>
        <v>102.74</v>
      </c>
      <c r="E11353" s="2">
        <v>89.45</v>
      </c>
      <c r="F11353" s="2">
        <v>2</v>
      </c>
      <c r="G11353" s="2" t="s">
        <v>9</v>
      </c>
    </row>
    <row r="11354" spans="1:9" x14ac:dyDescent="0.2">
      <c r="A11354" s="2" t="s">
        <v>3537</v>
      </c>
      <c r="B11354" s="2" t="s">
        <v>1648</v>
      </c>
      <c r="C11354" s="2">
        <v>1349</v>
      </c>
      <c r="D11354" s="2">
        <f>HYPERLINK("http://mcb-m6.bioreg.kyushu-u.ac.jp/M3/20110411/F50892/3762/1", 109.7)</f>
        <v>109.7</v>
      </c>
      <c r="E11354" s="2">
        <v>95.04</v>
      </c>
      <c r="F11354" s="2">
        <v>2</v>
      </c>
      <c r="G11354" s="2" t="s">
        <v>9</v>
      </c>
    </row>
    <row r="11355" spans="1:9" x14ac:dyDescent="0.2">
      <c r="A11355" s="2" t="s">
        <v>3537</v>
      </c>
      <c r="B11355" s="2" t="s">
        <v>391</v>
      </c>
      <c r="C11355" s="2">
        <v>657.37519999999995</v>
      </c>
      <c r="D11355" s="2">
        <f>HYPERLINK("http://mcb-m6.bioreg.kyushu-u.ac.jp/M3/20110411/F50899/1955/1", 91.55)</f>
        <v>91.55</v>
      </c>
      <c r="E11355" s="2">
        <v>75.77</v>
      </c>
      <c r="F11355" s="2">
        <v>2</v>
      </c>
      <c r="G11355" s="2" t="s">
        <v>10</v>
      </c>
    </row>
    <row r="11356" spans="1:9" x14ac:dyDescent="0.2">
      <c r="A11356" s="2" t="s">
        <v>3537</v>
      </c>
      <c r="B11356" s="2" t="s">
        <v>1648</v>
      </c>
      <c r="C11356" s="2">
        <v>1349.1869999999999</v>
      </c>
      <c r="D11356" s="2">
        <f>HYPERLINK("http://mcb-m6.bioreg.kyushu-u.ac.jp/M3/20110411/F50899/3245/1", 113.51)</f>
        <v>113.51</v>
      </c>
      <c r="E11356" s="2">
        <v>99.27</v>
      </c>
      <c r="F11356" s="2">
        <v>2</v>
      </c>
      <c r="G11356" s="2" t="s">
        <v>10</v>
      </c>
    </row>
    <row r="11357" spans="1:9" x14ac:dyDescent="0.2">
      <c r="A11357" s="2" t="s">
        <v>3537</v>
      </c>
      <c r="B11357" s="2" t="s">
        <v>391</v>
      </c>
      <c r="C11357" s="2">
        <v>657.18769999999995</v>
      </c>
      <c r="D11357" s="2">
        <f>HYPERLINK("http://mcb-m6.bioreg.kyushu-u.ac.jp/M3/20110414/F50929/1957/1", 84.78)</f>
        <v>84.78</v>
      </c>
      <c r="E11357" s="2">
        <v>70.61</v>
      </c>
      <c r="F11357" s="2">
        <v>2</v>
      </c>
      <c r="G11357" s="2" t="s">
        <v>11</v>
      </c>
    </row>
    <row r="11358" spans="1:9" x14ac:dyDescent="0.2">
      <c r="A11358" s="2" t="s">
        <v>3537</v>
      </c>
      <c r="B11358" s="2" t="s">
        <v>1648</v>
      </c>
      <c r="C11358" s="2">
        <v>1348.873</v>
      </c>
      <c r="D11358" s="2">
        <f>HYPERLINK("http://mcb-m6.bioreg.kyushu-u.ac.jp/M3/20110414/F50929/3426/1", 141.48)</f>
        <v>141.47999999999999</v>
      </c>
      <c r="E11358" s="2">
        <v>129.13999999999999</v>
      </c>
      <c r="F11358" s="2">
        <v>2</v>
      </c>
      <c r="G11358" s="2" t="s">
        <v>11</v>
      </c>
    </row>
    <row r="11359" spans="1:9" x14ac:dyDescent="0.2">
      <c r="A11359" s="2" t="s">
        <v>3537</v>
      </c>
      <c r="B11359" s="2" t="s">
        <v>1648</v>
      </c>
      <c r="C11359" s="2">
        <v>899.8288</v>
      </c>
      <c r="D11359" s="2">
        <f>HYPERLINK("http://mcb-m6.bioreg.kyushu-u.ac.jp/M3/20110414/F50934/3279/1", 51.76)</f>
        <v>51.76</v>
      </c>
      <c r="E11359" s="2">
        <v>43.97</v>
      </c>
      <c r="F11359" s="2">
        <v>3</v>
      </c>
      <c r="G11359" s="2" t="s">
        <v>12</v>
      </c>
    </row>
    <row r="11360" spans="1:9" x14ac:dyDescent="0.2">
      <c r="A11360" s="2" t="s">
        <v>3537</v>
      </c>
      <c r="B11360" s="2" t="s">
        <v>391</v>
      </c>
      <c r="C11360" s="2">
        <v>657.70569999999998</v>
      </c>
      <c r="D11360" s="2">
        <f>HYPERLINK("http://mcb-m6.bioreg.kyushu-u.ac.jp/M3/20110414/F50946/1520/1", 65.53)</f>
        <v>65.53</v>
      </c>
      <c r="E11360" s="2">
        <v>50.22</v>
      </c>
      <c r="F11360" s="2">
        <v>2</v>
      </c>
      <c r="G11360" s="2" t="s">
        <v>12</v>
      </c>
    </row>
    <row r="11361" spans="1:9" x14ac:dyDescent="0.2">
      <c r="A11361" s="2" t="s">
        <v>3537</v>
      </c>
      <c r="B11361" s="2" t="s">
        <v>391</v>
      </c>
      <c r="C11361" s="2">
        <v>657.44370000000004</v>
      </c>
      <c r="D11361" s="2">
        <f>HYPERLINK("http://mcb-m6.bioreg.kyushu-u.ac.jp/M3/20110414/F50934/2045/1", 71.09)</f>
        <v>71.09</v>
      </c>
      <c r="E11361" s="2">
        <v>49.77</v>
      </c>
      <c r="F11361" s="2">
        <v>2</v>
      </c>
      <c r="G11361" s="2" t="s">
        <v>12</v>
      </c>
    </row>
    <row r="11362" spans="1:9" x14ac:dyDescent="0.2">
      <c r="A11362" s="2" t="s">
        <v>3537</v>
      </c>
      <c r="B11362" s="2" t="s">
        <v>391</v>
      </c>
      <c r="C11362" s="2">
        <v>657.95169999999996</v>
      </c>
      <c r="D11362" s="2">
        <f>HYPERLINK("http://mcb-m6.bioreg.kyushu-u.ac.jp/M3/20110414/F50934/2047/1", 73.49)</f>
        <v>73.489999999999995</v>
      </c>
      <c r="E11362" s="2">
        <v>58.38</v>
      </c>
      <c r="F11362" s="2">
        <v>2</v>
      </c>
      <c r="G11362" s="2" t="s">
        <v>12</v>
      </c>
    </row>
    <row r="11363" spans="1:9" x14ac:dyDescent="0.2">
      <c r="A11363" s="2" t="s">
        <v>3537</v>
      </c>
      <c r="B11363" s="2" t="s">
        <v>1648</v>
      </c>
      <c r="C11363" s="2">
        <v>1349.1420000000001</v>
      </c>
      <c r="D11363" s="2">
        <f>HYPERLINK("http://mcb-m6.bioreg.kyushu-u.ac.jp/M3/20110414/F50934/3277/1", 127.26)</f>
        <v>127.26</v>
      </c>
      <c r="E11363" s="2">
        <v>115.25</v>
      </c>
      <c r="F11363" s="2">
        <v>2</v>
      </c>
      <c r="G11363" s="2" t="s">
        <v>12</v>
      </c>
    </row>
    <row r="11364" spans="1:9" x14ac:dyDescent="0.2">
      <c r="A11364" s="2" t="s">
        <v>3537</v>
      </c>
      <c r="B11364" s="2" t="s">
        <v>391</v>
      </c>
      <c r="C11364" s="2">
        <v>657.6472</v>
      </c>
      <c r="D11364" s="2">
        <f>HYPERLINK("http://mcb-m6.bioreg.kyushu-u.ac.jp/M3/20110502/F51181/1372/1", 63.86)</f>
        <v>63.86</v>
      </c>
      <c r="E11364" s="2">
        <v>47.73</v>
      </c>
      <c r="F11364" s="2">
        <v>2</v>
      </c>
      <c r="G11364" s="2" t="s">
        <v>14</v>
      </c>
    </row>
    <row r="11365" spans="1:9" x14ac:dyDescent="0.2">
      <c r="A11365" s="2" t="s">
        <v>3748</v>
      </c>
      <c r="B11365" s="2" t="s">
        <v>755</v>
      </c>
      <c r="C11365" s="2">
        <v>485.06659999999999</v>
      </c>
      <c r="D11365" s="2">
        <f>HYPERLINK("http://mcb-m6.bioreg.kyushu-u.ac.jp/M3/20110411/F50892/1266/1", 50.2)</f>
        <v>50.2</v>
      </c>
      <c r="E11365" s="2">
        <v>23.89</v>
      </c>
      <c r="F11365" s="2">
        <v>2</v>
      </c>
      <c r="G11365" s="2" t="s">
        <v>9</v>
      </c>
    </row>
    <row r="11366" spans="1:9" x14ac:dyDescent="0.2">
      <c r="A11366" s="2" t="s">
        <v>3748</v>
      </c>
      <c r="B11366" s="2" t="s">
        <v>758</v>
      </c>
      <c r="C11366" s="2">
        <v>1217.6010000000001</v>
      </c>
      <c r="D11366" s="2">
        <f>HYPERLINK("http://mcb-m6.bioreg.kyushu-u.ac.jp/M3/20110411/F50892/1673/1", 50.28)</f>
        <v>50.28</v>
      </c>
      <c r="E11366" s="2">
        <v>28.53</v>
      </c>
      <c r="F11366" s="2">
        <v>1</v>
      </c>
      <c r="G11366" s="2" t="s">
        <v>9</v>
      </c>
    </row>
    <row r="11367" spans="1:9" x14ac:dyDescent="0.2">
      <c r="A11367" s="2" t="s">
        <v>3748</v>
      </c>
      <c r="B11367" s="2" t="s">
        <v>1082</v>
      </c>
      <c r="C11367" s="2">
        <v>634.35519999999997</v>
      </c>
      <c r="D11367" s="2">
        <f>HYPERLINK("http://mcb-m6.bioreg.kyushu-u.ac.jp/M3/20110411/F50892/1761/1", 62.19)</f>
        <v>62.19</v>
      </c>
      <c r="E11367" s="2">
        <v>35.130000000000003</v>
      </c>
      <c r="F11367" s="2">
        <v>2</v>
      </c>
      <c r="G11367" s="2" t="s">
        <v>9</v>
      </c>
      <c r="I11367" s="2" t="s">
        <v>4893</v>
      </c>
    </row>
    <row r="11368" spans="1:9" x14ac:dyDescent="0.2">
      <c r="A11368" s="2" t="s">
        <v>3748</v>
      </c>
      <c r="B11368" s="2" t="s">
        <v>1121</v>
      </c>
      <c r="C11368" s="2">
        <v>913.56619999999998</v>
      </c>
      <c r="D11368" s="2">
        <f>HYPERLINK("http://mcb-m6.bioreg.kyushu-u.ac.jp/M3/20110411/F50892/2876/1", 64.03)</f>
        <v>64.03</v>
      </c>
      <c r="E11368" s="2">
        <v>41.65</v>
      </c>
      <c r="F11368" s="2">
        <v>2</v>
      </c>
      <c r="G11368" s="2" t="s">
        <v>9</v>
      </c>
    </row>
    <row r="11369" spans="1:9" x14ac:dyDescent="0.2">
      <c r="A11369" s="2" t="s">
        <v>3748</v>
      </c>
      <c r="B11369" s="2" t="s">
        <v>1082</v>
      </c>
      <c r="C11369" s="2">
        <v>1266.575</v>
      </c>
      <c r="D11369" s="2">
        <f>HYPERLINK("http://mcb-m6.bioreg.kyushu-u.ac.jp/M3/20110411/F50892/1756/1", 64.99)</f>
        <v>64.989999999999995</v>
      </c>
      <c r="E11369" s="2">
        <v>33.950000000000003</v>
      </c>
      <c r="F11369" s="2">
        <v>1</v>
      </c>
      <c r="G11369" s="2" t="s">
        <v>9</v>
      </c>
      <c r="I11369" s="2" t="s">
        <v>4893</v>
      </c>
    </row>
    <row r="11370" spans="1:9" x14ac:dyDescent="0.2">
      <c r="A11370" s="2" t="s">
        <v>3748</v>
      </c>
      <c r="B11370" s="2" t="s">
        <v>1082</v>
      </c>
      <c r="C11370" s="2">
        <v>633.85360000000003</v>
      </c>
      <c r="D11370" s="2">
        <f>HYPERLINK("http://mcb-m6.bioreg.kyushu-u.ac.jp/M3/20110411/F50892/1758/1", 72.51)</f>
        <v>72.510000000000005</v>
      </c>
      <c r="E11370" s="2">
        <v>42.95</v>
      </c>
      <c r="F11370" s="2">
        <v>2</v>
      </c>
      <c r="G11370" s="2" t="s">
        <v>9</v>
      </c>
      <c r="I11370" s="2" t="s">
        <v>4893</v>
      </c>
    </row>
    <row r="11371" spans="1:9" x14ac:dyDescent="0.2">
      <c r="A11371" s="2" t="s">
        <v>3748</v>
      </c>
      <c r="B11371" s="2" t="s">
        <v>1121</v>
      </c>
      <c r="C11371" s="2">
        <v>912.96510000000001</v>
      </c>
      <c r="D11371" s="2">
        <f>HYPERLINK("http://mcb-m6.bioreg.kyushu-u.ac.jp/M3/20110411/F50892/2873/1", 85.44)</f>
        <v>85.44</v>
      </c>
      <c r="E11371" s="2">
        <v>70.98</v>
      </c>
      <c r="F11371" s="2">
        <v>2</v>
      </c>
      <c r="G11371" s="2" t="s">
        <v>9</v>
      </c>
    </row>
    <row r="11372" spans="1:9" x14ac:dyDescent="0.2">
      <c r="A11372" s="2" t="s">
        <v>3748</v>
      </c>
      <c r="B11372" s="2" t="s">
        <v>758</v>
      </c>
      <c r="C11372" s="2">
        <v>1217.75</v>
      </c>
      <c r="D11372" s="2">
        <f>HYPERLINK("http://mcb-m6.bioreg.kyushu-u.ac.jp/M3/20110411/F50899/1835/1", 44.94)</f>
        <v>44.94</v>
      </c>
      <c r="E11372" s="2">
        <v>23.28</v>
      </c>
      <c r="F11372" s="2">
        <v>1</v>
      </c>
      <c r="G11372" s="2" t="s">
        <v>10</v>
      </c>
    </row>
    <row r="11373" spans="1:9" x14ac:dyDescent="0.2">
      <c r="A11373" s="2" t="s">
        <v>3748</v>
      </c>
      <c r="B11373" s="2" t="s">
        <v>1082</v>
      </c>
      <c r="C11373" s="2">
        <v>633.91560000000004</v>
      </c>
      <c r="D11373" s="2">
        <f>HYPERLINK("http://mcb-m6.bioreg.kyushu-u.ac.jp/M3/20110411/F50899/1911/1", 57.39)</f>
        <v>57.39</v>
      </c>
      <c r="E11373" s="2">
        <v>33.24</v>
      </c>
      <c r="F11373" s="2">
        <v>2</v>
      </c>
      <c r="G11373" s="2" t="s">
        <v>10</v>
      </c>
      <c r="I11373" s="2" t="s">
        <v>4893</v>
      </c>
    </row>
    <row r="11374" spans="1:9" x14ac:dyDescent="0.2">
      <c r="A11374" s="2" t="s">
        <v>3748</v>
      </c>
      <c r="B11374" s="2" t="s">
        <v>1082</v>
      </c>
      <c r="C11374" s="2">
        <v>1266.702</v>
      </c>
      <c r="D11374" s="2">
        <f>HYPERLINK("http://mcb-m6.bioreg.kyushu-u.ac.jp/M3/20110411/F50899/1910/1", 66.26)</f>
        <v>66.260000000000005</v>
      </c>
      <c r="E11374" s="2">
        <v>41.5</v>
      </c>
      <c r="F11374" s="2">
        <v>1</v>
      </c>
      <c r="G11374" s="2" t="s">
        <v>10</v>
      </c>
      <c r="I11374" s="2" t="s">
        <v>4893</v>
      </c>
    </row>
    <row r="11375" spans="1:9" x14ac:dyDescent="0.2">
      <c r="A11375" s="2" t="s">
        <v>3748</v>
      </c>
      <c r="B11375" s="2" t="s">
        <v>758</v>
      </c>
      <c r="C11375" s="2">
        <v>609.40060000000005</v>
      </c>
      <c r="D11375" s="2">
        <f>HYPERLINK("http://mcb-m6.bioreg.kyushu-u.ac.jp/M3/20110411/F50899/1836/1", 89.37)</f>
        <v>89.37</v>
      </c>
      <c r="E11375" s="2">
        <v>48.02</v>
      </c>
      <c r="F11375" s="2">
        <v>2</v>
      </c>
      <c r="G11375" s="2" t="s">
        <v>10</v>
      </c>
    </row>
    <row r="11376" spans="1:9" x14ac:dyDescent="0.2">
      <c r="A11376" s="2" t="s">
        <v>3748</v>
      </c>
      <c r="B11376" s="2" t="s">
        <v>758</v>
      </c>
      <c r="C11376" s="2">
        <v>609.25519999999995</v>
      </c>
      <c r="D11376" s="2">
        <f>HYPERLINK("http://mcb-m6.bioreg.kyushu-u.ac.jp/M3/20110414/F50929/1813/1", 40.13)</f>
        <v>40.130000000000003</v>
      </c>
      <c r="E11376" s="2">
        <v>21.18</v>
      </c>
      <c r="F11376" s="2">
        <v>2</v>
      </c>
      <c r="G11376" s="2" t="s">
        <v>11</v>
      </c>
    </row>
    <row r="11377" spans="1:9" x14ac:dyDescent="0.2">
      <c r="A11377" s="2" t="s">
        <v>3748</v>
      </c>
      <c r="B11377" s="2" t="s">
        <v>758</v>
      </c>
      <c r="C11377" s="2">
        <v>1217.4469999999999</v>
      </c>
      <c r="D11377" s="2">
        <f>HYPERLINK("http://mcb-m6.bioreg.kyushu-u.ac.jp/M3/20110414/F50929/1812/1", 52.59)</f>
        <v>52.59</v>
      </c>
      <c r="E11377" s="2">
        <v>26.78</v>
      </c>
      <c r="F11377" s="2">
        <v>1</v>
      </c>
      <c r="G11377" s="2" t="s">
        <v>11</v>
      </c>
    </row>
    <row r="11378" spans="1:9" x14ac:dyDescent="0.2">
      <c r="A11378" s="2" t="s">
        <v>3748</v>
      </c>
      <c r="B11378" s="2" t="s">
        <v>758</v>
      </c>
      <c r="C11378" s="2">
        <v>609.8972</v>
      </c>
      <c r="D11378" s="2">
        <f>HYPERLINK("http://mcb-m6.bioreg.kyushu-u.ac.jp/M3/20110414/F50929/1822/1", 52.7)</f>
        <v>52.7</v>
      </c>
      <c r="E11378" s="2">
        <v>29.02</v>
      </c>
      <c r="F11378" s="2">
        <v>2</v>
      </c>
      <c r="G11378" s="2" t="s">
        <v>11</v>
      </c>
    </row>
    <row r="11379" spans="1:9" x14ac:dyDescent="0.2">
      <c r="A11379" s="2" t="s">
        <v>3748</v>
      </c>
      <c r="B11379" s="2" t="s">
        <v>1082</v>
      </c>
      <c r="C11379" s="2">
        <v>634.18320000000006</v>
      </c>
      <c r="D11379" s="2">
        <f>HYPERLINK("http://mcb-m6.bioreg.kyushu-u.ac.jp/M3/20110414/F50929/1899/1", 57.48)</f>
        <v>57.48</v>
      </c>
      <c r="E11379" s="2">
        <v>29.7</v>
      </c>
      <c r="F11379" s="2">
        <v>2</v>
      </c>
      <c r="G11379" s="2" t="s">
        <v>11</v>
      </c>
      <c r="I11379" s="2" t="s">
        <v>4893</v>
      </c>
    </row>
    <row r="11380" spans="1:9" x14ac:dyDescent="0.2">
      <c r="A11380" s="2" t="s">
        <v>3748</v>
      </c>
      <c r="B11380" s="2" t="s">
        <v>758</v>
      </c>
      <c r="C11380" s="2">
        <v>609.13170000000002</v>
      </c>
      <c r="D11380" s="2">
        <f>HYPERLINK("http://mcb-m6.bioreg.kyushu-u.ac.jp/M3/20110414/F50929/1811/1", 69.65)</f>
        <v>69.650000000000006</v>
      </c>
      <c r="E11380" s="2">
        <v>34.86</v>
      </c>
      <c r="F11380" s="2">
        <v>2</v>
      </c>
      <c r="G11380" s="2" t="s">
        <v>11</v>
      </c>
    </row>
    <row r="11381" spans="1:9" x14ac:dyDescent="0.2">
      <c r="A11381" s="2" t="s">
        <v>3748</v>
      </c>
      <c r="B11381" s="2" t="s">
        <v>1082</v>
      </c>
      <c r="C11381" s="2">
        <v>1266.4269999999999</v>
      </c>
      <c r="D11381" s="2">
        <f>HYPERLINK("http://mcb-m6.bioreg.kyushu-u.ac.jp/M3/20110414/F50929/1896/1", 73.71)</f>
        <v>73.709999999999994</v>
      </c>
      <c r="E11381" s="2">
        <v>51.33</v>
      </c>
      <c r="F11381" s="2">
        <v>1</v>
      </c>
      <c r="G11381" s="2" t="s">
        <v>11</v>
      </c>
      <c r="I11381" s="2" t="s">
        <v>4893</v>
      </c>
    </row>
    <row r="11382" spans="1:9" x14ac:dyDescent="0.2">
      <c r="A11382" s="2" t="s">
        <v>3748</v>
      </c>
      <c r="B11382" s="2" t="s">
        <v>758</v>
      </c>
      <c r="C11382" s="2">
        <v>1217.6379999999999</v>
      </c>
      <c r="D11382" s="2">
        <f>HYPERLINK("http://mcb-m6.bioreg.kyushu-u.ac.jp/M3/20110414/F50934/1924/1", 49.47)</f>
        <v>49.47</v>
      </c>
      <c r="E11382" s="2">
        <v>25.15</v>
      </c>
      <c r="F11382" s="2">
        <v>1</v>
      </c>
      <c r="G11382" s="2" t="s">
        <v>12</v>
      </c>
    </row>
    <row r="11383" spans="1:9" x14ac:dyDescent="0.2">
      <c r="A11383" s="2" t="s">
        <v>3748</v>
      </c>
      <c r="B11383" s="2" t="s">
        <v>758</v>
      </c>
      <c r="C11383" s="2">
        <v>609.33619999999996</v>
      </c>
      <c r="D11383" s="2">
        <f>HYPERLINK("http://mcb-m6.bioreg.kyushu-u.ac.jp/M3/20110414/F50934/1926/1", 83.62)</f>
        <v>83.62</v>
      </c>
      <c r="E11383" s="2">
        <v>47.18</v>
      </c>
      <c r="F11383" s="2">
        <v>2</v>
      </c>
      <c r="G11383" s="2" t="s">
        <v>12</v>
      </c>
    </row>
    <row r="11384" spans="1:9" x14ac:dyDescent="0.2">
      <c r="A11384" s="2" t="s">
        <v>3748</v>
      </c>
      <c r="B11384" s="2" t="s">
        <v>1082</v>
      </c>
      <c r="C11384" s="2">
        <v>633.98220000000003</v>
      </c>
      <c r="D11384" s="2">
        <f>HYPERLINK("http://mcb-m6.bioreg.kyushu-u.ac.jp/M3/20110414/F50934/2000/1", 87.38)</f>
        <v>87.38</v>
      </c>
      <c r="E11384" s="2">
        <v>47.47</v>
      </c>
      <c r="F11384" s="2">
        <v>2</v>
      </c>
      <c r="G11384" s="2" t="s">
        <v>12</v>
      </c>
      <c r="I11384" s="2" t="s">
        <v>4893</v>
      </c>
    </row>
    <row r="11385" spans="1:9" x14ac:dyDescent="0.2">
      <c r="A11385" s="2" t="s">
        <v>3748</v>
      </c>
      <c r="B11385" s="2" t="s">
        <v>755</v>
      </c>
      <c r="C11385" s="2">
        <v>484.97609999999997</v>
      </c>
      <c r="D11385" s="2">
        <f>HYPERLINK("http://mcb-m6.bioreg.kyushu-u.ac.jp/M3/20110502/F51180/663/1", 57.36)</f>
        <v>57.36</v>
      </c>
      <c r="E11385" s="2">
        <v>26.05</v>
      </c>
      <c r="F11385" s="2">
        <v>2</v>
      </c>
      <c r="G11385" s="2" t="s">
        <v>13</v>
      </c>
    </row>
    <row r="11386" spans="1:9" x14ac:dyDescent="0.2">
      <c r="A11386" s="2" t="s">
        <v>3748</v>
      </c>
      <c r="B11386" s="2" t="s">
        <v>1082</v>
      </c>
      <c r="C11386" s="2">
        <v>634.14620000000002</v>
      </c>
      <c r="D11386" s="2">
        <f>HYPERLINK("http://mcb-m6.bioreg.kyushu-u.ac.jp/M3/20110502/F51180/1268/1", 74.38)</f>
        <v>74.38</v>
      </c>
      <c r="E11386" s="2">
        <v>34.409999999999997</v>
      </c>
      <c r="F11386" s="2">
        <v>2</v>
      </c>
      <c r="G11386" s="2" t="s">
        <v>13</v>
      </c>
      <c r="I11386" s="2" t="s">
        <v>4893</v>
      </c>
    </row>
    <row r="11387" spans="1:9" x14ac:dyDescent="0.2">
      <c r="A11387" s="2" t="s">
        <v>3748</v>
      </c>
      <c r="B11387" s="2" t="s">
        <v>758</v>
      </c>
      <c r="C11387" s="2">
        <v>609.66920000000005</v>
      </c>
      <c r="D11387" s="2">
        <f>HYPERLINK("http://mcb-m6.bioreg.kyushu-u.ac.jp/M3/20110502/F51182/1169/1", 44.6)</f>
        <v>44.6</v>
      </c>
      <c r="E11387" s="2">
        <v>19.670000000000002</v>
      </c>
      <c r="F11387" s="2">
        <v>2</v>
      </c>
      <c r="G11387" s="2" t="s">
        <v>14</v>
      </c>
    </row>
    <row r="11388" spans="1:9" x14ac:dyDescent="0.2">
      <c r="A11388" s="2" t="s">
        <v>3748</v>
      </c>
      <c r="B11388" s="2" t="s">
        <v>1082</v>
      </c>
      <c r="C11388" s="2">
        <v>634.13120000000004</v>
      </c>
      <c r="D11388" s="2">
        <f>HYPERLINK("http://mcb-m6.bioreg.kyushu-u.ac.jp/M3/20110502/F51182/1270/1", 50.39)</f>
        <v>50.39</v>
      </c>
      <c r="E11388" s="2">
        <v>26.27</v>
      </c>
      <c r="F11388" s="2">
        <v>2</v>
      </c>
      <c r="G11388" s="2" t="s">
        <v>14</v>
      </c>
      <c r="I11388" s="2" t="s">
        <v>4893</v>
      </c>
    </row>
    <row r="11389" spans="1:9" x14ac:dyDescent="0.2">
      <c r="A11389" s="2" t="s">
        <v>3748</v>
      </c>
      <c r="B11389" s="2" t="s">
        <v>755</v>
      </c>
      <c r="C11389" s="2">
        <v>485.08409999999998</v>
      </c>
      <c r="D11389" s="2">
        <f>HYPERLINK("http://mcb-m6.bioreg.kyushu-u.ac.jp/M3/20110502/F51182/669/1", 62.36)</f>
        <v>62.36</v>
      </c>
      <c r="E11389" s="2">
        <v>29.55</v>
      </c>
      <c r="F11389" s="2">
        <v>2</v>
      </c>
      <c r="G11389" s="2" t="s">
        <v>14</v>
      </c>
    </row>
    <row r="11390" spans="1:9" x14ac:dyDescent="0.2">
      <c r="A11390" s="2" t="s">
        <v>3748</v>
      </c>
      <c r="B11390" s="2" t="s">
        <v>758</v>
      </c>
      <c r="C11390" s="2">
        <v>1218.069</v>
      </c>
      <c r="D11390" s="2">
        <f>HYPERLINK("http://mcb-m6.bioreg.kyushu-u.ac.jp/M3/20110502/F51182/1167/1", 64.6)</f>
        <v>64.599999999999994</v>
      </c>
      <c r="E11390" s="2">
        <v>27.25</v>
      </c>
      <c r="F11390" s="2">
        <v>1</v>
      </c>
      <c r="G11390" s="2" t="s">
        <v>14</v>
      </c>
    </row>
    <row r="11391" spans="1:9" x14ac:dyDescent="0.2">
      <c r="A11391" s="2" t="s">
        <v>3753</v>
      </c>
      <c r="B11391" s="2" t="s">
        <v>765</v>
      </c>
      <c r="C11391" s="2">
        <v>839.15970000000004</v>
      </c>
      <c r="D11391" s="2">
        <f>HYPERLINK("http://mcb-m6.bioreg.kyushu-u.ac.jp/M3/20110411/F50892/2614/1", 50.57)</f>
        <v>50.57</v>
      </c>
      <c r="E11391" s="2">
        <v>35.74</v>
      </c>
      <c r="F11391" s="2">
        <v>2</v>
      </c>
      <c r="G11391" s="2" t="s">
        <v>9</v>
      </c>
      <c r="H11391" s="2" t="s">
        <v>4900</v>
      </c>
    </row>
    <row r="11392" spans="1:9" x14ac:dyDescent="0.2">
      <c r="A11392" s="2" t="s">
        <v>3753</v>
      </c>
      <c r="B11392" s="2" t="s">
        <v>1052</v>
      </c>
      <c r="C11392" s="2">
        <v>685.51009999999997</v>
      </c>
      <c r="D11392" s="2">
        <f>HYPERLINK("http://mcb-m6.bioreg.kyushu-u.ac.jp/M3/20110411/F50892/1927/1", 60.37)</f>
        <v>60.37</v>
      </c>
      <c r="E11392" s="2">
        <v>31.58</v>
      </c>
      <c r="F11392" s="2">
        <v>2</v>
      </c>
      <c r="G11392" s="2" t="s">
        <v>9</v>
      </c>
    </row>
    <row r="11393" spans="1:9" x14ac:dyDescent="0.2">
      <c r="A11393" s="2" t="s">
        <v>3753</v>
      </c>
      <c r="B11393" s="2" t="s">
        <v>1490</v>
      </c>
      <c r="C11393" s="2">
        <v>1090.453</v>
      </c>
      <c r="D11393" s="2">
        <f>HYPERLINK("http://mcb-m6.bioreg.kyushu-u.ac.jp/M3/20110411/F50892/3321/1", 86)</f>
        <v>86</v>
      </c>
      <c r="E11393" s="2">
        <v>74.81</v>
      </c>
      <c r="F11393" s="2">
        <v>2</v>
      </c>
      <c r="G11393" s="2" t="s">
        <v>9</v>
      </c>
      <c r="I11393" s="2" t="s">
        <v>4892</v>
      </c>
    </row>
    <row r="11394" spans="1:9" x14ac:dyDescent="0.2">
      <c r="A11394" s="2" t="s">
        <v>3753</v>
      </c>
      <c r="B11394" s="2" t="s">
        <v>1052</v>
      </c>
      <c r="C11394" s="2">
        <v>685.79520000000002</v>
      </c>
      <c r="D11394" s="2">
        <f>HYPERLINK("http://mcb-m6.bioreg.kyushu-u.ac.jp/M3/20110414/F50929/2029/1", 58.59)</f>
        <v>58.59</v>
      </c>
      <c r="E11394" s="2">
        <v>32.83</v>
      </c>
      <c r="F11394" s="2">
        <v>2</v>
      </c>
      <c r="G11394" s="2" t="s">
        <v>11</v>
      </c>
    </row>
    <row r="11395" spans="1:9" x14ac:dyDescent="0.2">
      <c r="A11395" s="2" t="s">
        <v>3753</v>
      </c>
      <c r="B11395" s="2" t="s">
        <v>1490</v>
      </c>
      <c r="C11395" s="2">
        <v>1090.8820000000001</v>
      </c>
      <c r="D11395" s="2">
        <f>HYPERLINK("http://mcb-m6.bioreg.kyushu-u.ac.jp/M3/20110414/F50929/3155/1", 83.5)</f>
        <v>83.5</v>
      </c>
      <c r="E11395" s="2">
        <v>72.489999999999995</v>
      </c>
      <c r="F11395" s="2">
        <v>2</v>
      </c>
      <c r="G11395" s="2" t="s">
        <v>11</v>
      </c>
      <c r="I11395" s="2" t="s">
        <v>4892</v>
      </c>
    </row>
    <row r="11396" spans="1:9" x14ac:dyDescent="0.2">
      <c r="A11396" s="2" t="s">
        <v>3753</v>
      </c>
      <c r="B11396" s="2" t="s">
        <v>1490</v>
      </c>
      <c r="C11396" s="2">
        <v>1090.3800000000001</v>
      </c>
      <c r="D11396" s="2">
        <f>HYPERLINK("http://mcb-m6.bioreg.kyushu-u.ac.jp/M3/20110414/F50929/3153/1", 100.23)</f>
        <v>100.23</v>
      </c>
      <c r="E11396" s="2">
        <v>86.27</v>
      </c>
      <c r="F11396" s="2">
        <v>2</v>
      </c>
      <c r="G11396" s="2" t="s">
        <v>11</v>
      </c>
      <c r="I11396" s="2" t="s">
        <v>4892</v>
      </c>
    </row>
    <row r="11397" spans="1:9" x14ac:dyDescent="0.2">
      <c r="A11397" s="2" t="s">
        <v>3753</v>
      </c>
      <c r="B11397" s="2" t="s">
        <v>1490</v>
      </c>
      <c r="C11397" s="2">
        <v>1091.088</v>
      </c>
      <c r="D11397" s="2">
        <f>HYPERLINK("http://mcb-m6.bioreg.kyushu-u.ac.jp/M3/20110414/F50934/3059/1", 71.09)</f>
        <v>71.09</v>
      </c>
      <c r="E11397" s="2">
        <v>56</v>
      </c>
      <c r="F11397" s="2">
        <v>2</v>
      </c>
      <c r="G11397" s="2" t="s">
        <v>12</v>
      </c>
      <c r="I11397" s="2" t="s">
        <v>4892</v>
      </c>
    </row>
    <row r="11398" spans="1:9" x14ac:dyDescent="0.2">
      <c r="A11398" s="2" t="s">
        <v>3753</v>
      </c>
      <c r="B11398" s="2" t="s">
        <v>1490</v>
      </c>
      <c r="C11398" s="2">
        <v>1090.7660000000001</v>
      </c>
      <c r="D11398" s="2">
        <f>HYPERLINK("http://mcb-m6.bioreg.kyushu-u.ac.jp/M3/20110502/F51180/3178/1", 82.09)</f>
        <v>82.09</v>
      </c>
      <c r="E11398" s="2">
        <v>59.07</v>
      </c>
      <c r="F11398" s="2">
        <v>2</v>
      </c>
      <c r="G11398" s="2" t="s">
        <v>13</v>
      </c>
      <c r="I11398" s="2" t="s">
        <v>4892</v>
      </c>
    </row>
    <row r="11399" spans="1:9" x14ac:dyDescent="0.2">
      <c r="A11399" s="2" t="s">
        <v>3649</v>
      </c>
      <c r="B11399" s="2" t="s">
        <v>575</v>
      </c>
      <c r="C11399" s="2">
        <v>1428.7339999999999</v>
      </c>
      <c r="D11399" s="2">
        <f>HYPERLINK("http://mcb-m6.bioreg.kyushu-u.ac.jp/M3/20110411/F50892/2083/1", 45.21)</f>
        <v>45.21</v>
      </c>
      <c r="E11399" s="2">
        <v>27.32</v>
      </c>
      <c r="F11399" s="2">
        <v>1</v>
      </c>
      <c r="G11399" s="2" t="s">
        <v>9</v>
      </c>
    </row>
    <row r="11400" spans="1:9" x14ac:dyDescent="0.2">
      <c r="A11400" s="2" t="s">
        <v>3649</v>
      </c>
      <c r="B11400" s="2" t="s">
        <v>575</v>
      </c>
      <c r="C11400" s="2">
        <v>714.87270000000001</v>
      </c>
      <c r="D11400" s="2">
        <f>HYPERLINK("http://mcb-m6.bioreg.kyushu-u.ac.jp/M3/20110411/F50892/2084/1", 48.71)</f>
        <v>48.71</v>
      </c>
      <c r="E11400" s="2">
        <v>21.86</v>
      </c>
      <c r="F11400" s="2">
        <v>2</v>
      </c>
      <c r="G11400" s="2" t="s">
        <v>9</v>
      </c>
    </row>
    <row r="11401" spans="1:9" x14ac:dyDescent="0.2">
      <c r="A11401" s="2" t="s">
        <v>3649</v>
      </c>
      <c r="B11401" s="2" t="s">
        <v>575</v>
      </c>
      <c r="C11401" s="2">
        <v>715.33259999999996</v>
      </c>
      <c r="D11401" s="2">
        <f>HYPERLINK("http://mcb-m6.bioreg.kyushu-u.ac.jp/M3/20110411/F50899/2138/1", 65.69)</f>
        <v>65.69</v>
      </c>
      <c r="E11401" s="2">
        <v>26.4</v>
      </c>
      <c r="F11401" s="2">
        <v>2</v>
      </c>
      <c r="G11401" s="2" t="s">
        <v>10</v>
      </c>
    </row>
    <row r="11402" spans="1:9" x14ac:dyDescent="0.2">
      <c r="A11402" s="2" t="s">
        <v>3649</v>
      </c>
      <c r="B11402" s="2" t="s">
        <v>575</v>
      </c>
      <c r="C11402" s="2">
        <v>715.00819999999999</v>
      </c>
      <c r="D11402" s="2">
        <f>HYPERLINK("http://mcb-m6.bioreg.kyushu-u.ac.jp/M3/20110414/F50929/2172/1", 55)</f>
        <v>55</v>
      </c>
      <c r="E11402" s="2">
        <v>24.22</v>
      </c>
      <c r="F11402" s="2">
        <v>2</v>
      </c>
      <c r="G11402" s="2" t="s">
        <v>11</v>
      </c>
    </row>
    <row r="11403" spans="1:9" x14ac:dyDescent="0.2">
      <c r="A11403" s="2" t="s">
        <v>3649</v>
      </c>
      <c r="B11403" s="2" t="s">
        <v>575</v>
      </c>
      <c r="C11403" s="2">
        <v>714.96310000000005</v>
      </c>
      <c r="D11403" s="2">
        <f>HYPERLINK("http://mcb-m6.bioreg.kyushu-u.ac.jp/M3/20110414/F50934/2218/1", 43.97)</f>
        <v>43.97</v>
      </c>
      <c r="E11403" s="2">
        <v>20.63</v>
      </c>
      <c r="F11403" s="2">
        <v>2</v>
      </c>
      <c r="G11403" s="2" t="s">
        <v>12</v>
      </c>
    </row>
    <row r="11404" spans="1:9" x14ac:dyDescent="0.2">
      <c r="A11404" s="2" t="s">
        <v>3649</v>
      </c>
      <c r="B11404" s="2" t="s">
        <v>575</v>
      </c>
      <c r="C11404" s="2">
        <v>715.22969999999998</v>
      </c>
      <c r="D11404" s="2">
        <f>HYPERLINK("http://mcb-m6.bioreg.kyushu-u.ac.jp/M3/20110502/F51180/1640/1", 46.23)</f>
        <v>46.23</v>
      </c>
      <c r="E11404" s="2">
        <v>10.37</v>
      </c>
      <c r="F11404" s="2">
        <v>2</v>
      </c>
      <c r="G11404" s="2" t="s">
        <v>13</v>
      </c>
    </row>
    <row r="11405" spans="1:9" x14ac:dyDescent="0.2">
      <c r="A11405" s="2" t="s">
        <v>4608</v>
      </c>
      <c r="B11405" s="2" t="s">
        <v>2717</v>
      </c>
      <c r="C11405" s="2">
        <v>814.85670000000005</v>
      </c>
      <c r="D11405" s="2">
        <f>HYPERLINK("http://mcb-m6.bioreg.kyushu-u.ac.jp/M3/20110414/F50948/2541/1", 62.04)</f>
        <v>62.04</v>
      </c>
      <c r="E11405" s="2">
        <v>37.869999999999997</v>
      </c>
      <c r="F11405" s="2">
        <v>2</v>
      </c>
      <c r="G11405" s="2" t="s">
        <v>12</v>
      </c>
      <c r="I11405" s="2" t="s">
        <v>4892</v>
      </c>
    </row>
    <row r="11406" spans="1:9" x14ac:dyDescent="0.2">
      <c r="A11406" s="2" t="s">
        <v>4608</v>
      </c>
      <c r="B11406" s="2" t="s">
        <v>3229</v>
      </c>
      <c r="C11406" s="2">
        <v>839.39070000000004</v>
      </c>
      <c r="D11406" s="2">
        <f>HYPERLINK("http://mcb-m6.bioreg.kyushu-u.ac.jp/M3/20110502/F51192/2320/1", 96.9)</f>
        <v>96.9</v>
      </c>
      <c r="E11406" s="2">
        <v>77.19</v>
      </c>
      <c r="F11406" s="2">
        <v>2</v>
      </c>
      <c r="G11406" s="2" t="s">
        <v>14</v>
      </c>
    </row>
    <row r="11407" spans="1:9" x14ac:dyDescent="0.2">
      <c r="A11407" s="2" t="s">
        <v>3923</v>
      </c>
      <c r="B11407" s="2" t="s">
        <v>1099</v>
      </c>
      <c r="C11407" s="2">
        <v>756.30020000000002</v>
      </c>
      <c r="D11407" s="2">
        <f>HYPERLINK("http://mcb-m6.bioreg.kyushu-u.ac.jp/M3/20110411/F50892/2290/1", 62.96)</f>
        <v>62.96</v>
      </c>
      <c r="E11407" s="2">
        <v>38.630000000000003</v>
      </c>
      <c r="F11407" s="2">
        <v>2</v>
      </c>
      <c r="G11407" s="2" t="s">
        <v>9</v>
      </c>
    </row>
    <row r="11408" spans="1:9" x14ac:dyDescent="0.2">
      <c r="A11408" s="2" t="s">
        <v>3923</v>
      </c>
      <c r="B11408" s="2" t="s">
        <v>1152</v>
      </c>
      <c r="C11408" s="2">
        <v>835.41610000000003</v>
      </c>
      <c r="D11408" s="2">
        <f>HYPERLINK("http://mcb-m6.bioreg.kyushu-u.ac.jp/M3/20110411/F50892/2602/1", 65.26)</f>
        <v>65.260000000000005</v>
      </c>
      <c r="E11408" s="2">
        <v>48</v>
      </c>
      <c r="F11408" s="2">
        <v>2</v>
      </c>
      <c r="G11408" s="2" t="s">
        <v>9</v>
      </c>
    </row>
    <row r="11409" spans="1:9" x14ac:dyDescent="0.2">
      <c r="A11409" s="2" t="s">
        <v>3923</v>
      </c>
      <c r="B11409" s="2" t="s">
        <v>1152</v>
      </c>
      <c r="C11409" s="2">
        <v>834.90369999999996</v>
      </c>
      <c r="D11409" s="2">
        <f>HYPERLINK("http://mcb-m6.bioreg.kyushu-u.ac.jp/M3/20110411/F50892/2600/1", 79.37)</f>
        <v>79.37</v>
      </c>
      <c r="E11409" s="2">
        <v>56.95</v>
      </c>
      <c r="F11409" s="2">
        <v>2</v>
      </c>
      <c r="G11409" s="2" t="s">
        <v>9</v>
      </c>
    </row>
    <row r="11410" spans="1:9" x14ac:dyDescent="0.2">
      <c r="A11410" s="2" t="s">
        <v>3923</v>
      </c>
      <c r="B11410" s="2" t="s">
        <v>1099</v>
      </c>
      <c r="C11410" s="2">
        <v>756.44119999999998</v>
      </c>
      <c r="D11410" s="2">
        <f>HYPERLINK("http://mcb-m6.bioreg.kyushu-u.ac.jp/M3/20110411/F50899/2324/1", 72.51)</f>
        <v>72.510000000000005</v>
      </c>
      <c r="E11410" s="2">
        <v>45.81</v>
      </c>
      <c r="F11410" s="2">
        <v>2</v>
      </c>
      <c r="G11410" s="2" t="s">
        <v>10</v>
      </c>
    </row>
    <row r="11411" spans="1:9" x14ac:dyDescent="0.2">
      <c r="A11411" s="2" t="s">
        <v>3923</v>
      </c>
      <c r="B11411" s="2" t="s">
        <v>1152</v>
      </c>
      <c r="C11411" s="2">
        <v>834.78020000000004</v>
      </c>
      <c r="D11411" s="2">
        <f>HYPERLINK("http://mcb-m6.bioreg.kyushu-u.ac.jp/M3/20110414/F50945/2507/1", 48.63)</f>
        <v>48.63</v>
      </c>
      <c r="E11411" s="2">
        <v>36.31</v>
      </c>
      <c r="F11411" s="2">
        <v>2</v>
      </c>
      <c r="G11411" s="2" t="s">
        <v>11</v>
      </c>
    </row>
    <row r="11412" spans="1:9" x14ac:dyDescent="0.2">
      <c r="A11412" s="2" t="s">
        <v>3923</v>
      </c>
      <c r="B11412" s="2" t="s">
        <v>1152</v>
      </c>
      <c r="C11412" s="2">
        <v>835.31209999999999</v>
      </c>
      <c r="D11412" s="2">
        <f>HYPERLINK("http://mcb-m6.bioreg.kyushu-u.ac.jp/M3/20110414/F50945/2508/1", 49.1)</f>
        <v>49.1</v>
      </c>
      <c r="E11412" s="2">
        <v>30.52</v>
      </c>
      <c r="F11412" s="2">
        <v>2</v>
      </c>
      <c r="G11412" s="2" t="s">
        <v>11</v>
      </c>
    </row>
    <row r="11413" spans="1:9" x14ac:dyDescent="0.2">
      <c r="A11413" s="2" t="s">
        <v>3923</v>
      </c>
      <c r="B11413" s="2" t="s">
        <v>1152</v>
      </c>
      <c r="C11413" s="2">
        <v>835.41219999999998</v>
      </c>
      <c r="D11413" s="2">
        <f>HYPERLINK("http://mcb-m6.bioreg.kyushu-u.ac.jp/M3/20110414/F50945/2509/1", 70.58)</f>
        <v>70.58</v>
      </c>
      <c r="E11413" s="2">
        <v>52.41</v>
      </c>
      <c r="F11413" s="2">
        <v>2</v>
      </c>
      <c r="G11413" s="2" t="s">
        <v>11</v>
      </c>
    </row>
    <row r="11414" spans="1:9" x14ac:dyDescent="0.2">
      <c r="A11414" s="2" t="s">
        <v>3923</v>
      </c>
      <c r="B11414" s="2" t="s">
        <v>2662</v>
      </c>
      <c r="C11414" s="2">
        <v>691.78719999999998</v>
      </c>
      <c r="D11414" s="2">
        <f>HYPERLINK("http://mcb-m6.bioreg.kyushu-u.ac.jp/M3/20110414/F50946/1667/1", 49.55)</f>
        <v>49.55</v>
      </c>
      <c r="E11414" s="2">
        <v>27.76</v>
      </c>
      <c r="F11414" s="2">
        <v>2</v>
      </c>
      <c r="G11414" s="2" t="s">
        <v>12</v>
      </c>
    </row>
    <row r="11415" spans="1:9" x14ac:dyDescent="0.2">
      <c r="A11415" s="2" t="s">
        <v>3923</v>
      </c>
      <c r="B11415" s="2" t="s">
        <v>1152</v>
      </c>
      <c r="C11415" s="2">
        <v>834.8107</v>
      </c>
      <c r="D11415" s="2">
        <f>HYPERLINK("http://mcb-m6.bioreg.kyushu-u.ac.jp/M3/20110414/F50946/2488/1", 58.67)</f>
        <v>58.67</v>
      </c>
      <c r="E11415" s="2">
        <v>42.26</v>
      </c>
      <c r="F11415" s="2">
        <v>2</v>
      </c>
      <c r="G11415" s="2" t="s">
        <v>12</v>
      </c>
    </row>
    <row r="11416" spans="1:9" x14ac:dyDescent="0.2">
      <c r="A11416" s="2" t="s">
        <v>3923</v>
      </c>
      <c r="B11416" s="2" t="s">
        <v>1152</v>
      </c>
      <c r="C11416" s="2">
        <v>835.38819999999998</v>
      </c>
      <c r="D11416" s="2">
        <f>HYPERLINK("http://mcb-m6.bioreg.kyushu-u.ac.jp/M3/20110414/F50946/2490/1", 74.02)</f>
        <v>74.02</v>
      </c>
      <c r="E11416" s="2">
        <v>56.82</v>
      </c>
      <c r="F11416" s="2">
        <v>2</v>
      </c>
      <c r="G11416" s="2" t="s">
        <v>12</v>
      </c>
    </row>
    <row r="11417" spans="1:9" x14ac:dyDescent="0.2">
      <c r="A11417" s="2" t="s">
        <v>4068</v>
      </c>
      <c r="B11417" s="2" t="s">
        <v>1448</v>
      </c>
      <c r="C11417" s="2">
        <v>700.87159999999994</v>
      </c>
      <c r="D11417" s="2">
        <f>HYPERLINK("http://mcb-m6.bioreg.kyushu-u.ac.jp/M3/20110411/F50892/2017/1", 81.19)</f>
        <v>81.19</v>
      </c>
      <c r="E11417" s="2">
        <v>47.86</v>
      </c>
      <c r="F11417" s="2">
        <v>2</v>
      </c>
      <c r="G11417" s="2" t="s">
        <v>9</v>
      </c>
    </row>
    <row r="11418" spans="1:9" x14ac:dyDescent="0.2">
      <c r="A11418" s="2" t="s">
        <v>4068</v>
      </c>
      <c r="B11418" s="2" t="s">
        <v>1448</v>
      </c>
      <c r="C11418" s="2">
        <v>701.38710000000003</v>
      </c>
      <c r="D11418" s="2">
        <f>HYPERLINK("http://mcb-m6.bioreg.kyushu-u.ac.jp/M3/20110411/F50892/2020/1", 84.06)</f>
        <v>84.06</v>
      </c>
      <c r="E11418" s="2">
        <v>49.17</v>
      </c>
      <c r="F11418" s="2">
        <v>2</v>
      </c>
      <c r="G11418" s="2" t="s">
        <v>9</v>
      </c>
    </row>
    <row r="11419" spans="1:9" x14ac:dyDescent="0.2">
      <c r="A11419" s="2" t="s">
        <v>4068</v>
      </c>
      <c r="B11419" s="2" t="s">
        <v>1448</v>
      </c>
      <c r="C11419" s="2">
        <v>700.92610000000002</v>
      </c>
      <c r="D11419" s="2">
        <f>HYPERLINK("http://mcb-m6.bioreg.kyushu-u.ac.jp/M3/20110411/F50899/2079/1", 60.63)</f>
        <v>60.63</v>
      </c>
      <c r="E11419" s="2">
        <v>30.75</v>
      </c>
      <c r="F11419" s="2">
        <v>2</v>
      </c>
      <c r="G11419" s="2" t="s">
        <v>10</v>
      </c>
    </row>
    <row r="11420" spans="1:9" x14ac:dyDescent="0.2">
      <c r="A11420" s="2" t="s">
        <v>4068</v>
      </c>
      <c r="B11420" s="2" t="s">
        <v>2464</v>
      </c>
      <c r="C11420" s="2">
        <v>1041.492</v>
      </c>
      <c r="D11420" s="2">
        <f>HYPERLINK("http://mcb-m6.bioreg.kyushu-u.ac.jp/M3/20110414/F50945/3235/1", 72.77)</f>
        <v>72.77</v>
      </c>
      <c r="E11420" s="2">
        <v>17.8</v>
      </c>
      <c r="F11420" s="2">
        <v>2</v>
      </c>
      <c r="G11420" s="2" t="s">
        <v>11</v>
      </c>
    </row>
    <row r="11421" spans="1:9" x14ac:dyDescent="0.2">
      <c r="A11421" s="2" t="s">
        <v>4068</v>
      </c>
      <c r="B11421" s="2" t="s">
        <v>1448</v>
      </c>
      <c r="C11421" s="2">
        <v>700.88419999999996</v>
      </c>
      <c r="D11421" s="2">
        <f>HYPERLINK("http://mcb-m6.bioreg.kyushu-u.ac.jp/M3/20110414/F50946/1724/1", 77.28)</f>
        <v>77.28</v>
      </c>
      <c r="E11421" s="2">
        <v>54.22</v>
      </c>
      <c r="F11421" s="2">
        <v>2</v>
      </c>
      <c r="G11421" s="2" t="s">
        <v>12</v>
      </c>
    </row>
    <row r="11422" spans="1:9" x14ac:dyDescent="0.2">
      <c r="A11422" s="2" t="s">
        <v>4068</v>
      </c>
      <c r="B11422" s="2" t="s">
        <v>2464</v>
      </c>
      <c r="C11422" s="2">
        <v>1041.1579999999999</v>
      </c>
      <c r="D11422" s="2">
        <f>HYPERLINK("http://mcb-m6.bioreg.kyushu-u.ac.jp/M3/20110502/F51180/3048/2", 73.62)</f>
        <v>73.62</v>
      </c>
      <c r="E11422" s="2">
        <v>52.62</v>
      </c>
      <c r="F11422" s="2">
        <v>2</v>
      </c>
      <c r="G11422" s="2" t="s">
        <v>13</v>
      </c>
    </row>
    <row r="11423" spans="1:9" x14ac:dyDescent="0.2">
      <c r="A11423" s="2" t="s">
        <v>4005</v>
      </c>
      <c r="B11423" s="2" t="s">
        <v>1297</v>
      </c>
      <c r="C11423" s="2">
        <v>785.3972</v>
      </c>
      <c r="D11423" s="2">
        <f>HYPERLINK("http://mcb-m6.bioreg.kyushu-u.ac.jp/M3/20110411/F50892/2424/1", 71.32)</f>
        <v>71.319999999999993</v>
      </c>
      <c r="E11423" s="2">
        <v>50.9</v>
      </c>
      <c r="F11423" s="2">
        <v>2</v>
      </c>
      <c r="G11423" s="2" t="s">
        <v>9</v>
      </c>
      <c r="I11423" s="2" t="s">
        <v>4926</v>
      </c>
    </row>
    <row r="11424" spans="1:9" x14ac:dyDescent="0.2">
      <c r="A11424" s="2" t="s">
        <v>4005</v>
      </c>
      <c r="B11424" s="2" t="s">
        <v>1297</v>
      </c>
      <c r="C11424" s="2">
        <v>785.77369999999996</v>
      </c>
      <c r="D11424" s="2">
        <f>HYPERLINK("http://mcb-m6.bioreg.kyushu-u.ac.jp/M3/20110411/F50899/2422/1", 90.52)</f>
        <v>90.52</v>
      </c>
      <c r="E11424" s="2">
        <v>74.959999999999994</v>
      </c>
      <c r="F11424" s="2">
        <v>2</v>
      </c>
      <c r="G11424" s="2" t="s">
        <v>10</v>
      </c>
      <c r="I11424" s="2" t="s">
        <v>4926</v>
      </c>
    </row>
    <row r="11425" spans="1:9" x14ac:dyDescent="0.2">
      <c r="A11425" s="2" t="s">
        <v>4005</v>
      </c>
      <c r="B11425" s="2" t="s">
        <v>1297</v>
      </c>
      <c r="C11425" s="2">
        <v>785.45370000000003</v>
      </c>
      <c r="D11425" s="2">
        <f>HYPERLINK("http://mcb-m6.bioreg.kyushu-u.ac.jp/M3/20110414/F50945/2342/1", 94.37)</f>
        <v>94.37</v>
      </c>
      <c r="E11425" s="2">
        <v>80.349999999999994</v>
      </c>
      <c r="F11425" s="2">
        <v>2</v>
      </c>
      <c r="G11425" s="2" t="s">
        <v>11</v>
      </c>
      <c r="I11425" s="2" t="s">
        <v>4926</v>
      </c>
    </row>
    <row r="11426" spans="1:9" x14ac:dyDescent="0.2">
      <c r="A11426" s="2" t="s">
        <v>4005</v>
      </c>
      <c r="B11426" s="2" t="s">
        <v>1297</v>
      </c>
      <c r="C11426" s="2">
        <v>785.74959999999999</v>
      </c>
      <c r="D11426" s="2">
        <f>HYPERLINK("http://mcb-m6.bioreg.kyushu-u.ac.jp/M3/20110414/F50946/2298/1", 87.02)</f>
        <v>87.02</v>
      </c>
      <c r="E11426" s="2">
        <v>73.260000000000005</v>
      </c>
      <c r="F11426" s="2">
        <v>2</v>
      </c>
      <c r="G11426" s="2" t="s">
        <v>12</v>
      </c>
      <c r="I11426" s="2" t="s">
        <v>4926</v>
      </c>
    </row>
    <row r="11427" spans="1:9" x14ac:dyDescent="0.2">
      <c r="A11427" s="2" t="s">
        <v>4005</v>
      </c>
      <c r="B11427" s="2" t="s">
        <v>1297</v>
      </c>
      <c r="C11427" s="2">
        <v>785.74959999999999</v>
      </c>
      <c r="D11427" s="2">
        <f>HYPERLINK("http://mcb-m6.bioreg.kyushu-u.ac.jp/M3/20110502/F51182/2228/1", 69.85)</f>
        <v>69.849999999999994</v>
      </c>
      <c r="E11427" s="2">
        <v>39.090000000000003</v>
      </c>
      <c r="F11427" s="2">
        <v>2</v>
      </c>
      <c r="G11427" s="2" t="s">
        <v>14</v>
      </c>
      <c r="I11427" s="2" t="s">
        <v>4926</v>
      </c>
    </row>
    <row r="11428" spans="1:9" x14ac:dyDescent="0.2">
      <c r="A11428" s="2" t="s">
        <v>4113</v>
      </c>
      <c r="B11428" s="2" t="s">
        <v>1604</v>
      </c>
      <c r="C11428" s="2">
        <v>1245.5640000000001</v>
      </c>
      <c r="D11428" s="2">
        <f>HYPERLINK("http://mcb-m6.bioreg.kyushu-u.ac.jp/M3/20110411/F50892/3650/1", 98.3)</f>
        <v>98.3</v>
      </c>
      <c r="E11428" s="2">
        <v>93.98</v>
      </c>
      <c r="F11428" s="2">
        <v>2</v>
      </c>
      <c r="G11428" s="2" t="s">
        <v>9</v>
      </c>
    </row>
    <row r="11429" spans="1:9" x14ac:dyDescent="0.2">
      <c r="A11429" s="2" t="s">
        <v>4113</v>
      </c>
      <c r="B11429" s="2" t="s">
        <v>2780</v>
      </c>
      <c r="C11429" s="2">
        <v>873.52419999999995</v>
      </c>
      <c r="D11429" s="2">
        <f>HYPERLINK("http://mcb-m6.bioreg.kyushu-u.ac.jp/M3/20110414/F50946/2675/1", 92.31)</f>
        <v>92.31</v>
      </c>
      <c r="E11429" s="2">
        <v>76.900000000000006</v>
      </c>
      <c r="F11429" s="2">
        <v>2</v>
      </c>
      <c r="G11429" s="2" t="s">
        <v>12</v>
      </c>
      <c r="H11429" s="2" t="s">
        <v>4891</v>
      </c>
    </row>
    <row r="11430" spans="1:9" x14ac:dyDescent="0.2">
      <c r="A11430" s="2" t="s">
        <v>4880</v>
      </c>
      <c r="B11430" s="2" t="s">
        <v>3206</v>
      </c>
      <c r="C11430" s="2">
        <v>922.00919999999996</v>
      </c>
      <c r="D11430" s="2">
        <f>HYPERLINK("http://mcb-m6.bioreg.kyushu-u.ac.jp/M3/20110502/F51192/2707/1", 73.68)</f>
        <v>73.680000000000007</v>
      </c>
      <c r="E11430" s="2">
        <v>57.42</v>
      </c>
      <c r="F11430" s="2">
        <v>2</v>
      </c>
      <c r="G11430" s="2" t="s">
        <v>14</v>
      </c>
    </row>
    <row r="11431" spans="1:9" x14ac:dyDescent="0.2">
      <c r="A11431" s="2" t="s">
        <v>4844</v>
      </c>
      <c r="B11431" s="2" t="s">
        <v>3115</v>
      </c>
      <c r="C11431" s="2">
        <v>530.44820000000004</v>
      </c>
      <c r="D11431" s="2">
        <f>HYPERLINK("http://mcb-m6.bioreg.kyushu-u.ac.jp/M3/20110502/F51192/817/1", 46.79)</f>
        <v>46.79</v>
      </c>
      <c r="E11431" s="2">
        <v>21.53</v>
      </c>
      <c r="F11431" s="2">
        <v>2</v>
      </c>
      <c r="G11431" s="2" t="s">
        <v>14</v>
      </c>
    </row>
    <row r="11432" spans="1:9" x14ac:dyDescent="0.2">
      <c r="A11432" s="2" t="s">
        <v>4817</v>
      </c>
      <c r="B11432" s="2" t="s">
        <v>3069</v>
      </c>
      <c r="C11432" s="2">
        <v>830.43370000000004</v>
      </c>
      <c r="D11432" s="2">
        <f>HYPERLINK("http://mcb-m6.bioreg.kyushu-u.ac.jp/M3/20110502/F51179/2298/1", 41.61)</f>
        <v>41.61</v>
      </c>
      <c r="E11432" s="2">
        <v>29.12</v>
      </c>
      <c r="F11432" s="2">
        <v>2</v>
      </c>
      <c r="G11432" s="2" t="s">
        <v>14</v>
      </c>
    </row>
    <row r="11433" spans="1:9" x14ac:dyDescent="0.2">
      <c r="A11433" s="2" t="s">
        <v>4480</v>
      </c>
      <c r="B11433" s="2" t="s">
        <v>2430</v>
      </c>
      <c r="C11433" s="2">
        <v>796.22770000000003</v>
      </c>
      <c r="D11433" s="2">
        <f>HYPERLINK("http://mcb-m6.bioreg.kyushu-u.ac.jp/M3/20110414/F50927/2539/1", 61.71)</f>
        <v>61.71</v>
      </c>
      <c r="E11433" s="2">
        <v>36.49</v>
      </c>
      <c r="F11433" s="2">
        <v>2</v>
      </c>
      <c r="G11433" s="2" t="s">
        <v>11</v>
      </c>
    </row>
    <row r="11434" spans="1:9" x14ac:dyDescent="0.2">
      <c r="A11434" s="2" t="s">
        <v>4550</v>
      </c>
      <c r="B11434" s="2" t="s">
        <v>2581</v>
      </c>
      <c r="C11434" s="2">
        <v>708.87120000000004</v>
      </c>
      <c r="D11434" s="2">
        <f>HYPERLINK("http://mcb-m6.bioreg.kyushu-u.ac.jp/M3/20110414/F50958/1761/1", 39.4)</f>
        <v>39.4</v>
      </c>
      <c r="E11434" s="2">
        <v>25.38</v>
      </c>
      <c r="F11434" s="2">
        <v>2</v>
      </c>
      <c r="G11434" s="2" t="s">
        <v>12</v>
      </c>
    </row>
    <row r="11435" spans="1:9" x14ac:dyDescent="0.2">
      <c r="A11435" s="2" t="s">
        <v>3699</v>
      </c>
      <c r="B11435" s="2" t="s">
        <v>677</v>
      </c>
      <c r="C11435" s="2">
        <v>873.47</v>
      </c>
      <c r="D11435" s="2">
        <f>HYPERLINK("http://mcb-m6.bioreg.kyushu-u.ac.jp/M3/20110411/F50892/1104/1", 47.94)</f>
        <v>47.94</v>
      </c>
      <c r="E11435" s="2">
        <v>1.62</v>
      </c>
      <c r="F11435" s="2">
        <v>1</v>
      </c>
      <c r="G11435" s="2" t="s">
        <v>9</v>
      </c>
    </row>
    <row r="11436" spans="1:9" x14ac:dyDescent="0.2">
      <c r="A11436" s="2" t="s">
        <v>3699</v>
      </c>
      <c r="B11436" s="2" t="s">
        <v>677</v>
      </c>
      <c r="C11436" s="2">
        <v>873.52499999999998</v>
      </c>
      <c r="D11436" s="2">
        <f>HYPERLINK("http://mcb-m6.bioreg.kyushu-u.ac.jp/M3/20110411/F50899/1352/1", 47.98)</f>
        <v>47.98</v>
      </c>
      <c r="E11436" s="2">
        <v>1.62</v>
      </c>
      <c r="F11436" s="2">
        <v>1</v>
      </c>
      <c r="G11436" s="2" t="s">
        <v>10</v>
      </c>
    </row>
    <row r="11437" spans="1:9" x14ac:dyDescent="0.2">
      <c r="A11437" s="2" t="s">
        <v>3715</v>
      </c>
      <c r="B11437" s="2" t="s">
        <v>702</v>
      </c>
      <c r="C11437" s="2">
        <v>746.90009999999995</v>
      </c>
      <c r="D11437" s="2">
        <f>HYPERLINK("http://mcb-m6.bioreg.kyushu-u.ac.jp/M3/20110411/F50893/2210/1", 48.76)</f>
        <v>48.76</v>
      </c>
      <c r="E11437" s="2">
        <v>30.63</v>
      </c>
      <c r="F11437" s="2">
        <v>2</v>
      </c>
      <c r="G11437" s="2" t="s">
        <v>9</v>
      </c>
    </row>
    <row r="11438" spans="1:9" x14ac:dyDescent="0.2">
      <c r="A11438" s="2" t="s">
        <v>3715</v>
      </c>
      <c r="B11438" s="2" t="s">
        <v>2438</v>
      </c>
      <c r="C11438" s="2">
        <v>714.96969999999999</v>
      </c>
      <c r="D11438" s="2">
        <f>HYPERLINK("http://mcb-m6.bioreg.kyushu-u.ac.jp/M3/20110414/F50943/1714/1", 63.85)</f>
        <v>63.85</v>
      </c>
      <c r="E11438" s="2">
        <v>32.799999999999997</v>
      </c>
      <c r="F11438" s="2">
        <v>2</v>
      </c>
      <c r="G11438" s="2" t="s">
        <v>11</v>
      </c>
    </row>
    <row r="11439" spans="1:9" x14ac:dyDescent="0.2">
      <c r="A11439" s="2" t="s">
        <v>3715</v>
      </c>
      <c r="B11439" s="2" t="s">
        <v>2438</v>
      </c>
      <c r="C11439" s="2">
        <v>715.43960000000004</v>
      </c>
      <c r="D11439" s="2">
        <f>HYPERLINK("http://mcb-m6.bioreg.kyushu-u.ac.jp/M3/20110414/F50949/2079/1", 50.24)</f>
        <v>50.24</v>
      </c>
      <c r="E11439" s="2">
        <v>2.19</v>
      </c>
      <c r="F11439" s="2">
        <v>2</v>
      </c>
      <c r="G11439" s="2" t="s">
        <v>12</v>
      </c>
    </row>
    <row r="11440" spans="1:9" x14ac:dyDescent="0.2">
      <c r="A11440" s="2" t="s">
        <v>3715</v>
      </c>
      <c r="B11440" s="2" t="s">
        <v>2822</v>
      </c>
      <c r="C11440" s="2">
        <v>771.15309999999999</v>
      </c>
      <c r="D11440" s="2">
        <f>HYPERLINK("http://mcb-m6.bioreg.kyushu-u.ac.jp/M3/20110502/F51174/2086/1", 37.29)</f>
        <v>37.29</v>
      </c>
      <c r="E11440" s="2">
        <v>17.23</v>
      </c>
      <c r="F11440" s="2">
        <v>2</v>
      </c>
      <c r="G11440" s="2" t="s">
        <v>13</v>
      </c>
    </row>
    <row r="11441" spans="1:9" x14ac:dyDescent="0.2">
      <c r="A11441" s="2" t="s">
        <v>3715</v>
      </c>
      <c r="B11441" s="2" t="s">
        <v>3087</v>
      </c>
      <c r="C11441" s="2">
        <v>543.04110000000003</v>
      </c>
      <c r="D11441" s="2">
        <f>HYPERLINK("http://mcb-m6.bioreg.kyushu-u.ac.jp/M3/20110502/F51185/904/1", 43.38)</f>
        <v>43.38</v>
      </c>
      <c r="E11441" s="2">
        <v>19.32</v>
      </c>
      <c r="F11441" s="2">
        <v>2</v>
      </c>
      <c r="G11441" s="2" t="s">
        <v>14</v>
      </c>
    </row>
    <row r="11442" spans="1:9" x14ac:dyDescent="0.2">
      <c r="A11442" s="2" t="s">
        <v>3715</v>
      </c>
      <c r="B11442" s="2" t="s">
        <v>2822</v>
      </c>
      <c r="C11442" s="2">
        <v>771.51969999999994</v>
      </c>
      <c r="D11442" s="2">
        <f>HYPERLINK("http://mcb-m6.bioreg.kyushu-u.ac.jp/M3/20110502/F51185/2042/1", 56.42)</f>
        <v>56.42</v>
      </c>
      <c r="E11442" s="2">
        <v>34.46</v>
      </c>
      <c r="F11442" s="2">
        <v>2</v>
      </c>
      <c r="G11442" s="2" t="s">
        <v>14</v>
      </c>
    </row>
    <row r="11443" spans="1:9" x14ac:dyDescent="0.2">
      <c r="A11443" s="2" t="s">
        <v>3561</v>
      </c>
      <c r="B11443" s="2" t="s">
        <v>424</v>
      </c>
      <c r="C11443" s="2">
        <v>963.61969999999997</v>
      </c>
      <c r="D11443" s="2">
        <f>HYPERLINK("http://mcb-m6.bioreg.kyushu-u.ac.jp/M3/20110411/F50911/3210/1", 41.61)</f>
        <v>41.61</v>
      </c>
      <c r="E11443" s="2">
        <v>32.97</v>
      </c>
      <c r="F11443" s="2">
        <v>2</v>
      </c>
      <c r="G11443" s="2" t="s">
        <v>9</v>
      </c>
    </row>
    <row r="11444" spans="1:9" x14ac:dyDescent="0.2">
      <c r="A11444" s="2" t="s">
        <v>3561</v>
      </c>
      <c r="B11444" s="2" t="s">
        <v>424</v>
      </c>
      <c r="C11444" s="2">
        <v>962.91669999999999</v>
      </c>
      <c r="D11444" s="2">
        <f>HYPERLINK("http://mcb-m6.bioreg.kyushu-u.ac.jp/M3/20110411/F50914/3083/1", 37.45)</f>
        <v>37.450000000000003</v>
      </c>
      <c r="E11444" s="2">
        <v>21.94</v>
      </c>
      <c r="F11444" s="2">
        <v>2</v>
      </c>
      <c r="G11444" s="2" t="s">
        <v>10</v>
      </c>
    </row>
    <row r="11445" spans="1:9" x14ac:dyDescent="0.2">
      <c r="A11445" s="2" t="s">
        <v>3561</v>
      </c>
      <c r="B11445" s="2" t="s">
        <v>2029</v>
      </c>
      <c r="C11445" s="2">
        <v>699.41920000000005</v>
      </c>
      <c r="D11445" s="2">
        <f>HYPERLINK("http://mcb-m6.bioreg.kyushu-u.ac.jp/M3/20110411/F50914/1886/1", 64.52)</f>
        <v>64.52</v>
      </c>
      <c r="E11445" s="2">
        <v>47.76</v>
      </c>
      <c r="F11445" s="2">
        <v>2</v>
      </c>
      <c r="G11445" s="2" t="s">
        <v>10</v>
      </c>
    </row>
    <row r="11446" spans="1:9" x14ac:dyDescent="0.2">
      <c r="A11446" s="2" t="s">
        <v>3561</v>
      </c>
      <c r="B11446" s="2" t="s">
        <v>2029</v>
      </c>
      <c r="C11446" s="2">
        <v>699.37019999999995</v>
      </c>
      <c r="D11446" s="2">
        <f>HYPERLINK("http://mcb-m6.bioreg.kyushu-u.ac.jp/M3/20110414/F50942/1654/1", 54.79)</f>
        <v>54.79</v>
      </c>
      <c r="E11446" s="2">
        <v>33.590000000000003</v>
      </c>
      <c r="F11446" s="2">
        <v>2</v>
      </c>
      <c r="G11446" s="2" t="s">
        <v>11</v>
      </c>
    </row>
    <row r="11447" spans="1:9" x14ac:dyDescent="0.2">
      <c r="A11447" s="2" t="s">
        <v>3561</v>
      </c>
      <c r="B11447" s="2" t="s">
        <v>424</v>
      </c>
      <c r="C11447" s="2">
        <v>963.3057</v>
      </c>
      <c r="D11447" s="2">
        <f>HYPERLINK("http://mcb-m6.bioreg.kyushu-u.ac.jp/M3/20110502/F51183/2998/1", 49.3)</f>
        <v>49.3</v>
      </c>
      <c r="E11447" s="2">
        <v>29.38</v>
      </c>
      <c r="F11447" s="2">
        <v>2</v>
      </c>
      <c r="G11447" s="2" t="s">
        <v>14</v>
      </c>
    </row>
    <row r="11448" spans="1:9" x14ac:dyDescent="0.2">
      <c r="A11448" s="2" t="s">
        <v>3261</v>
      </c>
      <c r="B11448" s="2" t="s">
        <v>41</v>
      </c>
      <c r="C11448" s="2">
        <v>1001.578</v>
      </c>
      <c r="D11448" s="2">
        <f>HYPERLINK("http://mcb-m6.bioreg.kyushu-u.ac.jp/M3/20110411/F50891/982/1", 35.32)</f>
        <v>35.32</v>
      </c>
      <c r="E11448" s="2">
        <v>19.329999999999998</v>
      </c>
      <c r="F11448" s="2">
        <v>1</v>
      </c>
      <c r="G11448" s="2" t="s">
        <v>9</v>
      </c>
    </row>
    <row r="11449" spans="1:9" x14ac:dyDescent="0.2">
      <c r="A11449" s="2" t="s">
        <v>3261</v>
      </c>
      <c r="B11449" s="2" t="s">
        <v>308</v>
      </c>
      <c r="C11449" s="2">
        <v>992.47299999999996</v>
      </c>
      <c r="D11449" s="2">
        <f>HYPERLINK("http://mcb-m6.bioreg.kyushu-u.ac.jp/M3/20110411/F50891/962/1", 39.44)</f>
        <v>39.44</v>
      </c>
      <c r="E11449" s="2">
        <v>17.77</v>
      </c>
      <c r="F11449" s="2">
        <v>1</v>
      </c>
      <c r="G11449" s="2" t="s">
        <v>9</v>
      </c>
    </row>
    <row r="11450" spans="1:9" x14ac:dyDescent="0.2">
      <c r="A11450" s="2" t="s">
        <v>3261</v>
      </c>
      <c r="B11450" s="2" t="s">
        <v>386</v>
      </c>
      <c r="C11450" s="2">
        <v>1176.22</v>
      </c>
      <c r="D11450" s="2">
        <f>HYPERLINK("http://mcb-m6.bioreg.kyushu-u.ac.jp/M3/20110411/F50891/1318/1", 40.93)</f>
        <v>40.93</v>
      </c>
      <c r="E11450" s="2">
        <v>31.61</v>
      </c>
      <c r="F11450" s="2">
        <v>1</v>
      </c>
      <c r="G11450" s="2" t="s">
        <v>9</v>
      </c>
      <c r="I11450" s="2" t="s">
        <v>4903</v>
      </c>
    </row>
    <row r="11451" spans="1:9" x14ac:dyDescent="0.2">
      <c r="A11451" s="2" t="s">
        <v>3261</v>
      </c>
      <c r="B11451" s="2" t="s">
        <v>386</v>
      </c>
      <c r="C11451" s="2">
        <v>1175.3989999999999</v>
      </c>
      <c r="D11451" s="2">
        <f>HYPERLINK("http://mcb-m6.bioreg.kyushu-u.ac.jp/M3/20110411/F50891/1316/1", 40.96)</f>
        <v>40.96</v>
      </c>
      <c r="E11451" s="2">
        <v>27.64</v>
      </c>
      <c r="F11451" s="2">
        <v>1</v>
      </c>
      <c r="G11451" s="2" t="s">
        <v>9</v>
      </c>
      <c r="I11451" s="2" t="s">
        <v>4903</v>
      </c>
    </row>
    <row r="11452" spans="1:9" x14ac:dyDescent="0.2">
      <c r="A11452" s="2" t="s">
        <v>3261</v>
      </c>
      <c r="B11452" s="2" t="s">
        <v>419</v>
      </c>
      <c r="C11452" s="2">
        <v>892.10149999999999</v>
      </c>
      <c r="D11452" s="2">
        <f>HYPERLINK("http://mcb-m6.bioreg.kyushu-u.ac.jp/M3/20110411/F50891/4354/1", 41.54)</f>
        <v>41.54</v>
      </c>
      <c r="E11452" s="2">
        <v>23.05</v>
      </c>
      <c r="F11452" s="2">
        <v>3</v>
      </c>
      <c r="G11452" s="2" t="s">
        <v>9</v>
      </c>
    </row>
    <row r="11453" spans="1:9" x14ac:dyDescent="0.2">
      <c r="A11453" s="2" t="s">
        <v>3261</v>
      </c>
      <c r="B11453" s="2" t="s">
        <v>308</v>
      </c>
      <c r="C11453" s="2">
        <v>975.375</v>
      </c>
      <c r="D11453" s="2">
        <f>HYPERLINK("http://mcb-m6.bioreg.kyushu-u.ac.jp/M3/20110411/F50891/925/1", 43.36)</f>
        <v>43.36</v>
      </c>
      <c r="E11453" s="2">
        <v>9.6</v>
      </c>
      <c r="F11453" s="2">
        <v>1</v>
      </c>
      <c r="G11453" s="2" t="s">
        <v>9</v>
      </c>
      <c r="H11453" s="2" t="s">
        <v>4904</v>
      </c>
    </row>
    <row r="11454" spans="1:9" x14ac:dyDescent="0.2">
      <c r="A11454" s="2" t="s">
        <v>3261</v>
      </c>
      <c r="B11454" s="2" t="s">
        <v>713</v>
      </c>
      <c r="C11454" s="2">
        <v>494.27510000000001</v>
      </c>
      <c r="D11454" s="2">
        <f>HYPERLINK("http://mcb-m6.bioreg.kyushu-u.ac.jp/M3/20110411/F50891/950/1", 48.97)</f>
        <v>48.97</v>
      </c>
      <c r="E11454" s="2">
        <v>28.67</v>
      </c>
      <c r="F11454" s="2">
        <v>2</v>
      </c>
      <c r="G11454" s="2" t="s">
        <v>9</v>
      </c>
    </row>
    <row r="11455" spans="1:9" x14ac:dyDescent="0.2">
      <c r="A11455" s="2" t="s">
        <v>3261</v>
      </c>
      <c r="B11455" s="2" t="s">
        <v>733</v>
      </c>
      <c r="C11455" s="2">
        <v>617.9067</v>
      </c>
      <c r="D11455" s="2">
        <f>HYPERLINK("http://mcb-m6.bioreg.kyushu-u.ac.jp/M3/20110411/F50891/1474/1", 49.55)</f>
        <v>49.55</v>
      </c>
      <c r="E11455" s="2">
        <v>17.61</v>
      </c>
      <c r="F11455" s="2">
        <v>2</v>
      </c>
      <c r="G11455" s="2" t="s">
        <v>9</v>
      </c>
    </row>
    <row r="11456" spans="1:9" x14ac:dyDescent="0.2">
      <c r="A11456" s="2" t="s">
        <v>3261</v>
      </c>
      <c r="B11456" s="2" t="s">
        <v>747</v>
      </c>
      <c r="C11456" s="2">
        <v>553.79319999999996</v>
      </c>
      <c r="D11456" s="2">
        <f>HYPERLINK("http://mcb-m6.bioreg.kyushu-u.ac.jp/M3/20110411/F50891/1174/1", 50)</f>
        <v>50</v>
      </c>
      <c r="E11456" s="2">
        <v>19.38</v>
      </c>
      <c r="F11456" s="2">
        <v>2</v>
      </c>
      <c r="G11456" s="2" t="s">
        <v>9</v>
      </c>
    </row>
    <row r="11457" spans="1:9" x14ac:dyDescent="0.2">
      <c r="A11457" s="2" t="s">
        <v>3261</v>
      </c>
      <c r="B11457" s="2" t="s">
        <v>935</v>
      </c>
      <c r="C11457" s="2">
        <v>1268.373</v>
      </c>
      <c r="D11457" s="2">
        <f>HYPERLINK("http://mcb-m6.bioreg.kyushu-u.ac.jp/M3/20110411/F50891/1542/1", 56.08)</f>
        <v>56.08</v>
      </c>
      <c r="E11457" s="2">
        <v>40.369999999999997</v>
      </c>
      <c r="F11457" s="2">
        <v>1</v>
      </c>
      <c r="G11457" s="2" t="s">
        <v>9</v>
      </c>
    </row>
    <row r="11458" spans="1:9" x14ac:dyDescent="0.2">
      <c r="A11458" s="2" t="s">
        <v>3261</v>
      </c>
      <c r="B11458" s="2" t="s">
        <v>41</v>
      </c>
      <c r="C11458" s="2">
        <v>501.3476</v>
      </c>
      <c r="D11458" s="2">
        <f>HYPERLINK("http://mcb-m6.bioreg.kyushu-u.ac.jp/M3/20110411/F50891/983/1", 66.35)</f>
        <v>66.349999999999994</v>
      </c>
      <c r="E11458" s="2">
        <v>27.03</v>
      </c>
      <c r="F11458" s="2">
        <v>2</v>
      </c>
      <c r="G11458" s="2" t="s">
        <v>9</v>
      </c>
    </row>
    <row r="11459" spans="1:9" x14ac:dyDescent="0.2">
      <c r="A11459" s="2" t="s">
        <v>3261</v>
      </c>
      <c r="B11459" s="2" t="s">
        <v>1241</v>
      </c>
      <c r="C11459" s="2">
        <v>578.75819999999999</v>
      </c>
      <c r="D11459" s="2">
        <f>HYPERLINK("http://mcb-m6.bioreg.kyushu-u.ac.jp/M3/20110411/F50891/1272/1", 68.63)</f>
        <v>68.63</v>
      </c>
      <c r="E11459" s="2">
        <v>27.97</v>
      </c>
      <c r="F11459" s="2">
        <v>2</v>
      </c>
      <c r="G11459" s="2" t="s">
        <v>9</v>
      </c>
    </row>
    <row r="11460" spans="1:9" x14ac:dyDescent="0.2">
      <c r="A11460" s="2" t="s">
        <v>3261</v>
      </c>
      <c r="B11460" s="2" t="s">
        <v>1350</v>
      </c>
      <c r="C11460" s="2">
        <v>901.97360000000003</v>
      </c>
      <c r="D11460" s="2">
        <f>HYPERLINK("http://mcb-m6.bioreg.kyushu-u.ac.jp/M3/20110411/F50891/3009/1", 74.51)</f>
        <v>74.510000000000005</v>
      </c>
      <c r="E11460" s="2">
        <v>43.04</v>
      </c>
      <c r="F11460" s="2">
        <v>2</v>
      </c>
      <c r="G11460" s="2" t="s">
        <v>9</v>
      </c>
    </row>
    <row r="11461" spans="1:9" x14ac:dyDescent="0.2">
      <c r="A11461" s="2" t="s">
        <v>3261</v>
      </c>
      <c r="B11461" s="2" t="s">
        <v>1485</v>
      </c>
      <c r="C11461" s="2">
        <v>900.38419999999996</v>
      </c>
      <c r="D11461" s="2">
        <f>HYPERLINK("http://mcb-m6.bioreg.kyushu-u.ac.jp/M3/20110411/F50891/2993/1", 85.51)</f>
        <v>85.51</v>
      </c>
      <c r="E11461" s="2">
        <v>69.7</v>
      </c>
      <c r="F11461" s="2">
        <v>2</v>
      </c>
      <c r="G11461" s="2" t="s">
        <v>9</v>
      </c>
    </row>
    <row r="11462" spans="1:9" x14ac:dyDescent="0.2">
      <c r="A11462" s="2" t="s">
        <v>3261</v>
      </c>
      <c r="B11462" s="2" t="s">
        <v>1498</v>
      </c>
      <c r="C11462" s="2">
        <v>716.88919999999996</v>
      </c>
      <c r="D11462" s="2">
        <f>HYPERLINK("http://mcb-m6.bioreg.kyushu-u.ac.jp/M3/20110411/F50891/1963/1", 86.43)</f>
        <v>86.43</v>
      </c>
      <c r="E11462" s="2">
        <v>69.349999999999994</v>
      </c>
      <c r="F11462" s="2">
        <v>2</v>
      </c>
      <c r="G11462" s="2" t="s">
        <v>9</v>
      </c>
    </row>
    <row r="11463" spans="1:9" x14ac:dyDescent="0.2">
      <c r="A11463" s="2" t="s">
        <v>3261</v>
      </c>
      <c r="B11463" s="2" t="s">
        <v>1550</v>
      </c>
      <c r="C11463" s="2">
        <v>807.33370000000002</v>
      </c>
      <c r="D11463" s="2">
        <f>HYPERLINK("http://mcb-m6.bioreg.kyushu-u.ac.jp/M3/20110411/F50891/2495/1", 91.3)</f>
        <v>91.3</v>
      </c>
      <c r="E11463" s="2">
        <v>71.790000000000006</v>
      </c>
      <c r="F11463" s="2">
        <v>2</v>
      </c>
      <c r="G11463" s="2" t="s">
        <v>9</v>
      </c>
    </row>
    <row r="11464" spans="1:9" x14ac:dyDescent="0.2">
      <c r="A11464" s="2" t="s">
        <v>3261</v>
      </c>
      <c r="B11464" s="2" t="s">
        <v>1580</v>
      </c>
      <c r="C11464" s="2">
        <v>852.8356</v>
      </c>
      <c r="D11464" s="2">
        <f>HYPERLINK("http://mcb-m6.bioreg.kyushu-u.ac.jp/M3/20110411/F50891/2745/1", 94.89)</f>
        <v>94.89</v>
      </c>
      <c r="E11464" s="2">
        <v>71.87</v>
      </c>
      <c r="F11464" s="2">
        <v>2</v>
      </c>
      <c r="G11464" s="2" t="s">
        <v>9</v>
      </c>
    </row>
    <row r="11465" spans="1:9" x14ac:dyDescent="0.2">
      <c r="A11465" s="2" t="s">
        <v>3261</v>
      </c>
      <c r="B11465" s="2" t="s">
        <v>1580</v>
      </c>
      <c r="C11465" s="2">
        <v>852.39170000000001</v>
      </c>
      <c r="D11465" s="2">
        <f>HYPERLINK("http://mcb-m6.bioreg.kyushu-u.ac.jp/M3/20110411/F50891/2741/1", 95.66)</f>
        <v>95.66</v>
      </c>
      <c r="E11465" s="2">
        <v>80.540000000000006</v>
      </c>
      <c r="F11465" s="2">
        <v>2</v>
      </c>
      <c r="G11465" s="2" t="s">
        <v>9</v>
      </c>
    </row>
    <row r="11466" spans="1:9" x14ac:dyDescent="0.2">
      <c r="A11466" s="2" t="s">
        <v>3261</v>
      </c>
      <c r="B11466" s="2" t="s">
        <v>1642</v>
      </c>
      <c r="C11466" s="2">
        <v>1458.4829999999999</v>
      </c>
      <c r="D11466" s="2">
        <f>HYPERLINK("http://mcb-m6.bioreg.kyushu-u.ac.jp/M3/20110411/F50891/4521/1", 107.08)</f>
        <v>107.08</v>
      </c>
      <c r="E11466" s="2">
        <v>95.17</v>
      </c>
      <c r="F11466" s="2">
        <v>2</v>
      </c>
      <c r="G11466" s="2" t="s">
        <v>9</v>
      </c>
    </row>
    <row r="11467" spans="1:9" x14ac:dyDescent="0.2">
      <c r="A11467" s="2" t="s">
        <v>3261</v>
      </c>
      <c r="B11467" s="2" t="s">
        <v>935</v>
      </c>
      <c r="C11467" s="2">
        <v>634.62019999999995</v>
      </c>
      <c r="D11467" s="2">
        <f>HYPERLINK("http://mcb-m6.bioreg.kyushu-u.ac.jp/M3/20110411/F50898/1855/1", 35.4)</f>
        <v>35.4</v>
      </c>
      <c r="E11467" s="2">
        <v>22.41</v>
      </c>
      <c r="F11467" s="2">
        <v>2</v>
      </c>
      <c r="G11467" s="2" t="s">
        <v>10</v>
      </c>
    </row>
    <row r="11468" spans="1:9" x14ac:dyDescent="0.2">
      <c r="A11468" s="2" t="s">
        <v>3261</v>
      </c>
      <c r="B11468" s="2" t="s">
        <v>386</v>
      </c>
      <c r="C11468" s="2">
        <v>1175.2639999999999</v>
      </c>
      <c r="D11468" s="2">
        <f>HYPERLINK("http://mcb-m6.bioreg.kyushu-u.ac.jp/M3/20110411/F50898/1753/1", 37.31)</f>
        <v>37.31</v>
      </c>
      <c r="E11468" s="2">
        <v>24.16</v>
      </c>
      <c r="F11468" s="2">
        <v>1</v>
      </c>
      <c r="G11468" s="2" t="s">
        <v>10</v>
      </c>
      <c r="I11468" s="2" t="s">
        <v>4903</v>
      </c>
    </row>
    <row r="11469" spans="1:9" x14ac:dyDescent="0.2">
      <c r="A11469" s="2" t="s">
        <v>3261</v>
      </c>
      <c r="B11469" s="2" t="s">
        <v>41</v>
      </c>
      <c r="C11469" s="2">
        <v>501.2851</v>
      </c>
      <c r="D11469" s="2">
        <f>HYPERLINK("http://mcb-m6.bioreg.kyushu-u.ac.jp/M3/20110411/F50898/1556/1", 46.7)</f>
        <v>46.7</v>
      </c>
      <c r="E11469" s="2">
        <v>12.6</v>
      </c>
      <c r="F11469" s="2">
        <v>2</v>
      </c>
      <c r="G11469" s="2" t="s">
        <v>10</v>
      </c>
    </row>
    <row r="11470" spans="1:9" x14ac:dyDescent="0.2">
      <c r="A11470" s="2" t="s">
        <v>3261</v>
      </c>
      <c r="B11470" s="2" t="s">
        <v>308</v>
      </c>
      <c r="C11470" s="2">
        <v>975.36900000000003</v>
      </c>
      <c r="D11470" s="2">
        <f>HYPERLINK("http://mcb-m6.bioreg.kyushu-u.ac.jp/M3/20110411/F50898/1492/1", 47.51)</f>
        <v>47.51</v>
      </c>
      <c r="E11470" s="2">
        <v>22.61</v>
      </c>
      <c r="F11470" s="2">
        <v>1</v>
      </c>
      <c r="G11470" s="2" t="s">
        <v>10</v>
      </c>
      <c r="H11470" s="2" t="s">
        <v>4904</v>
      </c>
    </row>
    <row r="11471" spans="1:9" x14ac:dyDescent="0.2">
      <c r="A11471" s="2" t="s">
        <v>3261</v>
      </c>
      <c r="B11471" s="2" t="s">
        <v>1974</v>
      </c>
      <c r="C11471" s="2">
        <v>451.3931</v>
      </c>
      <c r="D11471" s="2">
        <f>HYPERLINK("http://mcb-m6.bioreg.kyushu-u.ac.jp/M3/20110411/F50898/1318/1", 55.57)</f>
        <v>55.57</v>
      </c>
      <c r="E11471" s="2">
        <v>4.68</v>
      </c>
      <c r="F11471" s="2">
        <v>2</v>
      </c>
      <c r="G11471" s="2" t="s">
        <v>10</v>
      </c>
    </row>
    <row r="11472" spans="1:9" x14ac:dyDescent="0.2">
      <c r="A11472" s="2" t="s">
        <v>3261</v>
      </c>
      <c r="B11472" s="2" t="s">
        <v>308</v>
      </c>
      <c r="C11472" s="2">
        <v>992.62400000000002</v>
      </c>
      <c r="D11472" s="2">
        <f>HYPERLINK("http://mcb-m6.bioreg.kyushu-u.ac.jp/M3/20110411/F50898/1533/1", 56.83)</f>
        <v>56.83</v>
      </c>
      <c r="E11472" s="2">
        <v>25.19</v>
      </c>
      <c r="F11472" s="2">
        <v>1</v>
      </c>
      <c r="G11472" s="2" t="s">
        <v>10</v>
      </c>
    </row>
    <row r="11473" spans="1:9" x14ac:dyDescent="0.2">
      <c r="A11473" s="2" t="s">
        <v>3261</v>
      </c>
      <c r="B11473" s="2" t="s">
        <v>713</v>
      </c>
      <c r="C11473" s="2">
        <v>494.17910000000001</v>
      </c>
      <c r="D11473" s="2">
        <f>HYPERLINK("http://mcb-m6.bioreg.kyushu-u.ac.jp/M3/20110411/F50899/1545/1", 66.15)</f>
        <v>66.150000000000006</v>
      </c>
      <c r="E11473" s="2">
        <v>35.64</v>
      </c>
      <c r="F11473" s="2">
        <v>2</v>
      </c>
      <c r="G11473" s="2" t="s">
        <v>10</v>
      </c>
    </row>
    <row r="11474" spans="1:9" x14ac:dyDescent="0.2">
      <c r="A11474" s="2" t="s">
        <v>3261</v>
      </c>
      <c r="B11474" s="2" t="s">
        <v>1241</v>
      </c>
      <c r="C11474" s="2">
        <v>578.37270000000001</v>
      </c>
      <c r="D11474" s="2">
        <f>HYPERLINK("http://mcb-m6.bioreg.kyushu-u.ac.jp/M3/20110411/F50898/1736/1", 68.84)</f>
        <v>68.84</v>
      </c>
      <c r="E11474" s="2">
        <v>25.11</v>
      </c>
      <c r="F11474" s="2">
        <v>2</v>
      </c>
      <c r="G11474" s="2" t="s">
        <v>10</v>
      </c>
    </row>
    <row r="11475" spans="1:9" x14ac:dyDescent="0.2">
      <c r="A11475" s="2" t="s">
        <v>3261</v>
      </c>
      <c r="B11475" s="2" t="s">
        <v>1498</v>
      </c>
      <c r="C11475" s="2">
        <v>716.95259999999996</v>
      </c>
      <c r="D11475" s="2">
        <f>HYPERLINK("http://mcb-m6.bioreg.kyushu-u.ac.jp/M3/20110411/F50898/2103/1", 80.16)</f>
        <v>80.16</v>
      </c>
      <c r="E11475" s="2">
        <v>67.31</v>
      </c>
      <c r="F11475" s="2">
        <v>2</v>
      </c>
      <c r="G11475" s="2" t="s">
        <v>10</v>
      </c>
    </row>
    <row r="11476" spans="1:9" x14ac:dyDescent="0.2">
      <c r="A11476" s="2" t="s">
        <v>3261</v>
      </c>
      <c r="B11476" s="2" t="s">
        <v>1580</v>
      </c>
      <c r="C11476" s="2">
        <v>852.40470000000005</v>
      </c>
      <c r="D11476" s="2">
        <f>HYPERLINK("http://mcb-m6.bioreg.kyushu-u.ac.jp/M3/20110411/F50898/2573/1", 103.49)</f>
        <v>103.49</v>
      </c>
      <c r="E11476" s="2">
        <v>88.95</v>
      </c>
      <c r="F11476" s="2">
        <v>2</v>
      </c>
      <c r="G11476" s="2" t="s">
        <v>10</v>
      </c>
    </row>
    <row r="11477" spans="1:9" x14ac:dyDescent="0.2">
      <c r="A11477" s="2" t="s">
        <v>3261</v>
      </c>
      <c r="B11477" s="2" t="s">
        <v>1550</v>
      </c>
      <c r="C11477" s="2">
        <v>807.08320000000003</v>
      </c>
      <c r="D11477" s="2">
        <f>HYPERLINK("http://mcb-m6.bioreg.kyushu-u.ac.jp/M3/20110414/F50928/2631/1", 36.54)</f>
        <v>36.54</v>
      </c>
      <c r="E11477" s="2">
        <v>16.79</v>
      </c>
      <c r="F11477" s="2">
        <v>2</v>
      </c>
      <c r="G11477" s="2" t="s">
        <v>11</v>
      </c>
    </row>
    <row r="11478" spans="1:9" x14ac:dyDescent="0.2">
      <c r="A11478" s="2" t="s">
        <v>3261</v>
      </c>
      <c r="B11478" s="2" t="s">
        <v>713</v>
      </c>
      <c r="C11478" s="2">
        <v>987.29200000000003</v>
      </c>
      <c r="D11478" s="2">
        <f>HYPERLINK("http://mcb-m6.bioreg.kyushu-u.ac.jp/M3/20110414/F50928/1172/1", 37.53)</f>
        <v>37.53</v>
      </c>
      <c r="E11478" s="2">
        <v>19.77</v>
      </c>
      <c r="F11478" s="2">
        <v>1</v>
      </c>
      <c r="G11478" s="2" t="s">
        <v>11</v>
      </c>
    </row>
    <row r="11479" spans="1:9" x14ac:dyDescent="0.2">
      <c r="A11479" s="2" t="s">
        <v>3261</v>
      </c>
      <c r="B11479" s="2" t="s">
        <v>386</v>
      </c>
      <c r="C11479" s="2">
        <v>1175.258</v>
      </c>
      <c r="D11479" s="2">
        <f>HYPERLINK("http://mcb-m6.bioreg.kyushu-u.ac.jp/M3/20110414/F50928/1583/1", 38.97)</f>
        <v>38.97</v>
      </c>
      <c r="E11479" s="2">
        <v>23.61</v>
      </c>
      <c r="F11479" s="2">
        <v>1</v>
      </c>
      <c r="G11479" s="2" t="s">
        <v>11</v>
      </c>
      <c r="I11479" s="2" t="s">
        <v>4903</v>
      </c>
    </row>
    <row r="11480" spans="1:9" x14ac:dyDescent="0.2">
      <c r="A11480" s="2" t="s">
        <v>3261</v>
      </c>
      <c r="B11480" s="2" t="s">
        <v>733</v>
      </c>
      <c r="C11480" s="2">
        <v>617.67359999999996</v>
      </c>
      <c r="D11480" s="2">
        <f>HYPERLINK("http://mcb-m6.bioreg.kyushu-u.ac.jp/M3/20110414/F50928/1729/1", 42.69)</f>
        <v>42.69</v>
      </c>
      <c r="E11480" s="2">
        <v>12.65</v>
      </c>
      <c r="F11480" s="2">
        <v>2</v>
      </c>
      <c r="G11480" s="2" t="s">
        <v>11</v>
      </c>
    </row>
    <row r="11481" spans="1:9" x14ac:dyDescent="0.2">
      <c r="A11481" s="2" t="s">
        <v>3261</v>
      </c>
      <c r="B11481" s="2" t="s">
        <v>308</v>
      </c>
      <c r="C11481" s="2">
        <v>975.21199999999999</v>
      </c>
      <c r="D11481" s="2">
        <f>HYPERLINK("http://mcb-m6.bioreg.kyushu-u.ac.jp/M3/20110414/F50928/1142/1", 52.57)</f>
        <v>52.57</v>
      </c>
      <c r="E11481" s="2">
        <v>6.99</v>
      </c>
      <c r="F11481" s="2">
        <v>1</v>
      </c>
      <c r="G11481" s="2" t="s">
        <v>11</v>
      </c>
      <c r="H11481" s="2" t="s">
        <v>4904</v>
      </c>
    </row>
    <row r="11482" spans="1:9" x14ac:dyDescent="0.2">
      <c r="A11482" s="2" t="s">
        <v>3261</v>
      </c>
      <c r="B11482" s="2" t="s">
        <v>935</v>
      </c>
      <c r="C11482" s="2">
        <v>635.02369999999996</v>
      </c>
      <c r="D11482" s="2">
        <f>HYPERLINK("http://mcb-m6.bioreg.kyushu-u.ac.jp/M3/20110414/F50928/1778/1", 76.28)</f>
        <v>76.28</v>
      </c>
      <c r="E11482" s="2">
        <v>61.81</v>
      </c>
      <c r="F11482" s="2">
        <v>2</v>
      </c>
      <c r="G11482" s="2" t="s">
        <v>11</v>
      </c>
    </row>
    <row r="11483" spans="1:9" x14ac:dyDescent="0.2">
      <c r="A11483" s="2" t="s">
        <v>3261</v>
      </c>
      <c r="B11483" s="2" t="s">
        <v>935</v>
      </c>
      <c r="C11483" s="2">
        <v>634.82870000000003</v>
      </c>
      <c r="D11483" s="2">
        <f>HYPERLINK("http://mcb-m6.bioreg.kyushu-u.ac.jp/M3/20110414/F50929/1900/1", 82.68)</f>
        <v>82.68</v>
      </c>
      <c r="E11483" s="2">
        <v>69.739999999999995</v>
      </c>
      <c r="F11483" s="2">
        <v>2</v>
      </c>
      <c r="G11483" s="2" t="s">
        <v>11</v>
      </c>
    </row>
    <row r="11484" spans="1:9" x14ac:dyDescent="0.2">
      <c r="A11484" s="2" t="s">
        <v>3261</v>
      </c>
      <c r="B11484" s="2" t="s">
        <v>1580</v>
      </c>
      <c r="C11484" s="2">
        <v>852.12819999999999</v>
      </c>
      <c r="D11484" s="2">
        <f>HYPERLINK("http://mcb-m6.bioreg.kyushu-u.ac.jp/M3/20110414/F50928/2792/1", 94.98)</f>
        <v>94.98</v>
      </c>
      <c r="E11484" s="2">
        <v>81.96</v>
      </c>
      <c r="F11484" s="2">
        <v>2</v>
      </c>
      <c r="G11484" s="2" t="s">
        <v>11</v>
      </c>
    </row>
    <row r="11485" spans="1:9" x14ac:dyDescent="0.2">
      <c r="A11485" s="2" t="s">
        <v>3261</v>
      </c>
      <c r="B11485" s="2" t="s">
        <v>1580</v>
      </c>
      <c r="C11485" s="2">
        <v>852.51620000000003</v>
      </c>
      <c r="D11485" s="2">
        <f>HYPERLINK("http://mcb-m6.bioreg.kyushu-u.ac.jp/M3/20110414/F50928/2796/1", 108.97)</f>
        <v>108.97</v>
      </c>
      <c r="E11485" s="2">
        <v>90.94</v>
      </c>
      <c r="F11485" s="2">
        <v>2</v>
      </c>
      <c r="G11485" s="2" t="s">
        <v>11</v>
      </c>
    </row>
    <row r="11486" spans="1:9" x14ac:dyDescent="0.2">
      <c r="A11486" s="2" t="s">
        <v>3261</v>
      </c>
      <c r="B11486" s="2" t="s">
        <v>308</v>
      </c>
      <c r="C11486" s="2">
        <v>975.48800000000006</v>
      </c>
      <c r="D11486" s="2">
        <f>HYPERLINK("http://mcb-m6.bioreg.kyushu-u.ac.jp/M3/20110414/F50933/1394/1", 37.46)</f>
        <v>37.46</v>
      </c>
      <c r="E11486" s="2">
        <v>18.14</v>
      </c>
      <c r="F11486" s="2">
        <v>1</v>
      </c>
      <c r="G11486" s="2" t="s">
        <v>12</v>
      </c>
      <c r="H11486" s="2" t="s">
        <v>4904</v>
      </c>
    </row>
    <row r="11487" spans="1:9" x14ac:dyDescent="0.2">
      <c r="A11487" s="2" t="s">
        <v>3261</v>
      </c>
      <c r="B11487" s="2" t="s">
        <v>41</v>
      </c>
      <c r="C11487" s="2">
        <v>1001.62</v>
      </c>
      <c r="D11487" s="2">
        <f>HYPERLINK("http://mcb-m6.bioreg.kyushu-u.ac.jp/M3/20110414/F50933/1464/1", 37.66)</f>
        <v>37.659999999999997</v>
      </c>
      <c r="E11487" s="2">
        <v>21.36</v>
      </c>
      <c r="F11487" s="2">
        <v>1</v>
      </c>
      <c r="G11487" s="2" t="s">
        <v>12</v>
      </c>
    </row>
    <row r="11488" spans="1:9" x14ac:dyDescent="0.2">
      <c r="A11488" s="2" t="s">
        <v>3261</v>
      </c>
      <c r="B11488" s="2" t="s">
        <v>2573</v>
      </c>
      <c r="C11488" s="2">
        <v>875.43709999999999</v>
      </c>
      <c r="D11488" s="2">
        <f>HYPERLINK("http://mcb-m6.bioreg.kyushu-u.ac.jp/M3/20110414/F50933/2943/1", 38.59)</f>
        <v>38.590000000000003</v>
      </c>
      <c r="E11488" s="2">
        <v>26.96</v>
      </c>
      <c r="F11488" s="2">
        <v>2</v>
      </c>
      <c r="G11488" s="2" t="s">
        <v>12</v>
      </c>
      <c r="H11488" s="2" t="s">
        <v>4907</v>
      </c>
    </row>
    <row r="11489" spans="1:9" x14ac:dyDescent="0.2">
      <c r="A11489" s="2" t="s">
        <v>3261</v>
      </c>
      <c r="B11489" s="2" t="s">
        <v>41</v>
      </c>
      <c r="C11489" s="2">
        <v>501.32960000000003</v>
      </c>
      <c r="D11489" s="2">
        <f>HYPERLINK("http://mcb-m6.bioreg.kyushu-u.ac.jp/M3/20110414/F50933/1465/1", 39.37)</f>
        <v>39.369999999999997</v>
      </c>
      <c r="E11489" s="2">
        <v>14.43</v>
      </c>
      <c r="F11489" s="2">
        <v>2</v>
      </c>
      <c r="G11489" s="2" t="s">
        <v>12</v>
      </c>
    </row>
    <row r="11490" spans="1:9" x14ac:dyDescent="0.2">
      <c r="A11490" s="2" t="s">
        <v>3261</v>
      </c>
      <c r="B11490" s="2" t="s">
        <v>386</v>
      </c>
      <c r="C11490" s="2">
        <v>1175.3530000000001</v>
      </c>
      <c r="D11490" s="2">
        <f>HYPERLINK("http://mcb-m6.bioreg.kyushu-u.ac.jp/M3/20110414/F50933/1770/1", 40.99)</f>
        <v>40.99</v>
      </c>
      <c r="E11490" s="2">
        <v>27.74</v>
      </c>
      <c r="F11490" s="2">
        <v>1</v>
      </c>
      <c r="G11490" s="2" t="s">
        <v>12</v>
      </c>
      <c r="I11490" s="2" t="s">
        <v>4903</v>
      </c>
    </row>
    <row r="11491" spans="1:9" x14ac:dyDescent="0.2">
      <c r="A11491" s="2" t="s">
        <v>3261</v>
      </c>
      <c r="B11491" s="2" t="s">
        <v>733</v>
      </c>
      <c r="C11491" s="2">
        <v>617.8691</v>
      </c>
      <c r="D11491" s="2">
        <f>HYPERLINK("http://mcb-m6.bioreg.kyushu-u.ac.jp/M3/20110414/F50933/1891/1", 41.02)</f>
        <v>41.02</v>
      </c>
      <c r="E11491" s="2">
        <v>9.19</v>
      </c>
      <c r="F11491" s="2">
        <v>2</v>
      </c>
      <c r="G11491" s="2" t="s">
        <v>12</v>
      </c>
    </row>
    <row r="11492" spans="1:9" x14ac:dyDescent="0.2">
      <c r="A11492" s="2" t="s">
        <v>3261</v>
      </c>
      <c r="B11492" s="2" t="s">
        <v>386</v>
      </c>
      <c r="C11492" s="2">
        <v>1175.509</v>
      </c>
      <c r="D11492" s="2">
        <f>HYPERLINK("http://mcb-m6.bioreg.kyushu-u.ac.jp/M3/20110414/F50934/1879/1", 41.16)</f>
        <v>41.16</v>
      </c>
      <c r="E11492" s="2">
        <v>29.2</v>
      </c>
      <c r="F11492" s="2">
        <v>1</v>
      </c>
      <c r="G11492" s="2" t="s">
        <v>12</v>
      </c>
      <c r="I11492" s="2" t="s">
        <v>4903</v>
      </c>
    </row>
    <row r="11493" spans="1:9" x14ac:dyDescent="0.2">
      <c r="A11493" s="2" t="s">
        <v>3261</v>
      </c>
      <c r="B11493" s="2" t="s">
        <v>713</v>
      </c>
      <c r="C11493" s="2">
        <v>494.84359999999998</v>
      </c>
      <c r="D11493" s="2">
        <f>HYPERLINK("http://mcb-m6.bioreg.kyushu-u.ac.jp/M3/20110414/F50933/1423/1", 45.96)</f>
        <v>45.96</v>
      </c>
      <c r="E11493" s="2">
        <v>8.3000000000000007</v>
      </c>
      <c r="F11493" s="2">
        <v>2</v>
      </c>
      <c r="G11493" s="2" t="s">
        <v>12</v>
      </c>
    </row>
    <row r="11494" spans="1:9" x14ac:dyDescent="0.2">
      <c r="A11494" s="2" t="s">
        <v>3261</v>
      </c>
      <c r="B11494" s="2" t="s">
        <v>733</v>
      </c>
      <c r="C11494" s="2">
        <v>617.90309999999999</v>
      </c>
      <c r="D11494" s="2">
        <f>HYPERLINK("http://mcb-m6.bioreg.kyushu-u.ac.jp/M3/20110414/F50934/1969/1", 46.09)</f>
        <v>46.09</v>
      </c>
      <c r="E11494" s="2">
        <v>7.74</v>
      </c>
      <c r="F11494" s="2">
        <v>2</v>
      </c>
      <c r="G11494" s="2" t="s">
        <v>12</v>
      </c>
    </row>
    <row r="11495" spans="1:9" x14ac:dyDescent="0.2">
      <c r="A11495" s="2" t="s">
        <v>3261</v>
      </c>
      <c r="B11495" s="2" t="s">
        <v>41</v>
      </c>
      <c r="C11495" s="2">
        <v>501.76260000000002</v>
      </c>
      <c r="D11495" s="2">
        <f>HYPERLINK("http://mcb-m6.bioreg.kyushu-u.ac.jp/M3/20110414/F50933/1469/1", 46.14)</f>
        <v>46.14</v>
      </c>
      <c r="E11495" s="2">
        <v>16.579999999999998</v>
      </c>
      <c r="F11495" s="2">
        <v>2</v>
      </c>
      <c r="G11495" s="2" t="s">
        <v>12</v>
      </c>
    </row>
    <row r="11496" spans="1:9" x14ac:dyDescent="0.2">
      <c r="A11496" s="2" t="s">
        <v>3261</v>
      </c>
      <c r="B11496" s="2" t="s">
        <v>713</v>
      </c>
      <c r="C11496" s="2">
        <v>494.25709999999998</v>
      </c>
      <c r="D11496" s="2">
        <f>HYPERLINK("http://mcb-m6.bioreg.kyushu-u.ac.jp/M3/20110414/F50933/1419/1", 54.81)</f>
        <v>54.81</v>
      </c>
      <c r="E11496" s="2">
        <v>27.42</v>
      </c>
      <c r="F11496" s="2">
        <v>2</v>
      </c>
      <c r="G11496" s="2" t="s">
        <v>12</v>
      </c>
    </row>
    <row r="11497" spans="1:9" x14ac:dyDescent="0.2">
      <c r="A11497" s="2" t="s">
        <v>3261</v>
      </c>
      <c r="B11497" s="2" t="s">
        <v>41</v>
      </c>
      <c r="C11497" s="2">
        <v>501.8526</v>
      </c>
      <c r="D11497" s="2">
        <f>HYPERLINK("http://mcb-m6.bioreg.kyushu-u.ac.jp/M3/20110414/F50933/1471/1", 55.75)</f>
        <v>55.75</v>
      </c>
      <c r="E11497" s="2">
        <v>33.4</v>
      </c>
      <c r="F11497" s="2">
        <v>2</v>
      </c>
      <c r="G11497" s="2" t="s">
        <v>12</v>
      </c>
    </row>
    <row r="11498" spans="1:9" x14ac:dyDescent="0.2">
      <c r="A11498" s="2" t="s">
        <v>3261</v>
      </c>
      <c r="B11498" s="2" t="s">
        <v>713</v>
      </c>
      <c r="C11498" s="2">
        <v>494.73360000000002</v>
      </c>
      <c r="D11498" s="2">
        <f>HYPERLINK("http://mcb-m6.bioreg.kyushu-u.ac.jp/M3/20110414/F50933/1422/1", 56.77)</f>
        <v>56.77</v>
      </c>
      <c r="E11498" s="2">
        <v>35.58</v>
      </c>
      <c r="F11498" s="2">
        <v>2</v>
      </c>
      <c r="G11498" s="2" t="s">
        <v>12</v>
      </c>
    </row>
    <row r="11499" spans="1:9" x14ac:dyDescent="0.2">
      <c r="A11499" s="2" t="s">
        <v>3261</v>
      </c>
      <c r="B11499" s="2" t="s">
        <v>2573</v>
      </c>
      <c r="C11499" s="2">
        <v>867.59810000000004</v>
      </c>
      <c r="D11499" s="2">
        <f>HYPERLINK("http://mcb-m6.bioreg.kyushu-u.ac.jp/M3/20110414/F50933/2900/1", 56.94)</f>
        <v>56.94</v>
      </c>
      <c r="E11499" s="2">
        <v>45.17</v>
      </c>
      <c r="F11499" s="2">
        <v>2</v>
      </c>
      <c r="G11499" s="2" t="s">
        <v>12</v>
      </c>
    </row>
    <row r="11500" spans="1:9" x14ac:dyDescent="0.2">
      <c r="A11500" s="2" t="s">
        <v>3261</v>
      </c>
      <c r="B11500" s="2" t="s">
        <v>713</v>
      </c>
      <c r="C11500" s="2">
        <v>494.25560000000002</v>
      </c>
      <c r="D11500" s="2">
        <f>HYPERLINK("http://mcb-m6.bioreg.kyushu-u.ac.jp/M3/20110414/F50933/1418/1", 59.87)</f>
        <v>59.87</v>
      </c>
      <c r="E11500" s="2">
        <v>28.81</v>
      </c>
      <c r="F11500" s="2">
        <v>2</v>
      </c>
      <c r="G11500" s="2" t="s">
        <v>12</v>
      </c>
    </row>
    <row r="11501" spans="1:9" x14ac:dyDescent="0.2">
      <c r="A11501" s="2" t="s">
        <v>3261</v>
      </c>
      <c r="B11501" s="2" t="s">
        <v>935</v>
      </c>
      <c r="C11501" s="2">
        <v>635.32209999999998</v>
      </c>
      <c r="D11501" s="2">
        <f>HYPERLINK("http://mcb-m6.bioreg.kyushu-u.ac.jp/M3/20110414/F50933/1937/1", 72.85)</f>
        <v>72.849999999999994</v>
      </c>
      <c r="E11501" s="2">
        <v>60.24</v>
      </c>
      <c r="F11501" s="2">
        <v>2</v>
      </c>
      <c r="G11501" s="2" t="s">
        <v>12</v>
      </c>
    </row>
    <row r="11502" spans="1:9" x14ac:dyDescent="0.2">
      <c r="A11502" s="2" t="s">
        <v>3261</v>
      </c>
      <c r="B11502" s="2" t="s">
        <v>935</v>
      </c>
      <c r="C11502" s="2">
        <v>634.82169999999996</v>
      </c>
      <c r="D11502" s="2">
        <f>HYPERLINK("http://mcb-m6.bioreg.kyushu-u.ac.jp/M3/20110414/F50933/1934/1", 74.22)</f>
        <v>74.22</v>
      </c>
      <c r="E11502" s="2">
        <v>62.49</v>
      </c>
      <c r="F11502" s="2">
        <v>2</v>
      </c>
      <c r="G11502" s="2" t="s">
        <v>12</v>
      </c>
    </row>
    <row r="11503" spans="1:9" x14ac:dyDescent="0.2">
      <c r="A11503" s="2" t="s">
        <v>3261</v>
      </c>
      <c r="B11503" s="2" t="s">
        <v>1550</v>
      </c>
      <c r="C11503" s="2">
        <v>807.82069999999999</v>
      </c>
      <c r="D11503" s="2">
        <f>HYPERLINK("http://mcb-m6.bioreg.kyushu-u.ac.jp/M3/20110414/F50933/2711/1", 80.42)</f>
        <v>80.42</v>
      </c>
      <c r="E11503" s="2">
        <v>58.07</v>
      </c>
      <c r="F11503" s="2">
        <v>2</v>
      </c>
      <c r="G11503" s="2" t="s">
        <v>12</v>
      </c>
    </row>
    <row r="11504" spans="1:9" x14ac:dyDescent="0.2">
      <c r="A11504" s="2" t="s">
        <v>3261</v>
      </c>
      <c r="B11504" s="2" t="s">
        <v>1580</v>
      </c>
      <c r="C11504" s="2">
        <v>852.42319999999995</v>
      </c>
      <c r="D11504" s="2">
        <f>HYPERLINK("http://mcb-m6.bioreg.kyushu-u.ac.jp/M3/20110414/F50933/2850/1", 80.54)</f>
        <v>80.540000000000006</v>
      </c>
      <c r="E11504" s="2">
        <v>65.98</v>
      </c>
      <c r="F11504" s="2">
        <v>2</v>
      </c>
      <c r="G11504" s="2" t="s">
        <v>12</v>
      </c>
    </row>
    <row r="11505" spans="1:9" x14ac:dyDescent="0.2">
      <c r="A11505" s="2" t="s">
        <v>3261</v>
      </c>
      <c r="B11505" s="2" t="s">
        <v>1580</v>
      </c>
      <c r="C11505" s="2">
        <v>852.45619999999997</v>
      </c>
      <c r="D11505" s="2">
        <f>HYPERLINK("http://mcb-m6.bioreg.kyushu-u.ac.jp/M3/20110414/F50933/2851/1", 91.28)</f>
        <v>91.28</v>
      </c>
      <c r="E11505" s="2">
        <v>72.260000000000005</v>
      </c>
      <c r="F11505" s="2">
        <v>2</v>
      </c>
      <c r="G11505" s="2" t="s">
        <v>12</v>
      </c>
    </row>
    <row r="11506" spans="1:9" x14ac:dyDescent="0.2">
      <c r="A11506" s="2" t="s">
        <v>3261</v>
      </c>
      <c r="B11506" s="2" t="s">
        <v>1580</v>
      </c>
      <c r="C11506" s="2">
        <v>852.30070000000001</v>
      </c>
      <c r="D11506" s="2">
        <f>HYPERLINK("http://mcb-m6.bioreg.kyushu-u.ac.jp/M3/20110414/F50933/2849/1", 104.16)</f>
        <v>104.16</v>
      </c>
      <c r="E11506" s="2">
        <v>81.59</v>
      </c>
      <c r="F11506" s="2">
        <v>2</v>
      </c>
      <c r="G11506" s="2" t="s">
        <v>12</v>
      </c>
    </row>
    <row r="11507" spans="1:9" x14ac:dyDescent="0.2">
      <c r="A11507" s="2" t="s">
        <v>3261</v>
      </c>
      <c r="B11507" s="2" t="s">
        <v>1550</v>
      </c>
      <c r="C11507" s="2">
        <v>807.28970000000004</v>
      </c>
      <c r="D11507" s="2">
        <f>HYPERLINK("http://mcb-m6.bioreg.kyushu-u.ac.jp/M3/20110414/F50933/2710/1", 114.79)</f>
        <v>114.79</v>
      </c>
      <c r="E11507" s="2">
        <v>89.62</v>
      </c>
      <c r="F11507" s="2">
        <v>2</v>
      </c>
      <c r="G11507" s="2" t="s">
        <v>12</v>
      </c>
    </row>
    <row r="11508" spans="1:9" x14ac:dyDescent="0.2">
      <c r="A11508" s="2" t="s">
        <v>3261</v>
      </c>
      <c r="B11508" s="2" t="s">
        <v>386</v>
      </c>
      <c r="C11508" s="2">
        <v>1175.559</v>
      </c>
      <c r="D11508" s="2">
        <f>HYPERLINK("http://mcb-m6.bioreg.kyushu-u.ac.jp/M3/20110502/F51169/1535/1", 41.16)</f>
        <v>41.16</v>
      </c>
      <c r="E11508" s="2">
        <v>33.479999999999997</v>
      </c>
      <c r="F11508" s="2">
        <v>1</v>
      </c>
      <c r="G11508" s="2" t="s">
        <v>13</v>
      </c>
      <c r="I11508" s="2" t="s">
        <v>4903</v>
      </c>
    </row>
    <row r="11509" spans="1:9" x14ac:dyDescent="0.2">
      <c r="A11509" s="2" t="s">
        <v>3261</v>
      </c>
      <c r="B11509" s="2" t="s">
        <v>308</v>
      </c>
      <c r="C11509" s="2">
        <v>975.57399999999996</v>
      </c>
      <c r="D11509" s="2">
        <f>HYPERLINK("http://mcb-m6.bioreg.kyushu-u.ac.jp/M3/20110502/F51169/1088/1", 45.53)</f>
        <v>45.53</v>
      </c>
      <c r="E11509" s="2">
        <v>24.28</v>
      </c>
      <c r="F11509" s="2">
        <v>1</v>
      </c>
      <c r="G11509" s="2" t="s">
        <v>13</v>
      </c>
      <c r="H11509" s="2" t="s">
        <v>4904</v>
      </c>
    </row>
    <row r="11510" spans="1:9" x14ac:dyDescent="0.2">
      <c r="A11510" s="2" t="s">
        <v>3261</v>
      </c>
      <c r="B11510" s="2" t="s">
        <v>41</v>
      </c>
      <c r="C11510" s="2">
        <v>501.54259999999999</v>
      </c>
      <c r="D11510" s="2">
        <f>HYPERLINK("http://mcb-m6.bioreg.kyushu-u.ac.jp/M3/20110502/F51170/993/1", 49.3)</f>
        <v>49.3</v>
      </c>
      <c r="E11510" s="2">
        <v>26.43</v>
      </c>
      <c r="F11510" s="2">
        <v>2</v>
      </c>
      <c r="G11510" s="2" t="s">
        <v>13</v>
      </c>
    </row>
    <row r="11511" spans="1:9" x14ac:dyDescent="0.2">
      <c r="A11511" s="2" t="s">
        <v>3261</v>
      </c>
      <c r="B11511" s="2" t="s">
        <v>1580</v>
      </c>
      <c r="C11511" s="2">
        <v>852.99770000000001</v>
      </c>
      <c r="D11511" s="2">
        <f>HYPERLINK("http://mcb-m6.bioreg.kyushu-u.ac.jp/M3/20110502/F51170/2661/1", 74.03)</f>
        <v>74.03</v>
      </c>
      <c r="E11511" s="2">
        <v>57.16</v>
      </c>
      <c r="F11511" s="2">
        <v>2</v>
      </c>
      <c r="G11511" s="2" t="s">
        <v>13</v>
      </c>
    </row>
    <row r="11512" spans="1:9" x14ac:dyDescent="0.2">
      <c r="A11512" s="2" t="s">
        <v>3261</v>
      </c>
      <c r="B11512" s="2" t="s">
        <v>1550</v>
      </c>
      <c r="C11512" s="2">
        <v>807.62570000000005</v>
      </c>
      <c r="D11512" s="2">
        <f>HYPERLINK("http://mcb-m6.bioreg.kyushu-u.ac.jp/M3/20110502/F51170/2423/1", 79.73)</f>
        <v>79.73</v>
      </c>
      <c r="E11512" s="2">
        <v>61.74</v>
      </c>
      <c r="F11512" s="2">
        <v>2</v>
      </c>
      <c r="G11512" s="2" t="s">
        <v>13</v>
      </c>
    </row>
    <row r="11513" spans="1:9" x14ac:dyDescent="0.2">
      <c r="A11513" s="2" t="s">
        <v>3261</v>
      </c>
      <c r="B11513" s="2" t="s">
        <v>713</v>
      </c>
      <c r="C11513" s="2">
        <v>494.8596</v>
      </c>
      <c r="D11513" s="2">
        <f>HYPERLINK("http://mcb-m6.bioreg.kyushu-u.ac.jp/M3/20110502/F51169/1110/1", 80.95)</f>
        <v>80.95</v>
      </c>
      <c r="E11513" s="2">
        <v>51.34</v>
      </c>
      <c r="F11513" s="2">
        <v>2</v>
      </c>
      <c r="G11513" s="2" t="s">
        <v>13</v>
      </c>
    </row>
    <row r="11514" spans="1:9" x14ac:dyDescent="0.2">
      <c r="A11514" s="2" t="s">
        <v>3261</v>
      </c>
      <c r="B11514" s="2" t="s">
        <v>1550</v>
      </c>
      <c r="C11514" s="2">
        <v>807.77560000000005</v>
      </c>
      <c r="D11514" s="2">
        <f>HYPERLINK("http://mcb-m6.bioreg.kyushu-u.ac.jp/M3/20110502/F51169/2381/1", 87.53)</f>
        <v>87.53</v>
      </c>
      <c r="E11514" s="2">
        <v>60.27</v>
      </c>
      <c r="F11514" s="2">
        <v>2</v>
      </c>
      <c r="G11514" s="2" t="s">
        <v>13</v>
      </c>
    </row>
    <row r="11515" spans="1:9" x14ac:dyDescent="0.2">
      <c r="A11515" s="2" t="s">
        <v>3261</v>
      </c>
      <c r="B11515" s="2" t="s">
        <v>1580</v>
      </c>
      <c r="C11515" s="2">
        <v>852.64319999999998</v>
      </c>
      <c r="D11515" s="2">
        <f>HYPERLINK("http://mcb-m6.bioreg.kyushu-u.ac.jp/M3/20110502/F51170/2659/1", 101.21)</f>
        <v>101.21</v>
      </c>
      <c r="E11515" s="2">
        <v>81.36</v>
      </c>
      <c r="F11515" s="2">
        <v>2</v>
      </c>
      <c r="G11515" s="2" t="s">
        <v>13</v>
      </c>
    </row>
    <row r="11516" spans="1:9" x14ac:dyDescent="0.2">
      <c r="A11516" s="2" t="s">
        <v>3261</v>
      </c>
      <c r="B11516" s="2" t="s">
        <v>1580</v>
      </c>
      <c r="C11516" s="2">
        <v>852.53269999999998</v>
      </c>
      <c r="D11516" s="2">
        <f>HYPERLINK("http://mcb-m6.bioreg.kyushu-u.ac.jp/M3/20110502/F51169/2560/1", 125.42)</f>
        <v>125.42</v>
      </c>
      <c r="E11516" s="2">
        <v>102.85</v>
      </c>
      <c r="F11516" s="2">
        <v>2</v>
      </c>
      <c r="G11516" s="2" t="s">
        <v>13</v>
      </c>
    </row>
    <row r="11517" spans="1:9" x14ac:dyDescent="0.2">
      <c r="A11517" s="2" t="s">
        <v>3261</v>
      </c>
      <c r="B11517" s="2" t="s">
        <v>308</v>
      </c>
      <c r="C11517" s="2">
        <v>992.59500000000003</v>
      </c>
      <c r="D11517" s="2">
        <f>HYPERLINK("http://mcb-m6.bioreg.kyushu-u.ac.jp/M3/20110502/F51178/1061/1", 35.51)</f>
        <v>35.51</v>
      </c>
      <c r="E11517" s="2">
        <v>8.82</v>
      </c>
      <c r="F11517" s="2">
        <v>1</v>
      </c>
      <c r="G11517" s="2" t="s">
        <v>14</v>
      </c>
    </row>
    <row r="11518" spans="1:9" x14ac:dyDescent="0.2">
      <c r="A11518" s="2" t="s">
        <v>3261</v>
      </c>
      <c r="B11518" s="2" t="s">
        <v>386</v>
      </c>
      <c r="C11518" s="2">
        <v>1175.579</v>
      </c>
      <c r="D11518" s="2">
        <f>HYPERLINK("http://mcb-m6.bioreg.kyushu-u.ac.jp/M3/20110502/F51178/1464/1", 43.96)</f>
        <v>43.96</v>
      </c>
      <c r="E11518" s="2">
        <v>33.5</v>
      </c>
      <c r="F11518" s="2">
        <v>1</v>
      </c>
      <c r="G11518" s="2" t="s">
        <v>14</v>
      </c>
      <c r="I11518" s="2" t="s">
        <v>4903</v>
      </c>
    </row>
    <row r="11519" spans="1:9" x14ac:dyDescent="0.2">
      <c r="A11519" s="2" t="s">
        <v>3261</v>
      </c>
      <c r="B11519" s="2" t="s">
        <v>308</v>
      </c>
      <c r="C11519" s="2">
        <v>975.68499999999995</v>
      </c>
      <c r="D11519" s="2">
        <f>HYPERLINK("http://mcb-m6.bioreg.kyushu-u.ac.jp/M3/20110502/F51178/1027/1", 45.61)</f>
        <v>45.61</v>
      </c>
      <c r="E11519" s="2">
        <v>16.559999999999999</v>
      </c>
      <c r="F11519" s="2">
        <v>1</v>
      </c>
      <c r="G11519" s="2" t="s">
        <v>14</v>
      </c>
      <c r="H11519" s="2" t="s">
        <v>4904</v>
      </c>
    </row>
    <row r="11520" spans="1:9" x14ac:dyDescent="0.2">
      <c r="A11520" s="2" t="s">
        <v>3261</v>
      </c>
      <c r="B11520" s="2" t="s">
        <v>2573</v>
      </c>
      <c r="C11520" s="2">
        <v>875.97019999999998</v>
      </c>
      <c r="D11520" s="2">
        <f>HYPERLINK("http://mcb-m6.bioreg.kyushu-u.ac.jp/M3/20110502/F51178/2666/1", 62.47)</f>
        <v>62.47</v>
      </c>
      <c r="E11520" s="2">
        <v>43.95</v>
      </c>
      <c r="F11520" s="2">
        <v>2</v>
      </c>
      <c r="G11520" s="2" t="s">
        <v>14</v>
      </c>
      <c r="H11520" s="2" t="s">
        <v>4907</v>
      </c>
    </row>
    <row r="11521" spans="1:9" x14ac:dyDescent="0.2">
      <c r="A11521" s="2" t="s">
        <v>3261</v>
      </c>
      <c r="B11521" s="2" t="s">
        <v>1550</v>
      </c>
      <c r="C11521" s="2">
        <v>807.5992</v>
      </c>
      <c r="D11521" s="2">
        <f>HYPERLINK("http://mcb-m6.bioreg.kyushu-u.ac.jp/M3/20110502/F51179/2168/1", 69.12)</f>
        <v>69.12</v>
      </c>
      <c r="E11521" s="2">
        <v>45.69</v>
      </c>
      <c r="F11521" s="2">
        <v>2</v>
      </c>
      <c r="G11521" s="2" t="s">
        <v>14</v>
      </c>
    </row>
    <row r="11522" spans="1:9" x14ac:dyDescent="0.2">
      <c r="A11522" s="2" t="s">
        <v>3261</v>
      </c>
      <c r="B11522" s="2" t="s">
        <v>1580</v>
      </c>
      <c r="C11522" s="2">
        <v>852.58920000000001</v>
      </c>
      <c r="D11522" s="2">
        <f>HYPERLINK("http://mcb-m6.bioreg.kyushu-u.ac.jp/M3/20110502/F51179/2432/1", 76.24)</f>
        <v>76.239999999999995</v>
      </c>
      <c r="E11522" s="2">
        <v>62.85</v>
      </c>
      <c r="F11522" s="2">
        <v>2</v>
      </c>
      <c r="G11522" s="2" t="s">
        <v>14</v>
      </c>
    </row>
    <row r="11523" spans="1:9" x14ac:dyDescent="0.2">
      <c r="A11523" s="2" t="s">
        <v>3261</v>
      </c>
      <c r="B11523" s="2" t="s">
        <v>713</v>
      </c>
      <c r="C11523" s="2">
        <v>494.43759999999997</v>
      </c>
      <c r="D11523" s="2">
        <f>HYPERLINK("http://mcb-m6.bioreg.kyushu-u.ac.jp/M3/20110502/F51178/1048/1", 81.17)</f>
        <v>81.17</v>
      </c>
      <c r="E11523" s="2">
        <v>46.38</v>
      </c>
      <c r="F11523" s="2">
        <v>2</v>
      </c>
      <c r="G11523" s="2" t="s">
        <v>14</v>
      </c>
    </row>
    <row r="11524" spans="1:9" x14ac:dyDescent="0.2">
      <c r="A11524" s="2" t="s">
        <v>3261</v>
      </c>
      <c r="B11524" s="2" t="s">
        <v>935</v>
      </c>
      <c r="C11524" s="2">
        <v>634.82209999999998</v>
      </c>
      <c r="D11524" s="2">
        <f>HYPERLINK("http://mcb-m6.bioreg.kyushu-u.ac.jp/M3/20110502/F51178/1662/1", 96.95)</f>
        <v>96.95</v>
      </c>
      <c r="E11524" s="2">
        <v>70.92</v>
      </c>
      <c r="F11524" s="2">
        <v>2</v>
      </c>
      <c r="G11524" s="2" t="s">
        <v>14</v>
      </c>
    </row>
    <row r="11525" spans="1:9" x14ac:dyDescent="0.2">
      <c r="A11525" s="2" t="s">
        <v>3261</v>
      </c>
      <c r="B11525" s="2" t="s">
        <v>1550</v>
      </c>
      <c r="C11525" s="2">
        <v>807.57619999999997</v>
      </c>
      <c r="D11525" s="2">
        <f>HYPERLINK("http://mcb-m6.bioreg.kyushu-u.ac.jp/M3/20110502/F51178/2405/1", 100.97)</f>
        <v>100.97</v>
      </c>
      <c r="E11525" s="2">
        <v>74.81</v>
      </c>
      <c r="F11525" s="2">
        <v>2</v>
      </c>
      <c r="G11525" s="2" t="s">
        <v>14</v>
      </c>
    </row>
    <row r="11526" spans="1:9" x14ac:dyDescent="0.2">
      <c r="A11526" s="2" t="s">
        <v>3261</v>
      </c>
      <c r="B11526" s="2" t="s">
        <v>1580</v>
      </c>
      <c r="C11526" s="2">
        <v>852.6857</v>
      </c>
      <c r="D11526" s="2">
        <f>HYPERLINK("http://mcb-m6.bioreg.kyushu-u.ac.jp/M3/20110502/F51178/2576/1", 112.52)</f>
        <v>112.52</v>
      </c>
      <c r="E11526" s="2">
        <v>83.83</v>
      </c>
      <c r="F11526" s="2">
        <v>2</v>
      </c>
      <c r="G11526" s="2" t="s">
        <v>14</v>
      </c>
    </row>
    <row r="11527" spans="1:9" x14ac:dyDescent="0.2">
      <c r="A11527" s="2" t="s">
        <v>4015</v>
      </c>
      <c r="B11527" s="2" t="s">
        <v>1319</v>
      </c>
      <c r="C11527" s="2">
        <v>954.82820000000004</v>
      </c>
      <c r="D11527" s="2">
        <f>HYPERLINK("http://mcb-m6.bioreg.kyushu-u.ac.jp/M3/20110411/F50891/3252/1", 72.75)</f>
        <v>72.75</v>
      </c>
      <c r="E11527" s="2">
        <v>60.86</v>
      </c>
      <c r="F11527" s="2">
        <v>2</v>
      </c>
      <c r="G11527" s="2" t="s">
        <v>9</v>
      </c>
      <c r="I11527" s="2" t="s">
        <v>4906</v>
      </c>
    </row>
    <row r="11528" spans="1:9" x14ac:dyDescent="0.2">
      <c r="A11528" s="2" t="s">
        <v>4015</v>
      </c>
      <c r="B11528" s="2" t="s">
        <v>1531</v>
      </c>
      <c r="C11528" s="2">
        <v>895.02470000000005</v>
      </c>
      <c r="D11528" s="2">
        <f>HYPERLINK("http://mcb-m6.bioreg.kyushu-u.ac.jp/M3/20110411/F50891/2954/1", 88.71)</f>
        <v>88.71</v>
      </c>
      <c r="E11528" s="2">
        <v>75.319999999999993</v>
      </c>
      <c r="F11528" s="2">
        <v>2</v>
      </c>
      <c r="G11528" s="2" t="s">
        <v>9</v>
      </c>
    </row>
    <row r="11529" spans="1:9" x14ac:dyDescent="0.2">
      <c r="A11529" s="2" t="s">
        <v>4015</v>
      </c>
      <c r="B11529" s="2" t="s">
        <v>1531</v>
      </c>
      <c r="C11529" s="2">
        <v>894.8827</v>
      </c>
      <c r="D11529" s="2">
        <f>HYPERLINK("http://mcb-m6.bioreg.kyushu-u.ac.jp/M3/20110414/F50933/3013/1", 52.97)</f>
        <v>52.97</v>
      </c>
      <c r="E11529" s="2">
        <v>47.3</v>
      </c>
      <c r="F11529" s="2">
        <v>2</v>
      </c>
      <c r="G11529" s="2" t="s">
        <v>12</v>
      </c>
    </row>
    <row r="11530" spans="1:9" x14ac:dyDescent="0.2">
      <c r="A11530" s="2" t="s">
        <v>4015</v>
      </c>
      <c r="B11530" s="2" t="s">
        <v>1531</v>
      </c>
      <c r="C11530" s="2">
        <v>895.25019999999995</v>
      </c>
      <c r="D11530" s="2">
        <f>HYPERLINK("http://mcb-m6.bioreg.kyushu-u.ac.jp/M3/20110502/F51181/2501/1", 70.02)</f>
        <v>70.02</v>
      </c>
      <c r="E11530" s="2">
        <v>56.88</v>
      </c>
      <c r="F11530" s="2">
        <v>2</v>
      </c>
      <c r="G11530" s="2" t="s">
        <v>14</v>
      </c>
    </row>
    <row r="11531" spans="1:9" x14ac:dyDescent="0.2">
      <c r="A11531" s="2" t="s">
        <v>3851</v>
      </c>
      <c r="B11531" s="2" t="s">
        <v>953</v>
      </c>
      <c r="C11531" s="2">
        <v>633.35969999999998</v>
      </c>
      <c r="D11531" s="2">
        <f>HYPERLINK("http://mcb-m6.bioreg.kyushu-u.ac.jp/M3/20110411/F50891/1537/1", 56.51)</f>
        <v>56.51</v>
      </c>
      <c r="E11531" s="2">
        <v>39.17</v>
      </c>
      <c r="F11531" s="2">
        <v>2</v>
      </c>
      <c r="G11531" s="2" t="s">
        <v>9</v>
      </c>
    </row>
    <row r="11532" spans="1:9" x14ac:dyDescent="0.2">
      <c r="A11532" s="2" t="s">
        <v>3851</v>
      </c>
      <c r="B11532" s="2" t="s">
        <v>953</v>
      </c>
      <c r="C11532" s="2">
        <v>633.31669999999997</v>
      </c>
      <c r="D11532" s="2">
        <f>HYPERLINK("http://mcb-m6.bioreg.kyushu-u.ac.jp/M3/20110414/F50933/1930/1", 37.36)</f>
        <v>37.36</v>
      </c>
      <c r="E11532" s="2">
        <v>20.85</v>
      </c>
      <c r="F11532" s="2">
        <v>2</v>
      </c>
      <c r="G11532" s="2" t="s">
        <v>12</v>
      </c>
    </row>
    <row r="11533" spans="1:9" x14ac:dyDescent="0.2">
      <c r="A11533" s="2" t="s">
        <v>3851</v>
      </c>
      <c r="B11533" s="2" t="s">
        <v>2925</v>
      </c>
      <c r="C11533" s="2">
        <v>596.91110000000003</v>
      </c>
      <c r="D11533" s="2">
        <f>HYPERLINK("http://mcb-m6.bioreg.kyushu-u.ac.jp/M3/20110502/F51169/1588/1", 55.77)</f>
        <v>55.77</v>
      </c>
      <c r="E11533" s="2">
        <v>32.630000000000003</v>
      </c>
      <c r="F11533" s="2">
        <v>2</v>
      </c>
      <c r="G11533" s="2" t="s">
        <v>13</v>
      </c>
    </row>
    <row r="11534" spans="1:9" x14ac:dyDescent="0.2">
      <c r="A11534" s="2" t="s">
        <v>3299</v>
      </c>
      <c r="B11534" s="2" t="s">
        <v>80</v>
      </c>
      <c r="C11534" s="2">
        <v>1146.624</v>
      </c>
      <c r="D11534" s="2">
        <f>HYPERLINK("http://mcb-m6.bioreg.kyushu-u.ac.jp/M3/20110411/F50916/1059/1", 35.74)</f>
        <v>35.74</v>
      </c>
      <c r="E11534" s="2">
        <v>23.85</v>
      </c>
      <c r="F11534" s="2">
        <v>1</v>
      </c>
      <c r="G11534" s="2" t="s">
        <v>9</v>
      </c>
    </row>
    <row r="11535" spans="1:9" x14ac:dyDescent="0.2">
      <c r="A11535" s="2" t="s">
        <v>3299</v>
      </c>
      <c r="B11535" s="2" t="s">
        <v>516</v>
      </c>
      <c r="C11535" s="2">
        <v>1396.8340000000001</v>
      </c>
      <c r="D11535" s="2">
        <f>HYPERLINK("http://mcb-m6.bioreg.kyushu-u.ac.jp/M3/20110411/F50916/1668/1", 43.62)</f>
        <v>43.62</v>
      </c>
      <c r="E11535" s="2">
        <v>33.200000000000003</v>
      </c>
      <c r="F11535" s="2">
        <v>1</v>
      </c>
      <c r="G11535" s="2" t="s">
        <v>9</v>
      </c>
    </row>
    <row r="11536" spans="1:9" x14ac:dyDescent="0.2">
      <c r="A11536" s="2" t="s">
        <v>3299</v>
      </c>
      <c r="B11536" s="2" t="s">
        <v>567</v>
      </c>
      <c r="C11536" s="2">
        <v>471.30810000000002</v>
      </c>
      <c r="D11536" s="2">
        <f>HYPERLINK("http://mcb-m6.bioreg.kyushu-u.ac.jp/M3/20110411/F50916/723/1", 45.04)</f>
        <v>45.04</v>
      </c>
      <c r="E11536" s="2">
        <v>18.53</v>
      </c>
      <c r="F11536" s="2">
        <v>2</v>
      </c>
      <c r="G11536" s="2" t="s">
        <v>9</v>
      </c>
    </row>
    <row r="11537" spans="1:7" x14ac:dyDescent="0.2">
      <c r="A11537" s="2" t="s">
        <v>3299</v>
      </c>
      <c r="B11537" s="2" t="s">
        <v>698</v>
      </c>
      <c r="C11537" s="2">
        <v>1124.0719999999999</v>
      </c>
      <c r="D11537" s="2">
        <f>HYPERLINK("http://mcb-m6.bioreg.kyushu-u.ac.jp/M3/20110411/F50916/1026/1", 48.69)</f>
        <v>48.69</v>
      </c>
      <c r="E11537" s="2">
        <v>24.59</v>
      </c>
      <c r="F11537" s="2">
        <v>1</v>
      </c>
      <c r="G11537" s="2" t="s">
        <v>9</v>
      </c>
    </row>
    <row r="11538" spans="1:7" x14ac:dyDescent="0.2">
      <c r="A11538" s="2" t="s">
        <v>3299</v>
      </c>
      <c r="B11538" s="2" t="s">
        <v>516</v>
      </c>
      <c r="C11538" s="2">
        <v>699.36410000000001</v>
      </c>
      <c r="D11538" s="2">
        <f>HYPERLINK("http://mcb-m6.bioreg.kyushu-u.ac.jp/M3/20110411/F50915/1646/1", 55.87)</f>
        <v>55.87</v>
      </c>
      <c r="E11538" s="2">
        <v>40.54</v>
      </c>
      <c r="F11538" s="2">
        <v>2</v>
      </c>
      <c r="G11538" s="2" t="s">
        <v>9</v>
      </c>
    </row>
    <row r="11539" spans="1:7" x14ac:dyDescent="0.2">
      <c r="A11539" s="2" t="s">
        <v>3299</v>
      </c>
      <c r="B11539" s="2" t="s">
        <v>80</v>
      </c>
      <c r="C11539" s="2">
        <v>573.84270000000004</v>
      </c>
      <c r="D11539" s="2">
        <f>HYPERLINK("http://mcb-m6.bioreg.kyushu-u.ac.jp/M3/20110411/F50916/1060/1", 57.66)</f>
        <v>57.66</v>
      </c>
      <c r="E11539" s="2">
        <v>27.24</v>
      </c>
      <c r="F11539" s="2">
        <v>2</v>
      </c>
      <c r="G11539" s="2" t="s">
        <v>9</v>
      </c>
    </row>
    <row r="11540" spans="1:7" x14ac:dyDescent="0.2">
      <c r="A11540" s="2" t="s">
        <v>3299</v>
      </c>
      <c r="B11540" s="2" t="s">
        <v>1022</v>
      </c>
      <c r="C11540" s="2">
        <v>513.40769999999998</v>
      </c>
      <c r="D11540" s="2">
        <f>HYPERLINK("http://mcb-m6.bioreg.kyushu-u.ac.jp/M3/20110411/F50916/855/1", 59.2)</f>
        <v>59.2</v>
      </c>
      <c r="E11540" s="2">
        <v>20.53</v>
      </c>
      <c r="F11540" s="2">
        <v>2</v>
      </c>
      <c r="G11540" s="2" t="s">
        <v>9</v>
      </c>
    </row>
    <row r="11541" spans="1:7" x14ac:dyDescent="0.2">
      <c r="A11541" s="2" t="s">
        <v>3299</v>
      </c>
      <c r="B11541" s="2" t="s">
        <v>1109</v>
      </c>
      <c r="C11541" s="2">
        <v>824.91219999999998</v>
      </c>
      <c r="D11541" s="2">
        <f>HYPERLINK("http://mcb-m6.bioreg.kyushu-u.ac.jp/M3/20110411/F50916/2342/1", 63.56)</f>
        <v>63.56</v>
      </c>
      <c r="E11541" s="2">
        <v>46.45</v>
      </c>
      <c r="F11541" s="2">
        <v>2</v>
      </c>
      <c r="G11541" s="2" t="s">
        <v>9</v>
      </c>
    </row>
    <row r="11542" spans="1:7" x14ac:dyDescent="0.2">
      <c r="A11542" s="2" t="s">
        <v>3299</v>
      </c>
      <c r="B11542" s="2" t="s">
        <v>1167</v>
      </c>
      <c r="C11542" s="2">
        <v>596.63509999999997</v>
      </c>
      <c r="D11542" s="2">
        <f>HYPERLINK("http://mcb-m6.bioreg.kyushu-u.ac.jp/M3/20110411/F50916/1156/1", 65.7)</f>
        <v>65.7</v>
      </c>
      <c r="E11542" s="2">
        <v>36.840000000000003</v>
      </c>
      <c r="F11542" s="2">
        <v>2</v>
      </c>
      <c r="G11542" s="2" t="s">
        <v>9</v>
      </c>
    </row>
    <row r="11543" spans="1:7" x14ac:dyDescent="0.2">
      <c r="A11543" s="2" t="s">
        <v>3299</v>
      </c>
      <c r="B11543" s="2" t="s">
        <v>1210</v>
      </c>
      <c r="C11543" s="2">
        <v>500.82909999999998</v>
      </c>
      <c r="D11543" s="2">
        <f>HYPERLINK("http://mcb-m6.bioreg.kyushu-u.ac.jp/M3/20110411/F50915/756/1", 67.55)</f>
        <v>67.55</v>
      </c>
      <c r="E11543" s="2">
        <v>30.93</v>
      </c>
      <c r="F11543" s="2">
        <v>2</v>
      </c>
      <c r="G11543" s="2" t="s">
        <v>9</v>
      </c>
    </row>
    <row r="11544" spans="1:7" x14ac:dyDescent="0.2">
      <c r="A11544" s="2" t="s">
        <v>3299</v>
      </c>
      <c r="B11544" s="2" t="s">
        <v>1308</v>
      </c>
      <c r="C11544" s="2">
        <v>681.94619999999998</v>
      </c>
      <c r="D11544" s="2">
        <f>HYPERLINK("http://mcb-m6.bioreg.kyushu-u.ac.jp/M3/20110411/F50916/1548/1", 72.13)</f>
        <v>72.13</v>
      </c>
      <c r="E11544" s="2">
        <v>43.41</v>
      </c>
      <c r="F11544" s="2">
        <v>2</v>
      </c>
      <c r="G11544" s="2" t="s">
        <v>9</v>
      </c>
    </row>
    <row r="11545" spans="1:7" x14ac:dyDescent="0.2">
      <c r="A11545" s="2" t="s">
        <v>3299</v>
      </c>
      <c r="B11545" s="2" t="s">
        <v>1433</v>
      </c>
      <c r="C11545" s="2">
        <v>781.3922</v>
      </c>
      <c r="D11545" s="2">
        <f>HYPERLINK("http://mcb-m6.bioreg.kyushu-u.ac.jp/M3/20110411/F50916/2122/1", 80.03)</f>
        <v>80.03</v>
      </c>
      <c r="E11545" s="2">
        <v>68.959999999999994</v>
      </c>
      <c r="F11545" s="2">
        <v>2</v>
      </c>
      <c r="G11545" s="2" t="s">
        <v>9</v>
      </c>
    </row>
    <row r="11546" spans="1:7" x14ac:dyDescent="0.2">
      <c r="A11546" s="2" t="s">
        <v>3299</v>
      </c>
      <c r="B11546" s="2" t="s">
        <v>516</v>
      </c>
      <c r="C11546" s="2">
        <v>699.19460000000004</v>
      </c>
      <c r="D11546" s="2">
        <f>HYPERLINK("http://mcb-m6.bioreg.kyushu-u.ac.jp/M3/20110411/F50916/1670/1", 87.9)</f>
        <v>87.9</v>
      </c>
      <c r="E11546" s="2">
        <v>72.92</v>
      </c>
      <c r="F11546" s="2">
        <v>2</v>
      </c>
      <c r="G11546" s="2" t="s">
        <v>9</v>
      </c>
    </row>
    <row r="11547" spans="1:7" x14ac:dyDescent="0.2">
      <c r="A11547" s="2" t="s">
        <v>3299</v>
      </c>
      <c r="B11547" s="2" t="s">
        <v>1572</v>
      </c>
      <c r="C11547" s="2">
        <v>1144.6220000000001</v>
      </c>
      <c r="D11547" s="2">
        <f>HYPERLINK("http://mcb-m6.bioreg.kyushu-u.ac.jp/M3/20110411/F50916/3566/1", 93.89)</f>
        <v>93.89</v>
      </c>
      <c r="E11547" s="2">
        <v>84.91</v>
      </c>
      <c r="F11547" s="2">
        <v>2</v>
      </c>
      <c r="G11547" s="2" t="s">
        <v>9</v>
      </c>
    </row>
    <row r="11548" spans="1:7" x14ac:dyDescent="0.2">
      <c r="A11548" s="2" t="s">
        <v>3299</v>
      </c>
      <c r="B11548" s="2" t="s">
        <v>1603</v>
      </c>
      <c r="C11548" s="2">
        <v>889.20370000000003</v>
      </c>
      <c r="D11548" s="2">
        <f>HYPERLINK("http://mcb-m6.bioreg.kyushu-u.ac.jp/M3/20110411/F50916/2643/1", 97.96)</f>
        <v>97.96</v>
      </c>
      <c r="E11548" s="2">
        <v>83.58</v>
      </c>
      <c r="F11548" s="2">
        <v>2</v>
      </c>
      <c r="G11548" s="2" t="s">
        <v>9</v>
      </c>
    </row>
    <row r="11549" spans="1:7" x14ac:dyDescent="0.2">
      <c r="A11549" s="2" t="s">
        <v>3299</v>
      </c>
      <c r="B11549" s="2" t="s">
        <v>698</v>
      </c>
      <c r="C11549" s="2">
        <v>562.32569999999998</v>
      </c>
      <c r="D11549" s="2">
        <f>HYPERLINK("http://mcb-m6.bioreg.kyushu-u.ac.jp/M3/20110411/F50918/1006/1", 35.52)</f>
        <v>35.520000000000003</v>
      </c>
      <c r="E11549" s="2">
        <v>12.72</v>
      </c>
      <c r="F11549" s="2">
        <v>2</v>
      </c>
      <c r="G11549" s="2" t="s">
        <v>10</v>
      </c>
    </row>
    <row r="11550" spans="1:7" x14ac:dyDescent="0.2">
      <c r="A11550" s="2" t="s">
        <v>3299</v>
      </c>
      <c r="B11550" s="2" t="s">
        <v>1022</v>
      </c>
      <c r="C11550" s="2">
        <v>513.33669999999995</v>
      </c>
      <c r="D11550" s="2">
        <f>HYPERLINK("http://mcb-m6.bioreg.kyushu-u.ac.jp/M3/20110411/F50918/840/1", 45.47)</f>
        <v>45.47</v>
      </c>
      <c r="E11550" s="2">
        <v>14.01</v>
      </c>
      <c r="F11550" s="2">
        <v>2</v>
      </c>
      <c r="G11550" s="2" t="s">
        <v>10</v>
      </c>
    </row>
    <row r="11551" spans="1:7" x14ac:dyDescent="0.2">
      <c r="A11551" s="2" t="s">
        <v>3299</v>
      </c>
      <c r="B11551" s="2" t="s">
        <v>2005</v>
      </c>
      <c r="C11551" s="2">
        <v>1107.6400000000001</v>
      </c>
      <c r="D11551" s="2">
        <f>HYPERLINK("http://mcb-m6.bioreg.kyushu-u.ac.jp/M3/20110411/F50918/3375/1", 60.11)</f>
        <v>60.11</v>
      </c>
      <c r="E11551" s="2">
        <v>50.83</v>
      </c>
      <c r="F11551" s="2">
        <v>2</v>
      </c>
      <c r="G11551" s="2" t="s">
        <v>10</v>
      </c>
    </row>
    <row r="11552" spans="1:7" x14ac:dyDescent="0.2">
      <c r="A11552" s="2" t="s">
        <v>3299</v>
      </c>
      <c r="B11552" s="2" t="s">
        <v>80</v>
      </c>
      <c r="C11552" s="2">
        <v>573.91309999999999</v>
      </c>
      <c r="D11552" s="2">
        <f>HYPERLINK("http://mcb-m6.bioreg.kyushu-u.ac.jp/M3/20110411/F50918/1041/1", 62.13)</f>
        <v>62.13</v>
      </c>
      <c r="E11552" s="2">
        <v>31.59</v>
      </c>
      <c r="F11552" s="2">
        <v>2</v>
      </c>
      <c r="G11552" s="2" t="s">
        <v>10</v>
      </c>
    </row>
    <row r="11553" spans="1:7" x14ac:dyDescent="0.2">
      <c r="A11553" s="2" t="s">
        <v>3299</v>
      </c>
      <c r="B11553" s="2" t="s">
        <v>1433</v>
      </c>
      <c r="C11553" s="2">
        <v>781.84220000000005</v>
      </c>
      <c r="D11553" s="2">
        <f>HYPERLINK("http://mcb-m6.bioreg.kyushu-u.ac.jp/M3/20110411/F50917/2216/1", 67.57)</f>
        <v>67.569999999999993</v>
      </c>
      <c r="E11553" s="2">
        <v>55.41</v>
      </c>
      <c r="F11553" s="2">
        <v>2</v>
      </c>
      <c r="G11553" s="2" t="s">
        <v>10</v>
      </c>
    </row>
    <row r="11554" spans="1:7" x14ac:dyDescent="0.2">
      <c r="A11554" s="2" t="s">
        <v>3299</v>
      </c>
      <c r="B11554" s="2" t="s">
        <v>516</v>
      </c>
      <c r="C11554" s="2">
        <v>698.94320000000005</v>
      </c>
      <c r="D11554" s="2">
        <f>HYPERLINK("http://mcb-m6.bioreg.kyushu-u.ac.jp/M3/20110411/F50918/1644/1", 68.11)</f>
        <v>68.11</v>
      </c>
      <c r="E11554" s="2">
        <v>52.38</v>
      </c>
      <c r="F11554" s="2">
        <v>2</v>
      </c>
      <c r="G11554" s="2" t="s">
        <v>10</v>
      </c>
    </row>
    <row r="11555" spans="1:7" x14ac:dyDescent="0.2">
      <c r="A11555" s="2" t="s">
        <v>3299</v>
      </c>
      <c r="B11555" s="2" t="s">
        <v>1210</v>
      </c>
      <c r="C11555" s="2">
        <v>500.86309999999997</v>
      </c>
      <c r="D11555" s="2">
        <f>HYPERLINK("http://mcb-m6.bioreg.kyushu-u.ac.jp/M3/20110411/F50918/813/1", 68.46)</f>
        <v>68.459999999999994</v>
      </c>
      <c r="E11555" s="2">
        <v>42.19</v>
      </c>
      <c r="F11555" s="2">
        <v>2</v>
      </c>
      <c r="G11555" s="2" t="s">
        <v>10</v>
      </c>
    </row>
    <row r="11556" spans="1:7" x14ac:dyDescent="0.2">
      <c r="A11556" s="2" t="s">
        <v>3299</v>
      </c>
      <c r="B11556" s="2" t="s">
        <v>1572</v>
      </c>
      <c r="C11556" s="2">
        <v>1145.057</v>
      </c>
      <c r="D11556" s="2">
        <f>HYPERLINK("http://mcb-m6.bioreg.kyushu-u.ac.jp/M3/20110411/F50918/3469/1", 74.48)</f>
        <v>74.48</v>
      </c>
      <c r="E11556" s="2">
        <v>60.32</v>
      </c>
      <c r="F11556" s="2">
        <v>2</v>
      </c>
      <c r="G11556" s="2" t="s">
        <v>10</v>
      </c>
    </row>
    <row r="11557" spans="1:7" x14ac:dyDescent="0.2">
      <c r="A11557" s="2" t="s">
        <v>3299</v>
      </c>
      <c r="B11557" s="2" t="s">
        <v>1308</v>
      </c>
      <c r="C11557" s="2">
        <v>682.26620000000003</v>
      </c>
      <c r="D11557" s="2">
        <f>HYPERLINK("http://mcb-m6.bioreg.kyushu-u.ac.jp/M3/20110411/F50918/1529/1", 76.08)</f>
        <v>76.08</v>
      </c>
      <c r="E11557" s="2">
        <v>52.24</v>
      </c>
      <c r="F11557" s="2">
        <v>2</v>
      </c>
      <c r="G11557" s="2" t="s">
        <v>10</v>
      </c>
    </row>
    <row r="11558" spans="1:7" x14ac:dyDescent="0.2">
      <c r="A11558" s="2" t="s">
        <v>3299</v>
      </c>
      <c r="B11558" s="2" t="s">
        <v>1433</v>
      </c>
      <c r="C11558" s="2">
        <v>781.47469999999998</v>
      </c>
      <c r="D11558" s="2">
        <f>HYPERLINK("http://mcb-m6.bioreg.kyushu-u.ac.jp/M3/20110411/F50918/2085/1", 98.43)</f>
        <v>98.43</v>
      </c>
      <c r="E11558" s="2">
        <v>89.8</v>
      </c>
      <c r="F11558" s="2">
        <v>2</v>
      </c>
      <c r="G11558" s="2" t="s">
        <v>10</v>
      </c>
    </row>
    <row r="11559" spans="1:7" x14ac:dyDescent="0.2">
      <c r="A11559" s="2" t="s">
        <v>3299</v>
      </c>
      <c r="B11559" s="2" t="s">
        <v>1572</v>
      </c>
      <c r="C11559" s="2">
        <v>1144.5519999999999</v>
      </c>
      <c r="D11559" s="2">
        <f>HYPERLINK("http://mcb-m6.bioreg.kyushu-u.ac.jp/M3/20110411/F50918/3466/1", 109.83)</f>
        <v>109.83</v>
      </c>
      <c r="E11559" s="2">
        <v>96.15</v>
      </c>
      <c r="F11559" s="2">
        <v>2</v>
      </c>
      <c r="G11559" s="2" t="s">
        <v>10</v>
      </c>
    </row>
    <row r="11560" spans="1:7" x14ac:dyDescent="0.2">
      <c r="A11560" s="2" t="s">
        <v>3299</v>
      </c>
      <c r="B11560" s="2" t="s">
        <v>1022</v>
      </c>
      <c r="C11560" s="2">
        <v>513.10109999999997</v>
      </c>
      <c r="D11560" s="2">
        <f>HYPERLINK("http://mcb-m6.bioreg.kyushu-u.ac.jp/M3/20110414/F50956/684/1", 37.49)</f>
        <v>37.49</v>
      </c>
      <c r="E11560" s="2">
        <v>11.95</v>
      </c>
      <c r="F11560" s="2">
        <v>2</v>
      </c>
      <c r="G11560" s="2" t="s">
        <v>11</v>
      </c>
    </row>
    <row r="11561" spans="1:7" x14ac:dyDescent="0.2">
      <c r="A11561" s="2" t="s">
        <v>3299</v>
      </c>
      <c r="B11561" s="2" t="s">
        <v>2212</v>
      </c>
      <c r="C11561" s="2">
        <v>825.77919999999995</v>
      </c>
      <c r="D11561" s="2">
        <f>HYPERLINK("http://mcb-m6.bioreg.kyushu-u.ac.jp/M3/20110414/F50957/4363/1", 37.55)</f>
        <v>37.549999999999997</v>
      </c>
      <c r="E11561" s="2">
        <v>26.24</v>
      </c>
      <c r="F11561" s="2">
        <v>3</v>
      </c>
      <c r="G11561" s="2" t="s">
        <v>11</v>
      </c>
    </row>
    <row r="11562" spans="1:7" x14ac:dyDescent="0.2">
      <c r="A11562" s="2" t="s">
        <v>3299</v>
      </c>
      <c r="B11562" s="2" t="s">
        <v>2212</v>
      </c>
      <c r="C11562" s="2">
        <v>825.24289999999996</v>
      </c>
      <c r="D11562" s="2">
        <f>HYPERLINK("http://mcb-m6.bioreg.kyushu-u.ac.jp/M3/20110414/F50957/4360/1", 40.42)</f>
        <v>40.42</v>
      </c>
      <c r="E11562" s="2">
        <v>32.85</v>
      </c>
      <c r="F11562" s="2">
        <v>3</v>
      </c>
      <c r="G11562" s="2" t="s">
        <v>11</v>
      </c>
    </row>
    <row r="11563" spans="1:7" x14ac:dyDescent="0.2">
      <c r="A11563" s="2" t="s">
        <v>3299</v>
      </c>
      <c r="B11563" s="2" t="s">
        <v>1572</v>
      </c>
      <c r="C11563" s="2">
        <v>1145.1659999999999</v>
      </c>
      <c r="D11563" s="2">
        <f>HYPERLINK("http://mcb-m6.bioreg.kyushu-u.ac.jp/M3/20110414/F50942/3979/1", 50.97)</f>
        <v>50.97</v>
      </c>
      <c r="E11563" s="2">
        <v>44.37</v>
      </c>
      <c r="F11563" s="2">
        <v>2</v>
      </c>
      <c r="G11563" s="2" t="s">
        <v>11</v>
      </c>
    </row>
    <row r="11564" spans="1:7" x14ac:dyDescent="0.2">
      <c r="A11564" s="2" t="s">
        <v>3299</v>
      </c>
      <c r="B11564" s="2" t="s">
        <v>1308</v>
      </c>
      <c r="C11564" s="2">
        <v>681.71969999999999</v>
      </c>
      <c r="D11564" s="2">
        <f>HYPERLINK("http://mcb-m6.bioreg.kyushu-u.ac.jp/M3/20110414/F50957/1473/1", 53.4)</f>
        <v>53.4</v>
      </c>
      <c r="E11564" s="2">
        <v>31.57</v>
      </c>
      <c r="F11564" s="2">
        <v>2</v>
      </c>
      <c r="G11564" s="2" t="s">
        <v>11</v>
      </c>
    </row>
    <row r="11565" spans="1:7" x14ac:dyDescent="0.2">
      <c r="A11565" s="2" t="s">
        <v>3299</v>
      </c>
      <c r="B11565" s="2" t="s">
        <v>1308</v>
      </c>
      <c r="C11565" s="2">
        <v>682.23069999999996</v>
      </c>
      <c r="D11565" s="2">
        <f>HYPERLINK("http://mcb-m6.bioreg.kyushu-u.ac.jp/M3/20110414/F50957/1479/1", 57.77)</f>
        <v>57.77</v>
      </c>
      <c r="E11565" s="2">
        <v>37.64</v>
      </c>
      <c r="F11565" s="2">
        <v>2</v>
      </c>
      <c r="G11565" s="2" t="s">
        <v>11</v>
      </c>
    </row>
    <row r="11566" spans="1:7" x14ac:dyDescent="0.2">
      <c r="A11566" s="2" t="s">
        <v>3299</v>
      </c>
      <c r="B11566" s="2" t="s">
        <v>1109</v>
      </c>
      <c r="C11566" s="2">
        <v>825.24869999999999</v>
      </c>
      <c r="D11566" s="2">
        <f>HYPERLINK("http://mcb-m6.bioreg.kyushu-u.ac.jp/M3/20110414/F50943/2364/1", 60.68)</f>
        <v>60.68</v>
      </c>
      <c r="E11566" s="2">
        <v>47.04</v>
      </c>
      <c r="F11566" s="2">
        <v>2</v>
      </c>
      <c r="G11566" s="2" t="s">
        <v>11</v>
      </c>
    </row>
    <row r="11567" spans="1:7" x14ac:dyDescent="0.2">
      <c r="A11567" s="2" t="s">
        <v>3299</v>
      </c>
      <c r="B11567" s="2" t="s">
        <v>1210</v>
      </c>
      <c r="C11567" s="2">
        <v>500.60759999999999</v>
      </c>
      <c r="D11567" s="2">
        <f>HYPERLINK("http://mcb-m6.bioreg.kyushu-u.ac.jp/M3/20110414/F50956/631/1", 64.85)</f>
        <v>64.849999999999994</v>
      </c>
      <c r="E11567" s="2">
        <v>40.17</v>
      </c>
      <c r="F11567" s="2">
        <v>2</v>
      </c>
      <c r="G11567" s="2" t="s">
        <v>11</v>
      </c>
    </row>
    <row r="11568" spans="1:7" x14ac:dyDescent="0.2">
      <c r="A11568" s="2" t="s">
        <v>3299</v>
      </c>
      <c r="B11568" s="2" t="s">
        <v>516</v>
      </c>
      <c r="C11568" s="2">
        <v>698.66610000000003</v>
      </c>
      <c r="D11568" s="2">
        <f>HYPERLINK("http://mcb-m6.bioreg.kyushu-u.ac.jp/M3/20110414/F50956/1637/1", 77.94)</f>
        <v>77.94</v>
      </c>
      <c r="E11568" s="2">
        <v>58.3</v>
      </c>
      <c r="F11568" s="2">
        <v>2</v>
      </c>
      <c r="G11568" s="2" t="s">
        <v>11</v>
      </c>
    </row>
    <row r="11569" spans="1:7" x14ac:dyDescent="0.2">
      <c r="A11569" s="2" t="s">
        <v>3299</v>
      </c>
      <c r="B11569" s="2" t="s">
        <v>1572</v>
      </c>
      <c r="C11569" s="2">
        <v>1144.8789999999999</v>
      </c>
      <c r="D11569" s="2">
        <f>HYPERLINK("http://mcb-m6.bioreg.kyushu-u.ac.jp/M3/20110414/F50957/4080/1", 79.21)</f>
        <v>79.209999999999994</v>
      </c>
      <c r="E11569" s="2">
        <v>66.36</v>
      </c>
      <c r="F11569" s="2">
        <v>2</v>
      </c>
      <c r="G11569" s="2" t="s">
        <v>11</v>
      </c>
    </row>
    <row r="11570" spans="1:7" x14ac:dyDescent="0.2">
      <c r="A11570" s="2" t="s">
        <v>3299</v>
      </c>
      <c r="B11570" s="2" t="s">
        <v>516</v>
      </c>
      <c r="C11570" s="2">
        <v>698.7817</v>
      </c>
      <c r="D11570" s="2">
        <f>HYPERLINK("http://mcb-m6.bioreg.kyushu-u.ac.jp/M3/20110414/F50957/1607/1", 96.44)</f>
        <v>96.44</v>
      </c>
      <c r="E11570" s="2">
        <v>79.150000000000006</v>
      </c>
      <c r="F11570" s="2">
        <v>2</v>
      </c>
      <c r="G11570" s="2" t="s">
        <v>11</v>
      </c>
    </row>
    <row r="11571" spans="1:7" x14ac:dyDescent="0.2">
      <c r="A11571" s="2" t="s">
        <v>3299</v>
      </c>
      <c r="B11571" s="2" t="s">
        <v>1109</v>
      </c>
      <c r="C11571" s="2">
        <v>825.24270000000001</v>
      </c>
      <c r="D11571" s="2">
        <f>HYPERLINK("http://mcb-m6.bioreg.kyushu-u.ac.jp/M3/20110414/F50957/2435/1", 98.66)</f>
        <v>98.66</v>
      </c>
      <c r="E11571" s="2">
        <v>80.180000000000007</v>
      </c>
      <c r="F11571" s="2">
        <v>2</v>
      </c>
      <c r="G11571" s="2" t="s">
        <v>11</v>
      </c>
    </row>
    <row r="11572" spans="1:7" x14ac:dyDescent="0.2">
      <c r="A11572" s="2" t="s">
        <v>3299</v>
      </c>
      <c r="B11572" s="2" t="s">
        <v>1109</v>
      </c>
      <c r="C11572" s="2">
        <v>824.67110000000002</v>
      </c>
      <c r="D11572" s="2">
        <f>HYPERLINK("http://mcb-m6.bioreg.kyushu-u.ac.jp/M3/20110414/F50957/2433/1", 109.41)</f>
        <v>109.41</v>
      </c>
      <c r="E11572" s="2">
        <v>88.35</v>
      </c>
      <c r="F11572" s="2">
        <v>2</v>
      </c>
      <c r="G11572" s="2" t="s">
        <v>11</v>
      </c>
    </row>
    <row r="11573" spans="1:7" x14ac:dyDescent="0.2">
      <c r="A11573" s="2" t="s">
        <v>3299</v>
      </c>
      <c r="B11573" s="2" t="s">
        <v>2212</v>
      </c>
      <c r="C11573" s="2">
        <v>825.3288</v>
      </c>
      <c r="D11573" s="2">
        <f>HYPERLINK("http://mcb-m6.bioreg.kyushu-u.ac.jp/M3/20110414/F50958/4475/1", 39.06)</f>
        <v>39.06</v>
      </c>
      <c r="E11573" s="2">
        <v>30.14</v>
      </c>
      <c r="F11573" s="2">
        <v>3</v>
      </c>
      <c r="G11573" s="2" t="s">
        <v>12</v>
      </c>
    </row>
    <row r="11574" spans="1:7" x14ac:dyDescent="0.2">
      <c r="A11574" s="2" t="s">
        <v>3299</v>
      </c>
      <c r="B11574" s="2" t="s">
        <v>1210</v>
      </c>
      <c r="C11574" s="2">
        <v>501.12110000000001</v>
      </c>
      <c r="D11574" s="2">
        <f>HYPERLINK("http://mcb-m6.bioreg.kyushu-u.ac.jp/M3/20110414/F50959/544/1", 47.85)</f>
        <v>47.85</v>
      </c>
      <c r="E11574" s="2">
        <v>16.55</v>
      </c>
      <c r="F11574" s="2">
        <v>2</v>
      </c>
      <c r="G11574" s="2" t="s">
        <v>12</v>
      </c>
    </row>
    <row r="11575" spans="1:7" x14ac:dyDescent="0.2">
      <c r="A11575" s="2" t="s">
        <v>3299</v>
      </c>
      <c r="B11575" s="2" t="s">
        <v>80</v>
      </c>
      <c r="C11575" s="2">
        <v>574.23109999999997</v>
      </c>
      <c r="D11575" s="2">
        <f>HYPERLINK("http://mcb-m6.bioreg.kyushu-u.ac.jp/M3/20110414/F50959/824/1", 52.59)</f>
        <v>52.59</v>
      </c>
      <c r="E11575" s="2">
        <v>30.12</v>
      </c>
      <c r="F11575" s="2">
        <v>2</v>
      </c>
      <c r="G11575" s="2" t="s">
        <v>12</v>
      </c>
    </row>
    <row r="11576" spans="1:7" x14ac:dyDescent="0.2">
      <c r="A11576" s="2" t="s">
        <v>3299</v>
      </c>
      <c r="B11576" s="2" t="s">
        <v>516</v>
      </c>
      <c r="C11576" s="2">
        <v>698.76009999999997</v>
      </c>
      <c r="D11576" s="2">
        <f>HYPERLINK("http://mcb-m6.bioreg.kyushu-u.ac.jp/M3/20110414/F50958/1703/1", 60.42)</f>
        <v>60.42</v>
      </c>
      <c r="E11576" s="2">
        <v>47.6</v>
      </c>
      <c r="F11576" s="2">
        <v>2</v>
      </c>
      <c r="G11576" s="2" t="s">
        <v>12</v>
      </c>
    </row>
    <row r="11577" spans="1:7" x14ac:dyDescent="0.2">
      <c r="A11577" s="2" t="s">
        <v>3299</v>
      </c>
      <c r="B11577" s="2" t="s">
        <v>1022</v>
      </c>
      <c r="C11577" s="2">
        <v>513.72770000000003</v>
      </c>
      <c r="D11577" s="2">
        <f>HYPERLINK("http://mcb-m6.bioreg.kyushu-u.ac.jp/M3/20110414/F50959/581/1", 68.47)</f>
        <v>68.47</v>
      </c>
      <c r="E11577" s="2">
        <v>22.54</v>
      </c>
      <c r="F11577" s="2">
        <v>2</v>
      </c>
      <c r="G11577" s="2" t="s">
        <v>12</v>
      </c>
    </row>
    <row r="11578" spans="1:7" x14ac:dyDescent="0.2">
      <c r="A11578" s="2" t="s">
        <v>3299</v>
      </c>
      <c r="B11578" s="2" t="s">
        <v>1022</v>
      </c>
      <c r="C11578" s="2">
        <v>513.22519999999997</v>
      </c>
      <c r="D11578" s="2">
        <f>HYPERLINK("http://mcb-m6.bioreg.kyushu-u.ac.jp/M3/20110414/F50959/580/1", 69.86)</f>
        <v>69.86</v>
      </c>
      <c r="E11578" s="2">
        <v>23.98</v>
      </c>
      <c r="F11578" s="2">
        <v>2</v>
      </c>
      <c r="G11578" s="2" t="s">
        <v>12</v>
      </c>
    </row>
    <row r="11579" spans="1:7" x14ac:dyDescent="0.2">
      <c r="A11579" s="2" t="s">
        <v>3299</v>
      </c>
      <c r="B11579" s="2" t="s">
        <v>1109</v>
      </c>
      <c r="C11579" s="2">
        <v>824.82920000000001</v>
      </c>
      <c r="D11579" s="2">
        <f>HYPERLINK("http://mcb-m6.bioreg.kyushu-u.ac.jp/M3/20110414/F50959/2490/1", 72.95)</f>
        <v>72.95</v>
      </c>
      <c r="E11579" s="2">
        <v>52.91</v>
      </c>
      <c r="F11579" s="2">
        <v>2</v>
      </c>
      <c r="G11579" s="2" t="s">
        <v>12</v>
      </c>
    </row>
    <row r="11580" spans="1:7" x14ac:dyDescent="0.2">
      <c r="A11580" s="2" t="s">
        <v>3299</v>
      </c>
      <c r="B11580" s="2" t="s">
        <v>516</v>
      </c>
      <c r="C11580" s="2">
        <v>698.80820000000006</v>
      </c>
      <c r="D11580" s="2">
        <f>HYPERLINK("http://mcb-m6.bioreg.kyushu-u.ac.jp/M3/20110414/F50959/1583/1", 81.44)</f>
        <v>81.44</v>
      </c>
      <c r="E11580" s="2">
        <v>60.28</v>
      </c>
      <c r="F11580" s="2">
        <v>2</v>
      </c>
      <c r="G11580" s="2" t="s">
        <v>12</v>
      </c>
    </row>
    <row r="11581" spans="1:7" x14ac:dyDescent="0.2">
      <c r="A11581" s="2" t="s">
        <v>3299</v>
      </c>
      <c r="B11581" s="2" t="s">
        <v>1109</v>
      </c>
      <c r="C11581" s="2">
        <v>825.32920000000001</v>
      </c>
      <c r="D11581" s="2">
        <f>HYPERLINK("http://mcb-m6.bioreg.kyushu-u.ac.jp/M3/20110414/F50958/2600/1", 84.42)</f>
        <v>84.42</v>
      </c>
      <c r="E11581" s="2">
        <v>65.069999999999993</v>
      </c>
      <c r="F11581" s="2">
        <v>2</v>
      </c>
      <c r="G11581" s="2" t="s">
        <v>12</v>
      </c>
    </row>
    <row r="11582" spans="1:7" x14ac:dyDescent="0.2">
      <c r="A11582" s="2" t="s">
        <v>3299</v>
      </c>
      <c r="B11582" s="2" t="s">
        <v>2212</v>
      </c>
      <c r="C11582" s="2">
        <v>825.12850000000003</v>
      </c>
      <c r="D11582" s="2">
        <f>HYPERLINK("http://mcb-m6.bioreg.kyushu-u.ac.jp/M3/20110502/F51189/3170/1", 42.87)</f>
        <v>42.87</v>
      </c>
      <c r="E11582" s="2">
        <v>28.1</v>
      </c>
      <c r="F11582" s="2">
        <v>3</v>
      </c>
      <c r="G11582" s="2" t="s">
        <v>13</v>
      </c>
    </row>
    <row r="11583" spans="1:7" x14ac:dyDescent="0.2">
      <c r="A11583" s="2" t="s">
        <v>3299</v>
      </c>
      <c r="B11583" s="2" t="s">
        <v>1308</v>
      </c>
      <c r="C11583" s="2">
        <v>682.01760000000002</v>
      </c>
      <c r="D11583" s="2">
        <f>HYPERLINK("http://mcb-m6.bioreg.kyushu-u.ac.jp/M3/20110502/F51189/1490/1", 81.32)</f>
        <v>81.319999999999993</v>
      </c>
      <c r="E11583" s="2">
        <v>57.3</v>
      </c>
      <c r="F11583" s="2">
        <v>2</v>
      </c>
      <c r="G11583" s="2" t="s">
        <v>13</v>
      </c>
    </row>
    <row r="11584" spans="1:7" x14ac:dyDescent="0.2">
      <c r="A11584" s="2" t="s">
        <v>3299</v>
      </c>
      <c r="B11584" s="2" t="s">
        <v>1109</v>
      </c>
      <c r="C11584" s="2">
        <v>825.12869999999998</v>
      </c>
      <c r="D11584" s="2">
        <f>HYPERLINK("http://mcb-m6.bioreg.kyushu-u.ac.jp/M3/20110502/F51189/2197/1", 82.95)</f>
        <v>82.95</v>
      </c>
      <c r="E11584" s="2">
        <v>66.3</v>
      </c>
      <c r="F11584" s="2">
        <v>2</v>
      </c>
      <c r="G11584" s="2" t="s">
        <v>13</v>
      </c>
    </row>
    <row r="11585" spans="1:7" x14ac:dyDescent="0.2">
      <c r="A11585" s="2" t="s">
        <v>3299</v>
      </c>
      <c r="B11585" s="2" t="s">
        <v>1572</v>
      </c>
      <c r="C11585" s="2">
        <v>1144.68</v>
      </c>
      <c r="D11585" s="2">
        <f>HYPERLINK("http://mcb-m6.bioreg.kyushu-u.ac.jp/M3/20110502/F51189/3047/1", 138.52)</f>
        <v>138.52000000000001</v>
      </c>
      <c r="E11585" s="2">
        <v>124.89</v>
      </c>
      <c r="F11585" s="2">
        <v>2</v>
      </c>
      <c r="G11585" s="2" t="s">
        <v>13</v>
      </c>
    </row>
    <row r="11586" spans="1:7" x14ac:dyDescent="0.2">
      <c r="A11586" s="2" t="s">
        <v>3299</v>
      </c>
      <c r="B11586" s="2" t="s">
        <v>1210</v>
      </c>
      <c r="C11586" s="2">
        <v>500.9246</v>
      </c>
      <c r="D11586" s="2">
        <f>HYPERLINK("http://mcb-m6.bioreg.kyushu-u.ac.jp/M3/20110502/F51193/727/1", 43.99)</f>
        <v>43.99</v>
      </c>
      <c r="E11586" s="2">
        <v>15.68</v>
      </c>
      <c r="F11586" s="2">
        <v>2</v>
      </c>
      <c r="G11586" s="2" t="s">
        <v>14</v>
      </c>
    </row>
    <row r="11587" spans="1:7" x14ac:dyDescent="0.2">
      <c r="A11587" s="2" t="s">
        <v>3299</v>
      </c>
      <c r="B11587" s="2" t="s">
        <v>3162</v>
      </c>
      <c r="C11587" s="2">
        <v>502.33960000000002</v>
      </c>
      <c r="D11587" s="2">
        <f>HYPERLINK("http://mcb-m6.bioreg.kyushu-u.ac.jp/M3/20110502/F51194/630/1", 56.14)</f>
        <v>56.14</v>
      </c>
      <c r="E11587" s="2">
        <v>23.73</v>
      </c>
      <c r="F11587" s="2">
        <v>2</v>
      </c>
      <c r="G11587" s="2" t="s">
        <v>14</v>
      </c>
    </row>
    <row r="11588" spans="1:7" x14ac:dyDescent="0.2">
      <c r="A11588" s="2" t="s">
        <v>3299</v>
      </c>
      <c r="B11588" s="2" t="s">
        <v>1433</v>
      </c>
      <c r="C11588" s="2">
        <v>781.78269999999998</v>
      </c>
      <c r="D11588" s="2">
        <f>HYPERLINK("http://mcb-m6.bioreg.kyushu-u.ac.jp/M3/20110502/F51194/2051/1", 68.68)</f>
        <v>68.680000000000007</v>
      </c>
      <c r="E11588" s="2">
        <v>58.01</v>
      </c>
      <c r="F11588" s="2">
        <v>2</v>
      </c>
      <c r="G11588" s="2" t="s">
        <v>14</v>
      </c>
    </row>
    <row r="11589" spans="1:7" x14ac:dyDescent="0.2">
      <c r="A11589" s="2" t="s">
        <v>3299</v>
      </c>
      <c r="B11589" s="2" t="s">
        <v>516</v>
      </c>
      <c r="C11589" s="2">
        <v>699.09770000000003</v>
      </c>
      <c r="D11589" s="2">
        <f>HYPERLINK("http://mcb-m6.bioreg.kyushu-u.ac.jp/M3/20110502/F51193/1640/1", 73.33)</f>
        <v>73.33</v>
      </c>
      <c r="E11589" s="2">
        <v>58.68</v>
      </c>
      <c r="F11589" s="2">
        <v>2</v>
      </c>
      <c r="G11589" s="2" t="s">
        <v>14</v>
      </c>
    </row>
    <row r="11590" spans="1:7" x14ac:dyDescent="0.2">
      <c r="A11590" s="2" t="s">
        <v>3299</v>
      </c>
      <c r="B11590" s="2" t="s">
        <v>1572</v>
      </c>
      <c r="C11590" s="2">
        <v>1144.6220000000001</v>
      </c>
      <c r="D11590" s="2">
        <f>HYPERLINK("http://mcb-m6.bioreg.kyushu-u.ac.jp/M3/20110502/F51194/3437/1", 74.9)</f>
        <v>74.900000000000006</v>
      </c>
      <c r="E11590" s="2">
        <v>60.31</v>
      </c>
      <c r="F11590" s="2">
        <v>2</v>
      </c>
      <c r="G11590" s="2" t="s">
        <v>14</v>
      </c>
    </row>
    <row r="11591" spans="1:7" x14ac:dyDescent="0.2">
      <c r="A11591" s="2" t="s">
        <v>3299</v>
      </c>
      <c r="B11591" s="2" t="s">
        <v>516</v>
      </c>
      <c r="C11591" s="2">
        <v>699.28970000000004</v>
      </c>
      <c r="D11591" s="2">
        <f>HYPERLINK("http://mcb-m6.bioreg.kyushu-u.ac.jp/M3/20110502/F51194/1575/1", 93.48)</f>
        <v>93.48</v>
      </c>
      <c r="E11591" s="2">
        <v>76.62</v>
      </c>
      <c r="F11591" s="2">
        <v>2</v>
      </c>
      <c r="G11591" s="2" t="s">
        <v>14</v>
      </c>
    </row>
    <row r="11592" spans="1:7" x14ac:dyDescent="0.2">
      <c r="A11592" s="2" t="s">
        <v>3642</v>
      </c>
      <c r="B11592" s="2" t="s">
        <v>564</v>
      </c>
      <c r="C11592" s="2">
        <v>1065.5709999999999</v>
      </c>
      <c r="D11592" s="2">
        <f>HYPERLINK("http://mcb-m6.bioreg.kyushu-u.ac.jp/M3/20110411/F50889/1659/1", 45.01)</f>
        <v>45.01</v>
      </c>
      <c r="E11592" s="2">
        <v>27.52</v>
      </c>
      <c r="F11592" s="2">
        <v>1</v>
      </c>
      <c r="G11592" s="2" t="s">
        <v>9</v>
      </c>
    </row>
    <row r="11593" spans="1:7" x14ac:dyDescent="0.2">
      <c r="A11593" s="2" t="s">
        <v>3642</v>
      </c>
      <c r="B11593" s="2" t="s">
        <v>1231</v>
      </c>
      <c r="C11593" s="2">
        <v>642.89570000000003</v>
      </c>
      <c r="D11593" s="2">
        <f>HYPERLINK("http://mcb-m6.bioreg.kyushu-u.ac.jp/M3/20110411/F50889/1972/1", 68.18)</f>
        <v>68.180000000000007</v>
      </c>
      <c r="E11593" s="2">
        <v>37.85</v>
      </c>
      <c r="F11593" s="2">
        <v>2</v>
      </c>
      <c r="G11593" s="2" t="s">
        <v>9</v>
      </c>
    </row>
    <row r="11594" spans="1:7" x14ac:dyDescent="0.2">
      <c r="A11594" s="2" t="s">
        <v>3642</v>
      </c>
      <c r="B11594" s="2" t="s">
        <v>1374</v>
      </c>
      <c r="C11594" s="2">
        <v>761.24369999999999</v>
      </c>
      <c r="D11594" s="2">
        <f>HYPERLINK("http://mcb-m6.bioreg.kyushu-u.ac.jp/M3/20110411/F50889/2311/1", 76.55)</f>
        <v>76.55</v>
      </c>
      <c r="E11594" s="2">
        <v>55.61</v>
      </c>
      <c r="F11594" s="2">
        <v>2</v>
      </c>
      <c r="G11594" s="2" t="s">
        <v>9</v>
      </c>
    </row>
    <row r="11595" spans="1:7" x14ac:dyDescent="0.2">
      <c r="A11595" s="2" t="s">
        <v>3642</v>
      </c>
      <c r="B11595" s="2" t="s">
        <v>1374</v>
      </c>
      <c r="C11595" s="2">
        <v>761.77760000000001</v>
      </c>
      <c r="D11595" s="2">
        <f>HYPERLINK("http://mcb-m6.bioreg.kyushu-u.ac.jp/M3/20110411/F50889/2313/1", 87.34)</f>
        <v>87.34</v>
      </c>
      <c r="E11595" s="2">
        <v>68.17</v>
      </c>
      <c r="F11595" s="2">
        <v>2</v>
      </c>
      <c r="G11595" s="2" t="s">
        <v>9</v>
      </c>
    </row>
    <row r="11596" spans="1:7" x14ac:dyDescent="0.2">
      <c r="A11596" s="2" t="s">
        <v>3642</v>
      </c>
      <c r="B11596" s="2" t="s">
        <v>1374</v>
      </c>
      <c r="C11596" s="2">
        <v>761.50459999999998</v>
      </c>
      <c r="D11596" s="2">
        <f>HYPERLINK("http://mcb-m6.bioreg.kyushu-u.ac.jp/M3/20110411/F50896/2227/1", 91.13)</f>
        <v>91.13</v>
      </c>
      <c r="E11596" s="2">
        <v>59.79</v>
      </c>
      <c r="F11596" s="2">
        <v>2</v>
      </c>
      <c r="G11596" s="2" t="s">
        <v>10</v>
      </c>
    </row>
    <row r="11597" spans="1:7" x14ac:dyDescent="0.2">
      <c r="A11597" s="2" t="s">
        <v>3642</v>
      </c>
      <c r="B11597" s="2" t="s">
        <v>1374</v>
      </c>
      <c r="C11597" s="2">
        <v>761.06569999999999</v>
      </c>
      <c r="D11597" s="2">
        <f>HYPERLINK("http://mcb-m6.bioreg.kyushu-u.ac.jp/M3/20110414/F50926/2294/1", 93.26)</f>
        <v>93.26</v>
      </c>
      <c r="E11597" s="2">
        <v>75.2</v>
      </c>
      <c r="F11597" s="2">
        <v>2</v>
      </c>
      <c r="G11597" s="2" t="s">
        <v>11</v>
      </c>
    </row>
    <row r="11598" spans="1:7" x14ac:dyDescent="0.2">
      <c r="A11598" s="2" t="s">
        <v>3642</v>
      </c>
      <c r="B11598" s="2" t="s">
        <v>564</v>
      </c>
      <c r="C11598" s="2">
        <v>533.31209999999999</v>
      </c>
      <c r="D11598" s="2">
        <f>HYPERLINK("http://mcb-m6.bioreg.kyushu-u.ac.jp/M3/20110502/F51167/1561/1", 38.27)</f>
        <v>38.270000000000003</v>
      </c>
      <c r="E11598" s="2">
        <v>14.92</v>
      </c>
      <c r="F11598" s="2">
        <v>2</v>
      </c>
      <c r="G11598" s="2" t="s">
        <v>13</v>
      </c>
    </row>
    <row r="11599" spans="1:7" x14ac:dyDescent="0.2">
      <c r="A11599" s="2" t="s">
        <v>4082</v>
      </c>
      <c r="B11599" s="2" t="s">
        <v>1501</v>
      </c>
      <c r="C11599" s="2">
        <v>640.8202</v>
      </c>
      <c r="D11599" s="2">
        <f>HYPERLINK("http://mcb-m6.bioreg.kyushu-u.ac.jp/M3/20110411/F50889/1967/1", 86.68)</f>
        <v>86.68</v>
      </c>
      <c r="E11599" s="2">
        <v>68.63</v>
      </c>
      <c r="F11599" s="2">
        <v>2</v>
      </c>
      <c r="G11599" s="2" t="s">
        <v>9</v>
      </c>
    </row>
    <row r="11600" spans="1:7" x14ac:dyDescent="0.2">
      <c r="A11600" s="2" t="s">
        <v>4082</v>
      </c>
      <c r="B11600" s="2" t="s">
        <v>1501</v>
      </c>
      <c r="C11600" s="2">
        <v>641.27070000000003</v>
      </c>
      <c r="D11600" s="2">
        <f>HYPERLINK("http://mcb-m6.bioreg.kyushu-u.ac.jp/M3/20110411/F50896/1784/1", 101.1)</f>
        <v>101.1</v>
      </c>
      <c r="E11600" s="2">
        <v>81.91</v>
      </c>
      <c r="F11600" s="2">
        <v>2</v>
      </c>
      <c r="G11600" s="2" t="s">
        <v>10</v>
      </c>
    </row>
    <row r="11601" spans="1:9" x14ac:dyDescent="0.2">
      <c r="A11601" s="2" t="s">
        <v>4082</v>
      </c>
      <c r="B11601" s="2" t="s">
        <v>3131</v>
      </c>
      <c r="C11601" s="2">
        <v>630.09010000000001</v>
      </c>
      <c r="D11601" s="2">
        <f>HYPERLINK("http://mcb-m6.bioreg.kyushu-u.ac.jp/M3/20110502/F51176/1796/1", 49.33)</f>
        <v>49.33</v>
      </c>
      <c r="E11601" s="2">
        <v>31.31</v>
      </c>
      <c r="F11601" s="2">
        <v>2</v>
      </c>
      <c r="G11601" s="2" t="s">
        <v>14</v>
      </c>
      <c r="H11601" s="2" t="s">
        <v>4896</v>
      </c>
    </row>
    <row r="11602" spans="1:9" x14ac:dyDescent="0.2">
      <c r="A11602" s="2" t="s">
        <v>4666</v>
      </c>
      <c r="B11602" s="2" t="s">
        <v>2829</v>
      </c>
      <c r="C11602" s="2">
        <v>664.14509999999996</v>
      </c>
      <c r="D11602" s="2">
        <f>HYPERLINK("http://mcb-m6.bioreg.kyushu-u.ac.jp/M3/20110502/F51175/1551/1", 37.64)</f>
        <v>37.64</v>
      </c>
      <c r="E11602" s="2">
        <v>27.6</v>
      </c>
      <c r="F11602" s="2">
        <v>2</v>
      </c>
      <c r="G11602" s="2" t="s">
        <v>13</v>
      </c>
      <c r="H11602" s="2" t="s">
        <v>4900</v>
      </c>
    </row>
    <row r="11603" spans="1:9" x14ac:dyDescent="0.2">
      <c r="A11603" s="2" t="s">
        <v>4666</v>
      </c>
      <c r="B11603" s="2" t="s">
        <v>2829</v>
      </c>
      <c r="C11603" s="2">
        <v>664.11969999999997</v>
      </c>
      <c r="D11603" s="2">
        <f>HYPERLINK("http://mcb-m6.bioreg.kyushu-u.ac.jp/M3/20110502/F51184/1342/1", 36.34)</f>
        <v>36.340000000000003</v>
      </c>
      <c r="E11603" s="2">
        <v>22.04</v>
      </c>
      <c r="F11603" s="2">
        <v>2</v>
      </c>
      <c r="G11603" s="2" t="s">
        <v>14</v>
      </c>
      <c r="H11603" s="2" t="s">
        <v>4900</v>
      </c>
    </row>
    <row r="11604" spans="1:9" x14ac:dyDescent="0.2">
      <c r="A11604" s="2" t="s">
        <v>3442</v>
      </c>
      <c r="B11604" s="2" t="s">
        <v>250</v>
      </c>
      <c r="C11604" s="2">
        <v>697.73770000000002</v>
      </c>
      <c r="D11604" s="2">
        <f>HYPERLINK("http://mcb-m6.bioreg.kyushu-u.ac.jp/M3/20110411/F50891/1855/1", 38.47)</f>
        <v>38.47</v>
      </c>
      <c r="E11604" s="2">
        <v>14.58</v>
      </c>
      <c r="F11604" s="2">
        <v>2</v>
      </c>
      <c r="G11604" s="2" t="s">
        <v>9</v>
      </c>
      <c r="I11604" s="2" t="s">
        <v>4892</v>
      </c>
    </row>
    <row r="11605" spans="1:9" x14ac:dyDescent="0.2">
      <c r="A11605" s="2" t="s">
        <v>3442</v>
      </c>
      <c r="B11605" s="2" t="s">
        <v>805</v>
      </c>
      <c r="C11605" s="2">
        <v>566.34469999999999</v>
      </c>
      <c r="D11605" s="2">
        <f>HYPERLINK("http://mcb-m6.bioreg.kyushu-u.ac.jp/M3/20110411/F50892/1523/1", 51.77)</f>
        <v>51.77</v>
      </c>
      <c r="E11605" s="2">
        <v>31.14</v>
      </c>
      <c r="F11605" s="2">
        <v>2</v>
      </c>
      <c r="G11605" s="2" t="s">
        <v>9</v>
      </c>
    </row>
    <row r="11606" spans="1:9" x14ac:dyDescent="0.2">
      <c r="A11606" s="2" t="s">
        <v>3442</v>
      </c>
      <c r="B11606" s="2" t="s">
        <v>805</v>
      </c>
      <c r="C11606" s="2">
        <v>566.65470000000005</v>
      </c>
      <c r="D11606" s="2">
        <f>HYPERLINK("http://mcb-m6.bioreg.kyushu-u.ac.jp/M3/20110414/F50941/1168/1", 47.33)</f>
        <v>47.33</v>
      </c>
      <c r="E11606" s="2">
        <v>28.63</v>
      </c>
      <c r="F11606" s="2">
        <v>2</v>
      </c>
      <c r="G11606" s="2" t="s">
        <v>11</v>
      </c>
    </row>
    <row r="11607" spans="1:9" x14ac:dyDescent="0.2">
      <c r="A11607" s="2" t="s">
        <v>3442</v>
      </c>
      <c r="B11607" s="2" t="s">
        <v>805</v>
      </c>
      <c r="C11607" s="2">
        <v>574.73659999999995</v>
      </c>
      <c r="D11607" s="2">
        <f>HYPERLINK("http://mcb-m6.bioreg.kyushu-u.ac.jp/M3/20110414/F50929/1708/1", 52.15)</f>
        <v>52.15</v>
      </c>
      <c r="E11607" s="2">
        <v>22.91</v>
      </c>
      <c r="F11607" s="2">
        <v>2</v>
      </c>
      <c r="G11607" s="2" t="s">
        <v>11</v>
      </c>
      <c r="H11607" s="2" t="s">
        <v>4908</v>
      </c>
    </row>
    <row r="11608" spans="1:9" x14ac:dyDescent="0.2">
      <c r="A11608" s="2" t="s">
        <v>3442</v>
      </c>
      <c r="B11608" s="2" t="s">
        <v>250</v>
      </c>
      <c r="C11608" s="2">
        <v>697.2731</v>
      </c>
      <c r="D11608" s="2">
        <f>HYPERLINK("http://mcb-m6.bioreg.kyushu-u.ac.jp/M3/20110414/F50929/2087/1", 66.72)</f>
        <v>66.72</v>
      </c>
      <c r="E11608" s="2">
        <v>40.200000000000003</v>
      </c>
      <c r="F11608" s="2">
        <v>2</v>
      </c>
      <c r="G11608" s="2" t="s">
        <v>11</v>
      </c>
      <c r="I11608" s="2" t="s">
        <v>4892</v>
      </c>
    </row>
    <row r="11609" spans="1:9" x14ac:dyDescent="0.2">
      <c r="A11609" s="2" t="s">
        <v>3442</v>
      </c>
      <c r="B11609" s="2" t="s">
        <v>250</v>
      </c>
      <c r="C11609" s="2">
        <v>697.85820000000001</v>
      </c>
      <c r="D11609" s="2">
        <f>HYPERLINK("http://mcb-m6.bioreg.kyushu-u.ac.jp/M3/20110414/F50934/2148/1", 49.1)</f>
        <v>49.1</v>
      </c>
      <c r="E11609" s="2">
        <v>23.9</v>
      </c>
      <c r="F11609" s="2">
        <v>2</v>
      </c>
      <c r="G11609" s="2" t="s">
        <v>12</v>
      </c>
      <c r="I11609" s="2" t="s">
        <v>4892</v>
      </c>
    </row>
    <row r="11610" spans="1:9" x14ac:dyDescent="0.2">
      <c r="A11610" s="2" t="s">
        <v>4067</v>
      </c>
      <c r="B11610" s="2" t="s">
        <v>1444</v>
      </c>
      <c r="C11610" s="2">
        <v>851.51570000000004</v>
      </c>
      <c r="D11610" s="2">
        <f>HYPERLINK("http://mcb-m6.bioreg.kyushu-u.ac.jp/M3/20110411/F50891/2737/1", 80.88)</f>
        <v>80.88</v>
      </c>
      <c r="E11610" s="2">
        <v>60.7</v>
      </c>
      <c r="F11610" s="2">
        <v>2</v>
      </c>
      <c r="G11610" s="2" t="s">
        <v>9</v>
      </c>
      <c r="H11610" s="2" t="s">
        <v>4901</v>
      </c>
    </row>
    <row r="11611" spans="1:9" x14ac:dyDescent="0.2">
      <c r="A11611" s="2" t="s">
        <v>4067</v>
      </c>
      <c r="B11611" s="2" t="s">
        <v>1510</v>
      </c>
      <c r="C11611" s="2">
        <v>901.49220000000003</v>
      </c>
      <c r="D11611" s="2">
        <f>HYPERLINK("http://mcb-m6.bioreg.kyushu-u.ac.jp/M3/20110411/F50892/2838/1", 87.15)</f>
        <v>87.15</v>
      </c>
      <c r="E11611" s="2">
        <v>69.42</v>
      </c>
      <c r="F11611" s="2">
        <v>2</v>
      </c>
      <c r="G11611" s="2" t="s">
        <v>9</v>
      </c>
    </row>
    <row r="11612" spans="1:9" x14ac:dyDescent="0.2">
      <c r="A11612" s="2" t="s">
        <v>4067</v>
      </c>
      <c r="B11612" s="2" t="s">
        <v>1510</v>
      </c>
      <c r="C11612" s="2">
        <v>901.46810000000005</v>
      </c>
      <c r="D11612" s="2">
        <f>HYPERLINK("http://mcb-m6.bioreg.kyushu-u.ac.jp/M3/20110411/F50891/3004/1", 108.32)</f>
        <v>108.32</v>
      </c>
      <c r="E11612" s="2">
        <v>85.45</v>
      </c>
      <c r="F11612" s="2">
        <v>2</v>
      </c>
      <c r="G11612" s="2" t="s">
        <v>9</v>
      </c>
    </row>
    <row r="11613" spans="1:9" x14ac:dyDescent="0.2">
      <c r="A11613" s="2" t="s">
        <v>4067</v>
      </c>
      <c r="B11613" s="2" t="s">
        <v>1510</v>
      </c>
      <c r="C11613" s="2">
        <v>901.73519999999996</v>
      </c>
      <c r="D11613" s="2">
        <f>HYPERLINK("http://mcb-m6.bioreg.kyushu-u.ac.jp/M3/20110411/F50898/2708/1", 60.09)</f>
        <v>60.09</v>
      </c>
      <c r="E11613" s="2">
        <v>47.46</v>
      </c>
      <c r="F11613" s="2">
        <v>2</v>
      </c>
      <c r="G11613" s="2" t="s">
        <v>10</v>
      </c>
    </row>
    <row r="11614" spans="1:9" x14ac:dyDescent="0.2">
      <c r="A11614" s="2" t="s">
        <v>4067</v>
      </c>
      <c r="B11614" s="2" t="s">
        <v>1510</v>
      </c>
      <c r="C11614" s="2">
        <v>901.85170000000005</v>
      </c>
      <c r="D11614" s="2">
        <f>HYPERLINK("http://mcb-m6.bioreg.kyushu-u.ac.jp/M3/20110414/F50929/2779/1", 92.54)</f>
        <v>92.54</v>
      </c>
      <c r="E11614" s="2">
        <v>71.33</v>
      </c>
      <c r="F11614" s="2">
        <v>2</v>
      </c>
      <c r="G11614" s="2" t="s">
        <v>11</v>
      </c>
    </row>
    <row r="11615" spans="1:9" x14ac:dyDescent="0.2">
      <c r="A11615" s="2" t="s">
        <v>3856</v>
      </c>
      <c r="B11615" s="2" t="s">
        <v>959</v>
      </c>
      <c r="C11615" s="2">
        <v>645.56820000000005</v>
      </c>
      <c r="D11615" s="2">
        <f>HYPERLINK("http://mcb-m6.bioreg.kyushu-u.ac.jp/M3/20110411/F50891/1589/1", 56.93)</f>
        <v>56.93</v>
      </c>
      <c r="E11615" s="2">
        <v>30.86</v>
      </c>
      <c r="F11615" s="2">
        <v>2</v>
      </c>
      <c r="G11615" s="2" t="s">
        <v>9</v>
      </c>
      <c r="I11615" s="2" t="s">
        <v>4890</v>
      </c>
    </row>
    <row r="11616" spans="1:9" x14ac:dyDescent="0.2">
      <c r="A11616" s="2" t="s">
        <v>3856</v>
      </c>
      <c r="B11616" s="2" t="s">
        <v>959</v>
      </c>
      <c r="C11616" s="2">
        <v>645.09720000000004</v>
      </c>
      <c r="D11616" s="2">
        <f>HYPERLINK("http://mcb-m6.bioreg.kyushu-u.ac.jp/M3/20110414/F50929/1926/1", 81.54)</f>
        <v>81.540000000000006</v>
      </c>
      <c r="E11616" s="2">
        <v>54.63</v>
      </c>
      <c r="F11616" s="2">
        <v>2</v>
      </c>
      <c r="G11616" s="2" t="s">
        <v>11</v>
      </c>
      <c r="I11616" s="2" t="s">
        <v>4890</v>
      </c>
    </row>
    <row r="11617" spans="1:9" x14ac:dyDescent="0.2">
      <c r="A11617" s="2" t="s">
        <v>3252</v>
      </c>
      <c r="B11617" s="2" t="s">
        <v>32</v>
      </c>
      <c r="C11617" s="2">
        <v>933.58500000000004</v>
      </c>
      <c r="D11617" s="2">
        <f>HYPERLINK("http://mcb-m6.bioreg.kyushu-u.ac.jp/M3/20110411/F50892/1199/1", 35.22)</f>
        <v>35.22</v>
      </c>
      <c r="E11617" s="2">
        <v>8.25</v>
      </c>
      <c r="F11617" s="2">
        <v>1</v>
      </c>
      <c r="G11617" s="2" t="s">
        <v>9</v>
      </c>
    </row>
    <row r="11618" spans="1:9" x14ac:dyDescent="0.2">
      <c r="A11618" s="2" t="s">
        <v>3252</v>
      </c>
      <c r="B11618" s="2" t="s">
        <v>686</v>
      </c>
      <c r="C11618" s="2">
        <v>585.32870000000003</v>
      </c>
      <c r="D11618" s="2">
        <f>HYPERLINK("http://mcb-m6.bioreg.kyushu-u.ac.jp/M3/20110411/F50892/1591/1", 48.4)</f>
        <v>48.4</v>
      </c>
      <c r="E11618" s="2">
        <v>28.32</v>
      </c>
      <c r="F11618" s="2">
        <v>2</v>
      </c>
      <c r="G11618" s="2" t="s">
        <v>9</v>
      </c>
    </row>
    <row r="11619" spans="1:9" x14ac:dyDescent="0.2">
      <c r="A11619" s="2" t="s">
        <v>3252</v>
      </c>
      <c r="B11619" s="2" t="s">
        <v>686</v>
      </c>
      <c r="C11619" s="2">
        <v>585.44119999999998</v>
      </c>
      <c r="D11619" s="2">
        <f>HYPERLINK("http://mcb-m6.bioreg.kyushu-u.ac.jp/M3/20110411/F50891/1300/1", 49.48)</f>
        <v>49.48</v>
      </c>
      <c r="E11619" s="2">
        <v>32.06</v>
      </c>
      <c r="F11619" s="2">
        <v>2</v>
      </c>
      <c r="G11619" s="2" t="s">
        <v>9</v>
      </c>
    </row>
    <row r="11620" spans="1:9" x14ac:dyDescent="0.2">
      <c r="A11620" s="2" t="s">
        <v>3252</v>
      </c>
      <c r="B11620" s="2" t="s">
        <v>887</v>
      </c>
      <c r="C11620" s="2">
        <v>1131.932</v>
      </c>
      <c r="D11620" s="2">
        <f>HYPERLINK("http://mcb-m6.bioreg.kyushu-u.ac.jp/M3/20110411/F50891/3862/1", 54.55)</f>
        <v>54.55</v>
      </c>
      <c r="E11620" s="2">
        <v>42.45</v>
      </c>
      <c r="F11620" s="2">
        <v>2</v>
      </c>
      <c r="G11620" s="2" t="s">
        <v>9</v>
      </c>
      <c r="I11620" s="2" t="s">
        <v>4905</v>
      </c>
    </row>
    <row r="11621" spans="1:9" x14ac:dyDescent="0.2">
      <c r="A11621" s="2" t="s">
        <v>3252</v>
      </c>
      <c r="B11621" s="2" t="s">
        <v>1422</v>
      </c>
      <c r="C11621" s="2">
        <v>717.37519999999995</v>
      </c>
      <c r="D11621" s="2">
        <f>HYPERLINK("http://mcb-m6.bioreg.kyushu-u.ac.jp/M3/20110411/F50892/2103/1", 79.47)</f>
        <v>79.47</v>
      </c>
      <c r="E11621" s="2">
        <v>56.55</v>
      </c>
      <c r="F11621" s="2">
        <v>2</v>
      </c>
      <c r="G11621" s="2" t="s">
        <v>9</v>
      </c>
    </row>
    <row r="11622" spans="1:9" x14ac:dyDescent="0.2">
      <c r="A11622" s="2" t="s">
        <v>3252</v>
      </c>
      <c r="B11622" s="2" t="s">
        <v>1422</v>
      </c>
      <c r="C11622" s="2">
        <v>717.37819999999999</v>
      </c>
      <c r="D11622" s="2">
        <f>HYPERLINK("http://mcb-m6.bioreg.kyushu-u.ac.jp/M3/20110411/F50891/1966/1", 89.3)</f>
        <v>89.3</v>
      </c>
      <c r="E11622" s="2">
        <v>63.72</v>
      </c>
      <c r="F11622" s="2">
        <v>2</v>
      </c>
      <c r="G11622" s="2" t="s">
        <v>9</v>
      </c>
    </row>
    <row r="11623" spans="1:9" x14ac:dyDescent="0.2">
      <c r="A11623" s="2" t="s">
        <v>3252</v>
      </c>
      <c r="B11623" s="2" t="s">
        <v>1422</v>
      </c>
      <c r="C11623" s="2">
        <v>717.46310000000005</v>
      </c>
      <c r="D11623" s="2">
        <f>HYPERLINK("http://mcb-m6.bioreg.kyushu-u.ac.jp/M3/20110411/F50898/2107/1", 72.88)</f>
        <v>72.88</v>
      </c>
      <c r="E11623" s="2">
        <v>40.49</v>
      </c>
      <c r="F11623" s="2">
        <v>2</v>
      </c>
      <c r="G11623" s="2" t="s">
        <v>10</v>
      </c>
    </row>
    <row r="11624" spans="1:9" x14ac:dyDescent="0.2">
      <c r="A11624" s="2" t="s">
        <v>3252</v>
      </c>
      <c r="B11624" s="2" t="s">
        <v>1422</v>
      </c>
      <c r="C11624" s="2">
        <v>717.32510000000002</v>
      </c>
      <c r="D11624" s="2">
        <f>HYPERLINK("http://mcb-m6.bioreg.kyushu-u.ac.jp/M3/20110414/F50941/1960/1", 70.16)</f>
        <v>70.16</v>
      </c>
      <c r="E11624" s="2">
        <v>46.87</v>
      </c>
      <c r="F11624" s="2">
        <v>2</v>
      </c>
      <c r="G11624" s="2" t="s">
        <v>11</v>
      </c>
    </row>
    <row r="11625" spans="1:9" x14ac:dyDescent="0.2">
      <c r="A11625" s="2" t="s">
        <v>3252</v>
      </c>
      <c r="B11625" s="2" t="s">
        <v>1422</v>
      </c>
      <c r="C11625" s="2">
        <v>717.32069999999999</v>
      </c>
      <c r="D11625" s="2">
        <f>HYPERLINK("http://mcb-m6.bioreg.kyushu-u.ac.jp/M3/20110414/F50929/2187/1", 83.2)</f>
        <v>83.2</v>
      </c>
      <c r="E11625" s="2">
        <v>57.57</v>
      </c>
      <c r="F11625" s="2">
        <v>2</v>
      </c>
      <c r="G11625" s="2" t="s">
        <v>11</v>
      </c>
    </row>
    <row r="11626" spans="1:9" x14ac:dyDescent="0.2">
      <c r="A11626" s="2" t="s">
        <v>3252</v>
      </c>
      <c r="B11626" s="2" t="s">
        <v>1422</v>
      </c>
      <c r="C11626" s="2">
        <v>717.47609999999997</v>
      </c>
      <c r="D11626" s="2">
        <f>HYPERLINK("http://mcb-m6.bioreg.kyushu-u.ac.jp/M3/20110414/F50934/2222/1", 90.87)</f>
        <v>90.87</v>
      </c>
      <c r="E11626" s="2">
        <v>65.11</v>
      </c>
      <c r="F11626" s="2">
        <v>2</v>
      </c>
      <c r="G11626" s="2" t="s">
        <v>12</v>
      </c>
    </row>
    <row r="11627" spans="1:9" x14ac:dyDescent="0.2">
      <c r="A11627" s="2" t="s">
        <v>3252</v>
      </c>
      <c r="B11627" s="2" t="s">
        <v>1422</v>
      </c>
      <c r="C11627" s="2">
        <v>717.5992</v>
      </c>
      <c r="D11627" s="2">
        <f>HYPERLINK("http://mcb-m6.bioreg.kyushu-u.ac.jp/M3/20110502/F51180/1668/1", 56.14)</f>
        <v>56.14</v>
      </c>
      <c r="E11627" s="2">
        <v>22.57</v>
      </c>
      <c r="F11627" s="2">
        <v>2</v>
      </c>
      <c r="G11627" s="2" t="s">
        <v>13</v>
      </c>
    </row>
    <row r="11628" spans="1:9" x14ac:dyDescent="0.2">
      <c r="A11628" s="2" t="s">
        <v>3252</v>
      </c>
      <c r="B11628" s="2" t="s">
        <v>1422</v>
      </c>
      <c r="C11628" s="2">
        <v>717.72609999999997</v>
      </c>
      <c r="D11628" s="2">
        <f>HYPERLINK("http://mcb-m6.bioreg.kyushu-u.ac.jp/M3/20110502/F51182/1730/1", 79.45)</f>
        <v>79.45</v>
      </c>
      <c r="E11628" s="2">
        <v>52.67</v>
      </c>
      <c r="F11628" s="2">
        <v>2</v>
      </c>
      <c r="G11628" s="2" t="s">
        <v>14</v>
      </c>
    </row>
    <row r="11629" spans="1:9" x14ac:dyDescent="0.2">
      <c r="A11629" s="2" t="s">
        <v>4275</v>
      </c>
      <c r="B11629" s="2" t="s">
        <v>1951</v>
      </c>
      <c r="C11629" s="2">
        <v>513.88919999999996</v>
      </c>
      <c r="D11629" s="2">
        <f>HYPERLINK("http://mcb-m6.bioreg.kyushu-u.ac.jp/M3/20110411/F50898/1591/1", 53.31)</f>
        <v>53.31</v>
      </c>
      <c r="E11629" s="2">
        <v>37.03</v>
      </c>
      <c r="F11629" s="2">
        <v>2</v>
      </c>
      <c r="G11629" s="2" t="s">
        <v>10</v>
      </c>
    </row>
    <row r="11630" spans="1:9" x14ac:dyDescent="0.2">
      <c r="A11630" s="2" t="s">
        <v>4275</v>
      </c>
      <c r="B11630" s="2" t="s">
        <v>1951</v>
      </c>
      <c r="C11630" s="2">
        <v>513.1327</v>
      </c>
      <c r="D11630" s="2">
        <f>HYPERLINK("http://mcb-m6.bioreg.kyushu-u.ac.jp/M3/20110414/F50928/1277/1", 38.06)</f>
        <v>38.06</v>
      </c>
      <c r="E11630" s="2">
        <v>17.38</v>
      </c>
      <c r="F11630" s="2">
        <v>2</v>
      </c>
      <c r="G11630" s="2" t="s">
        <v>11</v>
      </c>
    </row>
    <row r="11631" spans="1:9" x14ac:dyDescent="0.2">
      <c r="A11631" s="2" t="s">
        <v>4275</v>
      </c>
      <c r="B11631" s="2" t="s">
        <v>1951</v>
      </c>
      <c r="C11631" s="2">
        <v>513.43520000000001</v>
      </c>
      <c r="D11631" s="2">
        <f>HYPERLINK("http://mcb-m6.bioreg.kyushu-u.ac.jp/M3/20110502/F51169/1213/1", 45.28)</f>
        <v>45.28</v>
      </c>
      <c r="E11631" s="2">
        <v>13.35</v>
      </c>
      <c r="F11631" s="2">
        <v>2</v>
      </c>
      <c r="G11631" s="2" t="s">
        <v>13</v>
      </c>
    </row>
    <row r="11632" spans="1:9" x14ac:dyDescent="0.2">
      <c r="A11632" s="2" t="s">
        <v>4275</v>
      </c>
      <c r="B11632" s="2" t="s">
        <v>1951</v>
      </c>
      <c r="C11632" s="2">
        <v>513.48910000000001</v>
      </c>
      <c r="D11632" s="2">
        <f>HYPERLINK("http://mcb-m6.bioreg.kyushu-u.ac.jp/M3/20110502/F51178/1156/1", 41.1)</f>
        <v>41.1</v>
      </c>
      <c r="E11632" s="2">
        <v>15.99</v>
      </c>
      <c r="F11632" s="2">
        <v>2</v>
      </c>
      <c r="G11632" s="2" t="s">
        <v>14</v>
      </c>
    </row>
    <row r="11633" spans="1:9" x14ac:dyDescent="0.2">
      <c r="A11633" s="2" t="s">
        <v>3724</v>
      </c>
      <c r="B11633" s="2" t="s">
        <v>720</v>
      </c>
      <c r="C11633" s="2">
        <v>1139.4559999999999</v>
      </c>
      <c r="D11633" s="2">
        <f>HYPERLINK("http://mcb-m6.bioreg.kyushu-u.ac.jp/M3/20110411/F50891/1239/1", 49.24)</f>
        <v>49.24</v>
      </c>
      <c r="E11633" s="2">
        <v>32.74</v>
      </c>
      <c r="F11633" s="2">
        <v>1</v>
      </c>
      <c r="G11633" s="2" t="s">
        <v>9</v>
      </c>
      <c r="I11633" s="2" t="s">
        <v>4890</v>
      </c>
    </row>
    <row r="11634" spans="1:9" x14ac:dyDescent="0.2">
      <c r="A11634" s="2" t="s">
        <v>3724</v>
      </c>
      <c r="B11634" s="2" t="s">
        <v>720</v>
      </c>
      <c r="C11634" s="2">
        <v>1139.288</v>
      </c>
      <c r="D11634" s="2">
        <f>HYPERLINK("http://mcb-m6.bioreg.kyushu-u.ac.jp/M3/20110414/F50928/1512/1", 43.02)</f>
        <v>43.02</v>
      </c>
      <c r="E11634" s="2">
        <v>19.93</v>
      </c>
      <c r="F11634" s="2">
        <v>1</v>
      </c>
      <c r="G11634" s="2" t="s">
        <v>11</v>
      </c>
      <c r="I11634" s="2" t="s">
        <v>4890</v>
      </c>
    </row>
    <row r="11635" spans="1:9" x14ac:dyDescent="0.2">
      <c r="A11635" s="2" t="s">
        <v>3724</v>
      </c>
      <c r="B11635" s="2" t="s">
        <v>720</v>
      </c>
      <c r="C11635" s="2">
        <v>1140.184</v>
      </c>
      <c r="D11635" s="2">
        <f>HYPERLINK("http://mcb-m6.bioreg.kyushu-u.ac.jp/M3/20110414/F50928/1514/1", 43.87)</f>
        <v>43.87</v>
      </c>
      <c r="E11635" s="2">
        <v>27.95</v>
      </c>
      <c r="F11635" s="2">
        <v>1</v>
      </c>
      <c r="G11635" s="2" t="s">
        <v>11</v>
      </c>
      <c r="I11635" s="2" t="s">
        <v>4890</v>
      </c>
    </row>
    <row r="11636" spans="1:9" x14ac:dyDescent="0.2">
      <c r="A11636" s="2" t="s">
        <v>3724</v>
      </c>
      <c r="B11636" s="2" t="s">
        <v>720</v>
      </c>
      <c r="C11636" s="2">
        <v>570.59969999999998</v>
      </c>
      <c r="D11636" s="2">
        <f>HYPERLINK("http://mcb-m6.bioreg.kyushu-u.ac.jp/M3/20110414/F50933/1701/1", 52.26)</f>
        <v>52.26</v>
      </c>
      <c r="E11636" s="2">
        <v>31.06</v>
      </c>
      <c r="F11636" s="2">
        <v>2</v>
      </c>
      <c r="G11636" s="2" t="s">
        <v>12</v>
      </c>
      <c r="I11636" s="2" t="s">
        <v>4890</v>
      </c>
    </row>
    <row r="11637" spans="1:9" x14ac:dyDescent="0.2">
      <c r="A11637" s="2" t="s">
        <v>3724</v>
      </c>
      <c r="B11637" s="2" t="s">
        <v>720</v>
      </c>
      <c r="C11637" s="2">
        <v>570.5797</v>
      </c>
      <c r="D11637" s="2">
        <f>HYPERLINK("http://mcb-m6.bioreg.kyushu-u.ac.jp/M3/20110502/F51178/1398/1", 70.27)</f>
        <v>70.27</v>
      </c>
      <c r="E11637" s="2">
        <v>47.54</v>
      </c>
      <c r="F11637" s="2">
        <v>2</v>
      </c>
      <c r="G11637" s="2" t="s">
        <v>14</v>
      </c>
      <c r="I11637" s="2" t="s">
        <v>4890</v>
      </c>
    </row>
    <row r="11638" spans="1:9" x14ac:dyDescent="0.2">
      <c r="A11638" s="2" t="s">
        <v>4268</v>
      </c>
      <c r="B11638" s="2" t="s">
        <v>1934</v>
      </c>
      <c r="C11638" s="2">
        <v>658.60720000000003</v>
      </c>
      <c r="D11638" s="2">
        <f>HYPERLINK("http://mcb-m6.bioreg.kyushu-u.ac.jp/M3/20110411/F50898/1916/1", 51.05)</f>
        <v>51.05</v>
      </c>
      <c r="E11638" s="2">
        <v>5.82</v>
      </c>
      <c r="F11638" s="2">
        <v>2</v>
      </c>
      <c r="G11638" s="2" t="s">
        <v>10</v>
      </c>
    </row>
    <row r="11639" spans="1:9" x14ac:dyDescent="0.2">
      <c r="A11639" s="2" t="s">
        <v>4268</v>
      </c>
      <c r="B11639" s="2" t="s">
        <v>1934</v>
      </c>
      <c r="C11639" s="2">
        <v>658.37919999999997</v>
      </c>
      <c r="D11639" s="2">
        <f>HYPERLINK("http://mcb-m6.bioreg.kyushu-u.ac.jp/M3/20110414/F50928/1866/1", 51.32)</f>
        <v>51.32</v>
      </c>
      <c r="E11639" s="2">
        <v>14.5</v>
      </c>
      <c r="F11639" s="2">
        <v>2</v>
      </c>
      <c r="G11639" s="2" t="s">
        <v>11</v>
      </c>
    </row>
    <row r="11640" spans="1:9" x14ac:dyDescent="0.2">
      <c r="A11640" s="2" t="s">
        <v>4268</v>
      </c>
      <c r="B11640" s="2" t="s">
        <v>1934</v>
      </c>
      <c r="C11640" s="2">
        <v>658.30269999999996</v>
      </c>
      <c r="D11640" s="2">
        <f>HYPERLINK("http://mcb-m6.bioreg.kyushu-u.ac.jp/M3/20110414/F50933/2012/1", 56.24)</f>
        <v>56.24</v>
      </c>
      <c r="E11640" s="2">
        <v>17.53</v>
      </c>
      <c r="F11640" s="2">
        <v>2</v>
      </c>
      <c r="G11640" s="2" t="s">
        <v>12</v>
      </c>
    </row>
    <row r="11641" spans="1:9" x14ac:dyDescent="0.2">
      <c r="A11641" s="2" t="s">
        <v>3291</v>
      </c>
      <c r="B11641" s="2" t="s">
        <v>71</v>
      </c>
      <c r="C11641" s="2">
        <v>1551.633</v>
      </c>
      <c r="D11641" s="2">
        <f>HYPERLINK("http://mcb-m6.bioreg.kyushu-u.ac.jp/M3/20110411/F50891/2327/1", 35.69)</f>
        <v>35.69</v>
      </c>
      <c r="E11641" s="2">
        <v>21.46</v>
      </c>
      <c r="F11641" s="2">
        <v>1</v>
      </c>
      <c r="G11641" s="2" t="s">
        <v>9</v>
      </c>
    </row>
    <row r="11642" spans="1:9" x14ac:dyDescent="0.2">
      <c r="A11642" s="2" t="s">
        <v>3291</v>
      </c>
      <c r="B11642" s="2" t="s">
        <v>71</v>
      </c>
      <c r="C11642" s="2">
        <v>776.6327</v>
      </c>
      <c r="D11642" s="2">
        <f>HYPERLINK("http://mcb-m6.bioreg.kyushu-u.ac.jp/M3/20110411/F50891/2329/1", 37.19)</f>
        <v>37.19</v>
      </c>
      <c r="E11642" s="2">
        <v>24.2</v>
      </c>
      <c r="F11642" s="2">
        <v>2</v>
      </c>
      <c r="G11642" s="2" t="s">
        <v>9</v>
      </c>
    </row>
    <row r="11643" spans="1:9" x14ac:dyDescent="0.2">
      <c r="A11643" s="2" t="s">
        <v>3291</v>
      </c>
      <c r="B11643" s="2" t="s">
        <v>71</v>
      </c>
      <c r="C11643" s="2">
        <v>776.83320000000003</v>
      </c>
      <c r="D11643" s="2">
        <f>HYPERLINK("http://mcb-m6.bioreg.kyushu-u.ac.jp/M3/20110414/F50933/2596/1", 50.09)</f>
        <v>50.09</v>
      </c>
      <c r="E11643" s="2">
        <v>32.17</v>
      </c>
      <c r="F11643" s="2">
        <v>2</v>
      </c>
      <c r="G11643" s="2" t="s">
        <v>12</v>
      </c>
    </row>
    <row r="11644" spans="1:9" x14ac:dyDescent="0.2">
      <c r="A11644" s="2" t="s">
        <v>4467</v>
      </c>
      <c r="B11644" s="2" t="s">
        <v>2403</v>
      </c>
      <c r="C11644" s="2">
        <v>694.13319999999999</v>
      </c>
      <c r="D11644" s="2">
        <f>HYPERLINK("http://mcb-m6.bioreg.kyushu-u.ac.jp/M3/20110414/F50928/2045/1", 57.25)</f>
        <v>57.25</v>
      </c>
      <c r="E11644" s="2">
        <v>38.43</v>
      </c>
      <c r="F11644" s="2">
        <v>2</v>
      </c>
      <c r="G11644" s="2" t="s">
        <v>11</v>
      </c>
    </row>
    <row r="11645" spans="1:9" x14ac:dyDescent="0.2">
      <c r="A11645" s="2" t="s">
        <v>4233</v>
      </c>
      <c r="B11645" s="2" t="s">
        <v>1846</v>
      </c>
      <c r="C11645" s="2">
        <v>470.26409999999998</v>
      </c>
      <c r="D11645" s="2">
        <f>HYPERLINK("http://mcb-m6.bioreg.kyushu-u.ac.jp/M3/20110411/F50898/1396/1", 43.44)</f>
        <v>43.44</v>
      </c>
      <c r="E11645" s="2">
        <v>11.63</v>
      </c>
      <c r="F11645" s="2">
        <v>2</v>
      </c>
      <c r="G11645" s="2" t="s">
        <v>10</v>
      </c>
    </row>
    <row r="11646" spans="1:9" x14ac:dyDescent="0.2">
      <c r="A11646" s="2" t="s">
        <v>4579</v>
      </c>
      <c r="B11646" s="2" t="s">
        <v>2636</v>
      </c>
      <c r="C11646" s="2">
        <v>687.65719999999999</v>
      </c>
      <c r="D11646" s="2">
        <f>HYPERLINK("http://mcb-m6.bioreg.kyushu-u.ac.jp/M3/20110414/F50934/2116/1", 45.23)</f>
        <v>45.23</v>
      </c>
      <c r="E11646" s="2">
        <v>27.25</v>
      </c>
      <c r="F11646" s="2">
        <v>2</v>
      </c>
      <c r="G11646" s="2" t="s">
        <v>12</v>
      </c>
    </row>
    <row r="11647" spans="1:9" x14ac:dyDescent="0.2">
      <c r="A11647" s="2" t="s">
        <v>4579</v>
      </c>
      <c r="B11647" s="2" t="s">
        <v>2636</v>
      </c>
      <c r="C11647" s="2">
        <v>687.76919999999996</v>
      </c>
      <c r="D11647" s="2">
        <f>HYPERLINK("http://mcb-m6.bioreg.kyushu-u.ac.jp/M3/20110502/F51182/1519/1", 46.83)</f>
        <v>46.83</v>
      </c>
      <c r="E11647" s="2">
        <v>24.63</v>
      </c>
      <c r="F11647" s="2">
        <v>2</v>
      </c>
      <c r="G11647" s="2" t="s">
        <v>14</v>
      </c>
    </row>
    <row r="11648" spans="1:9" x14ac:dyDescent="0.2">
      <c r="A11648" s="2" t="s">
        <v>4319</v>
      </c>
      <c r="B11648" s="2" t="s">
        <v>2087</v>
      </c>
      <c r="C11648" s="2">
        <v>787.25959999999998</v>
      </c>
      <c r="D11648" s="2">
        <f>HYPERLINK("http://mcb-m6.bioreg.kyushu-u.ac.jp/M3/20110411/F50912/2279/1", 76.62)</f>
        <v>76.62</v>
      </c>
      <c r="E11648" s="2">
        <v>51.23</v>
      </c>
      <c r="F11648" s="2">
        <v>2</v>
      </c>
      <c r="G11648" s="2" t="s">
        <v>10</v>
      </c>
    </row>
    <row r="11649" spans="1:9" x14ac:dyDescent="0.2">
      <c r="A11649" s="2" t="s">
        <v>4319</v>
      </c>
      <c r="B11649" s="2" t="s">
        <v>2087</v>
      </c>
      <c r="C11649" s="2">
        <v>786.91060000000004</v>
      </c>
      <c r="D11649" s="2">
        <f>HYPERLINK("http://mcb-m6.bioreg.kyushu-u.ac.jp/M3/20110414/F50947/2322/1", 72.93)</f>
        <v>72.930000000000007</v>
      </c>
      <c r="E11649" s="2">
        <v>57.4</v>
      </c>
      <c r="F11649" s="2">
        <v>2</v>
      </c>
      <c r="G11649" s="2" t="s">
        <v>12</v>
      </c>
    </row>
    <row r="11650" spans="1:9" x14ac:dyDescent="0.2">
      <c r="A11650" s="2" t="s">
        <v>4319</v>
      </c>
      <c r="B11650" s="2" t="s">
        <v>2954</v>
      </c>
      <c r="C11650" s="2">
        <v>723.42470000000003</v>
      </c>
      <c r="D11650" s="2">
        <f>HYPERLINK("http://mcb-m6.bioreg.kyushu-u.ac.jp/M3/20110502/F51170/1984/1", 80.81)</f>
        <v>80.81</v>
      </c>
      <c r="E11650" s="2">
        <v>58.83</v>
      </c>
      <c r="F11650" s="2">
        <v>2</v>
      </c>
      <c r="G11650" s="2" t="s">
        <v>13</v>
      </c>
    </row>
    <row r="11651" spans="1:9" x14ac:dyDescent="0.2">
      <c r="A11651" s="2" t="s">
        <v>3951</v>
      </c>
      <c r="B11651" s="2" t="s">
        <v>1155</v>
      </c>
      <c r="C11651" s="2">
        <v>562.05110000000002</v>
      </c>
      <c r="D11651" s="2">
        <f>HYPERLINK("http://mcb-m6.bioreg.kyushu-u.ac.jp/M3/20110411/F50904/1310/1", 65.32)</f>
        <v>65.319999999999993</v>
      </c>
      <c r="E11651" s="2">
        <v>28.16</v>
      </c>
      <c r="F11651" s="2">
        <v>2</v>
      </c>
      <c r="G11651" s="2" t="s">
        <v>9</v>
      </c>
    </row>
    <row r="11652" spans="1:9" x14ac:dyDescent="0.2">
      <c r="A11652" s="2" t="s">
        <v>3498</v>
      </c>
      <c r="B11652" s="2" t="s">
        <v>332</v>
      </c>
      <c r="C11652" s="2">
        <v>621.47019999999998</v>
      </c>
      <c r="D11652" s="2">
        <f>HYPERLINK("http://mcb-m6.bioreg.kyushu-u.ac.jp/M3/20110411/F50905/1460/1", 39.84)</f>
        <v>39.840000000000003</v>
      </c>
      <c r="E11652" s="2">
        <v>16.5</v>
      </c>
      <c r="F11652" s="2">
        <v>2</v>
      </c>
      <c r="G11652" s="2" t="s">
        <v>9</v>
      </c>
    </row>
    <row r="11653" spans="1:9" x14ac:dyDescent="0.2">
      <c r="A11653" s="2" t="s">
        <v>3498</v>
      </c>
      <c r="B11653" s="2" t="s">
        <v>1132</v>
      </c>
      <c r="C11653" s="2">
        <v>674.55110000000002</v>
      </c>
      <c r="D11653" s="2">
        <f>HYPERLINK("http://mcb-m6.bioreg.kyushu-u.ac.jp/M3/20110411/F50904/1709/1", 64.44)</f>
        <v>64.44</v>
      </c>
      <c r="E11653" s="2">
        <v>43.11</v>
      </c>
      <c r="F11653" s="2">
        <v>2</v>
      </c>
      <c r="G11653" s="2" t="s">
        <v>9</v>
      </c>
    </row>
    <row r="11654" spans="1:9" x14ac:dyDescent="0.2">
      <c r="A11654" s="2" t="s">
        <v>3498</v>
      </c>
      <c r="B11654" s="2" t="s">
        <v>1132</v>
      </c>
      <c r="C11654" s="2">
        <v>674.79859999999996</v>
      </c>
      <c r="D11654" s="2">
        <f>HYPERLINK("http://mcb-m6.bioreg.kyushu-u.ac.jp/M3/20110411/F50912/1711/1", 91.53)</f>
        <v>91.53</v>
      </c>
      <c r="E11654" s="2">
        <v>42.71</v>
      </c>
      <c r="F11654" s="2">
        <v>2</v>
      </c>
      <c r="G11654" s="2" t="s">
        <v>10</v>
      </c>
    </row>
    <row r="11655" spans="1:9" x14ac:dyDescent="0.2">
      <c r="A11655" s="2" t="s">
        <v>3498</v>
      </c>
      <c r="B11655" s="2" t="s">
        <v>2163</v>
      </c>
      <c r="C11655" s="2">
        <v>488.15609999999998</v>
      </c>
      <c r="D11655" s="2">
        <f>HYPERLINK("http://mcb-m6.bioreg.kyushu-u.ac.jp/M3/20110414/F50941/842/1", 35.61)</f>
        <v>35.61</v>
      </c>
      <c r="E11655" s="2">
        <v>11.46</v>
      </c>
      <c r="F11655" s="2">
        <v>2</v>
      </c>
      <c r="G11655" s="2" t="s">
        <v>11</v>
      </c>
    </row>
    <row r="11656" spans="1:9" x14ac:dyDescent="0.2">
      <c r="A11656" s="2" t="s">
        <v>3498</v>
      </c>
      <c r="B11656" s="2" t="s">
        <v>332</v>
      </c>
      <c r="C11656" s="2">
        <v>621.30909999999994</v>
      </c>
      <c r="D11656" s="2">
        <f>HYPERLINK("http://mcb-m6.bioreg.kyushu-u.ac.jp/M3/20110414/F50947/1267/1", 42.56)</f>
        <v>42.56</v>
      </c>
      <c r="E11656" s="2">
        <v>24.83</v>
      </c>
      <c r="F11656" s="2">
        <v>2</v>
      </c>
      <c r="G11656" s="2" t="s">
        <v>12</v>
      </c>
    </row>
    <row r="11657" spans="1:9" x14ac:dyDescent="0.2">
      <c r="A11657" s="2" t="s">
        <v>3498</v>
      </c>
      <c r="B11657" s="2" t="s">
        <v>1132</v>
      </c>
      <c r="C11657" s="2">
        <v>674.27670000000001</v>
      </c>
      <c r="D11657" s="2">
        <f>HYPERLINK("http://mcb-m6.bioreg.kyushu-u.ac.jp/M3/20110414/F50947/1497/1", 65.99)</f>
        <v>65.989999999999995</v>
      </c>
      <c r="E11657" s="2">
        <v>48.91</v>
      </c>
      <c r="F11657" s="2">
        <v>2</v>
      </c>
      <c r="G11657" s="2" t="s">
        <v>12</v>
      </c>
    </row>
    <row r="11658" spans="1:9" x14ac:dyDescent="0.2">
      <c r="A11658" s="2" t="s">
        <v>4826</v>
      </c>
      <c r="B11658" s="2" t="s">
        <v>3084</v>
      </c>
      <c r="C11658" s="2">
        <v>652.54909999999995</v>
      </c>
      <c r="D11658" s="2">
        <f>HYPERLINK("http://mcb-m6.bioreg.kyushu-u.ac.jp/M3/20110502/F51185/1394/1", 43.02)</f>
        <v>43.02</v>
      </c>
      <c r="E11658" s="2">
        <v>15.43</v>
      </c>
      <c r="F11658" s="2">
        <v>2</v>
      </c>
      <c r="G11658" s="2" t="s">
        <v>14</v>
      </c>
      <c r="H11658" s="2" t="s">
        <v>4908</v>
      </c>
    </row>
    <row r="11659" spans="1:9" x14ac:dyDescent="0.2">
      <c r="A11659" s="2" t="s">
        <v>4551</v>
      </c>
      <c r="B11659" s="2" t="s">
        <v>2582</v>
      </c>
      <c r="C11659" s="2">
        <v>681.25459999999998</v>
      </c>
      <c r="D11659" s="2">
        <f>HYPERLINK("http://mcb-m6.bioreg.kyushu-u.ac.jp/M3/20110414/F50947/1564/1", 39.61)</f>
        <v>39.61</v>
      </c>
      <c r="E11659" s="2">
        <v>23.73</v>
      </c>
      <c r="F11659" s="2">
        <v>2</v>
      </c>
      <c r="G11659" s="2" t="s">
        <v>12</v>
      </c>
    </row>
    <row r="11660" spans="1:9" x14ac:dyDescent="0.2">
      <c r="A11660" s="2" t="s">
        <v>3237</v>
      </c>
      <c r="B11660" s="2" t="s">
        <v>17</v>
      </c>
      <c r="C11660" s="2">
        <v>510.85359999999997</v>
      </c>
      <c r="D11660" s="2">
        <f>HYPERLINK("http://mcb-m6.bioreg.kyushu-u.ac.jp/M3/20110411/F50889/1563/1", 35.03)</f>
        <v>35.03</v>
      </c>
      <c r="E11660" s="2">
        <v>12.02</v>
      </c>
      <c r="F11660" s="2">
        <v>2</v>
      </c>
      <c r="G11660" s="2" t="s">
        <v>9</v>
      </c>
      <c r="I11660" s="2" t="s">
        <v>4890</v>
      </c>
    </row>
    <row r="11661" spans="1:9" x14ac:dyDescent="0.2">
      <c r="A11661" s="2" t="s">
        <v>3743</v>
      </c>
      <c r="B11661" s="2" t="s">
        <v>746</v>
      </c>
      <c r="C11661" s="2">
        <v>509.04759999999999</v>
      </c>
      <c r="D11661" s="2">
        <f>HYPERLINK("http://mcb-m6.bioreg.kyushu-u.ac.jp/M3/20110411/F50905/990/1", 49.95)</f>
        <v>49.95</v>
      </c>
      <c r="E11661" s="2">
        <v>8.26</v>
      </c>
      <c r="F11661" s="2">
        <v>2</v>
      </c>
      <c r="G11661" s="2" t="s">
        <v>9</v>
      </c>
    </row>
    <row r="11662" spans="1:9" x14ac:dyDescent="0.2">
      <c r="A11662" s="2" t="s">
        <v>3779</v>
      </c>
      <c r="B11662" s="2" t="s">
        <v>811</v>
      </c>
      <c r="C11662" s="2">
        <v>677.51620000000003</v>
      </c>
      <c r="D11662" s="2">
        <f>HYPERLINK("http://mcb-m6.bioreg.kyushu-u.ac.jp/M3/20110411/F50903/1718/1", 52.11)</f>
        <v>52.11</v>
      </c>
      <c r="E11662" s="2">
        <v>25.09</v>
      </c>
      <c r="F11662" s="2">
        <v>2</v>
      </c>
      <c r="G11662" s="2" t="s">
        <v>9</v>
      </c>
    </row>
    <row r="11663" spans="1:9" x14ac:dyDescent="0.2">
      <c r="A11663" s="2" t="s">
        <v>3779</v>
      </c>
      <c r="B11663" s="2" t="s">
        <v>811</v>
      </c>
      <c r="C11663" s="2">
        <v>685.40260000000001</v>
      </c>
      <c r="D11663" s="2">
        <f>HYPERLINK("http://mcb-m6.bioreg.kyushu-u.ac.jp/M3/20110414/F50924/1794/1", 35.66)</f>
        <v>35.659999999999997</v>
      </c>
      <c r="E11663" s="2">
        <v>22.87</v>
      </c>
      <c r="F11663" s="2">
        <v>2</v>
      </c>
      <c r="G11663" s="2" t="s">
        <v>11</v>
      </c>
      <c r="H11663" s="2" t="s">
        <v>4896</v>
      </c>
    </row>
    <row r="11664" spans="1:9" x14ac:dyDescent="0.2">
      <c r="A11664" s="2" t="s">
        <v>4368</v>
      </c>
      <c r="B11664" s="2" t="s">
        <v>2195</v>
      </c>
      <c r="C11664" s="2">
        <v>1035.5530000000001</v>
      </c>
      <c r="D11664" s="2">
        <f>HYPERLINK("http://mcb-m6.bioreg.kyushu-u.ac.jp/M3/20110414/F50924/3213/1", 36.51)</f>
        <v>36.51</v>
      </c>
      <c r="E11664" s="2">
        <v>28.23</v>
      </c>
      <c r="F11664" s="2">
        <v>2</v>
      </c>
      <c r="G11664" s="2" t="s">
        <v>11</v>
      </c>
      <c r="H11664" s="2" t="s">
        <v>4917</v>
      </c>
    </row>
    <row r="11665" spans="1:7" x14ac:dyDescent="0.2">
      <c r="A11665" s="2" t="s">
        <v>4624</v>
      </c>
      <c r="B11665" s="2" t="s">
        <v>2764</v>
      </c>
      <c r="C11665" s="2">
        <v>676.97720000000004</v>
      </c>
      <c r="D11665" s="2">
        <f>HYPERLINK("http://mcb-m6.bioreg.kyushu-u.ac.jp/M3/20110414/F50950/1750/1", 82.3)</f>
        <v>82.3</v>
      </c>
      <c r="E11665" s="2">
        <v>39.6</v>
      </c>
      <c r="F11665" s="2">
        <v>2</v>
      </c>
      <c r="G11665" s="2" t="s">
        <v>12</v>
      </c>
    </row>
    <row r="11666" spans="1:7" x14ac:dyDescent="0.2">
      <c r="A11666" s="2" t="s">
        <v>4624</v>
      </c>
      <c r="B11666" s="2" t="s">
        <v>2764</v>
      </c>
      <c r="C11666" s="2">
        <v>677.54669999999999</v>
      </c>
      <c r="D11666" s="2">
        <f>HYPERLINK("http://mcb-m6.bioreg.kyushu-u.ac.jp/M3/20110502/F51185/1513/1", 49.74)</f>
        <v>49.74</v>
      </c>
      <c r="E11666" s="2">
        <v>3.15</v>
      </c>
      <c r="F11666" s="2">
        <v>2</v>
      </c>
      <c r="G11666" s="2" t="s">
        <v>14</v>
      </c>
    </row>
    <row r="11667" spans="1:7" x14ac:dyDescent="0.2">
      <c r="A11667" s="2" t="s">
        <v>3828</v>
      </c>
      <c r="B11667" s="2" t="s">
        <v>900</v>
      </c>
      <c r="C11667" s="2">
        <v>573.23360000000002</v>
      </c>
      <c r="D11667" s="2">
        <f>HYPERLINK("http://mcb-m6.bioreg.kyushu-u.ac.jp/M3/20110411/F50892/1544/1", 55.02)</f>
        <v>55.02</v>
      </c>
      <c r="E11667" s="2">
        <v>35.299999999999997</v>
      </c>
      <c r="F11667" s="2">
        <v>2</v>
      </c>
      <c r="G11667" s="2" t="s">
        <v>9</v>
      </c>
    </row>
    <row r="11668" spans="1:7" x14ac:dyDescent="0.2">
      <c r="A11668" s="2" t="s">
        <v>3828</v>
      </c>
      <c r="B11668" s="2" t="s">
        <v>927</v>
      </c>
      <c r="C11668" s="2">
        <v>625.11770000000001</v>
      </c>
      <c r="D11668" s="2">
        <f>HYPERLINK("http://mcb-m6.bioreg.kyushu-u.ac.jp/M3/20110411/F50892/1738/1", 55.87)</f>
        <v>55.87</v>
      </c>
      <c r="E11668" s="2">
        <v>42.62</v>
      </c>
      <c r="F11668" s="2">
        <v>2</v>
      </c>
      <c r="G11668" s="2" t="s">
        <v>9</v>
      </c>
    </row>
    <row r="11669" spans="1:7" x14ac:dyDescent="0.2">
      <c r="A11669" s="2" t="s">
        <v>3828</v>
      </c>
      <c r="B11669" s="2" t="s">
        <v>927</v>
      </c>
      <c r="C11669" s="2">
        <v>625.11320000000001</v>
      </c>
      <c r="D11669" s="2">
        <f>HYPERLINK("http://mcb-m6.bioreg.kyushu-u.ac.jp/M3/20110502/F51180/1230/1", 74.94)</f>
        <v>74.94</v>
      </c>
      <c r="E11669" s="2">
        <v>48.55</v>
      </c>
      <c r="F11669" s="2">
        <v>2</v>
      </c>
      <c r="G11669" s="2" t="s">
        <v>13</v>
      </c>
    </row>
    <row r="11670" spans="1:7" x14ac:dyDescent="0.2">
      <c r="A11670" s="2" t="s">
        <v>4455</v>
      </c>
      <c r="B11670" s="2" t="s">
        <v>2365</v>
      </c>
      <c r="C11670" s="2">
        <v>1023.958</v>
      </c>
      <c r="D11670" s="2">
        <f>HYPERLINK("http://mcb-m6.bioreg.kyushu-u.ac.jp/M3/20110414/F50945/3195/1", 50.86)</f>
        <v>50.86</v>
      </c>
      <c r="E11670" s="2">
        <v>44.98</v>
      </c>
      <c r="F11670" s="2">
        <v>2</v>
      </c>
      <c r="G11670" s="2" t="s">
        <v>11</v>
      </c>
    </row>
    <row r="11671" spans="1:7" x14ac:dyDescent="0.2">
      <c r="A11671" s="2" t="s">
        <v>3276</v>
      </c>
      <c r="B11671" s="2" t="s">
        <v>56</v>
      </c>
      <c r="C11671" s="2">
        <v>705.38210000000004</v>
      </c>
      <c r="D11671" s="2">
        <f>HYPERLINK("http://mcb-m6.bioreg.kyushu-u.ac.jp/M3/20110411/F50892/2035/1", 35.54)</f>
        <v>35.54</v>
      </c>
      <c r="E11671" s="2">
        <v>16.5</v>
      </c>
      <c r="F11671" s="2">
        <v>2</v>
      </c>
      <c r="G11671" s="2" t="s">
        <v>9</v>
      </c>
    </row>
    <row r="11672" spans="1:7" x14ac:dyDescent="0.2">
      <c r="A11672" s="2" t="s">
        <v>3276</v>
      </c>
      <c r="B11672" s="2" t="s">
        <v>56</v>
      </c>
      <c r="C11672" s="2">
        <v>705.93320000000006</v>
      </c>
      <c r="D11672" s="2">
        <f>HYPERLINK("http://mcb-m6.bioreg.kyushu-u.ac.jp/M3/20110411/F50892/2039/1", 71.72)</f>
        <v>71.72</v>
      </c>
      <c r="E11672" s="2">
        <v>61.19</v>
      </c>
      <c r="F11672" s="2">
        <v>2</v>
      </c>
      <c r="G11672" s="2" t="s">
        <v>9</v>
      </c>
    </row>
    <row r="11673" spans="1:7" x14ac:dyDescent="0.2">
      <c r="A11673" s="2" t="s">
        <v>3487</v>
      </c>
      <c r="B11673" s="2" t="s">
        <v>315</v>
      </c>
      <c r="C11673" s="2">
        <v>537.8202</v>
      </c>
      <c r="D11673" s="2">
        <f>HYPERLINK("http://mcb-m6.bioreg.kyushu-u.ac.jp/M3/20110411/F50915/909/1", 39.62)</f>
        <v>39.619999999999997</v>
      </c>
      <c r="E11673" s="2">
        <v>16.3</v>
      </c>
      <c r="F11673" s="2">
        <v>2</v>
      </c>
      <c r="G11673" s="2" t="s">
        <v>9</v>
      </c>
    </row>
    <row r="11674" spans="1:7" x14ac:dyDescent="0.2">
      <c r="A11674" s="2" t="s">
        <v>3487</v>
      </c>
      <c r="B11674" s="2" t="s">
        <v>655</v>
      </c>
      <c r="C11674" s="2">
        <v>699.67359999999996</v>
      </c>
      <c r="D11674" s="2">
        <f>HYPERLINK("http://mcb-m6.bioreg.kyushu-u.ac.jp/M3/20110411/F50915/1648/1", 47.4)</f>
        <v>47.4</v>
      </c>
      <c r="E11674" s="2">
        <v>29.42</v>
      </c>
      <c r="F11674" s="2">
        <v>2</v>
      </c>
      <c r="G11674" s="2" t="s">
        <v>9</v>
      </c>
    </row>
    <row r="11675" spans="1:7" x14ac:dyDescent="0.2">
      <c r="A11675" s="2" t="s">
        <v>3487</v>
      </c>
      <c r="B11675" s="2" t="s">
        <v>971</v>
      </c>
      <c r="C11675" s="2">
        <v>917.63369999999998</v>
      </c>
      <c r="D11675" s="2">
        <f>HYPERLINK("http://mcb-m6.bioreg.kyushu-u.ac.jp/M3/20110411/F50915/2921/1", 57.35)</f>
        <v>57.35</v>
      </c>
      <c r="E11675" s="2">
        <v>39.729999999999997</v>
      </c>
      <c r="F11675" s="2">
        <v>2</v>
      </c>
      <c r="G11675" s="2" t="s">
        <v>9</v>
      </c>
    </row>
    <row r="11676" spans="1:7" x14ac:dyDescent="0.2">
      <c r="A11676" s="2" t="s">
        <v>3487</v>
      </c>
      <c r="B11676" s="2" t="s">
        <v>1024</v>
      </c>
      <c r="C11676" s="2">
        <v>784.41420000000005</v>
      </c>
      <c r="D11676" s="2">
        <f>HYPERLINK("http://mcb-m6.bioreg.kyushu-u.ac.jp/M3/20110411/F50915/2181/1", 59.23)</f>
        <v>59.23</v>
      </c>
      <c r="E11676" s="2">
        <v>48.32</v>
      </c>
      <c r="F11676" s="2">
        <v>2</v>
      </c>
      <c r="G11676" s="2" t="s">
        <v>9</v>
      </c>
    </row>
    <row r="11677" spans="1:7" x14ac:dyDescent="0.2">
      <c r="A11677" s="2" t="s">
        <v>3487</v>
      </c>
      <c r="B11677" s="2" t="s">
        <v>1064</v>
      </c>
      <c r="C11677" s="2">
        <v>596.4597</v>
      </c>
      <c r="D11677" s="2">
        <f>HYPERLINK("http://mcb-m6.bioreg.kyushu-u.ac.jp/M3/20110411/F50915/1151/1", 61.12)</f>
        <v>61.12</v>
      </c>
      <c r="E11677" s="2">
        <v>38.81</v>
      </c>
      <c r="F11677" s="2">
        <v>2</v>
      </c>
      <c r="G11677" s="2" t="s">
        <v>9</v>
      </c>
    </row>
    <row r="11678" spans="1:7" x14ac:dyDescent="0.2">
      <c r="A11678" s="2" t="s">
        <v>3487</v>
      </c>
      <c r="B11678" s="2" t="s">
        <v>1247</v>
      </c>
      <c r="C11678" s="2">
        <v>839.90219999999999</v>
      </c>
      <c r="D11678" s="2">
        <f>HYPERLINK("http://mcb-m6.bioreg.kyushu-u.ac.jp/M3/20110411/F50915/2502/1", 68.99)</f>
        <v>68.989999999999995</v>
      </c>
      <c r="E11678" s="2">
        <v>46.02</v>
      </c>
      <c r="F11678" s="2">
        <v>2</v>
      </c>
      <c r="G11678" s="2" t="s">
        <v>9</v>
      </c>
    </row>
    <row r="11679" spans="1:7" x14ac:dyDescent="0.2">
      <c r="A11679" s="2" t="s">
        <v>3487</v>
      </c>
      <c r="B11679" s="2" t="s">
        <v>1402</v>
      </c>
      <c r="C11679" s="2">
        <v>1090.085</v>
      </c>
      <c r="D11679" s="2">
        <f>HYPERLINK("http://mcb-m6.bioreg.kyushu-u.ac.jp/M3/20110411/F50915/3570/1", 78.04)</f>
        <v>78.040000000000006</v>
      </c>
      <c r="E11679" s="2">
        <v>70.540000000000006</v>
      </c>
      <c r="F11679" s="2">
        <v>2</v>
      </c>
      <c r="G11679" s="2" t="s">
        <v>9</v>
      </c>
    </row>
    <row r="11680" spans="1:7" x14ac:dyDescent="0.2">
      <c r="A11680" s="2" t="s">
        <v>3487</v>
      </c>
      <c r="B11680" s="2" t="s">
        <v>1786</v>
      </c>
      <c r="C11680" s="2">
        <v>803.01369999999997</v>
      </c>
      <c r="D11680" s="2">
        <f>HYPERLINK("http://mcb-m6.bioreg.kyushu-u.ac.jp/M3/20110411/F50917/2344/1", 39.22)</f>
        <v>39.22</v>
      </c>
      <c r="E11680" s="2">
        <v>19.64</v>
      </c>
      <c r="F11680" s="2">
        <v>2</v>
      </c>
      <c r="G11680" s="2" t="s">
        <v>10</v>
      </c>
    </row>
    <row r="11681" spans="1:7" x14ac:dyDescent="0.2">
      <c r="A11681" s="2" t="s">
        <v>3487</v>
      </c>
      <c r="B11681" s="2" t="s">
        <v>1842</v>
      </c>
      <c r="C11681" s="2">
        <v>620.98659999999995</v>
      </c>
      <c r="D11681" s="2">
        <f>HYPERLINK("http://mcb-m6.bioreg.kyushu-u.ac.jp/M3/20110411/F50917/1338/1", 42.97)</f>
        <v>42.97</v>
      </c>
      <c r="E11681" s="2">
        <v>24.76</v>
      </c>
      <c r="F11681" s="2">
        <v>2</v>
      </c>
      <c r="G11681" s="2" t="s">
        <v>10</v>
      </c>
    </row>
    <row r="11682" spans="1:7" x14ac:dyDescent="0.2">
      <c r="A11682" s="2" t="s">
        <v>3487</v>
      </c>
      <c r="B11682" s="2" t="s">
        <v>1064</v>
      </c>
      <c r="C11682" s="2">
        <v>596.44460000000004</v>
      </c>
      <c r="D11682" s="2">
        <f>HYPERLINK("http://mcb-m6.bioreg.kyushu-u.ac.jp/M3/20110411/F50917/1225/1", 46.62)</f>
        <v>46.62</v>
      </c>
      <c r="E11682" s="2">
        <v>23.29</v>
      </c>
      <c r="F11682" s="2">
        <v>2</v>
      </c>
      <c r="G11682" s="2" t="s">
        <v>10</v>
      </c>
    </row>
    <row r="11683" spans="1:7" x14ac:dyDescent="0.2">
      <c r="A11683" s="2" t="s">
        <v>3487</v>
      </c>
      <c r="B11683" s="2" t="s">
        <v>1912</v>
      </c>
      <c r="C11683" s="2">
        <v>919.04610000000002</v>
      </c>
      <c r="D11683" s="2">
        <f>HYPERLINK("http://mcb-m6.bioreg.kyushu-u.ac.jp/M3/20110411/F50917/2984/1", 49.13)</f>
        <v>49.13</v>
      </c>
      <c r="E11683" s="2">
        <v>35.01</v>
      </c>
      <c r="F11683" s="2">
        <v>2</v>
      </c>
      <c r="G11683" s="2" t="s">
        <v>10</v>
      </c>
    </row>
    <row r="11684" spans="1:7" x14ac:dyDescent="0.2">
      <c r="A11684" s="2" t="s">
        <v>3487</v>
      </c>
      <c r="B11684" s="2" t="s">
        <v>1930</v>
      </c>
      <c r="C11684" s="2">
        <v>609.33219999999994</v>
      </c>
      <c r="D11684" s="2">
        <f>HYPERLINK("http://mcb-m6.bioreg.kyushu-u.ac.jp/M3/20110411/F50917/1286/1", 50.86)</f>
        <v>50.86</v>
      </c>
      <c r="E11684" s="2">
        <v>23.67</v>
      </c>
      <c r="F11684" s="2">
        <v>2</v>
      </c>
      <c r="G11684" s="2" t="s">
        <v>10</v>
      </c>
    </row>
    <row r="11685" spans="1:7" x14ac:dyDescent="0.2">
      <c r="A11685" s="2" t="s">
        <v>3487</v>
      </c>
      <c r="B11685" s="2" t="s">
        <v>315</v>
      </c>
      <c r="C11685" s="2">
        <v>537.90219999999999</v>
      </c>
      <c r="D11685" s="2">
        <f>HYPERLINK("http://mcb-m6.bioreg.kyushu-u.ac.jp/M3/20110411/F50917/951/1", 52.2)</f>
        <v>52.2</v>
      </c>
      <c r="E11685" s="2">
        <v>27.52</v>
      </c>
      <c r="F11685" s="2">
        <v>2</v>
      </c>
      <c r="G11685" s="2" t="s">
        <v>10</v>
      </c>
    </row>
    <row r="11686" spans="1:7" x14ac:dyDescent="0.2">
      <c r="A11686" s="2" t="s">
        <v>3487</v>
      </c>
      <c r="B11686" s="2" t="s">
        <v>1956</v>
      </c>
      <c r="C11686" s="2">
        <v>757.07510000000002</v>
      </c>
      <c r="D11686" s="2">
        <f>HYPERLINK("http://mcb-m6.bioreg.kyushu-u.ac.jp/M3/20110411/F50917/2050/1", 54.08)</f>
        <v>54.08</v>
      </c>
      <c r="E11686" s="2">
        <v>39.35</v>
      </c>
      <c r="F11686" s="2">
        <v>2</v>
      </c>
      <c r="G11686" s="2" t="s">
        <v>10</v>
      </c>
    </row>
    <row r="11687" spans="1:7" x14ac:dyDescent="0.2">
      <c r="A11687" s="2" t="s">
        <v>3487</v>
      </c>
      <c r="B11687" s="2" t="s">
        <v>655</v>
      </c>
      <c r="C11687" s="2">
        <v>699.96420000000001</v>
      </c>
      <c r="D11687" s="2">
        <f>HYPERLINK("http://mcb-m6.bioreg.kyushu-u.ac.jp/M3/20110411/F50917/1719/1", 55.64)</f>
        <v>55.64</v>
      </c>
      <c r="E11687" s="2">
        <v>34.159999999999997</v>
      </c>
      <c r="F11687" s="2">
        <v>2</v>
      </c>
      <c r="G11687" s="2" t="s">
        <v>10</v>
      </c>
    </row>
    <row r="11688" spans="1:7" x14ac:dyDescent="0.2">
      <c r="A11688" s="2" t="s">
        <v>3487</v>
      </c>
      <c r="B11688" s="2" t="s">
        <v>2012</v>
      </c>
      <c r="C11688" s="2">
        <v>658.8922</v>
      </c>
      <c r="D11688" s="2">
        <f>HYPERLINK("http://mcb-m6.bioreg.kyushu-u.ac.jp/M3/20110411/F50917/1503/1", 61.7)</f>
        <v>61.7</v>
      </c>
      <c r="E11688" s="2">
        <v>36.479999999999997</v>
      </c>
      <c r="F11688" s="2">
        <v>2</v>
      </c>
      <c r="G11688" s="2" t="s">
        <v>10</v>
      </c>
    </row>
    <row r="11689" spans="1:7" x14ac:dyDescent="0.2">
      <c r="A11689" s="2" t="s">
        <v>3487</v>
      </c>
      <c r="B11689" s="2" t="s">
        <v>1912</v>
      </c>
      <c r="C11689" s="2">
        <v>919.56709999999998</v>
      </c>
      <c r="D11689" s="2">
        <f>HYPERLINK("http://mcb-m6.bioreg.kyushu-u.ac.jp/M3/20110411/F50917/2987/1", 74.12)</f>
        <v>74.12</v>
      </c>
      <c r="E11689" s="2">
        <v>61.49</v>
      </c>
      <c r="F11689" s="2">
        <v>2</v>
      </c>
      <c r="G11689" s="2" t="s">
        <v>10</v>
      </c>
    </row>
    <row r="11690" spans="1:7" x14ac:dyDescent="0.2">
      <c r="A11690" s="2" t="s">
        <v>3487</v>
      </c>
      <c r="B11690" s="2" t="s">
        <v>2095</v>
      </c>
      <c r="C11690" s="2">
        <v>967.59169999999995</v>
      </c>
      <c r="D11690" s="2">
        <f>HYPERLINK("http://mcb-m6.bioreg.kyushu-u.ac.jp/M3/20110411/F50917/3191/1", 79.3)</f>
        <v>79.3</v>
      </c>
      <c r="E11690" s="2">
        <v>69.95</v>
      </c>
      <c r="F11690" s="2">
        <v>2</v>
      </c>
      <c r="G11690" s="2" t="s">
        <v>10</v>
      </c>
    </row>
    <row r="11691" spans="1:7" x14ac:dyDescent="0.2">
      <c r="A11691" s="2" t="s">
        <v>3487</v>
      </c>
      <c r="B11691" s="2" t="s">
        <v>2098</v>
      </c>
      <c r="C11691" s="2">
        <v>715.97119999999995</v>
      </c>
      <c r="D11691" s="2">
        <f>HYPERLINK("http://mcb-m6.bioreg.kyushu-u.ac.jp/M3/20110411/F50917/1816/1", 79.89)</f>
        <v>79.89</v>
      </c>
      <c r="E11691" s="2">
        <v>48.72</v>
      </c>
      <c r="F11691" s="2">
        <v>2</v>
      </c>
      <c r="G11691" s="2" t="s">
        <v>10</v>
      </c>
    </row>
    <row r="11692" spans="1:7" x14ac:dyDescent="0.2">
      <c r="A11692" s="2" t="s">
        <v>3487</v>
      </c>
      <c r="B11692" s="2" t="s">
        <v>2110</v>
      </c>
      <c r="C11692" s="2">
        <v>945.01419999999996</v>
      </c>
      <c r="D11692" s="2">
        <f>HYPERLINK("http://mcb-m6.bioreg.kyushu-u.ac.jp/M3/20110411/F50917/3098/1", 84.05)</f>
        <v>84.05</v>
      </c>
      <c r="E11692" s="2">
        <v>64.69</v>
      </c>
      <c r="F11692" s="2">
        <v>2</v>
      </c>
      <c r="G11692" s="2" t="s">
        <v>10</v>
      </c>
    </row>
    <row r="11693" spans="1:7" x14ac:dyDescent="0.2">
      <c r="A11693" s="2" t="s">
        <v>3487</v>
      </c>
      <c r="B11693" s="2" t="s">
        <v>2095</v>
      </c>
      <c r="C11693" s="2">
        <v>968.09370000000001</v>
      </c>
      <c r="D11693" s="2">
        <f>HYPERLINK("http://mcb-m6.bioreg.kyushu-u.ac.jp/M3/20110411/F50917/3192/1", 97.35)</f>
        <v>97.35</v>
      </c>
      <c r="E11693" s="2">
        <v>79.849999999999994</v>
      </c>
      <c r="F11693" s="2">
        <v>2</v>
      </c>
      <c r="G11693" s="2" t="s">
        <v>10</v>
      </c>
    </row>
    <row r="11694" spans="1:7" x14ac:dyDescent="0.2">
      <c r="A11694" s="2" t="s">
        <v>3487</v>
      </c>
      <c r="B11694" s="2" t="s">
        <v>1402</v>
      </c>
      <c r="C11694" s="2">
        <v>1089.5450000000001</v>
      </c>
      <c r="D11694" s="2">
        <f>HYPERLINK("http://mcb-m6.bioreg.kyushu-u.ac.jp/M3/20110411/F50917/3601/1", 125.94)</f>
        <v>125.94</v>
      </c>
      <c r="E11694" s="2">
        <v>114.01</v>
      </c>
      <c r="F11694" s="2">
        <v>2</v>
      </c>
      <c r="G11694" s="2" t="s">
        <v>10</v>
      </c>
    </row>
    <row r="11695" spans="1:7" x14ac:dyDescent="0.2">
      <c r="A11695" s="2" t="s">
        <v>3487</v>
      </c>
      <c r="B11695" s="2" t="s">
        <v>2148</v>
      </c>
      <c r="C11695" s="2">
        <v>1075.2</v>
      </c>
      <c r="D11695" s="2">
        <f>HYPERLINK("http://mcb-m6.bioreg.kyushu-u.ac.jp/M3/20110411/F50917/3570/1", 126.81)</f>
        <v>126.81</v>
      </c>
      <c r="E11695" s="2">
        <v>111.11</v>
      </c>
      <c r="F11695" s="2">
        <v>2</v>
      </c>
      <c r="G11695" s="2" t="s">
        <v>10</v>
      </c>
    </row>
    <row r="11696" spans="1:7" x14ac:dyDescent="0.2">
      <c r="A11696" s="2" t="s">
        <v>3487</v>
      </c>
      <c r="B11696" s="2" t="s">
        <v>2149</v>
      </c>
      <c r="C11696" s="2">
        <v>795.04769999999996</v>
      </c>
      <c r="D11696" s="2">
        <f>HYPERLINK("http://mcb-m6.bioreg.kyushu-u.ac.jp/M3/20110411/F50917/2299/1", 133.19)</f>
        <v>133.19</v>
      </c>
      <c r="E11696" s="2">
        <v>113.67</v>
      </c>
      <c r="F11696" s="2">
        <v>2</v>
      </c>
      <c r="G11696" s="2" t="s">
        <v>10</v>
      </c>
    </row>
    <row r="11697" spans="1:7" x14ac:dyDescent="0.2">
      <c r="A11697" s="2" t="s">
        <v>3487</v>
      </c>
      <c r="B11697" s="2" t="s">
        <v>1064</v>
      </c>
      <c r="C11697" s="2">
        <v>596.69920000000002</v>
      </c>
      <c r="D11697" s="2">
        <f>HYPERLINK("http://mcb-m6.bioreg.kyushu-u.ac.jp/M3/20110414/F50956/1037/1", 45.73)</f>
        <v>45.73</v>
      </c>
      <c r="E11697" s="2">
        <v>27.64</v>
      </c>
      <c r="F11697" s="2">
        <v>2</v>
      </c>
      <c r="G11697" s="2" t="s">
        <v>11</v>
      </c>
    </row>
    <row r="11698" spans="1:7" x14ac:dyDescent="0.2">
      <c r="A11698" s="2" t="s">
        <v>3487</v>
      </c>
      <c r="B11698" s="2" t="s">
        <v>1064</v>
      </c>
      <c r="C11698" s="2">
        <v>596.19669999999996</v>
      </c>
      <c r="D11698" s="2">
        <f>HYPERLINK("http://mcb-m6.bioreg.kyushu-u.ac.jp/M3/20110414/F50956/1034/1", 49)</f>
        <v>49</v>
      </c>
      <c r="E11698" s="2">
        <v>33.71</v>
      </c>
      <c r="F11698" s="2">
        <v>2</v>
      </c>
      <c r="G11698" s="2" t="s">
        <v>11</v>
      </c>
    </row>
    <row r="11699" spans="1:7" x14ac:dyDescent="0.2">
      <c r="A11699" s="2" t="s">
        <v>3487</v>
      </c>
      <c r="B11699" s="2" t="s">
        <v>2098</v>
      </c>
      <c r="C11699" s="2">
        <v>716.1422</v>
      </c>
      <c r="D11699" s="2">
        <f>HYPERLINK("http://mcb-m6.bioreg.kyushu-u.ac.jp/M3/20110414/F50956/1739/1", 58.9)</f>
        <v>58.9</v>
      </c>
      <c r="E11699" s="2">
        <v>28.58</v>
      </c>
      <c r="F11699" s="2">
        <v>2</v>
      </c>
      <c r="G11699" s="2" t="s">
        <v>11</v>
      </c>
    </row>
    <row r="11700" spans="1:7" x14ac:dyDescent="0.2">
      <c r="A11700" s="2" t="s">
        <v>3487</v>
      </c>
      <c r="B11700" s="2" t="s">
        <v>1247</v>
      </c>
      <c r="C11700" s="2">
        <v>839.44420000000002</v>
      </c>
      <c r="D11700" s="2">
        <f>HYPERLINK("http://mcb-m6.bioreg.kyushu-u.ac.jp/M3/20110414/F50956/2632/1", 68.1)</f>
        <v>68.099999999999994</v>
      </c>
      <c r="E11700" s="2">
        <v>39.17</v>
      </c>
      <c r="F11700" s="2">
        <v>2</v>
      </c>
      <c r="G11700" s="2" t="s">
        <v>11</v>
      </c>
    </row>
    <row r="11701" spans="1:7" x14ac:dyDescent="0.2">
      <c r="A11701" s="2" t="s">
        <v>3487</v>
      </c>
      <c r="B11701" s="2" t="s">
        <v>2012</v>
      </c>
      <c r="C11701" s="2">
        <v>658.68910000000005</v>
      </c>
      <c r="D11701" s="2">
        <f>HYPERLINK("http://mcb-m6.bioreg.kyushu-u.ac.jp/M3/20110414/F50956/1368/1", 79.53)</f>
        <v>79.53</v>
      </c>
      <c r="E11701" s="2">
        <v>53.95</v>
      </c>
      <c r="F11701" s="2">
        <v>2</v>
      </c>
      <c r="G11701" s="2" t="s">
        <v>11</v>
      </c>
    </row>
    <row r="11702" spans="1:7" x14ac:dyDescent="0.2">
      <c r="A11702" s="2" t="s">
        <v>3487</v>
      </c>
      <c r="B11702" s="2" t="s">
        <v>971</v>
      </c>
      <c r="C11702" s="2">
        <v>917.86770000000001</v>
      </c>
      <c r="D11702" s="2">
        <f>HYPERLINK("http://mcb-m6.bioreg.kyushu-u.ac.jp/M3/20110414/F50956/3105/1", 81.11)</f>
        <v>81.11</v>
      </c>
      <c r="E11702" s="2">
        <v>65.48</v>
      </c>
      <c r="F11702" s="2">
        <v>2</v>
      </c>
      <c r="G11702" s="2" t="s">
        <v>11</v>
      </c>
    </row>
    <row r="11703" spans="1:7" x14ac:dyDescent="0.2">
      <c r="A11703" s="2" t="s">
        <v>3487</v>
      </c>
      <c r="B11703" s="2" t="s">
        <v>1402</v>
      </c>
      <c r="C11703" s="2">
        <v>1089.174</v>
      </c>
      <c r="D11703" s="2">
        <f>HYPERLINK("http://mcb-m6.bioreg.kyushu-u.ac.jp/M3/20110414/F50956/3920/1", 98.9)</f>
        <v>98.9</v>
      </c>
      <c r="E11703" s="2">
        <v>79.37</v>
      </c>
      <c r="F11703" s="2">
        <v>2</v>
      </c>
      <c r="G11703" s="2" t="s">
        <v>11</v>
      </c>
    </row>
    <row r="11704" spans="1:7" x14ac:dyDescent="0.2">
      <c r="A11704" s="2" t="s">
        <v>3487</v>
      </c>
      <c r="B11704" s="2" t="s">
        <v>1402</v>
      </c>
      <c r="C11704" s="2">
        <v>1089.788</v>
      </c>
      <c r="D11704" s="2">
        <f>HYPERLINK("http://mcb-m6.bioreg.kyushu-u.ac.jp/M3/20110414/F50956/3922/1", 115.52)</f>
        <v>115.52</v>
      </c>
      <c r="E11704" s="2">
        <v>103.55</v>
      </c>
      <c r="F11704" s="2">
        <v>2</v>
      </c>
      <c r="G11704" s="2" t="s">
        <v>11</v>
      </c>
    </row>
    <row r="11705" spans="1:7" x14ac:dyDescent="0.2">
      <c r="A11705" s="2" t="s">
        <v>3487</v>
      </c>
      <c r="B11705" s="2" t="s">
        <v>1786</v>
      </c>
      <c r="C11705" s="2">
        <v>802.56769999999995</v>
      </c>
      <c r="D11705" s="2">
        <f>HYPERLINK("http://mcb-m6.bioreg.kyushu-u.ac.jp/M3/20110414/F50958/2441/1", 35.01)</f>
        <v>35.01</v>
      </c>
      <c r="E11705" s="2">
        <v>23.02</v>
      </c>
      <c r="F11705" s="2">
        <v>2</v>
      </c>
      <c r="G11705" s="2" t="s">
        <v>12</v>
      </c>
    </row>
    <row r="11706" spans="1:7" x14ac:dyDescent="0.2">
      <c r="A11706" s="2" t="s">
        <v>3487</v>
      </c>
      <c r="B11706" s="2" t="s">
        <v>1064</v>
      </c>
      <c r="C11706" s="2">
        <v>596.67610000000002</v>
      </c>
      <c r="D11706" s="2">
        <f>HYPERLINK("http://mcb-m6.bioreg.kyushu-u.ac.jp/M3/20110414/F50958/1103/1", 44.7)</f>
        <v>44.7</v>
      </c>
      <c r="E11706" s="2">
        <v>28.7</v>
      </c>
      <c r="F11706" s="2">
        <v>2</v>
      </c>
      <c r="G11706" s="2" t="s">
        <v>12</v>
      </c>
    </row>
    <row r="11707" spans="1:7" x14ac:dyDescent="0.2">
      <c r="A11707" s="2" t="s">
        <v>3487</v>
      </c>
      <c r="B11707" s="2" t="s">
        <v>1064</v>
      </c>
      <c r="C11707" s="2">
        <v>596.17269999999996</v>
      </c>
      <c r="D11707" s="2">
        <f>HYPERLINK("http://mcb-m6.bioreg.kyushu-u.ac.jp/M3/20110414/F50958/1099/1", 51.55)</f>
        <v>51.55</v>
      </c>
      <c r="E11707" s="2">
        <v>32.869999999999997</v>
      </c>
      <c r="F11707" s="2">
        <v>2</v>
      </c>
      <c r="G11707" s="2" t="s">
        <v>12</v>
      </c>
    </row>
    <row r="11708" spans="1:7" x14ac:dyDescent="0.2">
      <c r="A11708" s="2" t="s">
        <v>3487</v>
      </c>
      <c r="B11708" s="2" t="s">
        <v>2098</v>
      </c>
      <c r="C11708" s="2">
        <v>715.65309999999999</v>
      </c>
      <c r="D11708" s="2">
        <f>HYPERLINK("http://mcb-m6.bioreg.kyushu-u.ac.jp/M3/20110414/F50958/1805/1", 60.66)</f>
        <v>60.66</v>
      </c>
      <c r="E11708" s="2">
        <v>29.92</v>
      </c>
      <c r="F11708" s="2">
        <v>2</v>
      </c>
      <c r="G11708" s="2" t="s">
        <v>12</v>
      </c>
    </row>
    <row r="11709" spans="1:7" x14ac:dyDescent="0.2">
      <c r="A11709" s="2" t="s">
        <v>3487</v>
      </c>
      <c r="B11709" s="2" t="s">
        <v>2095</v>
      </c>
      <c r="C11709" s="2">
        <v>967.75210000000004</v>
      </c>
      <c r="D11709" s="2">
        <f>HYPERLINK("http://mcb-m6.bioreg.kyushu-u.ac.jp/M3/20110414/F50958/3457/1", 62.31)</f>
        <v>62.31</v>
      </c>
      <c r="E11709" s="2">
        <v>53.96</v>
      </c>
      <c r="F11709" s="2">
        <v>2</v>
      </c>
      <c r="G11709" s="2" t="s">
        <v>12</v>
      </c>
    </row>
    <row r="11710" spans="1:7" x14ac:dyDescent="0.2">
      <c r="A11710" s="2" t="s">
        <v>3487</v>
      </c>
      <c r="B11710" s="2" t="s">
        <v>2012</v>
      </c>
      <c r="C11710" s="2">
        <v>658.7097</v>
      </c>
      <c r="D11710" s="2">
        <f>HYPERLINK("http://mcb-m6.bioreg.kyushu-u.ac.jp/M3/20110414/F50958/1442/1", 72.7)</f>
        <v>72.7</v>
      </c>
      <c r="E11710" s="2">
        <v>46.64</v>
      </c>
      <c r="F11710" s="2">
        <v>2</v>
      </c>
      <c r="G11710" s="2" t="s">
        <v>12</v>
      </c>
    </row>
    <row r="11711" spans="1:7" x14ac:dyDescent="0.2">
      <c r="A11711" s="2" t="s">
        <v>3487</v>
      </c>
      <c r="B11711" s="2" t="s">
        <v>2095</v>
      </c>
      <c r="C11711" s="2">
        <v>967.44569999999999</v>
      </c>
      <c r="D11711" s="2">
        <f>HYPERLINK("http://mcb-m6.bioreg.kyushu-u.ac.jp/M3/20110414/F50958/3455/1", 76.4)</f>
        <v>76.400000000000006</v>
      </c>
      <c r="E11711" s="2">
        <v>64.459999999999994</v>
      </c>
      <c r="F11711" s="2">
        <v>2</v>
      </c>
      <c r="G11711" s="2" t="s">
        <v>12</v>
      </c>
    </row>
    <row r="11712" spans="1:7" x14ac:dyDescent="0.2">
      <c r="A11712" s="2" t="s">
        <v>3487</v>
      </c>
      <c r="B11712" s="2" t="s">
        <v>2110</v>
      </c>
      <c r="C11712" s="2">
        <v>944.84310000000005</v>
      </c>
      <c r="D11712" s="2">
        <f>HYPERLINK("http://mcb-m6.bioreg.kyushu-u.ac.jp/M3/20110414/F50958/3343/1", 78.91)</f>
        <v>78.91</v>
      </c>
      <c r="E11712" s="2">
        <v>58.42</v>
      </c>
      <c r="F11712" s="2">
        <v>2</v>
      </c>
      <c r="G11712" s="2" t="s">
        <v>12</v>
      </c>
    </row>
    <row r="11713" spans="1:7" x14ac:dyDescent="0.2">
      <c r="A11713" s="2" t="s">
        <v>3487</v>
      </c>
      <c r="B11713" s="2" t="s">
        <v>2762</v>
      </c>
      <c r="C11713" s="2">
        <v>908.39970000000005</v>
      </c>
      <c r="D11713" s="2">
        <f>HYPERLINK("http://mcb-m6.bioreg.kyushu-u.ac.jp/M3/20110414/F50958/3145/1", 81.37)</f>
        <v>81.37</v>
      </c>
      <c r="E11713" s="2">
        <v>69.41</v>
      </c>
      <c r="F11713" s="2">
        <v>2</v>
      </c>
      <c r="G11713" s="2" t="s">
        <v>12</v>
      </c>
    </row>
    <row r="11714" spans="1:7" x14ac:dyDescent="0.2">
      <c r="A11714" s="2" t="s">
        <v>3487</v>
      </c>
      <c r="B11714" s="2" t="s">
        <v>971</v>
      </c>
      <c r="C11714" s="2">
        <v>917.16110000000003</v>
      </c>
      <c r="D11714" s="2">
        <f>HYPERLINK("http://mcb-m6.bioreg.kyushu-u.ac.jp/M3/20110414/F50958/3198/1", 81.95)</f>
        <v>81.95</v>
      </c>
      <c r="E11714" s="2">
        <v>54.42</v>
      </c>
      <c r="F11714" s="2">
        <v>2</v>
      </c>
      <c r="G11714" s="2" t="s">
        <v>12</v>
      </c>
    </row>
    <row r="11715" spans="1:7" x14ac:dyDescent="0.2">
      <c r="A11715" s="2" t="s">
        <v>3487</v>
      </c>
      <c r="B11715" s="2" t="s">
        <v>2762</v>
      </c>
      <c r="C11715" s="2">
        <v>908.42970000000003</v>
      </c>
      <c r="D11715" s="2">
        <f>HYPERLINK("http://mcb-m6.bioreg.kyushu-u.ac.jp/M3/20110414/F50958/3146/1", 96.78)</f>
        <v>96.78</v>
      </c>
      <c r="E11715" s="2">
        <v>82.14</v>
      </c>
      <c r="F11715" s="2">
        <v>2</v>
      </c>
      <c r="G11715" s="2" t="s">
        <v>12</v>
      </c>
    </row>
    <row r="11716" spans="1:7" x14ac:dyDescent="0.2">
      <c r="A11716" s="2" t="s">
        <v>3487</v>
      </c>
      <c r="B11716" s="2" t="s">
        <v>1402</v>
      </c>
      <c r="C11716" s="2">
        <v>1089.1420000000001</v>
      </c>
      <c r="D11716" s="2">
        <f>HYPERLINK("http://mcb-m6.bioreg.kyushu-u.ac.jp/M3/20110414/F50958/3961/1", 129.48)</f>
        <v>129.47999999999999</v>
      </c>
      <c r="E11716" s="2">
        <v>117.58</v>
      </c>
      <c r="F11716" s="2">
        <v>2</v>
      </c>
      <c r="G11716" s="2" t="s">
        <v>12</v>
      </c>
    </row>
    <row r="11717" spans="1:7" x14ac:dyDescent="0.2">
      <c r="A11717" s="2" t="s">
        <v>3487</v>
      </c>
      <c r="B11717" s="2" t="s">
        <v>315</v>
      </c>
      <c r="C11717" s="2">
        <v>537.94119999999998</v>
      </c>
      <c r="D11717" s="2">
        <f>HYPERLINK("http://mcb-m6.bioreg.kyushu-u.ac.jp/M3/20110502/F51188/1046/1", 43.67)</f>
        <v>43.67</v>
      </c>
      <c r="E11717" s="2">
        <v>13.95</v>
      </c>
      <c r="F11717" s="2">
        <v>2</v>
      </c>
      <c r="G11717" s="2" t="s">
        <v>13</v>
      </c>
    </row>
    <row r="11718" spans="1:7" x14ac:dyDescent="0.2">
      <c r="A11718" s="2" t="s">
        <v>3487</v>
      </c>
      <c r="B11718" s="2" t="s">
        <v>315</v>
      </c>
      <c r="C11718" s="2">
        <v>538.1567</v>
      </c>
      <c r="D11718" s="2">
        <f>HYPERLINK("http://mcb-m6.bioreg.kyushu-u.ac.jp/M3/20110502/F51172/920/1", 50.83)</f>
        <v>50.83</v>
      </c>
      <c r="E11718" s="2">
        <v>26.3</v>
      </c>
      <c r="F11718" s="2">
        <v>2</v>
      </c>
      <c r="G11718" s="2" t="s">
        <v>13</v>
      </c>
    </row>
    <row r="11719" spans="1:7" x14ac:dyDescent="0.2">
      <c r="A11719" s="2" t="s">
        <v>3487</v>
      </c>
      <c r="B11719" s="2" t="s">
        <v>1247</v>
      </c>
      <c r="C11719" s="2">
        <v>839.60770000000002</v>
      </c>
      <c r="D11719" s="2">
        <f>HYPERLINK("http://mcb-m6.bioreg.kyushu-u.ac.jp/M3/20110502/F51172/2811/1", 52.07)</f>
        <v>52.07</v>
      </c>
      <c r="E11719" s="2">
        <v>31.96</v>
      </c>
      <c r="F11719" s="2">
        <v>2</v>
      </c>
      <c r="G11719" s="2" t="s">
        <v>13</v>
      </c>
    </row>
    <row r="11720" spans="1:7" x14ac:dyDescent="0.2">
      <c r="A11720" s="2" t="s">
        <v>3487</v>
      </c>
      <c r="B11720" s="2" t="s">
        <v>2098</v>
      </c>
      <c r="C11720" s="2">
        <v>716.21220000000005</v>
      </c>
      <c r="D11720" s="2">
        <f>HYPERLINK("http://mcb-m6.bioreg.kyushu-u.ac.jp/M3/20110502/F51172/1943/1", 61.41)</f>
        <v>61.41</v>
      </c>
      <c r="E11720" s="2">
        <v>27.35</v>
      </c>
      <c r="F11720" s="2">
        <v>2</v>
      </c>
      <c r="G11720" s="2" t="s">
        <v>13</v>
      </c>
    </row>
    <row r="11721" spans="1:7" x14ac:dyDescent="0.2">
      <c r="A11721" s="2" t="s">
        <v>3487</v>
      </c>
      <c r="B11721" s="2" t="s">
        <v>2012</v>
      </c>
      <c r="C11721" s="2">
        <v>659.12710000000004</v>
      </c>
      <c r="D11721" s="2">
        <f>HYPERLINK("http://mcb-m6.bioreg.kyushu-u.ac.jp/M3/20110502/F51172/1559/1", 67.84)</f>
        <v>67.84</v>
      </c>
      <c r="E11721" s="2">
        <v>43.82</v>
      </c>
      <c r="F11721" s="2">
        <v>2</v>
      </c>
      <c r="G11721" s="2" t="s">
        <v>13</v>
      </c>
    </row>
    <row r="11722" spans="1:7" x14ac:dyDescent="0.2">
      <c r="A11722" s="2" t="s">
        <v>3487</v>
      </c>
      <c r="B11722" s="2" t="s">
        <v>971</v>
      </c>
      <c r="C11722" s="2">
        <v>917.5027</v>
      </c>
      <c r="D11722" s="2">
        <f>HYPERLINK("http://mcb-m6.bioreg.kyushu-u.ac.jp/M3/20110502/F51192/2681/1", 36.39)</f>
        <v>36.39</v>
      </c>
      <c r="E11722" s="2">
        <v>20.5</v>
      </c>
      <c r="F11722" s="2">
        <v>2</v>
      </c>
      <c r="G11722" s="2" t="s">
        <v>14</v>
      </c>
    </row>
    <row r="11723" spans="1:7" x14ac:dyDescent="0.2">
      <c r="A11723" s="2" t="s">
        <v>3487</v>
      </c>
      <c r="B11723" s="2" t="s">
        <v>2095</v>
      </c>
      <c r="C11723" s="2">
        <v>968.03269999999998</v>
      </c>
      <c r="D11723" s="2">
        <f>HYPERLINK("http://mcb-m6.bioreg.kyushu-u.ac.jp/M3/20110502/F51192/2860/1", 64.96)</f>
        <v>64.959999999999994</v>
      </c>
      <c r="E11723" s="2">
        <v>50.9</v>
      </c>
      <c r="F11723" s="2">
        <v>2</v>
      </c>
      <c r="G11723" s="2" t="s">
        <v>14</v>
      </c>
    </row>
    <row r="11724" spans="1:7" x14ac:dyDescent="0.2">
      <c r="A11724" s="2" t="s">
        <v>3487</v>
      </c>
      <c r="B11724" s="2" t="s">
        <v>1247</v>
      </c>
      <c r="C11724" s="2">
        <v>839.35569999999996</v>
      </c>
      <c r="D11724" s="2">
        <f>HYPERLINK("http://mcb-m6.bioreg.kyushu-u.ac.jp/M3/20110502/F51192/2319/1", 70.88)</f>
        <v>70.88</v>
      </c>
      <c r="E11724" s="2">
        <v>48.21</v>
      </c>
      <c r="F11724" s="2">
        <v>2</v>
      </c>
      <c r="G11724" s="2" t="s">
        <v>14</v>
      </c>
    </row>
    <row r="11725" spans="1:7" x14ac:dyDescent="0.2">
      <c r="A11725" s="2" t="s">
        <v>3487</v>
      </c>
      <c r="B11725" s="2" t="s">
        <v>2098</v>
      </c>
      <c r="C11725" s="2">
        <v>715.85860000000002</v>
      </c>
      <c r="D11725" s="2">
        <f>HYPERLINK("http://mcb-m6.bioreg.kyushu-u.ac.jp/M3/20110502/F51192/1643/1", 80.45)</f>
        <v>80.45</v>
      </c>
      <c r="E11725" s="2">
        <v>45.66</v>
      </c>
      <c r="F11725" s="2">
        <v>2</v>
      </c>
      <c r="G11725" s="2" t="s">
        <v>14</v>
      </c>
    </row>
    <row r="11726" spans="1:7" x14ac:dyDescent="0.2">
      <c r="A11726" s="2" t="s">
        <v>3487</v>
      </c>
      <c r="B11726" s="2" t="s">
        <v>2148</v>
      </c>
      <c r="C11726" s="2">
        <v>1075.058</v>
      </c>
      <c r="D11726" s="2">
        <f>HYPERLINK("http://mcb-m6.bioreg.kyushu-u.ac.jp/M3/20110502/F51192/3141/1", 85.85)</f>
        <v>85.85</v>
      </c>
      <c r="E11726" s="2">
        <v>71.67</v>
      </c>
      <c r="F11726" s="2">
        <v>2</v>
      </c>
      <c r="G11726" s="2" t="s">
        <v>14</v>
      </c>
    </row>
    <row r="11727" spans="1:7" x14ac:dyDescent="0.2">
      <c r="A11727" s="2" t="s">
        <v>3487</v>
      </c>
      <c r="B11727" s="2" t="s">
        <v>1024</v>
      </c>
      <c r="C11727" s="2">
        <v>783.93769999999995</v>
      </c>
      <c r="D11727" s="2">
        <f>HYPERLINK("http://mcb-m6.bioreg.kyushu-u.ac.jp/M3/20110502/F51192/2040/1", 92.2)</f>
        <v>92.2</v>
      </c>
      <c r="E11727" s="2">
        <v>79.430000000000007</v>
      </c>
      <c r="F11727" s="2">
        <v>2</v>
      </c>
      <c r="G11727" s="2" t="s">
        <v>14</v>
      </c>
    </row>
    <row r="11728" spans="1:7" x14ac:dyDescent="0.2">
      <c r="A11728" s="2" t="s">
        <v>3487</v>
      </c>
      <c r="B11728" s="2" t="s">
        <v>1402</v>
      </c>
      <c r="C11728" s="2">
        <v>1089.913</v>
      </c>
      <c r="D11728" s="2">
        <f>HYPERLINK("http://mcb-m6.bioreg.kyushu-u.ac.jp/M3/20110502/F51192/3183/1", 96.98)</f>
        <v>96.98</v>
      </c>
      <c r="E11728" s="2">
        <v>86.46</v>
      </c>
      <c r="F11728" s="2">
        <v>2</v>
      </c>
      <c r="G11728" s="2" t="s">
        <v>14</v>
      </c>
    </row>
    <row r="11729" spans="1:8" x14ac:dyDescent="0.2">
      <c r="A11729" s="2" t="s">
        <v>3487</v>
      </c>
      <c r="B11729" s="2" t="s">
        <v>1912</v>
      </c>
      <c r="C11729" s="2">
        <v>919.11270000000002</v>
      </c>
      <c r="D11729" s="2">
        <f>HYPERLINK("http://mcb-m6.bioreg.kyushu-u.ac.jp/M3/20110502/F51192/2687/1", 103.43)</f>
        <v>103.43</v>
      </c>
      <c r="E11729" s="2">
        <v>90.15</v>
      </c>
      <c r="F11729" s="2">
        <v>2</v>
      </c>
      <c r="G11729" s="2" t="s">
        <v>14</v>
      </c>
    </row>
    <row r="11730" spans="1:8" x14ac:dyDescent="0.2">
      <c r="A11730" s="2" t="s">
        <v>3487</v>
      </c>
      <c r="B11730" s="2" t="s">
        <v>1402</v>
      </c>
      <c r="C11730" s="2">
        <v>1089.4079999999999</v>
      </c>
      <c r="D11730" s="2">
        <f>HYPERLINK("http://mcb-m6.bioreg.kyushu-u.ac.jp/M3/20110502/F51192/3182/1", 116.33)</f>
        <v>116.33</v>
      </c>
      <c r="E11730" s="2">
        <v>100.68</v>
      </c>
      <c r="F11730" s="2">
        <v>2</v>
      </c>
      <c r="G11730" s="2" t="s">
        <v>14</v>
      </c>
    </row>
    <row r="11731" spans="1:8" x14ac:dyDescent="0.2">
      <c r="A11731" s="2" t="s">
        <v>3744</v>
      </c>
      <c r="B11731" s="2" t="s">
        <v>748</v>
      </c>
      <c r="C11731" s="2">
        <v>626.3732</v>
      </c>
      <c r="D11731" s="2">
        <f>HYPERLINK("http://mcb-m6.bioreg.kyushu-u.ac.jp/M3/20110411/F50891/1506/1", 50.04)</f>
        <v>50.04</v>
      </c>
      <c r="E11731" s="2">
        <v>37.409999999999997</v>
      </c>
      <c r="F11731" s="2">
        <v>2</v>
      </c>
      <c r="G11731" s="2" t="s">
        <v>9</v>
      </c>
    </row>
    <row r="11732" spans="1:8" x14ac:dyDescent="0.2">
      <c r="A11732" s="2" t="s">
        <v>3744</v>
      </c>
      <c r="B11732" s="2" t="s">
        <v>1694</v>
      </c>
      <c r="C11732" s="2">
        <v>572.95820000000003</v>
      </c>
      <c r="D11732" s="2">
        <f>HYPERLINK("http://mcb-m6.bioreg.kyushu-u.ac.jp/M3/20110411/F50898/1727/1", 35.33)</f>
        <v>35.33</v>
      </c>
      <c r="E11732" s="2">
        <v>12.35</v>
      </c>
      <c r="F11732" s="2">
        <v>2</v>
      </c>
      <c r="G11732" s="2" t="s">
        <v>10</v>
      </c>
    </row>
    <row r="11733" spans="1:8" x14ac:dyDescent="0.2">
      <c r="A11733" s="2" t="s">
        <v>3744</v>
      </c>
      <c r="B11733" s="2" t="s">
        <v>1694</v>
      </c>
      <c r="C11733" s="2">
        <v>572.65809999999999</v>
      </c>
      <c r="D11733" s="2">
        <f>HYPERLINK("http://mcb-m6.bioreg.kyushu-u.ac.jp/M3/20110414/F50929/1703/1", 50.83)</f>
        <v>50.83</v>
      </c>
      <c r="E11733" s="2">
        <v>23.83</v>
      </c>
      <c r="F11733" s="2">
        <v>2</v>
      </c>
      <c r="G11733" s="2" t="s">
        <v>11</v>
      </c>
    </row>
    <row r="11734" spans="1:8" x14ac:dyDescent="0.2">
      <c r="A11734" s="2" t="s">
        <v>3744</v>
      </c>
      <c r="B11734" s="2" t="s">
        <v>1694</v>
      </c>
      <c r="C11734" s="2">
        <v>573.06870000000004</v>
      </c>
      <c r="D11734" s="2">
        <f>HYPERLINK("http://mcb-m6.bioreg.kyushu-u.ac.jp/M3/20110502/F51178/1407/1", 62.17)</f>
        <v>62.17</v>
      </c>
      <c r="E11734" s="2">
        <v>17.71</v>
      </c>
      <c r="F11734" s="2">
        <v>2</v>
      </c>
      <c r="G11734" s="2" t="s">
        <v>14</v>
      </c>
    </row>
    <row r="11735" spans="1:8" x14ac:dyDescent="0.2">
      <c r="A11735" s="2" t="s">
        <v>3809</v>
      </c>
      <c r="B11735" s="2" t="s">
        <v>868</v>
      </c>
      <c r="C11735" s="2">
        <v>692.96870000000001</v>
      </c>
      <c r="D11735" s="2">
        <f>HYPERLINK("http://mcb-m6.bioreg.kyushu-u.ac.jp/M3/20110411/F50911/1821/1", 53.94)</f>
        <v>53.94</v>
      </c>
      <c r="E11735" s="2">
        <v>22.65</v>
      </c>
      <c r="F11735" s="2">
        <v>2</v>
      </c>
      <c r="G11735" s="2" t="s">
        <v>9</v>
      </c>
    </row>
    <row r="11736" spans="1:8" x14ac:dyDescent="0.2">
      <c r="A11736" s="2" t="s">
        <v>3809</v>
      </c>
      <c r="B11736" s="2" t="s">
        <v>1253</v>
      </c>
      <c r="C11736" s="2">
        <v>856.45209999999997</v>
      </c>
      <c r="D11736" s="2">
        <f>HYPERLINK("http://mcb-m6.bioreg.kyushu-u.ac.jp/M3/20110411/F50911/2702/1", 69.26)</f>
        <v>69.260000000000005</v>
      </c>
      <c r="E11736" s="2">
        <v>56.44</v>
      </c>
      <c r="F11736" s="2">
        <v>2</v>
      </c>
      <c r="G11736" s="2" t="s">
        <v>9</v>
      </c>
      <c r="H11736" s="2" t="s">
        <v>4912</v>
      </c>
    </row>
    <row r="11737" spans="1:8" x14ac:dyDescent="0.2">
      <c r="A11737" s="2" t="s">
        <v>3809</v>
      </c>
      <c r="B11737" s="2" t="s">
        <v>1530</v>
      </c>
      <c r="C11737" s="2">
        <v>770.14469999999994</v>
      </c>
      <c r="D11737" s="2">
        <f>HYPERLINK("http://mcb-m6.bioreg.kyushu-u.ac.jp/M3/20110411/F50911/2258/1", 88.67)</f>
        <v>88.67</v>
      </c>
      <c r="E11737" s="2">
        <v>68.97</v>
      </c>
      <c r="F11737" s="2">
        <v>2</v>
      </c>
      <c r="G11737" s="2" t="s">
        <v>9</v>
      </c>
    </row>
    <row r="11738" spans="1:8" x14ac:dyDescent="0.2">
      <c r="A11738" s="2" t="s">
        <v>3809</v>
      </c>
      <c r="B11738" s="2" t="s">
        <v>2014</v>
      </c>
      <c r="C11738" s="2">
        <v>771.09810000000004</v>
      </c>
      <c r="D11738" s="2">
        <f>HYPERLINK("http://mcb-m6.bioreg.kyushu-u.ac.jp/M3/20110411/F50914/2240/1", 61.75)</f>
        <v>61.75</v>
      </c>
      <c r="E11738" s="2">
        <v>31.84</v>
      </c>
      <c r="F11738" s="2">
        <v>2</v>
      </c>
      <c r="G11738" s="2" t="s">
        <v>10</v>
      </c>
    </row>
    <row r="11739" spans="1:8" x14ac:dyDescent="0.2">
      <c r="A11739" s="2" t="s">
        <v>3809</v>
      </c>
      <c r="B11739" s="2" t="s">
        <v>1253</v>
      </c>
      <c r="C11739" s="2">
        <v>848.63819999999998</v>
      </c>
      <c r="D11739" s="2">
        <f>HYPERLINK("http://mcb-m6.bioreg.kyushu-u.ac.jp/M3/20110411/F50914/2580/1", 68.24)</f>
        <v>68.239999999999995</v>
      </c>
      <c r="E11739" s="2">
        <v>53.78</v>
      </c>
      <c r="F11739" s="2">
        <v>2</v>
      </c>
      <c r="G11739" s="2" t="s">
        <v>10</v>
      </c>
    </row>
    <row r="11740" spans="1:8" x14ac:dyDescent="0.2">
      <c r="A11740" s="2" t="s">
        <v>3809</v>
      </c>
      <c r="B11740" s="2" t="s">
        <v>2278</v>
      </c>
      <c r="C11740" s="2">
        <v>740.94820000000004</v>
      </c>
      <c r="D11740" s="2">
        <f>HYPERLINK("http://mcb-m6.bioreg.kyushu-u.ac.jp/M3/20110414/F50942/1904/1", 42.54)</f>
        <v>42.54</v>
      </c>
      <c r="E11740" s="2">
        <v>29.06</v>
      </c>
      <c r="F11740" s="2">
        <v>2</v>
      </c>
      <c r="G11740" s="2" t="s">
        <v>11</v>
      </c>
    </row>
    <row r="11741" spans="1:8" x14ac:dyDescent="0.2">
      <c r="A11741" s="2" t="s">
        <v>3809</v>
      </c>
      <c r="B11741" s="2" t="s">
        <v>1253</v>
      </c>
      <c r="C11741" s="2">
        <v>856.51459999999997</v>
      </c>
      <c r="D11741" s="2">
        <f>HYPERLINK("http://mcb-m6.bioreg.kyushu-u.ac.jp/M3/20110502/F51171/2494/1", 46.67)</f>
        <v>46.67</v>
      </c>
      <c r="E11741" s="2">
        <v>36.83</v>
      </c>
      <c r="F11741" s="2">
        <v>2</v>
      </c>
      <c r="G11741" s="2" t="s">
        <v>13</v>
      </c>
      <c r="H11741" s="2" t="s">
        <v>4912</v>
      </c>
    </row>
    <row r="11742" spans="1:8" x14ac:dyDescent="0.2">
      <c r="A11742" s="2" t="s">
        <v>3809</v>
      </c>
      <c r="B11742" s="2" t="s">
        <v>2278</v>
      </c>
      <c r="C11742" s="2">
        <v>741.33810000000005</v>
      </c>
      <c r="D11742" s="2">
        <f>HYPERLINK("http://mcb-m6.bioreg.kyushu-u.ac.jp/M3/20110502/F51183/1914/1", 56.37)</f>
        <v>56.37</v>
      </c>
      <c r="E11742" s="2">
        <v>37.61</v>
      </c>
      <c r="F11742" s="2">
        <v>2</v>
      </c>
      <c r="G11742" s="2" t="s">
        <v>14</v>
      </c>
    </row>
    <row r="11743" spans="1:8" x14ac:dyDescent="0.2">
      <c r="A11743" s="2" t="s">
        <v>3809</v>
      </c>
      <c r="B11743" s="2" t="s">
        <v>1253</v>
      </c>
      <c r="C11743" s="2">
        <v>856.73609999999996</v>
      </c>
      <c r="D11743" s="2">
        <f>HYPERLINK("http://mcb-m6.bioreg.kyushu-u.ac.jp/M3/20110502/F51183/2518/1", 71.6)</f>
        <v>71.599999999999994</v>
      </c>
      <c r="E11743" s="2">
        <v>56.81</v>
      </c>
      <c r="F11743" s="2">
        <v>2</v>
      </c>
      <c r="G11743" s="2" t="s">
        <v>14</v>
      </c>
      <c r="H11743" s="2" t="s">
        <v>4912</v>
      </c>
    </row>
    <row r="11744" spans="1:8" x14ac:dyDescent="0.2">
      <c r="A11744" s="2" t="s">
        <v>3400</v>
      </c>
      <c r="B11744" s="2" t="s">
        <v>196</v>
      </c>
      <c r="C11744" s="2">
        <v>551.9692</v>
      </c>
      <c r="D11744" s="2">
        <f>HYPERLINK("http://mcb-m6.bioreg.kyushu-u.ac.jp/M3/20110411/F50911/1186/1", 37.58)</f>
        <v>37.58</v>
      </c>
      <c r="E11744" s="2">
        <v>18.03</v>
      </c>
      <c r="F11744" s="2">
        <v>2</v>
      </c>
      <c r="G11744" s="2" t="s">
        <v>9</v>
      </c>
      <c r="H11744" s="2" t="s">
        <v>4910</v>
      </c>
    </row>
    <row r="11745" spans="1:9" x14ac:dyDescent="0.2">
      <c r="A11745" s="2" t="s">
        <v>3400</v>
      </c>
      <c r="B11745" s="2" t="s">
        <v>285</v>
      </c>
      <c r="C11745" s="2">
        <v>900.68100000000004</v>
      </c>
      <c r="D11745" s="2">
        <f>HYPERLINK("http://mcb-m6.bioreg.kyushu-u.ac.jp/M3/20110411/F50911/780/1", 38.99)</f>
        <v>38.99</v>
      </c>
      <c r="E11745" s="2">
        <v>8.6</v>
      </c>
      <c r="F11745" s="2">
        <v>1</v>
      </c>
      <c r="G11745" s="2" t="s">
        <v>9</v>
      </c>
    </row>
    <row r="11746" spans="1:9" x14ac:dyDescent="0.2">
      <c r="A11746" s="2" t="s">
        <v>3400</v>
      </c>
      <c r="B11746" s="2" t="s">
        <v>512</v>
      </c>
      <c r="C11746" s="2">
        <v>470.52659999999997</v>
      </c>
      <c r="D11746" s="2">
        <f>HYPERLINK("http://mcb-m6.bioreg.kyushu-u.ac.jp/M3/20110411/F50911/863/1", 43.55)</f>
        <v>43.55</v>
      </c>
      <c r="E11746" s="2">
        <v>19.02</v>
      </c>
      <c r="F11746" s="2">
        <v>2</v>
      </c>
      <c r="G11746" s="2" t="s">
        <v>9</v>
      </c>
    </row>
    <row r="11747" spans="1:9" x14ac:dyDescent="0.2">
      <c r="A11747" s="2" t="s">
        <v>3400</v>
      </c>
      <c r="B11747" s="2" t="s">
        <v>285</v>
      </c>
      <c r="C11747" s="2">
        <v>450.9126</v>
      </c>
      <c r="D11747" s="2">
        <f>HYPERLINK("http://mcb-m6.bioreg.kyushu-u.ac.jp/M3/20110411/F50911/783/1", 53.32)</f>
        <v>53.32</v>
      </c>
      <c r="E11747" s="2">
        <v>17.36</v>
      </c>
      <c r="F11747" s="2">
        <v>2</v>
      </c>
      <c r="G11747" s="2" t="s">
        <v>9</v>
      </c>
    </row>
    <row r="11748" spans="1:9" x14ac:dyDescent="0.2">
      <c r="A11748" s="2" t="s">
        <v>3400</v>
      </c>
      <c r="B11748" s="2" t="s">
        <v>285</v>
      </c>
      <c r="C11748" s="2">
        <v>900.452</v>
      </c>
      <c r="D11748" s="2">
        <f>HYPERLINK("http://mcb-m6.bioreg.kyushu-u.ac.jp/M3/20110411/F50914/854/1", 38.9)</f>
        <v>38.9</v>
      </c>
      <c r="E11748" s="2">
        <v>8.57</v>
      </c>
      <c r="F11748" s="2">
        <v>1</v>
      </c>
      <c r="G11748" s="2" t="s">
        <v>10</v>
      </c>
    </row>
    <row r="11749" spans="1:9" x14ac:dyDescent="0.2">
      <c r="A11749" s="2" t="s">
        <v>3400</v>
      </c>
      <c r="B11749" s="2" t="s">
        <v>1857</v>
      </c>
      <c r="C11749" s="2">
        <v>616.57370000000003</v>
      </c>
      <c r="D11749" s="2">
        <f>HYPERLINK("http://mcb-m6.bioreg.kyushu-u.ac.jp/M3/20110411/F50913/1468/1", 44.8)</f>
        <v>44.8</v>
      </c>
      <c r="E11749" s="2">
        <v>23.27</v>
      </c>
      <c r="F11749" s="2">
        <v>2</v>
      </c>
      <c r="G11749" s="2" t="s">
        <v>10</v>
      </c>
    </row>
    <row r="11750" spans="1:9" x14ac:dyDescent="0.2">
      <c r="A11750" s="2" t="s">
        <v>3400</v>
      </c>
      <c r="B11750" s="2" t="s">
        <v>1857</v>
      </c>
      <c r="C11750" s="2">
        <v>616.44269999999995</v>
      </c>
      <c r="D11750" s="2">
        <f>HYPERLINK("http://mcb-m6.bioreg.kyushu-u.ac.jp/M3/20110411/F50914/1533/1", 49.09)</f>
        <v>49.09</v>
      </c>
      <c r="E11750" s="2">
        <v>27.66</v>
      </c>
      <c r="F11750" s="2">
        <v>2</v>
      </c>
      <c r="G11750" s="2" t="s">
        <v>10</v>
      </c>
    </row>
    <row r="11751" spans="1:9" x14ac:dyDescent="0.2">
      <c r="A11751" s="2" t="s">
        <v>3400</v>
      </c>
      <c r="B11751" s="2" t="s">
        <v>1982</v>
      </c>
      <c r="C11751" s="2">
        <v>624.92769999999996</v>
      </c>
      <c r="D11751" s="2">
        <f>HYPERLINK("http://mcb-m6.bioreg.kyushu-u.ac.jp/M3/20110411/F50914/1566/1", 56.64)</f>
        <v>56.64</v>
      </c>
      <c r="E11751" s="2">
        <v>43.05</v>
      </c>
      <c r="F11751" s="2">
        <v>2</v>
      </c>
      <c r="G11751" s="2" t="s">
        <v>10</v>
      </c>
      <c r="I11751" s="2" t="s">
        <v>4899</v>
      </c>
    </row>
    <row r="11752" spans="1:9" x14ac:dyDescent="0.2">
      <c r="A11752" s="2" t="s">
        <v>3400</v>
      </c>
      <c r="B11752" s="2" t="s">
        <v>196</v>
      </c>
      <c r="C11752" s="2">
        <v>544.36159999999995</v>
      </c>
      <c r="D11752" s="2">
        <f>HYPERLINK("http://mcb-m6.bioreg.kyushu-u.ac.jp/M3/20110411/F50914/1228/1", 70.01)</f>
        <v>70.010000000000005</v>
      </c>
      <c r="E11752" s="2">
        <v>32.130000000000003</v>
      </c>
      <c r="F11752" s="2">
        <v>2</v>
      </c>
      <c r="G11752" s="2" t="s">
        <v>10</v>
      </c>
    </row>
    <row r="11753" spans="1:9" x14ac:dyDescent="0.2">
      <c r="A11753" s="2" t="s">
        <v>3400</v>
      </c>
      <c r="B11753" s="2" t="s">
        <v>196</v>
      </c>
      <c r="C11753" s="2">
        <v>543.86069999999995</v>
      </c>
      <c r="D11753" s="2">
        <f>HYPERLINK("http://mcb-m6.bioreg.kyushu-u.ac.jp/M3/20110411/F50914/1227/1", 75.21)</f>
        <v>75.209999999999994</v>
      </c>
      <c r="E11753" s="2">
        <v>35.700000000000003</v>
      </c>
      <c r="F11753" s="2">
        <v>2</v>
      </c>
      <c r="G11753" s="2" t="s">
        <v>10</v>
      </c>
    </row>
    <row r="11754" spans="1:9" x14ac:dyDescent="0.2">
      <c r="A11754" s="2" t="s">
        <v>3400</v>
      </c>
      <c r="B11754" s="2" t="s">
        <v>1857</v>
      </c>
      <c r="C11754" s="2">
        <v>616.38570000000004</v>
      </c>
      <c r="D11754" s="2">
        <f>HYPERLINK("http://mcb-m6.bioreg.kyushu-u.ac.jp/M3/20110414/F50947/1247/1", 48.31)</f>
        <v>48.31</v>
      </c>
      <c r="E11754" s="2">
        <v>32.74</v>
      </c>
      <c r="F11754" s="2">
        <v>2</v>
      </c>
      <c r="G11754" s="2" t="s">
        <v>12</v>
      </c>
    </row>
    <row r="11755" spans="1:9" x14ac:dyDescent="0.2">
      <c r="A11755" s="2" t="s">
        <v>3400</v>
      </c>
      <c r="B11755" s="2" t="s">
        <v>1857</v>
      </c>
      <c r="C11755" s="2">
        <v>616.23770000000002</v>
      </c>
      <c r="D11755" s="2">
        <f>HYPERLINK("http://mcb-m6.bioreg.kyushu-u.ac.jp/M3/20110414/F50948/1316/1", 51.48)</f>
        <v>51.48</v>
      </c>
      <c r="E11755" s="2">
        <v>35.159999999999997</v>
      </c>
      <c r="F11755" s="2">
        <v>2</v>
      </c>
      <c r="G11755" s="2" t="s">
        <v>12</v>
      </c>
    </row>
    <row r="11756" spans="1:9" x14ac:dyDescent="0.2">
      <c r="A11756" s="2" t="s">
        <v>3400</v>
      </c>
      <c r="B11756" s="2" t="s">
        <v>196</v>
      </c>
      <c r="C11756" s="2">
        <v>552.17819999999995</v>
      </c>
      <c r="D11756" s="2">
        <f>HYPERLINK("http://mcb-m6.bioreg.kyushu-u.ac.jp/M3/20110414/F50948/1032/1", 51.78)</f>
        <v>51.78</v>
      </c>
      <c r="E11756" s="2">
        <v>16.95</v>
      </c>
      <c r="F11756" s="2">
        <v>2</v>
      </c>
      <c r="G11756" s="2" t="s">
        <v>12</v>
      </c>
      <c r="H11756" s="2" t="s">
        <v>4910</v>
      </c>
    </row>
    <row r="11757" spans="1:9" x14ac:dyDescent="0.2">
      <c r="A11757" s="2" t="s">
        <v>3400</v>
      </c>
      <c r="B11757" s="2" t="s">
        <v>1857</v>
      </c>
      <c r="C11757" s="2">
        <v>616.61360000000002</v>
      </c>
      <c r="D11757" s="2">
        <f>HYPERLINK("http://mcb-m6.bioreg.kyushu-u.ac.jp/M3/20110502/F51171/1514/1", 57.14)</f>
        <v>57.14</v>
      </c>
      <c r="E11757" s="2">
        <v>37.75</v>
      </c>
      <c r="F11757" s="2">
        <v>2</v>
      </c>
      <c r="G11757" s="2" t="s">
        <v>13</v>
      </c>
    </row>
    <row r="11758" spans="1:9" x14ac:dyDescent="0.2">
      <c r="A11758" s="2" t="s">
        <v>3400</v>
      </c>
      <c r="B11758" s="2" t="s">
        <v>1857</v>
      </c>
      <c r="C11758" s="2">
        <v>616.79669999999999</v>
      </c>
      <c r="D11758" s="2">
        <f>HYPERLINK("http://mcb-m6.bioreg.kyushu-u.ac.jp/M3/20110502/F51183/1266/1", 62.36)</f>
        <v>62.36</v>
      </c>
      <c r="E11758" s="2">
        <v>29.25</v>
      </c>
      <c r="F11758" s="2">
        <v>2</v>
      </c>
      <c r="G11758" s="2" t="s">
        <v>14</v>
      </c>
    </row>
    <row r="11759" spans="1:9" x14ac:dyDescent="0.2">
      <c r="A11759" s="2" t="s">
        <v>3800</v>
      </c>
      <c r="B11759" s="2" t="s">
        <v>851</v>
      </c>
      <c r="C11759" s="2">
        <v>930.59270000000004</v>
      </c>
      <c r="D11759" s="2">
        <f>HYPERLINK("http://mcb-m6.bioreg.kyushu-u.ac.jp/M3/20110411/F50911/3085/1", 53.51)</f>
        <v>53.51</v>
      </c>
      <c r="E11759" s="2">
        <v>33.380000000000003</v>
      </c>
      <c r="F11759" s="2">
        <v>2</v>
      </c>
      <c r="G11759" s="2" t="s">
        <v>9</v>
      </c>
    </row>
    <row r="11760" spans="1:9" x14ac:dyDescent="0.2">
      <c r="A11760" s="2" t="s">
        <v>3800</v>
      </c>
      <c r="B11760" s="2" t="s">
        <v>851</v>
      </c>
      <c r="C11760" s="2">
        <v>930.79420000000005</v>
      </c>
      <c r="D11760" s="2">
        <f>HYPERLINK("http://mcb-m6.bioreg.kyushu-u.ac.jp/M3/20110411/F50914/2978/1", 72.51)</f>
        <v>72.510000000000005</v>
      </c>
      <c r="E11760" s="2">
        <v>59.91</v>
      </c>
      <c r="F11760" s="2">
        <v>2</v>
      </c>
      <c r="G11760" s="2" t="s">
        <v>10</v>
      </c>
    </row>
    <row r="11761" spans="1:9" x14ac:dyDescent="0.2">
      <c r="A11761" s="2" t="s">
        <v>3800</v>
      </c>
      <c r="B11761" s="2" t="s">
        <v>851</v>
      </c>
      <c r="C11761" s="2">
        <v>930.66520000000003</v>
      </c>
      <c r="D11761" s="2">
        <f>HYPERLINK("http://mcb-m6.bioreg.kyushu-u.ac.jp/M3/20110414/F50942/3061/1", 40.49)</f>
        <v>40.49</v>
      </c>
      <c r="E11761" s="2">
        <v>30.56</v>
      </c>
      <c r="F11761" s="2">
        <v>2</v>
      </c>
      <c r="G11761" s="2" t="s">
        <v>11</v>
      </c>
    </row>
    <row r="11762" spans="1:9" x14ac:dyDescent="0.2">
      <c r="A11762" s="2" t="s">
        <v>3800</v>
      </c>
      <c r="B11762" s="2" t="s">
        <v>851</v>
      </c>
      <c r="C11762" s="2">
        <v>938.34169999999995</v>
      </c>
      <c r="D11762" s="2">
        <f>HYPERLINK("http://mcb-m6.bioreg.kyushu-u.ac.jp/M3/20110414/F50942/3106/1", 57.91)</f>
        <v>57.91</v>
      </c>
      <c r="E11762" s="2">
        <v>45.36</v>
      </c>
      <c r="F11762" s="2">
        <v>2</v>
      </c>
      <c r="G11762" s="2" t="s">
        <v>11</v>
      </c>
      <c r="H11762" s="2" t="s">
        <v>4938</v>
      </c>
    </row>
    <row r="11763" spans="1:9" x14ac:dyDescent="0.2">
      <c r="A11763" s="2" t="s">
        <v>3800</v>
      </c>
      <c r="B11763" s="2" t="s">
        <v>851</v>
      </c>
      <c r="C11763" s="2">
        <v>930.44669999999996</v>
      </c>
      <c r="D11763" s="2">
        <f>HYPERLINK("http://mcb-m6.bioreg.kyushu-u.ac.jp/M3/20110414/F50942/3060/1", 67.48)</f>
        <v>67.48</v>
      </c>
      <c r="E11763" s="2">
        <v>52.77</v>
      </c>
      <c r="F11763" s="2">
        <v>2</v>
      </c>
      <c r="G11763" s="2" t="s">
        <v>11</v>
      </c>
    </row>
    <row r="11764" spans="1:9" x14ac:dyDescent="0.2">
      <c r="A11764" s="2" t="s">
        <v>3800</v>
      </c>
      <c r="B11764" s="2" t="s">
        <v>851</v>
      </c>
      <c r="C11764" s="2">
        <v>930.16920000000005</v>
      </c>
      <c r="D11764" s="2">
        <f>HYPERLINK("http://mcb-m6.bioreg.kyushu-u.ac.jp/M3/20110414/F50948/3190/1", 74.07)</f>
        <v>74.069999999999993</v>
      </c>
      <c r="E11764" s="2">
        <v>58.22</v>
      </c>
      <c r="F11764" s="2">
        <v>2</v>
      </c>
      <c r="G11764" s="2" t="s">
        <v>12</v>
      </c>
    </row>
    <row r="11765" spans="1:9" x14ac:dyDescent="0.2">
      <c r="A11765" s="2" t="s">
        <v>3800</v>
      </c>
      <c r="B11765" s="2" t="s">
        <v>851</v>
      </c>
      <c r="C11765" s="2">
        <v>930.50819999999999</v>
      </c>
      <c r="D11765" s="2">
        <f>HYPERLINK("http://mcb-m6.bioreg.kyushu-u.ac.jp/M3/20110502/F51171/2791/1", 94.87)</f>
        <v>94.87</v>
      </c>
      <c r="E11765" s="2">
        <v>76.06</v>
      </c>
      <c r="F11765" s="2">
        <v>2</v>
      </c>
      <c r="G11765" s="2" t="s">
        <v>13</v>
      </c>
    </row>
    <row r="11766" spans="1:9" x14ac:dyDescent="0.2">
      <c r="A11766" s="2" t="s">
        <v>3800</v>
      </c>
      <c r="B11766" s="2" t="s">
        <v>851</v>
      </c>
      <c r="C11766" s="2">
        <v>930.87220000000002</v>
      </c>
      <c r="D11766" s="2">
        <f>HYPERLINK("http://mcb-m6.bioreg.kyushu-u.ac.jp/M3/20110502/F51183/2870/1", 46.28)</f>
        <v>46.28</v>
      </c>
      <c r="E11766" s="2">
        <v>17.78</v>
      </c>
      <c r="F11766" s="2">
        <v>2</v>
      </c>
      <c r="G11766" s="2" t="s">
        <v>14</v>
      </c>
    </row>
    <row r="11767" spans="1:9" x14ac:dyDescent="0.2">
      <c r="A11767" s="2" t="s">
        <v>3800</v>
      </c>
      <c r="B11767" s="2" t="s">
        <v>851</v>
      </c>
      <c r="C11767" s="2">
        <v>938.82370000000003</v>
      </c>
      <c r="D11767" s="2">
        <f>HYPERLINK("http://mcb-m6.bioreg.kyushu-u.ac.jp/M3/20110502/F51183/2902/1", 66.83)</f>
        <v>66.83</v>
      </c>
      <c r="E11767" s="2">
        <v>48.43</v>
      </c>
      <c r="F11767" s="2">
        <v>2</v>
      </c>
      <c r="G11767" s="2" t="s">
        <v>14</v>
      </c>
      <c r="H11767" s="2" t="s">
        <v>4938</v>
      </c>
    </row>
    <row r="11768" spans="1:9" x14ac:dyDescent="0.2">
      <c r="A11768" s="2" t="s">
        <v>4540</v>
      </c>
      <c r="B11768" s="2" t="s">
        <v>2567</v>
      </c>
      <c r="C11768" s="2">
        <v>498.7346</v>
      </c>
      <c r="D11768" s="2">
        <f>HYPERLINK("http://mcb-m6.bioreg.kyushu-u.ac.jp/M3/20110414/F50963/749/1", 38.22)</f>
        <v>38.22</v>
      </c>
      <c r="E11768" s="2">
        <v>9.4700000000000006</v>
      </c>
      <c r="F11768" s="2">
        <v>2</v>
      </c>
      <c r="G11768" s="2" t="s">
        <v>12</v>
      </c>
      <c r="I11768" s="2" t="s">
        <v>4905</v>
      </c>
    </row>
    <row r="11769" spans="1:9" x14ac:dyDescent="0.2">
      <c r="A11769" s="2" t="s">
        <v>3876</v>
      </c>
      <c r="B11769" s="2" t="s">
        <v>1005</v>
      </c>
      <c r="C11769" s="2">
        <v>1348.4390000000001</v>
      </c>
      <c r="D11769" s="2">
        <f>HYPERLINK("http://mcb-m6.bioreg.kyushu-u.ac.jp/M3/20110411/F50891/1720/1", 58.54)</f>
        <v>58.54</v>
      </c>
      <c r="E11769" s="2">
        <v>48.55</v>
      </c>
      <c r="F11769" s="2">
        <v>1</v>
      </c>
      <c r="G11769" s="2" t="s">
        <v>9</v>
      </c>
    </row>
    <row r="11770" spans="1:9" x14ac:dyDescent="0.2">
      <c r="A11770" s="2" t="s">
        <v>3876</v>
      </c>
      <c r="B11770" s="2" t="s">
        <v>1616</v>
      </c>
      <c r="C11770" s="2">
        <v>809.46669999999995</v>
      </c>
      <c r="D11770" s="2">
        <f>HYPERLINK("http://mcb-m6.bioreg.kyushu-u.ac.jp/M3/20110411/F50891/2505/1", 101.34)</f>
        <v>101.34</v>
      </c>
      <c r="E11770" s="2">
        <v>89.38</v>
      </c>
      <c r="F11770" s="2">
        <v>2</v>
      </c>
      <c r="G11770" s="2" t="s">
        <v>9</v>
      </c>
    </row>
    <row r="11771" spans="1:9" x14ac:dyDescent="0.2">
      <c r="A11771" s="2" t="s">
        <v>3876</v>
      </c>
      <c r="B11771" s="2" t="s">
        <v>1005</v>
      </c>
      <c r="C11771" s="2">
        <v>674.85969999999998</v>
      </c>
      <c r="D11771" s="2">
        <f>HYPERLINK("http://mcb-m6.bioreg.kyushu-u.ac.jp/M3/20110411/F50898/1955/1", 41)</f>
        <v>41</v>
      </c>
      <c r="E11771" s="2">
        <v>16.84</v>
      </c>
      <c r="F11771" s="2">
        <v>2</v>
      </c>
      <c r="G11771" s="2" t="s">
        <v>10</v>
      </c>
    </row>
    <row r="11772" spans="1:9" x14ac:dyDescent="0.2">
      <c r="A11772" s="2" t="s">
        <v>3876</v>
      </c>
      <c r="B11772" s="2" t="s">
        <v>1616</v>
      </c>
      <c r="C11772" s="2">
        <v>809.49109999999996</v>
      </c>
      <c r="D11772" s="2">
        <f>HYPERLINK("http://mcb-m6.bioreg.kyushu-u.ac.jp/M3/20110411/F50898/2480/1", 70.82)</f>
        <v>70.819999999999993</v>
      </c>
      <c r="E11772" s="2">
        <v>64.790000000000006</v>
      </c>
      <c r="F11772" s="2">
        <v>2</v>
      </c>
      <c r="G11772" s="2" t="s">
        <v>10</v>
      </c>
    </row>
    <row r="11773" spans="1:9" x14ac:dyDescent="0.2">
      <c r="A11773" s="2" t="s">
        <v>3876</v>
      </c>
      <c r="B11773" s="2" t="s">
        <v>1616</v>
      </c>
      <c r="C11773" s="2">
        <v>809.27869999999996</v>
      </c>
      <c r="D11773" s="2">
        <f>HYPERLINK("http://mcb-m6.bioreg.kyushu-u.ac.jp/M3/20110414/F50928/2638/1", 109.47)</f>
        <v>109.47</v>
      </c>
      <c r="E11773" s="2">
        <v>97.54</v>
      </c>
      <c r="F11773" s="2">
        <v>2</v>
      </c>
      <c r="G11773" s="2" t="s">
        <v>11</v>
      </c>
    </row>
    <row r="11774" spans="1:9" x14ac:dyDescent="0.2">
      <c r="A11774" s="2" t="s">
        <v>3876</v>
      </c>
      <c r="B11774" s="2" t="s">
        <v>2518</v>
      </c>
      <c r="C11774" s="2">
        <v>856.60220000000004</v>
      </c>
      <c r="D11774" s="2">
        <f>HYPERLINK("http://mcb-m6.bioreg.kyushu-u.ac.jp/M3/20110414/F50928/2810/1", 145.29)</f>
        <v>145.29</v>
      </c>
      <c r="E11774" s="2">
        <v>117.17</v>
      </c>
      <c r="F11774" s="2">
        <v>2</v>
      </c>
      <c r="G11774" s="2" t="s">
        <v>11</v>
      </c>
    </row>
    <row r="11775" spans="1:9" x14ac:dyDescent="0.2">
      <c r="A11775" s="2" t="s">
        <v>3876</v>
      </c>
      <c r="B11775" s="2" t="s">
        <v>1616</v>
      </c>
      <c r="C11775" s="2">
        <v>809.44370000000004</v>
      </c>
      <c r="D11775" s="2">
        <f>HYPERLINK("http://mcb-m6.bioreg.kyushu-u.ac.jp/M3/20110414/F50933/2713/1", 86.95)</f>
        <v>86.95</v>
      </c>
      <c r="E11775" s="2">
        <v>78.03</v>
      </c>
      <c r="F11775" s="2">
        <v>2</v>
      </c>
      <c r="G11775" s="2" t="s">
        <v>12</v>
      </c>
    </row>
    <row r="11776" spans="1:9" x14ac:dyDescent="0.2">
      <c r="A11776" s="2" t="s">
        <v>3876</v>
      </c>
      <c r="B11776" s="2" t="s">
        <v>1616</v>
      </c>
      <c r="C11776" s="2">
        <v>809.69569999999999</v>
      </c>
      <c r="D11776" s="2">
        <f>HYPERLINK("http://mcb-m6.bioreg.kyushu-u.ac.jp/M3/20110502/F51178/2412/1", 109.03)</f>
        <v>109.03</v>
      </c>
      <c r="E11776" s="2">
        <v>92.89</v>
      </c>
      <c r="F11776" s="2">
        <v>2</v>
      </c>
      <c r="G11776" s="2" t="s">
        <v>14</v>
      </c>
    </row>
    <row r="11777" spans="1:8" x14ac:dyDescent="0.2">
      <c r="A11777" s="2" t="s">
        <v>4286</v>
      </c>
      <c r="B11777" s="2" t="s">
        <v>1973</v>
      </c>
      <c r="C11777" s="2">
        <v>666.01919999999996</v>
      </c>
      <c r="D11777" s="2">
        <f>HYPERLINK("http://mcb-m6.bioreg.kyushu-u.ac.jp/M3/20110411/F50913/1637/1", 55.49)</f>
        <v>55.49</v>
      </c>
      <c r="E11777" s="2">
        <v>30.38</v>
      </c>
      <c r="F11777" s="2">
        <v>2</v>
      </c>
      <c r="G11777" s="2" t="s">
        <v>10</v>
      </c>
    </row>
    <row r="11778" spans="1:8" x14ac:dyDescent="0.2">
      <c r="A11778" s="2" t="s">
        <v>4286</v>
      </c>
      <c r="B11778" s="2" t="s">
        <v>1973</v>
      </c>
      <c r="C11778" s="2">
        <v>665.99659999999994</v>
      </c>
      <c r="D11778" s="2">
        <f>HYPERLINK("http://mcb-m6.bioreg.kyushu-u.ac.jp/M3/20110502/F51170/1685/1", 57.27)</f>
        <v>57.27</v>
      </c>
      <c r="E11778" s="2">
        <v>30.26</v>
      </c>
      <c r="F11778" s="2">
        <v>2</v>
      </c>
      <c r="G11778" s="2" t="s">
        <v>13</v>
      </c>
    </row>
    <row r="11779" spans="1:8" x14ac:dyDescent="0.2">
      <c r="A11779" s="2" t="s">
        <v>3405</v>
      </c>
      <c r="B11779" s="2" t="s">
        <v>202</v>
      </c>
      <c r="C11779" s="2">
        <v>619.61320000000001</v>
      </c>
      <c r="D11779" s="2">
        <f>HYPERLINK("http://mcb-m6.bioreg.kyushu-u.ac.jp/M3/20110411/F50905/1450/1", 37.64)</f>
        <v>37.64</v>
      </c>
      <c r="E11779" s="2">
        <v>15.1</v>
      </c>
      <c r="F11779" s="2">
        <v>2</v>
      </c>
      <c r="G11779" s="2" t="s">
        <v>9</v>
      </c>
    </row>
    <row r="11780" spans="1:8" x14ac:dyDescent="0.2">
      <c r="A11780" s="2" t="s">
        <v>3405</v>
      </c>
      <c r="B11780" s="2" t="s">
        <v>1466</v>
      </c>
      <c r="C11780" s="2">
        <v>829.10109999999997</v>
      </c>
      <c r="D11780" s="2">
        <f>HYPERLINK("http://mcb-m6.bioreg.kyushu-u.ac.jp/M3/20110411/F50905/2496/1", 83.16)</f>
        <v>83.16</v>
      </c>
      <c r="E11780" s="2">
        <v>62.74</v>
      </c>
      <c r="F11780" s="2">
        <v>2</v>
      </c>
      <c r="G11780" s="2" t="s">
        <v>9</v>
      </c>
    </row>
    <row r="11781" spans="1:8" x14ac:dyDescent="0.2">
      <c r="A11781" s="2" t="s">
        <v>3405</v>
      </c>
      <c r="B11781" s="2" t="s">
        <v>1906</v>
      </c>
      <c r="C11781" s="2">
        <v>1049.5070000000001</v>
      </c>
      <c r="D11781" s="2">
        <f>HYPERLINK("http://mcb-m6.bioreg.kyushu-u.ac.jp/M3/20110411/F50913/3305/1", 48.29)</f>
        <v>48.29</v>
      </c>
      <c r="E11781" s="2">
        <v>34.94</v>
      </c>
      <c r="F11781" s="2">
        <v>2</v>
      </c>
      <c r="G11781" s="2" t="s">
        <v>10</v>
      </c>
    </row>
    <row r="11782" spans="1:8" x14ac:dyDescent="0.2">
      <c r="A11782" s="2" t="s">
        <v>3405</v>
      </c>
      <c r="B11782" s="2" t="s">
        <v>2124</v>
      </c>
      <c r="C11782" s="2">
        <v>752.91819999999996</v>
      </c>
      <c r="D11782" s="2">
        <f>HYPERLINK("http://mcb-m6.bioreg.kyushu-u.ac.jp/M3/20110411/F50913/2079/1", 88.59)</f>
        <v>88.59</v>
      </c>
      <c r="E11782" s="2">
        <v>68.14</v>
      </c>
      <c r="F11782" s="2">
        <v>2</v>
      </c>
      <c r="G11782" s="2" t="s">
        <v>10</v>
      </c>
    </row>
    <row r="11783" spans="1:8" x14ac:dyDescent="0.2">
      <c r="A11783" s="2" t="s">
        <v>3405</v>
      </c>
      <c r="B11783" s="2" t="s">
        <v>1466</v>
      </c>
      <c r="C11783" s="2">
        <v>828.79319999999996</v>
      </c>
      <c r="D11783" s="2">
        <f>HYPERLINK("http://mcb-m6.bioreg.kyushu-u.ac.jp/M3/20110414/F50941/2561/1", 81.06)</f>
        <v>81.06</v>
      </c>
      <c r="E11783" s="2">
        <v>66.7</v>
      </c>
      <c r="F11783" s="2">
        <v>2</v>
      </c>
      <c r="G11783" s="2" t="s">
        <v>11</v>
      </c>
    </row>
    <row r="11784" spans="1:8" x14ac:dyDescent="0.2">
      <c r="A11784" s="2" t="s">
        <v>3405</v>
      </c>
      <c r="B11784" s="2" t="s">
        <v>2124</v>
      </c>
      <c r="C11784" s="2">
        <v>752.98270000000002</v>
      </c>
      <c r="D11784" s="2">
        <f>HYPERLINK("http://mcb-m6.bioreg.kyushu-u.ac.jp/M3/20110414/F50947/2049/1", 48.21)</f>
        <v>48.21</v>
      </c>
      <c r="E11784" s="2">
        <v>33.270000000000003</v>
      </c>
      <c r="F11784" s="2">
        <v>2</v>
      </c>
      <c r="G11784" s="2" t="s">
        <v>12</v>
      </c>
    </row>
    <row r="11785" spans="1:8" x14ac:dyDescent="0.2">
      <c r="A11785" s="2" t="s">
        <v>3405</v>
      </c>
      <c r="B11785" s="2" t="s">
        <v>1466</v>
      </c>
      <c r="C11785" s="2">
        <v>829.32820000000004</v>
      </c>
      <c r="D11785" s="2">
        <f>HYPERLINK("http://mcb-m6.bioreg.kyushu-u.ac.jp/M3/20110414/F50947/2503/1", 60.11)</f>
        <v>60.11</v>
      </c>
      <c r="E11785" s="2">
        <v>45.79</v>
      </c>
      <c r="F11785" s="2">
        <v>2</v>
      </c>
      <c r="G11785" s="2" t="s">
        <v>12</v>
      </c>
    </row>
    <row r="11786" spans="1:8" x14ac:dyDescent="0.2">
      <c r="A11786" s="2" t="s">
        <v>3405</v>
      </c>
      <c r="B11786" s="2" t="s">
        <v>2124</v>
      </c>
      <c r="C11786" s="2">
        <v>752.97770000000003</v>
      </c>
      <c r="D11786" s="2">
        <f>HYPERLINK("http://mcb-m6.bioreg.kyushu-u.ac.jp/M3/20110502/F51170/2138/1", 84.03)</f>
        <v>84.03</v>
      </c>
      <c r="E11786" s="2">
        <v>59.8</v>
      </c>
      <c r="F11786" s="2">
        <v>2</v>
      </c>
      <c r="G11786" s="2" t="s">
        <v>13</v>
      </c>
    </row>
    <row r="11787" spans="1:8" x14ac:dyDescent="0.2">
      <c r="A11787" s="2" t="s">
        <v>3405</v>
      </c>
      <c r="B11787" s="2" t="s">
        <v>2981</v>
      </c>
      <c r="C11787" s="2">
        <v>1144.856</v>
      </c>
      <c r="D11787" s="2">
        <f>HYPERLINK("http://mcb-m6.bioreg.kyushu-u.ac.jp/M3/20110502/F51179/3580/1", 35.94)</f>
        <v>35.94</v>
      </c>
      <c r="E11787" s="2">
        <v>33.51</v>
      </c>
      <c r="F11787" s="2">
        <v>2</v>
      </c>
      <c r="G11787" s="2" t="s">
        <v>14</v>
      </c>
    </row>
    <row r="11788" spans="1:8" x14ac:dyDescent="0.2">
      <c r="A11788" s="2" t="s">
        <v>3405</v>
      </c>
      <c r="B11788" s="2" t="s">
        <v>1466</v>
      </c>
      <c r="C11788" s="2">
        <v>829.1481</v>
      </c>
      <c r="D11788" s="2">
        <f>HYPERLINK("http://mcb-m6.bioreg.kyushu-u.ac.jp/M3/20110502/F51179/2287/1", 41.28)</f>
        <v>41.28</v>
      </c>
      <c r="E11788" s="2">
        <v>23.25</v>
      </c>
      <c r="F11788" s="2">
        <v>2</v>
      </c>
      <c r="G11788" s="2" t="s">
        <v>14</v>
      </c>
    </row>
    <row r="11789" spans="1:8" x14ac:dyDescent="0.2">
      <c r="A11789" s="2" t="s">
        <v>3405</v>
      </c>
      <c r="B11789" s="2" t="s">
        <v>3128</v>
      </c>
      <c r="C11789" s="2">
        <v>767.14120000000003</v>
      </c>
      <c r="D11789" s="2">
        <f>HYPERLINK("http://mcb-m6.bioreg.kyushu-u.ac.jp/M3/20110502/F51179/1934/1", 48.56)</f>
        <v>48.56</v>
      </c>
      <c r="E11789" s="2">
        <v>26.98</v>
      </c>
      <c r="F11789" s="2">
        <v>2</v>
      </c>
      <c r="G11789" s="2" t="s">
        <v>14</v>
      </c>
    </row>
    <row r="11790" spans="1:8" x14ac:dyDescent="0.2">
      <c r="A11790" s="2" t="s">
        <v>3405</v>
      </c>
      <c r="B11790" s="2" t="s">
        <v>3148</v>
      </c>
      <c r="C11790" s="2">
        <v>775.07619999999997</v>
      </c>
      <c r="D11790" s="2">
        <f>HYPERLINK("http://mcb-m6.bioreg.kyushu-u.ac.jp/M3/20110502/F51179/1982/1", 51.96)</f>
        <v>51.96</v>
      </c>
      <c r="E11790" s="2">
        <v>35.020000000000003</v>
      </c>
      <c r="F11790" s="2">
        <v>2</v>
      </c>
      <c r="G11790" s="2" t="s">
        <v>14</v>
      </c>
      <c r="H11790" s="2" t="s">
        <v>4896</v>
      </c>
    </row>
    <row r="11791" spans="1:8" x14ac:dyDescent="0.2">
      <c r="A11791" s="2" t="s">
        <v>3405</v>
      </c>
      <c r="B11791" s="2" t="s">
        <v>3179</v>
      </c>
      <c r="C11791" s="2">
        <v>907.03610000000003</v>
      </c>
      <c r="D11791" s="2">
        <f>HYPERLINK("http://mcb-m6.bioreg.kyushu-u.ac.jp/M3/20110502/F51179/2716/1", 63.26)</f>
        <v>63.26</v>
      </c>
      <c r="E11791" s="2">
        <v>54.14</v>
      </c>
      <c r="F11791" s="2">
        <v>2</v>
      </c>
      <c r="G11791" s="2" t="s">
        <v>14</v>
      </c>
    </row>
    <row r="11792" spans="1:8" x14ac:dyDescent="0.2">
      <c r="A11792" s="2" t="s">
        <v>3861</v>
      </c>
      <c r="B11792" s="2" t="s">
        <v>972</v>
      </c>
      <c r="C11792" s="2">
        <v>726.50070000000005</v>
      </c>
      <c r="D11792" s="2">
        <f>HYPERLINK("http://mcb-m6.bioreg.kyushu-u.ac.jp/M3/20110411/F50892/2145/1", 57.45)</f>
        <v>57.45</v>
      </c>
      <c r="E11792" s="2">
        <v>40.54</v>
      </c>
      <c r="F11792" s="2">
        <v>2</v>
      </c>
      <c r="G11792" s="2" t="s">
        <v>9</v>
      </c>
    </row>
    <row r="11793" spans="1:9" x14ac:dyDescent="0.2">
      <c r="A11793" s="2" t="s">
        <v>4338</v>
      </c>
      <c r="B11793" s="2" t="s">
        <v>2153</v>
      </c>
      <c r="C11793" s="2">
        <v>595.11519999999996</v>
      </c>
      <c r="D11793" s="2">
        <f>HYPERLINK("http://mcb-m6.bioreg.kyushu-u.ac.jp/M3/20110414/F50945/1410/1", 35.12)</f>
        <v>35.119999999999997</v>
      </c>
      <c r="E11793" s="2">
        <v>15.56</v>
      </c>
      <c r="F11793" s="2">
        <v>2</v>
      </c>
      <c r="G11793" s="2" t="s">
        <v>11</v>
      </c>
    </row>
    <row r="11794" spans="1:9" x14ac:dyDescent="0.2">
      <c r="A11794" s="2" t="s">
        <v>3517</v>
      </c>
      <c r="B11794" s="2" t="s">
        <v>359</v>
      </c>
      <c r="C11794" s="2">
        <v>894.42070000000001</v>
      </c>
      <c r="D11794" s="2">
        <f>HYPERLINK("http://mcb-m6.bioreg.kyushu-u.ac.jp/M3/20110411/F50905/2812/1", 40.22)</f>
        <v>40.22</v>
      </c>
      <c r="E11794" s="2">
        <v>26.98</v>
      </c>
      <c r="F11794" s="2">
        <v>2</v>
      </c>
      <c r="G11794" s="2" t="s">
        <v>9</v>
      </c>
    </row>
    <row r="11795" spans="1:9" x14ac:dyDescent="0.2">
      <c r="A11795" s="2" t="s">
        <v>4306</v>
      </c>
      <c r="B11795" s="2" t="s">
        <v>2045</v>
      </c>
      <c r="C11795" s="2">
        <v>872.95920000000001</v>
      </c>
      <c r="D11795" s="2">
        <f>HYPERLINK("http://mcb-m6.bioreg.kyushu-u.ac.jp/M3/20110411/F50913/2646/1", 68.3)</f>
        <v>68.3</v>
      </c>
      <c r="E11795" s="2">
        <v>41.34</v>
      </c>
      <c r="F11795" s="2">
        <v>2</v>
      </c>
      <c r="G11795" s="2" t="s">
        <v>10</v>
      </c>
    </row>
    <row r="11796" spans="1:9" x14ac:dyDescent="0.2">
      <c r="A11796" s="2" t="s">
        <v>3401</v>
      </c>
      <c r="B11796" s="2" t="s">
        <v>198</v>
      </c>
      <c r="C11796" s="2">
        <v>574.54859999999996</v>
      </c>
      <c r="D11796" s="2">
        <f>HYPERLINK("http://mcb-m6.bioreg.kyushu-u.ac.jp/M3/20110411/F50905/1253/1", 37.6)</f>
        <v>37.6</v>
      </c>
      <c r="E11796" s="2">
        <v>10.51</v>
      </c>
      <c r="F11796" s="2">
        <v>2</v>
      </c>
      <c r="G11796" s="2" t="s">
        <v>9</v>
      </c>
    </row>
    <row r="11797" spans="1:9" x14ac:dyDescent="0.2">
      <c r="A11797" s="2" t="s">
        <v>3347</v>
      </c>
      <c r="B11797" s="2" t="s">
        <v>136</v>
      </c>
      <c r="C11797" s="2">
        <v>552.87369999999999</v>
      </c>
      <c r="D11797" s="2">
        <f>HYPERLINK("http://mcb-m6.bioreg.kyushu-u.ac.jp/M3/20110411/F50915/975/1", 36.53)</f>
        <v>36.53</v>
      </c>
      <c r="E11797" s="2">
        <v>18.02</v>
      </c>
      <c r="F11797" s="2">
        <v>2</v>
      </c>
      <c r="G11797" s="2" t="s">
        <v>9</v>
      </c>
    </row>
    <row r="11798" spans="1:9" x14ac:dyDescent="0.2">
      <c r="A11798" s="2" t="s">
        <v>3347</v>
      </c>
      <c r="B11798" s="2" t="s">
        <v>2659</v>
      </c>
      <c r="C11798" s="2">
        <v>622.62120000000004</v>
      </c>
      <c r="D11798" s="2">
        <f>HYPERLINK("http://mcb-m6.bioreg.kyushu-u.ac.jp/M3/20110414/F50958/1239/1", 48.69)</f>
        <v>48.69</v>
      </c>
      <c r="E11798" s="2">
        <v>28.67</v>
      </c>
      <c r="F11798" s="2">
        <v>2</v>
      </c>
      <c r="G11798" s="2" t="s">
        <v>12</v>
      </c>
    </row>
    <row r="11799" spans="1:9" x14ac:dyDescent="0.2">
      <c r="A11799" s="2" t="s">
        <v>4834</v>
      </c>
      <c r="B11799" s="2" t="s">
        <v>3096</v>
      </c>
      <c r="C11799" s="2">
        <v>829.35059999999999</v>
      </c>
      <c r="D11799" s="2">
        <f>HYPERLINK("http://mcb-m6.bioreg.kyushu-u.ac.jp/M3/20110502/F51182/2423/1", 44.3)</f>
        <v>44.3</v>
      </c>
      <c r="E11799" s="2">
        <v>11.1</v>
      </c>
      <c r="F11799" s="2">
        <v>2</v>
      </c>
      <c r="G11799" s="2" t="s">
        <v>14</v>
      </c>
      <c r="H11799" s="2" t="s">
        <v>4901</v>
      </c>
    </row>
    <row r="11800" spans="1:9" x14ac:dyDescent="0.2">
      <c r="A11800" s="2" t="s">
        <v>4071</v>
      </c>
      <c r="B11800" s="2" t="s">
        <v>1457</v>
      </c>
      <c r="C11800" s="2">
        <v>829.42610000000002</v>
      </c>
      <c r="D11800" s="2">
        <f>HYPERLINK("http://mcb-m6.bioreg.kyushu-u.ac.jp/M3/20110411/F50915/2440/1", 81.81)</f>
        <v>81.81</v>
      </c>
      <c r="E11800" s="2">
        <v>60.99</v>
      </c>
      <c r="F11800" s="2">
        <v>2</v>
      </c>
      <c r="G11800" s="2" t="s">
        <v>9</v>
      </c>
      <c r="I11800" s="2" t="s">
        <v>4914</v>
      </c>
    </row>
    <row r="11801" spans="1:9" x14ac:dyDescent="0.2">
      <c r="A11801" s="2" t="s">
        <v>4071</v>
      </c>
      <c r="B11801" s="2" t="s">
        <v>1834</v>
      </c>
      <c r="C11801" s="2">
        <v>613.43219999999997</v>
      </c>
      <c r="D11801" s="2">
        <f>HYPERLINK("http://mcb-m6.bioreg.kyushu-u.ac.jp/M3/20110411/F50917/1301/1", 42.38)</f>
        <v>42.38</v>
      </c>
      <c r="E11801" s="2">
        <v>27.42</v>
      </c>
      <c r="F11801" s="2">
        <v>2</v>
      </c>
      <c r="G11801" s="2" t="s">
        <v>10</v>
      </c>
    </row>
    <row r="11802" spans="1:9" x14ac:dyDescent="0.2">
      <c r="A11802" s="2" t="s">
        <v>4071</v>
      </c>
      <c r="B11802" s="2" t="s">
        <v>1457</v>
      </c>
      <c r="C11802" s="2">
        <v>828.90219999999999</v>
      </c>
      <c r="D11802" s="2">
        <f>HYPERLINK("http://mcb-m6.bioreg.kyushu-u.ac.jp/M3/20110411/F50917/2484/1", 48.26)</f>
        <v>48.26</v>
      </c>
      <c r="E11802" s="2">
        <v>37.409999999999997</v>
      </c>
      <c r="F11802" s="2">
        <v>2</v>
      </c>
      <c r="G11802" s="2" t="s">
        <v>10</v>
      </c>
      <c r="I11802" s="2" t="s">
        <v>4914</v>
      </c>
    </row>
    <row r="11803" spans="1:9" x14ac:dyDescent="0.2">
      <c r="A11803" s="2" t="s">
        <v>4071</v>
      </c>
      <c r="B11803" s="2" t="s">
        <v>1457</v>
      </c>
      <c r="C11803" s="2">
        <v>828.70119999999997</v>
      </c>
      <c r="D11803" s="2">
        <f>HYPERLINK("http://mcb-m6.bioreg.kyushu-u.ac.jp/M3/20110414/F50956/2553/1", 56.56)</f>
        <v>56.56</v>
      </c>
      <c r="E11803" s="2">
        <v>41.96</v>
      </c>
      <c r="F11803" s="2">
        <v>2</v>
      </c>
      <c r="G11803" s="2" t="s">
        <v>11</v>
      </c>
      <c r="I11803" s="2" t="s">
        <v>4914</v>
      </c>
    </row>
    <row r="11804" spans="1:9" x14ac:dyDescent="0.2">
      <c r="A11804" s="2" t="s">
        <v>4071</v>
      </c>
      <c r="B11804" s="2" t="s">
        <v>2562</v>
      </c>
      <c r="C11804" s="2">
        <v>830.29610000000002</v>
      </c>
      <c r="D11804" s="2">
        <f>HYPERLINK("http://mcb-m6.bioreg.kyushu-u.ac.jp/M3/20110414/F50958/2640/1", 37.98)</f>
        <v>37.979999999999997</v>
      </c>
      <c r="E11804" s="2">
        <v>29.12</v>
      </c>
      <c r="F11804" s="2">
        <v>2</v>
      </c>
      <c r="G11804" s="2" t="s">
        <v>12</v>
      </c>
    </row>
    <row r="11805" spans="1:9" x14ac:dyDescent="0.2">
      <c r="A11805" s="2" t="s">
        <v>4071</v>
      </c>
      <c r="B11805" s="2" t="s">
        <v>1457</v>
      </c>
      <c r="C11805" s="2">
        <v>828.80719999999997</v>
      </c>
      <c r="D11805" s="2">
        <f>HYPERLINK("http://mcb-m6.bioreg.kyushu-u.ac.jp/M3/20110414/F50958/2631/1", 78.12)</f>
        <v>78.12</v>
      </c>
      <c r="E11805" s="2">
        <v>58.52</v>
      </c>
      <c r="F11805" s="2">
        <v>2</v>
      </c>
      <c r="G11805" s="2" t="s">
        <v>12</v>
      </c>
      <c r="I11805" s="2" t="s">
        <v>4914</v>
      </c>
    </row>
    <row r="11806" spans="1:9" x14ac:dyDescent="0.2">
      <c r="A11806" s="2" t="s">
        <v>4071</v>
      </c>
      <c r="B11806" s="2" t="s">
        <v>1457</v>
      </c>
      <c r="C11806" s="2">
        <v>829.20759999999996</v>
      </c>
      <c r="D11806" s="2">
        <f>HYPERLINK("http://mcb-m6.bioreg.kyushu-u.ac.jp/M3/20110502/F51172/2737/1", 84.07)</f>
        <v>84.07</v>
      </c>
      <c r="E11806" s="2">
        <v>67.22</v>
      </c>
      <c r="F11806" s="2">
        <v>2</v>
      </c>
      <c r="G11806" s="2" t="s">
        <v>13</v>
      </c>
      <c r="I11806" s="2" t="s">
        <v>4914</v>
      </c>
    </row>
    <row r="11807" spans="1:9" x14ac:dyDescent="0.2">
      <c r="A11807" s="2" t="s">
        <v>4071</v>
      </c>
      <c r="B11807" s="2" t="s">
        <v>1457</v>
      </c>
      <c r="C11807" s="2">
        <v>829.21810000000005</v>
      </c>
      <c r="D11807" s="2">
        <f>HYPERLINK("http://mcb-m6.bioreg.kyushu-u.ac.jp/M3/20110502/F51193/2365/1", 104.81)</f>
        <v>104.81</v>
      </c>
      <c r="E11807" s="2">
        <v>78.19</v>
      </c>
      <c r="F11807" s="2">
        <v>2</v>
      </c>
      <c r="G11807" s="2" t="s">
        <v>14</v>
      </c>
      <c r="I11807" s="2" t="s">
        <v>4914</v>
      </c>
    </row>
    <row r="11808" spans="1:9" x14ac:dyDescent="0.2">
      <c r="A11808" s="2" t="s">
        <v>4071</v>
      </c>
      <c r="B11808" s="2" t="s">
        <v>1457</v>
      </c>
      <c r="C11808" s="2">
        <v>828.93520000000001</v>
      </c>
      <c r="D11808" s="2">
        <f>HYPERLINK("http://mcb-m6.bioreg.kyushu-u.ac.jp/M3/20110502/F51192/2277/1", 109.08)</f>
        <v>109.08</v>
      </c>
      <c r="E11808" s="2">
        <v>88.7</v>
      </c>
      <c r="F11808" s="2">
        <v>2</v>
      </c>
      <c r="G11808" s="2" t="s">
        <v>14</v>
      </c>
      <c r="I11808" s="2" t="s">
        <v>4914</v>
      </c>
    </row>
    <row r="11809" spans="1:9" x14ac:dyDescent="0.2">
      <c r="A11809" s="2" t="s">
        <v>3865</v>
      </c>
      <c r="B11809" s="2" t="s">
        <v>978</v>
      </c>
      <c r="C11809" s="2">
        <v>679.08879999999999</v>
      </c>
      <c r="D11809" s="2">
        <f>HYPERLINK("http://mcb-m6.bioreg.kyushu-u.ac.jp/M3/20110411/F50915/3366/1", 57.7)</f>
        <v>57.7</v>
      </c>
      <c r="E11809" s="2">
        <v>40.75</v>
      </c>
      <c r="F11809" s="2">
        <v>3</v>
      </c>
      <c r="G11809" s="2" t="s">
        <v>9</v>
      </c>
    </row>
    <row r="11810" spans="1:9" x14ac:dyDescent="0.2">
      <c r="A11810" s="2" t="s">
        <v>3865</v>
      </c>
      <c r="B11810" s="2" t="s">
        <v>1849</v>
      </c>
      <c r="C11810" s="2">
        <v>781.19709999999998</v>
      </c>
      <c r="D11810" s="2">
        <f>HYPERLINK("http://mcb-m6.bioreg.kyushu-u.ac.jp/M3/20110411/F50917/2209/1", 43.89)</f>
        <v>43.89</v>
      </c>
      <c r="E11810" s="2">
        <v>31.71</v>
      </c>
      <c r="F11810" s="2">
        <v>2</v>
      </c>
      <c r="G11810" s="2" t="s">
        <v>10</v>
      </c>
      <c r="H11810" s="2" t="s">
        <v>4927</v>
      </c>
    </row>
    <row r="11811" spans="1:9" x14ac:dyDescent="0.2">
      <c r="A11811" s="2" t="s">
        <v>3865</v>
      </c>
      <c r="B11811" s="2" t="s">
        <v>1988</v>
      </c>
      <c r="C11811" s="2">
        <v>482.33710000000002</v>
      </c>
      <c r="D11811" s="2">
        <f>HYPERLINK("http://mcb-m6.bioreg.kyushu-u.ac.jp/M3/20110411/F50917/739/1", 57.15)</f>
        <v>57.15</v>
      </c>
      <c r="E11811" s="2">
        <v>23.89</v>
      </c>
      <c r="F11811" s="2">
        <v>2</v>
      </c>
      <c r="G11811" s="2" t="s">
        <v>10</v>
      </c>
    </row>
    <row r="11812" spans="1:9" x14ac:dyDescent="0.2">
      <c r="A11812" s="2" t="s">
        <v>3865</v>
      </c>
      <c r="B11812" s="2" t="s">
        <v>2122</v>
      </c>
      <c r="C11812" s="2">
        <v>701.4357</v>
      </c>
      <c r="D11812" s="2">
        <f>HYPERLINK("http://mcb-m6.bioreg.kyushu-u.ac.jp/M3/20110411/F50917/1731/1", 87.58)</f>
        <v>87.58</v>
      </c>
      <c r="E11812" s="2">
        <v>62.24</v>
      </c>
      <c r="F11812" s="2">
        <v>2</v>
      </c>
      <c r="G11812" s="2" t="s">
        <v>10</v>
      </c>
      <c r="I11812" s="2" t="s">
        <v>4898</v>
      </c>
    </row>
    <row r="11813" spans="1:9" x14ac:dyDescent="0.2">
      <c r="A11813" s="2" t="s">
        <v>3865</v>
      </c>
      <c r="B11813" s="2" t="s">
        <v>978</v>
      </c>
      <c r="C11813" s="2">
        <v>679.04049999999995</v>
      </c>
      <c r="D11813" s="2">
        <f>HYPERLINK("http://mcb-m6.bioreg.kyushu-u.ac.jp/M3/20110414/F50956/3665/1", 44.95)</f>
        <v>44.95</v>
      </c>
      <c r="E11813" s="2">
        <v>35.22</v>
      </c>
      <c r="F11813" s="2">
        <v>3</v>
      </c>
      <c r="G11813" s="2" t="s">
        <v>11</v>
      </c>
    </row>
    <row r="11814" spans="1:9" x14ac:dyDescent="0.2">
      <c r="A11814" s="2" t="s">
        <v>3865</v>
      </c>
      <c r="B11814" s="2" t="s">
        <v>2122</v>
      </c>
      <c r="C11814" s="2">
        <v>701.42719999999997</v>
      </c>
      <c r="D11814" s="2">
        <f>HYPERLINK("http://mcb-m6.bioreg.kyushu-u.ac.jp/M3/20110414/F50956/1655/1", 56.95)</f>
        <v>56.95</v>
      </c>
      <c r="E11814" s="2">
        <v>22.77</v>
      </c>
      <c r="F11814" s="2">
        <v>2</v>
      </c>
      <c r="G11814" s="2" t="s">
        <v>11</v>
      </c>
      <c r="I11814" s="2" t="s">
        <v>4898</v>
      </c>
    </row>
    <row r="11815" spans="1:9" x14ac:dyDescent="0.2">
      <c r="A11815" s="2" t="s">
        <v>3865</v>
      </c>
      <c r="B11815" s="2" t="s">
        <v>2122</v>
      </c>
      <c r="C11815" s="2">
        <v>701.87120000000004</v>
      </c>
      <c r="D11815" s="2">
        <f>HYPERLINK("http://mcb-m6.bioreg.kyushu-u.ac.jp/M3/20110414/F50957/1623/1", 71.26)</f>
        <v>71.260000000000005</v>
      </c>
      <c r="E11815" s="2">
        <v>39.72</v>
      </c>
      <c r="F11815" s="2">
        <v>2</v>
      </c>
      <c r="G11815" s="2" t="s">
        <v>11</v>
      </c>
      <c r="I11815" s="2" t="s">
        <v>4898</v>
      </c>
    </row>
    <row r="11816" spans="1:9" x14ac:dyDescent="0.2">
      <c r="A11816" s="2" t="s">
        <v>3865</v>
      </c>
      <c r="B11816" s="2" t="s">
        <v>1849</v>
      </c>
      <c r="C11816" s="2">
        <v>781.22170000000006</v>
      </c>
      <c r="D11816" s="2">
        <f>HYPERLINK("http://mcb-m6.bioreg.kyushu-u.ac.jp/M3/20110414/F50958/2287/1", 50.58)</f>
        <v>50.58</v>
      </c>
      <c r="E11816" s="2">
        <v>38.33</v>
      </c>
      <c r="F11816" s="2">
        <v>2</v>
      </c>
      <c r="G11816" s="2" t="s">
        <v>12</v>
      </c>
      <c r="H11816" s="2" t="s">
        <v>4927</v>
      </c>
    </row>
    <row r="11817" spans="1:9" x14ac:dyDescent="0.2">
      <c r="A11817" s="2" t="s">
        <v>3865</v>
      </c>
      <c r="B11817" s="2" t="s">
        <v>2675</v>
      </c>
      <c r="C11817" s="2">
        <v>768.84619999999995</v>
      </c>
      <c r="D11817" s="2">
        <f>HYPERLINK("http://mcb-m6.bioreg.kyushu-u.ac.jp/M3/20110414/F50958/2192/1", 51.19)</f>
        <v>51.19</v>
      </c>
      <c r="E11817" s="2">
        <v>41.42</v>
      </c>
      <c r="F11817" s="2">
        <v>2</v>
      </c>
      <c r="G11817" s="2" t="s">
        <v>12</v>
      </c>
      <c r="I11817" s="2" t="s">
        <v>4890</v>
      </c>
    </row>
    <row r="11818" spans="1:9" x14ac:dyDescent="0.2">
      <c r="A11818" s="2" t="s">
        <v>3865</v>
      </c>
      <c r="B11818" s="2" t="s">
        <v>1988</v>
      </c>
      <c r="C11818" s="2">
        <v>482.70260000000002</v>
      </c>
      <c r="D11818" s="2">
        <f>HYPERLINK("http://mcb-m6.bioreg.kyushu-u.ac.jp/M3/20110414/F50958/558/1", 58.6)</f>
        <v>58.6</v>
      </c>
      <c r="E11818" s="2">
        <v>21.58</v>
      </c>
      <c r="F11818" s="2">
        <v>2</v>
      </c>
      <c r="G11818" s="2" t="s">
        <v>12</v>
      </c>
    </row>
    <row r="11819" spans="1:9" x14ac:dyDescent="0.2">
      <c r="A11819" s="2" t="s">
        <v>3865</v>
      </c>
      <c r="B11819" s="2" t="s">
        <v>978</v>
      </c>
      <c r="C11819" s="2">
        <v>679.03449999999998</v>
      </c>
      <c r="D11819" s="2">
        <f>HYPERLINK("http://mcb-m6.bioreg.kyushu-u.ac.jp/M3/20110414/F50958/3698/1", 67.04)</f>
        <v>67.040000000000006</v>
      </c>
      <c r="E11819" s="2">
        <v>53.2</v>
      </c>
      <c r="F11819" s="2">
        <v>3</v>
      </c>
      <c r="G11819" s="2" t="s">
        <v>12</v>
      </c>
    </row>
    <row r="11820" spans="1:9" x14ac:dyDescent="0.2">
      <c r="A11820" s="2" t="s">
        <v>3865</v>
      </c>
      <c r="B11820" s="2" t="s">
        <v>2122</v>
      </c>
      <c r="C11820" s="2">
        <v>701.73720000000003</v>
      </c>
      <c r="D11820" s="2">
        <f>HYPERLINK("http://mcb-m6.bioreg.kyushu-u.ac.jp/M3/20110414/F50959/1597/1", 84.62)</f>
        <v>84.62</v>
      </c>
      <c r="E11820" s="2">
        <v>59.01</v>
      </c>
      <c r="F11820" s="2">
        <v>2</v>
      </c>
      <c r="G11820" s="2" t="s">
        <v>12</v>
      </c>
      <c r="I11820" s="2" t="s">
        <v>4898</v>
      </c>
    </row>
    <row r="11821" spans="1:9" x14ac:dyDescent="0.2">
      <c r="A11821" s="2" t="s">
        <v>3865</v>
      </c>
      <c r="B11821" s="2" t="s">
        <v>2122</v>
      </c>
      <c r="C11821" s="2">
        <v>701.2722</v>
      </c>
      <c r="D11821" s="2">
        <f>HYPERLINK("http://mcb-m6.bioreg.kyushu-u.ac.jp/M3/20110414/F50958/1719/1", 94.11)</f>
        <v>94.11</v>
      </c>
      <c r="E11821" s="2">
        <v>50.58</v>
      </c>
      <c r="F11821" s="2">
        <v>2</v>
      </c>
      <c r="G11821" s="2" t="s">
        <v>12</v>
      </c>
      <c r="I11821" s="2" t="s">
        <v>4898</v>
      </c>
    </row>
    <row r="11822" spans="1:9" x14ac:dyDescent="0.2">
      <c r="A11822" s="2" t="s">
        <v>3865</v>
      </c>
      <c r="B11822" s="2" t="s">
        <v>978</v>
      </c>
      <c r="C11822" s="2">
        <v>679.35609999999997</v>
      </c>
      <c r="D11822" s="2">
        <f>HYPERLINK("http://mcb-m6.bioreg.kyushu-u.ac.jp/M3/20110502/F51172/3632/1", 57.3)</f>
        <v>57.3</v>
      </c>
      <c r="E11822" s="2">
        <v>46.55</v>
      </c>
      <c r="F11822" s="2">
        <v>3</v>
      </c>
      <c r="G11822" s="2" t="s">
        <v>13</v>
      </c>
    </row>
    <row r="11823" spans="1:9" x14ac:dyDescent="0.2">
      <c r="A11823" s="2" t="s">
        <v>3865</v>
      </c>
      <c r="B11823" s="2" t="s">
        <v>2122</v>
      </c>
      <c r="C11823" s="2">
        <v>701.66610000000003</v>
      </c>
      <c r="D11823" s="2">
        <f>HYPERLINK("http://mcb-m6.bioreg.kyushu-u.ac.jp/M3/20110502/F51172/1852/1", 79.2)</f>
        <v>79.2</v>
      </c>
      <c r="E11823" s="2">
        <v>40.89</v>
      </c>
      <c r="F11823" s="2">
        <v>2</v>
      </c>
      <c r="G11823" s="2" t="s">
        <v>13</v>
      </c>
      <c r="I11823" s="2" t="s">
        <v>4898</v>
      </c>
    </row>
    <row r="11824" spans="1:9" x14ac:dyDescent="0.2">
      <c r="A11824" s="2" t="s">
        <v>3865</v>
      </c>
      <c r="B11824" s="2" t="s">
        <v>2122</v>
      </c>
      <c r="C11824" s="2">
        <v>701.98910000000001</v>
      </c>
      <c r="D11824" s="2">
        <f>HYPERLINK("http://mcb-m6.bioreg.kyushu-u.ac.jp/M3/20110502/F51193/1656/1", 37.87)</f>
        <v>37.869999999999997</v>
      </c>
      <c r="E11824" s="2">
        <v>17.88</v>
      </c>
      <c r="F11824" s="2">
        <v>2</v>
      </c>
      <c r="G11824" s="2" t="s">
        <v>14</v>
      </c>
      <c r="I11824" s="2" t="s">
        <v>4898</v>
      </c>
    </row>
    <row r="11825" spans="1:9" x14ac:dyDescent="0.2">
      <c r="A11825" s="2" t="s">
        <v>3865</v>
      </c>
      <c r="B11825" s="2" t="s">
        <v>1988</v>
      </c>
      <c r="C11825" s="2">
        <v>482.43509999999998</v>
      </c>
      <c r="D11825" s="2">
        <f>HYPERLINK("http://mcb-m6.bioreg.kyushu-u.ac.jp/M3/20110502/F51193/644/1", 43.1)</f>
        <v>43.1</v>
      </c>
      <c r="E11825" s="2">
        <v>18.809999999999999</v>
      </c>
      <c r="F11825" s="2">
        <v>2</v>
      </c>
      <c r="G11825" s="2" t="s">
        <v>14</v>
      </c>
    </row>
    <row r="11826" spans="1:9" x14ac:dyDescent="0.2">
      <c r="A11826" s="2" t="s">
        <v>3865</v>
      </c>
      <c r="B11826" s="2" t="s">
        <v>1849</v>
      </c>
      <c r="C11826" s="2">
        <v>781.35109999999997</v>
      </c>
      <c r="D11826" s="2">
        <f>HYPERLINK("http://mcb-m6.bioreg.kyushu-u.ac.jp/M3/20110502/F51192/2034/1", 55.09)</f>
        <v>55.09</v>
      </c>
      <c r="E11826" s="2">
        <v>42.29</v>
      </c>
      <c r="F11826" s="2">
        <v>2</v>
      </c>
      <c r="G11826" s="2" t="s">
        <v>14</v>
      </c>
      <c r="H11826" s="2" t="s">
        <v>4927</v>
      </c>
    </row>
    <row r="11827" spans="1:9" x14ac:dyDescent="0.2">
      <c r="A11827" s="2" t="s">
        <v>3865</v>
      </c>
      <c r="B11827" s="2" t="s">
        <v>1988</v>
      </c>
      <c r="C11827" s="2">
        <v>482.10109999999997</v>
      </c>
      <c r="D11827" s="2">
        <f>HYPERLINK("http://mcb-m6.bioreg.kyushu-u.ac.jp/M3/20110502/F51192/609/1", 66.21)</f>
        <v>66.209999999999994</v>
      </c>
      <c r="E11827" s="2">
        <v>35.94</v>
      </c>
      <c r="F11827" s="2">
        <v>2</v>
      </c>
      <c r="G11827" s="2" t="s">
        <v>14</v>
      </c>
    </row>
    <row r="11828" spans="1:9" x14ac:dyDescent="0.2">
      <c r="A11828" s="2" t="s">
        <v>3865</v>
      </c>
      <c r="B11828" s="2" t="s">
        <v>2122</v>
      </c>
      <c r="C11828" s="2">
        <v>701.60919999999999</v>
      </c>
      <c r="D11828" s="2">
        <f>HYPERLINK("http://mcb-m6.bioreg.kyushu-u.ac.jp/M3/20110502/F51192/1565/1", 76.56)</f>
        <v>76.56</v>
      </c>
      <c r="E11828" s="2">
        <v>43.41</v>
      </c>
      <c r="F11828" s="2">
        <v>2</v>
      </c>
      <c r="G11828" s="2" t="s">
        <v>14</v>
      </c>
      <c r="I11828" s="2" t="s">
        <v>4898</v>
      </c>
    </row>
    <row r="11829" spans="1:9" x14ac:dyDescent="0.2">
      <c r="A11829" s="2" t="s">
        <v>3865</v>
      </c>
      <c r="B11829" s="2" t="s">
        <v>2122</v>
      </c>
      <c r="C11829" s="2">
        <v>701.54769999999996</v>
      </c>
      <c r="D11829" s="2">
        <f>HYPERLINK("http://mcb-m6.bioreg.kyushu-u.ac.jp/M3/20110502/F51193/1655/1", 85.68)</f>
        <v>85.68</v>
      </c>
      <c r="E11829" s="2">
        <v>61.37</v>
      </c>
      <c r="F11829" s="2">
        <v>2</v>
      </c>
      <c r="G11829" s="2" t="s">
        <v>14</v>
      </c>
      <c r="I11829" s="2" t="s">
        <v>4898</v>
      </c>
    </row>
    <row r="11830" spans="1:9" x14ac:dyDescent="0.2">
      <c r="A11830" s="2" t="s">
        <v>3930</v>
      </c>
      <c r="B11830" s="2" t="s">
        <v>1115</v>
      </c>
      <c r="C11830" s="2">
        <v>802.90520000000004</v>
      </c>
      <c r="D11830" s="2">
        <f>HYPERLINK("http://mcb-m6.bioreg.kyushu-u.ac.jp/M3/20110411/F50915/2291/1", 63.82)</f>
        <v>63.82</v>
      </c>
      <c r="E11830" s="2">
        <v>44.25</v>
      </c>
      <c r="F11830" s="2">
        <v>2</v>
      </c>
      <c r="G11830" s="2" t="s">
        <v>9</v>
      </c>
    </row>
    <row r="11831" spans="1:9" x14ac:dyDescent="0.2">
      <c r="A11831" s="2" t="s">
        <v>3930</v>
      </c>
      <c r="B11831" s="2" t="s">
        <v>1115</v>
      </c>
      <c r="C11831" s="2">
        <v>802.92169999999999</v>
      </c>
      <c r="D11831" s="2">
        <f>HYPERLINK("http://mcb-m6.bioreg.kyushu-u.ac.jp/M3/20110411/F50917/2343/1", 70.95)</f>
        <v>70.95</v>
      </c>
      <c r="E11831" s="2">
        <v>52.25</v>
      </c>
      <c r="F11831" s="2">
        <v>2</v>
      </c>
      <c r="G11831" s="2" t="s">
        <v>10</v>
      </c>
    </row>
    <row r="11832" spans="1:9" x14ac:dyDescent="0.2">
      <c r="A11832" s="2" t="s">
        <v>3930</v>
      </c>
      <c r="B11832" s="2" t="s">
        <v>1115</v>
      </c>
      <c r="C11832" s="2">
        <v>802.59519999999998</v>
      </c>
      <c r="D11832" s="2">
        <f>HYPERLINK("http://mcb-m6.bioreg.kyushu-u.ac.jp/M3/20110414/F50956/2366/1", 63.05)</f>
        <v>63.05</v>
      </c>
      <c r="E11832" s="2">
        <v>41.33</v>
      </c>
      <c r="F11832" s="2">
        <v>2</v>
      </c>
      <c r="G11832" s="2" t="s">
        <v>11</v>
      </c>
    </row>
    <row r="11833" spans="1:9" x14ac:dyDescent="0.2">
      <c r="A11833" s="2" t="s">
        <v>3930</v>
      </c>
      <c r="B11833" s="2" t="s">
        <v>1115</v>
      </c>
      <c r="C11833" s="2">
        <v>802.89120000000003</v>
      </c>
      <c r="D11833" s="2">
        <f>HYPERLINK("http://mcb-m6.bioreg.kyushu-u.ac.jp/M3/20110502/F51192/2154/1", 44.42)</f>
        <v>44.42</v>
      </c>
      <c r="E11833" s="2">
        <v>30.23</v>
      </c>
      <c r="F11833" s="2">
        <v>2</v>
      </c>
      <c r="G11833" s="2" t="s">
        <v>14</v>
      </c>
    </row>
    <row r="11834" spans="1:9" x14ac:dyDescent="0.2">
      <c r="A11834" s="2" t="s">
        <v>3864</v>
      </c>
      <c r="B11834" s="2" t="s">
        <v>977</v>
      </c>
      <c r="C11834" s="2">
        <v>793.02369999999996</v>
      </c>
      <c r="D11834" s="2">
        <f>HYPERLINK("http://mcb-m6.bioreg.kyushu-u.ac.jp/M3/20110411/F50915/2239/1", 57.66)</f>
        <v>57.66</v>
      </c>
      <c r="E11834" s="2">
        <v>23.5</v>
      </c>
      <c r="F11834" s="2">
        <v>2</v>
      </c>
      <c r="G11834" s="2" t="s">
        <v>9</v>
      </c>
    </row>
    <row r="11835" spans="1:9" x14ac:dyDescent="0.2">
      <c r="A11835" s="2" t="s">
        <v>3864</v>
      </c>
      <c r="B11835" s="2" t="s">
        <v>977</v>
      </c>
      <c r="C11835" s="2">
        <v>793.31209999999999</v>
      </c>
      <c r="D11835" s="2">
        <f>HYPERLINK("http://mcb-m6.bioreg.kyushu-u.ac.jp/M3/20110414/F50956/2326/1", 43.28)</f>
        <v>43.28</v>
      </c>
      <c r="E11835" s="2">
        <v>23.03</v>
      </c>
      <c r="F11835" s="2">
        <v>2</v>
      </c>
      <c r="G11835" s="2" t="s">
        <v>11</v>
      </c>
    </row>
    <row r="11836" spans="1:9" x14ac:dyDescent="0.2">
      <c r="A11836" s="2" t="s">
        <v>3864</v>
      </c>
      <c r="B11836" s="2" t="s">
        <v>977</v>
      </c>
      <c r="C11836" s="2">
        <v>793.5231</v>
      </c>
      <c r="D11836" s="2">
        <f>HYPERLINK("http://mcb-m6.bioreg.kyushu-u.ac.jp/M3/20110502/F51192/2100/1", 50.77)</f>
        <v>50.77</v>
      </c>
      <c r="E11836" s="2">
        <v>27.23</v>
      </c>
      <c r="F11836" s="2">
        <v>2</v>
      </c>
      <c r="G11836" s="2" t="s">
        <v>14</v>
      </c>
    </row>
    <row r="11837" spans="1:9" x14ac:dyDescent="0.2">
      <c r="A11837" s="2" t="s">
        <v>4251</v>
      </c>
      <c r="B11837" s="2" t="s">
        <v>1882</v>
      </c>
      <c r="C11837" s="2">
        <v>756.57759999999996</v>
      </c>
      <c r="D11837" s="2">
        <f>HYPERLINK("http://mcb-m6.bioreg.kyushu-u.ac.jp/M3/20110411/F50917/2046/1", 46.68)</f>
        <v>46.68</v>
      </c>
      <c r="E11837" s="2">
        <v>29.99</v>
      </c>
      <c r="F11837" s="2">
        <v>2</v>
      </c>
      <c r="G11837" s="2" t="s">
        <v>10</v>
      </c>
    </row>
    <row r="11838" spans="1:9" x14ac:dyDescent="0.2">
      <c r="A11838" s="2" t="s">
        <v>3666</v>
      </c>
      <c r="B11838" s="2" t="s">
        <v>605</v>
      </c>
      <c r="C11838" s="2">
        <v>772.58259999999996</v>
      </c>
      <c r="D11838" s="2">
        <f>HYPERLINK("http://mcb-m6.bioreg.kyushu-u.ac.jp/M3/20110411/F50916/2065/1", 46.08)</f>
        <v>46.08</v>
      </c>
      <c r="E11838" s="2">
        <v>28.4</v>
      </c>
      <c r="F11838" s="2">
        <v>2</v>
      </c>
      <c r="G11838" s="2" t="s">
        <v>9</v>
      </c>
    </row>
    <row r="11839" spans="1:9" x14ac:dyDescent="0.2">
      <c r="A11839" s="2" t="s">
        <v>4509</v>
      </c>
      <c r="B11839" s="2" t="s">
        <v>2517</v>
      </c>
      <c r="C11839" s="2">
        <v>935.35220000000004</v>
      </c>
      <c r="D11839" s="2">
        <f>HYPERLINK("http://mcb-m6.bioreg.kyushu-u.ac.jp/M3/20110414/F50924/2925/1", 142.46)</f>
        <v>142.46</v>
      </c>
      <c r="E11839" s="2">
        <v>105.98</v>
      </c>
      <c r="F11839" s="2">
        <v>2</v>
      </c>
      <c r="G11839" s="2" t="s">
        <v>11</v>
      </c>
    </row>
    <row r="11840" spans="1:9" x14ac:dyDescent="0.2">
      <c r="A11840" s="2" t="s">
        <v>4180</v>
      </c>
      <c r="B11840" s="2" t="s">
        <v>1756</v>
      </c>
      <c r="C11840" s="2">
        <v>639.03859999999997</v>
      </c>
      <c r="D11840" s="2">
        <f>HYPERLINK("http://mcb-m6.bioreg.kyushu-u.ac.jp/M3/20110411/F50914/1616/1", 37.98)</f>
        <v>37.979999999999997</v>
      </c>
      <c r="E11840" s="2">
        <v>19.350000000000001</v>
      </c>
      <c r="F11840" s="2">
        <v>2</v>
      </c>
      <c r="G11840" s="2" t="s">
        <v>10</v>
      </c>
    </row>
    <row r="11841" spans="1:7" x14ac:dyDescent="0.2">
      <c r="A11841" s="2" t="s">
        <v>4180</v>
      </c>
      <c r="B11841" s="2" t="s">
        <v>1897</v>
      </c>
      <c r="C11841" s="2">
        <v>825.45010000000002</v>
      </c>
      <c r="D11841" s="2">
        <f>HYPERLINK("http://mcb-m6.bioreg.kyushu-u.ac.jp/M3/20110411/F50917/2458/1", 47.13)</f>
        <v>47.13</v>
      </c>
      <c r="E11841" s="2">
        <v>35</v>
      </c>
      <c r="F11841" s="2">
        <v>2</v>
      </c>
      <c r="G11841" s="2" t="s">
        <v>10</v>
      </c>
    </row>
    <row r="11842" spans="1:7" x14ac:dyDescent="0.2">
      <c r="A11842" s="2" t="s">
        <v>4180</v>
      </c>
      <c r="B11842" s="2" t="s">
        <v>1897</v>
      </c>
      <c r="C11842" s="2">
        <v>825.42769999999996</v>
      </c>
      <c r="D11842" s="2">
        <f>HYPERLINK("http://mcb-m6.bioreg.kyushu-u.ac.jp/M3/20110411/F50914/2480/1", 76.75)</f>
        <v>76.75</v>
      </c>
      <c r="E11842" s="2">
        <v>62.95</v>
      </c>
      <c r="F11842" s="2">
        <v>2</v>
      </c>
      <c r="G11842" s="2" t="s">
        <v>10</v>
      </c>
    </row>
    <row r="11843" spans="1:7" x14ac:dyDescent="0.2">
      <c r="A11843" s="2" t="s">
        <v>4180</v>
      </c>
      <c r="B11843" s="2" t="s">
        <v>1897</v>
      </c>
      <c r="C11843" s="2">
        <v>825.56870000000004</v>
      </c>
      <c r="D11843" s="2">
        <f>HYPERLINK("http://mcb-m6.bioreg.kyushu-u.ac.jp/M3/20110414/F50943/2366/1", 48.21)</f>
        <v>48.21</v>
      </c>
      <c r="E11843" s="2">
        <v>41.55</v>
      </c>
      <c r="F11843" s="2">
        <v>2</v>
      </c>
      <c r="G11843" s="2" t="s">
        <v>11</v>
      </c>
    </row>
    <row r="11844" spans="1:7" x14ac:dyDescent="0.2">
      <c r="A11844" s="2" t="s">
        <v>4180</v>
      </c>
      <c r="B11844" s="2" t="s">
        <v>1897</v>
      </c>
      <c r="C11844" s="2">
        <v>825.26969999999994</v>
      </c>
      <c r="D11844" s="2">
        <f>HYPERLINK("http://mcb-m6.bioreg.kyushu-u.ac.jp/M3/20110414/F50942/2399/1", 70.92)</f>
        <v>70.92</v>
      </c>
      <c r="E11844" s="2">
        <v>58.66</v>
      </c>
      <c r="F11844" s="2">
        <v>2</v>
      </c>
      <c r="G11844" s="2" t="s">
        <v>11</v>
      </c>
    </row>
    <row r="11845" spans="1:7" x14ac:dyDescent="0.2">
      <c r="A11845" s="2" t="s">
        <v>4180</v>
      </c>
      <c r="B11845" s="2" t="s">
        <v>1897</v>
      </c>
      <c r="C11845" s="2">
        <v>825.33619999999996</v>
      </c>
      <c r="D11845" s="2">
        <f>HYPERLINK("http://mcb-m6.bioreg.kyushu-u.ac.jp/M3/20110414/F50948/2596/1", 62.52)</f>
        <v>62.52</v>
      </c>
      <c r="E11845" s="2">
        <v>44.29</v>
      </c>
      <c r="F11845" s="2">
        <v>2</v>
      </c>
      <c r="G11845" s="2" t="s">
        <v>12</v>
      </c>
    </row>
    <row r="11846" spans="1:7" x14ac:dyDescent="0.2">
      <c r="A11846" s="2" t="s">
        <v>4180</v>
      </c>
      <c r="B11846" s="2" t="s">
        <v>1897</v>
      </c>
      <c r="C11846" s="2">
        <v>825.80269999999996</v>
      </c>
      <c r="D11846" s="2">
        <f>HYPERLINK("http://mcb-m6.bioreg.kyushu-u.ac.jp/M3/20110502/F51183/2354/1", 94.01)</f>
        <v>94.01</v>
      </c>
      <c r="E11846" s="2">
        <v>73.55</v>
      </c>
      <c r="F11846" s="2">
        <v>2</v>
      </c>
      <c r="G11846" s="2" t="s">
        <v>14</v>
      </c>
    </row>
    <row r="11847" spans="1:7" x14ac:dyDescent="0.2">
      <c r="A11847" s="2" t="s">
        <v>3692</v>
      </c>
      <c r="B11847" s="2" t="s">
        <v>665</v>
      </c>
      <c r="C11847" s="2">
        <v>558.54719999999998</v>
      </c>
      <c r="D11847" s="2">
        <f>HYPERLINK("http://mcb-m6.bioreg.kyushu-u.ac.jp/M3/20110411/F50911/1216/1", 47.68)</f>
        <v>47.68</v>
      </c>
      <c r="E11847" s="2">
        <v>17.84</v>
      </c>
      <c r="F11847" s="2">
        <v>2</v>
      </c>
      <c r="G11847" s="2" t="s">
        <v>9</v>
      </c>
    </row>
    <row r="11848" spans="1:7" x14ac:dyDescent="0.2">
      <c r="A11848" s="2" t="s">
        <v>3692</v>
      </c>
      <c r="B11848" s="2" t="s">
        <v>1025</v>
      </c>
      <c r="C11848" s="2">
        <v>997.62519999999995</v>
      </c>
      <c r="D11848" s="2">
        <f>HYPERLINK("http://mcb-m6.bioreg.kyushu-u.ac.jp/M3/20110411/F50911/3364/1", 59.31)</f>
        <v>59.31</v>
      </c>
      <c r="E11848" s="2">
        <v>46.85</v>
      </c>
      <c r="F11848" s="2">
        <v>2</v>
      </c>
      <c r="G11848" s="2" t="s">
        <v>9</v>
      </c>
    </row>
    <row r="11849" spans="1:7" x14ac:dyDescent="0.2">
      <c r="A11849" s="2" t="s">
        <v>3692</v>
      </c>
      <c r="B11849" s="2" t="s">
        <v>1214</v>
      </c>
      <c r="C11849" s="2">
        <v>645.51319999999998</v>
      </c>
      <c r="D11849" s="2">
        <f>HYPERLINK("http://mcb-m6.bioreg.kyushu-u.ac.jp/M3/20110411/F50911/1583/1", 67.71)</f>
        <v>67.709999999999994</v>
      </c>
      <c r="E11849" s="2">
        <v>44.81</v>
      </c>
      <c r="F11849" s="2">
        <v>2</v>
      </c>
      <c r="G11849" s="2" t="s">
        <v>9</v>
      </c>
    </row>
    <row r="11850" spans="1:7" x14ac:dyDescent="0.2">
      <c r="A11850" s="2" t="s">
        <v>3692</v>
      </c>
      <c r="B11850" s="2" t="s">
        <v>1214</v>
      </c>
      <c r="C11850" s="2">
        <v>645.45119999999997</v>
      </c>
      <c r="D11850" s="2">
        <f>HYPERLINK("http://mcb-m6.bioreg.kyushu-u.ac.jp/M3/20110411/F50914/1638/1", 42.25)</f>
        <v>42.25</v>
      </c>
      <c r="E11850" s="2">
        <v>11.49</v>
      </c>
      <c r="F11850" s="2">
        <v>2</v>
      </c>
      <c r="G11850" s="2" t="s">
        <v>10</v>
      </c>
    </row>
    <row r="11851" spans="1:7" x14ac:dyDescent="0.2">
      <c r="A11851" s="2" t="s">
        <v>3692</v>
      </c>
      <c r="B11851" s="2" t="s">
        <v>665</v>
      </c>
      <c r="C11851" s="2">
        <v>558.65520000000004</v>
      </c>
      <c r="D11851" s="2">
        <f>HYPERLINK("http://mcb-m6.bioreg.kyushu-u.ac.jp/M3/20110411/F50914/1281/1", 53.45)</f>
        <v>53.45</v>
      </c>
      <c r="E11851" s="2">
        <v>23.3</v>
      </c>
      <c r="F11851" s="2">
        <v>2</v>
      </c>
      <c r="G11851" s="2" t="s">
        <v>10</v>
      </c>
    </row>
    <row r="11852" spans="1:7" x14ac:dyDescent="0.2">
      <c r="A11852" s="2" t="s">
        <v>3692</v>
      </c>
      <c r="B11852" s="2" t="s">
        <v>1214</v>
      </c>
      <c r="C11852" s="2">
        <v>645.46259999999995</v>
      </c>
      <c r="D11852" s="2">
        <f>HYPERLINK("http://mcb-m6.bioreg.kyushu-u.ac.jp/M3/20110414/F50942/1404/1", 41.14)</f>
        <v>41.14</v>
      </c>
      <c r="E11852" s="2">
        <v>15.73</v>
      </c>
      <c r="F11852" s="2">
        <v>2</v>
      </c>
      <c r="G11852" s="2" t="s">
        <v>11</v>
      </c>
    </row>
    <row r="11853" spans="1:7" x14ac:dyDescent="0.2">
      <c r="A11853" s="2" t="s">
        <v>3692</v>
      </c>
      <c r="B11853" s="2" t="s">
        <v>2538</v>
      </c>
      <c r="C11853" s="2">
        <v>655.75120000000004</v>
      </c>
      <c r="D11853" s="2">
        <f>HYPERLINK("http://mcb-m6.bioreg.kyushu-u.ac.jp/M3/20110414/F50948/1535/1", 36.5)</f>
        <v>36.5</v>
      </c>
      <c r="E11853" s="2">
        <v>25.15</v>
      </c>
      <c r="F11853" s="2">
        <v>2</v>
      </c>
      <c r="G11853" s="2" t="s">
        <v>12</v>
      </c>
    </row>
    <row r="11854" spans="1:7" x14ac:dyDescent="0.2">
      <c r="A11854" s="2" t="s">
        <v>3692</v>
      </c>
      <c r="B11854" s="2" t="s">
        <v>2538</v>
      </c>
      <c r="C11854" s="2">
        <v>655.96669999999995</v>
      </c>
      <c r="D11854" s="2">
        <f>HYPERLINK("http://mcb-m6.bioreg.kyushu-u.ac.jp/M3/20110502/F51171/1635/1", 76.34)</f>
        <v>76.34</v>
      </c>
      <c r="E11854" s="2">
        <v>55.8</v>
      </c>
      <c r="F11854" s="2">
        <v>2</v>
      </c>
      <c r="G11854" s="2" t="s">
        <v>13</v>
      </c>
    </row>
    <row r="11855" spans="1:7" x14ac:dyDescent="0.2">
      <c r="A11855" s="2" t="s">
        <v>3709</v>
      </c>
      <c r="B11855" s="2" t="s">
        <v>693</v>
      </c>
      <c r="C11855" s="2">
        <v>622.79110000000003</v>
      </c>
      <c r="D11855" s="2">
        <f>HYPERLINK("http://mcb-m6.bioreg.kyushu-u.ac.jp/M3/20110411/F50919/1131/1", 48.64)</f>
        <v>48.64</v>
      </c>
      <c r="E11855" s="2">
        <v>20.51</v>
      </c>
      <c r="F11855" s="2">
        <v>2</v>
      </c>
      <c r="G11855" s="2" t="s">
        <v>9</v>
      </c>
    </row>
    <row r="11856" spans="1:7" x14ac:dyDescent="0.2">
      <c r="A11856" s="2" t="s">
        <v>3709</v>
      </c>
      <c r="B11856" s="2" t="s">
        <v>1883</v>
      </c>
      <c r="C11856" s="2">
        <v>666.72519999999997</v>
      </c>
      <c r="D11856" s="2">
        <f>HYPERLINK("http://mcb-m6.bioreg.kyushu-u.ac.jp/M3/20110411/F50912/1680/1", 46.69)</f>
        <v>46.69</v>
      </c>
      <c r="E11856" s="2">
        <v>25.17</v>
      </c>
      <c r="F11856" s="2">
        <v>2</v>
      </c>
      <c r="G11856" s="2" t="s">
        <v>10</v>
      </c>
    </row>
    <row r="11857" spans="1:9" x14ac:dyDescent="0.2">
      <c r="A11857" s="2" t="s">
        <v>3709</v>
      </c>
      <c r="B11857" s="2" t="s">
        <v>1883</v>
      </c>
      <c r="C11857" s="2">
        <v>666.02560000000005</v>
      </c>
      <c r="D11857" s="2">
        <f>HYPERLINK("http://mcb-m6.bioreg.kyushu-u.ac.jp/M3/20110414/F50962/1506/1", 73.5)</f>
        <v>73.5</v>
      </c>
      <c r="E11857" s="2">
        <v>61.62</v>
      </c>
      <c r="F11857" s="2">
        <v>2</v>
      </c>
      <c r="G11857" s="2" t="s">
        <v>11</v>
      </c>
    </row>
    <row r="11858" spans="1:9" x14ac:dyDescent="0.2">
      <c r="A11858" s="2" t="s">
        <v>3709</v>
      </c>
      <c r="B11858" s="2" t="s">
        <v>1883</v>
      </c>
      <c r="C11858" s="2">
        <v>666.62270000000001</v>
      </c>
      <c r="D11858" s="2">
        <f>HYPERLINK("http://mcb-m6.bioreg.kyushu-u.ac.jp/M3/20110502/F51191/1362/1", 62.39)</f>
        <v>62.39</v>
      </c>
      <c r="E11858" s="2">
        <v>48.81</v>
      </c>
      <c r="F11858" s="2">
        <v>2</v>
      </c>
      <c r="G11858" s="2" t="s">
        <v>14</v>
      </c>
    </row>
    <row r="11859" spans="1:9" x14ac:dyDescent="0.2">
      <c r="A11859" s="2" t="s">
        <v>4881</v>
      </c>
      <c r="B11859" s="2" t="s">
        <v>3210</v>
      </c>
      <c r="C11859" s="2">
        <v>878.54359999999997</v>
      </c>
      <c r="D11859" s="2">
        <f>HYPERLINK("http://mcb-m6.bioreg.kyushu-u.ac.jp/M3/20110502/F51194/2532/1", 74.75)</f>
        <v>74.75</v>
      </c>
      <c r="E11859" s="2">
        <v>48.69</v>
      </c>
      <c r="F11859" s="2">
        <v>2</v>
      </c>
      <c r="G11859" s="2" t="s">
        <v>14</v>
      </c>
    </row>
    <row r="11860" spans="1:9" x14ac:dyDescent="0.2">
      <c r="A11860" s="2" t="s">
        <v>4865</v>
      </c>
      <c r="B11860" s="2" t="s">
        <v>3161</v>
      </c>
      <c r="C11860" s="2">
        <v>663.10170000000005</v>
      </c>
      <c r="D11860" s="2">
        <f>HYPERLINK("http://mcb-m6.bioreg.kyushu-u.ac.jp/M3/20110502/F51179/1319/1", 55.49)</f>
        <v>55.49</v>
      </c>
      <c r="E11860" s="2">
        <v>32.22</v>
      </c>
      <c r="F11860" s="2">
        <v>2</v>
      </c>
      <c r="G11860" s="2" t="s">
        <v>14</v>
      </c>
    </row>
    <row r="11861" spans="1:9" x14ac:dyDescent="0.2">
      <c r="A11861" s="2" t="s">
        <v>4477</v>
      </c>
      <c r="B11861" s="2" t="s">
        <v>2420</v>
      </c>
      <c r="C11861" s="2">
        <v>766.09619999999995</v>
      </c>
      <c r="D11861" s="2">
        <f>HYPERLINK("http://mcb-m6.bioreg.kyushu-u.ac.jp/M3/20110414/F50941/2250/1", 60)</f>
        <v>60</v>
      </c>
      <c r="E11861" s="2">
        <v>47.68</v>
      </c>
      <c r="F11861" s="2">
        <v>2</v>
      </c>
      <c r="G11861" s="2" t="s">
        <v>11</v>
      </c>
      <c r="I11861" s="2" t="s">
        <v>4914</v>
      </c>
    </row>
    <row r="11862" spans="1:9" x14ac:dyDescent="0.2">
      <c r="A11862" s="2" t="s">
        <v>3273</v>
      </c>
      <c r="B11862" s="2" t="s">
        <v>53</v>
      </c>
      <c r="C11862" s="2">
        <v>1383.8019999999999</v>
      </c>
      <c r="D11862" s="2">
        <f>HYPERLINK("http://mcb-m6.bioreg.kyushu-u.ac.jp/M3/20110411/F50905/1762/1", 35.51)</f>
        <v>35.51</v>
      </c>
      <c r="E11862" s="2">
        <v>15.36</v>
      </c>
      <c r="F11862" s="2">
        <v>1</v>
      </c>
      <c r="G11862" s="2" t="s">
        <v>9</v>
      </c>
    </row>
    <row r="11863" spans="1:9" x14ac:dyDescent="0.2">
      <c r="A11863" s="2" t="s">
        <v>3273</v>
      </c>
      <c r="B11863" s="2" t="s">
        <v>53</v>
      </c>
      <c r="C11863" s="2">
        <v>1383.5719999999999</v>
      </c>
      <c r="D11863" s="2">
        <f>HYPERLINK("http://mcb-m6.bioreg.kyushu-u.ac.jp/M3/20110411/F50891/1812/1", 42.69)</f>
        <v>42.69</v>
      </c>
      <c r="E11863" s="2">
        <v>30.77</v>
      </c>
      <c r="F11863" s="2">
        <v>1</v>
      </c>
      <c r="G11863" s="2" t="s">
        <v>9</v>
      </c>
    </row>
    <row r="11864" spans="1:9" x14ac:dyDescent="0.2">
      <c r="A11864" s="2" t="s">
        <v>3273</v>
      </c>
      <c r="B11864" s="2" t="s">
        <v>53</v>
      </c>
      <c r="C11864" s="2">
        <v>692.92610000000002</v>
      </c>
      <c r="D11864" s="2">
        <f>HYPERLINK("http://mcb-m6.bioreg.kyushu-u.ac.jp/M3/20110411/F50895/1846/1", 60.07)</f>
        <v>60.07</v>
      </c>
      <c r="E11864" s="2">
        <v>2.98</v>
      </c>
      <c r="F11864" s="2">
        <v>2</v>
      </c>
      <c r="G11864" s="2" t="s">
        <v>9</v>
      </c>
    </row>
    <row r="11865" spans="1:9" x14ac:dyDescent="0.2">
      <c r="A11865" s="2" t="s">
        <v>3273</v>
      </c>
      <c r="B11865" s="2" t="s">
        <v>53</v>
      </c>
      <c r="C11865" s="2">
        <v>692.40369999999996</v>
      </c>
      <c r="D11865" s="2">
        <f>HYPERLINK("http://mcb-m6.bioreg.kyushu-u.ac.jp/M3/20110411/F50915/1615/1", 62.68)</f>
        <v>62.68</v>
      </c>
      <c r="E11865" s="2">
        <v>27.18</v>
      </c>
      <c r="F11865" s="2">
        <v>2</v>
      </c>
      <c r="G11865" s="2" t="s">
        <v>9</v>
      </c>
    </row>
    <row r="11866" spans="1:9" x14ac:dyDescent="0.2">
      <c r="A11866" s="2" t="s">
        <v>3273</v>
      </c>
      <c r="B11866" s="2" t="s">
        <v>53</v>
      </c>
      <c r="C11866" s="2">
        <v>692.67169999999999</v>
      </c>
      <c r="D11866" s="2">
        <f>HYPERLINK("http://mcb-m6.bioreg.kyushu-u.ac.jp/M3/20110411/F50893/1963/1", 63.01)</f>
        <v>63.01</v>
      </c>
      <c r="E11866" s="2">
        <v>12.55</v>
      </c>
      <c r="F11866" s="2">
        <v>2</v>
      </c>
      <c r="G11866" s="2" t="s">
        <v>9</v>
      </c>
    </row>
    <row r="11867" spans="1:9" x14ac:dyDescent="0.2">
      <c r="A11867" s="2" t="s">
        <v>3273</v>
      </c>
      <c r="B11867" s="2" t="s">
        <v>53</v>
      </c>
      <c r="C11867" s="2">
        <v>692.51670000000001</v>
      </c>
      <c r="D11867" s="2">
        <f>HYPERLINK("http://mcb-m6.bioreg.kyushu-u.ac.jp/M3/20110411/F50904/1795/1", 69.11)</f>
        <v>69.11</v>
      </c>
      <c r="E11867" s="2">
        <v>32.1</v>
      </c>
      <c r="F11867" s="2">
        <v>2</v>
      </c>
      <c r="G11867" s="2" t="s">
        <v>9</v>
      </c>
    </row>
    <row r="11868" spans="1:9" x14ac:dyDescent="0.2">
      <c r="A11868" s="2" t="s">
        <v>3273</v>
      </c>
      <c r="B11868" s="2" t="s">
        <v>53</v>
      </c>
      <c r="C11868" s="2">
        <v>692.42070000000001</v>
      </c>
      <c r="D11868" s="2">
        <f>HYPERLINK("http://mcb-m6.bioreg.kyushu-u.ac.jp/M3/20110411/F50895/1841/1", 70.98)</f>
        <v>70.98</v>
      </c>
      <c r="E11868" s="2">
        <v>21.01</v>
      </c>
      <c r="F11868" s="2">
        <v>2</v>
      </c>
      <c r="G11868" s="2" t="s">
        <v>9</v>
      </c>
    </row>
    <row r="11869" spans="1:9" x14ac:dyDescent="0.2">
      <c r="A11869" s="2" t="s">
        <v>3273</v>
      </c>
      <c r="B11869" s="2" t="s">
        <v>53</v>
      </c>
      <c r="C11869" s="2">
        <v>692.74720000000002</v>
      </c>
      <c r="D11869" s="2">
        <f>HYPERLINK("http://mcb-m6.bioreg.kyushu-u.ac.jp/M3/20110411/F50894/2025/1", 75.3)</f>
        <v>75.3</v>
      </c>
      <c r="E11869" s="2">
        <v>21.71</v>
      </c>
      <c r="F11869" s="2">
        <v>2</v>
      </c>
      <c r="G11869" s="2" t="s">
        <v>9</v>
      </c>
    </row>
    <row r="11870" spans="1:9" x14ac:dyDescent="0.2">
      <c r="A11870" s="2" t="s">
        <v>3273</v>
      </c>
      <c r="B11870" s="2" t="s">
        <v>53</v>
      </c>
      <c r="C11870" s="2">
        <v>692.5702</v>
      </c>
      <c r="D11870" s="2">
        <f>HYPERLINK("http://mcb-m6.bioreg.kyushu-u.ac.jp/M3/20110411/F50891/1815/1", 78.56)</f>
        <v>78.56</v>
      </c>
      <c r="E11870" s="2">
        <v>2.94</v>
      </c>
      <c r="F11870" s="2">
        <v>2</v>
      </c>
      <c r="G11870" s="2" t="s">
        <v>9</v>
      </c>
    </row>
    <row r="11871" spans="1:9" x14ac:dyDescent="0.2">
      <c r="A11871" s="2" t="s">
        <v>3273</v>
      </c>
      <c r="B11871" s="2" t="s">
        <v>53</v>
      </c>
      <c r="C11871" s="2">
        <v>692.11410000000001</v>
      </c>
      <c r="D11871" s="2">
        <f>HYPERLINK("http://mcb-m6.bioreg.kyushu-u.ac.jp/M3/20110411/F50889/2087/1", 78.68)</f>
        <v>78.680000000000007</v>
      </c>
      <c r="E11871" s="2">
        <v>55.37</v>
      </c>
      <c r="F11871" s="2">
        <v>2</v>
      </c>
      <c r="G11871" s="2" t="s">
        <v>9</v>
      </c>
    </row>
    <row r="11872" spans="1:9" x14ac:dyDescent="0.2">
      <c r="A11872" s="2" t="s">
        <v>3273</v>
      </c>
      <c r="B11872" s="2" t="s">
        <v>53</v>
      </c>
      <c r="C11872" s="2">
        <v>692.65769999999998</v>
      </c>
      <c r="D11872" s="2">
        <f>HYPERLINK("http://mcb-m6.bioreg.kyushu-u.ac.jp/M3/20110411/F50893/1962/1", 80.68)</f>
        <v>80.680000000000007</v>
      </c>
      <c r="E11872" s="2">
        <v>5.14</v>
      </c>
      <c r="F11872" s="2">
        <v>2</v>
      </c>
      <c r="G11872" s="2" t="s">
        <v>9</v>
      </c>
    </row>
    <row r="11873" spans="1:7" x14ac:dyDescent="0.2">
      <c r="A11873" s="2" t="s">
        <v>3273</v>
      </c>
      <c r="B11873" s="2" t="s">
        <v>53</v>
      </c>
      <c r="C11873" s="2">
        <v>692.36519999999996</v>
      </c>
      <c r="D11873" s="2">
        <f>HYPERLINK("http://mcb-m6.bioreg.kyushu-u.ac.jp/M3/20110411/F50892/1977/1", 81.76)</f>
        <v>81.760000000000005</v>
      </c>
      <c r="E11873" s="2">
        <v>47.2</v>
      </c>
      <c r="F11873" s="2">
        <v>2</v>
      </c>
      <c r="G11873" s="2" t="s">
        <v>9</v>
      </c>
    </row>
    <row r="11874" spans="1:7" x14ac:dyDescent="0.2">
      <c r="A11874" s="2" t="s">
        <v>3273</v>
      </c>
      <c r="B11874" s="2" t="s">
        <v>53</v>
      </c>
      <c r="C11874" s="2">
        <v>692.77120000000002</v>
      </c>
      <c r="D11874" s="2">
        <f>HYPERLINK("http://mcb-m6.bioreg.kyushu-u.ac.jp/M3/20110411/F50899/2054/1", 46.46)</f>
        <v>46.46</v>
      </c>
      <c r="E11874" s="2">
        <v>0.21</v>
      </c>
      <c r="F11874" s="2">
        <v>2</v>
      </c>
      <c r="G11874" s="2" t="s">
        <v>10</v>
      </c>
    </row>
    <row r="11875" spans="1:7" x14ac:dyDescent="0.2">
      <c r="A11875" s="2" t="s">
        <v>3273</v>
      </c>
      <c r="B11875" s="2" t="s">
        <v>2067</v>
      </c>
      <c r="C11875" s="2">
        <v>576.6191</v>
      </c>
      <c r="D11875" s="2">
        <f>HYPERLINK("http://mcb-m6.bioreg.kyushu-u.ac.jp/M3/20110411/F50913/1299/1", 71.55)</f>
        <v>71.55</v>
      </c>
      <c r="E11875" s="2">
        <v>18.8</v>
      </c>
      <c r="F11875" s="2">
        <v>2</v>
      </c>
      <c r="G11875" s="2" t="s">
        <v>10</v>
      </c>
    </row>
    <row r="11876" spans="1:7" x14ac:dyDescent="0.2">
      <c r="A11876" s="2" t="s">
        <v>3273</v>
      </c>
      <c r="B11876" s="2" t="s">
        <v>53</v>
      </c>
      <c r="C11876" s="2">
        <v>692.47770000000003</v>
      </c>
      <c r="D11876" s="2">
        <f>HYPERLINK("http://mcb-m6.bioreg.kyushu-u.ac.jp/M3/20110411/F50901/1833/1", 75.07)</f>
        <v>75.069999999999993</v>
      </c>
      <c r="E11876" s="2">
        <v>29.72</v>
      </c>
      <c r="F11876" s="2">
        <v>2</v>
      </c>
      <c r="G11876" s="2" t="s">
        <v>10</v>
      </c>
    </row>
    <row r="11877" spans="1:7" x14ac:dyDescent="0.2">
      <c r="A11877" s="2" t="s">
        <v>3273</v>
      </c>
      <c r="B11877" s="2" t="s">
        <v>53</v>
      </c>
      <c r="C11877" s="2">
        <v>692.4117</v>
      </c>
      <c r="D11877" s="2">
        <f>HYPERLINK("http://mcb-m6.bioreg.kyushu-u.ac.jp/M3/20110411/F50918/1608/1", 75.82)</f>
        <v>75.819999999999993</v>
      </c>
      <c r="E11877" s="2">
        <v>46.09</v>
      </c>
      <c r="F11877" s="2">
        <v>2</v>
      </c>
      <c r="G11877" s="2" t="s">
        <v>10</v>
      </c>
    </row>
    <row r="11878" spans="1:7" x14ac:dyDescent="0.2">
      <c r="A11878" s="2" t="s">
        <v>3273</v>
      </c>
      <c r="B11878" s="2" t="s">
        <v>53</v>
      </c>
      <c r="C11878" s="2">
        <v>692.48659999999995</v>
      </c>
      <c r="D11878" s="2">
        <f>HYPERLINK("http://mcb-m6.bioreg.kyushu-u.ac.jp/M3/20110411/F50902/1818/1", 78.3)</f>
        <v>78.3</v>
      </c>
      <c r="E11878" s="2">
        <v>32.42</v>
      </c>
      <c r="F11878" s="2">
        <v>2</v>
      </c>
      <c r="G11878" s="2" t="s">
        <v>10</v>
      </c>
    </row>
    <row r="11879" spans="1:7" x14ac:dyDescent="0.2">
      <c r="A11879" s="2" t="s">
        <v>3273</v>
      </c>
      <c r="B11879" s="2" t="s">
        <v>53</v>
      </c>
      <c r="C11879" s="2">
        <v>692.53420000000006</v>
      </c>
      <c r="D11879" s="2">
        <f>HYPERLINK("http://mcb-m6.bioreg.kyushu-u.ac.jp/M3/20110411/F50920/1339/1", 82.03)</f>
        <v>82.03</v>
      </c>
      <c r="E11879" s="2">
        <v>49.48</v>
      </c>
      <c r="F11879" s="2">
        <v>2</v>
      </c>
      <c r="G11879" s="2" t="s">
        <v>10</v>
      </c>
    </row>
    <row r="11880" spans="1:7" x14ac:dyDescent="0.2">
      <c r="A11880" s="2" t="s">
        <v>3273</v>
      </c>
      <c r="B11880" s="2" t="s">
        <v>53</v>
      </c>
      <c r="C11880" s="2">
        <v>692.35860000000002</v>
      </c>
      <c r="D11880" s="2">
        <f>HYPERLINK("http://mcb-m6.bioreg.kyushu-u.ac.jp/M3/20110411/F50921/1604/1", 89.04)</f>
        <v>89.04</v>
      </c>
      <c r="E11880" s="2">
        <v>55.08</v>
      </c>
      <c r="F11880" s="2">
        <v>2</v>
      </c>
      <c r="G11880" s="2" t="s">
        <v>10</v>
      </c>
    </row>
    <row r="11881" spans="1:7" x14ac:dyDescent="0.2">
      <c r="A11881" s="2" t="s">
        <v>3273</v>
      </c>
      <c r="B11881" s="2" t="s">
        <v>2400</v>
      </c>
      <c r="C11881" s="2">
        <v>627.69820000000004</v>
      </c>
      <c r="D11881" s="2">
        <f>HYPERLINK("http://mcb-m6.bioreg.kyushu-u.ac.jp/M3/20110414/F50941/1469/1", 55.26)</f>
        <v>55.26</v>
      </c>
      <c r="E11881" s="2">
        <v>34.39</v>
      </c>
      <c r="F11881" s="2">
        <v>2</v>
      </c>
      <c r="G11881" s="2" t="s">
        <v>11</v>
      </c>
    </row>
    <row r="11882" spans="1:7" x14ac:dyDescent="0.2">
      <c r="A11882" s="2" t="s">
        <v>3273</v>
      </c>
      <c r="B11882" s="2" t="s">
        <v>53</v>
      </c>
      <c r="C11882" s="2">
        <v>692.29470000000003</v>
      </c>
      <c r="D11882" s="2">
        <f>HYPERLINK("http://mcb-m6.bioreg.kyushu-u.ac.jp/M3/20110414/F50944/1848/1", 61.03)</f>
        <v>61.03</v>
      </c>
      <c r="E11882" s="2">
        <v>37.93</v>
      </c>
      <c r="F11882" s="2">
        <v>2</v>
      </c>
      <c r="G11882" s="2" t="s">
        <v>11</v>
      </c>
    </row>
    <row r="11883" spans="1:7" x14ac:dyDescent="0.2">
      <c r="A11883" s="2" t="s">
        <v>3273</v>
      </c>
      <c r="B11883" s="2" t="s">
        <v>53</v>
      </c>
      <c r="C11883" s="2">
        <v>692.60820000000001</v>
      </c>
      <c r="D11883" s="2">
        <f>HYPERLINK("http://mcb-m6.bioreg.kyushu-u.ac.jp/M3/20110414/F50945/1752/1", 64.3)</f>
        <v>64.3</v>
      </c>
      <c r="E11883" s="2">
        <v>34.200000000000003</v>
      </c>
      <c r="F11883" s="2">
        <v>2</v>
      </c>
      <c r="G11883" s="2" t="s">
        <v>11</v>
      </c>
    </row>
    <row r="11884" spans="1:7" x14ac:dyDescent="0.2">
      <c r="A11884" s="2" t="s">
        <v>3273</v>
      </c>
      <c r="B11884" s="2" t="s">
        <v>53</v>
      </c>
      <c r="C11884" s="2">
        <v>1383.3050000000001</v>
      </c>
      <c r="D11884" s="2">
        <f>HYPERLINK("http://mcb-m6.bioreg.kyushu-u.ac.jp/M3/20110414/F50933/2162/1", 42.1)</f>
        <v>42.1</v>
      </c>
      <c r="E11884" s="2">
        <v>26.47</v>
      </c>
      <c r="F11884" s="2">
        <v>1</v>
      </c>
      <c r="G11884" s="2" t="s">
        <v>12</v>
      </c>
    </row>
    <row r="11885" spans="1:7" x14ac:dyDescent="0.2">
      <c r="A11885" s="2" t="s">
        <v>3273</v>
      </c>
      <c r="B11885" s="2" t="s">
        <v>53</v>
      </c>
      <c r="C11885" s="2">
        <v>692.28120000000001</v>
      </c>
      <c r="D11885" s="2">
        <f>HYPERLINK("http://mcb-m6.bioreg.kyushu-u.ac.jp/M3/20110414/F50933/2166/1", 43.42)</f>
        <v>43.42</v>
      </c>
      <c r="E11885" s="2">
        <v>23.02</v>
      </c>
      <c r="F11885" s="2">
        <v>2</v>
      </c>
      <c r="G11885" s="2" t="s">
        <v>12</v>
      </c>
    </row>
    <row r="11886" spans="1:7" x14ac:dyDescent="0.2">
      <c r="A11886" s="2" t="s">
        <v>3273</v>
      </c>
      <c r="B11886" s="2" t="s">
        <v>53</v>
      </c>
      <c r="C11886" s="2">
        <v>692.2491</v>
      </c>
      <c r="D11886" s="2">
        <f>HYPERLINK("http://mcb-m6.bioreg.kyushu-u.ac.jp/M3/20110414/F50933/2164/1", 43.48)</f>
        <v>43.48</v>
      </c>
      <c r="E11886" s="2">
        <v>26.86</v>
      </c>
      <c r="F11886" s="2">
        <v>2</v>
      </c>
      <c r="G11886" s="2" t="s">
        <v>12</v>
      </c>
    </row>
    <row r="11887" spans="1:7" x14ac:dyDescent="0.2">
      <c r="A11887" s="2" t="s">
        <v>3273</v>
      </c>
      <c r="B11887" s="2" t="s">
        <v>53</v>
      </c>
      <c r="C11887" s="2">
        <v>692.15060000000005</v>
      </c>
      <c r="D11887" s="2">
        <f>HYPERLINK("http://mcb-m6.bioreg.kyushu-u.ac.jp/M3/20110414/F50932/2092/1", 56.8)</f>
        <v>56.8</v>
      </c>
      <c r="E11887" s="2">
        <v>37.21</v>
      </c>
      <c r="F11887" s="2">
        <v>2</v>
      </c>
      <c r="G11887" s="2" t="s">
        <v>12</v>
      </c>
    </row>
    <row r="11888" spans="1:7" x14ac:dyDescent="0.2">
      <c r="A11888" s="2" t="s">
        <v>3273</v>
      </c>
      <c r="B11888" s="2" t="s">
        <v>53</v>
      </c>
      <c r="C11888" s="2">
        <v>692.85519999999997</v>
      </c>
      <c r="D11888" s="2">
        <f>HYPERLINK("http://mcb-m6.bioreg.kyushu-u.ac.jp/M3/20110414/F50933/2168/1", 63.05)</f>
        <v>63.05</v>
      </c>
      <c r="E11888" s="2">
        <v>1.86</v>
      </c>
      <c r="F11888" s="2">
        <v>2</v>
      </c>
      <c r="G11888" s="2" t="s">
        <v>12</v>
      </c>
    </row>
    <row r="11889" spans="1:7" x14ac:dyDescent="0.2">
      <c r="A11889" s="2" t="s">
        <v>3273</v>
      </c>
      <c r="B11889" s="2" t="s">
        <v>53</v>
      </c>
      <c r="C11889" s="2">
        <v>692.29020000000003</v>
      </c>
      <c r="D11889" s="2">
        <f>HYPERLINK("http://mcb-m6.bioreg.kyushu-u.ac.jp/M3/20110414/F50933/2167/1", 68.79)</f>
        <v>68.790000000000006</v>
      </c>
      <c r="E11889" s="2">
        <v>39.11</v>
      </c>
      <c r="F11889" s="2">
        <v>2</v>
      </c>
      <c r="G11889" s="2" t="s">
        <v>12</v>
      </c>
    </row>
    <row r="11890" spans="1:7" x14ac:dyDescent="0.2">
      <c r="A11890" s="2" t="s">
        <v>3273</v>
      </c>
      <c r="B11890" s="2" t="s">
        <v>53</v>
      </c>
      <c r="C11890" s="2">
        <v>692.68769999999995</v>
      </c>
      <c r="D11890" s="2">
        <f>HYPERLINK("http://mcb-m6.bioreg.kyushu-u.ac.jp/M3/20110414/F50934/2138/1", 72.45)</f>
        <v>72.45</v>
      </c>
      <c r="E11890" s="2">
        <v>29.04</v>
      </c>
      <c r="F11890" s="2">
        <v>2</v>
      </c>
      <c r="G11890" s="2" t="s">
        <v>12</v>
      </c>
    </row>
    <row r="11891" spans="1:7" x14ac:dyDescent="0.2">
      <c r="A11891" s="2" t="s">
        <v>3273</v>
      </c>
      <c r="B11891" s="2" t="s">
        <v>53</v>
      </c>
      <c r="C11891" s="2">
        <v>692.25019999999995</v>
      </c>
      <c r="D11891" s="2">
        <f>HYPERLINK("http://mcb-m6.bioreg.kyushu-u.ac.jp/M3/20110414/F50933/2165/1", 72.57)</f>
        <v>72.569999999999993</v>
      </c>
      <c r="E11891" s="2">
        <v>46.23</v>
      </c>
      <c r="F11891" s="2">
        <v>2</v>
      </c>
      <c r="G11891" s="2" t="s">
        <v>12</v>
      </c>
    </row>
    <row r="11892" spans="1:7" x14ac:dyDescent="0.2">
      <c r="A11892" s="2" t="s">
        <v>3273</v>
      </c>
      <c r="B11892" s="2" t="s">
        <v>2773</v>
      </c>
      <c r="C11892" s="2">
        <v>710.35969999999998</v>
      </c>
      <c r="D11892" s="2">
        <f>HYPERLINK("http://mcb-m6.bioreg.kyushu-u.ac.jp/M3/20110414/F50947/1741/1", 86.93)</f>
        <v>86.93</v>
      </c>
      <c r="E11892" s="2">
        <v>60.94</v>
      </c>
      <c r="F11892" s="2">
        <v>2</v>
      </c>
      <c r="G11892" s="2" t="s">
        <v>12</v>
      </c>
    </row>
    <row r="11893" spans="1:7" x14ac:dyDescent="0.2">
      <c r="A11893" s="2" t="s">
        <v>3273</v>
      </c>
      <c r="B11893" s="2" t="s">
        <v>53</v>
      </c>
      <c r="C11893" s="2">
        <v>692.51170000000002</v>
      </c>
      <c r="D11893" s="2">
        <f>HYPERLINK("http://mcb-m6.bioreg.kyushu-u.ac.jp/M3/20110502/F51188/1608/1", 46.83)</f>
        <v>46.83</v>
      </c>
      <c r="E11893" s="2">
        <v>31.43</v>
      </c>
      <c r="F11893" s="2">
        <v>2</v>
      </c>
      <c r="G11893" s="2" t="s">
        <v>13</v>
      </c>
    </row>
    <row r="11894" spans="1:7" x14ac:dyDescent="0.2">
      <c r="A11894" s="2" t="s">
        <v>3273</v>
      </c>
      <c r="B11894" s="2" t="s">
        <v>53</v>
      </c>
      <c r="C11894" s="2">
        <v>692.71259999999995</v>
      </c>
      <c r="D11894" s="2">
        <f>HYPERLINK("http://mcb-m6.bioreg.kyushu-u.ac.jp/M3/20110502/F51174/1767/1", 61.3)</f>
        <v>61.3</v>
      </c>
      <c r="E11894" s="2">
        <v>7.64</v>
      </c>
      <c r="F11894" s="2">
        <v>2</v>
      </c>
      <c r="G11894" s="2" t="s">
        <v>13</v>
      </c>
    </row>
    <row r="11895" spans="1:7" x14ac:dyDescent="0.2">
      <c r="A11895" s="2" t="s">
        <v>3273</v>
      </c>
      <c r="B11895" s="2" t="s">
        <v>53</v>
      </c>
      <c r="C11895" s="2">
        <v>692.46770000000004</v>
      </c>
      <c r="D11895" s="2">
        <f>HYPERLINK("http://mcb-m6.bioreg.kyushu-u.ac.jp/M3/20110502/F51168/1857/1", 67.1)</f>
        <v>67.099999999999994</v>
      </c>
      <c r="E11895" s="2">
        <v>42.38</v>
      </c>
      <c r="F11895" s="2">
        <v>2</v>
      </c>
      <c r="G11895" s="2" t="s">
        <v>13</v>
      </c>
    </row>
    <row r="11896" spans="1:7" x14ac:dyDescent="0.2">
      <c r="A11896" s="2" t="s">
        <v>3273</v>
      </c>
      <c r="B11896" s="2" t="s">
        <v>53</v>
      </c>
      <c r="C11896" s="2">
        <v>1383.828</v>
      </c>
      <c r="D11896" s="2">
        <f>HYPERLINK("http://mcb-m6.bioreg.kyushu-u.ac.jp/M3/20110502/F51177/1551/1", 40.7)</f>
        <v>40.700000000000003</v>
      </c>
      <c r="E11896" s="2">
        <v>14.43</v>
      </c>
      <c r="F11896" s="2">
        <v>1</v>
      </c>
      <c r="G11896" s="2" t="s">
        <v>14</v>
      </c>
    </row>
    <row r="11897" spans="1:7" x14ac:dyDescent="0.2">
      <c r="A11897" s="2" t="s">
        <v>3273</v>
      </c>
      <c r="B11897" s="2" t="s">
        <v>3133</v>
      </c>
      <c r="C11897" s="2">
        <v>557.66359999999997</v>
      </c>
      <c r="D11897" s="2">
        <f>HYPERLINK("http://mcb-m6.bioreg.kyushu-u.ac.jp/M3/20110502/F51179/860/1", 49.51)</f>
        <v>49.51</v>
      </c>
      <c r="E11897" s="2">
        <v>22.83</v>
      </c>
      <c r="F11897" s="2">
        <v>2</v>
      </c>
      <c r="G11897" s="2" t="s">
        <v>14</v>
      </c>
    </row>
    <row r="11898" spans="1:7" x14ac:dyDescent="0.2">
      <c r="A11898" s="2" t="s">
        <v>3273</v>
      </c>
      <c r="B11898" s="2" t="s">
        <v>53</v>
      </c>
      <c r="C11898" s="2">
        <v>692.23609999999996</v>
      </c>
      <c r="D11898" s="2">
        <f>HYPERLINK("http://mcb-m6.bioreg.kyushu-u.ac.jp/M3/20110502/F51177/1549/1", 50.33)</f>
        <v>50.33</v>
      </c>
      <c r="E11898" s="2">
        <v>37.01</v>
      </c>
      <c r="F11898" s="2">
        <v>2</v>
      </c>
      <c r="G11898" s="2" t="s">
        <v>14</v>
      </c>
    </row>
    <row r="11899" spans="1:7" x14ac:dyDescent="0.2">
      <c r="A11899" s="2" t="s">
        <v>3273</v>
      </c>
      <c r="B11899" s="2" t="s">
        <v>53</v>
      </c>
      <c r="C11899" s="2">
        <v>692.41970000000003</v>
      </c>
      <c r="D11899" s="2">
        <f>HYPERLINK("http://mcb-m6.bioreg.kyushu-u.ac.jp/M3/20110502/F51185/1622/1", 50.95)</f>
        <v>50.95</v>
      </c>
      <c r="E11899" s="2">
        <v>4.91</v>
      </c>
      <c r="F11899" s="2">
        <v>2</v>
      </c>
      <c r="G11899" s="2" t="s">
        <v>14</v>
      </c>
    </row>
    <row r="11900" spans="1:7" x14ac:dyDescent="0.2">
      <c r="A11900" s="2" t="s">
        <v>3273</v>
      </c>
      <c r="B11900" s="2" t="s">
        <v>2400</v>
      </c>
      <c r="C11900" s="2">
        <v>627.49869999999999</v>
      </c>
      <c r="D11900" s="2">
        <f>HYPERLINK("http://mcb-m6.bioreg.kyushu-u.ac.jp/M3/20110502/F51179/1181/1", 51.01)</f>
        <v>51.01</v>
      </c>
      <c r="E11900" s="2">
        <v>29.51</v>
      </c>
      <c r="F11900" s="2">
        <v>2</v>
      </c>
      <c r="G11900" s="2" t="s">
        <v>14</v>
      </c>
    </row>
    <row r="11901" spans="1:7" x14ac:dyDescent="0.2">
      <c r="A11901" s="2" t="s">
        <v>3273</v>
      </c>
      <c r="B11901" s="2" t="s">
        <v>53</v>
      </c>
      <c r="C11901" s="2">
        <v>692.57420000000002</v>
      </c>
      <c r="D11901" s="2">
        <f>HYPERLINK("http://mcb-m6.bioreg.kyushu-u.ac.jp/M3/20110502/F51177/1556/1", 54.95)</f>
        <v>54.95</v>
      </c>
      <c r="E11901" s="2">
        <v>9.19</v>
      </c>
      <c r="F11901" s="2">
        <v>2</v>
      </c>
      <c r="G11901" s="2" t="s">
        <v>14</v>
      </c>
    </row>
    <row r="11902" spans="1:7" x14ac:dyDescent="0.2">
      <c r="A11902" s="2" t="s">
        <v>3273</v>
      </c>
      <c r="B11902" s="2" t="s">
        <v>2773</v>
      </c>
      <c r="C11902" s="2">
        <v>710.48170000000005</v>
      </c>
      <c r="D11902" s="2">
        <f>HYPERLINK("http://mcb-m6.bioreg.kyushu-u.ac.jp/M3/20110502/F51179/1597/1", 60.56)</f>
        <v>60.56</v>
      </c>
      <c r="E11902" s="2">
        <v>46.15</v>
      </c>
      <c r="F11902" s="2">
        <v>2</v>
      </c>
      <c r="G11902" s="2" t="s">
        <v>14</v>
      </c>
    </row>
    <row r="11903" spans="1:7" x14ac:dyDescent="0.2">
      <c r="A11903" s="2" t="s">
        <v>3273</v>
      </c>
      <c r="B11903" s="2" t="s">
        <v>53</v>
      </c>
      <c r="C11903" s="2">
        <v>692.60310000000004</v>
      </c>
      <c r="D11903" s="2">
        <f>HYPERLINK("http://mcb-m6.bioreg.kyushu-u.ac.jp/M3/20110502/F51184/1547/1", 67.43)</f>
        <v>67.430000000000007</v>
      </c>
      <c r="E11903" s="2">
        <v>15.4</v>
      </c>
      <c r="F11903" s="2">
        <v>2</v>
      </c>
      <c r="G11903" s="2" t="s">
        <v>14</v>
      </c>
    </row>
    <row r="11904" spans="1:7" x14ac:dyDescent="0.2">
      <c r="A11904" s="2" t="s">
        <v>3273</v>
      </c>
      <c r="B11904" s="2" t="s">
        <v>2067</v>
      </c>
      <c r="C11904" s="2">
        <v>576.58069999999998</v>
      </c>
      <c r="D11904" s="2">
        <f>HYPERLINK("http://mcb-m6.bioreg.kyushu-u.ac.jp/M3/20110502/F51179/939/1", 69.72)</f>
        <v>69.72</v>
      </c>
      <c r="E11904" s="2">
        <v>16.489999999999998</v>
      </c>
      <c r="F11904" s="2">
        <v>2</v>
      </c>
      <c r="G11904" s="2" t="s">
        <v>14</v>
      </c>
    </row>
    <row r="11905" spans="1:7" x14ac:dyDescent="0.2">
      <c r="A11905" s="2" t="s">
        <v>3273</v>
      </c>
      <c r="B11905" s="2" t="s">
        <v>53</v>
      </c>
      <c r="C11905" s="2">
        <v>692.59519999999998</v>
      </c>
      <c r="D11905" s="2">
        <f>HYPERLINK("http://mcb-m6.bioreg.kyushu-u.ac.jp/M3/20110502/F51193/1596/1", 70.5)</f>
        <v>70.5</v>
      </c>
      <c r="E11905" s="2">
        <v>15.05</v>
      </c>
      <c r="F11905" s="2">
        <v>2</v>
      </c>
      <c r="G11905" s="2" t="s">
        <v>14</v>
      </c>
    </row>
    <row r="11906" spans="1:7" x14ac:dyDescent="0.2">
      <c r="A11906" s="2" t="s">
        <v>3273</v>
      </c>
      <c r="B11906" s="2" t="s">
        <v>53</v>
      </c>
      <c r="C11906" s="2">
        <v>692.65419999999995</v>
      </c>
      <c r="D11906" s="2">
        <f>HYPERLINK("http://mcb-m6.bioreg.kyushu-u.ac.jp/M3/20110502/F51182/1557/1", 81.84)</f>
        <v>81.84</v>
      </c>
      <c r="E11906" s="2">
        <v>6.23</v>
      </c>
      <c r="F11906" s="2">
        <v>2</v>
      </c>
      <c r="G11906" s="2" t="s">
        <v>14</v>
      </c>
    </row>
    <row r="11907" spans="1:7" x14ac:dyDescent="0.2">
      <c r="A11907" s="2" t="s">
        <v>3424</v>
      </c>
      <c r="B11907" s="2" t="s">
        <v>228</v>
      </c>
      <c r="C11907" s="2">
        <v>483.1001</v>
      </c>
      <c r="D11907" s="2">
        <f>HYPERLINK("http://mcb-m6.bioreg.kyushu-u.ac.jp/M3/20110411/F50893/1226/1", 38.16)</f>
        <v>38.159999999999997</v>
      </c>
      <c r="E11907" s="2">
        <v>10.06</v>
      </c>
      <c r="F11907" s="2">
        <v>2</v>
      </c>
      <c r="G11907" s="2" t="s">
        <v>9</v>
      </c>
    </row>
    <row r="11908" spans="1:7" x14ac:dyDescent="0.2">
      <c r="A11908" s="2" t="s">
        <v>3424</v>
      </c>
      <c r="B11908" s="2" t="s">
        <v>228</v>
      </c>
      <c r="C11908" s="2">
        <v>482.8766</v>
      </c>
      <c r="D11908" s="2">
        <f>HYPERLINK("http://mcb-m6.bioreg.kyushu-u.ac.jp/M3/20110411/F50916/766/1", 56.19)</f>
        <v>56.19</v>
      </c>
      <c r="E11908" s="2">
        <v>26.45</v>
      </c>
      <c r="F11908" s="2">
        <v>2</v>
      </c>
      <c r="G11908" s="2" t="s">
        <v>9</v>
      </c>
    </row>
    <row r="11909" spans="1:7" x14ac:dyDescent="0.2">
      <c r="A11909" s="2" t="s">
        <v>3424</v>
      </c>
      <c r="B11909" s="2" t="s">
        <v>1267</v>
      </c>
      <c r="C11909" s="2">
        <v>824.99620000000004</v>
      </c>
      <c r="D11909" s="2">
        <f>HYPERLINK("http://mcb-m6.bioreg.kyushu-u.ac.jp/M3/20110411/F50916/2343/1", 69.7)</f>
        <v>69.7</v>
      </c>
      <c r="E11909" s="2">
        <v>45.55</v>
      </c>
      <c r="F11909" s="2">
        <v>2</v>
      </c>
      <c r="G11909" s="2" t="s">
        <v>9</v>
      </c>
    </row>
    <row r="11910" spans="1:7" x14ac:dyDescent="0.2">
      <c r="A11910" s="2" t="s">
        <v>3424</v>
      </c>
      <c r="B11910" s="2" t="s">
        <v>228</v>
      </c>
      <c r="C11910" s="2">
        <v>482.5951</v>
      </c>
      <c r="D11910" s="2">
        <f>HYPERLINK("http://mcb-m6.bioreg.kyushu-u.ac.jp/M3/20110414/F50957/557/1", 52.55)</f>
        <v>52.55</v>
      </c>
      <c r="E11910" s="2">
        <v>26.19</v>
      </c>
      <c r="F11910" s="2">
        <v>2</v>
      </c>
      <c r="G11910" s="2" t="s">
        <v>11</v>
      </c>
    </row>
    <row r="11911" spans="1:7" x14ac:dyDescent="0.2">
      <c r="A11911" s="2" t="s">
        <v>3424</v>
      </c>
      <c r="B11911" s="2" t="s">
        <v>1267</v>
      </c>
      <c r="C11911" s="2">
        <v>825.30520000000001</v>
      </c>
      <c r="D11911" s="2">
        <f>HYPERLINK("http://mcb-m6.bioreg.kyushu-u.ac.jp/M3/20110414/F50957/2436/1", 52.74)</f>
        <v>52.74</v>
      </c>
      <c r="E11911" s="2">
        <v>28.58</v>
      </c>
      <c r="F11911" s="2">
        <v>2</v>
      </c>
      <c r="G11911" s="2" t="s">
        <v>11</v>
      </c>
    </row>
    <row r="11912" spans="1:7" x14ac:dyDescent="0.2">
      <c r="A11912" s="2" t="s">
        <v>3424</v>
      </c>
      <c r="B11912" s="2" t="s">
        <v>1267</v>
      </c>
      <c r="C11912" s="2">
        <v>825.08720000000005</v>
      </c>
      <c r="D11912" s="2">
        <f>HYPERLINK("http://mcb-m6.bioreg.kyushu-u.ac.jp/M3/20110414/F50959/2491/1", 44.89)</f>
        <v>44.89</v>
      </c>
      <c r="E11912" s="2">
        <v>22.31</v>
      </c>
      <c r="F11912" s="2">
        <v>2</v>
      </c>
      <c r="G11912" s="2" t="s">
        <v>12</v>
      </c>
    </row>
    <row r="11913" spans="1:7" x14ac:dyDescent="0.2">
      <c r="A11913" s="2" t="s">
        <v>4510</v>
      </c>
      <c r="B11913" s="2" t="s">
        <v>2519</v>
      </c>
      <c r="C11913" s="2">
        <v>450.50560000000002</v>
      </c>
      <c r="D11913" s="2">
        <f>HYPERLINK("http://mcb-m6.bioreg.kyushu-u.ac.jp/M3/20110414/F50963/517/1", 35.05)</f>
        <v>35.049999999999997</v>
      </c>
      <c r="E11913" s="2">
        <v>15.69</v>
      </c>
      <c r="F11913" s="2">
        <v>2</v>
      </c>
      <c r="G11913" s="2" t="s">
        <v>12</v>
      </c>
    </row>
    <row r="11914" spans="1:7" x14ac:dyDescent="0.2">
      <c r="A11914" s="2" t="s">
        <v>4280</v>
      </c>
      <c r="B11914" s="2" t="s">
        <v>1960</v>
      </c>
      <c r="C11914" s="2">
        <v>647.90809999999999</v>
      </c>
      <c r="D11914" s="2">
        <f>HYPERLINK("http://mcb-m6.bioreg.kyushu-u.ac.jp/M3/20110411/F50914/1647/1", 54.42)</f>
        <v>54.42</v>
      </c>
      <c r="E11914" s="2">
        <v>44.7</v>
      </c>
      <c r="F11914" s="2">
        <v>2</v>
      </c>
      <c r="G11914" s="2" t="s">
        <v>10</v>
      </c>
    </row>
    <row r="11915" spans="1:7" x14ac:dyDescent="0.2">
      <c r="A11915" s="2" t="s">
        <v>4013</v>
      </c>
      <c r="B11915" s="2" t="s">
        <v>1312</v>
      </c>
      <c r="C11915" s="2">
        <v>794.06020000000001</v>
      </c>
      <c r="D11915" s="2">
        <f>HYPERLINK("http://mcb-m6.bioreg.kyushu-u.ac.jp/M3/20110411/F50894/2447/1", 72.32)</f>
        <v>72.319999999999993</v>
      </c>
      <c r="E11915" s="2">
        <v>51.28</v>
      </c>
      <c r="F11915" s="2">
        <v>2</v>
      </c>
      <c r="G11915" s="2" t="s">
        <v>9</v>
      </c>
    </row>
    <row r="11916" spans="1:7" x14ac:dyDescent="0.2">
      <c r="A11916" s="2" t="s">
        <v>4013</v>
      </c>
      <c r="B11916" s="2" t="s">
        <v>1312</v>
      </c>
      <c r="C11916" s="2">
        <v>794.31460000000004</v>
      </c>
      <c r="D11916" s="2">
        <f>HYPERLINK("http://mcb-m6.bioreg.kyushu-u.ac.jp/M3/20110414/F50943/2235/1", 67.9)</f>
        <v>67.900000000000006</v>
      </c>
      <c r="E11916" s="2">
        <v>56.37</v>
      </c>
      <c r="F11916" s="2">
        <v>2</v>
      </c>
      <c r="G11916" s="2" t="s">
        <v>11</v>
      </c>
    </row>
    <row r="11917" spans="1:7" x14ac:dyDescent="0.2">
      <c r="A11917" s="2" t="s">
        <v>4013</v>
      </c>
      <c r="B11917" s="2" t="s">
        <v>2608</v>
      </c>
      <c r="C11917" s="2">
        <v>659.82259999999997</v>
      </c>
      <c r="D11917" s="2">
        <f>HYPERLINK("http://mcb-m6.bioreg.kyushu-u.ac.jp/M3/20110414/F50949/1957/1", 42.13)</f>
        <v>42.13</v>
      </c>
      <c r="E11917" s="2">
        <v>10.81</v>
      </c>
      <c r="F11917" s="2">
        <v>2</v>
      </c>
      <c r="G11917" s="2" t="s">
        <v>12</v>
      </c>
    </row>
    <row r="11918" spans="1:7" x14ac:dyDescent="0.2">
      <c r="A11918" s="2" t="s">
        <v>4013</v>
      </c>
      <c r="B11918" s="2" t="s">
        <v>3053</v>
      </c>
      <c r="C11918" s="2">
        <v>650.59619999999995</v>
      </c>
      <c r="D11918" s="2">
        <f>HYPERLINK("http://mcb-m6.bioreg.kyushu-u.ac.jp/M3/20110502/F51184/1266/1", 40.47)</f>
        <v>40.47</v>
      </c>
      <c r="E11918" s="2">
        <v>9.77</v>
      </c>
      <c r="F11918" s="2">
        <v>2</v>
      </c>
      <c r="G11918" s="2" t="s">
        <v>14</v>
      </c>
    </row>
    <row r="11919" spans="1:7" x14ac:dyDescent="0.2">
      <c r="A11919" s="2" t="s">
        <v>3385</v>
      </c>
      <c r="B11919" s="2" t="s">
        <v>178</v>
      </c>
      <c r="C11919" s="2">
        <v>991.90009999999995</v>
      </c>
      <c r="D11919" s="2">
        <f>HYPERLINK("http://mcb-m6.bioreg.kyushu-u.ac.jp/M3/20110411/F50915/3263/1", 37.3)</f>
        <v>37.299999999999997</v>
      </c>
      <c r="E11919" s="2">
        <v>21.33</v>
      </c>
      <c r="F11919" s="2">
        <v>2</v>
      </c>
      <c r="G11919" s="2" t="s">
        <v>9</v>
      </c>
    </row>
    <row r="11920" spans="1:7" x14ac:dyDescent="0.2">
      <c r="A11920" s="2" t="s">
        <v>3385</v>
      </c>
      <c r="B11920" s="2" t="s">
        <v>178</v>
      </c>
      <c r="C11920" s="2">
        <v>661.67750000000001</v>
      </c>
      <c r="D11920" s="2">
        <f>HYPERLINK("http://mcb-m6.bioreg.kyushu-u.ac.jp/M3/20110411/F50915/3266/1", 41.44)</f>
        <v>41.44</v>
      </c>
      <c r="E11920" s="2">
        <v>29.19</v>
      </c>
      <c r="F11920" s="2">
        <v>3</v>
      </c>
      <c r="G11920" s="2" t="s">
        <v>9</v>
      </c>
    </row>
    <row r="11921" spans="1:7" x14ac:dyDescent="0.2">
      <c r="A11921" s="2" t="s">
        <v>3385</v>
      </c>
      <c r="B11921" s="2" t="s">
        <v>178</v>
      </c>
      <c r="C11921" s="2">
        <v>992.07169999999996</v>
      </c>
      <c r="D11921" s="2">
        <f>HYPERLINK("http://mcb-m6.bioreg.kyushu-u.ac.jp/M3/20110411/F50917/3306/1", 59.22)</f>
        <v>59.22</v>
      </c>
      <c r="E11921" s="2">
        <v>44.26</v>
      </c>
      <c r="F11921" s="2">
        <v>2</v>
      </c>
      <c r="G11921" s="2" t="s">
        <v>10</v>
      </c>
    </row>
    <row r="11922" spans="1:7" x14ac:dyDescent="0.2">
      <c r="A11922" s="2" t="s">
        <v>3385</v>
      </c>
      <c r="B11922" s="2" t="s">
        <v>178</v>
      </c>
      <c r="C11922" s="2">
        <v>991.72119999999995</v>
      </c>
      <c r="D11922" s="2">
        <f>HYPERLINK("http://mcb-m6.bioreg.kyushu-u.ac.jp/M3/20110414/F50956/3521/1", 42.82)</f>
        <v>42.82</v>
      </c>
      <c r="E11922" s="2">
        <v>33.81</v>
      </c>
      <c r="F11922" s="2">
        <v>2</v>
      </c>
      <c r="G11922" s="2" t="s">
        <v>11</v>
      </c>
    </row>
    <row r="11923" spans="1:7" x14ac:dyDescent="0.2">
      <c r="A11923" s="2" t="s">
        <v>3385</v>
      </c>
      <c r="B11923" s="2" t="s">
        <v>178</v>
      </c>
      <c r="C11923" s="2">
        <v>991.29769999999996</v>
      </c>
      <c r="D11923" s="2">
        <f>HYPERLINK("http://mcb-m6.bioreg.kyushu-u.ac.jp/M3/20110414/F50929/2998/1", 43.36)</f>
        <v>43.36</v>
      </c>
      <c r="E11923" s="2">
        <v>26.68</v>
      </c>
      <c r="F11923" s="2">
        <v>2</v>
      </c>
      <c r="G11923" s="2" t="s">
        <v>11</v>
      </c>
    </row>
    <row r="11924" spans="1:7" x14ac:dyDescent="0.2">
      <c r="A11924" s="2" t="s">
        <v>3385</v>
      </c>
      <c r="B11924" s="2" t="s">
        <v>178</v>
      </c>
      <c r="C11924" s="2">
        <v>991.80409999999995</v>
      </c>
      <c r="D11924" s="2">
        <f>HYPERLINK("http://mcb-m6.bioreg.kyushu-u.ac.jp/M3/20110414/F50945/3116/1", 44.29)</f>
        <v>44.29</v>
      </c>
      <c r="E11924" s="2">
        <v>34.69</v>
      </c>
      <c r="F11924" s="2">
        <v>2</v>
      </c>
      <c r="G11924" s="2" t="s">
        <v>11</v>
      </c>
    </row>
    <row r="11925" spans="1:7" x14ac:dyDescent="0.2">
      <c r="A11925" s="2" t="s">
        <v>3385</v>
      </c>
      <c r="B11925" s="2" t="s">
        <v>178</v>
      </c>
      <c r="C11925" s="2">
        <v>991.61410000000001</v>
      </c>
      <c r="D11925" s="2">
        <f>HYPERLINK("http://mcb-m6.bioreg.kyushu-u.ac.jp/M3/20110414/F50942/3433/1", 46.33)</f>
        <v>46.33</v>
      </c>
      <c r="E11925" s="2">
        <v>36.26</v>
      </c>
      <c r="F11925" s="2">
        <v>2</v>
      </c>
      <c r="G11925" s="2" t="s">
        <v>11</v>
      </c>
    </row>
    <row r="11926" spans="1:7" x14ac:dyDescent="0.2">
      <c r="A11926" s="2" t="s">
        <v>3385</v>
      </c>
      <c r="B11926" s="2" t="s">
        <v>178</v>
      </c>
      <c r="C11926" s="2">
        <v>991.90260000000001</v>
      </c>
      <c r="D11926" s="2">
        <f>HYPERLINK("http://mcb-m6.bioreg.kyushu-u.ac.jp/M3/20110414/F50956/3524/1", 68.31)</f>
        <v>68.31</v>
      </c>
      <c r="E11926" s="2">
        <v>61.85</v>
      </c>
      <c r="F11926" s="2">
        <v>2</v>
      </c>
      <c r="G11926" s="2" t="s">
        <v>11</v>
      </c>
    </row>
    <row r="11927" spans="1:7" x14ac:dyDescent="0.2">
      <c r="A11927" s="2" t="s">
        <v>3385</v>
      </c>
      <c r="B11927" s="2" t="s">
        <v>178</v>
      </c>
      <c r="C11927" s="2">
        <v>991.58619999999996</v>
      </c>
      <c r="D11927" s="2">
        <f>HYPERLINK("http://mcb-m6.bioreg.kyushu-u.ac.jp/M3/20110414/F50934/2913/1", 42.6)</f>
        <v>42.6</v>
      </c>
      <c r="E11927" s="2">
        <v>33.19</v>
      </c>
      <c r="F11927" s="2">
        <v>2</v>
      </c>
      <c r="G11927" s="2" t="s">
        <v>12</v>
      </c>
    </row>
    <row r="11928" spans="1:7" x14ac:dyDescent="0.2">
      <c r="A11928" s="2" t="s">
        <v>3385</v>
      </c>
      <c r="B11928" s="2" t="s">
        <v>178</v>
      </c>
      <c r="C11928" s="2">
        <v>991.69920000000002</v>
      </c>
      <c r="D11928" s="2">
        <f>HYPERLINK("http://mcb-m6.bioreg.kyushu-u.ac.jp/M3/20110414/F50958/3588/1", 67.26)</f>
        <v>67.260000000000005</v>
      </c>
      <c r="E11928" s="2">
        <v>55.07</v>
      </c>
      <c r="F11928" s="2">
        <v>2</v>
      </c>
      <c r="G11928" s="2" t="s">
        <v>12</v>
      </c>
    </row>
    <row r="11929" spans="1:7" x14ac:dyDescent="0.2">
      <c r="A11929" s="2" t="s">
        <v>3385</v>
      </c>
      <c r="B11929" s="2" t="s">
        <v>178</v>
      </c>
      <c r="C11929" s="2">
        <v>992.04669999999999</v>
      </c>
      <c r="D11929" s="2">
        <f>HYPERLINK("http://mcb-m6.bioreg.kyushu-u.ac.jp/M3/20110502/F51188/2749/1", 56.24)</f>
        <v>56.24</v>
      </c>
      <c r="E11929" s="2">
        <v>39.22</v>
      </c>
      <c r="F11929" s="2">
        <v>2</v>
      </c>
      <c r="G11929" s="2" t="s">
        <v>13</v>
      </c>
    </row>
    <row r="11930" spans="1:7" x14ac:dyDescent="0.2">
      <c r="A11930" s="2" t="s">
        <v>3385</v>
      </c>
      <c r="B11930" s="2" t="s">
        <v>178</v>
      </c>
      <c r="C11930" s="2">
        <v>991.57320000000004</v>
      </c>
      <c r="D11930" s="2">
        <f>HYPERLINK("http://mcb-m6.bioreg.kyushu-u.ac.jp/M3/20110502/F51188/2747/1", 77.12)</f>
        <v>77.12</v>
      </c>
      <c r="E11930" s="2">
        <v>64.08</v>
      </c>
      <c r="F11930" s="2">
        <v>2</v>
      </c>
      <c r="G11930" s="2" t="s">
        <v>13</v>
      </c>
    </row>
    <row r="11931" spans="1:7" x14ac:dyDescent="0.2">
      <c r="A11931" s="2" t="s">
        <v>3385</v>
      </c>
      <c r="B11931" s="2" t="s">
        <v>178</v>
      </c>
      <c r="C11931" s="2">
        <v>661.57349999999997</v>
      </c>
      <c r="D11931" s="2">
        <f>HYPERLINK("http://mcb-m6.bioreg.kyushu-u.ac.jp/M3/20110502/F51192/2933/1", 46.33)</f>
        <v>46.33</v>
      </c>
      <c r="E11931" s="2">
        <v>36.99</v>
      </c>
      <c r="F11931" s="2">
        <v>3</v>
      </c>
      <c r="G11931" s="2" t="s">
        <v>14</v>
      </c>
    </row>
    <row r="11932" spans="1:7" x14ac:dyDescent="0.2">
      <c r="A11932" s="2" t="s">
        <v>3385</v>
      </c>
      <c r="B11932" s="2" t="s">
        <v>178</v>
      </c>
      <c r="C11932" s="2">
        <v>991.78309999999999</v>
      </c>
      <c r="D11932" s="2">
        <f>HYPERLINK("http://mcb-m6.bioreg.kyushu-u.ac.jp/M3/20110502/F51192/2932/1", 54.78)</f>
        <v>54.78</v>
      </c>
      <c r="E11932" s="2">
        <v>44.16</v>
      </c>
      <c r="F11932" s="2">
        <v>2</v>
      </c>
      <c r="G11932" s="2" t="s">
        <v>14</v>
      </c>
    </row>
    <row r="11933" spans="1:7" x14ac:dyDescent="0.2">
      <c r="A11933" s="2" t="s">
        <v>3385</v>
      </c>
      <c r="B11933" s="2" t="s">
        <v>178</v>
      </c>
      <c r="C11933" s="2">
        <v>991.2441</v>
      </c>
      <c r="D11933" s="2">
        <f>HYPERLINK("http://mcb-m6.bioreg.kyushu-u.ac.jp/M3/20110502/F51192/2927/1", 104.9)</f>
        <v>104.9</v>
      </c>
      <c r="E11933" s="2">
        <v>94.01</v>
      </c>
      <c r="F11933" s="2">
        <v>2</v>
      </c>
      <c r="G11933" s="2" t="s">
        <v>14</v>
      </c>
    </row>
    <row r="11934" spans="1:7" x14ac:dyDescent="0.2">
      <c r="A11934" s="2" t="s">
        <v>3360</v>
      </c>
      <c r="B11934" s="2" t="s">
        <v>152</v>
      </c>
      <c r="C11934" s="2">
        <v>1081.549</v>
      </c>
      <c r="D11934" s="2">
        <f>HYPERLINK("http://mcb-m6.bioreg.kyushu-u.ac.jp/M3/20110411/F50915/925/1", 36.86)</f>
        <v>36.86</v>
      </c>
      <c r="E11934" s="2">
        <v>20.399999999999999</v>
      </c>
      <c r="F11934" s="2">
        <v>1</v>
      </c>
      <c r="G11934" s="2" t="s">
        <v>9</v>
      </c>
    </row>
    <row r="11935" spans="1:7" x14ac:dyDescent="0.2">
      <c r="A11935" s="2" t="s">
        <v>3360</v>
      </c>
      <c r="B11935" s="2" t="s">
        <v>184</v>
      </c>
      <c r="C11935" s="2">
        <v>784.01760000000002</v>
      </c>
      <c r="D11935" s="2">
        <f>HYPERLINK("http://mcb-m6.bioreg.kyushu-u.ac.jp/M3/20110411/F50915/2178/1", 37.37)</f>
        <v>37.369999999999997</v>
      </c>
      <c r="E11935" s="2">
        <v>8.08</v>
      </c>
      <c r="F11935" s="2">
        <v>2</v>
      </c>
      <c r="G11935" s="2" t="s">
        <v>9</v>
      </c>
    </row>
    <row r="11936" spans="1:7" x14ac:dyDescent="0.2">
      <c r="A11936" s="2" t="s">
        <v>3360</v>
      </c>
      <c r="B11936" s="2" t="s">
        <v>327</v>
      </c>
      <c r="C11936" s="2">
        <v>741.17470000000003</v>
      </c>
      <c r="D11936" s="2">
        <f>HYPERLINK("http://mcb-m6.bioreg.kyushu-u.ac.jp/M3/20110411/F50915/1891/1", 39.71)</f>
        <v>39.71</v>
      </c>
      <c r="E11936" s="2">
        <v>18.78</v>
      </c>
      <c r="F11936" s="2">
        <v>2</v>
      </c>
      <c r="G11936" s="2" t="s">
        <v>9</v>
      </c>
    </row>
    <row r="11937" spans="1:7" x14ac:dyDescent="0.2">
      <c r="A11937" s="2" t="s">
        <v>3360</v>
      </c>
      <c r="B11937" s="2" t="s">
        <v>327</v>
      </c>
      <c r="C11937" s="2">
        <v>740.71720000000005</v>
      </c>
      <c r="D11937" s="2">
        <f>HYPERLINK("http://mcb-m6.bioreg.kyushu-u.ac.jp/M3/20110411/F50915/1883/1", 40.15)</f>
        <v>40.15</v>
      </c>
      <c r="E11937" s="2">
        <v>17.11</v>
      </c>
      <c r="F11937" s="2">
        <v>2</v>
      </c>
      <c r="G11937" s="2" t="s">
        <v>9</v>
      </c>
    </row>
    <row r="11938" spans="1:7" x14ac:dyDescent="0.2">
      <c r="A11938" s="2" t="s">
        <v>3360</v>
      </c>
      <c r="B11938" s="2" t="s">
        <v>452</v>
      </c>
      <c r="C11938" s="2">
        <v>894.40309999999999</v>
      </c>
      <c r="D11938" s="2">
        <f>HYPERLINK("http://mcb-m6.bioreg.kyushu-u.ac.jp/M3/20110411/F50895/2793/1", 42.18)</f>
        <v>42.18</v>
      </c>
      <c r="E11938" s="2">
        <v>30.39</v>
      </c>
      <c r="F11938" s="2">
        <v>2</v>
      </c>
      <c r="G11938" s="2" t="s">
        <v>9</v>
      </c>
    </row>
    <row r="11939" spans="1:7" x14ac:dyDescent="0.2">
      <c r="A11939" s="2" t="s">
        <v>3360</v>
      </c>
      <c r="B11939" s="2" t="s">
        <v>504</v>
      </c>
      <c r="C11939" s="2">
        <v>773.49300000000005</v>
      </c>
      <c r="D11939" s="2">
        <f>HYPERLINK("http://mcb-m6.bioreg.kyushu-u.ac.jp/M3/20110411/F50915/474/1", 43.4)</f>
        <v>43.4</v>
      </c>
      <c r="E11939" s="2">
        <v>24.39</v>
      </c>
      <c r="F11939" s="2">
        <v>1</v>
      </c>
      <c r="G11939" s="2" t="s">
        <v>9</v>
      </c>
    </row>
    <row r="11940" spans="1:7" x14ac:dyDescent="0.2">
      <c r="A11940" s="2" t="s">
        <v>3360</v>
      </c>
      <c r="B11940" s="2" t="s">
        <v>327</v>
      </c>
      <c r="C11940" s="2">
        <v>740.98320000000001</v>
      </c>
      <c r="D11940" s="2">
        <f>HYPERLINK("http://mcb-m6.bioreg.kyushu-u.ac.jp/M3/20110411/F50915/1888/1", 44.73)</f>
        <v>44.73</v>
      </c>
      <c r="E11940" s="2">
        <v>26.22</v>
      </c>
      <c r="F11940" s="2">
        <v>2</v>
      </c>
      <c r="G11940" s="2" t="s">
        <v>9</v>
      </c>
    </row>
    <row r="11941" spans="1:7" x14ac:dyDescent="0.2">
      <c r="A11941" s="2" t="s">
        <v>3360</v>
      </c>
      <c r="B11941" s="2" t="s">
        <v>152</v>
      </c>
      <c r="C11941" s="2">
        <v>541.4316</v>
      </c>
      <c r="D11941" s="2">
        <f>HYPERLINK("http://mcb-m6.bioreg.kyushu-u.ac.jp/M3/20110411/F50911/1135/1", 45.57)</f>
        <v>45.57</v>
      </c>
      <c r="E11941" s="2">
        <v>23.92</v>
      </c>
      <c r="F11941" s="2">
        <v>2</v>
      </c>
      <c r="G11941" s="2" t="s">
        <v>9</v>
      </c>
    </row>
    <row r="11942" spans="1:7" x14ac:dyDescent="0.2">
      <c r="A11942" s="2" t="s">
        <v>3360</v>
      </c>
      <c r="B11942" s="2" t="s">
        <v>327</v>
      </c>
      <c r="C11942" s="2">
        <v>1480.874</v>
      </c>
      <c r="D11942" s="2">
        <f>HYPERLINK("http://mcb-m6.bioreg.kyushu-u.ac.jp/M3/20110411/F50915/1887/1", 47.08)</f>
        <v>47.08</v>
      </c>
      <c r="E11942" s="2">
        <v>27.78</v>
      </c>
      <c r="F11942" s="2">
        <v>1</v>
      </c>
      <c r="G11942" s="2" t="s">
        <v>9</v>
      </c>
    </row>
    <row r="11943" spans="1:7" x14ac:dyDescent="0.2">
      <c r="A11943" s="2" t="s">
        <v>3360</v>
      </c>
      <c r="B11943" s="2" t="s">
        <v>327</v>
      </c>
      <c r="C11943" s="2">
        <v>494.27850000000001</v>
      </c>
      <c r="D11943" s="2">
        <f>HYPERLINK("http://mcb-m6.bioreg.kyushu-u.ac.jp/M3/20110411/F50915/1886/1", 48.57)</f>
        <v>48.57</v>
      </c>
      <c r="E11943" s="2">
        <v>27.68</v>
      </c>
      <c r="F11943" s="2">
        <v>3</v>
      </c>
      <c r="G11943" s="2" t="s">
        <v>9</v>
      </c>
    </row>
    <row r="11944" spans="1:7" x14ac:dyDescent="0.2">
      <c r="A11944" s="2" t="s">
        <v>3360</v>
      </c>
      <c r="B11944" s="2" t="s">
        <v>452</v>
      </c>
      <c r="C11944" s="2">
        <v>895.07669999999996</v>
      </c>
      <c r="D11944" s="2">
        <f>HYPERLINK("http://mcb-m6.bioreg.kyushu-u.ac.jp/M3/20110411/F50895/2795/1", 51.35)</f>
        <v>51.35</v>
      </c>
      <c r="E11944" s="2">
        <v>31.63</v>
      </c>
      <c r="F11944" s="2">
        <v>2</v>
      </c>
      <c r="G11944" s="2" t="s">
        <v>9</v>
      </c>
    </row>
    <row r="11945" spans="1:7" x14ac:dyDescent="0.2">
      <c r="A11945" s="2" t="s">
        <v>3360</v>
      </c>
      <c r="B11945" s="2" t="s">
        <v>327</v>
      </c>
      <c r="C11945" s="2">
        <v>741.06460000000004</v>
      </c>
      <c r="D11945" s="2">
        <f>HYPERLINK("http://mcb-m6.bioreg.kyushu-u.ac.jp/M3/20110411/F50915/1889/1", 53.05)</f>
        <v>53.05</v>
      </c>
      <c r="E11945" s="2">
        <v>33.47</v>
      </c>
      <c r="F11945" s="2">
        <v>2</v>
      </c>
      <c r="G11945" s="2" t="s">
        <v>9</v>
      </c>
    </row>
    <row r="11946" spans="1:7" x14ac:dyDescent="0.2">
      <c r="A11946" s="2" t="s">
        <v>3360</v>
      </c>
      <c r="B11946" s="2" t="s">
        <v>327</v>
      </c>
      <c r="C11946" s="2">
        <v>741.07460000000003</v>
      </c>
      <c r="D11946" s="2">
        <f>HYPERLINK("http://mcb-m6.bioreg.kyushu-u.ac.jp/M3/20110411/F50916/1910/1", 54.55)</f>
        <v>54.55</v>
      </c>
      <c r="E11946" s="2">
        <v>35.81</v>
      </c>
      <c r="F11946" s="2">
        <v>2</v>
      </c>
      <c r="G11946" s="2" t="s">
        <v>9</v>
      </c>
    </row>
    <row r="11947" spans="1:7" x14ac:dyDescent="0.2">
      <c r="A11947" s="2" t="s">
        <v>3360</v>
      </c>
      <c r="B11947" s="2" t="s">
        <v>911</v>
      </c>
      <c r="C11947" s="2">
        <v>627.49270000000001</v>
      </c>
      <c r="D11947" s="2">
        <f>HYPERLINK("http://mcb-m6.bioreg.kyushu-u.ac.jp/M3/20110411/F50916/1300/1", 55.35)</f>
        <v>55.35</v>
      </c>
      <c r="E11947" s="2">
        <v>39.99</v>
      </c>
      <c r="F11947" s="2">
        <v>2</v>
      </c>
      <c r="G11947" s="2" t="s">
        <v>9</v>
      </c>
    </row>
    <row r="11948" spans="1:7" x14ac:dyDescent="0.2">
      <c r="A11948" s="2" t="s">
        <v>3360</v>
      </c>
      <c r="B11948" s="2" t="s">
        <v>452</v>
      </c>
      <c r="C11948" s="2">
        <v>895.0607</v>
      </c>
      <c r="D11948" s="2">
        <f>HYPERLINK("http://mcb-m6.bioreg.kyushu-u.ac.jp/M3/20110411/F50915/2802/1", 56.37)</f>
        <v>56.37</v>
      </c>
      <c r="E11948" s="2">
        <v>41.51</v>
      </c>
      <c r="F11948" s="2">
        <v>2</v>
      </c>
      <c r="G11948" s="2" t="s">
        <v>9</v>
      </c>
    </row>
    <row r="11949" spans="1:7" x14ac:dyDescent="0.2">
      <c r="A11949" s="2" t="s">
        <v>3360</v>
      </c>
      <c r="B11949" s="2" t="s">
        <v>966</v>
      </c>
      <c r="C11949" s="2">
        <v>846.87270000000001</v>
      </c>
      <c r="D11949" s="2">
        <f>HYPERLINK("http://mcb-m6.bioreg.kyushu-u.ac.jp/M3/20110411/F50916/2447/1", 57.16)</f>
        <v>57.16</v>
      </c>
      <c r="E11949" s="2">
        <v>44.13</v>
      </c>
      <c r="F11949" s="2">
        <v>2</v>
      </c>
      <c r="G11949" s="2" t="s">
        <v>9</v>
      </c>
    </row>
    <row r="11950" spans="1:7" x14ac:dyDescent="0.2">
      <c r="A11950" s="2" t="s">
        <v>3360</v>
      </c>
      <c r="B11950" s="2" t="s">
        <v>911</v>
      </c>
      <c r="C11950" s="2">
        <v>627.3922</v>
      </c>
      <c r="D11950" s="2">
        <f>HYPERLINK("http://mcb-m6.bioreg.kyushu-u.ac.jp/M3/20110411/F50915/1286/1", 62.47)</f>
        <v>62.47</v>
      </c>
      <c r="E11950" s="2">
        <v>30.9</v>
      </c>
      <c r="F11950" s="2">
        <v>2</v>
      </c>
      <c r="G11950" s="2" t="s">
        <v>9</v>
      </c>
    </row>
    <row r="11951" spans="1:7" x14ac:dyDescent="0.2">
      <c r="A11951" s="2" t="s">
        <v>3360</v>
      </c>
      <c r="B11951" s="2" t="s">
        <v>911</v>
      </c>
      <c r="C11951" s="2">
        <v>1253.576</v>
      </c>
      <c r="D11951" s="2">
        <f>HYPERLINK("http://mcb-m6.bioreg.kyushu-u.ac.jp/M3/20110411/F50915/1283/1", 67.39)</f>
        <v>67.39</v>
      </c>
      <c r="E11951" s="2">
        <v>44.89</v>
      </c>
      <c r="F11951" s="2">
        <v>1</v>
      </c>
      <c r="G11951" s="2" t="s">
        <v>9</v>
      </c>
    </row>
    <row r="11952" spans="1:7" x14ac:dyDescent="0.2">
      <c r="A11952" s="2" t="s">
        <v>3360</v>
      </c>
      <c r="B11952" s="2" t="s">
        <v>966</v>
      </c>
      <c r="C11952" s="2">
        <v>846.49869999999999</v>
      </c>
      <c r="D11952" s="2">
        <f>HYPERLINK("http://mcb-m6.bioreg.kyushu-u.ac.jp/M3/20110411/F50915/2531/1", 70.27)</f>
        <v>70.27</v>
      </c>
      <c r="E11952" s="2">
        <v>58.57</v>
      </c>
      <c r="F11952" s="2">
        <v>2</v>
      </c>
      <c r="G11952" s="2" t="s">
        <v>9</v>
      </c>
    </row>
    <row r="11953" spans="1:7" x14ac:dyDescent="0.2">
      <c r="A11953" s="2" t="s">
        <v>3360</v>
      </c>
      <c r="B11953" s="2" t="s">
        <v>452</v>
      </c>
      <c r="C11953" s="2">
        <v>895.07370000000003</v>
      </c>
      <c r="D11953" s="2">
        <f>HYPERLINK("http://mcb-m6.bioreg.kyushu-u.ac.jp/M3/20110411/F50916/2677/1", 70.31)</f>
        <v>70.31</v>
      </c>
      <c r="E11953" s="2">
        <v>51.3</v>
      </c>
      <c r="F11953" s="2">
        <v>2</v>
      </c>
      <c r="G11953" s="2" t="s">
        <v>9</v>
      </c>
    </row>
    <row r="11954" spans="1:7" x14ac:dyDescent="0.2">
      <c r="A11954" s="2" t="s">
        <v>3360</v>
      </c>
      <c r="B11954" s="2" t="s">
        <v>452</v>
      </c>
      <c r="C11954" s="2">
        <v>894.38710000000003</v>
      </c>
      <c r="D11954" s="2">
        <f>HYPERLINK("http://mcb-m6.bioreg.kyushu-u.ac.jp/M3/20110411/F50889/2666/1", 81.26)</f>
        <v>81.260000000000005</v>
      </c>
      <c r="E11954" s="2">
        <v>66.650000000000006</v>
      </c>
      <c r="F11954" s="2">
        <v>2</v>
      </c>
      <c r="G11954" s="2" t="s">
        <v>9</v>
      </c>
    </row>
    <row r="11955" spans="1:7" x14ac:dyDescent="0.2">
      <c r="A11955" s="2" t="s">
        <v>3360</v>
      </c>
      <c r="B11955" s="2" t="s">
        <v>452</v>
      </c>
      <c r="C11955" s="2">
        <v>894.50369999999998</v>
      </c>
      <c r="D11955" s="2">
        <f>HYPERLINK("http://mcb-m6.bioreg.kyushu-u.ac.jp/M3/20110411/F50916/2675/1", 85.23)</f>
        <v>85.23</v>
      </c>
      <c r="E11955" s="2">
        <v>66.83</v>
      </c>
      <c r="F11955" s="2">
        <v>2</v>
      </c>
      <c r="G11955" s="2" t="s">
        <v>9</v>
      </c>
    </row>
    <row r="11956" spans="1:7" x14ac:dyDescent="0.2">
      <c r="A11956" s="2" t="s">
        <v>3360</v>
      </c>
      <c r="B11956" s="2" t="s">
        <v>452</v>
      </c>
      <c r="C11956" s="2">
        <v>894.60310000000004</v>
      </c>
      <c r="D11956" s="2">
        <f>HYPERLINK("http://mcb-m6.bioreg.kyushu-u.ac.jp/M3/20110411/F50915/2798/1", 97.62)</f>
        <v>97.62</v>
      </c>
      <c r="E11956" s="2">
        <v>80.91</v>
      </c>
      <c r="F11956" s="2">
        <v>2</v>
      </c>
      <c r="G11956" s="2" t="s">
        <v>9</v>
      </c>
    </row>
    <row r="11957" spans="1:7" x14ac:dyDescent="0.2">
      <c r="A11957" s="2" t="s">
        <v>3360</v>
      </c>
      <c r="B11957" s="2" t="s">
        <v>452</v>
      </c>
      <c r="C11957" s="2">
        <v>894.79020000000003</v>
      </c>
      <c r="D11957" s="2">
        <f>HYPERLINK("http://mcb-m6.bioreg.kyushu-u.ac.jp/M3/20110411/F50911/2920/1", 102.07)</f>
        <v>102.07</v>
      </c>
      <c r="E11957" s="2">
        <v>84.69</v>
      </c>
      <c r="F11957" s="2">
        <v>2</v>
      </c>
      <c r="G11957" s="2" t="s">
        <v>9</v>
      </c>
    </row>
    <row r="11958" spans="1:7" x14ac:dyDescent="0.2">
      <c r="A11958" s="2" t="s">
        <v>3360</v>
      </c>
      <c r="B11958" s="2" t="s">
        <v>452</v>
      </c>
      <c r="C11958" s="2">
        <v>596.86609999999996</v>
      </c>
      <c r="D11958" s="2">
        <f>HYPERLINK("http://mcb-m6.bioreg.kyushu-u.ac.jp/M3/20110411/F50918/2604/1", 35.09)</f>
        <v>35.090000000000003</v>
      </c>
      <c r="E11958" s="2">
        <v>14.22</v>
      </c>
      <c r="F11958" s="2">
        <v>3</v>
      </c>
      <c r="G11958" s="2" t="s">
        <v>10</v>
      </c>
    </row>
    <row r="11959" spans="1:7" x14ac:dyDescent="0.2">
      <c r="A11959" s="2" t="s">
        <v>3360</v>
      </c>
      <c r="B11959" s="2" t="s">
        <v>184</v>
      </c>
      <c r="C11959" s="2">
        <v>522.94619999999998</v>
      </c>
      <c r="D11959" s="2">
        <f>HYPERLINK("http://mcb-m6.bioreg.kyushu-u.ac.jp/M3/20110411/F50917/2230/1", 35.16)</f>
        <v>35.159999999999997</v>
      </c>
      <c r="E11959" s="2">
        <v>14.95</v>
      </c>
      <c r="F11959" s="2">
        <v>3</v>
      </c>
      <c r="G11959" s="2" t="s">
        <v>10</v>
      </c>
    </row>
    <row r="11960" spans="1:7" x14ac:dyDescent="0.2">
      <c r="A11960" s="2" t="s">
        <v>3360</v>
      </c>
      <c r="B11960" s="2" t="s">
        <v>327</v>
      </c>
      <c r="C11960" s="2">
        <v>741.14970000000005</v>
      </c>
      <c r="D11960" s="2">
        <f>HYPERLINK("http://mcb-m6.bioreg.kyushu-u.ac.jp/M3/20110411/F50900/2141/1", 35.81)</f>
        <v>35.81</v>
      </c>
      <c r="E11960" s="2">
        <v>20.149999999999999</v>
      </c>
      <c r="F11960" s="2">
        <v>2</v>
      </c>
      <c r="G11960" s="2" t="s">
        <v>10</v>
      </c>
    </row>
    <row r="11961" spans="1:7" x14ac:dyDescent="0.2">
      <c r="A11961" s="2" t="s">
        <v>3360</v>
      </c>
      <c r="B11961" s="2" t="s">
        <v>452</v>
      </c>
      <c r="C11961" s="2">
        <v>894.50570000000005</v>
      </c>
      <c r="D11961" s="2">
        <f>HYPERLINK("http://mcb-m6.bioreg.kyushu-u.ac.jp/M3/20110411/F50902/2769/1", 39.5)</f>
        <v>39.5</v>
      </c>
      <c r="E11961" s="2">
        <v>26.12</v>
      </c>
      <c r="F11961" s="2">
        <v>2</v>
      </c>
      <c r="G11961" s="2" t="s">
        <v>10</v>
      </c>
    </row>
    <row r="11962" spans="1:7" x14ac:dyDescent="0.2">
      <c r="A11962" s="2" t="s">
        <v>3360</v>
      </c>
      <c r="B11962" s="2" t="s">
        <v>452</v>
      </c>
      <c r="C11962" s="2">
        <v>894.4606</v>
      </c>
      <c r="D11962" s="2">
        <f>HYPERLINK("http://mcb-m6.bioreg.kyushu-u.ac.jp/M3/20110411/F50914/2806/1", 42.51)</f>
        <v>42.51</v>
      </c>
      <c r="E11962" s="2">
        <v>28.82</v>
      </c>
      <c r="F11962" s="2">
        <v>2</v>
      </c>
      <c r="G11962" s="2" t="s">
        <v>10</v>
      </c>
    </row>
    <row r="11963" spans="1:7" x14ac:dyDescent="0.2">
      <c r="A11963" s="2" t="s">
        <v>3360</v>
      </c>
      <c r="B11963" s="2" t="s">
        <v>327</v>
      </c>
      <c r="C11963" s="2">
        <v>494.30250000000001</v>
      </c>
      <c r="D11963" s="2">
        <f>HYPERLINK("http://mcb-m6.bioreg.kyushu-u.ac.jp/M3/20110411/F50917/1946/1", 46.39)</f>
        <v>46.39</v>
      </c>
      <c r="E11963" s="2">
        <v>20.68</v>
      </c>
      <c r="F11963" s="2">
        <v>3</v>
      </c>
      <c r="G11963" s="2" t="s">
        <v>10</v>
      </c>
    </row>
    <row r="11964" spans="1:7" x14ac:dyDescent="0.2">
      <c r="A11964" s="2" t="s">
        <v>3360</v>
      </c>
      <c r="B11964" s="2" t="s">
        <v>152</v>
      </c>
      <c r="C11964" s="2">
        <v>1081.6089999999999</v>
      </c>
      <c r="D11964" s="2">
        <f>HYPERLINK("http://mcb-m6.bioreg.kyushu-u.ac.jp/M3/20110411/F50917/969/1", 49.92)</f>
        <v>49.92</v>
      </c>
      <c r="E11964" s="2">
        <v>28.95</v>
      </c>
      <c r="F11964" s="2">
        <v>1</v>
      </c>
      <c r="G11964" s="2" t="s">
        <v>10</v>
      </c>
    </row>
    <row r="11965" spans="1:7" x14ac:dyDescent="0.2">
      <c r="A11965" s="2" t="s">
        <v>3360</v>
      </c>
      <c r="B11965" s="2" t="s">
        <v>152</v>
      </c>
      <c r="C11965" s="2">
        <v>541.42319999999995</v>
      </c>
      <c r="D11965" s="2">
        <f>HYPERLINK("http://mcb-m6.bioreg.kyushu-u.ac.jp/M3/20110411/F50917/971/1", 50.59)</f>
        <v>50.59</v>
      </c>
      <c r="E11965" s="2">
        <v>21.57</v>
      </c>
      <c r="F11965" s="2">
        <v>2</v>
      </c>
      <c r="G11965" s="2" t="s">
        <v>10</v>
      </c>
    </row>
    <row r="11966" spans="1:7" x14ac:dyDescent="0.2">
      <c r="A11966" s="2" t="s">
        <v>3360</v>
      </c>
      <c r="B11966" s="2" t="s">
        <v>911</v>
      </c>
      <c r="C11966" s="2">
        <v>627.47860000000003</v>
      </c>
      <c r="D11966" s="2">
        <f>HYPERLINK("http://mcb-m6.bioreg.kyushu-u.ac.jp/M3/20110411/F50902/1548/1", 53.29)</f>
        <v>53.29</v>
      </c>
      <c r="E11966" s="2">
        <v>37.630000000000003</v>
      </c>
      <c r="F11966" s="2">
        <v>2</v>
      </c>
      <c r="G11966" s="2" t="s">
        <v>10</v>
      </c>
    </row>
    <row r="11967" spans="1:7" x14ac:dyDescent="0.2">
      <c r="A11967" s="2" t="s">
        <v>3360</v>
      </c>
      <c r="B11967" s="2" t="s">
        <v>327</v>
      </c>
      <c r="C11967" s="2">
        <v>741.16719999999998</v>
      </c>
      <c r="D11967" s="2">
        <f>HYPERLINK("http://mcb-m6.bioreg.kyushu-u.ac.jp/M3/20110411/F50914/2088/1", 54.26)</f>
        <v>54.26</v>
      </c>
      <c r="E11967" s="2">
        <v>34.71</v>
      </c>
      <c r="F11967" s="2">
        <v>2</v>
      </c>
      <c r="G11967" s="2" t="s">
        <v>10</v>
      </c>
    </row>
    <row r="11968" spans="1:7" x14ac:dyDescent="0.2">
      <c r="A11968" s="2" t="s">
        <v>3360</v>
      </c>
      <c r="B11968" s="2" t="s">
        <v>911</v>
      </c>
      <c r="C11968" s="2">
        <v>1253.68</v>
      </c>
      <c r="D11968" s="2">
        <f>HYPERLINK("http://mcb-m6.bioreg.kyushu-u.ac.jp/M3/20110411/F50917/1363/1", 60.87)</f>
        <v>60.87</v>
      </c>
      <c r="E11968" s="2">
        <v>37.119999999999997</v>
      </c>
      <c r="F11968" s="2">
        <v>1</v>
      </c>
      <c r="G11968" s="2" t="s">
        <v>10</v>
      </c>
    </row>
    <row r="11969" spans="1:7" x14ac:dyDescent="0.2">
      <c r="A11969" s="2" t="s">
        <v>3360</v>
      </c>
      <c r="B11969" s="2" t="s">
        <v>911</v>
      </c>
      <c r="C11969" s="2">
        <v>627.15560000000005</v>
      </c>
      <c r="D11969" s="2">
        <f>HYPERLINK("http://mcb-m6.bioreg.kyushu-u.ac.jp/M3/20110411/F50917/1361/1", 65.21)</f>
        <v>65.209999999999994</v>
      </c>
      <c r="E11969" s="2">
        <v>42.46</v>
      </c>
      <c r="F11969" s="2">
        <v>2</v>
      </c>
      <c r="G11969" s="2" t="s">
        <v>10</v>
      </c>
    </row>
    <row r="11970" spans="1:7" x14ac:dyDescent="0.2">
      <c r="A11970" s="2" t="s">
        <v>3360</v>
      </c>
      <c r="B11970" s="2" t="s">
        <v>327</v>
      </c>
      <c r="C11970" s="2">
        <v>741.12459999999999</v>
      </c>
      <c r="D11970" s="2">
        <f>HYPERLINK("http://mcb-m6.bioreg.kyushu-u.ac.jp/M3/20110411/F50917/1950/1", 66.36)</f>
        <v>66.36</v>
      </c>
      <c r="E11970" s="2">
        <v>45.21</v>
      </c>
      <c r="F11970" s="2">
        <v>2</v>
      </c>
      <c r="G11970" s="2" t="s">
        <v>10</v>
      </c>
    </row>
    <row r="11971" spans="1:7" x14ac:dyDescent="0.2">
      <c r="A11971" s="2" t="s">
        <v>3360</v>
      </c>
      <c r="B11971" s="2" t="s">
        <v>452</v>
      </c>
      <c r="C11971" s="2">
        <v>895.07370000000003</v>
      </c>
      <c r="D11971" s="2">
        <f>HYPERLINK("http://mcb-m6.bioreg.kyushu-u.ac.jp/M3/20110411/F50918/2606/1", 87.76)</f>
        <v>87.76</v>
      </c>
      <c r="E11971" s="2">
        <v>72.22</v>
      </c>
      <c r="F11971" s="2">
        <v>2</v>
      </c>
      <c r="G11971" s="2" t="s">
        <v>10</v>
      </c>
    </row>
    <row r="11972" spans="1:7" x14ac:dyDescent="0.2">
      <c r="A11972" s="2" t="s">
        <v>3360</v>
      </c>
      <c r="B11972" s="2" t="s">
        <v>452</v>
      </c>
      <c r="C11972" s="2">
        <v>894.47770000000003</v>
      </c>
      <c r="D11972" s="2">
        <f>HYPERLINK("http://mcb-m6.bioreg.kyushu-u.ac.jp/M3/20110411/F50917/2860/1", 96.49)</f>
        <v>96.49</v>
      </c>
      <c r="E11972" s="2">
        <v>78.16</v>
      </c>
      <c r="F11972" s="2">
        <v>2</v>
      </c>
      <c r="G11972" s="2" t="s">
        <v>10</v>
      </c>
    </row>
    <row r="11973" spans="1:7" x14ac:dyDescent="0.2">
      <c r="A11973" s="2" t="s">
        <v>3360</v>
      </c>
      <c r="B11973" s="2" t="s">
        <v>327</v>
      </c>
      <c r="C11973" s="2">
        <v>740.87369999999999</v>
      </c>
      <c r="D11973" s="2">
        <f>HYPERLINK("http://mcb-m6.bioreg.kyushu-u.ac.jp/M3/20110414/F50944/2103/1", 35.46)</f>
        <v>35.46</v>
      </c>
      <c r="E11973" s="2">
        <v>23.26</v>
      </c>
      <c r="F11973" s="2">
        <v>2</v>
      </c>
      <c r="G11973" s="2" t="s">
        <v>11</v>
      </c>
    </row>
    <row r="11974" spans="1:7" x14ac:dyDescent="0.2">
      <c r="A11974" s="2" t="s">
        <v>3360</v>
      </c>
      <c r="B11974" s="2" t="s">
        <v>966</v>
      </c>
      <c r="C11974" s="2">
        <v>846.73360000000002</v>
      </c>
      <c r="D11974" s="2">
        <f>HYPERLINK("http://mcb-m6.bioreg.kyushu-u.ac.jp/M3/20110414/F50956/2676/1", 35.51)</f>
        <v>35.51</v>
      </c>
      <c r="E11974" s="2">
        <v>16.46</v>
      </c>
      <c r="F11974" s="2">
        <v>2</v>
      </c>
      <c r="G11974" s="2" t="s">
        <v>11</v>
      </c>
    </row>
    <row r="11975" spans="1:7" x14ac:dyDescent="0.2">
      <c r="A11975" s="2" t="s">
        <v>3360</v>
      </c>
      <c r="B11975" s="2" t="s">
        <v>452</v>
      </c>
      <c r="C11975" s="2">
        <v>894.78060000000005</v>
      </c>
      <c r="D11975" s="2">
        <f>HYPERLINK("http://mcb-m6.bioreg.kyushu-u.ac.jp/M3/20110414/F50957/2862/1", 36.3)</f>
        <v>36.299999999999997</v>
      </c>
      <c r="E11975" s="2">
        <v>23.45</v>
      </c>
      <c r="F11975" s="2">
        <v>2</v>
      </c>
      <c r="G11975" s="2" t="s">
        <v>11</v>
      </c>
    </row>
    <row r="11976" spans="1:7" x14ac:dyDescent="0.2">
      <c r="A11976" s="2" t="s">
        <v>3360</v>
      </c>
      <c r="B11976" s="2" t="s">
        <v>152</v>
      </c>
      <c r="C11976" s="2">
        <v>1081.2929999999999</v>
      </c>
      <c r="D11976" s="2">
        <f>HYPERLINK("http://mcb-m6.bioreg.kyushu-u.ac.jp/M3/20110414/F50956/798/1", 39.63)</f>
        <v>39.630000000000003</v>
      </c>
      <c r="E11976" s="2">
        <v>9.61</v>
      </c>
      <c r="F11976" s="2">
        <v>1</v>
      </c>
      <c r="G11976" s="2" t="s">
        <v>11</v>
      </c>
    </row>
    <row r="11977" spans="1:7" x14ac:dyDescent="0.2">
      <c r="A11977" s="2" t="s">
        <v>3360</v>
      </c>
      <c r="B11977" s="2" t="s">
        <v>327</v>
      </c>
      <c r="C11977" s="2">
        <v>741.33169999999996</v>
      </c>
      <c r="D11977" s="2">
        <f>HYPERLINK("http://mcb-m6.bioreg.kyushu-u.ac.jp/M3/20110414/F50956/1928/1", 40.14)</f>
        <v>40.14</v>
      </c>
      <c r="E11977" s="2">
        <v>24.9</v>
      </c>
      <c r="F11977" s="2">
        <v>2</v>
      </c>
      <c r="G11977" s="2" t="s">
        <v>11</v>
      </c>
    </row>
    <row r="11978" spans="1:7" x14ac:dyDescent="0.2">
      <c r="A11978" s="2" t="s">
        <v>3360</v>
      </c>
      <c r="B11978" s="2" t="s">
        <v>452</v>
      </c>
      <c r="C11978" s="2">
        <v>894.79909999999995</v>
      </c>
      <c r="D11978" s="2">
        <f>HYPERLINK("http://mcb-m6.bioreg.kyushu-u.ac.jp/M3/20110414/F50957/2863/1", 40.35)</f>
        <v>40.35</v>
      </c>
      <c r="E11978" s="2">
        <v>17.670000000000002</v>
      </c>
      <c r="F11978" s="2">
        <v>2</v>
      </c>
      <c r="G11978" s="2" t="s">
        <v>11</v>
      </c>
    </row>
    <row r="11979" spans="1:7" x14ac:dyDescent="0.2">
      <c r="A11979" s="2" t="s">
        <v>3360</v>
      </c>
      <c r="B11979" s="2" t="s">
        <v>184</v>
      </c>
      <c r="C11979" s="2">
        <v>784.01509999999996</v>
      </c>
      <c r="D11979" s="2">
        <f>HYPERLINK("http://mcb-m6.bioreg.kyushu-u.ac.jp/M3/20110414/F50956/2257/1", 41.51)</f>
        <v>41.51</v>
      </c>
      <c r="E11979" s="2">
        <v>18.809999999999999</v>
      </c>
      <c r="F11979" s="2">
        <v>2</v>
      </c>
      <c r="G11979" s="2" t="s">
        <v>11</v>
      </c>
    </row>
    <row r="11980" spans="1:7" x14ac:dyDescent="0.2">
      <c r="A11980" s="2" t="s">
        <v>3360</v>
      </c>
      <c r="B11980" s="2" t="s">
        <v>452</v>
      </c>
      <c r="C11980" s="2">
        <v>894.17409999999995</v>
      </c>
      <c r="D11980" s="2">
        <f>HYPERLINK("http://mcb-m6.bioreg.kyushu-u.ac.jp/M3/20110414/F50956/2954/1", 43.38)</f>
        <v>43.38</v>
      </c>
      <c r="E11980" s="2">
        <v>31.77</v>
      </c>
      <c r="F11980" s="2">
        <v>2</v>
      </c>
      <c r="G11980" s="2" t="s">
        <v>11</v>
      </c>
    </row>
    <row r="11981" spans="1:7" x14ac:dyDescent="0.2">
      <c r="A11981" s="2" t="s">
        <v>3360</v>
      </c>
      <c r="B11981" s="2" t="s">
        <v>327</v>
      </c>
      <c r="C11981" s="2">
        <v>740.77260000000001</v>
      </c>
      <c r="D11981" s="2">
        <f>HYPERLINK("http://mcb-m6.bioreg.kyushu-u.ac.jp/M3/20110414/F50956/1917/1", 43.9)</f>
        <v>43.9</v>
      </c>
      <c r="E11981" s="2">
        <v>27.59</v>
      </c>
      <c r="F11981" s="2">
        <v>2</v>
      </c>
      <c r="G11981" s="2" t="s">
        <v>11</v>
      </c>
    </row>
    <row r="11982" spans="1:7" x14ac:dyDescent="0.2">
      <c r="A11982" s="2" t="s">
        <v>3360</v>
      </c>
      <c r="B11982" s="2" t="s">
        <v>327</v>
      </c>
      <c r="C11982" s="2">
        <v>741.18370000000004</v>
      </c>
      <c r="D11982" s="2">
        <f>HYPERLINK("http://mcb-m6.bioreg.kyushu-u.ac.jp/M3/20110414/F50956/1923/1", 44.14)</f>
        <v>44.14</v>
      </c>
      <c r="E11982" s="2">
        <v>19.73</v>
      </c>
      <c r="F11982" s="2">
        <v>2</v>
      </c>
      <c r="G11982" s="2" t="s">
        <v>11</v>
      </c>
    </row>
    <row r="11983" spans="1:7" x14ac:dyDescent="0.2">
      <c r="A11983" s="2" t="s">
        <v>3360</v>
      </c>
      <c r="B11983" s="2" t="s">
        <v>327</v>
      </c>
      <c r="C11983" s="2">
        <v>740.86270000000002</v>
      </c>
      <c r="D11983" s="2">
        <f>HYPERLINK("http://mcb-m6.bioreg.kyushu-u.ac.jp/M3/20110414/F50956/1922/1", 44.38)</f>
        <v>44.38</v>
      </c>
      <c r="E11983" s="2">
        <v>23.09</v>
      </c>
      <c r="F11983" s="2">
        <v>2</v>
      </c>
      <c r="G11983" s="2" t="s">
        <v>11</v>
      </c>
    </row>
    <row r="11984" spans="1:7" x14ac:dyDescent="0.2">
      <c r="A11984" s="2" t="s">
        <v>3360</v>
      </c>
      <c r="B11984" s="2" t="s">
        <v>327</v>
      </c>
      <c r="C11984" s="2">
        <v>740.89419999999996</v>
      </c>
      <c r="D11984" s="2">
        <f>HYPERLINK("http://mcb-m6.bioreg.kyushu-u.ac.jp/M3/20110414/F50942/1902/1", 44.95)</f>
        <v>44.95</v>
      </c>
      <c r="E11984" s="2">
        <v>21.59</v>
      </c>
      <c r="F11984" s="2">
        <v>2</v>
      </c>
      <c r="G11984" s="2" t="s">
        <v>11</v>
      </c>
    </row>
    <row r="11985" spans="1:7" x14ac:dyDescent="0.2">
      <c r="A11985" s="2" t="s">
        <v>3360</v>
      </c>
      <c r="B11985" s="2" t="s">
        <v>184</v>
      </c>
      <c r="C11985" s="2">
        <v>783.67269999999996</v>
      </c>
      <c r="D11985" s="2">
        <f>HYPERLINK("http://mcb-m6.bioreg.kyushu-u.ac.jp/M3/20110414/F50956/2250/1", 45.15)</f>
        <v>45.15</v>
      </c>
      <c r="E11985" s="2">
        <v>23.02</v>
      </c>
      <c r="F11985" s="2">
        <v>2</v>
      </c>
      <c r="G11985" s="2" t="s">
        <v>11</v>
      </c>
    </row>
    <row r="11986" spans="1:7" x14ac:dyDescent="0.2">
      <c r="A11986" s="2" t="s">
        <v>3360</v>
      </c>
      <c r="B11986" s="2" t="s">
        <v>327</v>
      </c>
      <c r="C11986" s="2">
        <v>741.30319999999995</v>
      </c>
      <c r="D11986" s="2">
        <f>HYPERLINK("http://mcb-m6.bioreg.kyushu-u.ac.jp/M3/20110414/F50956/1926/1", 45.47)</f>
        <v>45.47</v>
      </c>
      <c r="E11986" s="2">
        <v>27.96</v>
      </c>
      <c r="F11986" s="2">
        <v>2</v>
      </c>
      <c r="G11986" s="2" t="s">
        <v>11</v>
      </c>
    </row>
    <row r="11987" spans="1:7" x14ac:dyDescent="0.2">
      <c r="A11987" s="2" t="s">
        <v>3360</v>
      </c>
      <c r="B11987" s="2" t="s">
        <v>327</v>
      </c>
      <c r="C11987" s="2">
        <v>741.36869999999999</v>
      </c>
      <c r="D11987" s="2">
        <f>HYPERLINK("http://mcb-m6.bioreg.kyushu-u.ac.jp/M3/20110414/F50956/1929/1", 46.24)</f>
        <v>46.24</v>
      </c>
      <c r="E11987" s="2">
        <v>26.35</v>
      </c>
      <c r="F11987" s="2">
        <v>2</v>
      </c>
      <c r="G11987" s="2" t="s">
        <v>11</v>
      </c>
    </row>
    <row r="11988" spans="1:7" x14ac:dyDescent="0.2">
      <c r="A11988" s="2" t="s">
        <v>3360</v>
      </c>
      <c r="B11988" s="2" t="s">
        <v>504</v>
      </c>
      <c r="C11988" s="2">
        <v>773.31700000000001</v>
      </c>
      <c r="D11988" s="2">
        <f>HYPERLINK("http://mcb-m6.bioreg.kyushu-u.ac.jp/M3/20110414/F50942/560/1", 47)</f>
        <v>47</v>
      </c>
      <c r="E11988" s="2">
        <v>18.21</v>
      </c>
      <c r="F11988" s="2">
        <v>1</v>
      </c>
      <c r="G11988" s="2" t="s">
        <v>11</v>
      </c>
    </row>
    <row r="11989" spans="1:7" x14ac:dyDescent="0.2">
      <c r="A11989" s="2" t="s">
        <v>3360</v>
      </c>
      <c r="B11989" s="2" t="s">
        <v>327</v>
      </c>
      <c r="C11989" s="2">
        <v>740.73360000000002</v>
      </c>
      <c r="D11989" s="2">
        <f>HYPERLINK("http://mcb-m6.bioreg.kyushu-u.ac.jp/M3/20110414/F50956/1916/1", 47.05)</f>
        <v>47.05</v>
      </c>
      <c r="E11989" s="2">
        <v>22.12</v>
      </c>
      <c r="F11989" s="2">
        <v>2</v>
      </c>
      <c r="G11989" s="2" t="s">
        <v>11</v>
      </c>
    </row>
    <row r="11990" spans="1:7" x14ac:dyDescent="0.2">
      <c r="A11990" s="2" t="s">
        <v>3360</v>
      </c>
      <c r="B11990" s="2" t="s">
        <v>327</v>
      </c>
      <c r="C11990" s="2">
        <v>740.85469999999998</v>
      </c>
      <c r="D11990" s="2">
        <f>HYPERLINK("http://mcb-m6.bioreg.kyushu-u.ac.jp/M3/20110414/F50956/1921/1", 47.1)</f>
        <v>47.1</v>
      </c>
      <c r="E11990" s="2">
        <v>27.17</v>
      </c>
      <c r="F11990" s="2">
        <v>2</v>
      </c>
      <c r="G11990" s="2" t="s">
        <v>11</v>
      </c>
    </row>
    <row r="11991" spans="1:7" x14ac:dyDescent="0.2">
      <c r="A11991" s="2" t="s">
        <v>3360</v>
      </c>
      <c r="B11991" s="2" t="s">
        <v>911</v>
      </c>
      <c r="C11991" s="2">
        <v>1254.3340000000001</v>
      </c>
      <c r="D11991" s="2">
        <f>HYPERLINK("http://mcb-m6.bioreg.kyushu-u.ac.jp/M3/20110414/F50956/1205/1", 47.14)</f>
        <v>47.14</v>
      </c>
      <c r="E11991" s="2">
        <v>29.63</v>
      </c>
      <c r="F11991" s="2">
        <v>1</v>
      </c>
      <c r="G11991" s="2" t="s">
        <v>11</v>
      </c>
    </row>
    <row r="11992" spans="1:7" x14ac:dyDescent="0.2">
      <c r="A11992" s="2" t="s">
        <v>3360</v>
      </c>
      <c r="B11992" s="2" t="s">
        <v>452</v>
      </c>
      <c r="C11992" s="2">
        <v>894.4117</v>
      </c>
      <c r="D11992" s="2">
        <f>HYPERLINK("http://mcb-m6.bioreg.kyushu-u.ac.jp/M3/20110414/F50942/2832/1", 47.7)</f>
        <v>47.7</v>
      </c>
      <c r="E11992" s="2">
        <v>40.090000000000003</v>
      </c>
      <c r="F11992" s="2">
        <v>2</v>
      </c>
      <c r="G11992" s="2" t="s">
        <v>11</v>
      </c>
    </row>
    <row r="11993" spans="1:7" x14ac:dyDescent="0.2">
      <c r="A11993" s="2" t="s">
        <v>3360</v>
      </c>
      <c r="B11993" s="2" t="s">
        <v>966</v>
      </c>
      <c r="C11993" s="2">
        <v>564.72580000000005</v>
      </c>
      <c r="D11993" s="2">
        <f>HYPERLINK("http://mcb-m6.bioreg.kyushu-u.ac.jp/M3/20110414/F50956/2673/1", 48.09)</f>
        <v>48.09</v>
      </c>
      <c r="E11993" s="2">
        <v>36.36</v>
      </c>
      <c r="F11993" s="2">
        <v>3</v>
      </c>
      <c r="G11993" s="2" t="s">
        <v>11</v>
      </c>
    </row>
    <row r="11994" spans="1:7" x14ac:dyDescent="0.2">
      <c r="A11994" s="2" t="s">
        <v>3360</v>
      </c>
      <c r="B11994" s="2" t="s">
        <v>452</v>
      </c>
      <c r="C11994" s="2">
        <v>894.26170000000002</v>
      </c>
      <c r="D11994" s="2">
        <f>HYPERLINK("http://mcb-m6.bioreg.kyushu-u.ac.jp/M3/20110414/F50956/2956/1", 48.59)</f>
        <v>48.59</v>
      </c>
      <c r="E11994" s="2">
        <v>33.520000000000003</v>
      </c>
      <c r="F11994" s="2">
        <v>2</v>
      </c>
      <c r="G11994" s="2" t="s">
        <v>11</v>
      </c>
    </row>
    <row r="11995" spans="1:7" x14ac:dyDescent="0.2">
      <c r="A11995" s="2" t="s">
        <v>3360</v>
      </c>
      <c r="B11995" s="2" t="s">
        <v>911</v>
      </c>
      <c r="C11995" s="2">
        <v>627.72720000000004</v>
      </c>
      <c r="D11995" s="2">
        <f>HYPERLINK("http://mcb-m6.bioreg.kyushu-u.ac.jp/M3/20110414/F50957/1137/1", 49.51)</f>
        <v>49.51</v>
      </c>
      <c r="E11995" s="2">
        <v>27.8</v>
      </c>
      <c r="F11995" s="2">
        <v>2</v>
      </c>
      <c r="G11995" s="2" t="s">
        <v>11</v>
      </c>
    </row>
    <row r="11996" spans="1:7" x14ac:dyDescent="0.2">
      <c r="A11996" s="2" t="s">
        <v>3360</v>
      </c>
      <c r="B11996" s="2" t="s">
        <v>452</v>
      </c>
      <c r="C11996" s="2">
        <v>894.91470000000004</v>
      </c>
      <c r="D11996" s="2">
        <f>HYPERLINK("http://mcb-m6.bioreg.kyushu-u.ac.jp/M3/20110414/F50942/2841/1", 49.73)</f>
        <v>49.73</v>
      </c>
      <c r="E11996" s="2">
        <v>37.21</v>
      </c>
      <c r="F11996" s="2">
        <v>2</v>
      </c>
      <c r="G11996" s="2" t="s">
        <v>11</v>
      </c>
    </row>
    <row r="11997" spans="1:7" x14ac:dyDescent="0.2">
      <c r="A11997" s="2" t="s">
        <v>3360</v>
      </c>
      <c r="B11997" s="2" t="s">
        <v>327</v>
      </c>
      <c r="C11997" s="2">
        <v>741.3152</v>
      </c>
      <c r="D11997" s="2">
        <f>HYPERLINK("http://mcb-m6.bioreg.kyushu-u.ac.jp/M3/20110414/F50956/1927/1", 50.85)</f>
        <v>50.85</v>
      </c>
      <c r="E11997" s="2">
        <v>34.69</v>
      </c>
      <c r="F11997" s="2">
        <v>2</v>
      </c>
      <c r="G11997" s="2" t="s">
        <v>11</v>
      </c>
    </row>
    <row r="11998" spans="1:7" x14ac:dyDescent="0.2">
      <c r="A11998" s="2" t="s">
        <v>3360</v>
      </c>
      <c r="B11998" s="2" t="s">
        <v>327</v>
      </c>
      <c r="C11998" s="2">
        <v>740.82069999999999</v>
      </c>
      <c r="D11998" s="2">
        <f>HYPERLINK("http://mcb-m6.bioreg.kyushu-u.ac.jp/M3/20110414/F50956/1920/1", 54.02)</f>
        <v>54.02</v>
      </c>
      <c r="E11998" s="2">
        <v>39.32</v>
      </c>
      <c r="F11998" s="2">
        <v>2</v>
      </c>
      <c r="G11998" s="2" t="s">
        <v>11</v>
      </c>
    </row>
    <row r="11999" spans="1:7" x14ac:dyDescent="0.2">
      <c r="A11999" s="2" t="s">
        <v>3360</v>
      </c>
      <c r="B11999" s="2" t="s">
        <v>452</v>
      </c>
      <c r="C11999" s="2">
        <v>894.17859999999996</v>
      </c>
      <c r="D11999" s="2">
        <f>HYPERLINK("http://mcb-m6.bioreg.kyushu-u.ac.jp/M3/20110414/F50942/2828/1", 54.21)</f>
        <v>54.21</v>
      </c>
      <c r="E11999" s="2">
        <v>44.16</v>
      </c>
      <c r="F11999" s="2">
        <v>2</v>
      </c>
      <c r="G11999" s="2" t="s">
        <v>11</v>
      </c>
    </row>
    <row r="12000" spans="1:7" x14ac:dyDescent="0.2">
      <c r="A12000" s="2" t="s">
        <v>3360</v>
      </c>
      <c r="B12000" s="2" t="s">
        <v>184</v>
      </c>
      <c r="C12000" s="2">
        <v>783.22559999999999</v>
      </c>
      <c r="D12000" s="2">
        <f>HYPERLINK("http://mcb-m6.bioreg.kyushu-u.ac.jp/M3/20110414/F50956/2247/1", 54.91)</f>
        <v>54.91</v>
      </c>
      <c r="E12000" s="2">
        <v>34.14</v>
      </c>
      <c r="F12000" s="2">
        <v>2</v>
      </c>
      <c r="G12000" s="2" t="s">
        <v>11</v>
      </c>
    </row>
    <row r="12001" spans="1:7" x14ac:dyDescent="0.2">
      <c r="A12001" s="2" t="s">
        <v>3360</v>
      </c>
      <c r="B12001" s="2" t="s">
        <v>966</v>
      </c>
      <c r="C12001" s="2">
        <v>846.46669999999995</v>
      </c>
      <c r="D12001" s="2">
        <f>HYPERLINK("http://mcb-m6.bioreg.kyushu-u.ac.jp/M3/20110414/F50942/2508/1", 55.34)</f>
        <v>55.34</v>
      </c>
      <c r="E12001" s="2">
        <v>44.61</v>
      </c>
      <c r="F12001" s="2">
        <v>2</v>
      </c>
      <c r="G12001" s="2" t="s">
        <v>11</v>
      </c>
    </row>
    <row r="12002" spans="1:7" x14ac:dyDescent="0.2">
      <c r="A12002" s="2" t="s">
        <v>3360</v>
      </c>
      <c r="B12002" s="2" t="s">
        <v>152</v>
      </c>
      <c r="C12002" s="2">
        <v>1081.5039999999999</v>
      </c>
      <c r="D12002" s="2">
        <f>HYPERLINK("http://mcb-m6.bioreg.kyushu-u.ac.jp/M3/20110414/F50942/959/1", 55.49)</f>
        <v>55.49</v>
      </c>
      <c r="E12002" s="2">
        <v>39.549999999999997</v>
      </c>
      <c r="F12002" s="2">
        <v>1</v>
      </c>
      <c r="G12002" s="2" t="s">
        <v>11</v>
      </c>
    </row>
    <row r="12003" spans="1:7" x14ac:dyDescent="0.2">
      <c r="A12003" s="2" t="s">
        <v>3360</v>
      </c>
      <c r="B12003" s="2" t="s">
        <v>327</v>
      </c>
      <c r="C12003" s="2">
        <v>740.77760000000001</v>
      </c>
      <c r="D12003" s="2">
        <f>HYPERLINK("http://mcb-m6.bioreg.kyushu-u.ac.jp/M3/20110414/F50956/1918/1", 57.87)</f>
        <v>57.87</v>
      </c>
      <c r="E12003" s="2">
        <v>44.04</v>
      </c>
      <c r="F12003" s="2">
        <v>2</v>
      </c>
      <c r="G12003" s="2" t="s">
        <v>11</v>
      </c>
    </row>
    <row r="12004" spans="1:7" x14ac:dyDescent="0.2">
      <c r="A12004" s="2" t="s">
        <v>3360</v>
      </c>
      <c r="B12004" s="2" t="s">
        <v>966</v>
      </c>
      <c r="C12004" s="2">
        <v>846.75570000000005</v>
      </c>
      <c r="D12004" s="2">
        <f>HYPERLINK("http://mcb-m6.bioreg.kyushu-u.ac.jp/M3/20110414/F50957/2565/1", 58.93)</f>
        <v>58.93</v>
      </c>
      <c r="E12004" s="2">
        <v>48.64</v>
      </c>
      <c r="F12004" s="2">
        <v>2</v>
      </c>
      <c r="G12004" s="2" t="s">
        <v>11</v>
      </c>
    </row>
    <row r="12005" spans="1:7" x14ac:dyDescent="0.2">
      <c r="A12005" s="2" t="s">
        <v>3360</v>
      </c>
      <c r="B12005" s="2" t="s">
        <v>966</v>
      </c>
      <c r="C12005" s="2">
        <v>846.21810000000005</v>
      </c>
      <c r="D12005" s="2">
        <f>HYPERLINK("http://mcb-m6.bioreg.kyushu-u.ac.jp/M3/20110414/F50956/2669/1", 63.75)</f>
        <v>63.75</v>
      </c>
      <c r="E12005" s="2">
        <v>51.37</v>
      </c>
      <c r="F12005" s="2">
        <v>2</v>
      </c>
      <c r="G12005" s="2" t="s">
        <v>11</v>
      </c>
    </row>
    <row r="12006" spans="1:7" x14ac:dyDescent="0.2">
      <c r="A12006" s="2" t="s">
        <v>3360</v>
      </c>
      <c r="B12006" s="2" t="s">
        <v>452</v>
      </c>
      <c r="C12006" s="2">
        <v>894.65809999999999</v>
      </c>
      <c r="D12006" s="2">
        <f>HYPERLINK("http://mcb-m6.bioreg.kyushu-u.ac.jp/M3/20110414/F50956/2964/1", 64.52)</f>
        <v>64.52</v>
      </c>
      <c r="E12006" s="2">
        <v>41.97</v>
      </c>
      <c r="F12006" s="2">
        <v>2</v>
      </c>
      <c r="G12006" s="2" t="s">
        <v>11</v>
      </c>
    </row>
    <row r="12007" spans="1:7" x14ac:dyDescent="0.2">
      <c r="A12007" s="2" t="s">
        <v>3360</v>
      </c>
      <c r="B12007" s="2" t="s">
        <v>452</v>
      </c>
      <c r="C12007" s="2">
        <v>894.21370000000002</v>
      </c>
      <c r="D12007" s="2">
        <f>HYPERLINK("http://mcb-m6.bioreg.kyushu-u.ac.jp/M3/20110414/F50956/2955/1", 64.86)</f>
        <v>64.86</v>
      </c>
      <c r="E12007" s="2">
        <v>45.78</v>
      </c>
      <c r="F12007" s="2">
        <v>2</v>
      </c>
      <c r="G12007" s="2" t="s">
        <v>11</v>
      </c>
    </row>
    <row r="12008" spans="1:7" x14ac:dyDescent="0.2">
      <c r="A12008" s="2" t="s">
        <v>3360</v>
      </c>
      <c r="B12008" s="2" t="s">
        <v>966</v>
      </c>
      <c r="C12008" s="2">
        <v>846.34059999999999</v>
      </c>
      <c r="D12008" s="2">
        <f>HYPERLINK("http://mcb-m6.bioreg.kyushu-u.ac.jp/M3/20110414/F50942/2506/1", 66.74)</f>
        <v>66.739999999999995</v>
      </c>
      <c r="E12008" s="2">
        <v>53.26</v>
      </c>
      <c r="F12008" s="2">
        <v>2</v>
      </c>
      <c r="G12008" s="2" t="s">
        <v>11</v>
      </c>
    </row>
    <row r="12009" spans="1:7" x14ac:dyDescent="0.2">
      <c r="A12009" s="2" t="s">
        <v>3360</v>
      </c>
      <c r="B12009" s="2" t="s">
        <v>911</v>
      </c>
      <c r="C12009" s="2">
        <v>627.71010000000001</v>
      </c>
      <c r="D12009" s="2">
        <f>HYPERLINK("http://mcb-m6.bioreg.kyushu-u.ac.jp/M3/20110414/F50942/1323/1", 66.86)</f>
        <v>66.86</v>
      </c>
      <c r="E12009" s="2">
        <v>35.99</v>
      </c>
      <c r="F12009" s="2">
        <v>2</v>
      </c>
      <c r="G12009" s="2" t="s">
        <v>11</v>
      </c>
    </row>
    <row r="12010" spans="1:7" x14ac:dyDescent="0.2">
      <c r="A12010" s="2" t="s">
        <v>3360</v>
      </c>
      <c r="B12010" s="2" t="s">
        <v>452</v>
      </c>
      <c r="C12010" s="2">
        <v>894.87959999999998</v>
      </c>
      <c r="D12010" s="2">
        <f>HYPERLINK("http://mcb-m6.bioreg.kyushu-u.ac.jp/M3/20110414/F50942/2840/1", 68.18)</f>
        <v>68.180000000000007</v>
      </c>
      <c r="E12010" s="2">
        <v>52.22</v>
      </c>
      <c r="F12010" s="2">
        <v>2</v>
      </c>
      <c r="G12010" s="2" t="s">
        <v>11</v>
      </c>
    </row>
    <row r="12011" spans="1:7" x14ac:dyDescent="0.2">
      <c r="A12011" s="2" t="s">
        <v>3360</v>
      </c>
      <c r="B12011" s="2" t="s">
        <v>452</v>
      </c>
      <c r="C12011" s="2">
        <v>894.58119999999997</v>
      </c>
      <c r="D12011" s="2">
        <f>HYPERLINK("http://mcb-m6.bioreg.kyushu-u.ac.jp/M3/20110414/F50956/2962/1", 70.12)</f>
        <v>70.12</v>
      </c>
      <c r="E12011" s="2">
        <v>52.98</v>
      </c>
      <c r="F12011" s="2">
        <v>2</v>
      </c>
      <c r="G12011" s="2" t="s">
        <v>11</v>
      </c>
    </row>
    <row r="12012" spans="1:7" x14ac:dyDescent="0.2">
      <c r="A12012" s="2" t="s">
        <v>3360</v>
      </c>
      <c r="B12012" s="2" t="s">
        <v>452</v>
      </c>
      <c r="C12012" s="2">
        <v>894.44420000000002</v>
      </c>
      <c r="D12012" s="2">
        <f>HYPERLINK("http://mcb-m6.bioreg.kyushu-u.ac.jp/M3/20110414/F50942/2833/1", 70.53)</f>
        <v>70.53</v>
      </c>
      <c r="E12012" s="2">
        <v>59.28</v>
      </c>
      <c r="F12012" s="2">
        <v>2</v>
      </c>
      <c r="G12012" s="2" t="s">
        <v>11</v>
      </c>
    </row>
    <row r="12013" spans="1:7" x14ac:dyDescent="0.2">
      <c r="A12013" s="2" t="s">
        <v>3360</v>
      </c>
      <c r="B12013" s="2" t="s">
        <v>452</v>
      </c>
      <c r="C12013" s="2">
        <v>894.82870000000003</v>
      </c>
      <c r="D12013" s="2">
        <f>HYPERLINK("http://mcb-m6.bioreg.kyushu-u.ac.jp/M3/20110414/F50956/2966/1", 70.73)</f>
        <v>70.73</v>
      </c>
      <c r="E12013" s="2">
        <v>50.06</v>
      </c>
      <c r="F12013" s="2">
        <v>2</v>
      </c>
      <c r="G12013" s="2" t="s">
        <v>11</v>
      </c>
    </row>
    <row r="12014" spans="1:7" x14ac:dyDescent="0.2">
      <c r="A12014" s="2" t="s">
        <v>3360</v>
      </c>
      <c r="B12014" s="2" t="s">
        <v>911</v>
      </c>
      <c r="C12014" s="2">
        <v>627.79020000000003</v>
      </c>
      <c r="D12014" s="2">
        <f>HYPERLINK("http://mcb-m6.bioreg.kyushu-u.ac.jp/M3/20110414/F50943/1334/1", 72.54)</f>
        <v>72.540000000000006</v>
      </c>
      <c r="E12014" s="2">
        <v>51.69</v>
      </c>
      <c r="F12014" s="2">
        <v>2</v>
      </c>
      <c r="G12014" s="2" t="s">
        <v>11</v>
      </c>
    </row>
    <row r="12015" spans="1:7" x14ac:dyDescent="0.2">
      <c r="A12015" s="2" t="s">
        <v>3360</v>
      </c>
      <c r="B12015" s="2" t="s">
        <v>452</v>
      </c>
      <c r="C12015" s="2">
        <v>894.5231</v>
      </c>
      <c r="D12015" s="2">
        <f>HYPERLINK("http://mcb-m6.bioreg.kyushu-u.ac.jp/M3/20110414/F50942/2836/1", 72.59)</f>
        <v>72.59</v>
      </c>
      <c r="E12015" s="2">
        <v>58.9</v>
      </c>
      <c r="F12015" s="2">
        <v>2</v>
      </c>
      <c r="G12015" s="2" t="s">
        <v>11</v>
      </c>
    </row>
    <row r="12016" spans="1:7" x14ac:dyDescent="0.2">
      <c r="A12016" s="2" t="s">
        <v>3360</v>
      </c>
      <c r="B12016" s="2" t="s">
        <v>911</v>
      </c>
      <c r="C12016" s="2">
        <v>627.19759999999997</v>
      </c>
      <c r="D12016" s="2">
        <f>HYPERLINK("http://mcb-m6.bioreg.kyushu-u.ac.jp/M3/20110414/F50957/1130/1", 72.66)</f>
        <v>72.66</v>
      </c>
      <c r="E12016" s="2">
        <v>46.4</v>
      </c>
      <c r="F12016" s="2">
        <v>2</v>
      </c>
      <c r="G12016" s="2" t="s">
        <v>11</v>
      </c>
    </row>
    <row r="12017" spans="1:7" x14ac:dyDescent="0.2">
      <c r="A12017" s="2" t="s">
        <v>3360</v>
      </c>
      <c r="B12017" s="2" t="s">
        <v>327</v>
      </c>
      <c r="C12017" s="2">
        <v>740.91060000000004</v>
      </c>
      <c r="D12017" s="2">
        <f>HYPERLINK("http://mcb-m6.bioreg.kyushu-u.ac.jp/M3/20110414/F50943/1888/1", 74.2)</f>
        <v>74.2</v>
      </c>
      <c r="E12017" s="2">
        <v>56.26</v>
      </c>
      <c r="F12017" s="2">
        <v>2</v>
      </c>
      <c r="G12017" s="2" t="s">
        <v>11</v>
      </c>
    </row>
    <row r="12018" spans="1:7" x14ac:dyDescent="0.2">
      <c r="A12018" s="2" t="s">
        <v>3360</v>
      </c>
      <c r="B12018" s="2" t="s">
        <v>966</v>
      </c>
      <c r="C12018" s="2">
        <v>846.37959999999998</v>
      </c>
      <c r="D12018" s="2">
        <f>HYPERLINK("http://mcb-m6.bioreg.kyushu-u.ac.jp/M3/20110414/F50943/2463/1", 74.36)</f>
        <v>74.36</v>
      </c>
      <c r="E12018" s="2">
        <v>61.22</v>
      </c>
      <c r="F12018" s="2">
        <v>2</v>
      </c>
      <c r="G12018" s="2" t="s">
        <v>11</v>
      </c>
    </row>
    <row r="12019" spans="1:7" x14ac:dyDescent="0.2">
      <c r="A12019" s="2" t="s">
        <v>3360</v>
      </c>
      <c r="B12019" s="2" t="s">
        <v>452</v>
      </c>
      <c r="C12019" s="2">
        <v>894.96310000000005</v>
      </c>
      <c r="D12019" s="2">
        <f>HYPERLINK("http://mcb-m6.bioreg.kyushu-u.ac.jp/M3/20110414/F50942/2842/1", 75.51)</f>
        <v>75.510000000000005</v>
      </c>
      <c r="E12019" s="2">
        <v>61.11</v>
      </c>
      <c r="F12019" s="2">
        <v>2</v>
      </c>
      <c r="G12019" s="2" t="s">
        <v>11</v>
      </c>
    </row>
    <row r="12020" spans="1:7" x14ac:dyDescent="0.2">
      <c r="A12020" s="2" t="s">
        <v>3360</v>
      </c>
      <c r="B12020" s="2" t="s">
        <v>452</v>
      </c>
      <c r="C12020" s="2">
        <v>894.36969999999997</v>
      </c>
      <c r="D12020" s="2">
        <f>HYPERLINK("http://mcb-m6.bioreg.kyushu-u.ac.jp/M3/20110414/F50942/2830/1", 87.2)</f>
        <v>87.2</v>
      </c>
      <c r="E12020" s="2">
        <v>69.489999999999995</v>
      </c>
      <c r="F12020" s="2">
        <v>2</v>
      </c>
      <c r="G12020" s="2" t="s">
        <v>11</v>
      </c>
    </row>
    <row r="12021" spans="1:7" x14ac:dyDescent="0.2">
      <c r="A12021" s="2" t="s">
        <v>3360</v>
      </c>
      <c r="B12021" s="2" t="s">
        <v>452</v>
      </c>
      <c r="C12021" s="2">
        <v>894.7577</v>
      </c>
      <c r="D12021" s="2">
        <f>HYPERLINK("http://mcb-m6.bioreg.kyushu-u.ac.jp/M3/20110414/F50956/2965/1", 88.2)</f>
        <v>88.2</v>
      </c>
      <c r="E12021" s="2">
        <v>55.62</v>
      </c>
      <c r="F12021" s="2">
        <v>2</v>
      </c>
      <c r="G12021" s="2" t="s">
        <v>11</v>
      </c>
    </row>
    <row r="12022" spans="1:7" x14ac:dyDescent="0.2">
      <c r="A12022" s="2" t="s">
        <v>3360</v>
      </c>
      <c r="B12022" s="2" t="s">
        <v>452</v>
      </c>
      <c r="C12022" s="2">
        <v>894.30719999999997</v>
      </c>
      <c r="D12022" s="2">
        <f>HYPERLINK("http://mcb-m6.bioreg.kyushu-u.ac.jp/M3/20110414/F50956/2957/1", 88.58)</f>
        <v>88.58</v>
      </c>
      <c r="E12022" s="2">
        <v>69.73</v>
      </c>
      <c r="F12022" s="2">
        <v>2</v>
      </c>
      <c r="G12022" s="2" t="s">
        <v>11</v>
      </c>
    </row>
    <row r="12023" spans="1:7" x14ac:dyDescent="0.2">
      <c r="A12023" s="2" t="s">
        <v>3360</v>
      </c>
      <c r="B12023" s="2" t="s">
        <v>452</v>
      </c>
      <c r="C12023" s="2">
        <v>894.84519999999998</v>
      </c>
      <c r="D12023" s="2">
        <f>HYPERLINK("http://mcb-m6.bioreg.kyushu-u.ac.jp/M3/20110414/F50956/2967/1", 91.34)</f>
        <v>91.34</v>
      </c>
      <c r="E12023" s="2">
        <v>68.5</v>
      </c>
      <c r="F12023" s="2">
        <v>2</v>
      </c>
      <c r="G12023" s="2" t="s">
        <v>11</v>
      </c>
    </row>
    <row r="12024" spans="1:7" x14ac:dyDescent="0.2">
      <c r="A12024" s="2" t="s">
        <v>3360</v>
      </c>
      <c r="B12024" s="2" t="s">
        <v>452</v>
      </c>
      <c r="C12024" s="2">
        <v>894.50620000000004</v>
      </c>
      <c r="D12024" s="2">
        <f>HYPERLINK("http://mcb-m6.bioreg.kyushu-u.ac.jp/M3/20110414/F50956/2959/1", 92.92)</f>
        <v>92.92</v>
      </c>
      <c r="E12024" s="2">
        <v>58.19</v>
      </c>
      <c r="F12024" s="2">
        <v>2</v>
      </c>
      <c r="G12024" s="2" t="s">
        <v>11</v>
      </c>
    </row>
    <row r="12025" spans="1:7" x14ac:dyDescent="0.2">
      <c r="A12025" s="2" t="s">
        <v>3360</v>
      </c>
      <c r="B12025" s="2" t="s">
        <v>327</v>
      </c>
      <c r="C12025" s="2">
        <v>741.10919999999999</v>
      </c>
      <c r="D12025" s="2">
        <f>HYPERLINK("http://mcb-m6.bioreg.kyushu-u.ac.jp/M3/20110414/F50950/2163/1", 35.96)</f>
        <v>35.96</v>
      </c>
      <c r="E12025" s="2">
        <v>19.54</v>
      </c>
      <c r="F12025" s="2">
        <v>2</v>
      </c>
      <c r="G12025" s="2" t="s">
        <v>12</v>
      </c>
    </row>
    <row r="12026" spans="1:7" x14ac:dyDescent="0.2">
      <c r="A12026" s="2" t="s">
        <v>3360</v>
      </c>
      <c r="B12026" s="2" t="s">
        <v>327</v>
      </c>
      <c r="C12026" s="2">
        <v>740.88620000000003</v>
      </c>
      <c r="D12026" s="2">
        <f>HYPERLINK("http://mcb-m6.bioreg.kyushu-u.ac.jp/M3/20110414/F50959/1883/1", 36.06)</f>
        <v>36.06</v>
      </c>
      <c r="E12026" s="2">
        <v>14.88</v>
      </c>
      <c r="F12026" s="2">
        <v>2</v>
      </c>
      <c r="G12026" s="2" t="s">
        <v>12</v>
      </c>
    </row>
    <row r="12027" spans="1:7" x14ac:dyDescent="0.2">
      <c r="A12027" s="2" t="s">
        <v>3360</v>
      </c>
      <c r="B12027" s="2" t="s">
        <v>327</v>
      </c>
      <c r="C12027" s="2">
        <v>741.2867</v>
      </c>
      <c r="D12027" s="2">
        <f>HYPERLINK("http://mcb-m6.bioreg.kyushu-u.ac.jp/M3/20110414/F50958/1987/1", 37.03)</f>
        <v>37.03</v>
      </c>
      <c r="E12027" s="2">
        <v>22.47</v>
      </c>
      <c r="F12027" s="2">
        <v>2</v>
      </c>
      <c r="G12027" s="2" t="s">
        <v>12</v>
      </c>
    </row>
    <row r="12028" spans="1:7" x14ac:dyDescent="0.2">
      <c r="A12028" s="2" t="s">
        <v>3360</v>
      </c>
      <c r="B12028" s="2" t="s">
        <v>452</v>
      </c>
      <c r="C12028" s="2">
        <v>894.36220000000003</v>
      </c>
      <c r="D12028" s="2">
        <f>HYPERLINK("http://mcb-m6.bioreg.kyushu-u.ac.jp/M3/20110414/F50958/3047/1", 37.62)</f>
        <v>37.619999999999997</v>
      </c>
      <c r="E12028" s="2">
        <v>26.19</v>
      </c>
      <c r="F12028" s="2">
        <v>2</v>
      </c>
      <c r="G12028" s="2" t="s">
        <v>12</v>
      </c>
    </row>
    <row r="12029" spans="1:7" x14ac:dyDescent="0.2">
      <c r="A12029" s="2" t="s">
        <v>3360</v>
      </c>
      <c r="B12029" s="2" t="s">
        <v>327</v>
      </c>
      <c r="C12029" s="2">
        <v>741.10109999999997</v>
      </c>
      <c r="D12029" s="2">
        <f>HYPERLINK("http://mcb-m6.bioreg.kyushu-u.ac.jp/M3/20110414/F50958/1983/1", 38.18)</f>
        <v>38.18</v>
      </c>
      <c r="E12029" s="2">
        <v>22.25</v>
      </c>
      <c r="F12029" s="2">
        <v>2</v>
      </c>
      <c r="G12029" s="2" t="s">
        <v>12</v>
      </c>
    </row>
    <row r="12030" spans="1:7" x14ac:dyDescent="0.2">
      <c r="A12030" s="2" t="s">
        <v>3360</v>
      </c>
      <c r="B12030" s="2" t="s">
        <v>327</v>
      </c>
      <c r="C12030" s="2">
        <v>741.47360000000003</v>
      </c>
      <c r="D12030" s="2">
        <f>HYPERLINK("http://mcb-m6.bioreg.kyushu-u.ac.jp/M3/20110414/F50958/1989/1", 38.21)</f>
        <v>38.21</v>
      </c>
      <c r="E12030" s="2">
        <v>24.38</v>
      </c>
      <c r="F12030" s="2">
        <v>2</v>
      </c>
      <c r="G12030" s="2" t="s">
        <v>12</v>
      </c>
    </row>
    <row r="12031" spans="1:7" x14ac:dyDescent="0.2">
      <c r="A12031" s="2" t="s">
        <v>3360</v>
      </c>
      <c r="B12031" s="2" t="s">
        <v>327</v>
      </c>
      <c r="C12031" s="2">
        <v>494.11189999999999</v>
      </c>
      <c r="D12031" s="2">
        <f>HYPERLINK("http://mcb-m6.bioreg.kyushu-u.ac.jp/M3/20110414/F50958/1975/1", 38.42)</f>
        <v>38.42</v>
      </c>
      <c r="E12031" s="2">
        <v>20.09</v>
      </c>
      <c r="F12031" s="2">
        <v>3</v>
      </c>
      <c r="G12031" s="2" t="s">
        <v>12</v>
      </c>
    </row>
    <row r="12032" spans="1:7" x14ac:dyDescent="0.2">
      <c r="A12032" s="2" t="s">
        <v>3360</v>
      </c>
      <c r="B12032" s="2" t="s">
        <v>327</v>
      </c>
      <c r="C12032" s="2">
        <v>740.7441</v>
      </c>
      <c r="D12032" s="2">
        <f>HYPERLINK("http://mcb-m6.bioreg.kyushu-u.ac.jp/M3/20110414/F50958/1977/1", 38.76)</f>
        <v>38.76</v>
      </c>
      <c r="E12032" s="2">
        <v>14.27</v>
      </c>
      <c r="F12032" s="2">
        <v>2</v>
      </c>
      <c r="G12032" s="2" t="s">
        <v>12</v>
      </c>
    </row>
    <row r="12033" spans="1:7" x14ac:dyDescent="0.2">
      <c r="A12033" s="2" t="s">
        <v>3360</v>
      </c>
      <c r="B12033" s="2" t="s">
        <v>327</v>
      </c>
      <c r="C12033" s="2">
        <v>740.72270000000003</v>
      </c>
      <c r="D12033" s="2">
        <f>HYPERLINK("http://mcb-m6.bioreg.kyushu-u.ac.jp/M3/20110414/F50958/1976/1", 40.08)</f>
        <v>40.08</v>
      </c>
      <c r="E12033" s="2">
        <v>13.23</v>
      </c>
      <c r="F12033" s="2">
        <v>2</v>
      </c>
      <c r="G12033" s="2" t="s">
        <v>12</v>
      </c>
    </row>
    <row r="12034" spans="1:7" x14ac:dyDescent="0.2">
      <c r="A12034" s="2" t="s">
        <v>3360</v>
      </c>
      <c r="B12034" s="2" t="s">
        <v>452</v>
      </c>
      <c r="C12034" s="2">
        <v>894.57259999999997</v>
      </c>
      <c r="D12034" s="2">
        <f>HYPERLINK("http://mcb-m6.bioreg.kyushu-u.ac.jp/M3/20110414/F50948/2989/1", 40.46)</f>
        <v>40.46</v>
      </c>
      <c r="E12034" s="2">
        <v>26.03</v>
      </c>
      <c r="F12034" s="2">
        <v>2</v>
      </c>
      <c r="G12034" s="2" t="s">
        <v>12</v>
      </c>
    </row>
    <row r="12035" spans="1:7" x14ac:dyDescent="0.2">
      <c r="A12035" s="2" t="s">
        <v>3360</v>
      </c>
      <c r="B12035" s="2" t="s">
        <v>327</v>
      </c>
      <c r="C12035" s="2">
        <v>740.91719999999998</v>
      </c>
      <c r="D12035" s="2">
        <f>HYPERLINK("http://mcb-m6.bioreg.kyushu-u.ac.jp/M3/20110414/F50958/1980/1", 41.01)</f>
        <v>41.01</v>
      </c>
      <c r="E12035" s="2">
        <v>23.69</v>
      </c>
      <c r="F12035" s="2">
        <v>2</v>
      </c>
      <c r="G12035" s="2" t="s">
        <v>12</v>
      </c>
    </row>
    <row r="12036" spans="1:7" x14ac:dyDescent="0.2">
      <c r="A12036" s="2" t="s">
        <v>3360</v>
      </c>
      <c r="B12036" s="2" t="s">
        <v>327</v>
      </c>
      <c r="C12036" s="2">
        <v>740.81460000000004</v>
      </c>
      <c r="D12036" s="2">
        <f>HYPERLINK("http://mcb-m6.bioreg.kyushu-u.ac.jp/M3/20110414/F50958/1978/1", 41.76)</f>
        <v>41.76</v>
      </c>
      <c r="E12036" s="2">
        <v>17.850000000000001</v>
      </c>
      <c r="F12036" s="2">
        <v>2</v>
      </c>
      <c r="G12036" s="2" t="s">
        <v>12</v>
      </c>
    </row>
    <row r="12037" spans="1:7" x14ac:dyDescent="0.2">
      <c r="A12037" s="2" t="s">
        <v>3360</v>
      </c>
      <c r="B12037" s="2" t="s">
        <v>184</v>
      </c>
      <c r="C12037" s="2">
        <v>783.47609999999997</v>
      </c>
      <c r="D12037" s="2">
        <f>HYPERLINK("http://mcb-m6.bioreg.kyushu-u.ac.jp/M3/20110414/F50959/2176/1", 42.06)</f>
        <v>42.06</v>
      </c>
      <c r="E12037" s="2">
        <v>16.79</v>
      </c>
      <c r="F12037" s="2">
        <v>2</v>
      </c>
      <c r="G12037" s="2" t="s">
        <v>12</v>
      </c>
    </row>
    <row r="12038" spans="1:7" x14ac:dyDescent="0.2">
      <c r="A12038" s="2" t="s">
        <v>3360</v>
      </c>
      <c r="B12038" s="2" t="s">
        <v>452</v>
      </c>
      <c r="C12038" s="2">
        <v>894.61159999999995</v>
      </c>
      <c r="D12038" s="2">
        <f>HYPERLINK("http://mcb-m6.bioreg.kyushu-u.ac.jp/M3/20110414/F50948/2990/1", 42.89)</f>
        <v>42.89</v>
      </c>
      <c r="E12038" s="2">
        <v>24.86</v>
      </c>
      <c r="F12038" s="2">
        <v>2</v>
      </c>
      <c r="G12038" s="2" t="s">
        <v>12</v>
      </c>
    </row>
    <row r="12039" spans="1:7" x14ac:dyDescent="0.2">
      <c r="A12039" s="2" t="s">
        <v>3360</v>
      </c>
      <c r="B12039" s="2" t="s">
        <v>452</v>
      </c>
      <c r="C12039" s="2">
        <v>895.01919999999996</v>
      </c>
      <c r="D12039" s="2">
        <f>HYPERLINK("http://mcb-m6.bioreg.kyushu-u.ac.jp/M3/20110414/F50958/3058/1", 43.2)</f>
        <v>43.2</v>
      </c>
      <c r="E12039" s="2">
        <v>30.87</v>
      </c>
      <c r="F12039" s="2">
        <v>2</v>
      </c>
      <c r="G12039" s="2" t="s">
        <v>12</v>
      </c>
    </row>
    <row r="12040" spans="1:7" x14ac:dyDescent="0.2">
      <c r="A12040" s="2" t="s">
        <v>3360</v>
      </c>
      <c r="B12040" s="2" t="s">
        <v>327</v>
      </c>
      <c r="C12040" s="2">
        <v>741.26170000000002</v>
      </c>
      <c r="D12040" s="2">
        <f>HYPERLINK("http://mcb-m6.bioreg.kyushu-u.ac.jp/M3/20110414/F50958/1986/1", 43.6)</f>
        <v>43.6</v>
      </c>
      <c r="E12040" s="2">
        <v>25.39</v>
      </c>
      <c r="F12040" s="2">
        <v>2</v>
      </c>
      <c r="G12040" s="2" t="s">
        <v>12</v>
      </c>
    </row>
    <row r="12041" spans="1:7" x14ac:dyDescent="0.2">
      <c r="A12041" s="2" t="s">
        <v>3360</v>
      </c>
      <c r="B12041" s="2" t="s">
        <v>452</v>
      </c>
      <c r="C12041" s="2">
        <v>894.15419999999995</v>
      </c>
      <c r="D12041" s="2">
        <f>HYPERLINK("http://mcb-m6.bioreg.kyushu-u.ac.jp/M3/20110414/F50948/2984/1", 43.61)</f>
        <v>43.61</v>
      </c>
      <c r="E12041" s="2">
        <v>25.55</v>
      </c>
      <c r="F12041" s="2">
        <v>2</v>
      </c>
      <c r="G12041" s="2" t="s">
        <v>12</v>
      </c>
    </row>
    <row r="12042" spans="1:7" x14ac:dyDescent="0.2">
      <c r="A12042" s="2" t="s">
        <v>3360</v>
      </c>
      <c r="B12042" s="2" t="s">
        <v>184</v>
      </c>
      <c r="C12042" s="2">
        <v>783.80870000000004</v>
      </c>
      <c r="D12042" s="2">
        <f>HYPERLINK("http://mcb-m6.bioreg.kyushu-u.ac.jp/M3/20110414/F50958/2313/1", 44.33)</f>
        <v>44.33</v>
      </c>
      <c r="E12042" s="2">
        <v>15.75</v>
      </c>
      <c r="F12042" s="2">
        <v>2</v>
      </c>
      <c r="G12042" s="2" t="s">
        <v>12</v>
      </c>
    </row>
    <row r="12043" spans="1:7" x14ac:dyDescent="0.2">
      <c r="A12043" s="2" t="s">
        <v>3360</v>
      </c>
      <c r="B12043" s="2" t="s">
        <v>327</v>
      </c>
      <c r="C12043" s="2">
        <v>740.93020000000001</v>
      </c>
      <c r="D12043" s="2">
        <f>HYPERLINK("http://mcb-m6.bioreg.kyushu-u.ac.jp/M3/20110414/F50958/1981/1", 44.6)</f>
        <v>44.6</v>
      </c>
      <c r="E12043" s="2">
        <v>19.11</v>
      </c>
      <c r="F12043" s="2">
        <v>2</v>
      </c>
      <c r="G12043" s="2" t="s">
        <v>12</v>
      </c>
    </row>
    <row r="12044" spans="1:7" x14ac:dyDescent="0.2">
      <c r="A12044" s="2" t="s">
        <v>3360</v>
      </c>
      <c r="B12044" s="2" t="s">
        <v>452</v>
      </c>
      <c r="C12044" s="2">
        <v>894.85310000000004</v>
      </c>
      <c r="D12044" s="2">
        <f>HYPERLINK("http://mcb-m6.bioreg.kyushu-u.ac.jp/M3/20110414/F50958/3056/1", 46.8)</f>
        <v>46.8</v>
      </c>
      <c r="E12044" s="2">
        <v>35.119999999999997</v>
      </c>
      <c r="F12044" s="2">
        <v>2</v>
      </c>
      <c r="G12044" s="2" t="s">
        <v>12</v>
      </c>
    </row>
    <row r="12045" spans="1:7" x14ac:dyDescent="0.2">
      <c r="A12045" s="2" t="s">
        <v>3360</v>
      </c>
      <c r="B12045" s="2" t="s">
        <v>504</v>
      </c>
      <c r="C12045" s="2">
        <v>773.20399999999995</v>
      </c>
      <c r="D12045" s="2">
        <f>HYPERLINK("http://mcb-m6.bioreg.kyushu-u.ac.jp/M3/20110414/F50958/354/1", 46.81)</f>
        <v>46.81</v>
      </c>
      <c r="E12045" s="2">
        <v>21.13</v>
      </c>
      <c r="F12045" s="2">
        <v>1</v>
      </c>
      <c r="G12045" s="2" t="s">
        <v>12</v>
      </c>
    </row>
    <row r="12046" spans="1:7" x14ac:dyDescent="0.2">
      <c r="A12046" s="2" t="s">
        <v>3360</v>
      </c>
      <c r="B12046" s="2" t="s">
        <v>452</v>
      </c>
      <c r="C12046" s="2">
        <v>894.68269999999995</v>
      </c>
      <c r="D12046" s="2">
        <f>HYPERLINK("http://mcb-m6.bioreg.kyushu-u.ac.jp/M3/20110414/F50948/2991/1", 47.29)</f>
        <v>47.29</v>
      </c>
      <c r="E12046" s="2">
        <v>28.04</v>
      </c>
      <c r="F12046" s="2">
        <v>2</v>
      </c>
      <c r="G12046" s="2" t="s">
        <v>12</v>
      </c>
    </row>
    <row r="12047" spans="1:7" x14ac:dyDescent="0.2">
      <c r="A12047" s="2" t="s">
        <v>3360</v>
      </c>
      <c r="B12047" s="2" t="s">
        <v>327</v>
      </c>
      <c r="C12047" s="2">
        <v>741.41769999999997</v>
      </c>
      <c r="D12047" s="2">
        <f>HYPERLINK("http://mcb-m6.bioreg.kyushu-u.ac.jp/M3/20110414/F50958/1988/1", 47.96)</f>
        <v>47.96</v>
      </c>
      <c r="E12047" s="2">
        <v>29.31</v>
      </c>
      <c r="F12047" s="2">
        <v>2</v>
      </c>
      <c r="G12047" s="2" t="s">
        <v>12</v>
      </c>
    </row>
    <row r="12048" spans="1:7" x14ac:dyDescent="0.2">
      <c r="A12048" s="2" t="s">
        <v>3360</v>
      </c>
      <c r="B12048" s="2" t="s">
        <v>452</v>
      </c>
      <c r="C12048" s="2">
        <v>894.75319999999999</v>
      </c>
      <c r="D12048" s="2">
        <f>HYPERLINK("http://mcb-m6.bioreg.kyushu-u.ac.jp/M3/20110414/F50958/3054/1", 48.99)</f>
        <v>48.99</v>
      </c>
      <c r="E12048" s="2">
        <v>34.68</v>
      </c>
      <c r="F12048" s="2">
        <v>2</v>
      </c>
      <c r="G12048" s="2" t="s">
        <v>12</v>
      </c>
    </row>
    <row r="12049" spans="1:7" x14ac:dyDescent="0.2">
      <c r="A12049" s="2" t="s">
        <v>3360</v>
      </c>
      <c r="B12049" s="2" t="s">
        <v>184</v>
      </c>
      <c r="C12049" s="2">
        <v>783.72720000000004</v>
      </c>
      <c r="D12049" s="2">
        <f>HYPERLINK("http://mcb-m6.bioreg.kyushu-u.ac.jp/M3/20110414/F50948/2373/1", 49.73)</f>
        <v>49.73</v>
      </c>
      <c r="E12049" s="2">
        <v>17.510000000000002</v>
      </c>
      <c r="F12049" s="2">
        <v>2</v>
      </c>
      <c r="G12049" s="2" t="s">
        <v>12</v>
      </c>
    </row>
    <row r="12050" spans="1:7" x14ac:dyDescent="0.2">
      <c r="A12050" s="2" t="s">
        <v>3360</v>
      </c>
      <c r="B12050" s="2" t="s">
        <v>152</v>
      </c>
      <c r="C12050" s="2">
        <v>541.77809999999999</v>
      </c>
      <c r="D12050" s="2">
        <f>HYPERLINK("http://mcb-m6.bioreg.kyushu-u.ac.jp/M3/20110414/F50958/826/1", 49.84)</f>
        <v>49.84</v>
      </c>
      <c r="E12050" s="2">
        <v>24.76</v>
      </c>
      <c r="F12050" s="2">
        <v>2</v>
      </c>
      <c r="G12050" s="2" t="s">
        <v>12</v>
      </c>
    </row>
    <row r="12051" spans="1:7" x14ac:dyDescent="0.2">
      <c r="A12051" s="2" t="s">
        <v>3360</v>
      </c>
      <c r="B12051" s="2" t="s">
        <v>966</v>
      </c>
      <c r="C12051" s="2">
        <v>846.84810000000004</v>
      </c>
      <c r="D12051" s="2">
        <f>HYPERLINK("http://mcb-m6.bioreg.kyushu-u.ac.jp/M3/20110414/F50947/2573/1", 53.5)</f>
        <v>53.5</v>
      </c>
      <c r="E12051" s="2">
        <v>41.25</v>
      </c>
      <c r="F12051" s="2">
        <v>2</v>
      </c>
      <c r="G12051" s="2" t="s">
        <v>12</v>
      </c>
    </row>
    <row r="12052" spans="1:7" x14ac:dyDescent="0.2">
      <c r="A12052" s="2" t="s">
        <v>3360</v>
      </c>
      <c r="B12052" s="2" t="s">
        <v>327</v>
      </c>
      <c r="C12052" s="2">
        <v>740.95259999999996</v>
      </c>
      <c r="D12052" s="2">
        <f>HYPERLINK("http://mcb-m6.bioreg.kyushu-u.ac.jp/M3/20110414/F50958/1982/1", 54.7)</f>
        <v>54.7</v>
      </c>
      <c r="E12052" s="2">
        <v>38.54</v>
      </c>
      <c r="F12052" s="2">
        <v>2</v>
      </c>
      <c r="G12052" s="2" t="s">
        <v>12</v>
      </c>
    </row>
    <row r="12053" spans="1:7" x14ac:dyDescent="0.2">
      <c r="A12053" s="2" t="s">
        <v>3360</v>
      </c>
      <c r="B12053" s="2" t="s">
        <v>184</v>
      </c>
      <c r="C12053" s="2">
        <v>783.98720000000003</v>
      </c>
      <c r="D12053" s="2">
        <f>HYPERLINK("http://mcb-m6.bioreg.kyushu-u.ac.jp/M3/20110414/F50948/2376/1", 55.09)</f>
        <v>55.09</v>
      </c>
      <c r="E12053" s="2">
        <v>35.54</v>
      </c>
      <c r="F12053" s="2">
        <v>2</v>
      </c>
      <c r="G12053" s="2" t="s">
        <v>12</v>
      </c>
    </row>
    <row r="12054" spans="1:7" x14ac:dyDescent="0.2">
      <c r="A12054" s="2" t="s">
        <v>3360</v>
      </c>
      <c r="B12054" s="2" t="s">
        <v>152</v>
      </c>
      <c r="C12054" s="2">
        <v>541.17470000000003</v>
      </c>
      <c r="D12054" s="2">
        <f>HYPERLINK("http://mcb-m6.bioreg.kyushu-u.ac.jp/M3/20110414/F50958/823/1", 55.54)</f>
        <v>55.54</v>
      </c>
      <c r="E12054" s="2">
        <v>28.06</v>
      </c>
      <c r="F12054" s="2">
        <v>2</v>
      </c>
      <c r="G12054" s="2" t="s">
        <v>12</v>
      </c>
    </row>
    <row r="12055" spans="1:7" x14ac:dyDescent="0.2">
      <c r="A12055" s="2" t="s">
        <v>3360</v>
      </c>
      <c r="B12055" s="2" t="s">
        <v>911</v>
      </c>
      <c r="C12055" s="2">
        <v>626.74720000000002</v>
      </c>
      <c r="D12055" s="2">
        <f>HYPERLINK("http://mcb-m6.bioreg.kyushu-u.ac.jp/M3/20110414/F50958/1252/1", 56.26)</f>
        <v>56.26</v>
      </c>
      <c r="E12055" s="2">
        <v>31.96</v>
      </c>
      <c r="F12055" s="2">
        <v>2</v>
      </c>
      <c r="G12055" s="2" t="s">
        <v>12</v>
      </c>
    </row>
    <row r="12056" spans="1:7" x14ac:dyDescent="0.2">
      <c r="A12056" s="2" t="s">
        <v>3360</v>
      </c>
      <c r="B12056" s="2" t="s">
        <v>966</v>
      </c>
      <c r="C12056" s="2">
        <v>564.87080000000003</v>
      </c>
      <c r="D12056" s="2">
        <f>HYPERLINK("http://mcb-m6.bioreg.kyushu-u.ac.jp/M3/20110414/F50958/2750/1", 56.84)</f>
        <v>56.84</v>
      </c>
      <c r="E12056" s="2">
        <v>43.49</v>
      </c>
      <c r="F12056" s="2">
        <v>3</v>
      </c>
      <c r="G12056" s="2" t="s">
        <v>12</v>
      </c>
    </row>
    <row r="12057" spans="1:7" x14ac:dyDescent="0.2">
      <c r="A12057" s="2" t="s">
        <v>3360</v>
      </c>
      <c r="B12057" s="2" t="s">
        <v>452</v>
      </c>
      <c r="C12057" s="2">
        <v>894.5847</v>
      </c>
      <c r="D12057" s="2">
        <f>HYPERLINK("http://mcb-m6.bioreg.kyushu-u.ac.jp/M3/20110414/F50958/3052/1", 58.3)</f>
        <v>58.3</v>
      </c>
      <c r="E12057" s="2">
        <v>41.42</v>
      </c>
      <c r="F12057" s="2">
        <v>2</v>
      </c>
      <c r="G12057" s="2" t="s">
        <v>12</v>
      </c>
    </row>
    <row r="12058" spans="1:7" x14ac:dyDescent="0.2">
      <c r="A12058" s="2" t="s">
        <v>3360</v>
      </c>
      <c r="B12058" s="2" t="s">
        <v>184</v>
      </c>
      <c r="C12058" s="2">
        <v>783.69569999999999</v>
      </c>
      <c r="D12058" s="2">
        <f>HYPERLINK("http://mcb-m6.bioreg.kyushu-u.ac.jp/M3/20110414/F50948/2371/1", 62.93)</f>
        <v>62.93</v>
      </c>
      <c r="E12058" s="2">
        <v>35.31</v>
      </c>
      <c r="F12058" s="2">
        <v>2</v>
      </c>
      <c r="G12058" s="2" t="s">
        <v>12</v>
      </c>
    </row>
    <row r="12059" spans="1:7" x14ac:dyDescent="0.2">
      <c r="A12059" s="2" t="s">
        <v>3360</v>
      </c>
      <c r="B12059" s="2" t="s">
        <v>911</v>
      </c>
      <c r="C12059" s="2">
        <v>627.11469999999997</v>
      </c>
      <c r="D12059" s="2">
        <f>HYPERLINK("http://mcb-m6.bioreg.kyushu-u.ac.jp/M3/20110414/F50948/1379/1", 66.75)</f>
        <v>66.75</v>
      </c>
      <c r="E12059" s="2">
        <v>42.4</v>
      </c>
      <c r="F12059" s="2">
        <v>2</v>
      </c>
      <c r="G12059" s="2" t="s">
        <v>12</v>
      </c>
    </row>
    <row r="12060" spans="1:7" x14ac:dyDescent="0.2">
      <c r="A12060" s="2" t="s">
        <v>3360</v>
      </c>
      <c r="B12060" s="2" t="s">
        <v>911</v>
      </c>
      <c r="C12060" s="2">
        <v>627.33619999999996</v>
      </c>
      <c r="D12060" s="2">
        <f>HYPERLINK("http://mcb-m6.bioreg.kyushu-u.ac.jp/M3/20110414/F50958/1261/1", 67.36)</f>
        <v>67.36</v>
      </c>
      <c r="E12060" s="2">
        <v>42.47</v>
      </c>
      <c r="F12060" s="2">
        <v>2</v>
      </c>
      <c r="G12060" s="2" t="s">
        <v>12</v>
      </c>
    </row>
    <row r="12061" spans="1:7" x14ac:dyDescent="0.2">
      <c r="A12061" s="2" t="s">
        <v>3360</v>
      </c>
      <c r="B12061" s="2" t="s">
        <v>966</v>
      </c>
      <c r="C12061" s="2">
        <v>846.18470000000002</v>
      </c>
      <c r="D12061" s="2">
        <f>HYPERLINK("http://mcb-m6.bioreg.kyushu-u.ac.jp/M3/20110414/F50958/2745/1", 68.65)</f>
        <v>68.650000000000006</v>
      </c>
      <c r="E12061" s="2">
        <v>45.98</v>
      </c>
      <c r="F12061" s="2">
        <v>2</v>
      </c>
      <c r="G12061" s="2" t="s">
        <v>12</v>
      </c>
    </row>
    <row r="12062" spans="1:7" x14ac:dyDescent="0.2">
      <c r="A12062" s="2" t="s">
        <v>3360</v>
      </c>
      <c r="B12062" s="2" t="s">
        <v>966</v>
      </c>
      <c r="C12062" s="2">
        <v>846.42269999999996</v>
      </c>
      <c r="D12062" s="2">
        <f>HYPERLINK("http://mcb-m6.bioreg.kyushu-u.ac.jp/M3/20110414/F50948/2688/1", 68.89)</f>
        <v>68.89</v>
      </c>
      <c r="E12062" s="2">
        <v>50.77</v>
      </c>
      <c r="F12062" s="2">
        <v>2</v>
      </c>
      <c r="G12062" s="2" t="s">
        <v>12</v>
      </c>
    </row>
    <row r="12063" spans="1:7" x14ac:dyDescent="0.2">
      <c r="A12063" s="2" t="s">
        <v>3360</v>
      </c>
      <c r="B12063" s="2" t="s">
        <v>911</v>
      </c>
      <c r="C12063" s="2">
        <v>1253.473</v>
      </c>
      <c r="D12063" s="2">
        <f>HYPERLINK("http://mcb-m6.bioreg.kyushu-u.ac.jp/M3/20110414/F50958/1260/1", 69.07)</f>
        <v>69.069999999999993</v>
      </c>
      <c r="E12063" s="2">
        <v>50.76</v>
      </c>
      <c r="F12063" s="2">
        <v>1</v>
      </c>
      <c r="G12063" s="2" t="s">
        <v>12</v>
      </c>
    </row>
    <row r="12064" spans="1:7" x14ac:dyDescent="0.2">
      <c r="A12064" s="2" t="s">
        <v>3360</v>
      </c>
      <c r="B12064" s="2" t="s">
        <v>452</v>
      </c>
      <c r="C12064" s="2">
        <v>894.40809999999999</v>
      </c>
      <c r="D12064" s="2">
        <f>HYPERLINK("http://mcb-m6.bioreg.kyushu-u.ac.jp/M3/20110414/F50958/3049/1", 82.49)</f>
        <v>82.49</v>
      </c>
      <c r="E12064" s="2">
        <v>64.78</v>
      </c>
      <c r="F12064" s="2">
        <v>2</v>
      </c>
      <c r="G12064" s="2" t="s">
        <v>12</v>
      </c>
    </row>
    <row r="12065" spans="1:7" x14ac:dyDescent="0.2">
      <c r="A12065" s="2" t="s">
        <v>3360</v>
      </c>
      <c r="B12065" s="2" t="s">
        <v>452</v>
      </c>
      <c r="C12065" s="2">
        <v>894.54769999999996</v>
      </c>
      <c r="D12065" s="2">
        <f>HYPERLINK("http://mcb-m6.bioreg.kyushu-u.ac.jp/M3/20110502/F51188/2465/1", 45.75)</f>
        <v>45.75</v>
      </c>
      <c r="E12065" s="2">
        <v>35.56</v>
      </c>
      <c r="F12065" s="2">
        <v>2</v>
      </c>
      <c r="G12065" s="2" t="s">
        <v>13</v>
      </c>
    </row>
    <row r="12066" spans="1:7" x14ac:dyDescent="0.2">
      <c r="A12066" s="2" t="s">
        <v>3360</v>
      </c>
      <c r="B12066" s="2" t="s">
        <v>452</v>
      </c>
      <c r="C12066" s="2">
        <v>894.54110000000003</v>
      </c>
      <c r="D12066" s="2">
        <f>HYPERLINK("http://mcb-m6.bioreg.kyushu-u.ac.jp/M3/20110502/F51171/2659/1", 46.71)</f>
        <v>46.71</v>
      </c>
      <c r="E12066" s="2">
        <v>23.13</v>
      </c>
      <c r="F12066" s="2">
        <v>2</v>
      </c>
      <c r="G12066" s="2" t="s">
        <v>13</v>
      </c>
    </row>
    <row r="12067" spans="1:7" x14ac:dyDescent="0.2">
      <c r="A12067" s="2" t="s">
        <v>3360</v>
      </c>
      <c r="B12067" s="2" t="s">
        <v>452</v>
      </c>
      <c r="C12067" s="2">
        <v>894.7527</v>
      </c>
      <c r="D12067" s="2">
        <f>HYPERLINK("http://mcb-m6.bioreg.kyushu-u.ac.jp/M3/20110502/F51188/2468/1", 47.44)</f>
        <v>47.44</v>
      </c>
      <c r="E12067" s="2">
        <v>31.21</v>
      </c>
      <c r="F12067" s="2">
        <v>2</v>
      </c>
      <c r="G12067" s="2" t="s">
        <v>13</v>
      </c>
    </row>
    <row r="12068" spans="1:7" x14ac:dyDescent="0.2">
      <c r="A12068" s="2" t="s">
        <v>3360</v>
      </c>
      <c r="B12068" s="2" t="s">
        <v>152</v>
      </c>
      <c r="C12068" s="2">
        <v>1081.7739999999999</v>
      </c>
      <c r="D12068" s="2">
        <f>HYPERLINK("http://mcb-m6.bioreg.kyushu-u.ac.jp/M3/20110502/F51188/1060/1", 47.69)</f>
        <v>47.69</v>
      </c>
      <c r="E12068" s="2">
        <v>23.83</v>
      </c>
      <c r="F12068" s="2">
        <v>1</v>
      </c>
      <c r="G12068" s="2" t="s">
        <v>13</v>
      </c>
    </row>
    <row r="12069" spans="1:7" x14ac:dyDescent="0.2">
      <c r="A12069" s="2" t="s">
        <v>3360</v>
      </c>
      <c r="B12069" s="2" t="s">
        <v>911</v>
      </c>
      <c r="C12069" s="2">
        <v>627.5566</v>
      </c>
      <c r="D12069" s="2">
        <f>HYPERLINK("http://mcb-m6.bioreg.kyushu-u.ac.jp/M3/20110502/F51172/1421/1", 48.19)</f>
        <v>48.19</v>
      </c>
      <c r="E12069" s="2">
        <v>31.59</v>
      </c>
      <c r="F12069" s="2">
        <v>2</v>
      </c>
      <c r="G12069" s="2" t="s">
        <v>13</v>
      </c>
    </row>
    <row r="12070" spans="1:7" x14ac:dyDescent="0.2">
      <c r="A12070" s="2" t="s">
        <v>3360</v>
      </c>
      <c r="B12070" s="2" t="s">
        <v>327</v>
      </c>
      <c r="C12070" s="2">
        <v>741.25419999999997</v>
      </c>
      <c r="D12070" s="2">
        <f>HYPERLINK("http://mcb-m6.bioreg.kyushu-u.ac.jp/M3/20110502/F51172/2094/1", 52.59)</f>
        <v>52.59</v>
      </c>
      <c r="E12070" s="2">
        <v>28.87</v>
      </c>
      <c r="F12070" s="2">
        <v>2</v>
      </c>
      <c r="G12070" s="2" t="s">
        <v>13</v>
      </c>
    </row>
    <row r="12071" spans="1:7" x14ac:dyDescent="0.2">
      <c r="A12071" s="2" t="s">
        <v>3360</v>
      </c>
      <c r="B12071" s="2" t="s">
        <v>452</v>
      </c>
      <c r="C12071" s="2">
        <v>894.72360000000003</v>
      </c>
      <c r="D12071" s="2">
        <f>HYPERLINK("http://mcb-m6.bioreg.kyushu-u.ac.jp/M3/20110502/F51172/3114/1", 66.89)</f>
        <v>66.89</v>
      </c>
      <c r="E12071" s="2">
        <v>50.84</v>
      </c>
      <c r="F12071" s="2">
        <v>2</v>
      </c>
      <c r="G12071" s="2" t="s">
        <v>13</v>
      </c>
    </row>
    <row r="12072" spans="1:7" x14ac:dyDescent="0.2">
      <c r="A12072" s="2" t="s">
        <v>3360</v>
      </c>
      <c r="B12072" s="2" t="s">
        <v>911</v>
      </c>
      <c r="C12072" s="2">
        <v>627.42070000000001</v>
      </c>
      <c r="D12072" s="2">
        <f>HYPERLINK("http://mcb-m6.bioreg.kyushu-u.ac.jp/M3/20110502/F51188/1355/1", 67.08)</f>
        <v>67.08</v>
      </c>
      <c r="E12072" s="2">
        <v>29.53</v>
      </c>
      <c r="F12072" s="2">
        <v>2</v>
      </c>
      <c r="G12072" s="2" t="s">
        <v>13</v>
      </c>
    </row>
    <row r="12073" spans="1:7" x14ac:dyDescent="0.2">
      <c r="A12073" s="2" t="s">
        <v>3360</v>
      </c>
      <c r="B12073" s="2" t="s">
        <v>152</v>
      </c>
      <c r="C12073" s="2">
        <v>541.43520000000001</v>
      </c>
      <c r="D12073" s="2">
        <f>HYPERLINK("http://mcb-m6.bioreg.kyushu-u.ac.jp/M3/20110502/F51188/1061/1", 67.14)</f>
        <v>67.14</v>
      </c>
      <c r="E12073" s="2">
        <v>36.24</v>
      </c>
      <c r="F12073" s="2">
        <v>2</v>
      </c>
      <c r="G12073" s="2" t="s">
        <v>13</v>
      </c>
    </row>
    <row r="12074" spans="1:7" x14ac:dyDescent="0.2">
      <c r="A12074" s="2" t="s">
        <v>3360</v>
      </c>
      <c r="B12074" s="2" t="s">
        <v>966</v>
      </c>
      <c r="C12074" s="2">
        <v>846.59770000000003</v>
      </c>
      <c r="D12074" s="2">
        <f>HYPERLINK("http://mcb-m6.bioreg.kyushu-u.ac.jp/M3/20110502/F51188/2282/1", 67.99)</f>
        <v>67.989999999999995</v>
      </c>
      <c r="E12074" s="2">
        <v>56.38</v>
      </c>
      <c r="F12074" s="2">
        <v>2</v>
      </c>
      <c r="G12074" s="2" t="s">
        <v>13</v>
      </c>
    </row>
    <row r="12075" spans="1:7" x14ac:dyDescent="0.2">
      <c r="A12075" s="2" t="s">
        <v>3360</v>
      </c>
      <c r="B12075" s="2" t="s">
        <v>452</v>
      </c>
      <c r="C12075" s="2">
        <v>894.6472</v>
      </c>
      <c r="D12075" s="2">
        <f>HYPERLINK("http://mcb-m6.bioreg.kyushu-u.ac.jp/M3/20110502/F51188/2466/1", 88.16)</f>
        <v>88.16</v>
      </c>
      <c r="E12075" s="2">
        <v>68.709999999999994</v>
      </c>
      <c r="F12075" s="2">
        <v>2</v>
      </c>
      <c r="G12075" s="2" t="s">
        <v>13</v>
      </c>
    </row>
    <row r="12076" spans="1:7" x14ac:dyDescent="0.2">
      <c r="A12076" s="2" t="s">
        <v>3360</v>
      </c>
      <c r="B12076" s="2" t="s">
        <v>152</v>
      </c>
      <c r="C12076" s="2">
        <v>1081.521</v>
      </c>
      <c r="D12076" s="2">
        <f>HYPERLINK("http://mcb-m6.bioreg.kyushu-u.ac.jp/M3/20110502/F51192/865/1", 35.8)</f>
        <v>35.799999999999997</v>
      </c>
      <c r="E12076" s="2">
        <v>19.5</v>
      </c>
      <c r="F12076" s="2">
        <v>1</v>
      </c>
      <c r="G12076" s="2" t="s">
        <v>14</v>
      </c>
    </row>
    <row r="12077" spans="1:7" x14ac:dyDescent="0.2">
      <c r="A12077" s="2" t="s">
        <v>3360</v>
      </c>
      <c r="B12077" s="2" t="s">
        <v>452</v>
      </c>
      <c r="C12077" s="2">
        <v>894.6277</v>
      </c>
      <c r="D12077" s="2">
        <f>HYPERLINK("http://mcb-m6.bioreg.kyushu-u.ac.jp/M3/20110502/F51192/2576/1", 43.74)</f>
        <v>43.74</v>
      </c>
      <c r="E12077" s="2">
        <v>31</v>
      </c>
      <c r="F12077" s="2">
        <v>2</v>
      </c>
      <c r="G12077" s="2" t="s">
        <v>14</v>
      </c>
    </row>
    <row r="12078" spans="1:7" x14ac:dyDescent="0.2">
      <c r="A12078" s="2" t="s">
        <v>3360</v>
      </c>
      <c r="B12078" s="2" t="s">
        <v>452</v>
      </c>
      <c r="C12078" s="2">
        <v>894.61159999999995</v>
      </c>
      <c r="D12078" s="2">
        <f>HYPERLINK("http://mcb-m6.bioreg.kyushu-u.ac.jp/M3/20110502/F51193/2634/1", 44.53)</f>
        <v>44.53</v>
      </c>
      <c r="E12078" s="2">
        <v>27.11</v>
      </c>
      <c r="F12078" s="2">
        <v>2</v>
      </c>
      <c r="G12078" s="2" t="s">
        <v>14</v>
      </c>
    </row>
    <row r="12079" spans="1:7" x14ac:dyDescent="0.2">
      <c r="A12079" s="2" t="s">
        <v>3360</v>
      </c>
      <c r="B12079" s="2" t="s">
        <v>452</v>
      </c>
      <c r="C12079" s="2">
        <v>596.86749999999995</v>
      </c>
      <c r="D12079" s="2">
        <f>HYPERLINK("http://mcb-m6.bioreg.kyushu-u.ac.jp/M3/20110502/F51193/2636/1", 45.8)</f>
        <v>45.8</v>
      </c>
      <c r="E12079" s="2">
        <v>27.46</v>
      </c>
      <c r="F12079" s="2">
        <v>3</v>
      </c>
      <c r="G12079" s="2" t="s">
        <v>14</v>
      </c>
    </row>
    <row r="12080" spans="1:7" x14ac:dyDescent="0.2">
      <c r="A12080" s="2" t="s">
        <v>3360</v>
      </c>
      <c r="B12080" s="2" t="s">
        <v>504</v>
      </c>
      <c r="C12080" s="2">
        <v>773.62099999999998</v>
      </c>
      <c r="D12080" s="2">
        <f>HYPERLINK("http://mcb-m6.bioreg.kyushu-u.ac.jp/M3/20110502/F51192/391/1", 46.93)</f>
        <v>46.93</v>
      </c>
      <c r="E12080" s="2">
        <v>23.6</v>
      </c>
      <c r="F12080" s="2">
        <v>1</v>
      </c>
      <c r="G12080" s="2" t="s">
        <v>14</v>
      </c>
    </row>
    <row r="12081" spans="1:9" x14ac:dyDescent="0.2">
      <c r="A12081" s="2" t="s">
        <v>3360</v>
      </c>
      <c r="B12081" s="2" t="s">
        <v>327</v>
      </c>
      <c r="C12081" s="2">
        <v>741.08669999999995</v>
      </c>
      <c r="D12081" s="2">
        <f>HYPERLINK("http://mcb-m6.bioreg.kyushu-u.ac.jp/M3/20110502/F51192/1792/1", 50.03)</f>
        <v>50.03</v>
      </c>
      <c r="E12081" s="2">
        <v>30.82</v>
      </c>
      <c r="F12081" s="2">
        <v>2</v>
      </c>
      <c r="G12081" s="2" t="s">
        <v>14</v>
      </c>
    </row>
    <row r="12082" spans="1:9" x14ac:dyDescent="0.2">
      <c r="A12082" s="2" t="s">
        <v>3360</v>
      </c>
      <c r="B12082" s="2" t="s">
        <v>452</v>
      </c>
      <c r="C12082" s="2">
        <v>894.46220000000005</v>
      </c>
      <c r="D12082" s="2">
        <f>HYPERLINK("http://mcb-m6.bioreg.kyushu-u.ac.jp/M3/20110502/F51192/2574/1", 54.25)</f>
        <v>54.25</v>
      </c>
      <c r="E12082" s="2">
        <v>43.86</v>
      </c>
      <c r="F12082" s="2">
        <v>2</v>
      </c>
      <c r="G12082" s="2" t="s">
        <v>14</v>
      </c>
    </row>
    <row r="12083" spans="1:9" x14ac:dyDescent="0.2">
      <c r="A12083" s="2" t="s">
        <v>3360</v>
      </c>
      <c r="B12083" s="2" t="s">
        <v>184</v>
      </c>
      <c r="C12083" s="2">
        <v>783.95259999999996</v>
      </c>
      <c r="D12083" s="2">
        <f>HYPERLINK("http://mcb-m6.bioreg.kyushu-u.ac.jp/M3/20110502/F51192/2041/1", 62.12)</f>
        <v>62.12</v>
      </c>
      <c r="E12083" s="2">
        <v>39.35</v>
      </c>
      <c r="F12083" s="2">
        <v>2</v>
      </c>
      <c r="G12083" s="2" t="s">
        <v>14</v>
      </c>
    </row>
    <row r="12084" spans="1:9" x14ac:dyDescent="0.2">
      <c r="A12084" s="2" t="s">
        <v>3360</v>
      </c>
      <c r="B12084" s="2" t="s">
        <v>966</v>
      </c>
      <c r="C12084" s="2">
        <v>846.65060000000005</v>
      </c>
      <c r="D12084" s="2">
        <f>HYPERLINK("http://mcb-m6.bioreg.kyushu-u.ac.jp/M3/20110502/F51192/2345/1", 68.58)</f>
        <v>68.58</v>
      </c>
      <c r="E12084" s="2">
        <v>49.28</v>
      </c>
      <c r="F12084" s="2">
        <v>2</v>
      </c>
      <c r="G12084" s="2" t="s">
        <v>14</v>
      </c>
    </row>
    <row r="12085" spans="1:9" x14ac:dyDescent="0.2">
      <c r="A12085" s="2" t="s">
        <v>3360</v>
      </c>
      <c r="B12085" s="2" t="s">
        <v>911</v>
      </c>
      <c r="C12085" s="2">
        <v>627.64170000000001</v>
      </c>
      <c r="D12085" s="2">
        <f>HYPERLINK("http://mcb-m6.bioreg.kyushu-u.ac.jp/M3/20110502/F51193/1277/1", 72.54)</f>
        <v>72.540000000000006</v>
      </c>
      <c r="E12085" s="2">
        <v>42.83</v>
      </c>
      <c r="F12085" s="2">
        <v>2</v>
      </c>
      <c r="G12085" s="2" t="s">
        <v>14</v>
      </c>
    </row>
    <row r="12086" spans="1:9" x14ac:dyDescent="0.2">
      <c r="A12086" s="2" t="s">
        <v>3360</v>
      </c>
      <c r="B12086" s="2" t="s">
        <v>452</v>
      </c>
      <c r="C12086" s="2">
        <v>894.98109999999997</v>
      </c>
      <c r="D12086" s="2">
        <f>HYPERLINK("http://mcb-m6.bioreg.kyushu-u.ac.jp/M3/20110502/F51192/2579/1", 77.4)</f>
        <v>77.400000000000006</v>
      </c>
      <c r="E12086" s="2">
        <v>53.78</v>
      </c>
      <c r="F12086" s="2">
        <v>2</v>
      </c>
      <c r="G12086" s="2" t="s">
        <v>14</v>
      </c>
    </row>
    <row r="12087" spans="1:9" x14ac:dyDescent="0.2">
      <c r="A12087" s="2" t="s">
        <v>3360</v>
      </c>
      <c r="B12087" s="2" t="s">
        <v>452</v>
      </c>
      <c r="C12087" s="2">
        <v>894.44269999999995</v>
      </c>
      <c r="D12087" s="2">
        <f>HYPERLINK("http://mcb-m6.bioreg.kyushu-u.ac.jp/M3/20110502/F51192/2573/1", 88.87)</f>
        <v>88.87</v>
      </c>
      <c r="E12087" s="2">
        <v>67.88</v>
      </c>
      <c r="F12087" s="2">
        <v>2</v>
      </c>
      <c r="G12087" s="2" t="s">
        <v>14</v>
      </c>
    </row>
    <row r="12088" spans="1:9" x14ac:dyDescent="0.2">
      <c r="A12088" s="2" t="s">
        <v>3256</v>
      </c>
      <c r="B12088" s="2" t="s">
        <v>36</v>
      </c>
      <c r="C12088" s="2">
        <v>925.36850000000004</v>
      </c>
      <c r="D12088" s="2">
        <f>HYPERLINK("http://mcb-m6.bioreg.kyushu-u.ac.jp/M3/20110411/F50915/4339/1", 35.28)</f>
        <v>35.28</v>
      </c>
      <c r="E12088" s="2">
        <v>22.11</v>
      </c>
      <c r="F12088" s="2">
        <v>3</v>
      </c>
      <c r="G12088" s="2" t="s">
        <v>9</v>
      </c>
    </row>
    <row r="12089" spans="1:9" x14ac:dyDescent="0.2">
      <c r="A12089" s="2" t="s">
        <v>3256</v>
      </c>
      <c r="B12089" s="2" t="s">
        <v>36</v>
      </c>
      <c r="C12089" s="2">
        <v>1388.06</v>
      </c>
      <c r="D12089" s="2">
        <f>HYPERLINK("http://mcb-m6.bioreg.kyushu-u.ac.jp/M3/20110411/F50915/4344/1", 95.92)</f>
        <v>95.92</v>
      </c>
      <c r="E12089" s="2">
        <v>88.37</v>
      </c>
      <c r="F12089" s="2">
        <v>2</v>
      </c>
      <c r="G12089" s="2" t="s">
        <v>9</v>
      </c>
    </row>
    <row r="12090" spans="1:9" x14ac:dyDescent="0.2">
      <c r="A12090" s="2" t="s">
        <v>3256</v>
      </c>
      <c r="B12090" s="2" t="s">
        <v>36</v>
      </c>
      <c r="C12090" s="2">
        <v>1387.587</v>
      </c>
      <c r="D12090" s="2">
        <f>HYPERLINK("http://mcb-m6.bioreg.kyushu-u.ac.jp/M3/20110414/F50956/4799/1", 76.24)</f>
        <v>76.239999999999995</v>
      </c>
      <c r="E12090" s="2">
        <v>64.599999999999994</v>
      </c>
      <c r="F12090" s="2">
        <v>2</v>
      </c>
      <c r="G12090" s="2" t="s">
        <v>11</v>
      </c>
    </row>
    <row r="12091" spans="1:9" x14ac:dyDescent="0.2">
      <c r="A12091" s="2" t="s">
        <v>3256</v>
      </c>
      <c r="B12091" s="2" t="s">
        <v>36</v>
      </c>
      <c r="C12091" s="2">
        <v>1387.9570000000001</v>
      </c>
      <c r="D12091" s="2">
        <f>HYPERLINK("http://mcb-m6.bioreg.kyushu-u.ac.jp/M3/20110414/F50958/4818/1", 88.23)</f>
        <v>88.23</v>
      </c>
      <c r="E12091" s="2">
        <v>80.56</v>
      </c>
      <c r="F12091" s="2">
        <v>2</v>
      </c>
      <c r="G12091" s="2" t="s">
        <v>12</v>
      </c>
    </row>
    <row r="12092" spans="1:9" x14ac:dyDescent="0.2">
      <c r="A12092" s="2" t="s">
        <v>3488</v>
      </c>
      <c r="B12092" s="2" t="s">
        <v>317</v>
      </c>
      <c r="C12092" s="2">
        <v>472.91359999999997</v>
      </c>
      <c r="D12092" s="2">
        <f>HYPERLINK("http://mcb-m6.bioreg.kyushu-u.ac.jp/M3/20110411/F50915/644/1", 39.63)</f>
        <v>39.630000000000003</v>
      </c>
      <c r="E12092" s="2">
        <v>16.39</v>
      </c>
      <c r="F12092" s="2">
        <v>2</v>
      </c>
      <c r="G12092" s="2" t="s">
        <v>9</v>
      </c>
      <c r="I12092" s="2" t="s">
        <v>4890</v>
      </c>
    </row>
    <row r="12093" spans="1:9" x14ac:dyDescent="0.2">
      <c r="A12093" s="2" t="s">
        <v>3488</v>
      </c>
      <c r="B12093" s="2" t="s">
        <v>1175</v>
      </c>
      <c r="C12093" s="2">
        <v>639.42319999999995</v>
      </c>
      <c r="D12093" s="2">
        <f>HYPERLINK("http://mcb-m6.bioreg.kyushu-u.ac.jp/M3/20110411/F50915/1344/1", 65.9)</f>
        <v>65.900000000000006</v>
      </c>
      <c r="E12093" s="2">
        <v>37.57</v>
      </c>
      <c r="F12093" s="2">
        <v>2</v>
      </c>
      <c r="G12093" s="2" t="s">
        <v>9</v>
      </c>
      <c r="I12093" s="2" t="s">
        <v>4893</v>
      </c>
    </row>
    <row r="12094" spans="1:9" x14ac:dyDescent="0.2">
      <c r="A12094" s="2" t="s">
        <v>3488</v>
      </c>
      <c r="B12094" s="2" t="s">
        <v>1181</v>
      </c>
      <c r="C12094" s="2">
        <v>873.53309999999999</v>
      </c>
      <c r="D12094" s="2">
        <f>HYPERLINK("http://mcb-m6.bioreg.kyushu-u.ac.jp/M3/20110411/F50915/2685/1", 66.31)</f>
        <v>66.31</v>
      </c>
      <c r="E12094" s="2">
        <v>48.6</v>
      </c>
      <c r="F12094" s="2">
        <v>2</v>
      </c>
      <c r="G12094" s="2" t="s">
        <v>9</v>
      </c>
    </row>
    <row r="12095" spans="1:9" x14ac:dyDescent="0.2">
      <c r="A12095" s="2" t="s">
        <v>3488</v>
      </c>
      <c r="B12095" s="2" t="s">
        <v>1396</v>
      </c>
      <c r="C12095" s="2">
        <v>874.05269999999996</v>
      </c>
      <c r="D12095" s="2">
        <f>HYPERLINK("http://mcb-m6.bioreg.kyushu-u.ac.jp/M3/20110411/F50915/2686/1", 77.75)</f>
        <v>77.75</v>
      </c>
      <c r="E12095" s="2">
        <v>50.04</v>
      </c>
      <c r="F12095" s="2">
        <v>2</v>
      </c>
      <c r="G12095" s="2" t="s">
        <v>9</v>
      </c>
      <c r="I12095" s="2" t="s">
        <v>4905</v>
      </c>
    </row>
    <row r="12096" spans="1:9" x14ac:dyDescent="0.2">
      <c r="A12096" s="2" t="s">
        <v>3488</v>
      </c>
      <c r="B12096" s="2" t="s">
        <v>1181</v>
      </c>
      <c r="C12096" s="2">
        <v>582.36919999999998</v>
      </c>
      <c r="D12096" s="2">
        <f>HYPERLINK("http://mcb-m6.bioreg.kyushu-u.ac.jp/M3/20110411/F50917/2743/1", 39.76)</f>
        <v>39.76</v>
      </c>
      <c r="E12096" s="2">
        <v>24.59</v>
      </c>
      <c r="F12096" s="2">
        <v>3</v>
      </c>
      <c r="G12096" s="2" t="s">
        <v>10</v>
      </c>
    </row>
    <row r="12097" spans="1:9" x14ac:dyDescent="0.2">
      <c r="A12097" s="2" t="s">
        <v>3488</v>
      </c>
      <c r="B12097" s="2" t="s">
        <v>1175</v>
      </c>
      <c r="C12097" s="2">
        <v>639.43470000000002</v>
      </c>
      <c r="D12097" s="2">
        <f>HYPERLINK("http://mcb-m6.bioreg.kyushu-u.ac.jp/M3/20110411/F50917/1415/1", 62)</f>
        <v>62</v>
      </c>
      <c r="E12097" s="2">
        <v>33.71</v>
      </c>
      <c r="F12097" s="2">
        <v>2</v>
      </c>
      <c r="G12097" s="2" t="s">
        <v>10</v>
      </c>
      <c r="I12097" s="2" t="s">
        <v>4893</v>
      </c>
    </row>
    <row r="12098" spans="1:9" x14ac:dyDescent="0.2">
      <c r="A12098" s="2" t="s">
        <v>3488</v>
      </c>
      <c r="B12098" s="2" t="s">
        <v>1396</v>
      </c>
      <c r="C12098" s="2">
        <v>874.05470000000003</v>
      </c>
      <c r="D12098" s="2">
        <f>HYPERLINK("http://mcb-m6.bioreg.kyushu-u.ac.jp/M3/20110411/F50917/2751/1", 70.14)</f>
        <v>70.14</v>
      </c>
      <c r="E12098" s="2">
        <v>43.84</v>
      </c>
      <c r="F12098" s="2">
        <v>2</v>
      </c>
      <c r="G12098" s="2" t="s">
        <v>10</v>
      </c>
      <c r="I12098" s="2" t="s">
        <v>4905</v>
      </c>
    </row>
    <row r="12099" spans="1:9" x14ac:dyDescent="0.2">
      <c r="A12099" s="2" t="s">
        <v>3488</v>
      </c>
      <c r="B12099" s="2" t="s">
        <v>317</v>
      </c>
      <c r="C12099" s="2">
        <v>472.74360000000001</v>
      </c>
      <c r="D12099" s="2">
        <f>HYPERLINK("http://mcb-m6.bioreg.kyushu-u.ac.jp/M3/20110414/F50943/852/1", 35.47)</f>
        <v>35.47</v>
      </c>
      <c r="E12099" s="2">
        <v>10.84</v>
      </c>
      <c r="F12099" s="2">
        <v>2</v>
      </c>
      <c r="G12099" s="2" t="s">
        <v>11</v>
      </c>
      <c r="I12099" s="2" t="s">
        <v>4890</v>
      </c>
    </row>
    <row r="12100" spans="1:9" x14ac:dyDescent="0.2">
      <c r="A12100" s="2" t="s">
        <v>3488</v>
      </c>
      <c r="B12100" s="2" t="s">
        <v>1396</v>
      </c>
      <c r="C12100" s="2">
        <v>873.81920000000002</v>
      </c>
      <c r="D12100" s="2">
        <f>HYPERLINK("http://mcb-m6.bioreg.kyushu-u.ac.jp/M3/20110414/F50956/2846/1", 51.23)</f>
        <v>51.23</v>
      </c>
      <c r="E12100" s="2">
        <v>29.07</v>
      </c>
      <c r="F12100" s="2">
        <v>2</v>
      </c>
      <c r="G12100" s="2" t="s">
        <v>11</v>
      </c>
      <c r="I12100" s="2" t="s">
        <v>4905</v>
      </c>
    </row>
    <row r="12101" spans="1:9" x14ac:dyDescent="0.2">
      <c r="A12101" s="2" t="s">
        <v>3488</v>
      </c>
      <c r="B12101" s="2" t="s">
        <v>1181</v>
      </c>
      <c r="C12101" s="2">
        <v>582.49580000000003</v>
      </c>
      <c r="D12101" s="2">
        <f>HYPERLINK("http://mcb-m6.bioreg.kyushu-u.ac.jp/M3/20110414/F50958/2931/1", 45.51)</f>
        <v>45.51</v>
      </c>
      <c r="E12101" s="2">
        <v>26.11</v>
      </c>
      <c r="F12101" s="2">
        <v>3</v>
      </c>
      <c r="G12101" s="2" t="s">
        <v>12</v>
      </c>
    </row>
    <row r="12102" spans="1:9" x14ac:dyDescent="0.2">
      <c r="A12102" s="2" t="s">
        <v>3488</v>
      </c>
      <c r="B12102" s="2" t="s">
        <v>1396</v>
      </c>
      <c r="C12102" s="2">
        <v>874.47119999999995</v>
      </c>
      <c r="D12102" s="2">
        <f>HYPERLINK("http://mcb-m6.bioreg.kyushu-u.ac.jp/M3/20110414/F50958/2942/1", 56.83)</f>
        <v>56.83</v>
      </c>
      <c r="E12102" s="2">
        <v>32.729999999999997</v>
      </c>
      <c r="F12102" s="2">
        <v>2</v>
      </c>
      <c r="G12102" s="2" t="s">
        <v>12</v>
      </c>
      <c r="I12102" s="2" t="s">
        <v>4905</v>
      </c>
    </row>
    <row r="12103" spans="1:9" x14ac:dyDescent="0.2">
      <c r="A12103" s="2" t="s">
        <v>3488</v>
      </c>
      <c r="B12103" s="2" t="s">
        <v>1181</v>
      </c>
      <c r="C12103" s="2">
        <v>873.14620000000002</v>
      </c>
      <c r="D12103" s="2">
        <f>HYPERLINK("http://mcb-m6.bioreg.kyushu-u.ac.jp/M3/20110414/F50958/2930/1", 58.85)</f>
        <v>58.85</v>
      </c>
      <c r="E12103" s="2">
        <v>37.340000000000003</v>
      </c>
      <c r="F12103" s="2">
        <v>2</v>
      </c>
      <c r="G12103" s="2" t="s">
        <v>12</v>
      </c>
    </row>
    <row r="12104" spans="1:9" x14ac:dyDescent="0.2">
      <c r="A12104" s="2" t="s">
        <v>3383</v>
      </c>
      <c r="B12104" s="2" t="s">
        <v>176</v>
      </c>
      <c r="C12104" s="2">
        <v>755.2518</v>
      </c>
      <c r="D12104" s="2">
        <f>HYPERLINK("http://mcb-m6.bioreg.kyushu-u.ac.jp/M3/20110411/F50915/3726/1", 37.27)</f>
        <v>37.270000000000003</v>
      </c>
      <c r="E12104" s="2">
        <v>29.54</v>
      </c>
      <c r="F12104" s="2">
        <v>3</v>
      </c>
      <c r="G12104" s="2" t="s">
        <v>9</v>
      </c>
      <c r="I12104" s="2" t="s">
        <v>4909</v>
      </c>
    </row>
    <row r="12105" spans="1:9" x14ac:dyDescent="0.2">
      <c r="A12105" s="2" t="s">
        <v>3383</v>
      </c>
      <c r="B12105" s="2" t="s">
        <v>313</v>
      </c>
      <c r="C12105" s="2">
        <v>552.33780000000002</v>
      </c>
      <c r="D12105" s="2">
        <f>HYPERLINK("http://mcb-m6.bioreg.kyushu-u.ac.jp/M3/20110411/F50915/2430/1", 39.61)</f>
        <v>39.61</v>
      </c>
      <c r="E12105" s="2">
        <v>25.13</v>
      </c>
      <c r="F12105" s="2">
        <v>3</v>
      </c>
      <c r="G12105" s="2" t="s">
        <v>9</v>
      </c>
    </row>
    <row r="12106" spans="1:9" x14ac:dyDescent="0.2">
      <c r="A12106" s="2" t="s">
        <v>3383</v>
      </c>
      <c r="B12106" s="2" t="s">
        <v>368</v>
      </c>
      <c r="C12106" s="2">
        <v>825.56410000000005</v>
      </c>
      <c r="D12106" s="2">
        <f>HYPERLINK("http://mcb-m6.bioreg.kyushu-u.ac.jp/M3/20110411/F50895/2497/1", 40.41)</f>
        <v>40.409999999999997</v>
      </c>
      <c r="E12106" s="2">
        <v>24.42</v>
      </c>
      <c r="F12106" s="2">
        <v>2</v>
      </c>
      <c r="G12106" s="2" t="s">
        <v>9</v>
      </c>
    </row>
    <row r="12107" spans="1:9" x14ac:dyDescent="0.2">
      <c r="A12107" s="2" t="s">
        <v>3383</v>
      </c>
      <c r="B12107" s="2" t="s">
        <v>381</v>
      </c>
      <c r="C12107" s="2">
        <v>706.05719999999997</v>
      </c>
      <c r="D12107" s="2">
        <f>HYPERLINK("http://mcb-m6.bioreg.kyushu-u.ac.jp/M3/20110411/F50911/1898/1", 40.77)</f>
        <v>40.770000000000003</v>
      </c>
      <c r="E12107" s="2">
        <v>18.09</v>
      </c>
      <c r="F12107" s="2">
        <v>2</v>
      </c>
      <c r="G12107" s="2" t="s">
        <v>9</v>
      </c>
    </row>
    <row r="12108" spans="1:9" x14ac:dyDescent="0.2">
      <c r="A12108" s="2" t="s">
        <v>3383</v>
      </c>
      <c r="B12108" s="2" t="s">
        <v>368</v>
      </c>
      <c r="C12108" s="2">
        <v>825.70259999999996</v>
      </c>
      <c r="D12108" s="2">
        <f>HYPERLINK("http://mcb-m6.bioreg.kyushu-u.ac.jp/M3/20110411/F50911/2555/1", 45.27)</f>
        <v>45.27</v>
      </c>
      <c r="E12108" s="2">
        <v>23.61</v>
      </c>
      <c r="F12108" s="2">
        <v>2</v>
      </c>
      <c r="G12108" s="2" t="s">
        <v>9</v>
      </c>
    </row>
    <row r="12109" spans="1:9" x14ac:dyDescent="0.2">
      <c r="A12109" s="2" t="s">
        <v>3383</v>
      </c>
      <c r="B12109" s="2" t="s">
        <v>381</v>
      </c>
      <c r="C12109" s="2">
        <v>705.99959999999999</v>
      </c>
      <c r="D12109" s="2">
        <f>HYPERLINK("http://mcb-m6.bioreg.kyushu-u.ac.jp/M3/20110411/F50915/1678/1", 61.15)</f>
        <v>61.15</v>
      </c>
      <c r="E12109" s="2">
        <v>42.88</v>
      </c>
      <c r="F12109" s="2">
        <v>2</v>
      </c>
      <c r="G12109" s="2" t="s">
        <v>9</v>
      </c>
    </row>
    <row r="12110" spans="1:9" x14ac:dyDescent="0.2">
      <c r="A12110" s="2" t="s">
        <v>3383</v>
      </c>
      <c r="B12110" s="2" t="s">
        <v>1067</v>
      </c>
      <c r="C12110" s="2">
        <v>636.36270000000002</v>
      </c>
      <c r="D12110" s="2">
        <f>HYPERLINK("http://mcb-m6.bioreg.kyushu-u.ac.jp/M3/20110411/F50915/1332/1", 61.32)</f>
        <v>61.32</v>
      </c>
      <c r="E12110" s="2">
        <v>41</v>
      </c>
      <c r="F12110" s="2">
        <v>2</v>
      </c>
      <c r="G12110" s="2" t="s">
        <v>9</v>
      </c>
      <c r="H12110" s="2" t="s">
        <v>4919</v>
      </c>
    </row>
    <row r="12111" spans="1:9" x14ac:dyDescent="0.2">
      <c r="A12111" s="2" t="s">
        <v>3383</v>
      </c>
      <c r="B12111" s="2" t="s">
        <v>368</v>
      </c>
      <c r="C12111" s="2">
        <v>833.60969999999998</v>
      </c>
      <c r="D12111" s="2">
        <f>HYPERLINK("http://mcb-m6.bioreg.kyushu-u.ac.jp/M3/20110411/F50895/2528/1", 70.35)</f>
        <v>70.349999999999994</v>
      </c>
      <c r="E12111" s="2">
        <v>51.07</v>
      </c>
      <c r="F12111" s="2">
        <v>2</v>
      </c>
      <c r="G12111" s="2" t="s">
        <v>9</v>
      </c>
      <c r="H12111" s="2" t="s">
        <v>4896</v>
      </c>
    </row>
    <row r="12112" spans="1:9" x14ac:dyDescent="0.2">
      <c r="A12112" s="2" t="s">
        <v>3383</v>
      </c>
      <c r="B12112" s="2" t="s">
        <v>368</v>
      </c>
      <c r="C12112" s="2">
        <v>825.51170000000002</v>
      </c>
      <c r="D12112" s="2">
        <f>HYPERLINK("http://mcb-m6.bioreg.kyushu-u.ac.jp/M3/20110411/F50892/2561/1", 93.44)</f>
        <v>93.44</v>
      </c>
      <c r="E12112" s="2">
        <v>82.69</v>
      </c>
      <c r="F12112" s="2">
        <v>2</v>
      </c>
      <c r="G12112" s="2" t="s">
        <v>9</v>
      </c>
    </row>
    <row r="12113" spans="1:9" x14ac:dyDescent="0.2">
      <c r="A12113" s="2" t="s">
        <v>3383</v>
      </c>
      <c r="B12113" s="2" t="s">
        <v>176</v>
      </c>
      <c r="C12113" s="2">
        <v>1132.2360000000001</v>
      </c>
      <c r="D12113" s="2">
        <f>HYPERLINK("http://mcb-m6.bioreg.kyushu-u.ac.jp/M3/20110411/F50915/3725/1", 105.57)</f>
        <v>105.57</v>
      </c>
      <c r="E12113" s="2">
        <v>102.31</v>
      </c>
      <c r="F12113" s="2">
        <v>2</v>
      </c>
      <c r="G12113" s="2" t="s">
        <v>9</v>
      </c>
      <c r="I12113" s="2" t="s">
        <v>4909</v>
      </c>
    </row>
    <row r="12114" spans="1:9" x14ac:dyDescent="0.2">
      <c r="A12114" s="2" t="s">
        <v>3383</v>
      </c>
      <c r="B12114" s="2" t="s">
        <v>368</v>
      </c>
      <c r="C12114" s="2">
        <v>825.59059999999999</v>
      </c>
      <c r="D12114" s="2">
        <f>HYPERLINK("http://mcb-m6.bioreg.kyushu-u.ac.jp/M3/20110411/F50902/2469/1", 60.08)</f>
        <v>60.08</v>
      </c>
      <c r="E12114" s="2">
        <v>44.43</v>
      </c>
      <c r="F12114" s="2">
        <v>2</v>
      </c>
      <c r="G12114" s="2" t="s">
        <v>10</v>
      </c>
    </row>
    <row r="12115" spans="1:9" x14ac:dyDescent="0.2">
      <c r="A12115" s="2" t="s">
        <v>3383</v>
      </c>
      <c r="B12115" s="2" t="s">
        <v>1067</v>
      </c>
      <c r="C12115" s="2">
        <v>635.82759999999996</v>
      </c>
      <c r="D12115" s="2">
        <f>HYPERLINK("http://mcb-m6.bioreg.kyushu-u.ac.jp/M3/20110411/F50917/1403/1", 62.35)</f>
        <v>62.35</v>
      </c>
      <c r="E12115" s="2">
        <v>49.54</v>
      </c>
      <c r="F12115" s="2">
        <v>2</v>
      </c>
      <c r="G12115" s="2" t="s">
        <v>10</v>
      </c>
      <c r="H12115" s="2" t="s">
        <v>4919</v>
      </c>
    </row>
    <row r="12116" spans="1:9" x14ac:dyDescent="0.2">
      <c r="A12116" s="2" t="s">
        <v>3383</v>
      </c>
      <c r="B12116" s="2" t="s">
        <v>381</v>
      </c>
      <c r="C12116" s="2">
        <v>705.94209999999998</v>
      </c>
      <c r="D12116" s="2">
        <f>HYPERLINK("http://mcb-m6.bioreg.kyushu-u.ac.jp/M3/20110411/F50917/1757/1", 66.35)</f>
        <v>66.349999999999994</v>
      </c>
      <c r="E12116" s="2">
        <v>48.26</v>
      </c>
      <c r="F12116" s="2">
        <v>2</v>
      </c>
      <c r="G12116" s="2" t="s">
        <v>10</v>
      </c>
    </row>
    <row r="12117" spans="1:9" x14ac:dyDescent="0.2">
      <c r="A12117" s="2" t="s">
        <v>3383</v>
      </c>
      <c r="B12117" s="2" t="s">
        <v>368</v>
      </c>
      <c r="C12117" s="2">
        <v>825.92610000000002</v>
      </c>
      <c r="D12117" s="2">
        <f>HYPERLINK("http://mcb-m6.bioreg.kyushu-u.ac.jp/M3/20110411/F50900/2463/1", 67.55)</f>
        <v>67.55</v>
      </c>
      <c r="E12117" s="2">
        <v>53.03</v>
      </c>
      <c r="F12117" s="2">
        <v>2</v>
      </c>
      <c r="G12117" s="2" t="s">
        <v>10</v>
      </c>
    </row>
    <row r="12118" spans="1:9" x14ac:dyDescent="0.2">
      <c r="A12118" s="2" t="s">
        <v>3383</v>
      </c>
      <c r="B12118" s="2" t="s">
        <v>368</v>
      </c>
      <c r="C12118" s="2">
        <v>825.95370000000003</v>
      </c>
      <c r="D12118" s="2">
        <f>HYPERLINK("http://mcb-m6.bioreg.kyushu-u.ac.jp/M3/20110411/F50901/2397/1", 82.61)</f>
        <v>82.61</v>
      </c>
      <c r="E12118" s="2">
        <v>69.760000000000005</v>
      </c>
      <c r="F12118" s="2">
        <v>2</v>
      </c>
      <c r="G12118" s="2" t="s">
        <v>10</v>
      </c>
    </row>
    <row r="12119" spans="1:9" x14ac:dyDescent="0.2">
      <c r="A12119" s="2" t="s">
        <v>3383</v>
      </c>
      <c r="B12119" s="2" t="s">
        <v>176</v>
      </c>
      <c r="C12119" s="2">
        <v>1132.569</v>
      </c>
      <c r="D12119" s="2">
        <f>HYPERLINK("http://mcb-m6.bioreg.kyushu-u.ac.jp/M3/20110411/F50917/3747/1", 116.26)</f>
        <v>116.26</v>
      </c>
      <c r="E12119" s="2">
        <v>113.3</v>
      </c>
      <c r="F12119" s="2">
        <v>2</v>
      </c>
      <c r="G12119" s="2" t="s">
        <v>10</v>
      </c>
      <c r="I12119" s="2" t="s">
        <v>4909</v>
      </c>
    </row>
    <row r="12120" spans="1:9" x14ac:dyDescent="0.2">
      <c r="A12120" s="2" t="s">
        <v>3383</v>
      </c>
      <c r="B12120" s="2" t="s">
        <v>381</v>
      </c>
      <c r="C12120" s="2">
        <v>706.39869999999996</v>
      </c>
      <c r="D12120" s="2">
        <f>HYPERLINK("http://mcb-m6.bioreg.kyushu-u.ac.jp/M3/20110414/F50943/1663/1", 35.31)</f>
        <v>35.31</v>
      </c>
      <c r="E12120" s="2">
        <v>19.66</v>
      </c>
      <c r="F12120" s="2">
        <v>2</v>
      </c>
      <c r="G12120" s="2" t="s">
        <v>11</v>
      </c>
    </row>
    <row r="12121" spans="1:9" x14ac:dyDescent="0.2">
      <c r="A12121" s="2" t="s">
        <v>3383</v>
      </c>
      <c r="B12121" s="2" t="s">
        <v>368</v>
      </c>
      <c r="C12121" s="2">
        <v>833.4402</v>
      </c>
      <c r="D12121" s="2">
        <f>HYPERLINK("http://mcb-m6.bioreg.kyushu-u.ac.jp/M3/20110414/F50924/2555/1", 39.74)</f>
        <v>39.74</v>
      </c>
      <c r="E12121" s="2">
        <v>26.52</v>
      </c>
      <c r="F12121" s="2">
        <v>2</v>
      </c>
      <c r="G12121" s="2" t="s">
        <v>11</v>
      </c>
      <c r="H12121" s="2" t="s">
        <v>4896</v>
      </c>
    </row>
    <row r="12122" spans="1:9" x14ac:dyDescent="0.2">
      <c r="A12122" s="2" t="s">
        <v>3383</v>
      </c>
      <c r="B12122" s="2" t="s">
        <v>368</v>
      </c>
      <c r="C12122" s="2">
        <v>825.79570000000001</v>
      </c>
      <c r="D12122" s="2">
        <f>HYPERLINK("http://mcb-m6.bioreg.kyushu-u.ac.jp/M3/20110414/F50942/2403/1", 40.31)</f>
        <v>40.31</v>
      </c>
      <c r="E12122" s="2">
        <v>31.59</v>
      </c>
      <c r="F12122" s="2">
        <v>2</v>
      </c>
      <c r="G12122" s="2" t="s">
        <v>11</v>
      </c>
    </row>
    <row r="12123" spans="1:9" x14ac:dyDescent="0.2">
      <c r="A12123" s="2" t="s">
        <v>3383</v>
      </c>
      <c r="B12123" s="2" t="s">
        <v>381</v>
      </c>
      <c r="C12123" s="2">
        <v>714.26120000000003</v>
      </c>
      <c r="D12123" s="2">
        <f>HYPERLINK("http://mcb-m6.bioreg.kyushu-u.ac.jp/M3/20110414/F50956/1730/1", 44.77)</f>
        <v>44.77</v>
      </c>
      <c r="E12123" s="2">
        <v>30.82</v>
      </c>
      <c r="F12123" s="2">
        <v>2</v>
      </c>
      <c r="G12123" s="2" t="s">
        <v>11</v>
      </c>
      <c r="H12123" s="2" t="s">
        <v>4927</v>
      </c>
    </row>
    <row r="12124" spans="1:9" x14ac:dyDescent="0.2">
      <c r="A12124" s="2" t="s">
        <v>3383</v>
      </c>
      <c r="B12124" s="2" t="s">
        <v>368</v>
      </c>
      <c r="C12124" s="2">
        <v>825.41020000000003</v>
      </c>
      <c r="D12124" s="2">
        <f>HYPERLINK("http://mcb-m6.bioreg.kyushu-u.ac.jp/M3/20110414/F50944/2431/1", 47.92)</f>
        <v>47.92</v>
      </c>
      <c r="E12124" s="2">
        <v>35.770000000000003</v>
      </c>
      <c r="F12124" s="2">
        <v>2</v>
      </c>
      <c r="G12124" s="2" t="s">
        <v>11</v>
      </c>
    </row>
    <row r="12125" spans="1:9" x14ac:dyDescent="0.2">
      <c r="A12125" s="2" t="s">
        <v>3383</v>
      </c>
      <c r="B12125" s="2" t="s">
        <v>368</v>
      </c>
      <c r="C12125" s="2">
        <v>833.60019999999997</v>
      </c>
      <c r="D12125" s="2">
        <f>HYPERLINK("http://mcb-m6.bioreg.kyushu-u.ac.jp/M3/20110414/F50956/2588/1", 56.96)</f>
        <v>56.96</v>
      </c>
      <c r="E12125" s="2">
        <v>44.04</v>
      </c>
      <c r="F12125" s="2">
        <v>2</v>
      </c>
      <c r="G12125" s="2" t="s">
        <v>11</v>
      </c>
      <c r="H12125" s="2" t="s">
        <v>4896</v>
      </c>
    </row>
    <row r="12126" spans="1:9" x14ac:dyDescent="0.2">
      <c r="A12126" s="2" t="s">
        <v>3383</v>
      </c>
      <c r="B12126" s="2" t="s">
        <v>368</v>
      </c>
      <c r="C12126" s="2">
        <v>833.05020000000002</v>
      </c>
      <c r="D12126" s="2">
        <f>HYPERLINK("http://mcb-m6.bioreg.kyushu-u.ac.jp/M3/20110414/F50927/2677/1", 76.68)</f>
        <v>76.680000000000007</v>
      </c>
      <c r="E12126" s="2">
        <v>61.82</v>
      </c>
      <c r="F12126" s="2">
        <v>2</v>
      </c>
      <c r="G12126" s="2" t="s">
        <v>11</v>
      </c>
      <c r="H12126" s="2" t="s">
        <v>4896</v>
      </c>
    </row>
    <row r="12127" spans="1:9" x14ac:dyDescent="0.2">
      <c r="A12127" s="2" t="s">
        <v>3383</v>
      </c>
      <c r="B12127" s="2" t="s">
        <v>368</v>
      </c>
      <c r="C12127" s="2">
        <v>825.9402</v>
      </c>
      <c r="D12127" s="2">
        <f>HYPERLINK("http://mcb-m6.bioreg.kyushu-u.ac.jp/M3/20110414/F50944/2433/1", 78.66)</f>
        <v>78.66</v>
      </c>
      <c r="E12127" s="2">
        <v>61.83</v>
      </c>
      <c r="F12127" s="2">
        <v>2</v>
      </c>
      <c r="G12127" s="2" t="s">
        <v>11</v>
      </c>
    </row>
    <row r="12128" spans="1:9" x14ac:dyDescent="0.2">
      <c r="A12128" s="2" t="s">
        <v>3383</v>
      </c>
      <c r="B12128" s="2" t="s">
        <v>368</v>
      </c>
      <c r="C12128" s="2">
        <v>825.80719999999997</v>
      </c>
      <c r="D12128" s="2">
        <f>HYPERLINK("http://mcb-m6.bioreg.kyushu-u.ac.jp/M3/20110414/F50942/2404/1", 82.96)</f>
        <v>82.96</v>
      </c>
      <c r="E12128" s="2">
        <v>63.61</v>
      </c>
      <c r="F12128" s="2">
        <v>2</v>
      </c>
      <c r="G12128" s="2" t="s">
        <v>11</v>
      </c>
    </row>
    <row r="12129" spans="1:8" x14ac:dyDescent="0.2">
      <c r="A12129" s="2" t="s">
        <v>3383</v>
      </c>
      <c r="B12129" s="2" t="s">
        <v>2494</v>
      </c>
      <c r="C12129" s="2">
        <v>911.46169999999995</v>
      </c>
      <c r="D12129" s="2">
        <f>HYPERLINK("http://mcb-m6.bioreg.kyushu-u.ac.jp/M3/20110414/F50942/2953/1", 84.31)</f>
        <v>84.31</v>
      </c>
      <c r="E12129" s="2">
        <v>61.79</v>
      </c>
      <c r="F12129" s="2">
        <v>2</v>
      </c>
      <c r="G12129" s="2" t="s">
        <v>11</v>
      </c>
      <c r="H12129" s="2" t="s">
        <v>4896</v>
      </c>
    </row>
    <row r="12130" spans="1:8" x14ac:dyDescent="0.2">
      <c r="A12130" s="2" t="s">
        <v>3383</v>
      </c>
      <c r="B12130" s="2" t="s">
        <v>368</v>
      </c>
      <c r="C12130" s="2">
        <v>825.38819999999998</v>
      </c>
      <c r="D12130" s="2">
        <f>HYPERLINK("http://mcb-m6.bioreg.kyushu-u.ac.jp/M3/20110414/F50943/2365/1", 85.62)</f>
        <v>85.62</v>
      </c>
      <c r="E12130" s="2">
        <v>71.47</v>
      </c>
      <c r="F12130" s="2">
        <v>2</v>
      </c>
      <c r="G12130" s="2" t="s">
        <v>11</v>
      </c>
    </row>
    <row r="12131" spans="1:8" x14ac:dyDescent="0.2">
      <c r="A12131" s="2" t="s">
        <v>3383</v>
      </c>
      <c r="B12131" s="2" t="s">
        <v>368</v>
      </c>
      <c r="C12131" s="2">
        <v>825.13019999999995</v>
      </c>
      <c r="D12131" s="2">
        <f>HYPERLINK("http://mcb-m6.bioreg.kyushu-u.ac.jp/M3/20110414/F50956/2527/1", 95.59)</f>
        <v>95.59</v>
      </c>
      <c r="E12131" s="2">
        <v>73.010000000000005</v>
      </c>
      <c r="F12131" s="2">
        <v>2</v>
      </c>
      <c r="G12131" s="2" t="s">
        <v>11</v>
      </c>
    </row>
    <row r="12132" spans="1:8" x14ac:dyDescent="0.2">
      <c r="A12132" s="2" t="s">
        <v>3383</v>
      </c>
      <c r="B12132" s="2" t="s">
        <v>368</v>
      </c>
      <c r="C12132" s="2">
        <v>825.30269999999996</v>
      </c>
      <c r="D12132" s="2">
        <f>HYPERLINK("http://mcb-m6.bioreg.kyushu-u.ac.jp/M3/20110414/F50942/2400/1", 97.13)</f>
        <v>97.13</v>
      </c>
      <c r="E12132" s="2">
        <v>86.12</v>
      </c>
      <c r="F12132" s="2">
        <v>2</v>
      </c>
      <c r="G12132" s="2" t="s">
        <v>11</v>
      </c>
    </row>
    <row r="12133" spans="1:8" x14ac:dyDescent="0.2">
      <c r="A12133" s="2" t="s">
        <v>3383</v>
      </c>
      <c r="B12133" s="2" t="s">
        <v>2494</v>
      </c>
      <c r="C12133" s="2">
        <v>911.26170000000002</v>
      </c>
      <c r="D12133" s="2">
        <f>HYPERLINK("http://mcb-m6.bioreg.kyushu-u.ac.jp/M3/20110414/F50956/3068/1", 99.42)</f>
        <v>99.42</v>
      </c>
      <c r="E12133" s="2">
        <v>80.88</v>
      </c>
      <c r="F12133" s="2">
        <v>2</v>
      </c>
      <c r="G12133" s="2" t="s">
        <v>11</v>
      </c>
      <c r="H12133" s="2" t="s">
        <v>4896</v>
      </c>
    </row>
    <row r="12134" spans="1:8" x14ac:dyDescent="0.2">
      <c r="A12134" s="2" t="s">
        <v>3383</v>
      </c>
      <c r="B12134" s="2" t="s">
        <v>381</v>
      </c>
      <c r="C12134" s="2">
        <v>714.25620000000004</v>
      </c>
      <c r="D12134" s="2">
        <f>HYPERLINK("http://mcb-m6.bioreg.kyushu-u.ac.jp/M3/20110414/F50958/1799/1", 35.6)</f>
        <v>35.6</v>
      </c>
      <c r="E12134" s="2">
        <v>22.53</v>
      </c>
      <c r="F12134" s="2">
        <v>2</v>
      </c>
      <c r="G12134" s="2" t="s">
        <v>12</v>
      </c>
      <c r="H12134" s="2" t="s">
        <v>4927</v>
      </c>
    </row>
    <row r="12135" spans="1:8" x14ac:dyDescent="0.2">
      <c r="A12135" s="2" t="s">
        <v>3383</v>
      </c>
      <c r="B12135" s="2" t="s">
        <v>381</v>
      </c>
      <c r="C12135" s="2">
        <v>705.72770000000003</v>
      </c>
      <c r="D12135" s="2">
        <f>HYPERLINK("http://mcb-m6.bioreg.kyushu-u.ac.jp/M3/20110414/F50958/1745/1", 54.24)</f>
        <v>54.24</v>
      </c>
      <c r="E12135" s="2">
        <v>38.700000000000003</v>
      </c>
      <c r="F12135" s="2">
        <v>2</v>
      </c>
      <c r="G12135" s="2" t="s">
        <v>12</v>
      </c>
    </row>
    <row r="12136" spans="1:8" x14ac:dyDescent="0.2">
      <c r="A12136" s="2" t="s">
        <v>3383</v>
      </c>
      <c r="B12136" s="2" t="s">
        <v>368</v>
      </c>
      <c r="C12136" s="2">
        <v>833.26260000000002</v>
      </c>
      <c r="D12136" s="2">
        <f>HYPERLINK("http://mcb-m6.bioreg.kyushu-u.ac.jp/M3/20110414/F50948/2639/1", 76.35)</f>
        <v>76.349999999999994</v>
      </c>
      <c r="E12136" s="2">
        <v>62.98</v>
      </c>
      <c r="F12136" s="2">
        <v>2</v>
      </c>
      <c r="G12136" s="2" t="s">
        <v>12</v>
      </c>
      <c r="H12136" s="2" t="s">
        <v>4896</v>
      </c>
    </row>
    <row r="12137" spans="1:8" x14ac:dyDescent="0.2">
      <c r="A12137" s="2" t="s">
        <v>3383</v>
      </c>
      <c r="B12137" s="2" t="s">
        <v>368</v>
      </c>
      <c r="C12137" s="2">
        <v>825.21669999999995</v>
      </c>
      <c r="D12137" s="2">
        <f>HYPERLINK("http://mcb-m6.bioreg.kyushu-u.ac.jp/M3/20110414/F50948/2595/1", 85.34)</f>
        <v>85.34</v>
      </c>
      <c r="E12137" s="2">
        <v>65.819999999999993</v>
      </c>
      <c r="F12137" s="2">
        <v>2</v>
      </c>
      <c r="G12137" s="2" t="s">
        <v>12</v>
      </c>
    </row>
    <row r="12138" spans="1:8" x14ac:dyDescent="0.2">
      <c r="A12138" s="2" t="s">
        <v>3383</v>
      </c>
      <c r="B12138" s="2" t="s">
        <v>368</v>
      </c>
      <c r="C12138" s="2">
        <v>825.71720000000005</v>
      </c>
      <c r="D12138" s="2">
        <f>HYPERLINK("http://mcb-m6.bioreg.kyushu-u.ac.jp/M3/20110414/F50958/2602/1", 88.63)</f>
        <v>88.63</v>
      </c>
      <c r="E12138" s="2">
        <v>66.930000000000007</v>
      </c>
      <c r="F12138" s="2">
        <v>2</v>
      </c>
      <c r="G12138" s="2" t="s">
        <v>12</v>
      </c>
    </row>
    <row r="12139" spans="1:8" x14ac:dyDescent="0.2">
      <c r="A12139" s="2" t="s">
        <v>3383</v>
      </c>
      <c r="B12139" s="2" t="s">
        <v>368</v>
      </c>
      <c r="C12139" s="2">
        <v>825.1952</v>
      </c>
      <c r="D12139" s="2">
        <f>HYPERLINK("http://mcb-m6.bioreg.kyushu-u.ac.jp/M3/20110414/F50958/2598/1", 96.15)</f>
        <v>96.15</v>
      </c>
      <c r="E12139" s="2">
        <v>81.510000000000005</v>
      </c>
      <c r="F12139" s="2">
        <v>2</v>
      </c>
      <c r="G12139" s="2" t="s">
        <v>12</v>
      </c>
    </row>
    <row r="12140" spans="1:8" x14ac:dyDescent="0.2">
      <c r="A12140" s="2" t="s">
        <v>3383</v>
      </c>
      <c r="B12140" s="2" t="s">
        <v>368</v>
      </c>
      <c r="C12140" s="2">
        <v>833.69870000000003</v>
      </c>
      <c r="D12140" s="2">
        <f>HYPERLINK("http://mcb-m6.bioreg.kyushu-u.ac.jp/M3/20110414/F50958/2667/1", 96.37)</f>
        <v>96.37</v>
      </c>
      <c r="E12140" s="2">
        <v>79.599999999999994</v>
      </c>
      <c r="F12140" s="2">
        <v>2</v>
      </c>
      <c r="G12140" s="2" t="s">
        <v>12</v>
      </c>
      <c r="H12140" s="2" t="s">
        <v>4896</v>
      </c>
    </row>
    <row r="12141" spans="1:8" x14ac:dyDescent="0.2">
      <c r="A12141" s="2" t="s">
        <v>3383</v>
      </c>
      <c r="B12141" s="2" t="s">
        <v>2494</v>
      </c>
      <c r="C12141" s="2">
        <v>911.2672</v>
      </c>
      <c r="D12141" s="2">
        <f>HYPERLINK("http://mcb-m6.bioreg.kyushu-u.ac.jp/M3/20110414/F50958/3163/1", 97.22)</f>
        <v>97.22</v>
      </c>
      <c r="E12141" s="2">
        <v>66.680000000000007</v>
      </c>
      <c r="F12141" s="2">
        <v>2</v>
      </c>
      <c r="G12141" s="2" t="s">
        <v>12</v>
      </c>
      <c r="H12141" s="2" t="s">
        <v>4896</v>
      </c>
    </row>
    <row r="12142" spans="1:8" x14ac:dyDescent="0.2">
      <c r="A12142" s="2" t="s">
        <v>3383</v>
      </c>
      <c r="B12142" s="2" t="s">
        <v>368</v>
      </c>
      <c r="C12142" s="2">
        <v>833.11320000000001</v>
      </c>
      <c r="D12142" s="2">
        <f>HYPERLINK("http://mcb-m6.bioreg.kyushu-u.ac.jp/M3/20110414/F50958/2659/1", 105.1)</f>
        <v>105.1</v>
      </c>
      <c r="E12142" s="2">
        <v>83.03</v>
      </c>
      <c r="F12142" s="2">
        <v>2</v>
      </c>
      <c r="G12142" s="2" t="s">
        <v>12</v>
      </c>
      <c r="H12142" s="2" t="s">
        <v>4896</v>
      </c>
    </row>
    <row r="12143" spans="1:8" x14ac:dyDescent="0.2">
      <c r="A12143" s="2" t="s">
        <v>3383</v>
      </c>
      <c r="B12143" s="2" t="s">
        <v>368</v>
      </c>
      <c r="C12143" s="2">
        <v>825.73019999999997</v>
      </c>
      <c r="D12143" s="2">
        <f>HYPERLINK("http://mcb-m6.bioreg.kyushu-u.ac.jp/M3/20110502/F51168/2360/1", 55.77)</f>
        <v>55.77</v>
      </c>
      <c r="E12143" s="2">
        <v>38.74</v>
      </c>
      <c r="F12143" s="2">
        <v>2</v>
      </c>
      <c r="G12143" s="2" t="s">
        <v>13</v>
      </c>
    </row>
    <row r="12144" spans="1:8" x14ac:dyDescent="0.2">
      <c r="A12144" s="2" t="s">
        <v>3383</v>
      </c>
      <c r="B12144" s="2" t="s">
        <v>1067</v>
      </c>
      <c r="C12144" s="2">
        <v>628.00369999999998</v>
      </c>
      <c r="D12144" s="2">
        <f>HYPERLINK("http://mcb-m6.bioreg.kyushu-u.ac.jp/M3/20110502/F51188/1362/1", 68.13)</f>
        <v>68.13</v>
      </c>
      <c r="E12144" s="2">
        <v>43.51</v>
      </c>
      <c r="F12144" s="2">
        <v>2</v>
      </c>
      <c r="G12144" s="2" t="s">
        <v>13</v>
      </c>
    </row>
    <row r="12145" spans="1:8" x14ac:dyDescent="0.2">
      <c r="A12145" s="2" t="s">
        <v>3383</v>
      </c>
      <c r="B12145" s="2" t="s">
        <v>381</v>
      </c>
      <c r="C12145" s="2">
        <v>706.03020000000004</v>
      </c>
      <c r="D12145" s="2">
        <f>HYPERLINK("http://mcb-m6.bioreg.kyushu-u.ac.jp/M3/20110502/F51188/1665/1", 68.7)</f>
        <v>68.7</v>
      </c>
      <c r="E12145" s="2">
        <v>47.21</v>
      </c>
      <c r="F12145" s="2">
        <v>2</v>
      </c>
      <c r="G12145" s="2" t="s">
        <v>13</v>
      </c>
    </row>
    <row r="12146" spans="1:8" x14ac:dyDescent="0.2">
      <c r="A12146" s="2" t="s">
        <v>3383</v>
      </c>
      <c r="B12146" s="2" t="s">
        <v>368</v>
      </c>
      <c r="C12146" s="2">
        <v>833.5797</v>
      </c>
      <c r="D12146" s="2">
        <f>HYPERLINK("http://mcb-m6.bioreg.kyushu-u.ac.jp/M3/20110502/F51189/2226/1", 72.58)</f>
        <v>72.58</v>
      </c>
      <c r="E12146" s="2">
        <v>60.82</v>
      </c>
      <c r="F12146" s="2">
        <v>2</v>
      </c>
      <c r="G12146" s="2" t="s">
        <v>13</v>
      </c>
      <c r="H12146" s="2" t="s">
        <v>4896</v>
      </c>
    </row>
    <row r="12147" spans="1:8" x14ac:dyDescent="0.2">
      <c r="A12147" s="2" t="s">
        <v>3383</v>
      </c>
      <c r="B12147" s="2" t="s">
        <v>368</v>
      </c>
      <c r="C12147" s="2">
        <v>825.96370000000002</v>
      </c>
      <c r="D12147" s="2">
        <f>HYPERLINK("http://mcb-m6.bioreg.kyushu-u.ac.jp/M3/20110502/F51188/2229/1", 77.31)</f>
        <v>77.31</v>
      </c>
      <c r="E12147" s="2">
        <v>57.47</v>
      </c>
      <c r="F12147" s="2">
        <v>2</v>
      </c>
      <c r="G12147" s="2" t="s">
        <v>13</v>
      </c>
    </row>
    <row r="12148" spans="1:8" x14ac:dyDescent="0.2">
      <c r="A12148" s="2" t="s">
        <v>3383</v>
      </c>
      <c r="B12148" s="2" t="s">
        <v>368</v>
      </c>
      <c r="C12148" s="2">
        <v>825.77009999999996</v>
      </c>
      <c r="D12148" s="2">
        <f>HYPERLINK("http://mcb-m6.bioreg.kyushu-u.ac.jp/M3/20110502/F51172/2712/1", 81.23)</f>
        <v>81.23</v>
      </c>
      <c r="E12148" s="2">
        <v>66.61</v>
      </c>
      <c r="F12148" s="2">
        <v>2</v>
      </c>
      <c r="G12148" s="2" t="s">
        <v>13</v>
      </c>
    </row>
    <row r="12149" spans="1:8" x14ac:dyDescent="0.2">
      <c r="A12149" s="2" t="s">
        <v>3383</v>
      </c>
      <c r="B12149" s="2" t="s">
        <v>368</v>
      </c>
      <c r="C12149" s="2">
        <v>833.61159999999995</v>
      </c>
      <c r="D12149" s="2">
        <f>HYPERLINK("http://mcb-m6.bioreg.kyushu-u.ac.jp/M3/20110502/F51188/2254/1", 81.5)</f>
        <v>81.5</v>
      </c>
      <c r="E12149" s="2">
        <v>65.03</v>
      </c>
      <c r="F12149" s="2">
        <v>2</v>
      </c>
      <c r="G12149" s="2" t="s">
        <v>13</v>
      </c>
      <c r="H12149" s="2" t="s">
        <v>4896</v>
      </c>
    </row>
    <row r="12150" spans="1:8" x14ac:dyDescent="0.2">
      <c r="A12150" s="2" t="s">
        <v>3383</v>
      </c>
      <c r="B12150" s="2" t="s">
        <v>368</v>
      </c>
      <c r="C12150" s="2">
        <v>833.65970000000004</v>
      </c>
      <c r="D12150" s="2">
        <f>HYPERLINK("http://mcb-m6.bioreg.kyushu-u.ac.jp/M3/20110502/F51172/2776/1", 109.51)</f>
        <v>109.51</v>
      </c>
      <c r="E12150" s="2">
        <v>90.01</v>
      </c>
      <c r="F12150" s="2">
        <v>2</v>
      </c>
      <c r="G12150" s="2" t="s">
        <v>13</v>
      </c>
      <c r="H12150" s="2" t="s">
        <v>4896</v>
      </c>
    </row>
    <row r="12151" spans="1:8" x14ac:dyDescent="0.2">
      <c r="A12151" s="2" t="s">
        <v>3383</v>
      </c>
      <c r="B12151" s="2" t="s">
        <v>381</v>
      </c>
      <c r="C12151" s="2">
        <v>705.9452</v>
      </c>
      <c r="D12151" s="2">
        <f>HYPERLINK("http://mcb-m6.bioreg.kyushu-u.ac.jp/M3/20110502/F51192/1591/1", 52.97)</f>
        <v>52.97</v>
      </c>
      <c r="E12151" s="2">
        <v>34.590000000000003</v>
      </c>
      <c r="F12151" s="2">
        <v>2</v>
      </c>
      <c r="G12151" s="2" t="s">
        <v>14</v>
      </c>
    </row>
    <row r="12152" spans="1:8" x14ac:dyDescent="0.2">
      <c r="A12152" s="2" t="s">
        <v>3383</v>
      </c>
      <c r="B12152" s="2" t="s">
        <v>368</v>
      </c>
      <c r="C12152" s="2">
        <v>833.33370000000002</v>
      </c>
      <c r="D12152" s="2">
        <f>HYPERLINK("http://mcb-m6.bioreg.kyushu-u.ac.jp/M3/20110502/F51192/2301/1", 56.5)</f>
        <v>56.5</v>
      </c>
      <c r="E12152" s="2">
        <v>45.92</v>
      </c>
      <c r="F12152" s="2">
        <v>2</v>
      </c>
      <c r="G12152" s="2" t="s">
        <v>14</v>
      </c>
      <c r="H12152" s="2" t="s">
        <v>4896</v>
      </c>
    </row>
    <row r="12153" spans="1:8" x14ac:dyDescent="0.2">
      <c r="A12153" s="2" t="s">
        <v>3383</v>
      </c>
      <c r="B12153" s="2" t="s">
        <v>2494</v>
      </c>
      <c r="C12153" s="2">
        <v>911.68269999999995</v>
      </c>
      <c r="D12153" s="2">
        <f>HYPERLINK("http://mcb-m6.bioreg.kyushu-u.ac.jp/M3/20110502/F51192/2652/1", 59.18)</f>
        <v>59.18</v>
      </c>
      <c r="E12153" s="2">
        <v>45.36</v>
      </c>
      <c r="F12153" s="2">
        <v>2</v>
      </c>
      <c r="G12153" s="2" t="s">
        <v>14</v>
      </c>
      <c r="H12153" s="2" t="s">
        <v>4896</v>
      </c>
    </row>
    <row r="12154" spans="1:8" x14ac:dyDescent="0.2">
      <c r="A12154" s="2" t="s">
        <v>3383</v>
      </c>
      <c r="B12154" s="2" t="s">
        <v>368</v>
      </c>
      <c r="C12154" s="2">
        <v>833.79970000000003</v>
      </c>
      <c r="D12154" s="2">
        <f>HYPERLINK("http://mcb-m6.bioreg.kyushu-u.ac.jp/M3/20110502/F51192/2303/1", 66.71)</f>
        <v>66.709999999999994</v>
      </c>
      <c r="E12154" s="2">
        <v>54.51</v>
      </c>
      <c r="F12154" s="2">
        <v>2</v>
      </c>
      <c r="G12154" s="2" t="s">
        <v>14</v>
      </c>
      <c r="H12154" s="2" t="s">
        <v>4896</v>
      </c>
    </row>
    <row r="12155" spans="1:8" x14ac:dyDescent="0.2">
      <c r="A12155" s="2" t="s">
        <v>3383</v>
      </c>
      <c r="B12155" s="2" t="s">
        <v>1067</v>
      </c>
      <c r="C12155" s="2">
        <v>636.02719999999999</v>
      </c>
      <c r="D12155" s="2">
        <f>HYPERLINK("http://mcb-m6.bioreg.kyushu-u.ac.jp/M3/20110502/F51192/1255/1", 67.11)</f>
        <v>67.11</v>
      </c>
      <c r="E12155" s="2">
        <v>51.25</v>
      </c>
      <c r="F12155" s="2">
        <v>2</v>
      </c>
      <c r="G12155" s="2" t="s">
        <v>14</v>
      </c>
      <c r="H12155" s="2" t="s">
        <v>4919</v>
      </c>
    </row>
    <row r="12156" spans="1:8" x14ac:dyDescent="0.2">
      <c r="A12156" s="2" t="s">
        <v>3383</v>
      </c>
      <c r="B12156" s="2" t="s">
        <v>368</v>
      </c>
      <c r="C12156" s="2">
        <v>825.95420000000001</v>
      </c>
      <c r="D12156" s="2">
        <f>HYPERLINK("http://mcb-m6.bioreg.kyushu-u.ac.jp/M3/20110502/F51194/2301/1", 71.88)</f>
        <v>71.88</v>
      </c>
      <c r="E12156" s="2">
        <v>57.47</v>
      </c>
      <c r="F12156" s="2">
        <v>2</v>
      </c>
      <c r="G12156" s="2" t="s">
        <v>14</v>
      </c>
    </row>
    <row r="12157" spans="1:8" x14ac:dyDescent="0.2">
      <c r="A12157" s="2" t="s">
        <v>3383</v>
      </c>
      <c r="B12157" s="2" t="s">
        <v>368</v>
      </c>
      <c r="C12157" s="2">
        <v>825.61969999999997</v>
      </c>
      <c r="D12157" s="2">
        <f>HYPERLINK("http://mcb-m6.bioreg.kyushu-u.ac.jp/M3/20110502/F51193/2345/1", 85.31)</f>
        <v>85.31</v>
      </c>
      <c r="E12157" s="2">
        <v>66.209999999999994</v>
      </c>
      <c r="F12157" s="2">
        <v>2</v>
      </c>
      <c r="G12157" s="2" t="s">
        <v>14</v>
      </c>
    </row>
    <row r="12158" spans="1:8" x14ac:dyDescent="0.2">
      <c r="A12158" s="2" t="s">
        <v>3383</v>
      </c>
      <c r="B12158" s="2" t="s">
        <v>368</v>
      </c>
      <c r="C12158" s="2">
        <v>833.60670000000005</v>
      </c>
      <c r="D12158" s="2">
        <f>HYPERLINK("http://mcb-m6.bioreg.kyushu-u.ac.jp/M3/20110502/F51193/2389/1", 88.61)</f>
        <v>88.61</v>
      </c>
      <c r="E12158" s="2">
        <v>67.150000000000006</v>
      </c>
      <c r="F12158" s="2">
        <v>2</v>
      </c>
      <c r="G12158" s="2" t="s">
        <v>14</v>
      </c>
      <c r="H12158" s="2" t="s">
        <v>4896</v>
      </c>
    </row>
    <row r="12159" spans="1:8" x14ac:dyDescent="0.2">
      <c r="A12159" s="2" t="s">
        <v>3383</v>
      </c>
      <c r="B12159" s="2" t="s">
        <v>368</v>
      </c>
      <c r="C12159" s="2">
        <v>825.4692</v>
      </c>
      <c r="D12159" s="2">
        <f>HYPERLINK("http://mcb-m6.bioreg.kyushu-u.ac.jp/M3/20110502/F51192/2260/1", 121.49)</f>
        <v>121.49</v>
      </c>
      <c r="E12159" s="2">
        <v>100.91</v>
      </c>
      <c r="F12159" s="2">
        <v>2</v>
      </c>
      <c r="G12159" s="2" t="s">
        <v>14</v>
      </c>
    </row>
    <row r="12160" spans="1:8" x14ac:dyDescent="0.2">
      <c r="A12160" s="2" t="s">
        <v>3325</v>
      </c>
      <c r="B12160" s="2" t="s">
        <v>111</v>
      </c>
      <c r="C12160" s="2">
        <v>918.94269999999995</v>
      </c>
      <c r="D12160" s="2">
        <f>HYPERLINK("http://mcb-m6.bioreg.kyushu-u.ac.jp/M3/20110411/F50915/2930/1", 36.2)</f>
        <v>36.200000000000003</v>
      </c>
      <c r="E12160" s="2">
        <v>31.44</v>
      </c>
      <c r="F12160" s="2">
        <v>2</v>
      </c>
      <c r="G12160" s="2" t="s">
        <v>9</v>
      </c>
    </row>
    <row r="12161" spans="1:8" x14ac:dyDescent="0.2">
      <c r="A12161" s="2" t="s">
        <v>3325</v>
      </c>
      <c r="B12161" s="2" t="s">
        <v>237</v>
      </c>
      <c r="C12161" s="2">
        <v>600.0942</v>
      </c>
      <c r="D12161" s="2">
        <f>HYPERLINK("http://mcb-m6.bioreg.kyushu-u.ac.jp/M3/20110411/F50889/1860/1", 38.3)</f>
        <v>38.299999999999997</v>
      </c>
      <c r="E12161" s="2">
        <v>20.58</v>
      </c>
      <c r="F12161" s="2">
        <v>2</v>
      </c>
      <c r="G12161" s="2" t="s">
        <v>9</v>
      </c>
    </row>
    <row r="12162" spans="1:8" x14ac:dyDescent="0.2">
      <c r="A12162" s="2" t="s">
        <v>3325</v>
      </c>
      <c r="B12162" s="2" t="s">
        <v>254</v>
      </c>
      <c r="C12162" s="2">
        <v>993.55399999999997</v>
      </c>
      <c r="D12162" s="2">
        <f>HYPERLINK("http://mcb-m6.bioreg.kyushu-u.ac.jp/M3/20110411/F50915/740/1", 38.53)</f>
        <v>38.53</v>
      </c>
      <c r="E12162" s="2">
        <v>14.66</v>
      </c>
      <c r="F12162" s="2">
        <v>1</v>
      </c>
      <c r="G12162" s="2" t="s">
        <v>9</v>
      </c>
    </row>
    <row r="12163" spans="1:8" x14ac:dyDescent="0.2">
      <c r="A12163" s="2" t="s">
        <v>3325</v>
      </c>
      <c r="B12163" s="2" t="s">
        <v>549</v>
      </c>
      <c r="C12163" s="2">
        <v>599.41719999999998</v>
      </c>
      <c r="D12163" s="2">
        <f>HYPERLINK("http://mcb-m6.bioreg.kyushu-u.ac.jp/M3/20110411/F50915/1167/1", 44.6)</f>
        <v>44.6</v>
      </c>
      <c r="E12163" s="2">
        <v>26.29</v>
      </c>
      <c r="F12163" s="2">
        <v>2</v>
      </c>
      <c r="G12163" s="2" t="s">
        <v>9</v>
      </c>
    </row>
    <row r="12164" spans="1:8" x14ac:dyDescent="0.2">
      <c r="A12164" s="2" t="s">
        <v>3325</v>
      </c>
      <c r="B12164" s="2" t="s">
        <v>237</v>
      </c>
      <c r="C12164" s="2">
        <v>600.3922</v>
      </c>
      <c r="D12164" s="2">
        <f>HYPERLINK("http://mcb-m6.bioreg.kyushu-u.ac.jp/M3/20110411/F50916/1175/1", 45.65)</f>
        <v>45.65</v>
      </c>
      <c r="E12164" s="2">
        <v>18.7</v>
      </c>
      <c r="F12164" s="2">
        <v>2</v>
      </c>
      <c r="G12164" s="2" t="s">
        <v>9</v>
      </c>
    </row>
    <row r="12165" spans="1:8" x14ac:dyDescent="0.2">
      <c r="A12165" s="2" t="s">
        <v>3325</v>
      </c>
      <c r="B12165" s="2" t="s">
        <v>625</v>
      </c>
      <c r="C12165" s="2">
        <v>495.48309999999998</v>
      </c>
      <c r="D12165" s="2">
        <f>HYPERLINK("http://mcb-m6.bioreg.kyushu-u.ac.jp/M3/20110411/F50904/1120/1", 46.52)</f>
        <v>46.52</v>
      </c>
      <c r="E12165" s="2">
        <v>5.89</v>
      </c>
      <c r="F12165" s="2">
        <v>2</v>
      </c>
      <c r="G12165" s="2" t="s">
        <v>9</v>
      </c>
    </row>
    <row r="12166" spans="1:8" x14ac:dyDescent="0.2">
      <c r="A12166" s="2" t="s">
        <v>3325</v>
      </c>
      <c r="B12166" s="2" t="s">
        <v>650</v>
      </c>
      <c r="C12166" s="2">
        <v>1252.5619999999999</v>
      </c>
      <c r="D12166" s="2">
        <f>HYPERLINK("http://mcb-m6.bioreg.kyushu-u.ac.jp/M3/20110411/F50915/1277/1", 47.23)</f>
        <v>47.23</v>
      </c>
      <c r="E12166" s="2">
        <v>16.53</v>
      </c>
      <c r="F12166" s="2">
        <v>1</v>
      </c>
      <c r="G12166" s="2" t="s">
        <v>9</v>
      </c>
    </row>
    <row r="12167" spans="1:8" x14ac:dyDescent="0.2">
      <c r="A12167" s="2" t="s">
        <v>3325</v>
      </c>
      <c r="B12167" s="2" t="s">
        <v>650</v>
      </c>
      <c r="C12167" s="2">
        <v>626.96119999999996</v>
      </c>
      <c r="D12167" s="2">
        <f>HYPERLINK("http://mcb-m6.bioreg.kyushu-u.ac.jp/M3/20110411/F50916/1295/1", 52.17)</f>
        <v>52.17</v>
      </c>
      <c r="E12167" s="2">
        <v>28.18</v>
      </c>
      <c r="F12167" s="2">
        <v>2</v>
      </c>
      <c r="G12167" s="2" t="s">
        <v>9</v>
      </c>
    </row>
    <row r="12168" spans="1:8" x14ac:dyDescent="0.2">
      <c r="A12168" s="2" t="s">
        <v>3325</v>
      </c>
      <c r="B12168" s="2" t="s">
        <v>980</v>
      </c>
      <c r="C12168" s="2">
        <v>976.66560000000004</v>
      </c>
      <c r="D12168" s="2">
        <f>HYPERLINK("http://mcb-m6.bioreg.kyushu-u.ac.jp/M3/20110411/F50915/3188/1", 57.75)</f>
        <v>57.75</v>
      </c>
      <c r="E12168" s="2">
        <v>51.65</v>
      </c>
      <c r="F12168" s="2">
        <v>2</v>
      </c>
      <c r="G12168" s="2" t="s">
        <v>9</v>
      </c>
    </row>
    <row r="12169" spans="1:8" x14ac:dyDescent="0.2">
      <c r="A12169" s="2" t="s">
        <v>3325</v>
      </c>
      <c r="B12169" s="2" t="s">
        <v>1020</v>
      </c>
      <c r="C12169" s="2">
        <v>652.44169999999997</v>
      </c>
      <c r="D12169" s="2">
        <f>HYPERLINK("http://mcb-m6.bioreg.kyushu-u.ac.jp/M3/20110411/F50911/1620/1", 59.14)</f>
        <v>59.14</v>
      </c>
      <c r="E12169" s="2">
        <v>34.57</v>
      </c>
      <c r="F12169" s="2">
        <v>2</v>
      </c>
      <c r="G12169" s="2" t="s">
        <v>9</v>
      </c>
    </row>
    <row r="12170" spans="1:8" x14ac:dyDescent="0.2">
      <c r="A12170" s="2" t="s">
        <v>3325</v>
      </c>
      <c r="B12170" s="2" t="s">
        <v>1043</v>
      </c>
      <c r="C12170" s="2">
        <v>741.48519999999996</v>
      </c>
      <c r="D12170" s="2">
        <f>HYPERLINK("http://mcb-m6.bioreg.kyushu-u.ac.jp/M3/20110411/F50915/1895/1", 60.15)</f>
        <v>60.15</v>
      </c>
      <c r="E12170" s="2">
        <v>44.73</v>
      </c>
      <c r="F12170" s="2">
        <v>2</v>
      </c>
      <c r="G12170" s="2" t="s">
        <v>9</v>
      </c>
    </row>
    <row r="12171" spans="1:8" x14ac:dyDescent="0.2">
      <c r="A12171" s="2" t="s">
        <v>3325</v>
      </c>
      <c r="B12171" s="2" t="s">
        <v>237</v>
      </c>
      <c r="C12171" s="2">
        <v>600.65369999999996</v>
      </c>
      <c r="D12171" s="2">
        <f>HYPERLINK("http://mcb-m6.bioreg.kyushu-u.ac.jp/M3/20110411/F50889/1864/1", 62.66)</f>
        <v>62.66</v>
      </c>
      <c r="E12171" s="2">
        <v>25.35</v>
      </c>
      <c r="F12171" s="2">
        <v>2</v>
      </c>
      <c r="G12171" s="2" t="s">
        <v>9</v>
      </c>
    </row>
    <row r="12172" spans="1:8" x14ac:dyDescent="0.2">
      <c r="A12172" s="2" t="s">
        <v>3325</v>
      </c>
      <c r="B12172" s="2" t="s">
        <v>625</v>
      </c>
      <c r="C12172" s="2">
        <v>495.39659999999998</v>
      </c>
      <c r="D12172" s="2">
        <f>HYPERLINK("http://mcb-m6.bioreg.kyushu-u.ac.jp/M3/20110411/F50915/733/1", 63.96)</f>
        <v>63.96</v>
      </c>
      <c r="E12172" s="2">
        <v>24.51</v>
      </c>
      <c r="F12172" s="2">
        <v>2</v>
      </c>
      <c r="G12172" s="2" t="s">
        <v>9</v>
      </c>
    </row>
    <row r="12173" spans="1:8" x14ac:dyDescent="0.2">
      <c r="A12173" s="2" t="s">
        <v>3325</v>
      </c>
      <c r="B12173" s="2" t="s">
        <v>237</v>
      </c>
      <c r="C12173" s="2">
        <v>600.75459999999998</v>
      </c>
      <c r="D12173" s="2">
        <f>HYPERLINK("http://mcb-m6.bioreg.kyushu-u.ac.jp/M3/20110411/F50890/1531/1", 64.53)</f>
        <v>64.53</v>
      </c>
      <c r="E12173" s="2">
        <v>22.25</v>
      </c>
      <c r="F12173" s="2">
        <v>2</v>
      </c>
      <c r="G12173" s="2" t="s">
        <v>9</v>
      </c>
    </row>
    <row r="12174" spans="1:8" x14ac:dyDescent="0.2">
      <c r="A12174" s="2" t="s">
        <v>3325</v>
      </c>
      <c r="B12174" s="2" t="s">
        <v>1020</v>
      </c>
      <c r="C12174" s="2">
        <v>1303.5899999999999</v>
      </c>
      <c r="D12174" s="2">
        <f>HYPERLINK("http://mcb-m6.bioreg.kyushu-u.ac.jp/M3/20110411/F50915/1398/1", 64.82)</f>
        <v>64.819999999999993</v>
      </c>
      <c r="E12174" s="2">
        <v>50.45</v>
      </c>
      <c r="F12174" s="2">
        <v>1</v>
      </c>
      <c r="G12174" s="2" t="s">
        <v>9</v>
      </c>
    </row>
    <row r="12175" spans="1:8" x14ac:dyDescent="0.2">
      <c r="A12175" s="2" t="s">
        <v>3325</v>
      </c>
      <c r="B12175" s="2" t="s">
        <v>1043</v>
      </c>
      <c r="C12175" s="2">
        <v>741.76120000000003</v>
      </c>
      <c r="D12175" s="2">
        <f>HYPERLINK("http://mcb-m6.bioreg.kyushu-u.ac.jp/M3/20110411/F50905/2044/1", 65.49)</f>
        <v>65.489999999999995</v>
      </c>
      <c r="E12175" s="2">
        <v>43.15</v>
      </c>
      <c r="F12175" s="2">
        <v>2</v>
      </c>
      <c r="G12175" s="2" t="s">
        <v>9</v>
      </c>
    </row>
    <row r="12176" spans="1:8" x14ac:dyDescent="0.2">
      <c r="A12176" s="2" t="s">
        <v>3325</v>
      </c>
      <c r="B12176" s="2" t="s">
        <v>1020</v>
      </c>
      <c r="C12176" s="2">
        <v>660.41859999999997</v>
      </c>
      <c r="D12176" s="2">
        <f>HYPERLINK("http://mcb-m6.bioreg.kyushu-u.ac.jp/M3/20110411/F50915/1441/1", 66.56)</f>
        <v>66.56</v>
      </c>
      <c r="E12176" s="2">
        <v>46.75</v>
      </c>
      <c r="F12176" s="2">
        <v>2</v>
      </c>
      <c r="G12176" s="2" t="s">
        <v>9</v>
      </c>
      <c r="H12176" s="2" t="s">
        <v>4919</v>
      </c>
    </row>
    <row r="12177" spans="1:7" x14ac:dyDescent="0.2">
      <c r="A12177" s="2" t="s">
        <v>3325</v>
      </c>
      <c r="B12177" s="2" t="s">
        <v>625</v>
      </c>
      <c r="C12177" s="2">
        <v>495.49459999999999</v>
      </c>
      <c r="D12177" s="2">
        <f>HYPERLINK("http://mcb-m6.bioreg.kyushu-u.ac.jp/M3/20110411/F50911/952/1", 69.14)</f>
        <v>69.14</v>
      </c>
      <c r="E12177" s="2">
        <v>27.41</v>
      </c>
      <c r="F12177" s="2">
        <v>2</v>
      </c>
      <c r="G12177" s="2" t="s">
        <v>9</v>
      </c>
    </row>
    <row r="12178" spans="1:7" x14ac:dyDescent="0.2">
      <c r="A12178" s="2" t="s">
        <v>3325</v>
      </c>
      <c r="B12178" s="2" t="s">
        <v>1020</v>
      </c>
      <c r="C12178" s="2">
        <v>652.35109999999997</v>
      </c>
      <c r="D12178" s="2">
        <f>HYPERLINK("http://mcb-m6.bioreg.kyushu-u.ac.jp/M3/20110411/F50915/1399/1", 74.66)</f>
        <v>74.66</v>
      </c>
      <c r="E12178" s="2">
        <v>46.54</v>
      </c>
      <c r="F12178" s="2">
        <v>2</v>
      </c>
      <c r="G12178" s="2" t="s">
        <v>9</v>
      </c>
    </row>
    <row r="12179" spans="1:7" x14ac:dyDescent="0.2">
      <c r="A12179" s="2" t="s">
        <v>3325</v>
      </c>
      <c r="B12179" s="2" t="s">
        <v>111</v>
      </c>
      <c r="C12179" s="2">
        <v>919.56569999999999</v>
      </c>
      <c r="D12179" s="2">
        <f>HYPERLINK("http://mcb-m6.bioreg.kyushu-u.ac.jp/M3/20110411/F50916/2799/1", 80.44)</f>
        <v>80.44</v>
      </c>
      <c r="E12179" s="2">
        <v>64.2</v>
      </c>
      <c r="F12179" s="2">
        <v>2</v>
      </c>
      <c r="G12179" s="2" t="s">
        <v>9</v>
      </c>
    </row>
    <row r="12180" spans="1:7" x14ac:dyDescent="0.2">
      <c r="A12180" s="2" t="s">
        <v>3325</v>
      </c>
      <c r="B12180" s="2" t="s">
        <v>1043</v>
      </c>
      <c r="C12180" s="2">
        <v>1481.818</v>
      </c>
      <c r="D12180" s="2">
        <f>HYPERLINK("http://mcb-m6.bioreg.kyushu-u.ac.jp/M3/20110411/F50915/1892/1", 81.29)</f>
        <v>81.290000000000006</v>
      </c>
      <c r="E12180" s="2">
        <v>70.099999999999994</v>
      </c>
      <c r="F12180" s="2">
        <v>1</v>
      </c>
      <c r="G12180" s="2" t="s">
        <v>9</v>
      </c>
    </row>
    <row r="12181" spans="1:7" x14ac:dyDescent="0.2">
      <c r="A12181" s="2" t="s">
        <v>3325</v>
      </c>
      <c r="B12181" s="2" t="s">
        <v>980</v>
      </c>
      <c r="C12181" s="2">
        <v>976.87919999999997</v>
      </c>
      <c r="D12181" s="2">
        <f>HYPERLINK("http://mcb-m6.bioreg.kyushu-u.ac.jp/M3/20110411/F50915/3190/1", 81.81)</f>
        <v>81.81</v>
      </c>
      <c r="E12181" s="2">
        <v>68.36</v>
      </c>
      <c r="F12181" s="2">
        <v>2</v>
      </c>
      <c r="G12181" s="2" t="s">
        <v>9</v>
      </c>
    </row>
    <row r="12182" spans="1:7" x14ac:dyDescent="0.2">
      <c r="A12182" s="2" t="s">
        <v>3325</v>
      </c>
      <c r="B12182" s="2" t="s">
        <v>1458</v>
      </c>
      <c r="C12182" s="2">
        <v>999.93119999999999</v>
      </c>
      <c r="D12182" s="2">
        <f>HYPERLINK("http://mcb-m6.bioreg.kyushu-u.ac.jp/M3/20110411/F50915/4463/1", 82.04)</f>
        <v>82.04</v>
      </c>
      <c r="E12182" s="2">
        <v>76.33</v>
      </c>
      <c r="F12182" s="2">
        <v>3</v>
      </c>
      <c r="G12182" s="2" t="s">
        <v>9</v>
      </c>
    </row>
    <row r="12183" spans="1:7" x14ac:dyDescent="0.2">
      <c r="A12183" s="2" t="s">
        <v>3325</v>
      </c>
      <c r="B12183" s="2" t="s">
        <v>1043</v>
      </c>
      <c r="C12183" s="2">
        <v>741.53970000000004</v>
      </c>
      <c r="D12183" s="2">
        <f>HYPERLINK("http://mcb-m6.bioreg.kyushu-u.ac.jp/M3/20110411/F50916/1914/1", 85.59)</f>
        <v>85.59</v>
      </c>
      <c r="E12183" s="2">
        <v>64.650000000000006</v>
      </c>
      <c r="F12183" s="2">
        <v>2</v>
      </c>
      <c r="G12183" s="2" t="s">
        <v>9</v>
      </c>
    </row>
    <row r="12184" spans="1:7" x14ac:dyDescent="0.2">
      <c r="A12184" s="2" t="s">
        <v>3325</v>
      </c>
      <c r="B12184" s="2" t="s">
        <v>650</v>
      </c>
      <c r="C12184" s="2">
        <v>626.9307</v>
      </c>
      <c r="D12184" s="2">
        <f>HYPERLINK("http://mcb-m6.bioreg.kyushu-u.ac.jp/M3/20110411/F50915/1281/1", 91.5)</f>
        <v>91.5</v>
      </c>
      <c r="E12184" s="2">
        <v>65.88</v>
      </c>
      <c r="F12184" s="2">
        <v>2</v>
      </c>
      <c r="G12184" s="2" t="s">
        <v>9</v>
      </c>
    </row>
    <row r="12185" spans="1:7" x14ac:dyDescent="0.2">
      <c r="A12185" s="2" t="s">
        <v>3325</v>
      </c>
      <c r="B12185" s="2" t="s">
        <v>1569</v>
      </c>
      <c r="C12185" s="2">
        <v>1130.7280000000001</v>
      </c>
      <c r="D12185" s="2">
        <f>HYPERLINK("http://mcb-m6.bioreg.kyushu-u.ac.jp/M3/20110411/F50911/3801/1", 93.45)</f>
        <v>93.45</v>
      </c>
      <c r="E12185" s="2">
        <v>83.47</v>
      </c>
      <c r="F12185" s="2">
        <v>2</v>
      </c>
      <c r="G12185" s="2" t="s">
        <v>9</v>
      </c>
    </row>
    <row r="12186" spans="1:7" x14ac:dyDescent="0.2">
      <c r="A12186" s="2" t="s">
        <v>3325</v>
      </c>
      <c r="B12186" s="2" t="s">
        <v>111</v>
      </c>
      <c r="C12186" s="2">
        <v>919.61109999999996</v>
      </c>
      <c r="D12186" s="2">
        <f>HYPERLINK("http://mcb-m6.bioreg.kyushu-u.ac.jp/M3/20110411/F50915/2934/1", 95.37)</f>
        <v>95.37</v>
      </c>
      <c r="E12186" s="2">
        <v>77.81</v>
      </c>
      <c r="F12186" s="2">
        <v>2</v>
      </c>
      <c r="G12186" s="2" t="s">
        <v>9</v>
      </c>
    </row>
    <row r="12187" spans="1:7" x14ac:dyDescent="0.2">
      <c r="A12187" s="2" t="s">
        <v>3325</v>
      </c>
      <c r="B12187" s="2" t="s">
        <v>111</v>
      </c>
      <c r="C12187" s="2">
        <v>920.10860000000002</v>
      </c>
      <c r="D12187" s="2">
        <f>HYPERLINK("http://mcb-m6.bioreg.kyushu-u.ac.jp/M3/20110411/F50916/2801/1", 96.1)</f>
        <v>96.1</v>
      </c>
      <c r="E12187" s="2">
        <v>48.61</v>
      </c>
      <c r="F12187" s="2">
        <v>2</v>
      </c>
      <c r="G12187" s="2" t="s">
        <v>9</v>
      </c>
    </row>
    <row r="12188" spans="1:7" x14ac:dyDescent="0.2">
      <c r="A12188" s="2" t="s">
        <v>3325</v>
      </c>
      <c r="B12188" s="2" t="s">
        <v>1569</v>
      </c>
      <c r="C12188" s="2">
        <v>1130.653</v>
      </c>
      <c r="D12188" s="2">
        <f>HYPERLINK("http://mcb-m6.bioreg.kyushu-u.ac.jp/M3/20110411/F50916/3534/1", 108.64)</f>
        <v>108.64</v>
      </c>
      <c r="E12188" s="2">
        <v>101.68</v>
      </c>
      <c r="F12188" s="2">
        <v>2</v>
      </c>
      <c r="G12188" s="2" t="s">
        <v>9</v>
      </c>
    </row>
    <row r="12189" spans="1:7" x14ac:dyDescent="0.2">
      <c r="A12189" s="2" t="s">
        <v>3325</v>
      </c>
      <c r="B12189" s="2" t="s">
        <v>1569</v>
      </c>
      <c r="C12189" s="2">
        <v>1130.4680000000001</v>
      </c>
      <c r="D12189" s="2">
        <f>HYPERLINK("http://mcb-m6.bioreg.kyushu-u.ac.jp/M3/20110411/F50915/3720/1", 108.67)</f>
        <v>108.67</v>
      </c>
      <c r="E12189" s="2">
        <v>98.8</v>
      </c>
      <c r="F12189" s="2">
        <v>2</v>
      </c>
      <c r="G12189" s="2" t="s">
        <v>9</v>
      </c>
    </row>
    <row r="12190" spans="1:7" x14ac:dyDescent="0.2">
      <c r="A12190" s="2" t="s">
        <v>3325</v>
      </c>
      <c r="B12190" s="2" t="s">
        <v>1569</v>
      </c>
      <c r="C12190" s="2">
        <v>1131.0219999999999</v>
      </c>
      <c r="D12190" s="2">
        <f>HYPERLINK("http://mcb-m6.bioreg.kyushu-u.ac.jp/M3/20110411/F50915/3722/1", 119.62)</f>
        <v>119.62</v>
      </c>
      <c r="E12190" s="2">
        <v>109.7</v>
      </c>
      <c r="F12190" s="2">
        <v>2</v>
      </c>
      <c r="G12190" s="2" t="s">
        <v>9</v>
      </c>
    </row>
    <row r="12191" spans="1:7" x14ac:dyDescent="0.2">
      <c r="A12191" s="2" t="s">
        <v>3325</v>
      </c>
      <c r="B12191" s="2" t="s">
        <v>1679</v>
      </c>
      <c r="C12191" s="2">
        <v>1258.1790000000001</v>
      </c>
      <c r="D12191" s="2">
        <f>HYPERLINK("http://mcb-m6.bioreg.kyushu-u.ac.jp/M3/20110411/F50915/4081/1", 140.17)</f>
        <v>140.16999999999999</v>
      </c>
      <c r="E12191" s="2">
        <v>133.05000000000001</v>
      </c>
      <c r="F12191" s="2">
        <v>2</v>
      </c>
      <c r="G12191" s="2" t="s">
        <v>9</v>
      </c>
    </row>
    <row r="12192" spans="1:7" x14ac:dyDescent="0.2">
      <c r="A12192" s="2" t="s">
        <v>3325</v>
      </c>
      <c r="B12192" s="2" t="s">
        <v>549</v>
      </c>
      <c r="C12192" s="2">
        <v>599.34559999999999</v>
      </c>
      <c r="D12192" s="2">
        <f>HYPERLINK("http://mcb-m6.bioreg.kyushu-u.ac.jp/M3/20110411/F50918/1155/1", 35.36)</f>
        <v>35.36</v>
      </c>
      <c r="E12192" s="2">
        <v>20.27</v>
      </c>
      <c r="F12192" s="2">
        <v>2</v>
      </c>
      <c r="G12192" s="2" t="s">
        <v>10</v>
      </c>
    </row>
    <row r="12193" spans="1:7" x14ac:dyDescent="0.2">
      <c r="A12193" s="2" t="s">
        <v>3325</v>
      </c>
      <c r="B12193" s="2" t="s">
        <v>1725</v>
      </c>
      <c r="C12193" s="2">
        <v>858.66099999999994</v>
      </c>
      <c r="D12193" s="2">
        <f>HYPERLINK("http://mcb-m6.bioreg.kyushu-u.ac.jp/M3/20110411/F50913/810/1", 36.42)</f>
        <v>36.42</v>
      </c>
      <c r="E12193" s="2">
        <v>11.8</v>
      </c>
      <c r="F12193" s="2">
        <v>1</v>
      </c>
      <c r="G12193" s="2" t="s">
        <v>10</v>
      </c>
    </row>
    <row r="12194" spans="1:7" x14ac:dyDescent="0.2">
      <c r="A12194" s="2" t="s">
        <v>3325</v>
      </c>
      <c r="B12194" s="2" t="s">
        <v>650</v>
      </c>
      <c r="C12194" s="2">
        <v>627.14319999999998</v>
      </c>
      <c r="D12194" s="2">
        <f>HYPERLINK("http://mcb-m6.bioreg.kyushu-u.ac.jp/M3/20110411/F50901/1586/1", 37.54)</f>
        <v>37.54</v>
      </c>
      <c r="E12194" s="2">
        <v>11.19</v>
      </c>
      <c r="F12194" s="2">
        <v>2</v>
      </c>
      <c r="G12194" s="2" t="s">
        <v>10</v>
      </c>
    </row>
    <row r="12195" spans="1:7" x14ac:dyDescent="0.2">
      <c r="A12195" s="2" t="s">
        <v>3325</v>
      </c>
      <c r="B12195" s="2" t="s">
        <v>625</v>
      </c>
      <c r="C12195" s="2">
        <v>989.68700000000001</v>
      </c>
      <c r="D12195" s="2">
        <f>HYPERLINK("http://mcb-m6.bioreg.kyushu-u.ac.jp/M3/20110411/F50917/770/1", 37.65)</f>
        <v>37.65</v>
      </c>
      <c r="E12195" s="2">
        <v>9.1300000000000008</v>
      </c>
      <c r="F12195" s="2">
        <v>1</v>
      </c>
      <c r="G12195" s="2" t="s">
        <v>10</v>
      </c>
    </row>
    <row r="12196" spans="1:7" x14ac:dyDescent="0.2">
      <c r="A12196" s="2" t="s">
        <v>3325</v>
      </c>
      <c r="B12196" s="2" t="s">
        <v>237</v>
      </c>
      <c r="C12196" s="2">
        <v>1199.819</v>
      </c>
      <c r="D12196" s="2">
        <f>HYPERLINK("http://mcb-m6.bioreg.kyushu-u.ac.jp/M3/20110411/F50917/1247/1", 37.78)</f>
        <v>37.78</v>
      </c>
      <c r="E12196" s="2">
        <v>20.95</v>
      </c>
      <c r="F12196" s="2">
        <v>1</v>
      </c>
      <c r="G12196" s="2" t="s">
        <v>10</v>
      </c>
    </row>
    <row r="12197" spans="1:7" x14ac:dyDescent="0.2">
      <c r="A12197" s="2" t="s">
        <v>3325</v>
      </c>
      <c r="B12197" s="2" t="s">
        <v>549</v>
      </c>
      <c r="C12197" s="2">
        <v>599.49220000000003</v>
      </c>
      <c r="D12197" s="2">
        <f>HYPERLINK("http://mcb-m6.bioreg.kyushu-u.ac.jp/M3/20110411/F50917/1240/1", 38.34)</f>
        <v>38.340000000000003</v>
      </c>
      <c r="E12197" s="2">
        <v>22.89</v>
      </c>
      <c r="F12197" s="2">
        <v>2</v>
      </c>
      <c r="G12197" s="2" t="s">
        <v>10</v>
      </c>
    </row>
    <row r="12198" spans="1:7" x14ac:dyDescent="0.2">
      <c r="A12198" s="2" t="s">
        <v>3325</v>
      </c>
      <c r="B12198" s="2" t="s">
        <v>254</v>
      </c>
      <c r="C12198" s="2">
        <v>993.48800000000006</v>
      </c>
      <c r="D12198" s="2">
        <f>HYPERLINK("http://mcb-m6.bioreg.kyushu-u.ac.jp/M3/20110411/F50917/775/1", 39.69)</f>
        <v>39.69</v>
      </c>
      <c r="E12198" s="2">
        <v>11.38</v>
      </c>
      <c r="F12198" s="2">
        <v>1</v>
      </c>
      <c r="G12198" s="2" t="s">
        <v>10</v>
      </c>
    </row>
    <row r="12199" spans="1:7" x14ac:dyDescent="0.2">
      <c r="A12199" s="2" t="s">
        <v>3325</v>
      </c>
      <c r="B12199" s="2" t="s">
        <v>549</v>
      </c>
      <c r="C12199" s="2">
        <v>1197.777</v>
      </c>
      <c r="D12199" s="2">
        <f>HYPERLINK("http://mcb-m6.bioreg.kyushu-u.ac.jp/M3/20110411/F50917/1238/1", 40.43)</f>
        <v>40.43</v>
      </c>
      <c r="E12199" s="2">
        <v>12.53</v>
      </c>
      <c r="F12199" s="2">
        <v>1</v>
      </c>
      <c r="G12199" s="2" t="s">
        <v>10</v>
      </c>
    </row>
    <row r="12200" spans="1:7" x14ac:dyDescent="0.2">
      <c r="A12200" s="2" t="s">
        <v>3325</v>
      </c>
      <c r="B12200" s="2" t="s">
        <v>1043</v>
      </c>
      <c r="C12200" s="2">
        <v>741.66309999999999</v>
      </c>
      <c r="D12200" s="2">
        <f>HYPERLINK("http://mcb-m6.bioreg.kyushu-u.ac.jp/M3/20110411/F50901/2046/1", 41.17)</f>
        <v>41.17</v>
      </c>
      <c r="E12200" s="2">
        <v>13.33</v>
      </c>
      <c r="F12200" s="2">
        <v>2</v>
      </c>
      <c r="G12200" s="2" t="s">
        <v>10</v>
      </c>
    </row>
    <row r="12201" spans="1:7" x14ac:dyDescent="0.2">
      <c r="A12201" s="2" t="s">
        <v>3325</v>
      </c>
      <c r="B12201" s="2" t="s">
        <v>1020</v>
      </c>
      <c r="C12201" s="2">
        <v>1304.6479999999999</v>
      </c>
      <c r="D12201" s="2">
        <f>HYPERLINK("http://mcb-m6.bioreg.kyushu-u.ac.jp/M3/20110411/F50917/1469/1", 45.54)</f>
        <v>45.54</v>
      </c>
      <c r="E12201" s="2">
        <v>33.229999999999997</v>
      </c>
      <c r="F12201" s="2">
        <v>1</v>
      </c>
      <c r="G12201" s="2" t="s">
        <v>10</v>
      </c>
    </row>
    <row r="12202" spans="1:7" x14ac:dyDescent="0.2">
      <c r="A12202" s="2" t="s">
        <v>3325</v>
      </c>
      <c r="B12202" s="2" t="s">
        <v>549</v>
      </c>
      <c r="C12202" s="2">
        <v>599.39919999999995</v>
      </c>
      <c r="D12202" s="2">
        <f>HYPERLINK("http://mcb-m6.bioreg.kyushu-u.ac.jp/M3/20110411/F50917/1239/1", 45.79)</f>
        <v>45.79</v>
      </c>
      <c r="E12202" s="2">
        <v>14.25</v>
      </c>
      <c r="F12202" s="2">
        <v>2</v>
      </c>
      <c r="G12202" s="2" t="s">
        <v>10</v>
      </c>
    </row>
    <row r="12203" spans="1:7" x14ac:dyDescent="0.2">
      <c r="A12203" s="2" t="s">
        <v>3325</v>
      </c>
      <c r="B12203" s="2" t="s">
        <v>237</v>
      </c>
      <c r="C12203" s="2">
        <v>1199.9269999999999</v>
      </c>
      <c r="D12203" s="2">
        <f>HYPERLINK("http://mcb-m6.bioreg.kyushu-u.ac.jp/M3/20110411/F50902/1447/1", 51.47)</f>
        <v>51.47</v>
      </c>
      <c r="E12203" s="2">
        <v>33.380000000000003</v>
      </c>
      <c r="F12203" s="2">
        <v>1</v>
      </c>
      <c r="G12203" s="2" t="s">
        <v>10</v>
      </c>
    </row>
    <row r="12204" spans="1:7" x14ac:dyDescent="0.2">
      <c r="A12204" s="2" t="s">
        <v>3325</v>
      </c>
      <c r="B12204" s="2" t="s">
        <v>650</v>
      </c>
      <c r="C12204" s="2">
        <v>627.09720000000004</v>
      </c>
      <c r="D12204" s="2">
        <f>HYPERLINK("http://mcb-m6.bioreg.kyushu-u.ac.jp/M3/20110411/F50914/1574/1", 53.32)</f>
        <v>53.32</v>
      </c>
      <c r="E12204" s="2">
        <v>22.3</v>
      </c>
      <c r="F12204" s="2">
        <v>2</v>
      </c>
      <c r="G12204" s="2" t="s">
        <v>10</v>
      </c>
    </row>
    <row r="12205" spans="1:7" x14ac:dyDescent="0.2">
      <c r="A12205" s="2" t="s">
        <v>3325</v>
      </c>
      <c r="B12205" s="2" t="s">
        <v>650</v>
      </c>
      <c r="C12205" s="2">
        <v>627.01570000000004</v>
      </c>
      <c r="D12205" s="2">
        <f>HYPERLINK("http://mcb-m6.bioreg.kyushu-u.ac.jp/M3/20110411/F50917/1359/1", 57.55)</f>
        <v>57.55</v>
      </c>
      <c r="E12205" s="2">
        <v>27.64</v>
      </c>
      <c r="F12205" s="2">
        <v>2</v>
      </c>
      <c r="G12205" s="2" t="s">
        <v>10</v>
      </c>
    </row>
    <row r="12206" spans="1:7" x14ac:dyDescent="0.2">
      <c r="A12206" s="2" t="s">
        <v>3325</v>
      </c>
      <c r="B12206" s="2" t="s">
        <v>650</v>
      </c>
      <c r="C12206" s="2">
        <v>1252.6859999999999</v>
      </c>
      <c r="D12206" s="2">
        <f>HYPERLINK("http://mcb-m6.bioreg.kyushu-u.ac.jp/M3/20110411/F50917/1358/1", 58.16)</f>
        <v>58.16</v>
      </c>
      <c r="E12206" s="2">
        <v>18.43</v>
      </c>
      <c r="F12206" s="2">
        <v>1</v>
      </c>
      <c r="G12206" s="2" t="s">
        <v>10</v>
      </c>
    </row>
    <row r="12207" spans="1:7" x14ac:dyDescent="0.2">
      <c r="A12207" s="2" t="s">
        <v>3325</v>
      </c>
      <c r="B12207" s="2" t="s">
        <v>650</v>
      </c>
      <c r="C12207" s="2">
        <v>627.19209999999998</v>
      </c>
      <c r="D12207" s="2">
        <f>HYPERLINK("http://mcb-m6.bioreg.kyushu-u.ac.jp/M3/20110411/F50902/1545/1", 58.88)</f>
        <v>58.88</v>
      </c>
      <c r="E12207" s="2">
        <v>24.95</v>
      </c>
      <c r="F12207" s="2">
        <v>2</v>
      </c>
      <c r="G12207" s="2" t="s">
        <v>10</v>
      </c>
    </row>
    <row r="12208" spans="1:7" x14ac:dyDescent="0.2">
      <c r="A12208" s="2" t="s">
        <v>3325</v>
      </c>
      <c r="B12208" s="2" t="s">
        <v>625</v>
      </c>
      <c r="C12208" s="2">
        <v>495.38010000000003</v>
      </c>
      <c r="D12208" s="2">
        <f>HYPERLINK("http://mcb-m6.bioreg.kyushu-u.ac.jp/M3/20110411/F50914/1031/1", 61.19)</f>
        <v>61.19</v>
      </c>
      <c r="E12208" s="2">
        <v>31.08</v>
      </c>
      <c r="F12208" s="2">
        <v>2</v>
      </c>
      <c r="G12208" s="2" t="s">
        <v>10</v>
      </c>
    </row>
    <row r="12209" spans="1:8" x14ac:dyDescent="0.2">
      <c r="A12209" s="2" t="s">
        <v>3325</v>
      </c>
      <c r="B12209" s="2" t="s">
        <v>625</v>
      </c>
      <c r="C12209" s="2">
        <v>495.39510000000001</v>
      </c>
      <c r="D12209" s="2">
        <f>HYPERLINK("http://mcb-m6.bioreg.kyushu-u.ac.jp/M3/20110411/F50918/795/1", 61.44)</f>
        <v>61.44</v>
      </c>
      <c r="E12209" s="2">
        <v>19.63</v>
      </c>
      <c r="F12209" s="2">
        <v>2</v>
      </c>
      <c r="G12209" s="2" t="s">
        <v>10</v>
      </c>
    </row>
    <row r="12210" spans="1:8" x14ac:dyDescent="0.2">
      <c r="A12210" s="2" t="s">
        <v>3325</v>
      </c>
      <c r="B12210" s="2" t="s">
        <v>111</v>
      </c>
      <c r="C12210" s="2">
        <v>613.49149999999997</v>
      </c>
      <c r="D12210" s="2">
        <f>HYPERLINK("http://mcb-m6.bioreg.kyushu-u.ac.jp/M3/20110411/F50917/2990/1", 62.39)</f>
        <v>62.39</v>
      </c>
      <c r="E12210" s="2">
        <v>34.799999999999997</v>
      </c>
      <c r="F12210" s="2">
        <v>3</v>
      </c>
      <c r="G12210" s="2" t="s">
        <v>10</v>
      </c>
    </row>
    <row r="12211" spans="1:8" x14ac:dyDescent="0.2">
      <c r="A12211" s="2" t="s">
        <v>3325</v>
      </c>
      <c r="B12211" s="2" t="s">
        <v>1569</v>
      </c>
      <c r="C12211" s="2">
        <v>754.15419999999995</v>
      </c>
      <c r="D12211" s="2">
        <f>HYPERLINK("http://mcb-m6.bioreg.kyushu-u.ac.jp/M3/20110411/F50917/3742/1", 63.21)</f>
        <v>63.21</v>
      </c>
      <c r="E12211" s="2">
        <v>50.21</v>
      </c>
      <c r="F12211" s="2">
        <v>3</v>
      </c>
      <c r="G12211" s="2" t="s">
        <v>10</v>
      </c>
    </row>
    <row r="12212" spans="1:8" x14ac:dyDescent="0.2">
      <c r="A12212" s="2" t="s">
        <v>3325</v>
      </c>
      <c r="B12212" s="2" t="s">
        <v>1020</v>
      </c>
      <c r="C12212" s="2">
        <v>1303.617</v>
      </c>
      <c r="D12212" s="2">
        <f>HYPERLINK("http://mcb-m6.bioreg.kyushu-u.ac.jp/M3/20110411/F50917/1467/1", 63.24)</f>
        <v>63.24</v>
      </c>
      <c r="E12212" s="2">
        <v>49.97</v>
      </c>
      <c r="F12212" s="2">
        <v>1</v>
      </c>
      <c r="G12212" s="2" t="s">
        <v>10</v>
      </c>
    </row>
    <row r="12213" spans="1:8" x14ac:dyDescent="0.2">
      <c r="A12213" s="2" t="s">
        <v>3325</v>
      </c>
      <c r="B12213" s="2" t="s">
        <v>237</v>
      </c>
      <c r="C12213" s="2">
        <v>600.73069999999996</v>
      </c>
      <c r="D12213" s="2">
        <f>HYPERLINK("http://mcb-m6.bioreg.kyushu-u.ac.jp/M3/20110411/F50901/1511/1", 64.45)</f>
        <v>64.45</v>
      </c>
      <c r="E12213" s="2">
        <v>26.98</v>
      </c>
      <c r="F12213" s="2">
        <v>2</v>
      </c>
      <c r="G12213" s="2" t="s">
        <v>10</v>
      </c>
    </row>
    <row r="12214" spans="1:8" x14ac:dyDescent="0.2">
      <c r="A12214" s="2" t="s">
        <v>3325</v>
      </c>
      <c r="B12214" s="2" t="s">
        <v>625</v>
      </c>
      <c r="C12214" s="2">
        <v>495.38760000000002</v>
      </c>
      <c r="D12214" s="2">
        <f>HYPERLINK("http://mcb-m6.bioreg.kyushu-u.ac.jp/M3/20110411/F50917/772/1", 66.71)</f>
        <v>66.709999999999994</v>
      </c>
      <c r="E12214" s="2">
        <v>29.34</v>
      </c>
      <c r="F12214" s="2">
        <v>2</v>
      </c>
      <c r="G12214" s="2" t="s">
        <v>10</v>
      </c>
    </row>
    <row r="12215" spans="1:8" x14ac:dyDescent="0.2">
      <c r="A12215" s="2" t="s">
        <v>3325</v>
      </c>
      <c r="B12215" s="2" t="s">
        <v>237</v>
      </c>
      <c r="C12215" s="2">
        <v>600.51620000000003</v>
      </c>
      <c r="D12215" s="2">
        <f>HYPERLINK("http://mcb-m6.bioreg.kyushu-u.ac.jp/M3/20110411/F50902/1450/1", 68.13)</f>
        <v>68.13</v>
      </c>
      <c r="E12215" s="2">
        <v>32.15</v>
      </c>
      <c r="F12215" s="2">
        <v>2</v>
      </c>
      <c r="G12215" s="2" t="s">
        <v>10</v>
      </c>
    </row>
    <row r="12216" spans="1:8" x14ac:dyDescent="0.2">
      <c r="A12216" s="2" t="s">
        <v>3325</v>
      </c>
      <c r="B12216" s="2" t="s">
        <v>1020</v>
      </c>
      <c r="C12216" s="2">
        <v>652.51509999999996</v>
      </c>
      <c r="D12216" s="2">
        <f>HYPERLINK("http://mcb-m6.bioreg.kyushu-u.ac.jp/M3/20110411/F50902/1645/1", 71.05)</f>
        <v>71.05</v>
      </c>
      <c r="E12216" s="2">
        <v>41.53</v>
      </c>
      <c r="F12216" s="2">
        <v>2</v>
      </c>
      <c r="G12216" s="2" t="s">
        <v>10</v>
      </c>
    </row>
    <row r="12217" spans="1:8" x14ac:dyDescent="0.2">
      <c r="A12217" s="2" t="s">
        <v>3325</v>
      </c>
      <c r="B12217" s="2" t="s">
        <v>1020</v>
      </c>
      <c r="C12217" s="2">
        <v>660.35019999999997</v>
      </c>
      <c r="D12217" s="2">
        <f>HYPERLINK("http://mcb-m6.bioreg.kyushu-u.ac.jp/M3/20110411/F50917/1508/1", 76.36)</f>
        <v>76.36</v>
      </c>
      <c r="E12217" s="2">
        <v>55.67</v>
      </c>
      <c r="F12217" s="2">
        <v>2</v>
      </c>
      <c r="G12217" s="2" t="s">
        <v>10</v>
      </c>
      <c r="H12217" s="2" t="s">
        <v>4919</v>
      </c>
    </row>
    <row r="12218" spans="1:8" x14ac:dyDescent="0.2">
      <c r="A12218" s="2" t="s">
        <v>3325</v>
      </c>
      <c r="B12218" s="2" t="s">
        <v>1043</v>
      </c>
      <c r="C12218" s="2">
        <v>1481.922</v>
      </c>
      <c r="D12218" s="2">
        <f>HYPERLINK("http://mcb-m6.bioreg.kyushu-u.ac.jp/M3/20110411/F50917/1952/1", 80.75)</f>
        <v>80.75</v>
      </c>
      <c r="E12218" s="2">
        <v>68.44</v>
      </c>
      <c r="F12218" s="2">
        <v>1</v>
      </c>
      <c r="G12218" s="2" t="s">
        <v>10</v>
      </c>
    </row>
    <row r="12219" spans="1:8" x14ac:dyDescent="0.2">
      <c r="A12219" s="2" t="s">
        <v>3325</v>
      </c>
      <c r="B12219" s="2" t="s">
        <v>1020</v>
      </c>
      <c r="C12219" s="2">
        <v>652.38070000000005</v>
      </c>
      <c r="D12219" s="2">
        <f>HYPERLINK("http://mcb-m6.bioreg.kyushu-u.ac.jp/M3/20110411/F50917/1468/1", 80.96)</f>
        <v>80.959999999999994</v>
      </c>
      <c r="E12219" s="2">
        <v>51.25</v>
      </c>
      <c r="F12219" s="2">
        <v>2</v>
      </c>
      <c r="G12219" s="2" t="s">
        <v>10</v>
      </c>
    </row>
    <row r="12220" spans="1:8" x14ac:dyDescent="0.2">
      <c r="A12220" s="2" t="s">
        <v>3325</v>
      </c>
      <c r="B12220" s="2" t="s">
        <v>1043</v>
      </c>
      <c r="C12220" s="2">
        <v>741.48860000000002</v>
      </c>
      <c r="D12220" s="2">
        <f>HYPERLINK("http://mcb-m6.bioreg.kyushu-u.ac.jp/M3/20110411/F50917/1953/1", 86.4)</f>
        <v>86.4</v>
      </c>
      <c r="E12220" s="2">
        <v>73.209999999999994</v>
      </c>
      <c r="F12220" s="2">
        <v>2</v>
      </c>
      <c r="G12220" s="2" t="s">
        <v>10</v>
      </c>
    </row>
    <row r="12221" spans="1:8" x14ac:dyDescent="0.2">
      <c r="A12221" s="2" t="s">
        <v>3325</v>
      </c>
      <c r="B12221" s="2" t="s">
        <v>980</v>
      </c>
      <c r="C12221" s="2">
        <v>976.62369999999999</v>
      </c>
      <c r="D12221" s="2">
        <f>HYPERLINK("http://mcb-m6.bioreg.kyushu-u.ac.jp/M3/20110411/F50917/3231/1", 96.7)</f>
        <v>96.7</v>
      </c>
      <c r="E12221" s="2">
        <v>86.56</v>
      </c>
      <c r="F12221" s="2">
        <v>2</v>
      </c>
      <c r="G12221" s="2" t="s">
        <v>10</v>
      </c>
    </row>
    <row r="12222" spans="1:8" x14ac:dyDescent="0.2">
      <c r="A12222" s="2" t="s">
        <v>3325</v>
      </c>
      <c r="B12222" s="2" t="s">
        <v>1458</v>
      </c>
      <c r="C12222" s="2">
        <v>1499.7629999999999</v>
      </c>
      <c r="D12222" s="2">
        <f>HYPERLINK("http://mcb-m6.bioreg.kyushu-u.ac.jp/M3/20110411/F50917/4422/1", 102.54)</f>
        <v>102.54</v>
      </c>
      <c r="E12222" s="2">
        <v>92.2</v>
      </c>
      <c r="F12222" s="2">
        <v>2</v>
      </c>
      <c r="G12222" s="2" t="s">
        <v>10</v>
      </c>
    </row>
    <row r="12223" spans="1:8" x14ac:dyDescent="0.2">
      <c r="A12223" s="2" t="s">
        <v>3325</v>
      </c>
      <c r="B12223" s="2" t="s">
        <v>1569</v>
      </c>
      <c r="C12223" s="2">
        <v>1130.568</v>
      </c>
      <c r="D12223" s="2">
        <f>HYPERLINK("http://mcb-m6.bioreg.kyushu-u.ac.jp/M3/20110411/F50917/3741/1", 123.55)</f>
        <v>123.55</v>
      </c>
      <c r="E12223" s="2">
        <v>112.54</v>
      </c>
      <c r="F12223" s="2">
        <v>2</v>
      </c>
      <c r="G12223" s="2" t="s">
        <v>10</v>
      </c>
    </row>
    <row r="12224" spans="1:8" x14ac:dyDescent="0.2">
      <c r="A12224" s="2" t="s">
        <v>3325</v>
      </c>
      <c r="B12224" s="2" t="s">
        <v>1043</v>
      </c>
      <c r="C12224" s="2">
        <v>741.85609999999997</v>
      </c>
      <c r="D12224" s="2">
        <f>HYPERLINK("http://mcb-m6.bioreg.kyushu-u.ac.jp/M3/20110414/F50943/1898/1", 36.17)</f>
        <v>36.17</v>
      </c>
      <c r="E12224" s="2">
        <v>20.82</v>
      </c>
      <c r="F12224" s="2">
        <v>2</v>
      </c>
      <c r="G12224" s="2" t="s">
        <v>11</v>
      </c>
    </row>
    <row r="12225" spans="1:8" x14ac:dyDescent="0.2">
      <c r="A12225" s="2" t="s">
        <v>3325</v>
      </c>
      <c r="B12225" s="2" t="s">
        <v>254</v>
      </c>
      <c r="C12225" s="2">
        <v>993.40899999999999</v>
      </c>
      <c r="D12225" s="2">
        <f>HYPERLINK("http://mcb-m6.bioreg.kyushu-u.ac.jp/M3/20110414/F50942/829/1", 36.36)</f>
        <v>36.36</v>
      </c>
      <c r="E12225" s="2">
        <v>12.25</v>
      </c>
      <c r="F12225" s="2">
        <v>1</v>
      </c>
      <c r="G12225" s="2" t="s">
        <v>11</v>
      </c>
    </row>
    <row r="12226" spans="1:8" x14ac:dyDescent="0.2">
      <c r="A12226" s="2" t="s">
        <v>3325</v>
      </c>
      <c r="B12226" s="2" t="s">
        <v>254</v>
      </c>
      <c r="C12226" s="2">
        <v>497.16860000000003</v>
      </c>
      <c r="D12226" s="2">
        <f>HYPERLINK("http://mcb-m6.bioreg.kyushu-u.ac.jp/M3/20110414/F50942/827/1", 36.37)</f>
        <v>36.369999999999997</v>
      </c>
      <c r="E12226" s="2">
        <v>13.09</v>
      </c>
      <c r="F12226" s="2">
        <v>2</v>
      </c>
      <c r="G12226" s="2" t="s">
        <v>11</v>
      </c>
    </row>
    <row r="12227" spans="1:8" x14ac:dyDescent="0.2">
      <c r="A12227" s="2" t="s">
        <v>3325</v>
      </c>
      <c r="B12227" s="2" t="s">
        <v>254</v>
      </c>
      <c r="C12227" s="2">
        <v>993.12300000000005</v>
      </c>
      <c r="D12227" s="2">
        <f>HYPERLINK("http://mcb-m6.bioreg.kyushu-u.ac.jp/M3/20110414/F50956/616/1", 39.45)</f>
        <v>39.450000000000003</v>
      </c>
      <c r="E12227" s="2">
        <v>12.81</v>
      </c>
      <c r="F12227" s="2">
        <v>1</v>
      </c>
      <c r="G12227" s="2" t="s">
        <v>11</v>
      </c>
    </row>
    <row r="12228" spans="1:8" x14ac:dyDescent="0.2">
      <c r="A12228" s="2" t="s">
        <v>3325</v>
      </c>
      <c r="B12228" s="2" t="s">
        <v>980</v>
      </c>
      <c r="C12228" s="2">
        <v>976.72360000000003</v>
      </c>
      <c r="D12228" s="2">
        <f>HYPERLINK("http://mcb-m6.bioreg.kyushu-u.ac.jp/M3/20110414/F50956/3424/1", 43.36)</f>
        <v>43.36</v>
      </c>
      <c r="E12228" s="2">
        <v>35.32</v>
      </c>
      <c r="F12228" s="2">
        <v>2</v>
      </c>
      <c r="G12228" s="2" t="s">
        <v>11</v>
      </c>
    </row>
    <row r="12229" spans="1:8" x14ac:dyDescent="0.2">
      <c r="A12229" s="2" t="s">
        <v>3325</v>
      </c>
      <c r="B12229" s="2" t="s">
        <v>237</v>
      </c>
      <c r="C12229" s="2">
        <v>1199.482</v>
      </c>
      <c r="D12229" s="2">
        <f>HYPERLINK("http://mcb-m6.bioreg.kyushu-u.ac.jp/M3/20110414/F50956/1067/1", 43.54)</f>
        <v>43.54</v>
      </c>
      <c r="E12229" s="2">
        <v>25.52</v>
      </c>
      <c r="F12229" s="2">
        <v>1</v>
      </c>
      <c r="G12229" s="2" t="s">
        <v>11</v>
      </c>
    </row>
    <row r="12230" spans="1:8" x14ac:dyDescent="0.2">
      <c r="A12230" s="2" t="s">
        <v>3325</v>
      </c>
      <c r="B12230" s="2" t="s">
        <v>111</v>
      </c>
      <c r="C12230" s="2">
        <v>613.61189999999999</v>
      </c>
      <c r="D12230" s="2">
        <f>HYPERLINK("http://mcb-m6.bioreg.kyushu-u.ac.jp/M3/20110414/F50957/3028/1", 45.38)</f>
        <v>45.38</v>
      </c>
      <c r="E12230" s="2">
        <v>29.55</v>
      </c>
      <c r="F12230" s="2">
        <v>3</v>
      </c>
      <c r="G12230" s="2" t="s">
        <v>11</v>
      </c>
    </row>
    <row r="12231" spans="1:8" x14ac:dyDescent="0.2">
      <c r="A12231" s="2" t="s">
        <v>3325</v>
      </c>
      <c r="B12231" s="2" t="s">
        <v>237</v>
      </c>
      <c r="C12231" s="2">
        <v>1199.4590000000001</v>
      </c>
      <c r="D12231" s="2">
        <f>HYPERLINK("http://mcb-m6.bioreg.kyushu-u.ac.jp/M3/20110414/F50942/1200/1", 47.12)</f>
        <v>47.12</v>
      </c>
      <c r="E12231" s="2">
        <v>32.07</v>
      </c>
      <c r="F12231" s="2">
        <v>1</v>
      </c>
      <c r="G12231" s="2" t="s">
        <v>11</v>
      </c>
    </row>
    <row r="12232" spans="1:8" x14ac:dyDescent="0.2">
      <c r="A12232" s="2" t="s">
        <v>3325</v>
      </c>
      <c r="B12232" s="2" t="s">
        <v>625</v>
      </c>
      <c r="C12232" s="2">
        <v>495.17160000000001</v>
      </c>
      <c r="D12232" s="2">
        <f>HYPERLINK("http://mcb-m6.bioreg.kyushu-u.ac.jp/M3/20110414/F50956/606/1", 47.5)</f>
        <v>47.5</v>
      </c>
      <c r="E12232" s="2">
        <v>16.25</v>
      </c>
      <c r="F12232" s="2">
        <v>2</v>
      </c>
      <c r="G12232" s="2" t="s">
        <v>11</v>
      </c>
    </row>
    <row r="12233" spans="1:8" x14ac:dyDescent="0.2">
      <c r="A12233" s="2" t="s">
        <v>3325</v>
      </c>
      <c r="B12233" s="2" t="s">
        <v>625</v>
      </c>
      <c r="C12233" s="2">
        <v>495.65460000000002</v>
      </c>
      <c r="D12233" s="2">
        <f>HYPERLINK("http://mcb-m6.bioreg.kyushu-u.ac.jp/M3/20110414/F50956/609/1", 48.28)</f>
        <v>48.28</v>
      </c>
      <c r="E12233" s="2">
        <v>18.36</v>
      </c>
      <c r="F12233" s="2">
        <v>2</v>
      </c>
      <c r="G12233" s="2" t="s">
        <v>11</v>
      </c>
    </row>
    <row r="12234" spans="1:8" x14ac:dyDescent="0.2">
      <c r="A12234" s="2" t="s">
        <v>3325</v>
      </c>
      <c r="B12234" s="2" t="s">
        <v>980</v>
      </c>
      <c r="C12234" s="2">
        <v>976.41309999999999</v>
      </c>
      <c r="D12234" s="2">
        <f>HYPERLINK("http://mcb-m6.bioreg.kyushu-u.ac.jp/M3/20110414/F50943/3087/1", 51.03)</f>
        <v>51.03</v>
      </c>
      <c r="E12234" s="2">
        <v>4.4400000000000004</v>
      </c>
      <c r="F12234" s="2">
        <v>2</v>
      </c>
      <c r="G12234" s="2" t="s">
        <v>11</v>
      </c>
    </row>
    <row r="12235" spans="1:8" x14ac:dyDescent="0.2">
      <c r="A12235" s="2" t="s">
        <v>3325</v>
      </c>
      <c r="B12235" s="2" t="s">
        <v>1569</v>
      </c>
      <c r="C12235" s="2">
        <v>1130.7629999999999</v>
      </c>
      <c r="D12235" s="2">
        <f>HYPERLINK("http://mcb-m6.bioreg.kyushu-u.ac.jp/M3/20110414/F50945/3522/1", 51.82)</f>
        <v>51.82</v>
      </c>
      <c r="E12235" s="2">
        <v>42.71</v>
      </c>
      <c r="F12235" s="2">
        <v>2</v>
      </c>
      <c r="G12235" s="2" t="s">
        <v>11</v>
      </c>
    </row>
    <row r="12236" spans="1:8" x14ac:dyDescent="0.2">
      <c r="A12236" s="2" t="s">
        <v>3325</v>
      </c>
      <c r="B12236" s="2" t="s">
        <v>549</v>
      </c>
      <c r="C12236" s="2">
        <v>599.17769999999996</v>
      </c>
      <c r="D12236" s="2">
        <f>HYPERLINK("http://mcb-m6.bioreg.kyushu-u.ac.jp/M3/20110414/F50956/1051/1", 56.35)</f>
        <v>56.35</v>
      </c>
      <c r="E12236" s="2">
        <v>26.98</v>
      </c>
      <c r="F12236" s="2">
        <v>2</v>
      </c>
      <c r="G12236" s="2" t="s">
        <v>11</v>
      </c>
    </row>
    <row r="12237" spans="1:8" x14ac:dyDescent="0.2">
      <c r="A12237" s="2" t="s">
        <v>3325</v>
      </c>
      <c r="B12237" s="2" t="s">
        <v>1020</v>
      </c>
      <c r="C12237" s="2">
        <v>660.10860000000002</v>
      </c>
      <c r="D12237" s="2">
        <f>HYPERLINK("http://mcb-m6.bioreg.kyushu-u.ac.jp/M3/20110414/F50956/1372/1", 59.36)</f>
        <v>59.36</v>
      </c>
      <c r="E12237" s="2">
        <v>42.04</v>
      </c>
      <c r="F12237" s="2">
        <v>2</v>
      </c>
      <c r="G12237" s="2" t="s">
        <v>11</v>
      </c>
      <c r="H12237" s="2" t="s">
        <v>4919</v>
      </c>
    </row>
    <row r="12238" spans="1:8" x14ac:dyDescent="0.2">
      <c r="A12238" s="2" t="s">
        <v>3325</v>
      </c>
      <c r="B12238" s="2" t="s">
        <v>980</v>
      </c>
      <c r="C12238" s="2">
        <v>976.48860000000002</v>
      </c>
      <c r="D12238" s="2">
        <f>HYPERLINK("http://mcb-m6.bioreg.kyushu-u.ac.jp/M3/20110414/F50957/3348/1", 60.88)</f>
        <v>60.88</v>
      </c>
      <c r="E12238" s="2">
        <v>33.35</v>
      </c>
      <c r="F12238" s="2">
        <v>2</v>
      </c>
      <c r="G12238" s="2" t="s">
        <v>11</v>
      </c>
    </row>
    <row r="12239" spans="1:8" x14ac:dyDescent="0.2">
      <c r="A12239" s="2" t="s">
        <v>3325</v>
      </c>
      <c r="B12239" s="2" t="s">
        <v>625</v>
      </c>
      <c r="C12239" s="2">
        <v>495.79559999999998</v>
      </c>
      <c r="D12239" s="2">
        <f>HYPERLINK("http://mcb-m6.bioreg.kyushu-u.ac.jp/M3/20110414/F50945/1091/1", 61.49)</f>
        <v>61.49</v>
      </c>
      <c r="E12239" s="2">
        <v>22.08</v>
      </c>
      <c r="F12239" s="2">
        <v>2</v>
      </c>
      <c r="G12239" s="2" t="s">
        <v>11</v>
      </c>
    </row>
    <row r="12240" spans="1:8" x14ac:dyDescent="0.2">
      <c r="A12240" s="2" t="s">
        <v>3325</v>
      </c>
      <c r="B12240" s="2" t="s">
        <v>1569</v>
      </c>
      <c r="C12240" s="2">
        <v>754.31219999999996</v>
      </c>
      <c r="D12240" s="2">
        <f>HYPERLINK("http://mcb-m6.bioreg.kyushu-u.ac.jp/M3/20110414/F50942/3925/1", 61.9)</f>
        <v>61.9</v>
      </c>
      <c r="E12240" s="2">
        <v>50.76</v>
      </c>
      <c r="F12240" s="2">
        <v>3</v>
      </c>
      <c r="G12240" s="2" t="s">
        <v>11</v>
      </c>
    </row>
    <row r="12241" spans="1:8" x14ac:dyDescent="0.2">
      <c r="A12241" s="2" t="s">
        <v>3325</v>
      </c>
      <c r="B12241" s="2" t="s">
        <v>1020</v>
      </c>
      <c r="C12241" s="2">
        <v>660.3066</v>
      </c>
      <c r="D12241" s="2">
        <f>HYPERLINK("http://mcb-m6.bioreg.kyushu-u.ac.jp/M3/20110414/F50942/1477/1", 61.95)</f>
        <v>61.95</v>
      </c>
      <c r="E12241" s="2">
        <v>44.9</v>
      </c>
      <c r="F12241" s="2">
        <v>2</v>
      </c>
      <c r="G12241" s="2" t="s">
        <v>11</v>
      </c>
      <c r="H12241" s="2" t="s">
        <v>4919</v>
      </c>
    </row>
    <row r="12242" spans="1:8" x14ac:dyDescent="0.2">
      <c r="A12242" s="2" t="s">
        <v>3325</v>
      </c>
      <c r="B12242" s="2" t="s">
        <v>1020</v>
      </c>
      <c r="C12242" s="2">
        <v>1303.347</v>
      </c>
      <c r="D12242" s="2">
        <f>HYPERLINK("http://mcb-m6.bioreg.kyushu-u.ac.jp/M3/20110414/F50942/1435/1", 62.42)</f>
        <v>62.42</v>
      </c>
      <c r="E12242" s="2">
        <v>44.79</v>
      </c>
      <c r="F12242" s="2">
        <v>1</v>
      </c>
      <c r="G12242" s="2" t="s">
        <v>11</v>
      </c>
    </row>
    <row r="12243" spans="1:8" x14ac:dyDescent="0.2">
      <c r="A12243" s="2" t="s">
        <v>3325</v>
      </c>
      <c r="B12243" s="2" t="s">
        <v>980</v>
      </c>
      <c r="C12243" s="2">
        <v>976.37220000000002</v>
      </c>
      <c r="D12243" s="2">
        <f>HYPERLINK("http://mcb-m6.bioreg.kyushu-u.ac.jp/M3/20110414/F50956/3422/1", 62.73)</f>
        <v>62.73</v>
      </c>
      <c r="E12243" s="2">
        <v>34.97</v>
      </c>
      <c r="F12243" s="2">
        <v>2</v>
      </c>
      <c r="G12243" s="2" t="s">
        <v>11</v>
      </c>
    </row>
    <row r="12244" spans="1:8" x14ac:dyDescent="0.2">
      <c r="A12244" s="2" t="s">
        <v>3325</v>
      </c>
      <c r="B12244" s="2" t="s">
        <v>1020</v>
      </c>
      <c r="C12244" s="2">
        <v>1303.24</v>
      </c>
      <c r="D12244" s="2">
        <f>HYPERLINK("http://mcb-m6.bioreg.kyushu-u.ac.jp/M3/20110414/F50956/1332/1", 63.3)</f>
        <v>63.3</v>
      </c>
      <c r="E12244" s="2">
        <v>46.29</v>
      </c>
      <c r="F12244" s="2">
        <v>1</v>
      </c>
      <c r="G12244" s="2" t="s">
        <v>11</v>
      </c>
    </row>
    <row r="12245" spans="1:8" x14ac:dyDescent="0.2">
      <c r="A12245" s="2" t="s">
        <v>3325</v>
      </c>
      <c r="B12245" s="2" t="s">
        <v>625</v>
      </c>
      <c r="C12245" s="2">
        <v>495.2921</v>
      </c>
      <c r="D12245" s="2">
        <f>HYPERLINK("http://mcb-m6.bioreg.kyushu-u.ac.jp/M3/20110414/F50942/821/1", 63.91)</f>
        <v>63.91</v>
      </c>
      <c r="E12245" s="2">
        <v>27.64</v>
      </c>
      <c r="F12245" s="2">
        <v>2</v>
      </c>
      <c r="G12245" s="2" t="s">
        <v>11</v>
      </c>
    </row>
    <row r="12246" spans="1:8" x14ac:dyDescent="0.2">
      <c r="A12246" s="2" t="s">
        <v>3325</v>
      </c>
      <c r="B12246" s="2" t="s">
        <v>237</v>
      </c>
      <c r="C12246" s="2">
        <v>600.11270000000002</v>
      </c>
      <c r="D12246" s="2">
        <f>HYPERLINK("http://mcb-m6.bioreg.kyushu-u.ac.jp/M3/20110414/F50956/1058/1", 64.12)</f>
        <v>64.12</v>
      </c>
      <c r="E12246" s="2">
        <v>16.309999999999999</v>
      </c>
      <c r="F12246" s="2">
        <v>2</v>
      </c>
      <c r="G12246" s="2" t="s">
        <v>11</v>
      </c>
    </row>
    <row r="12247" spans="1:8" x14ac:dyDescent="0.2">
      <c r="A12247" s="2" t="s">
        <v>3325</v>
      </c>
      <c r="B12247" s="2" t="s">
        <v>549</v>
      </c>
      <c r="C12247" s="2">
        <v>599.29470000000003</v>
      </c>
      <c r="D12247" s="2">
        <f>HYPERLINK("http://mcb-m6.bioreg.kyushu-u.ac.jp/M3/20110414/F50942/1195/1", 65.07)</f>
        <v>65.069999999999993</v>
      </c>
      <c r="E12247" s="2">
        <v>26.77</v>
      </c>
      <c r="F12247" s="2">
        <v>2</v>
      </c>
      <c r="G12247" s="2" t="s">
        <v>11</v>
      </c>
    </row>
    <row r="12248" spans="1:8" x14ac:dyDescent="0.2">
      <c r="A12248" s="2" t="s">
        <v>3325</v>
      </c>
      <c r="B12248" s="2" t="s">
        <v>650</v>
      </c>
      <c r="C12248" s="2">
        <v>626.78719999999998</v>
      </c>
      <c r="D12248" s="2">
        <f>HYPERLINK("http://mcb-m6.bioreg.kyushu-u.ac.jp/M3/20110414/F50957/1123/1", 65.43)</f>
        <v>65.430000000000007</v>
      </c>
      <c r="E12248" s="2">
        <v>35.53</v>
      </c>
      <c r="F12248" s="2">
        <v>2</v>
      </c>
      <c r="G12248" s="2" t="s">
        <v>11</v>
      </c>
    </row>
    <row r="12249" spans="1:8" x14ac:dyDescent="0.2">
      <c r="A12249" s="2" t="s">
        <v>3325</v>
      </c>
      <c r="B12249" s="2" t="s">
        <v>1043</v>
      </c>
      <c r="C12249" s="2">
        <v>741.4366</v>
      </c>
      <c r="D12249" s="2">
        <f>HYPERLINK("http://mcb-m6.bioreg.kyushu-u.ac.jp/M3/20110414/F50943/1893/1", 67.32)</f>
        <v>67.319999999999993</v>
      </c>
      <c r="E12249" s="2">
        <v>54.78</v>
      </c>
      <c r="F12249" s="2">
        <v>2</v>
      </c>
      <c r="G12249" s="2" t="s">
        <v>11</v>
      </c>
    </row>
    <row r="12250" spans="1:8" x14ac:dyDescent="0.2">
      <c r="A12250" s="2" t="s">
        <v>3325</v>
      </c>
      <c r="B12250" s="2" t="s">
        <v>650</v>
      </c>
      <c r="C12250" s="2">
        <v>626.82069999999999</v>
      </c>
      <c r="D12250" s="2">
        <f>HYPERLINK("http://mcb-m6.bioreg.kyushu-u.ac.jp/M3/20110414/F50943/1326/1", 68.04)</f>
        <v>68.040000000000006</v>
      </c>
      <c r="E12250" s="2">
        <v>39.99</v>
      </c>
      <c r="F12250" s="2">
        <v>2</v>
      </c>
      <c r="G12250" s="2" t="s">
        <v>11</v>
      </c>
    </row>
    <row r="12251" spans="1:8" x14ac:dyDescent="0.2">
      <c r="A12251" s="2" t="s">
        <v>3325</v>
      </c>
      <c r="B12251" s="2" t="s">
        <v>1043</v>
      </c>
      <c r="C12251" s="2">
        <v>741.85469999999998</v>
      </c>
      <c r="D12251" s="2">
        <f>HYPERLINK("http://mcb-m6.bioreg.kyushu-u.ac.jp/M3/20110414/F50957/1915/1", 69.69)</f>
        <v>69.69</v>
      </c>
      <c r="E12251" s="2">
        <v>53.69</v>
      </c>
      <c r="F12251" s="2">
        <v>2</v>
      </c>
      <c r="G12251" s="2" t="s">
        <v>11</v>
      </c>
    </row>
    <row r="12252" spans="1:8" x14ac:dyDescent="0.2">
      <c r="A12252" s="2" t="s">
        <v>3325</v>
      </c>
      <c r="B12252" s="2" t="s">
        <v>980</v>
      </c>
      <c r="C12252" s="2">
        <v>976.45370000000003</v>
      </c>
      <c r="D12252" s="2">
        <f>HYPERLINK("http://mcb-m6.bioreg.kyushu-u.ac.jp/M3/20110414/F50942/3332/1", 77.05)</f>
        <v>77.05</v>
      </c>
      <c r="E12252" s="2">
        <v>66.8</v>
      </c>
      <c r="F12252" s="2">
        <v>2</v>
      </c>
      <c r="G12252" s="2" t="s">
        <v>11</v>
      </c>
    </row>
    <row r="12253" spans="1:8" x14ac:dyDescent="0.2">
      <c r="A12253" s="2" t="s">
        <v>3325</v>
      </c>
      <c r="B12253" s="2" t="s">
        <v>237</v>
      </c>
      <c r="C12253" s="2">
        <v>600.83870000000002</v>
      </c>
      <c r="D12253" s="2">
        <f>HYPERLINK("http://mcb-m6.bioreg.kyushu-u.ac.jp/M3/20110414/F50942/1206/1", 78.29)</f>
        <v>78.290000000000006</v>
      </c>
      <c r="E12253" s="2">
        <v>40.619999999999997</v>
      </c>
      <c r="F12253" s="2">
        <v>2</v>
      </c>
      <c r="G12253" s="2" t="s">
        <v>11</v>
      </c>
    </row>
    <row r="12254" spans="1:8" x14ac:dyDescent="0.2">
      <c r="A12254" s="2" t="s">
        <v>3325</v>
      </c>
      <c r="B12254" s="2" t="s">
        <v>237</v>
      </c>
      <c r="C12254" s="2">
        <v>600.89869999999996</v>
      </c>
      <c r="D12254" s="2">
        <f>HYPERLINK("http://mcb-m6.bioreg.kyushu-u.ac.jp/M3/20110414/F50943/1233/1", 81.62)</f>
        <v>81.62</v>
      </c>
      <c r="E12254" s="2">
        <v>40.520000000000003</v>
      </c>
      <c r="F12254" s="2">
        <v>2</v>
      </c>
      <c r="G12254" s="2" t="s">
        <v>11</v>
      </c>
    </row>
    <row r="12255" spans="1:8" x14ac:dyDescent="0.2">
      <c r="A12255" s="2" t="s">
        <v>3325</v>
      </c>
      <c r="B12255" s="2" t="s">
        <v>980</v>
      </c>
      <c r="C12255" s="2">
        <v>976.88120000000004</v>
      </c>
      <c r="D12255" s="2">
        <f>HYPERLINK("http://mcb-m6.bioreg.kyushu-u.ac.jp/M3/20110414/F50956/3428/1", 83.2)</f>
        <v>83.2</v>
      </c>
      <c r="E12255" s="2">
        <v>74.010000000000005</v>
      </c>
      <c r="F12255" s="2">
        <v>2</v>
      </c>
      <c r="G12255" s="2" t="s">
        <v>11</v>
      </c>
    </row>
    <row r="12256" spans="1:8" x14ac:dyDescent="0.2">
      <c r="A12256" s="2" t="s">
        <v>3325</v>
      </c>
      <c r="B12256" s="2" t="s">
        <v>237</v>
      </c>
      <c r="C12256" s="2">
        <v>600.18709999999999</v>
      </c>
      <c r="D12256" s="2">
        <f>HYPERLINK("http://mcb-m6.bioreg.kyushu-u.ac.jp/M3/20110414/F50956/1065/1", 84.86)</f>
        <v>84.86</v>
      </c>
      <c r="E12256" s="2">
        <v>35.42</v>
      </c>
      <c r="F12256" s="2">
        <v>2</v>
      </c>
      <c r="G12256" s="2" t="s">
        <v>11</v>
      </c>
    </row>
    <row r="12257" spans="1:7" x14ac:dyDescent="0.2">
      <c r="A12257" s="2" t="s">
        <v>3325</v>
      </c>
      <c r="B12257" s="2" t="s">
        <v>237</v>
      </c>
      <c r="C12257" s="2">
        <v>600.20420000000001</v>
      </c>
      <c r="D12257" s="2">
        <f>HYPERLINK("http://mcb-m6.bioreg.kyushu-u.ac.jp/M3/20110414/F50957/991/1", 86.65)</f>
        <v>86.65</v>
      </c>
      <c r="E12257" s="2">
        <v>25.76</v>
      </c>
      <c r="F12257" s="2">
        <v>2</v>
      </c>
      <c r="G12257" s="2" t="s">
        <v>11</v>
      </c>
    </row>
    <row r="12258" spans="1:7" x14ac:dyDescent="0.2">
      <c r="A12258" s="2" t="s">
        <v>3325</v>
      </c>
      <c r="B12258" s="2" t="s">
        <v>980</v>
      </c>
      <c r="C12258" s="2">
        <v>976.31410000000005</v>
      </c>
      <c r="D12258" s="2">
        <f>HYPERLINK("http://mcb-m6.bioreg.kyushu-u.ac.jp/M3/20110414/F50956/3420/1", 91.41)</f>
        <v>91.41</v>
      </c>
      <c r="E12258" s="2">
        <v>79.66</v>
      </c>
      <c r="F12258" s="2">
        <v>2</v>
      </c>
      <c r="G12258" s="2" t="s">
        <v>11</v>
      </c>
    </row>
    <row r="12259" spans="1:7" x14ac:dyDescent="0.2">
      <c r="A12259" s="2" t="s">
        <v>3325</v>
      </c>
      <c r="B12259" s="2" t="s">
        <v>1043</v>
      </c>
      <c r="C12259" s="2">
        <v>741.29719999999998</v>
      </c>
      <c r="D12259" s="2">
        <f>HYPERLINK("http://mcb-m6.bioreg.kyushu-u.ac.jp/M3/20110414/F50956/1925/1", 94)</f>
        <v>94</v>
      </c>
      <c r="E12259" s="2">
        <v>76.97</v>
      </c>
      <c r="F12259" s="2">
        <v>2</v>
      </c>
      <c r="G12259" s="2" t="s">
        <v>11</v>
      </c>
    </row>
    <row r="12260" spans="1:7" x14ac:dyDescent="0.2">
      <c r="A12260" s="2" t="s">
        <v>3325</v>
      </c>
      <c r="B12260" s="2" t="s">
        <v>1043</v>
      </c>
      <c r="C12260" s="2">
        <v>741.42970000000003</v>
      </c>
      <c r="D12260" s="2">
        <f>HYPERLINK("http://mcb-m6.bioreg.kyushu-u.ac.jp/M3/20110414/F50942/1910/1", 104.98)</f>
        <v>104.98</v>
      </c>
      <c r="E12260" s="2">
        <v>87.71</v>
      </c>
      <c r="F12260" s="2">
        <v>2</v>
      </c>
      <c r="G12260" s="2" t="s">
        <v>11</v>
      </c>
    </row>
    <row r="12261" spans="1:7" x14ac:dyDescent="0.2">
      <c r="A12261" s="2" t="s">
        <v>3325</v>
      </c>
      <c r="B12261" s="2" t="s">
        <v>1569</v>
      </c>
      <c r="C12261" s="2">
        <v>1130.8810000000001</v>
      </c>
      <c r="D12261" s="2">
        <f>HYPERLINK("http://mcb-m6.bioreg.kyushu-u.ac.jp/M3/20110414/F50942/3924/1", 111.09)</f>
        <v>111.09</v>
      </c>
      <c r="E12261" s="2">
        <v>105.21</v>
      </c>
      <c r="F12261" s="2">
        <v>2</v>
      </c>
      <c r="G12261" s="2" t="s">
        <v>11</v>
      </c>
    </row>
    <row r="12262" spans="1:7" x14ac:dyDescent="0.2">
      <c r="A12262" s="2" t="s">
        <v>3325</v>
      </c>
      <c r="B12262" s="2" t="s">
        <v>1569</v>
      </c>
      <c r="C12262" s="2">
        <v>1130.5139999999999</v>
      </c>
      <c r="D12262" s="2">
        <f>HYPERLINK("http://mcb-m6.bioreg.kyushu-u.ac.jp/M3/20110414/F50956/4080/1", 128.63)</f>
        <v>128.63</v>
      </c>
      <c r="E12262" s="2">
        <v>113.44</v>
      </c>
      <c r="F12262" s="2">
        <v>2</v>
      </c>
      <c r="G12262" s="2" t="s">
        <v>11</v>
      </c>
    </row>
    <row r="12263" spans="1:7" x14ac:dyDescent="0.2">
      <c r="A12263" s="2" t="s">
        <v>3325</v>
      </c>
      <c r="B12263" s="2" t="s">
        <v>1569</v>
      </c>
      <c r="C12263" s="2">
        <v>1130.3579999999999</v>
      </c>
      <c r="D12263" s="2">
        <f>HYPERLINK("http://mcb-m6.bioreg.kyushu-u.ac.jp/M3/20110414/F50942/3922/1", 129.44)</f>
        <v>129.44</v>
      </c>
      <c r="E12263" s="2">
        <v>120.13</v>
      </c>
      <c r="F12263" s="2">
        <v>2</v>
      </c>
      <c r="G12263" s="2" t="s">
        <v>11</v>
      </c>
    </row>
    <row r="12264" spans="1:7" x14ac:dyDescent="0.2">
      <c r="A12264" s="2" t="s">
        <v>3325</v>
      </c>
      <c r="B12264" s="2" t="s">
        <v>549</v>
      </c>
      <c r="C12264" s="2">
        <v>599.05520000000001</v>
      </c>
      <c r="D12264" s="2">
        <f>HYPERLINK("http://mcb-m6.bioreg.kyushu-u.ac.jp/M3/20110414/F50948/1239/1", 35.38)</f>
        <v>35.380000000000003</v>
      </c>
      <c r="E12264" s="2">
        <v>19.100000000000001</v>
      </c>
      <c r="F12264" s="2">
        <v>2</v>
      </c>
      <c r="G12264" s="2" t="s">
        <v>12</v>
      </c>
    </row>
    <row r="12265" spans="1:7" x14ac:dyDescent="0.2">
      <c r="A12265" s="2" t="s">
        <v>3325</v>
      </c>
      <c r="B12265" s="2" t="s">
        <v>237</v>
      </c>
      <c r="C12265" s="2">
        <v>1199.3389999999999</v>
      </c>
      <c r="D12265" s="2">
        <f>HYPERLINK("http://mcb-m6.bioreg.kyushu-u.ac.jp/M3/20110414/F50948/1250/1", 37.33)</f>
        <v>37.33</v>
      </c>
      <c r="E12265" s="2">
        <v>16.41</v>
      </c>
      <c r="F12265" s="2">
        <v>1</v>
      </c>
      <c r="G12265" s="2" t="s">
        <v>12</v>
      </c>
    </row>
    <row r="12266" spans="1:7" x14ac:dyDescent="0.2">
      <c r="A12266" s="2" t="s">
        <v>3325</v>
      </c>
      <c r="B12266" s="2" t="s">
        <v>625</v>
      </c>
      <c r="C12266" s="2">
        <v>495.28710000000001</v>
      </c>
      <c r="D12266" s="2">
        <f>HYPERLINK("http://mcb-m6.bioreg.kyushu-u.ac.jp/M3/20110414/F50959/529/1", 38.64)</f>
        <v>38.64</v>
      </c>
      <c r="E12266" s="2">
        <v>11.73</v>
      </c>
      <c r="F12266" s="2">
        <v>2</v>
      </c>
      <c r="G12266" s="2" t="s">
        <v>12</v>
      </c>
    </row>
    <row r="12267" spans="1:7" x14ac:dyDescent="0.2">
      <c r="A12267" s="2" t="s">
        <v>3325</v>
      </c>
      <c r="B12267" s="2" t="s">
        <v>1043</v>
      </c>
      <c r="C12267" s="2">
        <v>741.11069999999995</v>
      </c>
      <c r="D12267" s="2">
        <f>HYPERLINK("http://mcb-m6.bioreg.kyushu-u.ac.jp/M3/20110414/F50950/2164/1", 39.63)</f>
        <v>39.630000000000003</v>
      </c>
      <c r="E12267" s="2">
        <v>26.55</v>
      </c>
      <c r="F12267" s="2">
        <v>2</v>
      </c>
      <c r="G12267" s="2" t="s">
        <v>12</v>
      </c>
    </row>
    <row r="12268" spans="1:7" x14ac:dyDescent="0.2">
      <c r="A12268" s="2" t="s">
        <v>3325</v>
      </c>
      <c r="B12268" s="2" t="s">
        <v>254</v>
      </c>
      <c r="C12268" s="2">
        <v>497.29259999999999</v>
      </c>
      <c r="D12268" s="2">
        <f>HYPERLINK("http://mcb-m6.bioreg.kyushu-u.ac.jp/M3/20110414/F50948/803/1", 39.93)</f>
        <v>39.93</v>
      </c>
      <c r="E12268" s="2">
        <v>15.68</v>
      </c>
      <c r="F12268" s="2">
        <v>2</v>
      </c>
      <c r="G12268" s="2" t="s">
        <v>12</v>
      </c>
    </row>
    <row r="12269" spans="1:7" x14ac:dyDescent="0.2">
      <c r="A12269" s="2" t="s">
        <v>3325</v>
      </c>
      <c r="B12269" s="2" t="s">
        <v>549</v>
      </c>
      <c r="C12269" s="2">
        <v>1197.5409999999999</v>
      </c>
      <c r="D12269" s="2">
        <f>HYPERLINK("http://mcb-m6.bioreg.kyushu-u.ac.jp/M3/20110414/F50958/1124/1", 40.59)</f>
        <v>40.590000000000003</v>
      </c>
      <c r="E12269" s="2">
        <v>27.9</v>
      </c>
      <c r="F12269" s="2">
        <v>1</v>
      </c>
      <c r="G12269" s="2" t="s">
        <v>12</v>
      </c>
    </row>
    <row r="12270" spans="1:7" x14ac:dyDescent="0.2">
      <c r="A12270" s="2" t="s">
        <v>3325</v>
      </c>
      <c r="B12270" s="2" t="s">
        <v>625</v>
      </c>
      <c r="C12270" s="2">
        <v>989.36199999999997</v>
      </c>
      <c r="D12270" s="2">
        <f>HYPERLINK("http://mcb-m6.bioreg.kyushu-u.ac.jp/M3/20110414/F50958/596/1", 43.75)</f>
        <v>43.75</v>
      </c>
      <c r="E12270" s="2">
        <v>10.61</v>
      </c>
      <c r="F12270" s="2">
        <v>1</v>
      </c>
      <c r="G12270" s="2" t="s">
        <v>12</v>
      </c>
    </row>
    <row r="12271" spans="1:7" x14ac:dyDescent="0.2">
      <c r="A12271" s="2" t="s">
        <v>3325</v>
      </c>
      <c r="B12271" s="2" t="s">
        <v>549</v>
      </c>
      <c r="C12271" s="2">
        <v>599.26210000000003</v>
      </c>
      <c r="D12271" s="2">
        <f>HYPERLINK("http://mcb-m6.bioreg.kyushu-u.ac.jp/M3/20110414/F50958/1123/1", 45.29)</f>
        <v>45.29</v>
      </c>
      <c r="E12271" s="2">
        <v>20.48</v>
      </c>
      <c r="F12271" s="2">
        <v>2</v>
      </c>
      <c r="G12271" s="2" t="s">
        <v>12</v>
      </c>
    </row>
    <row r="12272" spans="1:7" x14ac:dyDescent="0.2">
      <c r="A12272" s="2" t="s">
        <v>3325</v>
      </c>
      <c r="B12272" s="2" t="s">
        <v>1569</v>
      </c>
      <c r="C12272" s="2">
        <v>1130.3499999999999</v>
      </c>
      <c r="D12272" s="2">
        <f>HYPERLINK("http://mcb-m6.bioreg.kyushu-u.ac.jp/M3/20110414/F50948/4006/1", 46.21)</f>
        <v>46.21</v>
      </c>
      <c r="E12272" s="2">
        <v>39.9</v>
      </c>
      <c r="F12272" s="2">
        <v>2</v>
      </c>
      <c r="G12272" s="2" t="s">
        <v>12</v>
      </c>
    </row>
    <row r="12273" spans="1:8" x14ac:dyDescent="0.2">
      <c r="A12273" s="2" t="s">
        <v>3325</v>
      </c>
      <c r="B12273" s="2" t="s">
        <v>254</v>
      </c>
      <c r="C12273" s="2">
        <v>993.28</v>
      </c>
      <c r="D12273" s="2">
        <f>HYPERLINK("http://mcb-m6.bioreg.kyushu-u.ac.jp/M3/20110414/F50948/802/1", 46.85)</f>
        <v>46.85</v>
      </c>
      <c r="E12273" s="2">
        <v>15.57</v>
      </c>
      <c r="F12273" s="2">
        <v>1</v>
      </c>
      <c r="G12273" s="2" t="s">
        <v>12</v>
      </c>
    </row>
    <row r="12274" spans="1:8" x14ac:dyDescent="0.2">
      <c r="A12274" s="2" t="s">
        <v>3325</v>
      </c>
      <c r="B12274" s="2" t="s">
        <v>1569</v>
      </c>
      <c r="C12274" s="2">
        <v>753.91250000000002</v>
      </c>
      <c r="D12274" s="2">
        <f>HYPERLINK("http://mcb-m6.bioreg.kyushu-u.ac.jp/M3/20110414/F50948/4007/1", 52.18)</f>
        <v>52.18</v>
      </c>
      <c r="E12274" s="2">
        <v>31.06</v>
      </c>
      <c r="F12274" s="2">
        <v>3</v>
      </c>
      <c r="G12274" s="2" t="s">
        <v>12</v>
      </c>
    </row>
    <row r="12275" spans="1:8" x14ac:dyDescent="0.2">
      <c r="A12275" s="2" t="s">
        <v>3325</v>
      </c>
      <c r="B12275" s="2" t="s">
        <v>1020</v>
      </c>
      <c r="C12275" s="2">
        <v>1303.375</v>
      </c>
      <c r="D12275" s="2">
        <f>HYPERLINK("http://mcb-m6.bioreg.kyushu-u.ac.jp/M3/20110414/F50958/1400/1", 55.52)</f>
        <v>55.52</v>
      </c>
      <c r="E12275" s="2">
        <v>33.79</v>
      </c>
      <c r="F12275" s="2">
        <v>1</v>
      </c>
      <c r="G12275" s="2" t="s">
        <v>12</v>
      </c>
    </row>
    <row r="12276" spans="1:8" x14ac:dyDescent="0.2">
      <c r="A12276" s="2" t="s">
        <v>3325</v>
      </c>
      <c r="B12276" s="2" t="s">
        <v>1043</v>
      </c>
      <c r="C12276" s="2">
        <v>741.67219999999998</v>
      </c>
      <c r="D12276" s="2">
        <f>HYPERLINK("http://mcb-m6.bioreg.kyushu-u.ac.jp/M3/20110414/F50958/1990/1", 55.64)</f>
        <v>55.64</v>
      </c>
      <c r="E12276" s="2">
        <v>46.7</v>
      </c>
      <c r="F12276" s="2">
        <v>2</v>
      </c>
      <c r="G12276" s="2" t="s">
        <v>12</v>
      </c>
    </row>
    <row r="12277" spans="1:8" x14ac:dyDescent="0.2">
      <c r="A12277" s="2" t="s">
        <v>3325</v>
      </c>
      <c r="B12277" s="2" t="s">
        <v>111</v>
      </c>
      <c r="C12277" s="2">
        <v>613.17020000000002</v>
      </c>
      <c r="D12277" s="2">
        <f>HYPERLINK("http://mcb-m6.bioreg.kyushu-u.ac.jp/M3/20110414/F50959/3109/1", 56.7)</f>
        <v>56.7</v>
      </c>
      <c r="E12277" s="2">
        <v>43.71</v>
      </c>
      <c r="F12277" s="2">
        <v>3</v>
      </c>
      <c r="G12277" s="2" t="s">
        <v>12</v>
      </c>
    </row>
    <row r="12278" spans="1:8" x14ac:dyDescent="0.2">
      <c r="A12278" s="2" t="s">
        <v>3325</v>
      </c>
      <c r="B12278" s="2" t="s">
        <v>650</v>
      </c>
      <c r="C12278" s="2">
        <v>626.75919999999996</v>
      </c>
      <c r="D12278" s="2">
        <f>HYPERLINK("http://mcb-m6.bioreg.kyushu-u.ac.jp/M3/20110414/F50959/1120/1", 56.92)</f>
        <v>56.92</v>
      </c>
      <c r="E12278" s="2">
        <v>33.11</v>
      </c>
      <c r="F12278" s="2">
        <v>2</v>
      </c>
      <c r="G12278" s="2" t="s">
        <v>12</v>
      </c>
    </row>
    <row r="12279" spans="1:8" x14ac:dyDescent="0.2">
      <c r="A12279" s="2" t="s">
        <v>3325</v>
      </c>
      <c r="B12279" s="2" t="s">
        <v>111</v>
      </c>
      <c r="C12279" s="2">
        <v>613.41719999999998</v>
      </c>
      <c r="D12279" s="2">
        <f>HYPERLINK("http://mcb-m6.bioreg.kyushu-u.ac.jp/M3/20110414/F50958/3222/1", 57.87)</f>
        <v>57.87</v>
      </c>
      <c r="E12279" s="2">
        <v>39.700000000000003</v>
      </c>
      <c r="F12279" s="2">
        <v>3</v>
      </c>
      <c r="G12279" s="2" t="s">
        <v>12</v>
      </c>
    </row>
    <row r="12280" spans="1:8" x14ac:dyDescent="0.2">
      <c r="A12280" s="2" t="s">
        <v>3325</v>
      </c>
      <c r="B12280" s="2" t="s">
        <v>650</v>
      </c>
      <c r="C12280" s="2">
        <v>627.31320000000005</v>
      </c>
      <c r="D12280" s="2">
        <f>HYPERLINK("http://mcb-m6.bioreg.kyushu-u.ac.jp/M3/20110414/F50959/1130/1", 58.14)</f>
        <v>58.14</v>
      </c>
      <c r="E12280" s="2">
        <v>31.1</v>
      </c>
      <c r="F12280" s="2">
        <v>2</v>
      </c>
      <c r="G12280" s="2" t="s">
        <v>12</v>
      </c>
    </row>
    <row r="12281" spans="1:8" x14ac:dyDescent="0.2">
      <c r="A12281" s="2" t="s">
        <v>3325</v>
      </c>
      <c r="B12281" s="2" t="s">
        <v>625</v>
      </c>
      <c r="C12281" s="2">
        <v>495.13159999999999</v>
      </c>
      <c r="D12281" s="2">
        <f>HYPERLINK("http://mcb-m6.bioreg.kyushu-u.ac.jp/M3/20110414/F50958/594/1", 60.54)</f>
        <v>60.54</v>
      </c>
      <c r="E12281" s="2">
        <v>31.16</v>
      </c>
      <c r="F12281" s="2">
        <v>2</v>
      </c>
      <c r="G12281" s="2" t="s">
        <v>12</v>
      </c>
    </row>
    <row r="12282" spans="1:8" x14ac:dyDescent="0.2">
      <c r="A12282" s="2" t="s">
        <v>3325</v>
      </c>
      <c r="B12282" s="2" t="s">
        <v>1043</v>
      </c>
      <c r="C12282" s="2">
        <v>741.44119999999998</v>
      </c>
      <c r="D12282" s="2">
        <f>HYPERLINK("http://mcb-m6.bioreg.kyushu-u.ac.jp/M3/20110414/F50946/1965/1", 61.55)</f>
        <v>61.55</v>
      </c>
      <c r="E12282" s="2">
        <v>51.78</v>
      </c>
      <c r="F12282" s="2">
        <v>2</v>
      </c>
      <c r="G12282" s="2" t="s">
        <v>12</v>
      </c>
    </row>
    <row r="12283" spans="1:8" x14ac:dyDescent="0.2">
      <c r="A12283" s="2" t="s">
        <v>3325</v>
      </c>
      <c r="B12283" s="2" t="s">
        <v>650</v>
      </c>
      <c r="C12283" s="2">
        <v>626.6472</v>
      </c>
      <c r="D12283" s="2">
        <f>HYPERLINK("http://mcb-m6.bioreg.kyushu-u.ac.jp/M3/20110414/F50958/1251/1", 61.7)</f>
        <v>61.7</v>
      </c>
      <c r="E12283" s="2">
        <v>26.51</v>
      </c>
      <c r="F12283" s="2">
        <v>2</v>
      </c>
      <c r="G12283" s="2" t="s">
        <v>12</v>
      </c>
    </row>
    <row r="12284" spans="1:8" x14ac:dyDescent="0.2">
      <c r="A12284" s="2" t="s">
        <v>3325</v>
      </c>
      <c r="B12284" s="2" t="s">
        <v>111</v>
      </c>
      <c r="C12284" s="2">
        <v>919.92769999999996</v>
      </c>
      <c r="D12284" s="2">
        <f>HYPERLINK("http://mcb-m6.bioreg.kyushu-u.ac.jp/M3/20110414/F50959/3114/1", 62.87)</f>
        <v>62.87</v>
      </c>
      <c r="E12284" s="2">
        <v>28.17</v>
      </c>
      <c r="F12284" s="2">
        <v>2</v>
      </c>
      <c r="G12284" s="2" t="s">
        <v>12</v>
      </c>
    </row>
    <row r="12285" spans="1:8" x14ac:dyDescent="0.2">
      <c r="A12285" s="2" t="s">
        <v>3325</v>
      </c>
      <c r="B12285" s="2" t="s">
        <v>980</v>
      </c>
      <c r="C12285" s="2">
        <v>976.42819999999995</v>
      </c>
      <c r="D12285" s="2">
        <f>HYPERLINK("http://mcb-m6.bioreg.kyushu-u.ac.jp/M3/20110414/F50959/3453/1", 63.32)</f>
        <v>63.32</v>
      </c>
      <c r="E12285" s="2">
        <v>56.87</v>
      </c>
      <c r="F12285" s="2">
        <v>2</v>
      </c>
      <c r="G12285" s="2" t="s">
        <v>12</v>
      </c>
    </row>
    <row r="12286" spans="1:8" x14ac:dyDescent="0.2">
      <c r="A12286" s="2" t="s">
        <v>3325</v>
      </c>
      <c r="B12286" s="2" t="s">
        <v>1020</v>
      </c>
      <c r="C12286" s="2">
        <v>660.63459999999998</v>
      </c>
      <c r="D12286" s="2">
        <f>HYPERLINK("http://mcb-m6.bioreg.kyushu-u.ac.jp/M3/20110414/F50948/1559/1", 66.04)</f>
        <v>66.040000000000006</v>
      </c>
      <c r="E12286" s="2">
        <v>38.35</v>
      </c>
      <c r="F12286" s="2">
        <v>2</v>
      </c>
      <c r="G12286" s="2" t="s">
        <v>12</v>
      </c>
      <c r="H12286" s="2" t="s">
        <v>4919</v>
      </c>
    </row>
    <row r="12287" spans="1:8" x14ac:dyDescent="0.2">
      <c r="A12287" s="2" t="s">
        <v>3325</v>
      </c>
      <c r="B12287" s="2" t="s">
        <v>1569</v>
      </c>
      <c r="C12287" s="2">
        <v>1130.086</v>
      </c>
      <c r="D12287" s="2">
        <f>HYPERLINK("http://mcb-m6.bioreg.kyushu-u.ac.jp/M3/20110414/F50948/4004/1", 68.56)</f>
        <v>68.56</v>
      </c>
      <c r="E12287" s="2">
        <v>61.24</v>
      </c>
      <c r="F12287" s="2">
        <v>2</v>
      </c>
      <c r="G12287" s="2" t="s">
        <v>12</v>
      </c>
    </row>
    <row r="12288" spans="1:8" x14ac:dyDescent="0.2">
      <c r="A12288" s="2" t="s">
        <v>3325</v>
      </c>
      <c r="B12288" s="2" t="s">
        <v>111</v>
      </c>
      <c r="C12288" s="2">
        <v>919.91269999999997</v>
      </c>
      <c r="D12288" s="2">
        <f>HYPERLINK("http://mcb-m6.bioreg.kyushu-u.ac.jp/M3/20110414/F50958/3224/1", 72.15)</f>
        <v>72.150000000000006</v>
      </c>
      <c r="E12288" s="2">
        <v>37.4</v>
      </c>
      <c r="F12288" s="2">
        <v>2</v>
      </c>
      <c r="G12288" s="2" t="s">
        <v>12</v>
      </c>
    </row>
    <row r="12289" spans="1:7" x14ac:dyDescent="0.2">
      <c r="A12289" s="2" t="s">
        <v>3325</v>
      </c>
      <c r="B12289" s="2" t="s">
        <v>1043</v>
      </c>
      <c r="C12289" s="2">
        <v>741.36659999999995</v>
      </c>
      <c r="D12289" s="2">
        <f>HYPERLINK("http://mcb-m6.bioreg.kyushu-u.ac.jp/M3/20110414/F50948/2091/1", 72.34)</f>
        <v>72.34</v>
      </c>
      <c r="E12289" s="2">
        <v>57.22</v>
      </c>
      <c r="F12289" s="2">
        <v>2</v>
      </c>
      <c r="G12289" s="2" t="s">
        <v>12</v>
      </c>
    </row>
    <row r="12290" spans="1:7" x14ac:dyDescent="0.2">
      <c r="A12290" s="2" t="s">
        <v>3325</v>
      </c>
      <c r="B12290" s="2" t="s">
        <v>1043</v>
      </c>
      <c r="C12290" s="2">
        <v>741.89760000000001</v>
      </c>
      <c r="D12290" s="2">
        <f>HYPERLINK("http://mcb-m6.bioreg.kyushu-u.ac.jp/M3/20110414/F50959/1890/1", 75.6)</f>
        <v>75.599999999999994</v>
      </c>
      <c r="E12290" s="2">
        <v>65.180000000000007</v>
      </c>
      <c r="F12290" s="2">
        <v>2</v>
      </c>
      <c r="G12290" s="2" t="s">
        <v>12</v>
      </c>
    </row>
    <row r="12291" spans="1:7" x14ac:dyDescent="0.2">
      <c r="A12291" s="2" t="s">
        <v>3325</v>
      </c>
      <c r="B12291" s="2" t="s">
        <v>1043</v>
      </c>
      <c r="C12291" s="2">
        <v>741.45320000000004</v>
      </c>
      <c r="D12291" s="2">
        <f>HYPERLINK("http://mcb-m6.bioreg.kyushu-u.ac.jp/M3/20110414/F50947/1970/1", 78.91)</f>
        <v>78.91</v>
      </c>
      <c r="E12291" s="2">
        <v>67.709999999999994</v>
      </c>
      <c r="F12291" s="2">
        <v>2</v>
      </c>
      <c r="G12291" s="2" t="s">
        <v>12</v>
      </c>
    </row>
    <row r="12292" spans="1:7" x14ac:dyDescent="0.2">
      <c r="A12292" s="2" t="s">
        <v>3325</v>
      </c>
      <c r="B12292" s="2" t="s">
        <v>980</v>
      </c>
      <c r="C12292" s="2">
        <v>976.2722</v>
      </c>
      <c r="D12292" s="2">
        <f>HYPERLINK("http://mcb-m6.bioreg.kyushu-u.ac.jp/M3/20110414/F50958/3491/1", 79.2)</f>
        <v>79.2</v>
      </c>
      <c r="E12292" s="2">
        <v>74.81</v>
      </c>
      <c r="F12292" s="2">
        <v>2</v>
      </c>
      <c r="G12292" s="2" t="s">
        <v>12</v>
      </c>
    </row>
    <row r="12293" spans="1:7" x14ac:dyDescent="0.2">
      <c r="A12293" s="2" t="s">
        <v>3325</v>
      </c>
      <c r="B12293" s="2" t="s">
        <v>1569</v>
      </c>
      <c r="C12293" s="2">
        <v>754.41660000000002</v>
      </c>
      <c r="D12293" s="2">
        <f>HYPERLINK("http://mcb-m6.bioreg.kyushu-u.ac.jp/M3/20110414/F50948/4010/1", 81.18)</f>
        <v>81.180000000000007</v>
      </c>
      <c r="E12293" s="2">
        <v>66</v>
      </c>
      <c r="F12293" s="2">
        <v>3</v>
      </c>
      <c r="G12293" s="2" t="s">
        <v>12</v>
      </c>
    </row>
    <row r="12294" spans="1:7" x14ac:dyDescent="0.2">
      <c r="A12294" s="2" t="s">
        <v>3325</v>
      </c>
      <c r="B12294" s="2" t="s">
        <v>980</v>
      </c>
      <c r="C12294" s="2">
        <v>976.96770000000004</v>
      </c>
      <c r="D12294" s="2">
        <f>HYPERLINK("http://mcb-m6.bioreg.kyushu-u.ac.jp/M3/20110414/F50958/3498/1", 81.53)</f>
        <v>81.53</v>
      </c>
      <c r="E12294" s="2">
        <v>71.06</v>
      </c>
      <c r="F12294" s="2">
        <v>2</v>
      </c>
      <c r="G12294" s="2" t="s">
        <v>12</v>
      </c>
    </row>
    <row r="12295" spans="1:7" x14ac:dyDescent="0.2">
      <c r="A12295" s="2" t="s">
        <v>3325</v>
      </c>
      <c r="B12295" s="2" t="s">
        <v>1569</v>
      </c>
      <c r="C12295" s="2">
        <v>754.31119999999999</v>
      </c>
      <c r="D12295" s="2">
        <f>HYPERLINK("http://mcb-m6.bioreg.kyushu-u.ac.jp/M3/20110414/F50958/4131/1", 81.72)</f>
        <v>81.72</v>
      </c>
      <c r="E12295" s="2">
        <v>70.86</v>
      </c>
      <c r="F12295" s="2">
        <v>3</v>
      </c>
      <c r="G12295" s="2" t="s">
        <v>12</v>
      </c>
    </row>
    <row r="12296" spans="1:7" x14ac:dyDescent="0.2">
      <c r="A12296" s="2" t="s">
        <v>3325</v>
      </c>
      <c r="B12296" s="2" t="s">
        <v>1043</v>
      </c>
      <c r="C12296" s="2">
        <v>741.28859999999997</v>
      </c>
      <c r="D12296" s="2">
        <f>HYPERLINK("http://mcb-m6.bioreg.kyushu-u.ac.jp/M3/20110414/F50963/1839/1", 82.27)</f>
        <v>82.27</v>
      </c>
      <c r="E12296" s="2">
        <v>68.09</v>
      </c>
      <c r="F12296" s="2">
        <v>2</v>
      </c>
      <c r="G12296" s="2" t="s">
        <v>12</v>
      </c>
    </row>
    <row r="12297" spans="1:7" x14ac:dyDescent="0.2">
      <c r="A12297" s="2" t="s">
        <v>3325</v>
      </c>
      <c r="B12297" s="2" t="s">
        <v>980</v>
      </c>
      <c r="C12297" s="2">
        <v>976.45820000000003</v>
      </c>
      <c r="D12297" s="2">
        <f>HYPERLINK("http://mcb-m6.bioreg.kyushu-u.ac.jp/M3/20110414/F50958/3495/1", 87.22)</f>
        <v>87.22</v>
      </c>
      <c r="E12297" s="2">
        <v>78.14</v>
      </c>
      <c r="F12297" s="2">
        <v>2</v>
      </c>
      <c r="G12297" s="2" t="s">
        <v>12</v>
      </c>
    </row>
    <row r="12298" spans="1:7" x14ac:dyDescent="0.2">
      <c r="A12298" s="2" t="s">
        <v>3325</v>
      </c>
      <c r="B12298" s="2" t="s">
        <v>237</v>
      </c>
      <c r="C12298" s="2">
        <v>599.84220000000005</v>
      </c>
      <c r="D12298" s="2">
        <f>HYPERLINK("http://mcb-m6.bioreg.kyushu-u.ac.jp/M3/20110414/F50958/1125/1", 89.82)</f>
        <v>89.82</v>
      </c>
      <c r="E12298" s="2">
        <v>42.2</v>
      </c>
      <c r="F12298" s="2">
        <v>2</v>
      </c>
      <c r="G12298" s="2" t="s">
        <v>12</v>
      </c>
    </row>
    <row r="12299" spans="1:7" x14ac:dyDescent="0.2">
      <c r="A12299" s="2" t="s">
        <v>3325</v>
      </c>
      <c r="B12299" s="2" t="s">
        <v>1569</v>
      </c>
      <c r="C12299" s="2">
        <v>1130.309</v>
      </c>
      <c r="D12299" s="2">
        <f>HYPERLINK("http://mcb-m6.bioreg.kyushu-u.ac.jp/M3/20110414/F50958/4129/1", 90.17)</f>
        <v>90.17</v>
      </c>
      <c r="E12299" s="2">
        <v>78.94</v>
      </c>
      <c r="F12299" s="2">
        <v>2</v>
      </c>
      <c r="G12299" s="2" t="s">
        <v>12</v>
      </c>
    </row>
    <row r="12300" spans="1:7" x14ac:dyDescent="0.2">
      <c r="A12300" s="2" t="s">
        <v>3325</v>
      </c>
      <c r="B12300" s="2" t="s">
        <v>1043</v>
      </c>
      <c r="C12300" s="2">
        <v>741.21420000000001</v>
      </c>
      <c r="D12300" s="2">
        <f>HYPERLINK("http://mcb-m6.bioreg.kyushu-u.ac.jp/M3/20110414/F50958/1985/1", 97.68)</f>
        <v>97.68</v>
      </c>
      <c r="E12300" s="2">
        <v>80.11</v>
      </c>
      <c r="F12300" s="2">
        <v>2</v>
      </c>
      <c r="G12300" s="2" t="s">
        <v>12</v>
      </c>
    </row>
    <row r="12301" spans="1:7" x14ac:dyDescent="0.2">
      <c r="A12301" s="2" t="s">
        <v>3325</v>
      </c>
      <c r="B12301" s="2" t="s">
        <v>1569</v>
      </c>
      <c r="C12301" s="2">
        <v>1130.903</v>
      </c>
      <c r="D12301" s="2">
        <f>HYPERLINK("http://mcb-m6.bioreg.kyushu-u.ac.jp/M3/20110414/F50959/4102/1", 120.33)</f>
        <v>120.33</v>
      </c>
      <c r="E12301" s="2">
        <v>111.33</v>
      </c>
      <c r="F12301" s="2">
        <v>2</v>
      </c>
      <c r="G12301" s="2" t="s">
        <v>12</v>
      </c>
    </row>
    <row r="12302" spans="1:7" x14ac:dyDescent="0.2">
      <c r="A12302" s="2" t="s">
        <v>3325</v>
      </c>
      <c r="B12302" s="2" t="s">
        <v>254</v>
      </c>
      <c r="C12302" s="2">
        <v>497.44659999999999</v>
      </c>
      <c r="D12302" s="2">
        <f>HYPERLINK("http://mcb-m6.bioreg.kyushu-u.ac.jp/M3/20110502/F51188/836/1", 35.52)</f>
        <v>35.520000000000003</v>
      </c>
      <c r="E12302" s="2">
        <v>10.83</v>
      </c>
      <c r="F12302" s="2">
        <v>2</v>
      </c>
      <c r="G12302" s="2" t="s">
        <v>13</v>
      </c>
    </row>
    <row r="12303" spans="1:7" x14ac:dyDescent="0.2">
      <c r="A12303" s="2" t="s">
        <v>3325</v>
      </c>
      <c r="B12303" s="2" t="s">
        <v>1569</v>
      </c>
      <c r="C12303" s="2">
        <v>1130.692</v>
      </c>
      <c r="D12303" s="2">
        <f>HYPERLINK("http://mcb-m6.bioreg.kyushu-u.ac.jp/M3/20110502/F51172/3941/1", 42.95)</f>
        <v>42.95</v>
      </c>
      <c r="E12303" s="2">
        <v>35.340000000000003</v>
      </c>
      <c r="F12303" s="2">
        <v>2</v>
      </c>
      <c r="G12303" s="2" t="s">
        <v>13</v>
      </c>
    </row>
    <row r="12304" spans="1:7" x14ac:dyDescent="0.2">
      <c r="A12304" s="2" t="s">
        <v>3325</v>
      </c>
      <c r="B12304" s="2" t="s">
        <v>254</v>
      </c>
      <c r="C12304" s="2">
        <v>993.64800000000002</v>
      </c>
      <c r="D12304" s="2">
        <f>HYPERLINK("http://mcb-m6.bioreg.kyushu-u.ac.jp/M3/20110502/F51188/834/1", 43.55)</f>
        <v>43.55</v>
      </c>
      <c r="E12304" s="2">
        <v>22.67</v>
      </c>
      <c r="F12304" s="2">
        <v>1</v>
      </c>
      <c r="G12304" s="2" t="s">
        <v>13</v>
      </c>
    </row>
    <row r="12305" spans="1:8" x14ac:dyDescent="0.2">
      <c r="A12305" s="2" t="s">
        <v>3325</v>
      </c>
      <c r="B12305" s="2" t="s">
        <v>237</v>
      </c>
      <c r="C12305" s="2">
        <v>1199.9580000000001</v>
      </c>
      <c r="D12305" s="2">
        <f>HYPERLINK("http://mcb-m6.bioreg.kyushu-u.ac.jp/M3/20110502/F51188/1277/1", 43.69)</f>
        <v>43.69</v>
      </c>
      <c r="E12305" s="2">
        <v>25.65</v>
      </c>
      <c r="F12305" s="2">
        <v>1</v>
      </c>
      <c r="G12305" s="2" t="s">
        <v>13</v>
      </c>
    </row>
    <row r="12306" spans="1:8" x14ac:dyDescent="0.2">
      <c r="A12306" s="2" t="s">
        <v>3325</v>
      </c>
      <c r="B12306" s="2" t="s">
        <v>237</v>
      </c>
      <c r="C12306" s="2">
        <v>1199.9639999999999</v>
      </c>
      <c r="D12306" s="2">
        <f>HYPERLINK("http://mcb-m6.bioreg.kyushu-u.ac.jp/M3/20110502/F51172/1280/1", 46.53)</f>
        <v>46.53</v>
      </c>
      <c r="E12306" s="2">
        <v>25.61</v>
      </c>
      <c r="F12306" s="2">
        <v>1</v>
      </c>
      <c r="G12306" s="2" t="s">
        <v>13</v>
      </c>
    </row>
    <row r="12307" spans="1:8" x14ac:dyDescent="0.2">
      <c r="A12307" s="2" t="s">
        <v>3325</v>
      </c>
      <c r="B12307" s="2" t="s">
        <v>625</v>
      </c>
      <c r="C12307" s="2">
        <v>495.42660000000001</v>
      </c>
      <c r="D12307" s="2">
        <f>HYPERLINK("http://mcb-m6.bioreg.kyushu-u.ac.jp/M3/20110502/F51188/823/1", 50.18)</f>
        <v>50.18</v>
      </c>
      <c r="E12307" s="2">
        <v>3.73</v>
      </c>
      <c r="F12307" s="2">
        <v>2</v>
      </c>
      <c r="G12307" s="2" t="s">
        <v>13</v>
      </c>
    </row>
    <row r="12308" spans="1:8" x14ac:dyDescent="0.2">
      <c r="A12308" s="2" t="s">
        <v>3325</v>
      </c>
      <c r="B12308" s="2" t="s">
        <v>650</v>
      </c>
      <c r="C12308" s="2">
        <v>627.17020000000002</v>
      </c>
      <c r="D12308" s="2">
        <f>HYPERLINK("http://mcb-m6.bioreg.kyushu-u.ac.jp/M3/20110502/F51172/1415/1", 57.38)</f>
        <v>57.38</v>
      </c>
      <c r="E12308" s="2">
        <v>27.12</v>
      </c>
      <c r="F12308" s="2">
        <v>2</v>
      </c>
      <c r="G12308" s="2" t="s">
        <v>13</v>
      </c>
    </row>
    <row r="12309" spans="1:8" x14ac:dyDescent="0.2">
      <c r="A12309" s="2" t="s">
        <v>3325</v>
      </c>
      <c r="B12309" s="2" t="s">
        <v>1043</v>
      </c>
      <c r="C12309" s="2">
        <v>741.72969999999998</v>
      </c>
      <c r="D12309" s="2">
        <f>HYPERLINK("http://mcb-m6.bioreg.kyushu-u.ac.jp/M3/20110502/F51187/1752/1", 58.4)</f>
        <v>58.4</v>
      </c>
      <c r="E12309" s="2">
        <v>38.07</v>
      </c>
      <c r="F12309" s="2">
        <v>2</v>
      </c>
      <c r="G12309" s="2" t="s">
        <v>13</v>
      </c>
    </row>
    <row r="12310" spans="1:8" x14ac:dyDescent="0.2">
      <c r="A12310" s="2" t="s">
        <v>3325</v>
      </c>
      <c r="B12310" s="2" t="s">
        <v>1020</v>
      </c>
      <c r="C12310" s="2">
        <v>660.51570000000004</v>
      </c>
      <c r="D12310" s="2">
        <f>HYPERLINK("http://mcb-m6.bioreg.kyushu-u.ac.jp/M3/20110502/F51188/1442/1", 59.32)</f>
        <v>59.32</v>
      </c>
      <c r="E12310" s="2">
        <v>35.22</v>
      </c>
      <c r="F12310" s="2">
        <v>2</v>
      </c>
      <c r="G12310" s="2" t="s">
        <v>13</v>
      </c>
      <c r="H12310" s="2" t="s">
        <v>4919</v>
      </c>
    </row>
    <row r="12311" spans="1:8" x14ac:dyDescent="0.2">
      <c r="A12311" s="2" t="s">
        <v>3325</v>
      </c>
      <c r="B12311" s="2" t="s">
        <v>1020</v>
      </c>
      <c r="C12311" s="2">
        <v>652.73969999999997</v>
      </c>
      <c r="D12311" s="2">
        <f>HYPERLINK("http://mcb-m6.bioreg.kyushu-u.ac.jp/M3/20110502/F51173/1292/1", 64.17)</f>
        <v>64.17</v>
      </c>
      <c r="E12311" s="2">
        <v>40.26</v>
      </c>
      <c r="F12311" s="2">
        <v>2</v>
      </c>
      <c r="G12311" s="2" t="s">
        <v>13</v>
      </c>
    </row>
    <row r="12312" spans="1:8" x14ac:dyDescent="0.2">
      <c r="A12312" s="2" t="s">
        <v>3325</v>
      </c>
      <c r="B12312" s="2" t="s">
        <v>1020</v>
      </c>
      <c r="C12312" s="2">
        <v>652.58219999999994</v>
      </c>
      <c r="D12312" s="2">
        <f>HYPERLINK("http://mcb-m6.bioreg.kyushu-u.ac.jp/M3/20110502/F51172/1533/1", 68.95)</f>
        <v>68.95</v>
      </c>
      <c r="E12312" s="2">
        <v>39.9</v>
      </c>
      <c r="F12312" s="2">
        <v>2</v>
      </c>
      <c r="G12312" s="2" t="s">
        <v>13</v>
      </c>
    </row>
    <row r="12313" spans="1:8" x14ac:dyDescent="0.2">
      <c r="A12313" s="2" t="s">
        <v>3325</v>
      </c>
      <c r="B12313" s="2" t="s">
        <v>1043</v>
      </c>
      <c r="C12313" s="2">
        <v>741.69320000000005</v>
      </c>
      <c r="D12313" s="2">
        <f>HYPERLINK("http://mcb-m6.bioreg.kyushu-u.ac.jp/M3/20110502/F51172/2095/1", 75.34)</f>
        <v>75.34</v>
      </c>
      <c r="E12313" s="2">
        <v>59.35</v>
      </c>
      <c r="F12313" s="2">
        <v>2</v>
      </c>
      <c r="G12313" s="2" t="s">
        <v>13</v>
      </c>
    </row>
    <row r="12314" spans="1:8" x14ac:dyDescent="0.2">
      <c r="A12314" s="2" t="s">
        <v>3325</v>
      </c>
      <c r="B12314" s="2" t="s">
        <v>1043</v>
      </c>
      <c r="C12314" s="2">
        <v>741.62519999999995</v>
      </c>
      <c r="D12314" s="2">
        <f>HYPERLINK("http://mcb-m6.bioreg.kyushu-u.ac.jp/M3/20110502/F51173/1806/1", 84.36)</f>
        <v>84.36</v>
      </c>
      <c r="E12314" s="2">
        <v>63.4</v>
      </c>
      <c r="F12314" s="2">
        <v>2</v>
      </c>
      <c r="G12314" s="2" t="s">
        <v>13</v>
      </c>
    </row>
    <row r="12315" spans="1:8" x14ac:dyDescent="0.2">
      <c r="A12315" s="2" t="s">
        <v>3325</v>
      </c>
      <c r="B12315" s="2" t="s">
        <v>1043</v>
      </c>
      <c r="C12315" s="2">
        <v>741.66560000000004</v>
      </c>
      <c r="D12315" s="2">
        <f>HYPERLINK("http://mcb-m6.bioreg.kyushu-u.ac.jp/M3/20110502/F51188/1855/1", 96.26)</f>
        <v>96.26</v>
      </c>
      <c r="E12315" s="2">
        <v>77.319999999999993</v>
      </c>
      <c r="F12315" s="2">
        <v>2</v>
      </c>
      <c r="G12315" s="2" t="s">
        <v>13</v>
      </c>
    </row>
    <row r="12316" spans="1:8" x14ac:dyDescent="0.2">
      <c r="A12316" s="2" t="s">
        <v>3325</v>
      </c>
      <c r="B12316" s="2" t="s">
        <v>1569</v>
      </c>
      <c r="C12316" s="2">
        <v>1131.1089999999999</v>
      </c>
      <c r="D12316" s="2">
        <f>HYPERLINK("http://mcb-m6.bioreg.kyushu-u.ac.jp/M3/20110502/F51188/3016/1", 127.97)</f>
        <v>127.97</v>
      </c>
      <c r="E12316" s="2">
        <v>118.63</v>
      </c>
      <c r="F12316" s="2">
        <v>2</v>
      </c>
      <c r="G12316" s="2" t="s">
        <v>13</v>
      </c>
    </row>
    <row r="12317" spans="1:8" x14ac:dyDescent="0.2">
      <c r="A12317" s="2" t="s">
        <v>3325</v>
      </c>
      <c r="B12317" s="2" t="s">
        <v>254</v>
      </c>
      <c r="C12317" s="2">
        <v>497.21660000000003</v>
      </c>
      <c r="D12317" s="2">
        <f>HYPERLINK("http://mcb-m6.bioreg.kyushu-u.ac.jp/M3/20110502/F51192/656/1", 36.09)</f>
        <v>36.090000000000003</v>
      </c>
      <c r="E12317" s="2">
        <v>16.04</v>
      </c>
      <c r="F12317" s="2">
        <v>2</v>
      </c>
      <c r="G12317" s="2" t="s">
        <v>14</v>
      </c>
    </row>
    <row r="12318" spans="1:8" x14ac:dyDescent="0.2">
      <c r="A12318" s="2" t="s">
        <v>3325</v>
      </c>
      <c r="B12318" s="2" t="s">
        <v>254</v>
      </c>
      <c r="C12318" s="2">
        <v>993.48400000000004</v>
      </c>
      <c r="D12318" s="2">
        <f>HYPERLINK("http://mcb-m6.bioreg.kyushu-u.ac.jp/M3/20110502/F51192/657/1", 39.36)</f>
        <v>39.36</v>
      </c>
      <c r="E12318" s="2">
        <v>16.739999999999998</v>
      </c>
      <c r="F12318" s="2">
        <v>1</v>
      </c>
      <c r="G12318" s="2" t="s">
        <v>14</v>
      </c>
    </row>
    <row r="12319" spans="1:8" x14ac:dyDescent="0.2">
      <c r="A12319" s="2" t="s">
        <v>3325</v>
      </c>
      <c r="B12319" s="2" t="s">
        <v>237</v>
      </c>
      <c r="C12319" s="2">
        <v>1199.665</v>
      </c>
      <c r="D12319" s="2">
        <f>HYPERLINK("http://mcb-m6.bioreg.kyushu-u.ac.jp/M3/20110502/F51192/1120/1", 43.61)</f>
        <v>43.61</v>
      </c>
      <c r="E12319" s="2">
        <v>23.12</v>
      </c>
      <c r="F12319" s="2">
        <v>1</v>
      </c>
      <c r="G12319" s="2" t="s">
        <v>14</v>
      </c>
    </row>
    <row r="12320" spans="1:8" x14ac:dyDescent="0.2">
      <c r="A12320" s="2" t="s">
        <v>3325</v>
      </c>
      <c r="B12320" s="2" t="s">
        <v>1020</v>
      </c>
      <c r="C12320" s="2">
        <v>660.32209999999998</v>
      </c>
      <c r="D12320" s="2">
        <f>HYPERLINK("http://mcb-m6.bioreg.kyushu-u.ac.jp/M3/20110502/F51192/1324/1", 47.47)</f>
        <v>47.47</v>
      </c>
      <c r="E12320" s="2">
        <v>35.659999999999997</v>
      </c>
      <c r="F12320" s="2">
        <v>2</v>
      </c>
      <c r="G12320" s="2" t="s">
        <v>14</v>
      </c>
      <c r="H12320" s="2" t="s">
        <v>4919</v>
      </c>
    </row>
    <row r="12321" spans="1:8" x14ac:dyDescent="0.2">
      <c r="A12321" s="2" t="s">
        <v>3325</v>
      </c>
      <c r="B12321" s="2" t="s">
        <v>1020</v>
      </c>
      <c r="C12321" s="2">
        <v>652.58669999999995</v>
      </c>
      <c r="D12321" s="2">
        <f>HYPERLINK("http://mcb-m6.bioreg.kyushu-u.ac.jp/M3/20110502/F51193/1358/1", 61.44)</f>
        <v>61.44</v>
      </c>
      <c r="E12321" s="2">
        <v>31.28</v>
      </c>
      <c r="F12321" s="2">
        <v>2</v>
      </c>
      <c r="G12321" s="2" t="s">
        <v>14</v>
      </c>
    </row>
    <row r="12322" spans="1:8" x14ac:dyDescent="0.2">
      <c r="A12322" s="2" t="s">
        <v>3325</v>
      </c>
      <c r="B12322" s="2" t="s">
        <v>625</v>
      </c>
      <c r="C12322" s="2">
        <v>495.46559999999999</v>
      </c>
      <c r="D12322" s="2">
        <f>HYPERLINK("http://mcb-m6.bioreg.kyushu-u.ac.jp/M3/20110502/F51192/651/1", 63.85)</f>
        <v>63.85</v>
      </c>
      <c r="E12322" s="2">
        <v>18.100000000000001</v>
      </c>
      <c r="F12322" s="2">
        <v>2</v>
      </c>
      <c r="G12322" s="2" t="s">
        <v>14</v>
      </c>
    </row>
    <row r="12323" spans="1:8" x14ac:dyDescent="0.2">
      <c r="A12323" s="2" t="s">
        <v>3325</v>
      </c>
      <c r="B12323" s="2" t="s">
        <v>237</v>
      </c>
      <c r="C12323" s="2">
        <v>600.91470000000004</v>
      </c>
      <c r="D12323" s="2">
        <f>HYPERLINK("http://mcb-m6.bioreg.kyushu-u.ac.jp/M3/20110502/F51192/1128/1", 63.89)</f>
        <v>63.89</v>
      </c>
      <c r="E12323" s="2">
        <v>27.74</v>
      </c>
      <c r="F12323" s="2">
        <v>2</v>
      </c>
      <c r="G12323" s="2" t="s">
        <v>14</v>
      </c>
    </row>
    <row r="12324" spans="1:8" x14ac:dyDescent="0.2">
      <c r="A12324" s="2" t="s">
        <v>3325</v>
      </c>
      <c r="B12324" s="2" t="s">
        <v>1020</v>
      </c>
      <c r="C12324" s="2">
        <v>660.75160000000005</v>
      </c>
      <c r="D12324" s="2">
        <f>HYPERLINK("http://mcb-m6.bioreg.kyushu-u.ac.jp/M3/20110502/F51192/1327/1", 63.96)</f>
        <v>63.96</v>
      </c>
      <c r="E12324" s="2">
        <v>51.28</v>
      </c>
      <c r="F12324" s="2">
        <v>2</v>
      </c>
      <c r="G12324" s="2" t="s">
        <v>14</v>
      </c>
      <c r="H12324" s="2" t="s">
        <v>4919</v>
      </c>
    </row>
    <row r="12325" spans="1:8" x14ac:dyDescent="0.2">
      <c r="A12325" s="2" t="s">
        <v>3325</v>
      </c>
      <c r="B12325" s="2" t="s">
        <v>650</v>
      </c>
      <c r="C12325" s="2">
        <v>626.92970000000003</v>
      </c>
      <c r="D12325" s="2">
        <f>HYPERLINK("http://mcb-m6.bioreg.kyushu-u.ac.jp/M3/20110502/F51192/1208/1", 68.67)</f>
        <v>68.67</v>
      </c>
      <c r="E12325" s="2">
        <v>45.67</v>
      </c>
      <c r="F12325" s="2">
        <v>2</v>
      </c>
      <c r="G12325" s="2" t="s">
        <v>14</v>
      </c>
    </row>
    <row r="12326" spans="1:8" x14ac:dyDescent="0.2">
      <c r="A12326" s="2" t="s">
        <v>3325</v>
      </c>
      <c r="B12326" s="2" t="s">
        <v>650</v>
      </c>
      <c r="C12326" s="2">
        <v>635.02509999999995</v>
      </c>
      <c r="D12326" s="2">
        <f>HYPERLINK("http://mcb-m6.bioreg.kyushu-u.ac.jp/M3/20110502/F51192/1247/1", 78.87)</f>
        <v>78.87</v>
      </c>
      <c r="E12326" s="2">
        <v>32.81</v>
      </c>
      <c r="F12326" s="2">
        <v>2</v>
      </c>
      <c r="G12326" s="2" t="s">
        <v>14</v>
      </c>
      <c r="H12326" s="2" t="s">
        <v>4908</v>
      </c>
    </row>
    <row r="12327" spans="1:8" x14ac:dyDescent="0.2">
      <c r="A12327" s="2" t="s">
        <v>3325</v>
      </c>
      <c r="B12327" s="2" t="s">
        <v>980</v>
      </c>
      <c r="C12327" s="2">
        <v>976.79420000000005</v>
      </c>
      <c r="D12327" s="2">
        <f>HYPERLINK("http://mcb-m6.bioreg.kyushu-u.ac.jp/M3/20110502/F51192/2880/1", 80.47)</f>
        <v>80.47</v>
      </c>
      <c r="E12327" s="2">
        <v>65.349999999999994</v>
      </c>
      <c r="F12327" s="2">
        <v>2</v>
      </c>
      <c r="G12327" s="2" t="s">
        <v>14</v>
      </c>
    </row>
    <row r="12328" spans="1:8" x14ac:dyDescent="0.2">
      <c r="A12328" s="2" t="s">
        <v>3325</v>
      </c>
      <c r="B12328" s="2" t="s">
        <v>1043</v>
      </c>
      <c r="C12328" s="2">
        <v>741.44119999999998</v>
      </c>
      <c r="D12328" s="2">
        <f>HYPERLINK("http://mcb-m6.bioreg.kyushu-u.ac.jp/M3/20110502/F51192/1795/1", 93.76)</f>
        <v>93.76</v>
      </c>
      <c r="E12328" s="2">
        <v>83.98</v>
      </c>
      <c r="F12328" s="2">
        <v>2</v>
      </c>
      <c r="G12328" s="2" t="s">
        <v>14</v>
      </c>
    </row>
    <row r="12329" spans="1:8" x14ac:dyDescent="0.2">
      <c r="A12329" s="2" t="s">
        <v>3325</v>
      </c>
      <c r="B12329" s="2" t="s">
        <v>1569</v>
      </c>
      <c r="C12329" s="2">
        <v>1130.951</v>
      </c>
      <c r="D12329" s="2">
        <f>HYPERLINK("http://mcb-m6.bioreg.kyushu-u.ac.jp/M3/20110502/F51192/3297/1", 101.02)</f>
        <v>101.02</v>
      </c>
      <c r="E12329" s="2">
        <v>96.47</v>
      </c>
      <c r="F12329" s="2">
        <v>2</v>
      </c>
      <c r="G12329" s="2" t="s">
        <v>14</v>
      </c>
    </row>
    <row r="12330" spans="1:8" x14ac:dyDescent="0.2">
      <c r="A12330" s="2" t="s">
        <v>3633</v>
      </c>
      <c r="B12330" s="2" t="s">
        <v>548</v>
      </c>
      <c r="C12330" s="2">
        <v>1180.6189999999999</v>
      </c>
      <c r="D12330" s="2">
        <f>HYPERLINK("http://mcb-m6.bioreg.kyushu-u.ac.jp/M3/20110411/F50915/1123/1", 44.58)</f>
        <v>44.58</v>
      </c>
      <c r="E12330" s="2">
        <v>17.14</v>
      </c>
      <c r="F12330" s="2">
        <v>1</v>
      </c>
      <c r="G12330" s="2" t="s">
        <v>9</v>
      </c>
    </row>
    <row r="12331" spans="1:8" x14ac:dyDescent="0.2">
      <c r="A12331" s="2" t="s">
        <v>3633</v>
      </c>
      <c r="B12331" s="2" t="s">
        <v>548</v>
      </c>
      <c r="C12331" s="2">
        <v>590.50570000000005</v>
      </c>
      <c r="D12331" s="2">
        <f>HYPERLINK("http://mcb-m6.bioreg.kyushu-u.ac.jp/M3/20110411/F50902/1406/1", 36.61)</f>
        <v>36.61</v>
      </c>
      <c r="E12331" s="2">
        <v>8.9</v>
      </c>
      <c r="F12331" s="2">
        <v>2</v>
      </c>
      <c r="G12331" s="2" t="s">
        <v>10</v>
      </c>
    </row>
    <row r="12332" spans="1:8" x14ac:dyDescent="0.2">
      <c r="A12332" s="2" t="s">
        <v>3633</v>
      </c>
      <c r="B12332" s="2" t="s">
        <v>548</v>
      </c>
      <c r="C12332" s="2">
        <v>1180.6559999999999</v>
      </c>
      <c r="D12332" s="2">
        <f>HYPERLINK("http://mcb-m6.bioreg.kyushu-u.ac.jp/M3/20110411/F50917/1196/1", 46.41)</f>
        <v>46.41</v>
      </c>
      <c r="E12332" s="2">
        <v>25.36</v>
      </c>
      <c r="F12332" s="2">
        <v>1</v>
      </c>
      <c r="G12332" s="2" t="s">
        <v>10</v>
      </c>
    </row>
    <row r="12333" spans="1:8" x14ac:dyDescent="0.2">
      <c r="A12333" s="2" t="s">
        <v>3633</v>
      </c>
      <c r="B12333" s="2" t="s">
        <v>548</v>
      </c>
      <c r="C12333" s="2">
        <v>590.88120000000004</v>
      </c>
      <c r="D12333" s="2">
        <f>HYPERLINK("http://mcb-m6.bioreg.kyushu-u.ac.jp/M3/20110411/F50914/1412/1", 46.77)</f>
        <v>46.77</v>
      </c>
      <c r="E12333" s="2">
        <v>27.19</v>
      </c>
      <c r="F12333" s="2">
        <v>2</v>
      </c>
      <c r="G12333" s="2" t="s">
        <v>10</v>
      </c>
    </row>
    <row r="12334" spans="1:8" x14ac:dyDescent="0.2">
      <c r="A12334" s="2" t="s">
        <v>3633</v>
      </c>
      <c r="B12334" s="2" t="s">
        <v>548</v>
      </c>
      <c r="C12334" s="2">
        <v>590.81960000000004</v>
      </c>
      <c r="D12334" s="2">
        <f>HYPERLINK("http://mcb-m6.bioreg.kyushu-u.ac.jp/M3/20110414/F50943/1199/1", 37.46)</f>
        <v>37.46</v>
      </c>
      <c r="E12334" s="2">
        <v>18.22</v>
      </c>
      <c r="F12334" s="2">
        <v>2</v>
      </c>
      <c r="G12334" s="2" t="s">
        <v>11</v>
      </c>
    </row>
    <row r="12335" spans="1:8" x14ac:dyDescent="0.2">
      <c r="A12335" s="2" t="s">
        <v>3633</v>
      </c>
      <c r="B12335" s="2" t="s">
        <v>548</v>
      </c>
      <c r="C12335" s="2">
        <v>1180.4449999999999</v>
      </c>
      <c r="D12335" s="2">
        <f>HYPERLINK("http://mcb-m6.bioreg.kyushu-u.ac.jp/M3/20110414/F50956/1002/1", 45.85)</f>
        <v>45.85</v>
      </c>
      <c r="E12335" s="2">
        <v>24.13</v>
      </c>
      <c r="F12335" s="2">
        <v>1</v>
      </c>
      <c r="G12335" s="2" t="s">
        <v>11</v>
      </c>
    </row>
    <row r="12336" spans="1:8" x14ac:dyDescent="0.2">
      <c r="A12336" s="2" t="s">
        <v>3633</v>
      </c>
      <c r="B12336" s="2" t="s">
        <v>548</v>
      </c>
      <c r="C12336" s="2">
        <v>590.71810000000005</v>
      </c>
      <c r="D12336" s="2">
        <f>HYPERLINK("http://mcb-m6.bioreg.kyushu-u.ac.jp/M3/20110414/F50948/1200/1", 39.22)</f>
        <v>39.22</v>
      </c>
      <c r="E12336" s="2">
        <v>21.08</v>
      </c>
      <c r="F12336" s="2">
        <v>2</v>
      </c>
      <c r="G12336" s="2" t="s">
        <v>12</v>
      </c>
    </row>
    <row r="12337" spans="1:8" x14ac:dyDescent="0.2">
      <c r="A12337" s="2" t="s">
        <v>3633</v>
      </c>
      <c r="B12337" s="2" t="s">
        <v>548</v>
      </c>
      <c r="C12337" s="2">
        <v>1180.402</v>
      </c>
      <c r="D12337" s="2">
        <f>HYPERLINK("http://mcb-m6.bioreg.kyushu-u.ac.jp/M3/20110414/F50958/1064/1", 47.92)</f>
        <v>47.92</v>
      </c>
      <c r="E12337" s="2">
        <v>20.28</v>
      </c>
      <c r="F12337" s="2">
        <v>1</v>
      </c>
      <c r="G12337" s="2" t="s">
        <v>12</v>
      </c>
    </row>
    <row r="12338" spans="1:8" x14ac:dyDescent="0.2">
      <c r="A12338" s="2" t="s">
        <v>3633</v>
      </c>
      <c r="B12338" s="2" t="s">
        <v>548</v>
      </c>
      <c r="C12338" s="2">
        <v>591.20719999999994</v>
      </c>
      <c r="D12338" s="2">
        <f>HYPERLINK("http://mcb-m6.bioreg.kyushu-u.ac.jp/M3/20110502/F51188/1211/1", 49.7)</f>
        <v>49.7</v>
      </c>
      <c r="E12338" s="2">
        <v>28.03</v>
      </c>
      <c r="F12338" s="2">
        <v>2</v>
      </c>
      <c r="G12338" s="2" t="s">
        <v>13</v>
      </c>
    </row>
    <row r="12339" spans="1:8" x14ac:dyDescent="0.2">
      <c r="A12339" s="2" t="s">
        <v>3633</v>
      </c>
      <c r="B12339" s="2" t="s">
        <v>548</v>
      </c>
      <c r="C12339" s="2">
        <v>591.13919999999996</v>
      </c>
      <c r="D12339" s="2">
        <f>HYPERLINK("http://mcb-m6.bioreg.kyushu-u.ac.jp/M3/20110502/F51192/1058/1", 47.42)</f>
        <v>47.42</v>
      </c>
      <c r="E12339" s="2">
        <v>22.99</v>
      </c>
      <c r="F12339" s="2">
        <v>2</v>
      </c>
      <c r="G12339" s="2" t="s">
        <v>14</v>
      </c>
    </row>
    <row r="12340" spans="1:8" x14ac:dyDescent="0.2">
      <c r="A12340" s="2" t="s">
        <v>3509</v>
      </c>
      <c r="B12340" s="2" t="s">
        <v>348</v>
      </c>
      <c r="C12340" s="2">
        <v>817.40309999999999</v>
      </c>
      <c r="D12340" s="2">
        <f>HYPERLINK("http://mcb-m6.bioreg.kyushu-u.ac.jp/M3/20110411/F50915/2361/1", 40.09)</f>
        <v>40.090000000000003</v>
      </c>
      <c r="E12340" s="2">
        <v>29.12</v>
      </c>
      <c r="F12340" s="2">
        <v>2</v>
      </c>
      <c r="G12340" s="2" t="s">
        <v>9</v>
      </c>
      <c r="H12340" s="2" t="s">
        <v>4919</v>
      </c>
    </row>
    <row r="12341" spans="1:8" x14ac:dyDescent="0.2">
      <c r="A12341" s="2" t="s">
        <v>3509</v>
      </c>
      <c r="B12341" s="2" t="s">
        <v>809</v>
      </c>
      <c r="C12341" s="2">
        <v>618.52070000000003</v>
      </c>
      <c r="D12341" s="2">
        <f>HYPERLINK("http://mcb-m6.bioreg.kyushu-u.ac.jp/M3/20110411/F50915/1245/1", 51.96)</f>
        <v>51.96</v>
      </c>
      <c r="E12341" s="2">
        <v>35.229999999999997</v>
      </c>
      <c r="F12341" s="2">
        <v>2</v>
      </c>
      <c r="G12341" s="2" t="s">
        <v>9</v>
      </c>
    </row>
    <row r="12342" spans="1:8" x14ac:dyDescent="0.2">
      <c r="A12342" s="2" t="s">
        <v>3509</v>
      </c>
      <c r="B12342" s="2" t="s">
        <v>348</v>
      </c>
      <c r="C12342" s="2">
        <v>809.35360000000003</v>
      </c>
      <c r="D12342" s="2">
        <f>HYPERLINK("http://mcb-m6.bioreg.kyushu-u.ac.jp/M3/20110411/F50892/2520/1", 93.43)</f>
        <v>93.43</v>
      </c>
      <c r="E12342" s="2">
        <v>71.180000000000007</v>
      </c>
      <c r="F12342" s="2">
        <v>2</v>
      </c>
      <c r="G12342" s="2" t="s">
        <v>9</v>
      </c>
    </row>
    <row r="12343" spans="1:8" x14ac:dyDescent="0.2">
      <c r="A12343" s="2" t="s">
        <v>3509</v>
      </c>
      <c r="B12343" s="2" t="s">
        <v>809</v>
      </c>
      <c r="C12343" s="2">
        <v>618.41859999999997</v>
      </c>
      <c r="D12343" s="2">
        <f>HYPERLINK("http://mcb-m6.bioreg.kyushu-u.ac.jp/M3/20110411/F50917/1329/1", 40.07)</f>
        <v>40.07</v>
      </c>
      <c r="E12343" s="2">
        <v>18.38</v>
      </c>
      <c r="F12343" s="2">
        <v>2</v>
      </c>
      <c r="G12343" s="2" t="s">
        <v>10</v>
      </c>
    </row>
    <row r="12344" spans="1:8" x14ac:dyDescent="0.2">
      <c r="A12344" s="2" t="s">
        <v>3509</v>
      </c>
      <c r="B12344" s="2" t="s">
        <v>348</v>
      </c>
      <c r="C12344" s="2">
        <v>809.45420000000001</v>
      </c>
      <c r="D12344" s="2">
        <f>HYPERLINK("http://mcb-m6.bioreg.kyushu-u.ac.jp/M3/20110411/F50914/2431/1", 49.32)</f>
        <v>49.32</v>
      </c>
      <c r="E12344" s="2">
        <v>22.28</v>
      </c>
      <c r="F12344" s="2">
        <v>2</v>
      </c>
      <c r="G12344" s="2" t="s">
        <v>10</v>
      </c>
    </row>
    <row r="12345" spans="1:8" x14ac:dyDescent="0.2">
      <c r="A12345" s="2" t="s">
        <v>3509</v>
      </c>
      <c r="B12345" s="2" t="s">
        <v>809</v>
      </c>
      <c r="C12345" s="2">
        <v>626.86969999999997</v>
      </c>
      <c r="D12345" s="2">
        <f>HYPERLINK("http://mcb-m6.bioreg.kyushu-u.ac.jp/M3/20110414/F50943/1327/1", 37.71)</f>
        <v>37.71</v>
      </c>
      <c r="E12345" s="2">
        <v>14.46</v>
      </c>
      <c r="F12345" s="2">
        <v>2</v>
      </c>
      <c r="G12345" s="2" t="s">
        <v>11</v>
      </c>
      <c r="H12345" s="2" t="s">
        <v>4908</v>
      </c>
    </row>
    <row r="12346" spans="1:8" x14ac:dyDescent="0.2">
      <c r="A12346" s="2" t="s">
        <v>3509</v>
      </c>
      <c r="B12346" s="2" t="s">
        <v>348</v>
      </c>
      <c r="C12346" s="2">
        <v>808.74770000000001</v>
      </c>
      <c r="D12346" s="2">
        <f>HYPERLINK("http://mcb-m6.bioreg.kyushu-u.ac.jp/M3/20110414/F50929/2543/1", 42.1)</f>
        <v>42.1</v>
      </c>
      <c r="E12346" s="2">
        <v>25.65</v>
      </c>
      <c r="F12346" s="2">
        <v>2</v>
      </c>
      <c r="G12346" s="2" t="s">
        <v>11</v>
      </c>
    </row>
    <row r="12347" spans="1:8" x14ac:dyDescent="0.2">
      <c r="A12347" s="2" t="s">
        <v>3509</v>
      </c>
      <c r="B12347" s="2" t="s">
        <v>809</v>
      </c>
      <c r="C12347" s="2">
        <v>626.5027</v>
      </c>
      <c r="D12347" s="2">
        <f>HYPERLINK("http://mcb-m6.bioreg.kyushu-u.ac.jp/M3/20110414/F50956/1185/1", 47.84)</f>
        <v>47.84</v>
      </c>
      <c r="E12347" s="2">
        <v>29.48</v>
      </c>
      <c r="F12347" s="2">
        <v>2</v>
      </c>
      <c r="G12347" s="2" t="s">
        <v>11</v>
      </c>
      <c r="H12347" s="2" t="s">
        <v>4908</v>
      </c>
    </row>
    <row r="12348" spans="1:8" x14ac:dyDescent="0.2">
      <c r="A12348" s="2" t="s">
        <v>3509</v>
      </c>
      <c r="B12348" s="2" t="s">
        <v>348</v>
      </c>
      <c r="C12348" s="2">
        <v>809.45510000000002</v>
      </c>
      <c r="D12348" s="2">
        <f>HYPERLINK("http://mcb-m6.bioreg.kyushu-u.ac.jp/M3/20110414/F50944/2387/1", 60.37)</f>
        <v>60.37</v>
      </c>
      <c r="E12348" s="2">
        <v>47.04</v>
      </c>
      <c r="F12348" s="2">
        <v>2</v>
      </c>
      <c r="G12348" s="2" t="s">
        <v>11</v>
      </c>
    </row>
    <row r="12349" spans="1:8" x14ac:dyDescent="0.2">
      <c r="A12349" s="2" t="s">
        <v>3509</v>
      </c>
      <c r="B12349" s="2" t="s">
        <v>348</v>
      </c>
      <c r="C12349" s="2">
        <v>808.70010000000002</v>
      </c>
      <c r="D12349" s="2">
        <f>HYPERLINK("http://mcb-m6.bioreg.kyushu-u.ac.jp/M3/20110414/F50956/2404/1", 70.87)</f>
        <v>70.87</v>
      </c>
      <c r="E12349" s="2">
        <v>51.49</v>
      </c>
      <c r="F12349" s="2">
        <v>2</v>
      </c>
      <c r="G12349" s="2" t="s">
        <v>11</v>
      </c>
    </row>
    <row r="12350" spans="1:8" x14ac:dyDescent="0.2">
      <c r="A12350" s="2" t="s">
        <v>3509</v>
      </c>
      <c r="B12350" s="2" t="s">
        <v>348</v>
      </c>
      <c r="C12350" s="2">
        <v>808.76919999999996</v>
      </c>
      <c r="D12350" s="2">
        <f>HYPERLINK("http://mcb-m6.bioreg.kyushu-u.ac.jp/M3/20110414/F50942/2310/1", 80.75)</f>
        <v>80.75</v>
      </c>
      <c r="E12350" s="2">
        <v>58.79</v>
      </c>
      <c r="F12350" s="2">
        <v>2</v>
      </c>
      <c r="G12350" s="2" t="s">
        <v>11</v>
      </c>
    </row>
    <row r="12351" spans="1:8" x14ac:dyDescent="0.2">
      <c r="A12351" s="2" t="s">
        <v>3509</v>
      </c>
      <c r="B12351" s="2" t="s">
        <v>809</v>
      </c>
      <c r="C12351" s="2">
        <v>618.66920000000005</v>
      </c>
      <c r="D12351" s="2">
        <f>HYPERLINK("http://mcb-m6.bioreg.kyushu-u.ac.jp/M3/20110414/F50958/1217/1", 35.28)</f>
        <v>35.28</v>
      </c>
      <c r="E12351" s="2">
        <v>18.100000000000001</v>
      </c>
      <c r="F12351" s="2">
        <v>2</v>
      </c>
      <c r="G12351" s="2" t="s">
        <v>12</v>
      </c>
    </row>
    <row r="12352" spans="1:8" x14ac:dyDescent="0.2">
      <c r="A12352" s="2" t="s">
        <v>3509</v>
      </c>
      <c r="B12352" s="2" t="s">
        <v>348</v>
      </c>
      <c r="C12352" s="2">
        <v>816.57669999999996</v>
      </c>
      <c r="D12352" s="2">
        <f>HYPERLINK("http://mcb-m6.bioreg.kyushu-u.ac.jp/M3/20110414/F50948/2552/1", 43.46)</f>
        <v>43.46</v>
      </c>
      <c r="E12352" s="2">
        <v>24.97</v>
      </c>
      <c r="F12352" s="2">
        <v>2</v>
      </c>
      <c r="G12352" s="2" t="s">
        <v>12</v>
      </c>
      <c r="H12352" s="2" t="s">
        <v>4919</v>
      </c>
    </row>
    <row r="12353" spans="1:9" x14ac:dyDescent="0.2">
      <c r="A12353" s="2" t="s">
        <v>3509</v>
      </c>
      <c r="B12353" s="2" t="s">
        <v>348</v>
      </c>
      <c r="C12353" s="2">
        <v>816.64419999999996</v>
      </c>
      <c r="D12353" s="2">
        <f>HYPERLINK("http://mcb-m6.bioreg.kyushu-u.ac.jp/M3/20110414/F50950/2606/1", 44.17)</f>
        <v>44.17</v>
      </c>
      <c r="E12353" s="2">
        <v>26.35</v>
      </c>
      <c r="F12353" s="2">
        <v>2</v>
      </c>
      <c r="G12353" s="2" t="s">
        <v>12</v>
      </c>
      <c r="H12353" s="2" t="s">
        <v>4919</v>
      </c>
    </row>
    <row r="12354" spans="1:9" x14ac:dyDescent="0.2">
      <c r="A12354" s="2" t="s">
        <v>3509</v>
      </c>
      <c r="B12354" s="2" t="s">
        <v>809</v>
      </c>
      <c r="C12354" s="2">
        <v>626.17570000000001</v>
      </c>
      <c r="D12354" s="2">
        <f>HYPERLINK("http://mcb-m6.bioreg.kyushu-u.ac.jp/M3/20110414/F50958/1249/1", 50.4)</f>
        <v>50.4</v>
      </c>
      <c r="E12354" s="2">
        <v>26.22</v>
      </c>
      <c r="F12354" s="2">
        <v>2</v>
      </c>
      <c r="G12354" s="2" t="s">
        <v>12</v>
      </c>
      <c r="H12354" s="2" t="s">
        <v>4908</v>
      </c>
    </row>
    <row r="12355" spans="1:9" x14ac:dyDescent="0.2">
      <c r="A12355" s="2" t="s">
        <v>3509</v>
      </c>
      <c r="B12355" s="2" t="s">
        <v>348</v>
      </c>
      <c r="C12355" s="2">
        <v>808.9941</v>
      </c>
      <c r="D12355" s="2">
        <f>HYPERLINK("http://mcb-m6.bioreg.kyushu-u.ac.jp/M3/20110414/F50958/2475/1", 56.97)</f>
        <v>56.97</v>
      </c>
      <c r="E12355" s="2">
        <v>36.57</v>
      </c>
      <c r="F12355" s="2">
        <v>2</v>
      </c>
      <c r="G12355" s="2" t="s">
        <v>12</v>
      </c>
    </row>
    <row r="12356" spans="1:9" x14ac:dyDescent="0.2">
      <c r="A12356" s="2" t="s">
        <v>3509</v>
      </c>
      <c r="B12356" s="2" t="s">
        <v>348</v>
      </c>
      <c r="C12356" s="2">
        <v>808.58759999999995</v>
      </c>
      <c r="D12356" s="2">
        <f>HYPERLINK("http://mcb-m6.bioreg.kyushu-u.ac.jp/M3/20110414/F50948/2513/1", 67.74)</f>
        <v>67.739999999999995</v>
      </c>
      <c r="E12356" s="2">
        <v>43.37</v>
      </c>
      <c r="F12356" s="2">
        <v>2</v>
      </c>
      <c r="G12356" s="2" t="s">
        <v>12</v>
      </c>
    </row>
    <row r="12357" spans="1:9" x14ac:dyDescent="0.2">
      <c r="A12357" s="2" t="s">
        <v>3509</v>
      </c>
      <c r="B12357" s="2" t="s">
        <v>348</v>
      </c>
      <c r="C12357" s="2">
        <v>808.99519999999995</v>
      </c>
      <c r="D12357" s="2">
        <f>HYPERLINK("http://mcb-m6.bioreg.kyushu-u.ac.jp/M3/20110502/F51188/2176/1", 83.4)</f>
        <v>83.4</v>
      </c>
      <c r="E12357" s="2">
        <v>64.010000000000005</v>
      </c>
      <c r="F12357" s="2">
        <v>2</v>
      </c>
      <c r="G12357" s="2" t="s">
        <v>13</v>
      </c>
    </row>
    <row r="12358" spans="1:9" x14ac:dyDescent="0.2">
      <c r="A12358" s="2" t="s">
        <v>3509</v>
      </c>
      <c r="B12358" s="2" t="s">
        <v>348</v>
      </c>
      <c r="C12358" s="2">
        <v>817.05020000000002</v>
      </c>
      <c r="D12358" s="2">
        <f>HYPERLINK("http://mcb-m6.bioreg.kyushu-u.ac.jp/M3/20110502/F51188/2202/1", 86.85)</f>
        <v>86.85</v>
      </c>
      <c r="E12358" s="2">
        <v>70.34</v>
      </c>
      <c r="F12358" s="2">
        <v>2</v>
      </c>
      <c r="G12358" s="2" t="s">
        <v>13</v>
      </c>
      <c r="H12358" s="2" t="s">
        <v>4919</v>
      </c>
    </row>
    <row r="12359" spans="1:9" x14ac:dyDescent="0.2">
      <c r="A12359" s="2" t="s">
        <v>3509</v>
      </c>
      <c r="B12359" s="2" t="s">
        <v>809</v>
      </c>
      <c r="C12359" s="2">
        <v>618.90809999999999</v>
      </c>
      <c r="D12359" s="2">
        <f>HYPERLINK("http://mcb-m6.bioreg.kyushu-u.ac.jp/M3/20110502/F51192/1193/1", 36.79)</f>
        <v>36.79</v>
      </c>
      <c r="E12359" s="2">
        <v>16.920000000000002</v>
      </c>
      <c r="F12359" s="2">
        <v>2</v>
      </c>
      <c r="G12359" s="2" t="s">
        <v>14</v>
      </c>
    </row>
    <row r="12360" spans="1:9" x14ac:dyDescent="0.2">
      <c r="A12360" s="2" t="s">
        <v>3509</v>
      </c>
      <c r="B12360" s="2" t="s">
        <v>809</v>
      </c>
      <c r="C12360" s="2">
        <v>626.41309999999999</v>
      </c>
      <c r="D12360" s="2">
        <f>HYPERLINK("http://mcb-m6.bioreg.kyushu-u.ac.jp/M3/20110502/F51192/1203/1", 47.57)</f>
        <v>47.57</v>
      </c>
      <c r="E12360" s="2">
        <v>27.19</v>
      </c>
      <c r="F12360" s="2">
        <v>2</v>
      </c>
      <c r="G12360" s="2" t="s">
        <v>14</v>
      </c>
      <c r="H12360" s="2" t="s">
        <v>4908</v>
      </c>
    </row>
    <row r="12361" spans="1:9" x14ac:dyDescent="0.2">
      <c r="A12361" s="2" t="s">
        <v>3509</v>
      </c>
      <c r="B12361" s="2" t="s">
        <v>348</v>
      </c>
      <c r="C12361" s="2">
        <v>817.28020000000004</v>
      </c>
      <c r="D12361" s="2">
        <f>HYPERLINK("http://mcb-m6.bioreg.kyushu-u.ac.jp/M3/20110502/F51192/2220/1", 56)</f>
        <v>56</v>
      </c>
      <c r="E12361" s="2">
        <v>44.74</v>
      </c>
      <c r="F12361" s="2">
        <v>2</v>
      </c>
      <c r="G12361" s="2" t="s">
        <v>14</v>
      </c>
      <c r="H12361" s="2" t="s">
        <v>4919</v>
      </c>
    </row>
    <row r="12362" spans="1:9" x14ac:dyDescent="0.2">
      <c r="A12362" s="2" t="s">
        <v>3509</v>
      </c>
      <c r="B12362" s="2" t="s">
        <v>348</v>
      </c>
      <c r="C12362" s="2">
        <v>817.14170000000001</v>
      </c>
      <c r="D12362" s="2">
        <f>HYPERLINK("http://mcb-m6.bioreg.kyushu-u.ac.jp/M3/20110502/F51183/2322/1", 57.01)</f>
        <v>57.01</v>
      </c>
      <c r="E12362" s="2">
        <v>37.82</v>
      </c>
      <c r="F12362" s="2">
        <v>2</v>
      </c>
      <c r="G12362" s="2" t="s">
        <v>14</v>
      </c>
      <c r="H12362" s="2" t="s">
        <v>4919</v>
      </c>
    </row>
    <row r="12363" spans="1:9" x14ac:dyDescent="0.2">
      <c r="A12363" s="2" t="s">
        <v>3509</v>
      </c>
      <c r="B12363" s="2" t="s">
        <v>348</v>
      </c>
      <c r="C12363" s="2">
        <v>817.00369999999998</v>
      </c>
      <c r="D12363" s="2">
        <f>HYPERLINK("http://mcb-m6.bioreg.kyushu-u.ac.jp/M3/20110502/F51193/2299/1", 89.32)</f>
        <v>89.32</v>
      </c>
      <c r="E12363" s="2">
        <v>73.69</v>
      </c>
      <c r="F12363" s="2">
        <v>2</v>
      </c>
      <c r="G12363" s="2" t="s">
        <v>14</v>
      </c>
      <c r="H12363" s="2" t="s">
        <v>4919</v>
      </c>
    </row>
    <row r="12364" spans="1:9" x14ac:dyDescent="0.2">
      <c r="A12364" s="2" t="s">
        <v>3509</v>
      </c>
      <c r="B12364" s="2" t="s">
        <v>348</v>
      </c>
      <c r="C12364" s="2">
        <v>809.09770000000003</v>
      </c>
      <c r="D12364" s="2">
        <f>HYPERLINK("http://mcb-m6.bioreg.kyushu-u.ac.jp/M3/20110502/F51192/2173/1", 93.63)</f>
        <v>93.63</v>
      </c>
      <c r="E12364" s="2">
        <v>76.349999999999994</v>
      </c>
      <c r="F12364" s="2">
        <v>2</v>
      </c>
      <c r="G12364" s="2" t="s">
        <v>14</v>
      </c>
    </row>
    <row r="12365" spans="1:9" x14ac:dyDescent="0.2">
      <c r="A12365" s="2" t="s">
        <v>4362</v>
      </c>
      <c r="B12365" s="2" t="s">
        <v>2188</v>
      </c>
      <c r="C12365" s="2">
        <v>599.17750000000001</v>
      </c>
      <c r="D12365" s="2">
        <f>HYPERLINK("http://mcb-m6.bioreg.kyushu-u.ac.jp/M3/20110414/F50956/2993/1", 36.29)</f>
        <v>36.29</v>
      </c>
      <c r="E12365" s="2">
        <v>27.03</v>
      </c>
      <c r="F12365" s="2">
        <v>3</v>
      </c>
      <c r="G12365" s="2" t="s">
        <v>11</v>
      </c>
    </row>
    <row r="12366" spans="1:9" x14ac:dyDescent="0.2">
      <c r="A12366" s="2" t="s">
        <v>3254</v>
      </c>
      <c r="B12366" s="2" t="s">
        <v>34</v>
      </c>
      <c r="C12366" s="2">
        <v>621.21969999999999</v>
      </c>
      <c r="D12366" s="2">
        <f>HYPERLINK("http://mcb-m6.bioreg.kyushu-u.ac.jp/M3/20110411/F50889/1922/1", 35.26)</f>
        <v>35.26</v>
      </c>
      <c r="E12366" s="2">
        <v>14.45</v>
      </c>
      <c r="F12366" s="2">
        <v>2</v>
      </c>
      <c r="G12366" s="2" t="s">
        <v>9</v>
      </c>
      <c r="I12366" s="2" t="s">
        <v>4892</v>
      </c>
    </row>
    <row r="12367" spans="1:9" x14ac:dyDescent="0.2">
      <c r="A12367" s="2" t="s">
        <v>3254</v>
      </c>
      <c r="B12367" s="2" t="s">
        <v>129</v>
      </c>
      <c r="C12367" s="2">
        <v>467.76609999999999</v>
      </c>
      <c r="D12367" s="2">
        <f>HYPERLINK("http://mcb-m6.bioreg.kyushu-u.ac.jp/M3/20110411/F50889/1390/1", 36.48)</f>
        <v>36.479999999999997</v>
      </c>
      <c r="E12367" s="2">
        <v>9.24</v>
      </c>
      <c r="F12367" s="2">
        <v>2</v>
      </c>
      <c r="G12367" s="2" t="s">
        <v>9</v>
      </c>
    </row>
    <row r="12368" spans="1:9" x14ac:dyDescent="0.2">
      <c r="A12368" s="2" t="s">
        <v>3254</v>
      </c>
      <c r="B12368" s="2" t="s">
        <v>1226</v>
      </c>
      <c r="C12368" s="2">
        <v>585.93409999999994</v>
      </c>
      <c r="D12368" s="2">
        <f>HYPERLINK("http://mcb-m6.bioreg.kyushu-u.ac.jp/M3/20110411/F50889/1797/1", 68.12)</f>
        <v>68.12</v>
      </c>
      <c r="E12368" s="2">
        <v>21.15</v>
      </c>
      <c r="F12368" s="2">
        <v>2</v>
      </c>
      <c r="G12368" s="2" t="s">
        <v>9</v>
      </c>
    </row>
    <row r="12369" spans="1:9" x14ac:dyDescent="0.2">
      <c r="A12369" s="2" t="s">
        <v>3254</v>
      </c>
      <c r="B12369" s="2" t="s">
        <v>1481</v>
      </c>
      <c r="C12369" s="2">
        <v>878.31209999999999</v>
      </c>
      <c r="D12369" s="2">
        <f>HYPERLINK("http://mcb-m6.bioreg.kyushu-u.ac.jp/M3/20110411/F50889/2614/1", 85.02)</f>
        <v>85.02</v>
      </c>
      <c r="E12369" s="2">
        <v>59.3</v>
      </c>
      <c r="F12369" s="2">
        <v>2</v>
      </c>
      <c r="G12369" s="2" t="s">
        <v>9</v>
      </c>
    </row>
    <row r="12370" spans="1:9" x14ac:dyDescent="0.2">
      <c r="A12370" s="2" t="s">
        <v>3254</v>
      </c>
      <c r="B12370" s="2" t="s">
        <v>1541</v>
      </c>
      <c r="C12370" s="2">
        <v>839.40260000000001</v>
      </c>
      <c r="D12370" s="2">
        <f>HYPERLINK("http://mcb-m6.bioreg.kyushu-u.ac.jp/M3/20110411/F50889/2534/1", 90.3)</f>
        <v>90.3</v>
      </c>
      <c r="E12370" s="2">
        <v>67.209999999999994</v>
      </c>
      <c r="F12370" s="2">
        <v>2</v>
      </c>
      <c r="G12370" s="2" t="s">
        <v>9</v>
      </c>
    </row>
    <row r="12371" spans="1:9" x14ac:dyDescent="0.2">
      <c r="A12371" s="2" t="s">
        <v>3254</v>
      </c>
      <c r="B12371" s="2" t="s">
        <v>129</v>
      </c>
      <c r="C12371" s="2">
        <v>468.12509999999997</v>
      </c>
      <c r="D12371" s="2">
        <f>HYPERLINK("http://mcb-m6.bioreg.kyushu-u.ac.jp/M3/20110414/F50926/1312/1", 36.64)</f>
        <v>36.64</v>
      </c>
      <c r="E12371" s="2">
        <v>14.55</v>
      </c>
      <c r="F12371" s="2">
        <v>2</v>
      </c>
      <c r="G12371" s="2" t="s">
        <v>11</v>
      </c>
    </row>
    <row r="12372" spans="1:9" x14ac:dyDescent="0.2">
      <c r="A12372" s="2" t="s">
        <v>3254</v>
      </c>
      <c r="B12372" s="2" t="s">
        <v>1541</v>
      </c>
      <c r="C12372" s="2">
        <v>839.10770000000002</v>
      </c>
      <c r="D12372" s="2">
        <f>HYPERLINK("http://mcb-m6.bioreg.kyushu-u.ac.jp/M3/20110414/F50926/2520/1", 82.18)</f>
        <v>82.18</v>
      </c>
      <c r="E12372" s="2">
        <v>49.93</v>
      </c>
      <c r="F12372" s="2">
        <v>2</v>
      </c>
      <c r="G12372" s="2" t="s">
        <v>11</v>
      </c>
    </row>
    <row r="12373" spans="1:9" x14ac:dyDescent="0.2">
      <c r="A12373" s="2" t="s">
        <v>3254</v>
      </c>
      <c r="B12373" s="2" t="s">
        <v>1226</v>
      </c>
      <c r="C12373" s="2">
        <v>585.90060000000005</v>
      </c>
      <c r="D12373" s="2">
        <f>HYPERLINK("http://mcb-m6.bioreg.kyushu-u.ac.jp/M3/20110502/F51167/1662/1", 51.89)</f>
        <v>51.89</v>
      </c>
      <c r="E12373" s="2">
        <v>5.12</v>
      </c>
      <c r="F12373" s="2">
        <v>2</v>
      </c>
      <c r="G12373" s="2" t="s">
        <v>13</v>
      </c>
    </row>
    <row r="12374" spans="1:9" x14ac:dyDescent="0.2">
      <c r="A12374" s="2" t="s">
        <v>3269</v>
      </c>
      <c r="B12374" s="2" t="s">
        <v>49</v>
      </c>
      <c r="C12374" s="2">
        <v>781.40219999999999</v>
      </c>
      <c r="D12374" s="2">
        <f>HYPERLINK("http://mcb-m6.bioreg.kyushu-u.ac.jp/M3/20110411/F50892/2404/1", 35.43)</f>
        <v>35.43</v>
      </c>
      <c r="E12374" s="2">
        <v>21.81</v>
      </c>
      <c r="F12374" s="2">
        <v>2</v>
      </c>
      <c r="G12374" s="2" t="s">
        <v>9</v>
      </c>
    </row>
    <row r="12375" spans="1:9" x14ac:dyDescent="0.2">
      <c r="A12375" s="2" t="s">
        <v>3269</v>
      </c>
      <c r="B12375" s="2" t="s">
        <v>49</v>
      </c>
      <c r="C12375" s="2">
        <v>780.88369999999998</v>
      </c>
      <c r="D12375" s="2">
        <f>HYPERLINK("http://mcb-m6.bioreg.kyushu-u.ac.jp/M3/20110411/F50892/2399/1", 51.49)</f>
        <v>51.49</v>
      </c>
      <c r="E12375" s="2">
        <v>28.4</v>
      </c>
      <c r="F12375" s="2">
        <v>2</v>
      </c>
      <c r="G12375" s="2" t="s">
        <v>9</v>
      </c>
    </row>
    <row r="12376" spans="1:9" x14ac:dyDescent="0.2">
      <c r="A12376" s="2" t="s">
        <v>3269</v>
      </c>
      <c r="B12376" s="2" t="s">
        <v>49</v>
      </c>
      <c r="C12376" s="2">
        <v>780.7106</v>
      </c>
      <c r="D12376" s="2">
        <f>HYPERLINK("http://mcb-m6.bioreg.kyushu-u.ac.jp/M3/20110414/F50929/2449/1", 58.27)</f>
        <v>58.27</v>
      </c>
      <c r="E12376" s="2">
        <v>39.299999999999997</v>
      </c>
      <c r="F12376" s="2">
        <v>2</v>
      </c>
      <c r="G12376" s="2" t="s">
        <v>11</v>
      </c>
    </row>
    <row r="12377" spans="1:9" x14ac:dyDescent="0.2">
      <c r="A12377" s="2" t="s">
        <v>3269</v>
      </c>
      <c r="B12377" s="2" t="s">
        <v>2503</v>
      </c>
      <c r="C12377" s="2">
        <v>736.24659999999994</v>
      </c>
      <c r="D12377" s="2">
        <f>HYPERLINK("http://mcb-m6.bioreg.kyushu-u.ac.jp/M3/20110414/F50929/2284/1", 87.83)</f>
        <v>87.83</v>
      </c>
      <c r="E12377" s="2">
        <v>71.680000000000007</v>
      </c>
      <c r="F12377" s="2">
        <v>2</v>
      </c>
      <c r="G12377" s="2" t="s">
        <v>11</v>
      </c>
      <c r="H12377" s="2" t="s">
        <v>4919</v>
      </c>
    </row>
    <row r="12378" spans="1:9" x14ac:dyDescent="0.2">
      <c r="A12378" s="2" t="s">
        <v>3269</v>
      </c>
      <c r="B12378" s="2" t="s">
        <v>2587</v>
      </c>
      <c r="C12378" s="2">
        <v>745.55070000000001</v>
      </c>
      <c r="D12378" s="2">
        <f>HYPERLINK("http://mcb-m6.bioreg.kyushu-u.ac.jp/M3/20110414/F50934/2374/1", 39.72)</f>
        <v>39.72</v>
      </c>
      <c r="E12378" s="2">
        <v>23.55</v>
      </c>
      <c r="F12378" s="2">
        <v>2</v>
      </c>
      <c r="G12378" s="2" t="s">
        <v>12</v>
      </c>
      <c r="I12378" s="2" t="s">
        <v>4914</v>
      </c>
    </row>
    <row r="12379" spans="1:9" x14ac:dyDescent="0.2">
      <c r="A12379" s="2" t="s">
        <v>3269</v>
      </c>
      <c r="B12379" s="2" t="s">
        <v>3160</v>
      </c>
      <c r="C12379" s="2">
        <v>897.21469999999999</v>
      </c>
      <c r="D12379" s="2">
        <f>HYPERLINK("http://mcb-m6.bioreg.kyushu-u.ac.jp/M3/20110502/F51182/2784/1", 55.06)</f>
        <v>55.06</v>
      </c>
      <c r="E12379" s="2">
        <v>30.48</v>
      </c>
      <c r="F12379" s="2">
        <v>2</v>
      </c>
      <c r="G12379" s="2" t="s">
        <v>14</v>
      </c>
    </row>
    <row r="12380" spans="1:9" x14ac:dyDescent="0.2">
      <c r="A12380" s="2" t="s">
        <v>3970</v>
      </c>
      <c r="B12380" s="2" t="s">
        <v>1206</v>
      </c>
      <c r="C12380" s="2">
        <v>785.16610000000003</v>
      </c>
      <c r="D12380" s="2">
        <f>HYPERLINK("http://mcb-m6.bioreg.kyushu-u.ac.jp/M3/20110411/F50904/2262/1", 67.35)</f>
        <v>67.349999999999994</v>
      </c>
      <c r="E12380" s="2">
        <v>48.06</v>
      </c>
      <c r="F12380" s="2">
        <v>2</v>
      </c>
      <c r="G12380" s="2" t="s">
        <v>9</v>
      </c>
    </row>
    <row r="12381" spans="1:9" x14ac:dyDescent="0.2">
      <c r="A12381" s="2" t="s">
        <v>3970</v>
      </c>
      <c r="B12381" s="2" t="s">
        <v>2126</v>
      </c>
      <c r="C12381" s="2">
        <v>748.47810000000004</v>
      </c>
      <c r="D12381" s="2">
        <f>HYPERLINK("http://mcb-m6.bioreg.kyushu-u.ac.jp/M3/20110411/F50912/2070/1", 90.2)</f>
        <v>90.2</v>
      </c>
      <c r="E12381" s="2">
        <v>63.69</v>
      </c>
      <c r="F12381" s="2">
        <v>2</v>
      </c>
      <c r="G12381" s="2" t="s">
        <v>10</v>
      </c>
      <c r="I12381" s="2" t="s">
        <v>4918</v>
      </c>
    </row>
    <row r="12382" spans="1:9" x14ac:dyDescent="0.2">
      <c r="A12382" s="2" t="s">
        <v>3970</v>
      </c>
      <c r="B12382" s="2" t="s">
        <v>1206</v>
      </c>
      <c r="C12382" s="2">
        <v>785.30020000000002</v>
      </c>
      <c r="D12382" s="2">
        <f>HYPERLINK("http://mcb-m6.bioreg.kyushu-u.ac.jp/M3/20110414/F50947/2314/1", 71.24)</f>
        <v>71.239999999999995</v>
      </c>
      <c r="E12382" s="2">
        <v>60.31</v>
      </c>
      <c r="F12382" s="2">
        <v>2</v>
      </c>
      <c r="G12382" s="2" t="s">
        <v>12</v>
      </c>
    </row>
    <row r="12383" spans="1:9" x14ac:dyDescent="0.2">
      <c r="A12383" s="2" t="s">
        <v>3970</v>
      </c>
      <c r="B12383" s="2" t="s">
        <v>1206</v>
      </c>
      <c r="C12383" s="2">
        <v>785.27470000000005</v>
      </c>
      <c r="D12383" s="2">
        <f>HYPERLINK("http://mcb-m6.bioreg.kyushu-u.ac.jp/M3/20110502/F51170/2334/1", 69.49)</f>
        <v>69.489999999999995</v>
      </c>
      <c r="E12383" s="2">
        <v>50.21</v>
      </c>
      <c r="F12383" s="2">
        <v>2</v>
      </c>
      <c r="G12383" s="2" t="s">
        <v>13</v>
      </c>
    </row>
    <row r="12384" spans="1:9" x14ac:dyDescent="0.2">
      <c r="A12384" s="2" t="s">
        <v>4695</v>
      </c>
      <c r="B12384" s="2" t="s">
        <v>2870</v>
      </c>
      <c r="C12384" s="2">
        <v>694.50070000000005</v>
      </c>
      <c r="D12384" s="2">
        <f>HYPERLINK("http://mcb-m6.bioreg.kyushu-u.ac.jp/M3/20110502/F51174/1770/1", 40.45)</f>
        <v>40.450000000000003</v>
      </c>
      <c r="E12384" s="2">
        <v>22.21</v>
      </c>
      <c r="F12384" s="2">
        <v>2</v>
      </c>
      <c r="G12384" s="2" t="s">
        <v>13</v>
      </c>
    </row>
    <row r="12385" spans="1:9" x14ac:dyDescent="0.2">
      <c r="A12385" s="2" t="s">
        <v>4695</v>
      </c>
      <c r="B12385" s="2" t="s">
        <v>2870</v>
      </c>
      <c r="C12385" s="2">
        <v>694.56569999999999</v>
      </c>
      <c r="D12385" s="2">
        <f>HYPERLINK("http://mcb-m6.bioreg.kyushu-u.ac.jp/M3/20110502/F51173/1531/1", 92.9)</f>
        <v>92.9</v>
      </c>
      <c r="E12385" s="2">
        <v>70.98</v>
      </c>
      <c r="F12385" s="2">
        <v>2</v>
      </c>
      <c r="G12385" s="2" t="s">
        <v>13</v>
      </c>
    </row>
    <row r="12386" spans="1:9" x14ac:dyDescent="0.2">
      <c r="A12386" s="2" t="s">
        <v>4695</v>
      </c>
      <c r="B12386" s="2" t="s">
        <v>2870</v>
      </c>
      <c r="C12386" s="2">
        <v>694.51319999999998</v>
      </c>
      <c r="D12386" s="2">
        <f>HYPERLINK("http://mcb-m6.bioreg.kyushu-u.ac.jp/M3/20110502/F51184/1554/1", 105.6)</f>
        <v>105.6</v>
      </c>
      <c r="E12386" s="2">
        <v>72.08</v>
      </c>
      <c r="F12386" s="2">
        <v>2</v>
      </c>
      <c r="G12386" s="2" t="s">
        <v>14</v>
      </c>
    </row>
    <row r="12387" spans="1:9" x14ac:dyDescent="0.2">
      <c r="A12387" s="2" t="s">
        <v>4695</v>
      </c>
      <c r="B12387" s="2" t="s">
        <v>2870</v>
      </c>
      <c r="C12387" s="2">
        <v>694.47469999999998</v>
      </c>
      <c r="D12387" s="2">
        <f>HYPERLINK("http://mcb-m6.bioreg.kyushu-u.ac.jp/M3/20110502/F51186/1638/1", 107.95)</f>
        <v>107.95</v>
      </c>
      <c r="E12387" s="2">
        <v>87.93</v>
      </c>
      <c r="F12387" s="2">
        <v>2</v>
      </c>
      <c r="G12387" s="2" t="s">
        <v>14</v>
      </c>
    </row>
    <row r="12388" spans="1:9" x14ac:dyDescent="0.2">
      <c r="A12388" s="2" t="s">
        <v>4791</v>
      </c>
      <c r="B12388" s="2" t="s">
        <v>3028</v>
      </c>
      <c r="C12388" s="2">
        <v>620.96510000000001</v>
      </c>
      <c r="D12388" s="2">
        <f>HYPERLINK("http://mcb-m6.bioreg.kyushu-u.ac.jp/M3/20110502/F51186/1321/1", 38.6)</f>
        <v>38.6</v>
      </c>
      <c r="E12388" s="2">
        <v>14.29</v>
      </c>
      <c r="F12388" s="2">
        <v>2</v>
      </c>
      <c r="G12388" s="2" t="s">
        <v>14</v>
      </c>
    </row>
    <row r="12389" spans="1:9" x14ac:dyDescent="0.2">
      <c r="A12389" s="2" t="s">
        <v>4791</v>
      </c>
      <c r="B12389" s="2" t="s">
        <v>3028</v>
      </c>
      <c r="C12389" s="2">
        <v>621.15170000000001</v>
      </c>
      <c r="D12389" s="2">
        <f>HYPERLINK("http://mcb-m6.bioreg.kyushu-u.ac.jp/M3/20110502/F51184/1114/1", 50.68)</f>
        <v>50.68</v>
      </c>
      <c r="E12389" s="2">
        <v>37.03</v>
      </c>
      <c r="F12389" s="2">
        <v>2</v>
      </c>
      <c r="G12389" s="2" t="s">
        <v>14</v>
      </c>
    </row>
    <row r="12390" spans="1:9" x14ac:dyDescent="0.2">
      <c r="A12390" s="2" t="s">
        <v>4791</v>
      </c>
      <c r="B12390" s="2" t="s">
        <v>3028</v>
      </c>
      <c r="C12390" s="2">
        <v>621.37570000000005</v>
      </c>
      <c r="D12390" s="2">
        <f>HYPERLINK("http://mcb-m6.bioreg.kyushu-u.ac.jp/M3/20110502/F51185/1265/1", 76.95)</f>
        <v>76.95</v>
      </c>
      <c r="E12390" s="2">
        <v>57.79</v>
      </c>
      <c r="F12390" s="2">
        <v>2</v>
      </c>
      <c r="G12390" s="2" t="s">
        <v>14</v>
      </c>
    </row>
    <row r="12391" spans="1:9" x14ac:dyDescent="0.2">
      <c r="A12391" s="2" t="s">
        <v>3722</v>
      </c>
      <c r="B12391" s="2" t="s">
        <v>716</v>
      </c>
      <c r="C12391" s="2">
        <v>825.27560000000005</v>
      </c>
      <c r="D12391" s="2">
        <f>HYPERLINK("http://mcb-m6.bioreg.kyushu-u.ac.jp/M3/20110411/F50903/2439/1", 49.14)</f>
        <v>49.14</v>
      </c>
      <c r="E12391" s="2">
        <v>24.48</v>
      </c>
      <c r="F12391" s="2">
        <v>2</v>
      </c>
      <c r="G12391" s="2" t="s">
        <v>9</v>
      </c>
    </row>
    <row r="12392" spans="1:9" x14ac:dyDescent="0.2">
      <c r="A12392" s="2" t="s">
        <v>3722</v>
      </c>
      <c r="B12392" s="2" t="s">
        <v>1908</v>
      </c>
      <c r="C12392" s="2">
        <v>676.00319999999999</v>
      </c>
      <c r="D12392" s="2">
        <f>HYPERLINK("http://mcb-m6.bioreg.kyushu-u.ac.jp/M3/20110411/F50920/1244/1", 48.85)</f>
        <v>48.85</v>
      </c>
      <c r="E12392" s="2">
        <v>28.74</v>
      </c>
      <c r="F12392" s="2">
        <v>2</v>
      </c>
      <c r="G12392" s="2" t="s">
        <v>10</v>
      </c>
    </row>
    <row r="12393" spans="1:9" x14ac:dyDescent="0.2">
      <c r="A12393" s="2" t="s">
        <v>3369</v>
      </c>
      <c r="B12393" s="2" t="s">
        <v>161</v>
      </c>
      <c r="C12393" s="2">
        <v>830.02419999999995</v>
      </c>
      <c r="D12393" s="2">
        <f>HYPERLINK("http://mcb-m6.bioreg.kyushu-u.ac.jp/M3/20110411/F50916/2376/1", 36.99)</f>
        <v>36.99</v>
      </c>
      <c r="E12393" s="2">
        <v>26.03</v>
      </c>
      <c r="F12393" s="2">
        <v>2</v>
      </c>
      <c r="G12393" s="2" t="s">
        <v>9</v>
      </c>
    </row>
    <row r="12394" spans="1:9" x14ac:dyDescent="0.2">
      <c r="A12394" s="2" t="s">
        <v>3369</v>
      </c>
      <c r="B12394" s="2" t="s">
        <v>814</v>
      </c>
      <c r="C12394" s="2">
        <v>779.01260000000002</v>
      </c>
      <c r="D12394" s="2">
        <f>HYPERLINK("http://mcb-m6.bioreg.kyushu-u.ac.jp/M3/20110411/F50916/2102/1", 52.2)</f>
        <v>52.2</v>
      </c>
      <c r="E12394" s="2">
        <v>31.32</v>
      </c>
      <c r="F12394" s="2">
        <v>2</v>
      </c>
      <c r="G12394" s="2" t="s">
        <v>9</v>
      </c>
    </row>
    <row r="12395" spans="1:9" x14ac:dyDescent="0.2">
      <c r="A12395" s="2" t="s">
        <v>3369</v>
      </c>
      <c r="B12395" s="2" t="s">
        <v>992</v>
      </c>
      <c r="C12395" s="2">
        <v>609.41020000000003</v>
      </c>
      <c r="D12395" s="2">
        <f>HYPERLINK("http://mcb-m6.bioreg.kyushu-u.ac.jp/M3/20110411/F50916/1213/1", 58.06)</f>
        <v>58.06</v>
      </c>
      <c r="E12395" s="2">
        <v>24.69</v>
      </c>
      <c r="F12395" s="2">
        <v>2</v>
      </c>
      <c r="G12395" s="2" t="s">
        <v>9</v>
      </c>
    </row>
    <row r="12396" spans="1:9" x14ac:dyDescent="0.2">
      <c r="A12396" s="2" t="s">
        <v>3369</v>
      </c>
      <c r="B12396" s="2" t="s">
        <v>1317</v>
      </c>
      <c r="C12396" s="2">
        <v>613.40769999999998</v>
      </c>
      <c r="D12396" s="2">
        <f>HYPERLINK("http://mcb-m6.bioreg.kyushu-u.ac.jp/M3/20110411/F50916/1242/1", 72.67)</f>
        <v>72.67</v>
      </c>
      <c r="E12396" s="2">
        <v>46.39</v>
      </c>
      <c r="F12396" s="2">
        <v>2</v>
      </c>
      <c r="G12396" s="2" t="s">
        <v>9</v>
      </c>
    </row>
    <row r="12397" spans="1:9" x14ac:dyDescent="0.2">
      <c r="A12397" s="2" t="s">
        <v>3369</v>
      </c>
      <c r="B12397" s="2" t="s">
        <v>1495</v>
      </c>
      <c r="C12397" s="2">
        <v>834.44870000000003</v>
      </c>
      <c r="D12397" s="2">
        <f>HYPERLINK("http://mcb-m6.bioreg.kyushu-u.ac.jp/M3/20110411/F50916/2396/1", 86.33)</f>
        <v>86.33</v>
      </c>
      <c r="E12397" s="2">
        <v>67.12</v>
      </c>
      <c r="F12397" s="2">
        <v>2</v>
      </c>
      <c r="G12397" s="2" t="s">
        <v>9</v>
      </c>
      <c r="I12397" s="2" t="s">
        <v>4899</v>
      </c>
    </row>
    <row r="12398" spans="1:9" x14ac:dyDescent="0.2">
      <c r="A12398" s="2" t="s">
        <v>3369</v>
      </c>
      <c r="B12398" s="2" t="s">
        <v>2200</v>
      </c>
      <c r="C12398" s="2">
        <v>503.56909999999999</v>
      </c>
      <c r="D12398" s="2">
        <f>HYPERLINK("http://mcb-m6.bioreg.kyushu-u.ac.jp/M3/20110414/F50956/646/1", 36.9)</f>
        <v>36.9</v>
      </c>
      <c r="E12398" s="2">
        <v>16.100000000000001</v>
      </c>
      <c r="F12398" s="2">
        <v>2</v>
      </c>
      <c r="G12398" s="2" t="s">
        <v>11</v>
      </c>
    </row>
    <row r="12399" spans="1:9" x14ac:dyDescent="0.2">
      <c r="A12399" s="2" t="s">
        <v>3369</v>
      </c>
      <c r="B12399" s="2" t="s">
        <v>2273</v>
      </c>
      <c r="C12399" s="2">
        <v>627.20389999999998</v>
      </c>
      <c r="D12399" s="2">
        <f>HYPERLINK("http://mcb-m6.bioreg.kyushu-u.ac.jp/M3/20110414/F50956/3230/1", 41.95)</f>
        <v>41.95</v>
      </c>
      <c r="E12399" s="2">
        <v>27.01</v>
      </c>
      <c r="F12399" s="2">
        <v>3</v>
      </c>
      <c r="G12399" s="2" t="s">
        <v>11</v>
      </c>
    </row>
    <row r="12400" spans="1:9" x14ac:dyDescent="0.2">
      <c r="A12400" s="2" t="s">
        <v>3369</v>
      </c>
      <c r="B12400" s="2" t="s">
        <v>2331</v>
      </c>
      <c r="C12400" s="2">
        <v>478.15559999999999</v>
      </c>
      <c r="D12400" s="2">
        <f>HYPERLINK("http://mcb-m6.bioreg.kyushu-u.ac.jp/M3/20110414/F50956/553/1", 47.03)</f>
        <v>47.03</v>
      </c>
      <c r="E12400" s="2">
        <v>18.27</v>
      </c>
      <c r="F12400" s="2">
        <v>2</v>
      </c>
      <c r="G12400" s="2" t="s">
        <v>11</v>
      </c>
    </row>
    <row r="12401" spans="1:7" x14ac:dyDescent="0.2">
      <c r="A12401" s="2" t="s">
        <v>3369</v>
      </c>
      <c r="B12401" s="2" t="s">
        <v>2487</v>
      </c>
      <c r="C12401" s="2">
        <v>678.7097</v>
      </c>
      <c r="D12401" s="2">
        <f>HYPERLINK("http://mcb-m6.bioreg.kyushu-u.ac.jp/M3/20110414/F50956/1493/1", 79.32)</f>
        <v>79.319999999999993</v>
      </c>
      <c r="E12401" s="2">
        <v>58.35</v>
      </c>
      <c r="F12401" s="2">
        <v>2</v>
      </c>
      <c r="G12401" s="2" t="s">
        <v>11</v>
      </c>
    </row>
    <row r="12402" spans="1:7" x14ac:dyDescent="0.2">
      <c r="A12402" s="2" t="s">
        <v>3369</v>
      </c>
      <c r="B12402" s="2" t="s">
        <v>2501</v>
      </c>
      <c r="C12402" s="2">
        <v>803.20209999999997</v>
      </c>
      <c r="D12402" s="2">
        <f>HYPERLINK("http://mcb-m6.bioreg.kyushu-u.ac.jp/M3/20110414/F50956/2369/1", 87.64)</f>
        <v>87.64</v>
      </c>
      <c r="E12402" s="2">
        <v>73.010000000000005</v>
      </c>
      <c r="F12402" s="2">
        <v>2</v>
      </c>
      <c r="G12402" s="2" t="s">
        <v>11</v>
      </c>
    </row>
    <row r="12403" spans="1:7" x14ac:dyDescent="0.2">
      <c r="A12403" s="2" t="s">
        <v>3369</v>
      </c>
      <c r="B12403" s="2" t="s">
        <v>2501</v>
      </c>
      <c r="C12403" s="2">
        <v>803.76070000000004</v>
      </c>
      <c r="D12403" s="2">
        <f>HYPERLINK("http://mcb-m6.bioreg.kyushu-u.ac.jp/M3/20110414/F50957/2309/1", 89.55)</f>
        <v>89.55</v>
      </c>
      <c r="E12403" s="2">
        <v>71.209999999999994</v>
      </c>
      <c r="F12403" s="2">
        <v>2</v>
      </c>
      <c r="G12403" s="2" t="s">
        <v>11</v>
      </c>
    </row>
    <row r="12404" spans="1:7" x14ac:dyDescent="0.2">
      <c r="A12404" s="2" t="s">
        <v>3369</v>
      </c>
      <c r="B12404" s="2" t="s">
        <v>2501</v>
      </c>
      <c r="C12404" s="2">
        <v>803.73770000000002</v>
      </c>
      <c r="D12404" s="2">
        <f>HYPERLINK("http://mcb-m6.bioreg.kyushu-u.ac.jp/M3/20110414/F50956/2372/1", 99.06)</f>
        <v>99.06</v>
      </c>
      <c r="E12404" s="2">
        <v>73.150000000000006</v>
      </c>
      <c r="F12404" s="2">
        <v>2</v>
      </c>
      <c r="G12404" s="2" t="s">
        <v>11</v>
      </c>
    </row>
    <row r="12405" spans="1:7" x14ac:dyDescent="0.2">
      <c r="A12405" s="2" t="s">
        <v>3369</v>
      </c>
      <c r="B12405" s="2" t="s">
        <v>2501</v>
      </c>
      <c r="C12405" s="2">
        <v>803.25459999999998</v>
      </c>
      <c r="D12405" s="2">
        <f>HYPERLINK("http://mcb-m6.bioreg.kyushu-u.ac.jp/M3/20110414/F50958/2447/1", 45.16)</f>
        <v>45.16</v>
      </c>
      <c r="E12405" s="2">
        <v>35.97</v>
      </c>
      <c r="F12405" s="2">
        <v>2</v>
      </c>
      <c r="G12405" s="2" t="s">
        <v>12</v>
      </c>
    </row>
    <row r="12406" spans="1:7" x14ac:dyDescent="0.2">
      <c r="A12406" s="2" t="s">
        <v>3369</v>
      </c>
      <c r="B12406" s="2" t="s">
        <v>2878</v>
      </c>
      <c r="C12406" s="2">
        <v>548.55909999999994</v>
      </c>
      <c r="D12406" s="2">
        <f>HYPERLINK("http://mcb-m6.bioreg.kyushu-u.ac.jp/M3/20110502/F51172/982/1", 41.42)</f>
        <v>41.42</v>
      </c>
      <c r="E12406" s="2">
        <v>14.41</v>
      </c>
      <c r="F12406" s="2">
        <v>2</v>
      </c>
      <c r="G12406" s="2" t="s">
        <v>13</v>
      </c>
    </row>
    <row r="12407" spans="1:7" x14ac:dyDescent="0.2">
      <c r="A12407" s="2" t="s">
        <v>3369</v>
      </c>
      <c r="B12407" s="2" t="s">
        <v>2501</v>
      </c>
      <c r="C12407" s="2">
        <v>803.89760000000001</v>
      </c>
      <c r="D12407" s="2">
        <f>HYPERLINK("http://mcb-m6.bioreg.kyushu-u.ac.jp/M3/20110502/F51175/2191/1", 45.73)</f>
        <v>45.73</v>
      </c>
      <c r="E12407" s="2">
        <v>22.55</v>
      </c>
      <c r="F12407" s="2">
        <v>2</v>
      </c>
      <c r="G12407" s="2" t="s">
        <v>13</v>
      </c>
    </row>
    <row r="12408" spans="1:7" x14ac:dyDescent="0.2">
      <c r="A12408" s="2" t="s">
        <v>3369</v>
      </c>
      <c r="B12408" s="2" t="s">
        <v>1317</v>
      </c>
      <c r="C12408" s="2">
        <v>613.62019999999995</v>
      </c>
      <c r="D12408" s="2">
        <f>HYPERLINK("http://mcb-m6.bioreg.kyushu-u.ac.jp/M3/20110502/F51172/1356/1", 49.46)</f>
        <v>49.46</v>
      </c>
      <c r="E12408" s="2">
        <v>22.87</v>
      </c>
      <c r="F12408" s="2">
        <v>2</v>
      </c>
      <c r="G12408" s="2" t="s">
        <v>13</v>
      </c>
    </row>
    <row r="12409" spans="1:7" x14ac:dyDescent="0.2">
      <c r="A12409" s="2" t="s">
        <v>3369</v>
      </c>
      <c r="B12409" s="2" t="s">
        <v>161</v>
      </c>
      <c r="C12409" s="2">
        <v>830.04359999999997</v>
      </c>
      <c r="D12409" s="2">
        <f>HYPERLINK("http://mcb-m6.bioreg.kyushu-u.ac.jp/M3/20110502/F51172/2748/1", 56.37)</f>
        <v>56.37</v>
      </c>
      <c r="E12409" s="2">
        <v>35.96</v>
      </c>
      <c r="F12409" s="2">
        <v>2</v>
      </c>
      <c r="G12409" s="2" t="s">
        <v>13</v>
      </c>
    </row>
    <row r="12410" spans="1:7" x14ac:dyDescent="0.2">
      <c r="A12410" s="2" t="s">
        <v>3369</v>
      </c>
      <c r="B12410" s="2" t="s">
        <v>161</v>
      </c>
      <c r="C12410" s="2">
        <v>830.49159999999995</v>
      </c>
      <c r="D12410" s="2">
        <f>HYPERLINK("http://mcb-m6.bioreg.kyushu-u.ac.jp/M3/20110502/F51189/2211/1", 98.74)</f>
        <v>98.74</v>
      </c>
      <c r="E12410" s="2">
        <v>75.63</v>
      </c>
      <c r="F12410" s="2">
        <v>2</v>
      </c>
      <c r="G12410" s="2" t="s">
        <v>13</v>
      </c>
    </row>
    <row r="12411" spans="1:7" x14ac:dyDescent="0.2">
      <c r="A12411" s="2" t="s">
        <v>3369</v>
      </c>
      <c r="B12411" s="2" t="s">
        <v>2501</v>
      </c>
      <c r="C12411" s="2">
        <v>803.55769999999995</v>
      </c>
      <c r="D12411" s="2">
        <f>HYPERLINK("http://mcb-m6.bioreg.kyushu-u.ac.jp/M3/20110502/F51189/2110/1", 108.62)</f>
        <v>108.62</v>
      </c>
      <c r="E12411" s="2">
        <v>87.66</v>
      </c>
      <c r="F12411" s="2">
        <v>2</v>
      </c>
      <c r="G12411" s="2" t="s">
        <v>13</v>
      </c>
    </row>
    <row r="12412" spans="1:7" x14ac:dyDescent="0.2">
      <c r="A12412" s="2" t="s">
        <v>3675</v>
      </c>
      <c r="B12412" s="2" t="s">
        <v>628</v>
      </c>
      <c r="C12412" s="2">
        <v>657.27670000000001</v>
      </c>
      <c r="D12412" s="2">
        <f>HYPERLINK("http://mcb-m6.bioreg.kyushu-u.ac.jp/M3/20110411/F50894/1911/1", 46.59)</f>
        <v>46.59</v>
      </c>
      <c r="E12412" s="2">
        <v>33.950000000000003</v>
      </c>
      <c r="F12412" s="2">
        <v>2</v>
      </c>
      <c r="G12412" s="2" t="s">
        <v>9</v>
      </c>
    </row>
    <row r="12413" spans="1:7" x14ac:dyDescent="0.2">
      <c r="A12413" s="2" t="s">
        <v>3675</v>
      </c>
      <c r="B12413" s="2" t="s">
        <v>664</v>
      </c>
      <c r="C12413" s="2">
        <v>1093.78</v>
      </c>
      <c r="D12413" s="2">
        <f>HYPERLINK("http://mcb-m6.bioreg.kyushu-u.ac.jp/M3/20110411/F50894/1575/1", 47.63)</f>
        <v>47.63</v>
      </c>
      <c r="E12413" s="2">
        <v>26.59</v>
      </c>
      <c r="F12413" s="2">
        <v>1</v>
      </c>
      <c r="G12413" s="2" t="s">
        <v>9</v>
      </c>
    </row>
    <row r="12414" spans="1:7" x14ac:dyDescent="0.2">
      <c r="A12414" s="2" t="s">
        <v>3675</v>
      </c>
      <c r="B12414" s="2" t="s">
        <v>664</v>
      </c>
      <c r="C12414" s="2">
        <v>1093.7860000000001</v>
      </c>
      <c r="D12414" s="2">
        <f>HYPERLINK("http://mcb-m6.bioreg.kyushu-u.ac.jp/M3/20110411/F50901/1353/1", 49.1)</f>
        <v>49.1</v>
      </c>
      <c r="E12414" s="2">
        <v>22.56</v>
      </c>
      <c r="F12414" s="2">
        <v>1</v>
      </c>
      <c r="G12414" s="2" t="s">
        <v>10</v>
      </c>
    </row>
    <row r="12415" spans="1:7" x14ac:dyDescent="0.2">
      <c r="A12415" s="2" t="s">
        <v>3675</v>
      </c>
      <c r="B12415" s="2" t="s">
        <v>628</v>
      </c>
      <c r="C12415" s="2">
        <v>657.51009999999997</v>
      </c>
      <c r="D12415" s="2">
        <f>HYPERLINK("http://mcb-m6.bioreg.kyushu-u.ac.jp/M3/20110411/F50901/1679/1", 87.47)</f>
        <v>87.47</v>
      </c>
      <c r="E12415" s="2">
        <v>62.6</v>
      </c>
      <c r="F12415" s="2">
        <v>2</v>
      </c>
      <c r="G12415" s="2" t="s">
        <v>10</v>
      </c>
    </row>
    <row r="12416" spans="1:7" x14ac:dyDescent="0.2">
      <c r="A12416" s="2" t="s">
        <v>3675</v>
      </c>
      <c r="B12416" s="2" t="s">
        <v>628</v>
      </c>
      <c r="C12416" s="2">
        <v>657.19460000000004</v>
      </c>
      <c r="D12416" s="2">
        <f>HYPERLINK("http://mcb-m6.bioreg.kyushu-u.ac.jp/M3/20110414/F50957/1320/1", 42.81)</f>
        <v>42.81</v>
      </c>
      <c r="E12416" s="2">
        <v>27.67</v>
      </c>
      <c r="F12416" s="2">
        <v>2</v>
      </c>
      <c r="G12416" s="2" t="s">
        <v>11</v>
      </c>
    </row>
    <row r="12417" spans="1:9" x14ac:dyDescent="0.2">
      <c r="A12417" s="2" t="s">
        <v>3675</v>
      </c>
      <c r="B12417" s="2" t="s">
        <v>2343</v>
      </c>
      <c r="C12417" s="2">
        <v>644.2192</v>
      </c>
      <c r="D12417" s="2">
        <f>HYPERLINK("http://mcb-m6.bioreg.kyushu-u.ac.jp/M3/20110414/F50957/1238/1", 48.9)</f>
        <v>48.9</v>
      </c>
      <c r="E12417" s="2">
        <v>37.06</v>
      </c>
      <c r="F12417" s="2">
        <v>2</v>
      </c>
      <c r="G12417" s="2" t="s">
        <v>11</v>
      </c>
    </row>
    <row r="12418" spans="1:9" x14ac:dyDescent="0.2">
      <c r="A12418" s="2" t="s">
        <v>3675</v>
      </c>
      <c r="B12418" s="2" t="s">
        <v>2404</v>
      </c>
      <c r="C12418" s="2">
        <v>644.66970000000003</v>
      </c>
      <c r="D12418" s="2">
        <f>HYPERLINK("http://mcb-m6.bioreg.kyushu-u.ac.jp/M3/20110414/F50957/1241/1", 57.44)</f>
        <v>57.44</v>
      </c>
      <c r="E12418" s="2">
        <v>38.82</v>
      </c>
      <c r="F12418" s="2">
        <v>2</v>
      </c>
      <c r="G12418" s="2" t="s">
        <v>11</v>
      </c>
    </row>
    <row r="12419" spans="1:9" x14ac:dyDescent="0.2">
      <c r="A12419" s="2" t="s">
        <v>3675</v>
      </c>
      <c r="B12419" s="2" t="s">
        <v>2427</v>
      </c>
      <c r="C12419" s="2">
        <v>911.82920000000001</v>
      </c>
      <c r="D12419" s="2">
        <f>HYPERLINK("http://mcb-m6.bioreg.kyushu-u.ac.jp/M3/20110414/F50957/2972/1", 61.39)</f>
        <v>61.39</v>
      </c>
      <c r="E12419" s="2">
        <v>50.81</v>
      </c>
      <c r="F12419" s="2">
        <v>2</v>
      </c>
      <c r="G12419" s="2" t="s">
        <v>11</v>
      </c>
      <c r="I12419" s="2" t="s">
        <v>4909</v>
      </c>
    </row>
    <row r="12420" spans="1:9" x14ac:dyDescent="0.2">
      <c r="A12420" s="2" t="s">
        <v>3675</v>
      </c>
      <c r="B12420" s="2" t="s">
        <v>628</v>
      </c>
      <c r="C12420" s="2">
        <v>657.71169999999995</v>
      </c>
      <c r="D12420" s="2">
        <f>HYPERLINK("http://mcb-m6.bioreg.kyushu-u.ac.jp/M3/20110414/F50957/1324/1", 65.22)</f>
        <v>65.22</v>
      </c>
      <c r="E12420" s="2">
        <v>47.37</v>
      </c>
      <c r="F12420" s="2">
        <v>2</v>
      </c>
      <c r="G12420" s="2" t="s">
        <v>11</v>
      </c>
    </row>
    <row r="12421" spans="1:9" x14ac:dyDescent="0.2">
      <c r="A12421" s="2" t="s">
        <v>3675</v>
      </c>
      <c r="B12421" s="2" t="s">
        <v>2456</v>
      </c>
      <c r="C12421" s="2">
        <v>670.65170000000001</v>
      </c>
      <c r="D12421" s="2">
        <f>HYPERLINK("http://mcb-m6.bioreg.kyushu-u.ac.jp/M3/20110414/F50957/1405/1", 69)</f>
        <v>69</v>
      </c>
      <c r="E12421" s="2">
        <v>50.76</v>
      </c>
      <c r="F12421" s="2">
        <v>2</v>
      </c>
      <c r="G12421" s="2" t="s">
        <v>11</v>
      </c>
    </row>
    <row r="12422" spans="1:9" x14ac:dyDescent="0.2">
      <c r="A12422" s="2" t="s">
        <v>3675</v>
      </c>
      <c r="B12422" s="2" t="s">
        <v>2655</v>
      </c>
      <c r="C12422" s="2">
        <v>598.72519999999997</v>
      </c>
      <c r="D12422" s="2">
        <f>HYPERLINK("http://mcb-m6.bioreg.kyushu-u.ac.jp/M3/20110414/F50959/961/1", 47.73)</f>
        <v>47.73</v>
      </c>
      <c r="E12422" s="2">
        <v>27.82</v>
      </c>
      <c r="F12422" s="2">
        <v>2</v>
      </c>
      <c r="G12422" s="2" t="s">
        <v>12</v>
      </c>
    </row>
    <row r="12423" spans="1:9" x14ac:dyDescent="0.2">
      <c r="A12423" s="2" t="s">
        <v>3675</v>
      </c>
      <c r="B12423" s="2" t="s">
        <v>2427</v>
      </c>
      <c r="C12423" s="2">
        <v>911.83619999999996</v>
      </c>
      <c r="D12423" s="2">
        <f>HYPERLINK("http://mcb-m6.bioreg.kyushu-u.ac.jp/M3/20110414/F50959/3051/1", 48.06)</f>
        <v>48.06</v>
      </c>
      <c r="E12423" s="2">
        <v>37.68</v>
      </c>
      <c r="F12423" s="2">
        <v>2</v>
      </c>
      <c r="G12423" s="2" t="s">
        <v>12</v>
      </c>
      <c r="I12423" s="2" t="s">
        <v>4909</v>
      </c>
    </row>
    <row r="12424" spans="1:9" x14ac:dyDescent="0.2">
      <c r="A12424" s="2" t="s">
        <v>3675</v>
      </c>
      <c r="B12424" s="2" t="s">
        <v>2871</v>
      </c>
      <c r="C12424" s="2">
        <v>538.99770000000001</v>
      </c>
      <c r="D12424" s="2">
        <f>HYPERLINK("http://mcb-m6.bioreg.kyushu-u.ac.jp/M3/20110502/F51173/765/1", 40.52)</f>
        <v>40.520000000000003</v>
      </c>
      <c r="E12424" s="2">
        <v>11.81</v>
      </c>
      <c r="F12424" s="2">
        <v>2</v>
      </c>
      <c r="G12424" s="2" t="s">
        <v>13</v>
      </c>
    </row>
    <row r="12425" spans="1:9" x14ac:dyDescent="0.2">
      <c r="A12425" s="2" t="s">
        <v>3675</v>
      </c>
      <c r="B12425" s="2" t="s">
        <v>2655</v>
      </c>
      <c r="C12425" s="2">
        <v>599.11869999999999</v>
      </c>
      <c r="D12425" s="2">
        <f>HYPERLINK("http://mcb-m6.bioreg.kyushu-u.ac.jp/M3/20110502/F51173/1046/1", 65.78)</f>
        <v>65.78</v>
      </c>
      <c r="E12425" s="2">
        <v>22.9</v>
      </c>
      <c r="F12425" s="2">
        <v>2</v>
      </c>
      <c r="G12425" s="2" t="s">
        <v>13</v>
      </c>
    </row>
    <row r="12426" spans="1:9" x14ac:dyDescent="0.2">
      <c r="A12426" s="2" t="s">
        <v>3675</v>
      </c>
      <c r="B12426" s="2" t="s">
        <v>3073</v>
      </c>
      <c r="C12426" s="2">
        <v>912.26059999999995</v>
      </c>
      <c r="D12426" s="2">
        <f>HYPERLINK("http://mcb-m6.bioreg.kyushu-u.ac.jp/M3/20110502/F51184/4220/1", 41.95)</f>
        <v>41.95</v>
      </c>
      <c r="E12426" s="2">
        <v>28.11</v>
      </c>
      <c r="F12426" s="2">
        <v>3</v>
      </c>
      <c r="G12426" s="2" t="s">
        <v>14</v>
      </c>
    </row>
    <row r="12427" spans="1:9" x14ac:dyDescent="0.2">
      <c r="A12427" s="2" t="s">
        <v>3675</v>
      </c>
      <c r="B12427" s="2" t="s">
        <v>2871</v>
      </c>
      <c r="C12427" s="2">
        <v>539.03269999999998</v>
      </c>
      <c r="D12427" s="2">
        <f>HYPERLINK("http://mcb-m6.bioreg.kyushu-u.ac.jp/M3/20110502/F51184/714/1", 60.27)</f>
        <v>60.27</v>
      </c>
      <c r="E12427" s="2">
        <v>32.47</v>
      </c>
      <c r="F12427" s="2">
        <v>2</v>
      </c>
      <c r="G12427" s="2" t="s">
        <v>14</v>
      </c>
    </row>
    <row r="12428" spans="1:9" x14ac:dyDescent="0.2">
      <c r="A12428" s="2" t="s">
        <v>3675</v>
      </c>
      <c r="B12428" s="2" t="s">
        <v>2655</v>
      </c>
      <c r="C12428" s="2">
        <v>599.01459999999997</v>
      </c>
      <c r="D12428" s="2">
        <f>HYPERLINK("http://mcb-m6.bioreg.kyushu-u.ac.jp/M3/20110502/F51184/1009/1", 61.26)</f>
        <v>61.26</v>
      </c>
      <c r="E12428" s="2">
        <v>17.89</v>
      </c>
      <c r="F12428" s="2">
        <v>2</v>
      </c>
      <c r="G12428" s="2" t="s">
        <v>14</v>
      </c>
    </row>
    <row r="12429" spans="1:9" x14ac:dyDescent="0.2">
      <c r="A12429" s="2" t="s">
        <v>4877</v>
      </c>
      <c r="B12429" s="2" t="s">
        <v>3191</v>
      </c>
      <c r="C12429" s="2">
        <v>574.55070000000001</v>
      </c>
      <c r="D12429" s="2">
        <f>HYPERLINK("http://mcb-m6.bioreg.kyushu-u.ac.jp/M3/20110502/F51184/878/1", 67.45)</f>
        <v>67.45</v>
      </c>
      <c r="E12429" s="2">
        <v>41.4</v>
      </c>
      <c r="F12429" s="2">
        <v>2</v>
      </c>
      <c r="G12429" s="2" t="s">
        <v>14</v>
      </c>
    </row>
    <row r="12430" spans="1:9" x14ac:dyDescent="0.2">
      <c r="A12430" s="2" t="s">
        <v>4877</v>
      </c>
      <c r="B12430" s="2" t="s">
        <v>3199</v>
      </c>
      <c r="C12430" s="2">
        <v>1047.2719999999999</v>
      </c>
      <c r="D12430" s="2">
        <f>HYPERLINK("http://mcb-m6.bioreg.kyushu-u.ac.jp/M3/20110502/F51184/3465/1", 70.92)</f>
        <v>70.92</v>
      </c>
      <c r="E12430" s="2">
        <v>62.96</v>
      </c>
      <c r="F12430" s="2">
        <v>2</v>
      </c>
      <c r="G12430" s="2" t="s">
        <v>14</v>
      </c>
    </row>
    <row r="12431" spans="1:9" x14ac:dyDescent="0.2">
      <c r="A12431" s="2" t="s">
        <v>4395</v>
      </c>
      <c r="B12431" s="2" t="s">
        <v>2241</v>
      </c>
      <c r="C12431" s="2">
        <v>483.14510000000001</v>
      </c>
      <c r="D12431" s="2">
        <f>HYPERLINK("http://mcb-m6.bioreg.kyushu-u.ac.jp/M3/20110414/F50928/1119/1", 39.09)</f>
        <v>39.090000000000003</v>
      </c>
      <c r="E12431" s="2">
        <v>9.8800000000000008</v>
      </c>
      <c r="F12431" s="2">
        <v>2</v>
      </c>
      <c r="G12431" s="2" t="s">
        <v>11</v>
      </c>
    </row>
    <row r="12432" spans="1:9" x14ac:dyDescent="0.2">
      <c r="A12432" s="2" t="s">
        <v>3392</v>
      </c>
      <c r="B12432" s="2" t="s">
        <v>186</v>
      </c>
      <c r="C12432" s="2">
        <v>606.62570000000005</v>
      </c>
      <c r="D12432" s="2">
        <f>HYPERLINK("http://mcb-m6.bioreg.kyushu-u.ac.jp/M3/20110411/F50895/1462/1", 37.39)</f>
        <v>37.39</v>
      </c>
      <c r="E12432" s="2">
        <v>10.77</v>
      </c>
      <c r="F12432" s="2">
        <v>2</v>
      </c>
      <c r="G12432" s="2" t="s">
        <v>9</v>
      </c>
      <c r="H12432" s="2" t="s">
        <v>4904</v>
      </c>
    </row>
    <row r="12433" spans="1:8" x14ac:dyDescent="0.2">
      <c r="A12433" s="2" t="s">
        <v>3776</v>
      </c>
      <c r="B12433" s="2" t="s">
        <v>803</v>
      </c>
      <c r="C12433" s="2">
        <v>663.62019999999995</v>
      </c>
      <c r="D12433" s="2">
        <f>HYPERLINK("http://mcb-m6.bioreg.kyushu-u.ac.jp/M3/20110411/F50903/1658/1", 51.75)</f>
        <v>51.75</v>
      </c>
      <c r="E12433" s="2">
        <v>23.01</v>
      </c>
      <c r="F12433" s="2">
        <v>2</v>
      </c>
      <c r="G12433" s="2" t="s">
        <v>9</v>
      </c>
    </row>
    <row r="12434" spans="1:8" x14ac:dyDescent="0.2">
      <c r="A12434" s="2" t="s">
        <v>4001</v>
      </c>
      <c r="B12434" s="2" t="s">
        <v>1291</v>
      </c>
      <c r="C12434" s="2">
        <v>778.80269999999996</v>
      </c>
      <c r="D12434" s="2">
        <f>HYPERLINK("http://mcb-m6.bioreg.kyushu-u.ac.jp/M3/20110411/F50892/2386/1", 70.93)</f>
        <v>70.930000000000007</v>
      </c>
      <c r="E12434" s="2">
        <v>53.02</v>
      </c>
      <c r="F12434" s="2">
        <v>2</v>
      </c>
      <c r="G12434" s="2" t="s">
        <v>9</v>
      </c>
    </row>
    <row r="12435" spans="1:8" x14ac:dyDescent="0.2">
      <c r="A12435" s="2" t="s">
        <v>4001</v>
      </c>
      <c r="B12435" s="2" t="s">
        <v>1734</v>
      </c>
      <c r="C12435" s="2">
        <v>779.48659999999995</v>
      </c>
      <c r="D12435" s="2">
        <f>HYPERLINK("http://mcb-m6.bioreg.kyushu-u.ac.jp/M3/20110411/F50899/2397/1", 36.86)</f>
        <v>36.86</v>
      </c>
      <c r="E12435" s="2">
        <v>15.97</v>
      </c>
      <c r="F12435" s="2">
        <v>2</v>
      </c>
      <c r="G12435" s="2" t="s">
        <v>10</v>
      </c>
    </row>
    <row r="12436" spans="1:8" x14ac:dyDescent="0.2">
      <c r="A12436" s="2" t="s">
        <v>4001</v>
      </c>
      <c r="B12436" s="2" t="s">
        <v>1291</v>
      </c>
      <c r="C12436" s="2">
        <v>779.34220000000005</v>
      </c>
      <c r="D12436" s="2">
        <f>HYPERLINK("http://mcb-m6.bioreg.kyushu-u.ac.jp/M3/20110411/F50899/2396/1", 37.63)</f>
        <v>37.630000000000003</v>
      </c>
      <c r="E12436" s="2">
        <v>22.08</v>
      </c>
      <c r="F12436" s="2">
        <v>2</v>
      </c>
      <c r="G12436" s="2" t="s">
        <v>10</v>
      </c>
    </row>
    <row r="12437" spans="1:8" x14ac:dyDescent="0.2">
      <c r="A12437" s="2" t="s">
        <v>4001</v>
      </c>
      <c r="B12437" s="2" t="s">
        <v>1291</v>
      </c>
      <c r="C12437" s="2">
        <v>778.75459999999998</v>
      </c>
      <c r="D12437" s="2">
        <f>HYPERLINK("http://mcb-m6.bioreg.kyushu-u.ac.jp/M3/20110414/F50929/2441/1", 66.35)</f>
        <v>66.349999999999994</v>
      </c>
      <c r="E12437" s="2">
        <v>52.73</v>
      </c>
      <c r="F12437" s="2">
        <v>2</v>
      </c>
      <c r="G12437" s="2" t="s">
        <v>11</v>
      </c>
    </row>
    <row r="12438" spans="1:8" x14ac:dyDescent="0.2">
      <c r="A12438" s="2" t="s">
        <v>4001</v>
      </c>
      <c r="B12438" s="2" t="s">
        <v>1291</v>
      </c>
      <c r="C12438" s="2">
        <v>779.0847</v>
      </c>
      <c r="D12438" s="2">
        <f>HYPERLINK("http://mcb-m6.bioreg.kyushu-u.ac.jp/M3/20110502/F51180/2074/1", 83.93)</f>
        <v>83.93</v>
      </c>
      <c r="E12438" s="2">
        <v>52.37</v>
      </c>
      <c r="F12438" s="2">
        <v>2</v>
      </c>
      <c r="G12438" s="2" t="s">
        <v>13</v>
      </c>
    </row>
    <row r="12439" spans="1:8" x14ac:dyDescent="0.2">
      <c r="A12439" s="2" t="s">
        <v>4001</v>
      </c>
      <c r="B12439" s="2" t="s">
        <v>1291</v>
      </c>
      <c r="C12439" s="2">
        <v>779.38509999999997</v>
      </c>
      <c r="D12439" s="2">
        <f>HYPERLINK("http://mcb-m6.bioreg.kyushu-u.ac.jp/M3/20110502/F51182/2187/1", 58.94)</f>
        <v>58.94</v>
      </c>
      <c r="E12439" s="2">
        <v>35.729999999999997</v>
      </c>
      <c r="F12439" s="2">
        <v>2</v>
      </c>
      <c r="G12439" s="2" t="s">
        <v>14</v>
      </c>
    </row>
    <row r="12440" spans="1:8" x14ac:dyDescent="0.2">
      <c r="A12440" s="2" t="s">
        <v>4261</v>
      </c>
      <c r="B12440" s="2" t="s">
        <v>1917</v>
      </c>
      <c r="C12440" s="2">
        <v>517.04319999999996</v>
      </c>
      <c r="D12440" s="2">
        <f>HYPERLINK("http://mcb-m6.bioreg.kyushu-u.ac.jp/M3/20110411/F50912/1135/1", 49.52)</f>
        <v>49.52</v>
      </c>
      <c r="E12440" s="2">
        <v>22.67</v>
      </c>
      <c r="F12440" s="2">
        <v>2</v>
      </c>
      <c r="G12440" s="2" t="s">
        <v>10</v>
      </c>
      <c r="H12440" s="2" t="s">
        <v>4915</v>
      </c>
    </row>
    <row r="12441" spans="1:8" x14ac:dyDescent="0.2">
      <c r="A12441" s="2" t="s">
        <v>4262</v>
      </c>
      <c r="B12441" s="2" t="s">
        <v>1918</v>
      </c>
      <c r="C12441" s="2">
        <v>517.04319999999996</v>
      </c>
      <c r="D12441" s="2">
        <f>HYPERLINK("http://mcb-m6.bioreg.kyushu-u.ac.jp/M3/20110411/F50912/1135/2", 49.52)</f>
        <v>49.52</v>
      </c>
      <c r="E12441" s="2">
        <v>22.67</v>
      </c>
      <c r="F12441" s="2">
        <v>2</v>
      </c>
      <c r="G12441" s="2" t="s">
        <v>10</v>
      </c>
      <c r="H12441" s="2" t="s">
        <v>4915</v>
      </c>
    </row>
    <row r="12442" spans="1:8" x14ac:dyDescent="0.2">
      <c r="A12442" s="2" t="s">
        <v>4141</v>
      </c>
      <c r="B12442" s="2" t="s">
        <v>1690</v>
      </c>
      <c r="C12442" s="2">
        <v>466.41050000000001</v>
      </c>
      <c r="D12442" s="2">
        <f>HYPERLINK("http://mcb-m6.bioreg.kyushu-u.ac.jp/M3/20110411/F50902/1844/1", 35.21)</f>
        <v>35.21</v>
      </c>
      <c r="E12442" s="2">
        <v>14.8</v>
      </c>
      <c r="F12442" s="2">
        <v>3</v>
      </c>
      <c r="G12442" s="2" t="s">
        <v>10</v>
      </c>
      <c r="H12442" s="2" t="s">
        <v>4908</v>
      </c>
    </row>
    <row r="12443" spans="1:8" x14ac:dyDescent="0.2">
      <c r="A12443" s="2" t="s">
        <v>4647</v>
      </c>
      <c r="B12443" s="2" t="s">
        <v>2804</v>
      </c>
      <c r="C12443" s="2">
        <v>557.61220000000003</v>
      </c>
      <c r="D12443" s="2">
        <f>HYPERLINK("http://mcb-m6.bioreg.kyushu-u.ac.jp/M3/20110502/F51174/1328/2", 36.15)</f>
        <v>36.15</v>
      </c>
      <c r="E12443" s="2">
        <v>10.67</v>
      </c>
      <c r="F12443" s="2">
        <v>2</v>
      </c>
      <c r="G12443" s="2" t="s">
        <v>13</v>
      </c>
    </row>
    <row r="12444" spans="1:8" x14ac:dyDescent="0.2">
      <c r="A12444" s="2" t="s">
        <v>4154</v>
      </c>
      <c r="B12444" s="2" t="s">
        <v>1707</v>
      </c>
      <c r="C12444" s="2">
        <v>851.66700000000003</v>
      </c>
      <c r="D12444" s="2">
        <f>HYPERLINK("http://mcb-m6.bioreg.kyushu-u.ac.jp/M3/20110411/F50898/1260/1", 35.7)</f>
        <v>35.700000000000003</v>
      </c>
      <c r="E12444" s="2">
        <v>24.44</v>
      </c>
      <c r="F12444" s="2">
        <v>1</v>
      </c>
      <c r="G12444" s="2" t="s">
        <v>10</v>
      </c>
    </row>
    <row r="12445" spans="1:8" x14ac:dyDescent="0.2">
      <c r="A12445" s="2" t="s">
        <v>4412</v>
      </c>
      <c r="B12445" s="2" t="s">
        <v>2269</v>
      </c>
      <c r="C12445" s="2">
        <v>467.37259999999998</v>
      </c>
      <c r="D12445" s="2">
        <f>HYPERLINK("http://mcb-m6.bioreg.kyushu-u.ac.jp/M3/20110414/F50929/1349/2", 41.3)</f>
        <v>41.3</v>
      </c>
      <c r="E12445" s="2">
        <v>13.71</v>
      </c>
      <c r="F12445" s="2">
        <v>2</v>
      </c>
      <c r="G12445" s="2" t="s">
        <v>11</v>
      </c>
    </row>
    <row r="12446" spans="1:8" x14ac:dyDescent="0.2">
      <c r="A12446" s="2" t="s">
        <v>3518</v>
      </c>
      <c r="B12446" s="2" t="s">
        <v>360</v>
      </c>
      <c r="C12446" s="2">
        <v>604.74019999999996</v>
      </c>
      <c r="D12446" s="2">
        <f>HYPERLINK("http://mcb-m6.bioreg.kyushu-u.ac.jp/M3/20110411/F50891/1410/1", 40.26)</f>
        <v>40.26</v>
      </c>
      <c r="E12446" s="2">
        <v>14.18</v>
      </c>
      <c r="F12446" s="2">
        <v>2</v>
      </c>
      <c r="G12446" s="2" t="s">
        <v>9</v>
      </c>
    </row>
    <row r="12447" spans="1:8" x14ac:dyDescent="0.2">
      <c r="A12447" s="2" t="s">
        <v>3518</v>
      </c>
      <c r="B12447" s="2" t="s">
        <v>360</v>
      </c>
      <c r="C12447" s="2">
        <v>604.95010000000002</v>
      </c>
      <c r="D12447" s="2">
        <f>HYPERLINK("http://mcb-m6.bioreg.kyushu-u.ac.jp/M3/20110502/F51177/1125/1", 37.48)</f>
        <v>37.479999999999997</v>
      </c>
      <c r="E12447" s="2">
        <v>14.2</v>
      </c>
      <c r="F12447" s="2">
        <v>2</v>
      </c>
      <c r="G12447" s="2" t="s">
        <v>14</v>
      </c>
    </row>
    <row r="12448" spans="1:8" x14ac:dyDescent="0.2">
      <c r="A12448" s="2" t="s">
        <v>3518</v>
      </c>
      <c r="B12448" s="2" t="s">
        <v>3051</v>
      </c>
      <c r="C12448" s="2">
        <v>669.36220000000003</v>
      </c>
      <c r="D12448" s="2">
        <f>HYPERLINK("http://mcb-m6.bioreg.kyushu-u.ac.jp/M3/20110502/F51183/1473/1", 40.44)</f>
        <v>40.44</v>
      </c>
      <c r="E12448" s="2">
        <v>17.43</v>
      </c>
      <c r="F12448" s="2">
        <v>2</v>
      </c>
      <c r="G12448" s="2" t="s">
        <v>14</v>
      </c>
    </row>
    <row r="12449" spans="1:7" x14ac:dyDescent="0.2">
      <c r="A12449" s="2" t="s">
        <v>4234</v>
      </c>
      <c r="B12449" s="2" t="s">
        <v>1847</v>
      </c>
      <c r="C12449" s="2">
        <v>842.58870000000002</v>
      </c>
      <c r="D12449" s="2">
        <f>HYPERLINK("http://mcb-m6.bioreg.kyushu-u.ac.jp/M3/20110411/F50918/2363/1", 43.65)</f>
        <v>43.65</v>
      </c>
      <c r="E12449" s="2">
        <v>30.37</v>
      </c>
      <c r="F12449" s="2">
        <v>2</v>
      </c>
      <c r="G12449" s="2" t="s">
        <v>10</v>
      </c>
    </row>
    <row r="12450" spans="1:7" x14ac:dyDescent="0.2">
      <c r="A12450" s="2" t="s">
        <v>4522</v>
      </c>
      <c r="B12450" s="2" t="s">
        <v>2540</v>
      </c>
      <c r="C12450" s="2">
        <v>660.52560000000005</v>
      </c>
      <c r="D12450" s="2">
        <f>HYPERLINK("http://mcb-m6.bioreg.kyushu-u.ac.jp/M3/20110414/F50959/1333/1", 36.52)</f>
        <v>36.520000000000003</v>
      </c>
      <c r="E12450" s="2">
        <v>15.71</v>
      </c>
      <c r="F12450" s="2">
        <v>2</v>
      </c>
      <c r="G12450" s="2" t="s">
        <v>12</v>
      </c>
    </row>
    <row r="12451" spans="1:7" x14ac:dyDescent="0.2">
      <c r="A12451" s="2" t="s">
        <v>4522</v>
      </c>
      <c r="B12451" s="2" t="s">
        <v>2737</v>
      </c>
      <c r="C12451" s="2">
        <v>796.83510000000001</v>
      </c>
      <c r="D12451" s="2">
        <f>HYPERLINK("http://mcb-m6.bioreg.kyushu-u.ac.jp/M3/20110414/F50959/2272/1", 70.67)</f>
        <v>70.67</v>
      </c>
      <c r="E12451" s="2">
        <v>43.55</v>
      </c>
      <c r="F12451" s="2">
        <v>2</v>
      </c>
      <c r="G12451" s="2" t="s">
        <v>12</v>
      </c>
    </row>
    <row r="12452" spans="1:7" x14ac:dyDescent="0.2">
      <c r="A12452" s="2" t="s">
        <v>4522</v>
      </c>
      <c r="B12452" s="2" t="s">
        <v>2763</v>
      </c>
      <c r="C12452" s="2">
        <v>775.79520000000002</v>
      </c>
      <c r="D12452" s="2">
        <f>HYPERLINK("http://mcb-m6.bioreg.kyushu-u.ac.jp/M3/20110414/F50959/2114/1", 81.58)</f>
        <v>81.58</v>
      </c>
      <c r="E12452" s="2">
        <v>59.22</v>
      </c>
      <c r="F12452" s="2">
        <v>2</v>
      </c>
      <c r="G12452" s="2" t="s">
        <v>12</v>
      </c>
    </row>
    <row r="12453" spans="1:7" x14ac:dyDescent="0.2">
      <c r="A12453" s="2" t="s">
        <v>4522</v>
      </c>
      <c r="B12453" s="2" t="s">
        <v>2540</v>
      </c>
      <c r="C12453" s="2">
        <v>660.53369999999995</v>
      </c>
      <c r="D12453" s="2">
        <f>HYPERLINK("http://mcb-m6.bioreg.kyushu-u.ac.jp/M3/20110502/F51173/1330/1", 64.79)</f>
        <v>64.790000000000006</v>
      </c>
      <c r="E12453" s="2">
        <v>35.020000000000003</v>
      </c>
      <c r="F12453" s="2">
        <v>2</v>
      </c>
      <c r="G12453" s="2" t="s">
        <v>13</v>
      </c>
    </row>
    <row r="12454" spans="1:7" x14ac:dyDescent="0.2">
      <c r="A12454" s="2" t="s">
        <v>3605</v>
      </c>
      <c r="B12454" s="2" t="s">
        <v>499</v>
      </c>
      <c r="C12454" s="2">
        <v>782.13210000000004</v>
      </c>
      <c r="D12454" s="2">
        <f>HYPERLINK("http://mcb-m6.bioreg.kyushu-u.ac.jp/M3/20110411/F50895/2289/1", 43.26)</f>
        <v>43.26</v>
      </c>
      <c r="E12454" s="2">
        <v>29.07</v>
      </c>
      <c r="F12454" s="2">
        <v>2</v>
      </c>
      <c r="G12454" s="2" t="s">
        <v>9</v>
      </c>
    </row>
    <row r="12455" spans="1:7" x14ac:dyDescent="0.2">
      <c r="A12455" s="2" t="s">
        <v>3605</v>
      </c>
      <c r="B12455" s="2" t="s">
        <v>706</v>
      </c>
      <c r="C12455" s="2">
        <v>701.61569999999995</v>
      </c>
      <c r="D12455" s="2">
        <f>HYPERLINK("http://mcb-m6.bioreg.kyushu-u.ac.jp/M3/20110411/F50916/1679/1", 48.9)</f>
        <v>48.9</v>
      </c>
      <c r="E12455" s="2">
        <v>35.979999999999997</v>
      </c>
      <c r="F12455" s="2">
        <v>2</v>
      </c>
      <c r="G12455" s="2" t="s">
        <v>9</v>
      </c>
    </row>
    <row r="12456" spans="1:7" x14ac:dyDescent="0.2">
      <c r="A12456" s="2" t="s">
        <v>3605</v>
      </c>
      <c r="B12456" s="2" t="s">
        <v>499</v>
      </c>
      <c r="C12456" s="2">
        <v>782.19870000000003</v>
      </c>
      <c r="D12456" s="2">
        <f>HYPERLINK("http://mcb-m6.bioreg.kyushu-u.ac.jp/M3/20110411/F50916/2128/1", 63.47)</f>
        <v>63.47</v>
      </c>
      <c r="E12456" s="2">
        <v>41.83</v>
      </c>
      <c r="F12456" s="2">
        <v>2</v>
      </c>
      <c r="G12456" s="2" t="s">
        <v>9</v>
      </c>
    </row>
    <row r="12457" spans="1:7" x14ac:dyDescent="0.2">
      <c r="A12457" s="2" t="s">
        <v>3605</v>
      </c>
      <c r="B12457" s="2" t="s">
        <v>1504</v>
      </c>
      <c r="C12457" s="2">
        <v>896.97019999999998</v>
      </c>
      <c r="D12457" s="2">
        <f>HYPERLINK("http://mcb-m6.bioreg.kyushu-u.ac.jp/M3/20110411/F50916/2690/1", 86.79)</f>
        <v>86.79</v>
      </c>
      <c r="E12457" s="2">
        <v>75.22</v>
      </c>
      <c r="F12457" s="2">
        <v>2</v>
      </c>
      <c r="G12457" s="2" t="s">
        <v>9</v>
      </c>
    </row>
    <row r="12458" spans="1:7" x14ac:dyDescent="0.2">
      <c r="A12458" s="2" t="s">
        <v>3605</v>
      </c>
      <c r="B12458" s="2" t="s">
        <v>1504</v>
      </c>
      <c r="C12458" s="2">
        <v>896.44209999999998</v>
      </c>
      <c r="D12458" s="2">
        <f>HYPERLINK("http://mcb-m6.bioreg.kyushu-u.ac.jp/M3/20110411/F50916/2685/1", 88.05)</f>
        <v>88.05</v>
      </c>
      <c r="E12458" s="2">
        <v>75.67</v>
      </c>
      <c r="F12458" s="2">
        <v>2</v>
      </c>
      <c r="G12458" s="2" t="s">
        <v>9</v>
      </c>
    </row>
    <row r="12459" spans="1:7" x14ac:dyDescent="0.2">
      <c r="A12459" s="2" t="s">
        <v>3605</v>
      </c>
      <c r="B12459" s="2" t="s">
        <v>1601</v>
      </c>
      <c r="C12459" s="2">
        <v>772.96370000000002</v>
      </c>
      <c r="D12459" s="2">
        <f>HYPERLINK("http://mcb-m6.bioreg.kyushu-u.ac.jp/M3/20110411/F50916/2068/1", 97.79)</f>
        <v>97.79</v>
      </c>
      <c r="E12459" s="2">
        <v>67.33</v>
      </c>
      <c r="F12459" s="2">
        <v>2</v>
      </c>
      <c r="G12459" s="2" t="s">
        <v>9</v>
      </c>
    </row>
    <row r="12460" spans="1:7" x14ac:dyDescent="0.2">
      <c r="A12460" s="2" t="s">
        <v>3605</v>
      </c>
      <c r="B12460" s="2" t="s">
        <v>499</v>
      </c>
      <c r="C12460" s="2">
        <v>781.88170000000002</v>
      </c>
      <c r="D12460" s="2">
        <f>HYPERLINK("http://mcb-m6.bioreg.kyushu-u.ac.jp/M3/20110411/F50918/2087/1", 49.04)</f>
        <v>49.04</v>
      </c>
      <c r="E12460" s="2">
        <v>31.75</v>
      </c>
      <c r="F12460" s="2">
        <v>2</v>
      </c>
      <c r="G12460" s="2" t="s">
        <v>10</v>
      </c>
    </row>
    <row r="12461" spans="1:7" x14ac:dyDescent="0.2">
      <c r="A12461" s="2" t="s">
        <v>3605</v>
      </c>
      <c r="B12461" s="2" t="s">
        <v>2244</v>
      </c>
      <c r="C12461" s="2">
        <v>500.7201</v>
      </c>
      <c r="D12461" s="2">
        <f>HYPERLINK("http://mcb-m6.bioreg.kyushu-u.ac.jp/M3/20110414/F50957/604/1", 39.23)</f>
        <v>39.229999999999997</v>
      </c>
      <c r="E12461" s="2">
        <v>14.97</v>
      </c>
      <c r="F12461" s="2">
        <v>2</v>
      </c>
      <c r="G12461" s="2" t="s">
        <v>11</v>
      </c>
    </row>
    <row r="12462" spans="1:7" x14ac:dyDescent="0.2">
      <c r="A12462" s="2" t="s">
        <v>3605</v>
      </c>
      <c r="B12462" s="2" t="s">
        <v>2374</v>
      </c>
      <c r="C12462" s="2">
        <v>551.71810000000005</v>
      </c>
      <c r="D12462" s="2">
        <f>HYPERLINK("http://mcb-m6.bioreg.kyushu-u.ac.jp/M3/20110414/F50957/784/2", 51.3)</f>
        <v>51.3</v>
      </c>
      <c r="E12462" s="2">
        <v>16.079999999999998</v>
      </c>
      <c r="F12462" s="2">
        <v>2</v>
      </c>
      <c r="G12462" s="2" t="s">
        <v>11</v>
      </c>
    </row>
    <row r="12463" spans="1:7" x14ac:dyDescent="0.2">
      <c r="A12463" s="2" t="s">
        <v>3605</v>
      </c>
      <c r="B12463" s="2" t="s">
        <v>499</v>
      </c>
      <c r="C12463" s="2">
        <v>781.75070000000005</v>
      </c>
      <c r="D12463" s="2">
        <f>HYPERLINK("http://mcb-m6.bioreg.kyushu-u.ac.jp/M3/20110414/F50957/2164/1", 71.53)</f>
        <v>71.53</v>
      </c>
      <c r="E12463" s="2">
        <v>53.08</v>
      </c>
      <c r="F12463" s="2">
        <v>2</v>
      </c>
      <c r="G12463" s="2" t="s">
        <v>11</v>
      </c>
    </row>
    <row r="12464" spans="1:7" x14ac:dyDescent="0.2">
      <c r="A12464" s="2" t="s">
        <v>3605</v>
      </c>
      <c r="B12464" s="2" t="s">
        <v>1504</v>
      </c>
      <c r="C12464" s="2">
        <v>896.41610000000003</v>
      </c>
      <c r="D12464" s="2">
        <f>HYPERLINK("http://mcb-m6.bioreg.kyushu-u.ac.jp/M3/20110414/F50957/2873/1", 107.41)</f>
        <v>107.41</v>
      </c>
      <c r="E12464" s="2">
        <v>92.38</v>
      </c>
      <c r="F12464" s="2">
        <v>2</v>
      </c>
      <c r="G12464" s="2" t="s">
        <v>11</v>
      </c>
    </row>
    <row r="12465" spans="1:7" x14ac:dyDescent="0.2">
      <c r="A12465" s="2" t="s">
        <v>3605</v>
      </c>
      <c r="B12465" s="2" t="s">
        <v>1601</v>
      </c>
      <c r="C12465" s="2">
        <v>773.00459999999998</v>
      </c>
      <c r="D12465" s="2">
        <f>HYPERLINK("http://mcb-m6.bioreg.kyushu-u.ac.jp/M3/20110502/F51189/1967/1", 35.64)</f>
        <v>35.64</v>
      </c>
      <c r="E12465" s="2">
        <v>13.85</v>
      </c>
      <c r="F12465" s="2">
        <v>2</v>
      </c>
      <c r="G12465" s="2" t="s">
        <v>13</v>
      </c>
    </row>
    <row r="12466" spans="1:7" x14ac:dyDescent="0.2">
      <c r="A12466" s="2" t="s">
        <v>3605</v>
      </c>
      <c r="B12466" s="2" t="s">
        <v>2903</v>
      </c>
      <c r="C12466" s="2">
        <v>632.63509999999997</v>
      </c>
      <c r="D12466" s="2">
        <f>HYPERLINK("http://mcb-m6.bioreg.kyushu-u.ac.jp/M3/20110502/F51173/1211/1", 47)</f>
        <v>47</v>
      </c>
      <c r="E12466" s="2">
        <v>17.41</v>
      </c>
      <c r="F12466" s="2">
        <v>2</v>
      </c>
      <c r="G12466" s="2" t="s">
        <v>13</v>
      </c>
    </row>
    <row r="12467" spans="1:7" x14ac:dyDescent="0.2">
      <c r="A12467" s="2" t="s">
        <v>3605</v>
      </c>
      <c r="B12467" s="2" t="s">
        <v>499</v>
      </c>
      <c r="C12467" s="2">
        <v>782.05219999999997</v>
      </c>
      <c r="D12467" s="2">
        <f>HYPERLINK("http://mcb-m6.bioreg.kyushu-u.ac.jp/M3/20110502/F51173/2068/1", 73.47)</f>
        <v>73.47</v>
      </c>
      <c r="E12467" s="2">
        <v>55.98</v>
      </c>
      <c r="F12467" s="2">
        <v>2</v>
      </c>
      <c r="G12467" s="2" t="s">
        <v>13</v>
      </c>
    </row>
    <row r="12468" spans="1:7" x14ac:dyDescent="0.2">
      <c r="A12468" s="2" t="s">
        <v>4309</v>
      </c>
      <c r="B12468" s="2" t="s">
        <v>2058</v>
      </c>
      <c r="C12468" s="2">
        <v>643.31569999999999</v>
      </c>
      <c r="D12468" s="2">
        <f>HYPERLINK("http://mcb-m6.bioreg.kyushu-u.ac.jp/M3/20110411/F50917/1428/1", 70.04)</f>
        <v>70.040000000000006</v>
      </c>
      <c r="E12468" s="2">
        <v>55.64</v>
      </c>
      <c r="F12468" s="2">
        <v>2</v>
      </c>
      <c r="G12468" s="2" t="s">
        <v>10</v>
      </c>
    </row>
    <row r="12469" spans="1:7" x14ac:dyDescent="0.2">
      <c r="A12469" s="2" t="s">
        <v>3628</v>
      </c>
      <c r="B12469" s="2" t="s">
        <v>541</v>
      </c>
      <c r="C12469" s="2">
        <v>515.75869999999998</v>
      </c>
      <c r="D12469" s="2">
        <f>HYPERLINK("http://mcb-m6.bioreg.kyushu-u.ac.jp/M3/20110411/F50892/1366/1", 44.25)</f>
        <v>44.25</v>
      </c>
      <c r="E12469" s="2">
        <v>22.38</v>
      </c>
      <c r="F12469" s="2">
        <v>2</v>
      </c>
      <c r="G12469" s="2" t="s">
        <v>9</v>
      </c>
    </row>
    <row r="12470" spans="1:7" x14ac:dyDescent="0.2">
      <c r="A12470" s="2" t="s">
        <v>3628</v>
      </c>
      <c r="B12470" s="2" t="s">
        <v>662</v>
      </c>
      <c r="C12470" s="2">
        <v>717.81020000000001</v>
      </c>
      <c r="D12470" s="2">
        <f>HYPERLINK("http://mcb-m6.bioreg.kyushu-u.ac.jp/M3/20110411/F50892/2109/1", 47.62)</f>
        <v>47.62</v>
      </c>
      <c r="E12470" s="2">
        <v>34.04</v>
      </c>
      <c r="F12470" s="2">
        <v>2</v>
      </c>
      <c r="G12470" s="2" t="s">
        <v>9</v>
      </c>
    </row>
    <row r="12471" spans="1:7" x14ac:dyDescent="0.2">
      <c r="A12471" s="2" t="s">
        <v>3253</v>
      </c>
      <c r="B12471" s="2" t="s">
        <v>33</v>
      </c>
      <c r="C12471" s="2">
        <v>584.93709999999999</v>
      </c>
      <c r="D12471" s="2">
        <f>HYPERLINK("http://mcb-m6.bioreg.kyushu-u.ac.jp/M3/20110411/F50915/1102/1", 35.24)</f>
        <v>35.24</v>
      </c>
      <c r="E12471" s="2">
        <v>21.5</v>
      </c>
      <c r="F12471" s="2">
        <v>2</v>
      </c>
      <c r="G12471" s="2" t="s">
        <v>9</v>
      </c>
    </row>
    <row r="12472" spans="1:7" x14ac:dyDescent="0.2">
      <c r="A12472" s="2" t="s">
        <v>3253</v>
      </c>
      <c r="B12472" s="2" t="s">
        <v>33</v>
      </c>
      <c r="C12472" s="2">
        <v>584.94320000000005</v>
      </c>
      <c r="D12472" s="2">
        <f>HYPERLINK("http://mcb-m6.bioreg.kyushu-u.ac.jp/M3/20110411/F50916/1105/1", 38.83)</f>
        <v>38.83</v>
      </c>
      <c r="E12472" s="2">
        <v>23.42</v>
      </c>
      <c r="F12472" s="2">
        <v>2</v>
      </c>
      <c r="G12472" s="2" t="s">
        <v>9</v>
      </c>
    </row>
    <row r="12473" spans="1:7" x14ac:dyDescent="0.2">
      <c r="A12473" s="2" t="s">
        <v>3253</v>
      </c>
      <c r="B12473" s="2" t="s">
        <v>471</v>
      </c>
      <c r="C12473" s="2">
        <v>604.95010000000002</v>
      </c>
      <c r="D12473" s="2">
        <f>HYPERLINK("http://mcb-m6.bioreg.kyushu-u.ac.jp/M3/20110411/F50915/1194/1", 42.57)</f>
        <v>42.57</v>
      </c>
      <c r="E12473" s="2">
        <v>25.06</v>
      </c>
      <c r="F12473" s="2">
        <v>2</v>
      </c>
      <c r="G12473" s="2" t="s">
        <v>9</v>
      </c>
    </row>
    <row r="12474" spans="1:7" x14ac:dyDescent="0.2">
      <c r="A12474" s="2" t="s">
        <v>3253</v>
      </c>
      <c r="B12474" s="2" t="s">
        <v>471</v>
      </c>
      <c r="C12474" s="2">
        <v>604.99469999999997</v>
      </c>
      <c r="D12474" s="2">
        <f>HYPERLINK("http://mcb-m6.bioreg.kyushu-u.ac.jp/M3/20110411/F50916/1192/1", 44.18)</f>
        <v>44.18</v>
      </c>
      <c r="E12474" s="2">
        <v>27.8</v>
      </c>
      <c r="F12474" s="2">
        <v>2</v>
      </c>
      <c r="G12474" s="2" t="s">
        <v>9</v>
      </c>
    </row>
    <row r="12475" spans="1:7" x14ac:dyDescent="0.2">
      <c r="A12475" s="2" t="s">
        <v>3253</v>
      </c>
      <c r="B12475" s="2" t="s">
        <v>577</v>
      </c>
      <c r="C12475" s="2">
        <v>632.99869999999999</v>
      </c>
      <c r="D12475" s="2">
        <f>HYPERLINK("http://mcb-m6.bioreg.kyushu-u.ac.jp/M3/20110411/F50916/1329/1", 45.28)</f>
        <v>45.28</v>
      </c>
      <c r="E12475" s="2">
        <v>24.67</v>
      </c>
      <c r="F12475" s="2">
        <v>2</v>
      </c>
      <c r="G12475" s="2" t="s">
        <v>9</v>
      </c>
    </row>
    <row r="12476" spans="1:7" x14ac:dyDescent="0.2">
      <c r="A12476" s="2" t="s">
        <v>3253</v>
      </c>
      <c r="B12476" s="2" t="s">
        <v>593</v>
      </c>
      <c r="C12476" s="2">
        <v>890.00819999999999</v>
      </c>
      <c r="D12476" s="2">
        <f>HYPERLINK("http://mcb-m6.bioreg.kyushu-u.ac.jp/M3/20110411/F50915/2768/1", 45.86)</f>
        <v>45.86</v>
      </c>
      <c r="E12476" s="2">
        <v>32.51</v>
      </c>
      <c r="F12476" s="2">
        <v>2</v>
      </c>
      <c r="G12476" s="2" t="s">
        <v>9</v>
      </c>
    </row>
    <row r="12477" spans="1:7" x14ac:dyDescent="0.2">
      <c r="A12477" s="2" t="s">
        <v>3253</v>
      </c>
      <c r="B12477" s="2" t="s">
        <v>577</v>
      </c>
      <c r="C12477" s="2">
        <v>633.06320000000005</v>
      </c>
      <c r="D12477" s="2">
        <f>HYPERLINK("http://mcb-m6.bioreg.kyushu-u.ac.jp/M3/20110411/F50915/1315/1", 46.74)</f>
        <v>46.74</v>
      </c>
      <c r="E12477" s="2">
        <v>18.61</v>
      </c>
      <c r="F12477" s="2">
        <v>2</v>
      </c>
      <c r="G12477" s="2" t="s">
        <v>9</v>
      </c>
    </row>
    <row r="12478" spans="1:7" x14ac:dyDescent="0.2">
      <c r="A12478" s="2" t="s">
        <v>3253</v>
      </c>
      <c r="B12478" s="2" t="s">
        <v>853</v>
      </c>
      <c r="C12478" s="2">
        <v>618.85569999999996</v>
      </c>
      <c r="D12478" s="2">
        <f>HYPERLINK("http://mcb-m6.bioreg.kyushu-u.ac.jp/M3/20110411/F50915/1248/1", 53.53)</f>
        <v>53.53</v>
      </c>
      <c r="E12478" s="2">
        <v>31.15</v>
      </c>
      <c r="F12478" s="2">
        <v>2</v>
      </c>
      <c r="G12478" s="2" t="s">
        <v>9</v>
      </c>
    </row>
    <row r="12479" spans="1:7" x14ac:dyDescent="0.2">
      <c r="A12479" s="2" t="s">
        <v>3253</v>
      </c>
      <c r="B12479" s="2" t="s">
        <v>1007</v>
      </c>
      <c r="C12479" s="2">
        <v>894.55719999999997</v>
      </c>
      <c r="D12479" s="2">
        <f>HYPERLINK("http://mcb-m6.bioreg.kyushu-u.ac.jp/M3/20110411/F50915/2797/1", 58.58)</f>
        <v>58.58</v>
      </c>
      <c r="E12479" s="2">
        <v>43.41</v>
      </c>
      <c r="F12479" s="2">
        <v>2</v>
      </c>
      <c r="G12479" s="2" t="s">
        <v>9</v>
      </c>
    </row>
    <row r="12480" spans="1:7" x14ac:dyDescent="0.2">
      <c r="A12480" s="2" t="s">
        <v>3253</v>
      </c>
      <c r="B12480" s="2" t="s">
        <v>853</v>
      </c>
      <c r="C12480" s="2">
        <v>618.31209999999999</v>
      </c>
      <c r="D12480" s="2">
        <f>HYPERLINK("http://mcb-m6.bioreg.kyushu-u.ac.jp/M3/20110411/F50915/1244/1", 70.66)</f>
        <v>70.66</v>
      </c>
      <c r="E12480" s="2">
        <v>51.95</v>
      </c>
      <c r="F12480" s="2">
        <v>2</v>
      </c>
      <c r="G12480" s="2" t="s">
        <v>9</v>
      </c>
    </row>
    <row r="12481" spans="1:7" x14ac:dyDescent="0.2">
      <c r="A12481" s="2" t="s">
        <v>3253</v>
      </c>
      <c r="B12481" s="2" t="s">
        <v>1445</v>
      </c>
      <c r="C12481" s="2">
        <v>771.50070000000005</v>
      </c>
      <c r="D12481" s="2">
        <f>HYPERLINK("http://mcb-m6.bioreg.kyushu-u.ac.jp/M3/20110411/F50915/2095/1", 80.99)</f>
        <v>80.989999999999995</v>
      </c>
      <c r="E12481" s="2">
        <v>63.15</v>
      </c>
      <c r="F12481" s="2">
        <v>2</v>
      </c>
      <c r="G12481" s="2" t="s">
        <v>9</v>
      </c>
    </row>
    <row r="12482" spans="1:7" x14ac:dyDescent="0.2">
      <c r="A12482" s="2" t="s">
        <v>3253</v>
      </c>
      <c r="B12482" s="2" t="s">
        <v>1465</v>
      </c>
      <c r="C12482" s="2">
        <v>917.62369999999999</v>
      </c>
      <c r="D12482" s="2">
        <f>HYPERLINK("http://mcb-m6.bioreg.kyushu-u.ac.jp/M3/20110411/F50916/2785/1", 83.07)</f>
        <v>83.07</v>
      </c>
      <c r="E12482" s="2">
        <v>67.23</v>
      </c>
      <c r="F12482" s="2">
        <v>2</v>
      </c>
      <c r="G12482" s="2" t="s">
        <v>9</v>
      </c>
    </row>
    <row r="12483" spans="1:7" x14ac:dyDescent="0.2">
      <c r="A12483" s="2" t="s">
        <v>3253</v>
      </c>
      <c r="B12483" s="2" t="s">
        <v>1465</v>
      </c>
      <c r="C12483" s="2">
        <v>917.41309999999999</v>
      </c>
      <c r="D12483" s="2">
        <f>HYPERLINK("http://mcb-m6.bioreg.kyushu-u.ac.jp/M3/20110411/F50915/2920/1", 90.17)</f>
        <v>90.17</v>
      </c>
      <c r="E12483" s="2">
        <v>73.33</v>
      </c>
      <c r="F12483" s="2">
        <v>2</v>
      </c>
      <c r="G12483" s="2" t="s">
        <v>9</v>
      </c>
    </row>
    <row r="12484" spans="1:7" x14ac:dyDescent="0.2">
      <c r="A12484" s="2" t="s">
        <v>3253</v>
      </c>
      <c r="B12484" s="2" t="s">
        <v>1465</v>
      </c>
      <c r="C12484" s="2">
        <v>917.93219999999997</v>
      </c>
      <c r="D12484" s="2">
        <f>HYPERLINK("http://mcb-m6.bioreg.kyushu-u.ac.jp/M3/20110411/F50915/2923/1", 90.39)</f>
        <v>90.39</v>
      </c>
      <c r="E12484" s="2">
        <v>74.180000000000007</v>
      </c>
      <c r="F12484" s="2">
        <v>2</v>
      </c>
      <c r="G12484" s="2" t="s">
        <v>9</v>
      </c>
    </row>
    <row r="12485" spans="1:7" x14ac:dyDescent="0.2">
      <c r="A12485" s="2" t="s">
        <v>3253</v>
      </c>
      <c r="B12485" s="2" t="s">
        <v>853</v>
      </c>
      <c r="C12485" s="2">
        <v>618.8297</v>
      </c>
      <c r="D12485" s="2">
        <f>HYPERLINK("http://mcb-m6.bioreg.kyushu-u.ac.jp/M3/20110411/F50917/1330/1", 50.26)</f>
        <v>50.26</v>
      </c>
      <c r="E12485" s="2">
        <v>24.5</v>
      </c>
      <c r="F12485" s="2">
        <v>2</v>
      </c>
      <c r="G12485" s="2" t="s">
        <v>10</v>
      </c>
    </row>
    <row r="12486" spans="1:7" x14ac:dyDescent="0.2">
      <c r="A12486" s="2" t="s">
        <v>3253</v>
      </c>
      <c r="B12486" s="2" t="s">
        <v>1465</v>
      </c>
      <c r="C12486" s="2">
        <v>917.45619999999997</v>
      </c>
      <c r="D12486" s="2">
        <f>HYPERLINK("http://mcb-m6.bioreg.kyushu-u.ac.jp/M3/20110411/F50917/2975/1", 83.19)</f>
        <v>83.19</v>
      </c>
      <c r="E12486" s="2">
        <v>70.09</v>
      </c>
      <c r="F12486" s="2">
        <v>2</v>
      </c>
      <c r="G12486" s="2" t="s">
        <v>10</v>
      </c>
    </row>
    <row r="12487" spans="1:7" x14ac:dyDescent="0.2">
      <c r="A12487" s="2" t="s">
        <v>3253</v>
      </c>
      <c r="B12487" s="2" t="s">
        <v>33</v>
      </c>
      <c r="C12487" s="2">
        <v>584.72720000000004</v>
      </c>
      <c r="D12487" s="2">
        <f>HYPERLINK("http://mcb-m6.bioreg.kyushu-u.ac.jp/M3/20110414/F50956/979/1", 37.61)</f>
        <v>37.61</v>
      </c>
      <c r="E12487" s="2">
        <v>23.85</v>
      </c>
      <c r="F12487" s="2">
        <v>2</v>
      </c>
      <c r="G12487" s="2" t="s">
        <v>11</v>
      </c>
    </row>
    <row r="12488" spans="1:7" x14ac:dyDescent="0.2">
      <c r="A12488" s="2" t="s">
        <v>3253</v>
      </c>
      <c r="B12488" s="2" t="s">
        <v>577</v>
      </c>
      <c r="C12488" s="2">
        <v>632.69209999999998</v>
      </c>
      <c r="D12488" s="2">
        <f>HYPERLINK("http://mcb-m6.bioreg.kyushu-u.ac.jp/M3/20110414/F50956/1225/1", 37.85)</f>
        <v>37.85</v>
      </c>
      <c r="E12488" s="2">
        <v>20.37</v>
      </c>
      <c r="F12488" s="2">
        <v>2</v>
      </c>
      <c r="G12488" s="2" t="s">
        <v>11</v>
      </c>
    </row>
    <row r="12489" spans="1:7" x14ac:dyDescent="0.2">
      <c r="A12489" s="2" t="s">
        <v>3253</v>
      </c>
      <c r="B12489" s="2" t="s">
        <v>853</v>
      </c>
      <c r="C12489" s="2">
        <v>618.14620000000002</v>
      </c>
      <c r="D12489" s="2">
        <f>HYPERLINK("http://mcb-m6.bioreg.kyushu-u.ac.jp/M3/20110414/F50956/1152/1", 63.71)</f>
        <v>63.71</v>
      </c>
      <c r="E12489" s="2">
        <v>44.37</v>
      </c>
      <c r="F12489" s="2">
        <v>2</v>
      </c>
      <c r="G12489" s="2" t="s">
        <v>11</v>
      </c>
    </row>
    <row r="12490" spans="1:7" x14ac:dyDescent="0.2">
      <c r="A12490" s="2" t="s">
        <v>3253</v>
      </c>
      <c r="B12490" s="2" t="s">
        <v>1465</v>
      </c>
      <c r="C12490" s="2">
        <v>917.32370000000003</v>
      </c>
      <c r="D12490" s="2">
        <f>HYPERLINK("http://mcb-m6.bioreg.kyushu-u.ac.jp/M3/20110414/F50943/2811/1", 86.29)</f>
        <v>86.29</v>
      </c>
      <c r="E12490" s="2">
        <v>67.849999999999994</v>
      </c>
      <c r="F12490" s="2">
        <v>2</v>
      </c>
      <c r="G12490" s="2" t="s">
        <v>11</v>
      </c>
    </row>
    <row r="12491" spans="1:7" x14ac:dyDescent="0.2">
      <c r="A12491" s="2" t="s">
        <v>3253</v>
      </c>
      <c r="B12491" s="2" t="s">
        <v>1465</v>
      </c>
      <c r="C12491" s="2">
        <v>917.14009999999996</v>
      </c>
      <c r="D12491" s="2">
        <f>HYPERLINK("http://mcb-m6.bioreg.kyushu-u.ac.jp/M3/20110414/F50956/3100/1", 97.39)</f>
        <v>97.39</v>
      </c>
      <c r="E12491" s="2">
        <v>75</v>
      </c>
      <c r="F12491" s="2">
        <v>2</v>
      </c>
      <c r="G12491" s="2" t="s">
        <v>11</v>
      </c>
    </row>
    <row r="12492" spans="1:7" x14ac:dyDescent="0.2">
      <c r="A12492" s="2" t="s">
        <v>3253</v>
      </c>
      <c r="B12492" s="2" t="s">
        <v>1465</v>
      </c>
      <c r="C12492" s="2">
        <v>917.7097</v>
      </c>
      <c r="D12492" s="2">
        <f>HYPERLINK("http://mcb-m6.bioreg.kyushu-u.ac.jp/M3/20110414/F50956/3104/1", 99.31)</f>
        <v>99.31</v>
      </c>
      <c r="E12492" s="2">
        <v>76.06</v>
      </c>
      <c r="F12492" s="2">
        <v>2</v>
      </c>
      <c r="G12492" s="2" t="s">
        <v>11</v>
      </c>
    </row>
    <row r="12493" spans="1:7" x14ac:dyDescent="0.2">
      <c r="A12493" s="2" t="s">
        <v>3253</v>
      </c>
      <c r="B12493" s="2" t="s">
        <v>577</v>
      </c>
      <c r="C12493" s="2">
        <v>632.78719999999998</v>
      </c>
      <c r="D12493" s="2">
        <f>HYPERLINK("http://mcb-m6.bioreg.kyushu-u.ac.jp/M3/20110414/F50958/1293/1", 36.46)</f>
        <v>36.46</v>
      </c>
      <c r="E12493" s="2">
        <v>22.52</v>
      </c>
      <c r="F12493" s="2">
        <v>2</v>
      </c>
      <c r="G12493" s="2" t="s">
        <v>12</v>
      </c>
    </row>
    <row r="12494" spans="1:7" x14ac:dyDescent="0.2">
      <c r="A12494" s="2" t="s">
        <v>3253</v>
      </c>
      <c r="B12494" s="2" t="s">
        <v>1465</v>
      </c>
      <c r="C12494" s="2">
        <v>917.23170000000005</v>
      </c>
      <c r="D12494" s="2">
        <f>HYPERLINK("http://mcb-m6.bioreg.kyushu-u.ac.jp/M3/20110414/F50958/3200/1", 77.95)</f>
        <v>77.95</v>
      </c>
      <c r="E12494" s="2">
        <v>65.569999999999993</v>
      </c>
      <c r="F12494" s="2">
        <v>2</v>
      </c>
      <c r="G12494" s="2" t="s">
        <v>12</v>
      </c>
    </row>
    <row r="12495" spans="1:7" x14ac:dyDescent="0.2">
      <c r="A12495" s="2" t="s">
        <v>3253</v>
      </c>
      <c r="B12495" s="2" t="s">
        <v>1465</v>
      </c>
      <c r="C12495" s="2">
        <v>917.73770000000002</v>
      </c>
      <c r="D12495" s="2">
        <f>HYPERLINK("http://mcb-m6.bioreg.kyushu-u.ac.jp/M3/20110414/F50958/3203/1", 92.04)</f>
        <v>92.04</v>
      </c>
      <c r="E12495" s="2">
        <v>77.459999999999994</v>
      </c>
      <c r="F12495" s="2">
        <v>2</v>
      </c>
      <c r="G12495" s="2" t="s">
        <v>12</v>
      </c>
    </row>
    <row r="12496" spans="1:7" x14ac:dyDescent="0.2">
      <c r="A12496" s="2" t="s">
        <v>3253</v>
      </c>
      <c r="B12496" s="2" t="s">
        <v>853</v>
      </c>
      <c r="C12496" s="2">
        <v>618.67020000000002</v>
      </c>
      <c r="D12496" s="2">
        <f>HYPERLINK("http://mcb-m6.bioreg.kyushu-u.ac.jp/M3/20110502/F51173/1153/1", 44.08)</f>
        <v>44.08</v>
      </c>
      <c r="E12496" s="2">
        <v>21.2</v>
      </c>
      <c r="F12496" s="2">
        <v>2</v>
      </c>
      <c r="G12496" s="2" t="s">
        <v>13</v>
      </c>
    </row>
    <row r="12497" spans="1:7" x14ac:dyDescent="0.2">
      <c r="A12497" s="2" t="s">
        <v>3253</v>
      </c>
      <c r="B12497" s="2" t="s">
        <v>471</v>
      </c>
      <c r="C12497" s="2">
        <v>605.21810000000005</v>
      </c>
      <c r="D12497" s="2">
        <f>HYPERLINK("http://mcb-m6.bioreg.kyushu-u.ac.jp/M3/20110502/F51172/1309/1", 45.5)</f>
        <v>45.5</v>
      </c>
      <c r="E12497" s="2">
        <v>23.76</v>
      </c>
      <c r="F12497" s="2">
        <v>2</v>
      </c>
      <c r="G12497" s="2" t="s">
        <v>13</v>
      </c>
    </row>
    <row r="12498" spans="1:7" x14ac:dyDescent="0.2">
      <c r="A12498" s="2" t="s">
        <v>3253</v>
      </c>
      <c r="B12498" s="2" t="s">
        <v>577</v>
      </c>
      <c r="C12498" s="2">
        <v>633.23360000000002</v>
      </c>
      <c r="D12498" s="2">
        <f>HYPERLINK("http://mcb-m6.bioreg.kyushu-u.ac.jp/M3/20110502/F51172/1450/1", 45.85)</f>
        <v>45.85</v>
      </c>
      <c r="E12498" s="2">
        <v>11.25</v>
      </c>
      <c r="F12498" s="2">
        <v>2</v>
      </c>
      <c r="G12498" s="2" t="s">
        <v>13</v>
      </c>
    </row>
    <row r="12499" spans="1:7" x14ac:dyDescent="0.2">
      <c r="A12499" s="2" t="s">
        <v>3253</v>
      </c>
      <c r="B12499" s="2" t="s">
        <v>2909</v>
      </c>
      <c r="C12499" s="2">
        <v>474.87959999999998</v>
      </c>
      <c r="D12499" s="2">
        <f>HYPERLINK("http://mcb-m6.bioreg.kyushu-u.ac.jp/M3/20110502/F51172/576/1", 47.91)</f>
        <v>47.91</v>
      </c>
      <c r="E12499" s="2">
        <v>23.45</v>
      </c>
      <c r="F12499" s="2">
        <v>2</v>
      </c>
      <c r="G12499" s="2" t="s">
        <v>13</v>
      </c>
    </row>
    <row r="12500" spans="1:7" x14ac:dyDescent="0.2">
      <c r="A12500" s="2" t="s">
        <v>3253</v>
      </c>
      <c r="B12500" s="2" t="s">
        <v>1465</v>
      </c>
      <c r="C12500" s="2">
        <v>917.67219999999998</v>
      </c>
      <c r="D12500" s="2">
        <f>HYPERLINK("http://mcb-m6.bioreg.kyushu-u.ac.jp/M3/20110502/F51172/3231/1", 97.02)</f>
        <v>97.02</v>
      </c>
      <c r="E12500" s="2">
        <v>73.66</v>
      </c>
      <c r="F12500" s="2">
        <v>2</v>
      </c>
      <c r="G12500" s="2" t="s">
        <v>13</v>
      </c>
    </row>
    <row r="12501" spans="1:7" x14ac:dyDescent="0.2">
      <c r="A12501" s="2" t="s">
        <v>3253</v>
      </c>
      <c r="B12501" s="2" t="s">
        <v>1465</v>
      </c>
      <c r="C12501" s="2">
        <v>917.59720000000004</v>
      </c>
      <c r="D12501" s="2">
        <f>HYPERLINK("http://mcb-m6.bioreg.kyushu-u.ac.jp/M3/20110502/F51189/2523/1", 102.42)</f>
        <v>102.42</v>
      </c>
      <c r="E12501" s="2">
        <v>82.75</v>
      </c>
      <c r="F12501" s="2">
        <v>2</v>
      </c>
      <c r="G12501" s="2" t="s">
        <v>13</v>
      </c>
    </row>
    <row r="12502" spans="1:7" x14ac:dyDescent="0.2">
      <c r="A12502" s="2" t="s">
        <v>3253</v>
      </c>
      <c r="B12502" s="2" t="s">
        <v>853</v>
      </c>
      <c r="C12502" s="2">
        <v>618.49369999999999</v>
      </c>
      <c r="D12502" s="2">
        <f>HYPERLINK("http://mcb-m6.bioreg.kyushu-u.ac.jp/M3/20110502/F51193/1253/1", 68.59)</f>
        <v>68.59</v>
      </c>
      <c r="E12502" s="2">
        <v>42.88</v>
      </c>
      <c r="F12502" s="2">
        <v>2</v>
      </c>
      <c r="G12502" s="2" t="s">
        <v>14</v>
      </c>
    </row>
    <row r="12503" spans="1:7" x14ac:dyDescent="0.2">
      <c r="A12503" s="2" t="s">
        <v>3253</v>
      </c>
      <c r="B12503" s="2" t="s">
        <v>1465</v>
      </c>
      <c r="C12503" s="2">
        <v>917.44320000000005</v>
      </c>
      <c r="D12503" s="2">
        <f>HYPERLINK("http://mcb-m6.bioreg.kyushu-u.ac.jp/M3/20110502/F51186/2598/1", 80.32)</f>
        <v>80.319999999999993</v>
      </c>
      <c r="E12503" s="2">
        <v>60.56</v>
      </c>
      <c r="F12503" s="2">
        <v>2</v>
      </c>
      <c r="G12503" s="2" t="s">
        <v>14</v>
      </c>
    </row>
    <row r="12504" spans="1:7" x14ac:dyDescent="0.2">
      <c r="A12504" s="2" t="s">
        <v>3253</v>
      </c>
      <c r="B12504" s="2" t="s">
        <v>1465</v>
      </c>
      <c r="C12504" s="2">
        <v>917.63959999999997</v>
      </c>
      <c r="D12504" s="2">
        <f>HYPERLINK("http://mcb-m6.bioreg.kyushu-u.ac.jp/M3/20110502/F51193/2728/1", 102.34)</f>
        <v>102.34</v>
      </c>
      <c r="E12504" s="2">
        <v>83.56</v>
      </c>
      <c r="F12504" s="2">
        <v>2</v>
      </c>
      <c r="G12504" s="2" t="s">
        <v>14</v>
      </c>
    </row>
    <row r="12505" spans="1:7" x14ac:dyDescent="0.2">
      <c r="A12505" s="2" t="s">
        <v>3597</v>
      </c>
      <c r="B12505" s="2" t="s">
        <v>487</v>
      </c>
      <c r="C12505" s="2">
        <v>582.48419999999999</v>
      </c>
      <c r="D12505" s="2">
        <f>HYPERLINK("http://mcb-m6.bioreg.kyushu-u.ac.jp/M3/20110411/F50915/1087/1", 42.93)</f>
        <v>42.93</v>
      </c>
      <c r="E12505" s="2">
        <v>17.059999999999999</v>
      </c>
      <c r="F12505" s="2">
        <v>2</v>
      </c>
      <c r="G12505" s="2" t="s">
        <v>9</v>
      </c>
    </row>
    <row r="12506" spans="1:7" x14ac:dyDescent="0.2">
      <c r="A12506" s="2" t="s">
        <v>3597</v>
      </c>
      <c r="B12506" s="2" t="s">
        <v>1429</v>
      </c>
      <c r="C12506" s="2">
        <v>675.38319999999999</v>
      </c>
      <c r="D12506" s="2">
        <f>HYPERLINK("http://mcb-m6.bioreg.kyushu-u.ac.jp/M3/20110411/F50915/1512/1", 79.84)</f>
        <v>79.84</v>
      </c>
      <c r="E12506" s="2">
        <v>66.88</v>
      </c>
      <c r="F12506" s="2">
        <v>2</v>
      </c>
      <c r="G12506" s="2" t="s">
        <v>9</v>
      </c>
    </row>
    <row r="12507" spans="1:7" x14ac:dyDescent="0.2">
      <c r="A12507" s="2" t="s">
        <v>3597</v>
      </c>
      <c r="B12507" s="2" t="s">
        <v>2482</v>
      </c>
      <c r="C12507" s="2">
        <v>780.73720000000003</v>
      </c>
      <c r="D12507" s="2">
        <f>HYPERLINK("http://mcb-m6.bioreg.kyushu-u.ac.jp/M3/20110414/F50957/2152/1", 78.52)</f>
        <v>78.52</v>
      </c>
      <c r="E12507" s="2">
        <v>60.11</v>
      </c>
      <c r="F12507" s="2">
        <v>2</v>
      </c>
      <c r="G12507" s="2" t="s">
        <v>11</v>
      </c>
    </row>
    <row r="12508" spans="1:7" x14ac:dyDescent="0.2">
      <c r="A12508" s="2" t="s">
        <v>3597</v>
      </c>
      <c r="B12508" s="2" t="s">
        <v>2482</v>
      </c>
      <c r="C12508" s="2">
        <v>780.75120000000004</v>
      </c>
      <c r="D12508" s="2">
        <f>HYPERLINK("http://mcb-m6.bioreg.kyushu-u.ac.jp/M3/20110414/F50956/2231/1", 111.56)</f>
        <v>111.56</v>
      </c>
      <c r="E12508" s="2">
        <v>85.05</v>
      </c>
      <c r="F12508" s="2">
        <v>2</v>
      </c>
      <c r="G12508" s="2" t="s">
        <v>11</v>
      </c>
    </row>
    <row r="12509" spans="1:7" x14ac:dyDescent="0.2">
      <c r="A12509" s="2" t="s">
        <v>3597</v>
      </c>
      <c r="B12509" s="2" t="s">
        <v>2548</v>
      </c>
      <c r="C12509" s="2">
        <v>646.61360000000002</v>
      </c>
      <c r="D12509" s="2">
        <f>HYPERLINK("http://mcb-m6.bioreg.kyushu-u.ac.jp/M3/20110414/F50958/1372/1", 37.17)</f>
        <v>37.17</v>
      </c>
      <c r="E12509" s="2">
        <v>19.190000000000001</v>
      </c>
      <c r="F12509" s="2">
        <v>2</v>
      </c>
      <c r="G12509" s="2" t="s">
        <v>12</v>
      </c>
    </row>
    <row r="12510" spans="1:7" x14ac:dyDescent="0.2">
      <c r="A12510" s="2" t="s">
        <v>3597</v>
      </c>
      <c r="B12510" s="2" t="s">
        <v>1429</v>
      </c>
      <c r="C12510" s="2">
        <v>675.84270000000004</v>
      </c>
      <c r="D12510" s="2">
        <f>HYPERLINK("http://mcb-m6.bioreg.kyushu-u.ac.jp/M3/20110414/F50958/1547/1", 71.53)</f>
        <v>71.53</v>
      </c>
      <c r="E12510" s="2">
        <v>58.93</v>
      </c>
      <c r="F12510" s="2">
        <v>2</v>
      </c>
      <c r="G12510" s="2" t="s">
        <v>12</v>
      </c>
    </row>
    <row r="12511" spans="1:7" x14ac:dyDescent="0.2">
      <c r="A12511" s="2" t="s">
        <v>3597</v>
      </c>
      <c r="B12511" s="2" t="s">
        <v>2482</v>
      </c>
      <c r="C12511" s="2">
        <v>781.28859999999997</v>
      </c>
      <c r="D12511" s="2">
        <f>HYPERLINK("http://mcb-m6.bioreg.kyushu-u.ac.jp/M3/20110414/F50958/2289/1", 85.86)</f>
        <v>85.86</v>
      </c>
      <c r="E12511" s="2">
        <v>60.54</v>
      </c>
      <c r="F12511" s="2">
        <v>2</v>
      </c>
      <c r="G12511" s="2" t="s">
        <v>12</v>
      </c>
    </row>
    <row r="12512" spans="1:7" x14ac:dyDescent="0.2">
      <c r="A12512" s="2" t="s">
        <v>3597</v>
      </c>
      <c r="B12512" s="2" t="s">
        <v>2482</v>
      </c>
      <c r="C12512" s="2">
        <v>780.77170000000001</v>
      </c>
      <c r="D12512" s="2">
        <f>HYPERLINK("http://mcb-m6.bioreg.kyushu-u.ac.jp/M3/20110414/F50958/2282/1", 109.55)</f>
        <v>109.55</v>
      </c>
      <c r="E12512" s="2">
        <v>79.78</v>
      </c>
      <c r="F12512" s="2">
        <v>2</v>
      </c>
      <c r="G12512" s="2" t="s">
        <v>12</v>
      </c>
    </row>
    <row r="12513" spans="1:9" x14ac:dyDescent="0.2">
      <c r="A12513" s="2" t="s">
        <v>3597</v>
      </c>
      <c r="B12513" s="2" t="s">
        <v>1429</v>
      </c>
      <c r="C12513" s="2">
        <v>675.60059999999999</v>
      </c>
      <c r="D12513" s="2">
        <f>HYPERLINK("http://mcb-m6.bioreg.kyushu-u.ac.jp/M3/20110502/F51172/1664/1", 45.72)</f>
        <v>45.72</v>
      </c>
      <c r="E12513" s="2">
        <v>36.6</v>
      </c>
      <c r="F12513" s="2">
        <v>2</v>
      </c>
      <c r="G12513" s="2" t="s">
        <v>13</v>
      </c>
    </row>
    <row r="12514" spans="1:9" x14ac:dyDescent="0.2">
      <c r="A12514" s="2" t="s">
        <v>3734</v>
      </c>
      <c r="B12514" s="2" t="s">
        <v>732</v>
      </c>
      <c r="C12514" s="2">
        <v>504.74810000000002</v>
      </c>
      <c r="D12514" s="2">
        <f>HYPERLINK("http://mcb-m6.bioreg.kyushu-u.ac.jp/M3/20110411/F50889/1546/2", 49.52)</f>
        <v>49.52</v>
      </c>
      <c r="E12514" s="2">
        <v>15.02</v>
      </c>
      <c r="F12514" s="2">
        <v>2</v>
      </c>
      <c r="G12514" s="2" t="s">
        <v>9</v>
      </c>
      <c r="H12514" s="2" t="s">
        <v>4908</v>
      </c>
    </row>
    <row r="12515" spans="1:9" x14ac:dyDescent="0.2">
      <c r="A12515" s="2" t="s">
        <v>4694</v>
      </c>
      <c r="B12515" s="2" t="s">
        <v>2868</v>
      </c>
      <c r="C12515" s="2">
        <v>535.52009999999996</v>
      </c>
      <c r="D12515" s="2">
        <f>HYPERLINK("http://mcb-m6.bioreg.kyushu-u.ac.jp/M3/20110502/F51180/852/1", 40.38)</f>
        <v>40.380000000000003</v>
      </c>
      <c r="E12515" s="2">
        <v>11.32</v>
      </c>
      <c r="F12515" s="2">
        <v>2</v>
      </c>
      <c r="G12515" s="2" t="s">
        <v>13</v>
      </c>
    </row>
    <row r="12516" spans="1:9" x14ac:dyDescent="0.2">
      <c r="A12516" s="2" t="s">
        <v>3304</v>
      </c>
      <c r="B12516" s="2" t="s">
        <v>85</v>
      </c>
      <c r="C12516" s="2">
        <v>1053.4079999999999</v>
      </c>
      <c r="D12516" s="2">
        <f>HYPERLINK("http://mcb-m6.bioreg.kyushu-u.ac.jp/M3/20110411/F50890/1242/1", 35.82)</f>
        <v>35.82</v>
      </c>
      <c r="E12516" s="2">
        <v>15.3</v>
      </c>
      <c r="F12516" s="2">
        <v>1</v>
      </c>
      <c r="G12516" s="2" t="s">
        <v>9</v>
      </c>
    </row>
    <row r="12517" spans="1:9" x14ac:dyDescent="0.2">
      <c r="A12517" s="2" t="s">
        <v>3304</v>
      </c>
      <c r="B12517" s="2" t="s">
        <v>85</v>
      </c>
      <c r="C12517" s="2">
        <v>527.19569999999999</v>
      </c>
      <c r="D12517" s="2">
        <f>HYPERLINK("http://mcb-m6.bioreg.kyushu-u.ac.jp/M3/20110411/F50890/1241/1", 73.82)</f>
        <v>73.819999999999993</v>
      </c>
      <c r="E12517" s="2">
        <v>54.95</v>
      </c>
      <c r="F12517" s="2">
        <v>2</v>
      </c>
      <c r="G12517" s="2" t="s">
        <v>9</v>
      </c>
    </row>
    <row r="12518" spans="1:9" x14ac:dyDescent="0.2">
      <c r="A12518" s="2" t="s">
        <v>3304</v>
      </c>
      <c r="B12518" s="2" t="s">
        <v>1471</v>
      </c>
      <c r="C12518" s="2">
        <v>1082.5129999999999</v>
      </c>
      <c r="D12518" s="2">
        <f>HYPERLINK("http://mcb-m6.bioreg.kyushu-u.ac.jp/M3/20110411/F50890/3523/1", 83.76)</f>
        <v>83.76</v>
      </c>
      <c r="E12518" s="2">
        <v>73</v>
      </c>
      <c r="F12518" s="2">
        <v>2</v>
      </c>
      <c r="G12518" s="2" t="s">
        <v>9</v>
      </c>
    </row>
    <row r="12519" spans="1:9" x14ac:dyDescent="0.2">
      <c r="A12519" s="2" t="s">
        <v>3304</v>
      </c>
      <c r="B12519" s="2" t="s">
        <v>1471</v>
      </c>
      <c r="C12519" s="2">
        <v>1082.172</v>
      </c>
      <c r="D12519" s="2">
        <f>HYPERLINK("http://mcb-m6.bioreg.kyushu-u.ac.jp/M3/20110411/F50897/3343/1", 44.75)</f>
        <v>44.75</v>
      </c>
      <c r="E12519" s="2">
        <v>31.9</v>
      </c>
      <c r="F12519" s="2">
        <v>2</v>
      </c>
      <c r="G12519" s="2" t="s">
        <v>10</v>
      </c>
    </row>
    <row r="12520" spans="1:9" x14ac:dyDescent="0.2">
      <c r="A12520" s="2" t="s">
        <v>3304</v>
      </c>
      <c r="B12520" s="2" t="s">
        <v>85</v>
      </c>
      <c r="C12520" s="2">
        <v>527.01969999999994</v>
      </c>
      <c r="D12520" s="2">
        <f>HYPERLINK("http://mcb-m6.bioreg.kyushu-u.ac.jp/M3/20110414/F50927/1464/1", 40.49)</f>
        <v>40.49</v>
      </c>
      <c r="E12520" s="2">
        <v>20.9</v>
      </c>
      <c r="F12520" s="2">
        <v>2</v>
      </c>
      <c r="G12520" s="2" t="s">
        <v>11</v>
      </c>
    </row>
    <row r="12521" spans="1:9" x14ac:dyDescent="0.2">
      <c r="A12521" s="2" t="s">
        <v>3879</v>
      </c>
      <c r="B12521" s="2" t="s">
        <v>1013</v>
      </c>
      <c r="C12521" s="2">
        <v>771.98770000000002</v>
      </c>
      <c r="D12521" s="2">
        <f>HYPERLINK("http://mcb-m6.bioreg.kyushu-u.ac.jp/M3/20110411/F50890/2377/1", 58.82)</f>
        <v>58.82</v>
      </c>
      <c r="E12521" s="2">
        <v>42.44</v>
      </c>
      <c r="F12521" s="2">
        <v>2</v>
      </c>
      <c r="G12521" s="2" t="s">
        <v>9</v>
      </c>
      <c r="I12521" s="2" t="s">
        <v>4898</v>
      </c>
    </row>
    <row r="12522" spans="1:9" x14ac:dyDescent="0.2">
      <c r="A12522" s="2" t="s">
        <v>3879</v>
      </c>
      <c r="B12522" s="2" t="s">
        <v>1013</v>
      </c>
      <c r="C12522" s="2">
        <v>772.08069999999998</v>
      </c>
      <c r="D12522" s="2">
        <f>HYPERLINK("http://mcb-m6.bioreg.kyushu-u.ac.jp/M3/20110411/F50897/2143/1", 57.42)</f>
        <v>57.42</v>
      </c>
      <c r="E12522" s="2">
        <v>32.520000000000003</v>
      </c>
      <c r="F12522" s="2">
        <v>2</v>
      </c>
      <c r="G12522" s="2" t="s">
        <v>10</v>
      </c>
      <c r="I12522" s="2" t="s">
        <v>4898</v>
      </c>
    </row>
    <row r="12523" spans="1:9" x14ac:dyDescent="0.2">
      <c r="A12523" s="2" t="s">
        <v>3721</v>
      </c>
      <c r="B12523" s="2" t="s">
        <v>715</v>
      </c>
      <c r="C12523" s="2">
        <v>498.26909999999998</v>
      </c>
      <c r="D12523" s="2">
        <f>HYPERLINK("http://mcb-m6.bioreg.kyushu-u.ac.jp/M3/20110411/F50890/1118/1", 49.06)</f>
        <v>49.06</v>
      </c>
      <c r="E12523" s="2">
        <v>19.59</v>
      </c>
      <c r="F12523" s="2">
        <v>2</v>
      </c>
      <c r="G12523" s="2" t="s">
        <v>9</v>
      </c>
    </row>
    <row r="12524" spans="1:9" x14ac:dyDescent="0.2">
      <c r="A12524" s="2" t="s">
        <v>3721</v>
      </c>
      <c r="B12524" s="2" t="s">
        <v>715</v>
      </c>
      <c r="C12524" s="2">
        <v>995.64200000000005</v>
      </c>
      <c r="D12524" s="2">
        <f>HYPERLINK("http://mcb-m6.bioreg.kyushu-u.ac.jp/M3/20110411/F50897/995/1", 36.06)</f>
        <v>36.06</v>
      </c>
      <c r="E12524" s="2">
        <v>18.13</v>
      </c>
      <c r="F12524" s="2">
        <v>1</v>
      </c>
      <c r="G12524" s="2" t="s">
        <v>10</v>
      </c>
    </row>
    <row r="12525" spans="1:9" x14ac:dyDescent="0.2">
      <c r="A12525" s="2" t="s">
        <v>3721</v>
      </c>
      <c r="B12525" s="2" t="s">
        <v>2428</v>
      </c>
      <c r="C12525" s="2">
        <v>562.63459999999998</v>
      </c>
      <c r="D12525" s="2">
        <f>HYPERLINK("http://mcb-m6.bioreg.kyushu-u.ac.jp/M3/20110414/F50928/1478/1", 61.54)</f>
        <v>61.54</v>
      </c>
      <c r="E12525" s="2">
        <v>31.37</v>
      </c>
      <c r="F12525" s="2">
        <v>2</v>
      </c>
      <c r="G12525" s="2" t="s">
        <v>11</v>
      </c>
    </row>
    <row r="12526" spans="1:9" x14ac:dyDescent="0.2">
      <c r="A12526" s="2" t="s">
        <v>3463</v>
      </c>
      <c r="B12526" s="2" t="s">
        <v>274</v>
      </c>
      <c r="C12526" s="2">
        <v>495.9101</v>
      </c>
      <c r="D12526" s="2">
        <f>HYPERLINK("http://mcb-m6.bioreg.kyushu-u.ac.jp/M3/20110411/F50891/959/1", 38.87)</f>
        <v>38.869999999999997</v>
      </c>
      <c r="E12526" s="2">
        <v>29.58</v>
      </c>
      <c r="F12526" s="2">
        <v>2</v>
      </c>
      <c r="G12526" s="2" t="s">
        <v>9</v>
      </c>
    </row>
    <row r="12527" spans="1:9" x14ac:dyDescent="0.2">
      <c r="A12527" s="2" t="s">
        <v>3463</v>
      </c>
      <c r="B12527" s="2" t="s">
        <v>274</v>
      </c>
      <c r="C12527" s="2">
        <v>496.22859999999997</v>
      </c>
      <c r="D12527" s="2">
        <f>HYPERLINK("http://mcb-m6.bioreg.kyushu-u.ac.jp/M3/20110411/F50890/1106/1", 49.72)</f>
        <v>49.72</v>
      </c>
      <c r="E12527" s="2">
        <v>17.41</v>
      </c>
      <c r="F12527" s="2">
        <v>2</v>
      </c>
      <c r="G12527" s="2" t="s">
        <v>9</v>
      </c>
    </row>
    <row r="12528" spans="1:9" x14ac:dyDescent="0.2">
      <c r="A12528" s="2" t="s">
        <v>3463</v>
      </c>
      <c r="B12528" s="2" t="s">
        <v>274</v>
      </c>
      <c r="C12528" s="2">
        <v>495.81310000000002</v>
      </c>
      <c r="D12528" s="2">
        <f>HYPERLINK("http://mcb-m6.bioreg.kyushu-u.ac.jp/M3/20110411/F50890/1102/1", 66.38)</f>
        <v>66.38</v>
      </c>
      <c r="E12528" s="2">
        <v>34.01</v>
      </c>
      <c r="F12528" s="2">
        <v>2</v>
      </c>
      <c r="G12528" s="2" t="s">
        <v>9</v>
      </c>
    </row>
    <row r="12529" spans="1:9" x14ac:dyDescent="0.2">
      <c r="A12529" s="2" t="s">
        <v>3463</v>
      </c>
      <c r="B12529" s="2" t="s">
        <v>1549</v>
      </c>
      <c r="C12529" s="2">
        <v>900.25319999999999</v>
      </c>
      <c r="D12529" s="2">
        <f>HYPERLINK("http://mcb-m6.bioreg.kyushu-u.ac.jp/M3/20110411/F50890/2975/1", 91.23)</f>
        <v>91.23</v>
      </c>
      <c r="E12529" s="2">
        <v>70.52</v>
      </c>
      <c r="F12529" s="2">
        <v>2</v>
      </c>
      <c r="G12529" s="2" t="s">
        <v>9</v>
      </c>
      <c r="H12529" s="2" t="s">
        <v>4901</v>
      </c>
      <c r="I12529" s="2" t="s">
        <v>4892</v>
      </c>
    </row>
    <row r="12530" spans="1:9" x14ac:dyDescent="0.2">
      <c r="A12530" s="2" t="s">
        <v>3463</v>
      </c>
      <c r="B12530" s="2" t="s">
        <v>274</v>
      </c>
      <c r="C12530" s="2">
        <v>496.08510000000001</v>
      </c>
      <c r="D12530" s="2">
        <f>HYPERLINK("http://mcb-m6.bioreg.kyushu-u.ac.jp/M3/20110411/F50897/981/1", 61.63)</f>
        <v>61.63</v>
      </c>
      <c r="E12530" s="2">
        <v>34.19</v>
      </c>
      <c r="F12530" s="2">
        <v>2</v>
      </c>
      <c r="G12530" s="2" t="s">
        <v>10</v>
      </c>
    </row>
    <row r="12531" spans="1:9" x14ac:dyDescent="0.2">
      <c r="A12531" s="2" t="s">
        <v>3463</v>
      </c>
      <c r="B12531" s="2" t="s">
        <v>1549</v>
      </c>
      <c r="C12531" s="2">
        <v>900.17610000000002</v>
      </c>
      <c r="D12531" s="2">
        <f>HYPERLINK("http://mcb-m6.bioreg.kyushu-u.ac.jp/M3/20110411/F50897/2789/1", 108.17)</f>
        <v>108.17</v>
      </c>
      <c r="E12531" s="2">
        <v>90.42</v>
      </c>
      <c r="F12531" s="2">
        <v>2</v>
      </c>
      <c r="G12531" s="2" t="s">
        <v>10</v>
      </c>
      <c r="H12531" s="2" t="s">
        <v>4901</v>
      </c>
      <c r="I12531" s="2" t="s">
        <v>4892</v>
      </c>
    </row>
    <row r="12532" spans="1:9" x14ac:dyDescent="0.2">
      <c r="A12532" s="2" t="s">
        <v>3463</v>
      </c>
      <c r="B12532" s="2" t="s">
        <v>274</v>
      </c>
      <c r="C12532" s="2">
        <v>495.9196</v>
      </c>
      <c r="D12532" s="2">
        <f>HYPERLINK("http://mcb-m6.bioreg.kyushu-u.ac.jp/M3/20110414/F50927/1319/1", 59.86)</f>
        <v>59.86</v>
      </c>
      <c r="E12532" s="2">
        <v>40.200000000000003</v>
      </c>
      <c r="F12532" s="2">
        <v>2</v>
      </c>
      <c r="G12532" s="2" t="s">
        <v>11</v>
      </c>
    </row>
    <row r="12533" spans="1:9" x14ac:dyDescent="0.2">
      <c r="A12533" s="2" t="s">
        <v>3463</v>
      </c>
      <c r="B12533" s="2" t="s">
        <v>274</v>
      </c>
      <c r="C12533" s="2">
        <v>496.09660000000002</v>
      </c>
      <c r="D12533" s="2">
        <f>HYPERLINK("http://mcb-m6.bioreg.kyushu-u.ac.jp/M3/20110414/F50927/1323/1", 59.89)</f>
        <v>59.89</v>
      </c>
      <c r="E12533" s="2">
        <v>27.28</v>
      </c>
      <c r="F12533" s="2">
        <v>2</v>
      </c>
      <c r="G12533" s="2" t="s">
        <v>11</v>
      </c>
    </row>
    <row r="12534" spans="1:9" x14ac:dyDescent="0.2">
      <c r="A12534" s="2" t="s">
        <v>3463</v>
      </c>
      <c r="B12534" s="2" t="s">
        <v>1549</v>
      </c>
      <c r="C12534" s="2">
        <v>891.70510000000002</v>
      </c>
      <c r="D12534" s="2">
        <f>HYPERLINK("http://mcb-m6.bioreg.kyushu-u.ac.jp/M3/20110414/F50928/2931/1", 85.91)</f>
        <v>85.91</v>
      </c>
      <c r="E12534" s="2">
        <v>72.510000000000005</v>
      </c>
      <c r="F12534" s="2">
        <v>2</v>
      </c>
      <c r="G12534" s="2" t="s">
        <v>11</v>
      </c>
      <c r="I12534" s="2" t="s">
        <v>4892</v>
      </c>
    </row>
    <row r="12535" spans="1:9" x14ac:dyDescent="0.2">
      <c r="A12535" s="2" t="s">
        <v>3463</v>
      </c>
      <c r="B12535" s="2" t="s">
        <v>1549</v>
      </c>
      <c r="C12535" s="2">
        <v>899.61519999999996</v>
      </c>
      <c r="D12535" s="2">
        <f>HYPERLINK("http://mcb-m6.bioreg.kyushu-u.ac.jp/M3/20110414/F50928/2984/1", 88.76)</f>
        <v>88.76</v>
      </c>
      <c r="E12535" s="2">
        <v>76.33</v>
      </c>
      <c r="F12535" s="2">
        <v>2</v>
      </c>
      <c r="G12535" s="2" t="s">
        <v>11</v>
      </c>
      <c r="H12535" s="2" t="s">
        <v>4901</v>
      </c>
      <c r="I12535" s="2" t="s">
        <v>4892</v>
      </c>
    </row>
    <row r="12536" spans="1:9" x14ac:dyDescent="0.2">
      <c r="A12536" s="2" t="s">
        <v>3463</v>
      </c>
      <c r="B12536" s="2" t="s">
        <v>1549</v>
      </c>
      <c r="C12536" s="2">
        <v>891.60860000000002</v>
      </c>
      <c r="D12536" s="2">
        <f>HYPERLINK("http://mcb-m6.bioreg.kyushu-u.ac.jp/M3/20110414/F50927/2866/1", 100.45)</f>
        <v>100.45</v>
      </c>
      <c r="E12536" s="2">
        <v>81.180000000000007</v>
      </c>
      <c r="F12536" s="2">
        <v>2</v>
      </c>
      <c r="G12536" s="2" t="s">
        <v>11</v>
      </c>
      <c r="I12536" s="2" t="s">
        <v>4892</v>
      </c>
    </row>
    <row r="12537" spans="1:9" x14ac:dyDescent="0.2">
      <c r="A12537" s="2" t="s">
        <v>3463</v>
      </c>
      <c r="B12537" s="2" t="s">
        <v>274</v>
      </c>
      <c r="C12537" s="2">
        <v>496.29559999999998</v>
      </c>
      <c r="D12537" s="2">
        <f>HYPERLINK("http://mcb-m6.bioreg.kyushu-u.ac.jp/M3/20110414/F50932/1711/1", 39.71)</f>
        <v>39.71</v>
      </c>
      <c r="E12537" s="2">
        <v>21.87</v>
      </c>
      <c r="F12537" s="2">
        <v>2</v>
      </c>
      <c r="G12537" s="2" t="s">
        <v>12</v>
      </c>
    </row>
    <row r="12538" spans="1:9" x14ac:dyDescent="0.2">
      <c r="A12538" s="2" t="s">
        <v>3463</v>
      </c>
      <c r="B12538" s="2" t="s">
        <v>274</v>
      </c>
      <c r="C12538" s="2">
        <v>495.90010000000001</v>
      </c>
      <c r="D12538" s="2">
        <f>HYPERLINK("http://mcb-m6.bioreg.kyushu-u.ac.jp/M3/20110414/F50932/1708/1", 42.56)</f>
        <v>42.56</v>
      </c>
      <c r="E12538" s="2">
        <v>21.28</v>
      </c>
      <c r="F12538" s="2">
        <v>2</v>
      </c>
      <c r="G12538" s="2" t="s">
        <v>12</v>
      </c>
    </row>
    <row r="12539" spans="1:9" x14ac:dyDescent="0.2">
      <c r="A12539" s="2" t="s">
        <v>3463</v>
      </c>
      <c r="B12539" s="2" t="s">
        <v>274</v>
      </c>
      <c r="C12539" s="2">
        <v>496.19909999999999</v>
      </c>
      <c r="D12539" s="2">
        <f>HYPERLINK("http://mcb-m6.bioreg.kyushu-u.ac.jp/M3/20110414/F50933/1437/1", 49.43)</f>
        <v>49.43</v>
      </c>
      <c r="E12539" s="2">
        <v>18.399999999999999</v>
      </c>
      <c r="F12539" s="2">
        <v>2</v>
      </c>
      <c r="G12539" s="2" t="s">
        <v>12</v>
      </c>
    </row>
    <row r="12540" spans="1:9" x14ac:dyDescent="0.2">
      <c r="A12540" s="2" t="s">
        <v>3463</v>
      </c>
      <c r="B12540" s="2" t="s">
        <v>274</v>
      </c>
      <c r="C12540" s="2">
        <v>496.09010000000001</v>
      </c>
      <c r="D12540" s="2">
        <f>HYPERLINK("http://mcb-m6.bioreg.kyushu-u.ac.jp/M3/20110414/F50932/1709/1", 58.44)</f>
        <v>58.44</v>
      </c>
      <c r="E12540" s="2">
        <v>21.89</v>
      </c>
      <c r="F12540" s="2">
        <v>2</v>
      </c>
      <c r="G12540" s="2" t="s">
        <v>12</v>
      </c>
    </row>
    <row r="12541" spans="1:9" x14ac:dyDescent="0.2">
      <c r="A12541" s="2" t="s">
        <v>3463</v>
      </c>
      <c r="B12541" s="2" t="s">
        <v>1549</v>
      </c>
      <c r="C12541" s="2">
        <v>900.46420000000001</v>
      </c>
      <c r="D12541" s="2">
        <f>HYPERLINK("http://mcb-m6.bioreg.kyushu-u.ac.jp/M3/20110414/F50933/3043/1", 82.56)</f>
        <v>82.56</v>
      </c>
      <c r="E12541" s="2">
        <v>66.45</v>
      </c>
      <c r="F12541" s="2">
        <v>2</v>
      </c>
      <c r="G12541" s="2" t="s">
        <v>12</v>
      </c>
      <c r="H12541" s="2" t="s">
        <v>4901</v>
      </c>
      <c r="I12541" s="2" t="s">
        <v>4892</v>
      </c>
    </row>
    <row r="12542" spans="1:9" x14ac:dyDescent="0.2">
      <c r="A12542" s="2" t="s">
        <v>3463</v>
      </c>
      <c r="B12542" s="2" t="s">
        <v>274</v>
      </c>
      <c r="C12542" s="2">
        <v>495.97660000000002</v>
      </c>
      <c r="D12542" s="2">
        <f>HYPERLINK("http://mcb-m6.bioreg.kyushu-u.ac.jp/M3/20110502/F51168/1140/1", 51.08)</f>
        <v>51.08</v>
      </c>
      <c r="E12542" s="2">
        <v>24.32</v>
      </c>
      <c r="F12542" s="2">
        <v>2</v>
      </c>
      <c r="G12542" s="2" t="s">
        <v>13</v>
      </c>
    </row>
    <row r="12543" spans="1:9" x14ac:dyDescent="0.2">
      <c r="A12543" s="2" t="s">
        <v>3463</v>
      </c>
      <c r="B12543" s="2" t="s">
        <v>1549</v>
      </c>
      <c r="C12543" s="2">
        <v>892.0027</v>
      </c>
      <c r="D12543" s="2">
        <f>HYPERLINK("http://mcb-m6.bioreg.kyushu-u.ac.jp/M3/20110502/F51168/2583/1", 106.76)</f>
        <v>106.76</v>
      </c>
      <c r="E12543" s="2">
        <v>76.77</v>
      </c>
      <c r="F12543" s="2">
        <v>2</v>
      </c>
      <c r="G12543" s="2" t="s">
        <v>13</v>
      </c>
      <c r="I12543" s="2" t="s">
        <v>4892</v>
      </c>
    </row>
    <row r="12544" spans="1:9" x14ac:dyDescent="0.2">
      <c r="A12544" s="2" t="s">
        <v>3463</v>
      </c>
      <c r="B12544" s="2" t="s">
        <v>1549</v>
      </c>
      <c r="C12544" s="2">
        <v>892.12710000000004</v>
      </c>
      <c r="D12544" s="2">
        <f>HYPERLINK("http://mcb-m6.bioreg.kyushu-u.ac.jp/M3/20110502/F51177/2698/1", 108.23)</f>
        <v>108.23</v>
      </c>
      <c r="E12544" s="2">
        <v>75.709999999999994</v>
      </c>
      <c r="F12544" s="2">
        <v>2</v>
      </c>
      <c r="G12544" s="2" t="s">
        <v>14</v>
      </c>
      <c r="I12544" s="2" t="s">
        <v>4892</v>
      </c>
    </row>
    <row r="12545" spans="1:8" x14ac:dyDescent="0.2">
      <c r="A12545" s="2" t="s">
        <v>3312</v>
      </c>
      <c r="B12545" s="2" t="s">
        <v>95</v>
      </c>
      <c r="C12545" s="2">
        <v>943.28610000000003</v>
      </c>
      <c r="D12545" s="2">
        <f>HYPERLINK("http://mcb-m6.bioreg.kyushu-u.ac.jp/M3/20110411/F50890/3144/1", 35.96)</f>
        <v>35.96</v>
      </c>
      <c r="E12545" s="2">
        <v>27.82</v>
      </c>
      <c r="F12545" s="2">
        <v>2</v>
      </c>
      <c r="G12545" s="2" t="s">
        <v>9</v>
      </c>
    </row>
    <row r="12546" spans="1:8" x14ac:dyDescent="0.2">
      <c r="A12546" s="2" t="s">
        <v>3312</v>
      </c>
      <c r="B12546" s="2" t="s">
        <v>95</v>
      </c>
      <c r="C12546" s="2">
        <v>951.81669999999997</v>
      </c>
      <c r="D12546" s="2">
        <f>HYPERLINK("http://mcb-m6.bioreg.kyushu-u.ac.jp/M3/20110411/F50890/3171/1", 52.89)</f>
        <v>52.89</v>
      </c>
      <c r="E12546" s="2">
        <v>38.92</v>
      </c>
      <c r="F12546" s="2">
        <v>2</v>
      </c>
      <c r="G12546" s="2" t="s">
        <v>9</v>
      </c>
      <c r="H12546" s="2" t="s">
        <v>4919</v>
      </c>
    </row>
    <row r="12547" spans="1:8" x14ac:dyDescent="0.2">
      <c r="A12547" s="2" t="s">
        <v>3312</v>
      </c>
      <c r="B12547" s="2" t="s">
        <v>95</v>
      </c>
      <c r="C12547" s="2">
        <v>943.59310000000005</v>
      </c>
      <c r="D12547" s="2">
        <f>HYPERLINK("http://mcb-m6.bioreg.kyushu-u.ac.jp/M3/20110411/F50891/3210/1", 53.37)</f>
        <v>53.37</v>
      </c>
      <c r="E12547" s="2">
        <v>46.37</v>
      </c>
      <c r="F12547" s="2">
        <v>2</v>
      </c>
      <c r="G12547" s="2" t="s">
        <v>9</v>
      </c>
    </row>
    <row r="12548" spans="1:8" x14ac:dyDescent="0.2">
      <c r="A12548" s="2" t="s">
        <v>3312</v>
      </c>
      <c r="B12548" s="2" t="s">
        <v>1036</v>
      </c>
      <c r="C12548" s="2">
        <v>723.35220000000004</v>
      </c>
      <c r="D12548" s="2">
        <f>HYPERLINK("http://mcb-m6.bioreg.kyushu-u.ac.jp/M3/20110411/F50891/2000/1", 59.74)</f>
        <v>59.74</v>
      </c>
      <c r="E12548" s="2">
        <v>48.33</v>
      </c>
      <c r="F12548" s="2">
        <v>2</v>
      </c>
      <c r="G12548" s="2" t="s">
        <v>9</v>
      </c>
    </row>
    <row r="12549" spans="1:8" x14ac:dyDescent="0.2">
      <c r="A12549" s="2" t="s">
        <v>3312</v>
      </c>
      <c r="B12549" s="2" t="s">
        <v>95</v>
      </c>
      <c r="C12549" s="2">
        <v>951.27869999999996</v>
      </c>
      <c r="D12549" s="2">
        <f>HYPERLINK("http://mcb-m6.bioreg.kyushu-u.ac.jp/M3/20110411/F50890/3167/1", 61.02)</f>
        <v>61.02</v>
      </c>
      <c r="E12549" s="2">
        <v>48.55</v>
      </c>
      <c r="F12549" s="2">
        <v>2</v>
      </c>
      <c r="G12549" s="2" t="s">
        <v>9</v>
      </c>
      <c r="H12549" s="2" t="s">
        <v>4919</v>
      </c>
    </row>
    <row r="12550" spans="1:8" x14ac:dyDescent="0.2">
      <c r="A12550" s="2" t="s">
        <v>3312</v>
      </c>
      <c r="B12550" s="2" t="s">
        <v>1036</v>
      </c>
      <c r="C12550" s="2">
        <v>723.86360000000002</v>
      </c>
      <c r="D12550" s="2">
        <f>HYPERLINK("http://mcb-m6.bioreg.kyushu-u.ac.jp/M3/20110411/F50891/2003/1", 72.61)</f>
        <v>72.61</v>
      </c>
      <c r="E12550" s="2">
        <v>61.84</v>
      </c>
      <c r="F12550" s="2">
        <v>2</v>
      </c>
      <c r="G12550" s="2" t="s">
        <v>9</v>
      </c>
    </row>
    <row r="12551" spans="1:8" x14ac:dyDescent="0.2">
      <c r="A12551" s="2" t="s">
        <v>3312</v>
      </c>
      <c r="B12551" s="2" t="s">
        <v>1036</v>
      </c>
      <c r="C12551" s="2">
        <v>723.86609999999996</v>
      </c>
      <c r="D12551" s="2">
        <f>HYPERLINK("http://mcb-m6.bioreg.kyushu-u.ac.jp/M3/20110411/F50890/2091/1", 75.57)</f>
        <v>75.569999999999993</v>
      </c>
      <c r="E12551" s="2">
        <v>61.68</v>
      </c>
      <c r="F12551" s="2">
        <v>2</v>
      </c>
      <c r="G12551" s="2" t="s">
        <v>9</v>
      </c>
    </row>
    <row r="12552" spans="1:8" x14ac:dyDescent="0.2">
      <c r="A12552" s="2" t="s">
        <v>3312</v>
      </c>
      <c r="B12552" s="2" t="s">
        <v>95</v>
      </c>
      <c r="C12552" s="2">
        <v>951.99620000000004</v>
      </c>
      <c r="D12552" s="2">
        <f>HYPERLINK("http://mcb-m6.bioreg.kyushu-u.ac.jp/M3/20110411/F50897/2990/1", 45.21)</f>
        <v>45.21</v>
      </c>
      <c r="E12552" s="2">
        <v>27.81</v>
      </c>
      <c r="F12552" s="2">
        <v>2</v>
      </c>
      <c r="G12552" s="2" t="s">
        <v>10</v>
      </c>
      <c r="H12552" s="2" t="s">
        <v>4919</v>
      </c>
    </row>
    <row r="12553" spans="1:8" x14ac:dyDescent="0.2">
      <c r="A12553" s="2" t="s">
        <v>3312</v>
      </c>
      <c r="B12553" s="2" t="s">
        <v>95</v>
      </c>
      <c r="C12553" s="2">
        <v>943.58810000000005</v>
      </c>
      <c r="D12553" s="2">
        <f>HYPERLINK("http://mcb-m6.bioreg.kyushu-u.ac.jp/M3/20110411/F50897/2965/1", 82.67)</f>
        <v>82.67</v>
      </c>
      <c r="E12553" s="2">
        <v>69.72</v>
      </c>
      <c r="F12553" s="2">
        <v>2</v>
      </c>
      <c r="G12553" s="2" t="s">
        <v>10</v>
      </c>
    </row>
    <row r="12554" spans="1:8" x14ac:dyDescent="0.2">
      <c r="A12554" s="2" t="s">
        <v>3312</v>
      </c>
      <c r="B12554" s="2" t="s">
        <v>1036</v>
      </c>
      <c r="C12554" s="2">
        <v>723.84860000000003</v>
      </c>
      <c r="D12554" s="2">
        <f>HYPERLINK("http://mcb-m6.bioreg.kyushu-u.ac.jp/M3/20110411/F50897/1880/1", 93.29)</f>
        <v>93.29</v>
      </c>
      <c r="E12554" s="2">
        <v>77.03</v>
      </c>
      <c r="F12554" s="2">
        <v>2</v>
      </c>
      <c r="G12554" s="2" t="s">
        <v>10</v>
      </c>
    </row>
    <row r="12555" spans="1:8" x14ac:dyDescent="0.2">
      <c r="A12555" s="2" t="s">
        <v>3312</v>
      </c>
      <c r="B12555" s="2" t="s">
        <v>1036</v>
      </c>
      <c r="C12555" s="2">
        <v>723.70069999999998</v>
      </c>
      <c r="D12555" s="2">
        <f>HYPERLINK("http://mcb-m6.bioreg.kyushu-u.ac.jp/M3/20110414/F50927/2214/1", 40.3)</f>
        <v>40.299999999999997</v>
      </c>
      <c r="E12555" s="2">
        <v>30.08</v>
      </c>
      <c r="F12555" s="2">
        <v>2</v>
      </c>
      <c r="G12555" s="2" t="s">
        <v>11</v>
      </c>
    </row>
    <row r="12556" spans="1:8" x14ac:dyDescent="0.2">
      <c r="A12556" s="2" t="s">
        <v>3312</v>
      </c>
      <c r="B12556" s="2" t="s">
        <v>95</v>
      </c>
      <c r="C12556" s="2">
        <v>951.10270000000003</v>
      </c>
      <c r="D12556" s="2">
        <f>HYPERLINK("http://mcb-m6.bioreg.kyushu-u.ac.jp/M3/20110414/F50927/3033/1", 66.91)</f>
        <v>66.91</v>
      </c>
      <c r="E12556" s="2">
        <v>41.87</v>
      </c>
      <c r="F12556" s="2">
        <v>2</v>
      </c>
      <c r="G12556" s="2" t="s">
        <v>11</v>
      </c>
      <c r="H12556" s="2" t="s">
        <v>4919</v>
      </c>
    </row>
    <row r="12557" spans="1:8" x14ac:dyDescent="0.2">
      <c r="A12557" s="2" t="s">
        <v>3312</v>
      </c>
      <c r="B12557" s="2" t="s">
        <v>95</v>
      </c>
      <c r="C12557" s="2">
        <v>943.34860000000003</v>
      </c>
      <c r="D12557" s="2">
        <f>HYPERLINK("http://mcb-m6.bioreg.kyushu-u.ac.jp/M3/20110414/F50927/3023/1", 73.33)</f>
        <v>73.33</v>
      </c>
      <c r="E12557" s="2">
        <v>50.92</v>
      </c>
      <c r="F12557" s="2">
        <v>2</v>
      </c>
      <c r="G12557" s="2" t="s">
        <v>11</v>
      </c>
    </row>
    <row r="12558" spans="1:8" x14ac:dyDescent="0.2">
      <c r="A12558" s="2" t="s">
        <v>3312</v>
      </c>
      <c r="B12558" s="2" t="s">
        <v>95</v>
      </c>
      <c r="C12558" s="2">
        <v>943.63869999999997</v>
      </c>
      <c r="D12558" s="2">
        <f>HYPERLINK("http://mcb-m6.bioreg.kyushu-u.ac.jp/M3/20110502/F51177/2903/1", 101.87)</f>
        <v>101.87</v>
      </c>
      <c r="E12558" s="2">
        <v>84.71</v>
      </c>
      <c r="F12558" s="2">
        <v>2</v>
      </c>
      <c r="G12558" s="2" t="s">
        <v>14</v>
      </c>
    </row>
    <row r="12559" spans="1:8" x14ac:dyDescent="0.2">
      <c r="A12559" s="2" t="s">
        <v>3829</v>
      </c>
      <c r="B12559" s="2" t="s">
        <v>901</v>
      </c>
      <c r="C12559" s="2">
        <v>762.85609999999997</v>
      </c>
      <c r="D12559" s="2">
        <f>HYPERLINK("http://mcb-m6.bioreg.kyushu-u.ac.jp/M3/20110411/F50919/1737/1", 55.03)</f>
        <v>55.03</v>
      </c>
      <c r="E12559" s="2">
        <v>41.9</v>
      </c>
      <c r="F12559" s="2">
        <v>2</v>
      </c>
      <c r="G12559" s="2" t="s">
        <v>9</v>
      </c>
    </row>
    <row r="12560" spans="1:8" x14ac:dyDescent="0.2">
      <c r="A12560" s="2" t="s">
        <v>3519</v>
      </c>
      <c r="B12560" s="2" t="s">
        <v>361</v>
      </c>
      <c r="C12560" s="2">
        <v>803.60360000000003</v>
      </c>
      <c r="D12560" s="2">
        <f>HYPERLINK("http://mcb-m6.bioreg.kyushu-u.ac.jp/M3/20110411/F50895/2407/1", 40.29)</f>
        <v>40.29</v>
      </c>
      <c r="E12560" s="2">
        <v>18.32</v>
      </c>
      <c r="F12560" s="2">
        <v>2</v>
      </c>
      <c r="G12560" s="2" t="s">
        <v>9</v>
      </c>
    </row>
    <row r="12561" spans="1:9" x14ac:dyDescent="0.2">
      <c r="A12561" s="2" t="s">
        <v>3519</v>
      </c>
      <c r="B12561" s="2" t="s">
        <v>384</v>
      </c>
      <c r="C12561" s="2">
        <v>905.64599999999996</v>
      </c>
      <c r="D12561" s="2">
        <f>HYPERLINK("http://mcb-m6.bioreg.kyushu-u.ac.jp/M3/20110411/F50903/954/1", 40.89)</f>
        <v>40.89</v>
      </c>
      <c r="E12561" s="2">
        <v>19.02</v>
      </c>
      <c r="F12561" s="2">
        <v>1</v>
      </c>
      <c r="G12561" s="2" t="s">
        <v>9</v>
      </c>
      <c r="I12561" s="2" t="s">
        <v>4892</v>
      </c>
    </row>
    <row r="12562" spans="1:9" x14ac:dyDescent="0.2">
      <c r="A12562" s="2" t="s">
        <v>3519</v>
      </c>
      <c r="B12562" s="2" t="s">
        <v>361</v>
      </c>
      <c r="C12562" s="2">
        <v>803.50570000000005</v>
      </c>
      <c r="D12562" s="2">
        <f>HYPERLINK("http://mcb-m6.bioreg.kyushu-u.ac.jp/M3/20110411/F50903/2347/1", 64.82)</f>
        <v>64.819999999999993</v>
      </c>
      <c r="E12562" s="2">
        <v>39.380000000000003</v>
      </c>
      <c r="F12562" s="2">
        <v>2</v>
      </c>
      <c r="G12562" s="2" t="s">
        <v>9</v>
      </c>
    </row>
    <row r="12563" spans="1:9" x14ac:dyDescent="0.2">
      <c r="A12563" s="2" t="s">
        <v>3519</v>
      </c>
      <c r="B12563" s="2" t="s">
        <v>1600</v>
      </c>
      <c r="C12563" s="2">
        <v>1068.758</v>
      </c>
      <c r="D12563" s="2">
        <f>HYPERLINK("http://mcb-m6.bioreg.kyushu-u.ac.jp/M3/20110411/F50903/3376/1", 97.7)</f>
        <v>97.7</v>
      </c>
      <c r="E12563" s="2">
        <v>84.83</v>
      </c>
      <c r="F12563" s="2">
        <v>2</v>
      </c>
      <c r="G12563" s="2" t="s">
        <v>9</v>
      </c>
    </row>
    <row r="12564" spans="1:9" x14ac:dyDescent="0.2">
      <c r="A12564" s="2" t="s">
        <v>3519</v>
      </c>
      <c r="B12564" s="2" t="s">
        <v>384</v>
      </c>
      <c r="C12564" s="2">
        <v>453.24310000000003</v>
      </c>
      <c r="D12564" s="2">
        <f>HYPERLINK("http://mcb-m6.bioreg.kyushu-u.ac.jp/M3/20110411/F50896/1052/1", 35.21)</f>
        <v>35.21</v>
      </c>
      <c r="E12564" s="2">
        <v>15.79</v>
      </c>
      <c r="F12564" s="2">
        <v>2</v>
      </c>
      <c r="G12564" s="2" t="s">
        <v>10</v>
      </c>
      <c r="I12564" s="2" t="s">
        <v>4892</v>
      </c>
    </row>
    <row r="12565" spans="1:9" x14ac:dyDescent="0.2">
      <c r="A12565" s="2" t="s">
        <v>3519</v>
      </c>
      <c r="B12565" s="2" t="s">
        <v>1709</v>
      </c>
      <c r="C12565" s="2">
        <v>881.5616</v>
      </c>
      <c r="D12565" s="2">
        <f>HYPERLINK("http://mcb-m6.bioreg.kyushu-u.ac.jp/M3/20110411/F50913/2692/1", 35.94)</f>
        <v>35.94</v>
      </c>
      <c r="E12565" s="2">
        <v>22.02</v>
      </c>
      <c r="F12565" s="2">
        <v>2</v>
      </c>
      <c r="G12565" s="2" t="s">
        <v>10</v>
      </c>
    </row>
    <row r="12566" spans="1:9" x14ac:dyDescent="0.2">
      <c r="A12566" s="2" t="s">
        <v>3519</v>
      </c>
      <c r="B12566" s="2" t="s">
        <v>361</v>
      </c>
      <c r="C12566" s="2">
        <v>1606.059</v>
      </c>
      <c r="D12566" s="2">
        <f>HYPERLINK("http://mcb-m6.bioreg.kyushu-u.ac.jp/M3/20110411/F50920/1867/1", 37.12)</f>
        <v>37.119999999999997</v>
      </c>
      <c r="E12566" s="2">
        <v>14.39</v>
      </c>
      <c r="F12566" s="2">
        <v>1</v>
      </c>
      <c r="G12566" s="2" t="s">
        <v>10</v>
      </c>
    </row>
    <row r="12567" spans="1:9" x14ac:dyDescent="0.2">
      <c r="A12567" s="2" t="s">
        <v>3519</v>
      </c>
      <c r="B12567" s="2" t="s">
        <v>1600</v>
      </c>
      <c r="C12567" s="2">
        <v>712.70280000000002</v>
      </c>
      <c r="D12567" s="2">
        <f>HYPERLINK("http://mcb-m6.bioreg.kyushu-u.ac.jp/M3/20110411/F50897/3311/1", 37.15)</f>
        <v>37.15</v>
      </c>
      <c r="E12567" s="2">
        <v>20.68</v>
      </c>
      <c r="F12567" s="2">
        <v>3</v>
      </c>
      <c r="G12567" s="2" t="s">
        <v>10</v>
      </c>
    </row>
    <row r="12568" spans="1:9" x14ac:dyDescent="0.2">
      <c r="A12568" s="2" t="s">
        <v>3519</v>
      </c>
      <c r="B12568" s="2" t="s">
        <v>361</v>
      </c>
      <c r="C12568" s="2">
        <v>803.85969999999998</v>
      </c>
      <c r="D12568" s="2">
        <f>HYPERLINK("http://mcb-m6.bioreg.kyushu-u.ac.jp/M3/20110411/F50914/2410/1", 37.74)</f>
        <v>37.74</v>
      </c>
      <c r="E12568" s="2">
        <v>18.8</v>
      </c>
      <c r="F12568" s="2">
        <v>2</v>
      </c>
      <c r="G12568" s="2" t="s">
        <v>10</v>
      </c>
    </row>
    <row r="12569" spans="1:9" x14ac:dyDescent="0.2">
      <c r="A12569" s="2" t="s">
        <v>3519</v>
      </c>
      <c r="B12569" s="2" t="s">
        <v>384</v>
      </c>
      <c r="C12569" s="2">
        <v>905.56799999999998</v>
      </c>
      <c r="D12569" s="2">
        <f>HYPERLINK("http://mcb-m6.bioreg.kyushu-u.ac.jp/M3/20110411/F50900/1163/1", 37.94)</f>
        <v>37.94</v>
      </c>
      <c r="E12569" s="2">
        <v>21.55</v>
      </c>
      <c r="F12569" s="2">
        <v>1</v>
      </c>
      <c r="G12569" s="2" t="s">
        <v>10</v>
      </c>
      <c r="I12569" s="2" t="s">
        <v>4892</v>
      </c>
    </row>
    <row r="12570" spans="1:9" x14ac:dyDescent="0.2">
      <c r="A12570" s="2" t="s">
        <v>3519</v>
      </c>
      <c r="B12570" s="2" t="s">
        <v>1763</v>
      </c>
      <c r="C12570" s="2">
        <v>625.97810000000004</v>
      </c>
      <c r="D12570" s="2">
        <f>HYPERLINK("http://mcb-m6.bioreg.kyushu-u.ac.jp/M3/20110411/F50918/1278/1", 38.19)</f>
        <v>38.19</v>
      </c>
      <c r="E12570" s="2">
        <v>16.62</v>
      </c>
      <c r="F12570" s="2">
        <v>2</v>
      </c>
      <c r="G12570" s="2" t="s">
        <v>10</v>
      </c>
      <c r="I12570" s="2" t="s">
        <v>4903</v>
      </c>
    </row>
    <row r="12571" spans="1:9" x14ac:dyDescent="0.2">
      <c r="A12571" s="2" t="s">
        <v>3519</v>
      </c>
      <c r="B12571" s="2" t="s">
        <v>1763</v>
      </c>
      <c r="C12571" s="2">
        <v>625.92610000000002</v>
      </c>
      <c r="D12571" s="2">
        <f>HYPERLINK("http://mcb-m6.bioreg.kyushu-u.ac.jp/M3/20110411/F50914/1569/1", 38.27)</f>
        <v>38.270000000000003</v>
      </c>
      <c r="E12571" s="2">
        <v>21.19</v>
      </c>
      <c r="F12571" s="2">
        <v>2</v>
      </c>
      <c r="G12571" s="2" t="s">
        <v>10</v>
      </c>
      <c r="I12571" s="2" t="s">
        <v>4903</v>
      </c>
    </row>
    <row r="12572" spans="1:9" x14ac:dyDescent="0.2">
      <c r="A12572" s="2" t="s">
        <v>3519</v>
      </c>
      <c r="B12572" s="2" t="s">
        <v>1772</v>
      </c>
      <c r="C12572" s="2">
        <v>605.31820000000005</v>
      </c>
      <c r="D12572" s="2">
        <f>HYPERLINK("http://mcb-m6.bioreg.kyushu-u.ac.jp/M3/20110411/F50920/1001/1", 38.48)</f>
        <v>38.479999999999997</v>
      </c>
      <c r="E12572" s="2">
        <v>19.45</v>
      </c>
      <c r="F12572" s="2">
        <v>2</v>
      </c>
      <c r="G12572" s="2" t="s">
        <v>10</v>
      </c>
      <c r="I12572" s="2" t="s">
        <v>4905</v>
      </c>
    </row>
    <row r="12573" spans="1:9" x14ac:dyDescent="0.2">
      <c r="A12573" s="2" t="s">
        <v>3519</v>
      </c>
      <c r="B12573" s="2" t="s">
        <v>384</v>
      </c>
      <c r="C12573" s="2">
        <v>453.4221</v>
      </c>
      <c r="D12573" s="2">
        <f>HYPERLINK("http://mcb-m6.bioreg.kyushu-u.ac.jp/M3/20110411/F50914/871/1", 38.61)</f>
        <v>38.61</v>
      </c>
      <c r="E12573" s="2">
        <v>20.58</v>
      </c>
      <c r="F12573" s="2">
        <v>2</v>
      </c>
      <c r="G12573" s="2" t="s">
        <v>10</v>
      </c>
      <c r="I12573" s="2" t="s">
        <v>4892</v>
      </c>
    </row>
    <row r="12574" spans="1:9" x14ac:dyDescent="0.2">
      <c r="A12574" s="2" t="s">
        <v>3519</v>
      </c>
      <c r="B12574" s="2" t="s">
        <v>384</v>
      </c>
      <c r="C12574" s="2">
        <v>453.41109999999998</v>
      </c>
      <c r="D12574" s="2">
        <f>HYPERLINK("http://mcb-m6.bioreg.kyushu-u.ac.jp/M3/20110411/F50913/851/1", 39.51)</f>
        <v>39.51</v>
      </c>
      <c r="E12574" s="2">
        <v>21.57</v>
      </c>
      <c r="F12574" s="2">
        <v>2</v>
      </c>
      <c r="G12574" s="2" t="s">
        <v>10</v>
      </c>
      <c r="I12574" s="2" t="s">
        <v>4892</v>
      </c>
    </row>
    <row r="12575" spans="1:9" x14ac:dyDescent="0.2">
      <c r="A12575" s="2" t="s">
        <v>3519</v>
      </c>
      <c r="B12575" s="2" t="s">
        <v>384</v>
      </c>
      <c r="C12575" s="2">
        <v>905.61900000000003</v>
      </c>
      <c r="D12575" s="2">
        <f>HYPERLINK("http://mcb-m6.bioreg.kyushu-u.ac.jp/M3/20110411/F50899/1382/1", 40.73)</f>
        <v>40.729999999999997</v>
      </c>
      <c r="E12575" s="2">
        <v>25.28</v>
      </c>
      <c r="F12575" s="2">
        <v>1</v>
      </c>
      <c r="G12575" s="2" t="s">
        <v>10</v>
      </c>
      <c r="I12575" s="2" t="s">
        <v>4892</v>
      </c>
    </row>
    <row r="12576" spans="1:9" x14ac:dyDescent="0.2">
      <c r="A12576" s="2" t="s">
        <v>3519</v>
      </c>
      <c r="B12576" s="2" t="s">
        <v>384</v>
      </c>
      <c r="C12576" s="2">
        <v>905.55499999999995</v>
      </c>
      <c r="D12576" s="2">
        <f>HYPERLINK("http://mcb-m6.bioreg.kyushu-u.ac.jp/M3/20110411/F50920/556/1", 40.9)</f>
        <v>40.9</v>
      </c>
      <c r="E12576" s="2">
        <v>22.46</v>
      </c>
      <c r="F12576" s="2">
        <v>1</v>
      </c>
      <c r="G12576" s="2" t="s">
        <v>10</v>
      </c>
      <c r="I12576" s="2" t="s">
        <v>4892</v>
      </c>
    </row>
    <row r="12577" spans="1:9" x14ac:dyDescent="0.2">
      <c r="A12577" s="2" t="s">
        <v>3519</v>
      </c>
      <c r="B12577" s="2" t="s">
        <v>361</v>
      </c>
      <c r="C12577" s="2">
        <v>803.30909999999994</v>
      </c>
      <c r="D12577" s="2">
        <f>HYPERLINK("http://mcb-m6.bioreg.kyushu-u.ac.jp/M3/20110411/F50920/1862/1", 40.94)</f>
        <v>40.94</v>
      </c>
      <c r="E12577" s="2">
        <v>28.66</v>
      </c>
      <c r="F12577" s="2">
        <v>2</v>
      </c>
      <c r="G12577" s="2" t="s">
        <v>10</v>
      </c>
    </row>
    <row r="12578" spans="1:9" x14ac:dyDescent="0.2">
      <c r="A12578" s="2" t="s">
        <v>3519</v>
      </c>
      <c r="B12578" s="2" t="s">
        <v>384</v>
      </c>
      <c r="C12578" s="2">
        <v>905.49699999999996</v>
      </c>
      <c r="D12578" s="2">
        <f>HYPERLINK("http://mcb-m6.bioreg.kyushu-u.ac.jp/M3/20110411/F50918/613/1", 40.98)</f>
        <v>40.98</v>
      </c>
      <c r="E12578" s="2">
        <v>28.98</v>
      </c>
      <c r="F12578" s="2">
        <v>1</v>
      </c>
      <c r="G12578" s="2" t="s">
        <v>10</v>
      </c>
      <c r="I12578" s="2" t="s">
        <v>4892</v>
      </c>
    </row>
    <row r="12579" spans="1:9" x14ac:dyDescent="0.2">
      <c r="A12579" s="2" t="s">
        <v>3519</v>
      </c>
      <c r="B12579" s="2" t="s">
        <v>1818</v>
      </c>
      <c r="C12579" s="2">
        <v>532.34220000000005</v>
      </c>
      <c r="D12579" s="2">
        <f>HYPERLINK("http://mcb-m6.bioreg.kyushu-u.ac.jp/M3/20110411/F50920/1837/1", 41.36)</f>
        <v>41.36</v>
      </c>
      <c r="E12579" s="2">
        <v>23.98</v>
      </c>
      <c r="F12579" s="2">
        <v>3</v>
      </c>
      <c r="G12579" s="2" t="s">
        <v>10</v>
      </c>
    </row>
    <row r="12580" spans="1:9" x14ac:dyDescent="0.2">
      <c r="A12580" s="2" t="s">
        <v>3519</v>
      </c>
      <c r="B12580" s="2" t="s">
        <v>1825</v>
      </c>
      <c r="C12580" s="2">
        <v>733.8981</v>
      </c>
      <c r="D12580" s="2">
        <f>HYPERLINK("http://mcb-m6.bioreg.kyushu-u.ac.jp/M3/20110411/F50897/1931/1", 41.45)</f>
        <v>41.45</v>
      </c>
      <c r="E12580" s="2">
        <v>17.170000000000002</v>
      </c>
      <c r="F12580" s="2">
        <v>2</v>
      </c>
      <c r="G12580" s="2" t="s">
        <v>10</v>
      </c>
    </row>
    <row r="12581" spans="1:9" x14ac:dyDescent="0.2">
      <c r="A12581" s="2" t="s">
        <v>3519</v>
      </c>
      <c r="B12581" s="2" t="s">
        <v>361</v>
      </c>
      <c r="C12581" s="2">
        <v>803.46510000000001</v>
      </c>
      <c r="D12581" s="2">
        <f>HYPERLINK("http://mcb-m6.bioreg.kyushu-u.ac.jp/M3/20110411/F50921/2166/1", 41.55)</f>
        <v>41.55</v>
      </c>
      <c r="E12581" s="2">
        <v>22.95</v>
      </c>
      <c r="F12581" s="2">
        <v>2</v>
      </c>
      <c r="G12581" s="2" t="s">
        <v>10</v>
      </c>
    </row>
    <row r="12582" spans="1:9" x14ac:dyDescent="0.2">
      <c r="A12582" s="2" t="s">
        <v>3519</v>
      </c>
      <c r="B12582" s="2" t="s">
        <v>384</v>
      </c>
      <c r="C12582" s="2">
        <v>453.51859999999999</v>
      </c>
      <c r="D12582" s="2">
        <f>HYPERLINK("http://mcb-m6.bioreg.kyushu-u.ac.jp/M3/20110411/F50899/1383/1", 42.21)</f>
        <v>42.21</v>
      </c>
      <c r="E12582" s="2">
        <v>18.71</v>
      </c>
      <c r="F12582" s="2">
        <v>2</v>
      </c>
      <c r="G12582" s="2" t="s">
        <v>10</v>
      </c>
      <c r="I12582" s="2" t="s">
        <v>4892</v>
      </c>
    </row>
    <row r="12583" spans="1:9" x14ac:dyDescent="0.2">
      <c r="A12583" s="2" t="s">
        <v>3519</v>
      </c>
      <c r="B12583" s="2" t="s">
        <v>1709</v>
      </c>
      <c r="C12583" s="2">
        <v>881.48069999999996</v>
      </c>
      <c r="D12583" s="2">
        <f>HYPERLINK("http://mcb-m6.bioreg.kyushu-u.ac.jp/M3/20110411/F50896/2643/1", 42.3)</f>
        <v>42.3</v>
      </c>
      <c r="E12583" s="2">
        <v>22.69</v>
      </c>
      <c r="F12583" s="2">
        <v>2</v>
      </c>
      <c r="G12583" s="2" t="s">
        <v>10</v>
      </c>
    </row>
    <row r="12584" spans="1:9" x14ac:dyDescent="0.2">
      <c r="A12584" s="2" t="s">
        <v>3519</v>
      </c>
      <c r="B12584" s="2" t="s">
        <v>384</v>
      </c>
      <c r="C12584" s="2">
        <v>453.37909999999999</v>
      </c>
      <c r="D12584" s="2">
        <f>HYPERLINK("http://mcb-m6.bioreg.kyushu-u.ac.jp/M3/20110411/F50912/901/1", 42.77)</f>
        <v>42.77</v>
      </c>
      <c r="E12584" s="2">
        <v>21.19</v>
      </c>
      <c r="F12584" s="2">
        <v>2</v>
      </c>
      <c r="G12584" s="2" t="s">
        <v>10</v>
      </c>
      <c r="I12584" s="2" t="s">
        <v>4892</v>
      </c>
    </row>
    <row r="12585" spans="1:9" x14ac:dyDescent="0.2">
      <c r="A12585" s="2" t="s">
        <v>3519</v>
      </c>
      <c r="B12585" s="2" t="s">
        <v>384</v>
      </c>
      <c r="C12585" s="2">
        <v>453.69709999999998</v>
      </c>
      <c r="D12585" s="2">
        <f>HYPERLINK("http://mcb-m6.bioreg.kyushu-u.ac.jp/M3/20110411/F50921/643/1", 42.79)</f>
        <v>42.79</v>
      </c>
      <c r="E12585" s="2">
        <v>25.91</v>
      </c>
      <c r="F12585" s="2">
        <v>2</v>
      </c>
      <c r="G12585" s="2" t="s">
        <v>10</v>
      </c>
      <c r="I12585" s="2" t="s">
        <v>4892</v>
      </c>
    </row>
    <row r="12586" spans="1:9" x14ac:dyDescent="0.2">
      <c r="A12586" s="2" t="s">
        <v>3519</v>
      </c>
      <c r="B12586" s="2" t="s">
        <v>361</v>
      </c>
      <c r="C12586" s="2">
        <v>803.36569999999995</v>
      </c>
      <c r="D12586" s="2">
        <f>HYPERLINK("http://mcb-m6.bioreg.kyushu-u.ac.jp/M3/20110411/F50900/2387/1", 43.44)</f>
        <v>43.44</v>
      </c>
      <c r="E12586" s="2">
        <v>21.18</v>
      </c>
      <c r="F12586" s="2">
        <v>2</v>
      </c>
      <c r="G12586" s="2" t="s">
        <v>10</v>
      </c>
    </row>
    <row r="12587" spans="1:9" x14ac:dyDescent="0.2">
      <c r="A12587" s="2" t="s">
        <v>3519</v>
      </c>
      <c r="B12587" s="2" t="s">
        <v>384</v>
      </c>
      <c r="C12587" s="2">
        <v>905.62699999999995</v>
      </c>
      <c r="D12587" s="2">
        <f>HYPERLINK("http://mcb-m6.bioreg.kyushu-u.ac.jp/M3/20110411/F50901/1053/1", 43.62)</f>
        <v>43.62</v>
      </c>
      <c r="E12587" s="2">
        <v>25.72</v>
      </c>
      <c r="F12587" s="2">
        <v>1</v>
      </c>
      <c r="G12587" s="2" t="s">
        <v>10</v>
      </c>
      <c r="I12587" s="2" t="s">
        <v>4892</v>
      </c>
    </row>
    <row r="12588" spans="1:9" x14ac:dyDescent="0.2">
      <c r="A12588" s="2" t="s">
        <v>3519</v>
      </c>
      <c r="B12588" s="2" t="s">
        <v>384</v>
      </c>
      <c r="C12588" s="2">
        <v>905.59</v>
      </c>
      <c r="D12588" s="2">
        <f>HYPERLINK("http://mcb-m6.bioreg.kyushu-u.ac.jp/M3/20110411/F50920/558/1", 44.03)</f>
        <v>44.03</v>
      </c>
      <c r="E12588" s="2">
        <v>25.82</v>
      </c>
      <c r="F12588" s="2">
        <v>1</v>
      </c>
      <c r="G12588" s="2" t="s">
        <v>10</v>
      </c>
      <c r="I12588" s="2" t="s">
        <v>4892</v>
      </c>
    </row>
    <row r="12589" spans="1:9" x14ac:dyDescent="0.2">
      <c r="A12589" s="2" t="s">
        <v>3519</v>
      </c>
      <c r="B12589" s="2" t="s">
        <v>361</v>
      </c>
      <c r="C12589" s="2">
        <v>1605.9359999999999</v>
      </c>
      <c r="D12589" s="2">
        <f>HYPERLINK("http://mcb-m6.bioreg.kyushu-u.ac.jp/M3/20110411/F50896/2392/1", 44.52)</f>
        <v>44.52</v>
      </c>
      <c r="E12589" s="2">
        <v>26.79</v>
      </c>
      <c r="F12589" s="2">
        <v>1</v>
      </c>
      <c r="G12589" s="2" t="s">
        <v>10</v>
      </c>
    </row>
    <row r="12590" spans="1:9" x14ac:dyDescent="0.2">
      <c r="A12590" s="2" t="s">
        <v>3519</v>
      </c>
      <c r="B12590" s="2" t="s">
        <v>384</v>
      </c>
      <c r="C12590" s="2">
        <v>453.48660000000001</v>
      </c>
      <c r="D12590" s="2">
        <f>HYPERLINK("http://mcb-m6.bioreg.kyushu-u.ac.jp/M3/20110411/F50920/562/1", 44.7)</f>
        <v>44.7</v>
      </c>
      <c r="E12590" s="2">
        <v>27.28</v>
      </c>
      <c r="F12590" s="2">
        <v>2</v>
      </c>
      <c r="G12590" s="2" t="s">
        <v>10</v>
      </c>
      <c r="I12590" s="2" t="s">
        <v>4892</v>
      </c>
    </row>
    <row r="12591" spans="1:9" x14ac:dyDescent="0.2">
      <c r="A12591" s="2" t="s">
        <v>3519</v>
      </c>
      <c r="B12591" s="2" t="s">
        <v>384</v>
      </c>
      <c r="C12591" s="2">
        <v>905.56100000000004</v>
      </c>
      <c r="D12591" s="2">
        <f>HYPERLINK("http://mcb-m6.bioreg.kyushu-u.ac.jp/M3/20110411/F50898/1324/1", 45.01)</f>
        <v>45.01</v>
      </c>
      <c r="E12591" s="2">
        <v>34.54</v>
      </c>
      <c r="F12591" s="2">
        <v>1</v>
      </c>
      <c r="G12591" s="2" t="s">
        <v>10</v>
      </c>
      <c r="I12591" s="2" t="s">
        <v>4892</v>
      </c>
    </row>
    <row r="12592" spans="1:9" x14ac:dyDescent="0.2">
      <c r="A12592" s="2" t="s">
        <v>3519</v>
      </c>
      <c r="B12592" s="2" t="s">
        <v>384</v>
      </c>
      <c r="C12592" s="2">
        <v>905.65300000000002</v>
      </c>
      <c r="D12592" s="2">
        <f>HYPERLINK("http://mcb-m6.bioreg.kyushu-u.ac.jp/M3/20110411/F50913/849/1", 45.25)</f>
        <v>45.25</v>
      </c>
      <c r="E12592" s="2">
        <v>30.03</v>
      </c>
      <c r="F12592" s="2">
        <v>1</v>
      </c>
      <c r="G12592" s="2" t="s">
        <v>10</v>
      </c>
      <c r="I12592" s="2" t="s">
        <v>4892</v>
      </c>
    </row>
    <row r="12593" spans="1:9" x14ac:dyDescent="0.2">
      <c r="A12593" s="2" t="s">
        <v>3519</v>
      </c>
      <c r="B12593" s="2" t="s">
        <v>384</v>
      </c>
      <c r="C12593" s="2">
        <v>906.16</v>
      </c>
      <c r="D12593" s="2">
        <f>HYPERLINK("http://mcb-m6.bioreg.kyushu-u.ac.jp/M3/20110411/F50896/1055/1", 45.29)</f>
        <v>45.29</v>
      </c>
      <c r="E12593" s="2">
        <v>30.29</v>
      </c>
      <c r="F12593" s="2">
        <v>1</v>
      </c>
      <c r="G12593" s="2" t="s">
        <v>10</v>
      </c>
      <c r="I12593" s="2" t="s">
        <v>4892</v>
      </c>
    </row>
    <row r="12594" spans="1:9" x14ac:dyDescent="0.2">
      <c r="A12594" s="2" t="s">
        <v>3519</v>
      </c>
      <c r="B12594" s="2" t="s">
        <v>384</v>
      </c>
      <c r="C12594" s="2">
        <v>905.58600000000001</v>
      </c>
      <c r="D12594" s="2">
        <f>HYPERLINK("http://mcb-m6.bioreg.kyushu-u.ac.jp/M3/20110411/F50902/999/1", 45.39)</f>
        <v>45.39</v>
      </c>
      <c r="E12594" s="2">
        <v>28.15</v>
      </c>
      <c r="F12594" s="2">
        <v>1</v>
      </c>
      <c r="G12594" s="2" t="s">
        <v>10</v>
      </c>
      <c r="I12594" s="2" t="s">
        <v>4892</v>
      </c>
    </row>
    <row r="12595" spans="1:9" x14ac:dyDescent="0.2">
      <c r="A12595" s="2" t="s">
        <v>3519</v>
      </c>
      <c r="B12595" s="2" t="s">
        <v>384</v>
      </c>
      <c r="C12595" s="2">
        <v>905.57600000000002</v>
      </c>
      <c r="D12595" s="2">
        <f>HYPERLINK("http://mcb-m6.bioreg.kyushu-u.ac.jp/M3/20110411/F50897/762/1", 45.41)</f>
        <v>45.41</v>
      </c>
      <c r="E12595" s="2">
        <v>31.97</v>
      </c>
      <c r="F12595" s="2">
        <v>1</v>
      </c>
      <c r="G12595" s="2" t="s">
        <v>10</v>
      </c>
      <c r="I12595" s="2" t="s">
        <v>4892</v>
      </c>
    </row>
    <row r="12596" spans="1:9" x14ac:dyDescent="0.2">
      <c r="A12596" s="2" t="s">
        <v>3519</v>
      </c>
      <c r="B12596" s="2" t="s">
        <v>361</v>
      </c>
      <c r="C12596" s="2">
        <v>803.51459999999997</v>
      </c>
      <c r="D12596" s="2">
        <f>HYPERLINK("http://mcb-m6.bioreg.kyushu-u.ac.jp/M3/20110411/F50896/2394/1", 45.47)</f>
        <v>45.47</v>
      </c>
      <c r="E12596" s="2">
        <v>28.92</v>
      </c>
      <c r="F12596" s="2">
        <v>2</v>
      </c>
      <c r="G12596" s="2" t="s">
        <v>10</v>
      </c>
    </row>
    <row r="12597" spans="1:9" x14ac:dyDescent="0.2">
      <c r="A12597" s="2" t="s">
        <v>3519</v>
      </c>
      <c r="B12597" s="2" t="s">
        <v>384</v>
      </c>
      <c r="C12597" s="2">
        <v>905.68600000000004</v>
      </c>
      <c r="D12597" s="2">
        <f>HYPERLINK("http://mcb-m6.bioreg.kyushu-u.ac.jp/M3/20110411/F50896/1054/1", 45.61)</f>
        <v>45.61</v>
      </c>
      <c r="E12597" s="2">
        <v>30.42</v>
      </c>
      <c r="F12597" s="2">
        <v>1</v>
      </c>
      <c r="G12597" s="2" t="s">
        <v>10</v>
      </c>
      <c r="I12597" s="2" t="s">
        <v>4892</v>
      </c>
    </row>
    <row r="12598" spans="1:9" x14ac:dyDescent="0.2">
      <c r="A12598" s="2" t="s">
        <v>3519</v>
      </c>
      <c r="B12598" s="2" t="s">
        <v>384</v>
      </c>
      <c r="C12598" s="2">
        <v>905.57899999999995</v>
      </c>
      <c r="D12598" s="2">
        <f>HYPERLINK("http://mcb-m6.bioreg.kyushu-u.ac.jp/M3/20110411/F50921/637/1", 45.76)</f>
        <v>45.76</v>
      </c>
      <c r="E12598" s="2">
        <v>30.7</v>
      </c>
      <c r="F12598" s="2">
        <v>1</v>
      </c>
      <c r="G12598" s="2" t="s">
        <v>10</v>
      </c>
      <c r="I12598" s="2" t="s">
        <v>4892</v>
      </c>
    </row>
    <row r="12599" spans="1:9" x14ac:dyDescent="0.2">
      <c r="A12599" s="2" t="s">
        <v>3519</v>
      </c>
      <c r="B12599" s="2" t="s">
        <v>384</v>
      </c>
      <c r="C12599" s="2">
        <v>453.20310000000001</v>
      </c>
      <c r="D12599" s="2">
        <f>HYPERLINK("http://mcb-m6.bioreg.kyushu-u.ac.jp/M3/20110411/F50920/555/1", 46.11)</f>
        <v>46.11</v>
      </c>
      <c r="E12599" s="2">
        <v>22.14</v>
      </c>
      <c r="F12599" s="2">
        <v>2</v>
      </c>
      <c r="G12599" s="2" t="s">
        <v>10</v>
      </c>
      <c r="I12599" s="2" t="s">
        <v>4892</v>
      </c>
    </row>
    <row r="12600" spans="1:9" x14ac:dyDescent="0.2">
      <c r="A12600" s="2" t="s">
        <v>3519</v>
      </c>
      <c r="B12600" s="2" t="s">
        <v>384</v>
      </c>
      <c r="C12600" s="2">
        <v>453.30459999999999</v>
      </c>
      <c r="D12600" s="2">
        <f>HYPERLINK("http://mcb-m6.bioreg.kyushu-u.ac.jp/M3/20110411/F50917/614/1", 46.26)</f>
        <v>46.26</v>
      </c>
      <c r="E12600" s="2">
        <v>31.48</v>
      </c>
      <c r="F12600" s="2">
        <v>2</v>
      </c>
      <c r="G12600" s="2" t="s">
        <v>10</v>
      </c>
      <c r="I12600" s="2" t="s">
        <v>4892</v>
      </c>
    </row>
    <row r="12601" spans="1:9" x14ac:dyDescent="0.2">
      <c r="A12601" s="2" t="s">
        <v>3519</v>
      </c>
      <c r="B12601" s="2" t="s">
        <v>361</v>
      </c>
      <c r="C12601" s="2">
        <v>803.50620000000004</v>
      </c>
      <c r="D12601" s="2">
        <f>HYPERLINK("http://mcb-m6.bioreg.kyushu-u.ac.jp/M3/20110411/F50913/2343/1", 46.34)</f>
        <v>46.34</v>
      </c>
      <c r="E12601" s="2">
        <v>18.809999999999999</v>
      </c>
      <c r="F12601" s="2">
        <v>2</v>
      </c>
      <c r="G12601" s="2" t="s">
        <v>10</v>
      </c>
    </row>
    <row r="12602" spans="1:9" x14ac:dyDescent="0.2">
      <c r="A12602" s="2" t="s">
        <v>3519</v>
      </c>
      <c r="B12602" s="2" t="s">
        <v>384</v>
      </c>
      <c r="C12602" s="2">
        <v>453.28359999999998</v>
      </c>
      <c r="D12602" s="2">
        <f>HYPERLINK("http://mcb-m6.bioreg.kyushu-u.ac.jp/M3/20110411/F50920/557/1", 46.43)</f>
        <v>46.43</v>
      </c>
      <c r="E12602" s="2">
        <v>29.67</v>
      </c>
      <c r="F12602" s="2">
        <v>2</v>
      </c>
      <c r="G12602" s="2" t="s">
        <v>10</v>
      </c>
      <c r="I12602" s="2" t="s">
        <v>4892</v>
      </c>
    </row>
    <row r="12603" spans="1:9" x14ac:dyDescent="0.2">
      <c r="A12603" s="2" t="s">
        <v>3519</v>
      </c>
      <c r="B12603" s="2" t="s">
        <v>1600</v>
      </c>
      <c r="C12603" s="2">
        <v>712.66079999999999</v>
      </c>
      <c r="D12603" s="2">
        <f>HYPERLINK("http://mcb-m6.bioreg.kyushu-u.ac.jp/M3/20110411/F50920/2946/1", 46.94)</f>
        <v>46.94</v>
      </c>
      <c r="E12603" s="2">
        <v>28.39</v>
      </c>
      <c r="F12603" s="2">
        <v>3</v>
      </c>
      <c r="G12603" s="2" t="s">
        <v>10</v>
      </c>
    </row>
    <row r="12604" spans="1:9" x14ac:dyDescent="0.2">
      <c r="A12604" s="2" t="s">
        <v>3519</v>
      </c>
      <c r="B12604" s="2" t="s">
        <v>1818</v>
      </c>
      <c r="C12604" s="2">
        <v>798.18219999999997</v>
      </c>
      <c r="D12604" s="2">
        <f>HYPERLINK("http://mcb-m6.bioreg.kyushu-u.ac.jp/M3/20110411/F50920/1839/1", 47.01)</f>
        <v>47.01</v>
      </c>
      <c r="E12604" s="2">
        <v>33.1</v>
      </c>
      <c r="F12604" s="2">
        <v>2</v>
      </c>
      <c r="G12604" s="2" t="s">
        <v>10</v>
      </c>
    </row>
    <row r="12605" spans="1:9" x14ac:dyDescent="0.2">
      <c r="A12605" s="2" t="s">
        <v>3519</v>
      </c>
      <c r="B12605" s="2" t="s">
        <v>1600</v>
      </c>
      <c r="C12605" s="2">
        <v>1068.7360000000001</v>
      </c>
      <c r="D12605" s="2">
        <f>HYPERLINK("http://mcb-m6.bioreg.kyushu-u.ac.jp/M3/20110411/F50921/3124/1", 47.24)</f>
        <v>47.24</v>
      </c>
      <c r="E12605" s="2">
        <v>29.29</v>
      </c>
      <c r="F12605" s="2">
        <v>2</v>
      </c>
      <c r="G12605" s="2" t="s">
        <v>10</v>
      </c>
    </row>
    <row r="12606" spans="1:9" x14ac:dyDescent="0.2">
      <c r="A12606" s="2" t="s">
        <v>3519</v>
      </c>
      <c r="B12606" s="2" t="s">
        <v>361</v>
      </c>
      <c r="C12606" s="2">
        <v>803.81820000000005</v>
      </c>
      <c r="D12606" s="2">
        <f>HYPERLINK("http://mcb-m6.bioreg.kyushu-u.ac.jp/M3/20110411/F50920/1870/1", 47.31)</f>
        <v>47.31</v>
      </c>
      <c r="E12606" s="2">
        <v>28.64</v>
      </c>
      <c r="F12606" s="2">
        <v>2</v>
      </c>
      <c r="G12606" s="2" t="s">
        <v>10</v>
      </c>
    </row>
    <row r="12607" spans="1:9" x14ac:dyDescent="0.2">
      <c r="A12607" s="2" t="s">
        <v>3519</v>
      </c>
      <c r="B12607" s="2" t="s">
        <v>384</v>
      </c>
      <c r="C12607" s="2">
        <v>905.93499999999995</v>
      </c>
      <c r="D12607" s="2">
        <f>HYPERLINK("http://mcb-m6.bioreg.kyushu-u.ac.jp/M3/20110411/F50912/903/1", 47.42)</f>
        <v>47.42</v>
      </c>
      <c r="E12607" s="2">
        <v>28.83</v>
      </c>
      <c r="F12607" s="2">
        <v>1</v>
      </c>
      <c r="G12607" s="2" t="s">
        <v>10</v>
      </c>
      <c r="I12607" s="2" t="s">
        <v>4892</v>
      </c>
    </row>
    <row r="12608" spans="1:9" x14ac:dyDescent="0.2">
      <c r="A12608" s="2" t="s">
        <v>3519</v>
      </c>
      <c r="B12608" s="2" t="s">
        <v>1709</v>
      </c>
      <c r="C12608" s="2">
        <v>1762.9970000000001</v>
      </c>
      <c r="D12608" s="2">
        <f>HYPERLINK("http://mcb-m6.bioreg.kyushu-u.ac.jp/M3/20110411/F50920/2207/1", 49.88)</f>
        <v>49.88</v>
      </c>
      <c r="E12608" s="2">
        <v>37.9</v>
      </c>
      <c r="F12608" s="2">
        <v>1</v>
      </c>
      <c r="G12608" s="2" t="s">
        <v>10</v>
      </c>
    </row>
    <row r="12609" spans="1:9" x14ac:dyDescent="0.2">
      <c r="A12609" s="2" t="s">
        <v>3519</v>
      </c>
      <c r="B12609" s="2" t="s">
        <v>1772</v>
      </c>
      <c r="C12609" s="2">
        <v>604.8107</v>
      </c>
      <c r="D12609" s="2">
        <f>HYPERLINK("http://mcb-m6.bioreg.kyushu-u.ac.jp/M3/20110411/F50920/1000/1", 50.24)</f>
        <v>50.24</v>
      </c>
      <c r="E12609" s="2">
        <v>27.65</v>
      </c>
      <c r="F12609" s="2">
        <v>2</v>
      </c>
      <c r="G12609" s="2" t="s">
        <v>10</v>
      </c>
      <c r="I12609" s="2" t="s">
        <v>4905</v>
      </c>
    </row>
    <row r="12610" spans="1:9" x14ac:dyDescent="0.2">
      <c r="A12610" s="2" t="s">
        <v>3519</v>
      </c>
      <c r="B12610" s="2" t="s">
        <v>1600</v>
      </c>
      <c r="C12610" s="2">
        <v>712.96280000000002</v>
      </c>
      <c r="D12610" s="2">
        <f>HYPERLINK("http://mcb-m6.bioreg.kyushu-u.ac.jp/M3/20110411/F50921/3126/1", 50.77)</f>
        <v>50.77</v>
      </c>
      <c r="E12610" s="2">
        <v>25.95</v>
      </c>
      <c r="F12610" s="2">
        <v>3</v>
      </c>
      <c r="G12610" s="2" t="s">
        <v>10</v>
      </c>
    </row>
    <row r="12611" spans="1:9" x14ac:dyDescent="0.2">
      <c r="A12611" s="2" t="s">
        <v>3519</v>
      </c>
      <c r="B12611" s="2" t="s">
        <v>384</v>
      </c>
      <c r="C12611" s="2">
        <v>453.29160000000002</v>
      </c>
      <c r="D12611" s="2">
        <f>HYPERLINK("http://mcb-m6.bioreg.kyushu-u.ac.jp/M3/20110411/F50896/1053/1", 51.07)</f>
        <v>51.07</v>
      </c>
      <c r="E12611" s="2">
        <v>27.47</v>
      </c>
      <c r="F12611" s="2">
        <v>2</v>
      </c>
      <c r="G12611" s="2" t="s">
        <v>10</v>
      </c>
      <c r="I12611" s="2" t="s">
        <v>4892</v>
      </c>
    </row>
    <row r="12612" spans="1:9" x14ac:dyDescent="0.2">
      <c r="A12612" s="2" t="s">
        <v>3519</v>
      </c>
      <c r="B12612" s="2" t="s">
        <v>1825</v>
      </c>
      <c r="C12612" s="2">
        <v>734.3981</v>
      </c>
      <c r="D12612" s="2">
        <f>HYPERLINK("http://mcb-m6.bioreg.kyushu-u.ac.jp/M3/20110411/F50921/1797/1", 51.75)</f>
        <v>51.75</v>
      </c>
      <c r="E12612" s="2">
        <v>32.08</v>
      </c>
      <c r="F12612" s="2">
        <v>2</v>
      </c>
      <c r="G12612" s="2" t="s">
        <v>10</v>
      </c>
    </row>
    <row r="12613" spans="1:9" x14ac:dyDescent="0.2">
      <c r="A12613" s="2" t="s">
        <v>3519</v>
      </c>
      <c r="B12613" s="2" t="s">
        <v>1825</v>
      </c>
      <c r="C12613" s="2">
        <v>734.03560000000004</v>
      </c>
      <c r="D12613" s="2">
        <f>HYPERLINK("http://mcb-m6.bioreg.kyushu-u.ac.jp/M3/20110411/F50920/1534/1", 53.16)</f>
        <v>53.16</v>
      </c>
      <c r="E12613" s="2">
        <v>34.549999999999997</v>
      </c>
      <c r="F12613" s="2">
        <v>2</v>
      </c>
      <c r="G12613" s="2" t="s">
        <v>10</v>
      </c>
    </row>
    <row r="12614" spans="1:9" x14ac:dyDescent="0.2">
      <c r="A12614" s="2" t="s">
        <v>3519</v>
      </c>
      <c r="B12614" s="2" t="s">
        <v>1825</v>
      </c>
      <c r="C12614" s="2">
        <v>733.79769999999996</v>
      </c>
      <c r="D12614" s="2">
        <f>HYPERLINK("http://mcb-m6.bioreg.kyushu-u.ac.jp/M3/20110411/F50920/1526/1", 53.78)</f>
        <v>53.78</v>
      </c>
      <c r="E12614" s="2">
        <v>31</v>
      </c>
      <c r="F12614" s="2">
        <v>2</v>
      </c>
      <c r="G12614" s="2" t="s">
        <v>10</v>
      </c>
    </row>
    <row r="12615" spans="1:9" x14ac:dyDescent="0.2">
      <c r="A12615" s="2" t="s">
        <v>3519</v>
      </c>
      <c r="B12615" s="2" t="s">
        <v>1763</v>
      </c>
      <c r="C12615" s="2">
        <v>626.02419999999995</v>
      </c>
      <c r="D12615" s="2">
        <f>HYPERLINK("http://mcb-m6.bioreg.kyushu-u.ac.jp/M3/20110411/F50902/1543/1", 54.71)</f>
        <v>54.71</v>
      </c>
      <c r="E12615" s="2">
        <v>28.53</v>
      </c>
      <c r="F12615" s="2">
        <v>2</v>
      </c>
      <c r="G12615" s="2" t="s">
        <v>10</v>
      </c>
      <c r="I12615" s="2" t="s">
        <v>4903</v>
      </c>
    </row>
    <row r="12616" spans="1:9" x14ac:dyDescent="0.2">
      <c r="A12616" s="2" t="s">
        <v>3519</v>
      </c>
      <c r="B12616" s="2" t="s">
        <v>1709</v>
      </c>
      <c r="C12616" s="2">
        <v>881.60419999999999</v>
      </c>
      <c r="D12616" s="2">
        <f>HYPERLINK("http://mcb-m6.bioreg.kyushu-u.ac.jp/M3/20110411/F50897/2684/1", 55.1)</f>
        <v>55.1</v>
      </c>
      <c r="E12616" s="2">
        <v>27.41</v>
      </c>
      <c r="F12616" s="2">
        <v>2</v>
      </c>
      <c r="G12616" s="2" t="s">
        <v>10</v>
      </c>
    </row>
    <row r="12617" spans="1:9" x14ac:dyDescent="0.2">
      <c r="A12617" s="2" t="s">
        <v>3519</v>
      </c>
      <c r="B12617" s="2" t="s">
        <v>1600</v>
      </c>
      <c r="C12617" s="2">
        <v>1068.663</v>
      </c>
      <c r="D12617" s="2">
        <f>HYPERLINK("http://mcb-m6.bioreg.kyushu-u.ac.jp/M3/20110411/F50897/3312/1", 56.13)</f>
        <v>56.13</v>
      </c>
      <c r="E12617" s="2">
        <v>44.19</v>
      </c>
      <c r="F12617" s="2">
        <v>2</v>
      </c>
      <c r="G12617" s="2" t="s">
        <v>10</v>
      </c>
    </row>
    <row r="12618" spans="1:9" x14ac:dyDescent="0.2">
      <c r="A12618" s="2" t="s">
        <v>3519</v>
      </c>
      <c r="B12618" s="2" t="s">
        <v>1825</v>
      </c>
      <c r="C12618" s="2">
        <v>733.75459999999998</v>
      </c>
      <c r="D12618" s="2">
        <f>HYPERLINK("http://mcb-m6.bioreg.kyushu-u.ac.jp/M3/20110411/F50920/1523/1", 56.44)</f>
        <v>56.44</v>
      </c>
      <c r="E12618" s="2">
        <v>35</v>
      </c>
      <c r="F12618" s="2">
        <v>2</v>
      </c>
      <c r="G12618" s="2" t="s">
        <v>10</v>
      </c>
    </row>
    <row r="12619" spans="1:9" x14ac:dyDescent="0.2">
      <c r="A12619" s="2" t="s">
        <v>3519</v>
      </c>
      <c r="B12619" s="2" t="s">
        <v>1825</v>
      </c>
      <c r="C12619" s="2">
        <v>734.41420000000005</v>
      </c>
      <c r="D12619" s="2">
        <f>HYPERLINK("http://mcb-m6.bioreg.kyushu-u.ac.jp/M3/20110411/F50914/2056/1", 56.68)</f>
        <v>56.68</v>
      </c>
      <c r="E12619" s="2">
        <v>35.92</v>
      </c>
      <c r="F12619" s="2">
        <v>2</v>
      </c>
      <c r="G12619" s="2" t="s">
        <v>10</v>
      </c>
    </row>
    <row r="12620" spans="1:9" x14ac:dyDescent="0.2">
      <c r="A12620" s="2" t="s">
        <v>3519</v>
      </c>
      <c r="B12620" s="2" t="s">
        <v>361</v>
      </c>
      <c r="C12620" s="2">
        <v>803.44069999999999</v>
      </c>
      <c r="D12620" s="2">
        <f>HYPERLINK("http://mcb-m6.bioreg.kyushu-u.ac.jp/M3/20110411/F50912/2353/1", 56.98)</f>
        <v>56.98</v>
      </c>
      <c r="E12620" s="2">
        <v>23.14</v>
      </c>
      <c r="F12620" s="2">
        <v>2</v>
      </c>
      <c r="G12620" s="2" t="s">
        <v>10</v>
      </c>
    </row>
    <row r="12621" spans="1:9" x14ac:dyDescent="0.2">
      <c r="A12621" s="2" t="s">
        <v>3519</v>
      </c>
      <c r="B12621" s="2" t="s">
        <v>1825</v>
      </c>
      <c r="C12621" s="2">
        <v>1466.913</v>
      </c>
      <c r="D12621" s="2">
        <f>HYPERLINK("http://mcb-m6.bioreg.kyushu-u.ac.jp/M3/20110411/F50898/2190/1", 57.56)</f>
        <v>57.56</v>
      </c>
      <c r="E12621" s="2">
        <v>40.31</v>
      </c>
      <c r="F12621" s="2">
        <v>1</v>
      </c>
      <c r="G12621" s="2" t="s">
        <v>10</v>
      </c>
    </row>
    <row r="12622" spans="1:9" x14ac:dyDescent="0.2">
      <c r="A12622" s="2" t="s">
        <v>3519</v>
      </c>
      <c r="B12622" s="2" t="s">
        <v>1709</v>
      </c>
      <c r="C12622" s="2">
        <v>1761.9760000000001</v>
      </c>
      <c r="D12622" s="2">
        <f>HYPERLINK("http://mcb-m6.bioreg.kyushu-u.ac.jp/M3/20110411/F50920/2199/1", 59.43)</f>
        <v>59.43</v>
      </c>
      <c r="E12622" s="2">
        <v>37.31</v>
      </c>
      <c r="F12622" s="2">
        <v>1</v>
      </c>
      <c r="G12622" s="2" t="s">
        <v>10</v>
      </c>
    </row>
    <row r="12623" spans="1:9" x14ac:dyDescent="0.2">
      <c r="A12623" s="2" t="s">
        <v>3519</v>
      </c>
      <c r="B12623" s="2" t="s">
        <v>1825</v>
      </c>
      <c r="C12623" s="2">
        <v>734.31709999999998</v>
      </c>
      <c r="D12623" s="2">
        <f>HYPERLINK("http://mcb-m6.bioreg.kyushu-u.ac.jp/M3/20110411/F50920/1539/1", 60.62)</f>
        <v>60.62</v>
      </c>
      <c r="E12623" s="2">
        <v>35.93</v>
      </c>
      <c r="F12623" s="2">
        <v>2</v>
      </c>
      <c r="G12623" s="2" t="s">
        <v>10</v>
      </c>
    </row>
    <row r="12624" spans="1:9" x14ac:dyDescent="0.2">
      <c r="A12624" s="2" t="s">
        <v>3519</v>
      </c>
      <c r="B12624" s="2" t="s">
        <v>1709</v>
      </c>
      <c r="C12624" s="2">
        <v>881.10569999999996</v>
      </c>
      <c r="D12624" s="2">
        <f>HYPERLINK("http://mcb-m6.bioreg.kyushu-u.ac.jp/M3/20110411/F50920/2196/1", 61.04)</f>
        <v>61.04</v>
      </c>
      <c r="E12624" s="2">
        <v>33.380000000000003</v>
      </c>
      <c r="F12624" s="2">
        <v>2</v>
      </c>
      <c r="G12624" s="2" t="s">
        <v>10</v>
      </c>
    </row>
    <row r="12625" spans="1:7" x14ac:dyDescent="0.2">
      <c r="A12625" s="2" t="s">
        <v>3519</v>
      </c>
      <c r="B12625" s="2" t="s">
        <v>1825</v>
      </c>
      <c r="C12625" s="2">
        <v>1466.972</v>
      </c>
      <c r="D12625" s="2">
        <f>HYPERLINK("http://mcb-m6.bioreg.kyushu-u.ac.jp/M3/20110411/F50896/2102/1", 61.11)</f>
        <v>61.11</v>
      </c>
      <c r="E12625" s="2">
        <v>37.32</v>
      </c>
      <c r="F12625" s="2">
        <v>1</v>
      </c>
      <c r="G12625" s="2" t="s">
        <v>10</v>
      </c>
    </row>
    <row r="12626" spans="1:7" x14ac:dyDescent="0.2">
      <c r="A12626" s="2" t="s">
        <v>3519</v>
      </c>
      <c r="B12626" s="2" t="s">
        <v>1825</v>
      </c>
      <c r="C12626" s="2">
        <v>734.0317</v>
      </c>
      <c r="D12626" s="2">
        <f>HYPERLINK("http://mcb-m6.bioreg.kyushu-u.ac.jp/M3/20110411/F50920/1533/1", 62.08)</f>
        <v>62.08</v>
      </c>
      <c r="E12626" s="2">
        <v>32.869999999999997</v>
      </c>
      <c r="F12626" s="2">
        <v>2</v>
      </c>
      <c r="G12626" s="2" t="s">
        <v>10</v>
      </c>
    </row>
    <row r="12627" spans="1:7" x14ac:dyDescent="0.2">
      <c r="A12627" s="2" t="s">
        <v>3519</v>
      </c>
      <c r="B12627" s="2" t="s">
        <v>361</v>
      </c>
      <c r="C12627" s="2">
        <v>803.7192</v>
      </c>
      <c r="D12627" s="2">
        <f>HYPERLINK("http://mcb-m6.bioreg.kyushu-u.ac.jp/M3/20110411/F50897/2329/1", 63.24)</f>
        <v>63.24</v>
      </c>
      <c r="E12627" s="2">
        <v>33.89</v>
      </c>
      <c r="F12627" s="2">
        <v>2</v>
      </c>
      <c r="G12627" s="2" t="s">
        <v>10</v>
      </c>
    </row>
    <row r="12628" spans="1:7" x14ac:dyDescent="0.2">
      <c r="A12628" s="2" t="s">
        <v>3519</v>
      </c>
      <c r="B12628" s="2" t="s">
        <v>361</v>
      </c>
      <c r="C12628" s="2">
        <v>803.51620000000003</v>
      </c>
      <c r="D12628" s="2">
        <f>HYPERLINK("http://mcb-m6.bioreg.kyushu-u.ac.jp/M3/20110411/F50920/1866/1", 63.31)</f>
        <v>63.31</v>
      </c>
      <c r="E12628" s="2">
        <v>35.200000000000003</v>
      </c>
      <c r="F12628" s="2">
        <v>2</v>
      </c>
      <c r="G12628" s="2" t="s">
        <v>10</v>
      </c>
    </row>
    <row r="12629" spans="1:7" x14ac:dyDescent="0.2">
      <c r="A12629" s="2" t="s">
        <v>3519</v>
      </c>
      <c r="B12629" s="2" t="s">
        <v>1709</v>
      </c>
      <c r="C12629" s="2">
        <v>881.86720000000003</v>
      </c>
      <c r="D12629" s="2">
        <f>HYPERLINK("http://mcb-m6.bioreg.kyushu-u.ac.jp/M3/20110411/F50920/2206/1", 63.44)</f>
        <v>63.44</v>
      </c>
      <c r="E12629" s="2">
        <v>44.77</v>
      </c>
      <c r="F12629" s="2">
        <v>2</v>
      </c>
      <c r="G12629" s="2" t="s">
        <v>10</v>
      </c>
    </row>
    <row r="12630" spans="1:7" x14ac:dyDescent="0.2">
      <c r="A12630" s="2" t="s">
        <v>3519</v>
      </c>
      <c r="B12630" s="2" t="s">
        <v>361</v>
      </c>
      <c r="C12630" s="2">
        <v>803.81619999999998</v>
      </c>
      <c r="D12630" s="2">
        <f>HYPERLINK("http://mcb-m6.bioreg.kyushu-u.ac.jp/M3/20110411/F50920/1869/1", 64.94)</f>
        <v>64.94</v>
      </c>
      <c r="E12630" s="2">
        <v>36.67</v>
      </c>
      <c r="F12630" s="2">
        <v>2</v>
      </c>
      <c r="G12630" s="2" t="s">
        <v>10</v>
      </c>
    </row>
    <row r="12631" spans="1:7" x14ac:dyDescent="0.2">
      <c r="A12631" s="2" t="s">
        <v>3519</v>
      </c>
      <c r="B12631" s="2" t="s">
        <v>2034</v>
      </c>
      <c r="C12631" s="2">
        <v>1035.675</v>
      </c>
      <c r="D12631" s="2">
        <f>HYPERLINK("http://mcb-m6.bioreg.kyushu-u.ac.jp/M3/20110411/F50921/3058/1", 64.99)</f>
        <v>64.989999999999995</v>
      </c>
      <c r="E12631" s="2">
        <v>54.58</v>
      </c>
      <c r="F12631" s="2">
        <v>2</v>
      </c>
      <c r="G12631" s="2" t="s">
        <v>10</v>
      </c>
    </row>
    <row r="12632" spans="1:7" x14ac:dyDescent="0.2">
      <c r="A12632" s="2" t="s">
        <v>3519</v>
      </c>
      <c r="B12632" s="2" t="s">
        <v>1709</v>
      </c>
      <c r="C12632" s="2">
        <v>881.63570000000004</v>
      </c>
      <c r="D12632" s="2">
        <f>HYPERLINK("http://mcb-m6.bioreg.kyushu-u.ac.jp/M3/20110411/F50896/2646/1", 65.1)</f>
        <v>65.099999999999994</v>
      </c>
      <c r="E12632" s="2">
        <v>42.26</v>
      </c>
      <c r="F12632" s="2">
        <v>2</v>
      </c>
      <c r="G12632" s="2" t="s">
        <v>10</v>
      </c>
    </row>
    <row r="12633" spans="1:7" x14ac:dyDescent="0.2">
      <c r="A12633" s="2" t="s">
        <v>3519</v>
      </c>
      <c r="B12633" s="2" t="s">
        <v>1825</v>
      </c>
      <c r="C12633" s="2">
        <v>734.21969999999999</v>
      </c>
      <c r="D12633" s="2">
        <f>HYPERLINK("http://mcb-m6.bioreg.kyushu-u.ac.jp/M3/20110411/F50920/1538/1", 65.36)</f>
        <v>65.36</v>
      </c>
      <c r="E12633" s="2">
        <v>37.89</v>
      </c>
      <c r="F12633" s="2">
        <v>2</v>
      </c>
      <c r="G12633" s="2" t="s">
        <v>10</v>
      </c>
    </row>
    <row r="12634" spans="1:7" x14ac:dyDescent="0.2">
      <c r="A12634" s="2" t="s">
        <v>3519</v>
      </c>
      <c r="B12634" s="2" t="s">
        <v>1825</v>
      </c>
      <c r="C12634" s="2">
        <v>733.99469999999997</v>
      </c>
      <c r="D12634" s="2">
        <f>HYPERLINK("http://mcb-m6.bioreg.kyushu-u.ac.jp/M3/20110411/F50897/1932/1", 65.42)</f>
        <v>65.42</v>
      </c>
      <c r="E12634" s="2">
        <v>44.36</v>
      </c>
      <c r="F12634" s="2">
        <v>2</v>
      </c>
      <c r="G12634" s="2" t="s">
        <v>10</v>
      </c>
    </row>
    <row r="12635" spans="1:7" x14ac:dyDescent="0.2">
      <c r="A12635" s="2" t="s">
        <v>3519</v>
      </c>
      <c r="B12635" s="2" t="s">
        <v>1825</v>
      </c>
      <c r="C12635" s="2">
        <v>1466.7</v>
      </c>
      <c r="D12635" s="2">
        <f>HYPERLINK("http://mcb-m6.bioreg.kyushu-u.ac.jp/M3/20110411/F50920/1529/1", 65.75)</f>
        <v>65.75</v>
      </c>
      <c r="E12635" s="2">
        <v>46.78</v>
      </c>
      <c r="F12635" s="2">
        <v>1</v>
      </c>
      <c r="G12635" s="2" t="s">
        <v>10</v>
      </c>
    </row>
    <row r="12636" spans="1:7" x14ac:dyDescent="0.2">
      <c r="A12636" s="2" t="s">
        <v>3519</v>
      </c>
      <c r="B12636" s="2" t="s">
        <v>361</v>
      </c>
      <c r="C12636" s="2">
        <v>803.44370000000004</v>
      </c>
      <c r="D12636" s="2">
        <f>HYPERLINK("http://mcb-m6.bioreg.kyushu-u.ac.jp/M3/20110411/F50918/2192/1", 67.47)</f>
        <v>67.47</v>
      </c>
      <c r="E12636" s="2">
        <v>49.57</v>
      </c>
      <c r="F12636" s="2">
        <v>2</v>
      </c>
      <c r="G12636" s="2" t="s">
        <v>10</v>
      </c>
    </row>
    <row r="12637" spans="1:7" x14ac:dyDescent="0.2">
      <c r="A12637" s="2" t="s">
        <v>3519</v>
      </c>
      <c r="B12637" s="2" t="s">
        <v>1825</v>
      </c>
      <c r="C12637" s="2">
        <v>733.77970000000005</v>
      </c>
      <c r="D12637" s="2">
        <f>HYPERLINK("http://mcb-m6.bioreg.kyushu-u.ac.jp/M3/20110411/F50920/1524/1", 67.9)</f>
        <v>67.900000000000006</v>
      </c>
      <c r="E12637" s="2">
        <v>35.44</v>
      </c>
      <c r="F12637" s="2">
        <v>2</v>
      </c>
      <c r="G12637" s="2" t="s">
        <v>10</v>
      </c>
    </row>
    <row r="12638" spans="1:7" x14ac:dyDescent="0.2">
      <c r="A12638" s="2" t="s">
        <v>3519</v>
      </c>
      <c r="B12638" s="2" t="s">
        <v>1825</v>
      </c>
      <c r="C12638" s="2">
        <v>733.86109999999996</v>
      </c>
      <c r="D12638" s="2">
        <f>HYPERLINK("http://mcb-m6.bioreg.kyushu-u.ac.jp/M3/20110411/F50920/1530/1", 68.78)</f>
        <v>68.78</v>
      </c>
      <c r="E12638" s="2">
        <v>35.85</v>
      </c>
      <c r="F12638" s="2">
        <v>2</v>
      </c>
      <c r="G12638" s="2" t="s">
        <v>10</v>
      </c>
    </row>
    <row r="12639" spans="1:7" x14ac:dyDescent="0.2">
      <c r="A12639" s="2" t="s">
        <v>3519</v>
      </c>
      <c r="B12639" s="2" t="s">
        <v>1825</v>
      </c>
      <c r="C12639" s="2">
        <v>734.03769999999997</v>
      </c>
      <c r="D12639" s="2">
        <f>HYPERLINK("http://mcb-m6.bioreg.kyushu-u.ac.jp/M3/20110411/F50920/1535/1", 69.03)</f>
        <v>69.03</v>
      </c>
      <c r="E12639" s="2">
        <v>45.79</v>
      </c>
      <c r="F12639" s="2">
        <v>2</v>
      </c>
      <c r="G12639" s="2" t="s">
        <v>10</v>
      </c>
    </row>
    <row r="12640" spans="1:7" x14ac:dyDescent="0.2">
      <c r="A12640" s="2" t="s">
        <v>3519</v>
      </c>
      <c r="B12640" s="2" t="s">
        <v>1709</v>
      </c>
      <c r="C12640" s="2">
        <v>881.72810000000004</v>
      </c>
      <c r="D12640" s="2">
        <f>HYPERLINK("http://mcb-m6.bioreg.kyushu-u.ac.jp/M3/20110411/F50899/2620/1", 69.24)</f>
        <v>69.239999999999995</v>
      </c>
      <c r="E12640" s="2">
        <v>48.04</v>
      </c>
      <c r="F12640" s="2">
        <v>2</v>
      </c>
      <c r="G12640" s="2" t="s">
        <v>10</v>
      </c>
    </row>
    <row r="12641" spans="1:8" x14ac:dyDescent="0.2">
      <c r="A12641" s="2" t="s">
        <v>3519</v>
      </c>
      <c r="B12641" s="2" t="s">
        <v>2056</v>
      </c>
      <c r="C12641" s="2">
        <v>1047.854</v>
      </c>
      <c r="D12641" s="2">
        <f>HYPERLINK("http://mcb-m6.bioreg.kyushu-u.ac.jp/M3/20110411/F50920/3927/1", 69.9)</f>
        <v>69.900000000000006</v>
      </c>
      <c r="E12641" s="2">
        <v>47.58</v>
      </c>
      <c r="F12641" s="2">
        <v>3</v>
      </c>
      <c r="G12641" s="2" t="s">
        <v>10</v>
      </c>
      <c r="H12641" s="2" t="s">
        <v>4917</v>
      </c>
    </row>
    <row r="12642" spans="1:8" x14ac:dyDescent="0.2">
      <c r="A12642" s="2" t="s">
        <v>3519</v>
      </c>
      <c r="B12642" s="2" t="s">
        <v>1825</v>
      </c>
      <c r="C12642" s="2">
        <v>734.02869999999996</v>
      </c>
      <c r="D12642" s="2">
        <f>HYPERLINK("http://mcb-m6.bioreg.kyushu-u.ac.jp/M3/20110411/F50918/1852/1", 69.96)</f>
        <v>69.959999999999994</v>
      </c>
      <c r="E12642" s="2">
        <v>36.950000000000003</v>
      </c>
      <c r="F12642" s="2">
        <v>2</v>
      </c>
      <c r="G12642" s="2" t="s">
        <v>10</v>
      </c>
    </row>
    <row r="12643" spans="1:8" x14ac:dyDescent="0.2">
      <c r="A12643" s="2" t="s">
        <v>3519</v>
      </c>
      <c r="B12643" s="2" t="s">
        <v>1818</v>
      </c>
      <c r="C12643" s="2">
        <v>798.16060000000004</v>
      </c>
      <c r="D12643" s="2">
        <f>HYPERLINK("http://mcb-m6.bioreg.kyushu-u.ac.jp/M3/20110411/F50920/1838/1", 70.43)</f>
        <v>70.430000000000007</v>
      </c>
      <c r="E12643" s="2">
        <v>51.46</v>
      </c>
      <c r="F12643" s="2">
        <v>2</v>
      </c>
      <c r="G12643" s="2" t="s">
        <v>10</v>
      </c>
    </row>
    <row r="12644" spans="1:8" x14ac:dyDescent="0.2">
      <c r="A12644" s="2" t="s">
        <v>3519</v>
      </c>
      <c r="B12644" s="2" t="s">
        <v>1709</v>
      </c>
      <c r="C12644" s="2">
        <v>881.97170000000006</v>
      </c>
      <c r="D12644" s="2">
        <f>HYPERLINK("http://mcb-m6.bioreg.kyushu-u.ac.jp/M3/20110411/F50921/2421/1", 70.57)</f>
        <v>70.569999999999993</v>
      </c>
      <c r="E12644" s="2">
        <v>51.75</v>
      </c>
      <c r="F12644" s="2">
        <v>2</v>
      </c>
      <c r="G12644" s="2" t="s">
        <v>10</v>
      </c>
    </row>
    <row r="12645" spans="1:8" x14ac:dyDescent="0.2">
      <c r="A12645" s="2" t="s">
        <v>3519</v>
      </c>
      <c r="B12645" s="2" t="s">
        <v>1709</v>
      </c>
      <c r="C12645" s="2">
        <v>881.52419999999995</v>
      </c>
      <c r="D12645" s="2">
        <f>HYPERLINK("http://mcb-m6.bioreg.kyushu-u.ac.jp/M3/20110411/F50896/2644/1", 70.75)</f>
        <v>70.75</v>
      </c>
      <c r="E12645" s="2">
        <v>51.03</v>
      </c>
      <c r="F12645" s="2">
        <v>2</v>
      </c>
      <c r="G12645" s="2" t="s">
        <v>10</v>
      </c>
    </row>
    <row r="12646" spans="1:8" x14ac:dyDescent="0.2">
      <c r="A12646" s="2" t="s">
        <v>3519</v>
      </c>
      <c r="B12646" s="2" t="s">
        <v>361</v>
      </c>
      <c r="C12646" s="2">
        <v>803.56619999999998</v>
      </c>
      <c r="D12646" s="2">
        <f>HYPERLINK("http://mcb-m6.bioreg.kyushu-u.ac.jp/M3/20110411/F50920/1868/1", 71.99)</f>
        <v>71.989999999999995</v>
      </c>
      <c r="E12646" s="2">
        <v>34.380000000000003</v>
      </c>
      <c r="F12646" s="2">
        <v>2</v>
      </c>
      <c r="G12646" s="2" t="s">
        <v>10</v>
      </c>
    </row>
    <row r="12647" spans="1:8" x14ac:dyDescent="0.2">
      <c r="A12647" s="2" t="s">
        <v>3519</v>
      </c>
      <c r="B12647" s="2" t="s">
        <v>1709</v>
      </c>
      <c r="C12647" s="2">
        <v>881.75570000000005</v>
      </c>
      <c r="D12647" s="2">
        <f>HYPERLINK("http://mcb-m6.bioreg.kyushu-u.ac.jp/M3/20110411/F50920/2205/1", 72.45)</f>
        <v>72.45</v>
      </c>
      <c r="E12647" s="2">
        <v>43.65</v>
      </c>
      <c r="F12647" s="2">
        <v>2</v>
      </c>
      <c r="G12647" s="2" t="s">
        <v>10</v>
      </c>
    </row>
    <row r="12648" spans="1:8" x14ac:dyDescent="0.2">
      <c r="A12648" s="2" t="s">
        <v>3519</v>
      </c>
      <c r="B12648" s="2" t="s">
        <v>1709</v>
      </c>
      <c r="C12648" s="2">
        <v>881.58810000000005</v>
      </c>
      <c r="D12648" s="2">
        <f>HYPERLINK("http://mcb-m6.bioreg.kyushu-u.ac.jp/M3/20110411/F50920/2200/1", 72.57)</f>
        <v>72.569999999999993</v>
      </c>
      <c r="E12648" s="2">
        <v>52.8</v>
      </c>
      <c r="F12648" s="2">
        <v>2</v>
      </c>
      <c r="G12648" s="2" t="s">
        <v>10</v>
      </c>
    </row>
    <row r="12649" spans="1:8" x14ac:dyDescent="0.2">
      <c r="A12649" s="2" t="s">
        <v>3519</v>
      </c>
      <c r="B12649" s="2" t="s">
        <v>361</v>
      </c>
      <c r="C12649" s="2">
        <v>803.44759999999997</v>
      </c>
      <c r="D12649" s="2">
        <f>HYPERLINK("http://mcb-m6.bioreg.kyushu-u.ac.jp/M3/20110411/F50920/1864/1", 72.67)</f>
        <v>72.67</v>
      </c>
      <c r="E12649" s="2">
        <v>46.95</v>
      </c>
      <c r="F12649" s="2">
        <v>2</v>
      </c>
      <c r="G12649" s="2" t="s">
        <v>10</v>
      </c>
    </row>
    <row r="12650" spans="1:8" x14ac:dyDescent="0.2">
      <c r="A12650" s="2" t="s">
        <v>3519</v>
      </c>
      <c r="B12650" s="2" t="s">
        <v>1709</v>
      </c>
      <c r="C12650" s="2">
        <v>881.69420000000002</v>
      </c>
      <c r="D12650" s="2">
        <f>HYPERLINK("http://mcb-m6.bioreg.kyushu-u.ac.jp/M3/20110411/F50920/2204/1", 73.62)</f>
        <v>73.62</v>
      </c>
      <c r="E12650" s="2">
        <v>55.08</v>
      </c>
      <c r="F12650" s="2">
        <v>2</v>
      </c>
      <c r="G12650" s="2" t="s">
        <v>10</v>
      </c>
    </row>
    <row r="12651" spans="1:8" x14ac:dyDescent="0.2">
      <c r="A12651" s="2" t="s">
        <v>3519</v>
      </c>
      <c r="B12651" s="2" t="s">
        <v>1709</v>
      </c>
      <c r="C12651" s="2">
        <v>881.62869999999998</v>
      </c>
      <c r="D12651" s="2">
        <f>HYPERLINK("http://mcb-m6.bioreg.kyushu-u.ac.jp/M3/20110411/F50920/2201/1", 74.24)</f>
        <v>74.239999999999995</v>
      </c>
      <c r="E12651" s="2">
        <v>48.08</v>
      </c>
      <c r="F12651" s="2">
        <v>2</v>
      </c>
      <c r="G12651" s="2" t="s">
        <v>10</v>
      </c>
    </row>
    <row r="12652" spans="1:8" x14ac:dyDescent="0.2">
      <c r="A12652" s="2" t="s">
        <v>3519</v>
      </c>
      <c r="B12652" s="2" t="s">
        <v>1709</v>
      </c>
      <c r="C12652" s="2">
        <v>881.87620000000004</v>
      </c>
      <c r="D12652" s="2">
        <f>HYPERLINK("http://mcb-m6.bioreg.kyushu-u.ac.jp/M3/20110411/F50896/2647/1", 74.52)</f>
        <v>74.52</v>
      </c>
      <c r="E12652" s="2">
        <v>54.9</v>
      </c>
      <c r="F12652" s="2">
        <v>2</v>
      </c>
      <c r="G12652" s="2" t="s">
        <v>10</v>
      </c>
    </row>
    <row r="12653" spans="1:8" x14ac:dyDescent="0.2">
      <c r="A12653" s="2" t="s">
        <v>3519</v>
      </c>
      <c r="B12653" s="2" t="s">
        <v>1709</v>
      </c>
      <c r="C12653" s="2">
        <v>881.69069999999999</v>
      </c>
      <c r="D12653" s="2">
        <f>HYPERLINK("http://mcb-m6.bioreg.kyushu-u.ac.jp/M3/20110411/F50920/2203/1", 74.67)</f>
        <v>74.67</v>
      </c>
      <c r="E12653" s="2">
        <v>41.31</v>
      </c>
      <c r="F12653" s="2">
        <v>2</v>
      </c>
      <c r="G12653" s="2" t="s">
        <v>10</v>
      </c>
    </row>
    <row r="12654" spans="1:8" x14ac:dyDescent="0.2">
      <c r="A12654" s="2" t="s">
        <v>3519</v>
      </c>
      <c r="B12654" s="2" t="s">
        <v>1709</v>
      </c>
      <c r="C12654" s="2">
        <v>881.68470000000002</v>
      </c>
      <c r="D12654" s="2">
        <f>HYPERLINK("http://mcb-m6.bioreg.kyushu-u.ac.jp/M3/20110411/F50920/2202/1", 75.17)</f>
        <v>75.17</v>
      </c>
      <c r="E12654" s="2">
        <v>50.18</v>
      </c>
      <c r="F12654" s="2">
        <v>2</v>
      </c>
      <c r="G12654" s="2" t="s">
        <v>10</v>
      </c>
    </row>
    <row r="12655" spans="1:8" x14ac:dyDescent="0.2">
      <c r="A12655" s="2" t="s">
        <v>3519</v>
      </c>
      <c r="B12655" s="2" t="s">
        <v>361</v>
      </c>
      <c r="C12655" s="2">
        <v>803.70259999999996</v>
      </c>
      <c r="D12655" s="2">
        <f>HYPERLINK("http://mcb-m6.bioreg.kyushu-u.ac.jp/M3/20110411/F50896/2395/1", 76.27)</f>
        <v>76.27</v>
      </c>
      <c r="E12655" s="2">
        <v>51.22</v>
      </c>
      <c r="F12655" s="2">
        <v>2</v>
      </c>
      <c r="G12655" s="2" t="s">
        <v>10</v>
      </c>
    </row>
    <row r="12656" spans="1:8" x14ac:dyDescent="0.2">
      <c r="A12656" s="2" t="s">
        <v>3519</v>
      </c>
      <c r="B12656" s="2" t="s">
        <v>1709</v>
      </c>
      <c r="C12656" s="2">
        <v>881.64570000000003</v>
      </c>
      <c r="D12656" s="2">
        <f>HYPERLINK("http://mcb-m6.bioreg.kyushu-u.ac.jp/M3/20110411/F50901/2616/1", 76.42)</f>
        <v>76.42</v>
      </c>
      <c r="E12656" s="2">
        <v>55.3</v>
      </c>
      <c r="F12656" s="2">
        <v>2</v>
      </c>
      <c r="G12656" s="2" t="s">
        <v>10</v>
      </c>
    </row>
    <row r="12657" spans="1:7" x14ac:dyDescent="0.2">
      <c r="A12657" s="2" t="s">
        <v>3519</v>
      </c>
      <c r="B12657" s="2" t="s">
        <v>1709</v>
      </c>
      <c r="C12657" s="2">
        <v>881.72170000000006</v>
      </c>
      <c r="D12657" s="2">
        <f>HYPERLINK("http://mcb-m6.bioreg.kyushu-u.ac.jp/M3/20110411/F50912/2666/1", 76.81)</f>
        <v>76.81</v>
      </c>
      <c r="E12657" s="2">
        <v>49.41</v>
      </c>
      <c r="F12657" s="2">
        <v>2</v>
      </c>
      <c r="G12657" s="2" t="s">
        <v>10</v>
      </c>
    </row>
    <row r="12658" spans="1:7" x14ac:dyDescent="0.2">
      <c r="A12658" s="2" t="s">
        <v>3519</v>
      </c>
      <c r="B12658" s="2" t="s">
        <v>1825</v>
      </c>
      <c r="C12658" s="2">
        <v>733.8691</v>
      </c>
      <c r="D12658" s="2">
        <f>HYPERLINK("http://mcb-m6.bioreg.kyushu-u.ac.jp/M3/20110411/F50920/1531/1", 77.45)</f>
        <v>77.45</v>
      </c>
      <c r="E12658" s="2">
        <v>52.18</v>
      </c>
      <c r="F12658" s="2">
        <v>2</v>
      </c>
      <c r="G12658" s="2" t="s">
        <v>10</v>
      </c>
    </row>
    <row r="12659" spans="1:7" x14ac:dyDescent="0.2">
      <c r="A12659" s="2" t="s">
        <v>3519</v>
      </c>
      <c r="B12659" s="2" t="s">
        <v>1825</v>
      </c>
      <c r="C12659" s="2">
        <v>734.09770000000003</v>
      </c>
      <c r="D12659" s="2">
        <f>HYPERLINK("http://mcb-m6.bioreg.kyushu-u.ac.jp/M3/20110411/F50901/2002/1", 78.56)</f>
        <v>78.56</v>
      </c>
      <c r="E12659" s="2">
        <v>52.32</v>
      </c>
      <c r="F12659" s="2">
        <v>2</v>
      </c>
      <c r="G12659" s="2" t="s">
        <v>10</v>
      </c>
    </row>
    <row r="12660" spans="1:7" x14ac:dyDescent="0.2">
      <c r="A12660" s="2" t="s">
        <v>3519</v>
      </c>
      <c r="B12660" s="2" t="s">
        <v>1825</v>
      </c>
      <c r="C12660" s="2">
        <v>734.09559999999999</v>
      </c>
      <c r="D12660" s="2">
        <f>HYPERLINK("http://mcb-m6.bioreg.kyushu-u.ac.jp/M3/20110411/F50920/1537/1", 78.59)</f>
        <v>78.59</v>
      </c>
      <c r="E12660" s="2">
        <v>46.21</v>
      </c>
      <c r="F12660" s="2">
        <v>2</v>
      </c>
      <c r="G12660" s="2" t="s">
        <v>10</v>
      </c>
    </row>
    <row r="12661" spans="1:7" x14ac:dyDescent="0.2">
      <c r="A12661" s="2" t="s">
        <v>3519</v>
      </c>
      <c r="B12661" s="2" t="s">
        <v>1709</v>
      </c>
      <c r="C12661" s="2">
        <v>881.51070000000004</v>
      </c>
      <c r="D12661" s="2">
        <f>HYPERLINK("http://mcb-m6.bioreg.kyushu-u.ac.jp/M3/20110411/F50917/2796/1", 78.78)</f>
        <v>78.78</v>
      </c>
      <c r="E12661" s="2">
        <v>60.15</v>
      </c>
      <c r="F12661" s="2">
        <v>2</v>
      </c>
      <c r="G12661" s="2" t="s">
        <v>10</v>
      </c>
    </row>
    <row r="12662" spans="1:7" x14ac:dyDescent="0.2">
      <c r="A12662" s="2" t="s">
        <v>3519</v>
      </c>
      <c r="B12662" s="2" t="s">
        <v>1600</v>
      </c>
      <c r="C12662" s="2">
        <v>1069.029</v>
      </c>
      <c r="D12662" s="2">
        <f>HYPERLINK("http://mcb-m6.bioreg.kyushu-u.ac.jp/M3/20110411/F50913/3355/1", 79.4)</f>
        <v>79.400000000000006</v>
      </c>
      <c r="E12662" s="2">
        <v>66.849999999999994</v>
      </c>
      <c r="F12662" s="2">
        <v>2</v>
      </c>
      <c r="G12662" s="2" t="s">
        <v>10</v>
      </c>
    </row>
    <row r="12663" spans="1:7" x14ac:dyDescent="0.2">
      <c r="A12663" s="2" t="s">
        <v>3519</v>
      </c>
      <c r="B12663" s="2" t="s">
        <v>1825</v>
      </c>
      <c r="C12663" s="2">
        <v>734.19870000000003</v>
      </c>
      <c r="D12663" s="2">
        <f>HYPERLINK("http://mcb-m6.bioreg.kyushu-u.ac.jp/M3/20110411/F50896/2103/1", 79.75)</f>
        <v>79.75</v>
      </c>
      <c r="E12663" s="2">
        <v>48.43</v>
      </c>
      <c r="F12663" s="2">
        <v>2</v>
      </c>
      <c r="G12663" s="2" t="s">
        <v>10</v>
      </c>
    </row>
    <row r="12664" spans="1:7" x14ac:dyDescent="0.2">
      <c r="A12664" s="2" t="s">
        <v>3519</v>
      </c>
      <c r="B12664" s="2" t="s">
        <v>1825</v>
      </c>
      <c r="C12664" s="2">
        <v>733.96770000000004</v>
      </c>
      <c r="D12664" s="2">
        <f>HYPERLINK("http://mcb-m6.bioreg.kyushu-u.ac.jp/M3/20110411/F50921/1795/1", 80.9)</f>
        <v>80.900000000000006</v>
      </c>
      <c r="E12664" s="2">
        <v>55.71</v>
      </c>
      <c r="F12664" s="2">
        <v>2</v>
      </c>
      <c r="G12664" s="2" t="s">
        <v>10</v>
      </c>
    </row>
    <row r="12665" spans="1:7" x14ac:dyDescent="0.2">
      <c r="A12665" s="2" t="s">
        <v>3519</v>
      </c>
      <c r="B12665" s="2" t="s">
        <v>1709</v>
      </c>
      <c r="C12665" s="2">
        <v>881.66819999999996</v>
      </c>
      <c r="D12665" s="2">
        <f>HYPERLINK("http://mcb-m6.bioreg.kyushu-u.ac.jp/M3/20110411/F50900/2661/1", 81.48)</f>
        <v>81.48</v>
      </c>
      <c r="E12665" s="2">
        <v>60.49</v>
      </c>
      <c r="F12665" s="2">
        <v>2</v>
      </c>
      <c r="G12665" s="2" t="s">
        <v>10</v>
      </c>
    </row>
    <row r="12666" spans="1:7" x14ac:dyDescent="0.2">
      <c r="A12666" s="2" t="s">
        <v>3519</v>
      </c>
      <c r="B12666" s="2" t="s">
        <v>2034</v>
      </c>
      <c r="C12666" s="2">
        <v>1035.8710000000001</v>
      </c>
      <c r="D12666" s="2">
        <f>HYPERLINK("http://mcb-m6.bioreg.kyushu-u.ac.jp/M3/20110411/F50920/2831/1", 81.64)</f>
        <v>81.64</v>
      </c>
      <c r="E12666" s="2">
        <v>66.22</v>
      </c>
      <c r="F12666" s="2">
        <v>2</v>
      </c>
      <c r="G12666" s="2" t="s">
        <v>10</v>
      </c>
    </row>
    <row r="12667" spans="1:7" x14ac:dyDescent="0.2">
      <c r="A12667" s="2" t="s">
        <v>3519</v>
      </c>
      <c r="B12667" s="2" t="s">
        <v>2034</v>
      </c>
      <c r="C12667" s="2">
        <v>1035.546</v>
      </c>
      <c r="D12667" s="2">
        <f>HYPERLINK("http://mcb-m6.bioreg.kyushu-u.ac.jp/M3/20110411/F50920/2828/1", 81.83)</f>
        <v>81.83</v>
      </c>
      <c r="E12667" s="2">
        <v>66.47</v>
      </c>
      <c r="F12667" s="2">
        <v>2</v>
      </c>
      <c r="G12667" s="2" t="s">
        <v>10</v>
      </c>
    </row>
    <row r="12668" spans="1:7" x14ac:dyDescent="0.2">
      <c r="A12668" s="2" t="s">
        <v>3519</v>
      </c>
      <c r="B12668" s="2" t="s">
        <v>1825</v>
      </c>
      <c r="C12668" s="2">
        <v>733.79610000000002</v>
      </c>
      <c r="D12668" s="2">
        <f>HYPERLINK("http://mcb-m6.bioreg.kyushu-u.ac.jp/M3/20110411/F50920/1525/1", 83.62)</f>
        <v>83.62</v>
      </c>
      <c r="E12668" s="2">
        <v>52.52</v>
      </c>
      <c r="F12668" s="2">
        <v>2</v>
      </c>
      <c r="G12668" s="2" t="s">
        <v>10</v>
      </c>
    </row>
    <row r="12669" spans="1:7" x14ac:dyDescent="0.2">
      <c r="A12669" s="2" t="s">
        <v>3519</v>
      </c>
      <c r="B12669" s="2" t="s">
        <v>361</v>
      </c>
      <c r="C12669" s="2">
        <v>803.2527</v>
      </c>
      <c r="D12669" s="2">
        <f>HYPERLINK("http://mcb-m6.bioreg.kyushu-u.ac.jp/M3/20110411/F50898/2470/1", 83.9)</f>
        <v>83.9</v>
      </c>
      <c r="E12669" s="2">
        <v>61.78</v>
      </c>
      <c r="F12669" s="2">
        <v>2</v>
      </c>
      <c r="G12669" s="2" t="s">
        <v>10</v>
      </c>
    </row>
    <row r="12670" spans="1:7" x14ac:dyDescent="0.2">
      <c r="A12670" s="2" t="s">
        <v>3519</v>
      </c>
      <c r="B12670" s="2" t="s">
        <v>2034</v>
      </c>
      <c r="C12670" s="2">
        <v>1035.6210000000001</v>
      </c>
      <c r="D12670" s="2">
        <f>HYPERLINK("http://mcb-m6.bioreg.kyushu-u.ac.jp/M3/20110411/F50920/2830/1", 85.35)</f>
        <v>85.35</v>
      </c>
      <c r="E12670" s="2">
        <v>72.62</v>
      </c>
      <c r="F12670" s="2">
        <v>2</v>
      </c>
      <c r="G12670" s="2" t="s">
        <v>10</v>
      </c>
    </row>
    <row r="12671" spans="1:7" x14ac:dyDescent="0.2">
      <c r="A12671" s="2" t="s">
        <v>3519</v>
      </c>
      <c r="B12671" s="2" t="s">
        <v>1709</v>
      </c>
      <c r="C12671" s="2">
        <v>881.79269999999997</v>
      </c>
      <c r="D12671" s="2">
        <f>HYPERLINK("http://mcb-m6.bioreg.kyushu-u.ac.jp/M3/20110411/F50918/2539/1", 86.96)</f>
        <v>86.96</v>
      </c>
      <c r="E12671" s="2">
        <v>67.19</v>
      </c>
      <c r="F12671" s="2">
        <v>2</v>
      </c>
      <c r="G12671" s="2" t="s">
        <v>10</v>
      </c>
    </row>
    <row r="12672" spans="1:7" x14ac:dyDescent="0.2">
      <c r="A12672" s="2" t="s">
        <v>3519</v>
      </c>
      <c r="B12672" s="2" t="s">
        <v>1825</v>
      </c>
      <c r="C12672" s="2">
        <v>734.31920000000002</v>
      </c>
      <c r="D12672" s="2">
        <f>HYPERLINK("http://mcb-m6.bioreg.kyushu-u.ac.jp/M3/20110411/F50920/1540/1", 87.74)</f>
        <v>87.74</v>
      </c>
      <c r="E12672" s="2">
        <v>57.45</v>
      </c>
      <c r="F12672" s="2">
        <v>2</v>
      </c>
      <c r="G12672" s="2" t="s">
        <v>10</v>
      </c>
    </row>
    <row r="12673" spans="1:9" x14ac:dyDescent="0.2">
      <c r="A12673" s="2" t="s">
        <v>3519</v>
      </c>
      <c r="B12673" s="2" t="s">
        <v>2123</v>
      </c>
      <c r="C12673" s="2">
        <v>1499.479</v>
      </c>
      <c r="D12673" s="2">
        <f>HYPERLINK("http://mcb-m6.bioreg.kyushu-u.ac.jp/M3/20110411/F50920/3840/1", 88.45)</f>
        <v>88.45</v>
      </c>
      <c r="E12673" s="2">
        <v>78.2</v>
      </c>
      <c r="F12673" s="2">
        <v>2</v>
      </c>
      <c r="G12673" s="2" t="s">
        <v>10</v>
      </c>
    </row>
    <row r="12674" spans="1:9" x14ac:dyDescent="0.2">
      <c r="A12674" s="2" t="s">
        <v>3519</v>
      </c>
      <c r="B12674" s="2" t="s">
        <v>1825</v>
      </c>
      <c r="C12674" s="2">
        <v>734.34770000000003</v>
      </c>
      <c r="D12674" s="2">
        <f>HYPERLINK("http://mcb-m6.bioreg.kyushu-u.ac.jp/M3/20110411/F50920/1541/1", 91.2)</f>
        <v>91.2</v>
      </c>
      <c r="E12674" s="2">
        <v>67.78</v>
      </c>
      <c r="F12674" s="2">
        <v>2</v>
      </c>
      <c r="G12674" s="2" t="s">
        <v>10</v>
      </c>
    </row>
    <row r="12675" spans="1:9" x14ac:dyDescent="0.2">
      <c r="A12675" s="2" t="s">
        <v>3519</v>
      </c>
      <c r="B12675" s="2" t="s">
        <v>1825</v>
      </c>
      <c r="C12675" s="2">
        <v>733.89469999999994</v>
      </c>
      <c r="D12675" s="2">
        <f>HYPERLINK("http://mcb-m6.bioreg.kyushu-u.ac.jp/M3/20110411/F50900/2101/1", 91.99)</f>
        <v>91.99</v>
      </c>
      <c r="E12675" s="2">
        <v>59.47</v>
      </c>
      <c r="F12675" s="2">
        <v>2</v>
      </c>
      <c r="G12675" s="2" t="s">
        <v>10</v>
      </c>
    </row>
    <row r="12676" spans="1:9" x14ac:dyDescent="0.2">
      <c r="A12676" s="2" t="s">
        <v>3519</v>
      </c>
      <c r="B12676" s="2" t="s">
        <v>2034</v>
      </c>
      <c r="C12676" s="2">
        <v>1035.722</v>
      </c>
      <c r="D12676" s="2">
        <f>HYPERLINK("http://mcb-m6.bioreg.kyushu-u.ac.jp/M3/20110411/F50896/3013/1", 92.28)</f>
        <v>92.28</v>
      </c>
      <c r="E12676" s="2">
        <v>76.2</v>
      </c>
      <c r="F12676" s="2">
        <v>2</v>
      </c>
      <c r="G12676" s="2" t="s">
        <v>10</v>
      </c>
    </row>
    <row r="12677" spans="1:9" x14ac:dyDescent="0.2">
      <c r="A12677" s="2" t="s">
        <v>3519</v>
      </c>
      <c r="B12677" s="2" t="s">
        <v>1600</v>
      </c>
      <c r="C12677" s="2">
        <v>1068.7719999999999</v>
      </c>
      <c r="D12677" s="2">
        <f>HYPERLINK("http://mcb-m6.bioreg.kyushu-u.ac.jp/M3/20110411/F50921/3125/1", 106.19)</f>
        <v>106.19</v>
      </c>
      <c r="E12677" s="2">
        <v>88.44</v>
      </c>
      <c r="F12677" s="2">
        <v>2</v>
      </c>
      <c r="G12677" s="2" t="s">
        <v>10</v>
      </c>
    </row>
    <row r="12678" spans="1:9" x14ac:dyDescent="0.2">
      <c r="A12678" s="2" t="s">
        <v>3519</v>
      </c>
      <c r="B12678" s="2" t="s">
        <v>2123</v>
      </c>
      <c r="C12678" s="2">
        <v>1507.6659999999999</v>
      </c>
      <c r="D12678" s="2">
        <f>HYPERLINK("http://mcb-m6.bioreg.kyushu-u.ac.jp/M3/20110411/F50920/3852/1", 113.25)</f>
        <v>113.25</v>
      </c>
      <c r="E12678" s="2">
        <v>104.29</v>
      </c>
      <c r="F12678" s="2">
        <v>2</v>
      </c>
      <c r="G12678" s="2" t="s">
        <v>10</v>
      </c>
      <c r="H12678" s="2" t="s">
        <v>4917</v>
      </c>
    </row>
    <row r="12679" spans="1:9" x14ac:dyDescent="0.2">
      <c r="A12679" s="2" t="s">
        <v>3519</v>
      </c>
      <c r="B12679" s="2" t="s">
        <v>1600</v>
      </c>
      <c r="C12679" s="2">
        <v>1068.8030000000001</v>
      </c>
      <c r="D12679" s="2">
        <f>HYPERLINK("http://mcb-m6.bioreg.kyushu-u.ac.jp/M3/20110411/F50920/2949/1", 123.54)</f>
        <v>123.54</v>
      </c>
      <c r="E12679" s="2">
        <v>107.92</v>
      </c>
      <c r="F12679" s="2">
        <v>2</v>
      </c>
      <c r="G12679" s="2" t="s">
        <v>10</v>
      </c>
    </row>
    <row r="12680" spans="1:9" x14ac:dyDescent="0.2">
      <c r="A12680" s="2" t="s">
        <v>3519</v>
      </c>
      <c r="B12680" s="2" t="s">
        <v>1600</v>
      </c>
      <c r="C12680" s="2">
        <v>1068.9100000000001</v>
      </c>
      <c r="D12680" s="2">
        <f>HYPERLINK("http://mcb-m6.bioreg.kyushu-u.ac.jp/M3/20110411/F50896/3060/1", 127.71)</f>
        <v>127.71</v>
      </c>
      <c r="E12680" s="2">
        <v>108.53</v>
      </c>
      <c r="F12680" s="2">
        <v>2</v>
      </c>
      <c r="G12680" s="2" t="s">
        <v>10</v>
      </c>
    </row>
    <row r="12681" spans="1:9" x14ac:dyDescent="0.2">
      <c r="A12681" s="2" t="s">
        <v>3519</v>
      </c>
      <c r="B12681" s="2" t="s">
        <v>384</v>
      </c>
      <c r="C12681" s="2">
        <v>905.38800000000003</v>
      </c>
      <c r="D12681" s="2">
        <f>HYPERLINK("http://mcb-m6.bioreg.kyushu-u.ac.jp/M3/20110414/F50925/1216/1", 45.32)</f>
        <v>45.32</v>
      </c>
      <c r="E12681" s="2">
        <v>30.72</v>
      </c>
      <c r="F12681" s="2">
        <v>1</v>
      </c>
      <c r="G12681" s="2" t="s">
        <v>11</v>
      </c>
      <c r="I12681" s="2" t="s">
        <v>4892</v>
      </c>
    </row>
    <row r="12682" spans="1:9" x14ac:dyDescent="0.2">
      <c r="A12682" s="2" t="s">
        <v>3519</v>
      </c>
      <c r="B12682" s="2" t="s">
        <v>361</v>
      </c>
      <c r="C12682" s="2">
        <v>803.30470000000003</v>
      </c>
      <c r="D12682" s="2">
        <f>HYPERLINK("http://mcb-m6.bioreg.kyushu-u.ac.jp/M3/20110414/F50925/2456/1", 48.99)</f>
        <v>48.99</v>
      </c>
      <c r="E12682" s="2">
        <v>27.32</v>
      </c>
      <c r="F12682" s="2">
        <v>2</v>
      </c>
      <c r="G12682" s="2" t="s">
        <v>11</v>
      </c>
    </row>
    <row r="12683" spans="1:9" x14ac:dyDescent="0.2">
      <c r="A12683" s="2" t="s">
        <v>3519</v>
      </c>
      <c r="B12683" s="2" t="s">
        <v>2527</v>
      </c>
      <c r="C12683" s="2">
        <v>465.63909999999998</v>
      </c>
      <c r="D12683" s="2">
        <f>HYPERLINK("http://mcb-m6.bioreg.kyushu-u.ac.jp/M3/20110414/F50966/782/1", 35.8)</f>
        <v>35.799999999999997</v>
      </c>
      <c r="E12683" s="2">
        <v>8.2200000000000006</v>
      </c>
      <c r="F12683" s="2">
        <v>2</v>
      </c>
      <c r="G12683" s="2" t="s">
        <v>12</v>
      </c>
    </row>
    <row r="12684" spans="1:9" x14ac:dyDescent="0.2">
      <c r="A12684" s="2" t="s">
        <v>3519</v>
      </c>
      <c r="B12684" s="2" t="s">
        <v>1825</v>
      </c>
      <c r="C12684" s="2">
        <v>733.53020000000004</v>
      </c>
      <c r="D12684" s="2">
        <f>HYPERLINK("http://mcb-m6.bioreg.kyushu-u.ac.jp/M3/20110414/F50966/1823/1", 35.83)</f>
        <v>35.83</v>
      </c>
      <c r="E12684" s="2">
        <v>13.95</v>
      </c>
      <c r="F12684" s="2">
        <v>2</v>
      </c>
      <c r="G12684" s="2" t="s">
        <v>12</v>
      </c>
    </row>
    <row r="12685" spans="1:9" x14ac:dyDescent="0.2">
      <c r="A12685" s="2" t="s">
        <v>3519</v>
      </c>
      <c r="B12685" s="2" t="s">
        <v>361</v>
      </c>
      <c r="C12685" s="2">
        <v>803.17269999999996</v>
      </c>
      <c r="D12685" s="2">
        <f>HYPERLINK("http://mcb-m6.bioreg.kyushu-u.ac.jp/M3/20110414/F50948/2494/1", 35.91)</f>
        <v>35.909999999999997</v>
      </c>
      <c r="E12685" s="2">
        <v>10.74</v>
      </c>
      <c r="F12685" s="2">
        <v>2</v>
      </c>
      <c r="G12685" s="2" t="s">
        <v>12</v>
      </c>
    </row>
    <row r="12686" spans="1:9" x14ac:dyDescent="0.2">
      <c r="A12686" s="2" t="s">
        <v>3519</v>
      </c>
      <c r="B12686" s="2" t="s">
        <v>1825</v>
      </c>
      <c r="C12686" s="2">
        <v>733.79420000000005</v>
      </c>
      <c r="D12686" s="2">
        <f>HYPERLINK("http://mcb-m6.bioreg.kyushu-u.ac.jp/M3/20110414/F50966/1831/1", 36.19)</f>
        <v>36.19</v>
      </c>
      <c r="E12686" s="2">
        <v>12.84</v>
      </c>
      <c r="F12686" s="2">
        <v>2</v>
      </c>
      <c r="G12686" s="2" t="s">
        <v>12</v>
      </c>
    </row>
    <row r="12687" spans="1:9" x14ac:dyDescent="0.2">
      <c r="A12687" s="2" t="s">
        <v>3519</v>
      </c>
      <c r="B12687" s="2" t="s">
        <v>384</v>
      </c>
      <c r="C12687" s="2">
        <v>453.71159999999998</v>
      </c>
      <c r="D12687" s="2">
        <f>HYPERLINK("http://mcb-m6.bioreg.kyushu-u.ac.jp/M3/20110414/F50966/706/1", 36.86)</f>
        <v>36.86</v>
      </c>
      <c r="E12687" s="2">
        <v>14.77</v>
      </c>
      <c r="F12687" s="2">
        <v>2</v>
      </c>
      <c r="G12687" s="2" t="s">
        <v>12</v>
      </c>
      <c r="I12687" s="2" t="s">
        <v>4892</v>
      </c>
    </row>
    <row r="12688" spans="1:9" x14ac:dyDescent="0.2">
      <c r="A12688" s="2" t="s">
        <v>3519</v>
      </c>
      <c r="B12688" s="2" t="s">
        <v>361</v>
      </c>
      <c r="C12688" s="2">
        <v>803.28809999999999</v>
      </c>
      <c r="D12688" s="2">
        <f>HYPERLINK("http://mcb-m6.bioreg.kyushu-u.ac.jp/M3/20110414/F50947/2406/1", 36.95)</f>
        <v>36.950000000000003</v>
      </c>
      <c r="E12688" s="2">
        <v>15.47</v>
      </c>
      <c r="F12688" s="2">
        <v>2</v>
      </c>
      <c r="G12688" s="2" t="s">
        <v>12</v>
      </c>
    </row>
    <row r="12689" spans="1:9" x14ac:dyDescent="0.2">
      <c r="A12689" s="2" t="s">
        <v>3519</v>
      </c>
      <c r="B12689" s="2" t="s">
        <v>1709</v>
      </c>
      <c r="C12689" s="2">
        <v>881.70320000000004</v>
      </c>
      <c r="D12689" s="2">
        <f>HYPERLINK("http://mcb-m6.bioreg.kyushu-u.ac.jp/M3/20110414/F50930/2495/1", 37.18)</f>
        <v>37.18</v>
      </c>
      <c r="E12689" s="2">
        <v>13.76</v>
      </c>
      <c r="F12689" s="2">
        <v>2</v>
      </c>
      <c r="G12689" s="2" t="s">
        <v>12</v>
      </c>
    </row>
    <row r="12690" spans="1:9" x14ac:dyDescent="0.2">
      <c r="A12690" s="2" t="s">
        <v>3519</v>
      </c>
      <c r="B12690" s="2" t="s">
        <v>384</v>
      </c>
      <c r="C12690" s="2">
        <v>453.29860000000002</v>
      </c>
      <c r="D12690" s="2">
        <f>HYPERLINK("http://mcb-m6.bioreg.kyushu-u.ac.jp/M3/20110414/F50966/703/1", 38.25)</f>
        <v>38.25</v>
      </c>
      <c r="E12690" s="2">
        <v>17.809999999999999</v>
      </c>
      <c r="F12690" s="2">
        <v>2</v>
      </c>
      <c r="G12690" s="2" t="s">
        <v>12</v>
      </c>
      <c r="I12690" s="2" t="s">
        <v>4892</v>
      </c>
    </row>
    <row r="12691" spans="1:9" x14ac:dyDescent="0.2">
      <c r="A12691" s="2" t="s">
        <v>3519</v>
      </c>
      <c r="B12691" s="2" t="s">
        <v>384</v>
      </c>
      <c r="C12691" s="2">
        <v>905.38699999999994</v>
      </c>
      <c r="D12691" s="2">
        <f>HYPERLINK("http://mcb-m6.bioreg.kyushu-u.ac.jp/M3/20110414/F50930/1589/1", 38.29)</f>
        <v>38.29</v>
      </c>
      <c r="E12691" s="2">
        <v>20.100000000000001</v>
      </c>
      <c r="F12691" s="2">
        <v>1</v>
      </c>
      <c r="G12691" s="2" t="s">
        <v>12</v>
      </c>
      <c r="I12691" s="2" t="s">
        <v>4892</v>
      </c>
    </row>
    <row r="12692" spans="1:9" x14ac:dyDescent="0.2">
      <c r="A12692" s="2" t="s">
        <v>3519</v>
      </c>
      <c r="B12692" s="2" t="s">
        <v>384</v>
      </c>
      <c r="C12692" s="2">
        <v>453.50409999999999</v>
      </c>
      <c r="D12692" s="2">
        <f>HYPERLINK("http://mcb-m6.bioreg.kyushu-u.ac.jp/M3/20110414/F50966/705/1", 38.68)</f>
        <v>38.68</v>
      </c>
      <c r="E12692" s="2">
        <v>22.66</v>
      </c>
      <c r="F12692" s="2">
        <v>2</v>
      </c>
      <c r="G12692" s="2" t="s">
        <v>12</v>
      </c>
      <c r="I12692" s="2" t="s">
        <v>4892</v>
      </c>
    </row>
    <row r="12693" spans="1:9" x14ac:dyDescent="0.2">
      <c r="A12693" s="2" t="s">
        <v>3519</v>
      </c>
      <c r="B12693" s="2" t="s">
        <v>1709</v>
      </c>
      <c r="C12693" s="2">
        <v>881.24770000000001</v>
      </c>
      <c r="D12693" s="2">
        <f>HYPERLINK("http://mcb-m6.bioreg.kyushu-u.ac.jp/M3/20110414/F50966/2388/1", 38.97)</f>
        <v>38.97</v>
      </c>
      <c r="E12693" s="2">
        <v>19.600000000000001</v>
      </c>
      <c r="F12693" s="2">
        <v>2</v>
      </c>
      <c r="G12693" s="2" t="s">
        <v>12</v>
      </c>
    </row>
    <row r="12694" spans="1:9" x14ac:dyDescent="0.2">
      <c r="A12694" s="2" t="s">
        <v>3519</v>
      </c>
      <c r="B12694" s="2" t="s">
        <v>384</v>
      </c>
      <c r="C12694" s="2">
        <v>453.68759999999997</v>
      </c>
      <c r="D12694" s="2">
        <f>HYPERLINK("http://mcb-m6.bioreg.kyushu-u.ac.jp/M3/20110414/F50934/1533/1", 39.35)</f>
        <v>39.35</v>
      </c>
      <c r="E12694" s="2">
        <v>20.440000000000001</v>
      </c>
      <c r="F12694" s="2">
        <v>2</v>
      </c>
      <c r="G12694" s="2" t="s">
        <v>12</v>
      </c>
      <c r="I12694" s="2" t="s">
        <v>4892</v>
      </c>
    </row>
    <row r="12695" spans="1:9" x14ac:dyDescent="0.2">
      <c r="A12695" s="2" t="s">
        <v>3519</v>
      </c>
      <c r="B12695" s="2" t="s">
        <v>1763</v>
      </c>
      <c r="C12695" s="2">
        <v>626.02560000000005</v>
      </c>
      <c r="D12695" s="2">
        <f>HYPERLINK("http://mcb-m6.bioreg.kyushu-u.ac.jp/M3/20110414/F50966/1365/1", 39.52)</f>
        <v>39.520000000000003</v>
      </c>
      <c r="E12695" s="2">
        <v>16.829999999999998</v>
      </c>
      <c r="F12695" s="2">
        <v>2</v>
      </c>
      <c r="G12695" s="2" t="s">
        <v>12</v>
      </c>
      <c r="I12695" s="2" t="s">
        <v>4903</v>
      </c>
    </row>
    <row r="12696" spans="1:9" x14ac:dyDescent="0.2">
      <c r="A12696" s="2" t="s">
        <v>3519</v>
      </c>
      <c r="B12696" s="2" t="s">
        <v>1709</v>
      </c>
      <c r="C12696" s="2">
        <v>881.61069999999995</v>
      </c>
      <c r="D12696" s="2">
        <f>HYPERLINK("http://mcb-m6.bioreg.kyushu-u.ac.jp/M3/20110414/F50950/2922/1", 40.18)</f>
        <v>40.18</v>
      </c>
      <c r="E12696" s="2">
        <v>19.82</v>
      </c>
      <c r="F12696" s="2">
        <v>2</v>
      </c>
      <c r="G12696" s="2" t="s">
        <v>12</v>
      </c>
    </row>
    <row r="12697" spans="1:9" x14ac:dyDescent="0.2">
      <c r="A12697" s="2" t="s">
        <v>3519</v>
      </c>
      <c r="B12697" s="2" t="s">
        <v>1825</v>
      </c>
      <c r="C12697" s="2">
        <v>734.13210000000004</v>
      </c>
      <c r="D12697" s="2">
        <f>HYPERLINK("http://mcb-m6.bioreg.kyushu-u.ac.jp/M3/20110414/F50966/1835/1", 41.21)</f>
        <v>41.21</v>
      </c>
      <c r="E12697" s="2">
        <v>22.43</v>
      </c>
      <c r="F12697" s="2">
        <v>2</v>
      </c>
      <c r="G12697" s="2" t="s">
        <v>12</v>
      </c>
    </row>
    <row r="12698" spans="1:9" x14ac:dyDescent="0.2">
      <c r="A12698" s="2" t="s">
        <v>3519</v>
      </c>
      <c r="B12698" s="2" t="s">
        <v>384</v>
      </c>
      <c r="C12698" s="2">
        <v>453.7516</v>
      </c>
      <c r="D12698" s="2">
        <f>HYPERLINK("http://mcb-m6.bioreg.kyushu-u.ac.jp/M3/20110414/F50946/833/1", 41.59)</f>
        <v>41.59</v>
      </c>
      <c r="E12698" s="2">
        <v>27.12</v>
      </c>
      <c r="F12698" s="2">
        <v>2</v>
      </c>
      <c r="G12698" s="2" t="s">
        <v>12</v>
      </c>
      <c r="I12698" s="2" t="s">
        <v>4892</v>
      </c>
    </row>
    <row r="12699" spans="1:9" x14ac:dyDescent="0.2">
      <c r="A12699" s="2" t="s">
        <v>3519</v>
      </c>
      <c r="B12699" s="2" t="s">
        <v>384</v>
      </c>
      <c r="C12699" s="2">
        <v>452.95359999999999</v>
      </c>
      <c r="D12699" s="2">
        <f>HYPERLINK("http://mcb-m6.bioreg.kyushu-u.ac.jp/M3/20110414/F50966/697/1", 42.34)</f>
        <v>42.34</v>
      </c>
      <c r="E12699" s="2">
        <v>20.27</v>
      </c>
      <c r="F12699" s="2">
        <v>2</v>
      </c>
      <c r="G12699" s="2" t="s">
        <v>12</v>
      </c>
      <c r="I12699" s="2" t="s">
        <v>4892</v>
      </c>
    </row>
    <row r="12700" spans="1:9" x14ac:dyDescent="0.2">
      <c r="A12700" s="2" t="s">
        <v>3519</v>
      </c>
      <c r="B12700" s="2" t="s">
        <v>384</v>
      </c>
      <c r="C12700" s="2">
        <v>452.9221</v>
      </c>
      <c r="D12700" s="2">
        <f>HYPERLINK("http://mcb-m6.bioreg.kyushu-u.ac.jp/M3/20110414/F50966/695/1", 42.37)</f>
        <v>42.37</v>
      </c>
      <c r="E12700" s="2">
        <v>23.33</v>
      </c>
      <c r="F12700" s="2">
        <v>2</v>
      </c>
      <c r="G12700" s="2" t="s">
        <v>12</v>
      </c>
      <c r="I12700" s="2" t="s">
        <v>4892</v>
      </c>
    </row>
    <row r="12701" spans="1:9" x14ac:dyDescent="0.2">
      <c r="A12701" s="2" t="s">
        <v>3519</v>
      </c>
      <c r="B12701" s="2" t="s">
        <v>384</v>
      </c>
      <c r="C12701" s="2">
        <v>453.41410000000002</v>
      </c>
      <c r="D12701" s="2">
        <f>HYPERLINK("http://mcb-m6.bioreg.kyushu-u.ac.jp/M3/20110414/F50966/704/1", 42.43)</f>
        <v>42.43</v>
      </c>
      <c r="E12701" s="2">
        <v>23.57</v>
      </c>
      <c r="F12701" s="2">
        <v>2</v>
      </c>
      <c r="G12701" s="2" t="s">
        <v>12</v>
      </c>
      <c r="I12701" s="2" t="s">
        <v>4892</v>
      </c>
    </row>
    <row r="12702" spans="1:9" x14ac:dyDescent="0.2">
      <c r="A12702" s="2" t="s">
        <v>3519</v>
      </c>
      <c r="B12702" s="2" t="s">
        <v>1818</v>
      </c>
      <c r="C12702" s="2">
        <v>532.59990000000005</v>
      </c>
      <c r="D12702" s="2">
        <f>HYPERLINK("http://mcb-m6.bioreg.kyushu-u.ac.jp/M3/20110414/F50966/2102/1", 42.8)</f>
        <v>42.8</v>
      </c>
      <c r="E12702" s="2">
        <v>28.03</v>
      </c>
      <c r="F12702" s="2">
        <v>3</v>
      </c>
      <c r="G12702" s="2" t="s">
        <v>12</v>
      </c>
    </row>
    <row r="12703" spans="1:9" x14ac:dyDescent="0.2">
      <c r="A12703" s="2" t="s">
        <v>3519</v>
      </c>
      <c r="B12703" s="2" t="s">
        <v>384</v>
      </c>
      <c r="C12703" s="2">
        <v>905.39099999999996</v>
      </c>
      <c r="D12703" s="2">
        <f>HYPERLINK("http://mcb-m6.bioreg.kyushu-u.ac.jp/M3/20110414/F50930/1590/1", 43.6)</f>
        <v>43.6</v>
      </c>
      <c r="E12703" s="2">
        <v>37.96</v>
      </c>
      <c r="F12703" s="2">
        <v>1</v>
      </c>
      <c r="G12703" s="2" t="s">
        <v>12</v>
      </c>
      <c r="I12703" s="2" t="s">
        <v>4892</v>
      </c>
    </row>
    <row r="12704" spans="1:9" x14ac:dyDescent="0.2">
      <c r="A12704" s="2" t="s">
        <v>3519</v>
      </c>
      <c r="B12704" s="2" t="s">
        <v>384</v>
      </c>
      <c r="C12704" s="2">
        <v>905.16099999999994</v>
      </c>
      <c r="D12704" s="2">
        <f>HYPERLINK("http://mcb-m6.bioreg.kyushu-u.ac.jp/M3/20110414/F50966/702/1", 44.03)</f>
        <v>44.03</v>
      </c>
      <c r="E12704" s="2">
        <v>31.41</v>
      </c>
      <c r="F12704" s="2">
        <v>1</v>
      </c>
      <c r="G12704" s="2" t="s">
        <v>12</v>
      </c>
      <c r="I12704" s="2" t="s">
        <v>4892</v>
      </c>
    </row>
    <row r="12705" spans="1:9" x14ac:dyDescent="0.2">
      <c r="A12705" s="2" t="s">
        <v>3519</v>
      </c>
      <c r="B12705" s="2" t="s">
        <v>361</v>
      </c>
      <c r="C12705" s="2">
        <v>1605.4939999999999</v>
      </c>
      <c r="D12705" s="2">
        <f>HYPERLINK("http://mcb-m6.bioreg.kyushu-u.ac.jp/M3/20110414/F50966/2137/1", 44.53)</f>
        <v>44.53</v>
      </c>
      <c r="E12705" s="2">
        <v>19.399999999999999</v>
      </c>
      <c r="F12705" s="2">
        <v>1</v>
      </c>
      <c r="G12705" s="2" t="s">
        <v>12</v>
      </c>
    </row>
    <row r="12706" spans="1:9" x14ac:dyDescent="0.2">
      <c r="A12706" s="2" t="s">
        <v>3519</v>
      </c>
      <c r="B12706" s="2" t="s">
        <v>384</v>
      </c>
      <c r="C12706" s="2">
        <v>905.30399999999997</v>
      </c>
      <c r="D12706" s="2">
        <f>HYPERLINK("http://mcb-m6.bioreg.kyushu-u.ac.jp/M3/20110414/F50931/1934/1", 44.96)</f>
        <v>44.96</v>
      </c>
      <c r="E12706" s="2">
        <v>37.51</v>
      </c>
      <c r="F12706" s="2">
        <v>1</v>
      </c>
      <c r="G12706" s="2" t="s">
        <v>12</v>
      </c>
      <c r="I12706" s="2" t="s">
        <v>4892</v>
      </c>
    </row>
    <row r="12707" spans="1:9" x14ac:dyDescent="0.2">
      <c r="A12707" s="2" t="s">
        <v>3519</v>
      </c>
      <c r="B12707" s="2" t="s">
        <v>384</v>
      </c>
      <c r="C12707" s="2">
        <v>905.47500000000002</v>
      </c>
      <c r="D12707" s="2">
        <f>HYPERLINK("http://mcb-m6.bioreg.kyushu-u.ac.jp/M3/20110414/F50933/1248/1", 45.01)</f>
        <v>45.01</v>
      </c>
      <c r="E12707" s="2">
        <v>33.14</v>
      </c>
      <c r="F12707" s="2">
        <v>1</v>
      </c>
      <c r="G12707" s="2" t="s">
        <v>12</v>
      </c>
      <c r="I12707" s="2" t="s">
        <v>4892</v>
      </c>
    </row>
    <row r="12708" spans="1:9" x14ac:dyDescent="0.2">
      <c r="A12708" s="2" t="s">
        <v>3519</v>
      </c>
      <c r="B12708" s="2" t="s">
        <v>1825</v>
      </c>
      <c r="C12708" s="2">
        <v>734.38509999999997</v>
      </c>
      <c r="D12708" s="2">
        <f>HYPERLINK("http://mcb-m6.bioreg.kyushu-u.ac.jp/M3/20110414/F50933/2366/1", 45.06)</f>
        <v>45.06</v>
      </c>
      <c r="E12708" s="2">
        <v>24.77</v>
      </c>
      <c r="F12708" s="2">
        <v>2</v>
      </c>
      <c r="G12708" s="2" t="s">
        <v>12</v>
      </c>
    </row>
    <row r="12709" spans="1:9" x14ac:dyDescent="0.2">
      <c r="A12709" s="2" t="s">
        <v>3519</v>
      </c>
      <c r="B12709" s="2" t="s">
        <v>384</v>
      </c>
      <c r="C12709" s="2">
        <v>905.28800000000001</v>
      </c>
      <c r="D12709" s="2">
        <f>HYPERLINK("http://mcb-m6.bioreg.kyushu-u.ac.jp/M3/20110414/F50932/1514/1", 45.12)</f>
        <v>45.12</v>
      </c>
      <c r="E12709" s="2">
        <v>33.82</v>
      </c>
      <c r="F12709" s="2">
        <v>1</v>
      </c>
      <c r="G12709" s="2" t="s">
        <v>12</v>
      </c>
      <c r="I12709" s="2" t="s">
        <v>4892</v>
      </c>
    </row>
    <row r="12710" spans="1:9" x14ac:dyDescent="0.2">
      <c r="A12710" s="2" t="s">
        <v>3519</v>
      </c>
      <c r="B12710" s="2" t="s">
        <v>384</v>
      </c>
      <c r="C12710" s="2">
        <v>905.48500000000001</v>
      </c>
      <c r="D12710" s="2">
        <f>HYPERLINK("http://mcb-m6.bioreg.kyushu-u.ac.jp/M3/20110414/F50934/1532/1", 45.14)</f>
        <v>45.14</v>
      </c>
      <c r="E12710" s="2">
        <v>33.450000000000003</v>
      </c>
      <c r="F12710" s="2">
        <v>1</v>
      </c>
      <c r="G12710" s="2" t="s">
        <v>12</v>
      </c>
      <c r="I12710" s="2" t="s">
        <v>4892</v>
      </c>
    </row>
    <row r="12711" spans="1:9" x14ac:dyDescent="0.2">
      <c r="A12711" s="2" t="s">
        <v>3519</v>
      </c>
      <c r="B12711" s="2" t="s">
        <v>384</v>
      </c>
      <c r="C12711" s="2">
        <v>905.43399999999997</v>
      </c>
      <c r="D12711" s="2">
        <f>HYPERLINK("http://mcb-m6.bioreg.kyushu-u.ac.jp/M3/20110414/F50946/830/1", 45.4)</f>
        <v>45.4</v>
      </c>
      <c r="E12711" s="2">
        <v>30.52</v>
      </c>
      <c r="F12711" s="2">
        <v>1</v>
      </c>
      <c r="G12711" s="2" t="s">
        <v>12</v>
      </c>
      <c r="I12711" s="2" t="s">
        <v>4892</v>
      </c>
    </row>
    <row r="12712" spans="1:9" x14ac:dyDescent="0.2">
      <c r="A12712" s="2" t="s">
        <v>3519</v>
      </c>
      <c r="B12712" s="2" t="s">
        <v>384</v>
      </c>
      <c r="C12712" s="2">
        <v>905.39700000000005</v>
      </c>
      <c r="D12712" s="2">
        <f>HYPERLINK("http://mcb-m6.bioreg.kyushu-u.ac.jp/M3/20110414/F50931/1936/1", 45.4)</f>
        <v>45.4</v>
      </c>
      <c r="E12712" s="2">
        <v>28.12</v>
      </c>
      <c r="F12712" s="2">
        <v>1</v>
      </c>
      <c r="G12712" s="2" t="s">
        <v>12</v>
      </c>
      <c r="I12712" s="2" t="s">
        <v>4892</v>
      </c>
    </row>
    <row r="12713" spans="1:9" x14ac:dyDescent="0.2">
      <c r="A12713" s="2" t="s">
        <v>3519</v>
      </c>
      <c r="B12713" s="2" t="s">
        <v>361</v>
      </c>
      <c r="C12713" s="2">
        <v>803.26009999999997</v>
      </c>
      <c r="D12713" s="2">
        <f>HYPERLINK("http://mcb-m6.bioreg.kyushu-u.ac.jp/M3/20110414/F50933/2703/1", 48.24)</f>
        <v>48.24</v>
      </c>
      <c r="E12713" s="2">
        <v>29.53</v>
      </c>
      <c r="F12713" s="2">
        <v>2</v>
      </c>
      <c r="G12713" s="2" t="s">
        <v>12</v>
      </c>
    </row>
    <row r="12714" spans="1:9" x14ac:dyDescent="0.2">
      <c r="A12714" s="2" t="s">
        <v>3519</v>
      </c>
      <c r="B12714" s="2" t="s">
        <v>361</v>
      </c>
      <c r="C12714" s="2">
        <v>803.81269999999995</v>
      </c>
      <c r="D12714" s="2">
        <f>HYPERLINK("http://mcb-m6.bioreg.kyushu-u.ac.jp/M3/20110414/F50930/2408/1", 48.77)</f>
        <v>48.77</v>
      </c>
      <c r="E12714" s="2">
        <v>24.98</v>
      </c>
      <c r="F12714" s="2">
        <v>2</v>
      </c>
      <c r="G12714" s="2" t="s">
        <v>12</v>
      </c>
    </row>
    <row r="12715" spans="1:9" x14ac:dyDescent="0.2">
      <c r="A12715" s="2" t="s">
        <v>3519</v>
      </c>
      <c r="B12715" s="2" t="s">
        <v>1709</v>
      </c>
      <c r="C12715" s="2">
        <v>881.97519999999997</v>
      </c>
      <c r="D12715" s="2">
        <f>HYPERLINK("http://mcb-m6.bioreg.kyushu-u.ac.jp/M3/20110414/F50947/2801/1", 48.95)</f>
        <v>48.95</v>
      </c>
      <c r="E12715" s="2">
        <v>30.4</v>
      </c>
      <c r="F12715" s="2">
        <v>2</v>
      </c>
      <c r="G12715" s="2" t="s">
        <v>12</v>
      </c>
    </row>
    <row r="12716" spans="1:9" x14ac:dyDescent="0.2">
      <c r="A12716" s="2" t="s">
        <v>3519</v>
      </c>
      <c r="B12716" s="2" t="s">
        <v>1825</v>
      </c>
      <c r="C12716" s="2">
        <v>734.29169999999999</v>
      </c>
      <c r="D12716" s="2">
        <f>HYPERLINK("http://mcb-m6.bioreg.kyushu-u.ac.jp/M3/20110414/F50930/2189/1", 50.71)</f>
        <v>50.71</v>
      </c>
      <c r="E12716" s="2">
        <v>24.78</v>
      </c>
      <c r="F12716" s="2">
        <v>2</v>
      </c>
      <c r="G12716" s="2" t="s">
        <v>12</v>
      </c>
    </row>
    <row r="12717" spans="1:9" x14ac:dyDescent="0.2">
      <c r="A12717" s="2" t="s">
        <v>3519</v>
      </c>
      <c r="B12717" s="2" t="s">
        <v>384</v>
      </c>
      <c r="C12717" s="2">
        <v>452.99209999999999</v>
      </c>
      <c r="D12717" s="2">
        <f>HYPERLINK("http://mcb-m6.bioreg.kyushu-u.ac.jp/M3/20110414/F50966/698/1", 50.89)</f>
        <v>50.89</v>
      </c>
      <c r="E12717" s="2">
        <v>24.59</v>
      </c>
      <c r="F12717" s="2">
        <v>2</v>
      </c>
      <c r="G12717" s="2" t="s">
        <v>12</v>
      </c>
      <c r="I12717" s="2" t="s">
        <v>4892</v>
      </c>
    </row>
    <row r="12718" spans="1:9" x14ac:dyDescent="0.2">
      <c r="A12718" s="2" t="s">
        <v>3519</v>
      </c>
      <c r="B12718" s="2" t="s">
        <v>1825</v>
      </c>
      <c r="C12718" s="2">
        <v>734.37220000000002</v>
      </c>
      <c r="D12718" s="2">
        <f>HYPERLINK("http://mcb-m6.bioreg.kyushu-u.ac.jp/M3/20110414/F50932/2264/1", 51.06)</f>
        <v>51.06</v>
      </c>
      <c r="E12718" s="2">
        <v>24.72</v>
      </c>
      <c r="F12718" s="2">
        <v>2</v>
      </c>
      <c r="G12718" s="2" t="s">
        <v>12</v>
      </c>
    </row>
    <row r="12719" spans="1:9" x14ac:dyDescent="0.2">
      <c r="A12719" s="2" t="s">
        <v>3519</v>
      </c>
      <c r="B12719" s="2" t="s">
        <v>361</v>
      </c>
      <c r="C12719" s="2">
        <v>803.15219999999999</v>
      </c>
      <c r="D12719" s="2">
        <f>HYPERLINK("http://mcb-m6.bioreg.kyushu-u.ac.jp/M3/20110414/F50930/2403/1", 52.28)</f>
        <v>52.28</v>
      </c>
      <c r="E12719" s="2">
        <v>22.7</v>
      </c>
      <c r="F12719" s="2">
        <v>2</v>
      </c>
      <c r="G12719" s="2" t="s">
        <v>12</v>
      </c>
    </row>
    <row r="12720" spans="1:9" x14ac:dyDescent="0.2">
      <c r="A12720" s="2" t="s">
        <v>3519</v>
      </c>
      <c r="B12720" s="2" t="s">
        <v>1763</v>
      </c>
      <c r="C12720" s="2">
        <v>626.17269999999996</v>
      </c>
      <c r="D12720" s="2">
        <f>HYPERLINK("http://mcb-m6.bioreg.kyushu-u.ac.jp/M3/20110414/F50966/1366/1", 53.57)</f>
        <v>53.57</v>
      </c>
      <c r="E12720" s="2">
        <v>25.55</v>
      </c>
      <c r="F12720" s="2">
        <v>2</v>
      </c>
      <c r="G12720" s="2" t="s">
        <v>12</v>
      </c>
      <c r="I12720" s="2" t="s">
        <v>4903</v>
      </c>
    </row>
    <row r="12721" spans="1:9" x14ac:dyDescent="0.2">
      <c r="A12721" s="2" t="s">
        <v>3519</v>
      </c>
      <c r="B12721" s="2" t="s">
        <v>361</v>
      </c>
      <c r="C12721" s="2">
        <v>803.1617</v>
      </c>
      <c r="D12721" s="2">
        <f>HYPERLINK("http://mcb-m6.bioreg.kyushu-u.ac.jp/M3/20110414/F50931/2309/1", 53.82)</f>
        <v>53.82</v>
      </c>
      <c r="E12721" s="2">
        <v>26.76</v>
      </c>
      <c r="F12721" s="2">
        <v>2</v>
      </c>
      <c r="G12721" s="2" t="s">
        <v>12</v>
      </c>
    </row>
    <row r="12722" spans="1:9" x14ac:dyDescent="0.2">
      <c r="A12722" s="2" t="s">
        <v>3519</v>
      </c>
      <c r="B12722" s="2" t="s">
        <v>361</v>
      </c>
      <c r="C12722" s="2">
        <v>803.19960000000003</v>
      </c>
      <c r="D12722" s="2">
        <f>HYPERLINK("http://mcb-m6.bioreg.kyushu-u.ac.jp/M3/20110414/F50959/2318/1", 55.04)</f>
        <v>55.04</v>
      </c>
      <c r="E12722" s="2">
        <v>33.909999999999997</v>
      </c>
      <c r="F12722" s="2">
        <v>2</v>
      </c>
      <c r="G12722" s="2" t="s">
        <v>12</v>
      </c>
    </row>
    <row r="12723" spans="1:9" x14ac:dyDescent="0.2">
      <c r="A12723" s="2" t="s">
        <v>3519</v>
      </c>
      <c r="B12723" s="2" t="s">
        <v>1763</v>
      </c>
      <c r="C12723" s="2">
        <v>625.72019999999998</v>
      </c>
      <c r="D12723" s="2">
        <f>HYPERLINK("http://mcb-m6.bioreg.kyushu-u.ac.jp/M3/20110414/F50966/1364/1", 55.76)</f>
        <v>55.76</v>
      </c>
      <c r="E12723" s="2">
        <v>34.549999999999997</v>
      </c>
      <c r="F12723" s="2">
        <v>2</v>
      </c>
      <c r="G12723" s="2" t="s">
        <v>12</v>
      </c>
      <c r="I12723" s="2" t="s">
        <v>4903</v>
      </c>
    </row>
    <row r="12724" spans="1:9" x14ac:dyDescent="0.2">
      <c r="A12724" s="2" t="s">
        <v>3519</v>
      </c>
      <c r="B12724" s="2" t="s">
        <v>1825</v>
      </c>
      <c r="C12724" s="2">
        <v>733.60469999999998</v>
      </c>
      <c r="D12724" s="2">
        <f>HYPERLINK("http://mcb-m6.bioreg.kyushu-u.ac.jp/M3/20110414/F50966/1826/1", 56.79)</f>
        <v>56.79</v>
      </c>
      <c r="E12724" s="2">
        <v>37.17</v>
      </c>
      <c r="F12724" s="2">
        <v>2</v>
      </c>
      <c r="G12724" s="2" t="s">
        <v>12</v>
      </c>
    </row>
    <row r="12725" spans="1:9" x14ac:dyDescent="0.2">
      <c r="A12725" s="2" t="s">
        <v>3519</v>
      </c>
      <c r="B12725" s="2" t="s">
        <v>1825</v>
      </c>
      <c r="C12725" s="2">
        <v>733.71310000000005</v>
      </c>
      <c r="D12725" s="2">
        <f>HYPERLINK("http://mcb-m6.bioreg.kyushu-u.ac.jp/M3/20110414/F50930/2184/1", 57.18)</f>
        <v>57.18</v>
      </c>
      <c r="E12725" s="2">
        <v>33.33</v>
      </c>
      <c r="F12725" s="2">
        <v>2</v>
      </c>
      <c r="G12725" s="2" t="s">
        <v>12</v>
      </c>
    </row>
    <row r="12726" spans="1:9" x14ac:dyDescent="0.2">
      <c r="A12726" s="2" t="s">
        <v>3519</v>
      </c>
      <c r="B12726" s="2" t="s">
        <v>1825</v>
      </c>
      <c r="C12726" s="2">
        <v>733.61770000000001</v>
      </c>
      <c r="D12726" s="2">
        <f>HYPERLINK("http://mcb-m6.bioreg.kyushu-u.ac.jp/M3/20110414/F50966/1827/1", 57.65)</f>
        <v>57.65</v>
      </c>
      <c r="E12726" s="2">
        <v>35.1</v>
      </c>
      <c r="F12726" s="2">
        <v>2</v>
      </c>
      <c r="G12726" s="2" t="s">
        <v>12</v>
      </c>
    </row>
    <row r="12727" spans="1:9" x14ac:dyDescent="0.2">
      <c r="A12727" s="2" t="s">
        <v>3519</v>
      </c>
      <c r="B12727" s="2" t="s">
        <v>1600</v>
      </c>
      <c r="C12727" s="2">
        <v>1068.838</v>
      </c>
      <c r="D12727" s="2">
        <f>HYPERLINK("http://mcb-m6.bioreg.kyushu-u.ac.jp/M3/20110414/F50958/3882/1", 58.2)</f>
        <v>58.2</v>
      </c>
      <c r="E12727" s="2">
        <v>46.61</v>
      </c>
      <c r="F12727" s="2">
        <v>2</v>
      </c>
      <c r="G12727" s="2" t="s">
        <v>12</v>
      </c>
    </row>
    <row r="12728" spans="1:9" x14ac:dyDescent="0.2">
      <c r="A12728" s="2" t="s">
        <v>3519</v>
      </c>
      <c r="B12728" s="2" t="s">
        <v>1825</v>
      </c>
      <c r="C12728" s="2">
        <v>734.36270000000002</v>
      </c>
      <c r="D12728" s="2">
        <f>HYPERLINK("http://mcb-m6.bioreg.kyushu-u.ac.jp/M3/20110414/F50931/2214/1", 58.21)</f>
        <v>58.21</v>
      </c>
      <c r="E12728" s="2">
        <v>33.700000000000003</v>
      </c>
      <c r="F12728" s="2">
        <v>2</v>
      </c>
      <c r="G12728" s="2" t="s">
        <v>12</v>
      </c>
    </row>
    <row r="12729" spans="1:9" x14ac:dyDescent="0.2">
      <c r="A12729" s="2" t="s">
        <v>3519</v>
      </c>
      <c r="B12729" s="2" t="s">
        <v>361</v>
      </c>
      <c r="C12729" s="2">
        <v>803.62869999999998</v>
      </c>
      <c r="D12729" s="2">
        <f>HYPERLINK("http://mcb-m6.bioreg.kyushu-u.ac.jp/M3/20110414/F50966/2139/1", 58.53)</f>
        <v>58.53</v>
      </c>
      <c r="E12729" s="2">
        <v>30.26</v>
      </c>
      <c r="F12729" s="2">
        <v>2</v>
      </c>
      <c r="G12729" s="2" t="s">
        <v>12</v>
      </c>
    </row>
    <row r="12730" spans="1:9" x14ac:dyDescent="0.2">
      <c r="A12730" s="2" t="s">
        <v>3519</v>
      </c>
      <c r="B12730" s="2" t="s">
        <v>361</v>
      </c>
      <c r="C12730" s="2">
        <v>803.58420000000001</v>
      </c>
      <c r="D12730" s="2">
        <f>HYPERLINK("http://mcb-m6.bioreg.kyushu-u.ac.jp/M3/20110414/F50934/2536/1", 58.84)</f>
        <v>58.84</v>
      </c>
      <c r="E12730" s="2">
        <v>37.22</v>
      </c>
      <c r="F12730" s="2">
        <v>2</v>
      </c>
      <c r="G12730" s="2" t="s">
        <v>12</v>
      </c>
    </row>
    <row r="12731" spans="1:9" x14ac:dyDescent="0.2">
      <c r="A12731" s="2" t="s">
        <v>3519</v>
      </c>
      <c r="B12731" s="2" t="s">
        <v>1600</v>
      </c>
      <c r="C12731" s="2">
        <v>712.45450000000005</v>
      </c>
      <c r="D12731" s="2">
        <f>HYPERLINK("http://mcb-m6.bioreg.kyushu-u.ac.jp/M3/20110414/F50966/2959/1", 58.91)</f>
        <v>58.91</v>
      </c>
      <c r="E12731" s="2">
        <v>33.82</v>
      </c>
      <c r="F12731" s="2">
        <v>3</v>
      </c>
      <c r="G12731" s="2" t="s">
        <v>12</v>
      </c>
    </row>
    <row r="12732" spans="1:9" x14ac:dyDescent="0.2">
      <c r="A12732" s="2" t="s">
        <v>3519</v>
      </c>
      <c r="B12732" s="2" t="s">
        <v>361</v>
      </c>
      <c r="C12732" s="2">
        <v>803.19709999999998</v>
      </c>
      <c r="D12732" s="2">
        <f>HYPERLINK("http://mcb-m6.bioreg.kyushu-u.ac.jp/M3/20110414/F50931/2310/1", 58.99)</f>
        <v>58.99</v>
      </c>
      <c r="E12732" s="2">
        <v>42.1</v>
      </c>
      <c r="F12732" s="2">
        <v>2</v>
      </c>
      <c r="G12732" s="2" t="s">
        <v>12</v>
      </c>
    </row>
    <row r="12733" spans="1:9" x14ac:dyDescent="0.2">
      <c r="A12733" s="2" t="s">
        <v>3519</v>
      </c>
      <c r="B12733" s="2" t="s">
        <v>361</v>
      </c>
      <c r="C12733" s="2">
        <v>803.05970000000002</v>
      </c>
      <c r="D12733" s="2">
        <f>HYPERLINK("http://mcb-m6.bioreg.kyushu-u.ac.jp/M3/20110414/F50966/2135/1", 60.99)</f>
        <v>60.99</v>
      </c>
      <c r="E12733" s="2">
        <v>33.619999999999997</v>
      </c>
      <c r="F12733" s="2">
        <v>2</v>
      </c>
      <c r="G12733" s="2" t="s">
        <v>12</v>
      </c>
    </row>
    <row r="12734" spans="1:9" x14ac:dyDescent="0.2">
      <c r="A12734" s="2" t="s">
        <v>3519</v>
      </c>
      <c r="B12734" s="2" t="s">
        <v>1825</v>
      </c>
      <c r="C12734" s="2">
        <v>734.21469999999999</v>
      </c>
      <c r="D12734" s="2">
        <f>HYPERLINK("http://mcb-m6.bioreg.kyushu-u.ac.jp/M3/20110414/F50931/2212/1", 61.95)</f>
        <v>61.95</v>
      </c>
      <c r="E12734" s="2">
        <v>37.53</v>
      </c>
      <c r="F12734" s="2">
        <v>2</v>
      </c>
      <c r="G12734" s="2" t="s">
        <v>12</v>
      </c>
    </row>
    <row r="12735" spans="1:9" x14ac:dyDescent="0.2">
      <c r="A12735" s="2" t="s">
        <v>3519</v>
      </c>
      <c r="B12735" s="2" t="s">
        <v>1825</v>
      </c>
      <c r="C12735" s="2">
        <v>734.10170000000005</v>
      </c>
      <c r="D12735" s="2">
        <f>HYPERLINK("http://mcb-m6.bioreg.kyushu-u.ac.jp/M3/20110414/F50931/2211/1", 62.08)</f>
        <v>62.08</v>
      </c>
      <c r="E12735" s="2">
        <v>33.979999999999997</v>
      </c>
      <c r="F12735" s="2">
        <v>2</v>
      </c>
      <c r="G12735" s="2" t="s">
        <v>12</v>
      </c>
    </row>
    <row r="12736" spans="1:9" x14ac:dyDescent="0.2">
      <c r="A12736" s="2" t="s">
        <v>3519</v>
      </c>
      <c r="B12736" s="2" t="s">
        <v>1825</v>
      </c>
      <c r="C12736" s="2">
        <v>734.1232</v>
      </c>
      <c r="D12736" s="2">
        <f>HYPERLINK("http://mcb-m6.bioreg.kyushu-u.ac.jp/M3/20110414/F50932/2261/1", 62.36)</f>
        <v>62.36</v>
      </c>
      <c r="E12736" s="2">
        <v>40.520000000000003</v>
      </c>
      <c r="F12736" s="2">
        <v>2</v>
      </c>
      <c r="G12736" s="2" t="s">
        <v>12</v>
      </c>
    </row>
    <row r="12737" spans="1:8" x14ac:dyDescent="0.2">
      <c r="A12737" s="2" t="s">
        <v>3519</v>
      </c>
      <c r="B12737" s="2" t="s">
        <v>2123</v>
      </c>
      <c r="C12737" s="2">
        <v>999.86220000000003</v>
      </c>
      <c r="D12737" s="2">
        <f>HYPERLINK("http://mcb-m6.bioreg.kyushu-u.ac.jp/M3/20110414/F50966/3447/1", 62.52)</f>
        <v>62.52</v>
      </c>
      <c r="E12737" s="2">
        <v>43.87</v>
      </c>
      <c r="F12737" s="2">
        <v>3</v>
      </c>
      <c r="G12737" s="2" t="s">
        <v>12</v>
      </c>
    </row>
    <row r="12738" spans="1:8" x14ac:dyDescent="0.2">
      <c r="A12738" s="2" t="s">
        <v>3519</v>
      </c>
      <c r="B12738" s="2" t="s">
        <v>361</v>
      </c>
      <c r="C12738" s="2">
        <v>803.83870000000002</v>
      </c>
      <c r="D12738" s="2">
        <f>HYPERLINK("http://mcb-m6.bioreg.kyushu-u.ac.jp/M3/20110414/F50931/2311/1", 63.66)</f>
        <v>63.66</v>
      </c>
      <c r="E12738" s="2">
        <v>35.520000000000003</v>
      </c>
      <c r="F12738" s="2">
        <v>2</v>
      </c>
      <c r="G12738" s="2" t="s">
        <v>12</v>
      </c>
    </row>
    <row r="12739" spans="1:8" x14ac:dyDescent="0.2">
      <c r="A12739" s="2" t="s">
        <v>3519</v>
      </c>
      <c r="B12739" s="2" t="s">
        <v>2123</v>
      </c>
      <c r="C12739" s="2">
        <v>1010.84</v>
      </c>
      <c r="D12739" s="2">
        <f>HYPERLINK("http://mcb-m6.bioreg.kyushu-u.ac.jp/M3/20110414/F50966/3455/1", 64.15)</f>
        <v>64.150000000000006</v>
      </c>
      <c r="E12739" s="2">
        <v>51.92</v>
      </c>
      <c r="F12739" s="2">
        <v>3</v>
      </c>
      <c r="G12739" s="2" t="s">
        <v>12</v>
      </c>
      <c r="H12739" s="2" t="s">
        <v>4973</v>
      </c>
    </row>
    <row r="12740" spans="1:8" x14ac:dyDescent="0.2">
      <c r="A12740" s="2" t="s">
        <v>3519</v>
      </c>
      <c r="B12740" s="2" t="s">
        <v>361</v>
      </c>
      <c r="C12740" s="2">
        <v>803.79520000000002</v>
      </c>
      <c r="D12740" s="2">
        <f>HYPERLINK("http://mcb-m6.bioreg.kyushu-u.ac.jp/M3/20110414/F50930/2407/1", 64.3)</f>
        <v>64.3</v>
      </c>
      <c r="E12740" s="2">
        <v>36.36</v>
      </c>
      <c r="F12740" s="2">
        <v>2</v>
      </c>
      <c r="G12740" s="2" t="s">
        <v>12</v>
      </c>
    </row>
    <row r="12741" spans="1:8" x14ac:dyDescent="0.2">
      <c r="A12741" s="2" t="s">
        <v>3519</v>
      </c>
      <c r="B12741" s="2" t="s">
        <v>361</v>
      </c>
      <c r="C12741" s="2">
        <v>803.95010000000002</v>
      </c>
      <c r="D12741" s="2">
        <f>HYPERLINK("http://mcb-m6.bioreg.kyushu-u.ac.jp/M3/20110414/F50966/2142/1", 64.82)</f>
        <v>64.819999999999993</v>
      </c>
      <c r="E12741" s="2">
        <v>37</v>
      </c>
      <c r="F12741" s="2">
        <v>2</v>
      </c>
      <c r="G12741" s="2" t="s">
        <v>12</v>
      </c>
    </row>
    <row r="12742" spans="1:8" x14ac:dyDescent="0.2">
      <c r="A12742" s="2" t="s">
        <v>3519</v>
      </c>
      <c r="B12742" s="2" t="s">
        <v>2034</v>
      </c>
      <c r="C12742" s="2">
        <v>1035.7809999999999</v>
      </c>
      <c r="D12742" s="2">
        <f>HYPERLINK("http://mcb-m6.bioreg.kyushu-u.ac.jp/M3/20110414/F50966/2890/1", 64.87)</f>
        <v>64.87</v>
      </c>
      <c r="E12742" s="2">
        <v>48.51</v>
      </c>
      <c r="F12742" s="2">
        <v>2</v>
      </c>
      <c r="G12742" s="2" t="s">
        <v>12</v>
      </c>
    </row>
    <row r="12743" spans="1:8" x14ac:dyDescent="0.2">
      <c r="A12743" s="2" t="s">
        <v>3519</v>
      </c>
      <c r="B12743" s="2" t="s">
        <v>1709</v>
      </c>
      <c r="C12743" s="2">
        <v>881.55269999999996</v>
      </c>
      <c r="D12743" s="2">
        <f>HYPERLINK("http://mcb-m6.bioreg.kyushu-u.ac.jp/M3/20110414/F50966/2392/1", 64.92)</f>
        <v>64.92</v>
      </c>
      <c r="E12743" s="2">
        <v>41.36</v>
      </c>
      <c r="F12743" s="2">
        <v>2</v>
      </c>
      <c r="G12743" s="2" t="s">
        <v>12</v>
      </c>
    </row>
    <row r="12744" spans="1:8" x14ac:dyDescent="0.2">
      <c r="A12744" s="2" t="s">
        <v>3519</v>
      </c>
      <c r="B12744" s="2" t="s">
        <v>2123</v>
      </c>
      <c r="C12744" s="2">
        <v>1515.3119999999999</v>
      </c>
      <c r="D12744" s="2">
        <f>HYPERLINK("http://mcb-m6.bioreg.kyushu-u.ac.jp/M3/20110414/F50966/3454/1", 65.27)</f>
        <v>65.27</v>
      </c>
      <c r="E12744" s="2">
        <v>50.95</v>
      </c>
      <c r="F12744" s="2">
        <v>2</v>
      </c>
      <c r="G12744" s="2" t="s">
        <v>12</v>
      </c>
      <c r="H12744" s="2" t="s">
        <v>4973</v>
      </c>
    </row>
    <row r="12745" spans="1:8" x14ac:dyDescent="0.2">
      <c r="A12745" s="2" t="s">
        <v>3519</v>
      </c>
      <c r="B12745" s="2" t="s">
        <v>1825</v>
      </c>
      <c r="C12745" s="2">
        <v>1466.4469999999999</v>
      </c>
      <c r="D12745" s="2">
        <f>HYPERLINK("http://mcb-m6.bioreg.kyushu-u.ac.jp/M3/20110414/F50966/1830/1", 65.82)</f>
        <v>65.819999999999993</v>
      </c>
      <c r="E12745" s="2">
        <v>46.53</v>
      </c>
      <c r="F12745" s="2">
        <v>1</v>
      </c>
      <c r="G12745" s="2" t="s">
        <v>12</v>
      </c>
    </row>
    <row r="12746" spans="1:8" x14ac:dyDescent="0.2">
      <c r="A12746" s="2" t="s">
        <v>3519</v>
      </c>
      <c r="B12746" s="2" t="s">
        <v>1600</v>
      </c>
      <c r="C12746" s="2">
        <v>1068.28</v>
      </c>
      <c r="D12746" s="2">
        <f>HYPERLINK("http://mcb-m6.bioreg.kyushu-u.ac.jp/M3/20110414/F50966/2960/1", 65.91)</f>
        <v>65.91</v>
      </c>
      <c r="E12746" s="2">
        <v>46.56</v>
      </c>
      <c r="F12746" s="2">
        <v>2</v>
      </c>
      <c r="G12746" s="2" t="s">
        <v>12</v>
      </c>
    </row>
    <row r="12747" spans="1:8" x14ac:dyDescent="0.2">
      <c r="A12747" s="2" t="s">
        <v>3519</v>
      </c>
      <c r="B12747" s="2" t="s">
        <v>1709</v>
      </c>
      <c r="C12747" s="2">
        <v>881.40560000000005</v>
      </c>
      <c r="D12747" s="2">
        <f>HYPERLINK("http://mcb-m6.bioreg.kyushu-u.ac.jp/M3/20110414/F50930/2494/1", 66.22)</f>
        <v>66.22</v>
      </c>
      <c r="E12747" s="2">
        <v>43.57</v>
      </c>
      <c r="F12747" s="2">
        <v>2</v>
      </c>
      <c r="G12747" s="2" t="s">
        <v>12</v>
      </c>
    </row>
    <row r="12748" spans="1:8" x14ac:dyDescent="0.2">
      <c r="A12748" s="2" t="s">
        <v>3519</v>
      </c>
      <c r="B12748" s="2" t="s">
        <v>1709</v>
      </c>
      <c r="C12748" s="2">
        <v>881.17219999999998</v>
      </c>
      <c r="D12748" s="2">
        <f>HYPERLINK("http://mcb-m6.bioreg.kyushu-u.ac.jp/M3/20110414/F50966/2387/1", 66.3)</f>
        <v>66.3</v>
      </c>
      <c r="E12748" s="2">
        <v>39.86</v>
      </c>
      <c r="F12748" s="2">
        <v>2</v>
      </c>
      <c r="G12748" s="2" t="s">
        <v>12</v>
      </c>
    </row>
    <row r="12749" spans="1:8" x14ac:dyDescent="0.2">
      <c r="A12749" s="2" t="s">
        <v>3519</v>
      </c>
      <c r="B12749" s="2" t="s">
        <v>1825</v>
      </c>
      <c r="C12749" s="2">
        <v>733.99469999999997</v>
      </c>
      <c r="D12749" s="2">
        <f>HYPERLINK("http://mcb-m6.bioreg.kyushu-u.ac.jp/M3/20110414/F50966/1832/1", 66.72)</f>
        <v>66.72</v>
      </c>
      <c r="E12749" s="2">
        <v>42.35</v>
      </c>
      <c r="F12749" s="2">
        <v>2</v>
      </c>
      <c r="G12749" s="2" t="s">
        <v>12</v>
      </c>
    </row>
    <row r="12750" spans="1:8" x14ac:dyDescent="0.2">
      <c r="A12750" s="2" t="s">
        <v>3519</v>
      </c>
      <c r="B12750" s="2" t="s">
        <v>1825</v>
      </c>
      <c r="C12750" s="2">
        <v>734.2491</v>
      </c>
      <c r="D12750" s="2">
        <f>HYPERLINK("http://mcb-m6.bioreg.kyushu-u.ac.jp/M3/20110414/F50930/2187/1", 67.03)</f>
        <v>67.03</v>
      </c>
      <c r="E12750" s="2">
        <v>46.13</v>
      </c>
      <c r="F12750" s="2">
        <v>2</v>
      </c>
      <c r="G12750" s="2" t="s">
        <v>12</v>
      </c>
    </row>
    <row r="12751" spans="1:8" x14ac:dyDescent="0.2">
      <c r="A12751" s="2" t="s">
        <v>3519</v>
      </c>
      <c r="B12751" s="2" t="s">
        <v>1600</v>
      </c>
      <c r="C12751" s="2">
        <v>1068.5840000000001</v>
      </c>
      <c r="D12751" s="2">
        <f>HYPERLINK("http://mcb-m6.bioreg.kyushu-u.ac.jp/M3/20110414/F50959/3862/1", 68.63)</f>
        <v>68.63</v>
      </c>
      <c r="E12751" s="2">
        <v>50.49</v>
      </c>
      <c r="F12751" s="2">
        <v>2</v>
      </c>
      <c r="G12751" s="2" t="s">
        <v>12</v>
      </c>
    </row>
    <row r="12752" spans="1:8" x14ac:dyDescent="0.2">
      <c r="A12752" s="2" t="s">
        <v>3519</v>
      </c>
      <c r="B12752" s="2" t="s">
        <v>1709</v>
      </c>
      <c r="C12752" s="2">
        <v>881.35059999999999</v>
      </c>
      <c r="D12752" s="2">
        <f>HYPERLINK("http://mcb-m6.bioreg.kyushu-u.ac.jp/M3/20110414/F50966/2390/1", 68.74)</f>
        <v>68.739999999999995</v>
      </c>
      <c r="E12752" s="2">
        <v>42.42</v>
      </c>
      <c r="F12752" s="2">
        <v>2</v>
      </c>
      <c r="G12752" s="2" t="s">
        <v>12</v>
      </c>
    </row>
    <row r="12753" spans="1:8" x14ac:dyDescent="0.2">
      <c r="A12753" s="2" t="s">
        <v>3519</v>
      </c>
      <c r="B12753" s="2" t="s">
        <v>1825</v>
      </c>
      <c r="C12753" s="2">
        <v>733.95119999999997</v>
      </c>
      <c r="D12753" s="2">
        <f>HYPERLINK("http://mcb-m6.bioreg.kyushu-u.ac.jp/M3/20110414/F50930/2185/1", 69.39)</f>
        <v>69.39</v>
      </c>
      <c r="E12753" s="2">
        <v>45.96</v>
      </c>
      <c r="F12753" s="2">
        <v>2</v>
      </c>
      <c r="G12753" s="2" t="s">
        <v>12</v>
      </c>
    </row>
    <row r="12754" spans="1:8" x14ac:dyDescent="0.2">
      <c r="A12754" s="2" t="s">
        <v>3519</v>
      </c>
      <c r="B12754" s="2" t="s">
        <v>1825</v>
      </c>
      <c r="C12754" s="2">
        <v>734.23109999999997</v>
      </c>
      <c r="D12754" s="2">
        <f>HYPERLINK("http://mcb-m6.bioreg.kyushu-u.ac.jp/M3/20110414/F50932/2262/1", 70.96)</f>
        <v>70.959999999999994</v>
      </c>
      <c r="E12754" s="2">
        <v>33.86</v>
      </c>
      <c r="F12754" s="2">
        <v>2</v>
      </c>
      <c r="G12754" s="2" t="s">
        <v>12</v>
      </c>
    </row>
    <row r="12755" spans="1:8" x14ac:dyDescent="0.2">
      <c r="A12755" s="2" t="s">
        <v>3519</v>
      </c>
      <c r="B12755" s="2" t="s">
        <v>1825</v>
      </c>
      <c r="C12755" s="2">
        <v>733.6472</v>
      </c>
      <c r="D12755" s="2">
        <f>HYPERLINK("http://mcb-m6.bioreg.kyushu-u.ac.jp/M3/20110414/F50966/1828/1", 71.3)</f>
        <v>71.3</v>
      </c>
      <c r="E12755" s="2">
        <v>38.64</v>
      </c>
      <c r="F12755" s="2">
        <v>2</v>
      </c>
      <c r="G12755" s="2" t="s">
        <v>12</v>
      </c>
    </row>
    <row r="12756" spans="1:8" x14ac:dyDescent="0.2">
      <c r="A12756" s="2" t="s">
        <v>3519</v>
      </c>
      <c r="B12756" s="2" t="s">
        <v>361</v>
      </c>
      <c r="C12756" s="2">
        <v>803.10469999999998</v>
      </c>
      <c r="D12756" s="2">
        <f>HYPERLINK("http://mcb-m6.bioreg.kyushu-u.ac.jp/M3/20110414/F50966/2136/1", 71.97)</f>
        <v>71.97</v>
      </c>
      <c r="E12756" s="2">
        <v>47.77</v>
      </c>
      <c r="F12756" s="2">
        <v>2</v>
      </c>
      <c r="G12756" s="2" t="s">
        <v>12</v>
      </c>
    </row>
    <row r="12757" spans="1:8" x14ac:dyDescent="0.2">
      <c r="A12757" s="2" t="s">
        <v>3519</v>
      </c>
      <c r="B12757" s="2" t="s">
        <v>2123</v>
      </c>
      <c r="C12757" s="2">
        <v>1507.3430000000001</v>
      </c>
      <c r="D12757" s="2">
        <f>HYPERLINK("http://mcb-m6.bioreg.kyushu-u.ac.jp/M3/20110414/F50966/3450/1", 72.75)</f>
        <v>72.75</v>
      </c>
      <c r="E12757" s="2">
        <v>63.07</v>
      </c>
      <c r="F12757" s="2">
        <v>2</v>
      </c>
      <c r="G12757" s="2" t="s">
        <v>12</v>
      </c>
      <c r="H12757" s="2" t="s">
        <v>4901</v>
      </c>
    </row>
    <row r="12758" spans="1:8" x14ac:dyDescent="0.2">
      <c r="A12758" s="2" t="s">
        <v>3519</v>
      </c>
      <c r="B12758" s="2" t="s">
        <v>1825</v>
      </c>
      <c r="C12758" s="2">
        <v>734.39970000000005</v>
      </c>
      <c r="D12758" s="2">
        <f>HYPERLINK("http://mcb-m6.bioreg.kyushu-u.ac.jp/M3/20110414/F50932/2266/1", 72.75)</f>
        <v>72.75</v>
      </c>
      <c r="E12758" s="2">
        <v>42.82</v>
      </c>
      <c r="F12758" s="2">
        <v>2</v>
      </c>
      <c r="G12758" s="2" t="s">
        <v>12</v>
      </c>
    </row>
    <row r="12759" spans="1:8" x14ac:dyDescent="0.2">
      <c r="A12759" s="2" t="s">
        <v>3519</v>
      </c>
      <c r="B12759" s="2" t="s">
        <v>361</v>
      </c>
      <c r="C12759" s="2">
        <v>803.63509999999997</v>
      </c>
      <c r="D12759" s="2">
        <f>HYPERLINK("http://mcb-m6.bioreg.kyushu-u.ac.jp/M3/20110414/F50966/2141/1", 72.94)</f>
        <v>72.94</v>
      </c>
      <c r="E12759" s="2">
        <v>36.32</v>
      </c>
      <c r="F12759" s="2">
        <v>2</v>
      </c>
      <c r="G12759" s="2" t="s">
        <v>12</v>
      </c>
    </row>
    <row r="12760" spans="1:8" x14ac:dyDescent="0.2">
      <c r="A12760" s="2" t="s">
        <v>3519</v>
      </c>
      <c r="B12760" s="2" t="s">
        <v>1825</v>
      </c>
      <c r="C12760" s="2">
        <v>734.0942</v>
      </c>
      <c r="D12760" s="2">
        <f>HYPERLINK("http://mcb-m6.bioreg.kyushu-u.ac.jp/M3/20110414/F50930/2186/1", 74.15)</f>
        <v>74.150000000000006</v>
      </c>
      <c r="E12760" s="2">
        <v>40.130000000000003</v>
      </c>
      <c r="F12760" s="2">
        <v>2</v>
      </c>
      <c r="G12760" s="2" t="s">
        <v>12</v>
      </c>
    </row>
    <row r="12761" spans="1:8" x14ac:dyDescent="0.2">
      <c r="A12761" s="2" t="s">
        <v>3519</v>
      </c>
      <c r="B12761" s="2" t="s">
        <v>1709</v>
      </c>
      <c r="C12761" s="2">
        <v>881.33510000000001</v>
      </c>
      <c r="D12761" s="2">
        <f>HYPERLINK("http://mcb-m6.bioreg.kyushu-u.ac.jp/M3/20110414/F50966/2389/1", 74.61)</f>
        <v>74.61</v>
      </c>
      <c r="E12761" s="2">
        <v>48.3</v>
      </c>
      <c r="F12761" s="2">
        <v>2</v>
      </c>
      <c r="G12761" s="2" t="s">
        <v>12</v>
      </c>
    </row>
    <row r="12762" spans="1:8" x14ac:dyDescent="0.2">
      <c r="A12762" s="2" t="s">
        <v>3519</v>
      </c>
      <c r="B12762" s="2" t="s">
        <v>361</v>
      </c>
      <c r="C12762" s="2">
        <v>803.62869999999998</v>
      </c>
      <c r="D12762" s="2">
        <f>HYPERLINK("http://mcb-m6.bioreg.kyushu-u.ac.jp/M3/20110414/F50966/2140/1", 74.78)</f>
        <v>74.78</v>
      </c>
      <c r="E12762" s="2">
        <v>47.55</v>
      </c>
      <c r="F12762" s="2">
        <v>2</v>
      </c>
      <c r="G12762" s="2" t="s">
        <v>12</v>
      </c>
    </row>
    <row r="12763" spans="1:8" x14ac:dyDescent="0.2">
      <c r="A12763" s="2" t="s">
        <v>3519</v>
      </c>
      <c r="B12763" s="2" t="s">
        <v>361</v>
      </c>
      <c r="C12763" s="2">
        <v>803.54669999999999</v>
      </c>
      <c r="D12763" s="2">
        <f>HYPERLINK("http://mcb-m6.bioreg.kyushu-u.ac.jp/M3/20110414/F50966/2138/1", 75.81)</f>
        <v>75.81</v>
      </c>
      <c r="E12763" s="2">
        <v>45.91</v>
      </c>
      <c r="F12763" s="2">
        <v>2</v>
      </c>
      <c r="G12763" s="2" t="s">
        <v>12</v>
      </c>
    </row>
    <row r="12764" spans="1:8" x14ac:dyDescent="0.2">
      <c r="A12764" s="2" t="s">
        <v>3519</v>
      </c>
      <c r="B12764" s="2" t="s">
        <v>1825</v>
      </c>
      <c r="C12764" s="2">
        <v>734.25710000000004</v>
      </c>
      <c r="D12764" s="2">
        <f>HYPERLINK("http://mcb-m6.bioreg.kyushu-u.ac.jp/M3/20110414/F50931/2213/1", 77.15)</f>
        <v>77.150000000000006</v>
      </c>
      <c r="E12764" s="2">
        <v>51.44</v>
      </c>
      <c r="F12764" s="2">
        <v>2</v>
      </c>
      <c r="G12764" s="2" t="s">
        <v>12</v>
      </c>
    </row>
    <row r="12765" spans="1:8" x14ac:dyDescent="0.2">
      <c r="A12765" s="2" t="s">
        <v>3519</v>
      </c>
      <c r="B12765" s="2" t="s">
        <v>1825</v>
      </c>
      <c r="C12765" s="2">
        <v>734.17409999999995</v>
      </c>
      <c r="D12765" s="2">
        <f>HYPERLINK("http://mcb-m6.bioreg.kyushu-u.ac.jp/M3/20110414/F50966/1836/1", 77.2)</f>
        <v>77.2</v>
      </c>
      <c r="E12765" s="2">
        <v>44.71</v>
      </c>
      <c r="F12765" s="2">
        <v>2</v>
      </c>
      <c r="G12765" s="2" t="s">
        <v>12</v>
      </c>
    </row>
    <row r="12766" spans="1:8" x14ac:dyDescent="0.2">
      <c r="A12766" s="2" t="s">
        <v>3519</v>
      </c>
      <c r="B12766" s="2" t="s">
        <v>1825</v>
      </c>
      <c r="C12766" s="2">
        <v>734.13070000000005</v>
      </c>
      <c r="D12766" s="2">
        <f>HYPERLINK("http://mcb-m6.bioreg.kyushu-u.ac.jp/M3/20110414/F50966/1834/1", 78.47)</f>
        <v>78.47</v>
      </c>
      <c r="E12766" s="2">
        <v>44.63</v>
      </c>
      <c r="F12766" s="2">
        <v>2</v>
      </c>
      <c r="G12766" s="2" t="s">
        <v>12</v>
      </c>
    </row>
    <row r="12767" spans="1:8" x14ac:dyDescent="0.2">
      <c r="A12767" s="2" t="s">
        <v>3519</v>
      </c>
      <c r="B12767" s="2" t="s">
        <v>2034</v>
      </c>
      <c r="C12767" s="2">
        <v>1035.837</v>
      </c>
      <c r="D12767" s="2">
        <f>HYPERLINK("http://mcb-m6.bioreg.kyushu-u.ac.jp/M3/20110414/F50966/2891/1", 79.73)</f>
        <v>79.73</v>
      </c>
      <c r="E12767" s="2">
        <v>66.13</v>
      </c>
      <c r="F12767" s="2">
        <v>2</v>
      </c>
      <c r="G12767" s="2" t="s">
        <v>12</v>
      </c>
    </row>
    <row r="12768" spans="1:8" x14ac:dyDescent="0.2">
      <c r="A12768" s="2" t="s">
        <v>3519</v>
      </c>
      <c r="B12768" s="2" t="s">
        <v>2123</v>
      </c>
      <c r="C12768" s="2">
        <v>1499.1790000000001</v>
      </c>
      <c r="D12768" s="2">
        <f>HYPERLINK("http://mcb-m6.bioreg.kyushu-u.ac.jp/M3/20110414/F50966/3446/1", 80.36)</f>
        <v>80.36</v>
      </c>
      <c r="E12768" s="2">
        <v>67.77</v>
      </c>
      <c r="F12768" s="2">
        <v>2</v>
      </c>
      <c r="G12768" s="2" t="s">
        <v>12</v>
      </c>
    </row>
    <row r="12769" spans="1:9" x14ac:dyDescent="0.2">
      <c r="A12769" s="2" t="s">
        <v>3519</v>
      </c>
      <c r="B12769" s="2" t="s">
        <v>1600</v>
      </c>
      <c r="C12769" s="2">
        <v>1068.2280000000001</v>
      </c>
      <c r="D12769" s="2">
        <f>HYPERLINK("http://mcb-m6.bioreg.kyushu-u.ac.jp/M3/20110414/F50930/2761/1", 81.93)</f>
        <v>81.93</v>
      </c>
      <c r="E12769" s="2">
        <v>68.900000000000006</v>
      </c>
      <c r="F12769" s="2">
        <v>2</v>
      </c>
      <c r="G12769" s="2" t="s">
        <v>12</v>
      </c>
    </row>
    <row r="12770" spans="1:9" x14ac:dyDescent="0.2">
      <c r="A12770" s="2" t="s">
        <v>3519</v>
      </c>
      <c r="B12770" s="2" t="s">
        <v>2034</v>
      </c>
      <c r="C12770" s="2">
        <v>1035.8520000000001</v>
      </c>
      <c r="D12770" s="2">
        <f>HYPERLINK("http://mcb-m6.bioreg.kyushu-u.ac.jp/M3/20110414/F50966/2892/1", 82.01)</f>
        <v>82.01</v>
      </c>
      <c r="E12770" s="2">
        <v>65.760000000000005</v>
      </c>
      <c r="F12770" s="2">
        <v>2</v>
      </c>
      <c r="G12770" s="2" t="s">
        <v>12</v>
      </c>
    </row>
    <row r="12771" spans="1:9" x14ac:dyDescent="0.2">
      <c r="A12771" s="2" t="s">
        <v>3519</v>
      </c>
      <c r="B12771" s="2" t="s">
        <v>1818</v>
      </c>
      <c r="C12771" s="2">
        <v>798.08119999999997</v>
      </c>
      <c r="D12771" s="2">
        <f>HYPERLINK("http://mcb-m6.bioreg.kyushu-u.ac.jp/M3/20110414/F50966/2094/1", 82.78)</f>
        <v>82.78</v>
      </c>
      <c r="E12771" s="2">
        <v>60</v>
      </c>
      <c r="F12771" s="2">
        <v>2</v>
      </c>
      <c r="G12771" s="2" t="s">
        <v>12</v>
      </c>
    </row>
    <row r="12772" spans="1:9" x14ac:dyDescent="0.2">
      <c r="A12772" s="2" t="s">
        <v>3519</v>
      </c>
      <c r="B12772" s="2" t="s">
        <v>1825</v>
      </c>
      <c r="C12772" s="2">
        <v>733.58069999999998</v>
      </c>
      <c r="D12772" s="2">
        <f>HYPERLINK("http://mcb-m6.bioreg.kyushu-u.ac.jp/M3/20110414/F50966/1825/1", 82.91)</f>
        <v>82.91</v>
      </c>
      <c r="E12772" s="2">
        <v>50.41</v>
      </c>
      <c r="F12772" s="2">
        <v>2</v>
      </c>
      <c r="G12772" s="2" t="s">
        <v>12</v>
      </c>
    </row>
    <row r="12773" spans="1:9" x14ac:dyDescent="0.2">
      <c r="A12773" s="2" t="s">
        <v>3519</v>
      </c>
      <c r="B12773" s="2" t="s">
        <v>1818</v>
      </c>
      <c r="C12773" s="2">
        <v>797.7106</v>
      </c>
      <c r="D12773" s="2">
        <f>HYPERLINK("http://mcb-m6.bioreg.kyushu-u.ac.jp/M3/20110414/F50966/2092/1", 82.91)</f>
        <v>82.91</v>
      </c>
      <c r="E12773" s="2">
        <v>63.27</v>
      </c>
      <c r="F12773" s="2">
        <v>2</v>
      </c>
      <c r="G12773" s="2" t="s">
        <v>12</v>
      </c>
    </row>
    <row r="12774" spans="1:9" x14ac:dyDescent="0.2">
      <c r="A12774" s="2" t="s">
        <v>3519</v>
      </c>
      <c r="B12774" s="2" t="s">
        <v>1600</v>
      </c>
      <c r="C12774" s="2">
        <v>1069.1590000000001</v>
      </c>
      <c r="D12774" s="2">
        <f>HYPERLINK("http://mcb-m6.bioreg.kyushu-u.ac.jp/M3/20110414/F50934/3023/1", 83.99)</f>
        <v>83.99</v>
      </c>
      <c r="E12774" s="2">
        <v>69.680000000000007</v>
      </c>
      <c r="F12774" s="2">
        <v>2</v>
      </c>
      <c r="G12774" s="2" t="s">
        <v>12</v>
      </c>
    </row>
    <row r="12775" spans="1:9" x14ac:dyDescent="0.2">
      <c r="A12775" s="2" t="s">
        <v>3519</v>
      </c>
      <c r="B12775" s="2" t="s">
        <v>2123</v>
      </c>
      <c r="C12775" s="2">
        <v>1005.414</v>
      </c>
      <c r="D12775" s="2">
        <f>HYPERLINK("http://mcb-m6.bioreg.kyushu-u.ac.jp/M3/20110414/F50966/3451/1", 84.38)</f>
        <v>84.38</v>
      </c>
      <c r="E12775" s="2">
        <v>71.19</v>
      </c>
      <c r="F12775" s="2">
        <v>3</v>
      </c>
      <c r="G12775" s="2" t="s">
        <v>12</v>
      </c>
      <c r="H12775" s="2" t="s">
        <v>4901</v>
      </c>
    </row>
    <row r="12776" spans="1:9" x14ac:dyDescent="0.2">
      <c r="A12776" s="2" t="s">
        <v>3519</v>
      </c>
      <c r="B12776" s="2" t="s">
        <v>2034</v>
      </c>
      <c r="C12776" s="2">
        <v>1035.298</v>
      </c>
      <c r="D12776" s="2">
        <f>HYPERLINK("http://mcb-m6.bioreg.kyushu-u.ac.jp/M3/20110414/F50966/2888/1", 87.72)</f>
        <v>87.72</v>
      </c>
      <c r="E12776" s="2">
        <v>66.989999999999995</v>
      </c>
      <c r="F12776" s="2">
        <v>2</v>
      </c>
      <c r="G12776" s="2" t="s">
        <v>12</v>
      </c>
    </row>
    <row r="12777" spans="1:9" x14ac:dyDescent="0.2">
      <c r="A12777" s="2" t="s">
        <v>3519</v>
      </c>
      <c r="B12777" s="2" t="s">
        <v>2034</v>
      </c>
      <c r="C12777" s="2">
        <v>1035.3309999999999</v>
      </c>
      <c r="D12777" s="2">
        <f>HYPERLINK("http://mcb-m6.bioreg.kyushu-u.ac.jp/M3/20110414/F50966/2889/1", 89.5)</f>
        <v>89.5</v>
      </c>
      <c r="E12777" s="2">
        <v>73.91</v>
      </c>
      <c r="F12777" s="2">
        <v>2</v>
      </c>
      <c r="G12777" s="2" t="s">
        <v>12</v>
      </c>
    </row>
    <row r="12778" spans="1:9" x14ac:dyDescent="0.2">
      <c r="A12778" s="2" t="s">
        <v>3519</v>
      </c>
      <c r="B12778" s="2" t="s">
        <v>1600</v>
      </c>
      <c r="C12778" s="2">
        <v>1068.9639999999999</v>
      </c>
      <c r="D12778" s="2">
        <f>HYPERLINK("http://mcb-m6.bioreg.kyushu-u.ac.jp/M3/20110414/F50947/3668/1", 89.73)</f>
        <v>89.73</v>
      </c>
      <c r="E12778" s="2">
        <v>77.11</v>
      </c>
      <c r="F12778" s="2">
        <v>2</v>
      </c>
      <c r="G12778" s="2" t="s">
        <v>12</v>
      </c>
    </row>
    <row r="12779" spans="1:9" x14ac:dyDescent="0.2">
      <c r="A12779" s="2" t="s">
        <v>3519</v>
      </c>
      <c r="B12779" s="2" t="s">
        <v>1600</v>
      </c>
      <c r="C12779" s="2">
        <v>1068.7380000000001</v>
      </c>
      <c r="D12779" s="2">
        <f>HYPERLINK("http://mcb-m6.bioreg.kyushu-u.ac.jp/M3/20110414/F50930/2762/1", 114.4)</f>
        <v>114.4</v>
      </c>
      <c r="E12779" s="2">
        <v>91.67</v>
      </c>
      <c r="F12779" s="2">
        <v>2</v>
      </c>
      <c r="G12779" s="2" t="s">
        <v>12</v>
      </c>
    </row>
    <row r="12780" spans="1:9" x14ac:dyDescent="0.2">
      <c r="A12780" s="2" t="s">
        <v>3519</v>
      </c>
      <c r="B12780" s="2" t="s">
        <v>1600</v>
      </c>
      <c r="C12780" s="2">
        <v>1068.797</v>
      </c>
      <c r="D12780" s="2">
        <f>HYPERLINK("http://mcb-m6.bioreg.kyushu-u.ac.jp/M3/20110414/F50966/2961/1", 138.29)</f>
        <v>138.29</v>
      </c>
      <c r="E12780" s="2">
        <v>116.9</v>
      </c>
      <c r="F12780" s="2">
        <v>2</v>
      </c>
      <c r="G12780" s="2" t="s">
        <v>12</v>
      </c>
    </row>
    <row r="12781" spans="1:9" x14ac:dyDescent="0.2">
      <c r="A12781" s="2" t="s">
        <v>3519</v>
      </c>
      <c r="B12781" s="2" t="s">
        <v>2056</v>
      </c>
      <c r="C12781" s="2">
        <v>1042.356</v>
      </c>
      <c r="D12781" s="2">
        <f>HYPERLINK("http://mcb-m6.bioreg.kyushu-u.ac.jp/M3/20110414/F50966/3471/1", 138.46)</f>
        <v>138.46</v>
      </c>
      <c r="E12781" s="2">
        <v>124.54</v>
      </c>
      <c r="F12781" s="2">
        <v>3</v>
      </c>
      <c r="G12781" s="2" t="s">
        <v>12</v>
      </c>
    </row>
    <row r="12782" spans="1:9" x14ac:dyDescent="0.2">
      <c r="A12782" s="2" t="s">
        <v>3519</v>
      </c>
      <c r="B12782" s="2" t="s">
        <v>1825</v>
      </c>
      <c r="C12782" s="2">
        <v>734.29269999999997</v>
      </c>
      <c r="D12782" s="2">
        <f>HYPERLINK("http://mcb-m6.bioreg.kyushu-u.ac.jp/M3/20110502/F51192/1745/1", 35.62)</f>
        <v>35.619999999999997</v>
      </c>
      <c r="E12782" s="2">
        <v>18.29</v>
      </c>
      <c r="F12782" s="2">
        <v>2</v>
      </c>
      <c r="G12782" s="2" t="s">
        <v>14</v>
      </c>
    </row>
    <row r="12783" spans="1:9" x14ac:dyDescent="0.2">
      <c r="A12783" s="2" t="s">
        <v>3519</v>
      </c>
      <c r="B12783" s="2" t="s">
        <v>1825</v>
      </c>
      <c r="C12783" s="2">
        <v>489.75650000000002</v>
      </c>
      <c r="D12783" s="2">
        <f>HYPERLINK("http://mcb-m6.bioreg.kyushu-u.ac.jp/M3/20110502/F51190/1705/1", 35.87)</f>
        <v>35.869999999999997</v>
      </c>
      <c r="E12783" s="2">
        <v>8.7200000000000006</v>
      </c>
      <c r="F12783" s="2">
        <v>3</v>
      </c>
      <c r="G12783" s="2" t="s">
        <v>14</v>
      </c>
    </row>
    <row r="12784" spans="1:9" x14ac:dyDescent="0.2">
      <c r="A12784" s="2" t="s">
        <v>3519</v>
      </c>
      <c r="B12784" s="2" t="s">
        <v>384</v>
      </c>
      <c r="C12784" s="2">
        <v>453.59059999999999</v>
      </c>
      <c r="D12784" s="2">
        <f>HYPERLINK("http://mcb-m6.bioreg.kyushu-u.ac.jp/M3/20110502/F51190/623/1", 38.89)</f>
        <v>38.89</v>
      </c>
      <c r="E12784" s="2">
        <v>15.88</v>
      </c>
      <c r="F12784" s="2">
        <v>2</v>
      </c>
      <c r="G12784" s="2" t="s">
        <v>14</v>
      </c>
      <c r="I12784" s="2" t="s">
        <v>4892</v>
      </c>
    </row>
    <row r="12785" spans="1:9" x14ac:dyDescent="0.2">
      <c r="A12785" s="2" t="s">
        <v>3519</v>
      </c>
      <c r="B12785" s="2" t="s">
        <v>361</v>
      </c>
      <c r="C12785" s="2">
        <v>1606.913</v>
      </c>
      <c r="D12785" s="2">
        <f>HYPERLINK("http://mcb-m6.bioreg.kyushu-u.ac.jp/M3/20110502/F51190/2027/1", 39.95)</f>
        <v>39.950000000000003</v>
      </c>
      <c r="E12785" s="2">
        <v>19.88</v>
      </c>
      <c r="F12785" s="2">
        <v>1</v>
      </c>
      <c r="G12785" s="2" t="s">
        <v>14</v>
      </c>
    </row>
    <row r="12786" spans="1:9" x14ac:dyDescent="0.2">
      <c r="A12786" s="2" t="s">
        <v>3519</v>
      </c>
      <c r="B12786" s="2" t="s">
        <v>384</v>
      </c>
      <c r="C12786" s="2">
        <v>905.63800000000003</v>
      </c>
      <c r="D12786" s="2">
        <f>HYPERLINK("http://mcb-m6.bioreg.kyushu-u.ac.jp/M3/20110502/F51186/647/1", 40.35)</f>
        <v>40.35</v>
      </c>
      <c r="E12786" s="2">
        <v>22.36</v>
      </c>
      <c r="F12786" s="2">
        <v>1</v>
      </c>
      <c r="G12786" s="2" t="s">
        <v>14</v>
      </c>
      <c r="I12786" s="2" t="s">
        <v>4892</v>
      </c>
    </row>
    <row r="12787" spans="1:9" x14ac:dyDescent="0.2">
      <c r="A12787" s="2" t="s">
        <v>3519</v>
      </c>
      <c r="B12787" s="2" t="s">
        <v>1709</v>
      </c>
      <c r="C12787" s="2">
        <v>588.0652</v>
      </c>
      <c r="D12787" s="2">
        <f>HYPERLINK("http://mcb-m6.bioreg.kyushu-u.ac.jp/M3/20110502/F51190/2312/1", 40.58)</f>
        <v>40.58</v>
      </c>
      <c r="E12787" s="2">
        <v>16.88</v>
      </c>
      <c r="F12787" s="2">
        <v>3</v>
      </c>
      <c r="G12787" s="2" t="s">
        <v>14</v>
      </c>
    </row>
    <row r="12788" spans="1:9" x14ac:dyDescent="0.2">
      <c r="A12788" s="2" t="s">
        <v>3519</v>
      </c>
      <c r="B12788" s="2" t="s">
        <v>384</v>
      </c>
      <c r="C12788" s="2">
        <v>905.67899999999997</v>
      </c>
      <c r="D12788" s="2">
        <f>HYPERLINK("http://mcb-m6.bioreg.kyushu-u.ac.jp/M3/20110502/F51190/617/1", 40.92)</f>
        <v>40.92</v>
      </c>
      <c r="E12788" s="2">
        <v>22.64</v>
      </c>
      <c r="F12788" s="2">
        <v>1</v>
      </c>
      <c r="G12788" s="2" t="s">
        <v>14</v>
      </c>
      <c r="I12788" s="2" t="s">
        <v>4892</v>
      </c>
    </row>
    <row r="12789" spans="1:9" x14ac:dyDescent="0.2">
      <c r="A12789" s="2" t="s">
        <v>3519</v>
      </c>
      <c r="B12789" s="2" t="s">
        <v>384</v>
      </c>
      <c r="C12789" s="2">
        <v>905.63199999999995</v>
      </c>
      <c r="D12789" s="2">
        <f>HYPERLINK("http://mcb-m6.bioreg.kyushu-u.ac.jp/M3/20110502/F51178/864/1", 41.93)</f>
        <v>41.93</v>
      </c>
      <c r="E12789" s="2">
        <v>28.29</v>
      </c>
      <c r="F12789" s="2">
        <v>1</v>
      </c>
      <c r="G12789" s="2" t="s">
        <v>14</v>
      </c>
      <c r="I12789" s="2" t="s">
        <v>4892</v>
      </c>
    </row>
    <row r="12790" spans="1:9" x14ac:dyDescent="0.2">
      <c r="A12790" s="2" t="s">
        <v>3519</v>
      </c>
      <c r="B12790" s="2" t="s">
        <v>384</v>
      </c>
      <c r="C12790" s="2">
        <v>453.53160000000003</v>
      </c>
      <c r="D12790" s="2">
        <f>HYPERLINK("http://mcb-m6.bioreg.kyushu-u.ac.jp/M3/20110502/F51184/369/1", 42.68)</f>
        <v>42.68</v>
      </c>
      <c r="E12790" s="2">
        <v>21.96</v>
      </c>
      <c r="F12790" s="2">
        <v>2</v>
      </c>
      <c r="G12790" s="2" t="s">
        <v>14</v>
      </c>
      <c r="I12790" s="2" t="s">
        <v>4892</v>
      </c>
    </row>
    <row r="12791" spans="1:9" x14ac:dyDescent="0.2">
      <c r="A12791" s="2" t="s">
        <v>3519</v>
      </c>
      <c r="B12791" s="2" t="s">
        <v>384</v>
      </c>
      <c r="C12791" s="2">
        <v>905.66499999999996</v>
      </c>
      <c r="D12791" s="2">
        <f>HYPERLINK("http://mcb-m6.bioreg.kyushu-u.ac.jp/M3/20110502/F51176/1323/1", 44.02)</f>
        <v>44.02</v>
      </c>
      <c r="E12791" s="2">
        <v>30.66</v>
      </c>
      <c r="F12791" s="2">
        <v>1</v>
      </c>
      <c r="G12791" s="2" t="s">
        <v>14</v>
      </c>
      <c r="I12791" s="2" t="s">
        <v>4892</v>
      </c>
    </row>
    <row r="12792" spans="1:9" x14ac:dyDescent="0.2">
      <c r="A12792" s="2" t="s">
        <v>3519</v>
      </c>
      <c r="B12792" s="2" t="s">
        <v>384</v>
      </c>
      <c r="C12792" s="2">
        <v>453.25510000000003</v>
      </c>
      <c r="D12792" s="2">
        <f>HYPERLINK("http://mcb-m6.bioreg.kyushu-u.ac.jp/M3/20110502/F51190/616/1", 44.09)</f>
        <v>44.09</v>
      </c>
      <c r="E12792" s="2">
        <v>27.57</v>
      </c>
      <c r="F12792" s="2">
        <v>2</v>
      </c>
      <c r="G12792" s="2" t="s">
        <v>14</v>
      </c>
      <c r="I12792" s="2" t="s">
        <v>4892</v>
      </c>
    </row>
    <row r="12793" spans="1:9" x14ac:dyDescent="0.2">
      <c r="A12793" s="2" t="s">
        <v>3519</v>
      </c>
      <c r="B12793" s="2" t="s">
        <v>361</v>
      </c>
      <c r="C12793" s="2">
        <v>1605.93</v>
      </c>
      <c r="D12793" s="2">
        <f>HYPERLINK("http://mcb-m6.bioreg.kyushu-u.ac.jp/M3/20110502/F51190/2022/1", 44.71)</f>
        <v>44.71</v>
      </c>
      <c r="E12793" s="2">
        <v>26.42</v>
      </c>
      <c r="F12793" s="2">
        <v>1</v>
      </c>
      <c r="G12793" s="2" t="s">
        <v>14</v>
      </c>
    </row>
    <row r="12794" spans="1:9" x14ac:dyDescent="0.2">
      <c r="A12794" s="2" t="s">
        <v>3519</v>
      </c>
      <c r="B12794" s="2" t="s">
        <v>384</v>
      </c>
      <c r="C12794" s="2">
        <v>905.70500000000004</v>
      </c>
      <c r="D12794" s="2">
        <f>HYPERLINK("http://mcb-m6.bioreg.kyushu-u.ac.jp/M3/20110502/F51184/364/1", 45.47)</f>
        <v>45.47</v>
      </c>
      <c r="E12794" s="2">
        <v>26.94</v>
      </c>
      <c r="F12794" s="2">
        <v>1</v>
      </c>
      <c r="G12794" s="2" t="s">
        <v>14</v>
      </c>
      <c r="I12794" s="2" t="s">
        <v>4892</v>
      </c>
    </row>
    <row r="12795" spans="1:9" x14ac:dyDescent="0.2">
      <c r="A12795" s="2" t="s">
        <v>3519</v>
      </c>
      <c r="B12795" s="2" t="s">
        <v>384</v>
      </c>
      <c r="C12795" s="2">
        <v>905.73800000000006</v>
      </c>
      <c r="D12795" s="2">
        <f>HYPERLINK("http://mcb-m6.bioreg.kyushu-u.ac.jp/M3/20110502/F51185/526/1", 45.53)</f>
        <v>45.53</v>
      </c>
      <c r="E12795" s="2">
        <v>27.06</v>
      </c>
      <c r="F12795" s="2">
        <v>1</v>
      </c>
      <c r="G12795" s="2" t="s">
        <v>14</v>
      </c>
      <c r="I12795" s="2" t="s">
        <v>4892</v>
      </c>
    </row>
    <row r="12796" spans="1:9" x14ac:dyDescent="0.2">
      <c r="A12796" s="2" t="s">
        <v>3519</v>
      </c>
      <c r="B12796" s="2" t="s">
        <v>384</v>
      </c>
      <c r="C12796" s="2">
        <v>905.68100000000004</v>
      </c>
      <c r="D12796" s="2">
        <f>HYPERLINK("http://mcb-m6.bioreg.kyushu-u.ac.jp/M3/20110502/F51177/472/1", 45.6)</f>
        <v>45.6</v>
      </c>
      <c r="E12796" s="2">
        <v>30.65</v>
      </c>
      <c r="F12796" s="2">
        <v>1</v>
      </c>
      <c r="G12796" s="2" t="s">
        <v>14</v>
      </c>
      <c r="I12796" s="2" t="s">
        <v>4892</v>
      </c>
    </row>
    <row r="12797" spans="1:9" x14ac:dyDescent="0.2">
      <c r="A12797" s="2" t="s">
        <v>3519</v>
      </c>
      <c r="B12797" s="2" t="s">
        <v>384</v>
      </c>
      <c r="C12797" s="2">
        <v>905.69899999999996</v>
      </c>
      <c r="D12797" s="2">
        <f>HYPERLINK("http://mcb-m6.bioreg.kyushu-u.ac.jp/M3/20110502/F51182/511/1", 45.63)</f>
        <v>45.63</v>
      </c>
      <c r="E12797" s="2">
        <v>14.41</v>
      </c>
      <c r="F12797" s="2">
        <v>1</v>
      </c>
      <c r="G12797" s="2" t="s">
        <v>14</v>
      </c>
      <c r="I12797" s="2" t="s">
        <v>4892</v>
      </c>
    </row>
    <row r="12798" spans="1:9" x14ac:dyDescent="0.2">
      <c r="A12798" s="2" t="s">
        <v>3519</v>
      </c>
      <c r="B12798" s="2" t="s">
        <v>384</v>
      </c>
      <c r="C12798" s="2">
        <v>905.71</v>
      </c>
      <c r="D12798" s="2">
        <f>HYPERLINK("http://mcb-m6.bioreg.kyushu-u.ac.jp/M3/20110502/F51181/585/1", 45.86)</f>
        <v>45.86</v>
      </c>
      <c r="E12798" s="2">
        <v>16.37</v>
      </c>
      <c r="F12798" s="2">
        <v>1</v>
      </c>
      <c r="G12798" s="2" t="s">
        <v>14</v>
      </c>
      <c r="I12798" s="2" t="s">
        <v>4892</v>
      </c>
    </row>
    <row r="12799" spans="1:9" x14ac:dyDescent="0.2">
      <c r="A12799" s="2" t="s">
        <v>3519</v>
      </c>
      <c r="B12799" s="2" t="s">
        <v>384</v>
      </c>
      <c r="C12799" s="2">
        <v>453.25409999999999</v>
      </c>
      <c r="D12799" s="2">
        <f>HYPERLINK("http://mcb-m6.bioreg.kyushu-u.ac.jp/M3/20110502/F51190/615/1", 45.98)</f>
        <v>45.98</v>
      </c>
      <c r="E12799" s="2">
        <v>25.91</v>
      </c>
      <c r="F12799" s="2">
        <v>2</v>
      </c>
      <c r="G12799" s="2" t="s">
        <v>14</v>
      </c>
      <c r="I12799" s="2" t="s">
        <v>4892</v>
      </c>
    </row>
    <row r="12800" spans="1:9" x14ac:dyDescent="0.2">
      <c r="A12800" s="2" t="s">
        <v>3519</v>
      </c>
      <c r="B12800" s="2" t="s">
        <v>361</v>
      </c>
      <c r="C12800" s="2">
        <v>803.78719999999998</v>
      </c>
      <c r="D12800" s="2">
        <f>HYPERLINK("http://mcb-m6.bioreg.kyushu-u.ac.jp/M3/20110502/F51183/2257/1", 46.1)</f>
        <v>46.1</v>
      </c>
      <c r="E12800" s="2">
        <v>23</v>
      </c>
      <c r="F12800" s="2">
        <v>2</v>
      </c>
      <c r="G12800" s="2" t="s">
        <v>14</v>
      </c>
    </row>
    <row r="12801" spans="1:9" x14ac:dyDescent="0.2">
      <c r="A12801" s="2" t="s">
        <v>3519</v>
      </c>
      <c r="B12801" s="2" t="s">
        <v>1600</v>
      </c>
      <c r="C12801" s="2">
        <v>1068.674</v>
      </c>
      <c r="D12801" s="2">
        <f>HYPERLINK("http://mcb-m6.bioreg.kyushu-u.ac.jp/M3/20110502/F51179/3319/1", 46.53)</f>
        <v>46.53</v>
      </c>
      <c r="E12801" s="2">
        <v>30.43</v>
      </c>
      <c r="F12801" s="2">
        <v>2</v>
      </c>
      <c r="G12801" s="2" t="s">
        <v>14</v>
      </c>
    </row>
    <row r="12802" spans="1:9" x14ac:dyDescent="0.2">
      <c r="A12802" s="2" t="s">
        <v>3519</v>
      </c>
      <c r="B12802" s="2" t="s">
        <v>1600</v>
      </c>
      <c r="C12802" s="2">
        <v>1069.114</v>
      </c>
      <c r="D12802" s="2">
        <f>HYPERLINK("http://mcb-m6.bioreg.kyushu-u.ac.jp/M3/20110502/F51192/3131/1", 48.75)</f>
        <v>48.75</v>
      </c>
      <c r="E12802" s="2">
        <v>33.53</v>
      </c>
      <c r="F12802" s="2">
        <v>2</v>
      </c>
      <c r="G12802" s="2" t="s">
        <v>14</v>
      </c>
    </row>
    <row r="12803" spans="1:9" x14ac:dyDescent="0.2">
      <c r="A12803" s="2" t="s">
        <v>3519</v>
      </c>
      <c r="B12803" s="2" t="s">
        <v>384</v>
      </c>
      <c r="C12803" s="2">
        <v>453.48009999999999</v>
      </c>
      <c r="D12803" s="2">
        <f>HYPERLINK("http://mcb-m6.bioreg.kyushu-u.ac.jp/M3/20110502/F51176/1324/1", 51.16)</f>
        <v>51.16</v>
      </c>
      <c r="E12803" s="2">
        <v>26.93</v>
      </c>
      <c r="F12803" s="2">
        <v>2</v>
      </c>
      <c r="G12803" s="2" t="s">
        <v>14</v>
      </c>
      <c r="I12803" s="2" t="s">
        <v>4892</v>
      </c>
    </row>
    <row r="12804" spans="1:9" x14ac:dyDescent="0.2">
      <c r="A12804" s="2" t="s">
        <v>3519</v>
      </c>
      <c r="B12804" s="2" t="s">
        <v>1825</v>
      </c>
      <c r="C12804" s="2">
        <v>734.01070000000004</v>
      </c>
      <c r="D12804" s="2">
        <f>HYPERLINK("http://mcb-m6.bioreg.kyushu-u.ac.jp/M3/20110502/F51190/1702/1", 51.93)</f>
        <v>51.93</v>
      </c>
      <c r="E12804" s="2">
        <v>27.34</v>
      </c>
      <c r="F12804" s="2">
        <v>2</v>
      </c>
      <c r="G12804" s="2" t="s">
        <v>14</v>
      </c>
    </row>
    <row r="12805" spans="1:9" x14ac:dyDescent="0.2">
      <c r="A12805" s="2" t="s">
        <v>3519</v>
      </c>
      <c r="B12805" s="2" t="s">
        <v>1763</v>
      </c>
      <c r="C12805" s="2">
        <v>626.18269999999995</v>
      </c>
      <c r="D12805" s="2">
        <f>HYPERLINK("http://mcb-m6.bioreg.kyushu-u.ac.jp/M3/20110502/F51190/1261/1", 53.02)</f>
        <v>53.02</v>
      </c>
      <c r="E12805" s="2">
        <v>27.02</v>
      </c>
      <c r="F12805" s="2">
        <v>2</v>
      </c>
      <c r="G12805" s="2" t="s">
        <v>14</v>
      </c>
      <c r="I12805" s="2" t="s">
        <v>4903</v>
      </c>
    </row>
    <row r="12806" spans="1:9" x14ac:dyDescent="0.2">
      <c r="A12806" s="2" t="s">
        <v>3519</v>
      </c>
      <c r="B12806" s="2" t="s">
        <v>384</v>
      </c>
      <c r="C12806" s="2">
        <v>453.4006</v>
      </c>
      <c r="D12806" s="2">
        <f>HYPERLINK("http://mcb-m6.bioreg.kyushu-u.ac.jp/M3/20110502/F51190/619/1", 53.87)</f>
        <v>53.87</v>
      </c>
      <c r="E12806" s="2">
        <v>29.91</v>
      </c>
      <c r="F12806" s="2">
        <v>2</v>
      </c>
      <c r="G12806" s="2" t="s">
        <v>14</v>
      </c>
      <c r="I12806" s="2" t="s">
        <v>4892</v>
      </c>
    </row>
    <row r="12807" spans="1:9" x14ac:dyDescent="0.2">
      <c r="A12807" s="2" t="s">
        <v>3519</v>
      </c>
      <c r="B12807" s="2" t="s">
        <v>1825</v>
      </c>
      <c r="C12807" s="2">
        <v>733.87919999999997</v>
      </c>
      <c r="D12807" s="2">
        <f>HYPERLINK("http://mcb-m6.bioreg.kyushu-u.ac.jp/M3/20110502/F51192/1742/1", 56.69)</f>
        <v>56.69</v>
      </c>
      <c r="E12807" s="2">
        <v>38.729999999999997</v>
      </c>
      <c r="F12807" s="2">
        <v>2</v>
      </c>
      <c r="G12807" s="2" t="s">
        <v>14</v>
      </c>
    </row>
    <row r="12808" spans="1:9" x14ac:dyDescent="0.2">
      <c r="A12808" s="2" t="s">
        <v>3519</v>
      </c>
      <c r="B12808" s="2" t="s">
        <v>361</v>
      </c>
      <c r="C12808" s="2">
        <v>803.40869999999995</v>
      </c>
      <c r="D12808" s="2">
        <f>HYPERLINK("http://mcb-m6.bioreg.kyushu-u.ac.jp/M3/20110502/F51185/2217/1", 57.18)</f>
        <v>57.18</v>
      </c>
      <c r="E12808" s="2">
        <v>42.37</v>
      </c>
      <c r="F12808" s="2">
        <v>2</v>
      </c>
      <c r="G12808" s="2" t="s">
        <v>14</v>
      </c>
    </row>
    <row r="12809" spans="1:9" x14ac:dyDescent="0.2">
      <c r="A12809" s="2" t="s">
        <v>3519</v>
      </c>
      <c r="B12809" s="2" t="s">
        <v>1763</v>
      </c>
      <c r="C12809" s="2">
        <v>626.03520000000003</v>
      </c>
      <c r="D12809" s="2">
        <f>HYPERLINK("http://mcb-m6.bioreg.kyushu-u.ac.jp/M3/20110502/F51190/1260/1", 57.22)</f>
        <v>57.22</v>
      </c>
      <c r="E12809" s="2">
        <v>24.94</v>
      </c>
      <c r="F12809" s="2">
        <v>2</v>
      </c>
      <c r="G12809" s="2" t="s">
        <v>14</v>
      </c>
      <c r="I12809" s="2" t="s">
        <v>4903</v>
      </c>
    </row>
    <row r="12810" spans="1:9" x14ac:dyDescent="0.2">
      <c r="A12810" s="2" t="s">
        <v>3519</v>
      </c>
      <c r="B12810" s="2" t="s">
        <v>361</v>
      </c>
      <c r="C12810" s="2">
        <v>803.87660000000005</v>
      </c>
      <c r="D12810" s="2">
        <f>HYPERLINK("http://mcb-m6.bioreg.kyushu-u.ac.jp/M3/20110502/F51176/2172/1", 58.65)</f>
        <v>58.65</v>
      </c>
      <c r="E12810" s="2">
        <v>20.76</v>
      </c>
      <c r="F12810" s="2">
        <v>2</v>
      </c>
      <c r="G12810" s="2" t="s">
        <v>14</v>
      </c>
    </row>
    <row r="12811" spans="1:9" x14ac:dyDescent="0.2">
      <c r="A12811" s="2" t="s">
        <v>3519</v>
      </c>
      <c r="B12811" s="2" t="s">
        <v>2123</v>
      </c>
      <c r="C12811" s="2">
        <v>1000.096</v>
      </c>
      <c r="D12811" s="2">
        <f>HYPERLINK("http://mcb-m6.bioreg.kyushu-u.ac.jp/M3/20110502/F51190/3313/1", 59.13)</f>
        <v>59.13</v>
      </c>
      <c r="E12811" s="2">
        <v>45.46</v>
      </c>
      <c r="F12811" s="2">
        <v>3</v>
      </c>
      <c r="G12811" s="2" t="s">
        <v>14</v>
      </c>
    </row>
    <row r="12812" spans="1:9" x14ac:dyDescent="0.2">
      <c r="A12812" s="2" t="s">
        <v>3519</v>
      </c>
      <c r="B12812" s="2" t="s">
        <v>361</v>
      </c>
      <c r="C12812" s="2">
        <v>803.73519999999996</v>
      </c>
      <c r="D12812" s="2">
        <f>HYPERLINK("http://mcb-m6.bioreg.kyushu-u.ac.jp/M3/20110502/F51178/2393/1", 62.32)</f>
        <v>62.32</v>
      </c>
      <c r="E12812" s="2">
        <v>39.049999999999997</v>
      </c>
      <c r="F12812" s="2">
        <v>2</v>
      </c>
      <c r="G12812" s="2" t="s">
        <v>14</v>
      </c>
    </row>
    <row r="12813" spans="1:9" x14ac:dyDescent="0.2">
      <c r="A12813" s="2" t="s">
        <v>3519</v>
      </c>
      <c r="B12813" s="2" t="s">
        <v>1709</v>
      </c>
      <c r="C12813" s="2">
        <v>881.69069999999999</v>
      </c>
      <c r="D12813" s="2">
        <f>HYPERLINK("http://mcb-m6.bioreg.kyushu-u.ac.jp/M3/20110502/F51190/2315/1", 63.51)</f>
        <v>63.51</v>
      </c>
      <c r="E12813" s="2">
        <v>41.61</v>
      </c>
      <c r="F12813" s="2">
        <v>2</v>
      </c>
      <c r="G12813" s="2" t="s">
        <v>14</v>
      </c>
    </row>
    <row r="12814" spans="1:9" x14ac:dyDescent="0.2">
      <c r="A12814" s="2" t="s">
        <v>3519</v>
      </c>
      <c r="B12814" s="2" t="s">
        <v>1825</v>
      </c>
      <c r="C12814" s="2">
        <v>734.00369999999998</v>
      </c>
      <c r="D12814" s="2">
        <f>HYPERLINK("http://mcb-m6.bioreg.kyushu-u.ac.jp/M3/20110502/F51190/1701/1", 64.74)</f>
        <v>64.739999999999995</v>
      </c>
      <c r="E12814" s="2">
        <v>40.72</v>
      </c>
      <c r="F12814" s="2">
        <v>2</v>
      </c>
      <c r="G12814" s="2" t="s">
        <v>14</v>
      </c>
    </row>
    <row r="12815" spans="1:9" x14ac:dyDescent="0.2">
      <c r="A12815" s="2" t="s">
        <v>3519</v>
      </c>
      <c r="B12815" s="2" t="s">
        <v>2056</v>
      </c>
      <c r="C12815" s="2">
        <v>1047.9580000000001</v>
      </c>
      <c r="D12815" s="2">
        <f>HYPERLINK("http://mcb-m6.bioreg.kyushu-u.ac.jp/M3/20110502/F51190/3339/1", 66.42)</f>
        <v>66.42</v>
      </c>
      <c r="E12815" s="2">
        <v>52.74</v>
      </c>
      <c r="F12815" s="2">
        <v>3</v>
      </c>
      <c r="G12815" s="2" t="s">
        <v>14</v>
      </c>
      <c r="H12815" s="2" t="s">
        <v>4901</v>
      </c>
    </row>
    <row r="12816" spans="1:9" x14ac:dyDescent="0.2">
      <c r="A12816" s="2" t="s">
        <v>3519</v>
      </c>
      <c r="B12816" s="2" t="s">
        <v>361</v>
      </c>
      <c r="C12816" s="2">
        <v>803.55970000000002</v>
      </c>
      <c r="D12816" s="2">
        <f>HYPERLINK("http://mcb-m6.bioreg.kyushu-u.ac.jp/M3/20110502/F51190/2026/1", 66.46)</f>
        <v>66.459999999999994</v>
      </c>
      <c r="E12816" s="2">
        <v>29.32</v>
      </c>
      <c r="F12816" s="2">
        <v>2</v>
      </c>
      <c r="G12816" s="2" t="s">
        <v>14</v>
      </c>
    </row>
    <row r="12817" spans="1:8" x14ac:dyDescent="0.2">
      <c r="A12817" s="2" t="s">
        <v>3519</v>
      </c>
      <c r="B12817" s="2" t="s">
        <v>1825</v>
      </c>
      <c r="C12817" s="2">
        <v>1466.8910000000001</v>
      </c>
      <c r="D12817" s="2">
        <f>HYPERLINK("http://mcb-m6.bioreg.kyushu-u.ac.jp/M3/20110502/F51190/1697/1", 67.04)</f>
        <v>67.040000000000006</v>
      </c>
      <c r="E12817" s="2">
        <v>36.9</v>
      </c>
      <c r="F12817" s="2">
        <v>1</v>
      </c>
      <c r="G12817" s="2" t="s">
        <v>14</v>
      </c>
    </row>
    <row r="12818" spans="1:8" x14ac:dyDescent="0.2">
      <c r="A12818" s="2" t="s">
        <v>3519</v>
      </c>
      <c r="B12818" s="2" t="s">
        <v>361</v>
      </c>
      <c r="C12818" s="2">
        <v>803.53610000000003</v>
      </c>
      <c r="D12818" s="2">
        <f>HYPERLINK("http://mcb-m6.bioreg.kyushu-u.ac.jp/M3/20110502/F51190/2025/1", 67.61)</f>
        <v>67.61</v>
      </c>
      <c r="E12818" s="2">
        <v>36.229999999999997</v>
      </c>
      <c r="F12818" s="2">
        <v>2</v>
      </c>
      <c r="G12818" s="2" t="s">
        <v>14</v>
      </c>
    </row>
    <row r="12819" spans="1:8" x14ac:dyDescent="0.2">
      <c r="A12819" s="2" t="s">
        <v>3519</v>
      </c>
      <c r="B12819" s="2" t="s">
        <v>1825</v>
      </c>
      <c r="C12819" s="2">
        <v>734.10670000000005</v>
      </c>
      <c r="D12819" s="2">
        <f>HYPERLINK("http://mcb-m6.bioreg.kyushu-u.ac.jp/M3/20110502/F51190/1703/1", 69.8)</f>
        <v>69.8</v>
      </c>
      <c r="E12819" s="2">
        <v>46.66</v>
      </c>
      <c r="F12819" s="2">
        <v>2</v>
      </c>
      <c r="G12819" s="2" t="s">
        <v>14</v>
      </c>
    </row>
    <row r="12820" spans="1:8" x14ac:dyDescent="0.2">
      <c r="A12820" s="2" t="s">
        <v>3519</v>
      </c>
      <c r="B12820" s="2" t="s">
        <v>1825</v>
      </c>
      <c r="C12820" s="2">
        <v>734.28769999999997</v>
      </c>
      <c r="D12820" s="2">
        <f>HYPERLINK("http://mcb-m6.bioreg.kyushu-u.ac.jp/M3/20110502/F51190/1706/1", 70.46)</f>
        <v>70.459999999999994</v>
      </c>
      <c r="E12820" s="2">
        <v>38.549999999999997</v>
      </c>
      <c r="F12820" s="2">
        <v>2</v>
      </c>
      <c r="G12820" s="2" t="s">
        <v>14</v>
      </c>
    </row>
    <row r="12821" spans="1:8" x14ac:dyDescent="0.2">
      <c r="A12821" s="2" t="s">
        <v>3519</v>
      </c>
      <c r="B12821" s="2" t="s">
        <v>1825</v>
      </c>
      <c r="C12821" s="2">
        <v>733.99770000000001</v>
      </c>
      <c r="D12821" s="2">
        <f>HYPERLINK("http://mcb-m6.bioreg.kyushu-u.ac.jp/M3/20110502/F51190/1700/1", 71.56)</f>
        <v>71.56</v>
      </c>
      <c r="E12821" s="2">
        <v>40.57</v>
      </c>
      <c r="F12821" s="2">
        <v>2</v>
      </c>
      <c r="G12821" s="2" t="s">
        <v>14</v>
      </c>
    </row>
    <row r="12822" spans="1:8" x14ac:dyDescent="0.2">
      <c r="A12822" s="2" t="s">
        <v>3519</v>
      </c>
      <c r="B12822" s="2" t="s">
        <v>361</v>
      </c>
      <c r="C12822" s="2">
        <v>803.51670000000001</v>
      </c>
      <c r="D12822" s="2">
        <f>HYPERLINK("http://mcb-m6.bioreg.kyushu-u.ac.jp/M3/20110502/F51193/2241/1", 71.73)</f>
        <v>71.73</v>
      </c>
      <c r="E12822" s="2">
        <v>15.23</v>
      </c>
      <c r="F12822" s="2">
        <v>2</v>
      </c>
      <c r="G12822" s="2" t="s">
        <v>14</v>
      </c>
    </row>
    <row r="12823" spans="1:8" x14ac:dyDescent="0.2">
      <c r="A12823" s="2" t="s">
        <v>3519</v>
      </c>
      <c r="B12823" s="2" t="s">
        <v>1825</v>
      </c>
      <c r="C12823" s="2">
        <v>733.95119999999997</v>
      </c>
      <c r="D12823" s="2">
        <f>HYPERLINK("http://mcb-m6.bioreg.kyushu-u.ac.jp/M3/20110502/F51194/1797/1", 71.89)</f>
        <v>71.89</v>
      </c>
      <c r="E12823" s="2">
        <v>41.88</v>
      </c>
      <c r="F12823" s="2">
        <v>2</v>
      </c>
      <c r="G12823" s="2" t="s">
        <v>14</v>
      </c>
    </row>
    <row r="12824" spans="1:8" x14ac:dyDescent="0.2">
      <c r="A12824" s="2" t="s">
        <v>3519</v>
      </c>
      <c r="B12824" s="2" t="s">
        <v>1709</v>
      </c>
      <c r="C12824" s="2">
        <v>881.65920000000006</v>
      </c>
      <c r="D12824" s="2">
        <f>HYPERLINK("http://mcb-m6.bioreg.kyushu-u.ac.jp/M3/20110502/F51190/2314/1", 74.37)</f>
        <v>74.37</v>
      </c>
      <c r="E12824" s="2">
        <v>46.55</v>
      </c>
      <c r="F12824" s="2">
        <v>2</v>
      </c>
      <c r="G12824" s="2" t="s">
        <v>14</v>
      </c>
    </row>
    <row r="12825" spans="1:8" x14ac:dyDescent="0.2">
      <c r="A12825" s="2" t="s">
        <v>3519</v>
      </c>
      <c r="B12825" s="2" t="s">
        <v>1709</v>
      </c>
      <c r="C12825" s="2">
        <v>881.23270000000002</v>
      </c>
      <c r="D12825" s="2">
        <f>HYPERLINK("http://mcb-m6.bioreg.kyushu-u.ac.jp/M3/20110502/F51190/2309/1", 74.43)</f>
        <v>74.430000000000007</v>
      </c>
      <c r="E12825" s="2">
        <v>56.69</v>
      </c>
      <c r="F12825" s="2">
        <v>2</v>
      </c>
      <c r="G12825" s="2" t="s">
        <v>14</v>
      </c>
    </row>
    <row r="12826" spans="1:8" x14ac:dyDescent="0.2">
      <c r="A12826" s="2" t="s">
        <v>3519</v>
      </c>
      <c r="B12826" s="2" t="s">
        <v>1709</v>
      </c>
      <c r="C12826" s="2">
        <v>881.65809999999999</v>
      </c>
      <c r="D12826" s="2">
        <f>HYPERLINK("http://mcb-m6.bioreg.kyushu-u.ac.jp/M3/20110502/F51190/2313/1", 74.51)</f>
        <v>74.510000000000005</v>
      </c>
      <c r="E12826" s="2">
        <v>50.12</v>
      </c>
      <c r="F12826" s="2">
        <v>2</v>
      </c>
      <c r="G12826" s="2" t="s">
        <v>14</v>
      </c>
    </row>
    <row r="12827" spans="1:8" x14ac:dyDescent="0.2">
      <c r="A12827" s="2" t="s">
        <v>3519</v>
      </c>
      <c r="B12827" s="2" t="s">
        <v>1825</v>
      </c>
      <c r="C12827" s="2">
        <v>734.04769999999996</v>
      </c>
      <c r="D12827" s="2">
        <f>HYPERLINK("http://mcb-m6.bioreg.kyushu-u.ac.jp/M3/20110502/F51178/2070/1", 75.1)</f>
        <v>75.099999999999994</v>
      </c>
      <c r="E12827" s="2">
        <v>42.37</v>
      </c>
      <c r="F12827" s="2">
        <v>2</v>
      </c>
      <c r="G12827" s="2" t="s">
        <v>14</v>
      </c>
    </row>
    <row r="12828" spans="1:8" x14ac:dyDescent="0.2">
      <c r="A12828" s="2" t="s">
        <v>3519</v>
      </c>
      <c r="B12828" s="2" t="s">
        <v>361</v>
      </c>
      <c r="C12828" s="2">
        <v>803.61519999999996</v>
      </c>
      <c r="D12828" s="2">
        <f>HYPERLINK("http://mcb-m6.bioreg.kyushu-u.ac.jp/M3/20110502/F51184/2236/1", 75.16)</f>
        <v>75.16</v>
      </c>
      <c r="E12828" s="2">
        <v>53.61</v>
      </c>
      <c r="F12828" s="2">
        <v>2</v>
      </c>
      <c r="G12828" s="2" t="s">
        <v>14</v>
      </c>
    </row>
    <row r="12829" spans="1:8" x14ac:dyDescent="0.2">
      <c r="A12829" s="2" t="s">
        <v>3519</v>
      </c>
      <c r="B12829" s="2" t="s">
        <v>1825</v>
      </c>
      <c r="C12829" s="2">
        <v>734.0231</v>
      </c>
      <c r="D12829" s="2">
        <f>HYPERLINK("http://mcb-m6.bioreg.kyushu-u.ac.jp/M3/20110502/F51191/1713/1", 76.92)</f>
        <v>76.92</v>
      </c>
      <c r="E12829" s="2">
        <v>42.95</v>
      </c>
      <c r="F12829" s="2">
        <v>2</v>
      </c>
      <c r="G12829" s="2" t="s">
        <v>14</v>
      </c>
    </row>
    <row r="12830" spans="1:8" x14ac:dyDescent="0.2">
      <c r="A12830" s="2" t="s">
        <v>3519</v>
      </c>
      <c r="B12830" s="2" t="s">
        <v>1825</v>
      </c>
      <c r="C12830" s="2">
        <v>734.00710000000004</v>
      </c>
      <c r="D12830" s="2">
        <f>HYPERLINK("http://mcb-m6.bioreg.kyushu-u.ac.jp/M3/20110502/F51179/1729/1", 77.16)</f>
        <v>77.16</v>
      </c>
      <c r="E12830" s="2">
        <v>44.59</v>
      </c>
      <c r="F12830" s="2">
        <v>2</v>
      </c>
      <c r="G12830" s="2" t="s">
        <v>14</v>
      </c>
    </row>
    <row r="12831" spans="1:8" x14ac:dyDescent="0.2">
      <c r="A12831" s="2" t="s">
        <v>3519</v>
      </c>
      <c r="B12831" s="2" t="s">
        <v>2123</v>
      </c>
      <c r="C12831" s="2">
        <v>1507.396</v>
      </c>
      <c r="D12831" s="2">
        <f>HYPERLINK("http://mcb-m6.bioreg.kyushu-u.ac.jp/M3/20110502/F51190/3317/1", 78.3)</f>
        <v>78.3</v>
      </c>
      <c r="E12831" s="2">
        <v>65.22</v>
      </c>
      <c r="F12831" s="2">
        <v>2</v>
      </c>
      <c r="G12831" s="2" t="s">
        <v>14</v>
      </c>
      <c r="H12831" s="2" t="s">
        <v>4917</v>
      </c>
    </row>
    <row r="12832" spans="1:8" x14ac:dyDescent="0.2">
      <c r="A12832" s="2" t="s">
        <v>3519</v>
      </c>
      <c r="B12832" s="2" t="s">
        <v>1818</v>
      </c>
      <c r="C12832" s="2">
        <v>798.16219999999998</v>
      </c>
      <c r="D12832" s="2">
        <f>HYPERLINK("http://mcb-m6.bioreg.kyushu-u.ac.jp/M3/20110502/F51190/1991/1", 79.23)</f>
        <v>79.23</v>
      </c>
      <c r="E12832" s="2">
        <v>56.86</v>
      </c>
      <c r="F12832" s="2">
        <v>2</v>
      </c>
      <c r="G12832" s="2" t="s">
        <v>14</v>
      </c>
    </row>
    <row r="12833" spans="1:7" x14ac:dyDescent="0.2">
      <c r="A12833" s="2" t="s">
        <v>3519</v>
      </c>
      <c r="B12833" s="2" t="s">
        <v>1825</v>
      </c>
      <c r="C12833" s="2">
        <v>734.03809999999999</v>
      </c>
      <c r="D12833" s="2">
        <f>HYPERLINK("http://mcb-m6.bioreg.kyushu-u.ac.jp/M3/20110502/F51176/1996/1", 79.33)</f>
        <v>79.33</v>
      </c>
      <c r="E12833" s="2">
        <v>43.93</v>
      </c>
      <c r="F12833" s="2">
        <v>2</v>
      </c>
      <c r="G12833" s="2" t="s">
        <v>14</v>
      </c>
    </row>
    <row r="12834" spans="1:7" x14ac:dyDescent="0.2">
      <c r="A12834" s="2" t="s">
        <v>3519</v>
      </c>
      <c r="B12834" s="2" t="s">
        <v>1825</v>
      </c>
      <c r="C12834" s="2">
        <v>734.21870000000001</v>
      </c>
      <c r="D12834" s="2">
        <f>HYPERLINK("http://mcb-m6.bioreg.kyushu-u.ac.jp/M3/20110502/F51183/1868/1", 79.71)</f>
        <v>79.709999999999994</v>
      </c>
      <c r="E12834" s="2">
        <v>47.01</v>
      </c>
      <c r="F12834" s="2">
        <v>2</v>
      </c>
      <c r="G12834" s="2" t="s">
        <v>14</v>
      </c>
    </row>
    <row r="12835" spans="1:7" x14ac:dyDescent="0.2">
      <c r="A12835" s="2" t="s">
        <v>3519</v>
      </c>
      <c r="B12835" s="2" t="s">
        <v>1825</v>
      </c>
      <c r="C12835" s="2">
        <v>734.21469999999999</v>
      </c>
      <c r="D12835" s="2">
        <f>HYPERLINK("http://mcb-m6.bioreg.kyushu-u.ac.jp/M3/20110502/F51182/1837/1", 79.9)</f>
        <v>79.900000000000006</v>
      </c>
      <c r="E12835" s="2">
        <v>45.59</v>
      </c>
      <c r="F12835" s="2">
        <v>2</v>
      </c>
      <c r="G12835" s="2" t="s">
        <v>14</v>
      </c>
    </row>
    <row r="12836" spans="1:7" x14ac:dyDescent="0.2">
      <c r="A12836" s="2" t="s">
        <v>3519</v>
      </c>
      <c r="B12836" s="2" t="s">
        <v>1825</v>
      </c>
      <c r="C12836" s="2">
        <v>733.99869999999999</v>
      </c>
      <c r="D12836" s="2">
        <f>HYPERLINK("http://mcb-m6.bioreg.kyushu-u.ac.jp/M3/20110502/F51186/1835/1", 80.4)</f>
        <v>80.400000000000006</v>
      </c>
      <c r="E12836" s="2">
        <v>53.39</v>
      </c>
      <c r="F12836" s="2">
        <v>2</v>
      </c>
      <c r="G12836" s="2" t="s">
        <v>14</v>
      </c>
    </row>
    <row r="12837" spans="1:7" x14ac:dyDescent="0.2">
      <c r="A12837" s="2" t="s">
        <v>3519</v>
      </c>
      <c r="B12837" s="2" t="s">
        <v>1825</v>
      </c>
      <c r="C12837" s="2">
        <v>734.30520000000001</v>
      </c>
      <c r="D12837" s="2">
        <f>HYPERLINK("http://mcb-m6.bioreg.kyushu-u.ac.jp/M3/20110502/F51185/1859/1", 80.55)</f>
        <v>80.55</v>
      </c>
      <c r="E12837" s="2">
        <v>45.17</v>
      </c>
      <c r="F12837" s="2">
        <v>2</v>
      </c>
      <c r="G12837" s="2" t="s">
        <v>14</v>
      </c>
    </row>
    <row r="12838" spans="1:7" x14ac:dyDescent="0.2">
      <c r="A12838" s="2" t="s">
        <v>3519</v>
      </c>
      <c r="B12838" s="2" t="s">
        <v>1600</v>
      </c>
      <c r="C12838" s="2">
        <v>1068.8620000000001</v>
      </c>
      <c r="D12838" s="2">
        <f>HYPERLINK("http://mcb-m6.bioreg.kyushu-u.ac.jp/M3/20110502/F51191/2973/1", 81.12)</f>
        <v>81.12</v>
      </c>
      <c r="E12838" s="2">
        <v>59.49</v>
      </c>
      <c r="F12838" s="2">
        <v>2</v>
      </c>
      <c r="G12838" s="2" t="s">
        <v>14</v>
      </c>
    </row>
    <row r="12839" spans="1:7" x14ac:dyDescent="0.2">
      <c r="A12839" s="2" t="s">
        <v>3519</v>
      </c>
      <c r="B12839" s="2" t="s">
        <v>361</v>
      </c>
      <c r="C12839" s="2">
        <v>803.4932</v>
      </c>
      <c r="D12839" s="2">
        <f>HYPERLINK("http://mcb-m6.bioreg.kyushu-u.ac.jp/M3/20110502/F51186/2158/1", 82.03)</f>
        <v>82.03</v>
      </c>
      <c r="E12839" s="2">
        <v>60.12</v>
      </c>
      <c r="F12839" s="2">
        <v>2</v>
      </c>
      <c r="G12839" s="2" t="s">
        <v>14</v>
      </c>
    </row>
    <row r="12840" spans="1:7" x14ac:dyDescent="0.2">
      <c r="A12840" s="2" t="s">
        <v>3519</v>
      </c>
      <c r="B12840" s="2" t="s">
        <v>1709</v>
      </c>
      <c r="C12840" s="2">
        <v>881.76969999999994</v>
      </c>
      <c r="D12840" s="2">
        <f>HYPERLINK("http://mcb-m6.bioreg.kyushu-u.ac.jp/M3/20110502/F51181/2440/1", 82.1)</f>
        <v>82.1</v>
      </c>
      <c r="E12840" s="2">
        <v>58.87</v>
      </c>
      <c r="F12840" s="2">
        <v>2</v>
      </c>
      <c r="G12840" s="2" t="s">
        <v>14</v>
      </c>
    </row>
    <row r="12841" spans="1:7" x14ac:dyDescent="0.2">
      <c r="A12841" s="2" t="s">
        <v>3519</v>
      </c>
      <c r="B12841" s="2" t="s">
        <v>1825</v>
      </c>
      <c r="C12841" s="2">
        <v>733.98270000000002</v>
      </c>
      <c r="D12841" s="2">
        <f>HYPERLINK("http://mcb-m6.bioreg.kyushu-u.ac.jp/M3/20110502/F51177/1788/1", 83.71)</f>
        <v>83.71</v>
      </c>
      <c r="E12841" s="2">
        <v>52.48</v>
      </c>
      <c r="F12841" s="2">
        <v>2</v>
      </c>
      <c r="G12841" s="2" t="s">
        <v>14</v>
      </c>
    </row>
    <row r="12842" spans="1:7" x14ac:dyDescent="0.2">
      <c r="A12842" s="2" t="s">
        <v>3519</v>
      </c>
      <c r="B12842" s="2" t="s">
        <v>1825</v>
      </c>
      <c r="C12842" s="2">
        <v>733.97720000000004</v>
      </c>
      <c r="D12842" s="2">
        <f>HYPERLINK("http://mcb-m6.bioreg.kyushu-u.ac.jp/M3/20110502/F51190/1698/1", 84.02)</f>
        <v>84.02</v>
      </c>
      <c r="E12842" s="2">
        <v>56.94</v>
      </c>
      <c r="F12842" s="2">
        <v>2</v>
      </c>
      <c r="G12842" s="2" t="s">
        <v>14</v>
      </c>
    </row>
    <row r="12843" spans="1:7" x14ac:dyDescent="0.2">
      <c r="A12843" s="2" t="s">
        <v>3519</v>
      </c>
      <c r="B12843" s="2" t="s">
        <v>2034</v>
      </c>
      <c r="C12843" s="2">
        <v>1035.742</v>
      </c>
      <c r="D12843" s="2">
        <f>HYPERLINK("http://mcb-m6.bioreg.kyushu-u.ac.jp/M3/20110502/F51190/2740/1", 86.38)</f>
        <v>86.38</v>
      </c>
      <c r="E12843" s="2">
        <v>65.900000000000006</v>
      </c>
      <c r="F12843" s="2">
        <v>2</v>
      </c>
      <c r="G12843" s="2" t="s">
        <v>14</v>
      </c>
    </row>
    <row r="12844" spans="1:7" x14ac:dyDescent="0.2">
      <c r="A12844" s="2" t="s">
        <v>3519</v>
      </c>
      <c r="B12844" s="2" t="s">
        <v>2056</v>
      </c>
      <c r="C12844" s="2">
        <v>1042.8510000000001</v>
      </c>
      <c r="D12844" s="2">
        <f>HYPERLINK("http://mcb-m6.bioreg.kyushu-u.ac.jp/M3/20110502/F51190/3338/1", 103.04)</f>
        <v>103.04</v>
      </c>
      <c r="E12844" s="2">
        <v>87.97</v>
      </c>
      <c r="F12844" s="2">
        <v>3</v>
      </c>
      <c r="G12844" s="2" t="s">
        <v>14</v>
      </c>
    </row>
    <row r="12845" spans="1:7" x14ac:dyDescent="0.2">
      <c r="A12845" s="2" t="s">
        <v>3519</v>
      </c>
      <c r="B12845" s="2" t="s">
        <v>1600</v>
      </c>
      <c r="C12845" s="2">
        <v>1068.9059999999999</v>
      </c>
      <c r="D12845" s="2">
        <f>HYPERLINK("http://mcb-m6.bioreg.kyushu-u.ac.jp/M3/20110502/F51184/3520/1", 118.27)</f>
        <v>118.27</v>
      </c>
      <c r="E12845" s="2">
        <v>82.72</v>
      </c>
      <c r="F12845" s="2">
        <v>2</v>
      </c>
      <c r="G12845" s="2" t="s">
        <v>14</v>
      </c>
    </row>
    <row r="12846" spans="1:7" x14ac:dyDescent="0.2">
      <c r="A12846" s="2" t="s">
        <v>3358</v>
      </c>
      <c r="B12846" s="2" t="s">
        <v>150</v>
      </c>
      <c r="C12846" s="2">
        <v>940.35419999999999</v>
      </c>
      <c r="D12846" s="2">
        <f>HYPERLINK("http://mcb-m6.bioreg.kyushu-u.ac.jp/M3/20110411/F50915/3030/1", 36.82)</f>
        <v>36.82</v>
      </c>
      <c r="E12846" s="2">
        <v>21.88</v>
      </c>
      <c r="F12846" s="2">
        <v>2</v>
      </c>
      <c r="G12846" s="2" t="s">
        <v>9</v>
      </c>
    </row>
    <row r="12847" spans="1:7" x14ac:dyDescent="0.2">
      <c r="A12847" s="2" t="s">
        <v>3358</v>
      </c>
      <c r="B12847" s="2" t="s">
        <v>150</v>
      </c>
      <c r="C12847" s="2">
        <v>940.39469999999994</v>
      </c>
      <c r="D12847" s="2">
        <f>HYPERLINK("http://mcb-m6.bioreg.kyushu-u.ac.jp/M3/20110411/F50903/2915/1", 72.78)</f>
        <v>72.78</v>
      </c>
      <c r="E12847" s="2">
        <v>55.6</v>
      </c>
      <c r="F12847" s="2">
        <v>2</v>
      </c>
      <c r="G12847" s="2" t="s">
        <v>9</v>
      </c>
    </row>
    <row r="12848" spans="1:7" x14ac:dyDescent="0.2">
      <c r="A12848" s="2" t="s">
        <v>3358</v>
      </c>
      <c r="B12848" s="2" t="s">
        <v>150</v>
      </c>
      <c r="C12848" s="2">
        <v>940.22469999999998</v>
      </c>
      <c r="D12848" s="2">
        <f>HYPERLINK("http://mcb-m6.bioreg.kyushu-u.ac.jp/M3/20110411/F50914/3012/1", 40.05)</f>
        <v>40.049999999999997</v>
      </c>
      <c r="E12848" s="2">
        <v>29.39</v>
      </c>
      <c r="F12848" s="2">
        <v>2</v>
      </c>
      <c r="G12848" s="2" t="s">
        <v>10</v>
      </c>
    </row>
    <row r="12849" spans="1:7" x14ac:dyDescent="0.2">
      <c r="A12849" s="2" t="s">
        <v>3358</v>
      </c>
      <c r="B12849" s="2" t="s">
        <v>150</v>
      </c>
      <c r="C12849" s="2">
        <v>940.0077</v>
      </c>
      <c r="D12849" s="2">
        <f>HYPERLINK("http://mcb-m6.bioreg.kyushu-u.ac.jp/M3/20110411/F50898/2811/1", 50.52)</f>
        <v>50.52</v>
      </c>
      <c r="E12849" s="2">
        <v>38.76</v>
      </c>
      <c r="F12849" s="2">
        <v>2</v>
      </c>
      <c r="G12849" s="2" t="s">
        <v>10</v>
      </c>
    </row>
    <row r="12850" spans="1:7" x14ac:dyDescent="0.2">
      <c r="A12850" s="2" t="s">
        <v>3358</v>
      </c>
      <c r="B12850" s="2" t="s">
        <v>150</v>
      </c>
      <c r="C12850" s="2">
        <v>940.33119999999997</v>
      </c>
      <c r="D12850" s="2">
        <f>HYPERLINK("http://mcb-m6.bioreg.kyushu-u.ac.jp/M3/20110411/F50898/2812/1", 53.17)</f>
        <v>53.17</v>
      </c>
      <c r="E12850" s="2">
        <v>40.409999999999997</v>
      </c>
      <c r="F12850" s="2">
        <v>2</v>
      </c>
      <c r="G12850" s="2" t="s">
        <v>10</v>
      </c>
    </row>
    <row r="12851" spans="1:7" x14ac:dyDescent="0.2">
      <c r="A12851" s="2" t="s">
        <v>3358</v>
      </c>
      <c r="B12851" s="2" t="s">
        <v>150</v>
      </c>
      <c r="C12851" s="2">
        <v>939.94870000000003</v>
      </c>
      <c r="D12851" s="2">
        <f>HYPERLINK("http://mcb-m6.bioreg.kyushu-u.ac.jp/M3/20110411/F50921/2708/1", 55.18)</f>
        <v>55.18</v>
      </c>
      <c r="E12851" s="2">
        <v>43.72</v>
      </c>
      <c r="F12851" s="2">
        <v>2</v>
      </c>
      <c r="G12851" s="2" t="s">
        <v>10</v>
      </c>
    </row>
    <row r="12852" spans="1:7" x14ac:dyDescent="0.2">
      <c r="A12852" s="2" t="s">
        <v>3358</v>
      </c>
      <c r="B12852" s="2" t="s">
        <v>150</v>
      </c>
      <c r="C12852" s="2">
        <v>940.00369999999998</v>
      </c>
      <c r="D12852" s="2">
        <f>HYPERLINK("http://mcb-m6.bioreg.kyushu-u.ac.jp/M3/20110411/F50900/2865/1", 58.66)</f>
        <v>58.66</v>
      </c>
      <c r="E12852" s="2">
        <v>46.34</v>
      </c>
      <c r="F12852" s="2">
        <v>2</v>
      </c>
      <c r="G12852" s="2" t="s">
        <v>10</v>
      </c>
    </row>
    <row r="12853" spans="1:7" x14ac:dyDescent="0.2">
      <c r="A12853" s="2" t="s">
        <v>3358</v>
      </c>
      <c r="B12853" s="2" t="s">
        <v>150</v>
      </c>
      <c r="C12853" s="2">
        <v>940.51419999999996</v>
      </c>
      <c r="D12853" s="2">
        <f>HYPERLINK("http://mcb-m6.bioreg.kyushu-u.ac.jp/M3/20110411/F50913/2965/1", 65.94)</f>
        <v>65.94</v>
      </c>
      <c r="E12853" s="2">
        <v>50.7</v>
      </c>
      <c r="F12853" s="2">
        <v>2</v>
      </c>
      <c r="G12853" s="2" t="s">
        <v>10</v>
      </c>
    </row>
    <row r="12854" spans="1:7" x14ac:dyDescent="0.2">
      <c r="A12854" s="2" t="s">
        <v>3358</v>
      </c>
      <c r="B12854" s="2" t="s">
        <v>150</v>
      </c>
      <c r="C12854" s="2">
        <v>940.16520000000003</v>
      </c>
      <c r="D12854" s="2">
        <f>HYPERLINK("http://mcb-m6.bioreg.kyushu-u.ac.jp/M3/20110411/F50897/2950/1", 66.81)</f>
        <v>66.81</v>
      </c>
      <c r="E12854" s="2">
        <v>40.479999999999997</v>
      </c>
      <c r="F12854" s="2">
        <v>2</v>
      </c>
      <c r="G12854" s="2" t="s">
        <v>10</v>
      </c>
    </row>
    <row r="12855" spans="1:7" x14ac:dyDescent="0.2">
      <c r="A12855" s="2" t="s">
        <v>3358</v>
      </c>
      <c r="B12855" s="2" t="s">
        <v>150</v>
      </c>
      <c r="C12855" s="2">
        <v>1878.973</v>
      </c>
      <c r="D12855" s="2">
        <f>HYPERLINK("http://mcb-m6.bioreg.kyushu-u.ac.jp/M3/20110411/F50920/2447/1", 67.46)</f>
        <v>67.459999999999994</v>
      </c>
      <c r="E12855" s="2">
        <v>53.24</v>
      </c>
      <c r="F12855" s="2">
        <v>1</v>
      </c>
      <c r="G12855" s="2" t="s">
        <v>10</v>
      </c>
    </row>
    <row r="12856" spans="1:7" x14ac:dyDescent="0.2">
      <c r="A12856" s="2" t="s">
        <v>3358</v>
      </c>
      <c r="B12856" s="2" t="s">
        <v>150</v>
      </c>
      <c r="C12856" s="2">
        <v>940.27260000000001</v>
      </c>
      <c r="D12856" s="2">
        <f>HYPERLINK("http://mcb-m6.bioreg.kyushu-u.ac.jp/M3/20110411/F50901/2842/1", 69.01)</f>
        <v>69.010000000000005</v>
      </c>
      <c r="E12856" s="2">
        <v>51.19</v>
      </c>
      <c r="F12856" s="2">
        <v>2</v>
      </c>
      <c r="G12856" s="2" t="s">
        <v>10</v>
      </c>
    </row>
    <row r="12857" spans="1:7" x14ac:dyDescent="0.2">
      <c r="A12857" s="2" t="s">
        <v>3358</v>
      </c>
      <c r="B12857" s="2" t="s">
        <v>150</v>
      </c>
      <c r="C12857" s="2">
        <v>939.93960000000004</v>
      </c>
      <c r="D12857" s="2">
        <f>HYPERLINK("http://mcb-m6.bioreg.kyushu-u.ac.jp/M3/20110411/F50921/2707/1", 79.2)</f>
        <v>79.2</v>
      </c>
      <c r="E12857" s="2">
        <v>67.52</v>
      </c>
      <c r="F12857" s="2">
        <v>2</v>
      </c>
      <c r="G12857" s="2" t="s">
        <v>10</v>
      </c>
    </row>
    <row r="12858" spans="1:7" x14ac:dyDescent="0.2">
      <c r="A12858" s="2" t="s">
        <v>3358</v>
      </c>
      <c r="B12858" s="2" t="s">
        <v>150</v>
      </c>
      <c r="C12858" s="2">
        <v>939.3981</v>
      </c>
      <c r="D12858" s="2">
        <f>HYPERLINK("http://mcb-m6.bioreg.kyushu-u.ac.jp/M3/20110411/F50920/2439/1", 83.49)</f>
        <v>83.49</v>
      </c>
      <c r="E12858" s="2">
        <v>63.58</v>
      </c>
      <c r="F12858" s="2">
        <v>2</v>
      </c>
      <c r="G12858" s="2" t="s">
        <v>10</v>
      </c>
    </row>
    <row r="12859" spans="1:7" x14ac:dyDescent="0.2">
      <c r="A12859" s="2" t="s">
        <v>3358</v>
      </c>
      <c r="B12859" s="2" t="s">
        <v>150</v>
      </c>
      <c r="C12859" s="2">
        <v>940.15309999999999</v>
      </c>
      <c r="D12859" s="2">
        <f>HYPERLINK("http://mcb-m6.bioreg.kyushu-u.ac.jp/M3/20110411/F50896/2835/1", 84.18)</f>
        <v>84.18</v>
      </c>
      <c r="E12859" s="2">
        <v>56.3</v>
      </c>
      <c r="F12859" s="2">
        <v>2</v>
      </c>
      <c r="G12859" s="2" t="s">
        <v>10</v>
      </c>
    </row>
    <row r="12860" spans="1:7" x14ac:dyDescent="0.2">
      <c r="A12860" s="2" t="s">
        <v>3358</v>
      </c>
      <c r="B12860" s="2" t="s">
        <v>150</v>
      </c>
      <c r="C12860" s="2">
        <v>940.06669999999997</v>
      </c>
      <c r="D12860" s="2">
        <f>HYPERLINK("http://mcb-m6.bioreg.kyushu-u.ac.jp/M3/20110411/F50900/2866/1", 90.85)</f>
        <v>90.85</v>
      </c>
      <c r="E12860" s="2">
        <v>75.33</v>
      </c>
      <c r="F12860" s="2">
        <v>2</v>
      </c>
      <c r="G12860" s="2" t="s">
        <v>10</v>
      </c>
    </row>
    <row r="12861" spans="1:7" x14ac:dyDescent="0.2">
      <c r="A12861" s="2" t="s">
        <v>3358</v>
      </c>
      <c r="B12861" s="2" t="s">
        <v>150</v>
      </c>
      <c r="C12861" s="2">
        <v>940.03769999999997</v>
      </c>
      <c r="D12861" s="2">
        <f>HYPERLINK("http://mcb-m6.bioreg.kyushu-u.ac.jp/M3/20110411/F50896/2832/1", 92.08)</f>
        <v>92.08</v>
      </c>
      <c r="E12861" s="2">
        <v>67.62</v>
      </c>
      <c r="F12861" s="2">
        <v>2</v>
      </c>
      <c r="G12861" s="2" t="s">
        <v>10</v>
      </c>
    </row>
    <row r="12862" spans="1:7" x14ac:dyDescent="0.2">
      <c r="A12862" s="2" t="s">
        <v>3358</v>
      </c>
      <c r="B12862" s="2" t="s">
        <v>150</v>
      </c>
      <c r="C12862" s="2">
        <v>939.86360000000002</v>
      </c>
      <c r="D12862" s="2">
        <f>HYPERLINK("http://mcb-m6.bioreg.kyushu-u.ac.jp/M3/20110411/F50898/2808/1", 93.16)</f>
        <v>93.16</v>
      </c>
      <c r="E12862" s="2">
        <v>79.540000000000006</v>
      </c>
      <c r="F12862" s="2">
        <v>2</v>
      </c>
      <c r="G12862" s="2" t="s">
        <v>10</v>
      </c>
    </row>
    <row r="12863" spans="1:7" x14ac:dyDescent="0.2">
      <c r="A12863" s="2" t="s">
        <v>3358</v>
      </c>
      <c r="B12863" s="2" t="s">
        <v>150</v>
      </c>
      <c r="C12863" s="2">
        <v>1879.7739999999999</v>
      </c>
      <c r="D12863" s="2">
        <f>HYPERLINK("http://mcb-m6.bioreg.kyushu-u.ac.jp/M3/20110411/F50920/2455/1", 96.69)</f>
        <v>96.69</v>
      </c>
      <c r="E12863" s="2">
        <v>73.64</v>
      </c>
      <c r="F12863" s="2">
        <v>1</v>
      </c>
      <c r="G12863" s="2" t="s">
        <v>10</v>
      </c>
    </row>
    <row r="12864" spans="1:7" x14ac:dyDescent="0.2">
      <c r="A12864" s="2" t="s">
        <v>3358</v>
      </c>
      <c r="B12864" s="2" t="s">
        <v>150</v>
      </c>
      <c r="C12864" s="2">
        <v>940.30619999999999</v>
      </c>
      <c r="D12864" s="2">
        <f>HYPERLINK("http://mcb-m6.bioreg.kyushu-u.ac.jp/M3/20110411/F50921/2712/1", 96.98)</f>
        <v>96.98</v>
      </c>
      <c r="E12864" s="2">
        <v>80.84</v>
      </c>
      <c r="F12864" s="2">
        <v>2</v>
      </c>
      <c r="G12864" s="2" t="s">
        <v>10</v>
      </c>
    </row>
    <row r="12865" spans="1:7" x14ac:dyDescent="0.2">
      <c r="A12865" s="2" t="s">
        <v>3358</v>
      </c>
      <c r="B12865" s="2" t="s">
        <v>150</v>
      </c>
      <c r="C12865" s="2">
        <v>940.55909999999994</v>
      </c>
      <c r="D12865" s="2">
        <f>HYPERLINK("http://mcb-m6.bioreg.kyushu-u.ac.jp/M3/20110411/F50921/2716/1", 97.74)</f>
        <v>97.74</v>
      </c>
      <c r="E12865" s="2">
        <v>77.56</v>
      </c>
      <c r="F12865" s="2">
        <v>2</v>
      </c>
      <c r="G12865" s="2" t="s">
        <v>10</v>
      </c>
    </row>
    <row r="12866" spans="1:7" x14ac:dyDescent="0.2">
      <c r="A12866" s="2" t="s">
        <v>3358</v>
      </c>
      <c r="B12866" s="2" t="s">
        <v>150</v>
      </c>
      <c r="C12866" s="2">
        <v>940.52070000000003</v>
      </c>
      <c r="D12866" s="2">
        <f>HYPERLINK("http://mcb-m6.bioreg.kyushu-u.ac.jp/M3/20110411/F50921/2715/1", 98.2)</f>
        <v>98.2</v>
      </c>
      <c r="E12866" s="2">
        <v>76.78</v>
      </c>
      <c r="F12866" s="2">
        <v>2</v>
      </c>
      <c r="G12866" s="2" t="s">
        <v>10</v>
      </c>
    </row>
    <row r="12867" spans="1:7" x14ac:dyDescent="0.2">
      <c r="A12867" s="2" t="s">
        <v>3358</v>
      </c>
      <c r="B12867" s="2" t="s">
        <v>150</v>
      </c>
      <c r="C12867" s="2">
        <v>940.35569999999996</v>
      </c>
      <c r="D12867" s="2">
        <f>HYPERLINK("http://mcb-m6.bioreg.kyushu-u.ac.jp/M3/20110411/F50921/2714/1", 98.23)</f>
        <v>98.23</v>
      </c>
      <c r="E12867" s="2">
        <v>82.09</v>
      </c>
      <c r="F12867" s="2">
        <v>2</v>
      </c>
      <c r="G12867" s="2" t="s">
        <v>10</v>
      </c>
    </row>
    <row r="12868" spans="1:7" x14ac:dyDescent="0.2">
      <c r="A12868" s="2" t="s">
        <v>3358</v>
      </c>
      <c r="B12868" s="2" t="s">
        <v>150</v>
      </c>
      <c r="C12868" s="2">
        <v>940.31619999999998</v>
      </c>
      <c r="D12868" s="2">
        <f>HYPERLINK("http://mcb-m6.bioreg.kyushu-u.ac.jp/M3/20110411/F50921/2713/1", 100.11)</f>
        <v>100.11</v>
      </c>
      <c r="E12868" s="2">
        <v>82.73</v>
      </c>
      <c r="F12868" s="2">
        <v>2</v>
      </c>
      <c r="G12868" s="2" t="s">
        <v>10</v>
      </c>
    </row>
    <row r="12869" spans="1:7" x14ac:dyDescent="0.2">
      <c r="A12869" s="2" t="s">
        <v>3358</v>
      </c>
      <c r="B12869" s="2" t="s">
        <v>150</v>
      </c>
      <c r="C12869" s="2">
        <v>940.49620000000004</v>
      </c>
      <c r="D12869" s="2">
        <f>HYPERLINK("http://mcb-m6.bioreg.kyushu-u.ac.jp/M3/20110411/F50920/2457/1", 103.78)</f>
        <v>103.78</v>
      </c>
      <c r="E12869" s="2">
        <v>87.83</v>
      </c>
      <c r="F12869" s="2">
        <v>2</v>
      </c>
      <c r="G12869" s="2" t="s">
        <v>10</v>
      </c>
    </row>
    <row r="12870" spans="1:7" x14ac:dyDescent="0.2">
      <c r="A12870" s="2" t="s">
        <v>3358</v>
      </c>
      <c r="B12870" s="2" t="s">
        <v>150</v>
      </c>
      <c r="C12870" s="2">
        <v>940.16520000000003</v>
      </c>
      <c r="D12870" s="2">
        <f>HYPERLINK("http://mcb-m6.bioreg.kyushu-u.ac.jp/M3/20110411/F50913/2962/1", 105.24)</f>
        <v>105.24</v>
      </c>
      <c r="E12870" s="2">
        <v>77.88</v>
      </c>
      <c r="F12870" s="2">
        <v>2</v>
      </c>
      <c r="G12870" s="2" t="s">
        <v>10</v>
      </c>
    </row>
    <row r="12871" spans="1:7" x14ac:dyDescent="0.2">
      <c r="A12871" s="2" t="s">
        <v>3358</v>
      </c>
      <c r="B12871" s="2" t="s">
        <v>150</v>
      </c>
      <c r="C12871" s="2">
        <v>940.36069999999995</v>
      </c>
      <c r="D12871" s="2">
        <f>HYPERLINK("http://mcb-m6.bioreg.kyushu-u.ac.jp/M3/20110411/F50920/2453/1", 105.6)</f>
        <v>105.6</v>
      </c>
      <c r="E12871" s="2">
        <v>88.98</v>
      </c>
      <c r="F12871" s="2">
        <v>2</v>
      </c>
      <c r="G12871" s="2" t="s">
        <v>10</v>
      </c>
    </row>
    <row r="12872" spans="1:7" x14ac:dyDescent="0.2">
      <c r="A12872" s="2" t="s">
        <v>3358</v>
      </c>
      <c r="B12872" s="2" t="s">
        <v>150</v>
      </c>
      <c r="C12872" s="2">
        <v>940.37819999999999</v>
      </c>
      <c r="D12872" s="2">
        <f>HYPERLINK("http://mcb-m6.bioreg.kyushu-u.ac.jp/M3/20110411/F50920/2454/1", 105.65)</f>
        <v>105.65</v>
      </c>
      <c r="E12872" s="2">
        <v>84.58</v>
      </c>
      <c r="F12872" s="2">
        <v>2</v>
      </c>
      <c r="G12872" s="2" t="s">
        <v>10</v>
      </c>
    </row>
    <row r="12873" spans="1:7" x14ac:dyDescent="0.2">
      <c r="A12873" s="2" t="s">
        <v>3358</v>
      </c>
      <c r="B12873" s="2" t="s">
        <v>150</v>
      </c>
      <c r="C12873" s="2">
        <v>939.98519999999996</v>
      </c>
      <c r="D12873" s="2">
        <f>HYPERLINK("http://mcb-m6.bioreg.kyushu-u.ac.jp/M3/20110411/F50897/2945/1", 106.16)</f>
        <v>106.16</v>
      </c>
      <c r="E12873" s="2">
        <v>73.92</v>
      </c>
      <c r="F12873" s="2">
        <v>2</v>
      </c>
      <c r="G12873" s="2" t="s">
        <v>10</v>
      </c>
    </row>
    <row r="12874" spans="1:7" x14ac:dyDescent="0.2">
      <c r="A12874" s="2" t="s">
        <v>3358</v>
      </c>
      <c r="B12874" s="2" t="s">
        <v>150</v>
      </c>
      <c r="C12874" s="2">
        <v>940.06769999999995</v>
      </c>
      <c r="D12874" s="2">
        <f>HYPERLINK("http://mcb-m6.bioreg.kyushu-u.ac.jp/M3/20110411/F50901/2840/1", 106.91)</f>
        <v>106.91</v>
      </c>
      <c r="E12874" s="2">
        <v>89.52</v>
      </c>
      <c r="F12874" s="2">
        <v>2</v>
      </c>
      <c r="G12874" s="2" t="s">
        <v>10</v>
      </c>
    </row>
    <row r="12875" spans="1:7" x14ac:dyDescent="0.2">
      <c r="A12875" s="2" t="s">
        <v>3358</v>
      </c>
      <c r="B12875" s="2" t="s">
        <v>150</v>
      </c>
      <c r="C12875" s="2">
        <v>940.09619999999995</v>
      </c>
      <c r="D12875" s="2">
        <f>HYPERLINK("http://mcb-m6.bioreg.kyushu-u.ac.jp/M3/20110411/F50921/2711/1", 106.99)</f>
        <v>106.99</v>
      </c>
      <c r="E12875" s="2">
        <v>90.03</v>
      </c>
      <c r="F12875" s="2">
        <v>2</v>
      </c>
      <c r="G12875" s="2" t="s">
        <v>10</v>
      </c>
    </row>
    <row r="12876" spans="1:7" x14ac:dyDescent="0.2">
      <c r="A12876" s="2" t="s">
        <v>3358</v>
      </c>
      <c r="B12876" s="2" t="s">
        <v>150</v>
      </c>
      <c r="C12876" s="2">
        <v>940.40060000000005</v>
      </c>
      <c r="D12876" s="2">
        <f>HYPERLINK("http://mcb-m6.bioreg.kyushu-u.ac.jp/M3/20110411/F50897/2951/1", 108.08)</f>
        <v>108.08</v>
      </c>
      <c r="E12876" s="2">
        <v>88.01</v>
      </c>
      <c r="F12876" s="2">
        <v>2</v>
      </c>
      <c r="G12876" s="2" t="s">
        <v>10</v>
      </c>
    </row>
    <row r="12877" spans="1:7" x14ac:dyDescent="0.2">
      <c r="A12877" s="2" t="s">
        <v>3358</v>
      </c>
      <c r="B12877" s="2" t="s">
        <v>150</v>
      </c>
      <c r="C12877" s="2">
        <v>940.15809999999999</v>
      </c>
      <c r="D12877" s="2">
        <f>HYPERLINK("http://mcb-m6.bioreg.kyushu-u.ac.jp/M3/20110411/F50897/2949/1", 109.97)</f>
        <v>109.97</v>
      </c>
      <c r="E12877" s="2">
        <v>91.75</v>
      </c>
      <c r="F12877" s="2">
        <v>2</v>
      </c>
      <c r="G12877" s="2" t="s">
        <v>10</v>
      </c>
    </row>
    <row r="12878" spans="1:7" x14ac:dyDescent="0.2">
      <c r="A12878" s="2" t="s">
        <v>3358</v>
      </c>
      <c r="B12878" s="2" t="s">
        <v>150</v>
      </c>
      <c r="C12878" s="2">
        <v>940.06820000000005</v>
      </c>
      <c r="D12878" s="2">
        <f>HYPERLINK("http://mcb-m6.bioreg.kyushu-u.ac.jp/M3/20110411/F50897/2947/1", 111.09)</f>
        <v>111.09</v>
      </c>
      <c r="E12878" s="2">
        <v>85.93</v>
      </c>
      <c r="F12878" s="2">
        <v>2</v>
      </c>
      <c r="G12878" s="2" t="s">
        <v>10</v>
      </c>
    </row>
    <row r="12879" spans="1:7" x14ac:dyDescent="0.2">
      <c r="A12879" s="2" t="s">
        <v>3358</v>
      </c>
      <c r="B12879" s="2" t="s">
        <v>150</v>
      </c>
      <c r="C12879" s="2">
        <v>940.00519999999995</v>
      </c>
      <c r="D12879" s="2">
        <f>HYPERLINK("http://mcb-m6.bioreg.kyushu-u.ac.jp/M3/20110411/F50918/2818/1", 112.14)</f>
        <v>112.14</v>
      </c>
      <c r="E12879" s="2">
        <v>94.37</v>
      </c>
      <c r="F12879" s="2">
        <v>2</v>
      </c>
      <c r="G12879" s="2" t="s">
        <v>10</v>
      </c>
    </row>
    <row r="12880" spans="1:7" x14ac:dyDescent="0.2">
      <c r="A12880" s="2" t="s">
        <v>3358</v>
      </c>
      <c r="B12880" s="2" t="s">
        <v>150</v>
      </c>
      <c r="C12880" s="2">
        <v>939.89509999999996</v>
      </c>
      <c r="D12880" s="2">
        <f>HYPERLINK("http://mcb-m6.bioreg.kyushu-u.ac.jp/M3/20110411/F50896/2831/1", 115.69)</f>
        <v>115.69</v>
      </c>
      <c r="E12880" s="2">
        <v>96.13</v>
      </c>
      <c r="F12880" s="2">
        <v>2</v>
      </c>
      <c r="G12880" s="2" t="s">
        <v>10</v>
      </c>
    </row>
    <row r="12881" spans="1:7" x14ac:dyDescent="0.2">
      <c r="A12881" s="2" t="s">
        <v>3358</v>
      </c>
      <c r="B12881" s="2" t="s">
        <v>150</v>
      </c>
      <c r="C12881" s="2">
        <v>940.10569999999996</v>
      </c>
      <c r="D12881" s="2">
        <f>HYPERLINK("http://mcb-m6.bioreg.kyushu-u.ac.jp/M3/20110411/F50897/2948/1", 115.72)</f>
        <v>115.72</v>
      </c>
      <c r="E12881" s="2">
        <v>95.59</v>
      </c>
      <c r="F12881" s="2">
        <v>2</v>
      </c>
      <c r="G12881" s="2" t="s">
        <v>10</v>
      </c>
    </row>
    <row r="12882" spans="1:7" x14ac:dyDescent="0.2">
      <c r="A12882" s="2" t="s">
        <v>3358</v>
      </c>
      <c r="B12882" s="2" t="s">
        <v>150</v>
      </c>
      <c r="C12882" s="2">
        <v>939.83259999999996</v>
      </c>
      <c r="D12882" s="2">
        <f>HYPERLINK("http://mcb-m6.bioreg.kyushu-u.ac.jp/M3/20110411/F50917/3072/1", 118.87)</f>
        <v>118.87</v>
      </c>
      <c r="E12882" s="2">
        <v>98.88</v>
      </c>
      <c r="F12882" s="2">
        <v>2</v>
      </c>
      <c r="G12882" s="2" t="s">
        <v>10</v>
      </c>
    </row>
    <row r="12883" spans="1:7" x14ac:dyDescent="0.2">
      <c r="A12883" s="2" t="s">
        <v>3358</v>
      </c>
      <c r="B12883" s="2" t="s">
        <v>150</v>
      </c>
      <c r="C12883" s="2">
        <v>939.82820000000004</v>
      </c>
      <c r="D12883" s="2">
        <f>HYPERLINK("http://mcb-m6.bioreg.kyushu-u.ac.jp/M3/20110411/F50914/3006/1", 121.29)</f>
        <v>121.29</v>
      </c>
      <c r="E12883" s="2">
        <v>98.88</v>
      </c>
      <c r="F12883" s="2">
        <v>2</v>
      </c>
      <c r="G12883" s="2" t="s">
        <v>10</v>
      </c>
    </row>
    <row r="12884" spans="1:7" x14ac:dyDescent="0.2">
      <c r="A12884" s="2" t="s">
        <v>3358</v>
      </c>
      <c r="B12884" s="2" t="s">
        <v>150</v>
      </c>
      <c r="C12884" s="2">
        <v>940.08759999999995</v>
      </c>
      <c r="D12884" s="2">
        <f>HYPERLINK("http://mcb-m6.bioreg.kyushu-u.ac.jp/M3/20110411/F50912/2948/1", 121.83)</f>
        <v>121.83</v>
      </c>
      <c r="E12884" s="2">
        <v>100.08</v>
      </c>
      <c r="F12884" s="2">
        <v>2</v>
      </c>
      <c r="G12884" s="2" t="s">
        <v>10</v>
      </c>
    </row>
    <row r="12885" spans="1:7" x14ac:dyDescent="0.2">
      <c r="A12885" s="2" t="s">
        <v>3358</v>
      </c>
      <c r="B12885" s="2" t="s">
        <v>150</v>
      </c>
      <c r="C12885" s="2">
        <v>940.10969999999998</v>
      </c>
      <c r="D12885" s="2">
        <f>HYPERLINK("http://mcb-m6.bioreg.kyushu-u.ac.jp/M3/20110411/F50896/2833/1", 122.19)</f>
        <v>122.19</v>
      </c>
      <c r="E12885" s="2">
        <v>99.34</v>
      </c>
      <c r="F12885" s="2">
        <v>2</v>
      </c>
      <c r="G12885" s="2" t="s">
        <v>10</v>
      </c>
    </row>
    <row r="12886" spans="1:7" x14ac:dyDescent="0.2">
      <c r="A12886" s="2" t="s">
        <v>3358</v>
      </c>
      <c r="B12886" s="2" t="s">
        <v>150</v>
      </c>
      <c r="C12886" s="2">
        <v>940.0847</v>
      </c>
      <c r="D12886" s="2">
        <f>HYPERLINK("http://mcb-m6.bioreg.kyushu-u.ac.jp/M3/20110411/F50920/2449/1", 122.64)</f>
        <v>122.64</v>
      </c>
      <c r="E12886" s="2">
        <v>101.31</v>
      </c>
      <c r="F12886" s="2">
        <v>2</v>
      </c>
      <c r="G12886" s="2" t="s">
        <v>10</v>
      </c>
    </row>
    <row r="12887" spans="1:7" x14ac:dyDescent="0.2">
      <c r="A12887" s="2" t="s">
        <v>3358</v>
      </c>
      <c r="B12887" s="2" t="s">
        <v>150</v>
      </c>
      <c r="C12887" s="2">
        <v>940.09059999999999</v>
      </c>
      <c r="D12887" s="2">
        <f>HYPERLINK("http://mcb-m6.bioreg.kyushu-u.ac.jp/M3/20110411/F50902/2967/1", 125.09)</f>
        <v>125.09</v>
      </c>
      <c r="E12887" s="2">
        <v>105.42</v>
      </c>
      <c r="F12887" s="2">
        <v>2</v>
      </c>
      <c r="G12887" s="2" t="s">
        <v>10</v>
      </c>
    </row>
    <row r="12888" spans="1:7" x14ac:dyDescent="0.2">
      <c r="A12888" s="2" t="s">
        <v>3358</v>
      </c>
      <c r="B12888" s="2" t="s">
        <v>150</v>
      </c>
      <c r="C12888" s="2">
        <v>940.00319999999999</v>
      </c>
      <c r="D12888" s="2">
        <f>HYPERLINK("http://mcb-m6.bioreg.kyushu-u.ac.jp/M3/20110411/F50921/2709/1", 127.81)</f>
        <v>127.81</v>
      </c>
      <c r="E12888" s="2">
        <v>97.37</v>
      </c>
      <c r="F12888" s="2">
        <v>2</v>
      </c>
      <c r="G12888" s="2" t="s">
        <v>10</v>
      </c>
    </row>
    <row r="12889" spans="1:7" x14ac:dyDescent="0.2">
      <c r="A12889" s="2" t="s">
        <v>3358</v>
      </c>
      <c r="B12889" s="2" t="s">
        <v>150</v>
      </c>
      <c r="C12889" s="2">
        <v>939.97559999999999</v>
      </c>
      <c r="D12889" s="2">
        <f>HYPERLINK("http://mcb-m6.bioreg.kyushu-u.ac.jp/M3/20110411/F50920/2444/1", 130.42)</f>
        <v>130.41999999999999</v>
      </c>
      <c r="E12889" s="2">
        <v>109.62</v>
      </c>
      <c r="F12889" s="2">
        <v>2</v>
      </c>
      <c r="G12889" s="2" t="s">
        <v>10</v>
      </c>
    </row>
    <row r="12890" spans="1:7" x14ac:dyDescent="0.2">
      <c r="A12890" s="2" t="s">
        <v>3358</v>
      </c>
      <c r="B12890" s="2" t="s">
        <v>150</v>
      </c>
      <c r="C12890" s="2">
        <v>940.17269999999996</v>
      </c>
      <c r="D12890" s="2">
        <f>HYPERLINK("http://mcb-m6.bioreg.kyushu-u.ac.jp/M3/20110411/F50920/2451/1", 132.26)</f>
        <v>132.26</v>
      </c>
      <c r="E12890" s="2">
        <v>111.6</v>
      </c>
      <c r="F12890" s="2">
        <v>2</v>
      </c>
      <c r="G12890" s="2" t="s">
        <v>10</v>
      </c>
    </row>
    <row r="12891" spans="1:7" x14ac:dyDescent="0.2">
      <c r="A12891" s="2" t="s">
        <v>3358</v>
      </c>
      <c r="B12891" s="2" t="s">
        <v>150</v>
      </c>
      <c r="C12891" s="2">
        <v>939.9597</v>
      </c>
      <c r="D12891" s="2">
        <f>HYPERLINK("http://mcb-m6.bioreg.kyushu-u.ac.jp/M3/20110411/F50920/2442/1", 139.01)</f>
        <v>139.01</v>
      </c>
      <c r="E12891" s="2">
        <v>116.59</v>
      </c>
      <c r="F12891" s="2">
        <v>2</v>
      </c>
      <c r="G12891" s="2" t="s">
        <v>10</v>
      </c>
    </row>
    <row r="12892" spans="1:7" x14ac:dyDescent="0.2">
      <c r="A12892" s="2" t="s">
        <v>3358</v>
      </c>
      <c r="B12892" s="2" t="s">
        <v>150</v>
      </c>
      <c r="C12892" s="2">
        <v>940.03309999999999</v>
      </c>
      <c r="D12892" s="2">
        <f>HYPERLINK("http://mcb-m6.bioreg.kyushu-u.ac.jp/M3/20110411/F50920/2448/1", 140.18)</f>
        <v>140.18</v>
      </c>
      <c r="E12892" s="2">
        <v>116.23</v>
      </c>
      <c r="F12892" s="2">
        <v>2</v>
      </c>
      <c r="G12892" s="2" t="s">
        <v>10</v>
      </c>
    </row>
    <row r="12893" spans="1:7" x14ac:dyDescent="0.2">
      <c r="A12893" s="2" t="s">
        <v>3358</v>
      </c>
      <c r="B12893" s="2" t="s">
        <v>150</v>
      </c>
      <c r="C12893" s="2">
        <v>939.95010000000002</v>
      </c>
      <c r="D12893" s="2">
        <f>HYPERLINK("http://mcb-m6.bioreg.kyushu-u.ac.jp/M3/20110411/F50920/2441/1", 144.17)</f>
        <v>144.16999999999999</v>
      </c>
      <c r="E12893" s="2">
        <v>114.73</v>
      </c>
      <c r="F12893" s="2">
        <v>2</v>
      </c>
      <c r="G12893" s="2" t="s">
        <v>10</v>
      </c>
    </row>
    <row r="12894" spans="1:7" x14ac:dyDescent="0.2">
      <c r="A12894" s="2" t="s">
        <v>3358</v>
      </c>
      <c r="B12894" s="2" t="s">
        <v>150</v>
      </c>
      <c r="C12894" s="2">
        <v>939.98320000000001</v>
      </c>
      <c r="D12894" s="2">
        <f>HYPERLINK("http://mcb-m6.bioreg.kyushu-u.ac.jp/M3/20110411/F50920/2446/1", 158.43)</f>
        <v>158.43</v>
      </c>
      <c r="E12894" s="2">
        <v>131.57</v>
      </c>
      <c r="F12894" s="2">
        <v>2</v>
      </c>
      <c r="G12894" s="2" t="s">
        <v>10</v>
      </c>
    </row>
    <row r="12895" spans="1:7" x14ac:dyDescent="0.2">
      <c r="A12895" s="2" t="s">
        <v>3358</v>
      </c>
      <c r="B12895" s="2" t="s">
        <v>150</v>
      </c>
      <c r="C12895" s="2">
        <v>939.82209999999998</v>
      </c>
      <c r="D12895" s="2">
        <f>HYPERLINK("http://mcb-m6.bioreg.kyushu-u.ac.jp/M3/20110414/F50959/3229/1", 39.55)</f>
        <v>39.549999999999997</v>
      </c>
      <c r="E12895" s="2">
        <v>28.05</v>
      </c>
      <c r="F12895" s="2">
        <v>2</v>
      </c>
      <c r="G12895" s="2" t="s">
        <v>12</v>
      </c>
    </row>
    <row r="12896" spans="1:7" x14ac:dyDescent="0.2">
      <c r="A12896" s="2" t="s">
        <v>3358</v>
      </c>
      <c r="B12896" s="2" t="s">
        <v>150</v>
      </c>
      <c r="C12896" s="2">
        <v>940.13710000000003</v>
      </c>
      <c r="D12896" s="2">
        <f>HYPERLINK("http://mcb-m6.bioreg.kyushu-u.ac.jp/M3/20110414/F50963/2796/1", 40.41)</f>
        <v>40.409999999999997</v>
      </c>
      <c r="E12896" s="2">
        <v>31.27</v>
      </c>
      <c r="F12896" s="2">
        <v>2</v>
      </c>
      <c r="G12896" s="2" t="s">
        <v>12</v>
      </c>
    </row>
    <row r="12897" spans="1:7" x14ac:dyDescent="0.2">
      <c r="A12897" s="2" t="s">
        <v>3358</v>
      </c>
      <c r="B12897" s="2" t="s">
        <v>150</v>
      </c>
      <c r="C12897" s="2">
        <v>940.37120000000004</v>
      </c>
      <c r="D12897" s="2">
        <f>HYPERLINK("http://mcb-m6.bioreg.kyushu-u.ac.jp/M3/20110414/F50947/3147/1", 44.51)</f>
        <v>44.51</v>
      </c>
      <c r="E12897" s="2">
        <v>22.38</v>
      </c>
      <c r="F12897" s="2">
        <v>2</v>
      </c>
      <c r="G12897" s="2" t="s">
        <v>12</v>
      </c>
    </row>
    <row r="12898" spans="1:7" x14ac:dyDescent="0.2">
      <c r="A12898" s="2" t="s">
        <v>3358</v>
      </c>
      <c r="B12898" s="2" t="s">
        <v>150</v>
      </c>
      <c r="C12898" s="2">
        <v>626.73019999999997</v>
      </c>
      <c r="D12898" s="2">
        <f>HYPERLINK("http://mcb-m6.bioreg.kyushu-u.ac.jp/M3/20110414/F50966/2610/1", 52.33)</f>
        <v>52.33</v>
      </c>
      <c r="E12898" s="2">
        <v>22.32</v>
      </c>
      <c r="F12898" s="2">
        <v>3</v>
      </c>
      <c r="G12898" s="2" t="s">
        <v>12</v>
      </c>
    </row>
    <row r="12899" spans="1:7" x14ac:dyDescent="0.2">
      <c r="A12899" s="2" t="s">
        <v>3358</v>
      </c>
      <c r="B12899" s="2" t="s">
        <v>150</v>
      </c>
      <c r="C12899" s="2">
        <v>940.54470000000003</v>
      </c>
      <c r="D12899" s="2">
        <f>HYPERLINK("http://mcb-m6.bioreg.kyushu-u.ac.jp/M3/20110414/F50932/2777/1", 56.39)</f>
        <v>56.39</v>
      </c>
      <c r="E12899" s="2">
        <v>42.42</v>
      </c>
      <c r="F12899" s="2">
        <v>2</v>
      </c>
      <c r="G12899" s="2" t="s">
        <v>12</v>
      </c>
    </row>
    <row r="12900" spans="1:7" x14ac:dyDescent="0.2">
      <c r="A12900" s="2" t="s">
        <v>3358</v>
      </c>
      <c r="B12900" s="2" t="s">
        <v>150</v>
      </c>
      <c r="C12900" s="2">
        <v>940.17020000000002</v>
      </c>
      <c r="D12900" s="2">
        <f>HYPERLINK("http://mcb-m6.bioreg.kyushu-u.ac.jp/M3/20110414/F50950/3219/1", 77.21)</f>
        <v>77.209999999999994</v>
      </c>
      <c r="E12900" s="2">
        <v>56.36</v>
      </c>
      <c r="F12900" s="2">
        <v>2</v>
      </c>
      <c r="G12900" s="2" t="s">
        <v>12</v>
      </c>
    </row>
    <row r="12901" spans="1:7" x14ac:dyDescent="0.2">
      <c r="A12901" s="2" t="s">
        <v>3358</v>
      </c>
      <c r="B12901" s="2" t="s">
        <v>150</v>
      </c>
      <c r="C12901" s="2">
        <v>940.23419999999999</v>
      </c>
      <c r="D12901" s="2">
        <f>HYPERLINK("http://mcb-m6.bioreg.kyushu-u.ac.jp/M3/20110414/F50966/2623/1", 111.42)</f>
        <v>111.42</v>
      </c>
      <c r="E12901" s="2">
        <v>89.5</v>
      </c>
      <c r="F12901" s="2">
        <v>2</v>
      </c>
      <c r="G12901" s="2" t="s">
        <v>12</v>
      </c>
    </row>
    <row r="12902" spans="1:7" x14ac:dyDescent="0.2">
      <c r="A12902" s="2" t="s">
        <v>3358</v>
      </c>
      <c r="B12902" s="2" t="s">
        <v>150</v>
      </c>
      <c r="C12902" s="2">
        <v>939.98469999999998</v>
      </c>
      <c r="D12902" s="2">
        <f>HYPERLINK("http://mcb-m6.bioreg.kyushu-u.ac.jp/M3/20110414/F50931/2413/1", 118.3)</f>
        <v>118.3</v>
      </c>
      <c r="E12902" s="2">
        <v>91.29</v>
      </c>
      <c r="F12902" s="2">
        <v>2</v>
      </c>
      <c r="G12902" s="2" t="s">
        <v>12</v>
      </c>
    </row>
    <row r="12903" spans="1:7" x14ac:dyDescent="0.2">
      <c r="A12903" s="2" t="s">
        <v>3358</v>
      </c>
      <c r="B12903" s="2" t="s">
        <v>150</v>
      </c>
      <c r="C12903" s="2">
        <v>939.73320000000001</v>
      </c>
      <c r="D12903" s="2">
        <f>HYPERLINK("http://mcb-m6.bioreg.kyushu-u.ac.jp/M3/20110414/F50966/2613/1", 120.2)</f>
        <v>120.2</v>
      </c>
      <c r="E12903" s="2">
        <v>96.88</v>
      </c>
      <c r="F12903" s="2">
        <v>2</v>
      </c>
      <c r="G12903" s="2" t="s">
        <v>12</v>
      </c>
    </row>
    <row r="12904" spans="1:7" x14ac:dyDescent="0.2">
      <c r="A12904" s="2" t="s">
        <v>3358</v>
      </c>
      <c r="B12904" s="2" t="s">
        <v>150</v>
      </c>
      <c r="C12904" s="2">
        <v>940.17520000000002</v>
      </c>
      <c r="D12904" s="2">
        <f>HYPERLINK("http://mcb-m6.bioreg.kyushu-u.ac.jp/M3/20110414/F50966/2622/1", 121.38)</f>
        <v>121.38</v>
      </c>
      <c r="E12904" s="2">
        <v>96.2</v>
      </c>
      <c r="F12904" s="2">
        <v>2</v>
      </c>
      <c r="G12904" s="2" t="s">
        <v>12</v>
      </c>
    </row>
    <row r="12905" spans="1:7" x14ac:dyDescent="0.2">
      <c r="A12905" s="2" t="s">
        <v>3358</v>
      </c>
      <c r="B12905" s="2" t="s">
        <v>150</v>
      </c>
      <c r="C12905" s="2">
        <v>940.2527</v>
      </c>
      <c r="D12905" s="2">
        <f>HYPERLINK("http://mcb-m6.bioreg.kyushu-u.ac.jp/M3/20110414/F50966/2624/1", 124.46)</f>
        <v>124.46</v>
      </c>
      <c r="E12905" s="2">
        <v>98.24</v>
      </c>
      <c r="F12905" s="2">
        <v>2</v>
      </c>
      <c r="G12905" s="2" t="s">
        <v>12</v>
      </c>
    </row>
    <row r="12906" spans="1:7" x14ac:dyDescent="0.2">
      <c r="A12906" s="2" t="s">
        <v>3358</v>
      </c>
      <c r="B12906" s="2" t="s">
        <v>150</v>
      </c>
      <c r="C12906" s="2">
        <v>939.77419999999995</v>
      </c>
      <c r="D12906" s="2">
        <f>HYPERLINK("http://mcb-m6.bioreg.kyushu-u.ac.jp/M3/20110414/F50966/2616/1", 129.13)</f>
        <v>129.13</v>
      </c>
      <c r="E12906" s="2">
        <v>102.77</v>
      </c>
      <c r="F12906" s="2">
        <v>2</v>
      </c>
      <c r="G12906" s="2" t="s">
        <v>12</v>
      </c>
    </row>
    <row r="12907" spans="1:7" x14ac:dyDescent="0.2">
      <c r="A12907" s="2" t="s">
        <v>3358</v>
      </c>
      <c r="B12907" s="2" t="s">
        <v>150</v>
      </c>
      <c r="C12907" s="2">
        <v>940.27869999999996</v>
      </c>
      <c r="D12907" s="2">
        <f>HYPERLINK("http://mcb-m6.bioreg.kyushu-u.ac.jp/M3/20110414/F50966/2625/1", 129.46)</f>
        <v>129.46</v>
      </c>
      <c r="E12907" s="2">
        <v>105.67</v>
      </c>
      <c r="F12907" s="2">
        <v>2</v>
      </c>
      <c r="G12907" s="2" t="s">
        <v>12</v>
      </c>
    </row>
    <row r="12908" spans="1:7" x14ac:dyDescent="0.2">
      <c r="A12908" s="2" t="s">
        <v>3358</v>
      </c>
      <c r="B12908" s="2" t="s">
        <v>150</v>
      </c>
      <c r="C12908" s="2">
        <v>940.00120000000004</v>
      </c>
      <c r="D12908" s="2">
        <f>HYPERLINK("http://mcb-m6.bioreg.kyushu-u.ac.jp/M3/20110414/F50966/2620/1", 132.09)</f>
        <v>132.09</v>
      </c>
      <c r="E12908" s="2">
        <v>103.81</v>
      </c>
      <c r="F12908" s="2">
        <v>2</v>
      </c>
      <c r="G12908" s="2" t="s">
        <v>12</v>
      </c>
    </row>
    <row r="12909" spans="1:7" x14ac:dyDescent="0.2">
      <c r="A12909" s="2" t="s">
        <v>3358</v>
      </c>
      <c r="B12909" s="2" t="s">
        <v>150</v>
      </c>
      <c r="C12909" s="2">
        <v>939.72519999999997</v>
      </c>
      <c r="D12909" s="2">
        <f>HYPERLINK("http://mcb-m6.bioreg.kyushu-u.ac.jp/M3/20110414/F50966/2612/1", 135.63)</f>
        <v>135.63</v>
      </c>
      <c r="E12909" s="2">
        <v>111.83</v>
      </c>
      <c r="F12909" s="2">
        <v>2</v>
      </c>
      <c r="G12909" s="2" t="s">
        <v>12</v>
      </c>
    </row>
    <row r="12910" spans="1:7" x14ac:dyDescent="0.2">
      <c r="A12910" s="2" t="s">
        <v>3358</v>
      </c>
      <c r="B12910" s="2" t="s">
        <v>150</v>
      </c>
      <c r="C12910" s="2">
        <v>939.78610000000003</v>
      </c>
      <c r="D12910" s="2">
        <f>HYPERLINK("http://mcb-m6.bioreg.kyushu-u.ac.jp/M3/20110414/F50966/2618/1", 137.71)</f>
        <v>137.71</v>
      </c>
      <c r="E12910" s="2">
        <v>111.82</v>
      </c>
      <c r="F12910" s="2">
        <v>2</v>
      </c>
      <c r="G12910" s="2" t="s">
        <v>12</v>
      </c>
    </row>
    <row r="12911" spans="1:7" x14ac:dyDescent="0.2">
      <c r="A12911" s="2" t="s">
        <v>3358</v>
      </c>
      <c r="B12911" s="2" t="s">
        <v>150</v>
      </c>
      <c r="C12911" s="2">
        <v>939.73519999999996</v>
      </c>
      <c r="D12911" s="2">
        <f>HYPERLINK("http://mcb-m6.bioreg.kyushu-u.ac.jp/M3/20110414/F50966/2614/1", 137.74)</f>
        <v>137.74</v>
      </c>
      <c r="E12911" s="2">
        <v>110.16</v>
      </c>
      <c r="F12911" s="2">
        <v>2</v>
      </c>
      <c r="G12911" s="2" t="s">
        <v>12</v>
      </c>
    </row>
    <row r="12912" spans="1:7" x14ac:dyDescent="0.2">
      <c r="A12912" s="2" t="s">
        <v>3358</v>
      </c>
      <c r="B12912" s="2" t="s">
        <v>150</v>
      </c>
      <c r="C12912" s="2">
        <v>939.67520000000002</v>
      </c>
      <c r="D12912" s="2">
        <f>HYPERLINK("http://mcb-m6.bioreg.kyushu-u.ac.jp/M3/20110414/F50966/2611/1", 137.8)</f>
        <v>137.80000000000001</v>
      </c>
      <c r="E12912" s="2">
        <v>112.95</v>
      </c>
      <c r="F12912" s="2">
        <v>2</v>
      </c>
      <c r="G12912" s="2" t="s">
        <v>12</v>
      </c>
    </row>
    <row r="12913" spans="1:7" x14ac:dyDescent="0.2">
      <c r="A12913" s="2" t="s">
        <v>3358</v>
      </c>
      <c r="B12913" s="2" t="s">
        <v>150</v>
      </c>
      <c r="C12913" s="2">
        <v>939.74869999999999</v>
      </c>
      <c r="D12913" s="2">
        <f>HYPERLINK("http://mcb-m6.bioreg.kyushu-u.ac.jp/M3/20110414/F50966/2615/1", 144.21)</f>
        <v>144.21</v>
      </c>
      <c r="E12913" s="2">
        <v>120.7</v>
      </c>
      <c r="F12913" s="2">
        <v>2</v>
      </c>
      <c r="G12913" s="2" t="s">
        <v>12</v>
      </c>
    </row>
    <row r="12914" spans="1:7" x14ac:dyDescent="0.2">
      <c r="A12914" s="2" t="s">
        <v>3358</v>
      </c>
      <c r="B12914" s="2" t="s">
        <v>150</v>
      </c>
      <c r="C12914" s="2">
        <v>940.42970000000003</v>
      </c>
      <c r="D12914" s="2">
        <f>HYPERLINK("http://mcb-m6.bioreg.kyushu-u.ac.jp/M3/20110502/F51187/2557/1", 35.72)</f>
        <v>35.72</v>
      </c>
      <c r="E12914" s="2">
        <v>20.14</v>
      </c>
      <c r="F12914" s="2">
        <v>2</v>
      </c>
      <c r="G12914" s="2" t="s">
        <v>13</v>
      </c>
    </row>
    <row r="12915" spans="1:7" x14ac:dyDescent="0.2">
      <c r="A12915" s="2" t="s">
        <v>3358</v>
      </c>
      <c r="B12915" s="2" t="s">
        <v>150</v>
      </c>
      <c r="C12915" s="2">
        <v>940.4067</v>
      </c>
      <c r="D12915" s="2">
        <f>HYPERLINK("http://mcb-m6.bioreg.kyushu-u.ac.jp/M3/20110502/F51188/2612/1", 57.27)</f>
        <v>57.27</v>
      </c>
      <c r="E12915" s="2">
        <v>43.7</v>
      </c>
      <c r="F12915" s="2">
        <v>2</v>
      </c>
      <c r="G12915" s="2" t="s">
        <v>13</v>
      </c>
    </row>
    <row r="12916" spans="1:7" x14ac:dyDescent="0.2">
      <c r="A12916" s="2" t="s">
        <v>3358</v>
      </c>
      <c r="B12916" s="2" t="s">
        <v>150</v>
      </c>
      <c r="C12916" s="2">
        <v>940.52970000000005</v>
      </c>
      <c r="D12916" s="2">
        <f>HYPERLINK("http://mcb-m6.bioreg.kyushu-u.ac.jp/M3/20110502/F51180/2788/1", 76.92)</f>
        <v>76.92</v>
      </c>
      <c r="E12916" s="2">
        <v>55.28</v>
      </c>
      <c r="F12916" s="2">
        <v>2</v>
      </c>
      <c r="G12916" s="2" t="s">
        <v>13</v>
      </c>
    </row>
    <row r="12917" spans="1:7" x14ac:dyDescent="0.2">
      <c r="A12917" s="2" t="s">
        <v>3358</v>
      </c>
      <c r="B12917" s="2" t="s">
        <v>150</v>
      </c>
      <c r="C12917" s="2">
        <v>940.51369999999997</v>
      </c>
      <c r="D12917" s="2">
        <f>HYPERLINK("http://mcb-m6.bioreg.kyushu-u.ac.jp/M3/20110502/F51187/2560/1", 91.16)</f>
        <v>91.16</v>
      </c>
      <c r="E12917" s="2">
        <v>72.260000000000005</v>
      </c>
      <c r="F12917" s="2">
        <v>2</v>
      </c>
      <c r="G12917" s="2" t="s">
        <v>13</v>
      </c>
    </row>
    <row r="12918" spans="1:7" x14ac:dyDescent="0.2">
      <c r="A12918" s="2" t="s">
        <v>3358</v>
      </c>
      <c r="B12918" s="2" t="s">
        <v>150</v>
      </c>
      <c r="C12918" s="2">
        <v>940.11270000000002</v>
      </c>
      <c r="D12918" s="2">
        <f>HYPERLINK("http://mcb-m6.bioreg.kyushu-u.ac.jp/M3/20110502/F51179/2882/1", 36.01)</f>
        <v>36.01</v>
      </c>
      <c r="E12918" s="2">
        <v>22.13</v>
      </c>
      <c r="F12918" s="2">
        <v>2</v>
      </c>
      <c r="G12918" s="2" t="s">
        <v>14</v>
      </c>
    </row>
    <row r="12919" spans="1:7" x14ac:dyDescent="0.2">
      <c r="A12919" s="2" t="s">
        <v>3358</v>
      </c>
      <c r="B12919" s="2" t="s">
        <v>150</v>
      </c>
      <c r="C12919" s="2">
        <v>940.07420000000002</v>
      </c>
      <c r="D12919" s="2">
        <f>HYPERLINK("http://mcb-m6.bioreg.kyushu-u.ac.jp/M3/20110502/F51178/2902/1", 38.36)</f>
        <v>38.36</v>
      </c>
      <c r="E12919" s="2">
        <v>25.42</v>
      </c>
      <c r="F12919" s="2">
        <v>2</v>
      </c>
      <c r="G12919" s="2" t="s">
        <v>14</v>
      </c>
    </row>
    <row r="12920" spans="1:7" x14ac:dyDescent="0.2">
      <c r="A12920" s="2" t="s">
        <v>3358</v>
      </c>
      <c r="B12920" s="2" t="s">
        <v>150</v>
      </c>
      <c r="C12920" s="2">
        <v>940.4941</v>
      </c>
      <c r="D12920" s="2">
        <f>HYPERLINK("http://mcb-m6.bioreg.kyushu-u.ac.jp/M3/20110502/F51179/2885/1", 42.08)</f>
        <v>42.08</v>
      </c>
      <c r="E12920" s="2">
        <v>34.299999999999997</v>
      </c>
      <c r="F12920" s="2">
        <v>2</v>
      </c>
      <c r="G12920" s="2" t="s">
        <v>14</v>
      </c>
    </row>
    <row r="12921" spans="1:7" x14ac:dyDescent="0.2">
      <c r="A12921" s="2" t="s">
        <v>3358</v>
      </c>
      <c r="B12921" s="2" t="s">
        <v>150</v>
      </c>
      <c r="C12921" s="2">
        <v>940.00670000000002</v>
      </c>
      <c r="D12921" s="2">
        <f>HYPERLINK("http://mcb-m6.bioreg.kyushu-u.ac.jp/M3/20110502/F51191/2593/1", 51.74)</f>
        <v>51.74</v>
      </c>
      <c r="E12921" s="2">
        <v>38.26</v>
      </c>
      <c r="F12921" s="2">
        <v>2</v>
      </c>
      <c r="G12921" s="2" t="s">
        <v>14</v>
      </c>
    </row>
    <row r="12922" spans="1:7" x14ac:dyDescent="0.2">
      <c r="A12922" s="2" t="s">
        <v>3358</v>
      </c>
      <c r="B12922" s="2" t="s">
        <v>150</v>
      </c>
      <c r="C12922" s="2">
        <v>940.11159999999995</v>
      </c>
      <c r="D12922" s="2">
        <f>HYPERLINK("http://mcb-m6.bioreg.kyushu-u.ac.jp/M3/20110502/F51177/2890/1", 70.23)</f>
        <v>70.23</v>
      </c>
      <c r="E12922" s="2">
        <v>50.2</v>
      </c>
      <c r="F12922" s="2">
        <v>2</v>
      </c>
      <c r="G12922" s="2" t="s">
        <v>14</v>
      </c>
    </row>
    <row r="12923" spans="1:7" x14ac:dyDescent="0.2">
      <c r="A12923" s="2" t="s">
        <v>3358</v>
      </c>
      <c r="B12923" s="2" t="s">
        <v>150</v>
      </c>
      <c r="C12923" s="2">
        <v>940.32759999999996</v>
      </c>
      <c r="D12923" s="2">
        <f>HYPERLINK("http://mcb-m6.bioreg.kyushu-u.ac.jp/M3/20110502/F51191/2595/1", 85.32)</f>
        <v>85.32</v>
      </c>
      <c r="E12923" s="2">
        <v>61.29</v>
      </c>
      <c r="F12923" s="2">
        <v>2</v>
      </c>
      <c r="G12923" s="2" t="s">
        <v>14</v>
      </c>
    </row>
    <row r="12924" spans="1:7" x14ac:dyDescent="0.2">
      <c r="A12924" s="2" t="s">
        <v>3358</v>
      </c>
      <c r="B12924" s="2" t="s">
        <v>150</v>
      </c>
      <c r="C12924" s="2">
        <v>940.37519999999995</v>
      </c>
      <c r="D12924" s="2">
        <f>HYPERLINK("http://mcb-m6.bioreg.kyushu-u.ac.jp/M3/20110502/F51192/2762/1", 88.7)</f>
        <v>88.7</v>
      </c>
      <c r="E12924" s="2">
        <v>65.290000000000006</v>
      </c>
      <c r="F12924" s="2">
        <v>2</v>
      </c>
      <c r="G12924" s="2" t="s">
        <v>14</v>
      </c>
    </row>
    <row r="12925" spans="1:7" x14ac:dyDescent="0.2">
      <c r="A12925" s="2" t="s">
        <v>3358</v>
      </c>
      <c r="B12925" s="2" t="s">
        <v>150</v>
      </c>
      <c r="C12925" s="2">
        <v>940.52560000000005</v>
      </c>
      <c r="D12925" s="2">
        <f>HYPERLINK("http://mcb-m6.bioreg.kyushu-u.ac.jp/M3/20110502/F51184/3012/1", 90.93)</f>
        <v>90.93</v>
      </c>
      <c r="E12925" s="2">
        <v>70.22</v>
      </c>
      <c r="F12925" s="2">
        <v>2</v>
      </c>
      <c r="G12925" s="2" t="s">
        <v>14</v>
      </c>
    </row>
    <row r="12926" spans="1:7" x14ac:dyDescent="0.2">
      <c r="A12926" s="2" t="s">
        <v>3358</v>
      </c>
      <c r="B12926" s="2" t="s">
        <v>150</v>
      </c>
      <c r="C12926" s="2">
        <v>940.31960000000004</v>
      </c>
      <c r="D12926" s="2">
        <f>HYPERLINK("http://mcb-m6.bioreg.kyushu-u.ac.jp/M3/20110502/F51192/2760/1", 92.32)</f>
        <v>92.32</v>
      </c>
      <c r="E12926" s="2">
        <v>75.61</v>
      </c>
      <c r="F12926" s="2">
        <v>2</v>
      </c>
      <c r="G12926" s="2" t="s">
        <v>14</v>
      </c>
    </row>
    <row r="12927" spans="1:7" x14ac:dyDescent="0.2">
      <c r="A12927" s="2" t="s">
        <v>3358</v>
      </c>
      <c r="B12927" s="2" t="s">
        <v>150</v>
      </c>
      <c r="C12927" s="2">
        <v>940.26570000000004</v>
      </c>
      <c r="D12927" s="2">
        <f>HYPERLINK("http://mcb-m6.bioreg.kyushu-u.ac.jp/M3/20110502/F51182/2950/1", 94.42)</f>
        <v>94.42</v>
      </c>
      <c r="E12927" s="2">
        <v>72.55</v>
      </c>
      <c r="F12927" s="2">
        <v>2</v>
      </c>
      <c r="G12927" s="2" t="s">
        <v>14</v>
      </c>
    </row>
    <row r="12928" spans="1:7" x14ac:dyDescent="0.2">
      <c r="A12928" s="2" t="s">
        <v>3358</v>
      </c>
      <c r="B12928" s="2" t="s">
        <v>150</v>
      </c>
      <c r="C12928" s="2">
        <v>940.51869999999997</v>
      </c>
      <c r="D12928" s="2">
        <f>HYPERLINK("http://mcb-m6.bioreg.kyushu-u.ac.jp/M3/20110502/F51191/2597/1", 94.55)</f>
        <v>94.55</v>
      </c>
      <c r="E12928" s="2">
        <v>72.349999999999994</v>
      </c>
      <c r="F12928" s="2">
        <v>2</v>
      </c>
      <c r="G12928" s="2" t="s">
        <v>14</v>
      </c>
    </row>
    <row r="12929" spans="1:7" x14ac:dyDescent="0.2">
      <c r="A12929" s="2" t="s">
        <v>3358</v>
      </c>
      <c r="B12929" s="2" t="s">
        <v>150</v>
      </c>
      <c r="C12929" s="2">
        <v>940.11220000000003</v>
      </c>
      <c r="D12929" s="2">
        <f>HYPERLINK("http://mcb-m6.bioreg.kyushu-u.ac.jp/M3/20110502/F51191/2594/1", 97.12)</f>
        <v>97.12</v>
      </c>
      <c r="E12929" s="2">
        <v>75.42</v>
      </c>
      <c r="F12929" s="2">
        <v>2</v>
      </c>
      <c r="G12929" s="2" t="s">
        <v>14</v>
      </c>
    </row>
    <row r="12930" spans="1:7" x14ac:dyDescent="0.2">
      <c r="A12930" s="2" t="s">
        <v>3358</v>
      </c>
      <c r="B12930" s="2" t="s">
        <v>150</v>
      </c>
      <c r="C12930" s="2">
        <v>939.99659999999994</v>
      </c>
      <c r="D12930" s="2">
        <f>HYPERLINK("http://mcb-m6.bioreg.kyushu-u.ac.jp/M3/20110502/F51192/2757/1", 97.86)</f>
        <v>97.86</v>
      </c>
      <c r="E12930" s="2">
        <v>77.13</v>
      </c>
      <c r="F12930" s="2">
        <v>2</v>
      </c>
      <c r="G12930" s="2" t="s">
        <v>14</v>
      </c>
    </row>
    <row r="12931" spans="1:7" x14ac:dyDescent="0.2">
      <c r="A12931" s="2" t="s">
        <v>3358</v>
      </c>
      <c r="B12931" s="2" t="s">
        <v>150</v>
      </c>
      <c r="C12931" s="2">
        <v>940.44269999999995</v>
      </c>
      <c r="D12931" s="2">
        <f>HYPERLINK("http://mcb-m6.bioreg.kyushu-u.ac.jp/M3/20110502/F51190/2511/1", 100.96)</f>
        <v>100.96</v>
      </c>
      <c r="E12931" s="2">
        <v>77.77</v>
      </c>
      <c r="F12931" s="2">
        <v>2</v>
      </c>
      <c r="G12931" s="2" t="s">
        <v>14</v>
      </c>
    </row>
    <row r="12932" spans="1:7" x14ac:dyDescent="0.2">
      <c r="A12932" s="2" t="s">
        <v>3358</v>
      </c>
      <c r="B12932" s="2" t="s">
        <v>150</v>
      </c>
      <c r="C12932" s="2">
        <v>940.46469999999999</v>
      </c>
      <c r="D12932" s="2">
        <f>HYPERLINK("http://mcb-m6.bioreg.kyushu-u.ac.jp/M3/20110502/F51176/2483/1", 103.2)</f>
        <v>103.2</v>
      </c>
      <c r="E12932" s="2">
        <v>82.2</v>
      </c>
      <c r="F12932" s="2">
        <v>2</v>
      </c>
      <c r="G12932" s="2" t="s">
        <v>14</v>
      </c>
    </row>
    <row r="12933" spans="1:7" x14ac:dyDescent="0.2">
      <c r="A12933" s="2" t="s">
        <v>3358</v>
      </c>
      <c r="B12933" s="2" t="s">
        <v>150</v>
      </c>
      <c r="C12933" s="2">
        <v>939.90170000000001</v>
      </c>
      <c r="D12933" s="2">
        <f>HYPERLINK("http://mcb-m6.bioreg.kyushu-u.ac.jp/M3/20110502/F51192/2756/1", 105.09)</f>
        <v>105.09</v>
      </c>
      <c r="E12933" s="2">
        <v>86.38</v>
      </c>
      <c r="F12933" s="2">
        <v>2</v>
      </c>
      <c r="G12933" s="2" t="s">
        <v>14</v>
      </c>
    </row>
    <row r="12934" spans="1:7" x14ac:dyDescent="0.2">
      <c r="A12934" s="2" t="s">
        <v>3358</v>
      </c>
      <c r="B12934" s="2" t="s">
        <v>150</v>
      </c>
      <c r="C12934" s="2">
        <v>940.1617</v>
      </c>
      <c r="D12934" s="2">
        <f>HYPERLINK("http://mcb-m6.bioreg.kyushu-u.ac.jp/M3/20110502/F51176/2482/1", 108.26)</f>
        <v>108.26</v>
      </c>
      <c r="E12934" s="2">
        <v>80.73</v>
      </c>
      <c r="F12934" s="2">
        <v>2</v>
      </c>
      <c r="G12934" s="2" t="s">
        <v>14</v>
      </c>
    </row>
    <row r="12935" spans="1:7" x14ac:dyDescent="0.2">
      <c r="A12935" s="2" t="s">
        <v>3358</v>
      </c>
      <c r="B12935" s="2" t="s">
        <v>150</v>
      </c>
      <c r="C12935" s="2">
        <v>940.19069999999999</v>
      </c>
      <c r="D12935" s="2">
        <f>HYPERLINK("http://mcb-m6.bioreg.kyushu-u.ac.jp/M3/20110502/F51192/2758/1", 108.79)</f>
        <v>108.79</v>
      </c>
      <c r="E12935" s="2">
        <v>75.459999999999994</v>
      </c>
      <c r="F12935" s="2">
        <v>2</v>
      </c>
      <c r="G12935" s="2" t="s">
        <v>14</v>
      </c>
    </row>
    <row r="12936" spans="1:7" x14ac:dyDescent="0.2">
      <c r="A12936" s="2" t="s">
        <v>3358</v>
      </c>
      <c r="B12936" s="2" t="s">
        <v>150</v>
      </c>
      <c r="C12936" s="2">
        <v>940.45069999999998</v>
      </c>
      <c r="D12936" s="2">
        <f>HYPERLINK("http://mcb-m6.bioreg.kyushu-u.ac.jp/M3/20110502/F51190/2512/1", 125.18)</f>
        <v>125.18</v>
      </c>
      <c r="E12936" s="2">
        <v>102.11</v>
      </c>
      <c r="F12936" s="2">
        <v>2</v>
      </c>
      <c r="G12936" s="2" t="s">
        <v>14</v>
      </c>
    </row>
    <row r="12937" spans="1:7" x14ac:dyDescent="0.2">
      <c r="A12937" s="2" t="s">
        <v>3358</v>
      </c>
      <c r="B12937" s="2" t="s">
        <v>150</v>
      </c>
      <c r="C12937" s="2">
        <v>940.20619999999997</v>
      </c>
      <c r="D12937" s="2">
        <f>HYPERLINK("http://mcb-m6.bioreg.kyushu-u.ac.jp/M3/20110502/F51177/2892/1", 132.26)</f>
        <v>132.26</v>
      </c>
      <c r="E12937" s="2">
        <v>107.14</v>
      </c>
      <c r="F12937" s="2">
        <v>2</v>
      </c>
      <c r="G12937" s="2" t="s">
        <v>14</v>
      </c>
    </row>
    <row r="12938" spans="1:7" x14ac:dyDescent="0.2">
      <c r="A12938" s="2" t="s">
        <v>3358</v>
      </c>
      <c r="B12938" s="2" t="s">
        <v>150</v>
      </c>
      <c r="C12938" s="2">
        <v>940.13019999999995</v>
      </c>
      <c r="D12938" s="2">
        <f>HYPERLINK("http://mcb-m6.bioreg.kyushu-u.ac.jp/M3/20110502/F51190/2505/1", 132.44)</f>
        <v>132.44</v>
      </c>
      <c r="E12938" s="2">
        <v>98.71</v>
      </c>
      <c r="F12938" s="2">
        <v>2</v>
      </c>
      <c r="G12938" s="2" t="s">
        <v>14</v>
      </c>
    </row>
    <row r="12939" spans="1:7" x14ac:dyDescent="0.2">
      <c r="A12939" s="2" t="s">
        <v>3358</v>
      </c>
      <c r="B12939" s="2" t="s">
        <v>150</v>
      </c>
      <c r="C12939" s="2">
        <v>940.1567</v>
      </c>
      <c r="D12939" s="2">
        <f>HYPERLINK("http://mcb-m6.bioreg.kyushu-u.ac.jp/M3/20110502/F51190/2507/1", 132.65)</f>
        <v>132.65</v>
      </c>
      <c r="E12939" s="2">
        <v>107.35</v>
      </c>
      <c r="F12939" s="2">
        <v>2</v>
      </c>
      <c r="G12939" s="2" t="s">
        <v>14</v>
      </c>
    </row>
    <row r="12940" spans="1:7" x14ac:dyDescent="0.2">
      <c r="A12940" s="2" t="s">
        <v>3358</v>
      </c>
      <c r="B12940" s="2" t="s">
        <v>150</v>
      </c>
      <c r="C12940" s="2">
        <v>940.19709999999998</v>
      </c>
      <c r="D12940" s="2">
        <f>HYPERLINK("http://mcb-m6.bioreg.kyushu-u.ac.jp/M3/20110502/F51190/2508/1", 133.75)</f>
        <v>133.75</v>
      </c>
      <c r="E12940" s="2">
        <v>111.6</v>
      </c>
      <c r="F12940" s="2">
        <v>2</v>
      </c>
      <c r="G12940" s="2" t="s">
        <v>14</v>
      </c>
    </row>
    <row r="12941" spans="1:7" x14ac:dyDescent="0.2">
      <c r="A12941" s="2" t="s">
        <v>3358</v>
      </c>
      <c r="B12941" s="2" t="s">
        <v>150</v>
      </c>
      <c r="C12941" s="2">
        <v>939.80160000000001</v>
      </c>
      <c r="D12941" s="2">
        <f>HYPERLINK("http://mcb-m6.bioreg.kyushu-u.ac.jp/M3/20110502/F51190/2503/1", 135.78)</f>
        <v>135.78</v>
      </c>
      <c r="E12941" s="2">
        <v>111.61</v>
      </c>
      <c r="F12941" s="2">
        <v>2</v>
      </c>
      <c r="G12941" s="2" t="s">
        <v>14</v>
      </c>
    </row>
    <row r="12942" spans="1:7" x14ac:dyDescent="0.2">
      <c r="A12942" s="2" t="s">
        <v>3358</v>
      </c>
      <c r="B12942" s="2" t="s">
        <v>150</v>
      </c>
      <c r="C12942" s="2">
        <v>940.22469999999998</v>
      </c>
      <c r="D12942" s="2">
        <f>HYPERLINK("http://mcb-m6.bioreg.kyushu-u.ac.jp/M3/20110502/F51190/2509/1", 139.62)</f>
        <v>139.62</v>
      </c>
      <c r="E12942" s="2">
        <v>115.26</v>
      </c>
      <c r="F12942" s="2">
        <v>2</v>
      </c>
      <c r="G12942" s="2" t="s">
        <v>14</v>
      </c>
    </row>
    <row r="12943" spans="1:7" x14ac:dyDescent="0.2">
      <c r="A12943" s="2" t="s">
        <v>3358</v>
      </c>
      <c r="B12943" s="2" t="s">
        <v>150</v>
      </c>
      <c r="C12943" s="2">
        <v>940.14620000000002</v>
      </c>
      <c r="D12943" s="2">
        <f>HYPERLINK("http://mcb-m6.bioreg.kyushu-u.ac.jp/M3/20110502/F51190/2506/1", 148.32)</f>
        <v>148.32</v>
      </c>
      <c r="E12943" s="2">
        <v>118.7</v>
      </c>
      <c r="F12943" s="2">
        <v>2</v>
      </c>
      <c r="G12943" s="2" t="s">
        <v>14</v>
      </c>
    </row>
    <row r="12944" spans="1:7" x14ac:dyDescent="0.2">
      <c r="A12944" s="2" t="s">
        <v>3964</v>
      </c>
      <c r="B12944" s="2" t="s">
        <v>1186</v>
      </c>
      <c r="C12944" s="2">
        <v>783.57920000000001</v>
      </c>
      <c r="D12944" s="2">
        <f>HYPERLINK("http://mcb-m6.bioreg.kyushu-u.ac.jp/M3/20110411/F50911/2339/1", 66.36)</f>
        <v>66.36</v>
      </c>
      <c r="E12944" s="2">
        <v>50.52</v>
      </c>
      <c r="F12944" s="2">
        <v>2</v>
      </c>
      <c r="G12944" s="2" t="s">
        <v>9</v>
      </c>
    </row>
    <row r="12945" spans="1:7" x14ac:dyDescent="0.2">
      <c r="A12945" s="2" t="s">
        <v>3964</v>
      </c>
      <c r="B12945" s="2" t="s">
        <v>3100</v>
      </c>
      <c r="C12945" s="2">
        <v>473.6336</v>
      </c>
      <c r="D12945" s="2">
        <f>HYPERLINK("http://mcb-m6.bioreg.kyushu-u.ac.jp/M3/20110502/F51183/637/1", 44.75)</f>
        <v>44.75</v>
      </c>
      <c r="E12945" s="2">
        <v>8.74</v>
      </c>
      <c r="F12945" s="2">
        <v>2</v>
      </c>
      <c r="G12945" s="2" t="s">
        <v>14</v>
      </c>
    </row>
    <row r="12946" spans="1:7" x14ac:dyDescent="0.2">
      <c r="A12946" s="2" t="s">
        <v>3964</v>
      </c>
      <c r="B12946" s="2" t="s">
        <v>1186</v>
      </c>
      <c r="C12946" s="2">
        <v>783.70870000000002</v>
      </c>
      <c r="D12946" s="2">
        <f>HYPERLINK("http://mcb-m6.bioreg.kyushu-u.ac.jp/M3/20110502/F51179/2034/1", 94.5)</f>
        <v>94.5</v>
      </c>
      <c r="E12946" s="2">
        <v>74.040000000000006</v>
      </c>
      <c r="F12946" s="2">
        <v>2</v>
      </c>
      <c r="G12946" s="2" t="s">
        <v>14</v>
      </c>
    </row>
    <row r="12947" spans="1:7" x14ac:dyDescent="0.2">
      <c r="A12947" s="2" t="s">
        <v>3731</v>
      </c>
      <c r="B12947" s="2" t="s">
        <v>729</v>
      </c>
      <c r="C12947" s="2">
        <v>831.53099999999995</v>
      </c>
      <c r="D12947" s="2">
        <f>HYPERLINK("http://mcb-m6.bioreg.kyushu-u.ac.jp/M3/20110411/F50915/507/1", 49.51)</f>
        <v>49.51</v>
      </c>
      <c r="E12947" s="2">
        <v>14.16</v>
      </c>
      <c r="F12947" s="2">
        <v>1</v>
      </c>
      <c r="G12947" s="2" t="s">
        <v>9</v>
      </c>
    </row>
    <row r="12948" spans="1:7" x14ac:dyDescent="0.2">
      <c r="A12948" s="2" t="s">
        <v>3731</v>
      </c>
      <c r="B12948" s="2" t="s">
        <v>729</v>
      </c>
      <c r="C12948" s="2">
        <v>831.62900000000002</v>
      </c>
      <c r="D12948" s="2">
        <f>HYPERLINK("http://mcb-m6.bioreg.kyushu-u.ac.jp/M3/20110411/F50911/719/1", 49.56)</f>
        <v>49.56</v>
      </c>
      <c r="E12948" s="2">
        <v>15.82</v>
      </c>
      <c r="F12948" s="2">
        <v>1</v>
      </c>
      <c r="G12948" s="2" t="s">
        <v>9</v>
      </c>
    </row>
    <row r="12949" spans="1:7" x14ac:dyDescent="0.2">
      <c r="A12949" s="2" t="s">
        <v>3731</v>
      </c>
      <c r="B12949" s="2" t="s">
        <v>729</v>
      </c>
      <c r="C12949" s="2">
        <v>831.45299999999997</v>
      </c>
      <c r="D12949" s="2">
        <f>HYPERLINK("http://mcb-m6.bioreg.kyushu-u.ac.jp/M3/20110411/F50914/786/1", 49.41)</f>
        <v>49.41</v>
      </c>
      <c r="E12949" s="2">
        <v>15.82</v>
      </c>
      <c r="F12949" s="2">
        <v>1</v>
      </c>
      <c r="G12949" s="2" t="s">
        <v>10</v>
      </c>
    </row>
    <row r="12950" spans="1:7" x14ac:dyDescent="0.2">
      <c r="A12950" s="2" t="s">
        <v>3731</v>
      </c>
      <c r="B12950" s="2" t="s">
        <v>729</v>
      </c>
      <c r="C12950" s="2">
        <v>831.471</v>
      </c>
      <c r="D12950" s="2">
        <f>HYPERLINK("http://mcb-m6.bioreg.kyushu-u.ac.jp/M3/20110411/F50917/568/1", 49.56)</f>
        <v>49.56</v>
      </c>
      <c r="E12950" s="2">
        <v>15.89</v>
      </c>
      <c r="F12950" s="2">
        <v>1</v>
      </c>
      <c r="G12950" s="2" t="s">
        <v>10</v>
      </c>
    </row>
    <row r="12951" spans="1:7" x14ac:dyDescent="0.2">
      <c r="A12951" s="2" t="s">
        <v>3731</v>
      </c>
      <c r="B12951" s="2" t="s">
        <v>729</v>
      </c>
      <c r="C12951" s="2">
        <v>830.322</v>
      </c>
      <c r="D12951" s="2">
        <f>HYPERLINK("http://mcb-m6.bioreg.kyushu-u.ac.jp/M3/20110414/F50941/624/1", 45.59)</f>
        <v>45.59</v>
      </c>
      <c r="E12951" s="2">
        <v>10.42</v>
      </c>
      <c r="F12951" s="2">
        <v>1</v>
      </c>
      <c r="G12951" s="2" t="s">
        <v>11</v>
      </c>
    </row>
    <row r="12952" spans="1:7" x14ac:dyDescent="0.2">
      <c r="A12952" s="2" t="s">
        <v>3731</v>
      </c>
      <c r="B12952" s="2" t="s">
        <v>729</v>
      </c>
      <c r="C12952" s="2">
        <v>830.36699999999996</v>
      </c>
      <c r="D12952" s="2">
        <f>HYPERLINK("http://mcb-m6.bioreg.kyushu-u.ac.jp/M3/20110414/F50942/601/1", 53.84)</f>
        <v>53.84</v>
      </c>
      <c r="E12952" s="2">
        <v>18.07</v>
      </c>
      <c r="F12952" s="2">
        <v>1</v>
      </c>
      <c r="G12952" s="2" t="s">
        <v>11</v>
      </c>
    </row>
    <row r="12953" spans="1:7" x14ac:dyDescent="0.2">
      <c r="A12953" s="2" t="s">
        <v>3731</v>
      </c>
      <c r="B12953" s="2" t="s">
        <v>729</v>
      </c>
      <c r="C12953" s="2">
        <v>830.39200000000005</v>
      </c>
      <c r="D12953" s="2">
        <f>HYPERLINK("http://mcb-m6.bioreg.kyushu-u.ac.jp/M3/20110414/F50948/555/1", 49.99)</f>
        <v>49.99</v>
      </c>
      <c r="E12953" s="2">
        <v>12.36</v>
      </c>
      <c r="F12953" s="2">
        <v>1</v>
      </c>
      <c r="G12953" s="2" t="s">
        <v>12</v>
      </c>
    </row>
    <row r="12954" spans="1:7" x14ac:dyDescent="0.2">
      <c r="A12954" s="2" t="s">
        <v>3731</v>
      </c>
      <c r="B12954" s="2" t="s">
        <v>729</v>
      </c>
      <c r="C12954" s="2">
        <v>831.64599999999996</v>
      </c>
      <c r="D12954" s="2">
        <f>HYPERLINK("http://mcb-m6.bioreg.kyushu-u.ac.jp/M3/20110502/F51170/765/1", 49.55)</f>
        <v>49.55</v>
      </c>
      <c r="E12954" s="2">
        <v>15.87</v>
      </c>
      <c r="F12954" s="2">
        <v>1</v>
      </c>
      <c r="G12954" s="2" t="s">
        <v>13</v>
      </c>
    </row>
    <row r="12955" spans="1:7" x14ac:dyDescent="0.2">
      <c r="A12955" s="2" t="s">
        <v>3731</v>
      </c>
      <c r="B12955" s="2" t="s">
        <v>729</v>
      </c>
      <c r="C12955" s="2">
        <v>830.63199999999995</v>
      </c>
      <c r="D12955" s="2">
        <f>HYPERLINK("http://mcb-m6.bioreg.kyushu-u.ac.jp/M3/20110502/F51171/813/1", 54.08)</f>
        <v>54.08</v>
      </c>
      <c r="E12955" s="2">
        <v>18.07</v>
      </c>
      <c r="F12955" s="2">
        <v>1</v>
      </c>
      <c r="G12955" s="2" t="s">
        <v>13</v>
      </c>
    </row>
    <row r="12956" spans="1:7" x14ac:dyDescent="0.2">
      <c r="A12956" s="2" t="s">
        <v>3731</v>
      </c>
      <c r="B12956" s="2" t="s">
        <v>729</v>
      </c>
      <c r="C12956" s="2">
        <v>830.37099999999998</v>
      </c>
      <c r="D12956" s="2">
        <f>HYPERLINK("http://mcb-m6.bioreg.kyushu-u.ac.jp/M3/20110502/F51192/418/1", 49.98)</f>
        <v>49.98</v>
      </c>
      <c r="E12956" s="2">
        <v>14.07</v>
      </c>
      <c r="F12956" s="2">
        <v>1</v>
      </c>
      <c r="G12956" s="2" t="s">
        <v>14</v>
      </c>
    </row>
    <row r="12957" spans="1:7" x14ac:dyDescent="0.2">
      <c r="A12957" s="2" t="s">
        <v>3731</v>
      </c>
      <c r="B12957" s="2" t="s">
        <v>729</v>
      </c>
      <c r="C12957" s="2">
        <v>830.89599999999996</v>
      </c>
      <c r="D12957" s="2">
        <f>HYPERLINK("http://mcb-m6.bioreg.kyushu-u.ac.jp/M3/20110502/F51183/482/1", 50)</f>
        <v>50</v>
      </c>
      <c r="E12957" s="2">
        <v>15.71</v>
      </c>
      <c r="F12957" s="2">
        <v>1</v>
      </c>
      <c r="G12957" s="2" t="s">
        <v>14</v>
      </c>
    </row>
    <row r="12958" spans="1:7" x14ac:dyDescent="0.2">
      <c r="A12958" s="2" t="s">
        <v>3282</v>
      </c>
      <c r="B12958" s="2" t="s">
        <v>62</v>
      </c>
      <c r="C12958" s="2">
        <v>725.00819999999999</v>
      </c>
      <c r="D12958" s="2">
        <f>HYPERLINK("http://mcb-m6.bioreg.kyushu-u.ac.jp/M3/20110411/F50905/1939/1", 35.58)</f>
        <v>35.58</v>
      </c>
      <c r="E12958" s="2">
        <v>10.24</v>
      </c>
      <c r="F12958" s="2">
        <v>2</v>
      </c>
      <c r="G12958" s="2" t="s">
        <v>9</v>
      </c>
    </row>
    <row r="12959" spans="1:7" x14ac:dyDescent="0.2">
      <c r="A12959" s="2" t="s">
        <v>3282</v>
      </c>
      <c r="B12959" s="2" t="s">
        <v>62</v>
      </c>
      <c r="C12959" s="2">
        <v>724.45119999999997</v>
      </c>
      <c r="D12959" s="2">
        <f>HYPERLINK("http://mcb-m6.bioreg.kyushu-u.ac.jp/M3/20110502/F51179/1675/1", 41.17)</f>
        <v>41.17</v>
      </c>
      <c r="E12959" s="2">
        <v>11.84</v>
      </c>
      <c r="F12959" s="2">
        <v>2</v>
      </c>
      <c r="G12959" s="2" t="s">
        <v>14</v>
      </c>
    </row>
    <row r="12960" spans="1:7" x14ac:dyDescent="0.2">
      <c r="A12960" s="2" t="s">
        <v>3850</v>
      </c>
      <c r="B12960" s="2" t="s">
        <v>949</v>
      </c>
      <c r="C12960" s="2">
        <v>1119.0709999999999</v>
      </c>
      <c r="D12960" s="2">
        <f>HYPERLINK("http://mcb-m6.bioreg.kyushu-u.ac.jp/M3/20110411/F50891/3824/1", 56.38)</f>
        <v>56.38</v>
      </c>
      <c r="E12960" s="2">
        <v>45.61</v>
      </c>
      <c r="F12960" s="2">
        <v>2</v>
      </c>
      <c r="G12960" s="2" t="s">
        <v>9</v>
      </c>
    </row>
    <row r="12961" spans="1:9" x14ac:dyDescent="0.2">
      <c r="A12961" s="2" t="s">
        <v>4671</v>
      </c>
      <c r="B12961" s="2" t="s">
        <v>2840</v>
      </c>
      <c r="C12961" s="2">
        <v>477.94009999999997</v>
      </c>
      <c r="D12961" s="2">
        <f>HYPERLINK("http://mcb-m6.bioreg.kyushu-u.ac.jp/M3/20110502/F51188/746/1", 38.35)</f>
        <v>38.35</v>
      </c>
      <c r="E12961" s="2">
        <v>21.4</v>
      </c>
      <c r="F12961" s="2">
        <v>2</v>
      </c>
      <c r="G12961" s="2" t="s">
        <v>13</v>
      </c>
      <c r="I12961" s="2" t="s">
        <v>4905</v>
      </c>
    </row>
    <row r="12962" spans="1:9" x14ac:dyDescent="0.2">
      <c r="A12962" s="2" t="s">
        <v>3379</v>
      </c>
      <c r="B12962" s="2" t="s">
        <v>171</v>
      </c>
      <c r="C12962" s="2">
        <v>1002.442</v>
      </c>
      <c r="D12962" s="2">
        <f>HYPERLINK("http://mcb-m6.bioreg.kyushu-u.ac.jp/M3/20110411/F50891/985/1", 37.2)</f>
        <v>37.200000000000003</v>
      </c>
      <c r="E12962" s="2">
        <v>17.43</v>
      </c>
      <c r="F12962" s="2">
        <v>1</v>
      </c>
      <c r="G12962" s="2" t="s">
        <v>9</v>
      </c>
    </row>
    <row r="12963" spans="1:9" x14ac:dyDescent="0.2">
      <c r="A12963" s="2" t="s">
        <v>3379</v>
      </c>
      <c r="B12963" s="2" t="s">
        <v>171</v>
      </c>
      <c r="C12963" s="2">
        <v>1002.612</v>
      </c>
      <c r="D12963" s="2">
        <f>HYPERLINK("http://mcb-m6.bioreg.kyushu-u.ac.jp/M3/20110411/F50898/1558/1", 38.72)</f>
        <v>38.72</v>
      </c>
      <c r="E12963" s="2">
        <v>24.62</v>
      </c>
      <c r="F12963" s="2">
        <v>1</v>
      </c>
      <c r="G12963" s="2" t="s">
        <v>10</v>
      </c>
    </row>
    <row r="12964" spans="1:9" x14ac:dyDescent="0.2">
      <c r="A12964" s="2" t="s">
        <v>3379</v>
      </c>
      <c r="B12964" s="2" t="s">
        <v>3143</v>
      </c>
      <c r="C12964" s="2">
        <v>486.57010000000002</v>
      </c>
      <c r="D12964" s="2">
        <f>HYPERLINK("http://mcb-m6.bioreg.kyushu-u.ac.jp/M3/20110502/F51178/1021/1", 51.21)</f>
        <v>51.21</v>
      </c>
      <c r="E12964" s="2">
        <v>25.61</v>
      </c>
      <c r="F12964" s="2">
        <v>2</v>
      </c>
      <c r="G12964" s="2" t="s">
        <v>14</v>
      </c>
      <c r="I12964" s="2" t="s">
        <v>4899</v>
      </c>
    </row>
    <row r="12965" spans="1:9" x14ac:dyDescent="0.2">
      <c r="A12965" s="2" t="s">
        <v>3300</v>
      </c>
      <c r="B12965" s="2" t="s">
        <v>81</v>
      </c>
      <c r="C12965" s="2">
        <v>797.87570000000005</v>
      </c>
      <c r="D12965" s="2">
        <f>HYPERLINK("http://mcb-m6.bioreg.kyushu-u.ac.jp/M3/20110411/F50891/2451/1", 35.74)</f>
        <v>35.74</v>
      </c>
      <c r="E12965" s="2">
        <v>23.08</v>
      </c>
      <c r="F12965" s="2">
        <v>2</v>
      </c>
      <c r="G12965" s="2" t="s">
        <v>9</v>
      </c>
      <c r="H12965" s="2" t="s">
        <v>4900</v>
      </c>
      <c r="I12965" s="2" t="s">
        <v>4890</v>
      </c>
    </row>
    <row r="12966" spans="1:9" x14ac:dyDescent="0.2">
      <c r="A12966" s="2" t="s">
        <v>3300</v>
      </c>
      <c r="B12966" s="2" t="s">
        <v>197</v>
      </c>
      <c r="C12966" s="2">
        <v>947.42600000000004</v>
      </c>
      <c r="D12966" s="2">
        <f>HYPERLINK("http://mcb-m6.bioreg.kyushu-u.ac.jp/M3/20110411/F50891/872/1", 37.58)</f>
        <v>37.58</v>
      </c>
      <c r="E12966" s="2">
        <v>16.010000000000002</v>
      </c>
      <c r="F12966" s="2">
        <v>1</v>
      </c>
      <c r="G12966" s="2" t="s">
        <v>9</v>
      </c>
    </row>
    <row r="12967" spans="1:9" x14ac:dyDescent="0.2">
      <c r="A12967" s="2" t="s">
        <v>3300</v>
      </c>
      <c r="B12967" s="2" t="s">
        <v>323</v>
      </c>
      <c r="C12967" s="2">
        <v>569.04250000000002</v>
      </c>
      <c r="D12967" s="2">
        <f>HYPERLINK("http://mcb-m6.bioreg.kyushu-u.ac.jp/M3/20110411/F50891/2747/1", 39.68)</f>
        <v>39.68</v>
      </c>
      <c r="E12967" s="2">
        <v>24.65</v>
      </c>
      <c r="F12967" s="2">
        <v>3</v>
      </c>
      <c r="G12967" s="2" t="s">
        <v>9</v>
      </c>
      <c r="I12967" s="2" t="s">
        <v>4890</v>
      </c>
    </row>
    <row r="12968" spans="1:9" x14ac:dyDescent="0.2">
      <c r="A12968" s="2" t="s">
        <v>3300</v>
      </c>
      <c r="B12968" s="2" t="s">
        <v>445</v>
      </c>
      <c r="C12968" s="2">
        <v>1290.3599999999999</v>
      </c>
      <c r="D12968" s="2">
        <f>HYPERLINK("http://mcb-m6.bioreg.kyushu-u.ac.jp/M3/20110411/F50891/1590/1", 42.04)</f>
        <v>42.04</v>
      </c>
      <c r="E12968" s="2">
        <v>33.799999999999997</v>
      </c>
      <c r="F12968" s="2">
        <v>1</v>
      </c>
      <c r="G12968" s="2" t="s">
        <v>9</v>
      </c>
    </row>
    <row r="12969" spans="1:9" x14ac:dyDescent="0.2">
      <c r="A12969" s="2" t="s">
        <v>3300</v>
      </c>
      <c r="B12969" s="2" t="s">
        <v>764</v>
      </c>
      <c r="C12969" s="2">
        <v>468.83710000000002</v>
      </c>
      <c r="D12969" s="2">
        <f>HYPERLINK("http://mcb-m6.bioreg.kyushu-u.ac.jp/M3/20110411/F50891/850/1", 50.57)</f>
        <v>50.57</v>
      </c>
      <c r="E12969" s="2">
        <v>25.16</v>
      </c>
      <c r="F12969" s="2">
        <v>2</v>
      </c>
      <c r="G12969" s="2" t="s">
        <v>9</v>
      </c>
      <c r="H12969" s="2" t="s">
        <v>4891</v>
      </c>
    </row>
    <row r="12970" spans="1:9" x14ac:dyDescent="0.2">
      <c r="A12970" s="2" t="s">
        <v>3300</v>
      </c>
      <c r="B12970" s="2" t="s">
        <v>445</v>
      </c>
      <c r="C12970" s="2">
        <v>1291.4059999999999</v>
      </c>
      <c r="D12970" s="2">
        <f>HYPERLINK("http://mcb-m6.bioreg.kyushu-u.ac.jp/M3/20110411/F50891/1593/1", 54.03)</f>
        <v>54.03</v>
      </c>
      <c r="E12970" s="2">
        <v>44.74</v>
      </c>
      <c r="F12970" s="2">
        <v>1</v>
      </c>
      <c r="G12970" s="2" t="s">
        <v>9</v>
      </c>
    </row>
    <row r="12971" spans="1:9" x14ac:dyDescent="0.2">
      <c r="A12971" s="2" t="s">
        <v>3300</v>
      </c>
      <c r="B12971" s="2" t="s">
        <v>1106</v>
      </c>
      <c r="C12971" s="2">
        <v>976.95069999999998</v>
      </c>
      <c r="D12971" s="2">
        <f>HYPERLINK("http://mcb-m6.bioreg.kyushu-u.ac.jp/M3/20110411/F50891/3339/1", 63.42)</f>
        <v>63.42</v>
      </c>
      <c r="E12971" s="2">
        <v>53.06</v>
      </c>
      <c r="F12971" s="2">
        <v>2</v>
      </c>
      <c r="G12971" s="2" t="s">
        <v>9</v>
      </c>
    </row>
    <row r="12972" spans="1:9" x14ac:dyDescent="0.2">
      <c r="A12972" s="2" t="s">
        <v>3300</v>
      </c>
      <c r="B12972" s="2" t="s">
        <v>323</v>
      </c>
      <c r="C12972" s="2">
        <v>852.90809999999999</v>
      </c>
      <c r="D12972" s="2">
        <f>HYPERLINK("http://mcb-m6.bioreg.kyushu-u.ac.jp/M3/20110411/F50891/2746/1", 74.68)</f>
        <v>74.680000000000007</v>
      </c>
      <c r="E12972" s="2">
        <v>63.74</v>
      </c>
      <c r="F12972" s="2">
        <v>2</v>
      </c>
      <c r="G12972" s="2" t="s">
        <v>9</v>
      </c>
      <c r="I12972" s="2" t="s">
        <v>4890</v>
      </c>
    </row>
    <row r="12973" spans="1:9" x14ac:dyDescent="0.2">
      <c r="A12973" s="2" t="s">
        <v>3300</v>
      </c>
      <c r="B12973" s="2" t="s">
        <v>445</v>
      </c>
      <c r="C12973" s="2">
        <v>1290.627</v>
      </c>
      <c r="D12973" s="2">
        <f>HYPERLINK("http://mcb-m6.bioreg.kyushu-u.ac.jp/M3/20110411/F50898/1882/1", 38.31)</f>
        <v>38.31</v>
      </c>
      <c r="E12973" s="2">
        <v>31.16</v>
      </c>
      <c r="F12973" s="2">
        <v>1</v>
      </c>
      <c r="G12973" s="2" t="s">
        <v>10</v>
      </c>
    </row>
    <row r="12974" spans="1:9" x14ac:dyDescent="0.2">
      <c r="A12974" s="2" t="s">
        <v>3300</v>
      </c>
      <c r="B12974" s="2" t="s">
        <v>2053</v>
      </c>
      <c r="C12974" s="2">
        <v>758.59559999999999</v>
      </c>
      <c r="D12974" s="2">
        <f>HYPERLINK("http://mcb-m6.bioreg.kyushu-u.ac.jp/M3/20110411/F50898/2310/1", 69.6)</f>
        <v>69.599999999999994</v>
      </c>
      <c r="E12974" s="2">
        <v>39.35</v>
      </c>
      <c r="F12974" s="2">
        <v>2</v>
      </c>
      <c r="G12974" s="2" t="s">
        <v>10</v>
      </c>
    </row>
    <row r="12975" spans="1:9" x14ac:dyDescent="0.2">
      <c r="A12975" s="2" t="s">
        <v>3300</v>
      </c>
      <c r="B12975" s="2" t="s">
        <v>81</v>
      </c>
      <c r="C12975" s="2">
        <v>789.65809999999999</v>
      </c>
      <c r="D12975" s="2">
        <f>HYPERLINK("http://mcb-m6.bioreg.kyushu-u.ac.jp/M3/20110411/F50898/2431/1", 89.91)</f>
        <v>89.91</v>
      </c>
      <c r="E12975" s="2">
        <v>67.87</v>
      </c>
      <c r="F12975" s="2">
        <v>2</v>
      </c>
      <c r="G12975" s="2" t="s">
        <v>10</v>
      </c>
      <c r="I12975" s="2" t="s">
        <v>4890</v>
      </c>
    </row>
    <row r="12976" spans="1:9" x14ac:dyDescent="0.2">
      <c r="A12976" s="2" t="s">
        <v>3300</v>
      </c>
      <c r="B12976" s="2" t="s">
        <v>764</v>
      </c>
      <c r="C12976" s="2">
        <v>468.08960000000002</v>
      </c>
      <c r="D12976" s="2">
        <f>HYPERLINK("http://mcb-m6.bioreg.kyushu-u.ac.jp/M3/20110414/F50928/1039/1", 54.46)</f>
        <v>54.46</v>
      </c>
      <c r="E12976" s="2">
        <v>27.61</v>
      </c>
      <c r="F12976" s="2">
        <v>2</v>
      </c>
      <c r="G12976" s="2" t="s">
        <v>11</v>
      </c>
      <c r="H12976" s="2" t="s">
        <v>4891</v>
      </c>
    </row>
    <row r="12977" spans="1:9" x14ac:dyDescent="0.2">
      <c r="A12977" s="2" t="s">
        <v>3300</v>
      </c>
      <c r="B12977" s="2" t="s">
        <v>2437</v>
      </c>
      <c r="C12977" s="2">
        <v>838.18820000000005</v>
      </c>
      <c r="D12977" s="2">
        <f>HYPERLINK("http://mcb-m6.bioreg.kyushu-u.ac.jp/M3/20110414/F50928/2732/1", 62.97)</f>
        <v>62.97</v>
      </c>
      <c r="E12977" s="2">
        <v>42.77</v>
      </c>
      <c r="F12977" s="2">
        <v>2</v>
      </c>
      <c r="G12977" s="2" t="s">
        <v>11</v>
      </c>
    </row>
    <row r="12978" spans="1:9" x14ac:dyDescent="0.2">
      <c r="A12978" s="2" t="s">
        <v>3300</v>
      </c>
      <c r="B12978" s="2" t="s">
        <v>2053</v>
      </c>
      <c r="C12978" s="2">
        <v>758.70820000000003</v>
      </c>
      <c r="D12978" s="2">
        <f>HYPERLINK("http://mcb-m6.bioreg.kyushu-u.ac.jp/M3/20110414/F50928/2417/1", 83.14)</f>
        <v>83.14</v>
      </c>
      <c r="E12978" s="2">
        <v>61.31</v>
      </c>
      <c r="F12978" s="2">
        <v>2</v>
      </c>
      <c r="G12978" s="2" t="s">
        <v>11</v>
      </c>
    </row>
    <row r="12979" spans="1:9" x14ac:dyDescent="0.2">
      <c r="A12979" s="2" t="s">
        <v>3300</v>
      </c>
      <c r="B12979" s="2" t="s">
        <v>2495</v>
      </c>
      <c r="C12979" s="2">
        <v>1040.261</v>
      </c>
      <c r="D12979" s="2">
        <f>HYPERLINK("http://mcb-m6.bioreg.kyushu-u.ac.jp/M3/20110414/F50928/3404/1", 84.69)</f>
        <v>84.69</v>
      </c>
      <c r="E12979" s="2">
        <v>68.13</v>
      </c>
      <c r="F12979" s="2">
        <v>2</v>
      </c>
      <c r="G12979" s="2" t="s">
        <v>11</v>
      </c>
    </row>
    <row r="12980" spans="1:9" x14ac:dyDescent="0.2">
      <c r="A12980" s="2" t="s">
        <v>3300</v>
      </c>
      <c r="B12980" s="2" t="s">
        <v>1106</v>
      </c>
      <c r="C12980" s="2">
        <v>976.74720000000002</v>
      </c>
      <c r="D12980" s="2">
        <f>HYPERLINK("http://mcb-m6.bioreg.kyushu-u.ac.jp/M3/20110414/F50928/3239/1", 95.28)</f>
        <v>95.28</v>
      </c>
      <c r="E12980" s="2">
        <v>81.44</v>
      </c>
      <c r="F12980" s="2">
        <v>2</v>
      </c>
      <c r="G12980" s="2" t="s">
        <v>11</v>
      </c>
    </row>
    <row r="12981" spans="1:9" x14ac:dyDescent="0.2">
      <c r="A12981" s="2" t="s">
        <v>3300</v>
      </c>
      <c r="B12981" s="2" t="s">
        <v>445</v>
      </c>
      <c r="C12981" s="2">
        <v>1290.4549999999999</v>
      </c>
      <c r="D12981" s="2">
        <f>HYPERLINK("http://mcb-m6.bioreg.kyushu-u.ac.jp/M3/20110414/F50933/1965/1", 37.83)</f>
        <v>37.83</v>
      </c>
      <c r="E12981" s="2">
        <v>27.82</v>
      </c>
      <c r="F12981" s="2">
        <v>1</v>
      </c>
      <c r="G12981" s="2" t="s">
        <v>12</v>
      </c>
    </row>
    <row r="12982" spans="1:9" x14ac:dyDescent="0.2">
      <c r="A12982" s="2" t="s">
        <v>3300</v>
      </c>
      <c r="B12982" s="2" t="s">
        <v>2591</v>
      </c>
      <c r="C12982" s="2">
        <v>664.30619999999999</v>
      </c>
      <c r="D12982" s="2">
        <f>HYPERLINK("http://mcb-m6.bioreg.kyushu-u.ac.jp/M3/20110414/F50933/2032/1", 40.08)</f>
        <v>40.08</v>
      </c>
      <c r="E12982" s="2">
        <v>22.8</v>
      </c>
      <c r="F12982" s="2">
        <v>2</v>
      </c>
      <c r="G12982" s="2" t="s">
        <v>12</v>
      </c>
    </row>
    <row r="12983" spans="1:9" x14ac:dyDescent="0.2">
      <c r="A12983" s="2" t="s">
        <v>3300</v>
      </c>
      <c r="B12983" s="2" t="s">
        <v>764</v>
      </c>
      <c r="C12983" s="2">
        <v>468.24360000000001</v>
      </c>
      <c r="D12983" s="2">
        <f>HYPERLINK("http://mcb-m6.bioreg.kyushu-u.ac.jp/M3/20110414/F50933/1288/1", 47.06)</f>
        <v>47.06</v>
      </c>
      <c r="E12983" s="2">
        <v>22.71</v>
      </c>
      <c r="F12983" s="2">
        <v>2</v>
      </c>
      <c r="G12983" s="2" t="s">
        <v>12</v>
      </c>
      <c r="H12983" s="2" t="s">
        <v>4891</v>
      </c>
    </row>
    <row r="12984" spans="1:9" x14ac:dyDescent="0.2">
      <c r="A12984" s="2" t="s">
        <v>3300</v>
      </c>
      <c r="B12984" s="2" t="s">
        <v>445</v>
      </c>
      <c r="C12984" s="2">
        <v>1290.576</v>
      </c>
      <c r="D12984" s="2">
        <f>HYPERLINK("http://mcb-m6.bioreg.kyushu-u.ac.jp/M3/20110502/F51169/1737/1", 40.72)</f>
        <v>40.72</v>
      </c>
      <c r="E12984" s="2">
        <v>28.94</v>
      </c>
      <c r="F12984" s="2">
        <v>1</v>
      </c>
      <c r="G12984" s="2" t="s">
        <v>13</v>
      </c>
    </row>
    <row r="12985" spans="1:9" x14ac:dyDescent="0.2">
      <c r="A12985" s="2" t="s">
        <v>3300</v>
      </c>
      <c r="B12985" s="2" t="s">
        <v>445</v>
      </c>
      <c r="C12985" s="2">
        <v>646.31370000000004</v>
      </c>
      <c r="D12985" s="2">
        <f>HYPERLINK("http://mcb-m6.bioreg.kyushu-u.ac.jp/M3/20110502/F51169/1739/1", 44.76)</f>
        <v>44.76</v>
      </c>
      <c r="E12985" s="2">
        <v>30.91</v>
      </c>
      <c r="F12985" s="2">
        <v>2</v>
      </c>
      <c r="G12985" s="2" t="s">
        <v>13</v>
      </c>
    </row>
    <row r="12986" spans="1:9" x14ac:dyDescent="0.2">
      <c r="A12986" s="2" t="s">
        <v>3300</v>
      </c>
      <c r="B12986" s="2" t="s">
        <v>764</v>
      </c>
      <c r="C12986" s="2">
        <v>467.88760000000002</v>
      </c>
      <c r="D12986" s="2">
        <f>HYPERLINK("http://mcb-m6.bioreg.kyushu-u.ac.jp/M3/20110502/F51169/1001/1", 55.34)</f>
        <v>55.34</v>
      </c>
      <c r="E12986" s="2">
        <v>32.42</v>
      </c>
      <c r="F12986" s="2">
        <v>2</v>
      </c>
      <c r="G12986" s="2" t="s">
        <v>13</v>
      </c>
      <c r="H12986" s="2" t="s">
        <v>4891</v>
      </c>
    </row>
    <row r="12987" spans="1:9" x14ac:dyDescent="0.2">
      <c r="A12987" s="2" t="s">
        <v>3300</v>
      </c>
      <c r="B12987" s="2" t="s">
        <v>445</v>
      </c>
      <c r="C12987" s="2">
        <v>1290.578</v>
      </c>
      <c r="D12987" s="2">
        <f>HYPERLINK("http://mcb-m6.bioreg.kyushu-u.ac.jp/M3/20110502/F51178/1691/1", 48.03)</f>
        <v>48.03</v>
      </c>
      <c r="E12987" s="2">
        <v>34.93</v>
      </c>
      <c r="F12987" s="2">
        <v>1</v>
      </c>
      <c r="G12987" s="2" t="s">
        <v>14</v>
      </c>
    </row>
    <row r="12988" spans="1:9" x14ac:dyDescent="0.2">
      <c r="A12988" s="2" t="s">
        <v>3941</v>
      </c>
      <c r="B12988" s="2" t="s">
        <v>1139</v>
      </c>
      <c r="C12988" s="2">
        <v>656.35609999999997</v>
      </c>
      <c r="D12988" s="2">
        <f>HYPERLINK("http://mcb-m6.bioreg.kyushu-u.ac.jp/M3/20110411/F50916/1423/1", 64.74)</f>
        <v>64.739999999999995</v>
      </c>
      <c r="E12988" s="2">
        <v>49.87</v>
      </c>
      <c r="F12988" s="2">
        <v>2</v>
      </c>
      <c r="G12988" s="2" t="s">
        <v>9</v>
      </c>
    </row>
    <row r="12989" spans="1:9" x14ac:dyDescent="0.2">
      <c r="A12989" s="2" t="s">
        <v>3941</v>
      </c>
      <c r="B12989" s="2" t="s">
        <v>2218</v>
      </c>
      <c r="C12989" s="2">
        <v>947.46469999999999</v>
      </c>
      <c r="D12989" s="2">
        <f>HYPERLINK("http://mcb-m6.bioreg.kyushu-u.ac.jp/M3/20110414/F50944/2806/1", 37.93)</f>
        <v>37.93</v>
      </c>
      <c r="E12989" s="2">
        <v>35.17</v>
      </c>
      <c r="F12989" s="2">
        <v>2</v>
      </c>
      <c r="G12989" s="2" t="s">
        <v>11</v>
      </c>
      <c r="I12989" s="2" t="s">
        <v>4939</v>
      </c>
    </row>
    <row r="12990" spans="1:9" x14ac:dyDescent="0.2">
      <c r="A12990" s="2" t="s">
        <v>3941</v>
      </c>
      <c r="B12990" s="2" t="s">
        <v>2218</v>
      </c>
      <c r="C12990" s="2">
        <v>947.26919999999996</v>
      </c>
      <c r="D12990" s="2">
        <f>HYPERLINK("http://mcb-m6.bioreg.kyushu-u.ac.jp/M3/20110502/F51173/2989/1", 75.5)</f>
        <v>75.5</v>
      </c>
      <c r="E12990" s="2">
        <v>65.28</v>
      </c>
      <c r="F12990" s="2">
        <v>2</v>
      </c>
      <c r="G12990" s="2" t="s">
        <v>13</v>
      </c>
      <c r="I12990" s="2" t="s">
        <v>4939</v>
      </c>
    </row>
    <row r="12991" spans="1:9" x14ac:dyDescent="0.2">
      <c r="A12991" s="2" t="s">
        <v>4474</v>
      </c>
      <c r="B12991" s="2" t="s">
        <v>2416</v>
      </c>
      <c r="C12991" s="2">
        <v>776.35519999999997</v>
      </c>
      <c r="D12991" s="2">
        <f>HYPERLINK("http://mcb-m6.bioreg.kyushu-u.ac.jp/M3/20110414/F50943/2112/1", 59.3)</f>
        <v>59.3</v>
      </c>
      <c r="E12991" s="2">
        <v>49.7</v>
      </c>
      <c r="F12991" s="2">
        <v>2</v>
      </c>
      <c r="G12991" s="2" t="s">
        <v>11</v>
      </c>
    </row>
    <row r="12992" spans="1:9" x14ac:dyDescent="0.2">
      <c r="A12992" s="2" t="s">
        <v>4474</v>
      </c>
      <c r="B12992" s="2" t="s">
        <v>2463</v>
      </c>
      <c r="C12992" s="2">
        <v>738.28859999999997</v>
      </c>
      <c r="D12992" s="2">
        <f>HYPERLINK("http://mcb-m6.bioreg.kyushu-u.ac.jp/M3/20110414/F50943/1861/1", 71.71)</f>
        <v>71.709999999999994</v>
      </c>
      <c r="E12992" s="2">
        <v>57.28</v>
      </c>
      <c r="F12992" s="2">
        <v>2</v>
      </c>
      <c r="G12992" s="2" t="s">
        <v>11</v>
      </c>
    </row>
    <row r="12993" spans="1:9" x14ac:dyDescent="0.2">
      <c r="A12993" s="2" t="s">
        <v>4474</v>
      </c>
      <c r="B12993" s="2" t="s">
        <v>2463</v>
      </c>
      <c r="C12993" s="2">
        <v>738.53970000000004</v>
      </c>
      <c r="D12993" s="2">
        <f>HYPERLINK("http://mcb-m6.bioreg.kyushu-u.ac.jp/M3/20110414/F50949/2147/1", 81.98)</f>
        <v>81.98</v>
      </c>
      <c r="E12993" s="2">
        <v>46.92</v>
      </c>
      <c r="F12993" s="2">
        <v>2</v>
      </c>
      <c r="G12993" s="2" t="s">
        <v>12</v>
      </c>
    </row>
    <row r="12994" spans="1:9" x14ac:dyDescent="0.2">
      <c r="A12994" s="2" t="s">
        <v>4789</v>
      </c>
      <c r="B12994" s="2" t="s">
        <v>3025</v>
      </c>
      <c r="C12994" s="2">
        <v>463.83659999999998</v>
      </c>
      <c r="D12994" s="2">
        <f>HYPERLINK("http://mcb-m6.bioreg.kyushu-u.ac.jp/M3/20110502/F51185/589/1", 38.5)</f>
        <v>38.5</v>
      </c>
      <c r="E12994" s="2">
        <v>10.65</v>
      </c>
      <c r="F12994" s="2">
        <v>2</v>
      </c>
      <c r="G12994" s="2" t="s">
        <v>14</v>
      </c>
      <c r="H12994" s="2" t="s">
        <v>4976</v>
      </c>
    </row>
    <row r="12995" spans="1:9" x14ac:dyDescent="0.2">
      <c r="A12995" s="2" t="s">
        <v>4116</v>
      </c>
      <c r="B12995" s="2" t="s">
        <v>1615</v>
      </c>
      <c r="C12995" s="2">
        <v>960.34270000000004</v>
      </c>
      <c r="D12995" s="2">
        <f>HYPERLINK("http://mcb-m6.bioreg.kyushu-u.ac.jp/M3/20110411/F50911/3200/1", 100.57)</f>
        <v>100.57</v>
      </c>
      <c r="E12995" s="2">
        <v>87.79</v>
      </c>
      <c r="F12995" s="2">
        <v>2</v>
      </c>
      <c r="G12995" s="2" t="s">
        <v>9</v>
      </c>
    </row>
    <row r="12996" spans="1:9" x14ac:dyDescent="0.2">
      <c r="A12996" s="2" t="s">
        <v>4116</v>
      </c>
      <c r="B12996" s="2" t="s">
        <v>1615</v>
      </c>
      <c r="C12996" s="2">
        <v>959.95370000000003</v>
      </c>
      <c r="D12996" s="2">
        <f>HYPERLINK("http://mcb-m6.bioreg.kyushu-u.ac.jp/M3/20110411/F50914/3076/1", 104.87)</f>
        <v>104.87</v>
      </c>
      <c r="E12996" s="2">
        <v>88.45</v>
      </c>
      <c r="F12996" s="2">
        <v>2</v>
      </c>
      <c r="G12996" s="2" t="s">
        <v>10</v>
      </c>
    </row>
    <row r="12997" spans="1:9" x14ac:dyDescent="0.2">
      <c r="A12997" s="2" t="s">
        <v>4116</v>
      </c>
      <c r="B12997" s="2" t="s">
        <v>2321</v>
      </c>
      <c r="C12997" s="2">
        <v>938.83219999999994</v>
      </c>
      <c r="D12997" s="2">
        <f>HYPERLINK("http://mcb-m6.bioreg.kyushu-u.ac.jp/M3/20110414/F50942/3109/1", 45.87)</f>
        <v>45.87</v>
      </c>
      <c r="E12997" s="2">
        <v>37.369999999999997</v>
      </c>
      <c r="F12997" s="2">
        <v>2</v>
      </c>
      <c r="G12997" s="2" t="s">
        <v>11</v>
      </c>
    </row>
    <row r="12998" spans="1:9" x14ac:dyDescent="0.2">
      <c r="A12998" s="2" t="s">
        <v>4116</v>
      </c>
      <c r="B12998" s="2" t="s">
        <v>2321</v>
      </c>
      <c r="C12998" s="2">
        <v>938.98270000000002</v>
      </c>
      <c r="D12998" s="2">
        <f>HYPERLINK("http://mcb-m6.bioreg.kyushu-u.ac.jp/M3/20110414/F50948/3242/1", 66.94)</f>
        <v>66.94</v>
      </c>
      <c r="E12998" s="2">
        <v>51.21</v>
      </c>
      <c r="F12998" s="2">
        <v>2</v>
      </c>
      <c r="G12998" s="2" t="s">
        <v>12</v>
      </c>
    </row>
    <row r="12999" spans="1:9" x14ac:dyDescent="0.2">
      <c r="A12999" s="2" t="s">
        <v>4116</v>
      </c>
      <c r="B12999" s="2" t="s">
        <v>1615</v>
      </c>
      <c r="C12999" s="2">
        <v>960.26260000000002</v>
      </c>
      <c r="D12999" s="2">
        <f>HYPERLINK("http://mcb-m6.bioreg.kyushu-u.ac.jp/M3/20110502/F51183/2986/1", 56.79)</f>
        <v>56.79</v>
      </c>
      <c r="E12999" s="2">
        <v>40.020000000000003</v>
      </c>
      <c r="F12999" s="2">
        <v>2</v>
      </c>
      <c r="G12999" s="2" t="s">
        <v>14</v>
      </c>
    </row>
    <row r="13000" spans="1:9" x14ac:dyDescent="0.2">
      <c r="A13000" s="2" t="s">
        <v>4116</v>
      </c>
      <c r="B13000" s="2" t="s">
        <v>2321</v>
      </c>
      <c r="C13000" s="2">
        <v>939.09559999999999</v>
      </c>
      <c r="D13000" s="2">
        <f>HYPERLINK("http://mcb-m6.bioreg.kyushu-u.ac.jp/M3/20110502/F51183/2903/1", 75.32)</f>
        <v>75.319999999999993</v>
      </c>
      <c r="E13000" s="2">
        <v>42.58</v>
      </c>
      <c r="F13000" s="2">
        <v>2</v>
      </c>
      <c r="G13000" s="2" t="s">
        <v>14</v>
      </c>
    </row>
    <row r="13001" spans="1:9" x14ac:dyDescent="0.2">
      <c r="A13001" s="2" t="s">
        <v>3890</v>
      </c>
      <c r="B13001" s="2" t="s">
        <v>1033</v>
      </c>
      <c r="C13001" s="2">
        <v>529.91719999999998</v>
      </c>
      <c r="D13001" s="2">
        <f>HYPERLINK("http://mcb-m6.bioreg.kyushu-u.ac.jp/M3/20110411/F50911/1096/1", 59.63)</f>
        <v>59.63</v>
      </c>
      <c r="E13001" s="2">
        <v>29.16</v>
      </c>
      <c r="F13001" s="2">
        <v>2</v>
      </c>
      <c r="G13001" s="2" t="s">
        <v>9</v>
      </c>
    </row>
    <row r="13002" spans="1:9" x14ac:dyDescent="0.2">
      <c r="A13002" s="2" t="s">
        <v>3890</v>
      </c>
      <c r="B13002" s="2" t="s">
        <v>1033</v>
      </c>
      <c r="C13002" s="2">
        <v>530.25120000000004</v>
      </c>
      <c r="D13002" s="2">
        <f>HYPERLINK("http://mcb-m6.bioreg.kyushu-u.ac.jp/M3/20110411/F50914/1180/1", 69.46)</f>
        <v>69.459999999999994</v>
      </c>
      <c r="E13002" s="2">
        <v>31.84</v>
      </c>
      <c r="F13002" s="2">
        <v>2</v>
      </c>
      <c r="G13002" s="2" t="s">
        <v>10</v>
      </c>
    </row>
    <row r="13003" spans="1:9" x14ac:dyDescent="0.2">
      <c r="A13003" s="2" t="s">
        <v>3529</v>
      </c>
      <c r="B13003" s="2" t="s">
        <v>375</v>
      </c>
      <c r="C13003" s="2">
        <v>837.721</v>
      </c>
      <c r="D13003" s="2">
        <f>HYPERLINK("http://mcb-m6.bioreg.kyushu-u.ac.jp/M3/20110411/F50911/725/1", 40.61)</f>
        <v>40.61</v>
      </c>
      <c r="E13003" s="2">
        <v>14.13</v>
      </c>
      <c r="F13003" s="2">
        <v>1</v>
      </c>
      <c r="G13003" s="2" t="s">
        <v>9</v>
      </c>
    </row>
    <row r="13004" spans="1:9" x14ac:dyDescent="0.2">
      <c r="A13004" s="2" t="s">
        <v>3529</v>
      </c>
      <c r="B13004" s="2" t="s">
        <v>1329</v>
      </c>
      <c r="C13004" s="2">
        <v>1302.2570000000001</v>
      </c>
      <c r="D13004" s="2">
        <f>HYPERLINK("http://mcb-m6.bioreg.kyushu-u.ac.jp/M3/20110411/F50911/4164/1", 73.43)</f>
        <v>73.430000000000007</v>
      </c>
      <c r="E13004" s="2">
        <v>64.510000000000005</v>
      </c>
      <c r="F13004" s="2">
        <v>2</v>
      </c>
      <c r="G13004" s="2" t="s">
        <v>9</v>
      </c>
    </row>
    <row r="13005" spans="1:9" x14ac:dyDescent="0.2">
      <c r="A13005" s="2" t="s">
        <v>3529</v>
      </c>
      <c r="B13005" s="2" t="s">
        <v>1513</v>
      </c>
      <c r="C13005" s="2">
        <v>738.16470000000004</v>
      </c>
      <c r="D13005" s="2">
        <f>HYPERLINK("http://mcb-m6.bioreg.kyushu-u.ac.jp/M3/20110411/F50911/2074/1", 87.44)</f>
        <v>87.44</v>
      </c>
      <c r="E13005" s="2">
        <v>57.54</v>
      </c>
      <c r="F13005" s="2">
        <v>2</v>
      </c>
      <c r="G13005" s="2" t="s">
        <v>9</v>
      </c>
      <c r="I13005" s="2" t="s">
        <v>4898</v>
      </c>
    </row>
    <row r="13006" spans="1:9" x14ac:dyDescent="0.2">
      <c r="A13006" s="2" t="s">
        <v>3529</v>
      </c>
      <c r="B13006" s="2" t="s">
        <v>1964</v>
      </c>
      <c r="C13006" s="2">
        <v>630.99019999999996</v>
      </c>
      <c r="D13006" s="2">
        <f>HYPERLINK("http://mcb-m6.bioreg.kyushu-u.ac.jp/M3/20110411/F50914/1589/1", 54.88)</f>
        <v>54.88</v>
      </c>
      <c r="E13006" s="2">
        <v>37.96</v>
      </c>
      <c r="F13006" s="2">
        <v>2</v>
      </c>
      <c r="G13006" s="2" t="s">
        <v>10</v>
      </c>
    </row>
    <row r="13007" spans="1:9" x14ac:dyDescent="0.2">
      <c r="A13007" s="2" t="s">
        <v>3529</v>
      </c>
      <c r="B13007" s="2" t="s">
        <v>1996</v>
      </c>
      <c r="C13007" s="2">
        <v>465.81110000000001</v>
      </c>
      <c r="D13007" s="2">
        <f>HYPERLINK("http://mcb-m6.bioreg.kyushu-u.ac.jp/M3/20110411/F50914/928/1", 58.46)</f>
        <v>58.46</v>
      </c>
      <c r="E13007" s="2">
        <v>26.4</v>
      </c>
      <c r="F13007" s="2">
        <v>2</v>
      </c>
      <c r="G13007" s="2" t="s">
        <v>10</v>
      </c>
    </row>
    <row r="13008" spans="1:9" x14ac:dyDescent="0.2">
      <c r="A13008" s="2" t="s">
        <v>3529</v>
      </c>
      <c r="B13008" s="2" t="s">
        <v>1513</v>
      </c>
      <c r="C13008" s="2">
        <v>746.41970000000003</v>
      </c>
      <c r="D13008" s="2">
        <f>HYPERLINK("http://mcb-m6.bioreg.kyushu-u.ac.jp/M3/20110411/F50914/2114/1", 74.53)</f>
        <v>74.53</v>
      </c>
      <c r="E13008" s="2">
        <v>55.18</v>
      </c>
      <c r="F13008" s="2">
        <v>2</v>
      </c>
      <c r="G13008" s="2" t="s">
        <v>10</v>
      </c>
      <c r="H13008" s="2" t="s">
        <v>4915</v>
      </c>
      <c r="I13008" s="2" t="s">
        <v>4898</v>
      </c>
    </row>
    <row r="13009" spans="1:9" x14ac:dyDescent="0.2">
      <c r="A13009" s="2" t="s">
        <v>3529</v>
      </c>
      <c r="B13009" s="2" t="s">
        <v>1513</v>
      </c>
      <c r="C13009" s="2">
        <v>737.89369999999997</v>
      </c>
      <c r="D13009" s="2">
        <f>HYPERLINK("http://mcb-m6.bioreg.kyushu-u.ac.jp/M3/20110411/F50914/2069/1", 93.43)</f>
        <v>93.43</v>
      </c>
      <c r="E13009" s="2">
        <v>77.760000000000005</v>
      </c>
      <c r="F13009" s="2">
        <v>2</v>
      </c>
      <c r="G13009" s="2" t="s">
        <v>10</v>
      </c>
      <c r="I13009" s="2" t="s">
        <v>4898</v>
      </c>
    </row>
    <row r="13010" spans="1:9" x14ac:dyDescent="0.2">
      <c r="A13010" s="2" t="s">
        <v>3529</v>
      </c>
      <c r="B13010" s="2" t="s">
        <v>1513</v>
      </c>
      <c r="C13010" s="2">
        <v>746.16470000000004</v>
      </c>
      <c r="D13010" s="2">
        <f>HYPERLINK("http://mcb-m6.bioreg.kyushu-u.ac.jp/M3/20110414/F50942/1950/1", 36.09)</f>
        <v>36.090000000000003</v>
      </c>
      <c r="E13010" s="2">
        <v>26.33</v>
      </c>
      <c r="F13010" s="2">
        <v>2</v>
      </c>
      <c r="G13010" s="2" t="s">
        <v>11</v>
      </c>
      <c r="H13010" s="2" t="s">
        <v>4908</v>
      </c>
      <c r="I13010" s="2" t="s">
        <v>4898</v>
      </c>
    </row>
    <row r="13011" spans="1:9" x14ac:dyDescent="0.2">
      <c r="A13011" s="2" t="s">
        <v>3529</v>
      </c>
      <c r="B13011" s="2" t="s">
        <v>1996</v>
      </c>
      <c r="C13011" s="2">
        <v>465.27710000000002</v>
      </c>
      <c r="D13011" s="2">
        <f>HYPERLINK("http://mcb-m6.bioreg.kyushu-u.ac.jp/M3/20110414/F50942/698/1", 37.04)</f>
        <v>37.04</v>
      </c>
      <c r="E13011" s="2">
        <v>11.26</v>
      </c>
      <c r="F13011" s="2">
        <v>2</v>
      </c>
      <c r="G13011" s="2" t="s">
        <v>11</v>
      </c>
    </row>
    <row r="13012" spans="1:9" x14ac:dyDescent="0.2">
      <c r="A13012" s="2" t="s">
        <v>3529</v>
      </c>
      <c r="B13012" s="2" t="s">
        <v>2234</v>
      </c>
      <c r="C13012" s="2">
        <v>701.43119999999999</v>
      </c>
      <c r="D13012" s="2">
        <f>HYPERLINK("http://mcb-m6.bioreg.kyushu-u.ac.jp/M3/20110414/F50942/1671/1", 38.93)</f>
        <v>38.93</v>
      </c>
      <c r="E13012" s="2">
        <v>24.39</v>
      </c>
      <c r="F13012" s="2">
        <v>2</v>
      </c>
      <c r="G13012" s="2" t="s">
        <v>11</v>
      </c>
      <c r="H13012" s="2" t="s">
        <v>4904</v>
      </c>
    </row>
    <row r="13013" spans="1:9" x14ac:dyDescent="0.2">
      <c r="A13013" s="2" t="s">
        <v>3529</v>
      </c>
      <c r="B13013" s="2" t="s">
        <v>375</v>
      </c>
      <c r="C13013" s="2">
        <v>820.34100000000001</v>
      </c>
      <c r="D13013" s="2">
        <f>HYPERLINK("http://mcb-m6.bioreg.kyushu-u.ac.jp/M3/20110414/F50942/596/1", 45.85)</f>
        <v>45.85</v>
      </c>
      <c r="E13013" s="2">
        <v>26.87</v>
      </c>
      <c r="F13013" s="2">
        <v>1</v>
      </c>
      <c r="G13013" s="2" t="s">
        <v>11</v>
      </c>
      <c r="H13013" s="2" t="s">
        <v>4904</v>
      </c>
    </row>
    <row r="13014" spans="1:9" x14ac:dyDescent="0.2">
      <c r="A13014" s="2" t="s">
        <v>3529</v>
      </c>
      <c r="B13014" s="2" t="s">
        <v>2386</v>
      </c>
      <c r="C13014" s="2">
        <v>618.32460000000003</v>
      </c>
      <c r="D13014" s="2">
        <f>HYPERLINK("http://mcb-m6.bioreg.kyushu-u.ac.jp/M3/20110414/F50942/1284/1", 53.31)</f>
        <v>53.31</v>
      </c>
      <c r="E13014" s="2">
        <v>38.47</v>
      </c>
      <c r="F13014" s="2">
        <v>2</v>
      </c>
      <c r="G13014" s="2" t="s">
        <v>11</v>
      </c>
    </row>
    <row r="13015" spans="1:9" x14ac:dyDescent="0.2">
      <c r="A13015" s="2" t="s">
        <v>3529</v>
      </c>
      <c r="B13015" s="2" t="s">
        <v>1964</v>
      </c>
      <c r="C13015" s="2">
        <v>638.79669999999999</v>
      </c>
      <c r="D13015" s="2">
        <f>HYPERLINK("http://mcb-m6.bioreg.kyushu-u.ac.jp/M3/20110414/F50942/1378/1", 68.52)</f>
        <v>68.52</v>
      </c>
      <c r="E13015" s="2">
        <v>54</v>
      </c>
      <c r="F13015" s="2">
        <v>2</v>
      </c>
      <c r="G13015" s="2" t="s">
        <v>11</v>
      </c>
      <c r="H13015" s="2" t="s">
        <v>4917</v>
      </c>
    </row>
    <row r="13016" spans="1:9" x14ac:dyDescent="0.2">
      <c r="A13016" s="2" t="s">
        <v>3529</v>
      </c>
      <c r="B13016" s="2" t="s">
        <v>1964</v>
      </c>
      <c r="C13016" s="2">
        <v>630.8442</v>
      </c>
      <c r="D13016" s="2">
        <f>HYPERLINK("http://mcb-m6.bioreg.kyushu-u.ac.jp/M3/20110414/F50942/1342/1", 81.42)</f>
        <v>81.42</v>
      </c>
      <c r="E13016" s="2">
        <v>56.46</v>
      </c>
      <c r="F13016" s="2">
        <v>2</v>
      </c>
      <c r="G13016" s="2" t="s">
        <v>11</v>
      </c>
    </row>
    <row r="13017" spans="1:9" x14ac:dyDescent="0.2">
      <c r="A13017" s="2" t="s">
        <v>3529</v>
      </c>
      <c r="B13017" s="2" t="s">
        <v>1329</v>
      </c>
      <c r="C13017" s="2">
        <v>1301.8969999999999</v>
      </c>
      <c r="D13017" s="2">
        <f>HYPERLINK("http://mcb-m6.bioreg.kyushu-u.ac.jp/M3/20110414/F50942/4395/1", 81.84)</f>
        <v>81.84</v>
      </c>
      <c r="E13017" s="2">
        <v>75.459999999999994</v>
      </c>
      <c r="F13017" s="2">
        <v>2</v>
      </c>
      <c r="G13017" s="2" t="s">
        <v>11</v>
      </c>
    </row>
    <row r="13018" spans="1:9" x14ac:dyDescent="0.2">
      <c r="A13018" s="2" t="s">
        <v>3529</v>
      </c>
      <c r="B13018" s="2" t="s">
        <v>375</v>
      </c>
      <c r="C13018" s="2">
        <v>820.24599999999998</v>
      </c>
      <c r="D13018" s="2">
        <f>HYPERLINK("http://mcb-m6.bioreg.kyushu-u.ac.jp/M3/20110414/F50948/550/1", 45.8)</f>
        <v>45.8</v>
      </c>
      <c r="E13018" s="2">
        <v>28.44</v>
      </c>
      <c r="F13018" s="2">
        <v>1</v>
      </c>
      <c r="G13018" s="2" t="s">
        <v>12</v>
      </c>
      <c r="H13018" s="2" t="s">
        <v>4904</v>
      </c>
    </row>
    <row r="13019" spans="1:9" x14ac:dyDescent="0.2">
      <c r="A13019" s="2" t="s">
        <v>3529</v>
      </c>
      <c r="B13019" s="2" t="s">
        <v>1964</v>
      </c>
      <c r="C13019" s="2">
        <v>639.23770000000002</v>
      </c>
      <c r="D13019" s="2">
        <f>HYPERLINK("http://mcb-m6.bioreg.kyushu-u.ac.jp/M3/20110414/F50948/1447/1", 52.4)</f>
        <v>52.4</v>
      </c>
      <c r="E13019" s="2">
        <v>29.3</v>
      </c>
      <c r="F13019" s="2">
        <v>2</v>
      </c>
      <c r="G13019" s="2" t="s">
        <v>12</v>
      </c>
      <c r="H13019" s="2" t="s">
        <v>4917</v>
      </c>
    </row>
    <row r="13020" spans="1:9" x14ac:dyDescent="0.2">
      <c r="A13020" s="2" t="s">
        <v>3529</v>
      </c>
      <c r="B13020" s="2" t="s">
        <v>1329</v>
      </c>
      <c r="C13020" s="2">
        <v>1301.557</v>
      </c>
      <c r="D13020" s="2">
        <f>HYPERLINK("http://mcb-m6.bioreg.kyushu-u.ac.jp/M3/20110414/F50948/4384/1", 70.06)</f>
        <v>70.06</v>
      </c>
      <c r="E13020" s="2">
        <v>49.52</v>
      </c>
      <c r="F13020" s="2">
        <v>2</v>
      </c>
      <c r="G13020" s="2" t="s">
        <v>12</v>
      </c>
    </row>
    <row r="13021" spans="1:9" x14ac:dyDescent="0.2">
      <c r="A13021" s="2" t="s">
        <v>3529</v>
      </c>
      <c r="B13021" s="2" t="s">
        <v>2234</v>
      </c>
      <c r="C13021" s="2">
        <v>701.79819999999995</v>
      </c>
      <c r="D13021" s="2">
        <f>HYPERLINK("http://mcb-m6.bioreg.kyushu-u.ac.jp/M3/20110502/F51171/1850/1", 40)</f>
        <v>40</v>
      </c>
      <c r="E13021" s="2">
        <v>19.57</v>
      </c>
      <c r="F13021" s="2">
        <v>2</v>
      </c>
      <c r="G13021" s="2" t="s">
        <v>13</v>
      </c>
      <c r="H13021" s="2" t="s">
        <v>4904</v>
      </c>
    </row>
    <row r="13022" spans="1:9" x14ac:dyDescent="0.2">
      <c r="A13022" s="2" t="s">
        <v>3529</v>
      </c>
      <c r="B13022" s="2" t="s">
        <v>375</v>
      </c>
      <c r="C13022" s="2">
        <v>820.54300000000001</v>
      </c>
      <c r="D13022" s="2">
        <f>HYPERLINK("http://mcb-m6.bioreg.kyushu-u.ac.jp/M3/20110502/F51171/807/1", 49.64)</f>
        <v>49.64</v>
      </c>
      <c r="E13022" s="2">
        <v>28.7</v>
      </c>
      <c r="F13022" s="2">
        <v>1</v>
      </c>
      <c r="G13022" s="2" t="s">
        <v>13</v>
      </c>
      <c r="H13022" s="2" t="s">
        <v>4904</v>
      </c>
    </row>
    <row r="13023" spans="1:9" x14ac:dyDescent="0.2">
      <c r="A13023" s="2" t="s">
        <v>3529</v>
      </c>
      <c r="B13023" s="2" t="s">
        <v>1964</v>
      </c>
      <c r="C13023" s="2">
        <v>639.00120000000004</v>
      </c>
      <c r="D13023" s="2">
        <f>HYPERLINK("http://mcb-m6.bioreg.kyushu-u.ac.jp/M3/20110502/F51171/1584/1", 52.73)</f>
        <v>52.73</v>
      </c>
      <c r="E13023" s="2">
        <v>34.04</v>
      </c>
      <c r="F13023" s="2">
        <v>2</v>
      </c>
      <c r="G13023" s="2" t="s">
        <v>13</v>
      </c>
      <c r="H13023" s="2" t="s">
        <v>4917</v>
      </c>
    </row>
    <row r="13024" spans="1:9" x14ac:dyDescent="0.2">
      <c r="A13024" s="2" t="s">
        <v>3529</v>
      </c>
      <c r="B13024" s="2" t="s">
        <v>2386</v>
      </c>
      <c r="C13024" s="2">
        <v>618.54319999999996</v>
      </c>
      <c r="D13024" s="2">
        <f>HYPERLINK("http://mcb-m6.bioreg.kyushu-u.ac.jp/M3/20110502/F51171/1524/1", 66.09)</f>
        <v>66.09</v>
      </c>
      <c r="E13024" s="2">
        <v>41.85</v>
      </c>
      <c r="F13024" s="2">
        <v>2</v>
      </c>
      <c r="G13024" s="2" t="s">
        <v>13</v>
      </c>
    </row>
    <row r="13025" spans="1:9" x14ac:dyDescent="0.2">
      <c r="A13025" s="2" t="s">
        <v>3529</v>
      </c>
      <c r="B13025" s="2" t="s">
        <v>1964</v>
      </c>
      <c r="C13025" s="2">
        <v>631.22469999999998</v>
      </c>
      <c r="D13025" s="2">
        <f>HYPERLINK("http://mcb-m6.bioreg.kyushu-u.ac.jp/M3/20110502/F51171/1565/1", 82.13)</f>
        <v>82.13</v>
      </c>
      <c r="E13025" s="2">
        <v>54.11</v>
      </c>
      <c r="F13025" s="2">
        <v>2</v>
      </c>
      <c r="G13025" s="2" t="s">
        <v>13</v>
      </c>
    </row>
    <row r="13026" spans="1:9" x14ac:dyDescent="0.2">
      <c r="A13026" s="2" t="s">
        <v>3529</v>
      </c>
      <c r="B13026" s="2" t="s">
        <v>1513</v>
      </c>
      <c r="C13026" s="2">
        <v>738.09370000000001</v>
      </c>
      <c r="D13026" s="2">
        <f>HYPERLINK("http://mcb-m6.bioreg.kyushu-u.ac.jp/M3/20110502/F51171/2001/1", 103.35)</f>
        <v>103.35</v>
      </c>
      <c r="E13026" s="2">
        <v>82.85</v>
      </c>
      <c r="F13026" s="2">
        <v>2</v>
      </c>
      <c r="G13026" s="2" t="s">
        <v>13</v>
      </c>
      <c r="I13026" s="2" t="s">
        <v>4898</v>
      </c>
    </row>
    <row r="13027" spans="1:9" x14ac:dyDescent="0.2">
      <c r="A13027" s="2" t="s">
        <v>3529</v>
      </c>
      <c r="B13027" s="2" t="s">
        <v>3080</v>
      </c>
      <c r="C13027" s="2">
        <v>510.18110000000001</v>
      </c>
      <c r="D13027" s="2">
        <f>HYPERLINK("http://mcb-m6.bioreg.kyushu-u.ac.jp/M3/20110502/F51183/779/1", 42.4)</f>
        <v>42.4</v>
      </c>
      <c r="E13027" s="2">
        <v>18.190000000000001</v>
      </c>
      <c r="F13027" s="2">
        <v>2</v>
      </c>
      <c r="G13027" s="2" t="s">
        <v>14</v>
      </c>
    </row>
    <row r="13028" spans="1:9" x14ac:dyDescent="0.2">
      <c r="A13028" s="2" t="s">
        <v>3529</v>
      </c>
      <c r="B13028" s="2" t="s">
        <v>375</v>
      </c>
      <c r="C13028" s="2">
        <v>820.91300000000001</v>
      </c>
      <c r="D13028" s="2">
        <f>HYPERLINK("http://mcb-m6.bioreg.kyushu-u.ac.jp/M3/20110502/F51183/478/1", 49.35)</f>
        <v>49.35</v>
      </c>
      <c r="E13028" s="2">
        <v>23.03</v>
      </c>
      <c r="F13028" s="2">
        <v>1</v>
      </c>
      <c r="G13028" s="2" t="s">
        <v>14</v>
      </c>
      <c r="H13028" s="2" t="s">
        <v>4904</v>
      </c>
    </row>
    <row r="13029" spans="1:9" x14ac:dyDescent="0.2">
      <c r="A13029" s="2" t="s">
        <v>3529</v>
      </c>
      <c r="B13029" s="2" t="s">
        <v>2386</v>
      </c>
      <c r="C13029" s="2">
        <v>618.76919999999996</v>
      </c>
      <c r="D13029" s="2">
        <f>HYPERLINK("http://mcb-m6.bioreg.kyushu-u.ac.jp/M3/20110502/F51183/1278/1", 70.6)</f>
        <v>70.599999999999994</v>
      </c>
      <c r="E13029" s="2">
        <v>45.43</v>
      </c>
      <c r="F13029" s="2">
        <v>2</v>
      </c>
      <c r="G13029" s="2" t="s">
        <v>14</v>
      </c>
    </row>
    <row r="13030" spans="1:9" x14ac:dyDescent="0.2">
      <c r="A13030" s="2" t="s">
        <v>3529</v>
      </c>
      <c r="B13030" s="2" t="s">
        <v>1964</v>
      </c>
      <c r="C13030" s="2">
        <v>631.26419999999996</v>
      </c>
      <c r="D13030" s="2">
        <f>HYPERLINK("http://mcb-m6.bioreg.kyushu-u.ac.jp/M3/20110502/F51183/1331/1", 86.91)</f>
        <v>86.91</v>
      </c>
      <c r="E13030" s="2">
        <v>55.67</v>
      </c>
      <c r="F13030" s="2">
        <v>2</v>
      </c>
      <c r="G13030" s="2" t="s">
        <v>14</v>
      </c>
    </row>
    <row r="13031" spans="1:9" x14ac:dyDescent="0.2">
      <c r="A13031" s="2" t="s">
        <v>3529</v>
      </c>
      <c r="B13031" s="2" t="s">
        <v>1513</v>
      </c>
      <c r="C13031" s="2">
        <v>738.3777</v>
      </c>
      <c r="D13031" s="2">
        <f>HYPERLINK("http://mcb-m6.bioreg.kyushu-u.ac.jp/M3/20110502/F51183/1885/1", 110.51)</f>
        <v>110.51</v>
      </c>
      <c r="E13031" s="2">
        <v>72.63</v>
      </c>
      <c r="F13031" s="2">
        <v>2</v>
      </c>
      <c r="G13031" s="2" t="s">
        <v>14</v>
      </c>
      <c r="I13031" s="2" t="s">
        <v>4898</v>
      </c>
    </row>
    <row r="13032" spans="1:9" x14ac:dyDescent="0.2">
      <c r="A13032" s="2" t="s">
        <v>4019</v>
      </c>
      <c r="B13032" s="2" t="s">
        <v>1328</v>
      </c>
      <c r="C13032" s="2">
        <v>676.09860000000003</v>
      </c>
      <c r="D13032" s="2">
        <f>HYPERLINK("http://mcb-m6.bioreg.kyushu-u.ac.jp/M3/20110411/F50911/1728/1", 73.4)</f>
        <v>73.400000000000006</v>
      </c>
      <c r="E13032" s="2">
        <v>57</v>
      </c>
      <c r="F13032" s="2">
        <v>2</v>
      </c>
      <c r="G13032" s="2" t="s">
        <v>9</v>
      </c>
    </row>
    <row r="13033" spans="1:9" x14ac:dyDescent="0.2">
      <c r="A13033" s="2" t="s">
        <v>4019</v>
      </c>
      <c r="B13033" s="2" t="s">
        <v>1328</v>
      </c>
      <c r="C13033" s="2">
        <v>675.94209999999998</v>
      </c>
      <c r="D13033" s="2">
        <f>HYPERLINK("http://mcb-m6.bioreg.kyushu-u.ac.jp/M3/20110411/F50914/1761/1", 59.99)</f>
        <v>59.99</v>
      </c>
      <c r="E13033" s="2">
        <v>46.69</v>
      </c>
      <c r="F13033" s="2">
        <v>2</v>
      </c>
      <c r="G13033" s="2" t="s">
        <v>10</v>
      </c>
    </row>
    <row r="13034" spans="1:9" x14ac:dyDescent="0.2">
      <c r="A13034" s="2" t="s">
        <v>4019</v>
      </c>
      <c r="B13034" s="2" t="s">
        <v>1328</v>
      </c>
      <c r="C13034" s="2">
        <v>675.94820000000004</v>
      </c>
      <c r="D13034" s="2">
        <f>HYPERLINK("http://mcb-m6.bioreg.kyushu-u.ac.jp/M3/20110414/F50942/1543/1", 43.39)</f>
        <v>43.39</v>
      </c>
      <c r="E13034" s="2">
        <v>29.05</v>
      </c>
      <c r="F13034" s="2">
        <v>2</v>
      </c>
      <c r="G13034" s="2" t="s">
        <v>11</v>
      </c>
    </row>
    <row r="13035" spans="1:9" x14ac:dyDescent="0.2">
      <c r="A13035" s="2" t="s">
        <v>3998</v>
      </c>
      <c r="B13035" s="2" t="s">
        <v>1285</v>
      </c>
      <c r="C13035" s="2">
        <v>1547.027</v>
      </c>
      <c r="D13035" s="2">
        <f>HYPERLINK("http://mcb-m6.bioreg.kyushu-u.ac.jp/M3/20110411/F50903/2227/1", 70.59)</f>
        <v>70.59</v>
      </c>
      <c r="E13035" s="2">
        <v>55.32</v>
      </c>
      <c r="F13035" s="2">
        <v>1</v>
      </c>
      <c r="G13035" s="2" t="s">
        <v>9</v>
      </c>
    </row>
    <row r="13036" spans="1:9" x14ac:dyDescent="0.2">
      <c r="A13036" s="2" t="s">
        <v>3998</v>
      </c>
      <c r="B13036" s="2" t="s">
        <v>1285</v>
      </c>
      <c r="C13036" s="2">
        <v>774.37070000000006</v>
      </c>
      <c r="D13036" s="2">
        <f>HYPERLINK("http://mcb-m6.bioreg.kyushu-u.ac.jp/M3/20110411/F50920/1717/1", 80.73)</f>
        <v>80.73</v>
      </c>
      <c r="E13036" s="2">
        <v>64.37</v>
      </c>
      <c r="F13036" s="2">
        <v>2</v>
      </c>
      <c r="G13036" s="2" t="s">
        <v>10</v>
      </c>
    </row>
    <row r="13037" spans="1:9" x14ac:dyDescent="0.2">
      <c r="A13037" s="2" t="s">
        <v>3998</v>
      </c>
      <c r="B13037" s="2" t="s">
        <v>1285</v>
      </c>
      <c r="C13037" s="2">
        <v>773.82420000000002</v>
      </c>
      <c r="D13037" s="2">
        <f>HYPERLINK("http://mcb-m6.bioreg.kyushu-u.ac.jp/M3/20110414/F50925/2361/1", 91.74)</f>
        <v>91.74</v>
      </c>
      <c r="E13037" s="2">
        <v>73.510000000000005</v>
      </c>
      <c r="F13037" s="2">
        <v>2</v>
      </c>
      <c r="G13037" s="2" t="s">
        <v>11</v>
      </c>
    </row>
    <row r="13038" spans="1:9" x14ac:dyDescent="0.2">
      <c r="A13038" s="2" t="s">
        <v>3998</v>
      </c>
      <c r="B13038" s="2" t="s">
        <v>1285</v>
      </c>
      <c r="C13038" s="2">
        <v>773.8682</v>
      </c>
      <c r="D13038" s="2">
        <f>HYPERLINK("http://mcb-m6.bioreg.kyushu-u.ac.jp/M3/20110414/F50926/2323/1", 100.53)</f>
        <v>100.53</v>
      </c>
      <c r="E13038" s="2">
        <v>73</v>
      </c>
      <c r="F13038" s="2">
        <v>2</v>
      </c>
      <c r="G13038" s="2" t="s">
        <v>11</v>
      </c>
    </row>
    <row r="13039" spans="1:9" x14ac:dyDescent="0.2">
      <c r="A13039" s="2" t="s">
        <v>3998</v>
      </c>
      <c r="B13039" s="2" t="s">
        <v>1285</v>
      </c>
      <c r="C13039" s="2">
        <v>773.72969999999998</v>
      </c>
      <c r="D13039" s="2">
        <f>HYPERLINK("http://mcb-m6.bioreg.kyushu-u.ac.jp/M3/20110414/F50931/2274/1", 48.71)</f>
        <v>48.71</v>
      </c>
      <c r="E13039" s="2">
        <v>15</v>
      </c>
      <c r="F13039" s="2">
        <v>2</v>
      </c>
      <c r="G13039" s="2" t="s">
        <v>12</v>
      </c>
    </row>
    <row r="13040" spans="1:9" x14ac:dyDescent="0.2">
      <c r="A13040" s="2" t="s">
        <v>3998</v>
      </c>
      <c r="B13040" s="2" t="s">
        <v>1285</v>
      </c>
      <c r="C13040" s="2">
        <v>773.67859999999996</v>
      </c>
      <c r="D13040" s="2">
        <f>HYPERLINK("http://mcb-m6.bioreg.kyushu-u.ac.jp/M3/20110414/F50966/1991/1", 76.28)</f>
        <v>76.28</v>
      </c>
      <c r="E13040" s="2">
        <v>58.86</v>
      </c>
      <c r="F13040" s="2">
        <v>2</v>
      </c>
      <c r="G13040" s="2" t="s">
        <v>12</v>
      </c>
    </row>
    <row r="13041" spans="1:7" x14ac:dyDescent="0.2">
      <c r="A13041" s="2" t="s">
        <v>3998</v>
      </c>
      <c r="B13041" s="2" t="s">
        <v>1285</v>
      </c>
      <c r="C13041" s="2">
        <v>773.98220000000003</v>
      </c>
      <c r="D13041" s="2">
        <f>HYPERLINK("http://mcb-m6.bioreg.kyushu-u.ac.jp/M3/20110502/F51166/2112/1", 75.32)</f>
        <v>75.319999999999993</v>
      </c>
      <c r="E13041" s="2">
        <v>55.15</v>
      </c>
      <c r="F13041" s="2">
        <v>2</v>
      </c>
      <c r="G13041" s="2" t="s">
        <v>13</v>
      </c>
    </row>
    <row r="13042" spans="1:7" x14ac:dyDescent="0.2">
      <c r="A13042" s="2" t="s">
        <v>3998</v>
      </c>
      <c r="B13042" s="2" t="s">
        <v>1285</v>
      </c>
      <c r="C13042" s="2">
        <v>773.95820000000003</v>
      </c>
      <c r="D13042" s="2">
        <f>HYPERLINK("http://mcb-m6.bioreg.kyushu-u.ac.jp/M3/20110502/F51166/2111/1", 82.87)</f>
        <v>82.87</v>
      </c>
      <c r="E13042" s="2">
        <v>64.77</v>
      </c>
      <c r="F13042" s="2">
        <v>2</v>
      </c>
      <c r="G13042" s="2" t="s">
        <v>13</v>
      </c>
    </row>
    <row r="13043" spans="1:7" x14ac:dyDescent="0.2">
      <c r="A13043" s="2" t="s">
        <v>3998</v>
      </c>
      <c r="B13043" s="2" t="s">
        <v>1285</v>
      </c>
      <c r="C13043" s="2">
        <v>774.12019999999995</v>
      </c>
      <c r="D13043" s="2">
        <f>HYPERLINK("http://mcb-m6.bioreg.kyushu-u.ac.jp/M3/20110502/F51190/1873/1", 56.73)</f>
        <v>56.73</v>
      </c>
      <c r="E13043" s="2">
        <v>40.44</v>
      </c>
      <c r="F13043" s="2">
        <v>2</v>
      </c>
      <c r="G13043" s="2" t="s">
        <v>14</v>
      </c>
    </row>
    <row r="13044" spans="1:7" x14ac:dyDescent="0.2">
      <c r="A13044" s="2" t="s">
        <v>3242</v>
      </c>
      <c r="B13044" s="2" t="s">
        <v>22</v>
      </c>
      <c r="C13044" s="2">
        <v>760.59010000000001</v>
      </c>
      <c r="D13044" s="2">
        <f>HYPERLINK("http://mcb-m6.bioreg.kyushu-u.ac.jp/M3/20110411/F50916/2005/1", 35.08)</f>
        <v>35.08</v>
      </c>
      <c r="E13044" s="2">
        <v>23.8</v>
      </c>
      <c r="F13044" s="2">
        <v>2</v>
      </c>
      <c r="G13044" s="2" t="s">
        <v>9</v>
      </c>
    </row>
    <row r="13045" spans="1:7" x14ac:dyDescent="0.2">
      <c r="A13045" s="2" t="s">
        <v>3242</v>
      </c>
      <c r="B13045" s="2" t="s">
        <v>525</v>
      </c>
      <c r="C13045" s="2">
        <v>792.50959999999998</v>
      </c>
      <c r="D13045" s="2">
        <f>HYPERLINK("http://mcb-m6.bioreg.kyushu-u.ac.jp/M3/20110411/F50916/2192/1", 43.84)</f>
        <v>43.84</v>
      </c>
      <c r="E13045" s="2">
        <v>31.02</v>
      </c>
      <c r="F13045" s="2">
        <v>2</v>
      </c>
      <c r="G13045" s="2" t="s">
        <v>9</v>
      </c>
    </row>
    <row r="13046" spans="1:7" x14ac:dyDescent="0.2">
      <c r="A13046" s="2" t="s">
        <v>3242</v>
      </c>
      <c r="B13046" s="2" t="s">
        <v>1512</v>
      </c>
      <c r="C13046" s="2">
        <v>952.54859999999996</v>
      </c>
      <c r="D13046" s="2">
        <f>HYPERLINK("http://mcb-m6.bioreg.kyushu-u.ac.jp/M3/20110411/F50916/2935/1", 87.28)</f>
        <v>87.28</v>
      </c>
      <c r="E13046" s="2">
        <v>72.010000000000005</v>
      </c>
      <c r="F13046" s="2">
        <v>2</v>
      </c>
      <c r="G13046" s="2" t="s">
        <v>9</v>
      </c>
    </row>
    <row r="13047" spans="1:7" x14ac:dyDescent="0.2">
      <c r="A13047" s="2" t="s">
        <v>3242</v>
      </c>
      <c r="B13047" s="2" t="s">
        <v>1512</v>
      </c>
      <c r="C13047" s="2">
        <v>952.01819999999998</v>
      </c>
      <c r="D13047" s="2">
        <f>HYPERLINK("http://mcb-m6.bioreg.kyushu-u.ac.jp/M3/20110411/F50916/2932/1", 124.38)</f>
        <v>124.38</v>
      </c>
      <c r="E13047" s="2">
        <v>109.11</v>
      </c>
      <c r="F13047" s="2">
        <v>2</v>
      </c>
      <c r="G13047" s="2" t="s">
        <v>9</v>
      </c>
    </row>
    <row r="13048" spans="1:7" x14ac:dyDescent="0.2">
      <c r="A13048" s="2" t="s">
        <v>3242</v>
      </c>
      <c r="B13048" s="2" t="s">
        <v>2338</v>
      </c>
      <c r="C13048" s="2">
        <v>868.94119999999998</v>
      </c>
      <c r="D13048" s="2">
        <f>HYPERLINK("http://mcb-m6.bioreg.kyushu-u.ac.jp/M3/20110414/F50957/2713/1", 48.03)</f>
        <v>48.03</v>
      </c>
      <c r="E13048" s="2">
        <v>34.94</v>
      </c>
      <c r="F13048" s="2">
        <v>2</v>
      </c>
      <c r="G13048" s="2" t="s">
        <v>11</v>
      </c>
    </row>
    <row r="13049" spans="1:7" x14ac:dyDescent="0.2">
      <c r="A13049" s="2" t="s">
        <v>3242</v>
      </c>
      <c r="B13049" s="2" t="s">
        <v>2466</v>
      </c>
      <c r="C13049" s="2">
        <v>748.16470000000004</v>
      </c>
      <c r="D13049" s="2">
        <f>HYPERLINK("http://mcb-m6.bioreg.kyushu-u.ac.jp/M3/20110414/F50957/1957/1", 73.41)</f>
        <v>73.41</v>
      </c>
      <c r="E13049" s="2">
        <v>56.87</v>
      </c>
      <c r="F13049" s="2">
        <v>2</v>
      </c>
      <c r="G13049" s="2" t="s">
        <v>11</v>
      </c>
    </row>
    <row r="13050" spans="1:7" x14ac:dyDescent="0.2">
      <c r="A13050" s="2" t="s">
        <v>3242</v>
      </c>
      <c r="B13050" s="2" t="s">
        <v>1512</v>
      </c>
      <c r="C13050" s="2">
        <v>951.8347</v>
      </c>
      <c r="D13050" s="2">
        <f>HYPERLINK("http://mcb-m6.bioreg.kyushu-u.ac.jp/M3/20110414/F50957/3186/1", 116.04)</f>
        <v>116.04</v>
      </c>
      <c r="E13050" s="2">
        <v>94.4</v>
      </c>
      <c r="F13050" s="2">
        <v>2</v>
      </c>
      <c r="G13050" s="2" t="s">
        <v>11</v>
      </c>
    </row>
    <row r="13051" spans="1:7" x14ac:dyDescent="0.2">
      <c r="A13051" s="2" t="s">
        <v>3242</v>
      </c>
      <c r="B13051" s="2" t="s">
        <v>1512</v>
      </c>
      <c r="C13051" s="2">
        <v>952.44370000000004</v>
      </c>
      <c r="D13051" s="2">
        <f>HYPERLINK("http://mcb-m6.bioreg.kyushu-u.ac.jp/M3/20110414/F50959/3308/1", 87.75)</f>
        <v>87.75</v>
      </c>
      <c r="E13051" s="2">
        <v>73.69</v>
      </c>
      <c r="F13051" s="2">
        <v>2</v>
      </c>
      <c r="G13051" s="2" t="s">
        <v>12</v>
      </c>
    </row>
    <row r="13052" spans="1:7" x14ac:dyDescent="0.2">
      <c r="A13052" s="2" t="s">
        <v>3242</v>
      </c>
      <c r="B13052" s="2" t="s">
        <v>22</v>
      </c>
      <c r="C13052" s="2">
        <v>760.58420000000001</v>
      </c>
      <c r="D13052" s="2">
        <f>HYPERLINK("http://mcb-m6.bioreg.kyushu-u.ac.jp/M3/20110502/F51189/1931/1", 53.26)</f>
        <v>53.26</v>
      </c>
      <c r="E13052" s="2">
        <v>33.85</v>
      </c>
      <c r="F13052" s="2">
        <v>2</v>
      </c>
      <c r="G13052" s="2" t="s">
        <v>13</v>
      </c>
    </row>
    <row r="13053" spans="1:7" x14ac:dyDescent="0.2">
      <c r="A13053" s="2" t="s">
        <v>3242</v>
      </c>
      <c r="B13053" s="2" t="s">
        <v>1512</v>
      </c>
      <c r="C13053" s="2">
        <v>952.53809999999999</v>
      </c>
      <c r="D13053" s="2">
        <f>HYPERLINK("http://mcb-m6.bioreg.kyushu-u.ac.jp/M3/20110502/F51184/3074/1", 37.82)</f>
        <v>37.82</v>
      </c>
      <c r="E13053" s="2">
        <v>24.83</v>
      </c>
      <c r="F13053" s="2">
        <v>2</v>
      </c>
      <c r="G13053" s="2" t="s">
        <v>14</v>
      </c>
    </row>
    <row r="13054" spans="1:7" x14ac:dyDescent="0.2">
      <c r="A13054" s="2" t="s">
        <v>3242</v>
      </c>
      <c r="B13054" s="2" t="s">
        <v>525</v>
      </c>
      <c r="C13054" s="2">
        <v>792.45920000000001</v>
      </c>
      <c r="D13054" s="2">
        <f>HYPERLINK("http://mcb-m6.bioreg.kyushu-u.ac.jp/M3/20110502/F51194/2117/1", 41.15)</f>
        <v>41.15</v>
      </c>
      <c r="E13054" s="2">
        <v>21.84</v>
      </c>
      <c r="F13054" s="2">
        <v>2</v>
      </c>
      <c r="G13054" s="2" t="s">
        <v>14</v>
      </c>
    </row>
    <row r="13055" spans="1:7" x14ac:dyDescent="0.2">
      <c r="A13055" s="2" t="s">
        <v>3242</v>
      </c>
      <c r="B13055" s="2" t="s">
        <v>3119</v>
      </c>
      <c r="C13055" s="2">
        <v>620.3777</v>
      </c>
      <c r="D13055" s="2">
        <f>HYPERLINK("http://mcb-m6.bioreg.kyushu-u.ac.jp/M3/20110502/F51194/1163/1", 47.26)</f>
        <v>47.26</v>
      </c>
      <c r="E13055" s="2">
        <v>21.66</v>
      </c>
      <c r="F13055" s="2">
        <v>2</v>
      </c>
      <c r="G13055" s="2" t="s">
        <v>14</v>
      </c>
    </row>
    <row r="13056" spans="1:7" x14ac:dyDescent="0.2">
      <c r="A13056" s="2" t="s">
        <v>3242</v>
      </c>
      <c r="B13056" s="2" t="s">
        <v>2466</v>
      </c>
      <c r="C13056" s="2">
        <v>748.81209999999999</v>
      </c>
      <c r="D13056" s="2">
        <f>HYPERLINK("http://mcb-m6.bioreg.kyushu-u.ac.jp/M3/20110502/F51184/1903/1", 50.05)</f>
        <v>50.05</v>
      </c>
      <c r="E13056" s="2">
        <v>34.65</v>
      </c>
      <c r="F13056" s="2">
        <v>2</v>
      </c>
      <c r="G13056" s="2" t="s">
        <v>14</v>
      </c>
    </row>
    <row r="13057" spans="1:9" x14ac:dyDescent="0.2">
      <c r="A13057" s="2" t="s">
        <v>3242</v>
      </c>
      <c r="B13057" s="2" t="s">
        <v>2466</v>
      </c>
      <c r="C13057" s="2">
        <v>748.47360000000003</v>
      </c>
      <c r="D13057" s="2">
        <f>HYPERLINK("http://mcb-m6.bioreg.kyushu-u.ac.jp/M3/20110502/F51194/1866/1", 75.49)</f>
        <v>75.489999999999995</v>
      </c>
      <c r="E13057" s="2">
        <v>60.57</v>
      </c>
      <c r="F13057" s="2">
        <v>2</v>
      </c>
      <c r="G13057" s="2" t="s">
        <v>14</v>
      </c>
    </row>
    <row r="13058" spans="1:9" x14ac:dyDescent="0.2">
      <c r="A13058" s="2" t="s">
        <v>4041</v>
      </c>
      <c r="B13058" s="2" t="s">
        <v>1384</v>
      </c>
      <c r="C13058" s="2">
        <v>609.30359999999996</v>
      </c>
      <c r="D13058" s="2">
        <f>HYPERLINK("http://mcb-m6.bioreg.kyushu-u.ac.jp/M3/20110411/F50890/1554/1", 77.11)</f>
        <v>77.11</v>
      </c>
      <c r="E13058" s="2">
        <v>48.86</v>
      </c>
      <c r="F13058" s="2">
        <v>2</v>
      </c>
      <c r="G13058" s="2" t="s">
        <v>9</v>
      </c>
    </row>
    <row r="13059" spans="1:9" x14ac:dyDescent="0.2">
      <c r="A13059" s="2" t="s">
        <v>4041</v>
      </c>
      <c r="B13059" s="2" t="s">
        <v>1384</v>
      </c>
      <c r="C13059" s="2">
        <v>609.70569999999998</v>
      </c>
      <c r="D13059" s="2">
        <f>HYPERLINK("http://mcb-m6.bioreg.kyushu-u.ac.jp/M3/20110411/F50897/1384/1", 69.9)</f>
        <v>69.900000000000006</v>
      </c>
      <c r="E13059" s="2">
        <v>42.44</v>
      </c>
      <c r="F13059" s="2">
        <v>2</v>
      </c>
      <c r="G13059" s="2" t="s">
        <v>10</v>
      </c>
    </row>
    <row r="13060" spans="1:9" x14ac:dyDescent="0.2">
      <c r="A13060" s="2" t="s">
        <v>4041</v>
      </c>
      <c r="B13060" s="2" t="s">
        <v>1384</v>
      </c>
      <c r="C13060" s="2">
        <v>609.55359999999996</v>
      </c>
      <c r="D13060" s="2">
        <f>HYPERLINK("http://mcb-m6.bioreg.kyushu-u.ac.jp/M3/20110502/F51177/1140/1", 68.83)</f>
        <v>68.83</v>
      </c>
      <c r="E13060" s="2">
        <v>26.18</v>
      </c>
      <c r="F13060" s="2">
        <v>2</v>
      </c>
      <c r="G13060" s="2" t="s">
        <v>14</v>
      </c>
    </row>
    <row r="13061" spans="1:9" x14ac:dyDescent="0.2">
      <c r="A13061" s="2" t="s">
        <v>3712</v>
      </c>
      <c r="B13061" s="2" t="s">
        <v>696</v>
      </c>
      <c r="C13061" s="2">
        <v>577.31020000000001</v>
      </c>
      <c r="D13061" s="2">
        <f>HYPERLINK("http://mcb-m6.bioreg.kyushu-u.ac.jp/M3/20110411/F50890/1426/1", 48.65)</f>
        <v>48.65</v>
      </c>
      <c r="E13061" s="2">
        <v>22.3</v>
      </c>
      <c r="F13061" s="2">
        <v>2</v>
      </c>
      <c r="G13061" s="2" t="s">
        <v>9</v>
      </c>
    </row>
    <row r="13062" spans="1:9" x14ac:dyDescent="0.2">
      <c r="A13062" s="2" t="s">
        <v>3712</v>
      </c>
      <c r="B13062" s="2" t="s">
        <v>1298</v>
      </c>
      <c r="C13062" s="2">
        <v>736.38919999999996</v>
      </c>
      <c r="D13062" s="2">
        <f>HYPERLINK("http://mcb-m6.bioreg.kyushu-u.ac.jp/M3/20110411/F50890/2161/1", 71.42)</f>
        <v>71.42</v>
      </c>
      <c r="E13062" s="2">
        <v>48.9</v>
      </c>
      <c r="F13062" s="2">
        <v>2</v>
      </c>
      <c r="G13062" s="2" t="s">
        <v>9</v>
      </c>
    </row>
    <row r="13063" spans="1:9" x14ac:dyDescent="0.2">
      <c r="A13063" s="2" t="s">
        <v>3574</v>
      </c>
      <c r="B13063" s="2" t="s">
        <v>442</v>
      </c>
      <c r="C13063" s="2">
        <v>515.9547</v>
      </c>
      <c r="D13063" s="2">
        <f>HYPERLINK("http://mcb-m6.bioreg.kyushu-u.ac.jp/M3/20110411/F50905/1017/1", 41.97)</f>
        <v>41.97</v>
      </c>
      <c r="E13063" s="2">
        <v>8.31</v>
      </c>
      <c r="F13063" s="2">
        <v>2</v>
      </c>
      <c r="G13063" s="2" t="s">
        <v>9</v>
      </c>
    </row>
    <row r="13064" spans="1:9" x14ac:dyDescent="0.2">
      <c r="A13064" s="2" t="s">
        <v>4630</v>
      </c>
      <c r="B13064" s="2" t="s">
        <v>2782</v>
      </c>
      <c r="C13064" s="2">
        <v>829.84270000000004</v>
      </c>
      <c r="D13064" s="2">
        <f>HYPERLINK("http://mcb-m6.bioreg.kyushu-u.ac.jp/M3/20110414/F50947/2507/1", 93.32)</f>
        <v>93.32</v>
      </c>
      <c r="E13064" s="2">
        <v>72.790000000000006</v>
      </c>
      <c r="F13064" s="2">
        <v>2</v>
      </c>
      <c r="G13064" s="2" t="s">
        <v>12</v>
      </c>
    </row>
    <row r="13065" spans="1:9" x14ac:dyDescent="0.2">
      <c r="A13065" s="2" t="s">
        <v>4630</v>
      </c>
      <c r="B13065" s="2" t="s">
        <v>2782</v>
      </c>
      <c r="C13065" s="2">
        <v>829.77120000000002</v>
      </c>
      <c r="D13065" s="2">
        <f>HYPERLINK("http://mcb-m6.bioreg.kyushu-u.ac.jp/M3/20110502/F51170/2534/1", 93.34)</f>
        <v>93.34</v>
      </c>
      <c r="E13065" s="2">
        <v>71.41</v>
      </c>
      <c r="F13065" s="2">
        <v>2</v>
      </c>
      <c r="G13065" s="2" t="s">
        <v>13</v>
      </c>
    </row>
    <row r="13066" spans="1:9" x14ac:dyDescent="0.2">
      <c r="A13066" s="2" t="s">
        <v>4580</v>
      </c>
      <c r="B13066" s="2" t="s">
        <v>2637</v>
      </c>
      <c r="C13066" s="2">
        <v>674.07420000000002</v>
      </c>
      <c r="D13066" s="2">
        <f>HYPERLINK("http://mcb-m6.bioreg.kyushu-u.ac.jp/M3/20110414/F50958/1524/1", 45.23)</f>
        <v>45.23</v>
      </c>
      <c r="E13066" s="2">
        <v>22.09</v>
      </c>
      <c r="F13066" s="2">
        <v>2</v>
      </c>
      <c r="G13066" s="2" t="s">
        <v>12</v>
      </c>
      <c r="I13066" s="2" t="s">
        <v>4890</v>
      </c>
    </row>
    <row r="13067" spans="1:9" x14ac:dyDescent="0.2">
      <c r="A13067" s="2" t="s">
        <v>3413</v>
      </c>
      <c r="B13067" s="2" t="s">
        <v>212</v>
      </c>
      <c r="C13067" s="2">
        <v>495.9776</v>
      </c>
      <c r="D13067" s="2">
        <f>HYPERLINK("http://mcb-m6.bioreg.kyushu-u.ac.jp/M3/20110411/F50915/737/1", 37.86)</f>
        <v>37.86</v>
      </c>
      <c r="E13067" s="2">
        <v>19.149999999999999</v>
      </c>
      <c r="F13067" s="2">
        <v>2</v>
      </c>
      <c r="G13067" s="2" t="s">
        <v>9</v>
      </c>
      <c r="H13067" s="2" t="s">
        <v>4908</v>
      </c>
    </row>
    <row r="13068" spans="1:9" x14ac:dyDescent="0.2">
      <c r="A13068" s="2" t="s">
        <v>3473</v>
      </c>
      <c r="B13068" s="2" t="s">
        <v>288</v>
      </c>
      <c r="C13068" s="2">
        <v>866.44100000000003</v>
      </c>
      <c r="D13068" s="2">
        <f>HYPERLINK("http://mcb-m6.bioreg.kyushu-u.ac.jp/M3/20110411/F50891/752/1", 39.03)</f>
        <v>39.03</v>
      </c>
      <c r="E13068" s="2">
        <v>11.88</v>
      </c>
      <c r="F13068" s="2">
        <v>1</v>
      </c>
      <c r="G13068" s="2" t="s">
        <v>9</v>
      </c>
    </row>
    <row r="13069" spans="1:9" x14ac:dyDescent="0.2">
      <c r="A13069" s="2" t="s">
        <v>3740</v>
      </c>
      <c r="B13069" s="2" t="s">
        <v>742</v>
      </c>
      <c r="C13069" s="2">
        <v>678.61659999999995</v>
      </c>
      <c r="D13069" s="2">
        <f>HYPERLINK("http://mcb-m6.bioreg.kyushu-u.ac.jp/M3/20110411/F50905/1688/1", 49.87)</f>
        <v>49.87</v>
      </c>
      <c r="E13069" s="2">
        <v>30.07</v>
      </c>
      <c r="F13069" s="2">
        <v>2</v>
      </c>
      <c r="G13069" s="2" t="s">
        <v>9</v>
      </c>
    </row>
    <row r="13070" spans="1:9" x14ac:dyDescent="0.2">
      <c r="A13070" s="2" t="s">
        <v>3740</v>
      </c>
      <c r="B13070" s="2" t="s">
        <v>742</v>
      </c>
      <c r="C13070" s="2">
        <v>678.58969999999999</v>
      </c>
      <c r="D13070" s="2">
        <f>HYPERLINK("http://mcb-m6.bioreg.kyushu-u.ac.jp/M3/20110411/F50913/1691/1", 57.15)</f>
        <v>57.15</v>
      </c>
      <c r="E13070" s="2">
        <v>35.93</v>
      </c>
      <c r="F13070" s="2">
        <v>2</v>
      </c>
      <c r="G13070" s="2" t="s">
        <v>10</v>
      </c>
    </row>
    <row r="13071" spans="1:9" x14ac:dyDescent="0.2">
      <c r="A13071" s="2" t="s">
        <v>3983</v>
      </c>
      <c r="B13071" s="2" t="s">
        <v>1243</v>
      </c>
      <c r="C13071" s="2">
        <v>884.88959999999997</v>
      </c>
      <c r="D13071" s="2">
        <f>HYPERLINK("http://mcb-m6.bioreg.kyushu-u.ac.jp/M3/20110411/F50892/2775/1", 68.69)</f>
        <v>68.69</v>
      </c>
      <c r="E13071" s="2">
        <v>58.35</v>
      </c>
      <c r="F13071" s="2">
        <v>2</v>
      </c>
      <c r="G13071" s="2" t="s">
        <v>9</v>
      </c>
    </row>
    <row r="13072" spans="1:9" x14ac:dyDescent="0.2">
      <c r="A13072" s="2" t="s">
        <v>3548</v>
      </c>
      <c r="B13072" s="2" t="s">
        <v>405</v>
      </c>
      <c r="C13072" s="2">
        <v>473.5641</v>
      </c>
      <c r="D13072" s="2">
        <f>HYPERLINK("http://mcb-m6.bioreg.kyushu-u.ac.jp/M3/20110411/F50911/876/3", 41.2)</f>
        <v>41.2</v>
      </c>
      <c r="E13072" s="2">
        <v>11.32</v>
      </c>
      <c r="F13072" s="2">
        <v>2</v>
      </c>
      <c r="G13072" s="2" t="s">
        <v>9</v>
      </c>
    </row>
    <row r="13073" spans="1:9" x14ac:dyDescent="0.2">
      <c r="A13073" s="2" t="s">
        <v>3620</v>
      </c>
      <c r="B13073" s="2" t="s">
        <v>529</v>
      </c>
      <c r="C13073" s="2">
        <v>689.76170000000002</v>
      </c>
      <c r="D13073" s="2">
        <f>HYPERLINK("http://mcb-m6.bioreg.kyushu-u.ac.jp/M3/20110411/F50905/1751/1", 43.95)</f>
        <v>43.95</v>
      </c>
      <c r="E13073" s="2">
        <v>19.329999999999998</v>
      </c>
      <c r="F13073" s="2">
        <v>2</v>
      </c>
      <c r="G13073" s="2" t="s">
        <v>9</v>
      </c>
      <c r="I13073" s="2" t="s">
        <v>4898</v>
      </c>
    </row>
    <row r="13074" spans="1:9" x14ac:dyDescent="0.2">
      <c r="A13074" s="2" t="s">
        <v>3620</v>
      </c>
      <c r="B13074" s="2" t="s">
        <v>745</v>
      </c>
      <c r="C13074" s="2">
        <v>505.81959999999998</v>
      </c>
      <c r="D13074" s="2">
        <f>HYPERLINK("http://mcb-m6.bioreg.kyushu-u.ac.jp/M3/20110411/F50905/979/1", 49.94)</f>
        <v>49.94</v>
      </c>
      <c r="E13074" s="2">
        <v>11.73</v>
      </c>
      <c r="F13074" s="2">
        <v>2</v>
      </c>
      <c r="G13074" s="2" t="s">
        <v>9</v>
      </c>
    </row>
    <row r="13075" spans="1:9" x14ac:dyDescent="0.2">
      <c r="A13075" s="2" t="s">
        <v>3620</v>
      </c>
      <c r="B13075" s="2" t="s">
        <v>795</v>
      </c>
      <c r="C13075" s="2">
        <v>571.46010000000001</v>
      </c>
      <c r="D13075" s="2">
        <f>HYPERLINK("http://mcb-m6.bioreg.kyushu-u.ac.jp/M3/20110411/F50905/1241/1", 51.57)</f>
        <v>51.57</v>
      </c>
      <c r="E13075" s="2">
        <v>20.92</v>
      </c>
      <c r="F13075" s="2">
        <v>2</v>
      </c>
      <c r="G13075" s="2" t="s">
        <v>9</v>
      </c>
    </row>
    <row r="13076" spans="1:9" x14ac:dyDescent="0.2">
      <c r="A13076" s="2" t="s">
        <v>3620</v>
      </c>
      <c r="B13076" s="2" t="s">
        <v>929</v>
      </c>
      <c r="C13076" s="2">
        <v>920.01210000000003</v>
      </c>
      <c r="D13076" s="2">
        <f>HYPERLINK("http://mcb-m6.bioreg.kyushu-u.ac.jp/M3/20110411/F50905/2945/1", 55.91)</f>
        <v>55.91</v>
      </c>
      <c r="E13076" s="2">
        <v>35.950000000000003</v>
      </c>
      <c r="F13076" s="2">
        <v>2</v>
      </c>
      <c r="G13076" s="2" t="s">
        <v>9</v>
      </c>
    </row>
    <row r="13077" spans="1:9" x14ac:dyDescent="0.2">
      <c r="A13077" s="2" t="s">
        <v>4152</v>
      </c>
      <c r="B13077" s="2" t="s">
        <v>1705</v>
      </c>
      <c r="C13077" s="2">
        <v>881.55899999999997</v>
      </c>
      <c r="D13077" s="2">
        <f>HYPERLINK("http://mcb-m6.bioreg.kyushu-u.ac.jp/M3/20110411/F50920/536/1", 35.61)</f>
        <v>35.61</v>
      </c>
      <c r="E13077" s="2">
        <v>15.71</v>
      </c>
      <c r="F13077" s="2">
        <v>1</v>
      </c>
      <c r="G13077" s="2" t="s">
        <v>10</v>
      </c>
    </row>
    <row r="13078" spans="1:9" x14ac:dyDescent="0.2">
      <c r="A13078" s="2" t="s">
        <v>4152</v>
      </c>
      <c r="B13078" s="2" t="s">
        <v>1705</v>
      </c>
      <c r="C13078" s="2">
        <v>881.49099999999999</v>
      </c>
      <c r="D13078" s="2">
        <f>HYPERLINK("http://mcb-m6.bioreg.kyushu-u.ac.jp/M3/20110414/F50924/754/1", 37.04)</f>
        <v>37.04</v>
      </c>
      <c r="E13078" s="2">
        <v>17.190000000000001</v>
      </c>
      <c r="F13078" s="2">
        <v>1</v>
      </c>
      <c r="G13078" s="2" t="s">
        <v>11</v>
      </c>
    </row>
    <row r="13079" spans="1:9" x14ac:dyDescent="0.2">
      <c r="A13079" s="2" t="s">
        <v>4152</v>
      </c>
      <c r="B13079" s="2" t="s">
        <v>1705</v>
      </c>
      <c r="C13079" s="2">
        <v>881.24199999999996</v>
      </c>
      <c r="D13079" s="2">
        <f>HYPERLINK("http://mcb-m6.bioreg.kyushu-u.ac.jp/M3/20110414/F50966/675/1", 37.06)</f>
        <v>37.06</v>
      </c>
      <c r="E13079" s="2">
        <v>19.55</v>
      </c>
      <c r="F13079" s="2">
        <v>1</v>
      </c>
      <c r="G13079" s="2" t="s">
        <v>12</v>
      </c>
    </row>
    <row r="13080" spans="1:9" x14ac:dyDescent="0.2">
      <c r="A13080" s="2" t="s">
        <v>3313</v>
      </c>
      <c r="B13080" s="2" t="s">
        <v>96</v>
      </c>
      <c r="C13080" s="2">
        <v>834.36270000000002</v>
      </c>
      <c r="D13080" s="2">
        <f>HYPERLINK("http://mcb-m6.bioreg.kyushu-u.ac.jp/M3/20110411/F50890/2691/1", 35.97)</f>
        <v>35.97</v>
      </c>
      <c r="E13080" s="2">
        <v>24.63</v>
      </c>
      <c r="F13080" s="2">
        <v>2</v>
      </c>
      <c r="G13080" s="2" t="s">
        <v>9</v>
      </c>
    </row>
    <row r="13081" spans="1:9" x14ac:dyDescent="0.2">
      <c r="A13081" s="2" t="s">
        <v>3313</v>
      </c>
      <c r="B13081" s="2" t="s">
        <v>96</v>
      </c>
      <c r="C13081" s="2">
        <v>1650.0350000000001</v>
      </c>
      <c r="D13081" s="2">
        <f>HYPERLINK("http://mcb-m6.bioreg.kyushu-u.ac.jp/M3/20110411/F50903/2440/1", 51.84)</f>
        <v>51.84</v>
      </c>
      <c r="E13081" s="2">
        <v>39.32</v>
      </c>
      <c r="F13081" s="2">
        <v>1</v>
      </c>
      <c r="G13081" s="2" t="s">
        <v>9</v>
      </c>
      <c r="H13081" s="2" t="s">
        <v>4904</v>
      </c>
    </row>
    <row r="13082" spans="1:9" x14ac:dyDescent="0.2">
      <c r="A13082" s="2" t="s">
        <v>3313</v>
      </c>
      <c r="B13082" s="2" t="s">
        <v>96</v>
      </c>
      <c r="C13082" s="2">
        <v>834.13170000000002</v>
      </c>
      <c r="D13082" s="2">
        <f>HYPERLINK("http://mcb-m6.bioreg.kyushu-u.ac.jp/M3/20110411/F50903/2478/1", 65.15)</f>
        <v>65.150000000000006</v>
      </c>
      <c r="E13082" s="2">
        <v>42.34</v>
      </c>
      <c r="F13082" s="2">
        <v>2</v>
      </c>
      <c r="G13082" s="2" t="s">
        <v>9</v>
      </c>
    </row>
    <row r="13083" spans="1:9" x14ac:dyDescent="0.2">
      <c r="A13083" s="2" t="s">
        <v>3313</v>
      </c>
      <c r="B13083" s="2" t="s">
        <v>96</v>
      </c>
      <c r="C13083" s="2">
        <v>834.17020000000002</v>
      </c>
      <c r="D13083" s="2">
        <f>HYPERLINK("http://mcb-m6.bioreg.kyushu-u.ac.jp/M3/20110411/F50903/2479/1", 73.64)</f>
        <v>73.64</v>
      </c>
      <c r="E13083" s="2">
        <v>50</v>
      </c>
      <c r="F13083" s="2">
        <v>2</v>
      </c>
      <c r="G13083" s="2" t="s">
        <v>9</v>
      </c>
    </row>
    <row r="13084" spans="1:9" x14ac:dyDescent="0.2">
      <c r="A13084" s="2" t="s">
        <v>3313</v>
      </c>
      <c r="B13084" s="2" t="s">
        <v>96</v>
      </c>
      <c r="C13084" s="2">
        <v>834.21559999999999</v>
      </c>
      <c r="D13084" s="2">
        <f>HYPERLINK("http://mcb-m6.bioreg.kyushu-u.ac.jp/M3/20110411/F50920/2018/1", 97.36)</f>
        <v>97.36</v>
      </c>
      <c r="E13084" s="2">
        <v>70.650000000000006</v>
      </c>
      <c r="F13084" s="2">
        <v>2</v>
      </c>
      <c r="G13084" s="2" t="s">
        <v>10</v>
      </c>
    </row>
    <row r="13085" spans="1:9" x14ac:dyDescent="0.2">
      <c r="A13085" s="2" t="s">
        <v>3313</v>
      </c>
      <c r="B13085" s="2" t="s">
        <v>96</v>
      </c>
      <c r="C13085" s="2">
        <v>833.70370000000003</v>
      </c>
      <c r="D13085" s="2">
        <f>HYPERLINK("http://mcb-m6.bioreg.kyushu-u.ac.jp/M3/20110414/F50926/2509/1", 58.2)</f>
        <v>58.2</v>
      </c>
      <c r="E13085" s="2">
        <v>40.270000000000003</v>
      </c>
      <c r="F13085" s="2">
        <v>2</v>
      </c>
      <c r="G13085" s="2" t="s">
        <v>11</v>
      </c>
    </row>
    <row r="13086" spans="1:9" x14ac:dyDescent="0.2">
      <c r="A13086" s="2" t="s">
        <v>3313</v>
      </c>
      <c r="B13086" s="2" t="s">
        <v>96</v>
      </c>
      <c r="C13086" s="2">
        <v>825.62220000000002</v>
      </c>
      <c r="D13086" s="2">
        <f>HYPERLINK("http://mcb-m6.bioreg.kyushu-u.ac.jp/M3/20110414/F50924/2513/1", 71.3)</f>
        <v>71.3</v>
      </c>
      <c r="E13086" s="2">
        <v>52.32</v>
      </c>
      <c r="F13086" s="2">
        <v>2</v>
      </c>
      <c r="G13086" s="2" t="s">
        <v>11</v>
      </c>
      <c r="H13086" s="2" t="s">
        <v>4904</v>
      </c>
    </row>
    <row r="13087" spans="1:9" x14ac:dyDescent="0.2">
      <c r="A13087" s="2" t="s">
        <v>3313</v>
      </c>
      <c r="B13087" s="2" t="s">
        <v>96</v>
      </c>
      <c r="C13087" s="2">
        <v>833.83810000000005</v>
      </c>
      <c r="D13087" s="2">
        <f>HYPERLINK("http://mcb-m6.bioreg.kyushu-u.ac.jp/M3/20110414/F50924/2557/1", 73.3)</f>
        <v>73.3</v>
      </c>
      <c r="E13087" s="2">
        <v>60.6</v>
      </c>
      <c r="F13087" s="2">
        <v>2</v>
      </c>
      <c r="G13087" s="2" t="s">
        <v>11</v>
      </c>
    </row>
    <row r="13088" spans="1:9" x14ac:dyDescent="0.2">
      <c r="A13088" s="2" t="s">
        <v>3313</v>
      </c>
      <c r="B13088" s="2" t="s">
        <v>96</v>
      </c>
      <c r="C13088" s="2">
        <v>825.82370000000003</v>
      </c>
      <c r="D13088" s="2">
        <f>HYPERLINK("http://mcb-m6.bioreg.kyushu-u.ac.jp/M3/20110414/F50926/2480/1", 78.04)</f>
        <v>78.040000000000006</v>
      </c>
      <c r="E13088" s="2">
        <v>59.29</v>
      </c>
      <c r="F13088" s="2">
        <v>2</v>
      </c>
      <c r="G13088" s="2" t="s">
        <v>11</v>
      </c>
      <c r="H13088" s="2" t="s">
        <v>4904</v>
      </c>
    </row>
    <row r="13089" spans="1:9" x14ac:dyDescent="0.2">
      <c r="A13089" s="2" t="s">
        <v>3313</v>
      </c>
      <c r="B13089" s="2" t="s">
        <v>96</v>
      </c>
      <c r="C13089" s="2">
        <v>834.35670000000005</v>
      </c>
      <c r="D13089" s="2">
        <f>HYPERLINK("http://mcb-m6.bioreg.kyushu-u.ac.jp/M3/20110414/F50925/2524/1", 91.76)</f>
        <v>91.76</v>
      </c>
      <c r="E13089" s="2">
        <v>78.42</v>
      </c>
      <c r="F13089" s="2">
        <v>2</v>
      </c>
      <c r="G13089" s="2" t="s">
        <v>11</v>
      </c>
    </row>
    <row r="13090" spans="1:9" x14ac:dyDescent="0.2">
      <c r="A13090" s="2" t="s">
        <v>3313</v>
      </c>
      <c r="B13090" s="2" t="s">
        <v>96</v>
      </c>
      <c r="C13090" s="2">
        <v>833.83759999999995</v>
      </c>
      <c r="D13090" s="2">
        <f>HYPERLINK("http://mcb-m6.bioreg.kyushu-u.ac.jp/M3/20110414/F50925/2523/1", 100.14)</f>
        <v>100.14</v>
      </c>
      <c r="E13090" s="2">
        <v>87.33</v>
      </c>
      <c r="F13090" s="2">
        <v>2</v>
      </c>
      <c r="G13090" s="2" t="s">
        <v>11</v>
      </c>
    </row>
    <row r="13091" spans="1:9" x14ac:dyDescent="0.2">
      <c r="A13091" s="2" t="s">
        <v>3313</v>
      </c>
      <c r="B13091" s="2" t="s">
        <v>96</v>
      </c>
      <c r="C13091" s="2">
        <v>833.70619999999997</v>
      </c>
      <c r="D13091" s="2">
        <f>HYPERLINK("http://mcb-m6.bioreg.kyushu-u.ac.jp/M3/20110414/F50966/2267/1", 59.71)</f>
        <v>59.71</v>
      </c>
      <c r="E13091" s="2">
        <v>41.81</v>
      </c>
      <c r="F13091" s="2">
        <v>2</v>
      </c>
      <c r="G13091" s="2" t="s">
        <v>12</v>
      </c>
    </row>
    <row r="13092" spans="1:9" x14ac:dyDescent="0.2">
      <c r="A13092" s="2" t="s">
        <v>3313</v>
      </c>
      <c r="B13092" s="2" t="s">
        <v>96</v>
      </c>
      <c r="C13092" s="2">
        <v>834.06569999999999</v>
      </c>
      <c r="D13092" s="2">
        <f>HYPERLINK("http://mcb-m6.bioreg.kyushu-u.ac.jp/M3/20110502/F51166/2249/1", 36.63)</f>
        <v>36.630000000000003</v>
      </c>
      <c r="E13092" s="2">
        <v>23.66</v>
      </c>
      <c r="F13092" s="2">
        <v>2</v>
      </c>
      <c r="G13092" s="2" t="s">
        <v>13</v>
      </c>
    </row>
    <row r="13093" spans="1:9" x14ac:dyDescent="0.2">
      <c r="A13093" s="2" t="s">
        <v>3313</v>
      </c>
      <c r="B13093" s="2" t="s">
        <v>96</v>
      </c>
      <c r="C13093" s="2">
        <v>825.92520000000002</v>
      </c>
      <c r="D13093" s="2">
        <f>HYPERLINK("http://mcb-m6.bioreg.kyushu-u.ac.jp/M3/20110502/F51165/2366/1", 76.16)</f>
        <v>76.16</v>
      </c>
      <c r="E13093" s="2">
        <v>57.4</v>
      </c>
      <c r="F13093" s="2">
        <v>2</v>
      </c>
      <c r="G13093" s="2" t="s">
        <v>13</v>
      </c>
      <c r="H13093" s="2" t="s">
        <v>4904</v>
      </c>
    </row>
    <row r="13094" spans="1:9" x14ac:dyDescent="0.2">
      <c r="A13094" s="2" t="s">
        <v>3313</v>
      </c>
      <c r="B13094" s="2" t="s">
        <v>96</v>
      </c>
      <c r="C13094" s="2">
        <v>825.94709999999998</v>
      </c>
      <c r="D13094" s="2">
        <f>HYPERLINK("http://mcb-m6.bioreg.kyushu-u.ac.jp/M3/20110502/F51166/2227/1", 83.06)</f>
        <v>83.06</v>
      </c>
      <c r="E13094" s="2">
        <v>64.8</v>
      </c>
      <c r="F13094" s="2">
        <v>2</v>
      </c>
      <c r="G13094" s="2" t="s">
        <v>13</v>
      </c>
      <c r="H13094" s="2" t="s">
        <v>4904</v>
      </c>
    </row>
    <row r="13095" spans="1:9" x14ac:dyDescent="0.2">
      <c r="A13095" s="2" t="s">
        <v>3313</v>
      </c>
      <c r="B13095" s="2" t="s">
        <v>96</v>
      </c>
      <c r="C13095" s="2">
        <v>834.58420000000001</v>
      </c>
      <c r="D13095" s="2">
        <f>HYPERLINK("http://mcb-m6.bioreg.kyushu-u.ac.jp/M3/20110502/F51165/2401/1", 84.44)</f>
        <v>84.44</v>
      </c>
      <c r="E13095" s="2">
        <v>68.33</v>
      </c>
      <c r="F13095" s="2">
        <v>2</v>
      </c>
      <c r="G13095" s="2" t="s">
        <v>13</v>
      </c>
    </row>
    <row r="13096" spans="1:9" x14ac:dyDescent="0.2">
      <c r="A13096" s="2" t="s">
        <v>3313</v>
      </c>
      <c r="B13096" s="2" t="s">
        <v>96</v>
      </c>
      <c r="C13096" s="2">
        <v>834.04359999999997</v>
      </c>
      <c r="D13096" s="2">
        <f>HYPERLINK("http://mcb-m6.bioreg.kyushu-u.ac.jp/M3/20110502/F51165/2399/1", 97.68)</f>
        <v>97.68</v>
      </c>
      <c r="E13096" s="2">
        <v>81.75</v>
      </c>
      <c r="F13096" s="2">
        <v>2</v>
      </c>
      <c r="G13096" s="2" t="s">
        <v>13</v>
      </c>
    </row>
    <row r="13097" spans="1:9" x14ac:dyDescent="0.2">
      <c r="A13097" s="2" t="s">
        <v>3313</v>
      </c>
      <c r="B13097" s="2" t="s">
        <v>96</v>
      </c>
      <c r="C13097" s="2">
        <v>834.1866</v>
      </c>
      <c r="D13097" s="2">
        <f>HYPERLINK("http://mcb-m6.bioreg.kyushu-u.ac.jp/M3/20110502/F51181/2278/1", 60.37)</f>
        <v>60.37</v>
      </c>
      <c r="E13097" s="2">
        <v>41.09</v>
      </c>
      <c r="F13097" s="2">
        <v>2</v>
      </c>
      <c r="G13097" s="2" t="s">
        <v>14</v>
      </c>
    </row>
    <row r="13098" spans="1:9" x14ac:dyDescent="0.2">
      <c r="A13098" s="2" t="s">
        <v>3313</v>
      </c>
      <c r="B13098" s="2" t="s">
        <v>96</v>
      </c>
      <c r="C13098" s="2">
        <v>834.19069999999999</v>
      </c>
      <c r="D13098" s="2">
        <f>HYPERLINK("http://mcb-m6.bioreg.kyushu-u.ac.jp/M3/20110502/F51190/2172/1", 62.33)</f>
        <v>62.33</v>
      </c>
      <c r="E13098" s="2">
        <v>43.27</v>
      </c>
      <c r="F13098" s="2">
        <v>2</v>
      </c>
      <c r="G13098" s="2" t="s">
        <v>14</v>
      </c>
    </row>
    <row r="13099" spans="1:9" x14ac:dyDescent="0.2">
      <c r="A13099" s="2" t="s">
        <v>3407</v>
      </c>
      <c r="B13099" s="2" t="s">
        <v>204</v>
      </c>
      <c r="C13099" s="2">
        <v>497.90460000000002</v>
      </c>
      <c r="D13099" s="2">
        <f>HYPERLINK("http://mcb-m6.bioreg.kyushu-u.ac.jp/M3/20110411/F50890/1115/1", 37.66)</f>
        <v>37.659999999999997</v>
      </c>
      <c r="E13099" s="2">
        <v>8.1300000000000008</v>
      </c>
      <c r="F13099" s="2">
        <v>2</v>
      </c>
      <c r="G13099" s="2" t="s">
        <v>9</v>
      </c>
    </row>
    <row r="13100" spans="1:9" x14ac:dyDescent="0.2">
      <c r="A13100" s="2" t="s">
        <v>3407</v>
      </c>
      <c r="B13100" s="2" t="s">
        <v>2297</v>
      </c>
      <c r="C13100" s="2">
        <v>558.40620000000001</v>
      </c>
      <c r="D13100" s="2">
        <f>HYPERLINK("http://mcb-m6.bioreg.kyushu-u.ac.jp/M3/20110414/F50943/1097/1", 44.12)</f>
        <v>44.12</v>
      </c>
      <c r="E13100" s="2">
        <v>24.17</v>
      </c>
      <c r="F13100" s="2">
        <v>2</v>
      </c>
      <c r="G13100" s="2" t="s">
        <v>11</v>
      </c>
    </row>
    <row r="13101" spans="1:9" x14ac:dyDescent="0.2">
      <c r="A13101" s="2" t="s">
        <v>4866</v>
      </c>
      <c r="B13101" s="2" t="s">
        <v>3163</v>
      </c>
      <c r="C13101" s="2">
        <v>595.0607</v>
      </c>
      <c r="D13101" s="2">
        <f>HYPERLINK("http://mcb-m6.bioreg.kyushu-u.ac.jp/M3/20110502/F51176/1698/1", 57.13)</f>
        <v>57.13</v>
      </c>
      <c r="E13101" s="2">
        <v>20.87</v>
      </c>
      <c r="F13101" s="2">
        <v>2</v>
      </c>
      <c r="G13101" s="2" t="s">
        <v>14</v>
      </c>
    </row>
    <row r="13102" spans="1:9" x14ac:dyDescent="0.2">
      <c r="A13102" s="2" t="s">
        <v>3257</v>
      </c>
      <c r="B13102" s="2" t="s">
        <v>37</v>
      </c>
      <c r="C13102" s="2">
        <v>626.76070000000004</v>
      </c>
      <c r="D13102" s="2">
        <f>HYPERLINK("http://mcb-m6.bioreg.kyushu-u.ac.jp/M3/20110411/F50889/1932/1", 35.28)</f>
        <v>35.28</v>
      </c>
      <c r="E13102" s="2">
        <v>17.579999999999998</v>
      </c>
      <c r="F13102" s="2">
        <v>2</v>
      </c>
      <c r="G13102" s="2" t="s">
        <v>9</v>
      </c>
    </row>
    <row r="13103" spans="1:9" x14ac:dyDescent="0.2">
      <c r="A13103" s="2" t="s">
        <v>4361</v>
      </c>
      <c r="B13103" s="2" t="s">
        <v>2184</v>
      </c>
      <c r="C13103" s="2">
        <v>498.7826</v>
      </c>
      <c r="D13103" s="2">
        <f>HYPERLINK("http://mcb-m6.bioreg.kyushu-u.ac.jp/M3/20110414/F50926/1447/1", 36.17)</f>
        <v>36.17</v>
      </c>
      <c r="E13103" s="2">
        <v>9.43</v>
      </c>
      <c r="F13103" s="2">
        <v>2</v>
      </c>
      <c r="G13103" s="2" t="s">
        <v>11</v>
      </c>
      <c r="H13103" s="2" t="s">
        <v>4908</v>
      </c>
      <c r="I13103" s="2" t="s">
        <v>4898</v>
      </c>
    </row>
    <row r="13104" spans="1:9" x14ac:dyDescent="0.2">
      <c r="A13104" s="2" t="s">
        <v>4361</v>
      </c>
      <c r="B13104" s="2" t="s">
        <v>2184</v>
      </c>
      <c r="C13104" s="2">
        <v>498.73059999999998</v>
      </c>
      <c r="D13104" s="2">
        <f>HYPERLINK("http://mcb-m6.bioreg.kyushu-u.ac.jp/M3/20110414/F50927/1343/1", 48.67)</f>
        <v>48.67</v>
      </c>
      <c r="E13104" s="2">
        <v>20.74</v>
      </c>
      <c r="F13104" s="2">
        <v>2</v>
      </c>
      <c r="G13104" s="2" t="s">
        <v>11</v>
      </c>
      <c r="H13104" s="2" t="s">
        <v>4908</v>
      </c>
      <c r="I13104" s="2" t="s">
        <v>4898</v>
      </c>
    </row>
    <row r="13105" spans="1:7" x14ac:dyDescent="0.2">
      <c r="A13105" s="2" t="s">
        <v>4604</v>
      </c>
      <c r="B13105" s="2" t="s">
        <v>2704</v>
      </c>
      <c r="C13105" s="2">
        <v>799.22810000000004</v>
      </c>
      <c r="D13105" s="2">
        <f>HYPERLINK("http://mcb-m6.bioreg.kyushu-u.ac.jp/M3/20110414/F50958/2423/1", 58.39)</f>
        <v>58.39</v>
      </c>
      <c r="E13105" s="2">
        <v>42.02</v>
      </c>
      <c r="F13105" s="2">
        <v>2</v>
      </c>
      <c r="G13105" s="2" t="s">
        <v>12</v>
      </c>
    </row>
    <row r="13106" spans="1:7" x14ac:dyDescent="0.2">
      <c r="A13106" s="2" t="s">
        <v>4479</v>
      </c>
      <c r="B13106" s="2" t="s">
        <v>2426</v>
      </c>
      <c r="C13106" s="2">
        <v>468.71960000000001</v>
      </c>
      <c r="D13106" s="2">
        <f>HYPERLINK("http://mcb-m6.bioreg.kyushu-u.ac.jp/M3/20110414/F50925/1282/1", 60.83)</f>
        <v>60.83</v>
      </c>
      <c r="E13106" s="2">
        <v>36.049999999999997</v>
      </c>
      <c r="F13106" s="2">
        <v>2</v>
      </c>
      <c r="G13106" s="2" t="s">
        <v>11</v>
      </c>
    </row>
    <row r="13107" spans="1:7" x14ac:dyDescent="0.2">
      <c r="A13107" s="2" t="s">
        <v>4324</v>
      </c>
      <c r="B13107" s="2" t="s">
        <v>2105</v>
      </c>
      <c r="C13107" s="2">
        <v>739.10919999999999</v>
      </c>
      <c r="D13107" s="2">
        <f>HYPERLINK("http://mcb-m6.bioreg.kyushu-u.ac.jp/M3/20110411/F50917/1934/1", 82.72)</f>
        <v>82.72</v>
      </c>
      <c r="E13107" s="2">
        <v>64.45</v>
      </c>
      <c r="F13107" s="2">
        <v>2</v>
      </c>
      <c r="G13107" s="2" t="s">
        <v>10</v>
      </c>
    </row>
    <row r="13108" spans="1:7" x14ac:dyDescent="0.2">
      <c r="A13108" s="2" t="s">
        <v>3338</v>
      </c>
      <c r="B13108" s="2" t="s">
        <v>126</v>
      </c>
      <c r="C13108" s="2">
        <v>613.89850000000001</v>
      </c>
      <c r="D13108" s="2">
        <f>HYPERLINK("http://mcb-m6.bioreg.kyushu-u.ac.jp/M3/20110411/F50915/2939/1", 36.44)</f>
        <v>36.44</v>
      </c>
      <c r="E13108" s="2">
        <v>11.57</v>
      </c>
      <c r="F13108" s="2">
        <v>3</v>
      </c>
      <c r="G13108" s="2" t="s">
        <v>9</v>
      </c>
    </row>
    <row r="13109" spans="1:7" x14ac:dyDescent="0.2">
      <c r="A13109" s="2" t="s">
        <v>3338</v>
      </c>
      <c r="B13109" s="2" t="s">
        <v>126</v>
      </c>
      <c r="C13109" s="2">
        <v>920.14419999999996</v>
      </c>
      <c r="D13109" s="2">
        <f>HYPERLINK("http://mcb-m6.bioreg.kyushu-u.ac.jp/M3/20110411/F50915/2938/1", 49.61)</f>
        <v>49.61</v>
      </c>
      <c r="E13109" s="2">
        <v>27.89</v>
      </c>
      <c r="F13109" s="2">
        <v>2</v>
      </c>
      <c r="G13109" s="2" t="s">
        <v>9</v>
      </c>
    </row>
    <row r="13110" spans="1:7" x14ac:dyDescent="0.2">
      <c r="A13110" s="2" t="s">
        <v>4676</v>
      </c>
      <c r="B13110" s="2" t="s">
        <v>2846</v>
      </c>
      <c r="C13110" s="2">
        <v>528.52809999999999</v>
      </c>
      <c r="D13110" s="2">
        <f>HYPERLINK("http://mcb-m6.bioreg.kyushu-u.ac.jp/M3/20110502/F51166/1593/1", 38.9)</f>
        <v>38.9</v>
      </c>
      <c r="E13110" s="2">
        <v>17.89</v>
      </c>
      <c r="F13110" s="2">
        <v>2</v>
      </c>
      <c r="G13110" s="2" t="s">
        <v>13</v>
      </c>
    </row>
    <row r="13111" spans="1:7" x14ac:dyDescent="0.2">
      <c r="A13111" s="2" t="s">
        <v>3404</v>
      </c>
      <c r="B13111" s="2" t="s">
        <v>201</v>
      </c>
      <c r="C13111" s="2">
        <v>533.34559999999999</v>
      </c>
      <c r="D13111" s="2">
        <f>HYPERLINK("http://mcb-m6.bioreg.kyushu-u.ac.jp/M3/20110411/F50905/1090/1", 37.64)</f>
        <v>37.64</v>
      </c>
      <c r="E13111" s="2">
        <v>9.35</v>
      </c>
      <c r="F13111" s="2">
        <v>2</v>
      </c>
      <c r="G13111" s="2" t="s">
        <v>9</v>
      </c>
    </row>
    <row r="13112" spans="1:7" x14ac:dyDescent="0.2">
      <c r="A13112" s="2" t="s">
        <v>3404</v>
      </c>
      <c r="B13112" s="2" t="s">
        <v>201</v>
      </c>
      <c r="C13112" s="2">
        <v>1065.4459999999999</v>
      </c>
      <c r="D13112" s="2">
        <f>HYPERLINK("http://mcb-m6.bioreg.kyushu-u.ac.jp/M3/20110411/F50891/1107/1", 45.89)</f>
        <v>45.89</v>
      </c>
      <c r="E13112" s="2">
        <v>6.84</v>
      </c>
      <c r="F13112" s="2">
        <v>1</v>
      </c>
      <c r="G13112" s="2" t="s">
        <v>9</v>
      </c>
    </row>
    <row r="13113" spans="1:7" x14ac:dyDescent="0.2">
      <c r="A13113" s="2" t="s">
        <v>3404</v>
      </c>
      <c r="B13113" s="2" t="s">
        <v>201</v>
      </c>
      <c r="C13113" s="2">
        <v>1065.854</v>
      </c>
      <c r="D13113" s="2">
        <f>HYPERLINK("http://mcb-m6.bioreg.kyushu-u.ac.jp/M3/20110411/F50893/1425/1", 45.92)</f>
        <v>45.92</v>
      </c>
      <c r="E13113" s="2">
        <v>13.82</v>
      </c>
      <c r="F13113" s="2">
        <v>1</v>
      </c>
      <c r="G13113" s="2" t="s">
        <v>9</v>
      </c>
    </row>
    <row r="13114" spans="1:7" x14ac:dyDescent="0.2">
      <c r="A13114" s="2" t="s">
        <v>3404</v>
      </c>
      <c r="B13114" s="2" t="s">
        <v>201</v>
      </c>
      <c r="C13114" s="2">
        <v>1065.7840000000001</v>
      </c>
      <c r="D13114" s="2">
        <f>HYPERLINK("http://mcb-m6.bioreg.kyushu-u.ac.jp/M3/20110411/F50895/1186/1", 45.95)</f>
        <v>45.95</v>
      </c>
      <c r="E13114" s="2">
        <v>15.26</v>
      </c>
      <c r="F13114" s="2">
        <v>1</v>
      </c>
      <c r="G13114" s="2" t="s">
        <v>9</v>
      </c>
    </row>
    <row r="13115" spans="1:7" x14ac:dyDescent="0.2">
      <c r="A13115" s="2" t="s">
        <v>3404</v>
      </c>
      <c r="B13115" s="2" t="s">
        <v>201</v>
      </c>
      <c r="C13115" s="2">
        <v>1065.4349999999999</v>
      </c>
      <c r="D13115" s="2">
        <f>HYPERLINK("http://mcb-m6.bioreg.kyushu-u.ac.jp/M3/20110411/F50889/1658/1", 48.39)</f>
        <v>48.39</v>
      </c>
      <c r="E13115" s="2">
        <v>25.13</v>
      </c>
      <c r="F13115" s="2">
        <v>1</v>
      </c>
      <c r="G13115" s="2" t="s">
        <v>9</v>
      </c>
    </row>
    <row r="13116" spans="1:7" x14ac:dyDescent="0.2">
      <c r="A13116" s="2" t="s">
        <v>3404</v>
      </c>
      <c r="B13116" s="2" t="s">
        <v>201</v>
      </c>
      <c r="C13116" s="2">
        <v>1065.4870000000001</v>
      </c>
      <c r="D13116" s="2">
        <f>HYPERLINK("http://mcb-m6.bioreg.kyushu-u.ac.jp/M3/20110411/F50890/1268/1", 48.61)</f>
        <v>48.61</v>
      </c>
      <c r="E13116" s="2">
        <v>19.05</v>
      </c>
      <c r="F13116" s="2">
        <v>1</v>
      </c>
      <c r="G13116" s="2" t="s">
        <v>9</v>
      </c>
    </row>
    <row r="13117" spans="1:7" x14ac:dyDescent="0.2">
      <c r="A13117" s="2" t="s">
        <v>3404</v>
      </c>
      <c r="B13117" s="2" t="s">
        <v>201</v>
      </c>
      <c r="C13117" s="2">
        <v>1065.865</v>
      </c>
      <c r="D13117" s="2">
        <f>HYPERLINK("http://mcb-m6.bioreg.kyushu-u.ac.jp/M3/20110411/F50904/1232/1", 49.28)</f>
        <v>49.28</v>
      </c>
      <c r="E13117" s="2">
        <v>13.86</v>
      </c>
      <c r="F13117" s="2">
        <v>1</v>
      </c>
      <c r="G13117" s="2" t="s">
        <v>9</v>
      </c>
    </row>
    <row r="13118" spans="1:7" x14ac:dyDescent="0.2">
      <c r="A13118" s="2" t="s">
        <v>3404</v>
      </c>
      <c r="B13118" s="2" t="s">
        <v>201</v>
      </c>
      <c r="C13118" s="2">
        <v>533.15520000000004</v>
      </c>
      <c r="D13118" s="2">
        <f>HYPERLINK("http://mcb-m6.bioreg.kyushu-u.ac.jp/M3/20110411/F50894/1535/1", 53.84)</f>
        <v>53.84</v>
      </c>
      <c r="E13118" s="2">
        <v>29.71</v>
      </c>
      <c r="F13118" s="2">
        <v>2</v>
      </c>
      <c r="G13118" s="2" t="s">
        <v>9</v>
      </c>
    </row>
    <row r="13119" spans="1:7" x14ac:dyDescent="0.2">
      <c r="A13119" s="2" t="s">
        <v>3404</v>
      </c>
      <c r="B13119" s="2" t="s">
        <v>201</v>
      </c>
      <c r="C13119" s="2">
        <v>1065.501</v>
      </c>
      <c r="D13119" s="2">
        <f>HYPERLINK("http://mcb-m6.bioreg.kyushu-u.ac.jp/M3/20110411/F50920/783/1", 40.21)</f>
        <v>40.21</v>
      </c>
      <c r="E13119" s="2">
        <v>13.88</v>
      </c>
      <c r="F13119" s="2">
        <v>1</v>
      </c>
      <c r="G13119" s="2" t="s">
        <v>10</v>
      </c>
    </row>
    <row r="13120" spans="1:7" x14ac:dyDescent="0.2">
      <c r="A13120" s="2" t="s">
        <v>3404</v>
      </c>
      <c r="B13120" s="2" t="s">
        <v>201</v>
      </c>
      <c r="C13120" s="2">
        <v>1065.617</v>
      </c>
      <c r="D13120" s="2">
        <f>HYPERLINK("http://mcb-m6.bioreg.kyushu-u.ac.jp/M3/20110411/F50900/1451/1", 43.34)</f>
        <v>43.34</v>
      </c>
      <c r="E13120" s="2">
        <v>12.95</v>
      </c>
      <c r="F13120" s="2">
        <v>1</v>
      </c>
      <c r="G13120" s="2" t="s">
        <v>10</v>
      </c>
    </row>
    <row r="13121" spans="1:7" x14ac:dyDescent="0.2">
      <c r="A13121" s="2" t="s">
        <v>3404</v>
      </c>
      <c r="B13121" s="2" t="s">
        <v>201</v>
      </c>
      <c r="C13121" s="2">
        <v>1066.598</v>
      </c>
      <c r="D13121" s="2">
        <f>HYPERLINK("http://mcb-m6.bioreg.kyushu-u.ac.jp/M3/20110411/F50899/1672/1", 45.45)</f>
        <v>45.45</v>
      </c>
      <c r="E13121" s="2">
        <v>23.08</v>
      </c>
      <c r="F13121" s="2">
        <v>1</v>
      </c>
      <c r="G13121" s="2" t="s">
        <v>10</v>
      </c>
    </row>
    <row r="13122" spans="1:7" x14ac:dyDescent="0.2">
      <c r="A13122" s="2" t="s">
        <v>3404</v>
      </c>
      <c r="B13122" s="2" t="s">
        <v>201</v>
      </c>
      <c r="C13122" s="2">
        <v>1065.73</v>
      </c>
      <c r="D13122" s="2">
        <f>HYPERLINK("http://mcb-m6.bioreg.kyushu-u.ac.jp/M3/20110411/F50902/1244/1", 45.52)</f>
        <v>45.52</v>
      </c>
      <c r="E13122" s="2">
        <v>18.12</v>
      </c>
      <c r="F13122" s="2">
        <v>1</v>
      </c>
      <c r="G13122" s="2" t="s">
        <v>10</v>
      </c>
    </row>
    <row r="13123" spans="1:7" x14ac:dyDescent="0.2">
      <c r="A13123" s="2" t="s">
        <v>3404</v>
      </c>
      <c r="B13123" s="2" t="s">
        <v>201</v>
      </c>
      <c r="C13123" s="2">
        <v>1065.7380000000001</v>
      </c>
      <c r="D13123" s="2">
        <f>HYPERLINK("http://mcb-m6.bioreg.kyushu-u.ac.jp/M3/20110411/F50912/1202/1", 46.16)</f>
        <v>46.16</v>
      </c>
      <c r="E13123" s="2">
        <v>11.69</v>
      </c>
      <c r="F13123" s="2">
        <v>1</v>
      </c>
      <c r="G13123" s="2" t="s">
        <v>10</v>
      </c>
    </row>
    <row r="13124" spans="1:7" x14ac:dyDescent="0.2">
      <c r="A13124" s="2" t="s">
        <v>3404</v>
      </c>
      <c r="B13124" s="2" t="s">
        <v>201</v>
      </c>
      <c r="C13124" s="2">
        <v>1065.6079999999999</v>
      </c>
      <c r="D13124" s="2">
        <f>HYPERLINK("http://mcb-m6.bioreg.kyushu-u.ac.jp/M3/20110411/F50899/1669/1", 49.13)</f>
        <v>49.13</v>
      </c>
      <c r="E13124" s="2">
        <v>18.670000000000002</v>
      </c>
      <c r="F13124" s="2">
        <v>1</v>
      </c>
      <c r="G13124" s="2" t="s">
        <v>10</v>
      </c>
    </row>
    <row r="13125" spans="1:7" x14ac:dyDescent="0.2">
      <c r="A13125" s="2" t="s">
        <v>3404</v>
      </c>
      <c r="B13125" s="2" t="s">
        <v>201</v>
      </c>
      <c r="C13125" s="2">
        <v>533.77869999999996</v>
      </c>
      <c r="D13125" s="2">
        <f>HYPERLINK("http://mcb-m6.bioreg.kyushu-u.ac.jp/M3/20110411/F50900/1452/1", 50.02)</f>
        <v>50.02</v>
      </c>
      <c r="E13125" s="2">
        <v>20.34</v>
      </c>
      <c r="F13125" s="2">
        <v>2</v>
      </c>
      <c r="G13125" s="2" t="s">
        <v>10</v>
      </c>
    </row>
    <row r="13126" spans="1:7" x14ac:dyDescent="0.2">
      <c r="A13126" s="2" t="s">
        <v>3404</v>
      </c>
      <c r="B13126" s="2" t="s">
        <v>201</v>
      </c>
      <c r="C13126" s="2">
        <v>533.32709999999997</v>
      </c>
      <c r="D13126" s="2">
        <f>HYPERLINK("http://mcb-m6.bioreg.kyushu-u.ac.jp/M3/20110411/F50901/1320/1", 52.33)</f>
        <v>52.33</v>
      </c>
      <c r="E13126" s="2">
        <v>22.25</v>
      </c>
      <c r="F13126" s="2">
        <v>2</v>
      </c>
      <c r="G13126" s="2" t="s">
        <v>10</v>
      </c>
    </row>
    <row r="13127" spans="1:7" x14ac:dyDescent="0.2">
      <c r="A13127" s="2" t="s">
        <v>3404</v>
      </c>
      <c r="B13127" s="2" t="s">
        <v>201</v>
      </c>
      <c r="C13127" s="2">
        <v>1065.7829999999999</v>
      </c>
      <c r="D13127" s="2">
        <f>HYPERLINK("http://mcb-m6.bioreg.kyushu-u.ac.jp/M3/20110411/F50913/1146/1", 53.28)</f>
        <v>53.28</v>
      </c>
      <c r="E13127" s="2">
        <v>22.39</v>
      </c>
      <c r="F13127" s="2">
        <v>1</v>
      </c>
      <c r="G13127" s="2" t="s">
        <v>10</v>
      </c>
    </row>
    <row r="13128" spans="1:7" x14ac:dyDescent="0.2">
      <c r="A13128" s="2" t="s">
        <v>3404</v>
      </c>
      <c r="B13128" s="2" t="s">
        <v>201</v>
      </c>
      <c r="C13128" s="2">
        <v>1065.06</v>
      </c>
      <c r="D13128" s="2">
        <f>HYPERLINK("http://mcb-m6.bioreg.kyushu-u.ac.jp/M3/20110414/F50949/1752/1", 35.81)</f>
        <v>35.81</v>
      </c>
      <c r="E13128" s="2">
        <v>9.16</v>
      </c>
      <c r="F13128" s="2">
        <v>1</v>
      </c>
      <c r="G13128" s="2" t="s">
        <v>12</v>
      </c>
    </row>
    <row r="13129" spans="1:7" x14ac:dyDescent="0.2">
      <c r="A13129" s="2" t="s">
        <v>3404</v>
      </c>
      <c r="B13129" s="2" t="s">
        <v>201</v>
      </c>
      <c r="C13129" s="2">
        <v>533.35609999999997</v>
      </c>
      <c r="D13129" s="2">
        <f>HYPERLINK("http://mcb-m6.bioreg.kyushu-u.ac.jp/M3/20110414/F50933/1601/1", 37.81)</f>
        <v>37.81</v>
      </c>
      <c r="E13129" s="2">
        <v>21.33</v>
      </c>
      <c r="F13129" s="2">
        <v>2</v>
      </c>
      <c r="G13129" s="2" t="s">
        <v>12</v>
      </c>
    </row>
    <row r="13130" spans="1:7" x14ac:dyDescent="0.2">
      <c r="A13130" s="2" t="s">
        <v>3404</v>
      </c>
      <c r="B13130" s="2" t="s">
        <v>201</v>
      </c>
      <c r="C13130" s="2">
        <v>533.25710000000004</v>
      </c>
      <c r="D13130" s="2">
        <f>HYPERLINK("http://mcb-m6.bioreg.kyushu-u.ac.jp/M3/20110414/F50933/1598/1", 51.17)</f>
        <v>51.17</v>
      </c>
      <c r="E13130" s="2">
        <v>27.87</v>
      </c>
      <c r="F13130" s="2">
        <v>2</v>
      </c>
      <c r="G13130" s="2" t="s">
        <v>12</v>
      </c>
    </row>
    <row r="13131" spans="1:7" x14ac:dyDescent="0.2">
      <c r="A13131" s="2" t="s">
        <v>3404</v>
      </c>
      <c r="B13131" s="2" t="s">
        <v>201</v>
      </c>
      <c r="C13131" s="2">
        <v>533.41560000000004</v>
      </c>
      <c r="D13131" s="2">
        <f>HYPERLINK("http://mcb-m6.bioreg.kyushu-u.ac.jp/M3/20110502/F51168/1310/1", 48.15)</f>
        <v>48.15</v>
      </c>
      <c r="E13131" s="2">
        <v>23.15</v>
      </c>
      <c r="F13131" s="2">
        <v>2</v>
      </c>
      <c r="G13131" s="2" t="s">
        <v>13</v>
      </c>
    </row>
    <row r="13132" spans="1:7" x14ac:dyDescent="0.2">
      <c r="A13132" s="2" t="s">
        <v>3404</v>
      </c>
      <c r="B13132" s="2" t="s">
        <v>201</v>
      </c>
      <c r="C13132" s="2">
        <v>533.41309999999999</v>
      </c>
      <c r="D13132" s="2">
        <f>HYPERLINK("http://mcb-m6.bioreg.kyushu-u.ac.jp/M3/20110502/F51174/1248/1", 56.46)</f>
        <v>56.46</v>
      </c>
      <c r="E13132" s="2">
        <v>28.08</v>
      </c>
      <c r="F13132" s="2">
        <v>2</v>
      </c>
      <c r="G13132" s="2" t="s">
        <v>13</v>
      </c>
    </row>
    <row r="13133" spans="1:7" x14ac:dyDescent="0.2">
      <c r="A13133" s="2" t="s">
        <v>3404</v>
      </c>
      <c r="B13133" s="2" t="s">
        <v>201</v>
      </c>
      <c r="C13133" s="2">
        <v>533.3732</v>
      </c>
      <c r="D13133" s="2">
        <f>HYPERLINK("http://mcb-m6.bioreg.kyushu-u.ac.jp/M3/20110502/F51169/1312/1", 59.05)</f>
        <v>59.05</v>
      </c>
      <c r="E13133" s="2">
        <v>34.92</v>
      </c>
      <c r="F13133" s="2">
        <v>2</v>
      </c>
      <c r="G13133" s="2" t="s">
        <v>13</v>
      </c>
    </row>
    <row r="13134" spans="1:7" x14ac:dyDescent="0.2">
      <c r="A13134" s="2" t="s">
        <v>3404</v>
      </c>
      <c r="B13134" s="2" t="s">
        <v>201</v>
      </c>
      <c r="C13134" s="2">
        <v>1066.1980000000001</v>
      </c>
      <c r="D13134" s="2">
        <f>HYPERLINK("http://mcb-m6.bioreg.kyushu-u.ac.jp/M3/20110502/F51177/798/1", 45.89)</f>
        <v>45.89</v>
      </c>
      <c r="E13134" s="2">
        <v>14.79</v>
      </c>
      <c r="F13134" s="2">
        <v>1</v>
      </c>
      <c r="G13134" s="2" t="s">
        <v>14</v>
      </c>
    </row>
    <row r="13135" spans="1:7" x14ac:dyDescent="0.2">
      <c r="A13135" s="2" t="s">
        <v>3404</v>
      </c>
      <c r="B13135" s="2" t="s">
        <v>201</v>
      </c>
      <c r="C13135" s="2">
        <v>533.44759999999997</v>
      </c>
      <c r="D13135" s="2">
        <f>HYPERLINK("http://mcb-m6.bioreg.kyushu-u.ac.jp/M3/20110502/F51177/795/1", 62.41)</f>
        <v>62.41</v>
      </c>
      <c r="E13135" s="2">
        <v>34.090000000000003</v>
      </c>
      <c r="F13135" s="2">
        <v>2</v>
      </c>
      <c r="G13135" s="2" t="s">
        <v>14</v>
      </c>
    </row>
    <row r="13136" spans="1:7" x14ac:dyDescent="0.2">
      <c r="A13136" s="2" t="s">
        <v>3564</v>
      </c>
      <c r="B13136" s="2" t="s">
        <v>427</v>
      </c>
      <c r="C13136" s="2">
        <v>1477.133</v>
      </c>
      <c r="D13136" s="2">
        <f>HYPERLINK("http://mcb-m6.bioreg.kyushu-u.ac.jp/M3/20110411/F50893/2166/2", 41.64)</f>
        <v>41.64</v>
      </c>
      <c r="E13136" s="2">
        <v>16.350000000000001</v>
      </c>
      <c r="F13136" s="2">
        <v>1</v>
      </c>
      <c r="G13136" s="2" t="s">
        <v>9</v>
      </c>
    </row>
    <row r="13137" spans="1:7" x14ac:dyDescent="0.2">
      <c r="A13137" s="2" t="s">
        <v>3564</v>
      </c>
      <c r="B13137" s="2" t="s">
        <v>427</v>
      </c>
      <c r="C13137" s="2">
        <v>739.10059999999999</v>
      </c>
      <c r="D13137" s="2">
        <f>HYPERLINK("http://mcb-m6.bioreg.kyushu-u.ac.jp/M3/20110411/F50916/1900/1", 58.37)</f>
        <v>58.37</v>
      </c>
      <c r="E13137" s="2">
        <v>1.1299999999999999</v>
      </c>
      <c r="F13137" s="2">
        <v>2</v>
      </c>
      <c r="G13137" s="2" t="s">
        <v>9</v>
      </c>
    </row>
    <row r="13138" spans="1:7" x14ac:dyDescent="0.2">
      <c r="A13138" s="2" t="s">
        <v>3564</v>
      </c>
      <c r="B13138" s="2" t="s">
        <v>427</v>
      </c>
      <c r="C13138" s="2">
        <v>739.13570000000004</v>
      </c>
      <c r="D13138" s="2">
        <f>HYPERLINK("http://mcb-m6.bioreg.kyushu-u.ac.jp/M3/20110411/F50911/2082/1", 94.69)</f>
        <v>94.69</v>
      </c>
      <c r="E13138" s="2">
        <v>8.77</v>
      </c>
      <c r="F13138" s="2">
        <v>2</v>
      </c>
      <c r="G13138" s="2" t="s">
        <v>9</v>
      </c>
    </row>
    <row r="13139" spans="1:7" x14ac:dyDescent="0.2">
      <c r="A13139" s="2" t="s">
        <v>3564</v>
      </c>
      <c r="B13139" s="2" t="s">
        <v>427</v>
      </c>
      <c r="C13139" s="2">
        <v>739.18409999999994</v>
      </c>
      <c r="D13139" s="2">
        <f>HYPERLINK("http://mcb-m6.bioreg.kyushu-u.ac.jp/M3/20110411/F50896/2133/1", 64.6)</f>
        <v>64.599999999999994</v>
      </c>
      <c r="E13139" s="2">
        <v>1.98</v>
      </c>
      <c r="F13139" s="2">
        <v>2</v>
      </c>
      <c r="G13139" s="2" t="s">
        <v>10</v>
      </c>
    </row>
    <row r="13140" spans="1:7" x14ac:dyDescent="0.2">
      <c r="A13140" s="2" t="s">
        <v>3564</v>
      </c>
      <c r="B13140" s="2" t="s">
        <v>427</v>
      </c>
      <c r="C13140" s="2">
        <v>739.45169999999996</v>
      </c>
      <c r="D13140" s="2">
        <f>HYPERLINK("http://mcb-m6.bioreg.kyushu-u.ac.jp/M3/20110411/F50900/2135/1", 66.65)</f>
        <v>66.650000000000006</v>
      </c>
      <c r="E13140" s="2">
        <v>14.48</v>
      </c>
      <c r="F13140" s="2">
        <v>2</v>
      </c>
      <c r="G13140" s="2" t="s">
        <v>10</v>
      </c>
    </row>
    <row r="13141" spans="1:7" x14ac:dyDescent="0.2">
      <c r="A13141" s="2" t="s">
        <v>3564</v>
      </c>
      <c r="B13141" s="2" t="s">
        <v>427</v>
      </c>
      <c r="C13141" s="2">
        <v>739.00819999999999</v>
      </c>
      <c r="D13141" s="2">
        <f>HYPERLINK("http://mcb-m6.bioreg.kyushu-u.ac.jp/M3/20110411/F50913/2004/1", 67.09)</f>
        <v>67.09</v>
      </c>
      <c r="E13141" s="2">
        <v>1.43</v>
      </c>
      <c r="F13141" s="2">
        <v>2</v>
      </c>
      <c r="G13141" s="2" t="s">
        <v>10</v>
      </c>
    </row>
    <row r="13142" spans="1:7" x14ac:dyDescent="0.2">
      <c r="A13142" s="2" t="s">
        <v>3564</v>
      </c>
      <c r="B13142" s="2" t="s">
        <v>427</v>
      </c>
      <c r="C13142" s="2">
        <v>738.55219999999997</v>
      </c>
      <c r="D13142" s="2">
        <f>HYPERLINK("http://mcb-m6.bioreg.kyushu-u.ac.jp/M3/20110411/F50901/2024/2", 83.18)</f>
        <v>83.18</v>
      </c>
      <c r="E13142" s="2">
        <v>4.8</v>
      </c>
      <c r="F13142" s="2">
        <v>2</v>
      </c>
      <c r="G13142" s="2" t="s">
        <v>10</v>
      </c>
    </row>
    <row r="13143" spans="1:7" x14ac:dyDescent="0.2">
      <c r="A13143" s="2" t="s">
        <v>3564</v>
      </c>
      <c r="B13143" s="2" t="s">
        <v>427</v>
      </c>
      <c r="C13143" s="2">
        <v>739.13570000000004</v>
      </c>
      <c r="D13143" s="2">
        <f>HYPERLINK("http://mcb-m6.bioreg.kyushu-u.ac.jp/M3/20110411/F50912/2022/2", 86.97)</f>
        <v>86.97</v>
      </c>
      <c r="E13143" s="2">
        <v>49.7</v>
      </c>
      <c r="F13143" s="2">
        <v>2</v>
      </c>
      <c r="G13143" s="2" t="s">
        <v>10</v>
      </c>
    </row>
    <row r="13144" spans="1:7" x14ac:dyDescent="0.2">
      <c r="A13144" s="2" t="s">
        <v>3564</v>
      </c>
      <c r="B13144" s="2" t="s">
        <v>427</v>
      </c>
      <c r="C13144" s="2">
        <v>739.00519999999995</v>
      </c>
      <c r="D13144" s="2">
        <f>HYPERLINK("http://mcb-m6.bioreg.kyushu-u.ac.jp/M3/20110502/F51168/2024/1", 70.57)</f>
        <v>70.569999999999993</v>
      </c>
      <c r="E13144" s="2">
        <v>5.16</v>
      </c>
      <c r="F13144" s="2">
        <v>2</v>
      </c>
      <c r="G13144" s="2" t="s">
        <v>13</v>
      </c>
    </row>
    <row r="13145" spans="1:7" x14ac:dyDescent="0.2">
      <c r="A13145" s="2" t="s">
        <v>3564</v>
      </c>
      <c r="B13145" s="2" t="s">
        <v>427</v>
      </c>
      <c r="C13145" s="2">
        <v>739.13620000000003</v>
      </c>
      <c r="D13145" s="2">
        <f>HYPERLINK("http://mcb-m6.bioreg.kyushu-u.ac.jp/M3/20110502/F51172/2080/2", 76.33)</f>
        <v>76.33</v>
      </c>
      <c r="E13145" s="2">
        <v>44.33</v>
      </c>
      <c r="F13145" s="2">
        <v>2</v>
      </c>
      <c r="G13145" s="2" t="s">
        <v>13</v>
      </c>
    </row>
    <row r="13146" spans="1:7" x14ac:dyDescent="0.2">
      <c r="A13146" s="2" t="s">
        <v>3564</v>
      </c>
      <c r="B13146" s="2" t="s">
        <v>427</v>
      </c>
      <c r="C13146" s="2">
        <v>738.85860000000002</v>
      </c>
      <c r="D13146" s="2">
        <f>HYPERLINK("http://mcb-m6.bioreg.kyushu-u.ac.jp/M3/20110502/F51173/1784/1", 89.14)</f>
        <v>89.14</v>
      </c>
      <c r="E13146" s="2">
        <v>9.99</v>
      </c>
      <c r="F13146" s="2">
        <v>2</v>
      </c>
      <c r="G13146" s="2" t="s">
        <v>13</v>
      </c>
    </row>
    <row r="13147" spans="1:7" x14ac:dyDescent="0.2">
      <c r="A13147" s="2" t="s">
        <v>3564</v>
      </c>
      <c r="B13147" s="2" t="s">
        <v>427</v>
      </c>
      <c r="C13147" s="2">
        <v>738.56870000000004</v>
      </c>
      <c r="D13147" s="2">
        <f>HYPERLINK("http://mcb-m6.bioreg.kyushu-u.ac.jp/M3/20110502/F51178/2084/1", 64.11)</f>
        <v>64.11</v>
      </c>
      <c r="E13147" s="2">
        <v>6.5</v>
      </c>
      <c r="F13147" s="2">
        <v>2</v>
      </c>
      <c r="G13147" s="2" t="s">
        <v>14</v>
      </c>
    </row>
    <row r="13148" spans="1:7" x14ac:dyDescent="0.2">
      <c r="A13148" s="2" t="s">
        <v>3564</v>
      </c>
      <c r="B13148" s="2" t="s">
        <v>427</v>
      </c>
      <c r="C13148" s="2">
        <v>739.05409999999995</v>
      </c>
      <c r="D13148" s="2">
        <f>HYPERLINK("http://mcb-m6.bioreg.kyushu-u.ac.jp/M3/20110502/F51184/1834/1", 71.43)</f>
        <v>71.430000000000007</v>
      </c>
      <c r="E13148" s="2">
        <v>3.43</v>
      </c>
      <c r="F13148" s="2">
        <v>2</v>
      </c>
      <c r="G13148" s="2" t="s">
        <v>14</v>
      </c>
    </row>
    <row r="13149" spans="1:7" x14ac:dyDescent="0.2">
      <c r="A13149" s="2" t="s">
        <v>3564</v>
      </c>
      <c r="B13149" s="2" t="s">
        <v>427</v>
      </c>
      <c r="C13149" s="2">
        <v>739.06960000000004</v>
      </c>
      <c r="D13149" s="2">
        <f>HYPERLINK("http://mcb-m6.bioreg.kyushu-u.ac.jp/M3/20110502/F51177/1819/1", 80.12)</f>
        <v>80.12</v>
      </c>
      <c r="E13149" s="2">
        <v>8.07</v>
      </c>
      <c r="F13149" s="2">
        <v>2</v>
      </c>
      <c r="G13149" s="2" t="s">
        <v>14</v>
      </c>
    </row>
    <row r="13150" spans="1:7" x14ac:dyDescent="0.2">
      <c r="A13150" s="2" t="s">
        <v>3564</v>
      </c>
      <c r="B13150" s="2" t="s">
        <v>427</v>
      </c>
      <c r="C13150" s="2">
        <v>738.97270000000003</v>
      </c>
      <c r="D13150" s="2">
        <f>HYPERLINK("http://mcb-m6.bioreg.kyushu-u.ac.jp/M3/20110502/F51186/1851/1", 80.58)</f>
        <v>80.58</v>
      </c>
      <c r="E13150" s="2">
        <v>1.95</v>
      </c>
      <c r="F13150" s="2">
        <v>2</v>
      </c>
      <c r="G13150" s="2" t="s">
        <v>14</v>
      </c>
    </row>
    <row r="13151" spans="1:7" x14ac:dyDescent="0.2">
      <c r="A13151" s="2" t="s">
        <v>3564</v>
      </c>
      <c r="B13151" s="2" t="s">
        <v>427</v>
      </c>
      <c r="C13151" s="2">
        <v>738.78769999999997</v>
      </c>
      <c r="D13151" s="2">
        <f>HYPERLINK("http://mcb-m6.bioreg.kyushu-u.ac.jp/M3/20110502/F51185/1880/1", 84.47)</f>
        <v>84.47</v>
      </c>
      <c r="E13151" s="2">
        <v>1.28</v>
      </c>
      <c r="F13151" s="2">
        <v>2</v>
      </c>
      <c r="G13151" s="2" t="s">
        <v>14</v>
      </c>
    </row>
    <row r="13152" spans="1:7" x14ac:dyDescent="0.2">
      <c r="A13152" s="2" t="s">
        <v>3564</v>
      </c>
      <c r="B13152" s="2" t="s">
        <v>427</v>
      </c>
      <c r="C13152" s="2">
        <v>738.80520000000001</v>
      </c>
      <c r="D13152" s="2">
        <f>HYPERLINK("http://mcb-m6.bioreg.kyushu-u.ac.jp/M3/20110502/F51183/1890/2", 98.72)</f>
        <v>98.72</v>
      </c>
      <c r="E13152" s="2">
        <v>13.46</v>
      </c>
      <c r="F13152" s="2">
        <v>2</v>
      </c>
      <c r="G13152" s="2" t="s">
        <v>14</v>
      </c>
    </row>
    <row r="13153" spans="1:7" x14ac:dyDescent="0.2">
      <c r="A13153" s="2" t="s">
        <v>3373</v>
      </c>
      <c r="B13153" s="2" t="s">
        <v>165</v>
      </c>
      <c r="C13153" s="2">
        <v>679.60860000000002</v>
      </c>
      <c r="D13153" s="2">
        <f>HYPERLINK("http://mcb-m6.bioreg.kyushu-u.ac.jp/M3/20110411/F50911/1746/1", 37.09)</f>
        <v>37.090000000000003</v>
      </c>
      <c r="E13153" s="2">
        <v>10.01</v>
      </c>
      <c r="F13153" s="2">
        <v>2</v>
      </c>
      <c r="G13153" s="2" t="s">
        <v>9</v>
      </c>
    </row>
    <row r="13154" spans="1:7" x14ac:dyDescent="0.2">
      <c r="A13154" s="2" t="s">
        <v>3373</v>
      </c>
      <c r="B13154" s="2" t="s">
        <v>165</v>
      </c>
      <c r="C13154" s="2">
        <v>679.29520000000002</v>
      </c>
      <c r="D13154" s="2">
        <f>HYPERLINK("http://mcb-m6.bioreg.kyushu-u.ac.jp/M3/20110411/F50891/1746/1", 37.91)</f>
        <v>37.909999999999997</v>
      </c>
      <c r="E13154" s="2">
        <v>15.88</v>
      </c>
      <c r="F13154" s="2">
        <v>2</v>
      </c>
      <c r="G13154" s="2" t="s">
        <v>9</v>
      </c>
    </row>
    <row r="13155" spans="1:7" x14ac:dyDescent="0.2">
      <c r="A13155" s="2" t="s">
        <v>3373</v>
      </c>
      <c r="B13155" s="2" t="s">
        <v>165</v>
      </c>
      <c r="C13155" s="2">
        <v>679.32569999999998</v>
      </c>
      <c r="D13155" s="2">
        <f>HYPERLINK("http://mcb-m6.bioreg.kyushu-u.ac.jp/M3/20110411/F50920/1259/1", 36.26)</f>
        <v>36.26</v>
      </c>
      <c r="E13155" s="2">
        <v>16.36</v>
      </c>
      <c r="F13155" s="2">
        <v>2</v>
      </c>
      <c r="G13155" s="2" t="s">
        <v>10</v>
      </c>
    </row>
    <row r="13156" spans="1:7" x14ac:dyDescent="0.2">
      <c r="A13156" s="2" t="s">
        <v>3373</v>
      </c>
      <c r="B13156" s="2" t="s">
        <v>165</v>
      </c>
      <c r="C13156" s="2">
        <v>679.56370000000004</v>
      </c>
      <c r="D13156" s="2">
        <f>HYPERLINK("http://mcb-m6.bioreg.kyushu-u.ac.jp/M3/20110502/F51177/1435/1", 38.67)</f>
        <v>38.67</v>
      </c>
      <c r="E13156" s="2">
        <v>8.51</v>
      </c>
      <c r="F13156" s="2">
        <v>2</v>
      </c>
      <c r="G13156" s="2" t="s">
        <v>14</v>
      </c>
    </row>
    <row r="13157" spans="1:7" x14ac:dyDescent="0.2">
      <c r="A13157" s="2" t="s">
        <v>3380</v>
      </c>
      <c r="B13157" s="2" t="s">
        <v>172</v>
      </c>
      <c r="C13157" s="2">
        <v>738.7731</v>
      </c>
      <c r="D13157" s="2">
        <f>HYPERLINK("http://mcb-m6.bioreg.kyushu-u.ac.jp/M3/20110411/F50891/2073/1", 37.2)</f>
        <v>37.200000000000003</v>
      </c>
      <c r="E13157" s="2">
        <v>29.07</v>
      </c>
      <c r="F13157" s="2">
        <v>2</v>
      </c>
      <c r="G13157" s="2" t="s">
        <v>9</v>
      </c>
    </row>
    <row r="13158" spans="1:7" x14ac:dyDescent="0.2">
      <c r="A13158" s="2" t="s">
        <v>3380</v>
      </c>
      <c r="B13158" s="2" t="s">
        <v>172</v>
      </c>
      <c r="C13158" s="2">
        <v>738.37369999999999</v>
      </c>
      <c r="D13158" s="2">
        <f>HYPERLINK("http://mcb-m6.bioreg.kyushu-u.ac.jp/M3/20110411/F50891/2071/1", 42.85)</f>
        <v>42.85</v>
      </c>
      <c r="E13158" s="2">
        <v>21.35</v>
      </c>
      <c r="F13158" s="2">
        <v>2</v>
      </c>
      <c r="G13158" s="2" t="s">
        <v>9</v>
      </c>
    </row>
    <row r="13159" spans="1:7" x14ac:dyDescent="0.2">
      <c r="A13159" s="2" t="s">
        <v>3380</v>
      </c>
      <c r="B13159" s="2" t="s">
        <v>172</v>
      </c>
      <c r="C13159" s="2">
        <v>738.72360000000003</v>
      </c>
      <c r="D13159" s="2">
        <f>HYPERLINK("http://mcb-m6.bioreg.kyushu-u.ac.jp/M3/20110411/F50893/2162/1", 44.83)</f>
        <v>44.83</v>
      </c>
      <c r="E13159" s="2">
        <v>11.5</v>
      </c>
      <c r="F13159" s="2">
        <v>2</v>
      </c>
      <c r="G13159" s="2" t="s">
        <v>9</v>
      </c>
    </row>
    <row r="13160" spans="1:7" x14ac:dyDescent="0.2">
      <c r="A13160" s="2" t="s">
        <v>3380</v>
      </c>
      <c r="B13160" s="2" t="s">
        <v>172</v>
      </c>
      <c r="C13160" s="2">
        <v>1475.5630000000001</v>
      </c>
      <c r="D13160" s="2">
        <f>HYPERLINK("http://mcb-m6.bioreg.kyushu-u.ac.jp/M3/20110411/F50891/2069/1", 54.23)</f>
        <v>54.23</v>
      </c>
      <c r="E13160" s="2">
        <v>35.85</v>
      </c>
      <c r="F13160" s="2">
        <v>1</v>
      </c>
      <c r="G13160" s="2" t="s">
        <v>9</v>
      </c>
    </row>
    <row r="13161" spans="1:7" x14ac:dyDescent="0.2">
      <c r="A13161" s="2" t="s">
        <v>3380</v>
      </c>
      <c r="B13161" s="2" t="s">
        <v>172</v>
      </c>
      <c r="C13161" s="2">
        <v>1475.857</v>
      </c>
      <c r="D13161" s="2">
        <f>HYPERLINK("http://mcb-m6.bioreg.kyushu-u.ac.jp/M3/20110411/F50905/2024/1", 55.28)</f>
        <v>55.28</v>
      </c>
      <c r="E13161" s="2">
        <v>6.15</v>
      </c>
      <c r="F13161" s="2">
        <v>1</v>
      </c>
      <c r="G13161" s="2" t="s">
        <v>9</v>
      </c>
    </row>
    <row r="13162" spans="1:7" x14ac:dyDescent="0.2">
      <c r="A13162" s="2" t="s">
        <v>3380</v>
      </c>
      <c r="B13162" s="2" t="s">
        <v>172</v>
      </c>
      <c r="C13162" s="2">
        <v>738.3107</v>
      </c>
      <c r="D13162" s="2">
        <f>HYPERLINK("http://mcb-m6.bioreg.kyushu-u.ac.jp/M3/20110411/F50891/2070/1", 57.69)</f>
        <v>57.69</v>
      </c>
      <c r="E13162" s="2">
        <v>38.22</v>
      </c>
      <c r="F13162" s="2">
        <v>2</v>
      </c>
      <c r="G13162" s="2" t="s">
        <v>9</v>
      </c>
    </row>
    <row r="13163" spans="1:7" x14ac:dyDescent="0.2">
      <c r="A13163" s="2" t="s">
        <v>3380</v>
      </c>
      <c r="B13163" s="2" t="s">
        <v>172</v>
      </c>
      <c r="C13163" s="2">
        <v>738.54570000000001</v>
      </c>
      <c r="D13163" s="2">
        <f>HYPERLINK("http://mcb-m6.bioreg.kyushu-u.ac.jp/M3/20110411/F50895/2075/1", 61.18)</f>
        <v>61.18</v>
      </c>
      <c r="E13163" s="2">
        <v>10.02</v>
      </c>
      <c r="F13163" s="2">
        <v>2</v>
      </c>
      <c r="G13163" s="2" t="s">
        <v>9</v>
      </c>
    </row>
    <row r="13164" spans="1:7" x14ac:dyDescent="0.2">
      <c r="A13164" s="2" t="s">
        <v>3380</v>
      </c>
      <c r="B13164" s="2" t="s">
        <v>172</v>
      </c>
      <c r="C13164" s="2">
        <v>738.38019999999995</v>
      </c>
      <c r="D13164" s="2">
        <f>HYPERLINK("http://mcb-m6.bioreg.kyushu-u.ac.jp/M3/20110411/F50892/2199/1", 74.39)</f>
        <v>74.39</v>
      </c>
      <c r="E13164" s="2">
        <v>48.91</v>
      </c>
      <c r="F13164" s="2">
        <v>2</v>
      </c>
      <c r="G13164" s="2" t="s">
        <v>9</v>
      </c>
    </row>
    <row r="13165" spans="1:7" x14ac:dyDescent="0.2">
      <c r="A13165" s="2" t="s">
        <v>3380</v>
      </c>
      <c r="B13165" s="2" t="s">
        <v>172</v>
      </c>
      <c r="C13165" s="2">
        <v>738.32820000000004</v>
      </c>
      <c r="D13165" s="2">
        <f>HYPERLINK("http://mcb-m6.bioreg.kyushu-u.ac.jp/M3/20110411/F50890/2176/1", 79.02)</f>
        <v>79.02</v>
      </c>
      <c r="E13165" s="2">
        <v>51.09</v>
      </c>
      <c r="F13165" s="2">
        <v>2</v>
      </c>
      <c r="G13165" s="2" t="s">
        <v>9</v>
      </c>
    </row>
    <row r="13166" spans="1:7" x14ac:dyDescent="0.2">
      <c r="A13166" s="2" t="s">
        <v>3380</v>
      </c>
      <c r="B13166" s="2" t="s">
        <v>172</v>
      </c>
      <c r="C13166" s="2">
        <v>738.54169999999999</v>
      </c>
      <c r="D13166" s="2">
        <f>HYPERLINK("http://mcb-m6.bioreg.kyushu-u.ac.jp/M3/20110411/F50894/2229/1", 82.16)</f>
        <v>82.16</v>
      </c>
      <c r="E13166" s="2">
        <v>11.42</v>
      </c>
      <c r="F13166" s="2">
        <v>2</v>
      </c>
      <c r="G13166" s="2" t="s">
        <v>9</v>
      </c>
    </row>
    <row r="13167" spans="1:7" x14ac:dyDescent="0.2">
      <c r="A13167" s="2" t="s">
        <v>3380</v>
      </c>
      <c r="B13167" s="2" t="s">
        <v>172</v>
      </c>
      <c r="C13167" s="2">
        <v>738.87570000000005</v>
      </c>
      <c r="D13167" s="2">
        <f>HYPERLINK("http://mcb-m6.bioreg.kyushu-u.ac.jp/M3/20110411/F50890/2179/1", 83.76)</f>
        <v>83.76</v>
      </c>
      <c r="E13167" s="2">
        <v>49.99</v>
      </c>
      <c r="F13167" s="2">
        <v>2</v>
      </c>
      <c r="G13167" s="2" t="s">
        <v>9</v>
      </c>
    </row>
    <row r="13168" spans="1:7" x14ac:dyDescent="0.2">
      <c r="A13168" s="2" t="s">
        <v>3380</v>
      </c>
      <c r="B13168" s="2" t="s">
        <v>172</v>
      </c>
      <c r="C13168" s="2">
        <v>738.7491</v>
      </c>
      <c r="D13168" s="2">
        <f>HYPERLINK("http://mcb-m6.bioreg.kyushu-u.ac.jp/M3/20110411/F50893/2164/1", 83.85)</f>
        <v>83.85</v>
      </c>
      <c r="E13168" s="2">
        <v>2.4500000000000002</v>
      </c>
      <c r="F13168" s="2">
        <v>2</v>
      </c>
      <c r="G13168" s="2" t="s">
        <v>9</v>
      </c>
    </row>
    <row r="13169" spans="1:7" x14ac:dyDescent="0.2">
      <c r="A13169" s="2" t="s">
        <v>3380</v>
      </c>
      <c r="B13169" s="2" t="s">
        <v>172</v>
      </c>
      <c r="C13169" s="2">
        <v>738.46119999999996</v>
      </c>
      <c r="D13169" s="2">
        <f>HYPERLINK("http://mcb-m6.bioreg.kyushu-u.ac.jp/M3/20110411/F50915/1863/1", 87.47)</f>
        <v>87.47</v>
      </c>
      <c r="E13169" s="2">
        <v>50.79</v>
      </c>
      <c r="F13169" s="2">
        <v>2</v>
      </c>
      <c r="G13169" s="2" t="s">
        <v>9</v>
      </c>
    </row>
    <row r="13170" spans="1:7" x14ac:dyDescent="0.2">
      <c r="A13170" s="2" t="s">
        <v>3380</v>
      </c>
      <c r="B13170" s="2" t="s">
        <v>172</v>
      </c>
      <c r="C13170" s="2">
        <v>738.8356</v>
      </c>
      <c r="D13170" s="2">
        <f>HYPERLINK("http://mcb-m6.bioreg.kyushu-u.ac.jp/M3/20110411/F50891/2077/1", 91.41)</f>
        <v>91.41</v>
      </c>
      <c r="E13170" s="2">
        <v>36.909999999999997</v>
      </c>
      <c r="F13170" s="2">
        <v>2</v>
      </c>
      <c r="G13170" s="2" t="s">
        <v>9</v>
      </c>
    </row>
    <row r="13171" spans="1:7" x14ac:dyDescent="0.2">
      <c r="A13171" s="2" t="s">
        <v>3380</v>
      </c>
      <c r="B13171" s="2" t="s">
        <v>172</v>
      </c>
      <c r="C13171" s="2">
        <v>738.63570000000004</v>
      </c>
      <c r="D13171" s="2">
        <f>HYPERLINK("http://mcb-m6.bioreg.kyushu-u.ac.jp/M3/20110411/F50911/2080/1", 92.49)</f>
        <v>92.49</v>
      </c>
      <c r="E13171" s="2">
        <v>0.39</v>
      </c>
      <c r="F13171" s="2">
        <v>2</v>
      </c>
      <c r="G13171" s="2" t="s">
        <v>9</v>
      </c>
    </row>
    <row r="13172" spans="1:7" x14ac:dyDescent="0.2">
      <c r="A13172" s="2" t="s">
        <v>3380</v>
      </c>
      <c r="B13172" s="2" t="s">
        <v>172</v>
      </c>
      <c r="C13172" s="2">
        <v>738.55470000000003</v>
      </c>
      <c r="D13172" s="2">
        <f>HYPERLINK("http://mcb-m6.bioreg.kyushu-u.ac.jp/M3/20110411/F50903/2066/1", 100.69)</f>
        <v>100.69</v>
      </c>
      <c r="E13172" s="2">
        <v>4.37</v>
      </c>
      <c r="F13172" s="2">
        <v>2</v>
      </c>
      <c r="G13172" s="2" t="s">
        <v>9</v>
      </c>
    </row>
    <row r="13173" spans="1:7" x14ac:dyDescent="0.2">
      <c r="A13173" s="2" t="s">
        <v>3380</v>
      </c>
      <c r="B13173" s="2" t="s">
        <v>172</v>
      </c>
      <c r="C13173" s="2">
        <v>738.23469999999998</v>
      </c>
      <c r="D13173" s="2">
        <f>HYPERLINK("http://mcb-m6.bioreg.kyushu-u.ac.jp/M3/20110411/F50889/2234/1", 100.76)</f>
        <v>100.76</v>
      </c>
      <c r="E13173" s="2">
        <v>77.180000000000007</v>
      </c>
      <c r="F13173" s="2">
        <v>2</v>
      </c>
      <c r="G13173" s="2" t="s">
        <v>9</v>
      </c>
    </row>
    <row r="13174" spans="1:7" x14ac:dyDescent="0.2">
      <c r="A13174" s="2" t="s">
        <v>3380</v>
      </c>
      <c r="B13174" s="2" t="s">
        <v>172</v>
      </c>
      <c r="C13174" s="2">
        <v>738.5992</v>
      </c>
      <c r="D13174" s="2">
        <f>HYPERLINK("http://mcb-m6.bioreg.kyushu-u.ac.jp/M3/20110411/F50905/2026/1", 102.25)</f>
        <v>102.25</v>
      </c>
      <c r="E13174" s="2">
        <v>38.32</v>
      </c>
      <c r="F13174" s="2">
        <v>2</v>
      </c>
      <c r="G13174" s="2" t="s">
        <v>9</v>
      </c>
    </row>
    <row r="13175" spans="1:7" x14ac:dyDescent="0.2">
      <c r="A13175" s="2" t="s">
        <v>3380</v>
      </c>
      <c r="B13175" s="2" t="s">
        <v>172</v>
      </c>
      <c r="C13175" s="2">
        <v>1475.673</v>
      </c>
      <c r="D13175" s="2">
        <f>HYPERLINK("http://mcb-m6.bioreg.kyushu-u.ac.jp/M3/20110411/F50920/1560/1", 38.02)</f>
        <v>38.020000000000003</v>
      </c>
      <c r="E13175" s="2">
        <v>22.16</v>
      </c>
      <c r="F13175" s="2">
        <v>1</v>
      </c>
      <c r="G13175" s="2" t="s">
        <v>10</v>
      </c>
    </row>
    <row r="13176" spans="1:7" x14ac:dyDescent="0.2">
      <c r="A13176" s="2" t="s">
        <v>3380</v>
      </c>
      <c r="B13176" s="2" t="s">
        <v>172</v>
      </c>
      <c r="C13176" s="2">
        <v>738.55909999999994</v>
      </c>
      <c r="D13176" s="2">
        <f>HYPERLINK("http://mcb-m6.bioreg.kyushu-u.ac.jp/M3/20110411/F50897/1955/1", 39.89)</f>
        <v>39.89</v>
      </c>
      <c r="E13176" s="2">
        <v>10.88</v>
      </c>
      <c r="F13176" s="2">
        <v>2</v>
      </c>
      <c r="G13176" s="2" t="s">
        <v>10</v>
      </c>
    </row>
    <row r="13177" spans="1:7" x14ac:dyDescent="0.2">
      <c r="A13177" s="2" t="s">
        <v>3380</v>
      </c>
      <c r="B13177" s="2" t="s">
        <v>172</v>
      </c>
      <c r="C13177" s="2">
        <v>1476.17</v>
      </c>
      <c r="D13177" s="2">
        <f>HYPERLINK("http://mcb-m6.bioreg.kyushu-u.ac.jp/M3/20110411/F50914/2074/1", 48.29)</f>
        <v>48.29</v>
      </c>
      <c r="E13177" s="2">
        <v>31.23</v>
      </c>
      <c r="F13177" s="2">
        <v>1</v>
      </c>
      <c r="G13177" s="2" t="s">
        <v>10</v>
      </c>
    </row>
    <row r="13178" spans="1:7" x14ac:dyDescent="0.2">
      <c r="A13178" s="2" t="s">
        <v>3380</v>
      </c>
      <c r="B13178" s="2" t="s">
        <v>172</v>
      </c>
      <c r="C13178" s="2">
        <v>738.49220000000003</v>
      </c>
      <c r="D13178" s="2">
        <f>HYPERLINK("http://mcb-m6.bioreg.kyushu-u.ac.jp/M3/20110411/F50900/2127/1", 61.36)</f>
        <v>61.36</v>
      </c>
      <c r="E13178" s="2">
        <v>29.44</v>
      </c>
      <c r="F13178" s="2">
        <v>2</v>
      </c>
      <c r="G13178" s="2" t="s">
        <v>10</v>
      </c>
    </row>
    <row r="13179" spans="1:7" x14ac:dyDescent="0.2">
      <c r="A13179" s="2" t="s">
        <v>3380</v>
      </c>
      <c r="B13179" s="2" t="s">
        <v>172</v>
      </c>
      <c r="C13179" s="2">
        <v>738.19709999999998</v>
      </c>
      <c r="D13179" s="2">
        <f>HYPERLINK("http://mcb-m6.bioreg.kyushu-u.ac.jp/M3/20110411/F50917/1927/1", 65.97)</f>
        <v>65.97</v>
      </c>
      <c r="E13179" s="2">
        <v>48.29</v>
      </c>
      <c r="F13179" s="2">
        <v>2</v>
      </c>
      <c r="G13179" s="2" t="s">
        <v>10</v>
      </c>
    </row>
    <row r="13180" spans="1:7" x14ac:dyDescent="0.2">
      <c r="A13180" s="2" t="s">
        <v>3380</v>
      </c>
      <c r="B13180" s="2" t="s">
        <v>172</v>
      </c>
      <c r="C13180" s="2">
        <v>738.57420000000002</v>
      </c>
      <c r="D13180" s="2">
        <f>HYPERLINK("http://mcb-m6.bioreg.kyushu-u.ac.jp/M3/20110411/F50902/2033/1", 66.71)</f>
        <v>66.709999999999994</v>
      </c>
      <c r="E13180" s="2">
        <v>19.14</v>
      </c>
      <c r="F13180" s="2">
        <v>2</v>
      </c>
      <c r="G13180" s="2" t="s">
        <v>10</v>
      </c>
    </row>
    <row r="13181" spans="1:7" x14ac:dyDescent="0.2">
      <c r="A13181" s="2" t="s">
        <v>3380</v>
      </c>
      <c r="B13181" s="2" t="s">
        <v>172</v>
      </c>
      <c r="C13181" s="2">
        <v>738.48519999999996</v>
      </c>
      <c r="D13181" s="2">
        <f>HYPERLINK("http://mcb-m6.bioreg.kyushu-u.ac.jp/M3/20110411/F50898/2215/1", 66.76)</f>
        <v>66.760000000000005</v>
      </c>
      <c r="E13181" s="2">
        <v>24.3</v>
      </c>
      <c r="F13181" s="2">
        <v>2</v>
      </c>
      <c r="G13181" s="2" t="s">
        <v>10</v>
      </c>
    </row>
    <row r="13182" spans="1:7" x14ac:dyDescent="0.2">
      <c r="A13182" s="2" t="s">
        <v>3380</v>
      </c>
      <c r="B13182" s="2" t="s">
        <v>172</v>
      </c>
      <c r="C13182" s="2">
        <v>738.32259999999997</v>
      </c>
      <c r="D13182" s="2">
        <f>HYPERLINK("http://mcb-m6.bioreg.kyushu-u.ac.jp/M3/20110411/F50896/2129/1", 69.9)</f>
        <v>69.900000000000006</v>
      </c>
      <c r="E13182" s="2">
        <v>6.49</v>
      </c>
      <c r="F13182" s="2">
        <v>2</v>
      </c>
      <c r="G13182" s="2" t="s">
        <v>10</v>
      </c>
    </row>
    <row r="13183" spans="1:7" x14ac:dyDescent="0.2">
      <c r="A13183" s="2" t="s">
        <v>3380</v>
      </c>
      <c r="B13183" s="2" t="s">
        <v>172</v>
      </c>
      <c r="C13183" s="2">
        <v>738.96810000000005</v>
      </c>
      <c r="D13183" s="2">
        <f>HYPERLINK("http://mcb-m6.bioreg.kyushu-u.ac.jp/M3/20110411/F50899/2251/1", 70.44)</f>
        <v>70.44</v>
      </c>
      <c r="E13183" s="2">
        <v>17.18</v>
      </c>
      <c r="F13183" s="2">
        <v>2</v>
      </c>
      <c r="G13183" s="2" t="s">
        <v>10</v>
      </c>
    </row>
    <row r="13184" spans="1:7" x14ac:dyDescent="0.2">
      <c r="A13184" s="2" t="s">
        <v>3380</v>
      </c>
      <c r="B13184" s="2" t="s">
        <v>172</v>
      </c>
      <c r="C13184" s="2">
        <v>738.40970000000004</v>
      </c>
      <c r="D13184" s="2">
        <f>HYPERLINK("http://mcb-m6.bioreg.kyushu-u.ac.jp/M3/20110411/F50920/1561/1", 72.34)</f>
        <v>72.34</v>
      </c>
      <c r="E13184" s="2">
        <v>32.700000000000003</v>
      </c>
      <c r="F13184" s="2">
        <v>2</v>
      </c>
      <c r="G13184" s="2" t="s">
        <v>10</v>
      </c>
    </row>
    <row r="13185" spans="1:7" x14ac:dyDescent="0.2">
      <c r="A13185" s="2" t="s">
        <v>3380</v>
      </c>
      <c r="B13185" s="2" t="s">
        <v>172</v>
      </c>
      <c r="C13185" s="2">
        <v>738.66769999999997</v>
      </c>
      <c r="D13185" s="2">
        <f>HYPERLINK("http://mcb-m6.bioreg.kyushu-u.ac.jp/M3/20110411/F50914/2075/1", 74.06)</f>
        <v>74.06</v>
      </c>
      <c r="E13185" s="2">
        <v>22.98</v>
      </c>
      <c r="F13185" s="2">
        <v>2</v>
      </c>
      <c r="G13185" s="2" t="s">
        <v>10</v>
      </c>
    </row>
    <row r="13186" spans="1:7" x14ac:dyDescent="0.2">
      <c r="A13186" s="2" t="s">
        <v>3380</v>
      </c>
      <c r="B13186" s="2" t="s">
        <v>172</v>
      </c>
      <c r="C13186" s="2">
        <v>738.45370000000003</v>
      </c>
      <c r="D13186" s="2">
        <f>HYPERLINK("http://mcb-m6.bioreg.kyushu-u.ac.jp/M3/20110411/F50899/2248/1", 85.26)</f>
        <v>85.26</v>
      </c>
      <c r="E13186" s="2">
        <v>17.39</v>
      </c>
      <c r="F13186" s="2">
        <v>2</v>
      </c>
      <c r="G13186" s="2" t="s">
        <v>10</v>
      </c>
    </row>
    <row r="13187" spans="1:7" x14ac:dyDescent="0.2">
      <c r="A13187" s="2" t="s">
        <v>3380</v>
      </c>
      <c r="B13187" s="2" t="s">
        <v>172</v>
      </c>
      <c r="C13187" s="2">
        <v>738.95719999999994</v>
      </c>
      <c r="D13187" s="2">
        <f>HYPERLINK("http://mcb-m6.bioreg.kyushu-u.ac.jp/M3/20110411/F50917/1932/1", 85.48)</f>
        <v>85.48</v>
      </c>
      <c r="E13187" s="2">
        <v>31.04</v>
      </c>
      <c r="F13187" s="2">
        <v>2</v>
      </c>
      <c r="G13187" s="2" t="s">
        <v>10</v>
      </c>
    </row>
    <row r="13188" spans="1:7" x14ac:dyDescent="0.2">
      <c r="A13188" s="2" t="s">
        <v>3380</v>
      </c>
      <c r="B13188" s="2" t="s">
        <v>172</v>
      </c>
      <c r="C13188" s="2">
        <v>738.40560000000005</v>
      </c>
      <c r="D13188" s="2">
        <f>HYPERLINK("http://mcb-m6.bioreg.kyushu-u.ac.jp/M3/20110411/F50918/1867/1", 91.72)</f>
        <v>91.72</v>
      </c>
      <c r="E13188" s="2">
        <v>45.43</v>
      </c>
      <c r="F13188" s="2">
        <v>2</v>
      </c>
      <c r="G13188" s="2" t="s">
        <v>10</v>
      </c>
    </row>
    <row r="13189" spans="1:7" x14ac:dyDescent="0.2">
      <c r="A13189" s="2" t="s">
        <v>3380</v>
      </c>
      <c r="B13189" s="2" t="s">
        <v>172</v>
      </c>
      <c r="C13189" s="2">
        <v>738.38509999999997</v>
      </c>
      <c r="D13189" s="2">
        <f>HYPERLINK("http://mcb-m6.bioreg.kyushu-u.ac.jp/M3/20110414/F50925/2233/1", 36.8)</f>
        <v>36.799999999999997</v>
      </c>
      <c r="E13189" s="2">
        <v>18.72</v>
      </c>
      <c r="F13189" s="2">
        <v>2</v>
      </c>
      <c r="G13189" s="2" t="s">
        <v>11</v>
      </c>
    </row>
    <row r="13190" spans="1:7" x14ac:dyDescent="0.2">
      <c r="A13190" s="2" t="s">
        <v>3380</v>
      </c>
      <c r="B13190" s="2" t="s">
        <v>172</v>
      </c>
      <c r="C13190" s="2">
        <v>738.53219999999999</v>
      </c>
      <c r="D13190" s="2">
        <f>HYPERLINK("http://mcb-m6.bioreg.kyushu-u.ac.jp/M3/20110414/F50945/2015/1", 47.7)</f>
        <v>47.7</v>
      </c>
      <c r="E13190" s="2">
        <v>28.19</v>
      </c>
      <c r="F13190" s="2">
        <v>2</v>
      </c>
      <c r="G13190" s="2" t="s">
        <v>11</v>
      </c>
    </row>
    <row r="13191" spans="1:7" x14ac:dyDescent="0.2">
      <c r="A13191" s="2" t="s">
        <v>3380</v>
      </c>
      <c r="B13191" s="2" t="s">
        <v>172</v>
      </c>
      <c r="C13191" s="2">
        <v>738.57460000000003</v>
      </c>
      <c r="D13191" s="2">
        <f>HYPERLINK("http://mcb-m6.bioreg.kyushu-u.ac.jp/M3/20110414/F50928/2298/1", 60.01)</f>
        <v>60.01</v>
      </c>
      <c r="E13191" s="2">
        <v>8.17</v>
      </c>
      <c r="F13191" s="2">
        <v>2</v>
      </c>
      <c r="G13191" s="2" t="s">
        <v>11</v>
      </c>
    </row>
    <row r="13192" spans="1:7" x14ac:dyDescent="0.2">
      <c r="A13192" s="2" t="s">
        <v>3380</v>
      </c>
      <c r="B13192" s="2" t="s">
        <v>172</v>
      </c>
      <c r="C13192" s="2">
        <v>738.97119999999995</v>
      </c>
      <c r="D13192" s="2">
        <f>HYPERLINK("http://mcb-m6.bioreg.kyushu-u.ac.jp/M3/20110414/F50944/2091/1", 63.19)</f>
        <v>63.19</v>
      </c>
      <c r="E13192" s="2">
        <v>21.45</v>
      </c>
      <c r="F13192" s="2">
        <v>2</v>
      </c>
      <c r="G13192" s="2" t="s">
        <v>11</v>
      </c>
    </row>
    <row r="13193" spans="1:7" x14ac:dyDescent="0.2">
      <c r="A13193" s="2" t="s">
        <v>3380</v>
      </c>
      <c r="B13193" s="2" t="s">
        <v>172</v>
      </c>
      <c r="C13193" s="2">
        <v>738.38419999999996</v>
      </c>
      <c r="D13193" s="2">
        <f>HYPERLINK("http://mcb-m6.bioreg.kyushu-u.ac.jp/M3/20110414/F50944/2087/1", 68.92)</f>
        <v>68.92</v>
      </c>
      <c r="E13193" s="2">
        <v>42.71</v>
      </c>
      <c r="F13193" s="2">
        <v>2</v>
      </c>
      <c r="G13193" s="2" t="s">
        <v>11</v>
      </c>
    </row>
    <row r="13194" spans="1:7" x14ac:dyDescent="0.2">
      <c r="A13194" s="2" t="s">
        <v>3380</v>
      </c>
      <c r="B13194" s="2" t="s">
        <v>172</v>
      </c>
      <c r="C13194" s="2">
        <v>738.85360000000003</v>
      </c>
      <c r="D13194" s="2">
        <f>HYPERLINK("http://mcb-m6.bioreg.kyushu-u.ac.jp/M3/20110414/F50943/1867/1", 69.24)</f>
        <v>69.239999999999995</v>
      </c>
      <c r="E13194" s="2">
        <v>25.73</v>
      </c>
      <c r="F13194" s="2">
        <v>2</v>
      </c>
      <c r="G13194" s="2" t="s">
        <v>11</v>
      </c>
    </row>
    <row r="13195" spans="1:7" x14ac:dyDescent="0.2">
      <c r="A13195" s="2" t="s">
        <v>3380</v>
      </c>
      <c r="B13195" s="2" t="s">
        <v>172</v>
      </c>
      <c r="C13195" s="2">
        <v>738.28970000000004</v>
      </c>
      <c r="D13195" s="2">
        <f>HYPERLINK("http://mcb-m6.bioreg.kyushu-u.ac.jp/M3/20110414/F50941/2098/1", 73.31)</f>
        <v>73.31</v>
      </c>
      <c r="E13195" s="2">
        <v>37.53</v>
      </c>
      <c r="F13195" s="2">
        <v>2</v>
      </c>
      <c r="G13195" s="2" t="s">
        <v>11</v>
      </c>
    </row>
    <row r="13196" spans="1:7" x14ac:dyDescent="0.2">
      <c r="A13196" s="2" t="s">
        <v>3380</v>
      </c>
      <c r="B13196" s="2" t="s">
        <v>172</v>
      </c>
      <c r="C13196" s="2">
        <v>738.22609999999997</v>
      </c>
      <c r="D13196" s="2">
        <f>HYPERLINK("http://mcb-m6.bioreg.kyushu-u.ac.jp/M3/20110414/F50943/1859/1", 74.32)</f>
        <v>74.319999999999993</v>
      </c>
      <c r="E13196" s="2">
        <v>50.96</v>
      </c>
      <c r="F13196" s="2">
        <v>2</v>
      </c>
      <c r="G13196" s="2" t="s">
        <v>11</v>
      </c>
    </row>
    <row r="13197" spans="1:7" x14ac:dyDescent="0.2">
      <c r="A13197" s="2" t="s">
        <v>3380</v>
      </c>
      <c r="B13197" s="2" t="s">
        <v>172</v>
      </c>
      <c r="C13197" s="2">
        <v>738.64070000000004</v>
      </c>
      <c r="D13197" s="2">
        <f>HYPERLINK("http://mcb-m6.bioreg.kyushu-u.ac.jp/M3/20110414/F50957/1881/1", 76.25)</f>
        <v>76.25</v>
      </c>
      <c r="E13197" s="2">
        <v>28.45</v>
      </c>
      <c r="F13197" s="2">
        <v>2</v>
      </c>
      <c r="G13197" s="2" t="s">
        <v>11</v>
      </c>
    </row>
    <row r="13198" spans="1:7" x14ac:dyDescent="0.2">
      <c r="A13198" s="2" t="s">
        <v>3380</v>
      </c>
      <c r="B13198" s="2" t="s">
        <v>172</v>
      </c>
      <c r="C13198" s="2">
        <v>738.72059999999999</v>
      </c>
      <c r="D13198" s="2">
        <f>HYPERLINK("http://mcb-m6.bioreg.kyushu-u.ac.jp/M3/20110414/F50942/1883/1", 79.16)</f>
        <v>79.16</v>
      </c>
      <c r="E13198" s="2">
        <v>27.15</v>
      </c>
      <c r="F13198" s="2">
        <v>2</v>
      </c>
      <c r="G13198" s="2" t="s">
        <v>11</v>
      </c>
    </row>
    <row r="13199" spans="1:7" x14ac:dyDescent="0.2">
      <c r="A13199" s="2" t="s">
        <v>3380</v>
      </c>
      <c r="B13199" s="2" t="s">
        <v>172</v>
      </c>
      <c r="C13199" s="2">
        <v>738.44269999999995</v>
      </c>
      <c r="D13199" s="2">
        <f>HYPERLINK("http://mcb-m6.bioreg.kyushu-u.ac.jp/M3/20110414/F50962/1906/1", 83.24)</f>
        <v>83.24</v>
      </c>
      <c r="E13199" s="2">
        <v>56.62</v>
      </c>
      <c r="F13199" s="2">
        <v>2</v>
      </c>
      <c r="G13199" s="2" t="s">
        <v>11</v>
      </c>
    </row>
    <row r="13200" spans="1:7" x14ac:dyDescent="0.2">
      <c r="A13200" s="2" t="s">
        <v>3380</v>
      </c>
      <c r="B13200" s="2" t="s">
        <v>172</v>
      </c>
      <c r="C13200" s="2">
        <v>738.44820000000004</v>
      </c>
      <c r="D13200" s="2">
        <f>HYPERLINK("http://mcb-m6.bioreg.kyushu-u.ac.jp/M3/20110414/F50924/2144/1", 85.44)</f>
        <v>85.44</v>
      </c>
      <c r="E13200" s="2">
        <v>60.54</v>
      </c>
      <c r="F13200" s="2">
        <v>2</v>
      </c>
      <c r="G13200" s="2" t="s">
        <v>11</v>
      </c>
    </row>
    <row r="13201" spans="1:7" x14ac:dyDescent="0.2">
      <c r="A13201" s="2" t="s">
        <v>3380</v>
      </c>
      <c r="B13201" s="2" t="s">
        <v>172</v>
      </c>
      <c r="C13201" s="2">
        <v>738.70759999999996</v>
      </c>
      <c r="D13201" s="2">
        <f>HYPERLINK("http://mcb-m6.bioreg.kyushu-u.ac.jp/M3/20110414/F50956/1903/1", 86.31)</f>
        <v>86.31</v>
      </c>
      <c r="E13201" s="2">
        <v>32.950000000000003</v>
      </c>
      <c r="F13201" s="2">
        <v>2</v>
      </c>
      <c r="G13201" s="2" t="s">
        <v>11</v>
      </c>
    </row>
    <row r="13202" spans="1:7" x14ac:dyDescent="0.2">
      <c r="A13202" s="2" t="s">
        <v>3380</v>
      </c>
      <c r="B13202" s="2" t="s">
        <v>172</v>
      </c>
      <c r="C13202" s="2">
        <v>738.20420000000001</v>
      </c>
      <c r="D13202" s="2">
        <f>HYPERLINK("http://mcb-m6.bioreg.kyushu-u.ac.jp/M3/20110414/F50956/1901/1", 87.27)</f>
        <v>87.27</v>
      </c>
      <c r="E13202" s="2">
        <v>60.61</v>
      </c>
      <c r="F13202" s="2">
        <v>2</v>
      </c>
      <c r="G13202" s="2" t="s">
        <v>11</v>
      </c>
    </row>
    <row r="13203" spans="1:7" x14ac:dyDescent="0.2">
      <c r="A13203" s="2" t="s">
        <v>3380</v>
      </c>
      <c r="B13203" s="2" t="s">
        <v>172</v>
      </c>
      <c r="C13203" s="2">
        <v>738.38120000000004</v>
      </c>
      <c r="D13203" s="2">
        <f>HYPERLINK("http://mcb-m6.bioreg.kyushu-u.ac.jp/M3/20110414/F50933/2389/1", 54.18)</f>
        <v>54.18</v>
      </c>
      <c r="E13203" s="2">
        <v>41.17</v>
      </c>
      <c r="F13203" s="2">
        <v>2</v>
      </c>
      <c r="G13203" s="2" t="s">
        <v>12</v>
      </c>
    </row>
    <row r="13204" spans="1:7" x14ac:dyDescent="0.2">
      <c r="A13204" s="2" t="s">
        <v>3380</v>
      </c>
      <c r="B13204" s="2" t="s">
        <v>172</v>
      </c>
      <c r="C13204" s="2">
        <v>738.44460000000004</v>
      </c>
      <c r="D13204" s="2">
        <f>HYPERLINK("http://mcb-m6.bioreg.kyushu-u.ac.jp/M3/20110414/F50933/2390/1", 57.86)</f>
        <v>57.86</v>
      </c>
      <c r="E13204" s="2">
        <v>40.9</v>
      </c>
      <c r="F13204" s="2">
        <v>2</v>
      </c>
      <c r="G13204" s="2" t="s">
        <v>12</v>
      </c>
    </row>
    <row r="13205" spans="1:7" x14ac:dyDescent="0.2">
      <c r="A13205" s="2" t="s">
        <v>3380</v>
      </c>
      <c r="B13205" s="2" t="s">
        <v>172</v>
      </c>
      <c r="C13205" s="2">
        <v>1475.6690000000001</v>
      </c>
      <c r="D13205" s="2">
        <f>HYPERLINK("http://mcb-m6.bioreg.kyushu-u.ac.jp/M3/20110414/F50933/2388/1", 63.82)</f>
        <v>63.82</v>
      </c>
      <c r="E13205" s="2">
        <v>42.92</v>
      </c>
      <c r="F13205" s="2">
        <v>1</v>
      </c>
      <c r="G13205" s="2" t="s">
        <v>12</v>
      </c>
    </row>
    <row r="13206" spans="1:7" x14ac:dyDescent="0.2">
      <c r="A13206" s="2" t="s">
        <v>3380</v>
      </c>
      <c r="B13206" s="2" t="s">
        <v>172</v>
      </c>
      <c r="C13206" s="2">
        <v>738.38070000000005</v>
      </c>
      <c r="D13206" s="2">
        <f>HYPERLINK("http://mcb-m6.bioreg.kyushu-u.ac.jp/M3/20110414/F50932/2290/1", 65.27)</f>
        <v>65.27</v>
      </c>
      <c r="E13206" s="2">
        <v>33.909999999999997</v>
      </c>
      <c r="F13206" s="2">
        <v>2</v>
      </c>
      <c r="G13206" s="2" t="s">
        <v>12</v>
      </c>
    </row>
    <row r="13207" spans="1:7" x14ac:dyDescent="0.2">
      <c r="A13207" s="2" t="s">
        <v>3380</v>
      </c>
      <c r="B13207" s="2" t="s">
        <v>172</v>
      </c>
      <c r="C13207" s="2">
        <v>737.94759999999997</v>
      </c>
      <c r="D13207" s="2">
        <f>HYPERLINK("http://mcb-m6.bioreg.kyushu-u.ac.jp/M3/20110414/F50950/2146/1", 70.18)</f>
        <v>70.180000000000007</v>
      </c>
      <c r="E13207" s="2">
        <v>36.799999999999997</v>
      </c>
      <c r="F13207" s="2">
        <v>2</v>
      </c>
      <c r="G13207" s="2" t="s">
        <v>12</v>
      </c>
    </row>
    <row r="13208" spans="1:7" x14ac:dyDescent="0.2">
      <c r="A13208" s="2" t="s">
        <v>3380</v>
      </c>
      <c r="B13208" s="2" t="s">
        <v>172</v>
      </c>
      <c r="C13208" s="2">
        <v>738.9452</v>
      </c>
      <c r="D13208" s="2">
        <f>HYPERLINK("http://mcb-m6.bioreg.kyushu-u.ac.jp/M3/20110414/F50933/2399/1", 70.32)</f>
        <v>70.319999999999993</v>
      </c>
      <c r="E13208" s="2">
        <v>10.81</v>
      </c>
      <c r="F13208" s="2">
        <v>2</v>
      </c>
      <c r="G13208" s="2" t="s">
        <v>12</v>
      </c>
    </row>
    <row r="13209" spans="1:7" x14ac:dyDescent="0.2">
      <c r="A13209" s="2" t="s">
        <v>3380</v>
      </c>
      <c r="B13209" s="2" t="s">
        <v>172</v>
      </c>
      <c r="C13209" s="2">
        <v>738.20209999999997</v>
      </c>
      <c r="D13209" s="2">
        <f>HYPERLINK("http://mcb-m6.bioreg.kyushu-u.ac.jp/M3/20110414/F50959/1858/1", 71.1)</f>
        <v>71.099999999999994</v>
      </c>
      <c r="E13209" s="2">
        <v>48.29</v>
      </c>
      <c r="F13209" s="2">
        <v>2</v>
      </c>
      <c r="G13209" s="2" t="s">
        <v>12</v>
      </c>
    </row>
    <row r="13210" spans="1:7" x14ac:dyDescent="0.2">
      <c r="A13210" s="2" t="s">
        <v>3380</v>
      </c>
      <c r="B13210" s="2" t="s">
        <v>172</v>
      </c>
      <c r="C13210" s="2">
        <v>738.21559999999999</v>
      </c>
      <c r="D13210" s="2">
        <f>HYPERLINK("http://mcb-m6.bioreg.kyushu-u.ac.jp/M3/20110414/F50930/2210/1", 73.02)</f>
        <v>73.02</v>
      </c>
      <c r="E13210" s="2">
        <v>45.12</v>
      </c>
      <c r="F13210" s="2">
        <v>2</v>
      </c>
      <c r="G13210" s="2" t="s">
        <v>12</v>
      </c>
    </row>
    <row r="13211" spans="1:7" x14ac:dyDescent="0.2">
      <c r="A13211" s="2" t="s">
        <v>3380</v>
      </c>
      <c r="B13211" s="2" t="s">
        <v>172</v>
      </c>
      <c r="C13211" s="2">
        <v>738.50459999999998</v>
      </c>
      <c r="D13211" s="2">
        <f>HYPERLINK("http://mcb-m6.bioreg.kyushu-u.ac.jp/M3/20110414/F50933/2392/1", 76.56)</f>
        <v>76.56</v>
      </c>
      <c r="E13211" s="2">
        <v>53.96</v>
      </c>
      <c r="F13211" s="2">
        <v>2</v>
      </c>
      <c r="G13211" s="2" t="s">
        <v>12</v>
      </c>
    </row>
    <row r="13212" spans="1:7" x14ac:dyDescent="0.2">
      <c r="A13212" s="2" t="s">
        <v>3380</v>
      </c>
      <c r="B13212" s="2" t="s">
        <v>172</v>
      </c>
      <c r="C13212" s="2">
        <v>738.51869999999997</v>
      </c>
      <c r="D13212" s="2">
        <f>HYPERLINK("http://mcb-m6.bioreg.kyushu-u.ac.jp/M3/20110414/F50934/2340/1", 78.44)</f>
        <v>78.44</v>
      </c>
      <c r="E13212" s="2">
        <v>46.45</v>
      </c>
      <c r="F13212" s="2">
        <v>2</v>
      </c>
      <c r="G13212" s="2" t="s">
        <v>12</v>
      </c>
    </row>
    <row r="13213" spans="1:7" x14ac:dyDescent="0.2">
      <c r="A13213" s="2" t="s">
        <v>3380</v>
      </c>
      <c r="B13213" s="2" t="s">
        <v>172</v>
      </c>
      <c r="C13213" s="2">
        <v>738.46810000000005</v>
      </c>
      <c r="D13213" s="2">
        <f>HYPERLINK("http://mcb-m6.bioreg.kyushu-u.ac.jp/M3/20110414/F50933/2391/1", 85.78)</f>
        <v>85.78</v>
      </c>
      <c r="E13213" s="2">
        <v>38.020000000000003</v>
      </c>
      <c r="F13213" s="2">
        <v>2</v>
      </c>
      <c r="G13213" s="2" t="s">
        <v>12</v>
      </c>
    </row>
    <row r="13214" spans="1:7" x14ac:dyDescent="0.2">
      <c r="A13214" s="2" t="s">
        <v>3380</v>
      </c>
      <c r="B13214" s="2" t="s">
        <v>172</v>
      </c>
      <c r="C13214" s="2">
        <v>737.9932</v>
      </c>
      <c r="D13214" s="2">
        <f>HYPERLINK("http://mcb-m6.bioreg.kyushu-u.ac.jp/M3/20110414/F50949/2144/1", 89.73)</f>
        <v>89.73</v>
      </c>
      <c r="E13214" s="2">
        <v>59.65</v>
      </c>
      <c r="F13214" s="2">
        <v>2</v>
      </c>
      <c r="G13214" s="2" t="s">
        <v>12</v>
      </c>
    </row>
    <row r="13215" spans="1:7" x14ac:dyDescent="0.2">
      <c r="A13215" s="2" t="s">
        <v>3380</v>
      </c>
      <c r="B13215" s="2" t="s">
        <v>172</v>
      </c>
      <c r="C13215" s="2">
        <v>738.54970000000003</v>
      </c>
      <c r="D13215" s="2">
        <f>HYPERLINK("http://mcb-m6.bioreg.kyushu-u.ac.jp/M3/20110414/F50949/2148/1", 90.86)</f>
        <v>90.86</v>
      </c>
      <c r="E13215" s="2">
        <v>33.32</v>
      </c>
      <c r="F13215" s="2">
        <v>2</v>
      </c>
      <c r="G13215" s="2" t="s">
        <v>12</v>
      </c>
    </row>
    <row r="13216" spans="1:7" x14ac:dyDescent="0.2">
      <c r="A13216" s="2" t="s">
        <v>3380</v>
      </c>
      <c r="B13216" s="2" t="s">
        <v>172</v>
      </c>
      <c r="C13216" s="2">
        <v>738.63019999999995</v>
      </c>
      <c r="D13216" s="2">
        <f>HYPERLINK("http://mcb-m6.bioreg.kyushu-u.ac.jp/M3/20110414/F50958/1961/1", 92.13)</f>
        <v>92.13</v>
      </c>
      <c r="E13216" s="2">
        <v>37.44</v>
      </c>
      <c r="F13216" s="2">
        <v>2</v>
      </c>
      <c r="G13216" s="2" t="s">
        <v>12</v>
      </c>
    </row>
    <row r="13217" spans="1:7" x14ac:dyDescent="0.2">
      <c r="A13217" s="2" t="s">
        <v>3380</v>
      </c>
      <c r="B13217" s="2" t="s">
        <v>172</v>
      </c>
      <c r="C13217" s="2">
        <v>738.72310000000004</v>
      </c>
      <c r="D13217" s="2">
        <f>HYPERLINK("http://mcb-m6.bioreg.kyushu-u.ac.jp/M3/20110414/F50948/2062/1", 95.2)</f>
        <v>95.2</v>
      </c>
      <c r="E13217" s="2">
        <v>42.45</v>
      </c>
      <c r="F13217" s="2">
        <v>2</v>
      </c>
      <c r="G13217" s="2" t="s">
        <v>12</v>
      </c>
    </row>
    <row r="13218" spans="1:7" x14ac:dyDescent="0.2">
      <c r="A13218" s="2" t="s">
        <v>3380</v>
      </c>
      <c r="B13218" s="2" t="s">
        <v>172</v>
      </c>
      <c r="C13218" s="2">
        <v>738.52509999999995</v>
      </c>
      <c r="D13218" s="2">
        <f>HYPERLINK("http://mcb-m6.bioreg.kyushu-u.ac.jp/M3/20110502/F51188/1829/1", 58.54)</f>
        <v>58.54</v>
      </c>
      <c r="E13218" s="2">
        <v>8.67</v>
      </c>
      <c r="F13218" s="2">
        <v>2</v>
      </c>
      <c r="G13218" s="2" t="s">
        <v>13</v>
      </c>
    </row>
    <row r="13219" spans="1:7" x14ac:dyDescent="0.2">
      <c r="A13219" s="2" t="s">
        <v>3380</v>
      </c>
      <c r="B13219" s="2" t="s">
        <v>172</v>
      </c>
      <c r="C13219" s="2">
        <v>738.62869999999998</v>
      </c>
      <c r="D13219" s="2">
        <f>HYPERLINK("http://mcb-m6.bioreg.kyushu-u.ac.jp/M3/20110502/F51180/1792/1", 61.31)</f>
        <v>61.31</v>
      </c>
      <c r="E13219" s="2">
        <v>1.42</v>
      </c>
      <c r="F13219" s="2">
        <v>2</v>
      </c>
      <c r="G13219" s="2" t="s">
        <v>13</v>
      </c>
    </row>
    <row r="13220" spans="1:7" x14ac:dyDescent="0.2">
      <c r="A13220" s="2" t="s">
        <v>3380</v>
      </c>
      <c r="B13220" s="2" t="s">
        <v>172</v>
      </c>
      <c r="C13220" s="2">
        <v>738.58510000000001</v>
      </c>
      <c r="D13220" s="2">
        <f>HYPERLINK("http://mcb-m6.bioreg.kyushu-u.ac.jp/M3/20110502/F51189/1818/1", 63.48)</f>
        <v>63.48</v>
      </c>
      <c r="E13220" s="2">
        <v>18.489999999999998</v>
      </c>
      <c r="F13220" s="2">
        <v>2</v>
      </c>
      <c r="G13220" s="2" t="s">
        <v>13</v>
      </c>
    </row>
    <row r="13221" spans="1:7" x14ac:dyDescent="0.2">
      <c r="A13221" s="2" t="s">
        <v>3380</v>
      </c>
      <c r="B13221" s="2" t="s">
        <v>172</v>
      </c>
      <c r="C13221" s="2">
        <v>738.89670000000001</v>
      </c>
      <c r="D13221" s="2">
        <f>HYPERLINK("http://mcb-m6.bioreg.kyushu-u.ac.jp/M3/20110502/F51165/2097/1", 73.34)</f>
        <v>73.34</v>
      </c>
      <c r="E13221" s="2">
        <v>10.130000000000001</v>
      </c>
      <c r="F13221" s="2">
        <v>2</v>
      </c>
      <c r="G13221" s="2" t="s">
        <v>13</v>
      </c>
    </row>
    <row r="13222" spans="1:7" x14ac:dyDescent="0.2">
      <c r="A13222" s="2" t="s">
        <v>3380</v>
      </c>
      <c r="B13222" s="2" t="s">
        <v>172</v>
      </c>
      <c r="C13222" s="2">
        <v>738.52470000000005</v>
      </c>
      <c r="D13222" s="2">
        <f>HYPERLINK("http://mcb-m6.bioreg.kyushu-u.ac.jp/M3/20110502/F51169/2093/1", 73.75)</f>
        <v>73.75</v>
      </c>
      <c r="E13222" s="2">
        <v>34.5</v>
      </c>
      <c r="F13222" s="2">
        <v>2</v>
      </c>
      <c r="G13222" s="2" t="s">
        <v>13</v>
      </c>
    </row>
    <row r="13223" spans="1:7" x14ac:dyDescent="0.2">
      <c r="A13223" s="2" t="s">
        <v>3380</v>
      </c>
      <c r="B13223" s="2" t="s">
        <v>172</v>
      </c>
      <c r="C13223" s="2">
        <v>738.5702</v>
      </c>
      <c r="D13223" s="2">
        <f>HYPERLINK("http://mcb-m6.bioreg.kyushu-u.ac.jp/M3/20110502/F51175/1917/1", 74.46)</f>
        <v>74.459999999999994</v>
      </c>
      <c r="E13223" s="2">
        <v>16.399999999999999</v>
      </c>
      <c r="F13223" s="2">
        <v>2</v>
      </c>
      <c r="G13223" s="2" t="s">
        <v>13</v>
      </c>
    </row>
    <row r="13224" spans="1:7" x14ac:dyDescent="0.2">
      <c r="A13224" s="2" t="s">
        <v>3380</v>
      </c>
      <c r="B13224" s="2" t="s">
        <v>172</v>
      </c>
      <c r="C13224" s="2">
        <v>738.58010000000002</v>
      </c>
      <c r="D13224" s="2">
        <f>HYPERLINK("http://mcb-m6.bioreg.kyushu-u.ac.jp/M3/20110502/F51170/2056/1", 79.38)</f>
        <v>79.38</v>
      </c>
      <c r="E13224" s="2">
        <v>31.22</v>
      </c>
      <c r="F13224" s="2">
        <v>2</v>
      </c>
      <c r="G13224" s="2" t="s">
        <v>13</v>
      </c>
    </row>
    <row r="13225" spans="1:7" x14ac:dyDescent="0.2">
      <c r="A13225" s="2" t="s">
        <v>3380</v>
      </c>
      <c r="B13225" s="2" t="s">
        <v>172</v>
      </c>
      <c r="C13225" s="2">
        <v>738.48609999999996</v>
      </c>
      <c r="D13225" s="2">
        <f>HYPERLINK("http://mcb-m6.bioreg.kyushu-u.ac.jp/M3/20110502/F51168/2022/1", 82.21)</f>
        <v>82.21</v>
      </c>
      <c r="E13225" s="2">
        <v>44.31</v>
      </c>
      <c r="F13225" s="2">
        <v>2</v>
      </c>
      <c r="G13225" s="2" t="s">
        <v>13</v>
      </c>
    </row>
    <row r="13226" spans="1:7" x14ac:dyDescent="0.2">
      <c r="A13226" s="2" t="s">
        <v>3380</v>
      </c>
      <c r="B13226" s="2" t="s">
        <v>172</v>
      </c>
      <c r="C13226" s="2">
        <v>738.82370000000003</v>
      </c>
      <c r="D13226" s="2">
        <f>HYPERLINK("http://mcb-m6.bioreg.kyushu-u.ac.jp/M3/20110502/F51171/2007/1", 82.27)</f>
        <v>82.27</v>
      </c>
      <c r="E13226" s="2">
        <v>8.25</v>
      </c>
      <c r="F13226" s="2">
        <v>2</v>
      </c>
      <c r="G13226" s="2" t="s">
        <v>13</v>
      </c>
    </row>
    <row r="13227" spans="1:7" x14ac:dyDescent="0.2">
      <c r="A13227" s="2" t="s">
        <v>3380</v>
      </c>
      <c r="B13227" s="2" t="s">
        <v>172</v>
      </c>
      <c r="C13227" s="2">
        <v>738.62710000000004</v>
      </c>
      <c r="D13227" s="2">
        <f>HYPERLINK("http://mcb-m6.bioreg.kyushu-u.ac.jp/M3/20110502/F51174/1944/1", 86.53)</f>
        <v>86.53</v>
      </c>
      <c r="E13227" s="2">
        <v>9.44</v>
      </c>
      <c r="F13227" s="2">
        <v>2</v>
      </c>
      <c r="G13227" s="2" t="s">
        <v>13</v>
      </c>
    </row>
    <row r="13228" spans="1:7" x14ac:dyDescent="0.2">
      <c r="A13228" s="2" t="s">
        <v>3380</v>
      </c>
      <c r="B13228" s="2" t="s">
        <v>172</v>
      </c>
      <c r="C13228" s="2">
        <v>738.40769999999998</v>
      </c>
      <c r="D13228" s="2">
        <f>HYPERLINK("http://mcb-m6.bioreg.kyushu-u.ac.jp/M3/20110502/F51167/1986/1", 89.96)</f>
        <v>89.96</v>
      </c>
      <c r="E13228" s="2">
        <v>53.89</v>
      </c>
      <c r="F13228" s="2">
        <v>2</v>
      </c>
      <c r="G13228" s="2" t="s">
        <v>13</v>
      </c>
    </row>
    <row r="13229" spans="1:7" x14ac:dyDescent="0.2">
      <c r="A13229" s="2" t="s">
        <v>3380</v>
      </c>
      <c r="B13229" s="2" t="s">
        <v>172</v>
      </c>
      <c r="C13229" s="2">
        <v>738.38710000000003</v>
      </c>
      <c r="D13229" s="2">
        <f>HYPERLINK("http://mcb-m6.bioreg.kyushu-u.ac.jp/M3/20110502/F51176/2009/1", 43.48)</f>
        <v>43.48</v>
      </c>
      <c r="E13229" s="2">
        <v>14.75</v>
      </c>
      <c r="F13229" s="2">
        <v>2</v>
      </c>
      <c r="G13229" s="2" t="s">
        <v>14</v>
      </c>
    </row>
    <row r="13230" spans="1:7" x14ac:dyDescent="0.2">
      <c r="A13230" s="2" t="s">
        <v>3380</v>
      </c>
      <c r="B13230" s="2" t="s">
        <v>172</v>
      </c>
      <c r="C13230" s="2">
        <v>1475.8109999999999</v>
      </c>
      <c r="D13230" s="2">
        <f>HYPERLINK("http://mcb-m6.bioreg.kyushu-u.ac.jp/M3/20110502/F51177/1803/1", 47.57)</f>
        <v>47.57</v>
      </c>
      <c r="E13230" s="2">
        <v>13.49</v>
      </c>
      <c r="F13230" s="2">
        <v>1</v>
      </c>
      <c r="G13230" s="2" t="s">
        <v>14</v>
      </c>
    </row>
    <row r="13231" spans="1:7" x14ac:dyDescent="0.2">
      <c r="A13231" s="2" t="s">
        <v>3380</v>
      </c>
      <c r="B13231" s="2" t="s">
        <v>172</v>
      </c>
      <c r="C13231" s="2">
        <v>738.98170000000005</v>
      </c>
      <c r="D13231" s="2">
        <f>HYPERLINK("http://mcb-m6.bioreg.kyushu-u.ac.jp/M3/20110502/F51191/1729/1", 47.98)</f>
        <v>47.98</v>
      </c>
      <c r="E13231" s="2">
        <v>14.56</v>
      </c>
      <c r="F13231" s="2">
        <v>2</v>
      </c>
      <c r="G13231" s="2" t="s">
        <v>14</v>
      </c>
    </row>
    <row r="13232" spans="1:7" x14ac:dyDescent="0.2">
      <c r="A13232" s="2" t="s">
        <v>3380</v>
      </c>
      <c r="B13232" s="2" t="s">
        <v>172</v>
      </c>
      <c r="C13232" s="2">
        <v>738.62819999999999</v>
      </c>
      <c r="D13232" s="2">
        <f>HYPERLINK("http://mcb-m6.bioreg.kyushu-u.ac.jp/M3/20110502/F51193/1878/1", 54.85)</f>
        <v>54.85</v>
      </c>
      <c r="E13232" s="2">
        <v>9.26</v>
      </c>
      <c r="F13232" s="2">
        <v>2</v>
      </c>
      <c r="G13232" s="2" t="s">
        <v>14</v>
      </c>
    </row>
    <row r="13233" spans="1:7" x14ac:dyDescent="0.2">
      <c r="A13233" s="2" t="s">
        <v>3380</v>
      </c>
      <c r="B13233" s="2" t="s">
        <v>172</v>
      </c>
      <c r="C13233" s="2">
        <v>738.54719999999998</v>
      </c>
      <c r="D13233" s="2">
        <f>HYPERLINK("http://mcb-m6.bioreg.kyushu-u.ac.jp/M3/20110502/F51184/1832/1", 68.18)</f>
        <v>68.180000000000007</v>
      </c>
      <c r="E13233" s="2">
        <v>11.78</v>
      </c>
      <c r="F13233" s="2">
        <v>2</v>
      </c>
      <c r="G13233" s="2" t="s">
        <v>14</v>
      </c>
    </row>
    <row r="13234" spans="1:7" x14ac:dyDescent="0.2">
      <c r="A13234" s="2" t="s">
        <v>3380</v>
      </c>
      <c r="B13234" s="2" t="s">
        <v>172</v>
      </c>
      <c r="C13234" s="2">
        <v>738.54219999999998</v>
      </c>
      <c r="D13234" s="2">
        <f>HYPERLINK("http://mcb-m6.bioreg.kyushu-u.ac.jp/M3/20110502/F51178/2083/1", 69.94)</f>
        <v>69.94</v>
      </c>
      <c r="E13234" s="2">
        <v>12.06</v>
      </c>
      <c r="F13234" s="2">
        <v>2</v>
      </c>
      <c r="G13234" s="2" t="s">
        <v>14</v>
      </c>
    </row>
    <row r="13235" spans="1:7" x14ac:dyDescent="0.2">
      <c r="A13235" s="2" t="s">
        <v>3380</v>
      </c>
      <c r="B13235" s="2" t="s">
        <v>172</v>
      </c>
      <c r="C13235" s="2">
        <v>738.59619999999995</v>
      </c>
      <c r="D13235" s="2">
        <f>HYPERLINK("http://mcb-m6.bioreg.kyushu-u.ac.jp/M3/20110502/F51179/1752/1", 76.27)</f>
        <v>76.27</v>
      </c>
      <c r="E13235" s="2">
        <v>30.23</v>
      </c>
      <c r="F13235" s="2">
        <v>2</v>
      </c>
      <c r="G13235" s="2" t="s">
        <v>14</v>
      </c>
    </row>
    <row r="13236" spans="1:7" x14ac:dyDescent="0.2">
      <c r="A13236" s="2" t="s">
        <v>3380</v>
      </c>
      <c r="B13236" s="2" t="s">
        <v>172</v>
      </c>
      <c r="C13236" s="2">
        <v>738.59310000000005</v>
      </c>
      <c r="D13236" s="2">
        <f>HYPERLINK("http://mcb-m6.bioreg.kyushu-u.ac.jp/M3/20110502/F51178/2086/1", 78.64)</f>
        <v>78.64</v>
      </c>
      <c r="E13236" s="2">
        <v>45.12</v>
      </c>
      <c r="F13236" s="2">
        <v>2</v>
      </c>
      <c r="G13236" s="2" t="s">
        <v>14</v>
      </c>
    </row>
    <row r="13237" spans="1:7" x14ac:dyDescent="0.2">
      <c r="A13237" s="2" t="s">
        <v>3380</v>
      </c>
      <c r="B13237" s="2" t="s">
        <v>172</v>
      </c>
      <c r="C13237" s="2">
        <v>738.68409999999994</v>
      </c>
      <c r="D13237" s="2">
        <f>HYPERLINK("http://mcb-m6.bioreg.kyushu-u.ac.jp/M3/20110502/F51177/1815/1", 79.47)</f>
        <v>79.47</v>
      </c>
      <c r="E13237" s="2">
        <v>30.51</v>
      </c>
      <c r="F13237" s="2">
        <v>2</v>
      </c>
      <c r="G13237" s="2" t="s">
        <v>14</v>
      </c>
    </row>
    <row r="13238" spans="1:7" x14ac:dyDescent="0.2">
      <c r="A13238" s="2" t="s">
        <v>3380</v>
      </c>
      <c r="B13238" s="2" t="s">
        <v>172</v>
      </c>
      <c r="C13238" s="2">
        <v>738.62369999999999</v>
      </c>
      <c r="D13238" s="2">
        <f>HYPERLINK("http://mcb-m6.bioreg.kyushu-u.ac.jp/M3/20110502/F51177/1812/1", 83.37)</f>
        <v>83.37</v>
      </c>
      <c r="E13238" s="2">
        <v>23.47</v>
      </c>
      <c r="F13238" s="2">
        <v>2</v>
      </c>
      <c r="G13238" s="2" t="s">
        <v>14</v>
      </c>
    </row>
    <row r="13239" spans="1:7" x14ac:dyDescent="0.2">
      <c r="A13239" s="2" t="s">
        <v>3380</v>
      </c>
      <c r="B13239" s="2" t="s">
        <v>172</v>
      </c>
      <c r="C13239" s="2">
        <v>738.55269999999996</v>
      </c>
      <c r="D13239" s="2">
        <f>HYPERLINK("http://mcb-m6.bioreg.kyushu-u.ac.jp/M3/20110502/F51177/1809/1", 91.14)</f>
        <v>91.14</v>
      </c>
      <c r="E13239" s="2">
        <v>50.76</v>
      </c>
      <c r="F13239" s="2">
        <v>2</v>
      </c>
      <c r="G13239" s="2" t="s">
        <v>14</v>
      </c>
    </row>
    <row r="13240" spans="1:7" x14ac:dyDescent="0.2">
      <c r="A13240" s="2" t="s">
        <v>3274</v>
      </c>
      <c r="B13240" s="2" t="s">
        <v>54</v>
      </c>
      <c r="C13240" s="2">
        <v>1383.8019999999999</v>
      </c>
      <c r="D13240" s="2">
        <f>HYPERLINK("http://mcb-m6.bioreg.kyushu-u.ac.jp/M3/20110411/F50905/1762/2", 35.51)</f>
        <v>35.51</v>
      </c>
      <c r="E13240" s="2">
        <v>15.36</v>
      </c>
      <c r="F13240" s="2">
        <v>1</v>
      </c>
      <c r="G13240" s="2" t="s">
        <v>9</v>
      </c>
    </row>
    <row r="13241" spans="1:7" x14ac:dyDescent="0.2">
      <c r="A13241" s="2" t="s">
        <v>3274</v>
      </c>
      <c r="B13241" s="2" t="s">
        <v>118</v>
      </c>
      <c r="C13241" s="2">
        <v>819.95619999999997</v>
      </c>
      <c r="D13241" s="2">
        <f>HYPERLINK("http://mcb-m6.bioreg.kyushu-u.ac.jp/M3/20110411/F50893/2531/1", 36.29)</f>
        <v>36.29</v>
      </c>
      <c r="E13241" s="2">
        <v>18.66</v>
      </c>
      <c r="F13241" s="2">
        <v>2</v>
      </c>
      <c r="G13241" s="2" t="s">
        <v>9</v>
      </c>
    </row>
    <row r="13242" spans="1:7" x14ac:dyDescent="0.2">
      <c r="A13242" s="2" t="s">
        <v>3274</v>
      </c>
      <c r="B13242" s="2" t="s">
        <v>54</v>
      </c>
      <c r="C13242" s="2">
        <v>1383.5719999999999</v>
      </c>
      <c r="D13242" s="2">
        <f>HYPERLINK("http://mcb-m6.bioreg.kyushu-u.ac.jp/M3/20110411/F50891/1812/2", 42.69)</f>
        <v>42.69</v>
      </c>
      <c r="E13242" s="2">
        <v>30.77</v>
      </c>
      <c r="F13242" s="2">
        <v>1</v>
      </c>
      <c r="G13242" s="2" t="s">
        <v>9</v>
      </c>
    </row>
    <row r="13243" spans="1:7" x14ac:dyDescent="0.2">
      <c r="A13243" s="2" t="s">
        <v>3274</v>
      </c>
      <c r="B13243" s="2" t="s">
        <v>118</v>
      </c>
      <c r="C13243" s="2">
        <v>819.82069999999999</v>
      </c>
      <c r="D13243" s="2">
        <f>HYPERLINK("http://mcb-m6.bioreg.kyushu-u.ac.jp/M3/20110411/F50895/2474/1", 49.81)</f>
        <v>49.81</v>
      </c>
      <c r="E13243" s="2">
        <v>33.65</v>
      </c>
      <c r="F13243" s="2">
        <v>2</v>
      </c>
      <c r="G13243" s="2" t="s">
        <v>9</v>
      </c>
    </row>
    <row r="13244" spans="1:7" x14ac:dyDescent="0.2">
      <c r="A13244" s="2" t="s">
        <v>3274</v>
      </c>
      <c r="B13244" s="2" t="s">
        <v>54</v>
      </c>
      <c r="C13244" s="2">
        <v>692.92610000000002</v>
      </c>
      <c r="D13244" s="2">
        <f>HYPERLINK("http://mcb-m6.bioreg.kyushu-u.ac.jp/M3/20110411/F50895/1846/2", 60.07)</f>
        <v>60.07</v>
      </c>
      <c r="E13244" s="2">
        <v>2.98</v>
      </c>
      <c r="F13244" s="2">
        <v>2</v>
      </c>
      <c r="G13244" s="2" t="s">
        <v>9</v>
      </c>
    </row>
    <row r="13245" spans="1:7" x14ac:dyDescent="0.2">
      <c r="A13245" s="2" t="s">
        <v>3274</v>
      </c>
      <c r="B13245" s="2" t="s">
        <v>54</v>
      </c>
      <c r="C13245" s="2">
        <v>692.40369999999996</v>
      </c>
      <c r="D13245" s="2">
        <f>HYPERLINK("http://mcb-m6.bioreg.kyushu-u.ac.jp/M3/20110411/F50915/1615/2", 62.68)</f>
        <v>62.68</v>
      </c>
      <c r="E13245" s="2">
        <v>27.18</v>
      </c>
      <c r="F13245" s="2">
        <v>2</v>
      </c>
      <c r="G13245" s="2" t="s">
        <v>9</v>
      </c>
    </row>
    <row r="13246" spans="1:7" x14ac:dyDescent="0.2">
      <c r="A13246" s="2" t="s">
        <v>3274</v>
      </c>
      <c r="B13246" s="2" t="s">
        <v>54</v>
      </c>
      <c r="C13246" s="2">
        <v>692.67169999999999</v>
      </c>
      <c r="D13246" s="2">
        <f>HYPERLINK("http://mcb-m6.bioreg.kyushu-u.ac.jp/M3/20110411/F50893/1963/2", 63.01)</f>
        <v>63.01</v>
      </c>
      <c r="E13246" s="2">
        <v>12.55</v>
      </c>
      <c r="F13246" s="2">
        <v>2</v>
      </c>
      <c r="G13246" s="2" t="s">
        <v>9</v>
      </c>
    </row>
    <row r="13247" spans="1:7" x14ac:dyDescent="0.2">
      <c r="A13247" s="2" t="s">
        <v>3274</v>
      </c>
      <c r="B13247" s="2" t="s">
        <v>54</v>
      </c>
      <c r="C13247" s="2">
        <v>692.51670000000001</v>
      </c>
      <c r="D13247" s="2">
        <f>HYPERLINK("http://mcb-m6.bioreg.kyushu-u.ac.jp/M3/20110411/F50904/1795/2", 69.11)</f>
        <v>69.11</v>
      </c>
      <c r="E13247" s="2">
        <v>32.1</v>
      </c>
      <c r="F13247" s="2">
        <v>2</v>
      </c>
      <c r="G13247" s="2" t="s">
        <v>9</v>
      </c>
    </row>
    <row r="13248" spans="1:7" x14ac:dyDescent="0.2">
      <c r="A13248" s="2" t="s">
        <v>3274</v>
      </c>
      <c r="B13248" s="2" t="s">
        <v>54</v>
      </c>
      <c r="C13248" s="2">
        <v>692.42070000000001</v>
      </c>
      <c r="D13248" s="2">
        <f>HYPERLINK("http://mcb-m6.bioreg.kyushu-u.ac.jp/M3/20110411/F50895/1841/2", 70.98)</f>
        <v>70.98</v>
      </c>
      <c r="E13248" s="2">
        <v>21.01</v>
      </c>
      <c r="F13248" s="2">
        <v>2</v>
      </c>
      <c r="G13248" s="2" t="s">
        <v>9</v>
      </c>
    </row>
    <row r="13249" spans="1:7" x14ac:dyDescent="0.2">
      <c r="A13249" s="2" t="s">
        <v>3274</v>
      </c>
      <c r="B13249" s="2" t="s">
        <v>54</v>
      </c>
      <c r="C13249" s="2">
        <v>692.74720000000002</v>
      </c>
      <c r="D13249" s="2">
        <f>HYPERLINK("http://mcb-m6.bioreg.kyushu-u.ac.jp/M3/20110411/F50894/2025/2", 75.3)</f>
        <v>75.3</v>
      </c>
      <c r="E13249" s="2">
        <v>21.71</v>
      </c>
      <c r="F13249" s="2">
        <v>2</v>
      </c>
      <c r="G13249" s="2" t="s">
        <v>9</v>
      </c>
    </row>
    <row r="13250" spans="1:7" x14ac:dyDescent="0.2">
      <c r="A13250" s="2" t="s">
        <v>3274</v>
      </c>
      <c r="B13250" s="2" t="s">
        <v>54</v>
      </c>
      <c r="C13250" s="2">
        <v>692.11410000000001</v>
      </c>
      <c r="D13250" s="2">
        <f>HYPERLINK("http://mcb-m6.bioreg.kyushu-u.ac.jp/M3/20110411/F50889/2087/2", 78.68)</f>
        <v>78.680000000000007</v>
      </c>
      <c r="E13250" s="2">
        <v>55.37</v>
      </c>
      <c r="F13250" s="2">
        <v>2</v>
      </c>
      <c r="G13250" s="2" t="s">
        <v>9</v>
      </c>
    </row>
    <row r="13251" spans="1:7" x14ac:dyDescent="0.2">
      <c r="A13251" s="2" t="s">
        <v>3274</v>
      </c>
      <c r="B13251" s="2" t="s">
        <v>54</v>
      </c>
      <c r="C13251" s="2">
        <v>692.65769999999998</v>
      </c>
      <c r="D13251" s="2">
        <f>HYPERLINK("http://mcb-m6.bioreg.kyushu-u.ac.jp/M3/20110411/F50893/1962/2", 80.68)</f>
        <v>80.680000000000007</v>
      </c>
      <c r="E13251" s="2">
        <v>5.14</v>
      </c>
      <c r="F13251" s="2">
        <v>2</v>
      </c>
      <c r="G13251" s="2" t="s">
        <v>9</v>
      </c>
    </row>
    <row r="13252" spans="1:7" x14ac:dyDescent="0.2">
      <c r="A13252" s="2" t="s">
        <v>3274</v>
      </c>
      <c r="B13252" s="2" t="s">
        <v>54</v>
      </c>
      <c r="C13252" s="2">
        <v>692.36519999999996</v>
      </c>
      <c r="D13252" s="2">
        <f>HYPERLINK("http://mcb-m6.bioreg.kyushu-u.ac.jp/M3/20110411/F50892/1977/2", 81.76)</f>
        <v>81.760000000000005</v>
      </c>
      <c r="E13252" s="2">
        <v>47.2</v>
      </c>
      <c r="F13252" s="2">
        <v>2</v>
      </c>
      <c r="G13252" s="2" t="s">
        <v>9</v>
      </c>
    </row>
    <row r="13253" spans="1:7" x14ac:dyDescent="0.2">
      <c r="A13253" s="2" t="s">
        <v>3274</v>
      </c>
      <c r="B13253" s="2" t="s">
        <v>118</v>
      </c>
      <c r="C13253" s="2">
        <v>820.48910000000001</v>
      </c>
      <c r="D13253" s="2">
        <f>HYPERLINK("http://mcb-m6.bioreg.kyushu-u.ac.jp/M3/20110411/F50901/2374/1", 36.49)</f>
        <v>36.49</v>
      </c>
      <c r="E13253" s="2">
        <v>20.88</v>
      </c>
      <c r="F13253" s="2">
        <v>2</v>
      </c>
      <c r="G13253" s="2" t="s">
        <v>10</v>
      </c>
    </row>
    <row r="13254" spans="1:7" x14ac:dyDescent="0.2">
      <c r="A13254" s="2" t="s">
        <v>3274</v>
      </c>
      <c r="B13254" s="2" t="s">
        <v>54</v>
      </c>
      <c r="C13254" s="2">
        <v>692.77120000000002</v>
      </c>
      <c r="D13254" s="2">
        <f>HYPERLINK("http://mcb-m6.bioreg.kyushu-u.ac.jp/M3/20110411/F50899/2054/2", 46.46)</f>
        <v>46.46</v>
      </c>
      <c r="E13254" s="2">
        <v>0.21</v>
      </c>
      <c r="F13254" s="2">
        <v>2</v>
      </c>
      <c r="G13254" s="2" t="s">
        <v>10</v>
      </c>
    </row>
    <row r="13255" spans="1:7" x14ac:dyDescent="0.2">
      <c r="A13255" s="2" t="s">
        <v>3274</v>
      </c>
      <c r="B13255" s="2" t="s">
        <v>118</v>
      </c>
      <c r="C13255" s="2">
        <v>819.95569999999998</v>
      </c>
      <c r="D13255" s="2">
        <f>HYPERLINK("http://mcb-m6.bioreg.kyushu-u.ac.jp/M3/20110411/F50917/2432/1", 52.01)</f>
        <v>52.01</v>
      </c>
      <c r="E13255" s="2">
        <v>29.38</v>
      </c>
      <c r="F13255" s="2">
        <v>2</v>
      </c>
      <c r="G13255" s="2" t="s">
        <v>10</v>
      </c>
    </row>
    <row r="13256" spans="1:7" x14ac:dyDescent="0.2">
      <c r="A13256" s="2" t="s">
        <v>3274</v>
      </c>
      <c r="B13256" s="2" t="s">
        <v>54</v>
      </c>
      <c r="C13256" s="2">
        <v>692.47770000000003</v>
      </c>
      <c r="D13256" s="2">
        <f>HYPERLINK("http://mcb-m6.bioreg.kyushu-u.ac.jp/M3/20110411/F50901/1833/2", 75.07)</f>
        <v>75.069999999999993</v>
      </c>
      <c r="E13256" s="2">
        <v>29.72</v>
      </c>
      <c r="F13256" s="2">
        <v>2</v>
      </c>
      <c r="G13256" s="2" t="s">
        <v>10</v>
      </c>
    </row>
    <row r="13257" spans="1:7" x14ac:dyDescent="0.2">
      <c r="A13257" s="2" t="s">
        <v>3274</v>
      </c>
      <c r="B13257" s="2" t="s">
        <v>54</v>
      </c>
      <c r="C13257" s="2">
        <v>692.4117</v>
      </c>
      <c r="D13257" s="2">
        <f>HYPERLINK("http://mcb-m6.bioreg.kyushu-u.ac.jp/M3/20110411/F50918/1608/2", 75.82)</f>
        <v>75.819999999999993</v>
      </c>
      <c r="E13257" s="2">
        <v>46.09</v>
      </c>
      <c r="F13257" s="2">
        <v>2</v>
      </c>
      <c r="G13257" s="2" t="s">
        <v>10</v>
      </c>
    </row>
    <row r="13258" spans="1:7" x14ac:dyDescent="0.2">
      <c r="A13258" s="2" t="s">
        <v>3274</v>
      </c>
      <c r="B13258" s="2" t="s">
        <v>54</v>
      </c>
      <c r="C13258" s="2">
        <v>692.48659999999995</v>
      </c>
      <c r="D13258" s="2">
        <f>HYPERLINK("http://mcb-m6.bioreg.kyushu-u.ac.jp/M3/20110411/F50902/1818/2", 78.3)</f>
        <v>78.3</v>
      </c>
      <c r="E13258" s="2">
        <v>32.42</v>
      </c>
      <c r="F13258" s="2">
        <v>2</v>
      </c>
      <c r="G13258" s="2" t="s">
        <v>10</v>
      </c>
    </row>
    <row r="13259" spans="1:7" x14ac:dyDescent="0.2">
      <c r="A13259" s="2" t="s">
        <v>3274</v>
      </c>
      <c r="B13259" s="2" t="s">
        <v>54</v>
      </c>
      <c r="C13259" s="2">
        <v>692.53420000000006</v>
      </c>
      <c r="D13259" s="2">
        <f>HYPERLINK("http://mcb-m6.bioreg.kyushu-u.ac.jp/M3/20110411/F50920/1339/2", 82.03)</f>
        <v>82.03</v>
      </c>
      <c r="E13259" s="2">
        <v>49.48</v>
      </c>
      <c r="F13259" s="2">
        <v>2</v>
      </c>
      <c r="G13259" s="2" t="s">
        <v>10</v>
      </c>
    </row>
    <row r="13260" spans="1:7" x14ac:dyDescent="0.2">
      <c r="A13260" s="2" t="s">
        <v>3274</v>
      </c>
      <c r="B13260" s="2" t="s">
        <v>54</v>
      </c>
      <c r="C13260" s="2">
        <v>692.35860000000002</v>
      </c>
      <c r="D13260" s="2">
        <f>HYPERLINK("http://mcb-m6.bioreg.kyushu-u.ac.jp/M3/20110411/F50921/1604/2", 89.04)</f>
        <v>89.04</v>
      </c>
      <c r="E13260" s="2">
        <v>55.08</v>
      </c>
      <c r="F13260" s="2">
        <v>2</v>
      </c>
      <c r="G13260" s="2" t="s">
        <v>10</v>
      </c>
    </row>
    <row r="13261" spans="1:7" x14ac:dyDescent="0.2">
      <c r="A13261" s="2" t="s">
        <v>3274</v>
      </c>
      <c r="B13261" s="2" t="s">
        <v>54</v>
      </c>
      <c r="C13261" s="2">
        <v>692.29470000000003</v>
      </c>
      <c r="D13261" s="2">
        <f>HYPERLINK("http://mcb-m6.bioreg.kyushu-u.ac.jp/M3/20110414/F50944/1848/2", 61.03)</f>
        <v>61.03</v>
      </c>
      <c r="E13261" s="2">
        <v>37.93</v>
      </c>
      <c r="F13261" s="2">
        <v>2</v>
      </c>
      <c r="G13261" s="2" t="s">
        <v>11</v>
      </c>
    </row>
    <row r="13262" spans="1:7" x14ac:dyDescent="0.2">
      <c r="A13262" s="2" t="s">
        <v>3274</v>
      </c>
      <c r="B13262" s="2" t="s">
        <v>54</v>
      </c>
      <c r="C13262" s="2">
        <v>692.60820000000001</v>
      </c>
      <c r="D13262" s="2">
        <f>HYPERLINK("http://mcb-m6.bioreg.kyushu-u.ac.jp/M3/20110414/F50945/1752/2", 64.3)</f>
        <v>64.3</v>
      </c>
      <c r="E13262" s="2">
        <v>34.200000000000003</v>
      </c>
      <c r="F13262" s="2">
        <v>2</v>
      </c>
      <c r="G13262" s="2" t="s">
        <v>11</v>
      </c>
    </row>
    <row r="13263" spans="1:7" x14ac:dyDescent="0.2">
      <c r="A13263" s="2" t="s">
        <v>3274</v>
      </c>
      <c r="B13263" s="2" t="s">
        <v>54</v>
      </c>
      <c r="C13263" s="2">
        <v>1383.3050000000001</v>
      </c>
      <c r="D13263" s="2">
        <f>HYPERLINK("http://mcb-m6.bioreg.kyushu-u.ac.jp/M3/20110414/F50933/2162/2", 42.1)</f>
        <v>42.1</v>
      </c>
      <c r="E13263" s="2">
        <v>26.47</v>
      </c>
      <c r="F13263" s="2">
        <v>1</v>
      </c>
      <c r="G13263" s="2" t="s">
        <v>12</v>
      </c>
    </row>
    <row r="13264" spans="1:7" x14ac:dyDescent="0.2">
      <c r="A13264" s="2" t="s">
        <v>3274</v>
      </c>
      <c r="B13264" s="2" t="s">
        <v>54</v>
      </c>
      <c r="C13264" s="2">
        <v>692.28120000000001</v>
      </c>
      <c r="D13264" s="2">
        <f>HYPERLINK("http://mcb-m6.bioreg.kyushu-u.ac.jp/M3/20110414/F50933/2166/2", 43.42)</f>
        <v>43.42</v>
      </c>
      <c r="E13264" s="2">
        <v>23.02</v>
      </c>
      <c r="F13264" s="2">
        <v>2</v>
      </c>
      <c r="G13264" s="2" t="s">
        <v>12</v>
      </c>
    </row>
    <row r="13265" spans="1:7" x14ac:dyDescent="0.2">
      <c r="A13265" s="2" t="s">
        <v>3274</v>
      </c>
      <c r="B13265" s="2" t="s">
        <v>54</v>
      </c>
      <c r="C13265" s="2">
        <v>692.2491</v>
      </c>
      <c r="D13265" s="2">
        <f>HYPERLINK("http://mcb-m6.bioreg.kyushu-u.ac.jp/M3/20110414/F50933/2164/2", 43.48)</f>
        <v>43.48</v>
      </c>
      <c r="E13265" s="2">
        <v>26.86</v>
      </c>
      <c r="F13265" s="2">
        <v>2</v>
      </c>
      <c r="G13265" s="2" t="s">
        <v>12</v>
      </c>
    </row>
    <row r="13266" spans="1:7" x14ac:dyDescent="0.2">
      <c r="A13266" s="2" t="s">
        <v>3274</v>
      </c>
      <c r="B13266" s="2" t="s">
        <v>54</v>
      </c>
      <c r="C13266" s="2">
        <v>692.02560000000005</v>
      </c>
      <c r="D13266" s="2">
        <f>HYPERLINK("http://mcb-m6.bioreg.kyushu-u.ac.jp/M3/20110414/F50933/2159/1", 46.9)</f>
        <v>46.9</v>
      </c>
      <c r="E13266" s="2">
        <v>0.98</v>
      </c>
      <c r="F13266" s="2">
        <v>2</v>
      </c>
      <c r="G13266" s="2" t="s">
        <v>12</v>
      </c>
    </row>
    <row r="13267" spans="1:7" x14ac:dyDescent="0.2">
      <c r="A13267" s="2" t="s">
        <v>3274</v>
      </c>
      <c r="B13267" s="2" t="s">
        <v>54</v>
      </c>
      <c r="C13267" s="2">
        <v>692.15060000000005</v>
      </c>
      <c r="D13267" s="2">
        <f>HYPERLINK("http://mcb-m6.bioreg.kyushu-u.ac.jp/M3/20110414/F50932/2092/2", 56.8)</f>
        <v>56.8</v>
      </c>
      <c r="E13267" s="2">
        <v>37.21</v>
      </c>
      <c r="F13267" s="2">
        <v>2</v>
      </c>
      <c r="G13267" s="2" t="s">
        <v>12</v>
      </c>
    </row>
    <row r="13268" spans="1:7" x14ac:dyDescent="0.2">
      <c r="A13268" s="2" t="s">
        <v>3274</v>
      </c>
      <c r="B13268" s="2" t="s">
        <v>54</v>
      </c>
      <c r="C13268" s="2">
        <v>692.29020000000003</v>
      </c>
      <c r="D13268" s="2">
        <f>HYPERLINK("http://mcb-m6.bioreg.kyushu-u.ac.jp/M3/20110414/F50933/2167/2", 68.79)</f>
        <v>68.790000000000006</v>
      </c>
      <c r="E13268" s="2">
        <v>39.11</v>
      </c>
      <c r="F13268" s="2">
        <v>2</v>
      </c>
      <c r="G13268" s="2" t="s">
        <v>12</v>
      </c>
    </row>
    <row r="13269" spans="1:7" x14ac:dyDescent="0.2">
      <c r="A13269" s="2" t="s">
        <v>3274</v>
      </c>
      <c r="B13269" s="2" t="s">
        <v>54</v>
      </c>
      <c r="C13269" s="2">
        <v>692.68769999999995</v>
      </c>
      <c r="D13269" s="2">
        <f>HYPERLINK("http://mcb-m6.bioreg.kyushu-u.ac.jp/M3/20110414/F50934/2138/2", 72.45)</f>
        <v>72.45</v>
      </c>
      <c r="E13269" s="2">
        <v>29.04</v>
      </c>
      <c r="F13269" s="2">
        <v>2</v>
      </c>
      <c r="G13269" s="2" t="s">
        <v>12</v>
      </c>
    </row>
    <row r="13270" spans="1:7" x14ac:dyDescent="0.2">
      <c r="A13270" s="2" t="s">
        <v>3274</v>
      </c>
      <c r="B13270" s="2" t="s">
        <v>54</v>
      </c>
      <c r="C13270" s="2">
        <v>692.25019999999995</v>
      </c>
      <c r="D13270" s="2">
        <f>HYPERLINK("http://mcb-m6.bioreg.kyushu-u.ac.jp/M3/20110414/F50933/2165/2", 72.57)</f>
        <v>72.569999999999993</v>
      </c>
      <c r="E13270" s="2">
        <v>46.23</v>
      </c>
      <c r="F13270" s="2">
        <v>2</v>
      </c>
      <c r="G13270" s="2" t="s">
        <v>12</v>
      </c>
    </row>
    <row r="13271" spans="1:7" x14ac:dyDescent="0.2">
      <c r="A13271" s="2" t="s">
        <v>3274</v>
      </c>
      <c r="B13271" s="2" t="s">
        <v>118</v>
      </c>
      <c r="C13271" s="2">
        <v>819.88070000000005</v>
      </c>
      <c r="D13271" s="2">
        <f>HYPERLINK("http://mcb-m6.bioreg.kyushu-u.ac.jp/M3/20110414/F50933/2740/1", 73.57)</f>
        <v>73.569999999999993</v>
      </c>
      <c r="E13271" s="2">
        <v>41.17</v>
      </c>
      <c r="F13271" s="2">
        <v>2</v>
      </c>
      <c r="G13271" s="2" t="s">
        <v>12</v>
      </c>
    </row>
    <row r="13272" spans="1:7" x14ac:dyDescent="0.2">
      <c r="A13272" s="2" t="s">
        <v>3274</v>
      </c>
      <c r="B13272" s="2" t="s">
        <v>118</v>
      </c>
      <c r="C13272" s="2">
        <v>820.44209999999998</v>
      </c>
      <c r="D13272" s="2">
        <f>HYPERLINK("http://mcb-m6.bioreg.kyushu-u.ac.jp/M3/20110414/F50933/2744/1", 89.9)</f>
        <v>89.9</v>
      </c>
      <c r="E13272" s="2">
        <v>70.180000000000007</v>
      </c>
      <c r="F13272" s="2">
        <v>2</v>
      </c>
      <c r="G13272" s="2" t="s">
        <v>12</v>
      </c>
    </row>
    <row r="13273" spans="1:7" x14ac:dyDescent="0.2">
      <c r="A13273" s="2" t="s">
        <v>3274</v>
      </c>
      <c r="B13273" s="2" t="s">
        <v>54</v>
      </c>
      <c r="C13273" s="2">
        <v>692.51170000000002</v>
      </c>
      <c r="D13273" s="2">
        <f>HYPERLINK("http://mcb-m6.bioreg.kyushu-u.ac.jp/M3/20110502/F51188/1608/2", 46.83)</f>
        <v>46.83</v>
      </c>
      <c r="E13273" s="2">
        <v>31.43</v>
      </c>
      <c r="F13273" s="2">
        <v>2</v>
      </c>
      <c r="G13273" s="2" t="s">
        <v>13</v>
      </c>
    </row>
    <row r="13274" spans="1:7" x14ac:dyDescent="0.2">
      <c r="A13274" s="2" t="s">
        <v>3274</v>
      </c>
      <c r="B13274" s="2" t="s">
        <v>54</v>
      </c>
      <c r="C13274" s="2">
        <v>692.71259999999995</v>
      </c>
      <c r="D13274" s="2">
        <f>HYPERLINK("http://mcb-m6.bioreg.kyushu-u.ac.jp/M3/20110502/F51174/1767/2", 61.3)</f>
        <v>61.3</v>
      </c>
      <c r="E13274" s="2">
        <v>7.64</v>
      </c>
      <c r="F13274" s="2">
        <v>2</v>
      </c>
      <c r="G13274" s="2" t="s">
        <v>13</v>
      </c>
    </row>
    <row r="13275" spans="1:7" x14ac:dyDescent="0.2">
      <c r="A13275" s="2" t="s">
        <v>3274</v>
      </c>
      <c r="B13275" s="2" t="s">
        <v>54</v>
      </c>
      <c r="C13275" s="2">
        <v>692.46770000000004</v>
      </c>
      <c r="D13275" s="2">
        <f>HYPERLINK("http://mcb-m6.bioreg.kyushu-u.ac.jp/M3/20110502/F51168/1857/2", 67.1)</f>
        <v>67.099999999999994</v>
      </c>
      <c r="E13275" s="2">
        <v>42.38</v>
      </c>
      <c r="F13275" s="2">
        <v>2</v>
      </c>
      <c r="G13275" s="2" t="s">
        <v>13</v>
      </c>
    </row>
    <row r="13276" spans="1:7" x14ac:dyDescent="0.2">
      <c r="A13276" s="2" t="s">
        <v>3274</v>
      </c>
      <c r="B13276" s="2" t="s">
        <v>54</v>
      </c>
      <c r="C13276" s="2">
        <v>1383.828</v>
      </c>
      <c r="D13276" s="2">
        <f>HYPERLINK("http://mcb-m6.bioreg.kyushu-u.ac.jp/M3/20110502/F51177/1551/2", 40.7)</f>
        <v>40.700000000000003</v>
      </c>
      <c r="E13276" s="2">
        <v>14.43</v>
      </c>
      <c r="F13276" s="2">
        <v>1</v>
      </c>
      <c r="G13276" s="2" t="s">
        <v>14</v>
      </c>
    </row>
    <row r="13277" spans="1:7" x14ac:dyDescent="0.2">
      <c r="A13277" s="2" t="s">
        <v>3274</v>
      </c>
      <c r="B13277" s="2" t="s">
        <v>54</v>
      </c>
      <c r="C13277" s="2">
        <v>692.23609999999996</v>
      </c>
      <c r="D13277" s="2">
        <f>HYPERLINK("http://mcb-m6.bioreg.kyushu-u.ac.jp/M3/20110502/F51177/1549/2", 50.33)</f>
        <v>50.33</v>
      </c>
      <c r="E13277" s="2">
        <v>37.01</v>
      </c>
      <c r="F13277" s="2">
        <v>2</v>
      </c>
      <c r="G13277" s="2" t="s">
        <v>14</v>
      </c>
    </row>
    <row r="13278" spans="1:7" x14ac:dyDescent="0.2">
      <c r="A13278" s="2" t="s">
        <v>3274</v>
      </c>
      <c r="B13278" s="2" t="s">
        <v>54</v>
      </c>
      <c r="C13278" s="2">
        <v>692.41970000000003</v>
      </c>
      <c r="D13278" s="2">
        <f>HYPERLINK("http://mcb-m6.bioreg.kyushu-u.ac.jp/M3/20110502/F51185/1622/2", 50.95)</f>
        <v>50.95</v>
      </c>
      <c r="E13278" s="2">
        <v>4.91</v>
      </c>
      <c r="F13278" s="2">
        <v>2</v>
      </c>
      <c r="G13278" s="2" t="s">
        <v>14</v>
      </c>
    </row>
    <row r="13279" spans="1:7" x14ac:dyDescent="0.2">
      <c r="A13279" s="2" t="s">
        <v>3274</v>
      </c>
      <c r="B13279" s="2" t="s">
        <v>54</v>
      </c>
      <c r="C13279" s="2">
        <v>692.57420000000002</v>
      </c>
      <c r="D13279" s="2">
        <f>HYPERLINK("http://mcb-m6.bioreg.kyushu-u.ac.jp/M3/20110502/F51177/1556/2", 54.95)</f>
        <v>54.95</v>
      </c>
      <c r="E13279" s="2">
        <v>9.19</v>
      </c>
      <c r="F13279" s="2">
        <v>2</v>
      </c>
      <c r="G13279" s="2" t="s">
        <v>14</v>
      </c>
    </row>
    <row r="13280" spans="1:7" x14ac:dyDescent="0.2">
      <c r="A13280" s="2" t="s">
        <v>3274</v>
      </c>
      <c r="B13280" s="2" t="s">
        <v>118</v>
      </c>
      <c r="C13280" s="2">
        <v>820.27719999999999</v>
      </c>
      <c r="D13280" s="2">
        <f>HYPERLINK("http://mcb-m6.bioreg.kyushu-u.ac.jp/M3/20110502/F51182/2390/1", 64.25)</f>
        <v>64.25</v>
      </c>
      <c r="E13280" s="2">
        <v>42.09</v>
      </c>
      <c r="F13280" s="2">
        <v>2</v>
      </c>
      <c r="G13280" s="2" t="s">
        <v>14</v>
      </c>
    </row>
    <row r="13281" spans="1:7" x14ac:dyDescent="0.2">
      <c r="A13281" s="2" t="s">
        <v>3274</v>
      </c>
      <c r="B13281" s="2" t="s">
        <v>54</v>
      </c>
      <c r="C13281" s="2">
        <v>692.60310000000004</v>
      </c>
      <c r="D13281" s="2">
        <f>HYPERLINK("http://mcb-m6.bioreg.kyushu-u.ac.jp/M3/20110502/F51184/1547/2", 67.43)</f>
        <v>67.430000000000007</v>
      </c>
      <c r="E13281" s="2">
        <v>15.4</v>
      </c>
      <c r="F13281" s="2">
        <v>2</v>
      </c>
      <c r="G13281" s="2" t="s">
        <v>14</v>
      </c>
    </row>
    <row r="13282" spans="1:7" x14ac:dyDescent="0.2">
      <c r="A13282" s="2" t="s">
        <v>3274</v>
      </c>
      <c r="B13282" s="2" t="s">
        <v>118</v>
      </c>
      <c r="C13282" s="2">
        <v>820.53020000000004</v>
      </c>
      <c r="D13282" s="2">
        <f>HYPERLINK("http://mcb-m6.bioreg.kyushu-u.ac.jp/M3/20110502/F51177/2341/1", 69.38)</f>
        <v>69.38</v>
      </c>
      <c r="E13282" s="2">
        <v>50.7</v>
      </c>
      <c r="F13282" s="2">
        <v>2</v>
      </c>
      <c r="G13282" s="2" t="s">
        <v>14</v>
      </c>
    </row>
    <row r="13283" spans="1:7" x14ac:dyDescent="0.2">
      <c r="A13283" s="2" t="s">
        <v>3274</v>
      </c>
      <c r="B13283" s="2" t="s">
        <v>54</v>
      </c>
      <c r="C13283" s="2">
        <v>692.59519999999998</v>
      </c>
      <c r="D13283" s="2">
        <f>HYPERLINK("http://mcb-m6.bioreg.kyushu-u.ac.jp/M3/20110502/F51193/1596/2", 70.5)</f>
        <v>70.5</v>
      </c>
      <c r="E13283" s="2">
        <v>15.05</v>
      </c>
      <c r="F13283" s="2">
        <v>2</v>
      </c>
      <c r="G13283" s="2" t="s">
        <v>14</v>
      </c>
    </row>
    <row r="13284" spans="1:7" x14ac:dyDescent="0.2">
      <c r="A13284" s="2" t="s">
        <v>3274</v>
      </c>
      <c r="B13284" s="2" t="s">
        <v>118</v>
      </c>
      <c r="C13284" s="2">
        <v>820.20510000000002</v>
      </c>
      <c r="D13284" s="2">
        <f>HYPERLINK("http://mcb-m6.bioreg.kyushu-u.ac.jp/M3/20110502/F51177/2339/1", 74.37)</f>
        <v>74.37</v>
      </c>
      <c r="E13284" s="2">
        <v>46.19</v>
      </c>
      <c r="F13284" s="2">
        <v>2</v>
      </c>
      <c r="G13284" s="2" t="s">
        <v>14</v>
      </c>
    </row>
    <row r="13285" spans="1:7" x14ac:dyDescent="0.2">
      <c r="A13285" s="2" t="s">
        <v>3274</v>
      </c>
      <c r="B13285" s="2" t="s">
        <v>118</v>
      </c>
      <c r="C13285" s="2">
        <v>820.26170000000002</v>
      </c>
      <c r="D13285" s="2">
        <f>HYPERLINK("http://mcb-m6.bioreg.kyushu-u.ac.jp/M3/20110502/F51177/2340/1", 74.57)</f>
        <v>74.569999999999993</v>
      </c>
      <c r="E13285" s="2">
        <v>54.09</v>
      </c>
      <c r="F13285" s="2">
        <v>2</v>
      </c>
      <c r="G13285" s="2" t="s">
        <v>14</v>
      </c>
    </row>
    <row r="13286" spans="1:7" x14ac:dyDescent="0.2">
      <c r="A13286" s="2" t="s">
        <v>3274</v>
      </c>
      <c r="B13286" s="2" t="s">
        <v>118</v>
      </c>
      <c r="C13286" s="2">
        <v>820.38170000000002</v>
      </c>
      <c r="D13286" s="2">
        <f>HYPERLINK("http://mcb-m6.bioreg.kyushu-u.ac.jp/M3/20110502/F51178/2449/1", 76.84)</f>
        <v>76.84</v>
      </c>
      <c r="E13286" s="2">
        <v>57.21</v>
      </c>
      <c r="F13286" s="2">
        <v>2</v>
      </c>
      <c r="G13286" s="2" t="s">
        <v>14</v>
      </c>
    </row>
    <row r="13287" spans="1:7" x14ac:dyDescent="0.2">
      <c r="A13287" s="2" t="s">
        <v>3274</v>
      </c>
      <c r="B13287" s="2" t="s">
        <v>54</v>
      </c>
      <c r="C13287" s="2">
        <v>692.65419999999995</v>
      </c>
      <c r="D13287" s="2">
        <f>HYPERLINK("http://mcb-m6.bioreg.kyushu-u.ac.jp/M3/20110502/F51182/1557/2", 81.84)</f>
        <v>81.84</v>
      </c>
      <c r="E13287" s="2">
        <v>6.23</v>
      </c>
      <c r="F13287" s="2">
        <v>2</v>
      </c>
      <c r="G13287" s="2" t="s">
        <v>14</v>
      </c>
    </row>
    <row r="13288" spans="1:7" x14ac:dyDescent="0.2">
      <c r="A13288" s="2" t="s">
        <v>3967</v>
      </c>
      <c r="B13288" s="2" t="s">
        <v>1198</v>
      </c>
      <c r="C13288" s="2">
        <v>658.15120000000002</v>
      </c>
      <c r="D13288" s="2">
        <f>HYPERLINK("http://mcb-m6.bioreg.kyushu-u.ac.jp/M3/20110411/F50893/1809/1", 67)</f>
        <v>67</v>
      </c>
      <c r="E13288" s="2">
        <v>50.52</v>
      </c>
      <c r="F13288" s="2">
        <v>2</v>
      </c>
      <c r="G13288" s="2" t="s">
        <v>9</v>
      </c>
    </row>
    <row r="13289" spans="1:7" x14ac:dyDescent="0.2">
      <c r="A13289" s="2" t="s">
        <v>3967</v>
      </c>
      <c r="B13289" s="2" t="s">
        <v>1198</v>
      </c>
      <c r="C13289" s="2">
        <v>658.36569999999995</v>
      </c>
      <c r="D13289" s="2">
        <f>HYPERLINK("http://mcb-m6.bioreg.kyushu-u.ac.jp/M3/20110411/F50894/1914/1", 72.35)</f>
        <v>72.349999999999994</v>
      </c>
      <c r="E13289" s="2">
        <v>42.01</v>
      </c>
      <c r="F13289" s="2">
        <v>2</v>
      </c>
      <c r="G13289" s="2" t="s">
        <v>9</v>
      </c>
    </row>
    <row r="13290" spans="1:7" x14ac:dyDescent="0.2">
      <c r="A13290" s="2" t="s">
        <v>3967</v>
      </c>
      <c r="B13290" s="2" t="s">
        <v>1944</v>
      </c>
      <c r="C13290" s="2">
        <v>606.42660000000001</v>
      </c>
      <c r="D13290" s="2">
        <f>HYPERLINK("http://mcb-m6.bioreg.kyushu-u.ac.jp/M3/20110411/F50900/1672/1", 52.69)</f>
        <v>52.69</v>
      </c>
      <c r="E13290" s="2">
        <v>33.71</v>
      </c>
      <c r="F13290" s="2">
        <v>2</v>
      </c>
      <c r="G13290" s="2" t="s">
        <v>10</v>
      </c>
    </row>
    <row r="13291" spans="1:7" x14ac:dyDescent="0.2">
      <c r="A13291" s="2" t="s">
        <v>3967</v>
      </c>
      <c r="B13291" s="2" t="s">
        <v>1198</v>
      </c>
      <c r="C13291" s="2">
        <v>657.94420000000002</v>
      </c>
      <c r="D13291" s="2">
        <f>HYPERLINK("http://mcb-m6.bioreg.kyushu-u.ac.jp/M3/20110411/F50900/1817/1", 85.66)</f>
        <v>85.66</v>
      </c>
      <c r="E13291" s="2">
        <v>65.75</v>
      </c>
      <c r="F13291" s="2">
        <v>2</v>
      </c>
      <c r="G13291" s="2" t="s">
        <v>10</v>
      </c>
    </row>
    <row r="13292" spans="1:7" x14ac:dyDescent="0.2">
      <c r="A13292" s="2" t="s">
        <v>3967</v>
      </c>
      <c r="B13292" s="2" t="s">
        <v>1944</v>
      </c>
      <c r="C13292" s="2">
        <v>606.2482</v>
      </c>
      <c r="D13292" s="2">
        <f>HYPERLINK("http://mcb-m6.bioreg.kyushu-u.ac.jp/M3/20110414/F50943/1250/1", 36.72)</f>
        <v>36.72</v>
      </c>
      <c r="E13292" s="2">
        <v>21.15</v>
      </c>
      <c r="F13292" s="2">
        <v>2</v>
      </c>
      <c r="G13292" s="2" t="s">
        <v>11</v>
      </c>
    </row>
    <row r="13293" spans="1:7" x14ac:dyDescent="0.2">
      <c r="A13293" s="2" t="s">
        <v>3967</v>
      </c>
      <c r="B13293" s="2" t="s">
        <v>2303</v>
      </c>
      <c r="C13293" s="2">
        <v>565.76210000000003</v>
      </c>
      <c r="D13293" s="2">
        <f>HYPERLINK("http://mcb-m6.bioreg.kyushu-u.ac.jp/M3/20110414/F50943/1112/1", 44.48)</f>
        <v>44.48</v>
      </c>
      <c r="E13293" s="2">
        <v>25.17</v>
      </c>
      <c r="F13293" s="2">
        <v>2</v>
      </c>
      <c r="G13293" s="2" t="s">
        <v>11</v>
      </c>
    </row>
    <row r="13294" spans="1:7" x14ac:dyDescent="0.2">
      <c r="A13294" s="2" t="s">
        <v>3967</v>
      </c>
      <c r="B13294" s="2" t="s">
        <v>1198</v>
      </c>
      <c r="C13294" s="2">
        <v>658.00620000000004</v>
      </c>
      <c r="D13294" s="2">
        <f>HYPERLINK("http://mcb-m6.bioreg.kyushu-u.ac.jp/M3/20110414/F50943/1438/1", 66.44)</f>
        <v>66.44</v>
      </c>
      <c r="E13294" s="2">
        <v>53.57</v>
      </c>
      <c r="F13294" s="2">
        <v>2</v>
      </c>
      <c r="G13294" s="2" t="s">
        <v>11</v>
      </c>
    </row>
    <row r="13295" spans="1:7" x14ac:dyDescent="0.2">
      <c r="A13295" s="2" t="s">
        <v>3967</v>
      </c>
      <c r="B13295" s="2" t="s">
        <v>2303</v>
      </c>
      <c r="C13295" s="2">
        <v>565.66520000000003</v>
      </c>
      <c r="D13295" s="2">
        <f>HYPERLINK("http://mcb-m6.bioreg.kyushu-u.ac.jp/M3/20110502/F51173/883/1", 51.38)</f>
        <v>51.38</v>
      </c>
      <c r="E13295" s="2">
        <v>15.51</v>
      </c>
      <c r="F13295" s="2">
        <v>2</v>
      </c>
      <c r="G13295" s="2" t="s">
        <v>13</v>
      </c>
    </row>
    <row r="13296" spans="1:7" x14ac:dyDescent="0.2">
      <c r="A13296" s="2" t="s">
        <v>3967</v>
      </c>
      <c r="B13296" s="2" t="s">
        <v>1198</v>
      </c>
      <c r="C13296" s="2">
        <v>658.04060000000004</v>
      </c>
      <c r="D13296" s="2">
        <f>HYPERLINK("http://mcb-m6.bioreg.kyushu-u.ac.jp/M3/20110502/F51173/1316/1", 79.84)</f>
        <v>79.84</v>
      </c>
      <c r="E13296" s="2">
        <v>53.36</v>
      </c>
      <c r="F13296" s="2">
        <v>2</v>
      </c>
      <c r="G13296" s="2" t="s">
        <v>13</v>
      </c>
    </row>
    <row r="13297" spans="1:9" x14ac:dyDescent="0.2">
      <c r="A13297" s="2" t="s">
        <v>4743</v>
      </c>
      <c r="B13297" s="2" t="s">
        <v>2967</v>
      </c>
      <c r="C13297" s="2">
        <v>873.27120000000002</v>
      </c>
      <c r="D13297" s="2">
        <f>HYPERLINK("http://mcb-m6.bioreg.kyushu-u.ac.jp/M3/20110502/F51182/2665/1", 35.37)</f>
        <v>35.369999999999997</v>
      </c>
      <c r="E13297" s="2">
        <v>13.68</v>
      </c>
      <c r="F13297" s="2">
        <v>2</v>
      </c>
      <c r="G13297" s="2" t="s">
        <v>14</v>
      </c>
      <c r="I13297" s="2" t="s">
        <v>4899</v>
      </c>
    </row>
    <row r="13298" spans="1:9" x14ac:dyDescent="0.2">
      <c r="A13298" s="2" t="s">
        <v>4863</v>
      </c>
      <c r="B13298" s="2" t="s">
        <v>3153</v>
      </c>
      <c r="C13298" s="2">
        <v>844.09900000000005</v>
      </c>
      <c r="D13298" s="2">
        <f>HYPERLINK("http://mcb-m6.bioreg.kyushu-u.ac.jp/M3/20110502/F51183/488/1", 54.04)</f>
        <v>54.04</v>
      </c>
      <c r="E13298" s="2">
        <v>17.34</v>
      </c>
      <c r="F13298" s="2">
        <v>1</v>
      </c>
      <c r="G13298" s="2" t="s">
        <v>14</v>
      </c>
    </row>
    <row r="13299" spans="1:9" x14ac:dyDescent="0.2">
      <c r="A13299" s="2" t="s">
        <v>3352</v>
      </c>
      <c r="B13299" s="2" t="s">
        <v>143</v>
      </c>
      <c r="C13299" s="2">
        <v>607.35360000000003</v>
      </c>
      <c r="D13299" s="2">
        <f>HYPERLINK("http://mcb-m6.bioreg.kyushu-u.ac.jp/M3/20110411/F50890/1549/1", 36.69)</f>
        <v>36.69</v>
      </c>
      <c r="E13299" s="2">
        <v>18.989999999999998</v>
      </c>
      <c r="F13299" s="2">
        <v>2</v>
      </c>
      <c r="G13299" s="2" t="s">
        <v>9</v>
      </c>
    </row>
    <row r="13300" spans="1:9" x14ac:dyDescent="0.2">
      <c r="A13300" s="2" t="s">
        <v>3352</v>
      </c>
      <c r="B13300" s="2" t="s">
        <v>1636</v>
      </c>
      <c r="C13300" s="2">
        <v>925.84810000000004</v>
      </c>
      <c r="D13300" s="2">
        <f>HYPERLINK("http://mcb-m6.bioreg.kyushu-u.ac.jp/M3/20110411/F50890/3090/1", 105.87)</f>
        <v>105.87</v>
      </c>
      <c r="E13300" s="2">
        <v>88.96</v>
      </c>
      <c r="F13300" s="2">
        <v>2</v>
      </c>
      <c r="G13300" s="2" t="s">
        <v>9</v>
      </c>
    </row>
    <row r="13301" spans="1:9" x14ac:dyDescent="0.2">
      <c r="A13301" s="2" t="s">
        <v>3352</v>
      </c>
      <c r="B13301" s="2" t="s">
        <v>1636</v>
      </c>
      <c r="C13301" s="2">
        <v>925.79470000000003</v>
      </c>
      <c r="D13301" s="2">
        <f>HYPERLINK("http://mcb-m6.bioreg.kyushu-u.ac.jp/M3/20110411/F50897/2896/1", 83.15)</f>
        <v>83.15</v>
      </c>
      <c r="E13301" s="2">
        <v>63.13</v>
      </c>
      <c r="F13301" s="2">
        <v>2</v>
      </c>
      <c r="G13301" s="2" t="s">
        <v>10</v>
      </c>
    </row>
    <row r="13302" spans="1:9" x14ac:dyDescent="0.2">
      <c r="A13302" s="2" t="s">
        <v>3352</v>
      </c>
      <c r="B13302" s="2" t="s">
        <v>1636</v>
      </c>
      <c r="C13302" s="2">
        <v>925.06119999999999</v>
      </c>
      <c r="D13302" s="2">
        <f>HYPERLINK("http://mcb-m6.bioreg.kyushu-u.ac.jp/M3/20110414/F50927/2990/1", 95.36)</f>
        <v>95.36</v>
      </c>
      <c r="E13302" s="2">
        <v>73.430000000000007</v>
      </c>
      <c r="F13302" s="2">
        <v>2</v>
      </c>
      <c r="G13302" s="2" t="s">
        <v>11</v>
      </c>
    </row>
    <row r="13303" spans="1:9" x14ac:dyDescent="0.2">
      <c r="A13303" s="2" t="s">
        <v>3352</v>
      </c>
      <c r="B13303" s="2" t="s">
        <v>1636</v>
      </c>
      <c r="C13303" s="2">
        <v>925.81209999999999</v>
      </c>
      <c r="D13303" s="2">
        <f>HYPERLINK("http://mcb-m6.bioreg.kyushu-u.ac.jp/M3/20110414/F50932/2738/1", 87.96)</f>
        <v>87.96</v>
      </c>
      <c r="E13303" s="2">
        <v>75.150000000000006</v>
      </c>
      <c r="F13303" s="2">
        <v>2</v>
      </c>
      <c r="G13303" s="2" t="s">
        <v>12</v>
      </c>
    </row>
    <row r="13304" spans="1:9" x14ac:dyDescent="0.2">
      <c r="A13304" s="2" t="s">
        <v>3352</v>
      </c>
      <c r="B13304" s="2" t="s">
        <v>3026</v>
      </c>
      <c r="C13304" s="2">
        <v>543.61069999999995</v>
      </c>
      <c r="D13304" s="2">
        <f>HYPERLINK("http://mcb-m6.bioreg.kyushu-u.ac.jp/M3/20110502/F51177/832/1", 38.58)</f>
        <v>38.58</v>
      </c>
      <c r="E13304" s="2">
        <v>12.11</v>
      </c>
      <c r="F13304" s="2">
        <v>2</v>
      </c>
      <c r="G13304" s="2" t="s">
        <v>14</v>
      </c>
    </row>
    <row r="13305" spans="1:9" x14ac:dyDescent="0.2">
      <c r="A13305" s="2" t="s">
        <v>4172</v>
      </c>
      <c r="B13305" s="2" t="s">
        <v>1745</v>
      </c>
      <c r="C13305" s="2">
        <v>898.13819999999998</v>
      </c>
      <c r="D13305" s="2">
        <f>HYPERLINK("http://mcb-m6.bioreg.kyushu-u.ac.jp/M3/20110411/F50917/2885/1", 37.45)</f>
        <v>37.450000000000003</v>
      </c>
      <c r="E13305" s="2">
        <v>21</v>
      </c>
      <c r="F13305" s="2">
        <v>2</v>
      </c>
      <c r="G13305" s="2" t="s">
        <v>10</v>
      </c>
      <c r="I13305" s="2" t="s">
        <v>4923</v>
      </c>
    </row>
    <row r="13306" spans="1:9" x14ac:dyDescent="0.2">
      <c r="A13306" s="2" t="s">
        <v>4717</v>
      </c>
      <c r="B13306" s="2" t="s">
        <v>2911</v>
      </c>
      <c r="C13306" s="2">
        <v>487.43209999999999</v>
      </c>
      <c r="D13306" s="2">
        <f>HYPERLINK("http://mcb-m6.bioreg.kyushu-u.ac.jp/M3/20110502/F51169/1086/1", 48.62)</f>
        <v>48.62</v>
      </c>
      <c r="E13306" s="2">
        <v>7.13</v>
      </c>
      <c r="F13306" s="2">
        <v>2</v>
      </c>
      <c r="G13306" s="2" t="s">
        <v>13</v>
      </c>
    </row>
    <row r="13307" spans="1:9" x14ac:dyDescent="0.2">
      <c r="A13307" s="2" t="s">
        <v>4581</v>
      </c>
      <c r="B13307" s="2" t="s">
        <v>2638</v>
      </c>
      <c r="C13307" s="2">
        <v>894.22810000000004</v>
      </c>
      <c r="D13307" s="2">
        <f>HYPERLINK("http://mcb-m6.bioreg.kyushu-u.ac.jp/M3/20110414/F50948/2985/2", 45.43)</f>
        <v>45.43</v>
      </c>
      <c r="E13307" s="2">
        <v>4.01</v>
      </c>
      <c r="F13307" s="2">
        <v>2</v>
      </c>
      <c r="G13307" s="2" t="s">
        <v>12</v>
      </c>
    </row>
    <row r="13308" spans="1:9" x14ac:dyDescent="0.2">
      <c r="A13308" s="2" t="s">
        <v>4242</v>
      </c>
      <c r="B13308" s="2" t="s">
        <v>1866</v>
      </c>
      <c r="C13308" s="2">
        <v>555.36109999999996</v>
      </c>
      <c r="D13308" s="2">
        <f>HYPERLINK("http://mcb-m6.bioreg.kyushu-u.ac.jp/M3/20110411/F50913/1222/1", 45.26)</f>
        <v>45.26</v>
      </c>
      <c r="E13308" s="2">
        <v>1.31</v>
      </c>
      <c r="F13308" s="2">
        <v>2</v>
      </c>
      <c r="G13308" s="2" t="s">
        <v>10</v>
      </c>
    </row>
    <row r="13309" spans="1:9" x14ac:dyDescent="0.2">
      <c r="A13309" s="2" t="s">
        <v>4242</v>
      </c>
      <c r="B13309" s="2" t="s">
        <v>1866</v>
      </c>
      <c r="C13309" s="2">
        <v>555.64319999999998</v>
      </c>
      <c r="D13309" s="2">
        <f>HYPERLINK("http://mcb-m6.bioreg.kyushu-u.ac.jp/M3/20110502/F51179/851/1", 48.79)</f>
        <v>48.79</v>
      </c>
      <c r="E13309" s="2">
        <v>10.96</v>
      </c>
      <c r="F13309" s="2">
        <v>2</v>
      </c>
      <c r="G13309" s="2" t="s">
        <v>14</v>
      </c>
    </row>
    <row r="13310" spans="1:9" x14ac:dyDescent="0.2">
      <c r="A13310" s="2" t="s">
        <v>3555</v>
      </c>
      <c r="B13310" s="2" t="s">
        <v>412</v>
      </c>
      <c r="C13310" s="2">
        <v>621.75869999999998</v>
      </c>
      <c r="D13310" s="2">
        <f>HYPERLINK("http://mcb-m6.bioreg.kyushu-u.ac.jp/M3/20110411/F50890/1617/1", 41.34)</f>
        <v>41.34</v>
      </c>
      <c r="E13310" s="2">
        <v>21.85</v>
      </c>
      <c r="F13310" s="2">
        <v>2</v>
      </c>
      <c r="G13310" s="2" t="s">
        <v>9</v>
      </c>
      <c r="I13310" s="2" t="s">
        <v>4903</v>
      </c>
    </row>
    <row r="13311" spans="1:9" x14ac:dyDescent="0.2">
      <c r="A13311" s="2" t="s">
        <v>3555</v>
      </c>
      <c r="B13311" s="2" t="s">
        <v>412</v>
      </c>
      <c r="C13311" s="2">
        <v>621.03120000000001</v>
      </c>
      <c r="D13311" s="2">
        <f>HYPERLINK("http://mcb-m6.bioreg.kyushu-u.ac.jp/M3/20110414/F50927/1827/1", 38.42)</f>
        <v>38.42</v>
      </c>
      <c r="E13311" s="2">
        <v>13.89</v>
      </c>
      <c r="F13311" s="2">
        <v>2</v>
      </c>
      <c r="G13311" s="2" t="s">
        <v>11</v>
      </c>
      <c r="I13311" s="2" t="s">
        <v>4903</v>
      </c>
    </row>
    <row r="13312" spans="1:9" x14ac:dyDescent="0.2">
      <c r="A13312" s="2" t="s">
        <v>3924</v>
      </c>
      <c r="B13312" s="2" t="s">
        <v>1101</v>
      </c>
      <c r="C13312" s="2">
        <v>732.36969999999997</v>
      </c>
      <c r="D13312" s="2">
        <f>HYPERLINK("http://mcb-m6.bioreg.kyushu-u.ac.jp/M3/20110411/F50891/2034/1", 63.03)</f>
        <v>63.03</v>
      </c>
      <c r="E13312" s="2">
        <v>50</v>
      </c>
      <c r="F13312" s="2">
        <v>2</v>
      </c>
      <c r="G13312" s="2" t="s">
        <v>9</v>
      </c>
    </row>
    <row r="13313" spans="1:7" x14ac:dyDescent="0.2">
      <c r="A13313" s="2" t="s">
        <v>3924</v>
      </c>
      <c r="B13313" s="2" t="s">
        <v>1101</v>
      </c>
      <c r="C13313" s="2">
        <v>732.39670000000001</v>
      </c>
      <c r="D13313" s="2">
        <f>HYPERLINK("http://mcb-m6.bioreg.kyushu-u.ac.jp/M3/20110411/F50898/2172/1", 42.02)</f>
        <v>42.02</v>
      </c>
      <c r="E13313" s="2">
        <v>26.98</v>
      </c>
      <c r="F13313" s="2">
        <v>2</v>
      </c>
      <c r="G13313" s="2" t="s">
        <v>10</v>
      </c>
    </row>
    <row r="13314" spans="1:7" x14ac:dyDescent="0.2">
      <c r="A13314" s="2" t="s">
        <v>3924</v>
      </c>
      <c r="B13314" s="2" t="s">
        <v>1101</v>
      </c>
      <c r="C13314" s="2">
        <v>732.25710000000004</v>
      </c>
      <c r="D13314" s="2">
        <f>HYPERLINK("http://mcb-m6.bioreg.kyushu-u.ac.jp/M3/20110411/F50898/2171/1", 65.81)</f>
        <v>65.81</v>
      </c>
      <c r="E13314" s="2">
        <v>51.57</v>
      </c>
      <c r="F13314" s="2">
        <v>2</v>
      </c>
      <c r="G13314" s="2" t="s">
        <v>10</v>
      </c>
    </row>
    <row r="13315" spans="1:7" x14ac:dyDescent="0.2">
      <c r="A13315" s="2" t="s">
        <v>3924</v>
      </c>
      <c r="B13315" s="2" t="s">
        <v>1101</v>
      </c>
      <c r="C13315" s="2">
        <v>732.79269999999997</v>
      </c>
      <c r="D13315" s="2">
        <f>HYPERLINK("http://mcb-m6.bioreg.kyushu-u.ac.jp/M3/20110414/F50929/2260/1", 35.08)</f>
        <v>35.08</v>
      </c>
      <c r="E13315" s="2">
        <v>13.95</v>
      </c>
      <c r="F13315" s="2">
        <v>2</v>
      </c>
      <c r="G13315" s="2" t="s">
        <v>11</v>
      </c>
    </row>
    <row r="13316" spans="1:7" x14ac:dyDescent="0.2">
      <c r="A13316" s="2" t="s">
        <v>3924</v>
      </c>
      <c r="B13316" s="2" t="s">
        <v>1101</v>
      </c>
      <c r="C13316" s="2">
        <v>732.05219999999997</v>
      </c>
      <c r="D13316" s="2">
        <f>HYPERLINK("http://mcb-m6.bioreg.kyushu-u.ac.jp/M3/20110414/F50928/2258/1", 52.4)</f>
        <v>52.4</v>
      </c>
      <c r="E13316" s="2">
        <v>34.74</v>
      </c>
      <c r="F13316" s="2">
        <v>2</v>
      </c>
      <c r="G13316" s="2" t="s">
        <v>11</v>
      </c>
    </row>
    <row r="13317" spans="1:7" x14ac:dyDescent="0.2">
      <c r="A13317" s="2" t="s">
        <v>3924</v>
      </c>
      <c r="B13317" s="2" t="s">
        <v>1101</v>
      </c>
      <c r="C13317" s="2">
        <v>732.35170000000005</v>
      </c>
      <c r="D13317" s="2">
        <f>HYPERLINK("http://mcb-m6.bioreg.kyushu-u.ac.jp/M3/20110414/F50933/2348/1", 67.26)</f>
        <v>67.260000000000005</v>
      </c>
      <c r="E13317" s="2">
        <v>48.36</v>
      </c>
      <c r="F13317" s="2">
        <v>2</v>
      </c>
      <c r="G13317" s="2" t="s">
        <v>12</v>
      </c>
    </row>
    <row r="13318" spans="1:7" x14ac:dyDescent="0.2">
      <c r="A13318" s="2" t="s">
        <v>3924</v>
      </c>
      <c r="B13318" s="2" t="s">
        <v>1101</v>
      </c>
      <c r="C13318" s="2">
        <v>732.65060000000005</v>
      </c>
      <c r="D13318" s="2">
        <f>HYPERLINK("http://mcb-m6.bioreg.kyushu-u.ac.jp/M3/20110502/F51179/1721/1", 56.18)</f>
        <v>56.18</v>
      </c>
      <c r="E13318" s="2">
        <v>35.159999999999997</v>
      </c>
      <c r="F13318" s="2">
        <v>2</v>
      </c>
      <c r="G13318" s="2" t="s">
        <v>14</v>
      </c>
    </row>
    <row r="13319" spans="1:7" x14ac:dyDescent="0.2">
      <c r="A13319" s="2" t="s">
        <v>4597</v>
      </c>
      <c r="B13319" s="2" t="s">
        <v>2688</v>
      </c>
      <c r="C13319" s="2">
        <v>731.82069999999999</v>
      </c>
      <c r="D13319" s="2">
        <f>HYPERLINK("http://mcb-m6.bioreg.kyushu-u.ac.jp/M3/20110414/F50958/1909/1", 53.68)</f>
        <v>53.68</v>
      </c>
      <c r="E13319" s="2">
        <v>19.03</v>
      </c>
      <c r="F13319" s="2">
        <v>2</v>
      </c>
      <c r="G13319" s="2" t="s">
        <v>12</v>
      </c>
    </row>
    <row r="13320" spans="1:7" x14ac:dyDescent="0.2">
      <c r="A13320" s="2" t="s">
        <v>4252</v>
      </c>
      <c r="B13320" s="2" t="s">
        <v>1884</v>
      </c>
      <c r="C13320" s="2">
        <v>798.55520000000001</v>
      </c>
      <c r="D13320" s="2">
        <f>HYPERLINK("http://mcb-m6.bioreg.kyushu-u.ac.jp/M3/20110411/F50917/2324/1", 46.69)</f>
        <v>46.69</v>
      </c>
      <c r="E13320" s="2">
        <v>35.94</v>
      </c>
      <c r="F13320" s="2">
        <v>2</v>
      </c>
      <c r="G13320" s="2" t="s">
        <v>10</v>
      </c>
    </row>
    <row r="13321" spans="1:7" x14ac:dyDescent="0.2">
      <c r="A13321" s="2" t="s">
        <v>4252</v>
      </c>
      <c r="B13321" s="2" t="s">
        <v>1884</v>
      </c>
      <c r="C13321" s="2">
        <v>798.5027</v>
      </c>
      <c r="D13321" s="2">
        <f>HYPERLINK("http://mcb-m6.bioreg.kyushu-u.ac.jp/M3/20110414/F50958/2421/1", 72.45)</f>
        <v>72.45</v>
      </c>
      <c r="E13321" s="2">
        <v>59.84</v>
      </c>
      <c r="F13321" s="2">
        <v>2</v>
      </c>
      <c r="G13321" s="2" t="s">
        <v>12</v>
      </c>
    </row>
    <row r="13322" spans="1:7" x14ac:dyDescent="0.2">
      <c r="A13322" s="2" t="s">
        <v>4543</v>
      </c>
      <c r="B13322" s="2" t="s">
        <v>2571</v>
      </c>
      <c r="C13322" s="2">
        <v>489.05410000000001</v>
      </c>
      <c r="D13322" s="2">
        <f>HYPERLINK("http://mcb-m6.bioreg.kyushu-u.ac.jp/M3/20110414/F50948/778/1", 38.51)</f>
        <v>38.51</v>
      </c>
      <c r="E13322" s="2">
        <v>19.61</v>
      </c>
      <c r="F13322" s="2">
        <v>2</v>
      </c>
      <c r="G13322" s="2" t="s">
        <v>12</v>
      </c>
    </row>
    <row r="13323" spans="1:7" x14ac:dyDescent="0.2">
      <c r="A13323" s="2" t="s">
        <v>4521</v>
      </c>
      <c r="B13323" s="2" t="s">
        <v>2536</v>
      </c>
      <c r="C13323" s="2">
        <v>856.72270000000003</v>
      </c>
      <c r="D13323" s="2">
        <f>HYPERLINK("http://mcb-m6.bioreg.kyushu-u.ac.jp/M3/20110414/F50959/2699/1", 36.46)</f>
        <v>36.46</v>
      </c>
      <c r="E13323" s="2">
        <v>30.45</v>
      </c>
      <c r="F13323" s="2">
        <v>2</v>
      </c>
      <c r="G13323" s="2" t="s">
        <v>12</v>
      </c>
    </row>
    <row r="13324" spans="1:7" x14ac:dyDescent="0.2">
      <c r="A13324" s="2" t="s">
        <v>3872</v>
      </c>
      <c r="B13324" s="2" t="s">
        <v>991</v>
      </c>
      <c r="C13324" s="2">
        <v>501.45710000000003</v>
      </c>
      <c r="D13324" s="2">
        <f>HYPERLINK("http://mcb-m6.bioreg.kyushu-u.ac.jp/M3/20110411/F50911/968/1", 58.06)</f>
        <v>58.06</v>
      </c>
      <c r="E13324" s="2">
        <v>22.01</v>
      </c>
      <c r="F13324" s="2">
        <v>2</v>
      </c>
      <c r="G13324" s="2" t="s">
        <v>9</v>
      </c>
    </row>
    <row r="13325" spans="1:7" x14ac:dyDescent="0.2">
      <c r="A13325" s="2" t="s">
        <v>3872</v>
      </c>
      <c r="B13325" s="2" t="s">
        <v>1179</v>
      </c>
      <c r="C13325" s="2">
        <v>553.9316</v>
      </c>
      <c r="D13325" s="2">
        <f>HYPERLINK("http://mcb-m6.bioreg.kyushu-u.ac.jp/M3/20110411/F50911/1197/1", 66.01)</f>
        <v>66.010000000000005</v>
      </c>
      <c r="E13325" s="2">
        <v>24.11</v>
      </c>
      <c r="F13325" s="2">
        <v>2</v>
      </c>
      <c r="G13325" s="2" t="s">
        <v>9</v>
      </c>
    </row>
    <row r="13326" spans="1:7" x14ac:dyDescent="0.2">
      <c r="A13326" s="2" t="s">
        <v>3872</v>
      </c>
      <c r="B13326" s="2" t="s">
        <v>1556</v>
      </c>
      <c r="C13326" s="2">
        <v>737.04570000000001</v>
      </c>
      <c r="D13326" s="2">
        <f>HYPERLINK("http://mcb-m6.bioreg.kyushu-u.ac.jp/M3/20110411/F50911/2066/1", 92.27)</f>
        <v>92.27</v>
      </c>
      <c r="E13326" s="2">
        <v>74.12</v>
      </c>
      <c r="F13326" s="2">
        <v>2</v>
      </c>
      <c r="G13326" s="2" t="s">
        <v>9</v>
      </c>
    </row>
    <row r="13327" spans="1:7" x14ac:dyDescent="0.2">
      <c r="A13327" s="2" t="s">
        <v>3872</v>
      </c>
      <c r="B13327" s="2" t="s">
        <v>991</v>
      </c>
      <c r="C13327" s="2">
        <v>501.26909999999998</v>
      </c>
      <c r="D13327" s="2">
        <f>HYPERLINK("http://mcb-m6.bioreg.kyushu-u.ac.jp/M3/20110411/F50914/1052/1", 49.05)</f>
        <v>49.05</v>
      </c>
      <c r="E13327" s="2">
        <v>16.66</v>
      </c>
      <c r="F13327" s="2">
        <v>2</v>
      </c>
      <c r="G13327" s="2" t="s">
        <v>10</v>
      </c>
    </row>
    <row r="13328" spans="1:7" x14ac:dyDescent="0.2">
      <c r="A13328" s="2" t="s">
        <v>3872</v>
      </c>
      <c r="B13328" s="2" t="s">
        <v>2028</v>
      </c>
      <c r="C13328" s="2">
        <v>645.46169999999995</v>
      </c>
      <c r="D13328" s="2">
        <f>HYPERLINK("http://mcb-m6.bioreg.kyushu-u.ac.jp/M3/20110411/F50914/1639/1", 64.01)</f>
        <v>64.010000000000005</v>
      </c>
      <c r="E13328" s="2">
        <v>51.42</v>
      </c>
      <c r="F13328" s="2">
        <v>2</v>
      </c>
      <c r="G13328" s="2" t="s">
        <v>10</v>
      </c>
    </row>
    <row r="13329" spans="1:8" x14ac:dyDescent="0.2">
      <c r="A13329" s="2" t="s">
        <v>3872</v>
      </c>
      <c r="B13329" s="2" t="s">
        <v>2112</v>
      </c>
      <c r="C13329" s="2">
        <v>715.35820000000001</v>
      </c>
      <c r="D13329" s="2">
        <f>HYPERLINK("http://mcb-m6.bioreg.kyushu-u.ac.jp/M3/20110411/F50914/1974/1", 84.61)</f>
        <v>84.61</v>
      </c>
      <c r="E13329" s="2">
        <v>70.900000000000006</v>
      </c>
      <c r="F13329" s="2">
        <v>2</v>
      </c>
      <c r="G13329" s="2" t="s">
        <v>10</v>
      </c>
    </row>
    <row r="13330" spans="1:8" x14ac:dyDescent="0.2">
      <c r="A13330" s="2" t="s">
        <v>3872</v>
      </c>
      <c r="B13330" s="2" t="s">
        <v>2112</v>
      </c>
      <c r="C13330" s="2">
        <v>715.9067</v>
      </c>
      <c r="D13330" s="2">
        <f>HYPERLINK("http://mcb-m6.bioreg.kyushu-u.ac.jp/M3/20110411/F50914/1978/1", 87.89)</f>
        <v>87.89</v>
      </c>
      <c r="E13330" s="2">
        <v>75.260000000000005</v>
      </c>
      <c r="F13330" s="2">
        <v>2</v>
      </c>
      <c r="G13330" s="2" t="s">
        <v>10</v>
      </c>
    </row>
    <row r="13331" spans="1:8" x14ac:dyDescent="0.2">
      <c r="A13331" s="2" t="s">
        <v>3872</v>
      </c>
      <c r="B13331" s="2" t="s">
        <v>1556</v>
      </c>
      <c r="C13331" s="2">
        <v>737.02719999999999</v>
      </c>
      <c r="D13331" s="2">
        <f>HYPERLINK("http://mcb-m6.bioreg.kyushu-u.ac.jp/M3/20110411/F50914/2063/1", 110.89)</f>
        <v>110.89</v>
      </c>
      <c r="E13331" s="2">
        <v>95.4</v>
      </c>
      <c r="F13331" s="2">
        <v>2</v>
      </c>
      <c r="G13331" s="2" t="s">
        <v>10</v>
      </c>
    </row>
    <row r="13332" spans="1:8" x14ac:dyDescent="0.2">
      <c r="A13332" s="2" t="s">
        <v>3872</v>
      </c>
      <c r="B13332" s="2" t="s">
        <v>991</v>
      </c>
      <c r="C13332" s="2">
        <v>501.30860000000001</v>
      </c>
      <c r="D13332" s="2">
        <f>HYPERLINK("http://mcb-m6.bioreg.kyushu-u.ac.jp/M3/20110414/F50942/842/1", 51)</f>
        <v>51</v>
      </c>
      <c r="E13332" s="2">
        <v>16.100000000000001</v>
      </c>
      <c r="F13332" s="2">
        <v>2</v>
      </c>
      <c r="G13332" s="2" t="s">
        <v>11</v>
      </c>
    </row>
    <row r="13333" spans="1:8" x14ac:dyDescent="0.2">
      <c r="A13333" s="2" t="s">
        <v>3872</v>
      </c>
      <c r="B13333" s="2" t="s">
        <v>2502</v>
      </c>
      <c r="C13333" s="2">
        <v>719.79970000000003</v>
      </c>
      <c r="D13333" s="2">
        <f>HYPERLINK("http://mcb-m6.bioreg.kyushu-u.ac.jp/M3/20110414/F50942/1768/1", 87.8)</f>
        <v>87.8</v>
      </c>
      <c r="E13333" s="2">
        <v>69.56</v>
      </c>
      <c r="F13333" s="2">
        <v>2</v>
      </c>
      <c r="G13333" s="2" t="s">
        <v>11</v>
      </c>
    </row>
    <row r="13334" spans="1:8" x14ac:dyDescent="0.2">
      <c r="A13334" s="2" t="s">
        <v>3872</v>
      </c>
      <c r="B13334" s="2" t="s">
        <v>2502</v>
      </c>
      <c r="C13334" s="2">
        <v>719.67660000000001</v>
      </c>
      <c r="D13334" s="2">
        <f>HYPERLINK("http://mcb-m6.bioreg.kyushu-u.ac.jp/M3/20110414/F50948/1944/1", 82.84)</f>
        <v>82.84</v>
      </c>
      <c r="E13334" s="2">
        <v>59.06</v>
      </c>
      <c r="F13334" s="2">
        <v>2</v>
      </c>
      <c r="G13334" s="2" t="s">
        <v>12</v>
      </c>
    </row>
    <row r="13335" spans="1:8" x14ac:dyDescent="0.2">
      <c r="A13335" s="2" t="s">
        <v>3872</v>
      </c>
      <c r="B13335" s="2" t="s">
        <v>1556</v>
      </c>
      <c r="C13335" s="2">
        <v>737.33169999999996</v>
      </c>
      <c r="D13335" s="2">
        <f>HYPERLINK("http://mcb-m6.bioreg.kyushu-u.ac.jp/M3/20110502/F51183/1876/1", 73.62)</f>
        <v>73.62</v>
      </c>
      <c r="E13335" s="2">
        <v>54.07</v>
      </c>
      <c r="F13335" s="2">
        <v>2</v>
      </c>
      <c r="G13335" s="2" t="s">
        <v>14</v>
      </c>
    </row>
    <row r="13336" spans="1:8" x14ac:dyDescent="0.2">
      <c r="A13336" s="2" t="s">
        <v>3581</v>
      </c>
      <c r="B13336" s="2" t="s">
        <v>459</v>
      </c>
      <c r="C13336" s="2">
        <v>642.55679999999995</v>
      </c>
      <c r="D13336" s="2">
        <f>HYPERLINK("http://mcb-m6.bioreg.kyushu-u.ac.jp/M3/20110411/F50904/3013/1", 42.36)</f>
        <v>42.36</v>
      </c>
      <c r="E13336" s="2">
        <v>29.45</v>
      </c>
      <c r="F13336" s="2">
        <v>3</v>
      </c>
      <c r="G13336" s="2" t="s">
        <v>9</v>
      </c>
    </row>
    <row r="13337" spans="1:8" x14ac:dyDescent="0.2">
      <c r="A13337" s="2" t="s">
        <v>3581</v>
      </c>
      <c r="B13337" s="2" t="s">
        <v>459</v>
      </c>
      <c r="C13337" s="2">
        <v>642.39350000000002</v>
      </c>
      <c r="D13337" s="2">
        <f>HYPERLINK("http://mcb-m6.bioreg.kyushu-u.ac.jp/M3/20110411/F50912/3024/1", 44.57)</f>
        <v>44.57</v>
      </c>
      <c r="E13337" s="2">
        <v>18.649999999999999</v>
      </c>
      <c r="F13337" s="2">
        <v>3</v>
      </c>
      <c r="G13337" s="2" t="s">
        <v>10</v>
      </c>
    </row>
    <row r="13338" spans="1:8" x14ac:dyDescent="0.2">
      <c r="A13338" s="2" t="s">
        <v>3960</v>
      </c>
      <c r="B13338" s="2" t="s">
        <v>1172</v>
      </c>
      <c r="C13338" s="2">
        <v>747.47270000000003</v>
      </c>
      <c r="D13338" s="2">
        <f>HYPERLINK("http://mcb-m6.bioreg.kyushu-u.ac.jp/M3/20110411/F50895/2135/1", 65.73)</f>
        <v>65.73</v>
      </c>
      <c r="E13338" s="2">
        <v>50.61</v>
      </c>
      <c r="F13338" s="2">
        <v>2</v>
      </c>
      <c r="G13338" s="2" t="s">
        <v>9</v>
      </c>
    </row>
    <row r="13339" spans="1:8" x14ac:dyDescent="0.2">
      <c r="A13339" s="2" t="s">
        <v>4460</v>
      </c>
      <c r="B13339" s="2" t="s">
        <v>2379</v>
      </c>
      <c r="C13339" s="2">
        <v>587.78060000000005</v>
      </c>
      <c r="D13339" s="2">
        <f>HYPERLINK("http://mcb-m6.bioreg.kyushu-u.ac.jp/M3/20110414/F50944/1515/1", 52.17)</f>
        <v>52.17</v>
      </c>
      <c r="E13339" s="2">
        <v>35.25</v>
      </c>
      <c r="F13339" s="2">
        <v>2</v>
      </c>
      <c r="G13339" s="2" t="s">
        <v>11</v>
      </c>
    </row>
    <row r="13340" spans="1:8" x14ac:dyDescent="0.2">
      <c r="A13340" s="2" t="s">
        <v>4719</v>
      </c>
      <c r="B13340" s="2" t="s">
        <v>2914</v>
      </c>
      <c r="C13340" s="2">
        <v>792.76400000000001</v>
      </c>
      <c r="D13340" s="2">
        <f>HYPERLINK("http://mcb-m6.bioreg.kyushu-u.ac.jp/M3/20110502/F51173/390/1", 50.22)</f>
        <v>50.22</v>
      </c>
      <c r="E13340" s="2">
        <v>12.45</v>
      </c>
      <c r="F13340" s="2">
        <v>1</v>
      </c>
      <c r="G13340" s="2" t="s">
        <v>13</v>
      </c>
      <c r="H13340" s="2" t="s">
        <v>4908</v>
      </c>
    </row>
    <row r="13341" spans="1:8" x14ac:dyDescent="0.2">
      <c r="A13341" s="2" t="s">
        <v>4405</v>
      </c>
      <c r="B13341" s="2" t="s">
        <v>2255</v>
      </c>
      <c r="C13341" s="2">
        <v>774.25670000000002</v>
      </c>
      <c r="D13341" s="2">
        <f>HYPERLINK("http://mcb-m6.bioreg.kyushu-u.ac.jp/M3/20110414/F50957/2109/1", 39.89)</f>
        <v>39.89</v>
      </c>
      <c r="E13341" s="2">
        <v>22.04</v>
      </c>
      <c r="F13341" s="2">
        <v>2</v>
      </c>
      <c r="G13341" s="2" t="s">
        <v>11</v>
      </c>
    </row>
    <row r="13342" spans="1:8" x14ac:dyDescent="0.2">
      <c r="A13342" s="2" t="s">
        <v>3878</v>
      </c>
      <c r="B13342" s="2" t="s">
        <v>1010</v>
      </c>
      <c r="C13342" s="2">
        <v>588.38459999999998</v>
      </c>
      <c r="D13342" s="2">
        <f>HYPERLINK("http://mcb-m6.bioreg.kyushu-u.ac.jp/M3/20110411/F50892/1601/1", 58.72)</f>
        <v>58.72</v>
      </c>
      <c r="E13342" s="2">
        <v>23.34</v>
      </c>
      <c r="F13342" s="2">
        <v>2</v>
      </c>
      <c r="G13342" s="2" t="s">
        <v>9</v>
      </c>
    </row>
    <row r="13343" spans="1:8" x14ac:dyDescent="0.2">
      <c r="A13343" s="2" t="s">
        <v>3878</v>
      </c>
      <c r="B13343" s="2" t="s">
        <v>1010</v>
      </c>
      <c r="C13343" s="2">
        <v>588.1481</v>
      </c>
      <c r="D13343" s="2">
        <f>HYPERLINK("http://mcb-m6.bioreg.kyushu-u.ac.jp/M3/20110411/F50889/1804/1", 64.86)</f>
        <v>64.86</v>
      </c>
      <c r="E13343" s="2">
        <v>3.14</v>
      </c>
      <c r="F13343" s="2">
        <v>2</v>
      </c>
      <c r="G13343" s="2" t="s">
        <v>9</v>
      </c>
    </row>
    <row r="13344" spans="1:8" x14ac:dyDescent="0.2">
      <c r="A13344" s="2" t="s">
        <v>3878</v>
      </c>
      <c r="B13344" s="2" t="s">
        <v>1010</v>
      </c>
      <c r="C13344" s="2">
        <v>588.42219999999998</v>
      </c>
      <c r="D13344" s="2">
        <f>HYPERLINK("http://mcb-m6.bioreg.kyushu-u.ac.jp/M3/20110502/F51167/1670/1", 61.32)</f>
        <v>61.32</v>
      </c>
      <c r="E13344" s="2">
        <v>30.66</v>
      </c>
      <c r="F13344" s="2">
        <v>2</v>
      </c>
      <c r="G13344" s="2" t="s">
        <v>13</v>
      </c>
    </row>
    <row r="13345" spans="1:9" x14ac:dyDescent="0.2">
      <c r="A13345" s="2" t="s">
        <v>3735</v>
      </c>
      <c r="B13345" s="2" t="s">
        <v>735</v>
      </c>
      <c r="C13345" s="2">
        <v>684.88210000000004</v>
      </c>
      <c r="D13345" s="2">
        <f>HYPERLINK("http://mcb-m6.bioreg.kyushu-u.ac.jp/M3/20110411/F50915/1573/1", 49.64)</f>
        <v>49.64</v>
      </c>
      <c r="E13345" s="2">
        <v>20.059999999999999</v>
      </c>
      <c r="F13345" s="2">
        <v>2</v>
      </c>
      <c r="G13345" s="2" t="s">
        <v>9</v>
      </c>
      <c r="I13345" s="2" t="s">
        <v>4903</v>
      </c>
    </row>
    <row r="13346" spans="1:9" x14ac:dyDescent="0.2">
      <c r="A13346" s="2" t="s">
        <v>3735</v>
      </c>
      <c r="B13346" s="2" t="s">
        <v>735</v>
      </c>
      <c r="C13346" s="2">
        <v>684.90620000000001</v>
      </c>
      <c r="D13346" s="2">
        <f>HYPERLINK("http://mcb-m6.bioreg.kyushu-u.ac.jp/M3/20110411/F50917/1636/1", 52.9)</f>
        <v>52.9</v>
      </c>
      <c r="E13346" s="2">
        <v>15.18</v>
      </c>
      <c r="F13346" s="2">
        <v>2</v>
      </c>
      <c r="G13346" s="2" t="s">
        <v>10</v>
      </c>
      <c r="I13346" s="2" t="s">
        <v>4903</v>
      </c>
    </row>
    <row r="13347" spans="1:9" x14ac:dyDescent="0.2">
      <c r="A13347" s="2" t="s">
        <v>3735</v>
      </c>
      <c r="B13347" s="2" t="s">
        <v>735</v>
      </c>
      <c r="C13347" s="2">
        <v>684.71010000000001</v>
      </c>
      <c r="D13347" s="2">
        <f>HYPERLINK("http://mcb-m6.bioreg.kyushu-u.ac.jp/M3/20110414/F50948/1702/1", 48.09)</f>
        <v>48.09</v>
      </c>
      <c r="E13347" s="2">
        <v>19.78</v>
      </c>
      <c r="F13347" s="2">
        <v>2</v>
      </c>
      <c r="G13347" s="2" t="s">
        <v>12</v>
      </c>
      <c r="I13347" s="2" t="s">
        <v>4903</v>
      </c>
    </row>
    <row r="13348" spans="1:9" x14ac:dyDescent="0.2">
      <c r="A13348" s="2" t="s">
        <v>3735</v>
      </c>
      <c r="B13348" s="2" t="s">
        <v>735</v>
      </c>
      <c r="C13348" s="2">
        <v>685.46469999999999</v>
      </c>
      <c r="D13348" s="2">
        <f>HYPERLINK("http://mcb-m6.bioreg.kyushu-u.ac.jp/M3/20110502/F51188/1556/1", 65.34)</f>
        <v>65.34</v>
      </c>
      <c r="E13348" s="2">
        <v>45.22</v>
      </c>
      <c r="F13348" s="2">
        <v>2</v>
      </c>
      <c r="G13348" s="2" t="s">
        <v>13</v>
      </c>
      <c r="I13348" s="2" t="s">
        <v>4903</v>
      </c>
    </row>
    <row r="13349" spans="1:9" x14ac:dyDescent="0.2">
      <c r="A13349" s="2" t="s">
        <v>3735</v>
      </c>
      <c r="B13349" s="2" t="s">
        <v>735</v>
      </c>
      <c r="C13349" s="2">
        <v>685.38869999999997</v>
      </c>
      <c r="D13349" s="2">
        <f>HYPERLINK("http://mcb-m6.bioreg.kyushu-u.ac.jp/M3/20110502/F51192/1449/1", 38.53)</f>
        <v>38.53</v>
      </c>
      <c r="E13349" s="2">
        <v>16.09</v>
      </c>
      <c r="F13349" s="2">
        <v>2</v>
      </c>
      <c r="G13349" s="2" t="s">
        <v>14</v>
      </c>
      <c r="I13349" s="2" t="s">
        <v>4903</v>
      </c>
    </row>
    <row r="13350" spans="1:9" x14ac:dyDescent="0.2">
      <c r="A13350" s="2" t="s">
        <v>3735</v>
      </c>
      <c r="B13350" s="2" t="s">
        <v>735</v>
      </c>
      <c r="C13350" s="2">
        <v>684.85969999999998</v>
      </c>
      <c r="D13350" s="2">
        <f>HYPERLINK("http://mcb-m6.bioreg.kyushu-u.ac.jp/M3/20110502/F51192/1445/1", 41.69)</f>
        <v>41.69</v>
      </c>
      <c r="E13350" s="2">
        <v>15.31</v>
      </c>
      <c r="F13350" s="2">
        <v>2</v>
      </c>
      <c r="G13350" s="2" t="s">
        <v>14</v>
      </c>
      <c r="I13350" s="2" t="s">
        <v>4903</v>
      </c>
    </row>
    <row r="13351" spans="1:9" x14ac:dyDescent="0.2">
      <c r="A13351" s="2" t="s">
        <v>4498</v>
      </c>
      <c r="B13351" s="2" t="s">
        <v>2480</v>
      </c>
      <c r="C13351" s="2">
        <v>614.08219999999994</v>
      </c>
      <c r="D13351" s="2">
        <f>HYPERLINK("http://mcb-m6.bioreg.kyushu-u.ac.jp/M3/20110414/F50942/1263/1", 77.48)</f>
        <v>77.48</v>
      </c>
      <c r="E13351" s="2">
        <v>55.06</v>
      </c>
      <c r="F13351" s="2">
        <v>2</v>
      </c>
      <c r="G13351" s="2" t="s">
        <v>11</v>
      </c>
    </row>
    <row r="13352" spans="1:9" x14ac:dyDescent="0.2">
      <c r="A13352" s="2" t="s">
        <v>4498</v>
      </c>
      <c r="B13352" s="2" t="s">
        <v>2480</v>
      </c>
      <c r="C13352" s="2">
        <v>613.76620000000003</v>
      </c>
      <c r="D13352" s="2">
        <f>HYPERLINK("http://mcb-m6.bioreg.kyushu-u.ac.jp/M3/20110414/F50948/1301/1", 88.03)</f>
        <v>88.03</v>
      </c>
      <c r="E13352" s="2">
        <v>65.34</v>
      </c>
      <c r="F13352" s="2">
        <v>2</v>
      </c>
      <c r="G13352" s="2" t="s">
        <v>12</v>
      </c>
    </row>
    <row r="13353" spans="1:9" x14ac:dyDescent="0.2">
      <c r="A13353" s="2" t="s">
        <v>4498</v>
      </c>
      <c r="B13353" s="2" t="s">
        <v>2480</v>
      </c>
      <c r="C13353" s="2">
        <v>614.00670000000002</v>
      </c>
      <c r="D13353" s="2">
        <f>HYPERLINK("http://mcb-m6.bioreg.kyushu-u.ac.jp/M3/20110502/F51188/1328/1", 38.17)</f>
        <v>38.17</v>
      </c>
      <c r="E13353" s="2">
        <v>21.9</v>
      </c>
      <c r="F13353" s="2">
        <v>2</v>
      </c>
      <c r="G13353" s="2" t="s">
        <v>13</v>
      </c>
    </row>
    <row r="13354" spans="1:9" x14ac:dyDescent="0.2">
      <c r="A13354" s="2" t="s">
        <v>4498</v>
      </c>
      <c r="B13354" s="2" t="s">
        <v>2480</v>
      </c>
      <c r="C13354" s="2">
        <v>613.9402</v>
      </c>
      <c r="D13354" s="2">
        <f>HYPERLINK("http://mcb-m6.bioreg.kyushu-u.ac.jp/M3/20110502/F51171/1506/1", 80.42)</f>
        <v>80.42</v>
      </c>
      <c r="E13354" s="2">
        <v>58.43</v>
      </c>
      <c r="F13354" s="2">
        <v>2</v>
      </c>
      <c r="G13354" s="2" t="s">
        <v>13</v>
      </c>
    </row>
    <row r="13355" spans="1:9" x14ac:dyDescent="0.2">
      <c r="A13355" s="2" t="s">
        <v>4498</v>
      </c>
      <c r="B13355" s="2" t="s">
        <v>2480</v>
      </c>
      <c r="C13355" s="2">
        <v>614.26969999999994</v>
      </c>
      <c r="D13355" s="2">
        <f>HYPERLINK("http://mcb-m6.bioreg.kyushu-u.ac.jp/M3/20110502/F51183/1254/1", 52.51)</f>
        <v>52.51</v>
      </c>
      <c r="E13355" s="2">
        <v>26.91</v>
      </c>
      <c r="F13355" s="2">
        <v>2</v>
      </c>
      <c r="G13355" s="2" t="s">
        <v>14</v>
      </c>
    </row>
    <row r="13356" spans="1:9" x14ac:dyDescent="0.2">
      <c r="A13356" s="2" t="s">
        <v>4498</v>
      </c>
      <c r="B13356" s="2" t="s">
        <v>2480</v>
      </c>
      <c r="C13356" s="2">
        <v>613.96420000000001</v>
      </c>
      <c r="D13356" s="2">
        <f>HYPERLINK("http://mcb-m6.bioreg.kyushu-u.ac.jp/M3/20110502/F51192/1174/1", 61.81)</f>
        <v>61.81</v>
      </c>
      <c r="E13356" s="2">
        <v>48.13</v>
      </c>
      <c r="F13356" s="2">
        <v>2</v>
      </c>
      <c r="G13356" s="2" t="s">
        <v>14</v>
      </c>
    </row>
    <row r="13357" spans="1:9" x14ac:dyDescent="0.2">
      <c r="A13357" s="2" t="s">
        <v>4381</v>
      </c>
      <c r="B13357" s="2" t="s">
        <v>2215</v>
      </c>
      <c r="C13357" s="2">
        <v>846.87120000000004</v>
      </c>
      <c r="D13357" s="2">
        <f>HYPERLINK("http://mcb-m6.bioreg.kyushu-u.ac.jp/M3/20110414/F50942/2510/1", 37.81)</f>
        <v>37.81</v>
      </c>
      <c r="E13357" s="2">
        <v>25.8</v>
      </c>
      <c r="F13357" s="2">
        <v>2</v>
      </c>
      <c r="G13357" s="2" t="s">
        <v>11</v>
      </c>
    </row>
    <row r="13358" spans="1:9" x14ac:dyDescent="0.2">
      <c r="A13358" s="2" t="s">
        <v>4381</v>
      </c>
      <c r="B13358" s="2" t="s">
        <v>2215</v>
      </c>
      <c r="C13358" s="2">
        <v>846.22170000000006</v>
      </c>
      <c r="D13358" s="2">
        <f>HYPERLINK("http://mcb-m6.bioreg.kyushu-u.ac.jp/M3/20110414/F50956/2670/1", 43.36)</f>
        <v>43.36</v>
      </c>
      <c r="E13358" s="2">
        <v>29.33</v>
      </c>
      <c r="F13358" s="2">
        <v>2</v>
      </c>
      <c r="G13358" s="2" t="s">
        <v>11</v>
      </c>
    </row>
    <row r="13359" spans="1:9" x14ac:dyDescent="0.2">
      <c r="A13359" s="2" t="s">
        <v>3832</v>
      </c>
      <c r="B13359" s="2" t="s">
        <v>905</v>
      </c>
      <c r="C13359" s="2">
        <v>1066.182</v>
      </c>
      <c r="D13359" s="2">
        <f>HYPERLINK("http://mcb-m6.bioreg.kyushu-u.ac.jp/M3/20110411/F50903/3368/1", 55.09)</f>
        <v>55.09</v>
      </c>
      <c r="E13359" s="2">
        <v>41.46</v>
      </c>
      <c r="F13359" s="2">
        <v>2</v>
      </c>
      <c r="G13359" s="2" t="s">
        <v>9</v>
      </c>
    </row>
    <row r="13360" spans="1:9" x14ac:dyDescent="0.2">
      <c r="A13360" s="2" t="s">
        <v>3832</v>
      </c>
      <c r="B13360" s="2" t="s">
        <v>905</v>
      </c>
      <c r="C13360" s="2">
        <v>1065.9290000000001</v>
      </c>
      <c r="D13360" s="2">
        <f>HYPERLINK("http://mcb-m6.bioreg.kyushu-u.ac.jp/M3/20110411/F50920/2938/1", 63.75)</f>
        <v>63.75</v>
      </c>
      <c r="E13360" s="2">
        <v>56.49</v>
      </c>
      <c r="F13360" s="2">
        <v>2</v>
      </c>
      <c r="G13360" s="2" t="s">
        <v>10</v>
      </c>
    </row>
    <row r="13361" spans="1:8" x14ac:dyDescent="0.2">
      <c r="A13361" s="2" t="s">
        <v>3832</v>
      </c>
      <c r="B13361" s="2" t="s">
        <v>905</v>
      </c>
      <c r="C13361" s="2">
        <v>1066.5329999999999</v>
      </c>
      <c r="D13361" s="2">
        <f>HYPERLINK("http://mcb-m6.bioreg.kyushu-u.ac.jp/M3/20110411/F50920/2940/1", 78.62)</f>
        <v>78.62</v>
      </c>
      <c r="E13361" s="2">
        <v>72.319999999999993</v>
      </c>
      <c r="F13361" s="2">
        <v>2</v>
      </c>
      <c r="G13361" s="2" t="s">
        <v>10</v>
      </c>
    </row>
    <row r="13362" spans="1:8" x14ac:dyDescent="0.2">
      <c r="A13362" s="2" t="s">
        <v>3832</v>
      </c>
      <c r="B13362" s="2" t="s">
        <v>905</v>
      </c>
      <c r="C13362" s="2">
        <v>1066.3610000000001</v>
      </c>
      <c r="D13362" s="2">
        <f>HYPERLINK("http://mcb-m6.bioreg.kyushu-u.ac.jp/M3/20110414/F50924/3276/1", 98.87)</f>
        <v>98.87</v>
      </c>
      <c r="E13362" s="2">
        <v>82.31</v>
      </c>
      <c r="F13362" s="2">
        <v>2</v>
      </c>
      <c r="G13362" s="2" t="s">
        <v>11</v>
      </c>
    </row>
    <row r="13363" spans="1:8" x14ac:dyDescent="0.2">
      <c r="A13363" s="2" t="s">
        <v>3832</v>
      </c>
      <c r="B13363" s="2" t="s">
        <v>905</v>
      </c>
      <c r="C13363" s="2">
        <v>1065.7950000000001</v>
      </c>
      <c r="D13363" s="2">
        <f>HYPERLINK("http://mcb-m6.bioreg.kyushu-u.ac.jp/M3/20110414/F50924/3275/1", 99.95)</f>
        <v>99.95</v>
      </c>
      <c r="E13363" s="2">
        <v>77.819999999999993</v>
      </c>
      <c r="F13363" s="2">
        <v>2</v>
      </c>
      <c r="G13363" s="2" t="s">
        <v>11</v>
      </c>
    </row>
    <row r="13364" spans="1:8" x14ac:dyDescent="0.2">
      <c r="A13364" s="2" t="s">
        <v>4378</v>
      </c>
      <c r="B13364" s="2" t="s">
        <v>2211</v>
      </c>
      <c r="C13364" s="2">
        <v>677.22119999999995</v>
      </c>
      <c r="D13364" s="2">
        <f>HYPERLINK("http://mcb-m6.bioreg.kyushu-u.ac.jp/M3/20110414/F50924/1726/1", 37.39)</f>
        <v>37.39</v>
      </c>
      <c r="E13364" s="2">
        <v>22.76</v>
      </c>
      <c r="F13364" s="2">
        <v>2</v>
      </c>
      <c r="G13364" s="2" t="s">
        <v>11</v>
      </c>
    </row>
    <row r="13365" spans="1:8" x14ac:dyDescent="0.2">
      <c r="A13365" s="2" t="s">
        <v>4378</v>
      </c>
      <c r="B13365" s="2" t="s">
        <v>2236</v>
      </c>
      <c r="C13365" s="2">
        <v>1070.5830000000001</v>
      </c>
      <c r="D13365" s="2">
        <f>HYPERLINK("http://mcb-m6.bioreg.kyushu-u.ac.jp/M3/20110414/F50924/1223/1", 38.94)</f>
        <v>38.94</v>
      </c>
      <c r="E13365" s="2">
        <v>27</v>
      </c>
      <c r="F13365" s="2">
        <v>1</v>
      </c>
      <c r="G13365" s="2" t="s">
        <v>11</v>
      </c>
    </row>
    <row r="13366" spans="1:8" x14ac:dyDescent="0.2">
      <c r="A13366" s="2" t="s">
        <v>4378</v>
      </c>
      <c r="B13366" s="2" t="s">
        <v>2236</v>
      </c>
      <c r="C13366" s="2">
        <v>535.57669999999996</v>
      </c>
      <c r="D13366" s="2">
        <f>HYPERLINK("http://mcb-m6.bioreg.kyushu-u.ac.jp/M3/20110414/F50925/1576/1", 40.06)</f>
        <v>40.06</v>
      </c>
      <c r="E13366" s="2">
        <v>15.48</v>
      </c>
      <c r="F13366" s="2">
        <v>2</v>
      </c>
      <c r="G13366" s="2" t="s">
        <v>11</v>
      </c>
    </row>
    <row r="13367" spans="1:8" x14ac:dyDescent="0.2">
      <c r="A13367" s="2" t="s">
        <v>4378</v>
      </c>
      <c r="B13367" s="2" t="s">
        <v>2236</v>
      </c>
      <c r="C13367" s="2">
        <v>1070.6389999999999</v>
      </c>
      <c r="D13367" s="2">
        <f>HYPERLINK("http://mcb-m6.bioreg.kyushu-u.ac.jp/M3/20110414/F50924/1224/1", 52.66)</f>
        <v>52.66</v>
      </c>
      <c r="E13367" s="2">
        <v>36.090000000000003</v>
      </c>
      <c r="F13367" s="2">
        <v>1</v>
      </c>
      <c r="G13367" s="2" t="s">
        <v>11</v>
      </c>
    </row>
    <row r="13368" spans="1:8" x14ac:dyDescent="0.2">
      <c r="A13368" s="2" t="s">
        <v>4378</v>
      </c>
      <c r="B13368" s="2" t="s">
        <v>2383</v>
      </c>
      <c r="C13368" s="2">
        <v>658.81269999999995</v>
      </c>
      <c r="D13368" s="2">
        <f>HYPERLINK("http://mcb-m6.bioreg.kyushu-u.ac.jp/M3/20110414/F50924/1657/1", 53.14)</f>
        <v>53.14</v>
      </c>
      <c r="E13368" s="2">
        <v>41.16</v>
      </c>
      <c r="F13368" s="2">
        <v>2</v>
      </c>
      <c r="G13368" s="2" t="s">
        <v>11</v>
      </c>
    </row>
    <row r="13369" spans="1:8" x14ac:dyDescent="0.2">
      <c r="A13369" s="2" t="s">
        <v>4378</v>
      </c>
      <c r="B13369" s="2" t="s">
        <v>2236</v>
      </c>
      <c r="C13369" s="2">
        <v>535.57920000000001</v>
      </c>
      <c r="D13369" s="2">
        <f>HYPERLINK("http://mcb-m6.bioreg.kyushu-u.ac.jp/M3/20110414/F50924/1220/1", 59.24)</f>
        <v>59.24</v>
      </c>
      <c r="E13369" s="2">
        <v>34.5</v>
      </c>
      <c r="F13369" s="2">
        <v>2</v>
      </c>
      <c r="G13369" s="2" t="s">
        <v>11</v>
      </c>
    </row>
    <row r="13370" spans="1:8" x14ac:dyDescent="0.2">
      <c r="A13370" s="2" t="s">
        <v>4378</v>
      </c>
      <c r="B13370" s="2" t="s">
        <v>2383</v>
      </c>
      <c r="C13370" s="2">
        <v>659.29110000000003</v>
      </c>
      <c r="D13370" s="2">
        <f>HYPERLINK("http://mcb-m6.bioreg.kyushu-u.ac.jp/M3/20110414/F50925/1884/1", 79.72)</f>
        <v>79.72</v>
      </c>
      <c r="E13370" s="2">
        <v>53.53</v>
      </c>
      <c r="F13370" s="2">
        <v>2</v>
      </c>
      <c r="G13370" s="2" t="s">
        <v>11</v>
      </c>
    </row>
    <row r="13371" spans="1:8" x14ac:dyDescent="0.2">
      <c r="A13371" s="2" t="s">
        <v>4378</v>
      </c>
      <c r="B13371" s="2" t="s">
        <v>2236</v>
      </c>
      <c r="C13371" s="2">
        <v>535.62570000000005</v>
      </c>
      <c r="D13371" s="2">
        <f>HYPERLINK("http://mcb-m6.bioreg.kyushu-u.ac.jp/M3/20110414/F50924/1221/1", 85.34)</f>
        <v>85.34</v>
      </c>
      <c r="E13371" s="2">
        <v>60.01</v>
      </c>
      <c r="F13371" s="2">
        <v>2</v>
      </c>
      <c r="G13371" s="2" t="s">
        <v>11</v>
      </c>
    </row>
    <row r="13372" spans="1:8" x14ac:dyDescent="0.2">
      <c r="A13372" s="2" t="s">
        <v>4378</v>
      </c>
      <c r="B13372" s="2" t="s">
        <v>2383</v>
      </c>
      <c r="C13372" s="2">
        <v>667.08069999999998</v>
      </c>
      <c r="D13372" s="2">
        <f>HYPERLINK("http://mcb-m6.bioreg.kyushu-u.ac.jp/M3/20110414/F50924/1680/1", 90.42)</f>
        <v>90.42</v>
      </c>
      <c r="E13372" s="2">
        <v>64.56</v>
      </c>
      <c r="F13372" s="2">
        <v>2</v>
      </c>
      <c r="G13372" s="2" t="s">
        <v>11</v>
      </c>
      <c r="H13372" s="2" t="s">
        <v>4891</v>
      </c>
    </row>
    <row r="13373" spans="1:8" x14ac:dyDescent="0.2">
      <c r="A13373" s="2" t="s">
        <v>4378</v>
      </c>
      <c r="B13373" s="2" t="s">
        <v>2236</v>
      </c>
      <c r="C13373" s="2">
        <v>1070.5630000000001</v>
      </c>
      <c r="D13373" s="2">
        <f>HYPERLINK("http://mcb-m6.bioreg.kyushu-u.ac.jp/M3/20110414/F50930/1842/1", 38.65)</f>
        <v>38.65</v>
      </c>
      <c r="E13373" s="2">
        <v>20.99</v>
      </c>
      <c r="F13373" s="2">
        <v>1</v>
      </c>
      <c r="G13373" s="2" t="s">
        <v>12</v>
      </c>
    </row>
    <row r="13374" spans="1:8" x14ac:dyDescent="0.2">
      <c r="A13374" s="2" t="s">
        <v>4346</v>
      </c>
      <c r="B13374" s="2" t="s">
        <v>2161</v>
      </c>
      <c r="C13374" s="2">
        <v>576.17269999999996</v>
      </c>
      <c r="D13374" s="2">
        <f>HYPERLINK("http://mcb-m6.bioreg.kyushu-u.ac.jp/M3/20110414/F50956/950/1", 35.44)</f>
        <v>35.44</v>
      </c>
      <c r="E13374" s="2">
        <v>21.94</v>
      </c>
      <c r="F13374" s="2">
        <v>2</v>
      </c>
      <c r="G13374" s="2" t="s">
        <v>11</v>
      </c>
    </row>
    <row r="13375" spans="1:8" x14ac:dyDescent="0.2">
      <c r="A13375" s="2" t="s">
        <v>4346</v>
      </c>
      <c r="B13375" s="2" t="s">
        <v>2161</v>
      </c>
      <c r="C13375" s="2">
        <v>576.03610000000003</v>
      </c>
      <c r="D13375" s="2">
        <f>HYPERLINK("http://mcb-m6.bioreg.kyushu-u.ac.jp/M3/20110502/F51192/1002/1", 35.53)</f>
        <v>35.53</v>
      </c>
      <c r="E13375" s="2">
        <v>10.94</v>
      </c>
      <c r="F13375" s="2">
        <v>2</v>
      </c>
      <c r="G13375" s="2" t="s">
        <v>14</v>
      </c>
    </row>
    <row r="13376" spans="1:8" x14ac:dyDescent="0.2">
      <c r="A13376" s="2" t="s">
        <v>4482</v>
      </c>
      <c r="B13376" s="2" t="s">
        <v>2434</v>
      </c>
      <c r="C13376" s="2">
        <v>699.5847</v>
      </c>
      <c r="D13376" s="2">
        <f>HYPERLINK("http://mcb-m6.bioreg.kyushu-u.ac.jp/M3/20110414/F50924/1889/1", 62.7)</f>
        <v>62.7</v>
      </c>
      <c r="E13376" s="2">
        <v>41.31</v>
      </c>
      <c r="F13376" s="2">
        <v>2</v>
      </c>
      <c r="G13376" s="2" t="s">
        <v>11</v>
      </c>
    </row>
    <row r="13377" spans="1:8" x14ac:dyDescent="0.2">
      <c r="A13377" s="2" t="s">
        <v>4486</v>
      </c>
      <c r="B13377" s="2" t="s">
        <v>2450</v>
      </c>
      <c r="C13377" s="2">
        <v>849.19870000000003</v>
      </c>
      <c r="D13377" s="2">
        <f>HYPERLINK("http://mcb-m6.bioreg.kyushu-u.ac.jp/M3/20110414/F50924/2604/1", 67.11)</f>
        <v>67.11</v>
      </c>
      <c r="E13377" s="2">
        <v>57.47</v>
      </c>
      <c r="F13377" s="2">
        <v>2</v>
      </c>
      <c r="G13377" s="2" t="s">
        <v>11</v>
      </c>
      <c r="H13377" s="2" t="s">
        <v>4910</v>
      </c>
    </row>
    <row r="13378" spans="1:8" x14ac:dyDescent="0.2">
      <c r="A13378" s="2" t="s">
        <v>4486</v>
      </c>
      <c r="B13378" s="2" t="s">
        <v>2450</v>
      </c>
      <c r="C13378" s="2">
        <v>841.24019999999996</v>
      </c>
      <c r="D13378" s="2">
        <f>HYPERLINK("http://mcb-m6.bioreg.kyushu-u.ac.jp/M3/20110414/F50924/2572/1", 80.1)</f>
        <v>80.099999999999994</v>
      </c>
      <c r="E13378" s="2">
        <v>61.74</v>
      </c>
      <c r="F13378" s="2">
        <v>2</v>
      </c>
      <c r="G13378" s="2" t="s">
        <v>11</v>
      </c>
    </row>
    <row r="13379" spans="1:8" x14ac:dyDescent="0.2">
      <c r="A13379" s="2" t="s">
        <v>4486</v>
      </c>
      <c r="B13379" s="2" t="s">
        <v>2450</v>
      </c>
      <c r="C13379" s="2">
        <v>841.57119999999998</v>
      </c>
      <c r="D13379" s="2">
        <f>HYPERLINK("http://mcb-m6.bioreg.kyushu-u.ac.jp/M3/20110502/F51181/2291/1", 46.51)</f>
        <v>46.51</v>
      </c>
      <c r="E13379" s="2">
        <v>39.89</v>
      </c>
      <c r="F13379" s="2">
        <v>2</v>
      </c>
      <c r="G13379" s="2" t="s">
        <v>14</v>
      </c>
    </row>
    <row r="13380" spans="1:8" x14ac:dyDescent="0.2">
      <c r="A13380" s="2" t="s">
        <v>3631</v>
      </c>
      <c r="B13380" s="2" t="s">
        <v>545</v>
      </c>
      <c r="C13380" s="2">
        <v>1328.7650000000001</v>
      </c>
      <c r="D13380" s="2">
        <f>HYPERLINK("http://mcb-m6.bioreg.kyushu-u.ac.jp/M3/20110411/F50919/1272/1", 44.52)</f>
        <v>44.52</v>
      </c>
      <c r="E13380" s="2">
        <v>30.28</v>
      </c>
      <c r="F13380" s="2">
        <v>1</v>
      </c>
      <c r="G13380" s="2" t="s">
        <v>9</v>
      </c>
    </row>
    <row r="13381" spans="1:8" x14ac:dyDescent="0.2">
      <c r="A13381" s="2" t="s">
        <v>3631</v>
      </c>
      <c r="B13381" s="2" t="s">
        <v>545</v>
      </c>
      <c r="C13381" s="2">
        <v>665.34469999999999</v>
      </c>
      <c r="D13381" s="2">
        <f>HYPERLINK("http://mcb-m6.bioreg.kyushu-u.ac.jp/M3/20110411/F50904/1670/1", 65.66)</f>
        <v>65.66</v>
      </c>
      <c r="E13381" s="2">
        <v>46.82</v>
      </c>
      <c r="F13381" s="2">
        <v>2</v>
      </c>
      <c r="G13381" s="2" t="s">
        <v>9</v>
      </c>
    </row>
    <row r="13382" spans="1:8" x14ac:dyDescent="0.2">
      <c r="A13382" s="2" t="s">
        <v>3631</v>
      </c>
      <c r="B13382" s="2" t="s">
        <v>545</v>
      </c>
      <c r="C13382" s="2">
        <v>664.79570000000001</v>
      </c>
      <c r="D13382" s="2">
        <f>HYPERLINK("http://mcb-m6.bioreg.kyushu-u.ac.jp/M3/20110411/F50891/1672/1", 66.3)</f>
        <v>66.3</v>
      </c>
      <c r="E13382" s="2">
        <v>48.51</v>
      </c>
      <c r="F13382" s="2">
        <v>2</v>
      </c>
      <c r="G13382" s="2" t="s">
        <v>9</v>
      </c>
    </row>
    <row r="13383" spans="1:8" x14ac:dyDescent="0.2">
      <c r="A13383" s="2" t="s">
        <v>3631</v>
      </c>
      <c r="B13383" s="2" t="s">
        <v>545</v>
      </c>
      <c r="C13383" s="2">
        <v>665.01319999999998</v>
      </c>
      <c r="D13383" s="2">
        <f>HYPERLINK("http://mcb-m6.bioreg.kyushu-u.ac.jp/M3/20110411/F50911/1668/1", 69.42)</f>
        <v>69.42</v>
      </c>
      <c r="E13383" s="2">
        <v>42.21</v>
      </c>
      <c r="F13383" s="2">
        <v>2</v>
      </c>
      <c r="G13383" s="2" t="s">
        <v>9</v>
      </c>
    </row>
    <row r="13384" spans="1:8" x14ac:dyDescent="0.2">
      <c r="A13384" s="2" t="s">
        <v>3631</v>
      </c>
      <c r="B13384" s="2" t="s">
        <v>545</v>
      </c>
      <c r="C13384" s="2">
        <v>665.07619999999997</v>
      </c>
      <c r="D13384" s="2">
        <f>HYPERLINK("http://mcb-m6.bioreg.kyushu-u.ac.jp/M3/20110411/F50903/1661/1", 70.99)</f>
        <v>70.989999999999995</v>
      </c>
      <c r="E13384" s="2">
        <v>49.89</v>
      </c>
      <c r="F13384" s="2">
        <v>2</v>
      </c>
      <c r="G13384" s="2" t="s">
        <v>9</v>
      </c>
    </row>
    <row r="13385" spans="1:8" x14ac:dyDescent="0.2">
      <c r="A13385" s="2" t="s">
        <v>3631</v>
      </c>
      <c r="B13385" s="2" t="s">
        <v>545</v>
      </c>
      <c r="C13385" s="2">
        <v>665.00419999999997</v>
      </c>
      <c r="D13385" s="2">
        <f>HYPERLINK("http://mcb-m6.bioreg.kyushu-u.ac.jp/M3/20110411/F50905/1629/1", 76.46)</f>
        <v>76.459999999999994</v>
      </c>
      <c r="E13385" s="2">
        <v>51.53</v>
      </c>
      <c r="F13385" s="2">
        <v>2</v>
      </c>
      <c r="G13385" s="2" t="s">
        <v>9</v>
      </c>
    </row>
    <row r="13386" spans="1:8" x14ac:dyDescent="0.2">
      <c r="A13386" s="2" t="s">
        <v>3631</v>
      </c>
      <c r="B13386" s="2" t="s">
        <v>545</v>
      </c>
      <c r="C13386" s="2">
        <v>664.85720000000003</v>
      </c>
      <c r="D13386" s="2">
        <f>HYPERLINK("http://mcb-m6.bioreg.kyushu-u.ac.jp/M3/20110411/F50890/1766/1", 77.35)</f>
        <v>77.349999999999994</v>
      </c>
      <c r="E13386" s="2">
        <v>62.57</v>
      </c>
      <c r="F13386" s="2">
        <v>2</v>
      </c>
      <c r="G13386" s="2" t="s">
        <v>9</v>
      </c>
    </row>
    <row r="13387" spans="1:8" x14ac:dyDescent="0.2">
      <c r="A13387" s="2" t="s">
        <v>3631</v>
      </c>
      <c r="B13387" s="2" t="s">
        <v>545</v>
      </c>
      <c r="C13387" s="2">
        <v>664.93119999999999</v>
      </c>
      <c r="D13387" s="2">
        <f>HYPERLINK("http://mcb-m6.bioreg.kyushu-u.ac.jp/M3/20110411/F50919/1273/1", 78.06)</f>
        <v>78.06</v>
      </c>
      <c r="E13387" s="2">
        <v>55.58</v>
      </c>
      <c r="F13387" s="2">
        <v>2</v>
      </c>
      <c r="G13387" s="2" t="s">
        <v>9</v>
      </c>
    </row>
    <row r="13388" spans="1:8" x14ac:dyDescent="0.2">
      <c r="A13388" s="2" t="s">
        <v>3631</v>
      </c>
      <c r="B13388" s="2" t="s">
        <v>545</v>
      </c>
      <c r="C13388" s="2">
        <v>664.84220000000005</v>
      </c>
      <c r="D13388" s="2">
        <f>HYPERLINK("http://mcb-m6.bioreg.kyushu-u.ac.jp/M3/20110411/F50892/1848/1", 78.67)</f>
        <v>78.67</v>
      </c>
      <c r="E13388" s="2">
        <v>54.06</v>
      </c>
      <c r="F13388" s="2">
        <v>2</v>
      </c>
      <c r="G13388" s="2" t="s">
        <v>9</v>
      </c>
    </row>
    <row r="13389" spans="1:8" x14ac:dyDescent="0.2">
      <c r="A13389" s="2" t="s">
        <v>3631</v>
      </c>
      <c r="B13389" s="2" t="s">
        <v>545</v>
      </c>
      <c r="C13389" s="2">
        <v>664.64419999999996</v>
      </c>
      <c r="D13389" s="2">
        <f>HYPERLINK("http://mcb-m6.bioreg.kyushu-u.ac.jp/M3/20110411/F50921/1446/1", 35.69)</f>
        <v>35.69</v>
      </c>
      <c r="E13389" s="2">
        <v>24.58</v>
      </c>
      <c r="F13389" s="2">
        <v>2</v>
      </c>
      <c r="G13389" s="2" t="s">
        <v>10</v>
      </c>
    </row>
    <row r="13390" spans="1:8" x14ac:dyDescent="0.2">
      <c r="A13390" s="2" t="s">
        <v>3631</v>
      </c>
      <c r="B13390" s="2" t="s">
        <v>545</v>
      </c>
      <c r="C13390" s="2">
        <v>1328.6479999999999</v>
      </c>
      <c r="D13390" s="2">
        <f>HYPERLINK("http://mcb-m6.bioreg.kyushu-u.ac.jp/M3/20110411/F50921/1450/1", 35.81)</f>
        <v>35.81</v>
      </c>
      <c r="E13390" s="2">
        <v>28.28</v>
      </c>
      <c r="F13390" s="2">
        <v>1</v>
      </c>
      <c r="G13390" s="2" t="s">
        <v>10</v>
      </c>
    </row>
    <row r="13391" spans="1:8" x14ac:dyDescent="0.2">
      <c r="A13391" s="2" t="s">
        <v>3631</v>
      </c>
      <c r="B13391" s="2" t="s">
        <v>545</v>
      </c>
      <c r="C13391" s="2">
        <v>665.24069999999995</v>
      </c>
      <c r="D13391" s="2">
        <f>HYPERLINK("http://mcb-m6.bioreg.kyushu-u.ac.jp/M3/20110411/F50901/1711/1", 35.9)</f>
        <v>35.9</v>
      </c>
      <c r="E13391" s="2">
        <v>22.99</v>
      </c>
      <c r="F13391" s="2">
        <v>2</v>
      </c>
      <c r="G13391" s="2" t="s">
        <v>10</v>
      </c>
    </row>
    <row r="13392" spans="1:8" x14ac:dyDescent="0.2">
      <c r="A13392" s="2" t="s">
        <v>3631</v>
      </c>
      <c r="B13392" s="2" t="s">
        <v>545</v>
      </c>
      <c r="C13392" s="2">
        <v>664.80409999999995</v>
      </c>
      <c r="D13392" s="2">
        <f>HYPERLINK("http://mcb-m6.bioreg.kyushu-u.ac.jp/M3/20110411/F50921/1448/1", 39.82)</f>
        <v>39.82</v>
      </c>
      <c r="E13392" s="2">
        <v>25.79</v>
      </c>
      <c r="F13392" s="2">
        <v>2</v>
      </c>
      <c r="G13392" s="2" t="s">
        <v>10</v>
      </c>
    </row>
    <row r="13393" spans="1:7" x14ac:dyDescent="0.2">
      <c r="A13393" s="2" t="s">
        <v>3631</v>
      </c>
      <c r="B13393" s="2" t="s">
        <v>545</v>
      </c>
      <c r="C13393" s="2">
        <v>664.97969999999998</v>
      </c>
      <c r="D13393" s="2">
        <f>HYPERLINK("http://mcb-m6.bioreg.kyushu-u.ac.jp/M3/20110411/F50898/1929/1", 64.82)</f>
        <v>64.819999999999993</v>
      </c>
      <c r="E13393" s="2">
        <v>43.65</v>
      </c>
      <c r="F13393" s="2">
        <v>2</v>
      </c>
      <c r="G13393" s="2" t="s">
        <v>10</v>
      </c>
    </row>
    <row r="13394" spans="1:7" x14ac:dyDescent="0.2">
      <c r="A13394" s="2" t="s">
        <v>3631</v>
      </c>
      <c r="B13394" s="2" t="s">
        <v>545</v>
      </c>
      <c r="C13394" s="2">
        <v>665.32709999999997</v>
      </c>
      <c r="D13394" s="2">
        <f>HYPERLINK("http://mcb-m6.bioreg.kyushu-u.ac.jp/M3/20110411/F50921/1451/1", 69.65)</f>
        <v>69.650000000000006</v>
      </c>
      <c r="E13394" s="2">
        <v>55.39</v>
      </c>
      <c r="F13394" s="2">
        <v>2</v>
      </c>
      <c r="G13394" s="2" t="s">
        <v>10</v>
      </c>
    </row>
    <row r="13395" spans="1:7" x14ac:dyDescent="0.2">
      <c r="A13395" s="2" t="s">
        <v>3631</v>
      </c>
      <c r="B13395" s="2" t="s">
        <v>545</v>
      </c>
      <c r="C13395" s="2">
        <v>665.08759999999995</v>
      </c>
      <c r="D13395" s="2">
        <f>HYPERLINK("http://mcb-m6.bioreg.kyushu-u.ac.jp/M3/20110411/F50920/1198/1", 69.9)</f>
        <v>69.900000000000006</v>
      </c>
      <c r="E13395" s="2">
        <v>51.36</v>
      </c>
      <c r="F13395" s="2">
        <v>2</v>
      </c>
      <c r="G13395" s="2" t="s">
        <v>10</v>
      </c>
    </row>
    <row r="13396" spans="1:7" x14ac:dyDescent="0.2">
      <c r="A13396" s="2" t="s">
        <v>3631</v>
      </c>
      <c r="B13396" s="2" t="s">
        <v>545</v>
      </c>
      <c r="C13396" s="2">
        <v>664.85820000000001</v>
      </c>
      <c r="D13396" s="2">
        <f>HYPERLINK("http://mcb-m6.bioreg.kyushu-u.ac.jp/M3/20110411/F50899/1968/1", 71.11)</f>
        <v>71.11</v>
      </c>
      <c r="E13396" s="2">
        <v>54.03</v>
      </c>
      <c r="F13396" s="2">
        <v>2</v>
      </c>
      <c r="G13396" s="2" t="s">
        <v>10</v>
      </c>
    </row>
    <row r="13397" spans="1:7" x14ac:dyDescent="0.2">
      <c r="A13397" s="2" t="s">
        <v>3631</v>
      </c>
      <c r="B13397" s="2" t="s">
        <v>545</v>
      </c>
      <c r="C13397" s="2">
        <v>665.00959999999998</v>
      </c>
      <c r="D13397" s="2">
        <f>HYPERLINK("http://mcb-m6.bioreg.kyushu-u.ac.jp/M3/20110411/F50897/1579/1", 71.48)</f>
        <v>71.48</v>
      </c>
      <c r="E13397" s="2">
        <v>49.22</v>
      </c>
      <c r="F13397" s="2">
        <v>2</v>
      </c>
      <c r="G13397" s="2" t="s">
        <v>10</v>
      </c>
    </row>
    <row r="13398" spans="1:7" x14ac:dyDescent="0.2">
      <c r="A13398" s="2" t="s">
        <v>3631</v>
      </c>
      <c r="B13398" s="2" t="s">
        <v>545</v>
      </c>
      <c r="C13398" s="2">
        <v>664.79719999999998</v>
      </c>
      <c r="D13398" s="2">
        <f>HYPERLINK("http://mcb-m6.bioreg.kyushu-u.ac.jp/M3/20110411/F50921/1447/1", 76.71)</f>
        <v>76.709999999999994</v>
      </c>
      <c r="E13398" s="2">
        <v>57.21</v>
      </c>
      <c r="F13398" s="2">
        <v>2</v>
      </c>
      <c r="G13398" s="2" t="s">
        <v>10</v>
      </c>
    </row>
    <row r="13399" spans="1:7" x14ac:dyDescent="0.2">
      <c r="A13399" s="2" t="s">
        <v>3631</v>
      </c>
      <c r="B13399" s="2" t="s">
        <v>545</v>
      </c>
      <c r="C13399" s="2">
        <v>665.09010000000001</v>
      </c>
      <c r="D13399" s="2">
        <f>HYPERLINK("http://mcb-m6.bioreg.kyushu-u.ac.jp/M3/20110411/F50913/1632/1", 81.55)</f>
        <v>81.55</v>
      </c>
      <c r="E13399" s="2">
        <v>56.7</v>
      </c>
      <c r="F13399" s="2">
        <v>2</v>
      </c>
      <c r="G13399" s="2" t="s">
        <v>10</v>
      </c>
    </row>
    <row r="13400" spans="1:7" x14ac:dyDescent="0.2">
      <c r="A13400" s="2" t="s">
        <v>3631</v>
      </c>
      <c r="B13400" s="2" t="s">
        <v>545</v>
      </c>
      <c r="C13400" s="2">
        <v>664.81370000000004</v>
      </c>
      <c r="D13400" s="2">
        <f>HYPERLINK("http://mcb-m6.bioreg.kyushu-u.ac.jp/M3/20110411/F50921/1449/1", 82.56)</f>
        <v>82.56</v>
      </c>
      <c r="E13400" s="2">
        <v>68.87</v>
      </c>
      <c r="F13400" s="2">
        <v>2</v>
      </c>
      <c r="G13400" s="2" t="s">
        <v>10</v>
      </c>
    </row>
    <row r="13401" spans="1:7" x14ac:dyDescent="0.2">
      <c r="A13401" s="2" t="s">
        <v>3631</v>
      </c>
      <c r="B13401" s="2" t="s">
        <v>545</v>
      </c>
      <c r="C13401" s="2">
        <v>664.93709999999999</v>
      </c>
      <c r="D13401" s="2">
        <f>HYPERLINK("http://mcb-m6.bioreg.kyushu-u.ac.jp/M3/20110411/F50900/1835/1", 84.56)</f>
        <v>84.56</v>
      </c>
      <c r="E13401" s="2">
        <v>64.41</v>
      </c>
      <c r="F13401" s="2">
        <v>2</v>
      </c>
      <c r="G13401" s="2" t="s">
        <v>10</v>
      </c>
    </row>
    <row r="13402" spans="1:7" x14ac:dyDescent="0.2">
      <c r="A13402" s="2" t="s">
        <v>3631</v>
      </c>
      <c r="B13402" s="2" t="s">
        <v>545</v>
      </c>
      <c r="C13402" s="2">
        <v>665.03859999999997</v>
      </c>
      <c r="D13402" s="2">
        <f>HYPERLINK("http://mcb-m6.bioreg.kyushu-u.ac.jp/M3/20110411/F50902/1688/1", 88.11)</f>
        <v>88.11</v>
      </c>
      <c r="E13402" s="2">
        <v>69.540000000000006</v>
      </c>
      <c r="F13402" s="2">
        <v>2</v>
      </c>
      <c r="G13402" s="2" t="s">
        <v>10</v>
      </c>
    </row>
    <row r="13403" spans="1:7" x14ac:dyDescent="0.2">
      <c r="A13403" s="2" t="s">
        <v>3631</v>
      </c>
      <c r="B13403" s="2" t="s">
        <v>545</v>
      </c>
      <c r="C13403" s="2">
        <v>1328.54</v>
      </c>
      <c r="D13403" s="2">
        <f>HYPERLINK("http://mcb-m6.bioreg.kyushu-u.ac.jp/M3/20110414/F50962/1502/1", 38.75)</f>
        <v>38.75</v>
      </c>
      <c r="E13403" s="2">
        <v>28.78</v>
      </c>
      <c r="F13403" s="2">
        <v>1</v>
      </c>
      <c r="G13403" s="2" t="s">
        <v>11</v>
      </c>
    </row>
    <row r="13404" spans="1:7" x14ac:dyDescent="0.2">
      <c r="A13404" s="2" t="s">
        <v>3631</v>
      </c>
      <c r="B13404" s="2" t="s">
        <v>545</v>
      </c>
      <c r="C13404" s="2">
        <v>665.21119999999996</v>
      </c>
      <c r="D13404" s="2">
        <f>HYPERLINK("http://mcb-m6.bioreg.kyushu-u.ac.jp/M3/20110414/F50926/1946/1", 52.23)</f>
        <v>52.23</v>
      </c>
      <c r="E13404" s="2">
        <v>37.53</v>
      </c>
      <c r="F13404" s="2">
        <v>2</v>
      </c>
      <c r="G13404" s="2" t="s">
        <v>11</v>
      </c>
    </row>
    <row r="13405" spans="1:7" x14ac:dyDescent="0.2">
      <c r="A13405" s="2" t="s">
        <v>3631</v>
      </c>
      <c r="B13405" s="2" t="s">
        <v>545</v>
      </c>
      <c r="C13405" s="2">
        <v>664.76919999999996</v>
      </c>
      <c r="D13405" s="2">
        <f>HYPERLINK("http://mcb-m6.bioreg.kyushu-u.ac.jp/M3/20110414/F50929/1977/1", 57.75)</f>
        <v>57.75</v>
      </c>
      <c r="E13405" s="2">
        <v>41.86</v>
      </c>
      <c r="F13405" s="2">
        <v>2</v>
      </c>
      <c r="G13405" s="2" t="s">
        <v>11</v>
      </c>
    </row>
    <row r="13406" spans="1:7" x14ac:dyDescent="0.2">
      <c r="A13406" s="2" t="s">
        <v>3631</v>
      </c>
      <c r="B13406" s="2" t="s">
        <v>545</v>
      </c>
      <c r="C13406" s="2">
        <v>665.22059999999999</v>
      </c>
      <c r="D13406" s="2">
        <f>HYPERLINK("http://mcb-m6.bioreg.kyushu-u.ac.jp/M3/20110414/F50945/1632/1", 57.93)</f>
        <v>57.93</v>
      </c>
      <c r="E13406" s="2">
        <v>46.74</v>
      </c>
      <c r="F13406" s="2">
        <v>2</v>
      </c>
      <c r="G13406" s="2" t="s">
        <v>11</v>
      </c>
    </row>
    <row r="13407" spans="1:7" x14ac:dyDescent="0.2">
      <c r="A13407" s="2" t="s">
        <v>3631</v>
      </c>
      <c r="B13407" s="2" t="s">
        <v>545</v>
      </c>
      <c r="C13407" s="2">
        <v>664.7482</v>
      </c>
      <c r="D13407" s="2">
        <f>HYPERLINK("http://mcb-m6.bioreg.kyushu-u.ac.jp/M3/20110414/F50962/1500/1", 60.1)</f>
        <v>60.1</v>
      </c>
      <c r="E13407" s="2">
        <v>42.31</v>
      </c>
      <c r="F13407" s="2">
        <v>2</v>
      </c>
      <c r="G13407" s="2" t="s">
        <v>11</v>
      </c>
    </row>
    <row r="13408" spans="1:7" x14ac:dyDescent="0.2">
      <c r="A13408" s="2" t="s">
        <v>3631</v>
      </c>
      <c r="B13408" s="2" t="s">
        <v>545</v>
      </c>
      <c r="C13408" s="2">
        <v>664.67319999999995</v>
      </c>
      <c r="D13408" s="2">
        <f>HYPERLINK("http://mcb-m6.bioreg.kyushu-u.ac.jp/M3/20110414/F50945/1616/1", 62.82)</f>
        <v>62.82</v>
      </c>
      <c r="E13408" s="2">
        <v>43.23</v>
      </c>
      <c r="F13408" s="2">
        <v>2</v>
      </c>
      <c r="G13408" s="2" t="s">
        <v>11</v>
      </c>
    </row>
    <row r="13409" spans="1:7" x14ac:dyDescent="0.2">
      <c r="A13409" s="2" t="s">
        <v>3631</v>
      </c>
      <c r="B13409" s="2" t="s">
        <v>545</v>
      </c>
      <c r="C13409" s="2">
        <v>664.87710000000004</v>
      </c>
      <c r="D13409" s="2">
        <f>HYPERLINK("http://mcb-m6.bioreg.kyushu-u.ac.jp/M3/20110414/F50945/1628/1", 63.27)</f>
        <v>63.27</v>
      </c>
      <c r="E13409" s="2">
        <v>46.41</v>
      </c>
      <c r="F13409" s="2">
        <v>2</v>
      </c>
      <c r="G13409" s="2" t="s">
        <v>11</v>
      </c>
    </row>
    <row r="13410" spans="1:7" x14ac:dyDescent="0.2">
      <c r="A13410" s="2" t="s">
        <v>3631</v>
      </c>
      <c r="B13410" s="2" t="s">
        <v>545</v>
      </c>
      <c r="C13410" s="2">
        <v>664.77919999999995</v>
      </c>
      <c r="D13410" s="2">
        <f>HYPERLINK("http://mcb-m6.bioreg.kyushu-u.ac.jp/M3/20110414/F50943/1470/1", 65.45)</f>
        <v>65.45</v>
      </c>
      <c r="E13410" s="2">
        <v>47.03</v>
      </c>
      <c r="F13410" s="2">
        <v>2</v>
      </c>
      <c r="G13410" s="2" t="s">
        <v>11</v>
      </c>
    </row>
    <row r="13411" spans="1:7" x14ac:dyDescent="0.2">
      <c r="A13411" s="2" t="s">
        <v>3631</v>
      </c>
      <c r="B13411" s="2" t="s">
        <v>545</v>
      </c>
      <c r="C13411" s="2">
        <v>664.6241</v>
      </c>
      <c r="D13411" s="2">
        <f>HYPERLINK("http://mcb-m6.bioreg.kyushu-u.ac.jp/M3/20110414/F50928/1888/1", 67.93)</f>
        <v>67.930000000000007</v>
      </c>
      <c r="E13411" s="2">
        <v>38.979999999999997</v>
      </c>
      <c r="F13411" s="2">
        <v>2</v>
      </c>
      <c r="G13411" s="2" t="s">
        <v>11</v>
      </c>
    </row>
    <row r="13412" spans="1:7" x14ac:dyDescent="0.2">
      <c r="A13412" s="2" t="s">
        <v>3631</v>
      </c>
      <c r="B13412" s="2" t="s">
        <v>545</v>
      </c>
      <c r="C13412" s="2">
        <v>664.77009999999996</v>
      </c>
      <c r="D13412" s="2">
        <f>HYPERLINK("http://mcb-m6.bioreg.kyushu-u.ac.jp/M3/20110414/F50941/1628/1", 69.53)</f>
        <v>69.53</v>
      </c>
      <c r="E13412" s="2">
        <v>55.23</v>
      </c>
      <c r="F13412" s="2">
        <v>2</v>
      </c>
      <c r="G13412" s="2" t="s">
        <v>11</v>
      </c>
    </row>
    <row r="13413" spans="1:7" x14ac:dyDescent="0.2">
      <c r="A13413" s="2" t="s">
        <v>3631</v>
      </c>
      <c r="B13413" s="2" t="s">
        <v>545</v>
      </c>
      <c r="C13413" s="2">
        <v>664.75419999999997</v>
      </c>
      <c r="D13413" s="2">
        <f>HYPERLINK("http://mcb-m6.bioreg.kyushu-u.ac.jp/M3/20110414/F50927/1949/1", 69.68)</f>
        <v>69.680000000000007</v>
      </c>
      <c r="E13413" s="2">
        <v>51.14</v>
      </c>
      <c r="F13413" s="2">
        <v>2</v>
      </c>
      <c r="G13413" s="2" t="s">
        <v>11</v>
      </c>
    </row>
    <row r="13414" spans="1:7" x14ac:dyDescent="0.2">
      <c r="A13414" s="2" t="s">
        <v>3631</v>
      </c>
      <c r="B13414" s="2" t="s">
        <v>545</v>
      </c>
      <c r="C13414" s="2">
        <v>664.8202</v>
      </c>
      <c r="D13414" s="2">
        <f>HYPERLINK("http://mcb-m6.bioreg.kyushu-u.ac.jp/M3/20110414/F50945/1620/1", 71.93)</f>
        <v>71.930000000000007</v>
      </c>
      <c r="E13414" s="2">
        <v>54.13</v>
      </c>
      <c r="F13414" s="2">
        <v>2</v>
      </c>
      <c r="G13414" s="2" t="s">
        <v>11</v>
      </c>
    </row>
    <row r="13415" spans="1:7" x14ac:dyDescent="0.2">
      <c r="A13415" s="2" t="s">
        <v>3631</v>
      </c>
      <c r="B13415" s="2" t="s">
        <v>545</v>
      </c>
      <c r="C13415" s="2">
        <v>665.04610000000002</v>
      </c>
      <c r="D13415" s="2">
        <f>HYPERLINK("http://mcb-m6.bioreg.kyushu-u.ac.jp/M3/20110414/F50945/1630/1", 73.85)</f>
        <v>73.849999999999994</v>
      </c>
      <c r="E13415" s="2">
        <v>60.72</v>
      </c>
      <c r="F13415" s="2">
        <v>2</v>
      </c>
      <c r="G13415" s="2" t="s">
        <v>11</v>
      </c>
    </row>
    <row r="13416" spans="1:7" x14ac:dyDescent="0.2">
      <c r="A13416" s="2" t="s">
        <v>3631</v>
      </c>
      <c r="B13416" s="2" t="s">
        <v>545</v>
      </c>
      <c r="C13416" s="2">
        <v>664.86410000000001</v>
      </c>
      <c r="D13416" s="2">
        <f>HYPERLINK("http://mcb-m6.bioreg.kyushu-u.ac.jp/M3/20110414/F50945/1625/1", 74.33)</f>
        <v>74.33</v>
      </c>
      <c r="E13416" s="2">
        <v>56.87</v>
      </c>
      <c r="F13416" s="2">
        <v>2</v>
      </c>
      <c r="G13416" s="2" t="s">
        <v>11</v>
      </c>
    </row>
    <row r="13417" spans="1:7" x14ac:dyDescent="0.2">
      <c r="A13417" s="2" t="s">
        <v>3631</v>
      </c>
      <c r="B13417" s="2" t="s">
        <v>545</v>
      </c>
      <c r="C13417" s="2">
        <v>664.9307</v>
      </c>
      <c r="D13417" s="2">
        <f>HYPERLINK("http://mcb-m6.bioreg.kyushu-u.ac.jp/M3/20110414/F50945/1629/1", 76.56)</f>
        <v>76.56</v>
      </c>
      <c r="E13417" s="2">
        <v>54.94</v>
      </c>
      <c r="F13417" s="2">
        <v>2</v>
      </c>
      <c r="G13417" s="2" t="s">
        <v>11</v>
      </c>
    </row>
    <row r="13418" spans="1:7" x14ac:dyDescent="0.2">
      <c r="A13418" s="2" t="s">
        <v>3631</v>
      </c>
      <c r="B13418" s="2" t="s">
        <v>545</v>
      </c>
      <c r="C13418" s="2">
        <v>664.85220000000004</v>
      </c>
      <c r="D13418" s="2">
        <f>HYPERLINK("http://mcb-m6.bioreg.kyushu-u.ac.jp/M3/20110414/F50945/1623/1", 77.48)</f>
        <v>77.48</v>
      </c>
      <c r="E13418" s="2">
        <v>63.01</v>
      </c>
      <c r="F13418" s="2">
        <v>2</v>
      </c>
      <c r="G13418" s="2" t="s">
        <v>11</v>
      </c>
    </row>
    <row r="13419" spans="1:7" x14ac:dyDescent="0.2">
      <c r="A13419" s="2" t="s">
        <v>3631</v>
      </c>
      <c r="B13419" s="2" t="s">
        <v>545</v>
      </c>
      <c r="C13419" s="2">
        <v>664.85670000000005</v>
      </c>
      <c r="D13419" s="2">
        <f>HYPERLINK("http://mcb-m6.bioreg.kyushu-u.ac.jp/M3/20110414/F50945/1624/1", 80.89)</f>
        <v>80.89</v>
      </c>
      <c r="E13419" s="2">
        <v>62.08</v>
      </c>
      <c r="F13419" s="2">
        <v>2</v>
      </c>
      <c r="G13419" s="2" t="s">
        <v>11</v>
      </c>
    </row>
    <row r="13420" spans="1:7" x14ac:dyDescent="0.2">
      <c r="A13420" s="2" t="s">
        <v>3631</v>
      </c>
      <c r="B13420" s="2" t="s">
        <v>545</v>
      </c>
      <c r="C13420" s="2">
        <v>664.84519999999998</v>
      </c>
      <c r="D13420" s="2">
        <f>HYPERLINK("http://mcb-m6.bioreg.kyushu-u.ac.jp/M3/20110414/F50945/1622/1", 82.21)</f>
        <v>82.21</v>
      </c>
      <c r="E13420" s="2">
        <v>61.56</v>
      </c>
      <c r="F13420" s="2">
        <v>2</v>
      </c>
      <c r="G13420" s="2" t="s">
        <v>11</v>
      </c>
    </row>
    <row r="13421" spans="1:7" x14ac:dyDescent="0.2">
      <c r="A13421" s="2" t="s">
        <v>3631</v>
      </c>
      <c r="B13421" s="2" t="s">
        <v>545</v>
      </c>
      <c r="C13421" s="2">
        <v>665.09670000000006</v>
      </c>
      <c r="D13421" s="2">
        <f>HYPERLINK("http://mcb-m6.bioreg.kyushu-u.ac.jp/M3/20110414/F50945/1631/1", 84.04)</f>
        <v>84.04</v>
      </c>
      <c r="E13421" s="2">
        <v>68.099999999999994</v>
      </c>
      <c r="F13421" s="2">
        <v>2</v>
      </c>
      <c r="G13421" s="2" t="s">
        <v>11</v>
      </c>
    </row>
    <row r="13422" spans="1:7" x14ac:dyDescent="0.2">
      <c r="A13422" s="2" t="s">
        <v>3631</v>
      </c>
      <c r="B13422" s="2" t="s">
        <v>545</v>
      </c>
      <c r="C13422" s="2">
        <v>664.79020000000003</v>
      </c>
      <c r="D13422" s="2">
        <f>HYPERLINK("http://mcb-m6.bioreg.kyushu-u.ac.jp/M3/20110414/F50945/1617/1", 84.51)</f>
        <v>84.51</v>
      </c>
      <c r="E13422" s="2">
        <v>68.319999999999993</v>
      </c>
      <c r="F13422" s="2">
        <v>2</v>
      </c>
      <c r="G13422" s="2" t="s">
        <v>11</v>
      </c>
    </row>
    <row r="13423" spans="1:7" x14ac:dyDescent="0.2">
      <c r="A13423" s="2" t="s">
        <v>3631</v>
      </c>
      <c r="B13423" s="2" t="s">
        <v>545</v>
      </c>
      <c r="C13423" s="2">
        <v>664.67769999999996</v>
      </c>
      <c r="D13423" s="2">
        <f>HYPERLINK("http://mcb-m6.bioreg.kyushu-u.ac.jp/M3/20110414/F50962/1499/1", 85.4)</f>
        <v>85.4</v>
      </c>
      <c r="E13423" s="2">
        <v>69.61</v>
      </c>
      <c r="F13423" s="2">
        <v>2</v>
      </c>
      <c r="G13423" s="2" t="s">
        <v>11</v>
      </c>
    </row>
    <row r="13424" spans="1:7" x14ac:dyDescent="0.2">
      <c r="A13424" s="2" t="s">
        <v>3631</v>
      </c>
      <c r="B13424" s="2" t="s">
        <v>545</v>
      </c>
      <c r="C13424" s="2">
        <v>664.8682</v>
      </c>
      <c r="D13424" s="2">
        <f>HYPERLINK("http://mcb-m6.bioreg.kyushu-u.ac.jp/M3/20110414/F50945/1626/1", 86.38)</f>
        <v>86.38</v>
      </c>
      <c r="E13424" s="2">
        <v>68.89</v>
      </c>
      <c r="F13424" s="2">
        <v>2</v>
      </c>
      <c r="G13424" s="2" t="s">
        <v>11</v>
      </c>
    </row>
    <row r="13425" spans="1:7" x14ac:dyDescent="0.2">
      <c r="A13425" s="2" t="s">
        <v>3631</v>
      </c>
      <c r="B13425" s="2" t="s">
        <v>545</v>
      </c>
      <c r="C13425" s="2">
        <v>664.81769999999995</v>
      </c>
      <c r="D13425" s="2">
        <f>HYPERLINK("http://mcb-m6.bioreg.kyushu-u.ac.jp/M3/20110414/F50945/1619/1", 89.02)</f>
        <v>89.02</v>
      </c>
      <c r="E13425" s="2">
        <v>69.45</v>
      </c>
      <c r="F13425" s="2">
        <v>2</v>
      </c>
      <c r="G13425" s="2" t="s">
        <v>11</v>
      </c>
    </row>
    <row r="13426" spans="1:7" x14ac:dyDescent="0.2">
      <c r="A13426" s="2" t="s">
        <v>3631</v>
      </c>
      <c r="B13426" s="2" t="s">
        <v>545</v>
      </c>
      <c r="C13426" s="2">
        <v>1328.5129999999999</v>
      </c>
      <c r="D13426" s="2">
        <f>HYPERLINK("http://mcb-m6.bioreg.kyushu-u.ac.jp/M3/20110414/F50963/1404/1", 38.41)</f>
        <v>38.409999999999997</v>
      </c>
      <c r="E13426" s="2">
        <v>27.65</v>
      </c>
      <c r="F13426" s="2">
        <v>1</v>
      </c>
      <c r="G13426" s="2" t="s">
        <v>12</v>
      </c>
    </row>
    <row r="13427" spans="1:7" x14ac:dyDescent="0.2">
      <c r="A13427" s="2" t="s">
        <v>3631</v>
      </c>
      <c r="B13427" s="2" t="s">
        <v>545</v>
      </c>
      <c r="C13427" s="2">
        <v>1328.65</v>
      </c>
      <c r="D13427" s="2">
        <f>HYPERLINK("http://mcb-m6.bioreg.kyushu-u.ac.jp/M3/20110414/F50946/1542/1", 40.18)</f>
        <v>40.18</v>
      </c>
      <c r="E13427" s="2">
        <v>31.29</v>
      </c>
      <c r="F13427" s="2">
        <v>1</v>
      </c>
      <c r="G13427" s="2" t="s">
        <v>12</v>
      </c>
    </row>
    <row r="13428" spans="1:7" x14ac:dyDescent="0.2">
      <c r="A13428" s="2" t="s">
        <v>3631</v>
      </c>
      <c r="B13428" s="2" t="s">
        <v>545</v>
      </c>
      <c r="C13428" s="2">
        <v>664.89419999999996</v>
      </c>
      <c r="D13428" s="2">
        <f>HYPERLINK("http://mcb-m6.bioreg.kyushu-u.ac.jp/M3/20110414/F50963/1407/1", 49.37)</f>
        <v>49.37</v>
      </c>
      <c r="E13428" s="2">
        <v>34.51</v>
      </c>
      <c r="F13428" s="2">
        <v>2</v>
      </c>
      <c r="G13428" s="2" t="s">
        <v>12</v>
      </c>
    </row>
    <row r="13429" spans="1:7" x14ac:dyDescent="0.2">
      <c r="A13429" s="2" t="s">
        <v>3631</v>
      </c>
      <c r="B13429" s="2" t="s">
        <v>545</v>
      </c>
      <c r="C13429" s="2">
        <v>664.74109999999996</v>
      </c>
      <c r="D13429" s="2">
        <f>HYPERLINK("http://mcb-m6.bioreg.kyushu-u.ac.jp/M3/20110414/F50947/1448/1", 55.2)</f>
        <v>55.2</v>
      </c>
      <c r="E13429" s="2">
        <v>43.29</v>
      </c>
      <c r="F13429" s="2">
        <v>2</v>
      </c>
      <c r="G13429" s="2" t="s">
        <v>12</v>
      </c>
    </row>
    <row r="13430" spans="1:7" x14ac:dyDescent="0.2">
      <c r="A13430" s="2" t="s">
        <v>3631</v>
      </c>
      <c r="B13430" s="2" t="s">
        <v>545</v>
      </c>
      <c r="C13430" s="2">
        <v>664.4941</v>
      </c>
      <c r="D13430" s="2">
        <f>HYPERLINK("http://mcb-m6.bioreg.kyushu-u.ac.jp/M3/20110414/F50949/1962/1", 55.22)</f>
        <v>55.22</v>
      </c>
      <c r="E13430" s="2">
        <v>34.69</v>
      </c>
      <c r="F13430" s="2">
        <v>2</v>
      </c>
      <c r="G13430" s="2" t="s">
        <v>12</v>
      </c>
    </row>
    <row r="13431" spans="1:7" x14ac:dyDescent="0.2">
      <c r="A13431" s="2" t="s">
        <v>3631</v>
      </c>
      <c r="B13431" s="2" t="s">
        <v>545</v>
      </c>
      <c r="C13431" s="2">
        <v>665.13210000000004</v>
      </c>
      <c r="D13431" s="2">
        <f>HYPERLINK("http://mcb-m6.bioreg.kyushu-u.ac.jp/M3/20110414/F50963/1410/1", 55.37)</f>
        <v>55.37</v>
      </c>
      <c r="E13431" s="2">
        <v>1.43</v>
      </c>
      <c r="F13431" s="2">
        <v>2</v>
      </c>
      <c r="G13431" s="2" t="s">
        <v>12</v>
      </c>
    </row>
    <row r="13432" spans="1:7" x14ac:dyDescent="0.2">
      <c r="A13432" s="2" t="s">
        <v>3631</v>
      </c>
      <c r="B13432" s="2" t="s">
        <v>545</v>
      </c>
      <c r="C13432" s="2">
        <v>665.19709999999998</v>
      </c>
      <c r="D13432" s="2">
        <f>HYPERLINK("http://mcb-m6.bioreg.kyushu-u.ac.jp/M3/20110414/F50963/1412/1", 57.57)</f>
        <v>57.57</v>
      </c>
      <c r="E13432" s="2">
        <v>47.54</v>
      </c>
      <c r="F13432" s="2">
        <v>2</v>
      </c>
      <c r="G13432" s="2" t="s">
        <v>12</v>
      </c>
    </row>
    <row r="13433" spans="1:7" x14ac:dyDescent="0.2">
      <c r="A13433" s="2" t="s">
        <v>3631</v>
      </c>
      <c r="B13433" s="2" t="s">
        <v>545</v>
      </c>
      <c r="C13433" s="2">
        <v>665.29669999999999</v>
      </c>
      <c r="D13433" s="2">
        <f>HYPERLINK("http://mcb-m6.bioreg.kyushu-u.ac.jp/M3/20110414/F50946/1550/1", 58.23)</f>
        <v>58.23</v>
      </c>
      <c r="E13433" s="2">
        <v>43.37</v>
      </c>
      <c r="F13433" s="2">
        <v>2</v>
      </c>
      <c r="G13433" s="2" t="s">
        <v>12</v>
      </c>
    </row>
    <row r="13434" spans="1:7" x14ac:dyDescent="0.2">
      <c r="A13434" s="2" t="s">
        <v>3631</v>
      </c>
      <c r="B13434" s="2" t="s">
        <v>545</v>
      </c>
      <c r="C13434" s="2">
        <v>665.29060000000004</v>
      </c>
      <c r="D13434" s="2">
        <f>HYPERLINK("http://mcb-m6.bioreg.kyushu-u.ac.jp/M3/20110414/F50947/1453/1", 59.56)</f>
        <v>59.56</v>
      </c>
      <c r="E13434" s="2">
        <v>45.94</v>
      </c>
      <c r="F13434" s="2">
        <v>2</v>
      </c>
      <c r="G13434" s="2" t="s">
        <v>12</v>
      </c>
    </row>
    <row r="13435" spans="1:7" x14ac:dyDescent="0.2">
      <c r="A13435" s="2" t="s">
        <v>3631</v>
      </c>
      <c r="B13435" s="2" t="s">
        <v>545</v>
      </c>
      <c r="C13435" s="2">
        <v>664.76419999999996</v>
      </c>
      <c r="D13435" s="2">
        <f>HYPERLINK("http://mcb-m6.bioreg.kyushu-u.ac.jp/M3/20110414/F50946/1539/1", 61.44)</f>
        <v>61.44</v>
      </c>
      <c r="E13435" s="2">
        <v>43.32</v>
      </c>
      <c r="F13435" s="2">
        <v>2</v>
      </c>
      <c r="G13435" s="2" t="s">
        <v>12</v>
      </c>
    </row>
    <row r="13436" spans="1:7" x14ac:dyDescent="0.2">
      <c r="A13436" s="2" t="s">
        <v>3631</v>
      </c>
      <c r="B13436" s="2" t="s">
        <v>545</v>
      </c>
      <c r="C13436" s="2">
        <v>664.76419999999996</v>
      </c>
      <c r="D13436" s="2">
        <f>HYPERLINK("http://mcb-m6.bioreg.kyushu-u.ac.jp/M3/20110414/F50947/1449/1", 66.17)</f>
        <v>66.17</v>
      </c>
      <c r="E13436" s="2">
        <v>49.72</v>
      </c>
      <c r="F13436" s="2">
        <v>2</v>
      </c>
      <c r="G13436" s="2" t="s">
        <v>12</v>
      </c>
    </row>
    <row r="13437" spans="1:7" x14ac:dyDescent="0.2">
      <c r="A13437" s="2" t="s">
        <v>3631</v>
      </c>
      <c r="B13437" s="2" t="s">
        <v>545</v>
      </c>
      <c r="C13437" s="2">
        <v>664.79970000000003</v>
      </c>
      <c r="D13437" s="2">
        <f>HYPERLINK("http://mcb-m6.bioreg.kyushu-u.ac.jp/M3/20110414/F50946/1541/1", 67.74)</f>
        <v>67.739999999999995</v>
      </c>
      <c r="E13437" s="2">
        <v>55.11</v>
      </c>
      <c r="F13437" s="2">
        <v>2</v>
      </c>
      <c r="G13437" s="2" t="s">
        <v>12</v>
      </c>
    </row>
    <row r="13438" spans="1:7" x14ac:dyDescent="0.2">
      <c r="A13438" s="2" t="s">
        <v>3631</v>
      </c>
      <c r="B13438" s="2" t="s">
        <v>545</v>
      </c>
      <c r="C13438" s="2">
        <v>665.21720000000005</v>
      </c>
      <c r="D13438" s="2">
        <f>HYPERLINK("http://mcb-m6.bioreg.kyushu-u.ac.jp/M3/20110414/F50931/2136/1", 71.75)</f>
        <v>71.75</v>
      </c>
      <c r="E13438" s="2">
        <v>56.27</v>
      </c>
      <c r="F13438" s="2">
        <v>2</v>
      </c>
      <c r="G13438" s="2" t="s">
        <v>12</v>
      </c>
    </row>
    <row r="13439" spans="1:7" x14ac:dyDescent="0.2">
      <c r="A13439" s="2" t="s">
        <v>3631</v>
      </c>
      <c r="B13439" s="2" t="s">
        <v>545</v>
      </c>
      <c r="C13439" s="2">
        <v>664.7731</v>
      </c>
      <c r="D13439" s="2">
        <f>HYPERLINK("http://mcb-m6.bioreg.kyushu-u.ac.jp/M3/20110414/F50930/1991/1", 72.35)</f>
        <v>72.349999999999994</v>
      </c>
      <c r="E13439" s="2">
        <v>55.23</v>
      </c>
      <c r="F13439" s="2">
        <v>2</v>
      </c>
      <c r="G13439" s="2" t="s">
        <v>12</v>
      </c>
    </row>
    <row r="13440" spans="1:7" x14ac:dyDescent="0.2">
      <c r="A13440" s="2" t="s">
        <v>3631</v>
      </c>
      <c r="B13440" s="2" t="s">
        <v>545</v>
      </c>
      <c r="C13440" s="2">
        <v>664.91309999999999</v>
      </c>
      <c r="D13440" s="2">
        <f>HYPERLINK("http://mcb-m6.bioreg.kyushu-u.ac.jp/M3/20110414/F50946/1547/1", 73.4)</f>
        <v>73.400000000000006</v>
      </c>
      <c r="E13440" s="2">
        <v>2.81</v>
      </c>
      <c r="F13440" s="2">
        <v>2</v>
      </c>
      <c r="G13440" s="2" t="s">
        <v>12</v>
      </c>
    </row>
    <row r="13441" spans="1:7" x14ac:dyDescent="0.2">
      <c r="A13441" s="2" t="s">
        <v>3631</v>
      </c>
      <c r="B13441" s="2" t="s">
        <v>545</v>
      </c>
      <c r="C13441" s="2">
        <v>664.72670000000005</v>
      </c>
      <c r="D13441" s="2">
        <f>HYPERLINK("http://mcb-m6.bioreg.kyushu-u.ac.jp/M3/20110414/F50948/1577/1", 74.27)</f>
        <v>74.27</v>
      </c>
      <c r="E13441" s="2">
        <v>58.49</v>
      </c>
      <c r="F13441" s="2">
        <v>2</v>
      </c>
      <c r="G13441" s="2" t="s">
        <v>12</v>
      </c>
    </row>
    <row r="13442" spans="1:7" x14ac:dyDescent="0.2">
      <c r="A13442" s="2" t="s">
        <v>3631</v>
      </c>
      <c r="B13442" s="2" t="s">
        <v>545</v>
      </c>
      <c r="C13442" s="2">
        <v>664.83810000000005</v>
      </c>
      <c r="D13442" s="2">
        <f>HYPERLINK("http://mcb-m6.bioreg.kyushu-u.ac.jp/M3/20110414/F50946/1544/1", 74.31)</f>
        <v>74.31</v>
      </c>
      <c r="E13442" s="2">
        <v>60.09</v>
      </c>
      <c r="F13442" s="2">
        <v>2</v>
      </c>
      <c r="G13442" s="2" t="s">
        <v>12</v>
      </c>
    </row>
    <row r="13443" spans="1:7" x14ac:dyDescent="0.2">
      <c r="A13443" s="2" t="s">
        <v>3631</v>
      </c>
      <c r="B13443" s="2" t="s">
        <v>545</v>
      </c>
      <c r="C13443" s="2">
        <v>665.27369999999996</v>
      </c>
      <c r="D13443" s="2">
        <f>HYPERLINK("http://mcb-m6.bioreg.kyushu-u.ac.jp/M3/20110414/F50946/1549/1", 77.22)</f>
        <v>77.22</v>
      </c>
      <c r="E13443" s="2">
        <v>63.19</v>
      </c>
      <c r="F13443" s="2">
        <v>2</v>
      </c>
      <c r="G13443" s="2" t="s">
        <v>12</v>
      </c>
    </row>
    <row r="13444" spans="1:7" x14ac:dyDescent="0.2">
      <c r="A13444" s="2" t="s">
        <v>3631</v>
      </c>
      <c r="B13444" s="2" t="s">
        <v>545</v>
      </c>
      <c r="C13444" s="2">
        <v>664.83259999999996</v>
      </c>
      <c r="D13444" s="2">
        <f>HYPERLINK("http://mcb-m6.bioreg.kyushu-u.ac.jp/M3/20110414/F50946/1543/1", 79.77)</f>
        <v>79.77</v>
      </c>
      <c r="E13444" s="2">
        <v>59.95</v>
      </c>
      <c r="F13444" s="2">
        <v>2</v>
      </c>
      <c r="G13444" s="2" t="s">
        <v>12</v>
      </c>
    </row>
    <row r="13445" spans="1:7" x14ac:dyDescent="0.2">
      <c r="A13445" s="2" t="s">
        <v>3631</v>
      </c>
      <c r="B13445" s="2" t="s">
        <v>545</v>
      </c>
      <c r="C13445" s="2">
        <v>664.73109999999997</v>
      </c>
      <c r="D13445" s="2">
        <f>HYPERLINK("http://mcb-m6.bioreg.kyushu-u.ac.jp/M3/20110414/F50932/2011/1", 83.45)</f>
        <v>83.45</v>
      </c>
      <c r="E13445" s="2">
        <v>61.57</v>
      </c>
      <c r="F13445" s="2">
        <v>2</v>
      </c>
      <c r="G13445" s="2" t="s">
        <v>12</v>
      </c>
    </row>
    <row r="13446" spans="1:7" x14ac:dyDescent="0.2">
      <c r="A13446" s="2" t="s">
        <v>3631</v>
      </c>
      <c r="B13446" s="2" t="s">
        <v>545</v>
      </c>
      <c r="C13446" s="2">
        <v>664.95169999999996</v>
      </c>
      <c r="D13446" s="2">
        <f>HYPERLINK("http://mcb-m6.bioreg.kyushu-u.ac.jp/M3/20110414/F50963/1408/1", 84.45)</f>
        <v>84.45</v>
      </c>
      <c r="E13446" s="2">
        <v>68.89</v>
      </c>
      <c r="F13446" s="2">
        <v>2</v>
      </c>
      <c r="G13446" s="2" t="s">
        <v>12</v>
      </c>
    </row>
    <row r="13447" spans="1:7" x14ac:dyDescent="0.2">
      <c r="A13447" s="2" t="s">
        <v>3631</v>
      </c>
      <c r="B13447" s="2" t="s">
        <v>545</v>
      </c>
      <c r="C13447" s="2">
        <v>664.84619999999995</v>
      </c>
      <c r="D13447" s="2">
        <f>HYPERLINK("http://mcb-m6.bioreg.kyushu-u.ac.jp/M3/20110414/F50946/1545/1", 86.29)</f>
        <v>86.29</v>
      </c>
      <c r="E13447" s="2">
        <v>70.81</v>
      </c>
      <c r="F13447" s="2">
        <v>2</v>
      </c>
      <c r="G13447" s="2" t="s">
        <v>12</v>
      </c>
    </row>
    <row r="13448" spans="1:7" x14ac:dyDescent="0.2">
      <c r="A13448" s="2" t="s">
        <v>3631</v>
      </c>
      <c r="B13448" s="2" t="s">
        <v>545</v>
      </c>
      <c r="C13448" s="2">
        <v>664.79610000000002</v>
      </c>
      <c r="D13448" s="2">
        <f>HYPERLINK("http://mcb-m6.bioreg.kyushu-u.ac.jp/M3/20110414/F50946/1540/1", 87.94)</f>
        <v>87.94</v>
      </c>
      <c r="E13448" s="2">
        <v>71.180000000000007</v>
      </c>
      <c r="F13448" s="2">
        <v>2</v>
      </c>
      <c r="G13448" s="2" t="s">
        <v>12</v>
      </c>
    </row>
    <row r="13449" spans="1:7" x14ac:dyDescent="0.2">
      <c r="A13449" s="2" t="s">
        <v>3631</v>
      </c>
      <c r="B13449" s="2" t="s">
        <v>545</v>
      </c>
      <c r="C13449" s="2">
        <v>664.69420000000002</v>
      </c>
      <c r="D13449" s="2">
        <f>HYPERLINK("http://mcb-m6.bioreg.kyushu-u.ac.jp/M3/20110414/F50946/1537/1", 88.09)</f>
        <v>88.09</v>
      </c>
      <c r="E13449" s="2">
        <v>71.59</v>
      </c>
      <c r="F13449" s="2">
        <v>2</v>
      </c>
      <c r="G13449" s="2" t="s">
        <v>12</v>
      </c>
    </row>
    <row r="13450" spans="1:7" x14ac:dyDescent="0.2">
      <c r="A13450" s="2" t="s">
        <v>3631</v>
      </c>
      <c r="B13450" s="2" t="s">
        <v>545</v>
      </c>
      <c r="C13450" s="2">
        <v>664.8691</v>
      </c>
      <c r="D13450" s="2">
        <f>HYPERLINK("http://mcb-m6.bioreg.kyushu-u.ac.jp/M3/20110414/F50946/1546/1", 92.09)</f>
        <v>92.09</v>
      </c>
      <c r="E13450" s="2">
        <v>71.59</v>
      </c>
      <c r="F13450" s="2">
        <v>2</v>
      </c>
      <c r="G13450" s="2" t="s">
        <v>12</v>
      </c>
    </row>
    <row r="13451" spans="1:7" x14ac:dyDescent="0.2">
      <c r="A13451" s="2" t="s">
        <v>3631</v>
      </c>
      <c r="B13451" s="2" t="s">
        <v>545</v>
      </c>
      <c r="C13451" s="2">
        <v>1328.9290000000001</v>
      </c>
      <c r="D13451" s="2">
        <f>HYPERLINK("http://mcb-m6.bioreg.kyushu-u.ac.jp/M3/20110502/F51180/1334/1", 43.98)</f>
        <v>43.98</v>
      </c>
      <c r="E13451" s="2">
        <v>29.44</v>
      </c>
      <c r="F13451" s="2">
        <v>1</v>
      </c>
      <c r="G13451" s="2" t="s">
        <v>13</v>
      </c>
    </row>
    <row r="13452" spans="1:7" x14ac:dyDescent="0.2">
      <c r="A13452" s="2" t="s">
        <v>3631</v>
      </c>
      <c r="B13452" s="2" t="s">
        <v>545</v>
      </c>
      <c r="C13452" s="2">
        <v>665.12869999999998</v>
      </c>
      <c r="D13452" s="2">
        <f>HYPERLINK("http://mcb-m6.bioreg.kyushu-u.ac.jp/M3/20110502/F51180/1340/1", 54.15)</f>
        <v>54.15</v>
      </c>
      <c r="E13452" s="2">
        <v>33.58</v>
      </c>
      <c r="F13452" s="2">
        <v>2</v>
      </c>
      <c r="G13452" s="2" t="s">
        <v>13</v>
      </c>
    </row>
    <row r="13453" spans="1:7" x14ac:dyDescent="0.2">
      <c r="A13453" s="2" t="s">
        <v>3631</v>
      </c>
      <c r="B13453" s="2" t="s">
        <v>545</v>
      </c>
      <c r="C13453" s="2">
        <v>665.06920000000002</v>
      </c>
      <c r="D13453" s="2">
        <f>HYPERLINK("http://mcb-m6.bioreg.kyushu-u.ac.jp/M3/20110502/F51180/1338/1", 57.71)</f>
        <v>57.71</v>
      </c>
      <c r="E13453" s="2">
        <v>35.61</v>
      </c>
      <c r="F13453" s="2">
        <v>2</v>
      </c>
      <c r="G13453" s="2" t="s">
        <v>13</v>
      </c>
    </row>
    <row r="13454" spans="1:7" x14ac:dyDescent="0.2">
      <c r="A13454" s="2" t="s">
        <v>3631</v>
      </c>
      <c r="B13454" s="2" t="s">
        <v>545</v>
      </c>
      <c r="C13454" s="2">
        <v>665.05470000000003</v>
      </c>
      <c r="D13454" s="2">
        <f>HYPERLINK("http://mcb-m6.bioreg.kyushu-u.ac.jp/M3/20110502/F51172/1581/1", 65.43)</f>
        <v>65.430000000000007</v>
      </c>
      <c r="E13454" s="2">
        <v>5.38</v>
      </c>
      <c r="F13454" s="2">
        <v>2</v>
      </c>
      <c r="G13454" s="2" t="s">
        <v>13</v>
      </c>
    </row>
    <row r="13455" spans="1:7" x14ac:dyDescent="0.2">
      <c r="A13455" s="2" t="s">
        <v>3631</v>
      </c>
      <c r="B13455" s="2" t="s">
        <v>545</v>
      </c>
      <c r="C13455" s="2">
        <v>665.10670000000005</v>
      </c>
      <c r="D13455" s="2">
        <f>HYPERLINK("http://mcb-m6.bioreg.kyushu-u.ac.jp/M3/20110502/F51180/1339/1", 67.5)</f>
        <v>67.5</v>
      </c>
      <c r="E13455" s="2">
        <v>42.85</v>
      </c>
      <c r="F13455" s="2">
        <v>2</v>
      </c>
      <c r="G13455" s="2" t="s">
        <v>13</v>
      </c>
    </row>
    <row r="13456" spans="1:7" x14ac:dyDescent="0.2">
      <c r="A13456" s="2" t="s">
        <v>3631</v>
      </c>
      <c r="B13456" s="2" t="s">
        <v>545</v>
      </c>
      <c r="C13456" s="2">
        <v>665.1816</v>
      </c>
      <c r="D13456" s="2">
        <f>HYPERLINK("http://mcb-m6.bioreg.kyushu-u.ac.jp/M3/20110502/F51180/1343/1", 71.23)</f>
        <v>71.23</v>
      </c>
      <c r="E13456" s="2">
        <v>54.8</v>
      </c>
      <c r="F13456" s="2">
        <v>2</v>
      </c>
      <c r="G13456" s="2" t="s">
        <v>13</v>
      </c>
    </row>
    <row r="13457" spans="1:7" x14ac:dyDescent="0.2">
      <c r="A13457" s="2" t="s">
        <v>3631</v>
      </c>
      <c r="B13457" s="2" t="s">
        <v>545</v>
      </c>
      <c r="C13457" s="2">
        <v>665.15219999999999</v>
      </c>
      <c r="D13457" s="2">
        <f>HYPERLINK("http://mcb-m6.bioreg.kyushu-u.ac.jp/M3/20110502/F51180/1341/1", 71.92)</f>
        <v>71.92</v>
      </c>
      <c r="E13457" s="2">
        <v>49.27</v>
      </c>
      <c r="F13457" s="2">
        <v>2</v>
      </c>
      <c r="G13457" s="2" t="s">
        <v>13</v>
      </c>
    </row>
    <row r="13458" spans="1:7" x14ac:dyDescent="0.2">
      <c r="A13458" s="2" t="s">
        <v>3631</v>
      </c>
      <c r="B13458" s="2" t="s">
        <v>545</v>
      </c>
      <c r="C13458" s="2">
        <v>664.9547</v>
      </c>
      <c r="D13458" s="2">
        <f>HYPERLINK("http://mcb-m6.bioreg.kyushu-u.ac.jp/M3/20110502/F51165/1812/1", 74.41)</f>
        <v>74.41</v>
      </c>
      <c r="E13458" s="2">
        <v>51.96</v>
      </c>
      <c r="F13458" s="2">
        <v>2</v>
      </c>
      <c r="G13458" s="2" t="s">
        <v>13</v>
      </c>
    </row>
    <row r="13459" spans="1:7" x14ac:dyDescent="0.2">
      <c r="A13459" s="2" t="s">
        <v>3631</v>
      </c>
      <c r="B13459" s="2" t="s">
        <v>545</v>
      </c>
      <c r="C13459" s="2">
        <v>664.98360000000002</v>
      </c>
      <c r="D13459" s="2">
        <f>HYPERLINK("http://mcb-m6.bioreg.kyushu-u.ac.jp/M3/20110502/F51187/1353/1", 75.01)</f>
        <v>75.010000000000005</v>
      </c>
      <c r="E13459" s="2">
        <v>53.86</v>
      </c>
      <c r="F13459" s="2">
        <v>2</v>
      </c>
      <c r="G13459" s="2" t="s">
        <v>13</v>
      </c>
    </row>
    <row r="13460" spans="1:7" x14ac:dyDescent="0.2">
      <c r="A13460" s="2" t="s">
        <v>3631</v>
      </c>
      <c r="B13460" s="2" t="s">
        <v>545</v>
      </c>
      <c r="C13460" s="2">
        <v>665.05970000000002</v>
      </c>
      <c r="D13460" s="2">
        <f>HYPERLINK("http://mcb-m6.bioreg.kyushu-u.ac.jp/M3/20110502/F51180/1336/1", 77.23)</f>
        <v>77.23</v>
      </c>
      <c r="E13460" s="2">
        <v>55.14</v>
      </c>
      <c r="F13460" s="2">
        <v>2</v>
      </c>
      <c r="G13460" s="2" t="s">
        <v>13</v>
      </c>
    </row>
    <row r="13461" spans="1:7" x14ac:dyDescent="0.2">
      <c r="A13461" s="2" t="s">
        <v>3631</v>
      </c>
      <c r="B13461" s="2" t="s">
        <v>545</v>
      </c>
      <c r="C13461" s="2">
        <v>665.06619999999998</v>
      </c>
      <c r="D13461" s="2">
        <f>HYPERLINK("http://mcb-m6.bioreg.kyushu-u.ac.jp/M3/20110502/F51180/1337/1", 78.02)</f>
        <v>78.02</v>
      </c>
      <c r="E13461" s="2">
        <v>50.99</v>
      </c>
      <c r="F13461" s="2">
        <v>2</v>
      </c>
      <c r="G13461" s="2" t="s">
        <v>13</v>
      </c>
    </row>
    <row r="13462" spans="1:7" x14ac:dyDescent="0.2">
      <c r="A13462" s="2" t="s">
        <v>3631</v>
      </c>
      <c r="B13462" s="2" t="s">
        <v>545</v>
      </c>
      <c r="C13462" s="2">
        <v>665.02419999999995</v>
      </c>
      <c r="D13462" s="2">
        <f>HYPERLINK("http://mcb-m6.bioreg.kyushu-u.ac.jp/M3/20110502/F51180/1335/1", 78.53)</f>
        <v>78.53</v>
      </c>
      <c r="E13462" s="2">
        <v>56.87</v>
      </c>
      <c r="F13462" s="2">
        <v>2</v>
      </c>
      <c r="G13462" s="2" t="s">
        <v>13</v>
      </c>
    </row>
    <row r="13463" spans="1:7" x14ac:dyDescent="0.2">
      <c r="A13463" s="2" t="s">
        <v>3631</v>
      </c>
      <c r="B13463" s="2" t="s">
        <v>545</v>
      </c>
      <c r="C13463" s="2">
        <v>665.01459999999997</v>
      </c>
      <c r="D13463" s="2">
        <f>HYPERLINK("http://mcb-m6.bioreg.kyushu-u.ac.jp/M3/20110502/F51170/1681/1", 79.73)</f>
        <v>79.73</v>
      </c>
      <c r="E13463" s="2">
        <v>58.26</v>
      </c>
      <c r="F13463" s="2">
        <v>2</v>
      </c>
      <c r="G13463" s="2" t="s">
        <v>13</v>
      </c>
    </row>
    <row r="13464" spans="1:7" x14ac:dyDescent="0.2">
      <c r="A13464" s="2" t="s">
        <v>3631</v>
      </c>
      <c r="B13464" s="2" t="s">
        <v>545</v>
      </c>
      <c r="C13464" s="2">
        <v>664.89509999999996</v>
      </c>
      <c r="D13464" s="2">
        <f>HYPERLINK("http://mcb-m6.bioreg.kyushu-u.ac.jp/M3/20110502/F51168/1717/1", 79.82)</f>
        <v>79.819999999999993</v>
      </c>
      <c r="E13464" s="2">
        <v>62.41</v>
      </c>
      <c r="F13464" s="2">
        <v>2</v>
      </c>
      <c r="G13464" s="2" t="s">
        <v>13</v>
      </c>
    </row>
    <row r="13465" spans="1:7" x14ac:dyDescent="0.2">
      <c r="A13465" s="2" t="s">
        <v>3631</v>
      </c>
      <c r="B13465" s="2" t="s">
        <v>545</v>
      </c>
      <c r="C13465" s="2">
        <v>665.16470000000004</v>
      </c>
      <c r="D13465" s="2">
        <f>HYPERLINK("http://mcb-m6.bioreg.kyushu-u.ac.jp/M3/20110502/F51180/1342/1", 83.55)</f>
        <v>83.55</v>
      </c>
      <c r="E13465" s="2">
        <v>56.52</v>
      </c>
      <c r="F13465" s="2">
        <v>2</v>
      </c>
      <c r="G13465" s="2" t="s">
        <v>13</v>
      </c>
    </row>
    <row r="13466" spans="1:7" x14ac:dyDescent="0.2">
      <c r="A13466" s="2" t="s">
        <v>3631</v>
      </c>
      <c r="B13466" s="2" t="s">
        <v>545</v>
      </c>
      <c r="C13466" s="2">
        <v>664.97919999999999</v>
      </c>
      <c r="D13466" s="2">
        <f>HYPERLINK("http://mcb-m6.bioreg.kyushu-u.ac.jp/M3/20110502/F51169/1783/1", 88.03)</f>
        <v>88.03</v>
      </c>
      <c r="E13466" s="2">
        <v>63.48</v>
      </c>
      <c r="F13466" s="2">
        <v>2</v>
      </c>
      <c r="G13466" s="2" t="s">
        <v>13</v>
      </c>
    </row>
    <row r="13467" spans="1:7" x14ac:dyDescent="0.2">
      <c r="A13467" s="2" t="s">
        <v>3631</v>
      </c>
      <c r="B13467" s="2" t="s">
        <v>545</v>
      </c>
      <c r="C13467" s="2">
        <v>665.1472</v>
      </c>
      <c r="D13467" s="2">
        <f>HYPERLINK("http://mcb-m6.bioreg.kyushu-u.ac.jp/M3/20110502/F51182/1365/1", 40.08)</f>
        <v>40.08</v>
      </c>
      <c r="E13467" s="2">
        <v>18.559999999999999</v>
      </c>
      <c r="F13467" s="2">
        <v>2</v>
      </c>
      <c r="G13467" s="2" t="s">
        <v>14</v>
      </c>
    </row>
    <row r="13468" spans="1:7" x14ac:dyDescent="0.2">
      <c r="A13468" s="2" t="s">
        <v>3631</v>
      </c>
      <c r="B13468" s="2" t="s">
        <v>545</v>
      </c>
      <c r="C13468" s="2">
        <v>1329.0709999999999</v>
      </c>
      <c r="D13468" s="2">
        <f>HYPERLINK("http://mcb-m6.bioreg.kyushu-u.ac.jp/M3/20110502/F51182/1364/1", 42.55)</f>
        <v>42.55</v>
      </c>
      <c r="E13468" s="2">
        <v>23.55</v>
      </c>
      <c r="F13468" s="2">
        <v>1</v>
      </c>
      <c r="G13468" s="2" t="s">
        <v>14</v>
      </c>
    </row>
    <row r="13469" spans="1:7" x14ac:dyDescent="0.2">
      <c r="A13469" s="2" t="s">
        <v>3631</v>
      </c>
      <c r="B13469" s="2" t="s">
        <v>545</v>
      </c>
      <c r="C13469" s="2">
        <v>665.32209999999998</v>
      </c>
      <c r="D13469" s="2">
        <f>HYPERLINK("http://mcb-m6.bioreg.kyushu-u.ac.jp/M3/20110502/F51181/1392/1", 48.13)</f>
        <v>48.13</v>
      </c>
      <c r="E13469" s="2">
        <v>24.62</v>
      </c>
      <c r="F13469" s="2">
        <v>2</v>
      </c>
      <c r="G13469" s="2" t="s">
        <v>14</v>
      </c>
    </row>
    <row r="13470" spans="1:7" x14ac:dyDescent="0.2">
      <c r="A13470" s="2" t="s">
        <v>3631</v>
      </c>
      <c r="B13470" s="2" t="s">
        <v>545</v>
      </c>
      <c r="C13470" s="2">
        <v>664.89970000000005</v>
      </c>
      <c r="D13470" s="2">
        <f>HYPERLINK("http://mcb-m6.bioreg.kyushu-u.ac.jp/M3/20110502/F51191/1352/1", 53.85)</f>
        <v>53.85</v>
      </c>
      <c r="E13470" s="2">
        <v>41.74</v>
      </c>
      <c r="F13470" s="2">
        <v>2</v>
      </c>
      <c r="G13470" s="2" t="s">
        <v>14</v>
      </c>
    </row>
    <row r="13471" spans="1:7" x14ac:dyDescent="0.2">
      <c r="A13471" s="2" t="s">
        <v>3631</v>
      </c>
      <c r="B13471" s="2" t="s">
        <v>545</v>
      </c>
      <c r="C13471" s="2">
        <v>665.11569999999995</v>
      </c>
      <c r="D13471" s="2">
        <f>HYPERLINK("http://mcb-m6.bioreg.kyushu-u.ac.jp/M3/20110502/F51181/1389/1", 54.51)</f>
        <v>54.51</v>
      </c>
      <c r="E13471" s="2">
        <v>32.47</v>
      </c>
      <c r="F13471" s="2">
        <v>2</v>
      </c>
      <c r="G13471" s="2" t="s">
        <v>14</v>
      </c>
    </row>
    <row r="13472" spans="1:7" x14ac:dyDescent="0.2">
      <c r="A13472" s="2" t="s">
        <v>3631</v>
      </c>
      <c r="B13472" s="2" t="s">
        <v>545</v>
      </c>
      <c r="C13472" s="2">
        <v>665.3356</v>
      </c>
      <c r="D13472" s="2">
        <f>HYPERLINK("http://mcb-m6.bioreg.kyushu-u.ac.jp/M3/20110502/F51181/1393/1", 56.23)</f>
        <v>56.23</v>
      </c>
      <c r="E13472" s="2">
        <v>33.1</v>
      </c>
      <c r="F13472" s="2">
        <v>2</v>
      </c>
      <c r="G13472" s="2" t="s">
        <v>14</v>
      </c>
    </row>
    <row r="13473" spans="1:7" x14ac:dyDescent="0.2">
      <c r="A13473" s="2" t="s">
        <v>3631</v>
      </c>
      <c r="B13473" s="2" t="s">
        <v>545</v>
      </c>
      <c r="C13473" s="2">
        <v>665.43020000000001</v>
      </c>
      <c r="D13473" s="2">
        <f>HYPERLINK("http://mcb-m6.bioreg.kyushu-u.ac.jp/M3/20110502/F51182/1373/1", 58.14)</f>
        <v>58.14</v>
      </c>
      <c r="E13473" s="2">
        <v>29.64</v>
      </c>
      <c r="F13473" s="2">
        <v>2</v>
      </c>
      <c r="G13473" s="2" t="s">
        <v>14</v>
      </c>
    </row>
    <row r="13474" spans="1:7" x14ac:dyDescent="0.2">
      <c r="A13474" s="2" t="s">
        <v>3631</v>
      </c>
      <c r="B13474" s="2" t="s">
        <v>545</v>
      </c>
      <c r="C13474" s="2">
        <v>665.19619999999998</v>
      </c>
      <c r="D13474" s="2">
        <f>HYPERLINK("http://mcb-m6.bioreg.kyushu-u.ac.jp/M3/20110502/F51182/1369/1", 62.9)</f>
        <v>62.9</v>
      </c>
      <c r="E13474" s="2">
        <v>37.82</v>
      </c>
      <c r="F13474" s="2">
        <v>2</v>
      </c>
      <c r="G13474" s="2" t="s">
        <v>14</v>
      </c>
    </row>
    <row r="13475" spans="1:7" x14ac:dyDescent="0.2">
      <c r="A13475" s="2" t="s">
        <v>3631</v>
      </c>
      <c r="B13475" s="2" t="s">
        <v>545</v>
      </c>
      <c r="C13475" s="2">
        <v>664.84119999999996</v>
      </c>
      <c r="D13475" s="2">
        <f>HYPERLINK("http://mcb-m6.bioreg.kyushu-u.ac.jp/M3/20110502/F51192/1338/1", 67.79)</f>
        <v>67.790000000000006</v>
      </c>
      <c r="E13475" s="2">
        <v>48.13</v>
      </c>
      <c r="F13475" s="2">
        <v>2</v>
      </c>
      <c r="G13475" s="2" t="s">
        <v>14</v>
      </c>
    </row>
    <row r="13476" spans="1:7" x14ac:dyDescent="0.2">
      <c r="A13476" s="2" t="s">
        <v>3631</v>
      </c>
      <c r="B13476" s="2" t="s">
        <v>545</v>
      </c>
      <c r="C13476" s="2">
        <v>665.1567</v>
      </c>
      <c r="D13476" s="2">
        <f>HYPERLINK("http://mcb-m6.bioreg.kyushu-u.ac.jp/M3/20110502/F51182/1366/1", 68.37)</f>
        <v>68.37</v>
      </c>
      <c r="E13476" s="2">
        <v>49.3</v>
      </c>
      <c r="F13476" s="2">
        <v>2</v>
      </c>
      <c r="G13476" s="2" t="s">
        <v>14</v>
      </c>
    </row>
    <row r="13477" spans="1:7" x14ac:dyDescent="0.2">
      <c r="A13477" s="2" t="s">
        <v>3631</v>
      </c>
      <c r="B13477" s="2" t="s">
        <v>545</v>
      </c>
      <c r="C13477" s="2">
        <v>665.15369999999996</v>
      </c>
      <c r="D13477" s="2">
        <f>HYPERLINK("http://mcb-m6.bioreg.kyushu-u.ac.jp/M3/20110502/F51179/1327/1", 69.89)</f>
        <v>69.89</v>
      </c>
      <c r="E13477" s="2">
        <v>46.18</v>
      </c>
      <c r="F13477" s="2">
        <v>2</v>
      </c>
      <c r="G13477" s="2" t="s">
        <v>14</v>
      </c>
    </row>
    <row r="13478" spans="1:7" x14ac:dyDescent="0.2">
      <c r="A13478" s="2" t="s">
        <v>3631</v>
      </c>
      <c r="B13478" s="2" t="s">
        <v>545</v>
      </c>
      <c r="C13478" s="2">
        <v>665.41769999999997</v>
      </c>
      <c r="D13478" s="2">
        <f>HYPERLINK("http://mcb-m6.bioreg.kyushu-u.ac.jp/M3/20110502/F51182/1372/1", 72.41)</f>
        <v>72.41</v>
      </c>
      <c r="E13478" s="2">
        <v>45.24</v>
      </c>
      <c r="F13478" s="2">
        <v>2</v>
      </c>
      <c r="G13478" s="2" t="s">
        <v>14</v>
      </c>
    </row>
    <row r="13479" spans="1:7" x14ac:dyDescent="0.2">
      <c r="A13479" s="2" t="s">
        <v>3631</v>
      </c>
      <c r="B13479" s="2" t="s">
        <v>545</v>
      </c>
      <c r="C13479" s="2">
        <v>665.23320000000001</v>
      </c>
      <c r="D13479" s="2">
        <f>HYPERLINK("http://mcb-m6.bioreg.kyushu-u.ac.jp/M3/20110502/F51182/1371/1", 74.29)</f>
        <v>74.290000000000006</v>
      </c>
      <c r="E13479" s="2">
        <v>51.3</v>
      </c>
      <c r="F13479" s="2">
        <v>2</v>
      </c>
      <c r="G13479" s="2" t="s">
        <v>14</v>
      </c>
    </row>
    <row r="13480" spans="1:7" x14ac:dyDescent="0.2">
      <c r="A13480" s="2" t="s">
        <v>3631</v>
      </c>
      <c r="B13480" s="2" t="s">
        <v>545</v>
      </c>
      <c r="C13480" s="2">
        <v>665.02369999999996</v>
      </c>
      <c r="D13480" s="2">
        <f>HYPERLINK("http://mcb-m6.bioreg.kyushu-u.ac.jp/M3/20110502/F51181/1388/1", 77.41)</f>
        <v>77.41</v>
      </c>
      <c r="E13480" s="2">
        <v>49.42</v>
      </c>
      <c r="F13480" s="2">
        <v>2</v>
      </c>
      <c r="G13480" s="2" t="s">
        <v>14</v>
      </c>
    </row>
    <row r="13481" spans="1:7" x14ac:dyDescent="0.2">
      <c r="A13481" s="2" t="s">
        <v>3631</v>
      </c>
      <c r="B13481" s="2" t="s">
        <v>545</v>
      </c>
      <c r="C13481" s="2">
        <v>665.01170000000002</v>
      </c>
      <c r="D13481" s="2">
        <f>HYPERLINK("http://mcb-m6.bioreg.kyushu-u.ac.jp/M3/20110502/F51191/1353/1", 77.61)</f>
        <v>77.61</v>
      </c>
      <c r="E13481" s="2">
        <v>54.29</v>
      </c>
      <c r="F13481" s="2">
        <v>2</v>
      </c>
      <c r="G13481" s="2" t="s">
        <v>14</v>
      </c>
    </row>
    <row r="13482" spans="1:7" x14ac:dyDescent="0.2">
      <c r="A13482" s="2" t="s">
        <v>3631</v>
      </c>
      <c r="B13482" s="2" t="s">
        <v>545</v>
      </c>
      <c r="C13482" s="2">
        <v>665.03309999999999</v>
      </c>
      <c r="D13482" s="2">
        <f>HYPERLINK("http://mcb-m6.bioreg.kyushu-u.ac.jp/M3/20110502/F51177/1338/1", 79.88)</f>
        <v>79.88</v>
      </c>
      <c r="E13482" s="2">
        <v>55.84</v>
      </c>
      <c r="F13482" s="2">
        <v>2</v>
      </c>
      <c r="G13482" s="2" t="s">
        <v>14</v>
      </c>
    </row>
    <row r="13483" spans="1:7" x14ac:dyDescent="0.2">
      <c r="A13483" s="2" t="s">
        <v>3631</v>
      </c>
      <c r="B13483" s="2" t="s">
        <v>545</v>
      </c>
      <c r="C13483" s="2">
        <v>665.15869999999995</v>
      </c>
      <c r="D13483" s="2">
        <f>HYPERLINK("http://mcb-m6.bioreg.kyushu-u.ac.jp/M3/20110502/F51182/1367/1", 88.17)</f>
        <v>88.17</v>
      </c>
      <c r="E13483" s="2">
        <v>60.43</v>
      </c>
      <c r="F13483" s="2">
        <v>2</v>
      </c>
      <c r="G13483" s="2" t="s">
        <v>14</v>
      </c>
    </row>
    <row r="13484" spans="1:7" x14ac:dyDescent="0.2">
      <c r="A13484" s="2" t="s">
        <v>3502</v>
      </c>
      <c r="B13484" s="2" t="s">
        <v>339</v>
      </c>
      <c r="C13484" s="2">
        <v>695.61869999999999</v>
      </c>
      <c r="D13484" s="2">
        <f>HYPERLINK("http://mcb-m6.bioreg.kyushu-u.ac.jp/M3/20110411/F50895/1861/1", 39.92)</f>
        <v>39.92</v>
      </c>
      <c r="E13484" s="2">
        <v>12.45</v>
      </c>
      <c r="F13484" s="2">
        <v>2</v>
      </c>
      <c r="G13484" s="2" t="s">
        <v>9</v>
      </c>
    </row>
    <row r="13485" spans="1:7" x14ac:dyDescent="0.2">
      <c r="A13485" s="2" t="s">
        <v>3502</v>
      </c>
      <c r="B13485" s="2" t="s">
        <v>339</v>
      </c>
      <c r="C13485" s="2">
        <v>695.9452</v>
      </c>
      <c r="D13485" s="2">
        <f>HYPERLINK("http://mcb-m6.bioreg.kyushu-u.ac.jp/M3/20110411/F50919/1418/1", 48.25)</f>
        <v>48.25</v>
      </c>
      <c r="E13485" s="2">
        <v>28.2</v>
      </c>
      <c r="F13485" s="2">
        <v>2</v>
      </c>
      <c r="G13485" s="2" t="s">
        <v>9</v>
      </c>
    </row>
    <row r="13486" spans="1:7" x14ac:dyDescent="0.2">
      <c r="A13486" s="2" t="s">
        <v>3502</v>
      </c>
      <c r="B13486" s="2" t="s">
        <v>339</v>
      </c>
      <c r="C13486" s="2">
        <v>695.58259999999996</v>
      </c>
      <c r="D13486" s="2">
        <f>HYPERLINK("http://mcb-m6.bioreg.kyushu-u.ac.jp/M3/20110411/F50911/1834/1", 50.48)</f>
        <v>50.48</v>
      </c>
      <c r="E13486" s="2">
        <v>26.25</v>
      </c>
      <c r="F13486" s="2">
        <v>2</v>
      </c>
      <c r="G13486" s="2" t="s">
        <v>9</v>
      </c>
    </row>
    <row r="13487" spans="1:7" x14ac:dyDescent="0.2">
      <c r="A13487" s="2" t="s">
        <v>3502</v>
      </c>
      <c r="B13487" s="2" t="s">
        <v>339</v>
      </c>
      <c r="C13487" s="2">
        <v>695.49620000000004</v>
      </c>
      <c r="D13487" s="2">
        <f>HYPERLINK("http://mcb-m6.bioreg.kyushu-u.ac.jp/M3/20110411/F50892/1985/1", 87.08)</f>
        <v>87.08</v>
      </c>
      <c r="E13487" s="2">
        <v>66.069999999999993</v>
      </c>
      <c r="F13487" s="2">
        <v>2</v>
      </c>
      <c r="G13487" s="2" t="s">
        <v>9</v>
      </c>
    </row>
    <row r="13488" spans="1:7" x14ac:dyDescent="0.2">
      <c r="A13488" s="2" t="s">
        <v>3502</v>
      </c>
      <c r="B13488" s="2" t="s">
        <v>339</v>
      </c>
      <c r="C13488" s="2">
        <v>695.61569999999995</v>
      </c>
      <c r="D13488" s="2">
        <f>HYPERLINK("http://mcb-m6.bioreg.kyushu-u.ac.jp/M3/20110411/F50902/1832/1", 37.61)</f>
        <v>37.61</v>
      </c>
      <c r="E13488" s="2">
        <v>12.18</v>
      </c>
      <c r="F13488" s="2">
        <v>2</v>
      </c>
      <c r="G13488" s="2" t="s">
        <v>10</v>
      </c>
    </row>
    <row r="13489" spans="1:7" x14ac:dyDescent="0.2">
      <c r="A13489" s="2" t="s">
        <v>3502</v>
      </c>
      <c r="B13489" s="2" t="s">
        <v>339</v>
      </c>
      <c r="C13489" s="2">
        <v>1389.876</v>
      </c>
      <c r="D13489" s="2">
        <f>HYPERLINK("http://mcb-m6.bioreg.kyushu-u.ac.jp/M3/20110411/F50902/1830/1", 49.08)</f>
        <v>49.08</v>
      </c>
      <c r="E13489" s="2">
        <v>24.78</v>
      </c>
      <c r="F13489" s="2">
        <v>1</v>
      </c>
      <c r="G13489" s="2" t="s">
        <v>10</v>
      </c>
    </row>
    <row r="13490" spans="1:7" x14ac:dyDescent="0.2">
      <c r="A13490" s="2" t="s">
        <v>3502</v>
      </c>
      <c r="B13490" s="2" t="s">
        <v>339</v>
      </c>
      <c r="C13490" s="2">
        <v>695.47059999999999</v>
      </c>
      <c r="D13490" s="2">
        <f>HYPERLINK("http://mcb-m6.bioreg.kyushu-u.ac.jp/M3/20110411/F50898/2016/1", 49.44)</f>
        <v>49.44</v>
      </c>
      <c r="E13490" s="2">
        <v>3.65</v>
      </c>
      <c r="F13490" s="2">
        <v>2</v>
      </c>
      <c r="G13490" s="2" t="s">
        <v>10</v>
      </c>
    </row>
    <row r="13491" spans="1:7" x14ac:dyDescent="0.2">
      <c r="A13491" s="2" t="s">
        <v>3502</v>
      </c>
      <c r="B13491" s="2" t="s">
        <v>339</v>
      </c>
      <c r="C13491" s="2">
        <v>695.39620000000002</v>
      </c>
      <c r="D13491" s="2">
        <f>HYPERLINK("http://mcb-m6.bioreg.kyushu-u.ac.jp/M3/20110411/F50914/1863/1", 49.73)</f>
        <v>49.73</v>
      </c>
      <c r="E13491" s="2">
        <v>30.44</v>
      </c>
      <c r="F13491" s="2">
        <v>2</v>
      </c>
      <c r="G13491" s="2" t="s">
        <v>10</v>
      </c>
    </row>
    <row r="13492" spans="1:7" x14ac:dyDescent="0.2">
      <c r="A13492" s="2" t="s">
        <v>3502</v>
      </c>
      <c r="B13492" s="2" t="s">
        <v>339</v>
      </c>
      <c r="C13492" s="2">
        <v>695.57259999999997</v>
      </c>
      <c r="D13492" s="2">
        <f>HYPERLINK("http://mcb-m6.bioreg.kyushu-u.ac.jp/M3/20110411/F50901/1845/1", 54.12)</f>
        <v>54.12</v>
      </c>
      <c r="E13492" s="2">
        <v>29.98</v>
      </c>
      <c r="F13492" s="2">
        <v>2</v>
      </c>
      <c r="G13492" s="2" t="s">
        <v>10</v>
      </c>
    </row>
    <row r="13493" spans="1:7" x14ac:dyDescent="0.2">
      <c r="A13493" s="2" t="s">
        <v>3502</v>
      </c>
      <c r="B13493" s="2" t="s">
        <v>339</v>
      </c>
      <c r="C13493" s="2">
        <v>695.61469999999997</v>
      </c>
      <c r="D13493" s="2">
        <f>HYPERLINK("http://mcb-m6.bioreg.kyushu-u.ac.jp/M3/20110411/F50913/1787/1", 73.6)</f>
        <v>73.599999999999994</v>
      </c>
      <c r="E13493" s="2">
        <v>47.02</v>
      </c>
      <c r="F13493" s="2">
        <v>2</v>
      </c>
      <c r="G13493" s="2" t="s">
        <v>10</v>
      </c>
    </row>
    <row r="13494" spans="1:7" x14ac:dyDescent="0.2">
      <c r="A13494" s="2" t="s">
        <v>3502</v>
      </c>
      <c r="B13494" s="2" t="s">
        <v>339</v>
      </c>
      <c r="C13494" s="2">
        <v>695.92769999999996</v>
      </c>
      <c r="D13494" s="2">
        <f>HYPERLINK("http://mcb-m6.bioreg.kyushu-u.ac.jp/M3/20110414/F50943/1614/1", 36.95)</f>
        <v>36.950000000000003</v>
      </c>
      <c r="E13494" s="2">
        <v>12.97</v>
      </c>
      <c r="F13494" s="2">
        <v>2</v>
      </c>
      <c r="G13494" s="2" t="s">
        <v>11</v>
      </c>
    </row>
    <row r="13495" spans="1:7" x14ac:dyDescent="0.2">
      <c r="A13495" s="2" t="s">
        <v>3502</v>
      </c>
      <c r="B13495" s="2" t="s">
        <v>339</v>
      </c>
      <c r="C13495" s="2">
        <v>695.37919999999997</v>
      </c>
      <c r="D13495" s="2">
        <f>HYPERLINK("http://mcb-m6.bioreg.kyushu-u.ac.jp/M3/20110414/F50943/1604/1", 41.47)</f>
        <v>41.47</v>
      </c>
      <c r="E13495" s="2">
        <v>23.2</v>
      </c>
      <c r="F13495" s="2">
        <v>2</v>
      </c>
      <c r="G13495" s="2" t="s">
        <v>11</v>
      </c>
    </row>
    <row r="13496" spans="1:7" x14ac:dyDescent="0.2">
      <c r="A13496" s="2" t="s">
        <v>3502</v>
      </c>
      <c r="B13496" s="2" t="s">
        <v>339</v>
      </c>
      <c r="C13496" s="2">
        <v>695.45870000000002</v>
      </c>
      <c r="D13496" s="2">
        <f>HYPERLINK("http://mcb-m6.bioreg.kyushu-u.ac.jp/M3/20110414/F50944/1859/1", 41.57)</f>
        <v>41.57</v>
      </c>
      <c r="E13496" s="2">
        <v>13.8</v>
      </c>
      <c r="F13496" s="2">
        <v>2</v>
      </c>
      <c r="G13496" s="2" t="s">
        <v>11</v>
      </c>
    </row>
    <row r="13497" spans="1:7" x14ac:dyDescent="0.2">
      <c r="A13497" s="2" t="s">
        <v>3502</v>
      </c>
      <c r="B13497" s="2" t="s">
        <v>339</v>
      </c>
      <c r="C13497" s="2">
        <v>1389.614</v>
      </c>
      <c r="D13497" s="2">
        <f>HYPERLINK("http://mcb-m6.bioreg.kyushu-u.ac.jp/M3/20110414/F50943/1600/1", 47.69)</f>
        <v>47.69</v>
      </c>
      <c r="E13497" s="2">
        <v>23.41</v>
      </c>
      <c r="F13497" s="2">
        <v>1</v>
      </c>
      <c r="G13497" s="2" t="s">
        <v>11</v>
      </c>
    </row>
    <row r="13498" spans="1:7" x14ac:dyDescent="0.2">
      <c r="A13498" s="2" t="s">
        <v>3502</v>
      </c>
      <c r="B13498" s="2" t="s">
        <v>339</v>
      </c>
      <c r="C13498" s="2">
        <v>695.2441</v>
      </c>
      <c r="D13498" s="2">
        <f>HYPERLINK("http://mcb-m6.bioreg.kyushu-u.ac.jp/M3/20110414/F50957/1593/1", 52)</f>
        <v>52</v>
      </c>
      <c r="E13498" s="2">
        <v>33.24</v>
      </c>
      <c r="F13498" s="2">
        <v>2</v>
      </c>
      <c r="G13498" s="2" t="s">
        <v>11</v>
      </c>
    </row>
    <row r="13499" spans="1:7" x14ac:dyDescent="0.2">
      <c r="A13499" s="2" t="s">
        <v>3502</v>
      </c>
      <c r="B13499" s="2" t="s">
        <v>339</v>
      </c>
      <c r="C13499" s="2">
        <v>695.38710000000003</v>
      </c>
      <c r="D13499" s="2">
        <f>HYPERLINK("http://mcb-m6.bioreg.kyushu-u.ac.jp/M3/20110414/F50946/1697/1", 37.34)</f>
        <v>37.340000000000003</v>
      </c>
      <c r="E13499" s="2">
        <v>17.03</v>
      </c>
      <c r="F13499" s="2">
        <v>2</v>
      </c>
      <c r="G13499" s="2" t="s">
        <v>12</v>
      </c>
    </row>
    <row r="13500" spans="1:7" x14ac:dyDescent="0.2">
      <c r="A13500" s="2" t="s">
        <v>3502</v>
      </c>
      <c r="B13500" s="2" t="s">
        <v>339</v>
      </c>
      <c r="C13500" s="2">
        <v>695.39170000000001</v>
      </c>
      <c r="D13500" s="2">
        <f>HYPERLINK("http://mcb-m6.bioreg.kyushu-u.ac.jp/M3/20110414/F50947/1641/1", 42.6)</f>
        <v>42.6</v>
      </c>
      <c r="E13500" s="2">
        <v>21.75</v>
      </c>
      <c r="F13500" s="2">
        <v>2</v>
      </c>
      <c r="G13500" s="2" t="s">
        <v>12</v>
      </c>
    </row>
    <row r="13501" spans="1:7" x14ac:dyDescent="0.2">
      <c r="A13501" s="2" t="s">
        <v>3502</v>
      </c>
      <c r="B13501" s="2" t="s">
        <v>339</v>
      </c>
      <c r="C13501" s="2">
        <v>695.10569999999996</v>
      </c>
      <c r="D13501" s="2">
        <f>HYPERLINK("http://mcb-m6.bioreg.kyushu-u.ac.jp/M3/20110414/F50950/1878/1", 45.28)</f>
        <v>45.28</v>
      </c>
      <c r="E13501" s="2">
        <v>16.37</v>
      </c>
      <c r="F13501" s="2">
        <v>2</v>
      </c>
      <c r="G13501" s="2" t="s">
        <v>12</v>
      </c>
    </row>
    <row r="13502" spans="1:7" x14ac:dyDescent="0.2">
      <c r="A13502" s="2" t="s">
        <v>3502</v>
      </c>
      <c r="B13502" s="2" t="s">
        <v>339</v>
      </c>
      <c r="C13502" s="2">
        <v>695.80219999999997</v>
      </c>
      <c r="D13502" s="2">
        <f>HYPERLINK("http://mcb-m6.bioreg.kyushu-u.ac.jp/M3/20110502/F51170/1844/1", 72.56)</f>
        <v>72.56</v>
      </c>
      <c r="E13502" s="2">
        <v>44.81</v>
      </c>
      <c r="F13502" s="2">
        <v>2</v>
      </c>
      <c r="G13502" s="2" t="s">
        <v>13</v>
      </c>
    </row>
    <row r="13503" spans="1:7" x14ac:dyDescent="0.2">
      <c r="A13503" s="2" t="s">
        <v>3502</v>
      </c>
      <c r="B13503" s="2" t="s">
        <v>339</v>
      </c>
      <c r="C13503" s="2">
        <v>695.58119999999997</v>
      </c>
      <c r="D13503" s="2">
        <f>HYPERLINK("http://mcb-m6.bioreg.kyushu-u.ac.jp/M3/20110502/F51185/1638/1", 41.5)</f>
        <v>41.5</v>
      </c>
      <c r="E13503" s="2">
        <v>18.989999999999998</v>
      </c>
      <c r="F13503" s="2">
        <v>2</v>
      </c>
      <c r="G13503" s="2" t="s">
        <v>14</v>
      </c>
    </row>
    <row r="13504" spans="1:7" x14ac:dyDescent="0.2">
      <c r="A13504" s="2" t="s">
        <v>3502</v>
      </c>
      <c r="B13504" s="2" t="s">
        <v>339</v>
      </c>
      <c r="C13504" s="2">
        <v>695.6902</v>
      </c>
      <c r="D13504" s="2">
        <f>HYPERLINK("http://mcb-m6.bioreg.kyushu-u.ac.jp/M3/20110502/F51179/1521/1", 64.95)</f>
        <v>64.95</v>
      </c>
      <c r="E13504" s="2">
        <v>39.58</v>
      </c>
      <c r="F13504" s="2">
        <v>2</v>
      </c>
      <c r="G13504" s="2" t="s">
        <v>14</v>
      </c>
    </row>
    <row r="13505" spans="1:7" x14ac:dyDescent="0.2">
      <c r="A13505" s="2" t="s">
        <v>3889</v>
      </c>
      <c r="B13505" s="2" t="s">
        <v>1030</v>
      </c>
      <c r="C13505" s="2">
        <v>1430.165</v>
      </c>
      <c r="D13505" s="2">
        <f>HYPERLINK("http://mcb-m6.bioreg.kyushu-u.ac.jp/M3/20110411/F50893/2055/1", 59.52)</f>
        <v>59.52</v>
      </c>
      <c r="E13505" s="2">
        <v>29.98</v>
      </c>
      <c r="F13505" s="2">
        <v>1</v>
      </c>
      <c r="G13505" s="2" t="s">
        <v>9</v>
      </c>
    </row>
    <row r="13506" spans="1:7" x14ac:dyDescent="0.2">
      <c r="A13506" s="2" t="s">
        <v>3889</v>
      </c>
      <c r="B13506" s="2" t="s">
        <v>1030</v>
      </c>
      <c r="C13506" s="2">
        <v>1429.9290000000001</v>
      </c>
      <c r="D13506" s="2">
        <f>HYPERLINK("http://mcb-m6.bioreg.kyushu-u.ac.jp/M3/20110411/F50894/2116/1", 61.78)</f>
        <v>61.78</v>
      </c>
      <c r="E13506" s="2">
        <v>32.06</v>
      </c>
      <c r="F13506" s="2">
        <v>1</v>
      </c>
      <c r="G13506" s="2" t="s">
        <v>9</v>
      </c>
    </row>
    <row r="13507" spans="1:7" x14ac:dyDescent="0.2">
      <c r="A13507" s="2" t="s">
        <v>3889</v>
      </c>
      <c r="B13507" s="2" t="s">
        <v>1030</v>
      </c>
      <c r="C13507" s="2">
        <v>1429.9190000000001</v>
      </c>
      <c r="D13507" s="2">
        <f>HYPERLINK("http://mcb-m6.bioreg.kyushu-u.ac.jp/M3/20110411/F50895/1954/1", 62.22)</f>
        <v>62.22</v>
      </c>
      <c r="E13507" s="2">
        <v>32.53</v>
      </c>
      <c r="F13507" s="2">
        <v>1</v>
      </c>
      <c r="G13507" s="2" t="s">
        <v>9</v>
      </c>
    </row>
    <row r="13508" spans="1:7" x14ac:dyDescent="0.2">
      <c r="A13508" s="2" t="s">
        <v>3889</v>
      </c>
      <c r="B13508" s="2" t="s">
        <v>1030</v>
      </c>
      <c r="C13508" s="2">
        <v>715.27170000000001</v>
      </c>
      <c r="D13508" s="2">
        <f>HYPERLINK("http://mcb-m6.bioreg.kyushu-u.ac.jp/M3/20110411/F50915/1739/1", 62.66)</f>
        <v>62.66</v>
      </c>
      <c r="E13508" s="2">
        <v>40.869999999999997</v>
      </c>
      <c r="F13508" s="2">
        <v>2</v>
      </c>
      <c r="G13508" s="2" t="s">
        <v>9</v>
      </c>
    </row>
    <row r="13509" spans="1:7" x14ac:dyDescent="0.2">
      <c r="A13509" s="2" t="s">
        <v>3889</v>
      </c>
      <c r="B13509" s="2" t="s">
        <v>1030</v>
      </c>
      <c r="C13509" s="2">
        <v>715.52369999999996</v>
      </c>
      <c r="D13509" s="2">
        <f>HYPERLINK("http://mcb-m6.bioreg.kyushu-u.ac.jp/M3/20110411/F50904/1914/1", 63.05)</f>
        <v>63.05</v>
      </c>
      <c r="E13509" s="2">
        <v>34.01</v>
      </c>
      <c r="F13509" s="2">
        <v>2</v>
      </c>
      <c r="G13509" s="2" t="s">
        <v>9</v>
      </c>
    </row>
    <row r="13510" spans="1:7" x14ac:dyDescent="0.2">
      <c r="A13510" s="2" t="s">
        <v>3889</v>
      </c>
      <c r="B13510" s="2" t="s">
        <v>1030</v>
      </c>
      <c r="C13510" s="2">
        <v>715.94370000000004</v>
      </c>
      <c r="D13510" s="2">
        <f>HYPERLINK("http://mcb-m6.bioreg.kyushu-u.ac.jp/M3/20110411/F50893/2059/1", 71.93)</f>
        <v>71.930000000000007</v>
      </c>
      <c r="E13510" s="2">
        <v>43.72</v>
      </c>
      <c r="F13510" s="2">
        <v>2</v>
      </c>
      <c r="G13510" s="2" t="s">
        <v>9</v>
      </c>
    </row>
    <row r="13511" spans="1:7" x14ac:dyDescent="0.2">
      <c r="A13511" s="2" t="s">
        <v>3889</v>
      </c>
      <c r="B13511" s="2" t="s">
        <v>1030</v>
      </c>
      <c r="C13511" s="2">
        <v>715.27809999999999</v>
      </c>
      <c r="D13511" s="2">
        <f>HYPERLINK("http://mcb-m6.bioreg.kyushu-u.ac.jp/M3/20110411/F50890/2035/1", 77.06)</f>
        <v>77.06</v>
      </c>
      <c r="E13511" s="2">
        <v>62.49</v>
      </c>
      <c r="F13511" s="2">
        <v>2</v>
      </c>
      <c r="G13511" s="2" t="s">
        <v>9</v>
      </c>
    </row>
    <row r="13512" spans="1:7" x14ac:dyDescent="0.2">
      <c r="A13512" s="2" t="s">
        <v>3889</v>
      </c>
      <c r="B13512" s="2" t="s">
        <v>1030</v>
      </c>
      <c r="C13512" s="2">
        <v>715.33720000000005</v>
      </c>
      <c r="D13512" s="2">
        <f>HYPERLINK("http://mcb-m6.bioreg.kyushu-u.ac.jp/M3/20110411/F50891/1953/1", 78.2)</f>
        <v>78.2</v>
      </c>
      <c r="E13512" s="2">
        <v>54.11</v>
      </c>
      <c r="F13512" s="2">
        <v>2</v>
      </c>
      <c r="G13512" s="2" t="s">
        <v>9</v>
      </c>
    </row>
    <row r="13513" spans="1:7" x14ac:dyDescent="0.2">
      <c r="A13513" s="2" t="s">
        <v>3889</v>
      </c>
      <c r="B13513" s="2" t="s">
        <v>1030</v>
      </c>
      <c r="C13513" s="2">
        <v>715.67070000000001</v>
      </c>
      <c r="D13513" s="2">
        <f>HYPERLINK("http://mcb-m6.bioreg.kyushu-u.ac.jp/M3/20110411/F50893/2056/1", 79.28)</f>
        <v>79.28</v>
      </c>
      <c r="E13513" s="2">
        <v>42.83</v>
      </c>
      <c r="F13513" s="2">
        <v>2</v>
      </c>
      <c r="G13513" s="2" t="s">
        <v>9</v>
      </c>
    </row>
    <row r="13514" spans="1:7" x14ac:dyDescent="0.2">
      <c r="A13514" s="2" t="s">
        <v>3889</v>
      </c>
      <c r="B13514" s="2" t="s">
        <v>1030</v>
      </c>
      <c r="C13514" s="2">
        <v>715.64509999999996</v>
      </c>
      <c r="D13514" s="2">
        <f>HYPERLINK("http://mcb-m6.bioreg.kyushu-u.ac.jp/M3/20110411/F50905/1888/1", 84.62)</f>
        <v>84.62</v>
      </c>
      <c r="E13514" s="2">
        <v>62.98</v>
      </c>
      <c r="F13514" s="2">
        <v>2</v>
      </c>
      <c r="G13514" s="2" t="s">
        <v>9</v>
      </c>
    </row>
    <row r="13515" spans="1:7" x14ac:dyDescent="0.2">
      <c r="A13515" s="2" t="s">
        <v>3889</v>
      </c>
      <c r="B13515" s="2" t="s">
        <v>1030</v>
      </c>
      <c r="C13515" s="2">
        <v>715.54719999999998</v>
      </c>
      <c r="D13515" s="2">
        <f>HYPERLINK("http://mcb-m6.bioreg.kyushu-u.ac.jp/M3/20110411/F50895/1955/1", 95.52)</f>
        <v>95.52</v>
      </c>
      <c r="E13515" s="2">
        <v>75.010000000000005</v>
      </c>
      <c r="F13515" s="2">
        <v>2</v>
      </c>
      <c r="G13515" s="2" t="s">
        <v>9</v>
      </c>
    </row>
    <row r="13516" spans="1:7" x14ac:dyDescent="0.2">
      <c r="A13516" s="2" t="s">
        <v>3889</v>
      </c>
      <c r="B13516" s="2" t="s">
        <v>1030</v>
      </c>
      <c r="C13516" s="2">
        <v>715.42719999999997</v>
      </c>
      <c r="D13516" s="2">
        <f>HYPERLINK("http://mcb-m6.bioreg.kyushu-u.ac.jp/M3/20110411/F50892/2088/1", 99.54)</f>
        <v>99.54</v>
      </c>
      <c r="E13516" s="2">
        <v>81.150000000000006</v>
      </c>
      <c r="F13516" s="2">
        <v>2</v>
      </c>
      <c r="G13516" s="2" t="s">
        <v>9</v>
      </c>
    </row>
    <row r="13517" spans="1:7" x14ac:dyDescent="0.2">
      <c r="A13517" s="2" t="s">
        <v>3889</v>
      </c>
      <c r="B13517" s="2" t="s">
        <v>1030</v>
      </c>
      <c r="C13517" s="2">
        <v>715.93619999999999</v>
      </c>
      <c r="D13517" s="2">
        <f>HYPERLINK("http://mcb-m6.bioreg.kyushu-u.ac.jp/M3/20110411/F50894/2118/1", 99.73)</f>
        <v>99.73</v>
      </c>
      <c r="E13517" s="2">
        <v>75.650000000000006</v>
      </c>
      <c r="F13517" s="2">
        <v>2</v>
      </c>
      <c r="G13517" s="2" t="s">
        <v>9</v>
      </c>
    </row>
    <row r="13518" spans="1:7" x14ac:dyDescent="0.2">
      <c r="A13518" s="2" t="s">
        <v>3889</v>
      </c>
      <c r="B13518" s="2" t="s">
        <v>1030</v>
      </c>
      <c r="C13518" s="2">
        <v>715.58669999999995</v>
      </c>
      <c r="D13518" s="2">
        <f>HYPERLINK("http://mcb-m6.bioreg.kyushu-u.ac.jp/M3/20110411/F50900/2023/1", 39.25)</f>
        <v>39.25</v>
      </c>
      <c r="E13518" s="2">
        <v>20.170000000000002</v>
      </c>
      <c r="F13518" s="2">
        <v>2</v>
      </c>
      <c r="G13518" s="2" t="s">
        <v>10</v>
      </c>
    </row>
    <row r="13519" spans="1:7" x14ac:dyDescent="0.2">
      <c r="A13519" s="2" t="s">
        <v>3889</v>
      </c>
      <c r="B13519" s="2" t="s">
        <v>1030</v>
      </c>
      <c r="C13519" s="2">
        <v>1429.961</v>
      </c>
      <c r="D13519" s="2">
        <f>HYPERLINK("http://mcb-m6.bioreg.kyushu-u.ac.jp/M3/20110411/F50901/1921/1", 54.59)</f>
        <v>54.59</v>
      </c>
      <c r="E13519" s="2">
        <v>24.96</v>
      </c>
      <c r="F13519" s="2">
        <v>1</v>
      </c>
      <c r="G13519" s="2" t="s">
        <v>10</v>
      </c>
    </row>
    <row r="13520" spans="1:7" x14ac:dyDescent="0.2">
      <c r="A13520" s="2" t="s">
        <v>3889</v>
      </c>
      <c r="B13520" s="2" t="s">
        <v>1030</v>
      </c>
      <c r="C13520" s="2">
        <v>1429.9939999999999</v>
      </c>
      <c r="D13520" s="2">
        <f>HYPERLINK("http://mcb-m6.bioreg.kyushu-u.ac.jp/M3/20110411/F50902/1925/1", 57.44)</f>
        <v>57.44</v>
      </c>
      <c r="E13520" s="2">
        <v>35.229999999999997</v>
      </c>
      <c r="F13520" s="2">
        <v>1</v>
      </c>
      <c r="G13520" s="2" t="s">
        <v>10</v>
      </c>
    </row>
    <row r="13521" spans="1:7" x14ac:dyDescent="0.2">
      <c r="A13521" s="2" t="s">
        <v>3889</v>
      </c>
      <c r="B13521" s="2" t="s">
        <v>1030</v>
      </c>
      <c r="C13521" s="2">
        <v>1429.8489999999999</v>
      </c>
      <c r="D13521" s="2">
        <f>HYPERLINK("http://mcb-m6.bioreg.kyushu-u.ac.jp/M3/20110411/F50900/2020/1", 61.37)</f>
        <v>61.37</v>
      </c>
      <c r="E13521" s="2">
        <v>31.58</v>
      </c>
      <c r="F13521" s="2">
        <v>1</v>
      </c>
      <c r="G13521" s="2" t="s">
        <v>10</v>
      </c>
    </row>
    <row r="13522" spans="1:7" x14ac:dyDescent="0.2">
      <c r="A13522" s="2" t="s">
        <v>3889</v>
      </c>
      <c r="B13522" s="2" t="s">
        <v>1030</v>
      </c>
      <c r="C13522" s="2">
        <v>715.54359999999997</v>
      </c>
      <c r="D13522" s="2">
        <f>HYPERLINK("http://mcb-m6.bioreg.kyushu-u.ac.jp/M3/20110411/F50902/1926/1", 63.9)</f>
        <v>63.9</v>
      </c>
      <c r="E13522" s="2">
        <v>36.549999999999997</v>
      </c>
      <c r="F13522" s="2">
        <v>2</v>
      </c>
      <c r="G13522" s="2" t="s">
        <v>10</v>
      </c>
    </row>
    <row r="13523" spans="1:7" x14ac:dyDescent="0.2">
      <c r="A13523" s="2" t="s">
        <v>3889</v>
      </c>
      <c r="B13523" s="2" t="s">
        <v>1030</v>
      </c>
      <c r="C13523" s="2">
        <v>715.57460000000003</v>
      </c>
      <c r="D13523" s="2">
        <f>HYPERLINK("http://mcb-m6.bioreg.kyushu-u.ac.jp/M3/20110411/F50901/1922/1", 72.01)</f>
        <v>72.010000000000005</v>
      </c>
      <c r="E13523" s="2">
        <v>40.75</v>
      </c>
      <c r="F13523" s="2">
        <v>2</v>
      </c>
      <c r="G13523" s="2" t="s">
        <v>10</v>
      </c>
    </row>
    <row r="13524" spans="1:7" x14ac:dyDescent="0.2">
      <c r="A13524" s="2" t="s">
        <v>3889</v>
      </c>
      <c r="B13524" s="2" t="s">
        <v>1030</v>
      </c>
      <c r="C13524" s="2">
        <v>715.40009999999995</v>
      </c>
      <c r="D13524" s="2">
        <f>HYPERLINK("http://mcb-m6.bioreg.kyushu-u.ac.jp/M3/20110411/F50917/1813/1", 79.04)</f>
        <v>79.040000000000006</v>
      </c>
      <c r="E13524" s="2">
        <v>46.61</v>
      </c>
      <c r="F13524" s="2">
        <v>2</v>
      </c>
      <c r="G13524" s="2" t="s">
        <v>10</v>
      </c>
    </row>
    <row r="13525" spans="1:7" x14ac:dyDescent="0.2">
      <c r="A13525" s="2" t="s">
        <v>3889</v>
      </c>
      <c r="B13525" s="2" t="s">
        <v>1030</v>
      </c>
      <c r="C13525" s="2">
        <v>715.26670000000001</v>
      </c>
      <c r="D13525" s="2">
        <f>HYPERLINK("http://mcb-m6.bioreg.kyushu-u.ac.jp/M3/20110411/F50898/2093/1", 79.24)</f>
        <v>79.239999999999995</v>
      </c>
      <c r="E13525" s="2">
        <v>58</v>
      </c>
      <c r="F13525" s="2">
        <v>2</v>
      </c>
      <c r="G13525" s="2" t="s">
        <v>10</v>
      </c>
    </row>
    <row r="13526" spans="1:7" x14ac:dyDescent="0.2">
      <c r="A13526" s="2" t="s">
        <v>3889</v>
      </c>
      <c r="B13526" s="2" t="s">
        <v>1030</v>
      </c>
      <c r="C13526" s="2">
        <v>715.91420000000005</v>
      </c>
      <c r="D13526" s="2">
        <f>HYPERLINK("http://mcb-m6.bioreg.kyushu-u.ac.jp/M3/20110411/F50917/1815/1", 79.39)</f>
        <v>79.39</v>
      </c>
      <c r="E13526" s="2">
        <v>56.29</v>
      </c>
      <c r="F13526" s="2">
        <v>2</v>
      </c>
      <c r="G13526" s="2" t="s">
        <v>10</v>
      </c>
    </row>
    <row r="13527" spans="1:7" x14ac:dyDescent="0.2">
      <c r="A13527" s="2" t="s">
        <v>3889</v>
      </c>
      <c r="B13527" s="2" t="s">
        <v>1030</v>
      </c>
      <c r="C13527" s="2">
        <v>715.51070000000004</v>
      </c>
      <c r="D13527" s="2">
        <f>HYPERLINK("http://mcb-m6.bioreg.kyushu-u.ac.jp/M3/20110411/F50900/2022/1", 82.06)</f>
        <v>82.06</v>
      </c>
      <c r="E13527" s="2">
        <v>58.09</v>
      </c>
      <c r="F13527" s="2">
        <v>2</v>
      </c>
      <c r="G13527" s="2" t="s">
        <v>10</v>
      </c>
    </row>
    <row r="13528" spans="1:7" x14ac:dyDescent="0.2">
      <c r="A13528" s="2" t="s">
        <v>3889</v>
      </c>
      <c r="B13528" s="2" t="s">
        <v>1030</v>
      </c>
      <c r="C13528" s="2">
        <v>715.4547</v>
      </c>
      <c r="D13528" s="2">
        <f>HYPERLINK("http://mcb-m6.bioreg.kyushu-u.ac.jp/M3/20110411/F50914/1976/1", 91.4)</f>
        <v>91.4</v>
      </c>
      <c r="E13528" s="2">
        <v>71.260000000000005</v>
      </c>
      <c r="F13528" s="2">
        <v>2</v>
      </c>
      <c r="G13528" s="2" t="s">
        <v>10</v>
      </c>
    </row>
    <row r="13529" spans="1:7" x14ac:dyDescent="0.2">
      <c r="A13529" s="2" t="s">
        <v>3889</v>
      </c>
      <c r="B13529" s="2" t="s">
        <v>1030</v>
      </c>
      <c r="C13529" s="2">
        <v>715.47609999999997</v>
      </c>
      <c r="D13529" s="2">
        <f>HYPERLINK("http://mcb-m6.bioreg.kyushu-u.ac.jp/M3/20110411/F50913/1894/1", 95.17)</f>
        <v>95.17</v>
      </c>
      <c r="E13529" s="2">
        <v>69.42</v>
      </c>
      <c r="F13529" s="2">
        <v>2</v>
      </c>
      <c r="G13529" s="2" t="s">
        <v>10</v>
      </c>
    </row>
    <row r="13530" spans="1:7" x14ac:dyDescent="0.2">
      <c r="A13530" s="2" t="s">
        <v>3889</v>
      </c>
      <c r="B13530" s="2" t="s">
        <v>1030</v>
      </c>
      <c r="C13530" s="2">
        <v>715.46810000000005</v>
      </c>
      <c r="D13530" s="2">
        <f>HYPERLINK("http://mcb-m6.bioreg.kyushu-u.ac.jp/M3/20110411/F50918/1748/1", 96.09)</f>
        <v>96.09</v>
      </c>
      <c r="E13530" s="2">
        <v>71.239999999999995</v>
      </c>
      <c r="F13530" s="2">
        <v>2</v>
      </c>
      <c r="G13530" s="2" t="s">
        <v>10</v>
      </c>
    </row>
    <row r="13531" spans="1:7" x14ac:dyDescent="0.2">
      <c r="A13531" s="2" t="s">
        <v>3889</v>
      </c>
      <c r="B13531" s="2" t="s">
        <v>1030</v>
      </c>
      <c r="C13531" s="2">
        <v>715.64170000000001</v>
      </c>
      <c r="D13531" s="2">
        <f>HYPERLINK("http://mcb-m6.bioreg.kyushu-u.ac.jp/M3/20110411/F50912/1925/1", 99.64)</f>
        <v>99.64</v>
      </c>
      <c r="E13531" s="2">
        <v>72.02</v>
      </c>
      <c r="F13531" s="2">
        <v>2</v>
      </c>
      <c r="G13531" s="2" t="s">
        <v>10</v>
      </c>
    </row>
    <row r="13532" spans="1:7" x14ac:dyDescent="0.2">
      <c r="A13532" s="2" t="s">
        <v>3889</v>
      </c>
      <c r="B13532" s="2" t="s">
        <v>1030</v>
      </c>
      <c r="C13532" s="2">
        <v>1429.693</v>
      </c>
      <c r="D13532" s="2">
        <f>HYPERLINK("http://mcb-m6.bioreg.kyushu-u.ac.jp/M3/20110414/F50943/1719/1", 59.64)</f>
        <v>59.64</v>
      </c>
      <c r="E13532" s="2">
        <v>45.78</v>
      </c>
      <c r="F13532" s="2">
        <v>1</v>
      </c>
      <c r="G13532" s="2" t="s">
        <v>11</v>
      </c>
    </row>
    <row r="13533" spans="1:7" x14ac:dyDescent="0.2">
      <c r="A13533" s="2" t="s">
        <v>3889</v>
      </c>
      <c r="B13533" s="2" t="s">
        <v>1030</v>
      </c>
      <c r="C13533" s="2">
        <v>715.30409999999995</v>
      </c>
      <c r="D13533" s="2">
        <f>HYPERLINK("http://mcb-m6.bioreg.kyushu-u.ac.jp/M3/20110414/F50943/1715/1", 64.69)</f>
        <v>64.69</v>
      </c>
      <c r="E13533" s="2">
        <v>46.88</v>
      </c>
      <c r="F13533" s="2">
        <v>2</v>
      </c>
      <c r="G13533" s="2" t="s">
        <v>11</v>
      </c>
    </row>
    <row r="13534" spans="1:7" x14ac:dyDescent="0.2">
      <c r="A13534" s="2" t="s">
        <v>3889</v>
      </c>
      <c r="B13534" s="2" t="s">
        <v>2457</v>
      </c>
      <c r="C13534" s="2">
        <v>858.00070000000005</v>
      </c>
      <c r="D13534" s="2">
        <f>HYPERLINK("http://mcb-m6.bioreg.kyushu-u.ac.jp/M3/20110414/F50943/2514/1", 69.14)</f>
        <v>69.14</v>
      </c>
      <c r="E13534" s="2">
        <v>42.06</v>
      </c>
      <c r="F13534" s="2">
        <v>2</v>
      </c>
      <c r="G13534" s="2" t="s">
        <v>11</v>
      </c>
    </row>
    <row r="13535" spans="1:7" x14ac:dyDescent="0.2">
      <c r="A13535" s="2" t="s">
        <v>3889</v>
      </c>
      <c r="B13535" s="2" t="s">
        <v>1030</v>
      </c>
      <c r="C13535" s="2">
        <v>715.34220000000005</v>
      </c>
      <c r="D13535" s="2">
        <f>HYPERLINK("http://mcb-m6.bioreg.kyushu-u.ac.jp/M3/20110414/F50943/1718/1", 74.17)</f>
        <v>74.17</v>
      </c>
      <c r="E13535" s="2">
        <v>52.4</v>
      </c>
      <c r="F13535" s="2">
        <v>2</v>
      </c>
      <c r="G13535" s="2" t="s">
        <v>11</v>
      </c>
    </row>
    <row r="13536" spans="1:7" x14ac:dyDescent="0.2">
      <c r="A13536" s="2" t="s">
        <v>3889</v>
      </c>
      <c r="B13536" s="2" t="s">
        <v>1030</v>
      </c>
      <c r="C13536" s="2">
        <v>715.21469999999999</v>
      </c>
      <c r="D13536" s="2">
        <f>HYPERLINK("http://mcb-m6.bioreg.kyushu-u.ac.jp/M3/20110414/F50942/1740/1", 75.81)</f>
        <v>75.81</v>
      </c>
      <c r="E13536" s="2">
        <v>52.18</v>
      </c>
      <c r="F13536" s="2">
        <v>2</v>
      </c>
      <c r="G13536" s="2" t="s">
        <v>11</v>
      </c>
    </row>
    <row r="13537" spans="1:7" x14ac:dyDescent="0.2">
      <c r="A13537" s="2" t="s">
        <v>3889</v>
      </c>
      <c r="B13537" s="2" t="s">
        <v>1030</v>
      </c>
      <c r="C13537" s="2">
        <v>715.25519999999995</v>
      </c>
      <c r="D13537" s="2">
        <f>HYPERLINK("http://mcb-m6.bioreg.kyushu-u.ac.jp/M3/20110414/F50957/1717/1", 83.56)</f>
        <v>83.56</v>
      </c>
      <c r="E13537" s="2">
        <v>62.18</v>
      </c>
      <c r="F13537" s="2">
        <v>2</v>
      </c>
      <c r="G13537" s="2" t="s">
        <v>11</v>
      </c>
    </row>
    <row r="13538" spans="1:7" x14ac:dyDescent="0.2">
      <c r="A13538" s="2" t="s">
        <v>3889</v>
      </c>
      <c r="B13538" s="2" t="s">
        <v>1030</v>
      </c>
      <c r="C13538" s="2">
        <v>715.21370000000002</v>
      </c>
      <c r="D13538" s="2">
        <f>HYPERLINK("http://mcb-m6.bioreg.kyushu-u.ac.jp/M3/20110414/F50956/1735/1", 84.12)</f>
        <v>84.12</v>
      </c>
      <c r="E13538" s="2">
        <v>57.73</v>
      </c>
      <c r="F13538" s="2">
        <v>2</v>
      </c>
      <c r="G13538" s="2" t="s">
        <v>11</v>
      </c>
    </row>
    <row r="13539" spans="1:7" x14ac:dyDescent="0.2">
      <c r="A13539" s="2" t="s">
        <v>3889</v>
      </c>
      <c r="B13539" s="2" t="s">
        <v>1030</v>
      </c>
      <c r="C13539" s="2">
        <v>715.21720000000005</v>
      </c>
      <c r="D13539" s="2">
        <f>HYPERLINK("http://mcb-m6.bioreg.kyushu-u.ac.jp/M3/20110414/F50941/1948/1", 84.85)</f>
        <v>84.85</v>
      </c>
      <c r="E13539" s="2">
        <v>64.56</v>
      </c>
      <c r="F13539" s="2">
        <v>2</v>
      </c>
      <c r="G13539" s="2" t="s">
        <v>11</v>
      </c>
    </row>
    <row r="13540" spans="1:7" x14ac:dyDescent="0.2">
      <c r="A13540" s="2" t="s">
        <v>3889</v>
      </c>
      <c r="B13540" s="2" t="s">
        <v>1030</v>
      </c>
      <c r="C13540" s="2">
        <v>714.96119999999996</v>
      </c>
      <c r="D13540" s="2">
        <f>HYPERLINK("http://mcb-m6.bioreg.kyushu-u.ac.jp/M3/20110414/F50928/2159/1", 88.95)</f>
        <v>88.95</v>
      </c>
      <c r="E13540" s="2">
        <v>68.13</v>
      </c>
      <c r="F13540" s="2">
        <v>2</v>
      </c>
      <c r="G13540" s="2" t="s">
        <v>11</v>
      </c>
    </row>
    <row r="13541" spans="1:7" x14ac:dyDescent="0.2">
      <c r="A13541" s="2" t="s">
        <v>3889</v>
      </c>
      <c r="B13541" s="2" t="s">
        <v>1030</v>
      </c>
      <c r="C13541" s="2">
        <v>715.37710000000004</v>
      </c>
      <c r="D13541" s="2">
        <f>HYPERLINK("http://mcb-m6.bioreg.kyushu-u.ac.jp/M3/20110414/F50945/1863/1", 95.54)</f>
        <v>95.54</v>
      </c>
      <c r="E13541" s="2">
        <v>80.650000000000006</v>
      </c>
      <c r="F13541" s="2">
        <v>2</v>
      </c>
      <c r="G13541" s="2" t="s">
        <v>11</v>
      </c>
    </row>
    <row r="13542" spans="1:7" x14ac:dyDescent="0.2">
      <c r="A13542" s="2" t="s">
        <v>3889</v>
      </c>
      <c r="B13542" s="2" t="s">
        <v>1030</v>
      </c>
      <c r="C13542" s="2">
        <v>715.24770000000001</v>
      </c>
      <c r="D13542" s="2">
        <f>HYPERLINK("http://mcb-m6.bioreg.kyushu-u.ac.jp/M3/20110414/F50929/2174/1", 99.48)</f>
        <v>99.48</v>
      </c>
      <c r="E13542" s="2">
        <v>75.819999999999993</v>
      </c>
      <c r="F13542" s="2">
        <v>2</v>
      </c>
      <c r="G13542" s="2" t="s">
        <v>11</v>
      </c>
    </row>
    <row r="13543" spans="1:7" x14ac:dyDescent="0.2">
      <c r="A13543" s="2" t="s">
        <v>3889</v>
      </c>
      <c r="B13543" s="2" t="s">
        <v>1030</v>
      </c>
      <c r="C13543" s="2">
        <v>715.77260000000001</v>
      </c>
      <c r="D13543" s="2">
        <f>HYPERLINK("http://mcb-m6.bioreg.kyushu-u.ac.jp/M3/20110414/F50941/1950/1", 99.64)</f>
        <v>99.64</v>
      </c>
      <c r="E13543" s="2">
        <v>82.37</v>
      </c>
      <c r="F13543" s="2">
        <v>2</v>
      </c>
      <c r="G13543" s="2" t="s">
        <v>11</v>
      </c>
    </row>
    <row r="13544" spans="1:7" x14ac:dyDescent="0.2">
      <c r="A13544" s="2" t="s">
        <v>3889</v>
      </c>
      <c r="B13544" s="2" t="s">
        <v>1030</v>
      </c>
      <c r="C13544" s="2">
        <v>715.42169999999999</v>
      </c>
      <c r="D13544" s="2">
        <f>HYPERLINK("http://mcb-m6.bioreg.kyushu-u.ac.jp/M3/20110414/F50944/1948/1", 99.72)</f>
        <v>99.72</v>
      </c>
      <c r="E13544" s="2">
        <v>84</v>
      </c>
      <c r="F13544" s="2">
        <v>2</v>
      </c>
      <c r="G13544" s="2" t="s">
        <v>11</v>
      </c>
    </row>
    <row r="13545" spans="1:7" x14ac:dyDescent="0.2">
      <c r="A13545" s="2" t="s">
        <v>3889</v>
      </c>
      <c r="B13545" s="2" t="s">
        <v>1030</v>
      </c>
      <c r="C13545" s="2">
        <v>715.34220000000005</v>
      </c>
      <c r="D13545" s="2">
        <f>HYPERLINK("http://mcb-m6.bioreg.kyushu-u.ac.jp/M3/20110414/F50946/1786/1", 52.1)</f>
        <v>52.1</v>
      </c>
      <c r="E13545" s="2">
        <v>28.9</v>
      </c>
      <c r="F13545" s="2">
        <v>2</v>
      </c>
      <c r="G13545" s="2" t="s">
        <v>12</v>
      </c>
    </row>
    <row r="13546" spans="1:7" x14ac:dyDescent="0.2">
      <c r="A13546" s="2" t="s">
        <v>3889</v>
      </c>
      <c r="B13546" s="2" t="s">
        <v>1030</v>
      </c>
      <c r="C13546" s="2">
        <v>1429.165</v>
      </c>
      <c r="D13546" s="2">
        <f>HYPERLINK("http://mcb-m6.bioreg.kyushu-u.ac.jp/M3/20110414/F50949/2077/1", 55.53)</f>
        <v>55.53</v>
      </c>
      <c r="E13546" s="2">
        <v>30.2</v>
      </c>
      <c r="F13546" s="2">
        <v>1</v>
      </c>
      <c r="G13546" s="2" t="s">
        <v>12</v>
      </c>
    </row>
    <row r="13547" spans="1:7" x14ac:dyDescent="0.2">
      <c r="A13547" s="2" t="s">
        <v>3889</v>
      </c>
      <c r="B13547" s="2" t="s">
        <v>1030</v>
      </c>
      <c r="C13547" s="2">
        <v>715.20069999999998</v>
      </c>
      <c r="D13547" s="2">
        <f>HYPERLINK("http://mcb-m6.bioreg.kyushu-u.ac.jp/M3/20110414/F50963/1700/1", 60.24)</f>
        <v>60.24</v>
      </c>
      <c r="E13547" s="2">
        <v>40.33</v>
      </c>
      <c r="F13547" s="2">
        <v>2</v>
      </c>
      <c r="G13547" s="2" t="s">
        <v>12</v>
      </c>
    </row>
    <row r="13548" spans="1:7" x14ac:dyDescent="0.2">
      <c r="A13548" s="2" t="s">
        <v>3889</v>
      </c>
      <c r="B13548" s="2" t="s">
        <v>1030</v>
      </c>
      <c r="C13548" s="2">
        <v>715.32510000000002</v>
      </c>
      <c r="D13548" s="2">
        <f>HYPERLINK("http://mcb-m6.bioreg.kyushu-u.ac.jp/M3/20110414/F50958/1804/1", 60.43)</f>
        <v>60.43</v>
      </c>
      <c r="E13548" s="2">
        <v>39.119999999999997</v>
      </c>
      <c r="F13548" s="2">
        <v>2</v>
      </c>
      <c r="G13548" s="2" t="s">
        <v>12</v>
      </c>
    </row>
    <row r="13549" spans="1:7" x14ac:dyDescent="0.2">
      <c r="A13549" s="2" t="s">
        <v>3889</v>
      </c>
      <c r="B13549" s="2" t="s">
        <v>1030</v>
      </c>
      <c r="C13549" s="2">
        <v>715.69569999999999</v>
      </c>
      <c r="D13549" s="2">
        <f>HYPERLINK("http://mcb-m6.bioreg.kyushu-u.ac.jp/M3/20110414/F50949/2080/1", 67.26)</f>
        <v>67.260000000000005</v>
      </c>
      <c r="E13549" s="2">
        <v>38.15</v>
      </c>
      <c r="F13549" s="2">
        <v>2</v>
      </c>
      <c r="G13549" s="2" t="s">
        <v>12</v>
      </c>
    </row>
    <row r="13550" spans="1:7" x14ac:dyDescent="0.2">
      <c r="A13550" s="2" t="s">
        <v>3889</v>
      </c>
      <c r="B13550" s="2" t="s">
        <v>1030</v>
      </c>
      <c r="C13550" s="2">
        <v>715.41920000000005</v>
      </c>
      <c r="D13550" s="2">
        <f>HYPERLINK("http://mcb-m6.bioreg.kyushu-u.ac.jp/M3/20110414/F50933/2267/1", 70.56)</f>
        <v>70.56</v>
      </c>
      <c r="E13550" s="2">
        <v>56.43</v>
      </c>
      <c r="F13550" s="2">
        <v>2</v>
      </c>
      <c r="G13550" s="2" t="s">
        <v>12</v>
      </c>
    </row>
    <row r="13551" spans="1:7" x14ac:dyDescent="0.2">
      <c r="A13551" s="2" t="s">
        <v>3889</v>
      </c>
      <c r="B13551" s="2" t="s">
        <v>1030</v>
      </c>
      <c r="C13551" s="2">
        <v>715.35469999999998</v>
      </c>
      <c r="D13551" s="2">
        <f>HYPERLINK("http://mcb-m6.bioreg.kyushu-u.ac.jp/M3/20110414/F50959/1690/1", 78.88)</f>
        <v>78.88</v>
      </c>
      <c r="E13551" s="2">
        <v>55.28</v>
      </c>
      <c r="F13551" s="2">
        <v>2</v>
      </c>
      <c r="G13551" s="2" t="s">
        <v>12</v>
      </c>
    </row>
    <row r="13552" spans="1:7" x14ac:dyDescent="0.2">
      <c r="A13552" s="2" t="s">
        <v>3889</v>
      </c>
      <c r="B13552" s="2" t="s">
        <v>1030</v>
      </c>
      <c r="C13552" s="2">
        <v>715.07069999999999</v>
      </c>
      <c r="D13552" s="2">
        <f>HYPERLINK("http://mcb-m6.bioreg.kyushu-u.ac.jp/M3/20110414/F50950/1997/1", 84.47)</f>
        <v>84.47</v>
      </c>
      <c r="E13552" s="2">
        <v>55.06</v>
      </c>
      <c r="F13552" s="2">
        <v>2</v>
      </c>
      <c r="G13552" s="2" t="s">
        <v>12</v>
      </c>
    </row>
    <row r="13553" spans="1:7" x14ac:dyDescent="0.2">
      <c r="A13553" s="2" t="s">
        <v>3889</v>
      </c>
      <c r="B13553" s="2" t="s">
        <v>1030</v>
      </c>
      <c r="C13553" s="2">
        <v>715.38919999999996</v>
      </c>
      <c r="D13553" s="2">
        <f>HYPERLINK("http://mcb-m6.bioreg.kyushu-u.ac.jp/M3/20110414/F50947/1766/1", 85.36)</f>
        <v>85.36</v>
      </c>
      <c r="E13553" s="2">
        <v>67.67</v>
      </c>
      <c r="F13553" s="2">
        <v>2</v>
      </c>
      <c r="G13553" s="2" t="s">
        <v>12</v>
      </c>
    </row>
    <row r="13554" spans="1:7" x14ac:dyDescent="0.2">
      <c r="A13554" s="2" t="s">
        <v>3889</v>
      </c>
      <c r="B13554" s="2" t="s">
        <v>1030</v>
      </c>
      <c r="C13554" s="2">
        <v>715.3347</v>
      </c>
      <c r="D13554" s="2">
        <f>HYPERLINK("http://mcb-m6.bioreg.kyushu-u.ac.jp/M3/20110414/F50948/1907/1", 88.48)</f>
        <v>88.48</v>
      </c>
      <c r="E13554" s="2">
        <v>67.84</v>
      </c>
      <c r="F13554" s="2">
        <v>2</v>
      </c>
      <c r="G13554" s="2" t="s">
        <v>12</v>
      </c>
    </row>
    <row r="13555" spans="1:7" x14ac:dyDescent="0.2">
      <c r="A13555" s="2" t="s">
        <v>3889</v>
      </c>
      <c r="B13555" s="2" t="s">
        <v>1030</v>
      </c>
      <c r="C13555" s="2">
        <v>715.37819999999999</v>
      </c>
      <c r="D13555" s="2">
        <f>HYPERLINK("http://mcb-m6.bioreg.kyushu-u.ac.jp/M3/20110414/F50934/2219/1", 95.71)</f>
        <v>95.71</v>
      </c>
      <c r="E13555" s="2">
        <v>71.97</v>
      </c>
      <c r="F13555" s="2">
        <v>2</v>
      </c>
      <c r="G13555" s="2" t="s">
        <v>12</v>
      </c>
    </row>
    <row r="13556" spans="1:7" x14ac:dyDescent="0.2">
      <c r="A13556" s="2" t="s">
        <v>3889</v>
      </c>
      <c r="B13556" s="2" t="s">
        <v>1030</v>
      </c>
      <c r="C13556" s="2">
        <v>715.55219999999997</v>
      </c>
      <c r="D13556" s="2">
        <f>HYPERLINK("http://mcb-m6.bioreg.kyushu-u.ac.jp/M3/20110502/F51173/1648/1", 66.53)</f>
        <v>66.53</v>
      </c>
      <c r="E13556" s="2">
        <v>50.73</v>
      </c>
      <c r="F13556" s="2">
        <v>2</v>
      </c>
      <c r="G13556" s="2" t="s">
        <v>13</v>
      </c>
    </row>
    <row r="13557" spans="1:7" x14ac:dyDescent="0.2">
      <c r="A13557" s="2" t="s">
        <v>3889</v>
      </c>
      <c r="B13557" s="2" t="s">
        <v>1030</v>
      </c>
      <c r="C13557" s="2">
        <v>1429.9639999999999</v>
      </c>
      <c r="D13557" s="2">
        <f>HYPERLINK("http://mcb-m6.bioreg.kyushu-u.ac.jp/M3/20110502/F51173/1647/1", 69.02)</f>
        <v>69.02</v>
      </c>
      <c r="E13557" s="2">
        <v>26.61</v>
      </c>
      <c r="F13557" s="2">
        <v>1</v>
      </c>
      <c r="G13557" s="2" t="s">
        <v>13</v>
      </c>
    </row>
    <row r="13558" spans="1:7" x14ac:dyDescent="0.2">
      <c r="A13558" s="2" t="s">
        <v>3889</v>
      </c>
      <c r="B13558" s="2" t="s">
        <v>1030</v>
      </c>
      <c r="C13558" s="2">
        <v>715.49109999999996</v>
      </c>
      <c r="D13558" s="2">
        <f>HYPERLINK("http://mcb-m6.bioreg.kyushu-u.ac.jp/M3/20110502/F51169/2007/1", 92.1)</f>
        <v>92.1</v>
      </c>
      <c r="E13558" s="2">
        <v>69.17</v>
      </c>
      <c r="F13558" s="2">
        <v>2</v>
      </c>
      <c r="G13558" s="2" t="s">
        <v>13</v>
      </c>
    </row>
    <row r="13559" spans="1:7" x14ac:dyDescent="0.2">
      <c r="A13559" s="2" t="s">
        <v>3889</v>
      </c>
      <c r="B13559" s="2" t="s">
        <v>2457</v>
      </c>
      <c r="C13559" s="2">
        <v>858.25570000000005</v>
      </c>
      <c r="D13559" s="2">
        <f>HYPERLINK("http://mcb-m6.bioreg.kyushu-u.ac.jp/M3/20110502/F51173/2542/1", 94.92)</f>
        <v>94.92</v>
      </c>
      <c r="E13559" s="2">
        <v>69.72</v>
      </c>
      <c r="F13559" s="2">
        <v>2</v>
      </c>
      <c r="G13559" s="2" t="s">
        <v>13</v>
      </c>
    </row>
    <row r="13560" spans="1:7" x14ac:dyDescent="0.2">
      <c r="A13560" s="2" t="s">
        <v>3889</v>
      </c>
      <c r="B13560" s="2" t="s">
        <v>1030</v>
      </c>
      <c r="C13560" s="2">
        <v>715.59220000000005</v>
      </c>
      <c r="D13560" s="2">
        <f>HYPERLINK("http://mcb-m6.bioreg.kyushu-u.ac.jp/M3/20110502/F51175/1817/1", 95)</f>
        <v>95</v>
      </c>
      <c r="E13560" s="2">
        <v>67.39</v>
      </c>
      <c r="F13560" s="2">
        <v>2</v>
      </c>
      <c r="G13560" s="2" t="s">
        <v>13</v>
      </c>
    </row>
    <row r="13561" spans="1:7" x14ac:dyDescent="0.2">
      <c r="A13561" s="2" t="s">
        <v>3889</v>
      </c>
      <c r="B13561" s="2" t="s">
        <v>1030</v>
      </c>
      <c r="C13561" s="2">
        <v>715.46969999999999</v>
      </c>
      <c r="D13561" s="2">
        <f>HYPERLINK("http://mcb-m6.bioreg.kyushu-u.ac.jp/M3/20110502/F51174/1858/1", 99.8)</f>
        <v>99.8</v>
      </c>
      <c r="E13561" s="2">
        <v>74.78</v>
      </c>
      <c r="F13561" s="2">
        <v>2</v>
      </c>
      <c r="G13561" s="2" t="s">
        <v>13</v>
      </c>
    </row>
    <row r="13562" spans="1:7" x14ac:dyDescent="0.2">
      <c r="A13562" s="2" t="s">
        <v>3889</v>
      </c>
      <c r="B13562" s="2" t="s">
        <v>1030</v>
      </c>
      <c r="C13562" s="2">
        <v>715.67020000000002</v>
      </c>
      <c r="D13562" s="2">
        <f>HYPERLINK("http://mcb-m6.bioreg.kyushu-u.ac.jp/M3/20110502/F51178/1994/1", 78.21)</f>
        <v>78.209999999999994</v>
      </c>
      <c r="E13562" s="2">
        <v>46.39</v>
      </c>
      <c r="F13562" s="2">
        <v>2</v>
      </c>
      <c r="G13562" s="2" t="s">
        <v>14</v>
      </c>
    </row>
    <row r="13563" spans="1:7" x14ac:dyDescent="0.2">
      <c r="A13563" s="2" t="s">
        <v>3889</v>
      </c>
      <c r="B13563" s="2" t="s">
        <v>1030</v>
      </c>
      <c r="C13563" s="2">
        <v>715.55319999999995</v>
      </c>
      <c r="D13563" s="2">
        <f>HYPERLINK("http://mcb-m6.bioreg.kyushu-u.ac.jp/M3/20110502/F51179/1622/1", 78.29)</f>
        <v>78.290000000000006</v>
      </c>
      <c r="E13563" s="2">
        <v>56.1</v>
      </c>
      <c r="F13563" s="2">
        <v>2</v>
      </c>
      <c r="G13563" s="2" t="s">
        <v>14</v>
      </c>
    </row>
    <row r="13564" spans="1:7" x14ac:dyDescent="0.2">
      <c r="A13564" s="2" t="s">
        <v>3889</v>
      </c>
      <c r="B13564" s="2" t="s">
        <v>1030</v>
      </c>
      <c r="C13564" s="2">
        <v>715.51459999999997</v>
      </c>
      <c r="D13564" s="2">
        <f>HYPERLINK("http://mcb-m6.bioreg.kyushu-u.ac.jp/M3/20110502/F51185/1762/1", 88.62)</f>
        <v>88.62</v>
      </c>
      <c r="E13564" s="2">
        <v>66.760000000000005</v>
      </c>
      <c r="F13564" s="2">
        <v>2</v>
      </c>
      <c r="G13564" s="2" t="s">
        <v>14</v>
      </c>
    </row>
    <row r="13565" spans="1:7" x14ac:dyDescent="0.2">
      <c r="A13565" s="2" t="s">
        <v>3889</v>
      </c>
      <c r="B13565" s="2" t="s">
        <v>1030</v>
      </c>
      <c r="C13565" s="2">
        <v>715.61410000000001</v>
      </c>
      <c r="D13565" s="2">
        <f>HYPERLINK("http://mcb-m6.bioreg.kyushu-u.ac.jp/M3/20110502/F51184/1680/1", 95.21)</f>
        <v>95.21</v>
      </c>
      <c r="E13565" s="2">
        <v>57.12</v>
      </c>
      <c r="F13565" s="2">
        <v>2</v>
      </c>
      <c r="G13565" s="2" t="s">
        <v>14</v>
      </c>
    </row>
    <row r="13566" spans="1:7" x14ac:dyDescent="0.2">
      <c r="A13566" s="2" t="s">
        <v>3889</v>
      </c>
      <c r="B13566" s="2" t="s">
        <v>1030</v>
      </c>
      <c r="C13566" s="2">
        <v>715.47360000000003</v>
      </c>
      <c r="D13566" s="2">
        <f>HYPERLINK("http://mcb-m6.bioreg.kyushu-u.ac.jp/M3/20110502/F51186/1745/1", 95.68)</f>
        <v>95.68</v>
      </c>
      <c r="E13566" s="2">
        <v>66.39</v>
      </c>
      <c r="F13566" s="2">
        <v>2</v>
      </c>
      <c r="G13566" s="2" t="s">
        <v>14</v>
      </c>
    </row>
    <row r="13567" spans="1:7" x14ac:dyDescent="0.2">
      <c r="A13567" s="2" t="s">
        <v>3671</v>
      </c>
      <c r="B13567" s="2" t="s">
        <v>615</v>
      </c>
      <c r="C13567" s="2">
        <v>477.08760000000001</v>
      </c>
      <c r="D13567" s="2">
        <f>HYPERLINK("http://mcb-m6.bioreg.kyushu-u.ac.jp/M3/20110411/F50891/887/1", 46.22)</f>
        <v>46.22</v>
      </c>
      <c r="E13567" s="2">
        <v>27.53</v>
      </c>
      <c r="F13567" s="2">
        <v>2</v>
      </c>
      <c r="G13567" s="2" t="s">
        <v>9</v>
      </c>
    </row>
    <row r="13568" spans="1:7" x14ac:dyDescent="0.2">
      <c r="A13568" s="2" t="s">
        <v>3671</v>
      </c>
      <c r="B13568" s="2" t="s">
        <v>1076</v>
      </c>
      <c r="C13568" s="2">
        <v>615.91309999999999</v>
      </c>
      <c r="D13568" s="2">
        <f>HYPERLINK("http://mcb-m6.bioreg.kyushu-u.ac.jp/M3/20110411/F50891/1463/1", 61.82)</f>
        <v>61.82</v>
      </c>
      <c r="E13568" s="2">
        <v>39.36</v>
      </c>
      <c r="F13568" s="2">
        <v>2</v>
      </c>
      <c r="G13568" s="2" t="s">
        <v>9</v>
      </c>
    </row>
    <row r="13569" spans="1:7" x14ac:dyDescent="0.2">
      <c r="A13569" s="2" t="s">
        <v>3671</v>
      </c>
      <c r="B13569" s="2" t="s">
        <v>1474</v>
      </c>
      <c r="C13569" s="2">
        <v>830.55520000000001</v>
      </c>
      <c r="D13569" s="2">
        <f>HYPERLINK("http://mcb-m6.bioreg.kyushu-u.ac.jp/M3/20110411/F50891/2616/1", 83.79)</f>
        <v>83.79</v>
      </c>
      <c r="E13569" s="2">
        <v>71.98</v>
      </c>
      <c r="F13569" s="2">
        <v>2</v>
      </c>
      <c r="G13569" s="2" t="s">
        <v>9</v>
      </c>
    </row>
    <row r="13570" spans="1:7" x14ac:dyDescent="0.2">
      <c r="A13570" s="2" t="s">
        <v>3671</v>
      </c>
      <c r="B13570" s="2" t="s">
        <v>1474</v>
      </c>
      <c r="C13570" s="2">
        <v>830.40060000000005</v>
      </c>
      <c r="D13570" s="2">
        <f>HYPERLINK("http://mcb-m6.bioreg.kyushu-u.ac.jp/M3/20110411/F50897/2468/1", 42.04)</f>
        <v>42.04</v>
      </c>
      <c r="E13570" s="2">
        <v>32.49</v>
      </c>
      <c r="F13570" s="2">
        <v>2</v>
      </c>
      <c r="G13570" s="2" t="s">
        <v>10</v>
      </c>
    </row>
    <row r="13571" spans="1:7" x14ac:dyDescent="0.2">
      <c r="A13571" s="2" t="s">
        <v>3671</v>
      </c>
      <c r="B13571" s="2" t="s">
        <v>1474</v>
      </c>
      <c r="C13571" s="2">
        <v>830.36360000000002</v>
      </c>
      <c r="D13571" s="2">
        <f>HYPERLINK("http://mcb-m6.bioreg.kyushu-u.ac.jp/M3/20110411/F50898/2526/1", 51.27)</f>
        <v>51.27</v>
      </c>
      <c r="E13571" s="2">
        <v>40.04</v>
      </c>
      <c r="F13571" s="2">
        <v>2</v>
      </c>
      <c r="G13571" s="2" t="s">
        <v>10</v>
      </c>
    </row>
    <row r="13572" spans="1:7" x14ac:dyDescent="0.2">
      <c r="A13572" s="2" t="s">
        <v>3671</v>
      </c>
      <c r="B13572" s="2" t="s">
        <v>615</v>
      </c>
      <c r="C13572" s="2">
        <v>477.05860000000001</v>
      </c>
      <c r="D13572" s="2">
        <f>HYPERLINK("http://mcb-m6.bioreg.kyushu-u.ac.jp/M3/20110414/F50933/1331/1", 36)</f>
        <v>36</v>
      </c>
      <c r="E13572" s="2">
        <v>16.3</v>
      </c>
      <c r="F13572" s="2">
        <v>2</v>
      </c>
      <c r="G13572" s="2" t="s">
        <v>12</v>
      </c>
    </row>
    <row r="13573" spans="1:7" x14ac:dyDescent="0.2">
      <c r="A13573" s="2" t="s">
        <v>3671</v>
      </c>
      <c r="B13573" s="2" t="s">
        <v>1474</v>
      </c>
      <c r="C13573" s="2">
        <v>829.84010000000001</v>
      </c>
      <c r="D13573" s="2">
        <f>HYPERLINK("http://mcb-m6.bioreg.kyushu-u.ac.jp/M3/20110414/F50933/2775/1", 61.9)</f>
        <v>61.9</v>
      </c>
      <c r="E13573" s="2">
        <v>44.78</v>
      </c>
      <c r="F13573" s="2">
        <v>2</v>
      </c>
      <c r="G13573" s="2" t="s">
        <v>12</v>
      </c>
    </row>
    <row r="13574" spans="1:7" x14ac:dyDescent="0.2">
      <c r="A13574" s="2" t="s">
        <v>3676</v>
      </c>
      <c r="B13574" s="2" t="s">
        <v>630</v>
      </c>
      <c r="C13574" s="2">
        <v>936.1952</v>
      </c>
      <c r="D13574" s="2">
        <f>HYPERLINK("http://mcb-m6.bioreg.kyushu-u.ac.jp/M3/20110411/F50903/2899/1", 46.69)</f>
        <v>46.69</v>
      </c>
      <c r="E13574" s="2">
        <v>33.79</v>
      </c>
      <c r="F13574" s="2">
        <v>2</v>
      </c>
      <c r="G13574" s="2" t="s">
        <v>9</v>
      </c>
    </row>
    <row r="13575" spans="1:7" x14ac:dyDescent="0.2">
      <c r="A13575" s="2" t="s">
        <v>3627</v>
      </c>
      <c r="B13575" s="2" t="s">
        <v>540</v>
      </c>
      <c r="C13575" s="2">
        <v>1107.213</v>
      </c>
      <c r="D13575" s="2">
        <f>HYPERLINK("http://mcb-m6.bioreg.kyushu-u.ac.jp/M3/20110411/F50894/3187/1", 44.24)</f>
        <v>44.24</v>
      </c>
      <c r="E13575" s="2">
        <v>22.41</v>
      </c>
      <c r="F13575" s="2">
        <v>2</v>
      </c>
      <c r="G13575" s="2" t="s">
        <v>9</v>
      </c>
    </row>
    <row r="13576" spans="1:7" x14ac:dyDescent="0.2">
      <c r="A13576" s="2" t="s">
        <v>3627</v>
      </c>
      <c r="B13576" s="2" t="s">
        <v>540</v>
      </c>
      <c r="C13576" s="2">
        <v>1107.2909999999999</v>
      </c>
      <c r="D13576" s="2">
        <f>HYPERLINK("http://mcb-m6.bioreg.kyushu-u.ac.jp/M3/20110411/F50895/3484/1", 49.75)</f>
        <v>49.75</v>
      </c>
      <c r="E13576" s="2">
        <v>29.61</v>
      </c>
      <c r="F13576" s="2">
        <v>2</v>
      </c>
      <c r="G13576" s="2" t="s">
        <v>9</v>
      </c>
    </row>
    <row r="13577" spans="1:7" x14ac:dyDescent="0.2">
      <c r="A13577" s="2" t="s">
        <v>3627</v>
      </c>
      <c r="B13577" s="2" t="s">
        <v>540</v>
      </c>
      <c r="C13577" s="2">
        <v>1107.4290000000001</v>
      </c>
      <c r="D13577" s="2">
        <f>HYPERLINK("http://mcb-m6.bioreg.kyushu-u.ac.jp/M3/20110411/F50893/3349/1", 54.89)</f>
        <v>54.89</v>
      </c>
      <c r="E13577" s="2">
        <v>20.94</v>
      </c>
      <c r="F13577" s="2">
        <v>2</v>
      </c>
      <c r="G13577" s="2" t="s">
        <v>9</v>
      </c>
    </row>
    <row r="13578" spans="1:7" x14ac:dyDescent="0.2">
      <c r="A13578" s="2" t="s">
        <v>3627</v>
      </c>
      <c r="B13578" s="2" t="s">
        <v>540</v>
      </c>
      <c r="C13578" s="2">
        <v>1107.1959999999999</v>
      </c>
      <c r="D13578" s="2">
        <f>HYPERLINK("http://mcb-m6.bioreg.kyushu-u.ac.jp/M3/20110411/F50900/3203/1", 39.63)</f>
        <v>39.630000000000003</v>
      </c>
      <c r="E13578" s="2">
        <v>22.62</v>
      </c>
      <c r="F13578" s="2">
        <v>2</v>
      </c>
      <c r="G13578" s="2" t="s">
        <v>10</v>
      </c>
    </row>
    <row r="13579" spans="1:7" x14ac:dyDescent="0.2">
      <c r="A13579" s="2" t="s">
        <v>3627</v>
      </c>
      <c r="B13579" s="2" t="s">
        <v>540</v>
      </c>
      <c r="C13579" s="2">
        <v>1107.17</v>
      </c>
      <c r="D13579" s="2">
        <f>HYPERLINK("http://mcb-m6.bioreg.kyushu-u.ac.jp/M3/20110411/F50901/3257/1", 46.51)</f>
        <v>46.51</v>
      </c>
      <c r="E13579" s="2">
        <v>34.450000000000003</v>
      </c>
      <c r="F13579" s="2">
        <v>2</v>
      </c>
      <c r="G13579" s="2" t="s">
        <v>10</v>
      </c>
    </row>
    <row r="13580" spans="1:7" x14ac:dyDescent="0.2">
      <c r="A13580" s="2" t="s">
        <v>3627</v>
      </c>
      <c r="B13580" s="2" t="s">
        <v>540</v>
      </c>
      <c r="C13580" s="2">
        <v>1107.229</v>
      </c>
      <c r="D13580" s="2">
        <f>HYPERLINK("http://mcb-m6.bioreg.kyushu-u.ac.jp/M3/20110411/F50897/3420/1", 49.98)</f>
        <v>49.98</v>
      </c>
      <c r="E13580" s="2">
        <v>29.58</v>
      </c>
      <c r="F13580" s="2">
        <v>2</v>
      </c>
      <c r="G13580" s="2" t="s">
        <v>10</v>
      </c>
    </row>
    <row r="13581" spans="1:7" x14ac:dyDescent="0.2">
      <c r="A13581" s="2" t="s">
        <v>3627</v>
      </c>
      <c r="B13581" s="2" t="s">
        <v>540</v>
      </c>
      <c r="C13581" s="2">
        <v>1107.3820000000001</v>
      </c>
      <c r="D13581" s="2">
        <f>HYPERLINK("http://mcb-m6.bioreg.kyushu-u.ac.jp/M3/20110414/F50924/3378/1", 45.62)</f>
        <v>45.62</v>
      </c>
      <c r="E13581" s="2">
        <v>29.17</v>
      </c>
      <c r="F13581" s="2">
        <v>2</v>
      </c>
      <c r="G13581" s="2" t="s">
        <v>11</v>
      </c>
    </row>
    <row r="13582" spans="1:7" x14ac:dyDescent="0.2">
      <c r="A13582" s="2" t="s">
        <v>3627</v>
      </c>
      <c r="B13582" s="2" t="s">
        <v>540</v>
      </c>
      <c r="C13582" s="2">
        <v>1107.579</v>
      </c>
      <c r="D13582" s="2">
        <f>HYPERLINK("http://mcb-m6.bioreg.kyushu-u.ac.jp/M3/20110414/F50950/3825/1", 61.15)</f>
        <v>61.15</v>
      </c>
      <c r="E13582" s="2">
        <v>38.340000000000003</v>
      </c>
      <c r="F13582" s="2">
        <v>2</v>
      </c>
      <c r="G13582" s="2" t="s">
        <v>12</v>
      </c>
    </row>
    <row r="13583" spans="1:7" x14ac:dyDescent="0.2">
      <c r="A13583" s="2" t="s">
        <v>3627</v>
      </c>
      <c r="B13583" s="2" t="s">
        <v>540</v>
      </c>
      <c r="C13583" s="2">
        <v>1107.346</v>
      </c>
      <c r="D13583" s="2">
        <f>HYPERLINK("http://mcb-m6.bioreg.kyushu-u.ac.jp/M3/20110502/F51173/3543/1", 37.44)</f>
        <v>37.44</v>
      </c>
      <c r="E13583" s="2">
        <v>13.36</v>
      </c>
      <c r="F13583" s="2">
        <v>2</v>
      </c>
      <c r="G13583" s="2" t="s">
        <v>13</v>
      </c>
    </row>
    <row r="13584" spans="1:7" x14ac:dyDescent="0.2">
      <c r="A13584" s="2" t="s">
        <v>3627</v>
      </c>
      <c r="B13584" s="2" t="s">
        <v>540</v>
      </c>
      <c r="C13584" s="2">
        <v>1107.181</v>
      </c>
      <c r="D13584" s="2">
        <f>HYPERLINK("http://mcb-m6.bioreg.kyushu-u.ac.jp/M3/20110502/F51170/3495/1", 40.19)</f>
        <v>40.19</v>
      </c>
      <c r="E13584" s="2">
        <v>28.46</v>
      </c>
      <c r="F13584" s="2">
        <v>2</v>
      </c>
      <c r="G13584" s="2" t="s">
        <v>13</v>
      </c>
    </row>
    <row r="13585" spans="1:7" x14ac:dyDescent="0.2">
      <c r="A13585" s="2" t="s">
        <v>3627</v>
      </c>
      <c r="B13585" s="2" t="s">
        <v>540</v>
      </c>
      <c r="C13585" s="2">
        <v>1107.1690000000001</v>
      </c>
      <c r="D13585" s="2">
        <f>HYPERLINK("http://mcb-m6.bioreg.kyushu-u.ac.jp/M3/20110502/F51168/2942/1", 47.77)</f>
        <v>47.77</v>
      </c>
      <c r="E13585" s="2">
        <v>34.18</v>
      </c>
      <c r="F13585" s="2">
        <v>2</v>
      </c>
      <c r="G13585" s="2" t="s">
        <v>13</v>
      </c>
    </row>
    <row r="13586" spans="1:7" x14ac:dyDescent="0.2">
      <c r="A13586" s="2" t="s">
        <v>4531</v>
      </c>
      <c r="B13586" s="2" t="s">
        <v>2556</v>
      </c>
      <c r="C13586" s="2">
        <v>458.86160000000001</v>
      </c>
      <c r="D13586" s="2">
        <f>HYPERLINK("http://mcb-m6.bioreg.kyushu-u.ac.jp/M3/20110414/F50946/851/1", 37.79)</f>
        <v>37.79</v>
      </c>
      <c r="E13586" s="2">
        <v>23.93</v>
      </c>
      <c r="F13586" s="2">
        <v>2</v>
      </c>
      <c r="G13586" s="2" t="s">
        <v>12</v>
      </c>
    </row>
    <row r="13587" spans="1:7" x14ac:dyDescent="0.2">
      <c r="A13587" s="2" t="s">
        <v>3822</v>
      </c>
      <c r="B13587" s="2" t="s">
        <v>892</v>
      </c>
      <c r="C13587" s="2">
        <v>575.37120000000004</v>
      </c>
      <c r="D13587" s="2">
        <f>HYPERLINK("http://mcb-m6.bioreg.kyushu-u.ac.jp/M3/20110411/F50890/1417/1", 54.83)</f>
        <v>54.83</v>
      </c>
      <c r="E13587" s="2">
        <v>31.54</v>
      </c>
      <c r="F13587" s="2">
        <v>2</v>
      </c>
      <c r="G13587" s="2" t="s">
        <v>9</v>
      </c>
    </row>
    <row r="13588" spans="1:7" x14ac:dyDescent="0.2">
      <c r="A13588" s="2" t="s">
        <v>3822</v>
      </c>
      <c r="B13588" s="2" t="s">
        <v>1084</v>
      </c>
      <c r="C13588" s="2">
        <v>636.38070000000005</v>
      </c>
      <c r="D13588" s="2">
        <f>HYPERLINK("http://mcb-m6.bioreg.kyushu-u.ac.jp/M3/20110411/F50890/1660/1", 62.26)</f>
        <v>62.26</v>
      </c>
      <c r="E13588" s="2">
        <v>45.6</v>
      </c>
      <c r="F13588" s="2">
        <v>2</v>
      </c>
      <c r="G13588" s="2" t="s">
        <v>9</v>
      </c>
    </row>
    <row r="13589" spans="1:7" x14ac:dyDescent="0.2">
      <c r="A13589" s="2" t="s">
        <v>3822</v>
      </c>
      <c r="B13589" s="2" t="s">
        <v>1479</v>
      </c>
      <c r="C13589" s="2">
        <v>1078.0260000000001</v>
      </c>
      <c r="D13589" s="2">
        <f>HYPERLINK("http://mcb-m6.bioreg.kyushu-u.ac.jp/M3/20110411/F50890/3511/1", 84.35)</f>
        <v>84.35</v>
      </c>
      <c r="E13589" s="2">
        <v>72.09</v>
      </c>
      <c r="F13589" s="2">
        <v>2</v>
      </c>
      <c r="G13589" s="2" t="s">
        <v>9</v>
      </c>
    </row>
    <row r="13590" spans="1:7" x14ac:dyDescent="0.2">
      <c r="A13590" s="2" t="s">
        <v>4568</v>
      </c>
      <c r="B13590" s="2" t="s">
        <v>2612</v>
      </c>
      <c r="C13590" s="2">
        <v>743.94370000000004</v>
      </c>
      <c r="D13590" s="2">
        <f>HYPERLINK("http://mcb-m6.bioreg.kyushu-u.ac.jp/M3/20110414/F50948/2109/1", 42.93)</f>
        <v>42.93</v>
      </c>
      <c r="E13590" s="2">
        <v>18.25</v>
      </c>
      <c r="F13590" s="2">
        <v>2</v>
      </c>
      <c r="G13590" s="2" t="s">
        <v>12</v>
      </c>
    </row>
    <row r="13591" spans="1:7" x14ac:dyDescent="0.2">
      <c r="A13591" s="2" t="s">
        <v>4186</v>
      </c>
      <c r="B13591" s="2" t="s">
        <v>1767</v>
      </c>
      <c r="C13591" s="2">
        <v>517.24069999999995</v>
      </c>
      <c r="D13591" s="2">
        <f>HYPERLINK("http://mcb-m6.bioreg.kyushu-u.ac.jp/M3/20110411/F50921/922/1", 38.34)</f>
        <v>38.340000000000003</v>
      </c>
      <c r="E13591" s="2">
        <v>11.73</v>
      </c>
      <c r="F13591" s="2">
        <v>2</v>
      </c>
      <c r="G13591" s="2" t="s">
        <v>10</v>
      </c>
    </row>
    <row r="13592" spans="1:7" x14ac:dyDescent="0.2">
      <c r="A13592" s="2" t="s">
        <v>3528</v>
      </c>
      <c r="B13592" s="2" t="s">
        <v>374</v>
      </c>
      <c r="C13592" s="2">
        <v>507.32310000000001</v>
      </c>
      <c r="D13592" s="2">
        <f>HYPERLINK("http://mcb-m6.bioreg.kyushu-u.ac.jp/M3/20110411/F50892/1333/1", 40.6)</f>
        <v>40.6</v>
      </c>
      <c r="E13592" s="2">
        <v>21.69</v>
      </c>
      <c r="F13592" s="2">
        <v>2</v>
      </c>
      <c r="G13592" s="2" t="s">
        <v>9</v>
      </c>
    </row>
    <row r="13593" spans="1:7" x14ac:dyDescent="0.2">
      <c r="A13593" s="2" t="s">
        <v>3528</v>
      </c>
      <c r="B13593" s="2" t="s">
        <v>614</v>
      </c>
      <c r="C13593" s="2">
        <v>594.73270000000002</v>
      </c>
      <c r="D13593" s="2">
        <f>HYPERLINK("http://mcb-m6.bioreg.kyushu-u.ac.jp/M3/20110411/F50891/1351/1", 46.21)</f>
        <v>46.21</v>
      </c>
      <c r="E13593" s="2">
        <v>27.05</v>
      </c>
      <c r="F13593" s="2">
        <v>2</v>
      </c>
      <c r="G13593" s="2" t="s">
        <v>9</v>
      </c>
    </row>
    <row r="13594" spans="1:7" x14ac:dyDescent="0.2">
      <c r="A13594" s="2" t="s">
        <v>3528</v>
      </c>
      <c r="B13594" s="2" t="s">
        <v>626</v>
      </c>
      <c r="C13594" s="2">
        <v>689.40809999999999</v>
      </c>
      <c r="D13594" s="2">
        <f>HYPERLINK("http://mcb-m6.bioreg.kyushu-u.ac.jp/M3/20110411/F50892/1960/1", 46.53)</f>
        <v>46.53</v>
      </c>
      <c r="E13594" s="2">
        <v>19.7</v>
      </c>
      <c r="F13594" s="2">
        <v>2</v>
      </c>
      <c r="G13594" s="2" t="s">
        <v>9</v>
      </c>
    </row>
    <row r="13595" spans="1:7" x14ac:dyDescent="0.2">
      <c r="A13595" s="2" t="s">
        <v>3839</v>
      </c>
      <c r="B13595" s="2" t="s">
        <v>923</v>
      </c>
      <c r="C13595" s="2">
        <v>958.10360000000003</v>
      </c>
      <c r="D13595" s="2">
        <f>HYPERLINK("http://mcb-m6.bioreg.kyushu-u.ac.jp/M3/20110411/F50905/3101/1", 55.83)</f>
        <v>55.83</v>
      </c>
      <c r="E13595" s="2">
        <v>36.229999999999997</v>
      </c>
      <c r="F13595" s="2">
        <v>2</v>
      </c>
      <c r="G13595" s="2" t="s">
        <v>9</v>
      </c>
    </row>
    <row r="13596" spans="1:7" x14ac:dyDescent="0.2">
      <c r="A13596" s="2" t="s">
        <v>3839</v>
      </c>
      <c r="B13596" s="2" t="s">
        <v>923</v>
      </c>
      <c r="C13596" s="2">
        <v>958.07209999999998</v>
      </c>
      <c r="D13596" s="2">
        <f>HYPERLINK("http://mcb-m6.bioreg.kyushu-u.ac.jp/M3/20110411/F50904/2999/1", 62.69)</f>
        <v>62.69</v>
      </c>
      <c r="E13596" s="2">
        <v>54.62</v>
      </c>
      <c r="F13596" s="2">
        <v>2</v>
      </c>
      <c r="G13596" s="2" t="s">
        <v>9</v>
      </c>
    </row>
    <row r="13597" spans="1:7" x14ac:dyDescent="0.2">
      <c r="A13597" s="2" t="s">
        <v>3839</v>
      </c>
      <c r="B13597" s="2" t="s">
        <v>923</v>
      </c>
      <c r="C13597" s="2">
        <v>958.33169999999996</v>
      </c>
      <c r="D13597" s="2">
        <f>HYPERLINK("http://mcb-m6.bioreg.kyushu-u.ac.jp/M3/20110414/F50947/3256/1", 83.93)</f>
        <v>83.93</v>
      </c>
      <c r="E13597" s="2">
        <v>72.8</v>
      </c>
      <c r="F13597" s="2">
        <v>2</v>
      </c>
      <c r="G13597" s="2" t="s">
        <v>12</v>
      </c>
    </row>
    <row r="13598" spans="1:7" x14ac:dyDescent="0.2">
      <c r="A13598" s="2" t="s">
        <v>4124</v>
      </c>
      <c r="B13598" s="2" t="s">
        <v>1643</v>
      </c>
      <c r="C13598" s="2">
        <v>810.54859999999996</v>
      </c>
      <c r="D13598" s="2">
        <f>HYPERLINK("http://mcb-m6.bioreg.kyushu-u.ac.jp/M3/20110411/F50919/2003/1", 107.29)</f>
        <v>107.29</v>
      </c>
      <c r="E13598" s="2">
        <v>84.58</v>
      </c>
      <c r="F13598" s="2">
        <v>2</v>
      </c>
      <c r="G13598" s="2" t="s">
        <v>9</v>
      </c>
    </row>
    <row r="13599" spans="1:7" x14ac:dyDescent="0.2">
      <c r="A13599" s="2" t="s">
        <v>4124</v>
      </c>
      <c r="B13599" s="2" t="s">
        <v>1643</v>
      </c>
      <c r="C13599" s="2">
        <v>810.28719999999998</v>
      </c>
      <c r="D13599" s="2">
        <f>HYPERLINK("http://mcb-m6.bioreg.kyushu-u.ac.jp/M3/20110414/F50945/2446/1", 74.26)</f>
        <v>74.260000000000005</v>
      </c>
      <c r="E13599" s="2">
        <v>59.99</v>
      </c>
      <c r="F13599" s="2">
        <v>2</v>
      </c>
      <c r="G13599" s="2" t="s">
        <v>11</v>
      </c>
    </row>
    <row r="13600" spans="1:7" x14ac:dyDescent="0.2">
      <c r="A13600" s="2" t="s">
        <v>4124</v>
      </c>
      <c r="B13600" s="2" t="s">
        <v>1643</v>
      </c>
      <c r="C13600" s="2">
        <v>810.24519999999995</v>
      </c>
      <c r="D13600" s="2">
        <f>HYPERLINK("http://mcb-m6.bioreg.kyushu-u.ac.jp/M3/20110414/F50946/2415/1", 56.79)</f>
        <v>56.79</v>
      </c>
      <c r="E13600" s="2">
        <v>43.7</v>
      </c>
      <c r="F13600" s="2">
        <v>2</v>
      </c>
      <c r="G13600" s="2" t="s">
        <v>12</v>
      </c>
    </row>
    <row r="13601" spans="1:7" x14ac:dyDescent="0.2">
      <c r="A13601" s="2" t="s">
        <v>3484</v>
      </c>
      <c r="B13601" s="2" t="s">
        <v>307</v>
      </c>
      <c r="C13601" s="2">
        <v>810.55719999999997</v>
      </c>
      <c r="D13601" s="2">
        <f>HYPERLINK("http://mcb-m6.bioreg.kyushu-u.ac.jp/M3/20110411/F50919/2004/1", 39.41)</f>
        <v>39.409999999999997</v>
      </c>
      <c r="E13601" s="2">
        <v>28.18</v>
      </c>
      <c r="F13601" s="2">
        <v>2</v>
      </c>
      <c r="G13601" s="2" t="s">
        <v>9</v>
      </c>
    </row>
    <row r="13602" spans="1:7" x14ac:dyDescent="0.2">
      <c r="A13602" s="2" t="s">
        <v>3484</v>
      </c>
      <c r="B13602" s="2" t="s">
        <v>534</v>
      </c>
      <c r="C13602" s="2">
        <v>730.95259999999996</v>
      </c>
      <c r="D13602" s="2">
        <f>HYPERLINK("http://mcb-m6.bioreg.kyushu-u.ac.jp/M3/20110411/F50892/2165/1", 44.08)</f>
        <v>44.08</v>
      </c>
      <c r="E13602" s="2">
        <v>27.5</v>
      </c>
      <c r="F13602" s="2">
        <v>2</v>
      </c>
      <c r="G13602" s="2" t="s">
        <v>9</v>
      </c>
    </row>
    <row r="13603" spans="1:7" x14ac:dyDescent="0.2">
      <c r="A13603" s="2" t="s">
        <v>3484</v>
      </c>
      <c r="B13603" s="2" t="s">
        <v>1204</v>
      </c>
      <c r="C13603" s="2">
        <v>660.99469999999997</v>
      </c>
      <c r="D13603" s="2">
        <f>HYPERLINK("http://mcb-m6.bioreg.kyushu-u.ac.jp/M3/20110411/F50919/1266/1", 67.28)</f>
        <v>67.28</v>
      </c>
      <c r="E13603" s="2">
        <v>46.66</v>
      </c>
      <c r="F13603" s="2">
        <v>2</v>
      </c>
      <c r="G13603" s="2" t="s">
        <v>9</v>
      </c>
    </row>
    <row r="13604" spans="1:7" x14ac:dyDescent="0.2">
      <c r="A13604" s="2" t="s">
        <v>3484</v>
      </c>
      <c r="B13604" s="2" t="s">
        <v>534</v>
      </c>
      <c r="C13604" s="2">
        <v>730.40009999999995</v>
      </c>
      <c r="D13604" s="2">
        <f>HYPERLINK("http://mcb-m6.bioreg.kyushu-u.ac.jp/M3/20110411/F50892/2160/1", 73.89)</f>
        <v>73.89</v>
      </c>
      <c r="E13604" s="2">
        <v>50.1</v>
      </c>
      <c r="F13604" s="2">
        <v>2</v>
      </c>
      <c r="G13604" s="2" t="s">
        <v>9</v>
      </c>
    </row>
    <row r="13605" spans="1:7" x14ac:dyDescent="0.2">
      <c r="A13605" s="2" t="s">
        <v>3484</v>
      </c>
      <c r="B13605" s="2" t="s">
        <v>1204</v>
      </c>
      <c r="C13605" s="2">
        <v>660.97360000000003</v>
      </c>
      <c r="D13605" s="2">
        <f>HYPERLINK("http://mcb-m6.bioreg.kyushu-u.ac.jp/M3/20110414/F50945/1611/1", 52.73)</f>
        <v>52.73</v>
      </c>
      <c r="E13605" s="2">
        <v>33.020000000000003</v>
      </c>
      <c r="F13605" s="2">
        <v>2</v>
      </c>
      <c r="G13605" s="2" t="s">
        <v>11</v>
      </c>
    </row>
    <row r="13606" spans="1:7" x14ac:dyDescent="0.2">
      <c r="A13606" s="2" t="s">
        <v>3484</v>
      </c>
      <c r="B13606" s="2" t="s">
        <v>534</v>
      </c>
      <c r="C13606" s="2">
        <v>730.67610000000002</v>
      </c>
      <c r="D13606" s="2">
        <f>HYPERLINK("http://mcb-m6.bioreg.kyushu-u.ac.jp/M3/20110502/F51180/1746/1", 36.02)</f>
        <v>36.020000000000003</v>
      </c>
      <c r="E13606" s="2">
        <v>8.52</v>
      </c>
      <c r="F13606" s="2">
        <v>2</v>
      </c>
      <c r="G13606" s="2" t="s">
        <v>13</v>
      </c>
    </row>
    <row r="13607" spans="1:7" x14ac:dyDescent="0.2">
      <c r="A13607" s="2" t="s">
        <v>3484</v>
      </c>
      <c r="B13607" s="2" t="s">
        <v>2887</v>
      </c>
      <c r="C13607" s="2">
        <v>534.05970000000002</v>
      </c>
      <c r="D13607" s="2">
        <f>HYPERLINK("http://mcb-m6.bioreg.kyushu-u.ac.jp/M3/20110502/F51180/846/1", 44.06)</f>
        <v>44.06</v>
      </c>
      <c r="E13607" s="2">
        <v>10.83</v>
      </c>
      <c r="F13607" s="2">
        <v>2</v>
      </c>
      <c r="G13607" s="2" t="s">
        <v>13</v>
      </c>
    </row>
    <row r="13608" spans="1:7" x14ac:dyDescent="0.2">
      <c r="A13608" s="2" t="s">
        <v>3484</v>
      </c>
      <c r="B13608" s="2" t="s">
        <v>1204</v>
      </c>
      <c r="C13608" s="2">
        <v>661.1472</v>
      </c>
      <c r="D13608" s="2">
        <f>HYPERLINK("http://mcb-m6.bioreg.kyushu-u.ac.jp/M3/20110502/F51180/1326/1", 64.99)</f>
        <v>64.989999999999995</v>
      </c>
      <c r="E13608" s="2">
        <v>37.200000000000003</v>
      </c>
      <c r="F13608" s="2">
        <v>2</v>
      </c>
      <c r="G13608" s="2" t="s">
        <v>13</v>
      </c>
    </row>
    <row r="13609" spans="1:7" x14ac:dyDescent="0.2">
      <c r="A13609" s="2" t="s">
        <v>3484</v>
      </c>
      <c r="B13609" s="2" t="s">
        <v>534</v>
      </c>
      <c r="C13609" s="2">
        <v>730.75919999999996</v>
      </c>
      <c r="D13609" s="2">
        <f>HYPERLINK("http://mcb-m6.bioreg.kyushu-u.ac.jp/M3/20110502/F51182/1820/1", 48.72)</f>
        <v>48.72</v>
      </c>
      <c r="E13609" s="2">
        <v>26.32</v>
      </c>
      <c r="F13609" s="2">
        <v>2</v>
      </c>
      <c r="G13609" s="2" t="s">
        <v>14</v>
      </c>
    </row>
    <row r="13610" spans="1:7" x14ac:dyDescent="0.2">
      <c r="A13610" s="2" t="s">
        <v>3918</v>
      </c>
      <c r="B13610" s="2" t="s">
        <v>1092</v>
      </c>
      <c r="C13610" s="2">
        <v>854.97360000000003</v>
      </c>
      <c r="D13610" s="2">
        <f>HYPERLINK("http://mcb-m6.bioreg.kyushu-u.ac.jp/M3/20110411/F50915/2593/1", 62.52)</f>
        <v>62.52</v>
      </c>
      <c r="E13610" s="2">
        <v>20.260000000000002</v>
      </c>
      <c r="F13610" s="2">
        <v>2</v>
      </c>
      <c r="G13610" s="2" t="s">
        <v>9</v>
      </c>
    </row>
    <row r="13611" spans="1:7" x14ac:dyDescent="0.2">
      <c r="A13611" s="2" t="s">
        <v>3918</v>
      </c>
      <c r="B13611" s="2" t="s">
        <v>1443</v>
      </c>
      <c r="C13611" s="2">
        <v>737.41219999999998</v>
      </c>
      <c r="D13611" s="2">
        <f>HYPERLINK("http://mcb-m6.bioreg.kyushu-u.ac.jp/M3/20110411/F50915/1856/1", 80.81)</f>
        <v>80.81</v>
      </c>
      <c r="E13611" s="2">
        <v>58.09</v>
      </c>
      <c r="F13611" s="2">
        <v>2</v>
      </c>
      <c r="G13611" s="2" t="s">
        <v>9</v>
      </c>
    </row>
    <row r="13612" spans="1:7" x14ac:dyDescent="0.2">
      <c r="A13612" s="2" t="s">
        <v>3918</v>
      </c>
      <c r="B13612" s="2" t="s">
        <v>1443</v>
      </c>
      <c r="C13612" s="2">
        <v>737.98770000000002</v>
      </c>
      <c r="D13612" s="2">
        <f>HYPERLINK("http://mcb-m6.bioreg.kyushu-u.ac.jp/M3/20110411/F50917/1924/1", 66.52)</f>
        <v>66.52</v>
      </c>
      <c r="E13612" s="2">
        <v>45.86</v>
      </c>
      <c r="F13612" s="2">
        <v>2</v>
      </c>
      <c r="G13612" s="2" t="s">
        <v>10</v>
      </c>
    </row>
    <row r="13613" spans="1:7" x14ac:dyDescent="0.2">
      <c r="A13613" s="2" t="s">
        <v>3918</v>
      </c>
      <c r="B13613" s="2" t="s">
        <v>1443</v>
      </c>
      <c r="C13613" s="2">
        <v>737.46969999999999</v>
      </c>
      <c r="D13613" s="2">
        <f>HYPERLINK("http://mcb-m6.bioreg.kyushu-u.ac.jp/M3/20110411/F50917/1921/1", 66.72)</f>
        <v>66.72</v>
      </c>
      <c r="E13613" s="2">
        <v>45.64</v>
      </c>
      <c r="F13613" s="2">
        <v>2</v>
      </c>
      <c r="G13613" s="2" t="s">
        <v>10</v>
      </c>
    </row>
    <row r="13614" spans="1:7" x14ac:dyDescent="0.2">
      <c r="A13614" s="2" t="s">
        <v>3918</v>
      </c>
      <c r="B13614" s="2" t="s">
        <v>1443</v>
      </c>
      <c r="C13614" s="2">
        <v>737.59310000000005</v>
      </c>
      <c r="D13614" s="2">
        <f>HYPERLINK("http://mcb-m6.bioreg.kyushu-u.ac.jp/M3/20110414/F50942/1865/1", 35.94)</f>
        <v>35.94</v>
      </c>
      <c r="E13614" s="2">
        <v>19.559999999999999</v>
      </c>
      <c r="F13614" s="2">
        <v>2</v>
      </c>
      <c r="G13614" s="2" t="s">
        <v>11</v>
      </c>
    </row>
    <row r="13615" spans="1:7" x14ac:dyDescent="0.2">
      <c r="A13615" s="4" t="s">
        <v>3944</v>
      </c>
      <c r="B13615" s="2" t="s">
        <v>1143</v>
      </c>
      <c r="C13615" s="2">
        <v>796.67719999999997</v>
      </c>
      <c r="D13615" s="2">
        <f>HYPERLINK("http://mcb-m6.bioreg.kyushu-u.ac.jp/M3/20110411/F50890/2503/1", 64.9)</f>
        <v>64.900000000000006</v>
      </c>
      <c r="E13615" s="2">
        <v>36.06</v>
      </c>
      <c r="F13615" s="2">
        <v>2</v>
      </c>
      <c r="G13615" s="2" t="s">
        <v>9</v>
      </c>
    </row>
    <row r="13616" spans="1:7" x14ac:dyDescent="0.2">
      <c r="A13616" s="4" t="s">
        <v>3944</v>
      </c>
      <c r="B13616" s="2" t="s">
        <v>1143</v>
      </c>
      <c r="C13616" s="2">
        <v>796.83920000000001</v>
      </c>
      <c r="D13616" s="2">
        <f>HYPERLINK("http://mcb-m6.bioreg.kyushu-u.ac.jp/M3/20110411/F50890/2506/1", 67.14)</f>
        <v>67.14</v>
      </c>
      <c r="E13616" s="2">
        <v>40.78</v>
      </c>
      <c r="F13616" s="2">
        <v>2</v>
      </c>
      <c r="G13616" s="2" t="s">
        <v>9</v>
      </c>
    </row>
    <row r="13617" spans="1:9" x14ac:dyDescent="0.2">
      <c r="A13617" s="4" t="s">
        <v>3944</v>
      </c>
      <c r="B13617" s="2" t="s">
        <v>1611</v>
      </c>
      <c r="C13617" s="2">
        <v>1122.405</v>
      </c>
      <c r="D13617" s="2">
        <f>HYPERLINK("http://mcb-m6.bioreg.kyushu-u.ac.jp/M3/20110411/F50890/3665/1", 99.72)</f>
        <v>99.72</v>
      </c>
      <c r="E13617" s="2">
        <v>95.77</v>
      </c>
      <c r="F13617" s="2">
        <v>2</v>
      </c>
      <c r="G13617" s="2" t="s">
        <v>9</v>
      </c>
      <c r="H13617" s="2" t="s">
        <v>4910</v>
      </c>
    </row>
    <row r="13618" spans="1:9" x14ac:dyDescent="0.2">
      <c r="A13618" s="4" t="s">
        <v>3944</v>
      </c>
      <c r="B13618" s="2" t="s">
        <v>1683</v>
      </c>
      <c r="C13618" s="2">
        <v>674.37959999999998</v>
      </c>
      <c r="D13618" s="2">
        <f>HYPERLINK("http://mcb-m6.bioreg.kyushu-u.ac.jp/M3/20110411/F50897/1608/1", 35)</f>
        <v>35</v>
      </c>
      <c r="E13618" s="2">
        <v>26.55</v>
      </c>
      <c r="F13618" s="2">
        <v>2</v>
      </c>
      <c r="G13618" s="2" t="s">
        <v>10</v>
      </c>
      <c r="I13618" s="2" t="s">
        <v>4903</v>
      </c>
    </row>
    <row r="13619" spans="1:9" x14ac:dyDescent="0.2">
      <c r="A13619" s="4" t="s">
        <v>3944</v>
      </c>
      <c r="B13619" s="2" t="s">
        <v>1611</v>
      </c>
      <c r="C13619" s="2">
        <v>1113.7550000000001</v>
      </c>
      <c r="D13619" s="2">
        <f>HYPERLINK("http://mcb-m6.bioreg.kyushu-u.ac.jp/M3/20110411/F50897/3449/1", 50.09)</f>
        <v>50.09</v>
      </c>
      <c r="E13619" s="2">
        <v>45.63</v>
      </c>
      <c r="F13619" s="2">
        <v>2</v>
      </c>
      <c r="G13619" s="2" t="s">
        <v>10</v>
      </c>
    </row>
    <row r="13620" spans="1:9" x14ac:dyDescent="0.2">
      <c r="A13620" s="4" t="s">
        <v>3944</v>
      </c>
      <c r="B13620" s="2" t="s">
        <v>1977</v>
      </c>
      <c r="C13620" s="2">
        <v>1191.578</v>
      </c>
      <c r="D13620" s="2">
        <f>HYPERLINK("http://mcb-m6.bioreg.kyushu-u.ac.jp/M3/20110411/F50897/4286/1", 55.93)</f>
        <v>55.93</v>
      </c>
      <c r="E13620" s="2">
        <v>48.36</v>
      </c>
      <c r="F13620" s="2">
        <v>3</v>
      </c>
      <c r="G13620" s="2" t="s">
        <v>10</v>
      </c>
      <c r="I13620" s="2" t="s">
        <v>4954</v>
      </c>
    </row>
    <row r="13621" spans="1:9" x14ac:dyDescent="0.2">
      <c r="A13621" s="4" t="s">
        <v>3944</v>
      </c>
      <c r="B13621" s="2" t="s">
        <v>1143</v>
      </c>
      <c r="C13621" s="2">
        <v>1574.8240000000001</v>
      </c>
      <c r="D13621" s="2">
        <f>HYPERLINK("http://mcb-m6.bioreg.kyushu-u.ac.jp/M3/20110411/F50897/2241/1", 59.5)</f>
        <v>59.5</v>
      </c>
      <c r="E13621" s="2">
        <v>45.3</v>
      </c>
      <c r="F13621" s="2">
        <v>1</v>
      </c>
      <c r="G13621" s="2" t="s">
        <v>10</v>
      </c>
      <c r="H13621" s="2" t="s">
        <v>4904</v>
      </c>
    </row>
    <row r="13622" spans="1:9" x14ac:dyDescent="0.2">
      <c r="A13622" s="4" t="s">
        <v>3944</v>
      </c>
      <c r="B13622" s="2" t="s">
        <v>1143</v>
      </c>
      <c r="C13622" s="2">
        <v>788.00519999999995</v>
      </c>
      <c r="D13622" s="2">
        <f>HYPERLINK("http://mcb-m6.bioreg.kyushu-u.ac.jp/M3/20110411/F50897/2242/1", 59.5)</f>
        <v>59.5</v>
      </c>
      <c r="E13622" s="2">
        <v>46.23</v>
      </c>
      <c r="F13622" s="2">
        <v>2</v>
      </c>
      <c r="G13622" s="2" t="s">
        <v>10</v>
      </c>
      <c r="H13622" s="2" t="s">
        <v>4904</v>
      </c>
    </row>
    <row r="13623" spans="1:9" x14ac:dyDescent="0.2">
      <c r="A13623" s="4" t="s">
        <v>3944</v>
      </c>
      <c r="B13623" s="2" t="s">
        <v>2074</v>
      </c>
      <c r="C13623" s="2">
        <v>775.97220000000004</v>
      </c>
      <c r="D13623" s="2">
        <f>HYPERLINK("http://mcb-m6.bioreg.kyushu-u.ac.jp/M3/20110411/F50897/2166/1", 74.28)</f>
        <v>74.28</v>
      </c>
      <c r="E13623" s="2">
        <v>42.8</v>
      </c>
      <c r="F13623" s="2">
        <v>2</v>
      </c>
      <c r="G13623" s="2" t="s">
        <v>10</v>
      </c>
      <c r="H13623" s="2" t="s">
        <v>4910</v>
      </c>
    </row>
    <row r="13624" spans="1:9" x14ac:dyDescent="0.2">
      <c r="A13624" s="4" t="s">
        <v>3944</v>
      </c>
      <c r="B13624" s="2" t="s">
        <v>1143</v>
      </c>
      <c r="C13624" s="2">
        <v>796.42660000000001</v>
      </c>
      <c r="D13624" s="2">
        <f>HYPERLINK("http://mcb-m6.bioreg.kyushu-u.ac.jp/M3/20110411/F50897/2288/1", 99.48)</f>
        <v>99.48</v>
      </c>
      <c r="E13624" s="2">
        <v>76.92</v>
      </c>
      <c r="F13624" s="2">
        <v>2</v>
      </c>
      <c r="G13624" s="2" t="s">
        <v>10</v>
      </c>
    </row>
    <row r="13625" spans="1:9" x14ac:dyDescent="0.2">
      <c r="A13625" s="4" t="s">
        <v>3944</v>
      </c>
      <c r="B13625" s="2" t="s">
        <v>1143</v>
      </c>
      <c r="C13625" s="2">
        <v>796.57510000000002</v>
      </c>
      <c r="D13625" s="2">
        <f>HYPERLINK("http://mcb-m6.bioreg.kyushu-u.ac.jp/M3/20110414/F50927/2543/1", 68.26)</f>
        <v>68.260000000000005</v>
      </c>
      <c r="E13625" s="2">
        <v>40.86</v>
      </c>
      <c r="F13625" s="2">
        <v>2</v>
      </c>
      <c r="G13625" s="2" t="s">
        <v>11</v>
      </c>
    </row>
    <row r="13626" spans="1:9" x14ac:dyDescent="0.2">
      <c r="A13626" s="4" t="s">
        <v>3944</v>
      </c>
      <c r="B13626" s="2" t="s">
        <v>1143</v>
      </c>
      <c r="C13626" s="2">
        <v>796.51070000000004</v>
      </c>
      <c r="D13626" s="2">
        <f>HYPERLINK("http://mcb-m6.bioreg.kyushu-u.ac.jp/M3/20110414/F50927/2541/1", 91.01)</f>
        <v>91.01</v>
      </c>
      <c r="E13626" s="2">
        <v>51.17</v>
      </c>
      <c r="F13626" s="2">
        <v>2</v>
      </c>
      <c r="G13626" s="2" t="s">
        <v>11</v>
      </c>
    </row>
    <row r="13627" spans="1:9" x14ac:dyDescent="0.2">
      <c r="A13627" s="4" t="s">
        <v>3944</v>
      </c>
      <c r="B13627" s="2" t="s">
        <v>1143</v>
      </c>
      <c r="C13627" s="2">
        <v>796.0231</v>
      </c>
      <c r="D13627" s="2">
        <f>HYPERLINK("http://mcb-m6.bioreg.kyushu-u.ac.jp/M3/20110414/F50927/2538/1", 95.22)</f>
        <v>95.22</v>
      </c>
      <c r="E13627" s="2">
        <v>68.22</v>
      </c>
      <c r="F13627" s="2">
        <v>2</v>
      </c>
      <c r="G13627" s="2" t="s">
        <v>11</v>
      </c>
    </row>
    <row r="13628" spans="1:9" x14ac:dyDescent="0.2">
      <c r="A13628" s="4" t="s">
        <v>3944</v>
      </c>
      <c r="B13628" s="2" t="s">
        <v>1143</v>
      </c>
      <c r="C13628" s="2">
        <v>787.68820000000005</v>
      </c>
      <c r="D13628" s="2">
        <f>HYPERLINK("http://mcb-m6.bioreg.kyushu-u.ac.jp/M3/20110414/F50927/2503/1", 99.23)</f>
        <v>99.23</v>
      </c>
      <c r="E13628" s="2">
        <v>59.73</v>
      </c>
      <c r="F13628" s="2">
        <v>2</v>
      </c>
      <c r="G13628" s="2" t="s">
        <v>11</v>
      </c>
      <c r="H13628" s="2" t="s">
        <v>4904</v>
      </c>
    </row>
    <row r="13629" spans="1:9" x14ac:dyDescent="0.2">
      <c r="A13629" s="4" t="s">
        <v>3944</v>
      </c>
      <c r="B13629" s="2" t="s">
        <v>1143</v>
      </c>
      <c r="C13629" s="2">
        <v>796.48270000000002</v>
      </c>
      <c r="D13629" s="2">
        <f>HYPERLINK("http://mcb-m6.bioreg.kyushu-u.ac.jp/M3/20110414/F50932/2508/1", 60.83)</f>
        <v>60.83</v>
      </c>
      <c r="E13629" s="2">
        <v>44.7</v>
      </c>
      <c r="F13629" s="2">
        <v>2</v>
      </c>
      <c r="G13629" s="2" t="s">
        <v>12</v>
      </c>
    </row>
    <row r="13630" spans="1:9" x14ac:dyDescent="0.2">
      <c r="A13630" s="4" t="s">
        <v>3944</v>
      </c>
      <c r="B13630" s="2" t="s">
        <v>1143</v>
      </c>
      <c r="C13630" s="2">
        <v>1574.433</v>
      </c>
      <c r="D13630" s="2">
        <f>HYPERLINK("http://mcb-m6.bioreg.kyushu-u.ac.jp/M3/20110414/F50932/2484/1", 66.42)</f>
        <v>66.42</v>
      </c>
      <c r="E13630" s="2">
        <v>54.14</v>
      </c>
      <c r="F13630" s="2">
        <v>1</v>
      </c>
      <c r="G13630" s="2" t="s">
        <v>12</v>
      </c>
      <c r="H13630" s="2" t="s">
        <v>4904</v>
      </c>
    </row>
    <row r="13631" spans="1:9" x14ac:dyDescent="0.2">
      <c r="A13631" s="4" t="s">
        <v>3944</v>
      </c>
      <c r="B13631" s="2" t="s">
        <v>1143</v>
      </c>
      <c r="C13631" s="2">
        <v>787.73019999999997</v>
      </c>
      <c r="D13631" s="2">
        <f>HYPERLINK("http://mcb-m6.bioreg.kyushu-u.ac.jp/M3/20110414/F50932/2485/1", 67.93)</f>
        <v>67.930000000000007</v>
      </c>
      <c r="E13631" s="2">
        <v>59.68</v>
      </c>
      <c r="F13631" s="2">
        <v>2</v>
      </c>
      <c r="G13631" s="2" t="s">
        <v>12</v>
      </c>
      <c r="H13631" s="2" t="s">
        <v>4904</v>
      </c>
    </row>
    <row r="13632" spans="1:9" x14ac:dyDescent="0.2">
      <c r="A13632" s="4" t="s">
        <v>3944</v>
      </c>
      <c r="B13632" s="2" t="s">
        <v>1143</v>
      </c>
      <c r="C13632" s="2">
        <v>796.79769999999996</v>
      </c>
      <c r="D13632" s="2">
        <f>HYPERLINK("http://mcb-m6.bioreg.kyushu-u.ac.jp/M3/20110414/F50932/2510/1", 75.59)</f>
        <v>75.59</v>
      </c>
      <c r="E13632" s="2">
        <v>49.41</v>
      </c>
      <c r="F13632" s="2">
        <v>2</v>
      </c>
      <c r="G13632" s="2" t="s">
        <v>12</v>
      </c>
    </row>
    <row r="13633" spans="1:9" x14ac:dyDescent="0.2">
      <c r="A13633" s="4" t="s">
        <v>3944</v>
      </c>
      <c r="B13633" s="2" t="s">
        <v>1143</v>
      </c>
      <c r="C13633" s="2">
        <v>796.02260000000001</v>
      </c>
      <c r="D13633" s="2">
        <f>HYPERLINK("http://mcb-m6.bioreg.kyushu-u.ac.jp/M3/20110414/F50932/2505/1", 90.96)</f>
        <v>90.96</v>
      </c>
      <c r="E13633" s="2">
        <v>69.89</v>
      </c>
      <c r="F13633" s="2">
        <v>2</v>
      </c>
      <c r="G13633" s="2" t="s">
        <v>12</v>
      </c>
    </row>
    <row r="13634" spans="1:9" x14ac:dyDescent="0.2">
      <c r="A13634" s="4" t="s">
        <v>3944</v>
      </c>
      <c r="B13634" s="2" t="s">
        <v>1143</v>
      </c>
      <c r="C13634" s="2">
        <v>796.54769999999996</v>
      </c>
      <c r="D13634" s="2">
        <f>HYPERLINK("http://mcb-m6.bioreg.kyushu-u.ac.jp/M3/20110414/F50932/2509/1", 91.31)</f>
        <v>91.31</v>
      </c>
      <c r="E13634" s="2">
        <v>71</v>
      </c>
      <c r="F13634" s="2">
        <v>2</v>
      </c>
      <c r="G13634" s="2" t="s">
        <v>12</v>
      </c>
    </row>
    <row r="13635" spans="1:9" x14ac:dyDescent="0.2">
      <c r="A13635" s="4" t="s">
        <v>3944</v>
      </c>
      <c r="B13635" s="2" t="s">
        <v>1143</v>
      </c>
      <c r="C13635" s="2">
        <v>788.31370000000004</v>
      </c>
      <c r="D13635" s="2">
        <f>HYPERLINK("http://mcb-m6.bioreg.kyushu-u.ac.jp/M3/20110414/F50932/2487/1", 100.45)</f>
        <v>100.45</v>
      </c>
      <c r="E13635" s="2">
        <v>75.900000000000006</v>
      </c>
      <c r="F13635" s="2">
        <v>2</v>
      </c>
      <c r="G13635" s="2" t="s">
        <v>12</v>
      </c>
      <c r="H13635" s="2" t="s">
        <v>4904</v>
      </c>
    </row>
    <row r="13636" spans="1:9" x14ac:dyDescent="0.2">
      <c r="A13636" s="4" t="s">
        <v>3944</v>
      </c>
      <c r="B13636" s="2" t="s">
        <v>1143</v>
      </c>
      <c r="C13636" s="2">
        <v>787.92020000000002</v>
      </c>
      <c r="D13636" s="2">
        <f>HYPERLINK("http://mcb-m6.bioreg.kyushu-u.ac.jp/M3/20110502/F51168/2220/1", 82.63)</f>
        <v>82.63</v>
      </c>
      <c r="E13636" s="2">
        <v>69.08</v>
      </c>
      <c r="F13636" s="2">
        <v>2</v>
      </c>
      <c r="G13636" s="2" t="s">
        <v>13</v>
      </c>
      <c r="H13636" s="2" t="s">
        <v>4904</v>
      </c>
    </row>
    <row r="13637" spans="1:9" x14ac:dyDescent="0.2">
      <c r="A13637" s="4" t="s">
        <v>3944</v>
      </c>
      <c r="B13637" s="2" t="s">
        <v>1143</v>
      </c>
      <c r="C13637" s="2">
        <v>788.42819999999995</v>
      </c>
      <c r="D13637" s="2">
        <f>HYPERLINK("http://mcb-m6.bioreg.kyushu-u.ac.jp/M3/20110502/F51168/2221/1", 90.08)</f>
        <v>90.08</v>
      </c>
      <c r="E13637" s="2">
        <v>77.150000000000006</v>
      </c>
      <c r="F13637" s="2">
        <v>2</v>
      </c>
      <c r="G13637" s="2" t="s">
        <v>13</v>
      </c>
      <c r="H13637" s="2" t="s">
        <v>4904</v>
      </c>
    </row>
    <row r="13638" spans="1:9" x14ac:dyDescent="0.2">
      <c r="A13638" s="4" t="s">
        <v>3944</v>
      </c>
      <c r="B13638" s="2" t="s">
        <v>1143</v>
      </c>
      <c r="C13638" s="2">
        <v>796.48109999999997</v>
      </c>
      <c r="D13638" s="2">
        <f>HYPERLINK("http://mcb-m6.bioreg.kyushu-u.ac.jp/M3/20110502/F51168/2256/1", 99.11)</f>
        <v>99.11</v>
      </c>
      <c r="E13638" s="2">
        <v>75.989999999999995</v>
      </c>
      <c r="F13638" s="2">
        <v>2</v>
      </c>
      <c r="G13638" s="2" t="s">
        <v>13</v>
      </c>
    </row>
    <row r="13639" spans="1:9" x14ac:dyDescent="0.2">
      <c r="A13639" s="4" t="s">
        <v>3944</v>
      </c>
      <c r="B13639" s="2" t="s">
        <v>1143</v>
      </c>
      <c r="C13639" s="2">
        <v>796.60820000000001</v>
      </c>
      <c r="D13639" s="2">
        <f>HYPERLINK("http://mcb-m6.bioreg.kyushu-u.ac.jp/M3/20110502/F51177/2190/1", 80.04)</f>
        <v>80.040000000000006</v>
      </c>
      <c r="E13639" s="2">
        <v>62.03</v>
      </c>
      <c r="F13639" s="2">
        <v>2</v>
      </c>
      <c r="G13639" s="2" t="s">
        <v>14</v>
      </c>
    </row>
    <row r="13640" spans="1:9" x14ac:dyDescent="0.2">
      <c r="A13640" s="4" t="s">
        <v>3944</v>
      </c>
      <c r="B13640" s="2" t="s">
        <v>1143</v>
      </c>
      <c r="C13640" s="2">
        <v>788.34969999999998</v>
      </c>
      <c r="D13640" s="2">
        <f>HYPERLINK("http://mcb-m6.bioreg.kyushu-u.ac.jp/M3/20110502/F51177/2141/1", 91.75)</f>
        <v>91.75</v>
      </c>
      <c r="E13640" s="2">
        <v>73.47</v>
      </c>
      <c r="F13640" s="2">
        <v>2</v>
      </c>
      <c r="G13640" s="2" t="s">
        <v>14</v>
      </c>
      <c r="H13640" s="2" t="s">
        <v>4904</v>
      </c>
    </row>
    <row r="13641" spans="1:9" x14ac:dyDescent="0.2">
      <c r="A13641" s="2" t="s">
        <v>3410</v>
      </c>
      <c r="B13641" s="2" t="s">
        <v>207</v>
      </c>
      <c r="C13641" s="2">
        <v>612.99369999999999</v>
      </c>
      <c r="D13641" s="2">
        <f>HYPERLINK("http://mcb-m6.bioreg.kyushu-u.ac.jp/M3/20110411/F50892/1694/1", 37.67)</f>
        <v>37.67</v>
      </c>
      <c r="E13641" s="2">
        <v>22.75</v>
      </c>
      <c r="F13641" s="2">
        <v>2</v>
      </c>
      <c r="G13641" s="2" t="s">
        <v>9</v>
      </c>
    </row>
    <row r="13642" spans="1:9" x14ac:dyDescent="0.2">
      <c r="A13642" s="2" t="s">
        <v>3410</v>
      </c>
      <c r="B13642" s="2" t="s">
        <v>1519</v>
      </c>
      <c r="C13642" s="2">
        <v>863.4366</v>
      </c>
      <c r="D13642" s="2">
        <f>HYPERLINK("http://mcb-m6.bioreg.kyushu-u.ac.jp/M3/20110411/F50892/2703/1", 87.79)</f>
        <v>87.79</v>
      </c>
      <c r="E13642" s="2">
        <v>68.25</v>
      </c>
      <c r="F13642" s="2">
        <v>2</v>
      </c>
      <c r="G13642" s="2" t="s">
        <v>9</v>
      </c>
      <c r="I13642" s="2" t="s">
        <v>4939</v>
      </c>
    </row>
    <row r="13643" spans="1:9" x14ac:dyDescent="0.2">
      <c r="A13643" s="2" t="s">
        <v>3410</v>
      </c>
      <c r="B13643" s="2" t="s">
        <v>1519</v>
      </c>
      <c r="C13643" s="2">
        <v>863.30470000000003</v>
      </c>
      <c r="D13643" s="2">
        <f>HYPERLINK("http://mcb-m6.bioreg.kyushu-u.ac.jp/M3/20110414/F50929/2659/1", 70.43)</f>
        <v>70.430000000000007</v>
      </c>
      <c r="E13643" s="2">
        <v>43.09</v>
      </c>
      <c r="F13643" s="2">
        <v>2</v>
      </c>
      <c r="G13643" s="2" t="s">
        <v>11</v>
      </c>
      <c r="I13643" s="2" t="s">
        <v>4939</v>
      </c>
    </row>
    <row r="13644" spans="1:9" x14ac:dyDescent="0.2">
      <c r="A13644" s="2" t="s">
        <v>3410</v>
      </c>
      <c r="B13644" s="2" t="s">
        <v>1519</v>
      </c>
      <c r="C13644" s="2">
        <v>863.16819999999996</v>
      </c>
      <c r="D13644" s="2">
        <f>HYPERLINK("http://mcb-m6.bioreg.kyushu-u.ac.jp/M3/20110502/F51180/2452/1", 98.63)</f>
        <v>98.63</v>
      </c>
      <c r="E13644" s="2">
        <v>73.17</v>
      </c>
      <c r="F13644" s="2">
        <v>2</v>
      </c>
      <c r="G13644" s="2" t="s">
        <v>13</v>
      </c>
      <c r="I13644" s="2" t="s">
        <v>4939</v>
      </c>
    </row>
    <row r="13645" spans="1:9" x14ac:dyDescent="0.2">
      <c r="A13645" s="2" t="s">
        <v>3410</v>
      </c>
      <c r="B13645" s="2" t="s">
        <v>1519</v>
      </c>
      <c r="C13645" s="2">
        <v>863.39070000000004</v>
      </c>
      <c r="D13645" s="2">
        <f>HYPERLINK("http://mcb-m6.bioreg.kyushu-u.ac.jp/M3/20110502/F51182/2595/1", 61.66)</f>
        <v>61.66</v>
      </c>
      <c r="E13645" s="2">
        <v>41.49</v>
      </c>
      <c r="F13645" s="2">
        <v>2</v>
      </c>
      <c r="G13645" s="2" t="s">
        <v>14</v>
      </c>
      <c r="I13645" s="2" t="s">
        <v>4939</v>
      </c>
    </row>
    <row r="13646" spans="1:9" x14ac:dyDescent="0.2">
      <c r="A13646" s="2" t="s">
        <v>3289</v>
      </c>
      <c r="B13646" s="2" t="s">
        <v>69</v>
      </c>
      <c r="C13646" s="2">
        <v>724.48170000000005</v>
      </c>
      <c r="D13646" s="2">
        <f>HYPERLINK("http://mcb-m6.bioreg.kyushu-u.ac.jp/M3/20110411/F50894/2166/1", 35.66)</f>
        <v>35.659999999999997</v>
      </c>
      <c r="E13646" s="2">
        <v>18.91</v>
      </c>
      <c r="F13646" s="2">
        <v>2</v>
      </c>
      <c r="G13646" s="2" t="s">
        <v>9</v>
      </c>
    </row>
    <row r="13647" spans="1:9" x14ac:dyDescent="0.2">
      <c r="A13647" s="2" t="s">
        <v>3289</v>
      </c>
      <c r="B13647" s="2" t="s">
        <v>69</v>
      </c>
      <c r="C13647" s="2">
        <v>724.71969999999999</v>
      </c>
      <c r="D13647" s="2">
        <f>HYPERLINK("http://mcb-m6.bioreg.kyushu-u.ac.jp/M3/20110502/F51186/1797/1", 36.05)</f>
        <v>36.049999999999997</v>
      </c>
      <c r="E13647" s="2">
        <v>20.78</v>
      </c>
      <c r="F13647" s="2">
        <v>2</v>
      </c>
      <c r="G13647" s="2" t="s">
        <v>14</v>
      </c>
    </row>
    <row r="13648" spans="1:9" x14ac:dyDescent="0.2">
      <c r="A13648" s="2" t="s">
        <v>4889</v>
      </c>
      <c r="B13648" s="2" t="s">
        <v>3234</v>
      </c>
      <c r="C13648" s="2">
        <v>1073.4780000000001</v>
      </c>
      <c r="D13648" s="2">
        <f>HYPERLINK("http://mcb-m6.bioreg.kyushu-u.ac.jp/M3/20110502/F51183/3298/1", 172.58)</f>
        <v>172.58</v>
      </c>
      <c r="E13648" s="2">
        <v>155.51</v>
      </c>
      <c r="F13648" s="2">
        <v>2</v>
      </c>
      <c r="G13648" s="2" t="s">
        <v>14</v>
      </c>
    </row>
    <row r="13649" spans="1:9" x14ac:dyDescent="0.2">
      <c r="A13649" s="2" t="s">
        <v>4810</v>
      </c>
      <c r="B13649" s="2" t="s">
        <v>3059</v>
      </c>
      <c r="C13649" s="2">
        <v>586.61360000000002</v>
      </c>
      <c r="D13649" s="2">
        <f>HYPERLINK("http://mcb-m6.bioreg.kyushu-u.ac.jp/M3/20110502/F51183/1122/1", 40.85)</f>
        <v>40.85</v>
      </c>
      <c r="E13649" s="2">
        <v>15.39</v>
      </c>
      <c r="F13649" s="2">
        <v>2</v>
      </c>
      <c r="G13649" s="2" t="s">
        <v>14</v>
      </c>
    </row>
    <row r="13650" spans="1:9" x14ac:dyDescent="0.2">
      <c r="A13650" s="2" t="s">
        <v>4810</v>
      </c>
      <c r="B13650" s="2" t="s">
        <v>3185</v>
      </c>
      <c r="C13650" s="2">
        <v>680.71310000000005</v>
      </c>
      <c r="D13650" s="2">
        <f>HYPERLINK("http://mcb-m6.bioreg.kyushu-u.ac.jp/M3/20110502/F51183/1537/1", 64.69)</f>
        <v>64.69</v>
      </c>
      <c r="E13650" s="2">
        <v>35.26</v>
      </c>
      <c r="F13650" s="2">
        <v>2</v>
      </c>
      <c r="G13650" s="2" t="s">
        <v>14</v>
      </c>
      <c r="I13650" s="2" t="s">
        <v>4903</v>
      </c>
    </row>
    <row r="13651" spans="1:9" x14ac:dyDescent="0.2">
      <c r="A13651" s="2" t="s">
        <v>4810</v>
      </c>
      <c r="B13651" s="2" t="s">
        <v>3223</v>
      </c>
      <c r="C13651" s="2">
        <v>794.26509999999996</v>
      </c>
      <c r="D13651" s="2">
        <f>HYPERLINK("http://mcb-m6.bioreg.kyushu-u.ac.jp/M3/20110502/F51183/2211/1", 88.47)</f>
        <v>88.47</v>
      </c>
      <c r="E13651" s="2">
        <v>68.22</v>
      </c>
      <c r="F13651" s="2">
        <v>2</v>
      </c>
      <c r="G13651" s="2" t="s">
        <v>14</v>
      </c>
    </row>
    <row r="13652" spans="1:9" x14ac:dyDescent="0.2">
      <c r="A13652" s="2" t="s">
        <v>4810</v>
      </c>
      <c r="B13652" s="2" t="s">
        <v>3226</v>
      </c>
      <c r="C13652" s="2">
        <v>890.9692</v>
      </c>
      <c r="D13652" s="2">
        <f>HYPERLINK("http://mcb-m6.bioreg.kyushu-u.ac.jp/M3/20110502/F51183/2694/1", 94.22)</f>
        <v>94.22</v>
      </c>
      <c r="E13652" s="2">
        <v>68.98</v>
      </c>
      <c r="F13652" s="2">
        <v>2</v>
      </c>
      <c r="G13652" s="2" t="s">
        <v>14</v>
      </c>
    </row>
    <row r="13653" spans="1:9" x14ac:dyDescent="0.2">
      <c r="A13653" s="2" t="s">
        <v>3789</v>
      </c>
      <c r="B13653" s="2" t="s">
        <v>829</v>
      </c>
      <c r="C13653" s="2">
        <v>655.56820000000005</v>
      </c>
      <c r="D13653" s="2">
        <f>HYPERLINK("http://mcb-m6.bioreg.kyushu-u.ac.jp/M3/20110411/F50903/1616/1", 52.73)</f>
        <v>52.73</v>
      </c>
      <c r="E13653" s="2">
        <v>30.48</v>
      </c>
      <c r="F13653" s="2">
        <v>2</v>
      </c>
      <c r="G13653" s="2" t="s">
        <v>9</v>
      </c>
      <c r="I13653" s="2" t="s">
        <v>4905</v>
      </c>
    </row>
    <row r="13654" spans="1:9" x14ac:dyDescent="0.2">
      <c r="A13654" s="2" t="s">
        <v>4339</v>
      </c>
      <c r="B13654" s="2" t="s">
        <v>2154</v>
      </c>
      <c r="C13654" s="2">
        <v>744.27809999999999</v>
      </c>
      <c r="D13654" s="2">
        <f>HYPERLINK("http://mcb-m6.bioreg.kyushu-u.ac.jp/M3/20110414/F50957/1933/1", 35.14)</f>
        <v>35.14</v>
      </c>
      <c r="E13654" s="2">
        <v>22.51</v>
      </c>
      <c r="F13654" s="2">
        <v>2</v>
      </c>
      <c r="G13654" s="2" t="s">
        <v>11</v>
      </c>
    </row>
    <row r="13655" spans="1:9" x14ac:dyDescent="0.2">
      <c r="A13655" s="2" t="s">
        <v>4339</v>
      </c>
      <c r="B13655" s="2" t="s">
        <v>2294</v>
      </c>
      <c r="C13655" s="2">
        <v>471.84710000000001</v>
      </c>
      <c r="D13655" s="2">
        <f>HYPERLINK("http://mcb-m6.bioreg.kyushu-u.ac.jp/M3/20110414/F50943/850/1", 43.94)</f>
        <v>43.94</v>
      </c>
      <c r="E13655" s="2">
        <v>17.43</v>
      </c>
      <c r="F13655" s="2">
        <v>2</v>
      </c>
      <c r="G13655" s="2" t="s">
        <v>11</v>
      </c>
    </row>
    <row r="13656" spans="1:9" x14ac:dyDescent="0.2">
      <c r="A13656" s="2" t="s">
        <v>4339</v>
      </c>
      <c r="B13656" s="2" t="s">
        <v>2154</v>
      </c>
      <c r="C13656" s="2">
        <v>744.00919999999996</v>
      </c>
      <c r="D13656" s="2">
        <f>HYPERLINK("http://mcb-m6.bioreg.kyushu-u.ac.jp/M3/20110414/F50943/1918/1", 72.16)</f>
        <v>72.16</v>
      </c>
      <c r="E13656" s="2">
        <v>58.27</v>
      </c>
      <c r="F13656" s="2">
        <v>2</v>
      </c>
      <c r="G13656" s="2" t="s">
        <v>11</v>
      </c>
    </row>
    <row r="13657" spans="1:9" x14ac:dyDescent="0.2">
      <c r="A13657" s="2" t="s">
        <v>4339</v>
      </c>
      <c r="B13657" s="2" t="s">
        <v>2719</v>
      </c>
      <c r="C13657" s="2">
        <v>763.02919999999995</v>
      </c>
      <c r="D13657" s="2">
        <f>HYPERLINK("http://mcb-m6.bioreg.kyushu-u.ac.jp/M3/20110414/F50949/2199/1", 63.27)</f>
        <v>63.27</v>
      </c>
      <c r="E13657" s="2">
        <v>36.4</v>
      </c>
      <c r="F13657" s="2">
        <v>2</v>
      </c>
      <c r="G13657" s="2" t="s">
        <v>12</v>
      </c>
    </row>
    <row r="13658" spans="1:9" x14ac:dyDescent="0.2">
      <c r="A13658" s="2" t="s">
        <v>4487</v>
      </c>
      <c r="B13658" s="2" t="s">
        <v>2451</v>
      </c>
      <c r="C13658" s="2">
        <v>734.42520000000002</v>
      </c>
      <c r="D13658" s="2">
        <f>HYPERLINK("http://mcb-m6.bioreg.kyushu-u.ac.jp/M3/20110414/F50943/1830/1", 67.41)</f>
        <v>67.41</v>
      </c>
      <c r="E13658" s="2">
        <v>46.5</v>
      </c>
      <c r="F13658" s="2">
        <v>2</v>
      </c>
      <c r="G13658" s="2" t="s">
        <v>11</v>
      </c>
    </row>
    <row r="13659" spans="1:9" x14ac:dyDescent="0.2">
      <c r="A13659" s="2" t="s">
        <v>3750</v>
      </c>
      <c r="B13659" s="2" t="s">
        <v>760</v>
      </c>
      <c r="C13659" s="2">
        <v>772.82119999999998</v>
      </c>
      <c r="D13659" s="2">
        <f>HYPERLINK("http://mcb-m6.bioreg.kyushu-u.ac.jp/M3/20110411/F50893/2328/1", 50.37)</f>
        <v>50.37</v>
      </c>
      <c r="E13659" s="2">
        <v>20.36</v>
      </c>
      <c r="F13659" s="2">
        <v>2</v>
      </c>
      <c r="G13659" s="2" t="s">
        <v>9</v>
      </c>
    </row>
    <row r="13660" spans="1:9" x14ac:dyDescent="0.2">
      <c r="A13660" s="2" t="s">
        <v>4641</v>
      </c>
      <c r="B13660" s="2" t="s">
        <v>2797</v>
      </c>
      <c r="C13660" s="2">
        <v>692.54819999999995</v>
      </c>
      <c r="D13660" s="2">
        <f>HYPERLINK("http://mcb-m6.bioreg.kyushu-u.ac.jp/M3/20110502/F51172/3686/1", 35.8)</f>
        <v>35.799999999999997</v>
      </c>
      <c r="E13660" s="2">
        <v>17.940000000000001</v>
      </c>
      <c r="F13660" s="2">
        <v>3</v>
      </c>
      <c r="G13660" s="2" t="s">
        <v>13</v>
      </c>
    </row>
    <row r="13661" spans="1:9" x14ac:dyDescent="0.2">
      <c r="A13661" s="2" t="s">
        <v>4641</v>
      </c>
      <c r="B13661" s="2" t="s">
        <v>2797</v>
      </c>
      <c r="C13661" s="2">
        <v>692.49549999999999</v>
      </c>
      <c r="D13661" s="2">
        <f>HYPERLINK("http://mcb-m6.bioreg.kyushu-u.ac.jp/M3/20110502/F51175/2845/1", 36)</f>
        <v>36</v>
      </c>
      <c r="E13661" s="2">
        <v>20.07</v>
      </c>
      <c r="F13661" s="2">
        <v>3</v>
      </c>
      <c r="G13661" s="2" t="s">
        <v>13</v>
      </c>
    </row>
    <row r="13662" spans="1:9" x14ac:dyDescent="0.2">
      <c r="A13662" s="2" t="s">
        <v>4828</v>
      </c>
      <c r="B13662" s="2" t="s">
        <v>3088</v>
      </c>
      <c r="C13662" s="2">
        <v>594.40560000000005</v>
      </c>
      <c r="D13662" s="2">
        <f>HYPERLINK("http://mcb-m6.bioreg.kyushu-u.ac.jp/M3/20110502/F51194/1013/1", 43.5)</f>
        <v>43.5</v>
      </c>
      <c r="E13662" s="2">
        <v>23.18</v>
      </c>
      <c r="F13662" s="2">
        <v>2</v>
      </c>
      <c r="G13662" s="2" t="s">
        <v>14</v>
      </c>
    </row>
    <row r="13663" spans="1:9" x14ac:dyDescent="0.2">
      <c r="A13663" s="2" t="s">
        <v>4511</v>
      </c>
      <c r="B13663" s="2" t="s">
        <v>2520</v>
      </c>
      <c r="C13663" s="2">
        <v>582.49959999999999</v>
      </c>
      <c r="D13663" s="2">
        <f>HYPERLINK("http://mcb-m6.bioreg.kyushu-u.ac.jp/M3/20110414/F50934/1867/1", 35.12)</f>
        <v>35.119999999999997</v>
      </c>
      <c r="E13663" s="2">
        <v>17.989999999999998</v>
      </c>
      <c r="F13663" s="2">
        <v>2</v>
      </c>
      <c r="G13663" s="2" t="s">
        <v>12</v>
      </c>
    </row>
    <row r="13664" spans="1:9" x14ac:dyDescent="0.2">
      <c r="A13664" s="2" t="s">
        <v>4246</v>
      </c>
      <c r="B13664" s="2" t="s">
        <v>1871</v>
      </c>
      <c r="C13664" s="2">
        <v>510.4221</v>
      </c>
      <c r="D13664" s="2">
        <f>HYPERLINK("http://mcb-m6.bioreg.kyushu-u.ac.jp/M3/20110411/F50913/1053/1", 45.85)</f>
        <v>45.85</v>
      </c>
      <c r="E13664" s="2">
        <v>1.47</v>
      </c>
      <c r="F13664" s="2">
        <v>2</v>
      </c>
      <c r="G13664" s="2" t="s">
        <v>10</v>
      </c>
    </row>
    <row r="13665" spans="1:9" x14ac:dyDescent="0.2">
      <c r="A13665" s="2" t="s">
        <v>4322</v>
      </c>
      <c r="B13665" s="2" t="s">
        <v>2094</v>
      </c>
      <c r="C13665" s="2">
        <v>660.79669999999999</v>
      </c>
      <c r="D13665" s="2">
        <f>HYPERLINK("http://mcb-m6.bioreg.kyushu-u.ac.jp/M3/20110411/F50897/1571/1", 79.18)</f>
        <v>79.180000000000007</v>
      </c>
      <c r="E13665" s="2">
        <v>45.11</v>
      </c>
      <c r="F13665" s="2">
        <v>2</v>
      </c>
      <c r="G13665" s="2" t="s">
        <v>10</v>
      </c>
    </row>
    <row r="13666" spans="1:9" x14ac:dyDescent="0.2">
      <c r="A13666" s="2" t="s">
        <v>3790</v>
      </c>
      <c r="B13666" s="2" t="s">
        <v>833</v>
      </c>
      <c r="C13666" s="2">
        <v>1073.2270000000001</v>
      </c>
      <c r="D13666" s="2">
        <f>HYPERLINK("http://mcb-m6.bioreg.kyushu-u.ac.jp/M3/20110411/F50891/3658/1", 52.82)</f>
        <v>52.82</v>
      </c>
      <c r="E13666" s="2">
        <v>46.01</v>
      </c>
      <c r="F13666" s="2">
        <v>2</v>
      </c>
      <c r="G13666" s="2" t="s">
        <v>9</v>
      </c>
    </row>
    <row r="13667" spans="1:9" x14ac:dyDescent="0.2">
      <c r="A13667" s="2" t="s">
        <v>3790</v>
      </c>
      <c r="B13667" s="2" t="s">
        <v>1560</v>
      </c>
      <c r="C13667" s="2">
        <v>767.3152</v>
      </c>
      <c r="D13667" s="2">
        <f>HYPERLINK("http://mcb-m6.bioreg.kyushu-u.ac.jp/M3/20110411/F50890/2353/1", 92.6)</f>
        <v>92.6</v>
      </c>
      <c r="E13667" s="2">
        <v>74.97</v>
      </c>
      <c r="F13667" s="2">
        <v>2</v>
      </c>
      <c r="G13667" s="2" t="s">
        <v>9</v>
      </c>
    </row>
    <row r="13668" spans="1:9" x14ac:dyDescent="0.2">
      <c r="A13668" s="2" t="s">
        <v>3790</v>
      </c>
      <c r="B13668" s="2" t="s">
        <v>1902</v>
      </c>
      <c r="C13668" s="2">
        <v>696.71169999999995</v>
      </c>
      <c r="D13668" s="2">
        <f>HYPERLINK("http://mcb-m6.bioreg.kyushu-u.ac.jp/M3/20110411/F50897/1738/1", 48.14)</f>
        <v>48.14</v>
      </c>
      <c r="E13668" s="2">
        <v>28.73</v>
      </c>
      <c r="F13668" s="2">
        <v>2</v>
      </c>
      <c r="G13668" s="2" t="s">
        <v>10</v>
      </c>
      <c r="I13668" s="2" t="s">
        <v>4899</v>
      </c>
    </row>
    <row r="13669" spans="1:9" x14ac:dyDescent="0.2">
      <c r="A13669" s="2" t="s">
        <v>3790</v>
      </c>
      <c r="B13669" s="2" t="s">
        <v>1560</v>
      </c>
      <c r="C13669" s="2">
        <v>766.81870000000004</v>
      </c>
      <c r="D13669" s="2">
        <f>HYPERLINK("http://mcb-m6.bioreg.kyushu-u.ac.jp/M3/20110414/F50928/2450/1", 85.6)</f>
        <v>85.6</v>
      </c>
      <c r="E13669" s="2">
        <v>68.819999999999993</v>
      </c>
      <c r="F13669" s="2">
        <v>2</v>
      </c>
      <c r="G13669" s="2" t="s">
        <v>11</v>
      </c>
    </row>
    <row r="13670" spans="1:9" x14ac:dyDescent="0.2">
      <c r="A13670" s="2" t="s">
        <v>3790</v>
      </c>
      <c r="B13670" s="2" t="s">
        <v>1560</v>
      </c>
      <c r="C13670" s="2">
        <v>767.11609999999996</v>
      </c>
      <c r="D13670" s="2">
        <f>HYPERLINK("http://mcb-m6.bioreg.kyushu-u.ac.jp/M3/20110414/F50933/2553/1", 36.41)</f>
        <v>36.409999999999997</v>
      </c>
      <c r="E13670" s="2">
        <v>18.68</v>
      </c>
      <c r="F13670" s="2">
        <v>2</v>
      </c>
      <c r="G13670" s="2" t="s">
        <v>12</v>
      </c>
    </row>
    <row r="13671" spans="1:9" x14ac:dyDescent="0.2">
      <c r="A13671" s="2" t="s">
        <v>3790</v>
      </c>
      <c r="B13671" s="2" t="s">
        <v>1560</v>
      </c>
      <c r="C13671" s="2">
        <v>767.17409999999995</v>
      </c>
      <c r="D13671" s="2">
        <f>HYPERLINK("http://mcb-m6.bioreg.kyushu-u.ac.jp/M3/20110414/F50932/2412/1", 68.85)</f>
        <v>68.849999999999994</v>
      </c>
      <c r="E13671" s="2">
        <v>54.43</v>
      </c>
      <c r="F13671" s="2">
        <v>2</v>
      </c>
      <c r="G13671" s="2" t="s">
        <v>12</v>
      </c>
    </row>
    <row r="13672" spans="1:9" x14ac:dyDescent="0.2">
      <c r="A13672" s="2" t="s">
        <v>3790</v>
      </c>
      <c r="B13672" s="2" t="s">
        <v>1560</v>
      </c>
      <c r="C13672" s="2">
        <v>766.99270000000001</v>
      </c>
      <c r="D13672" s="2">
        <f>HYPERLINK("http://mcb-m6.bioreg.kyushu-u.ac.jp/M3/20110502/F51168/2146/1", 124.49)</f>
        <v>124.49</v>
      </c>
      <c r="E13672" s="2">
        <v>103.82</v>
      </c>
      <c r="F13672" s="2">
        <v>2</v>
      </c>
      <c r="G13672" s="2" t="s">
        <v>13</v>
      </c>
    </row>
    <row r="13673" spans="1:9" x14ac:dyDescent="0.2">
      <c r="A13673" s="2" t="s">
        <v>3904</v>
      </c>
      <c r="B13673" s="2" t="s">
        <v>1062</v>
      </c>
      <c r="C13673" s="2">
        <v>698.91359999999997</v>
      </c>
      <c r="D13673" s="2">
        <f>HYPERLINK("http://mcb-m6.bioreg.kyushu-u.ac.jp/M3/20110411/F50890/1950/1", 60.94)</f>
        <v>60.94</v>
      </c>
      <c r="E13673" s="2">
        <v>42.09</v>
      </c>
      <c r="F13673" s="2">
        <v>2</v>
      </c>
      <c r="G13673" s="2" t="s">
        <v>9</v>
      </c>
      <c r="I13673" s="2" t="s">
        <v>4892</v>
      </c>
    </row>
    <row r="13674" spans="1:9" x14ac:dyDescent="0.2">
      <c r="A13674" s="2" t="s">
        <v>3904</v>
      </c>
      <c r="B13674" s="2" t="s">
        <v>1205</v>
      </c>
      <c r="C13674" s="2">
        <v>635.20069999999998</v>
      </c>
      <c r="D13674" s="2">
        <f>HYPERLINK("http://mcb-m6.bioreg.kyushu-u.ac.jp/M3/20110411/F50890/1658/1", 67.28)</f>
        <v>67.28</v>
      </c>
      <c r="E13674" s="2">
        <v>51.42</v>
      </c>
      <c r="F13674" s="2">
        <v>2</v>
      </c>
      <c r="G13674" s="2" t="s">
        <v>9</v>
      </c>
      <c r="I13674" s="2" t="s">
        <v>4892</v>
      </c>
    </row>
    <row r="13675" spans="1:9" x14ac:dyDescent="0.2">
      <c r="A13675" s="2" t="s">
        <v>3904</v>
      </c>
      <c r="B13675" s="2" t="s">
        <v>1205</v>
      </c>
      <c r="C13675" s="2">
        <v>634.67909999999995</v>
      </c>
      <c r="D13675" s="2">
        <f>HYPERLINK("http://mcb-m6.bioreg.kyushu-u.ac.jp/M3/20110411/F50890/1654/1", 78.25)</f>
        <v>78.25</v>
      </c>
      <c r="E13675" s="2">
        <v>59.35</v>
      </c>
      <c r="F13675" s="2">
        <v>2</v>
      </c>
      <c r="G13675" s="2" t="s">
        <v>9</v>
      </c>
      <c r="I13675" s="2" t="s">
        <v>4892</v>
      </c>
    </row>
    <row r="13676" spans="1:9" x14ac:dyDescent="0.2">
      <c r="A13676" s="2" t="s">
        <v>3412</v>
      </c>
      <c r="B13676" s="2" t="s">
        <v>211</v>
      </c>
      <c r="C13676" s="2">
        <v>594.15419999999995</v>
      </c>
      <c r="D13676" s="2">
        <f>HYPERLINK("http://mcb-m6.bioreg.kyushu-u.ac.jp/M3/20110411/F50889/1833/1", 37.78)</f>
        <v>37.78</v>
      </c>
      <c r="E13676" s="2">
        <v>14.85</v>
      </c>
      <c r="F13676" s="2">
        <v>2</v>
      </c>
      <c r="G13676" s="2" t="s">
        <v>9</v>
      </c>
    </row>
    <row r="13677" spans="1:9" x14ac:dyDescent="0.2">
      <c r="A13677" s="2" t="s">
        <v>4438</v>
      </c>
      <c r="B13677" s="2" t="s">
        <v>2327</v>
      </c>
      <c r="C13677" s="2">
        <v>671.38670000000002</v>
      </c>
      <c r="D13677" s="2">
        <f>HYPERLINK("http://mcb-m6.bioreg.kyushu-u.ac.jp/M3/20110414/F50924/1699/1", 46.45)</f>
        <v>46.45</v>
      </c>
      <c r="E13677" s="2">
        <v>29.12</v>
      </c>
      <c r="F13677" s="2">
        <v>2</v>
      </c>
      <c r="G13677" s="2" t="s">
        <v>11</v>
      </c>
    </row>
    <row r="13678" spans="1:9" x14ac:dyDescent="0.2">
      <c r="A13678" s="2" t="s">
        <v>4263</v>
      </c>
      <c r="B13678" s="2" t="s">
        <v>1920</v>
      </c>
      <c r="C13678" s="2">
        <v>530.2432</v>
      </c>
      <c r="D13678" s="2">
        <f>HYPERLINK("http://mcb-m6.bioreg.kyushu-u.ac.jp/M3/20110411/F50896/1400/1", 49.58)</f>
        <v>49.58</v>
      </c>
      <c r="E13678" s="2">
        <v>16.239999999999998</v>
      </c>
      <c r="F13678" s="2">
        <v>2</v>
      </c>
      <c r="G13678" s="2" t="s">
        <v>10</v>
      </c>
    </row>
    <row r="13679" spans="1:9" x14ac:dyDescent="0.2">
      <c r="A13679" s="2" t="s">
        <v>3618</v>
      </c>
      <c r="B13679" s="2" t="s">
        <v>527</v>
      </c>
      <c r="C13679" s="2">
        <v>942.89620000000002</v>
      </c>
      <c r="D13679" s="2">
        <f>HYPERLINK("http://mcb-m6.bioreg.kyushu-u.ac.jp/M3/20110411/F50892/2969/1", 43.93)</f>
        <v>43.93</v>
      </c>
      <c r="E13679" s="2">
        <v>27.8</v>
      </c>
      <c r="F13679" s="2">
        <v>2</v>
      </c>
      <c r="G13679" s="2" t="s">
        <v>9</v>
      </c>
    </row>
    <row r="13680" spans="1:9" x14ac:dyDescent="0.2">
      <c r="A13680" s="2" t="s">
        <v>3618</v>
      </c>
      <c r="B13680" s="2" t="s">
        <v>2488</v>
      </c>
      <c r="C13680" s="2">
        <v>651.75710000000004</v>
      </c>
      <c r="D13680" s="2">
        <f>HYPERLINK("http://mcb-m6.bioreg.kyushu-u.ac.jp/M3/20110414/F50929/1943/1", 79.34)</f>
        <v>79.34</v>
      </c>
      <c r="E13680" s="2">
        <v>30.23</v>
      </c>
      <c r="F13680" s="2">
        <v>2</v>
      </c>
      <c r="G13680" s="2" t="s">
        <v>11</v>
      </c>
      <c r="I13680" s="2" t="s">
        <v>4890</v>
      </c>
    </row>
    <row r="13681" spans="1:9" x14ac:dyDescent="0.2">
      <c r="A13681" s="2" t="s">
        <v>4617</v>
      </c>
      <c r="B13681" s="2" t="s">
        <v>2740</v>
      </c>
      <c r="C13681" s="2">
        <v>680.47310000000004</v>
      </c>
      <c r="D13681" s="2">
        <f>HYPERLINK("http://mcb-m6.bioreg.kyushu-u.ac.jp/M3/20110414/F50950/1767/1", 71.76)</f>
        <v>71.760000000000005</v>
      </c>
      <c r="E13681" s="2">
        <v>44.61</v>
      </c>
      <c r="F13681" s="2">
        <v>2</v>
      </c>
      <c r="G13681" s="2" t="s">
        <v>12</v>
      </c>
    </row>
    <row r="13682" spans="1:9" x14ac:dyDescent="0.2">
      <c r="A13682" s="2" t="s">
        <v>4617</v>
      </c>
      <c r="B13682" s="2" t="s">
        <v>2957</v>
      </c>
      <c r="C13682" s="2">
        <v>635.07920000000001</v>
      </c>
      <c r="D13682" s="2">
        <f>HYPERLINK("http://mcb-m6.bioreg.kyushu-u.ac.jp/M3/20110502/F51174/1578/1", 86.38)</f>
        <v>86.38</v>
      </c>
      <c r="E13682" s="2">
        <v>71.5</v>
      </c>
      <c r="F13682" s="2">
        <v>2</v>
      </c>
      <c r="G13682" s="2" t="s">
        <v>13</v>
      </c>
    </row>
    <row r="13683" spans="1:9" x14ac:dyDescent="0.2">
      <c r="A13683" s="2" t="s">
        <v>4617</v>
      </c>
      <c r="B13683" s="2" t="s">
        <v>2740</v>
      </c>
      <c r="C13683" s="2">
        <v>681.10969999999998</v>
      </c>
      <c r="D13683" s="2">
        <f>HYPERLINK("http://mcb-m6.bioreg.kyushu-u.ac.jp/M3/20110502/F51185/1531/1", 40.43)</f>
        <v>40.43</v>
      </c>
      <c r="E13683" s="2">
        <v>19.8</v>
      </c>
      <c r="F13683" s="2">
        <v>2</v>
      </c>
      <c r="G13683" s="2" t="s">
        <v>14</v>
      </c>
    </row>
    <row r="13684" spans="1:9" x14ac:dyDescent="0.2">
      <c r="A13684" s="2" t="s">
        <v>4617</v>
      </c>
      <c r="B13684" s="2" t="s">
        <v>2957</v>
      </c>
      <c r="C13684" s="2">
        <v>634.79570000000001</v>
      </c>
      <c r="D13684" s="2">
        <f>HYPERLINK("http://mcb-m6.bioreg.kyushu-u.ac.jp/M3/20110502/F51185/1330/1", 53.39)</f>
        <v>53.39</v>
      </c>
      <c r="E13684" s="2">
        <v>43.32</v>
      </c>
      <c r="F13684" s="2">
        <v>2</v>
      </c>
      <c r="G13684" s="2" t="s">
        <v>14</v>
      </c>
    </row>
    <row r="13685" spans="1:9" x14ac:dyDescent="0.2">
      <c r="A13685" s="2" t="s">
        <v>3639</v>
      </c>
      <c r="B13685" s="2" t="s">
        <v>557</v>
      </c>
      <c r="C13685" s="2">
        <v>1128.559</v>
      </c>
      <c r="D13685" s="2">
        <f>HYPERLINK("http://mcb-m6.bioreg.kyushu-u.ac.jp/M3/20110411/F50890/1374/1", 44.76)</f>
        <v>44.76</v>
      </c>
      <c r="E13685" s="2">
        <v>22.09</v>
      </c>
      <c r="F13685" s="2">
        <v>1</v>
      </c>
      <c r="G13685" s="2" t="s">
        <v>9</v>
      </c>
    </row>
    <row r="13686" spans="1:9" x14ac:dyDescent="0.2">
      <c r="A13686" s="2" t="s">
        <v>3639</v>
      </c>
      <c r="B13686" s="2" t="s">
        <v>557</v>
      </c>
      <c r="C13686" s="2">
        <v>565.31619999999998</v>
      </c>
      <c r="D13686" s="2">
        <f>HYPERLINK("http://mcb-m6.bioreg.kyushu-u.ac.jp/M3/20110411/F50890/1379/1", 58.69)</f>
        <v>58.69</v>
      </c>
      <c r="E13686" s="2">
        <v>43.2</v>
      </c>
      <c r="F13686" s="2">
        <v>2</v>
      </c>
      <c r="G13686" s="2" t="s">
        <v>9</v>
      </c>
    </row>
    <row r="13687" spans="1:9" x14ac:dyDescent="0.2">
      <c r="A13687" s="2" t="s">
        <v>3639</v>
      </c>
      <c r="B13687" s="2" t="s">
        <v>557</v>
      </c>
      <c r="C13687" s="2">
        <v>564.96510000000001</v>
      </c>
      <c r="D13687" s="2">
        <f>HYPERLINK("http://mcb-m6.bioreg.kyushu-u.ac.jp/M3/20110411/F50897/1221/1", 43.35)</f>
        <v>43.35</v>
      </c>
      <c r="E13687" s="2">
        <v>30.14</v>
      </c>
      <c r="F13687" s="2">
        <v>2</v>
      </c>
      <c r="G13687" s="2" t="s">
        <v>10</v>
      </c>
    </row>
    <row r="13688" spans="1:9" x14ac:dyDescent="0.2">
      <c r="A13688" s="2" t="s">
        <v>3639</v>
      </c>
      <c r="B13688" s="2" t="s">
        <v>557</v>
      </c>
      <c r="C13688" s="2">
        <v>564.78859999999997</v>
      </c>
      <c r="D13688" s="2">
        <f>HYPERLINK("http://mcb-m6.bioreg.kyushu-u.ac.jp/M3/20110414/F50932/1832/1", 42.47)</f>
        <v>42.47</v>
      </c>
      <c r="E13688" s="2">
        <v>26.58</v>
      </c>
      <c r="F13688" s="2">
        <v>2</v>
      </c>
      <c r="G13688" s="2" t="s">
        <v>12</v>
      </c>
    </row>
    <row r="13689" spans="1:9" x14ac:dyDescent="0.2">
      <c r="A13689" s="2" t="s">
        <v>3825</v>
      </c>
      <c r="B13689" s="2" t="s">
        <v>897</v>
      </c>
      <c r="C13689" s="2">
        <v>640.34670000000006</v>
      </c>
      <c r="D13689" s="2">
        <f>HYPERLINK("http://mcb-m6.bioreg.kyushu-u.ac.jp/M3/20110411/F50890/1679/1", 54.9)</f>
        <v>54.9</v>
      </c>
      <c r="E13689" s="2">
        <v>33.33</v>
      </c>
      <c r="F13689" s="2">
        <v>2</v>
      </c>
      <c r="G13689" s="2" t="s">
        <v>9</v>
      </c>
    </row>
    <row r="13690" spans="1:9" x14ac:dyDescent="0.2">
      <c r="A13690" s="2" t="s">
        <v>3825</v>
      </c>
      <c r="B13690" s="2" t="s">
        <v>897</v>
      </c>
      <c r="C13690" s="2">
        <v>640.51620000000003</v>
      </c>
      <c r="D13690" s="2">
        <f>HYPERLINK("http://mcb-m6.bioreg.kyushu-u.ac.jp/M3/20110411/F50897/1498/1", 54.87)</f>
        <v>54.87</v>
      </c>
      <c r="E13690" s="2">
        <v>32.22</v>
      </c>
      <c r="F13690" s="2">
        <v>2</v>
      </c>
      <c r="G13690" s="2" t="s">
        <v>10</v>
      </c>
    </row>
    <row r="13691" spans="1:9" x14ac:dyDescent="0.2">
      <c r="A13691" s="2" t="s">
        <v>3825</v>
      </c>
      <c r="B13691" s="2" t="s">
        <v>897</v>
      </c>
      <c r="C13691" s="2">
        <v>640.55269999999996</v>
      </c>
      <c r="D13691" s="2">
        <f>HYPERLINK("http://mcb-m6.bioreg.kyushu-u.ac.jp/M3/20110502/F51177/1251/1", 74.99)</f>
        <v>74.989999999999995</v>
      </c>
      <c r="E13691" s="2">
        <v>55.41</v>
      </c>
      <c r="F13691" s="2">
        <v>2</v>
      </c>
      <c r="G13691" s="2" t="s">
        <v>14</v>
      </c>
    </row>
    <row r="13692" spans="1:9" x14ac:dyDescent="0.2">
      <c r="A13692" s="2" t="s">
        <v>3995</v>
      </c>
      <c r="B13692" s="2" t="s">
        <v>1279</v>
      </c>
      <c r="C13692" s="2">
        <v>756.80820000000006</v>
      </c>
      <c r="D13692" s="2">
        <f>HYPERLINK("http://mcb-m6.bioreg.kyushu-u.ac.jp/M3/20110411/F50890/2283/1", 70.24)</f>
        <v>70.239999999999995</v>
      </c>
      <c r="E13692" s="2">
        <v>56.53</v>
      </c>
      <c r="F13692" s="2">
        <v>2</v>
      </c>
      <c r="G13692" s="2" t="s">
        <v>9</v>
      </c>
      <c r="H13692" s="2" t="s">
        <v>4908</v>
      </c>
      <c r="I13692" s="2" t="s">
        <v>4914</v>
      </c>
    </row>
    <row r="13693" spans="1:9" x14ac:dyDescent="0.2">
      <c r="A13693" s="2" t="s">
        <v>3995</v>
      </c>
      <c r="B13693" s="2" t="s">
        <v>1279</v>
      </c>
      <c r="C13693" s="2">
        <v>748.80160000000001</v>
      </c>
      <c r="D13693" s="2">
        <f>HYPERLINK("http://mcb-m6.bioreg.kyushu-u.ac.jp/M3/20110411/F50890/2248/1", 75.16)</f>
        <v>75.16</v>
      </c>
      <c r="E13693" s="2">
        <v>15.19</v>
      </c>
      <c r="F13693" s="2">
        <v>2</v>
      </c>
      <c r="G13693" s="2" t="s">
        <v>9</v>
      </c>
      <c r="I13693" s="2" t="s">
        <v>4914</v>
      </c>
    </row>
    <row r="13694" spans="1:9" x14ac:dyDescent="0.2">
      <c r="A13694" s="2" t="s">
        <v>3995</v>
      </c>
      <c r="B13694" s="2" t="s">
        <v>1279</v>
      </c>
      <c r="C13694" s="2">
        <v>749.23109999999997</v>
      </c>
      <c r="D13694" s="2">
        <f>HYPERLINK("http://mcb-m6.bioreg.kyushu-u.ac.jp/M3/20110411/F50891/2157/1", 78.54)</f>
        <v>78.540000000000006</v>
      </c>
      <c r="E13694" s="2">
        <v>27.19</v>
      </c>
      <c r="F13694" s="2">
        <v>2</v>
      </c>
      <c r="G13694" s="2" t="s">
        <v>9</v>
      </c>
      <c r="I13694" s="2" t="s">
        <v>4914</v>
      </c>
    </row>
    <row r="13695" spans="1:9" x14ac:dyDescent="0.2">
      <c r="A13695" s="2" t="s">
        <v>3995</v>
      </c>
      <c r="B13695" s="2" t="s">
        <v>1279</v>
      </c>
      <c r="C13695" s="2">
        <v>756.9307</v>
      </c>
      <c r="D13695" s="2">
        <f>HYPERLINK("http://mcb-m6.bioreg.kyushu-u.ac.jp/M3/20110411/F50897/2065/1", 79.31)</f>
        <v>79.31</v>
      </c>
      <c r="E13695" s="2">
        <v>62.15</v>
      </c>
      <c r="F13695" s="2">
        <v>2</v>
      </c>
      <c r="G13695" s="2" t="s">
        <v>10</v>
      </c>
      <c r="H13695" s="2" t="s">
        <v>4908</v>
      </c>
      <c r="I13695" s="2" t="s">
        <v>4914</v>
      </c>
    </row>
    <row r="13696" spans="1:9" x14ac:dyDescent="0.2">
      <c r="A13696" s="2" t="s">
        <v>3995</v>
      </c>
      <c r="B13696" s="2" t="s">
        <v>1279</v>
      </c>
      <c r="C13696" s="2">
        <v>749.01210000000003</v>
      </c>
      <c r="D13696" s="2">
        <f>HYPERLINK("http://mcb-m6.bioreg.kyushu-u.ac.jp/M3/20110414/F50927/2349/1", 81.19)</f>
        <v>81.19</v>
      </c>
      <c r="E13696" s="2">
        <v>18.72</v>
      </c>
      <c r="F13696" s="2">
        <v>2</v>
      </c>
      <c r="G13696" s="2" t="s">
        <v>11</v>
      </c>
      <c r="I13696" s="2" t="s">
        <v>4914</v>
      </c>
    </row>
    <row r="13697" spans="1:9" x14ac:dyDescent="0.2">
      <c r="A13697" s="2" t="s">
        <v>3995</v>
      </c>
      <c r="B13697" s="2" t="s">
        <v>1279</v>
      </c>
      <c r="C13697" s="2">
        <v>748.98419999999999</v>
      </c>
      <c r="D13697" s="2">
        <f>HYPERLINK("http://mcb-m6.bioreg.kyushu-u.ac.jp/M3/20110502/F51177/1902/1", 60.77)</f>
        <v>60.77</v>
      </c>
      <c r="E13697" s="2">
        <v>6.89</v>
      </c>
      <c r="F13697" s="2">
        <v>2</v>
      </c>
      <c r="G13697" s="2" t="s">
        <v>14</v>
      </c>
      <c r="I13697" s="2" t="s">
        <v>4914</v>
      </c>
    </row>
    <row r="13698" spans="1:9" x14ac:dyDescent="0.2">
      <c r="A13698" s="2" t="s">
        <v>3587</v>
      </c>
      <c r="B13698" s="2" t="s">
        <v>470</v>
      </c>
      <c r="C13698" s="2">
        <v>761.40920000000006</v>
      </c>
      <c r="D13698" s="2">
        <f>HYPERLINK("http://mcb-m6.bioreg.kyushu-u.ac.jp/M3/20110411/F50890/2311/1", 42.55)</f>
        <v>42.55</v>
      </c>
      <c r="E13698" s="2">
        <v>30.72</v>
      </c>
      <c r="F13698" s="2">
        <v>2</v>
      </c>
      <c r="G13698" s="2" t="s">
        <v>9</v>
      </c>
    </row>
    <row r="13699" spans="1:9" x14ac:dyDescent="0.2">
      <c r="A13699" s="2" t="s">
        <v>3587</v>
      </c>
      <c r="B13699" s="2" t="s">
        <v>470</v>
      </c>
      <c r="C13699" s="2">
        <v>760.41359999999997</v>
      </c>
      <c r="D13699" s="2">
        <f>HYPERLINK("http://mcb-m6.bioreg.kyushu-u.ac.jp/M3/20110411/F50890/2304/1", 48.56)</f>
        <v>48.56</v>
      </c>
      <c r="E13699" s="2">
        <v>29.6</v>
      </c>
      <c r="F13699" s="2">
        <v>2</v>
      </c>
      <c r="G13699" s="2" t="s">
        <v>9</v>
      </c>
    </row>
    <row r="13700" spans="1:9" x14ac:dyDescent="0.2">
      <c r="A13700" s="2" t="s">
        <v>3587</v>
      </c>
      <c r="B13700" s="2" t="s">
        <v>470</v>
      </c>
      <c r="C13700" s="2">
        <v>761.03269999999998</v>
      </c>
      <c r="D13700" s="2">
        <f>HYPERLINK("http://mcb-m6.bioreg.kyushu-u.ac.jp/M3/20110411/F50891/2217/1", 57.67)</f>
        <v>57.67</v>
      </c>
      <c r="E13700" s="2">
        <v>40.36</v>
      </c>
      <c r="F13700" s="2">
        <v>2</v>
      </c>
      <c r="G13700" s="2" t="s">
        <v>9</v>
      </c>
    </row>
    <row r="13701" spans="1:9" x14ac:dyDescent="0.2">
      <c r="A13701" s="2" t="s">
        <v>3587</v>
      </c>
      <c r="B13701" s="2" t="s">
        <v>470</v>
      </c>
      <c r="C13701" s="2">
        <v>761.34810000000004</v>
      </c>
      <c r="D13701" s="2">
        <f>HYPERLINK("http://mcb-m6.bioreg.kyushu-u.ac.jp/M3/20110411/F50890/2310/1", 63.85)</f>
        <v>63.85</v>
      </c>
      <c r="E13701" s="2">
        <v>44.9</v>
      </c>
      <c r="F13701" s="2">
        <v>2</v>
      </c>
      <c r="G13701" s="2" t="s">
        <v>9</v>
      </c>
    </row>
    <row r="13702" spans="1:9" x14ac:dyDescent="0.2">
      <c r="A13702" s="2" t="s">
        <v>3587</v>
      </c>
      <c r="B13702" s="2" t="s">
        <v>470</v>
      </c>
      <c r="C13702" s="2">
        <v>761.44820000000004</v>
      </c>
      <c r="D13702" s="2">
        <f>HYPERLINK("http://mcb-m6.bioreg.kyushu-u.ac.jp/M3/20110411/F50897/2091/1", 46.22)</f>
        <v>46.22</v>
      </c>
      <c r="E13702" s="2">
        <v>28.65</v>
      </c>
      <c r="F13702" s="2">
        <v>2</v>
      </c>
      <c r="G13702" s="2" t="s">
        <v>10</v>
      </c>
    </row>
    <row r="13703" spans="1:9" x14ac:dyDescent="0.2">
      <c r="A13703" s="2" t="s">
        <v>3587</v>
      </c>
      <c r="B13703" s="2" t="s">
        <v>470</v>
      </c>
      <c r="C13703" s="2">
        <v>761.13019999999995</v>
      </c>
      <c r="D13703" s="2">
        <f>HYPERLINK("http://mcb-m6.bioreg.kyushu-u.ac.jp/M3/20110411/F50897/2088/1", 64.29)</f>
        <v>64.290000000000006</v>
      </c>
      <c r="E13703" s="2">
        <v>41.81</v>
      </c>
      <c r="F13703" s="2">
        <v>2</v>
      </c>
      <c r="G13703" s="2" t="s">
        <v>10</v>
      </c>
    </row>
    <row r="13704" spans="1:9" x14ac:dyDescent="0.2">
      <c r="A13704" s="2" t="s">
        <v>3587</v>
      </c>
      <c r="B13704" s="2" t="s">
        <v>470</v>
      </c>
      <c r="C13704" s="2">
        <v>761.04319999999996</v>
      </c>
      <c r="D13704" s="2">
        <f>HYPERLINK("http://mcb-m6.bioreg.kyushu-u.ac.jp/M3/20110411/F50897/2087/1", 67.02)</f>
        <v>67.02</v>
      </c>
      <c r="E13704" s="2">
        <v>46.27</v>
      </c>
      <c r="F13704" s="2">
        <v>2</v>
      </c>
      <c r="G13704" s="2" t="s">
        <v>10</v>
      </c>
    </row>
    <row r="13705" spans="1:9" x14ac:dyDescent="0.2">
      <c r="A13705" s="2" t="s">
        <v>3820</v>
      </c>
      <c r="B13705" s="2" t="s">
        <v>886</v>
      </c>
      <c r="C13705" s="2">
        <v>709.54380000000003</v>
      </c>
      <c r="D13705" s="2">
        <f>HYPERLINK("http://mcb-m6.bioreg.kyushu-u.ac.jp/M3/20110411/F50890/3477/1", 54.47)</f>
        <v>54.47</v>
      </c>
      <c r="E13705" s="2">
        <v>41.11</v>
      </c>
      <c r="F13705" s="2">
        <v>3</v>
      </c>
      <c r="G13705" s="2" t="s">
        <v>9</v>
      </c>
      <c r="H13705" s="2" t="s">
        <v>4891</v>
      </c>
    </row>
    <row r="13706" spans="1:9" x14ac:dyDescent="0.2">
      <c r="A13706" s="2" t="s">
        <v>3272</v>
      </c>
      <c r="B13706" s="2" t="s">
        <v>52</v>
      </c>
      <c r="C13706" s="2">
        <v>1133.5619999999999</v>
      </c>
      <c r="D13706" s="2">
        <f>HYPERLINK("http://mcb-m6.bioreg.kyushu-u.ac.jp/M3/20110411/F50890/1389/1", 35.5)</f>
        <v>35.5</v>
      </c>
      <c r="E13706" s="2">
        <v>22.51</v>
      </c>
      <c r="F13706" s="2">
        <v>1</v>
      </c>
      <c r="G13706" s="2" t="s">
        <v>9</v>
      </c>
    </row>
    <row r="13707" spans="1:9" x14ac:dyDescent="0.2">
      <c r="A13707" s="2" t="s">
        <v>3272</v>
      </c>
      <c r="B13707" s="2" t="s">
        <v>52</v>
      </c>
      <c r="C13707" s="2">
        <v>567.55470000000003</v>
      </c>
      <c r="D13707" s="2">
        <f>HYPERLINK("http://mcb-m6.bioreg.kyushu-u.ac.jp/M3/20110411/F50890/1390/1", 35.62)</f>
        <v>35.619999999999997</v>
      </c>
      <c r="E13707" s="2">
        <v>15.46</v>
      </c>
      <c r="F13707" s="2">
        <v>2</v>
      </c>
      <c r="G13707" s="2" t="s">
        <v>9</v>
      </c>
    </row>
    <row r="13708" spans="1:9" x14ac:dyDescent="0.2">
      <c r="A13708" s="2" t="s">
        <v>3272</v>
      </c>
      <c r="B13708" s="2" t="s">
        <v>52</v>
      </c>
      <c r="C13708" s="2">
        <v>1133.8130000000001</v>
      </c>
      <c r="D13708" s="2">
        <f>HYPERLINK("http://mcb-m6.bioreg.kyushu-u.ac.jp/M3/20110411/F50897/1230/1", 35.92)</f>
        <v>35.92</v>
      </c>
      <c r="E13708" s="2">
        <v>13.34</v>
      </c>
      <c r="F13708" s="2">
        <v>1</v>
      </c>
      <c r="G13708" s="2" t="s">
        <v>10</v>
      </c>
    </row>
    <row r="13709" spans="1:9" x14ac:dyDescent="0.2">
      <c r="A13709" s="2" t="s">
        <v>3272</v>
      </c>
      <c r="B13709" s="2" t="s">
        <v>52</v>
      </c>
      <c r="C13709" s="2">
        <v>567.56870000000004</v>
      </c>
      <c r="D13709" s="2">
        <f>HYPERLINK("http://mcb-m6.bioreg.kyushu-u.ac.jp/M3/20110502/F51168/1435/1", 39.91)</f>
        <v>39.909999999999997</v>
      </c>
      <c r="E13709" s="2">
        <v>8.66</v>
      </c>
      <c r="F13709" s="2">
        <v>2</v>
      </c>
      <c r="G13709" s="2" t="s">
        <v>13</v>
      </c>
    </row>
    <row r="13710" spans="1:9" x14ac:dyDescent="0.2">
      <c r="A13710" s="2" t="s">
        <v>3774</v>
      </c>
      <c r="B13710" s="2" t="s">
        <v>799</v>
      </c>
      <c r="C13710" s="2">
        <v>487.43810000000002</v>
      </c>
      <c r="D13710" s="2">
        <f>HYPERLINK("http://mcb-m6.bioreg.kyushu-u.ac.jp/M3/20110411/F50893/1242/1", 51.67)</f>
        <v>51.67</v>
      </c>
      <c r="E13710" s="2">
        <v>1.21</v>
      </c>
      <c r="F13710" s="2">
        <v>2</v>
      </c>
      <c r="G13710" s="2" t="s">
        <v>9</v>
      </c>
    </row>
    <row r="13711" spans="1:9" x14ac:dyDescent="0.2">
      <c r="A13711" s="2" t="s">
        <v>3774</v>
      </c>
      <c r="B13711" s="2" t="s">
        <v>799</v>
      </c>
      <c r="C13711" s="2">
        <v>487.45310000000001</v>
      </c>
      <c r="D13711" s="2">
        <f>HYPERLINK("http://mcb-m6.bioreg.kyushu-u.ac.jp/M3/20110411/F50911/933/1", 53.92)</f>
        <v>53.92</v>
      </c>
      <c r="E13711" s="2">
        <v>10.86</v>
      </c>
      <c r="F13711" s="2">
        <v>2</v>
      </c>
      <c r="G13711" s="2" t="s">
        <v>9</v>
      </c>
    </row>
    <row r="13712" spans="1:9" x14ac:dyDescent="0.2">
      <c r="A13712" s="2" t="s">
        <v>3774</v>
      </c>
      <c r="B13712" s="2" t="s">
        <v>799</v>
      </c>
      <c r="C13712" s="2">
        <v>487.49959999999999</v>
      </c>
      <c r="D13712" s="2">
        <f>HYPERLINK("http://mcb-m6.bioreg.kyushu-u.ac.jp/M3/20110411/F50912/1033/1", 37.74)</f>
        <v>37.74</v>
      </c>
      <c r="E13712" s="2">
        <v>9.66</v>
      </c>
      <c r="F13712" s="2">
        <v>2</v>
      </c>
      <c r="G13712" s="2" t="s">
        <v>10</v>
      </c>
    </row>
    <row r="13713" spans="1:9" x14ac:dyDescent="0.2">
      <c r="A13713" s="2" t="s">
        <v>3774</v>
      </c>
      <c r="B13713" s="2" t="s">
        <v>799</v>
      </c>
      <c r="C13713" s="2">
        <v>487.34809999999999</v>
      </c>
      <c r="D13713" s="2">
        <f>HYPERLINK("http://mcb-m6.bioreg.kyushu-u.ac.jp/M3/20110411/F50914/1011/1", 43.1)</f>
        <v>43.1</v>
      </c>
      <c r="E13713" s="2">
        <v>13.22</v>
      </c>
      <c r="F13713" s="2">
        <v>2</v>
      </c>
      <c r="G13713" s="2" t="s">
        <v>10</v>
      </c>
    </row>
    <row r="13714" spans="1:9" x14ac:dyDescent="0.2">
      <c r="A13714" s="2" t="s">
        <v>3774</v>
      </c>
      <c r="B13714" s="2" t="s">
        <v>799</v>
      </c>
      <c r="C13714" s="2">
        <v>487.81610000000001</v>
      </c>
      <c r="D13714" s="2">
        <f>HYPERLINK("http://mcb-m6.bioreg.kyushu-u.ac.jp/M3/20110411/F50920/666/1", 46.16)</f>
        <v>46.16</v>
      </c>
      <c r="E13714" s="2">
        <v>9.85</v>
      </c>
      <c r="F13714" s="2">
        <v>2</v>
      </c>
      <c r="G13714" s="2" t="s">
        <v>10</v>
      </c>
    </row>
    <row r="13715" spans="1:9" x14ac:dyDescent="0.2">
      <c r="A13715" s="2" t="s">
        <v>3774</v>
      </c>
      <c r="B13715" s="2" t="s">
        <v>799</v>
      </c>
      <c r="C13715" s="2">
        <v>487.39060000000001</v>
      </c>
      <c r="D13715" s="2">
        <f>HYPERLINK("http://mcb-m6.bioreg.kyushu-u.ac.jp/M3/20110411/F50913/981/1", 48.43)</f>
        <v>48.43</v>
      </c>
      <c r="E13715" s="2">
        <v>8.1199999999999992</v>
      </c>
      <c r="F13715" s="2">
        <v>2</v>
      </c>
      <c r="G13715" s="2" t="s">
        <v>10</v>
      </c>
    </row>
    <row r="13716" spans="1:9" x14ac:dyDescent="0.2">
      <c r="A13716" s="2" t="s">
        <v>3774</v>
      </c>
      <c r="B13716" s="2" t="s">
        <v>799</v>
      </c>
      <c r="C13716" s="2">
        <v>487.23660000000001</v>
      </c>
      <c r="D13716" s="2">
        <f>HYPERLINK("http://mcb-m6.bioreg.kyushu-u.ac.jp/M3/20110411/F50921/797/1", 57.58)</f>
        <v>57.58</v>
      </c>
      <c r="E13716" s="2">
        <v>3.1</v>
      </c>
      <c r="F13716" s="2">
        <v>2</v>
      </c>
      <c r="G13716" s="2" t="s">
        <v>10</v>
      </c>
    </row>
    <row r="13717" spans="1:9" x14ac:dyDescent="0.2">
      <c r="A13717" s="2" t="s">
        <v>4814</v>
      </c>
      <c r="B13717" s="2" t="s">
        <v>3065</v>
      </c>
      <c r="C13717" s="2">
        <v>587.02120000000002</v>
      </c>
      <c r="D13717" s="2">
        <f>HYPERLINK("http://mcb-m6.bioreg.kyushu-u.ac.jp/M3/20110502/F51177/1024/1", 41.33)</f>
        <v>41.33</v>
      </c>
      <c r="E13717" s="2">
        <v>22</v>
      </c>
      <c r="F13717" s="2">
        <v>2</v>
      </c>
      <c r="G13717" s="2" t="s">
        <v>14</v>
      </c>
    </row>
    <row r="13718" spans="1:9" x14ac:dyDescent="0.2">
      <c r="A13718" s="2" t="s">
        <v>3793</v>
      </c>
      <c r="B13718" s="2" t="s">
        <v>839</v>
      </c>
      <c r="C13718" s="2">
        <v>565.53060000000005</v>
      </c>
      <c r="D13718" s="2">
        <f>HYPERLINK("http://mcb-m6.bioreg.kyushu-u.ac.jp/M3/20110411/F50915/1020/1", 53.02)</f>
        <v>53.02</v>
      </c>
      <c r="E13718" s="2">
        <v>28.32</v>
      </c>
      <c r="F13718" s="2">
        <v>2</v>
      </c>
      <c r="G13718" s="2" t="s">
        <v>9</v>
      </c>
    </row>
    <row r="13719" spans="1:9" x14ac:dyDescent="0.2">
      <c r="A13719" s="2" t="s">
        <v>3793</v>
      </c>
      <c r="B13719" s="2" t="s">
        <v>856</v>
      </c>
      <c r="C13719" s="2">
        <v>493.39060000000001</v>
      </c>
      <c r="D13719" s="2">
        <f>HYPERLINK("http://mcb-m6.bioreg.kyushu-u.ac.jp/M3/20110411/F50915/722/1", 53.58)</f>
        <v>53.58</v>
      </c>
      <c r="E13719" s="2">
        <v>28.69</v>
      </c>
      <c r="F13719" s="2">
        <v>2</v>
      </c>
      <c r="G13719" s="2" t="s">
        <v>9</v>
      </c>
    </row>
    <row r="13720" spans="1:9" x14ac:dyDescent="0.2">
      <c r="A13720" s="2" t="s">
        <v>3793</v>
      </c>
      <c r="B13720" s="2" t="s">
        <v>1075</v>
      </c>
      <c r="C13720" s="2">
        <v>897.34619999999995</v>
      </c>
      <c r="D13720" s="2">
        <f>HYPERLINK("http://mcb-m6.bioreg.kyushu-u.ac.jp/M3/20110411/F50915/2817/1", 61.82)</f>
        <v>61.82</v>
      </c>
      <c r="E13720" s="2">
        <v>49.61</v>
      </c>
      <c r="F13720" s="2">
        <v>2</v>
      </c>
      <c r="G13720" s="2" t="s">
        <v>9</v>
      </c>
      <c r="I13720" s="2" t="s">
        <v>4909</v>
      </c>
    </row>
    <row r="13721" spans="1:9" x14ac:dyDescent="0.2">
      <c r="A13721" s="2" t="s">
        <v>3793</v>
      </c>
      <c r="B13721" s="2" t="s">
        <v>1903</v>
      </c>
      <c r="C13721" s="2">
        <v>788.44960000000003</v>
      </c>
      <c r="D13721" s="2">
        <f>HYPERLINK("http://mcb-m6.bioreg.kyushu-u.ac.jp/M3/20110411/F50917/2259/1", 48.21)</f>
        <v>48.21</v>
      </c>
      <c r="E13721" s="2">
        <v>33.28</v>
      </c>
      <c r="F13721" s="2">
        <v>2</v>
      </c>
      <c r="G13721" s="2" t="s">
        <v>10</v>
      </c>
    </row>
    <row r="13722" spans="1:9" x14ac:dyDescent="0.2">
      <c r="A13722" s="2" t="s">
        <v>3793</v>
      </c>
      <c r="B13722" s="2" t="s">
        <v>1075</v>
      </c>
      <c r="C13722" s="2">
        <v>897.52919999999995</v>
      </c>
      <c r="D13722" s="2">
        <f>HYPERLINK("http://mcb-m6.bioreg.kyushu-u.ac.jp/M3/20110411/F50917/2879/1", 55.17)</f>
        <v>55.17</v>
      </c>
      <c r="E13722" s="2">
        <v>38.83</v>
      </c>
      <c r="F13722" s="2">
        <v>2</v>
      </c>
      <c r="G13722" s="2" t="s">
        <v>10</v>
      </c>
      <c r="I13722" s="2" t="s">
        <v>4909</v>
      </c>
    </row>
    <row r="13723" spans="1:9" x14ac:dyDescent="0.2">
      <c r="A13723" s="2" t="s">
        <v>3793</v>
      </c>
      <c r="B13723" s="2" t="s">
        <v>839</v>
      </c>
      <c r="C13723" s="2">
        <v>565.49570000000006</v>
      </c>
      <c r="D13723" s="2">
        <f>HYPERLINK("http://mcb-m6.bioreg.kyushu-u.ac.jp/M3/20110411/F50917/1075/1", 66.31)</f>
        <v>66.31</v>
      </c>
      <c r="E13723" s="2">
        <v>40.4</v>
      </c>
      <c r="F13723" s="2">
        <v>2</v>
      </c>
      <c r="G13723" s="2" t="s">
        <v>10</v>
      </c>
    </row>
    <row r="13724" spans="1:9" x14ac:dyDescent="0.2">
      <c r="A13724" s="2" t="s">
        <v>3793</v>
      </c>
      <c r="B13724" s="2" t="s">
        <v>1903</v>
      </c>
      <c r="C13724" s="2">
        <v>787.88620000000003</v>
      </c>
      <c r="D13724" s="2">
        <f>HYPERLINK("http://mcb-m6.bioreg.kyushu-u.ac.jp/M3/20110411/F50917/2255/1", 66.7)</f>
        <v>66.7</v>
      </c>
      <c r="E13724" s="2">
        <v>52.67</v>
      </c>
      <c r="F13724" s="2">
        <v>2</v>
      </c>
      <c r="G13724" s="2" t="s">
        <v>10</v>
      </c>
    </row>
    <row r="13725" spans="1:9" x14ac:dyDescent="0.2">
      <c r="A13725" s="2" t="s">
        <v>3793</v>
      </c>
      <c r="B13725" s="2" t="s">
        <v>2239</v>
      </c>
      <c r="C13725" s="2">
        <v>1094.511</v>
      </c>
      <c r="D13725" s="2">
        <f>HYPERLINK("http://mcb-m6.bioreg.kyushu-u.ac.jp/M3/20110414/F50942/983/1", 39.02)</f>
        <v>39.020000000000003</v>
      </c>
      <c r="E13725" s="2">
        <v>29.05</v>
      </c>
      <c r="F13725" s="2">
        <v>1</v>
      </c>
      <c r="G13725" s="2" t="s">
        <v>11</v>
      </c>
      <c r="I13725" s="2" t="s">
        <v>4892</v>
      </c>
    </row>
    <row r="13726" spans="1:9" x14ac:dyDescent="0.2">
      <c r="A13726" s="2" t="s">
        <v>3793</v>
      </c>
      <c r="B13726" s="2" t="s">
        <v>856</v>
      </c>
      <c r="C13726" s="2">
        <v>493.78960000000001</v>
      </c>
      <c r="D13726" s="2">
        <f>HYPERLINK("http://mcb-m6.bioreg.kyushu-u.ac.jp/M3/20110414/F50942/813/1", 46.28)</f>
        <v>46.28</v>
      </c>
      <c r="E13726" s="2">
        <v>23.98</v>
      </c>
      <c r="F13726" s="2">
        <v>2</v>
      </c>
      <c r="G13726" s="2" t="s">
        <v>11</v>
      </c>
    </row>
    <row r="13727" spans="1:9" x14ac:dyDescent="0.2">
      <c r="A13727" s="2" t="s">
        <v>3793</v>
      </c>
      <c r="B13727" s="2" t="s">
        <v>1903</v>
      </c>
      <c r="C13727" s="2">
        <v>788.3492</v>
      </c>
      <c r="D13727" s="2">
        <f>HYPERLINK("http://mcb-m6.bioreg.kyushu-u.ac.jp/M3/20110414/F50942/2212/1", 47.95)</f>
        <v>47.95</v>
      </c>
      <c r="E13727" s="2">
        <v>31.9</v>
      </c>
      <c r="F13727" s="2">
        <v>2</v>
      </c>
      <c r="G13727" s="2" t="s">
        <v>11</v>
      </c>
    </row>
    <row r="13728" spans="1:9" x14ac:dyDescent="0.2">
      <c r="A13728" s="2" t="s">
        <v>3793</v>
      </c>
      <c r="B13728" s="2" t="s">
        <v>2239</v>
      </c>
      <c r="C13728" s="2">
        <v>548.20569999999998</v>
      </c>
      <c r="D13728" s="2">
        <f>HYPERLINK("http://mcb-m6.bioreg.kyushu-u.ac.jp/M3/20110414/F50942/984/1", 63.96)</f>
        <v>63.96</v>
      </c>
      <c r="E13728" s="2">
        <v>44.67</v>
      </c>
      <c r="F13728" s="2">
        <v>2</v>
      </c>
      <c r="G13728" s="2" t="s">
        <v>11</v>
      </c>
      <c r="I13728" s="2" t="s">
        <v>4892</v>
      </c>
    </row>
    <row r="13729" spans="1:9" x14ac:dyDescent="0.2">
      <c r="A13729" s="2" t="s">
        <v>3793</v>
      </c>
      <c r="B13729" s="2" t="s">
        <v>1075</v>
      </c>
      <c r="C13729" s="2">
        <v>897.3347</v>
      </c>
      <c r="D13729" s="2">
        <f>HYPERLINK("http://mcb-m6.bioreg.kyushu-u.ac.jp/M3/20110414/F50942/2861/1", 72.17)</f>
        <v>72.17</v>
      </c>
      <c r="E13729" s="2">
        <v>66.92</v>
      </c>
      <c r="F13729" s="2">
        <v>2</v>
      </c>
      <c r="G13729" s="2" t="s">
        <v>11</v>
      </c>
      <c r="I13729" s="2" t="s">
        <v>4909</v>
      </c>
    </row>
    <row r="13730" spans="1:9" x14ac:dyDescent="0.2">
      <c r="A13730" s="2" t="s">
        <v>3793</v>
      </c>
      <c r="B13730" s="2" t="s">
        <v>856</v>
      </c>
      <c r="C13730" s="2">
        <v>493.6431</v>
      </c>
      <c r="D13730" s="2">
        <f>HYPERLINK("http://mcb-m6.bioreg.kyushu-u.ac.jp/M3/20110414/F50948/789/1", 48.32)</f>
        <v>48.32</v>
      </c>
      <c r="E13730" s="2">
        <v>22.76</v>
      </c>
      <c r="F13730" s="2">
        <v>2</v>
      </c>
      <c r="G13730" s="2" t="s">
        <v>12</v>
      </c>
    </row>
    <row r="13731" spans="1:9" x14ac:dyDescent="0.2">
      <c r="A13731" s="2" t="s">
        <v>3793</v>
      </c>
      <c r="B13731" s="2" t="s">
        <v>2712</v>
      </c>
      <c r="C13731" s="2">
        <v>648.58069999999998</v>
      </c>
      <c r="D13731" s="2">
        <f>HYPERLINK("http://mcb-m6.bioreg.kyushu-u.ac.jp/M3/20110414/F50948/1487/1", 60.92)</f>
        <v>60.92</v>
      </c>
      <c r="E13731" s="2">
        <v>46.37</v>
      </c>
      <c r="F13731" s="2">
        <v>2</v>
      </c>
      <c r="G13731" s="2" t="s">
        <v>12</v>
      </c>
    </row>
    <row r="13732" spans="1:9" x14ac:dyDescent="0.2">
      <c r="A13732" s="2" t="s">
        <v>3793</v>
      </c>
      <c r="B13732" s="2" t="s">
        <v>856</v>
      </c>
      <c r="C13732" s="2">
        <v>493.2176</v>
      </c>
      <c r="D13732" s="2">
        <f>HYPERLINK("http://mcb-m6.bioreg.kyushu-u.ac.jp/M3/20110502/F51192/642/1", 37.9)</f>
        <v>37.9</v>
      </c>
      <c r="E13732" s="2">
        <v>15.79</v>
      </c>
      <c r="F13732" s="2">
        <v>2</v>
      </c>
      <c r="G13732" s="2" t="s">
        <v>14</v>
      </c>
    </row>
    <row r="13733" spans="1:9" x14ac:dyDescent="0.2">
      <c r="A13733" s="2" t="s">
        <v>3793</v>
      </c>
      <c r="B13733" s="2" t="s">
        <v>856</v>
      </c>
      <c r="C13733" s="2">
        <v>493.67959999999999</v>
      </c>
      <c r="D13733" s="2">
        <f>HYPERLINK("http://mcb-m6.bioreg.kyushu-u.ac.jp/M3/20110502/F51183/709/1", 52.53)</f>
        <v>52.53</v>
      </c>
      <c r="E13733" s="2">
        <v>15.92</v>
      </c>
      <c r="F13733" s="2">
        <v>2</v>
      </c>
      <c r="G13733" s="2" t="s">
        <v>14</v>
      </c>
    </row>
    <row r="13734" spans="1:9" x14ac:dyDescent="0.2">
      <c r="A13734" s="2" t="s">
        <v>3793</v>
      </c>
      <c r="B13734" s="2" t="s">
        <v>1903</v>
      </c>
      <c r="C13734" s="2">
        <v>787.97360000000003</v>
      </c>
      <c r="D13734" s="2">
        <f>HYPERLINK("http://mcb-m6.bioreg.kyushu-u.ac.jp/M3/20110502/F51192/2078/1", 65.77)</f>
        <v>65.77</v>
      </c>
      <c r="E13734" s="2">
        <v>48.89</v>
      </c>
      <c r="F13734" s="2">
        <v>2</v>
      </c>
      <c r="G13734" s="2" t="s">
        <v>14</v>
      </c>
    </row>
    <row r="13735" spans="1:9" x14ac:dyDescent="0.2">
      <c r="A13735" s="2" t="s">
        <v>4669</v>
      </c>
      <c r="B13735" s="2" t="s">
        <v>2835</v>
      </c>
      <c r="C13735" s="2">
        <v>583.54169999999999</v>
      </c>
      <c r="D13735" s="2">
        <f>HYPERLINK("http://mcb-m6.bioreg.kyushu-u.ac.jp/M3/20110502/F51165/1593/1", 37.91)</f>
        <v>37.909999999999997</v>
      </c>
      <c r="E13735" s="2">
        <v>12.29</v>
      </c>
      <c r="F13735" s="2">
        <v>2</v>
      </c>
      <c r="G13735" s="2" t="s">
        <v>13</v>
      </c>
    </row>
    <row r="13736" spans="1:9" x14ac:dyDescent="0.2">
      <c r="A13736" s="2" t="s">
        <v>3925</v>
      </c>
      <c r="B13736" s="2" t="s">
        <v>1102</v>
      </c>
      <c r="C13736" s="2">
        <v>699.37519999999995</v>
      </c>
      <c r="D13736" s="2">
        <f>HYPERLINK("http://mcb-m6.bioreg.kyushu-u.ac.jp/M3/20110411/F50915/1647/1", 63.16)</f>
        <v>63.16</v>
      </c>
      <c r="E13736" s="2">
        <v>42.6</v>
      </c>
      <c r="F13736" s="2">
        <v>2</v>
      </c>
      <c r="G13736" s="2" t="s">
        <v>9</v>
      </c>
    </row>
    <row r="13737" spans="1:9" x14ac:dyDescent="0.2">
      <c r="A13737" s="2" t="s">
        <v>3925</v>
      </c>
      <c r="B13737" s="2" t="s">
        <v>1102</v>
      </c>
      <c r="C13737" s="2">
        <v>698.93709999999999</v>
      </c>
      <c r="D13737" s="2">
        <f>HYPERLINK("http://mcb-m6.bioreg.kyushu-u.ac.jp/M3/20110411/F50917/1715/1", 77.63)</f>
        <v>77.63</v>
      </c>
      <c r="E13737" s="2">
        <v>50.17</v>
      </c>
      <c r="F13737" s="2">
        <v>2</v>
      </c>
      <c r="G13737" s="2" t="s">
        <v>10</v>
      </c>
    </row>
    <row r="13738" spans="1:9" x14ac:dyDescent="0.2">
      <c r="A13738" s="2" t="s">
        <v>3925</v>
      </c>
      <c r="B13738" s="2" t="s">
        <v>1102</v>
      </c>
      <c r="C13738" s="2">
        <v>699.26869999999997</v>
      </c>
      <c r="D13738" s="2">
        <f>HYPERLINK("http://mcb-m6.bioreg.kyushu-u.ac.jp/M3/20110414/F50956/1642/1", 59.38)</f>
        <v>59.38</v>
      </c>
      <c r="E13738" s="2">
        <v>37.26</v>
      </c>
      <c r="F13738" s="2">
        <v>2</v>
      </c>
      <c r="G13738" s="2" t="s">
        <v>11</v>
      </c>
    </row>
    <row r="13739" spans="1:9" x14ac:dyDescent="0.2">
      <c r="A13739" s="2" t="s">
        <v>3925</v>
      </c>
      <c r="B13739" s="2" t="s">
        <v>1102</v>
      </c>
      <c r="C13739" s="2">
        <v>698.59310000000005</v>
      </c>
      <c r="D13739" s="2">
        <f>HYPERLINK("http://mcb-m6.bioreg.kyushu-u.ac.jp/M3/20110414/F50956/1634/1", 70.7)</f>
        <v>70.7</v>
      </c>
      <c r="E13739" s="2">
        <v>41.05</v>
      </c>
      <c r="F13739" s="2">
        <v>2</v>
      </c>
      <c r="G13739" s="2" t="s">
        <v>11</v>
      </c>
    </row>
    <row r="13740" spans="1:9" x14ac:dyDescent="0.2">
      <c r="A13740" s="2" t="s">
        <v>3925</v>
      </c>
      <c r="B13740" s="2" t="s">
        <v>2634</v>
      </c>
      <c r="C13740" s="2">
        <v>597.66970000000003</v>
      </c>
      <c r="D13740" s="2">
        <f>HYPERLINK("http://mcb-m6.bioreg.kyushu-u.ac.jp/M3/20110414/F50958/1114/1", 44.91)</f>
        <v>44.91</v>
      </c>
      <c r="E13740" s="2">
        <v>20.82</v>
      </c>
      <c r="F13740" s="2">
        <v>2</v>
      </c>
      <c r="G13740" s="2" t="s">
        <v>12</v>
      </c>
      <c r="I13740" s="2" t="s">
        <v>4890</v>
      </c>
    </row>
    <row r="13741" spans="1:9" x14ac:dyDescent="0.2">
      <c r="A13741" s="2" t="s">
        <v>3925</v>
      </c>
      <c r="B13741" s="2" t="s">
        <v>1102</v>
      </c>
      <c r="C13741" s="2">
        <v>699.19169999999997</v>
      </c>
      <c r="D13741" s="2">
        <f>HYPERLINK("http://mcb-m6.bioreg.kyushu-u.ac.jp/M3/20110414/F50948/1805/1", 57.13)</f>
        <v>57.13</v>
      </c>
      <c r="E13741" s="2">
        <v>32.880000000000003</v>
      </c>
      <c r="F13741" s="2">
        <v>2</v>
      </c>
      <c r="G13741" s="2" t="s">
        <v>12</v>
      </c>
    </row>
    <row r="13742" spans="1:9" x14ac:dyDescent="0.2">
      <c r="A13742" s="2" t="s">
        <v>3925</v>
      </c>
      <c r="B13742" s="2" t="s">
        <v>1102</v>
      </c>
      <c r="C13742" s="2">
        <v>698.9366</v>
      </c>
      <c r="D13742" s="2">
        <f>HYPERLINK("http://mcb-m6.bioreg.kyushu-u.ac.jp/M3/20110502/F51188/1637/1", 52.5)</f>
        <v>52.5</v>
      </c>
      <c r="E13742" s="2">
        <v>27.77</v>
      </c>
      <c r="F13742" s="2">
        <v>2</v>
      </c>
      <c r="G13742" s="2" t="s">
        <v>13</v>
      </c>
    </row>
    <row r="13743" spans="1:9" x14ac:dyDescent="0.2">
      <c r="A13743" s="2" t="s">
        <v>3925</v>
      </c>
      <c r="B13743" s="2" t="s">
        <v>2634</v>
      </c>
      <c r="C13743" s="2">
        <v>598.30219999999997</v>
      </c>
      <c r="D13743" s="2">
        <f>HYPERLINK("http://mcb-m6.bioreg.kyushu-u.ac.jp/M3/20110502/F51192/1104/1", 39.25)</f>
        <v>39.25</v>
      </c>
      <c r="E13743" s="2">
        <v>16.690000000000001</v>
      </c>
      <c r="F13743" s="2">
        <v>2</v>
      </c>
      <c r="G13743" s="2" t="s">
        <v>14</v>
      </c>
      <c r="I13743" s="2" t="s">
        <v>4890</v>
      </c>
    </row>
    <row r="13744" spans="1:9" x14ac:dyDescent="0.2">
      <c r="A13744" s="2" t="s">
        <v>4170</v>
      </c>
      <c r="B13744" s="2" t="s">
        <v>1741</v>
      </c>
      <c r="C13744" s="2">
        <v>861.08810000000005</v>
      </c>
      <c r="D13744" s="2">
        <f>HYPERLINK("http://mcb-m6.bioreg.kyushu-u.ac.jp/M3/20110411/F50918/2445/1", 36.96)</f>
        <v>36.96</v>
      </c>
      <c r="E13744" s="2">
        <v>21.58</v>
      </c>
      <c r="F13744" s="2">
        <v>2</v>
      </c>
      <c r="G13744" s="2" t="s">
        <v>10</v>
      </c>
    </row>
    <row r="13745" spans="1:7" x14ac:dyDescent="0.2">
      <c r="A13745" s="2" t="s">
        <v>4170</v>
      </c>
      <c r="B13745" s="2" t="s">
        <v>2116</v>
      </c>
      <c r="C13745" s="2">
        <v>629.00519999999995</v>
      </c>
      <c r="D13745" s="2">
        <f>HYPERLINK("http://mcb-m6.bioreg.kyushu-u.ac.jp/M3/20110411/F50918/1293/1", 85.37)</f>
        <v>85.37</v>
      </c>
      <c r="E13745" s="2">
        <v>54.37</v>
      </c>
      <c r="F13745" s="2">
        <v>2</v>
      </c>
      <c r="G13745" s="2" t="s">
        <v>10</v>
      </c>
    </row>
    <row r="13746" spans="1:7" x14ac:dyDescent="0.2">
      <c r="A13746" s="2" t="s">
        <v>4170</v>
      </c>
      <c r="B13746" s="2" t="s">
        <v>2742</v>
      </c>
      <c r="C13746" s="2">
        <v>772.38959999999997</v>
      </c>
      <c r="D13746" s="2">
        <f>HYPERLINK("http://mcb-m6.bioreg.kyushu-u.ac.jp/M3/20110414/F50959/2093/1", 72.22)</f>
        <v>72.22</v>
      </c>
      <c r="E13746" s="2">
        <v>48.87</v>
      </c>
      <c r="F13746" s="2">
        <v>2</v>
      </c>
      <c r="G13746" s="2" t="s">
        <v>12</v>
      </c>
    </row>
    <row r="13747" spans="1:7" x14ac:dyDescent="0.2">
      <c r="A13747" s="2" t="s">
        <v>4170</v>
      </c>
      <c r="B13747" s="2" t="s">
        <v>2746</v>
      </c>
      <c r="C13747" s="2">
        <v>742.4941</v>
      </c>
      <c r="D13747" s="2">
        <f>HYPERLINK("http://mcb-m6.bioreg.kyushu-u.ac.jp/M3/20110414/F50959/1898/1", 74.01)</f>
        <v>74.010000000000005</v>
      </c>
      <c r="E13747" s="2">
        <v>40.03</v>
      </c>
      <c r="F13747" s="2">
        <v>2</v>
      </c>
      <c r="G13747" s="2" t="s">
        <v>12</v>
      </c>
    </row>
    <row r="13748" spans="1:7" x14ac:dyDescent="0.2">
      <c r="A13748" s="2" t="s">
        <v>4170</v>
      </c>
      <c r="B13748" s="2" t="s">
        <v>2970</v>
      </c>
      <c r="C13748" s="2">
        <v>691.48360000000002</v>
      </c>
      <c r="D13748" s="2">
        <f>HYPERLINK("http://mcb-m6.bioreg.kyushu-u.ac.jp/M3/20110502/F51184/1531/1", 35.65)</f>
        <v>35.65</v>
      </c>
      <c r="E13748" s="2">
        <v>24.91</v>
      </c>
      <c r="F13748" s="2">
        <v>2</v>
      </c>
      <c r="G13748" s="2" t="s">
        <v>14</v>
      </c>
    </row>
    <row r="13749" spans="1:7" x14ac:dyDescent="0.2">
      <c r="A13749" s="2" t="s">
        <v>4170</v>
      </c>
      <c r="B13749" s="2" t="s">
        <v>2970</v>
      </c>
      <c r="C13749" s="2">
        <v>691.30470000000003</v>
      </c>
      <c r="D13749" s="2">
        <f>HYPERLINK("http://mcb-m6.bioreg.kyushu-u.ac.jp/M3/20110502/F51194/1534/1", 43.2)</f>
        <v>43.2</v>
      </c>
      <c r="E13749" s="2">
        <v>25.36</v>
      </c>
      <c r="F13749" s="2">
        <v>2</v>
      </c>
      <c r="G13749" s="2" t="s">
        <v>14</v>
      </c>
    </row>
    <row r="13750" spans="1:7" x14ac:dyDescent="0.2">
      <c r="A13750" s="2" t="s">
        <v>3806</v>
      </c>
      <c r="B13750" s="2" t="s">
        <v>863</v>
      </c>
      <c r="C13750" s="2">
        <v>700.48170000000005</v>
      </c>
      <c r="D13750" s="2">
        <f>HYPERLINK("http://mcb-m6.bioreg.kyushu-u.ac.jp/M3/20110411/F50889/2112/1", 53.84)</f>
        <v>53.84</v>
      </c>
      <c r="E13750" s="2">
        <v>41.61</v>
      </c>
      <c r="F13750" s="2">
        <v>2</v>
      </c>
      <c r="G13750" s="2" t="s">
        <v>9</v>
      </c>
    </row>
    <row r="13751" spans="1:7" x14ac:dyDescent="0.2">
      <c r="A13751" s="2" t="s">
        <v>3806</v>
      </c>
      <c r="B13751" s="2" t="s">
        <v>2292</v>
      </c>
      <c r="C13751" s="2">
        <v>636.56820000000005</v>
      </c>
      <c r="D13751" s="2">
        <f>HYPERLINK("http://mcb-m6.bioreg.kyushu-u.ac.jp/M3/20110414/F50926/1894/1", 43.7)</f>
        <v>43.7</v>
      </c>
      <c r="E13751" s="2">
        <v>24.71</v>
      </c>
      <c r="F13751" s="2">
        <v>2</v>
      </c>
      <c r="G13751" s="2" t="s">
        <v>11</v>
      </c>
    </row>
    <row r="13752" spans="1:7" x14ac:dyDescent="0.2">
      <c r="A13752" s="2" t="s">
        <v>4697</v>
      </c>
      <c r="B13752" s="2" t="s">
        <v>2873</v>
      </c>
      <c r="C13752" s="2">
        <v>460.97210000000001</v>
      </c>
      <c r="D13752" s="2">
        <f>HYPERLINK("http://mcb-m6.bioreg.kyushu-u.ac.jp/M3/20110502/F51167/1349/1", 40.64)</f>
        <v>40.64</v>
      </c>
      <c r="E13752" s="2">
        <v>16.100000000000001</v>
      </c>
      <c r="F13752" s="2">
        <v>2</v>
      </c>
      <c r="G13752" s="2" t="s">
        <v>13</v>
      </c>
    </row>
    <row r="13753" spans="1:7" x14ac:dyDescent="0.2">
      <c r="A13753" s="2" t="s">
        <v>3636</v>
      </c>
      <c r="B13753" s="2" t="s">
        <v>554</v>
      </c>
      <c r="C13753" s="2">
        <v>468.11709999999999</v>
      </c>
      <c r="D13753" s="2">
        <f>HYPERLINK("http://mcb-m6.bioreg.kyushu-u.ac.jp/M3/20110411/F50889/1392/1", 44.7)</f>
        <v>44.7</v>
      </c>
      <c r="E13753" s="2">
        <v>14.46</v>
      </c>
      <c r="F13753" s="2">
        <v>2</v>
      </c>
      <c r="G13753" s="2" t="s">
        <v>9</v>
      </c>
    </row>
    <row r="13754" spans="1:7" x14ac:dyDescent="0.2">
      <c r="A13754" s="2" t="s">
        <v>3636</v>
      </c>
      <c r="B13754" s="2" t="s">
        <v>800</v>
      </c>
      <c r="C13754" s="2">
        <v>461.17360000000002</v>
      </c>
      <c r="D13754" s="2">
        <f>HYPERLINK("http://mcb-m6.bioreg.kyushu-u.ac.jp/M3/20110411/F50889/1360/1", 51.73)</f>
        <v>51.73</v>
      </c>
      <c r="E13754" s="2">
        <v>16.18</v>
      </c>
      <c r="F13754" s="2">
        <v>2</v>
      </c>
      <c r="G13754" s="2" t="s">
        <v>9</v>
      </c>
    </row>
    <row r="13755" spans="1:7" x14ac:dyDescent="0.2">
      <c r="A13755" s="2" t="s">
        <v>3636</v>
      </c>
      <c r="B13755" s="2" t="s">
        <v>800</v>
      </c>
      <c r="C13755" s="2">
        <v>921.48699999999997</v>
      </c>
      <c r="D13755" s="2">
        <f>HYPERLINK("http://mcb-m6.bioreg.kyushu-u.ac.jp/M3/20110411/F50889/1361/1", 53.1)</f>
        <v>53.1</v>
      </c>
      <c r="E13755" s="2">
        <v>22.19</v>
      </c>
      <c r="F13755" s="2">
        <v>1</v>
      </c>
      <c r="G13755" s="2" t="s">
        <v>9</v>
      </c>
    </row>
    <row r="13756" spans="1:7" x14ac:dyDescent="0.2">
      <c r="A13756" s="2" t="s">
        <v>3636</v>
      </c>
      <c r="B13756" s="2" t="s">
        <v>1039</v>
      </c>
      <c r="C13756" s="2">
        <v>594.92859999999996</v>
      </c>
      <c r="D13756" s="2">
        <f>HYPERLINK("http://mcb-m6.bioreg.kyushu-u.ac.jp/M3/20110411/F50889/1837/1", 59.93)</f>
        <v>59.93</v>
      </c>
      <c r="E13756" s="2">
        <v>35.97</v>
      </c>
      <c r="F13756" s="2">
        <v>2</v>
      </c>
      <c r="G13756" s="2" t="s">
        <v>9</v>
      </c>
    </row>
    <row r="13757" spans="1:7" x14ac:dyDescent="0.2">
      <c r="A13757" s="2" t="s">
        <v>3636</v>
      </c>
      <c r="B13757" s="2" t="s">
        <v>1183</v>
      </c>
      <c r="C13757" s="2">
        <v>597.11159999999995</v>
      </c>
      <c r="D13757" s="2">
        <f>HYPERLINK("http://mcb-m6.bioreg.kyushu-u.ac.jp/M3/20110411/F50889/1843/1", 66.33)</f>
        <v>66.33</v>
      </c>
      <c r="E13757" s="2">
        <v>28.69</v>
      </c>
      <c r="F13757" s="2">
        <v>2</v>
      </c>
      <c r="G13757" s="2" t="s">
        <v>9</v>
      </c>
    </row>
    <row r="13758" spans="1:7" x14ac:dyDescent="0.2">
      <c r="A13758" s="2" t="s">
        <v>3636</v>
      </c>
      <c r="B13758" s="2" t="s">
        <v>1397</v>
      </c>
      <c r="C13758" s="2">
        <v>516.74019999999996</v>
      </c>
      <c r="D13758" s="2">
        <f>HYPERLINK("http://mcb-m6.bioreg.kyushu-u.ac.jp/M3/20110411/F50889/1586/1", 77.8)</f>
        <v>77.8</v>
      </c>
      <c r="E13758" s="2">
        <v>37.03</v>
      </c>
      <c r="F13758" s="2">
        <v>2</v>
      </c>
      <c r="G13758" s="2" t="s">
        <v>9</v>
      </c>
    </row>
    <row r="13759" spans="1:7" x14ac:dyDescent="0.2">
      <c r="A13759" s="2" t="s">
        <v>3636</v>
      </c>
      <c r="B13759" s="2" t="s">
        <v>1397</v>
      </c>
      <c r="C13759" s="2">
        <v>516.79470000000003</v>
      </c>
      <c r="D13759" s="2">
        <f>HYPERLINK("http://mcb-m6.bioreg.kyushu-u.ac.jp/M3/20110414/F50926/1516/1", 36.67)</f>
        <v>36.67</v>
      </c>
      <c r="E13759" s="2">
        <v>12.82</v>
      </c>
      <c r="F13759" s="2">
        <v>2</v>
      </c>
      <c r="G13759" s="2" t="s">
        <v>11</v>
      </c>
    </row>
    <row r="13760" spans="1:7" x14ac:dyDescent="0.2">
      <c r="A13760" s="2" t="s">
        <v>3636</v>
      </c>
      <c r="B13760" s="2" t="s">
        <v>1397</v>
      </c>
      <c r="C13760" s="2">
        <v>517.15060000000005</v>
      </c>
      <c r="D13760" s="2">
        <f>HYPERLINK("http://mcb-m6.bioreg.kyushu-u.ac.jp/M3/20110414/F50926/1517/1", 38.67)</f>
        <v>38.67</v>
      </c>
      <c r="E13760" s="2">
        <v>12.36</v>
      </c>
      <c r="F13760" s="2">
        <v>2</v>
      </c>
      <c r="G13760" s="2" t="s">
        <v>11</v>
      </c>
    </row>
    <row r="13761" spans="1:9" x14ac:dyDescent="0.2">
      <c r="A13761" s="2" t="s">
        <v>4033</v>
      </c>
      <c r="B13761" s="2" t="s">
        <v>1360</v>
      </c>
      <c r="C13761" s="2">
        <v>740.12159999999994</v>
      </c>
      <c r="D13761" s="2">
        <f>HYPERLINK("http://mcb-m6.bioreg.kyushu-u.ac.jp/M3/20110411/F50889/2242/1", 75.26)</f>
        <v>75.260000000000005</v>
      </c>
      <c r="E13761" s="2">
        <v>56.06</v>
      </c>
      <c r="F13761" s="2">
        <v>2</v>
      </c>
      <c r="G13761" s="2" t="s">
        <v>9</v>
      </c>
    </row>
    <row r="13762" spans="1:9" x14ac:dyDescent="0.2">
      <c r="A13762" s="2" t="s">
        <v>4033</v>
      </c>
      <c r="B13762" s="2" t="s">
        <v>1854</v>
      </c>
      <c r="C13762" s="2">
        <v>1101.4839999999999</v>
      </c>
      <c r="D13762" s="2">
        <f>HYPERLINK("http://mcb-m6.bioreg.kyushu-u.ac.jp/M3/20110411/F50897/3388/1", 44.58)</f>
        <v>44.58</v>
      </c>
      <c r="E13762" s="2">
        <v>31.37</v>
      </c>
      <c r="F13762" s="2">
        <v>2</v>
      </c>
      <c r="G13762" s="2" t="s">
        <v>10</v>
      </c>
    </row>
    <row r="13763" spans="1:9" x14ac:dyDescent="0.2">
      <c r="A13763" s="2" t="s">
        <v>4033</v>
      </c>
      <c r="B13763" s="2" t="s">
        <v>1360</v>
      </c>
      <c r="C13763" s="2">
        <v>740.04319999999996</v>
      </c>
      <c r="D13763" s="2">
        <f>HYPERLINK("http://mcb-m6.bioreg.kyushu-u.ac.jp/M3/20110414/F50927/2288/1", 104.88)</f>
        <v>104.88</v>
      </c>
      <c r="E13763" s="2">
        <v>85.49</v>
      </c>
      <c r="F13763" s="2">
        <v>2</v>
      </c>
      <c r="G13763" s="2" t="s">
        <v>11</v>
      </c>
    </row>
    <row r="13764" spans="1:9" x14ac:dyDescent="0.2">
      <c r="A13764" s="2" t="s">
        <v>3331</v>
      </c>
      <c r="B13764" s="2" t="s">
        <v>119</v>
      </c>
      <c r="C13764" s="2">
        <v>587.82479999999998</v>
      </c>
      <c r="D13764" s="2">
        <f>HYPERLINK("http://mcb-m6.bioreg.kyushu-u.ac.jp/M3/20110411/F50911/2845/1", 36.3)</f>
        <v>36.299999999999997</v>
      </c>
      <c r="E13764" s="2">
        <v>18.39</v>
      </c>
      <c r="F13764" s="2">
        <v>3</v>
      </c>
      <c r="G13764" s="2" t="s">
        <v>9</v>
      </c>
    </row>
    <row r="13765" spans="1:9" x14ac:dyDescent="0.2">
      <c r="A13765" s="2" t="s">
        <v>3331</v>
      </c>
      <c r="B13765" s="2" t="s">
        <v>844</v>
      </c>
      <c r="C13765" s="2">
        <v>460.90210000000002</v>
      </c>
      <c r="D13765" s="2">
        <f>HYPERLINK("http://mcb-m6.bioreg.kyushu-u.ac.jp/M3/20110411/F50911/827/1", 53.2)</f>
        <v>53.2</v>
      </c>
      <c r="E13765" s="2">
        <v>30.13</v>
      </c>
      <c r="F13765" s="2">
        <v>2</v>
      </c>
      <c r="G13765" s="2" t="s">
        <v>9</v>
      </c>
      <c r="I13765" s="2" t="s">
        <v>4892</v>
      </c>
    </row>
    <row r="13766" spans="1:9" x14ac:dyDescent="0.2">
      <c r="A13766" s="2" t="s">
        <v>3331</v>
      </c>
      <c r="B13766" s="2" t="s">
        <v>1232</v>
      </c>
      <c r="C13766" s="2">
        <v>895.8922</v>
      </c>
      <c r="D13766" s="2">
        <f>HYPERLINK("http://mcb-m6.bioreg.kyushu-u.ac.jp/M3/20110411/F50911/2923/1", 68.2)</f>
        <v>68.2</v>
      </c>
      <c r="E13766" s="2">
        <v>50.78</v>
      </c>
      <c r="F13766" s="2">
        <v>2</v>
      </c>
      <c r="G13766" s="2" t="s">
        <v>9</v>
      </c>
      <c r="H13766" s="2" t="s">
        <v>4891</v>
      </c>
    </row>
    <row r="13767" spans="1:9" x14ac:dyDescent="0.2">
      <c r="A13767" s="2" t="s">
        <v>3331</v>
      </c>
      <c r="B13767" s="2" t="s">
        <v>1289</v>
      </c>
      <c r="C13767" s="2">
        <v>853.17520000000002</v>
      </c>
      <c r="D13767" s="2">
        <f>HYPERLINK("http://mcb-m6.bioreg.kyushu-u.ac.jp/M3/20110411/F50911/2687/1", 70.83)</f>
        <v>70.83</v>
      </c>
      <c r="E13767" s="2">
        <v>44.43</v>
      </c>
      <c r="F13767" s="2">
        <v>2</v>
      </c>
      <c r="G13767" s="2" t="s">
        <v>9</v>
      </c>
    </row>
    <row r="13768" spans="1:9" x14ac:dyDescent="0.2">
      <c r="A13768" s="2" t="s">
        <v>3331</v>
      </c>
      <c r="B13768" s="2" t="s">
        <v>119</v>
      </c>
      <c r="C13768" s="2">
        <v>881.1182</v>
      </c>
      <c r="D13768" s="2">
        <f>HYPERLINK("http://mcb-m6.bioreg.kyushu-u.ac.jp/M3/20110411/F50911/2844/1", 98.35)</f>
        <v>98.35</v>
      </c>
      <c r="E13768" s="2">
        <v>78.42</v>
      </c>
      <c r="F13768" s="2">
        <v>2</v>
      </c>
      <c r="G13768" s="2" t="s">
        <v>9</v>
      </c>
    </row>
    <row r="13769" spans="1:9" x14ac:dyDescent="0.2">
      <c r="A13769" s="2" t="s">
        <v>3331</v>
      </c>
      <c r="B13769" s="2" t="s">
        <v>1232</v>
      </c>
      <c r="C13769" s="2">
        <v>887.53719999999998</v>
      </c>
      <c r="D13769" s="2">
        <f>HYPERLINK("http://mcb-m6.bioreg.kyushu-u.ac.jp/M3/20110411/F50911/2884/1", 102.2)</f>
        <v>102.2</v>
      </c>
      <c r="E13769" s="2">
        <v>82.87</v>
      </c>
      <c r="F13769" s="2">
        <v>2</v>
      </c>
      <c r="G13769" s="2" t="s">
        <v>9</v>
      </c>
    </row>
    <row r="13770" spans="1:9" x14ac:dyDescent="0.2">
      <c r="A13770" s="2" t="s">
        <v>3331</v>
      </c>
      <c r="B13770" s="2" t="s">
        <v>119</v>
      </c>
      <c r="C13770" s="2">
        <v>872.65419999999995</v>
      </c>
      <c r="D13770" s="2">
        <f>HYPERLINK("http://mcb-m6.bioreg.kyushu-u.ac.jp/M3/20110411/F50911/2796/1", 115.07)</f>
        <v>115.07</v>
      </c>
      <c r="E13770" s="2">
        <v>94.54</v>
      </c>
      <c r="F13770" s="2">
        <v>2</v>
      </c>
      <c r="G13770" s="2" t="s">
        <v>9</v>
      </c>
      <c r="H13770" s="2" t="s">
        <v>4904</v>
      </c>
    </row>
    <row r="13771" spans="1:9" x14ac:dyDescent="0.2">
      <c r="A13771" s="2" t="s">
        <v>3331</v>
      </c>
      <c r="B13771" s="2" t="s">
        <v>1742</v>
      </c>
      <c r="C13771" s="2">
        <v>607.40120000000002</v>
      </c>
      <c r="D13771" s="2">
        <f>HYPERLINK("http://mcb-m6.bioreg.kyushu-u.ac.jp/M3/20110411/F50914/1497/1", 37.18)</f>
        <v>37.18</v>
      </c>
      <c r="E13771" s="2">
        <v>22.27</v>
      </c>
      <c r="F13771" s="2">
        <v>2</v>
      </c>
      <c r="G13771" s="2" t="s">
        <v>10</v>
      </c>
      <c r="H13771" s="2" t="s">
        <v>4891</v>
      </c>
    </row>
    <row r="13772" spans="1:9" x14ac:dyDescent="0.2">
      <c r="A13772" s="2" t="s">
        <v>3331</v>
      </c>
      <c r="B13772" s="2" t="s">
        <v>1771</v>
      </c>
      <c r="C13772" s="2">
        <v>995.43</v>
      </c>
      <c r="D13772" s="2">
        <f>HYPERLINK("http://mcb-m6.bioreg.kyushu-u.ac.jp/M3/20110411/F50914/1038/1", 38.47)</f>
        <v>38.47</v>
      </c>
      <c r="E13772" s="2">
        <v>20.55</v>
      </c>
      <c r="F13772" s="2">
        <v>1</v>
      </c>
      <c r="G13772" s="2" t="s">
        <v>10</v>
      </c>
    </row>
    <row r="13773" spans="1:9" x14ac:dyDescent="0.2">
      <c r="A13773" s="2" t="s">
        <v>3331</v>
      </c>
      <c r="B13773" s="2" t="s">
        <v>1232</v>
      </c>
      <c r="C13773" s="2">
        <v>887.29470000000003</v>
      </c>
      <c r="D13773" s="2">
        <f>HYPERLINK("http://mcb-m6.bioreg.kyushu-u.ac.jp/M3/20110411/F50913/2713/1", 50.46)</f>
        <v>50.46</v>
      </c>
      <c r="E13773" s="2">
        <v>41.44</v>
      </c>
      <c r="F13773" s="2">
        <v>2</v>
      </c>
      <c r="G13773" s="2" t="s">
        <v>10</v>
      </c>
    </row>
    <row r="13774" spans="1:9" x14ac:dyDescent="0.2">
      <c r="A13774" s="2" t="s">
        <v>3331</v>
      </c>
      <c r="B13774" s="2" t="s">
        <v>119</v>
      </c>
      <c r="C13774" s="2">
        <v>881.55870000000004</v>
      </c>
      <c r="D13774" s="2">
        <f>HYPERLINK("http://mcb-m6.bioreg.kyushu-u.ac.jp/M3/20110411/F50914/2733/1", 63.55)</f>
        <v>63.55</v>
      </c>
      <c r="E13774" s="2">
        <v>35.17</v>
      </c>
      <c r="F13774" s="2">
        <v>2</v>
      </c>
      <c r="G13774" s="2" t="s">
        <v>10</v>
      </c>
    </row>
    <row r="13775" spans="1:9" x14ac:dyDescent="0.2">
      <c r="A13775" s="2" t="s">
        <v>3331</v>
      </c>
      <c r="B13775" s="2" t="s">
        <v>1289</v>
      </c>
      <c r="C13775" s="2">
        <v>853.05909999999994</v>
      </c>
      <c r="D13775" s="2">
        <f>HYPERLINK("http://mcb-m6.bioreg.kyushu-u.ac.jp/M3/20110411/F50914/2599/1", 69.48)</f>
        <v>69.48</v>
      </c>
      <c r="E13775" s="2">
        <v>46.93</v>
      </c>
      <c r="F13775" s="2">
        <v>2</v>
      </c>
      <c r="G13775" s="2" t="s">
        <v>10</v>
      </c>
    </row>
    <row r="13776" spans="1:9" x14ac:dyDescent="0.2">
      <c r="A13776" s="2" t="s">
        <v>3331</v>
      </c>
      <c r="B13776" s="2" t="s">
        <v>2055</v>
      </c>
      <c r="C13776" s="2">
        <v>758.45619999999997</v>
      </c>
      <c r="D13776" s="2">
        <f>HYPERLINK("http://mcb-m6.bioreg.kyushu-u.ac.jp/M3/20110411/F50914/2173/1", 69.78)</f>
        <v>69.78</v>
      </c>
      <c r="E13776" s="2">
        <v>43.17</v>
      </c>
      <c r="F13776" s="2">
        <v>2</v>
      </c>
      <c r="G13776" s="2" t="s">
        <v>10</v>
      </c>
    </row>
    <row r="13777" spans="1:8" x14ac:dyDescent="0.2">
      <c r="A13777" s="2" t="s">
        <v>3331</v>
      </c>
      <c r="B13777" s="2" t="s">
        <v>1232</v>
      </c>
      <c r="C13777" s="2">
        <v>895.34720000000004</v>
      </c>
      <c r="D13777" s="2">
        <f>HYPERLINK("http://mcb-m6.bioreg.kyushu-u.ac.jp/M3/20110411/F50914/2812/1", 80.12)</f>
        <v>80.12</v>
      </c>
      <c r="E13777" s="2">
        <v>63.1</v>
      </c>
      <c r="F13777" s="2">
        <v>2</v>
      </c>
      <c r="G13777" s="2" t="s">
        <v>10</v>
      </c>
      <c r="H13777" s="2" t="s">
        <v>4891</v>
      </c>
    </row>
    <row r="13778" spans="1:8" x14ac:dyDescent="0.2">
      <c r="A13778" s="2" t="s">
        <v>3331</v>
      </c>
      <c r="B13778" s="2" t="s">
        <v>1232</v>
      </c>
      <c r="C13778" s="2">
        <v>887.93870000000004</v>
      </c>
      <c r="D13778" s="2">
        <f>HYPERLINK("http://mcb-m6.bioreg.kyushu-u.ac.jp/M3/20110411/F50913/2715/1", 81.18)</f>
        <v>81.180000000000007</v>
      </c>
      <c r="E13778" s="2">
        <v>72.25</v>
      </c>
      <c r="F13778" s="2">
        <v>2</v>
      </c>
      <c r="G13778" s="2" t="s">
        <v>10</v>
      </c>
    </row>
    <row r="13779" spans="1:8" x14ac:dyDescent="0.2">
      <c r="A13779" s="2" t="s">
        <v>3331</v>
      </c>
      <c r="B13779" s="2" t="s">
        <v>1232</v>
      </c>
      <c r="C13779" s="2">
        <v>887.49019999999996</v>
      </c>
      <c r="D13779" s="2">
        <f>HYPERLINK("http://mcb-m6.bioreg.kyushu-u.ac.jp/M3/20110411/F50914/2765/1", 86.34)</f>
        <v>86.34</v>
      </c>
      <c r="E13779" s="2">
        <v>72.55</v>
      </c>
      <c r="F13779" s="2">
        <v>2</v>
      </c>
      <c r="G13779" s="2" t="s">
        <v>10</v>
      </c>
    </row>
    <row r="13780" spans="1:8" x14ac:dyDescent="0.2">
      <c r="A13780" s="2" t="s">
        <v>3331</v>
      </c>
      <c r="B13780" s="2" t="s">
        <v>119</v>
      </c>
      <c r="C13780" s="2">
        <v>881.12919999999997</v>
      </c>
      <c r="D13780" s="2">
        <f>HYPERLINK("http://mcb-m6.bioreg.kyushu-u.ac.jp/M3/20110411/F50913/2690/1", 90.64)</f>
        <v>90.64</v>
      </c>
      <c r="E13780" s="2">
        <v>67.62</v>
      </c>
      <c r="F13780" s="2">
        <v>2</v>
      </c>
      <c r="G13780" s="2" t="s">
        <v>10</v>
      </c>
    </row>
    <row r="13781" spans="1:8" x14ac:dyDescent="0.2">
      <c r="A13781" s="2" t="s">
        <v>3331</v>
      </c>
      <c r="B13781" s="2" t="s">
        <v>119</v>
      </c>
      <c r="C13781" s="2">
        <v>881.03920000000005</v>
      </c>
      <c r="D13781" s="2">
        <f>HYPERLINK("http://mcb-m6.bioreg.kyushu-u.ac.jp/M3/20110411/F50914/2729/1", 98.1)</f>
        <v>98.1</v>
      </c>
      <c r="E13781" s="2">
        <v>82.43</v>
      </c>
      <c r="F13781" s="2">
        <v>2</v>
      </c>
      <c r="G13781" s="2" t="s">
        <v>10</v>
      </c>
    </row>
    <row r="13782" spans="1:8" x14ac:dyDescent="0.2">
      <c r="A13782" s="2" t="s">
        <v>3331</v>
      </c>
      <c r="B13782" s="2" t="s">
        <v>2055</v>
      </c>
      <c r="C13782" s="2">
        <v>757.93709999999999</v>
      </c>
      <c r="D13782" s="2">
        <f>HYPERLINK("http://mcb-m6.bioreg.kyushu-u.ac.jp/M3/20110411/F50914/2170/1", 102.21)</f>
        <v>102.21</v>
      </c>
      <c r="E13782" s="2">
        <v>77.72</v>
      </c>
      <c r="F13782" s="2">
        <v>2</v>
      </c>
      <c r="G13782" s="2" t="s">
        <v>10</v>
      </c>
    </row>
    <row r="13783" spans="1:8" x14ac:dyDescent="0.2">
      <c r="A13783" s="2" t="s">
        <v>3331</v>
      </c>
      <c r="B13783" s="2" t="s">
        <v>2186</v>
      </c>
      <c r="C13783" s="2">
        <v>774.67859999999996</v>
      </c>
      <c r="D13783" s="2">
        <f>HYPERLINK("http://mcb-m6.bioreg.kyushu-u.ac.jp/M3/20110414/F50942/2128/1", 36.28)</f>
        <v>36.28</v>
      </c>
      <c r="E13783" s="2">
        <v>21</v>
      </c>
      <c r="F13783" s="2">
        <v>2</v>
      </c>
      <c r="G13783" s="2" t="s">
        <v>11</v>
      </c>
    </row>
    <row r="13784" spans="1:8" x14ac:dyDescent="0.2">
      <c r="A13784" s="2" t="s">
        <v>3331</v>
      </c>
      <c r="B13784" s="2" t="s">
        <v>2282</v>
      </c>
      <c r="C13784" s="2">
        <v>670.84810000000004</v>
      </c>
      <c r="D13784" s="2">
        <f>HYPERLINK("http://mcb-m6.bioreg.kyushu-u.ac.jp/M3/20110414/F50942/1521/1", 42.76)</f>
        <v>42.76</v>
      </c>
      <c r="E13784" s="2">
        <v>28.78</v>
      </c>
      <c r="F13784" s="2">
        <v>2</v>
      </c>
      <c r="G13784" s="2" t="s">
        <v>11</v>
      </c>
    </row>
    <row r="13785" spans="1:8" x14ac:dyDescent="0.2">
      <c r="A13785" s="2" t="s">
        <v>3331</v>
      </c>
      <c r="B13785" s="2" t="s">
        <v>2282</v>
      </c>
      <c r="C13785" s="2">
        <v>670.98770000000002</v>
      </c>
      <c r="D13785" s="2">
        <f>HYPERLINK("http://mcb-m6.bioreg.kyushu-u.ac.jp/M3/20110414/F50941/1669/1", 44.64)</f>
        <v>44.64</v>
      </c>
      <c r="E13785" s="2">
        <v>34.32</v>
      </c>
      <c r="F13785" s="2">
        <v>2</v>
      </c>
      <c r="G13785" s="2" t="s">
        <v>11</v>
      </c>
    </row>
    <row r="13786" spans="1:8" x14ac:dyDescent="0.2">
      <c r="A13786" s="2" t="s">
        <v>3331</v>
      </c>
      <c r="B13786" s="2" t="s">
        <v>2055</v>
      </c>
      <c r="C13786" s="2">
        <v>757.82510000000002</v>
      </c>
      <c r="D13786" s="2">
        <f>HYPERLINK("http://mcb-m6.bioreg.kyushu-u.ac.jp/M3/20110414/F50942/2018/1", 56.3)</f>
        <v>56.3</v>
      </c>
      <c r="E13786" s="2">
        <v>39.53</v>
      </c>
      <c r="F13786" s="2">
        <v>2</v>
      </c>
      <c r="G13786" s="2" t="s">
        <v>11</v>
      </c>
    </row>
    <row r="13787" spans="1:8" x14ac:dyDescent="0.2">
      <c r="A13787" s="2" t="s">
        <v>3331</v>
      </c>
      <c r="B13787" s="2" t="s">
        <v>119</v>
      </c>
      <c r="C13787" s="2">
        <v>881.04269999999997</v>
      </c>
      <c r="D13787" s="2">
        <f>HYPERLINK("http://mcb-m6.bioreg.kyushu-u.ac.jp/M3/20110414/F50943/2630/1", 68.26)</f>
        <v>68.260000000000005</v>
      </c>
      <c r="E13787" s="2">
        <v>47.88</v>
      </c>
      <c r="F13787" s="2">
        <v>2</v>
      </c>
      <c r="G13787" s="2" t="s">
        <v>11</v>
      </c>
    </row>
    <row r="13788" spans="1:8" x14ac:dyDescent="0.2">
      <c r="A13788" s="2" t="s">
        <v>3331</v>
      </c>
      <c r="B13788" s="2" t="s">
        <v>119</v>
      </c>
      <c r="C13788" s="2">
        <v>881.1816</v>
      </c>
      <c r="D13788" s="2">
        <f>HYPERLINK("http://mcb-m6.bioreg.kyushu-u.ac.jp/M3/20110414/F50942/2746/1", 80.88)</f>
        <v>80.88</v>
      </c>
      <c r="E13788" s="2">
        <v>61.44</v>
      </c>
      <c r="F13788" s="2">
        <v>2</v>
      </c>
      <c r="G13788" s="2" t="s">
        <v>11</v>
      </c>
    </row>
    <row r="13789" spans="1:8" x14ac:dyDescent="0.2">
      <c r="A13789" s="2" t="s">
        <v>3331</v>
      </c>
      <c r="B13789" s="2" t="s">
        <v>2055</v>
      </c>
      <c r="C13789" s="2">
        <v>758.47469999999998</v>
      </c>
      <c r="D13789" s="2">
        <f>HYPERLINK("http://mcb-m6.bioreg.kyushu-u.ac.jp/M3/20110414/F50942/2022/1", 90.22)</f>
        <v>90.22</v>
      </c>
      <c r="E13789" s="2">
        <v>56.89</v>
      </c>
      <c r="F13789" s="2">
        <v>2</v>
      </c>
      <c r="G13789" s="2" t="s">
        <v>11</v>
      </c>
    </row>
    <row r="13790" spans="1:8" x14ac:dyDescent="0.2">
      <c r="A13790" s="2" t="s">
        <v>3331</v>
      </c>
      <c r="B13790" s="2" t="s">
        <v>2055</v>
      </c>
      <c r="C13790" s="2">
        <v>758.00869999999998</v>
      </c>
      <c r="D13790" s="2">
        <f>HYPERLINK("http://mcb-m6.bioreg.kyushu-u.ac.jp/M3/20110414/F50941/2208/1", 90.99)</f>
        <v>90.99</v>
      </c>
      <c r="E13790" s="2">
        <v>71.92</v>
      </c>
      <c r="F13790" s="2">
        <v>2</v>
      </c>
      <c r="G13790" s="2" t="s">
        <v>11</v>
      </c>
    </row>
    <row r="13791" spans="1:8" x14ac:dyDescent="0.2">
      <c r="A13791" s="2" t="s">
        <v>3331</v>
      </c>
      <c r="B13791" s="2" t="s">
        <v>2282</v>
      </c>
      <c r="C13791" s="2">
        <v>671.29819999999995</v>
      </c>
      <c r="D13791" s="2">
        <f>HYPERLINK("http://mcb-m6.bioreg.kyushu-u.ac.jp/M3/20110414/F50947/1487/1", 41.06)</f>
        <v>41.06</v>
      </c>
      <c r="E13791" s="2">
        <v>26.85</v>
      </c>
      <c r="F13791" s="2">
        <v>2</v>
      </c>
      <c r="G13791" s="2" t="s">
        <v>12</v>
      </c>
    </row>
    <row r="13792" spans="1:8" x14ac:dyDescent="0.2">
      <c r="A13792" s="2" t="s">
        <v>3331</v>
      </c>
      <c r="B13792" s="2" t="s">
        <v>2055</v>
      </c>
      <c r="C13792" s="2">
        <v>757.65869999999995</v>
      </c>
      <c r="D13792" s="2">
        <f>HYPERLINK("http://mcb-m6.bioreg.kyushu-u.ac.jp/M3/20110414/F50948/2201/1", 49.29)</f>
        <v>49.29</v>
      </c>
      <c r="E13792" s="2">
        <v>30.43</v>
      </c>
      <c r="F13792" s="2">
        <v>2</v>
      </c>
      <c r="G13792" s="2" t="s">
        <v>12</v>
      </c>
    </row>
    <row r="13793" spans="1:8" x14ac:dyDescent="0.2">
      <c r="A13793" s="2" t="s">
        <v>3331</v>
      </c>
      <c r="B13793" s="2" t="s">
        <v>2055</v>
      </c>
      <c r="C13793" s="2">
        <v>757.74069999999995</v>
      </c>
      <c r="D13793" s="2">
        <f>HYPERLINK("http://mcb-m6.bioreg.kyushu-u.ac.jp/M3/20110414/F50947/2083/1", 50.52)</f>
        <v>50.52</v>
      </c>
      <c r="E13793" s="2">
        <v>37.159999999999997</v>
      </c>
      <c r="F13793" s="2">
        <v>2</v>
      </c>
      <c r="G13793" s="2" t="s">
        <v>12</v>
      </c>
    </row>
    <row r="13794" spans="1:8" x14ac:dyDescent="0.2">
      <c r="A13794" s="2" t="s">
        <v>3331</v>
      </c>
      <c r="B13794" s="2" t="s">
        <v>1232</v>
      </c>
      <c r="C13794" s="2">
        <v>895.61469999999997</v>
      </c>
      <c r="D13794" s="2">
        <f>HYPERLINK("http://mcb-m6.bioreg.kyushu-u.ac.jp/M3/20110414/F50948/2998/1", 51.68)</f>
        <v>51.68</v>
      </c>
      <c r="E13794" s="2">
        <v>41.01</v>
      </c>
      <c r="F13794" s="2">
        <v>2</v>
      </c>
      <c r="G13794" s="2" t="s">
        <v>12</v>
      </c>
      <c r="H13794" s="2" t="s">
        <v>4891</v>
      </c>
    </row>
    <row r="13795" spans="1:8" x14ac:dyDescent="0.2">
      <c r="A13795" s="2" t="s">
        <v>3331</v>
      </c>
      <c r="B13795" s="2" t="s">
        <v>1232</v>
      </c>
      <c r="C13795" s="2">
        <v>895.07669999999996</v>
      </c>
      <c r="D13795" s="2">
        <f>HYPERLINK("http://mcb-m6.bioreg.kyushu-u.ac.jp/M3/20110414/F50948/2993/1", 53.37)</f>
        <v>53.37</v>
      </c>
      <c r="E13795" s="2">
        <v>21.16</v>
      </c>
      <c r="F13795" s="2">
        <v>2</v>
      </c>
      <c r="G13795" s="2" t="s">
        <v>12</v>
      </c>
      <c r="H13795" s="2" t="s">
        <v>4891</v>
      </c>
    </row>
    <row r="13796" spans="1:8" x14ac:dyDescent="0.2">
      <c r="A13796" s="2" t="s">
        <v>3331</v>
      </c>
      <c r="B13796" s="2" t="s">
        <v>119</v>
      </c>
      <c r="C13796" s="2">
        <v>880.98419999999999</v>
      </c>
      <c r="D13796" s="2">
        <f>HYPERLINK("http://mcb-m6.bioreg.kyushu-u.ac.jp/M3/20110414/F50948/2899/1", 66.47)</f>
        <v>66.47</v>
      </c>
      <c r="E13796" s="2">
        <v>52.02</v>
      </c>
      <c r="F13796" s="2">
        <v>2</v>
      </c>
      <c r="G13796" s="2" t="s">
        <v>12</v>
      </c>
    </row>
    <row r="13797" spans="1:8" x14ac:dyDescent="0.2">
      <c r="A13797" s="2" t="s">
        <v>3331</v>
      </c>
      <c r="B13797" s="2" t="s">
        <v>119</v>
      </c>
      <c r="C13797" s="2">
        <v>881.49069999999995</v>
      </c>
      <c r="D13797" s="2">
        <f>HYPERLINK("http://mcb-m6.bioreg.kyushu-u.ac.jp/M3/20110414/F50948/2907/1", 68.31)</f>
        <v>68.31</v>
      </c>
      <c r="E13797" s="2">
        <v>49.55</v>
      </c>
      <c r="F13797" s="2">
        <v>2</v>
      </c>
      <c r="G13797" s="2" t="s">
        <v>12</v>
      </c>
    </row>
    <row r="13798" spans="1:8" x14ac:dyDescent="0.2">
      <c r="A13798" s="2" t="s">
        <v>3331</v>
      </c>
      <c r="B13798" s="2" t="s">
        <v>2282</v>
      </c>
      <c r="C13798" s="2">
        <v>670.64970000000005</v>
      </c>
      <c r="D13798" s="2">
        <f>HYPERLINK("http://mcb-m6.bioreg.kyushu-u.ac.jp/M3/20110414/F50948/1619/1", 69.53)</f>
        <v>69.53</v>
      </c>
      <c r="E13798" s="2">
        <v>52.3</v>
      </c>
      <c r="F13798" s="2">
        <v>2</v>
      </c>
      <c r="G13798" s="2" t="s">
        <v>12</v>
      </c>
    </row>
    <row r="13799" spans="1:8" x14ac:dyDescent="0.2">
      <c r="A13799" s="2" t="s">
        <v>3331</v>
      </c>
      <c r="B13799" s="2" t="s">
        <v>1232</v>
      </c>
      <c r="C13799" s="2">
        <v>887.61519999999996</v>
      </c>
      <c r="D13799" s="2">
        <f>HYPERLINK("http://mcb-m6.bioreg.kyushu-u.ac.jp/M3/20110414/F50948/2941/1", 80.07)</f>
        <v>80.069999999999993</v>
      </c>
      <c r="E13799" s="2">
        <v>60.45</v>
      </c>
      <c r="F13799" s="2">
        <v>2</v>
      </c>
      <c r="G13799" s="2" t="s">
        <v>12</v>
      </c>
    </row>
    <row r="13800" spans="1:8" x14ac:dyDescent="0.2">
      <c r="A13800" s="2" t="s">
        <v>3331</v>
      </c>
      <c r="B13800" s="2" t="s">
        <v>1232</v>
      </c>
      <c r="C13800" s="2">
        <v>887.0942</v>
      </c>
      <c r="D13800" s="2">
        <f>HYPERLINK("http://mcb-m6.bioreg.kyushu-u.ac.jp/M3/20110414/F50948/2939/1", 93.28)</f>
        <v>93.28</v>
      </c>
      <c r="E13800" s="2">
        <v>75.66</v>
      </c>
      <c r="F13800" s="2">
        <v>2</v>
      </c>
      <c r="G13800" s="2" t="s">
        <v>12</v>
      </c>
    </row>
    <row r="13801" spans="1:8" x14ac:dyDescent="0.2">
      <c r="A13801" s="2" t="s">
        <v>3331</v>
      </c>
      <c r="B13801" s="2" t="s">
        <v>119</v>
      </c>
      <c r="C13801" s="2">
        <v>872.22969999999998</v>
      </c>
      <c r="D13801" s="2">
        <f>HYPERLINK("http://mcb-m6.bioreg.kyushu-u.ac.jp/M3/20110414/F50948/2840/1", 95.22)</f>
        <v>95.22</v>
      </c>
      <c r="E13801" s="2">
        <v>68.89</v>
      </c>
      <c r="F13801" s="2">
        <v>2</v>
      </c>
      <c r="G13801" s="2" t="s">
        <v>12</v>
      </c>
      <c r="H13801" s="2" t="s">
        <v>4904</v>
      </c>
    </row>
    <row r="13802" spans="1:8" x14ac:dyDescent="0.2">
      <c r="A13802" s="2" t="s">
        <v>3331</v>
      </c>
      <c r="B13802" s="2" t="s">
        <v>119</v>
      </c>
      <c r="C13802" s="2">
        <v>587.96749999999997</v>
      </c>
      <c r="D13802" s="2">
        <f>HYPERLINK("http://mcb-m6.bioreg.kyushu-u.ac.jp/M3/20110502/F51171/2591/1", 38.09)</f>
        <v>38.090000000000003</v>
      </c>
      <c r="E13802" s="2">
        <v>22.54</v>
      </c>
      <c r="F13802" s="2">
        <v>3</v>
      </c>
      <c r="G13802" s="2" t="s">
        <v>13</v>
      </c>
    </row>
    <row r="13803" spans="1:8" x14ac:dyDescent="0.2">
      <c r="A13803" s="2" t="s">
        <v>3331</v>
      </c>
      <c r="B13803" s="2" t="s">
        <v>2055</v>
      </c>
      <c r="C13803" s="2">
        <v>758.01459999999997</v>
      </c>
      <c r="D13803" s="2">
        <f>HYPERLINK("http://mcb-m6.bioreg.kyushu-u.ac.jp/M3/20110502/F51171/2092/1", 43.07)</f>
        <v>43.07</v>
      </c>
      <c r="E13803" s="2">
        <v>22.51</v>
      </c>
      <c r="F13803" s="2">
        <v>2</v>
      </c>
      <c r="G13803" s="2" t="s">
        <v>13</v>
      </c>
    </row>
    <row r="13804" spans="1:8" x14ac:dyDescent="0.2">
      <c r="A13804" s="2" t="s">
        <v>3331</v>
      </c>
      <c r="B13804" s="2" t="s">
        <v>1771</v>
      </c>
      <c r="C13804" s="2">
        <v>995.60199999999998</v>
      </c>
      <c r="D13804" s="2">
        <f>HYPERLINK("http://mcb-m6.bioreg.kyushu-u.ac.jp/M3/20110502/F51171/1029/1", 44.09)</f>
        <v>44.09</v>
      </c>
      <c r="E13804" s="2">
        <v>17.34</v>
      </c>
      <c r="F13804" s="2">
        <v>1</v>
      </c>
      <c r="G13804" s="2" t="s">
        <v>13</v>
      </c>
    </row>
    <row r="13805" spans="1:8" x14ac:dyDescent="0.2">
      <c r="A13805" s="2" t="s">
        <v>3331</v>
      </c>
      <c r="B13805" s="2" t="s">
        <v>2282</v>
      </c>
      <c r="C13805" s="2">
        <v>671.0566</v>
      </c>
      <c r="D13805" s="2">
        <f>HYPERLINK("http://mcb-m6.bioreg.kyushu-u.ac.jp/M3/20110502/F51171/1680/1", 51.88)</f>
        <v>51.88</v>
      </c>
      <c r="E13805" s="2">
        <v>36.99</v>
      </c>
      <c r="F13805" s="2">
        <v>2</v>
      </c>
      <c r="G13805" s="2" t="s">
        <v>13</v>
      </c>
    </row>
    <row r="13806" spans="1:8" x14ac:dyDescent="0.2">
      <c r="A13806" s="2" t="s">
        <v>3331</v>
      </c>
      <c r="B13806" s="2" t="s">
        <v>119</v>
      </c>
      <c r="C13806" s="2">
        <v>873.05820000000006</v>
      </c>
      <c r="D13806" s="2">
        <f>HYPERLINK("http://mcb-m6.bioreg.kyushu-u.ac.jp/M3/20110502/F51171/2554/1", 73.04)</f>
        <v>73.040000000000006</v>
      </c>
      <c r="E13806" s="2">
        <v>30.33</v>
      </c>
      <c r="F13806" s="2">
        <v>2</v>
      </c>
      <c r="G13806" s="2" t="s">
        <v>13</v>
      </c>
      <c r="H13806" s="2" t="s">
        <v>4904</v>
      </c>
    </row>
    <row r="13807" spans="1:8" x14ac:dyDescent="0.2">
      <c r="A13807" s="2" t="s">
        <v>3331</v>
      </c>
      <c r="B13807" s="2" t="s">
        <v>119</v>
      </c>
      <c r="C13807" s="2">
        <v>881.01459999999997</v>
      </c>
      <c r="D13807" s="2">
        <f>HYPERLINK("http://mcb-m6.bioreg.kyushu-u.ac.jp/M3/20110502/F51171/2589/1", 73.85)</f>
        <v>73.849999999999994</v>
      </c>
      <c r="E13807" s="2">
        <v>54.02</v>
      </c>
      <c r="F13807" s="2">
        <v>2</v>
      </c>
      <c r="G13807" s="2" t="s">
        <v>13</v>
      </c>
    </row>
    <row r="13808" spans="1:8" x14ac:dyDescent="0.2">
      <c r="A13808" s="2" t="s">
        <v>3331</v>
      </c>
      <c r="B13808" s="2" t="s">
        <v>1232</v>
      </c>
      <c r="C13808" s="2">
        <v>895.65560000000005</v>
      </c>
      <c r="D13808" s="2">
        <f>HYPERLINK("http://mcb-m6.bioreg.kyushu-u.ac.jp/M3/20110502/F51171/2664/1", 78.74)</f>
        <v>78.739999999999995</v>
      </c>
      <c r="E13808" s="2">
        <v>50.77</v>
      </c>
      <c r="F13808" s="2">
        <v>2</v>
      </c>
      <c r="G13808" s="2" t="s">
        <v>13</v>
      </c>
      <c r="H13808" s="2" t="s">
        <v>4891</v>
      </c>
    </row>
    <row r="13809" spans="1:9" x14ac:dyDescent="0.2">
      <c r="A13809" s="2" t="s">
        <v>3331</v>
      </c>
      <c r="B13809" s="2" t="s">
        <v>2186</v>
      </c>
      <c r="C13809" s="2">
        <v>775.0077</v>
      </c>
      <c r="D13809" s="2">
        <f>HYPERLINK("http://mcb-m6.bioreg.kyushu-u.ac.jp/M3/20110502/F51171/2155/1", 79.88)</f>
        <v>79.88</v>
      </c>
      <c r="E13809" s="2">
        <v>52.89</v>
      </c>
      <c r="F13809" s="2">
        <v>2</v>
      </c>
      <c r="G13809" s="2" t="s">
        <v>13</v>
      </c>
    </row>
    <row r="13810" spans="1:9" x14ac:dyDescent="0.2">
      <c r="A13810" s="2" t="s">
        <v>3331</v>
      </c>
      <c r="B13810" s="2" t="s">
        <v>1232</v>
      </c>
      <c r="C13810" s="2">
        <v>887.59370000000001</v>
      </c>
      <c r="D13810" s="2">
        <f>HYPERLINK("http://mcb-m6.bioreg.kyushu-u.ac.jp/M3/20110502/F51171/2612/1", 81.39)</f>
        <v>81.39</v>
      </c>
      <c r="E13810" s="2">
        <v>68.290000000000006</v>
      </c>
      <c r="F13810" s="2">
        <v>2</v>
      </c>
      <c r="G13810" s="2" t="s">
        <v>13</v>
      </c>
    </row>
    <row r="13811" spans="1:9" x14ac:dyDescent="0.2">
      <c r="A13811" s="2" t="s">
        <v>3331</v>
      </c>
      <c r="B13811" s="2" t="s">
        <v>1771</v>
      </c>
      <c r="C13811" s="2">
        <v>995.66399999999999</v>
      </c>
      <c r="D13811" s="2">
        <f>HYPERLINK("http://mcb-m6.bioreg.kyushu-u.ac.jp/M3/20110502/F51179/601/1", 41.89)</f>
        <v>41.89</v>
      </c>
      <c r="E13811" s="2">
        <v>17.309999999999999</v>
      </c>
      <c r="F13811" s="2">
        <v>1</v>
      </c>
      <c r="G13811" s="2" t="s">
        <v>14</v>
      </c>
    </row>
    <row r="13812" spans="1:9" x14ac:dyDescent="0.2">
      <c r="A13812" s="2" t="s">
        <v>3331</v>
      </c>
      <c r="B13812" s="2" t="s">
        <v>2282</v>
      </c>
      <c r="C13812" s="2">
        <v>671.38369999999998</v>
      </c>
      <c r="D13812" s="2">
        <f>HYPERLINK("http://mcb-m6.bioreg.kyushu-u.ac.jp/M3/20110502/F51179/1370/1", 44.85)</f>
        <v>44.85</v>
      </c>
      <c r="E13812" s="2">
        <v>26.52</v>
      </c>
      <c r="F13812" s="2">
        <v>2</v>
      </c>
      <c r="G13812" s="2" t="s">
        <v>14</v>
      </c>
    </row>
    <row r="13813" spans="1:9" x14ac:dyDescent="0.2">
      <c r="A13813" s="2" t="s">
        <v>3331</v>
      </c>
      <c r="B13813" s="2" t="s">
        <v>119</v>
      </c>
      <c r="C13813" s="2">
        <v>872.71810000000005</v>
      </c>
      <c r="D13813" s="2">
        <f>HYPERLINK("http://mcb-m6.bioreg.kyushu-u.ac.jp/M3/20110502/F51183/2596/1", 62.38)</f>
        <v>62.38</v>
      </c>
      <c r="E13813" s="2">
        <v>45.42</v>
      </c>
      <c r="F13813" s="2">
        <v>2</v>
      </c>
      <c r="G13813" s="2" t="s">
        <v>14</v>
      </c>
      <c r="H13813" s="2" t="s">
        <v>4904</v>
      </c>
    </row>
    <row r="13814" spans="1:9" x14ac:dyDescent="0.2">
      <c r="A13814" s="2" t="s">
        <v>3331</v>
      </c>
      <c r="B13814" s="2" t="s">
        <v>2282</v>
      </c>
      <c r="C13814" s="2">
        <v>671.34860000000003</v>
      </c>
      <c r="D13814" s="2">
        <f>HYPERLINK("http://mcb-m6.bioreg.kyushu-u.ac.jp/M3/20110502/F51183/1484/1", 70.75)</f>
        <v>70.75</v>
      </c>
      <c r="E13814" s="2">
        <v>51.66</v>
      </c>
      <c r="F13814" s="2">
        <v>2</v>
      </c>
      <c r="G13814" s="2" t="s">
        <v>14</v>
      </c>
    </row>
    <row r="13815" spans="1:9" x14ac:dyDescent="0.2">
      <c r="A13815" s="2" t="s">
        <v>3331</v>
      </c>
      <c r="B13815" s="2" t="s">
        <v>119</v>
      </c>
      <c r="C13815" s="2">
        <v>881.46619999999996</v>
      </c>
      <c r="D13815" s="2">
        <f>HYPERLINK("http://mcb-m6.bioreg.kyushu-u.ac.jp/M3/20110502/F51183/2639/1", 71.2)</f>
        <v>71.2</v>
      </c>
      <c r="E13815" s="2">
        <v>41.73</v>
      </c>
      <c r="F13815" s="2">
        <v>2</v>
      </c>
      <c r="G13815" s="2" t="s">
        <v>14</v>
      </c>
    </row>
    <row r="13816" spans="1:9" x14ac:dyDescent="0.2">
      <c r="A13816" s="2" t="s">
        <v>3331</v>
      </c>
      <c r="B13816" s="2" t="s">
        <v>1232</v>
      </c>
      <c r="C13816" s="2">
        <v>887.59119999999996</v>
      </c>
      <c r="D13816" s="2">
        <f>HYPERLINK("http://mcb-m6.bioreg.kyushu-u.ac.jp/M3/20110502/F51179/2596/1", 72.91)</f>
        <v>72.91</v>
      </c>
      <c r="E13816" s="2">
        <v>60.68</v>
      </c>
      <c r="F13816" s="2">
        <v>2</v>
      </c>
      <c r="G13816" s="2" t="s">
        <v>14</v>
      </c>
    </row>
    <row r="13817" spans="1:9" x14ac:dyDescent="0.2">
      <c r="A13817" s="2" t="s">
        <v>3331</v>
      </c>
      <c r="B13817" s="2" t="s">
        <v>1232</v>
      </c>
      <c r="C13817" s="2">
        <v>887.77560000000005</v>
      </c>
      <c r="D13817" s="2">
        <f>HYPERLINK("http://mcb-m6.bioreg.kyushu-u.ac.jp/M3/20110502/F51183/2669/1", 75.84)</f>
        <v>75.84</v>
      </c>
      <c r="E13817" s="2">
        <v>57.42</v>
      </c>
      <c r="F13817" s="2">
        <v>2</v>
      </c>
      <c r="G13817" s="2" t="s">
        <v>14</v>
      </c>
    </row>
    <row r="13818" spans="1:9" x14ac:dyDescent="0.2">
      <c r="A13818" s="2" t="s">
        <v>3331</v>
      </c>
      <c r="B13818" s="2" t="s">
        <v>2055</v>
      </c>
      <c r="C13818" s="2">
        <v>758.19619999999998</v>
      </c>
      <c r="D13818" s="2">
        <f>HYPERLINK("http://mcb-m6.bioreg.kyushu-u.ac.jp/M3/20110502/F51183/2002/1", 78.74)</f>
        <v>78.739999999999995</v>
      </c>
      <c r="E13818" s="2">
        <v>39.31</v>
      </c>
      <c r="F13818" s="2">
        <v>2</v>
      </c>
      <c r="G13818" s="2" t="s">
        <v>14</v>
      </c>
    </row>
    <row r="13819" spans="1:9" x14ac:dyDescent="0.2">
      <c r="A13819" s="2" t="s">
        <v>3891</v>
      </c>
      <c r="B13819" s="2" t="s">
        <v>1034</v>
      </c>
      <c r="C13819" s="2">
        <v>709.18709999999999</v>
      </c>
      <c r="D13819" s="2">
        <f>HYPERLINK("http://mcb-m6.bioreg.kyushu-u.ac.jp/M3/20110411/F50891/1918/1", 59.63)</f>
        <v>59.63</v>
      </c>
      <c r="E13819" s="2">
        <v>47.21</v>
      </c>
      <c r="F13819" s="2">
        <v>2</v>
      </c>
      <c r="G13819" s="2" t="s">
        <v>9</v>
      </c>
      <c r="I13819" s="2" t="s">
        <v>4903</v>
      </c>
    </row>
    <row r="13820" spans="1:9" x14ac:dyDescent="0.2">
      <c r="A13820" s="2" t="s">
        <v>3598</v>
      </c>
      <c r="B13820" s="2" t="s">
        <v>489</v>
      </c>
      <c r="C13820" s="2">
        <v>833.44119999999998</v>
      </c>
      <c r="D13820" s="2">
        <f>HYPERLINK("http://mcb-m6.bioreg.kyushu-u.ac.jp/M3/20110411/F50915/2469/1", 43.01)</f>
        <v>43.01</v>
      </c>
      <c r="E13820" s="2">
        <v>31.38</v>
      </c>
      <c r="F13820" s="2">
        <v>2</v>
      </c>
      <c r="G13820" s="2" t="s">
        <v>9</v>
      </c>
    </row>
    <row r="13821" spans="1:9" x14ac:dyDescent="0.2">
      <c r="A13821" s="2" t="s">
        <v>3598</v>
      </c>
      <c r="B13821" s="2" t="s">
        <v>1242</v>
      </c>
      <c r="C13821" s="2">
        <v>900.25670000000002</v>
      </c>
      <c r="D13821" s="2">
        <f>HYPERLINK("http://mcb-m6.bioreg.kyushu-u.ac.jp/M3/20110411/F50915/2840/1", 68.67)</f>
        <v>68.67</v>
      </c>
      <c r="E13821" s="2">
        <v>56.3</v>
      </c>
      <c r="F13821" s="2">
        <v>2</v>
      </c>
      <c r="G13821" s="2" t="s">
        <v>9</v>
      </c>
      <c r="I13821" s="2" t="s">
        <v>4895</v>
      </c>
    </row>
    <row r="13822" spans="1:9" x14ac:dyDescent="0.2">
      <c r="A13822" s="2" t="s">
        <v>3598</v>
      </c>
      <c r="B13822" s="2" t="s">
        <v>2092</v>
      </c>
      <c r="C13822" s="2">
        <v>655.38509999999997</v>
      </c>
      <c r="D13822" s="2">
        <f>HYPERLINK("http://mcb-m6.bioreg.kyushu-u.ac.jp/M3/20110411/F50917/1486/1", 78.37)</f>
        <v>78.37</v>
      </c>
      <c r="E13822" s="2">
        <v>60.74</v>
      </c>
      <c r="F13822" s="2">
        <v>2</v>
      </c>
      <c r="G13822" s="2" t="s">
        <v>10</v>
      </c>
    </row>
    <row r="13823" spans="1:9" x14ac:dyDescent="0.2">
      <c r="A13823" s="2" t="s">
        <v>3598</v>
      </c>
      <c r="B13823" s="2" t="s">
        <v>2210</v>
      </c>
      <c r="C13823" s="2">
        <v>671.38710000000003</v>
      </c>
      <c r="D13823" s="2">
        <f>HYPERLINK("http://mcb-m6.bioreg.kyushu-u.ac.jp/M3/20110414/F50942/1525/1", 37.34)</f>
        <v>37.340000000000003</v>
      </c>
      <c r="E13823" s="2">
        <v>22.75</v>
      </c>
      <c r="F13823" s="2">
        <v>2</v>
      </c>
      <c r="G13823" s="2" t="s">
        <v>11</v>
      </c>
    </row>
    <row r="13824" spans="1:9" x14ac:dyDescent="0.2">
      <c r="A13824" s="2" t="s">
        <v>3598</v>
      </c>
      <c r="B13824" s="2" t="s">
        <v>2210</v>
      </c>
      <c r="C13824" s="2">
        <v>670.87459999999999</v>
      </c>
      <c r="D13824" s="2">
        <f>HYPERLINK("http://mcb-m6.bioreg.kyushu-u.ac.jp/M3/20110414/F50942/1522/1", 54.58)</f>
        <v>54.58</v>
      </c>
      <c r="E13824" s="2">
        <v>44.69</v>
      </c>
      <c r="F13824" s="2">
        <v>2</v>
      </c>
      <c r="G13824" s="2" t="s">
        <v>11</v>
      </c>
    </row>
    <row r="13825" spans="1:9" x14ac:dyDescent="0.2">
      <c r="A13825" s="2" t="s">
        <v>3598</v>
      </c>
      <c r="B13825" s="2" t="s">
        <v>489</v>
      </c>
      <c r="C13825" s="2">
        <v>833.84059999999999</v>
      </c>
      <c r="D13825" s="2">
        <f>HYPERLINK("http://mcb-m6.bioreg.kyushu-u.ac.jp/M3/20110414/F50942/2447/1", 107.95)</f>
        <v>107.95</v>
      </c>
      <c r="E13825" s="2">
        <v>95.86</v>
      </c>
      <c r="F13825" s="2">
        <v>2</v>
      </c>
      <c r="G13825" s="2" t="s">
        <v>11</v>
      </c>
    </row>
    <row r="13826" spans="1:9" x14ac:dyDescent="0.2">
      <c r="A13826" s="2" t="s">
        <v>3598</v>
      </c>
      <c r="B13826" s="2" t="s">
        <v>2642</v>
      </c>
      <c r="C13826" s="2">
        <v>748.60059999999999</v>
      </c>
      <c r="D13826" s="2">
        <f>HYPERLINK("http://mcb-m6.bioreg.kyushu-u.ac.jp/M3/20110414/F50958/2054/1", 46.16)</f>
        <v>46.16</v>
      </c>
      <c r="E13826" s="2">
        <v>31.92</v>
      </c>
      <c r="F13826" s="2">
        <v>2</v>
      </c>
      <c r="G13826" s="2" t="s">
        <v>12</v>
      </c>
    </row>
    <row r="13827" spans="1:9" x14ac:dyDescent="0.2">
      <c r="A13827" s="2" t="s">
        <v>3598</v>
      </c>
      <c r="B13827" s="2" t="s">
        <v>2734</v>
      </c>
      <c r="C13827" s="2">
        <v>818.32510000000002</v>
      </c>
      <c r="D13827" s="2">
        <f>HYPERLINK("http://mcb-m6.bioreg.kyushu-u.ac.jp/M3/20110414/F50958/4438/1", 69.7)</f>
        <v>69.7</v>
      </c>
      <c r="E13827" s="2">
        <v>50.59</v>
      </c>
      <c r="F13827" s="2">
        <v>3</v>
      </c>
      <c r="G13827" s="2" t="s">
        <v>12</v>
      </c>
    </row>
    <row r="13828" spans="1:9" x14ac:dyDescent="0.2">
      <c r="A13828" s="2" t="s">
        <v>3598</v>
      </c>
      <c r="B13828" s="2" t="s">
        <v>2734</v>
      </c>
      <c r="C13828" s="2">
        <v>1227.0160000000001</v>
      </c>
      <c r="D13828" s="2">
        <f>HYPERLINK("http://mcb-m6.bioreg.kyushu-u.ac.jp/M3/20110414/F50958/4439/1", 138.71)</f>
        <v>138.71</v>
      </c>
      <c r="E13828" s="2">
        <v>124.05</v>
      </c>
      <c r="F13828" s="2">
        <v>2</v>
      </c>
      <c r="G13828" s="2" t="s">
        <v>12</v>
      </c>
    </row>
    <row r="13829" spans="1:9" x14ac:dyDescent="0.2">
      <c r="A13829" s="2" t="s">
        <v>3598</v>
      </c>
      <c r="B13829" s="2" t="s">
        <v>2734</v>
      </c>
      <c r="C13829" s="2">
        <v>1226.396</v>
      </c>
      <c r="D13829" s="2">
        <f>HYPERLINK("http://mcb-m6.bioreg.kyushu-u.ac.jp/M3/20110414/F50958/4437/1", 153.61)</f>
        <v>153.61000000000001</v>
      </c>
      <c r="E13829" s="2">
        <v>144.04</v>
      </c>
      <c r="F13829" s="2">
        <v>2</v>
      </c>
      <c r="G13829" s="2" t="s">
        <v>12</v>
      </c>
    </row>
    <row r="13830" spans="1:9" x14ac:dyDescent="0.2">
      <c r="A13830" s="2" t="s">
        <v>3598</v>
      </c>
      <c r="B13830" s="2" t="s">
        <v>2210</v>
      </c>
      <c r="C13830" s="2">
        <v>670.83720000000005</v>
      </c>
      <c r="D13830" s="2">
        <f>HYPERLINK("http://mcb-m6.bioreg.kyushu-u.ac.jp/M3/20110502/F51192/1374/1", 76.46)</f>
        <v>76.459999999999994</v>
      </c>
      <c r="E13830" s="2">
        <v>54.21</v>
      </c>
      <c r="F13830" s="2">
        <v>2</v>
      </c>
      <c r="G13830" s="2" t="s">
        <v>14</v>
      </c>
    </row>
    <row r="13831" spans="1:9" x14ac:dyDescent="0.2">
      <c r="A13831" s="2" t="s">
        <v>4448</v>
      </c>
      <c r="B13831" s="2" t="s">
        <v>2347</v>
      </c>
      <c r="C13831" s="2">
        <v>682.31320000000005</v>
      </c>
      <c r="D13831" s="2">
        <f>HYPERLINK("http://mcb-m6.bioreg.kyushu-u.ac.jp/M3/20110414/F50944/1794/1", 49.05)</f>
        <v>49.05</v>
      </c>
      <c r="E13831" s="2">
        <v>24.15</v>
      </c>
      <c r="F13831" s="2">
        <v>2</v>
      </c>
      <c r="G13831" s="2" t="s">
        <v>11</v>
      </c>
      <c r="I13831" s="2" t="s">
        <v>4960</v>
      </c>
    </row>
    <row r="13832" spans="1:9" x14ac:dyDescent="0.2">
      <c r="A13832" s="2" t="s">
        <v>4448</v>
      </c>
      <c r="B13832" s="2" t="s">
        <v>2347</v>
      </c>
      <c r="C13832" s="2">
        <v>682.22170000000006</v>
      </c>
      <c r="D13832" s="2">
        <f>HYPERLINK("http://mcb-m6.bioreg.kyushu-u.ac.jp/M3/20110414/F50943/1534/1", 50.64)</f>
        <v>50.64</v>
      </c>
      <c r="E13832" s="2">
        <v>35.93</v>
      </c>
      <c r="F13832" s="2">
        <v>2</v>
      </c>
      <c r="G13832" s="2" t="s">
        <v>11</v>
      </c>
      <c r="I13832" s="2" t="s">
        <v>4960</v>
      </c>
    </row>
    <row r="13833" spans="1:9" x14ac:dyDescent="0.2">
      <c r="A13833" s="2" t="s">
        <v>4448</v>
      </c>
      <c r="B13833" s="2" t="s">
        <v>2347</v>
      </c>
      <c r="C13833" s="2">
        <v>681.54859999999996</v>
      </c>
      <c r="D13833" s="2">
        <f>HYPERLINK("http://mcb-m6.bioreg.kyushu-u.ac.jp/M3/20110414/F50950/1770/1", 72.28)</f>
        <v>72.28</v>
      </c>
      <c r="E13833" s="2">
        <v>44.19</v>
      </c>
      <c r="F13833" s="2">
        <v>2</v>
      </c>
      <c r="G13833" s="2" t="s">
        <v>12</v>
      </c>
      <c r="I13833" s="2" t="s">
        <v>4960</v>
      </c>
    </row>
    <row r="13834" spans="1:9" x14ac:dyDescent="0.2">
      <c r="A13834" s="2" t="s">
        <v>4448</v>
      </c>
      <c r="B13834" s="2" t="s">
        <v>3078</v>
      </c>
      <c r="C13834" s="2">
        <v>479.8381</v>
      </c>
      <c r="D13834" s="2">
        <f>HYPERLINK("http://mcb-m6.bioreg.kyushu-u.ac.jp/M3/20110502/F51186/771/1", 42.31)</f>
        <v>42.31</v>
      </c>
      <c r="E13834" s="2">
        <v>9.74</v>
      </c>
      <c r="F13834" s="2">
        <v>2</v>
      </c>
      <c r="G13834" s="2" t="s">
        <v>14</v>
      </c>
    </row>
    <row r="13835" spans="1:9" x14ac:dyDescent="0.2">
      <c r="A13835" s="2" t="s">
        <v>4448</v>
      </c>
      <c r="B13835" s="2" t="s">
        <v>3225</v>
      </c>
      <c r="C13835" s="2">
        <v>1103.5820000000001</v>
      </c>
      <c r="D13835" s="2">
        <f>HYPERLINK("http://mcb-m6.bioreg.kyushu-u.ac.jp/M3/20110502/F51186/3078/1", 92.11)</f>
        <v>92.11</v>
      </c>
      <c r="E13835" s="2">
        <v>79.069999999999993</v>
      </c>
      <c r="F13835" s="2">
        <v>2</v>
      </c>
      <c r="G13835" s="2" t="s">
        <v>14</v>
      </c>
    </row>
    <row r="13836" spans="1:9" x14ac:dyDescent="0.2">
      <c r="A13836" s="2" t="s">
        <v>3726</v>
      </c>
      <c r="B13836" s="2" t="s">
        <v>722</v>
      </c>
      <c r="C13836" s="2">
        <v>902.06320000000005</v>
      </c>
      <c r="D13836" s="2">
        <f>HYPERLINK("http://mcb-m6.bioreg.kyushu-u.ac.jp/M3/20110411/F50895/2840/1", 49.25)</f>
        <v>49.25</v>
      </c>
      <c r="E13836" s="2">
        <v>23.59</v>
      </c>
      <c r="F13836" s="2">
        <v>2</v>
      </c>
      <c r="G13836" s="2" t="s">
        <v>9</v>
      </c>
    </row>
    <row r="13837" spans="1:9" x14ac:dyDescent="0.2">
      <c r="A13837" s="2" t="s">
        <v>3726</v>
      </c>
      <c r="B13837" s="2" t="s">
        <v>1891</v>
      </c>
      <c r="C13837" s="2">
        <v>934.69870000000003</v>
      </c>
      <c r="D13837" s="2">
        <f>HYPERLINK("http://mcb-m6.bioreg.kyushu-u.ac.jp/M3/20110411/F50902/2953/1", 46.95)</f>
        <v>46.95</v>
      </c>
      <c r="E13837" s="2">
        <v>28.53</v>
      </c>
      <c r="F13837" s="2">
        <v>2</v>
      </c>
      <c r="G13837" s="2" t="s">
        <v>10</v>
      </c>
    </row>
    <row r="13838" spans="1:9" x14ac:dyDescent="0.2">
      <c r="A13838" s="2" t="s">
        <v>3726</v>
      </c>
      <c r="B13838" s="2" t="s">
        <v>2223</v>
      </c>
      <c r="C13838" s="2">
        <v>703.30269999999996</v>
      </c>
      <c r="D13838" s="2">
        <f>HYPERLINK("http://mcb-m6.bioreg.kyushu-u.ac.jp/M3/20110414/F50944/1889/1", 38.18)</f>
        <v>38.18</v>
      </c>
      <c r="E13838" s="2">
        <v>22.35</v>
      </c>
      <c r="F13838" s="2">
        <v>2</v>
      </c>
      <c r="G13838" s="2" t="s">
        <v>11</v>
      </c>
    </row>
    <row r="13839" spans="1:9" x14ac:dyDescent="0.2">
      <c r="A13839" s="2" t="s">
        <v>3726</v>
      </c>
      <c r="B13839" s="2" t="s">
        <v>2275</v>
      </c>
      <c r="C13839" s="2">
        <v>713.37120000000004</v>
      </c>
      <c r="D13839" s="2">
        <f>HYPERLINK("http://mcb-m6.bioreg.kyushu-u.ac.jp/M3/20110414/F50944/1940/1", 42.1)</f>
        <v>42.1</v>
      </c>
      <c r="E13839" s="2">
        <v>22.99</v>
      </c>
      <c r="F13839" s="2">
        <v>2</v>
      </c>
      <c r="G13839" s="2" t="s">
        <v>11</v>
      </c>
      <c r="I13839" s="2" t="s">
        <v>4914</v>
      </c>
    </row>
    <row r="13840" spans="1:9" x14ac:dyDescent="0.2">
      <c r="A13840" s="2" t="s">
        <v>3726</v>
      </c>
      <c r="B13840" s="2" t="s">
        <v>2377</v>
      </c>
      <c r="C13840" s="2">
        <v>763.33720000000005</v>
      </c>
      <c r="D13840" s="2">
        <f>HYPERLINK("http://mcb-m6.bioreg.kyushu-u.ac.jp/M3/20110414/F50944/2209/1", 51.57)</f>
        <v>51.57</v>
      </c>
      <c r="E13840" s="2">
        <v>34.04</v>
      </c>
      <c r="F13840" s="2">
        <v>2</v>
      </c>
      <c r="G13840" s="2" t="s">
        <v>11</v>
      </c>
    </row>
    <row r="13841" spans="1:9" x14ac:dyDescent="0.2">
      <c r="A13841" s="2" t="s">
        <v>3726</v>
      </c>
      <c r="B13841" s="2" t="s">
        <v>1891</v>
      </c>
      <c r="C13841" s="2">
        <v>934.91269999999997</v>
      </c>
      <c r="D13841" s="2">
        <f>HYPERLINK("http://mcb-m6.bioreg.kyushu-u.ac.jp/M3/20110414/F50957/3099/1", 70.07)</f>
        <v>70.069999999999993</v>
      </c>
      <c r="E13841" s="2">
        <v>58.07</v>
      </c>
      <c r="F13841" s="2">
        <v>2</v>
      </c>
      <c r="G13841" s="2" t="s">
        <v>11</v>
      </c>
    </row>
    <row r="13842" spans="1:9" x14ac:dyDescent="0.2">
      <c r="A13842" s="2" t="s">
        <v>3726</v>
      </c>
      <c r="B13842" s="2" t="s">
        <v>1891</v>
      </c>
      <c r="C13842" s="2">
        <v>934.82920000000001</v>
      </c>
      <c r="D13842" s="2">
        <f>HYPERLINK("http://mcb-m6.bioreg.kyushu-u.ac.jp/M3/20110414/F50956/3204/1", 80.01)</f>
        <v>80.010000000000005</v>
      </c>
      <c r="E13842" s="2">
        <v>67.290000000000006</v>
      </c>
      <c r="F13842" s="2">
        <v>2</v>
      </c>
      <c r="G13842" s="2" t="s">
        <v>11</v>
      </c>
    </row>
    <row r="13843" spans="1:9" x14ac:dyDescent="0.2">
      <c r="A13843" s="2" t="s">
        <v>3726</v>
      </c>
      <c r="B13843" s="2" t="s">
        <v>2665</v>
      </c>
      <c r="C13843" s="2">
        <v>700.99159999999995</v>
      </c>
      <c r="D13843" s="2">
        <f>HYPERLINK("http://mcb-m6.bioreg.kyushu-u.ac.jp/M3/20110414/F50950/1910/1", 50.24)</f>
        <v>50.24</v>
      </c>
      <c r="E13843" s="2">
        <v>28.13</v>
      </c>
      <c r="F13843" s="2">
        <v>2</v>
      </c>
      <c r="G13843" s="2" t="s">
        <v>12</v>
      </c>
    </row>
    <row r="13844" spans="1:9" x14ac:dyDescent="0.2">
      <c r="A13844" s="2" t="s">
        <v>3726</v>
      </c>
      <c r="B13844" s="2" t="s">
        <v>2275</v>
      </c>
      <c r="C13844" s="2">
        <v>712.49469999999997</v>
      </c>
      <c r="D13844" s="2">
        <f>HYPERLINK("http://mcb-m6.bioreg.kyushu-u.ac.jp/M3/20110414/F50950/1980/1", 53.81)</f>
        <v>53.81</v>
      </c>
      <c r="E13844" s="2">
        <v>34.68</v>
      </c>
      <c r="F13844" s="2">
        <v>2</v>
      </c>
      <c r="G13844" s="2" t="s">
        <v>12</v>
      </c>
      <c r="I13844" s="2" t="s">
        <v>4914</v>
      </c>
    </row>
    <row r="13845" spans="1:9" x14ac:dyDescent="0.2">
      <c r="A13845" s="2" t="s">
        <v>3726</v>
      </c>
      <c r="B13845" s="2" t="s">
        <v>2223</v>
      </c>
      <c r="C13845" s="2">
        <v>703.0077</v>
      </c>
      <c r="D13845" s="2">
        <f>HYPERLINK("http://mcb-m6.bioreg.kyushu-u.ac.jp/M3/20110414/F50950/1926/1", 73)</f>
        <v>73</v>
      </c>
      <c r="E13845" s="2">
        <v>42.49</v>
      </c>
      <c r="F13845" s="2">
        <v>2</v>
      </c>
      <c r="G13845" s="2" t="s">
        <v>12</v>
      </c>
    </row>
    <row r="13846" spans="1:9" x14ac:dyDescent="0.2">
      <c r="A13846" s="2" t="s">
        <v>3726</v>
      </c>
      <c r="B13846" s="2" t="s">
        <v>2794</v>
      </c>
      <c r="C13846" s="2">
        <v>559.59720000000004</v>
      </c>
      <c r="D13846" s="2">
        <f>HYPERLINK("http://mcb-m6.bioreg.kyushu-u.ac.jp/M3/20110502/F51174/1334/1", 35.7)</f>
        <v>35.700000000000003</v>
      </c>
      <c r="E13846" s="2">
        <v>9.56</v>
      </c>
      <c r="F13846" s="2">
        <v>2</v>
      </c>
      <c r="G13846" s="2" t="s">
        <v>13</v>
      </c>
      <c r="I13846" s="2" t="s">
        <v>4898</v>
      </c>
    </row>
    <row r="13847" spans="1:9" x14ac:dyDescent="0.2">
      <c r="A13847" s="2" t="s">
        <v>3726</v>
      </c>
      <c r="B13847" s="2" t="s">
        <v>2794</v>
      </c>
      <c r="C13847" s="2">
        <v>559.64319999999998</v>
      </c>
      <c r="D13847" s="2">
        <f>HYPERLINK("http://mcb-m6.bioreg.kyushu-u.ac.jp/M3/20110502/F51175/1207/1", 42.98)</f>
        <v>42.98</v>
      </c>
      <c r="E13847" s="2">
        <v>9.49</v>
      </c>
      <c r="F13847" s="2">
        <v>2</v>
      </c>
      <c r="G13847" s="2" t="s">
        <v>13</v>
      </c>
      <c r="I13847" s="2" t="s">
        <v>4898</v>
      </c>
    </row>
    <row r="13848" spans="1:9" x14ac:dyDescent="0.2">
      <c r="A13848" s="2" t="s">
        <v>3726</v>
      </c>
      <c r="B13848" s="2" t="s">
        <v>2948</v>
      </c>
      <c r="C13848" s="2">
        <v>731.51070000000004</v>
      </c>
      <c r="D13848" s="2">
        <f>HYPERLINK("http://mcb-m6.bioreg.kyushu-u.ac.jp/M3/20110502/F51175/1893/1", 69.3)</f>
        <v>69.3</v>
      </c>
      <c r="E13848" s="2">
        <v>55.09</v>
      </c>
      <c r="F13848" s="2">
        <v>2</v>
      </c>
      <c r="G13848" s="2" t="s">
        <v>13</v>
      </c>
    </row>
    <row r="13849" spans="1:9" x14ac:dyDescent="0.2">
      <c r="A13849" s="2" t="s">
        <v>3726</v>
      </c>
      <c r="B13849" s="2" t="s">
        <v>2275</v>
      </c>
      <c r="C13849" s="2">
        <v>713.11519999999996</v>
      </c>
      <c r="D13849" s="2">
        <f>HYPERLINK("http://mcb-m6.bioreg.kyushu-u.ac.jp/M3/20110502/F51186/1736/1", 54.13)</f>
        <v>54.13</v>
      </c>
      <c r="E13849" s="2">
        <v>40.28</v>
      </c>
      <c r="F13849" s="2">
        <v>2</v>
      </c>
      <c r="G13849" s="2" t="s">
        <v>14</v>
      </c>
      <c r="I13849" s="2" t="s">
        <v>4914</v>
      </c>
    </row>
    <row r="13850" spans="1:9" x14ac:dyDescent="0.2">
      <c r="A13850" s="2" t="s">
        <v>3726</v>
      </c>
      <c r="B13850" s="2" t="s">
        <v>2665</v>
      </c>
      <c r="C13850" s="2">
        <v>701.60720000000003</v>
      </c>
      <c r="D13850" s="2">
        <f>HYPERLINK("http://mcb-m6.bioreg.kyushu-u.ac.jp/M3/20110502/F51186/1681/1", 67.31)</f>
        <v>67.31</v>
      </c>
      <c r="E13850" s="2">
        <v>43.85</v>
      </c>
      <c r="F13850" s="2">
        <v>2</v>
      </c>
      <c r="G13850" s="2" t="s">
        <v>14</v>
      </c>
    </row>
    <row r="13851" spans="1:9" x14ac:dyDescent="0.2">
      <c r="A13851" s="2" t="s">
        <v>3726</v>
      </c>
      <c r="B13851" s="2" t="s">
        <v>3216</v>
      </c>
      <c r="C13851" s="2">
        <v>859.50819999999999</v>
      </c>
      <c r="D13851" s="2">
        <f>HYPERLINK("http://mcb-m6.bioreg.kyushu-u.ac.jp/M3/20110502/F51186/2357/1", 82.08)</f>
        <v>82.08</v>
      </c>
      <c r="E13851" s="2">
        <v>72.849999999999994</v>
      </c>
      <c r="F13851" s="2">
        <v>2</v>
      </c>
      <c r="G13851" s="2" t="s">
        <v>14</v>
      </c>
      <c r="I13851" s="2" t="s">
        <v>4898</v>
      </c>
    </row>
    <row r="13852" spans="1:9" x14ac:dyDescent="0.2">
      <c r="A13852" s="2" t="s">
        <v>3726</v>
      </c>
      <c r="B13852" s="2" t="s">
        <v>2223</v>
      </c>
      <c r="C13852" s="2">
        <v>703.80319999999995</v>
      </c>
      <c r="D13852" s="2">
        <f>HYPERLINK("http://mcb-m6.bioreg.kyushu-u.ac.jp/M3/20110502/F51186/1698/1", 94.19)</f>
        <v>94.19</v>
      </c>
      <c r="E13852" s="2">
        <v>58.01</v>
      </c>
      <c r="F13852" s="2">
        <v>2</v>
      </c>
      <c r="G13852" s="2" t="s">
        <v>14</v>
      </c>
    </row>
    <row r="13853" spans="1:9" x14ac:dyDescent="0.2">
      <c r="A13853" s="2" t="s">
        <v>3726</v>
      </c>
      <c r="B13853" s="2" t="s">
        <v>3227</v>
      </c>
      <c r="C13853" s="2">
        <v>733.98419999999999</v>
      </c>
      <c r="D13853" s="2">
        <f>HYPERLINK("http://mcb-m6.bioreg.kyushu-u.ac.jp/M3/20110502/F51186/1833/1", 94.41)</f>
        <v>94.41</v>
      </c>
      <c r="E13853" s="2">
        <v>68.34</v>
      </c>
      <c r="F13853" s="2">
        <v>2</v>
      </c>
      <c r="G13853" s="2" t="s">
        <v>14</v>
      </c>
      <c r="I13853" s="2" t="s">
        <v>4983</v>
      </c>
    </row>
    <row r="13854" spans="1:9" x14ac:dyDescent="0.2">
      <c r="A13854" s="2" t="s">
        <v>4835</v>
      </c>
      <c r="B13854" s="2" t="s">
        <v>3097</v>
      </c>
      <c r="C13854" s="2">
        <v>719.4991</v>
      </c>
      <c r="D13854" s="2">
        <f>HYPERLINK("http://mcb-m6.bioreg.kyushu-u.ac.jp/M3/20110502/F51186/1783/1", 44.3)</f>
        <v>44.3</v>
      </c>
      <c r="E13854" s="2">
        <v>30.22</v>
      </c>
      <c r="F13854" s="2">
        <v>2</v>
      </c>
      <c r="G13854" s="2" t="s">
        <v>14</v>
      </c>
    </row>
    <row r="13855" spans="1:9" x14ac:dyDescent="0.2">
      <c r="A13855" s="2" t="s">
        <v>3786</v>
      </c>
      <c r="B13855" s="2" t="s">
        <v>825</v>
      </c>
      <c r="C13855" s="2">
        <v>569.02919999999995</v>
      </c>
      <c r="D13855" s="2">
        <f>HYPERLINK("http://mcb-m6.bioreg.kyushu-u.ac.jp/M3/20110411/F50911/1248/1", 52.54)</f>
        <v>52.54</v>
      </c>
      <c r="E13855" s="2">
        <v>26.72</v>
      </c>
      <c r="F13855" s="2">
        <v>2</v>
      </c>
      <c r="G13855" s="2" t="s">
        <v>9</v>
      </c>
    </row>
    <row r="13856" spans="1:9" x14ac:dyDescent="0.2">
      <c r="A13856" s="2" t="s">
        <v>3786</v>
      </c>
      <c r="B13856" s="2" t="s">
        <v>825</v>
      </c>
      <c r="C13856" s="2">
        <v>568.94169999999997</v>
      </c>
      <c r="D13856" s="2">
        <f>HYPERLINK("http://mcb-m6.bioreg.kyushu-u.ac.jp/M3/20110411/F50914/1313/1", 52.37)</f>
        <v>52.37</v>
      </c>
      <c r="E13856" s="2">
        <v>34.26</v>
      </c>
      <c r="F13856" s="2">
        <v>2</v>
      </c>
      <c r="G13856" s="2" t="s">
        <v>10</v>
      </c>
    </row>
    <row r="13857" spans="1:7" x14ac:dyDescent="0.2">
      <c r="A13857" s="2" t="s">
        <v>3786</v>
      </c>
      <c r="B13857" s="2" t="s">
        <v>825</v>
      </c>
      <c r="C13857" s="2">
        <v>568.76009999999997</v>
      </c>
      <c r="D13857" s="2">
        <f>HYPERLINK("http://mcb-m6.bioreg.kyushu-u.ac.jp/M3/20110414/F50942/1050/1", 44.31)</f>
        <v>44.31</v>
      </c>
      <c r="E13857" s="2">
        <v>21.57</v>
      </c>
      <c r="F13857" s="2">
        <v>2</v>
      </c>
      <c r="G13857" s="2" t="s">
        <v>11</v>
      </c>
    </row>
    <row r="13858" spans="1:7" x14ac:dyDescent="0.2">
      <c r="A13858" s="2" t="s">
        <v>3786</v>
      </c>
      <c r="B13858" s="2" t="s">
        <v>825</v>
      </c>
      <c r="C13858" s="2">
        <v>568.58669999999995</v>
      </c>
      <c r="D13858" s="2">
        <f>HYPERLINK("http://mcb-m6.bioreg.kyushu-u.ac.jp/M3/20110414/F50948/1094/1", 47.04)</f>
        <v>47.04</v>
      </c>
      <c r="E13858" s="2">
        <v>27.49</v>
      </c>
      <c r="F13858" s="2">
        <v>2</v>
      </c>
      <c r="G13858" s="2" t="s">
        <v>12</v>
      </c>
    </row>
    <row r="13859" spans="1:7" x14ac:dyDescent="0.2">
      <c r="A13859" s="2" t="s">
        <v>3786</v>
      </c>
      <c r="B13859" s="2" t="s">
        <v>825</v>
      </c>
      <c r="C13859" s="2">
        <v>569.14509999999996</v>
      </c>
      <c r="D13859" s="2">
        <f>HYPERLINK("http://mcb-m6.bioreg.kyushu-u.ac.jp/M3/20110414/F50948/1098/1", 59.69)</f>
        <v>59.69</v>
      </c>
      <c r="E13859" s="2">
        <v>37.86</v>
      </c>
      <c r="F13859" s="2">
        <v>2</v>
      </c>
      <c r="G13859" s="2" t="s">
        <v>12</v>
      </c>
    </row>
    <row r="13860" spans="1:7" x14ac:dyDescent="0.2">
      <c r="A13860" s="2" t="s">
        <v>3786</v>
      </c>
      <c r="B13860" s="2" t="s">
        <v>2830</v>
      </c>
      <c r="C13860" s="2">
        <v>772.48069999999996</v>
      </c>
      <c r="D13860" s="2">
        <f>HYPERLINK("http://mcb-m6.bioreg.kyushu-u.ac.jp/M3/20110502/F51171/2149/1", 37.65)</f>
        <v>37.65</v>
      </c>
      <c r="E13860" s="2">
        <v>18.02</v>
      </c>
      <c r="F13860" s="2">
        <v>2</v>
      </c>
      <c r="G13860" s="2" t="s">
        <v>13</v>
      </c>
    </row>
    <row r="13861" spans="1:7" x14ac:dyDescent="0.2">
      <c r="A13861" s="2" t="s">
        <v>3786</v>
      </c>
      <c r="B13861" s="2" t="s">
        <v>3067</v>
      </c>
      <c r="C13861" s="2">
        <v>633.33969999999999</v>
      </c>
      <c r="D13861" s="2">
        <f>HYPERLINK("http://mcb-m6.bioreg.kyushu-u.ac.jp/M3/20110502/F51183/1338/1", 41.35)</f>
        <v>41.35</v>
      </c>
      <c r="E13861" s="2">
        <v>19.62</v>
      </c>
      <c r="F13861" s="2">
        <v>2</v>
      </c>
      <c r="G13861" s="2" t="s">
        <v>14</v>
      </c>
    </row>
    <row r="13862" spans="1:7" x14ac:dyDescent="0.2">
      <c r="A13862" s="2" t="s">
        <v>3786</v>
      </c>
      <c r="B13862" s="2" t="s">
        <v>825</v>
      </c>
      <c r="C13862" s="2">
        <v>568.89670000000001</v>
      </c>
      <c r="D13862" s="2">
        <f>HYPERLINK("http://mcb-m6.bioreg.kyushu-u.ac.jp/M3/20110502/F51186/1087/1", 44.87)</f>
        <v>44.87</v>
      </c>
      <c r="E13862" s="2">
        <v>12.74</v>
      </c>
      <c r="F13862" s="2">
        <v>2</v>
      </c>
      <c r="G13862" s="2" t="s">
        <v>14</v>
      </c>
    </row>
    <row r="13863" spans="1:7" x14ac:dyDescent="0.2">
      <c r="A13863" s="2" t="s">
        <v>3786</v>
      </c>
      <c r="B13863" s="2" t="s">
        <v>825</v>
      </c>
      <c r="C13863" s="2">
        <v>569.07370000000003</v>
      </c>
      <c r="D13863" s="2">
        <f>HYPERLINK("http://mcb-m6.bioreg.kyushu-u.ac.jp/M3/20110502/F51179/912/1", 48.58)</f>
        <v>48.58</v>
      </c>
      <c r="E13863" s="2">
        <v>15.73</v>
      </c>
      <c r="F13863" s="2">
        <v>2</v>
      </c>
      <c r="G13863" s="2" t="s">
        <v>14</v>
      </c>
    </row>
    <row r="13864" spans="1:7" x14ac:dyDescent="0.2">
      <c r="A13864" s="2" t="s">
        <v>4000</v>
      </c>
      <c r="B13864" s="2" t="s">
        <v>1290</v>
      </c>
      <c r="C13864" s="2">
        <v>488.20510000000002</v>
      </c>
      <c r="D13864" s="2">
        <f>HYPERLINK("http://mcb-m6.bioreg.kyushu-u.ac.jp/M3/20110411/F50889/1479/1", 70.9)</f>
        <v>70.900000000000006</v>
      </c>
      <c r="E13864" s="2">
        <v>40.04</v>
      </c>
      <c r="F13864" s="2">
        <v>2</v>
      </c>
      <c r="G13864" s="2" t="s">
        <v>9</v>
      </c>
    </row>
    <row r="13865" spans="1:7" x14ac:dyDescent="0.2">
      <c r="A13865" s="2" t="s">
        <v>4000</v>
      </c>
      <c r="B13865" s="2" t="s">
        <v>1290</v>
      </c>
      <c r="C13865" s="2">
        <v>975.58799999999997</v>
      </c>
      <c r="D13865" s="2">
        <f>HYPERLINK("http://mcb-m6.bioreg.kyushu-u.ac.jp/M3/20110411/F50896/1227/1", 37.18)</f>
        <v>37.18</v>
      </c>
      <c r="E13865" s="2">
        <v>17.739999999999998</v>
      </c>
      <c r="F13865" s="2">
        <v>1</v>
      </c>
      <c r="G13865" s="2" t="s">
        <v>10</v>
      </c>
    </row>
    <row r="13866" spans="1:7" x14ac:dyDescent="0.2">
      <c r="A13866" s="2" t="s">
        <v>4000</v>
      </c>
      <c r="B13866" s="2" t="s">
        <v>1290</v>
      </c>
      <c r="C13866" s="2">
        <v>488.36110000000002</v>
      </c>
      <c r="D13866" s="2">
        <f>HYPERLINK("http://mcb-m6.bioreg.kyushu-u.ac.jp/M3/20110502/F51167/1424/1", 40.07)</f>
        <v>40.07</v>
      </c>
      <c r="E13866" s="2">
        <v>18.809999999999999</v>
      </c>
      <c r="F13866" s="2">
        <v>2</v>
      </c>
      <c r="G13866" s="2" t="s">
        <v>13</v>
      </c>
    </row>
    <row r="13867" spans="1:7" x14ac:dyDescent="0.2">
      <c r="A13867" s="4" t="s">
        <v>3831</v>
      </c>
      <c r="B13867" s="2" t="s">
        <v>903</v>
      </c>
      <c r="C13867" s="2">
        <v>889.8057</v>
      </c>
      <c r="D13867" s="2">
        <f>HYPERLINK("http://mcb-m6.bioreg.kyushu-u.ac.jp/M3/20110411/F50889/2647/1", 55.06)</f>
        <v>55.06</v>
      </c>
      <c r="E13867" s="2">
        <v>44.86</v>
      </c>
      <c r="F13867" s="2">
        <v>2</v>
      </c>
      <c r="G13867" s="2" t="s">
        <v>9</v>
      </c>
    </row>
    <row r="13868" spans="1:7" x14ac:dyDescent="0.2">
      <c r="A13868" s="4" t="s">
        <v>3831</v>
      </c>
      <c r="B13868" s="2" t="s">
        <v>903</v>
      </c>
      <c r="C13868" s="2">
        <v>889.83920000000001</v>
      </c>
      <c r="D13868" s="2">
        <f>HYPERLINK("http://mcb-m6.bioreg.kyushu-u.ac.jp/M3/20110411/F50890/2919/1", 71.91)</f>
        <v>71.91</v>
      </c>
      <c r="E13868" s="2">
        <v>62.57</v>
      </c>
      <c r="F13868" s="2">
        <v>2</v>
      </c>
      <c r="G13868" s="2" t="s">
        <v>9</v>
      </c>
    </row>
    <row r="13869" spans="1:7" x14ac:dyDescent="0.2">
      <c r="A13869" s="4" t="s">
        <v>3831</v>
      </c>
      <c r="B13869" s="2" t="s">
        <v>903</v>
      </c>
      <c r="C13869" s="2">
        <v>890.26459999999997</v>
      </c>
      <c r="D13869" s="2">
        <f>HYPERLINK("http://mcb-m6.bioreg.kyushu-u.ac.jp/M3/20110411/F50896/2687/1", 79.14)</f>
        <v>79.14</v>
      </c>
      <c r="E13869" s="2">
        <v>57.32</v>
      </c>
      <c r="F13869" s="2">
        <v>2</v>
      </c>
      <c r="G13869" s="2" t="s">
        <v>10</v>
      </c>
    </row>
    <row r="13870" spans="1:7" x14ac:dyDescent="0.2">
      <c r="A13870" s="2" t="s">
        <v>3992</v>
      </c>
      <c r="B13870" s="2" t="s">
        <v>1271</v>
      </c>
      <c r="C13870" s="2">
        <v>594.74019999999996</v>
      </c>
      <c r="D13870" s="2">
        <f>HYPERLINK("http://mcb-m6.bioreg.kyushu-u.ac.jp/M3/20110411/F50889/1836/1", 69.94)</f>
        <v>69.94</v>
      </c>
      <c r="E13870" s="2">
        <v>53.54</v>
      </c>
      <c r="F13870" s="2">
        <v>2</v>
      </c>
      <c r="G13870" s="2" t="s">
        <v>9</v>
      </c>
    </row>
    <row r="13871" spans="1:7" x14ac:dyDescent="0.2">
      <c r="A13871" s="2" t="s">
        <v>3275</v>
      </c>
      <c r="B13871" s="2" t="s">
        <v>55</v>
      </c>
      <c r="C13871" s="2">
        <v>509.8526</v>
      </c>
      <c r="D13871" s="2">
        <f>HYPERLINK("http://mcb-m6.bioreg.kyushu-u.ac.jp/M3/20110411/F50889/1560/1", 35.51)</f>
        <v>35.51</v>
      </c>
      <c r="E13871" s="2">
        <v>13.77</v>
      </c>
      <c r="F13871" s="2">
        <v>2</v>
      </c>
      <c r="G13871" s="2" t="s">
        <v>9</v>
      </c>
    </row>
    <row r="13872" spans="1:7" x14ac:dyDescent="0.2">
      <c r="A13872" s="2" t="s">
        <v>4004</v>
      </c>
      <c r="B13872" s="2" t="s">
        <v>1295</v>
      </c>
      <c r="C13872" s="2">
        <v>812.39869999999996</v>
      </c>
      <c r="D13872" s="2">
        <f>HYPERLINK("http://mcb-m6.bioreg.kyushu-u.ac.jp/M3/20110411/F50889/2452/1", 71.16)</f>
        <v>71.16</v>
      </c>
      <c r="E13872" s="2">
        <v>52.91</v>
      </c>
      <c r="F13872" s="2">
        <v>2</v>
      </c>
      <c r="G13872" s="2" t="s">
        <v>9</v>
      </c>
    </row>
    <row r="13873" spans="1:7" x14ac:dyDescent="0.2">
      <c r="A13873" s="2" t="s">
        <v>4282</v>
      </c>
      <c r="B13873" s="2" t="s">
        <v>1966</v>
      </c>
      <c r="C13873" s="2">
        <v>979.91859999999997</v>
      </c>
      <c r="D13873" s="2">
        <f>HYPERLINK("http://mcb-m6.bioreg.kyushu-u.ac.jp/M3/20110411/F50901/2970/1", 55.05)</f>
        <v>55.05</v>
      </c>
      <c r="E13873" s="2">
        <v>35.520000000000003</v>
      </c>
      <c r="F13873" s="2">
        <v>2</v>
      </c>
      <c r="G13873" s="2" t="s">
        <v>10</v>
      </c>
    </row>
    <row r="13874" spans="1:7" x14ac:dyDescent="0.2">
      <c r="A13874" s="2" t="s">
        <v>4708</v>
      </c>
      <c r="B13874" s="2" t="s">
        <v>2895</v>
      </c>
      <c r="C13874" s="2">
        <v>487.44310000000002</v>
      </c>
      <c r="D13874" s="2">
        <f>HYPERLINK("http://mcb-m6.bioreg.kyushu-u.ac.jp/M3/20110502/F51170/942/1", 45.01)</f>
        <v>45.01</v>
      </c>
      <c r="E13874" s="2">
        <v>15.92</v>
      </c>
      <c r="F13874" s="2">
        <v>2</v>
      </c>
      <c r="G13874" s="2" t="s">
        <v>13</v>
      </c>
    </row>
    <row r="13875" spans="1:7" x14ac:dyDescent="0.2">
      <c r="A13875" s="2" t="s">
        <v>4029</v>
      </c>
      <c r="B13875" s="2" t="s">
        <v>1345</v>
      </c>
      <c r="C13875" s="2">
        <v>1001.731</v>
      </c>
      <c r="D13875" s="2">
        <f>HYPERLINK("http://mcb-m6.bioreg.kyushu-u.ac.jp/M3/20110411/F50905/3294/1", 74.29)</f>
        <v>74.290000000000006</v>
      </c>
      <c r="E13875" s="2">
        <v>57.72</v>
      </c>
      <c r="F13875" s="2">
        <v>2</v>
      </c>
      <c r="G13875" s="2" t="s">
        <v>9</v>
      </c>
    </row>
    <row r="13876" spans="1:7" x14ac:dyDescent="0.2">
      <c r="A13876" s="2" t="s">
        <v>4081</v>
      </c>
      <c r="B13876" s="2" t="s">
        <v>1497</v>
      </c>
      <c r="C13876" s="2">
        <v>723.16420000000005</v>
      </c>
      <c r="D13876" s="2">
        <f>HYPERLINK("http://mcb-m6.bioreg.kyushu-u.ac.jp/M3/20110411/F50904/1957/1", 86.39)</f>
        <v>86.39</v>
      </c>
      <c r="E13876" s="2">
        <v>61.85</v>
      </c>
      <c r="F13876" s="2">
        <v>2</v>
      </c>
      <c r="G13876" s="2" t="s">
        <v>9</v>
      </c>
    </row>
    <row r="13877" spans="1:7" x14ac:dyDescent="0.2">
      <c r="A13877" s="2" t="s">
        <v>4081</v>
      </c>
      <c r="B13877" s="2" t="s">
        <v>1497</v>
      </c>
      <c r="C13877" s="2">
        <v>723.25070000000005</v>
      </c>
      <c r="D13877" s="2">
        <f>HYPERLINK("http://mcb-m6.bioreg.kyushu-u.ac.jp/M3/20110414/F50941/1995/1", 67.02)</f>
        <v>67.02</v>
      </c>
      <c r="E13877" s="2">
        <v>50.04</v>
      </c>
      <c r="F13877" s="2">
        <v>2</v>
      </c>
      <c r="G13877" s="2" t="s">
        <v>11</v>
      </c>
    </row>
    <row r="13878" spans="1:7" x14ac:dyDescent="0.2">
      <c r="A13878" s="2" t="s">
        <v>4081</v>
      </c>
      <c r="B13878" s="2" t="s">
        <v>1497</v>
      </c>
      <c r="C13878" s="2">
        <v>722.75919999999996</v>
      </c>
      <c r="D13878" s="2">
        <f>HYPERLINK("http://mcb-m6.bioreg.kyushu-u.ac.jp/M3/20110414/F50947/1823/1", 72.17)</f>
        <v>72.17</v>
      </c>
      <c r="E13878" s="2">
        <v>52.34</v>
      </c>
      <c r="F13878" s="2">
        <v>2</v>
      </c>
      <c r="G13878" s="2" t="s">
        <v>12</v>
      </c>
    </row>
    <row r="13879" spans="1:7" x14ac:dyDescent="0.2">
      <c r="A13879" s="2" t="s">
        <v>4081</v>
      </c>
      <c r="B13879" s="2" t="s">
        <v>1497</v>
      </c>
      <c r="C13879" s="2">
        <v>723.45870000000002</v>
      </c>
      <c r="D13879" s="2">
        <f>HYPERLINK("http://mcb-m6.bioreg.kyushu-u.ac.jp/M3/20110414/F50947/1827/1", 80.3)</f>
        <v>80.3</v>
      </c>
      <c r="E13879" s="2">
        <v>58.06</v>
      </c>
      <c r="F13879" s="2">
        <v>2</v>
      </c>
      <c r="G13879" s="2" t="s">
        <v>12</v>
      </c>
    </row>
    <row r="13880" spans="1:7" x14ac:dyDescent="0.2">
      <c r="A13880" s="2" t="s">
        <v>4081</v>
      </c>
      <c r="B13880" s="2" t="s">
        <v>1497</v>
      </c>
      <c r="C13880" s="2">
        <v>723.13710000000003</v>
      </c>
      <c r="D13880" s="2">
        <f>HYPERLINK("http://mcb-m6.bioreg.kyushu-u.ac.jp/M3/20110502/F51179/1670/1", 114.85)</f>
        <v>114.85</v>
      </c>
      <c r="E13880" s="2">
        <v>92.33</v>
      </c>
      <c r="F13880" s="2">
        <v>2</v>
      </c>
      <c r="G13880" s="2" t="s">
        <v>14</v>
      </c>
    </row>
    <row r="13881" spans="1:7" x14ac:dyDescent="0.2">
      <c r="A13881" s="2" t="s">
        <v>4733</v>
      </c>
      <c r="B13881" s="2" t="s">
        <v>2951</v>
      </c>
      <c r="C13881" s="2">
        <v>1056.3989999999999</v>
      </c>
      <c r="D13881" s="2">
        <f>HYPERLINK("http://mcb-m6.bioreg.kyushu-u.ac.jp/M3/20110502/F51168/2886/1", 78.73)</f>
        <v>78.73</v>
      </c>
      <c r="E13881" s="2">
        <v>65.03</v>
      </c>
      <c r="F13881" s="2">
        <v>2</v>
      </c>
      <c r="G13881" s="2" t="s">
        <v>13</v>
      </c>
    </row>
    <row r="13882" spans="1:7" x14ac:dyDescent="0.2">
      <c r="A13882" s="2" t="s">
        <v>4010</v>
      </c>
      <c r="B13882" s="2" t="s">
        <v>1305</v>
      </c>
      <c r="C13882" s="2">
        <v>713.4692</v>
      </c>
      <c r="D13882" s="2">
        <f>HYPERLINK("http://mcb-m6.bioreg.kyushu-u.ac.jp/M3/20110411/F50890/2027/1", 71.72)</f>
        <v>71.72</v>
      </c>
      <c r="E13882" s="2">
        <v>56.79</v>
      </c>
      <c r="F13882" s="2">
        <v>2</v>
      </c>
      <c r="G13882" s="2" t="s">
        <v>9</v>
      </c>
    </row>
    <row r="13883" spans="1:7" x14ac:dyDescent="0.2">
      <c r="A13883" s="2" t="s">
        <v>4010</v>
      </c>
      <c r="B13883" s="2" t="s">
        <v>1305</v>
      </c>
      <c r="C13883" s="2">
        <v>713.54470000000003</v>
      </c>
      <c r="D13883" s="2">
        <f>HYPERLINK("http://mcb-m6.bioreg.kyushu-u.ac.jp/M3/20110411/F50897/1830/1", 63.79)</f>
        <v>63.79</v>
      </c>
      <c r="E13883" s="2">
        <v>45.71</v>
      </c>
      <c r="F13883" s="2">
        <v>2</v>
      </c>
      <c r="G13883" s="2" t="s">
        <v>10</v>
      </c>
    </row>
    <row r="13884" spans="1:7" x14ac:dyDescent="0.2">
      <c r="A13884" s="2" t="s">
        <v>4010</v>
      </c>
      <c r="B13884" s="2" t="s">
        <v>1305</v>
      </c>
      <c r="C13884" s="2">
        <v>713.13620000000003</v>
      </c>
      <c r="D13884" s="2">
        <f>HYPERLINK("http://mcb-m6.bioreg.kyushu-u.ac.jp/M3/20110414/F50927/2160/1", 75.81)</f>
        <v>75.81</v>
      </c>
      <c r="E13884" s="2">
        <v>58.19</v>
      </c>
      <c r="F13884" s="2">
        <v>2</v>
      </c>
      <c r="G13884" s="2" t="s">
        <v>11</v>
      </c>
    </row>
    <row r="13885" spans="1:7" x14ac:dyDescent="0.2">
      <c r="A13885" s="2" t="s">
        <v>4010</v>
      </c>
      <c r="B13885" s="2" t="s">
        <v>1305</v>
      </c>
      <c r="C13885" s="2">
        <v>713.35170000000005</v>
      </c>
      <c r="D13885" s="2">
        <f>HYPERLINK("http://mcb-m6.bioreg.kyushu-u.ac.jp/M3/20110414/F50932/2164/1", 72.54)</f>
        <v>72.540000000000006</v>
      </c>
      <c r="E13885" s="2">
        <v>51.27</v>
      </c>
      <c r="F13885" s="2">
        <v>2</v>
      </c>
      <c r="G13885" s="2" t="s">
        <v>12</v>
      </c>
    </row>
    <row r="13886" spans="1:7" x14ac:dyDescent="0.2">
      <c r="A13886" s="2" t="s">
        <v>4010</v>
      </c>
      <c r="B13886" s="2" t="s">
        <v>1305</v>
      </c>
      <c r="C13886" s="2">
        <v>713.67269999999996</v>
      </c>
      <c r="D13886" s="2">
        <f>HYPERLINK("http://mcb-m6.bioreg.kyushu-u.ac.jp/M3/20110502/F51168/1938/1", 87.79)</f>
        <v>87.79</v>
      </c>
      <c r="E13886" s="2">
        <v>60.72</v>
      </c>
      <c r="F13886" s="2">
        <v>2</v>
      </c>
      <c r="G13886" s="2" t="s">
        <v>13</v>
      </c>
    </row>
    <row r="13887" spans="1:7" x14ac:dyDescent="0.2">
      <c r="A13887" s="2" t="s">
        <v>3489</v>
      </c>
      <c r="B13887" s="2" t="s">
        <v>319</v>
      </c>
      <c r="C13887" s="2">
        <v>863.375</v>
      </c>
      <c r="D13887" s="2">
        <f>HYPERLINK("http://mcb-m6.bioreg.kyushu-u.ac.jp/M3/20110411/F50890/853/1", 39.64)</f>
        <v>39.64</v>
      </c>
      <c r="E13887" s="2">
        <v>17.079999999999998</v>
      </c>
      <c r="F13887" s="2">
        <v>1</v>
      </c>
      <c r="G13887" s="2" t="s">
        <v>9</v>
      </c>
    </row>
    <row r="13888" spans="1:7" x14ac:dyDescent="0.2">
      <c r="A13888" s="2" t="s">
        <v>3489</v>
      </c>
      <c r="B13888" s="2" t="s">
        <v>319</v>
      </c>
      <c r="C13888" s="2">
        <v>863.63499999999999</v>
      </c>
      <c r="D13888" s="2">
        <f>HYPERLINK("http://mcb-m6.bioreg.kyushu-u.ac.jp/M3/20110411/F50897/718/1", 44.65)</f>
        <v>44.65</v>
      </c>
      <c r="E13888" s="2">
        <v>15.57</v>
      </c>
      <c r="F13888" s="2">
        <v>1</v>
      </c>
      <c r="G13888" s="2" t="s">
        <v>10</v>
      </c>
    </row>
    <row r="13889" spans="1:9" x14ac:dyDescent="0.2">
      <c r="A13889" s="2" t="s">
        <v>4024</v>
      </c>
      <c r="B13889" s="2" t="s">
        <v>1338</v>
      </c>
      <c r="C13889" s="2">
        <v>668.73569999999995</v>
      </c>
      <c r="D13889" s="2">
        <f>HYPERLINK("http://mcb-m6.bioreg.kyushu-u.ac.jp/M3/20110411/F50890/1786/1", 73.94)</f>
        <v>73.94</v>
      </c>
      <c r="E13889" s="2">
        <v>61.96</v>
      </c>
      <c r="F13889" s="2">
        <v>2</v>
      </c>
      <c r="G13889" s="2" t="s">
        <v>9</v>
      </c>
    </row>
    <row r="13890" spans="1:9" x14ac:dyDescent="0.2">
      <c r="A13890" s="2" t="s">
        <v>4024</v>
      </c>
      <c r="B13890" s="2" t="s">
        <v>1401</v>
      </c>
      <c r="C13890" s="2">
        <v>645.29669999999999</v>
      </c>
      <c r="D13890" s="2">
        <f>HYPERLINK("http://mcb-m6.bioreg.kyushu-u.ac.jp/M3/20110411/F50890/1697/1", 78)</f>
        <v>78</v>
      </c>
      <c r="E13890" s="2">
        <v>55.86</v>
      </c>
      <c r="F13890" s="2">
        <v>2</v>
      </c>
      <c r="G13890" s="2" t="s">
        <v>9</v>
      </c>
      <c r="I13890" s="2" t="s">
        <v>4923</v>
      </c>
    </row>
    <row r="13891" spans="1:9" x14ac:dyDescent="0.2">
      <c r="A13891" s="2" t="s">
        <v>4024</v>
      </c>
      <c r="B13891" s="2" t="s">
        <v>1401</v>
      </c>
      <c r="C13891" s="2">
        <v>645.49109999999996</v>
      </c>
      <c r="D13891" s="2">
        <f>HYPERLINK("http://mcb-m6.bioreg.kyushu-u.ac.jp/M3/20110414/F50927/1885/1", 65.16)</f>
        <v>65.16</v>
      </c>
      <c r="E13891" s="2">
        <v>38.64</v>
      </c>
      <c r="F13891" s="2">
        <v>2</v>
      </c>
      <c r="G13891" s="2" t="s">
        <v>11</v>
      </c>
      <c r="I13891" s="2" t="s">
        <v>4923</v>
      </c>
    </row>
    <row r="13892" spans="1:9" x14ac:dyDescent="0.2">
      <c r="A13892" s="2" t="s">
        <v>4024</v>
      </c>
      <c r="B13892" s="2" t="s">
        <v>1401</v>
      </c>
      <c r="C13892" s="2">
        <v>645.83119999999997</v>
      </c>
      <c r="D13892" s="2">
        <f>HYPERLINK("http://mcb-m6.bioreg.kyushu-u.ac.jp/M3/20110414/F50932/1967/1", 71.3)</f>
        <v>71.3</v>
      </c>
      <c r="E13892" s="2">
        <v>50.99</v>
      </c>
      <c r="F13892" s="2">
        <v>2</v>
      </c>
      <c r="G13892" s="2" t="s">
        <v>12</v>
      </c>
      <c r="I13892" s="2" t="s">
        <v>4923</v>
      </c>
    </row>
    <row r="13893" spans="1:9" x14ac:dyDescent="0.2">
      <c r="A13893" s="2" t="s">
        <v>4024</v>
      </c>
      <c r="B13893" s="2" t="s">
        <v>1401</v>
      </c>
      <c r="C13893" s="2">
        <v>645.45259999999996</v>
      </c>
      <c r="D13893" s="2">
        <f>HYPERLINK("http://mcb-m6.bioreg.kyushu-u.ac.jp/M3/20110502/F51168/1669/1", 82.52)</f>
        <v>82.52</v>
      </c>
      <c r="E13893" s="2">
        <v>56.2</v>
      </c>
      <c r="F13893" s="2">
        <v>2</v>
      </c>
      <c r="G13893" s="2" t="s">
        <v>13</v>
      </c>
      <c r="I13893" s="2" t="s">
        <v>4923</v>
      </c>
    </row>
    <row r="13894" spans="1:9" x14ac:dyDescent="0.2">
      <c r="A13894" s="2" t="s">
        <v>4024</v>
      </c>
      <c r="B13894" s="2" t="s">
        <v>1401</v>
      </c>
      <c r="C13894" s="2">
        <v>645.55619999999999</v>
      </c>
      <c r="D13894" s="2">
        <f>HYPERLINK("http://mcb-m6.bioreg.kyushu-u.ac.jp/M3/20110502/F51177/1265/1", 89.11)</f>
        <v>89.11</v>
      </c>
      <c r="E13894" s="2">
        <v>60.12</v>
      </c>
      <c r="F13894" s="2">
        <v>2</v>
      </c>
      <c r="G13894" s="2" t="s">
        <v>14</v>
      </c>
      <c r="I13894" s="2" t="s">
        <v>4923</v>
      </c>
    </row>
    <row r="13895" spans="1:9" x14ac:dyDescent="0.2">
      <c r="A13895" s="2" t="s">
        <v>4244</v>
      </c>
      <c r="B13895" s="2" t="s">
        <v>1868</v>
      </c>
      <c r="C13895" s="2">
        <v>475.89060000000001</v>
      </c>
      <c r="D13895" s="2">
        <f>HYPERLINK("http://mcb-m6.bioreg.kyushu-u.ac.jp/M3/20110411/F50917/714/1", 45.57)</f>
        <v>45.57</v>
      </c>
      <c r="E13895" s="2">
        <v>20.48</v>
      </c>
      <c r="F13895" s="2">
        <v>2</v>
      </c>
      <c r="G13895" s="2" t="s">
        <v>10</v>
      </c>
      <c r="I13895" s="2" t="s">
        <v>4890</v>
      </c>
    </row>
    <row r="13896" spans="1:9" x14ac:dyDescent="0.2">
      <c r="A13896" s="2" t="s">
        <v>4413</v>
      </c>
      <c r="B13896" s="2" t="s">
        <v>2270</v>
      </c>
      <c r="C13896" s="2">
        <v>682.13760000000002</v>
      </c>
      <c r="D13896" s="2">
        <f>HYPERLINK("http://mcb-m6.bioreg.kyushu-u.ac.jp/M3/20110414/F50943/1533/1", 41.35)</f>
        <v>41.35</v>
      </c>
      <c r="E13896" s="2">
        <v>28.14</v>
      </c>
      <c r="F13896" s="2">
        <v>2</v>
      </c>
      <c r="G13896" s="2" t="s">
        <v>11</v>
      </c>
    </row>
    <row r="13897" spans="1:9" x14ac:dyDescent="0.2">
      <c r="A13897" s="2" t="s">
        <v>4502</v>
      </c>
      <c r="B13897" s="2" t="s">
        <v>2489</v>
      </c>
      <c r="C13897" s="2">
        <v>777.85170000000005</v>
      </c>
      <c r="D13897" s="2">
        <f>HYPERLINK("http://mcb-m6.bioreg.kyushu-u.ac.jp/M3/20110414/F50943/2120/1", 79.73)</f>
        <v>79.73</v>
      </c>
      <c r="E13897" s="2">
        <v>51.59</v>
      </c>
      <c r="F13897" s="2">
        <v>2</v>
      </c>
      <c r="G13897" s="2" t="s">
        <v>11</v>
      </c>
    </row>
    <row r="13898" spans="1:9" x14ac:dyDescent="0.2">
      <c r="A13898" s="2" t="s">
        <v>4888</v>
      </c>
      <c r="B13898" s="2" t="s">
        <v>3232</v>
      </c>
      <c r="C13898" s="2">
        <v>1050.578</v>
      </c>
      <c r="D13898" s="2">
        <f>HYPERLINK("http://mcb-m6.bioreg.kyushu-u.ac.jp/M3/20110502/F51179/3277/1", 106.21)</f>
        <v>106.21</v>
      </c>
      <c r="E13898" s="2">
        <v>82.68</v>
      </c>
      <c r="F13898" s="2">
        <v>2</v>
      </c>
      <c r="G13898" s="2" t="s">
        <v>14</v>
      </c>
    </row>
    <row r="13899" spans="1:9" x14ac:dyDescent="0.2">
      <c r="A13899" s="2" t="s">
        <v>4108</v>
      </c>
      <c r="B13899" s="2" t="s">
        <v>1588</v>
      </c>
      <c r="C13899" s="2">
        <v>867.19920000000002</v>
      </c>
      <c r="D13899" s="2">
        <f>HYPERLINK("http://mcb-m6.bioreg.kyushu-u.ac.jp/M3/20110411/F50911/2766/1", 96.21)</f>
        <v>96.21</v>
      </c>
      <c r="E13899" s="2">
        <v>81.87</v>
      </c>
      <c r="F13899" s="2">
        <v>2</v>
      </c>
      <c r="G13899" s="2" t="s">
        <v>9</v>
      </c>
    </row>
    <row r="13900" spans="1:9" x14ac:dyDescent="0.2">
      <c r="A13900" s="2" t="s">
        <v>4108</v>
      </c>
      <c r="B13900" s="2" t="s">
        <v>1588</v>
      </c>
      <c r="C13900" s="2">
        <v>867.45510000000002</v>
      </c>
      <c r="D13900" s="2">
        <f>HYPERLINK("http://mcb-m6.bioreg.kyushu-u.ac.jp/M3/20110411/F50914/2670/1", 45.39)</f>
        <v>45.39</v>
      </c>
      <c r="E13900" s="2">
        <v>35.08</v>
      </c>
      <c r="F13900" s="2">
        <v>2</v>
      </c>
      <c r="G13900" s="2" t="s">
        <v>10</v>
      </c>
    </row>
    <row r="13901" spans="1:9" x14ac:dyDescent="0.2">
      <c r="A13901" s="2" t="s">
        <v>4370</v>
      </c>
      <c r="B13901" s="2" t="s">
        <v>2197</v>
      </c>
      <c r="C13901" s="2">
        <v>498.16210000000001</v>
      </c>
      <c r="D13901" s="2">
        <f>HYPERLINK("http://mcb-m6.bioreg.kyushu-u.ac.jp/M3/20110414/F50929/1509/1", 36.79)</f>
        <v>36.79</v>
      </c>
      <c r="E13901" s="2">
        <v>18.93</v>
      </c>
      <c r="F13901" s="2">
        <v>2</v>
      </c>
      <c r="G13901" s="2" t="s">
        <v>11</v>
      </c>
    </row>
    <row r="13902" spans="1:9" x14ac:dyDescent="0.2">
      <c r="A13902" s="2" t="s">
        <v>3579</v>
      </c>
      <c r="B13902" s="2" t="s">
        <v>456</v>
      </c>
      <c r="C13902" s="2">
        <v>621.59519999999998</v>
      </c>
      <c r="D13902" s="2">
        <f>HYPERLINK("http://mcb-m6.bioreg.kyushu-u.ac.jp/M3/20110411/F50911/1483/1", 42.3)</f>
        <v>42.3</v>
      </c>
      <c r="E13902" s="2">
        <v>17.41</v>
      </c>
      <c r="F13902" s="2">
        <v>2</v>
      </c>
      <c r="G13902" s="2" t="s">
        <v>9</v>
      </c>
      <c r="H13902" s="2" t="s">
        <v>4904</v>
      </c>
    </row>
    <row r="13903" spans="1:9" x14ac:dyDescent="0.2">
      <c r="A13903" s="2" t="s">
        <v>3579</v>
      </c>
      <c r="B13903" s="2" t="s">
        <v>456</v>
      </c>
      <c r="C13903" s="2">
        <v>630.40260000000001</v>
      </c>
      <c r="D13903" s="2">
        <f>HYPERLINK("http://mcb-m6.bioreg.kyushu-u.ac.jp/M3/20110411/F50905/1495/1", 44.64)</f>
        <v>44.64</v>
      </c>
      <c r="E13903" s="2">
        <v>12.25</v>
      </c>
      <c r="F13903" s="2">
        <v>2</v>
      </c>
      <c r="G13903" s="2" t="s">
        <v>9</v>
      </c>
    </row>
    <row r="13904" spans="1:9" x14ac:dyDescent="0.2">
      <c r="A13904" s="2" t="s">
        <v>3579</v>
      </c>
      <c r="B13904" s="2" t="s">
        <v>2917</v>
      </c>
      <c r="C13904" s="2">
        <v>897.44500000000005</v>
      </c>
      <c r="D13904" s="2">
        <f>HYPERLINK("http://mcb-m6.bioreg.kyushu-u.ac.jp/M3/20110502/F51171/833/1", 50.66)</f>
        <v>50.66</v>
      </c>
      <c r="E13904" s="2">
        <v>25.34</v>
      </c>
      <c r="F13904" s="2">
        <v>1</v>
      </c>
      <c r="G13904" s="2" t="s">
        <v>13</v>
      </c>
    </row>
    <row r="13905" spans="1:8" x14ac:dyDescent="0.2">
      <c r="A13905" s="2" t="s">
        <v>3952</v>
      </c>
      <c r="B13905" s="2" t="s">
        <v>1156</v>
      </c>
      <c r="C13905" s="2">
        <v>582.50620000000004</v>
      </c>
      <c r="D13905" s="2">
        <f>HYPERLINK("http://mcb-m6.bioreg.kyushu-u.ac.jp/M3/20110411/F50905/1284/1", 65.34)</f>
        <v>65.34</v>
      </c>
      <c r="E13905" s="2">
        <v>31.7</v>
      </c>
      <c r="F13905" s="2">
        <v>2</v>
      </c>
      <c r="G13905" s="2" t="s">
        <v>9</v>
      </c>
    </row>
    <row r="13906" spans="1:8" x14ac:dyDescent="0.2">
      <c r="A13906" s="2" t="s">
        <v>3952</v>
      </c>
      <c r="B13906" s="2" t="s">
        <v>1156</v>
      </c>
      <c r="C13906" s="2">
        <v>582.53309999999999</v>
      </c>
      <c r="D13906" s="2">
        <f>HYPERLINK("http://mcb-m6.bioreg.kyushu-u.ac.jp/M3/20110411/F50911/1312/1", 72.06)</f>
        <v>72.06</v>
      </c>
      <c r="E13906" s="2">
        <v>39.53</v>
      </c>
      <c r="F13906" s="2">
        <v>2</v>
      </c>
      <c r="G13906" s="2" t="s">
        <v>9</v>
      </c>
    </row>
    <row r="13907" spans="1:8" x14ac:dyDescent="0.2">
      <c r="A13907" s="2" t="s">
        <v>4560</v>
      </c>
      <c r="B13907" s="2" t="s">
        <v>2597</v>
      </c>
      <c r="C13907" s="2">
        <v>698.31020000000001</v>
      </c>
      <c r="D13907" s="2">
        <f>HYPERLINK("http://mcb-m6.bioreg.kyushu-u.ac.jp/M3/20110414/F50946/1709/1", 40.52)</f>
        <v>40.520000000000003</v>
      </c>
      <c r="E13907" s="2">
        <v>8.69</v>
      </c>
      <c r="F13907" s="2">
        <v>2</v>
      </c>
      <c r="G13907" s="2" t="s">
        <v>12</v>
      </c>
      <c r="H13907" s="2" t="s">
        <v>4908</v>
      </c>
    </row>
    <row r="13908" spans="1:8" x14ac:dyDescent="0.2">
      <c r="A13908" s="2" t="s">
        <v>3510</v>
      </c>
      <c r="B13908" s="2" t="s">
        <v>349</v>
      </c>
      <c r="C13908" s="2">
        <v>824.66309999999999</v>
      </c>
      <c r="D13908" s="2">
        <f>HYPERLINK("http://mcb-m6.bioreg.kyushu-u.ac.jp/M3/20110411/F50893/2553/1", 40.09)</f>
        <v>40.090000000000003</v>
      </c>
      <c r="E13908" s="2">
        <v>17.57</v>
      </c>
      <c r="F13908" s="2">
        <v>2</v>
      </c>
      <c r="G13908" s="2" t="s">
        <v>9</v>
      </c>
    </row>
    <row r="13909" spans="1:8" x14ac:dyDescent="0.2">
      <c r="A13909" s="2" t="s">
        <v>4707</v>
      </c>
      <c r="B13909" s="2" t="s">
        <v>2893</v>
      </c>
      <c r="C13909" s="2">
        <v>737.39509999999996</v>
      </c>
      <c r="D13909" s="2">
        <f>HYPERLINK("http://mcb-m6.bioreg.kyushu-u.ac.jp/M3/20110502/F51171/1996/1", 44.86)</f>
        <v>44.86</v>
      </c>
      <c r="E13909" s="2">
        <v>14.65</v>
      </c>
      <c r="F13909" s="2">
        <v>2</v>
      </c>
      <c r="G13909" s="2" t="s">
        <v>13</v>
      </c>
    </row>
    <row r="13910" spans="1:8" x14ac:dyDescent="0.2">
      <c r="A13910" s="2" t="s">
        <v>3953</v>
      </c>
      <c r="B13910" s="2" t="s">
        <v>1159</v>
      </c>
      <c r="C13910" s="2">
        <v>829.42070000000001</v>
      </c>
      <c r="D13910" s="2">
        <f>HYPERLINK("http://mcb-m6.bioreg.kyushu-u.ac.jp/M3/20110411/F50911/2579/1", 65.38)</f>
        <v>65.38</v>
      </c>
      <c r="E13910" s="2">
        <v>48.61</v>
      </c>
      <c r="F13910" s="2">
        <v>2</v>
      </c>
      <c r="G13910" s="2" t="s">
        <v>9</v>
      </c>
    </row>
    <row r="13911" spans="1:8" x14ac:dyDescent="0.2">
      <c r="A13911" s="2" t="s">
        <v>3953</v>
      </c>
      <c r="B13911" s="2" t="s">
        <v>1159</v>
      </c>
      <c r="C13911" s="2">
        <v>829.43219999999997</v>
      </c>
      <c r="D13911" s="2">
        <f>HYPERLINK("http://mcb-m6.bioreg.kyushu-u.ac.jp/M3/20110411/F50914/2503/1", 47.38)</f>
        <v>47.38</v>
      </c>
      <c r="E13911" s="2">
        <v>36.19</v>
      </c>
      <c r="F13911" s="2">
        <v>2</v>
      </c>
      <c r="G13911" s="2" t="s">
        <v>10</v>
      </c>
    </row>
    <row r="13912" spans="1:8" x14ac:dyDescent="0.2">
      <c r="A13912" s="2" t="s">
        <v>3953</v>
      </c>
      <c r="B13912" s="2" t="s">
        <v>1159</v>
      </c>
      <c r="C13912" s="2">
        <v>829.33420000000001</v>
      </c>
      <c r="D13912" s="2">
        <f>HYPERLINK("http://mcb-m6.bioreg.kyushu-u.ac.jp/M3/20110414/F50942/2422/1", 59.02)</f>
        <v>59.02</v>
      </c>
      <c r="E13912" s="2">
        <v>47.6</v>
      </c>
      <c r="F13912" s="2">
        <v>2</v>
      </c>
      <c r="G13912" s="2" t="s">
        <v>11</v>
      </c>
    </row>
    <row r="13913" spans="1:8" x14ac:dyDescent="0.2">
      <c r="A13913" s="2" t="s">
        <v>3953</v>
      </c>
      <c r="B13913" s="2" t="s">
        <v>1159</v>
      </c>
      <c r="C13913" s="2">
        <v>828.71810000000005</v>
      </c>
      <c r="D13913" s="2">
        <f>HYPERLINK("http://mcb-m6.bioreg.kyushu-u.ac.jp/M3/20110414/F50948/2616/1", 56.4)</f>
        <v>56.4</v>
      </c>
      <c r="E13913" s="2">
        <v>44.07</v>
      </c>
      <c r="F13913" s="2">
        <v>2</v>
      </c>
      <c r="G13913" s="2" t="s">
        <v>12</v>
      </c>
    </row>
    <row r="13914" spans="1:8" x14ac:dyDescent="0.2">
      <c r="A13914" s="2" t="s">
        <v>3953</v>
      </c>
      <c r="B13914" s="2" t="s">
        <v>1159</v>
      </c>
      <c r="C13914" s="2">
        <v>829.24069999999995</v>
      </c>
      <c r="D13914" s="2">
        <f>HYPERLINK("http://mcb-m6.bioreg.kyushu-u.ac.jp/M3/20110414/F50948/2617/1", 66.32)</f>
        <v>66.319999999999993</v>
      </c>
      <c r="E13914" s="2">
        <v>49.32</v>
      </c>
      <c r="F13914" s="2">
        <v>2</v>
      </c>
      <c r="G13914" s="2" t="s">
        <v>12</v>
      </c>
    </row>
    <row r="13915" spans="1:8" x14ac:dyDescent="0.2">
      <c r="A13915" s="2" t="s">
        <v>3953</v>
      </c>
      <c r="B13915" s="2" t="s">
        <v>3196</v>
      </c>
      <c r="C13915" s="2">
        <v>668.29859999999996</v>
      </c>
      <c r="D13915" s="2">
        <f>HYPERLINK("http://mcb-m6.bioreg.kyushu-u.ac.jp/M3/20110502/F51183/1463/1", 68.25)</f>
        <v>68.25</v>
      </c>
      <c r="E13915" s="2">
        <v>51.18</v>
      </c>
      <c r="F13915" s="2">
        <v>2</v>
      </c>
      <c r="G13915" s="2" t="s">
        <v>14</v>
      </c>
    </row>
    <row r="13916" spans="1:8" x14ac:dyDescent="0.2">
      <c r="A13916" s="2" t="s">
        <v>4382</v>
      </c>
      <c r="B13916" s="2" t="s">
        <v>2217</v>
      </c>
      <c r="C13916" s="2">
        <v>469.31360000000001</v>
      </c>
      <c r="D13916" s="2">
        <f>HYPERLINK("http://mcb-m6.bioreg.kyushu-u.ac.jp/M3/20110414/F50956/523/1", 37.87)</f>
        <v>37.869999999999997</v>
      </c>
      <c r="E13916" s="2">
        <v>13.72</v>
      </c>
      <c r="F13916" s="2">
        <v>2</v>
      </c>
      <c r="G13916" s="2" t="s">
        <v>11</v>
      </c>
    </row>
    <row r="13917" spans="1:8" x14ac:dyDescent="0.2">
      <c r="A13917" s="2" t="s">
        <v>4548</v>
      </c>
      <c r="B13917" s="2" t="s">
        <v>2578</v>
      </c>
      <c r="C13917" s="2">
        <v>451.51510000000002</v>
      </c>
      <c r="D13917" s="2">
        <f>HYPERLINK("http://mcb-m6.bioreg.kyushu-u.ac.jp/M3/20110414/F50950/681/1", 38.92)</f>
        <v>38.92</v>
      </c>
      <c r="E13917" s="2">
        <v>11.47</v>
      </c>
      <c r="F13917" s="2">
        <v>2</v>
      </c>
      <c r="G13917" s="2" t="s">
        <v>12</v>
      </c>
    </row>
    <row r="13918" spans="1:8" x14ac:dyDescent="0.2">
      <c r="A13918" s="2" t="s">
        <v>4823</v>
      </c>
      <c r="B13918" s="2" t="s">
        <v>3081</v>
      </c>
      <c r="C13918" s="2">
        <v>496.65410000000003</v>
      </c>
      <c r="D13918" s="2">
        <f>HYPERLINK("http://mcb-m6.bioreg.kyushu-u.ac.jp/M3/20110502/F51183/718/1", 42.49)</f>
        <v>42.49</v>
      </c>
      <c r="E13918" s="2">
        <v>12.49</v>
      </c>
      <c r="F13918" s="2">
        <v>2</v>
      </c>
      <c r="G13918" s="2" t="s">
        <v>14</v>
      </c>
    </row>
    <row r="13919" spans="1:8" x14ac:dyDescent="0.2">
      <c r="A13919" s="2" t="s">
        <v>4380</v>
      </c>
      <c r="B13919" s="2" t="s">
        <v>2214</v>
      </c>
      <c r="C13919" s="2">
        <v>499.03559999999999</v>
      </c>
      <c r="D13919" s="2">
        <f>HYPERLINK("http://mcb-m6.bioreg.kyushu-u.ac.jp/M3/20110414/F50924/1045/1", 37.67)</f>
        <v>37.67</v>
      </c>
      <c r="E13919" s="2">
        <v>12.74</v>
      </c>
      <c r="F13919" s="2">
        <v>2</v>
      </c>
      <c r="G13919" s="2" t="s">
        <v>11</v>
      </c>
    </row>
    <row r="13920" spans="1:8" x14ac:dyDescent="0.2">
      <c r="A13920" s="2" t="s">
        <v>4459</v>
      </c>
      <c r="B13920" s="2" t="s">
        <v>2373</v>
      </c>
      <c r="C13920" s="2">
        <v>551.71810000000005</v>
      </c>
      <c r="D13920" s="2">
        <f>HYPERLINK("http://mcb-m6.bioreg.kyushu-u.ac.jp/M3/20110414/F50957/784/1", 51.3)</f>
        <v>51.3</v>
      </c>
      <c r="E13920" s="2">
        <v>16.079999999999998</v>
      </c>
      <c r="F13920" s="2">
        <v>2</v>
      </c>
      <c r="G13920" s="2" t="s">
        <v>11</v>
      </c>
    </row>
    <row r="13921" spans="1:9" x14ac:dyDescent="0.2">
      <c r="A13921" s="2" t="s">
        <v>3773</v>
      </c>
      <c r="B13921" s="2" t="s">
        <v>797</v>
      </c>
      <c r="C13921" s="2">
        <v>910.63019999999995</v>
      </c>
      <c r="D13921" s="2">
        <f>HYPERLINK("http://mcb-m6.bioreg.kyushu-u.ac.jp/M3/20110411/F50895/2870/1", 51.6)</f>
        <v>51.6</v>
      </c>
      <c r="E13921" s="2">
        <v>38.54</v>
      </c>
      <c r="F13921" s="2">
        <v>2</v>
      </c>
      <c r="G13921" s="2" t="s">
        <v>9</v>
      </c>
    </row>
    <row r="13922" spans="1:9" x14ac:dyDescent="0.2">
      <c r="A13922" s="2" t="s">
        <v>4869</v>
      </c>
      <c r="B13922" s="2" t="s">
        <v>3167</v>
      </c>
      <c r="C13922" s="2">
        <v>866.54520000000002</v>
      </c>
      <c r="D13922" s="2">
        <f>HYPERLINK("http://mcb-m6.bioreg.kyushu-u.ac.jp/M3/20110502/F51186/2390/1", 58.09)</f>
        <v>58.09</v>
      </c>
      <c r="E13922" s="2">
        <v>43.64</v>
      </c>
      <c r="F13922" s="2">
        <v>2</v>
      </c>
      <c r="G13922" s="2" t="s">
        <v>14</v>
      </c>
      <c r="I13922" s="2" t="s">
        <v>4923</v>
      </c>
    </row>
    <row r="13923" spans="1:9" x14ac:dyDescent="0.2">
      <c r="A13923" s="2" t="s">
        <v>4258</v>
      </c>
      <c r="B13923" s="2" t="s">
        <v>1901</v>
      </c>
      <c r="C13923" s="2">
        <v>866.19709999999998</v>
      </c>
      <c r="D13923" s="2">
        <f>HYPERLINK("http://mcb-m6.bioreg.kyushu-u.ac.jp/M3/20110411/F50902/2659/1", 48.07)</f>
        <v>48.07</v>
      </c>
      <c r="E13923" s="2">
        <v>19.64</v>
      </c>
      <c r="F13923" s="2">
        <v>2</v>
      </c>
      <c r="G13923" s="2" t="s">
        <v>10</v>
      </c>
    </row>
    <row r="13924" spans="1:9" x14ac:dyDescent="0.2">
      <c r="A13924" s="2" t="s">
        <v>3450</v>
      </c>
      <c r="B13924" s="2" t="s">
        <v>260</v>
      </c>
      <c r="C13924" s="2">
        <v>901.11770000000001</v>
      </c>
      <c r="D13924" s="2">
        <f>HYPERLINK("http://mcb-m6.bioreg.kyushu-u.ac.jp/M3/20110411/F50889/2690/1", 38.65)</f>
        <v>38.65</v>
      </c>
      <c r="E13924" s="2">
        <v>22.07</v>
      </c>
      <c r="F13924" s="2">
        <v>2</v>
      </c>
      <c r="G13924" s="2" t="s">
        <v>9</v>
      </c>
    </row>
    <row r="13925" spans="1:9" x14ac:dyDescent="0.2">
      <c r="A13925" s="2" t="s">
        <v>4484</v>
      </c>
      <c r="B13925" s="2" t="s">
        <v>2444</v>
      </c>
      <c r="C13925" s="2">
        <v>570.77369999999996</v>
      </c>
      <c r="D13925" s="2">
        <f>HYPERLINK("http://mcb-m6.bioreg.kyushu-u.ac.jp/M3/20110414/F50925/1662/1", 65.51)</f>
        <v>65.510000000000005</v>
      </c>
      <c r="E13925" s="2">
        <v>31.9</v>
      </c>
      <c r="F13925" s="2">
        <v>2</v>
      </c>
      <c r="G13925" s="2" t="s">
        <v>11</v>
      </c>
      <c r="H13925" s="2" t="s">
        <v>4900</v>
      </c>
    </row>
    <row r="13926" spans="1:9" x14ac:dyDescent="0.2">
      <c r="A13926" s="2" t="s">
        <v>3704</v>
      </c>
      <c r="B13926" s="2" t="s">
        <v>683</v>
      </c>
      <c r="C13926" s="2">
        <v>621.41769999999997</v>
      </c>
      <c r="D13926" s="2">
        <f>HYPERLINK("http://mcb-m6.bioreg.kyushu-u.ac.jp/M3/20110411/F50903/1490/1", 48.17)</f>
        <v>48.17</v>
      </c>
      <c r="E13926" s="2">
        <v>24.89</v>
      </c>
      <c r="F13926" s="2">
        <v>2</v>
      </c>
      <c r="G13926" s="2" t="s">
        <v>9</v>
      </c>
    </row>
    <row r="13927" spans="1:9" x14ac:dyDescent="0.2">
      <c r="A13927" s="2" t="s">
        <v>3516</v>
      </c>
      <c r="B13927" s="2" t="s">
        <v>358</v>
      </c>
      <c r="C13927" s="2">
        <v>685.56269999999995</v>
      </c>
      <c r="D13927" s="2">
        <f>HYPERLINK("http://mcb-m6.bioreg.kyushu-u.ac.jp/M3/20110411/F50903/1767/1", 40.21)</f>
        <v>40.21</v>
      </c>
      <c r="E13927" s="2">
        <v>10.5</v>
      </c>
      <c r="F13927" s="2">
        <v>2</v>
      </c>
      <c r="G13927" s="2" t="s">
        <v>9</v>
      </c>
    </row>
    <row r="13928" spans="1:9" x14ac:dyDescent="0.2">
      <c r="A13928" s="2" t="s">
        <v>4454</v>
      </c>
      <c r="B13928" s="2" t="s">
        <v>2364</v>
      </c>
      <c r="C13928" s="2">
        <v>487.1191</v>
      </c>
      <c r="D13928" s="2">
        <f>HYPERLINK("http://mcb-m6.bioreg.kyushu-u.ac.jp/M3/20110414/F50925/1391/1", 50.86)</f>
        <v>50.86</v>
      </c>
      <c r="E13928" s="2">
        <v>17.22</v>
      </c>
      <c r="F13928" s="2">
        <v>2</v>
      </c>
      <c r="G13928" s="2" t="s">
        <v>11</v>
      </c>
    </row>
    <row r="13929" spans="1:9" x14ac:dyDescent="0.2">
      <c r="A13929" s="2" t="s">
        <v>4454</v>
      </c>
      <c r="B13929" s="2" t="s">
        <v>2364</v>
      </c>
      <c r="C13929" s="2">
        <v>486.95609999999999</v>
      </c>
      <c r="D13929" s="2">
        <f>HYPERLINK("http://mcb-m6.bioreg.kyushu-u.ac.jp/M3/20110414/F50966/886/1", 37.47)</f>
        <v>37.47</v>
      </c>
      <c r="E13929" s="2">
        <v>9.41</v>
      </c>
      <c r="F13929" s="2">
        <v>2</v>
      </c>
      <c r="G13929" s="2" t="s">
        <v>12</v>
      </c>
    </row>
    <row r="13930" spans="1:9" x14ac:dyDescent="0.2">
      <c r="A13930" s="2" t="s">
        <v>4465</v>
      </c>
      <c r="B13930" s="2" t="s">
        <v>2397</v>
      </c>
      <c r="C13930" s="2">
        <v>554.88570000000004</v>
      </c>
      <c r="D13930" s="2">
        <f>HYPERLINK("http://mcb-m6.bioreg.kyushu-u.ac.jp/M3/20110414/F50925/1622/1", 54.93)</f>
        <v>54.93</v>
      </c>
      <c r="E13930" s="2">
        <v>35.590000000000003</v>
      </c>
      <c r="F13930" s="2">
        <v>2</v>
      </c>
      <c r="G13930" s="2" t="s">
        <v>11</v>
      </c>
    </row>
    <row r="13931" spans="1:9" x14ac:dyDescent="0.2">
      <c r="A13931" s="2" t="s">
        <v>3650</v>
      </c>
      <c r="B13931" s="2" t="s">
        <v>576</v>
      </c>
      <c r="C13931" s="2">
        <v>1404.751</v>
      </c>
      <c r="D13931" s="2">
        <f>HYPERLINK("http://mcb-m6.bioreg.kyushu-u.ac.jp/M3/20110411/F50903/1858/1", 45.24)</f>
        <v>45.24</v>
      </c>
      <c r="E13931" s="2">
        <v>25.77</v>
      </c>
      <c r="F13931" s="2">
        <v>1</v>
      </c>
      <c r="G13931" s="2" t="s">
        <v>9</v>
      </c>
    </row>
    <row r="13932" spans="1:9" x14ac:dyDescent="0.2">
      <c r="A13932" s="2" t="s">
        <v>3650</v>
      </c>
      <c r="B13932" s="2" t="s">
        <v>576</v>
      </c>
      <c r="C13932" s="2">
        <v>702.97170000000006</v>
      </c>
      <c r="D13932" s="2">
        <f>HYPERLINK("http://mcb-m6.bioreg.kyushu-u.ac.jp/M3/20110414/F50926/2068/1", 49.36)</f>
        <v>49.36</v>
      </c>
      <c r="E13932" s="2">
        <v>26.22</v>
      </c>
      <c r="F13932" s="2">
        <v>2</v>
      </c>
      <c r="G13932" s="2" t="s">
        <v>11</v>
      </c>
    </row>
    <row r="13933" spans="1:9" x14ac:dyDescent="0.2">
      <c r="A13933" s="2" t="s">
        <v>3650</v>
      </c>
      <c r="B13933" s="2" t="s">
        <v>2387</v>
      </c>
      <c r="C13933" s="2">
        <v>901.32510000000002</v>
      </c>
      <c r="D13933" s="2">
        <f>HYPERLINK("http://mcb-m6.bioreg.kyushu-u.ac.jp/M3/20110414/F50925/2674/1", 53.37)</f>
        <v>53.37</v>
      </c>
      <c r="E13933" s="2">
        <v>41.34</v>
      </c>
      <c r="F13933" s="2">
        <v>2</v>
      </c>
      <c r="G13933" s="2" t="s">
        <v>11</v>
      </c>
    </row>
    <row r="13934" spans="1:9" x14ac:dyDescent="0.2">
      <c r="A13934" s="2" t="s">
        <v>3650</v>
      </c>
      <c r="B13934" s="2" t="s">
        <v>576</v>
      </c>
      <c r="C13934" s="2">
        <v>702.63819999999998</v>
      </c>
      <c r="D13934" s="2">
        <f>HYPERLINK("http://mcb-m6.bioreg.kyushu-u.ac.jp/M3/20110414/F50966/1681/1", 74.03)</f>
        <v>74.03</v>
      </c>
      <c r="E13934" s="2">
        <v>44.89</v>
      </c>
      <c r="F13934" s="2">
        <v>2</v>
      </c>
      <c r="G13934" s="2" t="s">
        <v>12</v>
      </c>
    </row>
    <row r="13935" spans="1:9" x14ac:dyDescent="0.2">
      <c r="A13935" s="2" t="s">
        <v>3650</v>
      </c>
      <c r="B13935" s="2" t="s">
        <v>576</v>
      </c>
      <c r="C13935" s="2">
        <v>703.3972</v>
      </c>
      <c r="D13935" s="2">
        <f>HYPERLINK("http://mcb-m6.bioreg.kyushu-u.ac.jp/M3/20110502/F51166/1969/1", 62.45)</f>
        <v>62.45</v>
      </c>
      <c r="E13935" s="2">
        <v>45.31</v>
      </c>
      <c r="F13935" s="2">
        <v>2</v>
      </c>
      <c r="G13935" s="2" t="s">
        <v>13</v>
      </c>
    </row>
    <row r="13936" spans="1:9" x14ac:dyDescent="0.2">
      <c r="A13936" s="2" t="s">
        <v>3650</v>
      </c>
      <c r="B13936" s="2" t="s">
        <v>576</v>
      </c>
      <c r="C13936" s="2">
        <v>702.98320000000001</v>
      </c>
      <c r="D13936" s="2">
        <f>HYPERLINK("http://mcb-m6.bioreg.kyushu-u.ac.jp/M3/20110502/F51190/1544/1", 55.8)</f>
        <v>55.8</v>
      </c>
      <c r="E13936" s="2">
        <v>39.86</v>
      </c>
      <c r="F13936" s="2">
        <v>2</v>
      </c>
      <c r="G13936" s="2" t="s">
        <v>14</v>
      </c>
    </row>
    <row r="13937" spans="1:9" x14ac:dyDescent="0.2">
      <c r="A13937" s="2" t="s">
        <v>4300</v>
      </c>
      <c r="B13937" s="2" t="s">
        <v>2025</v>
      </c>
      <c r="C13937" s="2">
        <v>570.53769999999997</v>
      </c>
      <c r="D13937" s="2">
        <f>HYPERLINK("http://mcb-m6.bioreg.kyushu-u.ac.jp/M3/20110411/F50920/891/1", 63.71)</f>
        <v>63.71</v>
      </c>
      <c r="E13937" s="2">
        <v>33.19</v>
      </c>
      <c r="F13937" s="2">
        <v>2</v>
      </c>
      <c r="G13937" s="2" t="s">
        <v>10</v>
      </c>
    </row>
    <row r="13938" spans="1:9" x14ac:dyDescent="0.2">
      <c r="A13938" s="2" t="s">
        <v>3833</v>
      </c>
      <c r="B13938" s="2" t="s">
        <v>906</v>
      </c>
      <c r="C13938" s="2">
        <v>565.01319999999998</v>
      </c>
      <c r="D13938" s="2">
        <f>HYPERLINK("http://mcb-m6.bioreg.kyushu-u.ac.jp/M3/20110411/F50905/1213/1", 55.1)</f>
        <v>55.1</v>
      </c>
      <c r="E13938" s="2">
        <v>25.97</v>
      </c>
      <c r="F13938" s="2">
        <v>2</v>
      </c>
      <c r="G13938" s="2" t="s">
        <v>9</v>
      </c>
    </row>
    <row r="13939" spans="1:9" x14ac:dyDescent="0.2">
      <c r="A13939" s="2" t="s">
        <v>3833</v>
      </c>
      <c r="B13939" s="2" t="s">
        <v>1100</v>
      </c>
      <c r="C13939" s="2">
        <v>825.19370000000004</v>
      </c>
      <c r="D13939" s="2">
        <f>HYPERLINK("http://mcb-m6.bioreg.kyushu-u.ac.jp/M3/20110411/F50905/2478/1", 62.99)</f>
        <v>62.99</v>
      </c>
      <c r="E13939" s="2">
        <v>44.29</v>
      </c>
      <c r="F13939" s="2">
        <v>2</v>
      </c>
      <c r="G13939" s="2" t="s">
        <v>9</v>
      </c>
    </row>
    <row r="13940" spans="1:9" x14ac:dyDescent="0.2">
      <c r="A13940" s="2" t="s">
        <v>3833</v>
      </c>
      <c r="B13940" s="2" t="s">
        <v>1254</v>
      </c>
      <c r="C13940" s="2">
        <v>721.95370000000003</v>
      </c>
      <c r="D13940" s="2">
        <f>HYPERLINK("http://mcb-m6.bioreg.kyushu-u.ac.jp/M3/20110411/F50905/1925/1", 69.29)</f>
        <v>69.290000000000006</v>
      </c>
      <c r="E13940" s="2">
        <v>52.82</v>
      </c>
      <c r="F13940" s="2">
        <v>2</v>
      </c>
      <c r="G13940" s="2" t="s">
        <v>9</v>
      </c>
    </row>
    <row r="13941" spans="1:9" x14ac:dyDescent="0.2">
      <c r="A13941" s="2" t="s">
        <v>3833</v>
      </c>
      <c r="B13941" s="2" t="s">
        <v>1427</v>
      </c>
      <c r="C13941" s="2">
        <v>626.93470000000002</v>
      </c>
      <c r="D13941" s="2">
        <f>HYPERLINK("http://mcb-m6.bioreg.kyushu-u.ac.jp/M3/20110411/F50905/1484/1", 79.64)</f>
        <v>79.64</v>
      </c>
      <c r="E13941" s="2">
        <v>54.88</v>
      </c>
      <c r="F13941" s="2">
        <v>2</v>
      </c>
      <c r="G13941" s="2" t="s">
        <v>9</v>
      </c>
      <c r="I13941" s="2" t="s">
        <v>4890</v>
      </c>
    </row>
    <row r="13942" spans="1:9" x14ac:dyDescent="0.2">
      <c r="A13942" s="2" t="s">
        <v>3833</v>
      </c>
      <c r="B13942" s="2" t="s">
        <v>906</v>
      </c>
      <c r="C13942" s="2">
        <v>564.90520000000004</v>
      </c>
      <c r="D13942" s="2">
        <f>HYPERLINK("http://mcb-m6.bioreg.kyushu-u.ac.jp/M3/20110411/F50913/1248/1", 54.12)</f>
        <v>54.12</v>
      </c>
      <c r="E13942" s="2">
        <v>23.82</v>
      </c>
      <c r="F13942" s="2">
        <v>2</v>
      </c>
      <c r="G13942" s="2" t="s">
        <v>10</v>
      </c>
    </row>
    <row r="13943" spans="1:9" x14ac:dyDescent="0.2">
      <c r="A13943" s="2" t="s">
        <v>3833</v>
      </c>
      <c r="B13943" s="2" t="s">
        <v>906</v>
      </c>
      <c r="C13943" s="2">
        <v>565.41560000000004</v>
      </c>
      <c r="D13943" s="2">
        <f>HYPERLINK("http://mcb-m6.bioreg.kyushu-u.ac.jp/M3/20110411/F50913/1251/1", 67.03)</f>
        <v>67.03</v>
      </c>
      <c r="E13943" s="2">
        <v>41.24</v>
      </c>
      <c r="F13943" s="2">
        <v>2</v>
      </c>
      <c r="G13943" s="2" t="s">
        <v>10</v>
      </c>
    </row>
    <row r="13944" spans="1:9" x14ac:dyDescent="0.2">
      <c r="A13944" s="2" t="s">
        <v>3718</v>
      </c>
      <c r="B13944" s="2" t="s">
        <v>707</v>
      </c>
      <c r="C13944" s="2">
        <v>591.50570000000005</v>
      </c>
      <c r="D13944" s="2">
        <f>HYPERLINK("http://mcb-m6.bioreg.kyushu-u.ac.jp/M3/20110411/F50904/1400/1", 48.9)</f>
        <v>48.9</v>
      </c>
      <c r="E13944" s="2">
        <v>26.9</v>
      </c>
      <c r="F13944" s="2">
        <v>2</v>
      </c>
      <c r="G13944" s="2" t="s">
        <v>9</v>
      </c>
    </row>
    <row r="13945" spans="1:9" x14ac:dyDescent="0.2">
      <c r="A13945" s="2" t="s">
        <v>4334</v>
      </c>
      <c r="B13945" s="2" t="s">
        <v>2144</v>
      </c>
      <c r="C13945" s="2">
        <v>817.85569999999996</v>
      </c>
      <c r="D13945" s="2">
        <f>HYPERLINK("http://mcb-m6.bioreg.kyushu-u.ac.jp/M3/20110411/F50912/2402/2", 115.29)</f>
        <v>115.29</v>
      </c>
      <c r="E13945" s="2">
        <v>94.67</v>
      </c>
      <c r="F13945" s="2">
        <v>2</v>
      </c>
      <c r="G13945" s="2" t="s">
        <v>10</v>
      </c>
      <c r="I13945" s="2" t="s">
        <v>4909</v>
      </c>
    </row>
    <row r="13946" spans="1:9" x14ac:dyDescent="0.2">
      <c r="A13946" s="2" t="s">
        <v>4325</v>
      </c>
      <c r="B13946" s="2" t="s">
        <v>2106</v>
      </c>
      <c r="C13946" s="2">
        <v>981.20759999999996</v>
      </c>
      <c r="D13946" s="2">
        <f>HYPERLINK("http://mcb-m6.bioreg.kyushu-u.ac.jp/M3/20110411/F50912/3081/1", 83.13)</f>
        <v>83.13</v>
      </c>
      <c r="E13946" s="2">
        <v>64.239999999999995</v>
      </c>
      <c r="F13946" s="2">
        <v>2</v>
      </c>
      <c r="G13946" s="2" t="s">
        <v>10</v>
      </c>
    </row>
    <row r="13947" spans="1:9" x14ac:dyDescent="0.2">
      <c r="A13947" s="2" t="s">
        <v>3849</v>
      </c>
      <c r="B13947" s="2" t="s">
        <v>948</v>
      </c>
      <c r="C13947" s="2">
        <v>669.80409999999995</v>
      </c>
      <c r="D13947" s="2">
        <f>HYPERLINK("http://mcb-m6.bioreg.kyushu-u.ac.jp/M3/20110411/F50890/1792/1", 56.38)</f>
        <v>56.38</v>
      </c>
      <c r="E13947" s="2">
        <v>30.98</v>
      </c>
      <c r="F13947" s="2">
        <v>2</v>
      </c>
      <c r="G13947" s="2" t="s">
        <v>9</v>
      </c>
    </row>
    <row r="13948" spans="1:9" x14ac:dyDescent="0.2">
      <c r="A13948" s="2" t="s">
        <v>3849</v>
      </c>
      <c r="B13948" s="2" t="s">
        <v>1215</v>
      </c>
      <c r="C13948" s="2">
        <v>789.96119999999996</v>
      </c>
      <c r="D13948" s="2">
        <f>HYPERLINK("http://mcb-m6.bioreg.kyushu-u.ac.jp/M3/20110411/F50891/2405/1", 67.82)</f>
        <v>67.819999999999993</v>
      </c>
      <c r="E13948" s="2">
        <v>54.55</v>
      </c>
      <c r="F13948" s="2">
        <v>2</v>
      </c>
      <c r="G13948" s="2" t="s">
        <v>9</v>
      </c>
    </row>
    <row r="13949" spans="1:9" x14ac:dyDescent="0.2">
      <c r="A13949" s="2" t="s">
        <v>3849</v>
      </c>
      <c r="B13949" s="2" t="s">
        <v>1215</v>
      </c>
      <c r="C13949" s="2">
        <v>789.94820000000004</v>
      </c>
      <c r="D13949" s="2">
        <f>HYPERLINK("http://mcb-m6.bioreg.kyushu-u.ac.jp/M3/20110411/F50890/2475/1", 79.7)</f>
        <v>79.7</v>
      </c>
      <c r="E13949" s="2">
        <v>62.49</v>
      </c>
      <c r="F13949" s="2">
        <v>2</v>
      </c>
      <c r="G13949" s="2" t="s">
        <v>9</v>
      </c>
    </row>
    <row r="13950" spans="1:9" x14ac:dyDescent="0.2">
      <c r="A13950" s="2" t="s">
        <v>3849</v>
      </c>
      <c r="B13950" s="2" t="s">
        <v>1215</v>
      </c>
      <c r="C13950" s="2">
        <v>790.46220000000005</v>
      </c>
      <c r="D13950" s="2">
        <f>HYPERLINK("http://mcb-m6.bioreg.kyushu-u.ac.jp/M3/20110411/F50890/2478/1", 80.94)</f>
        <v>80.94</v>
      </c>
      <c r="E13950" s="2">
        <v>62.88</v>
      </c>
      <c r="F13950" s="2">
        <v>2</v>
      </c>
      <c r="G13950" s="2" t="s">
        <v>9</v>
      </c>
    </row>
    <row r="13951" spans="1:9" x14ac:dyDescent="0.2">
      <c r="A13951" s="2" t="s">
        <v>3937</v>
      </c>
      <c r="B13951" s="2" t="s">
        <v>1131</v>
      </c>
      <c r="C13951" s="2">
        <v>797.42660000000001</v>
      </c>
      <c r="D13951" s="2">
        <f>HYPERLINK("http://mcb-m6.bioreg.kyushu-u.ac.jp/M3/20110411/F50890/2512/1", 64.44)</f>
        <v>64.44</v>
      </c>
      <c r="E13951" s="2">
        <v>31.22</v>
      </c>
      <c r="F13951" s="2">
        <v>2</v>
      </c>
      <c r="G13951" s="2" t="s">
        <v>9</v>
      </c>
    </row>
    <row r="13952" spans="1:9" x14ac:dyDescent="0.2">
      <c r="A13952" s="2" t="s">
        <v>3937</v>
      </c>
      <c r="B13952" s="2" t="s">
        <v>1356</v>
      </c>
      <c r="C13952" s="2">
        <v>733.40309999999999</v>
      </c>
      <c r="D13952" s="2">
        <f>HYPERLINK("http://mcb-m6.bioreg.kyushu-u.ac.jp/M3/20110411/F50890/2150/1", 74.98)</f>
        <v>74.98</v>
      </c>
      <c r="E13952" s="2">
        <v>42.33</v>
      </c>
      <c r="F13952" s="2">
        <v>2</v>
      </c>
      <c r="G13952" s="2" t="s">
        <v>9</v>
      </c>
    </row>
    <row r="13953" spans="1:9" x14ac:dyDescent="0.2">
      <c r="A13953" s="2" t="s">
        <v>3937</v>
      </c>
      <c r="B13953" s="2" t="s">
        <v>1356</v>
      </c>
      <c r="C13953" s="2">
        <v>732.85519999999997</v>
      </c>
      <c r="D13953" s="2">
        <f>HYPERLINK("http://mcb-m6.bioreg.kyushu-u.ac.jp/M3/20110411/F50890/2143/1", 78.53)</f>
        <v>78.53</v>
      </c>
      <c r="E13953" s="2">
        <v>43.49</v>
      </c>
      <c r="F13953" s="2">
        <v>2</v>
      </c>
      <c r="G13953" s="2" t="s">
        <v>9</v>
      </c>
    </row>
    <row r="13954" spans="1:9" x14ac:dyDescent="0.2">
      <c r="A13954" s="2" t="s">
        <v>3937</v>
      </c>
      <c r="B13954" s="2" t="s">
        <v>3104</v>
      </c>
      <c r="C13954" s="2">
        <v>469.58210000000003</v>
      </c>
      <c r="D13954" s="2">
        <f>HYPERLINK("http://mcb-m6.bioreg.kyushu-u.ac.jp/M3/20110502/F51177/545/1", 45.28)</f>
        <v>45.28</v>
      </c>
      <c r="E13954" s="2">
        <v>11.89</v>
      </c>
      <c r="F13954" s="2">
        <v>2</v>
      </c>
      <c r="G13954" s="2" t="s">
        <v>14</v>
      </c>
    </row>
    <row r="13955" spans="1:9" x14ac:dyDescent="0.2">
      <c r="A13955" s="2" t="s">
        <v>3611</v>
      </c>
      <c r="B13955" s="2" t="s">
        <v>514</v>
      </c>
      <c r="C13955" s="2">
        <v>492.94510000000002</v>
      </c>
      <c r="D13955" s="2">
        <f>HYPERLINK("http://mcb-m6.bioreg.kyushu-u.ac.jp/M3/20110411/F50904/1112/1", 43.57)</f>
        <v>43.57</v>
      </c>
      <c r="E13955" s="2">
        <v>17.52</v>
      </c>
      <c r="F13955" s="2">
        <v>2</v>
      </c>
      <c r="G13955" s="2" t="s">
        <v>9</v>
      </c>
    </row>
    <row r="13956" spans="1:9" x14ac:dyDescent="0.2">
      <c r="A13956" s="2" t="s">
        <v>3611</v>
      </c>
      <c r="B13956" s="2" t="s">
        <v>514</v>
      </c>
      <c r="C13956" s="2">
        <v>492.58010000000002</v>
      </c>
      <c r="D13956" s="2">
        <f>HYPERLINK("http://mcb-m6.bioreg.kyushu-u.ac.jp/M3/20110411/F50913/995/1", 43.96)</f>
        <v>43.96</v>
      </c>
      <c r="E13956" s="2">
        <v>21.81</v>
      </c>
      <c r="F13956" s="2">
        <v>2</v>
      </c>
      <c r="G13956" s="2" t="s">
        <v>10</v>
      </c>
    </row>
    <row r="13957" spans="1:9" x14ac:dyDescent="0.2">
      <c r="A13957" s="2" t="s">
        <v>3611</v>
      </c>
      <c r="B13957" s="2" t="s">
        <v>514</v>
      </c>
      <c r="C13957" s="2">
        <v>492.39109999999999</v>
      </c>
      <c r="D13957" s="2">
        <f>HYPERLINK("http://mcb-m6.bioreg.kyushu-u.ac.jp/M3/20110411/F50917/763/1", 45.33)</f>
        <v>45.33</v>
      </c>
      <c r="E13957" s="2">
        <v>17.93</v>
      </c>
      <c r="F13957" s="2">
        <v>2</v>
      </c>
      <c r="G13957" s="2" t="s">
        <v>10</v>
      </c>
    </row>
    <row r="13958" spans="1:9" x14ac:dyDescent="0.2">
      <c r="A13958" s="2" t="s">
        <v>3611</v>
      </c>
      <c r="B13958" s="2" t="s">
        <v>514</v>
      </c>
      <c r="C13958" s="2">
        <v>492.47460000000001</v>
      </c>
      <c r="D13958" s="2">
        <f>HYPERLINK("http://mcb-m6.bioreg.kyushu-u.ac.jp/M3/20110502/F51174/1075/1", 38.17)</f>
        <v>38.17</v>
      </c>
      <c r="E13958" s="2">
        <v>8.76</v>
      </c>
      <c r="F13958" s="2">
        <v>2</v>
      </c>
      <c r="G13958" s="2" t="s">
        <v>13</v>
      </c>
    </row>
    <row r="13959" spans="1:9" x14ac:dyDescent="0.2">
      <c r="A13959" s="2" t="s">
        <v>3611</v>
      </c>
      <c r="B13959" s="2" t="s">
        <v>514</v>
      </c>
      <c r="C13959" s="2">
        <v>492.38209999999998</v>
      </c>
      <c r="D13959" s="2">
        <f>HYPERLINK("http://mcb-m6.bioreg.kyushu-u.ac.jp/M3/20110502/F51171/1012/1", 39.66)</f>
        <v>39.659999999999997</v>
      </c>
      <c r="E13959" s="2">
        <v>19.36</v>
      </c>
      <c r="F13959" s="2">
        <v>2</v>
      </c>
      <c r="G13959" s="2" t="s">
        <v>13</v>
      </c>
    </row>
    <row r="13960" spans="1:9" x14ac:dyDescent="0.2">
      <c r="A13960" s="2" t="s">
        <v>3611</v>
      </c>
      <c r="B13960" s="2" t="s">
        <v>514</v>
      </c>
      <c r="C13960" s="2">
        <v>492.4101</v>
      </c>
      <c r="D13960" s="2">
        <f>HYPERLINK("http://mcb-m6.bioreg.kyushu-u.ac.jp/M3/20110502/F51170/958/1", 41.11)</f>
        <v>41.11</v>
      </c>
      <c r="E13960" s="2">
        <v>19.46</v>
      </c>
      <c r="F13960" s="2">
        <v>2</v>
      </c>
      <c r="G13960" s="2" t="s">
        <v>13</v>
      </c>
    </row>
    <row r="13961" spans="1:9" x14ac:dyDescent="0.2">
      <c r="A13961" s="2" t="s">
        <v>3611</v>
      </c>
      <c r="B13961" s="2" t="s">
        <v>514</v>
      </c>
      <c r="C13961" s="2">
        <v>492.44409999999999</v>
      </c>
      <c r="D13961" s="2">
        <f>HYPERLINK("http://mcb-m6.bioreg.kyushu-u.ac.jp/M3/20110502/F51188/812/1", 45.33)</f>
        <v>45.33</v>
      </c>
      <c r="E13961" s="2">
        <v>8.93</v>
      </c>
      <c r="F13961" s="2">
        <v>2</v>
      </c>
      <c r="G13961" s="2" t="s">
        <v>13</v>
      </c>
    </row>
    <row r="13962" spans="1:9" x14ac:dyDescent="0.2">
      <c r="A13962" s="2" t="s">
        <v>3611</v>
      </c>
      <c r="B13962" s="2" t="s">
        <v>514</v>
      </c>
      <c r="C13962" s="2">
        <v>492.5616</v>
      </c>
      <c r="D13962" s="2">
        <f>HYPERLINK("http://mcb-m6.bioreg.kyushu-u.ac.jp/M3/20110502/F51186/797/1", 45.76)</f>
        <v>45.76</v>
      </c>
      <c r="E13962" s="2">
        <v>12.65</v>
      </c>
      <c r="F13962" s="2">
        <v>2</v>
      </c>
      <c r="G13962" s="2" t="s">
        <v>14</v>
      </c>
    </row>
    <row r="13963" spans="1:9" x14ac:dyDescent="0.2">
      <c r="A13963" s="2" t="s">
        <v>4193</v>
      </c>
      <c r="B13963" s="2" t="s">
        <v>1778</v>
      </c>
      <c r="C13963" s="2">
        <v>580.96770000000004</v>
      </c>
      <c r="D13963" s="2">
        <f>HYPERLINK("http://mcb-m6.bioreg.kyushu-u.ac.jp/M3/20110411/F50901/1436/1", 38.82)</f>
        <v>38.82</v>
      </c>
      <c r="E13963" s="2">
        <v>13.23</v>
      </c>
      <c r="F13963" s="2">
        <v>2</v>
      </c>
      <c r="G13963" s="2" t="s">
        <v>10</v>
      </c>
    </row>
    <row r="13964" spans="1:9" x14ac:dyDescent="0.2">
      <c r="A13964" s="2" t="s">
        <v>4462</v>
      </c>
      <c r="B13964" s="2" t="s">
        <v>2390</v>
      </c>
      <c r="C13964" s="2">
        <v>705.27760000000001</v>
      </c>
      <c r="D13964" s="2">
        <f>HYPERLINK("http://mcb-m6.bioreg.kyushu-u.ac.jp/M3/20110414/F50943/1658/1", 53.57)</f>
        <v>53.57</v>
      </c>
      <c r="E13964" s="2">
        <v>40.83</v>
      </c>
      <c r="F13964" s="2">
        <v>2</v>
      </c>
      <c r="G13964" s="2" t="s">
        <v>11</v>
      </c>
      <c r="I13964" s="2" t="s">
        <v>4903</v>
      </c>
    </row>
    <row r="13965" spans="1:9" x14ac:dyDescent="0.2">
      <c r="A13965" s="2" t="s">
        <v>3711</v>
      </c>
      <c r="B13965" s="2" t="s">
        <v>695</v>
      </c>
      <c r="C13965" s="2">
        <v>762.71720000000005</v>
      </c>
      <c r="D13965" s="2">
        <f>HYPERLINK("http://mcb-m6.bioreg.kyushu-u.ac.jp/M3/20110411/F50911/2218/1", 48.65)</f>
        <v>48.65</v>
      </c>
      <c r="E13965" s="2">
        <v>20.11</v>
      </c>
      <c r="F13965" s="2">
        <v>2</v>
      </c>
      <c r="G13965" s="2" t="s">
        <v>9</v>
      </c>
    </row>
    <row r="13966" spans="1:9" x14ac:dyDescent="0.2">
      <c r="A13966" s="2" t="s">
        <v>3711</v>
      </c>
      <c r="B13966" s="2" t="s">
        <v>847</v>
      </c>
      <c r="C13966" s="2">
        <v>571.43820000000005</v>
      </c>
      <c r="D13966" s="2">
        <f>HYPERLINK("http://mcb-m6.bioreg.kyushu-u.ac.jp/M3/20110411/F50905/1240/1", 53.25)</f>
        <v>53.25</v>
      </c>
      <c r="E13966" s="2">
        <v>29.78</v>
      </c>
      <c r="F13966" s="2">
        <v>2</v>
      </c>
      <c r="G13966" s="2" t="s">
        <v>9</v>
      </c>
    </row>
    <row r="13967" spans="1:9" x14ac:dyDescent="0.2">
      <c r="A13967" s="2" t="s">
        <v>3711</v>
      </c>
      <c r="B13967" s="2" t="s">
        <v>695</v>
      </c>
      <c r="C13967" s="2">
        <v>762.64260000000002</v>
      </c>
      <c r="D13967" s="2">
        <f>HYPERLINK("http://mcb-m6.bioreg.kyushu-u.ac.jp/M3/20110411/F50905/2161/1", 54.77)</f>
        <v>54.77</v>
      </c>
      <c r="E13967" s="2">
        <v>24.9</v>
      </c>
      <c r="F13967" s="2">
        <v>2</v>
      </c>
      <c r="G13967" s="2" t="s">
        <v>9</v>
      </c>
    </row>
    <row r="13968" spans="1:9" x14ac:dyDescent="0.2">
      <c r="A13968" s="2" t="s">
        <v>3711</v>
      </c>
      <c r="B13968" s="2" t="s">
        <v>847</v>
      </c>
      <c r="C13968" s="2">
        <v>571.41470000000004</v>
      </c>
      <c r="D13968" s="2">
        <f>HYPERLINK("http://mcb-m6.bioreg.kyushu-u.ac.jp/M3/20110411/F50911/1258/1", 55.88)</f>
        <v>55.88</v>
      </c>
      <c r="E13968" s="2">
        <v>27.37</v>
      </c>
      <c r="F13968" s="2">
        <v>2</v>
      </c>
      <c r="G13968" s="2" t="s">
        <v>9</v>
      </c>
    </row>
    <row r="13969" spans="1:9" x14ac:dyDescent="0.2">
      <c r="A13969" s="2" t="s">
        <v>3711</v>
      </c>
      <c r="B13969" s="2" t="s">
        <v>847</v>
      </c>
      <c r="C13969" s="2">
        <v>1141.52</v>
      </c>
      <c r="D13969" s="2">
        <f>HYPERLINK("http://mcb-m6.bioreg.kyushu-u.ac.jp/M3/20110411/F50892/1537/1", 56.61)</f>
        <v>56.61</v>
      </c>
      <c r="E13969" s="2">
        <v>23.72</v>
      </c>
      <c r="F13969" s="2">
        <v>1</v>
      </c>
      <c r="G13969" s="2" t="s">
        <v>9</v>
      </c>
    </row>
    <row r="13970" spans="1:9" x14ac:dyDescent="0.2">
      <c r="A13970" s="2" t="s">
        <v>3711</v>
      </c>
      <c r="B13970" s="2" t="s">
        <v>847</v>
      </c>
      <c r="C13970" s="2">
        <v>1141.6659999999999</v>
      </c>
      <c r="D13970" s="2">
        <f>HYPERLINK("http://mcb-m6.bioreg.kyushu-u.ac.jp/M3/20110411/F50911/1256/1", 57.63)</f>
        <v>57.63</v>
      </c>
      <c r="E13970" s="2">
        <v>25.76</v>
      </c>
      <c r="F13970" s="2">
        <v>1</v>
      </c>
      <c r="G13970" s="2" t="s">
        <v>9</v>
      </c>
    </row>
    <row r="13971" spans="1:9" x14ac:dyDescent="0.2">
      <c r="A13971" s="2" t="s">
        <v>3711</v>
      </c>
      <c r="B13971" s="2" t="s">
        <v>847</v>
      </c>
      <c r="C13971" s="2">
        <v>1141.7840000000001</v>
      </c>
      <c r="D13971" s="2">
        <f>HYPERLINK("http://mcb-m6.bioreg.kyushu-u.ac.jp/M3/20110411/F50895/1301/1", 57.92)</f>
        <v>57.92</v>
      </c>
      <c r="E13971" s="2">
        <v>23.13</v>
      </c>
      <c r="F13971" s="2">
        <v>1</v>
      </c>
      <c r="G13971" s="2" t="s">
        <v>9</v>
      </c>
    </row>
    <row r="13972" spans="1:9" x14ac:dyDescent="0.2">
      <c r="A13972" s="2" t="s">
        <v>3711</v>
      </c>
      <c r="B13972" s="2" t="s">
        <v>847</v>
      </c>
      <c r="C13972" s="2">
        <v>1141.4649999999999</v>
      </c>
      <c r="D13972" s="2">
        <f>HYPERLINK("http://mcb-m6.bioreg.kyushu-u.ac.jp/M3/20110411/F50891/1247/1", 58)</f>
        <v>58</v>
      </c>
      <c r="E13972" s="2">
        <v>25.55</v>
      </c>
      <c r="F13972" s="2">
        <v>1</v>
      </c>
      <c r="G13972" s="2" t="s">
        <v>9</v>
      </c>
    </row>
    <row r="13973" spans="1:9" x14ac:dyDescent="0.2">
      <c r="A13973" s="2" t="s">
        <v>3711</v>
      </c>
      <c r="B13973" s="2" t="s">
        <v>847</v>
      </c>
      <c r="C13973" s="2">
        <v>1141.6980000000001</v>
      </c>
      <c r="D13973" s="2">
        <f>HYPERLINK("http://mcb-m6.bioreg.kyushu-u.ac.jp/M3/20110411/F50905/1237/1", 60.29)</f>
        <v>60.29</v>
      </c>
      <c r="E13973" s="2">
        <v>19.59</v>
      </c>
      <c r="F13973" s="2">
        <v>1</v>
      </c>
      <c r="G13973" s="2" t="s">
        <v>9</v>
      </c>
    </row>
    <row r="13974" spans="1:9" x14ac:dyDescent="0.2">
      <c r="A13974" s="2" t="s">
        <v>3711</v>
      </c>
      <c r="B13974" s="2" t="s">
        <v>847</v>
      </c>
      <c r="C13974" s="2">
        <v>1141.864</v>
      </c>
      <c r="D13974" s="2">
        <f>HYPERLINK("http://mcb-m6.bioreg.kyushu-u.ac.jp/M3/20110411/F50893/1531/1", 63.25)</f>
        <v>63.25</v>
      </c>
      <c r="E13974" s="2">
        <v>35.93</v>
      </c>
      <c r="F13974" s="2">
        <v>1</v>
      </c>
      <c r="G13974" s="2" t="s">
        <v>9</v>
      </c>
    </row>
    <row r="13975" spans="1:9" x14ac:dyDescent="0.2">
      <c r="A13975" s="2" t="s">
        <v>3711</v>
      </c>
      <c r="B13975" s="2" t="s">
        <v>695</v>
      </c>
      <c r="C13975" s="2">
        <v>762.5231</v>
      </c>
      <c r="D13975" s="2">
        <f>HYPERLINK("http://mcb-m6.bioreg.kyushu-u.ac.jp/M3/20110411/F50914/2196/1", 44.79)</f>
        <v>44.79</v>
      </c>
      <c r="E13975" s="2">
        <v>17.940000000000001</v>
      </c>
      <c r="F13975" s="2">
        <v>2</v>
      </c>
      <c r="G13975" s="2" t="s">
        <v>10</v>
      </c>
    </row>
    <row r="13976" spans="1:9" x14ac:dyDescent="0.2">
      <c r="A13976" s="2" t="s">
        <v>3711</v>
      </c>
      <c r="B13976" s="2" t="s">
        <v>847</v>
      </c>
      <c r="C13976" s="2">
        <v>571.84220000000005</v>
      </c>
      <c r="D13976" s="2">
        <f>HYPERLINK("http://mcb-m6.bioreg.kyushu-u.ac.jp/M3/20110411/F50920/897/1", 48.49)</f>
        <v>48.49</v>
      </c>
      <c r="E13976" s="2">
        <v>27.83</v>
      </c>
      <c r="F13976" s="2">
        <v>2</v>
      </c>
      <c r="G13976" s="2" t="s">
        <v>10</v>
      </c>
    </row>
    <row r="13977" spans="1:9" x14ac:dyDescent="0.2">
      <c r="A13977" s="2" t="s">
        <v>3711</v>
      </c>
      <c r="B13977" s="2" t="s">
        <v>847</v>
      </c>
      <c r="C13977" s="2">
        <v>1141.8140000000001</v>
      </c>
      <c r="D13977" s="2">
        <f>HYPERLINK("http://mcb-m6.bioreg.kyushu-u.ac.jp/M3/20110411/F50912/1315/1", 52.77)</f>
        <v>52.77</v>
      </c>
      <c r="E13977" s="2">
        <v>19.09</v>
      </c>
      <c r="F13977" s="2">
        <v>1</v>
      </c>
      <c r="G13977" s="2" t="s">
        <v>10</v>
      </c>
    </row>
    <row r="13978" spans="1:9" x14ac:dyDescent="0.2">
      <c r="A13978" s="2" t="s">
        <v>3711</v>
      </c>
      <c r="B13978" s="2" t="s">
        <v>847</v>
      </c>
      <c r="C13978" s="2">
        <v>571.32320000000004</v>
      </c>
      <c r="D13978" s="2">
        <f>HYPERLINK("http://mcb-m6.bioreg.kyushu-u.ac.jp/M3/20110411/F50920/895/1", 54)</f>
        <v>54</v>
      </c>
      <c r="E13978" s="2">
        <v>30.01</v>
      </c>
      <c r="F13978" s="2">
        <v>2</v>
      </c>
      <c r="G13978" s="2" t="s">
        <v>10</v>
      </c>
    </row>
    <row r="13979" spans="1:9" x14ac:dyDescent="0.2">
      <c r="A13979" s="2" t="s">
        <v>3711</v>
      </c>
      <c r="B13979" s="2" t="s">
        <v>847</v>
      </c>
      <c r="C13979" s="2">
        <v>1141.558</v>
      </c>
      <c r="D13979" s="2">
        <f>HYPERLINK("http://mcb-m6.bioreg.kyushu-u.ac.jp/M3/20110411/F50914/1321/1", 61.33)</f>
        <v>61.33</v>
      </c>
      <c r="E13979" s="2">
        <v>32.14</v>
      </c>
      <c r="F13979" s="2">
        <v>1</v>
      </c>
      <c r="G13979" s="2" t="s">
        <v>10</v>
      </c>
    </row>
    <row r="13980" spans="1:9" x14ac:dyDescent="0.2">
      <c r="A13980" s="2" t="s">
        <v>3711</v>
      </c>
      <c r="B13980" s="2" t="s">
        <v>847</v>
      </c>
      <c r="C13980" s="2">
        <v>1142.2550000000001</v>
      </c>
      <c r="D13980" s="2">
        <f>HYPERLINK("http://mcb-m6.bioreg.kyushu-u.ac.jp/M3/20110502/F51177/965/1", 54.22)</f>
        <v>54.22</v>
      </c>
      <c r="E13980" s="2">
        <v>19.86</v>
      </c>
      <c r="F13980" s="2">
        <v>1</v>
      </c>
      <c r="G13980" s="2" t="s">
        <v>14</v>
      </c>
    </row>
    <row r="13981" spans="1:9" x14ac:dyDescent="0.2">
      <c r="A13981" s="2" t="s">
        <v>3711</v>
      </c>
      <c r="B13981" s="2" t="s">
        <v>695</v>
      </c>
      <c r="C13981" s="2">
        <v>762.48419999999999</v>
      </c>
      <c r="D13981" s="2">
        <f>HYPERLINK("http://mcb-m6.bioreg.kyushu-u.ac.jp/M3/20110502/F51177/1985/1", 63.25)</f>
        <v>63.25</v>
      </c>
      <c r="E13981" s="2">
        <v>33.130000000000003</v>
      </c>
      <c r="F13981" s="2">
        <v>2</v>
      </c>
      <c r="G13981" s="2" t="s">
        <v>14</v>
      </c>
    </row>
    <row r="13982" spans="1:9" x14ac:dyDescent="0.2">
      <c r="A13982" s="2" t="s">
        <v>4799</v>
      </c>
      <c r="B13982" s="2" t="s">
        <v>3036</v>
      </c>
      <c r="C13982" s="2">
        <v>475.71460000000002</v>
      </c>
      <c r="D13982" s="2">
        <f>HYPERLINK("http://mcb-m6.bioreg.kyushu-u.ac.jp/M3/20110502/F51182/625/1", 39.03)</f>
        <v>39.03</v>
      </c>
      <c r="E13982" s="2">
        <v>11.13</v>
      </c>
      <c r="F13982" s="2">
        <v>2</v>
      </c>
      <c r="G13982" s="2" t="s">
        <v>14</v>
      </c>
      <c r="H13982" s="2" t="s">
        <v>4908</v>
      </c>
    </row>
    <row r="13983" spans="1:9" x14ac:dyDescent="0.2">
      <c r="A13983" s="2" t="s">
        <v>4328</v>
      </c>
      <c r="B13983" s="2" t="s">
        <v>2121</v>
      </c>
      <c r="C13983" s="2">
        <v>709.95370000000003</v>
      </c>
      <c r="D13983" s="2">
        <f>HYPERLINK("http://mcb-m6.bioreg.kyushu-u.ac.jp/M3/20110411/F50920/1416/1", 87.01)</f>
        <v>87.01</v>
      </c>
      <c r="E13983" s="2">
        <v>59.68</v>
      </c>
      <c r="F13983" s="2">
        <v>2</v>
      </c>
      <c r="G13983" s="2" t="s">
        <v>10</v>
      </c>
      <c r="I13983" s="2" t="s">
        <v>4893</v>
      </c>
    </row>
    <row r="13984" spans="1:9" x14ac:dyDescent="0.2">
      <c r="A13984" s="2" t="s">
        <v>4328</v>
      </c>
      <c r="B13984" s="2" t="s">
        <v>2121</v>
      </c>
      <c r="C13984" s="2">
        <v>1418.607</v>
      </c>
      <c r="D13984" s="2">
        <f>HYPERLINK("http://mcb-m6.bioreg.kyushu-u.ac.jp/M3/20110414/F50925/2070/1", 41.28)</f>
        <v>41.28</v>
      </c>
      <c r="E13984" s="2">
        <v>26.87</v>
      </c>
      <c r="F13984" s="2">
        <v>1</v>
      </c>
      <c r="G13984" s="2" t="s">
        <v>11</v>
      </c>
      <c r="I13984" s="2" t="s">
        <v>4893</v>
      </c>
    </row>
    <row r="13985" spans="1:9" x14ac:dyDescent="0.2">
      <c r="A13985" s="2" t="s">
        <v>4328</v>
      </c>
      <c r="B13985" s="2" t="s">
        <v>2121</v>
      </c>
      <c r="C13985" s="2">
        <v>709.67409999999995</v>
      </c>
      <c r="D13985" s="2">
        <f>HYPERLINK("http://mcb-m6.bioreg.kyushu-u.ac.jp/M3/20110414/F50966/1712/1", 104.4)</f>
        <v>104.4</v>
      </c>
      <c r="E13985" s="2">
        <v>78.55</v>
      </c>
      <c r="F13985" s="2">
        <v>2</v>
      </c>
      <c r="G13985" s="2" t="s">
        <v>12</v>
      </c>
      <c r="I13985" s="2" t="s">
        <v>4893</v>
      </c>
    </row>
    <row r="13986" spans="1:9" x14ac:dyDescent="0.2">
      <c r="A13986" s="2" t="s">
        <v>4328</v>
      </c>
      <c r="B13986" s="2" t="s">
        <v>2121</v>
      </c>
      <c r="C13986" s="2">
        <v>709.98969999999997</v>
      </c>
      <c r="D13986" s="2">
        <f>HYPERLINK("http://mcb-m6.bioreg.kyushu-u.ac.jp/M3/20110502/F51166/1986/1", 62.82)</f>
        <v>62.82</v>
      </c>
      <c r="E13986" s="2">
        <v>32.89</v>
      </c>
      <c r="F13986" s="2">
        <v>2</v>
      </c>
      <c r="G13986" s="2" t="s">
        <v>13</v>
      </c>
      <c r="I13986" s="2" t="s">
        <v>4893</v>
      </c>
    </row>
    <row r="13987" spans="1:9" x14ac:dyDescent="0.2">
      <c r="A13987" s="2" t="s">
        <v>4328</v>
      </c>
      <c r="B13987" s="2" t="s">
        <v>2121</v>
      </c>
      <c r="C13987" s="2">
        <v>709.99469999999997</v>
      </c>
      <c r="D13987" s="2">
        <f>HYPERLINK("http://mcb-m6.bioreg.kyushu-u.ac.jp/M3/20110502/F51190/1568/1", 95.33)</f>
        <v>95.33</v>
      </c>
      <c r="E13987" s="2">
        <v>67.61</v>
      </c>
      <c r="F13987" s="2">
        <v>2</v>
      </c>
      <c r="G13987" s="2" t="s">
        <v>14</v>
      </c>
      <c r="I13987" s="2" t="s">
        <v>4893</v>
      </c>
    </row>
    <row r="13988" spans="1:9" x14ac:dyDescent="0.2">
      <c r="A13988" s="2" t="s">
        <v>3521</v>
      </c>
      <c r="B13988" s="2" t="s">
        <v>364</v>
      </c>
      <c r="C13988" s="2">
        <v>1303.4459999999999</v>
      </c>
      <c r="D13988" s="2">
        <f>HYPERLINK("http://mcb-m6.bioreg.kyushu-u.ac.jp/M3/20110411/F50890/1722/1", 40.33)</f>
        <v>40.33</v>
      </c>
      <c r="E13988" s="2">
        <v>18.63</v>
      </c>
      <c r="F13988" s="2">
        <v>1</v>
      </c>
      <c r="G13988" s="2" t="s">
        <v>9</v>
      </c>
    </row>
    <row r="13989" spans="1:9" x14ac:dyDescent="0.2">
      <c r="A13989" s="2" t="s">
        <v>3521</v>
      </c>
      <c r="B13989" s="2" t="s">
        <v>364</v>
      </c>
      <c r="C13989" s="2">
        <v>652.55970000000002</v>
      </c>
      <c r="D13989" s="2">
        <f>HYPERLINK("http://mcb-m6.bioreg.kyushu-u.ac.jp/M3/20110411/F50891/1624/1", 75.78)</f>
        <v>75.78</v>
      </c>
      <c r="E13989" s="2">
        <v>43.77</v>
      </c>
      <c r="F13989" s="2">
        <v>2</v>
      </c>
      <c r="G13989" s="2" t="s">
        <v>9</v>
      </c>
    </row>
    <row r="13990" spans="1:9" x14ac:dyDescent="0.2">
      <c r="A13990" s="2" t="s">
        <v>3521</v>
      </c>
      <c r="B13990" s="2" t="s">
        <v>364</v>
      </c>
      <c r="C13990" s="2">
        <v>652.40060000000005</v>
      </c>
      <c r="D13990" s="2">
        <f>HYPERLINK("http://mcb-m6.bioreg.kyushu-u.ac.jp/M3/20110411/F50889/1992/1", 90.13)</f>
        <v>90.13</v>
      </c>
      <c r="E13990" s="2">
        <v>72.08</v>
      </c>
      <c r="F13990" s="2">
        <v>2</v>
      </c>
      <c r="G13990" s="2" t="s">
        <v>9</v>
      </c>
    </row>
    <row r="13991" spans="1:9" x14ac:dyDescent="0.2">
      <c r="A13991" s="2" t="s">
        <v>3521</v>
      </c>
      <c r="B13991" s="2" t="s">
        <v>364</v>
      </c>
      <c r="C13991" s="2">
        <v>1304.3030000000001</v>
      </c>
      <c r="D13991" s="2">
        <f>HYPERLINK("http://mcb-m6.bioreg.kyushu-u.ac.jp/M3/20110411/F50897/1549/1", 45.52)</f>
        <v>45.52</v>
      </c>
      <c r="E13991" s="2">
        <v>30.04</v>
      </c>
      <c r="F13991" s="2">
        <v>1</v>
      </c>
      <c r="G13991" s="2" t="s">
        <v>10</v>
      </c>
    </row>
    <row r="13992" spans="1:9" x14ac:dyDescent="0.2">
      <c r="A13992" s="2" t="s">
        <v>3521</v>
      </c>
      <c r="B13992" s="2" t="s">
        <v>364</v>
      </c>
      <c r="C13992" s="2">
        <v>652.35519999999997</v>
      </c>
      <c r="D13992" s="2">
        <f>HYPERLINK("http://mcb-m6.bioreg.kyushu-u.ac.jp/M3/20110411/F50897/1545/1", 74.62)</f>
        <v>74.62</v>
      </c>
      <c r="E13992" s="2">
        <v>51.45</v>
      </c>
      <c r="F13992" s="2">
        <v>2</v>
      </c>
      <c r="G13992" s="2" t="s">
        <v>10</v>
      </c>
    </row>
    <row r="13993" spans="1:9" x14ac:dyDescent="0.2">
      <c r="A13993" s="2" t="s">
        <v>3521</v>
      </c>
      <c r="B13993" s="2" t="s">
        <v>364</v>
      </c>
      <c r="C13993" s="2">
        <v>652.38760000000002</v>
      </c>
      <c r="D13993" s="2">
        <f>HYPERLINK("http://mcb-m6.bioreg.kyushu-u.ac.jp/M3/20110411/F50897/1546/1", 75.53)</f>
        <v>75.53</v>
      </c>
      <c r="E13993" s="2">
        <v>50.23</v>
      </c>
      <c r="F13993" s="2">
        <v>2</v>
      </c>
      <c r="G13993" s="2" t="s">
        <v>10</v>
      </c>
    </row>
    <row r="13994" spans="1:9" x14ac:dyDescent="0.2">
      <c r="A13994" s="2" t="s">
        <v>3521</v>
      </c>
      <c r="B13994" s="2" t="s">
        <v>364</v>
      </c>
      <c r="C13994" s="2">
        <v>652.44370000000004</v>
      </c>
      <c r="D13994" s="2">
        <f>HYPERLINK("http://mcb-m6.bioreg.kyushu-u.ac.jp/M3/20110411/F50897/1547/1", 93.67)</f>
        <v>93.67</v>
      </c>
      <c r="E13994" s="2">
        <v>70.47</v>
      </c>
      <c r="F13994" s="2">
        <v>2</v>
      </c>
      <c r="G13994" s="2" t="s">
        <v>10</v>
      </c>
    </row>
    <row r="13995" spans="1:9" x14ac:dyDescent="0.2">
      <c r="A13995" s="2" t="s">
        <v>3521</v>
      </c>
      <c r="B13995" s="2" t="s">
        <v>364</v>
      </c>
      <c r="C13995" s="2">
        <v>652.14970000000005</v>
      </c>
      <c r="D13995" s="2">
        <f>HYPERLINK("http://mcb-m6.bioreg.kyushu-u.ac.jp/M3/20110414/F50928/1845/1", 38.6)</f>
        <v>38.6</v>
      </c>
      <c r="E13995" s="2">
        <v>17.46</v>
      </c>
      <c r="F13995" s="2">
        <v>2</v>
      </c>
      <c r="G13995" s="2" t="s">
        <v>11</v>
      </c>
    </row>
    <row r="13996" spans="1:9" x14ac:dyDescent="0.2">
      <c r="A13996" s="2" t="s">
        <v>3521</v>
      </c>
      <c r="B13996" s="2" t="s">
        <v>364</v>
      </c>
      <c r="C13996" s="2">
        <v>1303.154</v>
      </c>
      <c r="D13996" s="2">
        <f>HYPERLINK("http://mcb-m6.bioreg.kyushu-u.ac.jp/M3/20110414/F50927/1914/1", 44.93)</f>
        <v>44.93</v>
      </c>
      <c r="E13996" s="2">
        <v>25.31</v>
      </c>
      <c r="F13996" s="2">
        <v>1</v>
      </c>
      <c r="G13996" s="2" t="s">
        <v>11</v>
      </c>
    </row>
    <row r="13997" spans="1:9" x14ac:dyDescent="0.2">
      <c r="A13997" s="2" t="s">
        <v>3521</v>
      </c>
      <c r="B13997" s="2" t="s">
        <v>364</v>
      </c>
      <c r="C13997" s="2">
        <v>652.57420000000002</v>
      </c>
      <c r="D13997" s="2">
        <f>HYPERLINK("http://mcb-m6.bioreg.kyushu-u.ac.jp/M3/20110414/F50927/1916/1", 70.07)</f>
        <v>70.069999999999993</v>
      </c>
      <c r="E13997" s="2">
        <v>44.07</v>
      </c>
      <c r="F13997" s="2">
        <v>2</v>
      </c>
      <c r="G13997" s="2" t="s">
        <v>11</v>
      </c>
    </row>
    <row r="13998" spans="1:9" x14ac:dyDescent="0.2">
      <c r="A13998" s="2" t="s">
        <v>3521</v>
      </c>
      <c r="B13998" s="2" t="s">
        <v>364</v>
      </c>
      <c r="C13998" s="2">
        <v>652.05020000000002</v>
      </c>
      <c r="D13998" s="2">
        <f>HYPERLINK("http://mcb-m6.bioreg.kyushu-u.ac.jp/M3/20110414/F50927/1912/1", 72.35)</f>
        <v>72.349999999999994</v>
      </c>
      <c r="E13998" s="2">
        <v>43.01</v>
      </c>
      <c r="F13998" s="2">
        <v>2</v>
      </c>
      <c r="G13998" s="2" t="s">
        <v>11</v>
      </c>
    </row>
    <row r="13999" spans="1:9" x14ac:dyDescent="0.2">
      <c r="A13999" s="2" t="s">
        <v>3521</v>
      </c>
      <c r="B13999" s="2" t="s">
        <v>364</v>
      </c>
      <c r="C13999" s="2">
        <v>652.06960000000004</v>
      </c>
      <c r="D13999" s="2">
        <f>HYPERLINK("http://mcb-m6.bioreg.kyushu-u.ac.jp/M3/20110414/F50927/1913/1", 82.12)</f>
        <v>82.12</v>
      </c>
      <c r="E13999" s="2">
        <v>43.8</v>
      </c>
      <c r="F13999" s="2">
        <v>2</v>
      </c>
      <c r="G13999" s="2" t="s">
        <v>11</v>
      </c>
    </row>
    <row r="14000" spans="1:9" x14ac:dyDescent="0.2">
      <c r="A14000" s="2" t="s">
        <v>3521</v>
      </c>
      <c r="B14000" s="2" t="s">
        <v>364</v>
      </c>
      <c r="C14000" s="2">
        <v>651.96119999999996</v>
      </c>
      <c r="D14000" s="2">
        <f>HYPERLINK("http://mcb-m6.bioreg.kyushu-u.ac.jp/M3/20110414/F50927/1911/1", 82.9)</f>
        <v>82.9</v>
      </c>
      <c r="E14000" s="2">
        <v>36.979999999999997</v>
      </c>
      <c r="F14000" s="2">
        <v>2</v>
      </c>
      <c r="G14000" s="2" t="s">
        <v>11</v>
      </c>
    </row>
    <row r="14001" spans="1:7" x14ac:dyDescent="0.2">
      <c r="A14001" s="2" t="s">
        <v>3521</v>
      </c>
      <c r="B14001" s="2" t="s">
        <v>364</v>
      </c>
      <c r="C14001" s="2">
        <v>652.08969999999999</v>
      </c>
      <c r="D14001" s="2">
        <f>HYPERLINK("http://mcb-m6.bioreg.kyushu-u.ac.jp/M3/20110414/F50928/1844/1", 86.59)</f>
        <v>86.59</v>
      </c>
      <c r="E14001" s="2">
        <v>33.22</v>
      </c>
      <c r="F14001" s="2">
        <v>2</v>
      </c>
      <c r="G14001" s="2" t="s">
        <v>11</v>
      </c>
    </row>
    <row r="14002" spans="1:7" x14ac:dyDescent="0.2">
      <c r="A14002" s="2" t="s">
        <v>3521</v>
      </c>
      <c r="B14002" s="2" t="s">
        <v>364</v>
      </c>
      <c r="C14002" s="2">
        <v>652.62459999999999</v>
      </c>
      <c r="D14002" s="2">
        <f>HYPERLINK("http://mcb-m6.bioreg.kyushu-u.ac.jp/M3/20110414/F50927/1917/1", 87.05)</f>
        <v>87.05</v>
      </c>
      <c r="E14002" s="2">
        <v>64.849999999999994</v>
      </c>
      <c r="F14002" s="2">
        <v>2</v>
      </c>
      <c r="G14002" s="2" t="s">
        <v>11</v>
      </c>
    </row>
    <row r="14003" spans="1:7" x14ac:dyDescent="0.2">
      <c r="A14003" s="2" t="s">
        <v>3521</v>
      </c>
      <c r="B14003" s="2" t="s">
        <v>364</v>
      </c>
      <c r="C14003" s="2">
        <v>652.28420000000006</v>
      </c>
      <c r="D14003" s="2">
        <f>HYPERLINK("http://mcb-m6.bioreg.kyushu-u.ac.jp/M3/20110414/F50932/1989/1", 44.47)</f>
        <v>44.47</v>
      </c>
      <c r="E14003" s="2">
        <v>28.4</v>
      </c>
      <c r="F14003" s="2">
        <v>2</v>
      </c>
      <c r="G14003" s="2" t="s">
        <v>12</v>
      </c>
    </row>
    <row r="14004" spans="1:7" x14ac:dyDescent="0.2">
      <c r="A14004" s="2" t="s">
        <v>3521</v>
      </c>
      <c r="B14004" s="2" t="s">
        <v>364</v>
      </c>
      <c r="C14004" s="2">
        <v>1303.4949999999999</v>
      </c>
      <c r="D14004" s="2">
        <f>HYPERLINK("http://mcb-m6.bioreg.kyushu-u.ac.jp/M3/20110414/F50932/1988/1", 47.39)</f>
        <v>47.39</v>
      </c>
      <c r="E14004" s="2">
        <v>38.78</v>
      </c>
      <c r="F14004" s="2">
        <v>1</v>
      </c>
      <c r="G14004" s="2" t="s">
        <v>12</v>
      </c>
    </row>
    <row r="14005" spans="1:7" x14ac:dyDescent="0.2">
      <c r="A14005" s="2" t="s">
        <v>3521</v>
      </c>
      <c r="B14005" s="2" t="s">
        <v>364</v>
      </c>
      <c r="C14005" s="2">
        <v>652.80769999999995</v>
      </c>
      <c r="D14005" s="2">
        <f>HYPERLINK("http://mcb-m6.bioreg.kyushu-u.ac.jp/M3/20110414/F50947/1408/1", 48.81)</f>
        <v>48.81</v>
      </c>
      <c r="E14005" s="2">
        <v>31.57</v>
      </c>
      <c r="F14005" s="2">
        <v>2</v>
      </c>
      <c r="G14005" s="2" t="s">
        <v>12</v>
      </c>
    </row>
    <row r="14006" spans="1:7" x14ac:dyDescent="0.2">
      <c r="A14006" s="2" t="s">
        <v>3521</v>
      </c>
      <c r="B14006" s="2" t="s">
        <v>364</v>
      </c>
      <c r="C14006" s="2">
        <v>652.71720000000005</v>
      </c>
      <c r="D14006" s="2">
        <f>HYPERLINK("http://mcb-m6.bioreg.kyushu-u.ac.jp/M3/20110414/F50932/1990/1", 64.98)</f>
        <v>64.98</v>
      </c>
      <c r="E14006" s="2">
        <v>46.87</v>
      </c>
      <c r="F14006" s="2">
        <v>2</v>
      </c>
      <c r="G14006" s="2" t="s">
        <v>12</v>
      </c>
    </row>
    <row r="14007" spans="1:7" x14ac:dyDescent="0.2">
      <c r="A14007" s="2" t="s">
        <v>3521</v>
      </c>
      <c r="B14007" s="2" t="s">
        <v>364</v>
      </c>
      <c r="C14007" s="2">
        <v>652.86659999999995</v>
      </c>
      <c r="D14007" s="2">
        <f>HYPERLINK("http://mcb-m6.bioreg.kyushu-u.ac.jp/M3/20110414/F50932/1993/1", 67.06)</f>
        <v>67.06</v>
      </c>
      <c r="E14007" s="2">
        <v>46.03</v>
      </c>
      <c r="F14007" s="2">
        <v>2</v>
      </c>
      <c r="G14007" s="2" t="s">
        <v>12</v>
      </c>
    </row>
    <row r="14008" spans="1:7" x14ac:dyDescent="0.2">
      <c r="A14008" s="2" t="s">
        <v>3521</v>
      </c>
      <c r="B14008" s="2" t="s">
        <v>364</v>
      </c>
      <c r="C14008" s="2">
        <v>652.13070000000005</v>
      </c>
      <c r="D14008" s="2">
        <f>HYPERLINK("http://mcb-m6.bioreg.kyushu-u.ac.jp/M3/20110414/F50932/1987/1", 70.59)</f>
        <v>70.59</v>
      </c>
      <c r="E14008" s="2">
        <v>53.93</v>
      </c>
      <c r="F14008" s="2">
        <v>2</v>
      </c>
      <c r="G14008" s="2" t="s">
        <v>12</v>
      </c>
    </row>
    <row r="14009" spans="1:7" x14ac:dyDescent="0.2">
      <c r="A14009" s="2" t="s">
        <v>3521</v>
      </c>
      <c r="B14009" s="2" t="s">
        <v>364</v>
      </c>
      <c r="C14009" s="2">
        <v>652.8356</v>
      </c>
      <c r="D14009" s="2">
        <f>HYPERLINK("http://mcb-m6.bioreg.kyushu-u.ac.jp/M3/20110414/F50932/1992/1", 71.89)</f>
        <v>71.89</v>
      </c>
      <c r="E14009" s="2">
        <v>49</v>
      </c>
      <c r="F14009" s="2">
        <v>2</v>
      </c>
      <c r="G14009" s="2" t="s">
        <v>12</v>
      </c>
    </row>
    <row r="14010" spans="1:7" x14ac:dyDescent="0.2">
      <c r="A14010" s="2" t="s">
        <v>3521</v>
      </c>
      <c r="B14010" s="2" t="s">
        <v>364</v>
      </c>
      <c r="C14010" s="2">
        <v>652.75670000000002</v>
      </c>
      <c r="D14010" s="2">
        <f>HYPERLINK("http://mcb-m6.bioreg.kyushu-u.ac.jp/M3/20110414/F50932/1991/1", 79.83)</f>
        <v>79.83</v>
      </c>
      <c r="E14010" s="2">
        <v>60.93</v>
      </c>
      <c r="F14010" s="2">
        <v>2</v>
      </c>
      <c r="G14010" s="2" t="s">
        <v>12</v>
      </c>
    </row>
    <row r="14011" spans="1:7" x14ac:dyDescent="0.2">
      <c r="A14011" s="2" t="s">
        <v>3521</v>
      </c>
      <c r="B14011" s="2" t="s">
        <v>364</v>
      </c>
      <c r="C14011" s="2">
        <v>1304.1379999999999</v>
      </c>
      <c r="D14011" s="2">
        <f>HYPERLINK("http://mcb-m6.bioreg.kyushu-u.ac.jp/M3/20110502/F51168/1693/1", 38.38)</f>
        <v>38.380000000000003</v>
      </c>
      <c r="E14011" s="2">
        <v>27.32</v>
      </c>
      <c r="F14011" s="2">
        <v>1</v>
      </c>
      <c r="G14011" s="2" t="s">
        <v>13</v>
      </c>
    </row>
    <row r="14012" spans="1:7" x14ac:dyDescent="0.2">
      <c r="A14012" s="2" t="s">
        <v>3521</v>
      </c>
      <c r="B14012" s="2" t="s">
        <v>364</v>
      </c>
      <c r="C14012" s="2">
        <v>652.42819999999995</v>
      </c>
      <c r="D14012" s="2">
        <f>HYPERLINK("http://mcb-m6.bioreg.kyushu-u.ac.jp/M3/20110502/F51168/1692/1", 53.71)</f>
        <v>53.71</v>
      </c>
      <c r="E14012" s="2">
        <v>38.520000000000003</v>
      </c>
      <c r="F14012" s="2">
        <v>2</v>
      </c>
      <c r="G14012" s="2" t="s">
        <v>13</v>
      </c>
    </row>
    <row r="14013" spans="1:7" x14ac:dyDescent="0.2">
      <c r="A14013" s="2" t="s">
        <v>3521</v>
      </c>
      <c r="B14013" s="2" t="s">
        <v>364</v>
      </c>
      <c r="C14013" s="2">
        <v>652.36969999999997</v>
      </c>
      <c r="D14013" s="2">
        <f>HYPERLINK("http://mcb-m6.bioreg.kyushu-u.ac.jp/M3/20110502/F51168/1689/1", 60.43)</f>
        <v>60.43</v>
      </c>
      <c r="E14013" s="2">
        <v>42.01</v>
      </c>
      <c r="F14013" s="2">
        <v>2</v>
      </c>
      <c r="G14013" s="2" t="s">
        <v>13</v>
      </c>
    </row>
    <row r="14014" spans="1:7" x14ac:dyDescent="0.2">
      <c r="A14014" s="2" t="s">
        <v>3521</v>
      </c>
      <c r="B14014" s="2" t="s">
        <v>364</v>
      </c>
      <c r="C14014" s="2">
        <v>652.4402</v>
      </c>
      <c r="D14014" s="2">
        <f>HYPERLINK("http://mcb-m6.bioreg.kyushu-u.ac.jp/M3/20110502/F51165/1788/1", 72.7)</f>
        <v>72.7</v>
      </c>
      <c r="E14014" s="2">
        <v>50.36</v>
      </c>
      <c r="F14014" s="2">
        <v>2</v>
      </c>
      <c r="G14014" s="2" t="s">
        <v>13</v>
      </c>
    </row>
    <row r="14015" spans="1:7" x14ac:dyDescent="0.2">
      <c r="A14015" s="2" t="s">
        <v>3521</v>
      </c>
      <c r="B14015" s="2" t="s">
        <v>364</v>
      </c>
      <c r="C14015" s="2">
        <v>652.42970000000003</v>
      </c>
      <c r="D14015" s="2">
        <f>HYPERLINK("http://mcb-m6.bioreg.kyushu-u.ac.jp/M3/20110502/F51169/1758/1", 84.8)</f>
        <v>84.8</v>
      </c>
      <c r="E14015" s="2">
        <v>52.97</v>
      </c>
      <c r="F14015" s="2">
        <v>2</v>
      </c>
      <c r="G14015" s="2" t="s">
        <v>13</v>
      </c>
    </row>
    <row r="14016" spans="1:7" x14ac:dyDescent="0.2">
      <c r="A14016" s="2" t="s">
        <v>3521</v>
      </c>
      <c r="B14016" s="2" t="s">
        <v>364</v>
      </c>
      <c r="C14016" s="2">
        <v>1303.7349999999999</v>
      </c>
      <c r="D14016" s="2">
        <f>HYPERLINK("http://mcb-m6.bioreg.kyushu-u.ac.jp/M3/20110502/F51177/1296/1", 42.74)</f>
        <v>42.74</v>
      </c>
      <c r="E14016" s="2">
        <v>28.85</v>
      </c>
      <c r="F14016" s="2">
        <v>1</v>
      </c>
      <c r="G14016" s="2" t="s">
        <v>14</v>
      </c>
    </row>
    <row r="14017" spans="1:9" x14ac:dyDescent="0.2">
      <c r="A14017" s="2" t="s">
        <v>3521</v>
      </c>
      <c r="B14017" s="2" t="s">
        <v>364</v>
      </c>
      <c r="C14017" s="2">
        <v>652.59310000000005</v>
      </c>
      <c r="D14017" s="2">
        <f>HYPERLINK("http://mcb-m6.bioreg.kyushu-u.ac.jp/M3/20110502/F51181/1359/1", 93.76)</f>
        <v>93.76</v>
      </c>
      <c r="E14017" s="2">
        <v>70.16</v>
      </c>
      <c r="F14017" s="2">
        <v>2</v>
      </c>
      <c r="G14017" s="2" t="s">
        <v>14</v>
      </c>
    </row>
    <row r="14018" spans="1:9" x14ac:dyDescent="0.2">
      <c r="A14018" s="2" t="s">
        <v>3521</v>
      </c>
      <c r="B14018" s="2" t="s">
        <v>364</v>
      </c>
      <c r="C14018" s="2">
        <v>652.5607</v>
      </c>
      <c r="D14018" s="2">
        <f>HYPERLINK("http://mcb-m6.bioreg.kyushu-u.ac.jp/M3/20110502/F51178/1713/1", 97.56)</f>
        <v>97.56</v>
      </c>
      <c r="E14018" s="2">
        <v>75.540000000000006</v>
      </c>
      <c r="F14018" s="2">
        <v>2</v>
      </c>
      <c r="G14018" s="2" t="s">
        <v>14</v>
      </c>
    </row>
    <row r="14019" spans="1:9" x14ac:dyDescent="0.2">
      <c r="A14019" s="2" t="s">
        <v>4619</v>
      </c>
      <c r="B14019" s="2" t="s">
        <v>2745</v>
      </c>
      <c r="C14019" s="2">
        <v>1031.894</v>
      </c>
      <c r="D14019" s="2">
        <f>HYPERLINK("http://mcb-m6.bioreg.kyushu-u.ac.jp/M3/20110414/F50932/2913/1", 72.99)</f>
        <v>72.989999999999995</v>
      </c>
      <c r="E14019" s="2">
        <v>56.93</v>
      </c>
      <c r="F14019" s="2">
        <v>2</v>
      </c>
      <c r="G14019" s="2" t="s">
        <v>12</v>
      </c>
    </row>
    <row r="14020" spans="1:9" x14ac:dyDescent="0.2">
      <c r="A14020" s="2" t="s">
        <v>4619</v>
      </c>
      <c r="B14020" s="2" t="s">
        <v>2745</v>
      </c>
      <c r="C14020" s="2">
        <v>1031.691</v>
      </c>
      <c r="D14020" s="2">
        <f>HYPERLINK("http://mcb-m6.bioreg.kyushu-u.ac.jp/M3/20110502/F51177/3229/1", 44.46)</f>
        <v>44.46</v>
      </c>
      <c r="E14020" s="2">
        <v>29.38</v>
      </c>
      <c r="F14020" s="2">
        <v>2</v>
      </c>
      <c r="G14020" s="2" t="s">
        <v>14</v>
      </c>
    </row>
    <row r="14021" spans="1:9" x14ac:dyDescent="0.2">
      <c r="A14021" s="2" t="s">
        <v>4207</v>
      </c>
      <c r="B14021" s="2" t="s">
        <v>1799</v>
      </c>
      <c r="C14021" s="2">
        <v>1245.557</v>
      </c>
      <c r="D14021" s="2">
        <f>HYPERLINK("http://mcb-m6.bioreg.kyushu-u.ac.jp/M3/20110411/F50920/3442/1", 39.73)</f>
        <v>39.729999999999997</v>
      </c>
      <c r="E14021" s="2">
        <v>22.08</v>
      </c>
      <c r="F14021" s="2">
        <v>2</v>
      </c>
      <c r="G14021" s="2" t="s">
        <v>10</v>
      </c>
    </row>
    <row r="14022" spans="1:9" x14ac:dyDescent="0.2">
      <c r="A14022" s="2" t="s">
        <v>4488</v>
      </c>
      <c r="B14022" s="2" t="s">
        <v>2453</v>
      </c>
      <c r="C14022" s="2">
        <v>809.47450000000003</v>
      </c>
      <c r="D14022" s="2">
        <f>HYPERLINK("http://mcb-m6.bioreg.kyushu-u.ac.jp/M3/20110414/F50924/3519/1", 68.79)</f>
        <v>68.790000000000006</v>
      </c>
      <c r="E14022" s="2">
        <v>46.71</v>
      </c>
      <c r="F14022" s="2">
        <v>3</v>
      </c>
      <c r="G14022" s="2" t="s">
        <v>11</v>
      </c>
      <c r="H14022" s="2" t="s">
        <v>4963</v>
      </c>
    </row>
    <row r="14023" spans="1:9" x14ac:dyDescent="0.2">
      <c r="A14023" s="2" t="s">
        <v>4819</v>
      </c>
      <c r="B14023" s="2" t="s">
        <v>3071</v>
      </c>
      <c r="C14023" s="2">
        <v>547.57119999999998</v>
      </c>
      <c r="D14023" s="2">
        <f>HYPERLINK("http://mcb-m6.bioreg.kyushu-u.ac.jp/M3/20110502/F51194/822/1", 41.87)</f>
        <v>41.87</v>
      </c>
      <c r="E14023" s="2">
        <v>17.649999999999999</v>
      </c>
      <c r="F14023" s="2">
        <v>2</v>
      </c>
      <c r="G14023" s="2" t="s">
        <v>14</v>
      </c>
    </row>
    <row r="14024" spans="1:9" x14ac:dyDescent="0.2">
      <c r="A14024" s="2" t="s">
        <v>4819</v>
      </c>
      <c r="B14024" s="2" t="s">
        <v>3207</v>
      </c>
      <c r="C14024" s="2">
        <v>797.90470000000005</v>
      </c>
      <c r="D14024" s="2">
        <f>HYPERLINK("http://mcb-m6.bioreg.kyushu-u.ac.jp/M3/20110502/F51194/2136/1", 73.77)</f>
        <v>73.77</v>
      </c>
      <c r="E14024" s="2">
        <v>61.61</v>
      </c>
      <c r="F14024" s="2">
        <v>2</v>
      </c>
      <c r="G14024" s="2" t="s">
        <v>14</v>
      </c>
      <c r="I14024" s="2" t="s">
        <v>4914</v>
      </c>
    </row>
    <row r="14025" spans="1:9" x14ac:dyDescent="0.2">
      <c r="A14025" s="2" t="s">
        <v>4819</v>
      </c>
      <c r="B14025" s="2" t="s">
        <v>3207</v>
      </c>
      <c r="C14025" s="2">
        <v>798.20870000000002</v>
      </c>
      <c r="D14025" s="2">
        <f>HYPERLINK("http://mcb-m6.bioreg.kyushu-u.ac.jp/M3/20110502/F51193/2211/1", 78.8)</f>
        <v>78.8</v>
      </c>
      <c r="E14025" s="2">
        <v>63.05</v>
      </c>
      <c r="F14025" s="2">
        <v>2</v>
      </c>
      <c r="G14025" s="2" t="s">
        <v>14</v>
      </c>
      <c r="I14025" s="2" t="s">
        <v>4914</v>
      </c>
    </row>
    <row r="14026" spans="1:9" x14ac:dyDescent="0.2">
      <c r="A14026" s="2" t="s">
        <v>4829</v>
      </c>
      <c r="B14026" s="2" t="s">
        <v>3090</v>
      </c>
      <c r="C14026" s="2">
        <v>526.05909999999994</v>
      </c>
      <c r="D14026" s="2">
        <f>HYPERLINK("http://mcb-m6.bioreg.kyushu-u.ac.jp/M3/20110502/F51179/723/1", 43.72)</f>
        <v>43.72</v>
      </c>
      <c r="E14026" s="2">
        <v>25.18</v>
      </c>
      <c r="F14026" s="2">
        <v>2</v>
      </c>
      <c r="G14026" s="2" t="s">
        <v>14</v>
      </c>
    </row>
    <row r="14027" spans="1:9" x14ac:dyDescent="0.2">
      <c r="A14027" s="2" t="s">
        <v>3968</v>
      </c>
      <c r="B14027" s="2" t="s">
        <v>1200</v>
      </c>
      <c r="C14027" s="2">
        <v>774.02560000000005</v>
      </c>
      <c r="D14027" s="2">
        <f>HYPERLINK("http://mcb-m6.bioreg.kyushu-u.ac.jp/M3/20110411/F50905/2236/1", 67.15)</f>
        <v>67.150000000000006</v>
      </c>
      <c r="E14027" s="2">
        <v>43.03</v>
      </c>
      <c r="F14027" s="2">
        <v>2</v>
      </c>
      <c r="G14027" s="2" t="s">
        <v>9</v>
      </c>
    </row>
    <row r="14028" spans="1:9" x14ac:dyDescent="0.2">
      <c r="A14028" s="2" t="s">
        <v>3968</v>
      </c>
      <c r="B14028" s="2" t="s">
        <v>2316</v>
      </c>
      <c r="C14028" s="2">
        <v>794.36360000000002</v>
      </c>
      <c r="D14028" s="2">
        <f>HYPERLINK("http://mcb-m6.bioreg.kyushu-u.ac.jp/M3/20110414/F50941/2412/1", 45.52)</f>
        <v>45.52</v>
      </c>
      <c r="E14028" s="2">
        <v>30.78</v>
      </c>
      <c r="F14028" s="2">
        <v>2</v>
      </c>
      <c r="G14028" s="2" t="s">
        <v>11</v>
      </c>
      <c r="I14028" s="2" t="s">
        <v>4906</v>
      </c>
    </row>
    <row r="14029" spans="1:9" x14ac:dyDescent="0.2">
      <c r="A14029" s="2" t="s">
        <v>3654</v>
      </c>
      <c r="B14029" s="2" t="s">
        <v>587</v>
      </c>
      <c r="C14029" s="2">
        <v>695.33010000000002</v>
      </c>
      <c r="D14029" s="2">
        <f>HYPERLINK("http://mcb-m6.bioreg.kyushu-u.ac.jp/M3/20110411/F50891/1835/1", 45.57)</f>
        <v>45.57</v>
      </c>
      <c r="E14029" s="2">
        <v>24.69</v>
      </c>
      <c r="F14029" s="2">
        <v>2</v>
      </c>
      <c r="G14029" s="2" t="s">
        <v>9</v>
      </c>
      <c r="I14029" s="2" t="s">
        <v>4923</v>
      </c>
    </row>
    <row r="14030" spans="1:9" x14ac:dyDescent="0.2">
      <c r="A14030" s="2" t="s">
        <v>3375</v>
      </c>
      <c r="B14030" s="2" t="s">
        <v>167</v>
      </c>
      <c r="C14030" s="2">
        <v>726.40719999999999</v>
      </c>
      <c r="D14030" s="2">
        <f>HYPERLINK("http://mcb-m6.bioreg.kyushu-u.ac.jp/M3/20110411/F50890/2109/1", 37.09)</f>
        <v>37.090000000000003</v>
      </c>
      <c r="E14030" s="2">
        <v>19.93</v>
      </c>
      <c r="F14030" s="2">
        <v>2</v>
      </c>
      <c r="G14030" s="2" t="s">
        <v>9</v>
      </c>
      <c r="I14030" s="2" t="s">
        <v>4890</v>
      </c>
    </row>
    <row r="14031" spans="1:9" x14ac:dyDescent="0.2">
      <c r="A14031" s="2" t="s">
        <v>3375</v>
      </c>
      <c r="B14031" s="2" t="s">
        <v>167</v>
      </c>
      <c r="C14031" s="2">
        <v>725.93219999999997</v>
      </c>
      <c r="D14031" s="2">
        <f>HYPERLINK("http://mcb-m6.bioreg.kyushu-u.ac.jp/M3/20110411/F50890/2105/1", 77.65)</f>
        <v>77.650000000000006</v>
      </c>
      <c r="E14031" s="2">
        <v>45.99</v>
      </c>
      <c r="F14031" s="2">
        <v>2</v>
      </c>
      <c r="G14031" s="2" t="s">
        <v>9</v>
      </c>
      <c r="I14031" s="2" t="s">
        <v>4890</v>
      </c>
    </row>
    <row r="14032" spans="1:9" x14ac:dyDescent="0.2">
      <c r="A14032" s="2" t="s">
        <v>3375</v>
      </c>
      <c r="B14032" s="2" t="s">
        <v>167</v>
      </c>
      <c r="C14032" s="2">
        <v>726.44169999999997</v>
      </c>
      <c r="D14032" s="2">
        <f>HYPERLINK("http://mcb-m6.bioreg.kyushu-u.ac.jp/M3/20110411/F50897/1892/1", 53.36)</f>
        <v>53.36</v>
      </c>
      <c r="E14032" s="2">
        <v>32.270000000000003</v>
      </c>
      <c r="F14032" s="2">
        <v>2</v>
      </c>
      <c r="G14032" s="2" t="s">
        <v>10</v>
      </c>
      <c r="I14032" s="2" t="s">
        <v>4890</v>
      </c>
    </row>
    <row r="14033" spans="1:9" x14ac:dyDescent="0.2">
      <c r="A14033" s="2" t="s">
        <v>3375</v>
      </c>
      <c r="B14033" s="2" t="s">
        <v>167</v>
      </c>
      <c r="C14033" s="2">
        <v>725.67359999999996</v>
      </c>
      <c r="D14033" s="2">
        <f>HYPERLINK("http://mcb-m6.bioreg.kyushu-u.ac.jp/M3/20110414/F50927/2227/1", 87.59)</f>
        <v>87.59</v>
      </c>
      <c r="E14033" s="2">
        <v>59.15</v>
      </c>
      <c r="F14033" s="2">
        <v>2</v>
      </c>
      <c r="G14033" s="2" t="s">
        <v>11</v>
      </c>
      <c r="I14033" s="2" t="s">
        <v>4890</v>
      </c>
    </row>
    <row r="14034" spans="1:9" x14ac:dyDescent="0.2">
      <c r="A14034" s="2" t="s">
        <v>3375</v>
      </c>
      <c r="B14034" s="2" t="s">
        <v>167</v>
      </c>
      <c r="C14034" s="2">
        <v>726.27760000000001</v>
      </c>
      <c r="D14034" s="2">
        <f>HYPERLINK("http://mcb-m6.bioreg.kyushu-u.ac.jp/M3/20110414/F50932/2227/1", 41.42)</f>
        <v>41.42</v>
      </c>
      <c r="E14034" s="2">
        <v>18.579999999999998</v>
      </c>
      <c r="F14034" s="2">
        <v>2</v>
      </c>
      <c r="G14034" s="2" t="s">
        <v>12</v>
      </c>
      <c r="I14034" s="2" t="s">
        <v>4890</v>
      </c>
    </row>
    <row r="14035" spans="1:9" x14ac:dyDescent="0.2">
      <c r="A14035" s="2" t="s">
        <v>3501</v>
      </c>
      <c r="B14035" s="2" t="s">
        <v>338</v>
      </c>
      <c r="C14035" s="2">
        <v>810.94920000000002</v>
      </c>
      <c r="D14035" s="2">
        <f>HYPERLINK("http://mcb-m6.bioreg.kyushu-u.ac.jp/M3/20110411/F50890/2577/1", 39.92)</f>
        <v>39.92</v>
      </c>
      <c r="E14035" s="2">
        <v>23.61</v>
      </c>
      <c r="F14035" s="2">
        <v>2</v>
      </c>
      <c r="G14035" s="2" t="s">
        <v>9</v>
      </c>
    </row>
    <row r="14036" spans="1:9" x14ac:dyDescent="0.2">
      <c r="A14036" s="2" t="s">
        <v>4558</v>
      </c>
      <c r="B14036" s="2" t="s">
        <v>2595</v>
      </c>
      <c r="C14036" s="2">
        <v>610.33969999999999</v>
      </c>
      <c r="D14036" s="2">
        <f>HYPERLINK("http://mcb-m6.bioreg.kyushu-u.ac.jp/M3/20110414/F50932/1911/1", 40.41)</f>
        <v>40.409999999999997</v>
      </c>
      <c r="E14036" s="2">
        <v>24.83</v>
      </c>
      <c r="F14036" s="2">
        <v>2</v>
      </c>
      <c r="G14036" s="2" t="s">
        <v>12</v>
      </c>
    </row>
    <row r="14037" spans="1:9" x14ac:dyDescent="0.2">
      <c r="A14037" s="2" t="s">
        <v>3559</v>
      </c>
      <c r="B14037" s="2" t="s">
        <v>422</v>
      </c>
      <c r="C14037" s="2">
        <v>894.29169999999999</v>
      </c>
      <c r="D14037" s="2">
        <f>HYPERLINK("http://mcb-m6.bioreg.kyushu-u.ac.jp/M3/20110411/F50890/2940/1", 41.57)</f>
        <v>41.57</v>
      </c>
      <c r="E14037" s="2">
        <v>19.239999999999998</v>
      </c>
      <c r="F14037" s="2">
        <v>2</v>
      </c>
      <c r="G14037" s="2" t="s">
        <v>9</v>
      </c>
      <c r="I14037" s="2" t="s">
        <v>4924</v>
      </c>
    </row>
    <row r="14038" spans="1:9" x14ac:dyDescent="0.2">
      <c r="A14038" s="2" t="s">
        <v>3559</v>
      </c>
      <c r="B14038" s="2" t="s">
        <v>422</v>
      </c>
      <c r="C14038" s="2">
        <v>894.53369999999995</v>
      </c>
      <c r="D14038" s="2">
        <f>HYPERLINK("http://mcb-m6.bioreg.kyushu-u.ac.jp/M3/20110414/F50927/2876/1", 49.92)</f>
        <v>49.92</v>
      </c>
      <c r="E14038" s="2">
        <v>15.07</v>
      </c>
      <c r="F14038" s="2">
        <v>2</v>
      </c>
      <c r="G14038" s="2" t="s">
        <v>11</v>
      </c>
      <c r="I14038" s="2" t="s">
        <v>4924</v>
      </c>
    </row>
    <row r="14039" spans="1:9" x14ac:dyDescent="0.2">
      <c r="A14039" s="2" t="s">
        <v>3409</v>
      </c>
      <c r="B14039" s="2" t="s">
        <v>206</v>
      </c>
      <c r="C14039" s="2">
        <v>779.89469999999994</v>
      </c>
      <c r="D14039" s="2">
        <f>HYPERLINK("http://mcb-m6.bioreg.kyushu-u.ac.jp/M3/20110411/F50890/2414/1", 37.67)</f>
        <v>37.67</v>
      </c>
      <c r="E14039" s="2">
        <v>26.16</v>
      </c>
      <c r="F14039" s="2">
        <v>2</v>
      </c>
      <c r="G14039" s="2" t="s">
        <v>9</v>
      </c>
      <c r="I14039" s="2" t="s">
        <v>4911</v>
      </c>
    </row>
    <row r="14040" spans="1:9" x14ac:dyDescent="0.2">
      <c r="A14040" s="2" t="s">
        <v>3270</v>
      </c>
      <c r="B14040" s="2" t="s">
        <v>50</v>
      </c>
      <c r="C14040" s="2">
        <v>999.98069999999996</v>
      </c>
      <c r="D14040" s="2">
        <f>HYPERLINK("http://mcb-m6.bioreg.kyushu-u.ac.jp/M3/20110411/F50915/3295/1", 35.44)</f>
        <v>35.44</v>
      </c>
      <c r="E14040" s="2">
        <v>22.2</v>
      </c>
      <c r="F14040" s="2">
        <v>2</v>
      </c>
      <c r="G14040" s="2" t="s">
        <v>9</v>
      </c>
    </row>
    <row r="14041" spans="1:9" x14ac:dyDescent="0.2">
      <c r="A14041" s="2" t="s">
        <v>3270</v>
      </c>
      <c r="B14041" s="2" t="s">
        <v>289</v>
      </c>
      <c r="C14041" s="2">
        <v>809.47310000000004</v>
      </c>
      <c r="D14041" s="2">
        <f>HYPERLINK("http://mcb-m6.bioreg.kyushu-u.ac.jp/M3/20110411/F50916/2270/1", 39.06)</f>
        <v>39.06</v>
      </c>
      <c r="E14041" s="2">
        <v>26.29</v>
      </c>
      <c r="F14041" s="2">
        <v>2</v>
      </c>
      <c r="G14041" s="2" t="s">
        <v>9</v>
      </c>
    </row>
    <row r="14042" spans="1:9" x14ac:dyDescent="0.2">
      <c r="A14042" s="2" t="s">
        <v>3270</v>
      </c>
      <c r="B14042" s="2" t="s">
        <v>291</v>
      </c>
      <c r="C14042" s="2">
        <v>526.79169999999999</v>
      </c>
      <c r="D14042" s="2">
        <f>HYPERLINK("http://mcb-m6.bioreg.kyushu-u.ac.jp/M3/20110411/F50905/1066/1", 39.1)</f>
        <v>39.1</v>
      </c>
      <c r="E14042" s="2">
        <v>18.86</v>
      </c>
      <c r="F14042" s="2">
        <v>2</v>
      </c>
      <c r="G14042" s="2" t="s">
        <v>9</v>
      </c>
    </row>
    <row r="14043" spans="1:9" x14ac:dyDescent="0.2">
      <c r="A14043" s="2" t="s">
        <v>3270</v>
      </c>
      <c r="B14043" s="2" t="s">
        <v>380</v>
      </c>
      <c r="C14043" s="2">
        <v>529.99720000000002</v>
      </c>
      <c r="D14043" s="2">
        <f>HYPERLINK("http://mcb-m6.bioreg.kyushu-u.ac.jp/M3/20110411/F50894/1521/1", 40.76)</f>
        <v>40.76</v>
      </c>
      <c r="E14043" s="2">
        <v>19.77</v>
      </c>
      <c r="F14043" s="2">
        <v>2</v>
      </c>
      <c r="G14043" s="2" t="s">
        <v>9</v>
      </c>
    </row>
    <row r="14044" spans="1:9" x14ac:dyDescent="0.2">
      <c r="A14044" s="2" t="s">
        <v>3270</v>
      </c>
      <c r="B14044" s="2" t="s">
        <v>519</v>
      </c>
      <c r="C14044" s="2">
        <v>853.94460000000004</v>
      </c>
      <c r="D14044" s="2">
        <f>HYPERLINK("http://mcb-m6.bioreg.kyushu-u.ac.jp/M3/20110411/F50915/2579/1", 43.68)</f>
        <v>43.68</v>
      </c>
      <c r="E14044" s="2">
        <v>33.96</v>
      </c>
      <c r="F14044" s="2">
        <v>2</v>
      </c>
      <c r="G14044" s="2" t="s">
        <v>9</v>
      </c>
      <c r="I14044" s="2" t="s">
        <v>4898</v>
      </c>
    </row>
    <row r="14045" spans="1:9" x14ac:dyDescent="0.2">
      <c r="A14045" s="2" t="s">
        <v>3270</v>
      </c>
      <c r="B14045" s="2" t="s">
        <v>519</v>
      </c>
      <c r="C14045" s="2">
        <v>853.6232</v>
      </c>
      <c r="D14045" s="2">
        <f>HYPERLINK("http://mcb-m6.bioreg.kyushu-u.ac.jp/M3/20110411/F50895/2607/1", 49.17)</f>
        <v>49.17</v>
      </c>
      <c r="E14045" s="2">
        <v>36.159999999999997</v>
      </c>
      <c r="F14045" s="2">
        <v>2</v>
      </c>
      <c r="G14045" s="2" t="s">
        <v>9</v>
      </c>
      <c r="I14045" s="2" t="s">
        <v>4898</v>
      </c>
    </row>
    <row r="14046" spans="1:9" x14ac:dyDescent="0.2">
      <c r="A14046" s="2" t="s">
        <v>3270</v>
      </c>
      <c r="B14046" s="2" t="s">
        <v>519</v>
      </c>
      <c r="C14046" s="2">
        <v>853.92909999999995</v>
      </c>
      <c r="D14046" s="2">
        <f>HYPERLINK("http://mcb-m6.bioreg.kyushu-u.ac.jp/M3/20110411/F50892/2668/1", 50.01)</f>
        <v>50.01</v>
      </c>
      <c r="E14046" s="2">
        <v>28.6</v>
      </c>
      <c r="F14046" s="2">
        <v>2</v>
      </c>
      <c r="G14046" s="2" t="s">
        <v>9</v>
      </c>
      <c r="I14046" s="2" t="s">
        <v>4898</v>
      </c>
    </row>
    <row r="14047" spans="1:9" x14ac:dyDescent="0.2">
      <c r="A14047" s="2" t="s">
        <v>3270</v>
      </c>
      <c r="B14047" s="2" t="s">
        <v>909</v>
      </c>
      <c r="C14047" s="2">
        <v>604.87819999999999</v>
      </c>
      <c r="D14047" s="2">
        <f>HYPERLINK("http://mcb-m6.bioreg.kyushu-u.ac.jp/M3/20110411/F50916/1191/1", 55.27)</f>
        <v>55.27</v>
      </c>
      <c r="E14047" s="2">
        <v>27.28</v>
      </c>
      <c r="F14047" s="2">
        <v>2</v>
      </c>
      <c r="G14047" s="2" t="s">
        <v>9</v>
      </c>
    </row>
    <row r="14048" spans="1:9" x14ac:dyDescent="0.2">
      <c r="A14048" s="2" t="s">
        <v>3270</v>
      </c>
      <c r="B14048" s="2" t="s">
        <v>519</v>
      </c>
      <c r="C14048" s="2">
        <v>854.03120000000001</v>
      </c>
      <c r="D14048" s="2">
        <f>HYPERLINK("http://mcb-m6.bioreg.kyushu-u.ac.jp/M3/20110411/F50916/2487/1", 66.69)</f>
        <v>66.69</v>
      </c>
      <c r="E14048" s="2">
        <v>49.8</v>
      </c>
      <c r="F14048" s="2">
        <v>2</v>
      </c>
      <c r="G14048" s="2" t="s">
        <v>9</v>
      </c>
      <c r="I14048" s="2" t="s">
        <v>4898</v>
      </c>
    </row>
    <row r="14049" spans="1:9" x14ac:dyDescent="0.2">
      <c r="A14049" s="2" t="s">
        <v>3270</v>
      </c>
      <c r="B14049" s="2" t="s">
        <v>1208</v>
      </c>
      <c r="C14049" s="2">
        <v>909.98360000000002</v>
      </c>
      <c r="D14049" s="2">
        <f>HYPERLINK("http://mcb-m6.bioreg.kyushu-u.ac.jp/M3/20110411/F50916/2746/1", 67.52)</f>
        <v>67.52</v>
      </c>
      <c r="E14049" s="2">
        <v>54.32</v>
      </c>
      <c r="F14049" s="2">
        <v>2</v>
      </c>
      <c r="G14049" s="2" t="s">
        <v>9</v>
      </c>
    </row>
    <row r="14050" spans="1:9" x14ac:dyDescent="0.2">
      <c r="A14050" s="2" t="s">
        <v>3270</v>
      </c>
      <c r="B14050" s="2" t="s">
        <v>1299</v>
      </c>
      <c r="C14050" s="2">
        <v>606.41920000000005</v>
      </c>
      <c r="D14050" s="2">
        <f>HYPERLINK("http://mcb-m6.bioreg.kyushu-u.ac.jp/M3/20110411/F50916/1196/1", 71.43)</f>
        <v>71.430000000000007</v>
      </c>
      <c r="E14050" s="2">
        <v>51.2</v>
      </c>
      <c r="F14050" s="2">
        <v>2</v>
      </c>
      <c r="G14050" s="2" t="s">
        <v>9</v>
      </c>
      <c r="I14050" s="2" t="s">
        <v>4890</v>
      </c>
    </row>
    <row r="14051" spans="1:9" x14ac:dyDescent="0.2">
      <c r="A14051" s="2" t="s">
        <v>3270</v>
      </c>
      <c r="B14051" s="2" t="s">
        <v>1507</v>
      </c>
      <c r="C14051" s="2">
        <v>1033.56</v>
      </c>
      <c r="D14051" s="2">
        <f>HYPERLINK("http://mcb-m6.bioreg.kyushu-u.ac.jp/M3/20110411/F50916/3263/1", 86.93)</f>
        <v>86.93</v>
      </c>
      <c r="E14051" s="2">
        <v>78.55</v>
      </c>
      <c r="F14051" s="2">
        <v>2</v>
      </c>
      <c r="G14051" s="2" t="s">
        <v>9</v>
      </c>
    </row>
    <row r="14052" spans="1:9" x14ac:dyDescent="0.2">
      <c r="A14052" s="2" t="s">
        <v>3270</v>
      </c>
      <c r="B14052" s="2" t="s">
        <v>291</v>
      </c>
      <c r="C14052" s="2">
        <v>526.8492</v>
      </c>
      <c r="D14052" s="2">
        <f>HYPERLINK("http://mcb-m6.bioreg.kyushu-u.ac.jp/M3/20110411/F50900/1432/1", 35.8)</f>
        <v>35.799999999999997</v>
      </c>
      <c r="E14052" s="2">
        <v>12.3</v>
      </c>
      <c r="F14052" s="2">
        <v>2</v>
      </c>
      <c r="G14052" s="2" t="s">
        <v>10</v>
      </c>
    </row>
    <row r="14053" spans="1:9" x14ac:dyDescent="0.2">
      <c r="A14053" s="2" t="s">
        <v>3270</v>
      </c>
      <c r="B14053" s="2" t="s">
        <v>1711</v>
      </c>
      <c r="C14053" s="2">
        <v>886.65920000000006</v>
      </c>
      <c r="D14053" s="2">
        <f>HYPERLINK("http://mcb-m6.bioreg.kyushu-u.ac.jp/M3/20110411/F50902/2737/1", 36)</f>
        <v>36</v>
      </c>
      <c r="E14053" s="2">
        <v>27.01</v>
      </c>
      <c r="F14053" s="2">
        <v>2</v>
      </c>
      <c r="G14053" s="2" t="s">
        <v>10</v>
      </c>
    </row>
    <row r="14054" spans="1:9" x14ac:dyDescent="0.2">
      <c r="A14054" s="2" t="s">
        <v>3270</v>
      </c>
      <c r="B14054" s="2" t="s">
        <v>519</v>
      </c>
      <c r="C14054" s="2">
        <v>853.51260000000002</v>
      </c>
      <c r="D14054" s="2">
        <f>HYPERLINK("http://mcb-m6.bioreg.kyushu-u.ac.jp/M3/20110411/F50917/2628/1", 38.31)</f>
        <v>38.31</v>
      </c>
      <c r="E14054" s="2">
        <v>27.58</v>
      </c>
      <c r="F14054" s="2">
        <v>2</v>
      </c>
      <c r="G14054" s="2" t="s">
        <v>10</v>
      </c>
      <c r="I14054" s="2" t="s">
        <v>4898</v>
      </c>
    </row>
    <row r="14055" spans="1:9" x14ac:dyDescent="0.2">
      <c r="A14055" s="2" t="s">
        <v>3270</v>
      </c>
      <c r="B14055" s="2" t="s">
        <v>380</v>
      </c>
      <c r="C14055" s="2">
        <v>530.21370000000002</v>
      </c>
      <c r="D14055" s="2">
        <f>HYPERLINK("http://mcb-m6.bioreg.kyushu-u.ac.jp/M3/20110411/F50902/1234/1", 41.25)</f>
        <v>41.25</v>
      </c>
      <c r="E14055" s="2">
        <v>12.32</v>
      </c>
      <c r="F14055" s="2">
        <v>2</v>
      </c>
      <c r="G14055" s="2" t="s">
        <v>10</v>
      </c>
    </row>
    <row r="14056" spans="1:9" x14ac:dyDescent="0.2">
      <c r="A14056" s="2" t="s">
        <v>3270</v>
      </c>
      <c r="B14056" s="2" t="s">
        <v>380</v>
      </c>
      <c r="C14056" s="2">
        <v>529.69669999999996</v>
      </c>
      <c r="D14056" s="2">
        <f>HYPERLINK("http://mcb-m6.bioreg.kyushu-u.ac.jp/M3/20110411/F50902/1233/1", 44.94)</f>
        <v>44.94</v>
      </c>
      <c r="E14056" s="2">
        <v>18.18</v>
      </c>
      <c r="F14056" s="2">
        <v>2</v>
      </c>
      <c r="G14056" s="2" t="s">
        <v>10</v>
      </c>
    </row>
    <row r="14057" spans="1:9" x14ac:dyDescent="0.2">
      <c r="A14057" s="2" t="s">
        <v>3270</v>
      </c>
      <c r="B14057" s="2" t="s">
        <v>289</v>
      </c>
      <c r="C14057" s="2">
        <v>809.56820000000005</v>
      </c>
      <c r="D14057" s="2">
        <f>HYPERLINK("http://mcb-m6.bioreg.kyushu-u.ac.jp/M3/20110411/F50902/2383/1", 47.57)</f>
        <v>47.57</v>
      </c>
      <c r="E14057" s="2">
        <v>29.07</v>
      </c>
      <c r="F14057" s="2">
        <v>2</v>
      </c>
      <c r="G14057" s="2" t="s">
        <v>10</v>
      </c>
    </row>
    <row r="14058" spans="1:9" x14ac:dyDescent="0.2">
      <c r="A14058" s="2" t="s">
        <v>3270</v>
      </c>
      <c r="B14058" s="2" t="s">
        <v>519</v>
      </c>
      <c r="C14058" s="2">
        <v>853.60310000000004</v>
      </c>
      <c r="D14058" s="2">
        <f>HYPERLINK("http://mcb-m6.bioreg.kyushu-u.ac.jp/M3/20110411/F50902/2602/1", 48.01)</f>
        <v>48.01</v>
      </c>
      <c r="E14058" s="2">
        <v>29.64</v>
      </c>
      <c r="F14058" s="2">
        <v>2</v>
      </c>
      <c r="G14058" s="2" t="s">
        <v>10</v>
      </c>
      <c r="I14058" s="2" t="s">
        <v>4898</v>
      </c>
    </row>
    <row r="14059" spans="1:9" x14ac:dyDescent="0.2">
      <c r="A14059" s="2" t="s">
        <v>3270</v>
      </c>
      <c r="B14059" s="2" t="s">
        <v>1925</v>
      </c>
      <c r="C14059" s="2">
        <v>724.59519999999998</v>
      </c>
      <c r="D14059" s="2">
        <f>HYPERLINK("http://mcb-m6.bioreg.kyushu-u.ac.jp/M3/20110411/F50913/1937/1", 50.1)</f>
        <v>50.1</v>
      </c>
      <c r="E14059" s="2">
        <v>34.729999999999997</v>
      </c>
      <c r="F14059" s="2">
        <v>2</v>
      </c>
      <c r="G14059" s="2" t="s">
        <v>10</v>
      </c>
      <c r="I14059" s="2" t="s">
        <v>4898</v>
      </c>
    </row>
    <row r="14060" spans="1:9" x14ac:dyDescent="0.2">
      <c r="A14060" s="2" t="s">
        <v>3270</v>
      </c>
      <c r="B14060" s="2" t="s">
        <v>289</v>
      </c>
      <c r="C14060" s="2">
        <v>809.51260000000002</v>
      </c>
      <c r="D14060" s="2">
        <f>HYPERLINK("http://mcb-m6.bioreg.kyushu-u.ac.jp/M3/20110411/F50918/2212/1", 53.12)</f>
        <v>53.12</v>
      </c>
      <c r="E14060" s="2">
        <v>38.340000000000003</v>
      </c>
      <c r="F14060" s="2">
        <v>2</v>
      </c>
      <c r="G14060" s="2" t="s">
        <v>10</v>
      </c>
    </row>
    <row r="14061" spans="1:9" x14ac:dyDescent="0.2">
      <c r="A14061" s="2" t="s">
        <v>3270</v>
      </c>
      <c r="B14061" s="2" t="s">
        <v>909</v>
      </c>
      <c r="C14061" s="2">
        <v>604.90219999999999</v>
      </c>
      <c r="D14061" s="2">
        <f>HYPERLINK("http://mcb-m6.bioreg.kyushu-u.ac.jp/M3/20110411/F50900/1671/1", 54.43)</f>
        <v>54.43</v>
      </c>
      <c r="E14061" s="2">
        <v>30.46</v>
      </c>
      <c r="F14061" s="2">
        <v>2</v>
      </c>
      <c r="G14061" s="2" t="s">
        <v>10</v>
      </c>
    </row>
    <row r="14062" spans="1:9" x14ac:dyDescent="0.2">
      <c r="A14062" s="2" t="s">
        <v>3270</v>
      </c>
      <c r="B14062" s="2" t="s">
        <v>2007</v>
      </c>
      <c r="C14062" s="2">
        <v>888.99659999999994</v>
      </c>
      <c r="D14062" s="2">
        <f>HYPERLINK("http://mcb-m6.bioreg.kyushu-u.ac.jp/M3/20110411/F50902/2746/1", 60.62)</f>
        <v>60.62</v>
      </c>
      <c r="E14062" s="2">
        <v>48.99</v>
      </c>
      <c r="F14062" s="2">
        <v>2</v>
      </c>
      <c r="G14062" s="2" t="s">
        <v>10</v>
      </c>
    </row>
    <row r="14063" spans="1:9" x14ac:dyDescent="0.2">
      <c r="A14063" s="2" t="s">
        <v>3270</v>
      </c>
      <c r="B14063" s="2" t="s">
        <v>1925</v>
      </c>
      <c r="C14063" s="2">
        <v>724.61609999999996</v>
      </c>
      <c r="D14063" s="2">
        <f>HYPERLINK("http://mcb-m6.bioreg.kyushu-u.ac.jp/M3/20110411/F50902/1978/1", 61.23)</f>
        <v>61.23</v>
      </c>
      <c r="E14063" s="2">
        <v>29.43</v>
      </c>
      <c r="F14063" s="2">
        <v>2</v>
      </c>
      <c r="G14063" s="2" t="s">
        <v>10</v>
      </c>
      <c r="I14063" s="2" t="s">
        <v>4898</v>
      </c>
    </row>
    <row r="14064" spans="1:9" x14ac:dyDescent="0.2">
      <c r="A14064" s="2" t="s">
        <v>3270</v>
      </c>
      <c r="B14064" s="2" t="s">
        <v>289</v>
      </c>
      <c r="C14064" s="2">
        <v>810.00670000000002</v>
      </c>
      <c r="D14064" s="2">
        <f>HYPERLINK("http://mcb-m6.bioreg.kyushu-u.ac.jp/M3/20110411/F50900/2411/1", 61.28)</f>
        <v>61.28</v>
      </c>
      <c r="E14064" s="2">
        <v>44.75</v>
      </c>
      <c r="F14064" s="2">
        <v>2</v>
      </c>
      <c r="G14064" s="2" t="s">
        <v>10</v>
      </c>
    </row>
    <row r="14065" spans="1:9" x14ac:dyDescent="0.2">
      <c r="A14065" s="2" t="s">
        <v>3270</v>
      </c>
      <c r="B14065" s="2" t="s">
        <v>2020</v>
      </c>
      <c r="C14065" s="2">
        <v>749.40470000000005</v>
      </c>
      <c r="D14065" s="2">
        <f>HYPERLINK("http://mcb-m6.bioreg.kyushu-u.ac.jp/M3/20110411/F50918/1937/1", 62.82)</f>
        <v>62.82</v>
      </c>
      <c r="E14065" s="2">
        <v>39.92</v>
      </c>
      <c r="F14065" s="2">
        <v>2</v>
      </c>
      <c r="G14065" s="2" t="s">
        <v>10</v>
      </c>
    </row>
    <row r="14066" spans="1:9" x14ac:dyDescent="0.2">
      <c r="A14066" s="2" t="s">
        <v>3270</v>
      </c>
      <c r="B14066" s="2" t="s">
        <v>2023</v>
      </c>
      <c r="C14066" s="2">
        <v>1105.087</v>
      </c>
      <c r="D14066" s="2">
        <f>HYPERLINK("http://mcb-m6.bioreg.kyushu-u.ac.jp/M3/20110411/F50918/3361/1", 63.6)</f>
        <v>63.6</v>
      </c>
      <c r="E14066" s="2">
        <v>55.61</v>
      </c>
      <c r="F14066" s="2">
        <v>2</v>
      </c>
      <c r="G14066" s="2" t="s">
        <v>10</v>
      </c>
    </row>
    <row r="14067" spans="1:9" x14ac:dyDescent="0.2">
      <c r="A14067" s="2" t="s">
        <v>3270</v>
      </c>
      <c r="B14067" s="2" t="s">
        <v>909</v>
      </c>
      <c r="C14067" s="2">
        <v>604.93470000000002</v>
      </c>
      <c r="D14067" s="2">
        <f>HYPERLINK("http://mcb-m6.bioreg.kyushu-u.ac.jp/M3/20110411/F50902/1465/1", 64.22)</f>
        <v>64.22</v>
      </c>
      <c r="E14067" s="2">
        <v>36.22</v>
      </c>
      <c r="F14067" s="2">
        <v>2</v>
      </c>
      <c r="G14067" s="2" t="s">
        <v>10</v>
      </c>
    </row>
    <row r="14068" spans="1:9" x14ac:dyDescent="0.2">
      <c r="A14068" s="2" t="s">
        <v>3270</v>
      </c>
      <c r="B14068" s="2" t="s">
        <v>2047</v>
      </c>
      <c r="C14068" s="2">
        <v>686.59059999999999</v>
      </c>
      <c r="D14068" s="2">
        <f>HYPERLINK("http://mcb-m6.bioreg.kyushu-u.ac.jp/M3/20110411/F50901/1788/1", 68.98)</f>
        <v>68.98</v>
      </c>
      <c r="E14068" s="2">
        <v>49.44</v>
      </c>
      <c r="F14068" s="2">
        <v>2</v>
      </c>
      <c r="G14068" s="2" t="s">
        <v>10</v>
      </c>
    </row>
    <row r="14069" spans="1:9" x14ac:dyDescent="0.2">
      <c r="A14069" s="2" t="s">
        <v>3270</v>
      </c>
      <c r="B14069" s="2" t="s">
        <v>1299</v>
      </c>
      <c r="C14069" s="2">
        <v>606.53970000000004</v>
      </c>
      <c r="D14069" s="2">
        <f>HYPERLINK("http://mcb-m6.bioreg.kyushu-u.ac.jp/M3/20110411/F50902/1471/1", 71.35)</f>
        <v>71.349999999999994</v>
      </c>
      <c r="E14069" s="2">
        <v>50.21</v>
      </c>
      <c r="F14069" s="2">
        <v>2</v>
      </c>
      <c r="G14069" s="2" t="s">
        <v>10</v>
      </c>
      <c r="I14069" s="2" t="s">
        <v>4890</v>
      </c>
    </row>
    <row r="14070" spans="1:9" x14ac:dyDescent="0.2">
      <c r="A14070" s="2" t="s">
        <v>3270</v>
      </c>
      <c r="B14070" s="2" t="s">
        <v>2072</v>
      </c>
      <c r="C14070" s="2">
        <v>559.37919999999997</v>
      </c>
      <c r="D14070" s="2">
        <f>HYPERLINK("http://mcb-m6.bioreg.kyushu-u.ac.jp/M3/20110411/F50918/994/1", 72.94)</f>
        <v>72.94</v>
      </c>
      <c r="E14070" s="2">
        <v>39.31</v>
      </c>
      <c r="F14070" s="2">
        <v>2</v>
      </c>
      <c r="G14070" s="2" t="s">
        <v>10</v>
      </c>
    </row>
    <row r="14071" spans="1:9" x14ac:dyDescent="0.2">
      <c r="A14071" s="2" t="s">
        <v>3270</v>
      </c>
      <c r="B14071" s="2" t="s">
        <v>2007</v>
      </c>
      <c r="C14071" s="2">
        <v>888.99570000000006</v>
      </c>
      <c r="D14071" s="2">
        <f>HYPERLINK("http://mcb-m6.bioreg.kyushu-u.ac.jp/M3/20110411/F50918/2573/1", 73.07)</f>
        <v>73.069999999999993</v>
      </c>
      <c r="E14071" s="2">
        <v>59.87</v>
      </c>
      <c r="F14071" s="2">
        <v>2</v>
      </c>
      <c r="G14071" s="2" t="s">
        <v>10</v>
      </c>
    </row>
    <row r="14072" spans="1:9" x14ac:dyDescent="0.2">
      <c r="A14072" s="2" t="s">
        <v>3270</v>
      </c>
      <c r="B14072" s="2" t="s">
        <v>1208</v>
      </c>
      <c r="C14072" s="2">
        <v>909.60109999999997</v>
      </c>
      <c r="D14072" s="2">
        <f>HYPERLINK("http://mcb-m6.bioreg.kyushu-u.ac.jp/M3/20110411/F50902/2847/1", 73.76)</f>
        <v>73.760000000000005</v>
      </c>
      <c r="E14072" s="2">
        <v>59.68</v>
      </c>
      <c r="F14072" s="2">
        <v>2</v>
      </c>
      <c r="G14072" s="2" t="s">
        <v>10</v>
      </c>
    </row>
    <row r="14073" spans="1:9" x14ac:dyDescent="0.2">
      <c r="A14073" s="2" t="s">
        <v>3270</v>
      </c>
      <c r="B14073" s="2" t="s">
        <v>1299</v>
      </c>
      <c r="C14073" s="2">
        <v>606.48860000000002</v>
      </c>
      <c r="D14073" s="2">
        <f>HYPERLINK("http://mcb-m6.bioreg.kyushu-u.ac.jp/M3/20110411/F50918/1180/1", 85.71)</f>
        <v>85.71</v>
      </c>
      <c r="E14073" s="2">
        <v>64.31</v>
      </c>
      <c r="F14073" s="2">
        <v>2</v>
      </c>
      <c r="G14073" s="2" t="s">
        <v>10</v>
      </c>
      <c r="I14073" s="2" t="s">
        <v>4890</v>
      </c>
    </row>
    <row r="14074" spans="1:9" x14ac:dyDescent="0.2">
      <c r="A14074" s="2" t="s">
        <v>3270</v>
      </c>
      <c r="B14074" s="2" t="s">
        <v>289</v>
      </c>
      <c r="C14074" s="2">
        <v>809.42110000000002</v>
      </c>
      <c r="D14074" s="2">
        <f>HYPERLINK("http://mcb-m6.bioreg.kyushu-u.ac.jp/M3/20110414/F50943/2302/1", 35.07)</f>
        <v>35.07</v>
      </c>
      <c r="E14074" s="2">
        <v>24.33</v>
      </c>
      <c r="F14074" s="2">
        <v>2</v>
      </c>
      <c r="G14074" s="2" t="s">
        <v>11</v>
      </c>
    </row>
    <row r="14075" spans="1:9" x14ac:dyDescent="0.2">
      <c r="A14075" s="2" t="s">
        <v>3270</v>
      </c>
      <c r="B14075" s="2" t="s">
        <v>2023</v>
      </c>
      <c r="C14075" s="2">
        <v>737.21889999999996</v>
      </c>
      <c r="D14075" s="2">
        <f>HYPERLINK("http://mcb-m6.bioreg.kyushu-u.ac.jp/M3/20110414/F50956/3968/1", 35.99)</f>
        <v>35.99</v>
      </c>
      <c r="E14075" s="2">
        <v>23.53</v>
      </c>
      <c r="F14075" s="2">
        <v>3</v>
      </c>
      <c r="G14075" s="2" t="s">
        <v>11</v>
      </c>
    </row>
    <row r="14076" spans="1:9" x14ac:dyDescent="0.2">
      <c r="A14076" s="2" t="s">
        <v>3270</v>
      </c>
      <c r="B14076" s="2" t="s">
        <v>2229</v>
      </c>
      <c r="C14076" s="2">
        <v>457.61059999999998</v>
      </c>
      <c r="D14076" s="2">
        <f>HYPERLINK("http://mcb-m6.bioreg.kyushu-u.ac.jp/M3/20110414/F50943/797/1", 38.74)</f>
        <v>38.74</v>
      </c>
      <c r="E14076" s="2">
        <v>18.75</v>
      </c>
      <c r="F14076" s="2">
        <v>2</v>
      </c>
      <c r="G14076" s="2" t="s">
        <v>11</v>
      </c>
    </row>
    <row r="14077" spans="1:9" x14ac:dyDescent="0.2">
      <c r="A14077" s="2" t="s">
        <v>3270</v>
      </c>
      <c r="B14077" s="2" t="s">
        <v>2237</v>
      </c>
      <c r="C14077" s="2">
        <v>531.24659999999994</v>
      </c>
      <c r="D14077" s="2">
        <f>HYPERLINK("http://mcb-m6.bioreg.kyushu-u.ac.jp/M3/20110414/F50943/1035/1", 38.95)</f>
        <v>38.950000000000003</v>
      </c>
      <c r="E14077" s="2">
        <v>12.85</v>
      </c>
      <c r="F14077" s="2">
        <v>2</v>
      </c>
      <c r="G14077" s="2" t="s">
        <v>11</v>
      </c>
    </row>
    <row r="14078" spans="1:9" x14ac:dyDescent="0.2">
      <c r="A14078" s="2" t="s">
        <v>3270</v>
      </c>
      <c r="B14078" s="2" t="s">
        <v>2243</v>
      </c>
      <c r="C14078" s="2">
        <v>490.79559999999998</v>
      </c>
      <c r="D14078" s="2">
        <f>HYPERLINK("http://mcb-m6.bioreg.kyushu-u.ac.jp/M3/20110414/F50943/915/1", 39.23)</f>
        <v>39.229999999999997</v>
      </c>
      <c r="E14078" s="2">
        <v>21.42</v>
      </c>
      <c r="F14078" s="2">
        <v>2</v>
      </c>
      <c r="G14078" s="2" t="s">
        <v>11</v>
      </c>
      <c r="I14078" s="2" t="s">
        <v>4892</v>
      </c>
    </row>
    <row r="14079" spans="1:9" x14ac:dyDescent="0.2">
      <c r="A14079" s="2" t="s">
        <v>3270</v>
      </c>
      <c r="B14079" s="2" t="s">
        <v>289</v>
      </c>
      <c r="C14079" s="2">
        <v>809.18269999999995</v>
      </c>
      <c r="D14079" s="2">
        <f>HYPERLINK("http://mcb-m6.bioreg.kyushu-u.ac.jp/M3/20110414/F50956/2410/1", 41.16)</f>
        <v>41.16</v>
      </c>
      <c r="E14079" s="2">
        <v>25.58</v>
      </c>
      <c r="F14079" s="2">
        <v>2</v>
      </c>
      <c r="G14079" s="2" t="s">
        <v>11</v>
      </c>
    </row>
    <row r="14080" spans="1:9" x14ac:dyDescent="0.2">
      <c r="A14080" s="2" t="s">
        <v>3270</v>
      </c>
      <c r="B14080" s="2" t="s">
        <v>2274</v>
      </c>
      <c r="C14080" s="2">
        <v>710.46310000000005</v>
      </c>
      <c r="D14080" s="2">
        <f>HYPERLINK("http://mcb-m6.bioreg.kyushu-u.ac.jp/M3/20110414/F50943/1686/1", 42.05)</f>
        <v>42.05</v>
      </c>
      <c r="E14080" s="2">
        <v>28.51</v>
      </c>
      <c r="F14080" s="2">
        <v>2</v>
      </c>
      <c r="G14080" s="2" t="s">
        <v>11</v>
      </c>
      <c r="I14080" s="2" t="s">
        <v>4903</v>
      </c>
    </row>
    <row r="14081" spans="1:9" x14ac:dyDescent="0.2">
      <c r="A14081" s="2" t="s">
        <v>3270</v>
      </c>
      <c r="B14081" s="2" t="s">
        <v>289</v>
      </c>
      <c r="C14081" s="2">
        <v>809.30359999999996</v>
      </c>
      <c r="D14081" s="2">
        <f>HYPERLINK("http://mcb-m6.bioreg.kyushu-u.ac.jp/M3/20110414/F50941/2477/1", 42.18)</f>
        <v>42.18</v>
      </c>
      <c r="E14081" s="2">
        <v>32.799999999999997</v>
      </c>
      <c r="F14081" s="2">
        <v>2</v>
      </c>
      <c r="G14081" s="2" t="s">
        <v>11</v>
      </c>
    </row>
    <row r="14082" spans="1:9" x14ac:dyDescent="0.2">
      <c r="A14082" s="2" t="s">
        <v>3270</v>
      </c>
      <c r="B14082" s="2" t="s">
        <v>2286</v>
      </c>
      <c r="C14082" s="2">
        <v>783.78859999999997</v>
      </c>
      <c r="D14082" s="2">
        <f>HYPERLINK("http://mcb-m6.bioreg.kyushu-u.ac.jp/M3/20110414/F50943/2156/1", 43.17)</f>
        <v>43.17</v>
      </c>
      <c r="E14082" s="2">
        <v>30.95</v>
      </c>
      <c r="F14082" s="2">
        <v>2</v>
      </c>
      <c r="G14082" s="2" t="s">
        <v>11</v>
      </c>
      <c r="H14082" s="2" t="s">
        <v>4915</v>
      </c>
    </row>
    <row r="14083" spans="1:9" x14ac:dyDescent="0.2">
      <c r="A14083" s="2" t="s">
        <v>3270</v>
      </c>
      <c r="B14083" s="2" t="s">
        <v>2023</v>
      </c>
      <c r="C14083" s="2">
        <v>737.38350000000003</v>
      </c>
      <c r="D14083" s="2">
        <f>HYPERLINK("http://mcb-m6.bioreg.kyushu-u.ac.jp/M3/20110414/F50943/3554/1", 46.11)</f>
        <v>46.11</v>
      </c>
      <c r="E14083" s="2">
        <v>28.46</v>
      </c>
      <c r="F14083" s="2">
        <v>3</v>
      </c>
      <c r="G14083" s="2" t="s">
        <v>11</v>
      </c>
    </row>
    <row r="14084" spans="1:9" x14ac:dyDescent="0.2">
      <c r="A14084" s="2" t="s">
        <v>3270</v>
      </c>
      <c r="B14084" s="2" t="s">
        <v>2072</v>
      </c>
      <c r="C14084" s="2">
        <v>558.6277</v>
      </c>
      <c r="D14084" s="2">
        <f>HYPERLINK("http://mcb-m6.bioreg.kyushu-u.ac.jp/M3/20110414/F50956/881/1", 47.37)</f>
        <v>47.37</v>
      </c>
      <c r="E14084" s="2">
        <v>14.99</v>
      </c>
      <c r="F14084" s="2">
        <v>2</v>
      </c>
      <c r="G14084" s="2" t="s">
        <v>11</v>
      </c>
    </row>
    <row r="14085" spans="1:9" x14ac:dyDescent="0.2">
      <c r="A14085" s="2" t="s">
        <v>3270</v>
      </c>
      <c r="B14085" s="2" t="s">
        <v>2356</v>
      </c>
      <c r="C14085" s="2">
        <v>788.80909999999994</v>
      </c>
      <c r="D14085" s="2">
        <f>HYPERLINK("http://mcb-m6.bioreg.kyushu-u.ac.jp/M3/20110414/F50943/2194/1", 49.76)</f>
        <v>49.76</v>
      </c>
      <c r="E14085" s="2">
        <v>39.020000000000003</v>
      </c>
      <c r="F14085" s="2">
        <v>2</v>
      </c>
      <c r="G14085" s="2" t="s">
        <v>11</v>
      </c>
    </row>
    <row r="14086" spans="1:9" x14ac:dyDescent="0.2">
      <c r="A14086" s="2" t="s">
        <v>3270</v>
      </c>
      <c r="B14086" s="2" t="s">
        <v>2357</v>
      </c>
      <c r="C14086" s="2">
        <v>666.92020000000002</v>
      </c>
      <c r="D14086" s="2">
        <f>HYPERLINK("http://mcb-m6.bioreg.kyushu-u.ac.jp/M3/20110414/F50944/1748/1", 49.92)</f>
        <v>49.92</v>
      </c>
      <c r="E14086" s="2">
        <v>34.090000000000003</v>
      </c>
      <c r="F14086" s="2">
        <v>2</v>
      </c>
      <c r="G14086" s="2" t="s">
        <v>11</v>
      </c>
      <c r="I14086" s="2" t="s">
        <v>4914</v>
      </c>
    </row>
    <row r="14087" spans="1:9" x14ac:dyDescent="0.2">
      <c r="A14087" s="2" t="s">
        <v>3270</v>
      </c>
      <c r="B14087" s="2" t="s">
        <v>909</v>
      </c>
      <c r="C14087" s="2">
        <v>604.38819999999998</v>
      </c>
      <c r="D14087" s="2">
        <f>HYPERLINK("http://mcb-m6.bioreg.kyushu-u.ac.jp/M3/20110414/F50943/1245/1", 50.55)</f>
        <v>50.55</v>
      </c>
      <c r="E14087" s="2">
        <v>16.690000000000001</v>
      </c>
      <c r="F14087" s="2">
        <v>2</v>
      </c>
      <c r="G14087" s="2" t="s">
        <v>11</v>
      </c>
    </row>
    <row r="14088" spans="1:9" x14ac:dyDescent="0.2">
      <c r="A14088" s="2" t="s">
        <v>3270</v>
      </c>
      <c r="B14088" s="2" t="s">
        <v>1299</v>
      </c>
      <c r="C14088" s="2">
        <v>605.89009999999996</v>
      </c>
      <c r="D14088" s="2">
        <f>HYPERLINK("http://mcb-m6.bioreg.kyushu-u.ac.jp/M3/20110414/F50943/1249/1", 52.43)</f>
        <v>52.43</v>
      </c>
      <c r="E14088" s="2">
        <v>23.56</v>
      </c>
      <c r="F14088" s="2">
        <v>2</v>
      </c>
      <c r="G14088" s="2" t="s">
        <v>11</v>
      </c>
      <c r="I14088" s="2" t="s">
        <v>4890</v>
      </c>
    </row>
    <row r="14089" spans="1:9" x14ac:dyDescent="0.2">
      <c r="A14089" s="2" t="s">
        <v>3270</v>
      </c>
      <c r="B14089" s="2" t="s">
        <v>1507</v>
      </c>
      <c r="C14089" s="2">
        <v>1033.547</v>
      </c>
      <c r="D14089" s="2">
        <f>HYPERLINK("http://mcb-m6.bioreg.kyushu-u.ac.jp/M3/20110414/F50944/3061/1", 54.05)</f>
        <v>54.05</v>
      </c>
      <c r="E14089" s="2">
        <v>45.42</v>
      </c>
      <c r="F14089" s="2">
        <v>2</v>
      </c>
      <c r="G14089" s="2" t="s">
        <v>11</v>
      </c>
    </row>
    <row r="14090" spans="1:9" x14ac:dyDescent="0.2">
      <c r="A14090" s="2" t="s">
        <v>3270</v>
      </c>
      <c r="B14090" s="2" t="s">
        <v>2398</v>
      </c>
      <c r="C14090" s="2">
        <v>526.75319999999999</v>
      </c>
      <c r="D14090" s="2">
        <f>HYPERLINK("http://mcb-m6.bioreg.kyushu-u.ac.jp/M3/20110414/F50943/1017/1", 54.95)</f>
        <v>54.95</v>
      </c>
      <c r="E14090" s="2">
        <v>15.05</v>
      </c>
      <c r="F14090" s="2">
        <v>2</v>
      </c>
      <c r="G14090" s="2" t="s">
        <v>11</v>
      </c>
    </row>
    <row r="14091" spans="1:9" x14ac:dyDescent="0.2">
      <c r="A14091" s="2" t="s">
        <v>3270</v>
      </c>
      <c r="B14091" s="2" t="s">
        <v>1925</v>
      </c>
      <c r="C14091" s="2">
        <v>724.31370000000004</v>
      </c>
      <c r="D14091" s="2">
        <f>HYPERLINK("http://mcb-m6.bioreg.kyushu-u.ac.jp/M3/20110414/F50943/1776/1", 55.19)</f>
        <v>55.19</v>
      </c>
      <c r="E14091" s="2">
        <v>29.37</v>
      </c>
      <c r="F14091" s="2">
        <v>2</v>
      </c>
      <c r="G14091" s="2" t="s">
        <v>11</v>
      </c>
      <c r="I14091" s="2" t="s">
        <v>4898</v>
      </c>
    </row>
    <row r="14092" spans="1:9" x14ac:dyDescent="0.2">
      <c r="A14092" s="2" t="s">
        <v>3270</v>
      </c>
      <c r="B14092" s="2" t="s">
        <v>1925</v>
      </c>
      <c r="C14092" s="2">
        <v>724.3152</v>
      </c>
      <c r="D14092" s="2">
        <f>HYPERLINK("http://mcb-m6.bioreg.kyushu-u.ac.jp/M3/20110414/F50957/1797/1", 56.74)</f>
        <v>56.74</v>
      </c>
      <c r="E14092" s="2">
        <v>40.130000000000003</v>
      </c>
      <c r="F14092" s="2">
        <v>2</v>
      </c>
      <c r="G14092" s="2" t="s">
        <v>11</v>
      </c>
      <c r="I14092" s="2" t="s">
        <v>4898</v>
      </c>
    </row>
    <row r="14093" spans="1:9" x14ac:dyDescent="0.2">
      <c r="A14093" s="2" t="s">
        <v>3270</v>
      </c>
      <c r="B14093" s="2" t="s">
        <v>519</v>
      </c>
      <c r="C14093" s="2">
        <v>853.32870000000003</v>
      </c>
      <c r="D14093" s="2">
        <f>HYPERLINK("http://mcb-m6.bioreg.kyushu-u.ac.jp/M3/20110414/F50943/2497/1", 57.23)</f>
        <v>57.23</v>
      </c>
      <c r="E14093" s="2">
        <v>36.270000000000003</v>
      </c>
      <c r="F14093" s="2">
        <v>2</v>
      </c>
      <c r="G14093" s="2" t="s">
        <v>11</v>
      </c>
      <c r="I14093" s="2" t="s">
        <v>4898</v>
      </c>
    </row>
    <row r="14094" spans="1:9" x14ac:dyDescent="0.2">
      <c r="A14094" s="2" t="s">
        <v>3270</v>
      </c>
      <c r="B14094" s="2" t="s">
        <v>519</v>
      </c>
      <c r="C14094" s="2">
        <v>853.31669999999997</v>
      </c>
      <c r="D14094" s="2">
        <f>HYPERLINK("http://mcb-m6.bioreg.kyushu-u.ac.jp/M3/20110414/F50957/2622/1", 57.72)</f>
        <v>57.72</v>
      </c>
      <c r="E14094" s="2">
        <v>30.91</v>
      </c>
      <c r="F14094" s="2">
        <v>2</v>
      </c>
      <c r="G14094" s="2" t="s">
        <v>11</v>
      </c>
      <c r="I14094" s="2" t="s">
        <v>4898</v>
      </c>
    </row>
    <row r="14095" spans="1:9" x14ac:dyDescent="0.2">
      <c r="A14095" s="2" t="s">
        <v>3270</v>
      </c>
      <c r="B14095" s="2" t="s">
        <v>1925</v>
      </c>
      <c r="C14095" s="2">
        <v>724.30020000000002</v>
      </c>
      <c r="D14095" s="2">
        <f>HYPERLINK("http://mcb-m6.bioreg.kyushu-u.ac.jp/M3/20110414/F50941/2003/1", 57.95)</f>
        <v>57.95</v>
      </c>
      <c r="E14095" s="2">
        <v>35.31</v>
      </c>
      <c r="F14095" s="2">
        <v>2</v>
      </c>
      <c r="G14095" s="2" t="s">
        <v>11</v>
      </c>
      <c r="I14095" s="2" t="s">
        <v>4898</v>
      </c>
    </row>
    <row r="14096" spans="1:9" x14ac:dyDescent="0.2">
      <c r="A14096" s="2" t="s">
        <v>3270</v>
      </c>
      <c r="B14096" s="2" t="s">
        <v>2415</v>
      </c>
      <c r="C14096" s="2">
        <v>1091.4649999999999</v>
      </c>
      <c r="D14096" s="2">
        <f>HYPERLINK("http://mcb-m6.bioreg.kyushu-u.ac.jp/M3/20110414/F50943/1063/1", 59)</f>
        <v>59</v>
      </c>
      <c r="E14096" s="2">
        <v>44.41</v>
      </c>
      <c r="F14096" s="2">
        <v>1</v>
      </c>
      <c r="G14096" s="2" t="s">
        <v>11</v>
      </c>
    </row>
    <row r="14097" spans="1:9" x14ac:dyDescent="0.2">
      <c r="A14097" s="2" t="s">
        <v>3270</v>
      </c>
      <c r="B14097" s="2" t="s">
        <v>289</v>
      </c>
      <c r="C14097" s="2">
        <v>809.60469999999998</v>
      </c>
      <c r="D14097" s="2">
        <f>HYPERLINK("http://mcb-m6.bioreg.kyushu-u.ac.jp/M3/20110414/F50957/2338/1", 59.17)</f>
        <v>59.17</v>
      </c>
      <c r="E14097" s="2">
        <v>42.78</v>
      </c>
      <c r="F14097" s="2">
        <v>2</v>
      </c>
      <c r="G14097" s="2" t="s">
        <v>11</v>
      </c>
    </row>
    <row r="14098" spans="1:9" x14ac:dyDescent="0.2">
      <c r="A14098" s="2" t="s">
        <v>3270</v>
      </c>
      <c r="B14098" s="2" t="s">
        <v>1208</v>
      </c>
      <c r="C14098" s="2">
        <v>909.80820000000006</v>
      </c>
      <c r="D14098" s="2">
        <f>HYPERLINK("http://mcb-m6.bioreg.kyushu-u.ac.jp/M3/20110414/F50956/3062/1", 59.8)</f>
        <v>59.8</v>
      </c>
      <c r="E14098" s="2">
        <v>44.72</v>
      </c>
      <c r="F14098" s="2">
        <v>2</v>
      </c>
      <c r="G14098" s="2" t="s">
        <v>11</v>
      </c>
    </row>
    <row r="14099" spans="1:9" x14ac:dyDescent="0.2">
      <c r="A14099" s="2" t="s">
        <v>3270</v>
      </c>
      <c r="B14099" s="2" t="s">
        <v>1925</v>
      </c>
      <c r="C14099" s="2">
        <v>724.87819999999999</v>
      </c>
      <c r="D14099" s="2">
        <f>HYPERLINK("http://mcb-m6.bioreg.kyushu-u.ac.jp/M3/20110414/F50957/1799/1", 59.89)</f>
        <v>59.89</v>
      </c>
      <c r="E14099" s="2">
        <v>35.82</v>
      </c>
      <c r="F14099" s="2">
        <v>2</v>
      </c>
      <c r="G14099" s="2" t="s">
        <v>11</v>
      </c>
      <c r="I14099" s="2" t="s">
        <v>4898</v>
      </c>
    </row>
    <row r="14100" spans="1:9" x14ac:dyDescent="0.2">
      <c r="A14100" s="2" t="s">
        <v>3270</v>
      </c>
      <c r="B14100" s="2" t="s">
        <v>2007</v>
      </c>
      <c r="C14100" s="2">
        <v>888.80970000000002</v>
      </c>
      <c r="D14100" s="2">
        <f>HYPERLINK("http://mcb-m6.bioreg.kyushu-u.ac.jp/M3/20110414/F50957/2808/1", 60.29)</f>
        <v>60.29</v>
      </c>
      <c r="E14100" s="2">
        <v>45.72</v>
      </c>
      <c r="F14100" s="2">
        <v>2</v>
      </c>
      <c r="G14100" s="2" t="s">
        <v>11</v>
      </c>
    </row>
    <row r="14101" spans="1:9" x14ac:dyDescent="0.2">
      <c r="A14101" s="2" t="s">
        <v>3270</v>
      </c>
      <c r="B14101" s="2" t="s">
        <v>519</v>
      </c>
      <c r="C14101" s="2">
        <v>853.37660000000005</v>
      </c>
      <c r="D14101" s="2">
        <f>HYPERLINK("http://mcb-m6.bioreg.kyushu-u.ac.jp/M3/20110414/F50942/2555/1", 60.67)</f>
        <v>60.67</v>
      </c>
      <c r="E14101" s="2">
        <v>42.13</v>
      </c>
      <c r="F14101" s="2">
        <v>2</v>
      </c>
      <c r="G14101" s="2" t="s">
        <v>11</v>
      </c>
      <c r="I14101" s="2" t="s">
        <v>4898</v>
      </c>
    </row>
    <row r="14102" spans="1:9" x14ac:dyDescent="0.2">
      <c r="A14102" s="2" t="s">
        <v>3270</v>
      </c>
      <c r="B14102" s="2" t="s">
        <v>2425</v>
      </c>
      <c r="C14102" s="2">
        <v>564.82870000000003</v>
      </c>
      <c r="D14102" s="2">
        <f>HYPERLINK("http://mcb-m6.bioreg.kyushu-u.ac.jp/M3/20110414/F50943/1110/1", 60.81)</f>
        <v>60.81</v>
      </c>
      <c r="E14102" s="2">
        <v>35.22</v>
      </c>
      <c r="F14102" s="2">
        <v>2</v>
      </c>
      <c r="G14102" s="2" t="s">
        <v>11</v>
      </c>
    </row>
    <row r="14103" spans="1:9" x14ac:dyDescent="0.2">
      <c r="A14103" s="2" t="s">
        <v>3270</v>
      </c>
      <c r="B14103" s="2" t="s">
        <v>2047</v>
      </c>
      <c r="C14103" s="2">
        <v>686.28920000000005</v>
      </c>
      <c r="D14103" s="2">
        <f>HYPERLINK("http://mcb-m6.bioreg.kyushu-u.ac.jp/M3/20110414/F50956/1549/1", 62.59)</f>
        <v>62.59</v>
      </c>
      <c r="E14103" s="2">
        <v>42.33</v>
      </c>
      <c r="F14103" s="2">
        <v>2</v>
      </c>
      <c r="G14103" s="2" t="s">
        <v>11</v>
      </c>
    </row>
    <row r="14104" spans="1:9" x14ac:dyDescent="0.2">
      <c r="A14104" s="2" t="s">
        <v>3270</v>
      </c>
      <c r="B14104" s="2" t="s">
        <v>1925</v>
      </c>
      <c r="C14104" s="2">
        <v>724.54470000000003</v>
      </c>
      <c r="D14104" s="2">
        <f>HYPERLINK("http://mcb-m6.bioreg.kyushu-u.ac.jp/M3/20110414/F50944/2013/1", 63.32)</f>
        <v>63.32</v>
      </c>
      <c r="E14104" s="2">
        <v>44.79</v>
      </c>
      <c r="F14104" s="2">
        <v>2</v>
      </c>
      <c r="G14104" s="2" t="s">
        <v>11</v>
      </c>
      <c r="I14104" s="2" t="s">
        <v>4898</v>
      </c>
    </row>
    <row r="14105" spans="1:9" x14ac:dyDescent="0.2">
      <c r="A14105" s="2" t="s">
        <v>3270</v>
      </c>
      <c r="B14105" s="2" t="s">
        <v>2445</v>
      </c>
      <c r="C14105" s="2">
        <v>638.29060000000004</v>
      </c>
      <c r="D14105" s="2">
        <f>HYPERLINK("http://mcb-m6.bioreg.kyushu-u.ac.jp/M3/20110414/F50943/1371/1", 65.56)</f>
        <v>65.56</v>
      </c>
      <c r="E14105" s="2">
        <v>46.72</v>
      </c>
      <c r="F14105" s="2">
        <v>2</v>
      </c>
      <c r="G14105" s="2" t="s">
        <v>11</v>
      </c>
      <c r="I14105" s="2" t="s">
        <v>4890</v>
      </c>
    </row>
    <row r="14106" spans="1:9" x14ac:dyDescent="0.2">
      <c r="A14106" s="2" t="s">
        <v>3270</v>
      </c>
      <c r="B14106" s="2" t="s">
        <v>2007</v>
      </c>
      <c r="C14106" s="2">
        <v>889.21370000000002</v>
      </c>
      <c r="D14106" s="2">
        <f>HYPERLINK("http://mcb-m6.bioreg.kyushu-u.ac.jp/M3/20110414/F50943/2662/1", 66.41)</f>
        <v>66.41</v>
      </c>
      <c r="E14106" s="2">
        <v>57.85</v>
      </c>
      <c r="F14106" s="2">
        <v>2</v>
      </c>
      <c r="G14106" s="2" t="s">
        <v>11</v>
      </c>
    </row>
    <row r="14107" spans="1:9" x14ac:dyDescent="0.2">
      <c r="A14107" s="2" t="s">
        <v>3270</v>
      </c>
      <c r="B14107" s="2" t="s">
        <v>1507</v>
      </c>
      <c r="C14107" s="2">
        <v>1033.4059999999999</v>
      </c>
      <c r="D14107" s="2">
        <f>HYPERLINK("http://mcb-m6.bioreg.kyushu-u.ac.jp/M3/20110414/F50957/3658/1", 67.2)</f>
        <v>67.2</v>
      </c>
      <c r="E14107" s="2">
        <v>51.45</v>
      </c>
      <c r="F14107" s="2">
        <v>2</v>
      </c>
      <c r="G14107" s="2" t="s">
        <v>11</v>
      </c>
    </row>
    <row r="14108" spans="1:9" x14ac:dyDescent="0.2">
      <c r="A14108" s="2" t="s">
        <v>3270</v>
      </c>
      <c r="B14108" s="2" t="s">
        <v>1208</v>
      </c>
      <c r="C14108" s="2">
        <v>909.24270000000001</v>
      </c>
      <c r="D14108" s="2">
        <f>HYPERLINK("http://mcb-m6.bioreg.kyushu-u.ac.jp/M3/20110414/F50956/3060/1", 72.44)</f>
        <v>72.44</v>
      </c>
      <c r="E14108" s="2">
        <v>53.05</v>
      </c>
      <c r="F14108" s="2">
        <v>2</v>
      </c>
      <c r="G14108" s="2" t="s">
        <v>11</v>
      </c>
    </row>
    <row r="14109" spans="1:9" x14ac:dyDescent="0.2">
      <c r="A14109" s="2" t="s">
        <v>3270</v>
      </c>
      <c r="B14109" s="2" t="s">
        <v>2072</v>
      </c>
      <c r="C14109" s="2">
        <v>559.24519999999995</v>
      </c>
      <c r="D14109" s="2">
        <f>HYPERLINK("http://mcb-m6.bioreg.kyushu-u.ac.jp/M3/20110414/F50943/1101/1", 73.27)</f>
        <v>73.27</v>
      </c>
      <c r="E14109" s="2">
        <v>40.090000000000003</v>
      </c>
      <c r="F14109" s="2">
        <v>2</v>
      </c>
      <c r="G14109" s="2" t="s">
        <v>11</v>
      </c>
    </row>
    <row r="14110" spans="1:9" x14ac:dyDescent="0.2">
      <c r="A14110" s="2" t="s">
        <v>3270</v>
      </c>
      <c r="B14110" s="2" t="s">
        <v>1507</v>
      </c>
      <c r="C14110" s="2">
        <v>1034.0250000000001</v>
      </c>
      <c r="D14110" s="2">
        <f>HYPERLINK("http://mcb-m6.bioreg.kyushu-u.ac.jp/M3/20110414/F50943/3317/1", 76.71)</f>
        <v>76.709999999999994</v>
      </c>
      <c r="E14110" s="2">
        <v>67.67</v>
      </c>
      <c r="F14110" s="2">
        <v>2</v>
      </c>
      <c r="G14110" s="2" t="s">
        <v>11</v>
      </c>
    </row>
    <row r="14111" spans="1:9" x14ac:dyDescent="0.2">
      <c r="A14111" s="2" t="s">
        <v>3270</v>
      </c>
      <c r="B14111" s="2" t="s">
        <v>1208</v>
      </c>
      <c r="C14111" s="2">
        <v>909.68619999999999</v>
      </c>
      <c r="D14111" s="2">
        <f>HYPERLINK("http://mcb-m6.bioreg.kyushu-u.ac.jp/M3/20110414/F50957/2955/1", 78.31)</f>
        <v>78.31</v>
      </c>
      <c r="E14111" s="2">
        <v>61.02</v>
      </c>
      <c r="F14111" s="2">
        <v>2</v>
      </c>
      <c r="G14111" s="2" t="s">
        <v>11</v>
      </c>
    </row>
    <row r="14112" spans="1:9" x14ac:dyDescent="0.2">
      <c r="A14112" s="2" t="s">
        <v>3270</v>
      </c>
      <c r="B14112" s="2" t="s">
        <v>2047</v>
      </c>
      <c r="C14112" s="2">
        <v>686.29319999999996</v>
      </c>
      <c r="D14112" s="2">
        <f>HYPERLINK("http://mcb-m6.bioreg.kyushu-u.ac.jp/M3/20110414/F50943/1554/1", 79)</f>
        <v>79</v>
      </c>
      <c r="E14112" s="2">
        <v>57.82</v>
      </c>
      <c r="F14112" s="2">
        <v>2</v>
      </c>
      <c r="G14112" s="2" t="s">
        <v>11</v>
      </c>
    </row>
    <row r="14113" spans="1:9" x14ac:dyDescent="0.2">
      <c r="A14113" s="2" t="s">
        <v>3270</v>
      </c>
      <c r="B14113" s="2" t="s">
        <v>2491</v>
      </c>
      <c r="C14113" s="2">
        <v>873.33010000000002</v>
      </c>
      <c r="D14113" s="2">
        <f>HYPERLINK("http://mcb-m6.bioreg.kyushu-u.ac.jp/M3/20110414/F50957/2737/1", 83.07)</f>
        <v>83.07</v>
      </c>
      <c r="E14113" s="2">
        <v>73.31</v>
      </c>
      <c r="F14113" s="2">
        <v>2</v>
      </c>
      <c r="G14113" s="2" t="s">
        <v>11</v>
      </c>
    </row>
    <row r="14114" spans="1:9" x14ac:dyDescent="0.2">
      <c r="A14114" s="2" t="s">
        <v>3270</v>
      </c>
      <c r="B14114" s="2" t="s">
        <v>2499</v>
      </c>
      <c r="C14114" s="2">
        <v>829.40560000000005</v>
      </c>
      <c r="D14114" s="2">
        <f>HYPERLINK("http://mcb-m6.bioreg.kyushu-u.ac.jp/M3/20110414/F50943/2387/1", 86.39)</f>
        <v>86.39</v>
      </c>
      <c r="E14114" s="2">
        <v>79.06</v>
      </c>
      <c r="F14114" s="2">
        <v>2</v>
      </c>
      <c r="G14114" s="2" t="s">
        <v>11</v>
      </c>
    </row>
    <row r="14115" spans="1:9" x14ac:dyDescent="0.2">
      <c r="A14115" s="2" t="s">
        <v>3270</v>
      </c>
      <c r="B14115" s="2" t="s">
        <v>1208</v>
      </c>
      <c r="C14115" s="2">
        <v>909.29719999999998</v>
      </c>
      <c r="D14115" s="2">
        <f>HYPERLINK("http://mcb-m6.bioreg.kyushu-u.ac.jp/M3/20110414/F50943/2765/1", 90.03)</f>
        <v>90.03</v>
      </c>
      <c r="E14115" s="2">
        <v>81.849999999999994</v>
      </c>
      <c r="F14115" s="2">
        <v>2</v>
      </c>
      <c r="G14115" s="2" t="s">
        <v>11</v>
      </c>
    </row>
    <row r="14116" spans="1:9" x14ac:dyDescent="0.2">
      <c r="A14116" s="2" t="s">
        <v>3270</v>
      </c>
      <c r="B14116" s="2" t="s">
        <v>2499</v>
      </c>
      <c r="C14116" s="2">
        <v>828.88019999999995</v>
      </c>
      <c r="D14116" s="2">
        <f>HYPERLINK("http://mcb-m6.bioreg.kyushu-u.ac.jp/M3/20110414/F50943/2385/1", 90.27)</f>
        <v>90.27</v>
      </c>
      <c r="E14116" s="2">
        <v>73.16</v>
      </c>
      <c r="F14116" s="2">
        <v>2</v>
      </c>
      <c r="G14116" s="2" t="s">
        <v>11</v>
      </c>
    </row>
    <row r="14117" spans="1:9" x14ac:dyDescent="0.2">
      <c r="A14117" s="2" t="s">
        <v>3270</v>
      </c>
      <c r="B14117" s="2" t="s">
        <v>2491</v>
      </c>
      <c r="C14117" s="2">
        <v>874.08119999999997</v>
      </c>
      <c r="D14117" s="2">
        <f>HYPERLINK("http://mcb-m6.bioreg.kyushu-u.ac.jp/M3/20110414/F50943/2594/1", 96.38)</f>
        <v>96.38</v>
      </c>
      <c r="E14117" s="2">
        <v>81.53</v>
      </c>
      <c r="F14117" s="2">
        <v>2</v>
      </c>
      <c r="G14117" s="2" t="s">
        <v>11</v>
      </c>
    </row>
    <row r="14118" spans="1:9" x14ac:dyDescent="0.2">
      <c r="A14118" s="2" t="s">
        <v>3270</v>
      </c>
      <c r="B14118" s="2" t="s">
        <v>2357</v>
      </c>
      <c r="C14118" s="2">
        <v>666.06320000000005</v>
      </c>
      <c r="D14118" s="2">
        <f>HYPERLINK("http://mcb-m6.bioreg.kyushu-u.ac.jp/M3/20110414/F50949/1967/1", 35.54)</f>
        <v>35.54</v>
      </c>
      <c r="E14118" s="2">
        <v>18.53</v>
      </c>
      <c r="F14118" s="2">
        <v>2</v>
      </c>
      <c r="G14118" s="2" t="s">
        <v>12</v>
      </c>
      <c r="I14118" s="2" t="s">
        <v>4914</v>
      </c>
    </row>
    <row r="14119" spans="1:9" x14ac:dyDescent="0.2">
      <c r="A14119" s="2" t="s">
        <v>3270</v>
      </c>
      <c r="B14119" s="2" t="s">
        <v>2415</v>
      </c>
      <c r="C14119" s="2">
        <v>545.94460000000004</v>
      </c>
      <c r="D14119" s="2">
        <f>HYPERLINK("http://mcb-m6.bioreg.kyushu-u.ac.jp/M3/20110414/F50949/1765/1", 36.3)</f>
        <v>36.299999999999997</v>
      </c>
      <c r="E14119" s="2">
        <v>8.94</v>
      </c>
      <c r="F14119" s="2">
        <v>2</v>
      </c>
      <c r="G14119" s="2" t="s">
        <v>12</v>
      </c>
    </row>
    <row r="14120" spans="1:9" x14ac:dyDescent="0.2">
      <c r="A14120" s="2" t="s">
        <v>3270</v>
      </c>
      <c r="B14120" s="2" t="s">
        <v>2023</v>
      </c>
      <c r="C14120" s="2">
        <v>737.10090000000002</v>
      </c>
      <c r="D14120" s="2">
        <f>HYPERLINK("http://mcb-m6.bioreg.kyushu-u.ac.jp/M3/20110414/F50958/4011/1", 37.8)</f>
        <v>37.799999999999997</v>
      </c>
      <c r="E14120" s="2">
        <v>23.54</v>
      </c>
      <c r="F14120" s="2">
        <v>3</v>
      </c>
      <c r="G14120" s="2" t="s">
        <v>12</v>
      </c>
    </row>
    <row r="14121" spans="1:9" x14ac:dyDescent="0.2">
      <c r="A14121" s="2" t="s">
        <v>3270</v>
      </c>
      <c r="B14121" s="2" t="s">
        <v>291</v>
      </c>
      <c r="C14121" s="2">
        <v>1051.106</v>
      </c>
      <c r="D14121" s="2">
        <f>HYPERLINK("http://mcb-m6.bioreg.kyushu-u.ac.jp/M3/20110414/F50949/1741/1", 38.48)</f>
        <v>38.479999999999997</v>
      </c>
      <c r="E14121" s="2">
        <v>12.08</v>
      </c>
      <c r="F14121" s="2">
        <v>1</v>
      </c>
      <c r="G14121" s="2" t="s">
        <v>12</v>
      </c>
    </row>
    <row r="14122" spans="1:9" x14ac:dyDescent="0.2">
      <c r="A14122" s="2" t="s">
        <v>3270</v>
      </c>
      <c r="B14122" s="2" t="s">
        <v>519</v>
      </c>
      <c r="C14122" s="2">
        <v>853.02260000000001</v>
      </c>
      <c r="D14122" s="2">
        <f>HYPERLINK("http://mcb-m6.bioreg.kyushu-u.ac.jp/M3/20110414/F50948/2733/1", 40.29)</f>
        <v>40.29</v>
      </c>
      <c r="E14122" s="2">
        <v>12.72</v>
      </c>
      <c r="F14122" s="2">
        <v>2</v>
      </c>
      <c r="G14122" s="2" t="s">
        <v>12</v>
      </c>
      <c r="I14122" s="2" t="s">
        <v>4898</v>
      </c>
    </row>
    <row r="14123" spans="1:9" x14ac:dyDescent="0.2">
      <c r="A14123" s="2" t="s">
        <v>3270</v>
      </c>
      <c r="B14123" s="2" t="s">
        <v>2415</v>
      </c>
      <c r="C14123" s="2">
        <v>1090.97</v>
      </c>
      <c r="D14123" s="2">
        <f>HYPERLINK("http://mcb-m6.bioreg.kyushu-u.ac.jp/M3/20110414/F50949/1766/1", 42.85)</f>
        <v>42.85</v>
      </c>
      <c r="E14123" s="2">
        <v>20.66</v>
      </c>
      <c r="F14123" s="2">
        <v>1</v>
      </c>
      <c r="G14123" s="2" t="s">
        <v>12</v>
      </c>
    </row>
    <row r="14124" spans="1:9" x14ac:dyDescent="0.2">
      <c r="A14124" s="2" t="s">
        <v>3270</v>
      </c>
      <c r="B14124" s="2" t="s">
        <v>1507</v>
      </c>
      <c r="C14124" s="2">
        <v>1033.1579999999999</v>
      </c>
      <c r="D14124" s="2">
        <f>HYPERLINK("http://mcb-m6.bioreg.kyushu-u.ac.jp/M3/20110414/F50950/3598/1", 43.68)</f>
        <v>43.68</v>
      </c>
      <c r="E14124" s="2">
        <v>33.090000000000003</v>
      </c>
      <c r="F14124" s="2">
        <v>2</v>
      </c>
      <c r="G14124" s="2" t="s">
        <v>12</v>
      </c>
    </row>
    <row r="14125" spans="1:9" x14ac:dyDescent="0.2">
      <c r="A14125" s="2" t="s">
        <v>3270</v>
      </c>
      <c r="B14125" s="2" t="s">
        <v>2274</v>
      </c>
      <c r="C14125" s="2">
        <v>711.00160000000005</v>
      </c>
      <c r="D14125" s="2">
        <f>HYPERLINK("http://mcb-m6.bioreg.kyushu-u.ac.jp/M3/20110414/F50950/1970/1", 43.93)</f>
        <v>43.93</v>
      </c>
      <c r="E14125" s="2">
        <v>26.67</v>
      </c>
      <c r="F14125" s="2">
        <v>2</v>
      </c>
      <c r="G14125" s="2" t="s">
        <v>12</v>
      </c>
      <c r="I14125" s="2" t="s">
        <v>4903</v>
      </c>
    </row>
    <row r="14126" spans="1:9" x14ac:dyDescent="0.2">
      <c r="A14126" s="2" t="s">
        <v>3270</v>
      </c>
      <c r="B14126" s="2" t="s">
        <v>519</v>
      </c>
      <c r="C14126" s="2">
        <v>853.46370000000002</v>
      </c>
      <c r="D14126" s="2">
        <f>HYPERLINK("http://mcb-m6.bioreg.kyushu-u.ac.jp/M3/20110414/F50958/2805/1", 46.21)</f>
        <v>46.21</v>
      </c>
      <c r="E14126" s="2">
        <v>18.95</v>
      </c>
      <c r="F14126" s="2">
        <v>2</v>
      </c>
      <c r="G14126" s="2" t="s">
        <v>12</v>
      </c>
      <c r="I14126" s="2" t="s">
        <v>4898</v>
      </c>
    </row>
    <row r="14127" spans="1:9" x14ac:dyDescent="0.2">
      <c r="A14127" s="2" t="s">
        <v>3270</v>
      </c>
      <c r="B14127" s="2" t="s">
        <v>2646</v>
      </c>
      <c r="C14127" s="2">
        <v>482.9511</v>
      </c>
      <c r="D14127" s="2">
        <f>HYPERLINK("http://mcb-m6.bioreg.kyushu-u.ac.jp/M3/20110414/F50949/1670/1", 46.69)</f>
        <v>46.69</v>
      </c>
      <c r="E14127" s="2">
        <v>13.24</v>
      </c>
      <c r="F14127" s="2">
        <v>2</v>
      </c>
      <c r="G14127" s="2" t="s">
        <v>12</v>
      </c>
    </row>
    <row r="14128" spans="1:9" x14ac:dyDescent="0.2">
      <c r="A14128" s="2" t="s">
        <v>3270</v>
      </c>
      <c r="B14128" s="2" t="s">
        <v>289</v>
      </c>
      <c r="C14128" s="2">
        <v>808.92769999999996</v>
      </c>
      <c r="D14128" s="2">
        <f>HYPERLINK("http://mcb-m6.bioreg.kyushu-u.ac.jp/M3/20110414/F50950/2569/1", 47.15)</f>
        <v>47.15</v>
      </c>
      <c r="E14128" s="2">
        <v>25.24</v>
      </c>
      <c r="F14128" s="2">
        <v>2</v>
      </c>
      <c r="G14128" s="2" t="s">
        <v>12</v>
      </c>
    </row>
    <row r="14129" spans="1:9" x14ac:dyDescent="0.2">
      <c r="A14129" s="2" t="s">
        <v>3270</v>
      </c>
      <c r="B14129" s="2" t="s">
        <v>2357</v>
      </c>
      <c r="C14129" s="2">
        <v>666.38760000000002</v>
      </c>
      <c r="D14129" s="2">
        <f>HYPERLINK("http://mcb-m6.bioreg.kyushu-u.ac.jp/M3/20110414/F50950/1691/1", 47.34)</f>
        <v>47.34</v>
      </c>
      <c r="E14129" s="2">
        <v>22.05</v>
      </c>
      <c r="F14129" s="2">
        <v>2</v>
      </c>
      <c r="G14129" s="2" t="s">
        <v>12</v>
      </c>
      <c r="I14129" s="2" t="s">
        <v>4914</v>
      </c>
    </row>
    <row r="14130" spans="1:9" x14ac:dyDescent="0.2">
      <c r="A14130" s="2" t="s">
        <v>3270</v>
      </c>
      <c r="B14130" s="2" t="s">
        <v>1208</v>
      </c>
      <c r="C14130" s="2">
        <v>909.79020000000003</v>
      </c>
      <c r="D14130" s="2">
        <f>HYPERLINK("http://mcb-m6.bioreg.kyushu-u.ac.jp/M3/20110414/F50959/3039/1", 47.87)</f>
        <v>47.87</v>
      </c>
      <c r="E14130" s="2">
        <v>7.91</v>
      </c>
      <c r="F14130" s="2">
        <v>2</v>
      </c>
      <c r="G14130" s="2" t="s">
        <v>12</v>
      </c>
    </row>
    <row r="14131" spans="1:9" x14ac:dyDescent="0.2">
      <c r="A14131" s="2" t="s">
        <v>3270</v>
      </c>
      <c r="B14131" s="2" t="s">
        <v>2229</v>
      </c>
      <c r="C14131" s="2">
        <v>457.98360000000002</v>
      </c>
      <c r="D14131" s="2">
        <f>HYPERLINK("http://mcb-m6.bioreg.kyushu-u.ac.jp/M3/20110414/F50949/1641/1", 50.12)</f>
        <v>50.12</v>
      </c>
      <c r="E14131" s="2">
        <v>25.89</v>
      </c>
      <c r="F14131" s="2">
        <v>2</v>
      </c>
      <c r="G14131" s="2" t="s">
        <v>12</v>
      </c>
    </row>
    <row r="14132" spans="1:9" x14ac:dyDescent="0.2">
      <c r="A14132" s="2" t="s">
        <v>3270</v>
      </c>
      <c r="B14132" s="2" t="s">
        <v>1925</v>
      </c>
      <c r="C14132" s="2">
        <v>724.04269999999997</v>
      </c>
      <c r="D14132" s="2">
        <f>HYPERLINK("http://mcb-m6.bioreg.kyushu-u.ac.jp/M3/20110414/F50950/2074/1", 50.75)</f>
        <v>50.75</v>
      </c>
      <c r="E14132" s="2">
        <v>22.04</v>
      </c>
      <c r="F14132" s="2">
        <v>2</v>
      </c>
      <c r="G14132" s="2" t="s">
        <v>12</v>
      </c>
      <c r="I14132" s="2" t="s">
        <v>4898</v>
      </c>
    </row>
    <row r="14133" spans="1:9" x14ac:dyDescent="0.2">
      <c r="A14133" s="2" t="s">
        <v>3270</v>
      </c>
      <c r="B14133" s="2" t="s">
        <v>1925</v>
      </c>
      <c r="C14133" s="2">
        <v>724.38919999999996</v>
      </c>
      <c r="D14133" s="2">
        <f>HYPERLINK("http://mcb-m6.bioreg.kyushu-u.ac.jp/M3/20110414/F50947/1834/1", 51.2)</f>
        <v>51.2</v>
      </c>
      <c r="E14133" s="2">
        <v>28.18</v>
      </c>
      <c r="F14133" s="2">
        <v>2</v>
      </c>
      <c r="G14133" s="2" t="s">
        <v>12</v>
      </c>
      <c r="I14133" s="2" t="s">
        <v>4898</v>
      </c>
    </row>
    <row r="14134" spans="1:9" x14ac:dyDescent="0.2">
      <c r="A14134" s="2" t="s">
        <v>3270</v>
      </c>
      <c r="B14134" s="2" t="s">
        <v>1925</v>
      </c>
      <c r="C14134" s="2">
        <v>724.71310000000005</v>
      </c>
      <c r="D14134" s="2">
        <f>HYPERLINK("http://mcb-m6.bioreg.kyushu-u.ac.jp/M3/20110414/F50948/1979/1", 52.28)</f>
        <v>52.28</v>
      </c>
      <c r="E14134" s="2">
        <v>31.91</v>
      </c>
      <c r="F14134" s="2">
        <v>2</v>
      </c>
      <c r="G14134" s="2" t="s">
        <v>12</v>
      </c>
      <c r="I14134" s="2" t="s">
        <v>4898</v>
      </c>
    </row>
    <row r="14135" spans="1:9" x14ac:dyDescent="0.2">
      <c r="A14135" s="2" t="s">
        <v>3270</v>
      </c>
      <c r="B14135" s="2" t="s">
        <v>2357</v>
      </c>
      <c r="C14135" s="2">
        <v>666.7491</v>
      </c>
      <c r="D14135" s="2">
        <f>HYPERLINK("http://mcb-m6.bioreg.kyushu-u.ac.jp/M3/20110414/F50959/1376/1", 52.39)</f>
        <v>52.39</v>
      </c>
      <c r="E14135" s="2">
        <v>28.13</v>
      </c>
      <c r="F14135" s="2">
        <v>2</v>
      </c>
      <c r="G14135" s="2" t="s">
        <v>12</v>
      </c>
      <c r="I14135" s="2" t="s">
        <v>4914</v>
      </c>
    </row>
    <row r="14136" spans="1:9" x14ac:dyDescent="0.2">
      <c r="A14136" s="2" t="s">
        <v>3270</v>
      </c>
      <c r="B14136" s="2" t="s">
        <v>2357</v>
      </c>
      <c r="C14136" s="2">
        <v>666.69709999999998</v>
      </c>
      <c r="D14136" s="2">
        <f>HYPERLINK("http://mcb-m6.bioreg.kyushu-u.ac.jp/M3/20110414/F50948/1594/1", 54.99)</f>
        <v>54.99</v>
      </c>
      <c r="E14136" s="2">
        <v>35.659999999999997</v>
      </c>
      <c r="F14136" s="2">
        <v>2</v>
      </c>
      <c r="G14136" s="2" t="s">
        <v>12</v>
      </c>
      <c r="I14136" s="2" t="s">
        <v>4914</v>
      </c>
    </row>
    <row r="14137" spans="1:9" x14ac:dyDescent="0.2">
      <c r="A14137" s="2" t="s">
        <v>3270</v>
      </c>
      <c r="B14137" s="2" t="s">
        <v>2047</v>
      </c>
      <c r="C14137" s="2">
        <v>686.21420000000001</v>
      </c>
      <c r="D14137" s="2">
        <f>HYPERLINK("http://mcb-m6.bioreg.kyushu-u.ac.jp/M3/20110414/F50948/1714/1", 55.88)</f>
        <v>55.88</v>
      </c>
      <c r="E14137" s="2">
        <v>39.909999999999997</v>
      </c>
      <c r="F14137" s="2">
        <v>2</v>
      </c>
      <c r="G14137" s="2" t="s">
        <v>12</v>
      </c>
    </row>
    <row r="14138" spans="1:9" x14ac:dyDescent="0.2">
      <c r="A14138" s="2" t="s">
        <v>3270</v>
      </c>
      <c r="B14138" s="2" t="s">
        <v>519</v>
      </c>
      <c r="C14138" s="2">
        <v>853.12120000000004</v>
      </c>
      <c r="D14138" s="2">
        <f>HYPERLINK("http://mcb-m6.bioreg.kyushu-u.ac.jp/M3/20110414/F50950/2781/1", 56.08)</f>
        <v>56.08</v>
      </c>
      <c r="E14138" s="2">
        <v>24.75</v>
      </c>
      <c r="F14138" s="2">
        <v>2</v>
      </c>
      <c r="G14138" s="2" t="s">
        <v>12</v>
      </c>
      <c r="I14138" s="2" t="s">
        <v>4898</v>
      </c>
    </row>
    <row r="14139" spans="1:9" x14ac:dyDescent="0.2">
      <c r="A14139" s="2" t="s">
        <v>3270</v>
      </c>
      <c r="B14139" s="2" t="s">
        <v>2007</v>
      </c>
      <c r="C14139" s="2">
        <v>889.35569999999996</v>
      </c>
      <c r="D14139" s="2">
        <f>HYPERLINK("http://mcb-m6.bioreg.kyushu-u.ac.jp/M3/20110414/F50958/3005/1", 56.08)</f>
        <v>56.08</v>
      </c>
      <c r="E14139" s="2">
        <v>48.48</v>
      </c>
      <c r="F14139" s="2">
        <v>2</v>
      </c>
      <c r="G14139" s="2" t="s">
        <v>12</v>
      </c>
    </row>
    <row r="14140" spans="1:9" x14ac:dyDescent="0.2">
      <c r="A14140" s="2" t="s">
        <v>3270</v>
      </c>
      <c r="B14140" s="2" t="s">
        <v>289</v>
      </c>
      <c r="C14140" s="2">
        <v>809.82619999999997</v>
      </c>
      <c r="D14140" s="2">
        <f>HYPERLINK("http://mcb-m6.bioreg.kyushu-u.ac.jp/M3/20110414/F50959/2359/1", 59.76)</f>
        <v>59.76</v>
      </c>
      <c r="E14140" s="2">
        <v>42.28</v>
      </c>
      <c r="F14140" s="2">
        <v>2</v>
      </c>
      <c r="G14140" s="2" t="s">
        <v>12</v>
      </c>
    </row>
    <row r="14141" spans="1:9" x14ac:dyDescent="0.2">
      <c r="A14141" s="2" t="s">
        <v>3270</v>
      </c>
      <c r="B14141" s="2" t="s">
        <v>2243</v>
      </c>
      <c r="C14141" s="2">
        <v>490.24310000000003</v>
      </c>
      <c r="D14141" s="2">
        <f>HYPERLINK("http://mcb-m6.bioreg.kyushu-u.ac.jp/M3/20110414/F50949/1680/1", 60.56)</f>
        <v>60.56</v>
      </c>
      <c r="E14141" s="2">
        <v>36.78</v>
      </c>
      <c r="F14141" s="2">
        <v>2</v>
      </c>
      <c r="G14141" s="2" t="s">
        <v>12</v>
      </c>
      <c r="I14141" s="2" t="s">
        <v>4892</v>
      </c>
    </row>
    <row r="14142" spans="1:9" x14ac:dyDescent="0.2">
      <c r="A14142" s="2" t="s">
        <v>3270</v>
      </c>
      <c r="B14142" s="2" t="s">
        <v>289</v>
      </c>
      <c r="C14142" s="2">
        <v>809.45259999999996</v>
      </c>
      <c r="D14142" s="2">
        <f>HYPERLINK("http://mcb-m6.bioreg.kyushu-u.ac.jp/M3/20110414/F50950/2571/1", 61.24)</f>
        <v>61.24</v>
      </c>
      <c r="E14142" s="2">
        <v>30.44</v>
      </c>
      <c r="F14142" s="2">
        <v>2</v>
      </c>
      <c r="G14142" s="2" t="s">
        <v>12</v>
      </c>
    </row>
    <row r="14143" spans="1:9" x14ac:dyDescent="0.2">
      <c r="A14143" s="2" t="s">
        <v>3270</v>
      </c>
      <c r="B14143" s="2" t="s">
        <v>2047</v>
      </c>
      <c r="C14143" s="2">
        <v>685.99720000000002</v>
      </c>
      <c r="D14143" s="2">
        <f>HYPERLINK("http://mcb-m6.bioreg.kyushu-u.ac.jp/M3/20110414/F50949/2005/1", 64.84)</f>
        <v>64.84</v>
      </c>
      <c r="E14143" s="2">
        <v>42.8</v>
      </c>
      <c r="F14143" s="2">
        <v>2</v>
      </c>
      <c r="G14143" s="2" t="s">
        <v>12</v>
      </c>
    </row>
    <row r="14144" spans="1:9" x14ac:dyDescent="0.2">
      <c r="A14144" s="2" t="s">
        <v>3270</v>
      </c>
      <c r="B14144" s="2" t="s">
        <v>289</v>
      </c>
      <c r="C14144" s="2">
        <v>809.30820000000006</v>
      </c>
      <c r="D14144" s="2">
        <f>HYPERLINK("http://mcb-m6.bioreg.kyushu-u.ac.jp/M3/20110414/F50959/2353/1", 66.58)</f>
        <v>66.58</v>
      </c>
      <c r="E14144" s="2">
        <v>54.51</v>
      </c>
      <c r="F14144" s="2">
        <v>2</v>
      </c>
      <c r="G14144" s="2" t="s">
        <v>12</v>
      </c>
    </row>
    <row r="14145" spans="1:9" x14ac:dyDescent="0.2">
      <c r="A14145" s="2" t="s">
        <v>3270</v>
      </c>
      <c r="B14145" s="2" t="s">
        <v>1925</v>
      </c>
      <c r="C14145" s="2">
        <v>724.33370000000002</v>
      </c>
      <c r="D14145" s="2">
        <f>HYPERLINK("http://mcb-m6.bioreg.kyushu-u.ac.jp/M3/20110414/F50959/1780/1", 68.37)</f>
        <v>68.37</v>
      </c>
      <c r="E14145" s="2">
        <v>50.96</v>
      </c>
      <c r="F14145" s="2">
        <v>2</v>
      </c>
      <c r="G14145" s="2" t="s">
        <v>12</v>
      </c>
      <c r="I14145" s="2" t="s">
        <v>4898</v>
      </c>
    </row>
    <row r="14146" spans="1:9" x14ac:dyDescent="0.2">
      <c r="A14146" s="2" t="s">
        <v>3270</v>
      </c>
      <c r="B14146" s="2" t="s">
        <v>2007</v>
      </c>
      <c r="C14146" s="2">
        <v>889.18219999999997</v>
      </c>
      <c r="D14146" s="2">
        <f>HYPERLINK("http://mcb-m6.bioreg.kyushu-u.ac.jp/M3/20110414/F50950/2957/1", 69.7)</f>
        <v>69.7</v>
      </c>
      <c r="E14146" s="2">
        <v>54.26</v>
      </c>
      <c r="F14146" s="2">
        <v>2</v>
      </c>
      <c r="G14146" s="2" t="s">
        <v>12</v>
      </c>
    </row>
    <row r="14147" spans="1:9" x14ac:dyDescent="0.2">
      <c r="A14147" s="2" t="s">
        <v>3270</v>
      </c>
      <c r="B14147" s="2" t="s">
        <v>2007</v>
      </c>
      <c r="C14147" s="2">
        <v>889.36609999999996</v>
      </c>
      <c r="D14147" s="2">
        <f>HYPERLINK("http://mcb-m6.bioreg.kyushu-u.ac.jp/M3/20110414/F50959/2906/1", 73.84)</f>
        <v>73.84</v>
      </c>
      <c r="E14147" s="2">
        <v>59.91</v>
      </c>
      <c r="F14147" s="2">
        <v>2</v>
      </c>
      <c r="G14147" s="2" t="s">
        <v>12</v>
      </c>
    </row>
    <row r="14148" spans="1:9" x14ac:dyDescent="0.2">
      <c r="A14148" s="2" t="s">
        <v>3270</v>
      </c>
      <c r="B14148" s="2" t="s">
        <v>1925</v>
      </c>
      <c r="C14148" s="2">
        <v>724.93520000000001</v>
      </c>
      <c r="D14148" s="2">
        <f>HYPERLINK("http://mcb-m6.bioreg.kyushu-u.ac.jp/M3/20110414/F50947/1838/1", 75.68)</f>
        <v>75.680000000000007</v>
      </c>
      <c r="E14148" s="2">
        <v>48.39</v>
      </c>
      <c r="F14148" s="2">
        <v>2</v>
      </c>
      <c r="G14148" s="2" t="s">
        <v>12</v>
      </c>
      <c r="I14148" s="2" t="s">
        <v>4898</v>
      </c>
    </row>
    <row r="14149" spans="1:9" x14ac:dyDescent="0.2">
      <c r="A14149" s="2" t="s">
        <v>3270</v>
      </c>
      <c r="B14149" s="2" t="s">
        <v>2047</v>
      </c>
      <c r="C14149" s="2">
        <v>1371.2139999999999</v>
      </c>
      <c r="D14149" s="2">
        <f>HYPERLINK("http://mcb-m6.bioreg.kyushu-u.ac.jp/M3/20110414/F50949/2006/1", 83.4)</f>
        <v>83.4</v>
      </c>
      <c r="E14149" s="2">
        <v>56.21</v>
      </c>
      <c r="F14149" s="2">
        <v>1</v>
      </c>
      <c r="G14149" s="2" t="s">
        <v>12</v>
      </c>
    </row>
    <row r="14150" spans="1:9" x14ac:dyDescent="0.2">
      <c r="A14150" s="2" t="s">
        <v>3270</v>
      </c>
      <c r="B14150" s="2" t="s">
        <v>2007</v>
      </c>
      <c r="C14150" s="2">
        <v>888.83810000000005</v>
      </c>
      <c r="D14150" s="2">
        <f>HYPERLINK("http://mcb-m6.bioreg.kyushu-u.ac.jp/M3/20110414/F50959/2904/1", 85.39)</f>
        <v>85.39</v>
      </c>
      <c r="E14150" s="2">
        <v>75.78</v>
      </c>
      <c r="F14150" s="2">
        <v>2</v>
      </c>
      <c r="G14150" s="2" t="s">
        <v>12</v>
      </c>
    </row>
    <row r="14151" spans="1:9" x14ac:dyDescent="0.2">
      <c r="A14151" s="2" t="s">
        <v>3270</v>
      </c>
      <c r="B14151" s="2" t="s">
        <v>2047</v>
      </c>
      <c r="C14151" s="2">
        <v>686.06870000000004</v>
      </c>
      <c r="D14151" s="2">
        <f>HYPERLINK("http://mcb-m6.bioreg.kyushu-u.ac.jp/M3/20110414/F50950/1800/1", 88.72)</f>
        <v>88.72</v>
      </c>
      <c r="E14151" s="2">
        <v>63.78</v>
      </c>
      <c r="F14151" s="2">
        <v>2</v>
      </c>
      <c r="G14151" s="2" t="s">
        <v>12</v>
      </c>
    </row>
    <row r="14152" spans="1:9" x14ac:dyDescent="0.2">
      <c r="A14152" s="2" t="s">
        <v>3270</v>
      </c>
      <c r="B14152" s="2" t="s">
        <v>519</v>
      </c>
      <c r="C14152" s="2">
        <v>853.87570000000005</v>
      </c>
      <c r="D14152" s="2">
        <f>HYPERLINK("http://mcb-m6.bioreg.kyushu-u.ac.jp/M3/20110414/F50950/2785/1", 89.07)</f>
        <v>89.07</v>
      </c>
      <c r="E14152" s="2">
        <v>64.45</v>
      </c>
      <c r="F14152" s="2">
        <v>2</v>
      </c>
      <c r="G14152" s="2" t="s">
        <v>12</v>
      </c>
      <c r="I14152" s="2" t="s">
        <v>4898</v>
      </c>
    </row>
    <row r="14153" spans="1:9" x14ac:dyDescent="0.2">
      <c r="A14153" s="2" t="s">
        <v>3270</v>
      </c>
      <c r="B14153" s="2" t="s">
        <v>1208</v>
      </c>
      <c r="C14153" s="2">
        <v>909.59810000000004</v>
      </c>
      <c r="D14153" s="2">
        <f>HYPERLINK("http://mcb-m6.bioreg.kyushu-u.ac.jp/M3/20110414/F50950/3072/1", 90.08)</f>
        <v>90.08</v>
      </c>
      <c r="E14153" s="2">
        <v>62.74</v>
      </c>
      <c r="F14153" s="2">
        <v>2</v>
      </c>
      <c r="G14153" s="2" t="s">
        <v>12</v>
      </c>
    </row>
    <row r="14154" spans="1:9" x14ac:dyDescent="0.2">
      <c r="A14154" s="2" t="s">
        <v>3270</v>
      </c>
      <c r="B14154" s="2" t="s">
        <v>2007</v>
      </c>
      <c r="C14154" s="2">
        <v>888.59770000000003</v>
      </c>
      <c r="D14154" s="2">
        <f>HYPERLINK("http://mcb-m6.bioreg.kyushu-u.ac.jp/M3/20110414/F50950/2953/1", 90.76)</f>
        <v>90.76</v>
      </c>
      <c r="E14154" s="2">
        <v>73.23</v>
      </c>
      <c r="F14154" s="2">
        <v>2</v>
      </c>
      <c r="G14154" s="2" t="s">
        <v>12</v>
      </c>
    </row>
    <row r="14155" spans="1:9" x14ac:dyDescent="0.2">
      <c r="A14155" s="2" t="s">
        <v>3270</v>
      </c>
      <c r="B14155" s="2" t="s">
        <v>1507</v>
      </c>
      <c r="C14155" s="2">
        <v>1033.893</v>
      </c>
      <c r="D14155" s="2">
        <f>HYPERLINK("http://mcb-m6.bioreg.kyushu-u.ac.jp/M3/20110414/F50959/3742/1", 94.76)</f>
        <v>94.76</v>
      </c>
      <c r="E14155" s="2">
        <v>82.67</v>
      </c>
      <c r="F14155" s="2">
        <v>2</v>
      </c>
      <c r="G14155" s="2" t="s">
        <v>12</v>
      </c>
    </row>
    <row r="14156" spans="1:9" x14ac:dyDescent="0.2">
      <c r="A14156" s="2" t="s">
        <v>3270</v>
      </c>
      <c r="B14156" s="2" t="s">
        <v>1507</v>
      </c>
      <c r="C14156" s="2">
        <v>1033.047</v>
      </c>
      <c r="D14156" s="2">
        <f>HYPERLINK("http://mcb-m6.bioreg.kyushu-u.ac.jp/M3/20110414/F50950/3597/1", 95.27)</f>
        <v>95.27</v>
      </c>
      <c r="E14156" s="2">
        <v>78.69</v>
      </c>
      <c r="F14156" s="2">
        <v>2</v>
      </c>
      <c r="G14156" s="2" t="s">
        <v>12</v>
      </c>
    </row>
    <row r="14157" spans="1:9" x14ac:dyDescent="0.2">
      <c r="A14157" s="2" t="s">
        <v>3270</v>
      </c>
      <c r="B14157" s="2" t="s">
        <v>289</v>
      </c>
      <c r="C14157" s="2">
        <v>808.99220000000003</v>
      </c>
      <c r="D14157" s="2">
        <f>HYPERLINK("http://mcb-m6.bioreg.kyushu-u.ac.jp/M3/20110414/F50949/2272/1", 101.41)</f>
        <v>101.41</v>
      </c>
      <c r="E14157" s="2">
        <v>75</v>
      </c>
      <c r="F14157" s="2">
        <v>2</v>
      </c>
      <c r="G14157" s="2" t="s">
        <v>12</v>
      </c>
    </row>
    <row r="14158" spans="1:9" x14ac:dyDescent="0.2">
      <c r="A14158" s="2" t="s">
        <v>3270</v>
      </c>
      <c r="B14158" s="2" t="s">
        <v>2499</v>
      </c>
      <c r="C14158" s="2">
        <v>828.52560000000005</v>
      </c>
      <c r="D14158" s="2">
        <f>HYPERLINK("http://mcb-m6.bioreg.kyushu-u.ac.jp/M3/20110414/F50950/2669/1", 102.75)</f>
        <v>102.75</v>
      </c>
      <c r="E14158" s="2">
        <v>87.13</v>
      </c>
      <c r="F14158" s="2">
        <v>2</v>
      </c>
      <c r="G14158" s="2" t="s">
        <v>12</v>
      </c>
    </row>
    <row r="14159" spans="1:9" x14ac:dyDescent="0.2">
      <c r="A14159" s="2" t="s">
        <v>3270</v>
      </c>
      <c r="B14159" s="2" t="s">
        <v>2047</v>
      </c>
      <c r="C14159" s="2">
        <v>686.95510000000002</v>
      </c>
      <c r="D14159" s="2">
        <f>HYPERLINK("http://mcb-m6.bioreg.kyushu-u.ac.jp/M3/20110414/F50949/2010/1", 113.67)</f>
        <v>113.67</v>
      </c>
      <c r="E14159" s="2">
        <v>76.16</v>
      </c>
      <c r="F14159" s="2">
        <v>2</v>
      </c>
      <c r="G14159" s="2" t="s">
        <v>12</v>
      </c>
    </row>
    <row r="14160" spans="1:9" x14ac:dyDescent="0.2">
      <c r="A14160" s="2" t="s">
        <v>3270</v>
      </c>
      <c r="B14160" s="2" t="s">
        <v>2286</v>
      </c>
      <c r="C14160" s="2">
        <v>776.09010000000001</v>
      </c>
      <c r="D14160" s="2">
        <f>HYPERLINK("http://mcb-m6.bioreg.kyushu-u.ac.jp/M3/20110502/F51173/2018/1", 36.64)</f>
        <v>36.64</v>
      </c>
      <c r="E14160" s="2">
        <v>20.37</v>
      </c>
      <c r="F14160" s="2">
        <v>2</v>
      </c>
      <c r="G14160" s="2" t="s">
        <v>13</v>
      </c>
    </row>
    <row r="14161" spans="1:9" x14ac:dyDescent="0.2">
      <c r="A14161" s="2" t="s">
        <v>3270</v>
      </c>
      <c r="B14161" s="2" t="s">
        <v>291</v>
      </c>
      <c r="C14161" s="2">
        <v>526.28859999999997</v>
      </c>
      <c r="D14161" s="2">
        <f>HYPERLINK("http://mcb-m6.bioreg.kyushu-u.ac.jp/M3/20110502/F51170/1111/1", 38.9)</f>
        <v>38.9</v>
      </c>
      <c r="E14161" s="2">
        <v>12.21</v>
      </c>
      <c r="F14161" s="2">
        <v>2</v>
      </c>
      <c r="G14161" s="2" t="s">
        <v>13</v>
      </c>
    </row>
    <row r="14162" spans="1:9" x14ac:dyDescent="0.2">
      <c r="A14162" s="2" t="s">
        <v>3270</v>
      </c>
      <c r="B14162" s="2" t="s">
        <v>909</v>
      </c>
      <c r="C14162" s="2">
        <v>605.13369999999998</v>
      </c>
      <c r="D14162" s="2">
        <f>HYPERLINK("http://mcb-m6.bioreg.kyushu-u.ac.jp/M3/20110502/F51173/1073/1", 43.29)</f>
        <v>43.29</v>
      </c>
      <c r="E14162" s="2">
        <v>13.66</v>
      </c>
      <c r="F14162" s="2">
        <v>2</v>
      </c>
      <c r="G14162" s="2" t="s">
        <v>13</v>
      </c>
    </row>
    <row r="14163" spans="1:9" x14ac:dyDescent="0.2">
      <c r="A14163" s="2" t="s">
        <v>3270</v>
      </c>
      <c r="B14163" s="2" t="s">
        <v>2888</v>
      </c>
      <c r="C14163" s="2">
        <v>803.64170000000001</v>
      </c>
      <c r="D14163" s="2">
        <f>HYPERLINK("http://mcb-m6.bioreg.kyushu-u.ac.jp/M3/20110502/F51173/2211/1", 44.07)</f>
        <v>44.07</v>
      </c>
      <c r="E14163" s="2">
        <v>27.26</v>
      </c>
      <c r="F14163" s="2">
        <v>2</v>
      </c>
      <c r="G14163" s="2" t="s">
        <v>13</v>
      </c>
      <c r="H14163" s="2" t="s">
        <v>4904</v>
      </c>
    </row>
    <row r="14164" spans="1:9" x14ac:dyDescent="0.2">
      <c r="A14164" s="2" t="s">
        <v>3270</v>
      </c>
      <c r="B14164" s="2" t="s">
        <v>2415</v>
      </c>
      <c r="C14164" s="2">
        <v>1091.8720000000001</v>
      </c>
      <c r="D14164" s="2">
        <f>HYPERLINK("http://mcb-m6.bioreg.kyushu-u.ac.jp/M3/20110502/F51173/795/1", 46.68)</f>
        <v>46.68</v>
      </c>
      <c r="E14164" s="2">
        <v>20.07</v>
      </c>
      <c r="F14164" s="2">
        <v>1</v>
      </c>
      <c r="G14164" s="2" t="s">
        <v>13</v>
      </c>
    </row>
    <row r="14165" spans="1:9" x14ac:dyDescent="0.2">
      <c r="A14165" s="2" t="s">
        <v>3270</v>
      </c>
      <c r="B14165" s="2" t="s">
        <v>2900</v>
      </c>
      <c r="C14165" s="2">
        <v>552.17719999999997</v>
      </c>
      <c r="D14165" s="2">
        <f>HYPERLINK("http://mcb-m6.bioreg.kyushu-u.ac.jp/M3/20110502/F51173/829/1", 46.72)</f>
        <v>46.72</v>
      </c>
      <c r="E14165" s="2">
        <v>15.03</v>
      </c>
      <c r="F14165" s="2">
        <v>2</v>
      </c>
      <c r="G14165" s="2" t="s">
        <v>13</v>
      </c>
    </row>
    <row r="14166" spans="1:9" x14ac:dyDescent="0.2">
      <c r="A14166" s="2" t="s">
        <v>3270</v>
      </c>
      <c r="B14166" s="2" t="s">
        <v>909</v>
      </c>
      <c r="C14166" s="2">
        <v>1208.79</v>
      </c>
      <c r="D14166" s="2">
        <f>HYPERLINK("http://mcb-m6.bioreg.kyushu-u.ac.jp/M3/20110502/F51173/1072/1", 49.94)</f>
        <v>49.94</v>
      </c>
      <c r="E14166" s="2">
        <v>26</v>
      </c>
      <c r="F14166" s="2">
        <v>1</v>
      </c>
      <c r="G14166" s="2" t="s">
        <v>13</v>
      </c>
    </row>
    <row r="14167" spans="1:9" x14ac:dyDescent="0.2">
      <c r="A14167" s="2" t="s">
        <v>3270</v>
      </c>
      <c r="B14167" s="2" t="s">
        <v>909</v>
      </c>
      <c r="C14167" s="2">
        <v>605.00120000000004</v>
      </c>
      <c r="D14167" s="2">
        <f>HYPERLINK("http://mcb-m6.bioreg.kyushu-u.ac.jp/M3/20110502/F51174/1504/1", 50.19)</f>
        <v>50.19</v>
      </c>
      <c r="E14167" s="2">
        <v>19.63</v>
      </c>
      <c r="F14167" s="2">
        <v>2</v>
      </c>
      <c r="G14167" s="2" t="s">
        <v>13</v>
      </c>
    </row>
    <row r="14168" spans="1:9" x14ac:dyDescent="0.2">
      <c r="A14168" s="2" t="s">
        <v>3270</v>
      </c>
      <c r="B14168" s="2" t="s">
        <v>2398</v>
      </c>
      <c r="C14168" s="2">
        <v>527.08870000000002</v>
      </c>
      <c r="D14168" s="2">
        <f>HYPERLINK("http://mcb-m6.bioreg.kyushu-u.ac.jp/M3/20110502/F51173/720/1", 53.81)</f>
        <v>53.81</v>
      </c>
      <c r="E14168" s="2">
        <v>22.05</v>
      </c>
      <c r="F14168" s="2">
        <v>2</v>
      </c>
      <c r="G14168" s="2" t="s">
        <v>13</v>
      </c>
    </row>
    <row r="14169" spans="1:9" x14ac:dyDescent="0.2">
      <c r="A14169" s="2" t="s">
        <v>3270</v>
      </c>
      <c r="B14169" s="2" t="s">
        <v>909</v>
      </c>
      <c r="C14169" s="2">
        <v>604.99469999999997</v>
      </c>
      <c r="D14169" s="2">
        <f>HYPERLINK("http://mcb-m6.bioreg.kyushu-u.ac.jp/M3/20110502/F51175/1390/1", 55.47)</f>
        <v>55.47</v>
      </c>
      <c r="E14169" s="2">
        <v>24.92</v>
      </c>
      <c r="F14169" s="2">
        <v>2</v>
      </c>
      <c r="G14169" s="2" t="s">
        <v>13</v>
      </c>
    </row>
    <row r="14170" spans="1:9" x14ac:dyDescent="0.2">
      <c r="A14170" s="2" t="s">
        <v>3270</v>
      </c>
      <c r="B14170" s="2" t="s">
        <v>2445</v>
      </c>
      <c r="C14170" s="2">
        <v>638.75210000000004</v>
      </c>
      <c r="D14170" s="2">
        <f>HYPERLINK("http://mcb-m6.bioreg.kyushu-u.ac.jp/M3/20110502/F51173/1238/1", 55.73)</f>
        <v>55.73</v>
      </c>
      <c r="E14170" s="2">
        <v>20.82</v>
      </c>
      <c r="F14170" s="2">
        <v>2</v>
      </c>
      <c r="G14170" s="2" t="s">
        <v>13</v>
      </c>
      <c r="I14170" s="2" t="s">
        <v>4890</v>
      </c>
    </row>
    <row r="14171" spans="1:9" x14ac:dyDescent="0.2">
      <c r="A14171" s="2" t="s">
        <v>3270</v>
      </c>
      <c r="B14171" s="2" t="s">
        <v>289</v>
      </c>
      <c r="C14171" s="2">
        <v>809.84860000000003</v>
      </c>
      <c r="D14171" s="2">
        <f>HYPERLINK("http://mcb-m6.bioreg.kyushu-u.ac.jp/M3/20110502/F51173/2243/1", 57.35)</f>
        <v>57.35</v>
      </c>
      <c r="E14171" s="2">
        <v>39.630000000000003</v>
      </c>
      <c r="F14171" s="2">
        <v>2</v>
      </c>
      <c r="G14171" s="2" t="s">
        <v>13</v>
      </c>
    </row>
    <row r="14172" spans="1:9" x14ac:dyDescent="0.2">
      <c r="A14172" s="2" t="s">
        <v>3270</v>
      </c>
      <c r="B14172" s="2" t="s">
        <v>50</v>
      </c>
      <c r="C14172" s="2">
        <v>999.75869999999998</v>
      </c>
      <c r="D14172" s="2">
        <f>HYPERLINK("http://mcb-m6.bioreg.kyushu-u.ac.jp/M3/20110502/F51173/3198/1", 57.47)</f>
        <v>57.47</v>
      </c>
      <c r="E14172" s="2">
        <v>43.49</v>
      </c>
      <c r="F14172" s="2">
        <v>2</v>
      </c>
      <c r="G14172" s="2" t="s">
        <v>13</v>
      </c>
    </row>
    <row r="14173" spans="1:9" x14ac:dyDescent="0.2">
      <c r="A14173" s="2" t="s">
        <v>3270</v>
      </c>
      <c r="B14173" s="2" t="s">
        <v>519</v>
      </c>
      <c r="C14173" s="2">
        <v>853.61360000000002</v>
      </c>
      <c r="D14173" s="2">
        <f>HYPERLINK("http://mcb-m6.bioreg.kyushu-u.ac.jp/M3/20110502/F51175/2365/1", 57.91)</f>
        <v>57.91</v>
      </c>
      <c r="E14173" s="2">
        <v>44.25</v>
      </c>
      <c r="F14173" s="2">
        <v>2</v>
      </c>
      <c r="G14173" s="2" t="s">
        <v>13</v>
      </c>
      <c r="I14173" s="2" t="s">
        <v>4898</v>
      </c>
    </row>
    <row r="14174" spans="1:9" x14ac:dyDescent="0.2">
      <c r="A14174" s="2" t="s">
        <v>3270</v>
      </c>
      <c r="B14174" s="2" t="s">
        <v>1925</v>
      </c>
      <c r="C14174" s="2">
        <v>724.58510000000001</v>
      </c>
      <c r="D14174" s="2">
        <f>HYPERLINK("http://mcb-m6.bioreg.kyushu-u.ac.jp/M3/20110502/F51173/1702/1", 64.37)</f>
        <v>64.37</v>
      </c>
      <c r="E14174" s="2">
        <v>36.130000000000003</v>
      </c>
      <c r="F14174" s="2">
        <v>2</v>
      </c>
      <c r="G14174" s="2" t="s">
        <v>13</v>
      </c>
      <c r="I14174" s="2" t="s">
        <v>4898</v>
      </c>
    </row>
    <row r="14175" spans="1:9" x14ac:dyDescent="0.2">
      <c r="A14175" s="2" t="s">
        <v>3270</v>
      </c>
      <c r="B14175" s="2" t="s">
        <v>2942</v>
      </c>
      <c r="C14175" s="2">
        <v>652.70259999999996</v>
      </c>
      <c r="D14175" s="2">
        <f>HYPERLINK("http://mcb-m6.bioreg.kyushu-u.ac.jp/M3/20110502/F51173/1291/1", 64.67)</f>
        <v>64.67</v>
      </c>
      <c r="E14175" s="2">
        <v>40.950000000000003</v>
      </c>
      <c r="F14175" s="2">
        <v>2</v>
      </c>
      <c r="G14175" s="2" t="s">
        <v>13</v>
      </c>
    </row>
    <row r="14176" spans="1:9" x14ac:dyDescent="0.2">
      <c r="A14176" s="2" t="s">
        <v>3270</v>
      </c>
      <c r="B14176" s="2" t="s">
        <v>289</v>
      </c>
      <c r="C14176" s="2">
        <v>809.62519999999995</v>
      </c>
      <c r="D14176" s="2">
        <f>HYPERLINK("http://mcb-m6.bioreg.kyushu-u.ac.jp/M3/20110502/F51175/2211/1", 66.01)</f>
        <v>66.010000000000005</v>
      </c>
      <c r="E14176" s="2">
        <v>40.799999999999997</v>
      </c>
      <c r="F14176" s="2">
        <v>2</v>
      </c>
      <c r="G14176" s="2" t="s">
        <v>13</v>
      </c>
    </row>
    <row r="14177" spans="1:9" x14ac:dyDescent="0.2">
      <c r="A14177" s="2" t="s">
        <v>3270</v>
      </c>
      <c r="B14177" s="2" t="s">
        <v>1208</v>
      </c>
      <c r="C14177" s="2">
        <v>909.84220000000005</v>
      </c>
      <c r="D14177" s="2">
        <f>HYPERLINK("http://mcb-m6.bioreg.kyushu-u.ac.jp/M3/20110502/F51173/2820/1", 68.12)</f>
        <v>68.12</v>
      </c>
      <c r="E14177" s="2">
        <v>44.69</v>
      </c>
      <c r="F14177" s="2">
        <v>2</v>
      </c>
      <c r="G14177" s="2" t="s">
        <v>13</v>
      </c>
    </row>
    <row r="14178" spans="1:9" x14ac:dyDescent="0.2">
      <c r="A14178" s="2" t="s">
        <v>3270</v>
      </c>
      <c r="B14178" s="2" t="s">
        <v>2047</v>
      </c>
      <c r="C14178" s="2">
        <v>686.55520000000001</v>
      </c>
      <c r="D14178" s="2">
        <f>HYPERLINK("http://mcb-m6.bioreg.kyushu-u.ac.jp/M3/20110502/F51175/1659/1", 68.17)</f>
        <v>68.17</v>
      </c>
      <c r="E14178" s="2">
        <v>45.85</v>
      </c>
      <c r="F14178" s="2">
        <v>2</v>
      </c>
      <c r="G14178" s="2" t="s">
        <v>13</v>
      </c>
    </row>
    <row r="14179" spans="1:9" x14ac:dyDescent="0.2">
      <c r="A14179" s="2" t="s">
        <v>3270</v>
      </c>
      <c r="B14179" s="2" t="s">
        <v>1507</v>
      </c>
      <c r="C14179" s="2">
        <v>1033.806</v>
      </c>
      <c r="D14179" s="2">
        <f>HYPERLINK("http://mcb-m6.bioreg.kyushu-u.ac.jp/M3/20110502/F51173/3323/1", 70.76)</f>
        <v>70.760000000000005</v>
      </c>
      <c r="E14179" s="2">
        <v>62.36</v>
      </c>
      <c r="F14179" s="2">
        <v>2</v>
      </c>
      <c r="G14179" s="2" t="s">
        <v>13</v>
      </c>
    </row>
    <row r="14180" spans="1:9" x14ac:dyDescent="0.2">
      <c r="A14180" s="2" t="s">
        <v>3270</v>
      </c>
      <c r="B14180" s="2" t="s">
        <v>519</v>
      </c>
      <c r="C14180" s="2">
        <v>853.69669999999996</v>
      </c>
      <c r="D14180" s="2">
        <f>HYPERLINK("http://mcb-m6.bioreg.kyushu-u.ac.jp/M3/20110502/F51173/2511/1", 77.68)</f>
        <v>77.680000000000007</v>
      </c>
      <c r="E14180" s="2">
        <v>59.36</v>
      </c>
      <c r="F14180" s="2">
        <v>2</v>
      </c>
      <c r="G14180" s="2" t="s">
        <v>13</v>
      </c>
      <c r="I14180" s="2" t="s">
        <v>4898</v>
      </c>
    </row>
    <row r="14181" spans="1:9" x14ac:dyDescent="0.2">
      <c r="A14181" s="2" t="s">
        <v>3270</v>
      </c>
      <c r="B14181" s="2" t="s">
        <v>2047</v>
      </c>
      <c r="C14181" s="2">
        <v>686.57759999999996</v>
      </c>
      <c r="D14181" s="2">
        <f>HYPERLINK("http://mcb-m6.bioreg.kyushu-u.ac.jp/M3/20110502/F51174/1733/1", 86.34)</f>
        <v>86.34</v>
      </c>
      <c r="E14181" s="2">
        <v>58.91</v>
      </c>
      <c r="F14181" s="2">
        <v>2</v>
      </c>
      <c r="G14181" s="2" t="s">
        <v>13</v>
      </c>
    </row>
    <row r="14182" spans="1:9" x14ac:dyDescent="0.2">
      <c r="A14182" s="2" t="s">
        <v>3270</v>
      </c>
      <c r="B14182" s="2" t="s">
        <v>2491</v>
      </c>
      <c r="C14182" s="2">
        <v>873.73069999999996</v>
      </c>
      <c r="D14182" s="2">
        <f>HYPERLINK("http://mcb-m6.bioreg.kyushu-u.ac.jp/M3/20110502/F51173/2630/1", 95.9)</f>
        <v>95.9</v>
      </c>
      <c r="E14182" s="2">
        <v>73.760000000000005</v>
      </c>
      <c r="F14182" s="2">
        <v>2</v>
      </c>
      <c r="G14182" s="2" t="s">
        <v>13</v>
      </c>
    </row>
    <row r="14183" spans="1:9" x14ac:dyDescent="0.2">
      <c r="A14183" s="2" t="s">
        <v>3270</v>
      </c>
      <c r="B14183" s="2" t="s">
        <v>2047</v>
      </c>
      <c r="C14183" s="2">
        <v>686.58669999999995</v>
      </c>
      <c r="D14183" s="2">
        <f>HYPERLINK("http://mcb-m6.bioreg.kyushu-u.ac.jp/M3/20110502/F51173/1475/1", 109.42)</f>
        <v>109.42</v>
      </c>
      <c r="E14183" s="2">
        <v>77.75</v>
      </c>
      <c r="F14183" s="2">
        <v>2</v>
      </c>
      <c r="G14183" s="2" t="s">
        <v>13</v>
      </c>
    </row>
    <row r="14184" spans="1:9" x14ac:dyDescent="0.2">
      <c r="A14184" s="2" t="s">
        <v>3270</v>
      </c>
      <c r="B14184" s="2" t="s">
        <v>2286</v>
      </c>
      <c r="C14184" s="2">
        <v>784.15369999999996</v>
      </c>
      <c r="D14184" s="2">
        <f>HYPERLINK("http://mcb-m6.bioreg.kyushu-u.ac.jp/M3/20110502/F51184/2114/1", 35.9)</f>
        <v>35.9</v>
      </c>
      <c r="E14184" s="2">
        <v>18.5</v>
      </c>
      <c r="F14184" s="2">
        <v>2</v>
      </c>
      <c r="G14184" s="2" t="s">
        <v>14</v>
      </c>
      <c r="H14184" s="2" t="s">
        <v>4915</v>
      </c>
    </row>
    <row r="14185" spans="1:9" x14ac:dyDescent="0.2">
      <c r="A14185" s="2" t="s">
        <v>3270</v>
      </c>
      <c r="B14185" s="2" t="s">
        <v>2047</v>
      </c>
      <c r="C14185" s="2">
        <v>686.38019999999995</v>
      </c>
      <c r="D14185" s="2">
        <f>HYPERLINK("http://mcb-m6.bioreg.kyushu-u.ac.jp/M3/20110502/F51192/1458/1", 35.95)</f>
        <v>35.950000000000003</v>
      </c>
      <c r="E14185" s="2">
        <v>19.72</v>
      </c>
      <c r="F14185" s="2">
        <v>2</v>
      </c>
      <c r="G14185" s="2" t="s">
        <v>14</v>
      </c>
    </row>
    <row r="14186" spans="1:9" x14ac:dyDescent="0.2">
      <c r="A14186" s="2" t="s">
        <v>3270</v>
      </c>
      <c r="B14186" s="2" t="s">
        <v>2987</v>
      </c>
      <c r="C14186" s="2">
        <v>535.58320000000003</v>
      </c>
      <c r="D14186" s="2">
        <f>HYPERLINK("http://mcb-m6.bioreg.kyushu-u.ac.jp/M3/20110502/F51184/2232/1", 36.41)</f>
        <v>36.409999999999997</v>
      </c>
      <c r="E14186" s="2">
        <v>23.92</v>
      </c>
      <c r="F14186" s="2">
        <v>3</v>
      </c>
      <c r="G14186" s="2" t="s">
        <v>14</v>
      </c>
      <c r="I14186" s="2" t="s">
        <v>4898</v>
      </c>
    </row>
    <row r="14187" spans="1:9" x14ac:dyDescent="0.2">
      <c r="A14187" s="2" t="s">
        <v>3270</v>
      </c>
      <c r="B14187" s="2" t="s">
        <v>3039</v>
      </c>
      <c r="C14187" s="2">
        <v>982.72699999999998</v>
      </c>
      <c r="D14187" s="2">
        <f>HYPERLINK("http://mcb-m6.bioreg.kyushu-u.ac.jp/M3/20110502/F51184/528/1", 39.21)</f>
        <v>39.21</v>
      </c>
      <c r="E14187" s="2">
        <v>15.03</v>
      </c>
      <c r="F14187" s="2">
        <v>1</v>
      </c>
      <c r="G14187" s="2" t="s">
        <v>14</v>
      </c>
      <c r="I14187" s="2" t="s">
        <v>4892</v>
      </c>
    </row>
    <row r="14188" spans="1:9" x14ac:dyDescent="0.2">
      <c r="A14188" s="2" t="s">
        <v>3270</v>
      </c>
      <c r="B14188" s="2" t="s">
        <v>380</v>
      </c>
      <c r="C14188" s="2">
        <v>1058.991</v>
      </c>
      <c r="D14188" s="2">
        <f>HYPERLINK("http://mcb-m6.bioreg.kyushu-u.ac.jp/M3/20110502/F51184/677/1", 39.68)</f>
        <v>39.68</v>
      </c>
      <c r="E14188" s="2">
        <v>13.51</v>
      </c>
      <c r="F14188" s="2">
        <v>1</v>
      </c>
      <c r="G14188" s="2" t="s">
        <v>14</v>
      </c>
    </row>
    <row r="14189" spans="1:9" x14ac:dyDescent="0.2">
      <c r="A14189" s="2" t="s">
        <v>3270</v>
      </c>
      <c r="B14189" s="2" t="s">
        <v>2398</v>
      </c>
      <c r="C14189" s="2">
        <v>527.0702</v>
      </c>
      <c r="D14189" s="2">
        <f>HYPERLINK("http://mcb-m6.bioreg.kyushu-u.ac.jp/M3/20110502/F51184/660/1", 39.99)</f>
        <v>39.99</v>
      </c>
      <c r="E14189" s="2">
        <v>15.41</v>
      </c>
      <c r="F14189" s="2">
        <v>2</v>
      </c>
      <c r="G14189" s="2" t="s">
        <v>14</v>
      </c>
    </row>
    <row r="14190" spans="1:9" x14ac:dyDescent="0.2">
      <c r="A14190" s="2" t="s">
        <v>3270</v>
      </c>
      <c r="B14190" s="2" t="s">
        <v>2888</v>
      </c>
      <c r="C14190" s="2">
        <v>811.64120000000003</v>
      </c>
      <c r="D14190" s="2">
        <f>HYPERLINK("http://mcb-m6.bioreg.kyushu-u.ac.jp/M3/20110502/F51184/2280/1", 40.77)</f>
        <v>40.770000000000003</v>
      </c>
      <c r="E14190" s="2">
        <v>21.1</v>
      </c>
      <c r="F14190" s="2">
        <v>2</v>
      </c>
      <c r="G14190" s="2" t="s">
        <v>14</v>
      </c>
      <c r="H14190" s="2" t="s">
        <v>4977</v>
      </c>
    </row>
    <row r="14191" spans="1:9" x14ac:dyDescent="0.2">
      <c r="A14191" s="2" t="s">
        <v>3270</v>
      </c>
      <c r="B14191" s="2" t="s">
        <v>2499</v>
      </c>
      <c r="C14191" s="2">
        <v>553.25750000000005</v>
      </c>
      <c r="D14191" s="2">
        <f>HYPERLINK("http://mcb-m6.bioreg.kyushu-u.ac.jp/M3/20110502/F51184/2396/1", 40.87)</f>
        <v>40.869999999999997</v>
      </c>
      <c r="E14191" s="2">
        <v>22.83</v>
      </c>
      <c r="F14191" s="2">
        <v>3</v>
      </c>
      <c r="G14191" s="2" t="s">
        <v>14</v>
      </c>
    </row>
    <row r="14192" spans="1:9" x14ac:dyDescent="0.2">
      <c r="A14192" s="2" t="s">
        <v>3270</v>
      </c>
      <c r="B14192" s="2" t="s">
        <v>3039</v>
      </c>
      <c r="C14192" s="2">
        <v>491.8091</v>
      </c>
      <c r="D14192" s="2">
        <f>HYPERLINK("http://mcb-m6.bioreg.kyushu-u.ac.jp/M3/20110502/F51186/795/1", 41.18)</f>
        <v>41.18</v>
      </c>
      <c r="E14192" s="2">
        <v>23.82</v>
      </c>
      <c r="F14192" s="2">
        <v>2</v>
      </c>
      <c r="G14192" s="2" t="s">
        <v>14</v>
      </c>
      <c r="I14192" s="2" t="s">
        <v>4892</v>
      </c>
    </row>
    <row r="14193" spans="1:9" x14ac:dyDescent="0.2">
      <c r="A14193" s="2" t="s">
        <v>3270</v>
      </c>
      <c r="B14193" s="2" t="s">
        <v>3079</v>
      </c>
      <c r="C14193" s="2">
        <v>548.51260000000002</v>
      </c>
      <c r="D14193" s="2">
        <f>HYPERLINK("http://mcb-m6.bioreg.kyushu-u.ac.jp/M3/20110502/F51184/756/1", 42.32)</f>
        <v>42.32</v>
      </c>
      <c r="E14193" s="2">
        <v>10.7</v>
      </c>
      <c r="F14193" s="2">
        <v>2</v>
      </c>
      <c r="G14193" s="2" t="s">
        <v>14</v>
      </c>
    </row>
    <row r="14194" spans="1:9" x14ac:dyDescent="0.2">
      <c r="A14194" s="2" t="s">
        <v>3270</v>
      </c>
      <c r="B14194" s="2" t="s">
        <v>2007</v>
      </c>
      <c r="C14194" s="2">
        <v>888.98019999999997</v>
      </c>
      <c r="D14194" s="2">
        <f>HYPERLINK("http://mcb-m6.bioreg.kyushu-u.ac.jp/M3/20110502/F51184/2732/1", 45.13)</f>
        <v>45.13</v>
      </c>
      <c r="E14194" s="2">
        <v>32.53</v>
      </c>
      <c r="F14194" s="2">
        <v>2</v>
      </c>
      <c r="G14194" s="2" t="s">
        <v>14</v>
      </c>
    </row>
    <row r="14195" spans="1:9" x14ac:dyDescent="0.2">
      <c r="A14195" s="2" t="s">
        <v>3270</v>
      </c>
      <c r="B14195" s="2" t="s">
        <v>2415</v>
      </c>
      <c r="C14195" s="2">
        <v>1091.7739999999999</v>
      </c>
      <c r="D14195" s="2">
        <f>HYPERLINK("http://mcb-m6.bioreg.kyushu-u.ac.jp/M3/20110502/F51184/750/1", 45.5)</f>
        <v>45.5</v>
      </c>
      <c r="E14195" s="2">
        <v>23.17</v>
      </c>
      <c r="F14195" s="2">
        <v>1</v>
      </c>
      <c r="G14195" s="2" t="s">
        <v>14</v>
      </c>
    </row>
    <row r="14196" spans="1:9" x14ac:dyDescent="0.2">
      <c r="A14196" s="2" t="s">
        <v>3270</v>
      </c>
      <c r="B14196" s="2" t="s">
        <v>2007</v>
      </c>
      <c r="C14196" s="2">
        <v>889.57820000000004</v>
      </c>
      <c r="D14196" s="2">
        <f>HYPERLINK("http://mcb-m6.bioreg.kyushu-u.ac.jp/M3/20110502/F51185/2583/1", 47.85)</f>
        <v>47.85</v>
      </c>
      <c r="E14196" s="2">
        <v>33.22</v>
      </c>
      <c r="F14196" s="2">
        <v>2</v>
      </c>
      <c r="G14196" s="2" t="s">
        <v>14</v>
      </c>
    </row>
    <row r="14197" spans="1:9" x14ac:dyDescent="0.2">
      <c r="A14197" s="2" t="s">
        <v>3270</v>
      </c>
      <c r="B14197" s="2" t="s">
        <v>519</v>
      </c>
      <c r="C14197" s="2">
        <v>853.40869999999995</v>
      </c>
      <c r="D14197" s="2">
        <f>HYPERLINK("http://mcb-m6.bioreg.kyushu-u.ac.jp/M3/20110502/F51184/2538/1", 48.12)</f>
        <v>48.12</v>
      </c>
      <c r="E14197" s="2">
        <v>32.409999999999997</v>
      </c>
      <c r="F14197" s="2">
        <v>2</v>
      </c>
      <c r="G14197" s="2" t="s">
        <v>14</v>
      </c>
      <c r="I14197" s="2" t="s">
        <v>4898</v>
      </c>
    </row>
    <row r="14198" spans="1:9" x14ac:dyDescent="0.2">
      <c r="A14198" s="2" t="s">
        <v>3270</v>
      </c>
      <c r="B14198" s="2" t="s">
        <v>909</v>
      </c>
      <c r="C14198" s="2">
        <v>605.12519999999995</v>
      </c>
      <c r="D14198" s="2">
        <f>HYPERLINK("http://mcb-m6.bioreg.kyushu-u.ac.jp/M3/20110502/F51194/1073/1", 48.87)</f>
        <v>48.87</v>
      </c>
      <c r="E14198" s="2">
        <v>23.36</v>
      </c>
      <c r="F14198" s="2">
        <v>2</v>
      </c>
      <c r="G14198" s="2" t="s">
        <v>14</v>
      </c>
    </row>
    <row r="14199" spans="1:9" x14ac:dyDescent="0.2">
      <c r="A14199" s="2" t="s">
        <v>3270</v>
      </c>
      <c r="B14199" s="2" t="s">
        <v>380</v>
      </c>
      <c r="C14199" s="2">
        <v>529.71810000000005</v>
      </c>
      <c r="D14199" s="2">
        <f>HYPERLINK("http://mcb-m6.bioreg.kyushu-u.ac.jp/M3/20110502/F51186/949/1", 50.43)</f>
        <v>50.43</v>
      </c>
      <c r="E14199" s="2">
        <v>24.02</v>
      </c>
      <c r="F14199" s="2">
        <v>2</v>
      </c>
      <c r="G14199" s="2" t="s">
        <v>14</v>
      </c>
    </row>
    <row r="14200" spans="1:9" x14ac:dyDescent="0.2">
      <c r="A14200" s="2" t="s">
        <v>3270</v>
      </c>
      <c r="B14200" s="2" t="s">
        <v>2445</v>
      </c>
      <c r="C14200" s="2">
        <v>638.62220000000002</v>
      </c>
      <c r="D14200" s="2">
        <f>HYPERLINK("http://mcb-m6.bioreg.kyushu-u.ac.jp/M3/20110502/F51184/1212/1", 50.52)</f>
        <v>50.52</v>
      </c>
      <c r="E14200" s="2">
        <v>27.05</v>
      </c>
      <c r="F14200" s="2">
        <v>2</v>
      </c>
      <c r="G14200" s="2" t="s">
        <v>14</v>
      </c>
      <c r="I14200" s="2" t="s">
        <v>4890</v>
      </c>
    </row>
    <row r="14201" spans="1:9" x14ac:dyDescent="0.2">
      <c r="A14201" s="2" t="s">
        <v>3270</v>
      </c>
      <c r="B14201" s="2" t="s">
        <v>909</v>
      </c>
      <c r="C14201" s="2">
        <v>1208.8579999999999</v>
      </c>
      <c r="D14201" s="2">
        <f>HYPERLINK("http://mcb-m6.bioreg.kyushu-u.ac.jp/M3/20110502/F51184/1036/1", 51.47)</f>
        <v>51.47</v>
      </c>
      <c r="E14201" s="2">
        <v>28.47</v>
      </c>
      <c r="F14201" s="2">
        <v>1</v>
      </c>
      <c r="G14201" s="2" t="s">
        <v>14</v>
      </c>
    </row>
    <row r="14202" spans="1:9" x14ac:dyDescent="0.2">
      <c r="A14202" s="2" t="s">
        <v>3270</v>
      </c>
      <c r="B14202" s="2" t="s">
        <v>2900</v>
      </c>
      <c r="C14202" s="2">
        <v>552.44460000000004</v>
      </c>
      <c r="D14202" s="2">
        <f>HYPERLINK("http://mcb-m6.bioreg.kyushu-u.ac.jp/M3/20110502/F51184/773/1", 52.68)</f>
        <v>52.68</v>
      </c>
      <c r="E14202" s="2">
        <v>22.74</v>
      </c>
      <c r="F14202" s="2">
        <v>2</v>
      </c>
      <c r="G14202" s="2" t="s">
        <v>14</v>
      </c>
    </row>
    <row r="14203" spans="1:9" x14ac:dyDescent="0.2">
      <c r="A14203" s="2" t="s">
        <v>3270</v>
      </c>
      <c r="B14203" s="2" t="s">
        <v>2007</v>
      </c>
      <c r="C14203" s="2">
        <v>889.52809999999999</v>
      </c>
      <c r="D14203" s="2">
        <f>HYPERLINK("http://mcb-m6.bioreg.kyushu-u.ac.jp/M3/20110502/F51184/2737/1", 52.8)</f>
        <v>52.8</v>
      </c>
      <c r="E14203" s="2">
        <v>42.69</v>
      </c>
      <c r="F14203" s="2">
        <v>2</v>
      </c>
      <c r="G14203" s="2" t="s">
        <v>14</v>
      </c>
    </row>
    <row r="14204" spans="1:9" x14ac:dyDescent="0.2">
      <c r="A14204" s="2" t="s">
        <v>3270</v>
      </c>
      <c r="B14204" s="2" t="s">
        <v>1925</v>
      </c>
      <c r="C14204" s="2">
        <v>724.70259999999996</v>
      </c>
      <c r="D14204" s="2">
        <f>HYPERLINK("http://mcb-m6.bioreg.kyushu-u.ac.jp/M3/20110502/F51184/1754/1", 54.12)</f>
        <v>54.12</v>
      </c>
      <c r="E14204" s="2">
        <v>28.7</v>
      </c>
      <c r="F14204" s="2">
        <v>2</v>
      </c>
      <c r="G14204" s="2" t="s">
        <v>14</v>
      </c>
      <c r="I14204" s="2" t="s">
        <v>4898</v>
      </c>
    </row>
    <row r="14205" spans="1:9" x14ac:dyDescent="0.2">
      <c r="A14205" s="2" t="s">
        <v>3270</v>
      </c>
      <c r="B14205" s="2" t="s">
        <v>2072</v>
      </c>
      <c r="C14205" s="2">
        <v>558.82870000000003</v>
      </c>
      <c r="D14205" s="2">
        <f>HYPERLINK("http://mcb-m6.bioreg.kyushu-u.ac.jp/M3/20110502/F51184/806/1", 55.4)</f>
        <v>55.4</v>
      </c>
      <c r="E14205" s="2">
        <v>8.4700000000000006</v>
      </c>
      <c r="F14205" s="2">
        <v>2</v>
      </c>
      <c r="G14205" s="2" t="s">
        <v>14</v>
      </c>
    </row>
    <row r="14206" spans="1:9" x14ac:dyDescent="0.2">
      <c r="A14206" s="2" t="s">
        <v>3270</v>
      </c>
      <c r="B14206" s="2" t="s">
        <v>289</v>
      </c>
      <c r="C14206" s="2">
        <v>809.83320000000003</v>
      </c>
      <c r="D14206" s="2">
        <f>HYPERLINK("http://mcb-m6.bioreg.kyushu-u.ac.jp/M3/20110502/F51186/2176/1", 56.34)</f>
        <v>56.34</v>
      </c>
      <c r="E14206" s="2">
        <v>30.71</v>
      </c>
      <c r="F14206" s="2">
        <v>2</v>
      </c>
      <c r="G14206" s="2" t="s">
        <v>14</v>
      </c>
    </row>
    <row r="14207" spans="1:9" x14ac:dyDescent="0.2">
      <c r="A14207" s="2" t="s">
        <v>3270</v>
      </c>
      <c r="B14207" s="2" t="s">
        <v>519</v>
      </c>
      <c r="C14207" s="2">
        <v>853.45920000000001</v>
      </c>
      <c r="D14207" s="2">
        <f>HYPERLINK("http://mcb-m6.bioreg.kyushu-u.ac.jp/M3/20110502/F51185/2433/1", 59.48)</f>
        <v>59.48</v>
      </c>
      <c r="E14207" s="2">
        <v>48.3</v>
      </c>
      <c r="F14207" s="2">
        <v>2</v>
      </c>
      <c r="G14207" s="2" t="s">
        <v>14</v>
      </c>
      <c r="I14207" s="2" t="s">
        <v>4898</v>
      </c>
    </row>
    <row r="14208" spans="1:9" x14ac:dyDescent="0.2">
      <c r="A14208" s="2" t="s">
        <v>3270</v>
      </c>
      <c r="B14208" s="2" t="s">
        <v>1925</v>
      </c>
      <c r="C14208" s="2">
        <v>724.53719999999998</v>
      </c>
      <c r="D14208" s="2">
        <f>HYPERLINK("http://mcb-m6.bioreg.kyushu-u.ac.jp/M3/20110502/F51186/1796/1", 60.94)</f>
        <v>60.94</v>
      </c>
      <c r="E14208" s="2">
        <v>34.42</v>
      </c>
      <c r="F14208" s="2">
        <v>2</v>
      </c>
      <c r="G14208" s="2" t="s">
        <v>14</v>
      </c>
      <c r="I14208" s="2" t="s">
        <v>4898</v>
      </c>
    </row>
    <row r="14209" spans="1:9" x14ac:dyDescent="0.2">
      <c r="A14209" s="2" t="s">
        <v>3270</v>
      </c>
      <c r="B14209" s="2" t="s">
        <v>1925</v>
      </c>
      <c r="C14209" s="2">
        <v>724.68219999999997</v>
      </c>
      <c r="D14209" s="2">
        <f>HYPERLINK("http://mcb-m6.bioreg.kyushu-u.ac.jp/M3/20110502/F51185/1818/1", 62.72)</f>
        <v>62.72</v>
      </c>
      <c r="E14209" s="2">
        <v>35.85</v>
      </c>
      <c r="F14209" s="2">
        <v>2</v>
      </c>
      <c r="G14209" s="2" t="s">
        <v>14</v>
      </c>
      <c r="I14209" s="2" t="s">
        <v>4898</v>
      </c>
    </row>
    <row r="14210" spans="1:9" x14ac:dyDescent="0.2">
      <c r="A14210" s="2" t="s">
        <v>3270</v>
      </c>
      <c r="B14210" s="2" t="s">
        <v>2942</v>
      </c>
      <c r="C14210" s="2">
        <v>652.6191</v>
      </c>
      <c r="D14210" s="2">
        <f>HYPERLINK("http://mcb-m6.bioreg.kyushu-u.ac.jp/M3/20110502/F51184/1275/1", 63.56)</f>
        <v>63.56</v>
      </c>
      <c r="E14210" s="2">
        <v>37.99</v>
      </c>
      <c r="F14210" s="2">
        <v>2</v>
      </c>
      <c r="G14210" s="2" t="s">
        <v>14</v>
      </c>
    </row>
    <row r="14211" spans="1:9" x14ac:dyDescent="0.2">
      <c r="A14211" s="2" t="s">
        <v>3270</v>
      </c>
      <c r="B14211" s="2" t="s">
        <v>1925</v>
      </c>
      <c r="C14211" s="2">
        <v>724.67110000000002</v>
      </c>
      <c r="D14211" s="2">
        <f>HYPERLINK("http://mcb-m6.bioreg.kyushu-u.ac.jp/M3/20110502/F51179/1677/1", 64.57)</f>
        <v>64.569999999999993</v>
      </c>
      <c r="E14211" s="2">
        <v>34.020000000000003</v>
      </c>
      <c r="F14211" s="2">
        <v>2</v>
      </c>
      <c r="G14211" s="2" t="s">
        <v>14</v>
      </c>
      <c r="I14211" s="2" t="s">
        <v>4898</v>
      </c>
    </row>
    <row r="14212" spans="1:9" x14ac:dyDescent="0.2">
      <c r="A14212" s="2" t="s">
        <v>3270</v>
      </c>
      <c r="B14212" s="2" t="s">
        <v>289</v>
      </c>
      <c r="C14212" s="2">
        <v>809.89670000000001</v>
      </c>
      <c r="D14212" s="2">
        <f>HYPERLINK("http://mcb-m6.bioreg.kyushu-u.ac.jp/M3/20110502/F51184/2272/1", 66.02)</f>
        <v>66.02</v>
      </c>
      <c r="E14212" s="2">
        <v>32.31</v>
      </c>
      <c r="F14212" s="2">
        <v>2</v>
      </c>
      <c r="G14212" s="2" t="s">
        <v>14</v>
      </c>
    </row>
    <row r="14213" spans="1:9" x14ac:dyDescent="0.2">
      <c r="A14213" s="2" t="s">
        <v>3270</v>
      </c>
      <c r="B14213" s="2" t="s">
        <v>2020</v>
      </c>
      <c r="C14213" s="2">
        <v>749.44709999999998</v>
      </c>
      <c r="D14213" s="2">
        <f>HYPERLINK("http://mcb-m6.bioreg.kyushu-u.ac.jp/M3/20110502/F51184/1905/1", 66.34)</f>
        <v>66.34</v>
      </c>
      <c r="E14213" s="2">
        <v>42.44</v>
      </c>
      <c r="F14213" s="2">
        <v>2</v>
      </c>
      <c r="G14213" s="2" t="s">
        <v>14</v>
      </c>
    </row>
    <row r="14214" spans="1:9" x14ac:dyDescent="0.2">
      <c r="A14214" s="2" t="s">
        <v>3270</v>
      </c>
      <c r="B14214" s="2" t="s">
        <v>2007</v>
      </c>
      <c r="C14214" s="2">
        <v>889.44619999999998</v>
      </c>
      <c r="D14214" s="2">
        <f>HYPERLINK("http://mcb-m6.bioreg.kyushu-u.ac.jp/M3/20110502/F51184/2736/1", 69.3)</f>
        <v>69.3</v>
      </c>
      <c r="E14214" s="2">
        <v>48.78</v>
      </c>
      <c r="F14214" s="2">
        <v>2</v>
      </c>
      <c r="G14214" s="2" t="s">
        <v>14</v>
      </c>
    </row>
    <row r="14215" spans="1:9" x14ac:dyDescent="0.2">
      <c r="A14215" s="2" t="s">
        <v>3270</v>
      </c>
      <c r="B14215" s="2" t="s">
        <v>3198</v>
      </c>
      <c r="C14215" s="2">
        <v>631.84770000000003</v>
      </c>
      <c r="D14215" s="2">
        <f>HYPERLINK("http://mcb-m6.bioreg.kyushu-u.ac.jp/M3/20110502/F51184/1177/1", 70.77)</f>
        <v>70.77</v>
      </c>
      <c r="E14215" s="2">
        <v>45.17</v>
      </c>
      <c r="F14215" s="2">
        <v>2</v>
      </c>
      <c r="G14215" s="2" t="s">
        <v>14</v>
      </c>
    </row>
    <row r="14216" spans="1:9" x14ac:dyDescent="0.2">
      <c r="A14216" s="2" t="s">
        <v>3270</v>
      </c>
      <c r="B14216" s="2" t="s">
        <v>909</v>
      </c>
      <c r="C14216" s="2">
        <v>605.40620000000001</v>
      </c>
      <c r="D14216" s="2">
        <f>HYPERLINK("http://mcb-m6.bioreg.kyushu-u.ac.jp/M3/20110502/F51186/1252/1", 71.52)</f>
        <v>71.52</v>
      </c>
      <c r="E14216" s="2">
        <v>45.92</v>
      </c>
      <c r="F14216" s="2">
        <v>2</v>
      </c>
      <c r="G14216" s="2" t="s">
        <v>14</v>
      </c>
    </row>
    <row r="14217" spans="1:9" x14ac:dyDescent="0.2">
      <c r="A14217" s="2" t="s">
        <v>3270</v>
      </c>
      <c r="B14217" s="2" t="s">
        <v>2007</v>
      </c>
      <c r="C14217" s="2">
        <v>888.94119999999998</v>
      </c>
      <c r="D14217" s="2">
        <f>HYPERLINK("http://mcb-m6.bioreg.kyushu-u.ac.jp/M3/20110502/F51184/2730/1", 72.82)</f>
        <v>72.819999999999993</v>
      </c>
      <c r="E14217" s="2">
        <v>54.14</v>
      </c>
      <c r="F14217" s="2">
        <v>2</v>
      </c>
      <c r="G14217" s="2" t="s">
        <v>14</v>
      </c>
    </row>
    <row r="14218" spans="1:9" x14ac:dyDescent="0.2">
      <c r="A14218" s="2" t="s">
        <v>3270</v>
      </c>
      <c r="B14218" s="2" t="s">
        <v>1507</v>
      </c>
      <c r="C14218" s="2">
        <v>1033.9880000000001</v>
      </c>
      <c r="D14218" s="2">
        <f>HYPERLINK("http://mcb-m6.bioreg.kyushu-u.ac.jp/M3/20110502/F51184/3417/1", 73.75)</f>
        <v>73.75</v>
      </c>
      <c r="E14218" s="2">
        <v>63.66</v>
      </c>
      <c r="F14218" s="2">
        <v>2</v>
      </c>
      <c r="G14218" s="2" t="s">
        <v>14</v>
      </c>
    </row>
    <row r="14219" spans="1:9" x14ac:dyDescent="0.2">
      <c r="A14219" s="2" t="s">
        <v>3270</v>
      </c>
      <c r="B14219" s="2" t="s">
        <v>519</v>
      </c>
      <c r="C14219" s="2">
        <v>853.63710000000003</v>
      </c>
      <c r="D14219" s="2">
        <f>HYPERLINK("http://mcb-m6.bioreg.kyushu-u.ac.jp/M3/20110502/F51186/2336/1", 74.58)</f>
        <v>74.58</v>
      </c>
      <c r="E14219" s="2">
        <v>62.17</v>
      </c>
      <c r="F14219" s="2">
        <v>2</v>
      </c>
      <c r="G14219" s="2" t="s">
        <v>14</v>
      </c>
      <c r="I14219" s="2" t="s">
        <v>4898</v>
      </c>
    </row>
    <row r="14220" spans="1:9" x14ac:dyDescent="0.2">
      <c r="A14220" s="2" t="s">
        <v>3270</v>
      </c>
      <c r="B14220" s="2" t="s">
        <v>2047</v>
      </c>
      <c r="C14220" s="2">
        <v>686.61270000000002</v>
      </c>
      <c r="D14220" s="2">
        <f>HYPERLINK("http://mcb-m6.bioreg.kyushu-u.ac.jp/M3/20110502/F51186/1585/1", 75.9)</f>
        <v>75.900000000000006</v>
      </c>
      <c r="E14220" s="2">
        <v>52.07</v>
      </c>
      <c r="F14220" s="2">
        <v>2</v>
      </c>
      <c r="G14220" s="2" t="s">
        <v>14</v>
      </c>
    </row>
    <row r="14221" spans="1:9" x14ac:dyDescent="0.2">
      <c r="A14221" s="2" t="s">
        <v>3270</v>
      </c>
      <c r="B14221" s="2" t="s">
        <v>50</v>
      </c>
      <c r="C14221" s="2">
        <v>999.74570000000006</v>
      </c>
      <c r="D14221" s="2">
        <f>HYPERLINK("http://mcb-m6.bioreg.kyushu-u.ac.jp/M3/20110502/F51185/3025/1", 77.89)</f>
        <v>77.89</v>
      </c>
      <c r="E14221" s="2">
        <v>61.75</v>
      </c>
      <c r="F14221" s="2">
        <v>2</v>
      </c>
      <c r="G14221" s="2" t="s">
        <v>14</v>
      </c>
    </row>
    <row r="14222" spans="1:9" x14ac:dyDescent="0.2">
      <c r="A14222" s="2" t="s">
        <v>3270</v>
      </c>
      <c r="B14222" s="2" t="s">
        <v>1299</v>
      </c>
      <c r="C14222" s="2">
        <v>606.87070000000006</v>
      </c>
      <c r="D14222" s="2">
        <f>HYPERLINK("http://mcb-m6.bioreg.kyushu-u.ac.jp/M3/20110502/F51184/1046/1", 78.9)</f>
        <v>78.900000000000006</v>
      </c>
      <c r="E14222" s="2">
        <v>54.45</v>
      </c>
      <c r="F14222" s="2">
        <v>2</v>
      </c>
      <c r="G14222" s="2" t="s">
        <v>14</v>
      </c>
      <c r="I14222" s="2" t="s">
        <v>4890</v>
      </c>
    </row>
    <row r="14223" spans="1:9" x14ac:dyDescent="0.2">
      <c r="A14223" s="2" t="s">
        <v>3270</v>
      </c>
      <c r="B14223" s="2" t="s">
        <v>289</v>
      </c>
      <c r="C14223" s="2">
        <v>809.70119999999997</v>
      </c>
      <c r="D14223" s="2">
        <f>HYPERLINK("http://mcb-m6.bioreg.kyushu-u.ac.jp/M3/20110502/F51185/2239/1", 82.55)</f>
        <v>82.55</v>
      </c>
      <c r="E14223" s="2">
        <v>61.65</v>
      </c>
      <c r="F14223" s="2">
        <v>2</v>
      </c>
      <c r="G14223" s="2" t="s">
        <v>14</v>
      </c>
    </row>
    <row r="14224" spans="1:9" x14ac:dyDescent="0.2">
      <c r="A14224" s="2" t="s">
        <v>3270</v>
      </c>
      <c r="B14224" s="2" t="s">
        <v>1208</v>
      </c>
      <c r="C14224" s="2">
        <v>909.92219999999998</v>
      </c>
      <c r="D14224" s="2">
        <f>HYPERLINK("http://mcb-m6.bioreg.kyushu-u.ac.jp/M3/20110502/F51184/2845/1", 88.3)</f>
        <v>88.3</v>
      </c>
      <c r="E14224" s="2">
        <v>64.09</v>
      </c>
      <c r="F14224" s="2">
        <v>2</v>
      </c>
      <c r="G14224" s="2" t="s">
        <v>14</v>
      </c>
    </row>
    <row r="14225" spans="1:9" x14ac:dyDescent="0.2">
      <c r="A14225" s="2" t="s">
        <v>3270</v>
      </c>
      <c r="B14225" s="2" t="s">
        <v>3224</v>
      </c>
      <c r="C14225" s="2">
        <v>1475.663</v>
      </c>
      <c r="D14225" s="2">
        <f>HYPERLINK("http://mcb-m6.bioreg.kyushu-u.ac.jp/M3/20110502/F51184/4346/1", 89.89)</f>
        <v>89.89</v>
      </c>
      <c r="E14225" s="2">
        <v>85.39</v>
      </c>
      <c r="F14225" s="2">
        <v>2</v>
      </c>
      <c r="G14225" s="2" t="s">
        <v>14</v>
      </c>
      <c r="I14225" s="2" t="s">
        <v>4982</v>
      </c>
    </row>
    <row r="14226" spans="1:9" x14ac:dyDescent="0.2">
      <c r="A14226" s="2" t="s">
        <v>3270</v>
      </c>
      <c r="B14226" s="2" t="s">
        <v>2047</v>
      </c>
      <c r="C14226" s="2">
        <v>686.84270000000004</v>
      </c>
      <c r="D14226" s="2">
        <f>HYPERLINK("http://mcb-m6.bioreg.kyushu-u.ac.jp/M3/20110502/F51183/1576/1", 94.51)</f>
        <v>94.51</v>
      </c>
      <c r="E14226" s="2">
        <v>65.77</v>
      </c>
      <c r="F14226" s="2">
        <v>2</v>
      </c>
      <c r="G14226" s="2" t="s">
        <v>14</v>
      </c>
    </row>
    <row r="14227" spans="1:9" x14ac:dyDescent="0.2">
      <c r="A14227" s="2" t="s">
        <v>3270</v>
      </c>
      <c r="B14227" s="2" t="s">
        <v>2047</v>
      </c>
      <c r="C14227" s="2">
        <v>686.90369999999996</v>
      </c>
      <c r="D14227" s="2">
        <f>HYPERLINK("http://mcb-m6.bioreg.kyushu-u.ac.jp/M3/20110502/F51185/1565/1", 95.53)</f>
        <v>95.53</v>
      </c>
      <c r="E14227" s="2">
        <v>62.33</v>
      </c>
      <c r="F14227" s="2">
        <v>2</v>
      </c>
      <c r="G14227" s="2" t="s">
        <v>14</v>
      </c>
    </row>
    <row r="14228" spans="1:9" x14ac:dyDescent="0.2">
      <c r="A14228" s="2" t="s">
        <v>3270</v>
      </c>
      <c r="B14228" s="2" t="s">
        <v>2499</v>
      </c>
      <c r="C14228" s="2">
        <v>829.44320000000005</v>
      </c>
      <c r="D14228" s="2">
        <f>HYPERLINK("http://mcb-m6.bioreg.kyushu-u.ac.jp/M3/20110502/F51184/2397/1", 98.67)</f>
        <v>98.67</v>
      </c>
      <c r="E14228" s="2">
        <v>87.23</v>
      </c>
      <c r="F14228" s="2">
        <v>2</v>
      </c>
      <c r="G14228" s="2" t="s">
        <v>14</v>
      </c>
    </row>
    <row r="14229" spans="1:9" x14ac:dyDescent="0.2">
      <c r="A14229" s="2" t="s">
        <v>3270</v>
      </c>
      <c r="B14229" s="2" t="s">
        <v>2047</v>
      </c>
      <c r="C14229" s="2">
        <v>1371.9110000000001</v>
      </c>
      <c r="D14229" s="2">
        <f>HYPERLINK("http://mcb-m6.bioreg.kyushu-u.ac.jp/M3/20110502/F51184/1478/1", 100.1)</f>
        <v>100.1</v>
      </c>
      <c r="E14229" s="2">
        <v>74.28</v>
      </c>
      <c r="F14229" s="2">
        <v>1</v>
      </c>
      <c r="G14229" s="2" t="s">
        <v>14</v>
      </c>
    </row>
    <row r="14230" spans="1:9" x14ac:dyDescent="0.2">
      <c r="A14230" s="2" t="s">
        <v>3270</v>
      </c>
      <c r="B14230" s="2" t="s">
        <v>3224</v>
      </c>
      <c r="C14230" s="2">
        <v>1475.009</v>
      </c>
      <c r="D14230" s="2">
        <f>HYPERLINK("http://mcb-m6.bioreg.kyushu-u.ac.jp/M3/20110502/F51184/4344/1", 106.23)</f>
        <v>106.23</v>
      </c>
      <c r="E14230" s="2">
        <v>100.2</v>
      </c>
      <c r="F14230" s="2">
        <v>2</v>
      </c>
      <c r="G14230" s="2" t="s">
        <v>14</v>
      </c>
      <c r="I14230" s="2" t="s">
        <v>4982</v>
      </c>
    </row>
    <row r="14231" spans="1:9" x14ac:dyDescent="0.2">
      <c r="A14231" s="2" t="s">
        <v>3270</v>
      </c>
      <c r="B14231" s="2" t="s">
        <v>2491</v>
      </c>
      <c r="C14231" s="2">
        <v>873.70510000000002</v>
      </c>
      <c r="D14231" s="2">
        <f>HYPERLINK("http://mcb-m6.bioreg.kyushu-u.ac.jp/M3/20110502/F51184/2654/1", 106.92)</f>
        <v>106.92</v>
      </c>
      <c r="E14231" s="2">
        <v>77.77</v>
      </c>
      <c r="F14231" s="2">
        <v>2</v>
      </c>
      <c r="G14231" s="2" t="s">
        <v>14</v>
      </c>
    </row>
    <row r="14232" spans="1:9" x14ac:dyDescent="0.2">
      <c r="A14232" s="2" t="s">
        <v>3270</v>
      </c>
      <c r="B14232" s="2" t="s">
        <v>1208</v>
      </c>
      <c r="C14232" s="2">
        <v>909.41219999999998</v>
      </c>
      <c r="D14232" s="2">
        <f>HYPERLINK("http://mcb-m6.bioreg.kyushu-u.ac.jp/M3/20110502/F51184/2841/1", 115.59)</f>
        <v>115.59</v>
      </c>
      <c r="E14232" s="2">
        <v>98.92</v>
      </c>
      <c r="F14232" s="2">
        <v>2</v>
      </c>
      <c r="G14232" s="2" t="s">
        <v>14</v>
      </c>
    </row>
    <row r="14233" spans="1:9" x14ac:dyDescent="0.2">
      <c r="A14233" s="2" t="s">
        <v>3270</v>
      </c>
      <c r="B14233" s="2" t="s">
        <v>1208</v>
      </c>
      <c r="C14233" s="2">
        <v>909.69209999999998</v>
      </c>
      <c r="D14233" s="2">
        <f>HYPERLINK("http://mcb-m6.bioreg.kyushu-u.ac.jp/M3/20110502/F51185/2686/1", 121.05)</f>
        <v>121.05</v>
      </c>
      <c r="E14233" s="2">
        <v>103.65</v>
      </c>
      <c r="F14233" s="2">
        <v>2</v>
      </c>
      <c r="G14233" s="2" t="s">
        <v>14</v>
      </c>
    </row>
    <row r="14234" spans="1:9" x14ac:dyDescent="0.2">
      <c r="A14234" s="2" t="s">
        <v>4701</v>
      </c>
      <c r="B14234" s="2" t="s">
        <v>2880</v>
      </c>
      <c r="C14234" s="2">
        <v>542.57119999999998</v>
      </c>
      <c r="D14234" s="2">
        <f>HYPERLINK("http://mcb-m6.bioreg.kyushu-u.ac.jp/M3/20110502/F51180/876/1", 42.23)</f>
        <v>42.23</v>
      </c>
      <c r="E14234" s="2">
        <v>11.38</v>
      </c>
      <c r="F14234" s="2">
        <v>2</v>
      </c>
      <c r="G14234" s="2" t="s">
        <v>13</v>
      </c>
    </row>
    <row r="14235" spans="1:9" x14ac:dyDescent="0.2">
      <c r="A14235" s="2" t="s">
        <v>4701</v>
      </c>
      <c r="B14235" s="2" t="s">
        <v>3168</v>
      </c>
      <c r="C14235" s="2">
        <v>896.79570000000001</v>
      </c>
      <c r="D14235" s="2">
        <f>HYPERLINK("http://mcb-m6.bioreg.kyushu-u.ac.jp/M3/20110502/F51182/2781/1", 58.28)</f>
        <v>58.28</v>
      </c>
      <c r="E14235" s="2">
        <v>38.89</v>
      </c>
      <c r="F14235" s="2">
        <v>2</v>
      </c>
      <c r="G14235" s="2" t="s">
        <v>14</v>
      </c>
      <c r="H14235" s="2" t="s">
        <v>4919</v>
      </c>
    </row>
    <row r="14236" spans="1:9" x14ac:dyDescent="0.2">
      <c r="A14236" s="2" t="s">
        <v>3976</v>
      </c>
      <c r="B14236" s="2" t="s">
        <v>1221</v>
      </c>
      <c r="C14236" s="2">
        <v>964.48770000000002</v>
      </c>
      <c r="D14236" s="2">
        <f>HYPERLINK("http://mcb-m6.bioreg.kyushu-u.ac.jp/M3/20110411/F50916/2969/1", 67.92)</f>
        <v>67.92</v>
      </c>
      <c r="E14236" s="2">
        <v>49.29</v>
      </c>
      <c r="F14236" s="2">
        <v>2</v>
      </c>
      <c r="G14236" s="2" t="s">
        <v>9</v>
      </c>
    </row>
    <row r="14237" spans="1:9" x14ac:dyDescent="0.2">
      <c r="A14237" s="2" t="s">
        <v>3976</v>
      </c>
      <c r="B14237" s="2" t="s">
        <v>1221</v>
      </c>
      <c r="C14237" s="2">
        <v>963.99270000000001</v>
      </c>
      <c r="D14237" s="2">
        <f>HYPERLINK("http://mcb-m6.bioreg.kyushu-u.ac.jp/M3/20110411/F50918/2914/1", 56.34)</f>
        <v>56.34</v>
      </c>
      <c r="E14237" s="2">
        <v>44.7</v>
      </c>
      <c r="F14237" s="2">
        <v>2</v>
      </c>
      <c r="G14237" s="2" t="s">
        <v>10</v>
      </c>
    </row>
    <row r="14238" spans="1:9" x14ac:dyDescent="0.2">
      <c r="A14238" s="2" t="s">
        <v>3976</v>
      </c>
      <c r="B14238" s="2" t="s">
        <v>2013</v>
      </c>
      <c r="C14238" s="2">
        <v>690.90219999999999</v>
      </c>
      <c r="D14238" s="2">
        <f>HYPERLINK("http://mcb-m6.bioreg.kyushu-u.ac.jp/M3/20110411/F50918/1596/1", 61.71)</f>
        <v>61.71</v>
      </c>
      <c r="E14238" s="2">
        <v>42.28</v>
      </c>
      <c r="F14238" s="2">
        <v>2</v>
      </c>
      <c r="G14238" s="2" t="s">
        <v>10</v>
      </c>
    </row>
    <row r="14239" spans="1:9" x14ac:dyDescent="0.2">
      <c r="A14239" s="2" t="s">
        <v>3976</v>
      </c>
      <c r="B14239" s="2" t="s">
        <v>1221</v>
      </c>
      <c r="C14239" s="2">
        <v>964.60059999999999</v>
      </c>
      <c r="D14239" s="2">
        <f>HYPERLINK("http://mcb-m6.bioreg.kyushu-u.ac.jp/M3/20110411/F50918/2917/1", 75.86)</f>
        <v>75.86</v>
      </c>
      <c r="E14239" s="2">
        <v>52.99</v>
      </c>
      <c r="F14239" s="2">
        <v>2</v>
      </c>
      <c r="G14239" s="2" t="s">
        <v>10</v>
      </c>
    </row>
    <row r="14240" spans="1:9" x14ac:dyDescent="0.2">
      <c r="A14240" s="2" t="s">
        <v>3976</v>
      </c>
      <c r="B14240" s="2" t="s">
        <v>1221</v>
      </c>
      <c r="C14240" s="2">
        <v>964.37019999999995</v>
      </c>
      <c r="D14240" s="2">
        <f>HYPERLINK("http://mcb-m6.bioreg.kyushu-u.ac.jp/M3/20110414/F50959/3395/1", 44.83)</f>
        <v>44.83</v>
      </c>
      <c r="E14240" s="2">
        <v>31.82</v>
      </c>
      <c r="F14240" s="2">
        <v>2</v>
      </c>
      <c r="G14240" s="2" t="s">
        <v>12</v>
      </c>
    </row>
    <row r="14241" spans="1:9" x14ac:dyDescent="0.2">
      <c r="A14241" s="2" t="s">
        <v>3976</v>
      </c>
      <c r="B14241" s="2" t="s">
        <v>1221</v>
      </c>
      <c r="C14241" s="2">
        <v>963.78060000000005</v>
      </c>
      <c r="D14241" s="2">
        <f>HYPERLINK("http://mcb-m6.bioreg.kyushu-u.ac.jp/M3/20110414/F50959/3390/1", 75.07)</f>
        <v>75.069999999999993</v>
      </c>
      <c r="E14241" s="2">
        <v>61.75</v>
      </c>
      <c r="F14241" s="2">
        <v>2</v>
      </c>
      <c r="G14241" s="2" t="s">
        <v>12</v>
      </c>
    </row>
    <row r="14242" spans="1:9" x14ac:dyDescent="0.2">
      <c r="A14242" s="2" t="s">
        <v>3976</v>
      </c>
      <c r="B14242" s="2" t="s">
        <v>1221</v>
      </c>
      <c r="C14242" s="2">
        <v>964.52719999999999</v>
      </c>
      <c r="D14242" s="2">
        <f>HYPERLINK("http://mcb-m6.bioreg.kyushu-u.ac.jp/M3/20110502/F51184/3127/1", 86.46)</f>
        <v>86.46</v>
      </c>
      <c r="E14242" s="2">
        <v>63.13</v>
      </c>
      <c r="F14242" s="2">
        <v>2</v>
      </c>
      <c r="G14242" s="2" t="s">
        <v>14</v>
      </c>
    </row>
    <row r="14243" spans="1:9" x14ac:dyDescent="0.2">
      <c r="A14243" s="2" t="s">
        <v>3976</v>
      </c>
      <c r="B14243" s="2" t="s">
        <v>1221</v>
      </c>
      <c r="C14243" s="2">
        <v>964.35109999999997</v>
      </c>
      <c r="D14243" s="2">
        <f>HYPERLINK("http://mcb-m6.bioreg.kyushu-u.ac.jp/M3/20110502/F51194/2935/1", 98.35)</f>
        <v>98.35</v>
      </c>
      <c r="E14243" s="2">
        <v>79.09</v>
      </c>
      <c r="F14243" s="2">
        <v>2</v>
      </c>
      <c r="G14243" s="2" t="s">
        <v>14</v>
      </c>
    </row>
    <row r="14244" spans="1:9" x14ac:dyDescent="0.2">
      <c r="A14244" s="2" t="s">
        <v>3917</v>
      </c>
      <c r="B14244" s="2" t="s">
        <v>1091</v>
      </c>
      <c r="C14244" s="2">
        <v>777.8777</v>
      </c>
      <c r="D14244" s="2">
        <f>HYPERLINK("http://mcb-m6.bioreg.kyushu-u.ac.jp/M3/20110411/F50916/2095/1", 62.43)</f>
        <v>62.43</v>
      </c>
      <c r="E14244" s="2">
        <v>39.200000000000003</v>
      </c>
      <c r="F14244" s="2">
        <v>2</v>
      </c>
      <c r="G14244" s="2" t="s">
        <v>9</v>
      </c>
    </row>
    <row r="14245" spans="1:9" x14ac:dyDescent="0.2">
      <c r="A14245" s="2" t="s">
        <v>3917</v>
      </c>
      <c r="B14245" s="2" t="s">
        <v>1618</v>
      </c>
      <c r="C14245" s="2">
        <v>937.44960000000003</v>
      </c>
      <c r="D14245" s="2">
        <f>HYPERLINK("http://mcb-m6.bioreg.kyushu-u.ac.jp/M3/20110411/F50916/2872/1", 101.67)</f>
        <v>101.67</v>
      </c>
      <c r="E14245" s="2">
        <v>87.64</v>
      </c>
      <c r="F14245" s="2">
        <v>2</v>
      </c>
      <c r="G14245" s="2" t="s">
        <v>9</v>
      </c>
    </row>
    <row r="14246" spans="1:9" x14ac:dyDescent="0.2">
      <c r="A14246" s="2" t="s">
        <v>3917</v>
      </c>
      <c r="B14246" s="2" t="s">
        <v>2342</v>
      </c>
      <c r="C14246" s="2">
        <v>801.29520000000002</v>
      </c>
      <c r="D14246" s="2">
        <f>HYPERLINK("http://mcb-m6.bioreg.kyushu-u.ac.jp/M3/20110414/F50957/2294/1", 48.7)</f>
        <v>48.7</v>
      </c>
      <c r="E14246" s="2">
        <v>31.53</v>
      </c>
      <c r="F14246" s="2">
        <v>2</v>
      </c>
      <c r="G14246" s="2" t="s">
        <v>11</v>
      </c>
    </row>
    <row r="14247" spans="1:9" x14ac:dyDescent="0.2">
      <c r="A14247" s="2" t="s">
        <v>3917</v>
      </c>
      <c r="B14247" s="2" t="s">
        <v>2342</v>
      </c>
      <c r="C14247" s="2">
        <v>800.75819999999999</v>
      </c>
      <c r="D14247" s="2">
        <f>HYPERLINK("http://mcb-m6.bioreg.kyushu-u.ac.jp/M3/20110414/F50957/2291/1", 72.71)</f>
        <v>72.709999999999994</v>
      </c>
      <c r="E14247" s="2">
        <v>56.62</v>
      </c>
      <c r="F14247" s="2">
        <v>2</v>
      </c>
      <c r="G14247" s="2" t="s">
        <v>11</v>
      </c>
    </row>
    <row r="14248" spans="1:9" x14ac:dyDescent="0.2">
      <c r="A14248" s="2" t="s">
        <v>3917</v>
      </c>
      <c r="B14248" s="2" t="s">
        <v>1618</v>
      </c>
      <c r="C14248" s="2">
        <v>937.79470000000003</v>
      </c>
      <c r="D14248" s="2">
        <f>HYPERLINK("http://mcb-m6.bioreg.kyushu-u.ac.jp/M3/20110414/F50957/3112/1", 102.95)</f>
        <v>102.95</v>
      </c>
      <c r="E14248" s="2">
        <v>93.4</v>
      </c>
      <c r="F14248" s="2">
        <v>2</v>
      </c>
      <c r="G14248" s="2" t="s">
        <v>11</v>
      </c>
    </row>
    <row r="14249" spans="1:9" x14ac:dyDescent="0.2">
      <c r="A14249" s="2" t="s">
        <v>3917</v>
      </c>
      <c r="B14249" s="2" t="s">
        <v>2342</v>
      </c>
      <c r="C14249" s="2">
        <v>801.11360000000002</v>
      </c>
      <c r="D14249" s="2">
        <f>HYPERLINK("http://mcb-m6.bioreg.kyushu-u.ac.jp/M3/20110502/F51184/2219/1", 39.51)</f>
        <v>39.51</v>
      </c>
      <c r="E14249" s="2">
        <v>28.26</v>
      </c>
      <c r="F14249" s="2">
        <v>2</v>
      </c>
      <c r="G14249" s="2" t="s">
        <v>14</v>
      </c>
    </row>
    <row r="14250" spans="1:9" x14ac:dyDescent="0.2">
      <c r="A14250" s="2" t="s">
        <v>3917</v>
      </c>
      <c r="B14250" s="2" t="s">
        <v>3043</v>
      </c>
      <c r="C14250" s="2">
        <v>529.9357</v>
      </c>
      <c r="D14250" s="2">
        <f>HYPERLINK("http://mcb-m6.bioreg.kyushu-u.ac.jp/M3/20110502/F51194/743/1", 39.59)</f>
        <v>39.590000000000003</v>
      </c>
      <c r="E14250" s="2">
        <v>21.15</v>
      </c>
      <c r="F14250" s="2">
        <v>2</v>
      </c>
      <c r="G14250" s="2" t="s">
        <v>14</v>
      </c>
    </row>
    <row r="14251" spans="1:9" x14ac:dyDescent="0.2">
      <c r="A14251" s="2" t="s">
        <v>3917</v>
      </c>
      <c r="B14251" s="2" t="s">
        <v>3120</v>
      </c>
      <c r="C14251" s="2">
        <v>559.90219999999999</v>
      </c>
      <c r="D14251" s="2">
        <f>HYPERLINK("http://mcb-m6.bioreg.kyushu-u.ac.jp/M3/20110502/F51194/872/1", 47.46)</f>
        <v>47.46</v>
      </c>
      <c r="E14251" s="2">
        <v>18.79</v>
      </c>
      <c r="F14251" s="2">
        <v>2</v>
      </c>
      <c r="G14251" s="2" t="s">
        <v>14</v>
      </c>
      <c r="I14251" s="2" t="s">
        <v>4899</v>
      </c>
    </row>
    <row r="14252" spans="1:9" x14ac:dyDescent="0.2">
      <c r="A14252" s="2" t="s">
        <v>3917</v>
      </c>
      <c r="B14252" s="2" t="s">
        <v>2342</v>
      </c>
      <c r="C14252" s="2">
        <v>800.95420000000001</v>
      </c>
      <c r="D14252" s="2">
        <f>HYPERLINK("http://mcb-m6.bioreg.kyushu-u.ac.jp/M3/20110502/F51194/2152/1", 72.9)</f>
        <v>72.900000000000006</v>
      </c>
      <c r="E14252" s="2">
        <v>62.12</v>
      </c>
      <c r="F14252" s="2">
        <v>2</v>
      </c>
      <c r="G14252" s="2" t="s">
        <v>14</v>
      </c>
    </row>
    <row r="14253" spans="1:9" x14ac:dyDescent="0.2">
      <c r="A14253" s="2" t="s">
        <v>3917</v>
      </c>
      <c r="B14253" s="2" t="s">
        <v>1618</v>
      </c>
      <c r="C14253" s="2">
        <v>937.79219999999998</v>
      </c>
      <c r="D14253" s="2">
        <f>HYPERLINK("http://mcb-m6.bioreg.kyushu-u.ac.jp/M3/20110502/F51184/2998/1", 95.29)</f>
        <v>95.29</v>
      </c>
      <c r="E14253" s="2">
        <v>83.52</v>
      </c>
      <c r="F14253" s="2">
        <v>2</v>
      </c>
      <c r="G14253" s="2" t="s">
        <v>14</v>
      </c>
    </row>
    <row r="14254" spans="1:9" x14ac:dyDescent="0.2">
      <c r="A14254" s="2" t="s">
        <v>3917</v>
      </c>
      <c r="B14254" s="2" t="s">
        <v>1618</v>
      </c>
      <c r="C14254" s="2">
        <v>937.51419999999996</v>
      </c>
      <c r="D14254" s="2">
        <f>HYPERLINK("http://mcb-m6.bioreg.kyushu-u.ac.jp/M3/20110502/F51194/2811/1", 112.49)</f>
        <v>112.49</v>
      </c>
      <c r="E14254" s="2">
        <v>99.08</v>
      </c>
      <c r="F14254" s="2">
        <v>2</v>
      </c>
      <c r="G14254" s="2" t="s">
        <v>14</v>
      </c>
    </row>
    <row r="14255" spans="1:9" x14ac:dyDescent="0.2">
      <c r="A14255" s="2" t="s">
        <v>4561</v>
      </c>
      <c r="B14255" s="2" t="s">
        <v>2598</v>
      </c>
      <c r="C14255" s="2">
        <v>1045.162</v>
      </c>
      <c r="D14255" s="2">
        <f>HYPERLINK("http://mcb-m6.bioreg.kyushu-u.ac.jp/M3/20110414/F50949/1730/1", 40.77)</f>
        <v>40.770000000000003</v>
      </c>
      <c r="E14255" s="2">
        <v>17.190000000000001</v>
      </c>
      <c r="F14255" s="2">
        <v>1</v>
      </c>
      <c r="G14255" s="2" t="s">
        <v>12</v>
      </c>
    </row>
    <row r="14256" spans="1:9" x14ac:dyDescent="0.2">
      <c r="A14256" s="2" t="s">
        <v>3669</v>
      </c>
      <c r="B14256" s="2" t="s">
        <v>611</v>
      </c>
      <c r="C14256" s="2">
        <v>729.90470000000005</v>
      </c>
      <c r="D14256" s="2">
        <f>HYPERLINK("http://mcb-m6.bioreg.kyushu-u.ac.jp/M3/20110411/F50890/2126/1", 46.14)</f>
        <v>46.14</v>
      </c>
      <c r="E14256" s="2">
        <v>33.090000000000003</v>
      </c>
      <c r="F14256" s="2">
        <v>2</v>
      </c>
      <c r="G14256" s="2" t="s">
        <v>9</v>
      </c>
    </row>
    <row r="14257" spans="1:9" x14ac:dyDescent="0.2">
      <c r="A14257" s="2" t="s">
        <v>3669</v>
      </c>
      <c r="B14257" s="2" t="s">
        <v>1451</v>
      </c>
      <c r="C14257" s="2">
        <v>663.79470000000003</v>
      </c>
      <c r="D14257" s="2">
        <f>HYPERLINK("http://mcb-m6.bioreg.kyushu-u.ac.jp/M3/20110411/F50890/1763/1", 81.39)</f>
        <v>81.39</v>
      </c>
      <c r="E14257" s="2">
        <v>63.84</v>
      </c>
      <c r="F14257" s="2">
        <v>2</v>
      </c>
      <c r="G14257" s="2" t="s">
        <v>9</v>
      </c>
      <c r="I14257" s="2" t="s">
        <v>4918</v>
      </c>
    </row>
    <row r="14258" spans="1:9" x14ac:dyDescent="0.2">
      <c r="A14258" s="2" t="s">
        <v>3669</v>
      </c>
      <c r="B14258" s="2" t="s">
        <v>2108</v>
      </c>
      <c r="C14258" s="2">
        <v>624.46619999999996</v>
      </c>
      <c r="D14258" s="2">
        <f>HYPERLINK("http://mcb-m6.bioreg.kyushu-u.ac.jp/M3/20110411/F50897/1444/1", 83.64)</f>
        <v>83.64</v>
      </c>
      <c r="E14258" s="2">
        <v>62.21</v>
      </c>
      <c r="F14258" s="2">
        <v>2</v>
      </c>
      <c r="G14258" s="2" t="s">
        <v>10</v>
      </c>
    </row>
    <row r="14259" spans="1:9" x14ac:dyDescent="0.2">
      <c r="A14259" s="2" t="s">
        <v>3669</v>
      </c>
      <c r="B14259" s="2" t="s">
        <v>2108</v>
      </c>
      <c r="C14259" s="2">
        <v>624.84270000000004</v>
      </c>
      <c r="D14259" s="2">
        <f>HYPERLINK("http://mcb-m6.bioreg.kyushu-u.ac.jp/M3/20110502/F51168/1637/1", 60.38)</f>
        <v>60.38</v>
      </c>
      <c r="E14259" s="2">
        <v>42.24</v>
      </c>
      <c r="F14259" s="2">
        <v>2</v>
      </c>
      <c r="G14259" s="2" t="s">
        <v>13</v>
      </c>
    </row>
    <row r="14260" spans="1:9" x14ac:dyDescent="0.2">
      <c r="A14260" s="2" t="s">
        <v>3669</v>
      </c>
      <c r="B14260" s="2" t="s">
        <v>1451</v>
      </c>
      <c r="C14260" s="2">
        <v>664.0856</v>
      </c>
      <c r="D14260" s="2">
        <f>HYPERLINK("http://mcb-m6.bioreg.kyushu-u.ac.jp/M3/20110502/F51177/1336/1", 58.08)</f>
        <v>58.08</v>
      </c>
      <c r="E14260" s="2">
        <v>32.99</v>
      </c>
      <c r="F14260" s="2">
        <v>2</v>
      </c>
      <c r="G14260" s="2" t="s">
        <v>14</v>
      </c>
      <c r="I14260" s="2" t="s">
        <v>4918</v>
      </c>
    </row>
    <row r="14261" spans="1:9" x14ac:dyDescent="0.2">
      <c r="A14261" s="2" t="s">
        <v>3669</v>
      </c>
      <c r="B14261" s="2" t="s">
        <v>3184</v>
      </c>
      <c r="C14261" s="2">
        <v>734.14170000000001</v>
      </c>
      <c r="D14261" s="2">
        <f>HYPERLINK("http://mcb-m6.bioreg.kyushu-u.ac.jp/M3/20110502/F51177/1789/1", 64.46)</f>
        <v>64.459999999999994</v>
      </c>
      <c r="E14261" s="2">
        <v>46.01</v>
      </c>
      <c r="F14261" s="2">
        <v>2</v>
      </c>
      <c r="G14261" s="2" t="s">
        <v>14</v>
      </c>
    </row>
    <row r="14262" spans="1:9" x14ac:dyDescent="0.2">
      <c r="A14262" s="2" t="s">
        <v>3940</v>
      </c>
      <c r="B14262" s="2" t="s">
        <v>1138</v>
      </c>
      <c r="C14262" s="2">
        <v>923.37869999999998</v>
      </c>
      <c r="D14262" s="2">
        <f>HYPERLINK("http://mcb-m6.bioreg.kyushu-u.ac.jp/M3/20110411/F50903/2846/1", 64.64)</f>
        <v>64.64</v>
      </c>
      <c r="E14262" s="2">
        <v>46.17</v>
      </c>
      <c r="F14262" s="2">
        <v>2</v>
      </c>
      <c r="G14262" s="2" t="s">
        <v>9</v>
      </c>
    </row>
    <row r="14263" spans="1:9" x14ac:dyDescent="0.2">
      <c r="A14263" s="2" t="s">
        <v>3940</v>
      </c>
      <c r="B14263" s="2" t="s">
        <v>1138</v>
      </c>
      <c r="C14263" s="2">
        <v>923.02620000000002</v>
      </c>
      <c r="D14263" s="2">
        <f>HYPERLINK("http://mcb-m6.bioreg.kyushu-u.ac.jp/M3/20110411/F50920/2384/1", 74.33)</f>
        <v>74.33</v>
      </c>
      <c r="E14263" s="2">
        <v>60.6</v>
      </c>
      <c r="F14263" s="2">
        <v>2</v>
      </c>
      <c r="G14263" s="2" t="s">
        <v>10</v>
      </c>
    </row>
    <row r="14264" spans="1:9" x14ac:dyDescent="0.2">
      <c r="A14264" s="2" t="s">
        <v>3940</v>
      </c>
      <c r="B14264" s="2" t="s">
        <v>2138</v>
      </c>
      <c r="C14264" s="2">
        <v>877.99220000000003</v>
      </c>
      <c r="D14264" s="2">
        <f>HYPERLINK("http://mcb-m6.bioreg.kyushu-u.ac.jp/M3/20110411/F50920/2186/1", 109.02)</f>
        <v>109.02</v>
      </c>
      <c r="E14264" s="2">
        <v>93.96</v>
      </c>
      <c r="F14264" s="2">
        <v>2</v>
      </c>
      <c r="G14264" s="2" t="s">
        <v>10</v>
      </c>
    </row>
    <row r="14265" spans="1:9" x14ac:dyDescent="0.2">
      <c r="A14265" s="2" t="s">
        <v>3940</v>
      </c>
      <c r="B14265" s="2" t="s">
        <v>1138</v>
      </c>
      <c r="C14265" s="2">
        <v>922.80269999999996</v>
      </c>
      <c r="D14265" s="2">
        <f>HYPERLINK("http://mcb-m6.bioreg.kyushu-u.ac.jp/M3/20110414/F50924/2879/1", 78.65)</f>
        <v>78.650000000000006</v>
      </c>
      <c r="E14265" s="2">
        <v>59.48</v>
      </c>
      <c r="F14265" s="2">
        <v>2</v>
      </c>
      <c r="G14265" s="2" t="s">
        <v>11</v>
      </c>
    </row>
    <row r="14266" spans="1:9" x14ac:dyDescent="0.2">
      <c r="A14266" s="2" t="s">
        <v>4083</v>
      </c>
      <c r="B14266" s="2" t="s">
        <v>1502</v>
      </c>
      <c r="C14266" s="2">
        <v>915.62070000000006</v>
      </c>
      <c r="D14266" s="2">
        <f>HYPERLINK("http://mcb-m6.bioreg.kyushu-u.ac.jp/M3/20110411/F50895/2901/1", 86.69)</f>
        <v>86.69</v>
      </c>
      <c r="E14266" s="2">
        <v>62.98</v>
      </c>
      <c r="F14266" s="2">
        <v>2</v>
      </c>
      <c r="G14266" s="2" t="s">
        <v>9</v>
      </c>
    </row>
    <row r="14267" spans="1:9" x14ac:dyDescent="0.2">
      <c r="A14267" s="2" t="s">
        <v>3888</v>
      </c>
      <c r="B14267" s="2" t="s">
        <v>1029</v>
      </c>
      <c r="C14267" s="2">
        <v>611.89369999999997</v>
      </c>
      <c r="D14267" s="2">
        <f>HYPERLINK("http://mcb-m6.bioreg.kyushu-u.ac.jp/M3/20110411/F50892/1691/1", 59.45)</f>
        <v>59.45</v>
      </c>
      <c r="E14267" s="2">
        <v>40.5</v>
      </c>
      <c r="F14267" s="2">
        <v>2</v>
      </c>
      <c r="G14267" s="2" t="s">
        <v>9</v>
      </c>
    </row>
    <row r="14268" spans="1:9" x14ac:dyDescent="0.2">
      <c r="A14268" s="2" t="s">
        <v>3888</v>
      </c>
      <c r="B14268" s="2" t="s">
        <v>1318</v>
      </c>
      <c r="C14268" s="2">
        <v>890.01319999999998</v>
      </c>
      <c r="D14268" s="2">
        <f>HYPERLINK("http://mcb-m6.bioreg.kyushu-u.ac.jp/M3/20110411/F50892/2798/1", 72.73)</f>
        <v>72.73</v>
      </c>
      <c r="E14268" s="2">
        <v>44.96</v>
      </c>
      <c r="F14268" s="2">
        <v>2</v>
      </c>
      <c r="G14268" s="2" t="s">
        <v>9</v>
      </c>
      <c r="I14268" s="2" t="s">
        <v>4909</v>
      </c>
    </row>
    <row r="14269" spans="1:9" x14ac:dyDescent="0.2">
      <c r="A14269" s="2" t="s">
        <v>3888</v>
      </c>
      <c r="B14269" s="2" t="s">
        <v>1029</v>
      </c>
      <c r="C14269" s="2">
        <v>611.6277</v>
      </c>
      <c r="D14269" s="2">
        <f>HYPERLINK("http://mcb-m6.bioreg.kyushu-u.ac.jp/M3/20110414/F50929/1838/1", 54.82)</f>
        <v>54.82</v>
      </c>
      <c r="E14269" s="2">
        <v>34.229999999999997</v>
      </c>
      <c r="F14269" s="2">
        <v>2</v>
      </c>
      <c r="G14269" s="2" t="s">
        <v>11</v>
      </c>
    </row>
    <row r="14270" spans="1:9" x14ac:dyDescent="0.2">
      <c r="A14270" s="2" t="s">
        <v>3888</v>
      </c>
      <c r="B14270" s="2" t="s">
        <v>1029</v>
      </c>
      <c r="C14270" s="2">
        <v>612.09720000000004</v>
      </c>
      <c r="D14270" s="2">
        <f>HYPERLINK("http://mcb-m6.bioreg.kyushu-u.ac.jp/M3/20110502/F51180/1180/1", 66.52)</f>
        <v>66.52</v>
      </c>
      <c r="E14270" s="2">
        <v>45.77</v>
      </c>
      <c r="F14270" s="2">
        <v>2</v>
      </c>
      <c r="G14270" s="2" t="s">
        <v>13</v>
      </c>
    </row>
    <row r="14271" spans="1:9" x14ac:dyDescent="0.2">
      <c r="A14271" s="2" t="s">
        <v>3888</v>
      </c>
      <c r="B14271" s="2" t="s">
        <v>1318</v>
      </c>
      <c r="C14271" s="2">
        <v>889.65309999999999</v>
      </c>
      <c r="D14271" s="2">
        <f>HYPERLINK("http://mcb-m6.bioreg.kyushu-u.ac.jp/M3/20110502/F51180/2570/1", 74.55)</f>
        <v>74.55</v>
      </c>
      <c r="E14271" s="2">
        <v>39.04</v>
      </c>
      <c r="F14271" s="2">
        <v>2</v>
      </c>
      <c r="G14271" s="2" t="s">
        <v>13</v>
      </c>
      <c r="I14271" s="2" t="s">
        <v>4909</v>
      </c>
    </row>
    <row r="14272" spans="1:9" x14ac:dyDescent="0.2">
      <c r="A14272" s="2" t="s">
        <v>3888</v>
      </c>
      <c r="B14272" s="2" t="s">
        <v>1029</v>
      </c>
      <c r="C14272" s="2">
        <v>612.07320000000004</v>
      </c>
      <c r="D14272" s="2">
        <f>HYPERLINK("http://mcb-m6.bioreg.kyushu-u.ac.jp/M3/20110502/F51177/1153/1", 41.04)</f>
        <v>41.04</v>
      </c>
      <c r="E14272" s="2">
        <v>21.02</v>
      </c>
      <c r="F14272" s="2">
        <v>2</v>
      </c>
      <c r="G14272" s="2" t="s">
        <v>14</v>
      </c>
    </row>
    <row r="14273" spans="1:9" x14ac:dyDescent="0.2">
      <c r="A14273" s="2" t="s">
        <v>3888</v>
      </c>
      <c r="B14273" s="2" t="s">
        <v>1029</v>
      </c>
      <c r="C14273" s="2">
        <v>612.16359999999997</v>
      </c>
      <c r="D14273" s="2">
        <f>HYPERLINK("http://mcb-m6.bioreg.kyushu-u.ac.jp/M3/20110502/F51182/1185/1", 73.46)</f>
        <v>73.459999999999994</v>
      </c>
      <c r="E14273" s="2">
        <v>49.8</v>
      </c>
      <c r="F14273" s="2">
        <v>2</v>
      </c>
      <c r="G14273" s="2" t="s">
        <v>14</v>
      </c>
    </row>
    <row r="14274" spans="1:9" x14ac:dyDescent="0.2">
      <c r="A14274" s="2" t="s">
        <v>3975</v>
      </c>
      <c r="B14274" s="2" t="s">
        <v>1219</v>
      </c>
      <c r="C14274" s="2">
        <v>622.82709999999997</v>
      </c>
      <c r="D14274" s="2">
        <f>HYPERLINK("http://mcb-m6.bioreg.kyushu-u.ac.jp/M3/20110411/F50892/1733/1", 67.87)</f>
        <v>67.87</v>
      </c>
      <c r="E14274" s="2">
        <v>36.119999999999997</v>
      </c>
      <c r="F14274" s="2">
        <v>2</v>
      </c>
      <c r="G14274" s="2" t="s">
        <v>9</v>
      </c>
    </row>
    <row r="14275" spans="1:9" x14ac:dyDescent="0.2">
      <c r="A14275" s="2" t="s">
        <v>3975</v>
      </c>
      <c r="B14275" s="2" t="s">
        <v>1219</v>
      </c>
      <c r="C14275" s="2">
        <v>622.69420000000002</v>
      </c>
      <c r="D14275" s="2">
        <f>HYPERLINK("http://mcb-m6.bioreg.kyushu-u.ac.jp/M3/20110414/F50929/1875/1", 61.27)</f>
        <v>61.27</v>
      </c>
      <c r="E14275" s="2">
        <v>31.24</v>
      </c>
      <c r="F14275" s="2">
        <v>2</v>
      </c>
      <c r="G14275" s="2" t="s">
        <v>11</v>
      </c>
    </row>
    <row r="14276" spans="1:9" x14ac:dyDescent="0.2">
      <c r="A14276" s="2" t="s">
        <v>3840</v>
      </c>
      <c r="B14276" s="2" t="s">
        <v>926</v>
      </c>
      <c r="C14276" s="2">
        <v>711.78020000000004</v>
      </c>
      <c r="D14276" s="2">
        <f>HYPERLINK("http://mcb-m6.bioreg.kyushu-u.ac.jp/M3/20110411/F50892/2070/1", 55.86)</f>
        <v>55.86</v>
      </c>
      <c r="E14276" s="2">
        <v>38.159999999999997</v>
      </c>
      <c r="F14276" s="2">
        <v>2</v>
      </c>
      <c r="G14276" s="2" t="s">
        <v>9</v>
      </c>
    </row>
    <row r="14277" spans="1:9" x14ac:dyDescent="0.2">
      <c r="A14277" s="2" t="s">
        <v>3840</v>
      </c>
      <c r="B14277" s="2" t="s">
        <v>2272</v>
      </c>
      <c r="C14277" s="2">
        <v>1096.298</v>
      </c>
      <c r="D14277" s="2">
        <f>HYPERLINK("http://mcb-m6.bioreg.kyushu-u.ac.jp/M3/20110414/F50929/1650/1", 41.92)</f>
        <v>41.92</v>
      </c>
      <c r="E14277" s="2">
        <v>18.2</v>
      </c>
      <c r="F14277" s="2">
        <v>1</v>
      </c>
      <c r="G14277" s="2" t="s">
        <v>11</v>
      </c>
      <c r="I14277" s="2" t="s">
        <v>4903</v>
      </c>
    </row>
    <row r="14278" spans="1:9" x14ac:dyDescent="0.2">
      <c r="A14278" s="2" t="s">
        <v>3840</v>
      </c>
      <c r="B14278" s="2" t="s">
        <v>2272</v>
      </c>
      <c r="C14278" s="2">
        <v>1096.5419999999999</v>
      </c>
      <c r="D14278" s="2">
        <f>HYPERLINK("http://mcb-m6.bioreg.kyushu-u.ac.jp/M3/20110414/F50934/1819/1", 44.02)</f>
        <v>44.02</v>
      </c>
      <c r="E14278" s="2">
        <v>23.85</v>
      </c>
      <c r="F14278" s="2">
        <v>1</v>
      </c>
      <c r="G14278" s="2" t="s">
        <v>12</v>
      </c>
      <c r="I14278" s="2" t="s">
        <v>4903</v>
      </c>
    </row>
    <row r="14279" spans="1:9" x14ac:dyDescent="0.2">
      <c r="A14279" s="2" t="s">
        <v>3746</v>
      </c>
      <c r="B14279" s="2" t="s">
        <v>753</v>
      </c>
      <c r="C14279" s="2">
        <v>488.46359999999999</v>
      </c>
      <c r="D14279" s="2">
        <f>HYPERLINK("http://mcb-m6.bioreg.kyushu-u.ac.jp/M3/20110411/F50905/927/1", 50.16)</f>
        <v>50.16</v>
      </c>
      <c r="E14279" s="2">
        <v>26.58</v>
      </c>
      <c r="F14279" s="2">
        <v>2</v>
      </c>
      <c r="G14279" s="2" t="s">
        <v>9</v>
      </c>
    </row>
    <row r="14280" spans="1:9" x14ac:dyDescent="0.2">
      <c r="A14280" s="2" t="s">
        <v>3746</v>
      </c>
      <c r="B14280" s="2" t="s">
        <v>1514</v>
      </c>
      <c r="C14280" s="2">
        <v>994.60419999999999</v>
      </c>
      <c r="D14280" s="2">
        <f>HYPERLINK("http://mcb-m6.bioreg.kyushu-u.ac.jp/M3/20110411/F50905/3256/1", 87.5)</f>
        <v>87.5</v>
      </c>
      <c r="E14280" s="2">
        <v>72.8</v>
      </c>
      <c r="F14280" s="2">
        <v>2</v>
      </c>
      <c r="G14280" s="2" t="s">
        <v>9</v>
      </c>
    </row>
    <row r="14281" spans="1:9" x14ac:dyDescent="0.2">
      <c r="A14281" s="2" t="s">
        <v>3746</v>
      </c>
      <c r="B14281" s="2" t="s">
        <v>2718</v>
      </c>
      <c r="C14281" s="2">
        <v>718.38019999999995</v>
      </c>
      <c r="D14281" s="2">
        <f>HYPERLINK("http://mcb-m6.bioreg.kyushu-u.ac.jp/M3/20110414/F50947/1803/1", 62.93)</f>
        <v>62.93</v>
      </c>
      <c r="E14281" s="2">
        <v>45.18</v>
      </c>
      <c r="F14281" s="2">
        <v>2</v>
      </c>
      <c r="G14281" s="2" t="s">
        <v>12</v>
      </c>
    </row>
    <row r="14282" spans="1:9" x14ac:dyDescent="0.2">
      <c r="A14282" s="2" t="s">
        <v>3746</v>
      </c>
      <c r="B14282" s="2" t="s">
        <v>1514</v>
      </c>
      <c r="C14282" s="2">
        <v>995.01419999999996</v>
      </c>
      <c r="D14282" s="2">
        <f>HYPERLINK("http://mcb-m6.bioreg.kyushu-u.ac.jp/M3/20110414/F50947/3415/1", 77.92)</f>
        <v>77.92</v>
      </c>
      <c r="E14282" s="2">
        <v>57.7</v>
      </c>
      <c r="F14282" s="2">
        <v>2</v>
      </c>
      <c r="G14282" s="2" t="s">
        <v>12</v>
      </c>
    </row>
    <row r="14283" spans="1:9" x14ac:dyDescent="0.2">
      <c r="A14283" s="2" t="s">
        <v>3746</v>
      </c>
      <c r="B14283" s="2" t="s">
        <v>1514</v>
      </c>
      <c r="C14283" s="2">
        <v>995.03219999999999</v>
      </c>
      <c r="D14283" s="2">
        <f>HYPERLINK("http://mcb-m6.bioreg.kyushu-u.ac.jp/M3/20110502/F51170/3235/1", 70.42)</f>
        <v>70.42</v>
      </c>
      <c r="E14283" s="2">
        <v>63.59</v>
      </c>
      <c r="F14283" s="2">
        <v>2</v>
      </c>
      <c r="G14283" s="2" t="s">
        <v>13</v>
      </c>
    </row>
    <row r="14284" spans="1:9" x14ac:dyDescent="0.2">
      <c r="A14284" s="2" t="s">
        <v>3746</v>
      </c>
      <c r="B14284" s="2" t="s">
        <v>1514</v>
      </c>
      <c r="C14284" s="2">
        <v>994.63070000000005</v>
      </c>
      <c r="D14284" s="2">
        <f>HYPERLINK("http://mcb-m6.bioreg.kyushu-u.ac.jp/M3/20110502/F51179/3089/1", 69.4)</f>
        <v>69.400000000000006</v>
      </c>
      <c r="E14284" s="2">
        <v>49.32</v>
      </c>
      <c r="F14284" s="2">
        <v>2</v>
      </c>
      <c r="G14284" s="2" t="s">
        <v>14</v>
      </c>
    </row>
    <row r="14285" spans="1:9" x14ac:dyDescent="0.2">
      <c r="A14285" s="2" t="s">
        <v>3807</v>
      </c>
      <c r="B14285" s="2" t="s">
        <v>865</v>
      </c>
      <c r="C14285" s="2">
        <v>651.30909999999994</v>
      </c>
      <c r="D14285" s="2">
        <f>HYPERLINK("http://mcb-m6.bioreg.kyushu-u.ac.jp/M3/20110411/F50889/1987/1", 53.9)</f>
        <v>53.9</v>
      </c>
      <c r="E14285" s="2">
        <v>35.450000000000003</v>
      </c>
      <c r="F14285" s="2">
        <v>2</v>
      </c>
      <c r="G14285" s="2" t="s">
        <v>9</v>
      </c>
    </row>
    <row r="14286" spans="1:9" x14ac:dyDescent="0.2">
      <c r="A14286" s="2" t="s">
        <v>3807</v>
      </c>
      <c r="B14286" s="2" t="s">
        <v>865</v>
      </c>
      <c r="C14286" s="2">
        <v>651.46870000000001</v>
      </c>
      <c r="D14286" s="2">
        <f>HYPERLINK("http://mcb-m6.bioreg.kyushu-u.ac.jp/M3/20110411/F50904/1623/1", 67.6)</f>
        <v>67.599999999999994</v>
      </c>
      <c r="E14286" s="2">
        <v>35.090000000000003</v>
      </c>
      <c r="F14286" s="2">
        <v>2</v>
      </c>
      <c r="G14286" s="2" t="s">
        <v>9</v>
      </c>
    </row>
    <row r="14287" spans="1:9" x14ac:dyDescent="0.2">
      <c r="A14287" s="2" t="s">
        <v>3807</v>
      </c>
      <c r="B14287" s="2" t="s">
        <v>865</v>
      </c>
      <c r="C14287" s="2">
        <v>651.47969999999998</v>
      </c>
      <c r="D14287" s="2">
        <f>HYPERLINK("http://mcb-m6.bioreg.kyushu-u.ac.jp/M3/20110411/F50912/1632/1", 41.59)</f>
        <v>41.59</v>
      </c>
      <c r="E14287" s="2">
        <v>20.420000000000002</v>
      </c>
      <c r="F14287" s="2">
        <v>2</v>
      </c>
      <c r="G14287" s="2" t="s">
        <v>10</v>
      </c>
    </row>
    <row r="14288" spans="1:9" x14ac:dyDescent="0.2">
      <c r="A14288" s="2" t="s">
        <v>3807</v>
      </c>
      <c r="B14288" s="2" t="s">
        <v>865</v>
      </c>
      <c r="C14288" s="2">
        <v>651.33069999999998</v>
      </c>
      <c r="D14288" s="2">
        <f>HYPERLINK("http://mcb-m6.bioreg.kyushu-u.ac.jp/M3/20110411/F50920/1160/1", 62.45)</f>
        <v>62.45</v>
      </c>
      <c r="E14288" s="2">
        <v>39.630000000000003</v>
      </c>
      <c r="F14288" s="2">
        <v>2</v>
      </c>
      <c r="G14288" s="2" t="s">
        <v>10</v>
      </c>
    </row>
    <row r="14289" spans="1:7" x14ac:dyDescent="0.2">
      <c r="A14289" s="2" t="s">
        <v>3807</v>
      </c>
      <c r="B14289" s="2" t="s">
        <v>865</v>
      </c>
      <c r="C14289" s="2">
        <v>1301.5260000000001</v>
      </c>
      <c r="D14289" s="2">
        <f>HYPERLINK("http://mcb-m6.bioreg.kyushu-u.ac.jp/M3/20110411/F50920/1159/1", 67.48)</f>
        <v>67.48</v>
      </c>
      <c r="E14289" s="2">
        <v>40.770000000000003</v>
      </c>
      <c r="F14289" s="2">
        <v>1</v>
      </c>
      <c r="G14289" s="2" t="s">
        <v>10</v>
      </c>
    </row>
    <row r="14290" spans="1:7" x14ac:dyDescent="0.2">
      <c r="A14290" s="2" t="s">
        <v>4616</v>
      </c>
      <c r="B14290" s="2" t="s">
        <v>2739</v>
      </c>
      <c r="C14290" s="2">
        <v>776.3066</v>
      </c>
      <c r="D14290" s="2">
        <f>HYPERLINK("http://mcb-m6.bioreg.kyushu-u.ac.jp/M3/20110414/F50958/2245/1", 71.4)</f>
        <v>71.400000000000006</v>
      </c>
      <c r="E14290" s="2">
        <v>48.13</v>
      </c>
      <c r="F14290" s="2">
        <v>2</v>
      </c>
      <c r="G14290" s="2" t="s">
        <v>12</v>
      </c>
    </row>
    <row r="14291" spans="1:7" x14ac:dyDescent="0.2">
      <c r="A14291" s="2" t="s">
        <v>4292</v>
      </c>
      <c r="B14291" s="2" t="s">
        <v>1989</v>
      </c>
      <c r="C14291" s="2">
        <v>691.44960000000003</v>
      </c>
      <c r="D14291" s="2">
        <f>HYPERLINK("http://mcb-m6.bioreg.kyushu-u.ac.jp/M3/20110411/F50917/1677/1", 57.33)</f>
        <v>57.33</v>
      </c>
      <c r="E14291" s="2">
        <v>40.299999999999997</v>
      </c>
      <c r="F14291" s="2">
        <v>2</v>
      </c>
      <c r="G14291" s="2" t="s">
        <v>10</v>
      </c>
    </row>
    <row r="14292" spans="1:7" x14ac:dyDescent="0.2">
      <c r="A14292" s="2" t="s">
        <v>3303</v>
      </c>
      <c r="B14292" s="2" t="s">
        <v>84</v>
      </c>
      <c r="C14292" s="2">
        <v>575.98820000000001</v>
      </c>
      <c r="D14292" s="2">
        <f>HYPERLINK("http://mcb-m6.bioreg.kyushu-u.ac.jp/M3/20110411/F50911/1275/1", 35.81)</f>
        <v>35.81</v>
      </c>
      <c r="E14292" s="2">
        <v>17.53</v>
      </c>
      <c r="F14292" s="2">
        <v>2</v>
      </c>
      <c r="G14292" s="2" t="s">
        <v>9</v>
      </c>
    </row>
    <row r="14293" spans="1:7" x14ac:dyDescent="0.2">
      <c r="A14293" s="2" t="s">
        <v>3303</v>
      </c>
      <c r="B14293" s="2" t="s">
        <v>637</v>
      </c>
      <c r="C14293" s="2">
        <v>683.46559999999999</v>
      </c>
      <c r="D14293" s="2">
        <f>HYPERLINK("http://mcb-m6.bioreg.kyushu-u.ac.jp/M3/20110411/F50911/1765/1", 46.87)</f>
        <v>46.87</v>
      </c>
      <c r="E14293" s="2">
        <v>22.27</v>
      </c>
      <c r="F14293" s="2">
        <v>2</v>
      </c>
      <c r="G14293" s="2" t="s">
        <v>9</v>
      </c>
    </row>
    <row r="14294" spans="1:7" x14ac:dyDescent="0.2">
      <c r="A14294" s="2" t="s">
        <v>3303</v>
      </c>
      <c r="B14294" s="2" t="s">
        <v>1817</v>
      </c>
      <c r="C14294" s="2">
        <v>727.90719999999999</v>
      </c>
      <c r="D14294" s="2">
        <f>HYPERLINK("http://mcb-m6.bioreg.kyushu-u.ac.jp/M3/20110411/F50914/2027/1", 41.34)</f>
        <v>41.34</v>
      </c>
      <c r="E14294" s="2">
        <v>29.11</v>
      </c>
      <c r="F14294" s="2">
        <v>2</v>
      </c>
      <c r="G14294" s="2" t="s">
        <v>10</v>
      </c>
    </row>
    <row r="14295" spans="1:7" x14ac:dyDescent="0.2">
      <c r="A14295" s="2" t="s">
        <v>3303</v>
      </c>
      <c r="B14295" s="2" t="s">
        <v>2068</v>
      </c>
      <c r="C14295" s="2">
        <v>564.87159999999994</v>
      </c>
      <c r="D14295" s="2">
        <f>HYPERLINK("http://mcb-m6.bioreg.kyushu-u.ac.jp/M3/20110411/F50914/1299/1", 71.78)</f>
        <v>71.78</v>
      </c>
      <c r="E14295" s="2">
        <v>52.19</v>
      </c>
      <c r="F14295" s="2">
        <v>2</v>
      </c>
      <c r="G14295" s="2" t="s">
        <v>10</v>
      </c>
    </row>
    <row r="14296" spans="1:7" x14ac:dyDescent="0.2">
      <c r="A14296" s="2" t="s">
        <v>3303</v>
      </c>
      <c r="B14296" s="2" t="s">
        <v>2097</v>
      </c>
      <c r="C14296" s="2">
        <v>667.42610000000002</v>
      </c>
      <c r="D14296" s="2">
        <f>HYPERLINK("http://mcb-m6.bioreg.kyushu-u.ac.jp/M3/20110411/F50914/1717/1", 79.66)</f>
        <v>79.66</v>
      </c>
      <c r="E14296" s="2">
        <v>52.68</v>
      </c>
      <c r="F14296" s="2">
        <v>2</v>
      </c>
      <c r="G14296" s="2" t="s">
        <v>10</v>
      </c>
    </row>
    <row r="14297" spans="1:7" x14ac:dyDescent="0.2">
      <c r="A14297" s="2" t="s">
        <v>3303</v>
      </c>
      <c r="B14297" s="2" t="s">
        <v>84</v>
      </c>
      <c r="C14297" s="2">
        <v>576.25959999999998</v>
      </c>
      <c r="D14297" s="2">
        <f>HYPERLINK("http://mcb-m6.bioreg.kyushu-u.ac.jp/M3/20110414/F50942/1081/1", 49.9)</f>
        <v>49.9</v>
      </c>
      <c r="E14297" s="2">
        <v>19.850000000000001</v>
      </c>
      <c r="F14297" s="2">
        <v>2</v>
      </c>
      <c r="G14297" s="2" t="s">
        <v>11</v>
      </c>
    </row>
    <row r="14298" spans="1:7" x14ac:dyDescent="0.2">
      <c r="A14298" s="2" t="s">
        <v>3303</v>
      </c>
      <c r="B14298" s="2" t="s">
        <v>3122</v>
      </c>
      <c r="C14298" s="2">
        <v>665.26260000000002</v>
      </c>
      <c r="D14298" s="2">
        <f>HYPERLINK("http://mcb-m6.bioreg.kyushu-u.ac.jp/M3/20110502/F51183/1448/1", 47.53)</f>
        <v>47.53</v>
      </c>
      <c r="E14298" s="2">
        <v>26.53</v>
      </c>
      <c r="F14298" s="2">
        <v>2</v>
      </c>
      <c r="G14298" s="2" t="s">
        <v>14</v>
      </c>
    </row>
    <row r="14299" spans="1:7" x14ac:dyDescent="0.2">
      <c r="A14299" s="2" t="s">
        <v>3303</v>
      </c>
      <c r="B14299" s="2" t="s">
        <v>3137</v>
      </c>
      <c r="C14299" s="2">
        <v>690.32420000000002</v>
      </c>
      <c r="D14299" s="2">
        <f>HYPERLINK("http://mcb-m6.bioreg.kyushu-u.ac.jp/M3/20110502/F51183/1611/1", 50.44)</f>
        <v>50.44</v>
      </c>
      <c r="E14299" s="2">
        <v>27.69</v>
      </c>
      <c r="F14299" s="2">
        <v>2</v>
      </c>
      <c r="G14299" s="2" t="s">
        <v>14</v>
      </c>
    </row>
    <row r="14300" spans="1:7" x14ac:dyDescent="0.2">
      <c r="A14300" s="2" t="s">
        <v>3991</v>
      </c>
      <c r="B14300" s="2" t="s">
        <v>1268</v>
      </c>
      <c r="C14300" s="2">
        <v>850.28120000000001</v>
      </c>
      <c r="D14300" s="2">
        <f>HYPERLINK("http://mcb-m6.bioreg.kyushu-u.ac.jp/M3/20110411/F50891/2728/1", 69.7)</f>
        <v>69.7</v>
      </c>
      <c r="E14300" s="2">
        <v>55.5</v>
      </c>
      <c r="F14300" s="2">
        <v>2</v>
      </c>
      <c r="G14300" s="2" t="s">
        <v>9</v>
      </c>
    </row>
    <row r="14301" spans="1:7" x14ac:dyDescent="0.2">
      <c r="A14301" s="2" t="s">
        <v>3428</v>
      </c>
      <c r="B14301" s="2" t="s">
        <v>234</v>
      </c>
      <c r="C14301" s="2">
        <v>513.64260000000002</v>
      </c>
      <c r="D14301" s="2">
        <f>HYPERLINK("http://mcb-m6.bioreg.kyushu-u.ac.jp/M3/20110411/F50919/758/1", 38.28)</f>
        <v>38.28</v>
      </c>
      <c r="E14301" s="2">
        <v>10.02</v>
      </c>
      <c r="F14301" s="2">
        <v>2</v>
      </c>
      <c r="G14301" s="2" t="s">
        <v>9</v>
      </c>
    </row>
    <row r="14302" spans="1:7" x14ac:dyDescent="0.2">
      <c r="A14302" s="2" t="s">
        <v>3428</v>
      </c>
      <c r="B14302" s="2" t="s">
        <v>749</v>
      </c>
      <c r="C14302" s="2">
        <v>638.6182</v>
      </c>
      <c r="D14302" s="2">
        <f>HYPERLINK("http://mcb-m6.bioreg.kyushu-u.ac.jp/M3/20110411/F50919/1192/1", 50.1)</f>
        <v>50.1</v>
      </c>
      <c r="E14302" s="2">
        <v>35.6</v>
      </c>
      <c r="F14302" s="2">
        <v>2</v>
      </c>
      <c r="G14302" s="2" t="s">
        <v>9</v>
      </c>
    </row>
    <row r="14303" spans="1:7" x14ac:dyDescent="0.2">
      <c r="A14303" s="2" t="s">
        <v>3428</v>
      </c>
      <c r="B14303" s="2" t="s">
        <v>234</v>
      </c>
      <c r="C14303" s="2">
        <v>513.44320000000005</v>
      </c>
      <c r="D14303" s="2">
        <f>HYPERLINK("http://mcb-m6.bioreg.kyushu-u.ac.jp/M3/20110411/F50921/907/1", 58.99)</f>
        <v>58.99</v>
      </c>
      <c r="E14303" s="2">
        <v>31.05</v>
      </c>
      <c r="F14303" s="2">
        <v>2</v>
      </c>
      <c r="G14303" s="2" t="s">
        <v>10</v>
      </c>
    </row>
    <row r="14304" spans="1:7" x14ac:dyDescent="0.2">
      <c r="A14304" s="2" t="s">
        <v>3428</v>
      </c>
      <c r="B14304" s="2" t="s">
        <v>2475</v>
      </c>
      <c r="C14304" s="2">
        <v>782.26760000000002</v>
      </c>
      <c r="D14304" s="2">
        <f>HYPERLINK("http://mcb-m6.bioreg.kyushu-u.ac.jp/M3/20110414/F50962/2117/1", 75.48)</f>
        <v>75.48</v>
      </c>
      <c r="E14304" s="2">
        <v>64.25</v>
      </c>
      <c r="F14304" s="2">
        <v>2</v>
      </c>
      <c r="G14304" s="2" t="s">
        <v>11</v>
      </c>
    </row>
    <row r="14305" spans="1:9" x14ac:dyDescent="0.2">
      <c r="A14305" s="2" t="s">
        <v>3428</v>
      </c>
      <c r="B14305" s="2" t="s">
        <v>2475</v>
      </c>
      <c r="C14305" s="2">
        <v>782.58219999999994</v>
      </c>
      <c r="D14305" s="2">
        <f>HYPERLINK("http://mcb-m6.bioreg.kyushu-u.ac.jp/M3/20110414/F50963/2073/1", 88.25)</f>
        <v>88.25</v>
      </c>
      <c r="E14305" s="2">
        <v>75.989999999999995</v>
      </c>
      <c r="F14305" s="2">
        <v>2</v>
      </c>
      <c r="G14305" s="2" t="s">
        <v>12</v>
      </c>
    </row>
    <row r="14306" spans="1:9" x14ac:dyDescent="0.2">
      <c r="A14306" s="2" t="s">
        <v>4222</v>
      </c>
      <c r="B14306" s="2" t="s">
        <v>1828</v>
      </c>
      <c r="C14306" s="2">
        <v>712.43219999999997</v>
      </c>
      <c r="D14306" s="2">
        <f>HYPERLINK("http://mcb-m6.bioreg.kyushu-u.ac.jp/M3/20110411/F50900/2008/1", 41.54)</f>
        <v>41.54</v>
      </c>
      <c r="E14306" s="2">
        <v>21.48</v>
      </c>
      <c r="F14306" s="2">
        <v>2</v>
      </c>
      <c r="G14306" s="2" t="s">
        <v>10</v>
      </c>
      <c r="H14306" s="2" t="s">
        <v>4950</v>
      </c>
    </row>
    <row r="14307" spans="1:9" x14ac:dyDescent="0.2">
      <c r="A14307" s="2" t="s">
        <v>4473</v>
      </c>
      <c r="B14307" s="2" t="s">
        <v>2414</v>
      </c>
      <c r="C14307" s="2">
        <v>547.69619999999998</v>
      </c>
      <c r="D14307" s="2">
        <f>HYPERLINK("http://mcb-m6.bioreg.kyushu-u.ac.jp/M3/20110414/F50924/1269/1", 59)</f>
        <v>59</v>
      </c>
      <c r="E14307" s="2">
        <v>41.72</v>
      </c>
      <c r="F14307" s="2">
        <v>2</v>
      </c>
      <c r="G14307" s="2" t="s">
        <v>11</v>
      </c>
    </row>
    <row r="14308" spans="1:9" x14ac:dyDescent="0.2">
      <c r="A14308" s="2" t="s">
        <v>4473</v>
      </c>
      <c r="B14308" s="2" t="s">
        <v>2432</v>
      </c>
      <c r="C14308" s="2">
        <v>594.72810000000004</v>
      </c>
      <c r="D14308" s="2">
        <f>HYPERLINK("http://mcb-m6.bioreg.kyushu-u.ac.jp/M3/20110414/F50924/1454/1", 62.05)</f>
        <v>62.05</v>
      </c>
      <c r="E14308" s="2">
        <v>47.11</v>
      </c>
      <c r="F14308" s="2">
        <v>2</v>
      </c>
      <c r="G14308" s="2" t="s">
        <v>11</v>
      </c>
    </row>
    <row r="14309" spans="1:9" x14ac:dyDescent="0.2">
      <c r="A14309" s="2" t="s">
        <v>4473</v>
      </c>
      <c r="B14309" s="2" t="s">
        <v>2432</v>
      </c>
      <c r="C14309" s="2">
        <v>594.64009999999996</v>
      </c>
      <c r="D14309" s="2">
        <f>HYPERLINK("http://mcb-m6.bioreg.kyushu-u.ac.jp/M3/20110502/F51181/1173/1", 51.81)</f>
        <v>51.81</v>
      </c>
      <c r="E14309" s="2">
        <v>34.6</v>
      </c>
      <c r="F14309" s="2">
        <v>2</v>
      </c>
      <c r="G14309" s="2" t="s">
        <v>14</v>
      </c>
    </row>
    <row r="14310" spans="1:9" x14ac:dyDescent="0.2">
      <c r="A14310" s="2" t="s">
        <v>4177</v>
      </c>
      <c r="B14310" s="2" t="s">
        <v>1751</v>
      </c>
      <c r="C14310" s="2">
        <v>592.71420000000001</v>
      </c>
      <c r="D14310" s="2">
        <f>HYPERLINK("http://mcb-m6.bioreg.kyushu-u.ac.jp/M3/20110411/F50897/1320/1", 37.63)</f>
        <v>37.630000000000003</v>
      </c>
      <c r="E14310" s="2">
        <v>15.78</v>
      </c>
      <c r="F14310" s="2">
        <v>2</v>
      </c>
      <c r="G14310" s="2" t="s">
        <v>10</v>
      </c>
    </row>
    <row r="14311" spans="1:9" x14ac:dyDescent="0.2">
      <c r="A14311" s="2" t="s">
        <v>4429</v>
      </c>
      <c r="B14311" s="2" t="s">
        <v>2306</v>
      </c>
      <c r="C14311" s="2">
        <v>716.76670000000001</v>
      </c>
      <c r="D14311" s="2">
        <f>HYPERLINK("http://mcb-m6.bioreg.kyushu-u.ac.jp/M3/20110414/F50925/2117/1", 44.85)</f>
        <v>44.85</v>
      </c>
      <c r="E14311" s="2">
        <v>12.66</v>
      </c>
      <c r="F14311" s="2">
        <v>2</v>
      </c>
      <c r="G14311" s="2" t="s">
        <v>11</v>
      </c>
    </row>
    <row r="14312" spans="1:9" x14ac:dyDescent="0.2">
      <c r="A14312" s="2" t="s">
        <v>4429</v>
      </c>
      <c r="B14312" s="2" t="s">
        <v>2306</v>
      </c>
      <c r="C14312" s="2">
        <v>717.02869999999996</v>
      </c>
      <c r="D14312" s="2">
        <f>HYPERLINK("http://mcb-m6.bioreg.kyushu-u.ac.jp/M3/20110502/F51176/1956/1", 79.23)</f>
        <v>79.23</v>
      </c>
      <c r="E14312" s="2">
        <v>54.67</v>
      </c>
      <c r="F14312" s="2">
        <v>2</v>
      </c>
      <c r="G14312" s="2" t="s">
        <v>14</v>
      </c>
    </row>
    <row r="14313" spans="1:9" x14ac:dyDescent="0.2">
      <c r="A14313" s="2" t="s">
        <v>3984</v>
      </c>
      <c r="B14313" s="2" t="s">
        <v>1245</v>
      </c>
      <c r="C14313" s="2">
        <v>748.40009999999995</v>
      </c>
      <c r="D14313" s="2">
        <f>HYPERLINK("http://mcb-m6.bioreg.kyushu-u.ac.jp/M3/20110411/F50889/2279/1", 68.88)</f>
        <v>68.88</v>
      </c>
      <c r="E14313" s="2">
        <v>30.97</v>
      </c>
      <c r="F14313" s="2">
        <v>2</v>
      </c>
      <c r="G14313" s="2" t="s">
        <v>9</v>
      </c>
    </row>
    <row r="14314" spans="1:9" x14ac:dyDescent="0.2">
      <c r="A14314" s="2" t="s">
        <v>4688</v>
      </c>
      <c r="B14314" s="2" t="s">
        <v>2860</v>
      </c>
      <c r="C14314" s="2">
        <v>597.17719999999997</v>
      </c>
      <c r="D14314" s="2">
        <f>HYPERLINK("http://mcb-m6.bioreg.kyushu-u.ac.jp/M3/20110502/F51180/1097/1", 39.8)</f>
        <v>39.799999999999997</v>
      </c>
      <c r="E14314" s="2">
        <v>11.62</v>
      </c>
      <c r="F14314" s="2">
        <v>2</v>
      </c>
      <c r="G14314" s="2" t="s">
        <v>13</v>
      </c>
      <c r="I14314" s="2" t="s">
        <v>4890</v>
      </c>
    </row>
    <row r="14315" spans="1:9" x14ac:dyDescent="0.2">
      <c r="A14315" s="2" t="s">
        <v>3637</v>
      </c>
      <c r="B14315" s="2" t="s">
        <v>555</v>
      </c>
      <c r="C14315" s="2">
        <v>659.42819999999995</v>
      </c>
      <c r="D14315" s="2">
        <f>HYPERLINK("http://mcb-m6.bioreg.kyushu-u.ac.jp/M3/20110411/F50891/1651/1", 44.72)</f>
        <v>44.72</v>
      </c>
      <c r="E14315" s="2">
        <v>17.809999999999999</v>
      </c>
      <c r="F14315" s="2">
        <v>2</v>
      </c>
      <c r="G14315" s="2" t="s">
        <v>9</v>
      </c>
    </row>
    <row r="14316" spans="1:9" x14ac:dyDescent="0.2">
      <c r="A14316" s="2" t="s">
        <v>3637</v>
      </c>
      <c r="B14316" s="2" t="s">
        <v>2440</v>
      </c>
      <c r="C14316" s="2">
        <v>724.22360000000003</v>
      </c>
      <c r="D14316" s="2">
        <f>HYPERLINK("http://mcb-m6.bioreg.kyushu-u.ac.jp/M3/20110414/F50929/2218/1", 64.05)</f>
        <v>64.05</v>
      </c>
      <c r="E14316" s="2">
        <v>45.29</v>
      </c>
      <c r="F14316" s="2">
        <v>2</v>
      </c>
      <c r="G14316" s="2" t="s">
        <v>11</v>
      </c>
      <c r="I14316" s="2" t="s">
        <v>4914</v>
      </c>
    </row>
    <row r="14317" spans="1:9" x14ac:dyDescent="0.2">
      <c r="A14317" s="2" t="s">
        <v>3988</v>
      </c>
      <c r="B14317" s="2" t="s">
        <v>1256</v>
      </c>
      <c r="C14317" s="2">
        <v>1013.837</v>
      </c>
      <c r="D14317" s="2">
        <f>HYPERLINK("http://mcb-m6.bioreg.kyushu-u.ac.jp/M3/20110411/F50905/984/1", 69.36)</f>
        <v>69.36</v>
      </c>
      <c r="E14317" s="2">
        <v>48.55</v>
      </c>
      <c r="F14317" s="2">
        <v>1</v>
      </c>
      <c r="G14317" s="2" t="s">
        <v>9</v>
      </c>
    </row>
    <row r="14318" spans="1:9" x14ac:dyDescent="0.2">
      <c r="A14318" s="2" t="s">
        <v>3988</v>
      </c>
      <c r="B14318" s="2" t="s">
        <v>1257</v>
      </c>
      <c r="C14318" s="2">
        <v>621.54020000000003</v>
      </c>
      <c r="D14318" s="2">
        <f>HYPERLINK("http://mcb-m6.bioreg.kyushu-u.ac.jp/M3/20110411/F50905/1461/1", 69.36)</f>
        <v>69.36</v>
      </c>
      <c r="E14318" s="2">
        <v>47.93</v>
      </c>
      <c r="F14318" s="2">
        <v>2</v>
      </c>
      <c r="G14318" s="2" t="s">
        <v>9</v>
      </c>
    </row>
    <row r="14319" spans="1:9" x14ac:dyDescent="0.2">
      <c r="A14319" s="2" t="s">
        <v>3988</v>
      </c>
      <c r="B14319" s="2" t="s">
        <v>1622</v>
      </c>
      <c r="C14319" s="2">
        <v>836.11069999999995</v>
      </c>
      <c r="D14319" s="2">
        <f>HYPERLINK("http://mcb-m6.bioreg.kyushu-u.ac.jp/M3/20110411/F50905/2528/1", 102.42)</f>
        <v>102.42</v>
      </c>
      <c r="E14319" s="2">
        <v>72.36</v>
      </c>
      <c r="F14319" s="2">
        <v>2</v>
      </c>
      <c r="G14319" s="2" t="s">
        <v>9</v>
      </c>
      <c r="I14319" s="2" t="s">
        <v>4926</v>
      </c>
    </row>
    <row r="14320" spans="1:9" x14ac:dyDescent="0.2">
      <c r="A14320" s="2" t="s">
        <v>3988</v>
      </c>
      <c r="B14320" s="2" t="s">
        <v>1651</v>
      </c>
      <c r="C14320" s="2">
        <v>731.15920000000006</v>
      </c>
      <c r="D14320" s="2">
        <f>HYPERLINK("http://mcb-m6.bioreg.kyushu-u.ac.jp/M3/20110411/F50911/2033/1", 110.09)</f>
        <v>110.09</v>
      </c>
      <c r="E14320" s="2">
        <v>82.31</v>
      </c>
      <c r="F14320" s="2">
        <v>2</v>
      </c>
      <c r="G14320" s="2" t="s">
        <v>9</v>
      </c>
    </row>
    <row r="14321" spans="1:7" x14ac:dyDescent="0.2">
      <c r="A14321" s="2" t="s">
        <v>3988</v>
      </c>
      <c r="B14321" s="2" t="s">
        <v>1651</v>
      </c>
      <c r="C14321" s="2">
        <v>730.9742</v>
      </c>
      <c r="D14321" s="2">
        <f>HYPERLINK("http://mcb-m6.bioreg.kyushu-u.ac.jp/M3/20110411/F50905/1971/1", 110.58)</f>
        <v>110.58</v>
      </c>
      <c r="E14321" s="2">
        <v>79.63</v>
      </c>
      <c r="F14321" s="2">
        <v>2</v>
      </c>
      <c r="G14321" s="2" t="s">
        <v>9</v>
      </c>
    </row>
    <row r="14322" spans="1:7" x14ac:dyDescent="0.2">
      <c r="A14322" s="2" t="s">
        <v>3988</v>
      </c>
      <c r="B14322" s="2" t="s">
        <v>1257</v>
      </c>
      <c r="C14322" s="2">
        <v>621.52120000000002</v>
      </c>
      <c r="D14322" s="2">
        <f>HYPERLINK("http://mcb-m6.bioreg.kyushu-u.ac.jp/M3/20110411/F50913/1485/1", 59.92)</f>
        <v>59.92</v>
      </c>
      <c r="E14322" s="2">
        <v>37.35</v>
      </c>
      <c r="F14322" s="2">
        <v>2</v>
      </c>
      <c r="G14322" s="2" t="s">
        <v>10</v>
      </c>
    </row>
    <row r="14323" spans="1:7" x14ac:dyDescent="0.2">
      <c r="A14323" s="2" t="s">
        <v>3988</v>
      </c>
      <c r="B14323" s="2" t="s">
        <v>1651</v>
      </c>
      <c r="C14323" s="2">
        <v>731.05820000000006</v>
      </c>
      <c r="D14323" s="2">
        <f>HYPERLINK("http://mcb-m6.bioreg.kyushu-u.ac.jp/M3/20110411/F50913/1967/1", 98.34)</f>
        <v>98.34</v>
      </c>
      <c r="E14323" s="2">
        <v>68.25</v>
      </c>
      <c r="F14323" s="2">
        <v>2</v>
      </c>
      <c r="G14323" s="2" t="s">
        <v>10</v>
      </c>
    </row>
    <row r="14324" spans="1:7" x14ac:dyDescent="0.2">
      <c r="A14324" s="2" t="s">
        <v>3988</v>
      </c>
      <c r="B14324" s="2" t="s">
        <v>2319</v>
      </c>
      <c r="C14324" s="2">
        <v>972.37570000000005</v>
      </c>
      <c r="D14324" s="2">
        <f>HYPERLINK("http://mcb-m6.bioreg.kyushu-u.ac.jp/M3/20110414/F50941/3328/1", 45.76)</f>
        <v>45.76</v>
      </c>
      <c r="E14324" s="2">
        <v>36.159999999999997</v>
      </c>
      <c r="F14324" s="2">
        <v>2</v>
      </c>
      <c r="G14324" s="2" t="s">
        <v>11</v>
      </c>
    </row>
    <row r="14325" spans="1:7" x14ac:dyDescent="0.2">
      <c r="A14325" s="2" t="s">
        <v>3988</v>
      </c>
      <c r="B14325" s="2" t="s">
        <v>1651</v>
      </c>
      <c r="C14325" s="2">
        <v>731.37819999999999</v>
      </c>
      <c r="D14325" s="2">
        <f>HYPERLINK("http://mcb-m6.bioreg.kyushu-u.ac.jp/M3/20110414/F50941/2048/1", 62.4)</f>
        <v>62.4</v>
      </c>
      <c r="E14325" s="2">
        <v>32.159999999999997</v>
      </c>
      <c r="F14325" s="2">
        <v>2</v>
      </c>
      <c r="G14325" s="2" t="s">
        <v>11</v>
      </c>
    </row>
    <row r="14326" spans="1:7" x14ac:dyDescent="0.2">
      <c r="A14326" s="2" t="s">
        <v>3988</v>
      </c>
      <c r="B14326" s="2" t="s">
        <v>2319</v>
      </c>
      <c r="C14326" s="2">
        <v>972.39670000000001</v>
      </c>
      <c r="D14326" s="2">
        <f>HYPERLINK("http://mcb-m6.bioreg.kyushu-u.ac.jp/M3/20110414/F50941/3329/1", 72.84)</f>
        <v>72.84</v>
      </c>
      <c r="E14326" s="2">
        <v>59.28</v>
      </c>
      <c r="F14326" s="2">
        <v>2</v>
      </c>
      <c r="G14326" s="2" t="s">
        <v>11</v>
      </c>
    </row>
    <row r="14327" spans="1:7" x14ac:dyDescent="0.2">
      <c r="A14327" s="2" t="s">
        <v>3988</v>
      </c>
      <c r="B14327" s="2" t="s">
        <v>2319</v>
      </c>
      <c r="C14327" s="2">
        <v>972.25919999999996</v>
      </c>
      <c r="D14327" s="2">
        <f>HYPERLINK("http://mcb-m6.bioreg.kyushu-u.ac.jp/M3/20110414/F50942/3310/1", 88.14)</f>
        <v>88.14</v>
      </c>
      <c r="E14327" s="2">
        <v>72.209999999999994</v>
      </c>
      <c r="F14327" s="2">
        <v>2</v>
      </c>
      <c r="G14327" s="2" t="s">
        <v>11</v>
      </c>
    </row>
    <row r="14328" spans="1:7" x14ac:dyDescent="0.2">
      <c r="A14328" s="2" t="s">
        <v>3988</v>
      </c>
      <c r="B14328" s="2" t="s">
        <v>2319</v>
      </c>
      <c r="C14328" s="2">
        <v>972.47860000000003</v>
      </c>
      <c r="D14328" s="2">
        <f>HYPERLINK("http://mcb-m6.bioreg.kyushu-u.ac.jp/M3/20110502/F51170/3158/1", 97.04)</f>
        <v>97.04</v>
      </c>
      <c r="E14328" s="2">
        <v>75.41</v>
      </c>
      <c r="F14328" s="2">
        <v>2</v>
      </c>
      <c r="G14328" s="2" t="s">
        <v>13</v>
      </c>
    </row>
    <row r="14329" spans="1:7" x14ac:dyDescent="0.2">
      <c r="A14329" s="2" t="s">
        <v>3988</v>
      </c>
      <c r="B14329" s="2" t="s">
        <v>1651</v>
      </c>
      <c r="C14329" s="2">
        <v>731.25959999999998</v>
      </c>
      <c r="D14329" s="2">
        <f>HYPERLINK("http://mcb-m6.bioreg.kyushu-u.ac.jp/M3/20110502/F51170/2018/1", 114.18)</f>
        <v>114.18</v>
      </c>
      <c r="E14329" s="2">
        <v>93.46</v>
      </c>
      <c r="F14329" s="2">
        <v>2</v>
      </c>
      <c r="G14329" s="2" t="s">
        <v>13</v>
      </c>
    </row>
    <row r="14330" spans="1:7" x14ac:dyDescent="0.2">
      <c r="A14330" s="2" t="s">
        <v>3988</v>
      </c>
      <c r="B14330" s="2" t="s">
        <v>1651</v>
      </c>
      <c r="C14330" s="2">
        <v>731.0367</v>
      </c>
      <c r="D14330" s="2">
        <f>HYPERLINK("http://mcb-m6.bioreg.kyushu-u.ac.jp/M3/20110502/F51179/1711/1", 69.57)</f>
        <v>69.569999999999993</v>
      </c>
      <c r="E14330" s="2">
        <v>47.49</v>
      </c>
      <c r="F14330" s="2">
        <v>2</v>
      </c>
      <c r="G14330" s="2" t="s">
        <v>14</v>
      </c>
    </row>
    <row r="14331" spans="1:7" x14ac:dyDescent="0.2">
      <c r="A14331" s="2" t="s">
        <v>3281</v>
      </c>
      <c r="B14331" s="2" t="s">
        <v>61</v>
      </c>
      <c r="C14331" s="2">
        <v>489.06259999999997</v>
      </c>
      <c r="D14331" s="2">
        <f>HYPERLINK("http://mcb-m6.bioreg.kyushu-u.ac.jp/M3/20110411/F50905/931/1", 35.57)</f>
        <v>35.57</v>
      </c>
      <c r="E14331" s="2">
        <v>13.12</v>
      </c>
      <c r="F14331" s="2">
        <v>2</v>
      </c>
      <c r="G14331" s="2" t="s">
        <v>9</v>
      </c>
    </row>
    <row r="14332" spans="1:7" x14ac:dyDescent="0.2">
      <c r="A14332" s="2" t="s">
        <v>3281</v>
      </c>
      <c r="B14332" s="2" t="s">
        <v>415</v>
      </c>
      <c r="C14332" s="2">
        <v>1052.633</v>
      </c>
      <c r="D14332" s="2">
        <f>HYPERLINK("http://mcb-m6.bioreg.kyushu-u.ac.jp/M3/20110411/F50905/3456/1", 41.38)</f>
        <v>41.38</v>
      </c>
      <c r="E14332" s="2">
        <v>31.45</v>
      </c>
      <c r="F14332" s="2">
        <v>2</v>
      </c>
      <c r="G14332" s="2" t="s">
        <v>9</v>
      </c>
    </row>
    <row r="14333" spans="1:7" x14ac:dyDescent="0.2">
      <c r="A14333" s="2" t="s">
        <v>3281</v>
      </c>
      <c r="B14333" s="2" t="s">
        <v>415</v>
      </c>
      <c r="C14333" s="2">
        <v>1053.0740000000001</v>
      </c>
      <c r="D14333" s="2">
        <f>HYPERLINK("http://mcb-m6.bioreg.kyushu-u.ac.jp/M3/20110411/F50911/3552/1", 42.95)</f>
        <v>42.95</v>
      </c>
      <c r="E14333" s="2">
        <v>37.39</v>
      </c>
      <c r="F14333" s="2">
        <v>2</v>
      </c>
      <c r="G14333" s="2" t="s">
        <v>9</v>
      </c>
    </row>
    <row r="14334" spans="1:7" x14ac:dyDescent="0.2">
      <c r="A14334" s="2" t="s">
        <v>3281</v>
      </c>
      <c r="B14334" s="2" t="s">
        <v>583</v>
      </c>
      <c r="C14334" s="2">
        <v>615.63670000000002</v>
      </c>
      <c r="D14334" s="2">
        <f>HYPERLINK("http://mcb-m6.bioreg.kyushu-u.ac.jp/M3/20110411/F50911/1456/1", 45.48)</f>
        <v>45.48</v>
      </c>
      <c r="E14334" s="2">
        <v>16.95</v>
      </c>
      <c r="F14334" s="2">
        <v>2</v>
      </c>
      <c r="G14334" s="2" t="s">
        <v>9</v>
      </c>
    </row>
    <row r="14335" spans="1:7" x14ac:dyDescent="0.2">
      <c r="A14335" s="2" t="s">
        <v>3281</v>
      </c>
      <c r="B14335" s="2" t="s">
        <v>583</v>
      </c>
      <c r="C14335" s="2">
        <v>615.48770000000002</v>
      </c>
      <c r="D14335" s="2">
        <f>HYPERLINK("http://mcb-m6.bioreg.kyushu-u.ac.jp/M3/20110411/F50914/1529/1", 37.35)</f>
        <v>37.35</v>
      </c>
      <c r="E14335" s="2">
        <v>17.89</v>
      </c>
      <c r="F14335" s="2">
        <v>2</v>
      </c>
      <c r="G14335" s="2" t="s">
        <v>10</v>
      </c>
    </row>
    <row r="14336" spans="1:7" x14ac:dyDescent="0.2">
      <c r="A14336" s="2" t="s">
        <v>3281</v>
      </c>
      <c r="B14336" s="2" t="s">
        <v>415</v>
      </c>
      <c r="C14336" s="2">
        <v>1052.817</v>
      </c>
      <c r="D14336" s="2">
        <f>HYPERLINK("http://mcb-m6.bioreg.kyushu-u.ac.jp/M3/20110411/F50913/3317/1", 45.46)</f>
        <v>45.46</v>
      </c>
      <c r="E14336" s="2">
        <v>39.01</v>
      </c>
      <c r="F14336" s="2">
        <v>2</v>
      </c>
      <c r="G14336" s="2" t="s">
        <v>10</v>
      </c>
    </row>
    <row r="14337" spans="1:9" x14ac:dyDescent="0.2">
      <c r="A14337" s="2" t="s">
        <v>3281</v>
      </c>
      <c r="B14337" s="2" t="s">
        <v>2262</v>
      </c>
      <c r="C14337" s="2">
        <v>880.68119999999999</v>
      </c>
      <c r="D14337" s="2">
        <f>HYPERLINK("http://mcb-m6.bioreg.kyushu-u.ac.jp/M3/20110414/F50941/2833/1", 40.69)</f>
        <v>40.69</v>
      </c>
      <c r="E14337" s="2">
        <v>20.71</v>
      </c>
      <c r="F14337" s="2">
        <v>2</v>
      </c>
      <c r="G14337" s="2" t="s">
        <v>11</v>
      </c>
    </row>
    <row r="14338" spans="1:9" x14ac:dyDescent="0.2">
      <c r="A14338" s="2" t="s">
        <v>3281</v>
      </c>
      <c r="B14338" s="2" t="s">
        <v>415</v>
      </c>
      <c r="C14338" s="2">
        <v>1052.4559999999999</v>
      </c>
      <c r="D14338" s="2">
        <f>HYPERLINK("http://mcb-m6.bioreg.kyushu-u.ac.jp/M3/20110414/F50941/3642/1", 45.69)</f>
        <v>45.69</v>
      </c>
      <c r="E14338" s="2">
        <v>35.57</v>
      </c>
      <c r="F14338" s="2">
        <v>2</v>
      </c>
      <c r="G14338" s="2" t="s">
        <v>11</v>
      </c>
    </row>
    <row r="14339" spans="1:9" x14ac:dyDescent="0.2">
      <c r="A14339" s="2" t="s">
        <v>3281</v>
      </c>
      <c r="B14339" s="2" t="s">
        <v>415</v>
      </c>
      <c r="C14339" s="2">
        <v>1052.587</v>
      </c>
      <c r="D14339" s="2">
        <f>HYPERLINK("http://mcb-m6.bioreg.kyushu-u.ac.jp/M3/20110502/F51170/3380/1", 41.52)</f>
        <v>41.52</v>
      </c>
      <c r="E14339" s="2">
        <v>35.700000000000003</v>
      </c>
      <c r="F14339" s="2">
        <v>2</v>
      </c>
      <c r="G14339" s="2" t="s">
        <v>13</v>
      </c>
    </row>
    <row r="14340" spans="1:9" x14ac:dyDescent="0.2">
      <c r="A14340" s="2" t="s">
        <v>3281</v>
      </c>
      <c r="B14340" s="2" t="s">
        <v>415</v>
      </c>
      <c r="C14340" s="2">
        <v>1052.614</v>
      </c>
      <c r="D14340" s="2">
        <f>HYPERLINK("http://mcb-m6.bioreg.kyushu-u.ac.jp/M3/20110502/F51179/3285/1", 57.62)</f>
        <v>57.62</v>
      </c>
      <c r="E14340" s="2">
        <v>47.35</v>
      </c>
      <c r="F14340" s="2">
        <v>2</v>
      </c>
      <c r="G14340" s="2" t="s">
        <v>14</v>
      </c>
    </row>
    <row r="14341" spans="1:9" x14ac:dyDescent="0.2">
      <c r="A14341" s="2" t="s">
        <v>4398</v>
      </c>
      <c r="B14341" s="2" t="s">
        <v>2248</v>
      </c>
      <c r="C14341" s="2">
        <v>533.08870000000002</v>
      </c>
      <c r="D14341" s="2">
        <f>HYPERLINK("http://mcb-m6.bioreg.kyushu-u.ac.jp/M3/20110414/F50962/996/1", 39.4)</f>
        <v>39.4</v>
      </c>
      <c r="E14341" s="2">
        <v>15.99</v>
      </c>
      <c r="F14341" s="2">
        <v>2</v>
      </c>
      <c r="G14341" s="2" t="s">
        <v>11</v>
      </c>
    </row>
    <row r="14342" spans="1:9" x14ac:dyDescent="0.2">
      <c r="A14342" s="2" t="s">
        <v>4398</v>
      </c>
      <c r="B14342" s="2" t="s">
        <v>2304</v>
      </c>
      <c r="C14342" s="2">
        <v>724.16309999999999</v>
      </c>
      <c r="D14342" s="2">
        <f>HYPERLINK("http://mcb-m6.bioreg.kyushu-u.ac.jp/M3/20110414/F50962/1836/1", 44.52)</f>
        <v>44.52</v>
      </c>
      <c r="E14342" s="2">
        <v>30.32</v>
      </c>
      <c r="F14342" s="2">
        <v>2</v>
      </c>
      <c r="G14342" s="2" t="s">
        <v>11</v>
      </c>
      <c r="H14342" s="2" t="s">
        <v>4919</v>
      </c>
    </row>
    <row r="14343" spans="1:9" x14ac:dyDescent="0.2">
      <c r="A14343" s="2" t="s">
        <v>4398</v>
      </c>
      <c r="B14343" s="2" t="s">
        <v>2304</v>
      </c>
      <c r="C14343" s="2">
        <v>724.47360000000003</v>
      </c>
      <c r="D14343" s="2">
        <f>HYPERLINK("http://mcb-m6.bioreg.kyushu-u.ac.jp/M3/20110502/F51191/1670/1", 39.66)</f>
        <v>39.659999999999997</v>
      </c>
      <c r="E14343" s="2">
        <v>19.16</v>
      </c>
      <c r="F14343" s="2">
        <v>2</v>
      </c>
      <c r="G14343" s="2" t="s">
        <v>14</v>
      </c>
      <c r="H14343" s="2" t="s">
        <v>4919</v>
      </c>
    </row>
    <row r="14344" spans="1:9" x14ac:dyDescent="0.2">
      <c r="A14344" s="2" t="s">
        <v>3929</v>
      </c>
      <c r="B14344" s="2" t="s">
        <v>1111</v>
      </c>
      <c r="C14344" s="2">
        <v>711.49959999999999</v>
      </c>
      <c r="D14344" s="2">
        <f>HYPERLINK("http://mcb-m6.bioreg.kyushu-u.ac.jp/M3/20110411/F50892/2068/1", 63.63)</f>
        <v>63.63</v>
      </c>
      <c r="E14344" s="2">
        <v>45.39</v>
      </c>
      <c r="F14344" s="2">
        <v>2</v>
      </c>
      <c r="G14344" s="2" t="s">
        <v>9</v>
      </c>
      <c r="I14344" s="2" t="s">
        <v>4905</v>
      </c>
    </row>
    <row r="14345" spans="1:9" x14ac:dyDescent="0.2">
      <c r="A14345" s="2" t="s">
        <v>3929</v>
      </c>
      <c r="B14345" s="2" t="s">
        <v>1483</v>
      </c>
      <c r="C14345" s="2">
        <v>674.8297</v>
      </c>
      <c r="D14345" s="2">
        <f>HYPERLINK("http://mcb-m6.bioreg.kyushu-u.ac.jp/M3/20110411/F50892/1884/1", 85.38)</f>
        <v>85.38</v>
      </c>
      <c r="E14345" s="2">
        <v>67.040000000000006</v>
      </c>
      <c r="F14345" s="2">
        <v>2</v>
      </c>
      <c r="G14345" s="2" t="s">
        <v>9</v>
      </c>
    </row>
    <row r="14346" spans="1:9" x14ac:dyDescent="0.2">
      <c r="A14346" s="2" t="s">
        <v>3929</v>
      </c>
      <c r="B14346" s="2" t="s">
        <v>1567</v>
      </c>
      <c r="C14346" s="2">
        <v>787.46810000000005</v>
      </c>
      <c r="D14346" s="2">
        <f>HYPERLINK("http://mcb-m6.bioreg.kyushu-u.ac.jp/M3/20110411/F50892/2438/1", 93.15)</f>
        <v>93.15</v>
      </c>
      <c r="E14346" s="2">
        <v>61.67</v>
      </c>
      <c r="F14346" s="2">
        <v>2</v>
      </c>
      <c r="G14346" s="2" t="s">
        <v>9</v>
      </c>
    </row>
    <row r="14347" spans="1:9" x14ac:dyDescent="0.2">
      <c r="A14347" s="2" t="s">
        <v>3929</v>
      </c>
      <c r="B14347" s="2" t="s">
        <v>1483</v>
      </c>
      <c r="C14347" s="2">
        <v>674.65419999999995</v>
      </c>
      <c r="D14347" s="2">
        <f>HYPERLINK("http://mcb-m6.bioreg.kyushu-u.ac.jp/M3/20110414/F50929/2002/1", 99.84)</f>
        <v>99.84</v>
      </c>
      <c r="E14347" s="2">
        <v>84.72</v>
      </c>
      <c r="F14347" s="2">
        <v>2</v>
      </c>
      <c r="G14347" s="2" t="s">
        <v>11</v>
      </c>
    </row>
    <row r="14348" spans="1:9" x14ac:dyDescent="0.2">
      <c r="A14348" s="2" t="s">
        <v>3929</v>
      </c>
      <c r="B14348" s="2" t="s">
        <v>1483</v>
      </c>
      <c r="C14348" s="2">
        <v>675.14319999999998</v>
      </c>
      <c r="D14348" s="2">
        <f>HYPERLINK("http://mcb-m6.bioreg.kyushu-u.ac.jp/M3/20110502/F51182/1420/1", 90.15)</f>
        <v>90.15</v>
      </c>
      <c r="E14348" s="2">
        <v>72.36</v>
      </c>
      <c r="F14348" s="2">
        <v>2</v>
      </c>
      <c r="G14348" s="2" t="s">
        <v>14</v>
      </c>
    </row>
    <row r="14349" spans="1:9" x14ac:dyDescent="0.2">
      <c r="A14349" s="2" t="s">
        <v>4098</v>
      </c>
      <c r="B14349" s="2" t="s">
        <v>1558</v>
      </c>
      <c r="C14349" s="2">
        <v>781.38760000000002</v>
      </c>
      <c r="D14349" s="2">
        <f>HYPERLINK("http://mcb-m6.bioreg.kyushu-u.ac.jp/M3/20110411/F50889/2374/1", 92.47)</f>
        <v>92.47</v>
      </c>
      <c r="E14349" s="2">
        <v>57.11</v>
      </c>
      <c r="F14349" s="2">
        <v>2</v>
      </c>
      <c r="G14349" s="2" t="s">
        <v>9</v>
      </c>
      <c r="H14349" s="2" t="s">
        <v>4900</v>
      </c>
    </row>
    <row r="14350" spans="1:9" x14ac:dyDescent="0.2">
      <c r="A14350" s="2" t="s">
        <v>4098</v>
      </c>
      <c r="B14350" s="2" t="s">
        <v>1558</v>
      </c>
      <c r="C14350" s="2">
        <v>773.2577</v>
      </c>
      <c r="D14350" s="2">
        <f>HYPERLINK("http://mcb-m6.bioreg.kyushu-u.ac.jp/M3/20110411/F50889/2352/1", 94.47)</f>
        <v>94.47</v>
      </c>
      <c r="E14350" s="2">
        <v>63.28</v>
      </c>
      <c r="F14350" s="2">
        <v>2</v>
      </c>
      <c r="G14350" s="2" t="s">
        <v>9</v>
      </c>
    </row>
    <row r="14351" spans="1:9" x14ac:dyDescent="0.2">
      <c r="A14351" s="2" t="s">
        <v>4098</v>
      </c>
      <c r="B14351" s="2" t="s">
        <v>1558</v>
      </c>
      <c r="C14351" s="2">
        <v>772.60969999999998</v>
      </c>
      <c r="D14351" s="2">
        <f>HYPERLINK("http://mcb-m6.bioreg.kyushu-u.ac.jp/M3/20110411/F50889/2348/1", 110.94)</f>
        <v>110.94</v>
      </c>
      <c r="E14351" s="2">
        <v>71.02</v>
      </c>
      <c r="F14351" s="2">
        <v>2</v>
      </c>
      <c r="G14351" s="2" t="s">
        <v>9</v>
      </c>
    </row>
    <row r="14352" spans="1:9" x14ac:dyDescent="0.2">
      <c r="A14352" s="2" t="s">
        <v>4098</v>
      </c>
      <c r="B14352" s="2" t="s">
        <v>1558</v>
      </c>
      <c r="C14352" s="2">
        <v>781.2482</v>
      </c>
      <c r="D14352" s="2">
        <f>HYPERLINK("http://mcb-m6.bioreg.kyushu-u.ac.jp/M3/20110411/F50896/2298/1", 100.12)</f>
        <v>100.12</v>
      </c>
      <c r="E14352" s="2">
        <v>75</v>
      </c>
      <c r="F14352" s="2">
        <v>2</v>
      </c>
      <c r="G14352" s="2" t="s">
        <v>10</v>
      </c>
      <c r="H14352" s="2" t="s">
        <v>4900</v>
      </c>
    </row>
    <row r="14353" spans="1:9" x14ac:dyDescent="0.2">
      <c r="A14353" s="2" t="s">
        <v>4098</v>
      </c>
      <c r="B14353" s="2" t="s">
        <v>1558</v>
      </c>
      <c r="C14353" s="2">
        <v>781.21169999999995</v>
      </c>
      <c r="D14353" s="2">
        <f>HYPERLINK("http://mcb-m6.bioreg.kyushu-u.ac.jp/M3/20110414/F50926/2347/1", 96.14)</f>
        <v>96.14</v>
      </c>
      <c r="E14353" s="2">
        <v>60.43</v>
      </c>
      <c r="F14353" s="2">
        <v>2</v>
      </c>
      <c r="G14353" s="2" t="s">
        <v>11</v>
      </c>
      <c r="H14353" s="2" t="s">
        <v>4900</v>
      </c>
    </row>
    <row r="14354" spans="1:9" x14ac:dyDescent="0.2">
      <c r="A14354" s="2" t="s">
        <v>3867</v>
      </c>
      <c r="B14354" s="2" t="s">
        <v>982</v>
      </c>
      <c r="C14354" s="2">
        <v>858.90470000000005</v>
      </c>
      <c r="D14354" s="2">
        <f>HYPERLINK("http://mcb-m6.bioreg.kyushu-u.ac.jp/M3/20110411/F50889/2579/1", 57.8)</f>
        <v>57.8</v>
      </c>
      <c r="E14354" s="2">
        <v>44.97</v>
      </c>
      <c r="F14354" s="2">
        <v>2</v>
      </c>
      <c r="G14354" s="2" t="s">
        <v>9</v>
      </c>
      <c r="H14354" s="2" t="s">
        <v>4900</v>
      </c>
    </row>
    <row r="14355" spans="1:9" x14ac:dyDescent="0.2">
      <c r="A14355" s="2" t="s">
        <v>3867</v>
      </c>
      <c r="B14355" s="2" t="s">
        <v>982</v>
      </c>
      <c r="C14355" s="2">
        <v>851.32569999999998</v>
      </c>
      <c r="D14355" s="2">
        <f>HYPERLINK("http://mcb-m6.bioreg.kyushu-u.ac.jp/M3/20110411/F50889/2566/1", 67.1)</f>
        <v>67.099999999999994</v>
      </c>
      <c r="E14355" s="2">
        <v>48.07</v>
      </c>
      <c r="F14355" s="2">
        <v>2</v>
      </c>
      <c r="G14355" s="2" t="s">
        <v>9</v>
      </c>
    </row>
    <row r="14356" spans="1:9" x14ac:dyDescent="0.2">
      <c r="A14356" s="2" t="s">
        <v>3867</v>
      </c>
      <c r="B14356" s="2" t="s">
        <v>982</v>
      </c>
      <c r="C14356" s="2">
        <v>850.71220000000005</v>
      </c>
      <c r="D14356" s="2">
        <f>HYPERLINK("http://mcb-m6.bioreg.kyushu-u.ac.jp/M3/20110411/F50889/2565/1", 78.29)</f>
        <v>78.290000000000006</v>
      </c>
      <c r="E14356" s="2">
        <v>60.79</v>
      </c>
      <c r="F14356" s="2">
        <v>2</v>
      </c>
      <c r="G14356" s="2" t="s">
        <v>9</v>
      </c>
    </row>
    <row r="14357" spans="1:9" x14ac:dyDescent="0.2">
      <c r="A14357" s="2" t="s">
        <v>4861</v>
      </c>
      <c r="B14357" s="2" t="s">
        <v>3150</v>
      </c>
      <c r="C14357" s="2">
        <v>1192.653</v>
      </c>
      <c r="D14357" s="2">
        <f>HYPERLINK("http://mcb-m6.bioreg.kyushu-u.ac.jp/M3/20110502/F51177/3737/1", 52.54)</f>
        <v>52.54</v>
      </c>
      <c r="E14357" s="2">
        <v>45.97</v>
      </c>
      <c r="F14357" s="2">
        <v>2</v>
      </c>
      <c r="G14357" s="2" t="s">
        <v>14</v>
      </c>
    </row>
    <row r="14358" spans="1:9" x14ac:dyDescent="0.2">
      <c r="A14358" s="2" t="s">
        <v>4861</v>
      </c>
      <c r="B14358" s="2" t="s">
        <v>3159</v>
      </c>
      <c r="C14358" s="2">
        <v>1080.1320000000001</v>
      </c>
      <c r="D14358" s="2">
        <f>HYPERLINK("http://mcb-m6.bioreg.kyushu-u.ac.jp/M3/20110502/F51177/3411/1", 55)</f>
        <v>55</v>
      </c>
      <c r="E14358" s="2">
        <v>42.63</v>
      </c>
      <c r="F14358" s="2">
        <v>2</v>
      </c>
      <c r="G14358" s="2" t="s">
        <v>14</v>
      </c>
    </row>
    <row r="14359" spans="1:9" x14ac:dyDescent="0.2">
      <c r="A14359" s="2" t="s">
        <v>4861</v>
      </c>
      <c r="B14359" s="2" t="s">
        <v>3202</v>
      </c>
      <c r="C14359" s="2">
        <v>921.58320000000003</v>
      </c>
      <c r="D14359" s="2">
        <f>HYPERLINK("http://mcb-m6.bioreg.kyushu-u.ac.jp/M3/20110502/F51177/2834/1", 71.86)</f>
        <v>71.86</v>
      </c>
      <c r="E14359" s="2">
        <v>57.06</v>
      </c>
      <c r="F14359" s="2">
        <v>2</v>
      </c>
      <c r="G14359" s="2" t="s">
        <v>14</v>
      </c>
    </row>
    <row r="14360" spans="1:9" x14ac:dyDescent="0.2">
      <c r="A14360" s="2" t="s">
        <v>4861</v>
      </c>
      <c r="B14360" s="2" t="s">
        <v>3233</v>
      </c>
      <c r="C14360" s="2">
        <v>1015.129</v>
      </c>
      <c r="D14360" s="2">
        <f>HYPERLINK("http://mcb-m6.bioreg.kyushu-u.ac.jp/M3/20110502/F51177/3161/1", 114.41)</f>
        <v>114.41</v>
      </c>
      <c r="E14360" s="2">
        <v>106.08</v>
      </c>
      <c r="F14360" s="2">
        <v>2</v>
      </c>
      <c r="G14360" s="2" t="s">
        <v>14</v>
      </c>
    </row>
    <row r="14361" spans="1:9" x14ac:dyDescent="0.2">
      <c r="A14361" s="2" t="s">
        <v>4840</v>
      </c>
      <c r="B14361" s="2" t="s">
        <v>3107</v>
      </c>
      <c r="C14361" s="2">
        <v>494.53309999999999</v>
      </c>
      <c r="D14361" s="2">
        <f>HYPERLINK("http://mcb-m6.bioreg.kyushu-u.ac.jp/M3/20110502/F51177/614/1", 45.95)</f>
        <v>45.95</v>
      </c>
      <c r="E14361" s="2">
        <v>17.079999999999998</v>
      </c>
      <c r="F14361" s="2">
        <v>2</v>
      </c>
      <c r="G14361" s="2" t="s">
        <v>14</v>
      </c>
    </row>
    <row r="14362" spans="1:9" x14ac:dyDescent="0.2">
      <c r="A14362" s="2" t="s">
        <v>4840</v>
      </c>
      <c r="B14362" s="2" t="s">
        <v>3209</v>
      </c>
      <c r="C14362" s="2">
        <v>694.55619999999999</v>
      </c>
      <c r="D14362" s="2">
        <f>HYPERLINK("http://mcb-m6.bioreg.kyushu-u.ac.jp/M3/20110502/F51177/1569/1", 74.58)</f>
        <v>74.58</v>
      </c>
      <c r="E14362" s="2">
        <v>48.47</v>
      </c>
      <c r="F14362" s="2">
        <v>2</v>
      </c>
      <c r="G14362" s="2" t="s">
        <v>14</v>
      </c>
    </row>
    <row r="14363" spans="1:9" x14ac:dyDescent="0.2">
      <c r="A14363" s="2" t="s">
        <v>4145</v>
      </c>
      <c r="B14363" s="2" t="s">
        <v>1696</v>
      </c>
      <c r="C14363" s="2">
        <v>757.07119999999998</v>
      </c>
      <c r="D14363" s="2">
        <f>HYPERLINK("http://mcb-m6.bioreg.kyushu-u.ac.jp/M3/20110411/F50920/1647/1", 35.42)</f>
        <v>35.42</v>
      </c>
      <c r="E14363" s="2">
        <v>16.420000000000002</v>
      </c>
      <c r="F14363" s="2">
        <v>2</v>
      </c>
      <c r="G14363" s="2" t="s">
        <v>10</v>
      </c>
    </row>
    <row r="14364" spans="1:9" x14ac:dyDescent="0.2">
      <c r="A14364" s="2" t="s">
        <v>4145</v>
      </c>
      <c r="B14364" s="2" t="s">
        <v>2590</v>
      </c>
      <c r="C14364" s="2">
        <v>843.85059999999999</v>
      </c>
      <c r="D14364" s="2">
        <f>HYPERLINK("http://mcb-m6.bioreg.kyushu-u.ac.jp/M3/20110414/F50933/2819/1", 40.05)</f>
        <v>40.049999999999997</v>
      </c>
      <c r="E14364" s="2">
        <v>31.31</v>
      </c>
      <c r="F14364" s="2">
        <v>2</v>
      </c>
      <c r="G14364" s="2" t="s">
        <v>12</v>
      </c>
    </row>
    <row r="14365" spans="1:9" x14ac:dyDescent="0.2">
      <c r="A14365" s="2" t="s">
        <v>4145</v>
      </c>
      <c r="B14365" s="2" t="s">
        <v>3015</v>
      </c>
      <c r="C14365" s="2">
        <v>530.55619999999999</v>
      </c>
      <c r="D14365" s="2">
        <f>HYPERLINK("http://mcb-m6.bioreg.kyushu-u.ac.jp/M3/20110502/F51177/778/1", 38.23)</f>
        <v>38.229999999999997</v>
      </c>
      <c r="E14365" s="2">
        <v>10.53</v>
      </c>
      <c r="F14365" s="2">
        <v>2</v>
      </c>
      <c r="G14365" s="2" t="s">
        <v>14</v>
      </c>
    </row>
    <row r="14366" spans="1:9" x14ac:dyDescent="0.2">
      <c r="A14366" s="2" t="s">
        <v>4145</v>
      </c>
      <c r="B14366" s="2" t="s">
        <v>1696</v>
      </c>
      <c r="C14366" s="2">
        <v>757.12919999999997</v>
      </c>
      <c r="D14366" s="2">
        <f>HYPERLINK("http://mcb-m6.bioreg.kyushu-u.ac.jp/M3/20110502/F51177/1954/1", 82.39)</f>
        <v>82.39</v>
      </c>
      <c r="E14366" s="2">
        <v>50.03</v>
      </c>
      <c r="F14366" s="2">
        <v>2</v>
      </c>
      <c r="G14366" s="2" t="s">
        <v>14</v>
      </c>
    </row>
    <row r="14367" spans="1:9" x14ac:dyDescent="0.2">
      <c r="A14367" s="2" t="s">
        <v>4145</v>
      </c>
      <c r="B14367" s="2" t="s">
        <v>2590</v>
      </c>
      <c r="C14367" s="2">
        <v>843.66520000000003</v>
      </c>
      <c r="D14367" s="2">
        <f>HYPERLINK("http://mcb-m6.bioreg.kyushu-u.ac.jp/M3/20110502/F51177/2444/1", 99.38)</f>
        <v>99.38</v>
      </c>
      <c r="E14367" s="2">
        <v>76.06</v>
      </c>
      <c r="F14367" s="2">
        <v>2</v>
      </c>
      <c r="G14367" s="2" t="s">
        <v>14</v>
      </c>
    </row>
    <row r="14368" spans="1:9" x14ac:dyDescent="0.2">
      <c r="A14368" s="2" t="s">
        <v>3298</v>
      </c>
      <c r="B14368" s="2" t="s">
        <v>79</v>
      </c>
      <c r="C14368" s="2">
        <v>873.17169999999999</v>
      </c>
      <c r="D14368" s="2">
        <f>HYPERLINK("http://mcb-m6.bioreg.kyushu-u.ac.jp/M3/20110411/F50911/2800/1", 35.74)</f>
        <v>35.74</v>
      </c>
      <c r="E14368" s="2">
        <v>10.71</v>
      </c>
      <c r="F14368" s="2">
        <v>2</v>
      </c>
      <c r="G14368" s="2" t="s">
        <v>9</v>
      </c>
      <c r="I14368" s="2" t="s">
        <v>4899</v>
      </c>
    </row>
    <row r="14369" spans="1:9" x14ac:dyDescent="0.2">
      <c r="A14369" s="2" t="s">
        <v>3298</v>
      </c>
      <c r="B14369" s="2" t="s">
        <v>416</v>
      </c>
      <c r="C14369" s="2">
        <v>1302.288</v>
      </c>
      <c r="D14369" s="2">
        <f>HYPERLINK("http://mcb-m6.bioreg.kyushu-u.ac.jp/M3/20110411/F50911/1614/1", 41.39)</f>
        <v>41.39</v>
      </c>
      <c r="E14369" s="2">
        <v>29.02</v>
      </c>
      <c r="F14369" s="2">
        <v>1</v>
      </c>
      <c r="G14369" s="2" t="s">
        <v>9</v>
      </c>
    </row>
    <row r="14370" spans="1:9" x14ac:dyDescent="0.2">
      <c r="A14370" s="2" t="s">
        <v>3298</v>
      </c>
      <c r="B14370" s="2" t="s">
        <v>416</v>
      </c>
      <c r="C14370" s="2">
        <v>651.51670000000001</v>
      </c>
      <c r="D14370" s="2">
        <f>HYPERLINK("http://mcb-m6.bioreg.kyushu-u.ac.jp/M3/20110411/F50911/1613/1", 80.9)</f>
        <v>80.900000000000006</v>
      </c>
      <c r="E14370" s="2">
        <v>56.97</v>
      </c>
      <c r="F14370" s="2">
        <v>2</v>
      </c>
      <c r="G14370" s="2" t="s">
        <v>9</v>
      </c>
    </row>
    <row r="14371" spans="1:9" x14ac:dyDescent="0.2">
      <c r="A14371" s="2" t="s">
        <v>3298</v>
      </c>
      <c r="B14371" s="2" t="s">
        <v>1446</v>
      </c>
      <c r="C14371" s="2">
        <v>527.0231</v>
      </c>
      <c r="D14371" s="2">
        <f>HYPERLINK("http://mcb-m6.bioreg.kyushu-u.ac.jp/M3/20110411/F50911/1082/1", 81.03)</f>
        <v>81.03</v>
      </c>
      <c r="E14371" s="2">
        <v>34.549999999999997</v>
      </c>
      <c r="F14371" s="2">
        <v>2</v>
      </c>
      <c r="G14371" s="2" t="s">
        <v>9</v>
      </c>
    </row>
    <row r="14372" spans="1:9" x14ac:dyDescent="0.2">
      <c r="A14372" s="2" t="s">
        <v>3298</v>
      </c>
      <c r="B14372" s="2" t="s">
        <v>1552</v>
      </c>
      <c r="C14372" s="2">
        <v>847.05909999999994</v>
      </c>
      <c r="D14372" s="2">
        <f>HYPERLINK("http://mcb-m6.bioreg.kyushu-u.ac.jp/M3/20110411/F50911/2655/1", 91.94)</f>
        <v>91.94</v>
      </c>
      <c r="E14372" s="2">
        <v>67.86</v>
      </c>
      <c r="F14372" s="2">
        <v>2</v>
      </c>
      <c r="G14372" s="2" t="s">
        <v>9</v>
      </c>
      <c r="I14372" s="2" t="s">
        <v>4903</v>
      </c>
    </row>
    <row r="14373" spans="1:9" x14ac:dyDescent="0.2">
      <c r="A14373" s="2" t="s">
        <v>3298</v>
      </c>
      <c r="B14373" s="2" t="s">
        <v>1670</v>
      </c>
      <c r="C14373" s="2">
        <v>1139.165</v>
      </c>
      <c r="D14373" s="2">
        <f>HYPERLINK("http://mcb-m6.bioreg.kyushu-u.ac.jp/M3/20110411/F50911/3824/1", 121.61)</f>
        <v>121.61</v>
      </c>
      <c r="E14373" s="2">
        <v>106.86</v>
      </c>
      <c r="F14373" s="2">
        <v>2</v>
      </c>
      <c r="G14373" s="2" t="s">
        <v>9</v>
      </c>
    </row>
    <row r="14374" spans="1:9" x14ac:dyDescent="0.2">
      <c r="A14374" s="2" t="s">
        <v>3298</v>
      </c>
      <c r="B14374" s="2" t="s">
        <v>416</v>
      </c>
      <c r="C14374" s="2">
        <v>1301.5360000000001</v>
      </c>
      <c r="D14374" s="2">
        <f>HYPERLINK("http://mcb-m6.bioreg.kyushu-u.ac.jp/M3/20110411/F50914/1658/1", 41.75)</f>
        <v>41.75</v>
      </c>
      <c r="E14374" s="2">
        <v>31.77</v>
      </c>
      <c r="F14374" s="2">
        <v>1</v>
      </c>
      <c r="G14374" s="2" t="s">
        <v>10</v>
      </c>
    </row>
    <row r="14375" spans="1:9" x14ac:dyDescent="0.2">
      <c r="A14375" s="2" t="s">
        <v>3298</v>
      </c>
      <c r="B14375" s="2" t="s">
        <v>79</v>
      </c>
      <c r="C14375" s="2">
        <v>873.19169999999997</v>
      </c>
      <c r="D14375" s="2">
        <f>HYPERLINK("http://mcb-m6.bioreg.kyushu-u.ac.jp/M3/20110411/F50914/2700/1", 50.33)</f>
        <v>50.33</v>
      </c>
      <c r="E14375" s="2">
        <v>34.94</v>
      </c>
      <c r="F14375" s="2">
        <v>2</v>
      </c>
      <c r="G14375" s="2" t="s">
        <v>10</v>
      </c>
      <c r="I14375" s="2" t="s">
        <v>4899</v>
      </c>
    </row>
    <row r="14376" spans="1:9" x14ac:dyDescent="0.2">
      <c r="A14376" s="2" t="s">
        <v>3298</v>
      </c>
      <c r="B14376" s="2" t="s">
        <v>1446</v>
      </c>
      <c r="C14376" s="2">
        <v>526.91020000000003</v>
      </c>
      <c r="D14376" s="2">
        <f>HYPERLINK("http://mcb-m6.bioreg.kyushu-u.ac.jp/M3/20110411/F50914/1171/1", 57.72)</f>
        <v>57.72</v>
      </c>
      <c r="E14376" s="2">
        <v>35.4</v>
      </c>
      <c r="F14376" s="2">
        <v>2</v>
      </c>
      <c r="G14376" s="2" t="s">
        <v>10</v>
      </c>
    </row>
    <row r="14377" spans="1:9" x14ac:dyDescent="0.2">
      <c r="A14377" s="2" t="s">
        <v>3298</v>
      </c>
      <c r="B14377" s="2" t="s">
        <v>1446</v>
      </c>
      <c r="C14377" s="2">
        <v>527.0172</v>
      </c>
      <c r="D14377" s="2">
        <f>HYPERLINK("http://mcb-m6.bioreg.kyushu-u.ac.jp/M3/20110411/F50913/1121/1", 69.1)</f>
        <v>69.099999999999994</v>
      </c>
      <c r="E14377" s="2">
        <v>35.72</v>
      </c>
      <c r="F14377" s="2">
        <v>2</v>
      </c>
      <c r="G14377" s="2" t="s">
        <v>10</v>
      </c>
    </row>
    <row r="14378" spans="1:9" x14ac:dyDescent="0.2">
      <c r="A14378" s="2" t="s">
        <v>3298</v>
      </c>
      <c r="B14378" s="2" t="s">
        <v>416</v>
      </c>
      <c r="C14378" s="2">
        <v>651.38070000000005</v>
      </c>
      <c r="D14378" s="2">
        <f>HYPERLINK("http://mcb-m6.bioreg.kyushu-u.ac.jp/M3/20110411/F50914/1659/1", 76.78)</f>
        <v>76.78</v>
      </c>
      <c r="E14378" s="2">
        <v>59.66</v>
      </c>
      <c r="F14378" s="2">
        <v>2</v>
      </c>
      <c r="G14378" s="2" t="s">
        <v>10</v>
      </c>
    </row>
    <row r="14379" spans="1:9" x14ac:dyDescent="0.2">
      <c r="A14379" s="2" t="s">
        <v>3298</v>
      </c>
      <c r="B14379" s="2" t="s">
        <v>79</v>
      </c>
      <c r="C14379" s="2">
        <v>873.21119999999996</v>
      </c>
      <c r="D14379" s="2">
        <f>HYPERLINK("http://mcb-m6.bioreg.kyushu-u.ac.jp/M3/20110411/F50913/2649/1", 80.37)</f>
        <v>80.37</v>
      </c>
      <c r="E14379" s="2">
        <v>62.59</v>
      </c>
      <c r="F14379" s="2">
        <v>2</v>
      </c>
      <c r="G14379" s="2" t="s">
        <v>10</v>
      </c>
      <c r="I14379" s="2" t="s">
        <v>4899</v>
      </c>
    </row>
    <row r="14380" spans="1:9" x14ac:dyDescent="0.2">
      <c r="A14380" s="2" t="s">
        <v>3298</v>
      </c>
      <c r="B14380" s="2" t="s">
        <v>79</v>
      </c>
      <c r="C14380" s="2">
        <v>873.22519999999997</v>
      </c>
      <c r="D14380" s="2">
        <f>HYPERLINK("http://mcb-m6.bioreg.kyushu-u.ac.jp/M3/20110411/F50914/2702/1", 100.86)</f>
        <v>100.86</v>
      </c>
      <c r="E14380" s="2">
        <v>84.77</v>
      </c>
      <c r="F14380" s="2">
        <v>2</v>
      </c>
      <c r="G14380" s="2" t="s">
        <v>10</v>
      </c>
      <c r="I14380" s="2" t="s">
        <v>4899</v>
      </c>
    </row>
    <row r="14381" spans="1:9" x14ac:dyDescent="0.2">
      <c r="A14381" s="2" t="s">
        <v>3298</v>
      </c>
      <c r="B14381" s="2" t="s">
        <v>1670</v>
      </c>
      <c r="C14381" s="2">
        <v>1139.0930000000001</v>
      </c>
      <c r="D14381" s="2">
        <f>HYPERLINK("http://mcb-m6.bioreg.kyushu-u.ac.jp/M3/20110411/F50914/3570/1", 119.07)</f>
        <v>119.07</v>
      </c>
      <c r="E14381" s="2">
        <v>110.65</v>
      </c>
      <c r="F14381" s="2">
        <v>2</v>
      </c>
      <c r="G14381" s="2" t="s">
        <v>10</v>
      </c>
    </row>
    <row r="14382" spans="1:9" x14ac:dyDescent="0.2">
      <c r="A14382" s="2" t="s">
        <v>3298</v>
      </c>
      <c r="B14382" s="2" t="s">
        <v>1552</v>
      </c>
      <c r="C14382" s="2">
        <v>847.09010000000001</v>
      </c>
      <c r="D14382" s="2">
        <f>HYPERLINK("http://mcb-m6.bioreg.kyushu-u.ac.jp/M3/20110411/F50914/2572/1", 120.44)</f>
        <v>120.44</v>
      </c>
      <c r="E14382" s="2">
        <v>95.69</v>
      </c>
      <c r="F14382" s="2">
        <v>2</v>
      </c>
      <c r="G14382" s="2" t="s">
        <v>10</v>
      </c>
      <c r="I14382" s="2" t="s">
        <v>4903</v>
      </c>
    </row>
    <row r="14383" spans="1:9" x14ac:dyDescent="0.2">
      <c r="A14383" s="2" t="s">
        <v>3298</v>
      </c>
      <c r="B14383" s="2" t="s">
        <v>1552</v>
      </c>
      <c r="C14383" s="2">
        <v>846.93020000000001</v>
      </c>
      <c r="D14383" s="2">
        <f>HYPERLINK("http://mcb-m6.bioreg.kyushu-u.ac.jp/M3/20110414/F50942/2511/1", 38.82)</f>
        <v>38.82</v>
      </c>
      <c r="E14383" s="2">
        <v>28.07</v>
      </c>
      <c r="F14383" s="2">
        <v>2</v>
      </c>
      <c r="G14383" s="2" t="s">
        <v>11</v>
      </c>
      <c r="I14383" s="2" t="s">
        <v>4903</v>
      </c>
    </row>
    <row r="14384" spans="1:9" x14ac:dyDescent="0.2">
      <c r="A14384" s="2" t="s">
        <v>3298</v>
      </c>
      <c r="B14384" s="2" t="s">
        <v>1552</v>
      </c>
      <c r="C14384" s="2">
        <v>855.3972</v>
      </c>
      <c r="D14384" s="2">
        <f>HYPERLINK("http://mcb-m6.bioreg.kyushu-u.ac.jp/M3/20110414/F50942/2573/1", 43.39)</f>
        <v>43.39</v>
      </c>
      <c r="E14384" s="2">
        <v>26.31</v>
      </c>
      <c r="F14384" s="2">
        <v>2</v>
      </c>
      <c r="G14384" s="2" t="s">
        <v>11</v>
      </c>
      <c r="H14384" s="2" t="s">
        <v>4915</v>
      </c>
      <c r="I14384" s="2" t="s">
        <v>4903</v>
      </c>
    </row>
    <row r="14385" spans="1:9" x14ac:dyDescent="0.2">
      <c r="A14385" s="2" t="s">
        <v>3298</v>
      </c>
      <c r="B14385" s="2" t="s">
        <v>2371</v>
      </c>
      <c r="C14385" s="2">
        <v>521.6617</v>
      </c>
      <c r="D14385" s="2">
        <f>HYPERLINK("http://mcb-m6.bioreg.kyushu-u.ac.jp/M3/20110414/F50942/891/1", 51.21)</f>
        <v>51.21</v>
      </c>
      <c r="E14385" s="2">
        <v>29.82</v>
      </c>
      <c r="F14385" s="2">
        <v>2</v>
      </c>
      <c r="G14385" s="2" t="s">
        <v>11</v>
      </c>
    </row>
    <row r="14386" spans="1:9" x14ac:dyDescent="0.2">
      <c r="A14386" s="2" t="s">
        <v>3298</v>
      </c>
      <c r="B14386" s="2" t="s">
        <v>416</v>
      </c>
      <c r="C14386" s="2">
        <v>651.28859999999997</v>
      </c>
      <c r="D14386" s="2">
        <f>HYPERLINK("http://mcb-m6.bioreg.kyushu-u.ac.jp/M3/20110414/F50942/1429/1", 56.11)</f>
        <v>56.11</v>
      </c>
      <c r="E14386" s="2">
        <v>45.89</v>
      </c>
      <c r="F14386" s="2">
        <v>2</v>
      </c>
      <c r="G14386" s="2" t="s">
        <v>11</v>
      </c>
    </row>
    <row r="14387" spans="1:9" x14ac:dyDescent="0.2">
      <c r="A14387" s="2" t="s">
        <v>3298</v>
      </c>
      <c r="B14387" s="2" t="s">
        <v>1446</v>
      </c>
      <c r="C14387" s="2">
        <v>527.23569999999995</v>
      </c>
      <c r="D14387" s="2">
        <f>HYPERLINK("http://mcb-m6.bioreg.kyushu-u.ac.jp/M3/20110414/F50941/1012/1", 58.3)</f>
        <v>58.3</v>
      </c>
      <c r="E14387" s="2">
        <v>26.35</v>
      </c>
      <c r="F14387" s="2">
        <v>2</v>
      </c>
      <c r="G14387" s="2" t="s">
        <v>11</v>
      </c>
    </row>
    <row r="14388" spans="1:9" x14ac:dyDescent="0.2">
      <c r="A14388" s="2" t="s">
        <v>3298</v>
      </c>
      <c r="B14388" s="2" t="s">
        <v>416</v>
      </c>
      <c r="C14388" s="2">
        <v>659.35310000000004</v>
      </c>
      <c r="D14388" s="2">
        <f>HYPERLINK("http://mcb-m6.bioreg.kyushu-u.ac.jp/M3/20110414/F50942/1472/1", 58.96)</f>
        <v>58.96</v>
      </c>
      <c r="E14388" s="2">
        <v>39.380000000000003</v>
      </c>
      <c r="F14388" s="2">
        <v>2</v>
      </c>
      <c r="G14388" s="2" t="s">
        <v>11</v>
      </c>
      <c r="H14388" s="2" t="s">
        <v>4901</v>
      </c>
    </row>
    <row r="14389" spans="1:9" x14ac:dyDescent="0.2">
      <c r="A14389" s="2" t="s">
        <v>3298</v>
      </c>
      <c r="B14389" s="2" t="s">
        <v>79</v>
      </c>
      <c r="C14389" s="2">
        <v>873.40920000000006</v>
      </c>
      <c r="D14389" s="2">
        <f>HYPERLINK("http://mcb-m6.bioreg.kyushu-u.ac.jp/M3/20110414/F50942/2692/1", 76.77)</f>
        <v>76.77</v>
      </c>
      <c r="E14389" s="2">
        <v>58.76</v>
      </c>
      <c r="F14389" s="2">
        <v>2</v>
      </c>
      <c r="G14389" s="2" t="s">
        <v>11</v>
      </c>
      <c r="I14389" s="2" t="s">
        <v>4899</v>
      </c>
    </row>
    <row r="14390" spans="1:9" x14ac:dyDescent="0.2">
      <c r="A14390" s="2" t="s">
        <v>3298</v>
      </c>
      <c r="B14390" s="2" t="s">
        <v>79</v>
      </c>
      <c r="C14390" s="2">
        <v>873.41719999999998</v>
      </c>
      <c r="D14390" s="2">
        <f>HYPERLINK("http://mcb-m6.bioreg.kyushu-u.ac.jp/M3/20110414/F50943/2593/1", 87.67)</f>
        <v>87.67</v>
      </c>
      <c r="E14390" s="2">
        <v>64.09</v>
      </c>
      <c r="F14390" s="2">
        <v>2</v>
      </c>
      <c r="G14390" s="2" t="s">
        <v>11</v>
      </c>
      <c r="I14390" s="2" t="s">
        <v>4899</v>
      </c>
    </row>
    <row r="14391" spans="1:9" x14ac:dyDescent="0.2">
      <c r="A14391" s="2" t="s">
        <v>3298</v>
      </c>
      <c r="B14391" s="2" t="s">
        <v>1670</v>
      </c>
      <c r="C14391" s="2">
        <v>1139.5139999999999</v>
      </c>
      <c r="D14391" s="2">
        <f>HYPERLINK("http://mcb-m6.bioreg.kyushu-u.ac.jp/M3/20110414/F50942/3960/1", 108.84)</f>
        <v>108.84</v>
      </c>
      <c r="E14391" s="2">
        <v>97.34</v>
      </c>
      <c r="F14391" s="2">
        <v>2</v>
      </c>
      <c r="G14391" s="2" t="s">
        <v>11</v>
      </c>
    </row>
    <row r="14392" spans="1:9" x14ac:dyDescent="0.2">
      <c r="A14392" s="2" t="s">
        <v>3298</v>
      </c>
      <c r="B14392" s="2" t="s">
        <v>79</v>
      </c>
      <c r="C14392" s="2">
        <v>872.87570000000005</v>
      </c>
      <c r="D14392" s="2">
        <f>HYPERLINK("http://mcb-m6.bioreg.kyushu-u.ac.jp/M3/20110414/F50941/2800/1", 111.43)</f>
        <v>111.43</v>
      </c>
      <c r="E14392" s="2">
        <v>99.45</v>
      </c>
      <c r="F14392" s="2">
        <v>2</v>
      </c>
      <c r="G14392" s="2" t="s">
        <v>11</v>
      </c>
      <c r="I14392" s="2" t="s">
        <v>4899</v>
      </c>
    </row>
    <row r="14393" spans="1:9" x14ac:dyDescent="0.2">
      <c r="A14393" s="2" t="s">
        <v>3298</v>
      </c>
      <c r="B14393" s="2" t="s">
        <v>79</v>
      </c>
      <c r="C14393" s="2">
        <v>872.85310000000004</v>
      </c>
      <c r="D14393" s="2">
        <f>HYPERLINK("http://mcb-m6.bioreg.kyushu-u.ac.jp/M3/20110414/F50942/2684/1", 127.22)</f>
        <v>127.22</v>
      </c>
      <c r="E14393" s="2">
        <v>109.84</v>
      </c>
      <c r="F14393" s="2">
        <v>2</v>
      </c>
      <c r="G14393" s="2" t="s">
        <v>11</v>
      </c>
      <c r="I14393" s="2" t="s">
        <v>4899</v>
      </c>
    </row>
    <row r="14394" spans="1:9" x14ac:dyDescent="0.2">
      <c r="A14394" s="2" t="s">
        <v>3298</v>
      </c>
      <c r="B14394" s="2" t="s">
        <v>79</v>
      </c>
      <c r="C14394" s="2">
        <v>872.62070000000006</v>
      </c>
      <c r="D14394" s="2">
        <f>HYPERLINK("http://mcb-m6.bioreg.kyushu-u.ac.jp/M3/20110414/F50948/2845/1", 37.94)</f>
        <v>37.94</v>
      </c>
      <c r="E14394" s="2">
        <v>15.48</v>
      </c>
      <c r="F14394" s="2">
        <v>2</v>
      </c>
      <c r="G14394" s="2" t="s">
        <v>12</v>
      </c>
      <c r="I14394" s="2" t="s">
        <v>4899</v>
      </c>
    </row>
    <row r="14395" spans="1:9" x14ac:dyDescent="0.2">
      <c r="A14395" s="2" t="s">
        <v>3298</v>
      </c>
      <c r="B14395" s="2" t="s">
        <v>1552</v>
      </c>
      <c r="C14395" s="2">
        <v>854.67409999999995</v>
      </c>
      <c r="D14395" s="2">
        <f>HYPERLINK("http://mcb-m6.bioreg.kyushu-u.ac.jp/M3/20110414/F50948/2750/1", 54.53)</f>
        <v>54.53</v>
      </c>
      <c r="E14395" s="2">
        <v>41.27</v>
      </c>
      <c r="F14395" s="2">
        <v>2</v>
      </c>
      <c r="G14395" s="2" t="s">
        <v>12</v>
      </c>
      <c r="H14395" s="2" t="s">
        <v>4915</v>
      </c>
      <c r="I14395" s="2" t="s">
        <v>4903</v>
      </c>
    </row>
    <row r="14396" spans="1:9" x14ac:dyDescent="0.2">
      <c r="A14396" s="2" t="s">
        <v>3298</v>
      </c>
      <c r="B14396" s="2" t="s">
        <v>416</v>
      </c>
      <c r="C14396" s="2">
        <v>659.23109999999997</v>
      </c>
      <c r="D14396" s="2">
        <f>HYPERLINK("http://mcb-m6.bioreg.kyushu-u.ac.jp/M3/20110414/F50948/1548/1", 57.53)</f>
        <v>57.53</v>
      </c>
      <c r="E14396" s="2">
        <v>38.53</v>
      </c>
      <c r="F14396" s="2">
        <v>2</v>
      </c>
      <c r="G14396" s="2" t="s">
        <v>12</v>
      </c>
      <c r="H14396" s="2" t="s">
        <v>4901</v>
      </c>
    </row>
    <row r="14397" spans="1:9" x14ac:dyDescent="0.2">
      <c r="A14397" s="2" t="s">
        <v>3298</v>
      </c>
      <c r="B14397" s="2" t="s">
        <v>79</v>
      </c>
      <c r="C14397" s="2">
        <v>872.5367</v>
      </c>
      <c r="D14397" s="2">
        <f>HYPERLINK("http://mcb-m6.bioreg.kyushu-u.ac.jp/M3/20110414/F50948/2842/1", 59.61)</f>
        <v>59.61</v>
      </c>
      <c r="E14397" s="2">
        <v>38.770000000000003</v>
      </c>
      <c r="F14397" s="2">
        <v>2</v>
      </c>
      <c r="G14397" s="2" t="s">
        <v>12</v>
      </c>
      <c r="I14397" s="2" t="s">
        <v>4899</v>
      </c>
    </row>
    <row r="14398" spans="1:9" x14ac:dyDescent="0.2">
      <c r="A14398" s="2" t="s">
        <v>3298</v>
      </c>
      <c r="B14398" s="2" t="s">
        <v>79</v>
      </c>
      <c r="C14398" s="2">
        <v>872.67660000000001</v>
      </c>
      <c r="D14398" s="2">
        <f>HYPERLINK("http://mcb-m6.bioreg.kyushu-u.ac.jp/M3/20110414/F50948/2846/1", 62.39)</f>
        <v>62.39</v>
      </c>
      <c r="E14398" s="2">
        <v>49.2</v>
      </c>
      <c r="F14398" s="2">
        <v>2</v>
      </c>
      <c r="G14398" s="2" t="s">
        <v>12</v>
      </c>
      <c r="I14398" s="2" t="s">
        <v>4899</v>
      </c>
    </row>
    <row r="14399" spans="1:9" x14ac:dyDescent="0.2">
      <c r="A14399" s="2" t="s">
        <v>3298</v>
      </c>
      <c r="B14399" s="2" t="s">
        <v>2371</v>
      </c>
      <c r="C14399" s="2">
        <v>522.13120000000004</v>
      </c>
      <c r="D14399" s="2">
        <f>HYPERLINK("http://mcb-m6.bioreg.kyushu-u.ac.jp/M3/20110414/F50948/908/1", 62.6)</f>
        <v>62.6</v>
      </c>
      <c r="E14399" s="2">
        <v>40.61</v>
      </c>
      <c r="F14399" s="2">
        <v>2</v>
      </c>
      <c r="G14399" s="2" t="s">
        <v>12</v>
      </c>
    </row>
    <row r="14400" spans="1:9" x14ac:dyDescent="0.2">
      <c r="A14400" s="2" t="s">
        <v>3298</v>
      </c>
      <c r="B14400" s="2" t="s">
        <v>79</v>
      </c>
      <c r="C14400" s="2">
        <v>873.40309999999999</v>
      </c>
      <c r="D14400" s="2">
        <f>HYPERLINK("http://mcb-m6.bioreg.kyushu-u.ac.jp/M3/20110414/F50948/2854/1", 64.88)</f>
        <v>64.88</v>
      </c>
      <c r="E14400" s="2">
        <v>48.93</v>
      </c>
      <c r="F14400" s="2">
        <v>2</v>
      </c>
      <c r="G14400" s="2" t="s">
        <v>12</v>
      </c>
      <c r="I14400" s="2" t="s">
        <v>4899</v>
      </c>
    </row>
    <row r="14401" spans="1:9" x14ac:dyDescent="0.2">
      <c r="A14401" s="2" t="s">
        <v>3298</v>
      </c>
      <c r="B14401" s="2" t="s">
        <v>79</v>
      </c>
      <c r="C14401" s="2">
        <v>872.93520000000001</v>
      </c>
      <c r="D14401" s="2">
        <f>HYPERLINK("http://mcb-m6.bioreg.kyushu-u.ac.jp/M3/20110414/F50948/2849/1", 73.91)</f>
        <v>73.91</v>
      </c>
      <c r="E14401" s="2">
        <v>45.73</v>
      </c>
      <c r="F14401" s="2">
        <v>2</v>
      </c>
      <c r="G14401" s="2" t="s">
        <v>12</v>
      </c>
      <c r="I14401" s="2" t="s">
        <v>4899</v>
      </c>
    </row>
    <row r="14402" spans="1:9" x14ac:dyDescent="0.2">
      <c r="A14402" s="2" t="s">
        <v>3298</v>
      </c>
      <c r="B14402" s="2" t="s">
        <v>79</v>
      </c>
      <c r="C14402" s="2">
        <v>872.3981</v>
      </c>
      <c r="D14402" s="2">
        <f>HYPERLINK("http://mcb-m6.bioreg.kyushu-u.ac.jp/M3/20110414/F50950/2862/1", 87.5)</f>
        <v>87.5</v>
      </c>
      <c r="E14402" s="2">
        <v>68.8</v>
      </c>
      <c r="F14402" s="2">
        <v>2</v>
      </c>
      <c r="G14402" s="2" t="s">
        <v>12</v>
      </c>
      <c r="I14402" s="2" t="s">
        <v>4899</v>
      </c>
    </row>
    <row r="14403" spans="1:9" x14ac:dyDescent="0.2">
      <c r="A14403" s="2" t="s">
        <v>3298</v>
      </c>
      <c r="B14403" s="2" t="s">
        <v>79</v>
      </c>
      <c r="C14403" s="2">
        <v>872.79610000000002</v>
      </c>
      <c r="D14403" s="2">
        <f>HYPERLINK("http://mcb-m6.bioreg.kyushu-u.ac.jp/M3/20110414/F50948/2848/1", 113.18)</f>
        <v>113.18</v>
      </c>
      <c r="E14403" s="2">
        <v>91.1</v>
      </c>
      <c r="F14403" s="2">
        <v>2</v>
      </c>
      <c r="G14403" s="2" t="s">
        <v>12</v>
      </c>
      <c r="I14403" s="2" t="s">
        <v>4899</v>
      </c>
    </row>
    <row r="14404" spans="1:9" x14ac:dyDescent="0.2">
      <c r="A14404" s="2" t="s">
        <v>3298</v>
      </c>
      <c r="B14404" s="2" t="s">
        <v>1446</v>
      </c>
      <c r="C14404" s="2">
        <v>527.02260000000001</v>
      </c>
      <c r="D14404" s="2">
        <f>HYPERLINK("http://mcb-m6.bioreg.kyushu-u.ac.jp/M3/20110502/F51171/1146/1", 62.26)</f>
        <v>62.26</v>
      </c>
      <c r="E14404" s="2">
        <v>32.61</v>
      </c>
      <c r="F14404" s="2">
        <v>2</v>
      </c>
      <c r="G14404" s="2" t="s">
        <v>13</v>
      </c>
    </row>
    <row r="14405" spans="1:9" x14ac:dyDescent="0.2">
      <c r="A14405" s="2" t="s">
        <v>3298</v>
      </c>
      <c r="B14405" s="2" t="s">
        <v>416</v>
      </c>
      <c r="C14405" s="2">
        <v>651.46370000000002</v>
      </c>
      <c r="D14405" s="2">
        <f>HYPERLINK("http://mcb-m6.bioreg.kyushu-u.ac.jp/M3/20110502/F51171/1620/1", 83.39)</f>
        <v>83.39</v>
      </c>
      <c r="E14405" s="2">
        <v>59.57</v>
      </c>
      <c r="F14405" s="2">
        <v>2</v>
      </c>
      <c r="G14405" s="2" t="s">
        <v>13</v>
      </c>
    </row>
    <row r="14406" spans="1:9" x14ac:dyDescent="0.2">
      <c r="A14406" s="2" t="s">
        <v>3298</v>
      </c>
      <c r="B14406" s="2" t="s">
        <v>1446</v>
      </c>
      <c r="C14406" s="2">
        <v>527.27970000000005</v>
      </c>
      <c r="D14406" s="2">
        <f>HYPERLINK("http://mcb-m6.bioreg.kyushu-u.ac.jp/M3/20110502/F51183/862/1", 56.71)</f>
        <v>56.71</v>
      </c>
      <c r="E14406" s="2">
        <v>18.38</v>
      </c>
      <c r="F14406" s="2">
        <v>2</v>
      </c>
      <c r="G14406" s="2" t="s">
        <v>14</v>
      </c>
    </row>
    <row r="14407" spans="1:9" x14ac:dyDescent="0.2">
      <c r="A14407" s="2" t="s">
        <v>3298</v>
      </c>
      <c r="B14407" s="2" t="s">
        <v>416</v>
      </c>
      <c r="C14407" s="2">
        <v>651.43320000000006</v>
      </c>
      <c r="D14407" s="2">
        <f>HYPERLINK("http://mcb-m6.bioreg.kyushu-u.ac.jp/M3/20110502/F51179/1269/1", 57.4)</f>
        <v>57.4</v>
      </c>
      <c r="E14407" s="2">
        <v>37.71</v>
      </c>
      <c r="F14407" s="2">
        <v>2</v>
      </c>
      <c r="G14407" s="2" t="s">
        <v>14</v>
      </c>
    </row>
    <row r="14408" spans="1:9" x14ac:dyDescent="0.2">
      <c r="A14408" s="2" t="s">
        <v>3298</v>
      </c>
      <c r="B14408" s="2" t="s">
        <v>1446</v>
      </c>
      <c r="C14408" s="2">
        <v>527.10670000000005</v>
      </c>
      <c r="D14408" s="2">
        <f>HYPERLINK("http://mcb-m6.bioreg.kyushu-u.ac.jp/M3/20110502/F51179/727/1", 61.18)</f>
        <v>61.18</v>
      </c>
      <c r="E14408" s="2">
        <v>29.34</v>
      </c>
      <c r="F14408" s="2">
        <v>2</v>
      </c>
      <c r="G14408" s="2" t="s">
        <v>14</v>
      </c>
    </row>
    <row r="14409" spans="1:9" x14ac:dyDescent="0.2">
      <c r="A14409" s="2" t="s">
        <v>3298</v>
      </c>
      <c r="B14409" s="2" t="s">
        <v>79</v>
      </c>
      <c r="C14409" s="2">
        <v>873.38570000000004</v>
      </c>
      <c r="D14409" s="2">
        <f>HYPERLINK("http://mcb-m6.bioreg.kyushu-u.ac.jp/M3/20110502/F51183/2601/1", 97.2)</f>
        <v>97.2</v>
      </c>
      <c r="E14409" s="2">
        <v>68.3</v>
      </c>
      <c r="F14409" s="2">
        <v>2</v>
      </c>
      <c r="G14409" s="2" t="s">
        <v>14</v>
      </c>
      <c r="I14409" s="2" t="s">
        <v>4899</v>
      </c>
    </row>
    <row r="14410" spans="1:9" x14ac:dyDescent="0.2">
      <c r="A14410" s="2" t="s">
        <v>3298</v>
      </c>
      <c r="B14410" s="2" t="s">
        <v>1552</v>
      </c>
      <c r="C14410" s="2">
        <v>847.29269999999997</v>
      </c>
      <c r="D14410" s="2">
        <f>HYPERLINK("http://mcb-m6.bioreg.kyushu-u.ac.jp/M3/20110502/F51183/2452/1", 110.64)</f>
        <v>110.64</v>
      </c>
      <c r="E14410" s="2">
        <v>79.55</v>
      </c>
      <c r="F14410" s="2">
        <v>2</v>
      </c>
      <c r="G14410" s="2" t="s">
        <v>14</v>
      </c>
      <c r="I14410" s="2" t="s">
        <v>4903</v>
      </c>
    </row>
    <row r="14411" spans="1:9" x14ac:dyDescent="0.2">
      <c r="A14411" s="2" t="s">
        <v>3298</v>
      </c>
      <c r="B14411" s="2" t="s">
        <v>79</v>
      </c>
      <c r="C14411" s="2">
        <v>873.19420000000002</v>
      </c>
      <c r="D14411" s="2">
        <f>HYPERLINK("http://mcb-m6.bioreg.kyushu-u.ac.jp/M3/20110502/F51179/2537/1", 138.62)</f>
        <v>138.62</v>
      </c>
      <c r="E14411" s="2">
        <v>110.76</v>
      </c>
      <c r="F14411" s="2">
        <v>2</v>
      </c>
      <c r="G14411" s="2" t="s">
        <v>14</v>
      </c>
      <c r="I14411" s="2" t="s">
        <v>4899</v>
      </c>
    </row>
    <row r="14412" spans="1:9" x14ac:dyDescent="0.2">
      <c r="A14412" s="2" t="s">
        <v>3431</v>
      </c>
      <c r="B14412" s="2" t="s">
        <v>239</v>
      </c>
      <c r="C14412" s="2">
        <v>543.6105</v>
      </c>
      <c r="D14412" s="2">
        <f>HYPERLINK("http://mcb-m6.bioreg.kyushu-u.ac.jp/M3/20110411/F50891/2521/1", 38.32)</f>
        <v>38.32</v>
      </c>
      <c r="E14412" s="2">
        <v>14.39</v>
      </c>
      <c r="F14412" s="2">
        <v>3</v>
      </c>
      <c r="G14412" s="2" t="s">
        <v>9</v>
      </c>
    </row>
    <row r="14413" spans="1:9" x14ac:dyDescent="0.2">
      <c r="A14413" s="2" t="s">
        <v>3431</v>
      </c>
      <c r="B14413" s="2" t="s">
        <v>239</v>
      </c>
      <c r="C14413" s="2">
        <v>814.90560000000005</v>
      </c>
      <c r="D14413" s="2">
        <f>HYPERLINK("http://mcb-m6.bioreg.kyushu-u.ac.jp/M3/20110411/F50891/2520/1", 89.86)</f>
        <v>89.86</v>
      </c>
      <c r="E14413" s="2">
        <v>71.48</v>
      </c>
      <c r="F14413" s="2">
        <v>2</v>
      </c>
      <c r="G14413" s="2" t="s">
        <v>9</v>
      </c>
    </row>
    <row r="14414" spans="1:9" x14ac:dyDescent="0.2">
      <c r="A14414" s="2" t="s">
        <v>3431</v>
      </c>
      <c r="B14414" s="2" t="s">
        <v>1661</v>
      </c>
      <c r="C14414" s="2">
        <v>892.77869999999996</v>
      </c>
      <c r="D14414" s="2">
        <f>HYPERLINK("http://mcb-m6.bioreg.kyushu-u.ac.jp/M3/20110411/F50891/2932/1", 114.53)</f>
        <v>114.53</v>
      </c>
      <c r="E14414" s="2">
        <v>61.86</v>
      </c>
      <c r="F14414" s="2">
        <v>2</v>
      </c>
      <c r="G14414" s="2" t="s">
        <v>9</v>
      </c>
    </row>
    <row r="14415" spans="1:9" x14ac:dyDescent="0.2">
      <c r="A14415" s="2" t="s">
        <v>3431</v>
      </c>
      <c r="B14415" s="2" t="s">
        <v>1676</v>
      </c>
      <c r="C14415" s="2">
        <v>847.84770000000003</v>
      </c>
      <c r="D14415" s="2">
        <f>HYPERLINK("http://mcb-m6.bioreg.kyushu-u.ac.jp/M3/20110411/F50891/2711/1", 131.13)</f>
        <v>131.13</v>
      </c>
      <c r="E14415" s="2">
        <v>121.28</v>
      </c>
      <c r="F14415" s="2">
        <v>2</v>
      </c>
      <c r="G14415" s="2" t="s">
        <v>9</v>
      </c>
    </row>
    <row r="14416" spans="1:9" x14ac:dyDescent="0.2">
      <c r="A14416" s="2" t="s">
        <v>3431</v>
      </c>
      <c r="B14416" s="2" t="s">
        <v>239</v>
      </c>
      <c r="C14416" s="2">
        <v>815.49019999999996</v>
      </c>
      <c r="D14416" s="2">
        <f>HYPERLINK("http://mcb-m6.bioreg.kyushu-u.ac.jp/M3/20110411/F50898/2494/1", 98.79)</f>
        <v>98.79</v>
      </c>
      <c r="E14416" s="2">
        <v>74.19</v>
      </c>
      <c r="F14416" s="2">
        <v>2</v>
      </c>
      <c r="G14416" s="2" t="s">
        <v>10</v>
      </c>
    </row>
    <row r="14417" spans="1:7" x14ac:dyDescent="0.2">
      <c r="A14417" s="2" t="s">
        <v>4759</v>
      </c>
      <c r="B14417" s="2" t="s">
        <v>2986</v>
      </c>
      <c r="C14417" s="2">
        <v>668.52170000000001</v>
      </c>
      <c r="D14417" s="2">
        <f>HYPERLINK("http://mcb-m6.bioreg.kyushu-u.ac.jp/M3/20110502/F51176/1855/1", 36.34)</f>
        <v>36.340000000000003</v>
      </c>
      <c r="E14417" s="2">
        <v>21.32</v>
      </c>
      <c r="F14417" s="2">
        <v>2</v>
      </c>
      <c r="G14417" s="2" t="s">
        <v>14</v>
      </c>
    </row>
    <row r="14418" spans="1:7" x14ac:dyDescent="0.2">
      <c r="A14418" s="2" t="s">
        <v>3679</v>
      </c>
      <c r="B14418" s="2" t="s">
        <v>634</v>
      </c>
      <c r="C14418" s="2">
        <v>901.702</v>
      </c>
      <c r="D14418" s="2">
        <f>HYPERLINK("http://mcb-m6.bioreg.kyushu-u.ac.jp/M3/20110411/F50895/872/2", 46.74)</f>
        <v>46.74</v>
      </c>
      <c r="E14418" s="2">
        <v>22.28</v>
      </c>
      <c r="F14418" s="2">
        <v>1</v>
      </c>
      <c r="G14418" s="2" t="s">
        <v>9</v>
      </c>
    </row>
    <row r="14419" spans="1:7" x14ac:dyDescent="0.2">
      <c r="A14419" s="2" t="s">
        <v>3679</v>
      </c>
      <c r="B14419" s="2" t="s">
        <v>942</v>
      </c>
      <c r="C14419" s="2">
        <v>614.38819999999998</v>
      </c>
      <c r="D14419" s="2">
        <f>HYPERLINK("http://mcb-m6.bioreg.kyushu-u.ac.jp/M3/20110411/F50895/1502/1", 56.24)</f>
        <v>56.24</v>
      </c>
      <c r="E14419" s="2">
        <v>35.64</v>
      </c>
      <c r="F14419" s="2">
        <v>2</v>
      </c>
      <c r="G14419" s="2" t="s">
        <v>9</v>
      </c>
    </row>
    <row r="14420" spans="1:7" x14ac:dyDescent="0.2">
      <c r="A14420" s="2" t="s">
        <v>3679</v>
      </c>
      <c r="B14420" s="2" t="s">
        <v>2024</v>
      </c>
      <c r="C14420" s="2">
        <v>627.91920000000005</v>
      </c>
      <c r="D14420" s="2">
        <f>HYPERLINK("http://mcb-m6.bioreg.kyushu-u.ac.jp/M3/20110411/F50902/1551/1", 63.66)</f>
        <v>63.66</v>
      </c>
      <c r="E14420" s="2">
        <v>31.02</v>
      </c>
      <c r="F14420" s="2">
        <v>2</v>
      </c>
      <c r="G14420" s="2" t="s">
        <v>10</v>
      </c>
    </row>
    <row r="14421" spans="1:7" x14ac:dyDescent="0.2">
      <c r="A14421" s="2" t="s">
        <v>3679</v>
      </c>
      <c r="B14421" s="2" t="s">
        <v>2827</v>
      </c>
      <c r="C14421" s="2">
        <v>728.15869999999995</v>
      </c>
      <c r="D14421" s="2">
        <f>HYPERLINK("http://mcb-m6.bioreg.kyushu-u.ac.jp/M3/20110502/F51175/1883/1", 37.56)</f>
        <v>37.56</v>
      </c>
      <c r="E14421" s="2">
        <v>22.04</v>
      </c>
      <c r="F14421" s="2">
        <v>2</v>
      </c>
      <c r="G14421" s="2" t="s">
        <v>13</v>
      </c>
    </row>
    <row r="14422" spans="1:7" x14ac:dyDescent="0.2">
      <c r="A14422" s="2" t="s">
        <v>3679</v>
      </c>
      <c r="B14422" s="2" t="s">
        <v>2833</v>
      </c>
      <c r="C14422" s="2">
        <v>856.5222</v>
      </c>
      <c r="D14422" s="2">
        <f>HYPERLINK("http://mcb-m6.bioreg.kyushu-u.ac.jp/M3/20110502/F51175/2372/1", 37.76)</f>
        <v>37.76</v>
      </c>
      <c r="E14422" s="2">
        <v>22.53</v>
      </c>
      <c r="F14422" s="2">
        <v>2</v>
      </c>
      <c r="G14422" s="2" t="s">
        <v>13</v>
      </c>
    </row>
    <row r="14423" spans="1:7" x14ac:dyDescent="0.2">
      <c r="A14423" s="2" t="s">
        <v>3678</v>
      </c>
      <c r="B14423" s="2" t="s">
        <v>633</v>
      </c>
      <c r="C14423" s="2">
        <v>901.702</v>
      </c>
      <c r="D14423" s="2">
        <f>HYPERLINK("http://mcb-m6.bioreg.kyushu-u.ac.jp/M3/20110411/F50895/872/1", 46.74)</f>
        <v>46.74</v>
      </c>
      <c r="E14423" s="2">
        <v>22.28</v>
      </c>
      <c r="F14423" s="2">
        <v>1</v>
      </c>
      <c r="G14423" s="2" t="s">
        <v>9</v>
      </c>
    </row>
    <row r="14424" spans="1:7" x14ac:dyDescent="0.2">
      <c r="A14424" s="2" t="s">
        <v>3678</v>
      </c>
      <c r="B14424" s="2" t="s">
        <v>1286</v>
      </c>
      <c r="C14424" s="2">
        <v>848.75160000000005</v>
      </c>
      <c r="D14424" s="2">
        <f>HYPERLINK("http://mcb-m6.bioreg.kyushu-u.ac.jp/M3/20110411/F50895/2584/1", 70.6)</f>
        <v>70.599999999999994</v>
      </c>
      <c r="E14424" s="2">
        <v>7.63</v>
      </c>
      <c r="F14424" s="2">
        <v>2</v>
      </c>
      <c r="G14424" s="2" t="s">
        <v>9</v>
      </c>
    </row>
    <row r="14425" spans="1:7" x14ac:dyDescent="0.2">
      <c r="A14425" s="2" t="s">
        <v>3678</v>
      </c>
      <c r="B14425" s="2" t="s">
        <v>2077</v>
      </c>
      <c r="C14425" s="2">
        <v>842.96169999999995</v>
      </c>
      <c r="D14425" s="2">
        <f>HYPERLINK("http://mcb-m6.bioreg.kyushu-u.ac.jp/M3/20110411/F50902/2553/1", 74.55)</f>
        <v>74.55</v>
      </c>
      <c r="E14425" s="2">
        <v>61.93</v>
      </c>
      <c r="F14425" s="2">
        <v>2</v>
      </c>
      <c r="G14425" s="2" t="s">
        <v>10</v>
      </c>
    </row>
    <row r="14426" spans="1:7" x14ac:dyDescent="0.2">
      <c r="A14426" s="2" t="s">
        <v>3678</v>
      </c>
      <c r="B14426" s="2" t="s">
        <v>1286</v>
      </c>
      <c r="C14426" s="2">
        <v>847.97810000000004</v>
      </c>
      <c r="D14426" s="2">
        <f>HYPERLINK("http://mcb-m6.bioreg.kyushu-u.ac.jp/M3/20110414/F50950/2748/1", 55.15)</f>
        <v>55.15</v>
      </c>
      <c r="E14426" s="2">
        <v>9.92</v>
      </c>
      <c r="F14426" s="2">
        <v>2</v>
      </c>
      <c r="G14426" s="2" t="s">
        <v>12</v>
      </c>
    </row>
    <row r="14427" spans="1:7" x14ac:dyDescent="0.2">
      <c r="A14427" s="2" t="s">
        <v>3678</v>
      </c>
      <c r="B14427" s="2" t="s">
        <v>2936</v>
      </c>
      <c r="C14427" s="2">
        <v>634.55269999999996</v>
      </c>
      <c r="D14427" s="2">
        <f>HYPERLINK("http://mcb-m6.bioreg.kyushu-u.ac.jp/M3/20110502/F51175/1474/1", 60.2)</f>
        <v>60.2</v>
      </c>
      <c r="E14427" s="2">
        <v>43.78</v>
      </c>
      <c r="F14427" s="2">
        <v>2</v>
      </c>
      <c r="G14427" s="2" t="s">
        <v>13</v>
      </c>
    </row>
    <row r="14428" spans="1:7" x14ac:dyDescent="0.2">
      <c r="A14428" s="2" t="s">
        <v>3678</v>
      </c>
      <c r="B14428" s="2" t="s">
        <v>1286</v>
      </c>
      <c r="C14428" s="2">
        <v>848.59370000000001</v>
      </c>
      <c r="D14428" s="2">
        <f>HYPERLINK("http://mcb-m6.bioreg.kyushu-u.ac.jp/M3/20110502/F51175/2334/1", 66.09)</f>
        <v>66.09</v>
      </c>
      <c r="E14428" s="2">
        <v>8.32</v>
      </c>
      <c r="F14428" s="2">
        <v>2</v>
      </c>
      <c r="G14428" s="2" t="s">
        <v>13</v>
      </c>
    </row>
    <row r="14429" spans="1:7" x14ac:dyDescent="0.2">
      <c r="A14429" s="2" t="s">
        <v>3678</v>
      </c>
      <c r="B14429" s="2" t="s">
        <v>2936</v>
      </c>
      <c r="C14429" s="2">
        <v>634.49369999999999</v>
      </c>
      <c r="D14429" s="2">
        <f>HYPERLINK("http://mcb-m6.bioreg.kyushu-u.ac.jp/M3/20110502/F51186/1373/1", 44.75)</f>
        <v>44.75</v>
      </c>
      <c r="E14429" s="2">
        <v>35.78</v>
      </c>
      <c r="F14429" s="2">
        <v>2</v>
      </c>
      <c r="G14429" s="2" t="s">
        <v>14</v>
      </c>
    </row>
    <row r="14430" spans="1:7" x14ac:dyDescent="0.2">
      <c r="A14430" s="2" t="s">
        <v>3678</v>
      </c>
      <c r="B14430" s="2" t="s">
        <v>1286</v>
      </c>
      <c r="C14430" s="2">
        <v>848.7097</v>
      </c>
      <c r="D14430" s="2">
        <f>HYPERLINK("http://mcb-m6.bioreg.kyushu-u.ac.jp/M3/20110502/F51186/2307/1", 79.44)</f>
        <v>79.44</v>
      </c>
      <c r="E14430" s="2">
        <v>13.22</v>
      </c>
      <c r="F14430" s="2">
        <v>2</v>
      </c>
      <c r="G14430" s="2" t="s">
        <v>14</v>
      </c>
    </row>
    <row r="14431" spans="1:7" x14ac:dyDescent="0.2">
      <c r="A14431" s="2" t="s">
        <v>4123</v>
      </c>
      <c r="B14431" s="2" t="s">
        <v>1637</v>
      </c>
      <c r="C14431" s="2">
        <v>1003.627</v>
      </c>
      <c r="D14431" s="2">
        <f>HYPERLINK("http://mcb-m6.bioreg.kyushu-u.ac.jp/M3/20110411/F50903/3169/1", 106.3)</f>
        <v>106.3</v>
      </c>
      <c r="E14431" s="2">
        <v>96.11</v>
      </c>
      <c r="F14431" s="2">
        <v>2</v>
      </c>
      <c r="G14431" s="2" t="s">
        <v>9</v>
      </c>
    </row>
    <row r="14432" spans="1:7" x14ac:dyDescent="0.2">
      <c r="A14432" s="2" t="s">
        <v>4123</v>
      </c>
      <c r="B14432" s="2" t="s">
        <v>1637</v>
      </c>
      <c r="C14432" s="2">
        <v>1004.051</v>
      </c>
      <c r="D14432" s="2">
        <f>HYPERLINK("http://mcb-m6.bioreg.kyushu-u.ac.jp/M3/20110411/F50920/2712/1", 87.77)</f>
        <v>87.77</v>
      </c>
      <c r="E14432" s="2">
        <v>81.61</v>
      </c>
      <c r="F14432" s="2">
        <v>2</v>
      </c>
      <c r="G14432" s="2" t="s">
        <v>10</v>
      </c>
    </row>
    <row r="14433" spans="1:9" x14ac:dyDescent="0.2">
      <c r="A14433" s="2" t="s">
        <v>4123</v>
      </c>
      <c r="B14433" s="2" t="s">
        <v>1637</v>
      </c>
      <c r="C14433" s="2">
        <v>1003.28</v>
      </c>
      <c r="D14433" s="2">
        <f>HYPERLINK("http://mcb-m6.bioreg.kyushu-u.ac.jp/M3/20110414/F50924/3127/1", 45.54)</f>
        <v>45.54</v>
      </c>
      <c r="E14433" s="2">
        <v>37</v>
      </c>
      <c r="F14433" s="2">
        <v>2</v>
      </c>
      <c r="G14433" s="2" t="s">
        <v>11</v>
      </c>
    </row>
    <row r="14434" spans="1:9" x14ac:dyDescent="0.2">
      <c r="A14434" s="2" t="s">
        <v>4123</v>
      </c>
      <c r="B14434" s="2" t="s">
        <v>1637</v>
      </c>
      <c r="C14434" s="2">
        <v>1003.8339999999999</v>
      </c>
      <c r="D14434" s="2">
        <f>HYPERLINK("http://mcb-m6.bioreg.kyushu-u.ac.jp/M3/20110414/F50924/3130/1", 77.36)</f>
        <v>77.36</v>
      </c>
      <c r="E14434" s="2">
        <v>59.29</v>
      </c>
      <c r="F14434" s="2">
        <v>2</v>
      </c>
      <c r="G14434" s="2" t="s">
        <v>11</v>
      </c>
    </row>
    <row r="14435" spans="1:9" x14ac:dyDescent="0.2">
      <c r="A14435" s="2" t="s">
        <v>4123</v>
      </c>
      <c r="B14435" s="2" t="s">
        <v>1637</v>
      </c>
      <c r="C14435" s="2">
        <v>1003.755</v>
      </c>
      <c r="D14435" s="2">
        <f>HYPERLINK("http://mcb-m6.bioreg.kyushu-u.ac.jp/M3/20110502/F51181/2816/1", 85.43)</f>
        <v>85.43</v>
      </c>
      <c r="E14435" s="2">
        <v>65.150000000000006</v>
      </c>
      <c r="F14435" s="2">
        <v>2</v>
      </c>
      <c r="G14435" s="2" t="s">
        <v>14</v>
      </c>
    </row>
    <row r="14436" spans="1:9" x14ac:dyDescent="0.2">
      <c r="A14436" s="2" t="s">
        <v>3736</v>
      </c>
      <c r="B14436" s="2" t="s">
        <v>738</v>
      </c>
      <c r="C14436" s="2">
        <v>577.89469999999994</v>
      </c>
      <c r="D14436" s="2">
        <f>HYPERLINK("http://mcb-m6.bioreg.kyushu-u.ac.jp/M3/20110411/F50903/1349/1", 49.8)</f>
        <v>49.8</v>
      </c>
      <c r="E14436" s="2">
        <v>18.53</v>
      </c>
      <c r="F14436" s="2">
        <v>2</v>
      </c>
      <c r="G14436" s="2" t="s">
        <v>9</v>
      </c>
    </row>
    <row r="14437" spans="1:9" x14ac:dyDescent="0.2">
      <c r="A14437" s="2" t="s">
        <v>3736</v>
      </c>
      <c r="B14437" s="2" t="s">
        <v>859</v>
      </c>
      <c r="C14437" s="2">
        <v>807.95820000000003</v>
      </c>
      <c r="D14437" s="2">
        <f>HYPERLINK("http://mcb-m6.bioreg.kyushu-u.ac.jp/M3/20110411/F50903/2363/1", 53.62)</f>
        <v>53.62</v>
      </c>
      <c r="E14437" s="2">
        <v>39.24</v>
      </c>
      <c r="F14437" s="2">
        <v>2</v>
      </c>
      <c r="G14437" s="2" t="s">
        <v>9</v>
      </c>
      <c r="H14437" s="2" t="s">
        <v>4910</v>
      </c>
      <c r="I14437" s="2" t="s">
        <v>4892</v>
      </c>
    </row>
    <row r="14438" spans="1:9" x14ac:dyDescent="0.2">
      <c r="A14438" s="2" t="s">
        <v>3736</v>
      </c>
      <c r="B14438" s="2" t="s">
        <v>907</v>
      </c>
      <c r="C14438" s="2">
        <v>916.47720000000004</v>
      </c>
      <c r="D14438" s="2">
        <f>HYPERLINK("http://mcb-m6.bioreg.kyushu-u.ac.jp/M3/20110411/F50903/2813/1", 55.1)</f>
        <v>55.1</v>
      </c>
      <c r="E14438" s="2">
        <v>39.869999999999997</v>
      </c>
      <c r="F14438" s="2">
        <v>2</v>
      </c>
      <c r="G14438" s="2" t="s">
        <v>9</v>
      </c>
    </row>
    <row r="14439" spans="1:9" x14ac:dyDescent="0.2">
      <c r="A14439" s="2" t="s">
        <v>3736</v>
      </c>
      <c r="B14439" s="2" t="s">
        <v>738</v>
      </c>
      <c r="C14439" s="2">
        <v>578.31020000000001</v>
      </c>
      <c r="D14439" s="2">
        <f>HYPERLINK("http://mcb-m6.bioreg.kyushu-u.ac.jp/M3/20110411/F50920/914/1", 60.73)</f>
        <v>60.73</v>
      </c>
      <c r="E14439" s="2">
        <v>25.8</v>
      </c>
      <c r="F14439" s="2">
        <v>2</v>
      </c>
      <c r="G14439" s="2" t="s">
        <v>10</v>
      </c>
    </row>
    <row r="14440" spans="1:9" x14ac:dyDescent="0.2">
      <c r="A14440" s="2" t="s">
        <v>4596</v>
      </c>
      <c r="B14440" s="2" t="s">
        <v>2686</v>
      </c>
      <c r="C14440" s="2">
        <v>726.76369999999997</v>
      </c>
      <c r="D14440" s="2">
        <f>HYPERLINK("http://mcb-m6.bioreg.kyushu-u.ac.jp/M3/20110414/F50932/2229/1", 53.54)</f>
        <v>53.54</v>
      </c>
      <c r="E14440" s="2">
        <v>28.83</v>
      </c>
      <c r="F14440" s="2">
        <v>2</v>
      </c>
      <c r="G14440" s="2" t="s">
        <v>12</v>
      </c>
    </row>
    <row r="14441" spans="1:9" x14ac:dyDescent="0.2">
      <c r="A14441" s="2" t="s">
        <v>3802</v>
      </c>
      <c r="B14441" s="2" t="s">
        <v>857</v>
      </c>
      <c r="C14441" s="2">
        <v>1474.499</v>
      </c>
      <c r="D14441" s="2">
        <f>HYPERLINK("http://mcb-m6.bioreg.kyushu-u.ac.jp/M3/20110411/F50889/2231/1", 53.59)</f>
        <v>53.59</v>
      </c>
      <c r="E14441" s="2">
        <v>27.14</v>
      </c>
      <c r="F14441" s="2">
        <v>1</v>
      </c>
      <c r="G14441" s="2" t="s">
        <v>9</v>
      </c>
    </row>
    <row r="14442" spans="1:9" x14ac:dyDescent="0.2">
      <c r="A14442" s="2" t="s">
        <v>3802</v>
      </c>
      <c r="B14442" s="2" t="s">
        <v>1071</v>
      </c>
      <c r="C14442" s="2">
        <v>450.21460000000002</v>
      </c>
      <c r="D14442" s="2">
        <f>HYPERLINK("http://mcb-m6.bioreg.kyushu-u.ac.jp/M3/20110411/F50889/1304/1", 61.69)</f>
        <v>61.69</v>
      </c>
      <c r="E14442" s="2">
        <v>34.44</v>
      </c>
      <c r="F14442" s="2">
        <v>2</v>
      </c>
      <c r="G14442" s="2" t="s">
        <v>9</v>
      </c>
    </row>
    <row r="14443" spans="1:9" x14ac:dyDescent="0.2">
      <c r="A14443" s="2" t="s">
        <v>3802</v>
      </c>
      <c r="B14443" s="2" t="s">
        <v>1166</v>
      </c>
      <c r="C14443" s="2">
        <v>704.41470000000004</v>
      </c>
      <c r="D14443" s="2">
        <f>HYPERLINK("http://mcb-m6.bioreg.kyushu-u.ac.jp/M3/20110411/F50889/2132/1", 65.69)</f>
        <v>65.69</v>
      </c>
      <c r="E14443" s="2">
        <v>43.08</v>
      </c>
      <c r="F14443" s="2">
        <v>2</v>
      </c>
      <c r="G14443" s="2" t="s">
        <v>9</v>
      </c>
    </row>
    <row r="14444" spans="1:9" x14ac:dyDescent="0.2">
      <c r="A14444" s="2" t="s">
        <v>3802</v>
      </c>
      <c r="B14444" s="2" t="s">
        <v>1259</v>
      </c>
      <c r="C14444" s="2">
        <v>625.7867</v>
      </c>
      <c r="D14444" s="2">
        <f>HYPERLINK("http://mcb-m6.bioreg.kyushu-u.ac.jp/M3/20110411/F50889/1930/1", 69.5)</f>
        <v>69.5</v>
      </c>
      <c r="E14444" s="2">
        <v>38.9</v>
      </c>
      <c r="F14444" s="2">
        <v>2</v>
      </c>
      <c r="G14444" s="2" t="s">
        <v>9</v>
      </c>
    </row>
    <row r="14445" spans="1:9" x14ac:dyDescent="0.2">
      <c r="A14445" s="2" t="s">
        <v>3802</v>
      </c>
      <c r="B14445" s="2" t="s">
        <v>1166</v>
      </c>
      <c r="C14445" s="2">
        <v>703.87919999999997</v>
      </c>
      <c r="D14445" s="2">
        <f>HYPERLINK("http://mcb-m6.bioreg.kyushu-u.ac.jp/M3/20110411/F50889/2130/1", 81.65)</f>
        <v>81.650000000000006</v>
      </c>
      <c r="E14445" s="2">
        <v>60.03</v>
      </c>
      <c r="F14445" s="2">
        <v>2</v>
      </c>
      <c r="G14445" s="2" t="s">
        <v>9</v>
      </c>
    </row>
    <row r="14446" spans="1:9" x14ac:dyDescent="0.2">
      <c r="A14446" s="2" t="s">
        <v>3802</v>
      </c>
      <c r="B14446" s="2" t="s">
        <v>1631</v>
      </c>
      <c r="C14446" s="2">
        <v>666.2672</v>
      </c>
      <c r="D14446" s="2">
        <f>HYPERLINK("http://mcb-m6.bioreg.kyushu-u.ac.jp/M3/20110411/F50889/2007/1", 104.76)</f>
        <v>104.76</v>
      </c>
      <c r="E14446" s="2">
        <v>88.24</v>
      </c>
      <c r="F14446" s="2">
        <v>2</v>
      </c>
      <c r="G14446" s="2" t="s">
        <v>9</v>
      </c>
    </row>
    <row r="14447" spans="1:9" x14ac:dyDescent="0.2">
      <c r="A14447" s="2" t="s">
        <v>3802</v>
      </c>
      <c r="B14447" s="2" t="s">
        <v>1631</v>
      </c>
      <c r="C14447" s="2">
        <v>666.79719999999998</v>
      </c>
      <c r="D14447" s="2">
        <f>HYPERLINK("http://mcb-m6.bioreg.kyushu-u.ac.jp/M3/20110411/F50889/2011/1", 112.58)</f>
        <v>112.58</v>
      </c>
      <c r="E14447" s="2">
        <v>92.83</v>
      </c>
      <c r="F14447" s="2">
        <v>2</v>
      </c>
      <c r="G14447" s="2" t="s">
        <v>9</v>
      </c>
    </row>
    <row r="14448" spans="1:9" x14ac:dyDescent="0.2">
      <c r="A14448" s="2" t="s">
        <v>3802</v>
      </c>
      <c r="B14448" s="2" t="s">
        <v>1071</v>
      </c>
      <c r="C14448" s="2">
        <v>450.14060000000001</v>
      </c>
      <c r="D14448" s="2">
        <f>HYPERLINK("http://mcb-m6.bioreg.kyushu-u.ac.jp/M3/20110414/F50926/1266/1", 67.42)</f>
        <v>67.42</v>
      </c>
      <c r="E14448" s="2">
        <v>34.130000000000003</v>
      </c>
      <c r="F14448" s="2">
        <v>2</v>
      </c>
      <c r="G14448" s="2" t="s">
        <v>11</v>
      </c>
    </row>
    <row r="14449" spans="1:9" x14ac:dyDescent="0.2">
      <c r="A14449" s="2" t="s">
        <v>3802</v>
      </c>
      <c r="B14449" s="2" t="s">
        <v>1259</v>
      </c>
      <c r="C14449" s="2">
        <v>625.66610000000003</v>
      </c>
      <c r="D14449" s="2">
        <f>HYPERLINK("http://mcb-m6.bioreg.kyushu-u.ac.jp/M3/20110414/F50926/1871/1", 74.17)</f>
        <v>74.17</v>
      </c>
      <c r="E14449" s="2">
        <v>44.17</v>
      </c>
      <c r="F14449" s="2">
        <v>2</v>
      </c>
      <c r="G14449" s="2" t="s">
        <v>11</v>
      </c>
    </row>
    <row r="14450" spans="1:9" x14ac:dyDescent="0.2">
      <c r="A14450" s="2" t="s">
        <v>3802</v>
      </c>
      <c r="B14450" s="2" t="s">
        <v>857</v>
      </c>
      <c r="C14450" s="2">
        <v>737.60469999999998</v>
      </c>
      <c r="D14450" s="2">
        <f>HYPERLINK("http://mcb-m6.bioreg.kyushu-u.ac.jp/M3/20110414/F50926/2196/1", 79.48)</f>
        <v>79.48</v>
      </c>
      <c r="E14450" s="2">
        <v>49.73</v>
      </c>
      <c r="F14450" s="2">
        <v>2</v>
      </c>
      <c r="G14450" s="2" t="s">
        <v>11</v>
      </c>
    </row>
    <row r="14451" spans="1:9" x14ac:dyDescent="0.2">
      <c r="A14451" s="2" t="s">
        <v>3802</v>
      </c>
      <c r="B14451" s="2" t="s">
        <v>1631</v>
      </c>
      <c r="C14451" s="2">
        <v>666.52009999999996</v>
      </c>
      <c r="D14451" s="2">
        <f>HYPERLINK("http://mcb-m6.bioreg.kyushu-u.ac.jp/M3/20110414/F50926/1953/1", 99.71)</f>
        <v>99.71</v>
      </c>
      <c r="E14451" s="2">
        <v>82.28</v>
      </c>
      <c r="F14451" s="2">
        <v>2</v>
      </c>
      <c r="G14451" s="2" t="s">
        <v>11</v>
      </c>
    </row>
    <row r="14452" spans="1:9" x14ac:dyDescent="0.2">
      <c r="A14452" s="2" t="s">
        <v>3802</v>
      </c>
      <c r="B14452" s="2" t="s">
        <v>1071</v>
      </c>
      <c r="C14452" s="2">
        <v>450.65710000000001</v>
      </c>
      <c r="D14452" s="2">
        <f>HYPERLINK("http://mcb-m6.bioreg.kyushu-u.ac.jp/M3/20110414/F50931/1928/1", 35.12)</f>
        <v>35.119999999999997</v>
      </c>
      <c r="E14452" s="2">
        <v>12.62</v>
      </c>
      <c r="F14452" s="2">
        <v>2</v>
      </c>
      <c r="G14452" s="2" t="s">
        <v>12</v>
      </c>
    </row>
    <row r="14453" spans="1:9" x14ac:dyDescent="0.2">
      <c r="A14453" s="2" t="s">
        <v>3802</v>
      </c>
      <c r="B14453" s="2" t="s">
        <v>857</v>
      </c>
      <c r="C14453" s="2">
        <v>737.83219999999994</v>
      </c>
      <c r="D14453" s="2">
        <f>HYPERLINK("http://mcb-m6.bioreg.kyushu-u.ac.jp/M3/20110414/F50931/2225/1", 91.12)</f>
        <v>91.12</v>
      </c>
      <c r="E14453" s="2">
        <v>55.46</v>
      </c>
      <c r="F14453" s="2">
        <v>2</v>
      </c>
      <c r="G14453" s="2" t="s">
        <v>12</v>
      </c>
    </row>
    <row r="14454" spans="1:9" x14ac:dyDescent="0.2">
      <c r="A14454" s="2" t="s">
        <v>3802</v>
      </c>
      <c r="B14454" s="2" t="s">
        <v>1631</v>
      </c>
      <c r="C14454" s="2">
        <v>666.5557</v>
      </c>
      <c r="D14454" s="2">
        <f>HYPERLINK("http://mcb-m6.bioreg.kyushu-u.ac.jp/M3/20110502/F51167/1821/1", 35.94)</f>
        <v>35.94</v>
      </c>
      <c r="E14454" s="2">
        <v>24.11</v>
      </c>
      <c r="F14454" s="2">
        <v>2</v>
      </c>
      <c r="G14454" s="2" t="s">
        <v>13</v>
      </c>
    </row>
    <row r="14455" spans="1:9" x14ac:dyDescent="0.2">
      <c r="A14455" s="2" t="s">
        <v>3802</v>
      </c>
      <c r="B14455" s="2" t="s">
        <v>857</v>
      </c>
      <c r="C14455" s="2">
        <v>737.9547</v>
      </c>
      <c r="D14455" s="2">
        <f>HYPERLINK("http://mcb-m6.bioreg.kyushu-u.ac.jp/M3/20110502/F51167/1982/1", 39.67)</f>
        <v>39.67</v>
      </c>
      <c r="E14455" s="2">
        <v>17.46</v>
      </c>
      <c r="F14455" s="2">
        <v>2</v>
      </c>
      <c r="G14455" s="2" t="s">
        <v>13</v>
      </c>
    </row>
    <row r="14456" spans="1:9" x14ac:dyDescent="0.2">
      <c r="A14456" s="2" t="s">
        <v>3802</v>
      </c>
      <c r="B14456" s="2" t="s">
        <v>1631</v>
      </c>
      <c r="C14456" s="2">
        <v>666.91020000000003</v>
      </c>
      <c r="D14456" s="2">
        <f>HYPERLINK("http://mcb-m6.bioreg.kyushu-u.ac.jp/M3/20110502/F51176/1849/1", 44.81)</f>
        <v>44.81</v>
      </c>
      <c r="E14456" s="2">
        <v>23.81</v>
      </c>
      <c r="F14456" s="2">
        <v>2</v>
      </c>
      <c r="G14456" s="2" t="s">
        <v>14</v>
      </c>
    </row>
    <row r="14457" spans="1:9" x14ac:dyDescent="0.2">
      <c r="A14457" s="2" t="s">
        <v>3458</v>
      </c>
      <c r="B14457" s="2" t="s">
        <v>269</v>
      </c>
      <c r="C14457" s="2">
        <v>895.57899999999995</v>
      </c>
      <c r="D14457" s="2">
        <f>HYPERLINK("http://mcb-m6.bioreg.kyushu-u.ac.jp/M3/20110411/F50894/1220/1", 38.78)</f>
        <v>38.78</v>
      </c>
      <c r="E14457" s="2">
        <v>19.78</v>
      </c>
      <c r="F14457" s="2">
        <v>1</v>
      </c>
      <c r="G14457" s="2" t="s">
        <v>9</v>
      </c>
    </row>
    <row r="14458" spans="1:9" x14ac:dyDescent="0.2">
      <c r="A14458" s="2" t="s">
        <v>3458</v>
      </c>
      <c r="B14458" s="2" t="s">
        <v>2433</v>
      </c>
      <c r="C14458" s="2">
        <v>699.85419999999999</v>
      </c>
      <c r="D14458" s="2">
        <f>HYPERLINK("http://mcb-m6.bioreg.kyushu-u.ac.jp/M3/20110414/F50943/1627/1", 62.1)</f>
        <v>62.1</v>
      </c>
      <c r="E14458" s="2">
        <v>40.340000000000003</v>
      </c>
      <c r="F14458" s="2">
        <v>2</v>
      </c>
      <c r="G14458" s="2" t="s">
        <v>11</v>
      </c>
    </row>
    <row r="14459" spans="1:9" x14ac:dyDescent="0.2">
      <c r="A14459" s="2" t="s">
        <v>3458</v>
      </c>
      <c r="B14459" s="2" t="s">
        <v>2472</v>
      </c>
      <c r="C14459" s="2">
        <v>492.75760000000002</v>
      </c>
      <c r="D14459" s="2">
        <f>HYPERLINK("http://mcb-m6.bioreg.kyushu-u.ac.jp/M3/20110414/F50943/921/1", 74.37)</f>
        <v>74.37</v>
      </c>
      <c r="E14459" s="2">
        <v>39.380000000000003</v>
      </c>
      <c r="F14459" s="2">
        <v>2</v>
      </c>
      <c r="G14459" s="2" t="s">
        <v>11</v>
      </c>
    </row>
    <row r="14460" spans="1:9" x14ac:dyDescent="0.2">
      <c r="A14460" s="2" t="s">
        <v>3458</v>
      </c>
      <c r="B14460" s="2" t="s">
        <v>2433</v>
      </c>
      <c r="C14460" s="2">
        <v>699.50319999999999</v>
      </c>
      <c r="D14460" s="2">
        <f>HYPERLINK("http://mcb-m6.bioreg.kyushu-u.ac.jp/M3/20110414/F50949/2036/1", 36.13)</f>
        <v>36.130000000000003</v>
      </c>
      <c r="E14460" s="2">
        <v>14.68</v>
      </c>
      <c r="F14460" s="2">
        <v>2</v>
      </c>
      <c r="G14460" s="2" t="s">
        <v>12</v>
      </c>
    </row>
    <row r="14461" spans="1:9" x14ac:dyDescent="0.2">
      <c r="A14461" s="2" t="s">
        <v>4256</v>
      </c>
      <c r="B14461" s="2" t="s">
        <v>1895</v>
      </c>
      <c r="C14461" s="2">
        <v>565.34619999999995</v>
      </c>
      <c r="D14461" s="2">
        <f>HYPERLINK("http://mcb-m6.bioreg.kyushu-u.ac.jp/M3/20110411/F50914/1302/1", 47.01)</f>
        <v>47.01</v>
      </c>
      <c r="E14461" s="2">
        <v>27.25</v>
      </c>
      <c r="F14461" s="2">
        <v>2</v>
      </c>
      <c r="G14461" s="2" t="s">
        <v>10</v>
      </c>
    </row>
    <row r="14462" spans="1:9" x14ac:dyDescent="0.2">
      <c r="A14462" s="2" t="s">
        <v>4833</v>
      </c>
      <c r="B14462" s="2" t="s">
        <v>3094</v>
      </c>
      <c r="C14462" s="2">
        <v>723.30619999999999</v>
      </c>
      <c r="D14462" s="2">
        <f>HYPERLINK("http://mcb-m6.bioreg.kyushu-u.ac.jp/M3/20110502/F51183/1811/1", 44.04)</f>
        <v>44.04</v>
      </c>
      <c r="E14462" s="2">
        <v>16.38</v>
      </c>
      <c r="F14462" s="2">
        <v>2</v>
      </c>
      <c r="G14462" s="2" t="s">
        <v>14</v>
      </c>
      <c r="I14462" s="2" t="s">
        <v>4898</v>
      </c>
    </row>
    <row r="14463" spans="1:9" x14ac:dyDescent="0.2">
      <c r="A14463" s="2" t="s">
        <v>4654</v>
      </c>
      <c r="B14463" s="2" t="s">
        <v>2812</v>
      </c>
      <c r="C14463" s="2">
        <v>489.38810000000001</v>
      </c>
      <c r="D14463" s="2">
        <f>HYPERLINK("http://mcb-m6.bioreg.kyushu-u.ac.jp/M3/20110502/F51175/950/1", 36.5)</f>
        <v>36.5</v>
      </c>
      <c r="E14463" s="2">
        <v>11.86</v>
      </c>
      <c r="F14463" s="2">
        <v>2</v>
      </c>
      <c r="G14463" s="2" t="s">
        <v>13</v>
      </c>
    </row>
    <row r="14464" spans="1:9" x14ac:dyDescent="0.2">
      <c r="A14464" s="2" t="s">
        <v>4700</v>
      </c>
      <c r="B14464" s="2" t="s">
        <v>2876</v>
      </c>
      <c r="C14464" s="2">
        <v>485.58760000000001</v>
      </c>
      <c r="D14464" s="2">
        <f>HYPERLINK("http://mcb-m6.bioreg.kyushu-u.ac.jp/M3/20110502/F51172/614/1", 40.8)</f>
        <v>40.799999999999997</v>
      </c>
      <c r="E14464" s="2">
        <v>11.33</v>
      </c>
      <c r="F14464" s="2">
        <v>2</v>
      </c>
      <c r="G14464" s="2" t="s">
        <v>13</v>
      </c>
    </row>
    <row r="14465" spans="1:9" x14ac:dyDescent="0.2">
      <c r="A14465" s="2" t="s">
        <v>4422</v>
      </c>
      <c r="B14465" s="2" t="s">
        <v>2291</v>
      </c>
      <c r="C14465" s="2">
        <v>809.37220000000002</v>
      </c>
      <c r="D14465" s="2">
        <f>HYPERLINK("http://mcb-m6.bioreg.kyushu-u.ac.jp/M3/20110414/F50943/2301/1", 43.68)</f>
        <v>43.68</v>
      </c>
      <c r="E14465" s="2">
        <v>22.37</v>
      </c>
      <c r="F14465" s="2">
        <v>2</v>
      </c>
      <c r="G14465" s="2" t="s">
        <v>11</v>
      </c>
    </row>
    <row r="14466" spans="1:9" x14ac:dyDescent="0.2">
      <c r="A14466" s="2" t="s">
        <v>3420</v>
      </c>
      <c r="B14466" s="2" t="s">
        <v>224</v>
      </c>
      <c r="C14466" s="2">
        <v>848.99109999999996</v>
      </c>
      <c r="D14466" s="2">
        <f>HYPERLINK("http://mcb-m6.bioreg.kyushu-u.ac.jp/M3/20110411/F50916/2457/1", 38.1)</f>
        <v>38.1</v>
      </c>
      <c r="E14466" s="2">
        <v>26.05</v>
      </c>
      <c r="F14466" s="2">
        <v>2</v>
      </c>
      <c r="G14466" s="2" t="s">
        <v>9</v>
      </c>
    </row>
    <row r="14467" spans="1:9" x14ac:dyDescent="0.2">
      <c r="A14467" s="2" t="s">
        <v>3420</v>
      </c>
      <c r="B14467" s="2" t="s">
        <v>1933</v>
      </c>
      <c r="C14467" s="2">
        <v>854.93709999999999</v>
      </c>
      <c r="D14467" s="2">
        <f>HYPERLINK("http://mcb-m6.bioreg.kyushu-u.ac.jp/M3/20110411/F50918/2421/1", 51.02)</f>
        <v>51.02</v>
      </c>
      <c r="E14467" s="2">
        <v>34.72</v>
      </c>
      <c r="F14467" s="2">
        <v>2</v>
      </c>
      <c r="G14467" s="2" t="s">
        <v>10</v>
      </c>
    </row>
    <row r="14468" spans="1:9" x14ac:dyDescent="0.2">
      <c r="A14468" s="2" t="s">
        <v>4424</v>
      </c>
      <c r="B14468" s="2" t="s">
        <v>2295</v>
      </c>
      <c r="C14468" s="2">
        <v>452.07010000000002</v>
      </c>
      <c r="D14468" s="2">
        <f>HYPERLINK("http://mcb-m6.bioreg.kyushu-u.ac.jp/M3/20110414/F50927/1120/1", 44.02)</f>
        <v>44.02</v>
      </c>
      <c r="E14468" s="2">
        <v>11.7</v>
      </c>
      <c r="F14468" s="2">
        <v>2</v>
      </c>
      <c r="G14468" s="2" t="s">
        <v>11</v>
      </c>
      <c r="I14468" s="2" t="s">
        <v>4898</v>
      </c>
    </row>
    <row r="14469" spans="1:9" x14ac:dyDescent="0.2">
      <c r="A14469" s="2" t="s">
        <v>4424</v>
      </c>
      <c r="B14469" s="2" t="s">
        <v>2295</v>
      </c>
      <c r="C14469" s="2">
        <v>452.27510000000001</v>
      </c>
      <c r="D14469" s="2">
        <f>HYPERLINK("http://mcb-m6.bioreg.kyushu-u.ac.jp/M3/20110414/F50932/1507/1", 50.54)</f>
        <v>50.54</v>
      </c>
      <c r="E14469" s="2">
        <v>23.08</v>
      </c>
      <c r="F14469" s="2">
        <v>2</v>
      </c>
      <c r="G14469" s="2" t="s">
        <v>12</v>
      </c>
      <c r="I14469" s="2" t="s">
        <v>4898</v>
      </c>
    </row>
    <row r="14470" spans="1:9" x14ac:dyDescent="0.2">
      <c r="A14470" s="2" t="s">
        <v>4573</v>
      </c>
      <c r="B14470" s="2" t="s">
        <v>2619</v>
      </c>
      <c r="C14470" s="2">
        <v>893.86109999999996</v>
      </c>
      <c r="D14470" s="2">
        <f>HYPERLINK("http://mcb-m6.bioreg.kyushu-u.ac.jp/M3/20110414/F50950/2993/1", 43.49)</f>
        <v>43.49</v>
      </c>
      <c r="E14470" s="2">
        <v>8.4700000000000006</v>
      </c>
      <c r="F14470" s="2">
        <v>2</v>
      </c>
      <c r="G14470" s="2" t="s">
        <v>12</v>
      </c>
    </row>
    <row r="14471" spans="1:9" x14ac:dyDescent="0.2">
      <c r="A14471" s="2" t="s">
        <v>4496</v>
      </c>
      <c r="B14471" s="2" t="s">
        <v>2477</v>
      </c>
      <c r="C14471" s="2">
        <v>962.66970000000003</v>
      </c>
      <c r="D14471" s="2">
        <f>HYPERLINK("http://mcb-m6.bioreg.kyushu-u.ac.jp/M3/20110414/F50956/3350/1", 75.88)</f>
        <v>75.88</v>
      </c>
      <c r="E14471" s="2">
        <v>56.96</v>
      </c>
      <c r="F14471" s="2">
        <v>2</v>
      </c>
      <c r="G14471" s="2" t="s">
        <v>11</v>
      </c>
      <c r="I14471" s="2" t="s">
        <v>4905</v>
      </c>
    </row>
    <row r="14472" spans="1:9" x14ac:dyDescent="0.2">
      <c r="A14472" s="2" t="s">
        <v>4496</v>
      </c>
      <c r="B14472" s="2" t="s">
        <v>2477</v>
      </c>
      <c r="C14472" s="2">
        <v>962.36019999999996</v>
      </c>
      <c r="D14472" s="2">
        <f>HYPERLINK("http://mcb-m6.bioreg.kyushu-u.ac.jp/M3/20110414/F50957/3257/1", 79.41)</f>
        <v>79.41</v>
      </c>
      <c r="E14472" s="2">
        <v>63.76</v>
      </c>
      <c r="F14472" s="2">
        <v>2</v>
      </c>
      <c r="G14472" s="2" t="s">
        <v>11</v>
      </c>
      <c r="I14472" s="2" t="s">
        <v>4905</v>
      </c>
    </row>
    <row r="14473" spans="1:9" x14ac:dyDescent="0.2">
      <c r="A14473" s="2" t="s">
        <v>4496</v>
      </c>
      <c r="B14473" s="2" t="s">
        <v>2477</v>
      </c>
      <c r="C14473" s="2">
        <v>962.79570000000001</v>
      </c>
      <c r="D14473" s="2">
        <f>HYPERLINK("http://mcb-m6.bioreg.kyushu-u.ac.jp/M3/20110414/F50958/3432/1", 55.73)</f>
        <v>55.73</v>
      </c>
      <c r="E14473" s="2">
        <v>42.34</v>
      </c>
      <c r="F14473" s="2">
        <v>2</v>
      </c>
      <c r="G14473" s="2" t="s">
        <v>12</v>
      </c>
      <c r="I14473" s="2" t="s">
        <v>4905</v>
      </c>
    </row>
    <row r="14474" spans="1:9" x14ac:dyDescent="0.2">
      <c r="A14474" s="2" t="s">
        <v>4496</v>
      </c>
      <c r="B14474" s="2" t="s">
        <v>2477</v>
      </c>
      <c r="C14474" s="2">
        <v>962.20259999999996</v>
      </c>
      <c r="D14474" s="2">
        <f>HYPERLINK("http://mcb-m6.bioreg.kyushu-u.ac.jp/M3/20110414/F50958/3427/1", 90.88)</f>
        <v>90.88</v>
      </c>
      <c r="E14474" s="2">
        <v>75.73</v>
      </c>
      <c r="F14474" s="2">
        <v>2</v>
      </c>
      <c r="G14474" s="2" t="s">
        <v>12</v>
      </c>
      <c r="I14474" s="2" t="s">
        <v>4905</v>
      </c>
    </row>
    <row r="14475" spans="1:9" x14ac:dyDescent="0.2">
      <c r="A14475" s="2" t="s">
        <v>4496</v>
      </c>
      <c r="B14475" s="2" t="s">
        <v>2477</v>
      </c>
      <c r="C14475" s="2">
        <v>962.27509999999995</v>
      </c>
      <c r="D14475" s="2">
        <f>HYPERLINK("http://mcb-m6.bioreg.kyushu-u.ac.jp/M3/20110414/F50959/3382/1", 93.69)</f>
        <v>93.69</v>
      </c>
      <c r="E14475" s="2">
        <v>82.9</v>
      </c>
      <c r="F14475" s="2">
        <v>2</v>
      </c>
      <c r="G14475" s="2" t="s">
        <v>12</v>
      </c>
      <c r="I14475" s="2" t="s">
        <v>4905</v>
      </c>
    </row>
    <row r="14476" spans="1:9" x14ac:dyDescent="0.2">
      <c r="A14476" s="2" t="s">
        <v>3453</v>
      </c>
      <c r="B14476" s="2" t="s">
        <v>264</v>
      </c>
      <c r="C14476" s="2">
        <v>587.2527</v>
      </c>
      <c r="D14476" s="2">
        <f>HYPERLINK("http://mcb-m6.bioreg.kyushu-u.ac.jp/M3/20110411/F50916/1116/1", 38.7)</f>
        <v>38.700000000000003</v>
      </c>
      <c r="E14476" s="2">
        <v>27.24</v>
      </c>
      <c r="F14476" s="2">
        <v>2</v>
      </c>
      <c r="G14476" s="2" t="s">
        <v>9</v>
      </c>
    </row>
    <row r="14477" spans="1:9" x14ac:dyDescent="0.2">
      <c r="A14477" s="2" t="s">
        <v>3453</v>
      </c>
      <c r="B14477" s="2" t="s">
        <v>904</v>
      </c>
      <c r="C14477" s="2">
        <v>474.53710000000001</v>
      </c>
      <c r="D14477" s="2">
        <f>HYPERLINK("http://mcb-m6.bioreg.kyushu-u.ac.jp/M3/20110411/F50916/732/1", 55.07)</f>
        <v>55.07</v>
      </c>
      <c r="E14477" s="2">
        <v>22.86</v>
      </c>
      <c r="F14477" s="2">
        <v>2</v>
      </c>
      <c r="G14477" s="2" t="s">
        <v>9</v>
      </c>
    </row>
    <row r="14478" spans="1:9" x14ac:dyDescent="0.2">
      <c r="A14478" s="2" t="s">
        <v>3453</v>
      </c>
      <c r="B14478" s="2" t="s">
        <v>1177</v>
      </c>
      <c r="C14478" s="2">
        <v>790.49220000000003</v>
      </c>
      <c r="D14478" s="2">
        <f>HYPERLINK("http://mcb-m6.bioreg.kyushu-u.ac.jp/M3/20110411/F50916/2177/1", 65.92)</f>
        <v>65.92</v>
      </c>
      <c r="E14478" s="2">
        <v>49.35</v>
      </c>
      <c r="F14478" s="2">
        <v>2</v>
      </c>
      <c r="G14478" s="2" t="s">
        <v>9</v>
      </c>
      <c r="I14478" s="2" t="s">
        <v>4903</v>
      </c>
    </row>
    <row r="14479" spans="1:9" x14ac:dyDescent="0.2">
      <c r="A14479" s="2" t="s">
        <v>3453</v>
      </c>
      <c r="B14479" s="2" t="s">
        <v>1258</v>
      </c>
      <c r="C14479" s="2">
        <v>665.70759999999996</v>
      </c>
      <c r="D14479" s="2">
        <f>HYPERLINK("http://mcb-m6.bioreg.kyushu-u.ac.jp/M3/20110411/F50916/1460/1", 69.44)</f>
        <v>69.44</v>
      </c>
      <c r="E14479" s="2">
        <v>45.28</v>
      </c>
      <c r="F14479" s="2">
        <v>2</v>
      </c>
      <c r="G14479" s="2" t="s">
        <v>9</v>
      </c>
    </row>
    <row r="14480" spans="1:9" x14ac:dyDescent="0.2">
      <c r="A14480" s="2" t="s">
        <v>3453</v>
      </c>
      <c r="B14480" s="2" t="s">
        <v>1494</v>
      </c>
      <c r="C14480" s="2">
        <v>779.05020000000002</v>
      </c>
      <c r="D14480" s="2">
        <f>HYPERLINK("http://mcb-m6.bioreg.kyushu-u.ac.jp/M3/20110411/F50916/2103/1", 86.32)</f>
        <v>86.32</v>
      </c>
      <c r="E14480" s="2">
        <v>54.68</v>
      </c>
      <c r="F14480" s="2">
        <v>2</v>
      </c>
      <c r="G14480" s="2" t="s">
        <v>9</v>
      </c>
    </row>
    <row r="14481" spans="1:9" x14ac:dyDescent="0.2">
      <c r="A14481" s="2" t="s">
        <v>3453</v>
      </c>
      <c r="B14481" s="2" t="s">
        <v>1869</v>
      </c>
      <c r="C14481" s="2">
        <v>900.97670000000005</v>
      </c>
      <c r="D14481" s="2">
        <f>HYPERLINK("http://mcb-m6.bioreg.kyushu-u.ac.jp/M3/20110411/F50918/2642/1", 45.72)</f>
        <v>45.72</v>
      </c>
      <c r="E14481" s="2">
        <v>38.78</v>
      </c>
      <c r="F14481" s="2">
        <v>2</v>
      </c>
      <c r="G14481" s="2" t="s">
        <v>10</v>
      </c>
      <c r="I14481" s="2" t="s">
        <v>4909</v>
      </c>
    </row>
    <row r="14482" spans="1:9" x14ac:dyDescent="0.2">
      <c r="A14482" s="2" t="s">
        <v>3453</v>
      </c>
      <c r="B14482" s="2" t="s">
        <v>1915</v>
      </c>
      <c r="C14482" s="2">
        <v>912.59119999999996</v>
      </c>
      <c r="D14482" s="2">
        <f>HYPERLINK("http://mcb-m6.bioreg.kyushu-u.ac.jp/M3/20110411/F50918/2685/1", 49.3)</f>
        <v>49.3</v>
      </c>
      <c r="E14482" s="2">
        <v>35.54</v>
      </c>
      <c r="F14482" s="2">
        <v>2</v>
      </c>
      <c r="G14482" s="2" t="s">
        <v>10</v>
      </c>
    </row>
    <row r="14483" spans="1:9" x14ac:dyDescent="0.2">
      <c r="A14483" s="2" t="s">
        <v>3453</v>
      </c>
      <c r="B14483" s="2" t="s">
        <v>1494</v>
      </c>
      <c r="C14483" s="2">
        <v>779.44709999999998</v>
      </c>
      <c r="D14483" s="2">
        <f>HYPERLINK("http://mcb-m6.bioreg.kyushu-u.ac.jp/M3/20110411/F50918/2063/1", 64.87)</f>
        <v>64.87</v>
      </c>
      <c r="E14483" s="2">
        <v>42.93</v>
      </c>
      <c r="F14483" s="2">
        <v>2</v>
      </c>
      <c r="G14483" s="2" t="s">
        <v>10</v>
      </c>
    </row>
    <row r="14484" spans="1:9" x14ac:dyDescent="0.2">
      <c r="A14484" s="2" t="s">
        <v>3453</v>
      </c>
      <c r="B14484" s="2" t="s">
        <v>2175</v>
      </c>
      <c r="C14484" s="2">
        <v>906.23659999999995</v>
      </c>
      <c r="D14484" s="2">
        <f>HYPERLINK("http://mcb-m6.bioreg.kyushu-u.ac.jp/M3/20110414/F50956/3045/1", 35.97)</f>
        <v>35.97</v>
      </c>
      <c r="E14484" s="2">
        <v>28.24</v>
      </c>
      <c r="F14484" s="2">
        <v>2</v>
      </c>
      <c r="G14484" s="2" t="s">
        <v>11</v>
      </c>
    </row>
    <row r="14485" spans="1:9" x14ac:dyDescent="0.2">
      <c r="A14485" s="2" t="s">
        <v>3453</v>
      </c>
      <c r="B14485" s="2" t="s">
        <v>264</v>
      </c>
      <c r="C14485" s="2">
        <v>587.09010000000001</v>
      </c>
      <c r="D14485" s="2">
        <f>HYPERLINK("http://mcb-m6.bioreg.kyushu-u.ac.jp/M3/20110414/F50956/991/1", 41.42)</f>
        <v>41.42</v>
      </c>
      <c r="E14485" s="2">
        <v>24.61</v>
      </c>
      <c r="F14485" s="2">
        <v>2</v>
      </c>
      <c r="G14485" s="2" t="s">
        <v>11</v>
      </c>
    </row>
    <row r="14486" spans="1:9" x14ac:dyDescent="0.2">
      <c r="A14486" s="2" t="s">
        <v>3453</v>
      </c>
      <c r="B14486" s="2" t="s">
        <v>1177</v>
      </c>
      <c r="C14486" s="2">
        <v>790.2047</v>
      </c>
      <c r="D14486" s="2">
        <f>HYPERLINK("http://mcb-m6.bioreg.kyushu-u.ac.jp/M3/20110414/F50956/2300/1", 46.66)</f>
        <v>46.66</v>
      </c>
      <c r="E14486" s="2">
        <v>27.74</v>
      </c>
      <c r="F14486" s="2">
        <v>2</v>
      </c>
      <c r="G14486" s="2" t="s">
        <v>11</v>
      </c>
      <c r="I14486" s="2" t="s">
        <v>4903</v>
      </c>
    </row>
    <row r="14487" spans="1:9" x14ac:dyDescent="0.2">
      <c r="A14487" s="2" t="s">
        <v>3453</v>
      </c>
      <c r="B14487" s="2" t="s">
        <v>1494</v>
      </c>
      <c r="C14487" s="2">
        <v>778.87570000000005</v>
      </c>
      <c r="D14487" s="2">
        <f>HYPERLINK("http://mcb-m6.bioreg.kyushu-u.ac.jp/M3/20110414/F50956/2217/1", 47.24)</f>
        <v>47.24</v>
      </c>
      <c r="E14487" s="2">
        <v>25.28</v>
      </c>
      <c r="F14487" s="2">
        <v>2</v>
      </c>
      <c r="G14487" s="2" t="s">
        <v>11</v>
      </c>
    </row>
    <row r="14488" spans="1:9" x14ac:dyDescent="0.2">
      <c r="A14488" s="2" t="s">
        <v>3453</v>
      </c>
      <c r="B14488" s="2" t="s">
        <v>1177</v>
      </c>
      <c r="C14488" s="2">
        <v>789.72270000000003</v>
      </c>
      <c r="D14488" s="2">
        <f>HYPERLINK("http://mcb-m6.bioreg.kyushu-u.ac.jp/M3/20110414/F50957/2228/1", 47.45)</f>
        <v>47.45</v>
      </c>
      <c r="E14488" s="2">
        <v>35.99</v>
      </c>
      <c r="F14488" s="2">
        <v>2</v>
      </c>
      <c r="G14488" s="2" t="s">
        <v>11</v>
      </c>
      <c r="I14488" s="2" t="s">
        <v>4903</v>
      </c>
    </row>
    <row r="14489" spans="1:9" x14ac:dyDescent="0.2">
      <c r="A14489" s="2" t="s">
        <v>3453</v>
      </c>
      <c r="B14489" s="2" t="s">
        <v>2529</v>
      </c>
      <c r="C14489" s="2">
        <v>770.96469999999999</v>
      </c>
      <c r="D14489" s="2">
        <f>HYPERLINK("http://mcb-m6.bioreg.kyushu-u.ac.jp/M3/20110414/F50958/2209/1", 35.85)</f>
        <v>35.85</v>
      </c>
      <c r="E14489" s="2">
        <v>20.2</v>
      </c>
      <c r="F14489" s="2">
        <v>2</v>
      </c>
      <c r="G14489" s="2" t="s">
        <v>12</v>
      </c>
      <c r="I14489" s="2" t="s">
        <v>4926</v>
      </c>
    </row>
    <row r="14490" spans="1:9" x14ac:dyDescent="0.2">
      <c r="A14490" s="2" t="s">
        <v>3453</v>
      </c>
      <c r="B14490" s="2" t="s">
        <v>1915</v>
      </c>
      <c r="C14490" s="2">
        <v>912.4597</v>
      </c>
      <c r="D14490" s="2">
        <f>HYPERLINK("http://mcb-m6.bioreg.kyushu-u.ac.jp/M3/20110414/F50958/3169/1", 42.84)</f>
        <v>42.84</v>
      </c>
      <c r="E14490" s="2">
        <v>32.659999999999997</v>
      </c>
      <c r="F14490" s="2">
        <v>2</v>
      </c>
      <c r="G14490" s="2" t="s">
        <v>12</v>
      </c>
    </row>
    <row r="14491" spans="1:9" x14ac:dyDescent="0.2">
      <c r="A14491" s="2" t="s">
        <v>3453</v>
      </c>
      <c r="B14491" s="2" t="s">
        <v>2529</v>
      </c>
      <c r="C14491" s="2">
        <v>771.10419999999999</v>
      </c>
      <c r="D14491" s="2">
        <f>HYPERLINK("http://mcb-m6.bioreg.kyushu-u.ac.jp/M3/20110414/F50959/2088/1", 56.79)</f>
        <v>56.79</v>
      </c>
      <c r="E14491" s="2">
        <v>37.659999999999997</v>
      </c>
      <c r="F14491" s="2">
        <v>2</v>
      </c>
      <c r="G14491" s="2" t="s">
        <v>12</v>
      </c>
      <c r="I14491" s="2" t="s">
        <v>4926</v>
      </c>
    </row>
    <row r="14492" spans="1:9" x14ac:dyDescent="0.2">
      <c r="A14492" s="2" t="s">
        <v>3453</v>
      </c>
      <c r="B14492" s="2" t="s">
        <v>1258</v>
      </c>
      <c r="C14492" s="2">
        <v>665.20069999999998</v>
      </c>
      <c r="D14492" s="2">
        <f>HYPERLINK("http://mcb-m6.bioreg.kyushu-u.ac.jp/M3/20110414/F50958/1480/1", 67.63)</f>
        <v>67.63</v>
      </c>
      <c r="E14492" s="2">
        <v>48.68</v>
      </c>
      <c r="F14492" s="2">
        <v>2</v>
      </c>
      <c r="G14492" s="2" t="s">
        <v>12</v>
      </c>
    </row>
    <row r="14493" spans="1:9" x14ac:dyDescent="0.2">
      <c r="A14493" s="2" t="s">
        <v>3453</v>
      </c>
      <c r="B14493" s="2" t="s">
        <v>1177</v>
      </c>
      <c r="C14493" s="2">
        <v>789.72059999999999</v>
      </c>
      <c r="D14493" s="2">
        <f>HYPERLINK("http://mcb-m6.bioreg.kyushu-u.ac.jp/M3/20110414/F50958/2364/1", 84.35)</f>
        <v>84.35</v>
      </c>
      <c r="E14493" s="2">
        <v>61.03</v>
      </c>
      <c r="F14493" s="2">
        <v>2</v>
      </c>
      <c r="G14493" s="2" t="s">
        <v>12</v>
      </c>
      <c r="I14493" s="2" t="s">
        <v>4903</v>
      </c>
    </row>
    <row r="14494" spans="1:9" x14ac:dyDescent="0.2">
      <c r="A14494" s="2" t="s">
        <v>3453</v>
      </c>
      <c r="B14494" s="2" t="s">
        <v>1177</v>
      </c>
      <c r="C14494" s="2">
        <v>790.03769999999997</v>
      </c>
      <c r="D14494" s="2">
        <f>HYPERLINK("http://mcb-m6.bioreg.kyushu-u.ac.jp/M3/20110502/F51189/2046/1", 37.26)</f>
        <v>37.26</v>
      </c>
      <c r="E14494" s="2">
        <v>12.02</v>
      </c>
      <c r="F14494" s="2">
        <v>2</v>
      </c>
      <c r="G14494" s="2" t="s">
        <v>13</v>
      </c>
      <c r="I14494" s="2" t="s">
        <v>4903</v>
      </c>
    </row>
    <row r="14495" spans="1:9" x14ac:dyDescent="0.2">
      <c r="A14495" s="2" t="s">
        <v>3453</v>
      </c>
      <c r="B14495" s="2" t="s">
        <v>1258</v>
      </c>
      <c r="C14495" s="2">
        <v>665.55769999999995</v>
      </c>
      <c r="D14495" s="2">
        <f>HYPERLINK("http://mcb-m6.bioreg.kyushu-u.ac.jp/M3/20110502/F51189/1402/1", 77.2)</f>
        <v>77.2</v>
      </c>
      <c r="E14495" s="2">
        <v>51.55</v>
      </c>
      <c r="F14495" s="2">
        <v>2</v>
      </c>
      <c r="G14495" s="2" t="s">
        <v>13</v>
      </c>
    </row>
    <row r="14496" spans="1:9" x14ac:dyDescent="0.2">
      <c r="A14496" s="2" t="s">
        <v>3453</v>
      </c>
      <c r="B14496" s="2" t="s">
        <v>2529</v>
      </c>
      <c r="C14496" s="2">
        <v>771.10170000000005</v>
      </c>
      <c r="D14496" s="2">
        <f>HYPERLINK("http://mcb-m6.bioreg.kyushu-u.ac.jp/M3/20110502/F51189/1958/1", 84.34)</f>
        <v>84.34</v>
      </c>
      <c r="E14496" s="2">
        <v>59.57</v>
      </c>
      <c r="F14496" s="2">
        <v>2</v>
      </c>
      <c r="G14496" s="2" t="s">
        <v>13</v>
      </c>
      <c r="I14496" s="2" t="s">
        <v>4926</v>
      </c>
    </row>
    <row r="14497" spans="1:9" x14ac:dyDescent="0.2">
      <c r="A14497" s="2" t="s">
        <v>3453</v>
      </c>
      <c r="B14497" s="2" t="s">
        <v>1258</v>
      </c>
      <c r="C14497" s="2">
        <v>665.49369999999999</v>
      </c>
      <c r="D14497" s="2">
        <f>HYPERLINK("http://mcb-m6.bioreg.kyushu-u.ac.jp/M3/20110502/F51194/1375/1", 63.56)</f>
        <v>63.56</v>
      </c>
      <c r="E14497" s="2">
        <v>38.93</v>
      </c>
      <c r="F14497" s="2">
        <v>2</v>
      </c>
      <c r="G14497" s="2" t="s">
        <v>14</v>
      </c>
    </row>
    <row r="14498" spans="1:9" x14ac:dyDescent="0.2">
      <c r="A14498" s="2" t="s">
        <v>3453</v>
      </c>
      <c r="B14498" s="2" t="s">
        <v>1258</v>
      </c>
      <c r="C14498" s="2">
        <v>665.60059999999999</v>
      </c>
      <c r="D14498" s="2">
        <f>HYPERLINK("http://mcb-m6.bioreg.kyushu-u.ac.jp/M3/20110502/F51193/1404/1", 84.01)</f>
        <v>84.01</v>
      </c>
      <c r="E14498" s="2">
        <v>53.23</v>
      </c>
      <c r="F14498" s="2">
        <v>2</v>
      </c>
      <c r="G14498" s="2" t="s">
        <v>14</v>
      </c>
    </row>
    <row r="14499" spans="1:9" x14ac:dyDescent="0.2">
      <c r="A14499" s="2" t="s">
        <v>4121</v>
      </c>
      <c r="B14499" s="2" t="s">
        <v>1629</v>
      </c>
      <c r="C14499" s="2">
        <v>628.09559999999999</v>
      </c>
      <c r="D14499" s="2">
        <f>HYPERLINK("http://mcb-m6.bioreg.kyushu-u.ac.jp/M3/20110411/F50893/1713/1", 104.25)</f>
        <v>104.25</v>
      </c>
      <c r="E14499" s="2">
        <v>79.55</v>
      </c>
      <c r="F14499" s="2">
        <v>2</v>
      </c>
      <c r="G14499" s="2" t="s">
        <v>9</v>
      </c>
    </row>
    <row r="14500" spans="1:9" x14ac:dyDescent="0.2">
      <c r="A14500" s="2" t="s">
        <v>4121</v>
      </c>
      <c r="B14500" s="2" t="s">
        <v>1720</v>
      </c>
      <c r="C14500" s="2">
        <v>1179.6479999999999</v>
      </c>
      <c r="D14500" s="2">
        <f>HYPERLINK("http://mcb-m6.bioreg.kyushu-u.ac.jp/M3/20110411/F50920/953/1", 36.27)</f>
        <v>36.270000000000003</v>
      </c>
      <c r="E14500" s="2">
        <v>21.62</v>
      </c>
      <c r="F14500" s="2">
        <v>1</v>
      </c>
      <c r="G14500" s="2" t="s">
        <v>10</v>
      </c>
    </row>
    <row r="14501" spans="1:9" x14ac:dyDescent="0.2">
      <c r="A14501" s="2" t="s">
        <v>4121</v>
      </c>
      <c r="B14501" s="2" t="s">
        <v>1629</v>
      </c>
      <c r="C14501" s="2">
        <v>627.82920000000001</v>
      </c>
      <c r="D14501" s="2">
        <f>HYPERLINK("http://mcb-m6.bioreg.kyushu-u.ac.jp/M3/20110411/F50920/1075/1", 79.3)</f>
        <v>79.3</v>
      </c>
      <c r="E14501" s="2">
        <v>59.4</v>
      </c>
      <c r="F14501" s="2">
        <v>2</v>
      </c>
      <c r="G14501" s="2" t="s">
        <v>10</v>
      </c>
    </row>
    <row r="14502" spans="1:9" x14ac:dyDescent="0.2">
      <c r="A14502" s="2" t="s">
        <v>4121</v>
      </c>
      <c r="B14502" s="2" t="s">
        <v>1629</v>
      </c>
      <c r="C14502" s="2">
        <v>627.89670000000001</v>
      </c>
      <c r="D14502" s="2">
        <f>HYPERLINK("http://mcb-m6.bioreg.kyushu-u.ac.jp/M3/20110411/F50896/1745/1", 84.32)</f>
        <v>84.32</v>
      </c>
      <c r="E14502" s="2">
        <v>56.11</v>
      </c>
      <c r="F14502" s="2">
        <v>2</v>
      </c>
      <c r="G14502" s="2" t="s">
        <v>10</v>
      </c>
    </row>
    <row r="14503" spans="1:9" x14ac:dyDescent="0.2">
      <c r="A14503" s="2" t="s">
        <v>4121</v>
      </c>
      <c r="B14503" s="2" t="s">
        <v>1629</v>
      </c>
      <c r="C14503" s="2">
        <v>627.93219999999997</v>
      </c>
      <c r="D14503" s="2">
        <f>HYPERLINK("http://mcb-m6.bioreg.kyushu-u.ac.jp/M3/20110414/F50944/1635/1", 43.31)</f>
        <v>43.31</v>
      </c>
      <c r="E14503" s="2">
        <v>17.03</v>
      </c>
      <c r="F14503" s="2">
        <v>2</v>
      </c>
      <c r="G14503" s="2" t="s">
        <v>11</v>
      </c>
    </row>
    <row r="14504" spans="1:9" x14ac:dyDescent="0.2">
      <c r="A14504" s="2" t="s">
        <v>4121</v>
      </c>
      <c r="B14504" s="2" t="s">
        <v>1629</v>
      </c>
      <c r="C14504" s="2">
        <v>627.58920000000001</v>
      </c>
      <c r="D14504" s="2">
        <f>HYPERLINK("http://mcb-m6.bioreg.kyushu-u.ac.jp/M3/20110414/F50948/1387/1", 42.73)</f>
        <v>42.73</v>
      </c>
      <c r="E14504" s="2">
        <v>27.02</v>
      </c>
      <c r="F14504" s="2">
        <v>2</v>
      </c>
      <c r="G14504" s="2" t="s">
        <v>12</v>
      </c>
    </row>
    <row r="14505" spans="1:9" x14ac:dyDescent="0.2">
      <c r="A14505" s="2" t="s">
        <v>4121</v>
      </c>
      <c r="B14505" s="2" t="s">
        <v>1629</v>
      </c>
      <c r="C14505" s="2">
        <v>628.01170000000002</v>
      </c>
      <c r="D14505" s="2">
        <f>HYPERLINK("http://mcb-m6.bioreg.kyushu-u.ac.jp/M3/20110502/F51174/1560/1", 71.88)</f>
        <v>71.88</v>
      </c>
      <c r="E14505" s="2">
        <v>31.21</v>
      </c>
      <c r="F14505" s="2">
        <v>2</v>
      </c>
      <c r="G14505" s="2" t="s">
        <v>13</v>
      </c>
    </row>
    <row r="14506" spans="1:9" x14ac:dyDescent="0.2">
      <c r="A14506" s="2" t="s">
        <v>4121</v>
      </c>
      <c r="B14506" s="2" t="s">
        <v>1629</v>
      </c>
      <c r="C14506" s="2">
        <v>628.1327</v>
      </c>
      <c r="D14506" s="2">
        <f>HYPERLINK("http://mcb-m6.bioreg.kyushu-u.ac.jp/M3/20110502/F51183/1312/1", 52.01)</f>
        <v>52.01</v>
      </c>
      <c r="E14506" s="2">
        <v>28.37</v>
      </c>
      <c r="F14506" s="2">
        <v>2</v>
      </c>
      <c r="G14506" s="2" t="s">
        <v>14</v>
      </c>
    </row>
    <row r="14507" spans="1:9" x14ac:dyDescent="0.2">
      <c r="A14507" s="2" t="s">
        <v>4121</v>
      </c>
      <c r="B14507" s="2" t="s">
        <v>1629</v>
      </c>
      <c r="C14507" s="2">
        <v>628.08420000000001</v>
      </c>
      <c r="D14507" s="2">
        <f>HYPERLINK("http://mcb-m6.bioreg.kyushu-u.ac.jp/M3/20110502/F51182/1239/1", 99.51)</f>
        <v>99.51</v>
      </c>
      <c r="E14507" s="2">
        <v>52.37</v>
      </c>
      <c r="F14507" s="2">
        <v>2</v>
      </c>
      <c r="G14507" s="2" t="s">
        <v>14</v>
      </c>
    </row>
    <row r="14508" spans="1:9" x14ac:dyDescent="0.2">
      <c r="A14508" s="2" t="s">
        <v>4588</v>
      </c>
      <c r="B14508" s="2" t="s">
        <v>2654</v>
      </c>
      <c r="C14508" s="2">
        <v>961.13199999999995</v>
      </c>
      <c r="D14508" s="2">
        <f>HYPERLINK("http://mcb-m6.bioreg.kyushu-u.ac.jp/M3/20110414/F50949/1666/2", 47.64)</f>
        <v>47.64</v>
      </c>
      <c r="E14508" s="2">
        <v>6.73</v>
      </c>
      <c r="F14508" s="2">
        <v>1</v>
      </c>
      <c r="G14508" s="2" t="s">
        <v>12</v>
      </c>
    </row>
    <row r="14509" spans="1:9" x14ac:dyDescent="0.2">
      <c r="A14509" s="2" t="s">
        <v>4451</v>
      </c>
      <c r="B14509" s="2" t="s">
        <v>2360</v>
      </c>
      <c r="C14509" s="2">
        <v>734.88509999999997</v>
      </c>
      <c r="D14509" s="2">
        <f>HYPERLINK("http://mcb-m6.bioreg.kyushu-u.ac.jp/M3/20110414/F50943/1834/1", 50.35)</f>
        <v>50.35</v>
      </c>
      <c r="E14509" s="2">
        <v>35.58</v>
      </c>
      <c r="F14509" s="2">
        <v>2</v>
      </c>
      <c r="G14509" s="2" t="s">
        <v>11</v>
      </c>
    </row>
    <row r="14510" spans="1:9" x14ac:dyDescent="0.2">
      <c r="A14510" s="2" t="s">
        <v>4451</v>
      </c>
      <c r="B14510" s="2" t="s">
        <v>2447</v>
      </c>
      <c r="C14510" s="2">
        <v>458.27659999999997</v>
      </c>
      <c r="D14510" s="2">
        <f>HYPERLINK("http://mcb-m6.bioreg.kyushu-u.ac.jp/M3/20110414/F50943/800/1", 66.11)</f>
        <v>66.11</v>
      </c>
      <c r="E14510" s="2">
        <v>30.65</v>
      </c>
      <c r="F14510" s="2">
        <v>2</v>
      </c>
      <c r="G14510" s="2" t="s">
        <v>11</v>
      </c>
    </row>
    <row r="14511" spans="1:9" x14ac:dyDescent="0.2">
      <c r="A14511" s="2" t="s">
        <v>4451</v>
      </c>
      <c r="B14511" s="2" t="s">
        <v>2674</v>
      </c>
      <c r="C14511" s="2">
        <v>758.42769999999996</v>
      </c>
      <c r="D14511" s="2">
        <f>HYPERLINK("http://mcb-m6.bioreg.kyushu-u.ac.jp/M3/20110414/F50949/2192/1", 51.17)</f>
        <v>51.17</v>
      </c>
      <c r="E14511" s="2">
        <v>29.48</v>
      </c>
      <c r="F14511" s="2">
        <v>2</v>
      </c>
      <c r="G14511" s="2" t="s">
        <v>12</v>
      </c>
    </row>
    <row r="14512" spans="1:9" x14ac:dyDescent="0.2">
      <c r="A14512" s="2" t="s">
        <v>4451</v>
      </c>
      <c r="B14512" s="2" t="s">
        <v>2716</v>
      </c>
      <c r="C14512" s="2">
        <v>651.99270000000001</v>
      </c>
      <c r="D14512" s="2">
        <f>HYPERLINK("http://mcb-m6.bioreg.kyushu-u.ac.jp/M3/20110414/F50949/1943/1", 61.84)</f>
        <v>61.84</v>
      </c>
      <c r="E14512" s="2">
        <v>42.79</v>
      </c>
      <c r="F14512" s="2">
        <v>2</v>
      </c>
      <c r="G14512" s="2" t="s">
        <v>12</v>
      </c>
      <c r="I14512" s="2" t="s">
        <v>4905</v>
      </c>
    </row>
    <row r="14513" spans="1:7" x14ac:dyDescent="0.2">
      <c r="A14513" s="2" t="s">
        <v>4815</v>
      </c>
      <c r="B14513" s="2" t="s">
        <v>3066</v>
      </c>
      <c r="C14513" s="2">
        <v>560.12789999999995</v>
      </c>
      <c r="D14513" s="2">
        <f>HYPERLINK("http://mcb-m6.bioreg.kyushu-u.ac.jp/M3/20110502/F51186/2277/1", 41.33)</f>
        <v>41.33</v>
      </c>
      <c r="E14513" s="2">
        <v>10.119999999999999</v>
      </c>
      <c r="F14513" s="2">
        <v>3</v>
      </c>
      <c r="G14513" s="2" t="s">
        <v>14</v>
      </c>
    </row>
    <row r="14514" spans="1:7" x14ac:dyDescent="0.2">
      <c r="A14514" s="2" t="s">
        <v>4156</v>
      </c>
      <c r="B14514" s="2" t="s">
        <v>1710</v>
      </c>
      <c r="C14514" s="2">
        <v>874.73599999999999</v>
      </c>
      <c r="D14514" s="2">
        <f>HYPERLINK("http://mcb-m6.bioreg.kyushu-u.ac.jp/M3/20110411/F50913/821/1", 35.98)</f>
        <v>35.979999999999997</v>
      </c>
      <c r="E14514" s="2">
        <v>15.86</v>
      </c>
      <c r="F14514" s="2">
        <v>1</v>
      </c>
      <c r="G14514" s="2" t="s">
        <v>10</v>
      </c>
    </row>
    <row r="14515" spans="1:7" x14ac:dyDescent="0.2">
      <c r="A14515" s="2" t="s">
        <v>4156</v>
      </c>
      <c r="B14515" s="2" t="s">
        <v>1710</v>
      </c>
      <c r="C14515" s="2">
        <v>874.56899999999996</v>
      </c>
      <c r="D14515" s="2">
        <f>HYPERLINK("http://mcb-m6.bioreg.kyushu-u.ac.jp/M3/20110411/F50899/1353/1", 44.48)</f>
        <v>44.48</v>
      </c>
      <c r="E14515" s="2">
        <v>23.05</v>
      </c>
      <c r="F14515" s="2">
        <v>1</v>
      </c>
      <c r="G14515" s="2" t="s">
        <v>10</v>
      </c>
    </row>
    <row r="14516" spans="1:7" x14ac:dyDescent="0.2">
      <c r="A14516" s="2" t="s">
        <v>4730</v>
      </c>
      <c r="B14516" s="2" t="s">
        <v>2943</v>
      </c>
      <c r="C14516" s="2">
        <v>553.56709999999998</v>
      </c>
      <c r="D14516" s="2">
        <f>HYPERLINK("http://mcb-m6.bioreg.kyushu-u.ac.jp/M3/20110502/F51172/1018/1", 64.83)</f>
        <v>64.83</v>
      </c>
      <c r="E14516" s="2">
        <v>47.56</v>
      </c>
      <c r="F14516" s="2">
        <v>2</v>
      </c>
      <c r="G14516" s="2" t="s">
        <v>13</v>
      </c>
    </row>
    <row r="14517" spans="1:7" x14ac:dyDescent="0.2">
      <c r="A14517" s="2" t="s">
        <v>4421</v>
      </c>
      <c r="B14517" s="2" t="s">
        <v>2288</v>
      </c>
      <c r="C14517" s="2">
        <v>460.7466</v>
      </c>
      <c r="D14517" s="2">
        <f>HYPERLINK("http://mcb-m6.bioreg.kyushu-u.ac.jp/M3/20110414/F50924/841/2", 43.23)</f>
        <v>43.23</v>
      </c>
      <c r="E14517" s="2">
        <v>23.48</v>
      </c>
      <c r="F14517" s="2">
        <v>2</v>
      </c>
      <c r="G14517" s="2" t="s">
        <v>11</v>
      </c>
    </row>
    <row r="14518" spans="1:7" x14ac:dyDescent="0.2">
      <c r="A14518" s="2" t="s">
        <v>3588</v>
      </c>
      <c r="B14518" s="2" t="s">
        <v>473</v>
      </c>
      <c r="C14518" s="2">
        <v>633.37459999999999</v>
      </c>
      <c r="D14518" s="2">
        <f>HYPERLINK("http://mcb-m6.bioreg.kyushu-u.ac.jp/M3/20110411/F50890/1652/1", 42.6)</f>
        <v>42.6</v>
      </c>
      <c r="E14518" s="2">
        <v>26.33</v>
      </c>
      <c r="F14518" s="2">
        <v>2</v>
      </c>
      <c r="G14518" s="2" t="s">
        <v>9</v>
      </c>
    </row>
    <row r="14519" spans="1:7" x14ac:dyDescent="0.2">
      <c r="A14519" s="2" t="s">
        <v>3588</v>
      </c>
      <c r="B14519" s="2" t="s">
        <v>553</v>
      </c>
      <c r="C14519" s="2">
        <v>693.07460000000003</v>
      </c>
      <c r="D14519" s="2">
        <f>HYPERLINK("http://mcb-m6.bioreg.kyushu-u.ac.jp/M3/20110411/F50904/1796/1", 44.69)</f>
        <v>44.69</v>
      </c>
      <c r="E14519" s="2">
        <v>29.2</v>
      </c>
      <c r="F14519" s="2">
        <v>2</v>
      </c>
      <c r="G14519" s="2" t="s">
        <v>9</v>
      </c>
    </row>
    <row r="14520" spans="1:7" x14ac:dyDescent="0.2">
      <c r="A14520" s="2" t="s">
        <v>3588</v>
      </c>
      <c r="B14520" s="2" t="s">
        <v>473</v>
      </c>
      <c r="C14520" s="2">
        <v>633.42359999999996</v>
      </c>
      <c r="D14520" s="2">
        <f>HYPERLINK("http://mcb-m6.bioreg.kyushu-u.ac.jp/M3/20110411/F50915/1317/1", 44.99)</f>
        <v>44.99</v>
      </c>
      <c r="E14520" s="2">
        <v>26.68</v>
      </c>
      <c r="F14520" s="2">
        <v>2</v>
      </c>
      <c r="G14520" s="2" t="s">
        <v>9</v>
      </c>
    </row>
    <row r="14521" spans="1:7" x14ac:dyDescent="0.2">
      <c r="A14521" s="2" t="s">
        <v>3588</v>
      </c>
      <c r="B14521" s="2" t="s">
        <v>553</v>
      </c>
      <c r="C14521" s="2">
        <v>693.01459999999997</v>
      </c>
      <c r="D14521" s="2">
        <f>HYPERLINK("http://mcb-m6.bioreg.kyushu-u.ac.jp/M3/20110411/F50911/1823/1", 47.54)</f>
        <v>47.54</v>
      </c>
      <c r="E14521" s="2">
        <v>35.020000000000003</v>
      </c>
      <c r="F14521" s="2">
        <v>2</v>
      </c>
      <c r="G14521" s="2" t="s">
        <v>9</v>
      </c>
    </row>
    <row r="14522" spans="1:7" x14ac:dyDescent="0.2">
      <c r="A14522" s="2" t="s">
        <v>3588</v>
      </c>
      <c r="B14522" s="2" t="s">
        <v>712</v>
      </c>
      <c r="C14522" s="2">
        <v>697.36320000000001</v>
      </c>
      <c r="D14522" s="2">
        <f>HYPERLINK("http://mcb-m6.bioreg.kyushu-u.ac.jp/M3/20110411/F50890/1940/1", 48.96)</f>
        <v>48.96</v>
      </c>
      <c r="E14522" s="2">
        <v>40.11</v>
      </c>
      <c r="F14522" s="2">
        <v>2</v>
      </c>
      <c r="G14522" s="2" t="s">
        <v>9</v>
      </c>
    </row>
    <row r="14523" spans="1:7" x14ac:dyDescent="0.2">
      <c r="A14523" s="2" t="s">
        <v>3588</v>
      </c>
      <c r="B14523" s="2" t="s">
        <v>473</v>
      </c>
      <c r="C14523" s="2">
        <v>633.66769999999997</v>
      </c>
      <c r="D14523" s="2">
        <f>HYPERLINK("http://mcb-m6.bioreg.kyushu-u.ac.jp/M3/20110411/F50905/1510/1", 52.35)</f>
        <v>52.35</v>
      </c>
      <c r="E14523" s="2">
        <v>28.38</v>
      </c>
      <c r="F14523" s="2">
        <v>2</v>
      </c>
      <c r="G14523" s="2" t="s">
        <v>9</v>
      </c>
    </row>
    <row r="14524" spans="1:7" x14ac:dyDescent="0.2">
      <c r="A14524" s="2" t="s">
        <v>3588</v>
      </c>
      <c r="B14524" s="2" t="s">
        <v>553</v>
      </c>
      <c r="C14524" s="2">
        <v>693.30160000000001</v>
      </c>
      <c r="D14524" s="2">
        <f>HYPERLINK("http://mcb-m6.bioreg.kyushu-u.ac.jp/M3/20110411/F50890/1918/1", 59.22)</f>
        <v>59.22</v>
      </c>
      <c r="E14524" s="2">
        <v>39.729999999999997</v>
      </c>
      <c r="F14524" s="2">
        <v>2</v>
      </c>
      <c r="G14524" s="2" t="s">
        <v>9</v>
      </c>
    </row>
    <row r="14525" spans="1:7" x14ac:dyDescent="0.2">
      <c r="A14525" s="2" t="s">
        <v>3588</v>
      </c>
      <c r="B14525" s="2" t="s">
        <v>712</v>
      </c>
      <c r="C14525" s="2">
        <v>697.49220000000003</v>
      </c>
      <c r="D14525" s="2">
        <f>HYPERLINK("http://mcb-m6.bioreg.kyushu-u.ac.jp/M3/20110411/F50915/1637/1", 61.3)</f>
        <v>61.3</v>
      </c>
      <c r="E14525" s="2">
        <v>44.74</v>
      </c>
      <c r="F14525" s="2">
        <v>2</v>
      </c>
      <c r="G14525" s="2" t="s">
        <v>9</v>
      </c>
    </row>
    <row r="14526" spans="1:7" x14ac:dyDescent="0.2">
      <c r="A14526" s="2" t="s">
        <v>3588</v>
      </c>
      <c r="B14526" s="2" t="s">
        <v>473</v>
      </c>
      <c r="C14526" s="2">
        <v>633.6567</v>
      </c>
      <c r="D14526" s="2">
        <f>HYPERLINK("http://mcb-m6.bioreg.kyushu-u.ac.jp/M3/20110411/F50904/1557/1", 63.02)</f>
        <v>63.02</v>
      </c>
      <c r="E14526" s="2">
        <v>40.44</v>
      </c>
      <c r="F14526" s="2">
        <v>2</v>
      </c>
      <c r="G14526" s="2" t="s">
        <v>9</v>
      </c>
    </row>
    <row r="14527" spans="1:7" x14ac:dyDescent="0.2">
      <c r="A14527" s="2" t="s">
        <v>3588</v>
      </c>
      <c r="B14527" s="2" t="s">
        <v>473</v>
      </c>
      <c r="C14527" s="2">
        <v>633.63210000000004</v>
      </c>
      <c r="D14527" s="2">
        <f>HYPERLINK("http://mcb-m6.bioreg.kyushu-u.ac.jp/M3/20110411/F50893/1733/1", 63.27)</f>
        <v>63.27</v>
      </c>
      <c r="E14527" s="2">
        <v>35.57</v>
      </c>
      <c r="F14527" s="2">
        <v>2</v>
      </c>
      <c r="G14527" s="2" t="s">
        <v>9</v>
      </c>
    </row>
    <row r="14528" spans="1:7" x14ac:dyDescent="0.2">
      <c r="A14528" s="2" t="s">
        <v>3588</v>
      </c>
      <c r="B14528" s="2" t="s">
        <v>712</v>
      </c>
      <c r="C14528" s="2">
        <v>697.36770000000001</v>
      </c>
      <c r="D14528" s="2">
        <f>HYPERLINK("http://mcb-m6.bioreg.kyushu-u.ac.jp/M3/20110411/F50891/1851/1", 63.39)</f>
        <v>63.39</v>
      </c>
      <c r="E14528" s="2">
        <v>44.07</v>
      </c>
      <c r="F14528" s="2">
        <v>2</v>
      </c>
      <c r="G14528" s="2" t="s">
        <v>9</v>
      </c>
    </row>
    <row r="14529" spans="1:7" x14ac:dyDescent="0.2">
      <c r="A14529" s="2" t="s">
        <v>3588</v>
      </c>
      <c r="B14529" s="2" t="s">
        <v>473</v>
      </c>
      <c r="C14529" s="2">
        <v>633.28719999999998</v>
      </c>
      <c r="D14529" s="2">
        <f>HYPERLINK("http://mcb-m6.bioreg.kyushu-u.ac.jp/M3/20110411/F50891/1535/1", 64.99)</f>
        <v>64.989999999999995</v>
      </c>
      <c r="E14529" s="2">
        <v>39.950000000000003</v>
      </c>
      <c r="F14529" s="2">
        <v>2</v>
      </c>
      <c r="G14529" s="2" t="s">
        <v>9</v>
      </c>
    </row>
    <row r="14530" spans="1:7" x14ac:dyDescent="0.2">
      <c r="A14530" s="2" t="s">
        <v>3588</v>
      </c>
      <c r="B14530" s="2" t="s">
        <v>712</v>
      </c>
      <c r="C14530" s="2">
        <v>697.74159999999995</v>
      </c>
      <c r="D14530" s="2">
        <f>HYPERLINK("http://mcb-m6.bioreg.kyushu-u.ac.jp/M3/20110411/F50895/1871/1", 67.6)</f>
        <v>67.599999999999994</v>
      </c>
      <c r="E14530" s="2">
        <v>40.840000000000003</v>
      </c>
      <c r="F14530" s="2">
        <v>2</v>
      </c>
      <c r="G14530" s="2" t="s">
        <v>9</v>
      </c>
    </row>
    <row r="14531" spans="1:7" x14ac:dyDescent="0.2">
      <c r="A14531" s="2" t="s">
        <v>3588</v>
      </c>
      <c r="B14531" s="2" t="s">
        <v>473</v>
      </c>
      <c r="C14531" s="2">
        <v>633.45870000000002</v>
      </c>
      <c r="D14531" s="2">
        <f>HYPERLINK("http://mcb-m6.bioreg.kyushu-u.ac.jp/M3/20110411/F50895/1575/1", 70.48)</f>
        <v>70.48</v>
      </c>
      <c r="E14531" s="2">
        <v>42.93</v>
      </c>
      <c r="F14531" s="2">
        <v>2</v>
      </c>
      <c r="G14531" s="2" t="s">
        <v>9</v>
      </c>
    </row>
    <row r="14532" spans="1:7" x14ac:dyDescent="0.2">
      <c r="A14532" s="2" t="s">
        <v>3588</v>
      </c>
      <c r="B14532" s="2" t="s">
        <v>712</v>
      </c>
      <c r="C14532" s="2">
        <v>697.51070000000004</v>
      </c>
      <c r="D14532" s="2">
        <f>HYPERLINK("http://mcb-m6.bioreg.kyushu-u.ac.jp/M3/20110411/F50916/1659/1", 71.17)</f>
        <v>71.17</v>
      </c>
      <c r="E14532" s="2">
        <v>53.79</v>
      </c>
      <c r="F14532" s="2">
        <v>2</v>
      </c>
      <c r="G14532" s="2" t="s">
        <v>9</v>
      </c>
    </row>
    <row r="14533" spans="1:7" x14ac:dyDescent="0.2">
      <c r="A14533" s="2" t="s">
        <v>3588</v>
      </c>
      <c r="B14533" s="2" t="s">
        <v>712</v>
      </c>
      <c r="C14533" s="2">
        <v>697.4307</v>
      </c>
      <c r="D14533" s="2">
        <f>HYPERLINK("http://mcb-m6.bioreg.kyushu-u.ac.jp/M3/20110411/F50889/2103/1", 72.49)</f>
        <v>72.489999999999995</v>
      </c>
      <c r="E14533" s="2">
        <v>53.3</v>
      </c>
      <c r="F14533" s="2">
        <v>2</v>
      </c>
      <c r="G14533" s="2" t="s">
        <v>9</v>
      </c>
    </row>
    <row r="14534" spans="1:7" x14ac:dyDescent="0.2">
      <c r="A14534" s="2" t="s">
        <v>3588</v>
      </c>
      <c r="B14534" s="2" t="s">
        <v>712</v>
      </c>
      <c r="C14534" s="2">
        <v>697.58010000000002</v>
      </c>
      <c r="D14534" s="2">
        <f>HYPERLINK("http://mcb-m6.bioreg.kyushu-u.ac.jp/M3/20110411/F50905/1794/1", 72.72)</f>
        <v>72.72</v>
      </c>
      <c r="E14534" s="2">
        <v>48.2</v>
      </c>
      <c r="F14534" s="2">
        <v>2</v>
      </c>
      <c r="G14534" s="2" t="s">
        <v>9</v>
      </c>
    </row>
    <row r="14535" spans="1:7" x14ac:dyDescent="0.2">
      <c r="A14535" s="2" t="s">
        <v>3588</v>
      </c>
      <c r="B14535" s="2" t="s">
        <v>553</v>
      </c>
      <c r="C14535" s="2">
        <v>692.88670000000002</v>
      </c>
      <c r="D14535" s="2">
        <f>HYPERLINK("http://mcb-m6.bioreg.kyushu-u.ac.jp/M3/20110411/F50891/1818/1", 75.05)</f>
        <v>75.05</v>
      </c>
      <c r="E14535" s="2">
        <v>22.22</v>
      </c>
      <c r="F14535" s="2">
        <v>2</v>
      </c>
      <c r="G14535" s="2" t="s">
        <v>9</v>
      </c>
    </row>
    <row r="14536" spans="1:7" x14ac:dyDescent="0.2">
      <c r="A14536" s="2" t="s">
        <v>3588</v>
      </c>
      <c r="B14536" s="2" t="s">
        <v>712</v>
      </c>
      <c r="C14536" s="2">
        <v>697.76319999999998</v>
      </c>
      <c r="D14536" s="2">
        <f>HYPERLINK("http://mcb-m6.bioreg.kyushu-u.ac.jp/M3/20110411/F50893/1984/1", 75.17)</f>
        <v>75.17</v>
      </c>
      <c r="E14536" s="2">
        <v>47.8</v>
      </c>
      <c r="F14536" s="2">
        <v>2</v>
      </c>
      <c r="G14536" s="2" t="s">
        <v>9</v>
      </c>
    </row>
    <row r="14537" spans="1:7" x14ac:dyDescent="0.2">
      <c r="A14537" s="2" t="s">
        <v>3588</v>
      </c>
      <c r="B14537" s="2" t="s">
        <v>712</v>
      </c>
      <c r="C14537" s="2">
        <v>697.61069999999995</v>
      </c>
      <c r="D14537" s="2">
        <f>HYPERLINK("http://mcb-m6.bioreg.kyushu-u.ac.jp/M3/20110411/F50904/1816/1", 75.29)</f>
        <v>75.290000000000006</v>
      </c>
      <c r="E14537" s="2">
        <v>55.34</v>
      </c>
      <c r="F14537" s="2">
        <v>2</v>
      </c>
      <c r="G14537" s="2" t="s">
        <v>9</v>
      </c>
    </row>
    <row r="14538" spans="1:7" x14ac:dyDescent="0.2">
      <c r="A14538" s="2" t="s">
        <v>3588</v>
      </c>
      <c r="B14538" s="2" t="s">
        <v>712</v>
      </c>
      <c r="C14538" s="2">
        <v>697.41920000000005</v>
      </c>
      <c r="D14538" s="2">
        <f>HYPERLINK("http://mcb-m6.bioreg.kyushu-u.ac.jp/M3/20110411/F50892/2003/1", 75.3)</f>
        <v>75.3</v>
      </c>
      <c r="E14538" s="2">
        <v>55.68</v>
      </c>
      <c r="F14538" s="2">
        <v>2</v>
      </c>
      <c r="G14538" s="2" t="s">
        <v>9</v>
      </c>
    </row>
    <row r="14539" spans="1:7" x14ac:dyDescent="0.2">
      <c r="A14539" s="2" t="s">
        <v>3588</v>
      </c>
      <c r="B14539" s="2" t="s">
        <v>712</v>
      </c>
      <c r="C14539" s="2">
        <v>697.59720000000004</v>
      </c>
      <c r="D14539" s="2">
        <f>HYPERLINK("http://mcb-m6.bioreg.kyushu-u.ac.jp/M3/20110411/F50911/1846/1", 78.11)</f>
        <v>78.11</v>
      </c>
      <c r="E14539" s="2">
        <v>49.85</v>
      </c>
      <c r="F14539" s="2">
        <v>2</v>
      </c>
      <c r="G14539" s="2" t="s">
        <v>9</v>
      </c>
    </row>
    <row r="14540" spans="1:7" x14ac:dyDescent="0.2">
      <c r="A14540" s="2" t="s">
        <v>3588</v>
      </c>
      <c r="B14540" s="2" t="s">
        <v>712</v>
      </c>
      <c r="C14540" s="2">
        <v>697.36069999999995</v>
      </c>
      <c r="D14540" s="2">
        <f>HYPERLINK("http://mcb-m6.bioreg.kyushu-u.ac.jp/M3/20110411/F50894/2042/1", 81.07)</f>
        <v>81.069999999999993</v>
      </c>
      <c r="E14540" s="2">
        <v>61.87</v>
      </c>
      <c r="F14540" s="2">
        <v>2</v>
      </c>
      <c r="G14540" s="2" t="s">
        <v>9</v>
      </c>
    </row>
    <row r="14541" spans="1:7" x14ac:dyDescent="0.2">
      <c r="A14541" s="2" t="s">
        <v>3588</v>
      </c>
      <c r="B14541" s="2" t="s">
        <v>473</v>
      </c>
      <c r="C14541" s="2">
        <v>633.34519999999998</v>
      </c>
      <c r="D14541" s="2">
        <f>HYPERLINK("http://mcb-m6.bioreg.kyushu-u.ac.jp/M3/20110411/F50902/1571/1", 37.29)</f>
        <v>37.29</v>
      </c>
      <c r="E14541" s="2">
        <v>9.64</v>
      </c>
      <c r="F14541" s="2">
        <v>2</v>
      </c>
      <c r="G14541" s="2" t="s">
        <v>10</v>
      </c>
    </row>
    <row r="14542" spans="1:7" x14ac:dyDescent="0.2">
      <c r="A14542" s="2" t="s">
        <v>3588</v>
      </c>
      <c r="B14542" s="2" t="s">
        <v>712</v>
      </c>
      <c r="C14542" s="2">
        <v>697.49570000000006</v>
      </c>
      <c r="D14542" s="2">
        <f>HYPERLINK("http://mcb-m6.bioreg.kyushu-u.ac.jp/M3/20110411/F50898/2026/1", 38.04)</f>
        <v>38.04</v>
      </c>
      <c r="E14542" s="2">
        <v>24.32</v>
      </c>
      <c r="F14542" s="2">
        <v>2</v>
      </c>
      <c r="G14542" s="2" t="s">
        <v>10</v>
      </c>
    </row>
    <row r="14543" spans="1:7" x14ac:dyDescent="0.2">
      <c r="A14543" s="2" t="s">
        <v>3588</v>
      </c>
      <c r="B14543" s="2" t="s">
        <v>473</v>
      </c>
      <c r="C14543" s="2">
        <v>633.4357</v>
      </c>
      <c r="D14543" s="2">
        <f>HYPERLINK("http://mcb-m6.bioreg.kyushu-u.ac.jp/M3/20110411/F50917/1389/1", 50.42)</f>
        <v>50.42</v>
      </c>
      <c r="E14543" s="2">
        <v>29.61</v>
      </c>
      <c r="F14543" s="2">
        <v>2</v>
      </c>
      <c r="G14543" s="2" t="s">
        <v>10</v>
      </c>
    </row>
    <row r="14544" spans="1:7" x14ac:dyDescent="0.2">
      <c r="A14544" s="2" t="s">
        <v>3588</v>
      </c>
      <c r="B14544" s="2" t="s">
        <v>473</v>
      </c>
      <c r="C14544" s="2">
        <v>633.43520000000001</v>
      </c>
      <c r="D14544" s="2">
        <f>HYPERLINK("http://mcb-m6.bioreg.kyushu-u.ac.jp/M3/20110411/F50896/1756/1", 50.51)</f>
        <v>50.51</v>
      </c>
      <c r="E14544" s="2">
        <v>28.77</v>
      </c>
      <c r="F14544" s="2">
        <v>2</v>
      </c>
      <c r="G14544" s="2" t="s">
        <v>10</v>
      </c>
    </row>
    <row r="14545" spans="1:7" x14ac:dyDescent="0.2">
      <c r="A14545" s="2" t="s">
        <v>3588</v>
      </c>
      <c r="B14545" s="2" t="s">
        <v>712</v>
      </c>
      <c r="C14545" s="2">
        <v>697.46420000000001</v>
      </c>
      <c r="D14545" s="2">
        <f>HYPERLINK("http://mcb-m6.bioreg.kyushu-u.ac.jp/M3/20110411/F50917/1708/1", 56.04)</f>
        <v>56.04</v>
      </c>
      <c r="E14545" s="2">
        <v>37.14</v>
      </c>
      <c r="F14545" s="2">
        <v>2</v>
      </c>
      <c r="G14545" s="2" t="s">
        <v>10</v>
      </c>
    </row>
    <row r="14546" spans="1:7" x14ac:dyDescent="0.2">
      <c r="A14546" s="2" t="s">
        <v>3588</v>
      </c>
      <c r="B14546" s="2" t="s">
        <v>553</v>
      </c>
      <c r="C14546" s="2">
        <v>693.45069999999998</v>
      </c>
      <c r="D14546" s="2">
        <f>HYPERLINK("http://mcb-m6.bioreg.kyushu-u.ac.jp/M3/20110411/F50914/1856/1", 58.51)</f>
        <v>58.51</v>
      </c>
      <c r="E14546" s="2">
        <v>44.15</v>
      </c>
      <c r="F14546" s="2">
        <v>2</v>
      </c>
      <c r="G14546" s="2" t="s">
        <v>10</v>
      </c>
    </row>
    <row r="14547" spans="1:7" x14ac:dyDescent="0.2">
      <c r="A14547" s="2" t="s">
        <v>3588</v>
      </c>
      <c r="B14547" s="2" t="s">
        <v>712</v>
      </c>
      <c r="C14547" s="2">
        <v>697.57370000000003</v>
      </c>
      <c r="D14547" s="2">
        <f>HYPERLINK("http://mcb-m6.bioreg.kyushu-u.ac.jp/M3/20110411/F50900/1956/1", 61.73)</f>
        <v>61.73</v>
      </c>
      <c r="E14547" s="2">
        <v>38.08</v>
      </c>
      <c r="F14547" s="2">
        <v>2</v>
      </c>
      <c r="G14547" s="2" t="s">
        <v>10</v>
      </c>
    </row>
    <row r="14548" spans="1:7" x14ac:dyDescent="0.2">
      <c r="A14548" s="2" t="s">
        <v>3588</v>
      </c>
      <c r="B14548" s="2" t="s">
        <v>712</v>
      </c>
      <c r="C14548" s="2">
        <v>697.59119999999996</v>
      </c>
      <c r="D14548" s="2">
        <f>HYPERLINK("http://mcb-m6.bioreg.kyushu-u.ac.jp/M3/20110411/F50913/1803/1", 65.83)</f>
        <v>65.83</v>
      </c>
      <c r="E14548" s="2">
        <v>35.74</v>
      </c>
      <c r="F14548" s="2">
        <v>2</v>
      </c>
      <c r="G14548" s="2" t="s">
        <v>10</v>
      </c>
    </row>
    <row r="14549" spans="1:7" x14ac:dyDescent="0.2">
      <c r="A14549" s="2" t="s">
        <v>3588</v>
      </c>
      <c r="B14549" s="2" t="s">
        <v>473</v>
      </c>
      <c r="C14549" s="2">
        <v>633.78269999999998</v>
      </c>
      <c r="D14549" s="2">
        <f>HYPERLINK("http://mcb-m6.bioreg.kyushu-u.ac.jp/M3/20110411/F50920/1100/1", 67.12)</f>
        <v>67.12</v>
      </c>
      <c r="E14549" s="2">
        <v>45.61</v>
      </c>
      <c r="F14549" s="2">
        <v>2</v>
      </c>
      <c r="G14549" s="2" t="s">
        <v>10</v>
      </c>
    </row>
    <row r="14550" spans="1:7" x14ac:dyDescent="0.2">
      <c r="A14550" s="2" t="s">
        <v>3588</v>
      </c>
      <c r="B14550" s="2" t="s">
        <v>553</v>
      </c>
      <c r="C14550" s="2">
        <v>693.15419999999995</v>
      </c>
      <c r="D14550" s="2">
        <f>HYPERLINK("http://mcb-m6.bioreg.kyushu-u.ac.jp/M3/20110411/F50920/1342/1", 68.8)</f>
        <v>68.8</v>
      </c>
      <c r="E14550" s="2">
        <v>48.42</v>
      </c>
      <c r="F14550" s="2">
        <v>2</v>
      </c>
      <c r="G14550" s="2" t="s">
        <v>10</v>
      </c>
    </row>
    <row r="14551" spans="1:7" x14ac:dyDescent="0.2">
      <c r="A14551" s="2" t="s">
        <v>3588</v>
      </c>
      <c r="B14551" s="2" t="s">
        <v>712</v>
      </c>
      <c r="C14551" s="2">
        <v>697.48969999999997</v>
      </c>
      <c r="D14551" s="2">
        <f>HYPERLINK("http://mcb-m6.bioreg.kyushu-u.ac.jp/M3/20110411/F50914/1880/1", 71.76)</f>
        <v>71.760000000000005</v>
      </c>
      <c r="E14551" s="2">
        <v>53.6</v>
      </c>
      <c r="F14551" s="2">
        <v>2</v>
      </c>
      <c r="G14551" s="2" t="s">
        <v>10</v>
      </c>
    </row>
    <row r="14552" spans="1:7" x14ac:dyDescent="0.2">
      <c r="A14552" s="2" t="s">
        <v>3588</v>
      </c>
      <c r="B14552" s="2" t="s">
        <v>712</v>
      </c>
      <c r="C14552" s="2">
        <v>697.59469999999999</v>
      </c>
      <c r="D14552" s="2">
        <f>HYPERLINK("http://mcb-m6.bioreg.kyushu-u.ac.jp/M3/20110411/F50918/1638/1", 75.47)</f>
        <v>75.47</v>
      </c>
      <c r="E14552" s="2">
        <v>56.35</v>
      </c>
      <c r="F14552" s="2">
        <v>2</v>
      </c>
      <c r="G14552" s="2" t="s">
        <v>10</v>
      </c>
    </row>
    <row r="14553" spans="1:7" x14ac:dyDescent="0.2">
      <c r="A14553" s="2" t="s">
        <v>3588</v>
      </c>
      <c r="B14553" s="2" t="s">
        <v>712</v>
      </c>
      <c r="C14553" s="2">
        <v>697.55110000000002</v>
      </c>
      <c r="D14553" s="2">
        <f>HYPERLINK("http://mcb-m6.bioreg.kyushu-u.ac.jp/M3/20110411/F50901/1857/1", 78.29)</f>
        <v>78.290000000000006</v>
      </c>
      <c r="E14553" s="2">
        <v>58.64</v>
      </c>
      <c r="F14553" s="2">
        <v>2</v>
      </c>
      <c r="G14553" s="2" t="s">
        <v>10</v>
      </c>
    </row>
    <row r="14554" spans="1:7" x14ac:dyDescent="0.2">
      <c r="A14554" s="2" t="s">
        <v>3588</v>
      </c>
      <c r="B14554" s="2" t="s">
        <v>712</v>
      </c>
      <c r="C14554" s="2">
        <v>697.63210000000004</v>
      </c>
      <c r="D14554" s="2">
        <f>HYPERLINK("http://mcb-m6.bioreg.kyushu-u.ac.jp/M3/20110411/F50912/1832/1", 81.44)</f>
        <v>81.44</v>
      </c>
      <c r="E14554" s="2">
        <v>58.7</v>
      </c>
      <c r="F14554" s="2">
        <v>2</v>
      </c>
      <c r="G14554" s="2" t="s">
        <v>10</v>
      </c>
    </row>
    <row r="14555" spans="1:7" x14ac:dyDescent="0.2">
      <c r="A14555" s="2" t="s">
        <v>3588</v>
      </c>
      <c r="B14555" s="2" t="s">
        <v>712</v>
      </c>
      <c r="C14555" s="2">
        <v>697.35360000000003</v>
      </c>
      <c r="D14555" s="2">
        <f>HYPERLINK("http://mcb-m6.bioreg.kyushu-u.ac.jp/M3/20110414/F50942/1644/1", 45.2)</f>
        <v>45.2</v>
      </c>
      <c r="E14555" s="2">
        <v>27.05</v>
      </c>
      <c r="F14555" s="2">
        <v>2</v>
      </c>
      <c r="G14555" s="2" t="s">
        <v>11</v>
      </c>
    </row>
    <row r="14556" spans="1:7" x14ac:dyDescent="0.2">
      <c r="A14556" s="2" t="s">
        <v>3588</v>
      </c>
      <c r="B14556" s="2" t="s">
        <v>473</v>
      </c>
      <c r="C14556" s="2">
        <v>633.3972</v>
      </c>
      <c r="D14556" s="2">
        <f>HYPERLINK("http://mcb-m6.bioreg.kyushu-u.ac.jp/M3/20110414/F50944/1651/1", 54.82)</f>
        <v>54.82</v>
      </c>
      <c r="E14556" s="2">
        <v>30.44</v>
      </c>
      <c r="F14556" s="2">
        <v>2</v>
      </c>
      <c r="G14556" s="2" t="s">
        <v>11</v>
      </c>
    </row>
    <row r="14557" spans="1:7" x14ac:dyDescent="0.2">
      <c r="A14557" s="2" t="s">
        <v>3588</v>
      </c>
      <c r="B14557" s="2" t="s">
        <v>712</v>
      </c>
      <c r="C14557" s="2">
        <v>697.84519999999998</v>
      </c>
      <c r="D14557" s="2">
        <f>HYPERLINK("http://mcb-m6.bioreg.kyushu-u.ac.jp/M3/20110414/F50943/1620/1", 56.99)</f>
        <v>56.99</v>
      </c>
      <c r="E14557" s="2">
        <v>39.119999999999997</v>
      </c>
      <c r="F14557" s="2">
        <v>2</v>
      </c>
      <c r="G14557" s="2" t="s">
        <v>11</v>
      </c>
    </row>
    <row r="14558" spans="1:7" x14ac:dyDescent="0.2">
      <c r="A14558" s="2" t="s">
        <v>3588</v>
      </c>
      <c r="B14558" s="2" t="s">
        <v>712</v>
      </c>
      <c r="C14558" s="2">
        <v>697.83510000000001</v>
      </c>
      <c r="D14558" s="2">
        <f>HYPERLINK("http://mcb-m6.bioreg.kyushu-u.ac.jp/M3/20110414/F50941/1833/1", 57.9)</f>
        <v>57.9</v>
      </c>
      <c r="E14558" s="2">
        <v>39.31</v>
      </c>
      <c r="F14558" s="2">
        <v>2</v>
      </c>
      <c r="G14558" s="2" t="s">
        <v>11</v>
      </c>
    </row>
    <row r="14559" spans="1:7" x14ac:dyDescent="0.2">
      <c r="A14559" s="2" t="s">
        <v>3588</v>
      </c>
      <c r="B14559" s="2" t="s">
        <v>712</v>
      </c>
      <c r="C14559" s="2">
        <v>697.49369999999999</v>
      </c>
      <c r="D14559" s="2">
        <f>HYPERLINK("http://mcb-m6.bioreg.kyushu-u.ac.jp/M3/20110414/F50945/1782/1", 61.98)</f>
        <v>61.98</v>
      </c>
      <c r="E14559" s="2">
        <v>41.74</v>
      </c>
      <c r="F14559" s="2">
        <v>2</v>
      </c>
      <c r="G14559" s="2" t="s">
        <v>11</v>
      </c>
    </row>
    <row r="14560" spans="1:7" x14ac:dyDescent="0.2">
      <c r="A14560" s="2" t="s">
        <v>3588</v>
      </c>
      <c r="B14560" s="2" t="s">
        <v>712</v>
      </c>
      <c r="C14560" s="2">
        <v>697.30769999999995</v>
      </c>
      <c r="D14560" s="2">
        <f>HYPERLINK("http://mcb-m6.bioreg.kyushu-u.ac.jp/M3/20110414/F50941/1829/1", 72.56)</f>
        <v>72.56</v>
      </c>
      <c r="E14560" s="2">
        <v>57.33</v>
      </c>
      <c r="F14560" s="2">
        <v>2</v>
      </c>
      <c r="G14560" s="2" t="s">
        <v>11</v>
      </c>
    </row>
    <row r="14561" spans="1:7" x14ac:dyDescent="0.2">
      <c r="A14561" s="2" t="s">
        <v>3588</v>
      </c>
      <c r="B14561" s="2" t="s">
        <v>712</v>
      </c>
      <c r="C14561" s="2">
        <v>697.49519999999995</v>
      </c>
      <c r="D14561" s="2">
        <f>HYPERLINK("http://mcb-m6.bioreg.kyushu-u.ac.jp/M3/20110414/F50933/2185/1", 35.87)</f>
        <v>35.869999999999997</v>
      </c>
      <c r="E14561" s="2">
        <v>21.02</v>
      </c>
      <c r="F14561" s="2">
        <v>2</v>
      </c>
      <c r="G14561" s="2" t="s">
        <v>12</v>
      </c>
    </row>
    <row r="14562" spans="1:7" x14ac:dyDescent="0.2">
      <c r="A14562" s="2" t="s">
        <v>3588</v>
      </c>
      <c r="B14562" s="2" t="s">
        <v>473</v>
      </c>
      <c r="C14562" s="2">
        <v>633.2192</v>
      </c>
      <c r="D14562" s="2">
        <f>HYPERLINK("http://mcb-m6.bioreg.kyushu-u.ac.jp/M3/20110414/F50948/1413/1", 45.18)</f>
        <v>45.18</v>
      </c>
      <c r="E14562" s="2">
        <v>28.17</v>
      </c>
      <c r="F14562" s="2">
        <v>2</v>
      </c>
      <c r="G14562" s="2" t="s">
        <v>12</v>
      </c>
    </row>
    <row r="14563" spans="1:7" x14ac:dyDescent="0.2">
      <c r="A14563" s="2" t="s">
        <v>3588</v>
      </c>
      <c r="B14563" s="2" t="s">
        <v>553</v>
      </c>
      <c r="C14563" s="2">
        <v>693.27419999999995</v>
      </c>
      <c r="D14563" s="2">
        <f>HYPERLINK("http://mcb-m6.bioreg.kyushu-u.ac.jp/M3/20110414/F50933/2170/1", 54.31)</f>
        <v>54.31</v>
      </c>
      <c r="E14563" s="2">
        <v>38.21</v>
      </c>
      <c r="F14563" s="2">
        <v>2</v>
      </c>
      <c r="G14563" s="2" t="s">
        <v>12</v>
      </c>
    </row>
    <row r="14564" spans="1:7" x14ac:dyDescent="0.2">
      <c r="A14564" s="2" t="s">
        <v>3588</v>
      </c>
      <c r="B14564" s="2" t="s">
        <v>473</v>
      </c>
      <c r="C14564" s="2">
        <v>633.34310000000005</v>
      </c>
      <c r="D14564" s="2">
        <f>HYPERLINK("http://mcb-m6.bioreg.kyushu-u.ac.jp/M3/20110414/F50933/1931/1", 58.98)</f>
        <v>58.98</v>
      </c>
      <c r="E14564" s="2">
        <v>37.520000000000003</v>
      </c>
      <c r="F14564" s="2">
        <v>2</v>
      </c>
      <c r="G14564" s="2" t="s">
        <v>12</v>
      </c>
    </row>
    <row r="14565" spans="1:7" x14ac:dyDescent="0.2">
      <c r="A14565" s="2" t="s">
        <v>3588</v>
      </c>
      <c r="B14565" s="2" t="s">
        <v>712</v>
      </c>
      <c r="C14565" s="2">
        <v>697.28120000000001</v>
      </c>
      <c r="D14565" s="2">
        <f>HYPERLINK("http://mcb-m6.bioreg.kyushu-u.ac.jp/M3/20110414/F50948/1796/1", 63.34)</f>
        <v>63.34</v>
      </c>
      <c r="E14565" s="2">
        <v>44.22</v>
      </c>
      <c r="F14565" s="2">
        <v>2</v>
      </c>
      <c r="G14565" s="2" t="s">
        <v>12</v>
      </c>
    </row>
    <row r="14566" spans="1:7" x14ac:dyDescent="0.2">
      <c r="A14566" s="2" t="s">
        <v>3588</v>
      </c>
      <c r="B14566" s="2" t="s">
        <v>712</v>
      </c>
      <c r="C14566" s="2">
        <v>697.26170000000002</v>
      </c>
      <c r="D14566" s="2">
        <f>HYPERLINK("http://mcb-m6.bioreg.kyushu-u.ac.jp/M3/20110414/F50950/1893/1", 67.01)</f>
        <v>67.010000000000005</v>
      </c>
      <c r="E14566" s="2">
        <v>42.41</v>
      </c>
      <c r="F14566" s="2">
        <v>2</v>
      </c>
      <c r="G14566" s="2" t="s">
        <v>12</v>
      </c>
    </row>
    <row r="14567" spans="1:7" x14ac:dyDescent="0.2">
      <c r="A14567" s="2" t="s">
        <v>3588</v>
      </c>
      <c r="B14567" s="2" t="s">
        <v>473</v>
      </c>
      <c r="C14567" s="2">
        <v>633.37459999999999</v>
      </c>
      <c r="D14567" s="2">
        <f>HYPERLINK("http://mcb-m6.bioreg.kyushu-u.ac.jp/M3/20110502/F51168/1647/1", 52.43)</f>
        <v>52.43</v>
      </c>
      <c r="E14567" s="2">
        <v>30.19</v>
      </c>
      <c r="F14567" s="2">
        <v>2</v>
      </c>
      <c r="G14567" s="2" t="s">
        <v>13</v>
      </c>
    </row>
    <row r="14568" spans="1:7" x14ac:dyDescent="0.2">
      <c r="A14568" s="2" t="s">
        <v>3588</v>
      </c>
      <c r="B14568" s="2" t="s">
        <v>712</v>
      </c>
      <c r="C14568" s="2">
        <v>697.64919999999995</v>
      </c>
      <c r="D14568" s="2">
        <f>HYPERLINK("http://mcb-m6.bioreg.kyushu-u.ac.jp/M3/20110502/F51172/1824/1", 55.89)</f>
        <v>55.89</v>
      </c>
      <c r="E14568" s="2">
        <v>32.06</v>
      </c>
      <c r="F14568" s="2">
        <v>2</v>
      </c>
      <c r="G14568" s="2" t="s">
        <v>13</v>
      </c>
    </row>
    <row r="14569" spans="1:7" x14ac:dyDescent="0.2">
      <c r="A14569" s="2" t="s">
        <v>3588</v>
      </c>
      <c r="B14569" s="2" t="s">
        <v>712</v>
      </c>
      <c r="C14569" s="2">
        <v>697.60419999999999</v>
      </c>
      <c r="D14569" s="2">
        <f>HYPERLINK("http://mcb-m6.bioreg.kyushu-u.ac.jp/M3/20110502/F51174/1790/1", 67.45)</f>
        <v>67.45</v>
      </c>
      <c r="E14569" s="2">
        <v>45.61</v>
      </c>
      <c r="F14569" s="2">
        <v>2</v>
      </c>
      <c r="G14569" s="2" t="s">
        <v>13</v>
      </c>
    </row>
    <row r="14570" spans="1:7" x14ac:dyDescent="0.2">
      <c r="A14570" s="2" t="s">
        <v>3588</v>
      </c>
      <c r="B14570" s="2" t="s">
        <v>712</v>
      </c>
      <c r="C14570" s="2">
        <v>697.61720000000003</v>
      </c>
      <c r="D14570" s="2">
        <f>HYPERLINK("http://mcb-m6.bioreg.kyushu-u.ac.jp/M3/20110502/F51170/1858/1", 72.63)</f>
        <v>72.63</v>
      </c>
      <c r="E14570" s="2">
        <v>54.5</v>
      </c>
      <c r="F14570" s="2">
        <v>2</v>
      </c>
      <c r="G14570" s="2" t="s">
        <v>13</v>
      </c>
    </row>
    <row r="14571" spans="1:7" x14ac:dyDescent="0.2">
      <c r="A14571" s="2" t="s">
        <v>3588</v>
      </c>
      <c r="B14571" s="2" t="s">
        <v>473</v>
      </c>
      <c r="C14571" s="2">
        <v>633.51210000000003</v>
      </c>
      <c r="D14571" s="2">
        <f>HYPERLINK("http://mcb-m6.bioreg.kyushu-u.ac.jp/M3/20110502/F51178/1659/1", 38.07)</f>
        <v>38.07</v>
      </c>
      <c r="E14571" s="2">
        <v>22.65</v>
      </c>
      <c r="F14571" s="2">
        <v>2</v>
      </c>
      <c r="G14571" s="2" t="s">
        <v>14</v>
      </c>
    </row>
    <row r="14572" spans="1:7" x14ac:dyDescent="0.2">
      <c r="A14572" s="2" t="s">
        <v>3588</v>
      </c>
      <c r="B14572" s="2" t="s">
        <v>712</v>
      </c>
      <c r="C14572" s="2">
        <v>697.60059999999999</v>
      </c>
      <c r="D14572" s="2">
        <f>HYPERLINK("http://mcb-m6.bioreg.kyushu-u.ac.jp/M3/20110502/F51178/1918/1", 42.18)</f>
        <v>42.18</v>
      </c>
      <c r="E14572" s="2">
        <v>24.29</v>
      </c>
      <c r="F14572" s="2">
        <v>2</v>
      </c>
      <c r="G14572" s="2" t="s">
        <v>14</v>
      </c>
    </row>
    <row r="14573" spans="1:7" x14ac:dyDescent="0.2">
      <c r="A14573" s="2" t="s">
        <v>3588</v>
      </c>
      <c r="B14573" s="2" t="s">
        <v>553</v>
      </c>
      <c r="C14573" s="2">
        <v>693.09770000000003</v>
      </c>
      <c r="D14573" s="2">
        <f>HYPERLINK("http://mcb-m6.bioreg.kyushu-u.ac.jp/M3/20110502/F51177/1562/1", 44.36)</f>
        <v>44.36</v>
      </c>
      <c r="E14573" s="2">
        <v>26.68</v>
      </c>
      <c r="F14573" s="2">
        <v>2</v>
      </c>
      <c r="G14573" s="2" t="s">
        <v>14</v>
      </c>
    </row>
    <row r="14574" spans="1:7" x14ac:dyDescent="0.2">
      <c r="A14574" s="2" t="s">
        <v>3588</v>
      </c>
      <c r="B14574" s="2" t="s">
        <v>553</v>
      </c>
      <c r="C14574" s="2">
        <v>693.06569999999999</v>
      </c>
      <c r="D14574" s="2">
        <f>HYPERLINK("http://mcb-m6.bioreg.kyushu-u.ac.jp/M3/20110502/F51177/1559/1", 49)</f>
        <v>49</v>
      </c>
      <c r="E14574" s="2">
        <v>34.07</v>
      </c>
      <c r="F14574" s="2">
        <v>2</v>
      </c>
      <c r="G14574" s="2" t="s">
        <v>14</v>
      </c>
    </row>
    <row r="14575" spans="1:7" x14ac:dyDescent="0.2">
      <c r="A14575" s="2" t="s">
        <v>3588</v>
      </c>
      <c r="B14575" s="2" t="s">
        <v>553</v>
      </c>
      <c r="C14575" s="2">
        <v>692.99159999999995</v>
      </c>
      <c r="D14575" s="2">
        <f>HYPERLINK("http://mcb-m6.bioreg.kyushu-u.ac.jp/M3/20110502/F51178/1897/1", 49)</f>
        <v>49</v>
      </c>
      <c r="E14575" s="2">
        <v>28.11</v>
      </c>
      <c r="F14575" s="2">
        <v>2</v>
      </c>
      <c r="G14575" s="2" t="s">
        <v>14</v>
      </c>
    </row>
    <row r="14576" spans="1:7" x14ac:dyDescent="0.2">
      <c r="A14576" s="2" t="s">
        <v>3588</v>
      </c>
      <c r="B14576" s="2" t="s">
        <v>553</v>
      </c>
      <c r="C14576" s="2">
        <v>693.21870000000001</v>
      </c>
      <c r="D14576" s="2">
        <f>HYPERLINK("http://mcb-m6.bioreg.kyushu-u.ac.jp/M3/20110502/F51177/1563/1", 54.12)</f>
        <v>54.12</v>
      </c>
      <c r="E14576" s="2">
        <v>38.979999999999997</v>
      </c>
      <c r="F14576" s="2">
        <v>2</v>
      </c>
      <c r="G14576" s="2" t="s">
        <v>14</v>
      </c>
    </row>
    <row r="14577" spans="1:9" x14ac:dyDescent="0.2">
      <c r="A14577" s="2" t="s">
        <v>3588</v>
      </c>
      <c r="B14577" s="2" t="s">
        <v>712</v>
      </c>
      <c r="C14577" s="2">
        <v>697.57370000000003</v>
      </c>
      <c r="D14577" s="2">
        <f>HYPERLINK("http://mcb-m6.bioreg.kyushu-u.ac.jp/M3/20110502/F51179/1535/1", 56.83)</f>
        <v>56.83</v>
      </c>
      <c r="E14577" s="2">
        <v>37.53</v>
      </c>
      <c r="F14577" s="2">
        <v>2</v>
      </c>
      <c r="G14577" s="2" t="s">
        <v>14</v>
      </c>
    </row>
    <row r="14578" spans="1:9" x14ac:dyDescent="0.2">
      <c r="A14578" s="2" t="s">
        <v>3588</v>
      </c>
      <c r="B14578" s="2" t="s">
        <v>712</v>
      </c>
      <c r="C14578" s="2">
        <v>697.63210000000004</v>
      </c>
      <c r="D14578" s="2">
        <f>HYPERLINK("http://mcb-m6.bioreg.kyushu-u.ac.jp/M3/20110502/F51182/1588/1", 61.57)</f>
        <v>61.57</v>
      </c>
      <c r="E14578" s="2">
        <v>39.979999999999997</v>
      </c>
      <c r="F14578" s="2">
        <v>2</v>
      </c>
      <c r="G14578" s="2" t="s">
        <v>14</v>
      </c>
    </row>
    <row r="14579" spans="1:9" x14ac:dyDescent="0.2">
      <c r="A14579" s="2" t="s">
        <v>3588</v>
      </c>
      <c r="B14579" s="2" t="s">
        <v>553</v>
      </c>
      <c r="C14579" s="2">
        <v>693.07920000000001</v>
      </c>
      <c r="D14579" s="2">
        <f>HYPERLINK("http://mcb-m6.bioreg.kyushu-u.ac.jp/M3/20110502/F51177/1560/1", 63.09)</f>
        <v>63.09</v>
      </c>
      <c r="E14579" s="2">
        <v>46.17</v>
      </c>
      <c r="F14579" s="2">
        <v>2</v>
      </c>
      <c r="G14579" s="2" t="s">
        <v>14</v>
      </c>
    </row>
    <row r="14580" spans="1:9" x14ac:dyDescent="0.2">
      <c r="A14580" s="2" t="s">
        <v>3588</v>
      </c>
      <c r="B14580" s="2" t="s">
        <v>553</v>
      </c>
      <c r="C14580" s="2">
        <v>693.16769999999997</v>
      </c>
      <c r="D14580" s="2">
        <f>HYPERLINK("http://mcb-m6.bioreg.kyushu-u.ac.jp/M3/20110502/F51182/1562/1", 69.04)</f>
        <v>69.040000000000006</v>
      </c>
      <c r="E14580" s="2">
        <v>46.35</v>
      </c>
      <c r="F14580" s="2">
        <v>2</v>
      </c>
      <c r="G14580" s="2" t="s">
        <v>14</v>
      </c>
    </row>
    <row r="14581" spans="1:9" x14ac:dyDescent="0.2">
      <c r="A14581" s="2" t="s">
        <v>3588</v>
      </c>
      <c r="B14581" s="2" t="s">
        <v>712</v>
      </c>
      <c r="C14581" s="2">
        <v>697.79610000000002</v>
      </c>
      <c r="D14581" s="2">
        <f>HYPERLINK("http://mcb-m6.bioreg.kyushu-u.ac.jp/M3/20110502/F51183/1663/1", 69.83)</f>
        <v>69.83</v>
      </c>
      <c r="E14581" s="2">
        <v>39.43</v>
      </c>
      <c r="F14581" s="2">
        <v>2</v>
      </c>
      <c r="G14581" s="2" t="s">
        <v>14</v>
      </c>
    </row>
    <row r="14582" spans="1:9" x14ac:dyDescent="0.2">
      <c r="A14582" s="2" t="s">
        <v>3588</v>
      </c>
      <c r="B14582" s="2" t="s">
        <v>712</v>
      </c>
      <c r="C14582" s="2">
        <v>697.66060000000004</v>
      </c>
      <c r="D14582" s="2">
        <f>HYPERLINK("http://mcb-m6.bioreg.kyushu-u.ac.jp/M3/20110502/F51184/1581/1", 72.81)</f>
        <v>72.81</v>
      </c>
      <c r="E14582" s="2">
        <v>44.5</v>
      </c>
      <c r="F14582" s="2">
        <v>2</v>
      </c>
      <c r="G14582" s="2" t="s">
        <v>14</v>
      </c>
    </row>
    <row r="14583" spans="1:9" x14ac:dyDescent="0.2">
      <c r="A14583" s="2" t="s">
        <v>3588</v>
      </c>
      <c r="B14583" s="2" t="s">
        <v>712</v>
      </c>
      <c r="C14583" s="2">
        <v>697.6807</v>
      </c>
      <c r="D14583" s="2">
        <f>HYPERLINK("http://mcb-m6.bioreg.kyushu-u.ac.jp/M3/20110502/F51177/1599/1", 72.87)</f>
        <v>72.87</v>
      </c>
      <c r="E14583" s="2">
        <v>46.76</v>
      </c>
      <c r="F14583" s="2">
        <v>2</v>
      </c>
      <c r="G14583" s="2" t="s">
        <v>14</v>
      </c>
    </row>
    <row r="14584" spans="1:9" x14ac:dyDescent="0.2">
      <c r="A14584" s="2" t="s">
        <v>3588</v>
      </c>
      <c r="B14584" s="2" t="s">
        <v>712</v>
      </c>
      <c r="C14584" s="2">
        <v>697.60310000000004</v>
      </c>
      <c r="D14584" s="2">
        <f>HYPERLINK("http://mcb-m6.bioreg.kyushu-u.ac.jp/M3/20110502/F51193/1629/1", 81.61)</f>
        <v>81.61</v>
      </c>
      <c r="E14584" s="2">
        <v>59.72</v>
      </c>
      <c r="F14584" s="2">
        <v>2</v>
      </c>
      <c r="G14584" s="2" t="s">
        <v>14</v>
      </c>
    </row>
    <row r="14585" spans="1:9" x14ac:dyDescent="0.2">
      <c r="A14585" s="2" t="s">
        <v>4605</v>
      </c>
      <c r="B14585" s="2" t="s">
        <v>2708</v>
      </c>
      <c r="C14585" s="2">
        <v>771.90009999999995</v>
      </c>
      <c r="D14585" s="2">
        <f>HYPERLINK("http://mcb-m6.bioreg.kyushu-u.ac.jp/M3/20110414/F50947/2224/1", 59.48)</f>
        <v>59.48</v>
      </c>
      <c r="E14585" s="2">
        <v>48.42</v>
      </c>
      <c r="F14585" s="2">
        <v>2</v>
      </c>
      <c r="G14585" s="2" t="s">
        <v>12</v>
      </c>
    </row>
    <row r="14586" spans="1:9" x14ac:dyDescent="0.2">
      <c r="A14586" s="2" t="s">
        <v>4673</v>
      </c>
      <c r="B14586" s="2" t="s">
        <v>2842</v>
      </c>
      <c r="C14586" s="2">
        <v>755.08010000000002</v>
      </c>
      <c r="D14586" s="2">
        <f>HYPERLINK("http://mcb-m6.bioreg.kyushu-u.ac.jp/M3/20110502/F51172/2187/1", 38.48)</f>
        <v>38.479999999999997</v>
      </c>
      <c r="E14586" s="2">
        <v>15.75</v>
      </c>
      <c r="F14586" s="2">
        <v>2</v>
      </c>
      <c r="G14586" s="2" t="s">
        <v>13</v>
      </c>
    </row>
    <row r="14587" spans="1:9" x14ac:dyDescent="0.2">
      <c r="A14587" s="2" t="s">
        <v>4660</v>
      </c>
      <c r="B14587" s="2" t="s">
        <v>2821</v>
      </c>
      <c r="C14587" s="2">
        <v>485.58789999999999</v>
      </c>
      <c r="D14587" s="2">
        <f>HYPERLINK("http://mcb-m6.bioreg.kyushu-u.ac.jp/M3/20110502/F51172/2007/1", 37.26)</f>
        <v>37.26</v>
      </c>
      <c r="E14587" s="2">
        <v>8.17</v>
      </c>
      <c r="F14587" s="2">
        <v>3</v>
      </c>
      <c r="G14587" s="2" t="s">
        <v>13</v>
      </c>
      <c r="H14587" s="2" t="s">
        <v>4904</v>
      </c>
    </row>
    <row r="14588" spans="1:9" x14ac:dyDescent="0.2">
      <c r="A14588" s="2" t="s">
        <v>4648</v>
      </c>
      <c r="B14588" s="2" t="s">
        <v>2805</v>
      </c>
      <c r="C14588" s="2">
        <v>489.16609999999997</v>
      </c>
      <c r="D14588" s="2">
        <f>HYPERLINK("http://mcb-m6.bioreg.kyushu-u.ac.jp/M3/20110502/F51169/1094/1", 36.19)</f>
        <v>36.19</v>
      </c>
      <c r="E14588" s="2">
        <v>11.24</v>
      </c>
      <c r="F14588" s="2">
        <v>2</v>
      </c>
      <c r="G14588" s="2" t="s">
        <v>13</v>
      </c>
    </row>
    <row r="14589" spans="1:9" x14ac:dyDescent="0.2">
      <c r="A14589" s="2" t="s">
        <v>3249</v>
      </c>
      <c r="B14589" s="2" t="s">
        <v>29</v>
      </c>
      <c r="C14589" s="2">
        <v>457.47149999999999</v>
      </c>
      <c r="D14589" s="2">
        <f>HYPERLINK("http://mcb-m6.bioreg.kyushu-u.ac.jp/M3/20110411/F50911/1773/1", 35.2)</f>
        <v>35.200000000000003</v>
      </c>
      <c r="E14589" s="2">
        <v>10.61</v>
      </c>
      <c r="F14589" s="2">
        <v>3</v>
      </c>
      <c r="G14589" s="2" t="s">
        <v>9</v>
      </c>
      <c r="I14589" s="2" t="s">
        <v>4893</v>
      </c>
    </row>
    <row r="14590" spans="1:9" x14ac:dyDescent="0.2">
      <c r="A14590" s="2" t="s">
        <v>4032</v>
      </c>
      <c r="B14590" s="2" t="s">
        <v>1358</v>
      </c>
      <c r="C14590" s="2">
        <v>968.86159999999995</v>
      </c>
      <c r="D14590" s="2">
        <f>HYPERLINK("http://mcb-m6.bioreg.kyushu-u.ac.jp/M3/20110411/F50915/3153/1", 75.06)</f>
        <v>75.06</v>
      </c>
      <c r="E14590" s="2">
        <v>60.97</v>
      </c>
      <c r="F14590" s="2">
        <v>2</v>
      </c>
      <c r="G14590" s="2" t="s">
        <v>9</v>
      </c>
    </row>
    <row r="14591" spans="1:9" x14ac:dyDescent="0.2">
      <c r="A14591" s="2" t="s">
        <v>4032</v>
      </c>
      <c r="B14591" s="2" t="s">
        <v>1638</v>
      </c>
      <c r="C14591" s="2">
        <v>973.01919999999996</v>
      </c>
      <c r="D14591" s="2">
        <f>HYPERLINK("http://mcb-m6.bioreg.kyushu-u.ac.jp/M3/20110411/F50915/3180/1", 106.38)</f>
        <v>106.38</v>
      </c>
      <c r="E14591" s="2">
        <v>97.23</v>
      </c>
      <c r="F14591" s="2">
        <v>2</v>
      </c>
      <c r="G14591" s="2" t="s">
        <v>9</v>
      </c>
    </row>
    <row r="14592" spans="1:9" x14ac:dyDescent="0.2">
      <c r="A14592" s="2" t="s">
        <v>4032</v>
      </c>
      <c r="B14592" s="2" t="s">
        <v>1358</v>
      </c>
      <c r="C14592" s="2">
        <v>968.19420000000002</v>
      </c>
      <c r="D14592" s="2">
        <f>HYPERLINK("http://mcb-m6.bioreg.kyushu-u.ac.jp/M3/20110414/F50956/3384/1", 48.8)</f>
        <v>48.8</v>
      </c>
      <c r="E14592" s="2">
        <v>29.89</v>
      </c>
      <c r="F14592" s="2">
        <v>2</v>
      </c>
      <c r="G14592" s="2" t="s">
        <v>11</v>
      </c>
    </row>
    <row r="14593" spans="1:9" x14ac:dyDescent="0.2">
      <c r="A14593" s="2" t="s">
        <v>4032</v>
      </c>
      <c r="B14593" s="2" t="s">
        <v>1358</v>
      </c>
      <c r="C14593" s="2">
        <v>968.70320000000004</v>
      </c>
      <c r="D14593" s="2">
        <f>HYPERLINK("http://mcb-m6.bioreg.kyushu-u.ac.jp/M3/20110414/F50956/3389/1", 68.07)</f>
        <v>68.069999999999993</v>
      </c>
      <c r="E14593" s="2">
        <v>52.11</v>
      </c>
      <c r="F14593" s="2">
        <v>2</v>
      </c>
      <c r="G14593" s="2" t="s">
        <v>11</v>
      </c>
    </row>
    <row r="14594" spans="1:9" x14ac:dyDescent="0.2">
      <c r="A14594" s="2" t="s">
        <v>4032</v>
      </c>
      <c r="B14594" s="2" t="s">
        <v>1638</v>
      </c>
      <c r="C14594" s="2">
        <v>973.29769999999996</v>
      </c>
      <c r="D14594" s="2">
        <f>HYPERLINK("http://mcb-m6.bioreg.kyushu-u.ac.jp/M3/20110414/F50956/3411/1", 85.28)</f>
        <v>85.28</v>
      </c>
      <c r="E14594" s="2">
        <v>68.06</v>
      </c>
      <c r="F14594" s="2">
        <v>2</v>
      </c>
      <c r="G14594" s="2" t="s">
        <v>11</v>
      </c>
    </row>
    <row r="14595" spans="1:9" x14ac:dyDescent="0.2">
      <c r="A14595" s="2" t="s">
        <v>4032</v>
      </c>
      <c r="B14595" s="2" t="s">
        <v>2816</v>
      </c>
      <c r="C14595" s="2">
        <v>678.71720000000005</v>
      </c>
      <c r="D14595" s="2">
        <f>HYPERLINK("http://mcb-m6.bioreg.kyushu-u.ac.jp/M3/20110502/F51173/3258/1", 36.96)</f>
        <v>36.96</v>
      </c>
      <c r="E14595" s="2">
        <v>22.1</v>
      </c>
      <c r="F14595" s="2">
        <v>3</v>
      </c>
      <c r="G14595" s="2" t="s">
        <v>13</v>
      </c>
    </row>
    <row r="14596" spans="1:9" x14ac:dyDescent="0.2">
      <c r="A14596" s="2" t="s">
        <v>4032</v>
      </c>
      <c r="B14596" s="2" t="s">
        <v>2838</v>
      </c>
      <c r="C14596" s="2">
        <v>841.48820000000001</v>
      </c>
      <c r="D14596" s="2">
        <f>HYPERLINK("http://mcb-m6.bioreg.kyushu-u.ac.jp/M3/20110502/F51172/2821/1", 38.14)</f>
        <v>38.14</v>
      </c>
      <c r="E14596" s="2">
        <v>19.760000000000002</v>
      </c>
      <c r="F14596" s="2">
        <v>2</v>
      </c>
      <c r="G14596" s="2" t="s">
        <v>13</v>
      </c>
      <c r="I14596" s="2" t="s">
        <v>4926</v>
      </c>
    </row>
    <row r="14597" spans="1:9" x14ac:dyDescent="0.2">
      <c r="A14597" s="2" t="s">
        <v>4032</v>
      </c>
      <c r="B14597" s="2" t="s">
        <v>1358</v>
      </c>
      <c r="C14597" s="2">
        <v>968.60569999999996</v>
      </c>
      <c r="D14597" s="2">
        <f>HYPERLINK("http://mcb-m6.bioreg.kyushu-u.ac.jp/M3/20110502/F51172/3432/1", 49.45)</f>
        <v>49.45</v>
      </c>
      <c r="E14597" s="2">
        <v>32.29</v>
      </c>
      <c r="F14597" s="2">
        <v>2</v>
      </c>
      <c r="G14597" s="2" t="s">
        <v>13</v>
      </c>
    </row>
    <row r="14598" spans="1:9" x14ac:dyDescent="0.2">
      <c r="A14598" s="2" t="s">
        <v>4032</v>
      </c>
      <c r="B14598" s="2" t="s">
        <v>1638</v>
      </c>
      <c r="C14598" s="2">
        <v>973.2097</v>
      </c>
      <c r="D14598" s="2">
        <f>HYPERLINK("http://mcb-m6.bioreg.kyushu-u.ac.jp/M3/20110502/F51172/3450/1", 112.14)</f>
        <v>112.14</v>
      </c>
      <c r="E14598" s="2">
        <v>95.42</v>
      </c>
      <c r="F14598" s="2">
        <v>2</v>
      </c>
      <c r="G14598" s="2" t="s">
        <v>13</v>
      </c>
    </row>
    <row r="14599" spans="1:9" x14ac:dyDescent="0.2">
      <c r="A14599" s="2" t="s">
        <v>4045</v>
      </c>
      <c r="B14599" s="2" t="s">
        <v>1389</v>
      </c>
      <c r="C14599" s="2">
        <v>779.62270000000001</v>
      </c>
      <c r="D14599" s="2">
        <f>HYPERLINK("http://mcb-m6.bioreg.kyushu-u.ac.jp/M3/20110411/F50911/2301/1", 77.41)</f>
        <v>77.41</v>
      </c>
      <c r="E14599" s="2">
        <v>51.65</v>
      </c>
      <c r="F14599" s="2">
        <v>2</v>
      </c>
      <c r="G14599" s="2" t="s">
        <v>9</v>
      </c>
    </row>
    <row r="14600" spans="1:9" x14ac:dyDescent="0.2">
      <c r="A14600" s="2" t="s">
        <v>4045</v>
      </c>
      <c r="B14600" s="2" t="s">
        <v>1887</v>
      </c>
      <c r="C14600" s="2">
        <v>774.53219999999999</v>
      </c>
      <c r="D14600" s="2">
        <f>HYPERLINK("http://mcb-m6.bioreg.kyushu-u.ac.jp/M3/20110411/F50914/2262/1", 46.78)</f>
        <v>46.78</v>
      </c>
      <c r="E14600" s="2">
        <v>33.92</v>
      </c>
      <c r="F14600" s="2">
        <v>2</v>
      </c>
      <c r="G14600" s="2" t="s">
        <v>10</v>
      </c>
    </row>
    <row r="14601" spans="1:9" x14ac:dyDescent="0.2">
      <c r="A14601" s="2" t="s">
        <v>4045</v>
      </c>
      <c r="B14601" s="2" t="s">
        <v>1389</v>
      </c>
      <c r="C14601" s="2">
        <v>779.74220000000003</v>
      </c>
      <c r="D14601" s="2">
        <f>HYPERLINK("http://mcb-m6.bioreg.kyushu-u.ac.jp/M3/20110502/F51171/2175/1", 69.09)</f>
        <v>69.09</v>
      </c>
      <c r="E14601" s="2">
        <v>52.34</v>
      </c>
      <c r="F14601" s="2">
        <v>2</v>
      </c>
      <c r="G14601" s="2" t="s">
        <v>13</v>
      </c>
    </row>
    <row r="14602" spans="1:9" x14ac:dyDescent="0.2">
      <c r="A14602" s="2" t="s">
        <v>3784</v>
      </c>
      <c r="B14602" s="2" t="s">
        <v>820</v>
      </c>
      <c r="C14602" s="2">
        <v>796.66060000000004</v>
      </c>
      <c r="D14602" s="2">
        <f>HYPERLINK("http://mcb-m6.bioreg.kyushu-u.ac.jp/M3/20110411/F50905/2358/1", 52.46)</f>
        <v>52.46</v>
      </c>
      <c r="E14602" s="2">
        <v>17.690000000000001</v>
      </c>
      <c r="F14602" s="2">
        <v>2</v>
      </c>
      <c r="G14602" s="2" t="s">
        <v>9</v>
      </c>
    </row>
    <row r="14603" spans="1:9" x14ac:dyDescent="0.2">
      <c r="A14603" s="2" t="s">
        <v>3784</v>
      </c>
      <c r="B14603" s="2" t="s">
        <v>820</v>
      </c>
      <c r="C14603" s="2">
        <v>796.46619999999996</v>
      </c>
      <c r="D14603" s="2">
        <f>HYPERLINK("http://mcb-m6.bioreg.kyushu-u.ac.jp/M3/20110411/F50916/2210/1", 57.66)</f>
        <v>57.66</v>
      </c>
      <c r="E14603" s="2">
        <v>17.68</v>
      </c>
      <c r="F14603" s="2">
        <v>2</v>
      </c>
      <c r="G14603" s="2" t="s">
        <v>9</v>
      </c>
    </row>
    <row r="14604" spans="1:9" x14ac:dyDescent="0.2">
      <c r="A14604" s="2" t="s">
        <v>3784</v>
      </c>
      <c r="B14604" s="2" t="s">
        <v>820</v>
      </c>
      <c r="C14604" s="2">
        <v>796.60270000000003</v>
      </c>
      <c r="D14604" s="2">
        <f>HYPERLINK("http://mcb-m6.bioreg.kyushu-u.ac.jp/M3/20110411/F50895/2366/1", 66.46)</f>
        <v>66.459999999999994</v>
      </c>
      <c r="E14604" s="2">
        <v>31.28</v>
      </c>
      <c r="F14604" s="2">
        <v>2</v>
      </c>
      <c r="G14604" s="2" t="s">
        <v>9</v>
      </c>
    </row>
    <row r="14605" spans="1:9" x14ac:dyDescent="0.2">
      <c r="A14605" s="2" t="s">
        <v>3784</v>
      </c>
      <c r="B14605" s="2" t="s">
        <v>820</v>
      </c>
      <c r="C14605" s="2">
        <v>796.77120000000002</v>
      </c>
      <c r="D14605" s="2">
        <f>HYPERLINK("http://mcb-m6.bioreg.kyushu-u.ac.jp/M3/20110411/F50912/2327/1", 43.2)</f>
        <v>43.2</v>
      </c>
      <c r="E14605" s="2">
        <v>8.16</v>
      </c>
      <c r="F14605" s="2">
        <v>2</v>
      </c>
      <c r="G14605" s="2" t="s">
        <v>10</v>
      </c>
    </row>
    <row r="14606" spans="1:9" x14ac:dyDescent="0.2">
      <c r="A14606" s="2" t="s">
        <v>3784</v>
      </c>
      <c r="B14606" s="2" t="s">
        <v>820</v>
      </c>
      <c r="C14606" s="2">
        <v>796.6816</v>
      </c>
      <c r="D14606" s="2">
        <f>HYPERLINK("http://mcb-m6.bioreg.kyushu-u.ac.jp/M3/20110411/F50900/2368/1", 46.07)</f>
        <v>46.07</v>
      </c>
      <c r="E14606" s="2">
        <v>15.23</v>
      </c>
      <c r="F14606" s="2">
        <v>2</v>
      </c>
      <c r="G14606" s="2" t="s">
        <v>10</v>
      </c>
    </row>
    <row r="14607" spans="1:9" x14ac:dyDescent="0.2">
      <c r="A14607" s="2" t="s">
        <v>3784</v>
      </c>
      <c r="B14607" s="2" t="s">
        <v>820</v>
      </c>
      <c r="C14607" s="2">
        <v>796.58010000000002</v>
      </c>
      <c r="D14607" s="2">
        <f>HYPERLINK("http://mcb-m6.bioreg.kyushu-u.ac.jp/M3/20110411/F50918/2156/1", 51.36)</f>
        <v>51.36</v>
      </c>
      <c r="E14607" s="2">
        <v>9.86</v>
      </c>
      <c r="F14607" s="2">
        <v>2</v>
      </c>
      <c r="G14607" s="2" t="s">
        <v>10</v>
      </c>
    </row>
    <row r="14608" spans="1:9" x14ac:dyDescent="0.2">
      <c r="A14608" s="2" t="s">
        <v>3784</v>
      </c>
      <c r="B14608" s="2" t="s">
        <v>820</v>
      </c>
      <c r="C14608" s="2">
        <v>796.59969999999998</v>
      </c>
      <c r="D14608" s="2">
        <f>HYPERLINK("http://mcb-m6.bioreg.kyushu-u.ac.jp/M3/20110411/F50902/2325/1", 56.24)</f>
        <v>56.24</v>
      </c>
      <c r="E14608" s="2">
        <v>17.8</v>
      </c>
      <c r="F14608" s="2">
        <v>2</v>
      </c>
      <c r="G14608" s="2" t="s">
        <v>10</v>
      </c>
    </row>
    <row r="14609" spans="1:7" x14ac:dyDescent="0.2">
      <c r="A14609" s="2" t="s">
        <v>3784</v>
      </c>
      <c r="B14609" s="2" t="s">
        <v>820</v>
      </c>
      <c r="C14609" s="2">
        <v>796.38869999999997</v>
      </c>
      <c r="D14609" s="2">
        <f>HYPERLINK("http://mcb-m6.bioreg.kyushu-u.ac.jp/M3/20110414/F50943/2246/1", 48.66)</f>
        <v>48.66</v>
      </c>
      <c r="E14609" s="2">
        <v>19.850000000000001</v>
      </c>
      <c r="F14609" s="2">
        <v>2</v>
      </c>
      <c r="G14609" s="2" t="s">
        <v>11</v>
      </c>
    </row>
    <row r="14610" spans="1:7" x14ac:dyDescent="0.2">
      <c r="A14610" s="2" t="s">
        <v>3784</v>
      </c>
      <c r="B14610" s="2" t="s">
        <v>820</v>
      </c>
      <c r="C14610" s="2">
        <v>796.58169999999996</v>
      </c>
      <c r="D14610" s="2">
        <f>HYPERLINK("http://mcb-m6.bioreg.kyushu-u.ac.jp/M3/20110414/F50957/2266/1", 51.71)</f>
        <v>51.71</v>
      </c>
      <c r="E14610" s="2">
        <v>20.3</v>
      </c>
      <c r="F14610" s="2">
        <v>2</v>
      </c>
      <c r="G14610" s="2" t="s">
        <v>11</v>
      </c>
    </row>
    <row r="14611" spans="1:7" x14ac:dyDescent="0.2">
      <c r="A14611" s="2" t="s">
        <v>3784</v>
      </c>
      <c r="B14611" s="2" t="s">
        <v>820</v>
      </c>
      <c r="C14611" s="2">
        <v>796.46259999999995</v>
      </c>
      <c r="D14611" s="2">
        <f>HYPERLINK("http://mcb-m6.bioreg.kyushu-u.ac.jp/M3/20110414/F50947/2377/1", 48.31)</f>
        <v>48.31</v>
      </c>
      <c r="E14611" s="2">
        <v>14.09</v>
      </c>
      <c r="F14611" s="2">
        <v>2</v>
      </c>
      <c r="G14611" s="2" t="s">
        <v>12</v>
      </c>
    </row>
    <row r="14612" spans="1:7" x14ac:dyDescent="0.2">
      <c r="A14612" s="2" t="s">
        <v>3784</v>
      </c>
      <c r="B14612" s="2" t="s">
        <v>820</v>
      </c>
      <c r="C14612" s="2">
        <v>796.85059999999999</v>
      </c>
      <c r="D14612" s="2">
        <f>HYPERLINK("http://mcb-m6.bioreg.kyushu-u.ac.jp/M3/20110414/F50959/2273/1", 53.95)</f>
        <v>53.95</v>
      </c>
      <c r="E14612" s="2">
        <v>16.41</v>
      </c>
      <c r="F14612" s="2">
        <v>2</v>
      </c>
      <c r="G14612" s="2" t="s">
        <v>12</v>
      </c>
    </row>
    <row r="14613" spans="1:7" x14ac:dyDescent="0.2">
      <c r="A14613" s="2" t="s">
        <v>3784</v>
      </c>
      <c r="B14613" s="2" t="s">
        <v>820</v>
      </c>
      <c r="C14613" s="2">
        <v>796.64070000000004</v>
      </c>
      <c r="D14613" s="2">
        <f>HYPERLINK("http://mcb-m6.bioreg.kyushu-u.ac.jp/M3/20110502/F51173/2165/1", 52.78)</f>
        <v>52.78</v>
      </c>
      <c r="E14613" s="2">
        <v>26.86</v>
      </c>
      <c r="F14613" s="2">
        <v>2</v>
      </c>
      <c r="G14613" s="2" t="s">
        <v>13</v>
      </c>
    </row>
    <row r="14614" spans="1:7" x14ac:dyDescent="0.2">
      <c r="A14614" s="2" t="s">
        <v>3784</v>
      </c>
      <c r="B14614" s="2" t="s">
        <v>820</v>
      </c>
      <c r="C14614" s="2">
        <v>796.64760000000001</v>
      </c>
      <c r="D14614" s="2">
        <f>HYPERLINK("http://mcb-m6.bioreg.kyushu-u.ac.jp/M3/20110502/F51184/2190/1", 57.85)</f>
        <v>57.85</v>
      </c>
      <c r="E14614" s="2">
        <v>22.67</v>
      </c>
      <c r="F14614" s="2">
        <v>2</v>
      </c>
      <c r="G14614" s="2" t="s">
        <v>14</v>
      </c>
    </row>
    <row r="14615" spans="1:7" x14ac:dyDescent="0.2">
      <c r="A14615" s="2" t="s">
        <v>3577</v>
      </c>
      <c r="B14615" s="2" t="s">
        <v>453</v>
      </c>
      <c r="C14615" s="2">
        <v>858.53899999999999</v>
      </c>
      <c r="D14615" s="2">
        <f>HYPERLINK("http://mcb-m6.bioreg.kyushu-u.ac.jp/M3/20110411/F50916/614/1", 42.19)</f>
        <v>42.19</v>
      </c>
      <c r="E14615" s="2">
        <v>16.41</v>
      </c>
      <c r="F14615" s="2">
        <v>1</v>
      </c>
      <c r="G14615" s="2" t="s">
        <v>9</v>
      </c>
    </row>
    <row r="14616" spans="1:7" x14ac:dyDescent="0.2">
      <c r="A14616" s="2" t="s">
        <v>3577</v>
      </c>
      <c r="B14616" s="2" t="s">
        <v>455</v>
      </c>
      <c r="C14616" s="2">
        <v>474.89210000000003</v>
      </c>
      <c r="D14616" s="2">
        <f>HYPERLINK("http://mcb-m6.bioreg.kyushu-u.ac.jp/M3/20110411/F50893/1191/1", 42.26)</f>
        <v>42.26</v>
      </c>
      <c r="E14616" s="2">
        <v>21.49</v>
      </c>
      <c r="F14616" s="2">
        <v>2</v>
      </c>
      <c r="G14616" s="2" t="s">
        <v>9</v>
      </c>
    </row>
    <row r="14617" spans="1:7" x14ac:dyDescent="0.2">
      <c r="A14617" s="2" t="s">
        <v>3577</v>
      </c>
      <c r="B14617" s="2" t="s">
        <v>455</v>
      </c>
      <c r="C14617" s="2">
        <v>948.78499999999997</v>
      </c>
      <c r="D14617" s="2">
        <f>HYPERLINK("http://mcb-m6.bioreg.kyushu-u.ac.jp/M3/20110411/F50895/963/1", 43.3)</f>
        <v>43.3</v>
      </c>
      <c r="E14617" s="2">
        <v>22.72</v>
      </c>
      <c r="F14617" s="2">
        <v>1</v>
      </c>
      <c r="G14617" s="2" t="s">
        <v>9</v>
      </c>
    </row>
    <row r="14618" spans="1:7" x14ac:dyDescent="0.2">
      <c r="A14618" s="2" t="s">
        <v>3577</v>
      </c>
      <c r="B14618" s="2" t="s">
        <v>455</v>
      </c>
      <c r="C14618" s="2">
        <v>948.73800000000006</v>
      </c>
      <c r="D14618" s="2">
        <f>HYPERLINK("http://mcb-m6.bioreg.kyushu-u.ac.jp/M3/20110411/F50893/1190/1", 44.8)</f>
        <v>44.8</v>
      </c>
      <c r="E14618" s="2">
        <v>21.88</v>
      </c>
      <c r="F14618" s="2">
        <v>1</v>
      </c>
      <c r="G14618" s="2" t="s">
        <v>9</v>
      </c>
    </row>
    <row r="14619" spans="1:7" x14ac:dyDescent="0.2">
      <c r="A14619" s="2" t="s">
        <v>3577</v>
      </c>
      <c r="B14619" s="2" t="s">
        <v>455</v>
      </c>
      <c r="C14619" s="2">
        <v>474.9556</v>
      </c>
      <c r="D14619" s="2">
        <f>HYPERLINK("http://mcb-m6.bioreg.kyushu-u.ac.jp/M3/20110411/F50894/1303/1", 49.12)</f>
        <v>49.12</v>
      </c>
      <c r="E14619" s="2">
        <v>12.09</v>
      </c>
      <c r="F14619" s="2">
        <v>2</v>
      </c>
      <c r="G14619" s="2" t="s">
        <v>9</v>
      </c>
    </row>
    <row r="14620" spans="1:7" x14ac:dyDescent="0.2">
      <c r="A14620" s="2" t="s">
        <v>3577</v>
      </c>
      <c r="B14620" s="2" t="s">
        <v>455</v>
      </c>
      <c r="C14620" s="2">
        <v>948.89499999999998</v>
      </c>
      <c r="D14620" s="2">
        <f>HYPERLINK("http://mcb-m6.bioreg.kyushu-u.ac.jp/M3/20110411/F50894/1302/1", 53.56)</f>
        <v>53.56</v>
      </c>
      <c r="E14620" s="2">
        <v>26.2</v>
      </c>
      <c r="F14620" s="2">
        <v>1</v>
      </c>
      <c r="G14620" s="2" t="s">
        <v>9</v>
      </c>
    </row>
    <row r="14621" spans="1:7" x14ac:dyDescent="0.2">
      <c r="A14621" s="2" t="s">
        <v>3577</v>
      </c>
      <c r="B14621" s="2" t="s">
        <v>869</v>
      </c>
      <c r="C14621" s="2">
        <v>1025.5139999999999</v>
      </c>
      <c r="D14621" s="2">
        <f>HYPERLINK("http://mcb-m6.bioreg.kyushu-u.ac.jp/M3/20110411/F50895/4064/1", 54.03)</f>
        <v>54.03</v>
      </c>
      <c r="E14621" s="2">
        <v>34.85</v>
      </c>
      <c r="F14621" s="2">
        <v>3</v>
      </c>
      <c r="G14621" s="2" t="s">
        <v>9</v>
      </c>
    </row>
    <row r="14622" spans="1:7" x14ac:dyDescent="0.2">
      <c r="A14622" s="2" t="s">
        <v>3577</v>
      </c>
      <c r="B14622" s="2" t="s">
        <v>455</v>
      </c>
      <c r="C14622" s="2">
        <v>474.7561</v>
      </c>
      <c r="D14622" s="2">
        <f>HYPERLINK("http://mcb-m6.bioreg.kyushu-u.ac.jp/M3/20110411/F50895/962/1", 56.16)</f>
        <v>56.16</v>
      </c>
      <c r="E14622" s="2">
        <v>28.8</v>
      </c>
      <c r="F14622" s="2">
        <v>2</v>
      </c>
      <c r="G14622" s="2" t="s">
        <v>9</v>
      </c>
    </row>
    <row r="14623" spans="1:7" x14ac:dyDescent="0.2">
      <c r="A14623" s="2" t="s">
        <v>3577</v>
      </c>
      <c r="B14623" s="2" t="s">
        <v>1049</v>
      </c>
      <c r="C14623" s="2">
        <v>801.90520000000004</v>
      </c>
      <c r="D14623" s="2">
        <f>HYPERLINK("http://mcb-m6.bioreg.kyushu-u.ac.jp/M3/20110411/F50895/3716/1", 60.32)</f>
        <v>60.32</v>
      </c>
      <c r="E14623" s="2">
        <v>42.42</v>
      </c>
      <c r="F14623" s="2">
        <v>3</v>
      </c>
      <c r="G14623" s="2" t="s">
        <v>9</v>
      </c>
    </row>
    <row r="14624" spans="1:7" x14ac:dyDescent="0.2">
      <c r="A14624" s="2" t="s">
        <v>3577</v>
      </c>
      <c r="B14624" s="2" t="s">
        <v>1112</v>
      </c>
      <c r="C14624" s="2">
        <v>658.94820000000004</v>
      </c>
      <c r="D14624" s="2">
        <f>HYPERLINK("http://mcb-m6.bioreg.kyushu-u.ac.jp/M3/20110411/F50895/1672/1", 63.66)</f>
        <v>63.66</v>
      </c>
      <c r="E14624" s="2">
        <v>48.15</v>
      </c>
      <c r="F14624" s="2">
        <v>2</v>
      </c>
      <c r="G14624" s="2" t="s">
        <v>9</v>
      </c>
    </row>
    <row r="14625" spans="1:7" x14ac:dyDescent="0.2">
      <c r="A14625" s="2" t="s">
        <v>3577</v>
      </c>
      <c r="B14625" s="2" t="s">
        <v>1114</v>
      </c>
      <c r="C14625" s="2">
        <v>965.03610000000003</v>
      </c>
      <c r="D14625" s="2">
        <f>HYPERLINK("http://mcb-m6.bioreg.kyushu-u.ac.jp/M3/20110411/F50916/2974/1", 63.74)</f>
        <v>63.74</v>
      </c>
      <c r="E14625" s="2">
        <v>48.22</v>
      </c>
      <c r="F14625" s="2">
        <v>2</v>
      </c>
      <c r="G14625" s="2" t="s">
        <v>9</v>
      </c>
    </row>
    <row r="14626" spans="1:7" x14ac:dyDescent="0.2">
      <c r="A14626" s="2" t="s">
        <v>3577</v>
      </c>
      <c r="B14626" s="2" t="s">
        <v>1116</v>
      </c>
      <c r="C14626" s="2">
        <v>715.86659999999995</v>
      </c>
      <c r="D14626" s="2">
        <f>HYPERLINK("http://mcb-m6.bioreg.kyushu-u.ac.jp/M3/20110411/F50894/2117/1", 63.82)</f>
        <v>63.82</v>
      </c>
      <c r="E14626" s="2">
        <v>39.9</v>
      </c>
      <c r="F14626" s="2">
        <v>2</v>
      </c>
      <c r="G14626" s="2" t="s">
        <v>9</v>
      </c>
    </row>
    <row r="14627" spans="1:7" x14ac:dyDescent="0.2">
      <c r="A14627" s="2" t="s">
        <v>3577</v>
      </c>
      <c r="B14627" s="2" t="s">
        <v>1161</v>
      </c>
      <c r="C14627" s="2">
        <v>693.91179999999997</v>
      </c>
      <c r="D14627" s="2">
        <f>HYPERLINK("http://mcb-m6.bioreg.kyushu-u.ac.jp/M3/20110411/F50895/3316/1", 65.48)</f>
        <v>65.48</v>
      </c>
      <c r="E14627" s="2">
        <v>39.94</v>
      </c>
      <c r="F14627" s="2">
        <v>3</v>
      </c>
      <c r="G14627" s="2" t="s">
        <v>9</v>
      </c>
    </row>
    <row r="14628" spans="1:7" x14ac:dyDescent="0.2">
      <c r="A14628" s="2" t="s">
        <v>3577</v>
      </c>
      <c r="B14628" s="2" t="s">
        <v>1116</v>
      </c>
      <c r="C14628" s="2">
        <v>715.8741</v>
      </c>
      <c r="D14628" s="2">
        <f>HYPERLINK("http://mcb-m6.bioreg.kyushu-u.ac.jp/M3/20110411/F50916/1771/1", 73.06)</f>
        <v>73.06</v>
      </c>
      <c r="E14628" s="2">
        <v>39.28</v>
      </c>
      <c r="F14628" s="2">
        <v>2</v>
      </c>
      <c r="G14628" s="2" t="s">
        <v>9</v>
      </c>
    </row>
    <row r="14629" spans="1:7" x14ac:dyDescent="0.2">
      <c r="A14629" s="2" t="s">
        <v>3577</v>
      </c>
      <c r="B14629" s="2" t="s">
        <v>1161</v>
      </c>
      <c r="C14629" s="2">
        <v>1040.296</v>
      </c>
      <c r="D14629" s="2">
        <f>HYPERLINK("http://mcb-m6.bioreg.kyushu-u.ac.jp/M3/20110411/F50894/3079/1", 73.42)</f>
        <v>73.42</v>
      </c>
      <c r="E14629" s="2">
        <v>52.52</v>
      </c>
      <c r="F14629" s="2">
        <v>2</v>
      </c>
      <c r="G14629" s="2" t="s">
        <v>9</v>
      </c>
    </row>
    <row r="14630" spans="1:7" x14ac:dyDescent="0.2">
      <c r="A14630" s="2" t="s">
        <v>3577</v>
      </c>
      <c r="B14630" s="2" t="s">
        <v>1114</v>
      </c>
      <c r="C14630" s="2">
        <v>964.90970000000004</v>
      </c>
      <c r="D14630" s="2">
        <f>HYPERLINK("http://mcb-m6.bioreg.kyushu-u.ac.jp/M3/20110411/F50893/3010/1", 74.34)</f>
        <v>74.34</v>
      </c>
      <c r="E14630" s="2">
        <v>54.14</v>
      </c>
      <c r="F14630" s="2">
        <v>2</v>
      </c>
      <c r="G14630" s="2" t="s">
        <v>9</v>
      </c>
    </row>
    <row r="14631" spans="1:7" x14ac:dyDescent="0.2">
      <c r="A14631" s="2" t="s">
        <v>3577</v>
      </c>
      <c r="B14631" s="2" t="s">
        <v>1381</v>
      </c>
      <c r="C14631" s="2">
        <v>780.16669999999999</v>
      </c>
      <c r="D14631" s="2">
        <f>HYPERLINK("http://mcb-m6.bioreg.kyushu-u.ac.jp/M3/20110411/F50894/2385/1", 77.07)</f>
        <v>77.069999999999993</v>
      </c>
      <c r="E14631" s="2">
        <v>38.92</v>
      </c>
      <c r="F14631" s="2">
        <v>2</v>
      </c>
      <c r="G14631" s="2" t="s">
        <v>9</v>
      </c>
    </row>
    <row r="14632" spans="1:7" x14ac:dyDescent="0.2">
      <c r="A14632" s="2" t="s">
        <v>3577</v>
      </c>
      <c r="B14632" s="2" t="s">
        <v>1161</v>
      </c>
      <c r="C14632" s="2">
        <v>1040.309</v>
      </c>
      <c r="D14632" s="2">
        <f>HYPERLINK("http://mcb-m6.bioreg.kyushu-u.ac.jp/M3/20110411/F50895/3315/1", 77.15)</f>
        <v>77.150000000000006</v>
      </c>
      <c r="E14632" s="2">
        <v>58.2</v>
      </c>
      <c r="F14632" s="2">
        <v>2</v>
      </c>
      <c r="G14632" s="2" t="s">
        <v>9</v>
      </c>
    </row>
    <row r="14633" spans="1:7" x14ac:dyDescent="0.2">
      <c r="A14633" s="2" t="s">
        <v>3577</v>
      </c>
      <c r="B14633" s="2" t="s">
        <v>1381</v>
      </c>
      <c r="C14633" s="2">
        <v>780.19820000000004</v>
      </c>
      <c r="D14633" s="2">
        <f>HYPERLINK("http://mcb-m6.bioreg.kyushu-u.ac.jp/M3/20110411/F50895/2270/1", 78.88)</f>
        <v>78.88</v>
      </c>
      <c r="E14633" s="2">
        <v>51.64</v>
      </c>
      <c r="F14633" s="2">
        <v>2</v>
      </c>
      <c r="G14633" s="2" t="s">
        <v>9</v>
      </c>
    </row>
    <row r="14634" spans="1:7" x14ac:dyDescent="0.2">
      <c r="A14634" s="2" t="s">
        <v>3577</v>
      </c>
      <c r="B14634" s="2" t="s">
        <v>1425</v>
      </c>
      <c r="C14634" s="2">
        <v>844.9366</v>
      </c>
      <c r="D14634" s="2">
        <f>HYPERLINK("http://mcb-m6.bioreg.kyushu-u.ac.jp/M3/20110411/F50916/2433/1", 79.58)</f>
        <v>79.58</v>
      </c>
      <c r="E14634" s="2">
        <v>66.41</v>
      </c>
      <c r="F14634" s="2">
        <v>2</v>
      </c>
      <c r="G14634" s="2" t="s">
        <v>9</v>
      </c>
    </row>
    <row r="14635" spans="1:7" x14ac:dyDescent="0.2">
      <c r="A14635" s="2" t="s">
        <v>3577</v>
      </c>
      <c r="B14635" s="2" t="s">
        <v>1161</v>
      </c>
      <c r="C14635" s="2">
        <v>1040.1590000000001</v>
      </c>
      <c r="D14635" s="2">
        <f>HYPERLINK("http://mcb-m6.bioreg.kyushu-u.ac.jp/M3/20110411/F50916/3286/1", 81.45)</f>
        <v>81.45</v>
      </c>
      <c r="E14635" s="2">
        <v>71.569999999999993</v>
      </c>
      <c r="F14635" s="2">
        <v>2</v>
      </c>
      <c r="G14635" s="2" t="s">
        <v>9</v>
      </c>
    </row>
    <row r="14636" spans="1:7" x14ac:dyDescent="0.2">
      <c r="A14636" s="2" t="s">
        <v>3577</v>
      </c>
      <c r="B14636" s="2" t="s">
        <v>1425</v>
      </c>
      <c r="C14636" s="2">
        <v>844.81020000000001</v>
      </c>
      <c r="D14636" s="2">
        <f>HYPERLINK("http://mcb-m6.bioreg.kyushu-u.ac.jp/M3/20110411/F50894/2620/1", 83.6)</f>
        <v>83.6</v>
      </c>
      <c r="E14636" s="2">
        <v>62.52</v>
      </c>
      <c r="F14636" s="2">
        <v>2</v>
      </c>
      <c r="G14636" s="2" t="s">
        <v>9</v>
      </c>
    </row>
    <row r="14637" spans="1:7" x14ac:dyDescent="0.2">
      <c r="A14637" s="2" t="s">
        <v>3577</v>
      </c>
      <c r="B14637" s="2" t="s">
        <v>1425</v>
      </c>
      <c r="C14637" s="2">
        <v>844.68320000000006</v>
      </c>
      <c r="D14637" s="2">
        <f>HYPERLINK("http://mcb-m6.bioreg.kyushu-u.ac.jp/M3/20110411/F50895/2567/1", 86.68)</f>
        <v>86.68</v>
      </c>
      <c r="E14637" s="2">
        <v>64.64</v>
      </c>
      <c r="F14637" s="2">
        <v>2</v>
      </c>
      <c r="G14637" s="2" t="s">
        <v>9</v>
      </c>
    </row>
    <row r="14638" spans="1:7" x14ac:dyDescent="0.2">
      <c r="A14638" s="2" t="s">
        <v>3577</v>
      </c>
      <c r="B14638" s="2" t="s">
        <v>1381</v>
      </c>
      <c r="C14638" s="2">
        <v>780.00019999999995</v>
      </c>
      <c r="D14638" s="2">
        <f>HYPERLINK("http://mcb-m6.bioreg.kyushu-u.ac.jp/M3/20110411/F50916/2108/1", 87.48)</f>
        <v>87.48</v>
      </c>
      <c r="E14638" s="2">
        <v>70.760000000000005</v>
      </c>
      <c r="F14638" s="2">
        <v>2</v>
      </c>
      <c r="G14638" s="2" t="s">
        <v>9</v>
      </c>
    </row>
    <row r="14639" spans="1:7" x14ac:dyDescent="0.2">
      <c r="A14639" s="2" t="s">
        <v>3577</v>
      </c>
      <c r="B14639" s="2" t="s">
        <v>1116</v>
      </c>
      <c r="C14639" s="2">
        <v>716.00070000000005</v>
      </c>
      <c r="D14639" s="2">
        <f>HYPERLINK("http://mcb-m6.bioreg.kyushu-u.ac.jp/M3/20110411/F50895/1957/1", 98.47)</f>
        <v>98.47</v>
      </c>
      <c r="E14639" s="2">
        <v>74.31</v>
      </c>
      <c r="F14639" s="2">
        <v>2</v>
      </c>
      <c r="G14639" s="2" t="s">
        <v>9</v>
      </c>
    </row>
    <row r="14640" spans="1:7" x14ac:dyDescent="0.2">
      <c r="A14640" s="2" t="s">
        <v>3577</v>
      </c>
      <c r="B14640" s="2" t="s">
        <v>1049</v>
      </c>
      <c r="C14640" s="2">
        <v>1202.5160000000001</v>
      </c>
      <c r="D14640" s="2">
        <f>HYPERLINK("http://mcb-m6.bioreg.kyushu-u.ac.jp/M3/20110411/F50916/3722/1", 116.36)</f>
        <v>116.36</v>
      </c>
      <c r="E14640" s="2">
        <v>103.43</v>
      </c>
      <c r="F14640" s="2">
        <v>2</v>
      </c>
      <c r="G14640" s="2" t="s">
        <v>9</v>
      </c>
    </row>
    <row r="14641" spans="1:7" x14ac:dyDescent="0.2">
      <c r="A14641" s="2" t="s">
        <v>3577</v>
      </c>
      <c r="B14641" s="2" t="s">
        <v>1049</v>
      </c>
      <c r="C14641" s="2">
        <v>1202.327</v>
      </c>
      <c r="D14641" s="2">
        <f>HYPERLINK("http://mcb-m6.bioreg.kyushu-u.ac.jp/M3/20110411/F50893/3572/1", 144.49)</f>
        <v>144.49</v>
      </c>
      <c r="E14641" s="2">
        <v>133.12</v>
      </c>
      <c r="F14641" s="2">
        <v>2</v>
      </c>
      <c r="G14641" s="2" t="s">
        <v>9</v>
      </c>
    </row>
    <row r="14642" spans="1:7" x14ac:dyDescent="0.2">
      <c r="A14642" s="2" t="s">
        <v>3577</v>
      </c>
      <c r="B14642" s="2" t="s">
        <v>1049</v>
      </c>
      <c r="C14642" s="2">
        <v>1202.2570000000001</v>
      </c>
      <c r="D14642" s="2">
        <f>HYPERLINK("http://mcb-m6.bioreg.kyushu-u.ac.jp/M3/20110411/F50895/3715/1", 147.87)</f>
        <v>147.87</v>
      </c>
      <c r="E14642" s="2">
        <v>131.44</v>
      </c>
      <c r="F14642" s="2">
        <v>2</v>
      </c>
      <c r="G14642" s="2" t="s">
        <v>9</v>
      </c>
    </row>
    <row r="14643" spans="1:7" x14ac:dyDescent="0.2">
      <c r="A14643" s="2" t="s">
        <v>3577</v>
      </c>
      <c r="B14643" s="2" t="s">
        <v>453</v>
      </c>
      <c r="C14643" s="2">
        <v>858.70799999999997</v>
      </c>
      <c r="D14643" s="2">
        <f>HYPERLINK("http://mcb-m6.bioreg.kyushu-u.ac.jp/M3/20110411/F50901/1002/1", 36.43)</f>
        <v>36.43</v>
      </c>
      <c r="E14643" s="2">
        <v>10.56</v>
      </c>
      <c r="F14643" s="2">
        <v>1</v>
      </c>
      <c r="G14643" s="2" t="s">
        <v>10</v>
      </c>
    </row>
    <row r="14644" spans="1:7" x14ac:dyDescent="0.2">
      <c r="A14644" s="2" t="s">
        <v>3577</v>
      </c>
      <c r="B14644" s="2" t="s">
        <v>455</v>
      </c>
      <c r="C14644" s="2">
        <v>948.8</v>
      </c>
      <c r="D14644" s="2">
        <f>HYPERLINK("http://mcb-m6.bioreg.kyushu-u.ac.jp/M3/20110411/F50900/1240/1", 37.68)</f>
        <v>37.68</v>
      </c>
      <c r="E14644" s="2">
        <v>18.63</v>
      </c>
      <c r="F14644" s="2">
        <v>1</v>
      </c>
      <c r="G14644" s="2" t="s">
        <v>10</v>
      </c>
    </row>
    <row r="14645" spans="1:7" x14ac:dyDescent="0.2">
      <c r="A14645" s="2" t="s">
        <v>3577</v>
      </c>
      <c r="B14645" s="2" t="s">
        <v>455</v>
      </c>
      <c r="C14645" s="2">
        <v>948.73199999999997</v>
      </c>
      <c r="D14645" s="2">
        <f>HYPERLINK("http://mcb-m6.bioreg.kyushu-u.ac.jp/M3/20110411/F50902/1078/1", 44.75)</f>
        <v>44.75</v>
      </c>
      <c r="E14645" s="2">
        <v>21.56</v>
      </c>
      <c r="F14645" s="2">
        <v>1</v>
      </c>
      <c r="G14645" s="2" t="s">
        <v>10</v>
      </c>
    </row>
    <row r="14646" spans="1:7" x14ac:dyDescent="0.2">
      <c r="A14646" s="2" t="s">
        <v>3577</v>
      </c>
      <c r="B14646" s="2" t="s">
        <v>455</v>
      </c>
      <c r="C14646" s="2">
        <v>474.79809999999998</v>
      </c>
      <c r="D14646" s="2">
        <f>HYPERLINK("http://mcb-m6.bioreg.kyushu-u.ac.jp/M3/20110411/F50900/1239/1", 51.26)</f>
        <v>51.26</v>
      </c>
      <c r="E14646" s="2">
        <v>21.85</v>
      </c>
      <c r="F14646" s="2">
        <v>2</v>
      </c>
      <c r="G14646" s="2" t="s">
        <v>10</v>
      </c>
    </row>
    <row r="14647" spans="1:7" x14ac:dyDescent="0.2">
      <c r="A14647" s="2" t="s">
        <v>3577</v>
      </c>
      <c r="B14647" s="2" t="s">
        <v>455</v>
      </c>
      <c r="C14647" s="2">
        <v>948.66399999999999</v>
      </c>
      <c r="D14647" s="2">
        <f>HYPERLINK("http://mcb-m6.bioreg.kyushu-u.ac.jp/M3/20110411/F50901/1134/1", 52.25)</f>
        <v>52.25</v>
      </c>
      <c r="E14647" s="2">
        <v>33.29</v>
      </c>
      <c r="F14647" s="2">
        <v>1</v>
      </c>
      <c r="G14647" s="2" t="s">
        <v>10</v>
      </c>
    </row>
    <row r="14648" spans="1:7" x14ac:dyDescent="0.2">
      <c r="A14648" s="2" t="s">
        <v>3577</v>
      </c>
      <c r="B14648" s="2" t="s">
        <v>455</v>
      </c>
      <c r="C14648" s="2">
        <v>474.97359999999998</v>
      </c>
      <c r="D14648" s="2">
        <f>HYPERLINK("http://mcb-m6.bioreg.kyushu-u.ac.jp/M3/20110411/F50901/1135/1", 53.5)</f>
        <v>53.5</v>
      </c>
      <c r="E14648" s="2">
        <v>28.01</v>
      </c>
      <c r="F14648" s="2">
        <v>2</v>
      </c>
      <c r="G14648" s="2" t="s">
        <v>10</v>
      </c>
    </row>
    <row r="14649" spans="1:7" x14ac:dyDescent="0.2">
      <c r="A14649" s="2" t="s">
        <v>3577</v>
      </c>
      <c r="B14649" s="2" t="s">
        <v>1112</v>
      </c>
      <c r="C14649" s="2">
        <v>659.09220000000005</v>
      </c>
      <c r="D14649" s="2">
        <f>HYPERLINK("http://mcb-m6.bioreg.kyushu-u.ac.jp/M3/20110411/F50901/1684/1", 64.81)</f>
        <v>64.81</v>
      </c>
      <c r="E14649" s="2">
        <v>45.7</v>
      </c>
      <c r="F14649" s="2">
        <v>2</v>
      </c>
      <c r="G14649" s="2" t="s">
        <v>10</v>
      </c>
    </row>
    <row r="14650" spans="1:7" x14ac:dyDescent="0.2">
      <c r="A14650" s="2" t="s">
        <v>3577</v>
      </c>
      <c r="B14650" s="2" t="s">
        <v>1114</v>
      </c>
      <c r="C14650" s="2">
        <v>964.68320000000006</v>
      </c>
      <c r="D14650" s="2">
        <f>HYPERLINK("http://mcb-m6.bioreg.kyushu-u.ac.jp/M3/20110411/F50901/2918/1", 64.96)</f>
        <v>64.959999999999994</v>
      </c>
      <c r="E14650" s="2">
        <v>44.12</v>
      </c>
      <c r="F14650" s="2">
        <v>2</v>
      </c>
      <c r="G14650" s="2" t="s">
        <v>10</v>
      </c>
    </row>
    <row r="14651" spans="1:7" x14ac:dyDescent="0.2">
      <c r="A14651" s="2" t="s">
        <v>3577</v>
      </c>
      <c r="B14651" s="2" t="s">
        <v>1114</v>
      </c>
      <c r="C14651" s="2">
        <v>964.61220000000003</v>
      </c>
      <c r="D14651" s="2">
        <f>HYPERLINK("http://mcb-m6.bioreg.kyushu-u.ac.jp/M3/20110411/F50900/2924/1", 66.98)</f>
        <v>66.98</v>
      </c>
      <c r="E14651" s="2">
        <v>55.37</v>
      </c>
      <c r="F14651" s="2">
        <v>2</v>
      </c>
      <c r="G14651" s="2" t="s">
        <v>10</v>
      </c>
    </row>
    <row r="14652" spans="1:7" x14ac:dyDescent="0.2">
      <c r="A14652" s="2" t="s">
        <v>3577</v>
      </c>
      <c r="B14652" s="2" t="s">
        <v>1112</v>
      </c>
      <c r="C14652" s="2">
        <v>658.9307</v>
      </c>
      <c r="D14652" s="2">
        <f>HYPERLINK("http://mcb-m6.bioreg.kyushu-u.ac.jp/M3/20110411/F50902/1668/1", 67.3)</f>
        <v>67.3</v>
      </c>
      <c r="E14652" s="2">
        <v>49.05</v>
      </c>
      <c r="F14652" s="2">
        <v>2</v>
      </c>
      <c r="G14652" s="2" t="s">
        <v>10</v>
      </c>
    </row>
    <row r="14653" spans="1:7" x14ac:dyDescent="0.2">
      <c r="A14653" s="2" t="s">
        <v>3577</v>
      </c>
      <c r="B14653" s="2" t="s">
        <v>1425</v>
      </c>
      <c r="C14653" s="2">
        <v>844.89620000000002</v>
      </c>
      <c r="D14653" s="2">
        <f>HYPERLINK("http://mcb-m6.bioreg.kyushu-u.ac.jp/M3/20110411/F50901/2472/1", 81.92)</f>
        <v>81.92</v>
      </c>
      <c r="E14653" s="2">
        <v>62.53</v>
      </c>
      <c r="F14653" s="2">
        <v>2</v>
      </c>
      <c r="G14653" s="2" t="s">
        <v>10</v>
      </c>
    </row>
    <row r="14654" spans="1:7" x14ac:dyDescent="0.2">
      <c r="A14654" s="2" t="s">
        <v>3577</v>
      </c>
      <c r="B14654" s="2" t="s">
        <v>1161</v>
      </c>
      <c r="C14654" s="2">
        <v>1040.2360000000001</v>
      </c>
      <c r="D14654" s="2">
        <f>HYPERLINK("http://mcb-m6.bioreg.kyushu-u.ac.jp/M3/20110411/F50902/3299/1", 82.81)</f>
        <v>82.81</v>
      </c>
      <c r="E14654" s="2">
        <v>60.28</v>
      </c>
      <c r="F14654" s="2">
        <v>2</v>
      </c>
      <c r="G14654" s="2" t="s">
        <v>10</v>
      </c>
    </row>
    <row r="14655" spans="1:7" x14ac:dyDescent="0.2">
      <c r="A14655" s="2" t="s">
        <v>3577</v>
      </c>
      <c r="B14655" s="2" t="s">
        <v>1161</v>
      </c>
      <c r="C14655" s="2">
        <v>1040.1790000000001</v>
      </c>
      <c r="D14655" s="2">
        <f>HYPERLINK("http://mcb-m6.bioreg.kyushu-u.ac.jp/M3/20110411/F50918/3202/1", 83.14)</f>
        <v>83.14</v>
      </c>
      <c r="E14655" s="2">
        <v>67.05</v>
      </c>
      <c r="F14655" s="2">
        <v>2</v>
      </c>
      <c r="G14655" s="2" t="s">
        <v>10</v>
      </c>
    </row>
    <row r="14656" spans="1:7" x14ac:dyDescent="0.2">
      <c r="A14656" s="2" t="s">
        <v>3577</v>
      </c>
      <c r="B14656" s="2" t="s">
        <v>1114</v>
      </c>
      <c r="C14656" s="2">
        <v>964.54020000000003</v>
      </c>
      <c r="D14656" s="2">
        <f>HYPERLINK("http://mcb-m6.bioreg.kyushu-u.ac.jp/M3/20110411/F50918/2916/1", 84.44)</f>
        <v>84.44</v>
      </c>
      <c r="E14656" s="2">
        <v>68.23</v>
      </c>
      <c r="F14656" s="2">
        <v>2</v>
      </c>
      <c r="G14656" s="2" t="s">
        <v>10</v>
      </c>
    </row>
    <row r="14657" spans="1:7" x14ac:dyDescent="0.2">
      <c r="A14657" s="2" t="s">
        <v>3577</v>
      </c>
      <c r="B14657" s="2" t="s">
        <v>1381</v>
      </c>
      <c r="C14657" s="2">
        <v>780.09010000000001</v>
      </c>
      <c r="D14657" s="2">
        <f>HYPERLINK("http://mcb-m6.bioreg.kyushu-u.ac.jp/M3/20110411/F50918/2067/1", 85.49)</f>
        <v>85.49</v>
      </c>
      <c r="E14657" s="2">
        <v>66.540000000000006</v>
      </c>
      <c r="F14657" s="2">
        <v>2</v>
      </c>
      <c r="G14657" s="2" t="s">
        <v>10</v>
      </c>
    </row>
    <row r="14658" spans="1:7" x14ac:dyDescent="0.2">
      <c r="A14658" s="2" t="s">
        <v>3577</v>
      </c>
      <c r="B14658" s="2" t="s">
        <v>1425</v>
      </c>
      <c r="C14658" s="2">
        <v>844.53610000000003</v>
      </c>
      <c r="D14658" s="2">
        <f>HYPERLINK("http://mcb-m6.bioreg.kyushu-u.ac.jp/M3/20110411/F50900/2533/1", 86.31)</f>
        <v>86.31</v>
      </c>
      <c r="E14658" s="2">
        <v>70.510000000000005</v>
      </c>
      <c r="F14658" s="2">
        <v>2</v>
      </c>
      <c r="G14658" s="2" t="s">
        <v>10</v>
      </c>
    </row>
    <row r="14659" spans="1:7" x14ac:dyDescent="0.2">
      <c r="A14659" s="2" t="s">
        <v>3577</v>
      </c>
      <c r="B14659" s="2" t="s">
        <v>1161</v>
      </c>
      <c r="C14659" s="2">
        <v>1040.259</v>
      </c>
      <c r="D14659" s="2">
        <f>HYPERLINK("http://mcb-m6.bioreg.kyushu-u.ac.jp/M3/20110411/F50900/3082/1", 87.03)</f>
        <v>87.03</v>
      </c>
      <c r="E14659" s="2">
        <v>71.52</v>
      </c>
      <c r="F14659" s="2">
        <v>2</v>
      </c>
      <c r="G14659" s="2" t="s">
        <v>10</v>
      </c>
    </row>
    <row r="14660" spans="1:7" x14ac:dyDescent="0.2">
      <c r="A14660" s="2" t="s">
        <v>3577</v>
      </c>
      <c r="B14660" s="2" t="s">
        <v>1381</v>
      </c>
      <c r="C14660" s="2">
        <v>780.04219999999998</v>
      </c>
      <c r="D14660" s="2">
        <f>HYPERLINK("http://mcb-m6.bioreg.kyushu-u.ac.jp/M3/20110411/F50900/2295/1", 88.01)</f>
        <v>88.01</v>
      </c>
      <c r="E14660" s="2">
        <v>68.459999999999994</v>
      </c>
      <c r="F14660" s="2">
        <v>2</v>
      </c>
      <c r="G14660" s="2" t="s">
        <v>10</v>
      </c>
    </row>
    <row r="14661" spans="1:7" x14ac:dyDescent="0.2">
      <c r="A14661" s="2" t="s">
        <v>3577</v>
      </c>
      <c r="B14661" s="2" t="s">
        <v>1425</v>
      </c>
      <c r="C14661" s="2">
        <v>844.66970000000003</v>
      </c>
      <c r="D14661" s="2">
        <f>HYPERLINK("http://mcb-m6.bioreg.kyushu-u.ac.jp/M3/20110411/F50918/2370/1", 95.02)</f>
        <v>95.02</v>
      </c>
      <c r="E14661" s="2">
        <v>77.45</v>
      </c>
      <c r="F14661" s="2">
        <v>2</v>
      </c>
      <c r="G14661" s="2" t="s">
        <v>10</v>
      </c>
    </row>
    <row r="14662" spans="1:7" x14ac:dyDescent="0.2">
      <c r="A14662" s="2" t="s">
        <v>3577</v>
      </c>
      <c r="B14662" s="2" t="s">
        <v>1381</v>
      </c>
      <c r="C14662" s="2">
        <v>780.08010000000002</v>
      </c>
      <c r="D14662" s="2">
        <f>HYPERLINK("http://mcb-m6.bioreg.kyushu-u.ac.jp/M3/20110411/F50902/2241/1", 95.3)</f>
        <v>95.3</v>
      </c>
      <c r="E14662" s="2">
        <v>67.180000000000007</v>
      </c>
      <c r="F14662" s="2">
        <v>2</v>
      </c>
      <c r="G14662" s="2" t="s">
        <v>10</v>
      </c>
    </row>
    <row r="14663" spans="1:7" x14ac:dyDescent="0.2">
      <c r="A14663" s="2" t="s">
        <v>3577</v>
      </c>
      <c r="B14663" s="2" t="s">
        <v>1116</v>
      </c>
      <c r="C14663" s="2">
        <v>715.98360000000002</v>
      </c>
      <c r="D14663" s="2">
        <f>HYPERLINK("http://mcb-m6.bioreg.kyushu-u.ac.jp/M3/20110411/F50902/1929/1", 98.12)</f>
        <v>98.12</v>
      </c>
      <c r="E14663" s="2">
        <v>74.92</v>
      </c>
      <c r="F14663" s="2">
        <v>2</v>
      </c>
      <c r="G14663" s="2" t="s">
        <v>10</v>
      </c>
    </row>
    <row r="14664" spans="1:7" x14ac:dyDescent="0.2">
      <c r="A14664" s="2" t="s">
        <v>3577</v>
      </c>
      <c r="B14664" s="2" t="s">
        <v>1116</v>
      </c>
      <c r="C14664" s="2">
        <v>716.40520000000004</v>
      </c>
      <c r="D14664" s="2">
        <f>HYPERLINK("http://mcb-m6.bioreg.kyushu-u.ac.jp/M3/20110411/F50901/1925/1", 102.83)</f>
        <v>102.83</v>
      </c>
      <c r="E14664" s="2">
        <v>80.69</v>
      </c>
      <c r="F14664" s="2">
        <v>2</v>
      </c>
      <c r="G14664" s="2" t="s">
        <v>10</v>
      </c>
    </row>
    <row r="14665" spans="1:7" x14ac:dyDescent="0.2">
      <c r="A14665" s="2" t="s">
        <v>3577</v>
      </c>
      <c r="B14665" s="2" t="s">
        <v>1425</v>
      </c>
      <c r="C14665" s="2">
        <v>844.6241</v>
      </c>
      <c r="D14665" s="2">
        <f>HYPERLINK("http://mcb-m6.bioreg.kyushu-u.ac.jp/M3/20110411/F50902/2559/1", 102.95)</f>
        <v>102.95</v>
      </c>
      <c r="E14665" s="2">
        <v>80.42</v>
      </c>
      <c r="F14665" s="2">
        <v>2</v>
      </c>
      <c r="G14665" s="2" t="s">
        <v>10</v>
      </c>
    </row>
    <row r="14666" spans="1:7" x14ac:dyDescent="0.2">
      <c r="A14666" s="2" t="s">
        <v>3577</v>
      </c>
      <c r="B14666" s="2" t="s">
        <v>1116</v>
      </c>
      <c r="C14666" s="2">
        <v>715.96510000000001</v>
      </c>
      <c r="D14666" s="2">
        <f>HYPERLINK("http://mcb-m6.bioreg.kyushu-u.ac.jp/M3/20110411/F50918/1751/1", 105.55)</f>
        <v>105.55</v>
      </c>
      <c r="E14666" s="2">
        <v>81.62</v>
      </c>
      <c r="F14666" s="2">
        <v>2</v>
      </c>
      <c r="G14666" s="2" t="s">
        <v>10</v>
      </c>
    </row>
    <row r="14667" spans="1:7" x14ac:dyDescent="0.2">
      <c r="A14667" s="2" t="s">
        <v>3577</v>
      </c>
      <c r="B14667" s="2" t="s">
        <v>1116</v>
      </c>
      <c r="C14667" s="2">
        <v>716.37519999999995</v>
      </c>
      <c r="D14667" s="2">
        <f>HYPERLINK("http://mcb-m6.bioreg.kyushu-u.ac.jp/M3/20110411/F50900/2025/1", 107.5)</f>
        <v>107.5</v>
      </c>
      <c r="E14667" s="2">
        <v>83.41</v>
      </c>
      <c r="F14667" s="2">
        <v>2</v>
      </c>
      <c r="G14667" s="2" t="s">
        <v>10</v>
      </c>
    </row>
    <row r="14668" spans="1:7" x14ac:dyDescent="0.2">
      <c r="A14668" s="2" t="s">
        <v>3577</v>
      </c>
      <c r="B14668" s="2" t="s">
        <v>1049</v>
      </c>
      <c r="C14668" s="2">
        <v>1202.1469999999999</v>
      </c>
      <c r="D14668" s="2">
        <f>HYPERLINK("http://mcb-m6.bioreg.kyushu-u.ac.jp/M3/20110411/F50902/3746/1", 135.45)</f>
        <v>135.44999999999999</v>
      </c>
      <c r="E14668" s="2">
        <v>122.75</v>
      </c>
      <c r="F14668" s="2">
        <v>2</v>
      </c>
      <c r="G14668" s="2" t="s">
        <v>10</v>
      </c>
    </row>
    <row r="14669" spans="1:7" x14ac:dyDescent="0.2">
      <c r="A14669" s="2" t="s">
        <v>3577</v>
      </c>
      <c r="B14669" s="2" t="s">
        <v>1049</v>
      </c>
      <c r="C14669" s="2">
        <v>1202.2170000000001</v>
      </c>
      <c r="D14669" s="2">
        <f>HYPERLINK("http://mcb-m6.bioreg.kyushu-u.ac.jp/M3/20110411/F50901/3503/1", 144.54)</f>
        <v>144.54</v>
      </c>
      <c r="E14669" s="2">
        <v>129.22</v>
      </c>
      <c r="F14669" s="2">
        <v>2</v>
      </c>
      <c r="G14669" s="2" t="s">
        <v>10</v>
      </c>
    </row>
    <row r="14670" spans="1:7" x14ac:dyDescent="0.2">
      <c r="A14670" s="2" t="s">
        <v>3577</v>
      </c>
      <c r="B14670" s="2" t="s">
        <v>1049</v>
      </c>
      <c r="C14670" s="2">
        <v>1202.066</v>
      </c>
      <c r="D14670" s="2">
        <f>HYPERLINK("http://mcb-m6.bioreg.kyushu-u.ac.jp/M3/20110411/F50900/3397/1", 162.4)</f>
        <v>162.4</v>
      </c>
      <c r="E14670" s="2">
        <v>151.86000000000001</v>
      </c>
      <c r="F14670" s="2">
        <v>2</v>
      </c>
      <c r="G14670" s="2" t="s">
        <v>10</v>
      </c>
    </row>
    <row r="14671" spans="1:7" x14ac:dyDescent="0.2">
      <c r="A14671" s="2" t="s">
        <v>3577</v>
      </c>
      <c r="B14671" s="2" t="s">
        <v>869</v>
      </c>
      <c r="C14671" s="2">
        <v>1025.5250000000001</v>
      </c>
      <c r="D14671" s="2">
        <f>HYPERLINK("http://mcb-m6.bioreg.kyushu-u.ac.jp/M3/20110414/F50943/4478/1", 37.62)</f>
        <v>37.619999999999997</v>
      </c>
      <c r="E14671" s="2">
        <v>33.01</v>
      </c>
      <c r="F14671" s="2">
        <v>3</v>
      </c>
      <c r="G14671" s="2" t="s">
        <v>11</v>
      </c>
    </row>
    <row r="14672" spans="1:7" x14ac:dyDescent="0.2">
      <c r="A14672" s="2" t="s">
        <v>3577</v>
      </c>
      <c r="B14672" s="2" t="s">
        <v>1381</v>
      </c>
      <c r="C14672" s="2">
        <v>779.93619999999999</v>
      </c>
      <c r="D14672" s="2">
        <f>HYPERLINK("http://mcb-m6.bioreg.kyushu-u.ac.jp/M3/20110414/F50943/2131/1", 38.11)</f>
        <v>38.11</v>
      </c>
      <c r="E14672" s="2">
        <v>26.48</v>
      </c>
      <c r="F14672" s="2">
        <v>2</v>
      </c>
      <c r="G14672" s="2" t="s">
        <v>11</v>
      </c>
    </row>
    <row r="14673" spans="1:9" x14ac:dyDescent="0.2">
      <c r="A14673" s="2" t="s">
        <v>3577</v>
      </c>
      <c r="B14673" s="2" t="s">
        <v>1425</v>
      </c>
      <c r="C14673" s="2">
        <v>844.26210000000003</v>
      </c>
      <c r="D14673" s="2">
        <f>HYPERLINK("http://mcb-m6.bioreg.kyushu-u.ac.jp/M3/20110414/F50957/2539/1", 41.45)</f>
        <v>41.45</v>
      </c>
      <c r="E14673" s="2">
        <v>35.08</v>
      </c>
      <c r="F14673" s="2">
        <v>2</v>
      </c>
      <c r="G14673" s="2" t="s">
        <v>11</v>
      </c>
    </row>
    <row r="14674" spans="1:9" x14ac:dyDescent="0.2">
      <c r="A14674" s="2" t="s">
        <v>3577</v>
      </c>
      <c r="B14674" s="2" t="s">
        <v>2312</v>
      </c>
      <c r="C14674" s="2">
        <v>986.9991</v>
      </c>
      <c r="D14674" s="2">
        <f>HYPERLINK("http://mcb-m6.bioreg.kyushu-u.ac.jp/M3/20110414/F50943/4421/1", 45.13)</f>
        <v>45.13</v>
      </c>
      <c r="E14674" s="2">
        <v>35.46</v>
      </c>
      <c r="F14674" s="2">
        <v>3</v>
      </c>
      <c r="G14674" s="2" t="s">
        <v>11</v>
      </c>
      <c r="I14674" s="2" t="s">
        <v>4959</v>
      </c>
    </row>
    <row r="14675" spans="1:9" x14ac:dyDescent="0.2">
      <c r="A14675" s="2" t="s">
        <v>3577</v>
      </c>
      <c r="B14675" s="2" t="s">
        <v>455</v>
      </c>
      <c r="C14675" s="2">
        <v>474.30860000000001</v>
      </c>
      <c r="D14675" s="2">
        <f>HYPERLINK("http://mcb-m6.bioreg.kyushu-u.ac.jp/M3/20110414/F50957/529/1", 46.23)</f>
        <v>46.23</v>
      </c>
      <c r="E14675" s="2">
        <v>16.27</v>
      </c>
      <c r="F14675" s="2">
        <v>2</v>
      </c>
      <c r="G14675" s="2" t="s">
        <v>11</v>
      </c>
    </row>
    <row r="14676" spans="1:9" x14ac:dyDescent="0.2">
      <c r="A14676" s="2" t="s">
        <v>3577</v>
      </c>
      <c r="B14676" s="2" t="s">
        <v>1161</v>
      </c>
      <c r="C14676" s="2">
        <v>693.60850000000005</v>
      </c>
      <c r="D14676" s="2">
        <f>HYPERLINK("http://mcb-m6.bioreg.kyushu-u.ac.jp/M3/20110414/F50943/3337/1", 48.84)</f>
        <v>48.84</v>
      </c>
      <c r="E14676" s="2">
        <v>27.24</v>
      </c>
      <c r="F14676" s="2">
        <v>3</v>
      </c>
      <c r="G14676" s="2" t="s">
        <v>11</v>
      </c>
    </row>
    <row r="14677" spans="1:9" x14ac:dyDescent="0.2">
      <c r="A14677" s="2" t="s">
        <v>3577</v>
      </c>
      <c r="B14677" s="2" t="s">
        <v>2353</v>
      </c>
      <c r="C14677" s="2">
        <v>1070.405</v>
      </c>
      <c r="D14677" s="2">
        <f>HYPERLINK("http://mcb-m6.bioreg.kyushu-u.ac.jp/M3/20110414/F50943/3430/1", 49.49)</f>
        <v>49.49</v>
      </c>
      <c r="E14677" s="2">
        <v>43.69</v>
      </c>
      <c r="F14677" s="2">
        <v>2</v>
      </c>
      <c r="G14677" s="2" t="s">
        <v>11</v>
      </c>
      <c r="I14677" s="2" t="s">
        <v>4903</v>
      </c>
    </row>
    <row r="14678" spans="1:9" x14ac:dyDescent="0.2">
      <c r="A14678" s="2" t="s">
        <v>3577</v>
      </c>
      <c r="B14678" s="2" t="s">
        <v>455</v>
      </c>
      <c r="C14678" s="2">
        <v>474.71609999999998</v>
      </c>
      <c r="D14678" s="2">
        <f>HYPERLINK("http://mcb-m6.bioreg.kyushu-u.ac.jp/M3/20110414/F50943/856/1", 49.66)</f>
        <v>49.66</v>
      </c>
      <c r="E14678" s="2">
        <v>20.76</v>
      </c>
      <c r="F14678" s="2">
        <v>2</v>
      </c>
      <c r="G14678" s="2" t="s">
        <v>11</v>
      </c>
    </row>
    <row r="14679" spans="1:9" x14ac:dyDescent="0.2">
      <c r="A14679" s="2" t="s">
        <v>3577</v>
      </c>
      <c r="B14679" s="2" t="s">
        <v>1116</v>
      </c>
      <c r="C14679" s="2">
        <v>715.71510000000001</v>
      </c>
      <c r="D14679" s="2">
        <f>HYPERLINK("http://mcb-m6.bioreg.kyushu-u.ac.jp/M3/20110414/F50957/1719/1", 49.77)</f>
        <v>49.77</v>
      </c>
      <c r="E14679" s="2">
        <v>7.72</v>
      </c>
      <c r="F14679" s="2">
        <v>2</v>
      </c>
      <c r="G14679" s="2" t="s">
        <v>11</v>
      </c>
    </row>
    <row r="14680" spans="1:9" x14ac:dyDescent="0.2">
      <c r="A14680" s="2" t="s">
        <v>3577</v>
      </c>
      <c r="B14680" s="2" t="s">
        <v>2418</v>
      </c>
      <c r="C14680" s="2">
        <v>858.44119999999998</v>
      </c>
      <c r="D14680" s="2">
        <f>HYPERLINK("http://mcb-m6.bioreg.kyushu-u.ac.jp/M3/20110414/F50943/4097/1", 59.79)</f>
        <v>59.79</v>
      </c>
      <c r="E14680" s="2">
        <v>49.2</v>
      </c>
      <c r="F14680" s="2">
        <v>3</v>
      </c>
      <c r="G14680" s="2" t="s">
        <v>11</v>
      </c>
      <c r="I14680" s="2" t="s">
        <v>4922</v>
      </c>
    </row>
    <row r="14681" spans="1:9" x14ac:dyDescent="0.2">
      <c r="A14681" s="2" t="s">
        <v>3577</v>
      </c>
      <c r="B14681" s="2" t="s">
        <v>1425</v>
      </c>
      <c r="C14681" s="2">
        <v>844.68409999999994</v>
      </c>
      <c r="D14681" s="2">
        <f>HYPERLINK("http://mcb-m6.bioreg.kyushu-u.ac.jp/M3/20110414/F50943/2452/1", 61.73)</f>
        <v>61.73</v>
      </c>
      <c r="E14681" s="2">
        <v>54.43</v>
      </c>
      <c r="F14681" s="2">
        <v>2</v>
      </c>
      <c r="G14681" s="2" t="s">
        <v>11</v>
      </c>
    </row>
    <row r="14682" spans="1:9" x14ac:dyDescent="0.2">
      <c r="A14682" s="2" t="s">
        <v>3577</v>
      </c>
      <c r="B14682" s="2" t="s">
        <v>1114</v>
      </c>
      <c r="C14682" s="2">
        <v>964.33069999999998</v>
      </c>
      <c r="D14682" s="2">
        <f>HYPERLINK("http://mcb-m6.bioreg.kyushu-u.ac.jp/M3/20110414/F50943/3027/1", 64.5)</f>
        <v>64.5</v>
      </c>
      <c r="E14682" s="2">
        <v>47.47</v>
      </c>
      <c r="F14682" s="2">
        <v>2</v>
      </c>
      <c r="G14682" s="2" t="s">
        <v>11</v>
      </c>
    </row>
    <row r="14683" spans="1:9" x14ac:dyDescent="0.2">
      <c r="A14683" s="2" t="s">
        <v>3577</v>
      </c>
      <c r="B14683" s="2" t="s">
        <v>1381</v>
      </c>
      <c r="C14683" s="2">
        <v>779.92520000000002</v>
      </c>
      <c r="D14683" s="2">
        <f>HYPERLINK("http://mcb-m6.bioreg.kyushu-u.ac.jp/M3/20110414/F50943/2130/1", 65.45)</f>
        <v>65.45</v>
      </c>
      <c r="E14683" s="2">
        <v>38.65</v>
      </c>
      <c r="F14683" s="2">
        <v>2</v>
      </c>
      <c r="G14683" s="2" t="s">
        <v>11</v>
      </c>
    </row>
    <row r="14684" spans="1:9" x14ac:dyDescent="0.2">
      <c r="A14684" s="2" t="s">
        <v>3577</v>
      </c>
      <c r="B14684" s="2" t="s">
        <v>2459</v>
      </c>
      <c r="C14684" s="2">
        <v>1087.431</v>
      </c>
      <c r="D14684" s="2">
        <f>HYPERLINK("http://mcb-m6.bioreg.kyushu-u.ac.jp/M3/20110414/F50957/4929/1", 69.46)</f>
        <v>69.459999999999994</v>
      </c>
      <c r="E14684" s="2">
        <v>49.32</v>
      </c>
      <c r="F14684" s="2">
        <v>3</v>
      </c>
      <c r="G14684" s="2" t="s">
        <v>11</v>
      </c>
      <c r="I14684" s="2" t="s">
        <v>4926</v>
      </c>
    </row>
    <row r="14685" spans="1:9" x14ac:dyDescent="0.2">
      <c r="A14685" s="2" t="s">
        <v>3577</v>
      </c>
      <c r="B14685" s="2" t="s">
        <v>869</v>
      </c>
      <c r="C14685" s="2">
        <v>1025.405</v>
      </c>
      <c r="D14685" s="2">
        <f>HYPERLINK("http://mcb-m6.bioreg.kyushu-u.ac.jp/M3/20110414/F50943/4476/1", 71.58)</f>
        <v>71.58</v>
      </c>
      <c r="E14685" s="2">
        <v>51.67</v>
      </c>
      <c r="F14685" s="2">
        <v>3</v>
      </c>
      <c r="G14685" s="2" t="s">
        <v>11</v>
      </c>
    </row>
    <row r="14686" spans="1:9" x14ac:dyDescent="0.2">
      <c r="A14686" s="2" t="s">
        <v>3577</v>
      </c>
      <c r="B14686" s="2" t="s">
        <v>1161</v>
      </c>
      <c r="C14686" s="2">
        <v>1040.4169999999999</v>
      </c>
      <c r="D14686" s="2">
        <f>HYPERLINK("http://mcb-m6.bioreg.kyushu-u.ac.jp/M3/20110414/F50957/3695/1", 73.71)</f>
        <v>73.709999999999994</v>
      </c>
      <c r="E14686" s="2">
        <v>60.38</v>
      </c>
      <c r="F14686" s="2">
        <v>2</v>
      </c>
      <c r="G14686" s="2" t="s">
        <v>11</v>
      </c>
    </row>
    <row r="14687" spans="1:9" x14ac:dyDescent="0.2">
      <c r="A14687" s="2" t="s">
        <v>3577</v>
      </c>
      <c r="B14687" s="2" t="s">
        <v>1161</v>
      </c>
      <c r="C14687" s="2">
        <v>1040.57</v>
      </c>
      <c r="D14687" s="2">
        <f>HYPERLINK("http://mcb-m6.bioreg.kyushu-u.ac.jp/M3/20110414/F50943/3339/1", 76.35)</f>
        <v>76.349999999999994</v>
      </c>
      <c r="E14687" s="2">
        <v>62.1</v>
      </c>
      <c r="F14687" s="2">
        <v>2</v>
      </c>
      <c r="G14687" s="2" t="s">
        <v>11</v>
      </c>
    </row>
    <row r="14688" spans="1:9" x14ac:dyDescent="0.2">
      <c r="A14688" s="2" t="s">
        <v>3577</v>
      </c>
      <c r="B14688" s="2" t="s">
        <v>1381</v>
      </c>
      <c r="C14688" s="2">
        <v>780.26869999999997</v>
      </c>
      <c r="D14688" s="2">
        <f>HYPERLINK("http://mcb-m6.bioreg.kyushu-u.ac.jp/M3/20110414/F50943/2134/1", 76.8)</f>
        <v>76.8</v>
      </c>
      <c r="E14688" s="2">
        <v>56.72</v>
      </c>
      <c r="F14688" s="2">
        <v>2</v>
      </c>
      <c r="G14688" s="2" t="s">
        <v>11</v>
      </c>
    </row>
    <row r="14689" spans="1:9" x14ac:dyDescent="0.2">
      <c r="A14689" s="2" t="s">
        <v>3577</v>
      </c>
      <c r="B14689" s="2" t="s">
        <v>1116</v>
      </c>
      <c r="C14689" s="2">
        <v>715.85820000000001</v>
      </c>
      <c r="D14689" s="2">
        <f>HYPERLINK("http://mcb-m6.bioreg.kyushu-u.ac.jp/M3/20110414/F50943/1723/1", 81.38)</f>
        <v>81.38</v>
      </c>
      <c r="E14689" s="2">
        <v>62.02</v>
      </c>
      <c r="F14689" s="2">
        <v>2</v>
      </c>
      <c r="G14689" s="2" t="s">
        <v>11</v>
      </c>
    </row>
    <row r="14690" spans="1:9" x14ac:dyDescent="0.2">
      <c r="A14690" s="2" t="s">
        <v>3577</v>
      </c>
      <c r="B14690" s="2" t="s">
        <v>1161</v>
      </c>
      <c r="C14690" s="2">
        <v>1039.8869999999999</v>
      </c>
      <c r="D14690" s="2">
        <f>HYPERLINK("http://mcb-m6.bioreg.kyushu-u.ac.jp/M3/20110414/F50957/3691/1", 82.4)</f>
        <v>82.4</v>
      </c>
      <c r="E14690" s="2">
        <v>65.87</v>
      </c>
      <c r="F14690" s="2">
        <v>2</v>
      </c>
      <c r="G14690" s="2" t="s">
        <v>11</v>
      </c>
    </row>
    <row r="14691" spans="1:9" x14ac:dyDescent="0.2">
      <c r="A14691" s="2" t="s">
        <v>3577</v>
      </c>
      <c r="B14691" s="2" t="s">
        <v>869</v>
      </c>
      <c r="C14691" s="2">
        <v>1025.492</v>
      </c>
      <c r="D14691" s="2">
        <f>HYPERLINK("http://mcb-m6.bioreg.kyushu-u.ac.jp/M3/20110414/F50957/4892/1", 85.5)</f>
        <v>85.5</v>
      </c>
      <c r="E14691" s="2">
        <v>66.36</v>
      </c>
      <c r="F14691" s="2">
        <v>3</v>
      </c>
      <c r="G14691" s="2" t="s">
        <v>11</v>
      </c>
    </row>
    <row r="14692" spans="1:9" x14ac:dyDescent="0.2">
      <c r="A14692" s="2" t="s">
        <v>3577</v>
      </c>
      <c r="B14692" s="2" t="s">
        <v>2459</v>
      </c>
      <c r="C14692" s="2">
        <v>1087.672</v>
      </c>
      <c r="D14692" s="2">
        <f>HYPERLINK("http://mcb-m6.bioreg.kyushu-u.ac.jp/M3/20110414/F50943/4528/1", 89.18)</f>
        <v>89.18</v>
      </c>
      <c r="E14692" s="2">
        <v>74.83</v>
      </c>
      <c r="F14692" s="2">
        <v>3</v>
      </c>
      <c r="G14692" s="2" t="s">
        <v>11</v>
      </c>
      <c r="I14692" s="2" t="s">
        <v>4926</v>
      </c>
    </row>
    <row r="14693" spans="1:9" x14ac:dyDescent="0.2">
      <c r="A14693" s="2" t="s">
        <v>3577</v>
      </c>
      <c r="B14693" s="2" t="s">
        <v>1425</v>
      </c>
      <c r="C14693" s="2">
        <v>844.44920000000002</v>
      </c>
      <c r="D14693" s="2">
        <f>HYPERLINK("http://mcb-m6.bioreg.kyushu-u.ac.jp/M3/20110414/F50943/2448/1", 94.43)</f>
        <v>94.43</v>
      </c>
      <c r="E14693" s="2">
        <v>83.45</v>
      </c>
      <c r="F14693" s="2">
        <v>2</v>
      </c>
      <c r="G14693" s="2" t="s">
        <v>11</v>
      </c>
    </row>
    <row r="14694" spans="1:9" x14ac:dyDescent="0.2">
      <c r="A14694" s="2" t="s">
        <v>3577</v>
      </c>
      <c r="B14694" s="2" t="s">
        <v>1381</v>
      </c>
      <c r="C14694" s="2">
        <v>779.65970000000004</v>
      </c>
      <c r="D14694" s="2">
        <f>HYPERLINK("http://mcb-m6.bioreg.kyushu-u.ac.jp/M3/20110414/F50957/2140/1", 101.5)</f>
        <v>101.5</v>
      </c>
      <c r="E14694" s="2">
        <v>82.42</v>
      </c>
      <c r="F14694" s="2">
        <v>2</v>
      </c>
      <c r="G14694" s="2" t="s">
        <v>11</v>
      </c>
    </row>
    <row r="14695" spans="1:9" x14ac:dyDescent="0.2">
      <c r="A14695" s="2" t="s">
        <v>3577</v>
      </c>
      <c r="B14695" s="2" t="s">
        <v>1425</v>
      </c>
      <c r="C14695" s="2">
        <v>844.61869999999999</v>
      </c>
      <c r="D14695" s="2">
        <f>HYPERLINK("http://mcb-m6.bioreg.kyushu-u.ac.jp/M3/20110414/F50943/2451/1", 102.68)</f>
        <v>102.68</v>
      </c>
      <c r="E14695" s="2">
        <v>90.64</v>
      </c>
      <c r="F14695" s="2">
        <v>2</v>
      </c>
      <c r="G14695" s="2" t="s">
        <v>11</v>
      </c>
    </row>
    <row r="14696" spans="1:9" x14ac:dyDescent="0.2">
      <c r="A14696" s="2" t="s">
        <v>3577</v>
      </c>
      <c r="B14696" s="2" t="s">
        <v>869</v>
      </c>
      <c r="C14696" s="2">
        <v>1537.6669999999999</v>
      </c>
      <c r="D14696" s="2">
        <f>HYPERLINK("http://mcb-m6.bioreg.kyushu-u.ac.jp/M3/20110414/F50943/4477/1", 109.56)</f>
        <v>109.56</v>
      </c>
      <c r="E14696" s="2">
        <v>94.79</v>
      </c>
      <c r="F14696" s="2">
        <v>2</v>
      </c>
      <c r="G14696" s="2" t="s">
        <v>11</v>
      </c>
    </row>
    <row r="14697" spans="1:9" x14ac:dyDescent="0.2">
      <c r="A14697" s="2" t="s">
        <v>3577</v>
      </c>
      <c r="B14697" s="2" t="s">
        <v>2514</v>
      </c>
      <c r="C14697" s="2">
        <v>1247.857</v>
      </c>
      <c r="D14697" s="2">
        <f>HYPERLINK("http://mcb-m6.bioreg.kyushu-u.ac.jp/M3/20110414/F50943/4010/1", 111.03)</f>
        <v>111.03</v>
      </c>
      <c r="E14697" s="2">
        <v>99.74</v>
      </c>
      <c r="F14697" s="2">
        <v>2</v>
      </c>
      <c r="G14697" s="2" t="s">
        <v>11</v>
      </c>
      <c r="I14697" s="2" t="s">
        <v>4923</v>
      </c>
    </row>
    <row r="14698" spans="1:9" x14ac:dyDescent="0.2">
      <c r="A14698" s="2" t="s">
        <v>3577</v>
      </c>
      <c r="B14698" s="2" t="s">
        <v>1049</v>
      </c>
      <c r="C14698" s="2">
        <v>1202.4090000000001</v>
      </c>
      <c r="D14698" s="2">
        <f>HYPERLINK("http://mcb-m6.bioreg.kyushu-u.ac.jp/M3/20110414/F50943/3914/1", 122.17)</f>
        <v>122.17</v>
      </c>
      <c r="E14698" s="2">
        <v>109.86</v>
      </c>
      <c r="F14698" s="2">
        <v>2</v>
      </c>
      <c r="G14698" s="2" t="s">
        <v>11</v>
      </c>
    </row>
    <row r="14699" spans="1:9" x14ac:dyDescent="0.2">
      <c r="A14699" s="2" t="s">
        <v>3577</v>
      </c>
      <c r="B14699" s="2" t="s">
        <v>2516</v>
      </c>
      <c r="C14699" s="2">
        <v>1018.859</v>
      </c>
      <c r="D14699" s="2">
        <f>HYPERLINK("http://mcb-m6.bioreg.kyushu-u.ac.jp/M3/20110414/F50943/3255/1", 132.72)</f>
        <v>132.72</v>
      </c>
      <c r="E14699" s="2">
        <v>115.6</v>
      </c>
      <c r="F14699" s="2">
        <v>2</v>
      </c>
      <c r="G14699" s="2" t="s">
        <v>11</v>
      </c>
      <c r="I14699" s="2" t="s">
        <v>4893</v>
      </c>
    </row>
    <row r="14700" spans="1:9" x14ac:dyDescent="0.2">
      <c r="A14700" s="2" t="s">
        <v>3577</v>
      </c>
      <c r="B14700" s="2" t="s">
        <v>1049</v>
      </c>
      <c r="C14700" s="2">
        <v>1201.875</v>
      </c>
      <c r="D14700" s="2">
        <f>HYPERLINK("http://mcb-m6.bioreg.kyushu-u.ac.jp/M3/20110414/F50943/3911/1", 147.75)</f>
        <v>147.75</v>
      </c>
      <c r="E14700" s="2">
        <v>133.03</v>
      </c>
      <c r="F14700" s="2">
        <v>2</v>
      </c>
      <c r="G14700" s="2" t="s">
        <v>11</v>
      </c>
    </row>
    <row r="14701" spans="1:9" x14ac:dyDescent="0.2">
      <c r="A14701" s="2" t="s">
        <v>3577</v>
      </c>
      <c r="B14701" s="2" t="s">
        <v>455</v>
      </c>
      <c r="C14701" s="2">
        <v>474.53660000000002</v>
      </c>
      <c r="D14701" s="2">
        <f>HYPERLINK("http://mcb-m6.bioreg.kyushu-u.ac.jp/M3/20110414/F50949/1658/1", 41.39)</f>
        <v>41.39</v>
      </c>
      <c r="E14701" s="2">
        <v>10.96</v>
      </c>
      <c r="F14701" s="2">
        <v>2</v>
      </c>
      <c r="G14701" s="2" t="s">
        <v>12</v>
      </c>
    </row>
    <row r="14702" spans="1:9" x14ac:dyDescent="0.2">
      <c r="A14702" s="2" t="s">
        <v>3577</v>
      </c>
      <c r="B14702" s="2" t="s">
        <v>455</v>
      </c>
      <c r="C14702" s="2">
        <v>948.11699999999996</v>
      </c>
      <c r="D14702" s="2">
        <f>HYPERLINK("http://mcb-m6.bioreg.kyushu-u.ac.jp/M3/20110414/F50949/1659/1", 44.88)</f>
        <v>44.88</v>
      </c>
      <c r="E14702" s="2">
        <v>19.84</v>
      </c>
      <c r="F14702" s="2">
        <v>1</v>
      </c>
      <c r="G14702" s="2" t="s">
        <v>12</v>
      </c>
    </row>
    <row r="14703" spans="1:9" x14ac:dyDescent="0.2">
      <c r="A14703" s="2" t="s">
        <v>3577</v>
      </c>
      <c r="B14703" s="2" t="s">
        <v>1116</v>
      </c>
      <c r="C14703" s="2">
        <v>715.70719999999994</v>
      </c>
      <c r="D14703" s="2">
        <f>HYPERLINK("http://mcb-m6.bioreg.kyushu-u.ac.jp/M3/20110414/F50959/1692/1", 48.38)</f>
        <v>48.38</v>
      </c>
      <c r="E14703" s="2">
        <v>30.73</v>
      </c>
      <c r="F14703" s="2">
        <v>2</v>
      </c>
      <c r="G14703" s="2" t="s">
        <v>12</v>
      </c>
    </row>
    <row r="14704" spans="1:9" x14ac:dyDescent="0.2">
      <c r="A14704" s="2" t="s">
        <v>3577</v>
      </c>
      <c r="B14704" s="2" t="s">
        <v>1161</v>
      </c>
      <c r="C14704" s="2">
        <v>693.76949999999999</v>
      </c>
      <c r="D14704" s="2">
        <f>HYPERLINK("http://mcb-m6.bioreg.kyushu-u.ac.jp/M3/20110414/F50959/3776/1", 50.47)</f>
        <v>50.47</v>
      </c>
      <c r="E14704" s="2">
        <v>32.659999999999997</v>
      </c>
      <c r="F14704" s="2">
        <v>3</v>
      </c>
      <c r="G14704" s="2" t="s">
        <v>12</v>
      </c>
    </row>
    <row r="14705" spans="1:9" x14ac:dyDescent="0.2">
      <c r="A14705" s="2" t="s">
        <v>3577</v>
      </c>
      <c r="B14705" s="2" t="s">
        <v>1116</v>
      </c>
      <c r="C14705" s="2">
        <v>715.32510000000002</v>
      </c>
      <c r="D14705" s="2">
        <f>HYPERLINK("http://mcb-m6.bioreg.kyushu-u.ac.jp/M3/20110414/F50949/2078/1", 58.68)</f>
        <v>58.68</v>
      </c>
      <c r="E14705" s="2">
        <v>33.159999999999997</v>
      </c>
      <c r="F14705" s="2">
        <v>2</v>
      </c>
      <c r="G14705" s="2" t="s">
        <v>12</v>
      </c>
    </row>
    <row r="14706" spans="1:9" x14ac:dyDescent="0.2">
      <c r="A14706" s="2" t="s">
        <v>3577</v>
      </c>
      <c r="B14706" s="2" t="s">
        <v>869</v>
      </c>
      <c r="C14706" s="2">
        <v>1025.537</v>
      </c>
      <c r="D14706" s="2">
        <f>HYPERLINK("http://mcb-m6.bioreg.kyushu-u.ac.jp/M3/20110414/F50959/5047/1", 66.45)</f>
        <v>66.45</v>
      </c>
      <c r="E14706" s="2">
        <v>46.67</v>
      </c>
      <c r="F14706" s="2">
        <v>3</v>
      </c>
      <c r="G14706" s="2" t="s">
        <v>12</v>
      </c>
    </row>
    <row r="14707" spans="1:9" x14ac:dyDescent="0.2">
      <c r="A14707" s="2" t="s">
        <v>3577</v>
      </c>
      <c r="B14707" s="2" t="s">
        <v>1161</v>
      </c>
      <c r="C14707" s="2">
        <v>1039.9659999999999</v>
      </c>
      <c r="D14707" s="2">
        <f>HYPERLINK("http://mcb-m6.bioreg.kyushu-u.ac.jp/M3/20110414/F50959/3775/1", 77)</f>
        <v>77</v>
      </c>
      <c r="E14707" s="2">
        <v>65.89</v>
      </c>
      <c r="F14707" s="2">
        <v>2</v>
      </c>
      <c r="G14707" s="2" t="s">
        <v>12</v>
      </c>
    </row>
    <row r="14708" spans="1:9" x14ac:dyDescent="0.2">
      <c r="A14708" s="2" t="s">
        <v>3577</v>
      </c>
      <c r="B14708" s="2" t="s">
        <v>1381</v>
      </c>
      <c r="C14708" s="2">
        <v>780.16020000000003</v>
      </c>
      <c r="D14708" s="2">
        <f>HYPERLINK("http://mcb-m6.bioreg.kyushu-u.ac.jp/M3/20110414/F50959/2141/1", 86.24)</f>
        <v>86.24</v>
      </c>
      <c r="E14708" s="2">
        <v>66.52</v>
      </c>
      <c r="F14708" s="2">
        <v>2</v>
      </c>
      <c r="G14708" s="2" t="s">
        <v>12</v>
      </c>
    </row>
    <row r="14709" spans="1:9" x14ac:dyDescent="0.2">
      <c r="A14709" s="2" t="s">
        <v>3577</v>
      </c>
      <c r="B14709" s="2" t="s">
        <v>2459</v>
      </c>
      <c r="C14709" s="2">
        <v>1087.855</v>
      </c>
      <c r="D14709" s="2">
        <f>HYPERLINK("http://mcb-m6.bioreg.kyushu-u.ac.jp/M3/20110414/F50959/5082/1", 98.6)</f>
        <v>98.6</v>
      </c>
      <c r="E14709" s="2">
        <v>87.24</v>
      </c>
      <c r="F14709" s="2">
        <v>3</v>
      </c>
      <c r="G14709" s="2" t="s">
        <v>12</v>
      </c>
      <c r="I14709" s="2" t="s">
        <v>4926</v>
      </c>
    </row>
    <row r="14710" spans="1:9" x14ac:dyDescent="0.2">
      <c r="A14710" s="2" t="s">
        <v>3577</v>
      </c>
      <c r="B14710" s="2" t="s">
        <v>1116</v>
      </c>
      <c r="C14710" s="2">
        <v>715.69920000000002</v>
      </c>
      <c r="D14710" s="2">
        <f>HYPERLINK("http://mcb-m6.bioreg.kyushu-u.ac.jp/M3/20110414/F50949/2081/1", 104.31)</f>
        <v>104.31</v>
      </c>
      <c r="E14710" s="2">
        <v>70.98</v>
      </c>
      <c r="F14710" s="2">
        <v>2</v>
      </c>
      <c r="G14710" s="2" t="s">
        <v>12</v>
      </c>
    </row>
    <row r="14711" spans="1:9" x14ac:dyDescent="0.2">
      <c r="A14711" s="2" t="s">
        <v>3577</v>
      </c>
      <c r="B14711" s="2" t="s">
        <v>869</v>
      </c>
      <c r="C14711" s="2">
        <v>1024.922</v>
      </c>
      <c r="D14711" s="2">
        <f>HYPERLINK("http://mcb-m6.bioreg.kyushu-u.ac.jp/M3/20110414/F50959/5044/1", 108.8)</f>
        <v>108.8</v>
      </c>
      <c r="E14711" s="2">
        <v>100.51</v>
      </c>
      <c r="F14711" s="2">
        <v>3</v>
      </c>
      <c r="G14711" s="2" t="s">
        <v>12</v>
      </c>
    </row>
    <row r="14712" spans="1:9" x14ac:dyDescent="0.2">
      <c r="A14712" s="2" t="s">
        <v>3577</v>
      </c>
      <c r="B14712" s="2" t="s">
        <v>1049</v>
      </c>
      <c r="C14712" s="2">
        <v>1201.9349999999999</v>
      </c>
      <c r="D14712" s="2">
        <f>HYPERLINK("http://mcb-m6.bioreg.kyushu-u.ac.jp/M3/20110414/F50950/4049/1", 147.26)</f>
        <v>147.26</v>
      </c>
      <c r="E14712" s="2">
        <v>122.42</v>
      </c>
      <c r="F14712" s="2">
        <v>2</v>
      </c>
      <c r="G14712" s="2" t="s">
        <v>12</v>
      </c>
    </row>
    <row r="14713" spans="1:9" x14ac:dyDescent="0.2">
      <c r="A14713" s="2" t="s">
        <v>3577</v>
      </c>
      <c r="B14713" s="2" t="s">
        <v>1049</v>
      </c>
      <c r="C14713" s="2">
        <v>1201.904</v>
      </c>
      <c r="D14713" s="2">
        <f>HYPERLINK("http://mcb-m6.bioreg.kyushu-u.ac.jp/M3/20110414/F50949/2824/1", 153.75)</f>
        <v>153.75</v>
      </c>
      <c r="E14713" s="2">
        <v>138.44</v>
      </c>
      <c r="F14713" s="2">
        <v>2</v>
      </c>
      <c r="G14713" s="2" t="s">
        <v>12</v>
      </c>
    </row>
    <row r="14714" spans="1:9" x14ac:dyDescent="0.2">
      <c r="A14714" s="2" t="s">
        <v>3577</v>
      </c>
      <c r="B14714" s="2" t="s">
        <v>455</v>
      </c>
      <c r="C14714" s="2">
        <v>948.69299999999998</v>
      </c>
      <c r="D14714" s="2">
        <f>HYPERLINK("http://mcb-m6.bioreg.kyushu-u.ac.jp/M3/20110502/F51173/520/1", 38.51)</f>
        <v>38.51</v>
      </c>
      <c r="E14714" s="2">
        <v>19.239999999999998</v>
      </c>
      <c r="F14714" s="2">
        <v>1</v>
      </c>
      <c r="G14714" s="2" t="s">
        <v>13</v>
      </c>
    </row>
    <row r="14715" spans="1:9" x14ac:dyDescent="0.2">
      <c r="A14715" s="2" t="s">
        <v>3577</v>
      </c>
      <c r="B14715" s="2" t="s">
        <v>1161</v>
      </c>
      <c r="C14715" s="2">
        <v>693.87819999999999</v>
      </c>
      <c r="D14715" s="2">
        <f>HYPERLINK("http://mcb-m6.bioreg.kyushu-u.ac.jp/M3/20110502/F51173/3341/1", 48.24)</f>
        <v>48.24</v>
      </c>
      <c r="E14715" s="2">
        <v>30.62</v>
      </c>
      <c r="F14715" s="2">
        <v>3</v>
      </c>
      <c r="G14715" s="2" t="s">
        <v>13</v>
      </c>
    </row>
    <row r="14716" spans="1:9" x14ac:dyDescent="0.2">
      <c r="A14716" s="2" t="s">
        <v>3577</v>
      </c>
      <c r="B14716" s="2" t="s">
        <v>1112</v>
      </c>
      <c r="C14716" s="2">
        <v>659.14919999999995</v>
      </c>
      <c r="D14716" s="2">
        <f>HYPERLINK("http://mcb-m6.bioreg.kyushu-u.ac.jp/M3/20110502/F51173/1321/1", 61.01)</f>
        <v>61.01</v>
      </c>
      <c r="E14716" s="2">
        <v>47.66</v>
      </c>
      <c r="F14716" s="2">
        <v>2</v>
      </c>
      <c r="G14716" s="2" t="s">
        <v>13</v>
      </c>
    </row>
    <row r="14717" spans="1:9" x14ac:dyDescent="0.2">
      <c r="A14717" s="2" t="s">
        <v>3577</v>
      </c>
      <c r="B14717" s="2" t="s">
        <v>455</v>
      </c>
      <c r="C14717" s="2">
        <v>474.91359999999997</v>
      </c>
      <c r="D14717" s="2">
        <f>HYPERLINK("http://mcb-m6.bioreg.kyushu-u.ac.jp/M3/20110502/F51173/522/1", 65.76)</f>
        <v>65.760000000000005</v>
      </c>
      <c r="E14717" s="2">
        <v>35.85</v>
      </c>
      <c r="F14717" s="2">
        <v>2</v>
      </c>
      <c r="G14717" s="2" t="s">
        <v>13</v>
      </c>
    </row>
    <row r="14718" spans="1:9" x14ac:dyDescent="0.2">
      <c r="A14718" s="2" t="s">
        <v>3577</v>
      </c>
      <c r="B14718" s="2" t="s">
        <v>2946</v>
      </c>
      <c r="C14718" s="2">
        <v>757.67110000000002</v>
      </c>
      <c r="D14718" s="2">
        <f>HYPERLINK("http://mcb-m6.bioreg.kyushu-u.ac.jp/M3/20110502/F51173/1905/1", 67.07)</f>
        <v>67.069999999999993</v>
      </c>
      <c r="E14718" s="2">
        <v>34.5</v>
      </c>
      <c r="F14718" s="2">
        <v>2</v>
      </c>
      <c r="G14718" s="2" t="s">
        <v>13</v>
      </c>
    </row>
    <row r="14719" spans="1:9" x14ac:dyDescent="0.2">
      <c r="A14719" s="2" t="s">
        <v>3577</v>
      </c>
      <c r="B14719" s="2" t="s">
        <v>1381</v>
      </c>
      <c r="C14719" s="2">
        <v>780.05219999999997</v>
      </c>
      <c r="D14719" s="2">
        <f>HYPERLINK("http://mcb-m6.bioreg.kyushu-u.ac.jp/M3/20110502/F51175/2078/1", 67.17)</f>
        <v>67.17</v>
      </c>
      <c r="E14719" s="2">
        <v>40.06</v>
      </c>
      <c r="F14719" s="2">
        <v>2</v>
      </c>
      <c r="G14719" s="2" t="s">
        <v>13</v>
      </c>
    </row>
    <row r="14720" spans="1:9" x14ac:dyDescent="0.2">
      <c r="A14720" s="2" t="s">
        <v>3577</v>
      </c>
      <c r="B14720" s="2" t="s">
        <v>1425</v>
      </c>
      <c r="C14720" s="2">
        <v>844.63070000000005</v>
      </c>
      <c r="D14720" s="2">
        <f>HYPERLINK("http://mcb-m6.bioreg.kyushu-u.ac.jp/M3/20110502/F51175/2317/1", 70.9)</f>
        <v>70.900000000000006</v>
      </c>
      <c r="E14720" s="2">
        <v>46.96</v>
      </c>
      <c r="F14720" s="2">
        <v>2</v>
      </c>
      <c r="G14720" s="2" t="s">
        <v>13</v>
      </c>
    </row>
    <row r="14721" spans="1:9" x14ac:dyDescent="0.2">
      <c r="A14721" s="2" t="s">
        <v>3577</v>
      </c>
      <c r="B14721" s="2" t="s">
        <v>1425</v>
      </c>
      <c r="C14721" s="2">
        <v>563.49080000000004</v>
      </c>
      <c r="D14721" s="2">
        <f>HYPERLINK("http://mcb-m6.bioreg.kyushu-u.ac.jp/M3/20110502/F51173/2441/1", 80.15)</f>
        <v>80.150000000000006</v>
      </c>
      <c r="E14721" s="2">
        <v>58.23</v>
      </c>
      <c r="F14721" s="2">
        <v>3</v>
      </c>
      <c r="G14721" s="2" t="s">
        <v>13</v>
      </c>
    </row>
    <row r="14722" spans="1:9" x14ac:dyDescent="0.2">
      <c r="A14722" s="2" t="s">
        <v>3577</v>
      </c>
      <c r="B14722" s="2" t="s">
        <v>1116</v>
      </c>
      <c r="C14722" s="2">
        <v>716.01210000000003</v>
      </c>
      <c r="D14722" s="2">
        <f>HYPERLINK("http://mcb-m6.bioreg.kyushu-u.ac.jp/M3/20110502/F51173/1652/1", 85.98)</f>
        <v>85.98</v>
      </c>
      <c r="E14722" s="2">
        <v>56.77</v>
      </c>
      <c r="F14722" s="2">
        <v>2</v>
      </c>
      <c r="G14722" s="2" t="s">
        <v>13</v>
      </c>
    </row>
    <row r="14723" spans="1:9" x14ac:dyDescent="0.2">
      <c r="A14723" s="2" t="s">
        <v>3577</v>
      </c>
      <c r="B14723" s="2" t="s">
        <v>1161</v>
      </c>
      <c r="C14723" s="2">
        <v>1040.316</v>
      </c>
      <c r="D14723" s="2">
        <f>HYPERLINK("http://mcb-m6.bioreg.kyushu-u.ac.jp/M3/20110502/F51173/3342/1", 90.13)</f>
        <v>90.13</v>
      </c>
      <c r="E14723" s="2">
        <v>66.98</v>
      </c>
      <c r="F14723" s="2">
        <v>2</v>
      </c>
      <c r="G14723" s="2" t="s">
        <v>13</v>
      </c>
    </row>
    <row r="14724" spans="1:9" x14ac:dyDescent="0.2">
      <c r="A14724" s="2" t="s">
        <v>3577</v>
      </c>
      <c r="B14724" s="2" t="s">
        <v>869</v>
      </c>
      <c r="C14724" s="2">
        <v>1025.3510000000001</v>
      </c>
      <c r="D14724" s="2">
        <f>HYPERLINK("http://mcb-m6.bioreg.kyushu-u.ac.jp/M3/20110502/F51173/4284/1", 90.8)</f>
        <v>90.8</v>
      </c>
      <c r="E14724" s="2">
        <v>67.19</v>
      </c>
      <c r="F14724" s="2">
        <v>3</v>
      </c>
      <c r="G14724" s="2" t="s">
        <v>13</v>
      </c>
    </row>
    <row r="14725" spans="1:9" x14ac:dyDescent="0.2">
      <c r="A14725" s="2" t="s">
        <v>3577</v>
      </c>
      <c r="B14725" s="2" t="s">
        <v>1425</v>
      </c>
      <c r="C14725" s="2">
        <v>844.6902</v>
      </c>
      <c r="D14725" s="2">
        <f>HYPERLINK("http://mcb-m6.bioreg.kyushu-u.ac.jp/M3/20110502/F51173/2440/1", 96.59)</f>
        <v>96.59</v>
      </c>
      <c r="E14725" s="2">
        <v>77.19</v>
      </c>
      <c r="F14725" s="2">
        <v>2</v>
      </c>
      <c r="G14725" s="2" t="s">
        <v>13</v>
      </c>
    </row>
    <row r="14726" spans="1:9" x14ac:dyDescent="0.2">
      <c r="A14726" s="2" t="s">
        <v>3577</v>
      </c>
      <c r="B14726" s="2" t="s">
        <v>2353</v>
      </c>
      <c r="C14726" s="2">
        <v>1070.663</v>
      </c>
      <c r="D14726" s="2">
        <f>HYPERLINK("http://mcb-m6.bioreg.kyushu-u.ac.jp/M3/20110502/F51173/3424/1", 110.3)</f>
        <v>110.3</v>
      </c>
      <c r="E14726" s="2">
        <v>90.89</v>
      </c>
      <c r="F14726" s="2">
        <v>2</v>
      </c>
      <c r="G14726" s="2" t="s">
        <v>13</v>
      </c>
      <c r="I14726" s="2" t="s">
        <v>4903</v>
      </c>
    </row>
    <row r="14727" spans="1:9" x14ac:dyDescent="0.2">
      <c r="A14727" s="2" t="s">
        <v>3577</v>
      </c>
      <c r="B14727" s="2" t="s">
        <v>2516</v>
      </c>
      <c r="C14727" s="2">
        <v>1019.145</v>
      </c>
      <c r="D14727" s="2">
        <f>HYPERLINK("http://mcb-m6.bioreg.kyushu-u.ac.jp/M3/20110502/F51173/3266/1", 132.4)</f>
        <v>132.4</v>
      </c>
      <c r="E14727" s="2">
        <v>110.85</v>
      </c>
      <c r="F14727" s="2">
        <v>2</v>
      </c>
      <c r="G14727" s="2" t="s">
        <v>13</v>
      </c>
      <c r="I14727" s="2" t="s">
        <v>4893</v>
      </c>
    </row>
    <row r="14728" spans="1:9" x14ac:dyDescent="0.2">
      <c r="A14728" s="2" t="s">
        <v>3577</v>
      </c>
      <c r="B14728" s="2" t="s">
        <v>1049</v>
      </c>
      <c r="C14728" s="2">
        <v>1202.171</v>
      </c>
      <c r="D14728" s="2">
        <f>HYPERLINK("http://mcb-m6.bioreg.kyushu-u.ac.jp/M3/20110502/F51173/3837/1", 161.17)</f>
        <v>161.16999999999999</v>
      </c>
      <c r="E14728" s="2">
        <v>147.19999999999999</v>
      </c>
      <c r="F14728" s="2">
        <v>2</v>
      </c>
      <c r="G14728" s="2" t="s">
        <v>13</v>
      </c>
    </row>
    <row r="14729" spans="1:9" x14ac:dyDescent="0.2">
      <c r="A14729" s="2" t="s">
        <v>3577</v>
      </c>
      <c r="B14729" s="2" t="s">
        <v>453</v>
      </c>
      <c r="C14729" s="2">
        <v>858.68</v>
      </c>
      <c r="D14729" s="2">
        <f>HYPERLINK("http://mcb-m6.bioreg.kyushu-u.ac.jp/M3/20110502/F51184/336/1", 37.5)</f>
        <v>37.5</v>
      </c>
      <c r="E14729" s="2">
        <v>9.6199999999999992</v>
      </c>
      <c r="F14729" s="2">
        <v>1</v>
      </c>
      <c r="G14729" s="2" t="s">
        <v>14</v>
      </c>
    </row>
    <row r="14730" spans="1:9" x14ac:dyDescent="0.2">
      <c r="A14730" s="2" t="s">
        <v>3577</v>
      </c>
      <c r="B14730" s="2" t="s">
        <v>455</v>
      </c>
      <c r="C14730" s="2">
        <v>948.721</v>
      </c>
      <c r="D14730" s="2">
        <f>HYPERLINK("http://mcb-m6.bioreg.kyushu-u.ac.jp/M3/20110502/F51184/471/1", 43.72)</f>
        <v>43.72</v>
      </c>
      <c r="E14730" s="2">
        <v>18.899999999999999</v>
      </c>
      <c r="F14730" s="2">
        <v>1</v>
      </c>
      <c r="G14730" s="2" t="s">
        <v>14</v>
      </c>
    </row>
    <row r="14731" spans="1:9" x14ac:dyDescent="0.2">
      <c r="A14731" s="2" t="s">
        <v>3577</v>
      </c>
      <c r="B14731" s="2" t="s">
        <v>1425</v>
      </c>
      <c r="C14731" s="2">
        <v>563.52020000000005</v>
      </c>
      <c r="D14731" s="2">
        <f>HYPERLINK("http://mcb-m6.bioreg.kyushu-u.ac.jp/M3/20110502/F51184/2463/1", 48.43)</f>
        <v>48.43</v>
      </c>
      <c r="E14731" s="2">
        <v>28.51</v>
      </c>
      <c r="F14731" s="2">
        <v>3</v>
      </c>
      <c r="G14731" s="2" t="s">
        <v>14</v>
      </c>
    </row>
    <row r="14732" spans="1:9" x14ac:dyDescent="0.2">
      <c r="A14732" s="2" t="s">
        <v>3577</v>
      </c>
      <c r="B14732" s="2" t="s">
        <v>1161</v>
      </c>
      <c r="C14732" s="2">
        <v>694.01949999999999</v>
      </c>
      <c r="D14732" s="2">
        <f>HYPERLINK("http://mcb-m6.bioreg.kyushu-u.ac.jp/M3/20110502/F51184/3442/1", 53.57)</f>
        <v>53.57</v>
      </c>
      <c r="E14732" s="2">
        <v>29.67</v>
      </c>
      <c r="F14732" s="2">
        <v>3</v>
      </c>
      <c r="G14732" s="2" t="s">
        <v>14</v>
      </c>
    </row>
    <row r="14733" spans="1:9" x14ac:dyDescent="0.2">
      <c r="A14733" s="2" t="s">
        <v>3577</v>
      </c>
      <c r="B14733" s="2" t="s">
        <v>1161</v>
      </c>
      <c r="C14733" s="2">
        <v>1040.3230000000001</v>
      </c>
      <c r="D14733" s="2">
        <f>HYPERLINK("http://mcb-m6.bioreg.kyushu-u.ac.jp/M3/20110502/F51184/3441/1", 67.31)</f>
        <v>67.31</v>
      </c>
      <c r="E14733" s="2">
        <v>49.93</v>
      </c>
      <c r="F14733" s="2">
        <v>2</v>
      </c>
      <c r="G14733" s="2" t="s">
        <v>14</v>
      </c>
    </row>
    <row r="14734" spans="1:9" x14ac:dyDescent="0.2">
      <c r="A14734" s="2" t="s">
        <v>3577</v>
      </c>
      <c r="B14734" s="2" t="s">
        <v>1112</v>
      </c>
      <c r="C14734" s="2">
        <v>659.03269999999998</v>
      </c>
      <c r="D14734" s="2">
        <f>HYPERLINK("http://mcb-m6.bioreg.kyushu-u.ac.jp/M3/20110502/F51184/1314/1", 68.18)</f>
        <v>68.180000000000007</v>
      </c>
      <c r="E14734" s="2">
        <v>52.26</v>
      </c>
      <c r="F14734" s="2">
        <v>2</v>
      </c>
      <c r="G14734" s="2" t="s">
        <v>14</v>
      </c>
    </row>
    <row r="14735" spans="1:9" x14ac:dyDescent="0.2">
      <c r="A14735" s="2" t="s">
        <v>3577</v>
      </c>
      <c r="B14735" s="2" t="s">
        <v>2459</v>
      </c>
      <c r="C14735" s="2">
        <v>1087.8800000000001</v>
      </c>
      <c r="D14735" s="2">
        <f>HYPERLINK("http://mcb-m6.bioreg.kyushu-u.ac.jp/M3/20110502/F51184/4413/1", 74.08)</f>
        <v>74.08</v>
      </c>
      <c r="E14735" s="2">
        <v>60.64</v>
      </c>
      <c r="F14735" s="2">
        <v>3</v>
      </c>
      <c r="G14735" s="2" t="s">
        <v>14</v>
      </c>
      <c r="I14735" s="2" t="s">
        <v>4926</v>
      </c>
    </row>
    <row r="14736" spans="1:9" x14ac:dyDescent="0.2">
      <c r="A14736" s="2" t="s">
        <v>3577</v>
      </c>
      <c r="B14736" s="2" t="s">
        <v>1425</v>
      </c>
      <c r="C14736" s="2">
        <v>844.89319999999998</v>
      </c>
      <c r="D14736" s="2">
        <f>HYPERLINK("http://mcb-m6.bioreg.kyushu-u.ac.jp/M3/20110502/F51185/2386/1", 79.42)</f>
        <v>79.42</v>
      </c>
      <c r="E14736" s="2">
        <v>53.44</v>
      </c>
      <c r="F14736" s="2">
        <v>2</v>
      </c>
      <c r="G14736" s="2" t="s">
        <v>14</v>
      </c>
    </row>
    <row r="14737" spans="1:9" x14ac:dyDescent="0.2">
      <c r="A14737" s="2" t="s">
        <v>3577</v>
      </c>
      <c r="B14737" s="2" t="s">
        <v>1381</v>
      </c>
      <c r="C14737" s="2">
        <v>780.24770000000001</v>
      </c>
      <c r="D14737" s="2">
        <f>HYPERLINK("http://mcb-m6.bioreg.kyushu-u.ac.jp/M3/20110502/F51185/2088/1", 83.96)</f>
        <v>83.96</v>
      </c>
      <c r="E14737" s="2">
        <v>51.1</v>
      </c>
      <c r="F14737" s="2">
        <v>2</v>
      </c>
      <c r="G14737" s="2" t="s">
        <v>14</v>
      </c>
    </row>
    <row r="14738" spans="1:9" x14ac:dyDescent="0.2">
      <c r="A14738" s="2" t="s">
        <v>3577</v>
      </c>
      <c r="B14738" s="2" t="s">
        <v>2353</v>
      </c>
      <c r="C14738" s="2">
        <v>1070.9649999999999</v>
      </c>
      <c r="D14738" s="2">
        <f>HYPERLINK("http://mcb-m6.bioreg.kyushu-u.ac.jp/M3/20110502/F51184/3524/1", 87.02)</f>
        <v>87.02</v>
      </c>
      <c r="E14738" s="2">
        <v>67.89</v>
      </c>
      <c r="F14738" s="2">
        <v>2</v>
      </c>
      <c r="G14738" s="2" t="s">
        <v>14</v>
      </c>
      <c r="I14738" s="2" t="s">
        <v>4903</v>
      </c>
    </row>
    <row r="14739" spans="1:9" x14ac:dyDescent="0.2">
      <c r="A14739" s="2" t="s">
        <v>3577</v>
      </c>
      <c r="B14739" s="2" t="s">
        <v>1381</v>
      </c>
      <c r="C14739" s="2">
        <v>780.15260000000001</v>
      </c>
      <c r="D14739" s="2">
        <f>HYPERLINK("http://mcb-m6.bioreg.kyushu-u.ac.jp/M3/20110502/F51184/2081/1", 87.1)</f>
        <v>87.1</v>
      </c>
      <c r="E14739" s="2">
        <v>58.63</v>
      </c>
      <c r="F14739" s="2">
        <v>2</v>
      </c>
      <c r="G14739" s="2" t="s">
        <v>14</v>
      </c>
    </row>
    <row r="14740" spans="1:9" x14ac:dyDescent="0.2">
      <c r="A14740" s="2" t="s">
        <v>3577</v>
      </c>
      <c r="B14740" s="2" t="s">
        <v>1116</v>
      </c>
      <c r="C14740" s="2">
        <v>716.35059999999999</v>
      </c>
      <c r="D14740" s="2">
        <f>HYPERLINK("http://mcb-m6.bioreg.kyushu-u.ac.jp/M3/20110502/F51184/1688/1", 92.07)</f>
        <v>92.07</v>
      </c>
      <c r="E14740" s="2">
        <v>66.64</v>
      </c>
      <c r="F14740" s="2">
        <v>2</v>
      </c>
      <c r="G14740" s="2" t="s">
        <v>14</v>
      </c>
    </row>
    <row r="14741" spans="1:9" x14ac:dyDescent="0.2">
      <c r="A14741" s="2" t="s">
        <v>3577</v>
      </c>
      <c r="B14741" s="2" t="s">
        <v>1116</v>
      </c>
      <c r="C14741" s="2">
        <v>716.09810000000004</v>
      </c>
      <c r="D14741" s="2">
        <f>HYPERLINK("http://mcb-m6.bioreg.kyushu-u.ac.jp/M3/20110502/F51185/1763/1", 93.2)</f>
        <v>93.2</v>
      </c>
      <c r="E14741" s="2">
        <v>68.7</v>
      </c>
      <c r="F14741" s="2">
        <v>2</v>
      </c>
      <c r="G14741" s="2" t="s">
        <v>14</v>
      </c>
    </row>
    <row r="14742" spans="1:9" x14ac:dyDescent="0.2">
      <c r="A14742" s="2" t="s">
        <v>3577</v>
      </c>
      <c r="B14742" s="2" t="s">
        <v>2516</v>
      </c>
      <c r="C14742" s="2">
        <v>1019.145</v>
      </c>
      <c r="D14742" s="2">
        <f>HYPERLINK("http://mcb-m6.bioreg.kyushu-u.ac.jp/M3/20110502/F51184/3359/1", 124.37)</f>
        <v>124.37</v>
      </c>
      <c r="E14742" s="2">
        <v>107.28</v>
      </c>
      <c r="F14742" s="2">
        <v>2</v>
      </c>
      <c r="G14742" s="2" t="s">
        <v>14</v>
      </c>
      <c r="I14742" s="2" t="s">
        <v>4893</v>
      </c>
    </row>
    <row r="14743" spans="1:9" x14ac:dyDescent="0.2">
      <c r="A14743" s="2" t="s">
        <v>4188</v>
      </c>
      <c r="B14743" s="2" t="s">
        <v>1769</v>
      </c>
      <c r="C14743" s="2">
        <v>495.54149999999998</v>
      </c>
      <c r="D14743" s="2">
        <f>HYPERLINK("http://mcb-m6.bioreg.kyushu-u.ac.jp/M3/20110411/F50912/2047/1", 38.42)</f>
        <v>38.42</v>
      </c>
      <c r="E14743" s="2">
        <v>16.89</v>
      </c>
      <c r="F14743" s="2">
        <v>3</v>
      </c>
      <c r="G14743" s="2" t="s">
        <v>10</v>
      </c>
    </row>
    <row r="14744" spans="1:9" x14ac:dyDescent="0.2">
      <c r="A14744" s="2" t="s">
        <v>4060</v>
      </c>
      <c r="B14744" s="2" t="s">
        <v>1423</v>
      </c>
      <c r="C14744" s="2">
        <v>717.37519999999995</v>
      </c>
      <c r="D14744" s="2">
        <f>HYPERLINK("http://mcb-m6.bioreg.kyushu-u.ac.jp/M3/20110411/F50892/2103/2", 79.47)</f>
        <v>79.47</v>
      </c>
      <c r="E14744" s="2">
        <v>56.55</v>
      </c>
      <c r="F14744" s="2">
        <v>2</v>
      </c>
      <c r="G14744" s="2" t="s">
        <v>9</v>
      </c>
    </row>
    <row r="14745" spans="1:9" x14ac:dyDescent="0.2">
      <c r="A14745" s="2" t="s">
        <v>4060</v>
      </c>
      <c r="B14745" s="2" t="s">
        <v>1423</v>
      </c>
      <c r="C14745" s="2">
        <v>717.37819999999999</v>
      </c>
      <c r="D14745" s="2">
        <f>HYPERLINK("http://mcb-m6.bioreg.kyushu-u.ac.jp/M3/20110411/F50891/1966/2", 89.3)</f>
        <v>89.3</v>
      </c>
      <c r="E14745" s="2">
        <v>63.72</v>
      </c>
      <c r="F14745" s="2">
        <v>2</v>
      </c>
      <c r="G14745" s="2" t="s">
        <v>9</v>
      </c>
    </row>
    <row r="14746" spans="1:9" x14ac:dyDescent="0.2">
      <c r="A14746" s="2" t="s">
        <v>4060</v>
      </c>
      <c r="B14746" s="2" t="s">
        <v>1423</v>
      </c>
      <c r="C14746" s="2">
        <v>717.46310000000005</v>
      </c>
      <c r="D14746" s="2">
        <f>HYPERLINK("http://mcb-m6.bioreg.kyushu-u.ac.jp/M3/20110411/F50898/2107/2", 72.88)</f>
        <v>72.88</v>
      </c>
      <c r="E14746" s="2">
        <v>40.49</v>
      </c>
      <c r="F14746" s="2">
        <v>2</v>
      </c>
      <c r="G14746" s="2" t="s">
        <v>10</v>
      </c>
    </row>
    <row r="14747" spans="1:9" x14ac:dyDescent="0.2">
      <c r="A14747" s="2" t="s">
        <v>4060</v>
      </c>
      <c r="B14747" s="2" t="s">
        <v>1423</v>
      </c>
      <c r="C14747" s="2">
        <v>717.32510000000002</v>
      </c>
      <c r="D14747" s="2">
        <f>HYPERLINK("http://mcb-m6.bioreg.kyushu-u.ac.jp/M3/20110414/F50941/1960/2", 70.16)</f>
        <v>70.16</v>
      </c>
      <c r="E14747" s="2">
        <v>46.87</v>
      </c>
      <c r="F14747" s="2">
        <v>2</v>
      </c>
      <c r="G14747" s="2" t="s">
        <v>11</v>
      </c>
    </row>
    <row r="14748" spans="1:9" x14ac:dyDescent="0.2">
      <c r="A14748" s="2" t="s">
        <v>4060</v>
      </c>
      <c r="B14748" s="2" t="s">
        <v>1423</v>
      </c>
      <c r="C14748" s="2">
        <v>717.32069999999999</v>
      </c>
      <c r="D14748" s="2">
        <f>HYPERLINK("http://mcb-m6.bioreg.kyushu-u.ac.jp/M3/20110414/F50929/2187/2", 83.2)</f>
        <v>83.2</v>
      </c>
      <c r="E14748" s="2">
        <v>57.57</v>
      </c>
      <c r="F14748" s="2">
        <v>2</v>
      </c>
      <c r="G14748" s="2" t="s">
        <v>11</v>
      </c>
    </row>
    <row r="14749" spans="1:9" x14ac:dyDescent="0.2">
      <c r="A14749" s="2" t="s">
        <v>4060</v>
      </c>
      <c r="B14749" s="2" t="s">
        <v>1423</v>
      </c>
      <c r="C14749" s="2">
        <v>717.47609999999997</v>
      </c>
      <c r="D14749" s="2">
        <f>HYPERLINK("http://mcb-m6.bioreg.kyushu-u.ac.jp/M3/20110414/F50934/2222/2", 90.87)</f>
        <v>90.87</v>
      </c>
      <c r="E14749" s="2">
        <v>65.11</v>
      </c>
      <c r="F14749" s="2">
        <v>2</v>
      </c>
      <c r="G14749" s="2" t="s">
        <v>12</v>
      </c>
    </row>
    <row r="14750" spans="1:9" x14ac:dyDescent="0.2">
      <c r="A14750" s="2" t="s">
        <v>4060</v>
      </c>
      <c r="B14750" s="2" t="s">
        <v>1423</v>
      </c>
      <c r="C14750" s="2">
        <v>717.5992</v>
      </c>
      <c r="D14750" s="2">
        <f>HYPERLINK("http://mcb-m6.bioreg.kyushu-u.ac.jp/M3/20110502/F51180/1668/2", 56.14)</f>
        <v>56.14</v>
      </c>
      <c r="E14750" s="2">
        <v>22.57</v>
      </c>
      <c r="F14750" s="2">
        <v>2</v>
      </c>
      <c r="G14750" s="2" t="s">
        <v>13</v>
      </c>
    </row>
    <row r="14751" spans="1:9" x14ac:dyDescent="0.2">
      <c r="A14751" s="2" t="s">
        <v>4060</v>
      </c>
      <c r="B14751" s="2" t="s">
        <v>1423</v>
      </c>
      <c r="C14751" s="2">
        <v>717.72609999999997</v>
      </c>
      <c r="D14751" s="2">
        <f>HYPERLINK("http://mcb-m6.bioreg.kyushu-u.ac.jp/M3/20110502/F51182/1730/2", 79.45)</f>
        <v>79.45</v>
      </c>
      <c r="E14751" s="2">
        <v>52.67</v>
      </c>
      <c r="F14751" s="2">
        <v>2</v>
      </c>
      <c r="G14751" s="2" t="s">
        <v>14</v>
      </c>
    </row>
    <row r="14752" spans="1:9" x14ac:dyDescent="0.2">
      <c r="A14752" s="2" t="s">
        <v>3942</v>
      </c>
      <c r="B14752" s="2" t="s">
        <v>1140</v>
      </c>
      <c r="C14752" s="2">
        <v>488.2706</v>
      </c>
      <c r="D14752" s="2">
        <f>HYPERLINK("http://mcb-m6.bioreg.kyushu-u.ac.jp/M3/20110411/F50894/1363/1", 64.78)</f>
        <v>64.78</v>
      </c>
      <c r="E14752" s="2">
        <v>30.68</v>
      </c>
      <c r="F14752" s="2">
        <v>2</v>
      </c>
      <c r="G14752" s="2" t="s">
        <v>9</v>
      </c>
    </row>
    <row r="14753" spans="1:9" x14ac:dyDescent="0.2">
      <c r="A14753" s="2" t="s">
        <v>3942</v>
      </c>
      <c r="B14753" s="2" t="s">
        <v>1752</v>
      </c>
      <c r="C14753" s="2">
        <v>687.00670000000002</v>
      </c>
      <c r="D14753" s="2">
        <f>HYPERLINK("http://mcb-m6.bioreg.kyushu-u.ac.jp/M3/20110411/F50900/1916/1", 37.72)</f>
        <v>37.72</v>
      </c>
      <c r="E14753" s="2">
        <v>14.77</v>
      </c>
      <c r="F14753" s="2">
        <v>2</v>
      </c>
      <c r="G14753" s="2" t="s">
        <v>10</v>
      </c>
    </row>
    <row r="14754" spans="1:9" x14ac:dyDescent="0.2">
      <c r="A14754" s="2" t="s">
        <v>3942</v>
      </c>
      <c r="B14754" s="2" t="s">
        <v>1839</v>
      </c>
      <c r="C14754" s="2">
        <v>750.51969999999994</v>
      </c>
      <c r="D14754" s="2">
        <f>HYPERLINK("http://mcb-m6.bioreg.kyushu-u.ac.jp/M3/20110411/F50901/2100/1", 42.77)</f>
        <v>42.77</v>
      </c>
      <c r="E14754" s="2">
        <v>31.69</v>
      </c>
      <c r="F14754" s="2">
        <v>2</v>
      </c>
      <c r="G14754" s="2" t="s">
        <v>10</v>
      </c>
    </row>
    <row r="14755" spans="1:9" x14ac:dyDescent="0.2">
      <c r="A14755" s="2" t="s">
        <v>3942</v>
      </c>
      <c r="B14755" s="2" t="s">
        <v>1140</v>
      </c>
      <c r="C14755" s="2">
        <v>488.35610000000003</v>
      </c>
      <c r="D14755" s="2">
        <f>HYPERLINK("http://mcb-m6.bioreg.kyushu-u.ac.jp/M3/20110411/F50918/777/1", 60.44)</f>
        <v>60.44</v>
      </c>
      <c r="E14755" s="2">
        <v>32.01</v>
      </c>
      <c r="F14755" s="2">
        <v>2</v>
      </c>
      <c r="G14755" s="2" t="s">
        <v>10</v>
      </c>
    </row>
    <row r="14756" spans="1:9" x14ac:dyDescent="0.2">
      <c r="A14756" s="2" t="s">
        <v>3942</v>
      </c>
      <c r="B14756" s="2" t="s">
        <v>1140</v>
      </c>
      <c r="C14756" s="2">
        <v>488.39510000000001</v>
      </c>
      <c r="D14756" s="2">
        <f>HYPERLINK("http://mcb-m6.bioreg.kyushu-u.ac.jp/M3/20110411/F50901/1183/1", 66.61)</f>
        <v>66.61</v>
      </c>
      <c r="E14756" s="2">
        <v>39.549999999999997</v>
      </c>
      <c r="F14756" s="2">
        <v>2</v>
      </c>
      <c r="G14756" s="2" t="s">
        <v>10</v>
      </c>
    </row>
    <row r="14757" spans="1:9" x14ac:dyDescent="0.2">
      <c r="A14757" s="2" t="s">
        <v>3942</v>
      </c>
      <c r="B14757" s="2" t="s">
        <v>2216</v>
      </c>
      <c r="C14757" s="2">
        <v>789.95759999999996</v>
      </c>
      <c r="D14757" s="2">
        <f>HYPERLINK("http://mcb-m6.bioreg.kyushu-u.ac.jp/M3/20110414/F50943/2203/1", 37.83)</f>
        <v>37.83</v>
      </c>
      <c r="E14757" s="2">
        <v>19.91</v>
      </c>
      <c r="F14757" s="2">
        <v>2</v>
      </c>
      <c r="G14757" s="2" t="s">
        <v>11</v>
      </c>
    </row>
    <row r="14758" spans="1:9" x14ac:dyDescent="0.2">
      <c r="A14758" s="2" t="s">
        <v>3942</v>
      </c>
      <c r="B14758" s="2" t="s">
        <v>1752</v>
      </c>
      <c r="C14758" s="2">
        <v>687.36720000000003</v>
      </c>
      <c r="D14758" s="2">
        <f>HYPERLINK("http://mcb-m6.bioreg.kyushu-u.ac.jp/M3/20110414/F50943/1561/1", 50.35)</f>
        <v>50.35</v>
      </c>
      <c r="E14758" s="2">
        <v>24.89</v>
      </c>
      <c r="F14758" s="2">
        <v>2</v>
      </c>
      <c r="G14758" s="2" t="s">
        <v>11</v>
      </c>
    </row>
    <row r="14759" spans="1:9" x14ac:dyDescent="0.2">
      <c r="A14759" s="2" t="s">
        <v>3942</v>
      </c>
      <c r="B14759" s="2" t="s">
        <v>2375</v>
      </c>
      <c r="C14759" s="2">
        <v>624.71169999999995</v>
      </c>
      <c r="D14759" s="2">
        <f>HYPERLINK("http://mcb-m6.bioreg.kyushu-u.ac.jp/M3/20110414/F50943/1321/1", 51.32)</f>
        <v>51.32</v>
      </c>
      <c r="E14759" s="2">
        <v>33.68</v>
      </c>
      <c r="F14759" s="2">
        <v>2</v>
      </c>
      <c r="G14759" s="2" t="s">
        <v>11</v>
      </c>
    </row>
    <row r="14760" spans="1:9" x14ac:dyDescent="0.2">
      <c r="A14760" s="2" t="s">
        <v>3942</v>
      </c>
      <c r="B14760" s="2" t="s">
        <v>1839</v>
      </c>
      <c r="C14760" s="2">
        <v>750.29470000000003</v>
      </c>
      <c r="D14760" s="2">
        <f>HYPERLINK("http://mcb-m6.bioreg.kyushu-u.ac.jp/M3/20110414/F50943/1958/1", 63.89)</f>
        <v>63.89</v>
      </c>
      <c r="E14760" s="2">
        <v>47.89</v>
      </c>
      <c r="F14760" s="2">
        <v>2</v>
      </c>
      <c r="G14760" s="2" t="s">
        <v>11</v>
      </c>
    </row>
    <row r="14761" spans="1:9" x14ac:dyDescent="0.2">
      <c r="A14761" s="2" t="s">
        <v>3942</v>
      </c>
      <c r="B14761" s="2" t="s">
        <v>2512</v>
      </c>
      <c r="C14761" s="2">
        <v>945.30269999999996</v>
      </c>
      <c r="D14761" s="2">
        <f>HYPERLINK("http://mcb-m6.bioreg.kyushu-u.ac.jp/M3/20110414/F50943/2953/1", 107.72)</f>
        <v>107.72</v>
      </c>
      <c r="E14761" s="2">
        <v>93.16</v>
      </c>
      <c r="F14761" s="2">
        <v>2</v>
      </c>
      <c r="G14761" s="2" t="s">
        <v>11</v>
      </c>
    </row>
    <row r="14762" spans="1:9" x14ac:dyDescent="0.2">
      <c r="A14762" s="2" t="s">
        <v>3942</v>
      </c>
      <c r="B14762" s="2" t="s">
        <v>2697</v>
      </c>
      <c r="C14762" s="2">
        <v>664.70619999999997</v>
      </c>
      <c r="D14762" s="2">
        <f>HYPERLINK("http://mcb-m6.bioreg.kyushu-u.ac.jp/M3/20110414/F50949/1963/1", 55.52)</f>
        <v>55.52</v>
      </c>
      <c r="E14762" s="2">
        <v>32.299999999999997</v>
      </c>
      <c r="F14762" s="2">
        <v>2</v>
      </c>
      <c r="G14762" s="2" t="s">
        <v>12</v>
      </c>
      <c r="I14762" s="2" t="s">
        <v>4972</v>
      </c>
    </row>
    <row r="14763" spans="1:9" x14ac:dyDescent="0.2">
      <c r="A14763" s="2" t="s">
        <v>3942</v>
      </c>
      <c r="B14763" s="2" t="s">
        <v>1839</v>
      </c>
      <c r="C14763" s="2">
        <v>749.87459999999999</v>
      </c>
      <c r="D14763" s="2">
        <f>HYPERLINK("http://mcb-m6.bioreg.kyushu-u.ac.jp/M3/20110414/F50949/2180/1", 66.33)</f>
        <v>66.33</v>
      </c>
      <c r="E14763" s="2">
        <v>34.270000000000003</v>
      </c>
      <c r="F14763" s="2">
        <v>2</v>
      </c>
      <c r="G14763" s="2" t="s">
        <v>12</v>
      </c>
    </row>
    <row r="14764" spans="1:9" x14ac:dyDescent="0.2">
      <c r="A14764" s="2" t="s">
        <v>3942</v>
      </c>
      <c r="B14764" s="2" t="s">
        <v>1839</v>
      </c>
      <c r="C14764" s="2">
        <v>750.59559999999999</v>
      </c>
      <c r="D14764" s="2">
        <f>HYPERLINK("http://mcb-m6.bioreg.kyushu-u.ac.jp/M3/20110502/F51173/1861/1", 53.91)</f>
        <v>53.91</v>
      </c>
      <c r="E14764" s="2">
        <v>38.130000000000003</v>
      </c>
      <c r="F14764" s="2">
        <v>2</v>
      </c>
      <c r="G14764" s="2" t="s">
        <v>13</v>
      </c>
    </row>
    <row r="14765" spans="1:9" x14ac:dyDescent="0.2">
      <c r="A14765" s="2" t="s">
        <v>3942</v>
      </c>
      <c r="B14765" s="2" t="s">
        <v>1140</v>
      </c>
      <c r="C14765" s="2">
        <v>488.40210000000002</v>
      </c>
      <c r="D14765" s="2">
        <f>HYPERLINK("http://mcb-m6.bioreg.kyushu-u.ac.jp/M3/20110502/F51185/690/1", 48.35)</f>
        <v>48.35</v>
      </c>
      <c r="E14765" s="2">
        <v>10.95</v>
      </c>
      <c r="F14765" s="2">
        <v>2</v>
      </c>
      <c r="G14765" s="2" t="s">
        <v>14</v>
      </c>
    </row>
    <row r="14766" spans="1:9" x14ac:dyDescent="0.2">
      <c r="A14766" s="2" t="s">
        <v>3942</v>
      </c>
      <c r="B14766" s="2" t="s">
        <v>3130</v>
      </c>
      <c r="C14766" s="2">
        <v>602.47670000000005</v>
      </c>
      <c r="D14766" s="2">
        <f>HYPERLINK("http://mcb-m6.bioreg.kyushu-u.ac.jp/M3/20110502/F51184/1028/1", 48.94)</f>
        <v>48.94</v>
      </c>
      <c r="E14766" s="2">
        <v>30.9</v>
      </c>
      <c r="F14766" s="2">
        <v>2</v>
      </c>
      <c r="G14766" s="2" t="s">
        <v>14</v>
      </c>
    </row>
    <row r="14767" spans="1:9" x14ac:dyDescent="0.2">
      <c r="A14767" s="2" t="s">
        <v>3725</v>
      </c>
      <c r="B14767" s="2" t="s">
        <v>721</v>
      </c>
      <c r="C14767" s="2">
        <v>534.99220000000003</v>
      </c>
      <c r="D14767" s="2">
        <f>HYPERLINK("http://mcb-m6.bioreg.kyushu-u.ac.jp/M3/20110411/F50911/1119/1", 49.25)</f>
        <v>49.25</v>
      </c>
      <c r="E14767" s="2">
        <v>26.03</v>
      </c>
      <c r="F14767" s="2">
        <v>2</v>
      </c>
      <c r="G14767" s="2" t="s">
        <v>9</v>
      </c>
    </row>
    <row r="14768" spans="1:9" x14ac:dyDescent="0.2">
      <c r="A14768" s="2" t="s">
        <v>3725</v>
      </c>
      <c r="B14768" s="2" t="s">
        <v>830</v>
      </c>
      <c r="C14768" s="2">
        <v>710.60270000000003</v>
      </c>
      <c r="D14768" s="2">
        <f>HYPERLINK("http://mcb-m6.bioreg.kyushu-u.ac.jp/M3/20110411/F50905/1859/1", 52.78)</f>
        <v>52.78</v>
      </c>
      <c r="E14768" s="2">
        <v>21.61</v>
      </c>
      <c r="F14768" s="2">
        <v>2</v>
      </c>
      <c r="G14768" s="2" t="s">
        <v>9</v>
      </c>
    </row>
    <row r="14769" spans="1:7" x14ac:dyDescent="0.2">
      <c r="A14769" s="2" t="s">
        <v>3725</v>
      </c>
      <c r="B14769" s="2" t="s">
        <v>721</v>
      </c>
      <c r="C14769" s="2">
        <v>1068.7550000000001</v>
      </c>
      <c r="D14769" s="2">
        <f>HYPERLINK("http://mcb-m6.bioreg.kyushu-u.ac.jp/M3/20110411/F50905/1099/1", 54.62)</f>
        <v>54.62</v>
      </c>
      <c r="E14769" s="2">
        <v>29.22</v>
      </c>
      <c r="F14769" s="2">
        <v>1</v>
      </c>
      <c r="G14769" s="2" t="s">
        <v>9</v>
      </c>
    </row>
    <row r="14770" spans="1:7" x14ac:dyDescent="0.2">
      <c r="A14770" s="2" t="s">
        <v>3725</v>
      </c>
      <c r="B14770" s="2" t="s">
        <v>970</v>
      </c>
      <c r="C14770" s="2">
        <v>1449.933</v>
      </c>
      <c r="D14770" s="2">
        <f>HYPERLINK("http://mcb-m6.bioreg.kyushu-u.ac.jp/M3/20110411/F50905/1942/1", 57.27)</f>
        <v>57.27</v>
      </c>
      <c r="E14770" s="2">
        <v>41.49</v>
      </c>
      <c r="F14770" s="2">
        <v>1</v>
      </c>
      <c r="G14770" s="2" t="s">
        <v>9</v>
      </c>
    </row>
    <row r="14771" spans="1:7" x14ac:dyDescent="0.2">
      <c r="A14771" s="2" t="s">
        <v>3725</v>
      </c>
      <c r="B14771" s="2" t="s">
        <v>970</v>
      </c>
      <c r="C14771" s="2">
        <v>725.54420000000005</v>
      </c>
      <c r="D14771" s="2">
        <f>HYPERLINK("http://mcb-m6.bioreg.kyushu-u.ac.jp/M3/20110411/F50911/2001/1", 71.72)</f>
        <v>71.72</v>
      </c>
      <c r="E14771" s="2">
        <v>50.89</v>
      </c>
      <c r="F14771" s="2">
        <v>2</v>
      </c>
      <c r="G14771" s="2" t="s">
        <v>9</v>
      </c>
    </row>
    <row r="14772" spans="1:7" x14ac:dyDescent="0.2">
      <c r="A14772" s="2" t="s">
        <v>3725</v>
      </c>
      <c r="B14772" s="2" t="s">
        <v>970</v>
      </c>
      <c r="C14772" s="2">
        <v>725.5607</v>
      </c>
      <c r="D14772" s="2">
        <f>HYPERLINK("http://mcb-m6.bioreg.kyushu-u.ac.jp/M3/20110411/F50905/1944/1", 79.23)</f>
        <v>79.23</v>
      </c>
      <c r="E14772" s="2">
        <v>54.76</v>
      </c>
      <c r="F14772" s="2">
        <v>2</v>
      </c>
      <c r="G14772" s="2" t="s">
        <v>9</v>
      </c>
    </row>
    <row r="14773" spans="1:7" x14ac:dyDescent="0.2">
      <c r="A14773" s="2" t="s">
        <v>3725</v>
      </c>
      <c r="B14773" s="2" t="s">
        <v>1477</v>
      </c>
      <c r="C14773" s="2">
        <v>908.66020000000003</v>
      </c>
      <c r="D14773" s="2">
        <f>HYPERLINK("http://mcb-m6.bioreg.kyushu-u.ac.jp/M3/20110411/F50905/2886/1", 83.94)</f>
        <v>83.94</v>
      </c>
      <c r="E14773" s="2">
        <v>64.459999999999994</v>
      </c>
      <c r="F14773" s="2">
        <v>2</v>
      </c>
      <c r="G14773" s="2" t="s">
        <v>9</v>
      </c>
    </row>
    <row r="14774" spans="1:7" x14ac:dyDescent="0.2">
      <c r="A14774" s="2" t="s">
        <v>3725</v>
      </c>
      <c r="B14774" s="2" t="s">
        <v>970</v>
      </c>
      <c r="C14774" s="2">
        <v>725.71720000000005</v>
      </c>
      <c r="D14774" s="2">
        <f>HYPERLINK("http://mcb-m6.bioreg.kyushu-u.ac.jp/M3/20110411/F50914/2018/1", 41.48)</f>
        <v>41.48</v>
      </c>
      <c r="E14774" s="2">
        <v>27.96</v>
      </c>
      <c r="F14774" s="2">
        <v>2</v>
      </c>
      <c r="G14774" s="2" t="s">
        <v>10</v>
      </c>
    </row>
    <row r="14775" spans="1:7" x14ac:dyDescent="0.2">
      <c r="A14775" s="2" t="s">
        <v>3725</v>
      </c>
      <c r="B14775" s="2" t="s">
        <v>970</v>
      </c>
      <c r="C14775" s="2">
        <v>1449.9059999999999</v>
      </c>
      <c r="D14775" s="2">
        <f>HYPERLINK("http://mcb-m6.bioreg.kyushu-u.ac.jp/M3/20110411/F50913/1943/1", 44.49)</f>
        <v>44.49</v>
      </c>
      <c r="E14775" s="2">
        <v>24.41</v>
      </c>
      <c r="F14775" s="2">
        <v>1</v>
      </c>
      <c r="G14775" s="2" t="s">
        <v>10</v>
      </c>
    </row>
    <row r="14776" spans="1:7" x14ac:dyDescent="0.2">
      <c r="A14776" s="2" t="s">
        <v>3725</v>
      </c>
      <c r="B14776" s="2" t="s">
        <v>830</v>
      </c>
      <c r="C14776" s="2">
        <v>710.49159999999995</v>
      </c>
      <c r="D14776" s="2">
        <f>HYPERLINK("http://mcb-m6.bioreg.kyushu-u.ac.jp/M3/20110411/F50913/1867/1", 54.18)</f>
        <v>54.18</v>
      </c>
      <c r="E14776" s="2">
        <v>33.93</v>
      </c>
      <c r="F14776" s="2">
        <v>2</v>
      </c>
      <c r="G14776" s="2" t="s">
        <v>10</v>
      </c>
    </row>
    <row r="14777" spans="1:7" x14ac:dyDescent="0.2">
      <c r="A14777" s="2" t="s">
        <v>3725</v>
      </c>
      <c r="B14777" s="2" t="s">
        <v>721</v>
      </c>
      <c r="C14777" s="2">
        <v>1068.807</v>
      </c>
      <c r="D14777" s="2">
        <f>HYPERLINK("http://mcb-m6.bioreg.kyushu-u.ac.jp/M3/20110411/F50913/1155/1", 54.68)</f>
        <v>54.68</v>
      </c>
      <c r="E14777" s="2">
        <v>28.61</v>
      </c>
      <c r="F14777" s="2">
        <v>1</v>
      </c>
      <c r="G14777" s="2" t="s">
        <v>10</v>
      </c>
    </row>
    <row r="14778" spans="1:7" x14ac:dyDescent="0.2">
      <c r="A14778" s="2" t="s">
        <v>3725</v>
      </c>
      <c r="B14778" s="2" t="s">
        <v>721</v>
      </c>
      <c r="C14778" s="2">
        <v>534.78520000000003</v>
      </c>
      <c r="D14778" s="2">
        <f>HYPERLINK("http://mcb-m6.bioreg.kyushu-u.ac.jp/M3/20110411/F50914/1200/1", 63.2)</f>
        <v>63.2</v>
      </c>
      <c r="E14778" s="2">
        <v>36.99</v>
      </c>
      <c r="F14778" s="2">
        <v>2</v>
      </c>
      <c r="G14778" s="2" t="s">
        <v>10</v>
      </c>
    </row>
    <row r="14779" spans="1:7" x14ac:dyDescent="0.2">
      <c r="A14779" s="2" t="s">
        <v>3725</v>
      </c>
      <c r="B14779" s="2" t="s">
        <v>970</v>
      </c>
      <c r="C14779" s="2">
        <v>725.65970000000004</v>
      </c>
      <c r="D14779" s="2">
        <f>HYPERLINK("http://mcb-m6.bioreg.kyushu-u.ac.jp/M3/20110414/F50941/2013/1", 63.21)</f>
        <v>63.21</v>
      </c>
      <c r="E14779" s="2">
        <v>46.33</v>
      </c>
      <c r="F14779" s="2">
        <v>2</v>
      </c>
      <c r="G14779" s="2" t="s">
        <v>11</v>
      </c>
    </row>
    <row r="14780" spans="1:7" x14ac:dyDescent="0.2">
      <c r="A14780" s="2" t="s">
        <v>3725</v>
      </c>
      <c r="B14780" s="2" t="s">
        <v>970</v>
      </c>
      <c r="C14780" s="2">
        <v>725.27470000000005</v>
      </c>
      <c r="D14780" s="2">
        <f>HYPERLINK("http://mcb-m6.bioreg.kyushu-u.ac.jp/M3/20110414/F50941/2010/1", 94.82)</f>
        <v>94.82</v>
      </c>
      <c r="E14780" s="2">
        <v>71.72</v>
      </c>
      <c r="F14780" s="2">
        <v>2</v>
      </c>
      <c r="G14780" s="2" t="s">
        <v>11</v>
      </c>
    </row>
    <row r="14781" spans="1:7" x14ac:dyDescent="0.2">
      <c r="A14781" s="2" t="s">
        <v>3725</v>
      </c>
      <c r="B14781" s="2" t="s">
        <v>970</v>
      </c>
      <c r="C14781" s="2">
        <v>725.62070000000006</v>
      </c>
      <c r="D14781" s="2">
        <f>HYPERLINK("http://mcb-m6.bioreg.kyushu-u.ac.jp/M3/20110414/F50947/1848/1", 72.65)</f>
        <v>72.650000000000006</v>
      </c>
      <c r="E14781" s="2">
        <v>51.31</v>
      </c>
      <c r="F14781" s="2">
        <v>2</v>
      </c>
      <c r="G14781" s="2" t="s">
        <v>12</v>
      </c>
    </row>
    <row r="14782" spans="1:7" x14ac:dyDescent="0.2">
      <c r="A14782" s="2" t="s">
        <v>3725</v>
      </c>
      <c r="B14782" s="2" t="s">
        <v>830</v>
      </c>
      <c r="C14782" s="2">
        <v>710.81769999999995</v>
      </c>
      <c r="D14782" s="2">
        <f>HYPERLINK("http://mcb-m6.bioreg.kyushu-u.ac.jp/M3/20110502/F51170/1913/1", 55.96)</f>
        <v>55.96</v>
      </c>
      <c r="E14782" s="2">
        <v>24.55</v>
      </c>
      <c r="F14782" s="2">
        <v>2</v>
      </c>
      <c r="G14782" s="2" t="s">
        <v>13</v>
      </c>
    </row>
    <row r="14783" spans="1:7" x14ac:dyDescent="0.2">
      <c r="A14783" s="2" t="s">
        <v>3725</v>
      </c>
      <c r="B14783" s="2" t="s">
        <v>970</v>
      </c>
      <c r="C14783" s="2">
        <v>725.45820000000003</v>
      </c>
      <c r="D14783" s="2">
        <f>HYPERLINK("http://mcb-m6.bioreg.kyushu-u.ac.jp/M3/20110502/F51170/1993/1", 80.73)</f>
        <v>80.73</v>
      </c>
      <c r="E14783" s="2">
        <v>63.85</v>
      </c>
      <c r="F14783" s="2">
        <v>2</v>
      </c>
      <c r="G14783" s="2" t="s">
        <v>13</v>
      </c>
    </row>
    <row r="14784" spans="1:7" x14ac:dyDescent="0.2">
      <c r="A14784" s="2" t="s">
        <v>3725</v>
      </c>
      <c r="B14784" s="2" t="s">
        <v>830</v>
      </c>
      <c r="C14784" s="2">
        <v>710.61320000000001</v>
      </c>
      <c r="D14784" s="2">
        <f>HYPERLINK("http://mcb-m6.bioreg.kyushu-u.ac.jp/M3/20110502/F51179/1598/1", 61.5)</f>
        <v>61.5</v>
      </c>
      <c r="E14784" s="2">
        <v>30.32</v>
      </c>
      <c r="F14784" s="2">
        <v>2</v>
      </c>
      <c r="G14784" s="2" t="s">
        <v>14</v>
      </c>
    </row>
    <row r="14785" spans="1:9" x14ac:dyDescent="0.2">
      <c r="A14785" s="2" t="s">
        <v>4503</v>
      </c>
      <c r="B14785" s="2" t="s">
        <v>2492</v>
      </c>
      <c r="C14785" s="2">
        <v>779.79280000000006</v>
      </c>
      <c r="D14785" s="2">
        <f>HYPERLINK("http://mcb-m6.bioreg.kyushu-u.ac.jp/M3/20110414/F50929/3303/1", 83.8)</f>
        <v>83.8</v>
      </c>
      <c r="E14785" s="2">
        <v>76.05</v>
      </c>
      <c r="F14785" s="2">
        <v>3</v>
      </c>
      <c r="G14785" s="2" t="s">
        <v>11</v>
      </c>
      <c r="I14785" s="2" t="s">
        <v>4965</v>
      </c>
    </row>
    <row r="14786" spans="1:9" x14ac:dyDescent="0.2">
      <c r="A14786" s="2" t="s">
        <v>4503</v>
      </c>
      <c r="B14786" s="2" t="s">
        <v>2492</v>
      </c>
      <c r="C14786" s="2">
        <v>779.63319999999999</v>
      </c>
      <c r="D14786" s="2">
        <f>HYPERLINK("http://mcb-m6.bioreg.kyushu-u.ac.jp/M3/20110414/F50948/4124/1", 38.87)</f>
        <v>38.869999999999997</v>
      </c>
      <c r="E14786" s="2">
        <v>33.619999999999997</v>
      </c>
      <c r="F14786" s="2">
        <v>3</v>
      </c>
      <c r="G14786" s="2" t="s">
        <v>12</v>
      </c>
      <c r="I14786" s="2" t="s">
        <v>4965</v>
      </c>
    </row>
    <row r="14787" spans="1:9" x14ac:dyDescent="0.2">
      <c r="A14787" s="2" t="s">
        <v>4503</v>
      </c>
      <c r="B14787" s="2" t="s">
        <v>2492</v>
      </c>
      <c r="C14787" s="2">
        <v>779.33360000000005</v>
      </c>
      <c r="D14787" s="2">
        <f>HYPERLINK("http://mcb-m6.bioreg.kyushu-u.ac.jp/M3/20110502/F51182/3750/1", 85.08)</f>
        <v>85.08</v>
      </c>
      <c r="E14787" s="2">
        <v>70.31</v>
      </c>
      <c r="F14787" s="2">
        <v>3</v>
      </c>
      <c r="G14787" s="2" t="s">
        <v>14</v>
      </c>
      <c r="I14787" s="2" t="s">
        <v>4965</v>
      </c>
    </row>
    <row r="14788" spans="1:9" x14ac:dyDescent="0.2">
      <c r="A14788" s="2" t="s">
        <v>3370</v>
      </c>
      <c r="B14788" s="2" t="s">
        <v>162</v>
      </c>
      <c r="C14788" s="2">
        <v>680.90419999999995</v>
      </c>
      <c r="D14788" s="2">
        <f>HYPERLINK("http://mcb-m6.bioreg.kyushu-u.ac.jp/M3/20110411/F50891/1756/1", 37.02)</f>
        <v>37.020000000000003</v>
      </c>
      <c r="E14788" s="2">
        <v>14.82</v>
      </c>
      <c r="F14788" s="2">
        <v>2</v>
      </c>
      <c r="G14788" s="2" t="s">
        <v>9</v>
      </c>
      <c r="H14788" s="2" t="s">
        <v>4908</v>
      </c>
    </row>
    <row r="14789" spans="1:9" x14ac:dyDescent="0.2">
      <c r="A14789" s="2" t="s">
        <v>3370</v>
      </c>
      <c r="B14789" s="2" t="s">
        <v>162</v>
      </c>
      <c r="C14789" s="2">
        <v>680.92269999999996</v>
      </c>
      <c r="D14789" s="2">
        <f>HYPERLINK("http://mcb-m6.bioreg.kyushu-u.ac.jp/M3/20110411/F50894/1974/1", 37.14)</f>
        <v>37.14</v>
      </c>
      <c r="E14789" s="2">
        <v>15</v>
      </c>
      <c r="F14789" s="2">
        <v>2</v>
      </c>
      <c r="G14789" s="2" t="s">
        <v>9</v>
      </c>
      <c r="H14789" s="2" t="s">
        <v>4908</v>
      </c>
    </row>
    <row r="14790" spans="1:9" x14ac:dyDescent="0.2">
      <c r="A14790" s="2" t="s">
        <v>3370</v>
      </c>
      <c r="B14790" s="2" t="s">
        <v>162</v>
      </c>
      <c r="C14790" s="2">
        <v>681.0942</v>
      </c>
      <c r="D14790" s="2">
        <f>HYPERLINK("http://mcb-m6.bioreg.kyushu-u.ac.jp/M3/20110411/F50905/1705/1", 43.2)</f>
        <v>43.2</v>
      </c>
      <c r="E14790" s="2">
        <v>18.79</v>
      </c>
      <c r="F14790" s="2">
        <v>2</v>
      </c>
      <c r="G14790" s="2" t="s">
        <v>9</v>
      </c>
      <c r="H14790" s="2" t="s">
        <v>4908</v>
      </c>
    </row>
    <row r="14791" spans="1:9" x14ac:dyDescent="0.2">
      <c r="A14791" s="2" t="s">
        <v>3370</v>
      </c>
      <c r="B14791" s="2" t="s">
        <v>162</v>
      </c>
      <c r="C14791" s="2">
        <v>681.1241</v>
      </c>
      <c r="D14791" s="2">
        <f>HYPERLINK("http://mcb-m6.bioreg.kyushu-u.ac.jp/M3/20110411/F50911/1758/1", 44.22)</f>
        <v>44.22</v>
      </c>
      <c r="E14791" s="2">
        <v>24.89</v>
      </c>
      <c r="F14791" s="2">
        <v>2</v>
      </c>
      <c r="G14791" s="2" t="s">
        <v>9</v>
      </c>
      <c r="H14791" s="2" t="s">
        <v>4908</v>
      </c>
    </row>
    <row r="14792" spans="1:9" x14ac:dyDescent="0.2">
      <c r="A14792" s="2" t="s">
        <v>3370</v>
      </c>
      <c r="B14792" s="2" t="s">
        <v>162</v>
      </c>
      <c r="C14792" s="2">
        <v>681.43520000000001</v>
      </c>
      <c r="D14792" s="2">
        <f>HYPERLINK("http://mcb-m6.bioreg.kyushu-u.ac.jp/M3/20110411/F50920/1277/1", 49.9)</f>
        <v>49.9</v>
      </c>
      <c r="E14792" s="2">
        <v>32.479999999999997</v>
      </c>
      <c r="F14792" s="2">
        <v>2</v>
      </c>
      <c r="G14792" s="2" t="s">
        <v>10</v>
      </c>
      <c r="H14792" s="2" t="s">
        <v>4908</v>
      </c>
    </row>
    <row r="14793" spans="1:9" x14ac:dyDescent="0.2">
      <c r="A14793" s="2" t="s">
        <v>3990</v>
      </c>
      <c r="B14793" s="2" t="s">
        <v>1261</v>
      </c>
      <c r="C14793" s="2">
        <v>515.39869999999996</v>
      </c>
      <c r="D14793" s="2">
        <f>HYPERLINK("http://mcb-m6.bioreg.kyushu-u.ac.jp/M3/20110411/F50891/1039/1", 69.53)</f>
        <v>69.53</v>
      </c>
      <c r="E14793" s="2">
        <v>35.54</v>
      </c>
      <c r="F14793" s="2">
        <v>2</v>
      </c>
      <c r="G14793" s="2" t="s">
        <v>9</v>
      </c>
    </row>
    <row r="14794" spans="1:9" x14ac:dyDescent="0.2">
      <c r="A14794" s="2" t="s">
        <v>3397</v>
      </c>
      <c r="B14794" s="2" t="s">
        <v>192</v>
      </c>
      <c r="C14794" s="2">
        <v>1101.4639999999999</v>
      </c>
      <c r="D14794" s="2">
        <f>HYPERLINK("http://mcb-m6.bioreg.kyushu-u.ac.jp/M3/20110411/F50891/1158/1", 37.47)</f>
        <v>37.47</v>
      </c>
      <c r="E14794" s="2">
        <v>14.39</v>
      </c>
      <c r="F14794" s="2">
        <v>1</v>
      </c>
      <c r="G14794" s="2" t="s">
        <v>9</v>
      </c>
      <c r="I14794" s="2" t="s">
        <v>4890</v>
      </c>
    </row>
    <row r="14795" spans="1:9" x14ac:dyDescent="0.2">
      <c r="A14795" s="2" t="s">
        <v>3397</v>
      </c>
      <c r="B14795" s="2" t="s">
        <v>218</v>
      </c>
      <c r="C14795" s="2">
        <v>1323.5060000000001</v>
      </c>
      <c r="D14795" s="2">
        <f>HYPERLINK("http://mcb-m6.bioreg.kyushu-u.ac.jp/M3/20110411/F50891/1660/1", 37.96)</f>
        <v>37.96</v>
      </c>
      <c r="E14795" s="2">
        <v>13.93</v>
      </c>
      <c r="F14795" s="2">
        <v>1</v>
      </c>
      <c r="G14795" s="2" t="s">
        <v>9</v>
      </c>
    </row>
    <row r="14796" spans="1:9" x14ac:dyDescent="0.2">
      <c r="A14796" s="2" t="s">
        <v>3397</v>
      </c>
      <c r="B14796" s="2" t="s">
        <v>192</v>
      </c>
      <c r="C14796" s="2">
        <v>551.76210000000003</v>
      </c>
      <c r="D14796" s="2">
        <f>HYPERLINK("http://mcb-m6.bioreg.kyushu-u.ac.jp/M3/20110411/F50891/1163/1", 38.35)</f>
        <v>38.35</v>
      </c>
      <c r="E14796" s="2">
        <v>19.010000000000002</v>
      </c>
      <c r="F14796" s="2">
        <v>2</v>
      </c>
      <c r="G14796" s="2" t="s">
        <v>9</v>
      </c>
      <c r="I14796" s="2" t="s">
        <v>4890</v>
      </c>
    </row>
    <row r="14797" spans="1:9" x14ac:dyDescent="0.2">
      <c r="A14797" s="2" t="s">
        <v>3397</v>
      </c>
      <c r="B14797" s="2" t="s">
        <v>447</v>
      </c>
      <c r="C14797" s="2">
        <v>672.94069999999999</v>
      </c>
      <c r="D14797" s="2">
        <f>HYPERLINK("http://mcb-m6.bioreg.kyushu-u.ac.jp/M3/20110411/F50891/1715/1", 42.07)</f>
        <v>42.07</v>
      </c>
      <c r="E14797" s="2">
        <v>21.61</v>
      </c>
      <c r="F14797" s="2">
        <v>2</v>
      </c>
      <c r="G14797" s="2" t="s">
        <v>9</v>
      </c>
    </row>
    <row r="14798" spans="1:9" x14ac:dyDescent="0.2">
      <c r="A14798" s="2" t="s">
        <v>3397</v>
      </c>
      <c r="B14798" s="2" t="s">
        <v>510</v>
      </c>
      <c r="C14798" s="2">
        <v>608.38509999999997</v>
      </c>
      <c r="D14798" s="2">
        <f>HYPERLINK("http://mcb-m6.bioreg.kyushu-u.ac.jp/M3/20110411/F50891/1428/1", 43.5)</f>
        <v>43.5</v>
      </c>
      <c r="E14798" s="2">
        <v>24.63</v>
      </c>
      <c r="F14798" s="2">
        <v>2</v>
      </c>
      <c r="G14798" s="2" t="s">
        <v>9</v>
      </c>
      <c r="H14798" s="2" t="s">
        <v>4900</v>
      </c>
    </row>
    <row r="14799" spans="1:9" x14ac:dyDescent="0.2">
      <c r="A14799" s="2" t="s">
        <v>3397</v>
      </c>
      <c r="B14799" s="2" t="s">
        <v>192</v>
      </c>
      <c r="C14799" s="2">
        <v>551.23609999999996</v>
      </c>
      <c r="D14799" s="2">
        <f>HYPERLINK("http://mcb-m6.bioreg.kyushu-u.ac.jp/M3/20110411/F50891/1159/1", 45.27)</f>
        <v>45.27</v>
      </c>
      <c r="E14799" s="2">
        <v>22.56</v>
      </c>
      <c r="F14799" s="2">
        <v>2</v>
      </c>
      <c r="G14799" s="2" t="s">
        <v>9</v>
      </c>
      <c r="I14799" s="2" t="s">
        <v>4890</v>
      </c>
    </row>
    <row r="14800" spans="1:9" x14ac:dyDescent="0.2">
      <c r="A14800" s="2" t="s">
        <v>3397</v>
      </c>
      <c r="B14800" s="2" t="s">
        <v>690</v>
      </c>
      <c r="C14800" s="2">
        <v>588.2577</v>
      </c>
      <c r="D14800" s="2">
        <f>HYPERLINK("http://mcb-m6.bioreg.kyushu-u.ac.jp/M3/20110411/F50891/1317/1", 48.49)</f>
        <v>48.49</v>
      </c>
      <c r="E14800" s="2">
        <v>32.25</v>
      </c>
      <c r="F14800" s="2">
        <v>2</v>
      </c>
      <c r="G14800" s="2" t="s">
        <v>9</v>
      </c>
    </row>
    <row r="14801" spans="1:9" x14ac:dyDescent="0.2">
      <c r="A14801" s="2" t="s">
        <v>3397</v>
      </c>
      <c r="B14801" s="2" t="s">
        <v>218</v>
      </c>
      <c r="C14801" s="2">
        <v>662.90719999999999</v>
      </c>
      <c r="D14801" s="2">
        <f>HYPERLINK("http://mcb-m6.bioreg.kyushu-u.ac.jp/M3/20110411/F50891/1666/1", 52.34)</f>
        <v>52.34</v>
      </c>
      <c r="E14801" s="2">
        <v>25.38</v>
      </c>
      <c r="F14801" s="2">
        <v>2</v>
      </c>
      <c r="G14801" s="2" t="s">
        <v>9</v>
      </c>
    </row>
    <row r="14802" spans="1:9" x14ac:dyDescent="0.2">
      <c r="A14802" s="2" t="s">
        <v>3397</v>
      </c>
      <c r="B14802" s="2" t="s">
        <v>940</v>
      </c>
      <c r="C14802" s="2">
        <v>725.93619999999999</v>
      </c>
      <c r="D14802" s="2">
        <f>HYPERLINK("http://mcb-m6.bioreg.kyushu-u.ac.jp/M3/20110411/F50891/2011/1", 56.2)</f>
        <v>56.2</v>
      </c>
      <c r="E14802" s="2">
        <v>41.85</v>
      </c>
      <c r="F14802" s="2">
        <v>2</v>
      </c>
      <c r="G14802" s="2" t="s">
        <v>9</v>
      </c>
    </row>
    <row r="14803" spans="1:9" x14ac:dyDescent="0.2">
      <c r="A14803" s="2" t="s">
        <v>3397</v>
      </c>
      <c r="B14803" s="2" t="s">
        <v>1176</v>
      </c>
      <c r="C14803" s="2">
        <v>881.3827</v>
      </c>
      <c r="D14803" s="2">
        <f>HYPERLINK("http://mcb-m6.bioreg.kyushu-u.ac.jp/M3/20110411/F50891/2868/1", 65.9)</f>
        <v>65.900000000000006</v>
      </c>
      <c r="E14803" s="2">
        <v>49.86</v>
      </c>
      <c r="F14803" s="2">
        <v>2</v>
      </c>
      <c r="G14803" s="2" t="s">
        <v>9</v>
      </c>
    </row>
    <row r="14804" spans="1:9" x14ac:dyDescent="0.2">
      <c r="A14804" s="2" t="s">
        <v>3397</v>
      </c>
      <c r="B14804" s="2" t="s">
        <v>218</v>
      </c>
      <c r="C14804" s="2">
        <v>662.39319999999998</v>
      </c>
      <c r="D14804" s="2">
        <f>HYPERLINK("http://mcb-m6.bioreg.kyushu-u.ac.jp/M3/20110411/F50891/1662/1", 70.7)</f>
        <v>70.7</v>
      </c>
      <c r="E14804" s="2">
        <v>43.36</v>
      </c>
      <c r="F14804" s="2">
        <v>2</v>
      </c>
      <c r="G14804" s="2" t="s">
        <v>9</v>
      </c>
    </row>
    <row r="14805" spans="1:9" x14ac:dyDescent="0.2">
      <c r="A14805" s="2" t="s">
        <v>3397</v>
      </c>
      <c r="B14805" s="2" t="s">
        <v>1334</v>
      </c>
      <c r="C14805" s="2">
        <v>740.44420000000002</v>
      </c>
      <c r="D14805" s="2">
        <f>HYPERLINK("http://mcb-m6.bioreg.kyushu-u.ac.jp/M3/20110411/F50891/2090/1", 73.67)</f>
        <v>73.67</v>
      </c>
      <c r="E14805" s="2">
        <v>53.61</v>
      </c>
      <c r="F14805" s="2">
        <v>2</v>
      </c>
      <c r="G14805" s="2" t="s">
        <v>9</v>
      </c>
    </row>
    <row r="14806" spans="1:9" x14ac:dyDescent="0.2">
      <c r="A14806" s="2" t="s">
        <v>3397</v>
      </c>
      <c r="B14806" s="2" t="s">
        <v>192</v>
      </c>
      <c r="C14806" s="2">
        <v>1101.377</v>
      </c>
      <c r="D14806" s="2">
        <f>HYPERLINK("http://mcb-m6.bioreg.kyushu-u.ac.jp/M3/20110411/F50898/1681/1", 36.26)</f>
        <v>36.26</v>
      </c>
      <c r="E14806" s="2">
        <v>16.64</v>
      </c>
      <c r="F14806" s="2">
        <v>1</v>
      </c>
      <c r="G14806" s="2" t="s">
        <v>10</v>
      </c>
      <c r="I14806" s="2" t="s">
        <v>4890</v>
      </c>
    </row>
    <row r="14807" spans="1:9" x14ac:dyDescent="0.2">
      <c r="A14807" s="2" t="s">
        <v>3397</v>
      </c>
      <c r="B14807" s="2" t="s">
        <v>690</v>
      </c>
      <c r="C14807" s="2">
        <v>588.31619999999998</v>
      </c>
      <c r="D14807" s="2">
        <f>HYPERLINK("http://mcb-m6.bioreg.kyushu-u.ac.jp/M3/20110411/F50898/1754/1", 39.89)</f>
        <v>39.89</v>
      </c>
      <c r="E14807" s="2">
        <v>22.39</v>
      </c>
      <c r="F14807" s="2">
        <v>2</v>
      </c>
      <c r="G14807" s="2" t="s">
        <v>10</v>
      </c>
    </row>
    <row r="14808" spans="1:9" x14ac:dyDescent="0.2">
      <c r="A14808" s="2" t="s">
        <v>3397</v>
      </c>
      <c r="B14808" s="2" t="s">
        <v>447</v>
      </c>
      <c r="C14808" s="2">
        <v>672.28060000000005</v>
      </c>
      <c r="D14808" s="2">
        <f>HYPERLINK("http://mcb-m6.bioreg.kyushu-u.ac.jp/M3/20110411/F50898/1947/1", 52.14)</f>
        <v>52.14</v>
      </c>
      <c r="E14808" s="2">
        <v>37.78</v>
      </c>
      <c r="F14808" s="2">
        <v>2</v>
      </c>
      <c r="G14808" s="2" t="s">
        <v>10</v>
      </c>
    </row>
    <row r="14809" spans="1:9" x14ac:dyDescent="0.2">
      <c r="A14809" s="2" t="s">
        <v>3397</v>
      </c>
      <c r="B14809" s="2" t="s">
        <v>510</v>
      </c>
      <c r="C14809" s="2">
        <v>600.00070000000005</v>
      </c>
      <c r="D14809" s="2">
        <f>HYPERLINK("http://mcb-m6.bioreg.kyushu-u.ac.jp/M3/20110411/F50898/1789/1", 66.65)</f>
        <v>66.650000000000006</v>
      </c>
      <c r="E14809" s="2">
        <v>42.5</v>
      </c>
      <c r="F14809" s="2">
        <v>2</v>
      </c>
      <c r="G14809" s="2" t="s">
        <v>10</v>
      </c>
    </row>
    <row r="14810" spans="1:9" x14ac:dyDescent="0.2">
      <c r="A14810" s="2" t="s">
        <v>3397</v>
      </c>
      <c r="B14810" s="2" t="s">
        <v>192</v>
      </c>
      <c r="C14810" s="2">
        <v>551.66719999999998</v>
      </c>
      <c r="D14810" s="2">
        <f>HYPERLINK("http://mcb-m6.bioreg.kyushu-u.ac.jp/M3/20110414/F50929/1654/1", 40.31)</f>
        <v>40.31</v>
      </c>
      <c r="E14810" s="2">
        <v>22.79</v>
      </c>
      <c r="F14810" s="2">
        <v>2</v>
      </c>
      <c r="G14810" s="2" t="s">
        <v>11</v>
      </c>
      <c r="I14810" s="2" t="s">
        <v>4890</v>
      </c>
    </row>
    <row r="14811" spans="1:9" x14ac:dyDescent="0.2">
      <c r="A14811" s="2" t="s">
        <v>3397</v>
      </c>
      <c r="B14811" s="2" t="s">
        <v>690</v>
      </c>
      <c r="C14811" s="2">
        <v>588.14869999999996</v>
      </c>
      <c r="D14811" s="2">
        <f>HYPERLINK("http://mcb-m6.bioreg.kyushu-u.ac.jp/M3/20110414/F50928/1585/1", 41.6)</f>
        <v>41.6</v>
      </c>
      <c r="E14811" s="2">
        <v>27.4</v>
      </c>
      <c r="F14811" s="2">
        <v>2</v>
      </c>
      <c r="G14811" s="2" t="s">
        <v>11</v>
      </c>
    </row>
    <row r="14812" spans="1:9" x14ac:dyDescent="0.2">
      <c r="A14812" s="2" t="s">
        <v>3397</v>
      </c>
      <c r="B14812" s="2" t="s">
        <v>218</v>
      </c>
      <c r="C14812" s="2">
        <v>662.17570000000001</v>
      </c>
      <c r="D14812" s="2">
        <f>HYPERLINK("http://mcb-m6.bioreg.kyushu-u.ac.jp/M3/20110414/F50928/1876/1", 55.69)</f>
        <v>55.69</v>
      </c>
      <c r="E14812" s="2">
        <v>35.15</v>
      </c>
      <c r="F14812" s="2">
        <v>2</v>
      </c>
      <c r="G14812" s="2" t="s">
        <v>11</v>
      </c>
    </row>
    <row r="14813" spans="1:9" x14ac:dyDescent="0.2">
      <c r="A14813" s="2" t="s">
        <v>3397</v>
      </c>
      <c r="B14813" s="2" t="s">
        <v>218</v>
      </c>
      <c r="C14813" s="2">
        <v>662.68269999999995</v>
      </c>
      <c r="D14813" s="2">
        <f>HYPERLINK("http://mcb-m6.bioreg.kyushu-u.ac.jp/M3/20110414/F50928/1879/1", 80.3)</f>
        <v>80.3</v>
      </c>
      <c r="E14813" s="2">
        <v>48.21</v>
      </c>
      <c r="F14813" s="2">
        <v>2</v>
      </c>
      <c r="G14813" s="2" t="s">
        <v>11</v>
      </c>
    </row>
    <row r="14814" spans="1:9" x14ac:dyDescent="0.2">
      <c r="A14814" s="2" t="s">
        <v>3397</v>
      </c>
      <c r="B14814" s="2" t="s">
        <v>192</v>
      </c>
      <c r="C14814" s="2">
        <v>1101.4469999999999</v>
      </c>
      <c r="D14814" s="2">
        <f>HYPERLINK("http://mcb-m6.bioreg.kyushu-u.ac.jp/M3/20110414/F50933/1640/1", 37.63)</f>
        <v>37.630000000000003</v>
      </c>
      <c r="E14814" s="2">
        <v>17.18</v>
      </c>
      <c r="F14814" s="2">
        <v>1</v>
      </c>
      <c r="G14814" s="2" t="s">
        <v>12</v>
      </c>
      <c r="I14814" s="2" t="s">
        <v>4890</v>
      </c>
    </row>
    <row r="14815" spans="1:9" x14ac:dyDescent="0.2">
      <c r="A14815" s="2" t="s">
        <v>3397</v>
      </c>
      <c r="B14815" s="2" t="s">
        <v>218</v>
      </c>
      <c r="C14815" s="2">
        <v>662.42070000000001</v>
      </c>
      <c r="D14815" s="2">
        <f>HYPERLINK("http://mcb-m6.bioreg.kyushu-u.ac.jp/M3/20110414/F50933/2022/1", 40.77)</f>
        <v>40.770000000000003</v>
      </c>
      <c r="E14815" s="2">
        <v>19.100000000000001</v>
      </c>
      <c r="F14815" s="2">
        <v>2</v>
      </c>
      <c r="G14815" s="2" t="s">
        <v>12</v>
      </c>
    </row>
    <row r="14816" spans="1:9" x14ac:dyDescent="0.2">
      <c r="A14816" s="2" t="s">
        <v>3397</v>
      </c>
      <c r="B14816" s="2" t="s">
        <v>3151</v>
      </c>
      <c r="C14816" s="2">
        <v>472.69909999999999</v>
      </c>
      <c r="D14816" s="2">
        <f>HYPERLINK("http://mcb-m6.bioreg.kyushu-u.ac.jp/M3/20110502/F51178/962/1", 53.9)</f>
        <v>53.9</v>
      </c>
      <c r="E14816" s="2">
        <v>25.04</v>
      </c>
      <c r="F14816" s="2">
        <v>2</v>
      </c>
      <c r="G14816" s="2" t="s">
        <v>14</v>
      </c>
      <c r="H14816" s="2" t="s">
        <v>4920</v>
      </c>
    </row>
    <row r="14817" spans="1:9" x14ac:dyDescent="0.2">
      <c r="A14817" s="2" t="s">
        <v>4626</v>
      </c>
      <c r="B14817" s="2" t="s">
        <v>2767</v>
      </c>
      <c r="C14817" s="2">
        <v>814.9982</v>
      </c>
      <c r="D14817" s="2">
        <f>HYPERLINK("http://mcb-m6.bioreg.kyushu-u.ac.jp/M3/20110414/F50950/2592/1", 83.34)</f>
        <v>83.34</v>
      </c>
      <c r="E14817" s="2">
        <v>57.69</v>
      </c>
      <c r="F14817" s="2">
        <v>2</v>
      </c>
      <c r="G14817" s="2" t="s">
        <v>12</v>
      </c>
    </row>
    <row r="14818" spans="1:9" x14ac:dyDescent="0.2">
      <c r="A14818" s="2" t="s">
        <v>4626</v>
      </c>
      <c r="B14818" s="2" t="s">
        <v>3024</v>
      </c>
      <c r="C14818" s="2">
        <v>551.87869999999998</v>
      </c>
      <c r="D14818" s="2">
        <f>HYPERLINK("http://mcb-m6.bioreg.kyushu-u.ac.jp/M3/20110502/F51186/1031/1", 38.44)</f>
        <v>38.44</v>
      </c>
      <c r="E14818" s="2">
        <v>11.14</v>
      </c>
      <c r="F14818" s="2">
        <v>2</v>
      </c>
      <c r="G14818" s="2" t="s">
        <v>14</v>
      </c>
    </row>
    <row r="14819" spans="1:9" x14ac:dyDescent="0.2">
      <c r="A14819" s="2" t="s">
        <v>4886</v>
      </c>
      <c r="B14819" s="2" t="s">
        <v>3221</v>
      </c>
      <c r="C14819" s="2">
        <v>837.51120000000003</v>
      </c>
      <c r="D14819" s="2">
        <f>HYPERLINK("http://mcb-m6.bioreg.kyushu-u.ac.jp/M3/20110502/F51186/2272/1", 87.34)</f>
        <v>87.34</v>
      </c>
      <c r="E14819" s="2">
        <v>70.260000000000005</v>
      </c>
      <c r="F14819" s="2">
        <v>2</v>
      </c>
      <c r="G14819" s="2" t="s">
        <v>14</v>
      </c>
      <c r="I14819" s="2" t="s">
        <v>4944</v>
      </c>
    </row>
    <row r="14820" spans="1:9" x14ac:dyDescent="0.2">
      <c r="A14820" s="2" t="s">
        <v>3705</v>
      </c>
      <c r="B14820" s="2" t="s">
        <v>684</v>
      </c>
      <c r="C14820" s="2">
        <v>830.46</v>
      </c>
      <c r="D14820" s="2">
        <f>HYPERLINK("http://mcb-m6.bioreg.kyushu-u.ac.jp/M3/20110411/F50889/1228/1", 48.19)</f>
        <v>48.19</v>
      </c>
      <c r="E14820" s="2">
        <v>3.84</v>
      </c>
      <c r="F14820" s="2">
        <v>1</v>
      </c>
      <c r="G14820" s="2" t="s">
        <v>9</v>
      </c>
    </row>
    <row r="14821" spans="1:9" x14ac:dyDescent="0.2">
      <c r="A14821" s="2" t="s">
        <v>4272</v>
      </c>
      <c r="B14821" s="2" t="s">
        <v>1942</v>
      </c>
      <c r="C14821" s="2">
        <v>766.57920000000001</v>
      </c>
      <c r="D14821" s="2">
        <f>HYPERLINK("http://mcb-m6.bioreg.kyushu-u.ac.jp/M3/20110411/F50902/2167/1", 52.54)</f>
        <v>52.54</v>
      </c>
      <c r="E14821" s="2">
        <v>40.69</v>
      </c>
      <c r="F14821" s="2">
        <v>2</v>
      </c>
      <c r="G14821" s="2" t="s">
        <v>10</v>
      </c>
    </row>
    <row r="14822" spans="1:9" x14ac:dyDescent="0.2">
      <c r="A14822" s="2" t="s">
        <v>4272</v>
      </c>
      <c r="B14822" s="2" t="s">
        <v>1942</v>
      </c>
      <c r="C14822" s="2">
        <v>766.54359999999997</v>
      </c>
      <c r="D14822" s="2">
        <f>HYPERLINK("http://mcb-m6.bioreg.kyushu-u.ac.jp/M3/20110502/F51186/1978/1", 76.43)</f>
        <v>76.430000000000007</v>
      </c>
      <c r="E14822" s="2">
        <v>60.51</v>
      </c>
      <c r="F14822" s="2">
        <v>2</v>
      </c>
      <c r="G14822" s="2" t="s">
        <v>14</v>
      </c>
    </row>
    <row r="14823" spans="1:9" x14ac:dyDescent="0.2">
      <c r="A14823" s="2" t="s">
        <v>4533</v>
      </c>
      <c r="B14823" s="2" t="s">
        <v>2559</v>
      </c>
      <c r="C14823" s="2">
        <v>650.12660000000005</v>
      </c>
      <c r="D14823" s="2">
        <f>HYPERLINK("http://mcb-m6.bioreg.kyushu-u.ac.jp/M3/20110414/F50950/1612/1", 37.89)</f>
        <v>37.89</v>
      </c>
      <c r="E14823" s="2">
        <v>10.96</v>
      </c>
      <c r="F14823" s="2">
        <v>2</v>
      </c>
      <c r="G14823" s="2" t="s">
        <v>12</v>
      </c>
    </row>
    <row r="14824" spans="1:9" x14ac:dyDescent="0.2">
      <c r="A14824" s="2" t="s">
        <v>4533</v>
      </c>
      <c r="B14824" s="2" t="s">
        <v>2726</v>
      </c>
      <c r="C14824" s="2">
        <v>793.15309999999999</v>
      </c>
      <c r="D14824" s="2">
        <f>HYPERLINK("http://mcb-m6.bioreg.kyushu-u.ac.jp/M3/20110414/F50950/2484/1", 65.67)</f>
        <v>65.67</v>
      </c>
      <c r="E14824" s="2">
        <v>47.37</v>
      </c>
      <c r="F14824" s="2">
        <v>2</v>
      </c>
      <c r="G14824" s="2" t="s">
        <v>12</v>
      </c>
    </row>
    <row r="14825" spans="1:9" x14ac:dyDescent="0.2">
      <c r="A14825" s="2" t="s">
        <v>4533</v>
      </c>
      <c r="B14825" s="2" t="s">
        <v>2753</v>
      </c>
      <c r="C14825" s="2">
        <v>789.84169999999995</v>
      </c>
      <c r="D14825" s="2">
        <f>HYPERLINK("http://mcb-m6.bioreg.kyushu-u.ac.jp/M3/20110414/F50950/2461/1", 76.92)</f>
        <v>76.92</v>
      </c>
      <c r="E14825" s="2">
        <v>33.630000000000003</v>
      </c>
      <c r="F14825" s="2">
        <v>2</v>
      </c>
      <c r="G14825" s="2" t="s">
        <v>12</v>
      </c>
      <c r="I14825" s="2" t="s">
        <v>4895</v>
      </c>
    </row>
    <row r="14826" spans="1:9" x14ac:dyDescent="0.2">
      <c r="A14826" s="2" t="s">
        <v>4533</v>
      </c>
      <c r="B14826" s="2" t="s">
        <v>3172</v>
      </c>
      <c r="C14826" s="2">
        <v>792.3777</v>
      </c>
      <c r="D14826" s="2">
        <f>HYPERLINK("http://mcb-m6.bioreg.kyushu-u.ac.jp/M3/20110502/F51186/2110/1", 59.54)</f>
        <v>59.54</v>
      </c>
      <c r="E14826" s="2">
        <v>44.86</v>
      </c>
      <c r="F14826" s="2">
        <v>2</v>
      </c>
      <c r="G14826" s="2" t="s">
        <v>14</v>
      </c>
    </row>
    <row r="14827" spans="1:9" x14ac:dyDescent="0.2">
      <c r="A14827" s="2" t="s">
        <v>3886</v>
      </c>
      <c r="B14827" s="2" t="s">
        <v>1027</v>
      </c>
      <c r="C14827" s="2">
        <v>772.46510000000001</v>
      </c>
      <c r="D14827" s="2">
        <f>HYPERLINK("http://mcb-m6.bioreg.kyushu-u.ac.jp/M3/20110411/F50892/2365/1", 59.38)</f>
        <v>59.38</v>
      </c>
      <c r="E14827" s="2">
        <v>44.95</v>
      </c>
      <c r="F14827" s="2">
        <v>2</v>
      </c>
      <c r="G14827" s="2" t="s">
        <v>9</v>
      </c>
    </row>
    <row r="14828" spans="1:9" x14ac:dyDescent="0.2">
      <c r="A14828" s="2" t="s">
        <v>3795</v>
      </c>
      <c r="B14828" s="2" t="s">
        <v>842</v>
      </c>
      <c r="C14828" s="2">
        <v>577.79470000000003</v>
      </c>
      <c r="D14828" s="2">
        <f>HYPERLINK("http://mcb-m6.bioreg.kyushu-u.ac.jp/M3/20110411/F50891/1267/1", 53.08)</f>
        <v>53.08</v>
      </c>
      <c r="E14828" s="2">
        <v>37.54</v>
      </c>
      <c r="F14828" s="2">
        <v>2</v>
      </c>
      <c r="G14828" s="2" t="s">
        <v>9</v>
      </c>
      <c r="I14828" s="2" t="s">
        <v>4890</v>
      </c>
    </row>
    <row r="14829" spans="1:9" x14ac:dyDescent="0.2">
      <c r="A14829" s="2" t="s">
        <v>3795</v>
      </c>
      <c r="B14829" s="2" t="s">
        <v>842</v>
      </c>
      <c r="C14829" s="2">
        <v>577.04219999999998</v>
      </c>
      <c r="D14829" s="2">
        <f>HYPERLINK("http://mcb-m6.bioreg.kyushu-u.ac.jp/M3/20110414/F50928/1530/1", 60.39)</f>
        <v>60.39</v>
      </c>
      <c r="E14829" s="2">
        <v>34.76</v>
      </c>
      <c r="F14829" s="2">
        <v>2</v>
      </c>
      <c r="G14829" s="2" t="s">
        <v>11</v>
      </c>
      <c r="I14829" s="2" t="s">
        <v>4890</v>
      </c>
    </row>
    <row r="14830" spans="1:9" x14ac:dyDescent="0.2">
      <c r="A14830" s="2" t="s">
        <v>3795</v>
      </c>
      <c r="B14830" s="2" t="s">
        <v>842</v>
      </c>
      <c r="C14830" s="2">
        <v>577.54859999999996</v>
      </c>
      <c r="D14830" s="2">
        <f>HYPERLINK("http://mcb-m6.bioreg.kyushu-u.ac.jp/M3/20110414/F50928/1533/1", 60.64)</f>
        <v>60.64</v>
      </c>
      <c r="E14830" s="2">
        <v>28.34</v>
      </c>
      <c r="F14830" s="2">
        <v>2</v>
      </c>
      <c r="G14830" s="2" t="s">
        <v>11</v>
      </c>
      <c r="I14830" s="2" t="s">
        <v>4890</v>
      </c>
    </row>
    <row r="14831" spans="1:9" x14ac:dyDescent="0.2">
      <c r="A14831" s="2" t="s">
        <v>3795</v>
      </c>
      <c r="B14831" s="2" t="s">
        <v>842</v>
      </c>
      <c r="C14831" s="2">
        <v>577.44209999999998</v>
      </c>
      <c r="D14831" s="2">
        <f>HYPERLINK("http://mcb-m6.bioreg.kyushu-u.ac.jp/M3/20110502/F51169/1486/1", 64.41)</f>
        <v>64.41</v>
      </c>
      <c r="E14831" s="2">
        <v>44.1</v>
      </c>
      <c r="F14831" s="2">
        <v>2</v>
      </c>
      <c r="G14831" s="2" t="s">
        <v>13</v>
      </c>
      <c r="I14831" s="2" t="s">
        <v>4890</v>
      </c>
    </row>
    <row r="14832" spans="1:9" x14ac:dyDescent="0.2">
      <c r="A14832" s="2" t="s">
        <v>3795</v>
      </c>
      <c r="B14832" s="2" t="s">
        <v>842</v>
      </c>
      <c r="C14832" s="2">
        <v>577.55160000000001</v>
      </c>
      <c r="D14832" s="2">
        <f>HYPERLINK("http://mcb-m6.bioreg.kyushu-u.ac.jp/M3/20110502/F51178/1422/1", 61.39)</f>
        <v>61.39</v>
      </c>
      <c r="E14832" s="2">
        <v>42.76</v>
      </c>
      <c r="F14832" s="2">
        <v>2</v>
      </c>
      <c r="G14832" s="2" t="s">
        <v>14</v>
      </c>
      <c r="I14832" s="2" t="s">
        <v>4890</v>
      </c>
    </row>
    <row r="14833" spans="1:9" x14ac:dyDescent="0.2">
      <c r="A14833" s="2" t="s">
        <v>3896</v>
      </c>
      <c r="B14833" s="2" t="s">
        <v>1042</v>
      </c>
      <c r="C14833" s="2">
        <v>661.55470000000003</v>
      </c>
      <c r="D14833" s="2">
        <f>HYPERLINK("http://mcb-m6.bioreg.kyushu-u.ac.jp/M3/20110411/F50905/1616/1", 60.11)</f>
        <v>60.11</v>
      </c>
      <c r="E14833" s="2">
        <v>40.630000000000003</v>
      </c>
      <c r="F14833" s="2">
        <v>2</v>
      </c>
      <c r="G14833" s="2" t="s">
        <v>9</v>
      </c>
    </row>
    <row r="14834" spans="1:9" x14ac:dyDescent="0.2">
      <c r="A14834" s="2" t="s">
        <v>3896</v>
      </c>
      <c r="B14834" s="2" t="s">
        <v>1364</v>
      </c>
      <c r="C14834" s="2">
        <v>681.47810000000004</v>
      </c>
      <c r="D14834" s="2">
        <f>HYPERLINK("http://mcb-m6.bioreg.kyushu-u.ac.jp/M3/20110411/F50905/1707/1", 75.64)</f>
        <v>75.64</v>
      </c>
      <c r="E14834" s="2">
        <v>40.68</v>
      </c>
      <c r="F14834" s="2">
        <v>2</v>
      </c>
      <c r="G14834" s="2" t="s">
        <v>9</v>
      </c>
    </row>
    <row r="14835" spans="1:9" x14ac:dyDescent="0.2">
      <c r="A14835" s="2" t="s">
        <v>3896</v>
      </c>
      <c r="B14835" s="2" t="s">
        <v>1042</v>
      </c>
      <c r="C14835" s="2">
        <v>661.46870000000001</v>
      </c>
      <c r="D14835" s="2">
        <f>HYPERLINK("http://mcb-m6.bioreg.kyushu-u.ac.jp/M3/20110411/F50913/1621/1", 57.94)</f>
        <v>57.94</v>
      </c>
      <c r="E14835" s="2">
        <v>33.81</v>
      </c>
      <c r="F14835" s="2">
        <v>2</v>
      </c>
      <c r="G14835" s="2" t="s">
        <v>10</v>
      </c>
    </row>
    <row r="14836" spans="1:9" x14ac:dyDescent="0.2">
      <c r="A14836" s="2" t="s">
        <v>3896</v>
      </c>
      <c r="B14836" s="2" t="s">
        <v>1364</v>
      </c>
      <c r="C14836" s="2">
        <v>681.51570000000004</v>
      </c>
      <c r="D14836" s="2">
        <f>HYPERLINK("http://mcb-m6.bioreg.kyushu-u.ac.jp/M3/20110411/F50913/1711/1", 73.67)</f>
        <v>73.67</v>
      </c>
      <c r="E14836" s="2">
        <v>47.8</v>
      </c>
      <c r="F14836" s="2">
        <v>2</v>
      </c>
      <c r="G14836" s="2" t="s">
        <v>10</v>
      </c>
    </row>
    <row r="14837" spans="1:9" x14ac:dyDescent="0.2">
      <c r="A14837" s="2" t="s">
        <v>3896</v>
      </c>
      <c r="B14837" s="2" t="s">
        <v>1042</v>
      </c>
      <c r="C14837" s="2">
        <v>661.70870000000002</v>
      </c>
      <c r="D14837" s="2">
        <f>HYPERLINK("http://mcb-m6.bioreg.kyushu-u.ac.jp/M3/20110414/F50947/1440/1", 63.56)</f>
        <v>63.56</v>
      </c>
      <c r="E14837" s="2">
        <v>42.87</v>
      </c>
      <c r="F14837" s="2">
        <v>2</v>
      </c>
      <c r="G14837" s="2" t="s">
        <v>12</v>
      </c>
    </row>
    <row r="14838" spans="1:9" x14ac:dyDescent="0.2">
      <c r="A14838" s="2" t="s">
        <v>3896</v>
      </c>
      <c r="B14838" s="2" t="s">
        <v>1364</v>
      </c>
      <c r="C14838" s="2">
        <v>681.9357</v>
      </c>
      <c r="D14838" s="2">
        <f>HYPERLINK("http://mcb-m6.bioreg.kyushu-u.ac.jp/M3/20110502/F51170/1766/1", 75.32)</f>
        <v>75.319999999999993</v>
      </c>
      <c r="E14838" s="2">
        <v>46.54</v>
      </c>
      <c r="F14838" s="2">
        <v>2</v>
      </c>
      <c r="G14838" s="2" t="s">
        <v>13</v>
      </c>
    </row>
    <row r="14839" spans="1:9" x14ac:dyDescent="0.2">
      <c r="A14839" s="2" t="s">
        <v>3896</v>
      </c>
      <c r="B14839" s="2" t="s">
        <v>1364</v>
      </c>
      <c r="C14839" s="2">
        <v>681.56370000000004</v>
      </c>
      <c r="D14839" s="2">
        <f>HYPERLINK("http://mcb-m6.bioreg.kyushu-u.ac.jp/M3/20110502/F51179/1424/1", 75.78)</f>
        <v>75.78</v>
      </c>
      <c r="E14839" s="2">
        <v>40.15</v>
      </c>
      <c r="F14839" s="2">
        <v>2</v>
      </c>
      <c r="G14839" s="2" t="s">
        <v>14</v>
      </c>
    </row>
    <row r="14840" spans="1:9" x14ac:dyDescent="0.2">
      <c r="A14840" s="2" t="s">
        <v>3896</v>
      </c>
      <c r="B14840" s="2" t="s">
        <v>1042</v>
      </c>
      <c r="C14840" s="2">
        <v>661.52419999999995</v>
      </c>
      <c r="D14840" s="2">
        <f>HYPERLINK("http://mcb-m6.bioreg.kyushu-u.ac.jp/M3/20110502/F51179/1313/1", 83.63)</f>
        <v>83.63</v>
      </c>
      <c r="E14840" s="2">
        <v>59.75</v>
      </c>
      <c r="F14840" s="2">
        <v>2</v>
      </c>
      <c r="G14840" s="2" t="s">
        <v>14</v>
      </c>
    </row>
    <row r="14841" spans="1:9" x14ac:dyDescent="0.2">
      <c r="A14841" s="2" t="s">
        <v>4316</v>
      </c>
      <c r="B14841" s="2" t="s">
        <v>2083</v>
      </c>
      <c r="C14841" s="2">
        <v>762.67070000000001</v>
      </c>
      <c r="D14841" s="2">
        <f>HYPERLINK("http://mcb-m6.bioreg.kyushu-u.ac.jp/M3/20110411/F50902/2150/2", 75.72)</f>
        <v>75.72</v>
      </c>
      <c r="E14841" s="2">
        <v>48.75</v>
      </c>
      <c r="F14841" s="2">
        <v>2</v>
      </c>
      <c r="G14841" s="2" t="s">
        <v>10</v>
      </c>
    </row>
    <row r="14842" spans="1:9" x14ac:dyDescent="0.2">
      <c r="A14842" s="2" t="s">
        <v>4316</v>
      </c>
      <c r="B14842" s="2" t="s">
        <v>2083</v>
      </c>
      <c r="C14842" s="2">
        <v>762.36069999999995</v>
      </c>
      <c r="D14842" s="2">
        <f>HYPERLINK("http://mcb-m6.bioreg.kyushu-u.ac.jp/M3/20110414/F50943/2024/2", 56.06)</f>
        <v>56.06</v>
      </c>
      <c r="E14842" s="2">
        <v>40.450000000000003</v>
      </c>
      <c r="F14842" s="2">
        <v>2</v>
      </c>
      <c r="G14842" s="2" t="s">
        <v>11</v>
      </c>
    </row>
    <row r="14843" spans="1:9" x14ac:dyDescent="0.2">
      <c r="A14843" s="2" t="s">
        <v>4316</v>
      </c>
      <c r="B14843" s="2" t="s">
        <v>2083</v>
      </c>
      <c r="C14843" s="2">
        <v>762.54819999999995</v>
      </c>
      <c r="D14843" s="2">
        <f>HYPERLINK("http://mcb-m6.bioreg.kyushu-u.ac.jp/M3/20110502/F51184/1979/2", 60.3)</f>
        <v>60.3</v>
      </c>
      <c r="E14843" s="2">
        <v>35.15</v>
      </c>
      <c r="F14843" s="2">
        <v>2</v>
      </c>
      <c r="G14843" s="2" t="s">
        <v>14</v>
      </c>
    </row>
    <row r="14844" spans="1:9" x14ac:dyDescent="0.2">
      <c r="A14844" s="2" t="s">
        <v>4557</v>
      </c>
      <c r="B14844" s="2" t="s">
        <v>2593</v>
      </c>
      <c r="C14844" s="2">
        <v>743.09010000000001</v>
      </c>
      <c r="D14844" s="2">
        <f>HYPERLINK("http://mcb-m6.bioreg.kyushu-u.ac.jp/M3/20110414/F50949/2157/1", 40.33)</f>
        <v>40.33</v>
      </c>
      <c r="E14844" s="2">
        <v>26.21</v>
      </c>
      <c r="F14844" s="2">
        <v>2</v>
      </c>
      <c r="G14844" s="2" t="s">
        <v>12</v>
      </c>
      <c r="I14844" s="2" t="s">
        <v>4898</v>
      </c>
    </row>
    <row r="14845" spans="1:9" x14ac:dyDescent="0.2">
      <c r="A14845" s="2" t="s">
        <v>4074</v>
      </c>
      <c r="B14845" s="2" t="s">
        <v>1467</v>
      </c>
      <c r="C14845" s="2">
        <v>843.94169999999997</v>
      </c>
      <c r="D14845" s="2">
        <f>HYPERLINK("http://mcb-m6.bioreg.kyushu-u.ac.jp/M3/20110411/F50904/2499/1", 83.17)</f>
        <v>83.17</v>
      </c>
      <c r="E14845" s="2">
        <v>63.52</v>
      </c>
      <c r="F14845" s="2">
        <v>2</v>
      </c>
      <c r="G14845" s="2" t="s">
        <v>9</v>
      </c>
    </row>
    <row r="14846" spans="1:9" x14ac:dyDescent="0.2">
      <c r="A14846" s="2" t="s">
        <v>4074</v>
      </c>
      <c r="B14846" s="2" t="s">
        <v>1467</v>
      </c>
      <c r="C14846" s="2">
        <v>843.95619999999997</v>
      </c>
      <c r="D14846" s="2">
        <f>HYPERLINK("http://mcb-m6.bioreg.kyushu-u.ac.jp/M3/20110411/F50903/2515/1", 92.87)</f>
        <v>92.87</v>
      </c>
      <c r="E14846" s="2">
        <v>72.2</v>
      </c>
      <c r="F14846" s="2">
        <v>2</v>
      </c>
      <c r="G14846" s="2" t="s">
        <v>9</v>
      </c>
    </row>
    <row r="14847" spans="1:9" x14ac:dyDescent="0.2">
      <c r="A14847" s="2" t="s">
        <v>4074</v>
      </c>
      <c r="B14847" s="2" t="s">
        <v>1467</v>
      </c>
      <c r="C14847" s="2">
        <v>843.79909999999995</v>
      </c>
      <c r="D14847" s="2">
        <f>HYPERLINK("http://mcb-m6.bioreg.kyushu-u.ac.jp/M3/20110411/F50920/2042/1", 115.3)</f>
        <v>115.3</v>
      </c>
      <c r="E14847" s="2">
        <v>92.27</v>
      </c>
      <c r="F14847" s="2">
        <v>2</v>
      </c>
      <c r="G14847" s="2" t="s">
        <v>10</v>
      </c>
    </row>
    <row r="14848" spans="1:9" x14ac:dyDescent="0.2">
      <c r="A14848" s="2" t="s">
        <v>4628</v>
      </c>
      <c r="B14848" s="2" t="s">
        <v>2777</v>
      </c>
      <c r="C14848" s="2">
        <v>853.50160000000005</v>
      </c>
      <c r="D14848" s="2">
        <f>HYPERLINK("http://mcb-m6.bioreg.kyushu-u.ac.jp/M3/20110414/F50950/2783/1", 89.06)</f>
        <v>89.06</v>
      </c>
      <c r="E14848" s="2">
        <v>66.42</v>
      </c>
      <c r="F14848" s="2">
        <v>2</v>
      </c>
      <c r="G14848" s="2" t="s">
        <v>12</v>
      </c>
    </row>
    <row r="14849" spans="1:9" x14ac:dyDescent="0.2">
      <c r="A14849" s="2" t="s">
        <v>4434</v>
      </c>
      <c r="B14849" s="2" t="s">
        <v>2314</v>
      </c>
      <c r="C14849" s="2">
        <v>961.27099999999996</v>
      </c>
      <c r="D14849" s="2">
        <f>HYPERLINK("http://mcb-m6.bioreg.kyushu-u.ac.jp/M3/20110414/F50956/562/1", 45.4)</f>
        <v>45.4</v>
      </c>
      <c r="E14849" s="2">
        <v>3.65</v>
      </c>
      <c r="F14849" s="2">
        <v>1</v>
      </c>
      <c r="G14849" s="2" t="s">
        <v>11</v>
      </c>
      <c r="H14849" s="2" t="s">
        <v>4917</v>
      </c>
    </row>
    <row r="14850" spans="1:9" x14ac:dyDescent="0.2">
      <c r="A14850" s="2" t="s">
        <v>4744</v>
      </c>
      <c r="B14850" s="2" t="s">
        <v>2968</v>
      </c>
      <c r="C14850" s="2">
        <v>714.65369999999996</v>
      </c>
      <c r="D14850" s="2">
        <f>HYPERLINK("http://mcb-m6.bioreg.kyushu-u.ac.jp/M3/20110502/F51178/1989/1", 35.58)</f>
        <v>35.58</v>
      </c>
      <c r="E14850" s="2">
        <v>11.27</v>
      </c>
      <c r="F14850" s="2">
        <v>2</v>
      </c>
      <c r="G14850" s="2" t="s">
        <v>14</v>
      </c>
    </row>
    <row r="14851" spans="1:9" x14ac:dyDescent="0.2">
      <c r="A14851" s="2" t="s">
        <v>4173</v>
      </c>
      <c r="B14851" s="2" t="s">
        <v>1746</v>
      </c>
      <c r="C14851" s="2">
        <v>479.47859999999997</v>
      </c>
      <c r="D14851" s="2">
        <f>HYPERLINK("http://mcb-m6.bioreg.kyushu-u.ac.jp/M3/20110411/F50917/729/1", 37.49)</f>
        <v>37.49</v>
      </c>
      <c r="E14851" s="2">
        <v>8.52</v>
      </c>
      <c r="F14851" s="2">
        <v>2</v>
      </c>
      <c r="G14851" s="2" t="s">
        <v>10</v>
      </c>
      <c r="H14851" s="2" t="s">
        <v>4917</v>
      </c>
      <c r="I14851" s="2" t="s">
        <v>4898</v>
      </c>
    </row>
    <row r="14852" spans="1:9" x14ac:dyDescent="0.2">
      <c r="A14852" s="2" t="s">
        <v>3957</v>
      </c>
      <c r="B14852" s="2" t="s">
        <v>1168</v>
      </c>
      <c r="C14852" s="2">
        <v>652.01459999999997</v>
      </c>
      <c r="D14852" s="2">
        <f>HYPERLINK("http://mcb-m6.bioreg.kyushu-u.ac.jp/M3/20110411/F50895/1637/1", 65.7)</f>
        <v>65.7</v>
      </c>
      <c r="E14852" s="2">
        <v>48.13</v>
      </c>
      <c r="F14852" s="2">
        <v>2</v>
      </c>
      <c r="G14852" s="2" t="s">
        <v>9</v>
      </c>
    </row>
    <row r="14853" spans="1:9" x14ac:dyDescent="0.2">
      <c r="A14853" s="2" t="s">
        <v>3957</v>
      </c>
      <c r="B14853" s="2" t="s">
        <v>1168</v>
      </c>
      <c r="C14853" s="2">
        <v>651.87570000000005</v>
      </c>
      <c r="D14853" s="2">
        <f>HYPERLINK("http://mcb-m6.bioreg.kyushu-u.ac.jp/M3/20110414/F50950/1626/1", 82.34)</f>
        <v>82.34</v>
      </c>
      <c r="E14853" s="2">
        <v>53.87</v>
      </c>
      <c r="F14853" s="2">
        <v>2</v>
      </c>
      <c r="G14853" s="2" t="s">
        <v>12</v>
      </c>
    </row>
    <row r="14854" spans="1:9" x14ac:dyDescent="0.2">
      <c r="A14854" s="2" t="s">
        <v>3957</v>
      </c>
      <c r="B14854" s="2" t="s">
        <v>1168</v>
      </c>
      <c r="C14854" s="2">
        <v>652.10820000000001</v>
      </c>
      <c r="D14854" s="2">
        <f>HYPERLINK("http://mcb-m6.bioreg.kyushu-u.ac.jp/M3/20110502/F51185/1389/1", 86)</f>
        <v>86</v>
      </c>
      <c r="E14854" s="2">
        <v>59.76</v>
      </c>
      <c r="F14854" s="2">
        <v>2</v>
      </c>
      <c r="G14854" s="2" t="s">
        <v>14</v>
      </c>
    </row>
    <row r="14855" spans="1:9" x14ac:dyDescent="0.2">
      <c r="A14855" s="2" t="s">
        <v>3646</v>
      </c>
      <c r="B14855" s="2" t="s">
        <v>572</v>
      </c>
      <c r="C14855" s="2">
        <v>903.43</v>
      </c>
      <c r="D14855" s="2">
        <f>HYPERLINK("http://mcb-m6.bioreg.kyushu-u.ac.jp/M3/20110411/F50890/883/1", 45.18)</f>
        <v>45.18</v>
      </c>
      <c r="E14855" s="2">
        <v>16.079999999999998</v>
      </c>
      <c r="F14855" s="2">
        <v>1</v>
      </c>
      <c r="G14855" s="2" t="s">
        <v>9</v>
      </c>
    </row>
    <row r="14856" spans="1:9" x14ac:dyDescent="0.2">
      <c r="A14856" s="2" t="s">
        <v>3646</v>
      </c>
      <c r="B14856" s="2" t="s">
        <v>572</v>
      </c>
      <c r="C14856" s="2">
        <v>903.59900000000005</v>
      </c>
      <c r="D14856" s="2">
        <f>HYPERLINK("http://mcb-m6.bioreg.kyushu-u.ac.jp/M3/20110411/F50897/756/1", 51.61)</f>
        <v>51.61</v>
      </c>
      <c r="E14856" s="2">
        <v>23.76</v>
      </c>
      <c r="F14856" s="2">
        <v>1</v>
      </c>
      <c r="G14856" s="2" t="s">
        <v>10</v>
      </c>
    </row>
    <row r="14857" spans="1:9" x14ac:dyDescent="0.2">
      <c r="A14857" s="2" t="s">
        <v>3646</v>
      </c>
      <c r="B14857" s="2" t="s">
        <v>572</v>
      </c>
      <c r="C14857" s="2">
        <v>452.3476</v>
      </c>
      <c r="D14857" s="2">
        <f>HYPERLINK("http://mcb-m6.bioreg.kyushu-u.ac.jp/M3/20110502/F51168/968/1", 53.49)</f>
        <v>53.49</v>
      </c>
      <c r="E14857" s="2">
        <v>17.97</v>
      </c>
      <c r="F14857" s="2">
        <v>2</v>
      </c>
      <c r="G14857" s="2" t="s">
        <v>13</v>
      </c>
    </row>
    <row r="14858" spans="1:9" x14ac:dyDescent="0.2">
      <c r="A14858" s="2" t="s">
        <v>3646</v>
      </c>
      <c r="B14858" s="2" t="s">
        <v>572</v>
      </c>
      <c r="C14858" s="2">
        <v>452.47410000000002</v>
      </c>
      <c r="D14858" s="2">
        <f>HYPERLINK("http://mcb-m6.bioreg.kyushu-u.ac.jp/M3/20110502/F51177/467/1", 53.9)</f>
        <v>53.9</v>
      </c>
      <c r="E14858" s="2">
        <v>17.850000000000001</v>
      </c>
      <c r="F14858" s="2">
        <v>2</v>
      </c>
      <c r="G14858" s="2" t="s">
        <v>14</v>
      </c>
    </row>
    <row r="14859" spans="1:9" x14ac:dyDescent="0.2">
      <c r="A14859" s="2" t="s">
        <v>3543</v>
      </c>
      <c r="B14859" s="2" t="s">
        <v>399</v>
      </c>
      <c r="C14859" s="2">
        <v>777.17169999999999</v>
      </c>
      <c r="D14859" s="2">
        <f>HYPERLINK("http://mcb-m6.bioreg.kyushu-u.ac.jp/M3/20110411/F50911/2294/1", 41.14)</f>
        <v>41.14</v>
      </c>
      <c r="E14859" s="2">
        <v>25.91</v>
      </c>
      <c r="F14859" s="2">
        <v>2</v>
      </c>
      <c r="G14859" s="2" t="s">
        <v>9</v>
      </c>
      <c r="I14859" s="2" t="s">
        <v>4923</v>
      </c>
    </row>
    <row r="14860" spans="1:9" x14ac:dyDescent="0.2">
      <c r="A14860" s="2" t="s">
        <v>4020</v>
      </c>
      <c r="B14860" s="2" t="s">
        <v>1331</v>
      </c>
      <c r="C14860" s="2">
        <v>873.62959999999998</v>
      </c>
      <c r="D14860" s="2">
        <f>HYPERLINK("http://mcb-m6.bioreg.kyushu-u.ac.jp/M3/20110411/F50895/2698/1", 73.48)</f>
        <v>73.48</v>
      </c>
      <c r="E14860" s="2">
        <v>46.35</v>
      </c>
      <c r="F14860" s="2">
        <v>2</v>
      </c>
      <c r="G14860" s="2" t="s">
        <v>9</v>
      </c>
    </row>
    <row r="14861" spans="1:9" x14ac:dyDescent="0.2">
      <c r="A14861" s="2" t="s">
        <v>4020</v>
      </c>
      <c r="B14861" s="2" t="s">
        <v>1352</v>
      </c>
      <c r="C14861" s="2">
        <v>697.46010000000001</v>
      </c>
      <c r="D14861" s="2">
        <f>HYPERLINK("http://mcb-m6.bioreg.kyushu-u.ac.jp/M3/20110411/F50895/1869/1", 74.69)</f>
        <v>74.69</v>
      </c>
      <c r="E14861" s="2">
        <v>53.24</v>
      </c>
      <c r="F14861" s="2">
        <v>2</v>
      </c>
      <c r="G14861" s="2" t="s">
        <v>9</v>
      </c>
    </row>
    <row r="14862" spans="1:9" x14ac:dyDescent="0.2">
      <c r="A14862" s="2" t="s">
        <v>4020</v>
      </c>
      <c r="B14862" s="2" t="s">
        <v>1759</v>
      </c>
      <c r="C14862" s="2">
        <v>747.1816</v>
      </c>
      <c r="D14862" s="2">
        <f>HYPERLINK("http://mcb-m6.bioreg.kyushu-u.ac.jp/M3/20110411/F50901/2085/1", 38.12)</f>
        <v>38.119999999999997</v>
      </c>
      <c r="E14862" s="2">
        <v>22.57</v>
      </c>
      <c r="F14862" s="2">
        <v>2</v>
      </c>
      <c r="G14862" s="2" t="s">
        <v>10</v>
      </c>
    </row>
    <row r="14863" spans="1:9" x14ac:dyDescent="0.2">
      <c r="A14863" s="2" t="s">
        <v>4020</v>
      </c>
      <c r="B14863" s="2" t="s">
        <v>1850</v>
      </c>
      <c r="C14863" s="2">
        <v>474.0061</v>
      </c>
      <c r="D14863" s="2">
        <f>HYPERLINK("http://mcb-m6.bioreg.kyushu-u.ac.jp/M3/20110411/F50901/1132/1", 44.13)</f>
        <v>44.13</v>
      </c>
      <c r="E14863" s="2">
        <v>14.86</v>
      </c>
      <c r="F14863" s="2">
        <v>2</v>
      </c>
      <c r="G14863" s="2" t="s">
        <v>10</v>
      </c>
    </row>
    <row r="14864" spans="1:9" x14ac:dyDescent="0.2">
      <c r="A14864" s="2" t="s">
        <v>4020</v>
      </c>
      <c r="B14864" s="2" t="s">
        <v>2684</v>
      </c>
      <c r="C14864" s="2">
        <v>551.0317</v>
      </c>
      <c r="D14864" s="2">
        <f>HYPERLINK("http://mcb-m6.bioreg.kyushu-u.ac.jp/M3/20110414/F50950/1079/1", 53.25)</f>
        <v>53.25</v>
      </c>
      <c r="E14864" s="2">
        <v>23</v>
      </c>
      <c r="F14864" s="2">
        <v>2</v>
      </c>
      <c r="G14864" s="2" t="s">
        <v>12</v>
      </c>
    </row>
    <row r="14865" spans="1:9" x14ac:dyDescent="0.2">
      <c r="A14865" s="2" t="s">
        <v>4020</v>
      </c>
      <c r="B14865" s="2" t="s">
        <v>2695</v>
      </c>
      <c r="C14865" s="2">
        <v>725.03369999999995</v>
      </c>
      <c r="D14865" s="2">
        <f>HYPERLINK("http://mcb-m6.bioreg.kyushu-u.ac.jp/M3/20110414/F50950/2079/1", 54.69)</f>
        <v>54.69</v>
      </c>
      <c r="E14865" s="2">
        <v>11.13</v>
      </c>
      <c r="F14865" s="2">
        <v>2</v>
      </c>
      <c r="G14865" s="2" t="s">
        <v>12</v>
      </c>
    </row>
    <row r="14866" spans="1:9" x14ac:dyDescent="0.2">
      <c r="A14866" s="2" t="s">
        <v>4020</v>
      </c>
      <c r="B14866" s="2" t="s">
        <v>2707</v>
      </c>
      <c r="C14866" s="2">
        <v>803.01260000000002</v>
      </c>
      <c r="D14866" s="2">
        <f>HYPERLINK("http://mcb-m6.bioreg.kyushu-u.ac.jp/M3/20110414/F50950/2540/1", 59.26)</f>
        <v>59.26</v>
      </c>
      <c r="E14866" s="2">
        <v>31.18</v>
      </c>
      <c r="F14866" s="2">
        <v>2</v>
      </c>
      <c r="G14866" s="2" t="s">
        <v>12</v>
      </c>
    </row>
    <row r="14867" spans="1:9" x14ac:dyDescent="0.2">
      <c r="A14867" s="2" t="s">
        <v>4020</v>
      </c>
      <c r="B14867" s="2" t="s">
        <v>2684</v>
      </c>
      <c r="C14867" s="2">
        <v>551.53369999999995</v>
      </c>
      <c r="D14867" s="2">
        <f>HYPERLINK("http://mcb-m6.bioreg.kyushu-u.ac.jp/M3/20110414/F50950/1081/1", 60.19)</f>
        <v>60.19</v>
      </c>
      <c r="E14867" s="2">
        <v>24.26</v>
      </c>
      <c r="F14867" s="2">
        <v>2</v>
      </c>
      <c r="G14867" s="2" t="s">
        <v>12</v>
      </c>
    </row>
    <row r="14868" spans="1:9" x14ac:dyDescent="0.2">
      <c r="A14868" s="2" t="s">
        <v>4020</v>
      </c>
      <c r="B14868" s="2" t="s">
        <v>2711</v>
      </c>
      <c r="C14868" s="2">
        <v>801.79669999999999</v>
      </c>
      <c r="D14868" s="2">
        <f>HYPERLINK("http://mcb-m6.bioreg.kyushu-u.ac.jp/M3/20110414/F50950/2527/1", 60.2)</f>
        <v>60.2</v>
      </c>
      <c r="E14868" s="2">
        <v>34.51</v>
      </c>
      <c r="F14868" s="2">
        <v>2</v>
      </c>
      <c r="G14868" s="2" t="s">
        <v>12</v>
      </c>
      <c r="H14868" s="2" t="s">
        <v>4904</v>
      </c>
    </row>
    <row r="14869" spans="1:9" x14ac:dyDescent="0.2">
      <c r="A14869" s="2" t="s">
        <v>4020</v>
      </c>
      <c r="B14869" s="2" t="s">
        <v>2721</v>
      </c>
      <c r="C14869" s="2">
        <v>806.90219999999999</v>
      </c>
      <c r="D14869" s="2">
        <f>HYPERLINK("http://mcb-m6.bioreg.kyushu-u.ac.jp/M3/20110414/F50950/2559/1", 63.84)</f>
        <v>63.84</v>
      </c>
      <c r="E14869" s="2">
        <v>26.24</v>
      </c>
      <c r="F14869" s="2">
        <v>2</v>
      </c>
      <c r="G14869" s="2" t="s">
        <v>12</v>
      </c>
    </row>
    <row r="14870" spans="1:9" x14ac:dyDescent="0.2">
      <c r="A14870" s="2" t="s">
        <v>4020</v>
      </c>
      <c r="B14870" s="2" t="s">
        <v>2707</v>
      </c>
      <c r="C14870" s="2">
        <v>803.55110000000002</v>
      </c>
      <c r="D14870" s="2">
        <f>HYPERLINK("http://mcb-m6.bioreg.kyushu-u.ac.jp/M3/20110414/F50950/2543/1", 64.67)</f>
        <v>64.67</v>
      </c>
      <c r="E14870" s="2">
        <v>34.99</v>
      </c>
      <c r="F14870" s="2">
        <v>2</v>
      </c>
      <c r="G14870" s="2" t="s">
        <v>12</v>
      </c>
    </row>
    <row r="14871" spans="1:9" x14ac:dyDescent="0.2">
      <c r="A14871" s="2" t="s">
        <v>4020</v>
      </c>
      <c r="B14871" s="2" t="s">
        <v>1850</v>
      </c>
      <c r="C14871" s="2">
        <v>473.34910000000002</v>
      </c>
      <c r="D14871" s="2">
        <f>HYPERLINK("http://mcb-m6.bioreg.kyushu-u.ac.jp/M3/20110414/F50950/785/1", 66.77)</f>
        <v>66.77</v>
      </c>
      <c r="E14871" s="2">
        <v>16.36</v>
      </c>
      <c r="F14871" s="2">
        <v>2</v>
      </c>
      <c r="G14871" s="2" t="s">
        <v>12</v>
      </c>
    </row>
    <row r="14872" spans="1:9" x14ac:dyDescent="0.2">
      <c r="A14872" s="2" t="s">
        <v>4020</v>
      </c>
      <c r="B14872" s="2" t="s">
        <v>2729</v>
      </c>
      <c r="C14872" s="2">
        <v>495.46660000000003</v>
      </c>
      <c r="D14872" s="2">
        <f>HYPERLINK("http://mcb-m6.bioreg.kyushu-u.ac.jp/M3/20110414/F50950/848/1", 67.88)</f>
        <v>67.88</v>
      </c>
      <c r="E14872" s="2">
        <v>29.26</v>
      </c>
      <c r="F14872" s="2">
        <v>2</v>
      </c>
      <c r="G14872" s="2" t="s">
        <v>12</v>
      </c>
    </row>
    <row r="14873" spans="1:9" x14ac:dyDescent="0.2">
      <c r="A14873" s="2" t="s">
        <v>4020</v>
      </c>
      <c r="B14873" s="2" t="s">
        <v>2731</v>
      </c>
      <c r="C14873" s="2">
        <v>832.0566</v>
      </c>
      <c r="D14873" s="2">
        <f>HYPERLINK("http://mcb-m6.bioreg.kyushu-u.ac.jp/M3/20110414/F50950/2684/1", 69.13)</f>
        <v>69.13</v>
      </c>
      <c r="E14873" s="2">
        <v>47.83</v>
      </c>
      <c r="F14873" s="2">
        <v>2</v>
      </c>
      <c r="G14873" s="2" t="s">
        <v>12</v>
      </c>
    </row>
    <row r="14874" spans="1:9" x14ac:dyDescent="0.2">
      <c r="A14874" s="2" t="s">
        <v>4020</v>
      </c>
      <c r="B14874" s="2" t="s">
        <v>2752</v>
      </c>
      <c r="C14874" s="2">
        <v>754.03420000000006</v>
      </c>
      <c r="D14874" s="2">
        <f>HYPERLINK("http://mcb-m6.bioreg.kyushu-u.ac.jp/M3/20110414/F50950/2246/1", 76.73)</f>
        <v>76.73</v>
      </c>
      <c r="E14874" s="2">
        <v>36.64</v>
      </c>
      <c r="F14874" s="2">
        <v>2</v>
      </c>
      <c r="G14874" s="2" t="s">
        <v>12</v>
      </c>
      <c r="I14874" s="2" t="s">
        <v>4893</v>
      </c>
    </row>
    <row r="14875" spans="1:9" x14ac:dyDescent="0.2">
      <c r="A14875" s="2" t="s">
        <v>4020</v>
      </c>
      <c r="B14875" s="2" t="s">
        <v>1331</v>
      </c>
      <c r="C14875" s="2">
        <v>872.9932</v>
      </c>
      <c r="D14875" s="2">
        <f>HYPERLINK("http://mcb-m6.bioreg.kyushu-u.ac.jp/M3/20110414/F50950/2864/1", 81.45)</f>
        <v>81.45</v>
      </c>
      <c r="E14875" s="2">
        <v>52.26</v>
      </c>
      <c r="F14875" s="2">
        <v>2</v>
      </c>
      <c r="G14875" s="2" t="s">
        <v>12</v>
      </c>
    </row>
    <row r="14876" spans="1:9" x14ac:dyDescent="0.2">
      <c r="A14876" s="2" t="s">
        <v>4020</v>
      </c>
      <c r="B14876" s="2" t="s">
        <v>1331</v>
      </c>
      <c r="C14876" s="2">
        <v>873.51319999999998</v>
      </c>
      <c r="D14876" s="2">
        <f>HYPERLINK("http://mcb-m6.bioreg.kyushu-u.ac.jp/M3/20110414/F50950/2868/1", 85.92)</f>
        <v>85.92</v>
      </c>
      <c r="E14876" s="2">
        <v>56.01</v>
      </c>
      <c r="F14876" s="2">
        <v>2</v>
      </c>
      <c r="G14876" s="2" t="s">
        <v>12</v>
      </c>
    </row>
    <row r="14877" spans="1:9" x14ac:dyDescent="0.2">
      <c r="A14877" s="2" t="s">
        <v>4020</v>
      </c>
      <c r="B14877" s="2" t="s">
        <v>1352</v>
      </c>
      <c r="C14877" s="2">
        <v>697.04520000000002</v>
      </c>
      <c r="D14877" s="2">
        <f>HYPERLINK("http://mcb-m6.bioreg.kyushu-u.ac.jp/M3/20110414/F50950/1891/1", 86.5)</f>
        <v>86.5</v>
      </c>
      <c r="E14877" s="2">
        <v>54.49</v>
      </c>
      <c r="F14877" s="2">
        <v>2</v>
      </c>
      <c r="G14877" s="2" t="s">
        <v>12</v>
      </c>
    </row>
    <row r="14878" spans="1:9" x14ac:dyDescent="0.2">
      <c r="A14878" s="2" t="s">
        <v>4020</v>
      </c>
      <c r="B14878" s="2" t="s">
        <v>2785</v>
      </c>
      <c r="C14878" s="2">
        <v>929.11360000000002</v>
      </c>
      <c r="D14878" s="2">
        <f>HYPERLINK("http://mcb-m6.bioreg.kyushu-u.ac.jp/M3/20110414/F50950/3162/1", 104.21)</f>
        <v>104.21</v>
      </c>
      <c r="E14878" s="2">
        <v>70.36</v>
      </c>
      <c r="F14878" s="2">
        <v>2</v>
      </c>
      <c r="G14878" s="2" t="s">
        <v>12</v>
      </c>
    </row>
    <row r="14879" spans="1:9" x14ac:dyDescent="0.2">
      <c r="A14879" s="2" t="s">
        <v>4020</v>
      </c>
      <c r="B14879" s="2" t="s">
        <v>3089</v>
      </c>
      <c r="C14879" s="2">
        <v>736.60919999999999</v>
      </c>
      <c r="D14879" s="2">
        <f>HYPERLINK("http://mcb-m6.bioreg.kyushu-u.ac.jp/M3/20110502/F51185/1864/1", 43.51)</f>
        <v>43.51</v>
      </c>
      <c r="E14879" s="2">
        <v>22.27</v>
      </c>
      <c r="F14879" s="2">
        <v>2</v>
      </c>
      <c r="G14879" s="2" t="s">
        <v>14</v>
      </c>
    </row>
    <row r="14880" spans="1:9" x14ac:dyDescent="0.2">
      <c r="A14880" s="2" t="s">
        <v>4020</v>
      </c>
      <c r="B14880" s="2" t="s">
        <v>2695</v>
      </c>
      <c r="C14880" s="2">
        <v>725.63319999999999</v>
      </c>
      <c r="D14880" s="2">
        <f>HYPERLINK("http://mcb-m6.bioreg.kyushu-u.ac.jp/M3/20110502/F51185/1821/1", 51.55)</f>
        <v>51.55</v>
      </c>
      <c r="E14880" s="2">
        <v>22.93</v>
      </c>
      <c r="F14880" s="2">
        <v>2</v>
      </c>
      <c r="G14880" s="2" t="s">
        <v>14</v>
      </c>
    </row>
    <row r="14881" spans="1:7" x14ac:dyDescent="0.2">
      <c r="A14881" s="2" t="s">
        <v>4020</v>
      </c>
      <c r="B14881" s="2" t="s">
        <v>3177</v>
      </c>
      <c r="C14881" s="2">
        <v>555.0367</v>
      </c>
      <c r="D14881" s="2">
        <f>HYPERLINK("http://mcb-m6.bioreg.kyushu-u.ac.jp/M3/20110502/F51185/955/1", 62.15)</f>
        <v>62.15</v>
      </c>
      <c r="E14881" s="2">
        <v>11.91</v>
      </c>
      <c r="F14881" s="2">
        <v>2</v>
      </c>
      <c r="G14881" s="2" t="s">
        <v>14</v>
      </c>
    </row>
    <row r="14882" spans="1:7" x14ac:dyDescent="0.2">
      <c r="A14882" s="2" t="s">
        <v>4020</v>
      </c>
      <c r="B14882" s="2" t="s">
        <v>1331</v>
      </c>
      <c r="C14882" s="2">
        <v>873.72810000000004</v>
      </c>
      <c r="D14882" s="2">
        <f>HYPERLINK("http://mcb-m6.bioreg.kyushu-u.ac.jp/M3/20110502/F51185/2512/1", 104.47)</f>
        <v>104.47</v>
      </c>
      <c r="E14882" s="2">
        <v>66.94</v>
      </c>
      <c r="F14882" s="2">
        <v>2</v>
      </c>
      <c r="G14882" s="2" t="s">
        <v>14</v>
      </c>
    </row>
    <row r="14883" spans="1:7" x14ac:dyDescent="0.2">
      <c r="A14883" s="2" t="s">
        <v>4377</v>
      </c>
      <c r="B14883" s="2" t="s">
        <v>2209</v>
      </c>
      <c r="C14883" s="2">
        <v>944.34119999999996</v>
      </c>
      <c r="D14883" s="2">
        <f>HYPERLINK("http://mcb-m6.bioreg.kyushu-u.ac.jp/M3/20110414/F50943/2951/1", 37.32)</f>
        <v>37.32</v>
      </c>
      <c r="E14883" s="2">
        <v>28.84</v>
      </c>
      <c r="F14883" s="2">
        <v>2</v>
      </c>
      <c r="G14883" s="2" t="s">
        <v>11</v>
      </c>
    </row>
    <row r="14884" spans="1:7" x14ac:dyDescent="0.2">
      <c r="A14884" s="2" t="s">
        <v>3540</v>
      </c>
      <c r="B14884" s="2" t="s">
        <v>395</v>
      </c>
      <c r="C14884" s="2">
        <v>502.42360000000002</v>
      </c>
      <c r="D14884" s="2">
        <f>HYPERLINK("http://mcb-m6.bioreg.kyushu-u.ac.jp/M3/20110411/F50891/988/1", 41.09)</f>
        <v>41.09</v>
      </c>
      <c r="E14884" s="2">
        <v>15.53</v>
      </c>
      <c r="F14884" s="2">
        <v>2</v>
      </c>
      <c r="G14884" s="2" t="s">
        <v>9</v>
      </c>
    </row>
    <row r="14885" spans="1:7" x14ac:dyDescent="0.2">
      <c r="A14885" s="2" t="s">
        <v>3540</v>
      </c>
      <c r="B14885" s="2" t="s">
        <v>645</v>
      </c>
      <c r="C14885" s="2">
        <v>1165.5229999999999</v>
      </c>
      <c r="D14885" s="2">
        <f>HYPERLINK("http://mcb-m6.bioreg.kyushu-u.ac.jp/M3/20110411/F50891/1292/1", 47.1)</f>
        <v>47.1</v>
      </c>
      <c r="E14885" s="2">
        <v>24.54</v>
      </c>
      <c r="F14885" s="2">
        <v>1</v>
      </c>
      <c r="G14885" s="2" t="s">
        <v>9</v>
      </c>
    </row>
    <row r="14886" spans="1:7" x14ac:dyDescent="0.2">
      <c r="A14886" s="2" t="s">
        <v>3540</v>
      </c>
      <c r="B14886" s="2" t="s">
        <v>727</v>
      </c>
      <c r="C14886" s="2">
        <v>696.37919999999997</v>
      </c>
      <c r="D14886" s="2">
        <f>HYPERLINK("http://mcb-m6.bioreg.kyushu-u.ac.jp/M3/20110411/F50891/1846/1", 49.49)</f>
        <v>49.49</v>
      </c>
      <c r="E14886" s="2">
        <v>32.770000000000003</v>
      </c>
      <c r="F14886" s="2">
        <v>2</v>
      </c>
      <c r="G14886" s="2" t="s">
        <v>9</v>
      </c>
    </row>
    <row r="14887" spans="1:7" x14ac:dyDescent="0.2">
      <c r="A14887" s="2" t="s">
        <v>3540</v>
      </c>
      <c r="B14887" s="2" t="s">
        <v>737</v>
      </c>
      <c r="C14887" s="2">
        <v>1381.5039999999999</v>
      </c>
      <c r="D14887" s="2">
        <f>HYPERLINK("http://mcb-m6.bioreg.kyushu-u.ac.jp/M3/20110411/F50891/1803/1", 49.8)</f>
        <v>49.8</v>
      </c>
      <c r="E14887" s="2">
        <v>26.64</v>
      </c>
      <c r="F14887" s="2">
        <v>1</v>
      </c>
      <c r="G14887" s="2" t="s">
        <v>9</v>
      </c>
    </row>
    <row r="14888" spans="1:7" x14ac:dyDescent="0.2">
      <c r="A14888" s="2" t="s">
        <v>3540</v>
      </c>
      <c r="B14888" s="2" t="s">
        <v>727</v>
      </c>
      <c r="C14888" s="2">
        <v>1390.933</v>
      </c>
      <c r="D14888" s="2">
        <f>HYPERLINK("http://mcb-m6.bioreg.kyushu-u.ac.jp/M3/20110411/F50905/1786/1", 50.29)</f>
        <v>50.29</v>
      </c>
      <c r="E14888" s="2">
        <v>29.6</v>
      </c>
      <c r="F14888" s="2">
        <v>1</v>
      </c>
      <c r="G14888" s="2" t="s">
        <v>9</v>
      </c>
    </row>
    <row r="14889" spans="1:7" x14ac:dyDescent="0.2">
      <c r="A14889" s="2" t="s">
        <v>3540</v>
      </c>
      <c r="B14889" s="2" t="s">
        <v>737</v>
      </c>
      <c r="C14889" s="2">
        <v>1381.896</v>
      </c>
      <c r="D14889" s="2">
        <f>HYPERLINK("http://mcb-m6.bioreg.kyushu-u.ac.jp/M3/20110411/F50904/1791/1", 52.63)</f>
        <v>52.63</v>
      </c>
      <c r="E14889" s="2">
        <v>32.619999999999997</v>
      </c>
      <c r="F14889" s="2">
        <v>1</v>
      </c>
      <c r="G14889" s="2" t="s">
        <v>9</v>
      </c>
    </row>
    <row r="14890" spans="1:7" x14ac:dyDescent="0.2">
      <c r="A14890" s="2" t="s">
        <v>3540</v>
      </c>
      <c r="B14890" s="2" t="s">
        <v>737</v>
      </c>
      <c r="C14890" s="2">
        <v>691.30970000000002</v>
      </c>
      <c r="D14890" s="2">
        <f>HYPERLINK("http://mcb-m6.bioreg.kyushu-u.ac.jp/M3/20110411/F50892/1973/1", 54.48)</f>
        <v>54.48</v>
      </c>
      <c r="E14890" s="2">
        <v>43.02</v>
      </c>
      <c r="F14890" s="2">
        <v>2</v>
      </c>
      <c r="G14890" s="2" t="s">
        <v>9</v>
      </c>
    </row>
    <row r="14891" spans="1:7" x14ac:dyDescent="0.2">
      <c r="A14891" s="2" t="s">
        <v>3540</v>
      </c>
      <c r="B14891" s="2" t="s">
        <v>737</v>
      </c>
      <c r="C14891" s="2">
        <v>1381.788</v>
      </c>
      <c r="D14891" s="2">
        <f>HYPERLINK("http://mcb-m6.bioreg.kyushu-u.ac.jp/M3/20110411/F50911/1807/1", 55.16)</f>
        <v>55.16</v>
      </c>
      <c r="E14891" s="2">
        <v>36.19</v>
      </c>
      <c r="F14891" s="2">
        <v>1</v>
      </c>
      <c r="G14891" s="2" t="s">
        <v>9</v>
      </c>
    </row>
    <row r="14892" spans="1:7" x14ac:dyDescent="0.2">
      <c r="A14892" s="2" t="s">
        <v>3540</v>
      </c>
      <c r="B14892" s="2" t="s">
        <v>645</v>
      </c>
      <c r="C14892" s="2">
        <v>583.53809999999999</v>
      </c>
      <c r="D14892" s="2">
        <f>HYPERLINK("http://mcb-m6.bioreg.kyushu-u.ac.jp/M3/20110411/F50911/1317/1", 55.87)</f>
        <v>55.87</v>
      </c>
      <c r="E14892" s="2">
        <v>23.31</v>
      </c>
      <c r="F14892" s="2">
        <v>2</v>
      </c>
      <c r="G14892" s="2" t="s">
        <v>9</v>
      </c>
    </row>
    <row r="14893" spans="1:7" x14ac:dyDescent="0.2">
      <c r="A14893" s="2" t="s">
        <v>3540</v>
      </c>
      <c r="B14893" s="2" t="s">
        <v>737</v>
      </c>
      <c r="C14893" s="2">
        <v>1382.124</v>
      </c>
      <c r="D14893" s="2">
        <f>HYPERLINK("http://mcb-m6.bioreg.kyushu-u.ac.jp/M3/20110411/F50893/1953/1", 59.07)</f>
        <v>59.07</v>
      </c>
      <c r="E14893" s="2">
        <v>33.869999999999997</v>
      </c>
      <c r="F14893" s="2">
        <v>1</v>
      </c>
      <c r="G14893" s="2" t="s">
        <v>9</v>
      </c>
    </row>
    <row r="14894" spans="1:7" x14ac:dyDescent="0.2">
      <c r="A14894" s="2" t="s">
        <v>3540</v>
      </c>
      <c r="B14894" s="2" t="s">
        <v>737</v>
      </c>
      <c r="C14894" s="2">
        <v>1381.72</v>
      </c>
      <c r="D14894" s="2">
        <f>HYPERLINK("http://mcb-m6.bioreg.kyushu-u.ac.jp/M3/20110411/F50905/1758/1", 59.33)</f>
        <v>59.33</v>
      </c>
      <c r="E14894" s="2">
        <v>39.299999999999997</v>
      </c>
      <c r="F14894" s="2">
        <v>1</v>
      </c>
      <c r="G14894" s="2" t="s">
        <v>9</v>
      </c>
    </row>
    <row r="14895" spans="1:7" x14ac:dyDescent="0.2">
      <c r="A14895" s="2" t="s">
        <v>3540</v>
      </c>
      <c r="B14895" s="2" t="s">
        <v>645</v>
      </c>
      <c r="C14895" s="2">
        <v>583.44820000000004</v>
      </c>
      <c r="D14895" s="2">
        <f>HYPERLINK("http://mcb-m6.bioreg.kyushu-u.ac.jp/M3/20110411/F50905/1288/1", 59.6)</f>
        <v>59.6</v>
      </c>
      <c r="E14895" s="2">
        <v>22.95</v>
      </c>
      <c r="F14895" s="2">
        <v>2</v>
      </c>
      <c r="G14895" s="2" t="s">
        <v>9</v>
      </c>
    </row>
    <row r="14896" spans="1:7" x14ac:dyDescent="0.2">
      <c r="A14896" s="2" t="s">
        <v>3540</v>
      </c>
      <c r="B14896" s="2" t="s">
        <v>737</v>
      </c>
      <c r="C14896" s="2">
        <v>1381.915</v>
      </c>
      <c r="D14896" s="2">
        <f>HYPERLINK("http://mcb-m6.bioreg.kyushu-u.ac.jp/M3/20110411/F50895/1834/1", 61.25)</f>
        <v>61.25</v>
      </c>
      <c r="E14896" s="2">
        <v>37.49</v>
      </c>
      <c r="F14896" s="2">
        <v>1</v>
      </c>
      <c r="G14896" s="2" t="s">
        <v>9</v>
      </c>
    </row>
    <row r="14897" spans="1:7" x14ac:dyDescent="0.2">
      <c r="A14897" s="2" t="s">
        <v>3540</v>
      </c>
      <c r="B14897" s="2" t="s">
        <v>645</v>
      </c>
      <c r="C14897" s="2">
        <v>583.79769999999996</v>
      </c>
      <c r="D14897" s="2">
        <f>HYPERLINK("http://mcb-m6.bioreg.kyushu-u.ac.jp/M3/20110411/F50891/1296/1", 63.24)</f>
        <v>63.24</v>
      </c>
      <c r="E14897" s="2">
        <v>35.450000000000003</v>
      </c>
      <c r="F14897" s="2">
        <v>2</v>
      </c>
      <c r="G14897" s="2" t="s">
        <v>9</v>
      </c>
    </row>
    <row r="14898" spans="1:7" x14ac:dyDescent="0.2">
      <c r="A14898" s="2" t="s">
        <v>3540</v>
      </c>
      <c r="B14898" s="2" t="s">
        <v>645</v>
      </c>
      <c r="C14898" s="2">
        <v>583.29269999999997</v>
      </c>
      <c r="D14898" s="2">
        <f>HYPERLINK("http://mcb-m6.bioreg.kyushu-u.ac.jp/M3/20110411/F50891/1293/1", 63.47)</f>
        <v>63.47</v>
      </c>
      <c r="E14898" s="2">
        <v>39.11</v>
      </c>
      <c r="F14898" s="2">
        <v>2</v>
      </c>
      <c r="G14898" s="2" t="s">
        <v>9</v>
      </c>
    </row>
    <row r="14899" spans="1:7" x14ac:dyDescent="0.2">
      <c r="A14899" s="2" t="s">
        <v>3540</v>
      </c>
      <c r="B14899" s="2" t="s">
        <v>645</v>
      </c>
      <c r="C14899" s="2">
        <v>583.64070000000004</v>
      </c>
      <c r="D14899" s="2">
        <f>HYPERLINK("http://mcb-m6.bioreg.kyushu-u.ac.jp/M3/20110411/F50893/1571/1", 63.66)</f>
        <v>63.66</v>
      </c>
      <c r="E14899" s="2">
        <v>24.35</v>
      </c>
      <c r="F14899" s="2">
        <v>2</v>
      </c>
      <c r="G14899" s="2" t="s">
        <v>9</v>
      </c>
    </row>
    <row r="14900" spans="1:7" x14ac:dyDescent="0.2">
      <c r="A14900" s="2" t="s">
        <v>3540</v>
      </c>
      <c r="B14900" s="2" t="s">
        <v>727</v>
      </c>
      <c r="C14900" s="2">
        <v>695.83069999999998</v>
      </c>
      <c r="D14900" s="2">
        <f>HYPERLINK("http://mcb-m6.bioreg.kyushu-u.ac.jp/M3/20110411/F50891/1843/1", 70.21)</f>
        <v>70.209999999999994</v>
      </c>
      <c r="E14900" s="2">
        <v>45.43</v>
      </c>
      <c r="F14900" s="2">
        <v>2</v>
      </c>
      <c r="G14900" s="2" t="s">
        <v>9</v>
      </c>
    </row>
    <row r="14901" spans="1:7" x14ac:dyDescent="0.2">
      <c r="A14901" s="2" t="s">
        <v>3540</v>
      </c>
      <c r="B14901" s="2" t="s">
        <v>737</v>
      </c>
      <c r="C14901" s="2">
        <v>691.37660000000005</v>
      </c>
      <c r="D14901" s="2">
        <f>HYPERLINK("http://mcb-m6.bioreg.kyushu-u.ac.jp/M3/20110411/F50915/1611/1", 71.54)</f>
        <v>71.540000000000006</v>
      </c>
      <c r="E14901" s="2">
        <v>54.36</v>
      </c>
      <c r="F14901" s="2">
        <v>2</v>
      </c>
      <c r="G14901" s="2" t="s">
        <v>9</v>
      </c>
    </row>
    <row r="14902" spans="1:7" x14ac:dyDescent="0.2">
      <c r="A14902" s="2" t="s">
        <v>3540</v>
      </c>
      <c r="B14902" s="2" t="s">
        <v>727</v>
      </c>
      <c r="C14902" s="2">
        <v>695.91020000000003</v>
      </c>
      <c r="D14902" s="2">
        <f>HYPERLINK("http://mcb-m6.bioreg.kyushu-u.ac.jp/M3/20110411/F50890/1933/1", 74.15)</f>
        <v>74.150000000000006</v>
      </c>
      <c r="E14902" s="2">
        <v>56.77</v>
      </c>
      <c r="F14902" s="2">
        <v>2</v>
      </c>
      <c r="G14902" s="2" t="s">
        <v>9</v>
      </c>
    </row>
    <row r="14903" spans="1:7" x14ac:dyDescent="0.2">
      <c r="A14903" s="2" t="s">
        <v>3540</v>
      </c>
      <c r="B14903" s="2" t="s">
        <v>727</v>
      </c>
      <c r="C14903" s="2">
        <v>696.13419999999996</v>
      </c>
      <c r="D14903" s="2">
        <f>HYPERLINK("http://mcb-m6.bioreg.kyushu-u.ac.jp/M3/20110411/F50893/1977/1", 74.8)</f>
        <v>74.8</v>
      </c>
      <c r="E14903" s="2">
        <v>56.45</v>
      </c>
      <c r="F14903" s="2">
        <v>2</v>
      </c>
      <c r="G14903" s="2" t="s">
        <v>9</v>
      </c>
    </row>
    <row r="14904" spans="1:7" x14ac:dyDescent="0.2">
      <c r="A14904" s="2" t="s">
        <v>3540</v>
      </c>
      <c r="B14904" s="2" t="s">
        <v>737</v>
      </c>
      <c r="C14904" s="2">
        <v>691.59059999999999</v>
      </c>
      <c r="D14904" s="2">
        <f>HYPERLINK("http://mcb-m6.bioreg.kyushu-u.ac.jp/M3/20110411/F50891/1806/1", 79.45)</f>
        <v>79.45</v>
      </c>
      <c r="E14904" s="2">
        <v>64.349999999999994</v>
      </c>
      <c r="F14904" s="2">
        <v>2</v>
      </c>
      <c r="G14904" s="2" t="s">
        <v>9</v>
      </c>
    </row>
    <row r="14905" spans="1:7" x14ac:dyDescent="0.2">
      <c r="A14905" s="2" t="s">
        <v>3540</v>
      </c>
      <c r="B14905" s="2" t="s">
        <v>737</v>
      </c>
      <c r="C14905" s="2">
        <v>691.70169999999996</v>
      </c>
      <c r="D14905" s="2">
        <f>HYPERLINK("http://mcb-m6.bioreg.kyushu-u.ac.jp/M3/20110411/F50893/1954/1", 80.88)</f>
        <v>80.88</v>
      </c>
      <c r="E14905" s="2">
        <v>55.62</v>
      </c>
      <c r="F14905" s="2">
        <v>2</v>
      </c>
      <c r="G14905" s="2" t="s">
        <v>9</v>
      </c>
    </row>
    <row r="14906" spans="1:7" x14ac:dyDescent="0.2">
      <c r="A14906" s="2" t="s">
        <v>3540</v>
      </c>
      <c r="B14906" s="2" t="s">
        <v>737</v>
      </c>
      <c r="C14906" s="2">
        <v>691.4117</v>
      </c>
      <c r="D14906" s="2">
        <f>HYPERLINK("http://mcb-m6.bioreg.kyushu-u.ac.jp/M3/20110411/F50919/1389/1", 80.91)</f>
        <v>80.91</v>
      </c>
      <c r="E14906" s="2">
        <v>61.71</v>
      </c>
      <c r="F14906" s="2">
        <v>2</v>
      </c>
      <c r="G14906" s="2" t="s">
        <v>9</v>
      </c>
    </row>
    <row r="14907" spans="1:7" x14ac:dyDescent="0.2">
      <c r="A14907" s="2" t="s">
        <v>3540</v>
      </c>
      <c r="B14907" s="2" t="s">
        <v>737</v>
      </c>
      <c r="C14907" s="2">
        <v>691.52809999999999</v>
      </c>
      <c r="D14907" s="2">
        <f>HYPERLINK("http://mcb-m6.bioreg.kyushu-u.ac.jp/M3/20110411/F50894/2021/1", 81.5)</f>
        <v>81.5</v>
      </c>
      <c r="E14907" s="2">
        <v>62.97</v>
      </c>
      <c r="F14907" s="2">
        <v>2</v>
      </c>
      <c r="G14907" s="2" t="s">
        <v>9</v>
      </c>
    </row>
    <row r="14908" spans="1:7" x14ac:dyDescent="0.2">
      <c r="A14908" s="2" t="s">
        <v>3540</v>
      </c>
      <c r="B14908" s="2" t="s">
        <v>737</v>
      </c>
      <c r="C14908" s="2">
        <v>691.46559999999999</v>
      </c>
      <c r="D14908" s="2">
        <f>HYPERLINK("http://mcb-m6.bioreg.kyushu-u.ac.jp/M3/20110411/F50911/1808/1", 82.12)</f>
        <v>82.12</v>
      </c>
      <c r="E14908" s="2">
        <v>59.99</v>
      </c>
      <c r="F14908" s="2">
        <v>2</v>
      </c>
      <c r="G14908" s="2" t="s">
        <v>9</v>
      </c>
    </row>
    <row r="14909" spans="1:7" x14ac:dyDescent="0.2">
      <c r="A14909" s="2" t="s">
        <v>3540</v>
      </c>
      <c r="B14909" s="2" t="s">
        <v>737</v>
      </c>
      <c r="C14909" s="2">
        <v>691.41819999999996</v>
      </c>
      <c r="D14909" s="2">
        <f>HYPERLINK("http://mcb-m6.bioreg.kyushu-u.ac.jp/M3/20110411/F50916/1624/1", 82.19)</f>
        <v>82.19</v>
      </c>
      <c r="E14909" s="2">
        <v>60.76</v>
      </c>
      <c r="F14909" s="2">
        <v>2</v>
      </c>
      <c r="G14909" s="2" t="s">
        <v>9</v>
      </c>
    </row>
    <row r="14910" spans="1:7" x14ac:dyDescent="0.2">
      <c r="A14910" s="2" t="s">
        <v>3540</v>
      </c>
      <c r="B14910" s="2" t="s">
        <v>737</v>
      </c>
      <c r="C14910" s="2">
        <v>691.22770000000003</v>
      </c>
      <c r="D14910" s="2">
        <f>HYPERLINK("http://mcb-m6.bioreg.kyushu-u.ac.jp/M3/20110411/F50889/2082/1", 85.69)</f>
        <v>85.69</v>
      </c>
      <c r="E14910" s="2">
        <v>65.58</v>
      </c>
      <c r="F14910" s="2">
        <v>2</v>
      </c>
      <c r="G14910" s="2" t="s">
        <v>9</v>
      </c>
    </row>
    <row r="14911" spans="1:7" x14ac:dyDescent="0.2">
      <c r="A14911" s="2" t="s">
        <v>3540</v>
      </c>
      <c r="B14911" s="2" t="s">
        <v>737</v>
      </c>
      <c r="C14911" s="2">
        <v>691.50419999999997</v>
      </c>
      <c r="D14911" s="2">
        <f>HYPERLINK("http://mcb-m6.bioreg.kyushu-u.ac.jp/M3/20110411/F50905/1759/1", 85.92)</f>
        <v>85.92</v>
      </c>
      <c r="E14911" s="2">
        <v>65.59</v>
      </c>
      <c r="F14911" s="2">
        <v>2</v>
      </c>
      <c r="G14911" s="2" t="s">
        <v>9</v>
      </c>
    </row>
    <row r="14912" spans="1:7" x14ac:dyDescent="0.2">
      <c r="A14912" s="2" t="s">
        <v>3540</v>
      </c>
      <c r="B14912" s="2" t="s">
        <v>727</v>
      </c>
      <c r="C14912" s="2">
        <v>696.01760000000002</v>
      </c>
      <c r="D14912" s="2">
        <f>HYPERLINK("http://mcb-m6.bioreg.kyushu-u.ac.jp/M3/20110411/F50895/1865/1", 92.47)</f>
        <v>92.47</v>
      </c>
      <c r="E14912" s="2">
        <v>72.59</v>
      </c>
      <c r="F14912" s="2">
        <v>2</v>
      </c>
      <c r="G14912" s="2" t="s">
        <v>9</v>
      </c>
    </row>
    <row r="14913" spans="1:8" x14ac:dyDescent="0.2">
      <c r="A14913" s="2" t="s">
        <v>3540</v>
      </c>
      <c r="B14913" s="2" t="s">
        <v>727</v>
      </c>
      <c r="C14913" s="2">
        <v>696.08010000000002</v>
      </c>
      <c r="D14913" s="2">
        <f>HYPERLINK("http://mcb-m6.bioreg.kyushu-u.ac.jp/M3/20110411/F50911/1837/1", 95.84)</f>
        <v>95.84</v>
      </c>
      <c r="E14913" s="2">
        <v>78.16</v>
      </c>
      <c r="F14913" s="2">
        <v>2</v>
      </c>
      <c r="G14913" s="2" t="s">
        <v>9</v>
      </c>
    </row>
    <row r="14914" spans="1:8" x14ac:dyDescent="0.2">
      <c r="A14914" s="2" t="s">
        <v>3540</v>
      </c>
      <c r="B14914" s="2" t="s">
        <v>727</v>
      </c>
      <c r="C14914" s="2">
        <v>696.10220000000004</v>
      </c>
      <c r="D14914" s="2">
        <f>HYPERLINK("http://mcb-m6.bioreg.kyushu-u.ac.jp/M3/20110411/F50916/1654/1", 98.44)</f>
        <v>98.44</v>
      </c>
      <c r="E14914" s="2">
        <v>79.77</v>
      </c>
      <c r="F14914" s="2">
        <v>2</v>
      </c>
      <c r="G14914" s="2" t="s">
        <v>9</v>
      </c>
    </row>
    <row r="14915" spans="1:8" x14ac:dyDescent="0.2">
      <c r="A14915" s="2" t="s">
        <v>3540</v>
      </c>
      <c r="B14915" s="2" t="s">
        <v>727</v>
      </c>
      <c r="C14915" s="2">
        <v>695.85109999999997</v>
      </c>
      <c r="D14915" s="2">
        <f>HYPERLINK("http://mcb-m6.bioreg.kyushu-u.ac.jp/M3/20110411/F50891/1844/1", 118.7)</f>
        <v>118.7</v>
      </c>
      <c r="E14915" s="2">
        <v>98.74</v>
      </c>
      <c r="F14915" s="2">
        <v>2</v>
      </c>
      <c r="G14915" s="2" t="s">
        <v>9</v>
      </c>
    </row>
    <row r="14916" spans="1:8" x14ac:dyDescent="0.2">
      <c r="A14916" s="2" t="s">
        <v>3540</v>
      </c>
      <c r="B14916" s="2" t="s">
        <v>395</v>
      </c>
      <c r="C14916" s="2">
        <v>502.42959999999999</v>
      </c>
      <c r="D14916" s="2">
        <f>HYPERLINK("http://mcb-m6.bioreg.kyushu-u.ac.jp/M3/20110411/F50914/1062/1", 39.17)</f>
        <v>39.17</v>
      </c>
      <c r="E14916" s="2">
        <v>13.12</v>
      </c>
      <c r="F14916" s="2">
        <v>2</v>
      </c>
      <c r="G14916" s="2" t="s">
        <v>10</v>
      </c>
    </row>
    <row r="14917" spans="1:8" x14ac:dyDescent="0.2">
      <c r="A14917" s="2" t="s">
        <v>3540</v>
      </c>
      <c r="B14917" s="2" t="s">
        <v>737</v>
      </c>
      <c r="C14917" s="2">
        <v>1381.663</v>
      </c>
      <c r="D14917" s="2">
        <f>HYPERLINK("http://mcb-m6.bioreg.kyushu-u.ac.jp/M3/20110411/F50920/1332/1", 54.27)</f>
        <v>54.27</v>
      </c>
      <c r="E14917" s="2">
        <v>33.979999999999997</v>
      </c>
      <c r="F14917" s="2">
        <v>1</v>
      </c>
      <c r="G14917" s="2" t="s">
        <v>10</v>
      </c>
    </row>
    <row r="14918" spans="1:8" x14ac:dyDescent="0.2">
      <c r="A14918" s="2" t="s">
        <v>3540</v>
      </c>
      <c r="B14918" s="2" t="s">
        <v>727</v>
      </c>
      <c r="C14918" s="2">
        <v>1390.9449999999999</v>
      </c>
      <c r="D14918" s="2">
        <f>HYPERLINK("http://mcb-m6.bioreg.kyushu-u.ac.jp/M3/20110411/F50913/1792/1", 54.55)</f>
        <v>54.55</v>
      </c>
      <c r="E14918" s="2">
        <v>37.380000000000003</v>
      </c>
      <c r="F14918" s="2">
        <v>1</v>
      </c>
      <c r="G14918" s="2" t="s">
        <v>10</v>
      </c>
    </row>
    <row r="14919" spans="1:8" x14ac:dyDescent="0.2">
      <c r="A14919" s="2" t="s">
        <v>3540</v>
      </c>
      <c r="B14919" s="2" t="s">
        <v>645</v>
      </c>
      <c r="C14919" s="2">
        <v>583.34670000000006</v>
      </c>
      <c r="D14919" s="2">
        <f>HYPERLINK("http://mcb-m6.bioreg.kyushu-u.ac.jp/M3/20110411/F50914/1376/1", 55.82)</f>
        <v>55.82</v>
      </c>
      <c r="E14919" s="2">
        <v>31.92</v>
      </c>
      <c r="F14919" s="2">
        <v>2</v>
      </c>
      <c r="G14919" s="2" t="s">
        <v>10</v>
      </c>
    </row>
    <row r="14920" spans="1:8" x14ac:dyDescent="0.2">
      <c r="A14920" s="2" t="s">
        <v>3540</v>
      </c>
      <c r="B14920" s="2" t="s">
        <v>727</v>
      </c>
      <c r="C14920" s="2">
        <v>687.71469999999999</v>
      </c>
      <c r="D14920" s="2">
        <f>HYPERLINK("http://mcb-m6.bioreg.kyushu-u.ac.jp/M3/20110411/F50913/1743/1", 59.05)</f>
        <v>59.05</v>
      </c>
      <c r="E14920" s="2">
        <v>39.020000000000003</v>
      </c>
      <c r="F14920" s="2">
        <v>2</v>
      </c>
      <c r="G14920" s="2" t="s">
        <v>10</v>
      </c>
      <c r="H14920" s="2" t="s">
        <v>4904</v>
      </c>
    </row>
    <row r="14921" spans="1:8" x14ac:dyDescent="0.2">
      <c r="A14921" s="2" t="s">
        <v>3540</v>
      </c>
      <c r="B14921" s="2" t="s">
        <v>737</v>
      </c>
      <c r="C14921" s="2">
        <v>1381.71</v>
      </c>
      <c r="D14921" s="2">
        <f>HYPERLINK("http://mcb-m6.bioreg.kyushu-u.ac.jp/M3/20110411/F50913/1769/1", 59.38)</f>
        <v>59.38</v>
      </c>
      <c r="E14921" s="2">
        <v>36.46</v>
      </c>
      <c r="F14921" s="2">
        <v>1</v>
      </c>
      <c r="G14921" s="2" t="s">
        <v>10</v>
      </c>
    </row>
    <row r="14922" spans="1:8" x14ac:dyDescent="0.2">
      <c r="A14922" s="2" t="s">
        <v>3540</v>
      </c>
      <c r="B14922" s="2" t="s">
        <v>737</v>
      </c>
      <c r="C14922" s="2">
        <v>1381.8679999999999</v>
      </c>
      <c r="D14922" s="2">
        <f>HYPERLINK("http://mcb-m6.bioreg.kyushu-u.ac.jp/M3/20110411/F50901/1824/1", 61.91)</f>
        <v>61.91</v>
      </c>
      <c r="E14922" s="2">
        <v>34.72</v>
      </c>
      <c r="F14922" s="2">
        <v>1</v>
      </c>
      <c r="G14922" s="2" t="s">
        <v>10</v>
      </c>
    </row>
    <row r="14923" spans="1:8" x14ac:dyDescent="0.2">
      <c r="A14923" s="2" t="s">
        <v>3540</v>
      </c>
      <c r="B14923" s="2" t="s">
        <v>645</v>
      </c>
      <c r="C14923" s="2">
        <v>583.26869999999997</v>
      </c>
      <c r="D14923" s="2">
        <f>HYPERLINK("http://mcb-m6.bioreg.kyushu-u.ac.jp/M3/20110411/F50920/928/1", 61.98)</f>
        <v>61.98</v>
      </c>
      <c r="E14923" s="2">
        <v>35.19</v>
      </c>
      <c r="F14923" s="2">
        <v>2</v>
      </c>
      <c r="G14923" s="2" t="s">
        <v>10</v>
      </c>
    </row>
    <row r="14924" spans="1:8" x14ac:dyDescent="0.2">
      <c r="A14924" s="2" t="s">
        <v>3540</v>
      </c>
      <c r="B14924" s="2" t="s">
        <v>645</v>
      </c>
      <c r="C14924" s="2">
        <v>583.46510000000001</v>
      </c>
      <c r="D14924" s="2">
        <f>HYPERLINK("http://mcb-m6.bioreg.kyushu-u.ac.jp/M3/20110411/F50913/1331/1", 64.15)</f>
        <v>64.150000000000006</v>
      </c>
      <c r="E14924" s="2">
        <v>28.07</v>
      </c>
      <c r="F14924" s="2">
        <v>2</v>
      </c>
      <c r="G14924" s="2" t="s">
        <v>10</v>
      </c>
    </row>
    <row r="14925" spans="1:8" x14ac:dyDescent="0.2">
      <c r="A14925" s="2" t="s">
        <v>3540</v>
      </c>
      <c r="B14925" s="2" t="s">
        <v>737</v>
      </c>
      <c r="C14925" s="2">
        <v>691.45010000000002</v>
      </c>
      <c r="D14925" s="2">
        <f>HYPERLINK("http://mcb-m6.bioreg.kyushu-u.ac.jp/M3/20110411/F50918/1600/1", 66.77)</f>
        <v>66.77</v>
      </c>
      <c r="E14925" s="2">
        <v>50.87</v>
      </c>
      <c r="F14925" s="2">
        <v>2</v>
      </c>
      <c r="G14925" s="2" t="s">
        <v>10</v>
      </c>
    </row>
    <row r="14926" spans="1:8" x14ac:dyDescent="0.2">
      <c r="A14926" s="2" t="s">
        <v>3540</v>
      </c>
      <c r="B14926" s="2" t="s">
        <v>645</v>
      </c>
      <c r="C14926" s="2">
        <v>583.4357</v>
      </c>
      <c r="D14926" s="2">
        <f>HYPERLINK("http://mcb-m6.bioreg.kyushu-u.ac.jp/M3/20110411/F50901/1445/1", 73.67)</f>
        <v>73.67</v>
      </c>
      <c r="E14926" s="2">
        <v>40.26</v>
      </c>
      <c r="F14926" s="2">
        <v>2</v>
      </c>
      <c r="G14926" s="2" t="s">
        <v>10</v>
      </c>
    </row>
    <row r="14927" spans="1:8" x14ac:dyDescent="0.2">
      <c r="A14927" s="2" t="s">
        <v>3540</v>
      </c>
      <c r="B14927" s="2" t="s">
        <v>737</v>
      </c>
      <c r="C14927" s="2">
        <v>691.44920000000002</v>
      </c>
      <c r="D14927" s="2">
        <f>HYPERLINK("http://mcb-m6.bioreg.kyushu-u.ac.jp/M3/20110411/F50901/1825/1", 77.54)</f>
        <v>77.540000000000006</v>
      </c>
      <c r="E14927" s="2">
        <v>57.56</v>
      </c>
      <c r="F14927" s="2">
        <v>2</v>
      </c>
      <c r="G14927" s="2" t="s">
        <v>10</v>
      </c>
    </row>
    <row r="14928" spans="1:8" x14ac:dyDescent="0.2">
      <c r="A14928" s="2" t="s">
        <v>3540</v>
      </c>
      <c r="B14928" s="2" t="s">
        <v>737</v>
      </c>
      <c r="C14928" s="2">
        <v>691.44269999999995</v>
      </c>
      <c r="D14928" s="2">
        <f>HYPERLINK("http://mcb-m6.bioreg.kyushu-u.ac.jp/M3/20110411/F50896/1940/1", 77.56)</f>
        <v>77.56</v>
      </c>
      <c r="E14928" s="2">
        <v>53.7</v>
      </c>
      <c r="F14928" s="2">
        <v>2</v>
      </c>
      <c r="G14928" s="2" t="s">
        <v>10</v>
      </c>
    </row>
    <row r="14929" spans="1:7" x14ac:dyDescent="0.2">
      <c r="A14929" s="2" t="s">
        <v>3540</v>
      </c>
      <c r="B14929" s="2" t="s">
        <v>737</v>
      </c>
      <c r="C14929" s="2">
        <v>691.39009999999996</v>
      </c>
      <c r="D14929" s="2">
        <f>HYPERLINK("http://mcb-m6.bioreg.kyushu-u.ac.jp/M3/20110411/F50914/1844/1", 77.58)</f>
        <v>77.58</v>
      </c>
      <c r="E14929" s="2">
        <v>61.96</v>
      </c>
      <c r="F14929" s="2">
        <v>2</v>
      </c>
      <c r="G14929" s="2" t="s">
        <v>10</v>
      </c>
    </row>
    <row r="14930" spans="1:7" x14ac:dyDescent="0.2">
      <c r="A14930" s="2" t="s">
        <v>3540</v>
      </c>
      <c r="B14930" s="2" t="s">
        <v>737</v>
      </c>
      <c r="C14930" s="2">
        <v>691.45370000000003</v>
      </c>
      <c r="D14930" s="2">
        <f>HYPERLINK("http://mcb-m6.bioreg.kyushu-u.ac.jp/M3/20110411/F50917/1678/1", 79.32)</f>
        <v>79.319999999999993</v>
      </c>
      <c r="E14930" s="2">
        <v>61.56</v>
      </c>
      <c r="F14930" s="2">
        <v>2</v>
      </c>
      <c r="G14930" s="2" t="s">
        <v>10</v>
      </c>
    </row>
    <row r="14931" spans="1:7" x14ac:dyDescent="0.2">
      <c r="A14931" s="2" t="s">
        <v>3540</v>
      </c>
      <c r="B14931" s="2" t="s">
        <v>737</v>
      </c>
      <c r="C14931" s="2">
        <v>691.87459999999999</v>
      </c>
      <c r="D14931" s="2">
        <f>HYPERLINK("http://mcb-m6.bioreg.kyushu-u.ac.jp/M3/20110411/F50898/2010/1", 81.32)</f>
        <v>81.319999999999993</v>
      </c>
      <c r="E14931" s="2">
        <v>63.41</v>
      </c>
      <c r="F14931" s="2">
        <v>2</v>
      </c>
      <c r="G14931" s="2" t="s">
        <v>10</v>
      </c>
    </row>
    <row r="14932" spans="1:7" x14ac:dyDescent="0.2">
      <c r="A14932" s="2" t="s">
        <v>3540</v>
      </c>
      <c r="B14932" s="2" t="s">
        <v>737</v>
      </c>
      <c r="C14932" s="2">
        <v>691.51760000000002</v>
      </c>
      <c r="D14932" s="2">
        <f>HYPERLINK("http://mcb-m6.bioreg.kyushu-u.ac.jp/M3/20110411/F50912/1802/1", 82.05)</f>
        <v>82.05</v>
      </c>
      <c r="E14932" s="2">
        <v>53.45</v>
      </c>
      <c r="F14932" s="2">
        <v>2</v>
      </c>
      <c r="G14932" s="2" t="s">
        <v>10</v>
      </c>
    </row>
    <row r="14933" spans="1:7" x14ac:dyDescent="0.2">
      <c r="A14933" s="2" t="s">
        <v>3540</v>
      </c>
      <c r="B14933" s="2" t="s">
        <v>737</v>
      </c>
      <c r="C14933" s="2">
        <v>691.50570000000005</v>
      </c>
      <c r="D14933" s="2">
        <f>HYPERLINK("http://mcb-m6.bioreg.kyushu-u.ac.jp/M3/20110411/F50900/1932/1", 84.26)</f>
        <v>84.26</v>
      </c>
      <c r="E14933" s="2">
        <v>62.52</v>
      </c>
      <c r="F14933" s="2">
        <v>2</v>
      </c>
      <c r="G14933" s="2" t="s">
        <v>10</v>
      </c>
    </row>
    <row r="14934" spans="1:7" x14ac:dyDescent="0.2">
      <c r="A14934" s="2" t="s">
        <v>3540</v>
      </c>
      <c r="B14934" s="2" t="s">
        <v>737</v>
      </c>
      <c r="C14934" s="2">
        <v>691.82870000000003</v>
      </c>
      <c r="D14934" s="2">
        <f>HYPERLINK("http://mcb-m6.bioreg.kyushu-u.ac.jp/M3/20110411/F50921/1601/1", 85.75)</f>
        <v>85.75</v>
      </c>
      <c r="E14934" s="2">
        <v>71.66</v>
      </c>
      <c r="F14934" s="2">
        <v>2</v>
      </c>
      <c r="G14934" s="2" t="s">
        <v>10</v>
      </c>
    </row>
    <row r="14935" spans="1:7" x14ac:dyDescent="0.2">
      <c r="A14935" s="2" t="s">
        <v>3540</v>
      </c>
      <c r="B14935" s="2" t="s">
        <v>737</v>
      </c>
      <c r="C14935" s="2">
        <v>691.4932</v>
      </c>
      <c r="D14935" s="2">
        <f>HYPERLINK("http://mcb-m6.bioreg.kyushu-u.ac.jp/M3/20110411/F50913/1770/1", 85.79)</f>
        <v>85.79</v>
      </c>
      <c r="E14935" s="2">
        <v>67.36</v>
      </c>
      <c r="F14935" s="2">
        <v>2</v>
      </c>
      <c r="G14935" s="2" t="s">
        <v>10</v>
      </c>
    </row>
    <row r="14936" spans="1:7" x14ac:dyDescent="0.2">
      <c r="A14936" s="2" t="s">
        <v>3540</v>
      </c>
      <c r="B14936" s="2" t="s">
        <v>727</v>
      </c>
      <c r="C14936" s="2">
        <v>695.76670000000001</v>
      </c>
      <c r="D14936" s="2">
        <f>HYPERLINK("http://mcb-m6.bioreg.kyushu-u.ac.jp/M3/20110411/F50900/1950/1", 86.32)</f>
        <v>86.32</v>
      </c>
      <c r="E14936" s="2">
        <v>61.58</v>
      </c>
      <c r="F14936" s="2">
        <v>2</v>
      </c>
      <c r="G14936" s="2" t="s">
        <v>10</v>
      </c>
    </row>
    <row r="14937" spans="1:7" x14ac:dyDescent="0.2">
      <c r="A14937" s="2" t="s">
        <v>3540</v>
      </c>
      <c r="B14937" s="2" t="s">
        <v>727</v>
      </c>
      <c r="C14937" s="2">
        <v>696.07259999999997</v>
      </c>
      <c r="D14937" s="2">
        <f>HYPERLINK("http://mcb-m6.bioreg.kyushu-u.ac.jp/M3/20110411/F50918/1634/1", 88.82)</f>
        <v>88.82</v>
      </c>
      <c r="E14937" s="2">
        <v>72.849999999999994</v>
      </c>
      <c r="F14937" s="2">
        <v>2</v>
      </c>
      <c r="G14937" s="2" t="s">
        <v>10</v>
      </c>
    </row>
    <row r="14938" spans="1:7" x14ac:dyDescent="0.2">
      <c r="A14938" s="2" t="s">
        <v>3540</v>
      </c>
      <c r="B14938" s="2" t="s">
        <v>727</v>
      </c>
      <c r="C14938" s="2">
        <v>695.95119999999997</v>
      </c>
      <c r="D14938" s="2">
        <f>HYPERLINK("http://mcb-m6.bioreg.kyushu-u.ac.jp/M3/20110411/F50899/2065/1", 92.1)</f>
        <v>92.1</v>
      </c>
      <c r="E14938" s="2">
        <v>65.930000000000007</v>
      </c>
      <c r="F14938" s="2">
        <v>2</v>
      </c>
      <c r="G14938" s="2" t="s">
        <v>10</v>
      </c>
    </row>
    <row r="14939" spans="1:7" x14ac:dyDescent="0.2">
      <c r="A14939" s="2" t="s">
        <v>3540</v>
      </c>
      <c r="B14939" s="2" t="s">
        <v>737</v>
      </c>
      <c r="C14939" s="2">
        <v>691.10059999999999</v>
      </c>
      <c r="D14939" s="2">
        <f>HYPERLINK("http://mcb-m6.bioreg.kyushu-u.ac.jp/M3/20110411/F50920/1331/1", 95.54)</f>
        <v>95.54</v>
      </c>
      <c r="E14939" s="2">
        <v>79.34</v>
      </c>
      <c r="F14939" s="2">
        <v>2</v>
      </c>
      <c r="G14939" s="2" t="s">
        <v>10</v>
      </c>
    </row>
    <row r="14940" spans="1:7" x14ac:dyDescent="0.2">
      <c r="A14940" s="2" t="s">
        <v>3540</v>
      </c>
      <c r="B14940" s="2" t="s">
        <v>727</v>
      </c>
      <c r="C14940" s="2">
        <v>695.99469999999997</v>
      </c>
      <c r="D14940" s="2">
        <f>HYPERLINK("http://mcb-m6.bioreg.kyushu-u.ac.jp/M3/20110411/F50913/1793/1", 99.62)</f>
        <v>99.62</v>
      </c>
      <c r="E14940" s="2">
        <v>72.81</v>
      </c>
      <c r="F14940" s="2">
        <v>2</v>
      </c>
      <c r="G14940" s="2" t="s">
        <v>10</v>
      </c>
    </row>
    <row r="14941" spans="1:7" x14ac:dyDescent="0.2">
      <c r="A14941" s="2" t="s">
        <v>3540</v>
      </c>
      <c r="B14941" s="2" t="s">
        <v>645</v>
      </c>
      <c r="C14941" s="2">
        <v>583.09559999999999</v>
      </c>
      <c r="D14941" s="2">
        <f>HYPERLINK("http://mcb-m6.bioreg.kyushu-u.ac.jp/M3/20110414/F50924/1409/1", 38.33)</f>
        <v>38.33</v>
      </c>
      <c r="E14941" s="2">
        <v>15.25</v>
      </c>
      <c r="F14941" s="2">
        <v>2</v>
      </c>
      <c r="G14941" s="2" t="s">
        <v>11</v>
      </c>
    </row>
    <row r="14942" spans="1:7" x14ac:dyDescent="0.2">
      <c r="A14942" s="2" t="s">
        <v>3540</v>
      </c>
      <c r="B14942" s="2" t="s">
        <v>645</v>
      </c>
      <c r="C14942" s="2">
        <v>583.80909999999994</v>
      </c>
      <c r="D14942" s="2">
        <f>HYPERLINK("http://mcb-m6.bioreg.kyushu-u.ac.jp/M3/20110414/F50945/1365/1", 41.32)</f>
        <v>41.32</v>
      </c>
      <c r="E14942" s="2">
        <v>19.329999999999998</v>
      </c>
      <c r="F14942" s="2">
        <v>2</v>
      </c>
      <c r="G14942" s="2" t="s">
        <v>11</v>
      </c>
    </row>
    <row r="14943" spans="1:7" x14ac:dyDescent="0.2">
      <c r="A14943" s="2" t="s">
        <v>3540</v>
      </c>
      <c r="B14943" s="2" t="s">
        <v>737</v>
      </c>
      <c r="C14943" s="2">
        <v>691.40809999999999</v>
      </c>
      <c r="D14943" s="2">
        <f>HYPERLINK("http://mcb-m6.bioreg.kyushu-u.ac.jp/M3/20110414/F50945/1744/1", 49.01)</f>
        <v>49.01</v>
      </c>
      <c r="E14943" s="2">
        <v>29.64</v>
      </c>
      <c r="F14943" s="2">
        <v>2</v>
      </c>
      <c r="G14943" s="2" t="s">
        <v>11</v>
      </c>
    </row>
    <row r="14944" spans="1:7" x14ac:dyDescent="0.2">
      <c r="A14944" s="2" t="s">
        <v>3540</v>
      </c>
      <c r="B14944" s="2" t="s">
        <v>737</v>
      </c>
      <c r="C14944" s="2">
        <v>691.17660000000001</v>
      </c>
      <c r="D14944" s="2">
        <f>HYPERLINK("http://mcb-m6.bioreg.kyushu-u.ac.jp/M3/20110414/F50928/2025/1", 50.91)</f>
        <v>50.91</v>
      </c>
      <c r="E14944" s="2">
        <v>36.78</v>
      </c>
      <c r="F14944" s="2">
        <v>2</v>
      </c>
      <c r="G14944" s="2" t="s">
        <v>11</v>
      </c>
    </row>
    <row r="14945" spans="1:7" x14ac:dyDescent="0.2">
      <c r="A14945" s="2" t="s">
        <v>3540</v>
      </c>
      <c r="B14945" s="2" t="s">
        <v>645</v>
      </c>
      <c r="C14945" s="2">
        <v>583.22559999999999</v>
      </c>
      <c r="D14945" s="2">
        <f>HYPERLINK("http://mcb-m6.bioreg.kyushu-u.ac.jp/M3/20110414/F50925/1690/1", 55.99)</f>
        <v>55.99</v>
      </c>
      <c r="E14945" s="2">
        <v>32.04</v>
      </c>
      <c r="F14945" s="2">
        <v>2</v>
      </c>
      <c r="G14945" s="2" t="s">
        <v>11</v>
      </c>
    </row>
    <row r="14946" spans="1:7" x14ac:dyDescent="0.2">
      <c r="A14946" s="2" t="s">
        <v>3540</v>
      </c>
      <c r="B14946" s="2" t="s">
        <v>727</v>
      </c>
      <c r="C14946" s="2">
        <v>696.2097</v>
      </c>
      <c r="D14946" s="2">
        <f>HYPERLINK("http://mcb-m6.bioreg.kyushu-u.ac.jp/M3/20110414/F50925/2013/1", 57.52)</f>
        <v>57.52</v>
      </c>
      <c r="E14946" s="2">
        <v>39.4</v>
      </c>
      <c r="F14946" s="2">
        <v>2</v>
      </c>
      <c r="G14946" s="2" t="s">
        <v>11</v>
      </c>
    </row>
    <row r="14947" spans="1:7" x14ac:dyDescent="0.2">
      <c r="A14947" s="2" t="s">
        <v>3540</v>
      </c>
      <c r="B14947" s="2" t="s">
        <v>737</v>
      </c>
      <c r="C14947" s="2">
        <v>691.29060000000004</v>
      </c>
      <c r="D14947" s="2">
        <f>HYPERLINK("http://mcb-m6.bioreg.kyushu-u.ac.jp/M3/20110414/F50925/1990/1", 74.28)</f>
        <v>74.28</v>
      </c>
      <c r="E14947" s="2">
        <v>57.14</v>
      </c>
      <c r="F14947" s="2">
        <v>2</v>
      </c>
      <c r="G14947" s="2" t="s">
        <v>11</v>
      </c>
    </row>
    <row r="14948" spans="1:7" x14ac:dyDescent="0.2">
      <c r="A14948" s="2" t="s">
        <v>3540</v>
      </c>
      <c r="B14948" s="2" t="s">
        <v>737</v>
      </c>
      <c r="C14948" s="2">
        <v>1381.0550000000001</v>
      </c>
      <c r="D14948" s="2">
        <f>HYPERLINK("http://mcb-m6.bioreg.kyushu-u.ac.jp/M3/20110414/F50949/2020/1", 49.52)</f>
        <v>49.52</v>
      </c>
      <c r="E14948" s="2">
        <v>26.57</v>
      </c>
      <c r="F14948" s="2">
        <v>1</v>
      </c>
      <c r="G14948" s="2" t="s">
        <v>12</v>
      </c>
    </row>
    <row r="14949" spans="1:7" x14ac:dyDescent="0.2">
      <c r="A14949" s="2" t="s">
        <v>3540</v>
      </c>
      <c r="B14949" s="2" t="s">
        <v>737</v>
      </c>
      <c r="C14949" s="2">
        <v>691.92610000000002</v>
      </c>
      <c r="D14949" s="2">
        <f>HYPERLINK("http://mcb-m6.bioreg.kyushu-u.ac.jp/M3/20110414/F50949/2024/1", 53.13)</f>
        <v>53.13</v>
      </c>
      <c r="E14949" s="2">
        <v>19.739999999999998</v>
      </c>
      <c r="F14949" s="2">
        <v>2</v>
      </c>
      <c r="G14949" s="2" t="s">
        <v>12</v>
      </c>
    </row>
    <row r="14950" spans="1:7" x14ac:dyDescent="0.2">
      <c r="A14950" s="2" t="s">
        <v>3540</v>
      </c>
      <c r="B14950" s="2" t="s">
        <v>737</v>
      </c>
      <c r="C14950" s="2">
        <v>691.24959999999999</v>
      </c>
      <c r="D14950" s="2">
        <f>HYPERLINK("http://mcb-m6.bioreg.kyushu-u.ac.jp/M3/20110414/F50933/2149/1", 58.83)</f>
        <v>58.83</v>
      </c>
      <c r="E14950" s="2">
        <v>47.44</v>
      </c>
      <c r="F14950" s="2">
        <v>2</v>
      </c>
      <c r="G14950" s="2" t="s">
        <v>12</v>
      </c>
    </row>
    <row r="14951" spans="1:7" x14ac:dyDescent="0.2">
      <c r="A14951" s="2" t="s">
        <v>3540</v>
      </c>
      <c r="B14951" s="2" t="s">
        <v>645</v>
      </c>
      <c r="C14951" s="2">
        <v>583.49959999999999</v>
      </c>
      <c r="D14951" s="2">
        <f>HYPERLINK("http://mcb-m6.bioreg.kyushu-u.ac.jp/M3/20110414/F50947/1115/1", 58.84)</f>
        <v>58.84</v>
      </c>
      <c r="E14951" s="2">
        <v>35.71</v>
      </c>
      <c r="F14951" s="2">
        <v>2</v>
      </c>
      <c r="G14951" s="2" t="s">
        <v>12</v>
      </c>
    </row>
    <row r="14952" spans="1:7" x14ac:dyDescent="0.2">
      <c r="A14952" s="2" t="s">
        <v>3540</v>
      </c>
      <c r="B14952" s="2" t="s">
        <v>645</v>
      </c>
      <c r="C14952" s="2">
        <v>583.34310000000005</v>
      </c>
      <c r="D14952" s="2">
        <f>HYPERLINK("http://mcb-m6.bioreg.kyushu-u.ac.jp/M3/20110414/F50933/1754/1", 59.15)</f>
        <v>59.15</v>
      </c>
      <c r="E14952" s="2">
        <v>30.03</v>
      </c>
      <c r="F14952" s="2">
        <v>2</v>
      </c>
      <c r="G14952" s="2" t="s">
        <v>12</v>
      </c>
    </row>
    <row r="14953" spans="1:7" x14ac:dyDescent="0.2">
      <c r="A14953" s="2" t="s">
        <v>3540</v>
      </c>
      <c r="B14953" s="2" t="s">
        <v>737</v>
      </c>
      <c r="C14953" s="2">
        <v>691.63869999999997</v>
      </c>
      <c r="D14953" s="2">
        <f>HYPERLINK("http://mcb-m6.bioreg.kyushu-u.ac.jp/M3/20110414/F50948/1746/1", 61.62)</f>
        <v>61.62</v>
      </c>
      <c r="E14953" s="2">
        <v>40.43</v>
      </c>
      <c r="F14953" s="2">
        <v>2</v>
      </c>
      <c r="G14953" s="2" t="s">
        <v>12</v>
      </c>
    </row>
    <row r="14954" spans="1:7" x14ac:dyDescent="0.2">
      <c r="A14954" s="2" t="s">
        <v>3540</v>
      </c>
      <c r="B14954" s="2" t="s">
        <v>737</v>
      </c>
      <c r="C14954" s="2">
        <v>691.28269999999998</v>
      </c>
      <c r="D14954" s="2">
        <f>HYPERLINK("http://mcb-m6.bioreg.kyushu-u.ac.jp/M3/20110414/F50947/1617/1", 62.53)</f>
        <v>62.53</v>
      </c>
      <c r="E14954" s="2">
        <v>53.33</v>
      </c>
      <c r="F14954" s="2">
        <v>2</v>
      </c>
      <c r="G14954" s="2" t="s">
        <v>12</v>
      </c>
    </row>
    <row r="14955" spans="1:7" x14ac:dyDescent="0.2">
      <c r="A14955" s="2" t="s">
        <v>3540</v>
      </c>
      <c r="B14955" s="2" t="s">
        <v>645</v>
      </c>
      <c r="C14955" s="2">
        <v>583.83259999999996</v>
      </c>
      <c r="D14955" s="2">
        <f>HYPERLINK("http://mcb-m6.bioreg.kyushu-u.ac.jp/M3/20110414/F50949/1827/1", 65.06)</f>
        <v>65.06</v>
      </c>
      <c r="E14955" s="2">
        <v>32.08</v>
      </c>
      <c r="F14955" s="2">
        <v>2</v>
      </c>
      <c r="G14955" s="2" t="s">
        <v>12</v>
      </c>
    </row>
    <row r="14956" spans="1:7" x14ac:dyDescent="0.2">
      <c r="A14956" s="2" t="s">
        <v>3540</v>
      </c>
      <c r="B14956" s="2" t="s">
        <v>727</v>
      </c>
      <c r="C14956" s="2">
        <v>695.96420000000001</v>
      </c>
      <c r="D14956" s="2">
        <f>HYPERLINK("http://mcb-m6.bioreg.kyushu-u.ac.jp/M3/20110414/F50947/1647/1", 75.71)</f>
        <v>75.709999999999994</v>
      </c>
      <c r="E14956" s="2">
        <v>60.98</v>
      </c>
      <c r="F14956" s="2">
        <v>2</v>
      </c>
      <c r="G14956" s="2" t="s">
        <v>12</v>
      </c>
    </row>
    <row r="14957" spans="1:7" x14ac:dyDescent="0.2">
      <c r="A14957" s="2" t="s">
        <v>3540</v>
      </c>
      <c r="B14957" s="2" t="s">
        <v>737</v>
      </c>
      <c r="C14957" s="2">
        <v>690.95169999999996</v>
      </c>
      <c r="D14957" s="2">
        <f>HYPERLINK("http://mcb-m6.bioreg.kyushu-u.ac.jp/M3/20110414/F50949/2018/1", 76.33)</f>
        <v>76.33</v>
      </c>
      <c r="E14957" s="2">
        <v>52.65</v>
      </c>
      <c r="F14957" s="2">
        <v>2</v>
      </c>
      <c r="G14957" s="2" t="s">
        <v>12</v>
      </c>
    </row>
    <row r="14958" spans="1:7" x14ac:dyDescent="0.2">
      <c r="A14958" s="2" t="s">
        <v>3540</v>
      </c>
      <c r="B14958" s="2" t="s">
        <v>737</v>
      </c>
      <c r="C14958" s="2">
        <v>691.8691</v>
      </c>
      <c r="D14958" s="2">
        <f>HYPERLINK("http://mcb-m6.bioreg.kyushu-u.ac.jp/M3/20110414/F50933/2158/1", 77.5)</f>
        <v>77.5</v>
      </c>
      <c r="E14958" s="2">
        <v>62.39</v>
      </c>
      <c r="F14958" s="2">
        <v>2</v>
      </c>
      <c r="G14958" s="2" t="s">
        <v>12</v>
      </c>
    </row>
    <row r="14959" spans="1:7" x14ac:dyDescent="0.2">
      <c r="A14959" s="2" t="s">
        <v>3540</v>
      </c>
      <c r="B14959" s="2" t="s">
        <v>737</v>
      </c>
      <c r="C14959" s="2">
        <v>691.3981</v>
      </c>
      <c r="D14959" s="2">
        <f>HYPERLINK("http://mcb-m6.bioreg.kyushu-u.ac.jp/M3/20110414/F50963/1582/1", 78.8)</f>
        <v>78.8</v>
      </c>
      <c r="E14959" s="2">
        <v>65.2</v>
      </c>
      <c r="F14959" s="2">
        <v>2</v>
      </c>
      <c r="G14959" s="2" t="s">
        <v>12</v>
      </c>
    </row>
    <row r="14960" spans="1:7" x14ac:dyDescent="0.2">
      <c r="A14960" s="2" t="s">
        <v>3540</v>
      </c>
      <c r="B14960" s="2" t="s">
        <v>737</v>
      </c>
      <c r="C14960" s="2">
        <v>691.81209999999999</v>
      </c>
      <c r="D14960" s="2">
        <f>HYPERLINK("http://mcb-m6.bioreg.kyushu-u.ac.jp/M3/20110414/F50934/2137/1", 81.94)</f>
        <v>81.94</v>
      </c>
      <c r="E14960" s="2">
        <v>66.959999999999994</v>
      </c>
      <c r="F14960" s="2">
        <v>2</v>
      </c>
      <c r="G14960" s="2" t="s">
        <v>12</v>
      </c>
    </row>
    <row r="14961" spans="1:7" x14ac:dyDescent="0.2">
      <c r="A14961" s="2" t="s">
        <v>3540</v>
      </c>
      <c r="B14961" s="2" t="s">
        <v>737</v>
      </c>
      <c r="C14961" s="2">
        <v>691.12159999999994</v>
      </c>
      <c r="D14961" s="2">
        <f>HYPERLINK("http://mcb-m6.bioreg.kyushu-u.ac.jp/M3/20110414/F50948/1742/1", 84.4)</f>
        <v>84.4</v>
      </c>
      <c r="E14961" s="2">
        <v>67.7</v>
      </c>
      <c r="F14961" s="2">
        <v>2</v>
      </c>
      <c r="G14961" s="2" t="s">
        <v>12</v>
      </c>
    </row>
    <row r="14962" spans="1:7" x14ac:dyDescent="0.2">
      <c r="A14962" s="2" t="s">
        <v>3540</v>
      </c>
      <c r="B14962" s="2" t="s">
        <v>727</v>
      </c>
      <c r="C14962" s="2">
        <v>695.89170000000001</v>
      </c>
      <c r="D14962" s="2">
        <f>HYPERLINK("http://mcb-m6.bioreg.kyushu-u.ac.jp/M3/20110414/F50948/1789/1", 86.16)</f>
        <v>86.16</v>
      </c>
      <c r="E14962" s="2">
        <v>67.599999999999994</v>
      </c>
      <c r="F14962" s="2">
        <v>2</v>
      </c>
      <c r="G14962" s="2" t="s">
        <v>12</v>
      </c>
    </row>
    <row r="14963" spans="1:7" x14ac:dyDescent="0.2">
      <c r="A14963" s="2" t="s">
        <v>3540</v>
      </c>
      <c r="B14963" s="2" t="s">
        <v>737</v>
      </c>
      <c r="C14963" s="2">
        <v>690.95569999999998</v>
      </c>
      <c r="D14963" s="2">
        <f>HYPERLINK("http://mcb-m6.bioreg.kyushu-u.ac.jp/M3/20110414/F50950/1840/1", 98.76)</f>
        <v>98.76</v>
      </c>
      <c r="E14963" s="2">
        <v>65.89</v>
      </c>
      <c r="F14963" s="2">
        <v>2</v>
      </c>
      <c r="G14963" s="2" t="s">
        <v>12</v>
      </c>
    </row>
    <row r="14964" spans="1:7" x14ac:dyDescent="0.2">
      <c r="A14964" s="2" t="s">
        <v>3540</v>
      </c>
      <c r="B14964" s="2" t="s">
        <v>737</v>
      </c>
      <c r="C14964" s="2">
        <v>691.53309999999999</v>
      </c>
      <c r="D14964" s="2">
        <f>HYPERLINK("http://mcb-m6.bioreg.kyushu-u.ac.jp/M3/20110502/F51166/1947/1", 48.48)</f>
        <v>48.48</v>
      </c>
      <c r="E14964" s="2">
        <v>33.32</v>
      </c>
      <c r="F14964" s="2">
        <v>2</v>
      </c>
      <c r="G14964" s="2" t="s">
        <v>13</v>
      </c>
    </row>
    <row r="14965" spans="1:7" x14ac:dyDescent="0.2">
      <c r="A14965" s="2" t="s">
        <v>3540</v>
      </c>
      <c r="B14965" s="2" t="s">
        <v>645</v>
      </c>
      <c r="C14965" s="2">
        <v>583.46870000000001</v>
      </c>
      <c r="D14965" s="2">
        <f>HYPERLINK("http://mcb-m6.bioreg.kyushu-u.ac.jp/M3/20110502/F51171/1367/1", 54.57)</f>
        <v>54.57</v>
      </c>
      <c r="E14965" s="2">
        <v>20.07</v>
      </c>
      <c r="F14965" s="2">
        <v>2</v>
      </c>
      <c r="G14965" s="2" t="s">
        <v>13</v>
      </c>
    </row>
    <row r="14966" spans="1:7" x14ac:dyDescent="0.2">
      <c r="A14966" s="2" t="s">
        <v>3540</v>
      </c>
      <c r="B14966" s="2" t="s">
        <v>645</v>
      </c>
      <c r="C14966" s="2">
        <v>583.45569999999998</v>
      </c>
      <c r="D14966" s="2">
        <f>HYPERLINK("http://mcb-m6.bioreg.kyushu-u.ac.jp/M3/20110502/F51170/1349/1", 56.94)</f>
        <v>56.94</v>
      </c>
      <c r="E14966" s="2">
        <v>24.31</v>
      </c>
      <c r="F14966" s="2">
        <v>2</v>
      </c>
      <c r="G14966" s="2" t="s">
        <v>13</v>
      </c>
    </row>
    <row r="14967" spans="1:7" x14ac:dyDescent="0.2">
      <c r="A14967" s="2" t="s">
        <v>3540</v>
      </c>
      <c r="B14967" s="2" t="s">
        <v>737</v>
      </c>
      <c r="C14967" s="2">
        <v>691.92070000000001</v>
      </c>
      <c r="D14967" s="2">
        <f>HYPERLINK("http://mcb-m6.bioreg.kyushu-u.ac.jp/M3/20110502/F51168/1854/1", 62.91)</f>
        <v>62.91</v>
      </c>
      <c r="E14967" s="2">
        <v>46.37</v>
      </c>
      <c r="F14967" s="2">
        <v>2</v>
      </c>
      <c r="G14967" s="2" t="s">
        <v>13</v>
      </c>
    </row>
    <row r="14968" spans="1:7" x14ac:dyDescent="0.2">
      <c r="A14968" s="2" t="s">
        <v>3540</v>
      </c>
      <c r="B14968" s="2" t="s">
        <v>737</v>
      </c>
      <c r="C14968" s="2">
        <v>691.62959999999998</v>
      </c>
      <c r="D14968" s="2">
        <f>HYPERLINK("http://mcb-m6.bioreg.kyushu-u.ac.jp/M3/20110502/F51189/1560/1", 69.7)</f>
        <v>69.7</v>
      </c>
      <c r="E14968" s="2">
        <v>52.07</v>
      </c>
      <c r="F14968" s="2">
        <v>2</v>
      </c>
      <c r="G14968" s="2" t="s">
        <v>13</v>
      </c>
    </row>
    <row r="14969" spans="1:7" x14ac:dyDescent="0.2">
      <c r="A14969" s="2" t="s">
        <v>3540</v>
      </c>
      <c r="B14969" s="2" t="s">
        <v>737</v>
      </c>
      <c r="C14969" s="2">
        <v>691.79859999999996</v>
      </c>
      <c r="D14969" s="2">
        <f>HYPERLINK("http://mcb-m6.bioreg.kyushu-u.ac.jp/M3/20110502/F51173/1516/1", 78.72)</f>
        <v>78.72</v>
      </c>
      <c r="E14969" s="2">
        <v>60.02</v>
      </c>
      <c r="F14969" s="2">
        <v>2</v>
      </c>
      <c r="G14969" s="2" t="s">
        <v>13</v>
      </c>
    </row>
    <row r="14970" spans="1:7" x14ac:dyDescent="0.2">
      <c r="A14970" s="2" t="s">
        <v>3540</v>
      </c>
      <c r="B14970" s="2" t="s">
        <v>737</v>
      </c>
      <c r="C14970" s="2">
        <v>691.5367</v>
      </c>
      <c r="D14970" s="2">
        <f>HYPERLINK("http://mcb-m6.bioreg.kyushu-u.ac.jp/M3/20110502/F51172/1789/1", 79.28)</f>
        <v>79.28</v>
      </c>
      <c r="E14970" s="2">
        <v>53.76</v>
      </c>
      <c r="F14970" s="2">
        <v>2</v>
      </c>
      <c r="G14970" s="2" t="s">
        <v>13</v>
      </c>
    </row>
    <row r="14971" spans="1:7" x14ac:dyDescent="0.2">
      <c r="A14971" s="2" t="s">
        <v>3540</v>
      </c>
      <c r="B14971" s="2" t="s">
        <v>737</v>
      </c>
      <c r="C14971" s="2">
        <v>691.37620000000004</v>
      </c>
      <c r="D14971" s="2">
        <f>HYPERLINK("http://mcb-m6.bioreg.kyushu-u.ac.jp/M3/20110502/F51167/1885/1", 82.63)</f>
        <v>82.63</v>
      </c>
      <c r="E14971" s="2">
        <v>67.61</v>
      </c>
      <c r="F14971" s="2">
        <v>2</v>
      </c>
      <c r="G14971" s="2" t="s">
        <v>13</v>
      </c>
    </row>
    <row r="14972" spans="1:7" x14ac:dyDescent="0.2">
      <c r="A14972" s="2" t="s">
        <v>3540</v>
      </c>
      <c r="B14972" s="2" t="s">
        <v>737</v>
      </c>
      <c r="C14972" s="2">
        <v>691.48469999999998</v>
      </c>
      <c r="D14972" s="2">
        <f>HYPERLINK("http://mcb-m6.bioreg.kyushu-u.ac.jp/M3/20110502/F51188/1605/1", 85.82)</f>
        <v>85.82</v>
      </c>
      <c r="E14972" s="2">
        <v>69.05</v>
      </c>
      <c r="F14972" s="2">
        <v>2</v>
      </c>
      <c r="G14972" s="2" t="s">
        <v>13</v>
      </c>
    </row>
    <row r="14973" spans="1:7" x14ac:dyDescent="0.2">
      <c r="A14973" s="2" t="s">
        <v>3540</v>
      </c>
      <c r="B14973" s="2" t="s">
        <v>737</v>
      </c>
      <c r="C14973" s="2">
        <v>691.70320000000004</v>
      </c>
      <c r="D14973" s="2">
        <f>HYPERLINK("http://mcb-m6.bioreg.kyushu-u.ac.jp/M3/20110502/F51180/1521/1", 87.07)</f>
        <v>87.07</v>
      </c>
      <c r="E14973" s="2">
        <v>67.7</v>
      </c>
      <c r="F14973" s="2">
        <v>2</v>
      </c>
      <c r="G14973" s="2" t="s">
        <v>13</v>
      </c>
    </row>
    <row r="14974" spans="1:7" x14ac:dyDescent="0.2">
      <c r="A14974" s="2" t="s">
        <v>3540</v>
      </c>
      <c r="B14974" s="2" t="s">
        <v>737</v>
      </c>
      <c r="C14974" s="2">
        <v>691.4692</v>
      </c>
      <c r="D14974" s="2">
        <f>HYPERLINK("http://mcb-m6.bioreg.kyushu-u.ac.jp/M3/20110502/F51170/1824/1", 89.46)</f>
        <v>89.46</v>
      </c>
      <c r="E14974" s="2">
        <v>71.27</v>
      </c>
      <c r="F14974" s="2">
        <v>2</v>
      </c>
      <c r="G14974" s="2" t="s">
        <v>13</v>
      </c>
    </row>
    <row r="14975" spans="1:7" x14ac:dyDescent="0.2">
      <c r="A14975" s="2" t="s">
        <v>3540</v>
      </c>
      <c r="B14975" s="2" t="s">
        <v>737</v>
      </c>
      <c r="C14975" s="2">
        <v>691.90470000000005</v>
      </c>
      <c r="D14975" s="2">
        <f>HYPERLINK("http://mcb-m6.bioreg.kyushu-u.ac.jp/M3/20110502/F51169/1905/1", 89.87)</f>
        <v>89.87</v>
      </c>
      <c r="E14975" s="2">
        <v>71.28</v>
      </c>
      <c r="F14975" s="2">
        <v>2</v>
      </c>
      <c r="G14975" s="2" t="s">
        <v>13</v>
      </c>
    </row>
    <row r="14976" spans="1:7" x14ac:dyDescent="0.2">
      <c r="A14976" s="2" t="s">
        <v>3540</v>
      </c>
      <c r="B14976" s="2" t="s">
        <v>727</v>
      </c>
      <c r="C14976" s="2">
        <v>696.16359999999997</v>
      </c>
      <c r="D14976" s="2">
        <f>HYPERLINK("http://mcb-m6.bioreg.kyushu-u.ac.jp/M3/20110502/F51174/1784/1", 92.22)</f>
        <v>92.22</v>
      </c>
      <c r="E14976" s="2">
        <v>71.150000000000006</v>
      </c>
      <c r="F14976" s="2">
        <v>2</v>
      </c>
      <c r="G14976" s="2" t="s">
        <v>13</v>
      </c>
    </row>
    <row r="14977" spans="1:7" x14ac:dyDescent="0.2">
      <c r="A14977" s="2" t="s">
        <v>3540</v>
      </c>
      <c r="B14977" s="2" t="s">
        <v>727</v>
      </c>
      <c r="C14977" s="2">
        <v>696.00919999999996</v>
      </c>
      <c r="D14977" s="2">
        <f>HYPERLINK("http://mcb-m6.bioreg.kyushu-u.ac.jp/M3/20110502/F51171/1821/1", 96.21)</f>
        <v>96.21</v>
      </c>
      <c r="E14977" s="2">
        <v>74.38</v>
      </c>
      <c r="F14977" s="2">
        <v>2</v>
      </c>
      <c r="G14977" s="2" t="s">
        <v>13</v>
      </c>
    </row>
    <row r="14978" spans="1:7" x14ac:dyDescent="0.2">
      <c r="A14978" s="2" t="s">
        <v>3540</v>
      </c>
      <c r="B14978" s="2" t="s">
        <v>727</v>
      </c>
      <c r="C14978" s="2">
        <v>696.04169999999999</v>
      </c>
      <c r="D14978" s="2">
        <f>HYPERLINK("http://mcb-m6.bioreg.kyushu-u.ac.jp/M3/20110502/F51175/1725/1", 112.48)</f>
        <v>112.48</v>
      </c>
      <c r="E14978" s="2">
        <v>92.47</v>
      </c>
      <c r="F14978" s="2">
        <v>2</v>
      </c>
      <c r="G14978" s="2" t="s">
        <v>13</v>
      </c>
    </row>
    <row r="14979" spans="1:7" x14ac:dyDescent="0.2">
      <c r="A14979" s="2" t="s">
        <v>3540</v>
      </c>
      <c r="B14979" s="2" t="s">
        <v>645</v>
      </c>
      <c r="C14979" s="2">
        <v>583.33219999999994</v>
      </c>
      <c r="D14979" s="2">
        <f>HYPERLINK("http://mcb-m6.bioreg.kyushu-u.ac.jp/M3/20110502/F51177/1009/1", 35.5)</f>
        <v>35.5</v>
      </c>
      <c r="E14979" s="2">
        <v>15.44</v>
      </c>
      <c r="F14979" s="2">
        <v>2</v>
      </c>
      <c r="G14979" s="2" t="s">
        <v>14</v>
      </c>
    </row>
    <row r="14980" spans="1:7" x14ac:dyDescent="0.2">
      <c r="A14980" s="2" t="s">
        <v>3540</v>
      </c>
      <c r="B14980" s="2" t="s">
        <v>395</v>
      </c>
      <c r="C14980" s="2">
        <v>502.5256</v>
      </c>
      <c r="D14980" s="2">
        <f>HYPERLINK("http://mcb-m6.bioreg.kyushu-u.ac.jp/M3/20110502/F51178/1104/1", 40.31)</f>
        <v>40.31</v>
      </c>
      <c r="E14980" s="2">
        <v>8.5</v>
      </c>
      <c r="F14980" s="2">
        <v>2</v>
      </c>
      <c r="G14980" s="2" t="s">
        <v>14</v>
      </c>
    </row>
    <row r="14981" spans="1:7" x14ac:dyDescent="0.2">
      <c r="A14981" s="2" t="s">
        <v>3540</v>
      </c>
      <c r="B14981" s="2" t="s">
        <v>395</v>
      </c>
      <c r="C14981" s="2">
        <v>502.55110000000002</v>
      </c>
      <c r="D14981" s="2">
        <f>HYPERLINK("http://mcb-m6.bioreg.kyushu-u.ac.jp/M3/20110502/F51179/619/1", 43.39)</f>
        <v>43.39</v>
      </c>
      <c r="E14981" s="2">
        <v>16.11</v>
      </c>
      <c r="F14981" s="2">
        <v>2</v>
      </c>
      <c r="G14981" s="2" t="s">
        <v>14</v>
      </c>
    </row>
    <row r="14982" spans="1:7" x14ac:dyDescent="0.2">
      <c r="A14982" s="2" t="s">
        <v>3540</v>
      </c>
      <c r="B14982" s="2" t="s">
        <v>727</v>
      </c>
      <c r="C14982" s="2">
        <v>1390.8969999999999</v>
      </c>
      <c r="D14982" s="2">
        <f>HYPERLINK("http://mcb-m6.bioreg.kyushu-u.ac.jp/M3/20110502/F51177/1583/1", 43.89)</f>
        <v>43.89</v>
      </c>
      <c r="E14982" s="2">
        <v>29.3</v>
      </c>
      <c r="F14982" s="2">
        <v>1</v>
      </c>
      <c r="G14982" s="2" t="s">
        <v>14</v>
      </c>
    </row>
    <row r="14983" spans="1:7" x14ac:dyDescent="0.2">
      <c r="A14983" s="2" t="s">
        <v>3540</v>
      </c>
      <c r="B14983" s="2" t="s">
        <v>645</v>
      </c>
      <c r="C14983" s="2">
        <v>1165.83</v>
      </c>
      <c r="D14983" s="2">
        <f>HYPERLINK("http://mcb-m6.bioreg.kyushu-u.ac.jp/M3/20110502/F51177/1010/1", 46.56)</f>
        <v>46.56</v>
      </c>
      <c r="E14983" s="2">
        <v>23.88</v>
      </c>
      <c r="F14983" s="2">
        <v>1</v>
      </c>
      <c r="G14983" s="2" t="s">
        <v>14</v>
      </c>
    </row>
    <row r="14984" spans="1:7" x14ac:dyDescent="0.2">
      <c r="A14984" s="2" t="s">
        <v>3540</v>
      </c>
      <c r="B14984" s="2" t="s">
        <v>737</v>
      </c>
      <c r="C14984" s="2">
        <v>1381.809</v>
      </c>
      <c r="D14984" s="2">
        <f>HYPERLINK("http://mcb-m6.bioreg.kyushu-u.ac.jp/M3/20110502/F51178/1889/1", 53.76)</f>
        <v>53.76</v>
      </c>
      <c r="E14984" s="2">
        <v>32.22</v>
      </c>
      <c r="F14984" s="2">
        <v>1</v>
      </c>
      <c r="G14984" s="2" t="s">
        <v>14</v>
      </c>
    </row>
    <row r="14985" spans="1:7" x14ac:dyDescent="0.2">
      <c r="A14985" s="2" t="s">
        <v>3540</v>
      </c>
      <c r="B14985" s="2" t="s">
        <v>737</v>
      </c>
      <c r="C14985" s="2">
        <v>691.62519999999995</v>
      </c>
      <c r="D14985" s="2">
        <f>HYPERLINK("http://mcb-m6.bioreg.kyushu-u.ac.jp/M3/20110502/F51182/1550/1", 56.66)</f>
        <v>56.66</v>
      </c>
      <c r="E14985" s="2">
        <v>32.200000000000003</v>
      </c>
      <c r="F14985" s="2">
        <v>2</v>
      </c>
      <c r="G14985" s="2" t="s">
        <v>14</v>
      </c>
    </row>
    <row r="14986" spans="1:7" x14ac:dyDescent="0.2">
      <c r="A14986" s="2" t="s">
        <v>3540</v>
      </c>
      <c r="B14986" s="2" t="s">
        <v>737</v>
      </c>
      <c r="C14986" s="2">
        <v>1381.723</v>
      </c>
      <c r="D14986" s="2">
        <f>HYPERLINK("http://mcb-m6.bioreg.kyushu-u.ac.jp/M3/20110502/F51177/1532/1", 58.05)</f>
        <v>58.05</v>
      </c>
      <c r="E14986" s="2">
        <v>34.49</v>
      </c>
      <c r="F14986" s="2">
        <v>1</v>
      </c>
      <c r="G14986" s="2" t="s">
        <v>14</v>
      </c>
    </row>
    <row r="14987" spans="1:7" x14ac:dyDescent="0.2">
      <c r="A14987" s="2" t="s">
        <v>3540</v>
      </c>
      <c r="B14987" s="2" t="s">
        <v>645</v>
      </c>
      <c r="C14987" s="2">
        <v>583.68769999999995</v>
      </c>
      <c r="D14987" s="2">
        <f>HYPERLINK("http://mcb-m6.bioreg.kyushu-u.ac.jp/M3/20110502/F51179/974/1", 58.23)</f>
        <v>58.23</v>
      </c>
      <c r="E14987" s="2">
        <v>17.420000000000002</v>
      </c>
      <c r="F14987" s="2">
        <v>2</v>
      </c>
      <c r="G14987" s="2" t="s">
        <v>14</v>
      </c>
    </row>
    <row r="14988" spans="1:7" x14ac:dyDescent="0.2">
      <c r="A14988" s="2" t="s">
        <v>3540</v>
      </c>
      <c r="B14988" s="2" t="s">
        <v>645</v>
      </c>
      <c r="C14988" s="2">
        <v>583.52760000000001</v>
      </c>
      <c r="D14988" s="2">
        <f>HYPERLINK("http://mcb-m6.bioreg.kyushu-u.ac.jp/M3/20110502/F51177/1012/1", 59.11)</f>
        <v>59.11</v>
      </c>
      <c r="E14988" s="2">
        <v>23.83</v>
      </c>
      <c r="F14988" s="2">
        <v>2</v>
      </c>
      <c r="G14988" s="2" t="s">
        <v>14</v>
      </c>
    </row>
    <row r="14989" spans="1:7" x14ac:dyDescent="0.2">
      <c r="A14989" s="2" t="s">
        <v>3540</v>
      </c>
      <c r="B14989" s="2" t="s">
        <v>645</v>
      </c>
      <c r="C14989" s="2">
        <v>583.63919999999996</v>
      </c>
      <c r="D14989" s="2">
        <f>HYPERLINK("http://mcb-m6.bioreg.kyushu-u.ac.jp/M3/20110502/F51182/1054/1", 60.56)</f>
        <v>60.56</v>
      </c>
      <c r="E14989" s="2">
        <v>30.66</v>
      </c>
      <c r="F14989" s="2">
        <v>2</v>
      </c>
      <c r="G14989" s="2" t="s">
        <v>14</v>
      </c>
    </row>
    <row r="14990" spans="1:7" x14ac:dyDescent="0.2">
      <c r="A14990" s="2" t="s">
        <v>3540</v>
      </c>
      <c r="B14990" s="2" t="s">
        <v>737</v>
      </c>
      <c r="C14990" s="2">
        <v>691.58320000000003</v>
      </c>
      <c r="D14990" s="2">
        <f>HYPERLINK("http://mcb-m6.bioreg.kyushu-u.ac.jp/M3/20110502/F51177/1544/1", 61.27)</f>
        <v>61.27</v>
      </c>
      <c r="E14990" s="2">
        <v>36.67</v>
      </c>
      <c r="F14990" s="2">
        <v>2</v>
      </c>
      <c r="G14990" s="2" t="s">
        <v>14</v>
      </c>
    </row>
    <row r="14991" spans="1:7" x14ac:dyDescent="0.2">
      <c r="A14991" s="2" t="s">
        <v>3540</v>
      </c>
      <c r="B14991" s="2" t="s">
        <v>645</v>
      </c>
      <c r="C14991" s="2">
        <v>583.47519999999997</v>
      </c>
      <c r="D14991" s="2">
        <f>HYPERLINK("http://mcb-m6.bioreg.kyushu-u.ac.jp/M3/20110502/F51178/1449/1", 61.82)</f>
        <v>61.82</v>
      </c>
      <c r="E14991" s="2">
        <v>24.95</v>
      </c>
      <c r="F14991" s="2">
        <v>2</v>
      </c>
      <c r="G14991" s="2" t="s">
        <v>14</v>
      </c>
    </row>
    <row r="14992" spans="1:7" x14ac:dyDescent="0.2">
      <c r="A14992" s="2" t="s">
        <v>3540</v>
      </c>
      <c r="B14992" s="2" t="s">
        <v>727</v>
      </c>
      <c r="C14992" s="2">
        <v>696.20320000000004</v>
      </c>
      <c r="D14992" s="2">
        <f>HYPERLINK("http://mcb-m6.bioreg.kyushu-u.ac.jp/M3/20110502/F51177/1589/1", 66.57)</f>
        <v>66.569999999999993</v>
      </c>
      <c r="E14992" s="2">
        <v>43.29</v>
      </c>
      <c r="F14992" s="2">
        <v>2</v>
      </c>
      <c r="G14992" s="2" t="s">
        <v>14</v>
      </c>
    </row>
    <row r="14993" spans="1:7" x14ac:dyDescent="0.2">
      <c r="A14993" s="2" t="s">
        <v>3540</v>
      </c>
      <c r="B14993" s="2" t="s">
        <v>737</v>
      </c>
      <c r="C14993" s="2">
        <v>691.46010000000001</v>
      </c>
      <c r="D14993" s="2">
        <f>HYPERLINK("http://mcb-m6.bioreg.kyushu-u.ac.jp/M3/20110502/F51177/1534/1", 68.59)</f>
        <v>68.59</v>
      </c>
      <c r="E14993" s="2">
        <v>55.25</v>
      </c>
      <c r="F14993" s="2">
        <v>2</v>
      </c>
      <c r="G14993" s="2" t="s">
        <v>14</v>
      </c>
    </row>
    <row r="14994" spans="1:7" x14ac:dyDescent="0.2">
      <c r="A14994" s="2" t="s">
        <v>3540</v>
      </c>
      <c r="B14994" s="2" t="s">
        <v>737</v>
      </c>
      <c r="C14994" s="2">
        <v>691.53219999999999</v>
      </c>
      <c r="D14994" s="2">
        <f>HYPERLINK("http://mcb-m6.bioreg.kyushu-u.ac.jp/M3/20110502/F51177/1536/1", 77.38)</f>
        <v>77.38</v>
      </c>
      <c r="E14994" s="2">
        <v>58.42</v>
      </c>
      <c r="F14994" s="2">
        <v>2</v>
      </c>
      <c r="G14994" s="2" t="s">
        <v>14</v>
      </c>
    </row>
    <row r="14995" spans="1:7" x14ac:dyDescent="0.2">
      <c r="A14995" s="2" t="s">
        <v>3540</v>
      </c>
      <c r="B14995" s="2" t="s">
        <v>737</v>
      </c>
      <c r="C14995" s="2">
        <v>691.45920000000001</v>
      </c>
      <c r="D14995" s="2">
        <f>HYPERLINK("http://mcb-m6.bioreg.kyushu-u.ac.jp/M3/20110502/F51179/1498/1", 81.68)</f>
        <v>81.680000000000007</v>
      </c>
      <c r="E14995" s="2">
        <v>62.11</v>
      </c>
      <c r="F14995" s="2">
        <v>2</v>
      </c>
      <c r="G14995" s="2" t="s">
        <v>14</v>
      </c>
    </row>
    <row r="14996" spans="1:7" x14ac:dyDescent="0.2">
      <c r="A14996" s="2" t="s">
        <v>3540</v>
      </c>
      <c r="B14996" s="2" t="s">
        <v>737</v>
      </c>
      <c r="C14996" s="2">
        <v>691.55520000000001</v>
      </c>
      <c r="D14996" s="2">
        <f>HYPERLINK("http://mcb-m6.bioreg.kyushu-u.ac.jp/M3/20110502/F51177/1540/1", 86.33)</f>
        <v>86.33</v>
      </c>
      <c r="E14996" s="2">
        <v>67.13</v>
      </c>
      <c r="F14996" s="2">
        <v>2</v>
      </c>
      <c r="G14996" s="2" t="s">
        <v>14</v>
      </c>
    </row>
    <row r="14997" spans="1:7" x14ac:dyDescent="0.2">
      <c r="A14997" s="2" t="s">
        <v>3540</v>
      </c>
      <c r="B14997" s="2" t="s">
        <v>737</v>
      </c>
      <c r="C14997" s="2">
        <v>691.4982</v>
      </c>
      <c r="D14997" s="2">
        <f>HYPERLINK("http://mcb-m6.bioreg.kyushu-u.ac.jp/M3/20110502/F51181/1598/1", 89.67)</f>
        <v>89.67</v>
      </c>
      <c r="E14997" s="2">
        <v>62.61</v>
      </c>
      <c r="F14997" s="2">
        <v>2</v>
      </c>
      <c r="G14997" s="2" t="s">
        <v>14</v>
      </c>
    </row>
    <row r="14998" spans="1:7" x14ac:dyDescent="0.2">
      <c r="A14998" s="2" t="s">
        <v>3540</v>
      </c>
      <c r="B14998" s="2" t="s">
        <v>727</v>
      </c>
      <c r="C14998" s="2">
        <v>696.36770000000001</v>
      </c>
      <c r="D14998" s="2">
        <f>HYPERLINK("http://mcb-m6.bioreg.kyushu-u.ac.jp/M3/20110502/F51181/1623/1", 90.91)</f>
        <v>90.91</v>
      </c>
      <c r="E14998" s="2">
        <v>66.81</v>
      </c>
      <c r="F14998" s="2">
        <v>2</v>
      </c>
      <c r="G14998" s="2" t="s">
        <v>14</v>
      </c>
    </row>
    <row r="14999" spans="1:7" x14ac:dyDescent="0.2">
      <c r="A14999" s="2" t="s">
        <v>3540</v>
      </c>
      <c r="B14999" s="2" t="s">
        <v>727</v>
      </c>
      <c r="C14999" s="2">
        <v>695.96810000000005</v>
      </c>
      <c r="D14999" s="2">
        <f>HYPERLINK("http://mcb-m6.bioreg.kyushu-u.ac.jp/M3/20110502/F51178/1911/1", 99.43)</f>
        <v>99.43</v>
      </c>
      <c r="E14999" s="2">
        <v>68.349999999999994</v>
      </c>
      <c r="F14999" s="2">
        <v>2</v>
      </c>
      <c r="G14999" s="2" t="s">
        <v>14</v>
      </c>
    </row>
    <row r="15000" spans="1:7" x14ac:dyDescent="0.2">
      <c r="A15000" s="2" t="s">
        <v>3540</v>
      </c>
      <c r="B15000" s="2" t="s">
        <v>737</v>
      </c>
      <c r="C15000" s="2">
        <v>691.48609999999996</v>
      </c>
      <c r="D15000" s="2">
        <f>HYPERLINK("http://mcb-m6.bioreg.kyushu-u.ac.jp/M3/20110502/F51193/1592/1", 103.98)</f>
        <v>103.98</v>
      </c>
      <c r="E15000" s="2">
        <v>82.98</v>
      </c>
      <c r="F15000" s="2">
        <v>2</v>
      </c>
      <c r="G15000" s="2" t="s">
        <v>14</v>
      </c>
    </row>
    <row r="15001" spans="1:7" x14ac:dyDescent="0.2">
      <c r="A15001" s="2" t="s">
        <v>3540</v>
      </c>
      <c r="B15001" s="2" t="s">
        <v>727</v>
      </c>
      <c r="C15001" s="2">
        <v>696.11469999999997</v>
      </c>
      <c r="D15001" s="2">
        <f>HYPERLINK("http://mcb-m6.bioreg.kyushu-u.ac.jp/M3/20110502/F51179/1526/1", 110.48)</f>
        <v>110.48</v>
      </c>
      <c r="E15001" s="2">
        <v>86.8</v>
      </c>
      <c r="F15001" s="2">
        <v>2</v>
      </c>
      <c r="G15001" s="2" t="s">
        <v>14</v>
      </c>
    </row>
    <row r="15002" spans="1:7" x14ac:dyDescent="0.2">
      <c r="A15002" s="2" t="s">
        <v>3540</v>
      </c>
      <c r="B15002" s="2" t="s">
        <v>727</v>
      </c>
      <c r="C15002" s="2">
        <v>696.13210000000004</v>
      </c>
      <c r="D15002" s="2">
        <f>HYPERLINK("http://mcb-m6.bioreg.kyushu-u.ac.jp/M3/20110502/F51177/1588/1", 114.3)</f>
        <v>114.3</v>
      </c>
      <c r="E15002" s="2">
        <v>89.72</v>
      </c>
      <c r="F15002" s="2">
        <v>2</v>
      </c>
      <c r="G15002" s="2" t="s">
        <v>14</v>
      </c>
    </row>
    <row r="15003" spans="1:7" x14ac:dyDescent="0.2">
      <c r="A15003" s="2" t="s">
        <v>4586</v>
      </c>
      <c r="B15003" s="2" t="s">
        <v>2649</v>
      </c>
      <c r="C15003" s="2">
        <v>549.28420000000006</v>
      </c>
      <c r="D15003" s="2">
        <f>HYPERLINK("http://mcb-m6.bioreg.kyushu-u.ac.jp/M3/20110414/F50958/861/1", 47.04)</f>
        <v>47.04</v>
      </c>
      <c r="E15003" s="2">
        <v>30.85</v>
      </c>
      <c r="F15003" s="2">
        <v>2</v>
      </c>
      <c r="G15003" s="2" t="s">
        <v>12</v>
      </c>
    </row>
    <row r="15004" spans="1:7" x14ac:dyDescent="0.2">
      <c r="A15004" s="2" t="s">
        <v>4205</v>
      </c>
      <c r="B15004" s="2" t="s">
        <v>1797</v>
      </c>
      <c r="C15004" s="2">
        <v>620.5652</v>
      </c>
      <c r="D15004" s="2">
        <f>HYPERLINK("http://mcb-m6.bioreg.kyushu-u.ac.jp/M3/20110411/F50912/1523/1", 39.63)</f>
        <v>39.630000000000003</v>
      </c>
      <c r="E15004" s="2">
        <v>13.04</v>
      </c>
      <c r="F15004" s="2">
        <v>2</v>
      </c>
      <c r="G15004" s="2" t="s">
        <v>10</v>
      </c>
    </row>
    <row r="15005" spans="1:7" x14ac:dyDescent="0.2">
      <c r="A15005" s="2" t="s">
        <v>4205</v>
      </c>
      <c r="B15005" s="2" t="s">
        <v>1797</v>
      </c>
      <c r="C15005" s="2">
        <v>620.86569999999995</v>
      </c>
      <c r="D15005" s="2">
        <f>HYPERLINK("http://mcb-m6.bioreg.kyushu-u.ac.jp/M3/20110414/F50963/1253/1", 48.14)</f>
        <v>48.14</v>
      </c>
      <c r="E15005" s="2">
        <v>28.24</v>
      </c>
      <c r="F15005" s="2">
        <v>2</v>
      </c>
      <c r="G15005" s="2" t="s">
        <v>12</v>
      </c>
    </row>
    <row r="15006" spans="1:7" x14ac:dyDescent="0.2">
      <c r="A15006" s="2" t="s">
        <v>3769</v>
      </c>
      <c r="B15006" s="2" t="s">
        <v>791</v>
      </c>
      <c r="C15006" s="2">
        <v>750.90009999999995</v>
      </c>
      <c r="D15006" s="2">
        <f>HYPERLINK("http://mcb-m6.bioreg.kyushu-u.ac.jp/M3/20110411/F50916/1963/1", 51.4)</f>
        <v>51.4</v>
      </c>
      <c r="E15006" s="2">
        <v>32.299999999999997</v>
      </c>
      <c r="F15006" s="2">
        <v>2</v>
      </c>
      <c r="G15006" s="2" t="s">
        <v>9</v>
      </c>
    </row>
    <row r="15007" spans="1:7" x14ac:dyDescent="0.2">
      <c r="A15007" s="2" t="s">
        <v>3769</v>
      </c>
      <c r="B15007" s="2" t="s">
        <v>1896</v>
      </c>
      <c r="C15007" s="2">
        <v>910.08259999999996</v>
      </c>
      <c r="D15007" s="2">
        <f>HYPERLINK("http://mcb-m6.bioreg.kyushu-u.ac.jp/M3/20110411/F50918/2675/1", 47.1)</f>
        <v>47.1</v>
      </c>
      <c r="E15007" s="2">
        <v>35.619999999999997</v>
      </c>
      <c r="F15007" s="2">
        <v>2</v>
      </c>
      <c r="G15007" s="2" t="s">
        <v>10</v>
      </c>
    </row>
    <row r="15008" spans="1:7" x14ac:dyDescent="0.2">
      <c r="A15008" s="2" t="s">
        <v>3769</v>
      </c>
      <c r="B15008" s="2" t="s">
        <v>791</v>
      </c>
      <c r="C15008" s="2">
        <v>750.91560000000004</v>
      </c>
      <c r="D15008" s="2">
        <f>HYPERLINK("http://mcb-m6.bioreg.kyushu-u.ac.jp/M3/20110411/F50918/1943/1", 78.73)</f>
        <v>78.73</v>
      </c>
      <c r="E15008" s="2">
        <v>50.46</v>
      </c>
      <c r="F15008" s="2">
        <v>2</v>
      </c>
      <c r="G15008" s="2" t="s">
        <v>10</v>
      </c>
    </row>
    <row r="15009" spans="1:7" x14ac:dyDescent="0.2">
      <c r="A15009" s="2" t="s">
        <v>4085</v>
      </c>
      <c r="B15009" s="2" t="s">
        <v>1511</v>
      </c>
      <c r="C15009" s="2">
        <v>844.02470000000005</v>
      </c>
      <c r="D15009" s="2">
        <f>HYPERLINK("http://mcb-m6.bioreg.kyushu-u.ac.jp/M3/20110411/F50905/2560/1", 87.2)</f>
        <v>87.2</v>
      </c>
      <c r="E15009" s="2">
        <v>72.61</v>
      </c>
      <c r="F15009" s="2">
        <v>2</v>
      </c>
      <c r="G15009" s="2" t="s">
        <v>9</v>
      </c>
    </row>
    <row r="15010" spans="1:7" x14ac:dyDescent="0.2">
      <c r="A15010" s="2" t="s">
        <v>4537</v>
      </c>
      <c r="B15010" s="2" t="s">
        <v>2564</v>
      </c>
      <c r="C15010" s="2">
        <v>506.6386</v>
      </c>
      <c r="D15010" s="2">
        <f>HYPERLINK("http://mcb-m6.bioreg.kyushu-u.ac.jp/M3/20110414/F50948/842/1", 38.06)</f>
        <v>38.06</v>
      </c>
      <c r="E15010" s="2">
        <v>8.3699999999999992</v>
      </c>
      <c r="F15010" s="2">
        <v>2</v>
      </c>
      <c r="G15010" s="2" t="s">
        <v>12</v>
      </c>
    </row>
    <row r="15011" spans="1:7" x14ac:dyDescent="0.2">
      <c r="A15011" s="2" t="s">
        <v>4797</v>
      </c>
      <c r="B15011" s="2" t="s">
        <v>3034</v>
      </c>
      <c r="C15011" s="2">
        <v>676.41669999999999</v>
      </c>
      <c r="D15011" s="2">
        <f>HYPERLINK("http://mcb-m6.bioreg.kyushu-u.ac.jp/M3/20110502/F51193/1471/1", 38.78)</f>
        <v>38.78</v>
      </c>
      <c r="E15011" s="2">
        <v>12.36</v>
      </c>
      <c r="F15011" s="2">
        <v>2</v>
      </c>
      <c r="G15011" s="2" t="s">
        <v>14</v>
      </c>
    </row>
    <row r="15012" spans="1:7" x14ac:dyDescent="0.2">
      <c r="A15012" s="2" t="s">
        <v>3240</v>
      </c>
      <c r="B15012" s="2" t="s">
        <v>20</v>
      </c>
      <c r="C15012" s="2">
        <v>1298.7280000000001</v>
      </c>
      <c r="D15012" s="2">
        <f>HYPERLINK("http://mcb-m6.bioreg.kyushu-u.ac.jp/M3/20110411/F50916/1387/1", 35.07)</f>
        <v>35.07</v>
      </c>
      <c r="E15012" s="2">
        <v>18.77</v>
      </c>
      <c r="F15012" s="2">
        <v>1</v>
      </c>
      <c r="G15012" s="2" t="s">
        <v>9</v>
      </c>
    </row>
    <row r="15013" spans="1:7" x14ac:dyDescent="0.2">
      <c r="A15013" s="2" t="s">
        <v>3240</v>
      </c>
      <c r="B15013" s="2" t="s">
        <v>20</v>
      </c>
      <c r="C15013" s="2">
        <v>1298.873</v>
      </c>
      <c r="D15013" s="2">
        <f>HYPERLINK("http://mcb-m6.bioreg.kyushu-u.ac.jp/M3/20110411/F50911/1603/1", 42.84)</f>
        <v>42.84</v>
      </c>
      <c r="E15013" s="2">
        <v>19.52</v>
      </c>
      <c r="F15013" s="2">
        <v>1</v>
      </c>
      <c r="G15013" s="2" t="s">
        <v>9</v>
      </c>
    </row>
    <row r="15014" spans="1:7" x14ac:dyDescent="0.2">
      <c r="A15014" s="2" t="s">
        <v>3240</v>
      </c>
      <c r="B15014" s="2" t="s">
        <v>20</v>
      </c>
      <c r="C15014" s="2">
        <v>1298.9000000000001</v>
      </c>
      <c r="D15014" s="2">
        <f>HYPERLINK("http://mcb-m6.bioreg.kyushu-u.ac.jp/M3/20110411/F50895/1627/1", 43.65)</f>
        <v>43.65</v>
      </c>
      <c r="E15014" s="2">
        <v>20.75</v>
      </c>
      <c r="F15014" s="2">
        <v>1</v>
      </c>
      <c r="G15014" s="2" t="s">
        <v>9</v>
      </c>
    </row>
    <row r="15015" spans="1:7" x14ac:dyDescent="0.2">
      <c r="A15015" s="2" t="s">
        <v>3240</v>
      </c>
      <c r="B15015" s="2" t="s">
        <v>20</v>
      </c>
      <c r="C15015" s="2">
        <v>1298.4929999999999</v>
      </c>
      <c r="D15015" s="2">
        <f>HYPERLINK("http://mcb-m6.bioreg.kyushu-u.ac.jp/M3/20110411/F50890/1713/1", 43.99)</f>
        <v>43.99</v>
      </c>
      <c r="E15015" s="2">
        <v>31.46</v>
      </c>
      <c r="F15015" s="2">
        <v>1</v>
      </c>
      <c r="G15015" s="2" t="s">
        <v>9</v>
      </c>
    </row>
    <row r="15016" spans="1:7" x14ac:dyDescent="0.2">
      <c r="A15016" s="2" t="s">
        <v>3240</v>
      </c>
      <c r="B15016" s="2" t="s">
        <v>20</v>
      </c>
      <c r="C15016" s="2">
        <v>1298.499</v>
      </c>
      <c r="D15016" s="2">
        <f>HYPERLINK("http://mcb-m6.bioreg.kyushu-u.ac.jp/M3/20110411/F50891/1606/1", 45.54)</f>
        <v>45.54</v>
      </c>
      <c r="E15016" s="2">
        <v>27.98</v>
      </c>
      <c r="F15016" s="2">
        <v>1</v>
      </c>
      <c r="G15016" s="2" t="s">
        <v>9</v>
      </c>
    </row>
    <row r="15017" spans="1:7" x14ac:dyDescent="0.2">
      <c r="A15017" s="2" t="s">
        <v>3240</v>
      </c>
      <c r="B15017" s="2" t="s">
        <v>20</v>
      </c>
      <c r="C15017" s="2">
        <v>650.3682</v>
      </c>
      <c r="D15017" s="2">
        <f>HYPERLINK("http://mcb-m6.bioreg.kyushu-u.ac.jp/M3/20110411/F50904/1615/1", 48.4)</f>
        <v>48.4</v>
      </c>
      <c r="E15017" s="2">
        <v>17.87</v>
      </c>
      <c r="F15017" s="2">
        <v>2</v>
      </c>
      <c r="G15017" s="2" t="s">
        <v>9</v>
      </c>
    </row>
    <row r="15018" spans="1:7" x14ac:dyDescent="0.2">
      <c r="A15018" s="2" t="s">
        <v>3240</v>
      </c>
      <c r="B15018" s="2" t="s">
        <v>20</v>
      </c>
      <c r="C15018" s="2">
        <v>1298.8920000000001</v>
      </c>
      <c r="D15018" s="2">
        <f>HYPERLINK("http://mcb-m6.bioreg.kyushu-u.ac.jp/M3/20110411/F50905/1558/1", 60.57)</f>
        <v>60.57</v>
      </c>
      <c r="E15018" s="2">
        <v>38.82</v>
      </c>
      <c r="F15018" s="2">
        <v>1</v>
      </c>
      <c r="G15018" s="2" t="s">
        <v>9</v>
      </c>
    </row>
    <row r="15019" spans="1:7" x14ac:dyDescent="0.2">
      <c r="A15019" s="2" t="s">
        <v>3240</v>
      </c>
      <c r="B15019" s="2" t="s">
        <v>20</v>
      </c>
      <c r="C15019" s="2">
        <v>649.80269999999996</v>
      </c>
      <c r="D15019" s="2">
        <f>HYPERLINK("http://mcb-m6.bioreg.kyushu-u.ac.jp/M3/20110411/F50892/1804/1", 69.03)</f>
        <v>69.03</v>
      </c>
      <c r="E15019" s="2">
        <v>46.24</v>
      </c>
      <c r="F15019" s="2">
        <v>2</v>
      </c>
      <c r="G15019" s="2" t="s">
        <v>9</v>
      </c>
    </row>
    <row r="15020" spans="1:7" x14ac:dyDescent="0.2">
      <c r="A15020" s="2" t="s">
        <v>3240</v>
      </c>
      <c r="B15020" s="2" t="s">
        <v>20</v>
      </c>
      <c r="C15020" s="2">
        <v>649.70370000000003</v>
      </c>
      <c r="D15020" s="2">
        <f>HYPERLINK("http://mcb-m6.bioreg.kyushu-u.ac.jp/M3/20110411/F50889/1979/1", 69.82)</f>
        <v>69.819999999999993</v>
      </c>
      <c r="E15020" s="2">
        <v>45.01</v>
      </c>
      <c r="F15020" s="2">
        <v>2</v>
      </c>
      <c r="G15020" s="2" t="s">
        <v>9</v>
      </c>
    </row>
    <row r="15021" spans="1:7" x14ac:dyDescent="0.2">
      <c r="A15021" s="2" t="s">
        <v>3240</v>
      </c>
      <c r="B15021" s="2" t="s">
        <v>20</v>
      </c>
      <c r="C15021" s="2">
        <v>650.11720000000003</v>
      </c>
      <c r="D15021" s="2">
        <f>HYPERLINK("http://mcb-m6.bioreg.kyushu-u.ac.jp/M3/20110411/F50893/1773/1", 72.34)</f>
        <v>72.34</v>
      </c>
      <c r="E15021" s="2">
        <v>29</v>
      </c>
      <c r="F15021" s="2">
        <v>2</v>
      </c>
      <c r="G15021" s="2" t="s">
        <v>9</v>
      </c>
    </row>
    <row r="15022" spans="1:7" x14ac:dyDescent="0.2">
      <c r="A15022" s="2" t="s">
        <v>3240</v>
      </c>
      <c r="B15022" s="2" t="s">
        <v>20</v>
      </c>
      <c r="C15022" s="2">
        <v>650.03859999999997</v>
      </c>
      <c r="D15022" s="2">
        <f>HYPERLINK("http://mcb-m6.bioreg.kyushu-u.ac.jp/M3/20110411/F50904/1613/1", 73.44)</f>
        <v>73.44</v>
      </c>
      <c r="E15022" s="2">
        <v>49.37</v>
      </c>
      <c r="F15022" s="2">
        <v>2</v>
      </c>
      <c r="G15022" s="2" t="s">
        <v>9</v>
      </c>
    </row>
    <row r="15023" spans="1:7" x14ac:dyDescent="0.2">
      <c r="A15023" s="2" t="s">
        <v>3240</v>
      </c>
      <c r="B15023" s="2" t="s">
        <v>20</v>
      </c>
      <c r="C15023" s="2">
        <v>650.04020000000003</v>
      </c>
      <c r="D15023" s="2">
        <f>HYPERLINK("http://mcb-m6.bioreg.kyushu-u.ac.jp/M3/20110411/F50894/1890/1", 76.84)</f>
        <v>76.84</v>
      </c>
      <c r="E15023" s="2">
        <v>41.96</v>
      </c>
      <c r="F15023" s="2">
        <v>2</v>
      </c>
      <c r="G15023" s="2" t="s">
        <v>9</v>
      </c>
    </row>
    <row r="15024" spans="1:7" x14ac:dyDescent="0.2">
      <c r="A15024" s="2" t="s">
        <v>3240</v>
      </c>
      <c r="B15024" s="2" t="s">
        <v>20</v>
      </c>
      <c r="C15024" s="2">
        <v>650.04219999999998</v>
      </c>
      <c r="D15024" s="2">
        <f>HYPERLINK("http://mcb-m6.bioreg.kyushu-u.ac.jp/M3/20110411/F50895/1628/1", 76.98)</f>
        <v>76.98</v>
      </c>
      <c r="E15024" s="2">
        <v>42.33</v>
      </c>
      <c r="F15024" s="2">
        <v>2</v>
      </c>
      <c r="G15024" s="2" t="s">
        <v>9</v>
      </c>
    </row>
    <row r="15025" spans="1:8" x14ac:dyDescent="0.2">
      <c r="A15025" s="2" t="s">
        <v>3240</v>
      </c>
      <c r="B15025" s="2" t="s">
        <v>1392</v>
      </c>
      <c r="C15025" s="2">
        <v>790.90560000000005</v>
      </c>
      <c r="D15025" s="2">
        <f>HYPERLINK("http://mcb-m6.bioreg.kyushu-u.ac.jp/M3/20110411/F50916/2179/1", 77.49)</f>
        <v>77.489999999999995</v>
      </c>
      <c r="E15025" s="2">
        <v>66.069999999999993</v>
      </c>
      <c r="F15025" s="2">
        <v>2</v>
      </c>
      <c r="G15025" s="2" t="s">
        <v>9</v>
      </c>
    </row>
    <row r="15026" spans="1:8" x14ac:dyDescent="0.2">
      <c r="A15026" s="2" t="s">
        <v>3240</v>
      </c>
      <c r="B15026" s="2" t="s">
        <v>20</v>
      </c>
      <c r="C15026" s="2">
        <v>649.86410000000001</v>
      </c>
      <c r="D15026" s="2">
        <f>HYPERLINK("http://mcb-m6.bioreg.kyushu-u.ac.jp/M3/20110411/F50919/1222/1", 78.67)</f>
        <v>78.67</v>
      </c>
      <c r="E15026" s="2">
        <v>50.56</v>
      </c>
      <c r="F15026" s="2">
        <v>2</v>
      </c>
      <c r="G15026" s="2" t="s">
        <v>9</v>
      </c>
    </row>
    <row r="15027" spans="1:8" x14ac:dyDescent="0.2">
      <c r="A15027" s="2" t="s">
        <v>3240</v>
      </c>
      <c r="B15027" s="2" t="s">
        <v>20</v>
      </c>
      <c r="C15027" s="2">
        <v>649.79970000000003</v>
      </c>
      <c r="D15027" s="2">
        <f>HYPERLINK("http://mcb-m6.bioreg.kyushu-u.ac.jp/M3/20110411/F50890/1714/1", 81.43)</f>
        <v>81.430000000000007</v>
      </c>
      <c r="E15027" s="2">
        <v>58.73</v>
      </c>
      <c r="F15027" s="2">
        <v>2</v>
      </c>
      <c r="G15027" s="2" t="s">
        <v>9</v>
      </c>
    </row>
    <row r="15028" spans="1:8" x14ac:dyDescent="0.2">
      <c r="A15028" s="2" t="s">
        <v>3240</v>
      </c>
      <c r="B15028" s="2" t="s">
        <v>20</v>
      </c>
      <c r="C15028" s="2">
        <v>650.16560000000004</v>
      </c>
      <c r="D15028" s="2">
        <f>HYPERLINK("http://mcb-m6.bioreg.kyushu-u.ac.jp/M3/20110411/F50903/1589/1", 83.19)</f>
        <v>83.19</v>
      </c>
      <c r="E15028" s="2">
        <v>46.61</v>
      </c>
      <c r="F15028" s="2">
        <v>2</v>
      </c>
      <c r="G15028" s="2" t="s">
        <v>9</v>
      </c>
    </row>
    <row r="15029" spans="1:8" x14ac:dyDescent="0.2">
      <c r="A15029" s="2" t="s">
        <v>3240</v>
      </c>
      <c r="B15029" s="2" t="s">
        <v>20</v>
      </c>
      <c r="C15029" s="2">
        <v>649.92769999999996</v>
      </c>
      <c r="D15029" s="2">
        <f>HYPERLINK("http://mcb-m6.bioreg.kyushu-u.ac.jp/M3/20110411/F50916/1388/1", 83.21)</f>
        <v>83.21</v>
      </c>
      <c r="E15029" s="2">
        <v>54.2</v>
      </c>
      <c r="F15029" s="2">
        <v>2</v>
      </c>
      <c r="G15029" s="2" t="s">
        <v>9</v>
      </c>
    </row>
    <row r="15030" spans="1:8" x14ac:dyDescent="0.2">
      <c r="A15030" s="2" t="s">
        <v>3240</v>
      </c>
      <c r="B15030" s="2" t="s">
        <v>1392</v>
      </c>
      <c r="C15030" s="2">
        <v>790.81020000000001</v>
      </c>
      <c r="D15030" s="2">
        <f>HYPERLINK("http://mcb-m6.bioreg.kyushu-u.ac.jp/M3/20110411/F50891/2412/1", 84.15)</f>
        <v>84.15</v>
      </c>
      <c r="E15030" s="2">
        <v>69.680000000000007</v>
      </c>
      <c r="F15030" s="2">
        <v>2</v>
      </c>
      <c r="G15030" s="2" t="s">
        <v>9</v>
      </c>
    </row>
    <row r="15031" spans="1:8" x14ac:dyDescent="0.2">
      <c r="A15031" s="2" t="s">
        <v>3240</v>
      </c>
      <c r="B15031" s="2" t="s">
        <v>20</v>
      </c>
      <c r="C15031" s="2">
        <v>649.96010000000001</v>
      </c>
      <c r="D15031" s="2">
        <f>HYPERLINK("http://mcb-m6.bioreg.kyushu-u.ac.jp/M3/20110411/F50905/1559/1", 85.1)</f>
        <v>85.1</v>
      </c>
      <c r="E15031" s="2">
        <v>48.53</v>
      </c>
      <c r="F15031" s="2">
        <v>2</v>
      </c>
      <c r="G15031" s="2" t="s">
        <v>9</v>
      </c>
    </row>
    <row r="15032" spans="1:8" x14ac:dyDescent="0.2">
      <c r="A15032" s="2" t="s">
        <v>3240</v>
      </c>
      <c r="B15032" s="2" t="s">
        <v>20</v>
      </c>
      <c r="C15032" s="2">
        <v>649.78809999999999</v>
      </c>
      <c r="D15032" s="2">
        <f>HYPERLINK("http://mcb-m6.bioreg.kyushu-u.ac.jp/M3/20110411/F50891/1607/1", 86.71)</f>
        <v>86.71</v>
      </c>
      <c r="E15032" s="2">
        <v>57.95</v>
      </c>
      <c r="F15032" s="2">
        <v>2</v>
      </c>
      <c r="G15032" s="2" t="s">
        <v>9</v>
      </c>
    </row>
    <row r="15033" spans="1:8" x14ac:dyDescent="0.2">
      <c r="A15033" s="2" t="s">
        <v>3240</v>
      </c>
      <c r="B15033" s="2" t="s">
        <v>1392</v>
      </c>
      <c r="C15033" s="2">
        <v>798.47360000000003</v>
      </c>
      <c r="D15033" s="2">
        <f>HYPERLINK("http://mcb-m6.bioreg.kyushu-u.ac.jp/M3/20110411/F50905/2366/1", 91.45)</f>
        <v>91.45</v>
      </c>
      <c r="E15033" s="2">
        <v>69.62</v>
      </c>
      <c r="F15033" s="2">
        <v>2</v>
      </c>
      <c r="G15033" s="2" t="s">
        <v>9</v>
      </c>
      <c r="H15033" s="2" t="s">
        <v>4912</v>
      </c>
    </row>
    <row r="15034" spans="1:8" x14ac:dyDescent="0.2">
      <c r="A15034" s="2" t="s">
        <v>3240</v>
      </c>
      <c r="B15034" s="2" t="s">
        <v>1392</v>
      </c>
      <c r="C15034" s="2">
        <v>790.56820000000005</v>
      </c>
      <c r="D15034" s="2">
        <f>HYPERLINK("http://mcb-m6.bioreg.kyushu-u.ac.jp/M3/20110411/F50911/2387/1", 101.42)</f>
        <v>101.42</v>
      </c>
      <c r="E15034" s="2">
        <v>87.86</v>
      </c>
      <c r="F15034" s="2">
        <v>2</v>
      </c>
      <c r="G15034" s="2" t="s">
        <v>9</v>
      </c>
    </row>
    <row r="15035" spans="1:8" x14ac:dyDescent="0.2">
      <c r="A15035" s="2" t="s">
        <v>3240</v>
      </c>
      <c r="B15035" s="2" t="s">
        <v>1392</v>
      </c>
      <c r="C15035" s="2">
        <v>790.52369999999996</v>
      </c>
      <c r="D15035" s="2">
        <f>HYPERLINK("http://mcb-m6.bioreg.kyushu-u.ac.jp/M3/20110411/F50904/2291/1", 101.45)</f>
        <v>101.45</v>
      </c>
      <c r="E15035" s="2">
        <v>81.34</v>
      </c>
      <c r="F15035" s="2">
        <v>2</v>
      </c>
      <c r="G15035" s="2" t="s">
        <v>9</v>
      </c>
    </row>
    <row r="15036" spans="1:8" x14ac:dyDescent="0.2">
      <c r="A15036" s="2" t="s">
        <v>3240</v>
      </c>
      <c r="B15036" s="2" t="s">
        <v>1392</v>
      </c>
      <c r="C15036" s="2">
        <v>790.3732</v>
      </c>
      <c r="D15036" s="2">
        <f>HYPERLINK("http://mcb-m6.bioreg.kyushu-u.ac.jp/M3/20110411/F50892/2455/1", 103.32)</f>
        <v>103.32</v>
      </c>
      <c r="E15036" s="2">
        <v>89.66</v>
      </c>
      <c r="F15036" s="2">
        <v>2</v>
      </c>
      <c r="G15036" s="2" t="s">
        <v>9</v>
      </c>
    </row>
    <row r="15037" spans="1:8" x14ac:dyDescent="0.2">
      <c r="A15037" s="2" t="s">
        <v>3240</v>
      </c>
      <c r="B15037" s="2" t="s">
        <v>1392</v>
      </c>
      <c r="C15037" s="2">
        <v>790.59370000000001</v>
      </c>
      <c r="D15037" s="2">
        <f>HYPERLINK("http://mcb-m6.bioreg.kyushu-u.ac.jp/M3/20110411/F50893/2419/1", 104.39)</f>
        <v>104.39</v>
      </c>
      <c r="E15037" s="2">
        <v>82.77</v>
      </c>
      <c r="F15037" s="2">
        <v>2</v>
      </c>
      <c r="G15037" s="2" t="s">
        <v>9</v>
      </c>
    </row>
    <row r="15038" spans="1:8" x14ac:dyDescent="0.2">
      <c r="A15038" s="2" t="s">
        <v>3240</v>
      </c>
      <c r="B15038" s="2" t="s">
        <v>1392</v>
      </c>
      <c r="C15038" s="2">
        <v>790.56920000000002</v>
      </c>
      <c r="D15038" s="2">
        <f>HYPERLINK("http://mcb-m6.bioreg.kyushu-u.ac.jp/M3/20110411/F50895/2340/1", 112.61)</f>
        <v>112.61</v>
      </c>
      <c r="E15038" s="2">
        <v>96.69</v>
      </c>
      <c r="F15038" s="2">
        <v>2</v>
      </c>
      <c r="G15038" s="2" t="s">
        <v>9</v>
      </c>
    </row>
    <row r="15039" spans="1:8" x14ac:dyDescent="0.2">
      <c r="A15039" s="2" t="s">
        <v>3240</v>
      </c>
      <c r="B15039" s="2" t="s">
        <v>1392</v>
      </c>
      <c r="C15039" s="2">
        <v>798.54169999999999</v>
      </c>
      <c r="D15039" s="2">
        <f>HYPERLINK("http://mcb-m6.bioreg.kyushu-u.ac.jp/M3/20110411/F50895/2378/1", 117.81)</f>
        <v>117.81</v>
      </c>
      <c r="E15039" s="2">
        <v>96.58</v>
      </c>
      <c r="F15039" s="2">
        <v>2</v>
      </c>
      <c r="G15039" s="2" t="s">
        <v>9</v>
      </c>
      <c r="H15039" s="2" t="s">
        <v>4912</v>
      </c>
    </row>
    <row r="15040" spans="1:8" x14ac:dyDescent="0.2">
      <c r="A15040" s="2" t="s">
        <v>3240</v>
      </c>
      <c r="B15040" s="2" t="s">
        <v>20</v>
      </c>
      <c r="C15040" s="2">
        <v>1298.8800000000001</v>
      </c>
      <c r="D15040" s="2">
        <f>HYPERLINK("http://mcb-m6.bioreg.kyushu-u.ac.jp/M3/20110411/F50897/1532/1", 35.7)</f>
        <v>35.700000000000003</v>
      </c>
      <c r="E15040" s="2">
        <v>10.67</v>
      </c>
      <c r="F15040" s="2">
        <v>1</v>
      </c>
      <c r="G15040" s="2" t="s">
        <v>10</v>
      </c>
    </row>
    <row r="15041" spans="1:7" x14ac:dyDescent="0.2">
      <c r="A15041" s="2" t="s">
        <v>3240</v>
      </c>
      <c r="B15041" s="2" t="s">
        <v>20</v>
      </c>
      <c r="C15041" s="2">
        <v>1298.8389999999999</v>
      </c>
      <c r="D15041" s="2">
        <f>HYPERLINK("http://mcb-m6.bioreg.kyushu-u.ac.jp/M3/20110411/F50902/1637/1", 41.86)</f>
        <v>41.86</v>
      </c>
      <c r="E15041" s="2">
        <v>18.82</v>
      </c>
      <c r="F15041" s="2">
        <v>1</v>
      </c>
      <c r="G15041" s="2" t="s">
        <v>10</v>
      </c>
    </row>
    <row r="15042" spans="1:7" x14ac:dyDescent="0.2">
      <c r="A15042" s="2" t="s">
        <v>3240</v>
      </c>
      <c r="B15042" s="2" t="s">
        <v>20</v>
      </c>
      <c r="C15042" s="2">
        <v>1299.02</v>
      </c>
      <c r="D15042" s="2">
        <f>HYPERLINK("http://mcb-m6.bioreg.kyushu-u.ac.jp/M3/20110411/F50898/1895/1", 44.83)</f>
        <v>44.83</v>
      </c>
      <c r="E15042" s="2">
        <v>20</v>
      </c>
      <c r="F15042" s="2">
        <v>1</v>
      </c>
      <c r="G15042" s="2" t="s">
        <v>10</v>
      </c>
    </row>
    <row r="15043" spans="1:7" x14ac:dyDescent="0.2">
      <c r="A15043" s="2" t="s">
        <v>3240</v>
      </c>
      <c r="B15043" s="2" t="s">
        <v>1392</v>
      </c>
      <c r="C15043" s="2">
        <v>790.60419999999999</v>
      </c>
      <c r="D15043" s="2">
        <f>HYPERLINK("http://mcb-m6.bioreg.kyushu-u.ac.jp/M3/20110411/F50901/2276/1", 45.99)</f>
        <v>45.99</v>
      </c>
      <c r="E15043" s="2">
        <v>28.52</v>
      </c>
      <c r="F15043" s="2">
        <v>2</v>
      </c>
      <c r="G15043" s="2" t="s">
        <v>10</v>
      </c>
    </row>
    <row r="15044" spans="1:7" x14ac:dyDescent="0.2">
      <c r="A15044" s="2" t="s">
        <v>3240</v>
      </c>
      <c r="B15044" s="2" t="s">
        <v>20</v>
      </c>
      <c r="C15044" s="2">
        <v>1298.873</v>
      </c>
      <c r="D15044" s="2">
        <f>HYPERLINK("http://mcb-m6.bioreg.kyushu-u.ac.jp/M3/20110411/F50900/1793/1", 47.99)</f>
        <v>47.99</v>
      </c>
      <c r="E15044" s="2">
        <v>31.6</v>
      </c>
      <c r="F15044" s="2">
        <v>1</v>
      </c>
      <c r="G15044" s="2" t="s">
        <v>10</v>
      </c>
    </row>
    <row r="15045" spans="1:7" x14ac:dyDescent="0.2">
      <c r="A15045" s="2" t="s">
        <v>3240</v>
      </c>
      <c r="B15045" s="2" t="s">
        <v>20</v>
      </c>
      <c r="C15045" s="2">
        <v>1298.8610000000001</v>
      </c>
      <c r="D15045" s="2">
        <f>HYPERLINK("http://mcb-m6.bioreg.kyushu-u.ac.jp/M3/20110411/F50901/1658/1", 48.67)</f>
        <v>48.67</v>
      </c>
      <c r="E15045" s="2">
        <v>26.43</v>
      </c>
      <c r="F15045" s="2">
        <v>1</v>
      </c>
      <c r="G15045" s="2" t="s">
        <v>10</v>
      </c>
    </row>
    <row r="15046" spans="1:7" x14ac:dyDescent="0.2">
      <c r="A15046" s="2" t="s">
        <v>3240</v>
      </c>
      <c r="B15046" s="2" t="s">
        <v>20</v>
      </c>
      <c r="C15046" s="2">
        <v>650.37570000000005</v>
      </c>
      <c r="D15046" s="2">
        <f>HYPERLINK("http://mcb-m6.bioreg.kyushu-u.ac.jp/M3/20110411/F50918/1370/1", 48.94)</f>
        <v>48.94</v>
      </c>
      <c r="E15046" s="2">
        <v>28.52</v>
      </c>
      <c r="F15046" s="2">
        <v>2</v>
      </c>
      <c r="G15046" s="2" t="s">
        <v>10</v>
      </c>
    </row>
    <row r="15047" spans="1:7" x14ac:dyDescent="0.2">
      <c r="A15047" s="2" t="s">
        <v>3240</v>
      </c>
      <c r="B15047" s="2" t="s">
        <v>20</v>
      </c>
      <c r="C15047" s="2">
        <v>1298.692</v>
      </c>
      <c r="D15047" s="2">
        <f>HYPERLINK("http://mcb-m6.bioreg.kyushu-u.ac.jp/M3/20110411/F50914/1653/1", 50.03)</f>
        <v>50.03</v>
      </c>
      <c r="E15047" s="2">
        <v>27.68</v>
      </c>
      <c r="F15047" s="2">
        <v>1</v>
      </c>
      <c r="G15047" s="2" t="s">
        <v>10</v>
      </c>
    </row>
    <row r="15048" spans="1:7" x14ac:dyDescent="0.2">
      <c r="A15048" s="2" t="s">
        <v>3240</v>
      </c>
      <c r="B15048" s="2" t="s">
        <v>20</v>
      </c>
      <c r="C15048" s="2">
        <v>1298.9290000000001</v>
      </c>
      <c r="D15048" s="2">
        <f>HYPERLINK("http://mcb-m6.bioreg.kyushu-u.ac.jp/M3/20110411/F50913/1583/1", 51.32)</f>
        <v>51.32</v>
      </c>
      <c r="E15048" s="2">
        <v>25.78</v>
      </c>
      <c r="F15048" s="2">
        <v>1</v>
      </c>
      <c r="G15048" s="2" t="s">
        <v>10</v>
      </c>
    </row>
    <row r="15049" spans="1:7" x14ac:dyDescent="0.2">
      <c r="A15049" s="2" t="s">
        <v>3240</v>
      </c>
      <c r="B15049" s="2" t="s">
        <v>20</v>
      </c>
      <c r="C15049" s="2">
        <v>1298.712</v>
      </c>
      <c r="D15049" s="2">
        <f>HYPERLINK("http://mcb-m6.bioreg.kyushu-u.ac.jp/M3/20110411/F50918/1368/1", 52.5)</f>
        <v>52.5</v>
      </c>
      <c r="E15049" s="2">
        <v>29.25</v>
      </c>
      <c r="F15049" s="2">
        <v>1</v>
      </c>
      <c r="G15049" s="2" t="s">
        <v>10</v>
      </c>
    </row>
    <row r="15050" spans="1:7" x14ac:dyDescent="0.2">
      <c r="A15050" s="2" t="s">
        <v>3240</v>
      </c>
      <c r="B15050" s="2" t="s">
        <v>20</v>
      </c>
      <c r="C15050" s="2">
        <v>1299.0340000000001</v>
      </c>
      <c r="D15050" s="2">
        <f>HYPERLINK("http://mcb-m6.bioreg.kyushu-u.ac.jp/M3/20110411/F50912/1626/1", 54.77)</f>
        <v>54.77</v>
      </c>
      <c r="E15050" s="2">
        <v>17.27</v>
      </c>
      <c r="F15050" s="2">
        <v>1</v>
      </c>
      <c r="G15050" s="2" t="s">
        <v>10</v>
      </c>
    </row>
    <row r="15051" spans="1:7" x14ac:dyDescent="0.2">
      <c r="A15051" s="2" t="s">
        <v>3240</v>
      </c>
      <c r="B15051" s="2" t="s">
        <v>20</v>
      </c>
      <c r="C15051" s="2">
        <v>649.93269999999995</v>
      </c>
      <c r="D15051" s="2">
        <f>HYPERLINK("http://mcb-m6.bioreg.kyushu-u.ac.jp/M3/20110411/F50902/1638/1", 64.37)</f>
        <v>64.37</v>
      </c>
      <c r="E15051" s="2">
        <v>41.81</v>
      </c>
      <c r="F15051" s="2">
        <v>2</v>
      </c>
      <c r="G15051" s="2" t="s">
        <v>10</v>
      </c>
    </row>
    <row r="15052" spans="1:7" x14ac:dyDescent="0.2">
      <c r="A15052" s="2" t="s">
        <v>3240</v>
      </c>
      <c r="B15052" s="2" t="s">
        <v>20</v>
      </c>
      <c r="C15052" s="2">
        <v>649.80870000000004</v>
      </c>
      <c r="D15052" s="2">
        <f>HYPERLINK("http://mcb-m6.bioreg.kyushu-u.ac.jp/M3/20110411/F50914/1652/1", 74.64)</f>
        <v>74.64</v>
      </c>
      <c r="E15052" s="2">
        <v>54.8</v>
      </c>
      <c r="F15052" s="2">
        <v>2</v>
      </c>
      <c r="G15052" s="2" t="s">
        <v>10</v>
      </c>
    </row>
    <row r="15053" spans="1:7" x14ac:dyDescent="0.2">
      <c r="A15053" s="2" t="s">
        <v>3240</v>
      </c>
      <c r="B15053" s="2" t="s">
        <v>20</v>
      </c>
      <c r="C15053" s="2">
        <v>649.99720000000002</v>
      </c>
      <c r="D15053" s="2">
        <f>HYPERLINK("http://mcb-m6.bioreg.kyushu-u.ac.jp/M3/20110411/F50918/1369/1", 77.36)</f>
        <v>77.36</v>
      </c>
      <c r="E15053" s="2">
        <v>54.7</v>
      </c>
      <c r="F15053" s="2">
        <v>2</v>
      </c>
      <c r="G15053" s="2" t="s">
        <v>10</v>
      </c>
    </row>
    <row r="15054" spans="1:7" x14ac:dyDescent="0.2">
      <c r="A15054" s="2" t="s">
        <v>3240</v>
      </c>
      <c r="B15054" s="2" t="s">
        <v>20</v>
      </c>
      <c r="C15054" s="2">
        <v>649.7731</v>
      </c>
      <c r="D15054" s="2">
        <f>HYPERLINK("http://mcb-m6.bioreg.kyushu-u.ac.jp/M3/20110411/F50921/1393/1", 78.3)</f>
        <v>78.3</v>
      </c>
      <c r="E15054" s="2">
        <v>49.77</v>
      </c>
      <c r="F15054" s="2">
        <v>2</v>
      </c>
      <c r="G15054" s="2" t="s">
        <v>10</v>
      </c>
    </row>
    <row r="15055" spans="1:7" x14ac:dyDescent="0.2">
      <c r="A15055" s="2" t="s">
        <v>3240</v>
      </c>
      <c r="B15055" s="2" t="s">
        <v>20</v>
      </c>
      <c r="C15055" s="2">
        <v>650.01009999999997</v>
      </c>
      <c r="D15055" s="2">
        <f>HYPERLINK("http://mcb-m6.bioreg.kyushu-u.ac.jp/M3/20110411/F50913/1585/1", 78.41)</f>
        <v>78.41</v>
      </c>
      <c r="E15055" s="2">
        <v>41.77</v>
      </c>
      <c r="F15055" s="2">
        <v>2</v>
      </c>
      <c r="G15055" s="2" t="s">
        <v>10</v>
      </c>
    </row>
    <row r="15056" spans="1:7" x14ac:dyDescent="0.2">
      <c r="A15056" s="2" t="s">
        <v>3240</v>
      </c>
      <c r="B15056" s="2" t="s">
        <v>20</v>
      </c>
      <c r="C15056" s="2">
        <v>649.8981</v>
      </c>
      <c r="D15056" s="2">
        <f>HYPERLINK("http://mcb-m6.bioreg.kyushu-u.ac.jp/M3/20110411/F50898/1894/1", 78.96)</f>
        <v>78.959999999999994</v>
      </c>
      <c r="E15056" s="2">
        <v>42.47</v>
      </c>
      <c r="F15056" s="2">
        <v>2</v>
      </c>
      <c r="G15056" s="2" t="s">
        <v>10</v>
      </c>
    </row>
    <row r="15057" spans="1:8" x14ac:dyDescent="0.2">
      <c r="A15057" s="2" t="s">
        <v>3240</v>
      </c>
      <c r="B15057" s="2" t="s">
        <v>20</v>
      </c>
      <c r="C15057" s="2">
        <v>649.86220000000003</v>
      </c>
      <c r="D15057" s="2">
        <f>HYPERLINK("http://mcb-m6.bioreg.kyushu-u.ac.jp/M3/20110411/F50897/1531/1", 83.15)</f>
        <v>83.15</v>
      </c>
      <c r="E15057" s="2">
        <v>39.9</v>
      </c>
      <c r="F15057" s="2">
        <v>2</v>
      </c>
      <c r="G15057" s="2" t="s">
        <v>10</v>
      </c>
    </row>
    <row r="15058" spans="1:8" x14ac:dyDescent="0.2">
      <c r="A15058" s="2" t="s">
        <v>3240</v>
      </c>
      <c r="B15058" s="2" t="s">
        <v>20</v>
      </c>
      <c r="C15058" s="2">
        <v>649.76120000000003</v>
      </c>
      <c r="D15058" s="2">
        <f>HYPERLINK("http://mcb-m6.bioreg.kyushu-u.ac.jp/M3/20110411/F50900/1792/1", 83.21)</f>
        <v>83.21</v>
      </c>
      <c r="E15058" s="2">
        <v>49.96</v>
      </c>
      <c r="F15058" s="2">
        <v>2</v>
      </c>
      <c r="G15058" s="2" t="s">
        <v>10</v>
      </c>
    </row>
    <row r="15059" spans="1:8" x14ac:dyDescent="0.2">
      <c r="A15059" s="2" t="s">
        <v>3240</v>
      </c>
      <c r="B15059" s="2" t="s">
        <v>20</v>
      </c>
      <c r="C15059" s="2">
        <v>650.0566</v>
      </c>
      <c r="D15059" s="2">
        <f>HYPERLINK("http://mcb-m6.bioreg.kyushu-u.ac.jp/M3/20110411/F50912/1627/1", 85)</f>
        <v>85</v>
      </c>
      <c r="E15059" s="2">
        <v>45.65</v>
      </c>
      <c r="F15059" s="2">
        <v>2</v>
      </c>
      <c r="G15059" s="2" t="s">
        <v>10</v>
      </c>
    </row>
    <row r="15060" spans="1:8" x14ac:dyDescent="0.2">
      <c r="A15060" s="2" t="s">
        <v>3240</v>
      </c>
      <c r="B15060" s="2" t="s">
        <v>20</v>
      </c>
      <c r="C15060" s="2">
        <v>649.92070000000001</v>
      </c>
      <c r="D15060" s="2">
        <f>HYPERLINK("http://mcb-m6.bioreg.kyushu-u.ac.jp/M3/20110411/F50901/1657/1", 86.77)</f>
        <v>86.77</v>
      </c>
      <c r="E15060" s="2">
        <v>48.21</v>
      </c>
      <c r="F15060" s="2">
        <v>2</v>
      </c>
      <c r="G15060" s="2" t="s">
        <v>10</v>
      </c>
    </row>
    <row r="15061" spans="1:8" x14ac:dyDescent="0.2">
      <c r="A15061" s="2" t="s">
        <v>3240</v>
      </c>
      <c r="B15061" s="2" t="s">
        <v>20</v>
      </c>
      <c r="C15061" s="2">
        <v>649.93370000000004</v>
      </c>
      <c r="D15061" s="2">
        <f>HYPERLINK("http://mcb-m6.bioreg.kyushu-u.ac.jp/M3/20110411/F50896/1802/1", 89.83)</f>
        <v>89.83</v>
      </c>
      <c r="E15061" s="2">
        <v>49.28</v>
      </c>
      <c r="F15061" s="2">
        <v>2</v>
      </c>
      <c r="G15061" s="2" t="s">
        <v>10</v>
      </c>
    </row>
    <row r="15062" spans="1:8" x14ac:dyDescent="0.2">
      <c r="A15062" s="2" t="s">
        <v>3240</v>
      </c>
      <c r="B15062" s="2" t="s">
        <v>1392</v>
      </c>
      <c r="C15062" s="2">
        <v>798.4692</v>
      </c>
      <c r="D15062" s="2">
        <f>HYPERLINK("http://mcb-m6.bioreg.kyushu-u.ac.jp/M3/20110411/F50902/2337/1", 97.81)</f>
        <v>97.81</v>
      </c>
      <c r="E15062" s="2">
        <v>86.21</v>
      </c>
      <c r="F15062" s="2">
        <v>2</v>
      </c>
      <c r="G15062" s="2" t="s">
        <v>10</v>
      </c>
      <c r="H15062" s="2" t="s">
        <v>4912</v>
      </c>
    </row>
    <row r="15063" spans="1:8" x14ac:dyDescent="0.2">
      <c r="A15063" s="2" t="s">
        <v>3240</v>
      </c>
      <c r="B15063" s="2" t="s">
        <v>1392</v>
      </c>
      <c r="C15063" s="2">
        <v>790.55520000000001</v>
      </c>
      <c r="D15063" s="2">
        <f>HYPERLINK("http://mcb-m6.bioreg.kyushu-u.ac.jp/M3/20110411/F50896/2334/1", 104.49)</f>
        <v>104.49</v>
      </c>
      <c r="E15063" s="2">
        <v>86.96</v>
      </c>
      <c r="F15063" s="2">
        <v>2</v>
      </c>
      <c r="G15063" s="2" t="s">
        <v>10</v>
      </c>
    </row>
    <row r="15064" spans="1:8" x14ac:dyDescent="0.2">
      <c r="A15064" s="2" t="s">
        <v>3240</v>
      </c>
      <c r="B15064" s="2" t="s">
        <v>1392</v>
      </c>
      <c r="C15064" s="2">
        <v>790.53560000000004</v>
      </c>
      <c r="D15064" s="2">
        <f>HYPERLINK("http://mcb-m6.bioreg.kyushu-u.ac.jp/M3/20110411/F50902/2299/1", 104.75)</f>
        <v>104.75</v>
      </c>
      <c r="E15064" s="2">
        <v>90.76</v>
      </c>
      <c r="F15064" s="2">
        <v>2</v>
      </c>
      <c r="G15064" s="2" t="s">
        <v>10</v>
      </c>
    </row>
    <row r="15065" spans="1:8" x14ac:dyDescent="0.2">
      <c r="A15065" s="2" t="s">
        <v>3240</v>
      </c>
      <c r="B15065" s="2" t="s">
        <v>1392</v>
      </c>
      <c r="C15065" s="2">
        <v>790.62660000000005</v>
      </c>
      <c r="D15065" s="2">
        <f>HYPERLINK("http://mcb-m6.bioreg.kyushu-u.ac.jp/M3/20110411/F50912/2297/1", 108.21)</f>
        <v>108.21</v>
      </c>
      <c r="E15065" s="2">
        <v>90.9</v>
      </c>
      <c r="F15065" s="2">
        <v>2</v>
      </c>
      <c r="G15065" s="2" t="s">
        <v>10</v>
      </c>
    </row>
    <row r="15066" spans="1:8" x14ac:dyDescent="0.2">
      <c r="A15066" s="2" t="s">
        <v>3240</v>
      </c>
      <c r="B15066" s="2" t="s">
        <v>1392</v>
      </c>
      <c r="C15066" s="2">
        <v>790.4366</v>
      </c>
      <c r="D15066" s="2">
        <f>HYPERLINK("http://mcb-m6.bioreg.kyushu-u.ac.jp/M3/20110411/F50898/2434/1", 108.24)</f>
        <v>108.24</v>
      </c>
      <c r="E15066" s="2">
        <v>92.18</v>
      </c>
      <c r="F15066" s="2">
        <v>2</v>
      </c>
      <c r="G15066" s="2" t="s">
        <v>10</v>
      </c>
    </row>
    <row r="15067" spans="1:8" x14ac:dyDescent="0.2">
      <c r="A15067" s="2" t="s">
        <v>3240</v>
      </c>
      <c r="B15067" s="2" t="s">
        <v>1392</v>
      </c>
      <c r="C15067" s="2">
        <v>790.49270000000001</v>
      </c>
      <c r="D15067" s="2">
        <f>HYPERLINK("http://mcb-m6.bioreg.kyushu-u.ac.jp/M3/20110411/F50897/2255/1", 108.36)</f>
        <v>108.36</v>
      </c>
      <c r="E15067" s="2">
        <v>94.08</v>
      </c>
      <c r="F15067" s="2">
        <v>2</v>
      </c>
      <c r="G15067" s="2" t="s">
        <v>10</v>
      </c>
    </row>
    <row r="15068" spans="1:8" x14ac:dyDescent="0.2">
      <c r="A15068" s="2" t="s">
        <v>3240</v>
      </c>
      <c r="B15068" s="2" t="s">
        <v>1392</v>
      </c>
      <c r="C15068" s="2">
        <v>798.64919999999995</v>
      </c>
      <c r="D15068" s="2">
        <f>HYPERLINK("http://mcb-m6.bioreg.kyushu-u.ac.jp/M3/20110411/F50912/2334/1", 110.05)</f>
        <v>110.05</v>
      </c>
      <c r="E15068" s="2">
        <v>88.57</v>
      </c>
      <c r="F15068" s="2">
        <v>2</v>
      </c>
      <c r="G15068" s="2" t="s">
        <v>10</v>
      </c>
      <c r="H15068" s="2" t="s">
        <v>4912</v>
      </c>
    </row>
    <row r="15069" spans="1:8" x14ac:dyDescent="0.2">
      <c r="A15069" s="2" t="s">
        <v>3240</v>
      </c>
      <c r="B15069" s="2" t="s">
        <v>1392</v>
      </c>
      <c r="C15069" s="2">
        <v>798.51210000000003</v>
      </c>
      <c r="D15069" s="2">
        <f>HYPERLINK("http://mcb-m6.bioreg.kyushu-u.ac.jp/M3/20110411/F50918/2170/1", 112.72)</f>
        <v>112.72</v>
      </c>
      <c r="E15069" s="2">
        <v>100.36</v>
      </c>
      <c r="F15069" s="2">
        <v>2</v>
      </c>
      <c r="G15069" s="2" t="s">
        <v>10</v>
      </c>
      <c r="H15069" s="2" t="s">
        <v>4912</v>
      </c>
    </row>
    <row r="15070" spans="1:8" x14ac:dyDescent="0.2">
      <c r="A15070" s="2" t="s">
        <v>3240</v>
      </c>
      <c r="B15070" s="2" t="s">
        <v>1392</v>
      </c>
      <c r="C15070" s="2">
        <v>790.53269999999998</v>
      </c>
      <c r="D15070" s="2">
        <f>HYPERLINK("http://mcb-m6.bioreg.kyushu-u.ac.jp/M3/20110411/F50900/2342/1", 113.96)</f>
        <v>113.96</v>
      </c>
      <c r="E15070" s="2">
        <v>99.86</v>
      </c>
      <c r="F15070" s="2">
        <v>2</v>
      </c>
      <c r="G15070" s="2" t="s">
        <v>10</v>
      </c>
    </row>
    <row r="15071" spans="1:8" x14ac:dyDescent="0.2">
      <c r="A15071" s="2" t="s">
        <v>3240</v>
      </c>
      <c r="B15071" s="2" t="s">
        <v>20</v>
      </c>
      <c r="C15071" s="2">
        <v>1299.6289999999999</v>
      </c>
      <c r="D15071" s="2">
        <f>HYPERLINK("http://mcb-m6.bioreg.kyushu-u.ac.jp/M3/20110414/F50943/1410/1", 38.68)</f>
        <v>38.68</v>
      </c>
      <c r="E15071" s="2">
        <v>15.58</v>
      </c>
      <c r="F15071" s="2">
        <v>1</v>
      </c>
      <c r="G15071" s="2" t="s">
        <v>11</v>
      </c>
    </row>
    <row r="15072" spans="1:8" x14ac:dyDescent="0.2">
      <c r="A15072" s="2" t="s">
        <v>3240</v>
      </c>
      <c r="B15072" s="2" t="s">
        <v>20</v>
      </c>
      <c r="C15072" s="2">
        <v>1298.749</v>
      </c>
      <c r="D15072" s="2">
        <f>HYPERLINK("http://mcb-m6.bioreg.kyushu-u.ac.jp/M3/20110414/F50944/1693/1", 40.81)</f>
        <v>40.81</v>
      </c>
      <c r="E15072" s="2">
        <v>24.37</v>
      </c>
      <c r="F15072" s="2">
        <v>1</v>
      </c>
      <c r="G15072" s="2" t="s">
        <v>11</v>
      </c>
    </row>
    <row r="15073" spans="1:7" x14ac:dyDescent="0.2">
      <c r="A15073" s="2" t="s">
        <v>3240</v>
      </c>
      <c r="B15073" s="2" t="s">
        <v>20</v>
      </c>
      <c r="C15073" s="2">
        <v>650.13919999999996</v>
      </c>
      <c r="D15073" s="2">
        <f>HYPERLINK("http://mcb-m6.bioreg.kyushu-u.ac.jp/M3/20110414/F50927/1900/1", 41.37)</f>
        <v>41.37</v>
      </c>
      <c r="E15073" s="2">
        <v>25.66</v>
      </c>
      <c r="F15073" s="2">
        <v>2</v>
      </c>
      <c r="G15073" s="2" t="s">
        <v>11</v>
      </c>
    </row>
    <row r="15074" spans="1:7" x14ac:dyDescent="0.2">
      <c r="A15074" s="2" t="s">
        <v>3240</v>
      </c>
      <c r="B15074" s="2" t="s">
        <v>20</v>
      </c>
      <c r="C15074" s="2">
        <v>1298.4590000000001</v>
      </c>
      <c r="D15074" s="2">
        <f>HYPERLINK("http://mcb-m6.bioreg.kyushu-u.ac.jp/M3/20110414/F50957/1265/1", 42.87)</f>
        <v>42.87</v>
      </c>
      <c r="E15074" s="2">
        <v>27.75</v>
      </c>
      <c r="F15074" s="2">
        <v>1</v>
      </c>
      <c r="G15074" s="2" t="s">
        <v>11</v>
      </c>
    </row>
    <row r="15075" spans="1:7" x14ac:dyDescent="0.2">
      <c r="A15075" s="2" t="s">
        <v>3240</v>
      </c>
      <c r="B15075" s="2" t="s">
        <v>20</v>
      </c>
      <c r="C15075" s="2">
        <v>1298.537</v>
      </c>
      <c r="D15075" s="2">
        <f>HYPERLINK("http://mcb-m6.bioreg.kyushu-u.ac.jp/M3/20110414/F50956/1318/1", 44.99)</f>
        <v>44.99</v>
      </c>
      <c r="E15075" s="2">
        <v>28.14</v>
      </c>
      <c r="F15075" s="2">
        <v>1</v>
      </c>
      <c r="G15075" s="2" t="s">
        <v>11</v>
      </c>
    </row>
    <row r="15076" spans="1:7" x14ac:dyDescent="0.2">
      <c r="A15076" s="2" t="s">
        <v>3240</v>
      </c>
      <c r="B15076" s="2" t="s">
        <v>1392</v>
      </c>
      <c r="C15076" s="2">
        <v>790.43320000000006</v>
      </c>
      <c r="D15076" s="2">
        <f>HYPERLINK("http://mcb-m6.bioreg.kyushu-u.ac.jp/M3/20110414/F50942/2232/1", 49.39)</f>
        <v>49.39</v>
      </c>
      <c r="E15076" s="2">
        <v>36.479999999999997</v>
      </c>
      <c r="F15076" s="2">
        <v>2</v>
      </c>
      <c r="G15076" s="2" t="s">
        <v>11</v>
      </c>
    </row>
    <row r="15077" spans="1:7" x14ac:dyDescent="0.2">
      <c r="A15077" s="2" t="s">
        <v>3240</v>
      </c>
      <c r="B15077" s="2" t="s">
        <v>2367</v>
      </c>
      <c r="C15077" s="2">
        <v>1017.481</v>
      </c>
      <c r="D15077" s="2">
        <f>HYPERLINK("http://mcb-m6.bioreg.kyushu-u.ac.jp/M3/20110414/F50957/4882/1", 50.96)</f>
        <v>50.96</v>
      </c>
      <c r="E15077" s="2">
        <v>39.35</v>
      </c>
      <c r="F15077" s="2">
        <v>3</v>
      </c>
      <c r="G15077" s="2" t="s">
        <v>11</v>
      </c>
    </row>
    <row r="15078" spans="1:7" x14ac:dyDescent="0.2">
      <c r="A15078" s="2" t="s">
        <v>3240</v>
      </c>
      <c r="B15078" s="2" t="s">
        <v>20</v>
      </c>
      <c r="C15078" s="2">
        <v>650.24620000000004</v>
      </c>
      <c r="D15078" s="2">
        <f>HYPERLINK("http://mcb-m6.bioreg.kyushu-u.ac.jp/M3/20110414/F50929/1934/1", 51.9)</f>
        <v>51.9</v>
      </c>
      <c r="E15078" s="2">
        <v>31.12</v>
      </c>
      <c r="F15078" s="2">
        <v>2</v>
      </c>
      <c r="G15078" s="2" t="s">
        <v>11</v>
      </c>
    </row>
    <row r="15079" spans="1:7" x14ac:dyDescent="0.2">
      <c r="A15079" s="2" t="s">
        <v>3240</v>
      </c>
      <c r="B15079" s="2" t="s">
        <v>20</v>
      </c>
      <c r="C15079" s="2">
        <v>649.57420000000002</v>
      </c>
      <c r="D15079" s="2">
        <f>HYPERLINK("http://mcb-m6.bioreg.kyushu-u.ac.jp/M3/20110414/F50956/1315/1", 53.87)</f>
        <v>53.87</v>
      </c>
      <c r="E15079" s="2">
        <v>36.64</v>
      </c>
      <c r="F15079" s="2">
        <v>2</v>
      </c>
      <c r="G15079" s="2" t="s">
        <v>11</v>
      </c>
    </row>
    <row r="15080" spans="1:7" x14ac:dyDescent="0.2">
      <c r="A15080" s="2" t="s">
        <v>3240</v>
      </c>
      <c r="B15080" s="2" t="s">
        <v>20</v>
      </c>
      <c r="C15080" s="2">
        <v>649.76170000000002</v>
      </c>
      <c r="D15080" s="2">
        <f>HYPERLINK("http://mcb-m6.bioreg.kyushu-u.ac.jp/M3/20110414/F50942/1421/1", 55.56)</f>
        <v>55.56</v>
      </c>
      <c r="E15080" s="2">
        <v>30.68</v>
      </c>
      <c r="F15080" s="2">
        <v>2</v>
      </c>
      <c r="G15080" s="2" t="s">
        <v>11</v>
      </c>
    </row>
    <row r="15081" spans="1:7" x14ac:dyDescent="0.2">
      <c r="A15081" s="2" t="s">
        <v>3240</v>
      </c>
      <c r="B15081" s="2" t="s">
        <v>20</v>
      </c>
      <c r="C15081" s="2">
        <v>650.08510000000001</v>
      </c>
      <c r="D15081" s="2">
        <f>HYPERLINK("http://mcb-m6.bioreg.kyushu-u.ac.jp/M3/20110414/F50957/1268/1", 59.08)</f>
        <v>59.08</v>
      </c>
      <c r="E15081" s="2">
        <v>36.06</v>
      </c>
      <c r="F15081" s="2">
        <v>2</v>
      </c>
      <c r="G15081" s="2" t="s">
        <v>11</v>
      </c>
    </row>
    <row r="15082" spans="1:7" x14ac:dyDescent="0.2">
      <c r="A15082" s="2" t="s">
        <v>3240</v>
      </c>
      <c r="B15082" s="2" t="s">
        <v>20</v>
      </c>
      <c r="C15082" s="2">
        <v>650.16219999999998</v>
      </c>
      <c r="D15082" s="2">
        <f>HYPERLINK("http://mcb-m6.bioreg.kyushu-u.ac.jp/M3/20110414/F50957/1269/1", 60.3)</f>
        <v>60.3</v>
      </c>
      <c r="E15082" s="2">
        <v>24.62</v>
      </c>
      <c r="F15082" s="2">
        <v>2</v>
      </c>
      <c r="G15082" s="2" t="s">
        <v>11</v>
      </c>
    </row>
    <row r="15083" spans="1:7" x14ac:dyDescent="0.2">
      <c r="A15083" s="2" t="s">
        <v>3240</v>
      </c>
      <c r="B15083" s="2" t="s">
        <v>20</v>
      </c>
      <c r="C15083" s="2">
        <v>649.88710000000003</v>
      </c>
      <c r="D15083" s="2">
        <f>HYPERLINK("http://mcb-m6.bioreg.kyushu-u.ac.jp/M3/20110414/F50941/1559/1", 62.97)</f>
        <v>62.97</v>
      </c>
      <c r="E15083" s="2">
        <v>29.68</v>
      </c>
      <c r="F15083" s="2">
        <v>2</v>
      </c>
      <c r="G15083" s="2" t="s">
        <v>11</v>
      </c>
    </row>
    <row r="15084" spans="1:7" x14ac:dyDescent="0.2">
      <c r="A15084" s="2" t="s">
        <v>3240</v>
      </c>
      <c r="B15084" s="2" t="s">
        <v>20</v>
      </c>
      <c r="C15084" s="2">
        <v>649.79970000000003</v>
      </c>
      <c r="D15084" s="2">
        <f>HYPERLINK("http://mcb-m6.bioreg.kyushu-u.ac.jp/M3/20110414/F50928/1830/1", 66.13)</f>
        <v>66.13</v>
      </c>
      <c r="E15084" s="2">
        <v>30.64</v>
      </c>
      <c r="F15084" s="2">
        <v>2</v>
      </c>
      <c r="G15084" s="2" t="s">
        <v>11</v>
      </c>
    </row>
    <row r="15085" spans="1:7" x14ac:dyDescent="0.2">
      <c r="A15085" s="2" t="s">
        <v>3240</v>
      </c>
      <c r="B15085" s="2" t="s">
        <v>20</v>
      </c>
      <c r="C15085" s="2">
        <v>649.96559999999999</v>
      </c>
      <c r="D15085" s="2">
        <f>HYPERLINK("http://mcb-m6.bioreg.kyushu-u.ac.jp/M3/20110414/F50927/1898/1", 67.05)</f>
        <v>67.05</v>
      </c>
      <c r="E15085" s="2">
        <v>35.69</v>
      </c>
      <c r="F15085" s="2">
        <v>2</v>
      </c>
      <c r="G15085" s="2" t="s">
        <v>11</v>
      </c>
    </row>
    <row r="15086" spans="1:7" x14ac:dyDescent="0.2">
      <c r="A15086" s="2" t="s">
        <v>3240</v>
      </c>
      <c r="B15086" s="2" t="s">
        <v>20</v>
      </c>
      <c r="C15086" s="2">
        <v>650.24270000000001</v>
      </c>
      <c r="D15086" s="2">
        <f>HYPERLINK("http://mcb-m6.bioreg.kyushu-u.ac.jp/M3/20110414/F50942/1424/1", 68.99)</f>
        <v>68.989999999999995</v>
      </c>
      <c r="E15086" s="2">
        <v>40.21</v>
      </c>
      <c r="F15086" s="2">
        <v>2</v>
      </c>
      <c r="G15086" s="2" t="s">
        <v>11</v>
      </c>
    </row>
    <row r="15087" spans="1:7" x14ac:dyDescent="0.2">
      <c r="A15087" s="2" t="s">
        <v>3240</v>
      </c>
      <c r="B15087" s="2" t="s">
        <v>20</v>
      </c>
      <c r="C15087" s="2">
        <v>650.27670000000001</v>
      </c>
      <c r="D15087" s="2">
        <f>HYPERLINK("http://mcb-m6.bioreg.kyushu-u.ac.jp/M3/20110414/F50943/1409/1", 69.1)</f>
        <v>69.099999999999994</v>
      </c>
      <c r="E15087" s="2">
        <v>35.950000000000003</v>
      </c>
      <c r="F15087" s="2">
        <v>2</v>
      </c>
      <c r="G15087" s="2" t="s">
        <v>11</v>
      </c>
    </row>
    <row r="15088" spans="1:7" x14ac:dyDescent="0.2">
      <c r="A15088" s="2" t="s">
        <v>3240</v>
      </c>
      <c r="B15088" s="2" t="s">
        <v>20</v>
      </c>
      <c r="C15088" s="2">
        <v>649.74369999999999</v>
      </c>
      <c r="D15088" s="2">
        <f>HYPERLINK("http://mcb-m6.bioreg.kyushu-u.ac.jp/M3/20110414/F50943/1407/1", 72.29)</f>
        <v>72.290000000000006</v>
      </c>
      <c r="E15088" s="2">
        <v>48.98</v>
      </c>
      <c r="F15088" s="2">
        <v>2</v>
      </c>
      <c r="G15088" s="2" t="s">
        <v>11</v>
      </c>
    </row>
    <row r="15089" spans="1:7" x14ac:dyDescent="0.2">
      <c r="A15089" s="2" t="s">
        <v>3240</v>
      </c>
      <c r="B15089" s="2" t="s">
        <v>20</v>
      </c>
      <c r="C15089" s="2">
        <v>649.75419999999997</v>
      </c>
      <c r="D15089" s="2">
        <f>HYPERLINK("http://mcb-m6.bioreg.kyushu-u.ac.jp/M3/20110414/F50941/1557/1", 73.65)</f>
        <v>73.650000000000006</v>
      </c>
      <c r="E15089" s="2">
        <v>52.79</v>
      </c>
      <c r="F15089" s="2">
        <v>2</v>
      </c>
      <c r="G15089" s="2" t="s">
        <v>11</v>
      </c>
    </row>
    <row r="15090" spans="1:7" x14ac:dyDescent="0.2">
      <c r="A15090" s="2" t="s">
        <v>3240</v>
      </c>
      <c r="B15090" s="2" t="s">
        <v>20</v>
      </c>
      <c r="C15090" s="2">
        <v>649.90219999999999</v>
      </c>
      <c r="D15090" s="2">
        <f>HYPERLINK("http://mcb-m6.bioreg.kyushu-u.ac.jp/M3/20110414/F50945/1586/1", 74.18)</f>
        <v>74.180000000000007</v>
      </c>
      <c r="E15090" s="2">
        <v>48.52</v>
      </c>
      <c r="F15090" s="2">
        <v>2</v>
      </c>
      <c r="G15090" s="2" t="s">
        <v>11</v>
      </c>
    </row>
    <row r="15091" spans="1:7" x14ac:dyDescent="0.2">
      <c r="A15091" s="2" t="s">
        <v>3240</v>
      </c>
      <c r="B15091" s="2" t="s">
        <v>20</v>
      </c>
      <c r="C15091" s="2">
        <v>649.82510000000002</v>
      </c>
      <c r="D15091" s="2">
        <f>HYPERLINK("http://mcb-m6.bioreg.kyushu-u.ac.jp/M3/20110414/F50928/1831/1", 74.51)</f>
        <v>74.510000000000005</v>
      </c>
      <c r="E15091" s="2">
        <v>45.12</v>
      </c>
      <c r="F15091" s="2">
        <v>2</v>
      </c>
      <c r="G15091" s="2" t="s">
        <v>11</v>
      </c>
    </row>
    <row r="15092" spans="1:7" x14ac:dyDescent="0.2">
      <c r="A15092" s="2" t="s">
        <v>3240</v>
      </c>
      <c r="B15092" s="2" t="s">
        <v>1392</v>
      </c>
      <c r="C15092" s="2">
        <v>790.14620000000002</v>
      </c>
      <c r="D15092" s="2">
        <f>HYPERLINK("http://mcb-m6.bioreg.kyushu-u.ac.jp/M3/20110414/F50957/2230/1", 77.55)</f>
        <v>77.55</v>
      </c>
      <c r="E15092" s="2">
        <v>62.6</v>
      </c>
      <c r="F15092" s="2">
        <v>2</v>
      </c>
      <c r="G15092" s="2" t="s">
        <v>11</v>
      </c>
    </row>
    <row r="15093" spans="1:7" x14ac:dyDescent="0.2">
      <c r="A15093" s="2" t="s">
        <v>3240</v>
      </c>
      <c r="B15093" s="2" t="s">
        <v>20</v>
      </c>
      <c r="C15093" s="2">
        <v>649.68409999999994</v>
      </c>
      <c r="D15093" s="2">
        <f>HYPERLINK("http://mcb-m6.bioreg.kyushu-u.ac.jp/M3/20110414/F50941/1554/1", 77.94)</f>
        <v>77.94</v>
      </c>
      <c r="E15093" s="2">
        <v>52.88</v>
      </c>
      <c r="F15093" s="2">
        <v>2</v>
      </c>
      <c r="G15093" s="2" t="s">
        <v>11</v>
      </c>
    </row>
    <row r="15094" spans="1:7" x14ac:dyDescent="0.2">
      <c r="A15094" s="2" t="s">
        <v>3240</v>
      </c>
      <c r="B15094" s="2" t="s">
        <v>20</v>
      </c>
      <c r="C15094" s="2">
        <v>649.75210000000004</v>
      </c>
      <c r="D15094" s="2">
        <f>HYPERLINK("http://mcb-m6.bioreg.kyushu-u.ac.jp/M3/20110414/F50941/1555/1", 81.39)</f>
        <v>81.39</v>
      </c>
      <c r="E15094" s="2">
        <v>56.8</v>
      </c>
      <c r="F15094" s="2">
        <v>2</v>
      </c>
      <c r="G15094" s="2" t="s">
        <v>11</v>
      </c>
    </row>
    <row r="15095" spans="1:7" x14ac:dyDescent="0.2">
      <c r="A15095" s="2" t="s">
        <v>3240</v>
      </c>
      <c r="B15095" s="2" t="s">
        <v>20</v>
      </c>
      <c r="C15095" s="2">
        <v>649.43409999999994</v>
      </c>
      <c r="D15095" s="2">
        <f>HYPERLINK("http://mcb-m6.bioreg.kyushu-u.ac.jp/M3/20110414/F50927/1894/1", 81.49)</f>
        <v>81.489999999999995</v>
      </c>
      <c r="E15095" s="2">
        <v>51.99</v>
      </c>
      <c r="F15095" s="2">
        <v>2</v>
      </c>
      <c r="G15095" s="2" t="s">
        <v>11</v>
      </c>
    </row>
    <row r="15096" spans="1:7" x14ac:dyDescent="0.2">
      <c r="A15096" s="2" t="s">
        <v>3240</v>
      </c>
      <c r="B15096" s="2" t="s">
        <v>20</v>
      </c>
      <c r="C15096" s="2">
        <v>649.54219999999998</v>
      </c>
      <c r="D15096" s="2">
        <f>HYPERLINK("http://mcb-m6.bioreg.kyushu-u.ac.jp/M3/20110414/F50928/1827/1", 83.04)</f>
        <v>83.04</v>
      </c>
      <c r="E15096" s="2">
        <v>54.43</v>
      </c>
      <c r="F15096" s="2">
        <v>2</v>
      </c>
      <c r="G15096" s="2" t="s">
        <v>11</v>
      </c>
    </row>
    <row r="15097" spans="1:7" x14ac:dyDescent="0.2">
      <c r="A15097" s="2" t="s">
        <v>3240</v>
      </c>
      <c r="B15097" s="2" t="s">
        <v>20</v>
      </c>
      <c r="C15097" s="2">
        <v>649.73170000000005</v>
      </c>
      <c r="D15097" s="2">
        <f>HYPERLINK("http://mcb-m6.bioreg.kyushu-u.ac.jp/M3/20110414/F50942/1420/1", 83.16)</f>
        <v>83.16</v>
      </c>
      <c r="E15097" s="2">
        <v>57.11</v>
      </c>
      <c r="F15097" s="2">
        <v>2</v>
      </c>
      <c r="G15097" s="2" t="s">
        <v>11</v>
      </c>
    </row>
    <row r="15098" spans="1:7" x14ac:dyDescent="0.2">
      <c r="A15098" s="2" t="s">
        <v>3240</v>
      </c>
      <c r="B15098" s="2" t="s">
        <v>20</v>
      </c>
      <c r="C15098" s="2">
        <v>649.53120000000001</v>
      </c>
      <c r="D15098" s="2">
        <f>HYPERLINK("http://mcb-m6.bioreg.kyushu-u.ac.jp/M3/20110414/F50927/1895/1", 83.29)</f>
        <v>83.29</v>
      </c>
      <c r="E15098" s="2">
        <v>55.02</v>
      </c>
      <c r="F15098" s="2">
        <v>2</v>
      </c>
      <c r="G15098" s="2" t="s">
        <v>11</v>
      </c>
    </row>
    <row r="15099" spans="1:7" x14ac:dyDescent="0.2">
      <c r="A15099" s="2" t="s">
        <v>3240</v>
      </c>
      <c r="B15099" s="2" t="s">
        <v>20</v>
      </c>
      <c r="C15099" s="2">
        <v>649.93269999999995</v>
      </c>
      <c r="D15099" s="2">
        <f>HYPERLINK("http://mcb-m6.bioreg.kyushu-u.ac.jp/M3/20110414/F50926/1911/1", 83.51)</f>
        <v>83.51</v>
      </c>
      <c r="E15099" s="2">
        <v>46.29</v>
      </c>
      <c r="F15099" s="2">
        <v>2</v>
      </c>
      <c r="G15099" s="2" t="s">
        <v>11</v>
      </c>
    </row>
    <row r="15100" spans="1:7" x14ac:dyDescent="0.2">
      <c r="A15100" s="2" t="s">
        <v>3240</v>
      </c>
      <c r="B15100" s="2" t="s">
        <v>20</v>
      </c>
      <c r="C15100" s="2">
        <v>649.71559999999999</v>
      </c>
      <c r="D15100" s="2">
        <f>HYPERLINK("http://mcb-m6.bioreg.kyushu-u.ac.jp/M3/20110414/F50956/1317/1", 83.91)</f>
        <v>83.91</v>
      </c>
      <c r="E15100" s="2">
        <v>58.11</v>
      </c>
      <c r="F15100" s="2">
        <v>2</v>
      </c>
      <c r="G15100" s="2" t="s">
        <v>11</v>
      </c>
    </row>
    <row r="15101" spans="1:7" x14ac:dyDescent="0.2">
      <c r="A15101" s="2" t="s">
        <v>3240</v>
      </c>
      <c r="B15101" s="2" t="s">
        <v>20</v>
      </c>
      <c r="C15101" s="2">
        <v>649.7047</v>
      </c>
      <c r="D15101" s="2">
        <f>HYPERLINK("http://mcb-m6.bioreg.kyushu-u.ac.jp/M3/20110414/F50962/1442/1", 83.91)</f>
        <v>83.91</v>
      </c>
      <c r="E15101" s="2">
        <v>55.18</v>
      </c>
      <c r="F15101" s="2">
        <v>2</v>
      </c>
      <c r="G15101" s="2" t="s">
        <v>11</v>
      </c>
    </row>
    <row r="15102" spans="1:7" x14ac:dyDescent="0.2">
      <c r="A15102" s="2" t="s">
        <v>3240</v>
      </c>
      <c r="B15102" s="2" t="s">
        <v>20</v>
      </c>
      <c r="C15102" s="2">
        <v>649.70619999999997</v>
      </c>
      <c r="D15102" s="2">
        <f>HYPERLINK("http://mcb-m6.bioreg.kyushu-u.ac.jp/M3/20110414/F50925/1860/1", 83.93)</f>
        <v>83.93</v>
      </c>
      <c r="E15102" s="2">
        <v>57.78</v>
      </c>
      <c r="F15102" s="2">
        <v>2</v>
      </c>
      <c r="G15102" s="2" t="s">
        <v>11</v>
      </c>
    </row>
    <row r="15103" spans="1:7" x14ac:dyDescent="0.2">
      <c r="A15103" s="2" t="s">
        <v>3240</v>
      </c>
      <c r="B15103" s="2" t="s">
        <v>20</v>
      </c>
      <c r="C15103" s="2">
        <v>649.80319999999995</v>
      </c>
      <c r="D15103" s="2">
        <f>HYPERLINK("http://mcb-m6.bioreg.kyushu-u.ac.jp/M3/20110414/F50944/1692/1", 84.93)</f>
        <v>84.93</v>
      </c>
      <c r="E15103" s="2">
        <v>63.58</v>
      </c>
      <c r="F15103" s="2">
        <v>2</v>
      </c>
      <c r="G15103" s="2" t="s">
        <v>11</v>
      </c>
    </row>
    <row r="15104" spans="1:7" x14ac:dyDescent="0.2">
      <c r="A15104" s="2" t="s">
        <v>3240</v>
      </c>
      <c r="B15104" s="2" t="s">
        <v>1392</v>
      </c>
      <c r="C15104" s="2">
        <v>790.3202</v>
      </c>
      <c r="D15104" s="2">
        <f>HYPERLINK("http://mcb-m6.bioreg.kyushu-u.ac.jp/M3/20110414/F50941/2392/1", 85.17)</f>
        <v>85.17</v>
      </c>
      <c r="E15104" s="2">
        <v>70.42</v>
      </c>
      <c r="F15104" s="2">
        <v>2</v>
      </c>
      <c r="G15104" s="2" t="s">
        <v>11</v>
      </c>
    </row>
    <row r="15105" spans="1:8" x14ac:dyDescent="0.2">
      <c r="A15105" s="2" t="s">
        <v>3240</v>
      </c>
      <c r="B15105" s="2" t="s">
        <v>1392</v>
      </c>
      <c r="C15105" s="2">
        <v>790.82420000000002</v>
      </c>
      <c r="D15105" s="2">
        <f>HYPERLINK("http://mcb-m6.bioreg.kyushu-u.ac.jp/M3/20110414/F50924/2373/1", 86.86)</f>
        <v>86.86</v>
      </c>
      <c r="E15105" s="2">
        <v>72.930000000000007</v>
      </c>
      <c r="F15105" s="2">
        <v>2</v>
      </c>
      <c r="G15105" s="2" t="s">
        <v>11</v>
      </c>
    </row>
    <row r="15106" spans="1:8" x14ac:dyDescent="0.2">
      <c r="A15106" s="2" t="s">
        <v>3240</v>
      </c>
      <c r="B15106" s="2" t="s">
        <v>20</v>
      </c>
      <c r="C15106" s="2">
        <v>649.65719999999999</v>
      </c>
      <c r="D15106" s="2">
        <f>HYPERLINK("http://mcb-m6.bioreg.kyushu-u.ac.jp/M3/20110414/F50929/1932/1", 89.76)</f>
        <v>89.76</v>
      </c>
      <c r="E15106" s="2">
        <v>62.34</v>
      </c>
      <c r="F15106" s="2">
        <v>2</v>
      </c>
      <c r="G15106" s="2" t="s">
        <v>11</v>
      </c>
    </row>
    <row r="15107" spans="1:8" x14ac:dyDescent="0.2">
      <c r="A15107" s="2" t="s">
        <v>3240</v>
      </c>
      <c r="B15107" s="2" t="s">
        <v>20</v>
      </c>
      <c r="C15107" s="2">
        <v>649.70870000000002</v>
      </c>
      <c r="D15107" s="2">
        <f>HYPERLINK("http://mcb-m6.bioreg.kyushu-u.ac.jp/M3/20110414/F50924/1617/1", 89.77)</f>
        <v>89.77</v>
      </c>
      <c r="E15107" s="2">
        <v>61.1</v>
      </c>
      <c r="F15107" s="2">
        <v>2</v>
      </c>
      <c r="G15107" s="2" t="s">
        <v>11</v>
      </c>
    </row>
    <row r="15108" spans="1:8" x14ac:dyDescent="0.2">
      <c r="A15108" s="2" t="s">
        <v>3240</v>
      </c>
      <c r="B15108" s="2" t="s">
        <v>1392</v>
      </c>
      <c r="C15108" s="2">
        <v>790.31820000000005</v>
      </c>
      <c r="D15108" s="2">
        <f>HYPERLINK("http://mcb-m6.bioreg.kyushu-u.ac.jp/M3/20110414/F50962/2153/1", 95.21)</f>
        <v>95.21</v>
      </c>
      <c r="E15108" s="2">
        <v>82.12</v>
      </c>
      <c r="F15108" s="2">
        <v>2</v>
      </c>
      <c r="G15108" s="2" t="s">
        <v>11</v>
      </c>
    </row>
    <row r="15109" spans="1:8" x14ac:dyDescent="0.2">
      <c r="A15109" s="2" t="s">
        <v>3240</v>
      </c>
      <c r="B15109" s="2" t="s">
        <v>1392</v>
      </c>
      <c r="C15109" s="2">
        <v>790.42819999999995</v>
      </c>
      <c r="D15109" s="2">
        <f>HYPERLINK("http://mcb-m6.bioreg.kyushu-u.ac.jp/M3/20110414/F50925/2410/1", 97.11)</f>
        <v>97.11</v>
      </c>
      <c r="E15109" s="2">
        <v>68.25</v>
      </c>
      <c r="F15109" s="2">
        <v>2</v>
      </c>
      <c r="G15109" s="2" t="s">
        <v>11</v>
      </c>
    </row>
    <row r="15110" spans="1:8" x14ac:dyDescent="0.2">
      <c r="A15110" s="2" t="s">
        <v>3240</v>
      </c>
      <c r="B15110" s="2" t="s">
        <v>1392</v>
      </c>
      <c r="C15110" s="2">
        <v>790.85220000000004</v>
      </c>
      <c r="D15110" s="2">
        <f>HYPERLINK("http://mcb-m6.bioreg.kyushu-u.ac.jp/M3/20110414/F50944/2324/1", 97.37)</f>
        <v>97.37</v>
      </c>
      <c r="E15110" s="2">
        <v>86.69</v>
      </c>
      <c r="F15110" s="2">
        <v>2</v>
      </c>
      <c r="G15110" s="2" t="s">
        <v>11</v>
      </c>
    </row>
    <row r="15111" spans="1:8" x14ac:dyDescent="0.2">
      <c r="A15111" s="2" t="s">
        <v>3240</v>
      </c>
      <c r="B15111" s="2" t="s">
        <v>1392</v>
      </c>
      <c r="C15111" s="2">
        <v>798.61519999999996</v>
      </c>
      <c r="D15111" s="2">
        <f>HYPERLINK("http://mcb-m6.bioreg.kyushu-u.ac.jp/M3/20110414/F50957/2282/1", 99.76)</f>
        <v>99.76</v>
      </c>
      <c r="E15111" s="2">
        <v>77.3</v>
      </c>
      <c r="F15111" s="2">
        <v>2</v>
      </c>
      <c r="G15111" s="2" t="s">
        <v>11</v>
      </c>
      <c r="H15111" s="2" t="s">
        <v>4912</v>
      </c>
    </row>
    <row r="15112" spans="1:8" x14ac:dyDescent="0.2">
      <c r="A15112" s="2" t="s">
        <v>3240</v>
      </c>
      <c r="B15112" s="2" t="s">
        <v>1392</v>
      </c>
      <c r="C15112" s="2">
        <v>790.66110000000003</v>
      </c>
      <c r="D15112" s="2">
        <f>HYPERLINK("http://mcb-m6.bioreg.kyushu-u.ac.jp/M3/20110414/F50956/2303/1", 100.1)</f>
        <v>100.1</v>
      </c>
      <c r="E15112" s="2">
        <v>82.78</v>
      </c>
      <c r="F15112" s="2">
        <v>2</v>
      </c>
      <c r="G15112" s="2" t="s">
        <v>11</v>
      </c>
    </row>
    <row r="15113" spans="1:8" x14ac:dyDescent="0.2">
      <c r="A15113" s="2" t="s">
        <v>3240</v>
      </c>
      <c r="B15113" s="2" t="s">
        <v>1392</v>
      </c>
      <c r="C15113" s="2">
        <v>798.72860000000003</v>
      </c>
      <c r="D15113" s="2">
        <f>HYPERLINK("http://mcb-m6.bioreg.kyushu-u.ac.jp/M3/20110414/F50927/2554/1", 100.19)</f>
        <v>100.19</v>
      </c>
      <c r="E15113" s="2">
        <v>69.930000000000007</v>
      </c>
      <c r="F15113" s="2">
        <v>2</v>
      </c>
      <c r="G15113" s="2" t="s">
        <v>11</v>
      </c>
      <c r="H15113" s="2" t="s">
        <v>4912</v>
      </c>
    </row>
    <row r="15114" spans="1:8" x14ac:dyDescent="0.2">
      <c r="A15114" s="2" t="s">
        <v>3240</v>
      </c>
      <c r="B15114" s="2" t="s">
        <v>1392</v>
      </c>
      <c r="C15114" s="2">
        <v>798.12919999999997</v>
      </c>
      <c r="D15114" s="2">
        <f>HYPERLINK("http://mcb-m6.bioreg.kyushu-u.ac.jp/M3/20110414/F50956/2347/1", 100.35)</f>
        <v>100.35</v>
      </c>
      <c r="E15114" s="2">
        <v>85.32</v>
      </c>
      <c r="F15114" s="2">
        <v>2</v>
      </c>
      <c r="G15114" s="2" t="s">
        <v>11</v>
      </c>
      <c r="H15114" s="2" t="s">
        <v>4912</v>
      </c>
    </row>
    <row r="15115" spans="1:8" x14ac:dyDescent="0.2">
      <c r="A15115" s="2" t="s">
        <v>3240</v>
      </c>
      <c r="B15115" s="2" t="s">
        <v>1392</v>
      </c>
      <c r="C15115" s="2">
        <v>790.10360000000003</v>
      </c>
      <c r="D15115" s="2">
        <f>HYPERLINK("http://mcb-m6.bioreg.kyushu-u.ac.jp/M3/20110414/F50928/2556/1", 104.6)</f>
        <v>104.6</v>
      </c>
      <c r="E15115" s="2">
        <v>85.21</v>
      </c>
      <c r="F15115" s="2">
        <v>2</v>
      </c>
      <c r="G15115" s="2" t="s">
        <v>11</v>
      </c>
    </row>
    <row r="15116" spans="1:8" x14ac:dyDescent="0.2">
      <c r="A15116" s="2" t="s">
        <v>3240</v>
      </c>
      <c r="B15116" s="2" t="s">
        <v>1392</v>
      </c>
      <c r="C15116" s="2">
        <v>790.29319999999996</v>
      </c>
      <c r="D15116" s="2">
        <f>HYPERLINK("http://mcb-m6.bioreg.kyushu-u.ac.jp/M3/20110414/F50924/2372/1", 108.41)</f>
        <v>108.41</v>
      </c>
      <c r="E15116" s="2">
        <v>95.5</v>
      </c>
      <c r="F15116" s="2">
        <v>2</v>
      </c>
      <c r="G15116" s="2" t="s">
        <v>11</v>
      </c>
    </row>
    <row r="15117" spans="1:8" x14ac:dyDescent="0.2">
      <c r="A15117" s="2" t="s">
        <v>3240</v>
      </c>
      <c r="B15117" s="2" t="s">
        <v>1392</v>
      </c>
      <c r="C15117" s="2">
        <v>790.09670000000006</v>
      </c>
      <c r="D15117" s="2">
        <f>HYPERLINK("http://mcb-m6.bioreg.kyushu-u.ac.jp/M3/20110414/F50927/2516/1", 112.43)</f>
        <v>112.43</v>
      </c>
      <c r="E15117" s="2">
        <v>90.55</v>
      </c>
      <c r="F15117" s="2">
        <v>2</v>
      </c>
      <c r="G15117" s="2" t="s">
        <v>11</v>
      </c>
    </row>
    <row r="15118" spans="1:8" x14ac:dyDescent="0.2">
      <c r="A15118" s="2" t="s">
        <v>3240</v>
      </c>
      <c r="B15118" s="2" t="s">
        <v>1392</v>
      </c>
      <c r="C15118" s="2">
        <v>790.28560000000004</v>
      </c>
      <c r="D15118" s="2">
        <f>HYPERLINK("http://mcb-m6.bioreg.kyushu-u.ac.jp/M3/20110414/F50943/2206/1", 117.79)</f>
        <v>117.79</v>
      </c>
      <c r="E15118" s="2">
        <v>101.45</v>
      </c>
      <c r="F15118" s="2">
        <v>2</v>
      </c>
      <c r="G15118" s="2" t="s">
        <v>11</v>
      </c>
    </row>
    <row r="15119" spans="1:8" x14ac:dyDescent="0.2">
      <c r="A15119" s="2" t="s">
        <v>3240</v>
      </c>
      <c r="B15119" s="2" t="s">
        <v>1392</v>
      </c>
      <c r="C15119" s="2">
        <v>798.83720000000005</v>
      </c>
      <c r="D15119" s="2">
        <f>HYPERLINK("http://mcb-m6.bioreg.kyushu-u.ac.jp/M3/20110414/F50933/2690/1", 37.13)</f>
        <v>37.130000000000003</v>
      </c>
      <c r="E15119" s="2">
        <v>19.37</v>
      </c>
      <c r="F15119" s="2">
        <v>2</v>
      </c>
      <c r="G15119" s="2" t="s">
        <v>12</v>
      </c>
      <c r="H15119" s="2" t="s">
        <v>4912</v>
      </c>
    </row>
    <row r="15120" spans="1:8" x14ac:dyDescent="0.2">
      <c r="A15120" s="2" t="s">
        <v>3240</v>
      </c>
      <c r="B15120" s="2" t="s">
        <v>20</v>
      </c>
      <c r="C15120" s="2">
        <v>1298.3800000000001</v>
      </c>
      <c r="D15120" s="2">
        <f>HYPERLINK("http://mcb-m6.bioreg.kyushu-u.ac.jp/M3/20110414/F50958/1385/1", 40.15)</f>
        <v>40.15</v>
      </c>
      <c r="E15120" s="2">
        <v>21.33</v>
      </c>
      <c r="F15120" s="2">
        <v>1</v>
      </c>
      <c r="G15120" s="2" t="s">
        <v>12</v>
      </c>
    </row>
    <row r="15121" spans="1:7" x14ac:dyDescent="0.2">
      <c r="A15121" s="2" t="s">
        <v>3240</v>
      </c>
      <c r="B15121" s="2" t="s">
        <v>1392</v>
      </c>
      <c r="C15121" s="2">
        <v>790.84770000000003</v>
      </c>
      <c r="D15121" s="2">
        <f>HYPERLINK("http://mcb-m6.bioreg.kyushu-u.ac.jp/M3/20110414/F50949/2253/1", 44.65)</f>
        <v>44.65</v>
      </c>
      <c r="E15121" s="2">
        <v>29.12</v>
      </c>
      <c r="F15121" s="2">
        <v>2</v>
      </c>
      <c r="G15121" s="2" t="s">
        <v>12</v>
      </c>
    </row>
    <row r="15122" spans="1:7" x14ac:dyDescent="0.2">
      <c r="A15122" s="2" t="s">
        <v>3240</v>
      </c>
      <c r="B15122" s="2" t="s">
        <v>20</v>
      </c>
      <c r="C15122" s="2">
        <v>1298.5989999999999</v>
      </c>
      <c r="D15122" s="2">
        <f>HYPERLINK("http://mcb-m6.bioreg.kyushu-u.ac.jp/M3/20110414/F50947/1384/1", 44.9)</f>
        <v>44.9</v>
      </c>
      <c r="E15122" s="2">
        <v>27.53</v>
      </c>
      <c r="F15122" s="2">
        <v>1</v>
      </c>
      <c r="G15122" s="2" t="s">
        <v>12</v>
      </c>
    </row>
    <row r="15123" spans="1:7" x14ac:dyDescent="0.2">
      <c r="A15123" s="2" t="s">
        <v>3240</v>
      </c>
      <c r="B15123" s="2" t="s">
        <v>1392</v>
      </c>
      <c r="C15123" s="2">
        <v>790.11159999999995</v>
      </c>
      <c r="D15123" s="2">
        <f>HYPERLINK("http://mcb-m6.bioreg.kyushu-u.ac.jp/M3/20110414/F50959/2228/1", 50.22)</f>
        <v>50.22</v>
      </c>
      <c r="E15123" s="2">
        <v>34.53</v>
      </c>
      <c r="F15123" s="2">
        <v>2</v>
      </c>
      <c r="G15123" s="2" t="s">
        <v>12</v>
      </c>
    </row>
    <row r="15124" spans="1:7" x14ac:dyDescent="0.2">
      <c r="A15124" s="2" t="s">
        <v>3240</v>
      </c>
      <c r="B15124" s="2" t="s">
        <v>20</v>
      </c>
      <c r="C15124" s="2">
        <v>649.65470000000005</v>
      </c>
      <c r="D15124" s="2">
        <f>HYPERLINK("http://mcb-m6.bioreg.kyushu-u.ac.jp/M3/20110414/F50950/1607/1", 52.42)</f>
        <v>52.42</v>
      </c>
      <c r="E15124" s="2">
        <v>27.38</v>
      </c>
      <c r="F15124" s="2">
        <v>2</v>
      </c>
      <c r="G15124" s="2" t="s">
        <v>12</v>
      </c>
    </row>
    <row r="15125" spans="1:7" x14ac:dyDescent="0.2">
      <c r="A15125" s="2" t="s">
        <v>3240</v>
      </c>
      <c r="B15125" s="2" t="s">
        <v>20</v>
      </c>
      <c r="C15125" s="2">
        <v>650.37660000000005</v>
      </c>
      <c r="D15125" s="2">
        <f>HYPERLINK("http://mcb-m6.bioreg.kyushu-u.ac.jp/M3/20110414/F50933/1977/1", 54.13)</f>
        <v>54.13</v>
      </c>
      <c r="E15125" s="2">
        <v>37.81</v>
      </c>
      <c r="F15125" s="2">
        <v>2</v>
      </c>
      <c r="G15125" s="2" t="s">
        <v>12</v>
      </c>
    </row>
    <row r="15126" spans="1:7" x14ac:dyDescent="0.2">
      <c r="A15126" s="2" t="s">
        <v>3240</v>
      </c>
      <c r="B15126" s="2" t="s">
        <v>20</v>
      </c>
      <c r="C15126" s="2">
        <v>649.85609999999997</v>
      </c>
      <c r="D15126" s="2">
        <f>HYPERLINK("http://mcb-m6.bioreg.kyushu-u.ac.jp/M3/20110414/F50949/1934/1", 60.43)</f>
        <v>60.43</v>
      </c>
      <c r="E15126" s="2">
        <v>34.78</v>
      </c>
      <c r="F15126" s="2">
        <v>2</v>
      </c>
      <c r="G15126" s="2" t="s">
        <v>12</v>
      </c>
    </row>
    <row r="15127" spans="1:7" x14ac:dyDescent="0.2">
      <c r="A15127" s="2" t="s">
        <v>3240</v>
      </c>
      <c r="B15127" s="2" t="s">
        <v>20</v>
      </c>
      <c r="C15127" s="2">
        <v>649.80719999999997</v>
      </c>
      <c r="D15127" s="2">
        <f>HYPERLINK("http://mcb-m6.bioreg.kyushu-u.ac.jp/M3/20110414/F50949/1933/1", 60.73)</f>
        <v>60.73</v>
      </c>
      <c r="E15127" s="2">
        <v>38.659999999999997</v>
      </c>
      <c r="F15127" s="2">
        <v>2</v>
      </c>
      <c r="G15127" s="2" t="s">
        <v>12</v>
      </c>
    </row>
    <row r="15128" spans="1:7" x14ac:dyDescent="0.2">
      <c r="A15128" s="2" t="s">
        <v>3240</v>
      </c>
      <c r="B15128" s="2" t="s">
        <v>20</v>
      </c>
      <c r="C15128" s="2">
        <v>650.33619999999996</v>
      </c>
      <c r="D15128" s="2">
        <f>HYPERLINK("http://mcb-m6.bioreg.kyushu-u.ac.jp/M3/20110414/F50933/1976/1", 65.14)</f>
        <v>65.14</v>
      </c>
      <c r="E15128" s="2">
        <v>30.15</v>
      </c>
      <c r="F15128" s="2">
        <v>2</v>
      </c>
      <c r="G15128" s="2" t="s">
        <v>12</v>
      </c>
    </row>
    <row r="15129" spans="1:7" x14ac:dyDescent="0.2">
      <c r="A15129" s="2" t="s">
        <v>3240</v>
      </c>
      <c r="B15129" s="2" t="s">
        <v>20</v>
      </c>
      <c r="C15129" s="2">
        <v>649.64469999999994</v>
      </c>
      <c r="D15129" s="2">
        <f>HYPERLINK("http://mcb-m6.bioreg.kyushu-u.ac.jp/M3/20110414/F50948/1493/1", 65.86)</f>
        <v>65.86</v>
      </c>
      <c r="E15129" s="2">
        <v>51.2</v>
      </c>
      <c r="F15129" s="2">
        <v>2</v>
      </c>
      <c r="G15129" s="2" t="s">
        <v>12</v>
      </c>
    </row>
    <row r="15130" spans="1:7" x14ac:dyDescent="0.2">
      <c r="A15130" s="2" t="s">
        <v>3240</v>
      </c>
      <c r="B15130" s="2" t="s">
        <v>20</v>
      </c>
      <c r="C15130" s="2">
        <v>650.18619999999999</v>
      </c>
      <c r="D15130" s="2">
        <f>HYPERLINK("http://mcb-m6.bioreg.kyushu-u.ac.jp/M3/20110414/F50950/1613/1", 66.06)</f>
        <v>66.06</v>
      </c>
      <c r="E15130" s="2">
        <v>35.049999999999997</v>
      </c>
      <c r="F15130" s="2">
        <v>2</v>
      </c>
      <c r="G15130" s="2" t="s">
        <v>12</v>
      </c>
    </row>
    <row r="15131" spans="1:7" x14ac:dyDescent="0.2">
      <c r="A15131" s="2" t="s">
        <v>3240</v>
      </c>
      <c r="B15131" s="2" t="s">
        <v>20</v>
      </c>
      <c r="C15131" s="2">
        <v>650.4117</v>
      </c>
      <c r="D15131" s="2">
        <f>HYPERLINK("http://mcb-m6.bioreg.kyushu-u.ac.jp/M3/20110414/F50931/2110/1", 66.29)</f>
        <v>66.290000000000006</v>
      </c>
      <c r="E15131" s="2">
        <v>29.61</v>
      </c>
      <c r="F15131" s="2">
        <v>2</v>
      </c>
      <c r="G15131" s="2" t="s">
        <v>12</v>
      </c>
    </row>
    <row r="15132" spans="1:7" x14ac:dyDescent="0.2">
      <c r="A15132" s="2" t="s">
        <v>3240</v>
      </c>
      <c r="B15132" s="2" t="s">
        <v>1392</v>
      </c>
      <c r="C15132" s="2">
        <v>790.33969999999999</v>
      </c>
      <c r="D15132" s="2">
        <f>HYPERLINK("http://mcb-m6.bioreg.kyushu-u.ac.jp/M3/20110414/F50959/2230/1", 66.76)</f>
        <v>66.760000000000005</v>
      </c>
      <c r="E15132" s="2">
        <v>55.76</v>
      </c>
      <c r="F15132" s="2">
        <v>2</v>
      </c>
      <c r="G15132" s="2" t="s">
        <v>12</v>
      </c>
    </row>
    <row r="15133" spans="1:7" x14ac:dyDescent="0.2">
      <c r="A15133" s="2" t="s">
        <v>3240</v>
      </c>
      <c r="B15133" s="2" t="s">
        <v>20</v>
      </c>
      <c r="C15133" s="2">
        <v>650.06020000000001</v>
      </c>
      <c r="D15133" s="2">
        <f>HYPERLINK("http://mcb-m6.bioreg.kyushu-u.ac.jp/M3/20110414/F50958/1386/1", 67.14)</f>
        <v>67.14</v>
      </c>
      <c r="E15133" s="2">
        <v>31.56</v>
      </c>
      <c r="F15133" s="2">
        <v>2</v>
      </c>
      <c r="G15133" s="2" t="s">
        <v>12</v>
      </c>
    </row>
    <row r="15134" spans="1:7" x14ac:dyDescent="0.2">
      <c r="A15134" s="2" t="s">
        <v>3240</v>
      </c>
      <c r="B15134" s="2" t="s">
        <v>20</v>
      </c>
      <c r="C15134" s="2">
        <v>650.27970000000005</v>
      </c>
      <c r="D15134" s="2">
        <f>HYPERLINK("http://mcb-m6.bioreg.kyushu-u.ac.jp/M3/20110414/F50947/1390/1", 67.15)</f>
        <v>67.150000000000006</v>
      </c>
      <c r="E15134" s="2">
        <v>31.29</v>
      </c>
      <c r="F15134" s="2">
        <v>2</v>
      </c>
      <c r="G15134" s="2" t="s">
        <v>12</v>
      </c>
    </row>
    <row r="15135" spans="1:7" x14ac:dyDescent="0.2">
      <c r="A15135" s="2" t="s">
        <v>3240</v>
      </c>
      <c r="B15135" s="2" t="s">
        <v>20</v>
      </c>
      <c r="C15135" s="2">
        <v>650.12710000000004</v>
      </c>
      <c r="D15135" s="2">
        <f>HYPERLINK("http://mcb-m6.bioreg.kyushu-u.ac.jp/M3/20110414/F50966/1421/1", 68.4)</f>
        <v>68.400000000000006</v>
      </c>
      <c r="E15135" s="2">
        <v>34.99</v>
      </c>
      <c r="F15135" s="2">
        <v>2</v>
      </c>
      <c r="G15135" s="2" t="s">
        <v>12</v>
      </c>
    </row>
    <row r="15136" spans="1:7" x14ac:dyDescent="0.2">
      <c r="A15136" s="2" t="s">
        <v>3240</v>
      </c>
      <c r="B15136" s="2" t="s">
        <v>20</v>
      </c>
      <c r="C15136" s="2">
        <v>649.7672</v>
      </c>
      <c r="D15136" s="2">
        <f>HYPERLINK("http://mcb-m6.bioreg.kyushu-u.ac.jp/M3/20110414/F50946/1500/1", 68.42)</f>
        <v>68.42</v>
      </c>
      <c r="E15136" s="2">
        <v>40.69</v>
      </c>
      <c r="F15136" s="2">
        <v>2</v>
      </c>
      <c r="G15136" s="2" t="s">
        <v>12</v>
      </c>
    </row>
    <row r="15137" spans="1:7" x14ac:dyDescent="0.2">
      <c r="A15137" s="2" t="s">
        <v>3240</v>
      </c>
      <c r="B15137" s="2" t="s">
        <v>20</v>
      </c>
      <c r="C15137" s="2">
        <v>649.8107</v>
      </c>
      <c r="D15137" s="2">
        <f>HYPERLINK("http://mcb-m6.bioreg.kyushu-u.ac.jp/M3/20110414/F50947/1385/1", 68.84)</f>
        <v>68.84</v>
      </c>
      <c r="E15137" s="2">
        <v>45.65</v>
      </c>
      <c r="F15137" s="2">
        <v>2</v>
      </c>
      <c r="G15137" s="2" t="s">
        <v>12</v>
      </c>
    </row>
    <row r="15138" spans="1:7" x14ac:dyDescent="0.2">
      <c r="A15138" s="2" t="s">
        <v>3240</v>
      </c>
      <c r="B15138" s="2" t="s">
        <v>20</v>
      </c>
      <c r="C15138" s="2">
        <v>649.64070000000004</v>
      </c>
      <c r="D15138" s="2">
        <f>HYPERLINK("http://mcb-m6.bioreg.kyushu-u.ac.jp/M3/20110414/F50948/1492/1", 70.02)</f>
        <v>70.02</v>
      </c>
      <c r="E15138" s="2">
        <v>46.63</v>
      </c>
      <c r="F15138" s="2">
        <v>2</v>
      </c>
      <c r="G15138" s="2" t="s">
        <v>12</v>
      </c>
    </row>
    <row r="15139" spans="1:7" x14ac:dyDescent="0.2">
      <c r="A15139" s="2" t="s">
        <v>3240</v>
      </c>
      <c r="B15139" s="2" t="s">
        <v>20</v>
      </c>
      <c r="C15139" s="2">
        <v>650.36069999999995</v>
      </c>
      <c r="D15139" s="2">
        <f>HYPERLINK("http://mcb-m6.bioreg.kyushu-u.ac.jp/M3/20110414/F50950/1614/1", 73.96)</f>
        <v>73.959999999999994</v>
      </c>
      <c r="E15139" s="2">
        <v>34</v>
      </c>
      <c r="F15139" s="2">
        <v>2</v>
      </c>
      <c r="G15139" s="2" t="s">
        <v>12</v>
      </c>
    </row>
    <row r="15140" spans="1:7" x14ac:dyDescent="0.2">
      <c r="A15140" s="2" t="s">
        <v>3240</v>
      </c>
      <c r="B15140" s="2" t="s">
        <v>20</v>
      </c>
      <c r="C15140" s="2">
        <v>649.59619999999995</v>
      </c>
      <c r="D15140" s="2">
        <f>HYPERLINK("http://mcb-m6.bioreg.kyushu-u.ac.jp/M3/20110414/F50966/1420/1", 77.8)</f>
        <v>77.8</v>
      </c>
      <c r="E15140" s="2">
        <v>50.81</v>
      </c>
      <c r="F15140" s="2">
        <v>2</v>
      </c>
      <c r="G15140" s="2" t="s">
        <v>12</v>
      </c>
    </row>
    <row r="15141" spans="1:7" x14ac:dyDescent="0.2">
      <c r="A15141" s="2" t="s">
        <v>3240</v>
      </c>
      <c r="B15141" s="2" t="s">
        <v>20</v>
      </c>
      <c r="C15141" s="2">
        <v>649.82259999999997</v>
      </c>
      <c r="D15141" s="2">
        <f>HYPERLINK("http://mcb-m6.bioreg.kyushu-u.ac.jp/M3/20110414/F50933/1972/1", 78.43)</f>
        <v>78.430000000000007</v>
      </c>
      <c r="E15141" s="2">
        <v>41.05</v>
      </c>
      <c r="F15141" s="2">
        <v>2</v>
      </c>
      <c r="G15141" s="2" t="s">
        <v>12</v>
      </c>
    </row>
    <row r="15142" spans="1:7" x14ac:dyDescent="0.2">
      <c r="A15142" s="2" t="s">
        <v>3240</v>
      </c>
      <c r="B15142" s="2" t="s">
        <v>20</v>
      </c>
      <c r="C15142" s="2">
        <v>649.65520000000004</v>
      </c>
      <c r="D15142" s="2">
        <f>HYPERLINK("http://mcb-m6.bioreg.kyushu-u.ac.jp/M3/20110414/F50947/1383/1", 79.12)</f>
        <v>79.12</v>
      </c>
      <c r="E15142" s="2">
        <v>53.3</v>
      </c>
      <c r="F15142" s="2">
        <v>2</v>
      </c>
      <c r="G15142" s="2" t="s">
        <v>12</v>
      </c>
    </row>
    <row r="15143" spans="1:7" x14ac:dyDescent="0.2">
      <c r="A15143" s="2" t="s">
        <v>3240</v>
      </c>
      <c r="B15143" s="2" t="s">
        <v>20</v>
      </c>
      <c r="C15143" s="2">
        <v>649.35170000000005</v>
      </c>
      <c r="D15143" s="2">
        <f>HYPERLINK("http://mcb-m6.bioreg.kyushu-u.ac.jp/M3/20110414/F50949/1931/1", 81.09)</f>
        <v>81.09</v>
      </c>
      <c r="E15143" s="2">
        <v>52.71</v>
      </c>
      <c r="F15143" s="2">
        <v>2</v>
      </c>
      <c r="G15143" s="2" t="s">
        <v>12</v>
      </c>
    </row>
    <row r="15144" spans="1:7" x14ac:dyDescent="0.2">
      <c r="A15144" s="2" t="s">
        <v>3240</v>
      </c>
      <c r="B15144" s="2" t="s">
        <v>20</v>
      </c>
      <c r="C15144" s="2">
        <v>649.75670000000002</v>
      </c>
      <c r="D15144" s="2">
        <f>HYPERLINK("http://mcb-m6.bioreg.kyushu-u.ac.jp/M3/20110414/F50959/1267/1", 81.51)</f>
        <v>81.510000000000005</v>
      </c>
      <c r="E15144" s="2">
        <v>58.46</v>
      </c>
      <c r="F15144" s="2">
        <v>2</v>
      </c>
      <c r="G15144" s="2" t="s">
        <v>12</v>
      </c>
    </row>
    <row r="15145" spans="1:7" x14ac:dyDescent="0.2">
      <c r="A15145" s="2" t="s">
        <v>3240</v>
      </c>
      <c r="B15145" s="2" t="s">
        <v>20</v>
      </c>
      <c r="C15145" s="2">
        <v>649.52620000000002</v>
      </c>
      <c r="D15145" s="2">
        <f>HYPERLINK("http://mcb-m6.bioreg.kyushu-u.ac.jp/M3/20110414/F50958/1384/1", 82.9)</f>
        <v>82.9</v>
      </c>
      <c r="E15145" s="2">
        <v>45.82</v>
      </c>
      <c r="F15145" s="2">
        <v>2</v>
      </c>
      <c r="G15145" s="2" t="s">
        <v>12</v>
      </c>
    </row>
    <row r="15146" spans="1:7" x14ac:dyDescent="0.2">
      <c r="A15146" s="2" t="s">
        <v>3240</v>
      </c>
      <c r="B15146" s="2" t="s">
        <v>20</v>
      </c>
      <c r="C15146" s="2">
        <v>649.47469999999998</v>
      </c>
      <c r="D15146" s="2">
        <f>HYPERLINK("http://mcb-m6.bioreg.kyushu-u.ac.jp/M3/20110414/F50950/1603/1", 83.13)</f>
        <v>83.13</v>
      </c>
      <c r="E15146" s="2">
        <v>49.93</v>
      </c>
      <c r="F15146" s="2">
        <v>2</v>
      </c>
      <c r="G15146" s="2" t="s">
        <v>12</v>
      </c>
    </row>
    <row r="15147" spans="1:7" x14ac:dyDescent="0.2">
      <c r="A15147" s="2" t="s">
        <v>3240</v>
      </c>
      <c r="B15147" s="2" t="s">
        <v>20</v>
      </c>
      <c r="C15147" s="2">
        <v>649.98770000000002</v>
      </c>
      <c r="D15147" s="2">
        <f>HYPERLINK("http://mcb-m6.bioreg.kyushu-u.ac.jp/M3/20110414/F50934/2025/1", 83.19)</f>
        <v>83.19</v>
      </c>
      <c r="E15147" s="2">
        <v>57.24</v>
      </c>
      <c r="F15147" s="2">
        <v>2</v>
      </c>
      <c r="G15147" s="2" t="s">
        <v>12</v>
      </c>
    </row>
    <row r="15148" spans="1:7" x14ac:dyDescent="0.2">
      <c r="A15148" s="2" t="s">
        <v>3240</v>
      </c>
      <c r="B15148" s="2" t="s">
        <v>20</v>
      </c>
      <c r="C15148" s="2">
        <v>649.72170000000006</v>
      </c>
      <c r="D15148" s="2">
        <f>HYPERLINK("http://mcb-m6.bioreg.kyushu-u.ac.jp/M3/20110414/F50932/1969/1", 83.19)</f>
        <v>83.19</v>
      </c>
      <c r="E15148" s="2">
        <v>57.38</v>
      </c>
      <c r="F15148" s="2">
        <v>2</v>
      </c>
      <c r="G15148" s="2" t="s">
        <v>12</v>
      </c>
    </row>
    <row r="15149" spans="1:7" x14ac:dyDescent="0.2">
      <c r="A15149" s="2" t="s">
        <v>3240</v>
      </c>
      <c r="B15149" s="2" t="s">
        <v>20</v>
      </c>
      <c r="C15149" s="2">
        <v>649.7106</v>
      </c>
      <c r="D15149" s="2">
        <f>HYPERLINK("http://mcb-m6.bioreg.kyushu-u.ac.jp/M3/20110414/F50963/1348/1", 83.36)</f>
        <v>83.36</v>
      </c>
      <c r="E15149" s="2">
        <v>56.5</v>
      </c>
      <c r="F15149" s="2">
        <v>2</v>
      </c>
      <c r="G15149" s="2" t="s">
        <v>12</v>
      </c>
    </row>
    <row r="15150" spans="1:7" x14ac:dyDescent="0.2">
      <c r="A15150" s="2" t="s">
        <v>3240</v>
      </c>
      <c r="B15150" s="2" t="s">
        <v>20</v>
      </c>
      <c r="C15150" s="2">
        <v>649.71010000000001</v>
      </c>
      <c r="D15150" s="2">
        <f>HYPERLINK("http://mcb-m6.bioreg.kyushu-u.ac.jp/M3/20110414/F50932/1968/1", 83.75)</f>
        <v>83.75</v>
      </c>
      <c r="E15150" s="2">
        <v>62.5</v>
      </c>
      <c r="F15150" s="2">
        <v>2</v>
      </c>
      <c r="G15150" s="2" t="s">
        <v>12</v>
      </c>
    </row>
    <row r="15151" spans="1:7" x14ac:dyDescent="0.2">
      <c r="A15151" s="2" t="s">
        <v>3240</v>
      </c>
      <c r="B15151" s="2" t="s">
        <v>20</v>
      </c>
      <c r="C15151" s="2">
        <v>649.8066</v>
      </c>
      <c r="D15151" s="2">
        <f>HYPERLINK("http://mcb-m6.bioreg.kyushu-u.ac.jp/M3/20110414/F50933/1971/1", 83.95)</f>
        <v>83.95</v>
      </c>
      <c r="E15151" s="2">
        <v>55.11</v>
      </c>
      <c r="F15151" s="2">
        <v>2</v>
      </c>
      <c r="G15151" s="2" t="s">
        <v>12</v>
      </c>
    </row>
    <row r="15152" spans="1:7" x14ac:dyDescent="0.2">
      <c r="A15152" s="2" t="s">
        <v>3240</v>
      </c>
      <c r="B15152" s="2" t="s">
        <v>20</v>
      </c>
      <c r="C15152" s="2">
        <v>649.40419999999995</v>
      </c>
      <c r="D15152" s="2">
        <f>HYPERLINK("http://mcb-m6.bioreg.kyushu-u.ac.jp/M3/20110414/F50950/1602/1", 83.98)</f>
        <v>83.98</v>
      </c>
      <c r="E15152" s="2">
        <v>55.69</v>
      </c>
      <c r="F15152" s="2">
        <v>2</v>
      </c>
      <c r="G15152" s="2" t="s">
        <v>12</v>
      </c>
    </row>
    <row r="15153" spans="1:8" x14ac:dyDescent="0.2">
      <c r="A15153" s="2" t="s">
        <v>3240</v>
      </c>
      <c r="B15153" s="2" t="s">
        <v>1392</v>
      </c>
      <c r="C15153" s="2">
        <v>790.23910000000001</v>
      </c>
      <c r="D15153" s="2">
        <f>HYPERLINK("http://mcb-m6.bioreg.kyushu-u.ac.jp/M3/20110414/F50948/2428/1", 88.35)</f>
        <v>88.35</v>
      </c>
      <c r="E15153" s="2">
        <v>71.040000000000006</v>
      </c>
      <c r="F15153" s="2">
        <v>2</v>
      </c>
      <c r="G15153" s="2" t="s">
        <v>12</v>
      </c>
    </row>
    <row r="15154" spans="1:8" x14ac:dyDescent="0.2">
      <c r="A15154" s="2" t="s">
        <v>3240</v>
      </c>
      <c r="B15154" s="2" t="s">
        <v>20</v>
      </c>
      <c r="C15154" s="2">
        <v>649.52719999999999</v>
      </c>
      <c r="D15154" s="2">
        <f>HYPERLINK("http://mcb-m6.bioreg.kyushu-u.ac.jp/M3/20110414/F50949/1932/1", 89.7)</f>
        <v>89.7</v>
      </c>
      <c r="E15154" s="2">
        <v>58.49</v>
      </c>
      <c r="F15154" s="2">
        <v>2</v>
      </c>
      <c r="G15154" s="2" t="s">
        <v>12</v>
      </c>
    </row>
    <row r="15155" spans="1:8" x14ac:dyDescent="0.2">
      <c r="A15155" s="2" t="s">
        <v>3240</v>
      </c>
      <c r="B15155" s="2" t="s">
        <v>1392</v>
      </c>
      <c r="C15155" s="2">
        <v>790.50210000000004</v>
      </c>
      <c r="D15155" s="2">
        <f>HYPERLINK("http://mcb-m6.bioreg.kyushu-u.ac.jp/M3/20110414/F50947/2342/1", 89.84)</f>
        <v>89.84</v>
      </c>
      <c r="E15155" s="2">
        <v>75.3</v>
      </c>
      <c r="F15155" s="2">
        <v>2</v>
      </c>
      <c r="G15155" s="2" t="s">
        <v>12</v>
      </c>
    </row>
    <row r="15156" spans="1:8" x14ac:dyDescent="0.2">
      <c r="A15156" s="2" t="s">
        <v>3240</v>
      </c>
      <c r="B15156" s="2" t="s">
        <v>1392</v>
      </c>
      <c r="C15156" s="2">
        <v>789.88170000000002</v>
      </c>
      <c r="D15156" s="2">
        <f>HYPERLINK("http://mcb-m6.bioreg.kyushu-u.ac.jp/M3/20110414/F50950/2463/1", 91.55)</f>
        <v>91.55</v>
      </c>
      <c r="E15156" s="2">
        <v>66.44</v>
      </c>
      <c r="F15156" s="2">
        <v>2</v>
      </c>
      <c r="G15156" s="2" t="s">
        <v>12</v>
      </c>
    </row>
    <row r="15157" spans="1:8" x14ac:dyDescent="0.2">
      <c r="A15157" s="2" t="s">
        <v>3240</v>
      </c>
      <c r="B15157" s="2" t="s">
        <v>1392</v>
      </c>
      <c r="C15157" s="2">
        <v>790.19119999999998</v>
      </c>
      <c r="D15157" s="2">
        <f>HYPERLINK("http://mcb-m6.bioreg.kyushu-u.ac.jp/M3/20110414/F50966/2062/1", 94.55)</f>
        <v>94.55</v>
      </c>
      <c r="E15157" s="2">
        <v>77.930000000000007</v>
      </c>
      <c r="F15157" s="2">
        <v>2</v>
      </c>
      <c r="G15157" s="2" t="s">
        <v>12</v>
      </c>
    </row>
    <row r="15158" spans="1:8" x14ac:dyDescent="0.2">
      <c r="A15158" s="2" t="s">
        <v>3240</v>
      </c>
      <c r="B15158" s="2" t="s">
        <v>1392</v>
      </c>
      <c r="C15158" s="2">
        <v>798.15560000000005</v>
      </c>
      <c r="D15158" s="2">
        <f>HYPERLINK("http://mcb-m6.bioreg.kyushu-u.ac.jp/M3/20110414/F50948/2469/1", 108.54)</f>
        <v>108.54</v>
      </c>
      <c r="E15158" s="2">
        <v>90.85</v>
      </c>
      <c r="F15158" s="2">
        <v>2</v>
      </c>
      <c r="G15158" s="2" t="s">
        <v>12</v>
      </c>
      <c r="H15158" s="2" t="s">
        <v>4912</v>
      </c>
    </row>
    <row r="15159" spans="1:8" x14ac:dyDescent="0.2">
      <c r="A15159" s="2" t="s">
        <v>3240</v>
      </c>
      <c r="B15159" s="2" t="s">
        <v>1392</v>
      </c>
      <c r="C15159" s="2">
        <v>798.26210000000003</v>
      </c>
      <c r="D15159" s="2">
        <f>HYPERLINK("http://mcb-m6.bioreg.kyushu-u.ac.jp/M3/20110414/F50959/2285/1", 108.68)</f>
        <v>108.68</v>
      </c>
      <c r="E15159" s="2">
        <v>91.63</v>
      </c>
      <c r="F15159" s="2">
        <v>2</v>
      </c>
      <c r="G15159" s="2" t="s">
        <v>12</v>
      </c>
      <c r="H15159" s="2" t="s">
        <v>4912</v>
      </c>
    </row>
    <row r="15160" spans="1:8" x14ac:dyDescent="0.2">
      <c r="A15160" s="2" t="s">
        <v>3240</v>
      </c>
      <c r="B15160" s="2" t="s">
        <v>1392</v>
      </c>
      <c r="C15160" s="2">
        <v>798.40719999999999</v>
      </c>
      <c r="D15160" s="2">
        <f>HYPERLINK("http://mcb-m6.bioreg.kyushu-u.ac.jp/M3/20110414/F50958/2420/1", 117.42)</f>
        <v>117.42</v>
      </c>
      <c r="E15160" s="2">
        <v>91</v>
      </c>
      <c r="F15160" s="2">
        <v>2</v>
      </c>
      <c r="G15160" s="2" t="s">
        <v>12</v>
      </c>
      <c r="H15160" s="2" t="s">
        <v>4912</v>
      </c>
    </row>
    <row r="15161" spans="1:8" x14ac:dyDescent="0.2">
      <c r="A15161" s="2" t="s">
        <v>3240</v>
      </c>
      <c r="B15161" s="2" t="s">
        <v>20</v>
      </c>
      <c r="C15161" s="2">
        <v>1298.721</v>
      </c>
      <c r="D15161" s="2">
        <f>HYPERLINK("http://mcb-m6.bioreg.kyushu-u.ac.jp/M3/20110502/F51169/1748/1", 42.88)</f>
        <v>42.88</v>
      </c>
      <c r="E15161" s="2">
        <v>20.48</v>
      </c>
      <c r="F15161" s="2">
        <v>1</v>
      </c>
      <c r="G15161" s="2" t="s">
        <v>13</v>
      </c>
    </row>
    <row r="15162" spans="1:8" x14ac:dyDescent="0.2">
      <c r="A15162" s="2" t="s">
        <v>3240</v>
      </c>
      <c r="B15162" s="2" t="s">
        <v>20</v>
      </c>
      <c r="C15162" s="2">
        <v>1298.92</v>
      </c>
      <c r="D15162" s="2">
        <f>HYPERLINK("http://mcb-m6.bioreg.kyushu-u.ac.jp/M3/20110502/F51189/1348/1", 43)</f>
        <v>43</v>
      </c>
      <c r="E15162" s="2">
        <v>20.03</v>
      </c>
      <c r="F15162" s="2">
        <v>1</v>
      </c>
      <c r="G15162" s="2" t="s">
        <v>13</v>
      </c>
    </row>
    <row r="15163" spans="1:8" x14ac:dyDescent="0.2">
      <c r="A15163" s="2" t="s">
        <v>3240</v>
      </c>
      <c r="B15163" s="2" t="s">
        <v>20</v>
      </c>
      <c r="C15163" s="2">
        <v>650.40170000000001</v>
      </c>
      <c r="D15163" s="2">
        <f>HYPERLINK("http://mcb-m6.bioreg.kyushu-u.ac.jp/M3/20110502/F51165/1783/1", 46.84)</f>
        <v>46.84</v>
      </c>
      <c r="E15163" s="2">
        <v>27.41</v>
      </c>
      <c r="F15163" s="2">
        <v>2</v>
      </c>
      <c r="G15163" s="2" t="s">
        <v>13</v>
      </c>
    </row>
    <row r="15164" spans="1:8" x14ac:dyDescent="0.2">
      <c r="A15164" s="2" t="s">
        <v>3240</v>
      </c>
      <c r="B15164" s="2" t="s">
        <v>20</v>
      </c>
      <c r="C15164" s="2">
        <v>1298.953</v>
      </c>
      <c r="D15164" s="2">
        <f>HYPERLINK("http://mcb-m6.bioreg.kyushu-u.ac.jp/M3/20110502/F51173/1280/1", 51.66)</f>
        <v>51.66</v>
      </c>
      <c r="E15164" s="2">
        <v>26.52</v>
      </c>
      <c r="F15164" s="2">
        <v>1</v>
      </c>
      <c r="G15164" s="2" t="s">
        <v>13</v>
      </c>
    </row>
    <row r="15165" spans="1:8" x14ac:dyDescent="0.2">
      <c r="A15165" s="2" t="s">
        <v>3240</v>
      </c>
      <c r="B15165" s="2" t="s">
        <v>20</v>
      </c>
      <c r="C15165" s="2">
        <v>649.89970000000005</v>
      </c>
      <c r="D15165" s="2">
        <f>HYPERLINK("http://mcb-m6.bioreg.kyushu-u.ac.jp/M3/20110502/F51175/1513/1", 62.33)</f>
        <v>62.33</v>
      </c>
      <c r="E15165" s="2">
        <v>35.909999999999997</v>
      </c>
      <c r="F15165" s="2">
        <v>2</v>
      </c>
      <c r="G15165" s="2" t="s">
        <v>13</v>
      </c>
    </row>
    <row r="15166" spans="1:8" x14ac:dyDescent="0.2">
      <c r="A15166" s="2" t="s">
        <v>3240</v>
      </c>
      <c r="B15166" s="2" t="s">
        <v>20</v>
      </c>
      <c r="C15166" s="2">
        <v>650.05820000000006</v>
      </c>
      <c r="D15166" s="2">
        <f>HYPERLINK("http://mcb-m6.bioreg.kyushu-u.ac.jp/M3/20110502/F51172/1517/1", 65.59)</f>
        <v>65.59</v>
      </c>
      <c r="E15166" s="2">
        <v>46.09</v>
      </c>
      <c r="F15166" s="2">
        <v>2</v>
      </c>
      <c r="G15166" s="2" t="s">
        <v>13</v>
      </c>
    </row>
    <row r="15167" spans="1:8" x14ac:dyDescent="0.2">
      <c r="A15167" s="2" t="s">
        <v>3240</v>
      </c>
      <c r="B15167" s="2" t="s">
        <v>20</v>
      </c>
      <c r="C15167" s="2">
        <v>650.39919999999995</v>
      </c>
      <c r="D15167" s="2">
        <f>HYPERLINK("http://mcb-m6.bioreg.kyushu-u.ac.jp/M3/20110502/F51168/1682/1", 66.8)</f>
        <v>66.8</v>
      </c>
      <c r="E15167" s="2">
        <v>38.07</v>
      </c>
      <c r="F15167" s="2">
        <v>2</v>
      </c>
      <c r="G15167" s="2" t="s">
        <v>13</v>
      </c>
    </row>
    <row r="15168" spans="1:8" x14ac:dyDescent="0.2">
      <c r="A15168" s="2" t="s">
        <v>3240</v>
      </c>
      <c r="B15168" s="2" t="s">
        <v>20</v>
      </c>
      <c r="C15168" s="2">
        <v>650.11320000000001</v>
      </c>
      <c r="D15168" s="2">
        <f>HYPERLINK("http://mcb-m6.bioreg.kyushu-u.ac.jp/M3/20110502/F51174/1605/1", 68.86)</f>
        <v>68.86</v>
      </c>
      <c r="E15168" s="2">
        <v>41.52</v>
      </c>
      <c r="F15168" s="2">
        <v>2</v>
      </c>
      <c r="G15168" s="2" t="s">
        <v>13</v>
      </c>
    </row>
    <row r="15169" spans="1:8" x14ac:dyDescent="0.2">
      <c r="A15169" s="2" t="s">
        <v>3240</v>
      </c>
      <c r="B15169" s="2" t="s">
        <v>20</v>
      </c>
      <c r="C15169" s="2">
        <v>650.14070000000004</v>
      </c>
      <c r="D15169" s="2">
        <f>HYPERLINK("http://mcb-m6.bioreg.kyushu-u.ac.jp/M3/20110502/F51167/1802/1", 69.49)</f>
        <v>69.489999999999995</v>
      </c>
      <c r="E15169" s="2">
        <v>41.69</v>
      </c>
      <c r="F15169" s="2">
        <v>2</v>
      </c>
      <c r="G15169" s="2" t="s">
        <v>13</v>
      </c>
    </row>
    <row r="15170" spans="1:8" x14ac:dyDescent="0.2">
      <c r="A15170" s="2" t="s">
        <v>3240</v>
      </c>
      <c r="B15170" s="2" t="s">
        <v>20</v>
      </c>
      <c r="C15170" s="2">
        <v>649.86659999999995</v>
      </c>
      <c r="D15170" s="2">
        <f>HYPERLINK("http://mcb-m6.bioreg.kyushu-u.ac.jp/M3/20110502/F51187/1308/1", 70.14)</f>
        <v>70.14</v>
      </c>
      <c r="E15170" s="2">
        <v>44.19</v>
      </c>
      <c r="F15170" s="2">
        <v>2</v>
      </c>
      <c r="G15170" s="2" t="s">
        <v>13</v>
      </c>
    </row>
    <row r="15171" spans="1:8" x14ac:dyDescent="0.2">
      <c r="A15171" s="2" t="s">
        <v>3240</v>
      </c>
      <c r="B15171" s="2" t="s">
        <v>20</v>
      </c>
      <c r="C15171" s="2">
        <v>649.9452</v>
      </c>
      <c r="D15171" s="2">
        <f>HYPERLINK("http://mcb-m6.bioreg.kyushu-u.ac.jp/M3/20110502/F51170/1623/1", 77.86)</f>
        <v>77.86</v>
      </c>
      <c r="E15171" s="2">
        <v>50.11</v>
      </c>
      <c r="F15171" s="2">
        <v>2</v>
      </c>
      <c r="G15171" s="2" t="s">
        <v>13</v>
      </c>
    </row>
    <row r="15172" spans="1:8" x14ac:dyDescent="0.2">
      <c r="A15172" s="2" t="s">
        <v>3240</v>
      </c>
      <c r="B15172" s="2" t="s">
        <v>20</v>
      </c>
      <c r="C15172" s="2">
        <v>650.00620000000004</v>
      </c>
      <c r="D15172" s="2">
        <f>HYPERLINK("http://mcb-m6.bioreg.kyushu-u.ac.jp/M3/20110502/F51173/1282/1", 78.34)</f>
        <v>78.34</v>
      </c>
      <c r="E15172" s="2">
        <v>41.82</v>
      </c>
      <c r="F15172" s="2">
        <v>2</v>
      </c>
      <c r="G15172" s="2" t="s">
        <v>13</v>
      </c>
    </row>
    <row r="15173" spans="1:8" x14ac:dyDescent="0.2">
      <c r="A15173" s="2" t="s">
        <v>3240</v>
      </c>
      <c r="B15173" s="2" t="s">
        <v>20</v>
      </c>
      <c r="C15173" s="2">
        <v>649.92819999999995</v>
      </c>
      <c r="D15173" s="2">
        <f>HYPERLINK("http://mcb-m6.bioreg.kyushu-u.ac.jp/M3/20110502/F51165/1781/1", 79.11)</f>
        <v>79.11</v>
      </c>
      <c r="E15173" s="2">
        <v>35.67</v>
      </c>
      <c r="F15173" s="2">
        <v>2</v>
      </c>
      <c r="G15173" s="2" t="s">
        <v>13</v>
      </c>
    </row>
    <row r="15174" spans="1:8" x14ac:dyDescent="0.2">
      <c r="A15174" s="2" t="s">
        <v>3240</v>
      </c>
      <c r="B15174" s="2" t="s">
        <v>20</v>
      </c>
      <c r="C15174" s="2">
        <v>649.97969999999998</v>
      </c>
      <c r="D15174" s="2">
        <f>HYPERLINK("http://mcb-m6.bioreg.kyushu-u.ac.jp/M3/20110502/F51169/1749/1", 79.22)</f>
        <v>79.22</v>
      </c>
      <c r="E15174" s="2">
        <v>51.9</v>
      </c>
      <c r="F15174" s="2">
        <v>2</v>
      </c>
      <c r="G15174" s="2" t="s">
        <v>13</v>
      </c>
    </row>
    <row r="15175" spans="1:8" x14ac:dyDescent="0.2">
      <c r="A15175" s="2" t="s">
        <v>3240</v>
      </c>
      <c r="B15175" s="2" t="s">
        <v>20</v>
      </c>
      <c r="C15175" s="2">
        <v>649.97770000000003</v>
      </c>
      <c r="D15175" s="2">
        <f>HYPERLINK("http://mcb-m6.bioreg.kyushu-u.ac.jp/M3/20110502/F51189/1349/1", 81.58)</f>
        <v>81.58</v>
      </c>
      <c r="E15175" s="2">
        <v>51.25</v>
      </c>
      <c r="F15175" s="2">
        <v>2</v>
      </c>
      <c r="G15175" s="2" t="s">
        <v>13</v>
      </c>
    </row>
    <row r="15176" spans="1:8" x14ac:dyDescent="0.2">
      <c r="A15176" s="2" t="s">
        <v>3240</v>
      </c>
      <c r="B15176" s="2" t="s">
        <v>20</v>
      </c>
      <c r="C15176" s="2">
        <v>649.98770000000002</v>
      </c>
      <c r="D15176" s="2">
        <f>HYPERLINK("http://mcb-m6.bioreg.kyushu-u.ac.jp/M3/20110502/F51166/1879/1", 83.94)</f>
        <v>83.94</v>
      </c>
      <c r="E15176" s="2">
        <v>47.5</v>
      </c>
      <c r="F15176" s="2">
        <v>2</v>
      </c>
      <c r="G15176" s="2" t="s">
        <v>13</v>
      </c>
    </row>
    <row r="15177" spans="1:8" x14ac:dyDescent="0.2">
      <c r="A15177" s="2" t="s">
        <v>3240</v>
      </c>
      <c r="B15177" s="2" t="s">
        <v>20</v>
      </c>
      <c r="C15177" s="2">
        <v>649.97969999999998</v>
      </c>
      <c r="D15177" s="2">
        <f>HYPERLINK("http://mcb-m6.bioreg.kyushu-u.ac.jp/M3/20110502/F51171/1615/1", 83.95)</f>
        <v>83.95</v>
      </c>
      <c r="E15177" s="2">
        <v>45.33</v>
      </c>
      <c r="F15177" s="2">
        <v>2</v>
      </c>
      <c r="G15177" s="2" t="s">
        <v>13</v>
      </c>
    </row>
    <row r="15178" spans="1:8" x14ac:dyDescent="0.2">
      <c r="A15178" s="2" t="s">
        <v>3240</v>
      </c>
      <c r="B15178" s="2" t="s">
        <v>20</v>
      </c>
      <c r="C15178" s="2">
        <v>649.98469999999998</v>
      </c>
      <c r="D15178" s="2">
        <f>HYPERLINK("http://mcb-m6.bioreg.kyushu-u.ac.jp/M3/20110502/F51168/1680/1", 84.08)</f>
        <v>84.08</v>
      </c>
      <c r="E15178" s="2">
        <v>47.32</v>
      </c>
      <c r="F15178" s="2">
        <v>2</v>
      </c>
      <c r="G15178" s="2" t="s">
        <v>13</v>
      </c>
    </row>
    <row r="15179" spans="1:8" x14ac:dyDescent="0.2">
      <c r="A15179" s="2" t="s">
        <v>3240</v>
      </c>
      <c r="B15179" s="2" t="s">
        <v>1392</v>
      </c>
      <c r="C15179" s="2">
        <v>790.44709999999998</v>
      </c>
      <c r="D15179" s="2">
        <f>HYPERLINK("http://mcb-m6.bioreg.kyushu-u.ac.jp/M3/20110502/F51168/2232/1", 84.42)</f>
        <v>84.42</v>
      </c>
      <c r="E15179" s="2">
        <v>70.03</v>
      </c>
      <c r="F15179" s="2">
        <v>2</v>
      </c>
      <c r="G15179" s="2" t="s">
        <v>13</v>
      </c>
    </row>
    <row r="15180" spans="1:8" x14ac:dyDescent="0.2">
      <c r="A15180" s="2" t="s">
        <v>3240</v>
      </c>
      <c r="B15180" s="2" t="s">
        <v>1392</v>
      </c>
      <c r="C15180" s="2">
        <v>798.79719999999998</v>
      </c>
      <c r="D15180" s="2">
        <f>HYPERLINK("http://mcb-m6.bioreg.kyushu-u.ac.jp/M3/20110502/F51172/2520/1", 94.21)</f>
        <v>94.21</v>
      </c>
      <c r="E15180" s="2">
        <v>77.13</v>
      </c>
      <c r="F15180" s="2">
        <v>2</v>
      </c>
      <c r="G15180" s="2" t="s">
        <v>13</v>
      </c>
      <c r="H15180" s="2" t="s">
        <v>4912</v>
      </c>
    </row>
    <row r="15181" spans="1:8" x14ac:dyDescent="0.2">
      <c r="A15181" s="2" t="s">
        <v>3240</v>
      </c>
      <c r="B15181" s="2" t="s">
        <v>1392</v>
      </c>
      <c r="C15181" s="2">
        <v>790.45510000000002</v>
      </c>
      <c r="D15181" s="2">
        <f>HYPERLINK("http://mcb-m6.bioreg.kyushu-u.ac.jp/M3/20110502/F51188/2110/1", 94.28)</f>
        <v>94.28</v>
      </c>
      <c r="E15181" s="2">
        <v>74.92</v>
      </c>
      <c r="F15181" s="2">
        <v>2</v>
      </c>
      <c r="G15181" s="2" t="s">
        <v>13</v>
      </c>
    </row>
    <row r="15182" spans="1:8" x14ac:dyDescent="0.2">
      <c r="A15182" s="2" t="s">
        <v>3240</v>
      </c>
      <c r="B15182" s="2" t="s">
        <v>1392</v>
      </c>
      <c r="C15182" s="2">
        <v>798.78970000000004</v>
      </c>
      <c r="D15182" s="2">
        <f>HYPERLINK("http://mcb-m6.bioreg.kyushu-u.ac.jp/M3/20110502/F51187/1992/1", 97.66)</f>
        <v>97.66</v>
      </c>
      <c r="E15182" s="2">
        <v>77.510000000000005</v>
      </c>
      <c r="F15182" s="2">
        <v>2</v>
      </c>
      <c r="G15182" s="2" t="s">
        <v>13</v>
      </c>
      <c r="H15182" s="2" t="s">
        <v>4912</v>
      </c>
    </row>
    <row r="15183" spans="1:8" x14ac:dyDescent="0.2">
      <c r="A15183" s="2" t="s">
        <v>3240</v>
      </c>
      <c r="B15183" s="2" t="s">
        <v>1392</v>
      </c>
      <c r="C15183" s="2">
        <v>790.51369999999997</v>
      </c>
      <c r="D15183" s="2">
        <f>HYPERLINK("http://mcb-m6.bioreg.kyushu-u.ac.jp/M3/20110502/F51180/2154/1", 97.76)</f>
        <v>97.76</v>
      </c>
      <c r="E15183" s="2">
        <v>84.01</v>
      </c>
      <c r="F15183" s="2">
        <v>2</v>
      </c>
      <c r="G15183" s="2" t="s">
        <v>13</v>
      </c>
    </row>
    <row r="15184" spans="1:8" x14ac:dyDescent="0.2">
      <c r="A15184" s="2" t="s">
        <v>3240</v>
      </c>
      <c r="B15184" s="2" t="s">
        <v>1392</v>
      </c>
      <c r="C15184" s="2">
        <v>790.52719999999999</v>
      </c>
      <c r="D15184" s="2">
        <f>HYPERLINK("http://mcb-m6.bioreg.kyushu-u.ac.jp/M3/20110502/F51187/1964/1", 100.28)</f>
        <v>100.28</v>
      </c>
      <c r="E15184" s="2">
        <v>83</v>
      </c>
      <c r="F15184" s="2">
        <v>2</v>
      </c>
      <c r="G15184" s="2" t="s">
        <v>13</v>
      </c>
    </row>
    <row r="15185" spans="1:8" x14ac:dyDescent="0.2">
      <c r="A15185" s="2" t="s">
        <v>3240</v>
      </c>
      <c r="B15185" s="2" t="s">
        <v>1392</v>
      </c>
      <c r="C15185" s="2">
        <v>798.83870000000002</v>
      </c>
      <c r="D15185" s="2">
        <f>HYPERLINK("http://mcb-m6.bioreg.kyushu-u.ac.jp/M3/20110502/F51173/2185/1", 100.88)</f>
        <v>100.88</v>
      </c>
      <c r="E15185" s="2">
        <v>79.98</v>
      </c>
      <c r="F15185" s="2">
        <v>2</v>
      </c>
      <c r="G15185" s="2" t="s">
        <v>13</v>
      </c>
      <c r="H15185" s="2" t="s">
        <v>4912</v>
      </c>
    </row>
    <row r="15186" spans="1:8" x14ac:dyDescent="0.2">
      <c r="A15186" s="2" t="s">
        <v>3240</v>
      </c>
      <c r="B15186" s="2" t="s">
        <v>1392</v>
      </c>
      <c r="C15186" s="2">
        <v>790.54470000000003</v>
      </c>
      <c r="D15186" s="2">
        <f>HYPERLINK("http://mcb-m6.bioreg.kyushu-u.ac.jp/M3/20110502/F51173/2131/1", 103.28)</f>
        <v>103.28</v>
      </c>
      <c r="E15186" s="2">
        <v>87.9</v>
      </c>
      <c r="F15186" s="2">
        <v>2</v>
      </c>
      <c r="G15186" s="2" t="s">
        <v>13</v>
      </c>
    </row>
    <row r="15187" spans="1:8" x14ac:dyDescent="0.2">
      <c r="A15187" s="2" t="s">
        <v>3240</v>
      </c>
      <c r="B15187" s="2" t="s">
        <v>1392</v>
      </c>
      <c r="C15187" s="2">
        <v>790.52009999999996</v>
      </c>
      <c r="D15187" s="2">
        <f>HYPERLINK("http://mcb-m6.bioreg.kyushu-u.ac.jp/M3/20110502/F51175/2133/1", 103.44)</f>
        <v>103.44</v>
      </c>
      <c r="E15187" s="2">
        <v>89.02</v>
      </c>
      <c r="F15187" s="2">
        <v>2</v>
      </c>
      <c r="G15187" s="2" t="s">
        <v>13</v>
      </c>
    </row>
    <row r="15188" spans="1:8" x14ac:dyDescent="0.2">
      <c r="A15188" s="2" t="s">
        <v>3240</v>
      </c>
      <c r="B15188" s="2" t="s">
        <v>1392</v>
      </c>
      <c r="C15188" s="2">
        <v>798.61220000000003</v>
      </c>
      <c r="D15188" s="2">
        <f>HYPERLINK("http://mcb-m6.bioreg.kyushu-u.ac.jp/M3/20110502/F51168/2266/1", 104.39)</f>
        <v>104.39</v>
      </c>
      <c r="E15188" s="2">
        <v>87.11</v>
      </c>
      <c r="F15188" s="2">
        <v>2</v>
      </c>
      <c r="G15188" s="2" t="s">
        <v>13</v>
      </c>
      <c r="H15188" s="2" t="s">
        <v>4912</v>
      </c>
    </row>
    <row r="15189" spans="1:8" x14ac:dyDescent="0.2">
      <c r="A15189" s="2" t="s">
        <v>3240</v>
      </c>
      <c r="B15189" s="2" t="s">
        <v>1392</v>
      </c>
      <c r="C15189" s="2">
        <v>790.58259999999996</v>
      </c>
      <c r="D15189" s="2">
        <f>HYPERLINK("http://mcb-m6.bioreg.kyushu-u.ac.jp/M3/20110502/F51189/2051/1", 106.55)</f>
        <v>106.55</v>
      </c>
      <c r="E15189" s="2">
        <v>91.25</v>
      </c>
      <c r="F15189" s="2">
        <v>2</v>
      </c>
      <c r="G15189" s="2" t="s">
        <v>13</v>
      </c>
    </row>
    <row r="15190" spans="1:8" x14ac:dyDescent="0.2">
      <c r="A15190" s="2" t="s">
        <v>3240</v>
      </c>
      <c r="B15190" s="2" t="s">
        <v>1392</v>
      </c>
      <c r="C15190" s="2">
        <v>790.56410000000005</v>
      </c>
      <c r="D15190" s="2">
        <f>HYPERLINK("http://mcb-m6.bioreg.kyushu-u.ac.jp/M3/20110502/F51174/2167/1", 108.39)</f>
        <v>108.39</v>
      </c>
      <c r="E15190" s="2">
        <v>87.14</v>
      </c>
      <c r="F15190" s="2">
        <v>2</v>
      </c>
      <c r="G15190" s="2" t="s">
        <v>13</v>
      </c>
    </row>
    <row r="15191" spans="1:8" x14ac:dyDescent="0.2">
      <c r="A15191" s="2" t="s">
        <v>3240</v>
      </c>
      <c r="B15191" s="2" t="s">
        <v>1392</v>
      </c>
      <c r="C15191" s="2">
        <v>790.41819999999996</v>
      </c>
      <c r="D15191" s="2">
        <f>HYPERLINK("http://mcb-m6.bioreg.kyushu-u.ac.jp/M3/20110502/F51167/2114/1", 112.53)</f>
        <v>112.53</v>
      </c>
      <c r="E15191" s="2">
        <v>93.71</v>
      </c>
      <c r="F15191" s="2">
        <v>2</v>
      </c>
      <c r="G15191" s="2" t="s">
        <v>13</v>
      </c>
    </row>
    <row r="15192" spans="1:8" x14ac:dyDescent="0.2">
      <c r="A15192" s="2" t="s">
        <v>3240</v>
      </c>
      <c r="B15192" s="2" t="s">
        <v>1392</v>
      </c>
      <c r="C15192" s="2">
        <v>790.65369999999996</v>
      </c>
      <c r="D15192" s="2">
        <f>HYPERLINK("http://mcb-m6.bioreg.kyushu-u.ac.jp/M3/20110502/F51169/2324/1", 112.7)</f>
        <v>112.7</v>
      </c>
      <c r="E15192" s="2">
        <v>98.45</v>
      </c>
      <c r="F15192" s="2">
        <v>2</v>
      </c>
      <c r="G15192" s="2" t="s">
        <v>13</v>
      </c>
    </row>
    <row r="15193" spans="1:8" x14ac:dyDescent="0.2">
      <c r="A15193" s="2" t="s">
        <v>3240</v>
      </c>
      <c r="B15193" s="2" t="s">
        <v>1392</v>
      </c>
      <c r="C15193" s="2">
        <v>798.64970000000005</v>
      </c>
      <c r="D15193" s="2">
        <f>HYPERLINK("http://mcb-m6.bioreg.kyushu-u.ac.jp/M3/20110502/F51174/2192/1", 112.72)</f>
        <v>112.72</v>
      </c>
      <c r="E15193" s="2">
        <v>88.98</v>
      </c>
      <c r="F15193" s="2">
        <v>2</v>
      </c>
      <c r="G15193" s="2" t="s">
        <v>13</v>
      </c>
      <c r="H15193" s="2" t="s">
        <v>4912</v>
      </c>
    </row>
    <row r="15194" spans="1:8" x14ac:dyDescent="0.2">
      <c r="A15194" s="2" t="s">
        <v>3240</v>
      </c>
      <c r="B15194" s="2" t="s">
        <v>1392</v>
      </c>
      <c r="C15194" s="2">
        <v>798.61360000000002</v>
      </c>
      <c r="D15194" s="2">
        <f>HYPERLINK("http://mcb-m6.bioreg.kyushu-u.ac.jp/M3/20110502/F51189/2089/1", 112.78)</f>
        <v>112.78</v>
      </c>
      <c r="E15194" s="2">
        <v>95.62</v>
      </c>
      <c r="F15194" s="2">
        <v>2</v>
      </c>
      <c r="G15194" s="2" t="s">
        <v>13</v>
      </c>
      <c r="H15194" s="2" t="s">
        <v>4912</v>
      </c>
    </row>
    <row r="15195" spans="1:8" x14ac:dyDescent="0.2">
      <c r="A15195" s="2" t="s">
        <v>3240</v>
      </c>
      <c r="B15195" s="2" t="s">
        <v>1392</v>
      </c>
      <c r="C15195" s="2">
        <v>798.53920000000005</v>
      </c>
      <c r="D15195" s="2">
        <f>HYPERLINK("http://mcb-m6.bioreg.kyushu-u.ac.jp/M3/20110502/F51170/2392/1", 112.88)</f>
        <v>112.88</v>
      </c>
      <c r="E15195" s="2">
        <v>98.89</v>
      </c>
      <c r="F15195" s="2">
        <v>2</v>
      </c>
      <c r="G15195" s="2" t="s">
        <v>13</v>
      </c>
      <c r="H15195" s="2" t="s">
        <v>4912</v>
      </c>
    </row>
    <row r="15196" spans="1:8" x14ac:dyDescent="0.2">
      <c r="A15196" s="2" t="s">
        <v>3240</v>
      </c>
      <c r="B15196" s="2" t="s">
        <v>1392</v>
      </c>
      <c r="C15196" s="2">
        <v>798.55909999999994</v>
      </c>
      <c r="D15196" s="2">
        <f>HYPERLINK("http://mcb-m6.bioreg.kyushu-u.ac.jp/M3/20110502/F51167/2130/1", 127.5)</f>
        <v>127.5</v>
      </c>
      <c r="E15196" s="2">
        <v>112.46</v>
      </c>
      <c r="F15196" s="2">
        <v>2</v>
      </c>
      <c r="G15196" s="2" t="s">
        <v>13</v>
      </c>
      <c r="H15196" s="2" t="s">
        <v>4912</v>
      </c>
    </row>
    <row r="15197" spans="1:8" x14ac:dyDescent="0.2">
      <c r="A15197" s="2" t="s">
        <v>3240</v>
      </c>
      <c r="B15197" s="2" t="s">
        <v>20</v>
      </c>
      <c r="C15197" s="2">
        <v>1298.98</v>
      </c>
      <c r="D15197" s="2">
        <f>HYPERLINK("http://mcb-m6.bioreg.kyushu-u.ac.jp/M3/20110502/F51184/1264/1", 36.24)</f>
        <v>36.24</v>
      </c>
      <c r="E15197" s="2">
        <v>17.559999999999999</v>
      </c>
      <c r="F15197" s="2">
        <v>1</v>
      </c>
      <c r="G15197" s="2" t="s">
        <v>14</v>
      </c>
    </row>
    <row r="15198" spans="1:8" x14ac:dyDescent="0.2">
      <c r="A15198" s="2" t="s">
        <v>3240</v>
      </c>
      <c r="B15198" s="2" t="s">
        <v>20</v>
      </c>
      <c r="C15198" s="2">
        <v>1298.829</v>
      </c>
      <c r="D15198" s="2">
        <f>HYPERLINK("http://mcb-m6.bioreg.kyushu-u.ac.jp/M3/20110502/F51194/1307/1", 39.52)</f>
        <v>39.520000000000003</v>
      </c>
      <c r="E15198" s="2">
        <v>21.9</v>
      </c>
      <c r="F15198" s="2">
        <v>1</v>
      </c>
      <c r="G15198" s="2" t="s">
        <v>14</v>
      </c>
    </row>
    <row r="15199" spans="1:8" x14ac:dyDescent="0.2">
      <c r="A15199" s="2" t="s">
        <v>3240</v>
      </c>
      <c r="B15199" s="2" t="s">
        <v>20</v>
      </c>
      <c r="C15199" s="2">
        <v>1298.7639999999999</v>
      </c>
      <c r="D15199" s="2">
        <f>HYPERLINK("http://mcb-m6.bioreg.kyushu-u.ac.jp/M3/20110502/F51186/1416/1", 41.69)</f>
        <v>41.69</v>
      </c>
      <c r="E15199" s="2">
        <v>20</v>
      </c>
      <c r="F15199" s="2">
        <v>1</v>
      </c>
      <c r="G15199" s="2" t="s">
        <v>14</v>
      </c>
    </row>
    <row r="15200" spans="1:8" x14ac:dyDescent="0.2">
      <c r="A15200" s="2" t="s">
        <v>3240</v>
      </c>
      <c r="B15200" s="2" t="s">
        <v>20</v>
      </c>
      <c r="C15200" s="2">
        <v>650.06320000000005</v>
      </c>
      <c r="D15200" s="2">
        <f>HYPERLINK("http://mcb-m6.bioreg.kyushu-u.ac.jp/M3/20110502/F51194/1308/1", 56.63)</f>
        <v>56.63</v>
      </c>
      <c r="E15200" s="2">
        <v>30.59</v>
      </c>
      <c r="F15200" s="2">
        <v>2</v>
      </c>
      <c r="G15200" s="2" t="s">
        <v>14</v>
      </c>
    </row>
    <row r="15201" spans="1:8" x14ac:dyDescent="0.2">
      <c r="A15201" s="2" t="s">
        <v>3240</v>
      </c>
      <c r="B15201" s="2" t="s">
        <v>20</v>
      </c>
      <c r="C15201" s="2">
        <v>650.38019999999995</v>
      </c>
      <c r="D15201" s="2">
        <f>HYPERLINK("http://mcb-m6.bioreg.kyushu-u.ac.jp/M3/20110502/F51190/1314/1", 61.14)</f>
        <v>61.14</v>
      </c>
      <c r="E15201" s="2">
        <v>32.340000000000003</v>
      </c>
      <c r="F15201" s="2">
        <v>2</v>
      </c>
      <c r="G15201" s="2" t="s">
        <v>14</v>
      </c>
    </row>
    <row r="15202" spans="1:8" x14ac:dyDescent="0.2">
      <c r="A15202" s="2" t="s">
        <v>3240</v>
      </c>
      <c r="B15202" s="2" t="s">
        <v>20</v>
      </c>
      <c r="C15202" s="2">
        <v>650.29110000000003</v>
      </c>
      <c r="D15202" s="2">
        <f>HYPERLINK("http://mcb-m6.bioreg.kyushu-u.ac.jp/M3/20110502/F51184/1265/1", 67.23)</f>
        <v>67.23</v>
      </c>
      <c r="E15202" s="2">
        <v>33.47</v>
      </c>
      <c r="F15202" s="2">
        <v>2</v>
      </c>
      <c r="G15202" s="2" t="s">
        <v>14</v>
      </c>
    </row>
    <row r="15203" spans="1:8" x14ac:dyDescent="0.2">
      <c r="A15203" s="2" t="s">
        <v>3240</v>
      </c>
      <c r="B15203" s="2" t="s">
        <v>20</v>
      </c>
      <c r="C15203" s="2">
        <v>650.07669999999996</v>
      </c>
      <c r="D15203" s="2">
        <f>HYPERLINK("http://mcb-m6.bioreg.kyushu-u.ac.jp/M3/20110502/F51176/1824/1", 69.12)</f>
        <v>69.12</v>
      </c>
      <c r="E15203" s="2">
        <v>36.15</v>
      </c>
      <c r="F15203" s="2">
        <v>2</v>
      </c>
      <c r="G15203" s="2" t="s">
        <v>14</v>
      </c>
    </row>
    <row r="15204" spans="1:8" x14ac:dyDescent="0.2">
      <c r="A15204" s="2" t="s">
        <v>3240</v>
      </c>
      <c r="B15204" s="2" t="s">
        <v>20</v>
      </c>
      <c r="C15204" s="2">
        <v>649.95669999999996</v>
      </c>
      <c r="D15204" s="2">
        <f>HYPERLINK("http://mcb-m6.bioreg.kyushu-u.ac.jp/M3/20110502/F51191/1308/1", 72.35)</f>
        <v>72.349999999999994</v>
      </c>
      <c r="E15204" s="2">
        <v>25.73</v>
      </c>
      <c r="F15204" s="2">
        <v>2</v>
      </c>
      <c r="G15204" s="2" t="s">
        <v>14</v>
      </c>
    </row>
    <row r="15205" spans="1:8" x14ac:dyDescent="0.2">
      <c r="A15205" s="2" t="s">
        <v>3240</v>
      </c>
      <c r="B15205" s="2" t="s">
        <v>20</v>
      </c>
      <c r="C15205" s="2">
        <v>649.9316</v>
      </c>
      <c r="D15205" s="2">
        <f>HYPERLINK("http://mcb-m6.bioreg.kyushu-u.ac.jp/M3/20110502/F51181/1344/1", 72.78)</f>
        <v>72.78</v>
      </c>
      <c r="E15205" s="2">
        <v>45.74</v>
      </c>
      <c r="F15205" s="2">
        <v>2</v>
      </c>
      <c r="G15205" s="2" t="s">
        <v>14</v>
      </c>
    </row>
    <row r="15206" spans="1:8" x14ac:dyDescent="0.2">
      <c r="A15206" s="2" t="s">
        <v>3240</v>
      </c>
      <c r="B15206" s="2" t="s">
        <v>20</v>
      </c>
      <c r="C15206" s="2">
        <v>650.02560000000005</v>
      </c>
      <c r="D15206" s="2">
        <f>HYPERLINK("http://mcb-m6.bioreg.kyushu-u.ac.jp/M3/20110502/F51193/1350/1", 73.8)</f>
        <v>73.8</v>
      </c>
      <c r="E15206" s="2">
        <v>39.64</v>
      </c>
      <c r="F15206" s="2">
        <v>2</v>
      </c>
      <c r="G15206" s="2" t="s">
        <v>14</v>
      </c>
    </row>
    <row r="15207" spans="1:8" x14ac:dyDescent="0.2">
      <c r="A15207" s="2" t="s">
        <v>3240</v>
      </c>
      <c r="B15207" s="2" t="s">
        <v>20</v>
      </c>
      <c r="C15207" s="2">
        <v>649.96619999999996</v>
      </c>
      <c r="D15207" s="2">
        <f>HYPERLINK("http://mcb-m6.bioreg.kyushu-u.ac.jp/M3/20110502/F51186/1418/1", 74.64)</f>
        <v>74.64</v>
      </c>
      <c r="E15207" s="2">
        <v>40.04</v>
      </c>
      <c r="F15207" s="2">
        <v>2</v>
      </c>
      <c r="G15207" s="2" t="s">
        <v>14</v>
      </c>
    </row>
    <row r="15208" spans="1:8" x14ac:dyDescent="0.2">
      <c r="A15208" s="2" t="s">
        <v>3240</v>
      </c>
      <c r="B15208" s="2" t="s">
        <v>20</v>
      </c>
      <c r="C15208" s="2">
        <v>650.0942</v>
      </c>
      <c r="D15208" s="2">
        <f>HYPERLINK("http://mcb-m6.bioreg.kyushu-u.ac.jp/M3/20110502/F51177/1279/1", 78.25)</f>
        <v>78.25</v>
      </c>
      <c r="E15208" s="2">
        <v>41.79</v>
      </c>
      <c r="F15208" s="2">
        <v>2</v>
      </c>
      <c r="G15208" s="2" t="s">
        <v>14</v>
      </c>
    </row>
    <row r="15209" spans="1:8" x14ac:dyDescent="0.2">
      <c r="A15209" s="2" t="s">
        <v>3240</v>
      </c>
      <c r="B15209" s="2" t="s">
        <v>20</v>
      </c>
      <c r="C15209" s="2">
        <v>649.87620000000004</v>
      </c>
      <c r="D15209" s="2">
        <f>HYPERLINK("http://mcb-m6.bioreg.kyushu-u.ac.jp/M3/20110502/F51194/1306/1", 78.41)</f>
        <v>78.41</v>
      </c>
      <c r="E15209" s="2">
        <v>41.81</v>
      </c>
      <c r="F15209" s="2">
        <v>2</v>
      </c>
      <c r="G15209" s="2" t="s">
        <v>14</v>
      </c>
    </row>
    <row r="15210" spans="1:8" x14ac:dyDescent="0.2">
      <c r="A15210" s="2" t="s">
        <v>3240</v>
      </c>
      <c r="B15210" s="2" t="s">
        <v>20</v>
      </c>
      <c r="C15210" s="2">
        <v>650.18619999999999</v>
      </c>
      <c r="D15210" s="2">
        <f>HYPERLINK("http://mcb-m6.bioreg.kyushu-u.ac.jp/M3/20110502/F51183/1400/1", 78.82)</f>
        <v>78.819999999999993</v>
      </c>
      <c r="E15210" s="2">
        <v>49.12</v>
      </c>
      <c r="F15210" s="2">
        <v>2</v>
      </c>
      <c r="G15210" s="2" t="s">
        <v>14</v>
      </c>
    </row>
    <row r="15211" spans="1:8" x14ac:dyDescent="0.2">
      <c r="A15211" s="2" t="s">
        <v>3240</v>
      </c>
      <c r="B15211" s="2" t="s">
        <v>20</v>
      </c>
      <c r="C15211" s="2">
        <v>649.93960000000004</v>
      </c>
      <c r="D15211" s="2">
        <f>HYPERLINK("http://mcb-m6.bioreg.kyushu-u.ac.jp/M3/20110502/F51179/1259/1", 81.33)</f>
        <v>81.33</v>
      </c>
      <c r="E15211" s="2">
        <v>52.72</v>
      </c>
      <c r="F15211" s="2">
        <v>2</v>
      </c>
      <c r="G15211" s="2" t="s">
        <v>14</v>
      </c>
    </row>
    <row r="15212" spans="1:8" x14ac:dyDescent="0.2">
      <c r="A15212" s="2" t="s">
        <v>3240</v>
      </c>
      <c r="B15212" s="2" t="s">
        <v>20</v>
      </c>
      <c r="C15212" s="2">
        <v>650.05520000000001</v>
      </c>
      <c r="D15212" s="2">
        <f>HYPERLINK("http://mcb-m6.bioreg.kyushu-u.ac.jp/M3/20110502/F51185/1382/1", 83.17)</f>
        <v>83.17</v>
      </c>
      <c r="E15212" s="2">
        <v>34.36</v>
      </c>
      <c r="F15212" s="2">
        <v>2</v>
      </c>
      <c r="G15212" s="2" t="s">
        <v>14</v>
      </c>
    </row>
    <row r="15213" spans="1:8" x14ac:dyDescent="0.2">
      <c r="A15213" s="2" t="s">
        <v>3240</v>
      </c>
      <c r="B15213" s="2" t="s">
        <v>20</v>
      </c>
      <c r="C15213" s="2">
        <v>649.97019999999998</v>
      </c>
      <c r="D15213" s="2">
        <f>HYPERLINK("http://mcb-m6.bioreg.kyushu-u.ac.jp/M3/20110502/F51178/1700/1", 83.34)</f>
        <v>83.34</v>
      </c>
      <c r="E15213" s="2">
        <v>29.63</v>
      </c>
      <c r="F15213" s="2">
        <v>2</v>
      </c>
      <c r="G15213" s="2" t="s">
        <v>14</v>
      </c>
    </row>
    <row r="15214" spans="1:8" x14ac:dyDescent="0.2">
      <c r="A15214" s="2" t="s">
        <v>3240</v>
      </c>
      <c r="B15214" s="2" t="s">
        <v>3218</v>
      </c>
      <c r="C15214" s="2">
        <v>723.31290000000001</v>
      </c>
      <c r="D15214" s="2">
        <f>HYPERLINK("http://mcb-m6.bioreg.kyushu-u.ac.jp/M3/20110502/F51194/3307/1", 85.33)</f>
        <v>85.33</v>
      </c>
      <c r="E15214" s="2">
        <v>66.09</v>
      </c>
      <c r="F15214" s="2">
        <v>3</v>
      </c>
      <c r="G15214" s="2" t="s">
        <v>14</v>
      </c>
      <c r="H15214" s="2" t="s">
        <v>4963</v>
      </c>
    </row>
    <row r="15215" spans="1:8" x14ac:dyDescent="0.2">
      <c r="A15215" s="2" t="s">
        <v>3240</v>
      </c>
      <c r="B15215" s="2" t="s">
        <v>1392</v>
      </c>
      <c r="C15215" s="2">
        <v>790.45320000000004</v>
      </c>
      <c r="D15215" s="2">
        <f>HYPERLINK("http://mcb-m6.bioreg.kyushu-u.ac.jp/M3/20110502/F51194/2099/1", 90.33)</f>
        <v>90.33</v>
      </c>
      <c r="E15215" s="2">
        <v>67.180000000000007</v>
      </c>
      <c r="F15215" s="2">
        <v>2</v>
      </c>
      <c r="G15215" s="2" t="s">
        <v>14</v>
      </c>
    </row>
    <row r="15216" spans="1:8" x14ac:dyDescent="0.2">
      <c r="A15216" s="2" t="s">
        <v>3240</v>
      </c>
      <c r="B15216" s="2" t="s">
        <v>1392</v>
      </c>
      <c r="C15216" s="2">
        <v>790.57259999999997</v>
      </c>
      <c r="D15216" s="2">
        <f>HYPERLINK("http://mcb-m6.bioreg.kyushu-u.ac.jp/M3/20110502/F51177/2155/1", 93.28)</f>
        <v>93.28</v>
      </c>
      <c r="E15216" s="2">
        <v>74.19</v>
      </c>
      <c r="F15216" s="2">
        <v>2</v>
      </c>
      <c r="G15216" s="2" t="s">
        <v>14</v>
      </c>
    </row>
    <row r="15217" spans="1:8" x14ac:dyDescent="0.2">
      <c r="A15217" s="2" t="s">
        <v>3240</v>
      </c>
      <c r="B15217" s="2" t="s">
        <v>1392</v>
      </c>
      <c r="C15217" s="2">
        <v>790.52260000000001</v>
      </c>
      <c r="D15217" s="2">
        <f>HYPERLINK("http://mcb-m6.bioreg.kyushu-u.ac.jp/M3/20110502/F51179/2084/1", 94.88)</f>
        <v>94.88</v>
      </c>
      <c r="E15217" s="2">
        <v>76.069999999999993</v>
      </c>
      <c r="F15217" s="2">
        <v>2</v>
      </c>
      <c r="G15217" s="2" t="s">
        <v>14</v>
      </c>
    </row>
    <row r="15218" spans="1:8" x14ac:dyDescent="0.2">
      <c r="A15218" s="2" t="s">
        <v>3240</v>
      </c>
      <c r="B15218" s="2" t="s">
        <v>1392</v>
      </c>
      <c r="C15218" s="2">
        <v>790.60360000000003</v>
      </c>
      <c r="D15218" s="2">
        <f>HYPERLINK("http://mcb-m6.bioreg.kyushu-u.ac.jp/M3/20110502/F51186/2099/1", 97.83)</f>
        <v>97.83</v>
      </c>
      <c r="E15218" s="2">
        <v>82.24</v>
      </c>
      <c r="F15218" s="2">
        <v>2</v>
      </c>
      <c r="G15218" s="2" t="s">
        <v>14</v>
      </c>
    </row>
    <row r="15219" spans="1:8" x14ac:dyDescent="0.2">
      <c r="A15219" s="2" t="s">
        <v>3240</v>
      </c>
      <c r="B15219" s="2" t="s">
        <v>1392</v>
      </c>
      <c r="C15219" s="2">
        <v>790.75710000000004</v>
      </c>
      <c r="D15219" s="2">
        <f>HYPERLINK("http://mcb-m6.bioreg.kyushu-u.ac.jp/M3/20110502/F51182/2256/1", 100.8)</f>
        <v>100.8</v>
      </c>
      <c r="E15219" s="2">
        <v>80.27</v>
      </c>
      <c r="F15219" s="2">
        <v>2</v>
      </c>
      <c r="G15219" s="2" t="s">
        <v>14</v>
      </c>
    </row>
    <row r="15220" spans="1:8" x14ac:dyDescent="0.2">
      <c r="A15220" s="2" t="s">
        <v>3240</v>
      </c>
      <c r="B15220" s="2" t="s">
        <v>1392</v>
      </c>
      <c r="C15220" s="2">
        <v>798.67769999999996</v>
      </c>
      <c r="D15220" s="2">
        <f>HYPERLINK("http://mcb-m6.bioreg.kyushu-u.ac.jp/M3/20110502/F51192/2126/1", 100.95)</f>
        <v>100.95</v>
      </c>
      <c r="E15220" s="2">
        <v>79.69</v>
      </c>
      <c r="F15220" s="2">
        <v>2</v>
      </c>
      <c r="G15220" s="2" t="s">
        <v>14</v>
      </c>
      <c r="H15220" s="2" t="s">
        <v>4912</v>
      </c>
    </row>
    <row r="15221" spans="1:8" x14ac:dyDescent="0.2">
      <c r="A15221" s="2" t="s">
        <v>3240</v>
      </c>
      <c r="B15221" s="2" t="s">
        <v>1392</v>
      </c>
      <c r="C15221" s="2">
        <v>790.54269999999997</v>
      </c>
      <c r="D15221" s="2">
        <f>HYPERLINK("http://mcb-m6.bioreg.kyushu-u.ac.jp/M3/20110502/F51191/1953/1", 101.29)</f>
        <v>101.29</v>
      </c>
      <c r="E15221" s="2">
        <v>83.85</v>
      </c>
      <c r="F15221" s="2">
        <v>2</v>
      </c>
      <c r="G15221" s="2" t="s">
        <v>14</v>
      </c>
    </row>
    <row r="15222" spans="1:8" x14ac:dyDescent="0.2">
      <c r="A15222" s="2" t="s">
        <v>3240</v>
      </c>
      <c r="B15222" s="2" t="s">
        <v>1392</v>
      </c>
      <c r="C15222" s="2">
        <v>790.53769999999997</v>
      </c>
      <c r="D15222" s="2">
        <f>HYPERLINK("http://mcb-m6.bioreg.kyushu-u.ac.jp/M3/20110502/F51176/2148/1", 104.26)</f>
        <v>104.26</v>
      </c>
      <c r="E15222" s="2">
        <v>89.23</v>
      </c>
      <c r="F15222" s="2">
        <v>2</v>
      </c>
      <c r="G15222" s="2" t="s">
        <v>14</v>
      </c>
    </row>
    <row r="15223" spans="1:8" x14ac:dyDescent="0.2">
      <c r="A15223" s="2" t="s">
        <v>3240</v>
      </c>
      <c r="B15223" s="2" t="s">
        <v>1392</v>
      </c>
      <c r="C15223" s="2">
        <v>790.76369999999997</v>
      </c>
      <c r="D15223" s="2">
        <f>HYPERLINK("http://mcb-m6.bioreg.kyushu-u.ac.jp/M3/20110502/F51178/2342/1", 104.43)</f>
        <v>104.43</v>
      </c>
      <c r="E15223" s="2">
        <v>91.46</v>
      </c>
      <c r="F15223" s="2">
        <v>2</v>
      </c>
      <c r="G15223" s="2" t="s">
        <v>14</v>
      </c>
    </row>
    <row r="15224" spans="1:8" x14ac:dyDescent="0.2">
      <c r="A15224" s="2" t="s">
        <v>3240</v>
      </c>
      <c r="B15224" s="2" t="s">
        <v>1392</v>
      </c>
      <c r="C15224" s="2">
        <v>790.76170000000002</v>
      </c>
      <c r="D15224" s="2">
        <f>HYPERLINK("http://mcb-m6.bioreg.kyushu-u.ac.jp/M3/20110502/F51181/2116/1", 104.85)</f>
        <v>104.85</v>
      </c>
      <c r="E15224" s="2">
        <v>89.91</v>
      </c>
      <c r="F15224" s="2">
        <v>2</v>
      </c>
      <c r="G15224" s="2" t="s">
        <v>14</v>
      </c>
    </row>
    <row r="15225" spans="1:8" x14ac:dyDescent="0.2">
      <c r="A15225" s="2" t="s">
        <v>3240</v>
      </c>
      <c r="B15225" s="2" t="s">
        <v>1392</v>
      </c>
      <c r="C15225" s="2">
        <v>790.58219999999994</v>
      </c>
      <c r="D15225" s="2">
        <f>HYPERLINK("http://mcb-m6.bioreg.kyushu-u.ac.jp/M3/20110502/F51184/2156/1", 106.6)</f>
        <v>106.6</v>
      </c>
      <c r="E15225" s="2">
        <v>86.73</v>
      </c>
      <c r="F15225" s="2">
        <v>2</v>
      </c>
      <c r="G15225" s="2" t="s">
        <v>14</v>
      </c>
    </row>
    <row r="15226" spans="1:8" x14ac:dyDescent="0.2">
      <c r="A15226" s="2" t="s">
        <v>3240</v>
      </c>
      <c r="B15226" s="2" t="s">
        <v>1392</v>
      </c>
      <c r="C15226" s="2">
        <v>798.91269999999997</v>
      </c>
      <c r="D15226" s="2">
        <f>HYPERLINK("http://mcb-m6.bioreg.kyushu-u.ac.jp/M3/20110502/F51183/2234/1", 108.44)</f>
        <v>108.44</v>
      </c>
      <c r="E15226" s="2">
        <v>83.54</v>
      </c>
      <c r="F15226" s="2">
        <v>2</v>
      </c>
      <c r="G15226" s="2" t="s">
        <v>14</v>
      </c>
      <c r="H15226" s="2" t="s">
        <v>4912</v>
      </c>
    </row>
    <row r="15227" spans="1:8" x14ac:dyDescent="0.2">
      <c r="A15227" s="2" t="s">
        <v>3240</v>
      </c>
      <c r="B15227" s="2" t="s">
        <v>1392</v>
      </c>
      <c r="C15227" s="2">
        <v>798.55820000000006</v>
      </c>
      <c r="D15227" s="2">
        <f>HYPERLINK("http://mcb-m6.bioreg.kyushu-u.ac.jp/M3/20110502/F51179/2122/1", 108.53)</f>
        <v>108.53</v>
      </c>
      <c r="E15227" s="2">
        <v>93.68</v>
      </c>
      <c r="F15227" s="2">
        <v>2</v>
      </c>
      <c r="G15227" s="2" t="s">
        <v>14</v>
      </c>
      <c r="H15227" s="2" t="s">
        <v>4912</v>
      </c>
    </row>
    <row r="15228" spans="1:8" x14ac:dyDescent="0.2">
      <c r="A15228" s="2" t="s">
        <v>3240</v>
      </c>
      <c r="B15228" s="2" t="s">
        <v>1392</v>
      </c>
      <c r="C15228" s="2">
        <v>798.30909999999994</v>
      </c>
      <c r="D15228" s="2">
        <f>HYPERLINK("http://mcb-m6.bioreg.kyushu-u.ac.jp/M3/20110502/F51184/2205/1", 110.21)</f>
        <v>110.21</v>
      </c>
      <c r="E15228" s="2">
        <v>96.39</v>
      </c>
      <c r="F15228" s="2">
        <v>2</v>
      </c>
      <c r="G15228" s="2" t="s">
        <v>14</v>
      </c>
      <c r="H15228" s="2" t="s">
        <v>4912</v>
      </c>
    </row>
    <row r="15229" spans="1:8" x14ac:dyDescent="0.2">
      <c r="A15229" s="2" t="s">
        <v>3240</v>
      </c>
      <c r="B15229" s="2" t="s">
        <v>1392</v>
      </c>
      <c r="C15229" s="2">
        <v>798.54819999999995</v>
      </c>
      <c r="D15229" s="2">
        <f>HYPERLINK("http://mcb-m6.bioreg.kyushu-u.ac.jp/M3/20110502/F51186/2135/1", 112.7)</f>
        <v>112.7</v>
      </c>
      <c r="E15229" s="2">
        <v>89.12</v>
      </c>
      <c r="F15229" s="2">
        <v>2</v>
      </c>
      <c r="G15229" s="2" t="s">
        <v>14</v>
      </c>
      <c r="H15229" s="2" t="s">
        <v>4912</v>
      </c>
    </row>
    <row r="15230" spans="1:8" x14ac:dyDescent="0.2">
      <c r="A15230" s="2" t="s">
        <v>3240</v>
      </c>
      <c r="B15230" s="2" t="s">
        <v>1392</v>
      </c>
      <c r="C15230" s="2">
        <v>798.45259999999996</v>
      </c>
      <c r="D15230" s="2">
        <f>HYPERLINK("http://mcb-m6.bioreg.kyushu-u.ac.jp/M3/20110502/F51194/2140/1", 112.86)</f>
        <v>112.86</v>
      </c>
      <c r="E15230" s="2">
        <v>100.15</v>
      </c>
      <c r="F15230" s="2">
        <v>2</v>
      </c>
      <c r="G15230" s="2" t="s">
        <v>14</v>
      </c>
      <c r="H15230" s="2" t="s">
        <v>4912</v>
      </c>
    </row>
    <row r="15231" spans="1:8" x14ac:dyDescent="0.2">
      <c r="A15231" s="2" t="s">
        <v>3240</v>
      </c>
      <c r="B15231" s="2" t="s">
        <v>1392</v>
      </c>
      <c r="C15231" s="2">
        <v>798.59010000000001</v>
      </c>
      <c r="D15231" s="2">
        <f>HYPERLINK("http://mcb-m6.bioreg.kyushu-u.ac.jp/M3/20110502/F51191/1980/1", 117.43)</f>
        <v>117.43</v>
      </c>
      <c r="E15231" s="2">
        <v>98.84</v>
      </c>
      <c r="F15231" s="2">
        <v>2</v>
      </c>
      <c r="G15231" s="2" t="s">
        <v>14</v>
      </c>
      <c r="H15231" s="2" t="s">
        <v>4912</v>
      </c>
    </row>
    <row r="15232" spans="1:8" x14ac:dyDescent="0.2">
      <c r="A15232" s="2" t="s">
        <v>3240</v>
      </c>
      <c r="B15232" s="2" t="s">
        <v>1392</v>
      </c>
      <c r="C15232" s="2">
        <v>798.64760000000001</v>
      </c>
      <c r="D15232" s="2">
        <f>HYPERLINK("http://mcb-m6.bioreg.kyushu-u.ac.jp/M3/20110502/F51177/2204/1", 117.51)</f>
        <v>117.51</v>
      </c>
      <c r="E15232" s="2">
        <v>101.7</v>
      </c>
      <c r="F15232" s="2">
        <v>2</v>
      </c>
      <c r="G15232" s="2" t="s">
        <v>14</v>
      </c>
      <c r="H15232" s="2" t="s">
        <v>4912</v>
      </c>
    </row>
    <row r="15233" spans="1:9" x14ac:dyDescent="0.2">
      <c r="A15233" s="2" t="s">
        <v>3240</v>
      </c>
      <c r="B15233" s="2" t="s">
        <v>1392</v>
      </c>
      <c r="C15233" s="2">
        <v>798.56619999999998</v>
      </c>
      <c r="D15233" s="2">
        <f>HYPERLINK("http://mcb-m6.bioreg.kyushu-u.ac.jp/M3/20110502/F51178/2371/1", 120.87)</f>
        <v>120.87</v>
      </c>
      <c r="E15233" s="2">
        <v>103.09</v>
      </c>
      <c r="F15233" s="2">
        <v>2</v>
      </c>
      <c r="G15233" s="2" t="s">
        <v>14</v>
      </c>
      <c r="H15233" s="2" t="s">
        <v>4912</v>
      </c>
    </row>
    <row r="15234" spans="1:9" x14ac:dyDescent="0.2">
      <c r="A15234" s="2" t="s">
        <v>4594</v>
      </c>
      <c r="B15234" s="2" t="s">
        <v>2679</v>
      </c>
      <c r="C15234" s="2">
        <v>1108.9970000000001</v>
      </c>
      <c r="D15234" s="2">
        <f>HYPERLINK("http://mcb-m6.bioreg.kyushu-u.ac.jp/M3/20110414/F50949/1783/1", 51.7)</f>
        <v>51.7</v>
      </c>
      <c r="E15234" s="2">
        <v>23.55</v>
      </c>
      <c r="F15234" s="2">
        <v>1</v>
      </c>
      <c r="G15234" s="2" t="s">
        <v>12</v>
      </c>
    </row>
    <row r="15235" spans="1:9" x14ac:dyDescent="0.2">
      <c r="A15235" s="2" t="s">
        <v>4732</v>
      </c>
      <c r="B15235" s="2" t="s">
        <v>2949</v>
      </c>
      <c r="C15235" s="2">
        <v>674.02470000000005</v>
      </c>
      <c r="D15235" s="2">
        <f>HYPERLINK("http://mcb-m6.bioreg.kyushu-u.ac.jp/M3/20110502/F51169/1821/1", 73.84)</f>
        <v>73.84</v>
      </c>
      <c r="E15235" s="2">
        <v>49.61</v>
      </c>
      <c r="F15235" s="2">
        <v>2</v>
      </c>
      <c r="G15235" s="2" t="s">
        <v>13</v>
      </c>
    </row>
    <row r="15236" spans="1:9" x14ac:dyDescent="0.2">
      <c r="A15236" s="2" t="s">
        <v>4137</v>
      </c>
      <c r="B15236" s="2" t="s">
        <v>1686</v>
      </c>
      <c r="C15236" s="2">
        <v>697.81920000000002</v>
      </c>
      <c r="D15236" s="2">
        <f>HYPERLINK("http://mcb-m6.bioreg.kyushu-u.ac.jp/M3/20110411/F50896/3036/1", 35.18)</f>
        <v>35.18</v>
      </c>
      <c r="E15236" s="2">
        <v>19.57</v>
      </c>
      <c r="F15236" s="2">
        <v>3</v>
      </c>
      <c r="G15236" s="2" t="s">
        <v>10</v>
      </c>
      <c r="I15236" s="2" t="s">
        <v>4945</v>
      </c>
    </row>
    <row r="15237" spans="1:9" x14ac:dyDescent="0.2">
      <c r="A15237" s="2" t="s">
        <v>4875</v>
      </c>
      <c r="B15237" s="2" t="s">
        <v>3188</v>
      </c>
      <c r="C15237" s="2">
        <v>798.20370000000003</v>
      </c>
      <c r="D15237" s="2">
        <f>HYPERLINK("http://mcb-m6.bioreg.kyushu-u.ac.jp/M3/20110502/F51184/2204/1", 65.41)</f>
        <v>65.41</v>
      </c>
      <c r="E15237" s="2">
        <v>45.55</v>
      </c>
      <c r="F15237" s="2">
        <v>2</v>
      </c>
      <c r="G15237" s="2" t="s">
        <v>14</v>
      </c>
    </row>
    <row r="15238" spans="1:9" x14ac:dyDescent="0.2">
      <c r="A15238" s="2" t="s">
        <v>3696</v>
      </c>
      <c r="B15238" s="2" t="s">
        <v>669</v>
      </c>
      <c r="C15238" s="2">
        <v>510.48610000000002</v>
      </c>
      <c r="D15238" s="2">
        <f>HYPERLINK("http://mcb-m6.bioreg.kyushu-u.ac.jp/M3/20110411/F50905/994/1", 47.8)</f>
        <v>47.8</v>
      </c>
      <c r="E15238" s="2">
        <v>9.5299999999999994</v>
      </c>
      <c r="F15238" s="2">
        <v>2</v>
      </c>
      <c r="G15238" s="2" t="s">
        <v>9</v>
      </c>
    </row>
    <row r="15239" spans="1:9" x14ac:dyDescent="0.2">
      <c r="A15239" s="2" t="s">
        <v>4360</v>
      </c>
      <c r="B15239" s="2" t="s">
        <v>2179</v>
      </c>
      <c r="C15239" s="2">
        <v>527.97469999999998</v>
      </c>
      <c r="D15239" s="2">
        <f>HYPERLINK("http://mcb-m6.bioreg.kyushu-u.ac.jp/M3/20110414/F50924/1183/1", 36.1)</f>
        <v>36.1</v>
      </c>
      <c r="E15239" s="2">
        <v>20.29</v>
      </c>
      <c r="F15239" s="2">
        <v>2</v>
      </c>
      <c r="G15239" s="2" t="s">
        <v>11</v>
      </c>
    </row>
    <row r="15240" spans="1:9" x14ac:dyDescent="0.2">
      <c r="A15240" s="2" t="s">
        <v>4554</v>
      </c>
      <c r="B15240" s="2" t="s">
        <v>2585</v>
      </c>
      <c r="C15240" s="2">
        <v>810.11109999999996</v>
      </c>
      <c r="D15240" s="2">
        <f>HYPERLINK("http://mcb-m6.bioreg.kyushu-u.ac.jp/M3/20110414/F50966/2175/1", 39.67)</f>
        <v>39.67</v>
      </c>
      <c r="E15240" s="2">
        <v>8.2899999999999991</v>
      </c>
      <c r="F15240" s="2">
        <v>2</v>
      </c>
      <c r="G15240" s="2" t="s">
        <v>12</v>
      </c>
      <c r="H15240" s="2" t="s">
        <v>4904</v>
      </c>
    </row>
    <row r="15241" spans="1:9" x14ac:dyDescent="0.2">
      <c r="A15241" s="2" t="s">
        <v>3372</v>
      </c>
      <c r="B15241" s="2" t="s">
        <v>164</v>
      </c>
      <c r="C15241" s="2">
        <v>555.99220000000003</v>
      </c>
      <c r="D15241" s="2">
        <f>HYPERLINK("http://mcb-m6.bioreg.kyushu-u.ac.jp/M3/20110411/F50905/1178/1", 37.09)</f>
        <v>37.090000000000003</v>
      </c>
      <c r="E15241" s="2">
        <v>11.43</v>
      </c>
      <c r="F15241" s="2">
        <v>2</v>
      </c>
      <c r="G15241" s="2" t="s">
        <v>9</v>
      </c>
      <c r="I15241" s="2" t="s">
        <v>4899</v>
      </c>
    </row>
    <row r="15242" spans="1:9" x14ac:dyDescent="0.2">
      <c r="A15242" s="2" t="s">
        <v>3372</v>
      </c>
      <c r="B15242" s="2" t="s">
        <v>164</v>
      </c>
      <c r="C15242" s="2">
        <v>555.48109999999997</v>
      </c>
      <c r="D15242" s="2">
        <f>HYPERLINK("http://mcb-m6.bioreg.kyushu-u.ac.jp/M3/20110411/F50893/1489/1", 46.53)</f>
        <v>46.53</v>
      </c>
      <c r="E15242" s="2">
        <v>12.74</v>
      </c>
      <c r="F15242" s="2">
        <v>2</v>
      </c>
      <c r="G15242" s="2" t="s">
        <v>9</v>
      </c>
      <c r="I15242" s="2" t="s">
        <v>4899</v>
      </c>
    </row>
    <row r="15243" spans="1:9" x14ac:dyDescent="0.2">
      <c r="A15243" s="2" t="s">
        <v>3372</v>
      </c>
      <c r="B15243" s="2" t="s">
        <v>164</v>
      </c>
      <c r="C15243" s="2">
        <v>555.4991</v>
      </c>
      <c r="D15243" s="2">
        <f>HYPERLINK("http://mcb-m6.bioreg.kyushu-u.ac.jp/M3/20110502/F51177/894/1", 36.54)</f>
        <v>36.54</v>
      </c>
      <c r="E15243" s="2">
        <v>14.72</v>
      </c>
      <c r="F15243" s="2">
        <v>2</v>
      </c>
      <c r="G15243" s="2" t="s">
        <v>14</v>
      </c>
      <c r="I15243" s="2" t="s">
        <v>4899</v>
      </c>
    </row>
    <row r="15244" spans="1:9" x14ac:dyDescent="0.2">
      <c r="A15244" s="2" t="s">
        <v>3372</v>
      </c>
      <c r="B15244" s="2" t="s">
        <v>164</v>
      </c>
      <c r="C15244" s="2">
        <v>555.85670000000005</v>
      </c>
      <c r="D15244" s="2">
        <f>HYPERLINK("http://mcb-m6.bioreg.kyushu-u.ac.jp/M3/20110502/F51177/898/1", 40.3)</f>
        <v>40.299999999999997</v>
      </c>
      <c r="E15244" s="2">
        <v>11.86</v>
      </c>
      <c r="F15244" s="2">
        <v>2</v>
      </c>
      <c r="G15244" s="2" t="s">
        <v>14</v>
      </c>
      <c r="I15244" s="2" t="s">
        <v>4899</v>
      </c>
    </row>
    <row r="15245" spans="1:9" x14ac:dyDescent="0.2">
      <c r="A15245" s="2" t="s">
        <v>3372</v>
      </c>
      <c r="B15245" s="2" t="s">
        <v>164</v>
      </c>
      <c r="C15245" s="2">
        <v>555.42909999999995</v>
      </c>
      <c r="D15245" s="2">
        <f>HYPERLINK("http://mcb-m6.bioreg.kyushu-u.ac.jp/M3/20110502/F51178/1339/1", 46.55)</f>
        <v>46.55</v>
      </c>
      <c r="E15245" s="2">
        <v>3.71</v>
      </c>
      <c r="F15245" s="2">
        <v>2</v>
      </c>
      <c r="G15245" s="2" t="s">
        <v>14</v>
      </c>
      <c r="I15245" s="2" t="s">
        <v>4899</v>
      </c>
    </row>
    <row r="15246" spans="1:9" x14ac:dyDescent="0.2">
      <c r="A15246" s="2" t="s">
        <v>3364</v>
      </c>
      <c r="B15246" s="2" t="s">
        <v>156</v>
      </c>
      <c r="C15246" s="2">
        <v>785.95719999999994</v>
      </c>
      <c r="D15246" s="2">
        <f>HYPERLINK("http://mcb-m6.bioreg.kyushu-u.ac.jp/M3/20110411/F50892/2428/1", 36.89)</f>
        <v>36.89</v>
      </c>
      <c r="E15246" s="2">
        <v>20.85</v>
      </c>
      <c r="F15246" s="2">
        <v>2</v>
      </c>
      <c r="G15246" s="2" t="s">
        <v>9</v>
      </c>
      <c r="I15246" s="2" t="s">
        <v>4906</v>
      </c>
    </row>
    <row r="15247" spans="1:9" x14ac:dyDescent="0.2">
      <c r="A15247" s="2" t="s">
        <v>3364</v>
      </c>
      <c r="B15247" s="2" t="s">
        <v>156</v>
      </c>
      <c r="C15247" s="2">
        <v>786.19119999999998</v>
      </c>
      <c r="D15247" s="2">
        <f>HYPERLINK("http://mcb-m6.bioreg.kyushu-u.ac.jp/M3/20110502/F51182/2232/1", 58.43)</f>
        <v>58.43</v>
      </c>
      <c r="E15247" s="2">
        <v>31.9</v>
      </c>
      <c r="F15247" s="2">
        <v>2</v>
      </c>
      <c r="G15247" s="2" t="s">
        <v>14</v>
      </c>
      <c r="I15247" s="2" t="s">
        <v>4906</v>
      </c>
    </row>
    <row r="15248" spans="1:9" x14ac:dyDescent="0.2">
      <c r="A15248" s="2" t="s">
        <v>4313</v>
      </c>
      <c r="B15248" s="2" t="s">
        <v>2076</v>
      </c>
      <c r="C15248" s="2">
        <v>1024.5219999999999</v>
      </c>
      <c r="D15248" s="2">
        <f>HYPERLINK("http://mcb-m6.bioreg.kyushu-u.ac.jp/M3/20110411/F50920/2792/1", 74.46)</f>
        <v>74.459999999999994</v>
      </c>
      <c r="E15248" s="2">
        <v>61.66</v>
      </c>
      <c r="F15248" s="2">
        <v>2</v>
      </c>
      <c r="G15248" s="2" t="s">
        <v>10</v>
      </c>
    </row>
    <row r="15249" spans="1:9" x14ac:dyDescent="0.2">
      <c r="A15249" s="2" t="s">
        <v>4760</v>
      </c>
      <c r="B15249" s="2" t="s">
        <v>2988</v>
      </c>
      <c r="C15249" s="2">
        <v>578.99109999999996</v>
      </c>
      <c r="D15249" s="2">
        <f>HYPERLINK("http://mcb-m6.bioreg.kyushu-u.ac.jp/M3/20110502/F51176/1641/1", 36.47)</f>
        <v>36.47</v>
      </c>
      <c r="E15249" s="2">
        <v>9.4600000000000009</v>
      </c>
      <c r="F15249" s="2">
        <v>2</v>
      </c>
      <c r="G15249" s="2" t="s">
        <v>14</v>
      </c>
      <c r="H15249" s="2" t="s">
        <v>4904</v>
      </c>
    </row>
    <row r="15250" spans="1:9" x14ac:dyDescent="0.2">
      <c r="A15250" s="2" t="s">
        <v>4089</v>
      </c>
      <c r="B15250" s="2" t="s">
        <v>1532</v>
      </c>
      <c r="C15250" s="2">
        <v>838.75419999999997</v>
      </c>
      <c r="D15250" s="2">
        <f>HYPERLINK("http://mcb-m6.bioreg.kyushu-u.ac.jp/M3/20110411/F50903/2501/1", 89.12)</f>
        <v>89.12</v>
      </c>
      <c r="E15250" s="2">
        <v>77.099999999999994</v>
      </c>
      <c r="F15250" s="2">
        <v>2</v>
      </c>
      <c r="G15250" s="2" t="s">
        <v>9</v>
      </c>
      <c r="I15250" s="2" t="s">
        <v>4914</v>
      </c>
    </row>
    <row r="15251" spans="1:9" x14ac:dyDescent="0.2">
      <c r="A15251" s="2" t="s">
        <v>4089</v>
      </c>
      <c r="B15251" s="2" t="s">
        <v>1602</v>
      </c>
      <c r="C15251" s="2">
        <v>1024.0419999999999</v>
      </c>
      <c r="D15251" s="2">
        <f>HYPERLINK("http://mcb-m6.bioreg.kyushu-u.ac.jp/M3/20110411/F50903/3250/1", 97.8)</f>
        <v>97.8</v>
      </c>
      <c r="E15251" s="2">
        <v>82.64</v>
      </c>
      <c r="F15251" s="2">
        <v>2</v>
      </c>
      <c r="G15251" s="2" t="s">
        <v>9</v>
      </c>
      <c r="I15251" s="2" t="s">
        <v>4941</v>
      </c>
    </row>
    <row r="15252" spans="1:9" x14ac:dyDescent="0.2">
      <c r="A15252" s="2" t="s">
        <v>4089</v>
      </c>
      <c r="B15252" s="2" t="s">
        <v>1602</v>
      </c>
      <c r="C15252" s="2">
        <v>1024.3979999999999</v>
      </c>
      <c r="D15252" s="2">
        <f>HYPERLINK("http://mcb-m6.bioreg.kyushu-u.ac.jp/M3/20110411/F50920/2791/1", 100.59)</f>
        <v>100.59</v>
      </c>
      <c r="E15252" s="2">
        <v>88.33</v>
      </c>
      <c r="F15252" s="2">
        <v>2</v>
      </c>
      <c r="G15252" s="2" t="s">
        <v>10</v>
      </c>
      <c r="I15252" s="2" t="s">
        <v>4941</v>
      </c>
    </row>
    <row r="15253" spans="1:9" x14ac:dyDescent="0.2">
      <c r="A15253" s="2" t="s">
        <v>4089</v>
      </c>
      <c r="B15253" s="2" t="s">
        <v>1532</v>
      </c>
      <c r="C15253" s="2">
        <v>838.2527</v>
      </c>
      <c r="D15253" s="2">
        <f>HYPERLINK("http://mcb-m6.bioreg.kyushu-u.ac.jp/M3/20110414/F50925/2533/1", 115.54)</f>
        <v>115.54</v>
      </c>
      <c r="E15253" s="2">
        <v>102</v>
      </c>
      <c r="F15253" s="2">
        <v>2</v>
      </c>
      <c r="G15253" s="2" t="s">
        <v>11</v>
      </c>
      <c r="I15253" s="2" t="s">
        <v>4914</v>
      </c>
    </row>
    <row r="15254" spans="1:9" x14ac:dyDescent="0.2">
      <c r="A15254" s="2" t="s">
        <v>4089</v>
      </c>
      <c r="B15254" s="2" t="s">
        <v>1532</v>
      </c>
      <c r="C15254" s="2">
        <v>838.61360000000002</v>
      </c>
      <c r="D15254" s="2">
        <f>HYPERLINK("http://mcb-m6.bioreg.kyushu-u.ac.jp/M3/20110502/F51190/2183/1", 84.55)</f>
        <v>84.55</v>
      </c>
      <c r="E15254" s="2">
        <v>71.63</v>
      </c>
      <c r="F15254" s="2">
        <v>2</v>
      </c>
      <c r="G15254" s="2" t="s">
        <v>14</v>
      </c>
      <c r="I15254" s="2" t="s">
        <v>4914</v>
      </c>
    </row>
    <row r="15255" spans="1:9" x14ac:dyDescent="0.2">
      <c r="A15255" s="2" t="s">
        <v>4515</v>
      </c>
      <c r="B15255" s="2" t="s">
        <v>2525</v>
      </c>
      <c r="C15255" s="2">
        <v>599.77509999999995</v>
      </c>
      <c r="D15255" s="2">
        <f>HYPERLINK("http://mcb-m6.bioreg.kyushu-u.ac.jp/M3/20110414/F50949/1856/1", 35.56)</f>
        <v>35.56</v>
      </c>
      <c r="E15255" s="2">
        <v>11.74</v>
      </c>
      <c r="F15255" s="2">
        <v>2</v>
      </c>
      <c r="G15255" s="2" t="s">
        <v>12</v>
      </c>
    </row>
    <row r="15256" spans="1:9" x14ac:dyDescent="0.2">
      <c r="A15256" s="2" t="s">
        <v>4631</v>
      </c>
      <c r="B15256" s="2" t="s">
        <v>2783</v>
      </c>
      <c r="C15256" s="2">
        <v>987.42970000000003</v>
      </c>
      <c r="D15256" s="2">
        <f>HYPERLINK("http://mcb-m6.bioreg.kyushu-u.ac.jp/M3/20110414/F50947/3382/1", 93.66)</f>
        <v>93.66</v>
      </c>
      <c r="E15256" s="2">
        <v>77.069999999999993</v>
      </c>
      <c r="F15256" s="2">
        <v>2</v>
      </c>
      <c r="G15256" s="2" t="s">
        <v>12</v>
      </c>
    </row>
    <row r="15257" spans="1:9" x14ac:dyDescent="0.2">
      <c r="A15257" s="2" t="s">
        <v>3417</v>
      </c>
      <c r="B15257" s="2" t="s">
        <v>216</v>
      </c>
      <c r="C15257" s="2">
        <v>474.95310000000001</v>
      </c>
      <c r="D15257" s="2">
        <f>HYPERLINK("http://mcb-m6.bioreg.kyushu-u.ac.jp/M3/20110411/F50904/1058/1", 37.91)</f>
        <v>37.909999999999997</v>
      </c>
      <c r="E15257" s="2">
        <v>13.05</v>
      </c>
      <c r="F15257" s="2">
        <v>2</v>
      </c>
      <c r="G15257" s="2" t="s">
        <v>9</v>
      </c>
    </row>
    <row r="15258" spans="1:9" x14ac:dyDescent="0.2">
      <c r="A15258" s="2" t="s">
        <v>4749</v>
      </c>
      <c r="B15258" s="2" t="s">
        <v>2974</v>
      </c>
      <c r="C15258" s="2">
        <v>535.38509999999997</v>
      </c>
      <c r="D15258" s="2">
        <f>HYPERLINK("http://mcb-m6.bioreg.kyushu-u.ac.jp/M3/20110502/F51182/859/1", 35.75)</f>
        <v>35.75</v>
      </c>
      <c r="E15258" s="2">
        <v>9.66</v>
      </c>
      <c r="F15258" s="2">
        <v>2</v>
      </c>
      <c r="G15258" s="2" t="s">
        <v>14</v>
      </c>
    </row>
    <row r="15259" spans="1:9" x14ac:dyDescent="0.2">
      <c r="A15259" s="2" t="s">
        <v>4749</v>
      </c>
      <c r="B15259" s="2" t="s">
        <v>2975</v>
      </c>
      <c r="C15259" s="2">
        <v>535.38509999999997</v>
      </c>
      <c r="D15259" s="2">
        <f>HYPERLINK("http://mcb-m6.bioreg.kyushu-u.ac.jp/M3/20110502/F51182/859/2", 35.75)</f>
        <v>35.75</v>
      </c>
      <c r="E15259" s="2">
        <v>9.66</v>
      </c>
      <c r="F15259" s="2">
        <v>2</v>
      </c>
      <c r="G15259" s="2" t="s">
        <v>14</v>
      </c>
    </row>
    <row r="15260" spans="1:9" x14ac:dyDescent="0.2">
      <c r="A15260" s="2" t="s">
        <v>3914</v>
      </c>
      <c r="B15260" s="2" t="s">
        <v>1088</v>
      </c>
      <c r="C15260" s="2">
        <v>816.55470000000003</v>
      </c>
      <c r="D15260" s="2">
        <f>HYPERLINK("http://mcb-m6.bioreg.kyushu-u.ac.jp/M3/20110411/F50903/2395/1", 62.32)</f>
        <v>62.32</v>
      </c>
      <c r="E15260" s="2">
        <v>40.92</v>
      </c>
      <c r="F15260" s="2">
        <v>2</v>
      </c>
      <c r="G15260" s="2" t="s">
        <v>9</v>
      </c>
      <c r="I15260" s="2" t="s">
        <v>4905</v>
      </c>
    </row>
    <row r="15261" spans="1:9" x14ac:dyDescent="0.2">
      <c r="A15261" s="2" t="s">
        <v>3914</v>
      </c>
      <c r="B15261" s="2" t="s">
        <v>1088</v>
      </c>
      <c r="C15261" s="2">
        <v>816.48609999999996</v>
      </c>
      <c r="D15261" s="2">
        <f>HYPERLINK("http://mcb-m6.bioreg.kyushu-u.ac.jp/M3/20110411/F50889/2467/1", 112.21)</f>
        <v>112.21</v>
      </c>
      <c r="E15261" s="2">
        <v>90.22</v>
      </c>
      <c r="F15261" s="2">
        <v>2</v>
      </c>
      <c r="G15261" s="2" t="s">
        <v>9</v>
      </c>
      <c r="I15261" s="2" t="s">
        <v>4905</v>
      </c>
    </row>
    <row r="15262" spans="1:9" x14ac:dyDescent="0.2">
      <c r="A15262" s="2" t="s">
        <v>3914</v>
      </c>
      <c r="B15262" s="2" t="s">
        <v>1088</v>
      </c>
      <c r="C15262" s="2">
        <v>816.66309999999999</v>
      </c>
      <c r="D15262" s="2">
        <f>HYPERLINK("http://mcb-m6.bioreg.kyushu-u.ac.jp/M3/20110411/F50896/2452/1", 112.33)</f>
        <v>112.33</v>
      </c>
      <c r="E15262" s="2">
        <v>92.3</v>
      </c>
      <c r="F15262" s="2">
        <v>2</v>
      </c>
      <c r="G15262" s="2" t="s">
        <v>10</v>
      </c>
      <c r="I15262" s="2" t="s">
        <v>4905</v>
      </c>
    </row>
    <row r="15263" spans="1:9" x14ac:dyDescent="0.2">
      <c r="A15263" s="2" t="s">
        <v>3914</v>
      </c>
      <c r="B15263" s="2" t="s">
        <v>1088</v>
      </c>
      <c r="C15263" s="2">
        <v>816.06920000000002</v>
      </c>
      <c r="D15263" s="2">
        <f>HYPERLINK("http://mcb-m6.bioreg.kyushu-u.ac.jp/M3/20110414/F50926/2454/1", 78.72)</f>
        <v>78.72</v>
      </c>
      <c r="E15263" s="2">
        <v>58.53</v>
      </c>
      <c r="F15263" s="2">
        <v>2</v>
      </c>
      <c r="G15263" s="2" t="s">
        <v>11</v>
      </c>
      <c r="I15263" s="2" t="s">
        <v>4905</v>
      </c>
    </row>
    <row r="15264" spans="1:9" x14ac:dyDescent="0.2">
      <c r="A15264" s="2" t="s">
        <v>3914</v>
      </c>
      <c r="B15264" s="2" t="s">
        <v>1088</v>
      </c>
      <c r="C15264" s="2">
        <v>816.82709999999997</v>
      </c>
      <c r="D15264" s="2">
        <f>HYPERLINK("http://mcb-m6.bioreg.kyushu-u.ac.jp/M3/20110414/F50931/2320/1", 95.83)</f>
        <v>95.83</v>
      </c>
      <c r="E15264" s="2">
        <v>81.11</v>
      </c>
      <c r="F15264" s="2">
        <v>2</v>
      </c>
      <c r="G15264" s="2" t="s">
        <v>12</v>
      </c>
      <c r="I15264" s="2" t="s">
        <v>4905</v>
      </c>
    </row>
    <row r="15265" spans="1:9" x14ac:dyDescent="0.2">
      <c r="A15265" s="2" t="s">
        <v>3914</v>
      </c>
      <c r="B15265" s="2" t="s">
        <v>1088</v>
      </c>
      <c r="C15265" s="2">
        <v>816.42660000000001</v>
      </c>
      <c r="D15265" s="2">
        <f>HYPERLINK("http://mcb-m6.bioreg.kyushu-u.ac.jp/M3/20110502/F51167/2149/1", 103.1)</f>
        <v>103.1</v>
      </c>
      <c r="E15265" s="2">
        <v>83.31</v>
      </c>
      <c r="F15265" s="2">
        <v>2</v>
      </c>
      <c r="G15265" s="2" t="s">
        <v>13</v>
      </c>
      <c r="I15265" s="2" t="s">
        <v>4905</v>
      </c>
    </row>
    <row r="15266" spans="1:9" x14ac:dyDescent="0.2">
      <c r="A15266" s="2" t="s">
        <v>3914</v>
      </c>
      <c r="B15266" s="2" t="s">
        <v>1088</v>
      </c>
      <c r="C15266" s="2">
        <v>816.50710000000004</v>
      </c>
      <c r="D15266" s="2">
        <f>HYPERLINK("http://mcb-m6.bioreg.kyushu-u.ac.jp/M3/20110502/F51176/2204/1", 47.02)</f>
        <v>47.02</v>
      </c>
      <c r="E15266" s="2">
        <v>29.36</v>
      </c>
      <c r="F15266" s="2">
        <v>2</v>
      </c>
      <c r="G15266" s="2" t="s">
        <v>14</v>
      </c>
      <c r="I15266" s="2" t="s">
        <v>4905</v>
      </c>
    </row>
    <row r="15267" spans="1:9" x14ac:dyDescent="0.2">
      <c r="A15267" s="2" t="s">
        <v>4686</v>
      </c>
      <c r="B15267" s="2" t="s">
        <v>2858</v>
      </c>
      <c r="C15267" s="2">
        <v>460.84010000000001</v>
      </c>
      <c r="D15267" s="2">
        <f>HYPERLINK("http://mcb-m6.bioreg.kyushu-u.ac.jp/M3/20110502/F51187/580/1", 39.67)</f>
        <v>39.67</v>
      </c>
      <c r="E15267" s="2">
        <v>9.7200000000000006</v>
      </c>
      <c r="F15267" s="2">
        <v>2</v>
      </c>
      <c r="G15267" s="2" t="s">
        <v>13</v>
      </c>
    </row>
    <row r="15268" spans="1:9" x14ac:dyDescent="0.2">
      <c r="A15268" s="2" t="s">
        <v>4535</v>
      </c>
      <c r="B15268" s="2" t="s">
        <v>2561</v>
      </c>
      <c r="C15268" s="2">
        <v>739.58759999999995</v>
      </c>
      <c r="D15268" s="2">
        <f>HYPERLINK("http://mcb-m6.bioreg.kyushu-u.ac.jp/M3/20110414/F50949/2151/1", 37.94)</f>
        <v>37.94</v>
      </c>
      <c r="E15268" s="2">
        <v>13.11</v>
      </c>
      <c r="F15268" s="2">
        <v>2</v>
      </c>
      <c r="G15268" s="2" t="s">
        <v>12</v>
      </c>
      <c r="H15268" s="2" t="s">
        <v>4908</v>
      </c>
    </row>
    <row r="15269" spans="1:9" x14ac:dyDescent="0.2">
      <c r="A15269" s="2" t="s">
        <v>3592</v>
      </c>
      <c r="B15269" s="2" t="s">
        <v>482</v>
      </c>
      <c r="C15269" s="2">
        <v>825.88869999999997</v>
      </c>
      <c r="D15269" s="2">
        <f>HYPERLINK("http://mcb-m6.bioreg.kyushu-u.ac.jp/M3/20110411/F50915/2415/1", 42.79)</f>
        <v>42.79</v>
      </c>
      <c r="E15269" s="2">
        <v>23.88</v>
      </c>
      <c r="F15269" s="2">
        <v>2</v>
      </c>
      <c r="G15269" s="2" t="s">
        <v>9</v>
      </c>
    </row>
    <row r="15270" spans="1:9" x14ac:dyDescent="0.2">
      <c r="A15270" s="2" t="s">
        <v>3592</v>
      </c>
      <c r="B15270" s="2" t="s">
        <v>482</v>
      </c>
      <c r="C15270" s="2">
        <v>825.92359999999996</v>
      </c>
      <c r="D15270" s="2">
        <f>HYPERLINK("http://mcb-m6.bioreg.kyushu-u.ac.jp/M3/20110411/F50895/2499/1", 49.97)</f>
        <v>49.97</v>
      </c>
      <c r="E15270" s="2">
        <v>35.94</v>
      </c>
      <c r="F15270" s="2">
        <v>2</v>
      </c>
      <c r="G15270" s="2" t="s">
        <v>9</v>
      </c>
    </row>
    <row r="15271" spans="1:9" x14ac:dyDescent="0.2">
      <c r="A15271" s="2" t="s">
        <v>3592</v>
      </c>
      <c r="B15271" s="2" t="s">
        <v>951</v>
      </c>
      <c r="C15271" s="2">
        <v>808.18709999999999</v>
      </c>
      <c r="D15271" s="2">
        <f>HYPERLINK("http://mcb-m6.bioreg.kyushu-u.ac.jp/M3/20110411/F50895/2426/1", 56.48)</f>
        <v>56.48</v>
      </c>
      <c r="E15271" s="2">
        <v>34.06</v>
      </c>
      <c r="F15271" s="2">
        <v>2</v>
      </c>
      <c r="G15271" s="2" t="s">
        <v>9</v>
      </c>
    </row>
    <row r="15272" spans="1:9" x14ac:dyDescent="0.2">
      <c r="A15272" s="2" t="s">
        <v>3592</v>
      </c>
      <c r="B15272" s="2" t="s">
        <v>482</v>
      </c>
      <c r="C15272" s="2">
        <v>825.93769999999995</v>
      </c>
      <c r="D15272" s="2">
        <f>HYPERLINK("http://mcb-m6.bioreg.kyushu-u.ac.jp/M3/20110411/F50916/2347/1", 65.61)</f>
        <v>65.61</v>
      </c>
      <c r="E15272" s="2">
        <v>52.47</v>
      </c>
      <c r="F15272" s="2">
        <v>2</v>
      </c>
      <c r="G15272" s="2" t="s">
        <v>9</v>
      </c>
    </row>
    <row r="15273" spans="1:9" x14ac:dyDescent="0.2">
      <c r="A15273" s="2" t="s">
        <v>3592</v>
      </c>
      <c r="B15273" s="2" t="s">
        <v>951</v>
      </c>
      <c r="C15273" s="2">
        <v>808.54020000000003</v>
      </c>
      <c r="D15273" s="2">
        <f>HYPERLINK("http://mcb-m6.bioreg.kyushu-u.ac.jp/M3/20110411/F50915/2314/1", 68.55)</f>
        <v>68.55</v>
      </c>
      <c r="E15273" s="2">
        <v>55.83</v>
      </c>
      <c r="F15273" s="2">
        <v>2</v>
      </c>
      <c r="G15273" s="2" t="s">
        <v>9</v>
      </c>
    </row>
    <row r="15274" spans="1:9" x14ac:dyDescent="0.2">
      <c r="A15274" s="2" t="s">
        <v>3592</v>
      </c>
      <c r="B15274" s="2" t="s">
        <v>951</v>
      </c>
      <c r="C15274" s="2">
        <v>808.21469999999999</v>
      </c>
      <c r="D15274" s="2">
        <f>HYPERLINK("http://mcb-m6.bioreg.kyushu-u.ac.jp/M3/20110411/F50913/2359/1", 37.39)</f>
        <v>37.39</v>
      </c>
      <c r="E15274" s="2">
        <v>22.7</v>
      </c>
      <c r="F15274" s="2">
        <v>2</v>
      </c>
      <c r="G15274" s="2" t="s">
        <v>10</v>
      </c>
    </row>
    <row r="15275" spans="1:9" x14ac:dyDescent="0.2">
      <c r="A15275" s="2" t="s">
        <v>3592</v>
      </c>
      <c r="B15275" s="2" t="s">
        <v>482</v>
      </c>
      <c r="C15275" s="2">
        <v>826.19759999999997</v>
      </c>
      <c r="D15275" s="2">
        <f>HYPERLINK("http://mcb-m6.bioreg.kyushu-u.ac.jp/M3/20110411/F50913/2422/1", 39.01)</f>
        <v>39.01</v>
      </c>
      <c r="E15275" s="2">
        <v>23.56</v>
      </c>
      <c r="F15275" s="2">
        <v>2</v>
      </c>
      <c r="G15275" s="2" t="s">
        <v>10</v>
      </c>
    </row>
    <row r="15276" spans="1:9" x14ac:dyDescent="0.2">
      <c r="A15276" s="2" t="s">
        <v>3592</v>
      </c>
      <c r="B15276" s="2" t="s">
        <v>482</v>
      </c>
      <c r="C15276" s="2">
        <v>825.97059999999999</v>
      </c>
      <c r="D15276" s="2">
        <f>HYPERLINK("http://mcb-m6.bioreg.kyushu-u.ac.jp/M3/20110411/F50914/2483/1", 43.36)</f>
        <v>43.36</v>
      </c>
      <c r="E15276" s="2">
        <v>28.09</v>
      </c>
      <c r="F15276" s="2">
        <v>2</v>
      </c>
      <c r="G15276" s="2" t="s">
        <v>10</v>
      </c>
    </row>
    <row r="15277" spans="1:9" x14ac:dyDescent="0.2">
      <c r="A15277" s="2" t="s">
        <v>3592</v>
      </c>
      <c r="B15277" s="2" t="s">
        <v>951</v>
      </c>
      <c r="C15277" s="2">
        <v>808.35820000000001</v>
      </c>
      <c r="D15277" s="2">
        <f>HYPERLINK("http://mcb-m6.bioreg.kyushu-u.ac.jp/M3/20110411/F50918/2206/1", 44.07)</f>
        <v>44.07</v>
      </c>
      <c r="E15277" s="2">
        <v>32.299999999999997</v>
      </c>
      <c r="F15277" s="2">
        <v>2</v>
      </c>
      <c r="G15277" s="2" t="s">
        <v>10</v>
      </c>
    </row>
    <row r="15278" spans="1:9" x14ac:dyDescent="0.2">
      <c r="A15278" s="2" t="s">
        <v>3592</v>
      </c>
      <c r="B15278" s="2" t="s">
        <v>482</v>
      </c>
      <c r="C15278" s="2">
        <v>825.91669999999999</v>
      </c>
      <c r="D15278" s="2">
        <f>HYPERLINK("http://mcb-m6.bioreg.kyushu-u.ac.jp/M3/20110411/F50900/2462/1", 44.99)</f>
        <v>44.99</v>
      </c>
      <c r="E15278" s="2">
        <v>30.17</v>
      </c>
      <c r="F15278" s="2">
        <v>2</v>
      </c>
      <c r="G15278" s="2" t="s">
        <v>10</v>
      </c>
    </row>
    <row r="15279" spans="1:9" x14ac:dyDescent="0.2">
      <c r="A15279" s="2" t="s">
        <v>3592</v>
      </c>
      <c r="B15279" s="2" t="s">
        <v>951</v>
      </c>
      <c r="C15279" s="2">
        <v>808.02509999999995</v>
      </c>
      <c r="D15279" s="2">
        <f>HYPERLINK("http://mcb-m6.bioreg.kyushu-u.ac.jp/M3/20110411/F50917/2364/1", 48)</f>
        <v>48</v>
      </c>
      <c r="E15279" s="2">
        <v>38.380000000000003</v>
      </c>
      <c r="F15279" s="2">
        <v>2</v>
      </c>
      <c r="G15279" s="2" t="s">
        <v>10</v>
      </c>
    </row>
    <row r="15280" spans="1:9" x14ac:dyDescent="0.2">
      <c r="A15280" s="2" t="s">
        <v>3592</v>
      </c>
      <c r="B15280" s="2" t="s">
        <v>482</v>
      </c>
      <c r="C15280" s="2">
        <v>825.9982</v>
      </c>
      <c r="D15280" s="2">
        <f>HYPERLINK("http://mcb-m6.bioreg.kyushu-u.ac.jp/M3/20110411/F50917/2463/1", 50.88)</f>
        <v>50.88</v>
      </c>
      <c r="E15280" s="2">
        <v>35.53</v>
      </c>
      <c r="F15280" s="2">
        <v>2</v>
      </c>
      <c r="G15280" s="2" t="s">
        <v>10</v>
      </c>
    </row>
    <row r="15281" spans="1:7" x14ac:dyDescent="0.2">
      <c r="A15281" s="2" t="s">
        <v>3592</v>
      </c>
      <c r="B15281" s="2" t="s">
        <v>482</v>
      </c>
      <c r="C15281" s="2">
        <v>826.03120000000001</v>
      </c>
      <c r="D15281" s="2">
        <f>HYPERLINK("http://mcb-m6.bioreg.kyushu-u.ac.jp/M3/20110411/F50901/2398/1", 60.93)</f>
        <v>60.93</v>
      </c>
      <c r="E15281" s="2">
        <v>45.34</v>
      </c>
      <c r="F15281" s="2">
        <v>2</v>
      </c>
      <c r="G15281" s="2" t="s">
        <v>10</v>
      </c>
    </row>
    <row r="15282" spans="1:7" x14ac:dyDescent="0.2">
      <c r="A15282" s="2" t="s">
        <v>3592</v>
      </c>
      <c r="B15282" s="2" t="s">
        <v>482</v>
      </c>
      <c r="C15282" s="2">
        <v>826.48220000000003</v>
      </c>
      <c r="D15282" s="2">
        <f>HYPERLINK("http://mcb-m6.bioreg.kyushu-u.ac.jp/M3/20110414/F50943/2371/1", 41.3)</f>
        <v>41.3</v>
      </c>
      <c r="E15282" s="2">
        <v>27.47</v>
      </c>
      <c r="F15282" s="2">
        <v>2</v>
      </c>
      <c r="G15282" s="2" t="s">
        <v>11</v>
      </c>
    </row>
    <row r="15283" spans="1:7" x14ac:dyDescent="0.2">
      <c r="A15283" s="2" t="s">
        <v>3592</v>
      </c>
      <c r="B15283" s="2" t="s">
        <v>482</v>
      </c>
      <c r="C15283" s="2">
        <v>826.30409999999995</v>
      </c>
      <c r="D15283" s="2">
        <f>HYPERLINK("http://mcb-m6.bioreg.kyushu-u.ac.jp/M3/20110414/F50957/2442/1", 42.23)</f>
        <v>42.23</v>
      </c>
      <c r="E15283" s="2">
        <v>32.9</v>
      </c>
      <c r="F15283" s="2">
        <v>2</v>
      </c>
      <c r="G15283" s="2" t="s">
        <v>11</v>
      </c>
    </row>
    <row r="15284" spans="1:7" x14ac:dyDescent="0.2">
      <c r="A15284" s="2" t="s">
        <v>3592</v>
      </c>
      <c r="B15284" s="2" t="s">
        <v>482</v>
      </c>
      <c r="C15284" s="2">
        <v>825.87660000000005</v>
      </c>
      <c r="D15284" s="2">
        <f>HYPERLINK("http://mcb-m6.bioreg.kyushu-u.ac.jp/M3/20110414/F50942/2405/1", 44.83)</f>
        <v>44.83</v>
      </c>
      <c r="E15284" s="2">
        <v>32.049999999999997</v>
      </c>
      <c r="F15284" s="2">
        <v>2</v>
      </c>
      <c r="G15284" s="2" t="s">
        <v>11</v>
      </c>
    </row>
    <row r="15285" spans="1:7" x14ac:dyDescent="0.2">
      <c r="A15285" s="2" t="s">
        <v>3592</v>
      </c>
      <c r="B15285" s="2" t="s">
        <v>482</v>
      </c>
      <c r="C15285" s="2">
        <v>825.67570000000001</v>
      </c>
      <c r="D15285" s="2">
        <f>HYPERLINK("http://mcb-m6.bioreg.kyushu-u.ac.jp/M3/20110414/F50956/2532/1", 48.24)</f>
        <v>48.24</v>
      </c>
      <c r="E15285" s="2">
        <v>33.340000000000003</v>
      </c>
      <c r="F15285" s="2">
        <v>2</v>
      </c>
      <c r="G15285" s="2" t="s">
        <v>11</v>
      </c>
    </row>
    <row r="15286" spans="1:7" x14ac:dyDescent="0.2">
      <c r="A15286" s="2" t="s">
        <v>3592</v>
      </c>
      <c r="B15286" s="2" t="s">
        <v>482</v>
      </c>
      <c r="C15286" s="2">
        <v>825.65560000000005</v>
      </c>
      <c r="D15286" s="2">
        <f>HYPERLINK("http://mcb-m6.bioreg.kyushu-u.ac.jp/M3/20110414/F50957/2438/1", 49.2)</f>
        <v>49.2</v>
      </c>
      <c r="E15286" s="2">
        <v>35.54</v>
      </c>
      <c r="F15286" s="2">
        <v>2</v>
      </c>
      <c r="G15286" s="2" t="s">
        <v>11</v>
      </c>
    </row>
    <row r="15287" spans="1:7" x14ac:dyDescent="0.2">
      <c r="A15287" s="2" t="s">
        <v>3592</v>
      </c>
      <c r="B15287" s="2" t="s">
        <v>482</v>
      </c>
      <c r="C15287" s="2">
        <v>825.77809999999999</v>
      </c>
      <c r="D15287" s="2">
        <f>HYPERLINK("http://mcb-m6.bioreg.kyushu-u.ac.jp/M3/20110414/F50943/2368/1", 50.78)</f>
        <v>50.78</v>
      </c>
      <c r="E15287" s="2">
        <v>41.29</v>
      </c>
      <c r="F15287" s="2">
        <v>2</v>
      </c>
      <c r="G15287" s="2" t="s">
        <v>11</v>
      </c>
    </row>
    <row r="15288" spans="1:7" x14ac:dyDescent="0.2">
      <c r="A15288" s="2" t="s">
        <v>3592</v>
      </c>
      <c r="B15288" s="2" t="s">
        <v>951</v>
      </c>
      <c r="C15288" s="2">
        <v>808.35919999999999</v>
      </c>
      <c r="D15288" s="2">
        <f>HYPERLINK("http://mcb-m6.bioreg.kyushu-u.ac.jp/M3/20110414/F50943/2294/1", 82.68)</f>
        <v>82.68</v>
      </c>
      <c r="E15288" s="2">
        <v>61.47</v>
      </c>
      <c r="F15288" s="2">
        <v>2</v>
      </c>
      <c r="G15288" s="2" t="s">
        <v>11</v>
      </c>
    </row>
    <row r="15289" spans="1:7" x14ac:dyDescent="0.2">
      <c r="A15289" s="2" t="s">
        <v>3592</v>
      </c>
      <c r="B15289" s="2" t="s">
        <v>951</v>
      </c>
      <c r="C15289" s="2">
        <v>807.99869999999999</v>
      </c>
      <c r="D15289" s="2">
        <f>HYPERLINK("http://mcb-m6.bioreg.kyushu-u.ac.jp/M3/20110414/F50957/2323/1", 82.79)</f>
        <v>82.79</v>
      </c>
      <c r="E15289" s="2">
        <v>58.79</v>
      </c>
      <c r="F15289" s="2">
        <v>2</v>
      </c>
      <c r="G15289" s="2" t="s">
        <v>11</v>
      </c>
    </row>
    <row r="15290" spans="1:7" x14ac:dyDescent="0.2">
      <c r="A15290" s="2" t="s">
        <v>3592</v>
      </c>
      <c r="B15290" s="2" t="s">
        <v>951</v>
      </c>
      <c r="C15290" s="2">
        <v>808.35019999999997</v>
      </c>
      <c r="D15290" s="2">
        <f>HYPERLINK("http://mcb-m6.bioreg.kyushu-u.ac.jp/M3/20110414/F50942/2306/1", 84.04)</f>
        <v>84.04</v>
      </c>
      <c r="E15290" s="2">
        <v>68.59</v>
      </c>
      <c r="F15290" s="2">
        <v>2</v>
      </c>
      <c r="G15290" s="2" t="s">
        <v>11</v>
      </c>
    </row>
    <row r="15291" spans="1:7" x14ac:dyDescent="0.2">
      <c r="A15291" s="2" t="s">
        <v>3592</v>
      </c>
      <c r="B15291" s="2" t="s">
        <v>951</v>
      </c>
      <c r="C15291" s="2">
        <v>807.72969999999998</v>
      </c>
      <c r="D15291" s="2">
        <f>HYPERLINK("http://mcb-m6.bioreg.kyushu-u.ac.jp/M3/20110414/F50956/2396/1", 91.04)</f>
        <v>91.04</v>
      </c>
      <c r="E15291" s="2">
        <v>63.96</v>
      </c>
      <c r="F15291" s="2">
        <v>2</v>
      </c>
      <c r="G15291" s="2" t="s">
        <v>11</v>
      </c>
    </row>
    <row r="15292" spans="1:7" x14ac:dyDescent="0.2">
      <c r="A15292" s="2" t="s">
        <v>3592</v>
      </c>
      <c r="B15292" s="2" t="s">
        <v>482</v>
      </c>
      <c r="C15292" s="2">
        <v>825.56020000000001</v>
      </c>
      <c r="D15292" s="2">
        <f>HYPERLINK("http://mcb-m6.bioreg.kyushu-u.ac.jp/M3/20110414/F50948/2598/1", 40.56)</f>
        <v>40.56</v>
      </c>
      <c r="E15292" s="2">
        <v>28.42</v>
      </c>
      <c r="F15292" s="2">
        <v>2</v>
      </c>
      <c r="G15292" s="2" t="s">
        <v>12</v>
      </c>
    </row>
    <row r="15293" spans="1:7" x14ac:dyDescent="0.2">
      <c r="A15293" s="2" t="s">
        <v>3592</v>
      </c>
      <c r="B15293" s="2" t="s">
        <v>482</v>
      </c>
      <c r="C15293" s="2">
        <v>826.18709999999999</v>
      </c>
      <c r="D15293" s="2">
        <f>HYPERLINK("http://mcb-m6.bioreg.kyushu-u.ac.jp/M3/20110414/F50958/2612/1", 42.73)</f>
        <v>42.73</v>
      </c>
      <c r="E15293" s="2">
        <v>28.95</v>
      </c>
      <c r="F15293" s="2">
        <v>2</v>
      </c>
      <c r="G15293" s="2" t="s">
        <v>12</v>
      </c>
    </row>
    <row r="15294" spans="1:7" x14ac:dyDescent="0.2">
      <c r="A15294" s="2" t="s">
        <v>3592</v>
      </c>
      <c r="B15294" s="2" t="s">
        <v>482</v>
      </c>
      <c r="C15294" s="2">
        <v>825.80870000000004</v>
      </c>
      <c r="D15294" s="2">
        <f>HYPERLINK("http://mcb-m6.bioreg.kyushu-u.ac.jp/M3/20110414/F50959/2496/1", 54.63)</f>
        <v>54.63</v>
      </c>
      <c r="E15294" s="2">
        <v>38.26</v>
      </c>
      <c r="F15294" s="2">
        <v>2</v>
      </c>
      <c r="G15294" s="2" t="s">
        <v>12</v>
      </c>
    </row>
    <row r="15295" spans="1:7" x14ac:dyDescent="0.2">
      <c r="A15295" s="2" t="s">
        <v>3592</v>
      </c>
      <c r="B15295" s="2" t="s">
        <v>482</v>
      </c>
      <c r="C15295" s="2">
        <v>825.76869999999997</v>
      </c>
      <c r="D15295" s="2">
        <f>HYPERLINK("http://mcb-m6.bioreg.kyushu-u.ac.jp/M3/20110414/F50950/2653/1", 58.73)</f>
        <v>58.73</v>
      </c>
      <c r="E15295" s="2">
        <v>23.36</v>
      </c>
      <c r="F15295" s="2">
        <v>2</v>
      </c>
      <c r="G15295" s="2" t="s">
        <v>12</v>
      </c>
    </row>
    <row r="15296" spans="1:7" x14ac:dyDescent="0.2">
      <c r="A15296" s="2" t="s">
        <v>3592</v>
      </c>
      <c r="B15296" s="2" t="s">
        <v>951</v>
      </c>
      <c r="C15296" s="2">
        <v>807.97519999999997</v>
      </c>
      <c r="D15296" s="2">
        <f>HYPERLINK("http://mcb-m6.bioreg.kyushu-u.ac.jp/M3/20110414/F50950/2563/1", 89.66)</f>
        <v>89.66</v>
      </c>
      <c r="E15296" s="2">
        <v>58.75</v>
      </c>
      <c r="F15296" s="2">
        <v>2</v>
      </c>
      <c r="G15296" s="2" t="s">
        <v>12</v>
      </c>
    </row>
    <row r="15297" spans="1:7" x14ac:dyDescent="0.2">
      <c r="A15297" s="2" t="s">
        <v>3592</v>
      </c>
      <c r="B15297" s="2" t="s">
        <v>951</v>
      </c>
      <c r="C15297" s="2">
        <v>808.18619999999999</v>
      </c>
      <c r="D15297" s="2">
        <f>HYPERLINK("http://mcb-m6.bioreg.kyushu-u.ac.jp/M3/20110414/F50958/2465/1", 92.35)</f>
        <v>92.35</v>
      </c>
      <c r="E15297" s="2">
        <v>64.67</v>
      </c>
      <c r="F15297" s="2">
        <v>2</v>
      </c>
      <c r="G15297" s="2" t="s">
        <v>12</v>
      </c>
    </row>
    <row r="15298" spans="1:7" x14ac:dyDescent="0.2">
      <c r="A15298" s="2" t="s">
        <v>3592</v>
      </c>
      <c r="B15298" s="2" t="s">
        <v>951</v>
      </c>
      <c r="C15298" s="2">
        <v>807.76570000000004</v>
      </c>
      <c r="D15298" s="2">
        <f>HYPERLINK("http://mcb-m6.bioreg.kyushu-u.ac.jp/M3/20110414/F50959/2338/1", 98.76)</f>
        <v>98.76</v>
      </c>
      <c r="E15298" s="2">
        <v>70.489999999999995</v>
      </c>
      <c r="F15298" s="2">
        <v>2</v>
      </c>
      <c r="G15298" s="2" t="s">
        <v>12</v>
      </c>
    </row>
    <row r="15299" spans="1:7" x14ac:dyDescent="0.2">
      <c r="A15299" s="2" t="s">
        <v>3592</v>
      </c>
      <c r="B15299" s="2" t="s">
        <v>951</v>
      </c>
      <c r="C15299" s="2">
        <v>808.52919999999995</v>
      </c>
      <c r="D15299" s="2">
        <f>HYPERLINK("http://mcb-m6.bioreg.kyushu-u.ac.jp/M3/20110502/F51173/2225/1", 36.8)</f>
        <v>36.799999999999997</v>
      </c>
      <c r="E15299" s="2">
        <v>25.49</v>
      </c>
      <c r="F15299" s="2">
        <v>2</v>
      </c>
      <c r="G15299" s="2" t="s">
        <v>13</v>
      </c>
    </row>
    <row r="15300" spans="1:7" x14ac:dyDescent="0.2">
      <c r="A15300" s="2" t="s">
        <v>3592</v>
      </c>
      <c r="B15300" s="2" t="s">
        <v>951</v>
      </c>
      <c r="C15300" s="2">
        <v>808.13670000000002</v>
      </c>
      <c r="D15300" s="2">
        <f>HYPERLINK("http://mcb-m6.bioreg.kyushu-u.ac.jp/M3/20110502/F51172/2574/1", 37.22)</f>
        <v>37.22</v>
      </c>
      <c r="E15300" s="2">
        <v>12.32</v>
      </c>
      <c r="F15300" s="2">
        <v>2</v>
      </c>
      <c r="G15300" s="2" t="s">
        <v>13</v>
      </c>
    </row>
    <row r="15301" spans="1:7" x14ac:dyDescent="0.2">
      <c r="A15301" s="2" t="s">
        <v>3592</v>
      </c>
      <c r="B15301" s="2" t="s">
        <v>482</v>
      </c>
      <c r="C15301" s="2">
        <v>826.11969999999997</v>
      </c>
      <c r="D15301" s="2">
        <f>HYPERLINK("http://mcb-m6.bioreg.kyushu-u.ac.jp/M3/20110502/F51174/2276/1", 61.26)</f>
        <v>61.26</v>
      </c>
      <c r="E15301" s="2">
        <v>46.67</v>
      </c>
      <c r="F15301" s="2">
        <v>2</v>
      </c>
      <c r="G15301" s="2" t="s">
        <v>13</v>
      </c>
    </row>
    <row r="15302" spans="1:7" x14ac:dyDescent="0.2">
      <c r="A15302" s="2" t="s">
        <v>3592</v>
      </c>
      <c r="B15302" s="2" t="s">
        <v>482</v>
      </c>
      <c r="C15302" s="2">
        <v>826.10670000000005</v>
      </c>
      <c r="D15302" s="2">
        <f>HYPERLINK("http://mcb-m6.bioreg.kyushu-u.ac.jp/M3/20110502/F51172/2715/1", 65.06)</f>
        <v>65.06</v>
      </c>
      <c r="E15302" s="2">
        <v>50.97</v>
      </c>
      <c r="F15302" s="2">
        <v>2</v>
      </c>
      <c r="G15302" s="2" t="s">
        <v>13</v>
      </c>
    </row>
    <row r="15303" spans="1:7" x14ac:dyDescent="0.2">
      <c r="A15303" s="2" t="s">
        <v>3592</v>
      </c>
      <c r="B15303" s="2" t="s">
        <v>482</v>
      </c>
      <c r="C15303" s="2">
        <v>826.54420000000005</v>
      </c>
      <c r="D15303" s="2">
        <f>HYPERLINK("http://mcb-m6.bioreg.kyushu-u.ac.jp/M3/20110502/F51189/2200/1", 66.41)</f>
        <v>66.41</v>
      </c>
      <c r="E15303" s="2">
        <v>49.7</v>
      </c>
      <c r="F15303" s="2">
        <v>2</v>
      </c>
      <c r="G15303" s="2" t="s">
        <v>13</v>
      </c>
    </row>
    <row r="15304" spans="1:7" x14ac:dyDescent="0.2">
      <c r="A15304" s="2" t="s">
        <v>3592</v>
      </c>
      <c r="B15304" s="2" t="s">
        <v>482</v>
      </c>
      <c r="C15304" s="2">
        <v>826.10059999999999</v>
      </c>
      <c r="D15304" s="2">
        <f>HYPERLINK("http://mcb-m6.bioreg.kyushu-u.ac.jp/M3/20110502/F51175/2266/1", 66.58)</f>
        <v>66.58</v>
      </c>
      <c r="E15304" s="2">
        <v>51.75</v>
      </c>
      <c r="F15304" s="2">
        <v>2</v>
      </c>
      <c r="G15304" s="2" t="s">
        <v>13</v>
      </c>
    </row>
    <row r="15305" spans="1:7" x14ac:dyDescent="0.2">
      <c r="A15305" s="2" t="s">
        <v>3592</v>
      </c>
      <c r="B15305" s="2" t="s">
        <v>482</v>
      </c>
      <c r="C15305" s="2">
        <v>826.09770000000003</v>
      </c>
      <c r="D15305" s="2">
        <f>HYPERLINK("http://mcb-m6.bioreg.kyushu-u.ac.jp/M3/20110502/F51173/2347/1", 68.92)</f>
        <v>68.92</v>
      </c>
      <c r="E15305" s="2">
        <v>48.43</v>
      </c>
      <c r="F15305" s="2">
        <v>2</v>
      </c>
      <c r="G15305" s="2" t="s">
        <v>13</v>
      </c>
    </row>
    <row r="15306" spans="1:7" x14ac:dyDescent="0.2">
      <c r="A15306" s="2" t="s">
        <v>3592</v>
      </c>
      <c r="B15306" s="2" t="s">
        <v>951</v>
      </c>
      <c r="C15306" s="2">
        <v>808.15060000000005</v>
      </c>
      <c r="D15306" s="2">
        <f>HYPERLINK("http://mcb-m6.bioreg.kyushu-u.ac.jp/M3/20110502/F51174/2223/1", 98.46)</f>
        <v>98.46</v>
      </c>
      <c r="E15306" s="2">
        <v>74.78</v>
      </c>
      <c r="F15306" s="2">
        <v>2</v>
      </c>
      <c r="G15306" s="2" t="s">
        <v>13</v>
      </c>
    </row>
    <row r="15307" spans="1:7" x14ac:dyDescent="0.2">
      <c r="A15307" s="2" t="s">
        <v>3592</v>
      </c>
      <c r="B15307" s="2" t="s">
        <v>482</v>
      </c>
      <c r="C15307" s="2">
        <v>826.05769999999995</v>
      </c>
      <c r="D15307" s="2">
        <f>HYPERLINK("http://mcb-m6.bioreg.kyushu-u.ac.jp/M3/20110502/F51184/2371/1", 38.63)</f>
        <v>38.630000000000003</v>
      </c>
      <c r="E15307" s="2">
        <v>27.9</v>
      </c>
      <c r="F15307" s="2">
        <v>2</v>
      </c>
      <c r="G15307" s="2" t="s">
        <v>14</v>
      </c>
    </row>
    <row r="15308" spans="1:7" x14ac:dyDescent="0.2">
      <c r="A15308" s="2" t="s">
        <v>3592</v>
      </c>
      <c r="B15308" s="2" t="s">
        <v>951</v>
      </c>
      <c r="C15308" s="2">
        <v>807.79520000000002</v>
      </c>
      <c r="D15308" s="2">
        <f>HYPERLINK("http://mcb-m6.bioreg.kyushu-u.ac.jp/M3/20110502/F51194/2187/1", 49.58)</f>
        <v>49.58</v>
      </c>
      <c r="E15308" s="2">
        <v>32.14</v>
      </c>
      <c r="F15308" s="2">
        <v>2</v>
      </c>
      <c r="G15308" s="2" t="s">
        <v>14</v>
      </c>
    </row>
    <row r="15309" spans="1:7" x14ac:dyDescent="0.2">
      <c r="A15309" s="2" t="s">
        <v>3592</v>
      </c>
      <c r="B15309" s="2" t="s">
        <v>482</v>
      </c>
      <c r="C15309" s="2">
        <v>826.55319999999995</v>
      </c>
      <c r="D15309" s="2">
        <f>HYPERLINK("http://mcb-m6.bioreg.kyushu-u.ac.jp/M3/20110502/F51186/2241/1", 55.15)</f>
        <v>55.15</v>
      </c>
      <c r="E15309" s="2">
        <v>39.82</v>
      </c>
      <c r="F15309" s="2">
        <v>2</v>
      </c>
      <c r="G15309" s="2" t="s">
        <v>14</v>
      </c>
    </row>
    <row r="15310" spans="1:7" x14ac:dyDescent="0.2">
      <c r="A15310" s="2" t="s">
        <v>3592</v>
      </c>
      <c r="B15310" s="2" t="s">
        <v>482</v>
      </c>
      <c r="C15310" s="2">
        <v>826.41020000000003</v>
      </c>
      <c r="D15310" s="2">
        <f>HYPERLINK("http://mcb-m6.bioreg.kyushu-u.ac.jp/M3/20110502/F51185/2313/1", 57.83)</f>
        <v>57.83</v>
      </c>
      <c r="E15310" s="2">
        <v>40.64</v>
      </c>
      <c r="F15310" s="2">
        <v>2</v>
      </c>
      <c r="G15310" s="2" t="s">
        <v>14</v>
      </c>
    </row>
    <row r="15311" spans="1:7" x14ac:dyDescent="0.2">
      <c r="A15311" s="2" t="s">
        <v>3592</v>
      </c>
      <c r="B15311" s="2" t="s">
        <v>951</v>
      </c>
      <c r="C15311" s="2">
        <v>808.46010000000001</v>
      </c>
      <c r="D15311" s="2">
        <f>HYPERLINK("http://mcb-m6.bioreg.kyushu-u.ac.jp/M3/20110502/F51194/2191/1", 74.83)</f>
        <v>74.83</v>
      </c>
      <c r="E15311" s="2">
        <v>48.46</v>
      </c>
      <c r="F15311" s="2">
        <v>2</v>
      </c>
      <c r="G15311" s="2" t="s">
        <v>14</v>
      </c>
    </row>
    <row r="15312" spans="1:7" x14ac:dyDescent="0.2">
      <c r="A15312" s="2" t="s">
        <v>3592</v>
      </c>
      <c r="B15312" s="2" t="s">
        <v>482</v>
      </c>
      <c r="C15312" s="2">
        <v>826.17610000000002</v>
      </c>
      <c r="D15312" s="2">
        <f>HYPERLINK("http://mcb-m6.bioreg.kyushu-u.ac.jp/M3/20110502/F51193/2350/1", 75.44)</f>
        <v>75.44</v>
      </c>
      <c r="E15312" s="2">
        <v>57.01</v>
      </c>
      <c r="F15312" s="2">
        <v>2</v>
      </c>
      <c r="G15312" s="2" t="s">
        <v>14</v>
      </c>
    </row>
    <row r="15313" spans="1:7" x14ac:dyDescent="0.2">
      <c r="A15313" s="2" t="s">
        <v>3592</v>
      </c>
      <c r="B15313" s="2" t="s">
        <v>951</v>
      </c>
      <c r="C15313" s="2">
        <v>808.08969999999999</v>
      </c>
      <c r="D15313" s="2">
        <f>HYPERLINK("http://mcb-m6.bioreg.kyushu-u.ac.jp/M3/20110502/F51184/2254/1", 103)</f>
        <v>103</v>
      </c>
      <c r="E15313" s="2">
        <v>63.23</v>
      </c>
      <c r="F15313" s="2">
        <v>2</v>
      </c>
      <c r="G15313" s="2" t="s">
        <v>14</v>
      </c>
    </row>
    <row r="15314" spans="1:7" x14ac:dyDescent="0.2">
      <c r="A15314" s="2" t="s">
        <v>3973</v>
      </c>
      <c r="B15314" s="2" t="s">
        <v>1217</v>
      </c>
      <c r="C15314" s="2">
        <v>1075.6659999999999</v>
      </c>
      <c r="D15314" s="2">
        <f>HYPERLINK("http://mcb-m6.bioreg.kyushu-u.ac.jp/M3/20110411/F50904/3360/1", 67.82)</f>
        <v>67.819999999999993</v>
      </c>
      <c r="E15314" s="2">
        <v>56.82</v>
      </c>
      <c r="F15314" s="2">
        <v>2</v>
      </c>
      <c r="G15314" s="2" t="s">
        <v>9</v>
      </c>
    </row>
    <row r="15315" spans="1:7" x14ac:dyDescent="0.2">
      <c r="A15315" s="2" t="s">
        <v>4805</v>
      </c>
      <c r="B15315" s="2" t="s">
        <v>3046</v>
      </c>
      <c r="C15315" s="2">
        <v>534.09670000000006</v>
      </c>
      <c r="D15315" s="2">
        <f>HYPERLINK("http://mcb-m6.bioreg.kyushu-u.ac.jp/M3/20110502/F51192/841/1", 39.96)</f>
        <v>39.96</v>
      </c>
      <c r="E15315" s="2">
        <v>16.190000000000001</v>
      </c>
      <c r="F15315" s="2">
        <v>2</v>
      </c>
      <c r="G15315" s="2" t="s">
        <v>14</v>
      </c>
    </row>
    <row r="15316" spans="1:7" x14ac:dyDescent="0.2">
      <c r="A15316" s="2" t="s">
        <v>4805</v>
      </c>
      <c r="B15316" s="2" t="s">
        <v>3046</v>
      </c>
      <c r="C15316" s="2">
        <v>533.90120000000002</v>
      </c>
      <c r="D15316" s="2">
        <f>HYPERLINK("http://mcb-m6.bioreg.kyushu-u.ac.jp/M3/20110502/F51193/897/1", 42.71)</f>
        <v>42.71</v>
      </c>
      <c r="E15316" s="2">
        <v>8.26</v>
      </c>
      <c r="F15316" s="2">
        <v>2</v>
      </c>
      <c r="G15316" s="2" t="s">
        <v>14</v>
      </c>
    </row>
    <row r="15317" spans="1:7" x14ac:dyDescent="0.2">
      <c r="A15317" s="2" t="s">
        <v>3309</v>
      </c>
      <c r="B15317" s="2" t="s">
        <v>92</v>
      </c>
      <c r="C15317" s="2">
        <v>970.53</v>
      </c>
      <c r="D15317" s="2">
        <f>HYPERLINK("http://mcb-m6.bioreg.kyushu-u.ac.jp/M3/20110411/F50890/1069/1", 35.93)</f>
        <v>35.93</v>
      </c>
      <c r="E15317" s="2">
        <v>18.100000000000001</v>
      </c>
      <c r="F15317" s="2">
        <v>1</v>
      </c>
      <c r="G15317" s="2" t="s">
        <v>9</v>
      </c>
    </row>
    <row r="15318" spans="1:7" x14ac:dyDescent="0.2">
      <c r="A15318" s="2" t="s">
        <v>3309</v>
      </c>
      <c r="B15318" s="2" t="s">
        <v>92</v>
      </c>
      <c r="C15318" s="2">
        <v>970.71699999999998</v>
      </c>
      <c r="D15318" s="2">
        <f>HYPERLINK("http://mcb-m6.bioreg.kyushu-u.ac.jp/M3/20110411/F50897/941/1", 35.85)</f>
        <v>35.85</v>
      </c>
      <c r="E15318" s="2">
        <v>20.010000000000002</v>
      </c>
      <c r="F15318" s="2">
        <v>1</v>
      </c>
      <c r="G15318" s="2" t="s">
        <v>10</v>
      </c>
    </row>
    <row r="15319" spans="1:7" x14ac:dyDescent="0.2">
      <c r="A15319" s="2" t="s">
        <v>3309</v>
      </c>
      <c r="B15319" s="2" t="s">
        <v>92</v>
      </c>
      <c r="C15319" s="2">
        <v>485.49360000000001</v>
      </c>
      <c r="D15319" s="2">
        <f>HYPERLINK("http://mcb-m6.bioreg.kyushu-u.ac.jp/M3/20110414/F50927/1275/1", 50.27)</f>
        <v>50.27</v>
      </c>
      <c r="E15319" s="2">
        <v>31.72</v>
      </c>
      <c r="F15319" s="2">
        <v>2</v>
      </c>
      <c r="G15319" s="2" t="s">
        <v>11</v>
      </c>
    </row>
    <row r="15320" spans="1:7" x14ac:dyDescent="0.2">
      <c r="A15320" s="2" t="s">
        <v>3309</v>
      </c>
      <c r="B15320" s="2" t="s">
        <v>92</v>
      </c>
      <c r="C15320" s="2">
        <v>485.86860000000001</v>
      </c>
      <c r="D15320" s="2">
        <f>HYPERLINK("http://mcb-m6.bioreg.kyushu-u.ac.jp/M3/20110502/F51168/1115/1", 72.96)</f>
        <v>72.959999999999994</v>
      </c>
      <c r="E15320" s="2">
        <v>58.85</v>
      </c>
      <c r="F15320" s="2">
        <v>2</v>
      </c>
      <c r="G15320" s="2" t="s">
        <v>13</v>
      </c>
    </row>
    <row r="15321" spans="1:7" x14ac:dyDescent="0.2">
      <c r="A15321" s="2" t="s">
        <v>4125</v>
      </c>
      <c r="B15321" s="2" t="s">
        <v>1644</v>
      </c>
      <c r="C15321" s="2">
        <v>822.34220000000005</v>
      </c>
      <c r="D15321" s="2">
        <f>HYPERLINK("http://mcb-m6.bioreg.kyushu-u.ac.jp/M3/20110411/F50891/2566/1", 107.39)</f>
        <v>107.39</v>
      </c>
      <c r="E15321" s="2">
        <v>3.85</v>
      </c>
      <c r="F15321" s="2">
        <v>2</v>
      </c>
      <c r="G15321" s="2" t="s">
        <v>9</v>
      </c>
    </row>
    <row r="15322" spans="1:7" x14ac:dyDescent="0.2">
      <c r="A15322" s="2" t="s">
        <v>4125</v>
      </c>
      <c r="B15322" s="2" t="s">
        <v>1644</v>
      </c>
      <c r="C15322" s="2">
        <v>821.9366</v>
      </c>
      <c r="D15322" s="2">
        <f>HYPERLINK("http://mcb-m6.bioreg.kyushu-u.ac.jp/M3/20110414/F50933/2746/1", 74.75)</f>
        <v>74.75</v>
      </c>
      <c r="E15322" s="2">
        <v>65.72</v>
      </c>
      <c r="F15322" s="2">
        <v>2</v>
      </c>
      <c r="G15322" s="2" t="s">
        <v>12</v>
      </c>
    </row>
    <row r="15324" spans="1:7" ht="15" customHeight="1" x14ac:dyDescent="0.2">
      <c r="A15324" s="5" t="s">
        <v>8155</v>
      </c>
      <c r="B15324" s="5"/>
    </row>
    <row r="15325" spans="1:7" ht="15" customHeight="1" x14ac:dyDescent="0.2">
      <c r="A15325" s="5" t="s">
        <v>8156</v>
      </c>
      <c r="B15325" s="5"/>
    </row>
    <row r="15326" spans="1:7" ht="15" customHeight="1" x14ac:dyDescent="0.2">
      <c r="A15326" s="5" t="s">
        <v>8163</v>
      </c>
      <c r="B15326" s="5"/>
    </row>
    <row r="15327" spans="1:7" ht="15" customHeight="1" x14ac:dyDescent="0.2">
      <c r="A15327" s="2" t="s">
        <v>8158</v>
      </c>
    </row>
    <row r="15328" spans="1:7" ht="15" customHeight="1" x14ac:dyDescent="0.2">
      <c r="A15328" s="2" t="s">
        <v>8159</v>
      </c>
    </row>
  </sheetData>
  <sortState ref="A2:I15323">
    <sortCondition ref="A2:A15323"/>
  </sortState>
  <mergeCells count="3">
    <mergeCell ref="A15324:B15324"/>
    <mergeCell ref="A15325:B15325"/>
    <mergeCell ref="A15326:B15326"/>
  </mergeCells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007"/>
  <sheetViews>
    <sheetView workbookViewId="0">
      <selection activeCell="A2" sqref="A1:XFD2"/>
    </sheetView>
  </sheetViews>
  <sheetFormatPr defaultColWidth="9" defaultRowHeight="13.2" x14ac:dyDescent="0.2"/>
  <cols>
    <col min="1" max="16384" width="9" style="2"/>
  </cols>
  <sheetData>
    <row r="1" spans="1:9" ht="15" customHeight="1" x14ac:dyDescent="0.2">
      <c r="A1" s="1" t="s">
        <v>8165</v>
      </c>
    </row>
    <row r="3" spans="1:9" ht="15" customHeight="1" x14ac:dyDescent="0.2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</row>
    <row r="4" spans="1:9" x14ac:dyDescent="0.2">
      <c r="A4" s="2" t="s">
        <v>4199</v>
      </c>
      <c r="B4" s="2" t="s">
        <v>1785</v>
      </c>
      <c r="C4" s="2">
        <v>467.33350000000002</v>
      </c>
      <c r="D4" s="2">
        <f>HYPERLINK("http://mcb-m6.bioreg.kyushu-u.ac.jp/M3/20110428/F51146/1908/1", 39.21)</f>
        <v>39.21</v>
      </c>
      <c r="E4" s="2">
        <v>19.329999999999998</v>
      </c>
      <c r="F4" s="2">
        <v>3</v>
      </c>
      <c r="G4" s="2" t="s">
        <v>13</v>
      </c>
    </row>
    <row r="5" spans="1:9" x14ac:dyDescent="0.2">
      <c r="A5" s="2" t="s">
        <v>5704</v>
      </c>
      <c r="B5" s="2" t="s">
        <v>5242</v>
      </c>
      <c r="C5" s="2">
        <v>499.30059999999997</v>
      </c>
      <c r="D5" s="2">
        <f>HYPERLINK("http://mcb-m6.bioreg.kyushu-u.ac.jp/M3/20110318/F50616/980/1", 39.72)</f>
        <v>39.72</v>
      </c>
      <c r="E5" s="2">
        <v>10.01</v>
      </c>
      <c r="F5" s="2">
        <v>2</v>
      </c>
      <c r="G5" s="2" t="s">
        <v>10</v>
      </c>
    </row>
    <row r="6" spans="1:9" x14ac:dyDescent="0.2">
      <c r="A6" s="2" t="s">
        <v>5623</v>
      </c>
      <c r="B6" s="2" t="s">
        <v>5032</v>
      </c>
      <c r="C6" s="2">
        <v>916.85680000000002</v>
      </c>
      <c r="D6" s="2">
        <f>HYPERLINK("http://mcb-m6.bioreg.kyushu-u.ac.jp/M3/20110318/F50620/3225/1", 40.71)</f>
        <v>40.71</v>
      </c>
      <c r="E6" s="2">
        <v>25.82</v>
      </c>
      <c r="F6" s="2">
        <v>3</v>
      </c>
      <c r="G6" s="2" t="s">
        <v>9</v>
      </c>
      <c r="H6" s="2" t="s">
        <v>5885</v>
      </c>
    </row>
    <row r="7" spans="1:9" x14ac:dyDescent="0.2">
      <c r="A7" s="2" t="s">
        <v>5695</v>
      </c>
      <c r="B7" s="2" t="s">
        <v>5228</v>
      </c>
      <c r="C7" s="2">
        <v>1178.5440000000001</v>
      </c>
      <c r="D7" s="2">
        <f>HYPERLINK("http://mcb-m6.bioreg.kyushu-u.ac.jp/M3/20110318/F50614/1150/1", 37.36)</f>
        <v>37.36</v>
      </c>
      <c r="E7" s="2">
        <v>13.76</v>
      </c>
      <c r="F7" s="2">
        <v>1</v>
      </c>
      <c r="G7" s="2" t="s">
        <v>10</v>
      </c>
    </row>
    <row r="8" spans="1:9" x14ac:dyDescent="0.2">
      <c r="A8" s="2" t="s">
        <v>5782</v>
      </c>
      <c r="B8" s="2" t="s">
        <v>5426</v>
      </c>
      <c r="C8" s="2">
        <v>460.71159999999998</v>
      </c>
      <c r="D8" s="2">
        <f>HYPERLINK("http://mcb-m6.bioreg.kyushu-u.ac.jp/M3/20110418/F50988/1313/1", 35.28)</f>
        <v>35.28</v>
      </c>
      <c r="E8" s="2">
        <v>9.23</v>
      </c>
      <c r="F8" s="2">
        <v>2</v>
      </c>
      <c r="G8" s="2" t="s">
        <v>12</v>
      </c>
    </row>
    <row r="9" spans="1:9" x14ac:dyDescent="0.2">
      <c r="A9" s="2" t="s">
        <v>5757</v>
      </c>
      <c r="B9" s="2" t="s">
        <v>5379</v>
      </c>
      <c r="C9" s="2">
        <v>639.93219999999997</v>
      </c>
      <c r="D9" s="2">
        <f>HYPERLINK("http://mcb-m6.bioreg.kyushu-u.ac.jp/M3/20110418/F50969/1806/1", 40.41)</f>
        <v>40.409999999999997</v>
      </c>
      <c r="E9" s="2">
        <v>19.47</v>
      </c>
      <c r="F9" s="2">
        <v>2</v>
      </c>
      <c r="G9" s="2" t="s">
        <v>11</v>
      </c>
    </row>
    <row r="10" spans="1:9" x14ac:dyDescent="0.2">
      <c r="A10" s="2" t="s">
        <v>5671</v>
      </c>
      <c r="B10" s="2" t="s">
        <v>5158</v>
      </c>
      <c r="C10" s="2">
        <v>453.20460000000003</v>
      </c>
      <c r="D10" s="2">
        <f>HYPERLINK("http://mcb-m6.bioreg.kyushu-u.ac.jp/M3/20110318/F50603/876/1", 71.57)</f>
        <v>71.569999999999993</v>
      </c>
      <c r="E10" s="2">
        <v>35.01</v>
      </c>
      <c r="F10" s="2">
        <v>2</v>
      </c>
      <c r="G10" s="2" t="s">
        <v>9</v>
      </c>
    </row>
    <row r="11" spans="1:9" x14ac:dyDescent="0.2">
      <c r="A11" s="2" t="s">
        <v>5784</v>
      </c>
      <c r="B11" s="2" t="s">
        <v>5428</v>
      </c>
      <c r="C11" s="2">
        <v>458.73419999999999</v>
      </c>
      <c r="D11" s="2">
        <f>HYPERLINK("http://mcb-m6.bioreg.kyushu-u.ac.jp/M3/20110418/F50986/1863/1", 36.11)</f>
        <v>36.11</v>
      </c>
      <c r="E11" s="2">
        <v>18.89</v>
      </c>
      <c r="F11" s="2">
        <v>3</v>
      </c>
      <c r="G11" s="2" t="s">
        <v>12</v>
      </c>
    </row>
    <row r="12" spans="1:9" x14ac:dyDescent="0.2">
      <c r="A12" s="2" t="s">
        <v>5864</v>
      </c>
      <c r="B12" s="2" t="s">
        <v>5563</v>
      </c>
      <c r="C12" s="2">
        <v>479.8596</v>
      </c>
      <c r="D12" s="2">
        <f>HYPERLINK("http://mcb-m6.bioreg.kyushu-u.ac.jp/M3/20110502/F51162/852/1", 35.37)</f>
        <v>35.369999999999997</v>
      </c>
      <c r="E12" s="2">
        <v>9.31</v>
      </c>
      <c r="F12" s="2">
        <v>2</v>
      </c>
      <c r="G12" s="2" t="s">
        <v>14</v>
      </c>
    </row>
    <row r="13" spans="1:9" x14ac:dyDescent="0.2">
      <c r="A13" s="2" t="s">
        <v>5613</v>
      </c>
      <c r="B13" s="2" t="s">
        <v>5012</v>
      </c>
      <c r="C13" s="2">
        <v>732.27369999999996</v>
      </c>
      <c r="D13" s="2">
        <f>HYPERLINK("http://mcb-m6.bioreg.kyushu-u.ac.jp/M3/20110318/F50618/1526/1", 38.46)</f>
        <v>38.46</v>
      </c>
      <c r="E13" s="2">
        <v>10.75</v>
      </c>
      <c r="F13" s="2">
        <v>2</v>
      </c>
      <c r="G13" s="2" t="s">
        <v>9</v>
      </c>
    </row>
    <row r="14" spans="1:9" x14ac:dyDescent="0.2">
      <c r="A14" s="2" t="s">
        <v>5720</v>
      </c>
      <c r="B14" s="2" t="s">
        <v>5283</v>
      </c>
      <c r="C14" s="2">
        <v>498.94810000000001</v>
      </c>
      <c r="D14" s="2">
        <f>HYPERLINK("http://mcb-m6.bioreg.kyushu-u.ac.jp/M3/20110318/F50614/941/1", 46.94)</f>
        <v>46.94</v>
      </c>
      <c r="E14" s="2">
        <v>4.3099999999999996</v>
      </c>
      <c r="F14" s="2">
        <v>2</v>
      </c>
      <c r="G14" s="2" t="s">
        <v>10</v>
      </c>
    </row>
    <row r="15" spans="1:9" x14ac:dyDescent="0.2">
      <c r="A15" s="2" t="s">
        <v>4710</v>
      </c>
      <c r="B15" s="2" t="s">
        <v>2898</v>
      </c>
      <c r="C15" s="2">
        <v>832.32</v>
      </c>
      <c r="D15" s="2">
        <f>HYPERLINK("http://mcb-m6.bioreg.kyushu-u.ac.jp/M3/20110318/F50618/597/1", 40.48)</f>
        <v>40.479999999999997</v>
      </c>
      <c r="E15" s="2">
        <v>10.210000000000001</v>
      </c>
      <c r="F15" s="2">
        <v>1</v>
      </c>
      <c r="G15" s="2" t="s">
        <v>9</v>
      </c>
    </row>
    <row r="16" spans="1:9" x14ac:dyDescent="0.2">
      <c r="A16" s="2" t="s">
        <v>4710</v>
      </c>
      <c r="B16" s="2" t="s">
        <v>2898</v>
      </c>
      <c r="C16" s="2">
        <v>832.28099999999995</v>
      </c>
      <c r="D16" s="2">
        <f>HYPERLINK("http://mcb-m6.bioreg.kyushu-u.ac.jp/M3/20110318/F50619/681/1", 51.61)</f>
        <v>51.61</v>
      </c>
      <c r="E16" s="2">
        <v>13.21</v>
      </c>
      <c r="F16" s="2">
        <v>1</v>
      </c>
      <c r="G16" s="2" t="s">
        <v>9</v>
      </c>
    </row>
    <row r="17" spans="1:9" x14ac:dyDescent="0.2">
      <c r="A17" s="2" t="s">
        <v>4710</v>
      </c>
      <c r="B17" s="2" t="s">
        <v>2898</v>
      </c>
      <c r="C17" s="2">
        <v>832.24</v>
      </c>
      <c r="D17" s="2">
        <f>HYPERLINK("http://mcb-m6.bioreg.kyushu-u.ac.jp/M3/20110418/F50985/1555/1", 40.67)</f>
        <v>40.67</v>
      </c>
      <c r="E17" s="2">
        <v>11.35</v>
      </c>
      <c r="F17" s="2">
        <v>1</v>
      </c>
      <c r="G17" s="2" t="s">
        <v>12</v>
      </c>
    </row>
    <row r="18" spans="1:9" x14ac:dyDescent="0.2">
      <c r="A18" s="2" t="s">
        <v>4710</v>
      </c>
      <c r="B18" s="2" t="s">
        <v>2898</v>
      </c>
      <c r="C18" s="2">
        <v>832.54700000000003</v>
      </c>
      <c r="D18" s="2">
        <f>HYPERLINK("http://mcb-m6.bioreg.kyushu-u.ac.jp/M3/20110502/F51158/524/1", 38.37)</f>
        <v>38.369999999999997</v>
      </c>
      <c r="E18" s="2">
        <v>8.91</v>
      </c>
      <c r="F18" s="2">
        <v>1</v>
      </c>
      <c r="G18" s="2" t="s">
        <v>13</v>
      </c>
    </row>
    <row r="19" spans="1:9" x14ac:dyDescent="0.2">
      <c r="A19" s="2" t="s">
        <v>4710</v>
      </c>
      <c r="B19" s="2" t="s">
        <v>2898</v>
      </c>
      <c r="C19" s="2">
        <v>832.52499999999998</v>
      </c>
      <c r="D19" s="2">
        <f>HYPERLINK("http://mcb-m6.bioreg.kyushu-u.ac.jp/M3/20110502/F51161/761/1", 37.83)</f>
        <v>37.83</v>
      </c>
      <c r="E19" s="2">
        <v>8.2899999999999991</v>
      </c>
      <c r="F19" s="2">
        <v>1</v>
      </c>
      <c r="G19" s="2" t="s">
        <v>14</v>
      </c>
    </row>
    <row r="20" spans="1:9" x14ac:dyDescent="0.2">
      <c r="A20" s="2" t="s">
        <v>5808</v>
      </c>
      <c r="B20" s="2" t="s">
        <v>5473</v>
      </c>
      <c r="C20" s="2">
        <v>510.67160000000001</v>
      </c>
      <c r="D20" s="2">
        <f>HYPERLINK("http://mcb-m6.bioreg.kyushu-u.ac.jp/M3/20110429/F51152/886/1", 37.26)</f>
        <v>37.26</v>
      </c>
      <c r="E20" s="2">
        <v>11.9</v>
      </c>
      <c r="F20" s="2">
        <v>2</v>
      </c>
      <c r="G20" s="2" t="s">
        <v>13</v>
      </c>
    </row>
    <row r="21" spans="1:9" x14ac:dyDescent="0.2">
      <c r="A21" s="2" t="s">
        <v>5795</v>
      </c>
      <c r="B21" s="2" t="s">
        <v>5450</v>
      </c>
      <c r="C21" s="2">
        <v>486.9631</v>
      </c>
      <c r="D21" s="2">
        <f>HYPERLINK("http://mcb-m6.bioreg.kyushu-u.ac.jp/M3/20110418/F50983/1635/1", 51.68)</f>
        <v>51.68</v>
      </c>
      <c r="E21" s="2">
        <v>9.39</v>
      </c>
      <c r="F21" s="2">
        <v>2</v>
      </c>
      <c r="G21" s="2" t="s">
        <v>12</v>
      </c>
    </row>
    <row r="22" spans="1:9" x14ac:dyDescent="0.2">
      <c r="A22" s="2" t="s">
        <v>3622</v>
      </c>
      <c r="B22" s="2" t="s">
        <v>532</v>
      </c>
      <c r="C22" s="2">
        <v>784.39260000000002</v>
      </c>
      <c r="D22" s="2">
        <f>HYPERLINK("http://mcb-m6.bioreg.kyushu-u.ac.jp/M3/20110428/F51144/2463/1", 35.63)</f>
        <v>35.630000000000003</v>
      </c>
      <c r="E22" s="2">
        <v>8.6999999999999993</v>
      </c>
      <c r="F22" s="2">
        <v>2</v>
      </c>
      <c r="G22" s="2" t="s">
        <v>14</v>
      </c>
      <c r="H22" s="2" t="s">
        <v>4908</v>
      </c>
    </row>
    <row r="23" spans="1:9" x14ac:dyDescent="0.2">
      <c r="A23" s="2" t="s">
        <v>5812</v>
      </c>
      <c r="B23" s="2" t="s">
        <v>5480</v>
      </c>
      <c r="C23" s="2">
        <v>622.79110000000003</v>
      </c>
      <c r="D23" s="2">
        <f>HYPERLINK("http://mcb-m6.bioreg.kyushu-u.ac.jp/M3/20110429/F51151/1678/1", 38)</f>
        <v>38</v>
      </c>
      <c r="E23" s="2">
        <v>18.559999999999999</v>
      </c>
      <c r="F23" s="2">
        <v>2</v>
      </c>
      <c r="G23" s="2" t="s">
        <v>13</v>
      </c>
      <c r="H23" s="2" t="s">
        <v>4927</v>
      </c>
    </row>
    <row r="24" spans="1:9" x14ac:dyDescent="0.2">
      <c r="A24" s="2" t="s">
        <v>5693</v>
      </c>
      <c r="B24" s="2" t="s">
        <v>5225</v>
      </c>
      <c r="C24" s="2">
        <v>930.25919999999996</v>
      </c>
      <c r="D24" s="2">
        <f>HYPERLINK("http://mcb-m6.bioreg.kyushu-u.ac.jp/M3/20110318/F50617/2149/1", 36.89)</f>
        <v>36.89</v>
      </c>
      <c r="E24" s="2">
        <v>11.57</v>
      </c>
      <c r="F24" s="2">
        <v>2</v>
      </c>
      <c r="G24" s="2" t="s">
        <v>10</v>
      </c>
      <c r="I24" s="2" t="s">
        <v>4895</v>
      </c>
    </row>
    <row r="25" spans="1:9" x14ac:dyDescent="0.2">
      <c r="A25" s="2" t="s">
        <v>5783</v>
      </c>
      <c r="B25" s="2" t="s">
        <v>5427</v>
      </c>
      <c r="C25" s="2">
        <v>583.35419999999999</v>
      </c>
      <c r="D25" s="2">
        <f>HYPERLINK("http://mcb-m6.bioreg.kyushu-u.ac.jp/M3/20110418/F50986/1624/1", 36.04)</f>
        <v>36.04</v>
      </c>
      <c r="E25" s="2">
        <v>17.420000000000002</v>
      </c>
      <c r="F25" s="2">
        <v>2</v>
      </c>
      <c r="G25" s="2" t="s">
        <v>12</v>
      </c>
    </row>
    <row r="26" spans="1:9" x14ac:dyDescent="0.2">
      <c r="A26" s="2" t="s">
        <v>4195</v>
      </c>
      <c r="B26" s="2" t="s">
        <v>1780</v>
      </c>
      <c r="C26" s="2">
        <v>769.59720000000004</v>
      </c>
      <c r="D26" s="2">
        <f>HYPERLINK("http://mcb-m6.bioreg.kyushu-u.ac.jp/M3/20110502/F51164/1867/1", 42.96)</f>
        <v>42.96</v>
      </c>
      <c r="E26" s="2">
        <v>18.350000000000001</v>
      </c>
      <c r="F26" s="2">
        <v>2</v>
      </c>
      <c r="G26" s="2" t="s">
        <v>13</v>
      </c>
      <c r="H26" s="2" t="s">
        <v>4949</v>
      </c>
    </row>
    <row r="27" spans="1:9" x14ac:dyDescent="0.2">
      <c r="A27" s="2" t="s">
        <v>5706</v>
      </c>
      <c r="B27" s="2" t="s">
        <v>5248</v>
      </c>
      <c r="C27" s="2">
        <v>525.21619999999996</v>
      </c>
      <c r="D27" s="2">
        <f>HYPERLINK("http://mcb-m6.bioreg.kyushu-u.ac.jp/M3/20110318/F50617/1100/1", 40.85)</f>
        <v>40.85</v>
      </c>
      <c r="E27" s="2">
        <v>23.54</v>
      </c>
      <c r="F27" s="2">
        <v>2</v>
      </c>
      <c r="G27" s="2" t="s">
        <v>10</v>
      </c>
    </row>
    <row r="28" spans="1:9" x14ac:dyDescent="0.2">
      <c r="A28" s="2" t="s">
        <v>4427</v>
      </c>
      <c r="B28" s="2" t="s">
        <v>2301</v>
      </c>
      <c r="C28" s="2">
        <v>603.67470000000003</v>
      </c>
      <c r="D28" s="2">
        <f>HYPERLINK("http://mcb-m6.bioreg.kyushu-u.ac.jp/M3/20110318/F50608/1169/1", 38.09)</f>
        <v>38.090000000000003</v>
      </c>
      <c r="E28" s="2">
        <v>18.32</v>
      </c>
      <c r="F28" s="2">
        <v>2</v>
      </c>
      <c r="G28" s="2" t="s">
        <v>9</v>
      </c>
    </row>
    <row r="29" spans="1:9" x14ac:dyDescent="0.2">
      <c r="A29" s="2" t="s">
        <v>4427</v>
      </c>
      <c r="B29" s="2" t="s">
        <v>2301</v>
      </c>
      <c r="C29" s="2">
        <v>603.43269999999995</v>
      </c>
      <c r="D29" s="2">
        <f>HYPERLINK("http://mcb-m6.bioreg.kyushu-u.ac.jp/M3/20110318/F50595/1451/1", 48.45)</f>
        <v>48.45</v>
      </c>
      <c r="E29" s="2">
        <v>21.77</v>
      </c>
      <c r="F29" s="2">
        <v>2</v>
      </c>
      <c r="G29" s="2" t="s">
        <v>10</v>
      </c>
    </row>
    <row r="30" spans="1:9" x14ac:dyDescent="0.2">
      <c r="A30" s="2" t="s">
        <v>4427</v>
      </c>
      <c r="B30" s="2" t="s">
        <v>2301</v>
      </c>
      <c r="C30" s="2">
        <v>603.80359999999996</v>
      </c>
      <c r="D30" s="2">
        <f>HYPERLINK("http://mcb-m6.bioreg.kyushu-u.ac.jp/M3/20110418/F50988/1686/1", 43.08)</f>
        <v>43.08</v>
      </c>
      <c r="E30" s="2">
        <v>20.83</v>
      </c>
      <c r="F30" s="2">
        <v>2</v>
      </c>
      <c r="G30" s="2" t="s">
        <v>12</v>
      </c>
    </row>
    <row r="31" spans="1:9" x14ac:dyDescent="0.2">
      <c r="A31" s="2" t="s">
        <v>4427</v>
      </c>
      <c r="B31" s="2" t="s">
        <v>2301</v>
      </c>
      <c r="C31" s="2">
        <v>603.29610000000002</v>
      </c>
      <c r="D31" s="2">
        <f>HYPERLINK("http://mcb-m6.bioreg.kyushu-u.ac.jp/M3/20110429/F51154/1248/1", 41.11)</f>
        <v>41.11</v>
      </c>
      <c r="E31" s="2">
        <v>17.350000000000001</v>
      </c>
      <c r="F31" s="2">
        <v>2</v>
      </c>
      <c r="G31" s="2" t="s">
        <v>13</v>
      </c>
    </row>
    <row r="32" spans="1:9" x14ac:dyDescent="0.2">
      <c r="A32" s="2" t="s">
        <v>4427</v>
      </c>
      <c r="B32" s="2" t="s">
        <v>2301</v>
      </c>
      <c r="C32" s="2">
        <v>603.20069999999998</v>
      </c>
      <c r="D32" s="2">
        <f>HYPERLINK("http://mcb-m6.bioreg.kyushu-u.ac.jp/M3/20110429/F51155/1683/1", 59.81)</f>
        <v>59.81</v>
      </c>
      <c r="E32" s="2">
        <v>37.58</v>
      </c>
      <c r="F32" s="2">
        <v>2</v>
      </c>
      <c r="G32" s="2" t="s">
        <v>13</v>
      </c>
    </row>
    <row r="33" spans="1:9" x14ac:dyDescent="0.2">
      <c r="A33" s="2" t="s">
        <v>4427</v>
      </c>
      <c r="B33" s="2" t="s">
        <v>2301</v>
      </c>
      <c r="C33" s="2">
        <v>603.31820000000005</v>
      </c>
      <c r="D33" s="2">
        <f>HYPERLINK("http://mcb-m6.bioreg.kyushu-u.ac.jp/M3/20110428/F51143/1468/1", 41.08)</f>
        <v>41.08</v>
      </c>
      <c r="E33" s="2">
        <v>20.57</v>
      </c>
      <c r="F33" s="2">
        <v>2</v>
      </c>
      <c r="G33" s="2" t="s">
        <v>14</v>
      </c>
    </row>
    <row r="34" spans="1:9" x14ac:dyDescent="0.2">
      <c r="A34" s="2" t="s">
        <v>4427</v>
      </c>
      <c r="B34" s="2" t="s">
        <v>2301</v>
      </c>
      <c r="C34" s="2">
        <v>603.46969999999999</v>
      </c>
      <c r="D34" s="2">
        <f>HYPERLINK("http://mcb-m6.bioreg.kyushu-u.ac.jp/M3/20110502/F51162/1335/1", 47.18)</f>
        <v>47.18</v>
      </c>
      <c r="E34" s="2">
        <v>19.149999999999999</v>
      </c>
      <c r="F34" s="2">
        <v>2</v>
      </c>
      <c r="G34" s="2" t="s">
        <v>14</v>
      </c>
    </row>
    <row r="35" spans="1:9" x14ac:dyDescent="0.2">
      <c r="A35" s="2" t="s">
        <v>4427</v>
      </c>
      <c r="B35" s="2" t="s">
        <v>2301</v>
      </c>
      <c r="C35" s="2">
        <v>603.19420000000002</v>
      </c>
      <c r="D35" s="2">
        <f>HYPERLINK("http://mcb-m6.bioreg.kyushu-u.ac.jp/M3/20110428/F51145/1587/1", 51.16)</f>
        <v>51.16</v>
      </c>
      <c r="E35" s="2">
        <v>19.309999999999999</v>
      </c>
      <c r="F35" s="2">
        <v>2</v>
      </c>
      <c r="G35" s="2" t="s">
        <v>14</v>
      </c>
    </row>
    <row r="36" spans="1:9" x14ac:dyDescent="0.2">
      <c r="A36" s="2" t="s">
        <v>5879</v>
      </c>
      <c r="B36" s="2" t="s">
        <v>5582</v>
      </c>
      <c r="C36" s="2">
        <v>804.08920000000001</v>
      </c>
      <c r="D36" s="2">
        <f>HYPERLINK("http://mcb-m6.bioreg.kyushu-u.ac.jp/M3/20110428/F51145/2295/1", 42.98)</f>
        <v>42.98</v>
      </c>
      <c r="E36" s="2">
        <v>21.82</v>
      </c>
      <c r="F36" s="2">
        <v>2</v>
      </c>
      <c r="G36" s="2" t="s">
        <v>14</v>
      </c>
    </row>
    <row r="37" spans="1:9" x14ac:dyDescent="0.2">
      <c r="A37" s="2" t="s">
        <v>5807</v>
      </c>
      <c r="B37" s="2" t="s">
        <v>5472</v>
      </c>
      <c r="C37" s="2">
        <v>716.51369999999997</v>
      </c>
      <c r="D37" s="2">
        <f>HYPERLINK("http://mcb-m6.bioreg.kyushu-u.ac.jp/M3/20110428/F51147/1921/1", 37.14)</f>
        <v>37.14</v>
      </c>
      <c r="E37" s="2">
        <v>9.6999999999999993</v>
      </c>
      <c r="F37" s="2">
        <v>2</v>
      </c>
      <c r="G37" s="2" t="s">
        <v>13</v>
      </c>
      <c r="I37" s="2" t="s">
        <v>4899</v>
      </c>
    </row>
    <row r="38" spans="1:9" x14ac:dyDescent="0.2">
      <c r="A38" s="2" t="s">
        <v>5607</v>
      </c>
      <c r="B38" s="2" t="s">
        <v>5001</v>
      </c>
      <c r="C38" s="2">
        <v>775.81870000000004</v>
      </c>
      <c r="D38" s="2">
        <f>HYPERLINK("http://mcb-m6.bioreg.kyushu-u.ac.jp/M3/20110318/F50620/1866/1", 36.53)</f>
        <v>36.53</v>
      </c>
      <c r="E38" s="2">
        <v>11.14</v>
      </c>
      <c r="F38" s="2">
        <v>2</v>
      </c>
      <c r="G38" s="2" t="s">
        <v>9</v>
      </c>
      <c r="I38" s="2" t="s">
        <v>4926</v>
      </c>
    </row>
    <row r="39" spans="1:9" x14ac:dyDescent="0.2">
      <c r="A39" s="2" t="s">
        <v>4827</v>
      </c>
      <c r="B39" s="2" t="s">
        <v>3086</v>
      </c>
      <c r="C39" s="2">
        <v>523.43320000000006</v>
      </c>
      <c r="D39" s="2">
        <f>HYPERLINK("http://mcb-m6.bioreg.kyushu-u.ac.jp/M3/20110318/F50604/1141/1", 36.47)</f>
        <v>36.47</v>
      </c>
      <c r="E39" s="2">
        <v>12.32</v>
      </c>
      <c r="F39" s="2">
        <v>2</v>
      </c>
      <c r="G39" s="2" t="s">
        <v>9</v>
      </c>
    </row>
    <row r="40" spans="1:9" x14ac:dyDescent="0.2">
      <c r="A40" s="2" t="s">
        <v>4827</v>
      </c>
      <c r="B40" s="2" t="s">
        <v>3086</v>
      </c>
      <c r="C40" s="2">
        <v>523.05269999999996</v>
      </c>
      <c r="D40" s="2">
        <f>HYPERLINK("http://mcb-m6.bioreg.kyushu-u.ac.jp/M3/20110418/F50972/1546/1", 36.51)</f>
        <v>36.51</v>
      </c>
      <c r="E40" s="2">
        <v>11.67</v>
      </c>
      <c r="F40" s="2">
        <v>2</v>
      </c>
      <c r="G40" s="2" t="s">
        <v>11</v>
      </c>
    </row>
    <row r="41" spans="1:9" x14ac:dyDescent="0.2">
      <c r="A41" s="2" t="s">
        <v>4827</v>
      </c>
      <c r="B41" s="2" t="s">
        <v>3086</v>
      </c>
      <c r="C41" s="2">
        <v>523.11159999999995</v>
      </c>
      <c r="D41" s="2">
        <f>HYPERLINK("http://mcb-m6.bioreg.kyushu-u.ac.jp/M3/20110418/F50988/1519/1", 35.53)</f>
        <v>35.53</v>
      </c>
      <c r="E41" s="2">
        <v>13.33</v>
      </c>
      <c r="F41" s="2">
        <v>2</v>
      </c>
      <c r="G41" s="2" t="s">
        <v>12</v>
      </c>
    </row>
    <row r="42" spans="1:9" x14ac:dyDescent="0.2">
      <c r="A42" s="2" t="s">
        <v>4827</v>
      </c>
      <c r="B42" s="2" t="s">
        <v>3086</v>
      </c>
      <c r="C42" s="2">
        <v>523.15970000000004</v>
      </c>
      <c r="D42" s="2">
        <f>HYPERLINK("http://mcb-m6.bioreg.kyushu-u.ac.jp/M3/20110418/F50982/1781/1", 36.41)</f>
        <v>36.409999999999997</v>
      </c>
      <c r="E42" s="2">
        <v>9.93</v>
      </c>
      <c r="F42" s="2">
        <v>2</v>
      </c>
      <c r="G42" s="2" t="s">
        <v>12</v>
      </c>
    </row>
    <row r="43" spans="1:9" x14ac:dyDescent="0.2">
      <c r="A43" s="2" t="s">
        <v>4827</v>
      </c>
      <c r="B43" s="2" t="s">
        <v>3086</v>
      </c>
      <c r="C43" s="2">
        <v>523.20069999999998</v>
      </c>
      <c r="D43" s="2">
        <f>HYPERLINK("http://mcb-m6.bioreg.kyushu-u.ac.jp/M3/20110418/F50982/1782/1", 36.42)</f>
        <v>36.42</v>
      </c>
      <c r="E43" s="2">
        <v>9.92</v>
      </c>
      <c r="F43" s="2">
        <v>2</v>
      </c>
      <c r="G43" s="2" t="s">
        <v>12</v>
      </c>
    </row>
    <row r="44" spans="1:9" x14ac:dyDescent="0.2">
      <c r="A44" s="2" t="s">
        <v>4827</v>
      </c>
      <c r="B44" s="2" t="s">
        <v>3086</v>
      </c>
      <c r="C44" s="2">
        <v>523.60919999999999</v>
      </c>
      <c r="D44" s="2">
        <f>HYPERLINK("http://mcb-m6.bioreg.kyushu-u.ac.jp/M3/20110418/F50987/1636/1", 36.48)</f>
        <v>36.479999999999997</v>
      </c>
      <c r="E44" s="2">
        <v>8.44</v>
      </c>
      <c r="F44" s="2">
        <v>2</v>
      </c>
      <c r="G44" s="2" t="s">
        <v>12</v>
      </c>
    </row>
    <row r="45" spans="1:9" x14ac:dyDescent="0.2">
      <c r="A45" s="2" t="s">
        <v>4827</v>
      </c>
      <c r="B45" s="2" t="s">
        <v>3086</v>
      </c>
      <c r="C45" s="2">
        <v>523.0847</v>
      </c>
      <c r="D45" s="2">
        <f>HYPERLINK("http://mcb-m6.bioreg.kyushu-u.ac.jp/M3/20110429/F51150/1356/1", 35.77)</f>
        <v>35.770000000000003</v>
      </c>
      <c r="E45" s="2">
        <v>12.49</v>
      </c>
      <c r="F45" s="2">
        <v>2</v>
      </c>
      <c r="G45" s="2" t="s">
        <v>13</v>
      </c>
    </row>
    <row r="46" spans="1:9" x14ac:dyDescent="0.2">
      <c r="A46" s="2" t="s">
        <v>5604</v>
      </c>
      <c r="B46" s="2" t="s">
        <v>4995</v>
      </c>
      <c r="C46" s="2">
        <v>567.92070000000001</v>
      </c>
      <c r="D46" s="2">
        <f>HYPERLINK("http://mcb-m6.bioreg.kyushu-u.ac.jp/M3/20110318/F50604/1205/1", 35.99)</f>
        <v>35.99</v>
      </c>
      <c r="E46" s="2">
        <v>21.72</v>
      </c>
      <c r="F46" s="2">
        <v>2</v>
      </c>
      <c r="G46" s="2" t="s">
        <v>9</v>
      </c>
      <c r="H46" s="2" t="s">
        <v>4908</v>
      </c>
    </row>
    <row r="47" spans="1:9" x14ac:dyDescent="0.2">
      <c r="A47" s="2" t="s">
        <v>5815</v>
      </c>
      <c r="B47" s="2" t="s">
        <v>5487</v>
      </c>
      <c r="C47" s="2">
        <v>663.09810000000004</v>
      </c>
      <c r="D47" s="2">
        <f>HYPERLINK("http://mcb-m6.bioreg.kyushu-u.ac.jp/M3/20110428/F51146/1753/1", 38.6)</f>
        <v>38.6</v>
      </c>
      <c r="E47" s="2">
        <v>20.82</v>
      </c>
      <c r="F47" s="2">
        <v>2</v>
      </c>
      <c r="G47" s="2" t="s">
        <v>13</v>
      </c>
    </row>
    <row r="48" spans="1:9" x14ac:dyDescent="0.2">
      <c r="A48" s="2" t="s">
        <v>3732</v>
      </c>
      <c r="B48" s="2" t="s">
        <v>730</v>
      </c>
      <c r="C48" s="2">
        <v>830.30600000000004</v>
      </c>
      <c r="D48" s="2">
        <f>HYPERLINK("http://mcb-m6.bioreg.kyushu-u.ac.jp/M3/20110318/F50619/679/2", 53.86)</f>
        <v>53.86</v>
      </c>
      <c r="E48" s="2">
        <v>13.21</v>
      </c>
      <c r="F48" s="2">
        <v>1</v>
      </c>
      <c r="G48" s="2" t="s">
        <v>9</v>
      </c>
    </row>
    <row r="49" spans="1:8" x14ac:dyDescent="0.2">
      <c r="A49" s="2" t="s">
        <v>3732</v>
      </c>
      <c r="B49" s="2" t="s">
        <v>730</v>
      </c>
      <c r="C49" s="2">
        <v>830.39800000000002</v>
      </c>
      <c r="D49" s="2">
        <f>HYPERLINK("http://mcb-m6.bioreg.kyushu-u.ac.jp/M3/20110318/F50615/633/2", 49.93)</f>
        <v>49.93</v>
      </c>
      <c r="E49" s="2">
        <v>14.04</v>
      </c>
      <c r="F49" s="2">
        <v>1</v>
      </c>
      <c r="G49" s="2" t="s">
        <v>10</v>
      </c>
    </row>
    <row r="50" spans="1:8" x14ac:dyDescent="0.2">
      <c r="A50" s="2" t="s">
        <v>3732</v>
      </c>
      <c r="B50" s="2" t="s">
        <v>730</v>
      </c>
      <c r="C50" s="2">
        <v>830.43299999999999</v>
      </c>
      <c r="D50" s="2">
        <f>HYPERLINK("http://mcb-m6.bioreg.kyushu-u.ac.jp/M3/20110318/F50614/733/2", 53.93)</f>
        <v>53.93</v>
      </c>
      <c r="E50" s="2">
        <v>13.21</v>
      </c>
      <c r="F50" s="2">
        <v>1</v>
      </c>
      <c r="G50" s="2" t="s">
        <v>10</v>
      </c>
    </row>
    <row r="51" spans="1:8" x14ac:dyDescent="0.2">
      <c r="A51" s="2" t="s">
        <v>3732</v>
      </c>
      <c r="B51" s="2" t="s">
        <v>730</v>
      </c>
      <c r="C51" s="2">
        <v>831.29399999999998</v>
      </c>
      <c r="D51" s="2">
        <f>HYPERLINK("http://mcb-m6.bioreg.kyushu-u.ac.jp/M3/20110418/F50975/527/2", 53.18)</f>
        <v>53.18</v>
      </c>
      <c r="E51" s="2">
        <v>13.2</v>
      </c>
      <c r="F51" s="2">
        <v>1</v>
      </c>
      <c r="G51" s="2" t="s">
        <v>11</v>
      </c>
    </row>
    <row r="52" spans="1:8" x14ac:dyDescent="0.2">
      <c r="A52" s="2" t="s">
        <v>3732</v>
      </c>
      <c r="B52" s="2" t="s">
        <v>730</v>
      </c>
      <c r="C52" s="2">
        <v>830.33199999999999</v>
      </c>
      <c r="D52" s="2">
        <f>HYPERLINK("http://mcb-m6.bioreg.kyushu-u.ac.jp/M3/20110418/F50999/1030/2", 53.81)</f>
        <v>53.81</v>
      </c>
      <c r="E52" s="2">
        <v>18.07</v>
      </c>
      <c r="F52" s="2">
        <v>1</v>
      </c>
      <c r="G52" s="2" t="s">
        <v>11</v>
      </c>
    </row>
    <row r="53" spans="1:8" x14ac:dyDescent="0.2">
      <c r="A53" s="2" t="s">
        <v>3732</v>
      </c>
      <c r="B53" s="2" t="s">
        <v>730</v>
      </c>
      <c r="C53" s="2">
        <v>830.26400000000001</v>
      </c>
      <c r="D53" s="2">
        <f>HYPERLINK("http://mcb-m6.bioreg.kyushu-u.ac.jp/M3/20110418/F50985/1552/2", 49.75)</f>
        <v>49.75</v>
      </c>
      <c r="E53" s="2">
        <v>14.04</v>
      </c>
      <c r="F53" s="2">
        <v>1</v>
      </c>
      <c r="G53" s="2" t="s">
        <v>12</v>
      </c>
    </row>
    <row r="54" spans="1:8" x14ac:dyDescent="0.2">
      <c r="A54" s="2" t="s">
        <v>3732</v>
      </c>
      <c r="B54" s="2" t="s">
        <v>730</v>
      </c>
      <c r="C54" s="2">
        <v>830.31799999999998</v>
      </c>
      <c r="D54" s="2">
        <f>HYPERLINK("http://mcb-m6.bioreg.kyushu-u.ac.jp/M3/20110418/F51001/1041/2", 49.94)</f>
        <v>49.94</v>
      </c>
      <c r="E54" s="2">
        <v>14</v>
      </c>
      <c r="F54" s="2">
        <v>1</v>
      </c>
      <c r="G54" s="2" t="s">
        <v>12</v>
      </c>
    </row>
    <row r="55" spans="1:8" x14ac:dyDescent="0.2">
      <c r="A55" s="2" t="s">
        <v>3732</v>
      </c>
      <c r="B55" s="2" t="s">
        <v>730</v>
      </c>
      <c r="C55" s="2">
        <v>830.50599999999997</v>
      </c>
      <c r="D55" s="2">
        <f>HYPERLINK("http://mcb-m6.bioreg.kyushu-u.ac.jp/M3/20110502/F51163/439/2", 47.8)</f>
        <v>47.8</v>
      </c>
      <c r="E55" s="2">
        <v>16.45</v>
      </c>
      <c r="F55" s="2">
        <v>1</v>
      </c>
      <c r="G55" s="2" t="s">
        <v>13</v>
      </c>
    </row>
    <row r="56" spans="1:8" x14ac:dyDescent="0.2">
      <c r="A56" s="2" t="s">
        <v>3732</v>
      </c>
      <c r="B56" s="2" t="s">
        <v>730</v>
      </c>
      <c r="C56" s="2">
        <v>830.38</v>
      </c>
      <c r="D56" s="2">
        <f>HYPERLINK("http://mcb-m6.bioreg.kyushu-u.ac.jp/M3/20110429/F51152/599/2", 49.77)</f>
        <v>49.77</v>
      </c>
      <c r="E56" s="2">
        <v>14.16</v>
      </c>
      <c r="F56" s="2">
        <v>1</v>
      </c>
      <c r="G56" s="2" t="s">
        <v>13</v>
      </c>
    </row>
    <row r="57" spans="1:8" x14ac:dyDescent="0.2">
      <c r="A57" s="2" t="s">
        <v>3732</v>
      </c>
      <c r="B57" s="2" t="s">
        <v>730</v>
      </c>
      <c r="C57" s="2">
        <v>830.48199999999997</v>
      </c>
      <c r="D57" s="2">
        <f>HYPERLINK("http://mcb-m6.bioreg.kyushu-u.ac.jp/M3/20110428/F51141/454/2", 46.12)</f>
        <v>46.12</v>
      </c>
      <c r="E57" s="2">
        <v>10.17</v>
      </c>
      <c r="F57" s="2">
        <v>1</v>
      </c>
      <c r="G57" s="2" t="s">
        <v>14</v>
      </c>
    </row>
    <row r="58" spans="1:8" x14ac:dyDescent="0.2">
      <c r="A58" s="2" t="s">
        <v>3732</v>
      </c>
      <c r="B58" s="2" t="s">
        <v>730</v>
      </c>
      <c r="C58" s="2">
        <v>830.50699999999995</v>
      </c>
      <c r="D58" s="2">
        <f>HYPERLINK("http://mcb-m6.bioreg.kyushu-u.ac.jp/M3/20110502/F51161/760/2", 54.02)</f>
        <v>54.02</v>
      </c>
      <c r="E58" s="2">
        <v>18.07</v>
      </c>
      <c r="F58" s="2">
        <v>1</v>
      </c>
      <c r="G58" s="2" t="s">
        <v>14</v>
      </c>
    </row>
    <row r="59" spans="1:8" x14ac:dyDescent="0.2">
      <c r="A59" s="2" t="s">
        <v>5643</v>
      </c>
      <c r="B59" s="2" t="s">
        <v>5075</v>
      </c>
      <c r="C59" s="2">
        <v>495.44959999999998</v>
      </c>
      <c r="D59" s="2">
        <f>HYPERLINK("http://mcb-m6.bioreg.kyushu-u.ac.jp/M3/20110318/F50607/965/1", 47.32)</f>
        <v>47.32</v>
      </c>
      <c r="E59" s="2">
        <v>6.41</v>
      </c>
      <c r="F59" s="2">
        <v>2</v>
      </c>
      <c r="G59" s="2" t="s">
        <v>9</v>
      </c>
    </row>
    <row r="60" spans="1:8" x14ac:dyDescent="0.2">
      <c r="A60" s="2" t="s">
        <v>5836</v>
      </c>
      <c r="B60" s="2" t="s">
        <v>5524</v>
      </c>
      <c r="C60" s="2">
        <v>453.37360000000001</v>
      </c>
      <c r="D60" s="2">
        <f>HYPERLINK("http://mcb-m6.bioreg.kyushu-u.ac.jp/M3/20110428/F51146/1009/1", 49.8)</f>
        <v>49.8</v>
      </c>
      <c r="E60" s="2">
        <v>12.72</v>
      </c>
      <c r="F60" s="2">
        <v>2</v>
      </c>
      <c r="G60" s="2" t="s">
        <v>13</v>
      </c>
    </row>
    <row r="61" spans="1:8" x14ac:dyDescent="0.2">
      <c r="A61" s="2" t="s">
        <v>4347</v>
      </c>
      <c r="B61" s="2" t="s">
        <v>2162</v>
      </c>
      <c r="C61" s="2">
        <v>964.71119999999996</v>
      </c>
      <c r="D61" s="2">
        <f>HYPERLINK("http://mcb-m6.bioreg.kyushu-u.ac.jp/M3/20110318/F50619/2177/1", 35.21)</f>
        <v>35.21</v>
      </c>
      <c r="E61" s="2">
        <v>15.64</v>
      </c>
      <c r="F61" s="2">
        <v>2</v>
      </c>
      <c r="G61" s="2" t="s">
        <v>9</v>
      </c>
      <c r="H61" s="2" t="s">
        <v>4915</v>
      </c>
    </row>
    <row r="62" spans="1:8" x14ac:dyDescent="0.2">
      <c r="A62" s="2" t="s">
        <v>4347</v>
      </c>
      <c r="B62" s="2" t="s">
        <v>2162</v>
      </c>
      <c r="C62" s="2">
        <v>964.33259999999996</v>
      </c>
      <c r="D62" s="2">
        <f>HYPERLINK("http://mcb-m6.bioreg.kyushu-u.ac.jp/M3/20110318/F50609/2137/1", 36.56)</f>
        <v>36.56</v>
      </c>
      <c r="E62" s="2">
        <v>23.13</v>
      </c>
      <c r="F62" s="2">
        <v>2</v>
      </c>
      <c r="G62" s="2" t="s">
        <v>9</v>
      </c>
      <c r="H62" s="2" t="s">
        <v>4915</v>
      </c>
    </row>
    <row r="63" spans="1:8" x14ac:dyDescent="0.2">
      <c r="A63" s="2" t="s">
        <v>4347</v>
      </c>
      <c r="B63" s="2" t="s">
        <v>2162</v>
      </c>
      <c r="C63" s="2">
        <v>964.55110000000002</v>
      </c>
      <c r="D63" s="2">
        <f>HYPERLINK("http://mcb-m6.bioreg.kyushu-u.ac.jp/M3/20110318/F50620/2413/1", 37.25)</f>
        <v>37.25</v>
      </c>
      <c r="E63" s="2">
        <v>24.98</v>
      </c>
      <c r="F63" s="2">
        <v>2</v>
      </c>
      <c r="G63" s="2" t="s">
        <v>9</v>
      </c>
      <c r="H63" s="2" t="s">
        <v>4915</v>
      </c>
    </row>
    <row r="64" spans="1:8" x14ac:dyDescent="0.2">
      <c r="A64" s="2" t="s">
        <v>4347</v>
      </c>
      <c r="B64" s="2" t="s">
        <v>2162</v>
      </c>
      <c r="C64" s="2">
        <v>964.76319999999998</v>
      </c>
      <c r="D64" s="2">
        <f>HYPERLINK("http://mcb-m6.bioreg.kyushu-u.ac.jp/M3/20110318/F50601/1954/1", 38.87)</f>
        <v>38.869999999999997</v>
      </c>
      <c r="E64" s="2">
        <v>31.4</v>
      </c>
      <c r="F64" s="2">
        <v>2</v>
      </c>
      <c r="G64" s="2" t="s">
        <v>9</v>
      </c>
      <c r="H64" s="2" t="s">
        <v>4915</v>
      </c>
    </row>
    <row r="65" spans="1:8" x14ac:dyDescent="0.2">
      <c r="A65" s="2" t="s">
        <v>4347</v>
      </c>
      <c r="B65" s="2" t="s">
        <v>2162</v>
      </c>
      <c r="C65" s="2">
        <v>964.80269999999996</v>
      </c>
      <c r="D65" s="2">
        <f>HYPERLINK("http://mcb-m6.bioreg.kyushu-u.ac.jp/M3/20110318/F50621/2095/1", 38.91)</f>
        <v>38.909999999999997</v>
      </c>
      <c r="E65" s="2">
        <v>22.65</v>
      </c>
      <c r="F65" s="2">
        <v>2</v>
      </c>
      <c r="G65" s="2" t="s">
        <v>9</v>
      </c>
      <c r="H65" s="2" t="s">
        <v>4915</v>
      </c>
    </row>
    <row r="66" spans="1:8" x14ac:dyDescent="0.2">
      <c r="A66" s="2" t="s">
        <v>4347</v>
      </c>
      <c r="B66" s="2" t="s">
        <v>2162</v>
      </c>
      <c r="C66" s="2">
        <v>964.39509999999996</v>
      </c>
      <c r="D66" s="2">
        <f>HYPERLINK("http://mcb-m6.bioreg.kyushu-u.ac.jp/M3/20110318/F50602/2035/1", 39.27)</f>
        <v>39.270000000000003</v>
      </c>
      <c r="E66" s="2">
        <v>25.34</v>
      </c>
      <c r="F66" s="2">
        <v>2</v>
      </c>
      <c r="G66" s="2" t="s">
        <v>9</v>
      </c>
      <c r="H66" s="2" t="s">
        <v>4915</v>
      </c>
    </row>
    <row r="67" spans="1:8" x14ac:dyDescent="0.2">
      <c r="A67" s="2" t="s">
        <v>4347</v>
      </c>
      <c r="B67" s="2" t="s">
        <v>2162</v>
      </c>
      <c r="C67" s="2">
        <v>964.49069999999995</v>
      </c>
      <c r="D67" s="2">
        <f>HYPERLINK("http://mcb-m6.bioreg.kyushu-u.ac.jp/M3/20110318/F50608/2098/1", 39.36)</f>
        <v>39.36</v>
      </c>
      <c r="E67" s="2">
        <v>21.26</v>
      </c>
      <c r="F67" s="2">
        <v>2</v>
      </c>
      <c r="G67" s="2" t="s">
        <v>9</v>
      </c>
      <c r="H67" s="2" t="s">
        <v>4915</v>
      </c>
    </row>
    <row r="68" spans="1:8" x14ac:dyDescent="0.2">
      <c r="A68" s="2" t="s">
        <v>4347</v>
      </c>
      <c r="B68" s="2" t="s">
        <v>2162</v>
      </c>
      <c r="C68" s="2">
        <v>964.71619999999996</v>
      </c>
      <c r="D68" s="2">
        <f>HYPERLINK("http://mcb-m6.bioreg.kyushu-u.ac.jp/M3/20110318/F50618/2513/1", 41.96)</f>
        <v>41.96</v>
      </c>
      <c r="E68" s="2">
        <v>20</v>
      </c>
      <c r="F68" s="2">
        <v>2</v>
      </c>
      <c r="G68" s="2" t="s">
        <v>9</v>
      </c>
      <c r="H68" s="2" t="s">
        <v>4915</v>
      </c>
    </row>
    <row r="69" spans="1:8" x14ac:dyDescent="0.2">
      <c r="A69" s="2" t="s">
        <v>4347</v>
      </c>
      <c r="B69" s="2" t="s">
        <v>2162</v>
      </c>
      <c r="C69" s="2">
        <v>964.27869999999996</v>
      </c>
      <c r="D69" s="2">
        <f>HYPERLINK("http://mcb-m6.bioreg.kyushu-u.ac.jp/M3/20110318/F50621/2092/1", 42.35)</f>
        <v>42.35</v>
      </c>
      <c r="E69" s="2">
        <v>28.02</v>
      </c>
      <c r="F69" s="2">
        <v>2</v>
      </c>
      <c r="G69" s="2" t="s">
        <v>9</v>
      </c>
      <c r="H69" s="2" t="s">
        <v>4915</v>
      </c>
    </row>
    <row r="70" spans="1:8" x14ac:dyDescent="0.2">
      <c r="A70" s="2" t="s">
        <v>4347</v>
      </c>
      <c r="B70" s="2" t="s">
        <v>2162</v>
      </c>
      <c r="C70" s="2">
        <v>964.86659999999995</v>
      </c>
      <c r="D70" s="2">
        <f>HYPERLINK("http://mcb-m6.bioreg.kyushu-u.ac.jp/M3/20110418/F50999/2629/1", 37.16)</f>
        <v>37.159999999999997</v>
      </c>
      <c r="E70" s="2">
        <v>25.98</v>
      </c>
      <c r="F70" s="2">
        <v>2</v>
      </c>
      <c r="G70" s="2" t="s">
        <v>11</v>
      </c>
      <c r="H70" s="2" t="s">
        <v>4915</v>
      </c>
    </row>
    <row r="71" spans="1:8" x14ac:dyDescent="0.2">
      <c r="A71" s="2" t="s">
        <v>4347</v>
      </c>
      <c r="B71" s="2" t="s">
        <v>2162</v>
      </c>
      <c r="C71" s="2">
        <v>964.59270000000004</v>
      </c>
      <c r="D71" s="2">
        <f>HYPERLINK("http://mcb-m6.bioreg.kyushu-u.ac.jp/M3/20110429/F51153/3364/1", 35.32)</f>
        <v>35.32</v>
      </c>
      <c r="E71" s="2">
        <v>24.45</v>
      </c>
      <c r="F71" s="2">
        <v>2</v>
      </c>
      <c r="G71" s="2" t="s">
        <v>13</v>
      </c>
      <c r="H71" s="2" t="s">
        <v>4915</v>
      </c>
    </row>
    <row r="72" spans="1:8" x14ac:dyDescent="0.2">
      <c r="A72" s="2" t="s">
        <v>4347</v>
      </c>
      <c r="B72" s="2" t="s">
        <v>2162</v>
      </c>
      <c r="C72" s="2">
        <v>964.84720000000004</v>
      </c>
      <c r="D72" s="2">
        <f>HYPERLINK("http://mcb-m6.bioreg.kyushu-u.ac.jp/M3/20110429/F51154/3158/1", 38.79)</f>
        <v>38.79</v>
      </c>
      <c r="E72" s="2">
        <v>27.97</v>
      </c>
      <c r="F72" s="2">
        <v>2</v>
      </c>
      <c r="G72" s="2" t="s">
        <v>13</v>
      </c>
      <c r="H72" s="2" t="s">
        <v>4915</v>
      </c>
    </row>
    <row r="73" spans="1:8" x14ac:dyDescent="0.2">
      <c r="A73" s="2" t="s">
        <v>4820</v>
      </c>
      <c r="B73" s="2" t="s">
        <v>3072</v>
      </c>
      <c r="C73" s="2">
        <v>522.80070000000001</v>
      </c>
      <c r="D73" s="2">
        <f>HYPERLINK("http://mcb-m6.bioreg.kyushu-u.ac.jp/M3/20110318/F50620/1052/1", 39.07)</f>
        <v>39.07</v>
      </c>
      <c r="E73" s="2">
        <v>9.2200000000000006</v>
      </c>
      <c r="F73" s="2">
        <v>2</v>
      </c>
      <c r="G73" s="2" t="s">
        <v>9</v>
      </c>
    </row>
    <row r="74" spans="1:8" x14ac:dyDescent="0.2">
      <c r="A74" s="2" t="s">
        <v>5645</v>
      </c>
      <c r="B74" s="2" t="s">
        <v>5082</v>
      </c>
      <c r="C74" s="2">
        <v>555.00869999999998</v>
      </c>
      <c r="D74" s="2">
        <f>HYPERLINK("http://mcb-m6.bioreg.kyushu-u.ac.jp/M3/20110318/F50603/1076/1", 48.8)</f>
        <v>48.8</v>
      </c>
      <c r="E74" s="2">
        <v>0.08</v>
      </c>
      <c r="F74" s="2">
        <v>2</v>
      </c>
      <c r="G74" s="2" t="s">
        <v>9</v>
      </c>
    </row>
    <row r="75" spans="1:8" x14ac:dyDescent="0.2">
      <c r="A75" s="2" t="s">
        <v>5690</v>
      </c>
      <c r="B75" s="2" t="s">
        <v>5221</v>
      </c>
      <c r="C75" s="2">
        <v>579.32510000000002</v>
      </c>
      <c r="D75" s="2">
        <f>HYPERLINK("http://mcb-m6.bioreg.kyushu-u.ac.jp/M3/20110318/F50622/1070/1", 36.61)</f>
        <v>36.61</v>
      </c>
      <c r="E75" s="2">
        <v>10.32</v>
      </c>
      <c r="F75" s="2">
        <v>2</v>
      </c>
      <c r="G75" s="2" t="s">
        <v>10</v>
      </c>
    </row>
    <row r="76" spans="1:8" x14ac:dyDescent="0.2">
      <c r="A76" s="2" t="s">
        <v>5598</v>
      </c>
      <c r="B76" s="2" t="s">
        <v>4988</v>
      </c>
      <c r="C76" s="2">
        <v>650.68820000000005</v>
      </c>
      <c r="D76" s="2">
        <f>HYPERLINK("http://mcb-m6.bioreg.kyushu-u.ac.jp/M3/20110318/F50619/1178/1", 35.16)</f>
        <v>35.159999999999997</v>
      </c>
      <c r="E76" s="2">
        <v>12.93</v>
      </c>
      <c r="F76" s="2">
        <v>2</v>
      </c>
      <c r="G76" s="2" t="s">
        <v>9</v>
      </c>
    </row>
    <row r="77" spans="1:8" x14ac:dyDescent="0.2">
      <c r="A77" s="2" t="s">
        <v>5636</v>
      </c>
      <c r="B77" s="2" t="s">
        <v>5064</v>
      </c>
      <c r="C77" s="2">
        <v>999.33500000000004</v>
      </c>
      <c r="D77" s="2">
        <f>HYPERLINK("http://mcb-m6.bioreg.kyushu-u.ac.jp/M3/20110318/F50618/798/1", 45.19)</f>
        <v>45.19</v>
      </c>
      <c r="E77" s="2">
        <v>9.2899999999999991</v>
      </c>
      <c r="F77" s="2">
        <v>1</v>
      </c>
      <c r="G77" s="2" t="s">
        <v>9</v>
      </c>
    </row>
    <row r="78" spans="1:8" x14ac:dyDescent="0.2">
      <c r="A78" s="2" t="s">
        <v>5638</v>
      </c>
      <c r="B78" s="2" t="s">
        <v>5066</v>
      </c>
      <c r="C78" s="2">
        <v>487.74610000000001</v>
      </c>
      <c r="D78" s="2">
        <f>HYPERLINK("http://mcb-m6.bioreg.kyushu-u.ac.jp/M3/20110318/F50618/752/1", 45.65)</f>
        <v>45.65</v>
      </c>
      <c r="E78" s="2">
        <v>20.99</v>
      </c>
      <c r="F78" s="2">
        <v>2</v>
      </c>
      <c r="G78" s="2" t="s">
        <v>9</v>
      </c>
    </row>
    <row r="79" spans="1:8" x14ac:dyDescent="0.2">
      <c r="A79" s="2" t="s">
        <v>5716</v>
      </c>
      <c r="B79" s="2" t="s">
        <v>5276</v>
      </c>
      <c r="C79" s="2">
        <v>629.79859999999996</v>
      </c>
      <c r="D79" s="2">
        <f>HYPERLINK("http://mcb-m6.bioreg.kyushu-u.ac.jp/M3/20110318/F50622/1132/1", 46.24)</f>
        <v>46.24</v>
      </c>
      <c r="E79" s="2">
        <v>1.89</v>
      </c>
      <c r="F79" s="2">
        <v>2</v>
      </c>
      <c r="G79" s="2" t="s">
        <v>10</v>
      </c>
    </row>
    <row r="80" spans="1:8" x14ac:dyDescent="0.2">
      <c r="A80" s="2" t="s">
        <v>4408</v>
      </c>
      <c r="B80" s="2" t="s">
        <v>2260</v>
      </c>
      <c r="C80" s="2">
        <v>609.92819999999995</v>
      </c>
      <c r="D80" s="2">
        <f>HYPERLINK("http://mcb-m6.bioreg.kyushu-u.ac.jp/M3/20110418/F50978/1481/1", 36.64)</f>
        <v>36.64</v>
      </c>
      <c r="E80" s="2">
        <v>19.3</v>
      </c>
      <c r="F80" s="2">
        <v>2</v>
      </c>
      <c r="G80" s="2" t="s">
        <v>11</v>
      </c>
    </row>
    <row r="81" spans="1:9" x14ac:dyDescent="0.2">
      <c r="A81" s="2" t="s">
        <v>5866</v>
      </c>
      <c r="B81" s="2" t="s">
        <v>5565</v>
      </c>
      <c r="C81" s="2">
        <v>475.90410000000003</v>
      </c>
      <c r="D81" s="2">
        <f>HYPERLINK("http://mcb-m6.bioreg.kyushu-u.ac.jp/M3/20110428/F51145/1146/1", 35.53)</f>
        <v>35.53</v>
      </c>
      <c r="E81" s="2">
        <v>17.14</v>
      </c>
      <c r="F81" s="2">
        <v>2</v>
      </c>
      <c r="G81" s="2" t="s">
        <v>14</v>
      </c>
    </row>
    <row r="82" spans="1:9" x14ac:dyDescent="0.2">
      <c r="A82" s="2" t="s">
        <v>5799</v>
      </c>
      <c r="B82" s="2" t="s">
        <v>5460</v>
      </c>
      <c r="C82" s="2">
        <v>495.09309999999999</v>
      </c>
      <c r="D82" s="2">
        <f>HYPERLINK("http://mcb-m6.bioreg.kyushu-u.ac.jp/M3/20110429/F51154/711/1", 35.32)</f>
        <v>35.32</v>
      </c>
      <c r="E82" s="2">
        <v>10.94</v>
      </c>
      <c r="F82" s="2">
        <v>2</v>
      </c>
      <c r="G82" s="2" t="s">
        <v>13</v>
      </c>
    </row>
    <row r="83" spans="1:9" x14ac:dyDescent="0.2">
      <c r="A83" s="2" t="s">
        <v>4189</v>
      </c>
      <c r="B83" s="2" t="s">
        <v>1770</v>
      </c>
      <c r="C83" s="2">
        <v>743.17179999999996</v>
      </c>
      <c r="D83" s="2">
        <f>HYPERLINK("http://mcb-m6.bioreg.kyushu-u.ac.jp/M3/20110428/F51143/3385/1", 38.63)</f>
        <v>38.630000000000003</v>
      </c>
      <c r="E83" s="2">
        <v>17.7</v>
      </c>
      <c r="F83" s="2">
        <v>3</v>
      </c>
      <c r="G83" s="2" t="s">
        <v>14</v>
      </c>
      <c r="I83" s="2" t="s">
        <v>4893</v>
      </c>
    </row>
    <row r="84" spans="1:9" x14ac:dyDescent="0.2">
      <c r="A84" s="2" t="s">
        <v>5709</v>
      </c>
      <c r="B84" s="2" t="s">
        <v>5251</v>
      </c>
      <c r="C84" s="2">
        <v>683.55290000000002</v>
      </c>
      <c r="D84" s="2">
        <f>HYPERLINK("http://mcb-m6.bioreg.kyushu-u.ac.jp/M3/20110318/F50612/2274/1", 41.73)</f>
        <v>41.73</v>
      </c>
      <c r="E84" s="2">
        <v>27.94</v>
      </c>
      <c r="F84" s="2">
        <v>3</v>
      </c>
      <c r="G84" s="2" t="s">
        <v>10</v>
      </c>
    </row>
    <row r="85" spans="1:9" x14ac:dyDescent="0.2">
      <c r="A85" s="2" t="s">
        <v>5687</v>
      </c>
      <c r="B85" s="2" t="s">
        <v>5217</v>
      </c>
      <c r="C85" s="2">
        <v>689.30970000000002</v>
      </c>
      <c r="D85" s="2">
        <f>HYPERLINK("http://mcb-m6.bioreg.kyushu-u.ac.jp/M3/20110318/F50614/1474/1", 36.3)</f>
        <v>36.299999999999997</v>
      </c>
      <c r="E85" s="2">
        <v>17.760000000000002</v>
      </c>
      <c r="F85" s="2">
        <v>2</v>
      </c>
      <c r="G85" s="2" t="s">
        <v>10</v>
      </c>
      <c r="H85" s="2" t="s">
        <v>4904</v>
      </c>
    </row>
    <row r="86" spans="1:9" x14ac:dyDescent="0.2">
      <c r="A86" s="2" t="s">
        <v>4519</v>
      </c>
      <c r="B86" s="2" t="s">
        <v>2533</v>
      </c>
      <c r="C86" s="2">
        <v>931.26509999999996</v>
      </c>
      <c r="D86" s="2">
        <f>HYPERLINK("http://mcb-m6.bioreg.kyushu-u.ac.jp/M3/20110318/F50616/2363/1", 40.9)</f>
        <v>40.9</v>
      </c>
      <c r="E86" s="2">
        <v>23.34</v>
      </c>
      <c r="F86" s="2">
        <v>2</v>
      </c>
      <c r="G86" s="2" t="s">
        <v>10</v>
      </c>
    </row>
    <row r="87" spans="1:9" x14ac:dyDescent="0.2">
      <c r="A87" s="2" t="s">
        <v>3668</v>
      </c>
      <c r="B87" s="2" t="s">
        <v>608</v>
      </c>
      <c r="C87" s="2">
        <v>729.495</v>
      </c>
      <c r="D87" s="2">
        <f>HYPERLINK("http://mcb-m6.bioreg.kyushu-u.ac.jp/M3/20110318/F50605/665/2", 46.78)</f>
        <v>46.78</v>
      </c>
      <c r="E87" s="2">
        <v>7.24</v>
      </c>
      <c r="F87" s="2">
        <v>1</v>
      </c>
      <c r="G87" s="2" t="s">
        <v>9</v>
      </c>
    </row>
    <row r="88" spans="1:9" x14ac:dyDescent="0.2">
      <c r="A88" s="2" t="s">
        <v>3668</v>
      </c>
      <c r="B88" s="2" t="s">
        <v>608</v>
      </c>
      <c r="C88" s="2">
        <v>729.39800000000002</v>
      </c>
      <c r="D88" s="2">
        <f>HYPERLINK("http://mcb-m6.bioreg.kyushu-u.ac.jp/M3/20110318/F50612/761/2", 46.49)</f>
        <v>46.49</v>
      </c>
      <c r="E88" s="2">
        <v>7.24</v>
      </c>
      <c r="F88" s="2">
        <v>1</v>
      </c>
      <c r="G88" s="2" t="s">
        <v>10</v>
      </c>
    </row>
    <row r="89" spans="1:9" x14ac:dyDescent="0.2">
      <c r="A89" s="2" t="s">
        <v>3668</v>
      </c>
      <c r="B89" s="2" t="s">
        <v>608</v>
      </c>
      <c r="C89" s="2">
        <v>729.38199999999995</v>
      </c>
      <c r="D89" s="2">
        <f>HYPERLINK("http://mcb-m6.bioreg.kyushu-u.ac.jp/M3/20110418/F50976/579/2", 46.73)</f>
        <v>46.73</v>
      </c>
      <c r="E89" s="2">
        <v>7.23</v>
      </c>
      <c r="F89" s="2">
        <v>1</v>
      </c>
      <c r="G89" s="2" t="s">
        <v>11</v>
      </c>
    </row>
    <row r="90" spans="1:9" x14ac:dyDescent="0.2">
      <c r="A90" s="2" t="s">
        <v>3668</v>
      </c>
      <c r="B90" s="2" t="s">
        <v>608</v>
      </c>
      <c r="C90" s="2">
        <v>729.30499999999995</v>
      </c>
      <c r="D90" s="2">
        <f>HYPERLINK("http://mcb-m6.bioreg.kyushu-u.ac.jp/M3/20110418/F50986/1058/3", 46.87)</f>
        <v>46.87</v>
      </c>
      <c r="E90" s="2">
        <v>7.24</v>
      </c>
      <c r="F90" s="2">
        <v>1</v>
      </c>
      <c r="G90" s="2" t="s">
        <v>12</v>
      </c>
    </row>
    <row r="91" spans="1:9" x14ac:dyDescent="0.2">
      <c r="A91" s="2" t="s">
        <v>5767</v>
      </c>
      <c r="B91" s="2" t="s">
        <v>5392</v>
      </c>
      <c r="C91" s="2">
        <v>679.66920000000005</v>
      </c>
      <c r="D91" s="2">
        <f>HYPERLINK("http://mcb-m6.bioreg.kyushu-u.ac.jp/M3/20110418/F50977/1721/1", 45.17)</f>
        <v>45.17</v>
      </c>
      <c r="E91" s="2">
        <v>16.37</v>
      </c>
      <c r="F91" s="2">
        <v>2</v>
      </c>
      <c r="G91" s="2" t="s">
        <v>11</v>
      </c>
    </row>
    <row r="92" spans="1:9" x14ac:dyDescent="0.2">
      <c r="A92" s="2" t="s">
        <v>5873</v>
      </c>
      <c r="B92" s="2" t="s">
        <v>5572</v>
      </c>
      <c r="C92" s="2">
        <v>465.23809999999997</v>
      </c>
      <c r="D92" s="2">
        <f>HYPERLINK("http://mcb-m6.bioreg.kyushu-u.ac.jp/M3/20110428/F51144/879/1", 38.81)</f>
        <v>38.81</v>
      </c>
      <c r="E92" s="2">
        <v>14.58</v>
      </c>
      <c r="F92" s="2">
        <v>2</v>
      </c>
      <c r="G92" s="2" t="s">
        <v>14</v>
      </c>
    </row>
    <row r="93" spans="1:9" x14ac:dyDescent="0.2">
      <c r="A93" s="2" t="s">
        <v>4190</v>
      </c>
      <c r="B93" s="2" t="s">
        <v>1774</v>
      </c>
      <c r="C93" s="2">
        <v>956.05160000000001</v>
      </c>
      <c r="D93" s="2">
        <f>HYPERLINK("http://mcb-m6.bioreg.kyushu-u.ac.jp/M3/20110318/F50603/2000/1", 36.31)</f>
        <v>36.31</v>
      </c>
      <c r="E93" s="2">
        <v>11.62</v>
      </c>
      <c r="F93" s="2">
        <v>2</v>
      </c>
      <c r="G93" s="2" t="s">
        <v>9</v>
      </c>
      <c r="H93" s="2" t="s">
        <v>4948</v>
      </c>
    </row>
    <row r="94" spans="1:9" x14ac:dyDescent="0.2">
      <c r="A94" s="2" t="s">
        <v>4190</v>
      </c>
      <c r="B94" s="2" t="s">
        <v>1774</v>
      </c>
      <c r="C94" s="2">
        <v>955.87369999999999</v>
      </c>
      <c r="D94" s="2">
        <f>HYPERLINK("http://mcb-m6.bioreg.kyushu-u.ac.jp/M3/20110418/F50977/3207/1", 37.49)</f>
        <v>37.49</v>
      </c>
      <c r="E94" s="2">
        <v>8.39</v>
      </c>
      <c r="F94" s="2">
        <v>2</v>
      </c>
      <c r="G94" s="2" t="s">
        <v>11</v>
      </c>
      <c r="H94" s="2" t="s">
        <v>4948</v>
      </c>
    </row>
    <row r="95" spans="1:9" x14ac:dyDescent="0.2">
      <c r="A95" s="2" t="s">
        <v>5826</v>
      </c>
      <c r="B95" s="2" t="s">
        <v>5508</v>
      </c>
      <c r="C95" s="2">
        <v>650.44820000000004</v>
      </c>
      <c r="D95" s="2">
        <f>HYPERLINK("http://mcb-m6.bioreg.kyushu-u.ac.jp/M3/20110502/F51158/1433/1", 43.57)</f>
        <v>43.57</v>
      </c>
      <c r="E95" s="2">
        <v>16.02</v>
      </c>
      <c r="F95" s="2">
        <v>2</v>
      </c>
      <c r="G95" s="2" t="s">
        <v>13</v>
      </c>
    </row>
    <row r="96" spans="1:9" x14ac:dyDescent="0.2">
      <c r="A96" s="2" t="s">
        <v>5798</v>
      </c>
      <c r="B96" s="2" t="s">
        <v>5458</v>
      </c>
      <c r="C96" s="2">
        <v>852.13959999999997</v>
      </c>
      <c r="D96" s="2">
        <f>HYPERLINK("http://mcb-m6.bioreg.kyushu-u.ac.jp/M3/20110428/F51146/2504/1", 35.2)</f>
        <v>35.200000000000003</v>
      </c>
      <c r="E96" s="2">
        <v>15.27</v>
      </c>
      <c r="F96" s="2">
        <v>2</v>
      </c>
      <c r="G96" s="2" t="s">
        <v>13</v>
      </c>
      <c r="H96" s="2" t="s">
        <v>4891</v>
      </c>
    </row>
    <row r="97" spans="1:9" x14ac:dyDescent="0.2">
      <c r="A97" s="2" t="s">
        <v>4530</v>
      </c>
      <c r="B97" s="2" t="s">
        <v>2554</v>
      </c>
      <c r="C97" s="2">
        <v>804.27560000000005</v>
      </c>
      <c r="D97" s="2">
        <f>HYPERLINK("http://mcb-m6.bioreg.kyushu-u.ac.jp/M3/20110318/F50622/1736/1", 41.29)</f>
        <v>41.29</v>
      </c>
      <c r="E97" s="2">
        <v>24.68</v>
      </c>
      <c r="F97" s="2">
        <v>2</v>
      </c>
      <c r="G97" s="2" t="s">
        <v>10</v>
      </c>
      <c r="I97" s="2" t="s">
        <v>4893</v>
      </c>
    </row>
    <row r="98" spans="1:9" x14ac:dyDescent="0.2">
      <c r="A98" s="2" t="s">
        <v>5745</v>
      </c>
      <c r="B98" s="2" t="s">
        <v>5360</v>
      </c>
      <c r="C98" s="2">
        <v>701.58119999999997</v>
      </c>
      <c r="D98" s="2">
        <f>HYPERLINK("http://mcb-m6.bioreg.kyushu-u.ac.jp/M3/20110418/F50969/1984/1", 35.84)</f>
        <v>35.840000000000003</v>
      </c>
      <c r="E98" s="2">
        <v>18.3</v>
      </c>
      <c r="F98" s="2">
        <v>2</v>
      </c>
      <c r="G98" s="2" t="s">
        <v>11</v>
      </c>
      <c r="H98" s="2" t="s">
        <v>4900</v>
      </c>
    </row>
    <row r="99" spans="1:9" x14ac:dyDescent="0.2">
      <c r="A99" s="2" t="s">
        <v>5703</v>
      </c>
      <c r="B99" s="2" t="s">
        <v>5241</v>
      </c>
      <c r="C99" s="2">
        <v>691.90809999999999</v>
      </c>
      <c r="D99" s="2">
        <f>HYPERLINK("http://mcb-m6.bioreg.kyushu-u.ac.jp/M3/20110318/F50600/1418/1", 39.51)</f>
        <v>39.51</v>
      </c>
      <c r="E99" s="2">
        <v>20.82</v>
      </c>
      <c r="F99" s="2">
        <v>2</v>
      </c>
      <c r="G99" s="2" t="s">
        <v>10</v>
      </c>
      <c r="H99" s="2" t="s">
        <v>4900</v>
      </c>
    </row>
    <row r="100" spans="1:9" x14ac:dyDescent="0.2">
      <c r="A100" s="2" t="s">
        <v>5816</v>
      </c>
      <c r="B100" s="2" t="s">
        <v>5488</v>
      </c>
      <c r="C100" s="2">
        <v>484.31909999999999</v>
      </c>
      <c r="D100" s="2">
        <f>HYPERLINK("http://mcb-m6.bioreg.kyushu-u.ac.jp/M3/20110502/F51158/681/1", 38.83)</f>
        <v>38.83</v>
      </c>
      <c r="E100" s="2">
        <v>18.47</v>
      </c>
      <c r="F100" s="2">
        <v>2</v>
      </c>
      <c r="G100" s="2" t="s">
        <v>13</v>
      </c>
    </row>
    <row r="101" spans="1:9" x14ac:dyDescent="0.2">
      <c r="A101" s="2" t="s">
        <v>5813</v>
      </c>
      <c r="B101" s="2" t="s">
        <v>5481</v>
      </c>
      <c r="C101" s="2">
        <v>531.12919999999997</v>
      </c>
      <c r="D101" s="2">
        <f>HYPERLINK("http://mcb-m6.bioreg.kyushu-u.ac.jp/M3/20110429/F51155/1342/1", 38.01)</f>
        <v>38.01</v>
      </c>
      <c r="E101" s="2">
        <v>17.72</v>
      </c>
      <c r="F101" s="2">
        <v>2</v>
      </c>
      <c r="G101" s="2" t="s">
        <v>13</v>
      </c>
    </row>
    <row r="102" spans="1:9" x14ac:dyDescent="0.2">
      <c r="A102" s="2" t="s">
        <v>3508</v>
      </c>
      <c r="B102" s="2" t="s">
        <v>346</v>
      </c>
      <c r="C102" s="2">
        <v>487.14409999999998</v>
      </c>
      <c r="D102" s="2">
        <f>HYPERLINK("http://mcb-m6.bioreg.kyushu-u.ac.jp/M3/20110428/F51140/845/1", 42.51)</f>
        <v>42.51</v>
      </c>
      <c r="E102" s="2">
        <v>11.33</v>
      </c>
      <c r="F102" s="2">
        <v>2</v>
      </c>
      <c r="G102" s="2" t="s">
        <v>14</v>
      </c>
    </row>
    <row r="103" spans="1:9" x14ac:dyDescent="0.2">
      <c r="A103" s="2" t="s">
        <v>5611</v>
      </c>
      <c r="B103" s="2" t="s">
        <v>5006</v>
      </c>
      <c r="C103" s="2">
        <v>776.15009999999995</v>
      </c>
      <c r="D103" s="2">
        <f>HYPERLINK("http://mcb-m6.bioreg.kyushu-u.ac.jp/M3/20110318/F50603/1597/1", 37.61)</f>
        <v>37.61</v>
      </c>
      <c r="E103" s="2">
        <v>19.78</v>
      </c>
      <c r="F103" s="2">
        <v>2</v>
      </c>
      <c r="G103" s="2" t="s">
        <v>9</v>
      </c>
    </row>
    <row r="104" spans="1:9" x14ac:dyDescent="0.2">
      <c r="A104" s="2" t="s">
        <v>4785</v>
      </c>
      <c r="B104" s="2" t="s">
        <v>3017</v>
      </c>
      <c r="C104" s="2">
        <v>521.37869999999998</v>
      </c>
      <c r="D104" s="2">
        <f>HYPERLINK("http://mcb-m6.bioreg.kyushu-u.ac.jp/M3/20110318/F50606/923/1", 42.53)</f>
        <v>42.53</v>
      </c>
      <c r="E104" s="2">
        <v>15.87</v>
      </c>
      <c r="F104" s="2">
        <v>2</v>
      </c>
      <c r="G104" s="2" t="s">
        <v>9</v>
      </c>
    </row>
    <row r="105" spans="1:9" x14ac:dyDescent="0.2">
      <c r="A105" s="2" t="s">
        <v>4785</v>
      </c>
      <c r="B105" s="2" t="s">
        <v>3017</v>
      </c>
      <c r="C105" s="2">
        <v>520.99109999999996</v>
      </c>
      <c r="D105" s="2">
        <f>HYPERLINK("http://mcb-m6.bioreg.kyushu-u.ac.jp/M3/20110318/F50597/942/1", 42.23)</f>
        <v>42.23</v>
      </c>
      <c r="E105" s="2">
        <v>15.68</v>
      </c>
      <c r="F105" s="2">
        <v>2</v>
      </c>
      <c r="G105" s="2" t="s">
        <v>10</v>
      </c>
    </row>
    <row r="106" spans="1:9" x14ac:dyDescent="0.2">
      <c r="A106" s="2" t="s">
        <v>4785</v>
      </c>
      <c r="B106" s="2" t="s">
        <v>3017</v>
      </c>
      <c r="C106" s="2">
        <v>520.6807</v>
      </c>
      <c r="D106" s="2">
        <f>HYPERLINK("http://mcb-m6.bioreg.kyushu-u.ac.jp/M3/20110418/F51001/1367/1", 37.18)</f>
        <v>37.18</v>
      </c>
      <c r="E106" s="2">
        <v>8.44</v>
      </c>
      <c r="F106" s="2">
        <v>2</v>
      </c>
      <c r="G106" s="2" t="s">
        <v>12</v>
      </c>
    </row>
    <row r="107" spans="1:9" x14ac:dyDescent="0.2">
      <c r="A107" s="2" t="s">
        <v>4785</v>
      </c>
      <c r="B107" s="2" t="s">
        <v>3017</v>
      </c>
      <c r="C107" s="2">
        <v>520.82920000000001</v>
      </c>
      <c r="D107" s="2">
        <f>HYPERLINK("http://mcb-m6.bioreg.kyushu-u.ac.jp/M3/20110429/F51157/711/1", 49.89)</f>
        <v>49.89</v>
      </c>
      <c r="E107" s="2">
        <v>1.05</v>
      </c>
      <c r="F107" s="2">
        <v>2</v>
      </c>
      <c r="G107" s="2" t="s">
        <v>13</v>
      </c>
    </row>
    <row r="108" spans="1:9" x14ac:dyDescent="0.2">
      <c r="A108" s="2" t="s">
        <v>5714</v>
      </c>
      <c r="B108" s="2" t="s">
        <v>5265</v>
      </c>
      <c r="C108" s="2">
        <v>1163.8689999999999</v>
      </c>
      <c r="D108" s="2">
        <f>HYPERLINK("http://mcb-m6.bioreg.kyushu-u.ac.jp/M3/20110318/F50615/3323/1", 44.19)</f>
        <v>44.19</v>
      </c>
      <c r="E108" s="2">
        <v>36.119999999999997</v>
      </c>
      <c r="F108" s="2">
        <v>3</v>
      </c>
      <c r="G108" s="2" t="s">
        <v>10</v>
      </c>
      <c r="H108" s="2" t="s">
        <v>5894</v>
      </c>
    </row>
    <row r="109" spans="1:9" x14ac:dyDescent="0.2">
      <c r="A109" s="2" t="s">
        <v>5805</v>
      </c>
      <c r="B109" s="2" t="s">
        <v>5470</v>
      </c>
      <c r="C109" s="2">
        <v>625.36360000000002</v>
      </c>
      <c r="D109" s="2">
        <f>HYPERLINK("http://mcb-m6.bioreg.kyushu-u.ac.jp/M3/20110428/F51146/1661/1", 36.87)</f>
        <v>36.869999999999997</v>
      </c>
      <c r="E109" s="2">
        <v>17.350000000000001</v>
      </c>
      <c r="F109" s="2">
        <v>2</v>
      </c>
      <c r="G109" s="2" t="s">
        <v>13</v>
      </c>
      <c r="H109" s="2" t="s">
        <v>5900</v>
      </c>
    </row>
    <row r="110" spans="1:9" x14ac:dyDescent="0.2">
      <c r="A110" s="2" t="s">
        <v>5867</v>
      </c>
      <c r="B110" s="2" t="s">
        <v>5566</v>
      </c>
      <c r="C110" s="2">
        <v>696.13869999999997</v>
      </c>
      <c r="D110" s="2">
        <f>HYPERLINK("http://mcb-m6.bioreg.kyushu-u.ac.jp/M3/20110502/F51162/1675/1", 35.78)</f>
        <v>35.78</v>
      </c>
      <c r="E110" s="2">
        <v>17.2</v>
      </c>
      <c r="F110" s="2">
        <v>2</v>
      </c>
      <c r="G110" s="2" t="s">
        <v>14</v>
      </c>
      <c r="H110" s="2" t="s">
        <v>4908</v>
      </c>
    </row>
    <row r="111" spans="1:9" x14ac:dyDescent="0.2">
      <c r="A111" s="2" t="s">
        <v>5863</v>
      </c>
      <c r="B111" s="2" t="s">
        <v>5562</v>
      </c>
      <c r="C111" s="2">
        <v>565.50710000000004</v>
      </c>
      <c r="D111" s="2">
        <f>HYPERLINK("http://mcb-m6.bioreg.kyushu-u.ac.jp/M3/20110502/F51159/1235/1", 35.36)</f>
        <v>35.36</v>
      </c>
      <c r="E111" s="2">
        <v>13.87</v>
      </c>
      <c r="F111" s="2">
        <v>2</v>
      </c>
      <c r="G111" s="2" t="s">
        <v>14</v>
      </c>
    </row>
    <row r="112" spans="1:9" x14ac:dyDescent="0.2">
      <c r="A112" s="2" t="s">
        <v>5631</v>
      </c>
      <c r="B112" s="2" t="s">
        <v>5050</v>
      </c>
      <c r="C112" s="2">
        <v>613.77620000000002</v>
      </c>
      <c r="D112" s="2">
        <f>HYPERLINK("http://mcb-m6.bioreg.kyushu-u.ac.jp/M3/20110318/F50620/1278/1", 43.24)</f>
        <v>43.24</v>
      </c>
      <c r="E112" s="2">
        <v>16.66</v>
      </c>
      <c r="F112" s="2">
        <v>2</v>
      </c>
      <c r="G112" s="2" t="s">
        <v>9</v>
      </c>
    </row>
    <row r="113" spans="1:9" x14ac:dyDescent="0.2">
      <c r="A113" s="2" t="s">
        <v>5615</v>
      </c>
      <c r="B113" s="2" t="s">
        <v>5015</v>
      </c>
      <c r="C113" s="2">
        <v>775.18020000000001</v>
      </c>
      <c r="D113" s="2">
        <f>HYPERLINK("http://mcb-m6.bioreg.kyushu-u.ac.jp/M3/20110318/F50618/1824/1", 39.09)</f>
        <v>39.090000000000003</v>
      </c>
      <c r="E113" s="2">
        <v>13.63</v>
      </c>
      <c r="F113" s="2">
        <v>2</v>
      </c>
      <c r="G113" s="2" t="s">
        <v>9</v>
      </c>
    </row>
    <row r="114" spans="1:9" x14ac:dyDescent="0.2">
      <c r="A114" s="2" t="s">
        <v>5865</v>
      </c>
      <c r="B114" s="2" t="s">
        <v>5564</v>
      </c>
      <c r="C114" s="2">
        <v>518.44119999999998</v>
      </c>
      <c r="D114" s="2">
        <f>HYPERLINK("http://mcb-m6.bioreg.kyushu-u.ac.jp/M3/20110502/F51159/1041/1", 35.43)</f>
        <v>35.43</v>
      </c>
      <c r="E114" s="2">
        <v>10.28</v>
      </c>
      <c r="F114" s="2">
        <v>2</v>
      </c>
      <c r="G114" s="2" t="s">
        <v>14</v>
      </c>
    </row>
    <row r="115" spans="1:9" x14ac:dyDescent="0.2">
      <c r="A115" s="2" t="s">
        <v>5824</v>
      </c>
      <c r="B115" s="2" t="s">
        <v>5504</v>
      </c>
      <c r="C115" s="2">
        <v>769.97860000000003</v>
      </c>
      <c r="D115" s="2">
        <f>HYPERLINK("http://mcb-m6.bioreg.kyushu-u.ac.jp/M3/20110502/F51163/1979/1", 43.04)</f>
        <v>43.04</v>
      </c>
      <c r="E115" s="2">
        <v>19.010000000000002</v>
      </c>
      <c r="F115" s="2">
        <v>2</v>
      </c>
      <c r="G115" s="2" t="s">
        <v>13</v>
      </c>
    </row>
    <row r="116" spans="1:9" x14ac:dyDescent="0.2">
      <c r="A116" s="2" t="s">
        <v>5871</v>
      </c>
      <c r="B116" s="2" t="s">
        <v>5570</v>
      </c>
      <c r="C116" s="2">
        <v>469.42660000000001</v>
      </c>
      <c r="D116" s="2">
        <f>HYPERLINK("http://mcb-m6.bioreg.kyushu-u.ac.jp/M3/20110428/F51141/593/1", 37.32)</f>
        <v>37.32</v>
      </c>
      <c r="E116" s="2">
        <v>9.09</v>
      </c>
      <c r="F116" s="2">
        <v>2</v>
      </c>
      <c r="G116" s="2" t="s">
        <v>14</v>
      </c>
    </row>
    <row r="117" spans="1:9" x14ac:dyDescent="0.2">
      <c r="A117" s="2" t="s">
        <v>3490</v>
      </c>
      <c r="B117" s="2" t="s">
        <v>320</v>
      </c>
      <c r="C117" s="2">
        <v>693.23749999999995</v>
      </c>
      <c r="D117" s="2">
        <f>HYPERLINK("http://mcb-m6.bioreg.kyushu-u.ac.jp/M3/20110429/F51153/3627/1", 37.07)</f>
        <v>37.07</v>
      </c>
      <c r="E117" s="2">
        <v>23.51</v>
      </c>
      <c r="F117" s="2">
        <v>3</v>
      </c>
      <c r="G117" s="2" t="s">
        <v>13</v>
      </c>
      <c r="H117" s="2" t="s">
        <v>4917</v>
      </c>
      <c r="I117" s="2" t="s">
        <v>4918</v>
      </c>
    </row>
    <row r="118" spans="1:9" x14ac:dyDescent="0.2">
      <c r="A118" s="2" t="s">
        <v>3490</v>
      </c>
      <c r="B118" s="2" t="s">
        <v>320</v>
      </c>
      <c r="C118" s="2">
        <v>693.34019999999998</v>
      </c>
      <c r="D118" s="2">
        <f>HYPERLINK("http://mcb-m6.bioreg.kyushu-u.ac.jp/M3/20110429/F51154/3418/1", 39.73)</f>
        <v>39.729999999999997</v>
      </c>
      <c r="E118" s="2">
        <v>24.99</v>
      </c>
      <c r="F118" s="2">
        <v>3</v>
      </c>
      <c r="G118" s="2" t="s">
        <v>13</v>
      </c>
      <c r="H118" s="2" t="s">
        <v>4917</v>
      </c>
      <c r="I118" s="2" t="s">
        <v>4918</v>
      </c>
    </row>
    <row r="119" spans="1:9" x14ac:dyDescent="0.2">
      <c r="A119" s="2" t="s">
        <v>3490</v>
      </c>
      <c r="B119" s="2" t="s">
        <v>320</v>
      </c>
      <c r="C119" s="2">
        <v>693.33389999999997</v>
      </c>
      <c r="D119" s="2">
        <f>HYPERLINK("http://mcb-m6.bioreg.kyushu-u.ac.jp/M3/20110428/F51143/3234/1", 40.16)</f>
        <v>40.159999999999997</v>
      </c>
      <c r="E119" s="2">
        <v>24.99</v>
      </c>
      <c r="F119" s="2">
        <v>3</v>
      </c>
      <c r="G119" s="2" t="s">
        <v>14</v>
      </c>
      <c r="H119" s="2" t="s">
        <v>4917</v>
      </c>
      <c r="I119" s="2" t="s">
        <v>4918</v>
      </c>
    </row>
    <row r="120" spans="1:9" x14ac:dyDescent="0.2">
      <c r="A120" s="2" t="s">
        <v>5642</v>
      </c>
      <c r="B120" s="2" t="s">
        <v>5072</v>
      </c>
      <c r="C120" s="2">
        <v>625.35860000000002</v>
      </c>
      <c r="D120" s="2">
        <f>HYPERLINK("http://mcb-m6.bioreg.kyushu-u.ac.jp/M3/20110318/F50607/1226/1", 46.36)</f>
        <v>46.36</v>
      </c>
      <c r="E120" s="2">
        <v>22.99</v>
      </c>
      <c r="F120" s="2">
        <v>2</v>
      </c>
      <c r="G120" s="2" t="s">
        <v>9</v>
      </c>
      <c r="H120" s="2" t="s">
        <v>4904</v>
      </c>
    </row>
    <row r="121" spans="1:9" x14ac:dyDescent="0.2">
      <c r="A121" s="2" t="s">
        <v>4441</v>
      </c>
      <c r="B121" s="2" t="s">
        <v>2334</v>
      </c>
      <c r="C121" s="2">
        <v>997.41</v>
      </c>
      <c r="D121" s="2">
        <f>HYPERLINK("http://mcb-m6.bioreg.kyushu-u.ac.jp/M3/20110318/F50618/795/1", 47.68)</f>
        <v>47.68</v>
      </c>
      <c r="E121" s="2">
        <v>4.18</v>
      </c>
      <c r="F121" s="2">
        <v>1</v>
      </c>
      <c r="G121" s="2" t="s">
        <v>9</v>
      </c>
      <c r="I121" s="2" t="s">
        <v>4893</v>
      </c>
    </row>
    <row r="122" spans="1:9" x14ac:dyDescent="0.2">
      <c r="A122" s="2" t="s">
        <v>4441</v>
      </c>
      <c r="B122" s="2" t="s">
        <v>2334</v>
      </c>
      <c r="C122" s="2">
        <v>997.53099999999995</v>
      </c>
      <c r="D122" s="2">
        <f>HYPERLINK("http://mcb-m6.bioreg.kyushu-u.ac.jp/M3/20110318/F50614/942/1", 52.75)</f>
        <v>52.75</v>
      </c>
      <c r="E122" s="2">
        <v>5.37</v>
      </c>
      <c r="F122" s="2">
        <v>1</v>
      </c>
      <c r="G122" s="2" t="s">
        <v>10</v>
      </c>
      <c r="I122" s="2" t="s">
        <v>4893</v>
      </c>
    </row>
    <row r="123" spans="1:9" x14ac:dyDescent="0.2">
      <c r="A123" s="2" t="s">
        <v>4441</v>
      </c>
      <c r="B123" s="2" t="s">
        <v>2334</v>
      </c>
      <c r="C123" s="2">
        <v>997.45399999999995</v>
      </c>
      <c r="D123" s="2">
        <f>HYPERLINK("http://mcb-m6.bioreg.kyushu-u.ac.jp/M3/20110418/F51001/1295/1", 47.6)</f>
        <v>47.6</v>
      </c>
      <c r="E123" s="2">
        <v>4.18</v>
      </c>
      <c r="F123" s="2">
        <v>1</v>
      </c>
      <c r="G123" s="2" t="s">
        <v>12</v>
      </c>
      <c r="I123" s="2" t="s">
        <v>4893</v>
      </c>
    </row>
    <row r="124" spans="1:9" x14ac:dyDescent="0.2">
      <c r="A124" s="2" t="s">
        <v>4441</v>
      </c>
      <c r="B124" s="2" t="s">
        <v>2334</v>
      </c>
      <c r="C124" s="2">
        <v>997.57399999999996</v>
      </c>
      <c r="D124" s="2">
        <f>HYPERLINK("http://mcb-m6.bioreg.kyushu-u.ac.jp/M3/20110502/F51163/722/1", 47.7)</f>
        <v>47.7</v>
      </c>
      <c r="E124" s="2">
        <v>4.1900000000000004</v>
      </c>
      <c r="F124" s="2">
        <v>1</v>
      </c>
      <c r="G124" s="2" t="s">
        <v>13</v>
      </c>
      <c r="I124" s="2" t="s">
        <v>4893</v>
      </c>
    </row>
    <row r="125" spans="1:9" x14ac:dyDescent="0.2">
      <c r="A125" s="2" t="s">
        <v>4720</v>
      </c>
      <c r="B125" s="2" t="s">
        <v>2915</v>
      </c>
      <c r="C125" s="2">
        <v>488.34910000000002</v>
      </c>
      <c r="D125" s="2">
        <f>HYPERLINK("http://mcb-m6.bioreg.kyushu-u.ac.jp/M3/20110429/F51152/800/1", 38.64)</f>
        <v>38.64</v>
      </c>
      <c r="E125" s="2">
        <v>15.04</v>
      </c>
      <c r="F125" s="2">
        <v>2</v>
      </c>
      <c r="G125" s="2" t="s">
        <v>13</v>
      </c>
    </row>
    <row r="126" spans="1:9" x14ac:dyDescent="0.2">
      <c r="A126" s="2" t="s">
        <v>5837</v>
      </c>
      <c r="B126" s="2" t="s">
        <v>5525</v>
      </c>
      <c r="C126" s="2">
        <v>595.90060000000005</v>
      </c>
      <c r="D126" s="2">
        <f>HYPERLINK("http://mcb-m6.bioreg.kyushu-u.ac.jp/M3/20110429/F51153/1142/1", 49.96)</f>
        <v>49.96</v>
      </c>
      <c r="E126" s="2">
        <v>23.39</v>
      </c>
      <c r="F126" s="2">
        <v>2</v>
      </c>
      <c r="G126" s="2" t="s">
        <v>13</v>
      </c>
    </row>
    <row r="127" spans="1:9" x14ac:dyDescent="0.2">
      <c r="A127" s="2" t="s">
        <v>5830</v>
      </c>
      <c r="B127" s="2" t="s">
        <v>5514</v>
      </c>
      <c r="C127" s="2">
        <v>708.26499999999999</v>
      </c>
      <c r="D127" s="2">
        <f>HYPERLINK("http://mcb-m6.bioreg.kyushu-u.ac.jp/M3/20110429/F51149/1098/1", 45.91)</f>
        <v>45.91</v>
      </c>
      <c r="E127" s="2">
        <v>7.34</v>
      </c>
      <c r="F127" s="2">
        <v>1</v>
      </c>
      <c r="G127" s="2" t="s">
        <v>13</v>
      </c>
    </row>
    <row r="128" spans="1:9" x14ac:dyDescent="0.2">
      <c r="A128" s="2" t="s">
        <v>5838</v>
      </c>
      <c r="B128" s="2" t="s">
        <v>5527</v>
      </c>
      <c r="C128" s="2">
        <v>492.74560000000002</v>
      </c>
      <c r="D128" s="2">
        <f>HYPERLINK("http://mcb-m6.bioreg.kyushu-u.ac.jp/M3/20110502/F51163/681/1", 50.2)</f>
        <v>50.2</v>
      </c>
      <c r="E128" s="2">
        <v>23.89</v>
      </c>
      <c r="F128" s="2">
        <v>2</v>
      </c>
      <c r="G128" s="2" t="s">
        <v>13</v>
      </c>
    </row>
    <row r="129" spans="1:9" x14ac:dyDescent="0.2">
      <c r="A129" s="2" t="s">
        <v>4705</v>
      </c>
      <c r="B129" s="2" t="s">
        <v>2886</v>
      </c>
      <c r="C129" s="2">
        <v>600.90769999999998</v>
      </c>
      <c r="D129" s="2">
        <f>HYPERLINK("http://mcb-m6.bioreg.kyushu-u.ac.jp/M3/20110418/F50979/1622/1", 38.55)</f>
        <v>38.549999999999997</v>
      </c>
      <c r="E129" s="2">
        <v>19.13</v>
      </c>
      <c r="F129" s="2">
        <v>2</v>
      </c>
      <c r="G129" s="2" t="s">
        <v>11</v>
      </c>
      <c r="H129" s="2" t="s">
        <v>4920</v>
      </c>
    </row>
    <row r="130" spans="1:9" x14ac:dyDescent="0.2">
      <c r="A130" s="2" t="s">
        <v>5872</v>
      </c>
      <c r="B130" s="2" t="s">
        <v>5571</v>
      </c>
      <c r="C130" s="2">
        <v>515.80820000000006</v>
      </c>
      <c r="D130" s="2">
        <f>HYPERLINK("http://mcb-m6.bioreg.kyushu-u.ac.jp/M3/20110428/F51141/767/1", 37.41)</f>
        <v>37.409999999999997</v>
      </c>
      <c r="E130" s="2">
        <v>14.32</v>
      </c>
      <c r="F130" s="2">
        <v>2</v>
      </c>
      <c r="G130" s="2" t="s">
        <v>14</v>
      </c>
    </row>
    <row r="131" spans="1:9" x14ac:dyDescent="0.2">
      <c r="A131" s="2" t="s">
        <v>5835</v>
      </c>
      <c r="B131" s="2" t="s">
        <v>5523</v>
      </c>
      <c r="C131" s="2">
        <v>956.1807</v>
      </c>
      <c r="D131" s="2">
        <f>HYPERLINK("http://mcb-m6.bioreg.kyushu-u.ac.jp/M3/20110428/F51147/2688/1", 49.35)</f>
        <v>49.35</v>
      </c>
      <c r="E131" s="2">
        <v>19.510000000000002</v>
      </c>
      <c r="F131" s="2">
        <v>2</v>
      </c>
      <c r="G131" s="2" t="s">
        <v>13</v>
      </c>
      <c r="I131" s="2" t="s">
        <v>4898</v>
      </c>
    </row>
    <row r="132" spans="1:9" x14ac:dyDescent="0.2">
      <c r="A132" s="2" t="s">
        <v>5811</v>
      </c>
      <c r="B132" s="2" t="s">
        <v>5479</v>
      </c>
      <c r="C132" s="2">
        <v>680.35220000000004</v>
      </c>
      <c r="D132" s="2">
        <f>HYPERLINK("http://mcb-m6.bioreg.kyushu-u.ac.jp/M3/20110429/F51153/1556/1", 37.83)</f>
        <v>37.83</v>
      </c>
      <c r="E132" s="2">
        <v>10.17</v>
      </c>
      <c r="F132" s="2">
        <v>2</v>
      </c>
      <c r="G132" s="2" t="s">
        <v>13</v>
      </c>
    </row>
    <row r="133" spans="1:9" x14ac:dyDescent="0.2">
      <c r="A133" s="2" t="s">
        <v>4342</v>
      </c>
      <c r="B133" s="2" t="s">
        <v>2157</v>
      </c>
      <c r="C133" s="2">
        <v>896.58720000000005</v>
      </c>
      <c r="D133" s="2">
        <f>HYPERLINK("http://mcb-m6.bioreg.kyushu-u.ac.jp/M3/20110502/F51160/2444/1", 41.39)</f>
        <v>41.39</v>
      </c>
      <c r="E133" s="2">
        <v>26.08</v>
      </c>
      <c r="F133" s="2">
        <v>2</v>
      </c>
      <c r="G133" s="2" t="s">
        <v>14</v>
      </c>
    </row>
    <row r="134" spans="1:9" x14ac:dyDescent="0.2">
      <c r="A134" s="2" t="s">
        <v>5819</v>
      </c>
      <c r="B134" s="2" t="s">
        <v>5497</v>
      </c>
      <c r="C134" s="2">
        <v>489.19159999999999</v>
      </c>
      <c r="D134" s="2">
        <f>HYPERLINK("http://mcb-m6.bioreg.kyushu-u.ac.jp/M3/20110429/F51155/1159/1", 41.58)</f>
        <v>41.58</v>
      </c>
      <c r="E134" s="2">
        <v>8.51</v>
      </c>
      <c r="F134" s="2">
        <v>2</v>
      </c>
      <c r="G134" s="2" t="s">
        <v>13</v>
      </c>
      <c r="I134" s="2" t="s">
        <v>4898</v>
      </c>
    </row>
    <row r="135" spans="1:9" x14ac:dyDescent="0.2">
      <c r="A135" s="2" t="s">
        <v>5627</v>
      </c>
      <c r="B135" s="2" t="s">
        <v>5045</v>
      </c>
      <c r="C135" s="2">
        <v>681.93550000000005</v>
      </c>
      <c r="D135" s="2">
        <f>HYPERLINK("http://mcb-m6.bioreg.kyushu-u.ac.jp/M3/20110318/F50618/2712/1", 42.6)</f>
        <v>42.6</v>
      </c>
      <c r="E135" s="2">
        <v>9.56</v>
      </c>
      <c r="F135" s="2">
        <v>3</v>
      </c>
      <c r="G135" s="2" t="s">
        <v>9</v>
      </c>
    </row>
    <row r="136" spans="1:9" x14ac:dyDescent="0.2">
      <c r="A136" s="2" t="s">
        <v>5868</v>
      </c>
      <c r="B136" s="2" t="s">
        <v>5567</v>
      </c>
      <c r="C136" s="2">
        <v>459.41210000000001</v>
      </c>
      <c r="D136" s="2">
        <f>HYPERLINK("http://mcb-m6.bioreg.kyushu-u.ac.jp/M3/20110502/F51159/797/1", 35.83)</f>
        <v>35.83</v>
      </c>
      <c r="E136" s="2">
        <v>16.78</v>
      </c>
      <c r="F136" s="2">
        <v>2</v>
      </c>
      <c r="G136" s="2" t="s">
        <v>14</v>
      </c>
    </row>
    <row r="137" spans="1:9" x14ac:dyDescent="0.2">
      <c r="A137" s="2" t="s">
        <v>3448</v>
      </c>
      <c r="B137" s="2" t="s">
        <v>258</v>
      </c>
      <c r="C137" s="2">
        <v>485.44810000000001</v>
      </c>
      <c r="D137" s="2">
        <f>HYPERLINK("http://mcb-m6.bioreg.kyushu-u.ac.jp/M3/20110429/F51149/1357/1", 44.06)</f>
        <v>44.06</v>
      </c>
      <c r="E137" s="2">
        <v>24.86</v>
      </c>
      <c r="F137" s="2">
        <v>2</v>
      </c>
      <c r="G137" s="2" t="s">
        <v>13</v>
      </c>
    </row>
    <row r="138" spans="1:9" x14ac:dyDescent="0.2">
      <c r="A138" s="2" t="s">
        <v>5609</v>
      </c>
      <c r="B138" s="2" t="s">
        <v>5003</v>
      </c>
      <c r="C138" s="2">
        <v>473.89659999999998</v>
      </c>
      <c r="D138" s="2">
        <f>HYPERLINK("http://mcb-m6.bioreg.kyushu-u.ac.jp/M3/20110318/F50618/704/1", 36.75)</f>
        <v>36.75</v>
      </c>
      <c r="E138" s="2">
        <v>8.7200000000000006</v>
      </c>
      <c r="F138" s="2">
        <v>2</v>
      </c>
      <c r="G138" s="2" t="s">
        <v>9</v>
      </c>
    </row>
    <row r="139" spans="1:9" x14ac:dyDescent="0.2">
      <c r="A139" s="2" t="s">
        <v>5609</v>
      </c>
      <c r="B139" s="2" t="s">
        <v>5003</v>
      </c>
      <c r="C139" s="2">
        <v>473.94810000000001</v>
      </c>
      <c r="D139" s="2">
        <f>HYPERLINK("http://mcb-m6.bioreg.kyushu-u.ac.jp/M3/20110318/F50597/832/1", 42.95)</f>
        <v>42.95</v>
      </c>
      <c r="E139" s="2">
        <v>11.03</v>
      </c>
      <c r="F139" s="2">
        <v>2</v>
      </c>
      <c r="G139" s="2" t="s">
        <v>10</v>
      </c>
    </row>
    <row r="140" spans="1:9" x14ac:dyDescent="0.2">
      <c r="A140" s="2" t="s">
        <v>5748</v>
      </c>
      <c r="B140" s="2" t="s">
        <v>5363</v>
      </c>
      <c r="C140" s="2">
        <v>766.89869999999996</v>
      </c>
      <c r="D140" s="2">
        <f>HYPERLINK("http://mcb-m6.bioreg.kyushu-u.ac.jp/M3/20110418/F50969/2218/1", 36.61)</f>
        <v>36.61</v>
      </c>
      <c r="E140" s="2">
        <v>8.94</v>
      </c>
      <c r="F140" s="2">
        <v>2</v>
      </c>
      <c r="G140" s="2" t="s">
        <v>11</v>
      </c>
    </row>
    <row r="141" spans="1:9" x14ac:dyDescent="0.2">
      <c r="A141" s="2" t="s">
        <v>5788</v>
      </c>
      <c r="B141" s="2" t="s">
        <v>5435</v>
      </c>
      <c r="C141" s="2">
        <v>947.21400000000006</v>
      </c>
      <c r="D141" s="2">
        <f>HYPERLINK("http://mcb-m6.bioreg.kyushu-u.ac.jp/M3/20110418/F50986/1301/1", 39.18)</f>
        <v>39.18</v>
      </c>
      <c r="E141" s="2">
        <v>10.01</v>
      </c>
      <c r="F141" s="2">
        <v>1</v>
      </c>
      <c r="G141" s="2" t="s">
        <v>12</v>
      </c>
    </row>
    <row r="142" spans="1:9" x14ac:dyDescent="0.2">
      <c r="A142" s="2" t="s">
        <v>5800</v>
      </c>
      <c r="B142" s="2" t="s">
        <v>5463</v>
      </c>
      <c r="C142" s="2">
        <v>637.18119999999999</v>
      </c>
      <c r="D142" s="2">
        <f>HYPERLINK("http://mcb-m6.bioreg.kyushu-u.ac.jp/M3/20110429/F51151/1721/1", 36)</f>
        <v>36</v>
      </c>
      <c r="E142" s="2">
        <v>14.99</v>
      </c>
      <c r="F142" s="2">
        <v>2</v>
      </c>
      <c r="G142" s="2" t="s">
        <v>13</v>
      </c>
    </row>
    <row r="143" spans="1:9" x14ac:dyDescent="0.2">
      <c r="A143" s="2" t="s">
        <v>3333</v>
      </c>
      <c r="B143" s="2" t="s">
        <v>121</v>
      </c>
      <c r="C143" s="2">
        <v>795.23860000000002</v>
      </c>
      <c r="D143" s="2">
        <f>HYPERLINK("http://mcb-m6.bioreg.kyushu-u.ac.jp/M3/20110418/F50975/2398/1", 36)</f>
        <v>36</v>
      </c>
      <c r="E143" s="2">
        <v>11.43</v>
      </c>
      <c r="F143" s="2">
        <v>2</v>
      </c>
      <c r="G143" s="2" t="s">
        <v>11</v>
      </c>
    </row>
    <row r="144" spans="1:9" x14ac:dyDescent="0.2">
      <c r="A144" s="2" t="s">
        <v>3333</v>
      </c>
      <c r="B144" s="2" t="s">
        <v>121</v>
      </c>
      <c r="C144" s="2">
        <v>795.48609999999996</v>
      </c>
      <c r="D144" s="2">
        <f>HYPERLINK("http://mcb-m6.bioreg.kyushu-u.ac.jp/M3/20110428/F51142/2456/1", 37.7)</f>
        <v>37.700000000000003</v>
      </c>
      <c r="E144" s="2">
        <v>15.63</v>
      </c>
      <c r="F144" s="2">
        <v>2</v>
      </c>
      <c r="G144" s="2" t="s">
        <v>14</v>
      </c>
    </row>
    <row r="145" spans="1:9" x14ac:dyDescent="0.2">
      <c r="A145" s="2" t="s">
        <v>3333</v>
      </c>
      <c r="B145" s="2" t="s">
        <v>121</v>
      </c>
      <c r="C145" s="2">
        <v>795.38760000000002</v>
      </c>
      <c r="D145" s="2">
        <f>HYPERLINK("http://mcb-m6.bioreg.kyushu-u.ac.jp/M3/20110428/F51141/2293/1", 37.78)</f>
        <v>37.78</v>
      </c>
      <c r="E145" s="2">
        <v>15.61</v>
      </c>
      <c r="F145" s="2">
        <v>2</v>
      </c>
      <c r="G145" s="2" t="s">
        <v>14</v>
      </c>
    </row>
    <row r="146" spans="1:9" x14ac:dyDescent="0.2">
      <c r="A146" s="2" t="s">
        <v>3333</v>
      </c>
      <c r="B146" s="2" t="s">
        <v>121</v>
      </c>
      <c r="C146" s="2">
        <v>795.6481</v>
      </c>
      <c r="D146" s="2">
        <f>HYPERLINK("http://mcb-m6.bioreg.kyushu-u.ac.jp/M3/20110428/F51142/2458/1", 38.05)</f>
        <v>38.049999999999997</v>
      </c>
      <c r="E146" s="2">
        <v>14.24</v>
      </c>
      <c r="F146" s="2">
        <v>2</v>
      </c>
      <c r="G146" s="2" t="s">
        <v>14</v>
      </c>
    </row>
    <row r="147" spans="1:9" x14ac:dyDescent="0.2">
      <c r="A147" s="2" t="s">
        <v>3333</v>
      </c>
      <c r="B147" s="2" t="s">
        <v>121</v>
      </c>
      <c r="C147" s="2">
        <v>795.44569999999999</v>
      </c>
      <c r="D147" s="2">
        <f>HYPERLINK("http://mcb-m6.bioreg.kyushu-u.ac.jp/M3/20110428/F51142/2453/1", 38.4)</f>
        <v>38.4</v>
      </c>
      <c r="E147" s="2">
        <v>12.89</v>
      </c>
      <c r="F147" s="2">
        <v>2</v>
      </c>
      <c r="G147" s="2" t="s">
        <v>14</v>
      </c>
    </row>
    <row r="148" spans="1:9" x14ac:dyDescent="0.2">
      <c r="A148" s="2" t="s">
        <v>3333</v>
      </c>
      <c r="B148" s="2" t="s">
        <v>121</v>
      </c>
      <c r="C148" s="2">
        <v>795.02970000000005</v>
      </c>
      <c r="D148" s="2">
        <f>HYPERLINK("http://mcb-m6.bioreg.kyushu-u.ac.jp/M3/20110428/F51142/2449/1", 41.41)</f>
        <v>41.41</v>
      </c>
      <c r="E148" s="2">
        <v>17.899999999999999</v>
      </c>
      <c r="F148" s="2">
        <v>2</v>
      </c>
      <c r="G148" s="2" t="s">
        <v>14</v>
      </c>
    </row>
    <row r="149" spans="1:9" x14ac:dyDescent="0.2">
      <c r="A149" s="2" t="s">
        <v>5601</v>
      </c>
      <c r="B149" s="2" t="s">
        <v>4992</v>
      </c>
      <c r="C149" s="2">
        <v>865.33500000000004</v>
      </c>
      <c r="D149" s="2">
        <f>HYPERLINK("http://mcb-m6.bioreg.kyushu-u.ac.jp/M3/20110318/F50620/796/1", 35.58)</f>
        <v>35.58</v>
      </c>
      <c r="E149" s="2">
        <v>10.54</v>
      </c>
      <c r="F149" s="2">
        <v>1</v>
      </c>
      <c r="G149" s="2" t="s">
        <v>9</v>
      </c>
    </row>
    <row r="150" spans="1:9" x14ac:dyDescent="0.2">
      <c r="A150" s="2" t="s">
        <v>5787</v>
      </c>
      <c r="B150" s="2" t="s">
        <v>5433</v>
      </c>
      <c r="C150" s="2">
        <v>486.74560000000002</v>
      </c>
      <c r="D150" s="2">
        <f>HYPERLINK("http://mcb-m6.bioreg.kyushu-u.ac.jp/M3/20110418/F50988/1408/1", 38.54)</f>
        <v>38.54</v>
      </c>
      <c r="E150" s="2">
        <v>8.07</v>
      </c>
      <c r="F150" s="2">
        <v>2</v>
      </c>
      <c r="G150" s="2" t="s">
        <v>12</v>
      </c>
    </row>
    <row r="151" spans="1:9" x14ac:dyDescent="0.2">
      <c r="A151" s="2" t="s">
        <v>3772</v>
      </c>
      <c r="B151" s="2" t="s">
        <v>796</v>
      </c>
      <c r="C151" s="2">
        <v>760.43200000000002</v>
      </c>
      <c r="D151" s="2">
        <f>HYPERLINK("http://mcb-m6.bioreg.kyushu-u.ac.jp/M3/20110318/F50597/662/1", 55.02)</f>
        <v>55.02</v>
      </c>
      <c r="E151" s="2">
        <v>23.81</v>
      </c>
      <c r="F151" s="2">
        <v>1</v>
      </c>
      <c r="G151" s="2" t="s">
        <v>10</v>
      </c>
    </row>
    <row r="152" spans="1:9" x14ac:dyDescent="0.2">
      <c r="A152" s="2" t="s">
        <v>3772</v>
      </c>
      <c r="B152" s="2" t="s">
        <v>796</v>
      </c>
      <c r="C152" s="2">
        <v>760.327</v>
      </c>
      <c r="D152" s="2">
        <f>HYPERLINK("http://mcb-m6.bioreg.kyushu-u.ac.jp/M3/20110418/F50984/1469/1", 51.24)</f>
        <v>51.24</v>
      </c>
      <c r="E152" s="2">
        <v>21.47</v>
      </c>
      <c r="F152" s="2">
        <v>1</v>
      </c>
      <c r="G152" s="2" t="s">
        <v>12</v>
      </c>
    </row>
    <row r="153" spans="1:9" x14ac:dyDescent="0.2">
      <c r="A153" s="2" t="s">
        <v>3772</v>
      </c>
      <c r="B153" s="2" t="s">
        <v>796</v>
      </c>
      <c r="C153" s="2">
        <v>760.28800000000001</v>
      </c>
      <c r="D153" s="2">
        <f>HYPERLINK("http://mcb-m6.bioreg.kyushu-u.ac.jp/M3/20110429/F51157/384/1", 55.19)</f>
        <v>55.19</v>
      </c>
      <c r="E153" s="2">
        <v>22.9</v>
      </c>
      <c r="F153" s="2">
        <v>1</v>
      </c>
      <c r="G153" s="2" t="s">
        <v>13</v>
      </c>
    </row>
    <row r="154" spans="1:9" x14ac:dyDescent="0.2">
      <c r="A154" s="2" t="s">
        <v>5874</v>
      </c>
      <c r="B154" s="2" t="s">
        <v>5573</v>
      </c>
      <c r="C154" s="2">
        <v>465.23809999999997</v>
      </c>
      <c r="D154" s="2">
        <f>HYPERLINK("http://mcb-m6.bioreg.kyushu-u.ac.jp/M3/20110428/F51144/879/2", 38.81)</f>
        <v>38.81</v>
      </c>
      <c r="E154" s="2">
        <v>14.58</v>
      </c>
      <c r="F154" s="2">
        <v>2</v>
      </c>
      <c r="G154" s="2" t="s">
        <v>14</v>
      </c>
    </row>
    <row r="155" spans="1:9" x14ac:dyDescent="0.2">
      <c r="A155" s="2" t="s">
        <v>5754</v>
      </c>
      <c r="B155" s="2" t="s">
        <v>5372</v>
      </c>
      <c r="C155" s="2">
        <v>468.9556</v>
      </c>
      <c r="D155" s="2">
        <f>HYPERLINK("http://mcb-m6.bioreg.kyushu-u.ac.jp/M3/20110418/F50974/848/1", 38.74)</f>
        <v>38.74</v>
      </c>
      <c r="E155" s="2">
        <v>14.21</v>
      </c>
      <c r="F155" s="2">
        <v>2</v>
      </c>
      <c r="G155" s="2" t="s">
        <v>11</v>
      </c>
      <c r="H155" s="2" t="s">
        <v>4908</v>
      </c>
    </row>
    <row r="156" spans="1:9" x14ac:dyDescent="0.2">
      <c r="A156" s="2" t="s">
        <v>5614</v>
      </c>
      <c r="B156" s="2" t="s">
        <v>5014</v>
      </c>
      <c r="C156" s="2">
        <v>766.72170000000006</v>
      </c>
      <c r="D156" s="2">
        <f>HYPERLINK("http://mcb-m6.bioreg.kyushu-u.ac.jp/M3/20110318/F50619/1572/1", 38.72)</f>
        <v>38.72</v>
      </c>
      <c r="E156" s="2">
        <v>18.04</v>
      </c>
      <c r="F156" s="2">
        <v>2</v>
      </c>
      <c r="G156" s="2" t="s">
        <v>9</v>
      </c>
      <c r="I156" s="2" t="s">
        <v>4899</v>
      </c>
    </row>
    <row r="157" spans="1:9" x14ac:dyDescent="0.2">
      <c r="A157" s="2" t="s">
        <v>4445</v>
      </c>
      <c r="B157" s="2" t="s">
        <v>2344</v>
      </c>
      <c r="C157" s="2">
        <v>688.12099999999998</v>
      </c>
      <c r="D157" s="2">
        <f>HYPERLINK("http://mcb-m6.bioreg.kyushu-u.ac.jp/M3/20110429/F51149/1062/1", 48.76)</f>
        <v>48.76</v>
      </c>
      <c r="E157" s="2">
        <v>7.4</v>
      </c>
      <c r="F157" s="2">
        <v>1</v>
      </c>
      <c r="G157" s="2" t="s">
        <v>13</v>
      </c>
    </row>
    <row r="158" spans="1:9" x14ac:dyDescent="0.2">
      <c r="A158" s="2" t="s">
        <v>3503</v>
      </c>
      <c r="B158" s="2" t="s">
        <v>340</v>
      </c>
      <c r="C158" s="2">
        <v>714.32510000000002</v>
      </c>
      <c r="D158" s="2">
        <f>HYPERLINK("http://mcb-m6.bioreg.kyushu-u.ac.jp/M3/20110318/F50622/1334/1", 35.38)</f>
        <v>35.380000000000003</v>
      </c>
      <c r="E158" s="2">
        <v>9.82</v>
      </c>
      <c r="F158" s="2">
        <v>2</v>
      </c>
      <c r="G158" s="2" t="s">
        <v>10</v>
      </c>
    </row>
    <row r="159" spans="1:9" x14ac:dyDescent="0.2">
      <c r="A159" s="2" t="s">
        <v>5705</v>
      </c>
      <c r="B159" s="2" t="s">
        <v>5243</v>
      </c>
      <c r="C159" s="2">
        <v>454.86349999999999</v>
      </c>
      <c r="D159" s="2">
        <f>HYPERLINK("http://mcb-m6.bioreg.kyushu-u.ac.jp/M3/20110318/F50617/1342/1", 39.75)</f>
        <v>39.75</v>
      </c>
      <c r="E159" s="2">
        <v>19.829999999999998</v>
      </c>
      <c r="F159" s="2">
        <v>3</v>
      </c>
      <c r="G159" s="2" t="s">
        <v>10</v>
      </c>
      <c r="H159" s="2" t="s">
        <v>5892</v>
      </c>
    </row>
    <row r="160" spans="1:9" x14ac:dyDescent="0.2">
      <c r="A160" s="2" t="s">
        <v>5681</v>
      </c>
      <c r="B160" s="2" t="s">
        <v>5205</v>
      </c>
      <c r="C160" s="2">
        <v>634.65920000000006</v>
      </c>
      <c r="D160" s="2">
        <f>HYPERLINK("http://mcb-m6.bioreg.kyushu-u.ac.jp/M3/20110318/F50616/1314/1", 35.31)</f>
        <v>35.31</v>
      </c>
      <c r="E160" s="2">
        <v>17.18</v>
      </c>
      <c r="F160" s="2">
        <v>2</v>
      </c>
      <c r="G160" s="2" t="s">
        <v>10</v>
      </c>
    </row>
    <row r="161" spans="1:9" x14ac:dyDescent="0.2">
      <c r="A161" s="2" t="s">
        <v>5681</v>
      </c>
      <c r="B161" s="2" t="s">
        <v>5205</v>
      </c>
      <c r="C161" s="2">
        <v>634.47609999999997</v>
      </c>
      <c r="D161" s="2">
        <f>HYPERLINK("http://mcb-m6.bioreg.kyushu-u.ac.jp/M3/20110318/F50600/1303/1", 38.23)</f>
        <v>38.229999999999997</v>
      </c>
      <c r="E161" s="2">
        <v>24.09</v>
      </c>
      <c r="F161" s="2">
        <v>2</v>
      </c>
      <c r="G161" s="2" t="s">
        <v>10</v>
      </c>
    </row>
    <row r="162" spans="1:9" x14ac:dyDescent="0.2">
      <c r="A162" s="2" t="s">
        <v>5639</v>
      </c>
      <c r="B162" s="2" t="s">
        <v>5067</v>
      </c>
      <c r="C162" s="2">
        <v>618.80319999999995</v>
      </c>
      <c r="D162" s="2">
        <f>HYPERLINK("http://mcb-m6.bioreg.kyushu-u.ac.jp/M3/20110318/F50620/1288/1", 45.93)</f>
        <v>45.93</v>
      </c>
      <c r="E162" s="2">
        <v>2.75</v>
      </c>
      <c r="F162" s="2">
        <v>2</v>
      </c>
      <c r="G162" s="2" t="s">
        <v>9</v>
      </c>
    </row>
    <row r="163" spans="1:9" x14ac:dyDescent="0.2">
      <c r="A163" s="2" t="s">
        <v>4446</v>
      </c>
      <c r="B163" s="2" t="s">
        <v>2345</v>
      </c>
      <c r="C163" s="2">
        <v>688.12099999999998</v>
      </c>
      <c r="D163" s="2">
        <f>HYPERLINK("http://mcb-m6.bioreg.kyushu-u.ac.jp/M3/20110429/F51149/1062/2", 48.76)</f>
        <v>48.76</v>
      </c>
      <c r="E163" s="2">
        <v>7.4</v>
      </c>
      <c r="F163" s="2">
        <v>1</v>
      </c>
      <c r="G163" s="2" t="s">
        <v>13</v>
      </c>
    </row>
    <row r="164" spans="1:9" x14ac:dyDescent="0.2">
      <c r="A164" s="2" t="s">
        <v>5821</v>
      </c>
      <c r="B164" s="2" t="s">
        <v>5500</v>
      </c>
      <c r="C164" s="2">
        <v>729.14760000000001</v>
      </c>
      <c r="D164" s="2">
        <f>HYPERLINK("http://mcb-m6.bioreg.kyushu-u.ac.jp/M3/20110429/F51151/2075/1", 42.68)</f>
        <v>42.68</v>
      </c>
      <c r="E164" s="2">
        <v>18.059999999999999</v>
      </c>
      <c r="F164" s="2">
        <v>2</v>
      </c>
      <c r="G164" s="2" t="s">
        <v>13</v>
      </c>
    </row>
    <row r="165" spans="1:9" x14ac:dyDescent="0.2">
      <c r="A165" s="2" t="s">
        <v>5629</v>
      </c>
      <c r="B165" s="2" t="s">
        <v>5047</v>
      </c>
      <c r="C165" s="2">
        <v>565.75620000000004</v>
      </c>
      <c r="D165" s="2">
        <f>HYPERLINK("http://mcb-m6.bioreg.kyushu-u.ac.jp/M3/20110318/F50620/1127/1", 43.04)</f>
        <v>43.04</v>
      </c>
      <c r="E165" s="2">
        <v>11.32</v>
      </c>
      <c r="F165" s="2">
        <v>2</v>
      </c>
      <c r="G165" s="2" t="s">
        <v>9</v>
      </c>
    </row>
    <row r="166" spans="1:9" x14ac:dyDescent="0.2">
      <c r="A166" s="2" t="s">
        <v>3686</v>
      </c>
      <c r="B166" s="2" t="s">
        <v>648</v>
      </c>
      <c r="C166" s="2">
        <v>523.91359999999997</v>
      </c>
      <c r="D166" s="2">
        <f>HYPERLINK("http://mcb-m6.bioreg.kyushu-u.ac.jp/M3/20110428/F51146/1297/1", 36.19)</f>
        <v>36.19</v>
      </c>
      <c r="E166" s="2">
        <v>11.33</v>
      </c>
      <c r="F166" s="2">
        <v>2</v>
      </c>
      <c r="G166" s="2" t="s">
        <v>13</v>
      </c>
      <c r="H166" s="2" t="s">
        <v>4910</v>
      </c>
    </row>
    <row r="167" spans="1:9" x14ac:dyDescent="0.2">
      <c r="A167" s="2" t="s">
        <v>3686</v>
      </c>
      <c r="B167" s="2" t="s">
        <v>648</v>
      </c>
      <c r="C167" s="2">
        <v>523.90120000000002</v>
      </c>
      <c r="D167" s="2">
        <f>HYPERLINK("http://mcb-m6.bioreg.kyushu-u.ac.jp/M3/20110429/F51156/1019/1", 40.29)</f>
        <v>40.29</v>
      </c>
      <c r="E167" s="2">
        <v>17.670000000000002</v>
      </c>
      <c r="F167" s="2">
        <v>2</v>
      </c>
      <c r="G167" s="2" t="s">
        <v>13</v>
      </c>
      <c r="H167" s="2" t="s">
        <v>4910</v>
      </c>
    </row>
    <row r="168" spans="1:9" x14ac:dyDescent="0.2">
      <c r="A168" s="2" t="s">
        <v>3686</v>
      </c>
      <c r="B168" s="2" t="s">
        <v>648</v>
      </c>
      <c r="C168" s="2">
        <v>523.80070000000001</v>
      </c>
      <c r="D168" s="2">
        <f>HYPERLINK("http://mcb-m6.bioreg.kyushu-u.ac.jp/M3/20110428/F51145/1321/1", 38.09)</f>
        <v>38.090000000000003</v>
      </c>
      <c r="E168" s="2">
        <v>10.81</v>
      </c>
      <c r="F168" s="2">
        <v>2</v>
      </c>
      <c r="G168" s="2" t="s">
        <v>14</v>
      </c>
      <c r="H168" s="2" t="s">
        <v>4910</v>
      </c>
    </row>
    <row r="169" spans="1:9" x14ac:dyDescent="0.2">
      <c r="A169" s="2" t="s">
        <v>3686</v>
      </c>
      <c r="B169" s="2" t="s">
        <v>648</v>
      </c>
      <c r="C169" s="2">
        <v>524.24220000000003</v>
      </c>
      <c r="D169" s="2">
        <f>HYPERLINK("http://mcb-m6.bioreg.kyushu-u.ac.jp/M3/20110428/F51141/810/1", 39.65)</f>
        <v>39.65</v>
      </c>
      <c r="E169" s="2">
        <v>10.54</v>
      </c>
      <c r="F169" s="2">
        <v>2</v>
      </c>
      <c r="G169" s="2" t="s">
        <v>14</v>
      </c>
      <c r="H169" s="2" t="s">
        <v>4910</v>
      </c>
    </row>
    <row r="170" spans="1:9" x14ac:dyDescent="0.2">
      <c r="A170" s="2" t="s">
        <v>3686</v>
      </c>
      <c r="B170" s="2" t="s">
        <v>648</v>
      </c>
      <c r="C170" s="2">
        <v>524.35919999999999</v>
      </c>
      <c r="D170" s="2">
        <f>HYPERLINK("http://mcb-m6.bioreg.kyushu-u.ac.jp/M3/20110502/F51161/1135/1", 43.38)</f>
        <v>43.38</v>
      </c>
      <c r="E170" s="2">
        <v>15.47</v>
      </c>
      <c r="F170" s="2">
        <v>2</v>
      </c>
      <c r="G170" s="2" t="s">
        <v>14</v>
      </c>
      <c r="H170" s="2" t="s">
        <v>4910</v>
      </c>
    </row>
    <row r="171" spans="1:9" x14ac:dyDescent="0.2">
      <c r="A171" s="2" t="s">
        <v>5870</v>
      </c>
      <c r="B171" s="2" t="s">
        <v>5569</v>
      </c>
      <c r="C171" s="2">
        <v>703.92819999999995</v>
      </c>
      <c r="D171" s="2">
        <f>HYPERLINK("http://mcb-m6.bioreg.kyushu-u.ac.jp/M3/20110502/F51162/1712/1", 36.29)</f>
        <v>36.29</v>
      </c>
      <c r="E171" s="2">
        <v>18.77</v>
      </c>
      <c r="F171" s="2">
        <v>2</v>
      </c>
      <c r="G171" s="2" t="s">
        <v>14</v>
      </c>
    </row>
    <row r="172" spans="1:9" x14ac:dyDescent="0.2">
      <c r="A172" s="2" t="s">
        <v>5792</v>
      </c>
      <c r="B172" s="2" t="s">
        <v>5442</v>
      </c>
      <c r="C172" s="2">
        <v>508.2801</v>
      </c>
      <c r="D172" s="2">
        <f>HYPERLINK("http://mcb-m6.bioreg.kyushu-u.ac.jp/M3/20110418/F51001/1335/1", 45.57)</f>
        <v>45.57</v>
      </c>
      <c r="E172" s="2">
        <v>1.8</v>
      </c>
      <c r="F172" s="2">
        <v>2</v>
      </c>
      <c r="G172" s="2" t="s">
        <v>12</v>
      </c>
    </row>
    <row r="173" spans="1:9" x14ac:dyDescent="0.2">
      <c r="A173" s="2" t="s">
        <v>3538</v>
      </c>
      <c r="B173" s="2" t="s">
        <v>392</v>
      </c>
      <c r="C173" s="2">
        <v>683.40970000000004</v>
      </c>
      <c r="D173" s="2">
        <f>HYPERLINK("http://mcb-m6.bioreg.kyushu-u.ac.jp/M3/20110502/F51158/1576/1", 37.43)</f>
        <v>37.43</v>
      </c>
      <c r="E173" s="2">
        <v>10.66</v>
      </c>
      <c r="F173" s="2">
        <v>2</v>
      </c>
      <c r="G173" s="2" t="s">
        <v>13</v>
      </c>
      <c r="H173" s="2" t="s">
        <v>4901</v>
      </c>
    </row>
    <row r="174" spans="1:9" x14ac:dyDescent="0.2">
      <c r="A174" s="2" t="s">
        <v>4127</v>
      </c>
      <c r="B174" s="2" t="s">
        <v>1647</v>
      </c>
      <c r="C174" s="2">
        <v>876.34820000000002</v>
      </c>
      <c r="D174" s="2">
        <f>HYPERLINK("http://mcb-m6.bioreg.kyushu-u.ac.jp/M3/20110318/F50610/2541/1", 100.34)</f>
        <v>100.34</v>
      </c>
      <c r="E174" s="2">
        <v>85.31</v>
      </c>
      <c r="F174" s="2">
        <v>3</v>
      </c>
      <c r="G174" s="2" t="s">
        <v>9</v>
      </c>
      <c r="I174" s="2" t="s">
        <v>4899</v>
      </c>
    </row>
    <row r="175" spans="1:9" x14ac:dyDescent="0.2">
      <c r="A175" s="2" t="s">
        <v>4127</v>
      </c>
      <c r="B175" s="2" t="s">
        <v>1647</v>
      </c>
      <c r="C175" s="2">
        <v>876.13480000000004</v>
      </c>
      <c r="D175" s="2">
        <f>HYPERLINK("http://mcb-m6.bioreg.kyushu-u.ac.jp/M3/20110318/F50611/3024/1", 59.29)</f>
        <v>59.29</v>
      </c>
      <c r="E175" s="2">
        <v>45.03</v>
      </c>
      <c r="F175" s="2">
        <v>3</v>
      </c>
      <c r="G175" s="2" t="s">
        <v>10</v>
      </c>
      <c r="I175" s="2" t="s">
        <v>4899</v>
      </c>
    </row>
    <row r="176" spans="1:9" x14ac:dyDescent="0.2">
      <c r="A176" s="2" t="s">
        <v>4127</v>
      </c>
      <c r="B176" s="2" t="s">
        <v>1647</v>
      </c>
      <c r="C176" s="2">
        <v>1313.1759999999999</v>
      </c>
      <c r="D176" s="2">
        <f>HYPERLINK("http://mcb-m6.bioreg.kyushu-u.ac.jp/M3/20110318/F50622/2969/1", 69.92)</f>
        <v>69.92</v>
      </c>
      <c r="E176" s="2">
        <v>58.32</v>
      </c>
      <c r="F176" s="2">
        <v>2</v>
      </c>
      <c r="G176" s="2" t="s">
        <v>10</v>
      </c>
      <c r="I176" s="2" t="s">
        <v>4899</v>
      </c>
    </row>
    <row r="177" spans="1:9" x14ac:dyDescent="0.2">
      <c r="A177" s="2" t="s">
        <v>4127</v>
      </c>
      <c r="B177" s="2" t="s">
        <v>1647</v>
      </c>
      <c r="C177" s="2">
        <v>876.17790000000002</v>
      </c>
      <c r="D177" s="2">
        <f>HYPERLINK("http://mcb-m6.bioreg.kyushu-u.ac.jp/M3/20110318/F50622/2973/1", 114.82)</f>
        <v>114.82</v>
      </c>
      <c r="E177" s="2">
        <v>101.27</v>
      </c>
      <c r="F177" s="2">
        <v>3</v>
      </c>
      <c r="G177" s="2" t="s">
        <v>10</v>
      </c>
      <c r="I177" s="2" t="s">
        <v>4899</v>
      </c>
    </row>
    <row r="178" spans="1:9" x14ac:dyDescent="0.2">
      <c r="A178" s="2" t="s">
        <v>4127</v>
      </c>
      <c r="B178" s="2" t="s">
        <v>1647</v>
      </c>
      <c r="C178" s="2">
        <v>1313.692</v>
      </c>
      <c r="D178" s="2">
        <f>HYPERLINK("http://mcb-m6.bioreg.kyushu-u.ac.jp/M3/20110318/F50622/2972/1", 130.02)</f>
        <v>130.02000000000001</v>
      </c>
      <c r="E178" s="2">
        <v>119.51</v>
      </c>
      <c r="F178" s="2">
        <v>2</v>
      </c>
      <c r="G178" s="2" t="s">
        <v>10</v>
      </c>
      <c r="I178" s="2" t="s">
        <v>4899</v>
      </c>
    </row>
    <row r="179" spans="1:9" x14ac:dyDescent="0.2">
      <c r="A179" s="2" t="s">
        <v>3863</v>
      </c>
      <c r="B179" s="2" t="s">
        <v>976</v>
      </c>
      <c r="C179" s="2">
        <v>649.85569999999996</v>
      </c>
      <c r="D179" s="2">
        <f>HYPERLINK("http://mcb-m6.bioreg.kyushu-u.ac.jp/M3/20110318/F50609/1371/1", 51.93)</f>
        <v>51.93</v>
      </c>
      <c r="E179" s="2">
        <v>43.08</v>
      </c>
      <c r="F179" s="2">
        <v>2</v>
      </c>
      <c r="G179" s="2" t="s">
        <v>9</v>
      </c>
    </row>
    <row r="180" spans="1:9" x14ac:dyDescent="0.2">
      <c r="A180" s="2" t="s">
        <v>3863</v>
      </c>
      <c r="B180" s="2" t="s">
        <v>976</v>
      </c>
      <c r="C180" s="2">
        <v>650.04769999999996</v>
      </c>
      <c r="D180" s="2">
        <f>HYPERLINK("http://mcb-m6.bioreg.kyushu-u.ac.jp/M3/20110318/F50610/1486/1", 53.01)</f>
        <v>53.01</v>
      </c>
      <c r="E180" s="2">
        <v>40.19</v>
      </c>
      <c r="F180" s="2">
        <v>2</v>
      </c>
      <c r="G180" s="2" t="s">
        <v>9</v>
      </c>
    </row>
    <row r="181" spans="1:9" x14ac:dyDescent="0.2">
      <c r="A181" s="2" t="s">
        <v>3863</v>
      </c>
      <c r="B181" s="2" t="s">
        <v>976</v>
      </c>
      <c r="C181" s="2">
        <v>1299.6849999999999</v>
      </c>
      <c r="D181" s="2">
        <f>HYPERLINK("http://mcb-m6.bioreg.kyushu-u.ac.jp/M3/20110318/F50610/1488/1", 65.65)</f>
        <v>65.650000000000006</v>
      </c>
      <c r="E181" s="2">
        <v>46.44</v>
      </c>
      <c r="F181" s="2">
        <v>1</v>
      </c>
      <c r="G181" s="2" t="s">
        <v>9</v>
      </c>
    </row>
    <row r="182" spans="1:9" x14ac:dyDescent="0.2">
      <c r="A182" s="2" t="s">
        <v>3863</v>
      </c>
      <c r="B182" s="2" t="s">
        <v>976</v>
      </c>
      <c r="C182" s="2">
        <v>1298.6849999999999</v>
      </c>
      <c r="D182" s="2">
        <f>HYPERLINK("http://mcb-m6.bioreg.kyushu-u.ac.jp/M3/20110318/F50610/1484/1", 79.41)</f>
        <v>79.41</v>
      </c>
      <c r="E182" s="2">
        <v>59.05</v>
      </c>
      <c r="F182" s="2">
        <v>1</v>
      </c>
      <c r="G182" s="2" t="s">
        <v>9</v>
      </c>
    </row>
    <row r="183" spans="1:9" x14ac:dyDescent="0.2">
      <c r="A183" s="2" t="s">
        <v>3863</v>
      </c>
      <c r="B183" s="2" t="s">
        <v>976</v>
      </c>
      <c r="C183" s="2">
        <v>650.25070000000005</v>
      </c>
      <c r="D183" s="2">
        <f>HYPERLINK("http://mcb-m6.bioreg.kyushu-u.ac.jp/M3/20110318/F50600/1323/1", 68.94)</f>
        <v>68.94</v>
      </c>
      <c r="E183" s="2">
        <v>55.11</v>
      </c>
      <c r="F183" s="2">
        <v>2</v>
      </c>
      <c r="G183" s="2" t="s">
        <v>10</v>
      </c>
    </row>
    <row r="184" spans="1:9" x14ac:dyDescent="0.2">
      <c r="A184" s="2" t="s">
        <v>3863</v>
      </c>
      <c r="B184" s="2" t="s">
        <v>976</v>
      </c>
      <c r="C184" s="2">
        <v>1298.566</v>
      </c>
      <c r="D184" s="2">
        <f>HYPERLINK("http://mcb-m6.bioreg.kyushu-u.ac.jp/M3/20110318/F50622/1160/1", 76.28)</f>
        <v>76.28</v>
      </c>
      <c r="E184" s="2">
        <v>58.55</v>
      </c>
      <c r="F184" s="2">
        <v>1</v>
      </c>
      <c r="G184" s="2" t="s">
        <v>10</v>
      </c>
    </row>
    <row r="185" spans="1:9" x14ac:dyDescent="0.2">
      <c r="A185" s="2" t="s">
        <v>3863</v>
      </c>
      <c r="B185" s="2" t="s">
        <v>976</v>
      </c>
      <c r="C185" s="2">
        <v>649.89760000000001</v>
      </c>
      <c r="D185" s="2">
        <f>HYPERLINK("http://mcb-m6.bioreg.kyushu-u.ac.jp/M3/20110318/F50622/1161/1", 85.16)</f>
        <v>85.16</v>
      </c>
      <c r="E185" s="2">
        <v>67.17</v>
      </c>
      <c r="F185" s="2">
        <v>2</v>
      </c>
      <c r="G185" s="2" t="s">
        <v>10</v>
      </c>
    </row>
    <row r="186" spans="1:9" x14ac:dyDescent="0.2">
      <c r="A186" s="2" t="s">
        <v>3863</v>
      </c>
      <c r="B186" s="2" t="s">
        <v>976</v>
      </c>
      <c r="C186" s="2">
        <v>649.92660000000001</v>
      </c>
      <c r="D186" s="2">
        <f>HYPERLINK("http://mcb-m6.bioreg.kyushu-u.ac.jp/M3/20110418/F50969/1817/1", 47.11)</f>
        <v>47.11</v>
      </c>
      <c r="E186" s="2">
        <v>35.32</v>
      </c>
      <c r="F186" s="2">
        <v>2</v>
      </c>
      <c r="G186" s="2" t="s">
        <v>11</v>
      </c>
    </row>
    <row r="187" spans="1:9" x14ac:dyDescent="0.2">
      <c r="A187" s="2" t="s">
        <v>3863</v>
      </c>
      <c r="B187" s="2" t="s">
        <v>976</v>
      </c>
      <c r="C187" s="2">
        <v>650.27869999999996</v>
      </c>
      <c r="D187" s="2">
        <f>HYPERLINK("http://mcb-m6.bioreg.kyushu-u.ac.jp/M3/20110418/F50969/1820/1", 73.71)</f>
        <v>73.709999999999994</v>
      </c>
      <c r="E187" s="2">
        <v>60.92</v>
      </c>
      <c r="F187" s="2">
        <v>2</v>
      </c>
      <c r="G187" s="2" t="s">
        <v>11</v>
      </c>
    </row>
    <row r="188" spans="1:9" x14ac:dyDescent="0.2">
      <c r="A188" s="2" t="s">
        <v>3863</v>
      </c>
      <c r="B188" s="2" t="s">
        <v>976</v>
      </c>
      <c r="C188" s="2">
        <v>649.99369999999999</v>
      </c>
      <c r="D188" s="2">
        <f>HYPERLINK("http://mcb-m6.bioreg.kyushu-u.ac.jp/M3/20110428/F51146/1713/1", 37.04)</f>
        <v>37.04</v>
      </c>
      <c r="E188" s="2">
        <v>24.23</v>
      </c>
      <c r="F188" s="2">
        <v>2</v>
      </c>
      <c r="G188" s="2" t="s">
        <v>13</v>
      </c>
    </row>
    <row r="189" spans="1:9" x14ac:dyDescent="0.2">
      <c r="A189" s="2" t="s">
        <v>3863</v>
      </c>
      <c r="B189" s="2" t="s">
        <v>976</v>
      </c>
      <c r="C189" s="2">
        <v>650.32169999999996</v>
      </c>
      <c r="D189" s="2">
        <f>HYPERLINK("http://mcb-m6.bioreg.kyushu-u.ac.jp/M3/20110429/F51149/1808/1", 60.75)</f>
        <v>60.75</v>
      </c>
      <c r="E189" s="2">
        <v>48.4</v>
      </c>
      <c r="F189" s="2">
        <v>2</v>
      </c>
      <c r="G189" s="2" t="s">
        <v>13</v>
      </c>
    </row>
    <row r="190" spans="1:9" x14ac:dyDescent="0.2">
      <c r="A190" s="2" t="s">
        <v>3863</v>
      </c>
      <c r="B190" s="2" t="s">
        <v>976</v>
      </c>
      <c r="C190" s="2">
        <v>650.47119999999995</v>
      </c>
      <c r="D190" s="2">
        <f>HYPERLINK("http://mcb-m6.bioreg.kyushu-u.ac.jp/M3/20110428/F51146/1716/1", 65.41)</f>
        <v>65.41</v>
      </c>
      <c r="E190" s="2">
        <v>47.73</v>
      </c>
      <c r="F190" s="2">
        <v>2</v>
      </c>
      <c r="G190" s="2" t="s">
        <v>13</v>
      </c>
    </row>
    <row r="191" spans="1:9" x14ac:dyDescent="0.2">
      <c r="A191" s="2" t="s">
        <v>3863</v>
      </c>
      <c r="B191" s="2" t="s">
        <v>976</v>
      </c>
      <c r="C191" s="2">
        <v>650.11720000000003</v>
      </c>
      <c r="D191" s="2">
        <f>HYPERLINK("http://mcb-m6.bioreg.kyushu-u.ac.jp/M3/20110428/F51147/1666/1", 84.83)</f>
        <v>84.83</v>
      </c>
      <c r="E191" s="2">
        <v>61.34</v>
      </c>
      <c r="F191" s="2">
        <v>2</v>
      </c>
      <c r="G191" s="2" t="s">
        <v>13</v>
      </c>
    </row>
    <row r="192" spans="1:9" x14ac:dyDescent="0.2">
      <c r="A192" s="2" t="s">
        <v>3863</v>
      </c>
      <c r="B192" s="2" t="s">
        <v>976</v>
      </c>
      <c r="C192" s="2">
        <v>649.81410000000005</v>
      </c>
      <c r="D192" s="2">
        <f>HYPERLINK("http://mcb-m6.bioreg.kyushu-u.ac.jp/M3/20110428/F51138/1921/1", 36.2)</f>
        <v>36.200000000000003</v>
      </c>
      <c r="E192" s="2">
        <v>24.74</v>
      </c>
      <c r="F192" s="2">
        <v>2</v>
      </c>
      <c r="G192" s="2" t="s">
        <v>14</v>
      </c>
    </row>
    <row r="193" spans="1:9" x14ac:dyDescent="0.2">
      <c r="A193" s="2" t="s">
        <v>3863</v>
      </c>
      <c r="B193" s="2" t="s">
        <v>976</v>
      </c>
      <c r="C193" s="2">
        <v>650.07820000000004</v>
      </c>
      <c r="D193" s="2">
        <f>HYPERLINK("http://mcb-m6.bioreg.kyushu-u.ac.jp/M3/20110428/F51136/2089/1", 57.73)</f>
        <v>57.73</v>
      </c>
      <c r="E193" s="2">
        <v>44.43</v>
      </c>
      <c r="F193" s="2">
        <v>2</v>
      </c>
      <c r="G193" s="2" t="s">
        <v>14</v>
      </c>
    </row>
    <row r="194" spans="1:9" x14ac:dyDescent="0.2">
      <c r="A194" s="2" t="s">
        <v>3863</v>
      </c>
      <c r="B194" s="2" t="s">
        <v>976</v>
      </c>
      <c r="C194" s="2">
        <v>649.85670000000005</v>
      </c>
      <c r="D194" s="2">
        <f>HYPERLINK("http://mcb-m6.bioreg.kyushu-u.ac.jp/M3/20110428/F51137/1969/1", 81.65)</f>
        <v>81.650000000000006</v>
      </c>
      <c r="E194" s="2">
        <v>67.290000000000006</v>
      </c>
      <c r="F194" s="2">
        <v>2</v>
      </c>
      <c r="G194" s="2" t="s">
        <v>14</v>
      </c>
    </row>
    <row r="195" spans="1:9" x14ac:dyDescent="0.2">
      <c r="A195" s="2" t="s">
        <v>4423</v>
      </c>
      <c r="B195" s="2" t="s">
        <v>2293</v>
      </c>
      <c r="C195" s="2">
        <v>455.94810000000001</v>
      </c>
      <c r="D195" s="2">
        <f>HYPERLINK("http://mcb-m6.bioreg.kyushu-u.ac.jp/M3/20110318/F50610/1228/1", 57.94)</f>
        <v>57.94</v>
      </c>
      <c r="E195" s="2">
        <v>26.99</v>
      </c>
      <c r="F195" s="2">
        <v>2</v>
      </c>
      <c r="G195" s="2" t="s">
        <v>9</v>
      </c>
      <c r="H195" s="2" t="s">
        <v>4891</v>
      </c>
    </row>
    <row r="196" spans="1:9" x14ac:dyDescent="0.2">
      <c r="A196" s="2" t="s">
        <v>4423</v>
      </c>
      <c r="B196" s="2" t="s">
        <v>2293</v>
      </c>
      <c r="C196" s="2">
        <v>455.80860000000001</v>
      </c>
      <c r="D196" s="2">
        <f>HYPERLINK("http://mcb-m6.bioreg.kyushu-u.ac.jp/M3/20110318/F50622/815/1", 42.6)</f>
        <v>42.6</v>
      </c>
      <c r="E196" s="2">
        <v>17.170000000000002</v>
      </c>
      <c r="F196" s="2">
        <v>2</v>
      </c>
      <c r="G196" s="2" t="s">
        <v>10</v>
      </c>
      <c r="H196" s="2" t="s">
        <v>4891</v>
      </c>
    </row>
    <row r="197" spans="1:9" x14ac:dyDescent="0.2">
      <c r="A197" s="2" t="s">
        <v>4025</v>
      </c>
      <c r="B197" s="2" t="s">
        <v>1339</v>
      </c>
      <c r="C197" s="2">
        <v>1024.944</v>
      </c>
      <c r="D197" s="2">
        <f>HYPERLINK("http://mcb-m6.bioreg.kyushu-u.ac.jp/M3/20110318/F50610/2181/1", 100.07)</f>
        <v>100.07</v>
      </c>
      <c r="E197" s="2">
        <v>78.87</v>
      </c>
      <c r="F197" s="2">
        <v>2</v>
      </c>
      <c r="G197" s="2" t="s">
        <v>9</v>
      </c>
      <c r="H197" s="2" t="s">
        <v>4927</v>
      </c>
      <c r="I197" s="2" t="s">
        <v>4905</v>
      </c>
    </row>
    <row r="198" spans="1:9" x14ac:dyDescent="0.2">
      <c r="A198" s="2" t="s">
        <v>4025</v>
      </c>
      <c r="B198" s="2" t="s">
        <v>1516</v>
      </c>
      <c r="C198" s="2">
        <v>726.63149999999996</v>
      </c>
      <c r="D198" s="2">
        <f>HYPERLINK("http://mcb-m6.bioreg.kyushu-u.ac.jp/M3/20110318/F50622/2469/1", 56.66)</f>
        <v>56.66</v>
      </c>
      <c r="E198" s="2">
        <v>39.81</v>
      </c>
      <c r="F198" s="2">
        <v>3</v>
      </c>
      <c r="G198" s="2" t="s">
        <v>10</v>
      </c>
      <c r="H198" s="2" t="s">
        <v>4925</v>
      </c>
      <c r="I198" s="2" t="s">
        <v>4903</v>
      </c>
    </row>
    <row r="199" spans="1:9" x14ac:dyDescent="0.2">
      <c r="A199" s="2" t="s">
        <v>4025</v>
      </c>
      <c r="B199" s="2" t="s">
        <v>1516</v>
      </c>
      <c r="C199" s="2">
        <v>721.32180000000005</v>
      </c>
      <c r="D199" s="2">
        <f>HYPERLINK("http://mcb-m6.bioreg.kyushu-u.ac.jp/M3/20110318/F50622/2455/1", 64.26)</f>
        <v>64.260000000000005</v>
      </c>
      <c r="E199" s="2">
        <v>56.13</v>
      </c>
      <c r="F199" s="2">
        <v>3</v>
      </c>
      <c r="G199" s="2" t="s">
        <v>10</v>
      </c>
      <c r="I199" s="2" t="s">
        <v>4903</v>
      </c>
    </row>
    <row r="200" spans="1:9" x14ac:dyDescent="0.2">
      <c r="A200" s="2" t="s">
        <v>4025</v>
      </c>
      <c r="B200" s="2" t="s">
        <v>1516</v>
      </c>
      <c r="C200" s="2">
        <v>1089.3879999999999</v>
      </c>
      <c r="D200" s="2">
        <f>HYPERLINK("http://mcb-m6.bioreg.kyushu-u.ac.jp/M3/20110318/F50622/2468/1", 70.23)</f>
        <v>70.23</v>
      </c>
      <c r="E200" s="2">
        <v>54.68</v>
      </c>
      <c r="F200" s="2">
        <v>2</v>
      </c>
      <c r="G200" s="2" t="s">
        <v>10</v>
      </c>
      <c r="H200" s="2" t="s">
        <v>4925</v>
      </c>
      <c r="I200" s="2" t="s">
        <v>4903</v>
      </c>
    </row>
    <row r="201" spans="1:9" x14ac:dyDescent="0.2">
      <c r="A201" s="2" t="s">
        <v>4025</v>
      </c>
      <c r="B201" s="2" t="s">
        <v>1516</v>
      </c>
      <c r="C201" s="2">
        <v>1088.8489999999999</v>
      </c>
      <c r="D201" s="2">
        <f>HYPERLINK("http://mcb-m6.bioreg.kyushu-u.ac.jp/M3/20110318/F50622/2466/1", 81.66)</f>
        <v>81.66</v>
      </c>
      <c r="E201" s="2">
        <v>71.17</v>
      </c>
      <c r="F201" s="2">
        <v>2</v>
      </c>
      <c r="G201" s="2" t="s">
        <v>10</v>
      </c>
      <c r="H201" s="2" t="s">
        <v>4925</v>
      </c>
      <c r="I201" s="2" t="s">
        <v>4903</v>
      </c>
    </row>
    <row r="202" spans="1:9" x14ac:dyDescent="0.2">
      <c r="A202" s="2" t="s">
        <v>4025</v>
      </c>
      <c r="B202" s="2" t="s">
        <v>1339</v>
      </c>
      <c r="C202" s="2">
        <v>1025.296</v>
      </c>
      <c r="D202" s="2">
        <f>HYPERLINK("http://mcb-m6.bioreg.kyushu-u.ac.jp/M3/20110318/F50622/2312/1", 82.31)</f>
        <v>82.31</v>
      </c>
      <c r="E202" s="2">
        <v>60.31</v>
      </c>
      <c r="F202" s="2">
        <v>2</v>
      </c>
      <c r="G202" s="2" t="s">
        <v>10</v>
      </c>
      <c r="H202" s="2" t="s">
        <v>4927</v>
      </c>
      <c r="I202" s="2" t="s">
        <v>4905</v>
      </c>
    </row>
    <row r="203" spans="1:9" x14ac:dyDescent="0.2">
      <c r="A203" s="2" t="s">
        <v>4025</v>
      </c>
      <c r="B203" s="2" t="s">
        <v>1516</v>
      </c>
      <c r="C203" s="2">
        <v>1081.3630000000001</v>
      </c>
      <c r="D203" s="2">
        <f>HYPERLINK("http://mcb-m6.bioreg.kyushu-u.ac.jp/M3/20110318/F50622/2454/1", 87.91)</f>
        <v>87.91</v>
      </c>
      <c r="E203" s="2">
        <v>68.97</v>
      </c>
      <c r="F203" s="2">
        <v>2</v>
      </c>
      <c r="G203" s="2" t="s">
        <v>10</v>
      </c>
      <c r="I203" s="2" t="s">
        <v>4903</v>
      </c>
    </row>
    <row r="204" spans="1:9" x14ac:dyDescent="0.2">
      <c r="A204" s="2" t="s">
        <v>4025</v>
      </c>
      <c r="B204" s="2" t="s">
        <v>1339</v>
      </c>
      <c r="C204" s="2">
        <v>1017.0839999999999</v>
      </c>
      <c r="D204" s="2">
        <f>HYPERLINK("http://mcb-m6.bioreg.kyushu-u.ac.jp/M3/20110318/F50622/2271/1", 91.11)</f>
        <v>91.11</v>
      </c>
      <c r="E204" s="2">
        <v>75.53</v>
      </c>
      <c r="F204" s="2">
        <v>2</v>
      </c>
      <c r="G204" s="2" t="s">
        <v>10</v>
      </c>
      <c r="I204" s="2" t="s">
        <v>4905</v>
      </c>
    </row>
    <row r="205" spans="1:9" x14ac:dyDescent="0.2">
      <c r="A205" s="2" t="s">
        <v>4025</v>
      </c>
      <c r="B205" s="2" t="s">
        <v>1516</v>
      </c>
      <c r="C205" s="2">
        <v>1080.8510000000001</v>
      </c>
      <c r="D205" s="2">
        <f>HYPERLINK("http://mcb-m6.bioreg.kyushu-u.ac.jp/M3/20110318/F50622/2453/1", 94.05)</f>
        <v>94.05</v>
      </c>
      <c r="E205" s="2">
        <v>78.739999999999995</v>
      </c>
      <c r="F205" s="2">
        <v>2</v>
      </c>
      <c r="G205" s="2" t="s">
        <v>10</v>
      </c>
      <c r="I205" s="2" t="s">
        <v>4903</v>
      </c>
    </row>
    <row r="206" spans="1:9" x14ac:dyDescent="0.2">
      <c r="A206" s="2" t="s">
        <v>4025</v>
      </c>
      <c r="B206" s="2" t="s">
        <v>1339</v>
      </c>
      <c r="C206" s="2">
        <v>1024.771</v>
      </c>
      <c r="D206" s="2">
        <f>HYPERLINK("http://mcb-m6.bioreg.kyushu-u.ac.jp/M3/20110318/F50622/2309/1", 100.26)</f>
        <v>100.26</v>
      </c>
      <c r="E206" s="2">
        <v>71.78</v>
      </c>
      <c r="F206" s="2">
        <v>2</v>
      </c>
      <c r="G206" s="2" t="s">
        <v>10</v>
      </c>
      <c r="H206" s="2" t="s">
        <v>4927</v>
      </c>
      <c r="I206" s="2" t="s">
        <v>4905</v>
      </c>
    </row>
    <row r="207" spans="1:9" x14ac:dyDescent="0.2">
      <c r="A207" s="2" t="s">
        <v>4025</v>
      </c>
      <c r="B207" s="2" t="s">
        <v>1516</v>
      </c>
      <c r="C207" s="2">
        <v>726.27890000000002</v>
      </c>
      <c r="D207" s="2">
        <f>HYPERLINK("http://mcb-m6.bioreg.kyushu-u.ac.jp/M3/20110418/F50971/2481/1", 43.23)</f>
        <v>43.23</v>
      </c>
      <c r="E207" s="2">
        <v>32.93</v>
      </c>
      <c r="F207" s="2">
        <v>3</v>
      </c>
      <c r="G207" s="2" t="s">
        <v>11</v>
      </c>
      <c r="H207" s="2" t="s">
        <v>4925</v>
      </c>
      <c r="I207" s="2" t="s">
        <v>4903</v>
      </c>
    </row>
    <row r="208" spans="1:9" x14ac:dyDescent="0.2">
      <c r="A208" s="2" t="s">
        <v>3505</v>
      </c>
      <c r="B208" s="2" t="s">
        <v>5145</v>
      </c>
      <c r="C208" s="2">
        <v>913.18320000000006</v>
      </c>
      <c r="D208" s="2">
        <f>HYPERLINK("http://mcb-m6.bioreg.kyushu-u.ac.jp/M3/20110318/F50610/2598/1", 68.04)</f>
        <v>68.040000000000006</v>
      </c>
      <c r="E208" s="2">
        <v>57.79</v>
      </c>
      <c r="F208" s="2">
        <v>3</v>
      </c>
      <c r="G208" s="2" t="s">
        <v>9</v>
      </c>
    </row>
    <row r="209" spans="1:7" x14ac:dyDescent="0.2">
      <c r="A209" s="2" t="s">
        <v>3505</v>
      </c>
      <c r="B209" s="2" t="s">
        <v>342</v>
      </c>
      <c r="C209" s="2">
        <v>861.06780000000003</v>
      </c>
      <c r="D209" s="2">
        <f>HYPERLINK("http://mcb-m6.bioreg.kyushu-u.ac.jp/M3/20110318/F50610/2522/1", 82.46)</f>
        <v>82.46</v>
      </c>
      <c r="E209" s="2">
        <v>66.61</v>
      </c>
      <c r="F209" s="2">
        <v>3</v>
      </c>
      <c r="G209" s="2" t="s">
        <v>9</v>
      </c>
    </row>
    <row r="210" spans="1:7" x14ac:dyDescent="0.2">
      <c r="A210" s="2" t="s">
        <v>3505</v>
      </c>
      <c r="B210" s="2" t="s">
        <v>342</v>
      </c>
      <c r="C210" s="2">
        <v>1291.029</v>
      </c>
      <c r="D210" s="2">
        <f>HYPERLINK("http://mcb-m6.bioreg.kyushu-u.ac.jp/M3/20110318/F50610/2521/1", 106.25)</f>
        <v>106.25</v>
      </c>
      <c r="E210" s="2">
        <v>89.49</v>
      </c>
      <c r="F210" s="2">
        <v>2</v>
      </c>
      <c r="G210" s="2" t="s">
        <v>9</v>
      </c>
    </row>
    <row r="211" spans="1:7" x14ac:dyDescent="0.2">
      <c r="A211" s="2" t="s">
        <v>3505</v>
      </c>
      <c r="B211" s="2" t="s">
        <v>342</v>
      </c>
      <c r="C211" s="2">
        <v>1290.5</v>
      </c>
      <c r="D211" s="2">
        <f>HYPERLINK("http://mcb-m6.bioreg.kyushu-u.ac.jp/M3/20110318/F50610/2520/1", 127.43)</f>
        <v>127.43</v>
      </c>
      <c r="E211" s="2">
        <v>110.01</v>
      </c>
      <c r="F211" s="2">
        <v>2</v>
      </c>
      <c r="G211" s="2" t="s">
        <v>9</v>
      </c>
    </row>
    <row r="212" spans="1:7" x14ac:dyDescent="0.2">
      <c r="A212" s="2" t="s">
        <v>3505</v>
      </c>
      <c r="B212" s="2" t="s">
        <v>342</v>
      </c>
      <c r="C212" s="2">
        <v>861.00350000000003</v>
      </c>
      <c r="D212" s="2">
        <f>HYPERLINK("http://mcb-m6.bioreg.kyushu-u.ac.jp/M3/20110318/F50622/2932/1", 37.79)</f>
        <v>37.79</v>
      </c>
      <c r="E212" s="2">
        <v>27.01</v>
      </c>
      <c r="F212" s="2">
        <v>3</v>
      </c>
      <c r="G212" s="2" t="s">
        <v>10</v>
      </c>
    </row>
    <row r="213" spans="1:7" x14ac:dyDescent="0.2">
      <c r="A213" s="2" t="s">
        <v>3505</v>
      </c>
      <c r="B213" s="2" t="s">
        <v>342</v>
      </c>
      <c r="C213" s="2">
        <v>861.07180000000005</v>
      </c>
      <c r="D213" s="2">
        <f>HYPERLINK("http://mcb-m6.bioreg.kyushu-u.ac.jp/M3/20110318/F50622/2933/1", 43.3)</f>
        <v>43.3</v>
      </c>
      <c r="E213" s="2">
        <v>33.49</v>
      </c>
      <c r="F213" s="2">
        <v>3</v>
      </c>
      <c r="G213" s="2" t="s">
        <v>10</v>
      </c>
    </row>
    <row r="214" spans="1:7" x14ac:dyDescent="0.2">
      <c r="A214" s="2" t="s">
        <v>3505</v>
      </c>
      <c r="B214" s="2" t="s">
        <v>342</v>
      </c>
      <c r="C214" s="2">
        <v>860.74249999999995</v>
      </c>
      <c r="D214" s="2">
        <f>HYPERLINK("http://mcb-m6.bioreg.kyushu-u.ac.jp/M3/20110318/F50614/3260/1", 63.6)</f>
        <v>63.6</v>
      </c>
      <c r="E214" s="2">
        <v>47.63</v>
      </c>
      <c r="F214" s="2">
        <v>3</v>
      </c>
      <c r="G214" s="2" t="s">
        <v>10</v>
      </c>
    </row>
    <row r="215" spans="1:7" x14ac:dyDescent="0.2">
      <c r="A215" s="2" t="s">
        <v>3505</v>
      </c>
      <c r="B215" s="2" t="s">
        <v>342</v>
      </c>
      <c r="C215" s="2">
        <v>860.65779999999995</v>
      </c>
      <c r="D215" s="2">
        <f>HYPERLINK("http://mcb-m6.bioreg.kyushu-u.ac.jp/M3/20110318/F50611/2981/1", 68.08)</f>
        <v>68.08</v>
      </c>
      <c r="E215" s="2">
        <v>53.13</v>
      </c>
      <c r="F215" s="2">
        <v>3</v>
      </c>
      <c r="G215" s="2" t="s">
        <v>10</v>
      </c>
    </row>
    <row r="216" spans="1:7" x14ac:dyDescent="0.2">
      <c r="A216" s="2" t="s">
        <v>3505</v>
      </c>
      <c r="B216" s="2" t="s">
        <v>5145</v>
      </c>
      <c r="C216" s="2">
        <v>913.03449999999998</v>
      </c>
      <c r="D216" s="2">
        <f>HYPERLINK("http://mcb-m6.bioreg.kyushu-u.ac.jp/M3/20110318/F50611/3081/1", 97.64)</f>
        <v>97.64</v>
      </c>
      <c r="E216" s="2">
        <v>79.83</v>
      </c>
      <c r="F216" s="2">
        <v>3</v>
      </c>
      <c r="G216" s="2" t="s">
        <v>10</v>
      </c>
    </row>
    <row r="217" spans="1:7" x14ac:dyDescent="0.2">
      <c r="A217" s="2" t="s">
        <v>3505</v>
      </c>
      <c r="B217" s="2" t="s">
        <v>342</v>
      </c>
      <c r="C217" s="2">
        <v>1290.9069999999999</v>
      </c>
      <c r="D217" s="2">
        <f>HYPERLINK("http://mcb-m6.bioreg.kyushu-u.ac.jp/M3/20110318/F50613/3148/1", 103.85)</f>
        <v>103.85</v>
      </c>
      <c r="E217" s="2">
        <v>95.68</v>
      </c>
      <c r="F217" s="2">
        <v>2</v>
      </c>
      <c r="G217" s="2" t="s">
        <v>10</v>
      </c>
    </row>
    <row r="218" spans="1:7" x14ac:dyDescent="0.2">
      <c r="A218" s="2" t="s">
        <v>3505</v>
      </c>
      <c r="B218" s="2" t="s">
        <v>342</v>
      </c>
      <c r="C218" s="2">
        <v>1291.046</v>
      </c>
      <c r="D218" s="2">
        <f>HYPERLINK("http://mcb-m6.bioreg.kyushu-u.ac.jp/M3/20110318/F50611/2982/1", 112.09)</f>
        <v>112.09</v>
      </c>
      <c r="E218" s="2">
        <v>97.26</v>
      </c>
      <c r="F218" s="2">
        <v>2</v>
      </c>
      <c r="G218" s="2" t="s">
        <v>10</v>
      </c>
    </row>
    <row r="219" spans="1:7" x14ac:dyDescent="0.2">
      <c r="A219" s="2" t="s">
        <v>3505</v>
      </c>
      <c r="B219" s="2" t="s">
        <v>342</v>
      </c>
      <c r="C219" s="2">
        <v>1291.127</v>
      </c>
      <c r="D219" s="2">
        <f>HYPERLINK("http://mcb-m6.bioreg.kyushu-u.ac.jp/M3/20110318/F50615/2988/1", 112.13)</f>
        <v>112.13</v>
      </c>
      <c r="E219" s="2">
        <v>99.09</v>
      </c>
      <c r="F219" s="2">
        <v>2</v>
      </c>
      <c r="G219" s="2" t="s">
        <v>10</v>
      </c>
    </row>
    <row r="220" spans="1:7" x14ac:dyDescent="0.2">
      <c r="A220" s="2" t="s">
        <v>3505</v>
      </c>
      <c r="B220" s="2" t="s">
        <v>5145</v>
      </c>
      <c r="C220" s="2">
        <v>912.91319999999996</v>
      </c>
      <c r="D220" s="2">
        <f>HYPERLINK("http://mcb-m6.bioreg.kyushu-u.ac.jp/M3/20110318/F50622/3064/1", 116.38)</f>
        <v>116.38</v>
      </c>
      <c r="E220" s="2">
        <v>102.73</v>
      </c>
      <c r="F220" s="2">
        <v>3</v>
      </c>
      <c r="G220" s="2" t="s">
        <v>10</v>
      </c>
    </row>
    <row r="221" spans="1:7" x14ac:dyDescent="0.2">
      <c r="A221" s="2" t="s">
        <v>3505</v>
      </c>
      <c r="B221" s="2" t="s">
        <v>342</v>
      </c>
      <c r="C221" s="2">
        <v>1290.847</v>
      </c>
      <c r="D221" s="2">
        <f>HYPERLINK("http://mcb-m6.bioreg.kyushu-u.ac.jp/M3/20110318/F50622/2931/1", 124.7)</f>
        <v>124.7</v>
      </c>
      <c r="E221" s="2">
        <v>113.82</v>
      </c>
      <c r="F221" s="2">
        <v>2</v>
      </c>
      <c r="G221" s="2" t="s">
        <v>10</v>
      </c>
    </row>
    <row r="222" spans="1:7" x14ac:dyDescent="0.2">
      <c r="A222" s="2" t="s">
        <v>3505</v>
      </c>
      <c r="B222" s="2" t="s">
        <v>342</v>
      </c>
      <c r="C222" s="2">
        <v>1290.4169999999999</v>
      </c>
      <c r="D222" s="2">
        <f>HYPERLINK("http://mcb-m6.bioreg.kyushu-u.ac.jp/M3/20110418/F50969/2916/1", 103.04)</f>
        <v>103.04</v>
      </c>
      <c r="E222" s="2">
        <v>85.25</v>
      </c>
      <c r="F222" s="2">
        <v>2</v>
      </c>
      <c r="G222" s="2" t="s">
        <v>11</v>
      </c>
    </row>
    <row r="223" spans="1:7" x14ac:dyDescent="0.2">
      <c r="A223" s="2" t="s">
        <v>3505</v>
      </c>
      <c r="B223" s="2" t="s">
        <v>342</v>
      </c>
      <c r="C223" s="2">
        <v>1291.0260000000001</v>
      </c>
      <c r="D223" s="2">
        <f>HYPERLINK("http://mcb-m6.bioreg.kyushu-u.ac.jp/M3/20110418/F50980/2954/1", 130.87)</f>
        <v>130.87</v>
      </c>
      <c r="E223" s="2">
        <v>114.79</v>
      </c>
      <c r="F223" s="2">
        <v>2</v>
      </c>
      <c r="G223" s="2" t="s">
        <v>12</v>
      </c>
    </row>
    <row r="224" spans="1:7" x14ac:dyDescent="0.2">
      <c r="A224" s="2" t="s">
        <v>3505</v>
      </c>
      <c r="B224" s="2" t="s">
        <v>342</v>
      </c>
      <c r="C224" s="2">
        <v>1290.982</v>
      </c>
      <c r="D224" s="2">
        <f>HYPERLINK("http://mcb-m6.bioreg.kyushu-u.ac.jp/M3/20110428/F51147/3092/1", 113.42)</f>
        <v>113.42</v>
      </c>
      <c r="E224" s="2">
        <v>95.72</v>
      </c>
      <c r="F224" s="2">
        <v>2</v>
      </c>
      <c r="G224" s="2" t="s">
        <v>13</v>
      </c>
    </row>
    <row r="225" spans="1:7" x14ac:dyDescent="0.2">
      <c r="A225" s="2" t="s">
        <v>3505</v>
      </c>
      <c r="B225" s="2" t="s">
        <v>342</v>
      </c>
      <c r="C225" s="2">
        <v>1291.106</v>
      </c>
      <c r="D225" s="2">
        <f>HYPERLINK("http://mcb-m6.bioreg.kyushu-u.ac.jp/M3/20110428/F51146/3234/1", 149)</f>
        <v>149</v>
      </c>
      <c r="E225" s="2">
        <v>132.41999999999999</v>
      </c>
      <c r="F225" s="2">
        <v>2</v>
      </c>
      <c r="G225" s="2" t="s">
        <v>13</v>
      </c>
    </row>
    <row r="226" spans="1:7" x14ac:dyDescent="0.2">
      <c r="A226" s="2" t="s">
        <v>3505</v>
      </c>
      <c r="B226" s="2" t="s">
        <v>342</v>
      </c>
      <c r="C226" s="2">
        <v>1291.0809999999999</v>
      </c>
      <c r="D226" s="2">
        <f>HYPERLINK("http://mcb-m6.bioreg.kyushu-u.ac.jp/M3/20110428/F51138/3262/1", 128.89)</f>
        <v>128.88999999999999</v>
      </c>
      <c r="E226" s="2">
        <v>114.21</v>
      </c>
      <c r="F226" s="2">
        <v>2</v>
      </c>
      <c r="G226" s="2" t="s">
        <v>14</v>
      </c>
    </row>
    <row r="227" spans="1:7" x14ac:dyDescent="0.2">
      <c r="A227" s="2" t="s">
        <v>3505</v>
      </c>
      <c r="B227" s="2" t="s">
        <v>342</v>
      </c>
      <c r="C227" s="2">
        <v>1291.0640000000001</v>
      </c>
      <c r="D227" s="2">
        <f>HYPERLINK("http://mcb-m6.bioreg.kyushu-u.ac.jp/M3/20110428/F51136/2645/1", 137.73)</f>
        <v>137.72999999999999</v>
      </c>
      <c r="E227" s="2">
        <v>121.55</v>
      </c>
      <c r="F227" s="2">
        <v>2</v>
      </c>
      <c r="G227" s="2" t="s">
        <v>14</v>
      </c>
    </row>
    <row r="228" spans="1:7" x14ac:dyDescent="0.2">
      <c r="A228" s="2" t="s">
        <v>3295</v>
      </c>
      <c r="B228" s="2" t="s">
        <v>75</v>
      </c>
      <c r="C228" s="2">
        <v>671.40260000000001</v>
      </c>
      <c r="D228" s="2">
        <f>HYPERLINK("http://mcb-m6.bioreg.kyushu-u.ac.jp/M3/20110318/F50610/1530/1", 40.58)</f>
        <v>40.58</v>
      </c>
      <c r="E228" s="2">
        <v>20.46</v>
      </c>
      <c r="F228" s="2">
        <v>2</v>
      </c>
      <c r="G228" s="2" t="s">
        <v>9</v>
      </c>
    </row>
    <row r="229" spans="1:7" x14ac:dyDescent="0.2">
      <c r="A229" s="2" t="s">
        <v>3295</v>
      </c>
      <c r="B229" s="2" t="s">
        <v>208</v>
      </c>
      <c r="C229" s="2">
        <v>728.44920000000002</v>
      </c>
      <c r="D229" s="2">
        <f>HYPERLINK("http://mcb-m6.bioreg.kyushu-u.ac.jp/M3/20110318/F50610/1651/1", 80.75)</f>
        <v>80.75</v>
      </c>
      <c r="E229" s="2">
        <v>56.37</v>
      </c>
      <c r="F229" s="2">
        <v>2</v>
      </c>
      <c r="G229" s="2" t="s">
        <v>9</v>
      </c>
    </row>
    <row r="230" spans="1:7" x14ac:dyDescent="0.2">
      <c r="A230" s="2" t="s">
        <v>3295</v>
      </c>
      <c r="B230" s="2" t="s">
        <v>75</v>
      </c>
      <c r="C230" s="2">
        <v>1341.498</v>
      </c>
      <c r="D230" s="2">
        <f>HYPERLINK("http://mcb-m6.bioreg.kyushu-u.ac.jp/M3/20110318/F50622/1189/1", 36.47)</f>
        <v>36.47</v>
      </c>
      <c r="E230" s="2">
        <v>19.760000000000002</v>
      </c>
      <c r="F230" s="2">
        <v>1</v>
      </c>
      <c r="G230" s="2" t="s">
        <v>10</v>
      </c>
    </row>
    <row r="231" spans="1:7" x14ac:dyDescent="0.2">
      <c r="A231" s="2" t="s">
        <v>3295</v>
      </c>
      <c r="B231" s="2" t="s">
        <v>2228</v>
      </c>
      <c r="C231" s="2">
        <v>828.3</v>
      </c>
      <c r="D231" s="2">
        <f>HYPERLINK("http://mcb-m6.bioreg.kyushu-u.ac.jp/M3/20110318/F50622/728/1", 38.94)</f>
        <v>38.94</v>
      </c>
      <c r="E231" s="2">
        <v>15.37</v>
      </c>
      <c r="F231" s="2">
        <v>1</v>
      </c>
      <c r="G231" s="2" t="s">
        <v>10</v>
      </c>
    </row>
    <row r="232" spans="1:7" x14ac:dyDescent="0.2">
      <c r="A232" s="2" t="s">
        <v>3295</v>
      </c>
      <c r="B232" s="2" t="s">
        <v>208</v>
      </c>
      <c r="C232" s="2">
        <v>486.27449999999999</v>
      </c>
      <c r="D232" s="2">
        <f>HYPERLINK("http://mcb-m6.bioreg.kyushu-u.ac.jp/M3/20110318/F50622/1383/1", 41.7)</f>
        <v>41.7</v>
      </c>
      <c r="E232" s="2">
        <v>27.34</v>
      </c>
      <c r="F232" s="2">
        <v>3</v>
      </c>
      <c r="G232" s="2" t="s">
        <v>10</v>
      </c>
    </row>
    <row r="233" spans="1:7" x14ac:dyDescent="0.2">
      <c r="A233" s="2" t="s">
        <v>3295</v>
      </c>
      <c r="B233" s="2" t="s">
        <v>75</v>
      </c>
      <c r="C233" s="2">
        <v>671.40920000000006</v>
      </c>
      <c r="D233" s="2">
        <f>HYPERLINK("http://mcb-m6.bioreg.kyushu-u.ac.jp/M3/20110318/F50612/1349/1", 45.99)</f>
        <v>45.99</v>
      </c>
      <c r="E233" s="2">
        <v>22.53</v>
      </c>
      <c r="F233" s="2">
        <v>2</v>
      </c>
      <c r="G233" s="2" t="s">
        <v>10</v>
      </c>
    </row>
    <row r="234" spans="1:7" x14ac:dyDescent="0.2">
      <c r="A234" s="2" t="s">
        <v>3295</v>
      </c>
      <c r="B234" s="2" t="s">
        <v>208</v>
      </c>
      <c r="C234" s="2">
        <v>728.36609999999996</v>
      </c>
      <c r="D234" s="2">
        <f>HYPERLINK("http://mcb-m6.bioreg.kyushu-u.ac.jp/M3/20110318/F50611/1604/1", 50.06)</f>
        <v>50.06</v>
      </c>
      <c r="E234" s="2">
        <v>27.12</v>
      </c>
      <c r="F234" s="2">
        <v>2</v>
      </c>
      <c r="G234" s="2" t="s">
        <v>10</v>
      </c>
    </row>
    <row r="235" spans="1:7" x14ac:dyDescent="0.2">
      <c r="A235" s="2" t="s">
        <v>3295</v>
      </c>
      <c r="B235" s="2" t="s">
        <v>208</v>
      </c>
      <c r="C235" s="2">
        <v>728.30619999999999</v>
      </c>
      <c r="D235" s="2">
        <f>HYPERLINK("http://mcb-m6.bioreg.kyushu-u.ac.jp/M3/20110318/F50622/1382/1", 53.17)</f>
        <v>53.17</v>
      </c>
      <c r="E235" s="2">
        <v>34.4</v>
      </c>
      <c r="F235" s="2">
        <v>2</v>
      </c>
      <c r="G235" s="2" t="s">
        <v>10</v>
      </c>
    </row>
    <row r="236" spans="1:7" x14ac:dyDescent="0.2">
      <c r="A236" s="2" t="s">
        <v>3295</v>
      </c>
      <c r="B236" s="2" t="s">
        <v>208</v>
      </c>
      <c r="C236" s="2">
        <v>728.81370000000004</v>
      </c>
      <c r="D236" s="2">
        <f>HYPERLINK("http://mcb-m6.bioreg.kyushu-u.ac.jp/M3/20110418/F50969/2083/1", 46.25)</f>
        <v>46.25</v>
      </c>
      <c r="E236" s="2">
        <v>27.48</v>
      </c>
      <c r="F236" s="2">
        <v>2</v>
      </c>
      <c r="G236" s="2" t="s">
        <v>11</v>
      </c>
    </row>
    <row r="237" spans="1:7" x14ac:dyDescent="0.2">
      <c r="A237" s="2" t="s">
        <v>3295</v>
      </c>
      <c r="B237" s="2" t="s">
        <v>208</v>
      </c>
      <c r="C237" s="2">
        <v>728.22860000000003</v>
      </c>
      <c r="D237" s="2">
        <f>HYPERLINK("http://mcb-m6.bioreg.kyushu-u.ac.jp/M3/20110418/F50969/2079/1", 57.94)</f>
        <v>57.94</v>
      </c>
      <c r="E237" s="2">
        <v>36.46</v>
      </c>
      <c r="F237" s="2">
        <v>2</v>
      </c>
      <c r="G237" s="2" t="s">
        <v>11</v>
      </c>
    </row>
    <row r="238" spans="1:7" x14ac:dyDescent="0.2">
      <c r="A238" s="2" t="s">
        <v>3295</v>
      </c>
      <c r="B238" s="2" t="s">
        <v>75</v>
      </c>
      <c r="C238" s="2">
        <v>671.92269999999996</v>
      </c>
      <c r="D238" s="2">
        <f>HYPERLINK("http://mcb-m6.bioreg.kyushu-u.ac.jp/M3/20110418/F50980/1929/1", 41.84)</f>
        <v>41.84</v>
      </c>
      <c r="E238" s="2">
        <v>17.5</v>
      </c>
      <c r="F238" s="2">
        <v>2</v>
      </c>
      <c r="G238" s="2" t="s">
        <v>12</v>
      </c>
    </row>
    <row r="239" spans="1:7" x14ac:dyDescent="0.2">
      <c r="A239" s="2" t="s">
        <v>3295</v>
      </c>
      <c r="B239" s="2" t="s">
        <v>208</v>
      </c>
      <c r="C239" s="2">
        <v>728.38570000000004</v>
      </c>
      <c r="D239" s="2">
        <f>HYPERLINK("http://mcb-m6.bioreg.kyushu-u.ac.jp/M3/20110418/F50980/2052/1", 59.16)</f>
        <v>59.16</v>
      </c>
      <c r="E239" s="2">
        <v>41.33</v>
      </c>
      <c r="F239" s="2">
        <v>2</v>
      </c>
      <c r="G239" s="2" t="s">
        <v>12</v>
      </c>
    </row>
    <row r="240" spans="1:7" x14ac:dyDescent="0.2">
      <c r="A240" s="2" t="s">
        <v>3295</v>
      </c>
      <c r="B240" s="2" t="s">
        <v>75</v>
      </c>
      <c r="C240" s="2">
        <v>671.55970000000002</v>
      </c>
      <c r="D240" s="2">
        <f>HYPERLINK("http://mcb-m6.bioreg.kyushu-u.ac.jp/M3/20110428/F51146/1779/1", 41.44)</f>
        <v>41.44</v>
      </c>
      <c r="E240" s="2">
        <v>17.399999999999999</v>
      </c>
      <c r="F240" s="2">
        <v>2</v>
      </c>
      <c r="G240" s="2" t="s">
        <v>13</v>
      </c>
    </row>
    <row r="241" spans="1:7" x14ac:dyDescent="0.2">
      <c r="A241" s="2" t="s">
        <v>3295</v>
      </c>
      <c r="B241" s="2" t="s">
        <v>75</v>
      </c>
      <c r="C241" s="2">
        <v>671.62159999999994</v>
      </c>
      <c r="D241" s="2">
        <f>HYPERLINK("http://mcb-m6.bioreg.kyushu-u.ac.jp/M3/20110428/F51147/1732/1", 51.7)</f>
        <v>51.7</v>
      </c>
      <c r="E241" s="2">
        <v>30.85</v>
      </c>
      <c r="F241" s="2">
        <v>2</v>
      </c>
      <c r="G241" s="2" t="s">
        <v>13</v>
      </c>
    </row>
    <row r="242" spans="1:7" x14ac:dyDescent="0.2">
      <c r="A242" s="2" t="s">
        <v>3295</v>
      </c>
      <c r="B242" s="2" t="s">
        <v>208</v>
      </c>
      <c r="C242" s="2">
        <v>728.49770000000001</v>
      </c>
      <c r="D242" s="2">
        <f>HYPERLINK("http://mcb-m6.bioreg.kyushu-u.ac.jp/M3/20110428/F51146/2024/1", 58.6)</f>
        <v>58.6</v>
      </c>
      <c r="E242" s="2">
        <v>35.24</v>
      </c>
      <c r="F242" s="2">
        <v>2</v>
      </c>
      <c r="G242" s="2" t="s">
        <v>13</v>
      </c>
    </row>
    <row r="243" spans="1:7" x14ac:dyDescent="0.2">
      <c r="A243" s="2" t="s">
        <v>3295</v>
      </c>
      <c r="B243" s="2" t="s">
        <v>208</v>
      </c>
      <c r="C243" s="2">
        <v>728.63869999999997</v>
      </c>
      <c r="D243" s="2">
        <f>HYPERLINK("http://mcb-m6.bioreg.kyushu-u.ac.jp/M3/20110428/F51147/1976/1", 67.95)</f>
        <v>67.95</v>
      </c>
      <c r="E243" s="2">
        <v>42.77</v>
      </c>
      <c r="F243" s="2">
        <v>2</v>
      </c>
      <c r="G243" s="2" t="s">
        <v>13</v>
      </c>
    </row>
    <row r="244" spans="1:7" x14ac:dyDescent="0.2">
      <c r="A244" s="2" t="s">
        <v>3377</v>
      </c>
      <c r="B244" s="2" t="s">
        <v>169</v>
      </c>
      <c r="C244" s="2">
        <v>921.52970000000005</v>
      </c>
      <c r="D244" s="2">
        <f>HYPERLINK("http://mcb-m6.bioreg.kyushu-u.ac.jp/M3/20110318/F50606/2108/1", 87.9)</f>
        <v>87.9</v>
      </c>
      <c r="E244" s="2">
        <v>70.97</v>
      </c>
      <c r="F244" s="2">
        <v>2</v>
      </c>
      <c r="G244" s="2" t="s">
        <v>9</v>
      </c>
    </row>
    <row r="245" spans="1:7" x14ac:dyDescent="0.2">
      <c r="A245" s="2" t="s">
        <v>3377</v>
      </c>
      <c r="B245" s="2" t="s">
        <v>169</v>
      </c>
      <c r="C245" s="2">
        <v>921.88210000000004</v>
      </c>
      <c r="D245" s="2">
        <f>HYPERLINK("http://mcb-m6.bioreg.kyushu-u.ac.jp/M3/20110318/F50597/2274/1", 96.22)</f>
        <v>96.22</v>
      </c>
      <c r="E245" s="2">
        <v>72.459999999999994</v>
      </c>
      <c r="F245" s="2">
        <v>2</v>
      </c>
      <c r="G245" s="2" t="s">
        <v>10</v>
      </c>
    </row>
    <row r="246" spans="1:7" x14ac:dyDescent="0.2">
      <c r="A246" s="2" t="s">
        <v>3377</v>
      </c>
      <c r="B246" s="2" t="s">
        <v>1576</v>
      </c>
      <c r="C246" s="2">
        <v>842.94119999999998</v>
      </c>
      <c r="D246" s="2">
        <f>HYPERLINK("http://mcb-m6.bioreg.kyushu-u.ac.jp/M3/20110318/F50597/1998/1", 99.91)</f>
        <v>99.91</v>
      </c>
      <c r="E246" s="2">
        <v>86.76</v>
      </c>
      <c r="F246" s="2">
        <v>2</v>
      </c>
      <c r="G246" s="2" t="s">
        <v>10</v>
      </c>
    </row>
    <row r="247" spans="1:7" x14ac:dyDescent="0.2">
      <c r="A247" s="2" t="s">
        <v>3377</v>
      </c>
      <c r="B247" s="2" t="s">
        <v>169</v>
      </c>
      <c r="C247" s="2">
        <v>921.37919999999997</v>
      </c>
      <c r="D247" s="2">
        <f>HYPERLINK("http://mcb-m6.bioreg.kyushu-u.ac.jp/M3/20110318/F50597/2271/1", 112.55)</f>
        <v>112.55</v>
      </c>
      <c r="E247" s="2">
        <v>94.09</v>
      </c>
      <c r="F247" s="2">
        <v>2</v>
      </c>
      <c r="G247" s="2" t="s">
        <v>10</v>
      </c>
    </row>
    <row r="248" spans="1:7" x14ac:dyDescent="0.2">
      <c r="A248" s="2" t="s">
        <v>3377</v>
      </c>
      <c r="B248" s="2" t="s">
        <v>169</v>
      </c>
      <c r="C248" s="2">
        <v>921.18320000000006</v>
      </c>
      <c r="D248" s="2">
        <f>HYPERLINK("http://mcb-m6.bioreg.kyushu-u.ac.jp/M3/20110418/F50974/2951/1", 68.41)</f>
        <v>68.41</v>
      </c>
      <c r="E248" s="2">
        <v>48.74</v>
      </c>
      <c r="F248" s="2">
        <v>2</v>
      </c>
      <c r="G248" s="2" t="s">
        <v>11</v>
      </c>
    </row>
    <row r="249" spans="1:7" x14ac:dyDescent="0.2">
      <c r="A249" s="2" t="s">
        <v>3377</v>
      </c>
      <c r="B249" s="2" t="s">
        <v>169</v>
      </c>
      <c r="C249" s="2">
        <v>921.71169999999995</v>
      </c>
      <c r="D249" s="2">
        <f>HYPERLINK("http://mcb-m6.bioreg.kyushu-u.ac.jp/M3/20110418/F50974/2952/1", 73.62)</f>
        <v>73.62</v>
      </c>
      <c r="E249" s="2">
        <v>50.89</v>
      </c>
      <c r="F249" s="2">
        <v>2</v>
      </c>
      <c r="G249" s="2" t="s">
        <v>11</v>
      </c>
    </row>
    <row r="250" spans="1:7" x14ac:dyDescent="0.2">
      <c r="A250" s="2" t="s">
        <v>3377</v>
      </c>
      <c r="B250" s="2" t="s">
        <v>169</v>
      </c>
      <c r="C250" s="2">
        <v>921.87919999999997</v>
      </c>
      <c r="D250" s="2">
        <f>HYPERLINK("http://mcb-m6.bioreg.kyushu-u.ac.jp/M3/20110418/F50976/3013/1", 75.77)</f>
        <v>75.77</v>
      </c>
      <c r="E250" s="2">
        <v>60.45</v>
      </c>
      <c r="F250" s="2">
        <v>2</v>
      </c>
      <c r="G250" s="2" t="s">
        <v>11</v>
      </c>
    </row>
    <row r="251" spans="1:7" x14ac:dyDescent="0.2">
      <c r="A251" s="2" t="s">
        <v>3377</v>
      </c>
      <c r="B251" s="2" t="s">
        <v>169</v>
      </c>
      <c r="C251" s="2">
        <v>921.67970000000003</v>
      </c>
      <c r="D251" s="2">
        <f>HYPERLINK("http://mcb-m6.bioreg.kyushu-u.ac.jp/M3/20110418/F50975/3091/1", 90.15)</f>
        <v>90.15</v>
      </c>
      <c r="E251" s="2">
        <v>77.34</v>
      </c>
      <c r="F251" s="2">
        <v>2</v>
      </c>
      <c r="G251" s="2" t="s">
        <v>11</v>
      </c>
    </row>
    <row r="252" spans="1:7" x14ac:dyDescent="0.2">
      <c r="A252" s="2" t="s">
        <v>3377</v>
      </c>
      <c r="B252" s="2" t="s">
        <v>169</v>
      </c>
      <c r="C252" s="2">
        <v>921.58420000000001</v>
      </c>
      <c r="D252" s="2">
        <f>HYPERLINK("http://mcb-m6.bioreg.kyushu-u.ac.jp/M3/20110502/F51158/2860/1", 103.19)</f>
        <v>103.19</v>
      </c>
      <c r="E252" s="2">
        <v>83.26</v>
      </c>
      <c r="F252" s="2">
        <v>2</v>
      </c>
      <c r="G252" s="2" t="s">
        <v>13</v>
      </c>
    </row>
    <row r="253" spans="1:7" x14ac:dyDescent="0.2">
      <c r="A253" s="2" t="s">
        <v>3377</v>
      </c>
      <c r="B253" s="2" t="s">
        <v>169</v>
      </c>
      <c r="C253" s="2">
        <v>921.54060000000004</v>
      </c>
      <c r="D253" s="2">
        <f>HYPERLINK("http://mcb-m6.bioreg.kyushu-u.ac.jp/M3/20110428/F51141/3042/1", 74.25)</f>
        <v>74.25</v>
      </c>
      <c r="E253" s="2">
        <v>60.77</v>
      </c>
      <c r="F253" s="2">
        <v>2</v>
      </c>
      <c r="G253" s="2" t="s">
        <v>14</v>
      </c>
    </row>
    <row r="254" spans="1:7" x14ac:dyDescent="0.2">
      <c r="A254" s="2" t="s">
        <v>3377</v>
      </c>
      <c r="B254" s="2" t="s">
        <v>169</v>
      </c>
      <c r="C254" s="2">
        <v>921.46770000000004</v>
      </c>
      <c r="D254" s="2">
        <f>HYPERLINK("http://mcb-m6.bioreg.kyushu-u.ac.jp/M3/20110502/F51160/2534/1", 81.4)</f>
        <v>81.400000000000006</v>
      </c>
      <c r="E254" s="2">
        <v>66.989999999999995</v>
      </c>
      <c r="F254" s="2">
        <v>2</v>
      </c>
      <c r="G254" s="2" t="s">
        <v>14</v>
      </c>
    </row>
    <row r="255" spans="1:7" x14ac:dyDescent="0.2">
      <c r="A255" s="2" t="s">
        <v>3613</v>
      </c>
      <c r="B255" s="2" t="s">
        <v>517</v>
      </c>
      <c r="C255" s="2">
        <v>547.09169999999995</v>
      </c>
      <c r="D255" s="2">
        <f>HYPERLINK("http://mcb-m6.bioreg.kyushu-u.ac.jp/M3/20110418/F50974/1180/1", 36.76)</f>
        <v>36.76</v>
      </c>
      <c r="E255" s="2">
        <v>24.61</v>
      </c>
      <c r="F255" s="2">
        <v>2</v>
      </c>
      <c r="G255" s="2" t="s">
        <v>11</v>
      </c>
    </row>
    <row r="256" spans="1:7" x14ac:dyDescent="0.2">
      <c r="A256" s="2" t="s">
        <v>5680</v>
      </c>
      <c r="B256" s="2" t="s">
        <v>5200</v>
      </c>
      <c r="C256" s="2">
        <v>857.13509999999997</v>
      </c>
      <c r="D256" s="2">
        <f>HYPERLINK("http://mcb-m6.bioreg.kyushu-u.ac.jp/M3/20110318/F50610/1913/1", 107.8)</f>
        <v>107.8</v>
      </c>
      <c r="E256" s="2">
        <v>90.12</v>
      </c>
      <c r="F256" s="2">
        <v>2</v>
      </c>
      <c r="G256" s="2" t="s">
        <v>9</v>
      </c>
    </row>
    <row r="257" spans="1:7" x14ac:dyDescent="0.2">
      <c r="A257" s="2" t="s">
        <v>5680</v>
      </c>
      <c r="B257" s="2" t="s">
        <v>5210</v>
      </c>
      <c r="C257" s="2">
        <v>868.43200000000002</v>
      </c>
      <c r="D257" s="2">
        <f>HYPERLINK("http://mcb-m6.bioreg.kyushu-u.ac.jp/M3/20110318/F50622/762/1", 35.99)</f>
        <v>35.99</v>
      </c>
      <c r="E257" s="2">
        <v>19.62</v>
      </c>
      <c r="F257" s="2">
        <v>1</v>
      </c>
      <c r="G257" s="2" t="s">
        <v>10</v>
      </c>
    </row>
    <row r="258" spans="1:7" x14ac:dyDescent="0.2">
      <c r="A258" s="2" t="s">
        <v>5680</v>
      </c>
      <c r="B258" s="2" t="s">
        <v>5200</v>
      </c>
      <c r="C258" s="2">
        <v>857.28369999999995</v>
      </c>
      <c r="D258" s="2">
        <f>HYPERLINK("http://mcb-m6.bioreg.kyushu-u.ac.jp/M3/20110318/F50611/2047/1", 65.87)</f>
        <v>65.87</v>
      </c>
      <c r="E258" s="2">
        <v>52.7</v>
      </c>
      <c r="F258" s="2">
        <v>2</v>
      </c>
      <c r="G258" s="2" t="s">
        <v>10</v>
      </c>
    </row>
    <row r="259" spans="1:7" x14ac:dyDescent="0.2">
      <c r="A259" s="2" t="s">
        <v>5680</v>
      </c>
      <c r="B259" s="2" t="s">
        <v>5210</v>
      </c>
      <c r="C259" s="2">
        <v>868.27599999999995</v>
      </c>
      <c r="D259" s="2">
        <f>HYPERLINK("http://mcb-m6.bioreg.kyushu-u.ac.jp/M3/20110418/F50970/1504/1", 37.6)</f>
        <v>37.6</v>
      </c>
      <c r="E259" s="2">
        <v>18.78</v>
      </c>
      <c r="F259" s="2">
        <v>1</v>
      </c>
      <c r="G259" s="2" t="s">
        <v>11</v>
      </c>
    </row>
    <row r="260" spans="1:7" x14ac:dyDescent="0.2">
      <c r="A260" s="2" t="s">
        <v>5680</v>
      </c>
      <c r="B260" s="2" t="s">
        <v>5200</v>
      </c>
      <c r="C260" s="2">
        <v>856.50959999999998</v>
      </c>
      <c r="D260" s="2">
        <f>HYPERLINK("http://mcb-m6.bioreg.kyushu-u.ac.jp/M3/20110418/F50970/2188/1", 42.9)</f>
        <v>42.9</v>
      </c>
      <c r="E260" s="2">
        <v>21.15</v>
      </c>
      <c r="F260" s="2">
        <v>2</v>
      </c>
      <c r="G260" s="2" t="s">
        <v>11</v>
      </c>
    </row>
    <row r="261" spans="1:7" x14ac:dyDescent="0.2">
      <c r="A261" s="2" t="s">
        <v>5680</v>
      </c>
      <c r="B261" s="2" t="s">
        <v>5200</v>
      </c>
      <c r="C261" s="2">
        <v>857.06669999999997</v>
      </c>
      <c r="D261" s="2">
        <f>HYPERLINK("http://mcb-m6.bioreg.kyushu-u.ac.jp/M3/20110418/F50970/2190/1", 124.42)</f>
        <v>124.42</v>
      </c>
      <c r="E261" s="2">
        <v>106.34</v>
      </c>
      <c r="F261" s="2">
        <v>2</v>
      </c>
      <c r="G261" s="2" t="s">
        <v>11</v>
      </c>
    </row>
    <row r="262" spans="1:7" x14ac:dyDescent="0.2">
      <c r="A262" s="2" t="s">
        <v>5680</v>
      </c>
      <c r="B262" s="2" t="s">
        <v>5210</v>
      </c>
      <c r="C262" s="2">
        <v>868.36</v>
      </c>
      <c r="D262" s="2">
        <f>HYPERLINK("http://mcb-m6.bioreg.kyushu-u.ac.jp/M3/20110418/F51005/1394/1", 38.84)</f>
        <v>38.840000000000003</v>
      </c>
      <c r="E262" s="2">
        <v>25.68</v>
      </c>
      <c r="F262" s="2">
        <v>1</v>
      </c>
      <c r="G262" s="2" t="s">
        <v>12</v>
      </c>
    </row>
    <row r="263" spans="1:7" x14ac:dyDescent="0.2">
      <c r="A263" s="2" t="s">
        <v>5680</v>
      </c>
      <c r="B263" s="2" t="s">
        <v>5210</v>
      </c>
      <c r="C263" s="2">
        <v>868.649</v>
      </c>
      <c r="D263" s="2">
        <f>HYPERLINK("http://mcb-m6.bioreg.kyushu-u.ac.jp/M3/20110428/F51147/967/1", 38.38)</f>
        <v>38.380000000000003</v>
      </c>
      <c r="E263" s="2">
        <v>22.19</v>
      </c>
      <c r="F263" s="2">
        <v>1</v>
      </c>
      <c r="G263" s="2" t="s">
        <v>13</v>
      </c>
    </row>
    <row r="264" spans="1:7" x14ac:dyDescent="0.2">
      <c r="A264" s="2" t="s">
        <v>5680</v>
      </c>
      <c r="B264" s="2" t="s">
        <v>5200</v>
      </c>
      <c r="C264" s="2">
        <v>857.15869999999995</v>
      </c>
      <c r="D264" s="2">
        <f>HYPERLINK("http://mcb-m6.bioreg.kyushu-u.ac.jp/M3/20110428/F51147/2421/1", 77.79)</f>
        <v>77.790000000000006</v>
      </c>
      <c r="E264" s="2">
        <v>61.83</v>
      </c>
      <c r="F264" s="2">
        <v>2</v>
      </c>
      <c r="G264" s="2" t="s">
        <v>13</v>
      </c>
    </row>
    <row r="265" spans="1:7" x14ac:dyDescent="0.2">
      <c r="A265" s="2" t="s">
        <v>5680</v>
      </c>
      <c r="B265" s="2" t="s">
        <v>5200</v>
      </c>
      <c r="C265" s="2">
        <v>857.29470000000003</v>
      </c>
      <c r="D265" s="2">
        <f>HYPERLINK("http://mcb-m6.bioreg.kyushu-u.ac.jp/M3/20110428/F51146/2528/1", 100.47)</f>
        <v>100.47</v>
      </c>
      <c r="E265" s="2">
        <v>85.77</v>
      </c>
      <c r="F265" s="2">
        <v>2</v>
      </c>
      <c r="G265" s="2" t="s">
        <v>13</v>
      </c>
    </row>
    <row r="266" spans="1:7" x14ac:dyDescent="0.2">
      <c r="A266" s="4" t="s">
        <v>3545</v>
      </c>
      <c r="B266" s="2" t="s">
        <v>402</v>
      </c>
      <c r="C266" s="2">
        <v>582.29060000000004</v>
      </c>
      <c r="D266" s="2">
        <f>HYPERLINK("http://mcb-m6.bioreg.kyushu-u.ac.jp/M3/20110318/F50609/1259/1", 35.99)</f>
        <v>35.99</v>
      </c>
      <c r="E266" s="2">
        <v>22.62</v>
      </c>
      <c r="F266" s="2">
        <v>2</v>
      </c>
      <c r="G266" s="2" t="s">
        <v>9</v>
      </c>
    </row>
    <row r="267" spans="1:7" x14ac:dyDescent="0.2">
      <c r="A267" s="4" t="s">
        <v>3545</v>
      </c>
      <c r="B267" s="2" t="s">
        <v>402</v>
      </c>
      <c r="C267" s="2">
        <v>582.36609999999996</v>
      </c>
      <c r="D267" s="2">
        <f>HYPERLINK("http://mcb-m6.bioreg.kyushu-u.ac.jp/M3/20110429/F51149/1649/1", 66.52)</f>
        <v>66.52</v>
      </c>
      <c r="E267" s="2">
        <v>48.61</v>
      </c>
      <c r="F267" s="2">
        <v>2</v>
      </c>
      <c r="G267" s="2" t="s">
        <v>13</v>
      </c>
    </row>
    <row r="268" spans="1:7" x14ac:dyDescent="0.2">
      <c r="A268" s="2" t="s">
        <v>5840</v>
      </c>
      <c r="B268" s="2" t="s">
        <v>5529</v>
      </c>
      <c r="C268" s="2">
        <v>500.14159999999998</v>
      </c>
      <c r="D268" s="2">
        <f>HYPERLINK("http://mcb-m6.bioreg.kyushu-u.ac.jp/M3/20110429/F51151/1137/1", 52.66)</f>
        <v>52.66</v>
      </c>
      <c r="E268" s="2">
        <v>32.25</v>
      </c>
      <c r="F268" s="2">
        <v>2</v>
      </c>
      <c r="G268" s="2" t="s">
        <v>13</v>
      </c>
    </row>
    <row r="269" spans="1:7" x14ac:dyDescent="0.2">
      <c r="A269" s="2" t="s">
        <v>5702</v>
      </c>
      <c r="B269" s="2" t="s">
        <v>5240</v>
      </c>
      <c r="C269" s="2">
        <v>813.80870000000004</v>
      </c>
      <c r="D269" s="2">
        <f>HYPERLINK("http://mcb-m6.bioreg.kyushu-u.ac.jp/M3/20110318/F50615/1824/1", 39.44)</f>
        <v>39.44</v>
      </c>
      <c r="E269" s="2">
        <v>31.72</v>
      </c>
      <c r="F269" s="2">
        <v>2</v>
      </c>
      <c r="G269" s="2" t="s">
        <v>10</v>
      </c>
    </row>
    <row r="270" spans="1:7" x14ac:dyDescent="0.2">
      <c r="A270" s="2" t="s">
        <v>5702</v>
      </c>
      <c r="B270" s="2" t="s">
        <v>5240</v>
      </c>
      <c r="C270" s="2">
        <v>813.74069999999995</v>
      </c>
      <c r="D270" s="2">
        <f>HYPERLINK("http://mcb-m6.bioreg.kyushu-u.ac.jp/M3/20110429/F51151/2421/1", 45.84)</f>
        <v>45.84</v>
      </c>
      <c r="E270" s="2">
        <v>38.31</v>
      </c>
      <c r="F270" s="2">
        <v>2</v>
      </c>
      <c r="G270" s="2" t="s">
        <v>13</v>
      </c>
    </row>
    <row r="271" spans="1:7" x14ac:dyDescent="0.2">
      <c r="A271" s="2" t="s">
        <v>5702</v>
      </c>
      <c r="B271" s="2" t="s">
        <v>5240</v>
      </c>
      <c r="C271" s="2">
        <v>813.20169999999996</v>
      </c>
      <c r="D271" s="2">
        <f>HYPERLINK("http://mcb-m6.bioreg.kyushu-u.ac.jp/M3/20110429/F51151/2419/1", 62.12)</f>
        <v>62.12</v>
      </c>
      <c r="E271" s="2">
        <v>43.97</v>
      </c>
      <c r="F271" s="2">
        <v>2</v>
      </c>
      <c r="G271" s="2" t="s">
        <v>13</v>
      </c>
    </row>
    <row r="272" spans="1:7" x14ac:dyDescent="0.2">
      <c r="A272" s="2" t="s">
        <v>5702</v>
      </c>
      <c r="B272" s="2" t="s">
        <v>5240</v>
      </c>
      <c r="C272" s="2">
        <v>813.17909999999995</v>
      </c>
      <c r="D272" s="2">
        <f>HYPERLINK("http://mcb-m6.bioreg.kyushu-u.ac.jp/M3/20110429/F51151/2417/1", 69.9)</f>
        <v>69.900000000000006</v>
      </c>
      <c r="E272" s="2">
        <v>53.86</v>
      </c>
      <c r="F272" s="2">
        <v>2</v>
      </c>
      <c r="G272" s="2" t="s">
        <v>13</v>
      </c>
    </row>
    <row r="273" spans="1:9" x14ac:dyDescent="0.2">
      <c r="A273" s="2" t="s">
        <v>5702</v>
      </c>
      <c r="B273" s="2" t="s">
        <v>5240</v>
      </c>
      <c r="C273" s="2">
        <v>813.7722</v>
      </c>
      <c r="D273" s="2">
        <f>HYPERLINK("http://mcb-m6.bioreg.kyushu-u.ac.jp/M3/20110429/F51151/2423/1", 75.51)</f>
        <v>75.510000000000005</v>
      </c>
      <c r="E273" s="2">
        <v>63.04</v>
      </c>
      <c r="F273" s="2">
        <v>2</v>
      </c>
      <c r="G273" s="2" t="s">
        <v>13</v>
      </c>
    </row>
    <row r="274" spans="1:9" x14ac:dyDescent="0.2">
      <c r="A274" s="2" t="s">
        <v>5702</v>
      </c>
      <c r="B274" s="2" t="s">
        <v>5240</v>
      </c>
      <c r="C274" s="2">
        <v>813.7672</v>
      </c>
      <c r="D274" s="2">
        <f>HYPERLINK("http://mcb-m6.bioreg.kyushu-u.ac.jp/M3/20110429/F51151/2422/1", 76.33)</f>
        <v>76.33</v>
      </c>
      <c r="E274" s="2">
        <v>60.47</v>
      </c>
      <c r="F274" s="2">
        <v>2</v>
      </c>
      <c r="G274" s="2" t="s">
        <v>13</v>
      </c>
    </row>
    <row r="275" spans="1:9" x14ac:dyDescent="0.2">
      <c r="A275" s="2" t="s">
        <v>5702</v>
      </c>
      <c r="B275" s="2" t="s">
        <v>5240</v>
      </c>
      <c r="C275" s="2">
        <v>813.69709999999998</v>
      </c>
      <c r="D275" s="2">
        <f>HYPERLINK("http://mcb-m6.bioreg.kyushu-u.ac.jp/M3/20110429/F51151/2420/1", 94.17)</f>
        <v>94.17</v>
      </c>
      <c r="E275" s="2">
        <v>80.27</v>
      </c>
      <c r="F275" s="2">
        <v>2</v>
      </c>
      <c r="G275" s="2" t="s">
        <v>13</v>
      </c>
    </row>
    <row r="276" spans="1:9" x14ac:dyDescent="0.2">
      <c r="A276" s="2" t="s">
        <v>5702</v>
      </c>
      <c r="B276" s="2" t="s">
        <v>5240</v>
      </c>
      <c r="C276" s="2">
        <v>813.18820000000005</v>
      </c>
      <c r="D276" s="2">
        <f>HYPERLINK("http://mcb-m6.bioreg.kyushu-u.ac.jp/M3/20110429/F51151/2418/1", 94.95)</f>
        <v>94.95</v>
      </c>
      <c r="E276" s="2">
        <v>71.959999999999994</v>
      </c>
      <c r="F276" s="2">
        <v>2</v>
      </c>
      <c r="G276" s="2" t="s">
        <v>13</v>
      </c>
    </row>
    <row r="277" spans="1:9" x14ac:dyDescent="0.2">
      <c r="A277" s="2" t="s">
        <v>5861</v>
      </c>
      <c r="B277" s="2" t="s">
        <v>5557</v>
      </c>
      <c r="C277" s="2">
        <v>752.74069999999995</v>
      </c>
      <c r="D277" s="2">
        <f>HYPERLINK("http://mcb-m6.bioreg.kyushu-u.ac.jp/M3/20110429/F51151/2189/1", 84.75)</f>
        <v>84.75</v>
      </c>
      <c r="E277" s="2">
        <v>35.76</v>
      </c>
      <c r="F277" s="2">
        <v>2</v>
      </c>
      <c r="G277" s="2" t="s">
        <v>13</v>
      </c>
    </row>
    <row r="278" spans="1:9" x14ac:dyDescent="0.2">
      <c r="A278" s="2" t="s">
        <v>4023</v>
      </c>
      <c r="B278" s="2" t="s">
        <v>1337</v>
      </c>
      <c r="C278" s="2">
        <v>617.8492</v>
      </c>
      <c r="D278" s="2">
        <f>HYPERLINK("http://mcb-m6.bioreg.kyushu-u.ac.jp/M3/20110318/F50610/1455/1", 68.14)</f>
        <v>68.14</v>
      </c>
      <c r="E278" s="2">
        <v>48.31</v>
      </c>
      <c r="F278" s="2">
        <v>2</v>
      </c>
      <c r="G278" s="2" t="s">
        <v>9</v>
      </c>
    </row>
    <row r="279" spans="1:9" x14ac:dyDescent="0.2">
      <c r="A279" s="2" t="s">
        <v>4023</v>
      </c>
      <c r="B279" s="2" t="s">
        <v>1337</v>
      </c>
      <c r="C279" s="2">
        <v>617.77419999999995</v>
      </c>
      <c r="D279" s="2">
        <f>HYPERLINK("http://mcb-m6.bioreg.kyushu-u.ac.jp/M3/20110318/F50622/1120/1", 55.79)</f>
        <v>55.79</v>
      </c>
      <c r="E279" s="2">
        <v>33.96</v>
      </c>
      <c r="F279" s="2">
        <v>2</v>
      </c>
      <c r="G279" s="2" t="s">
        <v>10</v>
      </c>
    </row>
    <row r="280" spans="1:9" x14ac:dyDescent="0.2">
      <c r="A280" s="2" t="s">
        <v>4023</v>
      </c>
      <c r="B280" s="2" t="s">
        <v>1337</v>
      </c>
      <c r="C280" s="2">
        <v>617.61469999999997</v>
      </c>
      <c r="D280" s="2">
        <f>HYPERLINK("http://mcb-m6.bioreg.kyushu-u.ac.jp/M3/20110418/F50969/1763/1", 51.8)</f>
        <v>51.8</v>
      </c>
      <c r="E280" s="2">
        <v>28.45</v>
      </c>
      <c r="F280" s="2">
        <v>2</v>
      </c>
      <c r="G280" s="2" t="s">
        <v>11</v>
      </c>
    </row>
    <row r="281" spans="1:9" x14ac:dyDescent="0.2">
      <c r="A281" s="2" t="s">
        <v>4023</v>
      </c>
      <c r="B281" s="2" t="s">
        <v>1337</v>
      </c>
      <c r="C281" s="2">
        <v>617.91219999999998</v>
      </c>
      <c r="D281" s="2">
        <f>HYPERLINK("http://mcb-m6.bioreg.kyushu-u.ac.jp/M3/20110428/F51146/1639/1", 49.02)</f>
        <v>49.02</v>
      </c>
      <c r="E281" s="2">
        <v>19.100000000000001</v>
      </c>
      <c r="F281" s="2">
        <v>2</v>
      </c>
      <c r="G281" s="2" t="s">
        <v>13</v>
      </c>
    </row>
    <row r="282" spans="1:9" x14ac:dyDescent="0.2">
      <c r="A282" s="2" t="s">
        <v>4023</v>
      </c>
      <c r="B282" s="2" t="s">
        <v>1337</v>
      </c>
      <c r="C282" s="2">
        <v>618.15869999999995</v>
      </c>
      <c r="D282" s="2">
        <f>HYPERLINK("http://mcb-m6.bioreg.kyushu-u.ac.jp/M3/20110428/F51136/2058/1", 58.6)</f>
        <v>58.6</v>
      </c>
      <c r="E282" s="2">
        <v>35.47</v>
      </c>
      <c r="F282" s="2">
        <v>2</v>
      </c>
      <c r="G282" s="2" t="s">
        <v>14</v>
      </c>
    </row>
    <row r="283" spans="1:9" x14ac:dyDescent="0.2">
      <c r="A283" s="2" t="s">
        <v>3682</v>
      </c>
      <c r="B283" s="2" t="s">
        <v>2741</v>
      </c>
      <c r="C283" s="2">
        <v>972.85059999999999</v>
      </c>
      <c r="D283" s="2">
        <f>HYPERLINK("http://mcb-m6.bioreg.kyushu-u.ac.jp/M3/20110318/F50606/2237/1", 54.13)</f>
        <v>54.13</v>
      </c>
      <c r="E283" s="2">
        <v>44.99</v>
      </c>
      <c r="F283" s="2">
        <v>2</v>
      </c>
      <c r="G283" s="2" t="s">
        <v>9</v>
      </c>
    </row>
    <row r="284" spans="1:9" x14ac:dyDescent="0.2">
      <c r="A284" s="2" t="s">
        <v>3682</v>
      </c>
      <c r="B284" s="2" t="s">
        <v>1995</v>
      </c>
      <c r="C284" s="2">
        <v>845.47019999999998</v>
      </c>
      <c r="D284" s="2">
        <f>HYPERLINK("http://mcb-m6.bioreg.kyushu-u.ac.jp/M3/20110318/F50597/2006/1", 72.36)</f>
        <v>72.36</v>
      </c>
      <c r="E284" s="2">
        <v>61.08</v>
      </c>
      <c r="F284" s="2">
        <v>2</v>
      </c>
      <c r="G284" s="2" t="s">
        <v>10</v>
      </c>
    </row>
    <row r="285" spans="1:9" x14ac:dyDescent="0.2">
      <c r="A285" s="2" t="s">
        <v>3682</v>
      </c>
      <c r="B285" s="2" t="s">
        <v>2741</v>
      </c>
      <c r="C285" s="2">
        <v>972.43020000000001</v>
      </c>
      <c r="D285" s="2">
        <f>HYPERLINK("http://mcb-m6.bioreg.kyushu-u.ac.jp/M3/20110318/F50597/2419/1", 97.07)</f>
        <v>97.07</v>
      </c>
      <c r="E285" s="2">
        <v>85.48</v>
      </c>
      <c r="F285" s="2">
        <v>2</v>
      </c>
      <c r="G285" s="2" t="s">
        <v>10</v>
      </c>
    </row>
    <row r="286" spans="1:9" x14ac:dyDescent="0.2">
      <c r="A286" s="2" t="s">
        <v>3682</v>
      </c>
      <c r="B286" s="2" t="s">
        <v>2741</v>
      </c>
      <c r="C286" s="2">
        <v>972.48519999999996</v>
      </c>
      <c r="D286" s="2">
        <f>HYPERLINK("http://mcb-m6.bioreg.kyushu-u.ac.jp/M3/20110429/F51157/2894/1", 73.7)</f>
        <v>73.7</v>
      </c>
      <c r="E286" s="2">
        <v>68</v>
      </c>
      <c r="F286" s="2">
        <v>2</v>
      </c>
      <c r="G286" s="2" t="s">
        <v>13</v>
      </c>
    </row>
    <row r="287" spans="1:9" x14ac:dyDescent="0.2">
      <c r="A287" s="4" t="s">
        <v>4126</v>
      </c>
      <c r="B287" s="2" t="s">
        <v>1646</v>
      </c>
      <c r="C287" s="2">
        <v>778.90809999999999</v>
      </c>
      <c r="D287" s="2">
        <f>HYPERLINK("http://mcb-m6.bioreg.kyushu-u.ac.jp/M3/20110318/F50598/1744/1", 71)</f>
        <v>71</v>
      </c>
      <c r="E287" s="2">
        <v>59.11</v>
      </c>
      <c r="F287" s="2">
        <v>2</v>
      </c>
      <c r="G287" s="2" t="s">
        <v>10</v>
      </c>
      <c r="I287" s="2" t="s">
        <v>4906</v>
      </c>
    </row>
    <row r="288" spans="1:9" x14ac:dyDescent="0.2">
      <c r="A288" s="2" t="s">
        <v>3902</v>
      </c>
      <c r="B288" s="2" t="s">
        <v>1059</v>
      </c>
      <c r="C288" s="2">
        <v>631.22310000000004</v>
      </c>
      <c r="D288" s="2">
        <f>HYPERLINK("http://mcb-m6.bioreg.kyushu-u.ac.jp/M3/20110318/F50622/1133/1", 45.53)</f>
        <v>45.53</v>
      </c>
      <c r="E288" s="2">
        <v>27.96</v>
      </c>
      <c r="F288" s="2">
        <v>2</v>
      </c>
      <c r="G288" s="2" t="s">
        <v>10</v>
      </c>
    </row>
    <row r="289" spans="1:9" x14ac:dyDescent="0.2">
      <c r="A289" s="2" t="s">
        <v>3603</v>
      </c>
      <c r="B289" s="2" t="s">
        <v>495</v>
      </c>
      <c r="C289" s="2">
        <v>566.15260000000001</v>
      </c>
      <c r="D289" s="2">
        <f>HYPERLINK("http://mcb-m6.bioreg.kyushu-u.ac.jp/M3/20110318/F50606/993/1", 36.4)</f>
        <v>36.4</v>
      </c>
      <c r="E289" s="2">
        <v>16.420000000000002</v>
      </c>
      <c r="F289" s="2">
        <v>2</v>
      </c>
      <c r="G289" s="2" t="s">
        <v>9</v>
      </c>
    </row>
    <row r="290" spans="1:9" x14ac:dyDescent="0.2">
      <c r="A290" s="2" t="s">
        <v>3603</v>
      </c>
      <c r="B290" s="2" t="s">
        <v>495</v>
      </c>
      <c r="C290" s="2">
        <v>566.01620000000003</v>
      </c>
      <c r="D290" s="2">
        <f>HYPERLINK("http://mcb-m6.bioreg.kyushu-u.ac.jp/M3/20110318/F50606/992/1", 52.52)</f>
        <v>52.52</v>
      </c>
      <c r="E290" s="2">
        <v>32.909999999999997</v>
      </c>
      <c r="F290" s="2">
        <v>2</v>
      </c>
      <c r="G290" s="2" t="s">
        <v>9</v>
      </c>
    </row>
    <row r="291" spans="1:9" x14ac:dyDescent="0.2">
      <c r="A291" s="2" t="s">
        <v>3603</v>
      </c>
      <c r="B291" s="2" t="s">
        <v>495</v>
      </c>
      <c r="C291" s="2">
        <v>565.9991</v>
      </c>
      <c r="D291" s="2">
        <f>HYPERLINK("http://mcb-m6.bioreg.kyushu-u.ac.jp/M3/20110318/F50597/1055/1", 62.12)</f>
        <v>62.12</v>
      </c>
      <c r="E291" s="2">
        <v>38.31</v>
      </c>
      <c r="F291" s="2">
        <v>2</v>
      </c>
      <c r="G291" s="2" t="s">
        <v>10</v>
      </c>
    </row>
    <row r="292" spans="1:9" x14ac:dyDescent="0.2">
      <c r="A292" s="2" t="s">
        <v>3603</v>
      </c>
      <c r="B292" s="2" t="s">
        <v>495</v>
      </c>
      <c r="C292" s="2">
        <v>566.3972</v>
      </c>
      <c r="D292" s="2">
        <f>HYPERLINK("http://mcb-m6.bioreg.kyushu-u.ac.jp/M3/20110318/F50615/975/1", 68.9)</f>
        <v>68.900000000000006</v>
      </c>
      <c r="E292" s="2">
        <v>44.1</v>
      </c>
      <c r="F292" s="2">
        <v>2</v>
      </c>
      <c r="G292" s="2" t="s">
        <v>10</v>
      </c>
    </row>
    <row r="293" spans="1:9" x14ac:dyDescent="0.2">
      <c r="A293" s="2" t="s">
        <v>3603</v>
      </c>
      <c r="B293" s="2" t="s">
        <v>495</v>
      </c>
      <c r="C293" s="2">
        <v>565.70169999999996</v>
      </c>
      <c r="D293" s="2">
        <f>HYPERLINK("http://mcb-m6.bioreg.kyushu-u.ac.jp/M3/20110418/F50975/1059/1", 37.1)</f>
        <v>37.1</v>
      </c>
      <c r="E293" s="2">
        <v>18.54</v>
      </c>
      <c r="F293" s="2">
        <v>2</v>
      </c>
      <c r="G293" s="2" t="s">
        <v>11</v>
      </c>
    </row>
    <row r="294" spans="1:9" x14ac:dyDescent="0.2">
      <c r="A294" s="2" t="s">
        <v>3603</v>
      </c>
      <c r="B294" s="2" t="s">
        <v>3109</v>
      </c>
      <c r="C294" s="2">
        <v>580.23109999999997</v>
      </c>
      <c r="D294" s="2">
        <f>HYPERLINK("http://mcb-m6.bioreg.kyushu-u.ac.jp/M3/20110418/F50975/1131/1", 42.7)</f>
        <v>42.7</v>
      </c>
      <c r="E294" s="2">
        <v>12.79</v>
      </c>
      <c r="F294" s="2">
        <v>2</v>
      </c>
      <c r="G294" s="2" t="s">
        <v>11</v>
      </c>
      <c r="H294" s="2" t="s">
        <v>4896</v>
      </c>
    </row>
    <row r="295" spans="1:9" x14ac:dyDescent="0.2">
      <c r="A295" s="2" t="s">
        <v>3603</v>
      </c>
      <c r="B295" s="2" t="s">
        <v>495</v>
      </c>
      <c r="C295" s="2">
        <v>566.2432</v>
      </c>
      <c r="D295" s="2">
        <f>HYPERLINK("http://mcb-m6.bioreg.kyushu-u.ac.jp/M3/20110418/F50975/1063/1", 46.92)</f>
        <v>46.92</v>
      </c>
      <c r="E295" s="2">
        <v>20.37</v>
      </c>
      <c r="F295" s="2">
        <v>2</v>
      </c>
      <c r="G295" s="2" t="s">
        <v>11</v>
      </c>
    </row>
    <row r="296" spans="1:9" x14ac:dyDescent="0.2">
      <c r="A296" s="2" t="s">
        <v>3603</v>
      </c>
      <c r="B296" s="2" t="s">
        <v>495</v>
      </c>
      <c r="C296" s="2">
        <v>565.70169999999996</v>
      </c>
      <c r="D296" s="2">
        <f>HYPERLINK("http://mcb-m6.bioreg.kyushu-u.ac.jp/M3/20110418/F50985/1868/1", 43.56)</f>
        <v>43.56</v>
      </c>
      <c r="E296" s="2">
        <v>22.89</v>
      </c>
      <c r="F296" s="2">
        <v>2</v>
      </c>
      <c r="G296" s="2" t="s">
        <v>12</v>
      </c>
    </row>
    <row r="297" spans="1:9" x14ac:dyDescent="0.2">
      <c r="A297" s="2" t="s">
        <v>3603</v>
      </c>
      <c r="B297" s="2" t="s">
        <v>495</v>
      </c>
      <c r="C297" s="2">
        <v>566.35220000000004</v>
      </c>
      <c r="D297" s="2">
        <f>HYPERLINK("http://mcb-m6.bioreg.kyushu-u.ac.jp/M3/20110418/F50984/1798/1", 47.19)</f>
        <v>47.19</v>
      </c>
      <c r="E297" s="2">
        <v>21.82</v>
      </c>
      <c r="F297" s="2">
        <v>2</v>
      </c>
      <c r="G297" s="2" t="s">
        <v>12</v>
      </c>
    </row>
    <row r="298" spans="1:9" x14ac:dyDescent="0.2">
      <c r="A298" s="2" t="s">
        <v>3603</v>
      </c>
      <c r="B298" s="2" t="s">
        <v>495</v>
      </c>
      <c r="C298" s="2">
        <v>565.90309999999999</v>
      </c>
      <c r="D298" s="2">
        <f>HYPERLINK("http://mcb-m6.bioreg.kyushu-u.ac.jp/M3/20110502/F51158/1030/1", 52.29)</f>
        <v>52.29</v>
      </c>
      <c r="E298" s="2">
        <v>27.4</v>
      </c>
      <c r="F298" s="2">
        <v>2</v>
      </c>
      <c r="G298" s="2" t="s">
        <v>13</v>
      </c>
    </row>
    <row r="299" spans="1:9" x14ac:dyDescent="0.2">
      <c r="A299" s="2" t="s">
        <v>4755</v>
      </c>
      <c r="B299" s="2" t="s">
        <v>2982</v>
      </c>
      <c r="C299" s="2">
        <v>849.20420000000001</v>
      </c>
      <c r="D299" s="2">
        <f>HYPERLINK("http://mcb-m6.bioreg.kyushu-u.ac.jp/M3/20110502/F51160/2255/1", 35.28)</f>
        <v>35.28</v>
      </c>
      <c r="E299" s="2">
        <v>19.38</v>
      </c>
      <c r="F299" s="2">
        <v>2</v>
      </c>
      <c r="G299" s="2" t="s">
        <v>14</v>
      </c>
    </row>
    <row r="300" spans="1:9" x14ac:dyDescent="0.2">
      <c r="A300" s="2" t="s">
        <v>5711</v>
      </c>
      <c r="B300" s="2" t="s">
        <v>5255</v>
      </c>
      <c r="C300" s="2">
        <v>615.36770000000001</v>
      </c>
      <c r="D300" s="2">
        <f>HYPERLINK("http://mcb-m6.bioreg.kyushu-u.ac.jp/M3/20110318/F50597/1189/1", 42.79)</f>
        <v>42.79</v>
      </c>
      <c r="E300" s="2">
        <v>26.42</v>
      </c>
      <c r="F300" s="2">
        <v>2</v>
      </c>
      <c r="G300" s="2" t="s">
        <v>10</v>
      </c>
    </row>
    <row r="301" spans="1:9" x14ac:dyDescent="0.2">
      <c r="A301" s="2" t="s">
        <v>3425</v>
      </c>
      <c r="B301" s="2" t="s">
        <v>230</v>
      </c>
      <c r="C301" s="2">
        <v>514.93370000000004</v>
      </c>
      <c r="D301" s="2">
        <f>HYPERLINK("http://mcb-m6.bioreg.kyushu-u.ac.jp/M3/20110318/F50606/908/1", 45.2)</f>
        <v>45.2</v>
      </c>
      <c r="E301" s="2">
        <v>21.39</v>
      </c>
      <c r="F301" s="2">
        <v>2</v>
      </c>
      <c r="G301" s="2" t="s">
        <v>9</v>
      </c>
      <c r="I301" s="2" t="s">
        <v>4898</v>
      </c>
    </row>
    <row r="302" spans="1:9" x14ac:dyDescent="0.2">
      <c r="A302" s="2" t="s">
        <v>3425</v>
      </c>
      <c r="B302" s="2" t="s">
        <v>230</v>
      </c>
      <c r="C302" s="2">
        <v>515.36159999999995</v>
      </c>
      <c r="D302" s="2">
        <f>HYPERLINK("http://mcb-m6.bioreg.kyushu-u.ac.jp/M3/20110418/F50975/816/1", 37.92)</f>
        <v>37.92</v>
      </c>
      <c r="E302" s="2">
        <v>10.32</v>
      </c>
      <c r="F302" s="2">
        <v>2</v>
      </c>
      <c r="G302" s="2" t="s">
        <v>11</v>
      </c>
      <c r="I302" s="2" t="s">
        <v>4898</v>
      </c>
    </row>
    <row r="303" spans="1:9" x14ac:dyDescent="0.2">
      <c r="A303" s="2" t="s">
        <v>3425</v>
      </c>
      <c r="B303" s="2" t="s">
        <v>230</v>
      </c>
      <c r="C303" s="2">
        <v>514.61159999999995</v>
      </c>
      <c r="D303" s="2">
        <f>HYPERLINK("http://mcb-m6.bioreg.kyushu-u.ac.jp/M3/20110418/F50975/812/1", 41.29)</f>
        <v>41.29</v>
      </c>
      <c r="E303" s="2">
        <v>23.34</v>
      </c>
      <c r="F303" s="2">
        <v>2</v>
      </c>
      <c r="G303" s="2" t="s">
        <v>11</v>
      </c>
      <c r="I303" s="2" t="s">
        <v>4898</v>
      </c>
    </row>
    <row r="304" spans="1:9" x14ac:dyDescent="0.2">
      <c r="A304" s="2" t="s">
        <v>3425</v>
      </c>
      <c r="B304" s="2" t="s">
        <v>230</v>
      </c>
      <c r="C304" s="2">
        <v>514.75919999999996</v>
      </c>
      <c r="D304" s="2">
        <f>HYPERLINK("http://mcb-m6.bioreg.kyushu-u.ac.jp/M3/20110418/F50975/813/1", 41.81)</f>
        <v>41.81</v>
      </c>
      <c r="E304" s="2">
        <v>17.13</v>
      </c>
      <c r="F304" s="2">
        <v>2</v>
      </c>
      <c r="G304" s="2" t="s">
        <v>11</v>
      </c>
      <c r="I304" s="2" t="s">
        <v>4898</v>
      </c>
    </row>
    <row r="305" spans="1:9" x14ac:dyDescent="0.2">
      <c r="A305" s="2" t="s">
        <v>3425</v>
      </c>
      <c r="B305" s="2" t="s">
        <v>230</v>
      </c>
      <c r="C305" s="2">
        <v>514.91769999999997</v>
      </c>
      <c r="D305" s="2">
        <f>HYPERLINK("http://mcb-m6.bioreg.kyushu-u.ac.jp/M3/20110502/F51158/785/1", 58.98)</f>
        <v>58.98</v>
      </c>
      <c r="E305" s="2">
        <v>25.68</v>
      </c>
      <c r="F305" s="2">
        <v>2</v>
      </c>
      <c r="G305" s="2" t="s">
        <v>13</v>
      </c>
      <c r="I305" s="2" t="s">
        <v>4898</v>
      </c>
    </row>
    <row r="306" spans="1:9" x14ac:dyDescent="0.2">
      <c r="A306" s="2" t="s">
        <v>5674</v>
      </c>
      <c r="B306" s="2" t="s">
        <v>5163</v>
      </c>
      <c r="C306" s="2">
        <v>980.56619999999998</v>
      </c>
      <c r="D306" s="2">
        <f>HYPERLINK("http://mcb-m6.bioreg.kyushu-u.ac.jp/M3/20110318/F50606/2274/1", 73.22)</f>
        <v>73.22</v>
      </c>
      <c r="E306" s="2">
        <v>63.09</v>
      </c>
      <c r="F306" s="2">
        <v>2</v>
      </c>
      <c r="G306" s="2" t="s">
        <v>9</v>
      </c>
    </row>
    <row r="307" spans="1:9" x14ac:dyDescent="0.2">
      <c r="A307" s="2" t="s">
        <v>5674</v>
      </c>
      <c r="B307" s="2" t="s">
        <v>5163</v>
      </c>
      <c r="C307" s="2">
        <v>979.99519999999995</v>
      </c>
      <c r="D307" s="2">
        <f>HYPERLINK("http://mcb-m6.bioreg.kyushu-u.ac.jp/M3/20110318/F50606/2273/1", 139.76)</f>
        <v>139.76</v>
      </c>
      <c r="E307" s="2">
        <v>124.67</v>
      </c>
      <c r="F307" s="2">
        <v>2</v>
      </c>
      <c r="G307" s="2" t="s">
        <v>9</v>
      </c>
    </row>
    <row r="308" spans="1:9" x14ac:dyDescent="0.2">
      <c r="A308" s="2" t="s">
        <v>5674</v>
      </c>
      <c r="B308" s="2" t="s">
        <v>5163</v>
      </c>
      <c r="C308" s="2">
        <v>980.39369999999997</v>
      </c>
      <c r="D308" s="2">
        <f>HYPERLINK("http://mcb-m6.bioreg.kyushu-u.ac.jp/M3/20110318/F50597/2444/1", 117.01)</f>
        <v>117.01</v>
      </c>
      <c r="E308" s="2">
        <v>100.81</v>
      </c>
      <c r="F308" s="2">
        <v>2</v>
      </c>
      <c r="G308" s="2" t="s">
        <v>10</v>
      </c>
    </row>
    <row r="309" spans="1:9" x14ac:dyDescent="0.2">
      <c r="A309" s="2" t="s">
        <v>3965</v>
      </c>
      <c r="B309" s="2" t="s">
        <v>1188</v>
      </c>
      <c r="C309" s="2">
        <v>816.8297</v>
      </c>
      <c r="D309" s="2">
        <f>HYPERLINK("http://mcb-m6.bioreg.kyushu-u.ac.jp/M3/20110318/F50606/1758/1", 79.25)</f>
        <v>79.25</v>
      </c>
      <c r="E309" s="2">
        <v>66.33</v>
      </c>
      <c r="F309" s="2">
        <v>2</v>
      </c>
      <c r="G309" s="2" t="s">
        <v>9</v>
      </c>
      <c r="H309" s="2" t="s">
        <v>4927</v>
      </c>
    </row>
    <row r="310" spans="1:9" x14ac:dyDescent="0.2">
      <c r="A310" s="2" t="s">
        <v>3965</v>
      </c>
      <c r="B310" s="2" t="s">
        <v>1188</v>
      </c>
      <c r="C310" s="2">
        <v>816.32820000000004</v>
      </c>
      <c r="D310" s="2">
        <f>HYPERLINK("http://mcb-m6.bioreg.kyushu-u.ac.jp/M3/20110318/F50606/1757/1", 86)</f>
        <v>86</v>
      </c>
      <c r="E310" s="2">
        <v>68.510000000000005</v>
      </c>
      <c r="F310" s="2">
        <v>2</v>
      </c>
      <c r="G310" s="2" t="s">
        <v>9</v>
      </c>
      <c r="H310" s="2" t="s">
        <v>4927</v>
      </c>
    </row>
    <row r="311" spans="1:9" x14ac:dyDescent="0.2">
      <c r="A311" s="2" t="s">
        <v>3965</v>
      </c>
      <c r="B311" s="2" t="s">
        <v>1188</v>
      </c>
      <c r="C311" s="2">
        <v>816.80870000000004</v>
      </c>
      <c r="D311" s="2">
        <f>HYPERLINK("http://mcb-m6.bioreg.kyushu-u.ac.jp/M3/20110318/F50597/1908/1", 74.24)</f>
        <v>74.239999999999995</v>
      </c>
      <c r="E311" s="2">
        <v>59.88</v>
      </c>
      <c r="F311" s="2">
        <v>2</v>
      </c>
      <c r="G311" s="2" t="s">
        <v>10</v>
      </c>
      <c r="H311" s="2" t="s">
        <v>4927</v>
      </c>
    </row>
    <row r="312" spans="1:9" x14ac:dyDescent="0.2">
      <c r="A312" s="2" t="s">
        <v>3965</v>
      </c>
      <c r="B312" s="2" t="s">
        <v>1188</v>
      </c>
      <c r="C312" s="2">
        <v>816.67660000000001</v>
      </c>
      <c r="D312" s="2">
        <f>HYPERLINK("http://mcb-m6.bioreg.kyushu-u.ac.jp/M3/20110418/F50974/2449/1", 55.98)</f>
        <v>55.98</v>
      </c>
      <c r="E312" s="2">
        <v>45.32</v>
      </c>
      <c r="F312" s="2">
        <v>2</v>
      </c>
      <c r="G312" s="2" t="s">
        <v>11</v>
      </c>
      <c r="H312" s="2" t="s">
        <v>4927</v>
      </c>
    </row>
    <row r="313" spans="1:9" x14ac:dyDescent="0.2">
      <c r="A313" s="2" t="s">
        <v>3965</v>
      </c>
      <c r="B313" s="2" t="s">
        <v>1188</v>
      </c>
      <c r="C313" s="2">
        <v>816.11519999999996</v>
      </c>
      <c r="D313" s="2">
        <f>HYPERLINK("http://mcb-m6.bioreg.kyushu-u.ac.jp/M3/20110418/F50975/2491/1", 81.3)</f>
        <v>81.3</v>
      </c>
      <c r="E313" s="2">
        <v>69.44</v>
      </c>
      <c r="F313" s="2">
        <v>2</v>
      </c>
      <c r="G313" s="2" t="s">
        <v>11</v>
      </c>
      <c r="H313" s="2" t="s">
        <v>4927</v>
      </c>
    </row>
    <row r="314" spans="1:9" x14ac:dyDescent="0.2">
      <c r="A314" s="2" t="s">
        <v>3965</v>
      </c>
      <c r="B314" s="2" t="s">
        <v>1188</v>
      </c>
      <c r="C314" s="2">
        <v>808.93269999999995</v>
      </c>
      <c r="D314" s="2">
        <f>HYPERLINK("http://mcb-m6.bioreg.kyushu-u.ac.jp/M3/20110502/F51158/2268/1", 51.1)</f>
        <v>51.1</v>
      </c>
      <c r="E314" s="2">
        <v>38.270000000000003</v>
      </c>
      <c r="F314" s="2">
        <v>2</v>
      </c>
      <c r="G314" s="2" t="s">
        <v>13</v>
      </c>
    </row>
    <row r="315" spans="1:9" x14ac:dyDescent="0.2">
      <c r="A315" s="2" t="s">
        <v>3965</v>
      </c>
      <c r="B315" s="2" t="s">
        <v>1188</v>
      </c>
      <c r="C315" s="2">
        <v>816.49469999999997</v>
      </c>
      <c r="D315" s="2">
        <f>HYPERLINK("http://mcb-m6.bioreg.kyushu-u.ac.jp/M3/20110502/F51158/2308/1", 79.03)</f>
        <v>79.03</v>
      </c>
      <c r="E315" s="2">
        <v>58.59</v>
      </c>
      <c r="F315" s="2">
        <v>2</v>
      </c>
      <c r="G315" s="2" t="s">
        <v>13</v>
      </c>
      <c r="H315" s="2" t="s">
        <v>4927</v>
      </c>
    </row>
    <row r="316" spans="1:9" x14ac:dyDescent="0.2">
      <c r="A316" s="2" t="s">
        <v>5740</v>
      </c>
      <c r="B316" s="2" t="s">
        <v>5352</v>
      </c>
      <c r="C316" s="2">
        <v>912.52369999999996</v>
      </c>
      <c r="D316" s="2">
        <f>HYPERLINK("http://mcb-m6.bioreg.kyushu-u.ac.jp/M3/20110318/F50597/2242/1", 82.67)</f>
        <v>82.67</v>
      </c>
      <c r="E316" s="2">
        <v>47.62</v>
      </c>
      <c r="F316" s="2">
        <v>2</v>
      </c>
      <c r="G316" s="2" t="s">
        <v>10</v>
      </c>
      <c r="I316" s="2" t="s">
        <v>4926</v>
      </c>
    </row>
    <row r="317" spans="1:9" x14ac:dyDescent="0.2">
      <c r="A317" s="2" t="s">
        <v>4497</v>
      </c>
      <c r="B317" s="2" t="s">
        <v>2478</v>
      </c>
      <c r="C317" s="2">
        <v>723.90369999999996</v>
      </c>
      <c r="D317" s="2">
        <f>HYPERLINK("http://mcb-m6.bioreg.kyushu-u.ac.jp/M3/20110318/F50606/1397/1", 65.23)</f>
        <v>65.23</v>
      </c>
      <c r="E317" s="2">
        <v>29.51</v>
      </c>
      <c r="F317" s="2">
        <v>2</v>
      </c>
      <c r="G317" s="2" t="s">
        <v>9</v>
      </c>
    </row>
    <row r="318" spans="1:9" x14ac:dyDescent="0.2">
      <c r="A318" s="2" t="s">
        <v>4497</v>
      </c>
      <c r="B318" s="2" t="s">
        <v>2478</v>
      </c>
      <c r="C318" s="2">
        <v>731.82119999999998</v>
      </c>
      <c r="D318" s="2">
        <f>HYPERLINK("http://mcb-m6.bioreg.kyushu-u.ac.jp/M3/20110318/F50597/1527/1", 65.57)</f>
        <v>65.569999999999993</v>
      </c>
      <c r="E318" s="2">
        <v>41.79</v>
      </c>
      <c r="F318" s="2">
        <v>2</v>
      </c>
      <c r="G318" s="2" t="s">
        <v>10</v>
      </c>
      <c r="H318" s="2" t="s">
        <v>4910</v>
      </c>
    </row>
    <row r="319" spans="1:9" x14ac:dyDescent="0.2">
      <c r="A319" s="2" t="s">
        <v>4497</v>
      </c>
      <c r="B319" s="2" t="s">
        <v>2478</v>
      </c>
      <c r="C319" s="2">
        <v>732.29859999999996</v>
      </c>
      <c r="D319" s="2">
        <f>HYPERLINK("http://mcb-m6.bioreg.kyushu-u.ac.jp/M3/20110318/F50615/1475/1", 81.63)</f>
        <v>81.63</v>
      </c>
      <c r="E319" s="2">
        <v>51.27</v>
      </c>
      <c r="F319" s="2">
        <v>2</v>
      </c>
      <c r="G319" s="2" t="s">
        <v>10</v>
      </c>
      <c r="H319" s="2" t="s">
        <v>4910</v>
      </c>
    </row>
    <row r="320" spans="1:9" x14ac:dyDescent="0.2">
      <c r="A320" s="2" t="s">
        <v>4497</v>
      </c>
      <c r="B320" s="2" t="s">
        <v>2478</v>
      </c>
      <c r="C320" s="2">
        <v>723.6857</v>
      </c>
      <c r="D320" s="2">
        <f>HYPERLINK("http://mcb-m6.bioreg.kyushu-u.ac.jp/M3/20110418/F50974/2004/1", 59.15)</f>
        <v>59.15</v>
      </c>
      <c r="E320" s="2">
        <v>41.79</v>
      </c>
      <c r="F320" s="2">
        <v>2</v>
      </c>
      <c r="G320" s="2" t="s">
        <v>11</v>
      </c>
    </row>
    <row r="321" spans="1:9" x14ac:dyDescent="0.2">
      <c r="A321" s="2" t="s">
        <v>4497</v>
      </c>
      <c r="B321" s="2" t="s">
        <v>2478</v>
      </c>
      <c r="C321" s="2">
        <v>731.73069999999996</v>
      </c>
      <c r="D321" s="2">
        <f>HYPERLINK("http://mcb-m6.bioreg.kyushu-u.ac.jp/M3/20110418/F50974/2031/1", 70.5)</f>
        <v>70.5</v>
      </c>
      <c r="E321" s="2">
        <v>47</v>
      </c>
      <c r="F321" s="2">
        <v>2</v>
      </c>
      <c r="G321" s="2" t="s">
        <v>11</v>
      </c>
      <c r="H321" s="2" t="s">
        <v>4910</v>
      </c>
    </row>
    <row r="322" spans="1:9" x14ac:dyDescent="0.2">
      <c r="A322" s="2" t="s">
        <v>4497</v>
      </c>
      <c r="B322" s="2" t="s">
        <v>2478</v>
      </c>
      <c r="C322" s="2">
        <v>731.97019999999998</v>
      </c>
      <c r="D322" s="2">
        <f>HYPERLINK("http://mcb-m6.bioreg.kyushu-u.ac.jp/M3/20110502/F51158/1854/1", 47.8)</f>
        <v>47.8</v>
      </c>
      <c r="E322" s="2">
        <v>26.47</v>
      </c>
      <c r="F322" s="2">
        <v>2</v>
      </c>
      <c r="G322" s="2" t="s">
        <v>13</v>
      </c>
      <c r="H322" s="2" t="s">
        <v>4910</v>
      </c>
    </row>
    <row r="323" spans="1:9" x14ac:dyDescent="0.2">
      <c r="A323" s="2" t="s">
        <v>4310</v>
      </c>
      <c r="B323" s="2" t="s">
        <v>2060</v>
      </c>
      <c r="C323" s="2">
        <v>660.65719999999999</v>
      </c>
      <c r="D323" s="2">
        <f>HYPERLINK("http://mcb-m6.bioreg.kyushu-u.ac.jp/M3/20110418/F50975/1513/1", 81.77)</f>
        <v>81.77</v>
      </c>
      <c r="E323" s="2">
        <v>56.48</v>
      </c>
      <c r="F323" s="2">
        <v>2</v>
      </c>
      <c r="G323" s="2" t="s">
        <v>11</v>
      </c>
    </row>
    <row r="324" spans="1:9" x14ac:dyDescent="0.2">
      <c r="A324" s="2" t="s">
        <v>4310</v>
      </c>
      <c r="B324" s="2" t="s">
        <v>2060</v>
      </c>
      <c r="C324" s="2">
        <v>668.19119999999998</v>
      </c>
      <c r="D324" s="2">
        <f>HYPERLINK("http://mcb-m6.bioreg.kyushu-u.ac.jp/M3/20110418/F50984/1926/1", 41.56)</f>
        <v>41.56</v>
      </c>
      <c r="E324" s="2">
        <v>15.25</v>
      </c>
      <c r="F324" s="2">
        <v>2</v>
      </c>
      <c r="G324" s="2" t="s">
        <v>12</v>
      </c>
      <c r="H324" s="2" t="s">
        <v>4917</v>
      </c>
    </row>
    <row r="325" spans="1:9" x14ac:dyDescent="0.2">
      <c r="A325" s="2" t="s">
        <v>4310</v>
      </c>
      <c r="B325" s="2" t="s">
        <v>2060</v>
      </c>
      <c r="C325" s="2">
        <v>660.12369999999999</v>
      </c>
      <c r="D325" s="2">
        <f>HYPERLINK("http://mcb-m6.bioreg.kyushu-u.ac.jp/M3/20110418/F50984/1913/1", 73.19)</f>
        <v>73.19</v>
      </c>
      <c r="E325" s="2">
        <v>42.9</v>
      </c>
      <c r="F325" s="2">
        <v>2</v>
      </c>
      <c r="G325" s="2" t="s">
        <v>12</v>
      </c>
    </row>
    <row r="326" spans="1:9" x14ac:dyDescent="0.2">
      <c r="A326" s="2" t="s">
        <v>3824</v>
      </c>
      <c r="B326" s="2" t="s">
        <v>895</v>
      </c>
      <c r="C326" s="2">
        <v>846.71770000000004</v>
      </c>
      <c r="D326" s="2">
        <f>HYPERLINK("http://mcb-m6.bioreg.kyushu-u.ac.jp/M3/20110418/F50974/2571/1", 56.31)</f>
        <v>56.31</v>
      </c>
      <c r="E326" s="2">
        <v>41.93</v>
      </c>
      <c r="F326" s="2">
        <v>2</v>
      </c>
      <c r="G326" s="2" t="s">
        <v>11</v>
      </c>
    </row>
    <row r="327" spans="1:9" x14ac:dyDescent="0.2">
      <c r="A327" s="2" t="s">
        <v>3824</v>
      </c>
      <c r="B327" s="2" t="s">
        <v>895</v>
      </c>
      <c r="C327" s="2">
        <v>854.36969999999997</v>
      </c>
      <c r="D327" s="2">
        <f>HYPERLINK("http://mcb-m6.bioreg.kyushu-u.ac.jp/M3/20110418/F50975/2726/1", 71.12)</f>
        <v>71.12</v>
      </c>
      <c r="E327" s="2">
        <v>27.03</v>
      </c>
      <c r="F327" s="2">
        <v>2</v>
      </c>
      <c r="G327" s="2" t="s">
        <v>11</v>
      </c>
      <c r="H327" s="2" t="s">
        <v>4927</v>
      </c>
    </row>
    <row r="328" spans="1:9" x14ac:dyDescent="0.2">
      <c r="A328" s="2" t="s">
        <v>3824</v>
      </c>
      <c r="B328" s="2" t="s">
        <v>895</v>
      </c>
      <c r="C328" s="2">
        <v>846.61410000000001</v>
      </c>
      <c r="D328" s="2">
        <f>HYPERLINK("http://mcb-m6.bioreg.kyushu-u.ac.jp/M3/20110502/F51158/2451/1", 59.59)</f>
        <v>59.59</v>
      </c>
      <c r="E328" s="2">
        <v>40.229999999999997</v>
      </c>
      <c r="F328" s="2">
        <v>2</v>
      </c>
      <c r="G328" s="2" t="s">
        <v>13</v>
      </c>
    </row>
    <row r="329" spans="1:9" x14ac:dyDescent="0.2">
      <c r="A329" s="2" t="s">
        <v>5802</v>
      </c>
      <c r="B329" s="2" t="s">
        <v>5466</v>
      </c>
      <c r="C329" s="2">
        <v>520.86569999999995</v>
      </c>
      <c r="D329" s="2">
        <f>HYPERLINK("http://mcb-m6.bioreg.kyushu-u.ac.jp/M3/20110502/F51158/804/1", 36.45)</f>
        <v>36.450000000000003</v>
      </c>
      <c r="E329" s="2">
        <v>15.41</v>
      </c>
      <c r="F329" s="2">
        <v>2</v>
      </c>
      <c r="G329" s="2" t="s">
        <v>13</v>
      </c>
    </row>
    <row r="330" spans="1:9" x14ac:dyDescent="0.2">
      <c r="A330" s="2" t="s">
        <v>5741</v>
      </c>
      <c r="B330" s="2" t="s">
        <v>5353</v>
      </c>
      <c r="C330" s="2">
        <v>912.52369999999996</v>
      </c>
      <c r="D330" s="2">
        <f>HYPERLINK("http://mcb-m6.bioreg.kyushu-u.ac.jp/M3/20110318/F50597/2242/2", 82.67)</f>
        <v>82.67</v>
      </c>
      <c r="E330" s="2">
        <v>47.62</v>
      </c>
      <c r="F330" s="2">
        <v>2</v>
      </c>
      <c r="G330" s="2" t="s">
        <v>10</v>
      </c>
      <c r="I330" s="2" t="s">
        <v>4926</v>
      </c>
    </row>
    <row r="331" spans="1:9" x14ac:dyDescent="0.2">
      <c r="A331" s="2" t="s">
        <v>4097</v>
      </c>
      <c r="B331" s="2" t="s">
        <v>5389</v>
      </c>
      <c r="C331" s="2">
        <v>814.31269999999995</v>
      </c>
      <c r="D331" s="2">
        <f>HYPERLINK("http://mcb-m6.bioreg.kyushu-u.ac.jp/M3/20110418/F50975/2483/1", 44.05)</f>
        <v>44.05</v>
      </c>
      <c r="E331" s="2">
        <v>27.35</v>
      </c>
      <c r="F331" s="2">
        <v>2</v>
      </c>
      <c r="G331" s="2" t="s">
        <v>11</v>
      </c>
    </row>
    <row r="332" spans="1:9" x14ac:dyDescent="0.2">
      <c r="A332" s="2" t="s">
        <v>3911</v>
      </c>
      <c r="B332" s="2" t="s">
        <v>1080</v>
      </c>
      <c r="C332" s="2">
        <v>846.51070000000004</v>
      </c>
      <c r="D332" s="2">
        <f>HYPERLINK("http://mcb-m6.bioreg.kyushu-u.ac.jp/M3/20110318/F50600/1914/1", 39.29)</f>
        <v>39.29</v>
      </c>
      <c r="E332" s="2">
        <v>29.72</v>
      </c>
      <c r="F332" s="2">
        <v>2</v>
      </c>
      <c r="G332" s="2" t="s">
        <v>10</v>
      </c>
    </row>
    <row r="333" spans="1:9" x14ac:dyDescent="0.2">
      <c r="A333" s="2" t="s">
        <v>3911</v>
      </c>
      <c r="B333" s="2" t="s">
        <v>1080</v>
      </c>
      <c r="C333" s="2">
        <v>846.06269999999995</v>
      </c>
      <c r="D333" s="2">
        <f>HYPERLINK("http://mcb-m6.bioreg.kyushu-u.ac.jp/M3/20110318/F50599/2013/1", 90.68)</f>
        <v>90.68</v>
      </c>
      <c r="E333" s="2">
        <v>72.69</v>
      </c>
      <c r="F333" s="2">
        <v>2</v>
      </c>
      <c r="G333" s="2" t="s">
        <v>10</v>
      </c>
    </row>
    <row r="334" spans="1:9" x14ac:dyDescent="0.2">
      <c r="A334" s="2" t="s">
        <v>5839</v>
      </c>
      <c r="B334" s="2" t="s">
        <v>5528</v>
      </c>
      <c r="C334" s="2">
        <v>691.44709999999998</v>
      </c>
      <c r="D334" s="2">
        <f>HYPERLINK("http://mcb-m6.bioreg.kyushu-u.ac.jp/M3/20110502/F51163/1514/1", 50.7)</f>
        <v>50.7</v>
      </c>
      <c r="E334" s="2">
        <v>29</v>
      </c>
      <c r="F334" s="2">
        <v>2</v>
      </c>
      <c r="G334" s="2" t="s">
        <v>13</v>
      </c>
      <c r="H334" s="2" t="s">
        <v>4901</v>
      </c>
    </row>
    <row r="335" spans="1:9" x14ac:dyDescent="0.2">
      <c r="A335" s="2" t="s">
        <v>5694</v>
      </c>
      <c r="B335" s="2" t="s">
        <v>5226</v>
      </c>
      <c r="C335" s="2">
        <v>772.91470000000004</v>
      </c>
      <c r="D335" s="2">
        <f>HYPERLINK("http://mcb-m6.bioreg.kyushu-u.ac.jp/M3/20110318/F50613/1806/1", 36.92)</f>
        <v>36.92</v>
      </c>
      <c r="E335" s="2">
        <v>22.01</v>
      </c>
      <c r="F335" s="2">
        <v>2</v>
      </c>
      <c r="G335" s="2" t="s">
        <v>10</v>
      </c>
    </row>
    <row r="336" spans="1:9" x14ac:dyDescent="0.2">
      <c r="A336" s="2" t="s">
        <v>5778</v>
      </c>
      <c r="B336" s="2" t="s">
        <v>5422</v>
      </c>
      <c r="C336" s="2">
        <v>975.83720000000005</v>
      </c>
      <c r="D336" s="2">
        <f>HYPERLINK("http://mcb-m6.bioreg.kyushu-u.ac.jp/M3/20110418/F50976/3183/1", 80.19)</f>
        <v>80.19</v>
      </c>
      <c r="E336" s="2">
        <v>64.900000000000006</v>
      </c>
      <c r="F336" s="2">
        <v>2</v>
      </c>
      <c r="G336" s="2" t="s">
        <v>11</v>
      </c>
    </row>
    <row r="337" spans="1:8" x14ac:dyDescent="0.2">
      <c r="A337" s="2" t="s">
        <v>4235</v>
      </c>
      <c r="B337" s="2" t="s">
        <v>1911</v>
      </c>
      <c r="C337" s="2">
        <v>913.51120000000003</v>
      </c>
      <c r="D337" s="2">
        <f>HYPERLINK("http://mcb-m6.bioreg.kyushu-u.ac.jp/M3/20110318/F50606/2080/1", 59.66)</f>
        <v>59.66</v>
      </c>
      <c r="E337" s="2">
        <v>44.6</v>
      </c>
      <c r="F337" s="2">
        <v>2</v>
      </c>
      <c r="G337" s="2" t="s">
        <v>9</v>
      </c>
    </row>
    <row r="338" spans="1:8" x14ac:dyDescent="0.2">
      <c r="A338" s="2" t="s">
        <v>4235</v>
      </c>
      <c r="B338" s="2" t="s">
        <v>1911</v>
      </c>
      <c r="C338" s="2">
        <v>912.98469999999998</v>
      </c>
      <c r="D338" s="2">
        <f>HYPERLINK("http://mcb-m6.bioreg.kyushu-u.ac.jp/M3/20110318/F50606/2078/1", 62.17)</f>
        <v>62.17</v>
      </c>
      <c r="E338" s="2">
        <v>52.16</v>
      </c>
      <c r="F338" s="2">
        <v>2</v>
      </c>
      <c r="G338" s="2" t="s">
        <v>9</v>
      </c>
    </row>
    <row r="339" spans="1:8" x14ac:dyDescent="0.2">
      <c r="A339" s="2" t="s">
        <v>4235</v>
      </c>
      <c r="B339" s="2" t="s">
        <v>1911</v>
      </c>
      <c r="C339" s="2">
        <v>913.12369999999999</v>
      </c>
      <c r="D339" s="2">
        <f>HYPERLINK("http://mcb-m6.bioreg.kyushu-u.ac.jp/M3/20110318/F50615/2146/1", 71.13)</f>
        <v>71.13</v>
      </c>
      <c r="E339" s="2">
        <v>54.39</v>
      </c>
      <c r="F339" s="2">
        <v>2</v>
      </c>
      <c r="G339" s="2" t="s">
        <v>10</v>
      </c>
    </row>
    <row r="340" spans="1:8" x14ac:dyDescent="0.2">
      <c r="A340" s="2" t="s">
        <v>4235</v>
      </c>
      <c r="B340" s="2" t="s">
        <v>1911</v>
      </c>
      <c r="C340" s="2">
        <v>912.84370000000001</v>
      </c>
      <c r="D340" s="2">
        <f>HYPERLINK("http://mcb-m6.bioreg.kyushu-u.ac.jp/M3/20110418/F50976/2970/1", 43.51)</f>
        <v>43.51</v>
      </c>
      <c r="E340" s="2">
        <v>29.41</v>
      </c>
      <c r="F340" s="2">
        <v>2</v>
      </c>
      <c r="G340" s="2" t="s">
        <v>11</v>
      </c>
    </row>
    <row r="341" spans="1:8" x14ac:dyDescent="0.2">
      <c r="A341" s="2" t="s">
        <v>4235</v>
      </c>
      <c r="B341" s="2" t="s">
        <v>1911</v>
      </c>
      <c r="C341" s="2">
        <v>912.78309999999999</v>
      </c>
      <c r="D341" s="2">
        <f>HYPERLINK("http://mcb-m6.bioreg.kyushu-u.ac.jp/M3/20110418/F50974/2903/1", 61.42)</f>
        <v>61.42</v>
      </c>
      <c r="E341" s="2">
        <v>45.08</v>
      </c>
      <c r="F341" s="2">
        <v>2</v>
      </c>
      <c r="G341" s="2" t="s">
        <v>11</v>
      </c>
    </row>
    <row r="342" spans="1:8" x14ac:dyDescent="0.2">
      <c r="A342" s="2" t="s">
        <v>4235</v>
      </c>
      <c r="B342" s="2" t="s">
        <v>1911</v>
      </c>
      <c r="C342" s="2">
        <v>912.92269999999996</v>
      </c>
      <c r="D342" s="2">
        <f>HYPERLINK("http://mcb-m6.bioreg.kyushu-u.ac.jp/M3/20110418/F50975/3050/1", 64.56)</f>
        <v>64.56</v>
      </c>
      <c r="E342" s="2">
        <v>45.78</v>
      </c>
      <c r="F342" s="2">
        <v>2</v>
      </c>
      <c r="G342" s="2" t="s">
        <v>11</v>
      </c>
    </row>
    <row r="343" spans="1:8" x14ac:dyDescent="0.2">
      <c r="A343" s="2" t="s">
        <v>4235</v>
      </c>
      <c r="B343" s="2" t="s">
        <v>1848</v>
      </c>
      <c r="C343" s="2">
        <v>1205.348</v>
      </c>
      <c r="D343" s="2">
        <f>HYPERLINK("http://mcb-m6.bioreg.kyushu-u.ac.jp/M3/20110418/F50975/4037/1", 93.53)</f>
        <v>93.53</v>
      </c>
      <c r="E343" s="2">
        <v>78.959999999999994</v>
      </c>
      <c r="F343" s="2">
        <v>2</v>
      </c>
      <c r="G343" s="2" t="s">
        <v>11</v>
      </c>
    </row>
    <row r="344" spans="1:8" x14ac:dyDescent="0.2">
      <c r="A344" s="2" t="s">
        <v>4235</v>
      </c>
      <c r="B344" s="2" t="s">
        <v>1911</v>
      </c>
      <c r="C344" s="2">
        <v>912.78920000000005</v>
      </c>
      <c r="D344" s="2">
        <f>HYPERLINK("http://mcb-m6.bioreg.kyushu-u.ac.jp/M3/20110418/F50985/2534/1", 77.13)</f>
        <v>77.13</v>
      </c>
      <c r="E344" s="2">
        <v>59.01</v>
      </c>
      <c r="F344" s="2">
        <v>2</v>
      </c>
      <c r="G344" s="2" t="s">
        <v>12</v>
      </c>
    </row>
    <row r="345" spans="1:8" x14ac:dyDescent="0.2">
      <c r="A345" s="2" t="s">
        <v>4235</v>
      </c>
      <c r="B345" s="2" t="s">
        <v>1911</v>
      </c>
      <c r="C345" s="2">
        <v>913.54269999999997</v>
      </c>
      <c r="D345" s="2">
        <f>HYPERLINK("http://mcb-m6.bioreg.kyushu-u.ac.jp/M3/20110502/F51158/2813/1", 37.87)</f>
        <v>37.869999999999997</v>
      </c>
      <c r="E345" s="2">
        <v>24.18</v>
      </c>
      <c r="F345" s="2">
        <v>2</v>
      </c>
      <c r="G345" s="2" t="s">
        <v>13</v>
      </c>
    </row>
    <row r="346" spans="1:8" x14ac:dyDescent="0.2">
      <c r="A346" s="2" t="s">
        <v>4235</v>
      </c>
      <c r="B346" s="2" t="s">
        <v>1911</v>
      </c>
      <c r="C346" s="2">
        <v>913.23069999999996</v>
      </c>
      <c r="D346" s="2">
        <f>HYPERLINK("http://mcb-m6.bioreg.kyushu-u.ac.jp/M3/20110502/F51158/2810/1", 50.27)</f>
        <v>50.27</v>
      </c>
      <c r="E346" s="2">
        <v>35.409999999999997</v>
      </c>
      <c r="F346" s="2">
        <v>2</v>
      </c>
      <c r="G346" s="2" t="s">
        <v>13</v>
      </c>
    </row>
    <row r="347" spans="1:8" x14ac:dyDescent="0.2">
      <c r="A347" s="2" t="s">
        <v>4235</v>
      </c>
      <c r="B347" s="2" t="s">
        <v>1911</v>
      </c>
      <c r="C347" s="2">
        <v>913.47609999999997</v>
      </c>
      <c r="D347" s="2">
        <f>HYPERLINK("http://mcb-m6.bioreg.kyushu-u.ac.jp/M3/20110429/F51157/2625/1", 60.12)</f>
        <v>60.12</v>
      </c>
      <c r="E347" s="2">
        <v>48.13</v>
      </c>
      <c r="F347" s="2">
        <v>2</v>
      </c>
      <c r="G347" s="2" t="s">
        <v>13</v>
      </c>
    </row>
    <row r="348" spans="1:8" x14ac:dyDescent="0.2">
      <c r="A348" s="2" t="s">
        <v>4235</v>
      </c>
      <c r="B348" s="2" t="s">
        <v>1911</v>
      </c>
      <c r="C348" s="2">
        <v>913.13070000000005</v>
      </c>
      <c r="D348" s="2">
        <f>HYPERLINK("http://mcb-m6.bioreg.kyushu-u.ac.jp/M3/20110502/F51159/2695/1", 52.71)</f>
        <v>52.71</v>
      </c>
      <c r="E348" s="2">
        <v>35.49</v>
      </c>
      <c r="F348" s="2">
        <v>2</v>
      </c>
      <c r="G348" s="2" t="s">
        <v>14</v>
      </c>
    </row>
    <row r="349" spans="1:8" x14ac:dyDescent="0.2">
      <c r="A349" s="2" t="s">
        <v>4183</v>
      </c>
      <c r="B349" s="2" t="s">
        <v>1761</v>
      </c>
      <c r="C349" s="2">
        <v>705.9067</v>
      </c>
      <c r="D349" s="2">
        <f>HYPERLINK("http://mcb-m6.bioreg.kyushu-u.ac.jp/M3/20110318/F50615/1389/1", 40.69)</f>
        <v>40.69</v>
      </c>
      <c r="E349" s="2">
        <v>20.46</v>
      </c>
      <c r="F349" s="2">
        <v>2</v>
      </c>
      <c r="G349" s="2" t="s">
        <v>10</v>
      </c>
    </row>
    <row r="350" spans="1:8" x14ac:dyDescent="0.2">
      <c r="A350" s="2" t="s">
        <v>4183</v>
      </c>
      <c r="B350" s="2" t="s">
        <v>5296</v>
      </c>
      <c r="C350" s="2">
        <v>512.50009999999997</v>
      </c>
      <c r="D350" s="2">
        <f>HYPERLINK("http://mcb-m6.bioreg.kyushu-u.ac.jp/M3/20110318/F50597/919/1", 51.34)</f>
        <v>51.34</v>
      </c>
      <c r="E350" s="2">
        <v>31.73</v>
      </c>
      <c r="F350" s="2">
        <v>2</v>
      </c>
      <c r="G350" s="2" t="s">
        <v>10</v>
      </c>
    </row>
    <row r="351" spans="1:8" x14ac:dyDescent="0.2">
      <c r="A351" s="2" t="s">
        <v>4183</v>
      </c>
      <c r="B351" s="2" t="s">
        <v>1761</v>
      </c>
      <c r="C351" s="2">
        <v>697.8202</v>
      </c>
      <c r="D351" s="2">
        <f>HYPERLINK("http://mcb-m6.bioreg.kyushu-u.ac.jp/M3/20110418/F50975/1761/1", 41.03)</f>
        <v>41.03</v>
      </c>
      <c r="E351" s="2">
        <v>22.63</v>
      </c>
      <c r="F351" s="2">
        <v>2</v>
      </c>
      <c r="G351" s="2" t="s">
        <v>11</v>
      </c>
      <c r="H351" s="2" t="s">
        <v>4904</v>
      </c>
    </row>
    <row r="352" spans="1:8" x14ac:dyDescent="0.2">
      <c r="A352" s="2" t="s">
        <v>4264</v>
      </c>
      <c r="B352" s="2" t="s">
        <v>1921</v>
      </c>
      <c r="C352" s="2">
        <v>879.41560000000004</v>
      </c>
      <c r="D352" s="2">
        <f>HYPERLINK("http://mcb-m6.bioreg.kyushu-u.ac.jp/M3/20110318/F50615/2034/1", 58.11)</f>
        <v>58.11</v>
      </c>
      <c r="E352" s="2">
        <v>40.659999999999997</v>
      </c>
      <c r="F352" s="2">
        <v>2</v>
      </c>
      <c r="G352" s="2" t="s">
        <v>10</v>
      </c>
    </row>
    <row r="353" spans="1:7" x14ac:dyDescent="0.2">
      <c r="A353" s="2" t="s">
        <v>4264</v>
      </c>
      <c r="B353" s="2" t="s">
        <v>1921</v>
      </c>
      <c r="C353" s="2">
        <v>878.98720000000003</v>
      </c>
      <c r="D353" s="2">
        <f>HYPERLINK("http://mcb-m6.bioreg.kyushu-u.ac.jp/M3/20110318/F50597/2132/1", 89.12)</f>
        <v>89.12</v>
      </c>
      <c r="E353" s="2">
        <v>76.040000000000006</v>
      </c>
      <c r="F353" s="2">
        <v>2</v>
      </c>
      <c r="G353" s="2" t="s">
        <v>10</v>
      </c>
    </row>
    <row r="354" spans="1:7" x14ac:dyDescent="0.2">
      <c r="A354" s="2" t="s">
        <v>4264</v>
      </c>
      <c r="B354" s="2" t="s">
        <v>1921</v>
      </c>
      <c r="C354" s="2">
        <v>878.7482</v>
      </c>
      <c r="D354" s="2">
        <f>HYPERLINK("http://mcb-m6.bioreg.kyushu-u.ac.jp/M3/20110418/F50976/2813/1", 50.68)</f>
        <v>50.68</v>
      </c>
      <c r="E354" s="2">
        <v>30.75</v>
      </c>
      <c r="F354" s="2">
        <v>2</v>
      </c>
      <c r="G354" s="2" t="s">
        <v>11</v>
      </c>
    </row>
    <row r="355" spans="1:7" x14ac:dyDescent="0.2">
      <c r="A355" s="2" t="s">
        <v>4264</v>
      </c>
      <c r="B355" s="2" t="s">
        <v>1921</v>
      </c>
      <c r="C355" s="2">
        <v>879.45719999999994</v>
      </c>
      <c r="D355" s="2">
        <f>HYPERLINK("http://mcb-m6.bioreg.kyushu-u.ac.jp/M3/20110418/F50976/2817/1", 54.12)</f>
        <v>54.12</v>
      </c>
      <c r="E355" s="2">
        <v>44.59</v>
      </c>
      <c r="F355" s="2">
        <v>2</v>
      </c>
      <c r="G355" s="2" t="s">
        <v>11</v>
      </c>
    </row>
    <row r="356" spans="1:7" x14ac:dyDescent="0.2">
      <c r="A356" s="2" t="s">
        <v>3788</v>
      </c>
      <c r="B356" s="2" t="s">
        <v>828</v>
      </c>
      <c r="C356" s="2">
        <v>860.08420000000001</v>
      </c>
      <c r="D356" s="2">
        <f>HYPERLINK("http://mcb-m6.bioreg.kyushu-u.ac.jp/M3/20110318/F50606/1906/1", 62.19)</f>
        <v>62.19</v>
      </c>
      <c r="E356" s="2">
        <v>44.38</v>
      </c>
      <c r="F356" s="2">
        <v>2</v>
      </c>
      <c r="G356" s="2" t="s">
        <v>9</v>
      </c>
    </row>
    <row r="357" spans="1:7" x14ac:dyDescent="0.2">
      <c r="A357" s="2" t="s">
        <v>3788</v>
      </c>
      <c r="B357" s="2" t="s">
        <v>828</v>
      </c>
      <c r="C357" s="2">
        <v>860.03369999999995</v>
      </c>
      <c r="D357" s="2">
        <f>HYPERLINK("http://mcb-m6.bioreg.kyushu-u.ac.jp/M3/20110318/F50597/2064/1", 62.92)</f>
        <v>62.92</v>
      </c>
      <c r="E357" s="2">
        <v>38.869999999999997</v>
      </c>
      <c r="F357" s="2">
        <v>2</v>
      </c>
      <c r="G357" s="2" t="s">
        <v>10</v>
      </c>
    </row>
    <row r="358" spans="1:7" x14ac:dyDescent="0.2">
      <c r="A358" s="2" t="s">
        <v>3788</v>
      </c>
      <c r="B358" s="2" t="s">
        <v>828</v>
      </c>
      <c r="C358" s="2">
        <v>859.9366</v>
      </c>
      <c r="D358" s="2">
        <f>HYPERLINK("http://mcb-m6.bioreg.kyushu-u.ac.jp/M3/20110318/F50615/1963/1", 64.3)</f>
        <v>64.3</v>
      </c>
      <c r="E358" s="2">
        <v>46.4</v>
      </c>
      <c r="F358" s="2">
        <v>2</v>
      </c>
      <c r="G358" s="2" t="s">
        <v>10</v>
      </c>
    </row>
    <row r="359" spans="1:7" x14ac:dyDescent="0.2">
      <c r="A359" s="2" t="s">
        <v>3788</v>
      </c>
      <c r="B359" s="2" t="s">
        <v>828</v>
      </c>
      <c r="C359" s="2">
        <v>860.26009999999997</v>
      </c>
      <c r="D359" s="2">
        <f>HYPERLINK("http://mcb-m6.bioreg.kyushu-u.ac.jp/M3/20110502/F51158/2547/1", 50.69)</f>
        <v>50.69</v>
      </c>
      <c r="E359" s="2">
        <v>33.46</v>
      </c>
      <c r="F359" s="2">
        <v>2</v>
      </c>
      <c r="G359" s="2" t="s">
        <v>13</v>
      </c>
    </row>
    <row r="360" spans="1:7" x14ac:dyDescent="0.2">
      <c r="A360" s="2" t="s">
        <v>4636</v>
      </c>
      <c r="B360" s="2" t="s">
        <v>2791</v>
      </c>
      <c r="C360" s="2">
        <v>508.2921</v>
      </c>
      <c r="D360" s="2">
        <f>HYPERLINK("http://mcb-m6.bioreg.kyushu-u.ac.jp/M3/20110318/F50615/830/1", 68.69)</f>
        <v>68.69</v>
      </c>
      <c r="E360" s="2">
        <v>45.4</v>
      </c>
      <c r="F360" s="2">
        <v>2</v>
      </c>
      <c r="G360" s="2" t="s">
        <v>10</v>
      </c>
    </row>
    <row r="361" spans="1:7" x14ac:dyDescent="0.2">
      <c r="A361" s="2" t="s">
        <v>4636</v>
      </c>
      <c r="B361" s="2" t="s">
        <v>2791</v>
      </c>
      <c r="C361" s="2">
        <v>1015.306</v>
      </c>
      <c r="D361" s="2">
        <f>HYPERLINK("http://mcb-m6.bioreg.kyushu-u.ac.jp/M3/20110418/F50974/992/1", 37.12)</f>
        <v>37.119999999999997</v>
      </c>
      <c r="E361" s="2">
        <v>17.170000000000002</v>
      </c>
      <c r="F361" s="2">
        <v>1</v>
      </c>
      <c r="G361" s="2" t="s">
        <v>11</v>
      </c>
    </row>
    <row r="362" spans="1:7" x14ac:dyDescent="0.2">
      <c r="A362" s="2" t="s">
        <v>4636</v>
      </c>
      <c r="B362" s="2" t="s">
        <v>2791</v>
      </c>
      <c r="C362" s="2">
        <v>1015.4589999999999</v>
      </c>
      <c r="D362" s="2">
        <f>HYPERLINK("http://mcb-m6.bioreg.kyushu-u.ac.jp/M3/20110418/F50975/792/1", 38.33)</f>
        <v>38.33</v>
      </c>
      <c r="E362" s="2">
        <v>16.72</v>
      </c>
      <c r="F362" s="2">
        <v>1</v>
      </c>
      <c r="G362" s="2" t="s">
        <v>11</v>
      </c>
    </row>
    <row r="363" spans="1:7" x14ac:dyDescent="0.2">
      <c r="A363" s="2" t="s">
        <v>4636</v>
      </c>
      <c r="B363" s="2" t="s">
        <v>2791</v>
      </c>
      <c r="C363" s="2">
        <v>508.83960000000002</v>
      </c>
      <c r="D363" s="2">
        <f>HYPERLINK("http://mcb-m6.bioreg.kyushu-u.ac.jp/M3/20110418/F50974/995/1", 59.49)</f>
        <v>59.49</v>
      </c>
      <c r="E363" s="2">
        <v>37.549999999999997</v>
      </c>
      <c r="F363" s="2">
        <v>2</v>
      </c>
      <c r="G363" s="2" t="s">
        <v>11</v>
      </c>
    </row>
    <row r="364" spans="1:7" x14ac:dyDescent="0.2">
      <c r="A364" s="2" t="s">
        <v>4636</v>
      </c>
      <c r="B364" s="2" t="s">
        <v>2791</v>
      </c>
      <c r="C364" s="2">
        <v>1015.402</v>
      </c>
      <c r="D364" s="2">
        <f>HYPERLINK("http://mcb-m6.bioreg.kyushu-u.ac.jp/M3/20110418/F50985/1764/1", 46.9)</f>
        <v>46.9</v>
      </c>
      <c r="E364" s="2">
        <v>26.13</v>
      </c>
      <c r="F364" s="2">
        <v>1</v>
      </c>
      <c r="G364" s="2" t="s">
        <v>12</v>
      </c>
    </row>
    <row r="365" spans="1:7" x14ac:dyDescent="0.2">
      <c r="A365" s="2" t="s">
        <v>4636</v>
      </c>
      <c r="B365" s="2" t="s">
        <v>2791</v>
      </c>
      <c r="C365" s="2">
        <v>1015.59</v>
      </c>
      <c r="D365" s="2">
        <f>HYPERLINK("http://mcb-m6.bioreg.kyushu-u.ac.jp/M3/20110502/F51158/756/1", 39.93)</f>
        <v>39.93</v>
      </c>
      <c r="E365" s="2">
        <v>25.14</v>
      </c>
      <c r="F365" s="2">
        <v>1</v>
      </c>
      <c r="G365" s="2" t="s">
        <v>13</v>
      </c>
    </row>
    <row r="366" spans="1:7" x14ac:dyDescent="0.2">
      <c r="A366" s="2" t="s">
        <v>4110</v>
      </c>
      <c r="B366" s="2" t="s">
        <v>1594</v>
      </c>
      <c r="C366" s="2">
        <v>851.4692</v>
      </c>
      <c r="D366" s="2">
        <f>HYPERLINK("http://mcb-m6.bioreg.kyushu-u.ac.jp/M3/20110318/F50606/1877/1", 79.01)</f>
        <v>79.010000000000005</v>
      </c>
      <c r="E366" s="2">
        <v>60.21</v>
      </c>
      <c r="F366" s="2">
        <v>2</v>
      </c>
      <c r="G366" s="2" t="s">
        <v>9</v>
      </c>
    </row>
    <row r="367" spans="1:7" x14ac:dyDescent="0.2">
      <c r="A367" s="2" t="s">
        <v>4110</v>
      </c>
      <c r="B367" s="2" t="s">
        <v>1594</v>
      </c>
      <c r="C367" s="2">
        <v>851.9357</v>
      </c>
      <c r="D367" s="2">
        <f>HYPERLINK("http://mcb-m6.bioreg.kyushu-u.ac.jp/M3/20110318/F50597/2034/1", 40.04)</f>
        <v>40.04</v>
      </c>
      <c r="E367" s="2">
        <v>23.75</v>
      </c>
      <c r="F367" s="2">
        <v>2</v>
      </c>
      <c r="G367" s="2" t="s">
        <v>10</v>
      </c>
    </row>
    <row r="368" spans="1:7" x14ac:dyDescent="0.2">
      <c r="A368" s="2" t="s">
        <v>4110</v>
      </c>
      <c r="B368" s="2" t="s">
        <v>1594</v>
      </c>
      <c r="C368" s="2">
        <v>851.36469999999997</v>
      </c>
      <c r="D368" s="2">
        <f>HYPERLINK("http://mcb-m6.bioreg.kyushu-u.ac.jp/M3/20110318/F50598/1913/1", 65.12)</f>
        <v>65.12</v>
      </c>
      <c r="E368" s="2">
        <v>50.68</v>
      </c>
      <c r="F368" s="2">
        <v>2</v>
      </c>
      <c r="G368" s="2" t="s">
        <v>10</v>
      </c>
    </row>
    <row r="369" spans="1:7" x14ac:dyDescent="0.2">
      <c r="A369" s="2" t="s">
        <v>4110</v>
      </c>
      <c r="B369" s="2" t="s">
        <v>1594</v>
      </c>
      <c r="C369" s="2">
        <v>851.45420000000001</v>
      </c>
      <c r="D369" s="2">
        <f>HYPERLINK("http://mcb-m6.bioreg.kyushu-u.ac.jp/M3/20110318/F50615/1945/1", 86.24)</f>
        <v>86.24</v>
      </c>
      <c r="E369" s="2">
        <v>68.72</v>
      </c>
      <c r="F369" s="2">
        <v>2</v>
      </c>
      <c r="G369" s="2" t="s">
        <v>10</v>
      </c>
    </row>
    <row r="370" spans="1:7" x14ac:dyDescent="0.2">
      <c r="A370" s="2" t="s">
        <v>4110</v>
      </c>
      <c r="B370" s="2" t="s">
        <v>1594</v>
      </c>
      <c r="C370" s="2">
        <v>851.76760000000002</v>
      </c>
      <c r="D370" s="2">
        <f>HYPERLINK("http://mcb-m6.bioreg.kyushu-u.ac.jp/M3/20110418/F50975/2708/1", 56.3)</f>
        <v>56.3</v>
      </c>
      <c r="E370" s="2">
        <v>43.95</v>
      </c>
      <c r="F370" s="2">
        <v>2</v>
      </c>
      <c r="G370" s="2" t="s">
        <v>11</v>
      </c>
    </row>
    <row r="371" spans="1:7" x14ac:dyDescent="0.2">
      <c r="A371" s="2" t="s">
        <v>4110</v>
      </c>
      <c r="B371" s="2" t="s">
        <v>1594</v>
      </c>
      <c r="C371" s="2">
        <v>851.32870000000003</v>
      </c>
      <c r="D371" s="2">
        <f>HYPERLINK("http://mcb-m6.bioreg.kyushu-u.ac.jp/M3/20110418/F50975/2705/1", 56.84)</f>
        <v>56.84</v>
      </c>
      <c r="E371" s="2">
        <v>42.05</v>
      </c>
      <c r="F371" s="2">
        <v>2</v>
      </c>
      <c r="G371" s="2" t="s">
        <v>11</v>
      </c>
    </row>
    <row r="372" spans="1:7" x14ac:dyDescent="0.2">
      <c r="A372" s="2" t="s">
        <v>4110</v>
      </c>
      <c r="B372" s="2" t="s">
        <v>1594</v>
      </c>
      <c r="C372" s="2">
        <v>851.81569999999999</v>
      </c>
      <c r="D372" s="2">
        <f>HYPERLINK("http://mcb-m6.bioreg.kyushu-u.ac.jp/M3/20110418/F50974/2615/1", 61.74)</f>
        <v>61.74</v>
      </c>
      <c r="E372" s="2">
        <v>41.91</v>
      </c>
      <c r="F372" s="2">
        <v>2</v>
      </c>
      <c r="G372" s="2" t="s">
        <v>11</v>
      </c>
    </row>
    <row r="373" spans="1:7" x14ac:dyDescent="0.2">
      <c r="A373" s="2" t="s">
        <v>4110</v>
      </c>
      <c r="B373" s="2" t="s">
        <v>1594</v>
      </c>
      <c r="C373" s="2">
        <v>851.86159999999995</v>
      </c>
      <c r="D373" s="2">
        <f>HYPERLINK("http://mcb-m6.bioreg.kyushu-u.ac.jp/M3/20110418/F50975/2710/1", 73)</f>
        <v>73</v>
      </c>
      <c r="E373" s="2">
        <v>58.7</v>
      </c>
      <c r="F373" s="2">
        <v>2</v>
      </c>
      <c r="G373" s="2" t="s">
        <v>11</v>
      </c>
    </row>
    <row r="374" spans="1:7" x14ac:dyDescent="0.2">
      <c r="A374" s="2" t="s">
        <v>4110</v>
      </c>
      <c r="B374" s="2" t="s">
        <v>1594</v>
      </c>
      <c r="C374" s="2">
        <v>851.60919999999999</v>
      </c>
      <c r="D374" s="2">
        <f>HYPERLINK("http://mcb-m6.bioreg.kyushu-u.ac.jp/M3/20110502/F51158/2501/1", 39.43)</f>
        <v>39.43</v>
      </c>
      <c r="E374" s="2">
        <v>20.49</v>
      </c>
      <c r="F374" s="2">
        <v>2</v>
      </c>
      <c r="G374" s="2" t="s">
        <v>13</v>
      </c>
    </row>
    <row r="375" spans="1:7" x14ac:dyDescent="0.2">
      <c r="A375" s="2" t="s">
        <v>4110</v>
      </c>
      <c r="B375" s="2" t="s">
        <v>1594</v>
      </c>
      <c r="C375" s="2">
        <v>851.49770000000001</v>
      </c>
      <c r="D375" s="2">
        <f>HYPERLINK("http://mcb-m6.bioreg.kyushu-u.ac.jp/M3/20110428/F51141/2606/1", 61.27)</f>
        <v>61.27</v>
      </c>
      <c r="E375" s="2">
        <v>46.89</v>
      </c>
      <c r="F375" s="2">
        <v>2</v>
      </c>
      <c r="G375" s="2" t="s">
        <v>14</v>
      </c>
    </row>
    <row r="376" spans="1:7" x14ac:dyDescent="0.2">
      <c r="A376" s="2" t="s">
        <v>4110</v>
      </c>
      <c r="B376" s="2" t="s">
        <v>1594</v>
      </c>
      <c r="C376" s="2">
        <v>851.83969999999999</v>
      </c>
      <c r="D376" s="2">
        <f>HYPERLINK("http://mcb-m6.bioreg.kyushu-u.ac.jp/M3/20110502/F51160/2283/1", 91.53)</f>
        <v>91.53</v>
      </c>
      <c r="E376" s="2">
        <v>73.52</v>
      </c>
      <c r="F376" s="2">
        <v>2</v>
      </c>
      <c r="G376" s="2" t="s">
        <v>14</v>
      </c>
    </row>
    <row r="377" spans="1:7" x14ac:dyDescent="0.2">
      <c r="A377" s="2" t="s">
        <v>5755</v>
      </c>
      <c r="B377" s="2" t="s">
        <v>5373</v>
      </c>
      <c r="C377" s="2">
        <v>1085.547</v>
      </c>
      <c r="D377" s="2">
        <f>HYPERLINK("http://mcb-m6.bioreg.kyushu-u.ac.jp/M3/20110418/F50975/951/1", 38.74)</f>
        <v>38.74</v>
      </c>
      <c r="E377" s="2">
        <v>17.59</v>
      </c>
      <c r="F377" s="2">
        <v>1</v>
      </c>
      <c r="G377" s="2" t="s">
        <v>11</v>
      </c>
    </row>
    <row r="378" spans="1:7" x14ac:dyDescent="0.2">
      <c r="A378" s="2" t="s">
        <v>5755</v>
      </c>
      <c r="B378" s="2" t="s">
        <v>5373</v>
      </c>
      <c r="C378" s="2">
        <v>543.77809999999999</v>
      </c>
      <c r="D378" s="2">
        <f>HYPERLINK("http://mcb-m6.bioreg.kyushu-u.ac.jp/M3/20110418/F50975/955/1", 41.7)</f>
        <v>41.7</v>
      </c>
      <c r="E378" s="2">
        <v>23.21</v>
      </c>
      <c r="F378" s="2">
        <v>2</v>
      </c>
      <c r="G378" s="2" t="s">
        <v>11</v>
      </c>
    </row>
    <row r="379" spans="1:7" x14ac:dyDescent="0.2">
      <c r="A379" s="2" t="s">
        <v>5755</v>
      </c>
      <c r="B379" s="2" t="s">
        <v>5373</v>
      </c>
      <c r="C379" s="2">
        <v>543.64319999999998</v>
      </c>
      <c r="D379" s="2">
        <f>HYPERLINK("http://mcb-m6.bioreg.kyushu-u.ac.jp/M3/20110502/F51158/930/1", 43.72)</f>
        <v>43.72</v>
      </c>
      <c r="E379" s="2">
        <v>25.78</v>
      </c>
      <c r="F379" s="2">
        <v>2</v>
      </c>
      <c r="G379" s="2" t="s">
        <v>13</v>
      </c>
    </row>
    <row r="380" spans="1:7" x14ac:dyDescent="0.2">
      <c r="A380" s="2" t="s">
        <v>4107</v>
      </c>
      <c r="B380" s="2" t="s">
        <v>1587</v>
      </c>
      <c r="C380" s="2">
        <v>1005.014</v>
      </c>
      <c r="D380" s="2">
        <f>HYPERLINK("http://mcb-m6.bioreg.kyushu-u.ac.jp/M3/20110318/F50607/2244/1", 56.34)</f>
        <v>56.34</v>
      </c>
      <c r="E380" s="2">
        <v>48.88</v>
      </c>
      <c r="F380" s="2">
        <v>2</v>
      </c>
      <c r="G380" s="2" t="s">
        <v>9</v>
      </c>
    </row>
    <row r="381" spans="1:7" x14ac:dyDescent="0.2">
      <c r="A381" s="2" t="s">
        <v>4107</v>
      </c>
      <c r="B381" s="2" t="s">
        <v>1587</v>
      </c>
      <c r="C381" s="2">
        <v>1004.782</v>
      </c>
      <c r="D381" s="2">
        <f>HYPERLINK("http://mcb-m6.bioreg.kyushu-u.ac.jp/M3/20110318/F50619/2367/1", 104.79)</f>
        <v>104.79</v>
      </c>
      <c r="E381" s="2">
        <v>96.67</v>
      </c>
      <c r="F381" s="2">
        <v>2</v>
      </c>
      <c r="G381" s="2" t="s">
        <v>9</v>
      </c>
    </row>
    <row r="382" spans="1:7" x14ac:dyDescent="0.2">
      <c r="A382" s="2" t="s">
        <v>4107</v>
      </c>
      <c r="B382" s="2" t="s">
        <v>1587</v>
      </c>
      <c r="C382" s="2">
        <v>1004.896</v>
      </c>
      <c r="D382" s="2">
        <f>HYPERLINK("http://mcb-m6.bioreg.kyushu-u.ac.jp/M3/20110318/F50597/2508/1", 99.08)</f>
        <v>99.08</v>
      </c>
      <c r="E382" s="2">
        <v>89.07</v>
      </c>
      <c r="F382" s="2">
        <v>2</v>
      </c>
      <c r="G382" s="2" t="s">
        <v>10</v>
      </c>
    </row>
    <row r="383" spans="1:7" x14ac:dyDescent="0.2">
      <c r="A383" s="2" t="s">
        <v>4107</v>
      </c>
      <c r="B383" s="2" t="s">
        <v>1587</v>
      </c>
      <c r="C383" s="2">
        <v>1004.354</v>
      </c>
      <c r="D383" s="2">
        <f>HYPERLINK("http://mcb-m6.bioreg.kyushu-u.ac.jp/M3/20110318/F50597/2506/1", 116.19)</f>
        <v>116.19</v>
      </c>
      <c r="E383" s="2">
        <v>106.27</v>
      </c>
      <c r="F383" s="2">
        <v>2</v>
      </c>
      <c r="G383" s="2" t="s">
        <v>10</v>
      </c>
    </row>
    <row r="384" spans="1:7" x14ac:dyDescent="0.2">
      <c r="A384" s="2" t="s">
        <v>4107</v>
      </c>
      <c r="B384" s="2" t="s">
        <v>1587</v>
      </c>
      <c r="C384" s="2">
        <v>1004.876</v>
      </c>
      <c r="D384" s="2">
        <f>HYPERLINK("http://mcb-m6.bioreg.kyushu-u.ac.jp/M3/20110318/F50615/2466/1", 117.17)</f>
        <v>117.17</v>
      </c>
      <c r="E384" s="2">
        <v>109.04</v>
      </c>
      <c r="F384" s="2">
        <v>2</v>
      </c>
      <c r="G384" s="2" t="s">
        <v>10</v>
      </c>
    </row>
    <row r="385" spans="1:9" x14ac:dyDescent="0.2">
      <c r="A385" s="2" t="s">
        <v>4107</v>
      </c>
      <c r="B385" s="2" t="s">
        <v>1587</v>
      </c>
      <c r="C385" s="2">
        <v>1004.349</v>
      </c>
      <c r="D385" s="2">
        <f>HYPERLINK("http://mcb-m6.bioreg.kyushu-u.ac.jp/M3/20110318/F50615/2462/1", 117.83)</f>
        <v>117.83</v>
      </c>
      <c r="E385" s="2">
        <v>104.89</v>
      </c>
      <c r="F385" s="2">
        <v>2</v>
      </c>
      <c r="G385" s="2" t="s">
        <v>10</v>
      </c>
    </row>
    <row r="386" spans="1:9" x14ac:dyDescent="0.2">
      <c r="A386" s="2" t="s">
        <v>4107</v>
      </c>
      <c r="B386" s="2" t="s">
        <v>1587</v>
      </c>
      <c r="C386" s="2">
        <v>1004.884</v>
      </c>
      <c r="D386" s="2">
        <f>HYPERLINK("http://mcb-m6.bioreg.kyushu-u.ac.jp/M3/20110418/F50975/3454/1", 60.3)</f>
        <v>60.3</v>
      </c>
      <c r="E386" s="2">
        <v>51.43</v>
      </c>
      <c r="F386" s="2">
        <v>2</v>
      </c>
      <c r="G386" s="2" t="s">
        <v>11</v>
      </c>
    </row>
    <row r="387" spans="1:9" x14ac:dyDescent="0.2">
      <c r="A387" s="2" t="s">
        <v>4107</v>
      </c>
      <c r="B387" s="2" t="s">
        <v>1587</v>
      </c>
      <c r="C387" s="2">
        <v>1004.255</v>
      </c>
      <c r="D387" s="2">
        <f>HYPERLINK("http://mcb-m6.bioreg.kyushu-u.ac.jp/M3/20110418/F50974/3265/1", 92.14)</f>
        <v>92.14</v>
      </c>
      <c r="E387" s="2">
        <v>82.59</v>
      </c>
      <c r="F387" s="2">
        <v>2</v>
      </c>
      <c r="G387" s="2" t="s">
        <v>11</v>
      </c>
    </row>
    <row r="388" spans="1:9" x14ac:dyDescent="0.2">
      <c r="A388" s="2" t="s">
        <v>4107</v>
      </c>
      <c r="B388" s="2" t="s">
        <v>1587</v>
      </c>
      <c r="C388" s="2">
        <v>1004.838</v>
      </c>
      <c r="D388" s="2">
        <f>HYPERLINK("http://mcb-m6.bioreg.kyushu-u.ac.jp/M3/20110418/F50976/3311/1", 99.45)</f>
        <v>99.45</v>
      </c>
      <c r="E388" s="2">
        <v>89.16</v>
      </c>
      <c r="F388" s="2">
        <v>2</v>
      </c>
      <c r="G388" s="2" t="s">
        <v>11</v>
      </c>
    </row>
    <row r="389" spans="1:9" x14ac:dyDescent="0.2">
      <c r="A389" s="2" t="s">
        <v>4107</v>
      </c>
      <c r="B389" s="2" t="s">
        <v>1587</v>
      </c>
      <c r="C389" s="2">
        <v>1004.277</v>
      </c>
      <c r="D389" s="2">
        <f>HYPERLINK("http://mcb-m6.bioreg.kyushu-u.ac.jp/M3/20110418/F50976/3308/1", 114.99)</f>
        <v>114.99</v>
      </c>
      <c r="E389" s="2">
        <v>102.63</v>
      </c>
      <c r="F389" s="2">
        <v>2</v>
      </c>
      <c r="G389" s="2" t="s">
        <v>11</v>
      </c>
    </row>
    <row r="390" spans="1:9" x14ac:dyDescent="0.2">
      <c r="A390" s="2" t="s">
        <v>4107</v>
      </c>
      <c r="B390" s="2" t="s">
        <v>1587</v>
      </c>
      <c r="C390" s="2">
        <v>1004.316</v>
      </c>
      <c r="D390" s="2">
        <f>HYPERLINK("http://mcb-m6.bioreg.kyushu-u.ac.jp/M3/20110418/F50975/3449/1", 134.46)</f>
        <v>134.46</v>
      </c>
      <c r="E390" s="2">
        <v>124.94</v>
      </c>
      <c r="F390" s="2">
        <v>2</v>
      </c>
      <c r="G390" s="2" t="s">
        <v>11</v>
      </c>
    </row>
    <row r="391" spans="1:9" x14ac:dyDescent="0.2">
      <c r="A391" s="2" t="s">
        <v>4107</v>
      </c>
      <c r="B391" s="2" t="s">
        <v>1587</v>
      </c>
      <c r="C391" s="2">
        <v>1005.048</v>
      </c>
      <c r="D391" s="2">
        <f>HYPERLINK("http://mcb-m6.bioreg.kyushu-u.ac.jp/M3/20110502/F51158/3159/1", 89.06)</f>
        <v>89.06</v>
      </c>
      <c r="E391" s="2">
        <v>80.150000000000006</v>
      </c>
      <c r="F391" s="2">
        <v>2</v>
      </c>
      <c r="G391" s="2" t="s">
        <v>13</v>
      </c>
    </row>
    <row r="392" spans="1:9" x14ac:dyDescent="0.2">
      <c r="A392" s="2" t="s">
        <v>4107</v>
      </c>
      <c r="B392" s="2" t="s">
        <v>1587</v>
      </c>
      <c r="C392" s="2">
        <v>1004.599</v>
      </c>
      <c r="D392" s="2">
        <f>HYPERLINK("http://mcb-m6.bioreg.kyushu-u.ac.jp/M3/20110502/F51158/3157/1", 110.64)</f>
        <v>110.64</v>
      </c>
      <c r="E392" s="2">
        <v>99.61</v>
      </c>
      <c r="F392" s="2">
        <v>2</v>
      </c>
      <c r="G392" s="2" t="s">
        <v>13</v>
      </c>
    </row>
    <row r="393" spans="1:9" x14ac:dyDescent="0.2">
      <c r="A393" s="2" t="s">
        <v>4107</v>
      </c>
      <c r="B393" s="2" t="s">
        <v>1587</v>
      </c>
      <c r="C393" s="2">
        <v>1004.4690000000001</v>
      </c>
      <c r="D393" s="2">
        <f>HYPERLINK("http://mcb-m6.bioreg.kyushu-u.ac.jp/M3/20110428/F51141/3405/1", 93.16)</f>
        <v>93.16</v>
      </c>
      <c r="E393" s="2">
        <v>85.72</v>
      </c>
      <c r="F393" s="2">
        <v>2</v>
      </c>
      <c r="G393" s="2" t="s">
        <v>14</v>
      </c>
    </row>
    <row r="394" spans="1:9" x14ac:dyDescent="0.2">
      <c r="A394" s="2" t="s">
        <v>4107</v>
      </c>
      <c r="B394" s="2" t="s">
        <v>1587</v>
      </c>
      <c r="C394" s="2">
        <v>1004.98</v>
      </c>
      <c r="D394" s="2">
        <f>HYPERLINK("http://mcb-m6.bioreg.kyushu-u.ac.jp/M3/20110428/F51141/3406/1", 103.25)</f>
        <v>103.25</v>
      </c>
      <c r="E394" s="2">
        <v>95.36</v>
      </c>
      <c r="F394" s="2">
        <v>2</v>
      </c>
      <c r="G394" s="2" t="s">
        <v>14</v>
      </c>
    </row>
    <row r="395" spans="1:9" x14ac:dyDescent="0.2">
      <c r="A395" s="2" t="s">
        <v>3632</v>
      </c>
      <c r="B395" s="2" t="s">
        <v>547</v>
      </c>
      <c r="C395" s="2">
        <v>799.71119999999996</v>
      </c>
      <c r="D395" s="2">
        <f>HYPERLINK("http://mcb-m6.bioreg.kyushu-u.ac.jp/M3/20110418/F50975/2424/1", 72.88)</f>
        <v>72.88</v>
      </c>
      <c r="E395" s="2">
        <v>53.49</v>
      </c>
      <c r="F395" s="2">
        <v>2</v>
      </c>
      <c r="G395" s="2" t="s">
        <v>11</v>
      </c>
      <c r="I395" s="2" t="s">
        <v>4923</v>
      </c>
    </row>
    <row r="396" spans="1:9" x14ac:dyDescent="0.2">
      <c r="A396" s="2" t="s">
        <v>3632</v>
      </c>
      <c r="B396" s="2" t="s">
        <v>547</v>
      </c>
      <c r="C396" s="2">
        <v>799.99469999999997</v>
      </c>
      <c r="D396" s="2">
        <f>HYPERLINK("http://mcb-m6.bioreg.kyushu-u.ac.jp/M3/20110502/F51158/2232/1", 67.07)</f>
        <v>67.069999999999993</v>
      </c>
      <c r="E396" s="2">
        <v>49.53</v>
      </c>
      <c r="F396" s="2">
        <v>2</v>
      </c>
      <c r="G396" s="2" t="s">
        <v>13</v>
      </c>
      <c r="I396" s="2" t="s">
        <v>4923</v>
      </c>
    </row>
    <row r="397" spans="1:9" x14ac:dyDescent="0.2">
      <c r="A397" s="2" t="s">
        <v>3539</v>
      </c>
      <c r="B397" s="2" t="s">
        <v>393</v>
      </c>
      <c r="C397" s="2">
        <v>895.86720000000003</v>
      </c>
      <c r="D397" s="2">
        <f>HYPERLINK("http://mcb-m6.bioreg.kyushu-u.ac.jp/M3/20110318/F50606/2013/1", 44.62)</f>
        <v>44.62</v>
      </c>
      <c r="E397" s="2">
        <v>27.07</v>
      </c>
      <c r="F397" s="2">
        <v>2</v>
      </c>
      <c r="G397" s="2" t="s">
        <v>9</v>
      </c>
    </row>
    <row r="398" spans="1:9" x14ac:dyDescent="0.2">
      <c r="A398" s="2" t="s">
        <v>3539</v>
      </c>
      <c r="B398" s="2" t="s">
        <v>393</v>
      </c>
      <c r="C398" s="2">
        <v>1791.23</v>
      </c>
      <c r="D398" s="2">
        <f>HYPERLINK("http://mcb-m6.bioreg.kyushu-u.ac.jp/M3/20110318/F50620/2222/1", 72.98)</f>
        <v>72.98</v>
      </c>
      <c r="E398" s="2">
        <v>59.33</v>
      </c>
      <c r="F398" s="2">
        <v>1</v>
      </c>
      <c r="G398" s="2" t="s">
        <v>9</v>
      </c>
    </row>
    <row r="399" spans="1:9" x14ac:dyDescent="0.2">
      <c r="A399" s="2" t="s">
        <v>3539</v>
      </c>
      <c r="B399" s="2" t="s">
        <v>393</v>
      </c>
      <c r="C399" s="2">
        <v>895.75819999999999</v>
      </c>
      <c r="D399" s="2">
        <f>HYPERLINK("http://mcb-m6.bioreg.kyushu-u.ac.jp/M3/20110318/F50621/1988/1", 79.81)</f>
        <v>79.81</v>
      </c>
      <c r="E399" s="2">
        <v>51.1</v>
      </c>
      <c r="F399" s="2">
        <v>2</v>
      </c>
      <c r="G399" s="2" t="s">
        <v>9</v>
      </c>
    </row>
    <row r="400" spans="1:9" x14ac:dyDescent="0.2">
      <c r="A400" s="2" t="s">
        <v>3539</v>
      </c>
      <c r="B400" s="2" t="s">
        <v>393</v>
      </c>
      <c r="C400" s="2">
        <v>896.27719999999999</v>
      </c>
      <c r="D400" s="2">
        <f>HYPERLINK("http://mcb-m6.bioreg.kyushu-u.ac.jp/M3/20110318/F50621/1989/1", 79.94)</f>
        <v>79.94</v>
      </c>
      <c r="E400" s="2">
        <v>46</v>
      </c>
      <c r="F400" s="2">
        <v>2</v>
      </c>
      <c r="G400" s="2" t="s">
        <v>9</v>
      </c>
    </row>
    <row r="401" spans="1:7" x14ac:dyDescent="0.2">
      <c r="A401" s="2" t="s">
        <v>3539</v>
      </c>
      <c r="B401" s="2" t="s">
        <v>393</v>
      </c>
      <c r="C401" s="2">
        <v>896.06870000000004</v>
      </c>
      <c r="D401" s="2">
        <f>HYPERLINK("http://mcb-m6.bioreg.kyushu-u.ac.jp/M3/20110318/F50620/2221/1", 96.16)</f>
        <v>96.16</v>
      </c>
      <c r="E401" s="2">
        <v>62.27</v>
      </c>
      <c r="F401" s="2">
        <v>2</v>
      </c>
      <c r="G401" s="2" t="s">
        <v>9</v>
      </c>
    </row>
    <row r="402" spans="1:7" x14ac:dyDescent="0.2">
      <c r="A402" s="2" t="s">
        <v>3539</v>
      </c>
      <c r="B402" s="2" t="s">
        <v>393</v>
      </c>
      <c r="C402" s="2">
        <v>896.1816</v>
      </c>
      <c r="D402" s="2">
        <f>HYPERLINK("http://mcb-m6.bioreg.kyushu-u.ac.jp/M3/20110318/F50597/2187/1", 45.4)</f>
        <v>45.4</v>
      </c>
      <c r="E402" s="2">
        <v>34.520000000000003</v>
      </c>
      <c r="F402" s="2">
        <v>2</v>
      </c>
      <c r="G402" s="2" t="s">
        <v>10</v>
      </c>
    </row>
    <row r="403" spans="1:7" x14ac:dyDescent="0.2">
      <c r="A403" s="2" t="s">
        <v>3539</v>
      </c>
      <c r="B403" s="2" t="s">
        <v>393</v>
      </c>
      <c r="C403" s="2">
        <v>896.19669999999996</v>
      </c>
      <c r="D403" s="2">
        <f>HYPERLINK("http://mcb-m6.bioreg.kyushu-u.ac.jp/M3/20110318/F50616/2231/1", 53.52)</f>
        <v>53.52</v>
      </c>
      <c r="E403" s="2">
        <v>29.77</v>
      </c>
      <c r="F403" s="2">
        <v>2</v>
      </c>
      <c r="G403" s="2" t="s">
        <v>10</v>
      </c>
    </row>
    <row r="404" spans="1:7" x14ac:dyDescent="0.2">
      <c r="A404" s="2" t="s">
        <v>3539</v>
      </c>
      <c r="B404" s="2" t="s">
        <v>393</v>
      </c>
      <c r="C404" s="2">
        <v>895.66359999999997</v>
      </c>
      <c r="D404" s="2">
        <f>HYPERLINK("http://mcb-m6.bioreg.kyushu-u.ac.jp/M3/20110318/F50616/2227/1", 57.12)</f>
        <v>57.12</v>
      </c>
      <c r="E404" s="2">
        <v>32.31</v>
      </c>
      <c r="F404" s="2">
        <v>2</v>
      </c>
      <c r="G404" s="2" t="s">
        <v>10</v>
      </c>
    </row>
    <row r="405" spans="1:7" x14ac:dyDescent="0.2">
      <c r="A405" s="2" t="s">
        <v>3539</v>
      </c>
      <c r="B405" s="2" t="s">
        <v>393</v>
      </c>
      <c r="C405" s="2">
        <v>1790.6579999999999</v>
      </c>
      <c r="D405" s="2">
        <f>HYPERLINK("http://mcb-m6.bioreg.kyushu-u.ac.jp/M3/20110318/F50616/2230/1", 61.53)</f>
        <v>61.53</v>
      </c>
      <c r="E405" s="2">
        <v>42.8</v>
      </c>
      <c r="F405" s="2">
        <v>1</v>
      </c>
      <c r="G405" s="2" t="s">
        <v>10</v>
      </c>
    </row>
    <row r="406" spans="1:7" x14ac:dyDescent="0.2">
      <c r="A406" s="2" t="s">
        <v>3539</v>
      </c>
      <c r="B406" s="2" t="s">
        <v>393</v>
      </c>
      <c r="C406" s="2">
        <v>896.34220000000005</v>
      </c>
      <c r="D406" s="2">
        <f>HYPERLINK("http://mcb-m6.bioreg.kyushu-u.ac.jp/M3/20110318/F50616/2232/1", 67.25)</f>
        <v>67.25</v>
      </c>
      <c r="E406" s="2">
        <v>44.94</v>
      </c>
      <c r="F406" s="2">
        <v>2</v>
      </c>
      <c r="G406" s="2" t="s">
        <v>10</v>
      </c>
    </row>
    <row r="407" spans="1:7" x14ac:dyDescent="0.2">
      <c r="A407" s="2" t="s">
        <v>3539</v>
      </c>
      <c r="B407" s="2" t="s">
        <v>393</v>
      </c>
      <c r="C407" s="2">
        <v>895.81020000000001</v>
      </c>
      <c r="D407" s="2">
        <f>HYPERLINK("http://mcb-m6.bioreg.kyushu-u.ac.jp/M3/20110318/F50616/2229/1", 99.08)</f>
        <v>99.08</v>
      </c>
      <c r="E407" s="2">
        <v>73.59</v>
      </c>
      <c r="F407" s="2">
        <v>2</v>
      </c>
      <c r="G407" s="2" t="s">
        <v>10</v>
      </c>
    </row>
    <row r="408" spans="1:7" x14ac:dyDescent="0.2">
      <c r="A408" s="2" t="s">
        <v>3539</v>
      </c>
      <c r="B408" s="2" t="s">
        <v>393</v>
      </c>
      <c r="C408" s="2">
        <v>895.80769999999995</v>
      </c>
      <c r="D408" s="2">
        <f>HYPERLINK("http://mcb-m6.bioreg.kyushu-u.ac.jp/M3/20110418/F50996/2638/1", 37.61)</f>
        <v>37.61</v>
      </c>
      <c r="E408" s="2">
        <v>21.89</v>
      </c>
      <c r="F408" s="2">
        <v>2</v>
      </c>
      <c r="G408" s="2" t="s">
        <v>11</v>
      </c>
    </row>
    <row r="409" spans="1:7" x14ac:dyDescent="0.2">
      <c r="A409" s="2" t="s">
        <v>3539</v>
      </c>
      <c r="B409" s="2" t="s">
        <v>393</v>
      </c>
      <c r="C409" s="2">
        <v>896.41219999999998</v>
      </c>
      <c r="D409" s="2">
        <f>HYPERLINK("http://mcb-m6.bioreg.kyushu-u.ac.jp/M3/20110418/F50979/2618/1", 41.4)</f>
        <v>41.4</v>
      </c>
      <c r="E409" s="2">
        <v>27.65</v>
      </c>
      <c r="F409" s="2">
        <v>2</v>
      </c>
      <c r="G409" s="2" t="s">
        <v>11</v>
      </c>
    </row>
    <row r="410" spans="1:7" x14ac:dyDescent="0.2">
      <c r="A410" s="2" t="s">
        <v>3539</v>
      </c>
      <c r="B410" s="2" t="s">
        <v>393</v>
      </c>
      <c r="C410" s="2">
        <v>896.28560000000004</v>
      </c>
      <c r="D410" s="2">
        <f>HYPERLINK("http://mcb-m6.bioreg.kyushu-u.ac.jp/M3/20110418/F50996/2639/1", 47.27)</f>
        <v>47.27</v>
      </c>
      <c r="E410" s="2">
        <v>19.329999999999998</v>
      </c>
      <c r="F410" s="2">
        <v>2</v>
      </c>
      <c r="G410" s="2" t="s">
        <v>11</v>
      </c>
    </row>
    <row r="411" spans="1:7" x14ac:dyDescent="0.2">
      <c r="A411" s="2" t="s">
        <v>3539</v>
      </c>
      <c r="B411" s="2" t="s">
        <v>393</v>
      </c>
      <c r="C411" s="2">
        <v>895.7432</v>
      </c>
      <c r="D411" s="2">
        <f>HYPERLINK("http://mcb-m6.bioreg.kyushu-u.ac.jp/M3/20110418/F50996/2635/1", 47.38)</f>
        <v>47.38</v>
      </c>
      <c r="E411" s="2">
        <v>29.77</v>
      </c>
      <c r="F411" s="2">
        <v>2</v>
      </c>
      <c r="G411" s="2" t="s">
        <v>11</v>
      </c>
    </row>
    <row r="412" spans="1:7" x14ac:dyDescent="0.2">
      <c r="A412" s="2" t="s">
        <v>3539</v>
      </c>
      <c r="B412" s="2" t="s">
        <v>393</v>
      </c>
      <c r="C412" s="2">
        <v>896.33759999999995</v>
      </c>
      <c r="D412" s="2">
        <f>HYPERLINK("http://mcb-m6.bioreg.kyushu-u.ac.jp/M3/20110418/F50975/2961/1", 49.47)</f>
        <v>49.47</v>
      </c>
      <c r="E412" s="2">
        <v>28.73</v>
      </c>
      <c r="F412" s="2">
        <v>2</v>
      </c>
      <c r="G412" s="2" t="s">
        <v>11</v>
      </c>
    </row>
    <row r="413" spans="1:7" x14ac:dyDescent="0.2">
      <c r="A413" s="2" t="s">
        <v>3539</v>
      </c>
      <c r="B413" s="2" t="s">
        <v>393</v>
      </c>
      <c r="C413" s="2">
        <v>895.79970000000003</v>
      </c>
      <c r="D413" s="2">
        <f>HYPERLINK("http://mcb-m6.bioreg.kyushu-u.ac.jp/M3/20110418/F50996/2637/1", 55.55)</f>
        <v>55.55</v>
      </c>
      <c r="E413" s="2">
        <v>27.17</v>
      </c>
      <c r="F413" s="2">
        <v>2</v>
      </c>
      <c r="G413" s="2" t="s">
        <v>11</v>
      </c>
    </row>
    <row r="414" spans="1:7" x14ac:dyDescent="0.2">
      <c r="A414" s="2" t="s">
        <v>3539</v>
      </c>
      <c r="B414" s="2" t="s">
        <v>393</v>
      </c>
      <c r="C414" s="2">
        <v>895.5077</v>
      </c>
      <c r="D414" s="2">
        <f>HYPERLINK("http://mcb-m6.bioreg.kyushu-u.ac.jp/M3/20110418/F50996/2631/1", 58.58)</f>
        <v>58.58</v>
      </c>
      <c r="E414" s="2">
        <v>42.2</v>
      </c>
      <c r="F414" s="2">
        <v>2</v>
      </c>
      <c r="G414" s="2" t="s">
        <v>11</v>
      </c>
    </row>
    <row r="415" spans="1:7" x14ac:dyDescent="0.2">
      <c r="A415" s="2" t="s">
        <v>3539</v>
      </c>
      <c r="B415" s="2" t="s">
        <v>393</v>
      </c>
      <c r="C415" s="2">
        <v>895.78809999999999</v>
      </c>
      <c r="D415" s="2">
        <f>HYPERLINK("http://mcb-m6.bioreg.kyushu-u.ac.jp/M3/20110418/F50996/2636/1", 59.89)</f>
        <v>59.89</v>
      </c>
      <c r="E415" s="2">
        <v>32.630000000000003</v>
      </c>
      <c r="F415" s="2">
        <v>2</v>
      </c>
      <c r="G415" s="2" t="s">
        <v>11</v>
      </c>
    </row>
    <row r="416" spans="1:7" x14ac:dyDescent="0.2">
      <c r="A416" s="2" t="s">
        <v>3539</v>
      </c>
      <c r="B416" s="2" t="s">
        <v>393</v>
      </c>
      <c r="C416" s="2">
        <v>895.63570000000004</v>
      </c>
      <c r="D416" s="2">
        <f>HYPERLINK("http://mcb-m6.bioreg.kyushu-u.ac.jp/M3/20110418/F50996/2633/1", 66.76)</f>
        <v>66.760000000000005</v>
      </c>
      <c r="E416" s="2">
        <v>48.69</v>
      </c>
      <c r="F416" s="2">
        <v>2</v>
      </c>
      <c r="G416" s="2" t="s">
        <v>11</v>
      </c>
    </row>
    <row r="417" spans="1:7" x14ac:dyDescent="0.2">
      <c r="A417" s="2" t="s">
        <v>3539</v>
      </c>
      <c r="B417" s="2" t="s">
        <v>393</v>
      </c>
      <c r="C417" s="2">
        <v>896.3107</v>
      </c>
      <c r="D417" s="2">
        <f>HYPERLINK("http://mcb-m6.bioreg.kyushu-u.ac.jp/M3/20110418/F50996/2641/1", 78.78)</f>
        <v>78.78</v>
      </c>
      <c r="E417" s="2">
        <v>49.27</v>
      </c>
      <c r="F417" s="2">
        <v>2</v>
      </c>
      <c r="G417" s="2" t="s">
        <v>11</v>
      </c>
    </row>
    <row r="418" spans="1:7" x14ac:dyDescent="0.2">
      <c r="A418" s="2" t="s">
        <v>3539</v>
      </c>
      <c r="B418" s="2" t="s">
        <v>393</v>
      </c>
      <c r="C418" s="2">
        <v>896.34119999999996</v>
      </c>
      <c r="D418" s="2">
        <f>HYPERLINK("http://mcb-m6.bioreg.kyushu-u.ac.jp/M3/20110418/F50996/2642/1", 81.38)</f>
        <v>81.38</v>
      </c>
      <c r="E418" s="2">
        <v>58.27</v>
      </c>
      <c r="F418" s="2">
        <v>2</v>
      </c>
      <c r="G418" s="2" t="s">
        <v>11</v>
      </c>
    </row>
    <row r="419" spans="1:7" x14ac:dyDescent="0.2">
      <c r="A419" s="2" t="s">
        <v>3539</v>
      </c>
      <c r="B419" s="2" t="s">
        <v>393</v>
      </c>
      <c r="C419" s="2">
        <v>896.29909999999995</v>
      </c>
      <c r="D419" s="2">
        <f>HYPERLINK("http://mcb-m6.bioreg.kyushu-u.ac.jp/M3/20110418/F50996/2640/1", 88.98)</f>
        <v>88.98</v>
      </c>
      <c r="E419" s="2">
        <v>56.33</v>
      </c>
      <c r="F419" s="2">
        <v>2</v>
      </c>
      <c r="G419" s="2" t="s">
        <v>11</v>
      </c>
    </row>
    <row r="420" spans="1:7" x14ac:dyDescent="0.2">
      <c r="A420" s="2" t="s">
        <v>3539</v>
      </c>
      <c r="B420" s="2" t="s">
        <v>393</v>
      </c>
      <c r="C420" s="2">
        <v>896.31769999999995</v>
      </c>
      <c r="D420" s="2">
        <f>HYPERLINK("http://mcb-m6.bioreg.kyushu-u.ac.jp/M3/20110418/F51001/2445/1", 56.23)</f>
        <v>56.23</v>
      </c>
      <c r="E420" s="2">
        <v>37.5</v>
      </c>
      <c r="F420" s="2">
        <v>2</v>
      </c>
      <c r="G420" s="2" t="s">
        <v>12</v>
      </c>
    </row>
    <row r="421" spans="1:7" x14ac:dyDescent="0.2">
      <c r="A421" s="2" t="s">
        <v>3539</v>
      </c>
      <c r="B421" s="2" t="s">
        <v>393</v>
      </c>
      <c r="C421" s="2">
        <v>597.66489999999999</v>
      </c>
      <c r="D421" s="2">
        <f>HYPERLINK("http://mcb-m6.bioreg.kyushu-u.ac.jp/M3/20110418/F50997/2553/1", 56.69)</f>
        <v>56.69</v>
      </c>
      <c r="E421" s="2">
        <v>39.35</v>
      </c>
      <c r="F421" s="2">
        <v>3</v>
      </c>
      <c r="G421" s="2" t="s">
        <v>12</v>
      </c>
    </row>
    <row r="422" spans="1:7" x14ac:dyDescent="0.2">
      <c r="A422" s="2" t="s">
        <v>3539</v>
      </c>
      <c r="B422" s="2" t="s">
        <v>393</v>
      </c>
      <c r="C422" s="2">
        <v>895.99159999999995</v>
      </c>
      <c r="D422" s="2">
        <f>HYPERLINK("http://mcb-m6.bioreg.kyushu-u.ac.jp/M3/20110418/F50982/2450/1", 58.47)</f>
        <v>58.47</v>
      </c>
      <c r="E422" s="2">
        <v>38.24</v>
      </c>
      <c r="F422" s="2">
        <v>2</v>
      </c>
      <c r="G422" s="2" t="s">
        <v>12</v>
      </c>
    </row>
    <row r="423" spans="1:7" x14ac:dyDescent="0.2">
      <c r="A423" s="2" t="s">
        <v>3539</v>
      </c>
      <c r="B423" s="2" t="s">
        <v>393</v>
      </c>
      <c r="C423" s="2">
        <v>896.33720000000005</v>
      </c>
      <c r="D423" s="2">
        <f>HYPERLINK("http://mcb-m6.bioreg.kyushu-u.ac.jp/M3/20110418/F50983/2283/1", 70.37)</f>
        <v>70.37</v>
      </c>
      <c r="E423" s="2">
        <v>39.56</v>
      </c>
      <c r="F423" s="2">
        <v>2</v>
      </c>
      <c r="G423" s="2" t="s">
        <v>12</v>
      </c>
    </row>
    <row r="424" spans="1:7" x14ac:dyDescent="0.2">
      <c r="A424" s="2" t="s">
        <v>3539</v>
      </c>
      <c r="B424" s="2" t="s">
        <v>393</v>
      </c>
      <c r="C424" s="2">
        <v>896.11869999999999</v>
      </c>
      <c r="D424" s="2">
        <f>HYPERLINK("http://mcb-m6.bioreg.kyushu-u.ac.jp/M3/20110418/F50997/2555/1", 71.14)</f>
        <v>71.14</v>
      </c>
      <c r="E424" s="2">
        <v>53.01</v>
      </c>
      <c r="F424" s="2">
        <v>2</v>
      </c>
      <c r="G424" s="2" t="s">
        <v>12</v>
      </c>
    </row>
    <row r="425" spans="1:7" x14ac:dyDescent="0.2">
      <c r="A425" s="2" t="s">
        <v>3539</v>
      </c>
      <c r="B425" s="2" t="s">
        <v>393</v>
      </c>
      <c r="C425" s="2">
        <v>896.18219999999997</v>
      </c>
      <c r="D425" s="2">
        <f>HYPERLINK("http://mcb-m6.bioreg.kyushu-u.ac.jp/M3/20110418/F50984/2382/1", 76.7)</f>
        <v>76.7</v>
      </c>
      <c r="E425" s="2">
        <v>44.19</v>
      </c>
      <c r="F425" s="2">
        <v>2</v>
      </c>
      <c r="G425" s="2" t="s">
        <v>12</v>
      </c>
    </row>
    <row r="426" spans="1:7" x14ac:dyDescent="0.2">
      <c r="A426" s="2" t="s">
        <v>3539</v>
      </c>
      <c r="B426" s="2" t="s">
        <v>393</v>
      </c>
      <c r="C426" s="2">
        <v>896.29719999999998</v>
      </c>
      <c r="D426" s="2">
        <f>HYPERLINK("http://mcb-m6.bioreg.kyushu-u.ac.jp/M3/20110418/F50997/2557/1", 81.15)</f>
        <v>81.150000000000006</v>
      </c>
      <c r="E426" s="2">
        <v>48.47</v>
      </c>
      <c r="F426" s="2">
        <v>2</v>
      </c>
      <c r="G426" s="2" t="s">
        <v>12</v>
      </c>
    </row>
    <row r="427" spans="1:7" x14ac:dyDescent="0.2">
      <c r="A427" s="2" t="s">
        <v>3539</v>
      </c>
      <c r="B427" s="2" t="s">
        <v>393</v>
      </c>
      <c r="C427" s="2">
        <v>896.07320000000004</v>
      </c>
      <c r="D427" s="2">
        <f>HYPERLINK("http://mcb-m6.bioreg.kyushu-u.ac.jp/M3/20110418/F50997/2554/1", 83.84)</f>
        <v>83.84</v>
      </c>
      <c r="E427" s="2">
        <v>46.84</v>
      </c>
      <c r="F427" s="2">
        <v>2</v>
      </c>
      <c r="G427" s="2" t="s">
        <v>12</v>
      </c>
    </row>
    <row r="428" spans="1:7" x14ac:dyDescent="0.2">
      <c r="A428" s="2" t="s">
        <v>3539</v>
      </c>
      <c r="B428" s="2" t="s">
        <v>393</v>
      </c>
      <c r="C428" s="2">
        <v>896.29269999999997</v>
      </c>
      <c r="D428" s="2">
        <f>HYPERLINK("http://mcb-m6.bioreg.kyushu-u.ac.jp/M3/20110418/F50997/2556/1", 84.39)</f>
        <v>84.39</v>
      </c>
      <c r="E428" s="2">
        <v>60.38</v>
      </c>
      <c r="F428" s="2">
        <v>2</v>
      </c>
      <c r="G428" s="2" t="s">
        <v>12</v>
      </c>
    </row>
    <row r="429" spans="1:7" x14ac:dyDescent="0.2">
      <c r="A429" s="2" t="s">
        <v>3539</v>
      </c>
      <c r="B429" s="2" t="s">
        <v>393</v>
      </c>
      <c r="C429" s="2">
        <v>896.31410000000005</v>
      </c>
      <c r="D429" s="2">
        <f>HYPERLINK("http://mcb-m6.bioreg.kyushu-u.ac.jp/M3/20110418/F50997/2558/1", 87.16)</f>
        <v>87.16</v>
      </c>
      <c r="E429" s="2">
        <v>55.93</v>
      </c>
      <c r="F429" s="2">
        <v>2</v>
      </c>
      <c r="G429" s="2" t="s">
        <v>12</v>
      </c>
    </row>
    <row r="430" spans="1:7" x14ac:dyDescent="0.2">
      <c r="A430" s="2" t="s">
        <v>3539</v>
      </c>
      <c r="B430" s="2" t="s">
        <v>393</v>
      </c>
      <c r="C430" s="2">
        <v>895.62159999999994</v>
      </c>
      <c r="D430" s="2">
        <f>HYPERLINK("http://mcb-m6.bioreg.kyushu-u.ac.jp/M3/20110418/F50997/2551/1", 90.75)</f>
        <v>90.75</v>
      </c>
      <c r="E430" s="2">
        <v>65.69</v>
      </c>
      <c r="F430" s="2">
        <v>2</v>
      </c>
      <c r="G430" s="2" t="s">
        <v>12</v>
      </c>
    </row>
    <row r="431" spans="1:7" x14ac:dyDescent="0.2">
      <c r="A431" s="2" t="s">
        <v>3539</v>
      </c>
      <c r="B431" s="2" t="s">
        <v>393</v>
      </c>
      <c r="C431" s="2">
        <v>895.75919999999996</v>
      </c>
      <c r="D431" s="2">
        <f>HYPERLINK("http://mcb-m6.bioreg.kyushu-u.ac.jp/M3/20110418/F50997/2552/1", 99.47)</f>
        <v>99.47</v>
      </c>
      <c r="E431" s="2">
        <v>76.97</v>
      </c>
      <c r="F431" s="2">
        <v>2</v>
      </c>
      <c r="G431" s="2" t="s">
        <v>12</v>
      </c>
    </row>
    <row r="432" spans="1:7" x14ac:dyDescent="0.2">
      <c r="A432" s="2" t="s">
        <v>3539</v>
      </c>
      <c r="B432" s="2" t="s">
        <v>393</v>
      </c>
      <c r="C432" s="2">
        <v>896.53970000000004</v>
      </c>
      <c r="D432" s="2">
        <f>HYPERLINK("http://mcb-m6.bioreg.kyushu-u.ac.jp/M3/20110502/F51158/2742/1", 38.86)</f>
        <v>38.86</v>
      </c>
      <c r="E432" s="2">
        <v>20.260000000000002</v>
      </c>
      <c r="F432" s="2">
        <v>2</v>
      </c>
      <c r="G432" s="2" t="s">
        <v>13</v>
      </c>
    </row>
    <row r="433" spans="1:7" x14ac:dyDescent="0.2">
      <c r="A433" s="2" t="s">
        <v>3539</v>
      </c>
      <c r="B433" s="2" t="s">
        <v>393</v>
      </c>
      <c r="C433" s="2">
        <v>895.6816</v>
      </c>
      <c r="D433" s="2">
        <f>HYPERLINK("http://mcb-m6.bioreg.kyushu-u.ac.jp/M3/20110429/F51157/2522/1", 39.4)</f>
        <v>39.4</v>
      </c>
      <c r="E433" s="2">
        <v>27.01</v>
      </c>
      <c r="F433" s="2">
        <v>2</v>
      </c>
      <c r="G433" s="2" t="s">
        <v>13</v>
      </c>
    </row>
    <row r="434" spans="1:7" x14ac:dyDescent="0.2">
      <c r="A434" s="2" t="s">
        <v>3539</v>
      </c>
      <c r="B434" s="2" t="s">
        <v>393</v>
      </c>
      <c r="C434" s="2">
        <v>896.35519999999997</v>
      </c>
      <c r="D434" s="2">
        <f>HYPERLINK("http://mcb-m6.bioreg.kyushu-u.ac.jp/M3/20110429/F51157/2533/1", 40.07)</f>
        <v>40.07</v>
      </c>
      <c r="E434" s="2">
        <v>21.53</v>
      </c>
      <c r="F434" s="2">
        <v>2</v>
      </c>
      <c r="G434" s="2" t="s">
        <v>13</v>
      </c>
    </row>
    <row r="435" spans="1:7" x14ac:dyDescent="0.2">
      <c r="A435" s="2" t="s">
        <v>3539</v>
      </c>
      <c r="B435" s="2" t="s">
        <v>393</v>
      </c>
      <c r="C435" s="2">
        <v>1790.6949999999999</v>
      </c>
      <c r="D435" s="2">
        <f>HYPERLINK("http://mcb-m6.bioreg.kyushu-u.ac.jp/M3/20110429/F51157/2525/1", 50.32)</f>
        <v>50.32</v>
      </c>
      <c r="E435" s="2">
        <v>30.96</v>
      </c>
      <c r="F435" s="2">
        <v>1</v>
      </c>
      <c r="G435" s="2" t="s">
        <v>13</v>
      </c>
    </row>
    <row r="436" spans="1:7" x14ac:dyDescent="0.2">
      <c r="A436" s="2" t="s">
        <v>3539</v>
      </c>
      <c r="B436" s="2" t="s">
        <v>393</v>
      </c>
      <c r="C436" s="2">
        <v>895.98469999999998</v>
      </c>
      <c r="D436" s="2">
        <f>HYPERLINK("http://mcb-m6.bioreg.kyushu-u.ac.jp/M3/20110429/F51157/2528/1", 58.62)</f>
        <v>58.62</v>
      </c>
      <c r="E436" s="2">
        <v>32.67</v>
      </c>
      <c r="F436" s="2">
        <v>2</v>
      </c>
      <c r="G436" s="2" t="s">
        <v>13</v>
      </c>
    </row>
    <row r="437" spans="1:7" x14ac:dyDescent="0.2">
      <c r="A437" s="2" t="s">
        <v>3539</v>
      </c>
      <c r="B437" s="2" t="s">
        <v>393</v>
      </c>
      <c r="C437" s="2">
        <v>597.93820000000005</v>
      </c>
      <c r="D437" s="2">
        <f>HYPERLINK("http://mcb-m6.bioreg.kyushu-u.ac.jp/M3/20110429/F51157/2536/1", 65.11)</f>
        <v>65.11</v>
      </c>
      <c r="E437" s="2">
        <v>47.83</v>
      </c>
      <c r="F437" s="2">
        <v>3</v>
      </c>
      <c r="G437" s="2" t="s">
        <v>13</v>
      </c>
    </row>
    <row r="438" spans="1:7" x14ac:dyDescent="0.2">
      <c r="A438" s="2" t="s">
        <v>3539</v>
      </c>
      <c r="B438" s="2" t="s">
        <v>393</v>
      </c>
      <c r="C438" s="2">
        <v>896.14419999999996</v>
      </c>
      <c r="D438" s="2">
        <f>HYPERLINK("http://mcb-m6.bioreg.kyushu-u.ac.jp/M3/20110429/F51157/2530/1", 69.93)</f>
        <v>69.930000000000007</v>
      </c>
      <c r="E438" s="2">
        <v>47.03</v>
      </c>
      <c r="F438" s="2">
        <v>2</v>
      </c>
      <c r="G438" s="2" t="s">
        <v>13</v>
      </c>
    </row>
    <row r="439" spans="1:7" x14ac:dyDescent="0.2">
      <c r="A439" s="2" t="s">
        <v>3539</v>
      </c>
      <c r="B439" s="2" t="s">
        <v>393</v>
      </c>
      <c r="C439" s="2">
        <v>895.82870000000003</v>
      </c>
      <c r="D439" s="2">
        <f>HYPERLINK("http://mcb-m6.bioreg.kyushu-u.ac.jp/M3/20110429/F51157/2523/1", 80.81)</f>
        <v>80.81</v>
      </c>
      <c r="E439" s="2">
        <v>59.68</v>
      </c>
      <c r="F439" s="2">
        <v>2</v>
      </c>
      <c r="G439" s="2" t="s">
        <v>13</v>
      </c>
    </row>
    <row r="440" spans="1:7" x14ac:dyDescent="0.2">
      <c r="A440" s="2" t="s">
        <v>3539</v>
      </c>
      <c r="B440" s="2" t="s">
        <v>393</v>
      </c>
      <c r="C440" s="2">
        <v>896.36569999999995</v>
      </c>
      <c r="D440" s="2">
        <f>HYPERLINK("http://mcb-m6.bioreg.kyushu-u.ac.jp/M3/20110429/F51157/2534/1", 83.13)</f>
        <v>83.13</v>
      </c>
      <c r="E440" s="2">
        <v>52.02</v>
      </c>
      <c r="F440" s="2">
        <v>2</v>
      </c>
      <c r="G440" s="2" t="s">
        <v>13</v>
      </c>
    </row>
    <row r="441" spans="1:7" x14ac:dyDescent="0.2">
      <c r="A441" s="2" t="s">
        <v>3539</v>
      </c>
      <c r="B441" s="2" t="s">
        <v>393</v>
      </c>
      <c r="C441" s="2">
        <v>895.83219999999994</v>
      </c>
      <c r="D441" s="2">
        <f>HYPERLINK("http://mcb-m6.bioreg.kyushu-u.ac.jp/M3/20110429/F51157/2524/1", 84.74)</f>
        <v>84.74</v>
      </c>
      <c r="E441" s="2">
        <v>62.16</v>
      </c>
      <c r="F441" s="2">
        <v>2</v>
      </c>
      <c r="G441" s="2" t="s">
        <v>13</v>
      </c>
    </row>
    <row r="442" spans="1:7" x14ac:dyDescent="0.2">
      <c r="A442" s="2" t="s">
        <v>3539</v>
      </c>
      <c r="B442" s="2" t="s">
        <v>393</v>
      </c>
      <c r="C442" s="2">
        <v>896.37220000000002</v>
      </c>
      <c r="D442" s="2">
        <f>HYPERLINK("http://mcb-m6.bioreg.kyushu-u.ac.jp/M3/20110429/F51157/2535/1", 87.68)</f>
        <v>87.68</v>
      </c>
      <c r="E442" s="2">
        <v>65.81</v>
      </c>
      <c r="F442" s="2">
        <v>2</v>
      </c>
      <c r="G442" s="2" t="s">
        <v>13</v>
      </c>
    </row>
    <row r="443" spans="1:7" x14ac:dyDescent="0.2">
      <c r="A443" s="2" t="s">
        <v>3539</v>
      </c>
      <c r="B443" s="2" t="s">
        <v>393</v>
      </c>
      <c r="C443" s="2">
        <v>895.85860000000002</v>
      </c>
      <c r="D443" s="2">
        <f>HYPERLINK("http://mcb-m6.bioreg.kyushu-u.ac.jp/M3/20110429/F51157/2526/1", 105.68)</f>
        <v>105.68</v>
      </c>
      <c r="E443" s="2">
        <v>83.38</v>
      </c>
      <c r="F443" s="2">
        <v>2</v>
      </c>
      <c r="G443" s="2" t="s">
        <v>13</v>
      </c>
    </row>
    <row r="444" spans="1:7" x14ac:dyDescent="0.2">
      <c r="A444" s="2" t="s">
        <v>3539</v>
      </c>
      <c r="B444" s="2" t="s">
        <v>393</v>
      </c>
      <c r="C444" s="2">
        <v>896.42769999999996</v>
      </c>
      <c r="D444" s="2">
        <f>HYPERLINK("http://mcb-m6.bioreg.kyushu-u.ac.jp/M3/20110428/F51138/2787/1", 45.56)</f>
        <v>45.56</v>
      </c>
      <c r="E444" s="2">
        <v>13.1</v>
      </c>
      <c r="F444" s="2">
        <v>2</v>
      </c>
      <c r="G444" s="2" t="s">
        <v>14</v>
      </c>
    </row>
    <row r="445" spans="1:7" x14ac:dyDescent="0.2">
      <c r="A445" s="2" t="s">
        <v>3539</v>
      </c>
      <c r="B445" s="2" t="s">
        <v>393</v>
      </c>
      <c r="C445" s="2">
        <v>896.07209999999998</v>
      </c>
      <c r="D445" s="2">
        <f>HYPERLINK("http://mcb-m6.bioreg.kyushu-u.ac.jp/M3/20110502/F51159/2608/1", 46.51)</f>
        <v>46.51</v>
      </c>
      <c r="E445" s="2">
        <v>29.05</v>
      </c>
      <c r="F445" s="2">
        <v>2</v>
      </c>
      <c r="G445" s="2" t="s">
        <v>14</v>
      </c>
    </row>
    <row r="446" spans="1:7" x14ac:dyDescent="0.2">
      <c r="A446" s="2" t="s">
        <v>3539</v>
      </c>
      <c r="B446" s="2" t="s">
        <v>393</v>
      </c>
      <c r="C446" s="2">
        <v>895.97270000000003</v>
      </c>
      <c r="D446" s="2">
        <f>HYPERLINK("http://mcb-m6.bioreg.kyushu-u.ac.jp/M3/20110502/F51160/2435/1", 53.99)</f>
        <v>53.99</v>
      </c>
      <c r="E446" s="2">
        <v>32.32</v>
      </c>
      <c r="F446" s="2">
        <v>2</v>
      </c>
      <c r="G446" s="2" t="s">
        <v>14</v>
      </c>
    </row>
    <row r="447" spans="1:7" x14ac:dyDescent="0.2">
      <c r="A447" s="2" t="s">
        <v>3539</v>
      </c>
      <c r="B447" s="2" t="s">
        <v>393</v>
      </c>
      <c r="C447" s="2">
        <v>895.9366</v>
      </c>
      <c r="D447" s="2">
        <f>HYPERLINK("http://mcb-m6.bioreg.kyushu-u.ac.jp/M3/20110428/F51140/2759/1", 60.64)</f>
        <v>60.64</v>
      </c>
      <c r="E447" s="2">
        <v>40.880000000000003</v>
      </c>
      <c r="F447" s="2">
        <v>2</v>
      </c>
      <c r="G447" s="2" t="s">
        <v>14</v>
      </c>
    </row>
    <row r="448" spans="1:7" x14ac:dyDescent="0.2">
      <c r="A448" s="2" t="s">
        <v>3539</v>
      </c>
      <c r="B448" s="2" t="s">
        <v>393</v>
      </c>
      <c r="C448" s="2">
        <v>895.92570000000001</v>
      </c>
      <c r="D448" s="2">
        <f>HYPERLINK("http://mcb-m6.bioreg.kyushu-u.ac.jp/M3/20110502/F51160/2433/1", 63.81)</f>
        <v>63.81</v>
      </c>
      <c r="E448" s="2">
        <v>47.05</v>
      </c>
      <c r="F448" s="2">
        <v>2</v>
      </c>
      <c r="G448" s="2" t="s">
        <v>14</v>
      </c>
    </row>
    <row r="449" spans="1:8" x14ac:dyDescent="0.2">
      <c r="A449" s="2" t="s">
        <v>3539</v>
      </c>
      <c r="B449" s="2" t="s">
        <v>393</v>
      </c>
      <c r="C449" s="2">
        <v>896.04719999999998</v>
      </c>
      <c r="D449" s="2">
        <f>HYPERLINK("http://mcb-m6.bioreg.kyushu-u.ac.jp/M3/20110502/F51159/2605/1", 64.84)</f>
        <v>64.84</v>
      </c>
      <c r="E449" s="2">
        <v>32.94</v>
      </c>
      <c r="F449" s="2">
        <v>2</v>
      </c>
      <c r="G449" s="2" t="s">
        <v>14</v>
      </c>
    </row>
    <row r="450" spans="1:8" x14ac:dyDescent="0.2">
      <c r="A450" s="2" t="s">
        <v>3539</v>
      </c>
      <c r="B450" s="2" t="s">
        <v>393</v>
      </c>
      <c r="C450" s="2">
        <v>896.05909999999994</v>
      </c>
      <c r="D450" s="2">
        <f>HYPERLINK("http://mcb-m6.bioreg.kyushu-u.ac.jp/M3/20110502/F51159/2606/1", 66.62)</f>
        <v>66.62</v>
      </c>
      <c r="E450" s="2">
        <v>43</v>
      </c>
      <c r="F450" s="2">
        <v>2</v>
      </c>
      <c r="G450" s="2" t="s">
        <v>14</v>
      </c>
    </row>
    <row r="451" spans="1:8" x14ac:dyDescent="0.2">
      <c r="A451" s="2" t="s">
        <v>3539</v>
      </c>
      <c r="B451" s="2" t="s">
        <v>393</v>
      </c>
      <c r="C451" s="2">
        <v>896.51570000000004</v>
      </c>
      <c r="D451" s="2">
        <f>HYPERLINK("http://mcb-m6.bioreg.kyushu-u.ac.jp/M3/20110502/F51160/2443/1", 69.01)</f>
        <v>69.010000000000005</v>
      </c>
      <c r="E451" s="2">
        <v>39.01</v>
      </c>
      <c r="F451" s="2">
        <v>2</v>
      </c>
      <c r="G451" s="2" t="s">
        <v>14</v>
      </c>
    </row>
    <row r="452" spans="1:8" x14ac:dyDescent="0.2">
      <c r="A452" s="2" t="s">
        <v>3539</v>
      </c>
      <c r="B452" s="2" t="s">
        <v>393</v>
      </c>
      <c r="C452" s="2">
        <v>896.44209999999998</v>
      </c>
      <c r="D452" s="2">
        <f>HYPERLINK("http://mcb-m6.bioreg.kyushu-u.ac.jp/M3/20110502/F51160/2441/1", 69.23)</f>
        <v>69.23</v>
      </c>
      <c r="E452" s="2">
        <v>40.47</v>
      </c>
      <c r="F452" s="2">
        <v>2</v>
      </c>
      <c r="G452" s="2" t="s">
        <v>14</v>
      </c>
    </row>
    <row r="453" spans="1:8" x14ac:dyDescent="0.2">
      <c r="A453" s="2" t="s">
        <v>3539</v>
      </c>
      <c r="B453" s="2" t="s">
        <v>393</v>
      </c>
      <c r="C453" s="2">
        <v>896.45870000000002</v>
      </c>
      <c r="D453" s="2">
        <f>HYPERLINK("http://mcb-m6.bioreg.kyushu-u.ac.jp/M3/20110502/F51160/2442/1", 69.29)</f>
        <v>69.290000000000006</v>
      </c>
      <c r="E453" s="2">
        <v>41.5</v>
      </c>
      <c r="F453" s="2">
        <v>2</v>
      </c>
      <c r="G453" s="2" t="s">
        <v>14</v>
      </c>
    </row>
    <row r="454" spans="1:8" x14ac:dyDescent="0.2">
      <c r="A454" s="2" t="s">
        <v>3539</v>
      </c>
      <c r="B454" s="2" t="s">
        <v>393</v>
      </c>
      <c r="C454" s="2">
        <v>896.08119999999997</v>
      </c>
      <c r="D454" s="2">
        <f>HYPERLINK("http://mcb-m6.bioreg.kyushu-u.ac.jp/M3/20110502/F51159/2610/1", 73.15)</f>
        <v>73.150000000000006</v>
      </c>
      <c r="E454" s="2">
        <v>44.53</v>
      </c>
      <c r="F454" s="2">
        <v>2</v>
      </c>
      <c r="G454" s="2" t="s">
        <v>14</v>
      </c>
    </row>
    <row r="455" spans="1:8" x14ac:dyDescent="0.2">
      <c r="A455" s="2" t="s">
        <v>3539</v>
      </c>
      <c r="B455" s="2" t="s">
        <v>393</v>
      </c>
      <c r="C455" s="2">
        <v>896.50070000000005</v>
      </c>
      <c r="D455" s="2">
        <f>HYPERLINK("http://mcb-m6.bioreg.kyushu-u.ac.jp/M3/20110428/F51141/2906/1", 74.3)</f>
        <v>74.3</v>
      </c>
      <c r="E455" s="2">
        <v>53.23</v>
      </c>
      <c r="F455" s="2">
        <v>2</v>
      </c>
      <c r="G455" s="2" t="s">
        <v>14</v>
      </c>
    </row>
    <row r="456" spans="1:8" x14ac:dyDescent="0.2">
      <c r="A456" s="2" t="s">
        <v>3539</v>
      </c>
      <c r="B456" s="2" t="s">
        <v>393</v>
      </c>
      <c r="C456" s="2">
        <v>895.94069999999999</v>
      </c>
      <c r="D456" s="2">
        <f>HYPERLINK("http://mcb-m6.bioreg.kyushu-u.ac.jp/M3/20110502/F51160/2434/1", 77.71)</f>
        <v>77.709999999999994</v>
      </c>
      <c r="E456" s="2">
        <v>53.74</v>
      </c>
      <c r="F456" s="2">
        <v>2</v>
      </c>
      <c r="G456" s="2" t="s">
        <v>14</v>
      </c>
    </row>
    <row r="457" spans="1:8" x14ac:dyDescent="0.2">
      <c r="A457" s="2" t="s">
        <v>3539</v>
      </c>
      <c r="B457" s="2" t="s">
        <v>393</v>
      </c>
      <c r="C457" s="2">
        <v>895.88459999999998</v>
      </c>
      <c r="D457" s="2">
        <f>HYPERLINK("http://mcb-m6.bioreg.kyushu-u.ac.jp/M3/20110502/F51160/2432/1", 82.18)</f>
        <v>82.18</v>
      </c>
      <c r="E457" s="2">
        <v>65.25</v>
      </c>
      <c r="F457" s="2">
        <v>2</v>
      </c>
      <c r="G457" s="2" t="s">
        <v>14</v>
      </c>
    </row>
    <row r="458" spans="1:8" x14ac:dyDescent="0.2">
      <c r="A458" s="2" t="s">
        <v>3539</v>
      </c>
      <c r="B458" s="2" t="s">
        <v>393</v>
      </c>
      <c r="C458" s="2">
        <v>896.06370000000004</v>
      </c>
      <c r="D458" s="2">
        <f>HYPERLINK("http://mcb-m6.bioreg.kyushu-u.ac.jp/M3/20110502/F51159/2607/1", 84.48)</f>
        <v>84.48</v>
      </c>
      <c r="E458" s="2">
        <v>52.62</v>
      </c>
      <c r="F458" s="2">
        <v>2</v>
      </c>
      <c r="G458" s="2" t="s">
        <v>14</v>
      </c>
    </row>
    <row r="459" spans="1:8" x14ac:dyDescent="0.2">
      <c r="A459" s="2" t="s">
        <v>3539</v>
      </c>
      <c r="B459" s="2" t="s">
        <v>393</v>
      </c>
      <c r="C459" s="2">
        <v>896.10220000000004</v>
      </c>
      <c r="D459" s="2">
        <f>HYPERLINK("http://mcb-m6.bioreg.kyushu-u.ac.jp/M3/20110502/F51159/2611/1", 87.25)</f>
        <v>87.25</v>
      </c>
      <c r="E459" s="2">
        <v>61.62</v>
      </c>
      <c r="F459" s="2">
        <v>2</v>
      </c>
      <c r="G459" s="2" t="s">
        <v>14</v>
      </c>
    </row>
    <row r="460" spans="1:8" x14ac:dyDescent="0.2">
      <c r="A460" s="2" t="s">
        <v>3539</v>
      </c>
      <c r="B460" s="2" t="s">
        <v>393</v>
      </c>
      <c r="C460" s="2">
        <v>896.31870000000004</v>
      </c>
      <c r="D460" s="2">
        <f>HYPERLINK("http://mcb-m6.bioreg.kyushu-u.ac.jp/M3/20110502/F51159/2613/1", 87.43)</f>
        <v>87.43</v>
      </c>
      <c r="E460" s="2">
        <v>59</v>
      </c>
      <c r="F460" s="2">
        <v>2</v>
      </c>
      <c r="G460" s="2" t="s">
        <v>14</v>
      </c>
    </row>
    <row r="461" spans="1:8" x14ac:dyDescent="0.2">
      <c r="A461" s="2" t="s">
        <v>3539</v>
      </c>
      <c r="B461" s="2" t="s">
        <v>393</v>
      </c>
      <c r="C461" s="2">
        <v>896.10310000000004</v>
      </c>
      <c r="D461" s="2">
        <f>HYPERLINK("http://mcb-m6.bioreg.kyushu-u.ac.jp/M3/20110428/F51139/2308/1", 96.9)</f>
        <v>96.9</v>
      </c>
      <c r="E461" s="2">
        <v>64.760000000000005</v>
      </c>
      <c r="F461" s="2">
        <v>2</v>
      </c>
      <c r="G461" s="2" t="s">
        <v>14</v>
      </c>
    </row>
    <row r="462" spans="1:8" x14ac:dyDescent="0.2">
      <c r="A462" s="2" t="s">
        <v>3539</v>
      </c>
      <c r="B462" s="2" t="s">
        <v>393</v>
      </c>
      <c r="C462" s="2">
        <v>896.17660000000001</v>
      </c>
      <c r="D462" s="2">
        <f>HYPERLINK("http://mcb-m6.bioreg.kyushu-u.ac.jp/M3/20110502/F51159/2612/1", 120.33)</f>
        <v>120.33</v>
      </c>
      <c r="E462" s="2">
        <v>96.29</v>
      </c>
      <c r="F462" s="2">
        <v>2</v>
      </c>
      <c r="G462" s="2" t="s">
        <v>14</v>
      </c>
    </row>
    <row r="463" spans="1:8" x14ac:dyDescent="0.2">
      <c r="A463" s="2" t="s">
        <v>3467</v>
      </c>
      <c r="B463" s="2" t="s">
        <v>278</v>
      </c>
      <c r="C463" s="2">
        <v>1014.2670000000001</v>
      </c>
      <c r="D463" s="2">
        <f>HYPERLINK("http://mcb-m6.bioreg.kyushu-u.ac.jp/M3/20110318/F50620/999/1", 60.18)</f>
        <v>60.18</v>
      </c>
      <c r="E463" s="2">
        <v>40.6</v>
      </c>
      <c r="F463" s="2">
        <v>1</v>
      </c>
      <c r="G463" s="2" t="s">
        <v>9</v>
      </c>
      <c r="H463" s="2" t="s">
        <v>4915</v>
      </c>
    </row>
    <row r="464" spans="1:8" x14ac:dyDescent="0.2">
      <c r="A464" s="2" t="s">
        <v>3467</v>
      </c>
      <c r="B464" s="2" t="s">
        <v>278</v>
      </c>
      <c r="C464" s="2">
        <v>1014.311</v>
      </c>
      <c r="D464" s="2">
        <f>HYPERLINK("http://mcb-m6.bioreg.kyushu-u.ac.jp/M3/20110318/F50616/1008/1", 49.65)</f>
        <v>49.65</v>
      </c>
      <c r="E464" s="2">
        <v>25.98</v>
      </c>
      <c r="F464" s="2">
        <v>1</v>
      </c>
      <c r="G464" s="2" t="s">
        <v>10</v>
      </c>
      <c r="H464" s="2" t="s">
        <v>4915</v>
      </c>
    </row>
    <row r="465" spans="1:8" x14ac:dyDescent="0.2">
      <c r="A465" s="2" t="s">
        <v>3467</v>
      </c>
      <c r="B465" s="2" t="s">
        <v>278</v>
      </c>
      <c r="C465" s="2">
        <v>507.91809999999998</v>
      </c>
      <c r="D465" s="2">
        <f>HYPERLINK("http://mcb-m6.bioreg.kyushu-u.ac.jp/M3/20110418/F50996/1170/1", 42.38)</f>
        <v>42.38</v>
      </c>
      <c r="E465" s="2">
        <v>15.63</v>
      </c>
      <c r="F465" s="2">
        <v>2</v>
      </c>
      <c r="G465" s="2" t="s">
        <v>11</v>
      </c>
      <c r="H465" s="2" t="s">
        <v>4915</v>
      </c>
    </row>
    <row r="466" spans="1:8" x14ac:dyDescent="0.2">
      <c r="A466" s="2" t="s">
        <v>3467</v>
      </c>
      <c r="B466" s="2" t="s">
        <v>278</v>
      </c>
      <c r="C466" s="2">
        <v>1014.412</v>
      </c>
      <c r="D466" s="2">
        <f>HYPERLINK("http://mcb-m6.bioreg.kyushu-u.ac.jp/M3/20110418/F50996/1165/1", 60.19)</f>
        <v>60.19</v>
      </c>
      <c r="E466" s="2">
        <v>41.88</v>
      </c>
      <c r="F466" s="2">
        <v>1</v>
      </c>
      <c r="G466" s="2" t="s">
        <v>11</v>
      </c>
      <c r="H466" s="2" t="s">
        <v>4915</v>
      </c>
    </row>
    <row r="467" spans="1:8" x14ac:dyDescent="0.2">
      <c r="A467" s="2" t="s">
        <v>3467</v>
      </c>
      <c r="B467" s="2" t="s">
        <v>278</v>
      </c>
      <c r="C467" s="2">
        <v>500.26209999999998</v>
      </c>
      <c r="D467" s="2">
        <f>HYPERLINK("http://mcb-m6.bioreg.kyushu-u.ac.jp/M3/20110418/F50984/1714/1", 39.64)</f>
        <v>39.64</v>
      </c>
      <c r="E467" s="2">
        <v>17.32</v>
      </c>
      <c r="F467" s="2">
        <v>2</v>
      </c>
      <c r="G467" s="2" t="s">
        <v>12</v>
      </c>
    </row>
    <row r="468" spans="1:8" x14ac:dyDescent="0.2">
      <c r="A468" s="2" t="s">
        <v>3467</v>
      </c>
      <c r="B468" s="2" t="s">
        <v>278</v>
      </c>
      <c r="C468" s="2">
        <v>998.447</v>
      </c>
      <c r="D468" s="2">
        <f>HYPERLINK("http://mcb-m6.bioreg.kyushu-u.ac.jp/M3/20110418/F50997/1168/1", 45.54)</f>
        <v>45.54</v>
      </c>
      <c r="E468" s="2">
        <v>26.83</v>
      </c>
      <c r="F468" s="2">
        <v>1</v>
      </c>
      <c r="G468" s="2" t="s">
        <v>12</v>
      </c>
    </row>
    <row r="469" spans="1:8" x14ac:dyDescent="0.2">
      <c r="A469" s="2" t="s">
        <v>3467</v>
      </c>
      <c r="B469" s="2" t="s">
        <v>278</v>
      </c>
      <c r="C469" s="2">
        <v>1014.407</v>
      </c>
      <c r="D469" s="2">
        <f>HYPERLINK("http://mcb-m6.bioreg.kyushu-u.ac.jp/M3/20110418/F50984/1726/1", 47.39)</f>
        <v>47.39</v>
      </c>
      <c r="E469" s="2">
        <v>28.93</v>
      </c>
      <c r="F469" s="2">
        <v>1</v>
      </c>
      <c r="G469" s="2" t="s">
        <v>12</v>
      </c>
      <c r="H469" s="2" t="s">
        <v>4915</v>
      </c>
    </row>
    <row r="470" spans="1:8" x14ac:dyDescent="0.2">
      <c r="A470" s="2" t="s">
        <v>3467</v>
      </c>
      <c r="B470" s="2" t="s">
        <v>5446</v>
      </c>
      <c r="C470" s="2">
        <v>820.87869999999998</v>
      </c>
      <c r="D470" s="2">
        <f>HYPERLINK("http://mcb-m6.bioreg.kyushu-u.ac.jp/M3/20110418/F50997/2314/1", 48.15)</f>
        <v>48.15</v>
      </c>
      <c r="E470" s="2">
        <v>31.76</v>
      </c>
      <c r="F470" s="2">
        <v>2</v>
      </c>
      <c r="G470" s="2" t="s">
        <v>12</v>
      </c>
      <c r="H470" s="2" t="s">
        <v>4912</v>
      </c>
    </row>
    <row r="471" spans="1:8" x14ac:dyDescent="0.2">
      <c r="A471" s="2" t="s">
        <v>3467</v>
      </c>
      <c r="B471" s="2" t="s">
        <v>278</v>
      </c>
      <c r="C471" s="2">
        <v>500.0351</v>
      </c>
      <c r="D471" s="2">
        <f>HYPERLINK("http://mcb-m6.bioreg.kyushu-u.ac.jp/M3/20110418/F50997/1169/1", 48.86)</f>
        <v>48.86</v>
      </c>
      <c r="E471" s="2">
        <v>23.78</v>
      </c>
      <c r="F471" s="2">
        <v>2</v>
      </c>
      <c r="G471" s="2" t="s">
        <v>12</v>
      </c>
    </row>
    <row r="472" spans="1:8" x14ac:dyDescent="0.2">
      <c r="A472" s="2" t="s">
        <v>3467</v>
      </c>
      <c r="B472" s="2" t="s">
        <v>278</v>
      </c>
      <c r="C472" s="2">
        <v>1014.397</v>
      </c>
      <c r="D472" s="2">
        <f>HYPERLINK("http://mcb-m6.bioreg.kyushu-u.ac.jp/M3/20110418/F50997/1197/1", 60.18)</f>
        <v>60.18</v>
      </c>
      <c r="E472" s="2">
        <v>36.49</v>
      </c>
      <c r="F472" s="2">
        <v>1</v>
      </c>
      <c r="G472" s="2" t="s">
        <v>12</v>
      </c>
      <c r="H472" s="2" t="s">
        <v>4915</v>
      </c>
    </row>
    <row r="473" spans="1:8" x14ac:dyDescent="0.2">
      <c r="A473" s="2" t="s">
        <v>3467</v>
      </c>
      <c r="B473" s="2" t="s">
        <v>278</v>
      </c>
      <c r="C473" s="2">
        <v>499.73009999999999</v>
      </c>
      <c r="D473" s="2">
        <f>HYPERLINK("http://mcb-m6.bioreg.kyushu-u.ac.jp/M3/20110429/F51157/623/1", 35.65)</f>
        <v>35.65</v>
      </c>
      <c r="E473" s="2">
        <v>13.25</v>
      </c>
      <c r="F473" s="2">
        <v>2</v>
      </c>
      <c r="G473" s="2" t="s">
        <v>13</v>
      </c>
    </row>
    <row r="474" spans="1:8" x14ac:dyDescent="0.2">
      <c r="A474" s="2" t="s">
        <v>3467</v>
      </c>
      <c r="B474" s="2" t="s">
        <v>278</v>
      </c>
      <c r="C474" s="2">
        <v>1014.417</v>
      </c>
      <c r="D474" s="2">
        <f>HYPERLINK("http://mcb-m6.bioreg.kyushu-u.ac.jp/M3/20110429/F51157/660/1", 60.18)</f>
        <v>60.18</v>
      </c>
      <c r="E474" s="2">
        <v>36.49</v>
      </c>
      <c r="F474" s="2">
        <v>1</v>
      </c>
      <c r="G474" s="2" t="s">
        <v>13</v>
      </c>
      <c r="H474" s="2" t="s">
        <v>4915</v>
      </c>
    </row>
    <row r="475" spans="1:8" x14ac:dyDescent="0.2">
      <c r="A475" s="2" t="s">
        <v>3467</v>
      </c>
      <c r="B475" s="2" t="s">
        <v>278</v>
      </c>
      <c r="C475" s="2">
        <v>507.89760000000001</v>
      </c>
      <c r="D475" s="2">
        <f>HYPERLINK("http://mcb-m6.bioreg.kyushu-u.ac.jp/M3/20110502/F51159/997/1", 38.96)</f>
        <v>38.96</v>
      </c>
      <c r="E475" s="2">
        <v>10.45</v>
      </c>
      <c r="F475" s="2">
        <v>2</v>
      </c>
      <c r="G475" s="2" t="s">
        <v>14</v>
      </c>
      <c r="H475" s="2" t="s">
        <v>4915</v>
      </c>
    </row>
    <row r="476" spans="1:8" x14ac:dyDescent="0.2">
      <c r="A476" s="2" t="s">
        <v>3467</v>
      </c>
      <c r="B476" s="2" t="s">
        <v>278</v>
      </c>
      <c r="C476" s="2">
        <v>1014.641</v>
      </c>
      <c r="D476" s="2">
        <f>HYPERLINK("http://mcb-m6.bioreg.kyushu-u.ac.jp/M3/20110502/F51159/995/1", 60.21)</f>
        <v>60.21</v>
      </c>
      <c r="E476" s="2">
        <v>31.82</v>
      </c>
      <c r="F476" s="2">
        <v>1</v>
      </c>
      <c r="G476" s="2" t="s">
        <v>14</v>
      </c>
      <c r="H476" s="2" t="s">
        <v>4915</v>
      </c>
    </row>
    <row r="477" spans="1:8" x14ac:dyDescent="0.2">
      <c r="A477" s="2" t="s">
        <v>3892</v>
      </c>
      <c r="B477" s="2" t="s">
        <v>1035</v>
      </c>
      <c r="C477" s="2">
        <v>599.61770000000001</v>
      </c>
      <c r="D477" s="2">
        <f>HYPERLINK("http://mcb-m6.bioreg.kyushu-u.ac.jp/M3/20110318/F50620/1230/1", 73.67)</f>
        <v>73.67</v>
      </c>
      <c r="E477" s="2">
        <v>52.33</v>
      </c>
      <c r="F477" s="2">
        <v>2</v>
      </c>
      <c r="G477" s="2" t="s">
        <v>9</v>
      </c>
    </row>
    <row r="478" spans="1:8" x14ac:dyDescent="0.2">
      <c r="A478" s="2" t="s">
        <v>3892</v>
      </c>
      <c r="B478" s="2" t="s">
        <v>1035</v>
      </c>
      <c r="C478" s="2">
        <v>1198.2560000000001</v>
      </c>
      <c r="D478" s="2">
        <f>HYPERLINK("http://mcb-m6.bioreg.kyushu-u.ac.jp/M3/20110318/F50620/1231/1", 76.65)</f>
        <v>76.650000000000006</v>
      </c>
      <c r="E478" s="2">
        <v>53.83</v>
      </c>
      <c r="F478" s="2">
        <v>1</v>
      </c>
      <c r="G478" s="2" t="s">
        <v>9</v>
      </c>
    </row>
    <row r="479" spans="1:8" x14ac:dyDescent="0.2">
      <c r="A479" s="2" t="s">
        <v>3892</v>
      </c>
      <c r="B479" s="2" t="s">
        <v>1035</v>
      </c>
      <c r="C479" s="2">
        <v>599.91420000000005</v>
      </c>
      <c r="D479" s="2">
        <f>HYPERLINK("http://mcb-m6.bioreg.kyushu-u.ac.jp/M3/20110318/F50597/1147/1", 37.06)</f>
        <v>37.06</v>
      </c>
      <c r="E479" s="2">
        <v>21.09</v>
      </c>
      <c r="F479" s="2">
        <v>2</v>
      </c>
      <c r="G479" s="2" t="s">
        <v>10</v>
      </c>
    </row>
    <row r="480" spans="1:8" x14ac:dyDescent="0.2">
      <c r="A480" s="2" t="s">
        <v>3892</v>
      </c>
      <c r="B480" s="2" t="s">
        <v>1035</v>
      </c>
      <c r="C480" s="2">
        <v>599.70320000000004</v>
      </c>
      <c r="D480" s="2">
        <f>HYPERLINK("http://mcb-m6.bioreg.kyushu-u.ac.jp/M3/20110318/F50616/1228/1", 75.54)</f>
        <v>75.540000000000006</v>
      </c>
      <c r="E480" s="2">
        <v>54.67</v>
      </c>
      <c r="F480" s="2">
        <v>2</v>
      </c>
      <c r="G480" s="2" t="s">
        <v>10</v>
      </c>
    </row>
    <row r="481" spans="1:7" x14ac:dyDescent="0.2">
      <c r="A481" s="2" t="s">
        <v>3892</v>
      </c>
      <c r="B481" s="2" t="s">
        <v>1035</v>
      </c>
      <c r="C481" s="2">
        <v>599.72310000000004</v>
      </c>
      <c r="D481" s="2">
        <f>HYPERLINK("http://mcb-m6.bioreg.kyushu-u.ac.jp/M3/20110418/F50974/1422/1", 42.75)</f>
        <v>42.75</v>
      </c>
      <c r="E481" s="2">
        <v>26.52</v>
      </c>
      <c r="F481" s="2">
        <v>2</v>
      </c>
      <c r="G481" s="2" t="s">
        <v>11</v>
      </c>
    </row>
    <row r="482" spans="1:7" x14ac:dyDescent="0.2">
      <c r="A482" s="2" t="s">
        <v>3892</v>
      </c>
      <c r="B482" s="2" t="s">
        <v>1035</v>
      </c>
      <c r="C482" s="2">
        <v>600.07510000000002</v>
      </c>
      <c r="D482" s="2">
        <f>HYPERLINK("http://mcb-m6.bioreg.kyushu-u.ac.jp/M3/20110418/F50996/1525/1", 71.15)</f>
        <v>71.150000000000006</v>
      </c>
      <c r="E482" s="2">
        <v>55.98</v>
      </c>
      <c r="F482" s="2">
        <v>2</v>
      </c>
      <c r="G482" s="2" t="s">
        <v>11</v>
      </c>
    </row>
    <row r="483" spans="1:7" x14ac:dyDescent="0.2">
      <c r="A483" s="2" t="s">
        <v>3892</v>
      </c>
      <c r="B483" s="2" t="s">
        <v>1035</v>
      </c>
      <c r="C483" s="2">
        <v>600.09119999999996</v>
      </c>
      <c r="D483" s="2">
        <f>HYPERLINK("http://mcb-m6.bioreg.kyushu-u.ac.jp/M3/20110418/F50996/1526/1", 74.21)</f>
        <v>74.209999999999994</v>
      </c>
      <c r="E483" s="2">
        <v>57.15</v>
      </c>
      <c r="F483" s="2">
        <v>2</v>
      </c>
      <c r="G483" s="2" t="s">
        <v>11</v>
      </c>
    </row>
    <row r="484" spans="1:7" x14ac:dyDescent="0.2">
      <c r="A484" s="2" t="s">
        <v>3892</v>
      </c>
      <c r="B484" s="2" t="s">
        <v>1035</v>
      </c>
      <c r="C484" s="2">
        <v>600.14869999999996</v>
      </c>
      <c r="D484" s="2">
        <f>HYPERLINK("http://mcb-m6.bioreg.kyushu-u.ac.jp/M3/20110418/F50974/1426/1", 75.49)</f>
        <v>75.489999999999995</v>
      </c>
      <c r="E484" s="2">
        <v>57.49</v>
      </c>
      <c r="F484" s="2">
        <v>2</v>
      </c>
      <c r="G484" s="2" t="s">
        <v>11</v>
      </c>
    </row>
    <row r="485" spans="1:7" x14ac:dyDescent="0.2">
      <c r="A485" s="2" t="s">
        <v>3892</v>
      </c>
      <c r="B485" s="2" t="s">
        <v>1035</v>
      </c>
      <c r="C485" s="2">
        <v>599.6481</v>
      </c>
      <c r="D485" s="2">
        <f>HYPERLINK("http://mcb-m6.bioreg.kyushu-u.ac.jp/M3/20110418/F50974/1419/1", 77.18)</f>
        <v>77.180000000000007</v>
      </c>
      <c r="E485" s="2">
        <v>55.86</v>
      </c>
      <c r="F485" s="2">
        <v>2</v>
      </c>
      <c r="G485" s="2" t="s">
        <v>11</v>
      </c>
    </row>
    <row r="486" spans="1:7" x14ac:dyDescent="0.2">
      <c r="A486" s="2" t="s">
        <v>3892</v>
      </c>
      <c r="B486" s="2" t="s">
        <v>1035</v>
      </c>
      <c r="C486" s="2">
        <v>600.15970000000004</v>
      </c>
      <c r="D486" s="2">
        <f>HYPERLINK("http://mcb-m6.bioreg.kyushu-u.ac.jp/M3/20110418/F50984/1839/1", 50.63)</f>
        <v>50.63</v>
      </c>
      <c r="E486" s="2">
        <v>38.520000000000003</v>
      </c>
      <c r="F486" s="2">
        <v>2</v>
      </c>
      <c r="G486" s="2" t="s">
        <v>12</v>
      </c>
    </row>
    <row r="487" spans="1:7" x14ac:dyDescent="0.2">
      <c r="A487" s="2" t="s">
        <v>3892</v>
      </c>
      <c r="B487" s="2" t="s">
        <v>1035</v>
      </c>
      <c r="C487" s="2">
        <v>600.17970000000003</v>
      </c>
      <c r="D487" s="2">
        <f>HYPERLINK("http://mcb-m6.bioreg.kyushu-u.ac.jp/M3/20110418/F50997/1513/1", 73.76)</f>
        <v>73.760000000000005</v>
      </c>
      <c r="E487" s="2">
        <v>53.75</v>
      </c>
      <c r="F487" s="2">
        <v>2</v>
      </c>
      <c r="G487" s="2" t="s">
        <v>12</v>
      </c>
    </row>
    <row r="488" spans="1:7" x14ac:dyDescent="0.2">
      <c r="A488" s="2" t="s">
        <v>3892</v>
      </c>
      <c r="B488" s="2" t="s">
        <v>1035</v>
      </c>
      <c r="C488" s="2">
        <v>599.72220000000004</v>
      </c>
      <c r="D488" s="2">
        <f>HYPERLINK("http://mcb-m6.bioreg.kyushu-u.ac.jp/M3/20110418/F50997/1504/1", 75.22)</f>
        <v>75.22</v>
      </c>
      <c r="E488" s="2">
        <v>55.91</v>
      </c>
      <c r="F488" s="2">
        <v>2</v>
      </c>
      <c r="G488" s="2" t="s">
        <v>12</v>
      </c>
    </row>
    <row r="489" spans="1:7" x14ac:dyDescent="0.2">
      <c r="A489" s="2" t="s">
        <v>3892</v>
      </c>
      <c r="B489" s="2" t="s">
        <v>1035</v>
      </c>
      <c r="C489" s="2">
        <v>1198.386</v>
      </c>
      <c r="D489" s="2">
        <f>HYPERLINK("http://mcb-m6.bioreg.kyushu-u.ac.jp/M3/20110418/F50997/1503/1", 80.59)</f>
        <v>80.59</v>
      </c>
      <c r="E489" s="2">
        <v>63.79</v>
      </c>
      <c r="F489" s="2">
        <v>1</v>
      </c>
      <c r="G489" s="2" t="s">
        <v>12</v>
      </c>
    </row>
    <row r="490" spans="1:7" x14ac:dyDescent="0.2">
      <c r="A490" s="2" t="s">
        <v>3892</v>
      </c>
      <c r="B490" s="2" t="s">
        <v>1035</v>
      </c>
      <c r="C490" s="2">
        <v>599.66470000000004</v>
      </c>
      <c r="D490" s="2">
        <f>HYPERLINK("http://mcb-m6.bioreg.kyushu-u.ac.jp/M3/20110418/F50997/1502/1", 89.66)</f>
        <v>89.66</v>
      </c>
      <c r="E490" s="2">
        <v>70.05</v>
      </c>
      <c r="F490" s="2">
        <v>2</v>
      </c>
      <c r="G490" s="2" t="s">
        <v>12</v>
      </c>
    </row>
    <row r="491" spans="1:7" x14ac:dyDescent="0.2">
      <c r="A491" s="2" t="s">
        <v>3892</v>
      </c>
      <c r="B491" s="2" t="s">
        <v>1035</v>
      </c>
      <c r="C491" s="2">
        <v>599.77170000000001</v>
      </c>
      <c r="D491" s="2">
        <f>HYPERLINK("http://mcb-m6.bioreg.kyushu-u.ac.jp/M3/20110429/F51157/1065/1", 69.82)</f>
        <v>69.819999999999993</v>
      </c>
      <c r="E491" s="2">
        <v>53.62</v>
      </c>
      <c r="F491" s="2">
        <v>2</v>
      </c>
      <c r="G491" s="2" t="s">
        <v>13</v>
      </c>
    </row>
    <row r="492" spans="1:7" x14ac:dyDescent="0.2">
      <c r="A492" s="2" t="s">
        <v>3892</v>
      </c>
      <c r="B492" s="2" t="s">
        <v>1035</v>
      </c>
      <c r="C492" s="2">
        <v>599.60109999999997</v>
      </c>
      <c r="D492" s="2">
        <f>HYPERLINK("http://mcb-m6.bioreg.kyushu-u.ac.jp/M3/20110429/F51152/1276/1", 72.88)</f>
        <v>72.88</v>
      </c>
      <c r="E492" s="2">
        <v>55.07</v>
      </c>
      <c r="F492" s="2">
        <v>2</v>
      </c>
      <c r="G492" s="2" t="s">
        <v>13</v>
      </c>
    </row>
    <row r="493" spans="1:7" x14ac:dyDescent="0.2">
      <c r="A493" s="2" t="s">
        <v>3892</v>
      </c>
      <c r="B493" s="2" t="s">
        <v>1035</v>
      </c>
      <c r="C493" s="2">
        <v>1198.4749999999999</v>
      </c>
      <c r="D493" s="2">
        <f>HYPERLINK("http://mcb-m6.bioreg.kyushu-u.ac.jp/M3/20110429/F51157/1063/1", 82.32)</f>
        <v>82.32</v>
      </c>
      <c r="E493" s="2">
        <v>59.4</v>
      </c>
      <c r="F493" s="2">
        <v>1</v>
      </c>
      <c r="G493" s="2" t="s">
        <v>13</v>
      </c>
    </row>
    <row r="494" spans="1:7" x14ac:dyDescent="0.2">
      <c r="A494" s="2" t="s">
        <v>3892</v>
      </c>
      <c r="B494" s="2" t="s">
        <v>1035</v>
      </c>
      <c r="C494" s="2">
        <v>599.85770000000002</v>
      </c>
      <c r="D494" s="2">
        <f>HYPERLINK("http://mcb-m6.bioreg.kyushu-u.ac.jp/M3/20110502/F51159/1413/1", 92.02)</f>
        <v>92.02</v>
      </c>
      <c r="E494" s="2">
        <v>71.33</v>
      </c>
      <c r="F494" s="2">
        <v>2</v>
      </c>
      <c r="G494" s="2" t="s">
        <v>14</v>
      </c>
    </row>
    <row r="495" spans="1:7" x14ac:dyDescent="0.2">
      <c r="A495" s="2" t="s">
        <v>3557</v>
      </c>
      <c r="B495" s="2" t="s">
        <v>414</v>
      </c>
      <c r="C495" s="2">
        <v>677.72310000000004</v>
      </c>
      <c r="D495" s="2">
        <f>HYPERLINK("http://mcb-m6.bioreg.kyushu-u.ac.jp/M3/20110318/F50620/1407/1", 76.69)</f>
        <v>76.69</v>
      </c>
      <c r="E495" s="2">
        <v>60.62</v>
      </c>
      <c r="F495" s="2">
        <v>2</v>
      </c>
      <c r="G495" s="2" t="s">
        <v>9</v>
      </c>
    </row>
    <row r="496" spans="1:7" x14ac:dyDescent="0.2">
      <c r="A496" s="2" t="s">
        <v>3557</v>
      </c>
      <c r="B496" s="2" t="s">
        <v>414</v>
      </c>
      <c r="C496" s="2">
        <v>677.8107</v>
      </c>
      <c r="D496" s="2">
        <f>HYPERLINK("http://mcb-m6.bioreg.kyushu-u.ac.jp/M3/20110418/F50997/1722/1", 66.86)</f>
        <v>66.86</v>
      </c>
      <c r="E496" s="2">
        <v>49.29</v>
      </c>
      <c r="F496" s="2">
        <v>2</v>
      </c>
      <c r="G496" s="2" t="s">
        <v>12</v>
      </c>
    </row>
    <row r="497" spans="1:8" x14ac:dyDescent="0.2">
      <c r="A497" s="2" t="s">
        <v>3557</v>
      </c>
      <c r="B497" s="2" t="s">
        <v>414</v>
      </c>
      <c r="C497" s="2">
        <v>677.78420000000006</v>
      </c>
      <c r="D497" s="2">
        <f>HYPERLINK("http://mcb-m6.bioreg.kyushu-u.ac.jp/M3/20110418/F50997/1721/1", 67.71)</f>
        <v>67.709999999999994</v>
      </c>
      <c r="E497" s="2">
        <v>46.4</v>
      </c>
      <c r="F497" s="2">
        <v>2</v>
      </c>
      <c r="G497" s="2" t="s">
        <v>12</v>
      </c>
    </row>
    <row r="498" spans="1:8" x14ac:dyDescent="0.2">
      <c r="A498" s="2" t="s">
        <v>3557</v>
      </c>
      <c r="B498" s="2" t="s">
        <v>414</v>
      </c>
      <c r="C498" s="2">
        <v>678.31709999999998</v>
      </c>
      <c r="D498" s="2">
        <f>HYPERLINK("http://mcb-m6.bioreg.kyushu-u.ac.jp/M3/20110429/F51157/1417/1", 35.07)</f>
        <v>35.07</v>
      </c>
      <c r="E498" s="2">
        <v>19.38</v>
      </c>
      <c r="F498" s="2">
        <v>2</v>
      </c>
      <c r="G498" s="2" t="s">
        <v>13</v>
      </c>
    </row>
    <row r="499" spans="1:8" x14ac:dyDescent="0.2">
      <c r="A499" s="2" t="s">
        <v>3557</v>
      </c>
      <c r="B499" s="2" t="s">
        <v>414</v>
      </c>
      <c r="C499" s="2">
        <v>677.81320000000005</v>
      </c>
      <c r="D499" s="2">
        <f>HYPERLINK("http://mcb-m6.bioreg.kyushu-u.ac.jp/M3/20110429/F51157/1413/1", 36.43)</f>
        <v>36.43</v>
      </c>
      <c r="E499" s="2">
        <v>18.079999999999998</v>
      </c>
      <c r="F499" s="2">
        <v>2</v>
      </c>
      <c r="G499" s="2" t="s">
        <v>13</v>
      </c>
    </row>
    <row r="500" spans="1:8" x14ac:dyDescent="0.2">
      <c r="A500" s="2" t="s">
        <v>3557</v>
      </c>
      <c r="B500" s="2" t="s">
        <v>414</v>
      </c>
      <c r="C500" s="2">
        <v>678.11469999999997</v>
      </c>
      <c r="D500" s="2">
        <f>HYPERLINK("http://mcb-m6.bioreg.kyushu-u.ac.jp/M3/20110429/F51151/1851/1", 38.82)</f>
        <v>38.82</v>
      </c>
      <c r="E500" s="2">
        <v>25.27</v>
      </c>
      <c r="F500" s="2">
        <v>2</v>
      </c>
      <c r="G500" s="2" t="s">
        <v>13</v>
      </c>
    </row>
    <row r="501" spans="1:8" x14ac:dyDescent="0.2">
      <c r="A501" s="2" t="s">
        <v>3557</v>
      </c>
      <c r="B501" s="2" t="s">
        <v>414</v>
      </c>
      <c r="C501" s="2">
        <v>452.24650000000003</v>
      </c>
      <c r="D501" s="2">
        <f>HYPERLINK("http://mcb-m6.bioreg.kyushu-u.ac.jp/M3/20110429/F51157/1414/1", 41.43)</f>
        <v>41.43</v>
      </c>
      <c r="E501" s="2">
        <v>24.68</v>
      </c>
      <c r="F501" s="2">
        <v>3</v>
      </c>
      <c r="G501" s="2" t="s">
        <v>13</v>
      </c>
    </row>
    <row r="502" spans="1:8" x14ac:dyDescent="0.2">
      <c r="A502" s="2" t="s">
        <v>3557</v>
      </c>
      <c r="B502" s="2" t="s">
        <v>414</v>
      </c>
      <c r="C502" s="2">
        <v>677.76760000000002</v>
      </c>
      <c r="D502" s="2">
        <f>HYPERLINK("http://mcb-m6.bioreg.kyushu-u.ac.jp/M3/20110429/F51157/1411/1", 41.51)</f>
        <v>41.51</v>
      </c>
      <c r="E502" s="2">
        <v>19.579999999999998</v>
      </c>
      <c r="F502" s="2">
        <v>2</v>
      </c>
      <c r="G502" s="2" t="s">
        <v>13</v>
      </c>
    </row>
    <row r="503" spans="1:8" x14ac:dyDescent="0.2">
      <c r="A503" s="2" t="s">
        <v>3557</v>
      </c>
      <c r="B503" s="2" t="s">
        <v>414</v>
      </c>
      <c r="C503" s="2">
        <v>678.38570000000004</v>
      </c>
      <c r="D503" s="2">
        <f>HYPERLINK("http://mcb-m6.bioreg.kyushu-u.ac.jp/M3/20110429/F51157/1419/1", 55.24)</f>
        <v>55.24</v>
      </c>
      <c r="E503" s="2">
        <v>32.83</v>
      </c>
      <c r="F503" s="2">
        <v>2</v>
      </c>
      <c r="G503" s="2" t="s">
        <v>13</v>
      </c>
    </row>
    <row r="504" spans="1:8" x14ac:dyDescent="0.2">
      <c r="A504" s="2" t="s">
        <v>3557</v>
      </c>
      <c r="B504" s="2" t="s">
        <v>414</v>
      </c>
      <c r="C504" s="2">
        <v>677.71510000000001</v>
      </c>
      <c r="D504" s="2">
        <f>HYPERLINK("http://mcb-m6.bioreg.kyushu-u.ac.jp/M3/20110429/F51152/1584/1", 60.76)</f>
        <v>60.76</v>
      </c>
      <c r="E504" s="2">
        <v>43.1</v>
      </c>
      <c r="F504" s="2">
        <v>2</v>
      </c>
      <c r="G504" s="2" t="s">
        <v>13</v>
      </c>
    </row>
    <row r="505" spans="1:8" x14ac:dyDescent="0.2">
      <c r="A505" s="2" t="s">
        <v>3557</v>
      </c>
      <c r="B505" s="2" t="s">
        <v>414</v>
      </c>
      <c r="C505" s="2">
        <v>677.78970000000004</v>
      </c>
      <c r="D505" s="2">
        <f>HYPERLINK("http://mcb-m6.bioreg.kyushu-u.ac.jp/M3/20110429/F51157/1412/1", 73.3)</f>
        <v>73.3</v>
      </c>
      <c r="E505" s="2">
        <v>59.03</v>
      </c>
      <c r="F505" s="2">
        <v>2</v>
      </c>
      <c r="G505" s="2" t="s">
        <v>13</v>
      </c>
    </row>
    <row r="506" spans="1:8" x14ac:dyDescent="0.2">
      <c r="A506" s="2" t="s">
        <v>3557</v>
      </c>
      <c r="B506" s="2" t="s">
        <v>414</v>
      </c>
      <c r="C506" s="2">
        <v>677.8981</v>
      </c>
      <c r="D506" s="2">
        <f>HYPERLINK("http://mcb-m6.bioreg.kyushu-u.ac.jp/M3/20110502/F51159/1695/1", 64.59)</f>
        <v>64.59</v>
      </c>
      <c r="E506" s="2">
        <v>43.96</v>
      </c>
      <c r="F506" s="2">
        <v>2</v>
      </c>
      <c r="G506" s="2" t="s">
        <v>14</v>
      </c>
    </row>
    <row r="507" spans="1:8" x14ac:dyDescent="0.2">
      <c r="A507" s="2" t="s">
        <v>3575</v>
      </c>
      <c r="B507" s="2" t="s">
        <v>444</v>
      </c>
      <c r="C507" s="2">
        <v>589.23170000000005</v>
      </c>
      <c r="D507" s="2">
        <f>HYPERLINK("http://mcb-m6.bioreg.kyushu-u.ac.jp/M3/20110318/F50620/1206/1", 41.24)</f>
        <v>41.24</v>
      </c>
      <c r="E507" s="2">
        <v>11.98</v>
      </c>
      <c r="F507" s="2">
        <v>2</v>
      </c>
      <c r="G507" s="2" t="s">
        <v>9</v>
      </c>
      <c r="H507" s="2" t="s">
        <v>4919</v>
      </c>
    </row>
    <row r="508" spans="1:8" x14ac:dyDescent="0.2">
      <c r="A508" s="2" t="s">
        <v>3575</v>
      </c>
      <c r="B508" s="2" t="s">
        <v>444</v>
      </c>
      <c r="C508" s="2">
        <v>581.50710000000004</v>
      </c>
      <c r="D508" s="2">
        <f>HYPERLINK("http://mcb-m6.bioreg.kyushu-u.ac.jp/M3/20110318/F50620/1189/1", 43.04)</f>
        <v>43.04</v>
      </c>
      <c r="E508" s="2">
        <v>24.58</v>
      </c>
      <c r="F508" s="2">
        <v>2</v>
      </c>
      <c r="G508" s="2" t="s">
        <v>9</v>
      </c>
    </row>
    <row r="509" spans="1:8" x14ac:dyDescent="0.2">
      <c r="A509" s="2" t="s">
        <v>3575</v>
      </c>
      <c r="B509" s="2" t="s">
        <v>444</v>
      </c>
      <c r="C509" s="2">
        <v>1161.2650000000001</v>
      </c>
      <c r="D509" s="2">
        <f>HYPERLINK("http://mcb-m6.bioreg.kyushu-u.ac.jp/M3/20110318/F50620/1185/1", 48.31)</f>
        <v>48.31</v>
      </c>
      <c r="E509" s="2">
        <v>31.32</v>
      </c>
      <c r="F509" s="2">
        <v>1</v>
      </c>
      <c r="G509" s="2" t="s">
        <v>9</v>
      </c>
    </row>
    <row r="510" spans="1:8" x14ac:dyDescent="0.2">
      <c r="A510" s="2" t="s">
        <v>3575</v>
      </c>
      <c r="B510" s="2" t="s">
        <v>444</v>
      </c>
      <c r="C510" s="2">
        <v>1177.3489999999999</v>
      </c>
      <c r="D510" s="2">
        <f>HYPERLINK("http://mcb-m6.bioreg.kyushu-u.ac.jp/M3/20110318/F50620/1205/1", 48.51)</f>
        <v>48.51</v>
      </c>
      <c r="E510" s="2">
        <v>29.28</v>
      </c>
      <c r="F510" s="2">
        <v>1</v>
      </c>
      <c r="G510" s="2" t="s">
        <v>9</v>
      </c>
      <c r="H510" s="2" t="s">
        <v>4919</v>
      </c>
    </row>
    <row r="511" spans="1:8" x14ac:dyDescent="0.2">
      <c r="A511" s="2" t="s">
        <v>3575</v>
      </c>
      <c r="B511" s="2" t="s">
        <v>444</v>
      </c>
      <c r="C511" s="2">
        <v>1161.595</v>
      </c>
      <c r="D511" s="2">
        <f>HYPERLINK("http://mcb-m6.bioreg.kyushu-u.ac.jp/M3/20110318/F50616/1177/1", 48.44)</f>
        <v>48.44</v>
      </c>
      <c r="E511" s="2">
        <v>34.42</v>
      </c>
      <c r="F511" s="2">
        <v>1</v>
      </c>
      <c r="G511" s="2" t="s">
        <v>10</v>
      </c>
    </row>
    <row r="512" spans="1:8" x14ac:dyDescent="0.2">
      <c r="A512" s="2" t="s">
        <v>3575</v>
      </c>
      <c r="B512" s="2" t="s">
        <v>444</v>
      </c>
      <c r="C512" s="2">
        <v>1177.6189999999999</v>
      </c>
      <c r="D512" s="2">
        <f>HYPERLINK("http://mcb-m6.bioreg.kyushu-u.ac.jp/M3/20110318/F50616/1197/1", 56.92)</f>
        <v>56.92</v>
      </c>
      <c r="E512" s="2">
        <v>37.89</v>
      </c>
      <c r="F512" s="2">
        <v>1</v>
      </c>
      <c r="G512" s="2" t="s">
        <v>10</v>
      </c>
      <c r="H512" s="2" t="s">
        <v>4919</v>
      </c>
    </row>
    <row r="513" spans="1:8" x14ac:dyDescent="0.2">
      <c r="A513" s="2" t="s">
        <v>3575</v>
      </c>
      <c r="B513" s="2" t="s">
        <v>444</v>
      </c>
      <c r="C513" s="2">
        <v>581.74270000000001</v>
      </c>
      <c r="D513" s="2">
        <f>HYPERLINK("http://mcb-m6.bioreg.kyushu-u.ac.jp/M3/20110418/F50996/1445/1", 39.18)</f>
        <v>39.18</v>
      </c>
      <c r="E513" s="2">
        <v>19.920000000000002</v>
      </c>
      <c r="F513" s="2">
        <v>2</v>
      </c>
      <c r="G513" s="2" t="s">
        <v>11</v>
      </c>
    </row>
    <row r="514" spans="1:8" x14ac:dyDescent="0.2">
      <c r="A514" s="2" t="s">
        <v>3575</v>
      </c>
      <c r="B514" s="2" t="s">
        <v>444</v>
      </c>
      <c r="C514" s="2">
        <v>581.22310000000004</v>
      </c>
      <c r="D514" s="2">
        <f>HYPERLINK("http://mcb-m6.bioreg.kyushu-u.ac.jp/M3/20110418/F50996/1442/1", 39.47)</f>
        <v>39.47</v>
      </c>
      <c r="E514" s="2">
        <v>21.33</v>
      </c>
      <c r="F514" s="2">
        <v>2</v>
      </c>
      <c r="G514" s="2" t="s">
        <v>11</v>
      </c>
    </row>
    <row r="515" spans="1:8" x14ac:dyDescent="0.2">
      <c r="A515" s="2" t="s">
        <v>3575</v>
      </c>
      <c r="B515" s="2" t="s">
        <v>444</v>
      </c>
      <c r="C515" s="2">
        <v>1177.537</v>
      </c>
      <c r="D515" s="2">
        <f>HYPERLINK("http://mcb-m6.bioreg.kyushu-u.ac.jp/M3/20110418/F50996/1472/1", 47.35)</f>
        <v>47.35</v>
      </c>
      <c r="E515" s="2">
        <v>37.200000000000003</v>
      </c>
      <c r="F515" s="2">
        <v>1</v>
      </c>
      <c r="G515" s="2" t="s">
        <v>11</v>
      </c>
      <c r="H515" s="2" t="s">
        <v>4919</v>
      </c>
    </row>
    <row r="516" spans="1:8" x14ac:dyDescent="0.2">
      <c r="A516" s="2" t="s">
        <v>3575</v>
      </c>
      <c r="B516" s="2" t="s">
        <v>444</v>
      </c>
      <c r="C516" s="2">
        <v>1161.4280000000001</v>
      </c>
      <c r="D516" s="2">
        <f>HYPERLINK("http://mcb-m6.bioreg.kyushu-u.ac.jp/M3/20110418/F50996/1441/1", 55.32)</f>
        <v>55.32</v>
      </c>
      <c r="E516" s="2">
        <v>41.05</v>
      </c>
      <c r="F516" s="2">
        <v>1</v>
      </c>
      <c r="G516" s="2" t="s">
        <v>11</v>
      </c>
    </row>
    <row r="517" spans="1:8" x14ac:dyDescent="0.2">
      <c r="A517" s="2" t="s">
        <v>3575</v>
      </c>
      <c r="B517" s="2" t="s">
        <v>444</v>
      </c>
      <c r="C517" s="2">
        <v>589.17970000000003</v>
      </c>
      <c r="D517" s="2">
        <f>HYPERLINK("http://mcb-m6.bioreg.kyushu-u.ac.jp/M3/20110418/F50996/1469/1", 68.21)</f>
        <v>68.209999999999994</v>
      </c>
      <c r="E517" s="2">
        <v>48.55</v>
      </c>
      <c r="F517" s="2">
        <v>2</v>
      </c>
      <c r="G517" s="2" t="s">
        <v>11</v>
      </c>
      <c r="H517" s="2" t="s">
        <v>4919</v>
      </c>
    </row>
    <row r="518" spans="1:8" x14ac:dyDescent="0.2">
      <c r="A518" s="2" t="s">
        <v>3575</v>
      </c>
      <c r="B518" s="2" t="s">
        <v>444</v>
      </c>
      <c r="C518" s="2">
        <v>589.79769999999996</v>
      </c>
      <c r="D518" s="2">
        <f>HYPERLINK("http://mcb-m6.bioreg.kyushu-u.ac.jp/M3/20110418/F50989/1663/1", 39.98)</f>
        <v>39.979999999999997</v>
      </c>
      <c r="E518" s="2">
        <v>13.13</v>
      </c>
      <c r="F518" s="2">
        <v>2</v>
      </c>
      <c r="G518" s="2" t="s">
        <v>12</v>
      </c>
      <c r="H518" s="2" t="s">
        <v>4919</v>
      </c>
    </row>
    <row r="519" spans="1:8" x14ac:dyDescent="0.2">
      <c r="A519" s="2" t="s">
        <v>3575</v>
      </c>
      <c r="B519" s="2" t="s">
        <v>444</v>
      </c>
      <c r="C519" s="2">
        <v>1177.4179999999999</v>
      </c>
      <c r="D519" s="2">
        <f>HYPERLINK("http://mcb-m6.bioreg.kyushu-u.ac.jp/M3/20110418/F50984/1829/1", 41.43)</f>
        <v>41.43</v>
      </c>
      <c r="E519" s="2">
        <v>25.17</v>
      </c>
      <c r="F519" s="2">
        <v>1</v>
      </c>
      <c r="G519" s="2" t="s">
        <v>12</v>
      </c>
      <c r="H519" s="2" t="s">
        <v>4919</v>
      </c>
    </row>
    <row r="520" spans="1:8" x14ac:dyDescent="0.2">
      <c r="A520" s="2" t="s">
        <v>3575</v>
      </c>
      <c r="B520" s="2" t="s">
        <v>444</v>
      </c>
      <c r="C520" s="2">
        <v>581.09670000000006</v>
      </c>
      <c r="D520" s="2">
        <f>HYPERLINK("http://mcb-m6.bioreg.kyushu-u.ac.jp/M3/20110418/F50984/1817/1", 43.41)</f>
        <v>43.41</v>
      </c>
      <c r="E520" s="2">
        <v>25.31</v>
      </c>
      <c r="F520" s="2">
        <v>2</v>
      </c>
      <c r="G520" s="2" t="s">
        <v>12</v>
      </c>
    </row>
    <row r="521" spans="1:8" x14ac:dyDescent="0.2">
      <c r="A521" s="2" t="s">
        <v>3575</v>
      </c>
      <c r="B521" s="2" t="s">
        <v>444</v>
      </c>
      <c r="C521" s="2">
        <v>1161.4839999999999</v>
      </c>
      <c r="D521" s="2">
        <f>HYPERLINK("http://mcb-m6.bioreg.kyushu-u.ac.jp/M3/20110418/F50997/1426/1", 44.41)</f>
        <v>44.41</v>
      </c>
      <c r="E521" s="2">
        <v>24.23</v>
      </c>
      <c r="F521" s="2">
        <v>1</v>
      </c>
      <c r="G521" s="2" t="s">
        <v>12</v>
      </c>
    </row>
    <row r="522" spans="1:8" x14ac:dyDescent="0.2">
      <c r="A522" s="2" t="s">
        <v>3575</v>
      </c>
      <c r="B522" s="2" t="s">
        <v>444</v>
      </c>
      <c r="C522" s="2">
        <v>1177.4849999999999</v>
      </c>
      <c r="D522" s="2">
        <f>HYPERLINK("http://mcb-m6.bioreg.kyushu-u.ac.jp/M3/20110418/F50997/1454/1", 59.36)</f>
        <v>59.36</v>
      </c>
      <c r="E522" s="2">
        <v>42.84</v>
      </c>
      <c r="F522" s="2">
        <v>1</v>
      </c>
      <c r="G522" s="2" t="s">
        <v>12</v>
      </c>
      <c r="H522" s="2" t="s">
        <v>4919</v>
      </c>
    </row>
    <row r="523" spans="1:8" x14ac:dyDescent="0.2">
      <c r="A523" s="2" t="s">
        <v>3575</v>
      </c>
      <c r="B523" s="2" t="s">
        <v>444</v>
      </c>
      <c r="C523" s="2">
        <v>589.04610000000002</v>
      </c>
      <c r="D523" s="2">
        <f>HYPERLINK("http://mcb-m6.bioreg.kyushu-u.ac.jp/M3/20110418/F50984/1828/1", 63.93)</f>
        <v>63.93</v>
      </c>
      <c r="E523" s="2">
        <v>38.979999999999997</v>
      </c>
      <c r="F523" s="2">
        <v>2</v>
      </c>
      <c r="G523" s="2" t="s">
        <v>12</v>
      </c>
      <c r="H523" s="2" t="s">
        <v>4919</v>
      </c>
    </row>
    <row r="524" spans="1:8" x14ac:dyDescent="0.2">
      <c r="A524" s="2" t="s">
        <v>3575</v>
      </c>
      <c r="B524" s="2" t="s">
        <v>444</v>
      </c>
      <c r="C524" s="2">
        <v>1161.951</v>
      </c>
      <c r="D524" s="2">
        <f>HYPERLINK("http://mcb-m6.bioreg.kyushu-u.ac.jp/M3/20110418/F50984/1818/1", 66.93)</f>
        <v>66.930000000000007</v>
      </c>
      <c r="E524" s="2">
        <v>47.23</v>
      </c>
      <c r="F524" s="2">
        <v>1</v>
      </c>
      <c r="G524" s="2" t="s">
        <v>12</v>
      </c>
    </row>
    <row r="525" spans="1:8" x14ac:dyDescent="0.2">
      <c r="A525" s="2" t="s">
        <v>3575</v>
      </c>
      <c r="B525" s="2" t="s">
        <v>444</v>
      </c>
      <c r="C525" s="2">
        <v>581.66309999999999</v>
      </c>
      <c r="D525" s="2">
        <f>HYPERLINK("http://mcb-m6.bioreg.kyushu-u.ac.jp/M3/20110418/F50997/1427/1", 68.28)</f>
        <v>68.28</v>
      </c>
      <c r="E525" s="2">
        <v>49.61</v>
      </c>
      <c r="F525" s="2">
        <v>2</v>
      </c>
      <c r="G525" s="2" t="s">
        <v>12</v>
      </c>
    </row>
    <row r="526" spans="1:8" x14ac:dyDescent="0.2">
      <c r="A526" s="2" t="s">
        <v>3575</v>
      </c>
      <c r="B526" s="2" t="s">
        <v>444</v>
      </c>
      <c r="C526" s="2">
        <v>589.6241</v>
      </c>
      <c r="D526" s="2">
        <f>HYPERLINK("http://mcb-m6.bioreg.kyushu-u.ac.jp/M3/20110429/F51152/1232/1", 37.45)</f>
        <v>37.450000000000003</v>
      </c>
      <c r="E526" s="2">
        <v>11.11</v>
      </c>
      <c r="F526" s="2">
        <v>2</v>
      </c>
      <c r="G526" s="2" t="s">
        <v>13</v>
      </c>
      <c r="H526" s="2" t="s">
        <v>4919</v>
      </c>
    </row>
    <row r="527" spans="1:8" x14ac:dyDescent="0.2">
      <c r="A527" s="2" t="s">
        <v>3575</v>
      </c>
      <c r="B527" s="2" t="s">
        <v>444</v>
      </c>
      <c r="C527" s="2">
        <v>1161.4469999999999</v>
      </c>
      <c r="D527" s="2">
        <f>HYPERLINK("http://mcb-m6.bioreg.kyushu-u.ac.jp/M3/20110429/F51157/959/1", 47.03)</f>
        <v>47.03</v>
      </c>
      <c r="E527" s="2">
        <v>21.55</v>
      </c>
      <c r="F527" s="2">
        <v>1</v>
      </c>
      <c r="G527" s="2" t="s">
        <v>13</v>
      </c>
    </row>
    <row r="528" spans="1:8" x14ac:dyDescent="0.2">
      <c r="A528" s="2" t="s">
        <v>3575</v>
      </c>
      <c r="B528" s="2" t="s">
        <v>444</v>
      </c>
      <c r="C528" s="2">
        <v>1177.6120000000001</v>
      </c>
      <c r="D528" s="2">
        <f>HYPERLINK("http://mcb-m6.bioreg.kyushu-u.ac.jp/M3/20110429/F51157/994/1", 52.19)</f>
        <v>52.19</v>
      </c>
      <c r="E528" s="2">
        <v>33.51</v>
      </c>
      <c r="F528" s="2">
        <v>1</v>
      </c>
      <c r="G528" s="2" t="s">
        <v>13</v>
      </c>
      <c r="H528" s="2" t="s">
        <v>4919</v>
      </c>
    </row>
    <row r="529" spans="1:8" x14ac:dyDescent="0.2">
      <c r="A529" s="2" t="s">
        <v>3575</v>
      </c>
      <c r="B529" s="2" t="s">
        <v>444</v>
      </c>
      <c r="C529" s="2">
        <v>1161.818</v>
      </c>
      <c r="D529" s="2">
        <f>HYPERLINK("http://mcb-m6.bioreg.kyushu-u.ac.jp/M3/20110502/F51159/1319/1", 45.82)</f>
        <v>45.82</v>
      </c>
      <c r="E529" s="2">
        <v>20.100000000000001</v>
      </c>
      <c r="F529" s="2">
        <v>1</v>
      </c>
      <c r="G529" s="2" t="s">
        <v>14</v>
      </c>
    </row>
    <row r="530" spans="1:8" x14ac:dyDescent="0.2">
      <c r="A530" s="2" t="s">
        <v>3575</v>
      </c>
      <c r="B530" s="2" t="s">
        <v>444</v>
      </c>
      <c r="C530" s="2">
        <v>589.40009999999995</v>
      </c>
      <c r="D530" s="2">
        <f>HYPERLINK("http://mcb-m6.bioreg.kyushu-u.ac.jp/M3/20110502/F51159/1356/1", 54.23)</f>
        <v>54.23</v>
      </c>
      <c r="E530" s="2">
        <v>35.9</v>
      </c>
      <c r="F530" s="2">
        <v>2</v>
      </c>
      <c r="G530" s="2" t="s">
        <v>14</v>
      </c>
      <c r="H530" s="2" t="s">
        <v>4919</v>
      </c>
    </row>
    <row r="531" spans="1:8" x14ac:dyDescent="0.2">
      <c r="A531" s="2" t="s">
        <v>3575</v>
      </c>
      <c r="B531" s="2" t="s">
        <v>444</v>
      </c>
      <c r="C531" s="2">
        <v>1177.71</v>
      </c>
      <c r="D531" s="2">
        <f>HYPERLINK("http://mcb-m6.bioreg.kyushu-u.ac.jp/M3/20110502/F51159/1354/1", 63.37)</f>
        <v>63.37</v>
      </c>
      <c r="E531" s="2">
        <v>44.24</v>
      </c>
      <c r="F531" s="2">
        <v>1</v>
      </c>
      <c r="G531" s="2" t="s">
        <v>14</v>
      </c>
      <c r="H531" s="2" t="s">
        <v>4919</v>
      </c>
    </row>
    <row r="532" spans="1:8" x14ac:dyDescent="0.2">
      <c r="A532" s="2" t="s">
        <v>3707</v>
      </c>
      <c r="B532" s="2" t="s">
        <v>689</v>
      </c>
      <c r="C532" s="2">
        <v>602.36109999999996</v>
      </c>
      <c r="D532" s="2">
        <f>HYPERLINK("http://mcb-m6.bioreg.kyushu-u.ac.jp/M3/20110318/F50620/1241/1", 38.8)</f>
        <v>38.799999999999997</v>
      </c>
      <c r="E532" s="2">
        <v>25.5</v>
      </c>
      <c r="F532" s="2">
        <v>2</v>
      </c>
      <c r="G532" s="2" t="s">
        <v>9</v>
      </c>
      <c r="H532" s="2" t="s">
        <v>4928</v>
      </c>
    </row>
    <row r="533" spans="1:8" x14ac:dyDescent="0.2">
      <c r="A533" s="2" t="s">
        <v>3707</v>
      </c>
      <c r="B533" s="2" t="s">
        <v>689</v>
      </c>
      <c r="C533" s="2">
        <v>594.27260000000001</v>
      </c>
      <c r="D533" s="2">
        <f>HYPERLINK("http://mcb-m6.bioreg.kyushu-u.ac.jp/M3/20110318/F50620/1219/1", 56.07)</f>
        <v>56.07</v>
      </c>
      <c r="E533" s="2">
        <v>41.78</v>
      </c>
      <c r="F533" s="2">
        <v>2</v>
      </c>
      <c r="G533" s="2" t="s">
        <v>9</v>
      </c>
      <c r="H533" s="2" t="s">
        <v>4896</v>
      </c>
    </row>
    <row r="534" spans="1:8" x14ac:dyDescent="0.2">
      <c r="A534" s="2" t="s">
        <v>3707</v>
      </c>
      <c r="B534" s="2" t="s">
        <v>689</v>
      </c>
      <c r="C534" s="2">
        <v>594.53309999999999</v>
      </c>
      <c r="D534" s="2">
        <f>HYPERLINK("http://mcb-m6.bioreg.kyushu-u.ac.jp/M3/20110318/F50616/1212/1", 41.21)</f>
        <v>41.21</v>
      </c>
      <c r="E534" s="2">
        <v>24.72</v>
      </c>
      <c r="F534" s="2">
        <v>2</v>
      </c>
      <c r="G534" s="2" t="s">
        <v>10</v>
      </c>
      <c r="H534" s="2" t="s">
        <v>4901</v>
      </c>
    </row>
    <row r="535" spans="1:8" x14ac:dyDescent="0.2">
      <c r="A535" s="2" t="s">
        <v>3707</v>
      </c>
      <c r="B535" s="2" t="s">
        <v>689</v>
      </c>
      <c r="C535" s="2">
        <v>602.60469999999998</v>
      </c>
      <c r="D535" s="2">
        <f>HYPERLINK("http://mcb-m6.bioreg.kyushu-u.ac.jp/M3/20110318/F50616/1240/1", 51.36)</f>
        <v>51.36</v>
      </c>
      <c r="E535" s="2">
        <v>37.9</v>
      </c>
      <c r="F535" s="2">
        <v>2</v>
      </c>
      <c r="G535" s="2" t="s">
        <v>10</v>
      </c>
      <c r="H535" s="2" t="s">
        <v>4928</v>
      </c>
    </row>
    <row r="536" spans="1:8" x14ac:dyDescent="0.2">
      <c r="A536" s="2" t="s">
        <v>3707</v>
      </c>
      <c r="B536" s="2" t="s">
        <v>689</v>
      </c>
      <c r="C536" s="2">
        <v>594.67769999999996</v>
      </c>
      <c r="D536" s="2">
        <f>HYPERLINK("http://mcb-m6.bioreg.kyushu-u.ac.jp/M3/20110418/F50996/1503/1", 50.82)</f>
        <v>50.82</v>
      </c>
      <c r="E536" s="2">
        <v>37.69</v>
      </c>
      <c r="F536" s="2">
        <v>2</v>
      </c>
      <c r="G536" s="2" t="s">
        <v>11</v>
      </c>
      <c r="H536" s="2" t="s">
        <v>4896</v>
      </c>
    </row>
    <row r="537" spans="1:8" x14ac:dyDescent="0.2">
      <c r="A537" s="2" t="s">
        <v>3707</v>
      </c>
      <c r="B537" s="2" t="s">
        <v>689</v>
      </c>
      <c r="C537" s="2">
        <v>586.33619999999996</v>
      </c>
      <c r="D537" s="2">
        <f>HYPERLINK("http://mcb-m6.bioreg.kyushu-u.ac.jp/M3/20110429/F51157/985/1", 63.44)</f>
        <v>63.44</v>
      </c>
      <c r="E537" s="2">
        <v>43.88</v>
      </c>
      <c r="F537" s="2">
        <v>2</v>
      </c>
      <c r="G537" s="2" t="s">
        <v>13</v>
      </c>
    </row>
    <row r="538" spans="1:8" x14ac:dyDescent="0.2">
      <c r="A538" s="2" t="s">
        <v>3565</v>
      </c>
      <c r="B538" s="2" t="s">
        <v>429</v>
      </c>
      <c r="C538" s="2">
        <v>599.83810000000005</v>
      </c>
      <c r="D538" s="2">
        <f>HYPERLINK("http://mcb-m6.bioreg.kyushu-u.ac.jp/M3/20110318/F50620/1233/1", 43.47)</f>
        <v>43.47</v>
      </c>
      <c r="E538" s="2">
        <v>31.35</v>
      </c>
      <c r="F538" s="2">
        <v>2</v>
      </c>
      <c r="G538" s="2" t="s">
        <v>9</v>
      </c>
    </row>
    <row r="539" spans="1:8" x14ac:dyDescent="0.2">
      <c r="A539" s="2" t="s">
        <v>3565</v>
      </c>
      <c r="B539" s="2" t="s">
        <v>429</v>
      </c>
      <c r="C539" s="2">
        <v>600.02070000000003</v>
      </c>
      <c r="D539" s="2">
        <f>HYPERLINK("http://mcb-m6.bioreg.kyushu-u.ac.jp/M3/20110318/F50616/1230/1", 42.82)</f>
        <v>42.82</v>
      </c>
      <c r="E539" s="2">
        <v>24.04</v>
      </c>
      <c r="F539" s="2">
        <v>2</v>
      </c>
      <c r="G539" s="2" t="s">
        <v>10</v>
      </c>
    </row>
    <row r="540" spans="1:8" x14ac:dyDescent="0.2">
      <c r="A540" s="2" t="s">
        <v>3565</v>
      </c>
      <c r="B540" s="2" t="s">
        <v>429</v>
      </c>
      <c r="C540" s="2">
        <v>600.02919999999995</v>
      </c>
      <c r="D540" s="2">
        <f>HYPERLINK("http://mcb-m6.bioreg.kyushu-u.ac.jp/M3/20110318/F50616/1231/1", 54.14)</f>
        <v>54.14</v>
      </c>
      <c r="E540" s="2">
        <v>38.93</v>
      </c>
      <c r="F540" s="2">
        <v>2</v>
      </c>
      <c r="G540" s="2" t="s">
        <v>10</v>
      </c>
    </row>
    <row r="541" spans="1:8" x14ac:dyDescent="0.2">
      <c r="A541" s="2" t="s">
        <v>3565</v>
      </c>
      <c r="B541" s="2" t="s">
        <v>429</v>
      </c>
      <c r="C541" s="2">
        <v>599.97519999999997</v>
      </c>
      <c r="D541" s="2">
        <f>HYPERLINK("http://mcb-m6.bioreg.kyushu-u.ac.jp/M3/20110318/F50597/1148/1", 58.25)</f>
        <v>58.25</v>
      </c>
      <c r="E541" s="2">
        <v>41.07</v>
      </c>
      <c r="F541" s="2">
        <v>2</v>
      </c>
      <c r="G541" s="2" t="s">
        <v>10</v>
      </c>
    </row>
    <row r="542" spans="1:8" x14ac:dyDescent="0.2">
      <c r="A542" s="2" t="s">
        <v>3565</v>
      </c>
      <c r="B542" s="2" t="s">
        <v>429</v>
      </c>
      <c r="C542" s="2">
        <v>599.84220000000005</v>
      </c>
      <c r="D542" s="2">
        <f>HYPERLINK("http://mcb-m6.bioreg.kyushu-u.ac.jp/M3/20110418/F50996/1523/1", 43.32)</f>
        <v>43.32</v>
      </c>
      <c r="E542" s="2">
        <v>26.64</v>
      </c>
      <c r="F542" s="2">
        <v>2</v>
      </c>
      <c r="G542" s="2" t="s">
        <v>11</v>
      </c>
    </row>
    <row r="543" spans="1:8" x14ac:dyDescent="0.2">
      <c r="A543" s="2" t="s">
        <v>3565</v>
      </c>
      <c r="B543" s="2" t="s">
        <v>429</v>
      </c>
      <c r="C543" s="2">
        <v>599.88509999999997</v>
      </c>
      <c r="D543" s="2">
        <f>HYPERLINK("http://mcb-m6.bioreg.kyushu-u.ac.jp/M3/20110418/F50999/1541/1", 44.86)</f>
        <v>44.86</v>
      </c>
      <c r="E543" s="2">
        <v>27.09</v>
      </c>
      <c r="F543" s="2">
        <v>2</v>
      </c>
      <c r="G543" s="2" t="s">
        <v>11</v>
      </c>
    </row>
    <row r="544" spans="1:8" x14ac:dyDescent="0.2">
      <c r="A544" s="2" t="s">
        <v>3565</v>
      </c>
      <c r="B544" s="2" t="s">
        <v>429</v>
      </c>
      <c r="C544" s="2">
        <v>600.35919999999999</v>
      </c>
      <c r="D544" s="2">
        <f>HYPERLINK("http://mcb-m6.bioreg.kyushu-u.ac.jp/M3/20110418/F50996/1530/1", 46.04)</f>
        <v>46.04</v>
      </c>
      <c r="E544" s="2">
        <v>29.48</v>
      </c>
      <c r="F544" s="2">
        <v>2</v>
      </c>
      <c r="G544" s="2" t="s">
        <v>11</v>
      </c>
    </row>
    <row r="545" spans="1:7" x14ac:dyDescent="0.2">
      <c r="A545" s="2" t="s">
        <v>3565</v>
      </c>
      <c r="B545" s="2" t="s">
        <v>429</v>
      </c>
      <c r="C545" s="2">
        <v>600.05909999999994</v>
      </c>
      <c r="D545" s="2">
        <f>HYPERLINK("http://mcb-m6.bioreg.kyushu-u.ac.jp/M3/20110418/F50999/1542/1", 48.47)</f>
        <v>48.47</v>
      </c>
      <c r="E545" s="2">
        <v>28.97</v>
      </c>
      <c r="F545" s="2">
        <v>2</v>
      </c>
      <c r="G545" s="2" t="s">
        <v>11</v>
      </c>
    </row>
    <row r="546" spans="1:7" x14ac:dyDescent="0.2">
      <c r="A546" s="2" t="s">
        <v>3565</v>
      </c>
      <c r="B546" s="2" t="s">
        <v>429</v>
      </c>
      <c r="C546" s="2">
        <v>600.36220000000003</v>
      </c>
      <c r="D546" s="2">
        <f>HYPERLINK("http://mcb-m6.bioreg.kyushu-u.ac.jp/M3/20110418/F50999/1545/1", 53.83)</f>
        <v>53.83</v>
      </c>
      <c r="E546" s="2">
        <v>30.16</v>
      </c>
      <c r="F546" s="2">
        <v>2</v>
      </c>
      <c r="G546" s="2" t="s">
        <v>11</v>
      </c>
    </row>
    <row r="547" spans="1:7" x14ac:dyDescent="0.2">
      <c r="A547" s="2" t="s">
        <v>3565</v>
      </c>
      <c r="B547" s="2" t="s">
        <v>429</v>
      </c>
      <c r="C547" s="2">
        <v>599.82209999999998</v>
      </c>
      <c r="D547" s="2">
        <f>HYPERLINK("http://mcb-m6.bioreg.kyushu-u.ac.jp/M3/20110418/F50996/1521/1", 53.91)</f>
        <v>53.91</v>
      </c>
      <c r="E547" s="2">
        <v>35.18</v>
      </c>
      <c r="F547" s="2">
        <v>2</v>
      </c>
      <c r="G547" s="2" t="s">
        <v>11</v>
      </c>
    </row>
    <row r="548" spans="1:7" x14ac:dyDescent="0.2">
      <c r="A548" s="2" t="s">
        <v>3565</v>
      </c>
      <c r="B548" s="2" t="s">
        <v>429</v>
      </c>
      <c r="C548" s="2">
        <v>599.80970000000002</v>
      </c>
      <c r="D548" s="2">
        <f>HYPERLINK("http://mcb-m6.bioreg.kyushu-u.ac.jp/M3/20110418/F50999/1540/1", 63.67)</f>
        <v>63.67</v>
      </c>
      <c r="E548" s="2">
        <v>48.6</v>
      </c>
      <c r="F548" s="2">
        <v>2</v>
      </c>
      <c r="G548" s="2" t="s">
        <v>11</v>
      </c>
    </row>
    <row r="549" spans="1:7" x14ac:dyDescent="0.2">
      <c r="A549" s="2" t="s">
        <v>3565</v>
      </c>
      <c r="B549" s="2" t="s">
        <v>429</v>
      </c>
      <c r="C549" s="2">
        <v>600.20669999999996</v>
      </c>
      <c r="D549" s="2">
        <f>HYPERLINK("http://mcb-m6.bioreg.kyushu-u.ac.jp/M3/20110418/F50996/1527/1", 65.09)</f>
        <v>65.09</v>
      </c>
      <c r="E549" s="2">
        <v>44.42</v>
      </c>
      <c r="F549" s="2">
        <v>2</v>
      </c>
      <c r="G549" s="2" t="s">
        <v>11</v>
      </c>
    </row>
    <row r="550" spans="1:7" x14ac:dyDescent="0.2">
      <c r="A550" s="2" t="s">
        <v>3565</v>
      </c>
      <c r="B550" s="2" t="s">
        <v>429</v>
      </c>
      <c r="C550" s="2">
        <v>600.23609999999996</v>
      </c>
      <c r="D550" s="2">
        <f>HYPERLINK("http://mcb-m6.bioreg.kyushu-u.ac.jp/M3/20110418/F50996/1529/1", 72.79)</f>
        <v>72.790000000000006</v>
      </c>
      <c r="E550" s="2">
        <v>52.39</v>
      </c>
      <c r="F550" s="2">
        <v>2</v>
      </c>
      <c r="G550" s="2" t="s">
        <v>11</v>
      </c>
    </row>
    <row r="551" spans="1:7" x14ac:dyDescent="0.2">
      <c r="A551" s="2" t="s">
        <v>3565</v>
      </c>
      <c r="B551" s="2" t="s">
        <v>429</v>
      </c>
      <c r="C551" s="2">
        <v>599.93409999999994</v>
      </c>
      <c r="D551" s="2">
        <f>HYPERLINK("http://mcb-m6.bioreg.kyushu-u.ac.jp/M3/20110418/F50997/1512/1", 36.62)</f>
        <v>36.619999999999997</v>
      </c>
      <c r="E551" s="2">
        <v>23.34</v>
      </c>
      <c r="F551" s="2">
        <v>2</v>
      </c>
      <c r="G551" s="2" t="s">
        <v>12</v>
      </c>
    </row>
    <row r="552" spans="1:7" x14ac:dyDescent="0.2">
      <c r="A552" s="2" t="s">
        <v>3565</v>
      </c>
      <c r="B552" s="2" t="s">
        <v>429</v>
      </c>
      <c r="C552" s="2">
        <v>599.75670000000002</v>
      </c>
      <c r="D552" s="2">
        <f>HYPERLINK("http://mcb-m6.bioreg.kyushu-u.ac.jp/M3/20110418/F50997/1506/1", 39.62)</f>
        <v>39.619999999999997</v>
      </c>
      <c r="E552" s="2">
        <v>21.36</v>
      </c>
      <c r="F552" s="2">
        <v>2</v>
      </c>
      <c r="G552" s="2" t="s">
        <v>12</v>
      </c>
    </row>
    <row r="553" spans="1:7" x14ac:dyDescent="0.2">
      <c r="A553" s="2" t="s">
        <v>3565</v>
      </c>
      <c r="B553" s="2" t="s">
        <v>429</v>
      </c>
      <c r="C553" s="2">
        <v>600.35170000000005</v>
      </c>
      <c r="D553" s="2">
        <f>HYPERLINK("http://mcb-m6.bioreg.kyushu-u.ac.jp/M3/20110418/F50997/1516/1", 44.22)</f>
        <v>44.22</v>
      </c>
      <c r="E553" s="2">
        <v>30.44</v>
      </c>
      <c r="F553" s="2">
        <v>2</v>
      </c>
      <c r="G553" s="2" t="s">
        <v>12</v>
      </c>
    </row>
    <row r="554" spans="1:7" x14ac:dyDescent="0.2">
      <c r="A554" s="2" t="s">
        <v>3565</v>
      </c>
      <c r="B554" s="2" t="s">
        <v>429</v>
      </c>
      <c r="C554" s="2">
        <v>599.79669999999999</v>
      </c>
      <c r="D554" s="2">
        <f>HYPERLINK("http://mcb-m6.bioreg.kyushu-u.ac.jp/M3/20110418/F50997/1507/1", 49.88)</f>
        <v>49.88</v>
      </c>
      <c r="E554" s="2">
        <v>33.5</v>
      </c>
      <c r="F554" s="2">
        <v>2</v>
      </c>
      <c r="G554" s="2" t="s">
        <v>12</v>
      </c>
    </row>
    <row r="555" spans="1:7" x14ac:dyDescent="0.2">
      <c r="A555" s="2" t="s">
        <v>3565</v>
      </c>
      <c r="B555" s="2" t="s">
        <v>429</v>
      </c>
      <c r="C555" s="2">
        <v>599.82119999999998</v>
      </c>
      <c r="D555" s="2">
        <f>HYPERLINK("http://mcb-m6.bioreg.kyushu-u.ac.jp/M3/20110418/F50997/1508/1", 51.79)</f>
        <v>51.79</v>
      </c>
      <c r="E555" s="2">
        <v>30.07</v>
      </c>
      <c r="F555" s="2">
        <v>2</v>
      </c>
      <c r="G555" s="2" t="s">
        <v>12</v>
      </c>
    </row>
    <row r="556" spans="1:7" x14ac:dyDescent="0.2">
      <c r="A556" s="2" t="s">
        <v>3565</v>
      </c>
      <c r="B556" s="2" t="s">
        <v>429</v>
      </c>
      <c r="C556" s="2">
        <v>599.75670000000002</v>
      </c>
      <c r="D556" s="2">
        <f>HYPERLINK("http://mcb-m6.bioreg.kyushu-u.ac.jp/M3/20110418/F50997/1505/1", 53.29)</f>
        <v>53.29</v>
      </c>
      <c r="E556" s="2">
        <v>40.409999999999997</v>
      </c>
      <c r="F556" s="2">
        <v>2</v>
      </c>
      <c r="G556" s="2" t="s">
        <v>12</v>
      </c>
    </row>
    <row r="557" spans="1:7" x14ac:dyDescent="0.2">
      <c r="A557" s="2" t="s">
        <v>3565</v>
      </c>
      <c r="B557" s="2" t="s">
        <v>429</v>
      </c>
      <c r="C557" s="2">
        <v>599.84169999999995</v>
      </c>
      <c r="D557" s="2">
        <f>HYPERLINK("http://mcb-m6.bioreg.kyushu-u.ac.jp/M3/20110418/F50997/1509/1", 57.91)</f>
        <v>57.91</v>
      </c>
      <c r="E557" s="2">
        <v>35.049999999999997</v>
      </c>
      <c r="F557" s="2">
        <v>2</v>
      </c>
      <c r="G557" s="2" t="s">
        <v>12</v>
      </c>
    </row>
    <row r="558" spans="1:7" x14ac:dyDescent="0.2">
      <c r="A558" s="2" t="s">
        <v>3565</v>
      </c>
      <c r="B558" s="2" t="s">
        <v>429</v>
      </c>
      <c r="C558" s="2">
        <v>599.87270000000001</v>
      </c>
      <c r="D558" s="2">
        <f>HYPERLINK("http://mcb-m6.bioreg.kyushu-u.ac.jp/M3/20110418/F50997/1510/1", 58.45)</f>
        <v>58.45</v>
      </c>
      <c r="E558" s="2">
        <v>38.979999999999997</v>
      </c>
      <c r="F558" s="2">
        <v>2</v>
      </c>
      <c r="G558" s="2" t="s">
        <v>12</v>
      </c>
    </row>
    <row r="559" spans="1:7" x14ac:dyDescent="0.2">
      <c r="A559" s="2" t="s">
        <v>3565</v>
      </c>
      <c r="B559" s="2" t="s">
        <v>429</v>
      </c>
      <c r="C559" s="2">
        <v>600.21870000000001</v>
      </c>
      <c r="D559" s="2">
        <f>HYPERLINK("http://mcb-m6.bioreg.kyushu-u.ac.jp/M3/20110429/F51157/1073/1", 40.43)</f>
        <v>40.43</v>
      </c>
      <c r="E559" s="2">
        <v>21.29</v>
      </c>
      <c r="F559" s="2">
        <v>2</v>
      </c>
      <c r="G559" s="2" t="s">
        <v>13</v>
      </c>
    </row>
    <row r="560" spans="1:7" x14ac:dyDescent="0.2">
      <c r="A560" s="2" t="s">
        <v>3565</v>
      </c>
      <c r="B560" s="2" t="s">
        <v>429</v>
      </c>
      <c r="C560" s="2">
        <v>599.8972</v>
      </c>
      <c r="D560" s="2">
        <f>HYPERLINK("http://mcb-m6.bioreg.kyushu-u.ac.jp/M3/20110429/F51157/1067/1", 42.39)</f>
        <v>42.39</v>
      </c>
      <c r="E560" s="2">
        <v>25.69</v>
      </c>
      <c r="F560" s="2">
        <v>2</v>
      </c>
      <c r="G560" s="2" t="s">
        <v>13</v>
      </c>
    </row>
    <row r="561" spans="1:7" x14ac:dyDescent="0.2">
      <c r="A561" s="2" t="s">
        <v>3565</v>
      </c>
      <c r="B561" s="2" t="s">
        <v>429</v>
      </c>
      <c r="C561" s="2">
        <v>600.10609999999997</v>
      </c>
      <c r="D561" s="2">
        <f>HYPERLINK("http://mcb-m6.bioreg.kyushu-u.ac.jp/M3/20110429/F51157/1072/1", 44.55)</f>
        <v>44.55</v>
      </c>
      <c r="E561" s="2">
        <v>21.53</v>
      </c>
      <c r="F561" s="2">
        <v>2</v>
      </c>
      <c r="G561" s="2" t="s">
        <v>13</v>
      </c>
    </row>
    <row r="562" spans="1:7" x14ac:dyDescent="0.2">
      <c r="A562" s="2" t="s">
        <v>3565</v>
      </c>
      <c r="B562" s="2" t="s">
        <v>429</v>
      </c>
      <c r="C562" s="2">
        <v>600.37220000000002</v>
      </c>
      <c r="D562" s="2">
        <f>HYPERLINK("http://mcb-m6.bioreg.kyushu-u.ac.jp/M3/20110429/F51157/1076/1", 49.36)</f>
        <v>49.36</v>
      </c>
      <c r="E562" s="2">
        <v>28.08</v>
      </c>
      <c r="F562" s="2">
        <v>2</v>
      </c>
      <c r="G562" s="2" t="s">
        <v>13</v>
      </c>
    </row>
    <row r="563" spans="1:7" x14ac:dyDescent="0.2">
      <c r="A563" s="2" t="s">
        <v>3565</v>
      </c>
      <c r="B563" s="2" t="s">
        <v>429</v>
      </c>
      <c r="C563" s="2">
        <v>599.94370000000004</v>
      </c>
      <c r="D563" s="2">
        <f>HYPERLINK("http://mcb-m6.bioreg.kyushu-u.ac.jp/M3/20110429/F51157/1069/1", 55.49)</f>
        <v>55.49</v>
      </c>
      <c r="E563" s="2">
        <v>39.270000000000003</v>
      </c>
      <c r="F563" s="2">
        <v>2</v>
      </c>
      <c r="G563" s="2" t="s">
        <v>13</v>
      </c>
    </row>
    <row r="564" spans="1:7" x14ac:dyDescent="0.2">
      <c r="A564" s="2" t="s">
        <v>3565</v>
      </c>
      <c r="B564" s="2" t="s">
        <v>429</v>
      </c>
      <c r="C564" s="2">
        <v>599.97310000000004</v>
      </c>
      <c r="D564" s="2">
        <f>HYPERLINK("http://mcb-m6.bioreg.kyushu-u.ac.jp/M3/20110429/F51157/1071/1", 61.02)</f>
        <v>61.02</v>
      </c>
      <c r="E564" s="2">
        <v>42.48</v>
      </c>
      <c r="F564" s="2">
        <v>2</v>
      </c>
      <c r="G564" s="2" t="s">
        <v>13</v>
      </c>
    </row>
    <row r="565" spans="1:7" x14ac:dyDescent="0.2">
      <c r="A565" s="2" t="s">
        <v>3565</v>
      </c>
      <c r="B565" s="2" t="s">
        <v>429</v>
      </c>
      <c r="C565" s="2">
        <v>600.13670000000002</v>
      </c>
      <c r="D565" s="2">
        <f>HYPERLINK("http://mcb-m6.bioreg.kyushu-u.ac.jp/M3/20110502/F51159/1417/1", 40.81)</f>
        <v>40.81</v>
      </c>
      <c r="E565" s="2">
        <v>15.97</v>
      </c>
      <c r="F565" s="2">
        <v>2</v>
      </c>
      <c r="G565" s="2" t="s">
        <v>14</v>
      </c>
    </row>
    <row r="566" spans="1:7" x14ac:dyDescent="0.2">
      <c r="A566" s="2" t="s">
        <v>3565</v>
      </c>
      <c r="B566" s="2" t="s">
        <v>429</v>
      </c>
      <c r="C566" s="2">
        <v>600.00570000000005</v>
      </c>
      <c r="D566" s="2">
        <f>HYPERLINK("http://mcb-m6.bioreg.kyushu-u.ac.jp/M3/20110428/F51140/1311/1", 42.3)</f>
        <v>42.3</v>
      </c>
      <c r="E566" s="2">
        <v>26.8</v>
      </c>
      <c r="F566" s="2">
        <v>2</v>
      </c>
      <c r="G566" s="2" t="s">
        <v>14</v>
      </c>
    </row>
    <row r="567" spans="1:7" x14ac:dyDescent="0.2">
      <c r="A567" s="2" t="s">
        <v>3565</v>
      </c>
      <c r="B567" s="2" t="s">
        <v>429</v>
      </c>
      <c r="C567" s="2">
        <v>600.21510000000001</v>
      </c>
      <c r="D567" s="2">
        <f>HYPERLINK("http://mcb-m6.bioreg.kyushu-u.ac.jp/M3/20110502/F51160/1144/1", 53.06)</f>
        <v>53.06</v>
      </c>
      <c r="E567" s="2">
        <v>31.41</v>
      </c>
      <c r="F567" s="2">
        <v>2</v>
      </c>
      <c r="G567" s="2" t="s">
        <v>14</v>
      </c>
    </row>
    <row r="568" spans="1:7" x14ac:dyDescent="0.2">
      <c r="A568" s="2" t="s">
        <v>3565</v>
      </c>
      <c r="B568" s="2" t="s">
        <v>429</v>
      </c>
      <c r="C568" s="2">
        <v>600.1472</v>
      </c>
      <c r="D568" s="2">
        <f>HYPERLINK("http://mcb-m6.bioreg.kyushu-u.ac.jp/M3/20110502/F51159/1418/1", 53.97)</f>
        <v>53.97</v>
      </c>
      <c r="E568" s="2">
        <v>32.5</v>
      </c>
      <c r="F568" s="2">
        <v>2</v>
      </c>
      <c r="G568" s="2" t="s">
        <v>14</v>
      </c>
    </row>
    <row r="569" spans="1:7" x14ac:dyDescent="0.2">
      <c r="A569" s="2" t="s">
        <v>3565</v>
      </c>
      <c r="B569" s="2" t="s">
        <v>429</v>
      </c>
      <c r="C569" s="2">
        <v>600.09670000000006</v>
      </c>
      <c r="D569" s="2">
        <f>HYPERLINK("http://mcb-m6.bioreg.kyushu-u.ac.jp/M3/20110502/F51159/1415/1", 57.1)</f>
        <v>57.1</v>
      </c>
      <c r="E569" s="2">
        <v>34.4</v>
      </c>
      <c r="F569" s="2">
        <v>2</v>
      </c>
      <c r="G569" s="2" t="s">
        <v>14</v>
      </c>
    </row>
    <row r="570" spans="1:7" x14ac:dyDescent="0.2">
      <c r="A570" s="2" t="s">
        <v>3288</v>
      </c>
      <c r="B570" s="2" t="s">
        <v>68</v>
      </c>
      <c r="C570" s="2">
        <v>488.41660000000002</v>
      </c>
      <c r="D570" s="2">
        <f>HYPERLINK("http://mcb-m6.bioreg.kyushu-u.ac.jp/M3/20110318/F50620/939/1", 80.99)</f>
        <v>80.989999999999995</v>
      </c>
      <c r="E570" s="2">
        <v>45.84</v>
      </c>
      <c r="F570" s="2">
        <v>2</v>
      </c>
      <c r="G570" s="2" t="s">
        <v>9</v>
      </c>
    </row>
    <row r="571" spans="1:7" x14ac:dyDescent="0.2">
      <c r="A571" s="2" t="s">
        <v>3288</v>
      </c>
      <c r="B571" s="2" t="s">
        <v>68</v>
      </c>
      <c r="C571" s="2">
        <v>488.88560000000001</v>
      </c>
      <c r="D571" s="2">
        <f>HYPERLINK("http://mcb-m6.bioreg.kyushu-u.ac.jp/M3/20110318/F50616/947/1", 38.32)</f>
        <v>38.32</v>
      </c>
      <c r="E571" s="2">
        <v>9.81</v>
      </c>
      <c r="F571" s="2">
        <v>2</v>
      </c>
      <c r="G571" s="2" t="s">
        <v>10</v>
      </c>
    </row>
    <row r="572" spans="1:7" x14ac:dyDescent="0.2">
      <c r="A572" s="2" t="s">
        <v>3288</v>
      </c>
      <c r="B572" s="2" t="s">
        <v>68</v>
      </c>
      <c r="C572" s="2">
        <v>488.84859999999998</v>
      </c>
      <c r="D572" s="2">
        <f>HYPERLINK("http://mcb-m6.bioreg.kyushu-u.ac.jp/M3/20110318/F50616/945/1", 53.45)</f>
        <v>53.45</v>
      </c>
      <c r="E572" s="2">
        <v>29.19</v>
      </c>
      <c r="F572" s="2">
        <v>2</v>
      </c>
      <c r="G572" s="2" t="s">
        <v>10</v>
      </c>
    </row>
    <row r="573" spans="1:7" x14ac:dyDescent="0.2">
      <c r="A573" s="2" t="s">
        <v>3288</v>
      </c>
      <c r="B573" s="2" t="s">
        <v>68</v>
      </c>
      <c r="C573" s="2">
        <v>488.89210000000003</v>
      </c>
      <c r="D573" s="2">
        <f>HYPERLINK("http://mcb-m6.bioreg.kyushu-u.ac.jp/M3/20110318/F50616/948/1", 57.37)</f>
        <v>57.37</v>
      </c>
      <c r="E573" s="2">
        <v>18.37</v>
      </c>
      <c r="F573" s="2">
        <v>2</v>
      </c>
      <c r="G573" s="2" t="s">
        <v>10</v>
      </c>
    </row>
    <row r="574" spans="1:7" x14ac:dyDescent="0.2">
      <c r="A574" s="2" t="s">
        <v>3288</v>
      </c>
      <c r="B574" s="2" t="s">
        <v>68</v>
      </c>
      <c r="C574" s="2">
        <v>488.91910000000001</v>
      </c>
      <c r="D574" s="2">
        <f>HYPERLINK("http://mcb-m6.bioreg.kyushu-u.ac.jp/M3/20110318/F50597/867/1", 83.44)</f>
        <v>83.44</v>
      </c>
      <c r="E574" s="2">
        <v>50.98</v>
      </c>
      <c r="F574" s="2">
        <v>2</v>
      </c>
      <c r="G574" s="2" t="s">
        <v>10</v>
      </c>
    </row>
    <row r="575" spans="1:7" x14ac:dyDescent="0.2">
      <c r="A575" s="2" t="s">
        <v>3288</v>
      </c>
      <c r="B575" s="2" t="s">
        <v>68</v>
      </c>
      <c r="C575" s="2">
        <v>488.92360000000002</v>
      </c>
      <c r="D575" s="2">
        <f>HYPERLINK("http://mcb-m6.bioreg.kyushu-u.ac.jp/M3/20110318/F50616/949/1", 89.18)</f>
        <v>89.18</v>
      </c>
      <c r="E575" s="2">
        <v>59.9</v>
      </c>
      <c r="F575" s="2">
        <v>2</v>
      </c>
      <c r="G575" s="2" t="s">
        <v>10</v>
      </c>
    </row>
    <row r="576" spans="1:7" x14ac:dyDescent="0.2">
      <c r="A576" s="2" t="s">
        <v>3288</v>
      </c>
      <c r="B576" s="2" t="s">
        <v>68</v>
      </c>
      <c r="C576" s="2">
        <v>488.8571</v>
      </c>
      <c r="D576" s="2">
        <f>HYPERLINK("http://mcb-m6.bioreg.kyushu-u.ac.jp/M3/20110318/F50616/946/1", 89.24)</f>
        <v>89.24</v>
      </c>
      <c r="E576" s="2">
        <v>56.74</v>
      </c>
      <c r="F576" s="2">
        <v>2</v>
      </c>
      <c r="G576" s="2" t="s">
        <v>10</v>
      </c>
    </row>
    <row r="577" spans="1:7" x14ac:dyDescent="0.2">
      <c r="A577" s="2" t="s">
        <v>3288</v>
      </c>
      <c r="B577" s="2" t="s">
        <v>68</v>
      </c>
      <c r="C577" s="2">
        <v>489.02510000000001</v>
      </c>
      <c r="D577" s="2">
        <f>HYPERLINK("http://mcb-m6.bioreg.kyushu-u.ac.jp/M3/20110418/F50974/924/1", 36.84)</f>
        <v>36.840000000000003</v>
      </c>
      <c r="E577" s="2">
        <v>11.31</v>
      </c>
      <c r="F577" s="2">
        <v>2</v>
      </c>
      <c r="G577" s="2" t="s">
        <v>11</v>
      </c>
    </row>
    <row r="578" spans="1:7" x14ac:dyDescent="0.2">
      <c r="A578" s="2" t="s">
        <v>3288</v>
      </c>
      <c r="B578" s="2" t="s">
        <v>68</v>
      </c>
      <c r="C578" s="2">
        <v>976.46500000000003</v>
      </c>
      <c r="D578" s="2">
        <f>HYPERLINK("http://mcb-m6.bioreg.kyushu-u.ac.jp/M3/20110418/F50996/1104/1", 37.28)</f>
        <v>37.28</v>
      </c>
      <c r="E578" s="2">
        <v>19.45</v>
      </c>
      <c r="F578" s="2">
        <v>1</v>
      </c>
      <c r="G578" s="2" t="s">
        <v>11</v>
      </c>
    </row>
    <row r="579" spans="1:7" x14ac:dyDescent="0.2">
      <c r="A579" s="2" t="s">
        <v>3288</v>
      </c>
      <c r="B579" s="2" t="s">
        <v>68</v>
      </c>
      <c r="C579" s="2">
        <v>976.46299999999997</v>
      </c>
      <c r="D579" s="2">
        <f>HYPERLINK("http://mcb-m6.bioreg.kyushu-u.ac.jp/M3/20110418/F50996/1103/1", 40.65)</f>
        <v>40.65</v>
      </c>
      <c r="E579" s="2">
        <v>15.57</v>
      </c>
      <c r="F579" s="2">
        <v>1</v>
      </c>
      <c r="G579" s="2" t="s">
        <v>11</v>
      </c>
    </row>
    <row r="580" spans="1:7" x14ac:dyDescent="0.2">
      <c r="A580" s="2" t="s">
        <v>3288</v>
      </c>
      <c r="B580" s="2" t="s">
        <v>68</v>
      </c>
      <c r="C580" s="2">
        <v>488.44110000000001</v>
      </c>
      <c r="D580" s="2">
        <f>HYPERLINK("http://mcb-m6.bioreg.kyushu-u.ac.jp/M3/20110418/F50974/919/1", 48.19)</f>
        <v>48.19</v>
      </c>
      <c r="E580" s="2">
        <v>14.86</v>
      </c>
      <c r="F580" s="2">
        <v>2</v>
      </c>
      <c r="G580" s="2" t="s">
        <v>11</v>
      </c>
    </row>
    <row r="581" spans="1:7" x14ac:dyDescent="0.2">
      <c r="A581" s="2" t="s">
        <v>3288</v>
      </c>
      <c r="B581" s="2" t="s">
        <v>68</v>
      </c>
      <c r="C581" s="2">
        <v>488.51310000000001</v>
      </c>
      <c r="D581" s="2">
        <f>HYPERLINK("http://mcb-m6.bioreg.kyushu-u.ac.jp/M3/20110418/F50974/920/1", 62.59)</f>
        <v>62.59</v>
      </c>
      <c r="E581" s="2">
        <v>39.19</v>
      </c>
      <c r="F581" s="2">
        <v>2</v>
      </c>
      <c r="G581" s="2" t="s">
        <v>11</v>
      </c>
    </row>
    <row r="582" spans="1:7" x14ac:dyDescent="0.2">
      <c r="A582" s="2" t="s">
        <v>3288</v>
      </c>
      <c r="B582" s="2" t="s">
        <v>68</v>
      </c>
      <c r="C582" s="2">
        <v>489.03660000000002</v>
      </c>
      <c r="D582" s="2">
        <f>HYPERLINK("http://mcb-m6.bioreg.kyushu-u.ac.jp/M3/20110418/F50974/925/1", 62.73)</f>
        <v>62.73</v>
      </c>
      <c r="E582" s="2">
        <v>33.11</v>
      </c>
      <c r="F582" s="2">
        <v>2</v>
      </c>
      <c r="G582" s="2" t="s">
        <v>11</v>
      </c>
    </row>
    <row r="583" spans="1:7" x14ac:dyDescent="0.2">
      <c r="A583" s="2" t="s">
        <v>3288</v>
      </c>
      <c r="B583" s="2" t="s">
        <v>68</v>
      </c>
      <c r="C583" s="2">
        <v>488.66559999999998</v>
      </c>
      <c r="D583" s="2">
        <f>HYPERLINK("http://mcb-m6.bioreg.kyushu-u.ac.jp/M3/20110418/F50996/1102/1", 64.97)</f>
        <v>64.97</v>
      </c>
      <c r="E583" s="2">
        <v>37.15</v>
      </c>
      <c r="F583" s="2">
        <v>2</v>
      </c>
      <c r="G583" s="2" t="s">
        <v>11</v>
      </c>
    </row>
    <row r="584" spans="1:7" x14ac:dyDescent="0.2">
      <c r="A584" s="2" t="s">
        <v>3288</v>
      </c>
      <c r="B584" s="2" t="s">
        <v>68</v>
      </c>
      <c r="C584" s="2">
        <v>489.10759999999999</v>
      </c>
      <c r="D584" s="2">
        <f>HYPERLINK("http://mcb-m6.bioreg.kyushu-u.ac.jp/M3/20110418/F50996/1106/1", 69.05)</f>
        <v>69.05</v>
      </c>
      <c r="E584" s="2">
        <v>44.16</v>
      </c>
      <c r="F584" s="2">
        <v>2</v>
      </c>
      <c r="G584" s="2" t="s">
        <v>11</v>
      </c>
    </row>
    <row r="585" spans="1:7" x14ac:dyDescent="0.2">
      <c r="A585" s="2" t="s">
        <v>3288</v>
      </c>
      <c r="B585" s="2" t="s">
        <v>68</v>
      </c>
      <c r="C585" s="2">
        <v>488.5711</v>
      </c>
      <c r="D585" s="2">
        <f>HYPERLINK("http://mcb-m6.bioreg.kyushu-u.ac.jp/M3/20110418/F50996/1097/1", 71.64)</f>
        <v>71.64</v>
      </c>
      <c r="E585" s="2">
        <v>44.89</v>
      </c>
      <c r="F585" s="2">
        <v>2</v>
      </c>
      <c r="G585" s="2" t="s">
        <v>11</v>
      </c>
    </row>
    <row r="586" spans="1:7" x14ac:dyDescent="0.2">
      <c r="A586" s="2" t="s">
        <v>3288</v>
      </c>
      <c r="B586" s="2" t="s">
        <v>68</v>
      </c>
      <c r="C586" s="2">
        <v>488.73660000000001</v>
      </c>
      <c r="D586" s="2">
        <f>HYPERLINK("http://mcb-m6.bioreg.kyushu-u.ac.jp/M3/20110418/F50996/1105/1", 72.72)</f>
        <v>72.72</v>
      </c>
      <c r="E586" s="2">
        <v>40.700000000000003</v>
      </c>
      <c r="F586" s="2">
        <v>2</v>
      </c>
      <c r="G586" s="2" t="s">
        <v>11</v>
      </c>
    </row>
    <row r="587" spans="1:7" x14ac:dyDescent="0.2">
      <c r="A587" s="2" t="s">
        <v>3288</v>
      </c>
      <c r="B587" s="2" t="s">
        <v>68</v>
      </c>
      <c r="C587" s="2">
        <v>489.12310000000002</v>
      </c>
      <c r="D587" s="2">
        <f>HYPERLINK("http://mcb-m6.bioreg.kyushu-u.ac.jp/M3/20110418/F50996/1107/1", 74.63)</f>
        <v>74.63</v>
      </c>
      <c r="E587" s="2">
        <v>42.33</v>
      </c>
      <c r="F587" s="2">
        <v>2</v>
      </c>
      <c r="G587" s="2" t="s">
        <v>11</v>
      </c>
    </row>
    <row r="588" spans="1:7" x14ac:dyDescent="0.2">
      <c r="A588" s="2" t="s">
        <v>3288</v>
      </c>
      <c r="B588" s="2" t="s">
        <v>68</v>
      </c>
      <c r="C588" s="2">
        <v>488.63510000000002</v>
      </c>
      <c r="D588" s="2">
        <f>HYPERLINK("http://mcb-m6.bioreg.kyushu-u.ac.jp/M3/20110418/F50996/1100/1", 74.93)</f>
        <v>74.930000000000007</v>
      </c>
      <c r="E588" s="2">
        <v>45.4</v>
      </c>
      <c r="F588" s="2">
        <v>2</v>
      </c>
      <c r="G588" s="2" t="s">
        <v>11</v>
      </c>
    </row>
    <row r="589" spans="1:7" x14ac:dyDescent="0.2">
      <c r="A589" s="2" t="s">
        <v>3288</v>
      </c>
      <c r="B589" s="2" t="s">
        <v>68</v>
      </c>
      <c r="C589" s="2">
        <v>488.61509999999998</v>
      </c>
      <c r="D589" s="2">
        <f>HYPERLINK("http://mcb-m6.bioreg.kyushu-u.ac.jp/M3/20110418/F50974/921/1", 86.43)</f>
        <v>86.43</v>
      </c>
      <c r="E589" s="2">
        <v>53.23</v>
      </c>
      <c r="F589" s="2">
        <v>2</v>
      </c>
      <c r="G589" s="2" t="s">
        <v>11</v>
      </c>
    </row>
    <row r="590" spans="1:7" x14ac:dyDescent="0.2">
      <c r="A590" s="2" t="s">
        <v>3288</v>
      </c>
      <c r="B590" s="2" t="s">
        <v>68</v>
      </c>
      <c r="C590" s="2">
        <v>488.89460000000003</v>
      </c>
      <c r="D590" s="2">
        <f>HYPERLINK("http://mcb-m6.bioreg.kyushu-u.ac.jp/M3/20110418/F50983/1637/1", 35.31)</f>
        <v>35.31</v>
      </c>
      <c r="E590" s="2">
        <v>8.1999999999999993</v>
      </c>
      <c r="F590" s="2">
        <v>2</v>
      </c>
      <c r="G590" s="2" t="s">
        <v>12</v>
      </c>
    </row>
    <row r="591" spans="1:7" x14ac:dyDescent="0.2">
      <c r="A591" s="2" t="s">
        <v>3288</v>
      </c>
      <c r="B591" s="2" t="s">
        <v>68</v>
      </c>
      <c r="C591" s="2">
        <v>976.41</v>
      </c>
      <c r="D591" s="2">
        <f>HYPERLINK("http://mcb-m6.bioreg.kyushu-u.ac.jp/M3/20110418/F50997/1139/1", 36.2)</f>
        <v>36.200000000000003</v>
      </c>
      <c r="E591" s="2">
        <v>14.18</v>
      </c>
      <c r="F591" s="2">
        <v>1</v>
      </c>
      <c r="G591" s="2" t="s">
        <v>12</v>
      </c>
    </row>
    <row r="592" spans="1:7" x14ac:dyDescent="0.2">
      <c r="A592" s="2" t="s">
        <v>3288</v>
      </c>
      <c r="B592" s="2" t="s">
        <v>68</v>
      </c>
      <c r="C592" s="2">
        <v>488.85059999999999</v>
      </c>
      <c r="D592" s="2">
        <f>HYPERLINK("http://mcb-m6.bioreg.kyushu-u.ac.jp/M3/20110418/F50984/1673/1", 36.7)</f>
        <v>36.700000000000003</v>
      </c>
      <c r="E592" s="2">
        <v>13.42</v>
      </c>
      <c r="F592" s="2">
        <v>2</v>
      </c>
      <c r="G592" s="2" t="s">
        <v>12</v>
      </c>
    </row>
    <row r="593" spans="1:7" x14ac:dyDescent="0.2">
      <c r="A593" s="2" t="s">
        <v>3288</v>
      </c>
      <c r="B593" s="2" t="s">
        <v>68</v>
      </c>
      <c r="C593" s="2">
        <v>488.99059999999997</v>
      </c>
      <c r="D593" s="2">
        <f>HYPERLINK("http://mcb-m6.bioreg.kyushu-u.ac.jp/M3/20110418/F50984/1676/1", 41.94)</f>
        <v>41.94</v>
      </c>
      <c r="E593" s="2">
        <v>15.9</v>
      </c>
      <c r="F593" s="2">
        <v>2</v>
      </c>
      <c r="G593" s="2" t="s">
        <v>12</v>
      </c>
    </row>
    <row r="594" spans="1:7" x14ac:dyDescent="0.2">
      <c r="A594" s="2" t="s">
        <v>3288</v>
      </c>
      <c r="B594" s="2" t="s">
        <v>68</v>
      </c>
      <c r="C594" s="2">
        <v>488.62860000000001</v>
      </c>
      <c r="D594" s="2">
        <f>HYPERLINK("http://mcb-m6.bioreg.kyushu-u.ac.jp/M3/20110418/F50997/1137/1", 46.59)</f>
        <v>46.59</v>
      </c>
      <c r="E594" s="2">
        <v>19.59</v>
      </c>
      <c r="F594" s="2">
        <v>2</v>
      </c>
      <c r="G594" s="2" t="s">
        <v>12</v>
      </c>
    </row>
    <row r="595" spans="1:7" x14ac:dyDescent="0.2">
      <c r="A595" s="2" t="s">
        <v>3288</v>
      </c>
      <c r="B595" s="2" t="s">
        <v>68</v>
      </c>
      <c r="C595" s="2">
        <v>488.50909999999999</v>
      </c>
      <c r="D595" s="2">
        <f>HYPERLINK("http://mcb-m6.bioreg.kyushu-u.ac.jp/M3/20110418/F50984/1672/1", 49.5)</f>
        <v>49.5</v>
      </c>
      <c r="E595" s="2">
        <v>22.44</v>
      </c>
      <c r="F595" s="2">
        <v>2</v>
      </c>
      <c r="G595" s="2" t="s">
        <v>12</v>
      </c>
    </row>
    <row r="596" spans="1:7" x14ac:dyDescent="0.2">
      <c r="A596" s="2" t="s">
        <v>3288</v>
      </c>
      <c r="B596" s="2" t="s">
        <v>68</v>
      </c>
      <c r="C596" s="2">
        <v>488.6936</v>
      </c>
      <c r="D596" s="2">
        <f>HYPERLINK("http://mcb-m6.bioreg.kyushu-u.ac.jp/M3/20110418/F50997/1138/1", 52.7)</f>
        <v>52.7</v>
      </c>
      <c r="E596" s="2">
        <v>32.78</v>
      </c>
      <c r="F596" s="2">
        <v>2</v>
      </c>
      <c r="G596" s="2" t="s">
        <v>12</v>
      </c>
    </row>
    <row r="597" spans="1:7" x14ac:dyDescent="0.2">
      <c r="A597" s="2" t="s">
        <v>3288</v>
      </c>
      <c r="B597" s="2" t="s">
        <v>68</v>
      </c>
      <c r="C597" s="2">
        <v>488.5806</v>
      </c>
      <c r="D597" s="2">
        <f>HYPERLINK("http://mcb-m6.bioreg.kyushu-u.ac.jp/M3/20110418/F50997/1136/1", 83.52)</f>
        <v>83.52</v>
      </c>
      <c r="E597" s="2">
        <v>48.9</v>
      </c>
      <c r="F597" s="2">
        <v>2</v>
      </c>
      <c r="G597" s="2" t="s">
        <v>12</v>
      </c>
    </row>
    <row r="598" spans="1:7" x14ac:dyDescent="0.2">
      <c r="A598" s="2" t="s">
        <v>3288</v>
      </c>
      <c r="B598" s="2" t="s">
        <v>68</v>
      </c>
      <c r="C598" s="2">
        <v>488.50510000000003</v>
      </c>
      <c r="D598" s="2">
        <f>HYPERLINK("http://mcb-m6.bioreg.kyushu-u.ac.jp/M3/20110429/F51152/801/1", 53.04)</f>
        <v>53.04</v>
      </c>
      <c r="E598" s="2">
        <v>19.079999999999998</v>
      </c>
      <c r="F598" s="2">
        <v>2</v>
      </c>
      <c r="G598" s="2" t="s">
        <v>13</v>
      </c>
    </row>
    <row r="599" spans="1:7" x14ac:dyDescent="0.2">
      <c r="A599" s="2" t="s">
        <v>3288</v>
      </c>
      <c r="B599" s="2" t="s">
        <v>68</v>
      </c>
      <c r="C599" s="2">
        <v>488.97910000000002</v>
      </c>
      <c r="D599" s="2">
        <f>HYPERLINK("http://mcb-m6.bioreg.kyushu-u.ac.jp/M3/20110429/F51157/605/1", 64.76)</f>
        <v>64.760000000000005</v>
      </c>
      <c r="E599" s="2">
        <v>28.78</v>
      </c>
      <c r="F599" s="2">
        <v>2</v>
      </c>
      <c r="G599" s="2" t="s">
        <v>13</v>
      </c>
    </row>
    <row r="600" spans="1:7" x14ac:dyDescent="0.2">
      <c r="A600" s="2" t="s">
        <v>3288</v>
      </c>
      <c r="B600" s="2" t="s">
        <v>68</v>
      </c>
      <c r="C600" s="2">
        <v>488.71910000000003</v>
      </c>
      <c r="D600" s="2">
        <f>HYPERLINK("http://mcb-m6.bioreg.kyushu-u.ac.jp/M3/20110429/F51157/601/1", 73.41)</f>
        <v>73.41</v>
      </c>
      <c r="E600" s="2">
        <v>44.06</v>
      </c>
      <c r="F600" s="2">
        <v>2</v>
      </c>
      <c r="G600" s="2" t="s">
        <v>13</v>
      </c>
    </row>
    <row r="601" spans="1:7" x14ac:dyDescent="0.2">
      <c r="A601" s="2" t="s">
        <v>3288</v>
      </c>
      <c r="B601" s="2" t="s">
        <v>68</v>
      </c>
      <c r="C601" s="2">
        <v>489.20609999999999</v>
      </c>
      <c r="D601" s="2">
        <f>HYPERLINK("http://mcb-m6.bioreg.kyushu-u.ac.jp/M3/20110502/F51160/712/1", 37.37)</f>
        <v>37.369999999999997</v>
      </c>
      <c r="E601" s="2">
        <v>12.37</v>
      </c>
      <c r="F601" s="2">
        <v>2</v>
      </c>
      <c r="G601" s="2" t="s">
        <v>14</v>
      </c>
    </row>
    <row r="602" spans="1:7" x14ac:dyDescent="0.2">
      <c r="A602" s="2" t="s">
        <v>3288</v>
      </c>
      <c r="B602" s="2" t="s">
        <v>68</v>
      </c>
      <c r="C602" s="2">
        <v>489.20609999999999</v>
      </c>
      <c r="D602" s="2">
        <f>HYPERLINK("http://mcb-m6.bioreg.kyushu-u.ac.jp/M3/20110428/F51140/852/1", 40.41)</f>
        <v>40.409999999999997</v>
      </c>
      <c r="E602" s="2">
        <v>15.35</v>
      </c>
      <c r="F602" s="2">
        <v>2</v>
      </c>
      <c r="G602" s="2" t="s">
        <v>14</v>
      </c>
    </row>
    <row r="603" spans="1:7" x14ac:dyDescent="0.2">
      <c r="A603" s="2" t="s">
        <v>3288</v>
      </c>
      <c r="B603" s="2" t="s">
        <v>68</v>
      </c>
      <c r="C603" s="2">
        <v>489.15410000000003</v>
      </c>
      <c r="D603" s="2">
        <f>HYPERLINK("http://mcb-m6.bioreg.kyushu-u.ac.jp/M3/20110428/F51138/1358/1", 41.67)</f>
        <v>41.67</v>
      </c>
      <c r="E603" s="2">
        <v>20.66</v>
      </c>
      <c r="F603" s="2">
        <v>2</v>
      </c>
      <c r="G603" s="2" t="s">
        <v>14</v>
      </c>
    </row>
    <row r="604" spans="1:7" x14ac:dyDescent="0.2">
      <c r="A604" s="2" t="s">
        <v>3288</v>
      </c>
      <c r="B604" s="2" t="s">
        <v>68</v>
      </c>
      <c r="C604" s="2">
        <v>489.24959999999999</v>
      </c>
      <c r="D604" s="2">
        <f>HYPERLINK("http://mcb-m6.bioreg.kyushu-u.ac.jp/M3/20110428/F51143/929/1", 48.58)</f>
        <v>48.58</v>
      </c>
      <c r="E604" s="2">
        <v>26.13</v>
      </c>
      <c r="F604" s="2">
        <v>2</v>
      </c>
      <c r="G604" s="2" t="s">
        <v>14</v>
      </c>
    </row>
    <row r="605" spans="1:7" x14ac:dyDescent="0.2">
      <c r="A605" s="2" t="s">
        <v>3288</v>
      </c>
      <c r="B605" s="2" t="s">
        <v>68</v>
      </c>
      <c r="C605" s="2">
        <v>488.86860000000001</v>
      </c>
      <c r="D605" s="2">
        <f>HYPERLINK("http://mcb-m6.bioreg.kyushu-u.ac.jp/M3/20110502/F51159/921/1", 54.97)</f>
        <v>54.97</v>
      </c>
      <c r="E605" s="2">
        <v>20.63</v>
      </c>
      <c r="F605" s="2">
        <v>2</v>
      </c>
      <c r="G605" s="2" t="s">
        <v>14</v>
      </c>
    </row>
    <row r="606" spans="1:7" x14ac:dyDescent="0.2">
      <c r="A606" s="2" t="s">
        <v>3288</v>
      </c>
      <c r="B606" s="2" t="s">
        <v>68</v>
      </c>
      <c r="C606" s="2">
        <v>489.05810000000002</v>
      </c>
      <c r="D606" s="2">
        <f>HYPERLINK("http://mcb-m6.bioreg.kyushu-u.ac.jp/M3/20110502/F51159/924/1", 71.74)</f>
        <v>71.739999999999995</v>
      </c>
      <c r="E606" s="2">
        <v>34.880000000000003</v>
      </c>
      <c r="F606" s="2">
        <v>2</v>
      </c>
      <c r="G606" s="2" t="s">
        <v>14</v>
      </c>
    </row>
    <row r="607" spans="1:7" x14ac:dyDescent="0.2">
      <c r="A607" s="2" t="s">
        <v>3288</v>
      </c>
      <c r="B607" s="2" t="s">
        <v>68</v>
      </c>
      <c r="C607" s="2">
        <v>488.88010000000003</v>
      </c>
      <c r="D607" s="2">
        <f>HYPERLINK("http://mcb-m6.bioreg.kyushu-u.ac.jp/M3/20110502/F51159/922/1", 75.16)</f>
        <v>75.16</v>
      </c>
      <c r="E607" s="2">
        <v>38.25</v>
      </c>
      <c r="F607" s="2">
        <v>2</v>
      </c>
      <c r="G607" s="2" t="s">
        <v>14</v>
      </c>
    </row>
    <row r="608" spans="1:7" x14ac:dyDescent="0.2">
      <c r="A608" s="2" t="s">
        <v>3288</v>
      </c>
      <c r="B608" s="2" t="s">
        <v>68</v>
      </c>
      <c r="C608" s="2">
        <v>488.90109999999999</v>
      </c>
      <c r="D608" s="2">
        <f>HYPERLINK("http://mcb-m6.bioreg.kyushu-u.ac.jp/M3/20110502/F51159/923/1", 77.01)</f>
        <v>77.010000000000005</v>
      </c>
      <c r="E608" s="2">
        <v>36.340000000000003</v>
      </c>
      <c r="F608" s="2">
        <v>2</v>
      </c>
      <c r="G608" s="2" t="s">
        <v>14</v>
      </c>
    </row>
    <row r="609" spans="1:9" x14ac:dyDescent="0.2">
      <c r="A609" s="2" t="s">
        <v>3365</v>
      </c>
      <c r="B609" s="2" t="s">
        <v>157</v>
      </c>
      <c r="C609" s="2">
        <v>988.82320000000004</v>
      </c>
      <c r="D609" s="2">
        <f>HYPERLINK("http://mcb-m6.bioreg.kyushu-u.ac.jp/M3/20110318/F50620/2487/1", 57.1)</f>
        <v>57.1</v>
      </c>
      <c r="E609" s="2">
        <v>34.380000000000003</v>
      </c>
      <c r="F609" s="2">
        <v>2</v>
      </c>
      <c r="G609" s="2" t="s">
        <v>9</v>
      </c>
      <c r="H609" s="2" t="s">
        <v>4907</v>
      </c>
    </row>
    <row r="610" spans="1:9" x14ac:dyDescent="0.2">
      <c r="A610" s="2" t="s">
        <v>3365</v>
      </c>
      <c r="B610" s="2" t="s">
        <v>157</v>
      </c>
      <c r="C610" s="2">
        <v>980.77260000000001</v>
      </c>
      <c r="D610" s="2">
        <f>HYPERLINK("http://mcb-m6.bioreg.kyushu-u.ac.jp/M3/20110318/F50620/2468/1", 57.92)</f>
        <v>57.92</v>
      </c>
      <c r="E610" s="2">
        <v>33.56</v>
      </c>
      <c r="F610" s="2">
        <v>2</v>
      </c>
      <c r="G610" s="2" t="s">
        <v>9</v>
      </c>
    </row>
    <row r="611" spans="1:9" x14ac:dyDescent="0.2">
      <c r="A611" s="2" t="s">
        <v>3365</v>
      </c>
      <c r="B611" s="2" t="s">
        <v>157</v>
      </c>
      <c r="C611" s="2">
        <v>981.28120000000001</v>
      </c>
      <c r="D611" s="2">
        <f>HYPERLINK("http://mcb-m6.bioreg.kyushu-u.ac.jp/M3/20110318/F50620/2470/1", 60.74)</f>
        <v>60.74</v>
      </c>
      <c r="E611" s="2">
        <v>40.479999999999997</v>
      </c>
      <c r="F611" s="2">
        <v>2</v>
      </c>
      <c r="G611" s="2" t="s">
        <v>9</v>
      </c>
    </row>
    <row r="612" spans="1:9" x14ac:dyDescent="0.2">
      <c r="A612" s="2" t="s">
        <v>3365</v>
      </c>
      <c r="B612" s="2" t="s">
        <v>157</v>
      </c>
      <c r="C612" s="2">
        <v>981.27470000000005</v>
      </c>
      <c r="D612" s="2">
        <f>HYPERLINK("http://mcb-m6.bioreg.kyushu-u.ac.jp/M3/20110318/F50616/2514/1", 53.05)</f>
        <v>53.05</v>
      </c>
      <c r="E612" s="2">
        <v>24.58</v>
      </c>
      <c r="F612" s="2">
        <v>2</v>
      </c>
      <c r="G612" s="2" t="s">
        <v>10</v>
      </c>
    </row>
    <row r="613" spans="1:9" x14ac:dyDescent="0.2">
      <c r="A613" s="2" t="s">
        <v>3365</v>
      </c>
      <c r="B613" s="2" t="s">
        <v>157</v>
      </c>
      <c r="C613" s="2">
        <v>989.53060000000005</v>
      </c>
      <c r="D613" s="2">
        <f>HYPERLINK("http://mcb-m6.bioreg.kyushu-u.ac.jp/M3/20110318/F50616/2529/1", 53.07)</f>
        <v>53.07</v>
      </c>
      <c r="E613" s="2">
        <v>34.89</v>
      </c>
      <c r="F613" s="2">
        <v>2</v>
      </c>
      <c r="G613" s="2" t="s">
        <v>10</v>
      </c>
      <c r="H613" s="2" t="s">
        <v>4907</v>
      </c>
    </row>
    <row r="614" spans="1:9" x14ac:dyDescent="0.2">
      <c r="A614" s="2" t="s">
        <v>3365</v>
      </c>
      <c r="B614" s="2" t="s">
        <v>157</v>
      </c>
      <c r="C614" s="2">
        <v>988.98220000000003</v>
      </c>
      <c r="D614" s="2">
        <f>HYPERLINK("http://mcb-m6.bioreg.kyushu-u.ac.jp/M3/20110318/F50616/2527/1", 67.91)</f>
        <v>67.91</v>
      </c>
      <c r="E614" s="2">
        <v>51.27</v>
      </c>
      <c r="F614" s="2">
        <v>2</v>
      </c>
      <c r="G614" s="2" t="s">
        <v>10</v>
      </c>
      <c r="H614" s="2" t="s">
        <v>4907</v>
      </c>
    </row>
    <row r="615" spans="1:9" x14ac:dyDescent="0.2">
      <c r="A615" s="2" t="s">
        <v>3365</v>
      </c>
      <c r="B615" s="2" t="s">
        <v>157</v>
      </c>
      <c r="C615" s="2">
        <v>989.23170000000005</v>
      </c>
      <c r="D615" s="2">
        <f>HYPERLINK("http://mcb-m6.bioreg.kyushu-u.ac.jp/M3/20110318/F50617/2283/1", 68.09)</f>
        <v>68.09</v>
      </c>
      <c r="E615" s="2">
        <v>36.96</v>
      </c>
      <c r="F615" s="2">
        <v>2</v>
      </c>
      <c r="G615" s="2" t="s">
        <v>10</v>
      </c>
      <c r="H615" s="2" t="s">
        <v>4907</v>
      </c>
    </row>
    <row r="616" spans="1:9" x14ac:dyDescent="0.2">
      <c r="A616" s="2" t="s">
        <v>3365</v>
      </c>
      <c r="B616" s="2" t="s">
        <v>157</v>
      </c>
      <c r="C616" s="2">
        <v>981.27260000000001</v>
      </c>
      <c r="D616" s="2">
        <f>HYPERLINK("http://mcb-m6.bioreg.kyushu-u.ac.jp/M3/20110418/F50999/2670/1", 49.1)</f>
        <v>49.1</v>
      </c>
      <c r="E616" s="2">
        <v>29.8</v>
      </c>
      <c r="F616" s="2">
        <v>2</v>
      </c>
      <c r="G616" s="2" t="s">
        <v>11</v>
      </c>
    </row>
    <row r="617" spans="1:9" x14ac:dyDescent="0.2">
      <c r="A617" s="2" t="s">
        <v>3365</v>
      </c>
      <c r="B617" s="2" t="s">
        <v>310</v>
      </c>
      <c r="C617" s="2">
        <v>979.04359999999997</v>
      </c>
      <c r="D617" s="2">
        <f>HYPERLINK("http://mcb-m6.bioreg.kyushu-u.ac.jp/M3/20110418/F50997/2859/1", 37.81)</f>
        <v>37.81</v>
      </c>
      <c r="E617" s="2">
        <v>25.88</v>
      </c>
      <c r="F617" s="2">
        <v>2</v>
      </c>
      <c r="G617" s="2" t="s">
        <v>12</v>
      </c>
    </row>
    <row r="618" spans="1:9" x14ac:dyDescent="0.2">
      <c r="A618" s="2" t="s">
        <v>3365</v>
      </c>
      <c r="B618" s="2" t="s">
        <v>310</v>
      </c>
      <c r="C618" s="2">
        <v>979.07510000000002</v>
      </c>
      <c r="D618" s="2">
        <f>HYPERLINK("http://mcb-m6.bioreg.kyushu-u.ac.jp/M3/20110418/F50997/2860/1", 38.09)</f>
        <v>38.090000000000003</v>
      </c>
      <c r="E618" s="2">
        <v>30.02</v>
      </c>
      <c r="F618" s="2">
        <v>2</v>
      </c>
      <c r="G618" s="2" t="s">
        <v>12</v>
      </c>
    </row>
    <row r="619" spans="1:9" x14ac:dyDescent="0.2">
      <c r="A619" s="2" t="s">
        <v>3365</v>
      </c>
      <c r="B619" s="2" t="s">
        <v>157</v>
      </c>
      <c r="C619" s="2">
        <v>981.45719999999994</v>
      </c>
      <c r="D619" s="2">
        <f>HYPERLINK("http://mcb-m6.bioreg.kyushu-u.ac.jp/M3/20110418/F50997/2870/1", 46.86)</f>
        <v>46.86</v>
      </c>
      <c r="E619" s="2">
        <v>34.049999999999997</v>
      </c>
      <c r="F619" s="2">
        <v>2</v>
      </c>
      <c r="G619" s="2" t="s">
        <v>12</v>
      </c>
    </row>
    <row r="620" spans="1:9" x14ac:dyDescent="0.2">
      <c r="A620" s="2" t="s">
        <v>3365</v>
      </c>
      <c r="B620" s="2" t="s">
        <v>157</v>
      </c>
      <c r="C620" s="2">
        <v>980.95759999999996</v>
      </c>
      <c r="D620" s="2">
        <f>HYPERLINK("http://mcb-m6.bioreg.kyushu-u.ac.jp/M3/20110429/F51157/2949/1", 50.88)</f>
        <v>50.88</v>
      </c>
      <c r="E620" s="2">
        <v>26.33</v>
      </c>
      <c r="F620" s="2">
        <v>2</v>
      </c>
      <c r="G620" s="2" t="s">
        <v>13</v>
      </c>
    </row>
    <row r="621" spans="1:9" x14ac:dyDescent="0.2">
      <c r="A621" s="2" t="s">
        <v>3365</v>
      </c>
      <c r="B621" s="2" t="s">
        <v>310</v>
      </c>
      <c r="C621" s="2">
        <v>978.14070000000004</v>
      </c>
      <c r="D621" s="2">
        <f>HYPERLINK("http://mcb-m6.bioreg.kyushu-u.ac.jp/M3/20110502/F51160/2710/1", 50.09)</f>
        <v>50.09</v>
      </c>
      <c r="E621" s="2">
        <v>39.51</v>
      </c>
      <c r="F621" s="2">
        <v>2</v>
      </c>
      <c r="G621" s="2" t="s">
        <v>14</v>
      </c>
    </row>
    <row r="622" spans="1:9" x14ac:dyDescent="0.2">
      <c r="A622" s="2" t="s">
        <v>3365</v>
      </c>
      <c r="B622" s="2" t="s">
        <v>310</v>
      </c>
      <c r="C622" s="2">
        <v>978.26170000000002</v>
      </c>
      <c r="D622" s="2">
        <f>HYPERLINK("http://mcb-m6.bioreg.kyushu-u.ac.jp/M3/20110502/F51159/2966/1", 54.63)</f>
        <v>54.63</v>
      </c>
      <c r="E622" s="2">
        <v>46.2</v>
      </c>
      <c r="F622" s="2">
        <v>2</v>
      </c>
      <c r="G622" s="2" t="s">
        <v>14</v>
      </c>
    </row>
    <row r="623" spans="1:9" x14ac:dyDescent="0.2">
      <c r="A623" s="2" t="s">
        <v>3418</v>
      </c>
      <c r="B623" s="2" t="s">
        <v>460</v>
      </c>
      <c r="C623" s="2">
        <v>851.67550000000006</v>
      </c>
      <c r="D623" s="2">
        <f>HYPERLINK("http://mcb-m6.bioreg.kyushu-u.ac.jp/M3/20110429/F51157/3653/1", 43.32)</f>
        <v>43.32</v>
      </c>
      <c r="E623" s="2">
        <v>34.54</v>
      </c>
      <c r="F623" s="2">
        <v>3</v>
      </c>
      <c r="G623" s="2" t="s">
        <v>13</v>
      </c>
      <c r="H623" s="2" t="s">
        <v>4925</v>
      </c>
      <c r="I623" s="2" t="s">
        <v>4890</v>
      </c>
    </row>
    <row r="624" spans="1:9" x14ac:dyDescent="0.2">
      <c r="A624" s="2" t="s">
        <v>3418</v>
      </c>
      <c r="B624" s="2" t="s">
        <v>460</v>
      </c>
      <c r="C624" s="2">
        <v>1276.509</v>
      </c>
      <c r="D624" s="2">
        <f>HYPERLINK("http://mcb-m6.bioreg.kyushu-u.ac.jp/M3/20110502/F51160/3200/1", 43.31)</f>
        <v>43.31</v>
      </c>
      <c r="E624" s="2">
        <v>39.06</v>
      </c>
      <c r="F624" s="2">
        <v>2</v>
      </c>
      <c r="G624" s="2" t="s">
        <v>14</v>
      </c>
      <c r="H624" s="2" t="s">
        <v>4925</v>
      </c>
      <c r="I624" s="2" t="s">
        <v>4890</v>
      </c>
    </row>
    <row r="625" spans="1:9" x14ac:dyDescent="0.2">
      <c r="A625" s="2" t="s">
        <v>3745</v>
      </c>
      <c r="B625" s="2" t="s">
        <v>751</v>
      </c>
      <c r="C625" s="2">
        <v>1061.864</v>
      </c>
      <c r="D625" s="2">
        <f>HYPERLINK("http://mcb-m6.bioreg.kyushu-u.ac.jp/M3/20110318/F50620/3394/1", 79.11)</f>
        <v>79.11</v>
      </c>
      <c r="E625" s="2">
        <v>72.900000000000006</v>
      </c>
      <c r="F625" s="2">
        <v>3</v>
      </c>
      <c r="G625" s="2" t="s">
        <v>9</v>
      </c>
    </row>
    <row r="626" spans="1:9" x14ac:dyDescent="0.2">
      <c r="A626" s="2" t="s">
        <v>3745</v>
      </c>
      <c r="B626" s="2" t="s">
        <v>751</v>
      </c>
      <c r="C626" s="2">
        <v>1061.883</v>
      </c>
      <c r="D626" s="2">
        <f>HYPERLINK("http://mcb-m6.bioreg.kyushu-u.ac.jp/M3/20110318/F50617/3105/1", 57.77)</f>
        <v>57.77</v>
      </c>
      <c r="E626" s="2">
        <v>47.96</v>
      </c>
      <c r="F626" s="2">
        <v>3</v>
      </c>
      <c r="G626" s="2" t="s">
        <v>10</v>
      </c>
    </row>
    <row r="627" spans="1:9" x14ac:dyDescent="0.2">
      <c r="A627" s="2" t="s">
        <v>3745</v>
      </c>
      <c r="B627" s="2" t="s">
        <v>751</v>
      </c>
      <c r="C627" s="2">
        <v>1067.127</v>
      </c>
      <c r="D627" s="2">
        <f>HYPERLINK("http://mcb-m6.bioreg.kyushu-u.ac.jp/M3/20110318/F50616/3442/1", 80.78)</f>
        <v>80.78</v>
      </c>
      <c r="E627" s="2">
        <v>70.650000000000006</v>
      </c>
      <c r="F627" s="2">
        <v>3</v>
      </c>
      <c r="G627" s="2" t="s">
        <v>10</v>
      </c>
      <c r="H627" s="2" t="s">
        <v>4910</v>
      </c>
    </row>
    <row r="628" spans="1:9" x14ac:dyDescent="0.2">
      <c r="A628" s="2" t="s">
        <v>3745</v>
      </c>
      <c r="B628" s="2" t="s">
        <v>751</v>
      </c>
      <c r="C628" s="2">
        <v>1067.3489999999999</v>
      </c>
      <c r="D628" s="2">
        <f>HYPERLINK("http://mcb-m6.bioreg.kyushu-u.ac.jp/M3/20110318/F50617/3111/1", 82.37)</f>
        <v>82.37</v>
      </c>
      <c r="E628" s="2">
        <v>76.17</v>
      </c>
      <c r="F628" s="2">
        <v>3</v>
      </c>
      <c r="G628" s="2" t="s">
        <v>10</v>
      </c>
      <c r="H628" s="2" t="s">
        <v>4910</v>
      </c>
    </row>
    <row r="629" spans="1:9" x14ac:dyDescent="0.2">
      <c r="A629" s="2" t="s">
        <v>3745</v>
      </c>
      <c r="B629" s="2" t="s">
        <v>751</v>
      </c>
      <c r="C629" s="2">
        <v>1062.2080000000001</v>
      </c>
      <c r="D629" s="2">
        <f>HYPERLINK("http://mcb-m6.bioreg.kyushu-u.ac.jp/M3/20110318/F50616/3439/1", 96.67)</f>
        <v>96.67</v>
      </c>
      <c r="E629" s="2">
        <v>84.38</v>
      </c>
      <c r="F629" s="2">
        <v>3</v>
      </c>
      <c r="G629" s="2" t="s">
        <v>10</v>
      </c>
    </row>
    <row r="630" spans="1:9" x14ac:dyDescent="0.2">
      <c r="A630" s="2" t="s">
        <v>3745</v>
      </c>
      <c r="B630" s="2" t="s">
        <v>751</v>
      </c>
      <c r="C630" s="2">
        <v>1061.56</v>
      </c>
      <c r="D630" s="2">
        <f>HYPERLINK("http://mcb-m6.bioreg.kyushu-u.ac.jp/M3/20110318/F50616/3438/1", 101.85)</f>
        <v>101.85</v>
      </c>
      <c r="E630" s="2">
        <v>91.89</v>
      </c>
      <c r="F630" s="2">
        <v>3</v>
      </c>
      <c r="G630" s="2" t="s">
        <v>10</v>
      </c>
    </row>
    <row r="631" spans="1:9" x14ac:dyDescent="0.2">
      <c r="A631" s="2" t="s">
        <v>3745</v>
      </c>
      <c r="B631" s="2" t="s">
        <v>751</v>
      </c>
      <c r="C631" s="2">
        <v>1067.4970000000001</v>
      </c>
      <c r="D631" s="2">
        <f>HYPERLINK("http://mcb-m6.bioreg.kyushu-u.ac.jp/M3/20110429/F51157/3987/1", 37.03)</f>
        <v>37.03</v>
      </c>
      <c r="E631" s="2">
        <v>29.54</v>
      </c>
      <c r="F631" s="2">
        <v>3</v>
      </c>
      <c r="G631" s="2" t="s">
        <v>13</v>
      </c>
      <c r="H631" s="2" t="s">
        <v>4910</v>
      </c>
    </row>
    <row r="632" spans="1:9" x14ac:dyDescent="0.2">
      <c r="A632" s="2" t="s">
        <v>3745</v>
      </c>
      <c r="B632" s="2" t="s">
        <v>751</v>
      </c>
      <c r="C632" s="2">
        <v>1062.0899999999999</v>
      </c>
      <c r="D632" s="2">
        <f>HYPERLINK("http://mcb-m6.bioreg.kyushu-u.ac.jp/M3/20110429/F51157/3984/1", 84.69)</f>
        <v>84.69</v>
      </c>
      <c r="E632" s="2">
        <v>69.849999999999994</v>
      </c>
      <c r="F632" s="2">
        <v>3</v>
      </c>
      <c r="G632" s="2" t="s">
        <v>13</v>
      </c>
    </row>
    <row r="633" spans="1:9" x14ac:dyDescent="0.2">
      <c r="A633" s="2" t="s">
        <v>3745</v>
      </c>
      <c r="B633" s="2" t="s">
        <v>751</v>
      </c>
      <c r="C633" s="2">
        <v>1062.271</v>
      </c>
      <c r="D633" s="2">
        <f>HYPERLINK("http://mcb-m6.bioreg.kyushu-u.ac.jp/M3/20110502/F51160/3405/1", 69.18)</f>
        <v>69.180000000000007</v>
      </c>
      <c r="E633" s="2">
        <v>61.55</v>
      </c>
      <c r="F633" s="2">
        <v>3</v>
      </c>
      <c r="G633" s="2" t="s">
        <v>14</v>
      </c>
    </row>
    <row r="634" spans="1:9" x14ac:dyDescent="0.2">
      <c r="A634" s="2" t="s">
        <v>3737</v>
      </c>
      <c r="B634" s="2" t="s">
        <v>739</v>
      </c>
      <c r="C634" s="2">
        <v>566.73860000000002</v>
      </c>
      <c r="D634" s="2">
        <f>HYPERLINK("http://mcb-m6.bioreg.kyushu-u.ac.jp/M3/20110318/F50621/1152/1", 46.88)</f>
        <v>46.88</v>
      </c>
      <c r="E634" s="2">
        <v>29.32</v>
      </c>
      <c r="F634" s="2">
        <v>2</v>
      </c>
      <c r="G634" s="2" t="s">
        <v>9</v>
      </c>
    </row>
    <row r="635" spans="1:9" x14ac:dyDescent="0.2">
      <c r="A635" s="2" t="s">
        <v>3737</v>
      </c>
      <c r="B635" s="2" t="s">
        <v>739</v>
      </c>
      <c r="C635" s="2">
        <v>566.79669999999999</v>
      </c>
      <c r="D635" s="2">
        <f>HYPERLINK("http://mcb-m6.bioreg.kyushu-u.ac.jp/M3/20110318/F50620/1132/1", 60.79)</f>
        <v>60.79</v>
      </c>
      <c r="E635" s="2">
        <v>37.4</v>
      </c>
      <c r="F635" s="2">
        <v>2</v>
      </c>
      <c r="G635" s="2" t="s">
        <v>9</v>
      </c>
    </row>
    <row r="636" spans="1:9" x14ac:dyDescent="0.2">
      <c r="A636" s="2" t="s">
        <v>3737</v>
      </c>
      <c r="B636" s="2" t="s">
        <v>739</v>
      </c>
      <c r="C636" s="2">
        <v>566.6902</v>
      </c>
      <c r="D636" s="2">
        <f>HYPERLINK("http://mcb-m6.bioreg.kyushu-u.ac.jp/M3/20110318/F50620/1129/1", 75.5)</f>
        <v>75.5</v>
      </c>
      <c r="E636" s="2">
        <v>50.19</v>
      </c>
      <c r="F636" s="2">
        <v>2</v>
      </c>
      <c r="G636" s="2" t="s">
        <v>9</v>
      </c>
    </row>
    <row r="637" spans="1:9" x14ac:dyDescent="0.2">
      <c r="A637" s="2" t="s">
        <v>3737</v>
      </c>
      <c r="B637" s="2" t="s">
        <v>1681</v>
      </c>
      <c r="C637" s="2">
        <v>1275.3699999999999</v>
      </c>
      <c r="D637" s="2">
        <f>HYPERLINK("http://mcb-m6.bioreg.kyushu-u.ac.jp/M3/20110318/F50620/3130/1", 114.44)</f>
        <v>114.44</v>
      </c>
      <c r="E637" s="2">
        <v>102.44</v>
      </c>
      <c r="F637" s="2">
        <v>2</v>
      </c>
      <c r="G637" s="2" t="s">
        <v>9</v>
      </c>
      <c r="I637" s="2" t="s">
        <v>4890</v>
      </c>
    </row>
    <row r="638" spans="1:9" x14ac:dyDescent="0.2">
      <c r="A638" s="2" t="s">
        <v>3737</v>
      </c>
      <c r="B638" s="2" t="s">
        <v>1681</v>
      </c>
      <c r="C638" s="2">
        <v>1275.8789999999999</v>
      </c>
      <c r="D638" s="2">
        <f>HYPERLINK("http://mcb-m6.bioreg.kyushu-u.ac.jp/M3/20110318/F50620/3132/1", 130.61)</f>
        <v>130.61000000000001</v>
      </c>
      <c r="E638" s="2">
        <v>115.22</v>
      </c>
      <c r="F638" s="2">
        <v>2</v>
      </c>
      <c r="G638" s="2" t="s">
        <v>9</v>
      </c>
      <c r="I638" s="2" t="s">
        <v>4890</v>
      </c>
    </row>
    <row r="639" spans="1:9" x14ac:dyDescent="0.2">
      <c r="A639" s="2" t="s">
        <v>3737</v>
      </c>
      <c r="B639" s="2" t="s">
        <v>739</v>
      </c>
      <c r="C639" s="2">
        <v>566.70920000000001</v>
      </c>
      <c r="D639" s="2">
        <f>HYPERLINK("http://mcb-m6.bioreg.kyushu-u.ac.jp/M3/20110318/F50616/1125/1", 39.55)</f>
        <v>39.549999999999997</v>
      </c>
      <c r="E639" s="2">
        <v>10.5</v>
      </c>
      <c r="F639" s="2">
        <v>2</v>
      </c>
      <c r="G639" s="2" t="s">
        <v>10</v>
      </c>
    </row>
    <row r="640" spans="1:9" x14ac:dyDescent="0.2">
      <c r="A640" s="2" t="s">
        <v>3737</v>
      </c>
      <c r="B640" s="2" t="s">
        <v>739</v>
      </c>
      <c r="C640" s="2">
        <v>566.91219999999998</v>
      </c>
      <c r="D640" s="2">
        <f>HYPERLINK("http://mcb-m6.bioreg.kyushu-u.ac.jp/M3/20110318/F50598/1206/1", 48.81)</f>
        <v>48.81</v>
      </c>
      <c r="E640" s="2">
        <v>27.66</v>
      </c>
      <c r="F640" s="2">
        <v>2</v>
      </c>
      <c r="G640" s="2" t="s">
        <v>10</v>
      </c>
    </row>
    <row r="641" spans="1:7" x14ac:dyDescent="0.2">
      <c r="A641" s="2" t="s">
        <v>3737</v>
      </c>
      <c r="B641" s="2" t="s">
        <v>739</v>
      </c>
      <c r="C641" s="2">
        <v>567.11220000000003</v>
      </c>
      <c r="D641" s="2">
        <f>HYPERLINK("http://mcb-m6.bioreg.kyushu-u.ac.jp/M3/20110318/F50596/1168/1", 51.36)</f>
        <v>51.36</v>
      </c>
      <c r="E641" s="2">
        <v>27.31</v>
      </c>
      <c r="F641" s="2">
        <v>2</v>
      </c>
      <c r="G641" s="2" t="s">
        <v>10</v>
      </c>
    </row>
    <row r="642" spans="1:7" x14ac:dyDescent="0.2">
      <c r="A642" s="2" t="s">
        <v>3737</v>
      </c>
      <c r="B642" s="2" t="s">
        <v>739</v>
      </c>
      <c r="C642" s="2">
        <v>567.20169999999996</v>
      </c>
      <c r="D642" s="2">
        <f>HYPERLINK("http://mcb-m6.bioreg.kyushu-u.ac.jp/M3/20110318/F50617/1155/1", 53.7)</f>
        <v>53.7</v>
      </c>
      <c r="E642" s="2">
        <v>28.6</v>
      </c>
      <c r="F642" s="2">
        <v>2</v>
      </c>
      <c r="G642" s="2" t="s">
        <v>10</v>
      </c>
    </row>
    <row r="643" spans="1:7" x14ac:dyDescent="0.2">
      <c r="A643" s="2" t="s">
        <v>3737</v>
      </c>
      <c r="B643" s="2" t="s">
        <v>739</v>
      </c>
      <c r="C643" s="2">
        <v>566.82169999999996</v>
      </c>
      <c r="D643" s="2">
        <f>HYPERLINK("http://mcb-m6.bioreg.kyushu-u.ac.jp/M3/20110318/F50599/1310/1", 54.92)</f>
        <v>54.92</v>
      </c>
      <c r="E643" s="2">
        <v>30.5</v>
      </c>
      <c r="F643" s="2">
        <v>2</v>
      </c>
      <c r="G643" s="2" t="s">
        <v>10</v>
      </c>
    </row>
    <row r="644" spans="1:7" x14ac:dyDescent="0.2">
      <c r="A644" s="2" t="s">
        <v>3737</v>
      </c>
      <c r="B644" s="2" t="s">
        <v>739</v>
      </c>
      <c r="C644" s="2">
        <v>566.87570000000005</v>
      </c>
      <c r="D644" s="2">
        <f>HYPERLINK("http://mcb-m6.bioreg.kyushu-u.ac.jp/M3/20110318/F50616/1128/1", 60.07)</f>
        <v>60.07</v>
      </c>
      <c r="E644" s="2">
        <v>38.08</v>
      </c>
      <c r="F644" s="2">
        <v>2</v>
      </c>
      <c r="G644" s="2" t="s">
        <v>10</v>
      </c>
    </row>
    <row r="645" spans="1:7" x14ac:dyDescent="0.2">
      <c r="A645" s="2" t="s">
        <v>3737</v>
      </c>
      <c r="B645" s="2" t="s">
        <v>739</v>
      </c>
      <c r="C645" s="2">
        <v>566.94669999999996</v>
      </c>
      <c r="D645" s="2">
        <f>HYPERLINK("http://mcb-m6.bioreg.kyushu-u.ac.jp/M3/20110318/F50597/1059/1", 70.04)</f>
        <v>70.040000000000006</v>
      </c>
      <c r="E645" s="2">
        <v>47.32</v>
      </c>
      <c r="F645" s="2">
        <v>2</v>
      </c>
      <c r="G645" s="2" t="s">
        <v>10</v>
      </c>
    </row>
    <row r="646" spans="1:7" x14ac:dyDescent="0.2">
      <c r="A646" s="2" t="s">
        <v>3737</v>
      </c>
      <c r="B646" s="2" t="s">
        <v>739</v>
      </c>
      <c r="C646" s="2">
        <v>566.69370000000004</v>
      </c>
      <c r="D646" s="2">
        <f>HYPERLINK("http://mcb-m6.bioreg.kyushu-u.ac.jp/M3/20110318/F50617/1152/1", 75.41)</f>
        <v>75.41</v>
      </c>
      <c r="E646" s="2">
        <v>46.43</v>
      </c>
      <c r="F646" s="2">
        <v>2</v>
      </c>
      <c r="G646" s="2" t="s">
        <v>10</v>
      </c>
    </row>
    <row r="647" spans="1:7" x14ac:dyDescent="0.2">
      <c r="A647" s="2" t="s">
        <v>3737</v>
      </c>
      <c r="B647" s="2" t="s">
        <v>739</v>
      </c>
      <c r="C647" s="2">
        <v>1132.491</v>
      </c>
      <c r="D647" s="2">
        <f>HYPERLINK("http://mcb-m6.bioreg.kyushu-u.ac.jp/M3/20110418/F50996/1358/1", 37.06)</f>
        <v>37.06</v>
      </c>
      <c r="E647" s="2">
        <v>24.65</v>
      </c>
      <c r="F647" s="2">
        <v>1</v>
      </c>
      <c r="G647" s="2" t="s">
        <v>11</v>
      </c>
    </row>
    <row r="648" spans="1:7" x14ac:dyDescent="0.2">
      <c r="A648" s="2" t="s">
        <v>3737</v>
      </c>
      <c r="B648" s="2" t="s">
        <v>739</v>
      </c>
      <c r="C648" s="2">
        <v>566.65470000000005</v>
      </c>
      <c r="D648" s="2">
        <f>HYPERLINK("http://mcb-m6.bioreg.kyushu-u.ac.jp/M3/20110418/F50975/1066/1", 39.13)</f>
        <v>39.130000000000003</v>
      </c>
      <c r="E648" s="2">
        <v>22.11</v>
      </c>
      <c r="F648" s="2">
        <v>2</v>
      </c>
      <c r="G648" s="2" t="s">
        <v>11</v>
      </c>
    </row>
    <row r="649" spans="1:7" x14ac:dyDescent="0.2">
      <c r="A649" s="2" t="s">
        <v>3737</v>
      </c>
      <c r="B649" s="2" t="s">
        <v>739</v>
      </c>
      <c r="C649" s="2">
        <v>567.05820000000006</v>
      </c>
      <c r="D649" s="2">
        <f>HYPERLINK("http://mcb-m6.bioreg.kyushu-u.ac.jp/M3/20110418/F50974/1259/1", 42.64)</f>
        <v>42.64</v>
      </c>
      <c r="E649" s="2">
        <v>24.3</v>
      </c>
      <c r="F649" s="2">
        <v>2</v>
      </c>
      <c r="G649" s="2" t="s">
        <v>11</v>
      </c>
    </row>
    <row r="650" spans="1:7" x14ac:dyDescent="0.2">
      <c r="A650" s="2" t="s">
        <v>3737</v>
      </c>
      <c r="B650" s="2" t="s">
        <v>739</v>
      </c>
      <c r="C650" s="2">
        <v>566.63019999999995</v>
      </c>
      <c r="D650" s="2">
        <f>HYPERLINK("http://mcb-m6.bioreg.kyushu-u.ac.jp/M3/20110418/F50996/1352/1", 56.11)</f>
        <v>56.11</v>
      </c>
      <c r="E650" s="2">
        <v>23.66</v>
      </c>
      <c r="F650" s="2">
        <v>2</v>
      </c>
      <c r="G650" s="2" t="s">
        <v>11</v>
      </c>
    </row>
    <row r="651" spans="1:7" x14ac:dyDescent="0.2">
      <c r="A651" s="2" t="s">
        <v>3737</v>
      </c>
      <c r="B651" s="2" t="s">
        <v>739</v>
      </c>
      <c r="C651" s="2">
        <v>567.16020000000003</v>
      </c>
      <c r="D651" s="2">
        <f>HYPERLINK("http://mcb-m6.bioreg.kyushu-u.ac.jp/M3/20110418/F50975/1069/1", 59.93)</f>
        <v>59.93</v>
      </c>
      <c r="E651" s="2">
        <v>34.22</v>
      </c>
      <c r="F651" s="2">
        <v>2</v>
      </c>
      <c r="G651" s="2" t="s">
        <v>11</v>
      </c>
    </row>
    <row r="652" spans="1:7" x14ac:dyDescent="0.2">
      <c r="A652" s="2" t="s">
        <v>3737</v>
      </c>
      <c r="B652" s="2" t="s">
        <v>739</v>
      </c>
      <c r="C652" s="2">
        <v>567.16359999999997</v>
      </c>
      <c r="D652" s="2">
        <f>HYPERLINK("http://mcb-m6.bioreg.kyushu-u.ac.jp/M3/20110418/F50996/1363/1", 61.47)</f>
        <v>61.47</v>
      </c>
      <c r="E652" s="2">
        <v>31.12</v>
      </c>
      <c r="F652" s="2">
        <v>2</v>
      </c>
      <c r="G652" s="2" t="s">
        <v>11</v>
      </c>
    </row>
    <row r="653" spans="1:7" x14ac:dyDescent="0.2">
      <c r="A653" s="2" t="s">
        <v>3737</v>
      </c>
      <c r="B653" s="2" t="s">
        <v>739</v>
      </c>
      <c r="C653" s="2">
        <v>566.95719999999994</v>
      </c>
      <c r="D653" s="2">
        <f>HYPERLINK("http://mcb-m6.bioreg.kyushu-u.ac.jp/M3/20110418/F50996/1361/1", 62.54)</f>
        <v>62.54</v>
      </c>
      <c r="E653" s="2">
        <v>42.28</v>
      </c>
      <c r="F653" s="2">
        <v>2</v>
      </c>
      <c r="G653" s="2" t="s">
        <v>11</v>
      </c>
    </row>
    <row r="654" spans="1:7" x14ac:dyDescent="0.2">
      <c r="A654" s="2" t="s">
        <v>3737</v>
      </c>
      <c r="B654" s="2" t="s">
        <v>739</v>
      </c>
      <c r="C654" s="2">
        <v>567.16920000000005</v>
      </c>
      <c r="D654" s="2">
        <f>HYPERLINK("http://mcb-m6.bioreg.kyushu-u.ac.jp/M3/20110418/F50979/1527/1", 62.65)</f>
        <v>62.65</v>
      </c>
      <c r="E654" s="2">
        <v>40.18</v>
      </c>
      <c r="F654" s="2">
        <v>2</v>
      </c>
      <c r="G654" s="2" t="s">
        <v>11</v>
      </c>
    </row>
    <row r="655" spans="1:7" x14ac:dyDescent="0.2">
      <c r="A655" s="2" t="s">
        <v>3737</v>
      </c>
      <c r="B655" s="2" t="s">
        <v>739</v>
      </c>
      <c r="C655" s="2">
        <v>566.99270000000001</v>
      </c>
      <c r="D655" s="2">
        <f>HYPERLINK("http://mcb-m6.bioreg.kyushu-u.ac.jp/M3/20110418/F50996/1362/1", 64.94)</f>
        <v>64.94</v>
      </c>
      <c r="E655" s="2">
        <v>37.76</v>
      </c>
      <c r="F655" s="2">
        <v>2</v>
      </c>
      <c r="G655" s="2" t="s">
        <v>11</v>
      </c>
    </row>
    <row r="656" spans="1:7" x14ac:dyDescent="0.2">
      <c r="A656" s="2" t="s">
        <v>3737</v>
      </c>
      <c r="B656" s="2" t="s">
        <v>739</v>
      </c>
      <c r="C656" s="2">
        <v>566.57619999999997</v>
      </c>
      <c r="D656" s="2">
        <f>HYPERLINK("http://mcb-m6.bioreg.kyushu-u.ac.jp/M3/20110418/F50999/1451/1", 68.19)</f>
        <v>68.19</v>
      </c>
      <c r="E656" s="2">
        <v>42.44</v>
      </c>
      <c r="F656" s="2">
        <v>2</v>
      </c>
      <c r="G656" s="2" t="s">
        <v>11</v>
      </c>
    </row>
    <row r="657" spans="1:7" x14ac:dyDescent="0.2">
      <c r="A657" s="2" t="s">
        <v>3737</v>
      </c>
      <c r="B657" s="2" t="s">
        <v>739</v>
      </c>
      <c r="C657" s="2">
        <v>566.94870000000003</v>
      </c>
      <c r="D657" s="2">
        <f>HYPERLINK("http://mcb-m6.bioreg.kyushu-u.ac.jp/M3/20110418/F50996/1360/1", 72.65)</f>
        <v>72.650000000000006</v>
      </c>
      <c r="E657" s="2">
        <v>48.59</v>
      </c>
      <c r="F657" s="2">
        <v>2</v>
      </c>
      <c r="G657" s="2" t="s">
        <v>11</v>
      </c>
    </row>
    <row r="658" spans="1:7" x14ac:dyDescent="0.2">
      <c r="A658" s="2" t="s">
        <v>3737</v>
      </c>
      <c r="B658" s="2" t="s">
        <v>739</v>
      </c>
      <c r="C658" s="2">
        <v>566.66110000000003</v>
      </c>
      <c r="D658" s="2">
        <f>HYPERLINK("http://mcb-m6.bioreg.kyushu-u.ac.jp/M3/20110418/F50997/1345/1", 38.43)</f>
        <v>38.43</v>
      </c>
      <c r="E658" s="2">
        <v>16.510000000000002</v>
      </c>
      <c r="F658" s="2">
        <v>2</v>
      </c>
      <c r="G658" s="2" t="s">
        <v>12</v>
      </c>
    </row>
    <row r="659" spans="1:7" x14ac:dyDescent="0.2">
      <c r="A659" s="2" t="s">
        <v>3737</v>
      </c>
      <c r="B659" s="2" t="s">
        <v>739</v>
      </c>
      <c r="C659" s="2">
        <v>566.70510000000002</v>
      </c>
      <c r="D659" s="2">
        <f>HYPERLINK("http://mcb-m6.bioreg.kyushu-u.ac.jp/M3/20110418/F50997/1347/1", 39.57)</f>
        <v>39.57</v>
      </c>
      <c r="E659" s="2">
        <v>21.63</v>
      </c>
      <c r="F659" s="2">
        <v>2</v>
      </c>
      <c r="G659" s="2" t="s">
        <v>12</v>
      </c>
    </row>
    <row r="660" spans="1:7" x14ac:dyDescent="0.2">
      <c r="A660" s="2" t="s">
        <v>3737</v>
      </c>
      <c r="B660" s="2" t="s">
        <v>739</v>
      </c>
      <c r="C660" s="2">
        <v>566.8741</v>
      </c>
      <c r="D660" s="2">
        <f>HYPERLINK("http://mcb-m6.bioreg.kyushu-u.ac.jp/M3/20110418/F50997/1352/1", 40.02)</f>
        <v>40.020000000000003</v>
      </c>
      <c r="E660" s="2">
        <v>22.03</v>
      </c>
      <c r="F660" s="2">
        <v>2</v>
      </c>
      <c r="G660" s="2" t="s">
        <v>12</v>
      </c>
    </row>
    <row r="661" spans="1:7" x14ac:dyDescent="0.2">
      <c r="A661" s="2" t="s">
        <v>3737</v>
      </c>
      <c r="B661" s="2" t="s">
        <v>739</v>
      </c>
      <c r="C661" s="2">
        <v>566.73170000000005</v>
      </c>
      <c r="D661" s="2">
        <f>HYPERLINK("http://mcb-m6.bioreg.kyushu-u.ac.jp/M3/20110418/F50997/1349/1", 46.07)</f>
        <v>46.07</v>
      </c>
      <c r="E661" s="2">
        <v>25.22</v>
      </c>
      <c r="F661" s="2">
        <v>2</v>
      </c>
      <c r="G661" s="2" t="s">
        <v>12</v>
      </c>
    </row>
    <row r="662" spans="1:7" x14ac:dyDescent="0.2">
      <c r="A662" s="2" t="s">
        <v>3737</v>
      </c>
      <c r="B662" s="2" t="s">
        <v>739</v>
      </c>
      <c r="C662" s="2">
        <v>566.74869999999999</v>
      </c>
      <c r="D662" s="2">
        <f>HYPERLINK("http://mcb-m6.bioreg.kyushu-u.ac.jp/M3/20110418/F50989/1627/1", 58.42)</f>
        <v>58.42</v>
      </c>
      <c r="E662" s="2">
        <v>31.63</v>
      </c>
      <c r="F662" s="2">
        <v>2</v>
      </c>
      <c r="G662" s="2" t="s">
        <v>12</v>
      </c>
    </row>
    <row r="663" spans="1:7" x14ac:dyDescent="0.2">
      <c r="A663" s="2" t="s">
        <v>3737</v>
      </c>
      <c r="B663" s="2" t="s">
        <v>739</v>
      </c>
      <c r="C663" s="2">
        <v>566.69209999999998</v>
      </c>
      <c r="D663" s="2">
        <f>HYPERLINK("http://mcb-m6.bioreg.kyushu-u.ac.jp/M3/20110418/F50997/1346/1", 72.39)</f>
        <v>72.39</v>
      </c>
      <c r="E663" s="2">
        <v>48.57</v>
      </c>
      <c r="F663" s="2">
        <v>2</v>
      </c>
      <c r="G663" s="2" t="s">
        <v>12</v>
      </c>
    </row>
    <row r="664" spans="1:7" x14ac:dyDescent="0.2">
      <c r="A664" s="2" t="s">
        <v>3737</v>
      </c>
      <c r="B664" s="2" t="s">
        <v>739</v>
      </c>
      <c r="C664" s="2">
        <v>566.64319999999998</v>
      </c>
      <c r="D664" s="2">
        <f>HYPERLINK("http://mcb-m6.bioreg.kyushu-u.ac.jp/M3/20110418/F50997/1344/1", 75.6)</f>
        <v>75.599999999999994</v>
      </c>
      <c r="E664" s="2">
        <v>47.85</v>
      </c>
      <c r="F664" s="2">
        <v>2</v>
      </c>
      <c r="G664" s="2" t="s">
        <v>12</v>
      </c>
    </row>
    <row r="665" spans="1:7" x14ac:dyDescent="0.2">
      <c r="A665" s="2" t="s">
        <v>3737</v>
      </c>
      <c r="B665" s="2" t="s">
        <v>739</v>
      </c>
      <c r="C665" s="2">
        <v>1132.52</v>
      </c>
      <c r="D665" s="2">
        <f>HYPERLINK("http://mcb-m6.bioreg.kyushu-u.ac.jp/M3/20110429/F51157/870/1", 39.24)</f>
        <v>39.24</v>
      </c>
      <c r="E665" s="2">
        <v>26.47</v>
      </c>
      <c r="F665" s="2">
        <v>1</v>
      </c>
      <c r="G665" s="2" t="s">
        <v>13</v>
      </c>
    </row>
    <row r="666" spans="1:7" x14ac:dyDescent="0.2">
      <c r="A666" s="2" t="s">
        <v>3737</v>
      </c>
      <c r="B666" s="2" t="s">
        <v>739</v>
      </c>
      <c r="C666" s="2">
        <v>566.75819999999999</v>
      </c>
      <c r="D666" s="2">
        <f>HYPERLINK("http://mcb-m6.bioreg.kyushu-u.ac.jp/M3/20110429/F51157/869/1", 46.25)</f>
        <v>46.25</v>
      </c>
      <c r="E666" s="2">
        <v>30.33</v>
      </c>
      <c r="F666" s="2">
        <v>2</v>
      </c>
      <c r="G666" s="2" t="s">
        <v>13</v>
      </c>
    </row>
    <row r="667" spans="1:7" x14ac:dyDescent="0.2">
      <c r="A667" s="2" t="s">
        <v>3737</v>
      </c>
      <c r="B667" s="2" t="s">
        <v>739</v>
      </c>
      <c r="C667" s="2">
        <v>566.71510000000001</v>
      </c>
      <c r="D667" s="2">
        <f>HYPERLINK("http://mcb-m6.bioreg.kyushu-u.ac.jp/M3/20110429/F51157/867/1", 49.13)</f>
        <v>49.13</v>
      </c>
      <c r="E667" s="2">
        <v>32.61</v>
      </c>
      <c r="F667" s="2">
        <v>2</v>
      </c>
      <c r="G667" s="2" t="s">
        <v>13</v>
      </c>
    </row>
    <row r="668" spans="1:7" x14ac:dyDescent="0.2">
      <c r="A668" s="2" t="s">
        <v>3737</v>
      </c>
      <c r="B668" s="2" t="s">
        <v>739</v>
      </c>
      <c r="C668" s="2">
        <v>567.13019999999995</v>
      </c>
      <c r="D668" s="2">
        <f>HYPERLINK("http://mcb-m6.bioreg.kyushu-u.ac.jp/M3/20110429/F51157/879/1", 51.91)</f>
        <v>51.91</v>
      </c>
      <c r="E668" s="2">
        <v>34.24</v>
      </c>
      <c r="F668" s="2">
        <v>2</v>
      </c>
      <c r="G668" s="2" t="s">
        <v>13</v>
      </c>
    </row>
    <row r="669" spans="1:7" x14ac:dyDescent="0.2">
      <c r="A669" s="2" t="s">
        <v>3737</v>
      </c>
      <c r="B669" s="2" t="s">
        <v>739</v>
      </c>
      <c r="C669" s="2">
        <v>566.77260000000001</v>
      </c>
      <c r="D669" s="2">
        <f>HYPERLINK("http://mcb-m6.bioreg.kyushu-u.ac.jp/M3/20110429/F51157/871/1", 64.49)</f>
        <v>64.489999999999995</v>
      </c>
      <c r="E669" s="2">
        <v>41.19</v>
      </c>
      <c r="F669" s="2">
        <v>2</v>
      </c>
      <c r="G669" s="2" t="s">
        <v>13</v>
      </c>
    </row>
    <row r="670" spans="1:7" x14ac:dyDescent="0.2">
      <c r="A670" s="2" t="s">
        <v>3737</v>
      </c>
      <c r="B670" s="2" t="s">
        <v>739</v>
      </c>
      <c r="C670" s="2">
        <v>566.87459999999999</v>
      </c>
      <c r="D670" s="2">
        <f>HYPERLINK("http://mcb-m6.bioreg.kyushu-u.ac.jp/M3/20110502/F51158/1038/1", 65.45)</f>
        <v>65.45</v>
      </c>
      <c r="E670" s="2">
        <v>45.86</v>
      </c>
      <c r="F670" s="2">
        <v>2</v>
      </c>
      <c r="G670" s="2" t="s">
        <v>13</v>
      </c>
    </row>
    <row r="671" spans="1:7" x14ac:dyDescent="0.2">
      <c r="A671" s="2" t="s">
        <v>3737</v>
      </c>
      <c r="B671" s="2" t="s">
        <v>739</v>
      </c>
      <c r="C671" s="2">
        <v>567.21870000000001</v>
      </c>
      <c r="D671" s="2">
        <f>HYPERLINK("http://mcb-m6.bioreg.kyushu-u.ac.jp/M3/20110429/F51157/880/1", 67.26)</f>
        <v>67.260000000000005</v>
      </c>
      <c r="E671" s="2">
        <v>44.66</v>
      </c>
      <c r="F671" s="2">
        <v>2</v>
      </c>
      <c r="G671" s="2" t="s">
        <v>13</v>
      </c>
    </row>
    <row r="672" spans="1:7" x14ac:dyDescent="0.2">
      <c r="A672" s="2" t="s">
        <v>3737</v>
      </c>
      <c r="B672" s="2" t="s">
        <v>739</v>
      </c>
      <c r="C672" s="2">
        <v>566.60419999999999</v>
      </c>
      <c r="D672" s="2">
        <f>HYPERLINK("http://mcb-m6.bioreg.kyushu-u.ac.jp/M3/20110429/F51151/1431/1", 72.45)</f>
        <v>72.45</v>
      </c>
      <c r="E672" s="2">
        <v>47.14</v>
      </c>
      <c r="F672" s="2">
        <v>2</v>
      </c>
      <c r="G672" s="2" t="s">
        <v>13</v>
      </c>
    </row>
    <row r="673" spans="1:9" x14ac:dyDescent="0.2">
      <c r="A673" s="2" t="s">
        <v>3737</v>
      </c>
      <c r="B673" s="2" t="s">
        <v>739</v>
      </c>
      <c r="C673" s="2">
        <v>566.5992</v>
      </c>
      <c r="D673" s="2">
        <f>HYPERLINK("http://mcb-m6.bioreg.kyushu-u.ac.jp/M3/20110429/F51157/866/1", 72.89)</f>
        <v>72.89</v>
      </c>
      <c r="E673" s="2">
        <v>48.77</v>
      </c>
      <c r="F673" s="2">
        <v>2</v>
      </c>
      <c r="G673" s="2" t="s">
        <v>13</v>
      </c>
    </row>
    <row r="674" spans="1:9" x14ac:dyDescent="0.2">
      <c r="A674" s="2" t="s">
        <v>3737</v>
      </c>
      <c r="B674" s="2" t="s">
        <v>1681</v>
      </c>
      <c r="C674" s="2">
        <v>1275.9159999999999</v>
      </c>
      <c r="D674" s="2">
        <f>HYPERLINK("http://mcb-m6.bioreg.kyushu-u.ac.jp/M3/20110429/F51157/3649/1", 107.32)</f>
        <v>107.32</v>
      </c>
      <c r="E674" s="2">
        <v>101.79</v>
      </c>
      <c r="F674" s="2">
        <v>2</v>
      </c>
      <c r="G674" s="2" t="s">
        <v>13</v>
      </c>
      <c r="I674" s="2" t="s">
        <v>4890</v>
      </c>
    </row>
    <row r="675" spans="1:9" x14ac:dyDescent="0.2">
      <c r="A675" s="2" t="s">
        <v>3737</v>
      </c>
      <c r="B675" s="2" t="s">
        <v>739</v>
      </c>
      <c r="C675" s="2">
        <v>567.1232</v>
      </c>
      <c r="D675" s="2">
        <f>HYPERLINK("http://mcb-m6.bioreg.kyushu-u.ac.jp/M3/20110502/F51160/1015/1", 36.23)</f>
        <v>36.229999999999997</v>
      </c>
      <c r="E675" s="2">
        <v>24.7</v>
      </c>
      <c r="F675" s="2">
        <v>2</v>
      </c>
      <c r="G675" s="2" t="s">
        <v>14</v>
      </c>
    </row>
    <row r="676" spans="1:9" x14ac:dyDescent="0.2">
      <c r="A676" s="2" t="s">
        <v>3737</v>
      </c>
      <c r="B676" s="2" t="s">
        <v>739</v>
      </c>
      <c r="C676" s="2">
        <v>1133.191</v>
      </c>
      <c r="D676" s="2">
        <f>HYPERLINK("http://mcb-m6.bioreg.kyushu-u.ac.jp/M3/20110502/F51160/1014/1", 38.47)</f>
        <v>38.47</v>
      </c>
      <c r="E676" s="2">
        <v>24.32</v>
      </c>
      <c r="F676" s="2">
        <v>1</v>
      </c>
      <c r="G676" s="2" t="s">
        <v>14</v>
      </c>
    </row>
    <row r="677" spans="1:9" x14ac:dyDescent="0.2">
      <c r="A677" s="2" t="s">
        <v>3737</v>
      </c>
      <c r="B677" s="2" t="s">
        <v>739</v>
      </c>
      <c r="C677" s="2">
        <v>566.94759999999997</v>
      </c>
      <c r="D677" s="2">
        <f>HYPERLINK("http://mcb-m6.bioreg.kyushu-u.ac.jp/M3/20110502/F51160/1012/1", 39.39)</f>
        <v>39.39</v>
      </c>
      <c r="E677" s="2">
        <v>17.96</v>
      </c>
      <c r="F677" s="2">
        <v>2</v>
      </c>
      <c r="G677" s="2" t="s">
        <v>14</v>
      </c>
    </row>
    <row r="678" spans="1:9" x14ac:dyDescent="0.2">
      <c r="A678" s="2" t="s">
        <v>3737</v>
      </c>
      <c r="B678" s="2" t="s">
        <v>739</v>
      </c>
      <c r="C678" s="2">
        <v>566.84169999999995</v>
      </c>
      <c r="D678" s="2">
        <f>HYPERLINK("http://mcb-m6.bioreg.kyushu-u.ac.jp/M3/20110502/F51159/1242/1", 40.72)</f>
        <v>40.72</v>
      </c>
      <c r="E678" s="2">
        <v>25.19</v>
      </c>
      <c r="F678" s="2">
        <v>2</v>
      </c>
      <c r="G678" s="2" t="s">
        <v>14</v>
      </c>
    </row>
    <row r="679" spans="1:9" x14ac:dyDescent="0.2">
      <c r="A679" s="2" t="s">
        <v>3737</v>
      </c>
      <c r="B679" s="2" t="s">
        <v>739</v>
      </c>
      <c r="C679" s="2">
        <v>566.83810000000005</v>
      </c>
      <c r="D679" s="2">
        <f>HYPERLINK("http://mcb-m6.bioreg.kyushu-u.ac.jp/M3/20110502/F51160/1010/1", 42.41)</f>
        <v>42.41</v>
      </c>
      <c r="E679" s="2">
        <v>28.69</v>
      </c>
      <c r="F679" s="2">
        <v>2</v>
      </c>
      <c r="G679" s="2" t="s">
        <v>14</v>
      </c>
    </row>
    <row r="680" spans="1:9" x14ac:dyDescent="0.2">
      <c r="A680" s="2" t="s">
        <v>3737</v>
      </c>
      <c r="B680" s="2" t="s">
        <v>739</v>
      </c>
      <c r="C680" s="2">
        <v>567.00459999999998</v>
      </c>
      <c r="D680" s="2">
        <f>HYPERLINK("http://mcb-m6.bioreg.kyushu-u.ac.jp/M3/20110502/F51159/1250/1", 43.3)</f>
        <v>43.3</v>
      </c>
      <c r="E680" s="2">
        <v>26.33</v>
      </c>
      <c r="F680" s="2">
        <v>2</v>
      </c>
      <c r="G680" s="2" t="s">
        <v>14</v>
      </c>
    </row>
    <row r="681" spans="1:9" x14ac:dyDescent="0.2">
      <c r="A681" s="2" t="s">
        <v>3737</v>
      </c>
      <c r="B681" s="2" t="s">
        <v>739</v>
      </c>
      <c r="C681" s="2">
        <v>566.73519999999996</v>
      </c>
      <c r="D681" s="2">
        <f>HYPERLINK("http://mcb-m6.bioreg.kyushu-u.ac.jp/M3/20110428/F51140/1131/1", 46.78)</f>
        <v>46.78</v>
      </c>
      <c r="E681" s="2">
        <v>26.31</v>
      </c>
      <c r="F681" s="2">
        <v>2</v>
      </c>
      <c r="G681" s="2" t="s">
        <v>14</v>
      </c>
    </row>
    <row r="682" spans="1:9" x14ac:dyDescent="0.2">
      <c r="A682" s="2" t="s">
        <v>3737</v>
      </c>
      <c r="B682" s="2" t="s">
        <v>739</v>
      </c>
      <c r="C682" s="2">
        <v>566.87660000000005</v>
      </c>
      <c r="D682" s="2">
        <f>HYPERLINK("http://mcb-m6.bioreg.kyushu-u.ac.jp/M3/20110502/F51160/1011/1", 56.53)</f>
        <v>56.53</v>
      </c>
      <c r="E682" s="2">
        <v>33.64</v>
      </c>
      <c r="F682" s="2">
        <v>2</v>
      </c>
      <c r="G682" s="2" t="s">
        <v>14</v>
      </c>
    </row>
    <row r="683" spans="1:9" x14ac:dyDescent="0.2">
      <c r="A683" s="2" t="s">
        <v>3737</v>
      </c>
      <c r="B683" s="2" t="s">
        <v>739</v>
      </c>
      <c r="C683" s="2">
        <v>566.96420000000001</v>
      </c>
      <c r="D683" s="2">
        <f>HYPERLINK("http://mcb-m6.bioreg.kyushu-u.ac.jp/M3/20110502/F51159/1247/1", 56.62)</f>
        <v>56.62</v>
      </c>
      <c r="E683" s="2">
        <v>37.86</v>
      </c>
      <c r="F683" s="2">
        <v>2</v>
      </c>
      <c r="G683" s="2" t="s">
        <v>14</v>
      </c>
    </row>
    <row r="684" spans="1:9" x14ac:dyDescent="0.2">
      <c r="A684" s="2" t="s">
        <v>3737</v>
      </c>
      <c r="B684" s="2" t="s">
        <v>739</v>
      </c>
      <c r="C684" s="2">
        <v>566.95920000000001</v>
      </c>
      <c r="D684" s="2">
        <f>HYPERLINK("http://mcb-m6.bioreg.kyushu-u.ac.jp/M3/20110502/F51159/1246/1", 75.38)</f>
        <v>75.38</v>
      </c>
      <c r="E684" s="2">
        <v>51.54</v>
      </c>
      <c r="F684" s="2">
        <v>2</v>
      </c>
      <c r="G684" s="2" t="s">
        <v>14</v>
      </c>
    </row>
    <row r="685" spans="1:9" x14ac:dyDescent="0.2">
      <c r="A685" s="2" t="s">
        <v>3737</v>
      </c>
      <c r="B685" s="2" t="s">
        <v>739</v>
      </c>
      <c r="C685" s="2">
        <v>566.88570000000004</v>
      </c>
      <c r="D685" s="2">
        <f>HYPERLINK("http://mcb-m6.bioreg.kyushu-u.ac.jp/M3/20110502/F51159/1244/1", 75.47)</f>
        <v>75.47</v>
      </c>
      <c r="E685" s="2">
        <v>50.35</v>
      </c>
      <c r="F685" s="2">
        <v>2</v>
      </c>
      <c r="G685" s="2" t="s">
        <v>14</v>
      </c>
    </row>
    <row r="686" spans="1:9" x14ac:dyDescent="0.2">
      <c r="A686" s="2" t="s">
        <v>3737</v>
      </c>
      <c r="B686" s="2" t="s">
        <v>739</v>
      </c>
      <c r="C686" s="2">
        <v>567.14120000000003</v>
      </c>
      <c r="D686" s="2">
        <f>HYPERLINK("http://mcb-m6.bioreg.kyushu-u.ac.jp/M3/20110502/F51160/1016/1", 84.04)</f>
        <v>84.04</v>
      </c>
      <c r="E686" s="2">
        <v>61.54</v>
      </c>
      <c r="F686" s="2">
        <v>2</v>
      </c>
      <c r="G686" s="2" t="s">
        <v>14</v>
      </c>
    </row>
    <row r="687" spans="1:9" x14ac:dyDescent="0.2">
      <c r="A687" s="2" t="s">
        <v>3737</v>
      </c>
      <c r="B687" s="2" t="s">
        <v>1681</v>
      </c>
      <c r="C687" s="2">
        <v>1275.9100000000001</v>
      </c>
      <c r="D687" s="2">
        <f>HYPERLINK("http://mcb-m6.bioreg.kyushu-u.ac.jp/M3/20110502/F51160/3199/1", 140.37)</f>
        <v>140.37</v>
      </c>
      <c r="E687" s="2">
        <v>132.69</v>
      </c>
      <c r="F687" s="2">
        <v>2</v>
      </c>
      <c r="G687" s="2" t="s">
        <v>14</v>
      </c>
      <c r="I687" s="2" t="s">
        <v>4890</v>
      </c>
    </row>
    <row r="688" spans="1:9" x14ac:dyDescent="0.2">
      <c r="A688" s="2" t="s">
        <v>3430</v>
      </c>
      <c r="B688" s="2" t="s">
        <v>238</v>
      </c>
      <c r="C688" s="2">
        <v>1088.5889999999999</v>
      </c>
      <c r="D688" s="2">
        <f>HYPERLINK("http://mcb-m6.bioreg.kyushu-u.ac.jp/M3/20110318/F50616/3459/1", 50.33)</f>
        <v>50.33</v>
      </c>
      <c r="E688" s="2">
        <v>32.020000000000003</v>
      </c>
      <c r="F688" s="2">
        <v>3</v>
      </c>
      <c r="G688" s="2" t="s">
        <v>10</v>
      </c>
      <c r="H688" s="2" t="s">
        <v>5897</v>
      </c>
      <c r="I688" s="2" t="s">
        <v>4913</v>
      </c>
    </row>
    <row r="689" spans="1:9" x14ac:dyDescent="0.2">
      <c r="A689" s="2" t="s">
        <v>3430</v>
      </c>
      <c r="B689" s="2" t="s">
        <v>238</v>
      </c>
      <c r="C689" s="2">
        <v>1083.5039999999999</v>
      </c>
      <c r="D689" s="2">
        <f>HYPERLINK("http://mcb-m6.bioreg.kyushu-u.ac.jp/M3/20110318/F50616/3457/1", 62.57)</f>
        <v>62.57</v>
      </c>
      <c r="E689" s="2">
        <v>50.52</v>
      </c>
      <c r="F689" s="2">
        <v>3</v>
      </c>
      <c r="G689" s="2" t="s">
        <v>10</v>
      </c>
      <c r="H689" s="2" t="s">
        <v>5894</v>
      </c>
      <c r="I689" s="2" t="s">
        <v>4913</v>
      </c>
    </row>
    <row r="690" spans="1:9" x14ac:dyDescent="0.2">
      <c r="A690" s="2" t="s">
        <v>3266</v>
      </c>
      <c r="B690" s="2" t="s">
        <v>46</v>
      </c>
      <c r="C690" s="2">
        <v>1953.7719999999999</v>
      </c>
      <c r="D690" s="2">
        <f>HYPERLINK("http://mcb-m6.bioreg.kyushu-u.ac.jp/M3/20110318/F50620/2449/1", 61.51)</f>
        <v>61.51</v>
      </c>
      <c r="E690" s="2">
        <v>7.25</v>
      </c>
      <c r="F690" s="2">
        <v>1</v>
      </c>
      <c r="G690" s="2" t="s">
        <v>9</v>
      </c>
    </row>
    <row r="691" spans="1:9" x14ac:dyDescent="0.2">
      <c r="A691" s="2" t="s">
        <v>3266</v>
      </c>
      <c r="B691" s="2" t="s">
        <v>46</v>
      </c>
      <c r="C691" s="2">
        <v>977.98109999999997</v>
      </c>
      <c r="D691" s="2">
        <f>HYPERLINK("http://mcb-m6.bioreg.kyushu-u.ac.jp/M3/20110318/F50610/2120/1", 62.96)</f>
        <v>62.96</v>
      </c>
      <c r="E691" s="2">
        <v>39.33</v>
      </c>
      <c r="F691" s="2">
        <v>2</v>
      </c>
      <c r="G691" s="2" t="s">
        <v>9</v>
      </c>
    </row>
    <row r="692" spans="1:9" x14ac:dyDescent="0.2">
      <c r="A692" s="2" t="s">
        <v>3266</v>
      </c>
      <c r="B692" s="2" t="s">
        <v>46</v>
      </c>
      <c r="C692" s="2">
        <v>977.83969999999999</v>
      </c>
      <c r="D692" s="2">
        <f>HYPERLINK("http://mcb-m6.bioreg.kyushu-u.ac.jp/M3/20110318/F50608/2140/1", 66.8)</f>
        <v>66.8</v>
      </c>
      <c r="E692" s="2">
        <v>43.25</v>
      </c>
      <c r="F692" s="2">
        <v>2</v>
      </c>
      <c r="G692" s="2" t="s">
        <v>9</v>
      </c>
    </row>
    <row r="693" spans="1:9" x14ac:dyDescent="0.2">
      <c r="A693" s="2" t="s">
        <v>3266</v>
      </c>
      <c r="B693" s="2" t="s">
        <v>46</v>
      </c>
      <c r="C693" s="2">
        <v>977.83920000000001</v>
      </c>
      <c r="D693" s="2">
        <f>HYPERLINK("http://mcb-m6.bioreg.kyushu-u.ac.jp/M3/20110318/F50620/2457/1", 68.93)</f>
        <v>68.930000000000007</v>
      </c>
      <c r="E693" s="2">
        <v>45.88</v>
      </c>
      <c r="F693" s="2">
        <v>2</v>
      </c>
      <c r="G693" s="2" t="s">
        <v>9</v>
      </c>
    </row>
    <row r="694" spans="1:9" x14ac:dyDescent="0.2">
      <c r="A694" s="2" t="s">
        <v>3266</v>
      </c>
      <c r="B694" s="2" t="s">
        <v>46</v>
      </c>
      <c r="C694" s="2">
        <v>977.32709999999997</v>
      </c>
      <c r="D694" s="2">
        <f>HYPERLINK("http://mcb-m6.bioreg.kyushu-u.ac.jp/M3/20110318/F50620/2448/1", 79.52)</f>
        <v>79.52</v>
      </c>
      <c r="E694" s="2">
        <v>50.64</v>
      </c>
      <c r="F694" s="2">
        <v>2</v>
      </c>
      <c r="G694" s="2" t="s">
        <v>9</v>
      </c>
    </row>
    <row r="695" spans="1:9" x14ac:dyDescent="0.2">
      <c r="A695" s="2" t="s">
        <v>3266</v>
      </c>
      <c r="B695" s="2" t="s">
        <v>46</v>
      </c>
      <c r="C695" s="2">
        <v>977.35770000000002</v>
      </c>
      <c r="D695" s="2">
        <f>HYPERLINK("http://mcb-m6.bioreg.kyushu-u.ac.jp/M3/20110318/F50618/2563/1", 90.14)</f>
        <v>90.14</v>
      </c>
      <c r="E695" s="2">
        <v>55.42</v>
      </c>
      <c r="F695" s="2">
        <v>2</v>
      </c>
      <c r="G695" s="2" t="s">
        <v>9</v>
      </c>
    </row>
    <row r="696" spans="1:9" x14ac:dyDescent="0.2">
      <c r="A696" s="2" t="s">
        <v>3266</v>
      </c>
      <c r="B696" s="2" t="s">
        <v>46</v>
      </c>
      <c r="C696" s="2">
        <v>977.56709999999998</v>
      </c>
      <c r="D696" s="2">
        <f>HYPERLINK("http://mcb-m6.bioreg.kyushu-u.ac.jp/M3/20110318/F50600/2197/1", 37.51)</f>
        <v>37.51</v>
      </c>
      <c r="E696" s="2">
        <v>27.85</v>
      </c>
      <c r="F696" s="2">
        <v>2</v>
      </c>
      <c r="G696" s="2" t="s">
        <v>10</v>
      </c>
    </row>
    <row r="697" spans="1:9" x14ac:dyDescent="0.2">
      <c r="A697" s="2" t="s">
        <v>3266</v>
      </c>
      <c r="B697" s="2" t="s">
        <v>46</v>
      </c>
      <c r="C697" s="2">
        <v>652.36379999999997</v>
      </c>
      <c r="D697" s="2">
        <f>HYPERLINK("http://mcb-m6.bioreg.kyushu-u.ac.jp/M3/20110318/F50597/2436/1", 48.16)</f>
        <v>48.16</v>
      </c>
      <c r="E697" s="2">
        <v>6.6</v>
      </c>
      <c r="F697" s="2">
        <v>3</v>
      </c>
      <c r="G697" s="2" t="s">
        <v>10</v>
      </c>
    </row>
    <row r="698" spans="1:9" x14ac:dyDescent="0.2">
      <c r="A698" s="2" t="s">
        <v>3266</v>
      </c>
      <c r="B698" s="2" t="s">
        <v>46</v>
      </c>
      <c r="C698" s="2">
        <v>977.80909999999994</v>
      </c>
      <c r="D698" s="2">
        <f>HYPERLINK("http://mcb-m6.bioreg.kyushu-u.ac.jp/M3/20110318/F50617/2258/1", 57.4)</f>
        <v>57.4</v>
      </c>
      <c r="E698" s="2">
        <v>29.05</v>
      </c>
      <c r="F698" s="2">
        <v>2</v>
      </c>
      <c r="G698" s="2" t="s">
        <v>10</v>
      </c>
    </row>
    <row r="699" spans="1:9" x14ac:dyDescent="0.2">
      <c r="A699" s="2" t="s">
        <v>3266</v>
      </c>
      <c r="B699" s="2" t="s">
        <v>46</v>
      </c>
      <c r="C699" s="2">
        <v>977.57209999999998</v>
      </c>
      <c r="D699" s="2">
        <f>HYPERLINK("http://mcb-m6.bioreg.kyushu-u.ac.jp/M3/20110318/F50616/2499/1", 66.69)</f>
        <v>66.69</v>
      </c>
      <c r="E699" s="2">
        <v>41.46</v>
      </c>
      <c r="F699" s="2">
        <v>2</v>
      </c>
      <c r="G699" s="2" t="s">
        <v>10</v>
      </c>
    </row>
    <row r="700" spans="1:9" x14ac:dyDescent="0.2">
      <c r="A700" s="2" t="s">
        <v>3266</v>
      </c>
      <c r="B700" s="2" t="s">
        <v>46</v>
      </c>
      <c r="C700" s="2">
        <v>977.38170000000002</v>
      </c>
      <c r="D700" s="2">
        <f>HYPERLINK("http://mcb-m6.bioreg.kyushu-u.ac.jp/M3/20110318/F50616/2496/1", 66.85)</f>
        <v>66.849999999999994</v>
      </c>
      <c r="E700" s="2">
        <v>37.75</v>
      </c>
      <c r="F700" s="2">
        <v>2</v>
      </c>
      <c r="G700" s="2" t="s">
        <v>10</v>
      </c>
    </row>
    <row r="701" spans="1:9" x14ac:dyDescent="0.2">
      <c r="A701" s="2" t="s">
        <v>3266</v>
      </c>
      <c r="B701" s="2" t="s">
        <v>46</v>
      </c>
      <c r="C701" s="2">
        <v>977.51819999999998</v>
      </c>
      <c r="D701" s="2">
        <f>HYPERLINK("http://mcb-m6.bioreg.kyushu-u.ac.jp/M3/20110318/F50599/2301/1", 67.53)</f>
        <v>67.53</v>
      </c>
      <c r="E701" s="2">
        <v>46.91</v>
      </c>
      <c r="F701" s="2">
        <v>2</v>
      </c>
      <c r="G701" s="2" t="s">
        <v>10</v>
      </c>
    </row>
    <row r="702" spans="1:9" x14ac:dyDescent="0.2">
      <c r="A702" s="2" t="s">
        <v>3266</v>
      </c>
      <c r="B702" s="2" t="s">
        <v>46</v>
      </c>
      <c r="C702" s="2">
        <v>1954.193</v>
      </c>
      <c r="D702" s="2">
        <f>HYPERLINK("http://mcb-m6.bioreg.kyushu-u.ac.jp/M3/20110318/F50616/2500/1", 76.81)</f>
        <v>76.81</v>
      </c>
      <c r="E702" s="2">
        <v>35.75</v>
      </c>
      <c r="F702" s="2">
        <v>1</v>
      </c>
      <c r="G702" s="2" t="s">
        <v>10</v>
      </c>
    </row>
    <row r="703" spans="1:9" x14ac:dyDescent="0.2">
      <c r="A703" s="2" t="s">
        <v>3266</v>
      </c>
      <c r="B703" s="2" t="s">
        <v>46</v>
      </c>
      <c r="C703" s="2">
        <v>977.28920000000005</v>
      </c>
      <c r="D703" s="2">
        <f>HYPERLINK("http://mcb-m6.bioreg.kyushu-u.ac.jp/M3/20110318/F50617/2250/1", 80.73)</f>
        <v>80.73</v>
      </c>
      <c r="E703" s="2">
        <v>50</v>
      </c>
      <c r="F703" s="2">
        <v>2</v>
      </c>
      <c r="G703" s="2" t="s">
        <v>10</v>
      </c>
    </row>
    <row r="704" spans="1:9" x14ac:dyDescent="0.2">
      <c r="A704" s="2" t="s">
        <v>3266</v>
      </c>
      <c r="B704" s="2" t="s">
        <v>46</v>
      </c>
      <c r="C704" s="2">
        <v>977.74720000000002</v>
      </c>
      <c r="D704" s="2">
        <f>HYPERLINK("http://mcb-m6.bioreg.kyushu-u.ac.jp/M3/20110318/F50597/2435/1", 86.4)</f>
        <v>86.4</v>
      </c>
      <c r="E704" s="2">
        <v>54.54</v>
      </c>
      <c r="F704" s="2">
        <v>2</v>
      </c>
      <c r="G704" s="2" t="s">
        <v>10</v>
      </c>
    </row>
    <row r="705" spans="1:7" x14ac:dyDescent="0.2">
      <c r="A705" s="2" t="s">
        <v>3266</v>
      </c>
      <c r="B705" s="2" t="s">
        <v>46</v>
      </c>
      <c r="C705" s="2">
        <v>977.38170000000002</v>
      </c>
      <c r="D705" s="2">
        <f>HYPERLINK("http://mcb-m6.bioreg.kyushu-u.ac.jp/M3/20110418/F50996/2931/1", 50.82)</f>
        <v>50.82</v>
      </c>
      <c r="E705" s="2">
        <v>32.01</v>
      </c>
      <c r="F705" s="2">
        <v>2</v>
      </c>
      <c r="G705" s="2" t="s">
        <v>11</v>
      </c>
    </row>
    <row r="706" spans="1:7" x14ac:dyDescent="0.2">
      <c r="A706" s="2" t="s">
        <v>3266</v>
      </c>
      <c r="B706" s="2" t="s">
        <v>46</v>
      </c>
      <c r="C706" s="2">
        <v>977.90309999999999</v>
      </c>
      <c r="D706" s="2">
        <f>HYPERLINK("http://mcb-m6.bioreg.kyushu-u.ac.jp/M3/20110418/F50996/2942/1", 51.06)</f>
        <v>51.06</v>
      </c>
      <c r="E706" s="2">
        <v>35.28</v>
      </c>
      <c r="F706" s="2">
        <v>2</v>
      </c>
      <c r="G706" s="2" t="s">
        <v>11</v>
      </c>
    </row>
    <row r="707" spans="1:7" x14ac:dyDescent="0.2">
      <c r="A707" s="2" t="s">
        <v>3266</v>
      </c>
      <c r="B707" s="2" t="s">
        <v>46</v>
      </c>
      <c r="C707" s="2">
        <v>977.38120000000004</v>
      </c>
      <c r="D707" s="2">
        <f>HYPERLINK("http://mcb-m6.bioreg.kyushu-u.ac.jp/M3/20110418/F50974/3164/1", 52.96)</f>
        <v>52.96</v>
      </c>
      <c r="E707" s="2">
        <v>36.94</v>
      </c>
      <c r="F707" s="2">
        <v>2</v>
      </c>
      <c r="G707" s="2" t="s">
        <v>11</v>
      </c>
    </row>
    <row r="708" spans="1:7" x14ac:dyDescent="0.2">
      <c r="A708" s="2" t="s">
        <v>3266</v>
      </c>
      <c r="B708" s="2" t="s">
        <v>46</v>
      </c>
      <c r="C708" s="2">
        <v>977.47360000000003</v>
      </c>
      <c r="D708" s="2">
        <f>HYPERLINK("http://mcb-m6.bioreg.kyushu-u.ac.jp/M3/20110418/F50974/3165/1", 57.92)</f>
        <v>57.92</v>
      </c>
      <c r="E708" s="2">
        <v>36.950000000000003</v>
      </c>
      <c r="F708" s="2">
        <v>2</v>
      </c>
      <c r="G708" s="2" t="s">
        <v>11</v>
      </c>
    </row>
    <row r="709" spans="1:7" x14ac:dyDescent="0.2">
      <c r="A709" s="2" t="s">
        <v>3266</v>
      </c>
      <c r="B709" s="2" t="s">
        <v>46</v>
      </c>
      <c r="C709" s="2">
        <v>977.94169999999997</v>
      </c>
      <c r="D709" s="2">
        <f>HYPERLINK("http://mcb-m6.bioreg.kyushu-u.ac.jp/M3/20110418/F50974/3169/1", 59.24)</f>
        <v>59.24</v>
      </c>
      <c r="E709" s="2">
        <v>34.6</v>
      </c>
      <c r="F709" s="2">
        <v>2</v>
      </c>
      <c r="G709" s="2" t="s">
        <v>11</v>
      </c>
    </row>
    <row r="710" spans="1:7" x14ac:dyDescent="0.2">
      <c r="A710" s="2" t="s">
        <v>3266</v>
      </c>
      <c r="B710" s="2" t="s">
        <v>46</v>
      </c>
      <c r="C710" s="2">
        <v>977.35469999999998</v>
      </c>
      <c r="D710" s="2">
        <f>HYPERLINK("http://mcb-m6.bioreg.kyushu-u.ac.jp/M3/20110418/F50996/2930/1", 61.29)</f>
        <v>61.29</v>
      </c>
      <c r="E710" s="2">
        <v>39.049999999999997</v>
      </c>
      <c r="F710" s="2">
        <v>2</v>
      </c>
      <c r="G710" s="2" t="s">
        <v>11</v>
      </c>
    </row>
    <row r="711" spans="1:7" x14ac:dyDescent="0.2">
      <c r="A711" s="2" t="s">
        <v>3266</v>
      </c>
      <c r="B711" s="2" t="s">
        <v>46</v>
      </c>
      <c r="C711" s="2">
        <v>977.89509999999996</v>
      </c>
      <c r="D711" s="2">
        <f>HYPERLINK("http://mcb-m6.bioreg.kyushu-u.ac.jp/M3/20110418/F50996/2941/1", 61.81)</f>
        <v>61.81</v>
      </c>
      <c r="E711" s="2">
        <v>43.49</v>
      </c>
      <c r="F711" s="2">
        <v>2</v>
      </c>
      <c r="G711" s="2" t="s">
        <v>11</v>
      </c>
    </row>
    <row r="712" spans="1:7" x14ac:dyDescent="0.2">
      <c r="A712" s="2" t="s">
        <v>3266</v>
      </c>
      <c r="B712" s="2" t="s">
        <v>46</v>
      </c>
      <c r="C712" s="2">
        <v>977.90369999999996</v>
      </c>
      <c r="D712" s="2">
        <f>HYPERLINK("http://mcb-m6.bioreg.kyushu-u.ac.jp/M3/20110418/F50996/2943/1", 66.15)</f>
        <v>66.150000000000006</v>
      </c>
      <c r="E712" s="2">
        <v>47.04</v>
      </c>
      <c r="F712" s="2">
        <v>2</v>
      </c>
      <c r="G712" s="2" t="s">
        <v>11</v>
      </c>
    </row>
    <row r="713" spans="1:7" x14ac:dyDescent="0.2">
      <c r="A713" s="2" t="s">
        <v>3266</v>
      </c>
      <c r="B713" s="2" t="s">
        <v>46</v>
      </c>
      <c r="C713" s="2">
        <v>977.38170000000002</v>
      </c>
      <c r="D713" s="2">
        <f>HYPERLINK("http://mcb-m6.bioreg.kyushu-u.ac.jp/M3/20110418/F50996/2932/1", 71.54)</f>
        <v>71.540000000000006</v>
      </c>
      <c r="E713" s="2">
        <v>45.35</v>
      </c>
      <c r="F713" s="2">
        <v>2</v>
      </c>
      <c r="G713" s="2" t="s">
        <v>11</v>
      </c>
    </row>
    <row r="714" spans="1:7" x14ac:dyDescent="0.2">
      <c r="A714" s="2" t="s">
        <v>3266</v>
      </c>
      <c r="B714" s="2" t="s">
        <v>46</v>
      </c>
      <c r="C714" s="2">
        <v>977.49069999999995</v>
      </c>
      <c r="D714" s="2">
        <f>HYPERLINK("http://mcb-m6.bioreg.kyushu-u.ac.jp/M3/20110418/F50996/2935/1", 72.87)</f>
        <v>72.87</v>
      </c>
      <c r="E714" s="2">
        <v>46.43</v>
      </c>
      <c r="F714" s="2">
        <v>2</v>
      </c>
      <c r="G714" s="2" t="s">
        <v>11</v>
      </c>
    </row>
    <row r="715" spans="1:7" x14ac:dyDescent="0.2">
      <c r="A715" s="2" t="s">
        <v>3266</v>
      </c>
      <c r="B715" s="2" t="s">
        <v>46</v>
      </c>
      <c r="C715" s="2">
        <v>977.49159999999995</v>
      </c>
      <c r="D715" s="2">
        <f>HYPERLINK("http://mcb-m6.bioreg.kyushu-u.ac.jp/M3/20110418/F50996/2936/1", 75.97)</f>
        <v>75.97</v>
      </c>
      <c r="E715" s="2">
        <v>48.77</v>
      </c>
      <c r="F715" s="2">
        <v>2</v>
      </c>
      <c r="G715" s="2" t="s">
        <v>11</v>
      </c>
    </row>
    <row r="716" spans="1:7" x14ac:dyDescent="0.2">
      <c r="A716" s="2" t="s">
        <v>3266</v>
      </c>
      <c r="B716" s="2" t="s">
        <v>46</v>
      </c>
      <c r="C716" s="2">
        <v>977.34059999999999</v>
      </c>
      <c r="D716" s="2">
        <f>HYPERLINK("http://mcb-m6.bioreg.kyushu-u.ac.jp/M3/20110418/F50996/2928/1", 78.26)</f>
        <v>78.260000000000005</v>
      </c>
      <c r="E716" s="2">
        <v>49.41</v>
      </c>
      <c r="F716" s="2">
        <v>2</v>
      </c>
      <c r="G716" s="2" t="s">
        <v>11</v>
      </c>
    </row>
    <row r="717" spans="1:7" x14ac:dyDescent="0.2">
      <c r="A717" s="2" t="s">
        <v>3266</v>
      </c>
      <c r="B717" s="2" t="s">
        <v>46</v>
      </c>
      <c r="C717" s="2">
        <v>977.42570000000001</v>
      </c>
      <c r="D717" s="2">
        <f>HYPERLINK("http://mcb-m6.bioreg.kyushu-u.ac.jp/M3/20110418/F50999/2657/1", 80.4)</f>
        <v>80.400000000000006</v>
      </c>
      <c r="E717" s="2">
        <v>50.77</v>
      </c>
      <c r="F717" s="2">
        <v>2</v>
      </c>
      <c r="G717" s="2" t="s">
        <v>11</v>
      </c>
    </row>
    <row r="718" spans="1:7" x14ac:dyDescent="0.2">
      <c r="A718" s="2" t="s">
        <v>3266</v>
      </c>
      <c r="B718" s="2" t="s">
        <v>46</v>
      </c>
      <c r="C718" s="2">
        <v>977.51170000000002</v>
      </c>
      <c r="D718" s="2">
        <f>HYPERLINK("http://mcb-m6.bioreg.kyushu-u.ac.jp/M3/20110418/F50996/2937/1", 83.47)</f>
        <v>83.47</v>
      </c>
      <c r="E718" s="2">
        <v>54.84</v>
      </c>
      <c r="F718" s="2">
        <v>2</v>
      </c>
      <c r="G718" s="2" t="s">
        <v>11</v>
      </c>
    </row>
    <row r="719" spans="1:7" x14ac:dyDescent="0.2">
      <c r="A719" s="2" t="s">
        <v>3266</v>
      </c>
      <c r="B719" s="2" t="s">
        <v>46</v>
      </c>
      <c r="C719" s="2">
        <v>977.52120000000002</v>
      </c>
      <c r="D719" s="2">
        <f>HYPERLINK("http://mcb-m6.bioreg.kyushu-u.ac.jp/M3/20110418/F50996/2938/1", 86.44)</f>
        <v>86.44</v>
      </c>
      <c r="E719" s="2">
        <v>55.47</v>
      </c>
      <c r="F719" s="2">
        <v>2</v>
      </c>
      <c r="G719" s="2" t="s">
        <v>11</v>
      </c>
    </row>
    <row r="720" spans="1:7" x14ac:dyDescent="0.2">
      <c r="A720" s="2" t="s">
        <v>3266</v>
      </c>
      <c r="B720" s="2" t="s">
        <v>46</v>
      </c>
      <c r="C720" s="2">
        <v>977.44669999999996</v>
      </c>
      <c r="D720" s="2">
        <f>HYPERLINK("http://mcb-m6.bioreg.kyushu-u.ac.jp/M3/20110418/F50996/2933/1", 89.85)</f>
        <v>89.85</v>
      </c>
      <c r="E720" s="2">
        <v>55.69</v>
      </c>
      <c r="F720" s="2">
        <v>2</v>
      </c>
      <c r="G720" s="2" t="s">
        <v>11</v>
      </c>
    </row>
    <row r="721" spans="1:7" x14ac:dyDescent="0.2">
      <c r="A721" s="2" t="s">
        <v>3266</v>
      </c>
      <c r="B721" s="2" t="s">
        <v>46</v>
      </c>
      <c r="C721" s="2">
        <v>977.46010000000001</v>
      </c>
      <c r="D721" s="2">
        <f>HYPERLINK("http://mcb-m6.bioreg.kyushu-u.ac.jp/M3/20110418/F50996/2934/1", 95.38)</f>
        <v>95.38</v>
      </c>
      <c r="E721" s="2">
        <v>56.88</v>
      </c>
      <c r="F721" s="2">
        <v>2</v>
      </c>
      <c r="G721" s="2" t="s">
        <v>11</v>
      </c>
    </row>
    <row r="722" spans="1:7" x14ac:dyDescent="0.2">
      <c r="A722" s="2" t="s">
        <v>3266</v>
      </c>
      <c r="B722" s="2" t="s">
        <v>46</v>
      </c>
      <c r="C722" s="2">
        <v>652.15480000000002</v>
      </c>
      <c r="D722" s="2">
        <f>HYPERLINK("http://mcb-m6.bioreg.kyushu-u.ac.jp/M3/20110418/F50997/2846/1", 54.99)</f>
        <v>54.99</v>
      </c>
      <c r="E722" s="2">
        <v>9.86</v>
      </c>
      <c r="F722" s="2">
        <v>3</v>
      </c>
      <c r="G722" s="2" t="s">
        <v>12</v>
      </c>
    </row>
    <row r="723" spans="1:7" x14ac:dyDescent="0.2">
      <c r="A723" s="2" t="s">
        <v>3266</v>
      </c>
      <c r="B723" s="2" t="s">
        <v>46</v>
      </c>
      <c r="C723" s="2">
        <v>977.91719999999998</v>
      </c>
      <c r="D723" s="2">
        <f>HYPERLINK("http://mcb-m6.bioreg.kyushu-u.ac.jp/M3/20110418/F50997/2849/1", 58.72)</f>
        <v>58.72</v>
      </c>
      <c r="E723" s="2">
        <v>38.75</v>
      </c>
      <c r="F723" s="2">
        <v>2</v>
      </c>
      <c r="G723" s="2" t="s">
        <v>12</v>
      </c>
    </row>
    <row r="724" spans="1:7" x14ac:dyDescent="0.2">
      <c r="A724" s="2" t="s">
        <v>3266</v>
      </c>
      <c r="B724" s="2" t="s">
        <v>46</v>
      </c>
      <c r="C724" s="2">
        <v>977.98019999999997</v>
      </c>
      <c r="D724" s="2">
        <f>HYPERLINK("http://mcb-m6.bioreg.kyushu-u.ac.jp/M3/20110418/F50997/2852/1", 59.58)</f>
        <v>59.58</v>
      </c>
      <c r="E724" s="2">
        <v>41.02</v>
      </c>
      <c r="F724" s="2">
        <v>2</v>
      </c>
      <c r="G724" s="2" t="s">
        <v>12</v>
      </c>
    </row>
    <row r="725" spans="1:7" x14ac:dyDescent="0.2">
      <c r="A725" s="2" t="s">
        <v>3266</v>
      </c>
      <c r="B725" s="2" t="s">
        <v>46</v>
      </c>
      <c r="C725" s="2">
        <v>977.52369999999996</v>
      </c>
      <c r="D725" s="2">
        <f>HYPERLINK("http://mcb-m6.bioreg.kyushu-u.ac.jp/M3/20110418/F50997/2842/1", 61.5)</f>
        <v>61.5</v>
      </c>
      <c r="E725" s="2">
        <v>37.25</v>
      </c>
      <c r="F725" s="2">
        <v>2</v>
      </c>
      <c r="G725" s="2" t="s">
        <v>12</v>
      </c>
    </row>
    <row r="726" spans="1:7" x14ac:dyDescent="0.2">
      <c r="A726" s="2" t="s">
        <v>3266</v>
      </c>
      <c r="B726" s="2" t="s">
        <v>46</v>
      </c>
      <c r="C726" s="2">
        <v>977.90809999999999</v>
      </c>
      <c r="D726" s="2">
        <f>HYPERLINK("http://mcb-m6.bioreg.kyushu-u.ac.jp/M3/20110418/F50997/2848/1", 63.89)</f>
        <v>63.89</v>
      </c>
      <c r="E726" s="2">
        <v>29.24</v>
      </c>
      <c r="F726" s="2">
        <v>2</v>
      </c>
      <c r="G726" s="2" t="s">
        <v>12</v>
      </c>
    </row>
    <row r="727" spans="1:7" x14ac:dyDescent="0.2">
      <c r="A727" s="2" t="s">
        <v>3266</v>
      </c>
      <c r="B727" s="2" t="s">
        <v>46</v>
      </c>
      <c r="C727" s="2">
        <v>977.42769999999996</v>
      </c>
      <c r="D727" s="2">
        <f>HYPERLINK("http://mcb-m6.bioreg.kyushu-u.ac.jp/M3/20110418/F50997/2835/1", 66.42)</f>
        <v>66.42</v>
      </c>
      <c r="E727" s="2">
        <v>46.8</v>
      </c>
      <c r="F727" s="2">
        <v>2</v>
      </c>
      <c r="G727" s="2" t="s">
        <v>12</v>
      </c>
    </row>
    <row r="728" spans="1:7" x14ac:dyDescent="0.2">
      <c r="A728" s="2" t="s">
        <v>3266</v>
      </c>
      <c r="B728" s="2" t="s">
        <v>46</v>
      </c>
      <c r="C728" s="2">
        <v>977.38459999999998</v>
      </c>
      <c r="D728" s="2">
        <f>HYPERLINK("http://mcb-m6.bioreg.kyushu-u.ac.jp/M3/20110418/F50997/2831/1", 69.84)</f>
        <v>69.84</v>
      </c>
      <c r="E728" s="2">
        <v>47.37</v>
      </c>
      <c r="F728" s="2">
        <v>2</v>
      </c>
      <c r="G728" s="2" t="s">
        <v>12</v>
      </c>
    </row>
    <row r="729" spans="1:7" x14ac:dyDescent="0.2">
      <c r="A729" s="2" t="s">
        <v>3266</v>
      </c>
      <c r="B729" s="2" t="s">
        <v>46</v>
      </c>
      <c r="C729" s="2">
        <v>977.50160000000005</v>
      </c>
      <c r="D729" s="2">
        <f>HYPERLINK("http://mcb-m6.bioreg.kyushu-u.ac.jp/M3/20110418/F50997/2839/1", 71.02)</f>
        <v>71.02</v>
      </c>
      <c r="E729" s="2">
        <v>45.16</v>
      </c>
      <c r="F729" s="2">
        <v>2</v>
      </c>
      <c r="G729" s="2" t="s">
        <v>12</v>
      </c>
    </row>
    <row r="730" spans="1:7" x14ac:dyDescent="0.2">
      <c r="A730" s="2" t="s">
        <v>3266</v>
      </c>
      <c r="B730" s="2" t="s">
        <v>46</v>
      </c>
      <c r="C730" s="2">
        <v>977.39509999999996</v>
      </c>
      <c r="D730" s="2">
        <f>HYPERLINK("http://mcb-m6.bioreg.kyushu-u.ac.jp/M3/20110418/F50997/2832/1", 72.43)</f>
        <v>72.430000000000007</v>
      </c>
      <c r="E730" s="2">
        <v>50.23</v>
      </c>
      <c r="F730" s="2">
        <v>2</v>
      </c>
      <c r="G730" s="2" t="s">
        <v>12</v>
      </c>
    </row>
    <row r="731" spans="1:7" x14ac:dyDescent="0.2">
      <c r="A731" s="2" t="s">
        <v>3266</v>
      </c>
      <c r="B731" s="2" t="s">
        <v>46</v>
      </c>
      <c r="C731" s="2">
        <v>977.44460000000004</v>
      </c>
      <c r="D731" s="2">
        <f>HYPERLINK("http://mcb-m6.bioreg.kyushu-u.ac.jp/M3/20110418/F50997/2837/1", 73.76)</f>
        <v>73.760000000000005</v>
      </c>
      <c r="E731" s="2">
        <v>48.52</v>
      </c>
      <c r="F731" s="2">
        <v>2</v>
      </c>
      <c r="G731" s="2" t="s">
        <v>12</v>
      </c>
    </row>
    <row r="732" spans="1:7" x14ac:dyDescent="0.2">
      <c r="A732" s="2" t="s">
        <v>3266</v>
      </c>
      <c r="B732" s="2" t="s">
        <v>46</v>
      </c>
      <c r="C732" s="2">
        <v>977.46510000000001</v>
      </c>
      <c r="D732" s="2">
        <f>HYPERLINK("http://mcb-m6.bioreg.kyushu-u.ac.jp/M3/20110418/F50997/2838/1", 76.5)</f>
        <v>76.5</v>
      </c>
      <c r="E732" s="2">
        <v>50.26</v>
      </c>
      <c r="F732" s="2">
        <v>2</v>
      </c>
      <c r="G732" s="2" t="s">
        <v>12</v>
      </c>
    </row>
    <row r="733" spans="1:7" x14ac:dyDescent="0.2">
      <c r="A733" s="2" t="s">
        <v>3266</v>
      </c>
      <c r="B733" s="2" t="s">
        <v>46</v>
      </c>
      <c r="C733" s="2">
        <v>977.41309999999999</v>
      </c>
      <c r="D733" s="2">
        <f>HYPERLINK("http://mcb-m6.bioreg.kyushu-u.ac.jp/M3/20110418/F50997/2834/1", 77.53)</f>
        <v>77.53</v>
      </c>
      <c r="E733" s="2">
        <v>50.63</v>
      </c>
      <c r="F733" s="2">
        <v>2</v>
      </c>
      <c r="G733" s="2" t="s">
        <v>12</v>
      </c>
    </row>
    <row r="734" spans="1:7" x14ac:dyDescent="0.2">
      <c r="A734" s="2" t="s">
        <v>3266</v>
      </c>
      <c r="B734" s="2" t="s">
        <v>46</v>
      </c>
      <c r="C734" s="2">
        <v>977.42970000000003</v>
      </c>
      <c r="D734" s="2">
        <f>HYPERLINK("http://mcb-m6.bioreg.kyushu-u.ac.jp/M3/20110418/F50997/2836/1", 77.7)</f>
        <v>77.7</v>
      </c>
      <c r="E734" s="2">
        <v>44.86</v>
      </c>
      <c r="F734" s="2">
        <v>2</v>
      </c>
      <c r="G734" s="2" t="s">
        <v>12</v>
      </c>
    </row>
    <row r="735" spans="1:7" x14ac:dyDescent="0.2">
      <c r="A735" s="2" t="s">
        <v>3266</v>
      </c>
      <c r="B735" s="2" t="s">
        <v>46</v>
      </c>
      <c r="C735" s="2">
        <v>977.96870000000001</v>
      </c>
      <c r="D735" s="2">
        <f>HYPERLINK("http://mcb-m6.bioreg.kyushu-u.ac.jp/M3/20110418/F50997/2851/1", 77.74)</f>
        <v>77.739999999999995</v>
      </c>
      <c r="E735" s="2">
        <v>42.48</v>
      </c>
      <c r="F735" s="2">
        <v>2</v>
      </c>
      <c r="G735" s="2" t="s">
        <v>12</v>
      </c>
    </row>
    <row r="736" spans="1:7" x14ac:dyDescent="0.2">
      <c r="A736" s="2" t="s">
        <v>3266</v>
      </c>
      <c r="B736" s="2" t="s">
        <v>46</v>
      </c>
      <c r="C736" s="2">
        <v>977.85609999999997</v>
      </c>
      <c r="D736" s="2">
        <f>HYPERLINK("http://mcb-m6.bioreg.kyushu-u.ac.jp/M3/20110418/F50997/2847/1", 79.19)</f>
        <v>79.19</v>
      </c>
      <c r="E736" s="2">
        <v>47.3</v>
      </c>
      <c r="F736" s="2">
        <v>2</v>
      </c>
      <c r="G736" s="2" t="s">
        <v>12</v>
      </c>
    </row>
    <row r="737" spans="1:7" x14ac:dyDescent="0.2">
      <c r="A737" s="2" t="s">
        <v>3266</v>
      </c>
      <c r="B737" s="2" t="s">
        <v>46</v>
      </c>
      <c r="C737" s="2">
        <v>977.92020000000002</v>
      </c>
      <c r="D737" s="2">
        <f>HYPERLINK("http://mcb-m6.bioreg.kyushu-u.ac.jp/M3/20110418/F50997/2850/1", 81.83)</f>
        <v>81.83</v>
      </c>
      <c r="E737" s="2">
        <v>50.31</v>
      </c>
      <c r="F737" s="2">
        <v>2</v>
      </c>
      <c r="G737" s="2" t="s">
        <v>12</v>
      </c>
    </row>
    <row r="738" spans="1:7" x14ac:dyDescent="0.2">
      <c r="A738" s="2" t="s">
        <v>3266</v>
      </c>
      <c r="B738" s="2" t="s">
        <v>46</v>
      </c>
      <c r="C738" s="2">
        <v>977.5172</v>
      </c>
      <c r="D738" s="2">
        <f>HYPERLINK("http://mcb-m6.bioreg.kyushu-u.ac.jp/M3/20110418/F50997/2841/1", 84.04)</f>
        <v>84.04</v>
      </c>
      <c r="E738" s="2">
        <v>50.81</v>
      </c>
      <c r="F738" s="2">
        <v>2</v>
      </c>
      <c r="G738" s="2" t="s">
        <v>12</v>
      </c>
    </row>
    <row r="739" spans="1:7" x14ac:dyDescent="0.2">
      <c r="A739" s="2" t="s">
        <v>3266</v>
      </c>
      <c r="B739" s="2" t="s">
        <v>46</v>
      </c>
      <c r="C739" s="2">
        <v>977.86569999999995</v>
      </c>
      <c r="D739" s="2">
        <f>HYPERLINK("http://mcb-m6.bioreg.kyushu-u.ac.jp/M3/20110429/F51157/2935/1", 41.24)</f>
        <v>41.24</v>
      </c>
      <c r="E739" s="2">
        <v>20.75</v>
      </c>
      <c r="F739" s="2">
        <v>2</v>
      </c>
      <c r="G739" s="2" t="s">
        <v>13</v>
      </c>
    </row>
    <row r="740" spans="1:7" x14ac:dyDescent="0.2">
      <c r="A740" s="2" t="s">
        <v>3266</v>
      </c>
      <c r="B740" s="2" t="s">
        <v>46</v>
      </c>
      <c r="C740" s="2">
        <v>977.85469999999998</v>
      </c>
      <c r="D740" s="2">
        <f>HYPERLINK("http://mcb-m6.bioreg.kyushu-u.ac.jp/M3/20110429/F51152/3011/1", 44.16)</f>
        <v>44.16</v>
      </c>
      <c r="E740" s="2">
        <v>29</v>
      </c>
      <c r="F740" s="2">
        <v>2</v>
      </c>
      <c r="G740" s="2" t="s">
        <v>13</v>
      </c>
    </row>
    <row r="741" spans="1:7" x14ac:dyDescent="0.2">
      <c r="A741" s="2" t="s">
        <v>3266</v>
      </c>
      <c r="B741" s="2" t="s">
        <v>46</v>
      </c>
      <c r="C741" s="2">
        <v>977.48419999999999</v>
      </c>
      <c r="D741" s="2">
        <f>HYPERLINK("http://mcb-m6.bioreg.kyushu-u.ac.jp/M3/20110429/F51157/2922/1", 45.97)</f>
        <v>45.97</v>
      </c>
      <c r="E741" s="2">
        <v>32.369999999999997</v>
      </c>
      <c r="F741" s="2">
        <v>2</v>
      </c>
      <c r="G741" s="2" t="s">
        <v>13</v>
      </c>
    </row>
    <row r="742" spans="1:7" x14ac:dyDescent="0.2">
      <c r="A742" s="2" t="s">
        <v>3266</v>
      </c>
      <c r="B742" s="2" t="s">
        <v>46</v>
      </c>
      <c r="C742" s="2">
        <v>977.26070000000004</v>
      </c>
      <c r="D742" s="2">
        <f>HYPERLINK("http://mcb-m6.bioreg.kyushu-u.ac.jp/M3/20110429/F51157/2918/1", 46.35)</f>
        <v>46.35</v>
      </c>
      <c r="E742" s="2">
        <v>31.99</v>
      </c>
      <c r="F742" s="2">
        <v>2</v>
      </c>
      <c r="G742" s="2" t="s">
        <v>13</v>
      </c>
    </row>
    <row r="743" spans="1:7" x14ac:dyDescent="0.2">
      <c r="A743" s="2" t="s">
        <v>3266</v>
      </c>
      <c r="B743" s="2" t="s">
        <v>46</v>
      </c>
      <c r="C743" s="2">
        <v>977.54020000000003</v>
      </c>
      <c r="D743" s="2">
        <f>HYPERLINK("http://mcb-m6.bioreg.kyushu-u.ac.jp/M3/20110429/F51157/2925/1", 51.52)</f>
        <v>51.52</v>
      </c>
      <c r="E743" s="2">
        <v>37.58</v>
      </c>
      <c r="F743" s="2">
        <v>2</v>
      </c>
      <c r="G743" s="2" t="s">
        <v>13</v>
      </c>
    </row>
    <row r="744" spans="1:7" x14ac:dyDescent="0.2">
      <c r="A744" s="2" t="s">
        <v>3266</v>
      </c>
      <c r="B744" s="2" t="s">
        <v>46</v>
      </c>
      <c r="C744" s="2">
        <v>977.53269999999998</v>
      </c>
      <c r="D744" s="2">
        <f>HYPERLINK("http://mcb-m6.bioreg.kyushu-u.ac.jp/M3/20110429/F51157/2924/1", 62.78)</f>
        <v>62.78</v>
      </c>
      <c r="E744" s="2">
        <v>36.6</v>
      </c>
      <c r="F744" s="2">
        <v>2</v>
      </c>
      <c r="G744" s="2" t="s">
        <v>13</v>
      </c>
    </row>
    <row r="745" spans="1:7" x14ac:dyDescent="0.2">
      <c r="A745" s="2" t="s">
        <v>3266</v>
      </c>
      <c r="B745" s="2" t="s">
        <v>46</v>
      </c>
      <c r="C745" s="2">
        <v>977.52260000000001</v>
      </c>
      <c r="D745" s="2">
        <f>HYPERLINK("http://mcb-m6.bioreg.kyushu-u.ac.jp/M3/20110429/F51157/2923/1", 63.41)</f>
        <v>63.41</v>
      </c>
      <c r="E745" s="2">
        <v>40.909999999999997</v>
      </c>
      <c r="F745" s="2">
        <v>2</v>
      </c>
      <c r="G745" s="2" t="s">
        <v>13</v>
      </c>
    </row>
    <row r="746" spans="1:7" x14ac:dyDescent="0.2">
      <c r="A746" s="2" t="s">
        <v>3266</v>
      </c>
      <c r="B746" s="2" t="s">
        <v>46</v>
      </c>
      <c r="C746" s="2">
        <v>978.01969999999994</v>
      </c>
      <c r="D746" s="2">
        <f>HYPERLINK("http://mcb-m6.bioreg.kyushu-u.ac.jp/M3/20110429/F51157/2937/1", 77.8)</f>
        <v>77.8</v>
      </c>
      <c r="E746" s="2">
        <v>42.99</v>
      </c>
      <c r="F746" s="2">
        <v>2</v>
      </c>
      <c r="G746" s="2" t="s">
        <v>13</v>
      </c>
    </row>
    <row r="747" spans="1:7" x14ac:dyDescent="0.2">
      <c r="A747" s="2" t="s">
        <v>3266</v>
      </c>
      <c r="B747" s="2" t="s">
        <v>46</v>
      </c>
      <c r="C747" s="2">
        <v>977.55219999999997</v>
      </c>
      <c r="D747" s="2">
        <f>HYPERLINK("http://mcb-m6.bioreg.kyushu-u.ac.jp/M3/20110429/F51157/2926/1", 79.55)</f>
        <v>79.55</v>
      </c>
      <c r="E747" s="2">
        <v>42.94</v>
      </c>
      <c r="F747" s="2">
        <v>2</v>
      </c>
      <c r="G747" s="2" t="s">
        <v>13</v>
      </c>
    </row>
    <row r="748" spans="1:7" x14ac:dyDescent="0.2">
      <c r="A748" s="2" t="s">
        <v>3266</v>
      </c>
      <c r="B748" s="2" t="s">
        <v>46</v>
      </c>
      <c r="C748" s="2">
        <v>977.67020000000002</v>
      </c>
      <c r="D748" s="2">
        <f>HYPERLINK("http://mcb-m6.bioreg.kyushu-u.ac.jp/M3/20110502/F51159/2952/1", 38.27)</f>
        <v>38.270000000000003</v>
      </c>
      <c r="E748" s="2">
        <v>23.31</v>
      </c>
      <c r="F748" s="2">
        <v>2</v>
      </c>
      <c r="G748" s="2" t="s">
        <v>14</v>
      </c>
    </row>
    <row r="749" spans="1:7" x14ac:dyDescent="0.2">
      <c r="A749" s="2" t="s">
        <v>3266</v>
      </c>
      <c r="B749" s="2" t="s">
        <v>46</v>
      </c>
      <c r="C749" s="2">
        <v>977.30020000000002</v>
      </c>
      <c r="D749" s="2">
        <f>HYPERLINK("http://mcb-m6.bioreg.kyushu-u.ac.jp/M3/20110502/F51160/2697/1", 41.26)</f>
        <v>41.26</v>
      </c>
      <c r="E749" s="2">
        <v>31.23</v>
      </c>
      <c r="F749" s="2">
        <v>2</v>
      </c>
      <c r="G749" s="2" t="s">
        <v>14</v>
      </c>
    </row>
    <row r="750" spans="1:7" x14ac:dyDescent="0.2">
      <c r="A750" s="2" t="s">
        <v>3266</v>
      </c>
      <c r="B750" s="2" t="s">
        <v>46</v>
      </c>
      <c r="C750" s="2">
        <v>977.42110000000002</v>
      </c>
      <c r="D750" s="2">
        <f>HYPERLINK("http://mcb-m6.bioreg.kyushu-u.ac.jp/M3/20110502/F51160/2698/1", 45.17)</f>
        <v>45.17</v>
      </c>
      <c r="E750" s="2">
        <v>33.68</v>
      </c>
      <c r="F750" s="2">
        <v>2</v>
      </c>
      <c r="G750" s="2" t="s">
        <v>14</v>
      </c>
    </row>
    <row r="751" spans="1:7" x14ac:dyDescent="0.2">
      <c r="A751" s="2" t="s">
        <v>3266</v>
      </c>
      <c r="B751" s="2" t="s">
        <v>46</v>
      </c>
      <c r="C751" s="2">
        <v>977.99770000000001</v>
      </c>
      <c r="D751" s="2">
        <f>HYPERLINK("http://mcb-m6.bioreg.kyushu-u.ac.jp/M3/20110502/F51160/2706/1", 47.89)</f>
        <v>47.89</v>
      </c>
      <c r="E751" s="2">
        <v>33.57</v>
      </c>
      <c r="F751" s="2">
        <v>2</v>
      </c>
      <c r="G751" s="2" t="s">
        <v>14</v>
      </c>
    </row>
    <row r="752" spans="1:7" x14ac:dyDescent="0.2">
      <c r="A752" s="2" t="s">
        <v>3266</v>
      </c>
      <c r="B752" s="2" t="s">
        <v>46</v>
      </c>
      <c r="C752" s="2">
        <v>977.73069999999996</v>
      </c>
      <c r="D752" s="2">
        <f>HYPERLINK("http://mcb-m6.bioreg.kyushu-u.ac.jp/M3/20110502/F51159/2954/1", 48.41)</f>
        <v>48.41</v>
      </c>
      <c r="E752" s="2">
        <v>35.57</v>
      </c>
      <c r="F752" s="2">
        <v>2</v>
      </c>
      <c r="G752" s="2" t="s">
        <v>14</v>
      </c>
    </row>
    <row r="753" spans="1:8" x14ac:dyDescent="0.2">
      <c r="A753" s="2" t="s">
        <v>3266</v>
      </c>
      <c r="B753" s="2" t="s">
        <v>46</v>
      </c>
      <c r="C753" s="2">
        <v>978.09810000000004</v>
      </c>
      <c r="D753" s="2">
        <f>HYPERLINK("http://mcb-m6.bioreg.kyushu-u.ac.jp/M3/20110502/F51160/2709/1", 54.46)</f>
        <v>54.46</v>
      </c>
      <c r="E753" s="2">
        <v>29.41</v>
      </c>
      <c r="F753" s="2">
        <v>2</v>
      </c>
      <c r="G753" s="2" t="s">
        <v>14</v>
      </c>
    </row>
    <row r="754" spans="1:8" x14ac:dyDescent="0.2">
      <c r="A754" s="2" t="s">
        <v>3266</v>
      </c>
      <c r="B754" s="2" t="s">
        <v>46</v>
      </c>
      <c r="C754" s="2">
        <v>977.7491</v>
      </c>
      <c r="D754" s="2">
        <f>HYPERLINK("http://mcb-m6.bioreg.kyushu-u.ac.jp/M3/20110502/F51159/2957/1", 60.12)</f>
        <v>60.12</v>
      </c>
      <c r="E754" s="2">
        <v>39.11</v>
      </c>
      <c r="F754" s="2">
        <v>2</v>
      </c>
      <c r="G754" s="2" t="s">
        <v>14</v>
      </c>
    </row>
    <row r="755" spans="1:8" x14ac:dyDescent="0.2">
      <c r="A755" s="2" t="s">
        <v>3266</v>
      </c>
      <c r="B755" s="2" t="s">
        <v>46</v>
      </c>
      <c r="C755" s="2">
        <v>977.73360000000002</v>
      </c>
      <c r="D755" s="2">
        <f>HYPERLINK("http://mcb-m6.bioreg.kyushu-u.ac.jp/M3/20110502/F51159/2955/1", 61.42)</f>
        <v>61.42</v>
      </c>
      <c r="E755" s="2">
        <v>38.4</v>
      </c>
      <c r="F755" s="2">
        <v>2</v>
      </c>
      <c r="G755" s="2" t="s">
        <v>14</v>
      </c>
    </row>
    <row r="756" spans="1:8" x14ac:dyDescent="0.2">
      <c r="A756" s="2" t="s">
        <v>3266</v>
      </c>
      <c r="B756" s="2" t="s">
        <v>46</v>
      </c>
      <c r="C756" s="2">
        <v>977.5027</v>
      </c>
      <c r="D756" s="2">
        <f>HYPERLINK("http://mcb-m6.bioreg.kyushu-u.ac.jp/M3/20110428/F51141/3300/1", 62.58)</f>
        <v>62.58</v>
      </c>
      <c r="E756" s="2">
        <v>35.270000000000003</v>
      </c>
      <c r="F756" s="2">
        <v>2</v>
      </c>
      <c r="G756" s="2" t="s">
        <v>14</v>
      </c>
    </row>
    <row r="757" spans="1:8" x14ac:dyDescent="0.2">
      <c r="A757" s="2" t="s">
        <v>3266</v>
      </c>
      <c r="B757" s="2" t="s">
        <v>46</v>
      </c>
      <c r="C757" s="2">
        <v>977.33259999999996</v>
      </c>
      <c r="D757" s="2">
        <f>HYPERLINK("http://mcb-m6.bioreg.kyushu-u.ac.jp/M3/20110428/F51140/3015/1", 64.03)</f>
        <v>64.03</v>
      </c>
      <c r="E757" s="2">
        <v>43.74</v>
      </c>
      <c r="F757" s="2">
        <v>2</v>
      </c>
      <c r="G757" s="2" t="s">
        <v>14</v>
      </c>
    </row>
    <row r="758" spans="1:8" x14ac:dyDescent="0.2">
      <c r="A758" s="2" t="s">
        <v>3266</v>
      </c>
      <c r="B758" s="2" t="s">
        <v>46</v>
      </c>
      <c r="C758" s="2">
        <v>977.73860000000002</v>
      </c>
      <c r="D758" s="2">
        <f>HYPERLINK("http://mcb-m6.bioreg.kyushu-u.ac.jp/M3/20110502/F51160/2704/1", 67.24)</f>
        <v>67.239999999999995</v>
      </c>
      <c r="E758" s="2">
        <v>43.01</v>
      </c>
      <c r="F758" s="2">
        <v>2</v>
      </c>
      <c r="G758" s="2" t="s">
        <v>14</v>
      </c>
    </row>
    <row r="759" spans="1:8" x14ac:dyDescent="0.2">
      <c r="A759" s="2" t="s">
        <v>3266</v>
      </c>
      <c r="B759" s="2" t="s">
        <v>46</v>
      </c>
      <c r="C759" s="2">
        <v>977.63620000000003</v>
      </c>
      <c r="D759" s="2">
        <f>HYPERLINK("http://mcb-m6.bioreg.kyushu-u.ac.jp/M3/20110502/F51160/2702/1", 68.35)</f>
        <v>68.349999999999994</v>
      </c>
      <c r="E759" s="2">
        <v>45.45</v>
      </c>
      <c r="F759" s="2">
        <v>2</v>
      </c>
      <c r="G759" s="2" t="s">
        <v>14</v>
      </c>
    </row>
    <row r="760" spans="1:8" x14ac:dyDescent="0.2">
      <c r="A760" s="2" t="s">
        <v>3266</v>
      </c>
      <c r="B760" s="2" t="s">
        <v>46</v>
      </c>
      <c r="C760" s="2">
        <v>977.58169999999996</v>
      </c>
      <c r="D760" s="2">
        <f>HYPERLINK("http://mcb-m6.bioreg.kyushu-u.ac.jp/M3/20110428/F51139/2416/1", 74.03)</f>
        <v>74.03</v>
      </c>
      <c r="E760" s="2">
        <v>49.83</v>
      </c>
      <c r="F760" s="2">
        <v>2</v>
      </c>
      <c r="G760" s="2" t="s">
        <v>14</v>
      </c>
    </row>
    <row r="761" spans="1:8" x14ac:dyDescent="0.2">
      <c r="A761" s="2" t="s">
        <v>3266</v>
      </c>
      <c r="B761" s="2" t="s">
        <v>46</v>
      </c>
      <c r="C761" s="2">
        <v>977.77670000000001</v>
      </c>
      <c r="D761" s="2">
        <f>HYPERLINK("http://mcb-m6.bioreg.kyushu-u.ac.jp/M3/20110502/F51159/2958/1", 74.41)</f>
        <v>74.41</v>
      </c>
      <c r="E761" s="2">
        <v>48.53</v>
      </c>
      <c r="F761" s="2">
        <v>2</v>
      </c>
      <c r="G761" s="2" t="s">
        <v>14</v>
      </c>
    </row>
    <row r="762" spans="1:8" x14ac:dyDescent="0.2">
      <c r="A762" s="2" t="s">
        <v>3266</v>
      </c>
      <c r="B762" s="2" t="s">
        <v>46</v>
      </c>
      <c r="C762" s="2">
        <v>978.12270000000001</v>
      </c>
      <c r="D762" s="2">
        <f>HYPERLINK("http://mcb-m6.bioreg.kyushu-u.ac.jp/M3/20110428/F51141/3305/1", 76.37)</f>
        <v>76.37</v>
      </c>
      <c r="E762" s="2">
        <v>51.92</v>
      </c>
      <c r="F762" s="2">
        <v>2</v>
      </c>
      <c r="G762" s="2" t="s">
        <v>14</v>
      </c>
    </row>
    <row r="763" spans="1:8" x14ac:dyDescent="0.2">
      <c r="A763" s="2" t="s">
        <v>3659</v>
      </c>
      <c r="B763" s="2" t="s">
        <v>594</v>
      </c>
      <c r="C763" s="2">
        <v>1517.5509999999999</v>
      </c>
      <c r="D763" s="2">
        <f>HYPERLINK("http://mcb-m6.bioreg.kyushu-u.ac.jp/M3/20110318/F50620/1723/1", 37.96)</f>
        <v>37.96</v>
      </c>
      <c r="E763" s="2">
        <v>25.17</v>
      </c>
      <c r="F763" s="2">
        <v>1</v>
      </c>
      <c r="G763" s="2" t="s">
        <v>9</v>
      </c>
    </row>
    <row r="764" spans="1:8" x14ac:dyDescent="0.2">
      <c r="A764" s="2" t="s">
        <v>3659</v>
      </c>
      <c r="B764" s="2" t="s">
        <v>594</v>
      </c>
      <c r="C764" s="2">
        <v>500.88249999999999</v>
      </c>
      <c r="D764" s="2">
        <f>HYPERLINK("http://mcb-m6.bioreg.kyushu-u.ac.jp/M3/20110318/F50620/1694/1", 42.85)</f>
        <v>42.85</v>
      </c>
      <c r="E764" s="2">
        <v>21.96</v>
      </c>
      <c r="F764" s="2">
        <v>3</v>
      </c>
      <c r="G764" s="2" t="s">
        <v>9</v>
      </c>
      <c r="H764" s="2" t="s">
        <v>4904</v>
      </c>
    </row>
    <row r="765" spans="1:8" x14ac:dyDescent="0.2">
      <c r="A765" s="2" t="s">
        <v>3659</v>
      </c>
      <c r="B765" s="2" t="s">
        <v>594</v>
      </c>
      <c r="C765" s="2">
        <v>750.86109999999996</v>
      </c>
      <c r="D765" s="2">
        <f>HYPERLINK("http://mcb-m6.bioreg.kyushu-u.ac.jp/M3/20110318/F50621/1566/1", 47.83)</f>
        <v>47.83</v>
      </c>
      <c r="E765" s="2">
        <v>31.79</v>
      </c>
      <c r="F765" s="2">
        <v>2</v>
      </c>
      <c r="G765" s="2" t="s">
        <v>9</v>
      </c>
      <c r="H765" s="2" t="s">
        <v>4904</v>
      </c>
    </row>
    <row r="766" spans="1:8" x14ac:dyDescent="0.2">
      <c r="A766" s="2" t="s">
        <v>3659</v>
      </c>
      <c r="B766" s="2" t="s">
        <v>594</v>
      </c>
      <c r="C766" s="2">
        <v>750.1807</v>
      </c>
      <c r="D766" s="2">
        <f>HYPERLINK("http://mcb-m6.bioreg.kyushu-u.ac.jp/M3/20110318/F50620/1688/1", 54.52)</f>
        <v>54.52</v>
      </c>
      <c r="E766" s="2">
        <v>36.07</v>
      </c>
      <c r="F766" s="2">
        <v>2</v>
      </c>
      <c r="G766" s="2" t="s">
        <v>9</v>
      </c>
      <c r="H766" s="2" t="s">
        <v>4904</v>
      </c>
    </row>
    <row r="767" spans="1:8" x14ac:dyDescent="0.2">
      <c r="A767" s="2" t="s">
        <v>3659</v>
      </c>
      <c r="B767" s="2" t="s">
        <v>594</v>
      </c>
      <c r="C767" s="2">
        <v>506.3202</v>
      </c>
      <c r="D767" s="2">
        <f>HYPERLINK("http://mcb-m6.bioreg.kyushu-u.ac.jp/M3/20110318/F50620/1720/1", 55.44)</f>
        <v>55.44</v>
      </c>
      <c r="E767" s="2">
        <v>44.43</v>
      </c>
      <c r="F767" s="2">
        <v>3</v>
      </c>
      <c r="G767" s="2" t="s">
        <v>9</v>
      </c>
    </row>
    <row r="768" spans="1:8" x14ac:dyDescent="0.2">
      <c r="A768" s="2" t="s">
        <v>3659</v>
      </c>
      <c r="B768" s="2" t="s">
        <v>1545</v>
      </c>
      <c r="C768" s="2">
        <v>787.0575</v>
      </c>
      <c r="D768" s="2">
        <f>HYPERLINK("http://mcb-m6.bioreg.kyushu-u.ac.jp/M3/20110318/F50620/3016/1", 60.07)</f>
        <v>60.07</v>
      </c>
      <c r="E768" s="2">
        <v>45.75</v>
      </c>
      <c r="F768" s="2">
        <v>3</v>
      </c>
      <c r="G768" s="2" t="s">
        <v>9</v>
      </c>
      <c r="H768" s="2" t="s">
        <v>4938</v>
      </c>
    </row>
    <row r="769" spans="1:8" x14ac:dyDescent="0.2">
      <c r="A769" s="2" t="s">
        <v>3659</v>
      </c>
      <c r="B769" s="2" t="s">
        <v>1472</v>
      </c>
      <c r="C769" s="2">
        <v>1116.4970000000001</v>
      </c>
      <c r="D769" s="2">
        <f>HYPERLINK("http://mcb-m6.bioreg.kyushu-u.ac.jp/M3/20110318/F50621/2433/1", 74.8)</f>
        <v>74.8</v>
      </c>
      <c r="E769" s="2">
        <v>61.63</v>
      </c>
      <c r="F769" s="2">
        <v>2</v>
      </c>
      <c r="G769" s="2" t="s">
        <v>9</v>
      </c>
      <c r="H769" s="2" t="s">
        <v>4907</v>
      </c>
    </row>
    <row r="770" spans="1:8" x14ac:dyDescent="0.2">
      <c r="A770" s="2" t="s">
        <v>3659</v>
      </c>
      <c r="B770" s="2" t="s">
        <v>1472</v>
      </c>
      <c r="C770" s="2">
        <v>1116.154</v>
      </c>
      <c r="D770" s="2">
        <f>HYPERLINK("http://mcb-m6.bioreg.kyushu-u.ac.jp/M3/20110318/F50618/2935/1", 111.72)</f>
        <v>111.72</v>
      </c>
      <c r="E770" s="2">
        <v>96.35</v>
      </c>
      <c r="F770" s="2">
        <v>2</v>
      </c>
      <c r="G770" s="2" t="s">
        <v>9</v>
      </c>
      <c r="H770" s="2" t="s">
        <v>4907</v>
      </c>
    </row>
    <row r="771" spans="1:8" x14ac:dyDescent="0.2">
      <c r="A771" s="2" t="s">
        <v>3659</v>
      </c>
      <c r="B771" s="2" t="s">
        <v>1472</v>
      </c>
      <c r="C771" s="2">
        <v>1115.723</v>
      </c>
      <c r="D771" s="2">
        <f>HYPERLINK("http://mcb-m6.bioreg.kyushu-u.ac.jp/M3/20110318/F50620/2755/1", 125.58)</f>
        <v>125.58</v>
      </c>
      <c r="E771" s="2">
        <v>112.26</v>
      </c>
      <c r="F771" s="2">
        <v>2</v>
      </c>
      <c r="G771" s="2" t="s">
        <v>9</v>
      </c>
      <c r="H771" s="2" t="s">
        <v>4907</v>
      </c>
    </row>
    <row r="772" spans="1:8" x14ac:dyDescent="0.2">
      <c r="A772" s="2" t="s">
        <v>3659</v>
      </c>
      <c r="B772" s="2" t="s">
        <v>1472</v>
      </c>
      <c r="C772" s="2">
        <v>1116.248</v>
      </c>
      <c r="D772" s="2">
        <f>HYPERLINK("http://mcb-m6.bioreg.kyushu-u.ac.jp/M3/20110318/F50620/2758/1", 134.89)</f>
        <v>134.88999999999999</v>
      </c>
      <c r="E772" s="2">
        <v>123.07</v>
      </c>
      <c r="F772" s="2">
        <v>2</v>
      </c>
      <c r="G772" s="2" t="s">
        <v>9</v>
      </c>
      <c r="H772" s="2" t="s">
        <v>4907</v>
      </c>
    </row>
    <row r="773" spans="1:8" x14ac:dyDescent="0.2">
      <c r="A773" s="2" t="s">
        <v>3659</v>
      </c>
      <c r="B773" s="2" t="s">
        <v>594</v>
      </c>
      <c r="C773" s="2">
        <v>759.25070000000005</v>
      </c>
      <c r="D773" s="2">
        <f>HYPERLINK("http://mcb-m6.bioreg.kyushu-u.ac.jp/M3/20110318/F50617/1647/1", 38.3)</f>
        <v>38.299999999999997</v>
      </c>
      <c r="E773" s="2">
        <v>15.79</v>
      </c>
      <c r="F773" s="2">
        <v>2</v>
      </c>
      <c r="G773" s="2" t="s">
        <v>10</v>
      </c>
    </row>
    <row r="774" spans="1:8" x14ac:dyDescent="0.2">
      <c r="A774" s="2" t="s">
        <v>3659</v>
      </c>
      <c r="B774" s="2" t="s">
        <v>594</v>
      </c>
      <c r="C774" s="2">
        <v>506.24020000000002</v>
      </c>
      <c r="D774" s="2">
        <f>HYPERLINK("http://mcb-m6.bioreg.kyushu-u.ac.jp/M3/20110318/F50616/1737/1", 45.03)</f>
        <v>45.03</v>
      </c>
      <c r="E774" s="2">
        <v>33.1</v>
      </c>
      <c r="F774" s="2">
        <v>3</v>
      </c>
      <c r="G774" s="2" t="s">
        <v>10</v>
      </c>
    </row>
    <row r="775" spans="1:8" x14ac:dyDescent="0.2">
      <c r="A775" s="2" t="s">
        <v>3659</v>
      </c>
      <c r="B775" s="2" t="s">
        <v>594</v>
      </c>
      <c r="C775" s="2">
        <v>506.4162</v>
      </c>
      <c r="D775" s="2">
        <f>HYPERLINK("http://mcb-m6.bioreg.kyushu-u.ac.jp/M3/20110318/F50597/1686/1", 45.86)</f>
        <v>45.86</v>
      </c>
      <c r="E775" s="2">
        <v>36.590000000000003</v>
      </c>
      <c r="F775" s="2">
        <v>3</v>
      </c>
      <c r="G775" s="2" t="s">
        <v>10</v>
      </c>
    </row>
    <row r="776" spans="1:8" x14ac:dyDescent="0.2">
      <c r="A776" s="2" t="s">
        <v>3659</v>
      </c>
      <c r="B776" s="2" t="s">
        <v>1472</v>
      </c>
      <c r="C776" s="2">
        <v>1108.2460000000001</v>
      </c>
      <c r="D776" s="2">
        <f>HYPERLINK("http://mcb-m6.bioreg.kyushu-u.ac.jp/M3/20110318/F50616/2763/1", 50.9)</f>
        <v>50.9</v>
      </c>
      <c r="E776" s="2">
        <v>42.98</v>
      </c>
      <c r="F776" s="2">
        <v>2</v>
      </c>
      <c r="G776" s="2" t="s">
        <v>10</v>
      </c>
    </row>
    <row r="777" spans="1:8" x14ac:dyDescent="0.2">
      <c r="A777" s="2" t="s">
        <v>3659</v>
      </c>
      <c r="B777" s="2" t="s">
        <v>594</v>
      </c>
      <c r="C777" s="2">
        <v>750.22810000000004</v>
      </c>
      <c r="D777" s="2">
        <f>HYPERLINK("http://mcb-m6.bioreg.kyushu-u.ac.jp/M3/20110318/F50617/1610/1", 53.43)</f>
        <v>53.43</v>
      </c>
      <c r="E777" s="2">
        <v>33.25</v>
      </c>
      <c r="F777" s="2">
        <v>2</v>
      </c>
      <c r="G777" s="2" t="s">
        <v>10</v>
      </c>
      <c r="H777" s="2" t="s">
        <v>4904</v>
      </c>
    </row>
    <row r="778" spans="1:8" x14ac:dyDescent="0.2">
      <c r="A778" s="2" t="s">
        <v>3659</v>
      </c>
      <c r="B778" s="2" t="s">
        <v>594</v>
      </c>
      <c r="C778" s="2">
        <v>750.42359999999996</v>
      </c>
      <c r="D778" s="2">
        <f>HYPERLINK("http://mcb-m6.bioreg.kyushu-u.ac.jp/M3/20110318/F50616/1700/1", 54.34)</f>
        <v>54.34</v>
      </c>
      <c r="E778" s="2">
        <v>43.39</v>
      </c>
      <c r="F778" s="2">
        <v>2</v>
      </c>
      <c r="G778" s="2" t="s">
        <v>10</v>
      </c>
      <c r="H778" s="2" t="s">
        <v>4904</v>
      </c>
    </row>
    <row r="779" spans="1:8" x14ac:dyDescent="0.2">
      <c r="A779" s="2" t="s">
        <v>3659</v>
      </c>
      <c r="B779" s="2" t="s">
        <v>1472</v>
      </c>
      <c r="C779" s="2">
        <v>744.65319999999997</v>
      </c>
      <c r="D779" s="2">
        <f>HYPERLINK("http://mcb-m6.bioreg.kyushu-u.ac.jp/M3/20110318/F50616/2783/1", 55.56)</f>
        <v>55.56</v>
      </c>
      <c r="E779" s="2">
        <v>44.03</v>
      </c>
      <c r="F779" s="2">
        <v>3</v>
      </c>
      <c r="G779" s="2" t="s">
        <v>10</v>
      </c>
      <c r="H779" s="2" t="s">
        <v>4907</v>
      </c>
    </row>
    <row r="780" spans="1:8" x14ac:dyDescent="0.2">
      <c r="A780" s="2" t="s">
        <v>3659</v>
      </c>
      <c r="B780" s="2" t="s">
        <v>594</v>
      </c>
      <c r="C780" s="2">
        <v>758.9547</v>
      </c>
      <c r="D780" s="2">
        <f>HYPERLINK("http://mcb-m6.bioreg.kyushu-u.ac.jp/M3/20110318/F50597/1685/1", 57.78)</f>
        <v>57.78</v>
      </c>
      <c r="E780" s="2">
        <v>41.65</v>
      </c>
      <c r="F780" s="2">
        <v>2</v>
      </c>
      <c r="G780" s="2" t="s">
        <v>10</v>
      </c>
    </row>
    <row r="781" spans="1:8" x14ac:dyDescent="0.2">
      <c r="A781" s="2" t="s">
        <v>3659</v>
      </c>
      <c r="B781" s="2" t="s">
        <v>1545</v>
      </c>
      <c r="C781" s="2">
        <v>787.21379999999999</v>
      </c>
      <c r="D781" s="2">
        <f>HYPERLINK("http://mcb-m6.bioreg.kyushu-u.ac.jp/M3/20110318/F50617/2716/1", 78.18)</f>
        <v>78.180000000000007</v>
      </c>
      <c r="E781" s="2">
        <v>63.02</v>
      </c>
      <c r="F781" s="2">
        <v>3</v>
      </c>
      <c r="G781" s="2" t="s">
        <v>10</v>
      </c>
      <c r="H781" s="2" t="s">
        <v>4938</v>
      </c>
    </row>
    <row r="782" spans="1:8" x14ac:dyDescent="0.2">
      <c r="A782" s="2" t="s">
        <v>3659</v>
      </c>
      <c r="B782" s="2" t="s">
        <v>1545</v>
      </c>
      <c r="C782" s="2">
        <v>786.92179999999996</v>
      </c>
      <c r="D782" s="2">
        <f>HYPERLINK("http://mcb-m6.bioreg.kyushu-u.ac.jp/M3/20110318/F50616/3052/1", 78.42)</f>
        <v>78.42</v>
      </c>
      <c r="E782" s="2">
        <v>65.78</v>
      </c>
      <c r="F782" s="2">
        <v>3</v>
      </c>
      <c r="G782" s="2" t="s">
        <v>10</v>
      </c>
      <c r="H782" s="2" t="s">
        <v>4938</v>
      </c>
    </row>
    <row r="783" spans="1:8" x14ac:dyDescent="0.2">
      <c r="A783" s="2" t="s">
        <v>3659</v>
      </c>
      <c r="B783" s="2" t="s">
        <v>1472</v>
      </c>
      <c r="C783" s="2">
        <v>1116.2850000000001</v>
      </c>
      <c r="D783" s="2">
        <f>HYPERLINK("http://mcb-m6.bioreg.kyushu-u.ac.jp/M3/20110318/F50616/2782/1", 80.87)</f>
        <v>80.87</v>
      </c>
      <c r="E783" s="2">
        <v>70.239999999999995</v>
      </c>
      <c r="F783" s="2">
        <v>2</v>
      </c>
      <c r="G783" s="2" t="s">
        <v>10</v>
      </c>
      <c r="H783" s="2" t="s">
        <v>4907</v>
      </c>
    </row>
    <row r="784" spans="1:8" x14ac:dyDescent="0.2">
      <c r="A784" s="2" t="s">
        <v>3659</v>
      </c>
      <c r="B784" s="2" t="s">
        <v>1545</v>
      </c>
      <c r="C784" s="2">
        <v>1180.4090000000001</v>
      </c>
      <c r="D784" s="2">
        <f>HYPERLINK("http://mcb-m6.bioreg.kyushu-u.ac.jp/M3/20110318/F50616/3054/1", 109.72)</f>
        <v>109.72</v>
      </c>
      <c r="E784" s="2">
        <v>99.51</v>
      </c>
      <c r="F784" s="2">
        <v>2</v>
      </c>
      <c r="G784" s="2" t="s">
        <v>10</v>
      </c>
      <c r="H784" s="2" t="s">
        <v>4938</v>
      </c>
    </row>
    <row r="785" spans="1:8" x14ac:dyDescent="0.2">
      <c r="A785" s="2" t="s">
        <v>3659</v>
      </c>
      <c r="B785" s="2" t="s">
        <v>1472</v>
      </c>
      <c r="C785" s="2">
        <v>1115.7750000000001</v>
      </c>
      <c r="D785" s="2">
        <f>HYPERLINK("http://mcb-m6.bioreg.kyushu-u.ac.jp/M3/20110318/F50616/2780/1", 139.48)</f>
        <v>139.47999999999999</v>
      </c>
      <c r="E785" s="2">
        <v>120.32</v>
      </c>
      <c r="F785" s="2">
        <v>2</v>
      </c>
      <c r="G785" s="2" t="s">
        <v>10</v>
      </c>
      <c r="H785" s="2" t="s">
        <v>4907</v>
      </c>
    </row>
    <row r="786" spans="1:8" x14ac:dyDescent="0.2">
      <c r="A786" s="2" t="s">
        <v>3659</v>
      </c>
      <c r="B786" s="2" t="s">
        <v>594</v>
      </c>
      <c r="C786" s="2">
        <v>750.47559999999999</v>
      </c>
      <c r="D786" s="2">
        <f>HYPERLINK("http://mcb-m6.bioreg.kyushu-u.ac.jp/M3/20110418/F50974/2127/1", 50.69)</f>
        <v>50.69</v>
      </c>
      <c r="E786" s="2">
        <v>35.6</v>
      </c>
      <c r="F786" s="2">
        <v>2</v>
      </c>
      <c r="G786" s="2" t="s">
        <v>11</v>
      </c>
      <c r="H786" s="2" t="s">
        <v>4904</v>
      </c>
    </row>
    <row r="787" spans="1:8" x14ac:dyDescent="0.2">
      <c r="A787" s="2" t="s">
        <v>3659</v>
      </c>
      <c r="B787" s="2" t="s">
        <v>594</v>
      </c>
      <c r="C787" s="2">
        <v>506.60550000000001</v>
      </c>
      <c r="D787" s="2">
        <f>HYPERLINK("http://mcb-m6.bioreg.kyushu-u.ac.jp/M3/20110418/F50996/2136/1", 51.62)</f>
        <v>51.62</v>
      </c>
      <c r="E787" s="2">
        <v>40.03</v>
      </c>
      <c r="F787" s="2">
        <v>3</v>
      </c>
      <c r="G787" s="2" t="s">
        <v>11</v>
      </c>
    </row>
    <row r="788" spans="1:8" x14ac:dyDescent="0.2">
      <c r="A788" s="2" t="s">
        <v>3659</v>
      </c>
      <c r="B788" s="2" t="s">
        <v>594</v>
      </c>
      <c r="C788" s="2">
        <v>759.36609999999996</v>
      </c>
      <c r="D788" s="2">
        <f>HYPERLINK("http://mcb-m6.bioreg.kyushu-u.ac.jp/M3/20110418/F50996/2135/1", 53.39)</f>
        <v>53.39</v>
      </c>
      <c r="E788" s="2">
        <v>39.950000000000003</v>
      </c>
      <c r="F788" s="2">
        <v>2</v>
      </c>
      <c r="G788" s="2" t="s">
        <v>11</v>
      </c>
    </row>
    <row r="789" spans="1:8" x14ac:dyDescent="0.2">
      <c r="A789" s="2" t="s">
        <v>3659</v>
      </c>
      <c r="B789" s="2" t="s">
        <v>594</v>
      </c>
      <c r="C789" s="2">
        <v>750.32460000000003</v>
      </c>
      <c r="D789" s="2">
        <f>HYPERLINK("http://mcb-m6.bioreg.kyushu-u.ac.jp/M3/20110418/F50996/2101/1", 53.74)</f>
        <v>53.74</v>
      </c>
      <c r="E789" s="2">
        <v>35.39</v>
      </c>
      <c r="F789" s="2">
        <v>2</v>
      </c>
      <c r="G789" s="2" t="s">
        <v>11</v>
      </c>
      <c r="H789" s="2" t="s">
        <v>4904</v>
      </c>
    </row>
    <row r="790" spans="1:8" x14ac:dyDescent="0.2">
      <c r="A790" s="2" t="s">
        <v>3659</v>
      </c>
      <c r="B790" s="2" t="s">
        <v>594</v>
      </c>
      <c r="C790" s="2">
        <v>750.3057</v>
      </c>
      <c r="D790" s="2">
        <f>HYPERLINK("http://mcb-m6.bioreg.kyushu-u.ac.jp/M3/20110418/F50996/2099/1", 58.65)</f>
        <v>58.65</v>
      </c>
      <c r="E790" s="2">
        <v>41.43</v>
      </c>
      <c r="F790" s="2">
        <v>2</v>
      </c>
      <c r="G790" s="2" t="s">
        <v>11</v>
      </c>
      <c r="H790" s="2" t="s">
        <v>4904</v>
      </c>
    </row>
    <row r="791" spans="1:8" x14ac:dyDescent="0.2">
      <c r="A791" s="2" t="s">
        <v>3659</v>
      </c>
      <c r="B791" s="2" t="s">
        <v>594</v>
      </c>
      <c r="C791" s="2">
        <v>506.61520000000002</v>
      </c>
      <c r="D791" s="2">
        <f>HYPERLINK("http://mcb-m6.bioreg.kyushu-u.ac.jp/M3/20110418/F50974/2166/1", 65.19)</f>
        <v>65.19</v>
      </c>
      <c r="E791" s="2">
        <v>49.74</v>
      </c>
      <c r="F791" s="2">
        <v>3</v>
      </c>
      <c r="G791" s="2" t="s">
        <v>11</v>
      </c>
    </row>
    <row r="792" spans="1:8" x14ac:dyDescent="0.2">
      <c r="A792" s="2" t="s">
        <v>3659</v>
      </c>
      <c r="B792" s="2" t="s">
        <v>1472</v>
      </c>
      <c r="C792" s="2">
        <v>1116.3019999999999</v>
      </c>
      <c r="D792" s="2">
        <f>HYPERLINK("http://mcb-m6.bioreg.kyushu-u.ac.jp/M3/20110418/F50974/3535/1", 119.42)</f>
        <v>119.42</v>
      </c>
      <c r="E792" s="2">
        <v>104.95</v>
      </c>
      <c r="F792" s="2">
        <v>2</v>
      </c>
      <c r="G792" s="2" t="s">
        <v>11</v>
      </c>
      <c r="H792" s="2" t="s">
        <v>4907</v>
      </c>
    </row>
    <row r="793" spans="1:8" x14ac:dyDescent="0.2">
      <c r="A793" s="2" t="s">
        <v>3659</v>
      </c>
      <c r="B793" s="2" t="s">
        <v>1472</v>
      </c>
      <c r="C793" s="2">
        <v>1116.2529999999999</v>
      </c>
      <c r="D793" s="2">
        <f>HYPERLINK("http://mcb-m6.bioreg.kyushu-u.ac.jp/M3/20110418/F50996/3190/1", 147.82)</f>
        <v>147.82</v>
      </c>
      <c r="E793" s="2">
        <v>137.33000000000001</v>
      </c>
      <c r="F793" s="2">
        <v>2</v>
      </c>
      <c r="G793" s="2" t="s">
        <v>11</v>
      </c>
      <c r="H793" s="2" t="s">
        <v>4907</v>
      </c>
    </row>
    <row r="794" spans="1:8" x14ac:dyDescent="0.2">
      <c r="A794" s="2" t="s">
        <v>3659</v>
      </c>
      <c r="B794" s="2" t="s">
        <v>1472</v>
      </c>
      <c r="C794" s="2">
        <v>1116.2650000000001</v>
      </c>
      <c r="D794" s="2">
        <f>HYPERLINK("http://mcb-m6.bioreg.kyushu-u.ac.jp/M3/20110418/F50999/2888/1", 148.4)</f>
        <v>148.4</v>
      </c>
      <c r="E794" s="2">
        <v>140.69</v>
      </c>
      <c r="F794" s="2">
        <v>2</v>
      </c>
      <c r="G794" s="2" t="s">
        <v>11</v>
      </c>
      <c r="H794" s="2" t="s">
        <v>4907</v>
      </c>
    </row>
    <row r="795" spans="1:8" x14ac:dyDescent="0.2">
      <c r="A795" s="2" t="s">
        <v>3659</v>
      </c>
      <c r="B795" s="2" t="s">
        <v>594</v>
      </c>
      <c r="C795" s="2">
        <v>758.83219999999994</v>
      </c>
      <c r="D795" s="2">
        <f>HYPERLINK("http://mcb-m6.bioreg.kyushu-u.ac.jp/M3/20110418/F50997/2088/1", 38.89)</f>
        <v>38.89</v>
      </c>
      <c r="E795" s="2">
        <v>23.06</v>
      </c>
      <c r="F795" s="2">
        <v>2</v>
      </c>
      <c r="G795" s="2" t="s">
        <v>12</v>
      </c>
    </row>
    <row r="796" spans="1:8" x14ac:dyDescent="0.2">
      <c r="A796" s="2" t="s">
        <v>3659</v>
      </c>
      <c r="B796" s="2" t="s">
        <v>594</v>
      </c>
      <c r="C796" s="2">
        <v>758.85270000000003</v>
      </c>
      <c r="D796" s="2">
        <f>HYPERLINK("http://mcb-m6.bioreg.kyushu-u.ac.jp/M3/20110418/F50997/2089/1", 66.1)</f>
        <v>66.099999999999994</v>
      </c>
      <c r="E796" s="2">
        <v>42.06</v>
      </c>
      <c r="F796" s="2">
        <v>2</v>
      </c>
      <c r="G796" s="2" t="s">
        <v>12</v>
      </c>
    </row>
    <row r="797" spans="1:8" x14ac:dyDescent="0.2">
      <c r="A797" s="2" t="s">
        <v>3659</v>
      </c>
      <c r="B797" s="2" t="s">
        <v>1472</v>
      </c>
      <c r="C797" s="2">
        <v>1115.779</v>
      </c>
      <c r="D797" s="2">
        <f>HYPERLINK("http://mcb-m6.bioreg.kyushu-u.ac.jp/M3/20110418/F50997/3148/1", 104.44)</f>
        <v>104.44</v>
      </c>
      <c r="E797" s="2">
        <v>96.12</v>
      </c>
      <c r="F797" s="2">
        <v>2</v>
      </c>
      <c r="G797" s="2" t="s">
        <v>12</v>
      </c>
      <c r="H797" s="2" t="s">
        <v>4907</v>
      </c>
    </row>
    <row r="798" spans="1:8" x14ac:dyDescent="0.2">
      <c r="A798" s="2" t="s">
        <v>3659</v>
      </c>
      <c r="B798" s="2" t="s">
        <v>1472</v>
      </c>
      <c r="C798" s="2">
        <v>1116.3240000000001</v>
      </c>
      <c r="D798" s="2">
        <f>HYPERLINK("http://mcb-m6.bioreg.kyushu-u.ac.jp/M3/20110418/F50997/3151/1", 138.19)</f>
        <v>138.19</v>
      </c>
      <c r="E798" s="2">
        <v>129.15</v>
      </c>
      <c r="F798" s="2">
        <v>2</v>
      </c>
      <c r="G798" s="2" t="s">
        <v>12</v>
      </c>
      <c r="H798" s="2" t="s">
        <v>4907</v>
      </c>
    </row>
    <row r="799" spans="1:8" x14ac:dyDescent="0.2">
      <c r="A799" s="2" t="s">
        <v>3659</v>
      </c>
      <c r="B799" s="2" t="s">
        <v>594</v>
      </c>
      <c r="C799" s="2">
        <v>759.40009999999995</v>
      </c>
      <c r="D799" s="2">
        <f>HYPERLINK("http://mcb-m6.bioreg.kyushu-u.ac.jp/M3/20110429/F51157/1842/1", 35.7)</f>
        <v>35.700000000000003</v>
      </c>
      <c r="E799" s="2">
        <v>18.05</v>
      </c>
      <c r="F799" s="2">
        <v>2</v>
      </c>
      <c r="G799" s="2" t="s">
        <v>13</v>
      </c>
    </row>
    <row r="800" spans="1:8" x14ac:dyDescent="0.2">
      <c r="A800" s="2" t="s">
        <v>3659</v>
      </c>
      <c r="B800" s="2" t="s">
        <v>594</v>
      </c>
      <c r="C800" s="2">
        <v>758.34059999999999</v>
      </c>
      <c r="D800" s="2">
        <f>HYPERLINK("http://mcb-m6.bioreg.kyushu-u.ac.jp/M3/20110429/F51157/1838/1", 41.04)</f>
        <v>41.04</v>
      </c>
      <c r="E800" s="2">
        <v>23.62</v>
      </c>
      <c r="F800" s="2">
        <v>2</v>
      </c>
      <c r="G800" s="2" t="s">
        <v>13</v>
      </c>
    </row>
    <row r="801" spans="1:8" x14ac:dyDescent="0.2">
      <c r="A801" s="2" t="s">
        <v>3659</v>
      </c>
      <c r="B801" s="2" t="s">
        <v>1472</v>
      </c>
      <c r="C801" s="2">
        <v>1108.3989999999999</v>
      </c>
      <c r="D801" s="2">
        <f>HYPERLINK("http://mcb-m6.bioreg.kyushu-u.ac.jp/M3/20110429/F51157/3316/1", 44.17)</f>
        <v>44.17</v>
      </c>
      <c r="E801" s="2">
        <v>36.71</v>
      </c>
      <c r="F801" s="2">
        <v>2</v>
      </c>
      <c r="G801" s="2" t="s">
        <v>13</v>
      </c>
    </row>
    <row r="802" spans="1:8" x14ac:dyDescent="0.2">
      <c r="A802" s="2" t="s">
        <v>3659</v>
      </c>
      <c r="B802" s="2" t="s">
        <v>594</v>
      </c>
      <c r="C802" s="2">
        <v>750.55520000000001</v>
      </c>
      <c r="D802" s="2">
        <f>HYPERLINK("http://mcb-m6.bioreg.kyushu-u.ac.jp/M3/20110502/F51158/1951/1", 50.47)</f>
        <v>50.47</v>
      </c>
      <c r="E802" s="2">
        <v>29.81</v>
      </c>
      <c r="F802" s="2">
        <v>2</v>
      </c>
      <c r="G802" s="2" t="s">
        <v>13</v>
      </c>
      <c r="H802" s="2" t="s">
        <v>4904</v>
      </c>
    </row>
    <row r="803" spans="1:8" x14ac:dyDescent="0.2">
      <c r="A803" s="2" t="s">
        <v>3659</v>
      </c>
      <c r="B803" s="2" t="s">
        <v>594</v>
      </c>
      <c r="C803" s="2">
        <v>750.42359999999996</v>
      </c>
      <c r="D803" s="2">
        <f>HYPERLINK("http://mcb-m6.bioreg.kyushu-u.ac.jp/M3/20110429/F51157/1791/1", 57.2)</f>
        <v>57.2</v>
      </c>
      <c r="E803" s="2">
        <v>40.07</v>
      </c>
      <c r="F803" s="2">
        <v>2</v>
      </c>
      <c r="G803" s="2" t="s">
        <v>13</v>
      </c>
      <c r="H803" s="2" t="s">
        <v>4904</v>
      </c>
    </row>
    <row r="804" spans="1:8" x14ac:dyDescent="0.2">
      <c r="A804" s="2" t="s">
        <v>3659</v>
      </c>
      <c r="B804" s="2" t="s">
        <v>594</v>
      </c>
      <c r="C804" s="2">
        <v>506.33789999999999</v>
      </c>
      <c r="D804" s="2">
        <f>HYPERLINK("http://mcb-m6.bioreg.kyushu-u.ac.jp/M3/20110429/F51157/1840/1", 58.6)</f>
        <v>58.6</v>
      </c>
      <c r="E804" s="2">
        <v>43.73</v>
      </c>
      <c r="F804" s="2">
        <v>3</v>
      </c>
      <c r="G804" s="2" t="s">
        <v>13</v>
      </c>
    </row>
    <row r="805" spans="1:8" x14ac:dyDescent="0.2">
      <c r="A805" s="2" t="s">
        <v>3659</v>
      </c>
      <c r="B805" s="2" t="s">
        <v>1472</v>
      </c>
      <c r="C805" s="2">
        <v>1115.8820000000001</v>
      </c>
      <c r="D805" s="2">
        <f>HYPERLINK("http://mcb-m6.bioreg.kyushu-u.ac.jp/M3/20110429/F51157/3348/1", 72.95)</f>
        <v>72.95</v>
      </c>
      <c r="E805" s="2">
        <v>65.569999999999993</v>
      </c>
      <c r="F805" s="2">
        <v>2</v>
      </c>
      <c r="G805" s="2" t="s">
        <v>13</v>
      </c>
      <c r="H805" s="2" t="s">
        <v>4907</v>
      </c>
    </row>
    <row r="806" spans="1:8" x14ac:dyDescent="0.2">
      <c r="A806" s="2" t="s">
        <v>3659</v>
      </c>
      <c r="B806" s="2" t="s">
        <v>1472</v>
      </c>
      <c r="C806" s="2">
        <v>1116.393</v>
      </c>
      <c r="D806" s="2">
        <f>HYPERLINK("http://mcb-m6.bioreg.kyushu-u.ac.jp/M3/20110429/F51157/3351/1", 76.67)</f>
        <v>76.67</v>
      </c>
      <c r="E806" s="2">
        <v>68.510000000000005</v>
      </c>
      <c r="F806" s="2">
        <v>2</v>
      </c>
      <c r="G806" s="2" t="s">
        <v>13</v>
      </c>
      <c r="H806" s="2" t="s">
        <v>4907</v>
      </c>
    </row>
    <row r="807" spans="1:8" x14ac:dyDescent="0.2">
      <c r="A807" s="2" t="s">
        <v>3659</v>
      </c>
      <c r="B807" s="2" t="s">
        <v>594</v>
      </c>
      <c r="C807" s="2">
        <v>750.47559999999999</v>
      </c>
      <c r="D807" s="2">
        <f>HYPERLINK("http://mcb-m6.bioreg.kyushu-u.ac.jp/M3/20110428/F51141/1985/1", 44.27)</f>
        <v>44.27</v>
      </c>
      <c r="E807" s="2">
        <v>19.010000000000002</v>
      </c>
      <c r="F807" s="2">
        <v>2</v>
      </c>
      <c r="G807" s="2" t="s">
        <v>14</v>
      </c>
      <c r="H807" s="2" t="s">
        <v>4904</v>
      </c>
    </row>
    <row r="808" spans="1:8" x14ac:dyDescent="0.2">
      <c r="A808" s="2" t="s">
        <v>3659</v>
      </c>
      <c r="B808" s="2" t="s">
        <v>594</v>
      </c>
      <c r="C808" s="2">
        <v>750.48109999999997</v>
      </c>
      <c r="D808" s="2">
        <f>HYPERLINK("http://mcb-m6.bioreg.kyushu-u.ac.jp/M3/20110428/F51144/2266/1", 50.75)</f>
        <v>50.75</v>
      </c>
      <c r="E808" s="2">
        <v>31.68</v>
      </c>
      <c r="F808" s="2">
        <v>2</v>
      </c>
      <c r="G808" s="2" t="s">
        <v>14</v>
      </c>
      <c r="H808" s="2" t="s">
        <v>4904</v>
      </c>
    </row>
    <row r="809" spans="1:8" x14ac:dyDescent="0.2">
      <c r="A809" s="2" t="s">
        <v>3659</v>
      </c>
      <c r="B809" s="2" t="s">
        <v>594</v>
      </c>
      <c r="C809" s="2">
        <v>758.57069999999999</v>
      </c>
      <c r="D809" s="2">
        <f>HYPERLINK("http://mcb-m6.bioreg.kyushu-u.ac.jp/M3/20110502/F51159/2048/1", 51.97)</f>
        <v>51.97</v>
      </c>
      <c r="E809" s="2">
        <v>39.17</v>
      </c>
      <c r="F809" s="2">
        <v>2</v>
      </c>
      <c r="G809" s="2" t="s">
        <v>14</v>
      </c>
    </row>
    <row r="810" spans="1:8" x14ac:dyDescent="0.2">
      <c r="A810" s="2" t="s">
        <v>3659</v>
      </c>
      <c r="B810" s="2" t="s">
        <v>594</v>
      </c>
      <c r="C810" s="2">
        <v>750.5172</v>
      </c>
      <c r="D810" s="2">
        <f>HYPERLINK("http://mcb-m6.bioreg.kyushu-u.ac.jp/M3/20110502/F51159/2024/1", 52.38)</f>
        <v>52.38</v>
      </c>
      <c r="E810" s="2">
        <v>30.73</v>
      </c>
      <c r="F810" s="2">
        <v>2</v>
      </c>
      <c r="G810" s="2" t="s">
        <v>14</v>
      </c>
      <c r="H810" s="2" t="s">
        <v>4904</v>
      </c>
    </row>
    <row r="811" spans="1:8" x14ac:dyDescent="0.2">
      <c r="A811" s="2" t="s">
        <v>3659</v>
      </c>
      <c r="B811" s="2" t="s">
        <v>594</v>
      </c>
      <c r="C811" s="2">
        <v>750.57370000000003</v>
      </c>
      <c r="D811" s="2">
        <f>HYPERLINK("http://mcb-m6.bioreg.kyushu-u.ac.jp/M3/20110502/F51159/2025/1", 53.7)</f>
        <v>53.7</v>
      </c>
      <c r="E811" s="2">
        <v>34.96</v>
      </c>
      <c r="F811" s="2">
        <v>2</v>
      </c>
      <c r="G811" s="2" t="s">
        <v>14</v>
      </c>
      <c r="H811" s="2" t="s">
        <v>4904</v>
      </c>
    </row>
    <row r="812" spans="1:8" x14ac:dyDescent="0.2">
      <c r="A812" s="2" t="s">
        <v>3659</v>
      </c>
      <c r="B812" s="2" t="s">
        <v>594</v>
      </c>
      <c r="C812" s="2">
        <v>750.37519999999995</v>
      </c>
      <c r="D812" s="2">
        <f>HYPERLINK("http://mcb-m6.bioreg.kyushu-u.ac.jp/M3/20110428/F51140/2046/1", 55.57)</f>
        <v>55.57</v>
      </c>
      <c r="E812" s="2">
        <v>33.950000000000003</v>
      </c>
      <c r="F812" s="2">
        <v>2</v>
      </c>
      <c r="G812" s="2" t="s">
        <v>14</v>
      </c>
      <c r="H812" s="2" t="s">
        <v>4904</v>
      </c>
    </row>
    <row r="813" spans="1:8" x14ac:dyDescent="0.2">
      <c r="A813" s="2" t="s">
        <v>3659</v>
      </c>
      <c r="B813" s="2" t="s">
        <v>594</v>
      </c>
      <c r="C813" s="2">
        <v>750.58759999999995</v>
      </c>
      <c r="D813" s="2">
        <f>HYPERLINK("http://mcb-m6.bioreg.kyushu-u.ac.jp/M3/20110502/F51159/2026/1", 56.98)</f>
        <v>56.98</v>
      </c>
      <c r="E813" s="2">
        <v>35.46</v>
      </c>
      <c r="F813" s="2">
        <v>2</v>
      </c>
      <c r="G813" s="2" t="s">
        <v>14</v>
      </c>
      <c r="H813" s="2" t="s">
        <v>4904</v>
      </c>
    </row>
    <row r="814" spans="1:8" x14ac:dyDescent="0.2">
      <c r="A814" s="2" t="s">
        <v>3659</v>
      </c>
      <c r="B814" s="2" t="s">
        <v>594</v>
      </c>
      <c r="C814" s="2">
        <v>750.60270000000003</v>
      </c>
      <c r="D814" s="2">
        <f>HYPERLINK("http://mcb-m6.bioreg.kyushu-u.ac.jp/M3/20110502/F51160/1837/1", 69.25)</f>
        <v>69.25</v>
      </c>
      <c r="E814" s="2">
        <v>47.91</v>
      </c>
      <c r="F814" s="2">
        <v>2</v>
      </c>
      <c r="G814" s="2" t="s">
        <v>14</v>
      </c>
      <c r="H814" s="2" t="s">
        <v>4904</v>
      </c>
    </row>
    <row r="815" spans="1:8" x14ac:dyDescent="0.2">
      <c r="A815" s="2" t="s">
        <v>3659</v>
      </c>
      <c r="B815" s="2" t="s">
        <v>594</v>
      </c>
      <c r="C815" s="2">
        <v>750.60670000000005</v>
      </c>
      <c r="D815" s="2">
        <f>HYPERLINK("http://mcb-m6.bioreg.kyushu-u.ac.jp/M3/20110502/F51159/2027/1", 70.59)</f>
        <v>70.59</v>
      </c>
      <c r="E815" s="2">
        <v>42.24</v>
      </c>
      <c r="F815" s="2">
        <v>2</v>
      </c>
      <c r="G815" s="2" t="s">
        <v>14</v>
      </c>
      <c r="H815" s="2" t="s">
        <v>4904</v>
      </c>
    </row>
    <row r="816" spans="1:8" x14ac:dyDescent="0.2">
      <c r="A816" s="2" t="s">
        <v>3659</v>
      </c>
      <c r="B816" s="2" t="s">
        <v>1472</v>
      </c>
      <c r="C816" s="2">
        <v>1116.498</v>
      </c>
      <c r="D816" s="2">
        <f>HYPERLINK("http://mcb-m6.bioreg.kyushu-u.ac.jp/M3/20110502/F51160/2994/1", 127.92)</f>
        <v>127.92</v>
      </c>
      <c r="E816" s="2">
        <v>118.31</v>
      </c>
      <c r="F816" s="2">
        <v>2</v>
      </c>
      <c r="G816" s="2" t="s">
        <v>14</v>
      </c>
      <c r="H816" s="2" t="s">
        <v>4907</v>
      </c>
    </row>
    <row r="817" spans="1:9" x14ac:dyDescent="0.2">
      <c r="A817" s="2" t="s">
        <v>3454</v>
      </c>
      <c r="B817" s="2" t="s">
        <v>265</v>
      </c>
      <c r="C817" s="2">
        <v>587.3152</v>
      </c>
      <c r="D817" s="2">
        <f>HYPERLINK("http://mcb-m6.bioreg.kyushu-u.ac.jp/M3/20110418/F50977/1285/2", 39.07)</f>
        <v>39.07</v>
      </c>
      <c r="E817" s="2">
        <v>25.36</v>
      </c>
      <c r="F817" s="2">
        <v>2</v>
      </c>
      <c r="G817" s="2" t="s">
        <v>11</v>
      </c>
    </row>
    <row r="818" spans="1:9" x14ac:dyDescent="0.2">
      <c r="A818" s="2" t="s">
        <v>5621</v>
      </c>
      <c r="B818" s="2" t="s">
        <v>5030</v>
      </c>
      <c r="C818" s="2">
        <v>567.35019999999997</v>
      </c>
      <c r="D818" s="2">
        <f>HYPERLINK("http://mcb-m6.bioreg.kyushu-u.ac.jp/M3/20110318/F50618/1000/1", 40.67)</f>
        <v>40.67</v>
      </c>
      <c r="E818" s="2">
        <v>14.68</v>
      </c>
      <c r="F818" s="2">
        <v>2</v>
      </c>
      <c r="G818" s="2" t="s">
        <v>9</v>
      </c>
    </row>
    <row r="819" spans="1:9" x14ac:dyDescent="0.2">
      <c r="A819" s="2" t="s">
        <v>5621</v>
      </c>
      <c r="B819" s="2" t="s">
        <v>5030</v>
      </c>
      <c r="C819" s="2">
        <v>567.08420000000001</v>
      </c>
      <c r="D819" s="2">
        <f>HYPERLINK("http://mcb-m6.bioreg.kyushu-u.ac.jp/M3/20110318/F50605/1099/1", 52.73)</f>
        <v>52.73</v>
      </c>
      <c r="E819" s="2">
        <v>26.84</v>
      </c>
      <c r="F819" s="2">
        <v>2</v>
      </c>
      <c r="G819" s="2" t="s">
        <v>9</v>
      </c>
    </row>
    <row r="820" spans="1:9" x14ac:dyDescent="0.2">
      <c r="A820" s="2" t="s">
        <v>4374</v>
      </c>
      <c r="B820" s="2" t="s">
        <v>2205</v>
      </c>
      <c r="C820" s="2">
        <v>530.8107</v>
      </c>
      <c r="D820" s="2">
        <f>HYPERLINK("http://mcb-m6.bioreg.kyushu-u.ac.jp/M3/20110318/F50610/1376/1", 51.54)</f>
        <v>51.54</v>
      </c>
      <c r="E820" s="2">
        <v>14.51</v>
      </c>
      <c r="F820" s="2">
        <v>2</v>
      </c>
      <c r="G820" s="2" t="s">
        <v>9</v>
      </c>
    </row>
    <row r="821" spans="1:9" x14ac:dyDescent="0.2">
      <c r="A821" s="2" t="s">
        <v>4374</v>
      </c>
      <c r="B821" s="2" t="s">
        <v>2205</v>
      </c>
      <c r="C821" s="2">
        <v>530.90260000000001</v>
      </c>
      <c r="D821" s="2">
        <f>HYPERLINK("http://mcb-m6.bioreg.kyushu-u.ac.jp/M3/20110318/F50622/1005/1", 55.73)</f>
        <v>55.73</v>
      </c>
      <c r="E821" s="2">
        <v>27.26</v>
      </c>
      <c r="F821" s="2">
        <v>2</v>
      </c>
      <c r="G821" s="2" t="s">
        <v>10</v>
      </c>
    </row>
    <row r="822" spans="1:9" x14ac:dyDescent="0.2">
      <c r="A822" s="2" t="s">
        <v>5661</v>
      </c>
      <c r="B822" s="2" t="s">
        <v>5124</v>
      </c>
      <c r="C822" s="2">
        <v>818.22170000000006</v>
      </c>
      <c r="D822" s="2">
        <f>HYPERLINK("http://mcb-m6.bioreg.kyushu-u.ac.jp/M3/20110318/F50619/1747/1", 62.53)</f>
        <v>62.53</v>
      </c>
      <c r="E822" s="2">
        <v>43.08</v>
      </c>
      <c r="F822" s="2">
        <v>2</v>
      </c>
      <c r="G822" s="2" t="s">
        <v>9</v>
      </c>
      <c r="I822" s="2" t="s">
        <v>4972</v>
      </c>
    </row>
    <row r="823" spans="1:9" x14ac:dyDescent="0.2">
      <c r="A823" s="2" t="s">
        <v>5661</v>
      </c>
      <c r="B823" s="2" t="s">
        <v>5124</v>
      </c>
      <c r="C823" s="2">
        <v>817.97270000000003</v>
      </c>
      <c r="D823" s="2">
        <f>HYPERLINK("http://mcb-m6.bioreg.kyushu-u.ac.jp/M3/20110502/F51158/2318/1", 50.67)</f>
        <v>50.67</v>
      </c>
      <c r="E823" s="2">
        <v>25.29</v>
      </c>
      <c r="F823" s="2">
        <v>2</v>
      </c>
      <c r="G823" s="2" t="s">
        <v>13</v>
      </c>
      <c r="I823" s="2" t="s">
        <v>4972</v>
      </c>
    </row>
    <row r="824" spans="1:9" x14ac:dyDescent="0.2">
      <c r="A824" s="2" t="s">
        <v>5878</v>
      </c>
      <c r="B824" s="2" t="s">
        <v>5580</v>
      </c>
      <c r="C824" s="2">
        <v>576.8981</v>
      </c>
      <c r="D824" s="2">
        <f>HYPERLINK("http://mcb-m6.bioreg.kyushu-u.ac.jp/M3/20110428/F51141/1026/1", 41.04)</f>
        <v>41.04</v>
      </c>
      <c r="E824" s="2">
        <v>25.79</v>
      </c>
      <c r="F824" s="2">
        <v>2</v>
      </c>
      <c r="G824" s="2" t="s">
        <v>14</v>
      </c>
    </row>
    <row r="825" spans="1:9" x14ac:dyDescent="0.2">
      <c r="A825" s="2" t="s">
        <v>3446</v>
      </c>
      <c r="B825" s="2" t="s">
        <v>1635</v>
      </c>
      <c r="C825" s="2">
        <v>977.28769999999997</v>
      </c>
      <c r="D825" s="2">
        <f>HYPERLINK("http://mcb-m6.bioreg.kyushu-u.ac.jp/M3/20110418/F50974/3161/1", 57.35)</f>
        <v>57.35</v>
      </c>
      <c r="E825" s="2">
        <v>46.81</v>
      </c>
      <c r="F825" s="2">
        <v>2</v>
      </c>
      <c r="G825" s="2" t="s">
        <v>11</v>
      </c>
      <c r="H825" s="2" t="s">
        <v>4971</v>
      </c>
      <c r="I825" s="2" t="s">
        <v>4898</v>
      </c>
    </row>
    <row r="826" spans="1:9" x14ac:dyDescent="0.2">
      <c r="A826" s="2" t="s">
        <v>3694</v>
      </c>
      <c r="B826" s="2" t="s">
        <v>5107</v>
      </c>
      <c r="C826" s="2">
        <v>852.38019999999995</v>
      </c>
      <c r="D826" s="2">
        <f>HYPERLINK("http://mcb-m6.bioreg.kyushu-u.ac.jp/M3/20110318/F50607/1904/1", 56.47)</f>
        <v>56.47</v>
      </c>
      <c r="E826" s="2">
        <v>42.51</v>
      </c>
      <c r="F826" s="2">
        <v>2</v>
      </c>
      <c r="G826" s="2" t="s">
        <v>9</v>
      </c>
      <c r="I826" s="2" t="s">
        <v>4918</v>
      </c>
    </row>
    <row r="827" spans="1:9" x14ac:dyDescent="0.2">
      <c r="A827" s="2" t="s">
        <v>3694</v>
      </c>
      <c r="B827" s="2" t="s">
        <v>667</v>
      </c>
      <c r="C827" s="2">
        <v>671.42970000000003</v>
      </c>
      <c r="D827" s="2">
        <f>HYPERLINK("http://mcb-m6.bioreg.kyushu-u.ac.jp/M3/20110318/F50607/1304/1", 66.5)</f>
        <v>66.5</v>
      </c>
      <c r="E827" s="2">
        <v>51.91</v>
      </c>
      <c r="F827" s="2">
        <v>2</v>
      </c>
      <c r="G827" s="2" t="s">
        <v>9</v>
      </c>
    </row>
    <row r="828" spans="1:9" x14ac:dyDescent="0.2">
      <c r="A828" s="2" t="s">
        <v>3694</v>
      </c>
      <c r="B828" s="2" t="s">
        <v>667</v>
      </c>
      <c r="C828" s="2">
        <v>671.10670000000005</v>
      </c>
      <c r="D828" s="2">
        <f>HYPERLINK("http://mcb-m6.bioreg.kyushu-u.ac.jp/M3/20110318/F50598/1362/1", 44.54)</f>
        <v>44.54</v>
      </c>
      <c r="E828" s="2">
        <v>22.92</v>
      </c>
      <c r="F828" s="2">
        <v>2</v>
      </c>
      <c r="G828" s="2" t="s">
        <v>10</v>
      </c>
    </row>
    <row r="829" spans="1:9" x14ac:dyDescent="0.2">
      <c r="A829" s="2" t="s">
        <v>5829</v>
      </c>
      <c r="B829" s="2" t="s">
        <v>5511</v>
      </c>
      <c r="C829" s="2">
        <v>500.72809999999998</v>
      </c>
      <c r="D829" s="2">
        <f>HYPERLINK("http://mcb-m6.bioreg.kyushu-u.ac.jp/M3/20110429/F51152/833/1", 44.73)</f>
        <v>44.73</v>
      </c>
      <c r="E829" s="2">
        <v>12.23</v>
      </c>
      <c r="F829" s="2">
        <v>2</v>
      </c>
      <c r="G829" s="2" t="s">
        <v>13</v>
      </c>
    </row>
    <row r="830" spans="1:9" x14ac:dyDescent="0.2">
      <c r="A830" s="2" t="s">
        <v>5766</v>
      </c>
      <c r="B830" s="2" t="s">
        <v>5390</v>
      </c>
      <c r="C830" s="2">
        <v>679.50319999999999</v>
      </c>
      <c r="D830" s="2">
        <f>HYPERLINK("http://mcb-m6.bioreg.kyushu-u.ac.jp/M3/20110418/F50969/1919/1", 44.17)</f>
        <v>44.17</v>
      </c>
      <c r="E830" s="2">
        <v>19.13</v>
      </c>
      <c r="F830" s="2">
        <v>2</v>
      </c>
      <c r="G830" s="2" t="s">
        <v>11</v>
      </c>
    </row>
    <row r="831" spans="1:9" x14ac:dyDescent="0.2">
      <c r="A831" s="2" t="s">
        <v>5853</v>
      </c>
      <c r="B831" s="2" t="s">
        <v>5548</v>
      </c>
      <c r="C831" s="2">
        <v>808.22310000000004</v>
      </c>
      <c r="D831" s="2">
        <f>HYPERLINK("http://mcb-m6.bioreg.kyushu-u.ac.jp/M3/20110429/F51152/2358/1", 68.56)</f>
        <v>68.56</v>
      </c>
      <c r="E831" s="2">
        <v>42.33</v>
      </c>
      <c r="F831" s="2">
        <v>2</v>
      </c>
      <c r="G831" s="2" t="s">
        <v>13</v>
      </c>
    </row>
    <row r="832" spans="1:9" x14ac:dyDescent="0.2">
      <c r="A832" s="2" t="s">
        <v>5640</v>
      </c>
      <c r="B832" s="2" t="s">
        <v>5069</v>
      </c>
      <c r="C832" s="2">
        <v>576.75620000000004</v>
      </c>
      <c r="D832" s="2">
        <f>HYPERLINK("http://mcb-m6.bioreg.kyushu-u.ac.jp/M3/20110318/F50620/1161/1", 46.28)</f>
        <v>46.28</v>
      </c>
      <c r="E832" s="2">
        <v>22.2</v>
      </c>
      <c r="F832" s="2">
        <v>2</v>
      </c>
      <c r="G832" s="2" t="s">
        <v>9</v>
      </c>
    </row>
    <row r="833" spans="1:7" x14ac:dyDescent="0.2">
      <c r="A833" s="2" t="s">
        <v>5718</v>
      </c>
      <c r="B833" s="2" t="s">
        <v>5279</v>
      </c>
      <c r="C833" s="2">
        <v>790.83370000000002</v>
      </c>
      <c r="D833" s="2">
        <f>HYPERLINK("http://mcb-m6.bioreg.kyushu-u.ac.jp/M3/20110318/F50598/1792/1", 46.54)</f>
        <v>46.54</v>
      </c>
      <c r="E833" s="2">
        <v>28.47</v>
      </c>
      <c r="F833" s="2">
        <v>2</v>
      </c>
      <c r="G833" s="2" t="s">
        <v>10</v>
      </c>
    </row>
    <row r="834" spans="1:7" x14ac:dyDescent="0.2">
      <c r="A834" s="2" t="s">
        <v>5718</v>
      </c>
      <c r="B834" s="2" t="s">
        <v>5349</v>
      </c>
      <c r="C834" s="2">
        <v>869.42759999999998</v>
      </c>
      <c r="D834" s="2">
        <f>HYPERLINK("http://mcb-m6.bioreg.kyushu-u.ac.jp/M3/20110318/F50595/2534/1", 81.6)</f>
        <v>81.599999999999994</v>
      </c>
      <c r="E834" s="2">
        <v>63.07</v>
      </c>
      <c r="F834" s="2">
        <v>3</v>
      </c>
      <c r="G834" s="2" t="s">
        <v>10</v>
      </c>
    </row>
    <row r="835" spans="1:7" x14ac:dyDescent="0.2">
      <c r="A835" s="2" t="s">
        <v>4493</v>
      </c>
      <c r="B835" s="2" t="s">
        <v>2470</v>
      </c>
      <c r="C835" s="2">
        <v>528.30909999999994</v>
      </c>
      <c r="D835" s="2">
        <f>HYPERLINK("http://mcb-m6.bioreg.kyushu-u.ac.jp/M3/20110428/F51146/1322/1", 66.82)</f>
        <v>66.819999999999993</v>
      </c>
      <c r="E835" s="2">
        <v>36.22</v>
      </c>
      <c r="F835" s="2">
        <v>2</v>
      </c>
      <c r="G835" s="2" t="s">
        <v>13</v>
      </c>
    </row>
    <row r="836" spans="1:7" x14ac:dyDescent="0.2">
      <c r="A836" s="2" t="s">
        <v>4400</v>
      </c>
      <c r="B836" s="2" t="s">
        <v>2250</v>
      </c>
      <c r="C836" s="2">
        <v>867.61270000000002</v>
      </c>
      <c r="D836" s="2">
        <f>HYPERLINK("http://mcb-m6.bioreg.kyushu-u.ac.jp/M3/20110318/F50610/1927/1", 38.22)</f>
        <v>38.22</v>
      </c>
      <c r="E836" s="2">
        <v>18.7</v>
      </c>
      <c r="F836" s="2">
        <v>2</v>
      </c>
      <c r="G836" s="2" t="s">
        <v>9</v>
      </c>
    </row>
    <row r="837" spans="1:7" x14ac:dyDescent="0.2">
      <c r="A837" s="2" t="s">
        <v>4400</v>
      </c>
      <c r="B837" s="2" t="s">
        <v>5089</v>
      </c>
      <c r="C837" s="2">
        <v>555.41560000000004</v>
      </c>
      <c r="D837" s="2">
        <f>HYPERLINK("http://mcb-m6.bioreg.kyushu-u.ac.jp/M3/20110318/F50610/1402/1", 51.4)</f>
        <v>51.4</v>
      </c>
      <c r="E837" s="2">
        <v>18.54</v>
      </c>
      <c r="F837" s="2">
        <v>2</v>
      </c>
      <c r="G837" s="2" t="s">
        <v>9</v>
      </c>
    </row>
    <row r="838" spans="1:7" x14ac:dyDescent="0.2">
      <c r="A838" s="2" t="s">
        <v>4400</v>
      </c>
      <c r="B838" s="2" t="s">
        <v>5089</v>
      </c>
      <c r="C838" s="2">
        <v>555.88210000000004</v>
      </c>
      <c r="D838" s="2">
        <f>HYPERLINK("http://mcb-m6.bioreg.kyushu-u.ac.jp/M3/20110428/F51146/1425/1", 65.11)</f>
        <v>65.11</v>
      </c>
      <c r="E838" s="2">
        <v>27.6</v>
      </c>
      <c r="F838" s="2">
        <v>2</v>
      </c>
      <c r="G838" s="2" t="s">
        <v>13</v>
      </c>
    </row>
    <row r="839" spans="1:7" x14ac:dyDescent="0.2">
      <c r="A839" s="4" t="s">
        <v>4249</v>
      </c>
      <c r="B839" s="2" t="s">
        <v>1878</v>
      </c>
      <c r="C839" s="2">
        <v>807.37300000000005</v>
      </c>
      <c r="D839" s="2">
        <f>HYPERLINK("http://mcb-m6.bioreg.kyushu-u.ac.jp/M3/20110418/F50975/517/1", 46.3)</f>
        <v>46.3</v>
      </c>
      <c r="E839" s="2">
        <v>21.93</v>
      </c>
      <c r="F839" s="2">
        <v>1</v>
      </c>
      <c r="G839" s="2" t="s">
        <v>11</v>
      </c>
    </row>
    <row r="840" spans="1:7" x14ac:dyDescent="0.2">
      <c r="A840" s="2" t="s">
        <v>3781</v>
      </c>
      <c r="B840" s="2" t="s">
        <v>817</v>
      </c>
      <c r="C840" s="2">
        <v>561.81410000000005</v>
      </c>
      <c r="D840" s="2">
        <f>HYPERLINK("http://mcb-m6.bioreg.kyushu-u.ac.jp/M3/20110318/F50597/1043/1", 46.05)</f>
        <v>46.05</v>
      </c>
      <c r="E840" s="2">
        <v>33.28</v>
      </c>
      <c r="F840" s="2">
        <v>2</v>
      </c>
      <c r="G840" s="2" t="s">
        <v>10</v>
      </c>
    </row>
    <row r="841" spans="1:7" x14ac:dyDescent="0.2">
      <c r="A841" s="2" t="s">
        <v>3855</v>
      </c>
      <c r="B841" s="2" t="s">
        <v>957</v>
      </c>
      <c r="C841" s="2">
        <v>532.80269999999996</v>
      </c>
      <c r="D841" s="2">
        <f>HYPERLINK("http://mcb-m6.bioreg.kyushu-u.ac.jp/M3/20110418/F50979/1463/1", 37.4)</f>
        <v>37.4</v>
      </c>
      <c r="E841" s="2">
        <v>20.56</v>
      </c>
      <c r="F841" s="2">
        <v>2</v>
      </c>
      <c r="G841" s="2" t="s">
        <v>11</v>
      </c>
    </row>
    <row r="842" spans="1:7" x14ac:dyDescent="0.2">
      <c r="A842" s="2" t="s">
        <v>3855</v>
      </c>
      <c r="B842" s="2" t="s">
        <v>957</v>
      </c>
      <c r="C842" s="2">
        <v>533.22609999999997</v>
      </c>
      <c r="D842" s="2">
        <f>HYPERLINK("http://mcb-m6.bioreg.kyushu-u.ac.jp/M3/20110418/F50977/1055/1", 37.94)</f>
        <v>37.94</v>
      </c>
      <c r="E842" s="2">
        <v>16.12</v>
      </c>
      <c r="F842" s="2">
        <v>2</v>
      </c>
      <c r="G842" s="2" t="s">
        <v>11</v>
      </c>
    </row>
    <row r="843" spans="1:7" x14ac:dyDescent="0.2">
      <c r="A843" s="2" t="s">
        <v>3855</v>
      </c>
      <c r="B843" s="2" t="s">
        <v>957</v>
      </c>
      <c r="C843" s="2">
        <v>532.68370000000004</v>
      </c>
      <c r="D843" s="2">
        <f>HYPERLINK("http://mcb-m6.bioreg.kyushu-u.ac.jp/M3/20110418/F50975/910/1", 47.99)</f>
        <v>47.99</v>
      </c>
      <c r="E843" s="2">
        <v>24.81</v>
      </c>
      <c r="F843" s="2">
        <v>2</v>
      </c>
      <c r="G843" s="2" t="s">
        <v>11</v>
      </c>
    </row>
    <row r="844" spans="1:7" x14ac:dyDescent="0.2">
      <c r="A844" s="2" t="s">
        <v>3855</v>
      </c>
      <c r="B844" s="2" t="s">
        <v>957</v>
      </c>
      <c r="C844" s="2">
        <v>532.7527</v>
      </c>
      <c r="D844" s="2">
        <f>HYPERLINK("http://mcb-m6.bioreg.kyushu-u.ac.jp/M3/20110418/F50977/1052/1", 72.43)</f>
        <v>72.430000000000007</v>
      </c>
      <c r="E844" s="2">
        <v>45.69</v>
      </c>
      <c r="F844" s="2">
        <v>2</v>
      </c>
      <c r="G844" s="2" t="s">
        <v>11</v>
      </c>
    </row>
    <row r="845" spans="1:7" x14ac:dyDescent="0.2">
      <c r="A845" s="2" t="s">
        <v>3855</v>
      </c>
      <c r="B845" s="2" t="s">
        <v>957</v>
      </c>
      <c r="C845" s="2">
        <v>533.34270000000004</v>
      </c>
      <c r="D845" s="2">
        <f>HYPERLINK("http://mcb-m6.bioreg.kyushu-u.ac.jp/M3/20110428/F51141/854/1", 53.43)</f>
        <v>53.43</v>
      </c>
      <c r="E845" s="2">
        <v>26.98</v>
      </c>
      <c r="F845" s="2">
        <v>2</v>
      </c>
      <c r="G845" s="2" t="s">
        <v>14</v>
      </c>
    </row>
    <row r="846" spans="1:7" x14ac:dyDescent="0.2">
      <c r="A846" s="2" t="s">
        <v>3901</v>
      </c>
      <c r="B846" s="2" t="s">
        <v>1055</v>
      </c>
      <c r="C846" s="2">
        <v>662.98969999999997</v>
      </c>
      <c r="D846" s="2">
        <f>HYPERLINK("http://mcb-m6.bioreg.kyushu-u.ac.jp/M3/20110318/F50607/1288/1", 65.34)</f>
        <v>65.34</v>
      </c>
      <c r="E846" s="2">
        <v>43.48</v>
      </c>
      <c r="F846" s="2">
        <v>2</v>
      </c>
      <c r="G846" s="2" t="s">
        <v>9</v>
      </c>
    </row>
    <row r="847" spans="1:7" x14ac:dyDescent="0.2">
      <c r="A847" s="2" t="s">
        <v>3947</v>
      </c>
      <c r="B847" s="2" t="s">
        <v>1148</v>
      </c>
      <c r="C847" s="2">
        <v>838.85720000000003</v>
      </c>
      <c r="D847" s="2">
        <f>HYPERLINK("http://mcb-m6.bioreg.kyushu-u.ac.jp/M3/20110318/F50610/1891/1", 67.51)</f>
        <v>67.510000000000005</v>
      </c>
      <c r="E847" s="2">
        <v>53.54</v>
      </c>
      <c r="F847" s="2">
        <v>2</v>
      </c>
      <c r="G847" s="2" t="s">
        <v>9</v>
      </c>
    </row>
    <row r="848" spans="1:7" x14ac:dyDescent="0.2">
      <c r="A848" s="2" t="s">
        <v>3947</v>
      </c>
      <c r="B848" s="2" t="s">
        <v>1148</v>
      </c>
      <c r="C848" s="2">
        <v>838.79719999999998</v>
      </c>
      <c r="D848" s="2">
        <f>HYPERLINK("http://mcb-m6.bioreg.kyushu-u.ac.jp/M3/20110318/F50622/1831/1", 37.23)</f>
        <v>37.229999999999997</v>
      </c>
      <c r="E848" s="2">
        <v>20.74</v>
      </c>
      <c r="F848" s="2">
        <v>2</v>
      </c>
      <c r="G848" s="2" t="s">
        <v>10</v>
      </c>
    </row>
    <row r="849" spans="1:7" x14ac:dyDescent="0.2">
      <c r="A849" s="2" t="s">
        <v>3947</v>
      </c>
      <c r="B849" s="2" t="s">
        <v>1148</v>
      </c>
      <c r="C849" s="2">
        <v>838.31209999999999</v>
      </c>
      <c r="D849" s="2">
        <f>HYPERLINK("http://mcb-m6.bioreg.kyushu-u.ac.jp/M3/20110418/F50969/2385/1", 58.36)</f>
        <v>58.36</v>
      </c>
      <c r="E849" s="2">
        <v>33.53</v>
      </c>
      <c r="F849" s="2">
        <v>2</v>
      </c>
      <c r="G849" s="2" t="s">
        <v>11</v>
      </c>
    </row>
    <row r="850" spans="1:7" x14ac:dyDescent="0.2">
      <c r="A850" s="2" t="s">
        <v>3947</v>
      </c>
      <c r="B850" s="2" t="s">
        <v>1148</v>
      </c>
      <c r="C850" s="2">
        <v>838.43409999999994</v>
      </c>
      <c r="D850" s="2">
        <f>HYPERLINK("http://mcb-m6.bioreg.kyushu-u.ac.jp/M3/20110418/F50980/2338/1", 50.34)</f>
        <v>50.34</v>
      </c>
      <c r="E850" s="2">
        <v>39.18</v>
      </c>
      <c r="F850" s="2">
        <v>2</v>
      </c>
      <c r="G850" s="2" t="s">
        <v>12</v>
      </c>
    </row>
    <row r="851" spans="1:7" x14ac:dyDescent="0.2">
      <c r="A851" s="2" t="s">
        <v>3947</v>
      </c>
      <c r="B851" s="2" t="s">
        <v>1148</v>
      </c>
      <c r="C851" s="2">
        <v>838.62620000000004</v>
      </c>
      <c r="D851" s="2">
        <f>HYPERLINK("http://mcb-m6.bioreg.kyushu-u.ac.jp/M3/20110428/F51146/2446/1", 58.33)</f>
        <v>58.33</v>
      </c>
      <c r="E851" s="2">
        <v>43.85</v>
      </c>
      <c r="F851" s="2">
        <v>2</v>
      </c>
      <c r="G851" s="2" t="s">
        <v>13</v>
      </c>
    </row>
    <row r="852" spans="1:7" x14ac:dyDescent="0.2">
      <c r="A852" s="2" t="s">
        <v>3947</v>
      </c>
      <c r="B852" s="2" t="s">
        <v>1148</v>
      </c>
      <c r="C852" s="2">
        <v>838.62710000000004</v>
      </c>
      <c r="D852" s="2">
        <f>HYPERLINK("http://mcb-m6.bioreg.kyushu-u.ac.jp/M3/20110428/F51146/2447/1", 68.31)</f>
        <v>68.31</v>
      </c>
      <c r="E852" s="2">
        <v>38.159999999999997</v>
      </c>
      <c r="F852" s="2">
        <v>2</v>
      </c>
      <c r="G852" s="2" t="s">
        <v>13</v>
      </c>
    </row>
    <row r="853" spans="1:7" x14ac:dyDescent="0.2">
      <c r="A853" s="2" t="s">
        <v>3947</v>
      </c>
      <c r="B853" s="2" t="s">
        <v>1148</v>
      </c>
      <c r="C853" s="2">
        <v>838.33259999999996</v>
      </c>
      <c r="D853" s="2">
        <f>HYPERLINK("http://mcb-m6.bioreg.kyushu-u.ac.jp/M3/20110428/F51136/2351/1", 59.66)</f>
        <v>59.66</v>
      </c>
      <c r="E853" s="2">
        <v>46.59</v>
      </c>
      <c r="F853" s="2">
        <v>2</v>
      </c>
      <c r="G853" s="2" t="s">
        <v>14</v>
      </c>
    </row>
    <row r="854" spans="1:7" x14ac:dyDescent="0.2">
      <c r="A854" s="2" t="s">
        <v>3897</v>
      </c>
      <c r="B854" s="2" t="s">
        <v>1044</v>
      </c>
      <c r="C854" s="2">
        <v>883.72919999999999</v>
      </c>
      <c r="D854" s="2">
        <f>HYPERLINK("http://mcb-m6.bioreg.kyushu-u.ac.jp/M3/20110318/F50609/1979/1", 38.47)</f>
        <v>38.47</v>
      </c>
      <c r="E854" s="2">
        <v>26.07</v>
      </c>
      <c r="F854" s="2">
        <v>2</v>
      </c>
      <c r="G854" s="2" t="s">
        <v>9</v>
      </c>
    </row>
    <row r="855" spans="1:7" x14ac:dyDescent="0.2">
      <c r="A855" s="2" t="s">
        <v>3897</v>
      </c>
      <c r="B855" s="2" t="s">
        <v>1044</v>
      </c>
      <c r="C855" s="2">
        <v>884.47810000000004</v>
      </c>
      <c r="D855" s="2">
        <f>HYPERLINK("http://mcb-m6.bioreg.kyushu-u.ac.jp/M3/20110318/F50609/1985/1", 60.81)</f>
        <v>60.81</v>
      </c>
      <c r="E855" s="2">
        <v>42.48</v>
      </c>
      <c r="F855" s="2">
        <v>2</v>
      </c>
      <c r="G855" s="2" t="s">
        <v>9</v>
      </c>
    </row>
    <row r="856" spans="1:7" x14ac:dyDescent="0.2">
      <c r="A856" s="2" t="s">
        <v>3897</v>
      </c>
      <c r="B856" s="2" t="s">
        <v>1044</v>
      </c>
      <c r="C856" s="2">
        <v>884.1857</v>
      </c>
      <c r="D856" s="2">
        <f>HYPERLINK("http://mcb-m6.bioreg.kyushu-u.ac.jp/M3/20110318/F50600/2014/1", 53.54)</f>
        <v>53.54</v>
      </c>
      <c r="E856" s="2">
        <v>26.09</v>
      </c>
      <c r="F856" s="2">
        <v>2</v>
      </c>
      <c r="G856" s="2" t="s">
        <v>10</v>
      </c>
    </row>
    <row r="857" spans="1:7" x14ac:dyDescent="0.2">
      <c r="A857" s="2" t="s">
        <v>3897</v>
      </c>
      <c r="B857" s="2" t="s">
        <v>1044</v>
      </c>
      <c r="C857" s="2">
        <v>884.22059999999999</v>
      </c>
      <c r="D857" s="2">
        <f>HYPERLINK("http://mcb-m6.bioreg.kyushu-u.ac.jp/M3/20110318/F50617/2054/1", 58.92)</f>
        <v>58.92</v>
      </c>
      <c r="E857" s="2">
        <v>34.31</v>
      </c>
      <c r="F857" s="2">
        <v>2</v>
      </c>
      <c r="G857" s="2" t="s">
        <v>10</v>
      </c>
    </row>
    <row r="858" spans="1:7" x14ac:dyDescent="0.2">
      <c r="A858" s="2" t="s">
        <v>4014</v>
      </c>
      <c r="B858" s="2" t="s">
        <v>1315</v>
      </c>
      <c r="C858" s="2">
        <v>835.38070000000005</v>
      </c>
      <c r="D858" s="2">
        <f>HYPERLINK("http://mcb-m6.bioreg.kyushu-u.ac.jp/M3/20110318/F50599/1990/1", 71.09)</f>
        <v>71.09</v>
      </c>
      <c r="E858" s="2">
        <v>54.75</v>
      </c>
      <c r="F858" s="2">
        <v>2</v>
      </c>
      <c r="G858" s="2" t="s">
        <v>10</v>
      </c>
    </row>
    <row r="859" spans="1:7" x14ac:dyDescent="0.2">
      <c r="A859" s="2" t="s">
        <v>4369</v>
      </c>
      <c r="B859" s="2" t="s">
        <v>2196</v>
      </c>
      <c r="C859" s="2">
        <v>644.42070000000001</v>
      </c>
      <c r="D859" s="2">
        <f>HYPERLINK("http://mcb-m6.bioreg.kyushu-u.ac.jp/M3/20110318/F50599/1440/1", 73.46)</f>
        <v>73.459999999999994</v>
      </c>
      <c r="E859" s="2">
        <v>51.02</v>
      </c>
      <c r="F859" s="2">
        <v>2</v>
      </c>
      <c r="G859" s="2" t="s">
        <v>10</v>
      </c>
    </row>
    <row r="860" spans="1:7" x14ac:dyDescent="0.2">
      <c r="A860" s="2" t="s">
        <v>4369</v>
      </c>
      <c r="B860" s="2" t="s">
        <v>2196</v>
      </c>
      <c r="C860" s="2">
        <v>644.36969999999997</v>
      </c>
      <c r="D860" s="2">
        <f>HYPERLINK("http://mcb-m6.bioreg.kyushu-u.ac.jp/M3/20110428/F51139/1844/1", 51.81)</f>
        <v>51.81</v>
      </c>
      <c r="E860" s="2">
        <v>32.19</v>
      </c>
      <c r="F860" s="2">
        <v>2</v>
      </c>
      <c r="G860" s="2" t="s">
        <v>14</v>
      </c>
    </row>
    <row r="861" spans="1:7" x14ac:dyDescent="0.2">
      <c r="A861" s="2" t="s">
        <v>3971</v>
      </c>
      <c r="B861" s="2" t="s">
        <v>5343</v>
      </c>
      <c r="C861" s="2">
        <v>1003.016</v>
      </c>
      <c r="D861" s="2">
        <f>HYPERLINK("http://mcb-m6.bioreg.kyushu-u.ac.jp/M3/20110318/F50600/2239/1", 77.21)</f>
        <v>77.209999999999994</v>
      </c>
      <c r="E861" s="2">
        <v>60.44</v>
      </c>
      <c r="F861" s="2">
        <v>2</v>
      </c>
      <c r="G861" s="2" t="s">
        <v>10</v>
      </c>
    </row>
    <row r="862" spans="1:7" x14ac:dyDescent="0.2">
      <c r="A862" s="2" t="s">
        <v>3971</v>
      </c>
      <c r="B862" s="2" t="s">
        <v>1447</v>
      </c>
      <c r="C862" s="2">
        <v>773.36410000000001</v>
      </c>
      <c r="D862" s="2">
        <f>HYPERLINK("http://mcb-m6.bioreg.kyushu-u.ac.jp/M3/20110318/F50600/1713/1", 92.93)</f>
        <v>92.93</v>
      </c>
      <c r="E862" s="2">
        <v>78.94</v>
      </c>
      <c r="F862" s="2">
        <v>2</v>
      </c>
      <c r="G862" s="2" t="s">
        <v>10</v>
      </c>
    </row>
    <row r="863" spans="1:7" x14ac:dyDescent="0.2">
      <c r="A863" s="2" t="s">
        <v>3971</v>
      </c>
      <c r="B863" s="2" t="s">
        <v>1447</v>
      </c>
      <c r="C863" s="2">
        <v>773.43219999999997</v>
      </c>
      <c r="D863" s="2">
        <f>HYPERLINK("http://mcb-m6.bioreg.kyushu-u.ac.jp/M3/20110429/F51149/2111/1", 41.38)</f>
        <v>41.38</v>
      </c>
      <c r="E863" s="2">
        <v>19.420000000000002</v>
      </c>
      <c r="F863" s="2">
        <v>2</v>
      </c>
      <c r="G863" s="2" t="s">
        <v>13</v>
      </c>
    </row>
    <row r="864" spans="1:7" x14ac:dyDescent="0.2">
      <c r="A864" s="2" t="s">
        <v>5744</v>
      </c>
      <c r="B864" s="2" t="s">
        <v>5359</v>
      </c>
      <c r="C864" s="2">
        <v>502.08760000000001</v>
      </c>
      <c r="D864" s="2">
        <f>HYPERLINK("http://mcb-m6.bioreg.kyushu-u.ac.jp/M3/20110418/F50974/966/1", 35.19)</f>
        <v>35.19</v>
      </c>
      <c r="E864" s="2">
        <v>9.75</v>
      </c>
      <c r="F864" s="2">
        <v>2</v>
      </c>
      <c r="G864" s="2" t="s">
        <v>11</v>
      </c>
    </row>
    <row r="865" spans="1:9" x14ac:dyDescent="0.2">
      <c r="A865" s="2" t="s">
        <v>3243</v>
      </c>
      <c r="B865" s="2" t="s">
        <v>1212</v>
      </c>
      <c r="C865" s="2">
        <v>482.31760000000003</v>
      </c>
      <c r="D865" s="2">
        <f>HYPERLINK("http://mcb-m6.bioreg.kyushu-u.ac.jp/M3/20110318/F50597/852/1", 56.55)</f>
        <v>56.55</v>
      </c>
      <c r="E865" s="2">
        <v>30.22</v>
      </c>
      <c r="F865" s="2">
        <v>2</v>
      </c>
      <c r="G865" s="2" t="s">
        <v>10</v>
      </c>
    </row>
    <row r="866" spans="1:9" x14ac:dyDescent="0.2">
      <c r="A866" s="2" t="s">
        <v>5768</v>
      </c>
      <c r="B866" s="2" t="s">
        <v>5396</v>
      </c>
      <c r="C866" s="2">
        <v>585.27070000000003</v>
      </c>
      <c r="D866" s="2">
        <f>HYPERLINK("http://mcb-m6.bioreg.kyushu-u.ac.jp/M3/20110418/F50975/1155/1", 46.22)</f>
        <v>46.22</v>
      </c>
      <c r="E866" s="2">
        <v>27.66</v>
      </c>
      <c r="F866" s="2">
        <v>2</v>
      </c>
      <c r="G866" s="2" t="s">
        <v>11</v>
      </c>
      <c r="I866" s="2" t="s">
        <v>4898</v>
      </c>
    </row>
    <row r="867" spans="1:9" x14ac:dyDescent="0.2">
      <c r="A867" s="2" t="s">
        <v>3246</v>
      </c>
      <c r="B867" s="2" t="s">
        <v>26</v>
      </c>
      <c r="C867" s="2">
        <v>503.82709999999997</v>
      </c>
      <c r="D867" s="2">
        <f>HYPERLINK("http://mcb-m6.bioreg.kyushu-u.ac.jp/M3/20110318/F50597/896/1", 44.83)</f>
        <v>44.83</v>
      </c>
      <c r="E867" s="2">
        <v>23.54</v>
      </c>
      <c r="F867" s="2">
        <v>2</v>
      </c>
      <c r="G867" s="2" t="s">
        <v>10</v>
      </c>
      <c r="I867" s="2" t="s">
        <v>4892</v>
      </c>
    </row>
    <row r="868" spans="1:9" x14ac:dyDescent="0.2">
      <c r="A868" s="2" t="s">
        <v>5727</v>
      </c>
      <c r="B868" s="2" t="s">
        <v>5308</v>
      </c>
      <c r="C868" s="2">
        <v>616.3777</v>
      </c>
      <c r="D868" s="2">
        <f>HYPERLINK("http://mcb-m6.bioreg.kyushu-u.ac.jp/M3/20110318/F50599/1403/1", 54.87)</f>
        <v>54.87</v>
      </c>
      <c r="E868" s="2">
        <v>27.39</v>
      </c>
      <c r="F868" s="2">
        <v>2</v>
      </c>
      <c r="G868" s="2" t="s">
        <v>10</v>
      </c>
    </row>
    <row r="869" spans="1:9" x14ac:dyDescent="0.2">
      <c r="A869" s="2" t="s">
        <v>5742</v>
      </c>
      <c r="B869" s="2" t="s">
        <v>5354</v>
      </c>
      <c r="C869" s="2">
        <v>1018.472</v>
      </c>
      <c r="D869" s="2">
        <f>HYPERLINK("http://mcb-m6.bioreg.kyushu-u.ac.jp/M3/20110318/F50599/2374/1", 86.99)</f>
        <v>86.99</v>
      </c>
      <c r="E869" s="2">
        <v>77.260000000000005</v>
      </c>
      <c r="F869" s="2">
        <v>2</v>
      </c>
      <c r="G869" s="2" t="s">
        <v>10</v>
      </c>
    </row>
    <row r="870" spans="1:9" x14ac:dyDescent="0.2">
      <c r="A870" s="2" t="s">
        <v>3948</v>
      </c>
      <c r="B870" s="2" t="s">
        <v>1614</v>
      </c>
      <c r="C870" s="2">
        <v>717.40369999999996</v>
      </c>
      <c r="D870" s="2">
        <f>HYPERLINK("http://mcb-m6.bioreg.kyushu-u.ac.jp/M3/20110318/F50598/1475/1", 70.34)</f>
        <v>70.34</v>
      </c>
      <c r="E870" s="2">
        <v>56.16</v>
      </c>
      <c r="F870" s="2">
        <v>2</v>
      </c>
      <c r="G870" s="2" t="s">
        <v>10</v>
      </c>
    </row>
    <row r="871" spans="1:9" x14ac:dyDescent="0.2">
      <c r="A871" s="2" t="s">
        <v>3948</v>
      </c>
      <c r="B871" s="2" t="s">
        <v>1614</v>
      </c>
      <c r="C871" s="2">
        <v>717.40970000000004</v>
      </c>
      <c r="D871" s="2">
        <f>HYPERLINK("http://mcb-m6.bioreg.kyushu-u.ac.jp/M3/20110418/F50983/1945/1", 42.89)</f>
        <v>42.89</v>
      </c>
      <c r="E871" s="2">
        <v>25.81</v>
      </c>
      <c r="F871" s="2">
        <v>2</v>
      </c>
      <c r="G871" s="2" t="s">
        <v>12</v>
      </c>
    </row>
    <row r="872" spans="1:9" x14ac:dyDescent="0.2">
      <c r="A872" s="2" t="s">
        <v>3948</v>
      </c>
      <c r="B872" s="2" t="s">
        <v>1149</v>
      </c>
      <c r="C872" s="2">
        <v>593.20320000000004</v>
      </c>
      <c r="D872" s="2">
        <f>HYPERLINK("http://mcb-m6.bioreg.kyushu-u.ac.jp/M3/20110429/F51152/1246/1", 54.98)</f>
        <v>54.98</v>
      </c>
      <c r="E872" s="2">
        <v>39.44</v>
      </c>
      <c r="F872" s="2">
        <v>2</v>
      </c>
      <c r="G872" s="2" t="s">
        <v>13</v>
      </c>
    </row>
    <row r="873" spans="1:9" x14ac:dyDescent="0.2">
      <c r="A873" s="2" t="s">
        <v>3948</v>
      </c>
      <c r="B873" s="2" t="s">
        <v>1508</v>
      </c>
      <c r="C873" s="2">
        <v>661.42819999999995</v>
      </c>
      <c r="D873" s="2">
        <f>HYPERLINK("http://mcb-m6.bioreg.kyushu-u.ac.jp/M3/20110428/F51140/1526/1", 52.58)</f>
        <v>52.58</v>
      </c>
      <c r="E873" s="2">
        <v>27.26</v>
      </c>
      <c r="F873" s="2">
        <v>2</v>
      </c>
      <c r="G873" s="2" t="s">
        <v>14</v>
      </c>
    </row>
    <row r="874" spans="1:9" x14ac:dyDescent="0.2">
      <c r="A874" s="2" t="s">
        <v>5729</v>
      </c>
      <c r="B874" s="2" t="s">
        <v>5311</v>
      </c>
      <c r="C874" s="2">
        <v>941.41920000000005</v>
      </c>
      <c r="D874" s="2">
        <f>HYPERLINK("http://mcb-m6.bioreg.kyushu-u.ac.jp/M3/20110318/F50597/2329/1", 55.96)</f>
        <v>55.96</v>
      </c>
      <c r="E874" s="2">
        <v>37.729999999999997</v>
      </c>
      <c r="F874" s="2">
        <v>2</v>
      </c>
      <c r="G874" s="2" t="s">
        <v>10</v>
      </c>
    </row>
    <row r="875" spans="1:9" x14ac:dyDescent="0.2">
      <c r="A875" s="2" t="s">
        <v>3978</v>
      </c>
      <c r="B875" s="2" t="s">
        <v>1225</v>
      </c>
      <c r="C875" s="2">
        <v>637.35310000000004</v>
      </c>
      <c r="D875" s="2">
        <f>HYPERLINK("http://mcb-m6.bioreg.kyushu-u.ac.jp/M3/20110318/F50597/1239/1", 68.75)</f>
        <v>68.75</v>
      </c>
      <c r="E875" s="2">
        <v>31.68</v>
      </c>
      <c r="F875" s="2">
        <v>2</v>
      </c>
      <c r="G875" s="2" t="s">
        <v>10</v>
      </c>
    </row>
    <row r="876" spans="1:9" x14ac:dyDescent="0.2">
      <c r="A876" s="2" t="s">
        <v>3978</v>
      </c>
      <c r="B876" s="2" t="s">
        <v>1225</v>
      </c>
      <c r="C876" s="2">
        <v>645.79520000000002</v>
      </c>
      <c r="D876" s="2">
        <f>HYPERLINK("http://mcb-m6.bioreg.kyushu-u.ac.jp/M3/20110418/F50974/1600/1", 73.3)</f>
        <v>73.3</v>
      </c>
      <c r="E876" s="2">
        <v>54.3</v>
      </c>
      <c r="F876" s="2">
        <v>2</v>
      </c>
      <c r="G876" s="2" t="s">
        <v>11</v>
      </c>
      <c r="H876" s="2" t="s">
        <v>4900</v>
      </c>
    </row>
    <row r="877" spans="1:9" x14ac:dyDescent="0.2">
      <c r="A877" s="2" t="s">
        <v>3978</v>
      </c>
      <c r="B877" s="2" t="s">
        <v>2002</v>
      </c>
      <c r="C877" s="2">
        <v>452.28059999999999</v>
      </c>
      <c r="D877" s="2">
        <f>HYPERLINK("http://mcb-m6.bioreg.kyushu-u.ac.jp/M3/20110418/F50997/993/1", 43.11)</f>
        <v>43.11</v>
      </c>
      <c r="E877" s="2">
        <v>20.96</v>
      </c>
      <c r="F877" s="2">
        <v>2</v>
      </c>
      <c r="G877" s="2" t="s">
        <v>12</v>
      </c>
    </row>
    <row r="878" spans="1:9" x14ac:dyDescent="0.2">
      <c r="A878" s="2" t="s">
        <v>3978</v>
      </c>
      <c r="B878" s="2" t="s">
        <v>1225</v>
      </c>
      <c r="C878" s="2">
        <v>637.27009999999996</v>
      </c>
      <c r="D878" s="2">
        <f>HYPERLINK("http://mcb-m6.bioreg.kyushu-u.ac.jp/M3/20110418/F50997/1619/1", 68.23)</f>
        <v>68.23</v>
      </c>
      <c r="E878" s="2">
        <v>36.25</v>
      </c>
      <c r="F878" s="2">
        <v>2</v>
      </c>
      <c r="G878" s="2" t="s">
        <v>12</v>
      </c>
    </row>
    <row r="879" spans="1:9" x14ac:dyDescent="0.2">
      <c r="A879" s="2" t="s">
        <v>3978</v>
      </c>
      <c r="B879" s="2" t="s">
        <v>1225</v>
      </c>
      <c r="C879" s="2">
        <v>637.77970000000005</v>
      </c>
      <c r="D879" s="2">
        <f>HYPERLINK("http://mcb-m6.bioreg.kyushu-u.ac.jp/M3/20110429/F51157/1224/1", 78.17)</f>
        <v>78.17</v>
      </c>
      <c r="E879" s="2">
        <v>30.32</v>
      </c>
      <c r="F879" s="2">
        <v>2</v>
      </c>
      <c r="G879" s="2" t="s">
        <v>13</v>
      </c>
    </row>
    <row r="880" spans="1:9" x14ac:dyDescent="0.2">
      <c r="A880" s="2" t="s">
        <v>3457</v>
      </c>
      <c r="B880" s="2" t="s">
        <v>1037</v>
      </c>
      <c r="C880" s="2">
        <v>724.22860000000003</v>
      </c>
      <c r="D880" s="2">
        <f>HYPERLINK("http://mcb-m6.bioreg.kyushu-u.ac.jp/M3/20110418/F50974/2007/1", 64.89)</f>
        <v>64.89</v>
      </c>
      <c r="E880" s="2">
        <v>37.090000000000003</v>
      </c>
      <c r="F880" s="2">
        <v>2</v>
      </c>
      <c r="G880" s="2" t="s">
        <v>11</v>
      </c>
    </row>
    <row r="881" spans="1:9" x14ac:dyDescent="0.2">
      <c r="A881" s="2" t="s">
        <v>3457</v>
      </c>
      <c r="B881" s="2" t="s">
        <v>1037</v>
      </c>
      <c r="C881" s="2">
        <v>724.54719999999998</v>
      </c>
      <c r="D881" s="2">
        <f>HYPERLINK("http://mcb-m6.bioreg.kyushu-u.ac.jp/M3/20110429/F51157/1677/1", 59.77)</f>
        <v>59.77</v>
      </c>
      <c r="E881" s="2">
        <v>29.94</v>
      </c>
      <c r="F881" s="2">
        <v>2</v>
      </c>
      <c r="G881" s="2" t="s">
        <v>13</v>
      </c>
    </row>
    <row r="882" spans="1:9" x14ac:dyDescent="0.2">
      <c r="A882" s="2" t="s">
        <v>3403</v>
      </c>
      <c r="B882" s="2" t="s">
        <v>1246</v>
      </c>
      <c r="C882" s="2">
        <v>847.46420000000001</v>
      </c>
      <c r="D882" s="2">
        <f>HYPERLINK("http://mcb-m6.bioreg.kyushu-u.ac.jp/M3/20110418/F50971/2245/1", 40.35)</f>
        <v>40.35</v>
      </c>
      <c r="E882" s="2">
        <v>28.49</v>
      </c>
      <c r="F882" s="2">
        <v>2</v>
      </c>
      <c r="G882" s="2" t="s">
        <v>11</v>
      </c>
    </row>
    <row r="883" spans="1:9" x14ac:dyDescent="0.2">
      <c r="A883" s="2" t="s">
        <v>3403</v>
      </c>
      <c r="B883" s="2" t="s">
        <v>1144</v>
      </c>
      <c r="C883" s="2">
        <v>592.6078</v>
      </c>
      <c r="D883" s="2">
        <f>HYPERLINK("http://mcb-m6.bioreg.kyushu-u.ac.jp/M3/20110418/F50974/2760/1", 42.51)</f>
        <v>42.51</v>
      </c>
      <c r="E883" s="2">
        <v>22.61</v>
      </c>
      <c r="F883" s="2">
        <v>3</v>
      </c>
      <c r="G883" s="2" t="s">
        <v>11</v>
      </c>
      <c r="I883" s="2" t="s">
        <v>4898</v>
      </c>
    </row>
    <row r="884" spans="1:9" x14ac:dyDescent="0.2">
      <c r="A884" s="2" t="s">
        <v>3403</v>
      </c>
      <c r="B884" s="2" t="s">
        <v>1246</v>
      </c>
      <c r="C884" s="2">
        <v>847.37620000000004</v>
      </c>
      <c r="D884" s="2">
        <f>HYPERLINK("http://mcb-m6.bioreg.kyushu-u.ac.jp/M3/20110418/F50969/2400/1", 46.36)</f>
        <v>46.36</v>
      </c>
      <c r="E884" s="2">
        <v>34.51</v>
      </c>
      <c r="F884" s="2">
        <v>2</v>
      </c>
      <c r="G884" s="2" t="s">
        <v>11</v>
      </c>
    </row>
    <row r="885" spans="1:9" x14ac:dyDescent="0.2">
      <c r="A885" s="2" t="s">
        <v>3403</v>
      </c>
      <c r="B885" s="2" t="s">
        <v>1246</v>
      </c>
      <c r="C885" s="2">
        <v>847.23820000000001</v>
      </c>
      <c r="D885" s="2">
        <f>HYPERLINK("http://mcb-m6.bioreg.kyushu-u.ac.jp/M3/20110418/F50970/2178/1", 54.82)</f>
        <v>54.82</v>
      </c>
      <c r="E885" s="2">
        <v>47.45</v>
      </c>
      <c r="F885" s="2">
        <v>2</v>
      </c>
      <c r="G885" s="2" t="s">
        <v>11</v>
      </c>
    </row>
    <row r="886" spans="1:9" x14ac:dyDescent="0.2">
      <c r="A886" s="2" t="s">
        <v>3403</v>
      </c>
      <c r="B886" s="2" t="s">
        <v>1246</v>
      </c>
      <c r="C886" s="2">
        <v>847.29060000000004</v>
      </c>
      <c r="D886" s="2">
        <f>HYPERLINK("http://mcb-m6.bioreg.kyushu-u.ac.jp/M3/20110418/F50969/2399/1", 58.95)</f>
        <v>58.95</v>
      </c>
      <c r="E886" s="2">
        <v>40.94</v>
      </c>
      <c r="F886" s="2">
        <v>2</v>
      </c>
      <c r="G886" s="2" t="s">
        <v>11</v>
      </c>
    </row>
    <row r="887" spans="1:9" x14ac:dyDescent="0.2">
      <c r="A887" s="2" t="s">
        <v>3403</v>
      </c>
      <c r="B887" s="2" t="s">
        <v>1246</v>
      </c>
      <c r="C887" s="2">
        <v>847.52009999999996</v>
      </c>
      <c r="D887" s="2">
        <f>HYPERLINK("http://mcb-m6.bioreg.kyushu-u.ac.jp/M3/20110418/F50974/2578/1", 74.43)</f>
        <v>74.430000000000007</v>
      </c>
      <c r="E887" s="2">
        <v>63.73</v>
      </c>
      <c r="F887" s="2">
        <v>2</v>
      </c>
      <c r="G887" s="2" t="s">
        <v>11</v>
      </c>
    </row>
    <row r="888" spans="1:9" x14ac:dyDescent="0.2">
      <c r="A888" s="2" t="s">
        <v>3403</v>
      </c>
      <c r="B888" s="2" t="s">
        <v>1246</v>
      </c>
      <c r="C888" s="2">
        <v>847.36770000000001</v>
      </c>
      <c r="D888" s="2">
        <f>HYPERLINK("http://mcb-m6.bioreg.kyushu-u.ac.jp/M3/20110418/F50996/2441/1", 79.67)</f>
        <v>79.67</v>
      </c>
      <c r="E888" s="2">
        <v>69.16</v>
      </c>
      <c r="F888" s="2">
        <v>2</v>
      </c>
      <c r="G888" s="2" t="s">
        <v>11</v>
      </c>
    </row>
    <row r="889" spans="1:9" x14ac:dyDescent="0.2">
      <c r="A889" s="2" t="s">
        <v>3403</v>
      </c>
      <c r="B889" s="2" t="s">
        <v>1144</v>
      </c>
      <c r="C889" s="2">
        <v>887.87519999999995</v>
      </c>
      <c r="D889" s="2">
        <f>HYPERLINK("http://mcb-m6.bioreg.kyushu-u.ac.jp/M3/20110418/F50974/2754/1", 123.33)</f>
        <v>123.33</v>
      </c>
      <c r="E889" s="2">
        <v>100.33</v>
      </c>
      <c r="F889" s="2">
        <v>2</v>
      </c>
      <c r="G889" s="2" t="s">
        <v>11</v>
      </c>
      <c r="I889" s="2" t="s">
        <v>4898</v>
      </c>
    </row>
    <row r="890" spans="1:9" x14ac:dyDescent="0.2">
      <c r="A890" s="2" t="s">
        <v>3403</v>
      </c>
      <c r="B890" s="2" t="s">
        <v>200</v>
      </c>
      <c r="C890" s="2">
        <v>701.23770000000002</v>
      </c>
      <c r="D890" s="2">
        <f>HYPERLINK("http://mcb-m6.bioreg.kyushu-u.ac.jp/M3/20110418/F50997/1833/1", 61.86)</f>
        <v>61.86</v>
      </c>
      <c r="E890" s="2">
        <v>45.14</v>
      </c>
      <c r="F890" s="2">
        <v>2</v>
      </c>
      <c r="G890" s="2" t="s">
        <v>12</v>
      </c>
      <c r="I890" s="2" t="s">
        <v>4892</v>
      </c>
    </row>
    <row r="891" spans="1:9" x14ac:dyDescent="0.2">
      <c r="A891" s="2" t="s">
        <v>3403</v>
      </c>
      <c r="B891" s="2" t="s">
        <v>1246</v>
      </c>
      <c r="C891" s="2">
        <v>847.41269999999997</v>
      </c>
      <c r="D891" s="2">
        <f>HYPERLINK("http://mcb-m6.bioreg.kyushu-u.ac.jp/M3/20110418/F50997/2366/1", 85.13)</f>
        <v>85.13</v>
      </c>
      <c r="E891" s="2">
        <v>71.11</v>
      </c>
      <c r="F891" s="2">
        <v>2</v>
      </c>
      <c r="G891" s="2" t="s">
        <v>12</v>
      </c>
    </row>
    <row r="892" spans="1:9" x14ac:dyDescent="0.2">
      <c r="A892" s="2" t="s">
        <v>3403</v>
      </c>
      <c r="B892" s="2" t="s">
        <v>287</v>
      </c>
      <c r="C892" s="2">
        <v>458.86709999999999</v>
      </c>
      <c r="D892" s="2">
        <f>HYPERLINK("http://mcb-m6.bioreg.kyushu-u.ac.jp/M3/20110429/F51157/496/1", 36.52)</f>
        <v>36.520000000000003</v>
      </c>
      <c r="E892" s="2">
        <v>12.18</v>
      </c>
      <c r="F892" s="2">
        <v>2</v>
      </c>
      <c r="G892" s="2" t="s">
        <v>13</v>
      </c>
    </row>
    <row r="893" spans="1:9" x14ac:dyDescent="0.2">
      <c r="A893" s="2" t="s">
        <v>3403</v>
      </c>
      <c r="B893" s="2" t="s">
        <v>1246</v>
      </c>
      <c r="C893" s="2">
        <v>847.49109999999996</v>
      </c>
      <c r="D893" s="2">
        <f>HYPERLINK("http://mcb-m6.bioreg.kyushu-u.ac.jp/M3/20110429/F51157/2231/1", 40.34)</f>
        <v>40.340000000000003</v>
      </c>
      <c r="E893" s="2">
        <v>29.65</v>
      </c>
      <c r="F893" s="2">
        <v>2</v>
      </c>
      <c r="G893" s="2" t="s">
        <v>13</v>
      </c>
    </row>
    <row r="894" spans="1:9" x14ac:dyDescent="0.2">
      <c r="A894" s="2" t="s">
        <v>3403</v>
      </c>
      <c r="B894" s="2" t="s">
        <v>200</v>
      </c>
      <c r="C894" s="2">
        <v>701.34619999999995</v>
      </c>
      <c r="D894" s="2">
        <f>HYPERLINK("http://mcb-m6.bioreg.kyushu-u.ac.jp/M3/20110429/F51157/1563/1", 80.19)</f>
        <v>80.19</v>
      </c>
      <c r="E894" s="2">
        <v>64.75</v>
      </c>
      <c r="F894" s="2">
        <v>2</v>
      </c>
      <c r="G894" s="2" t="s">
        <v>13</v>
      </c>
      <c r="I894" s="2" t="s">
        <v>4892</v>
      </c>
    </row>
    <row r="895" spans="1:9" x14ac:dyDescent="0.2">
      <c r="A895" s="2" t="s">
        <v>3403</v>
      </c>
      <c r="B895" s="2" t="s">
        <v>1144</v>
      </c>
      <c r="C895" s="2">
        <v>887.92520000000002</v>
      </c>
      <c r="D895" s="2">
        <f>HYPERLINK("http://mcb-m6.bioreg.kyushu-u.ac.jp/M3/20110429/F51157/2453/1", 86.72)</f>
        <v>86.72</v>
      </c>
      <c r="E895" s="2">
        <v>73.099999999999994</v>
      </c>
      <c r="F895" s="2">
        <v>2</v>
      </c>
      <c r="G895" s="2" t="s">
        <v>13</v>
      </c>
      <c r="I895" s="2" t="s">
        <v>4898</v>
      </c>
    </row>
    <row r="896" spans="1:9" x14ac:dyDescent="0.2">
      <c r="A896" s="2" t="s">
        <v>3403</v>
      </c>
      <c r="B896" s="2" t="s">
        <v>1246</v>
      </c>
      <c r="C896" s="2">
        <v>847.33720000000005</v>
      </c>
      <c r="D896" s="2">
        <f>HYPERLINK("http://mcb-m6.bioreg.kyushu-u.ac.jp/M3/20110429/F51157/2227/1", 93.08)</f>
        <v>93.08</v>
      </c>
      <c r="E896" s="2">
        <v>83.1</v>
      </c>
      <c r="F896" s="2">
        <v>2</v>
      </c>
      <c r="G896" s="2" t="s">
        <v>13</v>
      </c>
    </row>
    <row r="897" spans="1:9" x14ac:dyDescent="0.2">
      <c r="A897" s="2" t="s">
        <v>3905</v>
      </c>
      <c r="B897" s="2" t="s">
        <v>2498</v>
      </c>
      <c r="C897" s="2">
        <v>704.15809999999999</v>
      </c>
      <c r="D897" s="2">
        <f>HYPERLINK("http://mcb-m6.bioreg.kyushu-u.ac.jp/M3/20110429/F51152/1745/1", 73.47)</f>
        <v>73.47</v>
      </c>
      <c r="E897" s="2">
        <v>55.55</v>
      </c>
      <c r="F897" s="2">
        <v>2</v>
      </c>
      <c r="G897" s="2" t="s">
        <v>13</v>
      </c>
    </row>
    <row r="898" spans="1:9" x14ac:dyDescent="0.2">
      <c r="A898" s="2" t="s">
        <v>4541</v>
      </c>
      <c r="B898" s="2" t="s">
        <v>2569</v>
      </c>
      <c r="C898" s="2">
        <v>830.82669999999996</v>
      </c>
      <c r="D898" s="2">
        <f>HYPERLINK("http://mcb-m6.bioreg.kyushu-u.ac.jp/M3/20110429/F51152/2447/1", 40.52)</f>
        <v>40.520000000000003</v>
      </c>
      <c r="E898" s="2">
        <v>25.71</v>
      </c>
      <c r="F898" s="2">
        <v>2</v>
      </c>
      <c r="G898" s="2" t="s">
        <v>13</v>
      </c>
    </row>
    <row r="899" spans="1:9" x14ac:dyDescent="0.2">
      <c r="A899" s="2" t="s">
        <v>4729</v>
      </c>
      <c r="B899" s="2" t="s">
        <v>2941</v>
      </c>
      <c r="C899" s="2">
        <v>649.62710000000004</v>
      </c>
      <c r="D899" s="2">
        <f>HYPERLINK("http://mcb-m6.bioreg.kyushu-u.ac.jp/M3/20110429/F51152/1459/1", 84.63)</f>
        <v>84.63</v>
      </c>
      <c r="E899" s="2">
        <v>67.53</v>
      </c>
      <c r="F899" s="2">
        <v>2</v>
      </c>
      <c r="G899" s="2" t="s">
        <v>13</v>
      </c>
    </row>
    <row r="900" spans="1:9" x14ac:dyDescent="0.2">
      <c r="A900" s="2" t="s">
        <v>5692</v>
      </c>
      <c r="B900" s="2" t="s">
        <v>5224</v>
      </c>
      <c r="C900" s="2">
        <v>667.23320000000001</v>
      </c>
      <c r="D900" s="2">
        <f>HYPERLINK("http://mcb-m6.bioreg.kyushu-u.ac.jp/M3/20110318/F50616/1376/1", 36.83)</f>
        <v>36.83</v>
      </c>
      <c r="E900" s="2">
        <v>21.48</v>
      </c>
      <c r="F900" s="2">
        <v>2</v>
      </c>
      <c r="G900" s="2" t="s">
        <v>10</v>
      </c>
    </row>
    <row r="901" spans="1:9" x14ac:dyDescent="0.2">
      <c r="A901" s="2" t="s">
        <v>5692</v>
      </c>
      <c r="B901" s="2" t="s">
        <v>5224</v>
      </c>
      <c r="C901" s="2">
        <v>667.84010000000001</v>
      </c>
      <c r="D901" s="2">
        <f>HYPERLINK("http://mcb-m6.bioreg.kyushu-u.ac.jp/M3/20110318/F50597/1320/1", 67.89)</f>
        <v>67.89</v>
      </c>
      <c r="E901" s="2">
        <v>53.29</v>
      </c>
      <c r="F901" s="2">
        <v>2</v>
      </c>
      <c r="G901" s="2" t="s">
        <v>10</v>
      </c>
    </row>
    <row r="902" spans="1:9" x14ac:dyDescent="0.2">
      <c r="A902" s="2" t="s">
        <v>5692</v>
      </c>
      <c r="B902" s="2" t="s">
        <v>5224</v>
      </c>
      <c r="C902" s="2">
        <v>667.4932</v>
      </c>
      <c r="D902" s="2">
        <f>HYPERLINK("http://mcb-m6.bioreg.kyushu-u.ac.jp/M3/20110429/F51157/1365/1", 41)</f>
        <v>41</v>
      </c>
      <c r="E902" s="2">
        <v>30.04</v>
      </c>
      <c r="F902" s="2">
        <v>2</v>
      </c>
      <c r="G902" s="2" t="s">
        <v>13</v>
      </c>
    </row>
    <row r="903" spans="1:9" x14ac:dyDescent="0.2">
      <c r="A903" s="2" t="s">
        <v>3316</v>
      </c>
      <c r="B903" s="2" t="s">
        <v>220</v>
      </c>
      <c r="C903" s="2">
        <v>608.17769999999996</v>
      </c>
      <c r="D903" s="2">
        <f>HYPERLINK("http://mcb-m6.bioreg.kyushu-u.ac.jp/M3/20110318/F50597/1169/1", 42.8)</f>
        <v>42.8</v>
      </c>
      <c r="E903" s="2">
        <v>22.42</v>
      </c>
      <c r="F903" s="2">
        <v>2</v>
      </c>
      <c r="G903" s="2" t="s">
        <v>10</v>
      </c>
    </row>
    <row r="904" spans="1:9" x14ac:dyDescent="0.2">
      <c r="A904" s="2" t="s">
        <v>3316</v>
      </c>
      <c r="B904" s="2" t="s">
        <v>1577</v>
      </c>
      <c r="C904" s="2">
        <v>885.47720000000004</v>
      </c>
      <c r="D904" s="2">
        <f>HYPERLINK("http://mcb-m6.bioreg.kyushu-u.ac.jp/M3/20110318/F50597/2163/1", 87.21)</f>
        <v>87.21</v>
      </c>
      <c r="E904" s="2">
        <v>73.44</v>
      </c>
      <c r="F904" s="2">
        <v>2</v>
      </c>
      <c r="G904" s="2" t="s">
        <v>10</v>
      </c>
    </row>
    <row r="905" spans="1:9" x14ac:dyDescent="0.2">
      <c r="A905" s="2" t="s">
        <v>3316</v>
      </c>
      <c r="B905" s="2" t="s">
        <v>1523</v>
      </c>
      <c r="C905" s="2">
        <v>770.84969999999998</v>
      </c>
      <c r="D905" s="2">
        <f>HYPERLINK("http://mcb-m6.bioreg.kyushu-u.ac.jp/M3/20110318/F50597/1755/1", 95.45)</f>
        <v>95.45</v>
      </c>
      <c r="E905" s="2">
        <v>83.97</v>
      </c>
      <c r="F905" s="2">
        <v>2</v>
      </c>
      <c r="G905" s="2" t="s">
        <v>10</v>
      </c>
      <c r="I905" s="2" t="s">
        <v>4940</v>
      </c>
    </row>
    <row r="906" spans="1:9" x14ac:dyDescent="0.2">
      <c r="A906" s="2" t="s">
        <v>3316</v>
      </c>
      <c r="B906" s="2" t="s">
        <v>603</v>
      </c>
      <c r="C906" s="2">
        <v>669.3057</v>
      </c>
      <c r="D906" s="2">
        <f>HYPERLINK("http://mcb-m6.bioreg.kyushu-u.ac.jp/M3/20110418/F50974/1702/1", 51.57)</f>
        <v>51.57</v>
      </c>
      <c r="E906" s="2">
        <v>34.26</v>
      </c>
      <c r="F906" s="2">
        <v>2</v>
      </c>
      <c r="G906" s="2" t="s">
        <v>11</v>
      </c>
      <c r="I906" s="2" t="s">
        <v>4926</v>
      </c>
    </row>
    <row r="907" spans="1:9" x14ac:dyDescent="0.2">
      <c r="A907" s="2" t="s">
        <v>3316</v>
      </c>
      <c r="B907" s="2" t="s">
        <v>1523</v>
      </c>
      <c r="C907" s="2">
        <v>771.26369999999997</v>
      </c>
      <c r="D907" s="2">
        <f>HYPERLINK("http://mcb-m6.bioreg.kyushu-u.ac.jp/M3/20110418/F50974/2230/1", 85.08)</f>
        <v>85.08</v>
      </c>
      <c r="E907" s="2">
        <v>69.5</v>
      </c>
      <c r="F907" s="2">
        <v>2</v>
      </c>
      <c r="G907" s="2" t="s">
        <v>11</v>
      </c>
      <c r="I907" s="2" t="s">
        <v>4940</v>
      </c>
    </row>
    <row r="908" spans="1:9" x14ac:dyDescent="0.2">
      <c r="A908" s="2" t="s">
        <v>3316</v>
      </c>
      <c r="B908" s="2" t="s">
        <v>1523</v>
      </c>
      <c r="C908" s="2">
        <v>770.72019999999998</v>
      </c>
      <c r="D908" s="2">
        <f>HYPERLINK("http://mcb-m6.bioreg.kyushu-u.ac.jp/M3/20110418/F50974/2229/1", 99.89)</f>
        <v>99.89</v>
      </c>
      <c r="E908" s="2">
        <v>86.23</v>
      </c>
      <c r="F908" s="2">
        <v>2</v>
      </c>
      <c r="G908" s="2" t="s">
        <v>11</v>
      </c>
      <c r="I908" s="2" t="s">
        <v>4940</v>
      </c>
    </row>
    <row r="909" spans="1:9" x14ac:dyDescent="0.2">
      <c r="A909" s="2" t="s">
        <v>3316</v>
      </c>
      <c r="B909" s="2" t="s">
        <v>1523</v>
      </c>
      <c r="C909" s="2">
        <v>770.87819999999999</v>
      </c>
      <c r="D909" s="2">
        <f>HYPERLINK("http://mcb-m6.bioreg.kyushu-u.ac.jp/M3/20110418/F50984/2210/1", 92.39)</f>
        <v>92.39</v>
      </c>
      <c r="E909" s="2">
        <v>80.63</v>
      </c>
      <c r="F909" s="2">
        <v>2</v>
      </c>
      <c r="G909" s="2" t="s">
        <v>12</v>
      </c>
      <c r="I909" s="2" t="s">
        <v>4940</v>
      </c>
    </row>
    <row r="910" spans="1:9" x14ac:dyDescent="0.2">
      <c r="A910" s="2" t="s">
        <v>3316</v>
      </c>
      <c r="B910" s="2" t="s">
        <v>1031</v>
      </c>
      <c r="C910" s="2">
        <v>649.88509999999997</v>
      </c>
      <c r="D910" s="2">
        <f>HYPERLINK("http://mcb-m6.bioreg.kyushu-u.ac.jp/M3/20110429/F51157/1275/1", 48.46)</f>
        <v>48.46</v>
      </c>
      <c r="E910" s="2">
        <v>11.25</v>
      </c>
      <c r="F910" s="2">
        <v>2</v>
      </c>
      <c r="G910" s="2" t="s">
        <v>13</v>
      </c>
      <c r="H910" s="2" t="s">
        <v>4919</v>
      </c>
    </row>
    <row r="911" spans="1:9" x14ac:dyDescent="0.2">
      <c r="A911" s="2" t="s">
        <v>3316</v>
      </c>
      <c r="B911" s="2" t="s">
        <v>1529</v>
      </c>
      <c r="C911" s="2">
        <v>1096.4739999999999</v>
      </c>
      <c r="D911" s="2">
        <f>HYPERLINK("http://mcb-m6.bioreg.kyushu-u.ac.jp/M3/20110429/F51157/3280/1", 68.89)</f>
        <v>68.89</v>
      </c>
      <c r="E911" s="2">
        <v>49.65</v>
      </c>
      <c r="F911" s="2">
        <v>2</v>
      </c>
      <c r="G911" s="2" t="s">
        <v>13</v>
      </c>
      <c r="I911" s="2" t="s">
        <v>4941</v>
      </c>
    </row>
    <row r="912" spans="1:9" x14ac:dyDescent="0.2">
      <c r="A912" s="2" t="s">
        <v>3316</v>
      </c>
      <c r="B912" s="2" t="s">
        <v>1523</v>
      </c>
      <c r="C912" s="2">
        <v>771.13819999999998</v>
      </c>
      <c r="D912" s="2">
        <f>HYPERLINK("http://mcb-m6.bioreg.kyushu-u.ac.jp/M3/20110502/F51159/2115/1", 91.26)</f>
        <v>91.26</v>
      </c>
      <c r="E912" s="2">
        <v>79.3</v>
      </c>
      <c r="F912" s="2">
        <v>2</v>
      </c>
      <c r="G912" s="2" t="s">
        <v>14</v>
      </c>
      <c r="I912" s="2" t="s">
        <v>4940</v>
      </c>
    </row>
    <row r="913" spans="1:7" x14ac:dyDescent="0.2">
      <c r="A913" s="2" t="s">
        <v>4419</v>
      </c>
      <c r="B913" s="2" t="s">
        <v>2285</v>
      </c>
      <c r="C913" s="2">
        <v>837.83259999999996</v>
      </c>
      <c r="D913" s="2">
        <f>HYPERLINK("http://mcb-m6.bioreg.kyushu-u.ac.jp/M3/20110418/F50979/2439/1", 35.26)</f>
        <v>35.26</v>
      </c>
      <c r="E913" s="2">
        <v>19.059999999999999</v>
      </c>
      <c r="F913" s="2">
        <v>2</v>
      </c>
      <c r="G913" s="2" t="s">
        <v>11</v>
      </c>
    </row>
    <row r="914" spans="1:7" x14ac:dyDescent="0.2">
      <c r="A914" s="2" t="s">
        <v>3939</v>
      </c>
      <c r="B914" s="2" t="s">
        <v>1136</v>
      </c>
      <c r="C914" s="2">
        <v>659.89009999999996</v>
      </c>
      <c r="D914" s="2">
        <f>HYPERLINK("http://mcb-m6.bioreg.kyushu-u.ac.jp/M3/20110318/F50622/1176/1", 59.02)</f>
        <v>59.02</v>
      </c>
      <c r="E914" s="2">
        <v>35.44</v>
      </c>
      <c r="F914" s="2">
        <v>2</v>
      </c>
      <c r="G914" s="2" t="s">
        <v>10</v>
      </c>
    </row>
    <row r="915" spans="1:7" x14ac:dyDescent="0.2">
      <c r="A915" s="2" t="s">
        <v>3939</v>
      </c>
      <c r="B915" s="2" t="s">
        <v>1136</v>
      </c>
      <c r="C915" s="2">
        <v>660.0566</v>
      </c>
      <c r="D915" s="2">
        <f>HYPERLINK("http://mcb-m6.bioreg.kyushu-u.ac.jp/M3/20110428/F51146/1744/1", 70.37)</f>
        <v>70.37</v>
      </c>
      <c r="E915" s="2">
        <v>45.35</v>
      </c>
      <c r="F915" s="2">
        <v>2</v>
      </c>
      <c r="G915" s="2" t="s">
        <v>13</v>
      </c>
    </row>
    <row r="916" spans="1:7" x14ac:dyDescent="0.2">
      <c r="A916" s="2" t="s">
        <v>5715</v>
      </c>
      <c r="B916" s="2" t="s">
        <v>5272</v>
      </c>
      <c r="C916" s="2">
        <v>486.37310000000002</v>
      </c>
      <c r="D916" s="2">
        <f>HYPERLINK("http://mcb-m6.bioreg.kyushu-u.ac.jp/M3/20110318/F50622/918/1", 45.48)</f>
        <v>45.48</v>
      </c>
      <c r="E916" s="2">
        <v>20.9</v>
      </c>
      <c r="F916" s="2">
        <v>2</v>
      </c>
      <c r="G916" s="2" t="s">
        <v>10</v>
      </c>
    </row>
    <row r="917" spans="1:7" x14ac:dyDescent="0.2">
      <c r="A917" s="2" t="s">
        <v>5715</v>
      </c>
      <c r="B917" s="2" t="s">
        <v>5272</v>
      </c>
      <c r="C917" s="2">
        <v>487.06110000000001</v>
      </c>
      <c r="D917" s="2">
        <f>HYPERLINK("http://mcb-m6.bioreg.kyushu-u.ac.jp/M3/20110428/F51146/1155/1", 40.14)</f>
        <v>40.14</v>
      </c>
      <c r="E917" s="2">
        <v>19.079999999999998</v>
      </c>
      <c r="F917" s="2">
        <v>2</v>
      </c>
      <c r="G917" s="2" t="s">
        <v>13</v>
      </c>
    </row>
    <row r="918" spans="1:7" x14ac:dyDescent="0.2">
      <c r="A918" s="2" t="s">
        <v>3322</v>
      </c>
      <c r="B918" s="2" t="s">
        <v>2462</v>
      </c>
      <c r="C918" s="2">
        <v>719.96510000000001</v>
      </c>
      <c r="D918" s="2">
        <f>HYPERLINK("http://mcb-m6.bioreg.kyushu-u.ac.jp/M3/20110318/F50596/1543/1", 105.06)</f>
        <v>105.06</v>
      </c>
      <c r="E918" s="2">
        <v>63.68</v>
      </c>
      <c r="F918" s="2">
        <v>2</v>
      </c>
      <c r="G918" s="2" t="s">
        <v>10</v>
      </c>
    </row>
    <row r="919" spans="1:7" x14ac:dyDescent="0.2">
      <c r="A919" s="2" t="s">
        <v>3322</v>
      </c>
      <c r="B919" s="2" t="s">
        <v>2044</v>
      </c>
      <c r="C919" s="2">
        <v>656.75959999999998</v>
      </c>
      <c r="D919" s="2">
        <f>HYPERLINK("http://mcb-m6.bioreg.kyushu-u.ac.jp/M3/20110418/F50988/1813/1", 55.48)</f>
        <v>55.48</v>
      </c>
      <c r="E919" s="2">
        <v>38.89</v>
      </c>
      <c r="F919" s="2">
        <v>2</v>
      </c>
      <c r="G919" s="2" t="s">
        <v>12</v>
      </c>
    </row>
    <row r="920" spans="1:7" x14ac:dyDescent="0.2">
      <c r="A920" s="2" t="s">
        <v>3322</v>
      </c>
      <c r="B920" s="2" t="s">
        <v>1238</v>
      </c>
      <c r="C920" s="2">
        <v>545.69619999999998</v>
      </c>
      <c r="D920" s="2">
        <f>HYPERLINK("http://mcb-m6.bioreg.kyushu-u.ac.jp/M3/20110418/F50988/1570/1", 63.68)</f>
        <v>63.68</v>
      </c>
      <c r="E920" s="2">
        <v>41.44</v>
      </c>
      <c r="F920" s="2">
        <v>2</v>
      </c>
      <c r="G920" s="2" t="s">
        <v>12</v>
      </c>
    </row>
    <row r="921" spans="1:7" x14ac:dyDescent="0.2">
      <c r="A921" s="2" t="s">
        <v>3322</v>
      </c>
      <c r="B921" s="2" t="s">
        <v>1238</v>
      </c>
      <c r="C921" s="2">
        <v>545.97220000000004</v>
      </c>
      <c r="D921" s="2">
        <f>HYPERLINK("http://mcb-m6.bioreg.kyushu-u.ac.jp/M3/20110428/F51143/1187/1", 45.45)</f>
        <v>45.45</v>
      </c>
      <c r="E921" s="2">
        <v>23.27</v>
      </c>
      <c r="F921" s="2">
        <v>2</v>
      </c>
      <c r="G921" s="2" t="s">
        <v>14</v>
      </c>
    </row>
    <row r="922" spans="1:7" x14ac:dyDescent="0.2">
      <c r="A922" s="2" t="s">
        <v>3322</v>
      </c>
      <c r="B922" s="2" t="s">
        <v>2044</v>
      </c>
      <c r="C922" s="2">
        <v>657.13210000000004</v>
      </c>
      <c r="D922" s="2">
        <f>HYPERLINK("http://mcb-m6.bioreg.kyushu-u.ac.jp/M3/20110428/F51143/1682/1", 52.96)</f>
        <v>52.96</v>
      </c>
      <c r="E922" s="2">
        <v>30.47</v>
      </c>
      <c r="F922" s="2">
        <v>2</v>
      </c>
      <c r="G922" s="2" t="s">
        <v>14</v>
      </c>
    </row>
    <row r="923" spans="1:7" x14ac:dyDescent="0.2">
      <c r="A923" s="2" t="s">
        <v>3322</v>
      </c>
      <c r="B923" s="2" t="s">
        <v>1404</v>
      </c>
      <c r="C923" s="2">
        <v>665.42570000000001</v>
      </c>
      <c r="D923" s="2">
        <f>HYPERLINK("http://mcb-m6.bioreg.kyushu-u.ac.jp/M3/20110428/F51143/1705/1", 66.57)</f>
        <v>66.569999999999993</v>
      </c>
      <c r="E923" s="2">
        <v>12.21</v>
      </c>
      <c r="F923" s="2">
        <v>2</v>
      </c>
      <c r="G923" s="2" t="s">
        <v>14</v>
      </c>
    </row>
    <row r="924" spans="1:7" x14ac:dyDescent="0.2">
      <c r="A924" s="2" t="s">
        <v>3322</v>
      </c>
      <c r="B924" s="2" t="s">
        <v>2462</v>
      </c>
      <c r="C924" s="2">
        <v>720.17070000000001</v>
      </c>
      <c r="D924" s="2">
        <f>HYPERLINK("http://mcb-m6.bioreg.kyushu-u.ac.jp/M3/20110428/F51143/1992/1", 105.31)</f>
        <v>105.31</v>
      </c>
      <c r="E924" s="2">
        <v>57.97</v>
      </c>
      <c r="F924" s="2">
        <v>2</v>
      </c>
      <c r="G924" s="2" t="s">
        <v>14</v>
      </c>
    </row>
    <row r="925" spans="1:7" x14ac:dyDescent="0.2">
      <c r="A925" s="2" t="s">
        <v>3887</v>
      </c>
      <c r="B925" s="2" t="s">
        <v>1876</v>
      </c>
      <c r="C925" s="2">
        <v>584.82820000000004</v>
      </c>
      <c r="D925" s="2">
        <f>HYPERLINK("http://mcb-m6.bioreg.kyushu-u.ac.jp/M3/20110318/F50602/1215/1", 53.21)</f>
        <v>53.21</v>
      </c>
      <c r="E925" s="2">
        <v>39.94</v>
      </c>
      <c r="F925" s="2">
        <v>2</v>
      </c>
      <c r="G925" s="2" t="s">
        <v>9</v>
      </c>
    </row>
    <row r="926" spans="1:7" x14ac:dyDescent="0.2">
      <c r="A926" s="2" t="s">
        <v>3887</v>
      </c>
      <c r="B926" s="2" t="s">
        <v>1142</v>
      </c>
      <c r="C926" s="2">
        <v>864.93709999999999</v>
      </c>
      <c r="D926" s="2">
        <f>HYPERLINK("http://mcb-m6.bioreg.kyushu-u.ac.jp/M3/20110318/F50602/1860/1", 74.76)</f>
        <v>74.760000000000005</v>
      </c>
      <c r="E926" s="2">
        <v>59.18</v>
      </c>
      <c r="F926" s="2">
        <v>2</v>
      </c>
      <c r="G926" s="2" t="s">
        <v>9</v>
      </c>
    </row>
    <row r="927" spans="1:7" x14ac:dyDescent="0.2">
      <c r="A927" s="2" t="s">
        <v>3887</v>
      </c>
      <c r="B927" s="2" t="s">
        <v>1876</v>
      </c>
      <c r="C927" s="2">
        <v>584.29570000000001</v>
      </c>
      <c r="D927" s="2">
        <f>HYPERLINK("http://mcb-m6.bioreg.kyushu-u.ac.jp/M3/20110318/F50596/1203/1", 40.71)</f>
        <v>40.71</v>
      </c>
      <c r="E927" s="2">
        <v>21.93</v>
      </c>
      <c r="F927" s="2">
        <v>2</v>
      </c>
      <c r="G927" s="2" t="s">
        <v>10</v>
      </c>
    </row>
    <row r="928" spans="1:7" x14ac:dyDescent="0.2">
      <c r="A928" s="2" t="s">
        <v>3887</v>
      </c>
      <c r="B928" s="2" t="s">
        <v>1876</v>
      </c>
      <c r="C928" s="2">
        <v>584.2731</v>
      </c>
      <c r="D928" s="2">
        <f>HYPERLINK("http://mcb-m6.bioreg.kyushu-u.ac.jp/M3/20110318/F50611/1180/1", 42.29)</f>
        <v>42.29</v>
      </c>
      <c r="E928" s="2">
        <v>29.88</v>
      </c>
      <c r="F928" s="2">
        <v>2</v>
      </c>
      <c r="G928" s="2" t="s">
        <v>10</v>
      </c>
    </row>
    <row r="929" spans="1:7" x14ac:dyDescent="0.2">
      <c r="A929" s="2" t="s">
        <v>3887</v>
      </c>
      <c r="B929" s="2" t="s">
        <v>2052</v>
      </c>
      <c r="C929" s="2">
        <v>590.94820000000004</v>
      </c>
      <c r="D929" s="2">
        <f>HYPERLINK("http://mcb-m6.bioreg.kyushu-u.ac.jp/M3/20110318/F50611/1207/1", 64.53)</f>
        <v>64.53</v>
      </c>
      <c r="E929" s="2">
        <v>37.72</v>
      </c>
      <c r="F929" s="2">
        <v>2</v>
      </c>
      <c r="G929" s="2" t="s">
        <v>10</v>
      </c>
    </row>
    <row r="930" spans="1:7" x14ac:dyDescent="0.2">
      <c r="A930" s="2" t="s">
        <v>3887</v>
      </c>
      <c r="B930" s="2" t="s">
        <v>2052</v>
      </c>
      <c r="C930" s="2">
        <v>590.90060000000005</v>
      </c>
      <c r="D930" s="2">
        <f>HYPERLINK("http://mcb-m6.bioreg.kyushu-u.ac.jp/M3/20110318/F50596/1219/1", 66.53)</f>
        <v>66.53</v>
      </c>
      <c r="E930" s="2">
        <v>44.5</v>
      </c>
      <c r="F930" s="2">
        <v>2</v>
      </c>
      <c r="G930" s="2" t="s">
        <v>10</v>
      </c>
    </row>
    <row r="931" spans="1:7" x14ac:dyDescent="0.2">
      <c r="A931" s="2" t="s">
        <v>3887</v>
      </c>
      <c r="B931" s="2" t="s">
        <v>1142</v>
      </c>
      <c r="C931" s="2">
        <v>864.85220000000004</v>
      </c>
      <c r="D931" s="2">
        <f>HYPERLINK("http://mcb-m6.bioreg.kyushu-u.ac.jp/M3/20110318/F50596/2038/1", 85.64)</f>
        <v>85.64</v>
      </c>
      <c r="E931" s="2">
        <v>72.84</v>
      </c>
      <c r="F931" s="2">
        <v>2</v>
      </c>
      <c r="G931" s="2" t="s">
        <v>10</v>
      </c>
    </row>
    <row r="932" spans="1:7" x14ac:dyDescent="0.2">
      <c r="A932" s="2" t="s">
        <v>3887</v>
      </c>
      <c r="B932" s="2" t="s">
        <v>1876</v>
      </c>
      <c r="C932" s="2">
        <v>584.35770000000002</v>
      </c>
      <c r="D932" s="2">
        <f>HYPERLINK("http://mcb-m6.bioreg.kyushu-u.ac.jp/M3/20110418/F50978/1332/1", 74.44)</f>
        <v>74.44</v>
      </c>
      <c r="E932" s="2">
        <v>56.98</v>
      </c>
      <c r="F932" s="2">
        <v>2</v>
      </c>
      <c r="G932" s="2" t="s">
        <v>11</v>
      </c>
    </row>
    <row r="933" spans="1:7" x14ac:dyDescent="0.2">
      <c r="A933" s="2" t="s">
        <v>3887</v>
      </c>
      <c r="B933" s="2" t="s">
        <v>1876</v>
      </c>
      <c r="C933" s="2">
        <v>584.21619999999996</v>
      </c>
      <c r="D933" s="2">
        <f>HYPERLINK("http://mcb-m6.bioreg.kyushu-u.ac.jp/M3/20110418/F50988/1634/1", 72.68)</f>
        <v>72.680000000000007</v>
      </c>
      <c r="E933" s="2">
        <v>54.41</v>
      </c>
      <c r="F933" s="2">
        <v>2</v>
      </c>
      <c r="G933" s="2" t="s">
        <v>12</v>
      </c>
    </row>
    <row r="934" spans="1:7" x14ac:dyDescent="0.2">
      <c r="A934" s="2" t="s">
        <v>3887</v>
      </c>
      <c r="B934" s="2" t="s">
        <v>1142</v>
      </c>
      <c r="C934" s="2">
        <v>864.40260000000001</v>
      </c>
      <c r="D934" s="2">
        <f>HYPERLINK("http://mcb-m6.bioreg.kyushu-u.ac.jp/M3/20110429/F51154/2708/1", 90.68)</f>
        <v>90.68</v>
      </c>
      <c r="E934" s="2">
        <v>76.069999999999993</v>
      </c>
      <c r="F934" s="2">
        <v>2</v>
      </c>
      <c r="G934" s="2" t="s">
        <v>13</v>
      </c>
    </row>
    <row r="935" spans="1:7" x14ac:dyDescent="0.2">
      <c r="A935" s="2" t="s">
        <v>4725</v>
      </c>
      <c r="B935" s="2" t="s">
        <v>5016</v>
      </c>
      <c r="C935" s="2">
        <v>495.0711</v>
      </c>
      <c r="D935" s="2">
        <f>HYPERLINK("http://mcb-m6.bioreg.kyushu-u.ac.jp/M3/20110318/F50604/1075/1", 39.14)</f>
        <v>39.14</v>
      </c>
      <c r="E935" s="2">
        <v>11.81</v>
      </c>
      <c r="F935" s="2">
        <v>2</v>
      </c>
      <c r="G935" s="2" t="s">
        <v>9</v>
      </c>
    </row>
    <row r="936" spans="1:7" x14ac:dyDescent="0.2">
      <c r="A936" s="2" t="s">
        <v>4725</v>
      </c>
      <c r="B936" s="2" t="s">
        <v>2929</v>
      </c>
      <c r="C936" s="2">
        <v>801.46870000000001</v>
      </c>
      <c r="D936" s="2">
        <f>HYPERLINK("http://mcb-m6.bioreg.kyushu-u.ac.jp/M3/20110318/F50613/1937/1", 38.13)</f>
        <v>38.130000000000003</v>
      </c>
      <c r="E936" s="2">
        <v>22.77</v>
      </c>
      <c r="F936" s="2">
        <v>2</v>
      </c>
      <c r="G936" s="2" t="s">
        <v>10</v>
      </c>
    </row>
    <row r="937" spans="1:7" x14ac:dyDescent="0.2">
      <c r="A937" s="2" t="s">
        <v>4725</v>
      </c>
      <c r="B937" s="2" t="s">
        <v>2929</v>
      </c>
      <c r="C937" s="2">
        <v>801.3492</v>
      </c>
      <c r="D937" s="2">
        <f>HYPERLINK("http://mcb-m6.bioreg.kyushu-u.ac.jp/M3/20110318/F50612/1769/1", 74.95)</f>
        <v>74.95</v>
      </c>
      <c r="E937" s="2">
        <v>64.81</v>
      </c>
      <c r="F937" s="2">
        <v>2</v>
      </c>
      <c r="G937" s="2" t="s">
        <v>10</v>
      </c>
    </row>
    <row r="938" spans="1:7" x14ac:dyDescent="0.2">
      <c r="A938" s="2" t="s">
        <v>4725</v>
      </c>
      <c r="B938" s="2" t="s">
        <v>5385</v>
      </c>
      <c r="C938" s="2">
        <v>890.24620000000004</v>
      </c>
      <c r="D938" s="2">
        <f>HYPERLINK("http://mcb-m6.bioreg.kyushu-u.ac.jp/M3/20110418/F50977/2918/1", 42.76)</f>
        <v>42.76</v>
      </c>
      <c r="E938" s="2">
        <v>25.61</v>
      </c>
      <c r="F938" s="2">
        <v>2</v>
      </c>
      <c r="G938" s="2" t="s">
        <v>11</v>
      </c>
    </row>
    <row r="939" spans="1:7" x14ac:dyDescent="0.2">
      <c r="A939" s="2" t="s">
        <v>4725</v>
      </c>
      <c r="B939" s="2" t="s">
        <v>2929</v>
      </c>
      <c r="C939" s="2">
        <v>801.33010000000002</v>
      </c>
      <c r="D939" s="2">
        <f>HYPERLINK("http://mcb-m6.bioreg.kyushu-u.ac.jp/M3/20110418/F50977/2467/1", 90.02)</f>
        <v>90.02</v>
      </c>
      <c r="E939" s="2">
        <v>71.989999999999995</v>
      </c>
      <c r="F939" s="2">
        <v>2</v>
      </c>
      <c r="G939" s="2" t="s">
        <v>11</v>
      </c>
    </row>
    <row r="940" spans="1:7" x14ac:dyDescent="0.2">
      <c r="A940" s="2" t="s">
        <v>4725</v>
      </c>
      <c r="B940" s="2" t="s">
        <v>2929</v>
      </c>
      <c r="C940" s="2">
        <v>801.29060000000004</v>
      </c>
      <c r="D940" s="2">
        <f>HYPERLINK("http://mcb-m6.bioreg.kyushu-u.ac.jp/M3/20110429/F51153/2466/1", 73.39)</f>
        <v>73.39</v>
      </c>
      <c r="E940" s="2">
        <v>61.98</v>
      </c>
      <c r="F940" s="2">
        <v>2</v>
      </c>
      <c r="G940" s="2" t="s">
        <v>13</v>
      </c>
    </row>
    <row r="941" spans="1:7" x14ac:dyDescent="0.2">
      <c r="A941" s="2" t="s">
        <v>4281</v>
      </c>
      <c r="B941" s="2" t="s">
        <v>5038</v>
      </c>
      <c r="C941" s="2">
        <v>834.92110000000002</v>
      </c>
      <c r="D941" s="2">
        <f>HYPERLINK("http://mcb-m6.bioreg.kyushu-u.ac.jp/M3/20110318/F50606/1813/1", 41.47)</f>
        <v>41.47</v>
      </c>
      <c r="E941" s="2">
        <v>26.67</v>
      </c>
      <c r="F941" s="2">
        <v>2</v>
      </c>
      <c r="G941" s="2" t="s">
        <v>9</v>
      </c>
    </row>
    <row r="942" spans="1:7" x14ac:dyDescent="0.2">
      <c r="A942" s="2" t="s">
        <v>4281</v>
      </c>
      <c r="B942" s="2" t="s">
        <v>1961</v>
      </c>
      <c r="C942" s="2">
        <v>918.52509999999995</v>
      </c>
      <c r="D942" s="2">
        <f>HYPERLINK("http://mcb-m6.bioreg.kyushu-u.ac.jp/M3/20110318/F50606/2095/1", 41.68)</f>
        <v>41.68</v>
      </c>
      <c r="E942" s="2">
        <v>34.25</v>
      </c>
      <c r="F942" s="2">
        <v>2</v>
      </c>
      <c r="G942" s="2" t="s">
        <v>9</v>
      </c>
    </row>
    <row r="943" spans="1:7" x14ac:dyDescent="0.2">
      <c r="A943" s="2" t="s">
        <v>4281</v>
      </c>
      <c r="B943" s="2" t="s">
        <v>2117</v>
      </c>
      <c r="C943" s="2">
        <v>854.39419999999996</v>
      </c>
      <c r="D943" s="2">
        <f>HYPERLINK("http://mcb-m6.bioreg.kyushu-u.ac.jp/M3/20110318/F50597/2045/1", 37.8)</f>
        <v>37.799999999999997</v>
      </c>
      <c r="E943" s="2">
        <v>23.87</v>
      </c>
      <c r="F943" s="2">
        <v>2</v>
      </c>
      <c r="G943" s="2" t="s">
        <v>10</v>
      </c>
    </row>
    <row r="944" spans="1:7" x14ac:dyDescent="0.2">
      <c r="A944" s="2" t="s">
        <v>4281</v>
      </c>
      <c r="B944" s="2" t="s">
        <v>3060</v>
      </c>
      <c r="C944" s="2">
        <v>792.38070000000005</v>
      </c>
      <c r="D944" s="2">
        <f>HYPERLINK("http://mcb-m6.bioreg.kyushu-u.ac.jp/M3/20110318/F50597/1847/1", 44.66)</f>
        <v>44.66</v>
      </c>
      <c r="E944" s="2">
        <v>32.54</v>
      </c>
      <c r="F944" s="2">
        <v>2</v>
      </c>
      <c r="G944" s="2" t="s">
        <v>10</v>
      </c>
    </row>
    <row r="945" spans="1:8" x14ac:dyDescent="0.2">
      <c r="A945" s="2" t="s">
        <v>4281</v>
      </c>
      <c r="B945" s="2" t="s">
        <v>5298</v>
      </c>
      <c r="C945" s="2">
        <v>589.37019999999995</v>
      </c>
      <c r="D945" s="2">
        <f>HYPERLINK("http://mcb-m6.bioreg.kyushu-u.ac.jp/M3/20110318/F50597/1118/1", 51.63)</f>
        <v>51.63</v>
      </c>
      <c r="E945" s="2">
        <v>20.86</v>
      </c>
      <c r="F945" s="2">
        <v>2</v>
      </c>
      <c r="G945" s="2" t="s">
        <v>10</v>
      </c>
    </row>
    <row r="946" spans="1:8" x14ac:dyDescent="0.2">
      <c r="A946" s="2" t="s">
        <v>4281</v>
      </c>
      <c r="B946" s="2" t="s">
        <v>5038</v>
      </c>
      <c r="C946" s="2">
        <v>834.52419999999995</v>
      </c>
      <c r="D946" s="2">
        <f>HYPERLINK("http://mcb-m6.bioreg.kyushu-u.ac.jp/M3/20110318/F50597/1973/1", 83.4)</f>
        <v>83.4</v>
      </c>
      <c r="E946" s="2">
        <v>63.65</v>
      </c>
      <c r="F946" s="2">
        <v>2</v>
      </c>
      <c r="G946" s="2" t="s">
        <v>10</v>
      </c>
    </row>
    <row r="947" spans="1:8" x14ac:dyDescent="0.2">
      <c r="A947" s="2" t="s">
        <v>4281</v>
      </c>
      <c r="B947" s="2" t="s">
        <v>1961</v>
      </c>
      <c r="C947" s="2">
        <v>917.82420000000002</v>
      </c>
      <c r="D947" s="2">
        <f>HYPERLINK("http://mcb-m6.bioreg.kyushu-u.ac.jp/M3/20110418/F50974/2931/1", 64.32)</f>
        <v>64.319999999999993</v>
      </c>
      <c r="E947" s="2">
        <v>54.83</v>
      </c>
      <c r="F947" s="2">
        <v>2</v>
      </c>
      <c r="G947" s="2" t="s">
        <v>11</v>
      </c>
    </row>
    <row r="948" spans="1:8" x14ac:dyDescent="0.2">
      <c r="A948" s="2" t="s">
        <v>3572</v>
      </c>
      <c r="B948" s="2" t="s">
        <v>440</v>
      </c>
      <c r="C948" s="2">
        <v>613.39070000000004</v>
      </c>
      <c r="D948" s="2">
        <f>HYPERLINK("http://mcb-m6.bioreg.kyushu-u.ac.jp/M3/20110318/F50600/1266/2", 44.07)</f>
        <v>44.07</v>
      </c>
      <c r="E948" s="2">
        <v>24.87</v>
      </c>
      <c r="F948" s="2">
        <v>2</v>
      </c>
      <c r="G948" s="2" t="s">
        <v>10</v>
      </c>
    </row>
    <row r="949" spans="1:8" x14ac:dyDescent="0.2">
      <c r="A949" s="2" t="s">
        <v>3572</v>
      </c>
      <c r="B949" s="2" t="s">
        <v>440</v>
      </c>
      <c r="C949" s="2">
        <v>613.83010000000002</v>
      </c>
      <c r="D949" s="2">
        <f>HYPERLINK("http://mcb-m6.bioreg.kyushu-u.ac.jp/M3/20110418/F50972/1803/2", 63.19)</f>
        <v>63.19</v>
      </c>
      <c r="E949" s="2">
        <v>37.89</v>
      </c>
      <c r="F949" s="2">
        <v>2</v>
      </c>
      <c r="G949" s="2" t="s">
        <v>11</v>
      </c>
    </row>
    <row r="950" spans="1:8" x14ac:dyDescent="0.2">
      <c r="A950" s="2" t="s">
        <v>3572</v>
      </c>
      <c r="B950" s="2" t="s">
        <v>440</v>
      </c>
      <c r="C950" s="2">
        <v>613.8107</v>
      </c>
      <c r="D950" s="2">
        <f>HYPERLINK("http://mcb-m6.bioreg.kyushu-u.ac.jp/M3/20110418/F50981/1920/2", 62.93)</f>
        <v>62.93</v>
      </c>
      <c r="E950" s="2">
        <v>36.53</v>
      </c>
      <c r="F950" s="2">
        <v>2</v>
      </c>
      <c r="G950" s="2" t="s">
        <v>12</v>
      </c>
    </row>
    <row r="951" spans="1:8" x14ac:dyDescent="0.2">
      <c r="A951" s="2" t="s">
        <v>3572</v>
      </c>
      <c r="B951" s="2" t="s">
        <v>5492</v>
      </c>
      <c r="C951" s="2">
        <v>607.24959999999999</v>
      </c>
      <c r="D951" s="2">
        <f>HYPERLINK("http://mcb-m6.bioreg.kyushu-u.ac.jp/M3/20110429/F51150/1664/1", 40.17)</f>
        <v>40.17</v>
      </c>
      <c r="E951" s="2">
        <v>24.13</v>
      </c>
      <c r="F951" s="2">
        <v>2</v>
      </c>
      <c r="G951" s="2" t="s">
        <v>13</v>
      </c>
    </row>
    <row r="952" spans="1:8" x14ac:dyDescent="0.2">
      <c r="A952" s="2" t="s">
        <v>3572</v>
      </c>
      <c r="B952" s="2" t="s">
        <v>440</v>
      </c>
      <c r="C952" s="2">
        <v>605.32420000000002</v>
      </c>
      <c r="D952" s="2">
        <f>HYPERLINK("http://mcb-m6.bioreg.kyushu-u.ac.jp/M3/20110429/F51149/1728/2", 44.91)</f>
        <v>44.91</v>
      </c>
      <c r="E952" s="2">
        <v>22.4</v>
      </c>
      <c r="F952" s="2">
        <v>2</v>
      </c>
      <c r="G952" s="2" t="s">
        <v>13</v>
      </c>
      <c r="H952" s="2" t="s">
        <v>4904</v>
      </c>
    </row>
    <row r="953" spans="1:8" x14ac:dyDescent="0.2">
      <c r="A953" s="2" t="s">
        <v>3974</v>
      </c>
      <c r="B953" s="2" t="s">
        <v>5402</v>
      </c>
      <c r="C953" s="2">
        <v>739.86519999999996</v>
      </c>
      <c r="D953" s="2">
        <f>HYPERLINK("http://mcb-m6.bioreg.kyushu-u.ac.jp/M3/20110418/F50975/2035/1", 50.53)</f>
        <v>50.53</v>
      </c>
      <c r="E953" s="2">
        <v>35.74</v>
      </c>
      <c r="F953" s="2">
        <v>2</v>
      </c>
      <c r="G953" s="2" t="s">
        <v>11</v>
      </c>
    </row>
    <row r="954" spans="1:8" x14ac:dyDescent="0.2">
      <c r="A954" s="2" t="s">
        <v>3974</v>
      </c>
      <c r="B954" s="2" t="s">
        <v>1218</v>
      </c>
      <c r="C954" s="2">
        <v>679.84270000000004</v>
      </c>
      <c r="D954" s="2">
        <f>HYPERLINK("http://mcb-m6.bioreg.kyushu-u.ac.jp/M3/20110418/F50975/1632/1", 56.26)</f>
        <v>56.26</v>
      </c>
      <c r="E954" s="2">
        <v>36.46</v>
      </c>
      <c r="F954" s="2">
        <v>2</v>
      </c>
      <c r="G954" s="2" t="s">
        <v>11</v>
      </c>
    </row>
    <row r="955" spans="1:8" x14ac:dyDescent="0.2">
      <c r="A955" s="2" t="s">
        <v>3449</v>
      </c>
      <c r="B955" s="2" t="s">
        <v>1393</v>
      </c>
      <c r="C955" s="2">
        <v>827.93960000000004</v>
      </c>
      <c r="D955" s="2">
        <f>HYPERLINK("http://mcb-m6.bioreg.kyushu-u.ac.jp/M3/20110502/F51158/2369/1", 106.02)</f>
        <v>106.02</v>
      </c>
      <c r="E955" s="2">
        <v>86.31</v>
      </c>
      <c r="F955" s="2">
        <v>2</v>
      </c>
      <c r="G955" s="2" t="s">
        <v>13</v>
      </c>
    </row>
    <row r="956" spans="1:8" x14ac:dyDescent="0.2">
      <c r="A956" s="2" t="s">
        <v>3997</v>
      </c>
      <c r="B956" s="2" t="s">
        <v>1509</v>
      </c>
      <c r="C956" s="2">
        <v>547.34519999999998</v>
      </c>
      <c r="D956" s="2">
        <f>HYPERLINK("http://mcb-m6.bioreg.kyushu-u.ac.jp/M3/20110318/F50615/928/1", 92.63)</f>
        <v>92.63</v>
      </c>
      <c r="E956" s="2">
        <v>64.599999999999994</v>
      </c>
      <c r="F956" s="2">
        <v>2</v>
      </c>
      <c r="G956" s="2" t="s">
        <v>10</v>
      </c>
    </row>
    <row r="957" spans="1:8" x14ac:dyDescent="0.2">
      <c r="A957" s="2" t="s">
        <v>3997</v>
      </c>
      <c r="B957" s="2" t="s">
        <v>2018</v>
      </c>
      <c r="C957" s="2">
        <v>882.89170000000001</v>
      </c>
      <c r="D957" s="2">
        <f>HYPERLINK("http://mcb-m6.bioreg.kyushu-u.ac.jp/M3/20110418/F50975/2867/1", 72.58)</f>
        <v>72.58</v>
      </c>
      <c r="E957" s="2">
        <v>42.95</v>
      </c>
      <c r="F957" s="2">
        <v>2</v>
      </c>
      <c r="G957" s="2" t="s">
        <v>11</v>
      </c>
    </row>
    <row r="958" spans="1:8" x14ac:dyDescent="0.2">
      <c r="A958" s="2" t="s">
        <v>3997</v>
      </c>
      <c r="B958" s="2" t="s">
        <v>2018</v>
      </c>
      <c r="C958" s="2">
        <v>883.09370000000001</v>
      </c>
      <c r="D958" s="2">
        <f>HYPERLINK("http://mcb-m6.bioreg.kyushu-u.ac.jp/M3/20110502/F51158/2666/1", 66.94)</f>
        <v>66.94</v>
      </c>
      <c r="E958" s="2">
        <v>52.24</v>
      </c>
      <c r="F958" s="2">
        <v>2</v>
      </c>
      <c r="G958" s="2" t="s">
        <v>13</v>
      </c>
    </row>
    <row r="959" spans="1:8" x14ac:dyDescent="0.2">
      <c r="A959" s="2" t="s">
        <v>3997</v>
      </c>
      <c r="B959" s="2" t="s">
        <v>2018</v>
      </c>
      <c r="C959" s="2">
        <v>882.53719999999998</v>
      </c>
      <c r="D959" s="2">
        <f>HYPERLINK("http://mcb-m6.bioreg.kyushu-u.ac.jp/M3/20110428/F51141/2815/1", 92.34)</f>
        <v>92.34</v>
      </c>
      <c r="E959" s="2">
        <v>78.63</v>
      </c>
      <c r="F959" s="2">
        <v>2</v>
      </c>
      <c r="G959" s="2" t="s">
        <v>14</v>
      </c>
    </row>
    <row r="960" spans="1:8" x14ac:dyDescent="0.2">
      <c r="A960" s="2" t="s">
        <v>4331</v>
      </c>
      <c r="B960" s="2" t="s">
        <v>2131</v>
      </c>
      <c r="C960" s="2">
        <v>881.56370000000004</v>
      </c>
      <c r="D960" s="2">
        <f>HYPERLINK("http://mcb-m6.bioreg.kyushu-u.ac.jp/M3/20110502/F51158/2661/1", 50.89)</f>
        <v>50.89</v>
      </c>
      <c r="E960" s="2">
        <v>41.89</v>
      </c>
      <c r="F960" s="2">
        <v>2</v>
      </c>
      <c r="G960" s="2" t="s">
        <v>13</v>
      </c>
    </row>
    <row r="961" spans="1:9" x14ac:dyDescent="0.2">
      <c r="A961" s="2" t="s">
        <v>3435</v>
      </c>
      <c r="B961" s="2" t="s">
        <v>3208</v>
      </c>
      <c r="C961" s="2">
        <v>667.42769999999996</v>
      </c>
      <c r="D961" s="2">
        <f>HYPERLINK("http://mcb-m6.bioreg.kyushu-u.ac.jp/M3/20110418/F50975/1552/1", 56.77)</f>
        <v>56.77</v>
      </c>
      <c r="E961" s="2">
        <v>39.520000000000003</v>
      </c>
      <c r="F961" s="2">
        <v>2</v>
      </c>
      <c r="G961" s="2" t="s">
        <v>11</v>
      </c>
      <c r="I961" s="2" t="s">
        <v>4903</v>
      </c>
    </row>
    <row r="962" spans="1:9" x14ac:dyDescent="0.2">
      <c r="A962" s="2" t="s">
        <v>3435</v>
      </c>
      <c r="B962" s="2" t="s">
        <v>3208</v>
      </c>
      <c r="C962" s="2">
        <v>667.44069999999999</v>
      </c>
      <c r="D962" s="2">
        <f>HYPERLINK("http://mcb-m6.bioreg.kyushu-u.ac.jp/M3/20110502/F51158/1499/1", 50.8)</f>
        <v>50.8</v>
      </c>
      <c r="E962" s="2">
        <v>29.31</v>
      </c>
      <c r="F962" s="2">
        <v>2</v>
      </c>
      <c r="G962" s="2" t="s">
        <v>13</v>
      </c>
      <c r="I962" s="2" t="s">
        <v>4903</v>
      </c>
    </row>
    <row r="963" spans="1:9" x14ac:dyDescent="0.2">
      <c r="A963" s="2" t="s">
        <v>4425</v>
      </c>
      <c r="B963" s="2" t="s">
        <v>2296</v>
      </c>
      <c r="C963" s="2">
        <v>737.47670000000005</v>
      </c>
      <c r="D963" s="2">
        <f>HYPERLINK("http://mcb-m6.bioreg.kyushu-u.ac.jp/M3/20110418/F50976/1967/1", 43.4)</f>
        <v>43.4</v>
      </c>
      <c r="E963" s="2">
        <v>15.67</v>
      </c>
      <c r="F963" s="2">
        <v>2</v>
      </c>
      <c r="G963" s="2" t="s">
        <v>11</v>
      </c>
    </row>
    <row r="964" spans="1:9" x14ac:dyDescent="0.2">
      <c r="A964" s="2" t="s">
        <v>3342</v>
      </c>
      <c r="B964" s="2" t="s">
        <v>2652</v>
      </c>
      <c r="C964" s="2">
        <v>814.40170000000001</v>
      </c>
      <c r="D964" s="2">
        <f>HYPERLINK("http://mcb-m6.bioreg.kyushu-u.ac.jp/M3/20110318/F50604/1757/1", 61.65)</f>
        <v>61.65</v>
      </c>
      <c r="E964" s="2">
        <v>37.619999999999997</v>
      </c>
      <c r="F964" s="2">
        <v>2</v>
      </c>
      <c r="G964" s="2" t="s">
        <v>9</v>
      </c>
    </row>
    <row r="965" spans="1:9" x14ac:dyDescent="0.2">
      <c r="A965" s="2" t="s">
        <v>3342</v>
      </c>
      <c r="B965" s="2" t="s">
        <v>2652</v>
      </c>
      <c r="C965" s="2">
        <v>814.33510000000001</v>
      </c>
      <c r="D965" s="2">
        <f>HYPERLINK("http://mcb-m6.bioreg.kyushu-u.ac.jp/M3/20110318/F50612/1796/1", 56.21)</f>
        <v>56.21</v>
      </c>
      <c r="E965" s="2">
        <v>43.33</v>
      </c>
      <c r="F965" s="2">
        <v>2</v>
      </c>
      <c r="G965" s="2" t="s">
        <v>10</v>
      </c>
    </row>
    <row r="966" spans="1:9" x14ac:dyDescent="0.2">
      <c r="A966" s="2" t="s">
        <v>3342</v>
      </c>
      <c r="B966" s="2" t="s">
        <v>2652</v>
      </c>
      <c r="C966" s="2">
        <v>814.83920000000001</v>
      </c>
      <c r="D966" s="2">
        <f>HYPERLINK("http://mcb-m6.bioreg.kyushu-u.ac.jp/M3/20110418/F50977/2537/1", 53.28)</f>
        <v>53.28</v>
      </c>
      <c r="E966" s="2">
        <v>39.18</v>
      </c>
      <c r="F966" s="2">
        <v>2</v>
      </c>
      <c r="G966" s="2" t="s">
        <v>11</v>
      </c>
    </row>
    <row r="967" spans="1:9" x14ac:dyDescent="0.2">
      <c r="A967" s="2" t="s">
        <v>4285</v>
      </c>
      <c r="B967" s="2" t="s">
        <v>5022</v>
      </c>
      <c r="C967" s="2">
        <v>645.57119999999998</v>
      </c>
      <c r="D967" s="2">
        <f>HYPERLINK("http://mcb-m6.bioreg.kyushu-u.ac.jp/M3/20110318/F50604/1335/1", 39.99)</f>
        <v>39.99</v>
      </c>
      <c r="E967" s="2">
        <v>19.66</v>
      </c>
      <c r="F967" s="2">
        <v>2</v>
      </c>
      <c r="G967" s="2" t="s">
        <v>9</v>
      </c>
      <c r="I967" s="2" t="s">
        <v>4899</v>
      </c>
    </row>
    <row r="968" spans="1:9" x14ac:dyDescent="0.2">
      <c r="A968" s="2" t="s">
        <v>3933</v>
      </c>
      <c r="B968" s="2" t="s">
        <v>2378</v>
      </c>
      <c r="C968" s="2">
        <v>658.50710000000004</v>
      </c>
      <c r="D968" s="2">
        <f>HYPERLINK("http://mcb-m6.bioreg.kyushu-u.ac.jp/M3/20110318/F50606/1201/1", 39.04)</f>
        <v>39.04</v>
      </c>
      <c r="E968" s="2">
        <v>17.78</v>
      </c>
      <c r="F968" s="2">
        <v>2</v>
      </c>
      <c r="G968" s="2" t="s">
        <v>9</v>
      </c>
    </row>
    <row r="969" spans="1:9" x14ac:dyDescent="0.2">
      <c r="A969" s="2" t="s">
        <v>5659</v>
      </c>
      <c r="B969" s="2" t="s">
        <v>5121</v>
      </c>
      <c r="C969" s="2">
        <v>711.55820000000006</v>
      </c>
      <c r="D969" s="2">
        <f>HYPERLINK("http://mcb-m6.bioreg.kyushu-u.ac.jp/M3/20110318/F50608/2353/1", 61.58)</f>
        <v>61.58</v>
      </c>
      <c r="E969" s="2">
        <v>48.14</v>
      </c>
      <c r="F969" s="2">
        <v>3</v>
      </c>
      <c r="G969" s="2" t="s">
        <v>9</v>
      </c>
    </row>
    <row r="970" spans="1:9" x14ac:dyDescent="0.2">
      <c r="A970" s="2" t="s">
        <v>5659</v>
      </c>
      <c r="B970" s="2" t="s">
        <v>5121</v>
      </c>
      <c r="C970" s="2">
        <v>1066.538</v>
      </c>
      <c r="D970" s="2">
        <f>HYPERLINK("http://mcb-m6.bioreg.kyushu-u.ac.jp/M3/20110318/F50608/2352/1", 132.87)</f>
        <v>132.87</v>
      </c>
      <c r="E970" s="2">
        <v>116.22</v>
      </c>
      <c r="F970" s="2">
        <v>2</v>
      </c>
      <c r="G970" s="2" t="s">
        <v>9</v>
      </c>
    </row>
    <row r="971" spans="1:9" x14ac:dyDescent="0.2">
      <c r="A971" s="2" t="s">
        <v>5659</v>
      </c>
      <c r="B971" s="2" t="s">
        <v>5121</v>
      </c>
      <c r="C971" s="2">
        <v>711.70010000000002</v>
      </c>
      <c r="D971" s="2">
        <f>HYPERLINK("http://mcb-m6.bioreg.kyushu-u.ac.jp/M3/20110318/F50599/2439/1", 42.6)</f>
        <v>42.6</v>
      </c>
      <c r="E971" s="2">
        <v>36.11</v>
      </c>
      <c r="F971" s="2">
        <v>3</v>
      </c>
      <c r="G971" s="2" t="s">
        <v>10</v>
      </c>
    </row>
    <row r="972" spans="1:9" x14ac:dyDescent="0.2">
      <c r="A972" s="2" t="s">
        <v>3402</v>
      </c>
      <c r="B972" s="2" t="s">
        <v>199</v>
      </c>
      <c r="C972" s="2">
        <v>907.23699999999997</v>
      </c>
      <c r="D972" s="2">
        <f>HYPERLINK("http://mcb-m6.bioreg.kyushu-u.ac.jp/M3/20110318/F50608/898/1", 45.97)</f>
        <v>45.97</v>
      </c>
      <c r="E972" s="2">
        <v>31.01</v>
      </c>
      <c r="F972" s="2">
        <v>1</v>
      </c>
      <c r="G972" s="2" t="s">
        <v>9</v>
      </c>
    </row>
    <row r="973" spans="1:9" x14ac:dyDescent="0.2">
      <c r="A973" s="2" t="s">
        <v>3402</v>
      </c>
      <c r="B973" s="2" t="s">
        <v>199</v>
      </c>
      <c r="C973" s="2">
        <v>907.55499999999995</v>
      </c>
      <c r="D973" s="2">
        <f>HYPERLINK("http://mcb-m6.bioreg.kyushu-u.ac.jp/M3/20110318/F50599/1080/1", 36.17)</f>
        <v>36.17</v>
      </c>
      <c r="E973" s="2">
        <v>24.32</v>
      </c>
      <c r="F973" s="2">
        <v>1</v>
      </c>
      <c r="G973" s="2" t="s">
        <v>10</v>
      </c>
    </row>
    <row r="974" spans="1:9" x14ac:dyDescent="0.2">
      <c r="A974" s="2" t="s">
        <v>3402</v>
      </c>
      <c r="B974" s="2" t="s">
        <v>199</v>
      </c>
      <c r="C974" s="2">
        <v>907.346</v>
      </c>
      <c r="D974" s="2">
        <f>HYPERLINK("http://mcb-m6.bioreg.kyushu-u.ac.jp/M3/20110429/F51151/954/1", 39.28)</f>
        <v>39.28</v>
      </c>
      <c r="E974" s="2">
        <v>26.86</v>
      </c>
      <c r="F974" s="2">
        <v>1</v>
      </c>
      <c r="G974" s="2" t="s">
        <v>13</v>
      </c>
    </row>
    <row r="975" spans="1:9" x14ac:dyDescent="0.2">
      <c r="A975" s="2" t="s">
        <v>4073</v>
      </c>
      <c r="B975" s="2" t="s">
        <v>1464</v>
      </c>
      <c r="C975" s="2">
        <v>775.35670000000005</v>
      </c>
      <c r="D975" s="2">
        <f>HYPERLINK("http://mcb-m6.bioreg.kyushu-u.ac.jp/M3/20110429/F51150/2248/1", 94.98)</f>
        <v>94.98</v>
      </c>
      <c r="E975" s="2">
        <v>67.34</v>
      </c>
      <c r="F975" s="2">
        <v>2</v>
      </c>
      <c r="G975" s="2" t="s">
        <v>13</v>
      </c>
    </row>
    <row r="976" spans="1:9" x14ac:dyDescent="0.2">
      <c r="A976" s="2" t="s">
        <v>3348</v>
      </c>
      <c r="B976" s="2" t="s">
        <v>1248</v>
      </c>
      <c r="C976" s="2">
        <v>709.77470000000005</v>
      </c>
      <c r="D976" s="2">
        <f>HYPERLINK("http://mcb-m6.bioreg.kyushu-u.ac.jp/M3/20110318/F50608/1392/1", 61.47)</f>
        <v>61.47</v>
      </c>
      <c r="E976" s="2">
        <v>20.95</v>
      </c>
      <c r="F976" s="2">
        <v>2</v>
      </c>
      <c r="G976" s="2" t="s">
        <v>9</v>
      </c>
      <c r="I976" s="2" t="s">
        <v>4899</v>
      </c>
    </row>
    <row r="977" spans="1:9" x14ac:dyDescent="0.2">
      <c r="A977" s="2" t="s">
        <v>3348</v>
      </c>
      <c r="B977" s="2" t="s">
        <v>137</v>
      </c>
      <c r="C977" s="2">
        <v>666.19460000000004</v>
      </c>
      <c r="D977" s="2">
        <f>HYPERLINK("http://mcb-m6.bioreg.kyushu-u.ac.jp/M3/20110318/F50608/1286/1", 67.43)</f>
        <v>67.430000000000007</v>
      </c>
      <c r="E977" s="2">
        <v>33.81</v>
      </c>
      <c r="F977" s="2">
        <v>2</v>
      </c>
      <c r="G977" s="2" t="s">
        <v>9</v>
      </c>
    </row>
    <row r="978" spans="1:9" x14ac:dyDescent="0.2">
      <c r="A978" s="2" t="s">
        <v>3348</v>
      </c>
      <c r="B978" s="2" t="s">
        <v>1590</v>
      </c>
      <c r="C978" s="2">
        <v>1020.696</v>
      </c>
      <c r="D978" s="2">
        <f>HYPERLINK("http://mcb-m6.bioreg.kyushu-u.ac.jp/M3/20110318/F50609/2264/1", 78.1)</f>
        <v>78.099999999999994</v>
      </c>
      <c r="E978" s="2">
        <v>53.08</v>
      </c>
      <c r="F978" s="2">
        <v>2</v>
      </c>
      <c r="G978" s="2" t="s">
        <v>9</v>
      </c>
    </row>
    <row r="979" spans="1:9" x14ac:dyDescent="0.2">
      <c r="A979" s="2" t="s">
        <v>3348</v>
      </c>
      <c r="B979" s="2" t="s">
        <v>1590</v>
      </c>
      <c r="C979" s="2">
        <v>1020.848</v>
      </c>
      <c r="D979" s="2">
        <f>HYPERLINK("http://mcb-m6.bioreg.kyushu-u.ac.jp/M3/20110318/F50608/2259/1", 118.16)</f>
        <v>118.16</v>
      </c>
      <c r="E979" s="2">
        <v>101.41</v>
      </c>
      <c r="F979" s="2">
        <v>2</v>
      </c>
      <c r="G979" s="2" t="s">
        <v>9</v>
      </c>
    </row>
    <row r="980" spans="1:9" x14ac:dyDescent="0.2">
      <c r="A980" s="2" t="s">
        <v>3348</v>
      </c>
      <c r="B980" s="2" t="s">
        <v>1590</v>
      </c>
      <c r="C980" s="2">
        <v>1021.383</v>
      </c>
      <c r="D980" s="2">
        <f>HYPERLINK("http://mcb-m6.bioreg.kyushu-u.ac.jp/M3/20110318/F50599/2385/1", 101.04)</f>
        <v>101.04</v>
      </c>
      <c r="E980" s="2">
        <v>83.06</v>
      </c>
      <c r="F980" s="2">
        <v>2</v>
      </c>
      <c r="G980" s="2" t="s">
        <v>10</v>
      </c>
    </row>
    <row r="981" spans="1:9" x14ac:dyDescent="0.2">
      <c r="A981" s="2" t="s">
        <v>3348</v>
      </c>
      <c r="B981" s="2" t="s">
        <v>137</v>
      </c>
      <c r="C981" s="2">
        <v>666.44269999999995</v>
      </c>
      <c r="D981" s="2">
        <f>HYPERLINK("http://mcb-m6.bioreg.kyushu-u.ac.jp/M3/20110418/F50972/1905/1", 61.74)</f>
        <v>61.74</v>
      </c>
      <c r="E981" s="2">
        <v>32.61</v>
      </c>
      <c r="F981" s="2">
        <v>2</v>
      </c>
      <c r="G981" s="2" t="s">
        <v>11</v>
      </c>
    </row>
    <row r="982" spans="1:9" x14ac:dyDescent="0.2">
      <c r="A982" s="2" t="s">
        <v>3348</v>
      </c>
      <c r="B982" s="2" t="s">
        <v>1248</v>
      </c>
      <c r="C982" s="2">
        <v>709.56320000000005</v>
      </c>
      <c r="D982" s="2">
        <f>HYPERLINK("http://mcb-m6.bioreg.kyushu-u.ac.jp/M3/20110429/F51150/2013/1", 35.59)</f>
        <v>35.590000000000003</v>
      </c>
      <c r="E982" s="2">
        <v>11.23</v>
      </c>
      <c r="F982" s="2">
        <v>2</v>
      </c>
      <c r="G982" s="2" t="s">
        <v>13</v>
      </c>
      <c r="I982" s="2" t="s">
        <v>4899</v>
      </c>
    </row>
    <row r="983" spans="1:9" x14ac:dyDescent="0.2">
      <c r="A983" s="2" t="s">
        <v>3348</v>
      </c>
      <c r="B983" s="2" t="s">
        <v>137</v>
      </c>
      <c r="C983" s="2">
        <v>666.0222</v>
      </c>
      <c r="D983" s="2">
        <f>HYPERLINK("http://mcb-m6.bioreg.kyushu-u.ac.jp/M3/20110429/F51151/1811/1", 39.12)</f>
        <v>39.119999999999997</v>
      </c>
      <c r="E983" s="2">
        <v>18.46</v>
      </c>
      <c r="F983" s="2">
        <v>2</v>
      </c>
      <c r="G983" s="2" t="s">
        <v>13</v>
      </c>
    </row>
    <row r="984" spans="1:9" x14ac:dyDescent="0.2">
      <c r="A984" s="2" t="s">
        <v>3348</v>
      </c>
      <c r="B984" s="2" t="s">
        <v>137</v>
      </c>
      <c r="C984" s="2">
        <v>666.06410000000005</v>
      </c>
      <c r="D984" s="2">
        <f>HYPERLINK("http://mcb-m6.bioreg.kyushu-u.ac.jp/M3/20110429/F51150/1827/1", 41.27)</f>
        <v>41.27</v>
      </c>
      <c r="E984" s="2">
        <v>10.09</v>
      </c>
      <c r="F984" s="2">
        <v>2</v>
      </c>
      <c r="G984" s="2" t="s">
        <v>13</v>
      </c>
    </row>
    <row r="985" spans="1:9" x14ac:dyDescent="0.2">
      <c r="A985" s="2" t="s">
        <v>3348</v>
      </c>
      <c r="B985" s="2" t="s">
        <v>1125</v>
      </c>
      <c r="C985" s="2">
        <v>640.5856</v>
      </c>
      <c r="D985" s="2">
        <f>HYPERLINK("http://mcb-m6.bioreg.kyushu-u.ac.jp/M3/20110429/F51150/1761/1", 62.8)</f>
        <v>62.8</v>
      </c>
      <c r="E985" s="2">
        <v>38.11</v>
      </c>
      <c r="F985" s="2">
        <v>2</v>
      </c>
      <c r="G985" s="2" t="s">
        <v>13</v>
      </c>
    </row>
    <row r="986" spans="1:9" x14ac:dyDescent="0.2">
      <c r="A986" s="2" t="s">
        <v>3348</v>
      </c>
      <c r="B986" s="2" t="s">
        <v>1590</v>
      </c>
      <c r="C986" s="2">
        <v>1020.688</v>
      </c>
      <c r="D986" s="2">
        <f>HYPERLINK("http://mcb-m6.bioreg.kyushu-u.ac.jp/M3/20110429/F51150/2942/1", 119.81)</f>
        <v>119.81</v>
      </c>
      <c r="E986" s="2">
        <v>97.86</v>
      </c>
      <c r="F986" s="2">
        <v>2</v>
      </c>
      <c r="G986" s="2" t="s">
        <v>13</v>
      </c>
    </row>
    <row r="987" spans="1:9" x14ac:dyDescent="0.2">
      <c r="A987" s="2" t="s">
        <v>3348</v>
      </c>
      <c r="B987" s="2" t="s">
        <v>1590</v>
      </c>
      <c r="C987" s="2">
        <v>1021.274</v>
      </c>
      <c r="D987" s="2">
        <f>HYPERLINK("http://mcb-m6.bioreg.kyushu-u.ac.jp/M3/20110429/F51150/2944/1", 142.62)</f>
        <v>142.62</v>
      </c>
      <c r="E987" s="2">
        <v>119.45</v>
      </c>
      <c r="F987" s="2">
        <v>2</v>
      </c>
      <c r="G987" s="2" t="s">
        <v>13</v>
      </c>
    </row>
    <row r="988" spans="1:9" x14ac:dyDescent="0.2">
      <c r="A988" s="2" t="s">
        <v>3348</v>
      </c>
      <c r="B988" s="2" t="s">
        <v>1248</v>
      </c>
      <c r="C988" s="2">
        <v>710.3066</v>
      </c>
      <c r="D988" s="2">
        <f>HYPERLINK("http://mcb-m6.bioreg.kyushu-u.ac.jp/M3/20110428/F51138/2153/1", 57.12)</f>
        <v>57.12</v>
      </c>
      <c r="E988" s="2">
        <v>39.36</v>
      </c>
      <c r="F988" s="2">
        <v>2</v>
      </c>
      <c r="G988" s="2" t="s">
        <v>14</v>
      </c>
      <c r="I988" s="2" t="s">
        <v>4899</v>
      </c>
    </row>
    <row r="989" spans="1:9" x14ac:dyDescent="0.2">
      <c r="A989" s="2" t="s">
        <v>5707</v>
      </c>
      <c r="B989" s="2" t="s">
        <v>5249</v>
      </c>
      <c r="C989" s="2">
        <v>456.90710000000001</v>
      </c>
      <c r="D989" s="2">
        <f>HYPERLINK("http://mcb-m6.bioreg.kyushu-u.ac.jp/M3/20110318/F50613/766/1", 41.17)</f>
        <v>41.17</v>
      </c>
      <c r="E989" s="2">
        <v>11.04</v>
      </c>
      <c r="F989" s="2">
        <v>2</v>
      </c>
      <c r="G989" s="2" t="s">
        <v>10</v>
      </c>
      <c r="H989" s="2" t="s">
        <v>4904</v>
      </c>
    </row>
    <row r="990" spans="1:9" x14ac:dyDescent="0.2">
      <c r="A990" s="2" t="s">
        <v>3638</v>
      </c>
      <c r="B990" s="2" t="s">
        <v>556</v>
      </c>
      <c r="C990" s="2">
        <v>610.9357</v>
      </c>
      <c r="D990" s="2">
        <f>HYPERLINK("http://mcb-m6.bioreg.kyushu-u.ac.jp/M3/20110502/F51158/1281/1", 35.6)</f>
        <v>35.6</v>
      </c>
      <c r="E990" s="2">
        <v>17.579999999999998</v>
      </c>
      <c r="F990" s="2">
        <v>2</v>
      </c>
      <c r="G990" s="2" t="s">
        <v>13</v>
      </c>
    </row>
    <row r="991" spans="1:9" x14ac:dyDescent="0.2">
      <c r="A991" s="2" t="s">
        <v>3477</v>
      </c>
      <c r="B991" s="2" t="s">
        <v>295</v>
      </c>
      <c r="C991" s="2">
        <v>639.33219999999994</v>
      </c>
      <c r="D991" s="2">
        <f>HYPERLINK("http://mcb-m6.bioreg.kyushu-u.ac.jp/M3/20110318/F50609/1350/1", 67.03)</f>
        <v>67.03</v>
      </c>
      <c r="E991" s="2">
        <v>51.68</v>
      </c>
      <c r="F991" s="2">
        <v>2</v>
      </c>
      <c r="G991" s="2" t="s">
        <v>9</v>
      </c>
    </row>
    <row r="992" spans="1:9" x14ac:dyDescent="0.2">
      <c r="A992" s="2" t="s">
        <v>3477</v>
      </c>
      <c r="B992" s="2" t="s">
        <v>295</v>
      </c>
      <c r="C992" s="2">
        <v>639.60220000000004</v>
      </c>
      <c r="D992" s="2">
        <f>HYPERLINK("http://mcb-m6.bioreg.kyushu-u.ac.jp/M3/20110318/F50596/1330/1", 48.37)</f>
        <v>48.37</v>
      </c>
      <c r="E992" s="2">
        <v>20.3</v>
      </c>
      <c r="F992" s="2">
        <v>2</v>
      </c>
      <c r="G992" s="2" t="s">
        <v>10</v>
      </c>
    </row>
    <row r="993" spans="1:8" x14ac:dyDescent="0.2">
      <c r="A993" s="2" t="s">
        <v>3477</v>
      </c>
      <c r="B993" s="2" t="s">
        <v>295</v>
      </c>
      <c r="C993" s="2">
        <v>639.91610000000003</v>
      </c>
      <c r="D993" s="2">
        <f>HYPERLINK("http://mcb-m6.bioreg.kyushu-u.ac.jp/M3/20110318/F50600/1308/1", 62.46)</f>
        <v>62.46</v>
      </c>
      <c r="E993" s="2">
        <v>45.51</v>
      </c>
      <c r="F993" s="2">
        <v>2</v>
      </c>
      <c r="G993" s="2" t="s">
        <v>10</v>
      </c>
    </row>
    <row r="994" spans="1:8" x14ac:dyDescent="0.2">
      <c r="A994" s="2" t="s">
        <v>3477</v>
      </c>
      <c r="B994" s="2" t="s">
        <v>295</v>
      </c>
      <c r="C994" s="2">
        <v>639.94320000000005</v>
      </c>
      <c r="D994" s="2">
        <f>HYPERLINK("http://mcb-m6.bioreg.kyushu-u.ac.jp/M3/20110318/F50595/1498/1", 66.65)</f>
        <v>66.650000000000006</v>
      </c>
      <c r="E994" s="2">
        <v>43.62</v>
      </c>
      <c r="F994" s="2">
        <v>2</v>
      </c>
      <c r="G994" s="2" t="s">
        <v>10</v>
      </c>
    </row>
    <row r="995" spans="1:8" x14ac:dyDescent="0.2">
      <c r="A995" s="2" t="s">
        <v>3477</v>
      </c>
      <c r="B995" s="2" t="s">
        <v>295</v>
      </c>
      <c r="C995" s="2">
        <v>639.34310000000005</v>
      </c>
      <c r="D995" s="2">
        <f>HYPERLINK("http://mcb-m6.bioreg.kyushu-u.ac.jp/M3/20110428/F51141/1360/1", 46.42)</f>
        <v>46.42</v>
      </c>
      <c r="E995" s="2">
        <v>31.25</v>
      </c>
      <c r="F995" s="2">
        <v>2</v>
      </c>
      <c r="G995" s="2" t="s">
        <v>14</v>
      </c>
    </row>
    <row r="996" spans="1:8" x14ac:dyDescent="0.2">
      <c r="A996" s="2" t="s">
        <v>3477</v>
      </c>
      <c r="B996" s="2" t="s">
        <v>295</v>
      </c>
      <c r="C996" s="2">
        <v>639.29169999999999</v>
      </c>
      <c r="D996" s="2">
        <f>HYPERLINK("http://mcb-m6.bioreg.kyushu-u.ac.jp/M3/20110428/F51138/1897/1", 49.97)</f>
        <v>49.97</v>
      </c>
      <c r="E996" s="2">
        <v>34.22</v>
      </c>
      <c r="F996" s="2">
        <v>2</v>
      </c>
      <c r="G996" s="2" t="s">
        <v>14</v>
      </c>
    </row>
    <row r="997" spans="1:8" x14ac:dyDescent="0.2">
      <c r="A997" s="2" t="s">
        <v>3310</v>
      </c>
      <c r="B997" s="2" t="s">
        <v>821</v>
      </c>
      <c r="C997" s="2">
        <v>539.88869999999997</v>
      </c>
      <c r="D997" s="2">
        <f>HYPERLINK("http://mcb-m6.bioreg.kyushu-u.ac.jp/M3/20110318/F50604/1163/1", 43.08)</f>
        <v>43.08</v>
      </c>
      <c r="E997" s="2">
        <v>24.37</v>
      </c>
      <c r="F997" s="2">
        <v>2</v>
      </c>
      <c r="G997" s="2" t="s">
        <v>9</v>
      </c>
    </row>
    <row r="998" spans="1:8" x14ac:dyDescent="0.2">
      <c r="A998" s="2" t="s">
        <v>3310</v>
      </c>
      <c r="B998" s="2" t="s">
        <v>1061</v>
      </c>
      <c r="C998" s="2">
        <v>556.28620000000001</v>
      </c>
      <c r="D998" s="2">
        <f>HYPERLINK("http://mcb-m6.bioreg.kyushu-u.ac.jp/M3/20110318/F50604/1804/1", 59.07)</f>
        <v>59.07</v>
      </c>
      <c r="E998" s="2">
        <v>38.1</v>
      </c>
      <c r="F998" s="2">
        <v>3</v>
      </c>
      <c r="G998" s="2" t="s">
        <v>9</v>
      </c>
    </row>
    <row r="999" spans="1:8" x14ac:dyDescent="0.2">
      <c r="A999" s="2" t="s">
        <v>3310</v>
      </c>
      <c r="B999" s="2" t="s">
        <v>114</v>
      </c>
      <c r="C999" s="2">
        <v>638.53859999999997</v>
      </c>
      <c r="D999" s="2">
        <f>HYPERLINK("http://mcb-m6.bioreg.kyushu-u.ac.jp/M3/20110318/F50604/1329/1", 60.65)</f>
        <v>60.65</v>
      </c>
      <c r="E999" s="2">
        <v>45.64</v>
      </c>
      <c r="F999" s="2">
        <v>2</v>
      </c>
      <c r="G999" s="2" t="s">
        <v>9</v>
      </c>
    </row>
    <row r="1000" spans="1:8" x14ac:dyDescent="0.2">
      <c r="A1000" s="2" t="s">
        <v>3310</v>
      </c>
      <c r="B1000" s="2" t="s">
        <v>333</v>
      </c>
      <c r="C1000" s="2">
        <v>907.42660000000001</v>
      </c>
      <c r="D1000" s="2">
        <f>HYPERLINK("http://mcb-m6.bioreg.kyushu-u.ac.jp/M3/20110318/F50604/1955/1", 60.88)</f>
        <v>60.88</v>
      </c>
      <c r="E1000" s="2">
        <v>35.06</v>
      </c>
      <c r="F1000" s="2">
        <v>2</v>
      </c>
      <c r="G1000" s="2" t="s">
        <v>9</v>
      </c>
      <c r="H1000" s="2" t="s">
        <v>4904</v>
      </c>
    </row>
    <row r="1001" spans="1:8" x14ac:dyDescent="0.2">
      <c r="A1001" s="2" t="s">
        <v>3310</v>
      </c>
      <c r="B1001" s="2" t="s">
        <v>333</v>
      </c>
      <c r="C1001" s="2">
        <v>915.83969999999999</v>
      </c>
      <c r="D1001" s="2">
        <f>HYPERLINK("http://mcb-m6.bioreg.kyushu-u.ac.jp/M3/20110318/F50605/2251/1", 67.89)</f>
        <v>67.89</v>
      </c>
      <c r="E1001" s="2">
        <v>55.47</v>
      </c>
      <c r="F1001" s="2">
        <v>2</v>
      </c>
      <c r="G1001" s="2" t="s">
        <v>9</v>
      </c>
    </row>
    <row r="1002" spans="1:8" x14ac:dyDescent="0.2">
      <c r="A1002" s="2" t="s">
        <v>3310</v>
      </c>
      <c r="B1002" s="2" t="s">
        <v>1061</v>
      </c>
      <c r="C1002" s="2">
        <v>833.71220000000005</v>
      </c>
      <c r="D1002" s="2">
        <f>HYPERLINK("http://mcb-m6.bioreg.kyushu-u.ac.jp/M3/20110318/F50604/1803/1", 73.08)</f>
        <v>73.08</v>
      </c>
      <c r="E1002" s="2">
        <v>55.73</v>
      </c>
      <c r="F1002" s="2">
        <v>2</v>
      </c>
      <c r="G1002" s="2" t="s">
        <v>9</v>
      </c>
    </row>
    <row r="1003" spans="1:8" x14ac:dyDescent="0.2">
      <c r="A1003" s="2" t="s">
        <v>3310</v>
      </c>
      <c r="B1003" s="2" t="s">
        <v>333</v>
      </c>
      <c r="C1003" s="2">
        <v>915.5616</v>
      </c>
      <c r="D1003" s="2">
        <f>HYPERLINK("http://mcb-m6.bioreg.kyushu-u.ac.jp/M3/20110318/F50604/1970/1", 90.86)</f>
        <v>90.86</v>
      </c>
      <c r="E1003" s="2">
        <v>78.5</v>
      </c>
      <c r="F1003" s="2">
        <v>2</v>
      </c>
      <c r="G1003" s="2" t="s">
        <v>9</v>
      </c>
    </row>
    <row r="1004" spans="1:8" x14ac:dyDescent="0.2">
      <c r="A1004" s="2" t="s">
        <v>3310</v>
      </c>
      <c r="B1004" s="2" t="s">
        <v>582</v>
      </c>
      <c r="C1004" s="2">
        <v>904.83320000000003</v>
      </c>
      <c r="D1004" s="2">
        <f>HYPERLINK("http://mcb-m6.bioreg.kyushu-u.ac.jp/M3/20110318/F50604/1950/1", 116.26)</f>
        <v>116.26</v>
      </c>
      <c r="E1004" s="2">
        <v>96.43</v>
      </c>
      <c r="F1004" s="2">
        <v>2</v>
      </c>
      <c r="G1004" s="2" t="s">
        <v>9</v>
      </c>
    </row>
    <row r="1005" spans="1:8" x14ac:dyDescent="0.2">
      <c r="A1005" s="2" t="s">
        <v>3310</v>
      </c>
      <c r="B1005" s="2" t="s">
        <v>582</v>
      </c>
      <c r="C1005" s="2">
        <v>904.58069999999998</v>
      </c>
      <c r="D1005" s="2">
        <f>HYPERLINK("http://mcb-m6.bioreg.kyushu-u.ac.jp/M3/20110318/F50597/2221/1", 41.38)</f>
        <v>41.38</v>
      </c>
      <c r="E1005" s="2">
        <v>26.93</v>
      </c>
      <c r="F1005" s="2">
        <v>2</v>
      </c>
      <c r="G1005" s="2" t="s">
        <v>10</v>
      </c>
    </row>
    <row r="1006" spans="1:8" x14ac:dyDescent="0.2">
      <c r="A1006" s="2" t="s">
        <v>3310</v>
      </c>
      <c r="B1006" s="2" t="s">
        <v>333</v>
      </c>
      <c r="C1006" s="2">
        <v>907.3972</v>
      </c>
      <c r="D1006" s="2">
        <f>HYPERLINK("http://mcb-m6.bioreg.kyushu-u.ac.jp/M3/20110318/F50612/2035/1", 48.58)</f>
        <v>48.58</v>
      </c>
      <c r="E1006" s="2">
        <v>34.22</v>
      </c>
      <c r="F1006" s="2">
        <v>2</v>
      </c>
      <c r="G1006" s="2" t="s">
        <v>10</v>
      </c>
      <c r="H1006" s="2" t="s">
        <v>4904</v>
      </c>
    </row>
    <row r="1007" spans="1:8" x14ac:dyDescent="0.2">
      <c r="A1007" s="2" t="s">
        <v>3310</v>
      </c>
      <c r="B1007" s="2" t="s">
        <v>333</v>
      </c>
      <c r="C1007" s="2">
        <v>915.21559999999999</v>
      </c>
      <c r="D1007" s="2">
        <f>HYPERLINK("http://mcb-m6.bioreg.kyushu-u.ac.jp/M3/20110318/F50616/2292/1", 53.1)</f>
        <v>53.1</v>
      </c>
      <c r="E1007" s="2">
        <v>34.65</v>
      </c>
      <c r="F1007" s="2">
        <v>2</v>
      </c>
      <c r="G1007" s="2" t="s">
        <v>10</v>
      </c>
    </row>
    <row r="1008" spans="1:8" x14ac:dyDescent="0.2">
      <c r="A1008" s="2" t="s">
        <v>3310</v>
      </c>
      <c r="B1008" s="2" t="s">
        <v>114</v>
      </c>
      <c r="C1008" s="2">
        <v>638.3827</v>
      </c>
      <c r="D1008" s="2">
        <f>HYPERLINK("http://mcb-m6.bioreg.kyushu-u.ac.jp/M3/20110318/F50612/1282/1", 61.47)</f>
        <v>61.47</v>
      </c>
      <c r="E1008" s="2">
        <v>46.34</v>
      </c>
      <c r="F1008" s="2">
        <v>2</v>
      </c>
      <c r="G1008" s="2" t="s">
        <v>10</v>
      </c>
    </row>
    <row r="1009" spans="1:7" x14ac:dyDescent="0.2">
      <c r="A1009" s="2" t="s">
        <v>3310</v>
      </c>
      <c r="B1009" s="2" t="s">
        <v>1061</v>
      </c>
      <c r="C1009" s="2">
        <v>555.93849999999998</v>
      </c>
      <c r="D1009" s="2">
        <f>HYPERLINK("http://mcb-m6.bioreg.kyushu-u.ac.jp/M3/20110318/F50612/1842/1", 65.41)</f>
        <v>65.41</v>
      </c>
      <c r="E1009" s="2">
        <v>47</v>
      </c>
      <c r="F1009" s="2">
        <v>3</v>
      </c>
      <c r="G1009" s="2" t="s">
        <v>10</v>
      </c>
    </row>
    <row r="1010" spans="1:7" x14ac:dyDescent="0.2">
      <c r="A1010" s="2" t="s">
        <v>3310</v>
      </c>
      <c r="B1010" s="2" t="s">
        <v>333</v>
      </c>
      <c r="C1010" s="2">
        <v>915.50519999999995</v>
      </c>
      <c r="D1010" s="2">
        <f>HYPERLINK("http://mcb-m6.bioreg.kyushu-u.ac.jp/M3/20110318/F50597/2249/1", 75.06)</f>
        <v>75.06</v>
      </c>
      <c r="E1010" s="2">
        <v>56.79</v>
      </c>
      <c r="F1010" s="2">
        <v>2</v>
      </c>
      <c r="G1010" s="2" t="s">
        <v>10</v>
      </c>
    </row>
    <row r="1011" spans="1:7" x14ac:dyDescent="0.2">
      <c r="A1011" s="2" t="s">
        <v>3310</v>
      </c>
      <c r="B1011" s="2" t="s">
        <v>1061</v>
      </c>
      <c r="C1011" s="2">
        <v>833.31269999999995</v>
      </c>
      <c r="D1011" s="2">
        <f>HYPERLINK("http://mcb-m6.bioreg.kyushu-u.ac.jp/M3/20110318/F50612/1841/1", 81.33)</f>
        <v>81.33</v>
      </c>
      <c r="E1011" s="2">
        <v>57.41</v>
      </c>
      <c r="F1011" s="2">
        <v>2</v>
      </c>
      <c r="G1011" s="2" t="s">
        <v>10</v>
      </c>
    </row>
    <row r="1012" spans="1:7" x14ac:dyDescent="0.2">
      <c r="A1012" s="2" t="s">
        <v>3310</v>
      </c>
      <c r="B1012" s="2" t="s">
        <v>582</v>
      </c>
      <c r="C1012" s="2">
        <v>904.3066</v>
      </c>
      <c r="D1012" s="2">
        <f>HYPERLINK("http://mcb-m6.bioreg.kyushu-u.ac.jp/M3/20110318/F50612/2028/1", 87.87)</f>
        <v>87.87</v>
      </c>
      <c r="E1012" s="2">
        <v>58.76</v>
      </c>
      <c r="F1012" s="2">
        <v>2</v>
      </c>
      <c r="G1012" s="2" t="s">
        <v>10</v>
      </c>
    </row>
    <row r="1013" spans="1:7" x14ac:dyDescent="0.2">
      <c r="A1013" s="2" t="s">
        <v>3310</v>
      </c>
      <c r="B1013" s="2" t="s">
        <v>333</v>
      </c>
      <c r="C1013" s="2">
        <v>915.96510000000001</v>
      </c>
      <c r="D1013" s="2">
        <f>HYPERLINK("http://mcb-m6.bioreg.kyushu-u.ac.jp/M3/20110318/F50613/2326/1", 89.3)</f>
        <v>89.3</v>
      </c>
      <c r="E1013" s="2">
        <v>75.89</v>
      </c>
      <c r="F1013" s="2">
        <v>2</v>
      </c>
      <c r="G1013" s="2" t="s">
        <v>10</v>
      </c>
    </row>
    <row r="1014" spans="1:7" x14ac:dyDescent="0.2">
      <c r="A1014" s="2" t="s">
        <v>3310</v>
      </c>
      <c r="B1014" s="2" t="s">
        <v>821</v>
      </c>
      <c r="C1014" s="2">
        <v>540.14570000000003</v>
      </c>
      <c r="D1014" s="2">
        <f>HYPERLINK("http://mcb-m6.bioreg.kyushu-u.ac.jp/M3/20110418/F50977/1080/1", 37.23)</f>
        <v>37.229999999999997</v>
      </c>
      <c r="E1014" s="2">
        <v>20.45</v>
      </c>
      <c r="F1014" s="2">
        <v>2</v>
      </c>
      <c r="G1014" s="2" t="s">
        <v>11</v>
      </c>
    </row>
    <row r="1015" spans="1:7" x14ac:dyDescent="0.2">
      <c r="A1015" s="2" t="s">
        <v>3310</v>
      </c>
      <c r="B1015" s="2" t="s">
        <v>333</v>
      </c>
      <c r="C1015" s="2">
        <v>915.77369999999996</v>
      </c>
      <c r="D1015" s="2">
        <f>HYPERLINK("http://mcb-m6.bioreg.kyushu-u.ac.jp/M3/20110418/F50978/2900/1", 38.67)</f>
        <v>38.67</v>
      </c>
      <c r="E1015" s="2">
        <v>28.76</v>
      </c>
      <c r="F1015" s="2">
        <v>2</v>
      </c>
      <c r="G1015" s="2" t="s">
        <v>11</v>
      </c>
    </row>
    <row r="1016" spans="1:7" x14ac:dyDescent="0.2">
      <c r="A1016" s="2" t="s">
        <v>3310</v>
      </c>
      <c r="B1016" s="2" t="s">
        <v>1910</v>
      </c>
      <c r="C1016" s="2">
        <v>628.34619999999995</v>
      </c>
      <c r="D1016" s="2">
        <f>HYPERLINK("http://mcb-m6.bioreg.kyushu-u.ac.jp/M3/20110418/F50977/1488/1", 43.33)</f>
        <v>43.33</v>
      </c>
      <c r="E1016" s="2">
        <v>27.67</v>
      </c>
      <c r="F1016" s="2">
        <v>2</v>
      </c>
      <c r="G1016" s="2" t="s">
        <v>11</v>
      </c>
    </row>
    <row r="1017" spans="1:7" x14ac:dyDescent="0.2">
      <c r="A1017" s="2" t="s">
        <v>3310</v>
      </c>
      <c r="B1017" s="2" t="s">
        <v>333</v>
      </c>
      <c r="C1017" s="2">
        <v>915.73969999999997</v>
      </c>
      <c r="D1017" s="2">
        <f>HYPERLINK("http://mcb-m6.bioreg.kyushu-u.ac.jp/M3/20110418/F50977/3049/1", 43.77)</f>
        <v>43.77</v>
      </c>
      <c r="E1017" s="2">
        <v>24.31</v>
      </c>
      <c r="F1017" s="2">
        <v>2</v>
      </c>
      <c r="G1017" s="2" t="s">
        <v>11</v>
      </c>
    </row>
    <row r="1018" spans="1:7" x14ac:dyDescent="0.2">
      <c r="A1018" s="2" t="s">
        <v>3310</v>
      </c>
      <c r="B1018" s="2" t="s">
        <v>114</v>
      </c>
      <c r="C1018" s="2">
        <v>638.15419999999995</v>
      </c>
      <c r="D1018" s="2">
        <f>HYPERLINK("http://mcb-m6.bioreg.kyushu-u.ac.jp/M3/20110418/F50977/1527/1", 43.96)</f>
        <v>43.96</v>
      </c>
      <c r="E1018" s="2">
        <v>26.83</v>
      </c>
      <c r="F1018" s="2">
        <v>2</v>
      </c>
      <c r="G1018" s="2" t="s">
        <v>11</v>
      </c>
    </row>
    <row r="1019" spans="1:7" x14ac:dyDescent="0.2">
      <c r="A1019" s="2" t="s">
        <v>3310</v>
      </c>
      <c r="B1019" s="2" t="s">
        <v>821</v>
      </c>
      <c r="C1019" s="2">
        <v>539.63919999999996</v>
      </c>
      <c r="D1019" s="2">
        <f>HYPERLINK("http://mcb-m6.bioreg.kyushu-u.ac.jp/M3/20110418/F50977/1077/1", 52.47)</f>
        <v>52.47</v>
      </c>
      <c r="E1019" s="2">
        <v>26.88</v>
      </c>
      <c r="F1019" s="2">
        <v>2</v>
      </c>
      <c r="G1019" s="2" t="s">
        <v>11</v>
      </c>
    </row>
    <row r="1020" spans="1:7" x14ac:dyDescent="0.2">
      <c r="A1020" s="2" t="s">
        <v>3310</v>
      </c>
      <c r="B1020" s="2" t="s">
        <v>333</v>
      </c>
      <c r="C1020" s="2">
        <v>915.49869999999999</v>
      </c>
      <c r="D1020" s="2">
        <f>HYPERLINK("http://mcb-m6.bioreg.kyushu-u.ac.jp/M3/20110418/F50975/3068/1", 56.12)</f>
        <v>56.12</v>
      </c>
      <c r="E1020" s="2">
        <v>43.61</v>
      </c>
      <c r="F1020" s="2">
        <v>2</v>
      </c>
      <c r="G1020" s="2" t="s">
        <v>11</v>
      </c>
    </row>
    <row r="1021" spans="1:7" x14ac:dyDescent="0.2">
      <c r="A1021" s="2" t="s">
        <v>3310</v>
      </c>
      <c r="B1021" s="2" t="s">
        <v>582</v>
      </c>
      <c r="C1021" s="2">
        <v>905.04110000000003</v>
      </c>
      <c r="D1021" s="2">
        <f>HYPERLINK("http://mcb-m6.bioreg.kyushu-u.ac.jp/M3/20110418/F50977/2996/1", 57.39)</f>
        <v>57.39</v>
      </c>
      <c r="E1021" s="2">
        <v>38.6</v>
      </c>
      <c r="F1021" s="2">
        <v>2</v>
      </c>
      <c r="G1021" s="2" t="s">
        <v>11</v>
      </c>
    </row>
    <row r="1022" spans="1:7" x14ac:dyDescent="0.2">
      <c r="A1022" s="2" t="s">
        <v>3310</v>
      </c>
      <c r="B1022" s="2" t="s">
        <v>333</v>
      </c>
      <c r="C1022" s="2">
        <v>915.91060000000004</v>
      </c>
      <c r="D1022" s="2">
        <f>HYPERLINK("http://mcb-m6.bioreg.kyushu-u.ac.jp/M3/20110418/F50977/3051/1", 62.41)</f>
        <v>62.41</v>
      </c>
      <c r="E1022" s="2">
        <v>43.08</v>
      </c>
      <c r="F1022" s="2">
        <v>2</v>
      </c>
      <c r="G1022" s="2" t="s">
        <v>11</v>
      </c>
    </row>
    <row r="1023" spans="1:7" x14ac:dyDescent="0.2">
      <c r="A1023" s="2" t="s">
        <v>3310</v>
      </c>
      <c r="B1023" s="2" t="s">
        <v>333</v>
      </c>
      <c r="C1023" s="2">
        <v>915.56119999999999</v>
      </c>
      <c r="D1023" s="2">
        <f>HYPERLINK("http://mcb-m6.bioreg.kyushu-u.ac.jp/M3/20110418/F50976/2982/1", 64.98)</f>
        <v>64.98</v>
      </c>
      <c r="E1023" s="2">
        <v>52.82</v>
      </c>
      <c r="F1023" s="2">
        <v>2</v>
      </c>
      <c r="G1023" s="2" t="s">
        <v>11</v>
      </c>
    </row>
    <row r="1024" spans="1:7" x14ac:dyDescent="0.2">
      <c r="A1024" s="2" t="s">
        <v>3310</v>
      </c>
      <c r="B1024" s="2" t="s">
        <v>333</v>
      </c>
      <c r="C1024" s="2">
        <v>915.86159999999995</v>
      </c>
      <c r="D1024" s="2">
        <f>HYPERLINK("http://mcb-m6.bioreg.kyushu-u.ac.jp/M3/20110418/F51000/2339/1", 75.56)</f>
        <v>75.56</v>
      </c>
      <c r="E1024" s="2">
        <v>60.94</v>
      </c>
      <c r="F1024" s="2">
        <v>2</v>
      </c>
      <c r="G1024" s="2" t="s">
        <v>11</v>
      </c>
    </row>
    <row r="1025" spans="1:7" x14ac:dyDescent="0.2">
      <c r="A1025" s="2" t="s">
        <v>3310</v>
      </c>
      <c r="B1025" s="2" t="s">
        <v>333</v>
      </c>
      <c r="C1025" s="2">
        <v>915.30020000000002</v>
      </c>
      <c r="D1025" s="2">
        <f>HYPERLINK("http://mcb-m6.bioreg.kyushu-u.ac.jp/M3/20110418/F50977/3046/1", 77.17)</f>
        <v>77.17</v>
      </c>
      <c r="E1025" s="2">
        <v>64.64</v>
      </c>
      <c r="F1025" s="2">
        <v>2</v>
      </c>
      <c r="G1025" s="2" t="s">
        <v>11</v>
      </c>
    </row>
    <row r="1026" spans="1:7" x14ac:dyDescent="0.2">
      <c r="A1026" s="2" t="s">
        <v>3310</v>
      </c>
      <c r="B1026" s="2" t="s">
        <v>1061</v>
      </c>
      <c r="C1026" s="2">
        <v>833.34059999999999</v>
      </c>
      <c r="D1026" s="2">
        <f>HYPERLINK("http://mcb-m6.bioreg.kyushu-u.ac.jp/M3/20110418/F50977/2661/1", 86.99)</f>
        <v>86.99</v>
      </c>
      <c r="E1026" s="2">
        <v>60.49</v>
      </c>
      <c r="F1026" s="2">
        <v>2</v>
      </c>
      <c r="G1026" s="2" t="s">
        <v>11</v>
      </c>
    </row>
    <row r="1027" spans="1:7" x14ac:dyDescent="0.2">
      <c r="A1027" s="2" t="s">
        <v>3310</v>
      </c>
      <c r="B1027" s="2" t="s">
        <v>582</v>
      </c>
      <c r="C1027" s="2">
        <v>904.39670000000001</v>
      </c>
      <c r="D1027" s="2">
        <f>HYPERLINK("http://mcb-m6.bioreg.kyushu-u.ac.jp/M3/20110418/F50977/2995/1", 111.81)</f>
        <v>111.81</v>
      </c>
      <c r="E1027" s="2">
        <v>90.47</v>
      </c>
      <c r="F1027" s="2">
        <v>2</v>
      </c>
      <c r="G1027" s="2" t="s">
        <v>11</v>
      </c>
    </row>
    <row r="1028" spans="1:7" x14ac:dyDescent="0.2">
      <c r="A1028" s="2" t="s">
        <v>3310</v>
      </c>
      <c r="B1028" s="2" t="s">
        <v>1992</v>
      </c>
      <c r="C1028" s="2">
        <v>668.45209999999997</v>
      </c>
      <c r="D1028" s="2">
        <f>HYPERLINK("http://mcb-m6.bioreg.kyushu-u.ac.jp/M3/20110418/F50987/1887/1", 46.96)</f>
        <v>46.96</v>
      </c>
      <c r="E1028" s="2">
        <v>26.3</v>
      </c>
      <c r="F1028" s="2">
        <v>2</v>
      </c>
      <c r="G1028" s="2" t="s">
        <v>12</v>
      </c>
    </row>
    <row r="1029" spans="1:7" x14ac:dyDescent="0.2">
      <c r="A1029" s="2" t="s">
        <v>3310</v>
      </c>
      <c r="B1029" s="2" t="s">
        <v>821</v>
      </c>
      <c r="C1029" s="2">
        <v>539.69420000000002</v>
      </c>
      <c r="D1029" s="2">
        <f>HYPERLINK("http://mcb-m6.bioreg.kyushu-u.ac.jp/M3/20110418/F50987/1672/1", 52.74)</f>
        <v>52.74</v>
      </c>
      <c r="E1029" s="2">
        <v>32.409999999999997</v>
      </c>
      <c r="F1029" s="2">
        <v>2</v>
      </c>
      <c r="G1029" s="2" t="s">
        <v>12</v>
      </c>
    </row>
    <row r="1030" spans="1:7" x14ac:dyDescent="0.2">
      <c r="A1030" s="2" t="s">
        <v>3310</v>
      </c>
      <c r="B1030" s="2" t="s">
        <v>333</v>
      </c>
      <c r="C1030" s="2">
        <v>915.64009999999996</v>
      </c>
      <c r="D1030" s="2">
        <f>HYPERLINK("http://mcb-m6.bioreg.kyushu-u.ac.jp/M3/20110418/F50987/2452/1", 67.62)</f>
        <v>67.62</v>
      </c>
      <c r="E1030" s="2">
        <v>54.67</v>
      </c>
      <c r="F1030" s="2">
        <v>2</v>
      </c>
      <c r="G1030" s="2" t="s">
        <v>12</v>
      </c>
    </row>
    <row r="1031" spans="1:7" x14ac:dyDescent="0.2">
      <c r="A1031" s="2" t="s">
        <v>3310</v>
      </c>
      <c r="B1031" s="2" t="s">
        <v>333</v>
      </c>
      <c r="C1031" s="2">
        <v>915.83720000000005</v>
      </c>
      <c r="D1031" s="2">
        <f>HYPERLINK("http://mcb-m6.bioreg.kyushu-u.ac.jp/M3/20110418/F50988/2618/1", 78.71)</f>
        <v>78.709999999999994</v>
      </c>
      <c r="E1031" s="2">
        <v>66.28</v>
      </c>
      <c r="F1031" s="2">
        <v>2</v>
      </c>
      <c r="G1031" s="2" t="s">
        <v>12</v>
      </c>
    </row>
    <row r="1032" spans="1:7" x14ac:dyDescent="0.2">
      <c r="A1032" s="2" t="s">
        <v>3310</v>
      </c>
      <c r="B1032" s="2" t="s">
        <v>1061</v>
      </c>
      <c r="C1032" s="2">
        <v>833.2527</v>
      </c>
      <c r="D1032" s="2">
        <f>HYPERLINK("http://mcb-m6.bioreg.kyushu-u.ac.jp/M3/20110418/F50987/2333/1", 82.93)</f>
        <v>82.93</v>
      </c>
      <c r="E1032" s="2">
        <v>62.84</v>
      </c>
      <c r="F1032" s="2">
        <v>2</v>
      </c>
      <c r="G1032" s="2" t="s">
        <v>12</v>
      </c>
    </row>
    <row r="1033" spans="1:7" x14ac:dyDescent="0.2">
      <c r="A1033" s="2" t="s">
        <v>3310</v>
      </c>
      <c r="B1033" s="2" t="s">
        <v>1061</v>
      </c>
      <c r="C1033" s="2">
        <v>833.79319999999996</v>
      </c>
      <c r="D1033" s="2">
        <f>HYPERLINK("http://mcb-m6.bioreg.kyushu-u.ac.jp/M3/20110418/F50987/2334/1", 85.72)</f>
        <v>85.72</v>
      </c>
      <c r="E1033" s="2">
        <v>69.67</v>
      </c>
      <c r="F1033" s="2">
        <v>2</v>
      </c>
      <c r="G1033" s="2" t="s">
        <v>12</v>
      </c>
    </row>
    <row r="1034" spans="1:7" x14ac:dyDescent="0.2">
      <c r="A1034" s="2" t="s">
        <v>3310</v>
      </c>
      <c r="B1034" s="2" t="s">
        <v>333</v>
      </c>
      <c r="C1034" s="2">
        <v>915.80870000000004</v>
      </c>
      <c r="D1034" s="2">
        <f>HYPERLINK("http://mcb-m6.bioreg.kyushu-u.ac.jp/M3/20110418/F50987/2454/1", 89.15)</f>
        <v>89.15</v>
      </c>
      <c r="E1034" s="2">
        <v>74.59</v>
      </c>
      <c r="F1034" s="2">
        <v>2</v>
      </c>
      <c r="G1034" s="2" t="s">
        <v>12</v>
      </c>
    </row>
    <row r="1035" spans="1:7" x14ac:dyDescent="0.2">
      <c r="A1035" s="2" t="s">
        <v>3310</v>
      </c>
      <c r="B1035" s="2" t="s">
        <v>333</v>
      </c>
      <c r="C1035" s="2">
        <v>915.28769999999997</v>
      </c>
      <c r="D1035" s="2">
        <f>HYPERLINK("http://mcb-m6.bioreg.kyushu-u.ac.jp/M3/20110418/F50987/2451/1", 106.13)</f>
        <v>106.13</v>
      </c>
      <c r="E1035" s="2">
        <v>92.97</v>
      </c>
      <c r="F1035" s="2">
        <v>2</v>
      </c>
      <c r="G1035" s="2" t="s">
        <v>12</v>
      </c>
    </row>
    <row r="1036" spans="1:7" x14ac:dyDescent="0.2">
      <c r="A1036" s="2" t="s">
        <v>3310</v>
      </c>
      <c r="B1036" s="2" t="s">
        <v>333</v>
      </c>
      <c r="C1036" s="2">
        <v>915.94209999999998</v>
      </c>
      <c r="D1036" s="2">
        <f>HYPERLINK("http://mcb-m6.bioreg.kyushu-u.ac.jp/M3/20110429/F51154/2965/1", 37.8)</f>
        <v>37.799999999999997</v>
      </c>
      <c r="E1036" s="2">
        <v>19.82</v>
      </c>
      <c r="F1036" s="2">
        <v>2</v>
      </c>
      <c r="G1036" s="2" t="s">
        <v>13</v>
      </c>
    </row>
    <row r="1037" spans="1:7" x14ac:dyDescent="0.2">
      <c r="A1037" s="2" t="s">
        <v>3310</v>
      </c>
      <c r="B1037" s="2" t="s">
        <v>333</v>
      </c>
      <c r="C1037" s="2">
        <v>915.89670000000001</v>
      </c>
      <c r="D1037" s="2">
        <f>HYPERLINK("http://mcb-m6.bioreg.kyushu-u.ac.jp/M3/20110429/F51153/3160/1", 52.6)</f>
        <v>52.6</v>
      </c>
      <c r="E1037" s="2">
        <v>39.58</v>
      </c>
      <c r="F1037" s="2">
        <v>2</v>
      </c>
      <c r="G1037" s="2" t="s">
        <v>13</v>
      </c>
    </row>
    <row r="1038" spans="1:7" x14ac:dyDescent="0.2">
      <c r="A1038" s="2" t="s">
        <v>3310</v>
      </c>
      <c r="B1038" s="2" t="s">
        <v>114</v>
      </c>
      <c r="C1038" s="2">
        <v>638.50570000000005</v>
      </c>
      <c r="D1038" s="2">
        <f>HYPERLINK("http://mcb-m6.bioreg.kyushu-u.ac.jp/M3/20110502/F51164/1176/1", 52.72)</f>
        <v>52.72</v>
      </c>
      <c r="E1038" s="2">
        <v>38.049999999999997</v>
      </c>
      <c r="F1038" s="2">
        <v>2</v>
      </c>
      <c r="G1038" s="2" t="s">
        <v>13</v>
      </c>
    </row>
    <row r="1039" spans="1:7" x14ac:dyDescent="0.2">
      <c r="A1039" s="2" t="s">
        <v>3310</v>
      </c>
      <c r="B1039" s="2" t="s">
        <v>333</v>
      </c>
      <c r="C1039" s="2">
        <v>916.0557</v>
      </c>
      <c r="D1039" s="2">
        <f>HYPERLINK("http://mcb-m6.bioreg.kyushu-u.ac.jp/M3/20110429/F51157/2645/1", 60.57)</f>
        <v>60.57</v>
      </c>
      <c r="E1039" s="2">
        <v>46.05</v>
      </c>
      <c r="F1039" s="2">
        <v>2</v>
      </c>
      <c r="G1039" s="2" t="s">
        <v>13</v>
      </c>
    </row>
    <row r="1040" spans="1:7" x14ac:dyDescent="0.2">
      <c r="A1040" s="2" t="s">
        <v>3310</v>
      </c>
      <c r="B1040" s="2" t="s">
        <v>821</v>
      </c>
      <c r="C1040" s="2">
        <v>540.18960000000004</v>
      </c>
      <c r="D1040" s="2">
        <f>HYPERLINK("http://mcb-m6.bioreg.kyushu-u.ac.jp/M3/20110502/F51164/796/1", 61.02)</f>
        <v>61.02</v>
      </c>
      <c r="E1040" s="2">
        <v>37.24</v>
      </c>
      <c r="F1040" s="2">
        <v>2</v>
      </c>
      <c r="G1040" s="2" t="s">
        <v>13</v>
      </c>
    </row>
    <row r="1041" spans="1:8" x14ac:dyDescent="0.2">
      <c r="A1041" s="2" t="s">
        <v>3310</v>
      </c>
      <c r="B1041" s="2" t="s">
        <v>333</v>
      </c>
      <c r="C1041" s="2">
        <v>915.66060000000004</v>
      </c>
      <c r="D1041" s="2">
        <f>HYPERLINK("http://mcb-m6.bioreg.kyushu-u.ac.jp/M3/20110502/F51158/2835/1", 66.91)</f>
        <v>66.91</v>
      </c>
      <c r="E1041" s="2">
        <v>55.22</v>
      </c>
      <c r="F1041" s="2">
        <v>2</v>
      </c>
      <c r="G1041" s="2" t="s">
        <v>13</v>
      </c>
    </row>
    <row r="1042" spans="1:8" x14ac:dyDescent="0.2">
      <c r="A1042" s="2" t="s">
        <v>3310</v>
      </c>
      <c r="B1042" s="2" t="s">
        <v>333</v>
      </c>
      <c r="C1042" s="2">
        <v>916.07619999999997</v>
      </c>
      <c r="D1042" s="2">
        <f>HYPERLINK("http://mcb-m6.bioreg.kyushu-u.ac.jp/M3/20110502/F51164/2576/1", 72.87)</f>
        <v>72.87</v>
      </c>
      <c r="E1042" s="2">
        <v>59.94</v>
      </c>
      <c r="F1042" s="2">
        <v>2</v>
      </c>
      <c r="G1042" s="2" t="s">
        <v>13</v>
      </c>
    </row>
    <row r="1043" spans="1:8" x14ac:dyDescent="0.2">
      <c r="A1043" s="2" t="s">
        <v>3310</v>
      </c>
      <c r="B1043" s="2" t="s">
        <v>333</v>
      </c>
      <c r="C1043" s="2">
        <v>915.46220000000005</v>
      </c>
      <c r="D1043" s="2">
        <f>HYPERLINK("http://mcb-m6.bioreg.kyushu-u.ac.jp/M3/20110429/F51157/2639/1", 79.33)</f>
        <v>79.33</v>
      </c>
      <c r="E1043" s="2">
        <v>60.27</v>
      </c>
      <c r="F1043" s="2">
        <v>2</v>
      </c>
      <c r="G1043" s="2" t="s">
        <v>13</v>
      </c>
    </row>
    <row r="1044" spans="1:8" x14ac:dyDescent="0.2">
      <c r="A1044" s="2" t="s">
        <v>3310</v>
      </c>
      <c r="B1044" s="2" t="s">
        <v>333</v>
      </c>
      <c r="C1044" s="2">
        <v>915.39469999999994</v>
      </c>
      <c r="D1044" s="2">
        <f>HYPERLINK("http://mcb-m6.bioreg.kyushu-u.ac.jp/M3/20110429/F51153/3156/1", 88.07)</f>
        <v>88.07</v>
      </c>
      <c r="E1044" s="2">
        <v>73.72</v>
      </c>
      <c r="F1044" s="2">
        <v>2</v>
      </c>
      <c r="G1044" s="2" t="s">
        <v>13</v>
      </c>
    </row>
    <row r="1045" spans="1:8" x14ac:dyDescent="0.2">
      <c r="A1045" s="2" t="s">
        <v>3310</v>
      </c>
      <c r="B1045" s="2" t="s">
        <v>333</v>
      </c>
      <c r="C1045" s="2">
        <v>915.56119999999999</v>
      </c>
      <c r="D1045" s="2">
        <f>HYPERLINK("http://mcb-m6.bioreg.kyushu-u.ac.jp/M3/20110502/F51164/2574/1", 95.88)</f>
        <v>95.88</v>
      </c>
      <c r="E1045" s="2">
        <v>76.02</v>
      </c>
      <c r="F1045" s="2">
        <v>2</v>
      </c>
      <c r="G1045" s="2" t="s">
        <v>13</v>
      </c>
    </row>
    <row r="1046" spans="1:8" x14ac:dyDescent="0.2">
      <c r="A1046" s="2" t="s">
        <v>3310</v>
      </c>
      <c r="B1046" s="2" t="s">
        <v>582</v>
      </c>
      <c r="C1046" s="2">
        <v>904.62270000000001</v>
      </c>
      <c r="D1046" s="2">
        <f>HYPERLINK("http://mcb-m6.bioreg.kyushu-u.ac.jp/M3/20110502/F51164/2525/1", 135.95)</f>
        <v>135.94999999999999</v>
      </c>
      <c r="E1046" s="2">
        <v>114.97</v>
      </c>
      <c r="F1046" s="2">
        <v>2</v>
      </c>
      <c r="G1046" s="2" t="s">
        <v>13</v>
      </c>
    </row>
    <row r="1047" spans="1:8" x14ac:dyDescent="0.2">
      <c r="A1047" s="2" t="s">
        <v>3310</v>
      </c>
      <c r="B1047" s="2" t="s">
        <v>333</v>
      </c>
      <c r="C1047" s="2">
        <v>915.53269999999998</v>
      </c>
      <c r="D1047" s="2">
        <f>HYPERLINK("http://mcb-m6.bioreg.kyushu-u.ac.jp/M3/20110428/F51141/3004/1", 53.05)</f>
        <v>53.05</v>
      </c>
      <c r="E1047" s="2">
        <v>42.44</v>
      </c>
      <c r="F1047" s="2">
        <v>2</v>
      </c>
      <c r="G1047" s="2" t="s">
        <v>14</v>
      </c>
    </row>
    <row r="1048" spans="1:8" x14ac:dyDescent="0.2">
      <c r="A1048" s="2" t="s">
        <v>3310</v>
      </c>
      <c r="B1048" s="2" t="s">
        <v>333</v>
      </c>
      <c r="C1048" s="2">
        <v>915.74959999999999</v>
      </c>
      <c r="D1048" s="2">
        <f>HYPERLINK("http://mcb-m6.bioreg.kyushu-u.ac.jp/M3/20110502/F51159/2724/1", 68.8)</f>
        <v>68.8</v>
      </c>
      <c r="E1048" s="2">
        <v>53.51</v>
      </c>
      <c r="F1048" s="2">
        <v>2</v>
      </c>
      <c r="G1048" s="2" t="s">
        <v>14</v>
      </c>
    </row>
    <row r="1049" spans="1:8" x14ac:dyDescent="0.2">
      <c r="A1049" s="2" t="s">
        <v>3310</v>
      </c>
      <c r="B1049" s="2" t="s">
        <v>1061</v>
      </c>
      <c r="C1049" s="2">
        <v>833.53719999999998</v>
      </c>
      <c r="D1049" s="2">
        <f>HYPERLINK("http://mcb-m6.bioreg.kyushu-u.ac.jp/M3/20110502/F51162/2281/1", 71.62)</f>
        <v>71.62</v>
      </c>
      <c r="E1049" s="2">
        <v>51.03</v>
      </c>
      <c r="F1049" s="2">
        <v>2</v>
      </c>
      <c r="G1049" s="2" t="s">
        <v>14</v>
      </c>
    </row>
    <row r="1050" spans="1:8" x14ac:dyDescent="0.2">
      <c r="A1050" s="2" t="s">
        <v>3310</v>
      </c>
      <c r="B1050" s="2" t="s">
        <v>333</v>
      </c>
      <c r="C1050" s="2">
        <v>915.98820000000001</v>
      </c>
      <c r="D1050" s="2">
        <f>HYPERLINK("http://mcb-m6.bioreg.kyushu-u.ac.jp/M3/20110428/F51142/3132/1", 74.43)</f>
        <v>74.430000000000007</v>
      </c>
      <c r="E1050" s="2">
        <v>60.96</v>
      </c>
      <c r="F1050" s="2">
        <v>2</v>
      </c>
      <c r="G1050" s="2" t="s">
        <v>14</v>
      </c>
    </row>
    <row r="1051" spans="1:8" x14ac:dyDescent="0.2">
      <c r="A1051" s="2" t="s">
        <v>3310</v>
      </c>
      <c r="B1051" s="2" t="s">
        <v>333</v>
      </c>
      <c r="C1051" s="2">
        <v>915.59119999999996</v>
      </c>
      <c r="D1051" s="2">
        <f>HYPERLINK("http://mcb-m6.bioreg.kyushu-u.ac.jp/M3/20110502/F51162/2514/1", 87.44)</f>
        <v>87.44</v>
      </c>
      <c r="E1051" s="2">
        <v>75.489999999999995</v>
      </c>
      <c r="F1051" s="2">
        <v>2</v>
      </c>
      <c r="G1051" s="2" t="s">
        <v>14</v>
      </c>
    </row>
    <row r="1052" spans="1:8" x14ac:dyDescent="0.2">
      <c r="A1052" s="2" t="s">
        <v>3921</v>
      </c>
      <c r="B1052" s="2" t="s">
        <v>1096</v>
      </c>
      <c r="C1052" s="2">
        <v>660.87710000000004</v>
      </c>
      <c r="D1052" s="2">
        <f>HYPERLINK("http://mcb-m6.bioreg.kyushu-u.ac.jp/M3/20110318/F50606/1212/1", 43.71)</f>
        <v>43.71</v>
      </c>
      <c r="E1052" s="2">
        <v>22.04</v>
      </c>
      <c r="F1052" s="2">
        <v>2</v>
      </c>
      <c r="G1052" s="2" t="s">
        <v>9</v>
      </c>
    </row>
    <row r="1053" spans="1:8" x14ac:dyDescent="0.2">
      <c r="A1053" s="2" t="s">
        <v>3921</v>
      </c>
      <c r="B1053" s="2" t="s">
        <v>1096</v>
      </c>
      <c r="C1053" s="2">
        <v>660.65869999999995</v>
      </c>
      <c r="D1053" s="2">
        <f>HYPERLINK("http://mcb-m6.bioreg.kyushu-u.ac.jp/M3/20110318/F50618/1283/1", 45)</f>
        <v>45</v>
      </c>
      <c r="E1053" s="2">
        <v>24.07</v>
      </c>
      <c r="F1053" s="2">
        <v>2</v>
      </c>
      <c r="G1053" s="2" t="s">
        <v>9</v>
      </c>
    </row>
    <row r="1054" spans="1:8" x14ac:dyDescent="0.2">
      <c r="A1054" s="2" t="s">
        <v>3921</v>
      </c>
      <c r="B1054" s="2" t="s">
        <v>1096</v>
      </c>
      <c r="C1054" s="2">
        <v>668.35670000000005</v>
      </c>
      <c r="D1054" s="2">
        <f>HYPERLINK("http://mcb-m6.bioreg.kyushu-u.ac.jp/M3/20110318/F50606/1232/1", 72.31)</f>
        <v>72.31</v>
      </c>
      <c r="E1054" s="2">
        <v>32.200000000000003</v>
      </c>
      <c r="F1054" s="2">
        <v>2</v>
      </c>
      <c r="G1054" s="2" t="s">
        <v>9</v>
      </c>
      <c r="H1054" s="2" t="s">
        <v>4917</v>
      </c>
    </row>
    <row r="1055" spans="1:8" x14ac:dyDescent="0.2">
      <c r="A1055" s="2" t="s">
        <v>3921</v>
      </c>
      <c r="B1055" s="2" t="s">
        <v>1096</v>
      </c>
      <c r="C1055" s="2">
        <v>668.25070000000005</v>
      </c>
      <c r="D1055" s="2">
        <f>HYPERLINK("http://mcb-m6.bioreg.kyushu-u.ac.jp/M3/20110318/F50619/1226/1", 84.58)</f>
        <v>84.58</v>
      </c>
      <c r="E1055" s="2">
        <v>35.97</v>
      </c>
      <c r="F1055" s="2">
        <v>2</v>
      </c>
      <c r="G1055" s="2" t="s">
        <v>9</v>
      </c>
      <c r="H1055" s="2" t="s">
        <v>4917</v>
      </c>
    </row>
    <row r="1056" spans="1:8" x14ac:dyDescent="0.2">
      <c r="A1056" s="2" t="s">
        <v>3921</v>
      </c>
      <c r="B1056" s="2" t="s">
        <v>1096</v>
      </c>
      <c r="C1056" s="2">
        <v>660.2527</v>
      </c>
      <c r="D1056" s="2">
        <f>HYPERLINK("http://mcb-m6.bioreg.kyushu-u.ac.jp/M3/20110318/F50615/1242/1", 49.69)</f>
        <v>49.69</v>
      </c>
      <c r="E1056" s="2">
        <v>29.17</v>
      </c>
      <c r="F1056" s="2">
        <v>2</v>
      </c>
      <c r="G1056" s="2" t="s">
        <v>10</v>
      </c>
    </row>
    <row r="1057" spans="1:9" x14ac:dyDescent="0.2">
      <c r="A1057" s="2" t="s">
        <v>3921</v>
      </c>
      <c r="B1057" s="2" t="s">
        <v>1096</v>
      </c>
      <c r="C1057" s="2">
        <v>668.27760000000001</v>
      </c>
      <c r="D1057" s="2">
        <f>HYPERLINK("http://mcb-m6.bioreg.kyushu-u.ac.jp/M3/20110318/F50615/1263/1", 81.49)</f>
        <v>81.489999999999995</v>
      </c>
      <c r="E1057" s="2">
        <v>25.87</v>
      </c>
      <c r="F1057" s="2">
        <v>2</v>
      </c>
      <c r="G1057" s="2" t="s">
        <v>10</v>
      </c>
      <c r="H1057" s="2" t="s">
        <v>4917</v>
      </c>
    </row>
    <row r="1058" spans="1:9" x14ac:dyDescent="0.2">
      <c r="A1058" s="2" t="s">
        <v>3921</v>
      </c>
      <c r="B1058" s="2" t="s">
        <v>1096</v>
      </c>
      <c r="C1058" s="2">
        <v>668.82370000000003</v>
      </c>
      <c r="D1058" s="2">
        <f>HYPERLINK("http://mcb-m6.bioreg.kyushu-u.ac.jp/M3/20110318/F50615/1264/1", 82.22)</f>
        <v>82.22</v>
      </c>
      <c r="E1058" s="2">
        <v>53.82</v>
      </c>
      <c r="F1058" s="2">
        <v>2</v>
      </c>
      <c r="G1058" s="2" t="s">
        <v>10</v>
      </c>
      <c r="H1058" s="2" t="s">
        <v>4917</v>
      </c>
    </row>
    <row r="1059" spans="1:9" x14ac:dyDescent="0.2">
      <c r="A1059" s="2" t="s">
        <v>3921</v>
      </c>
      <c r="B1059" s="2" t="s">
        <v>1096</v>
      </c>
      <c r="C1059" s="2">
        <v>668.31769999999995</v>
      </c>
      <c r="D1059" s="2">
        <f>HYPERLINK("http://mcb-m6.bioreg.kyushu-u.ac.jp/M3/20110318/F50597/1321/1", 94.42)</f>
        <v>94.42</v>
      </c>
      <c r="E1059" s="2">
        <v>42.69</v>
      </c>
      <c r="F1059" s="2">
        <v>2</v>
      </c>
      <c r="G1059" s="2" t="s">
        <v>10</v>
      </c>
      <c r="H1059" s="2" t="s">
        <v>4917</v>
      </c>
    </row>
    <row r="1060" spans="1:9" x14ac:dyDescent="0.2">
      <c r="A1060" s="2" t="s">
        <v>3921</v>
      </c>
      <c r="B1060" s="2" t="s">
        <v>1096</v>
      </c>
      <c r="C1060" s="2">
        <v>660.12919999999997</v>
      </c>
      <c r="D1060" s="2">
        <f>HYPERLINK("http://mcb-m6.bioreg.kyushu-u.ac.jp/M3/20110418/F50975/1512/1", 78.22)</f>
        <v>78.22</v>
      </c>
      <c r="E1060" s="2">
        <v>50.87</v>
      </c>
      <c r="F1060" s="2">
        <v>2</v>
      </c>
      <c r="G1060" s="2" t="s">
        <v>11</v>
      </c>
    </row>
    <row r="1061" spans="1:9" x14ac:dyDescent="0.2">
      <c r="A1061" s="2" t="s">
        <v>3921</v>
      </c>
      <c r="B1061" s="2" t="s">
        <v>1096</v>
      </c>
      <c r="C1061" s="2">
        <v>660.72559999999999</v>
      </c>
      <c r="D1061" s="2">
        <f>HYPERLINK("http://mcb-m6.bioreg.kyushu-u.ac.jp/M3/20110418/F50985/1980/1", 46.71)</f>
        <v>46.71</v>
      </c>
      <c r="E1061" s="2">
        <v>22.44</v>
      </c>
      <c r="F1061" s="2">
        <v>2</v>
      </c>
      <c r="G1061" s="2" t="s">
        <v>12</v>
      </c>
    </row>
    <row r="1062" spans="1:9" x14ac:dyDescent="0.2">
      <c r="A1062" s="2" t="s">
        <v>3921</v>
      </c>
      <c r="B1062" s="2" t="s">
        <v>1096</v>
      </c>
      <c r="C1062" s="2">
        <v>660.48569999999995</v>
      </c>
      <c r="D1062" s="2">
        <f>HYPERLINK("http://mcb-m6.bioreg.kyushu-u.ac.jp/M3/20110502/F51158/1475/1", 78.25)</f>
        <v>78.25</v>
      </c>
      <c r="E1062" s="2">
        <v>47.37</v>
      </c>
      <c r="F1062" s="2">
        <v>2</v>
      </c>
      <c r="G1062" s="2" t="s">
        <v>13</v>
      </c>
    </row>
    <row r="1063" spans="1:9" x14ac:dyDescent="0.2">
      <c r="A1063" s="2" t="s">
        <v>3320</v>
      </c>
      <c r="B1063" s="2" t="s">
        <v>106</v>
      </c>
      <c r="C1063" s="2">
        <v>584.3741</v>
      </c>
      <c r="D1063" s="2">
        <f>HYPERLINK("http://mcb-m6.bioreg.kyushu-u.ac.jp/M3/20110318/F50620/1194/1", 44.47)</f>
        <v>44.47</v>
      </c>
      <c r="E1063" s="2">
        <v>26.77</v>
      </c>
      <c r="F1063" s="2">
        <v>2</v>
      </c>
      <c r="G1063" s="2" t="s">
        <v>9</v>
      </c>
      <c r="I1063" s="2" t="s">
        <v>4892</v>
      </c>
    </row>
    <row r="1064" spans="1:9" x14ac:dyDescent="0.2">
      <c r="A1064" s="2" t="s">
        <v>3320</v>
      </c>
      <c r="B1064" s="2" t="s">
        <v>106</v>
      </c>
      <c r="C1064" s="2">
        <v>584.48419999999999</v>
      </c>
      <c r="D1064" s="2">
        <f>HYPERLINK("http://mcb-m6.bioreg.kyushu-u.ac.jp/M3/20110318/F50607/1152/1", 63.37)</f>
        <v>63.37</v>
      </c>
      <c r="E1064" s="2">
        <v>44.14</v>
      </c>
      <c r="F1064" s="2">
        <v>2</v>
      </c>
      <c r="G1064" s="2" t="s">
        <v>9</v>
      </c>
      <c r="I1064" s="2" t="s">
        <v>4892</v>
      </c>
    </row>
    <row r="1065" spans="1:9" x14ac:dyDescent="0.2">
      <c r="A1065" s="2" t="s">
        <v>3320</v>
      </c>
      <c r="B1065" s="2" t="s">
        <v>106</v>
      </c>
      <c r="C1065" s="2">
        <v>584.31920000000002</v>
      </c>
      <c r="D1065" s="2">
        <f>HYPERLINK("http://mcb-m6.bioreg.kyushu-u.ac.jp/M3/20110318/F50598/1226/1", 55.49)</f>
        <v>55.49</v>
      </c>
      <c r="E1065" s="2">
        <v>35.72</v>
      </c>
      <c r="F1065" s="2">
        <v>2</v>
      </c>
      <c r="G1065" s="2" t="s">
        <v>10</v>
      </c>
      <c r="I1065" s="2" t="s">
        <v>4892</v>
      </c>
    </row>
    <row r="1066" spans="1:9" x14ac:dyDescent="0.2">
      <c r="A1066" s="2" t="s">
        <v>4039</v>
      </c>
      <c r="B1066" s="2" t="s">
        <v>1620</v>
      </c>
      <c r="C1066" s="2">
        <v>1098.6110000000001</v>
      </c>
      <c r="D1066" s="2">
        <f>HYPERLINK("http://mcb-m6.bioreg.kyushu-u.ac.jp/M3/20110318/F50607/2420/1", 82.8)</f>
        <v>82.8</v>
      </c>
      <c r="E1066" s="2">
        <v>70.739999999999995</v>
      </c>
      <c r="F1066" s="2">
        <v>2</v>
      </c>
      <c r="G1066" s="2" t="s">
        <v>9</v>
      </c>
    </row>
    <row r="1067" spans="1:9" x14ac:dyDescent="0.2">
      <c r="A1067" s="2" t="s">
        <v>4039</v>
      </c>
      <c r="B1067" s="2" t="s">
        <v>1421</v>
      </c>
      <c r="C1067" s="2">
        <v>750.49620000000004</v>
      </c>
      <c r="D1067" s="2">
        <f>HYPERLINK("http://mcb-m6.bioreg.kyushu-u.ac.jp/M3/20110318/F50607/1572/1", 84.91)</f>
        <v>84.91</v>
      </c>
      <c r="E1067" s="2">
        <v>70.209999999999994</v>
      </c>
      <c r="F1067" s="2">
        <v>2</v>
      </c>
      <c r="G1067" s="2" t="s">
        <v>9</v>
      </c>
    </row>
    <row r="1068" spans="1:9" x14ac:dyDescent="0.2">
      <c r="A1068" s="2" t="s">
        <v>4039</v>
      </c>
      <c r="B1068" s="2" t="s">
        <v>1377</v>
      </c>
      <c r="C1068" s="2">
        <v>752.52760000000001</v>
      </c>
      <c r="D1068" s="2">
        <f>HYPERLINK("http://mcb-m6.bioreg.kyushu-u.ac.jp/M3/20110318/F50607/1578/1", 95.89)</f>
        <v>95.89</v>
      </c>
      <c r="E1068" s="2">
        <v>71.61</v>
      </c>
      <c r="F1068" s="2">
        <v>2</v>
      </c>
      <c r="G1068" s="2" t="s">
        <v>9</v>
      </c>
    </row>
    <row r="1069" spans="1:9" x14ac:dyDescent="0.2">
      <c r="A1069" s="2" t="s">
        <v>4039</v>
      </c>
      <c r="B1069" s="2" t="s">
        <v>1421</v>
      </c>
      <c r="C1069" s="2">
        <v>750.29859999999996</v>
      </c>
      <c r="D1069" s="2">
        <f>HYPERLINK("http://mcb-m6.bioreg.kyushu-u.ac.jp/M3/20110318/F50598/1626/1", 43.5)</f>
        <v>43.5</v>
      </c>
      <c r="E1069" s="2">
        <v>34.950000000000003</v>
      </c>
      <c r="F1069" s="2">
        <v>2</v>
      </c>
      <c r="G1069" s="2" t="s">
        <v>10</v>
      </c>
    </row>
    <row r="1070" spans="1:9" x14ac:dyDescent="0.2">
      <c r="A1070" s="2" t="s">
        <v>4039</v>
      </c>
      <c r="B1070" s="2" t="s">
        <v>1421</v>
      </c>
      <c r="C1070" s="2">
        <v>750.89170000000001</v>
      </c>
      <c r="D1070" s="2">
        <f>HYPERLINK("http://mcb-m6.bioreg.kyushu-u.ac.jp/M3/20110318/F50598/1628/1", 60.24)</f>
        <v>60.24</v>
      </c>
      <c r="E1070" s="2">
        <v>43.54</v>
      </c>
      <c r="F1070" s="2">
        <v>2</v>
      </c>
      <c r="G1070" s="2" t="s">
        <v>10</v>
      </c>
    </row>
    <row r="1071" spans="1:9" x14ac:dyDescent="0.2">
      <c r="A1071" s="2" t="s">
        <v>4039</v>
      </c>
      <c r="B1071" s="2" t="s">
        <v>1377</v>
      </c>
      <c r="C1071" s="2">
        <v>752.21510000000001</v>
      </c>
      <c r="D1071" s="2">
        <f>HYPERLINK("http://mcb-m6.bioreg.kyushu-u.ac.jp/M3/20110418/F50997/2069/1", 92.77)</f>
        <v>92.77</v>
      </c>
      <c r="E1071" s="2">
        <v>68.42</v>
      </c>
      <c r="F1071" s="2">
        <v>2</v>
      </c>
      <c r="G1071" s="2" t="s">
        <v>12</v>
      </c>
    </row>
    <row r="1072" spans="1:9" x14ac:dyDescent="0.2">
      <c r="A1072" s="2" t="s">
        <v>4039</v>
      </c>
      <c r="B1072" s="2" t="s">
        <v>1421</v>
      </c>
      <c r="C1072" s="2">
        <v>750.67819999999995</v>
      </c>
      <c r="D1072" s="2">
        <f>HYPERLINK("http://mcb-m6.bioreg.kyushu-u.ac.jp/M3/20110429/F51152/2027/1", 93.76)</f>
        <v>93.76</v>
      </c>
      <c r="E1072" s="2">
        <v>74.77</v>
      </c>
      <c r="F1072" s="2">
        <v>2</v>
      </c>
      <c r="G1072" s="2" t="s">
        <v>13</v>
      </c>
    </row>
    <row r="1073" spans="1:9" x14ac:dyDescent="0.2">
      <c r="A1073" s="2" t="s">
        <v>4039</v>
      </c>
      <c r="B1073" s="2" t="s">
        <v>1377</v>
      </c>
      <c r="C1073" s="2">
        <v>752.31769999999995</v>
      </c>
      <c r="D1073" s="2">
        <f>HYPERLINK("http://mcb-m6.bioreg.kyushu-u.ac.jp/M3/20110429/F51152/2037/1", 106.88)</f>
        <v>106.88</v>
      </c>
      <c r="E1073" s="2">
        <v>82.13</v>
      </c>
      <c r="F1073" s="2">
        <v>2</v>
      </c>
      <c r="G1073" s="2" t="s">
        <v>13</v>
      </c>
    </row>
    <row r="1074" spans="1:9" x14ac:dyDescent="0.2">
      <c r="A1074" s="2" t="s">
        <v>4385</v>
      </c>
      <c r="B1074" s="2" t="s">
        <v>5513</v>
      </c>
      <c r="C1074" s="2">
        <v>725.84119999999996</v>
      </c>
      <c r="D1074" s="2">
        <f>HYPERLINK("http://mcb-m6.bioreg.kyushu-u.ac.jp/M3/20110429/F51153/1847/1", 45.52)</f>
        <v>45.52</v>
      </c>
      <c r="E1074" s="2">
        <v>19.510000000000002</v>
      </c>
      <c r="F1074" s="2">
        <v>2</v>
      </c>
      <c r="G1074" s="2" t="s">
        <v>13</v>
      </c>
    </row>
    <row r="1075" spans="1:9" x14ac:dyDescent="0.2">
      <c r="A1075" s="2" t="s">
        <v>4385</v>
      </c>
      <c r="B1075" s="2" t="s">
        <v>5513</v>
      </c>
      <c r="C1075" s="2">
        <v>725.78859999999997</v>
      </c>
      <c r="D1075" s="2">
        <f>HYPERLINK("http://mcb-m6.bioreg.kyushu-u.ac.jp/M3/20110429/F51152/1862/1", 61.91)</f>
        <v>61.91</v>
      </c>
      <c r="E1075" s="2">
        <v>40.06</v>
      </c>
      <c r="F1075" s="2">
        <v>2</v>
      </c>
      <c r="G1075" s="2" t="s">
        <v>13</v>
      </c>
    </row>
    <row r="1076" spans="1:9" x14ac:dyDescent="0.2">
      <c r="A1076" s="2" t="s">
        <v>4603</v>
      </c>
      <c r="B1076" s="2" t="s">
        <v>2702</v>
      </c>
      <c r="C1076" s="2">
        <v>792.80110000000002</v>
      </c>
      <c r="D1076" s="2">
        <f>HYPERLINK("http://mcb-m6.bioreg.kyushu-u.ac.jp/M3/20110418/F50975/2386/1", 45.15)</f>
        <v>45.15</v>
      </c>
      <c r="E1076" s="2">
        <v>33.04</v>
      </c>
      <c r="F1076" s="2">
        <v>2</v>
      </c>
      <c r="G1076" s="2" t="s">
        <v>11</v>
      </c>
      <c r="I1076" s="2" t="s">
        <v>4923</v>
      </c>
    </row>
    <row r="1077" spans="1:9" x14ac:dyDescent="0.2">
      <c r="A1077" s="2" t="s">
        <v>4603</v>
      </c>
      <c r="B1077" s="2" t="s">
        <v>2702</v>
      </c>
      <c r="C1077" s="2">
        <v>792.98019999999997</v>
      </c>
      <c r="D1077" s="2">
        <f>HYPERLINK("http://mcb-m6.bioreg.kyushu-u.ac.jp/M3/20110502/F51158/2188/1", 83.34)</f>
        <v>83.34</v>
      </c>
      <c r="E1077" s="2">
        <v>70.34</v>
      </c>
      <c r="F1077" s="2">
        <v>2</v>
      </c>
      <c r="G1077" s="2" t="s">
        <v>13</v>
      </c>
      <c r="I1077" s="2" t="s">
        <v>4923</v>
      </c>
    </row>
    <row r="1078" spans="1:9" x14ac:dyDescent="0.2">
      <c r="A1078" s="2" t="s">
        <v>3943</v>
      </c>
      <c r="B1078" s="2" t="s">
        <v>2135</v>
      </c>
      <c r="C1078" s="2">
        <v>943.35270000000003</v>
      </c>
      <c r="D1078" s="2">
        <f>HYPERLINK("http://mcb-m6.bioreg.kyushu-u.ac.jp/M3/20110318/F50606/2163/1", 40.35)</f>
        <v>40.35</v>
      </c>
      <c r="E1078" s="2">
        <v>29.33</v>
      </c>
      <c r="F1078" s="2">
        <v>2</v>
      </c>
      <c r="G1078" s="2" t="s">
        <v>9</v>
      </c>
      <c r="H1078" s="2" t="s">
        <v>4908</v>
      </c>
    </row>
    <row r="1079" spans="1:9" x14ac:dyDescent="0.2">
      <c r="A1079" s="2" t="s">
        <v>3943</v>
      </c>
      <c r="B1079" s="2" t="s">
        <v>2135</v>
      </c>
      <c r="C1079" s="2">
        <v>943.41420000000005</v>
      </c>
      <c r="D1079" s="2">
        <f>HYPERLINK("http://mcb-m6.bioreg.kyushu-u.ac.jp/M3/20110318/F50597/2333/1", 70.44)</f>
        <v>70.44</v>
      </c>
      <c r="E1079" s="2">
        <v>59.4</v>
      </c>
      <c r="F1079" s="2">
        <v>2</v>
      </c>
      <c r="G1079" s="2" t="s">
        <v>10</v>
      </c>
      <c r="H1079" s="2" t="s">
        <v>4908</v>
      </c>
    </row>
    <row r="1080" spans="1:9" x14ac:dyDescent="0.2">
      <c r="A1080" s="2" t="s">
        <v>3943</v>
      </c>
      <c r="B1080" s="2" t="s">
        <v>2135</v>
      </c>
      <c r="C1080" s="2">
        <v>943.92359999999996</v>
      </c>
      <c r="D1080" s="2">
        <f>HYPERLINK("http://mcb-m6.bioreg.kyushu-u.ac.jp/M3/20110318/F50597/2336/1", 120.43)</f>
        <v>120.43</v>
      </c>
      <c r="E1080" s="2">
        <v>46.54</v>
      </c>
      <c r="F1080" s="2">
        <v>2</v>
      </c>
      <c r="G1080" s="2" t="s">
        <v>10</v>
      </c>
      <c r="H1080" s="2" t="s">
        <v>4908</v>
      </c>
    </row>
    <row r="1081" spans="1:9" x14ac:dyDescent="0.2">
      <c r="A1081" s="2" t="s">
        <v>3943</v>
      </c>
      <c r="B1081" s="2" t="s">
        <v>1731</v>
      </c>
      <c r="C1081" s="2">
        <v>830.72969999999998</v>
      </c>
      <c r="D1081" s="2">
        <f>HYPERLINK("http://mcb-m6.bioreg.kyushu-u.ac.jp/M3/20110418/F50975/2580/1", 35.68)</f>
        <v>35.68</v>
      </c>
      <c r="E1081" s="2">
        <v>25.45</v>
      </c>
      <c r="F1081" s="2">
        <v>2</v>
      </c>
      <c r="G1081" s="2" t="s">
        <v>11</v>
      </c>
    </row>
    <row r="1082" spans="1:9" x14ac:dyDescent="0.2">
      <c r="A1082" s="2" t="s">
        <v>3943</v>
      </c>
      <c r="B1082" s="2" t="s">
        <v>1731</v>
      </c>
      <c r="C1082" s="2">
        <v>830.89570000000003</v>
      </c>
      <c r="D1082" s="2">
        <f>HYPERLINK("http://mcb-m6.bioreg.kyushu-u.ac.jp/M3/20110418/F50975/2583/1", 36.93)</f>
        <v>36.93</v>
      </c>
      <c r="E1082" s="2">
        <v>23.87</v>
      </c>
      <c r="F1082" s="2">
        <v>2</v>
      </c>
      <c r="G1082" s="2" t="s">
        <v>11</v>
      </c>
    </row>
    <row r="1083" spans="1:9" x14ac:dyDescent="0.2">
      <c r="A1083" s="2" t="s">
        <v>3943</v>
      </c>
      <c r="B1083" s="2" t="s">
        <v>1731</v>
      </c>
      <c r="C1083" s="2">
        <v>830.6472</v>
      </c>
      <c r="D1083" s="2">
        <f>HYPERLINK("http://mcb-m6.bioreg.kyushu-u.ac.jp/M3/20110418/F50974/2510/1", 37.42)</f>
        <v>37.42</v>
      </c>
      <c r="E1083" s="2">
        <v>14.87</v>
      </c>
      <c r="F1083" s="2">
        <v>2</v>
      </c>
      <c r="G1083" s="2" t="s">
        <v>11</v>
      </c>
    </row>
    <row r="1084" spans="1:9" x14ac:dyDescent="0.2">
      <c r="A1084" s="2" t="s">
        <v>3943</v>
      </c>
      <c r="B1084" s="2" t="s">
        <v>1731</v>
      </c>
      <c r="C1084" s="2">
        <v>830.36019999999996</v>
      </c>
      <c r="D1084" s="2">
        <f>HYPERLINK("http://mcb-m6.bioreg.kyushu-u.ac.jp/M3/20110418/F50975/2579/1", 44.09)</f>
        <v>44.09</v>
      </c>
      <c r="E1084" s="2">
        <v>28.02</v>
      </c>
      <c r="F1084" s="2">
        <v>2</v>
      </c>
      <c r="G1084" s="2" t="s">
        <v>11</v>
      </c>
    </row>
    <row r="1085" spans="1:9" x14ac:dyDescent="0.2">
      <c r="A1085" s="2" t="s">
        <v>3943</v>
      </c>
      <c r="B1085" s="2" t="s">
        <v>1141</v>
      </c>
      <c r="C1085" s="2">
        <v>651.12159999999994</v>
      </c>
      <c r="D1085" s="2">
        <f>HYPERLINK("http://mcb-m6.bioreg.kyushu-u.ac.jp/M3/20110418/F50976/1496/1", 45.54)</f>
        <v>45.54</v>
      </c>
      <c r="E1085" s="2">
        <v>29.46</v>
      </c>
      <c r="F1085" s="2">
        <v>2</v>
      </c>
      <c r="G1085" s="2" t="s">
        <v>11</v>
      </c>
    </row>
    <row r="1086" spans="1:9" x14ac:dyDescent="0.2">
      <c r="A1086" s="2" t="s">
        <v>3943</v>
      </c>
      <c r="B1086" s="2" t="s">
        <v>1141</v>
      </c>
      <c r="C1086" s="2">
        <v>651.74620000000004</v>
      </c>
      <c r="D1086" s="2">
        <f>HYPERLINK("http://mcb-m6.bioreg.kyushu-u.ac.jp/M3/20110418/F50976/1502/1", 57.04)</f>
        <v>57.04</v>
      </c>
      <c r="E1086" s="2">
        <v>44.65</v>
      </c>
      <c r="F1086" s="2">
        <v>2</v>
      </c>
      <c r="G1086" s="2" t="s">
        <v>11</v>
      </c>
    </row>
    <row r="1087" spans="1:9" x14ac:dyDescent="0.2">
      <c r="A1087" s="2" t="s">
        <v>3943</v>
      </c>
      <c r="B1087" s="2" t="s">
        <v>1141</v>
      </c>
      <c r="C1087" s="2">
        <v>651.29610000000002</v>
      </c>
      <c r="D1087" s="2">
        <f>HYPERLINK("http://mcb-m6.bioreg.kyushu-u.ac.jp/M3/20110418/F50975/1472/1", 63.84)</f>
        <v>63.84</v>
      </c>
      <c r="E1087" s="2">
        <v>45.87</v>
      </c>
      <c r="F1087" s="2">
        <v>2</v>
      </c>
      <c r="G1087" s="2" t="s">
        <v>11</v>
      </c>
    </row>
    <row r="1088" spans="1:9" x14ac:dyDescent="0.2">
      <c r="A1088" s="2" t="s">
        <v>3943</v>
      </c>
      <c r="B1088" s="2" t="s">
        <v>1141</v>
      </c>
      <c r="C1088" s="2">
        <v>651.61069999999995</v>
      </c>
      <c r="D1088" s="2">
        <f>HYPERLINK("http://mcb-m6.bioreg.kyushu-u.ac.jp/M3/20110418/F50974/1636/1", 63.89)</f>
        <v>63.89</v>
      </c>
      <c r="E1088" s="2">
        <v>47.77</v>
      </c>
      <c r="F1088" s="2">
        <v>2</v>
      </c>
      <c r="G1088" s="2" t="s">
        <v>11</v>
      </c>
    </row>
    <row r="1089" spans="1:9" x14ac:dyDescent="0.2">
      <c r="A1089" s="2" t="s">
        <v>3943</v>
      </c>
      <c r="B1089" s="2" t="s">
        <v>2135</v>
      </c>
      <c r="C1089" s="2">
        <v>935.50670000000002</v>
      </c>
      <c r="D1089" s="2">
        <f>HYPERLINK("http://mcb-m6.bioreg.kyushu-u.ac.jp/M3/20110418/F50975/3136/1", 73.61)</f>
        <v>73.61</v>
      </c>
      <c r="E1089" s="2">
        <v>55.3</v>
      </c>
      <c r="F1089" s="2">
        <v>2</v>
      </c>
      <c r="G1089" s="2" t="s">
        <v>11</v>
      </c>
    </row>
    <row r="1090" spans="1:9" x14ac:dyDescent="0.2">
      <c r="A1090" s="2" t="s">
        <v>3943</v>
      </c>
      <c r="B1090" s="2" t="s">
        <v>1141</v>
      </c>
      <c r="C1090" s="2">
        <v>651.41470000000004</v>
      </c>
      <c r="D1090" s="2">
        <f>HYPERLINK("http://mcb-m6.bioreg.kyushu-u.ac.jp/M3/20110502/F51158/1437/1", 61.42)</f>
        <v>61.42</v>
      </c>
      <c r="E1090" s="2">
        <v>44.3</v>
      </c>
      <c r="F1090" s="2">
        <v>2</v>
      </c>
      <c r="G1090" s="2" t="s">
        <v>13</v>
      </c>
    </row>
    <row r="1091" spans="1:9" x14ac:dyDescent="0.2">
      <c r="A1091" s="2" t="s">
        <v>3943</v>
      </c>
      <c r="B1091" s="2" t="s">
        <v>1731</v>
      </c>
      <c r="C1091" s="2">
        <v>830.49770000000001</v>
      </c>
      <c r="D1091" s="2">
        <f>HYPERLINK("http://mcb-m6.bioreg.kyushu-u.ac.jp/M3/20110502/F51158/2386/1", 78.23)</f>
        <v>78.23</v>
      </c>
      <c r="E1091" s="2">
        <v>52.5</v>
      </c>
      <c r="F1091" s="2">
        <v>2</v>
      </c>
      <c r="G1091" s="2" t="s">
        <v>13</v>
      </c>
    </row>
    <row r="1092" spans="1:9" x14ac:dyDescent="0.2">
      <c r="A1092" s="2" t="s">
        <v>3943</v>
      </c>
      <c r="B1092" s="2" t="s">
        <v>1141</v>
      </c>
      <c r="C1092" s="2">
        <v>651.77509999999995</v>
      </c>
      <c r="D1092" s="2">
        <f>HYPERLINK("http://mcb-m6.bioreg.kyushu-u.ac.jp/M3/20110428/F51141/1411/1", 51.22)</f>
        <v>51.22</v>
      </c>
      <c r="E1092" s="2">
        <v>34.86</v>
      </c>
      <c r="F1092" s="2">
        <v>2</v>
      </c>
      <c r="G1092" s="2" t="s">
        <v>14</v>
      </c>
    </row>
    <row r="1093" spans="1:9" x14ac:dyDescent="0.2">
      <c r="A1093" s="2" t="s">
        <v>3943</v>
      </c>
      <c r="B1093" s="2" t="s">
        <v>1141</v>
      </c>
      <c r="C1093" s="2">
        <v>651.79610000000002</v>
      </c>
      <c r="D1093" s="2">
        <f>HYPERLINK("http://mcb-m6.bioreg.kyushu-u.ac.jp/M3/20110502/F51159/1607/1", 72.12)</f>
        <v>72.12</v>
      </c>
      <c r="E1093" s="2">
        <v>56.76</v>
      </c>
      <c r="F1093" s="2">
        <v>2</v>
      </c>
      <c r="G1093" s="2" t="s">
        <v>14</v>
      </c>
    </row>
    <row r="1094" spans="1:9" x14ac:dyDescent="0.2">
      <c r="A1094" s="2" t="s">
        <v>4475</v>
      </c>
      <c r="B1094" s="2" t="s">
        <v>2417</v>
      </c>
      <c r="C1094" s="2">
        <v>575.80319999999995</v>
      </c>
      <c r="D1094" s="2">
        <f>HYPERLINK("http://mcb-m6.bioreg.kyushu-u.ac.jp/M3/20110318/F50622/1065/1", 60.59)</f>
        <v>60.59</v>
      </c>
      <c r="E1094" s="2">
        <v>42.01</v>
      </c>
      <c r="F1094" s="2">
        <v>2</v>
      </c>
      <c r="G1094" s="2" t="s">
        <v>10</v>
      </c>
      <c r="I1094" s="2" t="s">
        <v>4893</v>
      </c>
    </row>
    <row r="1095" spans="1:9" x14ac:dyDescent="0.2">
      <c r="A1095" s="2" t="s">
        <v>3384</v>
      </c>
      <c r="B1095" s="2" t="s">
        <v>177</v>
      </c>
      <c r="C1095" s="2">
        <v>586.03520000000003</v>
      </c>
      <c r="D1095" s="2">
        <f>HYPERLINK("http://mcb-m6.bioreg.kyushu-u.ac.jp/M3/20110318/F50600/1214/1", 61.99)</f>
        <v>61.99</v>
      </c>
      <c r="E1095" s="2">
        <v>40.340000000000003</v>
      </c>
      <c r="F1095" s="2">
        <v>2</v>
      </c>
      <c r="G1095" s="2" t="s">
        <v>10</v>
      </c>
    </row>
    <row r="1096" spans="1:9" x14ac:dyDescent="0.2">
      <c r="A1096" s="2" t="s">
        <v>4884</v>
      </c>
      <c r="B1096" s="2" t="s">
        <v>3215</v>
      </c>
      <c r="C1096" s="2">
        <v>618.39170000000001</v>
      </c>
      <c r="D1096" s="2">
        <f>HYPERLINK("http://mcb-m6.bioreg.kyushu-u.ac.jp/M3/20110318/F50600/1275/1", 46.24)</f>
        <v>46.24</v>
      </c>
      <c r="E1096" s="2">
        <v>33.200000000000003</v>
      </c>
      <c r="F1096" s="2">
        <v>2</v>
      </c>
      <c r="G1096" s="2" t="s">
        <v>10</v>
      </c>
      <c r="I1096" s="2" t="s">
        <v>4905</v>
      </c>
    </row>
    <row r="1097" spans="1:9" x14ac:dyDescent="0.2">
      <c r="A1097" s="2" t="s">
        <v>5765</v>
      </c>
      <c r="B1097" s="2" t="s">
        <v>5388</v>
      </c>
      <c r="C1097" s="2">
        <v>657.13419999999996</v>
      </c>
      <c r="D1097" s="2">
        <f>HYPERLINK("http://mcb-m6.bioreg.kyushu-u.ac.jp/M3/20110418/F50974/1658/1", 43.73)</f>
        <v>43.73</v>
      </c>
      <c r="E1097" s="2">
        <v>23.51</v>
      </c>
      <c r="F1097" s="2">
        <v>2</v>
      </c>
      <c r="G1097" s="2" t="s">
        <v>11</v>
      </c>
    </row>
    <row r="1098" spans="1:9" x14ac:dyDescent="0.2">
      <c r="A1098" s="2" t="s">
        <v>3387</v>
      </c>
      <c r="B1098" s="2" t="s">
        <v>1437</v>
      </c>
      <c r="C1098" s="2">
        <v>928.95069999999998</v>
      </c>
      <c r="D1098" s="2">
        <f>HYPERLINK("http://mcb-m6.bioreg.kyushu-u.ac.jp/M3/20110318/F50608/2041/1", 58.41)</f>
        <v>58.41</v>
      </c>
      <c r="E1098" s="2">
        <v>41.06</v>
      </c>
      <c r="F1098" s="2">
        <v>2</v>
      </c>
      <c r="G1098" s="2" t="s">
        <v>9</v>
      </c>
    </row>
    <row r="1099" spans="1:9" x14ac:dyDescent="0.2">
      <c r="A1099" s="2" t="s">
        <v>3387</v>
      </c>
      <c r="B1099" s="2" t="s">
        <v>1437</v>
      </c>
      <c r="C1099" s="2">
        <v>928.39970000000005</v>
      </c>
      <c r="D1099" s="2">
        <f>HYPERLINK("http://mcb-m6.bioreg.kyushu-u.ac.jp/M3/20110318/F50608/2040/1", 59.15)</f>
        <v>59.15</v>
      </c>
      <c r="E1099" s="2">
        <v>41.02</v>
      </c>
      <c r="F1099" s="2">
        <v>2</v>
      </c>
      <c r="G1099" s="2" t="s">
        <v>9</v>
      </c>
    </row>
    <row r="1100" spans="1:9" x14ac:dyDescent="0.2">
      <c r="A1100" s="2" t="s">
        <v>3387</v>
      </c>
      <c r="B1100" s="2" t="s">
        <v>1437</v>
      </c>
      <c r="C1100" s="2">
        <v>929.04060000000004</v>
      </c>
      <c r="D1100" s="2">
        <f>HYPERLINK("http://mcb-m6.bioreg.kyushu-u.ac.jp/M3/20110318/F50599/2197/1", 58.4)</f>
        <v>58.4</v>
      </c>
      <c r="E1100" s="2">
        <v>41.03</v>
      </c>
      <c r="F1100" s="2">
        <v>2</v>
      </c>
      <c r="G1100" s="2" t="s">
        <v>10</v>
      </c>
    </row>
    <row r="1101" spans="1:9" x14ac:dyDescent="0.2">
      <c r="A1101" s="2" t="s">
        <v>3387</v>
      </c>
      <c r="B1101" s="2" t="s">
        <v>1437</v>
      </c>
      <c r="C1101" s="2">
        <v>928.44619999999998</v>
      </c>
      <c r="D1101" s="2">
        <f>HYPERLINK("http://mcb-m6.bioreg.kyushu-u.ac.jp/M3/20110318/F50599/2194/1", 71.26)</f>
        <v>71.260000000000005</v>
      </c>
      <c r="E1101" s="2">
        <v>45.46</v>
      </c>
      <c r="F1101" s="2">
        <v>2</v>
      </c>
      <c r="G1101" s="2" t="s">
        <v>10</v>
      </c>
    </row>
    <row r="1102" spans="1:9" x14ac:dyDescent="0.2">
      <c r="A1102" s="2" t="s">
        <v>3387</v>
      </c>
      <c r="B1102" s="2" t="s">
        <v>1437</v>
      </c>
      <c r="C1102" s="2">
        <v>928.6866</v>
      </c>
      <c r="D1102" s="2">
        <f>HYPERLINK("http://mcb-m6.bioreg.kyushu-u.ac.jp/M3/20110318/F50617/2147/1", 72.21)</f>
        <v>72.209999999999994</v>
      </c>
      <c r="E1102" s="2">
        <v>51.54</v>
      </c>
      <c r="F1102" s="2">
        <v>2</v>
      </c>
      <c r="G1102" s="2" t="s">
        <v>10</v>
      </c>
    </row>
    <row r="1103" spans="1:9" x14ac:dyDescent="0.2">
      <c r="A1103" s="2" t="s">
        <v>3387</v>
      </c>
      <c r="B1103" s="2" t="s">
        <v>180</v>
      </c>
      <c r="C1103" s="2">
        <v>549.61609999999996</v>
      </c>
      <c r="D1103" s="2">
        <f>HYPERLINK("http://mcb-m6.bioreg.kyushu-u.ac.jp/M3/20110318/F50599/1278/1", 86.72)</f>
        <v>86.72</v>
      </c>
      <c r="E1103" s="2">
        <v>57.98</v>
      </c>
      <c r="F1103" s="2">
        <v>2</v>
      </c>
      <c r="G1103" s="2" t="s">
        <v>10</v>
      </c>
    </row>
    <row r="1104" spans="1:9" x14ac:dyDescent="0.2">
      <c r="A1104" s="2" t="s">
        <v>3387</v>
      </c>
      <c r="B1104" s="2" t="s">
        <v>1066</v>
      </c>
      <c r="C1104" s="2">
        <v>686.49570000000006</v>
      </c>
      <c r="D1104" s="2">
        <f>HYPERLINK("http://mcb-m6.bioreg.kyushu-u.ac.jp/M3/20110318/F50599/1541/1", 91.92)</f>
        <v>91.92</v>
      </c>
      <c r="E1104" s="2">
        <v>77.849999999999994</v>
      </c>
      <c r="F1104" s="2">
        <v>2</v>
      </c>
      <c r="G1104" s="2" t="s">
        <v>10</v>
      </c>
    </row>
    <row r="1105" spans="1:7" x14ac:dyDescent="0.2">
      <c r="A1105" s="2" t="s">
        <v>3387</v>
      </c>
      <c r="B1105" s="2" t="s">
        <v>1437</v>
      </c>
      <c r="C1105" s="2">
        <v>928.93020000000001</v>
      </c>
      <c r="D1105" s="2">
        <f>HYPERLINK("http://mcb-m6.bioreg.kyushu-u.ac.jp/M3/20110418/F50972/2689/1", 77.68)</f>
        <v>77.680000000000007</v>
      </c>
      <c r="E1105" s="2">
        <v>60.72</v>
      </c>
      <c r="F1105" s="2">
        <v>2</v>
      </c>
      <c r="G1105" s="2" t="s">
        <v>11</v>
      </c>
    </row>
    <row r="1106" spans="1:7" x14ac:dyDescent="0.2">
      <c r="A1106" s="2" t="s">
        <v>3387</v>
      </c>
      <c r="B1106" s="2" t="s">
        <v>1437</v>
      </c>
      <c r="C1106" s="2">
        <v>928.38019999999995</v>
      </c>
      <c r="D1106" s="2">
        <f>HYPERLINK("http://mcb-m6.bioreg.kyushu-u.ac.jp/M3/20110418/F50982/2507/1", 39.58)</f>
        <v>39.58</v>
      </c>
      <c r="E1106" s="2">
        <v>22.21</v>
      </c>
      <c r="F1106" s="2">
        <v>2</v>
      </c>
      <c r="G1106" s="2" t="s">
        <v>12</v>
      </c>
    </row>
    <row r="1107" spans="1:7" x14ac:dyDescent="0.2">
      <c r="A1107" s="2" t="s">
        <v>3387</v>
      </c>
      <c r="B1107" s="2" t="s">
        <v>180</v>
      </c>
      <c r="C1107" s="2">
        <v>549.9402</v>
      </c>
      <c r="D1107" s="2">
        <f>HYPERLINK("http://mcb-m6.bioreg.kyushu-u.ac.jp/M3/20110418/F50982/1843/1", 49.49)</f>
        <v>49.49</v>
      </c>
      <c r="E1107" s="2">
        <v>35.32</v>
      </c>
      <c r="F1107" s="2">
        <v>2</v>
      </c>
      <c r="G1107" s="2" t="s">
        <v>12</v>
      </c>
    </row>
    <row r="1108" spans="1:7" x14ac:dyDescent="0.2">
      <c r="A1108" s="2" t="s">
        <v>3387</v>
      </c>
      <c r="B1108" s="2" t="s">
        <v>180</v>
      </c>
      <c r="C1108" s="2">
        <v>550.14760000000001</v>
      </c>
      <c r="D1108" s="2">
        <f>HYPERLINK("http://mcb-m6.bioreg.kyushu-u.ac.jp/M3/20110418/F50982/1844/1", 83.35)</f>
        <v>83.35</v>
      </c>
      <c r="E1108" s="2">
        <v>57.98</v>
      </c>
      <c r="F1108" s="2">
        <v>2</v>
      </c>
      <c r="G1108" s="2" t="s">
        <v>12</v>
      </c>
    </row>
    <row r="1109" spans="1:7" x14ac:dyDescent="0.2">
      <c r="A1109" s="2" t="s">
        <v>3387</v>
      </c>
      <c r="B1109" s="2" t="s">
        <v>180</v>
      </c>
      <c r="C1109" s="2">
        <v>549.63919999999996</v>
      </c>
      <c r="D1109" s="2">
        <f>HYPERLINK("http://mcb-m6.bioreg.kyushu-u.ac.jp/M3/20110418/F50982/1842/1", 91.7)</f>
        <v>91.7</v>
      </c>
      <c r="E1109" s="2">
        <v>61.15</v>
      </c>
      <c r="F1109" s="2">
        <v>2</v>
      </c>
      <c r="G1109" s="2" t="s">
        <v>12</v>
      </c>
    </row>
    <row r="1110" spans="1:7" x14ac:dyDescent="0.2">
      <c r="A1110" s="2" t="s">
        <v>3387</v>
      </c>
      <c r="B1110" s="2" t="s">
        <v>180</v>
      </c>
      <c r="C1110" s="2">
        <v>549.61410000000001</v>
      </c>
      <c r="D1110" s="2">
        <f>HYPERLINK("http://mcb-m6.bioreg.kyushu-u.ac.jp/M3/20110429/F51150/1443/1", 38.2)</f>
        <v>38.200000000000003</v>
      </c>
      <c r="E1110" s="2">
        <v>17.16</v>
      </c>
      <c r="F1110" s="2">
        <v>2</v>
      </c>
      <c r="G1110" s="2" t="s">
        <v>13</v>
      </c>
    </row>
    <row r="1111" spans="1:7" x14ac:dyDescent="0.2">
      <c r="A1111" s="2" t="s">
        <v>3387</v>
      </c>
      <c r="B1111" s="2" t="s">
        <v>180</v>
      </c>
      <c r="C1111" s="2">
        <v>549.53309999999999</v>
      </c>
      <c r="D1111" s="2">
        <f>HYPERLINK("http://mcb-m6.bioreg.kyushu-u.ac.jp/M3/20110429/F51150/1442/1", 52.03)</f>
        <v>52.03</v>
      </c>
      <c r="E1111" s="2">
        <v>19.59</v>
      </c>
      <c r="F1111" s="2">
        <v>2</v>
      </c>
      <c r="G1111" s="2" t="s">
        <v>13</v>
      </c>
    </row>
    <row r="1112" spans="1:7" x14ac:dyDescent="0.2">
      <c r="A1112" s="2" t="s">
        <v>3387</v>
      </c>
      <c r="B1112" s="2" t="s">
        <v>1437</v>
      </c>
      <c r="C1112" s="2">
        <v>928.29669999999999</v>
      </c>
      <c r="D1112" s="2">
        <f>HYPERLINK("http://mcb-m6.bioreg.kyushu-u.ac.jp/M3/20110429/F51151/2870/1", 58.25)</f>
        <v>58.25</v>
      </c>
      <c r="E1112" s="2">
        <v>41.26</v>
      </c>
      <c r="F1112" s="2">
        <v>2</v>
      </c>
      <c r="G1112" s="2" t="s">
        <v>13</v>
      </c>
    </row>
    <row r="1113" spans="1:7" x14ac:dyDescent="0.2">
      <c r="A1113" s="2" t="s">
        <v>3387</v>
      </c>
      <c r="B1113" s="2" t="s">
        <v>1437</v>
      </c>
      <c r="C1113" s="2">
        <v>928.31370000000004</v>
      </c>
      <c r="D1113" s="2">
        <f>HYPERLINK("http://mcb-m6.bioreg.kyushu-u.ac.jp/M3/20110429/F51150/2770/1", 69.16)</f>
        <v>69.16</v>
      </c>
      <c r="E1113" s="2">
        <v>50.93</v>
      </c>
      <c r="F1113" s="2">
        <v>2</v>
      </c>
      <c r="G1113" s="2" t="s">
        <v>13</v>
      </c>
    </row>
    <row r="1114" spans="1:7" x14ac:dyDescent="0.2">
      <c r="A1114" s="2" t="s">
        <v>3387</v>
      </c>
      <c r="B1114" s="2" t="s">
        <v>180</v>
      </c>
      <c r="C1114" s="2">
        <v>549.62220000000002</v>
      </c>
      <c r="D1114" s="2">
        <f>HYPERLINK("http://mcb-m6.bioreg.kyushu-u.ac.jp/M3/20110429/F51150/1444/1", 86.55)</f>
        <v>86.55</v>
      </c>
      <c r="E1114" s="2">
        <v>53.75</v>
      </c>
      <c r="F1114" s="2">
        <v>2</v>
      </c>
      <c r="G1114" s="2" t="s">
        <v>13</v>
      </c>
    </row>
    <row r="1115" spans="1:7" x14ac:dyDescent="0.2">
      <c r="A1115" s="2" t="s">
        <v>3387</v>
      </c>
      <c r="B1115" s="2" t="s">
        <v>180</v>
      </c>
      <c r="C1115" s="2">
        <v>549.8066</v>
      </c>
      <c r="D1115" s="2">
        <f>HYPERLINK("http://mcb-m6.bioreg.kyushu-u.ac.jp/M3/20110428/F51138/1597/1", 41.4)</f>
        <v>41.4</v>
      </c>
      <c r="E1115" s="2">
        <v>24.63</v>
      </c>
      <c r="F1115" s="2">
        <v>2</v>
      </c>
      <c r="G1115" s="2" t="s">
        <v>14</v>
      </c>
    </row>
    <row r="1116" spans="1:7" x14ac:dyDescent="0.2">
      <c r="A1116" s="2" t="s">
        <v>3387</v>
      </c>
      <c r="B1116" s="2" t="s">
        <v>180</v>
      </c>
      <c r="C1116" s="2">
        <v>549.7817</v>
      </c>
      <c r="D1116" s="2">
        <f>HYPERLINK("http://mcb-m6.bioreg.kyushu-u.ac.jp/M3/20110428/F51138/1596/1", 54.86)</f>
        <v>54.86</v>
      </c>
      <c r="E1116" s="2">
        <v>35.08</v>
      </c>
      <c r="F1116" s="2">
        <v>2</v>
      </c>
      <c r="G1116" s="2" t="s">
        <v>14</v>
      </c>
    </row>
    <row r="1117" spans="1:7" x14ac:dyDescent="0.2">
      <c r="A1117" s="2" t="s">
        <v>3387</v>
      </c>
      <c r="B1117" s="2" t="s">
        <v>1437</v>
      </c>
      <c r="C1117" s="2">
        <v>928.95119999999997</v>
      </c>
      <c r="D1117" s="2">
        <f>HYPERLINK("http://mcb-m6.bioreg.kyushu-u.ac.jp/M3/20110428/F51139/2351/1", 61.67)</f>
        <v>61.67</v>
      </c>
      <c r="E1117" s="2">
        <v>49</v>
      </c>
      <c r="F1117" s="2">
        <v>2</v>
      </c>
      <c r="G1117" s="2" t="s">
        <v>14</v>
      </c>
    </row>
    <row r="1118" spans="1:7" x14ac:dyDescent="0.2">
      <c r="A1118" s="2" t="s">
        <v>3387</v>
      </c>
      <c r="B1118" s="2" t="s">
        <v>1437</v>
      </c>
      <c r="C1118" s="2">
        <v>928.86410000000001</v>
      </c>
      <c r="D1118" s="2">
        <f>HYPERLINK("http://mcb-m6.bioreg.kyushu-u.ac.jp/M3/20110428/F51138/2865/1", 62.54)</f>
        <v>62.54</v>
      </c>
      <c r="E1118" s="2">
        <v>49.34</v>
      </c>
      <c r="F1118" s="2">
        <v>2</v>
      </c>
      <c r="G1118" s="2" t="s">
        <v>14</v>
      </c>
    </row>
    <row r="1119" spans="1:7" x14ac:dyDescent="0.2">
      <c r="A1119" s="2" t="s">
        <v>3387</v>
      </c>
      <c r="B1119" s="2" t="s">
        <v>1437</v>
      </c>
      <c r="C1119" s="2">
        <v>928.94209999999998</v>
      </c>
      <c r="D1119" s="2">
        <f>HYPERLINK("http://mcb-m6.bioreg.kyushu-u.ac.jp/M3/20110428/F51138/2866/1", 71.42)</f>
        <v>71.42</v>
      </c>
      <c r="E1119" s="2">
        <v>55.25</v>
      </c>
      <c r="F1119" s="2">
        <v>2</v>
      </c>
      <c r="G1119" s="2" t="s">
        <v>14</v>
      </c>
    </row>
    <row r="1120" spans="1:7" x14ac:dyDescent="0.2">
      <c r="A1120" s="2" t="s">
        <v>3387</v>
      </c>
      <c r="B1120" s="2" t="s">
        <v>1437</v>
      </c>
      <c r="C1120" s="2">
        <v>928.31320000000005</v>
      </c>
      <c r="D1120" s="2">
        <f>HYPERLINK("http://mcb-m6.bioreg.kyushu-u.ac.jp/M3/20110428/F51138/2864/1", 73.02)</f>
        <v>73.02</v>
      </c>
      <c r="E1120" s="2">
        <v>53.78</v>
      </c>
      <c r="F1120" s="2">
        <v>2</v>
      </c>
      <c r="G1120" s="2" t="s">
        <v>14</v>
      </c>
    </row>
    <row r="1121" spans="1:7" x14ac:dyDescent="0.2">
      <c r="A1121" s="2" t="s">
        <v>3844</v>
      </c>
      <c r="B1121" s="2" t="s">
        <v>936</v>
      </c>
      <c r="C1121" s="2">
        <v>606.55520000000001</v>
      </c>
      <c r="D1121" s="2">
        <f>HYPERLINK("http://mcb-m6.bioreg.kyushu-u.ac.jp/M3/20110318/F50600/1256/1", 45.79)</f>
        <v>45.79</v>
      </c>
      <c r="E1121" s="2">
        <v>24.12</v>
      </c>
      <c r="F1121" s="2">
        <v>2</v>
      </c>
      <c r="G1121" s="2" t="s">
        <v>10</v>
      </c>
    </row>
    <row r="1122" spans="1:7" x14ac:dyDescent="0.2">
      <c r="A1122" s="2" t="s">
        <v>3844</v>
      </c>
      <c r="B1122" s="2" t="s">
        <v>936</v>
      </c>
      <c r="C1122" s="2">
        <v>606.57569999999998</v>
      </c>
      <c r="D1122" s="2">
        <f>HYPERLINK("http://mcb-m6.bioreg.kyushu-u.ac.jp/M3/20110418/F50971/1887/1", 62.52)</f>
        <v>62.52</v>
      </c>
      <c r="E1122" s="2">
        <v>34.25</v>
      </c>
      <c r="F1122" s="2">
        <v>2</v>
      </c>
      <c r="G1122" s="2" t="s">
        <v>11</v>
      </c>
    </row>
    <row r="1123" spans="1:7" x14ac:dyDescent="0.2">
      <c r="A1123" s="2" t="s">
        <v>3844</v>
      </c>
      <c r="B1123" s="2" t="s">
        <v>936</v>
      </c>
      <c r="C1123" s="2">
        <v>606.40260000000001</v>
      </c>
      <c r="D1123" s="2">
        <f>HYPERLINK("http://mcb-m6.bioreg.kyushu-u.ac.jp/M3/20110429/F51149/1730/1", 66.18)</f>
        <v>66.180000000000007</v>
      </c>
      <c r="E1123" s="2">
        <v>46.32</v>
      </c>
      <c r="F1123" s="2">
        <v>2</v>
      </c>
      <c r="G1123" s="2" t="s">
        <v>13</v>
      </c>
    </row>
    <row r="1124" spans="1:7" x14ac:dyDescent="0.2">
      <c r="A1124" s="2" t="s">
        <v>4016</v>
      </c>
      <c r="B1124" s="2" t="s">
        <v>1657</v>
      </c>
      <c r="C1124" s="2">
        <v>799.41859999999997</v>
      </c>
      <c r="D1124" s="2">
        <f>HYPERLINK("http://mcb-m6.bioreg.kyushu-u.ac.jp/M3/20110318/F50601/1708/1", 96.68)</f>
        <v>96.68</v>
      </c>
      <c r="E1124" s="2">
        <v>76.23</v>
      </c>
      <c r="F1124" s="2">
        <v>2</v>
      </c>
      <c r="G1124" s="2" t="s">
        <v>9</v>
      </c>
    </row>
    <row r="1125" spans="1:7" x14ac:dyDescent="0.2">
      <c r="A1125" s="2" t="s">
        <v>4016</v>
      </c>
      <c r="B1125" s="2" t="s">
        <v>1468</v>
      </c>
      <c r="C1125" s="2">
        <v>854.1241</v>
      </c>
      <c r="D1125" s="2">
        <f>HYPERLINK("http://mcb-m6.bioreg.kyushu-u.ac.jp/M3/20110318/F50600/1932/1", 65.44)</f>
        <v>65.44</v>
      </c>
      <c r="E1125" s="2">
        <v>51.51</v>
      </c>
      <c r="F1125" s="2">
        <v>2</v>
      </c>
      <c r="G1125" s="2" t="s">
        <v>10</v>
      </c>
    </row>
    <row r="1126" spans="1:7" x14ac:dyDescent="0.2">
      <c r="A1126" s="2" t="s">
        <v>3396</v>
      </c>
      <c r="B1126" s="2" t="s">
        <v>882</v>
      </c>
      <c r="C1126" s="2">
        <v>707.17219999999998</v>
      </c>
      <c r="D1126" s="2">
        <f>HYPERLINK("http://mcb-m6.bioreg.kyushu-u.ac.jp/M3/20110418/F50973/2011/1", 47.08)</f>
        <v>47.08</v>
      </c>
      <c r="E1126" s="2">
        <v>31.74</v>
      </c>
      <c r="F1126" s="2">
        <v>2</v>
      </c>
      <c r="G1126" s="2" t="s">
        <v>11</v>
      </c>
    </row>
    <row r="1127" spans="1:7" x14ac:dyDescent="0.2">
      <c r="A1127" s="2" t="s">
        <v>5672</v>
      </c>
      <c r="B1127" s="2" t="s">
        <v>5159</v>
      </c>
      <c r="C1127" s="2">
        <v>720.28060000000005</v>
      </c>
      <c r="D1127" s="2">
        <f>HYPERLINK("http://mcb-m6.bioreg.kyushu-u.ac.jp/M3/20110318/F50618/1477/1", 72.09)</f>
        <v>72.09</v>
      </c>
      <c r="E1127" s="2">
        <v>37.92</v>
      </c>
      <c r="F1127" s="2">
        <v>2</v>
      </c>
      <c r="G1127" s="2" t="s">
        <v>9</v>
      </c>
    </row>
    <row r="1128" spans="1:7" x14ac:dyDescent="0.2">
      <c r="A1128" s="2" t="s">
        <v>5672</v>
      </c>
      <c r="B1128" s="2" t="s">
        <v>5183</v>
      </c>
      <c r="C1128" s="2">
        <v>1006.326</v>
      </c>
      <c r="D1128" s="2">
        <f>HYPERLINK("http://mcb-m6.bioreg.kyushu-u.ac.jp/M3/20110318/F50605/2452/1", 86.31)</f>
        <v>86.31</v>
      </c>
      <c r="E1128" s="2">
        <v>78.16</v>
      </c>
      <c r="F1128" s="2">
        <v>2</v>
      </c>
      <c r="G1128" s="2" t="s">
        <v>9</v>
      </c>
    </row>
    <row r="1129" spans="1:7" x14ac:dyDescent="0.2">
      <c r="A1129" s="2" t="s">
        <v>5620</v>
      </c>
      <c r="B1129" s="2" t="s">
        <v>5026</v>
      </c>
      <c r="C1129" s="2">
        <v>616.01670000000001</v>
      </c>
      <c r="D1129" s="2">
        <f>HYPERLINK("http://mcb-m6.bioreg.kyushu-u.ac.jp/M3/20110318/F50605/1204/1", 40.12)</f>
        <v>40.119999999999997</v>
      </c>
      <c r="E1129" s="2">
        <v>24.53</v>
      </c>
      <c r="F1129" s="2">
        <v>2</v>
      </c>
      <c r="G1129" s="2" t="s">
        <v>9</v>
      </c>
    </row>
    <row r="1130" spans="1:7" x14ac:dyDescent="0.2">
      <c r="A1130" s="2" t="s">
        <v>5620</v>
      </c>
      <c r="B1130" s="2" t="s">
        <v>5028</v>
      </c>
      <c r="C1130" s="2">
        <v>564.25670000000002</v>
      </c>
      <c r="D1130" s="2">
        <f>HYPERLINK("http://mcb-m6.bioreg.kyushu-u.ac.jp/M3/20110318/F50618/991/1", 40.55)</f>
        <v>40.549999999999997</v>
      </c>
      <c r="E1130" s="2">
        <v>14.84</v>
      </c>
      <c r="F1130" s="2">
        <v>2</v>
      </c>
      <c r="G1130" s="2" t="s">
        <v>9</v>
      </c>
    </row>
    <row r="1131" spans="1:7" x14ac:dyDescent="0.2">
      <c r="A1131" s="2" t="s">
        <v>5620</v>
      </c>
      <c r="B1131" s="2" t="s">
        <v>5033</v>
      </c>
      <c r="C1131" s="2">
        <v>465.5761</v>
      </c>
      <c r="D1131" s="2">
        <f>HYPERLINK("http://mcb-m6.bioreg.kyushu-u.ac.jp/M3/20110318/F50605/806/1", 40.73)</f>
        <v>40.729999999999997</v>
      </c>
      <c r="E1131" s="2">
        <v>15.17</v>
      </c>
      <c r="F1131" s="2">
        <v>2</v>
      </c>
      <c r="G1131" s="2" t="s">
        <v>9</v>
      </c>
    </row>
    <row r="1132" spans="1:7" x14ac:dyDescent="0.2">
      <c r="A1132" s="2" t="s">
        <v>5620</v>
      </c>
      <c r="B1132" s="2" t="s">
        <v>5026</v>
      </c>
      <c r="C1132" s="2">
        <v>616.23609999999996</v>
      </c>
      <c r="D1132" s="2">
        <f>HYPERLINK("http://mcb-m6.bioreg.kyushu-u.ac.jp/M3/20110318/F50618/1138/1", 40.92)</f>
        <v>40.92</v>
      </c>
      <c r="E1132" s="2">
        <v>22.61</v>
      </c>
      <c r="F1132" s="2">
        <v>2</v>
      </c>
      <c r="G1132" s="2" t="s">
        <v>9</v>
      </c>
    </row>
    <row r="1133" spans="1:7" x14ac:dyDescent="0.2">
      <c r="A1133" s="2" t="s">
        <v>5620</v>
      </c>
      <c r="B1133" s="2" t="s">
        <v>5085</v>
      </c>
      <c r="C1133" s="2">
        <v>500.51459999999997</v>
      </c>
      <c r="D1133" s="2">
        <f>HYPERLINK("http://mcb-m6.bioreg.kyushu-u.ac.jp/M3/20110318/F50605/906/1", 49.92)</f>
        <v>49.92</v>
      </c>
      <c r="E1133" s="2">
        <v>23.91</v>
      </c>
      <c r="F1133" s="2">
        <v>2</v>
      </c>
      <c r="G1133" s="2" t="s">
        <v>9</v>
      </c>
    </row>
    <row r="1134" spans="1:7" x14ac:dyDescent="0.2">
      <c r="A1134" s="2" t="s">
        <v>5620</v>
      </c>
      <c r="B1134" s="2" t="s">
        <v>5028</v>
      </c>
      <c r="C1134" s="2">
        <v>564.54570000000001</v>
      </c>
      <c r="D1134" s="2">
        <f>HYPERLINK("http://mcb-m6.bioreg.kyushu-u.ac.jp/M3/20110318/F50605/1096/1", 54.24)</f>
        <v>54.24</v>
      </c>
      <c r="E1134" s="2">
        <v>33.57</v>
      </c>
      <c r="F1134" s="2">
        <v>2</v>
      </c>
      <c r="G1134" s="2" t="s">
        <v>9</v>
      </c>
    </row>
    <row r="1135" spans="1:7" x14ac:dyDescent="0.2">
      <c r="A1135" s="2" t="s">
        <v>5620</v>
      </c>
      <c r="B1135" s="2" t="s">
        <v>5127</v>
      </c>
      <c r="C1135" s="2">
        <v>576.10360000000003</v>
      </c>
      <c r="D1135" s="2">
        <f>HYPERLINK("http://mcb-m6.bioreg.kyushu-u.ac.jp/M3/20110318/F50605/1121/1", 63.16)</f>
        <v>63.16</v>
      </c>
      <c r="E1135" s="2">
        <v>36.01</v>
      </c>
      <c r="F1135" s="2">
        <v>2</v>
      </c>
      <c r="G1135" s="2" t="s">
        <v>9</v>
      </c>
    </row>
    <row r="1136" spans="1:7" x14ac:dyDescent="0.2">
      <c r="A1136" s="2" t="s">
        <v>5620</v>
      </c>
      <c r="B1136" s="2" t="s">
        <v>5127</v>
      </c>
      <c r="C1136" s="2">
        <v>575.81269999999995</v>
      </c>
      <c r="D1136" s="2">
        <f>HYPERLINK("http://mcb-m6.bioreg.kyushu-u.ac.jp/M3/20110318/F50618/1024/1", 65.49)</f>
        <v>65.489999999999995</v>
      </c>
      <c r="E1136" s="2">
        <v>32.43</v>
      </c>
      <c r="F1136" s="2">
        <v>2</v>
      </c>
      <c r="G1136" s="2" t="s">
        <v>9</v>
      </c>
    </row>
    <row r="1137" spans="1:7" x14ac:dyDescent="0.2">
      <c r="A1137" s="2" t="s">
        <v>5620</v>
      </c>
      <c r="B1137" s="2" t="s">
        <v>5157</v>
      </c>
      <c r="C1137" s="2">
        <v>829.23720000000003</v>
      </c>
      <c r="D1137" s="2">
        <f>HYPERLINK("http://mcb-m6.bioreg.kyushu-u.ac.jp/M3/20110318/F50618/2052/1", 70.55)</f>
        <v>70.55</v>
      </c>
      <c r="E1137" s="2">
        <v>51.67</v>
      </c>
      <c r="F1137" s="2">
        <v>2</v>
      </c>
      <c r="G1137" s="2" t="s">
        <v>9</v>
      </c>
    </row>
    <row r="1138" spans="1:7" x14ac:dyDescent="0.2">
      <c r="A1138" s="2" t="s">
        <v>5620</v>
      </c>
      <c r="B1138" s="2" t="s">
        <v>5127</v>
      </c>
      <c r="C1138" s="2">
        <v>575.89509999999996</v>
      </c>
      <c r="D1138" s="2">
        <f>HYPERLINK("http://mcb-m6.bioreg.kyushu-u.ac.jp/M3/20110318/F50613/1131/1", 53.35)</f>
        <v>53.35</v>
      </c>
      <c r="E1138" s="2">
        <v>32.53</v>
      </c>
      <c r="F1138" s="2">
        <v>2</v>
      </c>
      <c r="G1138" s="2" t="s">
        <v>10</v>
      </c>
    </row>
    <row r="1139" spans="1:7" x14ac:dyDescent="0.2">
      <c r="A1139" s="2" t="s">
        <v>5620</v>
      </c>
      <c r="B1139" s="2" t="s">
        <v>5026</v>
      </c>
      <c r="C1139" s="2">
        <v>616.20259999999996</v>
      </c>
      <c r="D1139" s="2">
        <f>HYPERLINK("http://mcb-m6.bioreg.kyushu-u.ac.jp/M3/20110418/F50976/1372/1", 42.22)</f>
        <v>42.22</v>
      </c>
      <c r="E1139" s="2">
        <v>27.48</v>
      </c>
      <c r="F1139" s="2">
        <v>2</v>
      </c>
      <c r="G1139" s="2" t="s">
        <v>11</v>
      </c>
    </row>
    <row r="1140" spans="1:7" x14ac:dyDescent="0.2">
      <c r="A1140" s="2" t="s">
        <v>5620</v>
      </c>
      <c r="B1140" s="2" t="s">
        <v>5127</v>
      </c>
      <c r="C1140" s="2">
        <v>575.76570000000004</v>
      </c>
      <c r="D1140" s="2">
        <f>HYPERLINK("http://mcb-m6.bioreg.kyushu-u.ac.jp/M3/20110418/F50976/1175/1", 50.06)</f>
        <v>50.06</v>
      </c>
      <c r="E1140" s="2">
        <v>28.8</v>
      </c>
      <c r="F1140" s="2">
        <v>2</v>
      </c>
      <c r="G1140" s="2" t="s">
        <v>11</v>
      </c>
    </row>
    <row r="1141" spans="1:7" x14ac:dyDescent="0.2">
      <c r="A1141" s="2" t="s">
        <v>5620</v>
      </c>
      <c r="B1141" s="2" t="s">
        <v>5157</v>
      </c>
      <c r="C1141" s="2">
        <v>829.33510000000001</v>
      </c>
      <c r="D1141" s="2">
        <f>HYPERLINK("http://mcb-m6.bioreg.kyushu-u.ac.jp/M3/20110418/F50976/2560/1", 59.26)</f>
        <v>59.26</v>
      </c>
      <c r="E1141" s="2">
        <v>47.77</v>
      </c>
      <c r="F1141" s="2">
        <v>2</v>
      </c>
      <c r="G1141" s="2" t="s">
        <v>11</v>
      </c>
    </row>
    <row r="1142" spans="1:7" x14ac:dyDescent="0.2">
      <c r="A1142" s="2" t="s">
        <v>5620</v>
      </c>
      <c r="B1142" s="2" t="s">
        <v>5415</v>
      </c>
      <c r="C1142" s="2">
        <v>682.38419999999996</v>
      </c>
      <c r="D1142" s="2">
        <f>HYPERLINK("http://mcb-m6.bioreg.kyushu-u.ac.jp/M3/20110418/F50976/1654/1", 59.7)</f>
        <v>59.7</v>
      </c>
      <c r="E1142" s="2">
        <v>27.29</v>
      </c>
      <c r="F1142" s="2">
        <v>2</v>
      </c>
      <c r="G1142" s="2" t="s">
        <v>11</v>
      </c>
    </row>
    <row r="1143" spans="1:7" x14ac:dyDescent="0.2">
      <c r="A1143" s="2" t="s">
        <v>5620</v>
      </c>
      <c r="B1143" s="2" t="s">
        <v>5085</v>
      </c>
      <c r="C1143" s="2">
        <v>499.83409999999998</v>
      </c>
      <c r="D1143" s="2">
        <f>HYPERLINK("http://mcb-m6.bioreg.kyushu-u.ac.jp/M3/20110418/F50986/1384/1", 36.51)</f>
        <v>36.51</v>
      </c>
      <c r="E1143" s="2">
        <v>15.21</v>
      </c>
      <c r="F1143" s="2">
        <v>2</v>
      </c>
      <c r="G1143" s="2" t="s">
        <v>12</v>
      </c>
    </row>
    <row r="1144" spans="1:7" x14ac:dyDescent="0.2">
      <c r="A1144" s="2" t="s">
        <v>5620</v>
      </c>
      <c r="B1144" s="2" t="s">
        <v>5085</v>
      </c>
      <c r="C1144" s="2">
        <v>500.30560000000003</v>
      </c>
      <c r="D1144" s="2">
        <f>HYPERLINK("http://mcb-m6.bioreg.kyushu-u.ac.jp/M3/20110429/F51153/602/1", 38.86)</f>
        <v>38.86</v>
      </c>
      <c r="E1144" s="2">
        <v>15.97</v>
      </c>
      <c r="F1144" s="2">
        <v>2</v>
      </c>
      <c r="G1144" s="2" t="s">
        <v>13</v>
      </c>
    </row>
    <row r="1145" spans="1:7" x14ac:dyDescent="0.2">
      <c r="A1145" s="2" t="s">
        <v>5620</v>
      </c>
      <c r="B1145" s="2" t="s">
        <v>5127</v>
      </c>
      <c r="C1145" s="2">
        <v>575.89070000000004</v>
      </c>
      <c r="D1145" s="2">
        <f>HYPERLINK("http://mcb-m6.bioreg.kyushu-u.ac.jp/M3/20110428/F51142/1253/1", 40.97)</f>
        <v>40.97</v>
      </c>
      <c r="E1145" s="2">
        <v>23.32</v>
      </c>
      <c r="F1145" s="2">
        <v>2</v>
      </c>
      <c r="G1145" s="2" t="s">
        <v>14</v>
      </c>
    </row>
    <row r="1146" spans="1:7" x14ac:dyDescent="0.2">
      <c r="A1146" s="2" t="s">
        <v>5622</v>
      </c>
      <c r="B1146" s="2" t="s">
        <v>5031</v>
      </c>
      <c r="C1146" s="2">
        <v>756.91420000000005</v>
      </c>
      <c r="D1146" s="2">
        <f>HYPERLINK("http://mcb-m6.bioreg.kyushu-u.ac.jp/M3/20110318/F50601/1603/1", 40.68)</f>
        <v>40.68</v>
      </c>
      <c r="E1146" s="2">
        <v>28.52</v>
      </c>
      <c r="F1146" s="2">
        <v>2</v>
      </c>
      <c r="G1146" s="2" t="s">
        <v>9</v>
      </c>
    </row>
    <row r="1147" spans="1:7" x14ac:dyDescent="0.2">
      <c r="A1147" s="2" t="s">
        <v>3553</v>
      </c>
      <c r="B1147" s="2" t="s">
        <v>539</v>
      </c>
      <c r="C1147" s="2">
        <v>721.50519999999995</v>
      </c>
      <c r="D1147" s="2">
        <f>HYPERLINK("http://mcb-m6.bioreg.kyushu-u.ac.jp/M3/20110318/F50605/1468/1", 43.6)</f>
        <v>43.6</v>
      </c>
      <c r="E1147" s="2">
        <v>30.19</v>
      </c>
      <c r="F1147" s="2">
        <v>2</v>
      </c>
      <c r="G1147" s="2" t="s">
        <v>9</v>
      </c>
    </row>
    <row r="1148" spans="1:7" x14ac:dyDescent="0.2">
      <c r="A1148" s="2" t="s">
        <v>3553</v>
      </c>
      <c r="B1148" s="2" t="s">
        <v>1470</v>
      </c>
      <c r="C1148" s="2">
        <v>949.17359999999996</v>
      </c>
      <c r="D1148" s="2">
        <f>HYPERLINK("http://mcb-m6.bioreg.kyushu-u.ac.jp/M3/20110318/F50605/2313/1", 100.05)</f>
        <v>100.05</v>
      </c>
      <c r="E1148" s="2">
        <v>77.12</v>
      </c>
      <c r="F1148" s="2">
        <v>2</v>
      </c>
      <c r="G1148" s="2" t="s">
        <v>9</v>
      </c>
    </row>
    <row r="1149" spans="1:7" x14ac:dyDescent="0.2">
      <c r="A1149" s="2" t="s">
        <v>3553</v>
      </c>
      <c r="B1149" s="2" t="s">
        <v>539</v>
      </c>
      <c r="C1149" s="2">
        <v>721.95920000000001</v>
      </c>
      <c r="D1149" s="2">
        <f>HYPERLINK("http://mcb-m6.bioreg.kyushu-u.ac.jp/M3/20110318/F50613/1510/1", 36.67)</f>
        <v>36.67</v>
      </c>
      <c r="E1149" s="2">
        <v>25</v>
      </c>
      <c r="F1149" s="2">
        <v>2</v>
      </c>
      <c r="G1149" s="2" t="s">
        <v>10</v>
      </c>
    </row>
    <row r="1150" spans="1:7" x14ac:dyDescent="0.2">
      <c r="A1150" s="2" t="s">
        <v>3553</v>
      </c>
      <c r="B1150" s="2" t="s">
        <v>1470</v>
      </c>
      <c r="C1150" s="2">
        <v>948.80219999999997</v>
      </c>
      <c r="D1150" s="2">
        <f>HYPERLINK("http://mcb-m6.bioreg.kyushu-u.ac.jp/M3/20110318/F50613/2397/1", 38.46)</f>
        <v>38.46</v>
      </c>
      <c r="E1150" s="2">
        <v>16.02</v>
      </c>
      <c r="F1150" s="2">
        <v>2</v>
      </c>
      <c r="G1150" s="2" t="s">
        <v>10</v>
      </c>
    </row>
    <row r="1151" spans="1:7" x14ac:dyDescent="0.2">
      <c r="A1151" s="2" t="s">
        <v>3553</v>
      </c>
      <c r="B1151" s="2" t="s">
        <v>539</v>
      </c>
      <c r="C1151" s="2">
        <v>721.38210000000004</v>
      </c>
      <c r="D1151" s="2">
        <f>HYPERLINK("http://mcb-m6.bioreg.kyushu-u.ac.jp/M3/20110318/F50613/1509/1", 50.52)</f>
        <v>50.52</v>
      </c>
      <c r="E1151" s="2">
        <v>31.62</v>
      </c>
      <c r="F1151" s="2">
        <v>2</v>
      </c>
      <c r="G1151" s="2" t="s">
        <v>10</v>
      </c>
    </row>
    <row r="1152" spans="1:7" x14ac:dyDescent="0.2">
      <c r="A1152" s="2" t="s">
        <v>3553</v>
      </c>
      <c r="B1152" s="2" t="s">
        <v>2677</v>
      </c>
      <c r="C1152" s="2">
        <v>576.25819999999999</v>
      </c>
      <c r="D1152" s="2">
        <f>HYPERLINK("http://mcb-m6.bioreg.kyushu-u.ac.jp/M3/20110429/F51153/1031/1", 39.44)</f>
        <v>39.44</v>
      </c>
      <c r="E1152" s="2">
        <v>19.68</v>
      </c>
      <c r="F1152" s="2">
        <v>2</v>
      </c>
      <c r="G1152" s="2" t="s">
        <v>13</v>
      </c>
    </row>
    <row r="1153" spans="1:9" x14ac:dyDescent="0.2">
      <c r="A1153" s="2" t="s">
        <v>3648</v>
      </c>
      <c r="B1153" s="2" t="s">
        <v>574</v>
      </c>
      <c r="C1153" s="2">
        <v>903.34699999999998</v>
      </c>
      <c r="D1153" s="2">
        <f>HYPERLINK("http://mcb-m6.bioreg.kyushu-u.ac.jp/M3/20110429/F51150/1073/3", 37.86)</f>
        <v>37.86</v>
      </c>
      <c r="E1153" s="2">
        <v>10.55</v>
      </c>
      <c r="F1153" s="2">
        <v>1</v>
      </c>
      <c r="G1153" s="2" t="s">
        <v>13</v>
      </c>
    </row>
    <row r="1154" spans="1:9" x14ac:dyDescent="0.2">
      <c r="A1154" s="2" t="s">
        <v>3619</v>
      </c>
      <c r="B1154" s="2" t="s">
        <v>1672</v>
      </c>
      <c r="C1154" s="2">
        <v>1044.326</v>
      </c>
      <c r="D1154" s="2">
        <f>HYPERLINK("http://mcb-m6.bioreg.kyushu-u.ac.jp/M3/20110318/F50608/2314/1", 134.42)</f>
        <v>134.41999999999999</v>
      </c>
      <c r="E1154" s="2">
        <v>118.59</v>
      </c>
      <c r="F1154" s="2">
        <v>2</v>
      </c>
      <c r="G1154" s="2" t="s">
        <v>9</v>
      </c>
    </row>
    <row r="1155" spans="1:9" x14ac:dyDescent="0.2">
      <c r="A1155" s="2" t="s">
        <v>3619</v>
      </c>
      <c r="B1155" s="2" t="s">
        <v>528</v>
      </c>
      <c r="C1155" s="2">
        <v>597.60109999999997</v>
      </c>
      <c r="D1155" s="2">
        <f>HYPERLINK("http://mcb-m6.bioreg.kyushu-u.ac.jp/M3/20110429/F51150/1633/1", 42.92)</f>
        <v>42.92</v>
      </c>
      <c r="E1155" s="2">
        <v>27.93</v>
      </c>
      <c r="F1155" s="2">
        <v>2</v>
      </c>
      <c r="G1155" s="2" t="s">
        <v>13</v>
      </c>
    </row>
    <row r="1156" spans="1:9" x14ac:dyDescent="0.2">
      <c r="A1156" s="2" t="s">
        <v>3437</v>
      </c>
      <c r="B1156" s="2" t="s">
        <v>2421</v>
      </c>
      <c r="C1156" s="2">
        <v>628.69460000000004</v>
      </c>
      <c r="D1156" s="2">
        <f>HYPERLINK("http://mcb-m6.bioreg.kyushu-u.ac.jp/M3/20110318/F50608/1207/1", 59.17)</f>
        <v>59.17</v>
      </c>
      <c r="E1156" s="2">
        <v>34.65</v>
      </c>
      <c r="F1156" s="2">
        <v>2</v>
      </c>
      <c r="G1156" s="2" t="s">
        <v>9</v>
      </c>
    </row>
    <row r="1157" spans="1:9" x14ac:dyDescent="0.2">
      <c r="A1157" s="2" t="s">
        <v>3499</v>
      </c>
      <c r="B1157" s="2" t="s">
        <v>1645</v>
      </c>
      <c r="C1157" s="2">
        <v>739.39319999999998</v>
      </c>
      <c r="D1157" s="2">
        <f>HYPERLINK("http://mcb-m6.bioreg.kyushu-u.ac.jp/M3/20110318/F50608/1510/1", 56.2)</f>
        <v>56.2</v>
      </c>
      <c r="E1157" s="2">
        <v>36.76</v>
      </c>
      <c r="F1157" s="2">
        <v>2</v>
      </c>
      <c r="G1157" s="2" t="s">
        <v>9</v>
      </c>
      <c r="I1157" s="2" t="s">
        <v>4943</v>
      </c>
    </row>
    <row r="1158" spans="1:9" x14ac:dyDescent="0.2">
      <c r="A1158" s="2" t="s">
        <v>3515</v>
      </c>
      <c r="B1158" s="2" t="s">
        <v>357</v>
      </c>
      <c r="C1158" s="2">
        <v>488.34809999999999</v>
      </c>
      <c r="D1158" s="2">
        <f>HYPERLINK("http://mcb-m6.bioreg.kyushu-u.ac.jp/M3/20110318/F50622/921/1", 65.34)</f>
        <v>65.34</v>
      </c>
      <c r="E1158" s="2">
        <v>29.62</v>
      </c>
      <c r="F1158" s="2">
        <v>2</v>
      </c>
      <c r="G1158" s="2" t="s">
        <v>10</v>
      </c>
    </row>
    <row r="1159" spans="1:9" x14ac:dyDescent="0.2">
      <c r="A1159" s="2" t="s">
        <v>3515</v>
      </c>
      <c r="B1159" s="2" t="s">
        <v>357</v>
      </c>
      <c r="C1159" s="2">
        <v>488.35809999999998</v>
      </c>
      <c r="D1159" s="2">
        <f>HYPERLINK("http://mcb-m6.bioreg.kyushu-u.ac.jp/M3/20110502/F51160/707/1", 53.75)</f>
        <v>53.75</v>
      </c>
      <c r="E1159" s="2">
        <v>26.88</v>
      </c>
      <c r="F1159" s="2">
        <v>2</v>
      </c>
      <c r="G1159" s="2" t="s">
        <v>14</v>
      </c>
    </row>
    <row r="1160" spans="1:9" x14ac:dyDescent="0.2">
      <c r="A1160" s="2" t="s">
        <v>3451</v>
      </c>
      <c r="B1160" s="2" t="s">
        <v>434</v>
      </c>
      <c r="C1160" s="2">
        <v>645.30020000000002</v>
      </c>
      <c r="D1160" s="2">
        <f>HYPERLINK("http://mcb-m6.bioreg.kyushu-u.ac.jp/M3/20110318/F50620/1323/1", 57.12)</f>
        <v>57.12</v>
      </c>
      <c r="E1160" s="2">
        <v>24.59</v>
      </c>
      <c r="F1160" s="2">
        <v>2</v>
      </c>
      <c r="G1160" s="2" t="s">
        <v>9</v>
      </c>
    </row>
    <row r="1161" spans="1:9" x14ac:dyDescent="0.2">
      <c r="A1161" s="2" t="s">
        <v>3451</v>
      </c>
      <c r="B1161" s="2" t="s">
        <v>590</v>
      </c>
      <c r="C1161" s="2">
        <v>909.82759999999996</v>
      </c>
      <c r="D1161" s="2">
        <f>HYPERLINK("http://mcb-m6.bioreg.kyushu-u.ac.jp/M3/20110318/F50616/2275/1", 37.94)</f>
        <v>37.94</v>
      </c>
      <c r="E1161" s="2">
        <v>24.27</v>
      </c>
      <c r="F1161" s="2">
        <v>2</v>
      </c>
      <c r="G1161" s="2" t="s">
        <v>10</v>
      </c>
    </row>
    <row r="1162" spans="1:9" x14ac:dyDescent="0.2">
      <c r="A1162" s="2" t="s">
        <v>3451</v>
      </c>
      <c r="B1162" s="2" t="s">
        <v>1436</v>
      </c>
      <c r="C1162" s="2">
        <v>510.4162</v>
      </c>
      <c r="D1162" s="2">
        <f>HYPERLINK("http://mcb-m6.bioreg.kyushu-u.ac.jp/M3/20110318/F50597/1719/1", 40.96)</f>
        <v>40.96</v>
      </c>
      <c r="E1162" s="2">
        <v>24.27</v>
      </c>
      <c r="F1162" s="2">
        <v>3</v>
      </c>
      <c r="G1162" s="2" t="s">
        <v>10</v>
      </c>
    </row>
    <row r="1163" spans="1:9" x14ac:dyDescent="0.2">
      <c r="A1163" s="2" t="s">
        <v>3451</v>
      </c>
      <c r="B1163" s="2" t="s">
        <v>590</v>
      </c>
      <c r="C1163" s="2">
        <v>909.30870000000004</v>
      </c>
      <c r="D1163" s="2">
        <f>HYPERLINK("http://mcb-m6.bioreg.kyushu-u.ac.jp/M3/20110318/F50616/2272/1", 40.97)</f>
        <v>40.97</v>
      </c>
      <c r="E1163" s="2">
        <v>32.590000000000003</v>
      </c>
      <c r="F1163" s="2">
        <v>2</v>
      </c>
      <c r="G1163" s="2" t="s">
        <v>10</v>
      </c>
    </row>
    <row r="1164" spans="1:9" x14ac:dyDescent="0.2">
      <c r="A1164" s="2" t="s">
        <v>3451</v>
      </c>
      <c r="B1164" s="2" t="s">
        <v>434</v>
      </c>
      <c r="C1164" s="2">
        <v>645.88919999999996</v>
      </c>
      <c r="D1164" s="2">
        <f>HYPERLINK("http://mcb-m6.bioreg.kyushu-u.ac.jp/M3/20110318/F50616/1326/1", 51.1)</f>
        <v>51.1</v>
      </c>
      <c r="E1164" s="2">
        <v>18.59</v>
      </c>
      <c r="F1164" s="2">
        <v>2</v>
      </c>
      <c r="G1164" s="2" t="s">
        <v>10</v>
      </c>
    </row>
    <row r="1165" spans="1:9" x14ac:dyDescent="0.2">
      <c r="A1165" s="2" t="s">
        <v>3451</v>
      </c>
      <c r="B1165" s="2" t="s">
        <v>965</v>
      </c>
      <c r="C1165" s="2">
        <v>1021.481</v>
      </c>
      <c r="D1165" s="2">
        <f>HYPERLINK("http://mcb-m6.bioreg.kyushu-u.ac.jp/M3/20110318/F50597/2551/1", 78.43)</f>
        <v>78.430000000000007</v>
      </c>
      <c r="E1165" s="2">
        <v>64.930000000000007</v>
      </c>
      <c r="F1165" s="2">
        <v>2</v>
      </c>
      <c r="G1165" s="2" t="s">
        <v>10</v>
      </c>
    </row>
    <row r="1166" spans="1:9" x14ac:dyDescent="0.2">
      <c r="A1166" s="2" t="s">
        <v>3451</v>
      </c>
      <c r="B1166" s="2" t="s">
        <v>965</v>
      </c>
      <c r="C1166" s="2">
        <v>1021.751</v>
      </c>
      <c r="D1166" s="2">
        <f>HYPERLINK("http://mcb-m6.bioreg.kyushu-u.ac.jp/M3/20110318/F50616/2587/1", 95.05)</f>
        <v>95.05</v>
      </c>
      <c r="E1166" s="2">
        <v>80.13</v>
      </c>
      <c r="F1166" s="2">
        <v>2</v>
      </c>
      <c r="G1166" s="2" t="s">
        <v>10</v>
      </c>
    </row>
    <row r="1167" spans="1:9" x14ac:dyDescent="0.2">
      <c r="A1167" s="2" t="s">
        <v>3451</v>
      </c>
      <c r="B1167" s="2" t="s">
        <v>590</v>
      </c>
      <c r="C1167" s="2">
        <v>909.47019999999998</v>
      </c>
      <c r="D1167" s="2">
        <f>HYPERLINK("http://mcb-m6.bioreg.kyushu-u.ac.jp/M3/20110318/F50597/2234/1", 102.02)</f>
        <v>102.02</v>
      </c>
      <c r="E1167" s="2">
        <v>86.29</v>
      </c>
      <c r="F1167" s="2">
        <v>2</v>
      </c>
      <c r="G1167" s="2" t="s">
        <v>10</v>
      </c>
    </row>
    <row r="1168" spans="1:9" x14ac:dyDescent="0.2">
      <c r="A1168" s="2" t="s">
        <v>3451</v>
      </c>
      <c r="B1168" s="2" t="s">
        <v>590</v>
      </c>
      <c r="C1168" s="2">
        <v>909.33370000000002</v>
      </c>
      <c r="D1168" s="2">
        <f>HYPERLINK("http://mcb-m6.bioreg.kyushu-u.ac.jp/M3/20110418/F50974/2885/1", 36.6)</f>
        <v>36.6</v>
      </c>
      <c r="E1168" s="2">
        <v>26.2</v>
      </c>
      <c r="F1168" s="2">
        <v>2</v>
      </c>
      <c r="G1168" s="2" t="s">
        <v>11</v>
      </c>
    </row>
    <row r="1169" spans="1:7" x14ac:dyDescent="0.2">
      <c r="A1169" s="2" t="s">
        <v>3451</v>
      </c>
      <c r="B1169" s="2" t="s">
        <v>1735</v>
      </c>
      <c r="C1169" s="2">
        <v>944.20799999999997</v>
      </c>
      <c r="D1169" s="2">
        <f>HYPERLINK("http://mcb-m6.bioreg.kyushu-u.ac.jp/M3/20110418/F50974/862/1", 37.48)</f>
        <v>37.479999999999997</v>
      </c>
      <c r="E1169" s="2">
        <v>15.56</v>
      </c>
      <c r="F1169" s="2">
        <v>1</v>
      </c>
      <c r="G1169" s="2" t="s">
        <v>11</v>
      </c>
    </row>
    <row r="1170" spans="1:7" x14ac:dyDescent="0.2">
      <c r="A1170" s="2" t="s">
        <v>3451</v>
      </c>
      <c r="B1170" s="2" t="s">
        <v>965</v>
      </c>
      <c r="C1170" s="2">
        <v>1021.44</v>
      </c>
      <c r="D1170" s="2">
        <f>HYPERLINK("http://mcb-m6.bioreg.kyushu-u.ac.jp/M3/20110418/F50974/3318/1", 58.79)</f>
        <v>58.79</v>
      </c>
      <c r="E1170" s="2">
        <v>43.07</v>
      </c>
      <c r="F1170" s="2">
        <v>2</v>
      </c>
      <c r="G1170" s="2" t="s">
        <v>11</v>
      </c>
    </row>
    <row r="1171" spans="1:7" x14ac:dyDescent="0.2">
      <c r="A1171" s="2" t="s">
        <v>3451</v>
      </c>
      <c r="B1171" s="2" t="s">
        <v>590</v>
      </c>
      <c r="C1171" s="2">
        <v>909.31269999999995</v>
      </c>
      <c r="D1171" s="2">
        <f>HYPERLINK("http://mcb-m6.bioreg.kyushu-u.ac.jp/M3/20110418/F50974/2884/1", 62.33)</f>
        <v>62.33</v>
      </c>
      <c r="E1171" s="2">
        <v>51.25</v>
      </c>
      <c r="F1171" s="2">
        <v>2</v>
      </c>
      <c r="G1171" s="2" t="s">
        <v>11</v>
      </c>
    </row>
    <row r="1172" spans="1:7" x14ac:dyDescent="0.2">
      <c r="A1172" s="2" t="s">
        <v>3451</v>
      </c>
      <c r="B1172" s="2" t="s">
        <v>590</v>
      </c>
      <c r="C1172" s="2">
        <v>909.85469999999998</v>
      </c>
      <c r="D1172" s="2">
        <f>HYPERLINK("http://mcb-m6.bioreg.kyushu-u.ac.jp/M3/20110418/F50974/2888/1", 62.36)</f>
        <v>62.36</v>
      </c>
      <c r="E1172" s="2">
        <v>46.45</v>
      </c>
      <c r="F1172" s="2">
        <v>2</v>
      </c>
      <c r="G1172" s="2" t="s">
        <v>11</v>
      </c>
    </row>
    <row r="1173" spans="1:7" x14ac:dyDescent="0.2">
      <c r="A1173" s="2" t="s">
        <v>3451</v>
      </c>
      <c r="B1173" s="2" t="s">
        <v>590</v>
      </c>
      <c r="C1173" s="2">
        <v>909.93370000000004</v>
      </c>
      <c r="D1173" s="2">
        <f>HYPERLINK("http://mcb-m6.bioreg.kyushu-u.ac.jp/M3/20110418/F50974/2889/1", 68.79)</f>
        <v>68.790000000000006</v>
      </c>
      <c r="E1173" s="2">
        <v>53.04</v>
      </c>
      <c r="F1173" s="2">
        <v>2</v>
      </c>
      <c r="G1173" s="2" t="s">
        <v>11</v>
      </c>
    </row>
    <row r="1174" spans="1:7" x14ac:dyDescent="0.2">
      <c r="A1174" s="2" t="s">
        <v>3451</v>
      </c>
      <c r="B1174" s="2" t="s">
        <v>434</v>
      </c>
      <c r="C1174" s="2">
        <v>645.16309999999999</v>
      </c>
      <c r="D1174" s="2">
        <f>HYPERLINK("http://mcb-m6.bioreg.kyushu-u.ac.jp/M3/20110418/F50974/1599/1", 77.28)</f>
        <v>77.28</v>
      </c>
      <c r="E1174" s="2">
        <v>51.61</v>
      </c>
      <c r="F1174" s="2">
        <v>2</v>
      </c>
      <c r="G1174" s="2" t="s">
        <v>11</v>
      </c>
    </row>
    <row r="1175" spans="1:7" x14ac:dyDescent="0.2">
      <c r="A1175" s="2" t="s">
        <v>3451</v>
      </c>
      <c r="B1175" s="2" t="s">
        <v>590</v>
      </c>
      <c r="C1175" s="2">
        <v>909.25959999999998</v>
      </c>
      <c r="D1175" s="2">
        <f>HYPERLINK("http://mcb-m6.bioreg.kyushu-u.ac.jp/M3/20110418/F50984/2409/1", 36.74)</f>
        <v>36.74</v>
      </c>
      <c r="E1175" s="2">
        <v>27.82</v>
      </c>
      <c r="F1175" s="2">
        <v>2</v>
      </c>
      <c r="G1175" s="2" t="s">
        <v>12</v>
      </c>
    </row>
    <row r="1176" spans="1:7" x14ac:dyDescent="0.2">
      <c r="A1176" s="2" t="s">
        <v>3451</v>
      </c>
      <c r="B1176" s="2" t="s">
        <v>1735</v>
      </c>
      <c r="C1176" s="2">
        <v>944.34799999999996</v>
      </c>
      <c r="D1176" s="2">
        <f>HYPERLINK("http://mcb-m6.bioreg.kyushu-u.ac.jp/M3/20110418/F50997/1078/1", 36.98)</f>
        <v>36.979999999999997</v>
      </c>
      <c r="E1176" s="2">
        <v>19.190000000000001</v>
      </c>
      <c r="F1176" s="2">
        <v>1</v>
      </c>
      <c r="G1176" s="2" t="s">
        <v>12</v>
      </c>
    </row>
    <row r="1177" spans="1:7" x14ac:dyDescent="0.2">
      <c r="A1177" s="2" t="s">
        <v>3451</v>
      </c>
      <c r="B1177" s="2" t="s">
        <v>1735</v>
      </c>
      <c r="C1177" s="2">
        <v>944.33500000000004</v>
      </c>
      <c r="D1177" s="2">
        <f>HYPERLINK("http://mcb-m6.bioreg.kyushu-u.ac.jp/M3/20110418/F50984/1610/1", 40.51)</f>
        <v>40.51</v>
      </c>
      <c r="E1177" s="2">
        <v>20.65</v>
      </c>
      <c r="F1177" s="2">
        <v>1</v>
      </c>
      <c r="G1177" s="2" t="s">
        <v>12</v>
      </c>
    </row>
    <row r="1178" spans="1:7" x14ac:dyDescent="0.2">
      <c r="A1178" s="2" t="s">
        <v>3451</v>
      </c>
      <c r="B1178" s="2" t="s">
        <v>590</v>
      </c>
      <c r="C1178" s="2">
        <v>909.95010000000002</v>
      </c>
      <c r="D1178" s="2">
        <f>HYPERLINK("http://mcb-m6.bioreg.kyushu-u.ac.jp/M3/20110418/F50983/2315/1", 41.78)</f>
        <v>41.78</v>
      </c>
      <c r="E1178" s="2">
        <v>26.52</v>
      </c>
      <c r="F1178" s="2">
        <v>2</v>
      </c>
      <c r="G1178" s="2" t="s">
        <v>12</v>
      </c>
    </row>
    <row r="1179" spans="1:7" x14ac:dyDescent="0.2">
      <c r="A1179" s="2" t="s">
        <v>3451</v>
      </c>
      <c r="B1179" s="2" t="s">
        <v>965</v>
      </c>
      <c r="C1179" s="2">
        <v>1021.408</v>
      </c>
      <c r="D1179" s="2">
        <f>HYPERLINK("http://mcb-m6.bioreg.kyushu-u.ac.jp/M3/20110418/F50997/2967/1", 59.96)</f>
        <v>59.96</v>
      </c>
      <c r="E1179" s="2">
        <v>46.66</v>
      </c>
      <c r="F1179" s="2">
        <v>2</v>
      </c>
      <c r="G1179" s="2" t="s">
        <v>12</v>
      </c>
    </row>
    <row r="1180" spans="1:7" x14ac:dyDescent="0.2">
      <c r="A1180" s="2" t="s">
        <v>3451</v>
      </c>
      <c r="B1180" s="2" t="s">
        <v>590</v>
      </c>
      <c r="C1180" s="2">
        <v>909.83370000000002</v>
      </c>
      <c r="D1180" s="2">
        <f>HYPERLINK("http://mcb-m6.bioreg.kyushu-u.ac.jp/M3/20110418/F50984/2410/1", 60.31)</f>
        <v>60.31</v>
      </c>
      <c r="E1180" s="2">
        <v>44.51</v>
      </c>
      <c r="F1180" s="2">
        <v>2</v>
      </c>
      <c r="G1180" s="2" t="s">
        <v>12</v>
      </c>
    </row>
    <row r="1181" spans="1:7" x14ac:dyDescent="0.2">
      <c r="A1181" s="2" t="s">
        <v>3451</v>
      </c>
      <c r="B1181" s="2" t="s">
        <v>434</v>
      </c>
      <c r="C1181" s="2">
        <v>645.70259999999996</v>
      </c>
      <c r="D1181" s="2">
        <f>HYPERLINK("http://mcb-m6.bioreg.kyushu-u.ac.jp/M3/20110418/F50984/1878/1", 60.8)</f>
        <v>60.8</v>
      </c>
      <c r="E1181" s="2">
        <v>26.08</v>
      </c>
      <c r="F1181" s="2">
        <v>2</v>
      </c>
      <c r="G1181" s="2" t="s">
        <v>12</v>
      </c>
    </row>
    <row r="1182" spans="1:7" x14ac:dyDescent="0.2">
      <c r="A1182" s="2" t="s">
        <v>3451</v>
      </c>
      <c r="B1182" s="2" t="s">
        <v>261</v>
      </c>
      <c r="C1182" s="2">
        <v>537.78610000000003</v>
      </c>
      <c r="D1182" s="2">
        <f>HYPERLINK("http://mcb-m6.bioreg.kyushu-u.ac.jp/M3/20110429/F51157/777/1", 35.88)</f>
        <v>35.880000000000003</v>
      </c>
      <c r="E1182" s="2">
        <v>24.42</v>
      </c>
      <c r="F1182" s="2">
        <v>2</v>
      </c>
      <c r="G1182" s="2" t="s">
        <v>13</v>
      </c>
    </row>
    <row r="1183" spans="1:7" x14ac:dyDescent="0.2">
      <c r="A1183" s="2" t="s">
        <v>3451</v>
      </c>
      <c r="B1183" s="2" t="s">
        <v>1735</v>
      </c>
      <c r="C1183" s="2">
        <v>944.38900000000001</v>
      </c>
      <c r="D1183" s="2">
        <f>HYPERLINK("http://mcb-m6.bioreg.kyushu-u.ac.jp/M3/20110429/F51157/557/1", 39.61)</f>
        <v>39.61</v>
      </c>
      <c r="E1183" s="2">
        <v>19.579999999999998</v>
      </c>
      <c r="F1183" s="2">
        <v>1</v>
      </c>
      <c r="G1183" s="2" t="s">
        <v>13</v>
      </c>
    </row>
    <row r="1184" spans="1:7" x14ac:dyDescent="0.2">
      <c r="A1184" s="2" t="s">
        <v>3451</v>
      </c>
      <c r="B1184" s="2" t="s">
        <v>590</v>
      </c>
      <c r="C1184" s="2">
        <v>909.4316</v>
      </c>
      <c r="D1184" s="2">
        <f>HYPERLINK("http://mcb-m6.bioreg.kyushu-u.ac.jp/M3/20110429/F51157/2606/1", 46.69)</f>
        <v>46.69</v>
      </c>
      <c r="E1184" s="2">
        <v>41.07</v>
      </c>
      <c r="F1184" s="2">
        <v>2</v>
      </c>
      <c r="G1184" s="2" t="s">
        <v>13</v>
      </c>
    </row>
    <row r="1185" spans="1:9" x14ac:dyDescent="0.2">
      <c r="A1185" s="2" t="s">
        <v>3451</v>
      </c>
      <c r="B1185" s="2" t="s">
        <v>465</v>
      </c>
      <c r="C1185" s="2">
        <v>876.34100000000001</v>
      </c>
      <c r="D1185" s="2">
        <f>HYPERLINK("http://mcb-m6.bioreg.kyushu-u.ac.jp/M3/20110429/F51157/435/1", 50.84)</f>
        <v>50.84</v>
      </c>
      <c r="E1185" s="2">
        <v>12.78</v>
      </c>
      <c r="F1185" s="2">
        <v>1</v>
      </c>
      <c r="G1185" s="2" t="s">
        <v>13</v>
      </c>
    </row>
    <row r="1186" spans="1:9" x14ac:dyDescent="0.2">
      <c r="A1186" s="2" t="s">
        <v>3451</v>
      </c>
      <c r="B1186" s="2" t="s">
        <v>965</v>
      </c>
      <c r="C1186" s="2">
        <v>1021.989</v>
      </c>
      <c r="D1186" s="2">
        <f>HYPERLINK("http://mcb-m6.bioreg.kyushu-u.ac.jp/M3/20110429/F51157/3105/1", 54.61)</f>
        <v>54.61</v>
      </c>
      <c r="E1186" s="2">
        <v>40.83</v>
      </c>
      <c r="F1186" s="2">
        <v>2</v>
      </c>
      <c r="G1186" s="2" t="s">
        <v>13</v>
      </c>
    </row>
    <row r="1187" spans="1:9" x14ac:dyDescent="0.2">
      <c r="A1187" s="2" t="s">
        <v>3451</v>
      </c>
      <c r="B1187" s="2" t="s">
        <v>965</v>
      </c>
      <c r="C1187" s="2">
        <v>1021.444</v>
      </c>
      <c r="D1187" s="2">
        <f>HYPERLINK("http://mcb-m6.bioreg.kyushu-u.ac.jp/M3/20110429/F51157/3101/1", 70.99)</f>
        <v>70.989999999999995</v>
      </c>
      <c r="E1187" s="2">
        <v>56.31</v>
      </c>
      <c r="F1187" s="2">
        <v>2</v>
      </c>
      <c r="G1187" s="2" t="s">
        <v>13</v>
      </c>
    </row>
    <row r="1188" spans="1:9" x14ac:dyDescent="0.2">
      <c r="A1188" s="2" t="s">
        <v>3451</v>
      </c>
      <c r="B1188" s="2" t="s">
        <v>1584</v>
      </c>
      <c r="C1188" s="2">
        <v>841.14670000000001</v>
      </c>
      <c r="D1188" s="2">
        <f>HYPERLINK("http://mcb-m6.bioreg.kyushu-u.ac.jp/M3/20110429/F51157/2199/1", 87.85)</f>
        <v>87.85</v>
      </c>
      <c r="E1188" s="2">
        <v>66.5</v>
      </c>
      <c r="F1188" s="2">
        <v>2</v>
      </c>
      <c r="G1188" s="2" t="s">
        <v>13</v>
      </c>
      <c r="I1188" s="2" t="s">
        <v>4895</v>
      </c>
    </row>
    <row r="1189" spans="1:9" x14ac:dyDescent="0.2">
      <c r="A1189" s="2" t="s">
        <v>3451</v>
      </c>
      <c r="B1189" s="2" t="s">
        <v>965</v>
      </c>
      <c r="C1189" s="2">
        <v>1022.116</v>
      </c>
      <c r="D1189" s="2">
        <f>HYPERLINK("http://mcb-m6.bioreg.kyushu-u.ac.jp/M3/20110502/F51159/3047/1", 66.09)</f>
        <v>66.09</v>
      </c>
      <c r="E1189" s="2">
        <v>52.34</v>
      </c>
      <c r="F1189" s="2">
        <v>2</v>
      </c>
      <c r="G1189" s="2" t="s">
        <v>14</v>
      </c>
    </row>
    <row r="1190" spans="1:9" x14ac:dyDescent="0.2">
      <c r="A1190" s="2" t="s">
        <v>3451</v>
      </c>
      <c r="B1190" s="2" t="s">
        <v>434</v>
      </c>
      <c r="C1190" s="2">
        <v>645.50959999999998</v>
      </c>
      <c r="D1190" s="2">
        <f>HYPERLINK("http://mcb-m6.bioreg.kyushu-u.ac.jp/M3/20110502/F51159/1592/1", 87)</f>
        <v>87</v>
      </c>
      <c r="E1190" s="2">
        <v>53.55</v>
      </c>
      <c r="F1190" s="2">
        <v>2</v>
      </c>
      <c r="G1190" s="2" t="s">
        <v>14</v>
      </c>
    </row>
    <row r="1191" spans="1:9" x14ac:dyDescent="0.2">
      <c r="A1191" s="2" t="s">
        <v>5612</v>
      </c>
      <c r="B1191" s="2" t="s">
        <v>5008</v>
      </c>
      <c r="C1191" s="2">
        <v>738.18370000000004</v>
      </c>
      <c r="D1191" s="2">
        <f>HYPERLINK("http://mcb-m6.bioreg.kyushu-u.ac.jp/M3/20110318/F50608/1502/1", 37.79)</f>
        <v>37.79</v>
      </c>
      <c r="E1191" s="2">
        <v>16.93</v>
      </c>
      <c r="F1191" s="2">
        <v>2</v>
      </c>
      <c r="G1191" s="2" t="s">
        <v>9</v>
      </c>
      <c r="I1191" s="2" t="s">
        <v>4903</v>
      </c>
    </row>
    <row r="1192" spans="1:9" x14ac:dyDescent="0.2">
      <c r="A1192" s="2" t="s">
        <v>5612</v>
      </c>
      <c r="B1192" s="2" t="s">
        <v>5080</v>
      </c>
      <c r="C1192" s="2">
        <v>673.80319999999995</v>
      </c>
      <c r="D1192" s="2">
        <f>HYPERLINK("http://mcb-m6.bioreg.kyushu-u.ac.jp/M3/20110318/F50608/1300/1", 48.48)</f>
        <v>48.48</v>
      </c>
      <c r="E1192" s="2">
        <v>26.13</v>
      </c>
      <c r="F1192" s="2">
        <v>2</v>
      </c>
      <c r="G1192" s="2" t="s">
        <v>9</v>
      </c>
      <c r="I1192" s="2" t="s">
        <v>4905</v>
      </c>
    </row>
    <row r="1193" spans="1:9" x14ac:dyDescent="0.2">
      <c r="A1193" s="2" t="s">
        <v>5794</v>
      </c>
      <c r="B1193" s="2" t="s">
        <v>5449</v>
      </c>
      <c r="C1193" s="2">
        <v>795.30820000000006</v>
      </c>
      <c r="D1193" s="2">
        <f>HYPERLINK("http://mcb-m6.bioreg.kyushu-u.ac.jp/M3/20110418/F50987/2277/1", 51.51)</f>
        <v>51.51</v>
      </c>
      <c r="E1193" s="2">
        <v>35.78</v>
      </c>
      <c r="F1193" s="2">
        <v>2</v>
      </c>
      <c r="G1193" s="2" t="s">
        <v>12</v>
      </c>
      <c r="H1193" s="2" t="s">
        <v>4896</v>
      </c>
    </row>
    <row r="1194" spans="1:9" x14ac:dyDescent="0.2">
      <c r="A1194" s="2" t="s">
        <v>3870</v>
      </c>
      <c r="B1194" s="2" t="s">
        <v>1006</v>
      </c>
      <c r="C1194" s="2">
        <v>643.44759999999997</v>
      </c>
      <c r="D1194" s="2">
        <f>HYPERLINK("http://mcb-m6.bioreg.kyushu-u.ac.jp/M3/20110318/F50598/1317/1", 38.9)</f>
        <v>38.9</v>
      </c>
      <c r="E1194" s="2">
        <v>18.57</v>
      </c>
      <c r="F1194" s="2">
        <v>2</v>
      </c>
      <c r="G1194" s="2" t="s">
        <v>10</v>
      </c>
    </row>
    <row r="1195" spans="1:9" x14ac:dyDescent="0.2">
      <c r="A1195" s="2" t="s">
        <v>3870</v>
      </c>
      <c r="B1195" s="2" t="s">
        <v>988</v>
      </c>
      <c r="C1195" s="2">
        <v>708.7097</v>
      </c>
      <c r="D1195" s="2">
        <f>HYPERLINK("http://mcb-m6.bioreg.kyushu-u.ac.jp/M3/20110418/F50977/1907/1", 86.42)</f>
        <v>86.42</v>
      </c>
      <c r="E1195" s="2">
        <v>69.31</v>
      </c>
      <c r="F1195" s="2">
        <v>2</v>
      </c>
      <c r="G1195" s="2" t="s">
        <v>11</v>
      </c>
    </row>
    <row r="1196" spans="1:9" x14ac:dyDescent="0.2">
      <c r="A1196" s="2" t="s">
        <v>3870</v>
      </c>
      <c r="B1196" s="2" t="s">
        <v>988</v>
      </c>
      <c r="C1196" s="2">
        <v>708.89319999999998</v>
      </c>
      <c r="D1196" s="2">
        <f>HYPERLINK("http://mcb-m6.bioreg.kyushu-u.ac.jp/M3/20110428/F51140/1784/1", 63.73)</f>
        <v>63.73</v>
      </c>
      <c r="E1196" s="2">
        <v>39.880000000000003</v>
      </c>
      <c r="F1196" s="2">
        <v>2</v>
      </c>
      <c r="G1196" s="2" t="s">
        <v>14</v>
      </c>
    </row>
    <row r="1197" spans="1:9" x14ac:dyDescent="0.2">
      <c r="A1197" s="2" t="s">
        <v>3870</v>
      </c>
      <c r="B1197" s="2" t="s">
        <v>988</v>
      </c>
      <c r="C1197" s="2">
        <v>708.38120000000004</v>
      </c>
      <c r="D1197" s="2">
        <f>HYPERLINK("http://mcb-m6.bioreg.kyushu-u.ac.jp/M3/20110428/F51140/1782/1", 99.23)</f>
        <v>99.23</v>
      </c>
      <c r="E1197" s="2">
        <v>81.67</v>
      </c>
      <c r="F1197" s="2">
        <v>2</v>
      </c>
      <c r="G1197" s="2" t="s">
        <v>14</v>
      </c>
    </row>
    <row r="1198" spans="1:9" x14ac:dyDescent="0.2">
      <c r="A1198" s="2" t="s">
        <v>4042</v>
      </c>
      <c r="B1198" s="2" t="s">
        <v>5285</v>
      </c>
      <c r="C1198" s="2">
        <v>715.40219999999999</v>
      </c>
      <c r="D1198" s="2">
        <f>HYPERLINK("http://mcb-m6.bioreg.kyushu-u.ac.jp/M3/20110318/F50611/1529/1", 47.23)</f>
        <v>47.23</v>
      </c>
      <c r="E1198" s="2">
        <v>25.27</v>
      </c>
      <c r="F1198" s="2">
        <v>2</v>
      </c>
      <c r="G1198" s="2" t="s">
        <v>10</v>
      </c>
    </row>
    <row r="1199" spans="1:9" x14ac:dyDescent="0.2">
      <c r="A1199" s="2" t="s">
        <v>3845</v>
      </c>
      <c r="B1199" s="2" t="s">
        <v>5478</v>
      </c>
      <c r="C1199" s="2">
        <v>677.84370000000001</v>
      </c>
      <c r="D1199" s="2">
        <f>HYPERLINK("http://mcb-m6.bioreg.kyushu-u.ac.jp/M3/20110429/F51149/1861/1", 37.75)</f>
        <v>37.75</v>
      </c>
      <c r="E1199" s="2">
        <v>21.79</v>
      </c>
      <c r="F1199" s="2">
        <v>2</v>
      </c>
      <c r="G1199" s="2" t="s">
        <v>13</v>
      </c>
    </row>
    <row r="1200" spans="1:9" x14ac:dyDescent="0.2">
      <c r="A1200" s="2" t="s">
        <v>5689</v>
      </c>
      <c r="B1200" s="2" t="s">
        <v>5220</v>
      </c>
      <c r="C1200" s="2">
        <v>503.85660000000001</v>
      </c>
      <c r="D1200" s="2">
        <f>HYPERLINK("http://mcb-m6.bioreg.kyushu-u.ac.jp/M3/20110318/F50613/924/1", 36.54)</f>
        <v>36.54</v>
      </c>
      <c r="E1200" s="2">
        <v>13.01</v>
      </c>
      <c r="F1200" s="2">
        <v>2</v>
      </c>
      <c r="G1200" s="2" t="s">
        <v>10</v>
      </c>
      <c r="H1200" s="2" t="s">
        <v>4908</v>
      </c>
    </row>
    <row r="1201" spans="1:8" x14ac:dyDescent="0.2">
      <c r="A1201" s="2" t="s">
        <v>5683</v>
      </c>
      <c r="B1201" s="2" t="s">
        <v>5208</v>
      </c>
      <c r="C1201" s="2">
        <v>712.15170000000001</v>
      </c>
      <c r="D1201" s="2">
        <f>HYPERLINK("http://mcb-m6.bioreg.kyushu-u.ac.jp/M3/20110318/F50611/1508/1", 35.47)</f>
        <v>35.47</v>
      </c>
      <c r="E1201" s="2">
        <v>9.39</v>
      </c>
      <c r="F1201" s="2">
        <v>2</v>
      </c>
      <c r="G1201" s="2" t="s">
        <v>10</v>
      </c>
    </row>
    <row r="1202" spans="1:8" x14ac:dyDescent="0.2">
      <c r="A1202" s="2" t="s">
        <v>5683</v>
      </c>
      <c r="B1202" s="2" t="s">
        <v>5284</v>
      </c>
      <c r="C1202" s="2">
        <v>493.35910000000001</v>
      </c>
      <c r="D1202" s="2">
        <f>HYPERLINK("http://mcb-m6.bioreg.kyushu-u.ac.jp/M3/20110318/F50596/1002/1", 47.04)</f>
        <v>47.04</v>
      </c>
      <c r="E1202" s="2">
        <v>27.08</v>
      </c>
      <c r="F1202" s="2">
        <v>2</v>
      </c>
      <c r="G1202" s="2" t="s">
        <v>10</v>
      </c>
    </row>
    <row r="1203" spans="1:8" x14ac:dyDescent="0.2">
      <c r="A1203" s="2" t="s">
        <v>5683</v>
      </c>
      <c r="B1203" s="2" t="s">
        <v>5208</v>
      </c>
      <c r="C1203" s="2">
        <v>711.87159999999994</v>
      </c>
      <c r="D1203" s="2">
        <f>HYPERLINK("http://mcb-m6.bioreg.kyushu-u.ac.jp/M3/20110318/F50596/1507/1", 60.83)</f>
        <v>60.83</v>
      </c>
      <c r="E1203" s="2">
        <v>45.91</v>
      </c>
      <c r="F1203" s="2">
        <v>2</v>
      </c>
      <c r="G1203" s="2" t="s">
        <v>10</v>
      </c>
    </row>
    <row r="1204" spans="1:8" x14ac:dyDescent="0.2">
      <c r="A1204" s="2" t="s">
        <v>5683</v>
      </c>
      <c r="B1204" s="2" t="s">
        <v>5208</v>
      </c>
      <c r="C1204" s="2">
        <v>712.06269999999995</v>
      </c>
      <c r="D1204" s="2">
        <f>HYPERLINK("http://mcb-m6.bioreg.kyushu-u.ac.jp/M3/20110418/F50988/1970/1", 60.76)</f>
        <v>60.76</v>
      </c>
      <c r="E1204" s="2">
        <v>45.82</v>
      </c>
      <c r="F1204" s="2">
        <v>2</v>
      </c>
      <c r="G1204" s="2" t="s">
        <v>12</v>
      </c>
    </row>
    <row r="1205" spans="1:8" x14ac:dyDescent="0.2">
      <c r="A1205" s="2" t="s">
        <v>5683</v>
      </c>
      <c r="B1205" s="2" t="s">
        <v>5490</v>
      </c>
      <c r="C1205" s="2">
        <v>493.22519999999997</v>
      </c>
      <c r="D1205" s="2">
        <f>HYPERLINK("http://mcb-m6.bioreg.kyushu-u.ac.jp/M3/20110429/F51154/1995/1", 39.31)</f>
        <v>39.31</v>
      </c>
      <c r="E1205" s="2">
        <v>25.69</v>
      </c>
      <c r="F1205" s="2">
        <v>3</v>
      </c>
      <c r="G1205" s="2" t="s">
        <v>13</v>
      </c>
    </row>
    <row r="1206" spans="1:8" x14ac:dyDescent="0.2">
      <c r="A1206" s="2" t="s">
        <v>5683</v>
      </c>
      <c r="B1206" s="2" t="s">
        <v>5284</v>
      </c>
      <c r="C1206" s="2">
        <v>493.80160000000001</v>
      </c>
      <c r="D1206" s="2">
        <f>HYPERLINK("http://mcb-m6.bioreg.kyushu-u.ac.jp/M3/20110429/F51154/707/1", 46.23)</f>
        <v>46.23</v>
      </c>
      <c r="E1206" s="2">
        <v>28.3</v>
      </c>
      <c r="F1206" s="2">
        <v>2</v>
      </c>
      <c r="G1206" s="2" t="s">
        <v>13</v>
      </c>
    </row>
    <row r="1207" spans="1:8" x14ac:dyDescent="0.2">
      <c r="A1207" s="2" t="s">
        <v>5683</v>
      </c>
      <c r="B1207" s="2" t="s">
        <v>5284</v>
      </c>
      <c r="C1207" s="2">
        <v>493.2251</v>
      </c>
      <c r="D1207" s="2">
        <f>HYPERLINK("http://mcb-m6.bioreg.kyushu-u.ac.jp/M3/20110429/F51154/706/1", 54.02)</f>
        <v>54.02</v>
      </c>
      <c r="E1207" s="2">
        <v>23.8</v>
      </c>
      <c r="F1207" s="2">
        <v>2</v>
      </c>
      <c r="G1207" s="2" t="s">
        <v>13</v>
      </c>
    </row>
    <row r="1208" spans="1:8" x14ac:dyDescent="0.2">
      <c r="A1208" s="2" t="s">
        <v>4411</v>
      </c>
      <c r="B1208" s="2" t="s">
        <v>2479</v>
      </c>
      <c r="C1208" s="2">
        <v>586.88070000000005</v>
      </c>
      <c r="D1208" s="2">
        <f>HYPERLINK("http://mcb-m6.bioreg.kyushu-u.ac.jp/M3/20110318/F50600/1217/1", 92.5)</f>
        <v>92.5</v>
      </c>
      <c r="E1208" s="2">
        <v>72.760000000000005</v>
      </c>
      <c r="F1208" s="2">
        <v>2</v>
      </c>
      <c r="G1208" s="2" t="s">
        <v>10</v>
      </c>
    </row>
    <row r="1209" spans="1:8" x14ac:dyDescent="0.2">
      <c r="A1209" s="2" t="s">
        <v>4411</v>
      </c>
      <c r="B1209" s="2" t="s">
        <v>5483</v>
      </c>
      <c r="C1209" s="2">
        <v>542.37459999999999</v>
      </c>
      <c r="D1209" s="2">
        <f>HYPERLINK("http://mcb-m6.bioreg.kyushu-u.ac.jp/M3/20110429/F51149/1552/1", 38.31)</f>
        <v>38.31</v>
      </c>
      <c r="E1209" s="2">
        <v>22.46</v>
      </c>
      <c r="F1209" s="2">
        <v>2</v>
      </c>
      <c r="G1209" s="2" t="s">
        <v>13</v>
      </c>
    </row>
    <row r="1210" spans="1:8" x14ac:dyDescent="0.2">
      <c r="A1210" s="2" t="s">
        <v>4411</v>
      </c>
      <c r="B1210" s="2" t="s">
        <v>2266</v>
      </c>
      <c r="C1210" s="2">
        <v>556.40920000000006</v>
      </c>
      <c r="D1210" s="2">
        <f>HYPERLINK("http://mcb-m6.bioreg.kyushu-u.ac.jp/M3/20110429/F51149/1591/1", 47.75)</f>
        <v>47.75</v>
      </c>
      <c r="E1210" s="2">
        <v>25.29</v>
      </c>
      <c r="F1210" s="2">
        <v>2</v>
      </c>
      <c r="G1210" s="2" t="s">
        <v>13</v>
      </c>
    </row>
    <row r="1211" spans="1:8" x14ac:dyDescent="0.2">
      <c r="A1211" s="2" t="s">
        <v>4411</v>
      </c>
      <c r="B1211" s="2" t="s">
        <v>2479</v>
      </c>
      <c r="C1211" s="2">
        <v>586.80870000000004</v>
      </c>
      <c r="D1211" s="2">
        <f>HYPERLINK("http://mcb-m6.bioreg.kyushu-u.ac.jp/M3/20110429/F51149/1664/1", 81.31)</f>
        <v>81.31</v>
      </c>
      <c r="E1211" s="2">
        <v>57.61</v>
      </c>
      <c r="F1211" s="2">
        <v>2</v>
      </c>
      <c r="G1211" s="2" t="s">
        <v>13</v>
      </c>
    </row>
    <row r="1212" spans="1:8" x14ac:dyDescent="0.2">
      <c r="A1212" s="2" t="s">
        <v>3343</v>
      </c>
      <c r="B1212" s="2" t="s">
        <v>1002</v>
      </c>
      <c r="C1212" s="2">
        <v>765.31290000000001</v>
      </c>
      <c r="D1212" s="2">
        <f>HYPERLINK("http://mcb-m6.bioreg.kyushu-u.ac.jp/M3/20110318/F50621/2516/1", 36.33)</f>
        <v>36.33</v>
      </c>
      <c r="E1212" s="2">
        <v>23.3</v>
      </c>
      <c r="F1212" s="2">
        <v>3</v>
      </c>
      <c r="G1212" s="2" t="s">
        <v>9</v>
      </c>
    </row>
    <row r="1213" spans="1:8" x14ac:dyDescent="0.2">
      <c r="A1213" s="2" t="s">
        <v>3343</v>
      </c>
      <c r="B1213" s="2" t="s">
        <v>1032</v>
      </c>
      <c r="C1213" s="2">
        <v>770.54549999999995</v>
      </c>
      <c r="D1213" s="2">
        <f>HYPERLINK("http://mcb-m6.bioreg.kyushu-u.ac.jp/M3/20110318/F50620/2914/1", 36.43)</f>
        <v>36.43</v>
      </c>
      <c r="E1213" s="2">
        <v>18.89</v>
      </c>
      <c r="F1213" s="2">
        <v>3</v>
      </c>
      <c r="G1213" s="2" t="s">
        <v>9</v>
      </c>
      <c r="H1213" s="2" t="s">
        <v>4904</v>
      </c>
    </row>
    <row r="1214" spans="1:8" x14ac:dyDescent="0.2">
      <c r="A1214" s="2" t="s">
        <v>3343</v>
      </c>
      <c r="B1214" s="2" t="s">
        <v>210</v>
      </c>
      <c r="C1214" s="2">
        <v>1092.328</v>
      </c>
      <c r="D1214" s="2">
        <f>HYPERLINK("http://mcb-m6.bioreg.kyushu-u.ac.jp/M3/20110318/F50620/1091/1", 36.88)</f>
        <v>36.880000000000003</v>
      </c>
      <c r="E1214" s="2">
        <v>12.69</v>
      </c>
      <c r="F1214" s="2">
        <v>1</v>
      </c>
      <c r="G1214" s="2" t="s">
        <v>9</v>
      </c>
    </row>
    <row r="1215" spans="1:8" x14ac:dyDescent="0.2">
      <c r="A1215" s="2" t="s">
        <v>3343</v>
      </c>
      <c r="B1215" s="2" t="s">
        <v>132</v>
      </c>
      <c r="C1215" s="2">
        <v>1155.4939999999999</v>
      </c>
      <c r="D1215" s="2">
        <f>HYPERLINK("http://mcb-m6.bioreg.kyushu-u.ac.jp/M3/20110318/F50621/1162/1", 37.12)</f>
        <v>37.119999999999997</v>
      </c>
      <c r="E1215" s="2">
        <v>9.15</v>
      </c>
      <c r="F1215" s="2">
        <v>1</v>
      </c>
      <c r="G1215" s="2" t="s">
        <v>9</v>
      </c>
    </row>
    <row r="1216" spans="1:8" x14ac:dyDescent="0.2">
      <c r="A1216" s="2" t="s">
        <v>3343</v>
      </c>
      <c r="B1216" s="2" t="s">
        <v>132</v>
      </c>
      <c r="C1216" s="2">
        <v>1155.752</v>
      </c>
      <c r="D1216" s="2">
        <f>HYPERLINK("http://mcb-m6.bioreg.kyushu-u.ac.jp/M3/20110318/F50607/1140/1", 37.31)</f>
        <v>37.31</v>
      </c>
      <c r="E1216" s="2">
        <v>15.34</v>
      </c>
      <c r="F1216" s="2">
        <v>1</v>
      </c>
      <c r="G1216" s="2" t="s">
        <v>9</v>
      </c>
    </row>
    <row r="1217" spans="1:8" x14ac:dyDescent="0.2">
      <c r="A1217" s="2" t="s">
        <v>3343</v>
      </c>
      <c r="B1217" s="2" t="s">
        <v>428</v>
      </c>
      <c r="C1217" s="2">
        <v>451.25709999999998</v>
      </c>
      <c r="D1217" s="2">
        <f>HYPERLINK("http://mcb-m6.bioreg.kyushu-u.ac.jp/M3/20110318/F50618/641/1", 37.39)</f>
        <v>37.39</v>
      </c>
      <c r="E1217" s="2">
        <v>14.23</v>
      </c>
      <c r="F1217" s="2">
        <v>2</v>
      </c>
      <c r="G1217" s="2" t="s">
        <v>9</v>
      </c>
    </row>
    <row r="1218" spans="1:8" x14ac:dyDescent="0.2">
      <c r="A1218" s="2" t="s">
        <v>3343</v>
      </c>
      <c r="B1218" s="2" t="s">
        <v>132</v>
      </c>
      <c r="C1218" s="2">
        <v>578.53970000000004</v>
      </c>
      <c r="D1218" s="2">
        <f>HYPERLINK("http://mcb-m6.bioreg.kyushu-u.ac.jp/M3/20110318/F50606/1024/1", 37.78)</f>
        <v>37.78</v>
      </c>
      <c r="E1218" s="2">
        <v>19.489999999999998</v>
      </c>
      <c r="F1218" s="2">
        <v>2</v>
      </c>
      <c r="G1218" s="2" t="s">
        <v>9</v>
      </c>
    </row>
    <row r="1219" spans="1:8" x14ac:dyDescent="0.2">
      <c r="A1219" s="2" t="s">
        <v>3343</v>
      </c>
      <c r="B1219" s="2" t="s">
        <v>704</v>
      </c>
      <c r="C1219" s="2">
        <v>1220.31</v>
      </c>
      <c r="D1219" s="2">
        <f>HYPERLINK("http://mcb-m6.bioreg.kyushu-u.ac.jp/M3/20110318/F50620/1267/1", 37.86)</f>
        <v>37.86</v>
      </c>
      <c r="E1219" s="2">
        <v>18.73</v>
      </c>
      <c r="F1219" s="2">
        <v>1</v>
      </c>
      <c r="G1219" s="2" t="s">
        <v>9</v>
      </c>
      <c r="H1219" s="2" t="s">
        <v>4908</v>
      </c>
    </row>
    <row r="1220" spans="1:8" x14ac:dyDescent="0.2">
      <c r="A1220" s="2" t="s">
        <v>3343</v>
      </c>
      <c r="B1220" s="2" t="s">
        <v>297</v>
      </c>
      <c r="C1220" s="2">
        <v>1186.24</v>
      </c>
      <c r="D1220" s="2">
        <f>HYPERLINK("http://mcb-m6.bioreg.kyushu-u.ac.jp/M3/20110318/F50620/1217/1", 37.91)</f>
        <v>37.909999999999997</v>
      </c>
      <c r="E1220" s="2">
        <v>23.53</v>
      </c>
      <c r="F1220" s="2">
        <v>1</v>
      </c>
      <c r="G1220" s="2" t="s">
        <v>9</v>
      </c>
    </row>
    <row r="1221" spans="1:8" x14ac:dyDescent="0.2">
      <c r="A1221" s="2" t="s">
        <v>3343</v>
      </c>
      <c r="B1221" s="2" t="s">
        <v>325</v>
      </c>
      <c r="C1221" s="2">
        <v>739.2482</v>
      </c>
      <c r="D1221" s="2">
        <f>HYPERLINK("http://mcb-m6.bioreg.kyushu-u.ac.jp/M3/20110318/F50618/1584/1", 38.17)</f>
        <v>38.17</v>
      </c>
      <c r="E1221" s="2">
        <v>18.8</v>
      </c>
      <c r="F1221" s="2">
        <v>2</v>
      </c>
      <c r="G1221" s="2" t="s">
        <v>9</v>
      </c>
    </row>
    <row r="1222" spans="1:8" x14ac:dyDescent="0.2">
      <c r="A1222" s="2" t="s">
        <v>3343</v>
      </c>
      <c r="B1222" s="2" t="s">
        <v>1002</v>
      </c>
      <c r="C1222" s="2">
        <v>765.45119999999997</v>
      </c>
      <c r="D1222" s="2">
        <f>HYPERLINK("http://mcb-m6.bioreg.kyushu-u.ac.jp/M3/20110318/F50607/2581/1", 38.73)</f>
        <v>38.729999999999997</v>
      </c>
      <c r="E1222" s="2">
        <v>24.97</v>
      </c>
      <c r="F1222" s="2">
        <v>3</v>
      </c>
      <c r="G1222" s="2" t="s">
        <v>9</v>
      </c>
    </row>
    <row r="1223" spans="1:8" x14ac:dyDescent="0.2">
      <c r="A1223" s="2" t="s">
        <v>3343</v>
      </c>
      <c r="B1223" s="2" t="s">
        <v>210</v>
      </c>
      <c r="C1223" s="2">
        <v>1108.2070000000001</v>
      </c>
      <c r="D1223" s="2">
        <f>HYPERLINK("http://mcb-m6.bioreg.kyushu-u.ac.jp/M3/20110318/F50620/1103/1", 38.81)</f>
        <v>38.81</v>
      </c>
      <c r="E1223" s="2">
        <v>20.190000000000001</v>
      </c>
      <c r="F1223" s="2">
        <v>1</v>
      </c>
      <c r="G1223" s="2" t="s">
        <v>9</v>
      </c>
      <c r="H1223" s="2" t="s">
        <v>4910</v>
      </c>
    </row>
    <row r="1224" spans="1:8" x14ac:dyDescent="0.2">
      <c r="A1224" s="2" t="s">
        <v>3343</v>
      </c>
      <c r="B1224" s="2" t="s">
        <v>704</v>
      </c>
      <c r="C1224" s="2">
        <v>611.01509999999996</v>
      </c>
      <c r="D1224" s="2">
        <f>HYPERLINK("http://mcb-m6.bioreg.kyushu-u.ac.jp/M3/20110318/F50610/1449/1", 39.21)</f>
        <v>39.21</v>
      </c>
      <c r="E1224" s="2">
        <v>11.36</v>
      </c>
      <c r="F1224" s="2">
        <v>2</v>
      </c>
      <c r="G1224" s="2" t="s">
        <v>9</v>
      </c>
      <c r="H1224" s="2" t="s">
        <v>4908</v>
      </c>
    </row>
    <row r="1225" spans="1:8" x14ac:dyDescent="0.2">
      <c r="A1225" s="2" t="s">
        <v>3343</v>
      </c>
      <c r="B1225" s="2" t="s">
        <v>428</v>
      </c>
      <c r="C1225" s="2">
        <v>451.96010000000001</v>
      </c>
      <c r="D1225" s="2">
        <f>HYPERLINK("http://mcb-m6.bioreg.kyushu-u.ac.jp/M3/20110318/F50620/836/1", 39.42)</f>
        <v>39.42</v>
      </c>
      <c r="E1225" s="2">
        <v>15.25</v>
      </c>
      <c r="F1225" s="2">
        <v>2</v>
      </c>
      <c r="G1225" s="2" t="s">
        <v>9</v>
      </c>
    </row>
    <row r="1226" spans="1:8" x14ac:dyDescent="0.2">
      <c r="A1226" s="2" t="s">
        <v>3343</v>
      </c>
      <c r="B1226" s="2" t="s">
        <v>132</v>
      </c>
      <c r="C1226" s="2">
        <v>578.86569999999995</v>
      </c>
      <c r="D1226" s="2">
        <f>HYPERLINK("http://mcb-m6.bioreg.kyushu-u.ac.jp/M3/20110318/F50620/1175/1", 39.53)</f>
        <v>39.53</v>
      </c>
      <c r="E1226" s="2">
        <v>23.2</v>
      </c>
      <c r="F1226" s="2">
        <v>2</v>
      </c>
      <c r="G1226" s="2" t="s">
        <v>9</v>
      </c>
    </row>
    <row r="1227" spans="1:8" x14ac:dyDescent="0.2">
      <c r="A1227" s="2" t="s">
        <v>3343</v>
      </c>
      <c r="B1227" s="2" t="s">
        <v>509</v>
      </c>
      <c r="C1227" s="2">
        <v>725.42769999999996</v>
      </c>
      <c r="D1227" s="2">
        <f>HYPERLINK("http://mcb-m6.bioreg.kyushu-u.ac.jp/M3/20110318/F50618/1500/1", 40.08)</f>
        <v>40.08</v>
      </c>
      <c r="E1227" s="2">
        <v>26.15</v>
      </c>
      <c r="F1227" s="2">
        <v>2</v>
      </c>
      <c r="G1227" s="2" t="s">
        <v>9</v>
      </c>
      <c r="H1227" s="2" t="s">
        <v>4927</v>
      </c>
    </row>
    <row r="1228" spans="1:8" x14ac:dyDescent="0.2">
      <c r="A1228" s="2" t="s">
        <v>3343</v>
      </c>
      <c r="B1228" s="2" t="s">
        <v>297</v>
      </c>
      <c r="C1228" s="2">
        <v>593.77009999999996</v>
      </c>
      <c r="D1228" s="2">
        <f>HYPERLINK("http://mcb-m6.bioreg.kyushu-u.ac.jp/M3/20110318/F50620/1218/1", 40.41)</f>
        <v>40.409999999999997</v>
      </c>
      <c r="E1228" s="2">
        <v>15.27</v>
      </c>
      <c r="F1228" s="2">
        <v>2</v>
      </c>
      <c r="G1228" s="2" t="s">
        <v>9</v>
      </c>
    </row>
    <row r="1229" spans="1:8" x14ac:dyDescent="0.2">
      <c r="A1229" s="2" t="s">
        <v>3343</v>
      </c>
      <c r="B1229" s="2" t="s">
        <v>325</v>
      </c>
      <c r="C1229" s="2">
        <v>739.7867</v>
      </c>
      <c r="D1229" s="2">
        <f>HYPERLINK("http://mcb-m6.bioreg.kyushu-u.ac.jp/M3/20110318/F50609/1587/1", 40.99)</f>
        <v>40.99</v>
      </c>
      <c r="E1229" s="2">
        <v>24.92</v>
      </c>
      <c r="F1229" s="2">
        <v>2</v>
      </c>
      <c r="G1229" s="2" t="s">
        <v>9</v>
      </c>
    </row>
    <row r="1230" spans="1:8" x14ac:dyDescent="0.2">
      <c r="A1230" s="2" t="s">
        <v>3343</v>
      </c>
      <c r="B1230" s="2" t="s">
        <v>546</v>
      </c>
      <c r="C1230" s="2">
        <v>665.27009999999996</v>
      </c>
      <c r="D1230" s="2">
        <f>HYPERLINK("http://mcb-m6.bioreg.kyushu-u.ac.jp/M3/20110318/F50620/1376/2", 41.35)</f>
        <v>41.35</v>
      </c>
      <c r="E1230" s="2">
        <v>21.28</v>
      </c>
      <c r="F1230" s="2">
        <v>2</v>
      </c>
      <c r="G1230" s="2" t="s">
        <v>9</v>
      </c>
    </row>
    <row r="1231" spans="1:8" x14ac:dyDescent="0.2">
      <c r="A1231" s="2" t="s">
        <v>3343</v>
      </c>
      <c r="B1231" s="2" t="s">
        <v>1032</v>
      </c>
      <c r="C1231" s="2">
        <v>1163.7929999999999</v>
      </c>
      <c r="D1231" s="2">
        <f>HYPERLINK("http://mcb-m6.bioreg.kyushu-u.ac.jp/M3/20110318/F50618/3127/1", 42.86)</f>
        <v>42.86</v>
      </c>
      <c r="E1231" s="2">
        <v>36.46</v>
      </c>
      <c r="F1231" s="2">
        <v>2</v>
      </c>
      <c r="G1231" s="2" t="s">
        <v>9</v>
      </c>
    </row>
    <row r="1232" spans="1:8" x14ac:dyDescent="0.2">
      <c r="A1232" s="2" t="s">
        <v>3343</v>
      </c>
      <c r="B1232" s="2" t="s">
        <v>443</v>
      </c>
      <c r="C1232" s="2">
        <v>509.35359999999997</v>
      </c>
      <c r="D1232" s="2">
        <f>HYPERLINK("http://mcb-m6.bioreg.kyushu-u.ac.jp/M3/20110318/F50620/1012/1", 43.01)</f>
        <v>43.01</v>
      </c>
      <c r="E1232" s="2">
        <v>17.02</v>
      </c>
      <c r="F1232" s="2">
        <v>2</v>
      </c>
      <c r="G1232" s="2" t="s">
        <v>9</v>
      </c>
    </row>
    <row r="1233" spans="1:8" x14ac:dyDescent="0.2">
      <c r="A1233" s="2" t="s">
        <v>3343</v>
      </c>
      <c r="B1233" s="2" t="s">
        <v>1032</v>
      </c>
      <c r="C1233" s="2">
        <v>1163.8610000000001</v>
      </c>
      <c r="D1233" s="2">
        <f>HYPERLINK("http://mcb-m6.bioreg.kyushu-u.ac.jp/M3/20110318/F50619/2767/1", 43.74)</f>
        <v>43.74</v>
      </c>
      <c r="E1233" s="2">
        <v>34.32</v>
      </c>
      <c r="F1233" s="2">
        <v>2</v>
      </c>
      <c r="G1233" s="2" t="s">
        <v>9</v>
      </c>
    </row>
    <row r="1234" spans="1:8" x14ac:dyDescent="0.2">
      <c r="A1234" s="2" t="s">
        <v>3343</v>
      </c>
      <c r="B1234" s="2" t="s">
        <v>132</v>
      </c>
      <c r="C1234" s="2">
        <v>1155.4190000000001</v>
      </c>
      <c r="D1234" s="2">
        <f>HYPERLINK("http://mcb-m6.bioreg.kyushu-u.ac.jp/M3/20110318/F50620/1165/1", 44.58)</f>
        <v>44.58</v>
      </c>
      <c r="E1234" s="2">
        <v>18.3</v>
      </c>
      <c r="F1234" s="2">
        <v>1</v>
      </c>
      <c r="G1234" s="2" t="s">
        <v>9</v>
      </c>
    </row>
    <row r="1235" spans="1:8" x14ac:dyDescent="0.2">
      <c r="A1235" s="2" t="s">
        <v>3343</v>
      </c>
      <c r="B1235" s="2" t="s">
        <v>509</v>
      </c>
      <c r="C1235" s="2">
        <v>716.76260000000002</v>
      </c>
      <c r="D1235" s="2">
        <f>HYPERLINK("http://mcb-m6.bioreg.kyushu-u.ac.jp/M3/20110318/F50621/1437/1", 44.81)</f>
        <v>44.81</v>
      </c>
      <c r="E1235" s="2">
        <v>25.81</v>
      </c>
      <c r="F1235" s="2">
        <v>2</v>
      </c>
      <c r="G1235" s="2" t="s">
        <v>9</v>
      </c>
      <c r="H1235" s="2" t="s">
        <v>4931</v>
      </c>
    </row>
    <row r="1236" spans="1:8" x14ac:dyDescent="0.2">
      <c r="A1236" s="2" t="s">
        <v>3343</v>
      </c>
      <c r="B1236" s="2" t="s">
        <v>1032</v>
      </c>
      <c r="C1236" s="2">
        <v>1164.008</v>
      </c>
      <c r="D1236" s="2">
        <f>HYPERLINK("http://mcb-m6.bioreg.kyushu-u.ac.jp/M3/20110318/F50620/2955/1", 44.87)</f>
        <v>44.87</v>
      </c>
      <c r="E1236" s="2">
        <v>35.92</v>
      </c>
      <c r="F1236" s="2">
        <v>2</v>
      </c>
      <c r="G1236" s="2" t="s">
        <v>9</v>
      </c>
    </row>
    <row r="1237" spans="1:8" x14ac:dyDescent="0.2">
      <c r="A1237" s="2" t="s">
        <v>3343</v>
      </c>
      <c r="B1237" s="2" t="s">
        <v>325</v>
      </c>
      <c r="C1237" s="2">
        <v>746.80110000000002</v>
      </c>
      <c r="D1237" s="2">
        <f>HYPERLINK("http://mcb-m6.bioreg.kyushu-u.ac.jp/M3/20110318/F50620/1667/1", 45.86)</f>
        <v>45.86</v>
      </c>
      <c r="E1237" s="2">
        <v>37.909999999999997</v>
      </c>
      <c r="F1237" s="2">
        <v>2</v>
      </c>
      <c r="G1237" s="2" t="s">
        <v>9</v>
      </c>
      <c r="H1237" s="2" t="s">
        <v>4925</v>
      </c>
    </row>
    <row r="1238" spans="1:8" x14ac:dyDescent="0.2">
      <c r="A1238" s="2" t="s">
        <v>3343</v>
      </c>
      <c r="B1238" s="2" t="s">
        <v>428</v>
      </c>
      <c r="C1238" s="2">
        <v>451.8501</v>
      </c>
      <c r="D1238" s="2">
        <f>HYPERLINK("http://mcb-m6.bioreg.kyushu-u.ac.jp/M3/20110318/F50620/833/1", 46.25)</f>
        <v>46.25</v>
      </c>
      <c r="E1238" s="2">
        <v>17.77</v>
      </c>
      <c r="F1238" s="2">
        <v>2</v>
      </c>
      <c r="G1238" s="2" t="s">
        <v>9</v>
      </c>
    </row>
    <row r="1239" spans="1:8" x14ac:dyDescent="0.2">
      <c r="A1239" s="2" t="s">
        <v>3343</v>
      </c>
      <c r="B1239" s="2" t="s">
        <v>428</v>
      </c>
      <c r="C1239" s="2">
        <v>452.11059999999998</v>
      </c>
      <c r="D1239" s="2">
        <f>HYPERLINK("http://mcb-m6.bioreg.kyushu-u.ac.jp/M3/20110318/F50607/844/1", 46.7)</f>
        <v>46.7</v>
      </c>
      <c r="E1239" s="2">
        <v>18.28</v>
      </c>
      <c r="F1239" s="2">
        <v>2</v>
      </c>
      <c r="G1239" s="2" t="s">
        <v>9</v>
      </c>
    </row>
    <row r="1240" spans="1:8" x14ac:dyDescent="0.2">
      <c r="A1240" s="2" t="s">
        <v>3343</v>
      </c>
      <c r="B1240" s="2" t="s">
        <v>704</v>
      </c>
      <c r="C1240" s="2">
        <v>610.80409999999995</v>
      </c>
      <c r="D1240" s="2">
        <f>HYPERLINK("http://mcb-m6.bioreg.kyushu-u.ac.jp/M3/20110318/F50621/1206/1", 47.01)</f>
        <v>47.01</v>
      </c>
      <c r="E1240" s="2">
        <v>19.04</v>
      </c>
      <c r="F1240" s="2">
        <v>2</v>
      </c>
      <c r="G1240" s="2" t="s">
        <v>9</v>
      </c>
      <c r="H1240" s="2" t="s">
        <v>4908</v>
      </c>
    </row>
    <row r="1241" spans="1:8" x14ac:dyDescent="0.2">
      <c r="A1241" s="2" t="s">
        <v>3343</v>
      </c>
      <c r="B1241" s="2" t="s">
        <v>328</v>
      </c>
      <c r="C1241" s="2">
        <v>574.03769999999997</v>
      </c>
      <c r="D1241" s="2">
        <f>HYPERLINK("http://mcb-m6.bioreg.kyushu-u.ac.jp/M3/20110318/F50621/1157/1", 47.31)</f>
        <v>47.31</v>
      </c>
      <c r="E1241" s="2">
        <v>18.920000000000002</v>
      </c>
      <c r="F1241" s="2">
        <v>2</v>
      </c>
      <c r="G1241" s="2" t="s">
        <v>9</v>
      </c>
    </row>
    <row r="1242" spans="1:8" x14ac:dyDescent="0.2">
      <c r="A1242" s="2" t="s">
        <v>3343</v>
      </c>
      <c r="B1242" s="2" t="s">
        <v>558</v>
      </c>
      <c r="C1242" s="2">
        <v>1457.4549999999999</v>
      </c>
      <c r="D1242" s="2">
        <f>HYPERLINK("http://mcb-m6.bioreg.kyushu-u.ac.jp/M3/20110318/F50620/1558/1", 48.46)</f>
        <v>48.46</v>
      </c>
      <c r="E1242" s="2">
        <v>32.090000000000003</v>
      </c>
      <c r="F1242" s="2">
        <v>1</v>
      </c>
      <c r="G1242" s="2" t="s">
        <v>9</v>
      </c>
    </row>
    <row r="1243" spans="1:8" x14ac:dyDescent="0.2">
      <c r="A1243" s="2" t="s">
        <v>3343</v>
      </c>
      <c r="B1243" s="2" t="s">
        <v>344</v>
      </c>
      <c r="C1243" s="2">
        <v>919.82259999999997</v>
      </c>
      <c r="D1243" s="2">
        <f>HYPERLINK("http://mcb-m6.bioreg.kyushu-u.ac.jp/M3/20110318/F50620/2307/1", 48.48)</f>
        <v>48.48</v>
      </c>
      <c r="E1243" s="2">
        <v>30.49</v>
      </c>
      <c r="F1243" s="2">
        <v>2</v>
      </c>
      <c r="G1243" s="2" t="s">
        <v>9</v>
      </c>
    </row>
    <row r="1244" spans="1:8" x14ac:dyDescent="0.2">
      <c r="A1244" s="2" t="s">
        <v>3343</v>
      </c>
      <c r="B1244" s="2" t="s">
        <v>704</v>
      </c>
      <c r="C1244" s="2">
        <v>611.27470000000005</v>
      </c>
      <c r="D1244" s="2">
        <f>HYPERLINK("http://mcb-m6.bioreg.kyushu-u.ac.jp/M3/20110318/F50607/1202/1", 48.88)</f>
        <v>48.88</v>
      </c>
      <c r="E1244" s="2">
        <v>19.98</v>
      </c>
      <c r="F1244" s="2">
        <v>2</v>
      </c>
      <c r="G1244" s="2" t="s">
        <v>9</v>
      </c>
      <c r="H1244" s="2" t="s">
        <v>4908</v>
      </c>
    </row>
    <row r="1245" spans="1:8" x14ac:dyDescent="0.2">
      <c r="A1245" s="2" t="s">
        <v>3343</v>
      </c>
      <c r="B1245" s="2" t="s">
        <v>704</v>
      </c>
      <c r="C1245" s="2">
        <v>610.81460000000004</v>
      </c>
      <c r="D1245" s="2">
        <f>HYPERLINK("http://mcb-m6.bioreg.kyushu-u.ac.jp/M3/20110318/F50620/1269/1", 49.21)</f>
        <v>49.21</v>
      </c>
      <c r="E1245" s="2">
        <v>16.850000000000001</v>
      </c>
      <c r="F1245" s="2">
        <v>2</v>
      </c>
      <c r="G1245" s="2" t="s">
        <v>9</v>
      </c>
      <c r="H1245" s="2" t="s">
        <v>4908</v>
      </c>
    </row>
    <row r="1246" spans="1:8" x14ac:dyDescent="0.2">
      <c r="A1246" s="2" t="s">
        <v>3343</v>
      </c>
      <c r="B1246" s="2" t="s">
        <v>1032</v>
      </c>
      <c r="C1246" s="2">
        <v>1163.8030000000001</v>
      </c>
      <c r="D1246" s="2">
        <f>HYPERLINK("http://mcb-m6.bioreg.kyushu-u.ac.jp/M3/20110318/F50608/2646/1", 49.32)</f>
        <v>49.32</v>
      </c>
      <c r="E1246" s="2">
        <v>38.950000000000003</v>
      </c>
      <c r="F1246" s="2">
        <v>2</v>
      </c>
      <c r="G1246" s="2" t="s">
        <v>9</v>
      </c>
    </row>
    <row r="1247" spans="1:8" x14ac:dyDescent="0.2">
      <c r="A1247" s="2" t="s">
        <v>3343</v>
      </c>
      <c r="B1247" s="2" t="s">
        <v>509</v>
      </c>
      <c r="C1247" s="2">
        <v>1432.402</v>
      </c>
      <c r="D1247" s="2">
        <f>HYPERLINK("http://mcb-m6.bioreg.kyushu-u.ac.jp/M3/20110318/F50620/1508/1", 49.34)</f>
        <v>49.34</v>
      </c>
      <c r="E1247" s="2">
        <v>34.299999999999997</v>
      </c>
      <c r="F1247" s="2">
        <v>1</v>
      </c>
      <c r="G1247" s="2" t="s">
        <v>9</v>
      </c>
      <c r="H1247" s="2" t="s">
        <v>4931</v>
      </c>
    </row>
    <row r="1248" spans="1:8" x14ac:dyDescent="0.2">
      <c r="A1248" s="2" t="s">
        <v>3343</v>
      </c>
      <c r="B1248" s="2" t="s">
        <v>704</v>
      </c>
      <c r="C1248" s="2">
        <v>602.87869999999998</v>
      </c>
      <c r="D1248" s="2">
        <f>HYPERLINK("http://mcb-m6.bioreg.kyushu-u.ac.jp/M3/20110318/F50621/1198/1", 50.3)</f>
        <v>50.3</v>
      </c>
      <c r="E1248" s="2">
        <v>18.670000000000002</v>
      </c>
      <c r="F1248" s="2">
        <v>2</v>
      </c>
      <c r="G1248" s="2" t="s">
        <v>9</v>
      </c>
    </row>
    <row r="1249" spans="1:8" x14ac:dyDescent="0.2">
      <c r="A1249" s="2" t="s">
        <v>3343</v>
      </c>
      <c r="B1249" s="2" t="s">
        <v>325</v>
      </c>
      <c r="C1249" s="2">
        <v>747.26210000000003</v>
      </c>
      <c r="D1249" s="2">
        <f>HYPERLINK("http://mcb-m6.bioreg.kyushu-u.ac.jp/M3/20110318/F50620/1671/1", 50.71)</f>
        <v>50.71</v>
      </c>
      <c r="E1249" s="2">
        <v>40.46</v>
      </c>
      <c r="F1249" s="2">
        <v>2</v>
      </c>
      <c r="G1249" s="2" t="s">
        <v>9</v>
      </c>
      <c r="H1249" s="2" t="s">
        <v>4925</v>
      </c>
    </row>
    <row r="1250" spans="1:8" x14ac:dyDescent="0.2">
      <c r="A1250" s="2" t="s">
        <v>3343</v>
      </c>
      <c r="B1250" s="2" t="s">
        <v>325</v>
      </c>
      <c r="C1250" s="2">
        <v>747.78859999999997</v>
      </c>
      <c r="D1250" s="2">
        <f>HYPERLINK("http://mcb-m6.bioreg.kyushu-u.ac.jp/M3/20110318/F50620/1678/1", 51.03)</f>
        <v>51.03</v>
      </c>
      <c r="E1250" s="2">
        <v>37.96</v>
      </c>
      <c r="F1250" s="2">
        <v>2</v>
      </c>
      <c r="G1250" s="2" t="s">
        <v>9</v>
      </c>
      <c r="H1250" s="2" t="s">
        <v>4925</v>
      </c>
    </row>
    <row r="1251" spans="1:8" x14ac:dyDescent="0.2">
      <c r="A1251" s="2" t="s">
        <v>3343</v>
      </c>
      <c r="B1251" s="2" t="s">
        <v>943</v>
      </c>
      <c r="C1251" s="2">
        <v>506.83510000000001</v>
      </c>
      <c r="D1251" s="2">
        <f>HYPERLINK("http://mcb-m6.bioreg.kyushu-u.ac.jp/M3/20110318/F50620/991/1", 52.05)</f>
        <v>52.05</v>
      </c>
      <c r="E1251" s="2">
        <v>29.8</v>
      </c>
      <c r="F1251" s="2">
        <v>2</v>
      </c>
      <c r="G1251" s="2" t="s">
        <v>9</v>
      </c>
    </row>
    <row r="1252" spans="1:8" x14ac:dyDescent="0.2">
      <c r="A1252" s="2" t="s">
        <v>3343</v>
      </c>
      <c r="B1252" s="2" t="s">
        <v>428</v>
      </c>
      <c r="C1252" s="2">
        <v>451.86360000000002</v>
      </c>
      <c r="D1252" s="2">
        <f>HYPERLINK("http://mcb-m6.bioreg.kyushu-u.ac.jp/M3/20110318/F50620/834/1", 52.18)</f>
        <v>52.18</v>
      </c>
      <c r="E1252" s="2">
        <v>25.08</v>
      </c>
      <c r="F1252" s="2">
        <v>2</v>
      </c>
      <c r="G1252" s="2" t="s">
        <v>9</v>
      </c>
    </row>
    <row r="1253" spans="1:8" x14ac:dyDescent="0.2">
      <c r="A1253" s="2" t="s">
        <v>3343</v>
      </c>
      <c r="B1253" s="2" t="s">
        <v>132</v>
      </c>
      <c r="C1253" s="2">
        <v>578.74720000000002</v>
      </c>
      <c r="D1253" s="2">
        <f>HYPERLINK("http://mcb-m6.bioreg.kyushu-u.ac.jp/M3/20110318/F50620/1172/1", 52.47)</f>
        <v>52.47</v>
      </c>
      <c r="E1253" s="2">
        <v>32.799999999999997</v>
      </c>
      <c r="F1253" s="2">
        <v>2</v>
      </c>
      <c r="G1253" s="2" t="s">
        <v>9</v>
      </c>
    </row>
    <row r="1254" spans="1:8" x14ac:dyDescent="0.2">
      <c r="A1254" s="2" t="s">
        <v>3343</v>
      </c>
      <c r="B1254" s="2" t="s">
        <v>344</v>
      </c>
      <c r="C1254" s="2">
        <v>919.64170000000001</v>
      </c>
      <c r="D1254" s="2">
        <f>HYPERLINK("http://mcb-m6.bioreg.kyushu-u.ac.jp/M3/20110318/F50607/2073/1", 55.19)</f>
        <v>55.19</v>
      </c>
      <c r="E1254" s="2">
        <v>39.630000000000003</v>
      </c>
      <c r="F1254" s="2">
        <v>2</v>
      </c>
      <c r="G1254" s="2" t="s">
        <v>9</v>
      </c>
    </row>
    <row r="1255" spans="1:8" x14ac:dyDescent="0.2">
      <c r="A1255" s="2" t="s">
        <v>3343</v>
      </c>
      <c r="B1255" s="2" t="s">
        <v>558</v>
      </c>
      <c r="C1255" s="2">
        <v>729.24770000000001</v>
      </c>
      <c r="D1255" s="2">
        <f>HYPERLINK("http://mcb-m6.bioreg.kyushu-u.ac.jp/M3/20110318/F50620/1559/1", 55.53)</f>
        <v>55.53</v>
      </c>
      <c r="E1255" s="2">
        <v>35.479999999999997</v>
      </c>
      <c r="F1255" s="2">
        <v>2</v>
      </c>
      <c r="G1255" s="2" t="s">
        <v>9</v>
      </c>
    </row>
    <row r="1256" spans="1:8" x14ac:dyDescent="0.2">
      <c r="A1256" s="2" t="s">
        <v>3343</v>
      </c>
      <c r="B1256" s="2" t="s">
        <v>558</v>
      </c>
      <c r="C1256" s="2">
        <v>729.28470000000004</v>
      </c>
      <c r="D1256" s="2">
        <f>HYPERLINK("http://mcb-m6.bioreg.kyushu-u.ac.jp/M3/20110318/F50618/1512/1", 56.19)</f>
        <v>56.19</v>
      </c>
      <c r="E1256" s="2">
        <v>39.56</v>
      </c>
      <c r="F1256" s="2">
        <v>2</v>
      </c>
      <c r="G1256" s="2" t="s">
        <v>9</v>
      </c>
    </row>
    <row r="1257" spans="1:8" x14ac:dyDescent="0.2">
      <c r="A1257" s="2" t="s">
        <v>3343</v>
      </c>
      <c r="B1257" s="2" t="s">
        <v>558</v>
      </c>
      <c r="C1257" s="2">
        <v>729.22360000000003</v>
      </c>
      <c r="D1257" s="2">
        <f>HYPERLINK("http://mcb-m6.bioreg.kyushu-u.ac.jp/M3/20110318/F50620/1557/1", 56.74)</f>
        <v>56.74</v>
      </c>
      <c r="E1257" s="2">
        <v>36.28</v>
      </c>
      <c r="F1257" s="2">
        <v>2</v>
      </c>
      <c r="G1257" s="2" t="s">
        <v>9</v>
      </c>
    </row>
    <row r="1258" spans="1:8" x14ac:dyDescent="0.2">
      <c r="A1258" s="2" t="s">
        <v>3343</v>
      </c>
      <c r="B1258" s="2" t="s">
        <v>1032</v>
      </c>
      <c r="C1258" s="2">
        <v>1163.8979999999999</v>
      </c>
      <c r="D1258" s="2">
        <f>HYPERLINK("http://mcb-m6.bioreg.kyushu-u.ac.jp/M3/20110318/F50609/2583/1", 57.39)</f>
        <v>57.39</v>
      </c>
      <c r="E1258" s="2">
        <v>48.06</v>
      </c>
      <c r="F1258" s="2">
        <v>2</v>
      </c>
      <c r="G1258" s="2" t="s">
        <v>9</v>
      </c>
    </row>
    <row r="1259" spans="1:8" x14ac:dyDescent="0.2">
      <c r="A1259" s="2" t="s">
        <v>3343</v>
      </c>
      <c r="B1259" s="2" t="s">
        <v>509</v>
      </c>
      <c r="C1259" s="2">
        <v>1449.3969999999999</v>
      </c>
      <c r="D1259" s="2">
        <f>HYPERLINK("http://mcb-m6.bioreg.kyushu-u.ac.jp/M3/20110318/F50620/1539/1", 58.03)</f>
        <v>58.03</v>
      </c>
      <c r="E1259" s="2">
        <v>44.34</v>
      </c>
      <c r="F1259" s="2">
        <v>1</v>
      </c>
      <c r="G1259" s="2" t="s">
        <v>9</v>
      </c>
      <c r="H1259" s="2" t="s">
        <v>4927</v>
      </c>
    </row>
    <row r="1260" spans="1:8" x14ac:dyDescent="0.2">
      <c r="A1260" s="2" t="s">
        <v>3343</v>
      </c>
      <c r="B1260" s="2" t="s">
        <v>546</v>
      </c>
      <c r="C1260" s="2">
        <v>664.83870000000002</v>
      </c>
      <c r="D1260" s="2">
        <f>HYPERLINK("http://mcb-m6.bioreg.kyushu-u.ac.jp/M3/20110318/F50610/1521/2", 58.04)</f>
        <v>58.04</v>
      </c>
      <c r="E1260" s="2">
        <v>42.41</v>
      </c>
      <c r="F1260" s="2">
        <v>2</v>
      </c>
      <c r="G1260" s="2" t="s">
        <v>9</v>
      </c>
    </row>
    <row r="1261" spans="1:8" x14ac:dyDescent="0.2">
      <c r="A1261" s="2" t="s">
        <v>3343</v>
      </c>
      <c r="B1261" s="2" t="s">
        <v>546</v>
      </c>
      <c r="C1261" s="2">
        <v>664.65970000000004</v>
      </c>
      <c r="D1261" s="2">
        <f>HYPERLINK("http://mcb-m6.bioreg.kyushu-u.ac.jp/M3/20110318/F50620/1369/2", 58.32)</f>
        <v>58.32</v>
      </c>
      <c r="E1261" s="2">
        <v>45.34</v>
      </c>
      <c r="F1261" s="2">
        <v>2</v>
      </c>
      <c r="G1261" s="2" t="s">
        <v>9</v>
      </c>
    </row>
    <row r="1262" spans="1:8" x14ac:dyDescent="0.2">
      <c r="A1262" s="2" t="s">
        <v>3343</v>
      </c>
      <c r="B1262" s="2" t="s">
        <v>1032</v>
      </c>
      <c r="C1262" s="2">
        <v>1163.2159999999999</v>
      </c>
      <c r="D1262" s="2">
        <f>HYPERLINK("http://mcb-m6.bioreg.kyushu-u.ac.jp/M3/20110318/F50620/2947/1", 58.46)</f>
        <v>58.46</v>
      </c>
      <c r="E1262" s="2">
        <v>44.6</v>
      </c>
      <c r="F1262" s="2">
        <v>2</v>
      </c>
      <c r="G1262" s="2" t="s">
        <v>9</v>
      </c>
    </row>
    <row r="1263" spans="1:8" x14ac:dyDescent="0.2">
      <c r="A1263" s="2" t="s">
        <v>3343</v>
      </c>
      <c r="B1263" s="2" t="s">
        <v>132</v>
      </c>
      <c r="C1263" s="2">
        <v>578.29909999999995</v>
      </c>
      <c r="D1263" s="2">
        <f>HYPERLINK("http://mcb-m6.bioreg.kyushu-u.ac.jp/M3/20110318/F50621/1163/1", 58.69)</f>
        <v>58.69</v>
      </c>
      <c r="E1263" s="2">
        <v>30.41</v>
      </c>
      <c r="F1263" s="2">
        <v>2</v>
      </c>
      <c r="G1263" s="2" t="s">
        <v>9</v>
      </c>
    </row>
    <row r="1264" spans="1:8" x14ac:dyDescent="0.2">
      <c r="A1264" s="2" t="s">
        <v>3343</v>
      </c>
      <c r="B1264" s="2" t="s">
        <v>132</v>
      </c>
      <c r="C1264" s="2">
        <v>578.28020000000004</v>
      </c>
      <c r="D1264" s="2">
        <f>HYPERLINK("http://mcb-m6.bioreg.kyushu-u.ac.jp/M3/20110318/F50620/1168/1", 58.84)</f>
        <v>58.84</v>
      </c>
      <c r="E1264" s="2">
        <v>25.02</v>
      </c>
      <c r="F1264" s="2">
        <v>2</v>
      </c>
      <c r="G1264" s="2" t="s">
        <v>9</v>
      </c>
    </row>
    <row r="1265" spans="1:8" x14ac:dyDescent="0.2">
      <c r="A1265" s="2" t="s">
        <v>3343</v>
      </c>
      <c r="B1265" s="2" t="s">
        <v>132</v>
      </c>
      <c r="C1265" s="2">
        <v>578.57619999999997</v>
      </c>
      <c r="D1265" s="2">
        <f>HYPERLINK("http://mcb-m6.bioreg.kyushu-u.ac.jp/M3/20110318/F50620/1169/1", 59.16)</f>
        <v>59.16</v>
      </c>
      <c r="E1265" s="2">
        <v>30.19</v>
      </c>
      <c r="F1265" s="2">
        <v>2</v>
      </c>
      <c r="G1265" s="2" t="s">
        <v>9</v>
      </c>
    </row>
    <row r="1266" spans="1:8" x14ac:dyDescent="0.2">
      <c r="A1266" s="2" t="s">
        <v>3343</v>
      </c>
      <c r="B1266" s="2" t="s">
        <v>325</v>
      </c>
      <c r="C1266" s="2">
        <v>747.39869999999996</v>
      </c>
      <c r="D1266" s="2">
        <f>HYPERLINK("http://mcb-m6.bioreg.kyushu-u.ac.jp/M3/20110318/F50620/1675/1", 59.19)</f>
        <v>59.19</v>
      </c>
      <c r="E1266" s="2">
        <v>41.65</v>
      </c>
      <c r="F1266" s="2">
        <v>2</v>
      </c>
      <c r="G1266" s="2" t="s">
        <v>9</v>
      </c>
      <c r="H1266" s="2" t="s">
        <v>4925</v>
      </c>
    </row>
    <row r="1267" spans="1:8" x14ac:dyDescent="0.2">
      <c r="A1267" s="2" t="s">
        <v>3343</v>
      </c>
      <c r="B1267" s="2" t="s">
        <v>132</v>
      </c>
      <c r="C1267" s="2">
        <v>578.5231</v>
      </c>
      <c r="D1267" s="2">
        <f>HYPERLINK("http://mcb-m6.bioreg.kyushu-u.ac.jp/M3/20110318/F50609/1254/1", 59.23)</f>
        <v>59.23</v>
      </c>
      <c r="E1267" s="2">
        <v>32.299999999999997</v>
      </c>
      <c r="F1267" s="2">
        <v>2</v>
      </c>
      <c r="G1267" s="2" t="s">
        <v>9</v>
      </c>
    </row>
    <row r="1268" spans="1:8" x14ac:dyDescent="0.2">
      <c r="A1268" s="2" t="s">
        <v>3343</v>
      </c>
      <c r="B1268" s="2" t="s">
        <v>325</v>
      </c>
      <c r="C1268" s="2">
        <v>747.27419999999995</v>
      </c>
      <c r="D1268" s="2">
        <f>HYPERLINK("http://mcb-m6.bioreg.kyushu-u.ac.jp/M3/20110318/F50620/1672/1", 61.64)</f>
        <v>61.64</v>
      </c>
      <c r="E1268" s="2">
        <v>49.65</v>
      </c>
      <c r="F1268" s="2">
        <v>2</v>
      </c>
      <c r="G1268" s="2" t="s">
        <v>9</v>
      </c>
      <c r="H1268" s="2" t="s">
        <v>4925</v>
      </c>
    </row>
    <row r="1269" spans="1:8" x14ac:dyDescent="0.2">
      <c r="A1269" s="2" t="s">
        <v>3343</v>
      </c>
      <c r="B1269" s="2" t="s">
        <v>704</v>
      </c>
      <c r="C1269" s="2">
        <v>602.78769999999997</v>
      </c>
      <c r="D1269" s="2">
        <f>HYPERLINK("http://mcb-m6.bioreg.kyushu-u.ac.jp/M3/20110318/F50620/1243/1", 61.73)</f>
        <v>61.73</v>
      </c>
      <c r="E1269" s="2">
        <v>25.09</v>
      </c>
      <c r="F1269" s="2">
        <v>2</v>
      </c>
      <c r="G1269" s="2" t="s">
        <v>9</v>
      </c>
    </row>
    <row r="1270" spans="1:8" x14ac:dyDescent="0.2">
      <c r="A1270" s="2" t="s">
        <v>3343</v>
      </c>
      <c r="B1270" s="2" t="s">
        <v>344</v>
      </c>
      <c r="C1270" s="2">
        <v>613.38480000000004</v>
      </c>
      <c r="D1270" s="2">
        <f>HYPERLINK("http://mcb-m6.bioreg.kyushu-u.ac.jp/M3/20110318/F50620/2304/1", 62)</f>
        <v>62</v>
      </c>
      <c r="E1270" s="2">
        <v>41.78</v>
      </c>
      <c r="F1270" s="2">
        <v>3</v>
      </c>
      <c r="G1270" s="2" t="s">
        <v>9</v>
      </c>
    </row>
    <row r="1271" spans="1:8" x14ac:dyDescent="0.2">
      <c r="A1271" s="2" t="s">
        <v>3343</v>
      </c>
      <c r="B1271" s="2" t="s">
        <v>132</v>
      </c>
      <c r="C1271" s="2">
        <v>578.82820000000004</v>
      </c>
      <c r="D1271" s="2">
        <f>HYPERLINK("http://mcb-m6.bioreg.kyushu-u.ac.jp/M3/20110318/F50620/1174/1", 62.16)</f>
        <v>62.16</v>
      </c>
      <c r="E1271" s="2">
        <v>28.75</v>
      </c>
      <c r="F1271" s="2">
        <v>2</v>
      </c>
      <c r="G1271" s="2" t="s">
        <v>9</v>
      </c>
    </row>
    <row r="1272" spans="1:8" x14ac:dyDescent="0.2">
      <c r="A1272" s="2" t="s">
        <v>3343</v>
      </c>
      <c r="B1272" s="2" t="s">
        <v>558</v>
      </c>
      <c r="C1272" s="2">
        <v>729.83920000000001</v>
      </c>
      <c r="D1272" s="2">
        <f>HYPERLINK("http://mcb-m6.bioreg.kyushu-u.ac.jp/M3/20110318/F50621/1477/1", 62.53)</f>
        <v>62.53</v>
      </c>
      <c r="E1272" s="2">
        <v>47.92</v>
      </c>
      <c r="F1272" s="2">
        <v>2</v>
      </c>
      <c r="G1272" s="2" t="s">
        <v>9</v>
      </c>
    </row>
    <row r="1273" spans="1:8" x14ac:dyDescent="0.2">
      <c r="A1273" s="2" t="s">
        <v>3343</v>
      </c>
      <c r="B1273" s="2" t="s">
        <v>1002</v>
      </c>
      <c r="C1273" s="2">
        <v>1147.9059999999999</v>
      </c>
      <c r="D1273" s="2">
        <f>HYPERLINK("http://mcb-m6.bioreg.kyushu-u.ac.jp/M3/20110318/F50609/2531/1", 62.62)</f>
        <v>62.62</v>
      </c>
      <c r="E1273" s="2">
        <v>57.18</v>
      </c>
      <c r="F1273" s="2">
        <v>2</v>
      </c>
      <c r="G1273" s="2" t="s">
        <v>9</v>
      </c>
    </row>
    <row r="1274" spans="1:8" x14ac:dyDescent="0.2">
      <c r="A1274" s="2" t="s">
        <v>3343</v>
      </c>
      <c r="B1274" s="2" t="s">
        <v>558</v>
      </c>
      <c r="C1274" s="2">
        <v>729.57820000000004</v>
      </c>
      <c r="D1274" s="2">
        <f>HYPERLINK("http://mcb-m6.bioreg.kyushu-u.ac.jp/M3/20110318/F50607/1461/1", 62.77)</f>
        <v>62.77</v>
      </c>
      <c r="E1274" s="2">
        <v>50.91</v>
      </c>
      <c r="F1274" s="2">
        <v>2</v>
      </c>
      <c r="G1274" s="2" t="s">
        <v>9</v>
      </c>
    </row>
    <row r="1275" spans="1:8" x14ac:dyDescent="0.2">
      <c r="A1275" s="2" t="s">
        <v>3343</v>
      </c>
      <c r="B1275" s="2" t="s">
        <v>132</v>
      </c>
      <c r="C1275" s="2">
        <v>578.54970000000003</v>
      </c>
      <c r="D1275" s="2">
        <f>HYPERLINK("http://mcb-m6.bioreg.kyushu-u.ac.jp/M3/20110318/F50607/1142/1", 62.89)</f>
        <v>62.89</v>
      </c>
      <c r="E1275" s="2">
        <v>35.36</v>
      </c>
      <c r="F1275" s="2">
        <v>2</v>
      </c>
      <c r="G1275" s="2" t="s">
        <v>9</v>
      </c>
    </row>
    <row r="1276" spans="1:8" x14ac:dyDescent="0.2">
      <c r="A1276" s="2" t="s">
        <v>3343</v>
      </c>
      <c r="B1276" s="2" t="s">
        <v>943</v>
      </c>
      <c r="C1276" s="2">
        <v>506.80509999999998</v>
      </c>
      <c r="D1276" s="2">
        <f>HYPERLINK("http://mcb-m6.bioreg.kyushu-u.ac.jp/M3/20110318/F50620/990/1", 63.04)</f>
        <v>63.04</v>
      </c>
      <c r="E1276" s="2">
        <v>39.9</v>
      </c>
      <c r="F1276" s="2">
        <v>2</v>
      </c>
      <c r="G1276" s="2" t="s">
        <v>9</v>
      </c>
    </row>
    <row r="1277" spans="1:8" x14ac:dyDescent="0.2">
      <c r="A1277" s="2" t="s">
        <v>3343</v>
      </c>
      <c r="B1277" s="2" t="s">
        <v>325</v>
      </c>
      <c r="C1277" s="2">
        <v>1478.4739999999999</v>
      </c>
      <c r="D1277" s="2">
        <f>HYPERLINK("http://mcb-m6.bioreg.kyushu-u.ac.jp/M3/20110318/F50620/1624/1", 64.66)</f>
        <v>64.66</v>
      </c>
      <c r="E1277" s="2">
        <v>54.81</v>
      </c>
      <c r="F1277" s="2">
        <v>1</v>
      </c>
      <c r="G1277" s="2" t="s">
        <v>9</v>
      </c>
    </row>
    <row r="1278" spans="1:8" x14ac:dyDescent="0.2">
      <c r="A1278" s="2" t="s">
        <v>3343</v>
      </c>
      <c r="B1278" s="2" t="s">
        <v>558</v>
      </c>
      <c r="C1278" s="2">
        <v>729.37220000000002</v>
      </c>
      <c r="D1278" s="2">
        <f>HYPERLINK("http://mcb-m6.bioreg.kyushu-u.ac.jp/M3/20110318/F50620/1564/1", 64.67)</f>
        <v>64.67</v>
      </c>
      <c r="E1278" s="2">
        <v>48.57</v>
      </c>
      <c r="F1278" s="2">
        <v>2</v>
      </c>
      <c r="G1278" s="2" t="s">
        <v>9</v>
      </c>
    </row>
    <row r="1279" spans="1:8" x14ac:dyDescent="0.2">
      <c r="A1279" s="2" t="s">
        <v>3343</v>
      </c>
      <c r="B1279" s="2" t="s">
        <v>1002</v>
      </c>
      <c r="C1279" s="2">
        <v>1147.3489999999999</v>
      </c>
      <c r="D1279" s="2">
        <f>HYPERLINK("http://mcb-m6.bioreg.kyushu-u.ac.jp/M3/20110318/F50620/2860/1", 64.9)</f>
        <v>64.900000000000006</v>
      </c>
      <c r="E1279" s="2">
        <v>54.32</v>
      </c>
      <c r="F1279" s="2">
        <v>2</v>
      </c>
      <c r="G1279" s="2" t="s">
        <v>9</v>
      </c>
    </row>
    <row r="1280" spans="1:8" x14ac:dyDescent="0.2">
      <c r="A1280" s="2" t="s">
        <v>3343</v>
      </c>
      <c r="B1280" s="2" t="s">
        <v>546</v>
      </c>
      <c r="C1280" s="2">
        <v>665.32259999999997</v>
      </c>
      <c r="D1280" s="2">
        <f>HYPERLINK("http://mcb-m6.bioreg.kyushu-u.ac.jp/M3/20110318/F50618/1303/2", 65.06)</f>
        <v>65.06</v>
      </c>
      <c r="E1280" s="2">
        <v>42.56</v>
      </c>
      <c r="F1280" s="2">
        <v>2</v>
      </c>
      <c r="G1280" s="2" t="s">
        <v>9</v>
      </c>
    </row>
    <row r="1281" spans="1:8" x14ac:dyDescent="0.2">
      <c r="A1281" s="2" t="s">
        <v>3343</v>
      </c>
      <c r="B1281" s="2" t="s">
        <v>1002</v>
      </c>
      <c r="C1281" s="2">
        <v>1147.5920000000001</v>
      </c>
      <c r="D1281" s="2">
        <f>HYPERLINK("http://mcb-m6.bioreg.kyushu-u.ac.jp/M3/20110318/F50607/2580/1", 65.34)</f>
        <v>65.34</v>
      </c>
      <c r="E1281" s="2">
        <v>54.29</v>
      </c>
      <c r="F1281" s="2">
        <v>2</v>
      </c>
      <c r="G1281" s="2" t="s">
        <v>9</v>
      </c>
    </row>
    <row r="1282" spans="1:8" x14ac:dyDescent="0.2">
      <c r="A1282" s="2" t="s">
        <v>3343</v>
      </c>
      <c r="B1282" s="2" t="s">
        <v>546</v>
      </c>
      <c r="C1282" s="2">
        <v>664.9932</v>
      </c>
      <c r="D1282" s="2">
        <f>HYPERLINK("http://mcb-m6.bioreg.kyushu-u.ac.jp/M3/20110318/F50620/1374/2", 65.64)</f>
        <v>65.64</v>
      </c>
      <c r="E1282" s="2">
        <v>47.24</v>
      </c>
      <c r="F1282" s="2">
        <v>2</v>
      </c>
      <c r="G1282" s="2" t="s">
        <v>9</v>
      </c>
    </row>
    <row r="1283" spans="1:8" x14ac:dyDescent="0.2">
      <c r="A1283" s="2" t="s">
        <v>3343</v>
      </c>
      <c r="B1283" s="2" t="s">
        <v>558</v>
      </c>
      <c r="C1283" s="2">
        <v>729.2867</v>
      </c>
      <c r="D1283" s="2">
        <f>HYPERLINK("http://mcb-m6.bioreg.kyushu-u.ac.jp/M3/20110318/F50620/1562/1", 65.84)</f>
        <v>65.84</v>
      </c>
      <c r="E1283" s="2">
        <v>39.24</v>
      </c>
      <c r="F1283" s="2">
        <v>2</v>
      </c>
      <c r="G1283" s="2" t="s">
        <v>9</v>
      </c>
    </row>
    <row r="1284" spans="1:8" x14ac:dyDescent="0.2">
      <c r="A1284" s="2" t="s">
        <v>3343</v>
      </c>
      <c r="B1284" s="2" t="s">
        <v>210</v>
      </c>
      <c r="C1284" s="2">
        <v>554.75369999999998</v>
      </c>
      <c r="D1284" s="2">
        <f>HYPERLINK("http://mcb-m6.bioreg.kyushu-u.ac.jp/M3/20110318/F50620/1104/1", 66.99)</f>
        <v>66.989999999999995</v>
      </c>
      <c r="E1284" s="2">
        <v>30.56</v>
      </c>
      <c r="F1284" s="2">
        <v>2</v>
      </c>
      <c r="G1284" s="2" t="s">
        <v>9</v>
      </c>
      <c r="H1284" s="2" t="s">
        <v>4910</v>
      </c>
    </row>
    <row r="1285" spans="1:8" x14ac:dyDescent="0.2">
      <c r="A1285" s="2" t="s">
        <v>3343</v>
      </c>
      <c r="B1285" s="2" t="s">
        <v>210</v>
      </c>
      <c r="C1285" s="2">
        <v>546.5172</v>
      </c>
      <c r="D1285" s="2">
        <f>HYPERLINK("http://mcb-m6.bioreg.kyushu-u.ac.jp/M3/20110318/F50620/1090/1", 67.01)</f>
        <v>67.010000000000005</v>
      </c>
      <c r="E1285" s="2">
        <v>26.29</v>
      </c>
      <c r="F1285" s="2">
        <v>2</v>
      </c>
      <c r="G1285" s="2" t="s">
        <v>9</v>
      </c>
    </row>
    <row r="1286" spans="1:8" x14ac:dyDescent="0.2">
      <c r="A1286" s="2" t="s">
        <v>3343</v>
      </c>
      <c r="B1286" s="2" t="s">
        <v>546</v>
      </c>
      <c r="C1286" s="2">
        <v>665.25819999999999</v>
      </c>
      <c r="D1286" s="2">
        <f>HYPERLINK("http://mcb-m6.bioreg.kyushu-u.ac.jp/M3/20110318/F50620/1375/2", 67.45)</f>
        <v>67.45</v>
      </c>
      <c r="E1286" s="2">
        <v>47.78</v>
      </c>
      <c r="F1286" s="2">
        <v>2</v>
      </c>
      <c r="G1286" s="2" t="s">
        <v>9</v>
      </c>
    </row>
    <row r="1287" spans="1:8" x14ac:dyDescent="0.2">
      <c r="A1287" s="2" t="s">
        <v>3343</v>
      </c>
      <c r="B1287" s="2" t="s">
        <v>325</v>
      </c>
      <c r="C1287" s="2">
        <v>1477.454</v>
      </c>
      <c r="D1287" s="2">
        <f>HYPERLINK("http://mcb-m6.bioreg.kyushu-u.ac.jp/M3/20110318/F50620/1619/1", 67.94)</f>
        <v>67.94</v>
      </c>
      <c r="E1287" s="2">
        <v>55.24</v>
      </c>
      <c r="F1287" s="2">
        <v>1</v>
      </c>
      <c r="G1287" s="2" t="s">
        <v>9</v>
      </c>
    </row>
    <row r="1288" spans="1:8" x14ac:dyDescent="0.2">
      <c r="A1288" s="2" t="s">
        <v>3343</v>
      </c>
      <c r="B1288" s="2" t="s">
        <v>509</v>
      </c>
      <c r="C1288" s="2">
        <v>709.12819999999999</v>
      </c>
      <c r="D1288" s="2">
        <f>HYPERLINK("http://mcb-m6.bioreg.kyushu-u.ac.jp/M3/20110318/F50620/1480/1", 68.35)</f>
        <v>68.349999999999994</v>
      </c>
      <c r="E1288" s="2">
        <v>52.01</v>
      </c>
      <c r="F1288" s="2">
        <v>2</v>
      </c>
      <c r="G1288" s="2" t="s">
        <v>9</v>
      </c>
      <c r="H1288" s="2" t="s">
        <v>4904</v>
      </c>
    </row>
    <row r="1289" spans="1:8" x14ac:dyDescent="0.2">
      <c r="A1289" s="2" t="s">
        <v>3343</v>
      </c>
      <c r="B1289" s="2" t="s">
        <v>325</v>
      </c>
      <c r="C1289" s="2">
        <v>747.29020000000003</v>
      </c>
      <c r="D1289" s="2">
        <f>HYPERLINK("http://mcb-m6.bioreg.kyushu-u.ac.jp/M3/20110318/F50620/1673/1", 68.56)</f>
        <v>68.56</v>
      </c>
      <c r="E1289" s="2">
        <v>56.84</v>
      </c>
      <c r="F1289" s="2">
        <v>2</v>
      </c>
      <c r="G1289" s="2" t="s">
        <v>9</v>
      </c>
      <c r="H1289" s="2" t="s">
        <v>4925</v>
      </c>
    </row>
    <row r="1290" spans="1:8" x14ac:dyDescent="0.2">
      <c r="A1290" s="2" t="s">
        <v>3343</v>
      </c>
      <c r="B1290" s="2" t="s">
        <v>558</v>
      </c>
      <c r="C1290" s="2">
        <v>729.32259999999997</v>
      </c>
      <c r="D1290" s="2">
        <f>HYPERLINK("http://mcb-m6.bioreg.kyushu-u.ac.jp/M3/20110318/F50621/1476/1", 68.65)</f>
        <v>68.650000000000006</v>
      </c>
      <c r="E1290" s="2">
        <v>47.96</v>
      </c>
      <c r="F1290" s="2">
        <v>2</v>
      </c>
      <c r="G1290" s="2" t="s">
        <v>9</v>
      </c>
    </row>
    <row r="1291" spans="1:8" x14ac:dyDescent="0.2">
      <c r="A1291" s="2" t="s">
        <v>3343</v>
      </c>
      <c r="B1291" s="2" t="s">
        <v>509</v>
      </c>
      <c r="C1291" s="2">
        <v>725.73720000000003</v>
      </c>
      <c r="D1291" s="2">
        <f>HYPERLINK("http://mcb-m6.bioreg.kyushu-u.ac.jp/M3/20110318/F50621/1466/1", 69.07)</f>
        <v>69.069999999999993</v>
      </c>
      <c r="E1291" s="2">
        <v>52.97</v>
      </c>
      <c r="F1291" s="2">
        <v>2</v>
      </c>
      <c r="G1291" s="2" t="s">
        <v>9</v>
      </c>
      <c r="H1291" s="2" t="s">
        <v>4927</v>
      </c>
    </row>
    <row r="1292" spans="1:8" x14ac:dyDescent="0.2">
      <c r="A1292" s="2" t="s">
        <v>3343</v>
      </c>
      <c r="B1292" s="2" t="s">
        <v>558</v>
      </c>
      <c r="C1292" s="2">
        <v>729.29719999999998</v>
      </c>
      <c r="D1292" s="2">
        <f>HYPERLINK("http://mcb-m6.bioreg.kyushu-u.ac.jp/M3/20110318/F50618/1513/1", 69.33)</f>
        <v>69.33</v>
      </c>
      <c r="E1292" s="2">
        <v>50.13</v>
      </c>
      <c r="F1292" s="2">
        <v>2</v>
      </c>
      <c r="G1292" s="2" t="s">
        <v>9</v>
      </c>
    </row>
    <row r="1293" spans="1:8" x14ac:dyDescent="0.2">
      <c r="A1293" s="2" t="s">
        <v>3343</v>
      </c>
      <c r="B1293" s="2" t="s">
        <v>546</v>
      </c>
      <c r="C1293" s="2">
        <v>665.28309999999999</v>
      </c>
      <c r="D1293" s="2">
        <f>HYPERLINK("http://mcb-m6.bioreg.kyushu-u.ac.jp/M3/20110318/F50620/1377/2", 71.08)</f>
        <v>71.08</v>
      </c>
      <c r="E1293" s="2">
        <v>56.69</v>
      </c>
      <c r="F1293" s="2">
        <v>2</v>
      </c>
      <c r="G1293" s="2" t="s">
        <v>9</v>
      </c>
    </row>
    <row r="1294" spans="1:8" x14ac:dyDescent="0.2">
      <c r="A1294" s="2" t="s">
        <v>3343</v>
      </c>
      <c r="B1294" s="2" t="s">
        <v>546</v>
      </c>
      <c r="C1294" s="2">
        <v>664.67909999999995</v>
      </c>
      <c r="D1294" s="2">
        <f>HYPERLINK("http://mcb-m6.bioreg.kyushu-u.ac.jp/M3/20110318/F50608/1285/2", 71.62)</f>
        <v>71.62</v>
      </c>
      <c r="E1294" s="2">
        <v>56.83</v>
      </c>
      <c r="F1294" s="2">
        <v>2</v>
      </c>
      <c r="G1294" s="2" t="s">
        <v>9</v>
      </c>
    </row>
    <row r="1295" spans="1:8" x14ac:dyDescent="0.2">
      <c r="A1295" s="2" t="s">
        <v>3343</v>
      </c>
      <c r="B1295" s="2" t="s">
        <v>344</v>
      </c>
      <c r="C1295" s="2">
        <v>919.20820000000003</v>
      </c>
      <c r="D1295" s="2">
        <f>HYPERLINK("http://mcb-m6.bioreg.kyushu-u.ac.jp/M3/20110318/F50618/2390/1", 72.19)</f>
        <v>72.19</v>
      </c>
      <c r="E1295" s="2">
        <v>50.51</v>
      </c>
      <c r="F1295" s="2">
        <v>2</v>
      </c>
      <c r="G1295" s="2" t="s">
        <v>9</v>
      </c>
    </row>
    <row r="1296" spans="1:8" x14ac:dyDescent="0.2">
      <c r="A1296" s="2" t="s">
        <v>3343</v>
      </c>
      <c r="B1296" s="2" t="s">
        <v>1189</v>
      </c>
      <c r="C1296" s="2">
        <v>1069.2180000000001</v>
      </c>
      <c r="D1296" s="2">
        <f>HYPERLINK("http://mcb-m6.bioreg.kyushu-u.ac.jp/M3/20110318/F50618/2790/1", 72.2)</f>
        <v>72.2</v>
      </c>
      <c r="E1296" s="2">
        <v>56.11</v>
      </c>
      <c r="F1296" s="2">
        <v>2</v>
      </c>
      <c r="G1296" s="2" t="s">
        <v>9</v>
      </c>
    </row>
    <row r="1297" spans="1:8" x14ac:dyDescent="0.2">
      <c r="A1297" s="2" t="s">
        <v>3343</v>
      </c>
      <c r="B1297" s="2" t="s">
        <v>1002</v>
      </c>
      <c r="C1297" s="2">
        <v>1147.864</v>
      </c>
      <c r="D1297" s="2">
        <f>HYPERLINK("http://mcb-m6.bioreg.kyushu-u.ac.jp/M3/20110318/F50620/2866/1", 72.8)</f>
        <v>72.8</v>
      </c>
      <c r="E1297" s="2">
        <v>59.66</v>
      </c>
      <c r="F1297" s="2">
        <v>2</v>
      </c>
      <c r="G1297" s="2" t="s">
        <v>9</v>
      </c>
    </row>
    <row r="1298" spans="1:8" x14ac:dyDescent="0.2">
      <c r="A1298" s="2" t="s">
        <v>3343</v>
      </c>
      <c r="B1298" s="2" t="s">
        <v>344</v>
      </c>
      <c r="C1298" s="2">
        <v>919.38819999999998</v>
      </c>
      <c r="D1298" s="2">
        <f>HYPERLINK("http://mcb-m6.bioreg.kyushu-u.ac.jp/M3/20110318/F50621/2028/1", 73.77)</f>
        <v>73.77</v>
      </c>
      <c r="E1298" s="2">
        <v>47.36</v>
      </c>
      <c r="F1298" s="2">
        <v>2</v>
      </c>
      <c r="G1298" s="2" t="s">
        <v>9</v>
      </c>
    </row>
    <row r="1299" spans="1:8" x14ac:dyDescent="0.2">
      <c r="A1299" s="2" t="s">
        <v>3343</v>
      </c>
      <c r="B1299" s="2" t="s">
        <v>509</v>
      </c>
      <c r="C1299" s="2">
        <v>725.25419999999997</v>
      </c>
      <c r="D1299" s="2">
        <f>HYPERLINK("http://mcb-m6.bioreg.kyushu-u.ac.jp/M3/20110318/F50620/1540/1", 75.58)</f>
        <v>75.58</v>
      </c>
      <c r="E1299" s="2">
        <v>48.72</v>
      </c>
      <c r="F1299" s="2">
        <v>2</v>
      </c>
      <c r="G1299" s="2" t="s">
        <v>9</v>
      </c>
      <c r="H1299" s="2" t="s">
        <v>4927</v>
      </c>
    </row>
    <row r="1300" spans="1:8" x14ac:dyDescent="0.2">
      <c r="A1300" s="2" t="s">
        <v>3343</v>
      </c>
      <c r="B1300" s="2" t="s">
        <v>325</v>
      </c>
      <c r="C1300" s="2">
        <v>1493.424</v>
      </c>
      <c r="D1300" s="2">
        <f>HYPERLINK("http://mcb-m6.bioreg.kyushu-u.ac.jp/M3/20110318/F50620/1669/1", 77.1)</f>
        <v>77.099999999999994</v>
      </c>
      <c r="E1300" s="2">
        <v>56.16</v>
      </c>
      <c r="F1300" s="2">
        <v>1</v>
      </c>
      <c r="G1300" s="2" t="s">
        <v>9</v>
      </c>
      <c r="H1300" s="2" t="s">
        <v>4925</v>
      </c>
    </row>
    <row r="1301" spans="1:8" x14ac:dyDescent="0.2">
      <c r="A1301" s="2" t="s">
        <v>3343</v>
      </c>
      <c r="B1301" s="2" t="s">
        <v>509</v>
      </c>
      <c r="C1301" s="2">
        <v>717.33720000000005</v>
      </c>
      <c r="D1301" s="2">
        <f>HYPERLINK("http://mcb-m6.bioreg.kyushu-u.ac.jp/M3/20110318/F50621/1439/1", 77.32)</f>
        <v>77.319999999999993</v>
      </c>
      <c r="E1301" s="2">
        <v>61.6</v>
      </c>
      <c r="F1301" s="2">
        <v>2</v>
      </c>
      <c r="G1301" s="2" t="s">
        <v>9</v>
      </c>
      <c r="H1301" s="2" t="s">
        <v>4931</v>
      </c>
    </row>
    <row r="1302" spans="1:8" x14ac:dyDescent="0.2">
      <c r="A1302" s="2" t="s">
        <v>3343</v>
      </c>
      <c r="B1302" s="2" t="s">
        <v>1002</v>
      </c>
      <c r="C1302" s="2">
        <v>1147.9090000000001</v>
      </c>
      <c r="D1302" s="2">
        <f>HYPERLINK("http://mcb-m6.bioreg.kyushu-u.ac.jp/M3/20110318/F50608/2592/1", 77.32)</f>
        <v>77.319999999999993</v>
      </c>
      <c r="E1302" s="2">
        <v>66.349999999999994</v>
      </c>
      <c r="F1302" s="2">
        <v>2</v>
      </c>
      <c r="G1302" s="2" t="s">
        <v>9</v>
      </c>
    </row>
    <row r="1303" spans="1:8" x14ac:dyDescent="0.2">
      <c r="A1303" s="2" t="s">
        <v>3343</v>
      </c>
      <c r="B1303" s="2" t="s">
        <v>509</v>
      </c>
      <c r="C1303" s="2">
        <v>725.2722</v>
      </c>
      <c r="D1303" s="2">
        <f>HYPERLINK("http://mcb-m6.bioreg.kyushu-u.ac.jp/M3/20110318/F50620/1542/1", 77.42)</f>
        <v>77.42</v>
      </c>
      <c r="E1303" s="2">
        <v>60.78</v>
      </c>
      <c r="F1303" s="2">
        <v>2</v>
      </c>
      <c r="G1303" s="2" t="s">
        <v>9</v>
      </c>
      <c r="H1303" s="2" t="s">
        <v>4927</v>
      </c>
    </row>
    <row r="1304" spans="1:8" x14ac:dyDescent="0.2">
      <c r="A1304" s="2" t="s">
        <v>3343</v>
      </c>
      <c r="B1304" s="2" t="s">
        <v>1032</v>
      </c>
      <c r="C1304" s="2">
        <v>1163.838</v>
      </c>
      <c r="D1304" s="2">
        <f>HYPERLINK("http://mcb-m6.bioreg.kyushu-u.ac.jp/M3/20110318/F50607/2633/1", 77.79)</f>
        <v>77.790000000000006</v>
      </c>
      <c r="E1304" s="2">
        <v>65.569999999999993</v>
      </c>
      <c r="F1304" s="2">
        <v>2</v>
      </c>
      <c r="G1304" s="2" t="s">
        <v>9</v>
      </c>
    </row>
    <row r="1305" spans="1:8" x14ac:dyDescent="0.2">
      <c r="A1305" s="2" t="s">
        <v>3343</v>
      </c>
      <c r="B1305" s="2" t="s">
        <v>546</v>
      </c>
      <c r="C1305" s="2">
        <v>665.37159999999994</v>
      </c>
      <c r="D1305" s="2">
        <f>HYPERLINK("http://mcb-m6.bioreg.kyushu-u.ac.jp/M3/20110318/F50610/1522/2", 78.03)</f>
        <v>78.03</v>
      </c>
      <c r="E1305" s="2">
        <v>62.55</v>
      </c>
      <c r="F1305" s="2">
        <v>2</v>
      </c>
      <c r="G1305" s="2" t="s">
        <v>9</v>
      </c>
    </row>
    <row r="1306" spans="1:8" x14ac:dyDescent="0.2">
      <c r="A1306" s="2" t="s">
        <v>3343</v>
      </c>
      <c r="B1306" s="2" t="s">
        <v>546</v>
      </c>
      <c r="C1306" s="2">
        <v>664.70209999999997</v>
      </c>
      <c r="D1306" s="2">
        <f>HYPERLINK("http://mcb-m6.bioreg.kyushu-u.ac.jp/M3/20110318/F50620/1370/2", 78.92)</f>
        <v>78.92</v>
      </c>
      <c r="E1306" s="2">
        <v>58.73</v>
      </c>
      <c r="F1306" s="2">
        <v>2</v>
      </c>
      <c r="G1306" s="2" t="s">
        <v>9</v>
      </c>
    </row>
    <row r="1307" spans="1:8" x14ac:dyDescent="0.2">
      <c r="A1307" s="2" t="s">
        <v>3343</v>
      </c>
      <c r="B1307" s="2" t="s">
        <v>344</v>
      </c>
      <c r="C1307" s="2">
        <v>919.41020000000003</v>
      </c>
      <c r="D1307" s="2">
        <f>HYPERLINK("http://mcb-m6.bioreg.kyushu-u.ac.jp/M3/20110318/F50609/2068/1", 79.11)</f>
        <v>79.11</v>
      </c>
      <c r="E1307" s="2">
        <v>48.68</v>
      </c>
      <c r="F1307" s="2">
        <v>2</v>
      </c>
      <c r="G1307" s="2" t="s">
        <v>9</v>
      </c>
    </row>
    <row r="1308" spans="1:8" x14ac:dyDescent="0.2">
      <c r="A1308" s="2" t="s">
        <v>3343</v>
      </c>
      <c r="B1308" s="2" t="s">
        <v>546</v>
      </c>
      <c r="C1308" s="2">
        <v>664.75419999999997</v>
      </c>
      <c r="D1308" s="2">
        <f>HYPERLINK("http://mcb-m6.bioreg.kyushu-u.ac.jp/M3/20110318/F50620/1372/2", 79.36)</f>
        <v>79.36</v>
      </c>
      <c r="E1308" s="2">
        <v>60.92</v>
      </c>
      <c r="F1308" s="2">
        <v>2</v>
      </c>
      <c r="G1308" s="2" t="s">
        <v>9</v>
      </c>
    </row>
    <row r="1309" spans="1:8" x14ac:dyDescent="0.2">
      <c r="A1309" s="2" t="s">
        <v>3343</v>
      </c>
      <c r="B1309" s="2" t="s">
        <v>328</v>
      </c>
      <c r="C1309" s="2">
        <v>573.73419999999999</v>
      </c>
      <c r="D1309" s="2">
        <f>HYPERLINK("http://mcb-m6.bioreg.kyushu-u.ac.jp/M3/20110318/F50620/1146/1", 80.57)</f>
        <v>80.569999999999993</v>
      </c>
      <c r="E1309" s="2">
        <v>21.25</v>
      </c>
      <c r="F1309" s="2">
        <v>2</v>
      </c>
      <c r="G1309" s="2" t="s">
        <v>9</v>
      </c>
    </row>
    <row r="1310" spans="1:8" x14ac:dyDescent="0.2">
      <c r="A1310" s="2" t="s">
        <v>3343</v>
      </c>
      <c r="B1310" s="2" t="s">
        <v>325</v>
      </c>
      <c r="C1310" s="2">
        <v>739.72519999999997</v>
      </c>
      <c r="D1310" s="2">
        <f>HYPERLINK("http://mcb-m6.bioreg.kyushu-u.ac.jp/M3/20110318/F50620/1623/1", 82.13)</f>
        <v>82.13</v>
      </c>
      <c r="E1310" s="2">
        <v>62.82</v>
      </c>
      <c r="F1310" s="2">
        <v>2</v>
      </c>
      <c r="G1310" s="2" t="s">
        <v>9</v>
      </c>
    </row>
    <row r="1311" spans="1:8" x14ac:dyDescent="0.2">
      <c r="A1311" s="2" t="s">
        <v>3343</v>
      </c>
      <c r="B1311" s="2" t="s">
        <v>546</v>
      </c>
      <c r="C1311" s="2">
        <v>664.99770000000001</v>
      </c>
      <c r="D1311" s="2">
        <f>HYPERLINK("http://mcb-m6.bioreg.kyushu-u.ac.jp/M3/20110318/F50607/1294/2", 82.27)</f>
        <v>82.27</v>
      </c>
      <c r="E1311" s="2">
        <v>65.8</v>
      </c>
      <c r="F1311" s="2">
        <v>2</v>
      </c>
      <c r="G1311" s="2" t="s">
        <v>9</v>
      </c>
    </row>
    <row r="1312" spans="1:8" x14ac:dyDescent="0.2">
      <c r="A1312" s="2" t="s">
        <v>3343</v>
      </c>
      <c r="B1312" s="2" t="s">
        <v>1002</v>
      </c>
      <c r="C1312" s="2">
        <v>1147.617</v>
      </c>
      <c r="D1312" s="2">
        <f>HYPERLINK("http://mcb-m6.bioreg.kyushu-u.ac.jp/M3/20110318/F50620/2865/1", 82.73)</f>
        <v>82.73</v>
      </c>
      <c r="E1312" s="2">
        <v>69.8</v>
      </c>
      <c r="F1312" s="2">
        <v>2</v>
      </c>
      <c r="G1312" s="2" t="s">
        <v>9</v>
      </c>
    </row>
    <row r="1313" spans="1:8" x14ac:dyDescent="0.2">
      <c r="A1313" s="2" t="s">
        <v>3343</v>
      </c>
      <c r="B1313" s="2" t="s">
        <v>509</v>
      </c>
      <c r="C1313" s="2">
        <v>725.3107</v>
      </c>
      <c r="D1313" s="2">
        <f>HYPERLINK("http://mcb-m6.bioreg.kyushu-u.ac.jp/M3/20110318/F50620/1544/1", 83.94)</f>
        <v>83.94</v>
      </c>
      <c r="E1313" s="2">
        <v>64.930000000000007</v>
      </c>
      <c r="F1313" s="2">
        <v>2</v>
      </c>
      <c r="G1313" s="2" t="s">
        <v>9</v>
      </c>
      <c r="H1313" s="2" t="s">
        <v>4927</v>
      </c>
    </row>
    <row r="1314" spans="1:8" x14ac:dyDescent="0.2">
      <c r="A1314" s="2" t="s">
        <v>3343</v>
      </c>
      <c r="B1314" s="2" t="s">
        <v>546</v>
      </c>
      <c r="C1314" s="2">
        <v>664.74620000000004</v>
      </c>
      <c r="D1314" s="2">
        <f>HYPERLINK("http://mcb-m6.bioreg.kyushu-u.ac.jp/M3/20110318/F50621/1288/2", 85)</f>
        <v>85</v>
      </c>
      <c r="E1314" s="2">
        <v>62.11</v>
      </c>
      <c r="F1314" s="2">
        <v>2</v>
      </c>
      <c r="G1314" s="2" t="s">
        <v>9</v>
      </c>
    </row>
    <row r="1315" spans="1:8" x14ac:dyDescent="0.2">
      <c r="A1315" s="2" t="s">
        <v>3343</v>
      </c>
      <c r="B1315" s="2" t="s">
        <v>1002</v>
      </c>
      <c r="C1315" s="2">
        <v>1147.865</v>
      </c>
      <c r="D1315" s="2">
        <f>HYPERLINK("http://mcb-m6.bioreg.kyushu-u.ac.jp/M3/20110318/F50621/2517/1", 85.86)</f>
        <v>85.86</v>
      </c>
      <c r="E1315" s="2">
        <v>78.48</v>
      </c>
      <c r="F1315" s="2">
        <v>2</v>
      </c>
      <c r="G1315" s="2" t="s">
        <v>9</v>
      </c>
    </row>
    <row r="1316" spans="1:8" x14ac:dyDescent="0.2">
      <c r="A1316" s="2" t="s">
        <v>3343</v>
      </c>
      <c r="B1316" s="2" t="s">
        <v>344</v>
      </c>
      <c r="C1316" s="2">
        <v>919.33119999999997</v>
      </c>
      <c r="D1316" s="2">
        <f>HYPERLINK("http://mcb-m6.bioreg.kyushu-u.ac.jp/M3/20110318/F50608/2027/1", 85.91)</f>
        <v>85.91</v>
      </c>
      <c r="E1316" s="2">
        <v>60.2</v>
      </c>
      <c r="F1316" s="2">
        <v>2</v>
      </c>
      <c r="G1316" s="2" t="s">
        <v>9</v>
      </c>
    </row>
    <row r="1317" spans="1:8" x14ac:dyDescent="0.2">
      <c r="A1317" s="2" t="s">
        <v>3343</v>
      </c>
      <c r="B1317" s="2" t="s">
        <v>1002</v>
      </c>
      <c r="C1317" s="2">
        <v>1147.268</v>
      </c>
      <c r="D1317" s="2">
        <f>HYPERLINK("http://mcb-m6.bioreg.kyushu-u.ac.jp/M3/20110318/F50618/3048/1", 88.32)</f>
        <v>88.32</v>
      </c>
      <c r="E1317" s="2">
        <v>77.8</v>
      </c>
      <c r="F1317" s="2">
        <v>2</v>
      </c>
      <c r="G1317" s="2" t="s">
        <v>9</v>
      </c>
    </row>
    <row r="1318" spans="1:8" x14ac:dyDescent="0.2">
      <c r="A1318" s="2" t="s">
        <v>3343</v>
      </c>
      <c r="B1318" s="2" t="s">
        <v>1211</v>
      </c>
      <c r="C1318" s="2">
        <v>1161.375</v>
      </c>
      <c r="D1318" s="2">
        <f>HYPERLINK("http://mcb-m6.bioreg.kyushu-u.ac.jp/M3/20110318/F50620/2939/1", 90.85)</f>
        <v>90.85</v>
      </c>
      <c r="E1318" s="2">
        <v>72.72</v>
      </c>
      <c r="F1318" s="2">
        <v>2</v>
      </c>
      <c r="G1318" s="2" t="s">
        <v>9</v>
      </c>
      <c r="H1318" s="2" t="s">
        <v>4891</v>
      </c>
    </row>
    <row r="1319" spans="1:8" x14ac:dyDescent="0.2">
      <c r="A1319" s="2" t="s">
        <v>3343</v>
      </c>
      <c r="B1319" s="2" t="s">
        <v>1189</v>
      </c>
      <c r="C1319" s="2">
        <v>1069.3610000000001</v>
      </c>
      <c r="D1319" s="2">
        <f>HYPERLINK("http://mcb-m6.bioreg.kyushu-u.ac.jp/M3/20110318/F50609/2335/1", 91.97)</f>
        <v>91.97</v>
      </c>
      <c r="E1319" s="2">
        <v>77.209999999999994</v>
      </c>
      <c r="F1319" s="2">
        <v>2</v>
      </c>
      <c r="G1319" s="2" t="s">
        <v>9</v>
      </c>
    </row>
    <row r="1320" spans="1:8" x14ac:dyDescent="0.2">
      <c r="A1320" s="2" t="s">
        <v>3343</v>
      </c>
      <c r="B1320" s="2" t="s">
        <v>344</v>
      </c>
      <c r="C1320" s="2">
        <v>919.29819999999995</v>
      </c>
      <c r="D1320" s="2">
        <f>HYPERLINK("http://mcb-m6.bioreg.kyushu-u.ac.jp/M3/20110318/F50620/2299/1", 92.31)</f>
        <v>92.31</v>
      </c>
      <c r="E1320" s="2">
        <v>64.73</v>
      </c>
      <c r="F1320" s="2">
        <v>2</v>
      </c>
      <c r="G1320" s="2" t="s">
        <v>9</v>
      </c>
    </row>
    <row r="1321" spans="1:8" x14ac:dyDescent="0.2">
      <c r="A1321" s="2" t="s">
        <v>3343</v>
      </c>
      <c r="B1321" s="2" t="s">
        <v>1032</v>
      </c>
      <c r="C1321" s="2">
        <v>1163.8520000000001</v>
      </c>
      <c r="D1321" s="2">
        <f>HYPERLINK("http://mcb-m6.bioreg.kyushu-u.ac.jp/M3/20110318/F50621/2578/1", 98.98)</f>
        <v>98.98</v>
      </c>
      <c r="E1321" s="2">
        <v>84.31</v>
      </c>
      <c r="F1321" s="2">
        <v>2</v>
      </c>
      <c r="G1321" s="2" t="s">
        <v>9</v>
      </c>
    </row>
    <row r="1322" spans="1:8" x14ac:dyDescent="0.2">
      <c r="A1322" s="2" t="s">
        <v>3343</v>
      </c>
      <c r="B1322" s="2" t="s">
        <v>344</v>
      </c>
      <c r="C1322" s="2">
        <v>1837.6079999999999</v>
      </c>
      <c r="D1322" s="2">
        <f>HYPERLINK("http://mcb-m6.bioreg.kyushu-u.ac.jp/M3/20110318/F50620/2300/1", 100.37)</f>
        <v>100.37</v>
      </c>
      <c r="E1322" s="2">
        <v>70.88</v>
      </c>
      <c r="F1322" s="2">
        <v>1</v>
      </c>
      <c r="G1322" s="2" t="s">
        <v>9</v>
      </c>
    </row>
    <row r="1323" spans="1:8" x14ac:dyDescent="0.2">
      <c r="A1323" s="2" t="s">
        <v>3343</v>
      </c>
      <c r="B1323" s="2" t="s">
        <v>1189</v>
      </c>
      <c r="C1323" s="2">
        <v>1069.2560000000001</v>
      </c>
      <c r="D1323" s="2">
        <f>HYPERLINK("http://mcb-m6.bioreg.kyushu-u.ac.jp/M3/20110318/F50621/2314/1", 100.47)</f>
        <v>100.47</v>
      </c>
      <c r="E1323" s="2">
        <v>75.56</v>
      </c>
      <c r="F1323" s="2">
        <v>2</v>
      </c>
      <c r="G1323" s="2" t="s">
        <v>9</v>
      </c>
    </row>
    <row r="1324" spans="1:8" x14ac:dyDescent="0.2">
      <c r="A1324" s="2" t="s">
        <v>3343</v>
      </c>
      <c r="B1324" s="2" t="s">
        <v>1032</v>
      </c>
      <c r="C1324" s="2">
        <v>1163.3820000000001</v>
      </c>
      <c r="D1324" s="2">
        <f>HYPERLINK("http://mcb-m6.bioreg.kyushu-u.ac.jp/M3/20110318/F50620/2951/1", 106.04)</f>
        <v>106.04</v>
      </c>
      <c r="E1324" s="2">
        <v>94.9</v>
      </c>
      <c r="F1324" s="2">
        <v>2</v>
      </c>
      <c r="G1324" s="2" t="s">
        <v>9</v>
      </c>
    </row>
    <row r="1325" spans="1:8" x14ac:dyDescent="0.2">
      <c r="A1325" s="2" t="s">
        <v>3343</v>
      </c>
      <c r="B1325" s="2" t="s">
        <v>1189</v>
      </c>
      <c r="C1325" s="2">
        <v>1069.873</v>
      </c>
      <c r="D1325" s="2">
        <f>HYPERLINK("http://mcb-m6.bioreg.kyushu-u.ac.jp/M3/20110318/F50609/2337/1", 108.96)</f>
        <v>108.96</v>
      </c>
      <c r="E1325" s="2">
        <v>93.84</v>
      </c>
      <c r="F1325" s="2">
        <v>2</v>
      </c>
      <c r="G1325" s="2" t="s">
        <v>9</v>
      </c>
    </row>
    <row r="1326" spans="1:8" x14ac:dyDescent="0.2">
      <c r="A1326" s="2" t="s">
        <v>3343</v>
      </c>
      <c r="B1326" s="2" t="s">
        <v>1032</v>
      </c>
      <c r="C1326" s="2">
        <v>1163.922</v>
      </c>
      <c r="D1326" s="2">
        <f>HYPERLINK("http://mcb-m6.bioreg.kyushu-u.ac.jp/M3/20110318/F50620/2954/1", 110.88)</f>
        <v>110.88</v>
      </c>
      <c r="E1326" s="2">
        <v>98.55</v>
      </c>
      <c r="F1326" s="2">
        <v>2</v>
      </c>
      <c r="G1326" s="2" t="s">
        <v>9</v>
      </c>
    </row>
    <row r="1327" spans="1:8" x14ac:dyDescent="0.2">
      <c r="A1327" s="2" t="s">
        <v>3343</v>
      </c>
      <c r="B1327" s="2" t="s">
        <v>1189</v>
      </c>
      <c r="C1327" s="2">
        <v>1069.8430000000001</v>
      </c>
      <c r="D1327" s="2">
        <f>HYPERLINK("http://mcb-m6.bioreg.kyushu-u.ac.jp/M3/20110318/F50620/2626/1", 113.26)</f>
        <v>113.26</v>
      </c>
      <c r="E1327" s="2">
        <v>92.09</v>
      </c>
      <c r="F1327" s="2">
        <v>2</v>
      </c>
      <c r="G1327" s="2" t="s">
        <v>9</v>
      </c>
    </row>
    <row r="1328" spans="1:8" x14ac:dyDescent="0.2">
      <c r="A1328" s="2" t="s">
        <v>3343</v>
      </c>
      <c r="B1328" s="2" t="s">
        <v>1189</v>
      </c>
      <c r="C1328" s="2">
        <v>1069.5719999999999</v>
      </c>
      <c r="D1328" s="2">
        <f>HYPERLINK("http://mcb-m6.bioreg.kyushu-u.ac.jp/M3/20110318/F50607/2365/1", 117.36)</f>
        <v>117.36</v>
      </c>
      <c r="E1328" s="2">
        <v>103.75</v>
      </c>
      <c r="F1328" s="2">
        <v>2</v>
      </c>
      <c r="G1328" s="2" t="s">
        <v>9</v>
      </c>
    </row>
    <row r="1329" spans="1:8" x14ac:dyDescent="0.2">
      <c r="A1329" s="2" t="s">
        <v>3343</v>
      </c>
      <c r="B1329" s="2" t="s">
        <v>1189</v>
      </c>
      <c r="C1329" s="2">
        <v>1069.2560000000001</v>
      </c>
      <c r="D1329" s="2">
        <f>HYPERLINK("http://mcb-m6.bioreg.kyushu-u.ac.jp/M3/20110318/F50620/2624/1", 119.52)</f>
        <v>119.52</v>
      </c>
      <c r="E1329" s="2">
        <v>102.91</v>
      </c>
      <c r="F1329" s="2">
        <v>2</v>
      </c>
      <c r="G1329" s="2" t="s">
        <v>9</v>
      </c>
    </row>
    <row r="1330" spans="1:8" x14ac:dyDescent="0.2">
      <c r="A1330" s="2" t="s">
        <v>3343</v>
      </c>
      <c r="B1330" s="2" t="s">
        <v>1032</v>
      </c>
      <c r="C1330" s="2">
        <v>1164.162</v>
      </c>
      <c r="D1330" s="2">
        <f>HYPERLINK("http://mcb-m6.bioreg.kyushu-u.ac.jp/M3/20110318/F50620/2958/1", 121.7)</f>
        <v>121.7</v>
      </c>
      <c r="E1330" s="2">
        <v>100.65</v>
      </c>
      <c r="F1330" s="2">
        <v>2</v>
      </c>
      <c r="G1330" s="2" t="s">
        <v>9</v>
      </c>
    </row>
    <row r="1331" spans="1:8" x14ac:dyDescent="0.2">
      <c r="A1331" s="2" t="s">
        <v>3343</v>
      </c>
      <c r="B1331" s="2" t="s">
        <v>325</v>
      </c>
      <c r="C1331" s="2">
        <v>747.26670000000001</v>
      </c>
      <c r="D1331" s="2">
        <f>HYPERLINK("http://mcb-m6.bioreg.kyushu-u.ac.jp/M3/20110318/F50617/1599/1", 35.86)</f>
        <v>35.86</v>
      </c>
      <c r="E1331" s="2">
        <v>28.16</v>
      </c>
      <c r="F1331" s="2">
        <v>2</v>
      </c>
      <c r="G1331" s="2" t="s">
        <v>10</v>
      </c>
      <c r="H1331" s="2" t="s">
        <v>4925</v>
      </c>
    </row>
    <row r="1332" spans="1:8" x14ac:dyDescent="0.2">
      <c r="A1332" s="2" t="s">
        <v>3343</v>
      </c>
      <c r="B1332" s="2" t="s">
        <v>344</v>
      </c>
      <c r="C1332" s="2">
        <v>613.59649999999999</v>
      </c>
      <c r="D1332" s="2">
        <f>HYPERLINK("http://mcb-m6.bioreg.kyushu-u.ac.jp/M3/20110318/F50597/2267/1", 36.79)</f>
        <v>36.79</v>
      </c>
      <c r="E1332" s="2">
        <v>22.34</v>
      </c>
      <c r="F1332" s="2">
        <v>3</v>
      </c>
      <c r="G1332" s="2" t="s">
        <v>10</v>
      </c>
    </row>
    <row r="1333" spans="1:8" x14ac:dyDescent="0.2">
      <c r="A1333" s="2" t="s">
        <v>3343</v>
      </c>
      <c r="B1333" s="2" t="s">
        <v>428</v>
      </c>
      <c r="C1333" s="2">
        <v>451.93509999999998</v>
      </c>
      <c r="D1333" s="2">
        <f>HYPERLINK("http://mcb-m6.bioreg.kyushu-u.ac.jp/M3/20110318/F50617/882/1", 37.77)</f>
        <v>37.770000000000003</v>
      </c>
      <c r="E1333" s="2">
        <v>13.04</v>
      </c>
      <c r="F1333" s="2">
        <v>2</v>
      </c>
      <c r="G1333" s="2" t="s">
        <v>10</v>
      </c>
    </row>
    <row r="1334" spans="1:8" x14ac:dyDescent="0.2">
      <c r="A1334" s="2" t="s">
        <v>3343</v>
      </c>
      <c r="B1334" s="2" t="s">
        <v>325</v>
      </c>
      <c r="C1334" s="2">
        <v>493.19420000000002</v>
      </c>
      <c r="D1334" s="2">
        <f>HYPERLINK("http://mcb-m6.bioreg.kyushu-u.ac.jp/M3/20110318/F50617/1551/1", 38.8)</f>
        <v>38.799999999999997</v>
      </c>
      <c r="E1334" s="2">
        <v>21.83</v>
      </c>
      <c r="F1334" s="2">
        <v>3</v>
      </c>
      <c r="G1334" s="2" t="s">
        <v>10</v>
      </c>
    </row>
    <row r="1335" spans="1:8" x14ac:dyDescent="0.2">
      <c r="A1335" s="2" t="s">
        <v>3343</v>
      </c>
      <c r="B1335" s="2" t="s">
        <v>704</v>
      </c>
      <c r="C1335" s="2">
        <v>602.8107</v>
      </c>
      <c r="D1335" s="2">
        <f>HYPERLINK("http://mcb-m6.bioreg.kyushu-u.ac.jp/M3/20110318/F50597/1158/1", 40.91)</f>
        <v>40.909999999999997</v>
      </c>
      <c r="E1335" s="2">
        <v>9.6199999999999992</v>
      </c>
      <c r="F1335" s="2">
        <v>2</v>
      </c>
      <c r="G1335" s="2" t="s">
        <v>10</v>
      </c>
    </row>
    <row r="1336" spans="1:8" x14ac:dyDescent="0.2">
      <c r="A1336" s="2" t="s">
        <v>3343</v>
      </c>
      <c r="B1336" s="2" t="s">
        <v>132</v>
      </c>
      <c r="C1336" s="2">
        <v>1155.4000000000001</v>
      </c>
      <c r="D1336" s="2">
        <f>HYPERLINK("http://mcb-m6.bioreg.kyushu-u.ac.jp/M3/20110318/F50616/1152/1", 41.08)</f>
        <v>41.08</v>
      </c>
      <c r="E1336" s="2">
        <v>21.16</v>
      </c>
      <c r="F1336" s="2">
        <v>1</v>
      </c>
      <c r="G1336" s="2" t="s">
        <v>10</v>
      </c>
    </row>
    <row r="1337" spans="1:8" x14ac:dyDescent="0.2">
      <c r="A1337" s="2" t="s">
        <v>3343</v>
      </c>
      <c r="B1337" s="2" t="s">
        <v>344</v>
      </c>
      <c r="C1337" s="2">
        <v>919.85019999999997</v>
      </c>
      <c r="D1337" s="2">
        <f>HYPERLINK("http://mcb-m6.bioreg.kyushu-u.ac.jp/M3/20110318/F50617/2134/1", 41.11)</f>
        <v>41.11</v>
      </c>
      <c r="E1337" s="2">
        <v>20.58</v>
      </c>
      <c r="F1337" s="2">
        <v>2</v>
      </c>
      <c r="G1337" s="2" t="s">
        <v>10</v>
      </c>
    </row>
    <row r="1338" spans="1:8" x14ac:dyDescent="0.2">
      <c r="A1338" s="2" t="s">
        <v>3343</v>
      </c>
      <c r="B1338" s="2" t="s">
        <v>325</v>
      </c>
      <c r="C1338" s="2">
        <v>747.21119999999996</v>
      </c>
      <c r="D1338" s="2">
        <f>HYPERLINK("http://mcb-m6.bioreg.kyushu-u.ac.jp/M3/20110318/F50616/1680/1", 41.28)</f>
        <v>41.28</v>
      </c>
      <c r="E1338" s="2">
        <v>28.78</v>
      </c>
      <c r="F1338" s="2">
        <v>2</v>
      </c>
      <c r="G1338" s="2" t="s">
        <v>10</v>
      </c>
      <c r="H1338" s="2" t="s">
        <v>4925</v>
      </c>
    </row>
    <row r="1339" spans="1:8" x14ac:dyDescent="0.2">
      <c r="A1339" s="2" t="s">
        <v>3343</v>
      </c>
      <c r="B1339" s="2" t="s">
        <v>704</v>
      </c>
      <c r="C1339" s="2">
        <v>602.94960000000003</v>
      </c>
      <c r="D1339" s="2">
        <f>HYPERLINK("http://mcb-m6.bioreg.kyushu-u.ac.jp/M3/20110318/F50599/1376/1", 42.16)</f>
        <v>42.16</v>
      </c>
      <c r="E1339" s="2">
        <v>10.88</v>
      </c>
      <c r="F1339" s="2">
        <v>2</v>
      </c>
      <c r="G1339" s="2" t="s">
        <v>10</v>
      </c>
    </row>
    <row r="1340" spans="1:8" x14ac:dyDescent="0.2">
      <c r="A1340" s="2" t="s">
        <v>3343</v>
      </c>
      <c r="B1340" s="2" t="s">
        <v>325</v>
      </c>
      <c r="C1340" s="2">
        <v>747.73969999999997</v>
      </c>
      <c r="D1340" s="2">
        <f>HYPERLINK("http://mcb-m6.bioreg.kyushu-u.ac.jp/M3/20110318/F50617/1602/1", 42.47)</f>
        <v>42.47</v>
      </c>
      <c r="E1340" s="2">
        <v>27.17</v>
      </c>
      <c r="F1340" s="2">
        <v>2</v>
      </c>
      <c r="G1340" s="2" t="s">
        <v>10</v>
      </c>
      <c r="H1340" s="2" t="s">
        <v>4925</v>
      </c>
    </row>
    <row r="1341" spans="1:8" x14ac:dyDescent="0.2">
      <c r="A1341" s="2" t="s">
        <v>3343</v>
      </c>
      <c r="B1341" s="2" t="s">
        <v>325</v>
      </c>
      <c r="C1341" s="2">
        <v>498.59820000000002</v>
      </c>
      <c r="D1341" s="2">
        <f>HYPERLINK("http://mcb-m6.bioreg.kyushu-u.ac.jp/M3/20110318/F50617/1600/1", 42.7)</f>
        <v>42.7</v>
      </c>
      <c r="E1341" s="2">
        <v>21.25</v>
      </c>
      <c r="F1341" s="2">
        <v>3</v>
      </c>
      <c r="G1341" s="2" t="s">
        <v>10</v>
      </c>
      <c r="H1341" s="2" t="s">
        <v>4925</v>
      </c>
    </row>
    <row r="1342" spans="1:8" x14ac:dyDescent="0.2">
      <c r="A1342" s="2" t="s">
        <v>3343</v>
      </c>
      <c r="B1342" s="2" t="s">
        <v>132</v>
      </c>
      <c r="C1342" s="2">
        <v>578.84720000000004</v>
      </c>
      <c r="D1342" s="2">
        <f>HYPERLINK("http://mcb-m6.bioreg.kyushu-u.ac.jp/M3/20110318/F50615/1004/1", 43.31)</f>
        <v>43.31</v>
      </c>
      <c r="E1342" s="2">
        <v>21.09</v>
      </c>
      <c r="F1342" s="2">
        <v>2</v>
      </c>
      <c r="G1342" s="2" t="s">
        <v>10</v>
      </c>
    </row>
    <row r="1343" spans="1:8" x14ac:dyDescent="0.2">
      <c r="A1343" s="2" t="s">
        <v>3343</v>
      </c>
      <c r="B1343" s="2" t="s">
        <v>132</v>
      </c>
      <c r="C1343" s="2">
        <v>578.41269999999997</v>
      </c>
      <c r="D1343" s="2">
        <f>HYPERLINK("http://mcb-m6.bioreg.kyushu-u.ac.jp/M3/20110318/F50599/1326/1", 43.82)</f>
        <v>43.82</v>
      </c>
      <c r="E1343" s="2">
        <v>20.09</v>
      </c>
      <c r="F1343" s="2">
        <v>2</v>
      </c>
      <c r="G1343" s="2" t="s">
        <v>10</v>
      </c>
    </row>
    <row r="1344" spans="1:8" x14ac:dyDescent="0.2">
      <c r="A1344" s="2" t="s">
        <v>3343</v>
      </c>
      <c r="B1344" s="2" t="s">
        <v>1211</v>
      </c>
      <c r="C1344" s="2">
        <v>769.30510000000004</v>
      </c>
      <c r="D1344" s="2">
        <f>HYPERLINK("http://mcb-m6.bioreg.kyushu-u.ac.jp/M3/20110318/F50616/2924/1", 44.32)</f>
        <v>44.32</v>
      </c>
      <c r="E1344" s="2">
        <v>19.399999999999999</v>
      </c>
      <c r="F1344" s="2">
        <v>3</v>
      </c>
      <c r="G1344" s="2" t="s">
        <v>10</v>
      </c>
    </row>
    <row r="1345" spans="1:8" x14ac:dyDescent="0.2">
      <c r="A1345" s="2" t="s">
        <v>3343</v>
      </c>
      <c r="B1345" s="2" t="s">
        <v>509</v>
      </c>
      <c r="C1345" s="2">
        <v>725.70420000000001</v>
      </c>
      <c r="D1345" s="2">
        <f>HYPERLINK("http://mcb-m6.bioreg.kyushu-u.ac.jp/M3/20110318/F50617/1490/1", 44.4)</f>
        <v>44.4</v>
      </c>
      <c r="E1345" s="2">
        <v>34.85</v>
      </c>
      <c r="F1345" s="2">
        <v>2</v>
      </c>
      <c r="G1345" s="2" t="s">
        <v>10</v>
      </c>
      <c r="H1345" s="2" t="s">
        <v>4927</v>
      </c>
    </row>
    <row r="1346" spans="1:8" x14ac:dyDescent="0.2">
      <c r="A1346" s="2" t="s">
        <v>3343</v>
      </c>
      <c r="B1346" s="2" t="s">
        <v>428</v>
      </c>
      <c r="C1346" s="2">
        <v>451.89409999999998</v>
      </c>
      <c r="D1346" s="2">
        <f>HYPERLINK("http://mcb-m6.bioreg.kyushu-u.ac.jp/M3/20110318/F50597/768/1", 44.67)</f>
        <v>44.67</v>
      </c>
      <c r="E1346" s="2">
        <v>15.97</v>
      </c>
      <c r="F1346" s="2">
        <v>2</v>
      </c>
      <c r="G1346" s="2" t="s">
        <v>10</v>
      </c>
    </row>
    <row r="1347" spans="1:8" x14ac:dyDescent="0.2">
      <c r="A1347" s="2" t="s">
        <v>3343</v>
      </c>
      <c r="B1347" s="2" t="s">
        <v>509</v>
      </c>
      <c r="C1347" s="2">
        <v>1432.7249999999999</v>
      </c>
      <c r="D1347" s="2">
        <f>HYPERLINK("http://mcb-m6.bioreg.kyushu-u.ac.jp/M3/20110318/F50616/1513/1", 45.23)</f>
        <v>45.23</v>
      </c>
      <c r="E1347" s="2">
        <v>33.29</v>
      </c>
      <c r="F1347" s="2">
        <v>1</v>
      </c>
      <c r="G1347" s="2" t="s">
        <v>10</v>
      </c>
      <c r="H1347" s="2" t="s">
        <v>4931</v>
      </c>
    </row>
    <row r="1348" spans="1:8" x14ac:dyDescent="0.2">
      <c r="A1348" s="2" t="s">
        <v>3343</v>
      </c>
      <c r="B1348" s="2" t="s">
        <v>558</v>
      </c>
      <c r="C1348" s="2">
        <v>1457.7840000000001</v>
      </c>
      <c r="D1348" s="2">
        <f>HYPERLINK("http://mcb-m6.bioreg.kyushu-u.ac.jp/M3/20110318/F50616/1569/1", 45.78)</f>
        <v>45.78</v>
      </c>
      <c r="E1348" s="2">
        <v>29.8</v>
      </c>
      <c r="F1348" s="2">
        <v>1</v>
      </c>
      <c r="G1348" s="2" t="s">
        <v>10</v>
      </c>
    </row>
    <row r="1349" spans="1:8" x14ac:dyDescent="0.2">
      <c r="A1349" s="2" t="s">
        <v>3343</v>
      </c>
      <c r="B1349" s="2" t="s">
        <v>132</v>
      </c>
      <c r="C1349" s="2">
        <v>1155.9100000000001</v>
      </c>
      <c r="D1349" s="2">
        <f>HYPERLINK("http://mcb-m6.bioreg.kyushu-u.ac.jp/M3/20110318/F50617/1166/1", 46.25)</f>
        <v>46.25</v>
      </c>
      <c r="E1349" s="2">
        <v>17.89</v>
      </c>
      <c r="F1349" s="2">
        <v>1</v>
      </c>
      <c r="G1349" s="2" t="s">
        <v>10</v>
      </c>
    </row>
    <row r="1350" spans="1:8" x14ac:dyDescent="0.2">
      <c r="A1350" s="2" t="s">
        <v>3343</v>
      </c>
      <c r="B1350" s="2" t="s">
        <v>344</v>
      </c>
      <c r="C1350" s="2">
        <v>919.64509999999996</v>
      </c>
      <c r="D1350" s="2">
        <f>HYPERLINK("http://mcb-m6.bioreg.kyushu-u.ac.jp/M3/20110318/F50617/2132/1", 46.38)</f>
        <v>46.38</v>
      </c>
      <c r="E1350" s="2">
        <v>28.68</v>
      </c>
      <c r="F1350" s="2">
        <v>2</v>
      </c>
      <c r="G1350" s="2" t="s">
        <v>10</v>
      </c>
    </row>
    <row r="1351" spans="1:8" x14ac:dyDescent="0.2">
      <c r="A1351" s="2" t="s">
        <v>3343</v>
      </c>
      <c r="B1351" s="2" t="s">
        <v>704</v>
      </c>
      <c r="C1351" s="2">
        <v>610.91560000000004</v>
      </c>
      <c r="D1351" s="2">
        <f>HYPERLINK("http://mcb-m6.bioreg.kyushu-u.ac.jp/M3/20110318/F50600/1263/1", 46.45)</f>
        <v>46.45</v>
      </c>
      <c r="E1351" s="2">
        <v>15.32</v>
      </c>
      <c r="F1351" s="2">
        <v>2</v>
      </c>
      <c r="G1351" s="2" t="s">
        <v>10</v>
      </c>
      <c r="H1351" s="2" t="s">
        <v>4908</v>
      </c>
    </row>
    <row r="1352" spans="1:8" x14ac:dyDescent="0.2">
      <c r="A1352" s="2" t="s">
        <v>3343</v>
      </c>
      <c r="B1352" s="2" t="s">
        <v>132</v>
      </c>
      <c r="C1352" s="2">
        <v>578.78420000000006</v>
      </c>
      <c r="D1352" s="2">
        <f>HYPERLINK("http://mcb-m6.bioreg.kyushu-u.ac.jp/M3/20110318/F50616/1162/1", 46.58)</f>
        <v>46.58</v>
      </c>
      <c r="E1352" s="2">
        <v>26.03</v>
      </c>
      <c r="F1352" s="2">
        <v>2</v>
      </c>
      <c r="G1352" s="2" t="s">
        <v>10</v>
      </c>
    </row>
    <row r="1353" spans="1:8" x14ac:dyDescent="0.2">
      <c r="A1353" s="2" t="s">
        <v>3343</v>
      </c>
      <c r="B1353" s="2" t="s">
        <v>1002</v>
      </c>
      <c r="C1353" s="2">
        <v>765.56849999999997</v>
      </c>
      <c r="D1353" s="2">
        <f>HYPERLINK("http://mcb-m6.bioreg.kyushu-u.ac.jp/M3/20110318/F50616/2894/1", 47.19)</f>
        <v>47.19</v>
      </c>
      <c r="E1353" s="2">
        <v>28.78</v>
      </c>
      <c r="F1353" s="2">
        <v>3</v>
      </c>
      <c r="G1353" s="2" t="s">
        <v>10</v>
      </c>
    </row>
    <row r="1354" spans="1:8" x14ac:dyDescent="0.2">
      <c r="A1354" s="2" t="s">
        <v>3343</v>
      </c>
      <c r="B1354" s="2" t="s">
        <v>704</v>
      </c>
      <c r="C1354" s="2">
        <v>610.89319999999998</v>
      </c>
      <c r="D1354" s="2">
        <f>HYPERLINK("http://mcb-m6.bioreg.kyushu-u.ac.jp/M3/20110318/F50598/1271/1", 47.32)</f>
        <v>47.32</v>
      </c>
      <c r="E1354" s="2">
        <v>17.37</v>
      </c>
      <c r="F1354" s="2">
        <v>2</v>
      </c>
      <c r="G1354" s="2" t="s">
        <v>10</v>
      </c>
      <c r="H1354" s="2" t="s">
        <v>4908</v>
      </c>
    </row>
    <row r="1355" spans="1:8" x14ac:dyDescent="0.2">
      <c r="A1355" s="2" t="s">
        <v>3343</v>
      </c>
      <c r="B1355" s="2" t="s">
        <v>428</v>
      </c>
      <c r="C1355" s="2">
        <v>452.05160000000001</v>
      </c>
      <c r="D1355" s="2">
        <f>HYPERLINK("http://mcb-m6.bioreg.kyushu-u.ac.jp/M3/20110318/F50616/817/1", 47.35)</f>
        <v>47.35</v>
      </c>
      <c r="E1355" s="2">
        <v>20.23</v>
      </c>
      <c r="F1355" s="2">
        <v>2</v>
      </c>
      <c r="G1355" s="2" t="s">
        <v>10</v>
      </c>
    </row>
    <row r="1356" spans="1:8" x14ac:dyDescent="0.2">
      <c r="A1356" s="2" t="s">
        <v>3343</v>
      </c>
      <c r="B1356" s="2" t="s">
        <v>328</v>
      </c>
      <c r="C1356" s="2">
        <v>574.36159999999995</v>
      </c>
      <c r="D1356" s="2">
        <f>HYPERLINK("http://mcb-m6.bioreg.kyushu-u.ac.jp/M3/20110318/F50616/1143/1", 48.53)</f>
        <v>48.53</v>
      </c>
      <c r="E1356" s="2">
        <v>16.36</v>
      </c>
      <c r="F1356" s="2">
        <v>2</v>
      </c>
      <c r="G1356" s="2" t="s">
        <v>10</v>
      </c>
    </row>
    <row r="1357" spans="1:8" x14ac:dyDescent="0.2">
      <c r="A1357" s="2" t="s">
        <v>3343</v>
      </c>
      <c r="B1357" s="2" t="s">
        <v>210</v>
      </c>
      <c r="C1357" s="2">
        <v>1108.444</v>
      </c>
      <c r="D1357" s="2">
        <f>HYPERLINK("http://mcb-m6.bioreg.kyushu-u.ac.jp/M3/20110318/F50616/1099/1", 49.09)</f>
        <v>49.09</v>
      </c>
      <c r="E1357" s="2">
        <v>30.95</v>
      </c>
      <c r="F1357" s="2">
        <v>1</v>
      </c>
      <c r="G1357" s="2" t="s">
        <v>10</v>
      </c>
      <c r="H1357" s="2" t="s">
        <v>4910</v>
      </c>
    </row>
    <row r="1358" spans="1:8" x14ac:dyDescent="0.2">
      <c r="A1358" s="2" t="s">
        <v>3343</v>
      </c>
      <c r="B1358" s="2" t="s">
        <v>509</v>
      </c>
      <c r="C1358" s="2">
        <v>1449.674</v>
      </c>
      <c r="D1358" s="2">
        <f>HYPERLINK("http://mcb-m6.bioreg.kyushu-u.ac.jp/M3/20110318/F50616/1555/1", 49.11)</f>
        <v>49.11</v>
      </c>
      <c r="E1358" s="2">
        <v>33.03</v>
      </c>
      <c r="F1358" s="2">
        <v>1</v>
      </c>
      <c r="G1358" s="2" t="s">
        <v>10</v>
      </c>
      <c r="H1358" s="2" t="s">
        <v>4927</v>
      </c>
    </row>
    <row r="1359" spans="1:8" x14ac:dyDescent="0.2">
      <c r="A1359" s="2" t="s">
        <v>3343</v>
      </c>
      <c r="B1359" s="2" t="s">
        <v>132</v>
      </c>
      <c r="C1359" s="2">
        <v>578.51819999999998</v>
      </c>
      <c r="D1359" s="2">
        <f>HYPERLINK("http://mcb-m6.bioreg.kyushu-u.ac.jp/M3/20110318/F50597/1089/1", 49.12)</f>
        <v>49.12</v>
      </c>
      <c r="E1359" s="2">
        <v>25.56</v>
      </c>
      <c r="F1359" s="2">
        <v>2</v>
      </c>
      <c r="G1359" s="2" t="s">
        <v>10</v>
      </c>
    </row>
    <row r="1360" spans="1:8" x14ac:dyDescent="0.2">
      <c r="A1360" s="2" t="s">
        <v>3343</v>
      </c>
      <c r="B1360" s="2" t="s">
        <v>704</v>
      </c>
      <c r="C1360" s="2">
        <v>610.90009999999995</v>
      </c>
      <c r="D1360" s="2">
        <f>HYPERLINK("http://mcb-m6.bioreg.kyushu-u.ac.jp/M3/20110318/F50616/1268/1", 49.3)</f>
        <v>49.3</v>
      </c>
      <c r="E1360" s="2">
        <v>23.25</v>
      </c>
      <c r="F1360" s="2">
        <v>2</v>
      </c>
      <c r="G1360" s="2" t="s">
        <v>10</v>
      </c>
      <c r="H1360" s="2" t="s">
        <v>4908</v>
      </c>
    </row>
    <row r="1361" spans="1:8" x14ac:dyDescent="0.2">
      <c r="A1361" s="2" t="s">
        <v>3343</v>
      </c>
      <c r="B1361" s="2" t="s">
        <v>943</v>
      </c>
      <c r="C1361" s="2">
        <v>506.99209999999999</v>
      </c>
      <c r="D1361" s="2">
        <f>HYPERLINK("http://mcb-m6.bioreg.kyushu-u.ac.jp/M3/20110318/F50616/1005/1", 49.51)</f>
        <v>49.51</v>
      </c>
      <c r="E1361" s="2">
        <v>27.33</v>
      </c>
      <c r="F1361" s="2">
        <v>2</v>
      </c>
      <c r="G1361" s="2" t="s">
        <v>10</v>
      </c>
    </row>
    <row r="1362" spans="1:8" x14ac:dyDescent="0.2">
      <c r="A1362" s="2" t="s">
        <v>3343</v>
      </c>
      <c r="B1362" s="2" t="s">
        <v>704</v>
      </c>
      <c r="C1362" s="2">
        <v>610.91269999999997</v>
      </c>
      <c r="D1362" s="2">
        <f>HYPERLINK("http://mcb-m6.bioreg.kyushu-u.ac.jp/M3/20110318/F50616/1269/1", 50.36)</f>
        <v>50.36</v>
      </c>
      <c r="E1362" s="2">
        <v>20.73</v>
      </c>
      <c r="F1362" s="2">
        <v>2</v>
      </c>
      <c r="G1362" s="2" t="s">
        <v>10</v>
      </c>
      <c r="H1362" s="2" t="s">
        <v>4908</v>
      </c>
    </row>
    <row r="1363" spans="1:8" x14ac:dyDescent="0.2">
      <c r="A1363" s="2" t="s">
        <v>3343</v>
      </c>
      <c r="B1363" s="2" t="s">
        <v>328</v>
      </c>
      <c r="C1363" s="2">
        <v>1146.498</v>
      </c>
      <c r="D1363" s="2">
        <f>HYPERLINK("http://mcb-m6.bioreg.kyushu-u.ac.jp/M3/20110318/F50616/1139/1", 50.71)</f>
        <v>50.71</v>
      </c>
      <c r="E1363" s="2">
        <v>18.55</v>
      </c>
      <c r="F1363" s="2">
        <v>1</v>
      </c>
      <c r="G1363" s="2" t="s">
        <v>10</v>
      </c>
    </row>
    <row r="1364" spans="1:8" x14ac:dyDescent="0.2">
      <c r="A1364" s="2" t="s">
        <v>3343</v>
      </c>
      <c r="B1364" s="2" t="s">
        <v>558</v>
      </c>
      <c r="C1364" s="2">
        <v>728.83720000000005</v>
      </c>
      <c r="D1364" s="2">
        <f>HYPERLINK("http://mcb-m6.bioreg.kyushu-u.ac.jp/M3/20110318/F50617/1501/1", 50.95)</f>
        <v>50.95</v>
      </c>
      <c r="E1364" s="2">
        <v>34.44</v>
      </c>
      <c r="F1364" s="2">
        <v>2</v>
      </c>
      <c r="G1364" s="2" t="s">
        <v>10</v>
      </c>
    </row>
    <row r="1365" spans="1:8" x14ac:dyDescent="0.2">
      <c r="A1365" s="2" t="s">
        <v>3343</v>
      </c>
      <c r="B1365" s="2" t="s">
        <v>325</v>
      </c>
      <c r="C1365" s="2">
        <v>739.76260000000002</v>
      </c>
      <c r="D1365" s="2">
        <f>HYPERLINK("http://mcb-m6.bioreg.kyushu-u.ac.jp/M3/20110318/F50622/1475/1", 50.97)</f>
        <v>50.97</v>
      </c>
      <c r="E1365" s="2">
        <v>38.119999999999997</v>
      </c>
      <c r="F1365" s="2">
        <v>2</v>
      </c>
      <c r="G1365" s="2" t="s">
        <v>10</v>
      </c>
    </row>
    <row r="1366" spans="1:8" x14ac:dyDescent="0.2">
      <c r="A1366" s="2" t="s">
        <v>3343</v>
      </c>
      <c r="B1366" s="2" t="s">
        <v>210</v>
      </c>
      <c r="C1366" s="2">
        <v>554.74720000000002</v>
      </c>
      <c r="D1366" s="2">
        <f>HYPERLINK("http://mcb-m6.bioreg.kyushu-u.ac.jp/M3/20110318/F50617/1141/1", 51.31)</f>
        <v>51.31</v>
      </c>
      <c r="E1366" s="2">
        <v>15.65</v>
      </c>
      <c r="F1366" s="2">
        <v>2</v>
      </c>
      <c r="G1366" s="2" t="s">
        <v>10</v>
      </c>
      <c r="H1366" s="2" t="s">
        <v>4910</v>
      </c>
    </row>
    <row r="1367" spans="1:8" x14ac:dyDescent="0.2">
      <c r="A1367" s="2" t="s">
        <v>3343</v>
      </c>
      <c r="B1367" s="2" t="s">
        <v>704</v>
      </c>
      <c r="C1367" s="2">
        <v>603.07920000000001</v>
      </c>
      <c r="D1367" s="2">
        <f>HYPERLINK("http://mcb-m6.bioreg.kyushu-u.ac.jp/M3/20110318/F50598/1256/1", 51.47)</f>
        <v>51.47</v>
      </c>
      <c r="E1367" s="2">
        <v>17.5</v>
      </c>
      <c r="F1367" s="2">
        <v>2</v>
      </c>
      <c r="G1367" s="2" t="s">
        <v>10</v>
      </c>
    </row>
    <row r="1368" spans="1:8" x14ac:dyDescent="0.2">
      <c r="A1368" s="2" t="s">
        <v>3343</v>
      </c>
      <c r="B1368" s="2" t="s">
        <v>704</v>
      </c>
      <c r="C1368" s="2">
        <v>610.94460000000004</v>
      </c>
      <c r="D1368" s="2">
        <f>HYPERLINK("http://mcb-m6.bioreg.kyushu-u.ac.jp/M3/20110318/F50599/1392/1", 51.99)</f>
        <v>51.99</v>
      </c>
      <c r="E1368" s="2">
        <v>23.16</v>
      </c>
      <c r="F1368" s="2">
        <v>2</v>
      </c>
      <c r="G1368" s="2" t="s">
        <v>10</v>
      </c>
      <c r="H1368" s="2" t="s">
        <v>4908</v>
      </c>
    </row>
    <row r="1369" spans="1:8" x14ac:dyDescent="0.2">
      <c r="A1369" s="2" t="s">
        <v>3343</v>
      </c>
      <c r="B1369" s="2" t="s">
        <v>344</v>
      </c>
      <c r="C1369" s="2">
        <v>919.18020000000001</v>
      </c>
      <c r="D1369" s="2">
        <f>HYPERLINK("http://mcb-m6.bioreg.kyushu-u.ac.jp/M3/20110318/F50616/2307/1", 53.02)</f>
        <v>53.02</v>
      </c>
      <c r="E1369" s="2">
        <v>36.619999999999997</v>
      </c>
      <c r="F1369" s="2">
        <v>2</v>
      </c>
      <c r="G1369" s="2" t="s">
        <v>10</v>
      </c>
    </row>
    <row r="1370" spans="1:8" x14ac:dyDescent="0.2">
      <c r="A1370" s="2" t="s">
        <v>3343</v>
      </c>
      <c r="B1370" s="2" t="s">
        <v>546</v>
      </c>
      <c r="C1370" s="2">
        <v>664.70619999999997</v>
      </c>
      <c r="D1370" s="2">
        <f>HYPERLINK("http://mcb-m6.bioreg.kyushu-u.ac.jp/M3/20110318/F50617/1290/2", 53.76)</f>
        <v>53.76</v>
      </c>
      <c r="E1370" s="2">
        <v>42.45</v>
      </c>
      <c r="F1370" s="2">
        <v>2</v>
      </c>
      <c r="G1370" s="2" t="s">
        <v>10</v>
      </c>
    </row>
    <row r="1371" spans="1:8" x14ac:dyDescent="0.2">
      <c r="A1371" s="2" t="s">
        <v>3343</v>
      </c>
      <c r="B1371" s="2" t="s">
        <v>132</v>
      </c>
      <c r="C1371" s="2">
        <v>578.32510000000002</v>
      </c>
      <c r="D1371" s="2">
        <f>HYPERLINK("http://mcb-m6.bioreg.kyushu-u.ac.jp/M3/20110318/F50616/1158/1", 53.97)</f>
        <v>53.97</v>
      </c>
      <c r="E1371" s="2">
        <v>25.99</v>
      </c>
      <c r="F1371" s="2">
        <v>2</v>
      </c>
      <c r="G1371" s="2" t="s">
        <v>10</v>
      </c>
    </row>
    <row r="1372" spans="1:8" x14ac:dyDescent="0.2">
      <c r="A1372" s="2" t="s">
        <v>3343</v>
      </c>
      <c r="B1372" s="2" t="s">
        <v>509</v>
      </c>
      <c r="C1372" s="2">
        <v>725.91769999999997</v>
      </c>
      <c r="D1372" s="2">
        <f>HYPERLINK("http://mcb-m6.bioreg.kyushu-u.ac.jp/M3/20110318/F50597/1512/1", 54.2)</f>
        <v>54.2</v>
      </c>
      <c r="E1372" s="2">
        <v>40.729999999999997</v>
      </c>
      <c r="F1372" s="2">
        <v>2</v>
      </c>
      <c r="G1372" s="2" t="s">
        <v>10</v>
      </c>
      <c r="H1372" s="2" t="s">
        <v>4927</v>
      </c>
    </row>
    <row r="1373" spans="1:8" x14ac:dyDescent="0.2">
      <c r="A1373" s="2" t="s">
        <v>3343</v>
      </c>
      <c r="B1373" s="2" t="s">
        <v>325</v>
      </c>
      <c r="C1373" s="2">
        <v>747.64170000000001</v>
      </c>
      <c r="D1373" s="2">
        <f>HYPERLINK("http://mcb-m6.bioreg.kyushu-u.ac.jp/M3/20110318/F50617/1601/1", 54.28)</f>
        <v>54.28</v>
      </c>
      <c r="E1373" s="2">
        <v>43.96</v>
      </c>
      <c r="F1373" s="2">
        <v>2</v>
      </c>
      <c r="G1373" s="2" t="s">
        <v>10</v>
      </c>
      <c r="H1373" s="2" t="s">
        <v>4925</v>
      </c>
    </row>
    <row r="1374" spans="1:8" x14ac:dyDescent="0.2">
      <c r="A1374" s="2" t="s">
        <v>3343</v>
      </c>
      <c r="B1374" s="2" t="s">
        <v>210</v>
      </c>
      <c r="C1374" s="2">
        <v>546.76670000000001</v>
      </c>
      <c r="D1374" s="2">
        <f>HYPERLINK("http://mcb-m6.bioreg.kyushu-u.ac.jp/M3/20110318/F50617/1129/1", 54.67)</f>
        <v>54.67</v>
      </c>
      <c r="E1374" s="2">
        <v>16.440000000000001</v>
      </c>
      <c r="F1374" s="2">
        <v>2</v>
      </c>
      <c r="G1374" s="2" t="s">
        <v>10</v>
      </c>
    </row>
    <row r="1375" spans="1:8" x14ac:dyDescent="0.2">
      <c r="A1375" s="2" t="s">
        <v>3343</v>
      </c>
      <c r="B1375" s="2" t="s">
        <v>344</v>
      </c>
      <c r="C1375" s="2">
        <v>919.31709999999998</v>
      </c>
      <c r="D1375" s="2">
        <f>HYPERLINK("http://mcb-m6.bioreg.kyushu-u.ac.jp/M3/20110318/F50616/2312/1", 54.99)</f>
        <v>54.99</v>
      </c>
      <c r="E1375" s="2">
        <v>39.9</v>
      </c>
      <c r="F1375" s="2">
        <v>2</v>
      </c>
      <c r="G1375" s="2" t="s">
        <v>10</v>
      </c>
    </row>
    <row r="1376" spans="1:8" x14ac:dyDescent="0.2">
      <c r="A1376" s="2" t="s">
        <v>3343</v>
      </c>
      <c r="B1376" s="2" t="s">
        <v>1002</v>
      </c>
      <c r="C1376" s="2">
        <v>765.55820000000006</v>
      </c>
      <c r="D1376" s="2">
        <f>HYPERLINK("http://mcb-m6.bioreg.kyushu-u.ac.jp/M3/20110318/F50616/2893/1", 55.37)</f>
        <v>55.37</v>
      </c>
      <c r="E1376" s="2">
        <v>42.46</v>
      </c>
      <c r="F1376" s="2">
        <v>3</v>
      </c>
      <c r="G1376" s="2" t="s">
        <v>10</v>
      </c>
    </row>
    <row r="1377" spans="1:8" x14ac:dyDescent="0.2">
      <c r="A1377" s="2" t="s">
        <v>3343</v>
      </c>
      <c r="B1377" s="2" t="s">
        <v>325</v>
      </c>
      <c r="C1377" s="2">
        <v>747.22220000000004</v>
      </c>
      <c r="D1377" s="2">
        <f>HYPERLINK("http://mcb-m6.bioreg.kyushu-u.ac.jp/M3/20110318/F50616/1681/1", 55.92)</f>
        <v>55.92</v>
      </c>
      <c r="E1377" s="2">
        <v>40.82</v>
      </c>
      <c r="F1377" s="2">
        <v>2</v>
      </c>
      <c r="G1377" s="2" t="s">
        <v>10</v>
      </c>
      <c r="H1377" s="2" t="s">
        <v>4925</v>
      </c>
    </row>
    <row r="1378" spans="1:8" x14ac:dyDescent="0.2">
      <c r="A1378" s="2" t="s">
        <v>3343</v>
      </c>
      <c r="B1378" s="2" t="s">
        <v>325</v>
      </c>
      <c r="C1378" s="2">
        <v>747.23720000000003</v>
      </c>
      <c r="D1378" s="2">
        <f>HYPERLINK("http://mcb-m6.bioreg.kyushu-u.ac.jp/M3/20110318/F50616/1683/1", 58.26)</f>
        <v>58.26</v>
      </c>
      <c r="E1378" s="2">
        <v>47.89</v>
      </c>
      <c r="F1378" s="2">
        <v>2</v>
      </c>
      <c r="G1378" s="2" t="s">
        <v>10</v>
      </c>
      <c r="H1378" s="2" t="s">
        <v>4925</v>
      </c>
    </row>
    <row r="1379" spans="1:8" x14ac:dyDescent="0.2">
      <c r="A1379" s="2" t="s">
        <v>3343</v>
      </c>
      <c r="B1379" s="2" t="s">
        <v>509</v>
      </c>
      <c r="C1379" s="2">
        <v>716.94759999999997</v>
      </c>
      <c r="D1379" s="2">
        <f>HYPERLINK("http://mcb-m6.bioreg.kyushu-u.ac.jp/M3/20110318/F50616/1515/1", 58.43)</f>
        <v>58.43</v>
      </c>
      <c r="E1379" s="2">
        <v>42.4</v>
      </c>
      <c r="F1379" s="2">
        <v>2</v>
      </c>
      <c r="G1379" s="2" t="s">
        <v>10</v>
      </c>
      <c r="H1379" s="2" t="s">
        <v>4931</v>
      </c>
    </row>
    <row r="1380" spans="1:8" x14ac:dyDescent="0.2">
      <c r="A1380" s="2" t="s">
        <v>3343</v>
      </c>
      <c r="B1380" s="2" t="s">
        <v>210</v>
      </c>
      <c r="C1380" s="2">
        <v>554.89260000000002</v>
      </c>
      <c r="D1380" s="2">
        <f>HYPERLINK("http://mcb-m6.bioreg.kyushu-u.ac.jp/M3/20110318/F50616/1102/1", 59.43)</f>
        <v>59.43</v>
      </c>
      <c r="E1380" s="2">
        <v>29.61</v>
      </c>
      <c r="F1380" s="2">
        <v>2</v>
      </c>
      <c r="G1380" s="2" t="s">
        <v>10</v>
      </c>
      <c r="H1380" s="2" t="s">
        <v>4910</v>
      </c>
    </row>
    <row r="1381" spans="1:8" x14ac:dyDescent="0.2">
      <c r="A1381" s="2" t="s">
        <v>3343</v>
      </c>
      <c r="B1381" s="2" t="s">
        <v>509</v>
      </c>
      <c r="C1381" s="2">
        <v>717.80520000000001</v>
      </c>
      <c r="D1381" s="2">
        <f>HYPERLINK("http://mcb-m6.bioreg.kyushu-u.ac.jp/M3/20110318/F50622/1345/1", 59.77)</f>
        <v>59.77</v>
      </c>
      <c r="E1381" s="2">
        <v>40.58</v>
      </c>
      <c r="F1381" s="2">
        <v>2</v>
      </c>
      <c r="G1381" s="2" t="s">
        <v>10</v>
      </c>
    </row>
    <row r="1382" spans="1:8" x14ac:dyDescent="0.2">
      <c r="A1382" s="2" t="s">
        <v>3343</v>
      </c>
      <c r="B1382" s="2" t="s">
        <v>325</v>
      </c>
      <c r="C1382" s="2">
        <v>747.7527</v>
      </c>
      <c r="D1382" s="2">
        <f>HYPERLINK("http://mcb-m6.bioreg.kyushu-u.ac.jp/M3/20110318/F50616/1686/1", 60.18)</f>
        <v>60.18</v>
      </c>
      <c r="E1382" s="2">
        <v>46.53</v>
      </c>
      <c r="F1382" s="2">
        <v>2</v>
      </c>
      <c r="G1382" s="2" t="s">
        <v>10</v>
      </c>
      <c r="H1382" s="2" t="s">
        <v>4925</v>
      </c>
    </row>
    <row r="1383" spans="1:8" x14ac:dyDescent="0.2">
      <c r="A1383" s="2" t="s">
        <v>3343</v>
      </c>
      <c r="B1383" s="2" t="s">
        <v>344</v>
      </c>
      <c r="C1383" s="2">
        <v>613.30820000000006</v>
      </c>
      <c r="D1383" s="2">
        <f>HYPERLINK("http://mcb-m6.bioreg.kyushu-u.ac.jp/M3/20110318/F50617/2130/1", 60.7)</f>
        <v>60.7</v>
      </c>
      <c r="E1383" s="2">
        <v>40.51</v>
      </c>
      <c r="F1383" s="2">
        <v>3</v>
      </c>
      <c r="G1383" s="2" t="s">
        <v>10</v>
      </c>
    </row>
    <row r="1384" spans="1:8" x14ac:dyDescent="0.2">
      <c r="A1384" s="2" t="s">
        <v>3343</v>
      </c>
      <c r="B1384" s="2" t="s">
        <v>132</v>
      </c>
      <c r="C1384" s="2">
        <v>578.81209999999999</v>
      </c>
      <c r="D1384" s="2">
        <f>HYPERLINK("http://mcb-m6.bioreg.kyushu-u.ac.jp/M3/20110318/F50616/1163/1", 60.8)</f>
        <v>60.8</v>
      </c>
      <c r="E1384" s="2">
        <v>31.69</v>
      </c>
      <c r="F1384" s="2">
        <v>2</v>
      </c>
      <c r="G1384" s="2" t="s">
        <v>10</v>
      </c>
    </row>
    <row r="1385" spans="1:8" x14ac:dyDescent="0.2">
      <c r="A1385" s="2" t="s">
        <v>3343</v>
      </c>
      <c r="B1385" s="2" t="s">
        <v>132</v>
      </c>
      <c r="C1385" s="2">
        <v>578.40309999999999</v>
      </c>
      <c r="D1385" s="2">
        <f>HYPERLINK("http://mcb-m6.bioreg.kyushu-u.ac.jp/M3/20110318/F50598/1217/1", 60.85)</f>
        <v>60.85</v>
      </c>
      <c r="E1385" s="2">
        <v>39.369999999999997</v>
      </c>
      <c r="F1385" s="2">
        <v>2</v>
      </c>
      <c r="G1385" s="2" t="s">
        <v>10</v>
      </c>
    </row>
    <row r="1386" spans="1:8" x14ac:dyDescent="0.2">
      <c r="A1386" s="2" t="s">
        <v>3343</v>
      </c>
      <c r="B1386" s="2" t="s">
        <v>704</v>
      </c>
      <c r="C1386" s="2">
        <v>610.6952</v>
      </c>
      <c r="D1386" s="2">
        <f>HYPERLINK("http://mcb-m6.bioreg.kyushu-u.ac.jp/M3/20110318/F50617/1215/1", 60.98)</f>
        <v>60.98</v>
      </c>
      <c r="E1386" s="2">
        <v>25.98</v>
      </c>
      <c r="F1386" s="2">
        <v>2</v>
      </c>
      <c r="G1386" s="2" t="s">
        <v>10</v>
      </c>
      <c r="H1386" s="2" t="s">
        <v>4908</v>
      </c>
    </row>
    <row r="1387" spans="1:8" x14ac:dyDescent="0.2">
      <c r="A1387" s="2" t="s">
        <v>3343</v>
      </c>
      <c r="B1387" s="2" t="s">
        <v>546</v>
      </c>
      <c r="C1387" s="2">
        <v>664.80820000000006</v>
      </c>
      <c r="D1387" s="2">
        <f>HYPERLINK("http://mcb-m6.bioreg.kyushu-u.ac.jp/M3/20110318/F50614/1402/2", 61.27)</f>
        <v>61.27</v>
      </c>
      <c r="E1387" s="2">
        <v>43.46</v>
      </c>
      <c r="F1387" s="2">
        <v>2</v>
      </c>
      <c r="G1387" s="2" t="s">
        <v>10</v>
      </c>
    </row>
    <row r="1388" spans="1:8" x14ac:dyDescent="0.2">
      <c r="A1388" s="2" t="s">
        <v>3343</v>
      </c>
      <c r="B1388" s="2" t="s">
        <v>558</v>
      </c>
      <c r="C1388" s="2">
        <v>729.41359999999997</v>
      </c>
      <c r="D1388" s="2">
        <f>HYPERLINK("http://mcb-m6.bioreg.kyushu-u.ac.jp/M3/20110318/F50616/1570/1", 62.39)</f>
        <v>62.39</v>
      </c>
      <c r="E1388" s="2">
        <v>49.88</v>
      </c>
      <c r="F1388" s="2">
        <v>2</v>
      </c>
      <c r="G1388" s="2" t="s">
        <v>10</v>
      </c>
    </row>
    <row r="1389" spans="1:8" x14ac:dyDescent="0.2">
      <c r="A1389" s="2" t="s">
        <v>3343</v>
      </c>
      <c r="B1389" s="2" t="s">
        <v>1002</v>
      </c>
      <c r="C1389" s="2">
        <v>1148.027</v>
      </c>
      <c r="D1389" s="2">
        <f>HYPERLINK("http://mcb-m6.bioreg.kyushu-u.ac.jp/M3/20110318/F50597/2872/1", 62.69)</f>
        <v>62.69</v>
      </c>
      <c r="E1389" s="2">
        <v>53.64</v>
      </c>
      <c r="F1389" s="2">
        <v>2</v>
      </c>
      <c r="G1389" s="2" t="s">
        <v>10</v>
      </c>
    </row>
    <row r="1390" spans="1:8" x14ac:dyDescent="0.2">
      <c r="A1390" s="2" t="s">
        <v>3343</v>
      </c>
      <c r="B1390" s="2" t="s">
        <v>210</v>
      </c>
      <c r="C1390" s="2">
        <v>554.94709999999998</v>
      </c>
      <c r="D1390" s="2">
        <f>HYPERLINK("http://mcb-m6.bioreg.kyushu-u.ac.jp/M3/20110318/F50616/1103/1", 65.14)</f>
        <v>65.14</v>
      </c>
      <c r="E1390" s="2">
        <v>34.770000000000003</v>
      </c>
      <c r="F1390" s="2">
        <v>2</v>
      </c>
      <c r="G1390" s="2" t="s">
        <v>10</v>
      </c>
      <c r="H1390" s="2" t="s">
        <v>4910</v>
      </c>
    </row>
    <row r="1391" spans="1:8" x14ac:dyDescent="0.2">
      <c r="A1391" s="2" t="s">
        <v>3343</v>
      </c>
      <c r="B1391" s="2" t="s">
        <v>325</v>
      </c>
      <c r="C1391" s="2">
        <v>1477.258</v>
      </c>
      <c r="D1391" s="2">
        <f>HYPERLINK("http://mcb-m6.bioreg.kyushu-u.ac.jp/M3/20110318/F50616/1637/1", 65.44)</f>
        <v>65.44</v>
      </c>
      <c r="E1391" s="2">
        <v>49.55</v>
      </c>
      <c r="F1391" s="2">
        <v>1</v>
      </c>
      <c r="G1391" s="2" t="s">
        <v>10</v>
      </c>
    </row>
    <row r="1392" spans="1:8" x14ac:dyDescent="0.2">
      <c r="A1392" s="2" t="s">
        <v>3343</v>
      </c>
      <c r="B1392" s="2" t="s">
        <v>1032</v>
      </c>
      <c r="C1392" s="2">
        <v>1155.6199999999999</v>
      </c>
      <c r="D1392" s="2">
        <f>HYPERLINK("http://mcb-m6.bioreg.kyushu-u.ac.jp/M3/20110318/F50616/2935/1", 66.27)</f>
        <v>66.27</v>
      </c>
      <c r="E1392" s="2">
        <v>49.92</v>
      </c>
      <c r="F1392" s="2">
        <v>2</v>
      </c>
      <c r="G1392" s="2" t="s">
        <v>10</v>
      </c>
      <c r="H1392" s="2" t="s">
        <v>4904</v>
      </c>
    </row>
    <row r="1393" spans="1:7" x14ac:dyDescent="0.2">
      <c r="A1393" s="2" t="s">
        <v>3343</v>
      </c>
      <c r="B1393" s="2" t="s">
        <v>1002</v>
      </c>
      <c r="C1393" s="2">
        <v>1148.06</v>
      </c>
      <c r="D1393" s="2">
        <f>HYPERLINK("http://mcb-m6.bioreg.kyushu-u.ac.jp/M3/20110318/F50599/2649/1", 67.07)</f>
        <v>67.069999999999993</v>
      </c>
      <c r="E1393" s="2">
        <v>59.26</v>
      </c>
      <c r="F1393" s="2">
        <v>2</v>
      </c>
      <c r="G1393" s="2" t="s">
        <v>10</v>
      </c>
    </row>
    <row r="1394" spans="1:7" x14ac:dyDescent="0.2">
      <c r="A1394" s="2" t="s">
        <v>3343</v>
      </c>
      <c r="B1394" s="2" t="s">
        <v>1189</v>
      </c>
      <c r="C1394" s="2">
        <v>1069.414</v>
      </c>
      <c r="D1394" s="2">
        <f>HYPERLINK("http://mcb-m6.bioreg.kyushu-u.ac.jp/M3/20110318/F50617/2405/1", 67.15)</f>
        <v>67.150000000000006</v>
      </c>
      <c r="E1394" s="2">
        <v>54.76</v>
      </c>
      <c r="F1394" s="2">
        <v>2</v>
      </c>
      <c r="G1394" s="2" t="s">
        <v>10</v>
      </c>
    </row>
    <row r="1395" spans="1:7" x14ac:dyDescent="0.2">
      <c r="A1395" s="2" t="s">
        <v>3343</v>
      </c>
      <c r="B1395" s="2" t="s">
        <v>704</v>
      </c>
      <c r="C1395" s="2">
        <v>602.86019999999996</v>
      </c>
      <c r="D1395" s="2">
        <f>HYPERLINK("http://mcb-m6.bioreg.kyushu-u.ac.jp/M3/20110318/F50617/1207/1", 67.29)</f>
        <v>67.290000000000006</v>
      </c>
      <c r="E1395" s="2">
        <v>25.18</v>
      </c>
      <c r="F1395" s="2">
        <v>2</v>
      </c>
      <c r="G1395" s="2" t="s">
        <v>10</v>
      </c>
    </row>
    <row r="1396" spans="1:7" x14ac:dyDescent="0.2">
      <c r="A1396" s="2" t="s">
        <v>3343</v>
      </c>
      <c r="B1396" s="2" t="s">
        <v>546</v>
      </c>
      <c r="C1396" s="2">
        <v>664.8972</v>
      </c>
      <c r="D1396" s="2">
        <f>HYPERLINK("http://mcb-m6.bioreg.kyushu-u.ac.jp/M3/20110318/F50616/1370/2", 67.69)</f>
        <v>67.69</v>
      </c>
      <c r="E1396" s="2">
        <v>52.41</v>
      </c>
      <c r="F1396" s="2">
        <v>2</v>
      </c>
      <c r="G1396" s="2" t="s">
        <v>10</v>
      </c>
    </row>
    <row r="1397" spans="1:7" x14ac:dyDescent="0.2">
      <c r="A1397" s="2" t="s">
        <v>3343</v>
      </c>
      <c r="B1397" s="2" t="s">
        <v>132</v>
      </c>
      <c r="C1397" s="2">
        <v>578.28610000000003</v>
      </c>
      <c r="D1397" s="2">
        <f>HYPERLINK("http://mcb-m6.bioreg.kyushu-u.ac.jp/M3/20110318/F50616/1155/1", 67.7)</f>
        <v>67.7</v>
      </c>
      <c r="E1397" s="2">
        <v>34.28</v>
      </c>
      <c r="F1397" s="2">
        <v>2</v>
      </c>
      <c r="G1397" s="2" t="s">
        <v>10</v>
      </c>
    </row>
    <row r="1398" spans="1:7" x14ac:dyDescent="0.2">
      <c r="A1398" s="2" t="s">
        <v>3343</v>
      </c>
      <c r="B1398" s="2" t="s">
        <v>558</v>
      </c>
      <c r="C1398" s="2">
        <v>729.49620000000004</v>
      </c>
      <c r="D1398" s="2">
        <f>HYPERLINK("http://mcb-m6.bioreg.kyushu-u.ac.jp/M3/20110318/F50616/1573/1", 68.89)</f>
        <v>68.89</v>
      </c>
      <c r="E1398" s="2">
        <v>57.05</v>
      </c>
      <c r="F1398" s="2">
        <v>2</v>
      </c>
      <c r="G1398" s="2" t="s">
        <v>10</v>
      </c>
    </row>
    <row r="1399" spans="1:7" x14ac:dyDescent="0.2">
      <c r="A1399" s="2" t="s">
        <v>3343</v>
      </c>
      <c r="B1399" s="2" t="s">
        <v>558</v>
      </c>
      <c r="C1399" s="2">
        <v>729.41359999999997</v>
      </c>
      <c r="D1399" s="2">
        <f>HYPERLINK("http://mcb-m6.bioreg.kyushu-u.ac.jp/M3/20110318/F50617/1505/1", 69.49)</f>
        <v>69.489999999999995</v>
      </c>
      <c r="E1399" s="2">
        <v>49.18</v>
      </c>
      <c r="F1399" s="2">
        <v>2</v>
      </c>
      <c r="G1399" s="2" t="s">
        <v>10</v>
      </c>
    </row>
    <row r="1400" spans="1:7" x14ac:dyDescent="0.2">
      <c r="A1400" s="2" t="s">
        <v>3343</v>
      </c>
      <c r="B1400" s="2" t="s">
        <v>1002</v>
      </c>
      <c r="C1400" s="2">
        <v>1148.0219999999999</v>
      </c>
      <c r="D1400" s="2">
        <f>HYPERLINK("http://mcb-m6.bioreg.kyushu-u.ac.jp/M3/20110318/F50598/2524/1", 69.77)</f>
        <v>69.77</v>
      </c>
      <c r="E1400" s="2">
        <v>58.74</v>
      </c>
      <c r="F1400" s="2">
        <v>2</v>
      </c>
      <c r="G1400" s="2" t="s">
        <v>10</v>
      </c>
    </row>
    <row r="1401" spans="1:7" x14ac:dyDescent="0.2">
      <c r="A1401" s="2" t="s">
        <v>3343</v>
      </c>
      <c r="B1401" s="2" t="s">
        <v>344</v>
      </c>
      <c r="C1401" s="2">
        <v>613.41279999999995</v>
      </c>
      <c r="D1401" s="2">
        <f>HYPERLINK("http://mcb-m6.bioreg.kyushu-u.ac.jp/M3/20110318/F50616/2313/1", 70.67)</f>
        <v>70.67</v>
      </c>
      <c r="E1401" s="2">
        <v>43.92</v>
      </c>
      <c r="F1401" s="2">
        <v>3</v>
      </c>
      <c r="G1401" s="2" t="s">
        <v>10</v>
      </c>
    </row>
    <row r="1402" spans="1:7" x14ac:dyDescent="0.2">
      <c r="A1402" s="2" t="s">
        <v>3343</v>
      </c>
      <c r="B1402" s="2" t="s">
        <v>1002</v>
      </c>
      <c r="C1402" s="2">
        <v>1147.7190000000001</v>
      </c>
      <c r="D1402" s="2">
        <f>HYPERLINK("http://mcb-m6.bioreg.kyushu-u.ac.jp/M3/20110318/F50616/2891/1", 70.75)</f>
        <v>70.75</v>
      </c>
      <c r="E1402" s="2">
        <v>56.71</v>
      </c>
      <c r="F1402" s="2">
        <v>2</v>
      </c>
      <c r="G1402" s="2" t="s">
        <v>10</v>
      </c>
    </row>
    <row r="1403" spans="1:7" x14ac:dyDescent="0.2">
      <c r="A1403" s="2" t="s">
        <v>3343</v>
      </c>
      <c r="B1403" s="2" t="s">
        <v>558</v>
      </c>
      <c r="C1403" s="2">
        <v>729.31709999999998</v>
      </c>
      <c r="D1403" s="2">
        <f>HYPERLINK("http://mcb-m6.bioreg.kyushu-u.ac.jp/M3/20110318/F50616/1568/1", 70.95)</f>
        <v>70.95</v>
      </c>
      <c r="E1403" s="2">
        <v>55.73</v>
      </c>
      <c r="F1403" s="2">
        <v>2</v>
      </c>
      <c r="G1403" s="2" t="s">
        <v>10</v>
      </c>
    </row>
    <row r="1404" spans="1:7" x14ac:dyDescent="0.2">
      <c r="A1404" s="2" t="s">
        <v>3343</v>
      </c>
      <c r="B1404" s="2" t="s">
        <v>558</v>
      </c>
      <c r="C1404" s="2">
        <v>729.47310000000004</v>
      </c>
      <c r="D1404" s="2">
        <f>HYPERLINK("http://mcb-m6.bioreg.kyushu-u.ac.jp/M3/20110318/F50600/1510/1", 72.17)</f>
        <v>72.17</v>
      </c>
      <c r="E1404" s="2">
        <v>61.38</v>
      </c>
      <c r="F1404" s="2">
        <v>2</v>
      </c>
      <c r="G1404" s="2" t="s">
        <v>10</v>
      </c>
    </row>
    <row r="1405" spans="1:7" x14ac:dyDescent="0.2">
      <c r="A1405" s="2" t="s">
        <v>3343</v>
      </c>
      <c r="B1405" s="2" t="s">
        <v>546</v>
      </c>
      <c r="C1405" s="2">
        <v>664.84469999999999</v>
      </c>
      <c r="D1405" s="2">
        <f>HYPERLINK("http://mcb-m6.bioreg.kyushu-u.ac.jp/M3/20110318/F50599/1489/2", 72.23)</f>
        <v>72.23</v>
      </c>
      <c r="E1405" s="2">
        <v>58.66</v>
      </c>
      <c r="F1405" s="2">
        <v>2</v>
      </c>
      <c r="G1405" s="2" t="s">
        <v>10</v>
      </c>
    </row>
    <row r="1406" spans="1:7" x14ac:dyDescent="0.2">
      <c r="A1406" s="2" t="s">
        <v>3343</v>
      </c>
      <c r="B1406" s="2" t="s">
        <v>344</v>
      </c>
      <c r="C1406" s="2">
        <v>919.66560000000004</v>
      </c>
      <c r="D1406" s="2">
        <f>HYPERLINK("http://mcb-m6.bioreg.kyushu-u.ac.jp/M3/20110318/F50598/2052/1", 73.27)</f>
        <v>73.27</v>
      </c>
      <c r="E1406" s="2">
        <v>49.81</v>
      </c>
      <c r="F1406" s="2">
        <v>2</v>
      </c>
      <c r="G1406" s="2" t="s">
        <v>10</v>
      </c>
    </row>
    <row r="1407" spans="1:7" x14ac:dyDescent="0.2">
      <c r="A1407" s="2" t="s">
        <v>3343</v>
      </c>
      <c r="B1407" s="2" t="s">
        <v>558</v>
      </c>
      <c r="C1407" s="2">
        <v>729.88959999999997</v>
      </c>
      <c r="D1407" s="2">
        <f>HYPERLINK("http://mcb-m6.bioreg.kyushu-u.ac.jp/M3/20110318/F50616/1574/1", 73.83)</f>
        <v>73.83</v>
      </c>
      <c r="E1407" s="2">
        <v>51.15</v>
      </c>
      <c r="F1407" s="2">
        <v>2</v>
      </c>
      <c r="G1407" s="2" t="s">
        <v>10</v>
      </c>
    </row>
    <row r="1408" spans="1:7" x14ac:dyDescent="0.2">
      <c r="A1408" s="2" t="s">
        <v>3343</v>
      </c>
      <c r="B1408" s="2" t="s">
        <v>558</v>
      </c>
      <c r="C1408" s="2">
        <v>729.38670000000002</v>
      </c>
      <c r="D1408" s="2">
        <f>HYPERLINK("http://mcb-m6.bioreg.kyushu-u.ac.jp/M3/20110318/F50597/1517/1", 74.22)</f>
        <v>74.22</v>
      </c>
      <c r="E1408" s="2">
        <v>62.52</v>
      </c>
      <c r="F1408" s="2">
        <v>2</v>
      </c>
      <c r="G1408" s="2" t="s">
        <v>10</v>
      </c>
    </row>
    <row r="1409" spans="1:8" x14ac:dyDescent="0.2">
      <c r="A1409" s="2" t="s">
        <v>3343</v>
      </c>
      <c r="B1409" s="2" t="s">
        <v>558</v>
      </c>
      <c r="C1409" s="2">
        <v>729.29359999999997</v>
      </c>
      <c r="D1409" s="2">
        <f>HYPERLINK("http://mcb-m6.bioreg.kyushu-u.ac.jp/M3/20110318/F50617/1503/1", 74.28)</f>
        <v>74.28</v>
      </c>
      <c r="E1409" s="2">
        <v>58.39</v>
      </c>
      <c r="F1409" s="2">
        <v>2</v>
      </c>
      <c r="G1409" s="2" t="s">
        <v>10</v>
      </c>
    </row>
    <row r="1410" spans="1:8" x14ac:dyDescent="0.2">
      <c r="A1410" s="2" t="s">
        <v>3343</v>
      </c>
      <c r="B1410" s="2" t="s">
        <v>344</v>
      </c>
      <c r="C1410" s="2">
        <v>919.73519999999996</v>
      </c>
      <c r="D1410" s="2">
        <f>HYPERLINK("http://mcb-m6.bioreg.kyushu-u.ac.jp/M3/20110318/F50616/2314/1", 74.61)</f>
        <v>74.61</v>
      </c>
      <c r="E1410" s="2">
        <v>52.15</v>
      </c>
      <c r="F1410" s="2">
        <v>2</v>
      </c>
      <c r="G1410" s="2" t="s">
        <v>10</v>
      </c>
    </row>
    <row r="1411" spans="1:8" x14ac:dyDescent="0.2">
      <c r="A1411" s="2" t="s">
        <v>3343</v>
      </c>
      <c r="B1411" s="2" t="s">
        <v>344</v>
      </c>
      <c r="C1411" s="2">
        <v>919.52869999999996</v>
      </c>
      <c r="D1411" s="2">
        <f>HYPERLINK("http://mcb-m6.bioreg.kyushu-u.ac.jp/M3/20110318/F50599/2176/1", 75.11)</f>
        <v>75.11</v>
      </c>
      <c r="E1411" s="2">
        <v>50.61</v>
      </c>
      <c r="F1411" s="2">
        <v>2</v>
      </c>
      <c r="G1411" s="2" t="s">
        <v>10</v>
      </c>
    </row>
    <row r="1412" spans="1:8" x14ac:dyDescent="0.2">
      <c r="A1412" s="2" t="s">
        <v>3343</v>
      </c>
      <c r="B1412" s="2" t="s">
        <v>344</v>
      </c>
      <c r="C1412" s="2">
        <v>919.23720000000003</v>
      </c>
      <c r="D1412" s="2">
        <f>HYPERLINK("http://mcb-m6.bioreg.kyushu-u.ac.jp/M3/20110318/F50616/2308/1", 75.3)</f>
        <v>75.3</v>
      </c>
      <c r="E1412" s="2">
        <v>57.26</v>
      </c>
      <c r="F1412" s="2">
        <v>2</v>
      </c>
      <c r="G1412" s="2" t="s">
        <v>10</v>
      </c>
    </row>
    <row r="1413" spans="1:8" x14ac:dyDescent="0.2">
      <c r="A1413" s="2" t="s">
        <v>3343</v>
      </c>
      <c r="B1413" s="2" t="s">
        <v>509</v>
      </c>
      <c r="C1413" s="2">
        <v>725.43910000000005</v>
      </c>
      <c r="D1413" s="2">
        <f>HYPERLINK("http://mcb-m6.bioreg.kyushu-u.ac.jp/M3/20110318/F50616/1557/1", 75.33)</f>
        <v>75.33</v>
      </c>
      <c r="E1413" s="2">
        <v>56.36</v>
      </c>
      <c r="F1413" s="2">
        <v>2</v>
      </c>
      <c r="G1413" s="2" t="s">
        <v>10</v>
      </c>
      <c r="H1413" s="2" t="s">
        <v>4927</v>
      </c>
    </row>
    <row r="1414" spans="1:8" x14ac:dyDescent="0.2">
      <c r="A1414" s="2" t="s">
        <v>3343</v>
      </c>
      <c r="B1414" s="2" t="s">
        <v>1002</v>
      </c>
      <c r="C1414" s="2">
        <v>1147.511</v>
      </c>
      <c r="D1414" s="2">
        <f>HYPERLINK("http://mcb-m6.bioreg.kyushu-u.ac.jp/M3/20110318/F50599/2645/1", 75.88)</f>
        <v>75.88</v>
      </c>
      <c r="E1414" s="2">
        <v>66.13</v>
      </c>
      <c r="F1414" s="2">
        <v>2</v>
      </c>
      <c r="G1414" s="2" t="s">
        <v>10</v>
      </c>
    </row>
    <row r="1415" spans="1:8" x14ac:dyDescent="0.2">
      <c r="A1415" s="2" t="s">
        <v>3343</v>
      </c>
      <c r="B1415" s="2" t="s">
        <v>344</v>
      </c>
      <c r="C1415" s="2">
        <v>919.97810000000004</v>
      </c>
      <c r="D1415" s="2">
        <f>HYPERLINK("http://mcb-m6.bioreg.kyushu-u.ac.jp/M3/20110318/F50597/2268/1", 77.69)</f>
        <v>77.69</v>
      </c>
      <c r="E1415" s="2">
        <v>51.3</v>
      </c>
      <c r="F1415" s="2">
        <v>2</v>
      </c>
      <c r="G1415" s="2" t="s">
        <v>10</v>
      </c>
    </row>
    <row r="1416" spans="1:8" x14ac:dyDescent="0.2">
      <c r="A1416" s="2" t="s">
        <v>3343</v>
      </c>
      <c r="B1416" s="2" t="s">
        <v>325</v>
      </c>
      <c r="C1416" s="2">
        <v>747.78420000000006</v>
      </c>
      <c r="D1416" s="2">
        <f>HYPERLINK("http://mcb-m6.bioreg.kyushu-u.ac.jp/M3/20110318/F50616/1687/1", 77.8)</f>
        <v>77.8</v>
      </c>
      <c r="E1416" s="2">
        <v>62.37</v>
      </c>
      <c r="F1416" s="2">
        <v>2</v>
      </c>
      <c r="G1416" s="2" t="s">
        <v>10</v>
      </c>
      <c r="H1416" s="2" t="s">
        <v>4925</v>
      </c>
    </row>
    <row r="1417" spans="1:8" x14ac:dyDescent="0.2">
      <c r="A1417" s="2" t="s">
        <v>3343</v>
      </c>
      <c r="B1417" s="2" t="s">
        <v>546</v>
      </c>
      <c r="C1417" s="2">
        <v>664.85469999999998</v>
      </c>
      <c r="D1417" s="2">
        <f>HYPERLINK("http://mcb-m6.bioreg.kyushu-u.ac.jp/M3/20110318/F50622/1182/2", 77.95)</f>
        <v>77.95</v>
      </c>
      <c r="E1417" s="2">
        <v>55.92</v>
      </c>
      <c r="F1417" s="2">
        <v>2</v>
      </c>
      <c r="G1417" s="2" t="s">
        <v>10</v>
      </c>
    </row>
    <row r="1418" spans="1:8" x14ac:dyDescent="0.2">
      <c r="A1418" s="2" t="s">
        <v>3343</v>
      </c>
      <c r="B1418" s="2" t="s">
        <v>546</v>
      </c>
      <c r="C1418" s="2">
        <v>664.91110000000003</v>
      </c>
      <c r="D1418" s="2">
        <f>HYPERLINK("http://mcb-m6.bioreg.kyushu-u.ac.jp/M3/20110318/F50600/1354/2", 77.98)</f>
        <v>77.98</v>
      </c>
      <c r="E1418" s="2">
        <v>62.82</v>
      </c>
      <c r="F1418" s="2">
        <v>2</v>
      </c>
      <c r="G1418" s="2" t="s">
        <v>10</v>
      </c>
    </row>
    <row r="1419" spans="1:8" x14ac:dyDescent="0.2">
      <c r="A1419" s="2" t="s">
        <v>3343</v>
      </c>
      <c r="B1419" s="2" t="s">
        <v>1002</v>
      </c>
      <c r="C1419" s="2">
        <v>1147.6990000000001</v>
      </c>
      <c r="D1419" s="2">
        <f>HYPERLINK("http://mcb-m6.bioreg.kyushu-u.ac.jp/M3/20110318/F50616/2890/1", 78.5)</f>
        <v>78.5</v>
      </c>
      <c r="E1419" s="2">
        <v>61.71</v>
      </c>
      <c r="F1419" s="2">
        <v>2</v>
      </c>
      <c r="G1419" s="2" t="s">
        <v>10</v>
      </c>
    </row>
    <row r="1420" spans="1:8" x14ac:dyDescent="0.2">
      <c r="A1420" s="2" t="s">
        <v>3343</v>
      </c>
      <c r="B1420" s="2" t="s">
        <v>344</v>
      </c>
      <c r="C1420" s="2">
        <v>919.76570000000004</v>
      </c>
      <c r="D1420" s="2">
        <f>HYPERLINK("http://mcb-m6.bioreg.kyushu-u.ac.jp/M3/20110318/F50617/2133/1", 80.27)</f>
        <v>80.27</v>
      </c>
      <c r="E1420" s="2">
        <v>49.38</v>
      </c>
      <c r="F1420" s="2">
        <v>2</v>
      </c>
      <c r="G1420" s="2" t="s">
        <v>10</v>
      </c>
    </row>
    <row r="1421" spans="1:8" x14ac:dyDescent="0.2">
      <c r="A1421" s="2" t="s">
        <v>3343</v>
      </c>
      <c r="B1421" s="2" t="s">
        <v>1348</v>
      </c>
      <c r="C1421" s="2">
        <v>1137.5640000000001</v>
      </c>
      <c r="D1421" s="2">
        <f>HYPERLINK("http://mcb-m6.bioreg.kyushu-u.ac.jp/M3/20110318/F50616/3494/1", 80.73)</f>
        <v>80.73</v>
      </c>
      <c r="E1421" s="2">
        <v>68.16</v>
      </c>
      <c r="F1421" s="2">
        <v>3</v>
      </c>
      <c r="G1421" s="2" t="s">
        <v>10</v>
      </c>
      <c r="H1421" s="2" t="s">
        <v>4936</v>
      </c>
    </row>
    <row r="1422" spans="1:8" x14ac:dyDescent="0.2">
      <c r="A1422" s="2" t="s">
        <v>3343</v>
      </c>
      <c r="B1422" s="2" t="s">
        <v>344</v>
      </c>
      <c r="C1422" s="2">
        <v>919.26819999999998</v>
      </c>
      <c r="D1422" s="2">
        <f>HYPERLINK("http://mcb-m6.bioreg.kyushu-u.ac.jp/M3/20110318/F50616/2311/1", 80.74)</f>
        <v>80.739999999999995</v>
      </c>
      <c r="E1422" s="2">
        <v>51.28</v>
      </c>
      <c r="F1422" s="2">
        <v>2</v>
      </c>
      <c r="G1422" s="2" t="s">
        <v>10</v>
      </c>
    </row>
    <row r="1423" spans="1:8" x14ac:dyDescent="0.2">
      <c r="A1423" s="2" t="s">
        <v>3343</v>
      </c>
      <c r="B1423" s="2" t="s">
        <v>344</v>
      </c>
      <c r="C1423" s="2">
        <v>919.46510000000001</v>
      </c>
      <c r="D1423" s="2">
        <f>HYPERLINK("http://mcb-m6.bioreg.kyushu-u.ac.jp/M3/20110318/F50600/2093/1", 81.29)</f>
        <v>81.290000000000006</v>
      </c>
      <c r="E1423" s="2">
        <v>53.75</v>
      </c>
      <c r="F1423" s="2">
        <v>2</v>
      </c>
      <c r="G1423" s="2" t="s">
        <v>10</v>
      </c>
    </row>
    <row r="1424" spans="1:8" x14ac:dyDescent="0.2">
      <c r="A1424" s="2" t="s">
        <v>3343</v>
      </c>
      <c r="B1424" s="2" t="s">
        <v>1211</v>
      </c>
      <c r="C1424" s="2">
        <v>774.67020000000002</v>
      </c>
      <c r="D1424" s="2">
        <f>HYPERLINK("http://mcb-m6.bioreg.kyushu-u.ac.jp/M3/20110318/F50616/2956/1", 83.01)</f>
        <v>83.01</v>
      </c>
      <c r="E1424" s="2">
        <v>52.43</v>
      </c>
      <c r="F1424" s="2">
        <v>3</v>
      </c>
      <c r="G1424" s="2" t="s">
        <v>10</v>
      </c>
      <c r="H1424" s="2" t="s">
        <v>4891</v>
      </c>
    </row>
    <row r="1425" spans="1:8" x14ac:dyDescent="0.2">
      <c r="A1425" s="2" t="s">
        <v>3343</v>
      </c>
      <c r="B1425" s="2" t="s">
        <v>344</v>
      </c>
      <c r="C1425" s="2">
        <v>1838.5050000000001</v>
      </c>
      <c r="D1425" s="2">
        <f>HYPERLINK("http://mcb-m6.bioreg.kyushu-u.ac.jp/M3/20110318/F50616/2315/1", 83.85)</f>
        <v>83.85</v>
      </c>
      <c r="E1425" s="2">
        <v>59.63</v>
      </c>
      <c r="F1425" s="2">
        <v>1</v>
      </c>
      <c r="G1425" s="2" t="s">
        <v>10</v>
      </c>
    </row>
    <row r="1426" spans="1:8" x14ac:dyDescent="0.2">
      <c r="A1426" s="2" t="s">
        <v>3343</v>
      </c>
      <c r="B1426" s="2" t="s">
        <v>509</v>
      </c>
      <c r="C1426" s="2">
        <v>725.26969999999994</v>
      </c>
      <c r="D1426" s="2">
        <f>HYPERLINK("http://mcb-m6.bioreg.kyushu-u.ac.jp/M3/20110318/F50617/1487/1", 84.23)</f>
        <v>84.23</v>
      </c>
      <c r="E1426" s="2">
        <v>57.34</v>
      </c>
      <c r="F1426" s="2">
        <v>2</v>
      </c>
      <c r="G1426" s="2" t="s">
        <v>10</v>
      </c>
      <c r="H1426" s="2" t="s">
        <v>4927</v>
      </c>
    </row>
    <row r="1427" spans="1:8" x14ac:dyDescent="0.2">
      <c r="A1427" s="2" t="s">
        <v>3343</v>
      </c>
      <c r="B1427" s="2" t="s">
        <v>344</v>
      </c>
      <c r="C1427" s="2">
        <v>919.44759999999997</v>
      </c>
      <c r="D1427" s="2">
        <f>HYPERLINK("http://mcb-m6.bioreg.kyushu-u.ac.jp/M3/20110318/F50597/2266/1", 84.44)</f>
        <v>84.44</v>
      </c>
      <c r="E1427" s="2">
        <v>58.73</v>
      </c>
      <c r="F1427" s="2">
        <v>2</v>
      </c>
      <c r="G1427" s="2" t="s">
        <v>10</v>
      </c>
    </row>
    <row r="1428" spans="1:8" x14ac:dyDescent="0.2">
      <c r="A1428" s="2" t="s">
        <v>3343</v>
      </c>
      <c r="B1428" s="2" t="s">
        <v>509</v>
      </c>
      <c r="C1428" s="2">
        <v>716.93820000000005</v>
      </c>
      <c r="D1428" s="2">
        <f>HYPERLINK("http://mcb-m6.bioreg.kyushu-u.ac.jp/M3/20110318/F50617/1455/1", 84.53)</f>
        <v>84.53</v>
      </c>
      <c r="E1428" s="2">
        <v>63.87</v>
      </c>
      <c r="F1428" s="2">
        <v>2</v>
      </c>
      <c r="G1428" s="2" t="s">
        <v>10</v>
      </c>
      <c r="H1428" s="2" t="s">
        <v>4931</v>
      </c>
    </row>
    <row r="1429" spans="1:8" x14ac:dyDescent="0.2">
      <c r="A1429" s="2" t="s">
        <v>3343</v>
      </c>
      <c r="B1429" s="2" t="s">
        <v>1002</v>
      </c>
      <c r="C1429" s="2">
        <v>1147.828</v>
      </c>
      <c r="D1429" s="2">
        <f>HYPERLINK("http://mcb-m6.bioreg.kyushu-u.ac.jp/M3/20110318/F50617/2622/1", 84.7)</f>
        <v>84.7</v>
      </c>
      <c r="E1429" s="2">
        <v>70.400000000000006</v>
      </c>
      <c r="F1429" s="2">
        <v>2</v>
      </c>
      <c r="G1429" s="2" t="s">
        <v>10</v>
      </c>
    </row>
    <row r="1430" spans="1:8" x14ac:dyDescent="0.2">
      <c r="A1430" s="2" t="s">
        <v>3343</v>
      </c>
      <c r="B1430" s="2" t="s">
        <v>1189</v>
      </c>
      <c r="C1430" s="2">
        <v>1069.9190000000001</v>
      </c>
      <c r="D1430" s="2">
        <f>HYPERLINK("http://mcb-m6.bioreg.kyushu-u.ac.jp/M3/20110318/F50600/2337/1", 87.17)</f>
        <v>87.17</v>
      </c>
      <c r="E1430" s="2">
        <v>69.48</v>
      </c>
      <c r="F1430" s="2">
        <v>2</v>
      </c>
      <c r="G1430" s="2" t="s">
        <v>10</v>
      </c>
    </row>
    <row r="1431" spans="1:8" x14ac:dyDescent="0.2">
      <c r="A1431" s="2" t="s">
        <v>3343</v>
      </c>
      <c r="B1431" s="2" t="s">
        <v>1189</v>
      </c>
      <c r="C1431" s="2">
        <v>1069.1220000000001</v>
      </c>
      <c r="D1431" s="2">
        <f>HYPERLINK("http://mcb-m6.bioreg.kyushu-u.ac.jp/M3/20110318/F50616/2648/1", 88.17)</f>
        <v>88.17</v>
      </c>
      <c r="E1431" s="2">
        <v>73.28</v>
      </c>
      <c r="F1431" s="2">
        <v>2</v>
      </c>
      <c r="G1431" s="2" t="s">
        <v>10</v>
      </c>
    </row>
    <row r="1432" spans="1:8" x14ac:dyDescent="0.2">
      <c r="A1432" s="2" t="s">
        <v>3343</v>
      </c>
      <c r="B1432" s="2" t="s">
        <v>344</v>
      </c>
      <c r="C1432" s="2">
        <v>919.26369999999997</v>
      </c>
      <c r="D1432" s="2">
        <f>HYPERLINK("http://mcb-m6.bioreg.kyushu-u.ac.jp/M3/20110318/F50617/2129/1", 88.43)</f>
        <v>88.43</v>
      </c>
      <c r="E1432" s="2">
        <v>60.83</v>
      </c>
      <c r="F1432" s="2">
        <v>2</v>
      </c>
      <c r="G1432" s="2" t="s">
        <v>10</v>
      </c>
    </row>
    <row r="1433" spans="1:8" x14ac:dyDescent="0.2">
      <c r="A1433" s="2" t="s">
        <v>3343</v>
      </c>
      <c r="B1433" s="2" t="s">
        <v>1002</v>
      </c>
      <c r="C1433" s="2">
        <v>1147.2439999999999</v>
      </c>
      <c r="D1433" s="2">
        <f>HYPERLINK("http://mcb-m6.bioreg.kyushu-u.ac.jp/M3/20110318/F50616/2882/1", 89.1)</f>
        <v>89.1</v>
      </c>
      <c r="E1433" s="2">
        <v>77.150000000000006</v>
      </c>
      <c r="F1433" s="2">
        <v>2</v>
      </c>
      <c r="G1433" s="2" t="s">
        <v>10</v>
      </c>
    </row>
    <row r="1434" spans="1:8" x14ac:dyDescent="0.2">
      <c r="A1434" s="2" t="s">
        <v>3343</v>
      </c>
      <c r="B1434" s="2" t="s">
        <v>344</v>
      </c>
      <c r="C1434" s="2">
        <v>1837.471</v>
      </c>
      <c r="D1434" s="2">
        <f>HYPERLINK("http://mcb-m6.bioreg.kyushu-u.ac.jp/M3/20110318/F50616/2309/1", 90.54)</f>
        <v>90.54</v>
      </c>
      <c r="E1434" s="2">
        <v>49.26</v>
      </c>
      <c r="F1434" s="2">
        <v>1</v>
      </c>
      <c r="G1434" s="2" t="s">
        <v>10</v>
      </c>
    </row>
    <row r="1435" spans="1:8" x14ac:dyDescent="0.2">
      <c r="A1435" s="2" t="s">
        <v>3343</v>
      </c>
      <c r="B1435" s="2" t="s">
        <v>344</v>
      </c>
      <c r="C1435" s="2">
        <v>919.24659999999994</v>
      </c>
      <c r="D1435" s="2">
        <f>HYPERLINK("http://mcb-m6.bioreg.kyushu-u.ac.jp/M3/20110318/F50616/2310/1", 92.57)</f>
        <v>92.57</v>
      </c>
      <c r="E1435" s="2">
        <v>65.73</v>
      </c>
      <c r="F1435" s="2">
        <v>2</v>
      </c>
      <c r="G1435" s="2" t="s">
        <v>10</v>
      </c>
    </row>
    <row r="1436" spans="1:8" x14ac:dyDescent="0.2">
      <c r="A1436" s="2" t="s">
        <v>3343</v>
      </c>
      <c r="B1436" s="2" t="s">
        <v>325</v>
      </c>
      <c r="C1436" s="2">
        <v>739.21969999999999</v>
      </c>
      <c r="D1436" s="2">
        <f>HYPERLINK("http://mcb-m6.bioreg.kyushu-u.ac.jp/M3/20110318/F50616/1640/1", 92.74)</f>
        <v>92.74</v>
      </c>
      <c r="E1436" s="2">
        <v>67.91</v>
      </c>
      <c r="F1436" s="2">
        <v>2</v>
      </c>
      <c r="G1436" s="2" t="s">
        <v>10</v>
      </c>
    </row>
    <row r="1437" spans="1:8" x14ac:dyDescent="0.2">
      <c r="A1437" s="2" t="s">
        <v>3343</v>
      </c>
      <c r="B1437" s="2" t="s">
        <v>1032</v>
      </c>
      <c r="C1437" s="2">
        <v>1164.0260000000001</v>
      </c>
      <c r="D1437" s="2">
        <f>HYPERLINK("http://mcb-m6.bioreg.kyushu-u.ac.jp/M3/20110318/F50598/2568/1", 93.05)</f>
        <v>93.05</v>
      </c>
      <c r="E1437" s="2">
        <v>81.13</v>
      </c>
      <c r="F1437" s="2">
        <v>2</v>
      </c>
      <c r="G1437" s="2" t="s">
        <v>10</v>
      </c>
    </row>
    <row r="1438" spans="1:8" x14ac:dyDescent="0.2">
      <c r="A1438" s="2" t="s">
        <v>3343</v>
      </c>
      <c r="B1438" s="2" t="s">
        <v>325</v>
      </c>
      <c r="C1438" s="2">
        <v>1493.32</v>
      </c>
      <c r="D1438" s="2">
        <f>HYPERLINK("http://mcb-m6.bioreg.kyushu-u.ac.jp/M3/20110318/F50616/1678/1", 98.01)</f>
        <v>98.01</v>
      </c>
      <c r="E1438" s="2">
        <v>80.239999999999995</v>
      </c>
      <c r="F1438" s="2">
        <v>1</v>
      </c>
      <c r="G1438" s="2" t="s">
        <v>10</v>
      </c>
      <c r="H1438" s="2" t="s">
        <v>4925</v>
      </c>
    </row>
    <row r="1439" spans="1:8" x14ac:dyDescent="0.2">
      <c r="A1439" s="2" t="s">
        <v>3343</v>
      </c>
      <c r="B1439" s="2" t="s">
        <v>1032</v>
      </c>
      <c r="C1439" s="2">
        <v>1163.799</v>
      </c>
      <c r="D1439" s="2">
        <f>HYPERLINK("http://mcb-m6.bioreg.kyushu-u.ac.jp/M3/20110318/F50599/2684/1", 98.14)</f>
        <v>98.14</v>
      </c>
      <c r="E1439" s="2">
        <v>86.61</v>
      </c>
      <c r="F1439" s="2">
        <v>2</v>
      </c>
      <c r="G1439" s="2" t="s">
        <v>10</v>
      </c>
    </row>
    <row r="1440" spans="1:8" x14ac:dyDescent="0.2">
      <c r="A1440" s="2" t="s">
        <v>3343</v>
      </c>
      <c r="B1440" s="2" t="s">
        <v>1032</v>
      </c>
      <c r="C1440" s="2">
        <v>1163.902</v>
      </c>
      <c r="D1440" s="2">
        <f>HYPERLINK("http://mcb-m6.bioreg.kyushu-u.ac.jp/M3/20110318/F50622/2754/1", 100.04)</f>
        <v>100.04</v>
      </c>
      <c r="E1440" s="2">
        <v>80.88</v>
      </c>
      <c r="F1440" s="2">
        <v>2</v>
      </c>
      <c r="G1440" s="2" t="s">
        <v>10</v>
      </c>
    </row>
    <row r="1441" spans="1:8" x14ac:dyDescent="0.2">
      <c r="A1441" s="2" t="s">
        <v>3343</v>
      </c>
      <c r="B1441" s="2" t="s">
        <v>1189</v>
      </c>
      <c r="C1441" s="2">
        <v>1069.4349999999999</v>
      </c>
      <c r="D1441" s="2">
        <f>HYPERLINK("http://mcb-m6.bioreg.kyushu-u.ac.jp/M3/20110318/F50599/2441/1", 100.05)</f>
        <v>100.05</v>
      </c>
      <c r="E1441" s="2">
        <v>87.46</v>
      </c>
      <c r="F1441" s="2">
        <v>2</v>
      </c>
      <c r="G1441" s="2" t="s">
        <v>10</v>
      </c>
    </row>
    <row r="1442" spans="1:8" x14ac:dyDescent="0.2">
      <c r="A1442" s="2" t="s">
        <v>3343</v>
      </c>
      <c r="B1442" s="2" t="s">
        <v>1032</v>
      </c>
      <c r="C1442" s="2">
        <v>1163.5650000000001</v>
      </c>
      <c r="D1442" s="2">
        <f>HYPERLINK("http://mcb-m6.bioreg.kyushu-u.ac.jp/M3/20110318/F50616/2969/1", 104.29)</f>
        <v>104.29</v>
      </c>
      <c r="E1442" s="2">
        <v>92.53</v>
      </c>
      <c r="F1442" s="2">
        <v>2</v>
      </c>
      <c r="G1442" s="2" t="s">
        <v>10</v>
      </c>
    </row>
    <row r="1443" spans="1:8" x14ac:dyDescent="0.2">
      <c r="A1443" s="2" t="s">
        <v>3343</v>
      </c>
      <c r="B1443" s="2" t="s">
        <v>1189</v>
      </c>
      <c r="C1443" s="2">
        <v>1069.6389999999999</v>
      </c>
      <c r="D1443" s="2">
        <f>HYPERLINK("http://mcb-m6.bioreg.kyushu-u.ac.jp/M3/20110318/F50597/2643/1", 106.43)</f>
        <v>106.43</v>
      </c>
      <c r="E1443" s="2">
        <v>88.66</v>
      </c>
      <c r="F1443" s="2">
        <v>2</v>
      </c>
      <c r="G1443" s="2" t="s">
        <v>10</v>
      </c>
    </row>
    <row r="1444" spans="1:8" x14ac:dyDescent="0.2">
      <c r="A1444" s="2" t="s">
        <v>3343</v>
      </c>
      <c r="B1444" s="2" t="s">
        <v>1211</v>
      </c>
      <c r="C1444" s="2">
        <v>1161.2529999999999</v>
      </c>
      <c r="D1444" s="2">
        <f>HYPERLINK("http://mcb-m6.bioreg.kyushu-u.ac.jp/M3/20110318/F50617/2666/1", 106.8)</f>
        <v>106.8</v>
      </c>
      <c r="E1444" s="2">
        <v>88.46</v>
      </c>
      <c r="F1444" s="2">
        <v>2</v>
      </c>
      <c r="G1444" s="2" t="s">
        <v>10</v>
      </c>
      <c r="H1444" s="2" t="s">
        <v>4891</v>
      </c>
    </row>
    <row r="1445" spans="1:8" x14ac:dyDescent="0.2">
      <c r="A1445" s="2" t="s">
        <v>3343</v>
      </c>
      <c r="B1445" s="2" t="s">
        <v>1211</v>
      </c>
      <c r="C1445" s="2">
        <v>1161.114</v>
      </c>
      <c r="D1445" s="2">
        <f>HYPERLINK("http://mcb-m6.bioreg.kyushu-u.ac.jp/M3/20110318/F50616/2954/1", 110.43)</f>
        <v>110.43</v>
      </c>
      <c r="E1445" s="2">
        <v>92.52</v>
      </c>
      <c r="F1445" s="2">
        <v>2</v>
      </c>
      <c r="G1445" s="2" t="s">
        <v>10</v>
      </c>
      <c r="H1445" s="2" t="s">
        <v>4891</v>
      </c>
    </row>
    <row r="1446" spans="1:8" x14ac:dyDescent="0.2">
      <c r="A1446" s="2" t="s">
        <v>3343</v>
      </c>
      <c r="B1446" s="2" t="s">
        <v>1032</v>
      </c>
      <c r="C1446" s="2">
        <v>1163.76</v>
      </c>
      <c r="D1446" s="2">
        <f>HYPERLINK("http://mcb-m6.bioreg.kyushu-u.ac.jp/M3/20110318/F50616/2975/1", 110.92)</f>
        <v>110.92</v>
      </c>
      <c r="E1446" s="2">
        <v>88.27</v>
      </c>
      <c r="F1446" s="2">
        <v>2</v>
      </c>
      <c r="G1446" s="2" t="s">
        <v>10</v>
      </c>
    </row>
    <row r="1447" spans="1:8" x14ac:dyDescent="0.2">
      <c r="A1447" s="2" t="s">
        <v>3343</v>
      </c>
      <c r="B1447" s="2" t="s">
        <v>1032</v>
      </c>
      <c r="C1447" s="2">
        <v>1163.7370000000001</v>
      </c>
      <c r="D1447" s="2">
        <f>HYPERLINK("http://mcb-m6.bioreg.kyushu-u.ac.jp/M3/20110318/F50617/2683/1", 110.98)</f>
        <v>110.98</v>
      </c>
      <c r="E1447" s="2">
        <v>93.72</v>
      </c>
      <c r="F1447" s="2">
        <v>2</v>
      </c>
      <c r="G1447" s="2" t="s">
        <v>10</v>
      </c>
    </row>
    <row r="1448" spans="1:8" x14ac:dyDescent="0.2">
      <c r="A1448" s="2" t="s">
        <v>3343</v>
      </c>
      <c r="B1448" s="2" t="s">
        <v>1032</v>
      </c>
      <c r="C1448" s="2">
        <v>1163.5319999999999</v>
      </c>
      <c r="D1448" s="2">
        <f>HYPERLINK("http://mcb-m6.bioreg.kyushu-u.ac.jp/M3/20110318/F50616/2967/1", 116.72)</f>
        <v>116.72</v>
      </c>
      <c r="E1448" s="2">
        <v>94.81</v>
      </c>
      <c r="F1448" s="2">
        <v>2</v>
      </c>
      <c r="G1448" s="2" t="s">
        <v>10</v>
      </c>
    </row>
    <row r="1449" spans="1:8" x14ac:dyDescent="0.2">
      <c r="A1449" s="2" t="s">
        <v>3343</v>
      </c>
      <c r="B1449" s="2" t="s">
        <v>1189</v>
      </c>
      <c r="C1449" s="2">
        <v>1068.9939999999999</v>
      </c>
      <c r="D1449" s="2">
        <f>HYPERLINK("http://mcb-m6.bioreg.kyushu-u.ac.jp/M3/20110318/F50616/2647/1", 120.65)</f>
        <v>120.65</v>
      </c>
      <c r="E1449" s="2">
        <v>100.47</v>
      </c>
      <c r="F1449" s="2">
        <v>2</v>
      </c>
      <c r="G1449" s="2" t="s">
        <v>10</v>
      </c>
    </row>
    <row r="1450" spans="1:8" x14ac:dyDescent="0.2">
      <c r="A1450" s="2" t="s">
        <v>3343</v>
      </c>
      <c r="B1450" s="2" t="s">
        <v>210</v>
      </c>
      <c r="C1450" s="2">
        <v>1108.444</v>
      </c>
      <c r="D1450" s="2">
        <f>HYPERLINK("http://mcb-m6.bioreg.kyushu-u.ac.jp/M3/20110418/F50996/1330/1", 35.38)</f>
        <v>35.380000000000003</v>
      </c>
      <c r="E1450" s="2">
        <v>20.13</v>
      </c>
      <c r="F1450" s="2">
        <v>1</v>
      </c>
      <c r="G1450" s="2" t="s">
        <v>11</v>
      </c>
      <c r="H1450" s="2" t="s">
        <v>4910</v>
      </c>
    </row>
    <row r="1451" spans="1:8" x14ac:dyDescent="0.2">
      <c r="A1451" s="2" t="s">
        <v>3343</v>
      </c>
      <c r="B1451" s="2" t="s">
        <v>2359</v>
      </c>
      <c r="C1451" s="2">
        <v>679.34559999999999</v>
      </c>
      <c r="D1451" s="2">
        <f>HYPERLINK("http://mcb-m6.bioreg.kyushu-u.ac.jp/M3/20110418/F50999/1767/1", 35.67)</f>
        <v>35.67</v>
      </c>
      <c r="E1451" s="2">
        <v>15.03</v>
      </c>
      <c r="F1451" s="2">
        <v>2</v>
      </c>
      <c r="G1451" s="2" t="s">
        <v>11</v>
      </c>
    </row>
    <row r="1452" spans="1:8" x14ac:dyDescent="0.2">
      <c r="A1452" s="2" t="s">
        <v>3343</v>
      </c>
      <c r="B1452" s="2" t="s">
        <v>132</v>
      </c>
      <c r="C1452" s="2">
        <v>578.76760000000002</v>
      </c>
      <c r="D1452" s="2">
        <f>HYPERLINK("http://mcb-m6.bioreg.kyushu-u.ac.jp/M3/20110418/F50999/1478/1", 35.71)</f>
        <v>35.71</v>
      </c>
      <c r="E1452" s="2">
        <v>19.010000000000002</v>
      </c>
      <c r="F1452" s="2">
        <v>2</v>
      </c>
      <c r="G1452" s="2" t="s">
        <v>11</v>
      </c>
    </row>
    <row r="1453" spans="1:8" x14ac:dyDescent="0.2">
      <c r="A1453" s="2" t="s">
        <v>3343</v>
      </c>
      <c r="B1453" s="2" t="s">
        <v>509</v>
      </c>
      <c r="C1453" s="2">
        <v>725.19169999999997</v>
      </c>
      <c r="D1453" s="2">
        <f>HYPERLINK("http://mcb-m6.bioreg.kyushu-u.ac.jp/M3/20110418/F50974/2009/1", 35.71)</f>
        <v>35.71</v>
      </c>
      <c r="E1453" s="2">
        <v>24.92</v>
      </c>
      <c r="F1453" s="2">
        <v>2</v>
      </c>
      <c r="G1453" s="2" t="s">
        <v>11</v>
      </c>
      <c r="H1453" s="2" t="s">
        <v>4927</v>
      </c>
    </row>
    <row r="1454" spans="1:8" x14ac:dyDescent="0.2">
      <c r="A1454" s="2" t="s">
        <v>3343</v>
      </c>
      <c r="B1454" s="2" t="s">
        <v>132</v>
      </c>
      <c r="C1454" s="2">
        <v>1155.5239999999999</v>
      </c>
      <c r="D1454" s="2">
        <f>HYPERLINK("http://mcb-m6.bioreg.kyushu-u.ac.jp/M3/20110418/F50996/1415/1", 36.17)</f>
        <v>36.17</v>
      </c>
      <c r="E1454" s="2">
        <v>11.04</v>
      </c>
      <c r="F1454" s="2">
        <v>1</v>
      </c>
      <c r="G1454" s="2" t="s">
        <v>11</v>
      </c>
    </row>
    <row r="1455" spans="1:8" x14ac:dyDescent="0.2">
      <c r="A1455" s="2" t="s">
        <v>3343</v>
      </c>
      <c r="B1455" s="2" t="s">
        <v>704</v>
      </c>
      <c r="C1455" s="2">
        <v>1220.4680000000001</v>
      </c>
      <c r="D1455" s="2">
        <f>HYPERLINK("http://mcb-m6.bioreg.kyushu-u.ac.jp/M3/20110418/F50996/1590/1", 36.18)</f>
        <v>36.18</v>
      </c>
      <c r="E1455" s="2">
        <v>17.440000000000001</v>
      </c>
      <c r="F1455" s="2">
        <v>1</v>
      </c>
      <c r="G1455" s="2" t="s">
        <v>11</v>
      </c>
      <c r="H1455" s="2" t="s">
        <v>4908</v>
      </c>
    </row>
    <row r="1456" spans="1:8" x14ac:dyDescent="0.2">
      <c r="A1456" s="2" t="s">
        <v>3343</v>
      </c>
      <c r="B1456" s="2" t="s">
        <v>132</v>
      </c>
      <c r="C1456" s="2">
        <v>578.29359999999997</v>
      </c>
      <c r="D1456" s="2">
        <f>HYPERLINK("http://mcb-m6.bioreg.kyushu-u.ac.jp/M3/20110418/F50976/1190/1", 36.56)</f>
        <v>36.56</v>
      </c>
      <c r="E1456" s="2">
        <v>10.15</v>
      </c>
      <c r="F1456" s="2">
        <v>2</v>
      </c>
      <c r="G1456" s="2" t="s">
        <v>11</v>
      </c>
    </row>
    <row r="1457" spans="1:8" x14ac:dyDescent="0.2">
      <c r="A1457" s="2" t="s">
        <v>3343</v>
      </c>
      <c r="B1457" s="2" t="s">
        <v>443</v>
      </c>
      <c r="C1457" s="2">
        <v>509.26859999999999</v>
      </c>
      <c r="D1457" s="2">
        <f>HYPERLINK("http://mcb-m6.bioreg.kyushu-u.ac.jp/M3/20110418/F50996/1177/1", 37.3)</f>
        <v>37.299999999999997</v>
      </c>
      <c r="E1457" s="2">
        <v>13.91</v>
      </c>
      <c r="F1457" s="2">
        <v>2</v>
      </c>
      <c r="G1457" s="2" t="s">
        <v>11</v>
      </c>
    </row>
    <row r="1458" spans="1:8" x14ac:dyDescent="0.2">
      <c r="A1458" s="2" t="s">
        <v>3343</v>
      </c>
      <c r="B1458" s="2" t="s">
        <v>132</v>
      </c>
      <c r="C1458" s="2">
        <v>1156.4760000000001</v>
      </c>
      <c r="D1458" s="2">
        <f>HYPERLINK("http://mcb-m6.bioreg.kyushu-u.ac.jp/M3/20110418/F50996/1423/1", 37.73)</f>
        <v>37.729999999999997</v>
      </c>
      <c r="E1458" s="2">
        <v>21.54</v>
      </c>
      <c r="F1458" s="2">
        <v>1</v>
      </c>
      <c r="G1458" s="2" t="s">
        <v>11</v>
      </c>
    </row>
    <row r="1459" spans="1:8" x14ac:dyDescent="0.2">
      <c r="A1459" s="2" t="s">
        <v>3343</v>
      </c>
      <c r="B1459" s="2" t="s">
        <v>2359</v>
      </c>
      <c r="C1459" s="2">
        <v>678.81709999999998</v>
      </c>
      <c r="D1459" s="2">
        <f>HYPERLINK("http://mcb-m6.bioreg.kyushu-u.ac.jp/M3/20110418/F50996/1768/1", 37.78)</f>
        <v>37.78</v>
      </c>
      <c r="E1459" s="2">
        <v>21.77</v>
      </c>
      <c r="F1459" s="2">
        <v>2</v>
      </c>
      <c r="G1459" s="2" t="s">
        <v>11</v>
      </c>
    </row>
    <row r="1460" spans="1:8" x14ac:dyDescent="0.2">
      <c r="A1460" s="2" t="s">
        <v>3343</v>
      </c>
      <c r="B1460" s="2" t="s">
        <v>1002</v>
      </c>
      <c r="C1460" s="2">
        <v>1147.4580000000001</v>
      </c>
      <c r="D1460" s="2">
        <f>HYPERLINK("http://mcb-m6.bioreg.kyushu-u.ac.jp/M3/20110418/F50999/2929/1", 37.83)</f>
        <v>37.83</v>
      </c>
      <c r="E1460" s="2">
        <v>32.56</v>
      </c>
      <c r="F1460" s="2">
        <v>2</v>
      </c>
      <c r="G1460" s="2" t="s">
        <v>11</v>
      </c>
    </row>
    <row r="1461" spans="1:8" x14ac:dyDescent="0.2">
      <c r="A1461" s="2" t="s">
        <v>3343</v>
      </c>
      <c r="B1461" s="2" t="s">
        <v>132</v>
      </c>
      <c r="C1461" s="2">
        <v>1155.3630000000001</v>
      </c>
      <c r="D1461" s="2">
        <f>HYPERLINK("http://mcb-m6.bioreg.kyushu-u.ac.jp/M3/20110418/F50996/1411/1", 38.03)</f>
        <v>38.03</v>
      </c>
      <c r="E1461" s="2">
        <v>19.22</v>
      </c>
      <c r="F1461" s="2">
        <v>1</v>
      </c>
      <c r="G1461" s="2" t="s">
        <v>11</v>
      </c>
    </row>
    <row r="1462" spans="1:8" x14ac:dyDescent="0.2">
      <c r="A1462" s="2" t="s">
        <v>3343</v>
      </c>
      <c r="B1462" s="2" t="s">
        <v>443</v>
      </c>
      <c r="C1462" s="2">
        <v>509.57209999999998</v>
      </c>
      <c r="D1462" s="2">
        <f>HYPERLINK("http://mcb-m6.bioreg.kyushu-u.ac.jp/M3/20110418/F50996/1180/1", 38.16)</f>
        <v>38.159999999999997</v>
      </c>
      <c r="E1462" s="2">
        <v>10.96</v>
      </c>
      <c r="F1462" s="2">
        <v>2</v>
      </c>
      <c r="G1462" s="2" t="s">
        <v>11</v>
      </c>
    </row>
    <row r="1463" spans="1:8" x14ac:dyDescent="0.2">
      <c r="A1463" s="2" t="s">
        <v>3343</v>
      </c>
      <c r="B1463" s="2" t="s">
        <v>704</v>
      </c>
      <c r="C1463" s="2">
        <v>1204.538</v>
      </c>
      <c r="D1463" s="2">
        <f>HYPERLINK("http://mcb-m6.bioreg.kyushu-u.ac.jp/M3/20110418/F50996/1543/1", 38.35)</f>
        <v>38.35</v>
      </c>
      <c r="E1463" s="2">
        <v>13.17</v>
      </c>
      <c r="F1463" s="2">
        <v>1</v>
      </c>
      <c r="G1463" s="2" t="s">
        <v>11</v>
      </c>
    </row>
    <row r="1464" spans="1:8" x14ac:dyDescent="0.2">
      <c r="A1464" s="2" t="s">
        <v>3343</v>
      </c>
      <c r="B1464" s="2" t="s">
        <v>443</v>
      </c>
      <c r="C1464" s="2">
        <v>509.76060000000001</v>
      </c>
      <c r="D1464" s="2">
        <f>HYPERLINK("http://mcb-m6.bioreg.kyushu-u.ac.jp/M3/20110418/F50996/1182/1", 38.41)</f>
        <v>38.409999999999997</v>
      </c>
      <c r="E1464" s="2">
        <v>9.5299999999999994</v>
      </c>
      <c r="F1464" s="2">
        <v>2</v>
      </c>
      <c r="G1464" s="2" t="s">
        <v>11</v>
      </c>
    </row>
    <row r="1465" spans="1:8" x14ac:dyDescent="0.2">
      <c r="A1465" s="2" t="s">
        <v>3343</v>
      </c>
      <c r="B1465" s="2" t="s">
        <v>210</v>
      </c>
      <c r="C1465" s="2">
        <v>546.67859999999996</v>
      </c>
      <c r="D1465" s="2">
        <f>HYPERLINK("http://mcb-m6.bioreg.kyushu-u.ac.jp/M3/20110418/F50996/1307/1", 39.02)</f>
        <v>39.020000000000003</v>
      </c>
      <c r="E1465" s="2">
        <v>15.1</v>
      </c>
      <c r="F1465" s="2">
        <v>2</v>
      </c>
      <c r="G1465" s="2" t="s">
        <v>11</v>
      </c>
    </row>
    <row r="1466" spans="1:8" x14ac:dyDescent="0.2">
      <c r="A1466" s="2" t="s">
        <v>3343</v>
      </c>
      <c r="B1466" s="2" t="s">
        <v>344</v>
      </c>
      <c r="C1466" s="2">
        <v>919.50819999999999</v>
      </c>
      <c r="D1466" s="2">
        <f>HYPERLINK("http://mcb-m6.bioreg.kyushu-u.ac.jp/M3/20110418/F50974/2943/1", 39.29)</f>
        <v>39.29</v>
      </c>
      <c r="E1466" s="2">
        <v>24.68</v>
      </c>
      <c r="F1466" s="2">
        <v>2</v>
      </c>
      <c r="G1466" s="2" t="s">
        <v>11</v>
      </c>
    </row>
    <row r="1467" spans="1:8" x14ac:dyDescent="0.2">
      <c r="A1467" s="2" t="s">
        <v>3343</v>
      </c>
      <c r="B1467" s="2" t="s">
        <v>428</v>
      </c>
      <c r="C1467" s="2">
        <v>452.25810000000001</v>
      </c>
      <c r="D1467" s="2">
        <f>HYPERLINK("http://mcb-m6.bioreg.kyushu-u.ac.jp/M3/20110418/F50999/1056/1", 39.3)</f>
        <v>39.299999999999997</v>
      </c>
      <c r="E1467" s="2">
        <v>14.6</v>
      </c>
      <c r="F1467" s="2">
        <v>2</v>
      </c>
      <c r="G1467" s="2" t="s">
        <v>11</v>
      </c>
    </row>
    <row r="1468" spans="1:8" x14ac:dyDescent="0.2">
      <c r="A1468" s="2" t="s">
        <v>3343</v>
      </c>
      <c r="B1468" s="2" t="s">
        <v>443</v>
      </c>
      <c r="C1468" s="2">
        <v>509.8381</v>
      </c>
      <c r="D1468" s="2">
        <f>HYPERLINK("http://mcb-m6.bioreg.kyushu-u.ac.jp/M3/20110418/F50996/1184/1", 39.89)</f>
        <v>39.89</v>
      </c>
      <c r="E1468" s="2">
        <v>19.8</v>
      </c>
      <c r="F1468" s="2">
        <v>2</v>
      </c>
      <c r="G1468" s="2" t="s">
        <v>11</v>
      </c>
    </row>
    <row r="1469" spans="1:8" x14ac:dyDescent="0.2">
      <c r="A1469" s="2" t="s">
        <v>3343</v>
      </c>
      <c r="B1469" s="2" t="s">
        <v>704</v>
      </c>
      <c r="C1469" s="2">
        <v>611.28769999999997</v>
      </c>
      <c r="D1469" s="2">
        <f>HYPERLINK("http://mcb-m6.bioreg.kyushu-u.ac.jp/M3/20110418/F50996/1597/1", 40.01)</f>
        <v>40.01</v>
      </c>
      <c r="E1469" s="2">
        <v>8.65</v>
      </c>
      <c r="F1469" s="2">
        <v>2</v>
      </c>
      <c r="G1469" s="2" t="s">
        <v>11</v>
      </c>
      <c r="H1469" s="2" t="s">
        <v>4908</v>
      </c>
    </row>
    <row r="1470" spans="1:8" x14ac:dyDescent="0.2">
      <c r="A1470" s="2" t="s">
        <v>3343</v>
      </c>
      <c r="B1470" s="2" t="s">
        <v>704</v>
      </c>
      <c r="C1470" s="2">
        <v>610.59220000000005</v>
      </c>
      <c r="D1470" s="2">
        <f>HYPERLINK("http://mcb-m6.bioreg.kyushu-u.ac.jp/M3/20110418/F50974/1469/1", 40.43)</f>
        <v>40.43</v>
      </c>
      <c r="E1470" s="2">
        <v>19.77</v>
      </c>
      <c r="F1470" s="2">
        <v>2</v>
      </c>
      <c r="G1470" s="2" t="s">
        <v>11</v>
      </c>
      <c r="H1470" s="2" t="s">
        <v>4908</v>
      </c>
    </row>
    <row r="1471" spans="1:8" x14ac:dyDescent="0.2">
      <c r="A1471" s="2" t="s">
        <v>3343</v>
      </c>
      <c r="B1471" s="2" t="s">
        <v>328</v>
      </c>
      <c r="C1471" s="2">
        <v>1146.47</v>
      </c>
      <c r="D1471" s="2">
        <f>HYPERLINK("http://mcb-m6.bioreg.kyushu-u.ac.jp/M3/20110418/F50996/1392/1", 41.73)</f>
        <v>41.73</v>
      </c>
      <c r="E1471" s="2">
        <v>11.94</v>
      </c>
      <c r="F1471" s="2">
        <v>1</v>
      </c>
      <c r="G1471" s="2" t="s">
        <v>11</v>
      </c>
    </row>
    <row r="1472" spans="1:8" x14ac:dyDescent="0.2">
      <c r="A1472" s="2" t="s">
        <v>3343</v>
      </c>
      <c r="B1472" s="2" t="s">
        <v>2359</v>
      </c>
      <c r="C1472" s="2">
        <v>678.7731</v>
      </c>
      <c r="D1472" s="2">
        <f>HYPERLINK("http://mcb-m6.bioreg.kyushu-u.ac.jp/M3/20110418/F50996/1766/1", 42.35)</f>
        <v>42.35</v>
      </c>
      <c r="E1472" s="2">
        <v>24.66</v>
      </c>
      <c r="F1472" s="2">
        <v>2</v>
      </c>
      <c r="G1472" s="2" t="s">
        <v>11</v>
      </c>
    </row>
    <row r="1473" spans="1:8" x14ac:dyDescent="0.2">
      <c r="A1473" s="2" t="s">
        <v>3343</v>
      </c>
      <c r="B1473" s="2" t="s">
        <v>1189</v>
      </c>
      <c r="C1473" s="2">
        <v>1069.4649999999999</v>
      </c>
      <c r="D1473" s="2">
        <f>HYPERLINK("http://mcb-m6.bioreg.kyushu-u.ac.jp/M3/20110418/F50996/3087/1", 42.61)</f>
        <v>42.61</v>
      </c>
      <c r="E1473" s="2">
        <v>35.85</v>
      </c>
      <c r="F1473" s="2">
        <v>2</v>
      </c>
      <c r="G1473" s="2" t="s">
        <v>11</v>
      </c>
    </row>
    <row r="1474" spans="1:8" x14ac:dyDescent="0.2">
      <c r="A1474" s="2" t="s">
        <v>3343</v>
      </c>
      <c r="B1474" s="2" t="s">
        <v>210</v>
      </c>
      <c r="C1474" s="2">
        <v>1092.3520000000001</v>
      </c>
      <c r="D1474" s="2">
        <f>HYPERLINK("http://mcb-m6.bioreg.kyushu-u.ac.jp/M3/20110418/F50996/1308/1", 42.66)</f>
        <v>42.66</v>
      </c>
      <c r="E1474" s="2">
        <v>20.02</v>
      </c>
      <c r="F1474" s="2">
        <v>1</v>
      </c>
      <c r="G1474" s="2" t="s">
        <v>11</v>
      </c>
    </row>
    <row r="1475" spans="1:8" x14ac:dyDescent="0.2">
      <c r="A1475" s="2" t="s">
        <v>3343</v>
      </c>
      <c r="B1475" s="2" t="s">
        <v>2388</v>
      </c>
      <c r="C1475" s="2">
        <v>700.78120000000001</v>
      </c>
      <c r="D1475" s="2">
        <f>HYPERLINK("http://mcb-m6.bioreg.kyushu-u.ac.jp/M3/20110418/F50996/1872/1", 42.69)</f>
        <v>42.69</v>
      </c>
      <c r="E1475" s="2">
        <v>22.75</v>
      </c>
      <c r="F1475" s="2">
        <v>2</v>
      </c>
      <c r="G1475" s="2" t="s">
        <v>11</v>
      </c>
    </row>
    <row r="1476" spans="1:8" x14ac:dyDescent="0.2">
      <c r="A1476" s="2" t="s">
        <v>3343</v>
      </c>
      <c r="B1476" s="2" t="s">
        <v>428</v>
      </c>
      <c r="C1476" s="2">
        <v>451.84059999999999</v>
      </c>
      <c r="D1476" s="2">
        <f>HYPERLINK("http://mcb-m6.bioreg.kyushu-u.ac.jp/M3/20110418/F50996/951/1", 43.11)</f>
        <v>43.11</v>
      </c>
      <c r="E1476" s="2">
        <v>17.329999999999998</v>
      </c>
      <c r="F1476" s="2">
        <v>2</v>
      </c>
      <c r="G1476" s="2" t="s">
        <v>11</v>
      </c>
    </row>
    <row r="1477" spans="1:8" x14ac:dyDescent="0.2">
      <c r="A1477" s="2" t="s">
        <v>3343</v>
      </c>
      <c r="B1477" s="2" t="s">
        <v>509</v>
      </c>
      <c r="C1477" s="2">
        <v>1433.45</v>
      </c>
      <c r="D1477" s="2">
        <f>HYPERLINK("http://mcb-m6.bioreg.kyushu-u.ac.jp/M3/20110418/F50996/1940/1", 43.28)</f>
        <v>43.28</v>
      </c>
      <c r="E1477" s="2">
        <v>33.75</v>
      </c>
      <c r="F1477" s="2">
        <v>1</v>
      </c>
      <c r="G1477" s="2" t="s">
        <v>11</v>
      </c>
      <c r="H1477" s="2" t="s">
        <v>4931</v>
      </c>
    </row>
    <row r="1478" spans="1:8" x14ac:dyDescent="0.2">
      <c r="A1478" s="2" t="s">
        <v>3343</v>
      </c>
      <c r="B1478" s="2" t="s">
        <v>2359</v>
      </c>
      <c r="C1478" s="2">
        <v>679.30870000000004</v>
      </c>
      <c r="D1478" s="2">
        <f>HYPERLINK("http://mcb-m6.bioreg.kyushu-u.ac.jp/M3/20110418/F50996/1775/1", 43.35)</f>
        <v>43.35</v>
      </c>
      <c r="E1478" s="2">
        <v>20.73</v>
      </c>
      <c r="F1478" s="2">
        <v>2</v>
      </c>
      <c r="G1478" s="2" t="s">
        <v>11</v>
      </c>
    </row>
    <row r="1479" spans="1:8" x14ac:dyDescent="0.2">
      <c r="A1479" s="2" t="s">
        <v>3343</v>
      </c>
      <c r="B1479" s="2" t="s">
        <v>509</v>
      </c>
      <c r="C1479" s="2">
        <v>717.2867</v>
      </c>
      <c r="D1479" s="2">
        <f>HYPERLINK("http://mcb-m6.bioreg.kyushu-u.ac.jp/M3/20110418/F50974/1973/1", 43.37)</f>
        <v>43.37</v>
      </c>
      <c r="E1479" s="2">
        <v>20.059999999999999</v>
      </c>
      <c r="F1479" s="2">
        <v>2</v>
      </c>
      <c r="G1479" s="2" t="s">
        <v>11</v>
      </c>
      <c r="H1479" s="2" t="s">
        <v>4931</v>
      </c>
    </row>
    <row r="1480" spans="1:8" x14ac:dyDescent="0.2">
      <c r="A1480" s="2" t="s">
        <v>3343</v>
      </c>
      <c r="B1480" s="2" t="s">
        <v>2359</v>
      </c>
      <c r="C1480" s="2">
        <v>678.42909999999995</v>
      </c>
      <c r="D1480" s="2">
        <f>HYPERLINK("http://mcb-m6.bioreg.kyushu-u.ac.jp/M3/20110418/F50999/1754/1", 43.88)</f>
        <v>43.88</v>
      </c>
      <c r="E1480" s="2">
        <v>22.48</v>
      </c>
      <c r="F1480" s="2">
        <v>2</v>
      </c>
      <c r="G1480" s="2" t="s">
        <v>11</v>
      </c>
    </row>
    <row r="1481" spans="1:8" x14ac:dyDescent="0.2">
      <c r="A1481" s="2" t="s">
        <v>3343</v>
      </c>
      <c r="B1481" s="2" t="s">
        <v>428</v>
      </c>
      <c r="C1481" s="2">
        <v>452.24709999999999</v>
      </c>
      <c r="D1481" s="2">
        <f>HYPERLINK("http://mcb-m6.bioreg.kyushu-u.ac.jp/M3/20110418/F50996/954/1", 44.24)</f>
        <v>44.24</v>
      </c>
      <c r="E1481" s="2">
        <v>21.65</v>
      </c>
      <c r="F1481" s="2">
        <v>2</v>
      </c>
      <c r="G1481" s="2" t="s">
        <v>11</v>
      </c>
    </row>
    <row r="1482" spans="1:8" x14ac:dyDescent="0.2">
      <c r="A1482" s="2" t="s">
        <v>3343</v>
      </c>
      <c r="B1482" s="2" t="s">
        <v>132</v>
      </c>
      <c r="C1482" s="2">
        <v>1156.4880000000001</v>
      </c>
      <c r="D1482" s="2">
        <f>HYPERLINK("http://mcb-m6.bioreg.kyushu-u.ac.jp/M3/20110418/F50996/1425/1", 44.26)</f>
        <v>44.26</v>
      </c>
      <c r="E1482" s="2">
        <v>26.16</v>
      </c>
      <c r="F1482" s="2">
        <v>1</v>
      </c>
      <c r="G1482" s="2" t="s">
        <v>11</v>
      </c>
    </row>
    <row r="1483" spans="1:8" x14ac:dyDescent="0.2">
      <c r="A1483" s="2" t="s">
        <v>3343</v>
      </c>
      <c r="B1483" s="2" t="s">
        <v>546</v>
      </c>
      <c r="C1483" s="2">
        <v>1328.63</v>
      </c>
      <c r="D1483" s="2">
        <f>HYPERLINK("http://mcb-m6.bioreg.kyushu-u.ac.jp/M3/20110418/F50996/1709/2", 45.3)</f>
        <v>45.3</v>
      </c>
      <c r="E1483" s="2">
        <v>38.93</v>
      </c>
      <c r="F1483" s="2">
        <v>1</v>
      </c>
      <c r="G1483" s="2" t="s">
        <v>11</v>
      </c>
    </row>
    <row r="1484" spans="1:8" x14ac:dyDescent="0.2">
      <c r="A1484" s="2" t="s">
        <v>3343</v>
      </c>
      <c r="B1484" s="2" t="s">
        <v>344</v>
      </c>
      <c r="C1484" s="2">
        <v>613.28520000000003</v>
      </c>
      <c r="D1484" s="2">
        <f>HYPERLINK("http://mcb-m6.bioreg.kyushu-u.ac.jp/M3/20110418/F50996/2759/1", 45.45)</f>
        <v>45.45</v>
      </c>
      <c r="E1484" s="2">
        <v>31.1</v>
      </c>
      <c r="F1484" s="2">
        <v>3</v>
      </c>
      <c r="G1484" s="2" t="s">
        <v>11</v>
      </c>
    </row>
    <row r="1485" spans="1:8" x14ac:dyDescent="0.2">
      <c r="A1485" s="2" t="s">
        <v>3343</v>
      </c>
      <c r="B1485" s="2" t="s">
        <v>328</v>
      </c>
      <c r="C1485" s="2">
        <v>1147.501</v>
      </c>
      <c r="D1485" s="2">
        <f>HYPERLINK("http://mcb-m6.bioreg.kyushu-u.ac.jp/M3/20110418/F50996/1394/1", 45.46)</f>
        <v>45.46</v>
      </c>
      <c r="E1485" s="2">
        <v>15.24</v>
      </c>
      <c r="F1485" s="2">
        <v>1</v>
      </c>
      <c r="G1485" s="2" t="s">
        <v>11</v>
      </c>
    </row>
    <row r="1486" spans="1:8" x14ac:dyDescent="0.2">
      <c r="A1486" s="2" t="s">
        <v>3343</v>
      </c>
      <c r="B1486" s="2" t="s">
        <v>210</v>
      </c>
      <c r="C1486" s="2">
        <v>546.66269999999997</v>
      </c>
      <c r="D1486" s="2">
        <f>HYPERLINK("http://mcb-m6.bioreg.kyushu-u.ac.jp/M3/20110418/F50996/1306/1", 45.76)</f>
        <v>45.76</v>
      </c>
      <c r="E1486" s="2">
        <v>18.649999999999999</v>
      </c>
      <c r="F1486" s="2">
        <v>2</v>
      </c>
      <c r="G1486" s="2" t="s">
        <v>11</v>
      </c>
    </row>
    <row r="1487" spans="1:8" x14ac:dyDescent="0.2">
      <c r="A1487" s="2" t="s">
        <v>3343</v>
      </c>
      <c r="B1487" s="2" t="s">
        <v>428</v>
      </c>
      <c r="C1487" s="2">
        <v>452.17360000000002</v>
      </c>
      <c r="D1487" s="2">
        <f>HYPERLINK("http://mcb-m6.bioreg.kyushu-u.ac.jp/M3/20110418/F50996/953/1", 45.85)</f>
        <v>45.85</v>
      </c>
      <c r="E1487" s="2">
        <v>17.54</v>
      </c>
      <c r="F1487" s="2">
        <v>2</v>
      </c>
      <c r="G1487" s="2" t="s">
        <v>11</v>
      </c>
    </row>
    <row r="1488" spans="1:8" x14ac:dyDescent="0.2">
      <c r="A1488" s="2" t="s">
        <v>3343</v>
      </c>
      <c r="B1488" s="2" t="s">
        <v>325</v>
      </c>
      <c r="C1488" s="2">
        <v>739.23519999999996</v>
      </c>
      <c r="D1488" s="2">
        <f>HYPERLINK("http://mcb-m6.bioreg.kyushu-u.ac.jp/M3/20110418/F50996/2037/1", 46.92)</f>
        <v>46.92</v>
      </c>
      <c r="E1488" s="2">
        <v>33.04</v>
      </c>
      <c r="F1488" s="2">
        <v>2</v>
      </c>
      <c r="G1488" s="2" t="s">
        <v>11</v>
      </c>
    </row>
    <row r="1489" spans="1:8" x14ac:dyDescent="0.2">
      <c r="A1489" s="2" t="s">
        <v>3343</v>
      </c>
      <c r="B1489" s="2" t="s">
        <v>558</v>
      </c>
      <c r="C1489" s="2">
        <v>729.30070000000001</v>
      </c>
      <c r="D1489" s="2">
        <f>HYPERLINK("http://mcb-m6.bioreg.kyushu-u.ac.jp/M3/20110418/F50996/1983/1", 46.95)</f>
        <v>46.95</v>
      </c>
      <c r="E1489" s="2">
        <v>37.35</v>
      </c>
      <c r="F1489" s="2">
        <v>2</v>
      </c>
      <c r="G1489" s="2" t="s">
        <v>11</v>
      </c>
    </row>
    <row r="1490" spans="1:8" x14ac:dyDescent="0.2">
      <c r="A1490" s="2" t="s">
        <v>3343</v>
      </c>
      <c r="B1490" s="2" t="s">
        <v>704</v>
      </c>
      <c r="C1490" s="2">
        <v>611.25120000000004</v>
      </c>
      <c r="D1490" s="2">
        <f>HYPERLINK("http://mcb-m6.bioreg.kyushu-u.ac.jp/M3/20110418/F50996/1594/1", 47.02)</f>
        <v>47.02</v>
      </c>
      <c r="E1490" s="2">
        <v>9.06</v>
      </c>
      <c r="F1490" s="2">
        <v>2</v>
      </c>
      <c r="G1490" s="2" t="s">
        <v>11</v>
      </c>
      <c r="H1490" s="2" t="s">
        <v>4908</v>
      </c>
    </row>
    <row r="1491" spans="1:8" x14ac:dyDescent="0.2">
      <c r="A1491" s="2" t="s">
        <v>3343</v>
      </c>
      <c r="B1491" s="2" t="s">
        <v>704</v>
      </c>
      <c r="C1491" s="2">
        <v>611.20370000000003</v>
      </c>
      <c r="D1491" s="2">
        <f>HYPERLINK("http://mcb-m6.bioreg.kyushu-u.ac.jp/M3/20110418/F50973/1743/1", 47.6)</f>
        <v>47.6</v>
      </c>
      <c r="E1491" s="2">
        <v>22.62</v>
      </c>
      <c r="F1491" s="2">
        <v>2</v>
      </c>
      <c r="G1491" s="2" t="s">
        <v>11</v>
      </c>
      <c r="H1491" s="2" t="s">
        <v>4908</v>
      </c>
    </row>
    <row r="1492" spans="1:8" x14ac:dyDescent="0.2">
      <c r="A1492" s="2" t="s">
        <v>3343</v>
      </c>
      <c r="B1492" s="2" t="s">
        <v>210</v>
      </c>
      <c r="C1492" s="2">
        <v>547.32619999999997</v>
      </c>
      <c r="D1492" s="2">
        <f>HYPERLINK("http://mcb-m6.bioreg.kyushu-u.ac.jp/M3/20110418/F50996/1311/1", 47.89)</f>
        <v>47.89</v>
      </c>
      <c r="E1492" s="2">
        <v>16.66</v>
      </c>
      <c r="F1492" s="2">
        <v>2</v>
      </c>
      <c r="G1492" s="2" t="s">
        <v>11</v>
      </c>
    </row>
    <row r="1493" spans="1:8" x14ac:dyDescent="0.2">
      <c r="A1493" s="2" t="s">
        <v>3343</v>
      </c>
      <c r="B1493" s="2" t="s">
        <v>325</v>
      </c>
      <c r="C1493" s="2">
        <v>498.57589999999999</v>
      </c>
      <c r="D1493" s="2">
        <f>HYPERLINK("http://mcb-m6.bioreg.kyushu-u.ac.jp/M3/20110418/F50996/2082/1", 48.31)</f>
        <v>48.31</v>
      </c>
      <c r="E1493" s="2">
        <v>24.15</v>
      </c>
      <c r="F1493" s="2">
        <v>3</v>
      </c>
      <c r="G1493" s="2" t="s">
        <v>11</v>
      </c>
      <c r="H1493" s="2" t="s">
        <v>4925</v>
      </c>
    </row>
    <row r="1494" spans="1:8" x14ac:dyDescent="0.2">
      <c r="A1494" s="2" t="s">
        <v>3343</v>
      </c>
      <c r="B1494" s="2" t="s">
        <v>328</v>
      </c>
      <c r="C1494" s="2">
        <v>574.10609999999997</v>
      </c>
      <c r="D1494" s="2">
        <f>HYPERLINK("http://mcb-m6.bioreg.kyushu-u.ac.jp/M3/20110418/F50974/1289/1", 48.36)</f>
        <v>48.36</v>
      </c>
      <c r="E1494" s="2">
        <v>16.72</v>
      </c>
      <c r="F1494" s="2">
        <v>2</v>
      </c>
      <c r="G1494" s="2" t="s">
        <v>11</v>
      </c>
    </row>
    <row r="1495" spans="1:8" x14ac:dyDescent="0.2">
      <c r="A1495" s="2" t="s">
        <v>3343</v>
      </c>
      <c r="B1495" s="2" t="s">
        <v>1032</v>
      </c>
      <c r="C1495" s="2">
        <v>1163.98</v>
      </c>
      <c r="D1495" s="2">
        <f>HYPERLINK("http://mcb-m6.bioreg.kyushu-u.ac.jp/M3/20110418/F50996/3319/1", 48.7)</f>
        <v>48.7</v>
      </c>
      <c r="E1495" s="2">
        <v>44.73</v>
      </c>
      <c r="F1495" s="2">
        <v>2</v>
      </c>
      <c r="G1495" s="2" t="s">
        <v>11</v>
      </c>
    </row>
    <row r="1496" spans="1:8" x14ac:dyDescent="0.2">
      <c r="A1496" s="2" t="s">
        <v>3343</v>
      </c>
      <c r="B1496" s="2" t="s">
        <v>509</v>
      </c>
      <c r="C1496" s="2">
        <v>725.36220000000003</v>
      </c>
      <c r="D1496" s="2">
        <f>HYPERLINK("http://mcb-m6.bioreg.kyushu-u.ac.jp/M3/20110418/F50996/1973/1", 49.07)</f>
        <v>49.07</v>
      </c>
      <c r="E1496" s="2">
        <v>35.93</v>
      </c>
      <c r="F1496" s="2">
        <v>2</v>
      </c>
      <c r="G1496" s="2" t="s">
        <v>11</v>
      </c>
      <c r="H1496" s="2" t="s">
        <v>4927</v>
      </c>
    </row>
    <row r="1497" spans="1:8" x14ac:dyDescent="0.2">
      <c r="A1497" s="2" t="s">
        <v>3343</v>
      </c>
      <c r="B1497" s="2" t="s">
        <v>509</v>
      </c>
      <c r="C1497" s="2">
        <v>1432.6369999999999</v>
      </c>
      <c r="D1497" s="2">
        <f>HYPERLINK("http://mcb-m6.bioreg.kyushu-u.ac.jp/M3/20110418/F50996/1935/1", 50.37)</f>
        <v>50.37</v>
      </c>
      <c r="E1497" s="2">
        <v>30.13</v>
      </c>
      <c r="F1497" s="2">
        <v>1</v>
      </c>
      <c r="G1497" s="2" t="s">
        <v>11</v>
      </c>
      <c r="H1497" s="2" t="s">
        <v>4931</v>
      </c>
    </row>
    <row r="1498" spans="1:8" x14ac:dyDescent="0.2">
      <c r="A1498" s="2" t="s">
        <v>3343</v>
      </c>
      <c r="B1498" s="2" t="s">
        <v>1189</v>
      </c>
      <c r="C1498" s="2">
        <v>713.57449999999994</v>
      </c>
      <c r="D1498" s="2">
        <f>HYPERLINK("http://mcb-m6.bioreg.kyushu-u.ac.jp/M3/20110418/F50996/3089/1", 50.41)</f>
        <v>50.41</v>
      </c>
      <c r="E1498" s="2">
        <v>39.630000000000003</v>
      </c>
      <c r="F1498" s="2">
        <v>3</v>
      </c>
      <c r="G1498" s="2" t="s">
        <v>11</v>
      </c>
    </row>
    <row r="1499" spans="1:8" x14ac:dyDescent="0.2">
      <c r="A1499" s="2" t="s">
        <v>3343</v>
      </c>
      <c r="B1499" s="2" t="s">
        <v>132</v>
      </c>
      <c r="C1499" s="2">
        <v>578.66060000000004</v>
      </c>
      <c r="D1499" s="2">
        <f>HYPERLINK("http://mcb-m6.bioreg.kyushu-u.ac.jp/M3/20110418/F50977/1243/1", 50.79)</f>
        <v>50.79</v>
      </c>
      <c r="E1499" s="2">
        <v>29.75</v>
      </c>
      <c r="F1499" s="2">
        <v>2</v>
      </c>
      <c r="G1499" s="2" t="s">
        <v>11</v>
      </c>
    </row>
    <row r="1500" spans="1:8" x14ac:dyDescent="0.2">
      <c r="A1500" s="2" t="s">
        <v>3343</v>
      </c>
      <c r="B1500" s="2" t="s">
        <v>132</v>
      </c>
      <c r="C1500" s="2">
        <v>578.79520000000002</v>
      </c>
      <c r="D1500" s="2">
        <f>HYPERLINK("http://mcb-m6.bioreg.kyushu-u.ac.jp/M3/20110418/F50999/1480/1", 51.46)</f>
        <v>51.46</v>
      </c>
      <c r="E1500" s="2">
        <v>23.43</v>
      </c>
      <c r="F1500" s="2">
        <v>2</v>
      </c>
      <c r="G1500" s="2" t="s">
        <v>11</v>
      </c>
    </row>
    <row r="1501" spans="1:8" x14ac:dyDescent="0.2">
      <c r="A1501" s="2" t="s">
        <v>3343</v>
      </c>
      <c r="B1501" s="2" t="s">
        <v>704</v>
      </c>
      <c r="C1501" s="2">
        <v>610.73609999999996</v>
      </c>
      <c r="D1501" s="2">
        <f>HYPERLINK("http://mcb-m6.bioreg.kyushu-u.ac.jp/M3/20110418/F50996/1589/1", 53.08)</f>
        <v>53.08</v>
      </c>
      <c r="E1501" s="2">
        <v>18.13</v>
      </c>
      <c r="F1501" s="2">
        <v>2</v>
      </c>
      <c r="G1501" s="2" t="s">
        <v>11</v>
      </c>
      <c r="H1501" s="2" t="s">
        <v>4908</v>
      </c>
    </row>
    <row r="1502" spans="1:8" x14ac:dyDescent="0.2">
      <c r="A1502" s="2" t="s">
        <v>3343</v>
      </c>
      <c r="B1502" s="2" t="s">
        <v>546</v>
      </c>
      <c r="C1502" s="2">
        <v>664.88710000000003</v>
      </c>
      <c r="D1502" s="2">
        <f>HYPERLINK("http://mcb-m6.bioreg.kyushu-u.ac.jp/M3/20110418/F50976/1555/2", 53.28)</f>
        <v>53.28</v>
      </c>
      <c r="E1502" s="2">
        <v>37.46</v>
      </c>
      <c r="F1502" s="2">
        <v>2</v>
      </c>
      <c r="G1502" s="2" t="s">
        <v>11</v>
      </c>
    </row>
    <row r="1503" spans="1:8" x14ac:dyDescent="0.2">
      <c r="A1503" s="2" t="s">
        <v>3343</v>
      </c>
      <c r="B1503" s="2" t="s">
        <v>558</v>
      </c>
      <c r="C1503" s="2">
        <v>729.85469999999998</v>
      </c>
      <c r="D1503" s="2">
        <f>HYPERLINK("http://mcb-m6.bioreg.kyushu-u.ac.jp/M3/20110418/F50996/1986/1", 53.8)</f>
        <v>53.8</v>
      </c>
      <c r="E1503" s="2">
        <v>42.82</v>
      </c>
      <c r="F1503" s="2">
        <v>2</v>
      </c>
      <c r="G1503" s="2" t="s">
        <v>11</v>
      </c>
    </row>
    <row r="1504" spans="1:8" x14ac:dyDescent="0.2">
      <c r="A1504" s="2" t="s">
        <v>3343</v>
      </c>
      <c r="B1504" s="2" t="s">
        <v>325</v>
      </c>
      <c r="C1504" s="2">
        <v>747.2491</v>
      </c>
      <c r="D1504" s="2">
        <f>HYPERLINK("http://mcb-m6.bioreg.kyushu-u.ac.jp/M3/20110418/F50996/2078/1", 53.92)</f>
        <v>53.92</v>
      </c>
      <c r="E1504" s="2">
        <v>44.45</v>
      </c>
      <c r="F1504" s="2">
        <v>2</v>
      </c>
      <c r="G1504" s="2" t="s">
        <v>11</v>
      </c>
      <c r="H1504" s="2" t="s">
        <v>4925</v>
      </c>
    </row>
    <row r="1505" spans="1:8" x14ac:dyDescent="0.2">
      <c r="A1505" s="2" t="s">
        <v>3343</v>
      </c>
      <c r="B1505" s="2" t="s">
        <v>943</v>
      </c>
      <c r="C1505" s="2">
        <v>506.80560000000003</v>
      </c>
      <c r="D1505" s="2">
        <f>HYPERLINK("http://mcb-m6.bioreg.kyushu-u.ac.jp/M3/20110418/F50996/1158/1", 54)</f>
        <v>54</v>
      </c>
      <c r="E1505" s="2">
        <v>29.65</v>
      </c>
      <c r="F1505" s="2">
        <v>2</v>
      </c>
      <c r="G1505" s="2" t="s">
        <v>11</v>
      </c>
    </row>
    <row r="1506" spans="1:8" x14ac:dyDescent="0.2">
      <c r="A1506" s="2" t="s">
        <v>3343</v>
      </c>
      <c r="B1506" s="2" t="s">
        <v>943</v>
      </c>
      <c r="C1506" s="2">
        <v>506.74509999999998</v>
      </c>
      <c r="D1506" s="2">
        <f>HYPERLINK("http://mcb-m6.bioreg.kyushu-u.ac.jp/M3/20110418/F50996/1155/1", 54.32)</f>
        <v>54.32</v>
      </c>
      <c r="E1506" s="2">
        <v>34.33</v>
      </c>
      <c r="F1506" s="2">
        <v>2</v>
      </c>
      <c r="G1506" s="2" t="s">
        <v>11</v>
      </c>
    </row>
    <row r="1507" spans="1:8" x14ac:dyDescent="0.2">
      <c r="A1507" s="2" t="s">
        <v>3343</v>
      </c>
      <c r="B1507" s="2" t="s">
        <v>132</v>
      </c>
      <c r="C1507" s="2">
        <v>578.15060000000005</v>
      </c>
      <c r="D1507" s="2">
        <f>HYPERLINK("http://mcb-m6.bioreg.kyushu-u.ac.jp/M3/20110418/F50996/1410/1", 54.35)</f>
        <v>54.35</v>
      </c>
      <c r="E1507" s="2">
        <v>27.38</v>
      </c>
      <c r="F1507" s="2">
        <v>2</v>
      </c>
      <c r="G1507" s="2" t="s">
        <v>11</v>
      </c>
    </row>
    <row r="1508" spans="1:8" x14ac:dyDescent="0.2">
      <c r="A1508" s="2" t="s">
        <v>3343</v>
      </c>
      <c r="B1508" s="2" t="s">
        <v>132</v>
      </c>
      <c r="C1508" s="2">
        <v>578.67520000000002</v>
      </c>
      <c r="D1508" s="2">
        <f>HYPERLINK("http://mcb-m6.bioreg.kyushu-u.ac.jp/M3/20110418/F50999/1476/1", 55.31)</f>
        <v>55.31</v>
      </c>
      <c r="E1508" s="2">
        <v>31.14</v>
      </c>
      <c r="F1508" s="2">
        <v>2</v>
      </c>
      <c r="G1508" s="2" t="s">
        <v>11</v>
      </c>
    </row>
    <row r="1509" spans="1:8" x14ac:dyDescent="0.2">
      <c r="A1509" s="2" t="s">
        <v>3343</v>
      </c>
      <c r="B1509" s="2" t="s">
        <v>2359</v>
      </c>
      <c r="C1509" s="2">
        <v>679.11469999999997</v>
      </c>
      <c r="D1509" s="2">
        <f>HYPERLINK("http://mcb-m6.bioreg.kyushu-u.ac.jp/M3/20110418/F50996/1774/1", 55.47)</f>
        <v>55.47</v>
      </c>
      <c r="E1509" s="2">
        <v>32.54</v>
      </c>
      <c r="F1509" s="2">
        <v>2</v>
      </c>
      <c r="G1509" s="2" t="s">
        <v>11</v>
      </c>
    </row>
    <row r="1510" spans="1:8" x14ac:dyDescent="0.2">
      <c r="A1510" s="2" t="s">
        <v>3343</v>
      </c>
      <c r="B1510" s="2" t="s">
        <v>704</v>
      </c>
      <c r="C1510" s="2">
        <v>610.28470000000004</v>
      </c>
      <c r="D1510" s="2">
        <f>HYPERLINK("http://mcb-m6.bioreg.kyushu-u.ac.jp/M3/20110418/F50996/1584/1", 55.52)</f>
        <v>55.52</v>
      </c>
      <c r="E1510" s="2">
        <v>29.14</v>
      </c>
      <c r="F1510" s="2">
        <v>2</v>
      </c>
      <c r="G1510" s="2" t="s">
        <v>11</v>
      </c>
      <c r="H1510" s="2" t="s">
        <v>4908</v>
      </c>
    </row>
    <row r="1511" spans="1:8" x14ac:dyDescent="0.2">
      <c r="A1511" s="2" t="s">
        <v>3343</v>
      </c>
      <c r="B1511" s="2" t="s">
        <v>132</v>
      </c>
      <c r="C1511" s="2">
        <v>578.63419999999996</v>
      </c>
      <c r="D1511" s="2">
        <f>HYPERLINK("http://mcb-m6.bioreg.kyushu-u.ac.jp/M3/20110418/F50996/1421/1", 55.54)</f>
        <v>55.54</v>
      </c>
      <c r="E1511" s="2">
        <v>28.58</v>
      </c>
      <c r="F1511" s="2">
        <v>2</v>
      </c>
      <c r="G1511" s="2" t="s">
        <v>11</v>
      </c>
    </row>
    <row r="1512" spans="1:8" x14ac:dyDescent="0.2">
      <c r="A1512" s="2" t="s">
        <v>3343</v>
      </c>
      <c r="B1512" s="2" t="s">
        <v>509</v>
      </c>
      <c r="C1512" s="2">
        <v>709.23720000000003</v>
      </c>
      <c r="D1512" s="2">
        <f>HYPERLINK("http://mcb-m6.bioreg.kyushu-u.ac.jp/M3/20110418/F50999/1867/1", 55.8)</f>
        <v>55.8</v>
      </c>
      <c r="E1512" s="2">
        <v>37.14</v>
      </c>
      <c r="F1512" s="2">
        <v>2</v>
      </c>
      <c r="G1512" s="2" t="s">
        <v>11</v>
      </c>
      <c r="H1512" s="2" t="s">
        <v>4904</v>
      </c>
    </row>
    <row r="1513" spans="1:8" x14ac:dyDescent="0.2">
      <c r="A1513" s="2" t="s">
        <v>3343</v>
      </c>
      <c r="B1513" s="2" t="s">
        <v>210</v>
      </c>
      <c r="C1513" s="2">
        <v>546.82569999999998</v>
      </c>
      <c r="D1513" s="2">
        <f>HYPERLINK("http://mcb-m6.bioreg.kyushu-u.ac.jp/M3/20110418/F50996/1309/1", 55.99)</f>
        <v>55.99</v>
      </c>
      <c r="E1513" s="2">
        <v>29.63</v>
      </c>
      <c r="F1513" s="2">
        <v>2</v>
      </c>
      <c r="G1513" s="2" t="s">
        <v>11</v>
      </c>
    </row>
    <row r="1514" spans="1:8" x14ac:dyDescent="0.2">
      <c r="A1514" s="2" t="s">
        <v>3343</v>
      </c>
      <c r="B1514" s="2" t="s">
        <v>325</v>
      </c>
      <c r="C1514" s="2">
        <v>747.23069999999996</v>
      </c>
      <c r="D1514" s="2">
        <f>HYPERLINK("http://mcb-m6.bioreg.kyushu-u.ac.jp/M3/20110418/F50974/2109/1", 56.29)</f>
        <v>56.29</v>
      </c>
      <c r="E1514" s="2">
        <v>47.36</v>
      </c>
      <c r="F1514" s="2">
        <v>2</v>
      </c>
      <c r="G1514" s="2" t="s">
        <v>11</v>
      </c>
      <c r="H1514" s="2" t="s">
        <v>4925</v>
      </c>
    </row>
    <row r="1515" spans="1:8" x14ac:dyDescent="0.2">
      <c r="A1515" s="2" t="s">
        <v>3343</v>
      </c>
      <c r="B1515" s="2" t="s">
        <v>132</v>
      </c>
      <c r="C1515" s="2">
        <v>578.63620000000003</v>
      </c>
      <c r="D1515" s="2">
        <f>HYPERLINK("http://mcb-m6.bioreg.kyushu-u.ac.jp/M3/20110418/F50999/1475/1", 56.61)</f>
        <v>56.61</v>
      </c>
      <c r="E1515" s="2">
        <v>26.4</v>
      </c>
      <c r="F1515" s="2">
        <v>2</v>
      </c>
      <c r="G1515" s="2" t="s">
        <v>11</v>
      </c>
    </row>
    <row r="1516" spans="1:8" x14ac:dyDescent="0.2">
      <c r="A1516" s="2" t="s">
        <v>3343</v>
      </c>
      <c r="B1516" s="2" t="s">
        <v>704</v>
      </c>
      <c r="C1516" s="2">
        <v>602.65369999999996</v>
      </c>
      <c r="D1516" s="2">
        <f>HYPERLINK("http://mcb-m6.bioreg.kyushu-u.ac.jp/M3/20110418/F50996/1540/1", 56.67)</f>
        <v>56.67</v>
      </c>
      <c r="E1516" s="2">
        <v>23.31</v>
      </c>
      <c r="F1516" s="2">
        <v>2</v>
      </c>
      <c r="G1516" s="2" t="s">
        <v>11</v>
      </c>
    </row>
    <row r="1517" spans="1:8" x14ac:dyDescent="0.2">
      <c r="A1517" s="2" t="s">
        <v>3343</v>
      </c>
      <c r="B1517" s="2" t="s">
        <v>509</v>
      </c>
      <c r="C1517" s="2">
        <v>725.21870000000001</v>
      </c>
      <c r="D1517" s="2">
        <f>HYPERLINK("http://mcb-m6.bioreg.kyushu-u.ac.jp/M3/20110418/F50996/1968/1", 57.26)</f>
        <v>57.26</v>
      </c>
      <c r="E1517" s="2">
        <v>46.72</v>
      </c>
      <c r="F1517" s="2">
        <v>2</v>
      </c>
      <c r="G1517" s="2" t="s">
        <v>11</v>
      </c>
      <c r="H1517" s="2" t="s">
        <v>4927</v>
      </c>
    </row>
    <row r="1518" spans="1:8" x14ac:dyDescent="0.2">
      <c r="A1518" s="2" t="s">
        <v>3343</v>
      </c>
      <c r="B1518" s="2" t="s">
        <v>132</v>
      </c>
      <c r="C1518" s="2">
        <v>578.7577</v>
      </c>
      <c r="D1518" s="2">
        <f>HYPERLINK("http://mcb-m6.bioreg.kyushu-u.ac.jp/M3/20110418/F50996/1426/1", 58.03)</f>
        <v>58.03</v>
      </c>
      <c r="E1518" s="2">
        <v>25.4</v>
      </c>
      <c r="F1518" s="2">
        <v>2</v>
      </c>
      <c r="G1518" s="2" t="s">
        <v>11</v>
      </c>
    </row>
    <row r="1519" spans="1:8" x14ac:dyDescent="0.2">
      <c r="A1519" s="2" t="s">
        <v>3343</v>
      </c>
      <c r="B1519" s="2" t="s">
        <v>210</v>
      </c>
      <c r="C1519" s="2">
        <v>546.66219999999998</v>
      </c>
      <c r="D1519" s="2">
        <f>HYPERLINK("http://mcb-m6.bioreg.kyushu-u.ac.jp/M3/20110418/F50996/1305/1", 58.4)</f>
        <v>58.4</v>
      </c>
      <c r="E1519" s="2">
        <v>23.17</v>
      </c>
      <c r="F1519" s="2">
        <v>2</v>
      </c>
      <c r="G1519" s="2" t="s">
        <v>11</v>
      </c>
    </row>
    <row r="1520" spans="1:8" x14ac:dyDescent="0.2">
      <c r="A1520" s="2" t="s">
        <v>3343</v>
      </c>
      <c r="B1520" s="2" t="s">
        <v>546</v>
      </c>
      <c r="C1520" s="2">
        <v>665.16020000000003</v>
      </c>
      <c r="D1520" s="2">
        <f>HYPERLINK("http://mcb-m6.bioreg.kyushu-u.ac.jp/M3/20110418/F50974/1686/2", 58.42)</f>
        <v>58.42</v>
      </c>
      <c r="E1520" s="2">
        <v>44.33</v>
      </c>
      <c r="F1520" s="2">
        <v>2</v>
      </c>
      <c r="G1520" s="2" t="s">
        <v>11</v>
      </c>
    </row>
    <row r="1521" spans="1:8" x14ac:dyDescent="0.2">
      <c r="A1521" s="2" t="s">
        <v>3343</v>
      </c>
      <c r="B1521" s="2" t="s">
        <v>546</v>
      </c>
      <c r="C1521" s="2">
        <v>664.76459999999997</v>
      </c>
      <c r="D1521" s="2">
        <f>HYPERLINK("http://mcb-m6.bioreg.kyushu-u.ac.jp/M3/20110418/F50996/1705/2", 58.48)</f>
        <v>58.48</v>
      </c>
      <c r="E1521" s="2">
        <v>43.66</v>
      </c>
      <c r="F1521" s="2">
        <v>2</v>
      </c>
      <c r="G1521" s="2" t="s">
        <v>11</v>
      </c>
    </row>
    <row r="1522" spans="1:8" x14ac:dyDescent="0.2">
      <c r="A1522" s="2" t="s">
        <v>3343</v>
      </c>
      <c r="B1522" s="2" t="s">
        <v>704</v>
      </c>
      <c r="C1522" s="2">
        <v>611.27560000000005</v>
      </c>
      <c r="D1522" s="2">
        <f>HYPERLINK("http://mcb-m6.bioreg.kyushu-u.ac.jp/M3/20110418/F50996/1596/1", 59.11)</f>
        <v>59.11</v>
      </c>
      <c r="E1522" s="2">
        <v>30.39</v>
      </c>
      <c r="F1522" s="2">
        <v>2</v>
      </c>
      <c r="G1522" s="2" t="s">
        <v>11</v>
      </c>
      <c r="H1522" s="2" t="s">
        <v>4908</v>
      </c>
    </row>
    <row r="1523" spans="1:8" x14ac:dyDescent="0.2">
      <c r="A1523" s="2" t="s">
        <v>3343</v>
      </c>
      <c r="B1523" s="2" t="s">
        <v>1032</v>
      </c>
      <c r="C1523" s="2">
        <v>770.71109999999999</v>
      </c>
      <c r="D1523" s="2">
        <f>HYPERLINK("http://mcb-m6.bioreg.kyushu-u.ac.jp/M3/20110418/F50996/3295/1", 59.16)</f>
        <v>59.16</v>
      </c>
      <c r="E1523" s="2">
        <v>39.9</v>
      </c>
      <c r="F1523" s="2">
        <v>3</v>
      </c>
      <c r="G1523" s="2" t="s">
        <v>11</v>
      </c>
      <c r="H1523" s="2" t="s">
        <v>4904</v>
      </c>
    </row>
    <row r="1524" spans="1:8" x14ac:dyDescent="0.2">
      <c r="A1524" s="2" t="s">
        <v>3343</v>
      </c>
      <c r="B1524" s="2" t="s">
        <v>210</v>
      </c>
      <c r="C1524" s="2">
        <v>554.73360000000002</v>
      </c>
      <c r="D1524" s="2">
        <f>HYPERLINK("http://mcb-m6.bioreg.kyushu-u.ac.jp/M3/20110418/F50996/1333/1", 59.18)</f>
        <v>59.18</v>
      </c>
      <c r="E1524" s="2">
        <v>29.95</v>
      </c>
      <c r="F1524" s="2">
        <v>2</v>
      </c>
      <c r="G1524" s="2" t="s">
        <v>11</v>
      </c>
      <c r="H1524" s="2" t="s">
        <v>4910</v>
      </c>
    </row>
    <row r="1525" spans="1:8" x14ac:dyDescent="0.2">
      <c r="A1525" s="2" t="s">
        <v>3343</v>
      </c>
      <c r="B1525" s="2" t="s">
        <v>509</v>
      </c>
      <c r="C1525" s="2">
        <v>725.26670000000001</v>
      </c>
      <c r="D1525" s="2">
        <f>HYPERLINK("http://mcb-m6.bioreg.kyushu-u.ac.jp/M3/20110418/F50996/1971/1", 59.2)</f>
        <v>59.2</v>
      </c>
      <c r="E1525" s="2">
        <v>37.35</v>
      </c>
      <c r="F1525" s="2">
        <v>2</v>
      </c>
      <c r="G1525" s="2" t="s">
        <v>11</v>
      </c>
      <c r="H1525" s="2" t="s">
        <v>4927</v>
      </c>
    </row>
    <row r="1526" spans="1:8" x14ac:dyDescent="0.2">
      <c r="A1526" s="2" t="s">
        <v>3343</v>
      </c>
      <c r="B1526" s="2" t="s">
        <v>704</v>
      </c>
      <c r="C1526" s="2">
        <v>611.35519999999997</v>
      </c>
      <c r="D1526" s="2">
        <f>HYPERLINK("http://mcb-m6.bioreg.kyushu-u.ac.jp/M3/20110418/F50996/1598/1", 60.19)</f>
        <v>60.19</v>
      </c>
      <c r="E1526" s="2">
        <v>31.49</v>
      </c>
      <c r="F1526" s="2">
        <v>2</v>
      </c>
      <c r="G1526" s="2" t="s">
        <v>11</v>
      </c>
      <c r="H1526" s="2" t="s">
        <v>4908</v>
      </c>
    </row>
    <row r="1527" spans="1:8" x14ac:dyDescent="0.2">
      <c r="A1527" s="2" t="s">
        <v>3343</v>
      </c>
      <c r="B1527" s="2" t="s">
        <v>132</v>
      </c>
      <c r="C1527" s="2">
        <v>578.45569999999998</v>
      </c>
      <c r="D1527" s="2">
        <f>HYPERLINK("http://mcb-m6.bioreg.kyushu-u.ac.jp/M3/20110418/F50996/1420/1", 61.49)</f>
        <v>61.49</v>
      </c>
      <c r="E1527" s="2">
        <v>35.29</v>
      </c>
      <c r="F1527" s="2">
        <v>2</v>
      </c>
      <c r="G1527" s="2" t="s">
        <v>11</v>
      </c>
    </row>
    <row r="1528" spans="1:8" x14ac:dyDescent="0.2">
      <c r="A1528" s="2" t="s">
        <v>3343</v>
      </c>
      <c r="B1528" s="2" t="s">
        <v>325</v>
      </c>
      <c r="C1528" s="2">
        <v>739.17819999999995</v>
      </c>
      <c r="D1528" s="2">
        <f>HYPERLINK("http://mcb-m6.bioreg.kyushu-u.ac.jp/M3/20110418/F50996/2036/1", 61.97)</f>
        <v>61.97</v>
      </c>
      <c r="E1528" s="2">
        <v>46.39</v>
      </c>
      <c r="F1528" s="2">
        <v>2</v>
      </c>
      <c r="G1528" s="2" t="s">
        <v>11</v>
      </c>
    </row>
    <row r="1529" spans="1:8" x14ac:dyDescent="0.2">
      <c r="A1529" s="2" t="s">
        <v>3343</v>
      </c>
      <c r="B1529" s="2" t="s">
        <v>704</v>
      </c>
      <c r="C1529" s="2">
        <v>610.46169999999995</v>
      </c>
      <c r="D1529" s="2">
        <f>HYPERLINK("http://mcb-m6.bioreg.kyushu-u.ac.jp/M3/20110418/F50996/1586/1", 62.77)</f>
        <v>62.77</v>
      </c>
      <c r="E1529" s="2">
        <v>24.11</v>
      </c>
      <c r="F1529" s="2">
        <v>2</v>
      </c>
      <c r="G1529" s="2" t="s">
        <v>11</v>
      </c>
      <c r="H1529" s="2" t="s">
        <v>4908</v>
      </c>
    </row>
    <row r="1530" spans="1:8" x14ac:dyDescent="0.2">
      <c r="A1530" s="2" t="s">
        <v>3343</v>
      </c>
      <c r="B1530" s="2" t="s">
        <v>328</v>
      </c>
      <c r="C1530" s="2">
        <v>573.69320000000005</v>
      </c>
      <c r="D1530" s="2">
        <f>HYPERLINK("http://mcb-m6.bioreg.kyushu-u.ac.jp/M3/20110418/F50996/1391/1", 62.98)</f>
        <v>62.98</v>
      </c>
      <c r="E1530" s="2">
        <v>24.45</v>
      </c>
      <c r="F1530" s="2">
        <v>2</v>
      </c>
      <c r="G1530" s="2" t="s">
        <v>11</v>
      </c>
    </row>
    <row r="1531" spans="1:8" x14ac:dyDescent="0.2">
      <c r="A1531" s="2" t="s">
        <v>3343</v>
      </c>
      <c r="B1531" s="2" t="s">
        <v>210</v>
      </c>
      <c r="C1531" s="2">
        <v>554.70259999999996</v>
      </c>
      <c r="D1531" s="2">
        <f>HYPERLINK("http://mcb-m6.bioreg.kyushu-u.ac.jp/M3/20110418/F50996/1329/1", 64.28)</f>
        <v>64.28</v>
      </c>
      <c r="E1531" s="2">
        <v>30.38</v>
      </c>
      <c r="F1531" s="2">
        <v>2</v>
      </c>
      <c r="G1531" s="2" t="s">
        <v>11</v>
      </c>
      <c r="H1531" s="2" t="s">
        <v>4910</v>
      </c>
    </row>
    <row r="1532" spans="1:8" x14ac:dyDescent="0.2">
      <c r="A1532" s="2" t="s">
        <v>3343</v>
      </c>
      <c r="B1532" s="2" t="s">
        <v>132</v>
      </c>
      <c r="C1532" s="2">
        <v>578.60419999999999</v>
      </c>
      <c r="D1532" s="2">
        <f>HYPERLINK("http://mcb-m6.bioreg.kyushu-u.ac.jp/M3/20110418/F50973/1660/1", 65.23)</f>
        <v>65.23</v>
      </c>
      <c r="E1532" s="2">
        <v>33.200000000000003</v>
      </c>
      <c r="F1532" s="2">
        <v>2</v>
      </c>
      <c r="G1532" s="2" t="s">
        <v>11</v>
      </c>
    </row>
    <row r="1533" spans="1:8" x14ac:dyDescent="0.2">
      <c r="A1533" s="2" t="s">
        <v>3343</v>
      </c>
      <c r="B1533" s="2" t="s">
        <v>344</v>
      </c>
      <c r="C1533" s="2">
        <v>919.87019999999995</v>
      </c>
      <c r="D1533" s="2">
        <f>HYPERLINK("http://mcb-m6.bioreg.kyushu-u.ac.jp/M3/20110418/F50999/2546/1", 65.27)</f>
        <v>65.27</v>
      </c>
      <c r="E1533" s="2">
        <v>44.56</v>
      </c>
      <c r="F1533" s="2">
        <v>2</v>
      </c>
      <c r="G1533" s="2" t="s">
        <v>11</v>
      </c>
    </row>
    <row r="1534" spans="1:8" x14ac:dyDescent="0.2">
      <c r="A1534" s="2" t="s">
        <v>3343</v>
      </c>
      <c r="B1534" s="2" t="s">
        <v>325</v>
      </c>
      <c r="C1534" s="2">
        <v>747.31769999999995</v>
      </c>
      <c r="D1534" s="2">
        <f>HYPERLINK("http://mcb-m6.bioreg.kyushu-u.ac.jp/M3/20110418/F50996/2081/1", 66.67)</f>
        <v>66.67</v>
      </c>
      <c r="E1534" s="2">
        <v>52.5</v>
      </c>
      <c r="F1534" s="2">
        <v>2</v>
      </c>
      <c r="G1534" s="2" t="s">
        <v>11</v>
      </c>
      <c r="H1534" s="2" t="s">
        <v>4925</v>
      </c>
    </row>
    <row r="1535" spans="1:8" x14ac:dyDescent="0.2">
      <c r="A1535" s="2" t="s">
        <v>3343</v>
      </c>
      <c r="B1535" s="2" t="s">
        <v>132</v>
      </c>
      <c r="C1535" s="2">
        <v>578.42660000000001</v>
      </c>
      <c r="D1535" s="2">
        <f>HYPERLINK("http://mcb-m6.bioreg.kyushu-u.ac.jp/M3/20110418/F50996/1419/1", 66.82)</f>
        <v>66.819999999999993</v>
      </c>
      <c r="E1535" s="2">
        <v>41.22</v>
      </c>
      <c r="F1535" s="2">
        <v>2</v>
      </c>
      <c r="G1535" s="2" t="s">
        <v>11</v>
      </c>
    </row>
    <row r="1536" spans="1:8" x14ac:dyDescent="0.2">
      <c r="A1536" s="2" t="s">
        <v>3343</v>
      </c>
      <c r="B1536" s="2" t="s">
        <v>344</v>
      </c>
      <c r="C1536" s="2">
        <v>919.45370000000003</v>
      </c>
      <c r="D1536" s="2">
        <f>HYPERLINK("http://mcb-m6.bioreg.kyushu-u.ac.jp/M3/20110418/F50996/2760/1", 67.07)</f>
        <v>67.069999999999993</v>
      </c>
      <c r="E1536" s="2">
        <v>43.07</v>
      </c>
      <c r="F1536" s="2">
        <v>2</v>
      </c>
      <c r="G1536" s="2" t="s">
        <v>11</v>
      </c>
    </row>
    <row r="1537" spans="1:8" x14ac:dyDescent="0.2">
      <c r="A1537" s="2" t="s">
        <v>3343</v>
      </c>
      <c r="B1537" s="2" t="s">
        <v>132</v>
      </c>
      <c r="C1537" s="2">
        <v>578.40869999999995</v>
      </c>
      <c r="D1537" s="2">
        <f>HYPERLINK("http://mcb-m6.bioreg.kyushu-u.ac.jp/M3/20110418/F51000/1526/1", 67.44)</f>
        <v>67.44</v>
      </c>
      <c r="E1537" s="2">
        <v>38.700000000000003</v>
      </c>
      <c r="F1537" s="2">
        <v>2</v>
      </c>
      <c r="G1537" s="2" t="s">
        <v>11</v>
      </c>
    </row>
    <row r="1538" spans="1:8" x14ac:dyDescent="0.2">
      <c r="A1538" s="2" t="s">
        <v>3343</v>
      </c>
      <c r="B1538" s="2" t="s">
        <v>546</v>
      </c>
      <c r="C1538" s="2">
        <v>664.86109999999996</v>
      </c>
      <c r="D1538" s="2">
        <f>HYPERLINK("http://mcb-m6.bioreg.kyushu-u.ac.jp/M3/20110418/F50996/1711/2", 67.82)</f>
        <v>67.819999999999993</v>
      </c>
      <c r="E1538" s="2">
        <v>53.72</v>
      </c>
      <c r="F1538" s="2">
        <v>2</v>
      </c>
      <c r="G1538" s="2" t="s">
        <v>11</v>
      </c>
    </row>
    <row r="1539" spans="1:8" x14ac:dyDescent="0.2">
      <c r="A1539" s="2" t="s">
        <v>3343</v>
      </c>
      <c r="B1539" s="2" t="s">
        <v>546</v>
      </c>
      <c r="C1539" s="2">
        <v>665.32920000000001</v>
      </c>
      <c r="D1539" s="2">
        <f>HYPERLINK("http://mcb-m6.bioreg.kyushu-u.ac.jp/M3/20110418/F50996/1714/2", 67.92)</f>
        <v>67.92</v>
      </c>
      <c r="E1539" s="2">
        <v>53.5</v>
      </c>
      <c r="F1539" s="2">
        <v>2</v>
      </c>
      <c r="G1539" s="2" t="s">
        <v>11</v>
      </c>
    </row>
    <row r="1540" spans="1:8" x14ac:dyDescent="0.2">
      <c r="A1540" s="2" t="s">
        <v>3343</v>
      </c>
      <c r="B1540" s="2" t="s">
        <v>509</v>
      </c>
      <c r="C1540" s="2">
        <v>725.78470000000004</v>
      </c>
      <c r="D1540" s="2">
        <f>HYPERLINK("http://mcb-m6.bioreg.kyushu-u.ac.jp/M3/20110418/F50996/1975/1", 67.93)</f>
        <v>67.930000000000007</v>
      </c>
      <c r="E1540" s="2">
        <v>50.38</v>
      </c>
      <c r="F1540" s="2">
        <v>2</v>
      </c>
      <c r="G1540" s="2" t="s">
        <v>11</v>
      </c>
      <c r="H1540" s="2" t="s">
        <v>4927</v>
      </c>
    </row>
    <row r="1541" spans="1:8" x14ac:dyDescent="0.2">
      <c r="A1541" s="2" t="s">
        <v>3343</v>
      </c>
      <c r="B1541" s="2" t="s">
        <v>1002</v>
      </c>
      <c r="C1541" s="2">
        <v>1147.9449999999999</v>
      </c>
      <c r="D1541" s="2">
        <f>HYPERLINK("http://mcb-m6.bioreg.kyushu-u.ac.jp/M3/20110418/F50996/3264/1", 68.27)</f>
        <v>68.27</v>
      </c>
      <c r="E1541" s="2">
        <v>52.82</v>
      </c>
      <c r="F1541" s="2">
        <v>2</v>
      </c>
      <c r="G1541" s="2" t="s">
        <v>11</v>
      </c>
    </row>
    <row r="1542" spans="1:8" x14ac:dyDescent="0.2">
      <c r="A1542" s="2" t="s">
        <v>3343</v>
      </c>
      <c r="B1542" s="2" t="s">
        <v>344</v>
      </c>
      <c r="C1542" s="2">
        <v>919.90470000000005</v>
      </c>
      <c r="D1542" s="2">
        <f>HYPERLINK("http://mcb-m6.bioreg.kyushu-u.ac.jp/M3/20110418/F50996/2764/1", 69.1)</f>
        <v>69.099999999999994</v>
      </c>
      <c r="E1542" s="2">
        <v>38.659999999999997</v>
      </c>
      <c r="F1542" s="2">
        <v>2</v>
      </c>
      <c r="G1542" s="2" t="s">
        <v>11</v>
      </c>
    </row>
    <row r="1543" spans="1:8" x14ac:dyDescent="0.2">
      <c r="A1543" s="2" t="s">
        <v>3343</v>
      </c>
      <c r="B1543" s="2" t="s">
        <v>558</v>
      </c>
      <c r="C1543" s="2">
        <v>729.26459999999997</v>
      </c>
      <c r="D1543" s="2">
        <f>HYPERLINK("http://mcb-m6.bioreg.kyushu-u.ac.jp/M3/20110418/F50974/2023/1", 69.71)</f>
        <v>69.709999999999994</v>
      </c>
      <c r="E1543" s="2">
        <v>53.69</v>
      </c>
      <c r="F1543" s="2">
        <v>2</v>
      </c>
      <c r="G1543" s="2" t="s">
        <v>11</v>
      </c>
    </row>
    <row r="1544" spans="1:8" x14ac:dyDescent="0.2">
      <c r="A1544" s="2" t="s">
        <v>3343</v>
      </c>
      <c r="B1544" s="2" t="s">
        <v>1002</v>
      </c>
      <c r="C1544" s="2">
        <v>1147.4010000000001</v>
      </c>
      <c r="D1544" s="2">
        <f>HYPERLINK("http://mcb-m6.bioreg.kyushu-u.ac.jp/M3/20110418/F50996/3253/1", 69.82)</f>
        <v>69.819999999999993</v>
      </c>
      <c r="E1544" s="2">
        <v>64.86</v>
      </c>
      <c r="F1544" s="2">
        <v>2</v>
      </c>
      <c r="G1544" s="2" t="s">
        <v>11</v>
      </c>
    </row>
    <row r="1545" spans="1:8" x14ac:dyDescent="0.2">
      <c r="A1545" s="2" t="s">
        <v>3343</v>
      </c>
      <c r="B1545" s="2" t="s">
        <v>509</v>
      </c>
      <c r="C1545" s="2">
        <v>725.24659999999994</v>
      </c>
      <c r="D1545" s="2">
        <f>HYPERLINK("http://mcb-m6.bioreg.kyushu-u.ac.jp/M3/20110418/F50996/1969/1", 70.03)</f>
        <v>70.03</v>
      </c>
      <c r="E1545" s="2">
        <v>56.17</v>
      </c>
      <c r="F1545" s="2">
        <v>2</v>
      </c>
      <c r="G1545" s="2" t="s">
        <v>11</v>
      </c>
      <c r="H1545" s="2" t="s">
        <v>4927</v>
      </c>
    </row>
    <row r="1546" spans="1:8" x14ac:dyDescent="0.2">
      <c r="A1546" s="2" t="s">
        <v>3343</v>
      </c>
      <c r="B1546" s="2" t="s">
        <v>546</v>
      </c>
      <c r="C1546" s="2">
        <v>664.72019999999998</v>
      </c>
      <c r="D1546" s="2">
        <f>HYPERLINK("http://mcb-m6.bioreg.kyushu-u.ac.jp/M3/20110418/F50975/1530/2", 70.39)</f>
        <v>70.39</v>
      </c>
      <c r="E1546" s="2">
        <v>53.87</v>
      </c>
      <c r="F1546" s="2">
        <v>2</v>
      </c>
      <c r="G1546" s="2" t="s">
        <v>11</v>
      </c>
    </row>
    <row r="1547" spans="1:8" x14ac:dyDescent="0.2">
      <c r="A1547" s="2" t="s">
        <v>3343</v>
      </c>
      <c r="B1547" s="2" t="s">
        <v>546</v>
      </c>
      <c r="C1547" s="2">
        <v>664.97059999999999</v>
      </c>
      <c r="D1547" s="2">
        <f>HYPERLINK("http://mcb-m6.bioreg.kyushu-u.ac.jp/M3/20110418/F51000/1694/2", 71.16)</f>
        <v>71.16</v>
      </c>
      <c r="E1547" s="2">
        <v>55.5</v>
      </c>
      <c r="F1547" s="2">
        <v>2</v>
      </c>
      <c r="G1547" s="2" t="s">
        <v>11</v>
      </c>
    </row>
    <row r="1548" spans="1:8" x14ac:dyDescent="0.2">
      <c r="A1548" s="2" t="s">
        <v>3343</v>
      </c>
      <c r="B1548" s="2" t="s">
        <v>509</v>
      </c>
      <c r="C1548" s="2">
        <v>725.43370000000004</v>
      </c>
      <c r="D1548" s="2">
        <f>HYPERLINK("http://mcb-m6.bioreg.kyushu-u.ac.jp/M3/20110418/F50996/1974/1", 71.47)</f>
        <v>71.47</v>
      </c>
      <c r="E1548" s="2">
        <v>54.25</v>
      </c>
      <c r="F1548" s="2">
        <v>2</v>
      </c>
      <c r="G1548" s="2" t="s">
        <v>11</v>
      </c>
      <c r="H1548" s="2" t="s">
        <v>4927</v>
      </c>
    </row>
    <row r="1549" spans="1:8" x14ac:dyDescent="0.2">
      <c r="A1549" s="2" t="s">
        <v>3343</v>
      </c>
      <c r="B1549" s="2" t="s">
        <v>132</v>
      </c>
      <c r="C1549" s="2">
        <v>578.3741</v>
      </c>
      <c r="D1549" s="2">
        <f>HYPERLINK("http://mcb-m6.bioreg.kyushu-u.ac.jp/M3/20110418/F50996/1418/1", 71.51)</f>
        <v>71.510000000000005</v>
      </c>
      <c r="E1549" s="2">
        <v>36.68</v>
      </c>
      <c r="F1549" s="2">
        <v>2</v>
      </c>
      <c r="G1549" s="2" t="s">
        <v>11</v>
      </c>
    </row>
    <row r="1550" spans="1:8" x14ac:dyDescent="0.2">
      <c r="A1550" s="2" t="s">
        <v>3343</v>
      </c>
      <c r="B1550" s="2" t="s">
        <v>546</v>
      </c>
      <c r="C1550" s="2">
        <v>665.22519999999997</v>
      </c>
      <c r="D1550" s="2">
        <f>HYPERLINK("http://mcb-m6.bioreg.kyushu-u.ac.jp/M3/20110418/F50996/1712/2", 72.03)</f>
        <v>72.03</v>
      </c>
      <c r="E1550" s="2">
        <v>51.94</v>
      </c>
      <c r="F1550" s="2">
        <v>2</v>
      </c>
      <c r="G1550" s="2" t="s">
        <v>11</v>
      </c>
    </row>
    <row r="1551" spans="1:8" x14ac:dyDescent="0.2">
      <c r="A1551" s="2" t="s">
        <v>3343</v>
      </c>
      <c r="B1551" s="2" t="s">
        <v>132</v>
      </c>
      <c r="C1551" s="2">
        <v>578.06920000000002</v>
      </c>
      <c r="D1551" s="2">
        <f>HYPERLINK("http://mcb-m6.bioreg.kyushu-u.ac.jp/M3/20110418/F50996/1409/1", 72.56)</f>
        <v>72.56</v>
      </c>
      <c r="E1551" s="2">
        <v>42.02</v>
      </c>
      <c r="F1551" s="2">
        <v>2</v>
      </c>
      <c r="G1551" s="2" t="s">
        <v>11</v>
      </c>
    </row>
    <row r="1552" spans="1:8" x14ac:dyDescent="0.2">
      <c r="A1552" s="2" t="s">
        <v>3343</v>
      </c>
      <c r="B1552" s="2" t="s">
        <v>325</v>
      </c>
      <c r="C1552" s="2">
        <v>739.82709999999997</v>
      </c>
      <c r="D1552" s="2">
        <f>HYPERLINK("http://mcb-m6.bioreg.kyushu-u.ac.jp/M3/20110418/F50996/2043/1", 72.76)</f>
        <v>72.760000000000005</v>
      </c>
      <c r="E1552" s="2">
        <v>54.99</v>
      </c>
      <c r="F1552" s="2">
        <v>2</v>
      </c>
      <c r="G1552" s="2" t="s">
        <v>11</v>
      </c>
    </row>
    <row r="1553" spans="1:8" x14ac:dyDescent="0.2">
      <c r="A1553" s="2" t="s">
        <v>3343</v>
      </c>
      <c r="B1553" s="2" t="s">
        <v>1002</v>
      </c>
      <c r="C1553" s="2">
        <v>1147.364</v>
      </c>
      <c r="D1553" s="2">
        <f>HYPERLINK("http://mcb-m6.bioreg.kyushu-u.ac.jp/M3/20110418/F50974/3595/1", 73.26)</f>
        <v>73.260000000000005</v>
      </c>
      <c r="E1553" s="2">
        <v>62.04</v>
      </c>
      <c r="F1553" s="2">
        <v>2</v>
      </c>
      <c r="G1553" s="2" t="s">
        <v>11</v>
      </c>
    </row>
    <row r="1554" spans="1:8" x14ac:dyDescent="0.2">
      <c r="A1554" s="2" t="s">
        <v>3343</v>
      </c>
      <c r="B1554" s="2" t="s">
        <v>1002</v>
      </c>
      <c r="C1554" s="2">
        <v>1147.942</v>
      </c>
      <c r="D1554" s="2">
        <f>HYPERLINK("http://mcb-m6.bioreg.kyushu-u.ac.jp/M3/20110418/F50996/3263/1", 73.96)</f>
        <v>73.959999999999994</v>
      </c>
      <c r="E1554" s="2">
        <v>60.84</v>
      </c>
      <c r="F1554" s="2">
        <v>2</v>
      </c>
      <c r="G1554" s="2" t="s">
        <v>11</v>
      </c>
    </row>
    <row r="1555" spans="1:8" x14ac:dyDescent="0.2">
      <c r="A1555" s="2" t="s">
        <v>3343</v>
      </c>
      <c r="B1555" s="2" t="s">
        <v>132</v>
      </c>
      <c r="C1555" s="2">
        <v>578.02170000000001</v>
      </c>
      <c r="D1555" s="2">
        <f>HYPERLINK("http://mcb-m6.bioreg.kyushu-u.ac.jp/M3/20110418/F50972/1707/1", 74.27)</f>
        <v>74.27</v>
      </c>
      <c r="E1555" s="2">
        <v>37.79</v>
      </c>
      <c r="F1555" s="2">
        <v>2</v>
      </c>
      <c r="G1555" s="2" t="s">
        <v>11</v>
      </c>
    </row>
    <row r="1556" spans="1:8" x14ac:dyDescent="0.2">
      <c r="A1556" s="2" t="s">
        <v>3343</v>
      </c>
      <c r="B1556" s="2" t="s">
        <v>344</v>
      </c>
      <c r="C1556" s="2">
        <v>919.35860000000002</v>
      </c>
      <c r="D1556" s="2">
        <f>HYPERLINK("http://mcb-m6.bioreg.kyushu-u.ac.jp/M3/20110418/F50999/2543/1", 74.67)</f>
        <v>74.67</v>
      </c>
      <c r="E1556" s="2">
        <v>43.92</v>
      </c>
      <c r="F1556" s="2">
        <v>2</v>
      </c>
      <c r="G1556" s="2" t="s">
        <v>11</v>
      </c>
    </row>
    <row r="1557" spans="1:8" x14ac:dyDescent="0.2">
      <c r="A1557" s="2" t="s">
        <v>3343</v>
      </c>
      <c r="B1557" s="2" t="s">
        <v>558</v>
      </c>
      <c r="C1557" s="2">
        <v>729.38070000000005</v>
      </c>
      <c r="D1557" s="2">
        <f>HYPERLINK("http://mcb-m6.bioreg.kyushu-u.ac.jp/M3/20110418/F50996/1984/1", 74.95)</f>
        <v>74.95</v>
      </c>
      <c r="E1557" s="2">
        <v>58.66</v>
      </c>
      <c r="F1557" s="2">
        <v>2</v>
      </c>
      <c r="G1557" s="2" t="s">
        <v>11</v>
      </c>
    </row>
    <row r="1558" spans="1:8" x14ac:dyDescent="0.2">
      <c r="A1558" s="2" t="s">
        <v>3343</v>
      </c>
      <c r="B1558" s="2" t="s">
        <v>509</v>
      </c>
      <c r="C1558" s="2">
        <v>725.25019999999995</v>
      </c>
      <c r="D1558" s="2">
        <f>HYPERLINK("http://mcb-m6.bioreg.kyushu-u.ac.jp/M3/20110418/F50996/1970/1", 74.97)</f>
        <v>74.97</v>
      </c>
      <c r="E1558" s="2">
        <v>62.26</v>
      </c>
      <c r="F1558" s="2">
        <v>2</v>
      </c>
      <c r="G1558" s="2" t="s">
        <v>11</v>
      </c>
      <c r="H1558" s="2" t="s">
        <v>4927</v>
      </c>
    </row>
    <row r="1559" spans="1:8" x14ac:dyDescent="0.2">
      <c r="A1559" s="2" t="s">
        <v>3343</v>
      </c>
      <c r="B1559" s="2" t="s">
        <v>132</v>
      </c>
      <c r="C1559" s="2">
        <v>578.19209999999998</v>
      </c>
      <c r="D1559" s="2">
        <f>HYPERLINK("http://mcb-m6.bioreg.kyushu-u.ac.jp/M3/20110418/F50996/1412/1", 75.41)</f>
        <v>75.41</v>
      </c>
      <c r="E1559" s="2">
        <v>45.55</v>
      </c>
      <c r="F1559" s="2">
        <v>2</v>
      </c>
      <c r="G1559" s="2" t="s">
        <v>11</v>
      </c>
    </row>
    <row r="1560" spans="1:8" x14ac:dyDescent="0.2">
      <c r="A1560" s="2" t="s">
        <v>3343</v>
      </c>
      <c r="B1560" s="2" t="s">
        <v>558</v>
      </c>
      <c r="C1560" s="2">
        <v>729.33169999999996</v>
      </c>
      <c r="D1560" s="2">
        <f>HYPERLINK("http://mcb-m6.bioreg.kyushu-u.ac.jp/M3/20110418/F50999/1950/1", 76.52)</f>
        <v>76.52</v>
      </c>
      <c r="E1560" s="2">
        <v>65.39</v>
      </c>
      <c r="F1560" s="2">
        <v>2</v>
      </c>
      <c r="G1560" s="2" t="s">
        <v>11</v>
      </c>
    </row>
    <row r="1561" spans="1:8" x14ac:dyDescent="0.2">
      <c r="A1561" s="2" t="s">
        <v>3343</v>
      </c>
      <c r="B1561" s="2" t="s">
        <v>1002</v>
      </c>
      <c r="C1561" s="2">
        <v>1147.8910000000001</v>
      </c>
      <c r="D1561" s="2">
        <f>HYPERLINK("http://mcb-m6.bioreg.kyushu-u.ac.jp/M3/20110418/F50974/3597/1", 77.21)</f>
        <v>77.209999999999994</v>
      </c>
      <c r="E1561" s="2">
        <v>60.25</v>
      </c>
      <c r="F1561" s="2">
        <v>2</v>
      </c>
      <c r="G1561" s="2" t="s">
        <v>11</v>
      </c>
    </row>
    <row r="1562" spans="1:8" x14ac:dyDescent="0.2">
      <c r="A1562" s="2" t="s">
        <v>3343</v>
      </c>
      <c r="B1562" s="2" t="s">
        <v>546</v>
      </c>
      <c r="C1562" s="2">
        <v>664.85059999999999</v>
      </c>
      <c r="D1562" s="2">
        <f>HYPERLINK("http://mcb-m6.bioreg.kyushu-u.ac.jp/M3/20110418/F50996/1710/2", 77.7)</f>
        <v>77.7</v>
      </c>
      <c r="E1562" s="2">
        <v>60.57</v>
      </c>
      <c r="F1562" s="2">
        <v>2</v>
      </c>
      <c r="G1562" s="2" t="s">
        <v>11</v>
      </c>
    </row>
    <row r="1563" spans="1:8" x14ac:dyDescent="0.2">
      <c r="A1563" s="2" t="s">
        <v>3343</v>
      </c>
      <c r="B1563" s="2" t="s">
        <v>1002</v>
      </c>
      <c r="C1563" s="2">
        <v>1147.5360000000001</v>
      </c>
      <c r="D1563" s="2">
        <f>HYPERLINK("http://mcb-m6.bioreg.kyushu-u.ac.jp/M3/20110418/F50996/3256/1", 77.71)</f>
        <v>77.709999999999994</v>
      </c>
      <c r="E1563" s="2">
        <v>69.05</v>
      </c>
      <c r="F1563" s="2">
        <v>2</v>
      </c>
      <c r="G1563" s="2" t="s">
        <v>11</v>
      </c>
    </row>
    <row r="1564" spans="1:8" x14ac:dyDescent="0.2">
      <c r="A1564" s="2" t="s">
        <v>3343</v>
      </c>
      <c r="B1564" s="2" t="s">
        <v>546</v>
      </c>
      <c r="C1564" s="2">
        <v>664.67660000000001</v>
      </c>
      <c r="D1564" s="2">
        <f>HYPERLINK("http://mcb-m6.bioreg.kyushu-u.ac.jp/M3/20110418/F50996/1703/2", 77.96)</f>
        <v>77.959999999999994</v>
      </c>
      <c r="E1564" s="2">
        <v>59.11</v>
      </c>
      <c r="F1564" s="2">
        <v>2</v>
      </c>
      <c r="G1564" s="2" t="s">
        <v>11</v>
      </c>
    </row>
    <row r="1565" spans="1:8" x14ac:dyDescent="0.2">
      <c r="A1565" s="2" t="s">
        <v>3343</v>
      </c>
      <c r="B1565" s="2" t="s">
        <v>546</v>
      </c>
      <c r="C1565" s="2">
        <v>664.66470000000004</v>
      </c>
      <c r="D1565" s="2">
        <f>HYPERLINK("http://mcb-m6.bioreg.kyushu-u.ac.jp/M3/20110418/F50974/1683/2", 77.97)</f>
        <v>77.97</v>
      </c>
      <c r="E1565" s="2">
        <v>62.42</v>
      </c>
      <c r="F1565" s="2">
        <v>2</v>
      </c>
      <c r="G1565" s="2" t="s">
        <v>11</v>
      </c>
    </row>
    <row r="1566" spans="1:8" x14ac:dyDescent="0.2">
      <c r="A1566" s="2" t="s">
        <v>3343</v>
      </c>
      <c r="B1566" s="2" t="s">
        <v>132</v>
      </c>
      <c r="C1566" s="2">
        <v>578.21259999999995</v>
      </c>
      <c r="D1566" s="2">
        <f>HYPERLINK("http://mcb-m6.bioreg.kyushu-u.ac.jp/M3/20110418/F50996/1413/1", 78.04)</f>
        <v>78.040000000000006</v>
      </c>
      <c r="E1566" s="2">
        <v>48.48</v>
      </c>
      <c r="F1566" s="2">
        <v>2</v>
      </c>
      <c r="G1566" s="2" t="s">
        <v>11</v>
      </c>
    </row>
    <row r="1567" spans="1:8" x14ac:dyDescent="0.2">
      <c r="A1567" s="2" t="s">
        <v>3343</v>
      </c>
      <c r="B1567" s="2" t="s">
        <v>325</v>
      </c>
      <c r="C1567" s="2">
        <v>747.1567</v>
      </c>
      <c r="D1567" s="2">
        <f>HYPERLINK("http://mcb-m6.bioreg.kyushu-u.ac.jp/M3/20110418/F50999/2060/1", 78.32)</f>
        <v>78.319999999999993</v>
      </c>
      <c r="E1567" s="2">
        <v>64.349999999999994</v>
      </c>
      <c r="F1567" s="2">
        <v>2</v>
      </c>
      <c r="G1567" s="2" t="s">
        <v>11</v>
      </c>
      <c r="H1567" s="2" t="s">
        <v>4925</v>
      </c>
    </row>
    <row r="1568" spans="1:8" x14ac:dyDescent="0.2">
      <c r="A1568" s="2" t="s">
        <v>3343</v>
      </c>
      <c r="B1568" s="2" t="s">
        <v>344</v>
      </c>
      <c r="C1568" s="2">
        <v>919.33370000000002</v>
      </c>
      <c r="D1568" s="2">
        <f>HYPERLINK("http://mcb-m6.bioreg.kyushu-u.ac.jp/M3/20110418/F50974/2942/1", 78.4)</f>
        <v>78.400000000000006</v>
      </c>
      <c r="E1568" s="2">
        <v>52.4</v>
      </c>
      <c r="F1568" s="2">
        <v>2</v>
      </c>
      <c r="G1568" s="2" t="s">
        <v>11</v>
      </c>
    </row>
    <row r="1569" spans="1:8" x14ac:dyDescent="0.2">
      <c r="A1569" s="2" t="s">
        <v>3343</v>
      </c>
      <c r="B1569" s="2" t="s">
        <v>132</v>
      </c>
      <c r="C1569" s="2">
        <v>578.23270000000002</v>
      </c>
      <c r="D1569" s="2">
        <f>HYPERLINK("http://mcb-m6.bioreg.kyushu-u.ac.jp/M3/20110418/F50996/1414/1", 78.45)</f>
        <v>78.45</v>
      </c>
      <c r="E1569" s="2">
        <v>51.78</v>
      </c>
      <c r="F1569" s="2">
        <v>2</v>
      </c>
      <c r="G1569" s="2" t="s">
        <v>11</v>
      </c>
    </row>
    <row r="1570" spans="1:8" x14ac:dyDescent="0.2">
      <c r="A1570" s="2" t="s">
        <v>3343</v>
      </c>
      <c r="B1570" s="2" t="s">
        <v>1002</v>
      </c>
      <c r="C1570" s="2">
        <v>1147.377</v>
      </c>
      <c r="D1570" s="2">
        <f>HYPERLINK("http://mcb-m6.bioreg.kyushu-u.ac.jp/M3/20110418/F50996/3251/1", 78.9)</f>
        <v>78.900000000000006</v>
      </c>
      <c r="E1570" s="2">
        <v>67.739999999999995</v>
      </c>
      <c r="F1570" s="2">
        <v>2</v>
      </c>
      <c r="G1570" s="2" t="s">
        <v>11</v>
      </c>
    </row>
    <row r="1571" spans="1:8" x14ac:dyDescent="0.2">
      <c r="A1571" s="2" t="s">
        <v>3343</v>
      </c>
      <c r="B1571" s="2" t="s">
        <v>546</v>
      </c>
      <c r="C1571" s="2">
        <v>665.00869999999998</v>
      </c>
      <c r="D1571" s="2">
        <f>HYPERLINK("http://mcb-m6.bioreg.kyushu-u.ac.jp/M3/20110418/F50999/1696/2", 79.21)</f>
        <v>79.209999999999994</v>
      </c>
      <c r="E1571" s="2">
        <v>64.510000000000005</v>
      </c>
      <c r="F1571" s="2">
        <v>2</v>
      </c>
      <c r="G1571" s="2" t="s">
        <v>11</v>
      </c>
    </row>
    <row r="1572" spans="1:8" x14ac:dyDescent="0.2">
      <c r="A1572" s="2" t="s">
        <v>3343</v>
      </c>
      <c r="B1572" s="2" t="s">
        <v>546</v>
      </c>
      <c r="C1572" s="2">
        <v>664.80160000000001</v>
      </c>
      <c r="D1572" s="2">
        <f>HYPERLINK("http://mcb-m6.bioreg.kyushu-u.ac.jp/M3/20110418/F50996/1708/2", 79.73)</f>
        <v>79.73</v>
      </c>
      <c r="E1572" s="2">
        <v>63.95</v>
      </c>
      <c r="F1572" s="2">
        <v>2</v>
      </c>
      <c r="G1572" s="2" t="s">
        <v>11</v>
      </c>
    </row>
    <row r="1573" spans="1:8" x14ac:dyDescent="0.2">
      <c r="A1573" s="2" t="s">
        <v>3343</v>
      </c>
      <c r="B1573" s="2" t="s">
        <v>325</v>
      </c>
      <c r="C1573" s="2">
        <v>1493.578</v>
      </c>
      <c r="D1573" s="2">
        <f>HYPERLINK("http://mcb-m6.bioreg.kyushu-u.ac.jp/M3/20110418/F50996/2080/1", 79.85)</f>
        <v>79.849999999999994</v>
      </c>
      <c r="E1573" s="2">
        <v>67.19</v>
      </c>
      <c r="F1573" s="2">
        <v>1</v>
      </c>
      <c r="G1573" s="2" t="s">
        <v>11</v>
      </c>
      <c r="H1573" s="2" t="s">
        <v>4925</v>
      </c>
    </row>
    <row r="1574" spans="1:8" x14ac:dyDescent="0.2">
      <c r="A1574" s="2" t="s">
        <v>3343</v>
      </c>
      <c r="B1574" s="2" t="s">
        <v>1002</v>
      </c>
      <c r="C1574" s="2">
        <v>1147.9749999999999</v>
      </c>
      <c r="D1574" s="2">
        <f>HYPERLINK("http://mcb-m6.bioreg.kyushu-u.ac.jp/M3/20110418/F50999/2931/1", 79.86)</f>
        <v>79.86</v>
      </c>
      <c r="E1574" s="2">
        <v>66.150000000000006</v>
      </c>
      <c r="F1574" s="2">
        <v>2</v>
      </c>
      <c r="G1574" s="2" t="s">
        <v>11</v>
      </c>
    </row>
    <row r="1575" spans="1:8" x14ac:dyDescent="0.2">
      <c r="A1575" s="2" t="s">
        <v>3343</v>
      </c>
      <c r="B1575" s="2" t="s">
        <v>132</v>
      </c>
      <c r="C1575" s="2">
        <v>578.31119999999999</v>
      </c>
      <c r="D1575" s="2">
        <f>HYPERLINK("http://mcb-m6.bioreg.kyushu-u.ac.jp/M3/20110418/F50996/1417/1", 81.03)</f>
        <v>81.03</v>
      </c>
      <c r="E1575" s="2">
        <v>51.86</v>
      </c>
      <c r="F1575" s="2">
        <v>2</v>
      </c>
      <c r="G1575" s="2" t="s">
        <v>11</v>
      </c>
    </row>
    <row r="1576" spans="1:8" x14ac:dyDescent="0.2">
      <c r="A1576" s="2" t="s">
        <v>3343</v>
      </c>
      <c r="B1576" s="2" t="s">
        <v>344</v>
      </c>
      <c r="C1576" s="2">
        <v>919.29319999999996</v>
      </c>
      <c r="D1576" s="2">
        <f>HYPERLINK("http://mcb-m6.bioreg.kyushu-u.ac.jp/M3/20110418/F50996/2756/1", 81.16)</f>
        <v>81.16</v>
      </c>
      <c r="E1576" s="2">
        <v>56.47</v>
      </c>
      <c r="F1576" s="2">
        <v>2</v>
      </c>
      <c r="G1576" s="2" t="s">
        <v>11</v>
      </c>
    </row>
    <row r="1577" spans="1:8" x14ac:dyDescent="0.2">
      <c r="A1577" s="2" t="s">
        <v>3343</v>
      </c>
      <c r="B1577" s="2" t="s">
        <v>546</v>
      </c>
      <c r="C1577" s="2">
        <v>664.77560000000005</v>
      </c>
      <c r="D1577" s="2">
        <f>HYPERLINK("http://mcb-m6.bioreg.kyushu-u.ac.jp/M3/20110418/F50996/1707/2", 81.2)</f>
        <v>81.2</v>
      </c>
      <c r="E1577" s="2">
        <v>63.4</v>
      </c>
      <c r="F1577" s="2">
        <v>2</v>
      </c>
      <c r="G1577" s="2" t="s">
        <v>11</v>
      </c>
    </row>
    <row r="1578" spans="1:8" x14ac:dyDescent="0.2">
      <c r="A1578" s="2" t="s">
        <v>3343</v>
      </c>
      <c r="B1578" s="2" t="s">
        <v>344</v>
      </c>
      <c r="C1578" s="2">
        <v>919.34469999999999</v>
      </c>
      <c r="D1578" s="2">
        <f>HYPERLINK("http://mcb-m6.bioreg.kyushu-u.ac.jp/M3/20110418/F50999/2542/1", 81.33)</f>
        <v>81.33</v>
      </c>
      <c r="E1578" s="2">
        <v>55.21</v>
      </c>
      <c r="F1578" s="2">
        <v>2</v>
      </c>
      <c r="G1578" s="2" t="s">
        <v>11</v>
      </c>
    </row>
    <row r="1579" spans="1:8" x14ac:dyDescent="0.2">
      <c r="A1579" s="2" t="s">
        <v>3343</v>
      </c>
      <c r="B1579" s="2" t="s">
        <v>344</v>
      </c>
      <c r="C1579" s="2">
        <v>919.40060000000005</v>
      </c>
      <c r="D1579" s="2">
        <f>HYPERLINK("http://mcb-m6.bioreg.kyushu-u.ac.jp/M3/20110418/F50996/2758/1", 81.4)</f>
        <v>81.400000000000006</v>
      </c>
      <c r="E1579" s="2">
        <v>56.79</v>
      </c>
      <c r="F1579" s="2">
        <v>2</v>
      </c>
      <c r="G1579" s="2" t="s">
        <v>11</v>
      </c>
    </row>
    <row r="1580" spans="1:8" x14ac:dyDescent="0.2">
      <c r="A1580" s="2" t="s">
        <v>3343</v>
      </c>
      <c r="B1580" s="2" t="s">
        <v>325</v>
      </c>
      <c r="C1580" s="2">
        <v>739.37869999999998</v>
      </c>
      <c r="D1580" s="2">
        <f>HYPERLINK("http://mcb-m6.bioreg.kyushu-u.ac.jp/M3/20110418/F50974/2067/1", 81.65)</f>
        <v>81.650000000000006</v>
      </c>
      <c r="E1580" s="2">
        <v>63.88</v>
      </c>
      <c r="F1580" s="2">
        <v>2</v>
      </c>
      <c r="G1580" s="2" t="s">
        <v>11</v>
      </c>
    </row>
    <row r="1581" spans="1:8" x14ac:dyDescent="0.2">
      <c r="A1581" s="2" t="s">
        <v>3343</v>
      </c>
      <c r="B1581" s="2" t="s">
        <v>344</v>
      </c>
      <c r="C1581" s="2">
        <v>919.57870000000003</v>
      </c>
      <c r="D1581" s="2">
        <f>HYPERLINK("http://mcb-m6.bioreg.kyushu-u.ac.jp/M3/20110418/F50996/2761/1", 81.82)</f>
        <v>81.819999999999993</v>
      </c>
      <c r="E1581" s="2">
        <v>58.37</v>
      </c>
      <c r="F1581" s="2">
        <v>2</v>
      </c>
      <c r="G1581" s="2" t="s">
        <v>11</v>
      </c>
    </row>
    <row r="1582" spans="1:8" x14ac:dyDescent="0.2">
      <c r="A1582" s="2" t="s">
        <v>3343</v>
      </c>
      <c r="B1582" s="2" t="s">
        <v>1002</v>
      </c>
      <c r="C1582" s="2">
        <v>1147.914</v>
      </c>
      <c r="D1582" s="2">
        <f>HYPERLINK("http://mcb-m6.bioreg.kyushu-u.ac.jp/M3/20110418/F50996/3262/1", 82.33)</f>
        <v>82.33</v>
      </c>
      <c r="E1582" s="2">
        <v>72.73</v>
      </c>
      <c r="F1582" s="2">
        <v>2</v>
      </c>
      <c r="G1582" s="2" t="s">
        <v>11</v>
      </c>
    </row>
    <row r="1583" spans="1:8" x14ac:dyDescent="0.2">
      <c r="A1583" s="2" t="s">
        <v>3343</v>
      </c>
      <c r="B1583" s="2" t="s">
        <v>546</v>
      </c>
      <c r="C1583" s="2">
        <v>664.77070000000003</v>
      </c>
      <c r="D1583" s="2">
        <f>HYPERLINK("http://mcb-m6.bioreg.kyushu-u.ac.jp/M3/20110418/F50996/1706/2", 82.44)</f>
        <v>82.44</v>
      </c>
      <c r="E1583" s="2">
        <v>66.2</v>
      </c>
      <c r="F1583" s="2">
        <v>2</v>
      </c>
      <c r="G1583" s="2" t="s">
        <v>11</v>
      </c>
    </row>
    <row r="1584" spans="1:8" x14ac:dyDescent="0.2">
      <c r="A1584" s="2" t="s">
        <v>3343</v>
      </c>
      <c r="B1584" s="2" t="s">
        <v>1002</v>
      </c>
      <c r="C1584" s="2">
        <v>1147.3889999999999</v>
      </c>
      <c r="D1584" s="2">
        <f>HYPERLINK("http://mcb-m6.bioreg.kyushu-u.ac.jp/M3/20110418/F50996/3252/1", 83.59)</f>
        <v>83.59</v>
      </c>
      <c r="E1584" s="2">
        <v>72.94</v>
      </c>
      <c r="F1584" s="2">
        <v>2</v>
      </c>
      <c r="G1584" s="2" t="s">
        <v>11</v>
      </c>
    </row>
    <row r="1585" spans="1:8" x14ac:dyDescent="0.2">
      <c r="A1585" s="2" t="s">
        <v>3343</v>
      </c>
      <c r="B1585" s="2" t="s">
        <v>1002</v>
      </c>
      <c r="C1585" s="2">
        <v>1147.402</v>
      </c>
      <c r="D1585" s="2">
        <f>HYPERLINK("http://mcb-m6.bioreg.kyushu-u.ac.jp/M3/20110418/F50996/3254/1", 83.71)</f>
        <v>83.71</v>
      </c>
      <c r="E1585" s="2">
        <v>71.5</v>
      </c>
      <c r="F1585" s="2">
        <v>2</v>
      </c>
      <c r="G1585" s="2" t="s">
        <v>11</v>
      </c>
    </row>
    <row r="1586" spans="1:8" x14ac:dyDescent="0.2">
      <c r="A1586" s="2" t="s">
        <v>3343</v>
      </c>
      <c r="B1586" s="2" t="s">
        <v>344</v>
      </c>
      <c r="C1586" s="2">
        <v>919.32320000000004</v>
      </c>
      <c r="D1586" s="2">
        <f>HYPERLINK("http://mcb-m6.bioreg.kyushu-u.ac.jp/M3/20110418/F50996/2757/1", 84.54)</f>
        <v>84.54</v>
      </c>
      <c r="E1586" s="2">
        <v>55.62</v>
      </c>
      <c r="F1586" s="2">
        <v>2</v>
      </c>
      <c r="G1586" s="2" t="s">
        <v>11</v>
      </c>
    </row>
    <row r="1587" spans="1:8" x14ac:dyDescent="0.2">
      <c r="A1587" s="2" t="s">
        <v>3343</v>
      </c>
      <c r="B1587" s="2" t="s">
        <v>1002</v>
      </c>
      <c r="C1587" s="2">
        <v>1147.463</v>
      </c>
      <c r="D1587" s="2">
        <f>HYPERLINK("http://mcb-m6.bioreg.kyushu-u.ac.jp/M3/20110418/F50996/3255/1", 84.58)</f>
        <v>84.58</v>
      </c>
      <c r="E1587" s="2">
        <v>70.680000000000007</v>
      </c>
      <c r="F1587" s="2">
        <v>2</v>
      </c>
      <c r="G1587" s="2" t="s">
        <v>11</v>
      </c>
    </row>
    <row r="1588" spans="1:8" x14ac:dyDescent="0.2">
      <c r="A1588" s="2" t="s">
        <v>3343</v>
      </c>
      <c r="B1588" s="2" t="s">
        <v>1002</v>
      </c>
      <c r="C1588" s="2">
        <v>1147.675</v>
      </c>
      <c r="D1588" s="2">
        <f>HYPERLINK("http://mcb-m6.bioreg.kyushu-u.ac.jp/M3/20110418/F50996/3257/1", 84.7)</f>
        <v>84.7</v>
      </c>
      <c r="E1588" s="2">
        <v>72.459999999999994</v>
      </c>
      <c r="F1588" s="2">
        <v>2</v>
      </c>
      <c r="G1588" s="2" t="s">
        <v>11</v>
      </c>
    </row>
    <row r="1589" spans="1:8" x14ac:dyDescent="0.2">
      <c r="A1589" s="2" t="s">
        <v>3343</v>
      </c>
      <c r="B1589" s="2" t="s">
        <v>546</v>
      </c>
      <c r="C1589" s="2">
        <v>664.76459999999997</v>
      </c>
      <c r="D1589" s="2">
        <f>HYPERLINK("http://mcb-m6.bioreg.kyushu-u.ac.jp/M3/20110418/F50996/1704/2", 85.29)</f>
        <v>85.29</v>
      </c>
      <c r="E1589" s="2">
        <v>70.239999999999995</v>
      </c>
      <c r="F1589" s="2">
        <v>2</v>
      </c>
      <c r="G1589" s="2" t="s">
        <v>11</v>
      </c>
    </row>
    <row r="1590" spans="1:8" x14ac:dyDescent="0.2">
      <c r="A1590" s="2" t="s">
        <v>3343</v>
      </c>
      <c r="B1590" s="2" t="s">
        <v>325</v>
      </c>
      <c r="C1590" s="2">
        <v>739.73569999999995</v>
      </c>
      <c r="D1590" s="2">
        <f>HYPERLINK("http://mcb-m6.bioreg.kyushu-u.ac.jp/M3/20110418/F50999/2001/1", 85.81)</f>
        <v>85.81</v>
      </c>
      <c r="E1590" s="2">
        <v>74.19</v>
      </c>
      <c r="F1590" s="2">
        <v>2</v>
      </c>
      <c r="G1590" s="2" t="s">
        <v>11</v>
      </c>
    </row>
    <row r="1591" spans="1:8" x14ac:dyDescent="0.2">
      <c r="A1591" s="2" t="s">
        <v>3343</v>
      </c>
      <c r="B1591" s="2" t="s">
        <v>509</v>
      </c>
      <c r="C1591" s="2">
        <v>725.34270000000004</v>
      </c>
      <c r="D1591" s="2">
        <f>HYPERLINK("http://mcb-m6.bioreg.kyushu-u.ac.jp/M3/20110418/F50999/1942/1", 87.98)</f>
        <v>87.98</v>
      </c>
      <c r="E1591" s="2">
        <v>71.81</v>
      </c>
      <c r="F1591" s="2">
        <v>2</v>
      </c>
      <c r="G1591" s="2" t="s">
        <v>11</v>
      </c>
      <c r="H1591" s="2" t="s">
        <v>4927</v>
      </c>
    </row>
    <row r="1592" spans="1:8" x14ac:dyDescent="0.2">
      <c r="A1592" s="2" t="s">
        <v>3343</v>
      </c>
      <c r="B1592" s="2" t="s">
        <v>325</v>
      </c>
      <c r="C1592" s="2">
        <v>747.14869999999996</v>
      </c>
      <c r="D1592" s="2">
        <f>HYPERLINK("http://mcb-m6.bioreg.kyushu-u.ac.jp/M3/20110418/F50996/2077/1", 89.35)</f>
        <v>89.35</v>
      </c>
      <c r="E1592" s="2">
        <v>76.33</v>
      </c>
      <c r="F1592" s="2">
        <v>2</v>
      </c>
      <c r="G1592" s="2" t="s">
        <v>11</v>
      </c>
      <c r="H1592" s="2" t="s">
        <v>4925</v>
      </c>
    </row>
    <row r="1593" spans="1:8" x14ac:dyDescent="0.2">
      <c r="A1593" s="2" t="s">
        <v>3343</v>
      </c>
      <c r="B1593" s="2" t="s">
        <v>1189</v>
      </c>
      <c r="C1593" s="2">
        <v>1069.8040000000001</v>
      </c>
      <c r="D1593" s="2">
        <f>HYPERLINK("http://mcb-m6.bioreg.kyushu-u.ac.jp/M3/20110418/F50974/3436/1", 91.24)</f>
        <v>91.24</v>
      </c>
      <c r="E1593" s="2">
        <v>73.39</v>
      </c>
      <c r="F1593" s="2">
        <v>2</v>
      </c>
      <c r="G1593" s="2" t="s">
        <v>11</v>
      </c>
    </row>
    <row r="1594" spans="1:8" x14ac:dyDescent="0.2">
      <c r="A1594" s="2" t="s">
        <v>3343</v>
      </c>
      <c r="B1594" s="2" t="s">
        <v>546</v>
      </c>
      <c r="C1594" s="2">
        <v>664.60469999999998</v>
      </c>
      <c r="D1594" s="2">
        <f>HYPERLINK("http://mcb-m6.bioreg.kyushu-u.ac.jp/M3/20110418/F50996/1702/2", 91.45)</f>
        <v>91.45</v>
      </c>
      <c r="E1594" s="2">
        <v>71.75</v>
      </c>
      <c r="F1594" s="2">
        <v>2</v>
      </c>
      <c r="G1594" s="2" t="s">
        <v>11</v>
      </c>
    </row>
    <row r="1595" spans="1:8" x14ac:dyDescent="0.2">
      <c r="A1595" s="2" t="s">
        <v>3343</v>
      </c>
      <c r="B1595" s="2" t="s">
        <v>325</v>
      </c>
      <c r="C1595" s="2">
        <v>747.66520000000003</v>
      </c>
      <c r="D1595" s="2">
        <f>HYPERLINK("http://mcb-m6.bioreg.kyushu-u.ac.jp/M3/20110418/F50996/2084/1", 92.4)</f>
        <v>92.4</v>
      </c>
      <c r="E1595" s="2">
        <v>77.84</v>
      </c>
      <c r="F1595" s="2">
        <v>2</v>
      </c>
      <c r="G1595" s="2" t="s">
        <v>11</v>
      </c>
      <c r="H1595" s="2" t="s">
        <v>4925</v>
      </c>
    </row>
    <row r="1596" spans="1:8" x14ac:dyDescent="0.2">
      <c r="A1596" s="2" t="s">
        <v>3343</v>
      </c>
      <c r="B1596" s="2" t="s">
        <v>1032</v>
      </c>
      <c r="C1596" s="2">
        <v>1163.8920000000001</v>
      </c>
      <c r="D1596" s="2">
        <f>HYPERLINK("http://mcb-m6.bioreg.kyushu-u.ac.jp/M3/20110418/F50996/3318/1", 93.82)</f>
        <v>93.82</v>
      </c>
      <c r="E1596" s="2">
        <v>85.17</v>
      </c>
      <c r="F1596" s="2">
        <v>2</v>
      </c>
      <c r="G1596" s="2" t="s">
        <v>11</v>
      </c>
    </row>
    <row r="1597" spans="1:8" x14ac:dyDescent="0.2">
      <c r="A1597" s="2" t="s">
        <v>3343</v>
      </c>
      <c r="B1597" s="2" t="s">
        <v>1211</v>
      </c>
      <c r="C1597" s="2">
        <v>1161.2439999999999</v>
      </c>
      <c r="D1597" s="2">
        <f>HYPERLINK("http://mcb-m6.bioreg.kyushu-u.ac.jp/M3/20110418/F50996/3305/1", 96.3)</f>
        <v>96.3</v>
      </c>
      <c r="E1597" s="2">
        <v>77.75</v>
      </c>
      <c r="F1597" s="2">
        <v>2</v>
      </c>
      <c r="G1597" s="2" t="s">
        <v>11</v>
      </c>
      <c r="H1597" s="2" t="s">
        <v>4891</v>
      </c>
    </row>
    <row r="1598" spans="1:8" x14ac:dyDescent="0.2">
      <c r="A1598" s="2" t="s">
        <v>3343</v>
      </c>
      <c r="B1598" s="2" t="s">
        <v>325</v>
      </c>
      <c r="C1598" s="2">
        <v>747.25319999999999</v>
      </c>
      <c r="D1598" s="2">
        <f>HYPERLINK("http://mcb-m6.bioreg.kyushu-u.ac.jp/M3/20110418/F50996/2079/1", 97.75)</f>
        <v>97.75</v>
      </c>
      <c r="E1598" s="2">
        <v>80.959999999999994</v>
      </c>
      <c r="F1598" s="2">
        <v>2</v>
      </c>
      <c r="G1598" s="2" t="s">
        <v>11</v>
      </c>
      <c r="H1598" s="2" t="s">
        <v>4925</v>
      </c>
    </row>
    <row r="1599" spans="1:8" x14ac:dyDescent="0.2">
      <c r="A1599" s="2" t="s">
        <v>3343</v>
      </c>
      <c r="B1599" s="2" t="s">
        <v>1032</v>
      </c>
      <c r="C1599" s="2">
        <v>1163.3499999999999</v>
      </c>
      <c r="D1599" s="2">
        <f>HYPERLINK("http://mcb-m6.bioreg.kyushu-u.ac.jp/M3/20110418/F50996/3313/1", 99.29)</f>
        <v>99.29</v>
      </c>
      <c r="E1599" s="2">
        <v>83.92</v>
      </c>
      <c r="F1599" s="2">
        <v>2</v>
      </c>
      <c r="G1599" s="2" t="s">
        <v>11</v>
      </c>
    </row>
    <row r="1600" spans="1:8" x14ac:dyDescent="0.2">
      <c r="A1600" s="2" t="s">
        <v>3343</v>
      </c>
      <c r="B1600" s="2" t="s">
        <v>1189</v>
      </c>
      <c r="C1600" s="2">
        <v>1069.414</v>
      </c>
      <c r="D1600" s="2">
        <f>HYPERLINK("http://mcb-m6.bioreg.kyushu-u.ac.jp/M3/20110418/F50996/3086/1", 100.85)</f>
        <v>100.85</v>
      </c>
      <c r="E1600" s="2">
        <v>87.99</v>
      </c>
      <c r="F1600" s="2">
        <v>2</v>
      </c>
      <c r="G1600" s="2" t="s">
        <v>11</v>
      </c>
    </row>
    <row r="1601" spans="1:8" x14ac:dyDescent="0.2">
      <c r="A1601" s="2" t="s">
        <v>3343</v>
      </c>
      <c r="B1601" s="2" t="s">
        <v>1189</v>
      </c>
      <c r="C1601" s="2">
        <v>1069.249</v>
      </c>
      <c r="D1601" s="2">
        <f>HYPERLINK("http://mcb-m6.bioreg.kyushu-u.ac.jp/M3/20110418/F50974/3433/1", 101.28)</f>
        <v>101.28</v>
      </c>
      <c r="E1601" s="2">
        <v>86.78</v>
      </c>
      <c r="F1601" s="2">
        <v>2</v>
      </c>
      <c r="G1601" s="2" t="s">
        <v>11</v>
      </c>
    </row>
    <row r="1602" spans="1:8" x14ac:dyDescent="0.2">
      <c r="A1602" s="2" t="s">
        <v>3343</v>
      </c>
      <c r="B1602" s="2" t="s">
        <v>325</v>
      </c>
      <c r="C1602" s="2">
        <v>739.29970000000003</v>
      </c>
      <c r="D1602" s="2">
        <f>HYPERLINK("http://mcb-m6.bioreg.kyushu-u.ac.jp/M3/20110418/F50996/2040/1", 101.46)</f>
        <v>101.46</v>
      </c>
      <c r="E1602" s="2">
        <v>87.47</v>
      </c>
      <c r="F1602" s="2">
        <v>2</v>
      </c>
      <c r="G1602" s="2" t="s">
        <v>11</v>
      </c>
    </row>
    <row r="1603" spans="1:8" x14ac:dyDescent="0.2">
      <c r="A1603" s="2" t="s">
        <v>3343</v>
      </c>
      <c r="B1603" s="2" t="s">
        <v>325</v>
      </c>
      <c r="C1603" s="2">
        <v>739.81709999999998</v>
      </c>
      <c r="D1603" s="2">
        <f>HYPERLINK("http://mcb-m6.bioreg.kyushu-u.ac.jp/M3/20110418/F50996/2042/1", 103.01)</f>
        <v>103.01</v>
      </c>
      <c r="E1603" s="2">
        <v>87.97</v>
      </c>
      <c r="F1603" s="2">
        <v>2</v>
      </c>
      <c r="G1603" s="2" t="s">
        <v>11</v>
      </c>
    </row>
    <row r="1604" spans="1:8" x14ac:dyDescent="0.2">
      <c r="A1604" s="2" t="s">
        <v>3343</v>
      </c>
      <c r="B1604" s="2" t="s">
        <v>325</v>
      </c>
      <c r="C1604" s="2">
        <v>747.48910000000001</v>
      </c>
      <c r="D1604" s="2">
        <f>HYPERLINK("http://mcb-m6.bioreg.kyushu-u.ac.jp/M3/20110418/F50996/2083/1", 103.54)</f>
        <v>103.54</v>
      </c>
      <c r="E1604" s="2">
        <v>90.44</v>
      </c>
      <c r="F1604" s="2">
        <v>2</v>
      </c>
      <c r="G1604" s="2" t="s">
        <v>11</v>
      </c>
      <c r="H1604" s="2" t="s">
        <v>4925</v>
      </c>
    </row>
    <row r="1605" spans="1:8" x14ac:dyDescent="0.2">
      <c r="A1605" s="2" t="s">
        <v>3343</v>
      </c>
      <c r="B1605" s="2" t="s">
        <v>325</v>
      </c>
      <c r="C1605" s="2">
        <v>747.71810000000005</v>
      </c>
      <c r="D1605" s="2">
        <f>HYPERLINK("http://mcb-m6.bioreg.kyushu-u.ac.jp/M3/20110418/F50996/2085/1", 103.77)</f>
        <v>103.77</v>
      </c>
      <c r="E1605" s="2">
        <v>87.58</v>
      </c>
      <c r="F1605" s="2">
        <v>2</v>
      </c>
      <c r="G1605" s="2" t="s">
        <v>11</v>
      </c>
      <c r="H1605" s="2" t="s">
        <v>4925</v>
      </c>
    </row>
    <row r="1606" spans="1:8" x14ac:dyDescent="0.2">
      <c r="A1606" s="2" t="s">
        <v>3343</v>
      </c>
      <c r="B1606" s="2" t="s">
        <v>1032</v>
      </c>
      <c r="C1606" s="2">
        <v>1163.4469999999999</v>
      </c>
      <c r="D1606" s="2">
        <f>HYPERLINK("http://mcb-m6.bioreg.kyushu-u.ac.jp/M3/20110418/F50996/3314/1", 103.93)</f>
        <v>103.93</v>
      </c>
      <c r="E1606" s="2">
        <v>91.84</v>
      </c>
      <c r="F1606" s="2">
        <v>2</v>
      </c>
      <c r="G1606" s="2" t="s">
        <v>11</v>
      </c>
    </row>
    <row r="1607" spans="1:8" x14ac:dyDescent="0.2">
      <c r="A1607" s="2" t="s">
        <v>3343</v>
      </c>
      <c r="B1607" s="2" t="s">
        <v>1032</v>
      </c>
      <c r="C1607" s="2">
        <v>1155.6759999999999</v>
      </c>
      <c r="D1607" s="2">
        <f>HYPERLINK("http://mcb-m6.bioreg.kyushu-u.ac.jp/M3/20110418/F50996/3297/1", 104.79)</f>
        <v>104.79</v>
      </c>
      <c r="E1607" s="2">
        <v>83.85</v>
      </c>
      <c r="F1607" s="2">
        <v>2</v>
      </c>
      <c r="G1607" s="2" t="s">
        <v>11</v>
      </c>
      <c r="H1607" s="2" t="s">
        <v>4904</v>
      </c>
    </row>
    <row r="1608" spans="1:8" x14ac:dyDescent="0.2">
      <c r="A1608" s="2" t="s">
        <v>3343</v>
      </c>
      <c r="B1608" s="2" t="s">
        <v>1032</v>
      </c>
      <c r="C1608" s="2">
        <v>1163.982</v>
      </c>
      <c r="D1608" s="2">
        <f>HYPERLINK("http://mcb-m6.bioreg.kyushu-u.ac.jp/M3/20110418/F50996/3320/1", 106.91)</f>
        <v>106.91</v>
      </c>
      <c r="E1608" s="2">
        <v>98.26</v>
      </c>
      <c r="F1608" s="2">
        <v>2</v>
      </c>
      <c r="G1608" s="2" t="s">
        <v>11</v>
      </c>
    </row>
    <row r="1609" spans="1:8" x14ac:dyDescent="0.2">
      <c r="A1609" s="2" t="s">
        <v>3343</v>
      </c>
      <c r="B1609" s="2" t="s">
        <v>325</v>
      </c>
      <c r="C1609" s="2">
        <v>739.25959999999998</v>
      </c>
      <c r="D1609" s="2">
        <f>HYPERLINK("http://mcb-m6.bioreg.kyushu-u.ac.jp/M3/20110418/F50996/2039/1", 107.99)</f>
        <v>107.99</v>
      </c>
      <c r="E1609" s="2">
        <v>93.02</v>
      </c>
      <c r="F1609" s="2">
        <v>2</v>
      </c>
      <c r="G1609" s="2" t="s">
        <v>11</v>
      </c>
    </row>
    <row r="1610" spans="1:8" x14ac:dyDescent="0.2">
      <c r="A1610" s="2" t="s">
        <v>3343</v>
      </c>
      <c r="B1610" s="2" t="s">
        <v>1189</v>
      </c>
      <c r="C1610" s="2">
        <v>1069.671</v>
      </c>
      <c r="D1610" s="2">
        <f>HYPERLINK("http://mcb-m6.bioreg.kyushu-u.ac.jp/M3/20110418/F50975/3665/1", 108.82)</f>
        <v>108.82</v>
      </c>
      <c r="E1610" s="2">
        <v>91.64</v>
      </c>
      <c r="F1610" s="2">
        <v>2</v>
      </c>
      <c r="G1610" s="2" t="s">
        <v>11</v>
      </c>
    </row>
    <row r="1611" spans="1:8" x14ac:dyDescent="0.2">
      <c r="A1611" s="2" t="s">
        <v>3343</v>
      </c>
      <c r="B1611" s="2" t="s">
        <v>1189</v>
      </c>
      <c r="C1611" s="2">
        <v>1069.5889999999999</v>
      </c>
      <c r="D1611" s="2">
        <f>HYPERLINK("http://mcb-m6.bioreg.kyushu-u.ac.jp/M3/20110418/F50996/3088/1", 109.59)</f>
        <v>109.59</v>
      </c>
      <c r="E1611" s="2">
        <v>93.95</v>
      </c>
      <c r="F1611" s="2">
        <v>2</v>
      </c>
      <c r="G1611" s="2" t="s">
        <v>11</v>
      </c>
    </row>
    <row r="1612" spans="1:8" x14ac:dyDescent="0.2">
      <c r="A1612" s="2" t="s">
        <v>3343</v>
      </c>
      <c r="B1612" s="2" t="s">
        <v>1032</v>
      </c>
      <c r="C1612" s="2">
        <v>1163.306</v>
      </c>
      <c r="D1612" s="2">
        <f>HYPERLINK("http://mcb-m6.bioreg.kyushu-u.ac.jp/M3/20110418/F50974/3629/1", 118.02)</f>
        <v>118.02</v>
      </c>
      <c r="E1612" s="2">
        <v>103.39</v>
      </c>
      <c r="F1612" s="2">
        <v>2</v>
      </c>
      <c r="G1612" s="2" t="s">
        <v>11</v>
      </c>
    </row>
    <row r="1613" spans="1:8" x14ac:dyDescent="0.2">
      <c r="A1613" s="2" t="s">
        <v>3343</v>
      </c>
      <c r="B1613" s="2" t="s">
        <v>1032</v>
      </c>
      <c r="C1613" s="2">
        <v>1163.454</v>
      </c>
      <c r="D1613" s="2">
        <f>HYPERLINK("http://mcb-m6.bioreg.kyushu-u.ac.jp/M3/20110418/F50996/3315/1", 123.8)</f>
        <v>123.8</v>
      </c>
      <c r="E1613" s="2">
        <v>111.47</v>
      </c>
      <c r="F1613" s="2">
        <v>2</v>
      </c>
      <c r="G1613" s="2" t="s">
        <v>11</v>
      </c>
    </row>
    <row r="1614" spans="1:8" x14ac:dyDescent="0.2">
      <c r="A1614" s="2" t="s">
        <v>3343</v>
      </c>
      <c r="B1614" s="2" t="s">
        <v>704</v>
      </c>
      <c r="C1614" s="2">
        <v>1220.4269999999999</v>
      </c>
      <c r="D1614" s="2">
        <f>HYPERLINK("http://mcb-m6.bioreg.kyushu-u.ac.jp/M3/20110418/F50997/1556/1", 35.46)</f>
        <v>35.46</v>
      </c>
      <c r="E1614" s="2">
        <v>12.95</v>
      </c>
      <c r="F1614" s="2">
        <v>1</v>
      </c>
      <c r="G1614" s="2" t="s">
        <v>12</v>
      </c>
      <c r="H1614" s="2" t="s">
        <v>4908</v>
      </c>
    </row>
    <row r="1615" spans="1:8" x14ac:dyDescent="0.2">
      <c r="A1615" s="2" t="s">
        <v>3343</v>
      </c>
      <c r="B1615" s="2" t="s">
        <v>509</v>
      </c>
      <c r="C1615" s="2">
        <v>717.28859999999997</v>
      </c>
      <c r="D1615" s="2">
        <f>HYPERLINK("http://mcb-m6.bioreg.kyushu-u.ac.jp/M3/20110418/F50997/1890/1", 35.69)</f>
        <v>35.69</v>
      </c>
      <c r="E1615" s="2">
        <v>24.68</v>
      </c>
      <c r="F1615" s="2">
        <v>2</v>
      </c>
      <c r="G1615" s="2" t="s">
        <v>12</v>
      </c>
      <c r="H1615" s="2" t="s">
        <v>4931</v>
      </c>
    </row>
    <row r="1616" spans="1:8" x14ac:dyDescent="0.2">
      <c r="A1616" s="2" t="s">
        <v>3343</v>
      </c>
      <c r="B1616" s="2" t="s">
        <v>509</v>
      </c>
      <c r="C1616" s="2">
        <v>717.7867</v>
      </c>
      <c r="D1616" s="2">
        <f>HYPERLINK("http://mcb-m6.bioreg.kyushu-u.ac.jp/M3/20110418/F50997/1898/1", 36.48)</f>
        <v>36.479999999999997</v>
      </c>
      <c r="E1616" s="2">
        <v>21.82</v>
      </c>
      <c r="F1616" s="2">
        <v>2</v>
      </c>
      <c r="G1616" s="2" t="s">
        <v>12</v>
      </c>
    </row>
    <row r="1617" spans="1:8" x14ac:dyDescent="0.2">
      <c r="A1617" s="2" t="s">
        <v>3343</v>
      </c>
      <c r="B1617" s="2" t="s">
        <v>428</v>
      </c>
      <c r="C1617" s="2">
        <v>902.47900000000004</v>
      </c>
      <c r="D1617" s="2">
        <f>HYPERLINK("http://mcb-m6.bioreg.kyushu-u.ac.jp/M3/20110418/F50997/988/1", 36.68)</f>
        <v>36.68</v>
      </c>
      <c r="E1617" s="2">
        <v>17.55</v>
      </c>
      <c r="F1617" s="2">
        <v>1</v>
      </c>
      <c r="G1617" s="2" t="s">
        <v>12</v>
      </c>
    </row>
    <row r="1618" spans="1:8" x14ac:dyDescent="0.2">
      <c r="A1618" s="2" t="s">
        <v>3343</v>
      </c>
      <c r="B1618" s="2" t="s">
        <v>210</v>
      </c>
      <c r="C1618" s="2">
        <v>1108.4760000000001</v>
      </c>
      <c r="D1618" s="2">
        <f>HYPERLINK("http://mcb-m6.bioreg.kyushu-u.ac.jp/M3/20110418/F50997/1319/1", 36.69)</f>
        <v>36.69</v>
      </c>
      <c r="E1618" s="2">
        <v>18.89</v>
      </c>
      <c r="F1618" s="2">
        <v>1</v>
      </c>
      <c r="G1618" s="2" t="s">
        <v>12</v>
      </c>
      <c r="H1618" s="2" t="s">
        <v>4910</v>
      </c>
    </row>
    <row r="1619" spans="1:8" x14ac:dyDescent="0.2">
      <c r="A1619" s="2" t="s">
        <v>3343</v>
      </c>
      <c r="B1619" s="2" t="s">
        <v>344</v>
      </c>
      <c r="C1619" s="2">
        <v>919.68320000000006</v>
      </c>
      <c r="D1619" s="2">
        <f>HYPERLINK("http://mcb-m6.bioreg.kyushu-u.ac.jp/M3/20110418/F50997/2656/1", 36.81)</f>
        <v>36.81</v>
      </c>
      <c r="E1619" s="2">
        <v>19.61</v>
      </c>
      <c r="F1619" s="2">
        <v>2</v>
      </c>
      <c r="G1619" s="2" t="s">
        <v>12</v>
      </c>
    </row>
    <row r="1620" spans="1:8" x14ac:dyDescent="0.2">
      <c r="A1620" s="2" t="s">
        <v>3343</v>
      </c>
      <c r="B1620" s="2" t="s">
        <v>443</v>
      </c>
      <c r="C1620" s="2">
        <v>509.76760000000002</v>
      </c>
      <c r="D1620" s="2">
        <f>HYPERLINK("http://mcb-m6.bioreg.kyushu-u.ac.jp/M3/20110418/F50997/1207/1", 37.15)</f>
        <v>37.15</v>
      </c>
      <c r="E1620" s="2">
        <v>11.55</v>
      </c>
      <c r="F1620" s="2">
        <v>2</v>
      </c>
      <c r="G1620" s="2" t="s">
        <v>12</v>
      </c>
    </row>
    <row r="1621" spans="1:8" x14ac:dyDescent="0.2">
      <c r="A1621" s="2" t="s">
        <v>3343</v>
      </c>
      <c r="B1621" s="2" t="s">
        <v>704</v>
      </c>
      <c r="C1621" s="2">
        <v>602.74109999999996</v>
      </c>
      <c r="D1621" s="2">
        <f>HYPERLINK("http://mcb-m6.bioreg.kyushu-u.ac.jp/M3/20110418/F50997/1525/1", 37.16)</f>
        <v>37.159999999999997</v>
      </c>
      <c r="E1621" s="2">
        <v>13.35</v>
      </c>
      <c r="F1621" s="2">
        <v>2</v>
      </c>
      <c r="G1621" s="2" t="s">
        <v>12</v>
      </c>
    </row>
    <row r="1622" spans="1:8" x14ac:dyDescent="0.2">
      <c r="A1622" s="2" t="s">
        <v>3343</v>
      </c>
      <c r="B1622" s="2" t="s">
        <v>1002</v>
      </c>
      <c r="C1622" s="2">
        <v>1147.4459999999999</v>
      </c>
      <c r="D1622" s="2">
        <f>HYPERLINK("http://mcb-m6.bioreg.kyushu-u.ac.jp/M3/20110418/F50997/3213/1", 37.46)</f>
        <v>37.46</v>
      </c>
      <c r="E1622" s="2">
        <v>24.19</v>
      </c>
      <c r="F1622" s="2">
        <v>2</v>
      </c>
      <c r="G1622" s="2" t="s">
        <v>12</v>
      </c>
    </row>
    <row r="1623" spans="1:8" x14ac:dyDescent="0.2">
      <c r="A1623" s="2" t="s">
        <v>3343</v>
      </c>
      <c r="B1623" s="2" t="s">
        <v>325</v>
      </c>
      <c r="C1623" s="2">
        <v>739.24770000000001</v>
      </c>
      <c r="D1623" s="2">
        <f>HYPERLINK("http://mcb-m6.bioreg.kyushu-u.ac.jp/M3/20110418/F50997/1998/1", 37.69)</f>
        <v>37.69</v>
      </c>
      <c r="E1623" s="2">
        <v>26.7</v>
      </c>
      <c r="F1623" s="2">
        <v>2</v>
      </c>
      <c r="G1623" s="2" t="s">
        <v>12</v>
      </c>
    </row>
    <row r="1624" spans="1:8" x14ac:dyDescent="0.2">
      <c r="A1624" s="2" t="s">
        <v>3343</v>
      </c>
      <c r="B1624" s="2" t="s">
        <v>704</v>
      </c>
      <c r="C1624" s="2">
        <v>602.80160000000001</v>
      </c>
      <c r="D1624" s="2">
        <f>HYPERLINK("http://mcb-m6.bioreg.kyushu-u.ac.jp/M3/20110418/F50984/1841/1", 37.92)</f>
        <v>37.92</v>
      </c>
      <c r="E1624" s="2">
        <v>18.559999999999999</v>
      </c>
      <c r="F1624" s="2">
        <v>2</v>
      </c>
      <c r="G1624" s="2" t="s">
        <v>12</v>
      </c>
    </row>
    <row r="1625" spans="1:8" x14ac:dyDescent="0.2">
      <c r="A1625" s="2" t="s">
        <v>3343</v>
      </c>
      <c r="B1625" s="2" t="s">
        <v>509</v>
      </c>
      <c r="C1625" s="2">
        <v>725.35519999999997</v>
      </c>
      <c r="D1625" s="2">
        <f>HYPERLINK("http://mcb-m6.bioreg.kyushu-u.ac.jp/M3/20110418/F51001/1960/1", 38.19)</f>
        <v>38.19</v>
      </c>
      <c r="E1625" s="2">
        <v>24.29</v>
      </c>
      <c r="F1625" s="2">
        <v>2</v>
      </c>
      <c r="G1625" s="2" t="s">
        <v>12</v>
      </c>
      <c r="H1625" s="2" t="s">
        <v>4927</v>
      </c>
    </row>
    <row r="1626" spans="1:8" x14ac:dyDescent="0.2">
      <c r="A1626" s="2" t="s">
        <v>3343</v>
      </c>
      <c r="B1626" s="2" t="s">
        <v>546</v>
      </c>
      <c r="C1626" s="2">
        <v>1328.5509999999999</v>
      </c>
      <c r="D1626" s="2">
        <f>HYPERLINK("http://mcb-m6.bioreg.kyushu-u.ac.jp/M3/20110418/F50997/1671/2", 38.59)</f>
        <v>38.590000000000003</v>
      </c>
      <c r="E1626" s="2">
        <v>30.39</v>
      </c>
      <c r="F1626" s="2">
        <v>1</v>
      </c>
      <c r="G1626" s="2" t="s">
        <v>12</v>
      </c>
    </row>
    <row r="1627" spans="1:8" x14ac:dyDescent="0.2">
      <c r="A1627" s="2" t="s">
        <v>3343</v>
      </c>
      <c r="B1627" s="2" t="s">
        <v>210</v>
      </c>
      <c r="C1627" s="2">
        <v>1092.443</v>
      </c>
      <c r="D1627" s="2">
        <f>HYPERLINK("http://mcb-m6.bioreg.kyushu-u.ac.jp/M3/20110418/F50997/1304/1", 38.74)</f>
        <v>38.74</v>
      </c>
      <c r="E1627" s="2">
        <v>16.420000000000002</v>
      </c>
      <c r="F1627" s="2">
        <v>1</v>
      </c>
      <c r="G1627" s="2" t="s">
        <v>12</v>
      </c>
    </row>
    <row r="1628" spans="1:8" x14ac:dyDescent="0.2">
      <c r="A1628" s="2" t="s">
        <v>3343</v>
      </c>
      <c r="B1628" s="2" t="s">
        <v>704</v>
      </c>
      <c r="C1628" s="2">
        <v>602.87070000000006</v>
      </c>
      <c r="D1628" s="2">
        <f>HYPERLINK("http://mcb-m6.bioreg.kyushu-u.ac.jp/M3/20110418/F50997/1529/1", 40.76)</f>
        <v>40.76</v>
      </c>
      <c r="E1628" s="2">
        <v>10.09</v>
      </c>
      <c r="F1628" s="2">
        <v>2</v>
      </c>
      <c r="G1628" s="2" t="s">
        <v>12</v>
      </c>
    </row>
    <row r="1629" spans="1:8" x14ac:dyDescent="0.2">
      <c r="A1629" s="2" t="s">
        <v>3343</v>
      </c>
      <c r="B1629" s="2" t="s">
        <v>509</v>
      </c>
      <c r="C1629" s="2">
        <v>716.98270000000002</v>
      </c>
      <c r="D1629" s="2">
        <f>HYPERLINK("http://mcb-m6.bioreg.kyushu-u.ac.jp/M3/20110418/F50997/1883/1", 41.14)</f>
        <v>41.14</v>
      </c>
      <c r="E1629" s="2">
        <v>19.57</v>
      </c>
      <c r="F1629" s="2">
        <v>2</v>
      </c>
      <c r="G1629" s="2" t="s">
        <v>12</v>
      </c>
      <c r="H1629" s="2" t="s">
        <v>4931</v>
      </c>
    </row>
    <row r="1630" spans="1:8" x14ac:dyDescent="0.2">
      <c r="A1630" s="2" t="s">
        <v>3343</v>
      </c>
      <c r="B1630" s="2" t="s">
        <v>132</v>
      </c>
      <c r="C1630" s="2">
        <v>578.89419999999996</v>
      </c>
      <c r="D1630" s="2">
        <f>HYPERLINK("http://mcb-m6.bioreg.kyushu-u.ac.jp/M3/20110418/F50981/1893/1", 41.18)</f>
        <v>41.18</v>
      </c>
      <c r="E1630" s="2">
        <v>17.68</v>
      </c>
      <c r="F1630" s="2">
        <v>2</v>
      </c>
      <c r="G1630" s="2" t="s">
        <v>12</v>
      </c>
    </row>
    <row r="1631" spans="1:8" x14ac:dyDescent="0.2">
      <c r="A1631" s="2" t="s">
        <v>3343</v>
      </c>
      <c r="B1631" s="2" t="s">
        <v>428</v>
      </c>
      <c r="C1631" s="2">
        <v>451.85160000000002</v>
      </c>
      <c r="D1631" s="2">
        <f>HYPERLINK("http://mcb-m6.bioreg.kyushu-u.ac.jp/M3/20110418/F50997/992/1", 41.79)</f>
        <v>41.79</v>
      </c>
      <c r="E1631" s="2">
        <v>15.73</v>
      </c>
      <c r="F1631" s="2">
        <v>2</v>
      </c>
      <c r="G1631" s="2" t="s">
        <v>12</v>
      </c>
    </row>
    <row r="1632" spans="1:8" x14ac:dyDescent="0.2">
      <c r="A1632" s="2" t="s">
        <v>3343</v>
      </c>
      <c r="B1632" s="2" t="s">
        <v>704</v>
      </c>
      <c r="C1632" s="2">
        <v>1204.5229999999999</v>
      </c>
      <c r="D1632" s="2">
        <f>HYPERLINK("http://mcb-m6.bioreg.kyushu-u.ac.jp/M3/20110418/F50997/1527/1", 41.98)</f>
        <v>41.98</v>
      </c>
      <c r="E1632" s="2">
        <v>18.420000000000002</v>
      </c>
      <c r="F1632" s="2">
        <v>1</v>
      </c>
      <c r="G1632" s="2" t="s">
        <v>12</v>
      </c>
    </row>
    <row r="1633" spans="1:8" x14ac:dyDescent="0.2">
      <c r="A1633" s="2" t="s">
        <v>3343</v>
      </c>
      <c r="B1633" s="2" t="s">
        <v>132</v>
      </c>
      <c r="C1633" s="2">
        <v>1155.5509999999999</v>
      </c>
      <c r="D1633" s="2">
        <f>HYPERLINK("http://mcb-m6.bioreg.kyushu-u.ac.jp/M3/20110418/F50997/1397/1", 42.02)</f>
        <v>42.02</v>
      </c>
      <c r="E1633" s="2">
        <v>20.41</v>
      </c>
      <c r="F1633" s="2">
        <v>1</v>
      </c>
      <c r="G1633" s="2" t="s">
        <v>12</v>
      </c>
    </row>
    <row r="1634" spans="1:8" x14ac:dyDescent="0.2">
      <c r="A1634" s="2" t="s">
        <v>3343</v>
      </c>
      <c r="B1634" s="2" t="s">
        <v>428</v>
      </c>
      <c r="C1634" s="2">
        <v>451.78309999999999</v>
      </c>
      <c r="D1634" s="2">
        <f>HYPERLINK("http://mcb-m6.bioreg.kyushu-u.ac.jp/M3/20110418/F50997/991/1", 42.21)</f>
        <v>42.21</v>
      </c>
      <c r="E1634" s="2">
        <v>17.37</v>
      </c>
      <c r="F1634" s="2">
        <v>2</v>
      </c>
      <c r="G1634" s="2" t="s">
        <v>12</v>
      </c>
    </row>
    <row r="1635" spans="1:8" x14ac:dyDescent="0.2">
      <c r="A1635" s="2" t="s">
        <v>3343</v>
      </c>
      <c r="B1635" s="2" t="s">
        <v>132</v>
      </c>
      <c r="C1635" s="2">
        <v>1155.6320000000001</v>
      </c>
      <c r="D1635" s="2">
        <f>HYPERLINK("http://mcb-m6.bioreg.kyushu-u.ac.jp/M3/20110418/F50997/1398/1", 42.23)</f>
        <v>42.23</v>
      </c>
      <c r="E1635" s="2">
        <v>18.510000000000002</v>
      </c>
      <c r="F1635" s="2">
        <v>1</v>
      </c>
      <c r="G1635" s="2" t="s">
        <v>12</v>
      </c>
    </row>
    <row r="1636" spans="1:8" x14ac:dyDescent="0.2">
      <c r="A1636" s="2" t="s">
        <v>3343</v>
      </c>
      <c r="B1636" s="2" t="s">
        <v>297</v>
      </c>
      <c r="C1636" s="2">
        <v>1186.373</v>
      </c>
      <c r="D1636" s="2">
        <f>HYPERLINK("http://mcb-m6.bioreg.kyushu-u.ac.jp/M3/20110418/F50997/1479/1", 43.25)</f>
        <v>43.25</v>
      </c>
      <c r="E1636" s="2">
        <v>31.9</v>
      </c>
      <c r="F1636" s="2">
        <v>1</v>
      </c>
      <c r="G1636" s="2" t="s">
        <v>12</v>
      </c>
    </row>
    <row r="1637" spans="1:8" x14ac:dyDescent="0.2">
      <c r="A1637" s="2" t="s">
        <v>3343</v>
      </c>
      <c r="B1637" s="2" t="s">
        <v>132</v>
      </c>
      <c r="C1637" s="2">
        <v>578.11969999999997</v>
      </c>
      <c r="D1637" s="2">
        <f>HYPERLINK("http://mcb-m6.bioreg.kyushu-u.ac.jp/M3/20110418/F50982/1880/1", 43.25)</f>
        <v>43.25</v>
      </c>
      <c r="E1637" s="2">
        <v>21.39</v>
      </c>
      <c r="F1637" s="2">
        <v>2</v>
      </c>
      <c r="G1637" s="2" t="s">
        <v>12</v>
      </c>
    </row>
    <row r="1638" spans="1:8" x14ac:dyDescent="0.2">
      <c r="A1638" s="2" t="s">
        <v>3343</v>
      </c>
      <c r="B1638" s="2" t="s">
        <v>1002</v>
      </c>
      <c r="C1638" s="2">
        <v>765.77120000000002</v>
      </c>
      <c r="D1638" s="2">
        <f>HYPERLINK("http://mcb-m6.bioreg.kyushu-u.ac.jp/M3/20110418/F50997/3226/1", 44.2)</f>
        <v>44.2</v>
      </c>
      <c r="E1638" s="2">
        <v>28.81</v>
      </c>
      <c r="F1638" s="2">
        <v>3</v>
      </c>
      <c r="G1638" s="2" t="s">
        <v>12</v>
      </c>
    </row>
    <row r="1639" spans="1:8" x14ac:dyDescent="0.2">
      <c r="A1639" s="2" t="s">
        <v>3343</v>
      </c>
      <c r="B1639" s="2" t="s">
        <v>509</v>
      </c>
      <c r="C1639" s="2">
        <v>725.3202</v>
      </c>
      <c r="D1639" s="2">
        <f>HYPERLINK("http://mcb-m6.bioreg.kyushu-u.ac.jp/M3/20110418/F50997/1927/1", 44.22)</f>
        <v>44.22</v>
      </c>
      <c r="E1639" s="2">
        <v>29.77</v>
      </c>
      <c r="F1639" s="2">
        <v>2</v>
      </c>
      <c r="G1639" s="2" t="s">
        <v>12</v>
      </c>
      <c r="H1639" s="2" t="s">
        <v>4927</v>
      </c>
    </row>
    <row r="1640" spans="1:8" x14ac:dyDescent="0.2">
      <c r="A1640" s="2" t="s">
        <v>3343</v>
      </c>
      <c r="B1640" s="2" t="s">
        <v>704</v>
      </c>
      <c r="C1640" s="2">
        <v>611.01819999999998</v>
      </c>
      <c r="D1640" s="2">
        <f>HYPERLINK("http://mcb-m6.bioreg.kyushu-u.ac.jp/M3/20110418/F50981/1915/1", 44.62)</f>
        <v>44.62</v>
      </c>
      <c r="E1640" s="2">
        <v>21.49</v>
      </c>
      <c r="F1640" s="2">
        <v>2</v>
      </c>
      <c r="G1640" s="2" t="s">
        <v>12</v>
      </c>
      <c r="H1640" s="2" t="s">
        <v>4908</v>
      </c>
    </row>
    <row r="1641" spans="1:8" x14ac:dyDescent="0.2">
      <c r="A1641" s="2" t="s">
        <v>3343</v>
      </c>
      <c r="B1641" s="2" t="s">
        <v>943</v>
      </c>
      <c r="C1641" s="2">
        <v>507.20609999999999</v>
      </c>
      <c r="D1641" s="2">
        <f>HYPERLINK("http://mcb-m6.bioreg.kyushu-u.ac.jp/M3/20110418/F50997/1195/1", 44.91)</f>
        <v>44.91</v>
      </c>
      <c r="E1641" s="2">
        <v>25.83</v>
      </c>
      <c r="F1641" s="2">
        <v>2</v>
      </c>
      <c r="G1641" s="2" t="s">
        <v>12</v>
      </c>
    </row>
    <row r="1642" spans="1:8" x14ac:dyDescent="0.2">
      <c r="A1642" s="2" t="s">
        <v>3343</v>
      </c>
      <c r="B1642" s="2" t="s">
        <v>2359</v>
      </c>
      <c r="C1642" s="2">
        <v>679.22860000000003</v>
      </c>
      <c r="D1642" s="2">
        <f>HYPERLINK("http://mcb-m6.bioreg.kyushu-u.ac.jp/M3/20110418/F50997/1741/1", 45.52)</f>
        <v>45.52</v>
      </c>
      <c r="E1642" s="2">
        <v>24.01</v>
      </c>
      <c r="F1642" s="2">
        <v>2</v>
      </c>
      <c r="G1642" s="2" t="s">
        <v>12</v>
      </c>
    </row>
    <row r="1643" spans="1:8" x14ac:dyDescent="0.2">
      <c r="A1643" s="2" t="s">
        <v>3343</v>
      </c>
      <c r="B1643" s="2" t="s">
        <v>509</v>
      </c>
      <c r="C1643" s="2">
        <v>725.82510000000002</v>
      </c>
      <c r="D1643" s="2">
        <f>HYPERLINK("http://mcb-m6.bioreg.kyushu-u.ac.jp/M3/20110418/F50997/1932/1", 45.56)</f>
        <v>45.56</v>
      </c>
      <c r="E1643" s="2">
        <v>28.91</v>
      </c>
      <c r="F1643" s="2">
        <v>2</v>
      </c>
      <c r="G1643" s="2" t="s">
        <v>12</v>
      </c>
      <c r="H1643" s="2" t="s">
        <v>4927</v>
      </c>
    </row>
    <row r="1644" spans="1:8" x14ac:dyDescent="0.2">
      <c r="A1644" s="2" t="s">
        <v>3343</v>
      </c>
      <c r="B1644" s="2" t="s">
        <v>2555</v>
      </c>
      <c r="C1644" s="2">
        <v>657.69370000000004</v>
      </c>
      <c r="D1644" s="2">
        <f>HYPERLINK("http://mcb-m6.bioreg.kyushu-u.ac.jp/M3/20110418/F50997/1656/1", 45.81)</f>
        <v>45.81</v>
      </c>
      <c r="E1644" s="2">
        <v>31.06</v>
      </c>
      <c r="F1644" s="2">
        <v>2</v>
      </c>
      <c r="G1644" s="2" t="s">
        <v>12</v>
      </c>
    </row>
    <row r="1645" spans="1:8" x14ac:dyDescent="0.2">
      <c r="A1645" s="2" t="s">
        <v>3343</v>
      </c>
      <c r="B1645" s="2" t="s">
        <v>132</v>
      </c>
      <c r="C1645" s="2">
        <v>578.1902</v>
      </c>
      <c r="D1645" s="2">
        <f>HYPERLINK("http://mcb-m6.bioreg.kyushu-u.ac.jp/M3/20110418/F50997/1393/1", 46)</f>
        <v>46</v>
      </c>
      <c r="E1645" s="2">
        <v>20.7</v>
      </c>
      <c r="F1645" s="2">
        <v>2</v>
      </c>
      <c r="G1645" s="2" t="s">
        <v>12</v>
      </c>
    </row>
    <row r="1646" spans="1:8" x14ac:dyDescent="0.2">
      <c r="A1646" s="2" t="s">
        <v>3343</v>
      </c>
      <c r="B1646" s="2" t="s">
        <v>704</v>
      </c>
      <c r="C1646" s="2">
        <v>610.81020000000001</v>
      </c>
      <c r="D1646" s="2">
        <f>HYPERLINK("http://mcb-m6.bioreg.kyushu-u.ac.jp/M3/20110418/F50983/1794/1", 46.29)</f>
        <v>46.29</v>
      </c>
      <c r="E1646" s="2">
        <v>18.57</v>
      </c>
      <c r="F1646" s="2">
        <v>2</v>
      </c>
      <c r="G1646" s="2" t="s">
        <v>12</v>
      </c>
      <c r="H1646" s="2" t="s">
        <v>4908</v>
      </c>
    </row>
    <row r="1647" spans="1:8" x14ac:dyDescent="0.2">
      <c r="A1647" s="2" t="s">
        <v>3343</v>
      </c>
      <c r="B1647" s="2" t="s">
        <v>704</v>
      </c>
      <c r="C1647" s="2">
        <v>610.77170000000001</v>
      </c>
      <c r="D1647" s="2">
        <f>HYPERLINK("http://mcb-m6.bioreg.kyushu-u.ac.jp/M3/20110418/F50997/1557/1", 46.98)</f>
        <v>46.98</v>
      </c>
      <c r="E1647" s="2">
        <v>21.02</v>
      </c>
      <c r="F1647" s="2">
        <v>2</v>
      </c>
      <c r="G1647" s="2" t="s">
        <v>12</v>
      </c>
      <c r="H1647" s="2" t="s">
        <v>4908</v>
      </c>
    </row>
    <row r="1648" spans="1:8" x14ac:dyDescent="0.2">
      <c r="A1648" s="2" t="s">
        <v>3343</v>
      </c>
      <c r="B1648" s="2" t="s">
        <v>428</v>
      </c>
      <c r="C1648" s="2">
        <v>451.6816</v>
      </c>
      <c r="D1648" s="2">
        <f>HYPERLINK("http://mcb-m6.bioreg.kyushu-u.ac.jp/M3/20110418/F50997/984/1", 48.72)</f>
        <v>48.72</v>
      </c>
      <c r="E1648" s="2">
        <v>22.37</v>
      </c>
      <c r="F1648" s="2">
        <v>2</v>
      </c>
      <c r="G1648" s="2" t="s">
        <v>12</v>
      </c>
    </row>
    <row r="1649" spans="1:8" x14ac:dyDescent="0.2">
      <c r="A1649" s="2" t="s">
        <v>3343</v>
      </c>
      <c r="B1649" s="2" t="s">
        <v>443</v>
      </c>
      <c r="C1649" s="2">
        <v>1017.433</v>
      </c>
      <c r="D1649" s="2">
        <f>HYPERLINK("http://mcb-m6.bioreg.kyushu-u.ac.jp/M3/20110418/F50997/1205/1", 48.79)</f>
        <v>48.79</v>
      </c>
      <c r="E1649" s="2">
        <v>24.41</v>
      </c>
      <c r="F1649" s="2">
        <v>1</v>
      </c>
      <c r="G1649" s="2" t="s">
        <v>12</v>
      </c>
    </row>
    <row r="1650" spans="1:8" x14ac:dyDescent="0.2">
      <c r="A1650" s="2" t="s">
        <v>3343</v>
      </c>
      <c r="B1650" s="2" t="s">
        <v>509</v>
      </c>
      <c r="C1650" s="2">
        <v>1432.61</v>
      </c>
      <c r="D1650" s="2">
        <f>HYPERLINK("http://mcb-m6.bioreg.kyushu-u.ac.jp/M3/20110418/F50997/1881/1", 48.88)</f>
        <v>48.88</v>
      </c>
      <c r="E1650" s="2">
        <v>40.840000000000003</v>
      </c>
      <c r="F1650" s="2">
        <v>1</v>
      </c>
      <c r="G1650" s="2" t="s">
        <v>12</v>
      </c>
      <c r="H1650" s="2" t="s">
        <v>4931</v>
      </c>
    </row>
    <row r="1651" spans="1:8" x14ac:dyDescent="0.2">
      <c r="A1651" s="2" t="s">
        <v>3343</v>
      </c>
      <c r="B1651" s="2" t="s">
        <v>509</v>
      </c>
      <c r="C1651" s="2">
        <v>717.74959999999999</v>
      </c>
      <c r="D1651" s="2">
        <f>HYPERLINK("http://mcb-m6.bioreg.kyushu-u.ac.jp/M3/20110418/F50997/1896/1", 48.98)</f>
        <v>48.98</v>
      </c>
      <c r="E1651" s="2">
        <v>33</v>
      </c>
      <c r="F1651" s="2">
        <v>2</v>
      </c>
      <c r="G1651" s="2" t="s">
        <v>12</v>
      </c>
    </row>
    <row r="1652" spans="1:8" x14ac:dyDescent="0.2">
      <c r="A1652" s="2" t="s">
        <v>3343</v>
      </c>
      <c r="B1652" s="2" t="s">
        <v>704</v>
      </c>
      <c r="C1652" s="2">
        <v>610.34810000000004</v>
      </c>
      <c r="D1652" s="2">
        <f>HYPERLINK("http://mcb-m6.bioreg.kyushu-u.ac.jp/M3/20110418/F50984/1853/1", 49.23)</f>
        <v>49.23</v>
      </c>
      <c r="E1652" s="2">
        <v>21.61</v>
      </c>
      <c r="F1652" s="2">
        <v>2</v>
      </c>
      <c r="G1652" s="2" t="s">
        <v>12</v>
      </c>
      <c r="H1652" s="2" t="s">
        <v>4908</v>
      </c>
    </row>
    <row r="1653" spans="1:8" x14ac:dyDescent="0.2">
      <c r="A1653" s="2" t="s">
        <v>3343</v>
      </c>
      <c r="B1653" s="2" t="s">
        <v>325</v>
      </c>
      <c r="C1653" s="2">
        <v>739.24469999999997</v>
      </c>
      <c r="D1653" s="2">
        <f>HYPERLINK("http://mcb-m6.bioreg.kyushu-u.ac.jp/M3/20110418/F50997/1996/1", 49.64)</f>
        <v>49.64</v>
      </c>
      <c r="E1653" s="2">
        <v>37.43</v>
      </c>
      <c r="F1653" s="2">
        <v>2</v>
      </c>
      <c r="G1653" s="2" t="s">
        <v>12</v>
      </c>
    </row>
    <row r="1654" spans="1:8" x14ac:dyDescent="0.2">
      <c r="A1654" s="2" t="s">
        <v>3343</v>
      </c>
      <c r="B1654" s="2" t="s">
        <v>328</v>
      </c>
      <c r="C1654" s="2">
        <v>1146.287</v>
      </c>
      <c r="D1654" s="2">
        <f>HYPERLINK("http://mcb-m6.bioreg.kyushu-u.ac.jp/M3/20110418/F50997/1379/1", 50.56)</f>
        <v>50.56</v>
      </c>
      <c r="E1654" s="2">
        <v>18.579999999999998</v>
      </c>
      <c r="F1654" s="2">
        <v>1</v>
      </c>
      <c r="G1654" s="2" t="s">
        <v>12</v>
      </c>
    </row>
    <row r="1655" spans="1:8" x14ac:dyDescent="0.2">
      <c r="A1655" s="2" t="s">
        <v>3343</v>
      </c>
      <c r="B1655" s="2" t="s">
        <v>344</v>
      </c>
      <c r="C1655" s="2">
        <v>919.08259999999996</v>
      </c>
      <c r="D1655" s="2">
        <f>HYPERLINK("http://mcb-m6.bioreg.kyushu-u.ac.jp/M3/20110418/F50997/2649/1", 50.78)</f>
        <v>50.78</v>
      </c>
      <c r="E1655" s="2">
        <v>29.74</v>
      </c>
      <c r="F1655" s="2">
        <v>2</v>
      </c>
      <c r="G1655" s="2" t="s">
        <v>12</v>
      </c>
    </row>
    <row r="1656" spans="1:8" x14ac:dyDescent="0.2">
      <c r="A1656" s="2" t="s">
        <v>3343</v>
      </c>
      <c r="B1656" s="2" t="s">
        <v>132</v>
      </c>
      <c r="C1656" s="2">
        <v>578.81709999999998</v>
      </c>
      <c r="D1656" s="2">
        <f>HYPERLINK("http://mcb-m6.bioreg.kyushu-u.ac.jp/M3/20110418/F50997/1412/1", 50.79)</f>
        <v>50.79</v>
      </c>
      <c r="E1656" s="2">
        <v>29.92</v>
      </c>
      <c r="F1656" s="2">
        <v>2</v>
      </c>
      <c r="G1656" s="2" t="s">
        <v>12</v>
      </c>
    </row>
    <row r="1657" spans="1:8" x14ac:dyDescent="0.2">
      <c r="A1657" s="2" t="s">
        <v>3343</v>
      </c>
      <c r="B1657" s="2" t="s">
        <v>2388</v>
      </c>
      <c r="C1657" s="2">
        <v>700.84010000000001</v>
      </c>
      <c r="D1657" s="2">
        <f>HYPERLINK("http://mcb-m6.bioreg.kyushu-u.ac.jp/M3/20110418/F50997/1832/1", 51.48)</f>
        <v>51.48</v>
      </c>
      <c r="E1657" s="2">
        <v>33.6</v>
      </c>
      <c r="F1657" s="2">
        <v>2</v>
      </c>
      <c r="G1657" s="2" t="s">
        <v>12</v>
      </c>
    </row>
    <row r="1658" spans="1:8" x14ac:dyDescent="0.2">
      <c r="A1658" s="2" t="s">
        <v>3343</v>
      </c>
      <c r="B1658" s="2" t="s">
        <v>704</v>
      </c>
      <c r="C1658" s="2">
        <v>611.28020000000004</v>
      </c>
      <c r="D1658" s="2">
        <f>HYPERLINK("http://mcb-m6.bioreg.kyushu-u.ac.jp/M3/20110418/F50997/1561/1", 51.85)</f>
        <v>51.85</v>
      </c>
      <c r="E1658" s="2">
        <v>20.73</v>
      </c>
      <c r="F1658" s="2">
        <v>2</v>
      </c>
      <c r="G1658" s="2" t="s">
        <v>12</v>
      </c>
      <c r="H1658" s="2" t="s">
        <v>4908</v>
      </c>
    </row>
    <row r="1659" spans="1:8" x14ac:dyDescent="0.2">
      <c r="A1659" s="2" t="s">
        <v>3343</v>
      </c>
      <c r="B1659" s="2" t="s">
        <v>546</v>
      </c>
      <c r="C1659" s="2">
        <v>665.34720000000004</v>
      </c>
      <c r="D1659" s="2">
        <f>HYPERLINK("http://mcb-m6.bioreg.kyushu-u.ac.jp/M3/20110418/F50997/1676/2", 54.12)</f>
        <v>54.12</v>
      </c>
      <c r="E1659" s="2">
        <v>27.63</v>
      </c>
      <c r="F1659" s="2">
        <v>2</v>
      </c>
      <c r="G1659" s="2" t="s">
        <v>12</v>
      </c>
    </row>
    <row r="1660" spans="1:8" x14ac:dyDescent="0.2">
      <c r="A1660" s="2" t="s">
        <v>3343</v>
      </c>
      <c r="B1660" s="2" t="s">
        <v>428</v>
      </c>
      <c r="C1660" s="2">
        <v>451.74560000000002</v>
      </c>
      <c r="D1660" s="2">
        <f>HYPERLINK("http://mcb-m6.bioreg.kyushu-u.ac.jp/M3/20110418/F50997/989/1", 54.23)</f>
        <v>54.23</v>
      </c>
      <c r="E1660" s="2">
        <v>22.97</v>
      </c>
      <c r="F1660" s="2">
        <v>2</v>
      </c>
      <c r="G1660" s="2" t="s">
        <v>12</v>
      </c>
    </row>
    <row r="1661" spans="1:8" x14ac:dyDescent="0.2">
      <c r="A1661" s="2" t="s">
        <v>3343</v>
      </c>
      <c r="B1661" s="2" t="s">
        <v>509</v>
      </c>
      <c r="C1661" s="2">
        <v>717.77970000000005</v>
      </c>
      <c r="D1661" s="2">
        <f>HYPERLINK("http://mcb-m6.bioreg.kyushu-u.ac.jp/M3/20110418/F50997/1897/1", 55.78)</f>
        <v>55.78</v>
      </c>
      <c r="E1661" s="2">
        <v>39.5</v>
      </c>
      <c r="F1661" s="2">
        <v>2</v>
      </c>
      <c r="G1661" s="2" t="s">
        <v>12</v>
      </c>
    </row>
    <row r="1662" spans="1:8" x14ac:dyDescent="0.2">
      <c r="A1662" s="2" t="s">
        <v>3343</v>
      </c>
      <c r="B1662" s="2" t="s">
        <v>132</v>
      </c>
      <c r="C1662" s="2">
        <v>578.12459999999999</v>
      </c>
      <c r="D1662" s="2">
        <f>HYPERLINK("http://mcb-m6.bioreg.kyushu-u.ac.jp/M3/20110418/F50997/1392/1", 55.99)</f>
        <v>55.99</v>
      </c>
      <c r="E1662" s="2">
        <v>32.25</v>
      </c>
      <c r="F1662" s="2">
        <v>2</v>
      </c>
      <c r="G1662" s="2" t="s">
        <v>12</v>
      </c>
    </row>
    <row r="1663" spans="1:8" x14ac:dyDescent="0.2">
      <c r="A1663" s="2" t="s">
        <v>3343</v>
      </c>
      <c r="B1663" s="2" t="s">
        <v>132</v>
      </c>
      <c r="C1663" s="2">
        <v>578.90369999999996</v>
      </c>
      <c r="D1663" s="2">
        <f>HYPERLINK("http://mcb-m6.bioreg.kyushu-u.ac.jp/M3/20110418/F50997/1413/1", 56.43)</f>
        <v>56.43</v>
      </c>
      <c r="E1663" s="2">
        <v>32.36</v>
      </c>
      <c r="F1663" s="2">
        <v>2</v>
      </c>
      <c r="G1663" s="2" t="s">
        <v>12</v>
      </c>
    </row>
    <row r="1664" spans="1:8" x14ac:dyDescent="0.2">
      <c r="A1664" s="2" t="s">
        <v>3343</v>
      </c>
      <c r="B1664" s="2" t="s">
        <v>132</v>
      </c>
      <c r="C1664" s="2">
        <v>578.7731</v>
      </c>
      <c r="D1664" s="2">
        <f>HYPERLINK("http://mcb-m6.bioreg.kyushu-u.ac.jp/M3/20110418/F50997/1409/1", 56.62)</f>
        <v>56.62</v>
      </c>
      <c r="E1664" s="2">
        <v>28.35</v>
      </c>
      <c r="F1664" s="2">
        <v>2</v>
      </c>
      <c r="G1664" s="2" t="s">
        <v>12</v>
      </c>
    </row>
    <row r="1665" spans="1:8" x14ac:dyDescent="0.2">
      <c r="A1665" s="2" t="s">
        <v>3343</v>
      </c>
      <c r="B1665" s="2" t="s">
        <v>509</v>
      </c>
      <c r="C1665" s="2">
        <v>725.35569999999996</v>
      </c>
      <c r="D1665" s="2">
        <f>HYPERLINK("http://mcb-m6.bioreg.kyushu-u.ac.jp/M3/20110418/F50997/1928/1", 56.74)</f>
        <v>56.74</v>
      </c>
      <c r="E1665" s="2">
        <v>44.3</v>
      </c>
      <c r="F1665" s="2">
        <v>2</v>
      </c>
      <c r="G1665" s="2" t="s">
        <v>12</v>
      </c>
      <c r="H1665" s="2" t="s">
        <v>4927</v>
      </c>
    </row>
    <row r="1666" spans="1:8" x14ac:dyDescent="0.2">
      <c r="A1666" s="2" t="s">
        <v>3343</v>
      </c>
      <c r="B1666" s="2" t="s">
        <v>325</v>
      </c>
      <c r="C1666" s="2">
        <v>498.4572</v>
      </c>
      <c r="D1666" s="2">
        <f>HYPERLINK("http://mcb-m6.bioreg.kyushu-u.ac.jp/M3/20110418/F50997/2036/1", 57.34)</f>
        <v>57.34</v>
      </c>
      <c r="E1666" s="2">
        <v>41.62</v>
      </c>
      <c r="F1666" s="2">
        <v>3</v>
      </c>
      <c r="G1666" s="2" t="s">
        <v>12</v>
      </c>
      <c r="H1666" s="2" t="s">
        <v>4925</v>
      </c>
    </row>
    <row r="1667" spans="1:8" x14ac:dyDescent="0.2">
      <c r="A1667" s="2" t="s">
        <v>3343</v>
      </c>
      <c r="B1667" s="2" t="s">
        <v>132</v>
      </c>
      <c r="C1667" s="2">
        <v>578.73820000000001</v>
      </c>
      <c r="D1667" s="2">
        <f>HYPERLINK("http://mcb-m6.bioreg.kyushu-u.ac.jp/M3/20110418/F50997/1408/1", 57.35)</f>
        <v>57.35</v>
      </c>
      <c r="E1667" s="2">
        <v>30.37</v>
      </c>
      <c r="F1667" s="2">
        <v>2</v>
      </c>
      <c r="G1667" s="2" t="s">
        <v>12</v>
      </c>
    </row>
    <row r="1668" spans="1:8" x14ac:dyDescent="0.2">
      <c r="A1668" s="2" t="s">
        <v>3343</v>
      </c>
      <c r="B1668" s="2" t="s">
        <v>132</v>
      </c>
      <c r="C1668" s="2">
        <v>578.68409999999994</v>
      </c>
      <c r="D1668" s="2">
        <f>HYPERLINK("http://mcb-m6.bioreg.kyushu-u.ac.jp/M3/20110418/F50997/1404/1", 57.45)</f>
        <v>57.45</v>
      </c>
      <c r="E1668" s="2">
        <v>33.04</v>
      </c>
      <c r="F1668" s="2">
        <v>2</v>
      </c>
      <c r="G1668" s="2" t="s">
        <v>12</v>
      </c>
    </row>
    <row r="1669" spans="1:8" x14ac:dyDescent="0.2">
      <c r="A1669" s="2" t="s">
        <v>3343</v>
      </c>
      <c r="B1669" s="2" t="s">
        <v>704</v>
      </c>
      <c r="C1669" s="2">
        <v>602.75019999999995</v>
      </c>
      <c r="D1669" s="2">
        <f>HYPERLINK("http://mcb-m6.bioreg.kyushu-u.ac.jp/M3/20110418/F50997/1526/1", 57.92)</f>
        <v>57.92</v>
      </c>
      <c r="E1669" s="2">
        <v>20.059999999999999</v>
      </c>
      <c r="F1669" s="2">
        <v>2</v>
      </c>
      <c r="G1669" s="2" t="s">
        <v>12</v>
      </c>
    </row>
    <row r="1670" spans="1:8" x14ac:dyDescent="0.2">
      <c r="A1670" s="2" t="s">
        <v>3343</v>
      </c>
      <c r="B1670" s="2" t="s">
        <v>132</v>
      </c>
      <c r="C1670" s="2">
        <v>578.69669999999996</v>
      </c>
      <c r="D1670" s="2">
        <f>HYPERLINK("http://mcb-m6.bioreg.kyushu-u.ac.jp/M3/20110418/F50997/1406/1", 58.04)</f>
        <v>58.04</v>
      </c>
      <c r="E1670" s="2">
        <v>29.59</v>
      </c>
      <c r="F1670" s="2">
        <v>2</v>
      </c>
      <c r="G1670" s="2" t="s">
        <v>12</v>
      </c>
    </row>
    <row r="1671" spans="1:8" x14ac:dyDescent="0.2">
      <c r="A1671" s="2" t="s">
        <v>3343</v>
      </c>
      <c r="B1671" s="2" t="s">
        <v>428</v>
      </c>
      <c r="C1671" s="2">
        <v>451.7396</v>
      </c>
      <c r="D1671" s="2">
        <f>HYPERLINK("http://mcb-m6.bioreg.kyushu-u.ac.jp/M3/20110418/F50997/987/1", 58.08)</f>
        <v>58.08</v>
      </c>
      <c r="E1671" s="2">
        <v>31.18</v>
      </c>
      <c r="F1671" s="2">
        <v>2</v>
      </c>
      <c r="G1671" s="2" t="s">
        <v>12</v>
      </c>
    </row>
    <row r="1672" spans="1:8" x14ac:dyDescent="0.2">
      <c r="A1672" s="2" t="s">
        <v>3343</v>
      </c>
      <c r="B1672" s="2" t="s">
        <v>132</v>
      </c>
      <c r="C1672" s="2">
        <v>578.59119999999996</v>
      </c>
      <c r="D1672" s="2">
        <f>HYPERLINK("http://mcb-m6.bioreg.kyushu-u.ac.jp/M3/20110418/F50984/1815/1", 58.2)</f>
        <v>58.2</v>
      </c>
      <c r="E1672" s="2">
        <v>29.68</v>
      </c>
      <c r="F1672" s="2">
        <v>2</v>
      </c>
      <c r="G1672" s="2" t="s">
        <v>12</v>
      </c>
    </row>
    <row r="1673" spans="1:8" x14ac:dyDescent="0.2">
      <c r="A1673" s="2" t="s">
        <v>3343</v>
      </c>
      <c r="B1673" s="2" t="s">
        <v>943</v>
      </c>
      <c r="C1673" s="2">
        <v>507.12360000000001</v>
      </c>
      <c r="D1673" s="2">
        <f>HYPERLINK("http://mcb-m6.bioreg.kyushu-u.ac.jp/M3/20110418/F50997/1194/1", 59.01)</f>
        <v>59.01</v>
      </c>
      <c r="E1673" s="2">
        <v>37.11</v>
      </c>
      <c r="F1673" s="2">
        <v>2</v>
      </c>
      <c r="G1673" s="2" t="s">
        <v>12</v>
      </c>
    </row>
    <row r="1674" spans="1:8" x14ac:dyDescent="0.2">
      <c r="A1674" s="2" t="s">
        <v>3343</v>
      </c>
      <c r="B1674" s="2" t="s">
        <v>546</v>
      </c>
      <c r="C1674" s="2">
        <v>664.74620000000004</v>
      </c>
      <c r="D1674" s="2">
        <f>HYPERLINK("http://mcb-m6.bioreg.kyushu-u.ac.jp/M3/20110418/F50997/1667/2", 59.5)</f>
        <v>59.5</v>
      </c>
      <c r="E1674" s="2">
        <v>44.36</v>
      </c>
      <c r="F1674" s="2">
        <v>2</v>
      </c>
      <c r="G1674" s="2" t="s">
        <v>12</v>
      </c>
    </row>
    <row r="1675" spans="1:8" x14ac:dyDescent="0.2">
      <c r="A1675" s="2" t="s">
        <v>3343</v>
      </c>
      <c r="B1675" s="2" t="s">
        <v>943</v>
      </c>
      <c r="C1675" s="2">
        <v>506.72059999999999</v>
      </c>
      <c r="D1675" s="2">
        <f>HYPERLINK("http://mcb-m6.bioreg.kyushu-u.ac.jp/M3/20110418/F50997/1187/1", 59.69)</f>
        <v>59.69</v>
      </c>
      <c r="E1675" s="2">
        <v>36.24</v>
      </c>
      <c r="F1675" s="2">
        <v>2</v>
      </c>
      <c r="G1675" s="2" t="s">
        <v>12</v>
      </c>
    </row>
    <row r="1676" spans="1:8" x14ac:dyDescent="0.2">
      <c r="A1676" s="2" t="s">
        <v>3343</v>
      </c>
      <c r="B1676" s="2" t="s">
        <v>509</v>
      </c>
      <c r="C1676" s="2">
        <v>1449.5650000000001</v>
      </c>
      <c r="D1676" s="2">
        <f>HYPERLINK("http://mcb-m6.bioreg.kyushu-u.ac.jp/M3/20110418/F50997/1925/1", 60.73)</f>
        <v>60.73</v>
      </c>
      <c r="E1676" s="2">
        <v>44.73</v>
      </c>
      <c r="F1676" s="2">
        <v>1</v>
      </c>
      <c r="G1676" s="2" t="s">
        <v>12</v>
      </c>
      <c r="H1676" s="2" t="s">
        <v>4927</v>
      </c>
    </row>
    <row r="1677" spans="1:8" x14ac:dyDescent="0.2">
      <c r="A1677" s="2" t="s">
        <v>3343</v>
      </c>
      <c r="B1677" s="2" t="s">
        <v>132</v>
      </c>
      <c r="C1677" s="2">
        <v>578.71310000000005</v>
      </c>
      <c r="D1677" s="2">
        <f>HYPERLINK("http://mcb-m6.bioreg.kyushu-u.ac.jp/M3/20110418/F50997/1407/1", 60.84)</f>
        <v>60.84</v>
      </c>
      <c r="E1677" s="2">
        <v>36.1</v>
      </c>
      <c r="F1677" s="2">
        <v>2</v>
      </c>
      <c r="G1677" s="2" t="s">
        <v>12</v>
      </c>
    </row>
    <row r="1678" spans="1:8" x14ac:dyDescent="0.2">
      <c r="A1678" s="2" t="s">
        <v>3343</v>
      </c>
      <c r="B1678" s="2" t="s">
        <v>325</v>
      </c>
      <c r="C1678" s="2">
        <v>747.26760000000002</v>
      </c>
      <c r="D1678" s="2">
        <f>HYPERLINK("http://mcb-m6.bioreg.kyushu-u.ac.jp/M3/20110418/F50997/2038/1", 60.91)</f>
        <v>60.91</v>
      </c>
      <c r="E1678" s="2">
        <v>50.98</v>
      </c>
      <c r="F1678" s="2">
        <v>2</v>
      </c>
      <c r="G1678" s="2" t="s">
        <v>12</v>
      </c>
      <c r="H1678" s="2" t="s">
        <v>4925</v>
      </c>
    </row>
    <row r="1679" spans="1:8" x14ac:dyDescent="0.2">
      <c r="A1679" s="2" t="s">
        <v>3343</v>
      </c>
      <c r="B1679" s="2" t="s">
        <v>325</v>
      </c>
      <c r="C1679" s="2">
        <v>747.62519999999995</v>
      </c>
      <c r="D1679" s="2">
        <f>HYPERLINK("http://mcb-m6.bioreg.kyushu-u.ac.jp/M3/20110418/F50984/2114/1", 61.72)</f>
        <v>61.72</v>
      </c>
      <c r="E1679" s="2">
        <v>50.53</v>
      </c>
      <c r="F1679" s="2">
        <v>2</v>
      </c>
      <c r="G1679" s="2" t="s">
        <v>12</v>
      </c>
      <c r="H1679" s="2" t="s">
        <v>4925</v>
      </c>
    </row>
    <row r="1680" spans="1:8" x14ac:dyDescent="0.2">
      <c r="A1680" s="2" t="s">
        <v>3343</v>
      </c>
      <c r="B1680" s="2" t="s">
        <v>546</v>
      </c>
      <c r="C1680" s="2">
        <v>664.90520000000004</v>
      </c>
      <c r="D1680" s="2">
        <f>HYPERLINK("http://mcb-m6.bioreg.kyushu-u.ac.jp/M3/20110418/F50981/1956/2", 62.52)</f>
        <v>62.52</v>
      </c>
      <c r="E1680" s="2">
        <v>43.48</v>
      </c>
      <c r="F1680" s="2">
        <v>2</v>
      </c>
      <c r="G1680" s="2" t="s">
        <v>12</v>
      </c>
    </row>
    <row r="1681" spans="1:8" x14ac:dyDescent="0.2">
      <c r="A1681" s="2" t="s">
        <v>3343</v>
      </c>
      <c r="B1681" s="2" t="s">
        <v>132</v>
      </c>
      <c r="C1681" s="2">
        <v>578.65470000000005</v>
      </c>
      <c r="D1681" s="2">
        <f>HYPERLINK("http://mcb-m6.bioreg.kyushu-u.ac.jp/M3/20110418/F50997/1403/1", 62.91)</f>
        <v>62.91</v>
      </c>
      <c r="E1681" s="2">
        <v>37.909999999999997</v>
      </c>
      <c r="F1681" s="2">
        <v>2</v>
      </c>
      <c r="G1681" s="2" t="s">
        <v>12</v>
      </c>
    </row>
    <row r="1682" spans="1:8" x14ac:dyDescent="0.2">
      <c r="A1682" s="2" t="s">
        <v>3343</v>
      </c>
      <c r="B1682" s="2" t="s">
        <v>558</v>
      </c>
      <c r="C1682" s="2">
        <v>729.82669999999996</v>
      </c>
      <c r="D1682" s="2">
        <f>HYPERLINK("http://mcb-m6.bioreg.kyushu-u.ac.jp/M3/20110418/F50997/1949/1", 62.98)</f>
        <v>62.98</v>
      </c>
      <c r="E1682" s="2">
        <v>48.53</v>
      </c>
      <c r="F1682" s="2">
        <v>2</v>
      </c>
      <c r="G1682" s="2" t="s">
        <v>12</v>
      </c>
    </row>
    <row r="1683" spans="1:8" x14ac:dyDescent="0.2">
      <c r="A1683" s="2" t="s">
        <v>3343</v>
      </c>
      <c r="B1683" s="2" t="s">
        <v>132</v>
      </c>
      <c r="C1683" s="2">
        <v>578.60220000000004</v>
      </c>
      <c r="D1683" s="2">
        <f>HYPERLINK("http://mcb-m6.bioreg.kyushu-u.ac.jp/M3/20110418/F50983/1761/1", 63.3)</f>
        <v>63.3</v>
      </c>
      <c r="E1683" s="2">
        <v>38.81</v>
      </c>
      <c r="F1683" s="2">
        <v>2</v>
      </c>
      <c r="G1683" s="2" t="s">
        <v>12</v>
      </c>
    </row>
    <row r="1684" spans="1:8" x14ac:dyDescent="0.2">
      <c r="A1684" s="2" t="s">
        <v>3343</v>
      </c>
      <c r="B1684" s="2" t="s">
        <v>325</v>
      </c>
      <c r="C1684" s="2">
        <v>747.73419999999999</v>
      </c>
      <c r="D1684" s="2">
        <f>HYPERLINK("http://mcb-m6.bioreg.kyushu-u.ac.jp/M3/20110418/F50997/2044/1", 63.99)</f>
        <v>63.99</v>
      </c>
      <c r="E1684" s="2">
        <v>51.48</v>
      </c>
      <c r="F1684" s="2">
        <v>2</v>
      </c>
      <c r="G1684" s="2" t="s">
        <v>12</v>
      </c>
      <c r="H1684" s="2" t="s">
        <v>4925</v>
      </c>
    </row>
    <row r="1685" spans="1:8" x14ac:dyDescent="0.2">
      <c r="A1685" s="2" t="s">
        <v>3343</v>
      </c>
      <c r="B1685" s="2" t="s">
        <v>210</v>
      </c>
      <c r="C1685" s="2">
        <v>554.70169999999996</v>
      </c>
      <c r="D1685" s="2">
        <f>HYPERLINK("http://mcb-m6.bioreg.kyushu-u.ac.jp/M3/20110418/F50997/1318/1", 64.43)</f>
        <v>64.430000000000007</v>
      </c>
      <c r="E1685" s="2">
        <v>32.950000000000003</v>
      </c>
      <c r="F1685" s="2">
        <v>2</v>
      </c>
      <c r="G1685" s="2" t="s">
        <v>12</v>
      </c>
      <c r="H1685" s="2" t="s">
        <v>4910</v>
      </c>
    </row>
    <row r="1686" spans="1:8" x14ac:dyDescent="0.2">
      <c r="A1686" s="2" t="s">
        <v>3343</v>
      </c>
      <c r="B1686" s="2" t="s">
        <v>1002</v>
      </c>
      <c r="C1686" s="2">
        <v>1148.0319999999999</v>
      </c>
      <c r="D1686" s="2">
        <f>HYPERLINK("http://mcb-m6.bioreg.kyushu-u.ac.jp/M3/20110418/F50997/3223/1", 64.53)</f>
        <v>64.53</v>
      </c>
      <c r="E1686" s="2">
        <v>54.13</v>
      </c>
      <c r="F1686" s="2">
        <v>2</v>
      </c>
      <c r="G1686" s="2" t="s">
        <v>12</v>
      </c>
    </row>
    <row r="1687" spans="1:8" x14ac:dyDescent="0.2">
      <c r="A1687" s="2" t="s">
        <v>3343</v>
      </c>
      <c r="B1687" s="2" t="s">
        <v>546</v>
      </c>
      <c r="C1687" s="2">
        <v>664.82669999999996</v>
      </c>
      <c r="D1687" s="2">
        <f>HYPERLINK("http://mcb-m6.bioreg.kyushu-u.ac.jp/M3/20110418/F50997/1674/2", 65.4)</f>
        <v>65.400000000000006</v>
      </c>
      <c r="E1687" s="2">
        <v>49.49</v>
      </c>
      <c r="F1687" s="2">
        <v>2</v>
      </c>
      <c r="G1687" s="2" t="s">
        <v>12</v>
      </c>
    </row>
    <row r="1688" spans="1:8" x14ac:dyDescent="0.2">
      <c r="A1688" s="2" t="s">
        <v>3343</v>
      </c>
      <c r="B1688" s="2" t="s">
        <v>509</v>
      </c>
      <c r="C1688" s="2">
        <v>717.30970000000002</v>
      </c>
      <c r="D1688" s="2">
        <f>HYPERLINK("http://mcb-m6.bioreg.kyushu-u.ac.jp/M3/20110418/F50997/1892/1", 65.51)</f>
        <v>65.510000000000005</v>
      </c>
      <c r="E1688" s="2">
        <v>48.59</v>
      </c>
      <c r="F1688" s="2">
        <v>2</v>
      </c>
      <c r="G1688" s="2" t="s">
        <v>12</v>
      </c>
    </row>
    <row r="1689" spans="1:8" x14ac:dyDescent="0.2">
      <c r="A1689" s="2" t="s">
        <v>3343</v>
      </c>
      <c r="B1689" s="2" t="s">
        <v>328</v>
      </c>
      <c r="C1689" s="2">
        <v>573.70719999999994</v>
      </c>
      <c r="D1689" s="2">
        <f>HYPERLINK("http://mcb-m6.bioreg.kyushu-u.ac.jp/M3/20110418/F50997/1380/1", 65.86)</f>
        <v>65.86</v>
      </c>
      <c r="E1689" s="2">
        <v>25.39</v>
      </c>
      <c r="F1689" s="2">
        <v>2</v>
      </c>
      <c r="G1689" s="2" t="s">
        <v>12</v>
      </c>
    </row>
    <row r="1690" spans="1:8" x14ac:dyDescent="0.2">
      <c r="A1690" s="2" t="s">
        <v>3343</v>
      </c>
      <c r="B1690" s="2" t="s">
        <v>325</v>
      </c>
      <c r="C1690" s="2">
        <v>1494.5609999999999</v>
      </c>
      <c r="D1690" s="2">
        <f>HYPERLINK("http://mcb-m6.bioreg.kyushu-u.ac.jp/M3/20110418/F50997/2046/1", 66.26)</f>
        <v>66.260000000000005</v>
      </c>
      <c r="E1690" s="2">
        <v>53.13</v>
      </c>
      <c r="F1690" s="2">
        <v>1</v>
      </c>
      <c r="G1690" s="2" t="s">
        <v>12</v>
      </c>
      <c r="H1690" s="2" t="s">
        <v>4925</v>
      </c>
    </row>
    <row r="1691" spans="1:8" x14ac:dyDescent="0.2">
      <c r="A1691" s="2" t="s">
        <v>3343</v>
      </c>
      <c r="B1691" s="2" t="s">
        <v>344</v>
      </c>
      <c r="C1691" s="2">
        <v>919.18960000000004</v>
      </c>
      <c r="D1691" s="2">
        <f>HYPERLINK("http://mcb-m6.bioreg.kyushu-u.ac.jp/M3/20110418/F50997/2650/1", 67.06)</f>
        <v>67.06</v>
      </c>
      <c r="E1691" s="2">
        <v>50.65</v>
      </c>
      <c r="F1691" s="2">
        <v>2</v>
      </c>
      <c r="G1691" s="2" t="s">
        <v>12</v>
      </c>
    </row>
    <row r="1692" spans="1:8" x14ac:dyDescent="0.2">
      <c r="A1692" s="2" t="s">
        <v>3343</v>
      </c>
      <c r="B1692" s="2" t="s">
        <v>546</v>
      </c>
      <c r="C1692" s="2">
        <v>664.81370000000004</v>
      </c>
      <c r="D1692" s="2">
        <f>HYPERLINK("http://mcb-m6.bioreg.kyushu-u.ac.jp/M3/20110418/F50984/1918/2", 68.76)</f>
        <v>68.760000000000005</v>
      </c>
      <c r="E1692" s="2">
        <v>53.74</v>
      </c>
      <c r="F1692" s="2">
        <v>2</v>
      </c>
      <c r="G1692" s="2" t="s">
        <v>12</v>
      </c>
    </row>
    <row r="1693" spans="1:8" x14ac:dyDescent="0.2">
      <c r="A1693" s="2" t="s">
        <v>3343</v>
      </c>
      <c r="B1693" s="2" t="s">
        <v>344</v>
      </c>
      <c r="C1693" s="2">
        <v>613.57889999999998</v>
      </c>
      <c r="D1693" s="2">
        <f>HYPERLINK("http://mcb-m6.bioreg.kyushu-u.ac.jp/M3/20110418/F50997/2659/1", 70.02)</f>
        <v>70.02</v>
      </c>
      <c r="E1693" s="2">
        <v>49.52</v>
      </c>
      <c r="F1693" s="2">
        <v>3</v>
      </c>
      <c r="G1693" s="2" t="s">
        <v>12</v>
      </c>
    </row>
    <row r="1694" spans="1:8" x14ac:dyDescent="0.2">
      <c r="A1694" s="2" t="s">
        <v>3343</v>
      </c>
      <c r="B1694" s="2" t="s">
        <v>132</v>
      </c>
      <c r="C1694" s="2">
        <v>578.21469999999999</v>
      </c>
      <c r="D1694" s="2">
        <f>HYPERLINK("http://mcb-m6.bioreg.kyushu-u.ac.jp/M3/20110418/F50997/1394/1", 70.26)</f>
        <v>70.260000000000005</v>
      </c>
      <c r="E1694" s="2">
        <v>35.869999999999997</v>
      </c>
      <c r="F1694" s="2">
        <v>2</v>
      </c>
      <c r="G1694" s="2" t="s">
        <v>12</v>
      </c>
    </row>
    <row r="1695" spans="1:8" x14ac:dyDescent="0.2">
      <c r="A1695" s="2" t="s">
        <v>3343</v>
      </c>
      <c r="B1695" s="2" t="s">
        <v>325</v>
      </c>
      <c r="C1695" s="2">
        <v>747.42570000000001</v>
      </c>
      <c r="D1695" s="2">
        <f>HYPERLINK("http://mcb-m6.bioreg.kyushu-u.ac.jp/M3/20110418/F50997/2043/1", 71.32)</f>
        <v>71.319999999999993</v>
      </c>
      <c r="E1695" s="2">
        <v>55.83</v>
      </c>
      <c r="F1695" s="2">
        <v>2</v>
      </c>
      <c r="G1695" s="2" t="s">
        <v>12</v>
      </c>
      <c r="H1695" s="2" t="s">
        <v>4925</v>
      </c>
    </row>
    <row r="1696" spans="1:8" x14ac:dyDescent="0.2">
      <c r="A1696" s="2" t="s">
        <v>3343</v>
      </c>
      <c r="B1696" s="2" t="s">
        <v>509</v>
      </c>
      <c r="C1696" s="2">
        <v>725.55319999999995</v>
      </c>
      <c r="D1696" s="2">
        <f>HYPERLINK("http://mcb-m6.bioreg.kyushu-u.ac.jp/M3/20110418/F50997/1931/1", 72.04)</f>
        <v>72.040000000000006</v>
      </c>
      <c r="E1696" s="2">
        <v>58.15</v>
      </c>
      <c r="F1696" s="2">
        <v>2</v>
      </c>
      <c r="G1696" s="2" t="s">
        <v>12</v>
      </c>
      <c r="H1696" s="2" t="s">
        <v>4927</v>
      </c>
    </row>
    <row r="1697" spans="1:7" x14ac:dyDescent="0.2">
      <c r="A1697" s="2" t="s">
        <v>3343</v>
      </c>
      <c r="B1697" s="2" t="s">
        <v>1189</v>
      </c>
      <c r="C1697" s="2">
        <v>1069.827</v>
      </c>
      <c r="D1697" s="2">
        <f>HYPERLINK("http://mcb-m6.bioreg.kyushu-u.ac.jp/M3/20110418/F50997/3019/1", 72.13)</f>
        <v>72.13</v>
      </c>
      <c r="E1697" s="2">
        <v>60.25</v>
      </c>
      <c r="F1697" s="2">
        <v>2</v>
      </c>
      <c r="G1697" s="2" t="s">
        <v>12</v>
      </c>
    </row>
    <row r="1698" spans="1:7" x14ac:dyDescent="0.2">
      <c r="A1698" s="2" t="s">
        <v>3343</v>
      </c>
      <c r="B1698" s="2" t="s">
        <v>1002</v>
      </c>
      <c r="C1698" s="2">
        <v>1147.43</v>
      </c>
      <c r="D1698" s="2">
        <f>HYPERLINK("http://mcb-m6.bioreg.kyushu-u.ac.jp/M3/20110418/F50997/3212/1", 72.38)</f>
        <v>72.38</v>
      </c>
      <c r="E1698" s="2">
        <v>61.79</v>
      </c>
      <c r="F1698" s="2">
        <v>2</v>
      </c>
      <c r="G1698" s="2" t="s">
        <v>12</v>
      </c>
    </row>
    <row r="1699" spans="1:7" x14ac:dyDescent="0.2">
      <c r="A1699" s="2" t="s">
        <v>3343</v>
      </c>
      <c r="B1699" s="2" t="s">
        <v>325</v>
      </c>
      <c r="C1699" s="2">
        <v>739.1481</v>
      </c>
      <c r="D1699" s="2">
        <f>HYPERLINK("http://mcb-m6.bioreg.kyushu-u.ac.jp/M3/20110418/F50997/1995/1", 73.03)</f>
        <v>73.03</v>
      </c>
      <c r="E1699" s="2">
        <v>62.59</v>
      </c>
      <c r="F1699" s="2">
        <v>2</v>
      </c>
      <c r="G1699" s="2" t="s">
        <v>12</v>
      </c>
    </row>
    <row r="1700" spans="1:7" x14ac:dyDescent="0.2">
      <c r="A1700" s="2" t="s">
        <v>3343</v>
      </c>
      <c r="B1700" s="2" t="s">
        <v>1002</v>
      </c>
      <c r="C1700" s="2">
        <v>1148.018</v>
      </c>
      <c r="D1700" s="2">
        <f>HYPERLINK("http://mcb-m6.bioreg.kyushu-u.ac.jp/M3/20110418/F50997/3222/1", 73.17)</f>
        <v>73.17</v>
      </c>
      <c r="E1700" s="2">
        <v>61.01</v>
      </c>
      <c r="F1700" s="2">
        <v>2</v>
      </c>
      <c r="G1700" s="2" t="s">
        <v>12</v>
      </c>
    </row>
    <row r="1701" spans="1:7" x14ac:dyDescent="0.2">
      <c r="A1701" s="2" t="s">
        <v>3343</v>
      </c>
      <c r="B1701" s="2" t="s">
        <v>344</v>
      </c>
      <c r="C1701" s="2">
        <v>919.37459999999999</v>
      </c>
      <c r="D1701" s="2">
        <f>HYPERLINK("http://mcb-m6.bioreg.kyushu-u.ac.jp/M3/20110418/F50997/2654/1", 73.32)</f>
        <v>73.319999999999993</v>
      </c>
      <c r="E1701" s="2">
        <v>50.23</v>
      </c>
      <c r="F1701" s="2">
        <v>2</v>
      </c>
      <c r="G1701" s="2" t="s">
        <v>12</v>
      </c>
    </row>
    <row r="1702" spans="1:7" x14ac:dyDescent="0.2">
      <c r="A1702" s="2" t="s">
        <v>3343</v>
      </c>
      <c r="B1702" s="2" t="s">
        <v>1002</v>
      </c>
      <c r="C1702" s="2">
        <v>1147.9359999999999</v>
      </c>
      <c r="D1702" s="2">
        <f>HYPERLINK("http://mcb-m6.bioreg.kyushu-u.ac.jp/M3/20110418/F50997/3221/1", 74.44)</f>
        <v>74.44</v>
      </c>
      <c r="E1702" s="2">
        <v>67.459999999999994</v>
      </c>
      <c r="F1702" s="2">
        <v>2</v>
      </c>
      <c r="G1702" s="2" t="s">
        <v>12</v>
      </c>
    </row>
    <row r="1703" spans="1:7" x14ac:dyDescent="0.2">
      <c r="A1703" s="2" t="s">
        <v>3343</v>
      </c>
      <c r="B1703" s="2" t="s">
        <v>1189</v>
      </c>
      <c r="C1703" s="2">
        <v>1069.876</v>
      </c>
      <c r="D1703" s="2">
        <f>HYPERLINK("http://mcb-m6.bioreg.kyushu-u.ac.jp/M3/20110418/F50984/2603/1", 74.59)</f>
        <v>74.59</v>
      </c>
      <c r="E1703" s="2">
        <v>61.75</v>
      </c>
      <c r="F1703" s="2">
        <v>2</v>
      </c>
      <c r="G1703" s="2" t="s">
        <v>12</v>
      </c>
    </row>
    <row r="1704" spans="1:7" x14ac:dyDescent="0.2">
      <c r="A1704" s="2" t="s">
        <v>3343</v>
      </c>
      <c r="B1704" s="2" t="s">
        <v>558</v>
      </c>
      <c r="C1704" s="2">
        <v>729.29359999999997</v>
      </c>
      <c r="D1704" s="2">
        <f>HYPERLINK("http://mcb-m6.bioreg.kyushu-u.ac.jp/M3/20110418/F50997/1945/1", 74.66)</f>
        <v>74.66</v>
      </c>
      <c r="E1704" s="2">
        <v>62.49</v>
      </c>
      <c r="F1704" s="2">
        <v>2</v>
      </c>
      <c r="G1704" s="2" t="s">
        <v>12</v>
      </c>
    </row>
    <row r="1705" spans="1:7" x14ac:dyDescent="0.2">
      <c r="A1705" s="2" t="s">
        <v>3343</v>
      </c>
      <c r="B1705" s="2" t="s">
        <v>546</v>
      </c>
      <c r="C1705" s="2">
        <v>664.7817</v>
      </c>
      <c r="D1705" s="2">
        <f>HYPERLINK("http://mcb-m6.bioreg.kyushu-u.ac.jp/M3/20110418/F50997/1672/2", 74.87)</f>
        <v>74.87</v>
      </c>
      <c r="E1705" s="2">
        <v>59.51</v>
      </c>
      <c r="F1705" s="2">
        <v>2</v>
      </c>
      <c r="G1705" s="2" t="s">
        <v>12</v>
      </c>
    </row>
    <row r="1706" spans="1:7" x14ac:dyDescent="0.2">
      <c r="A1706" s="2" t="s">
        <v>3343</v>
      </c>
      <c r="B1706" s="2" t="s">
        <v>546</v>
      </c>
      <c r="C1706" s="2">
        <v>664.76070000000004</v>
      </c>
      <c r="D1706" s="2">
        <f>HYPERLINK("http://mcb-m6.bioreg.kyushu-u.ac.jp/M3/20110418/F50997/1670/2", 75.46)</f>
        <v>75.459999999999994</v>
      </c>
      <c r="E1706" s="2">
        <v>57.47</v>
      </c>
      <c r="F1706" s="2">
        <v>2</v>
      </c>
      <c r="G1706" s="2" t="s">
        <v>12</v>
      </c>
    </row>
    <row r="1707" spans="1:7" x14ac:dyDescent="0.2">
      <c r="A1707" s="2" t="s">
        <v>3343</v>
      </c>
      <c r="B1707" s="2" t="s">
        <v>1002</v>
      </c>
      <c r="C1707" s="2">
        <v>1147.7</v>
      </c>
      <c r="D1707" s="2">
        <f>HYPERLINK("http://mcb-m6.bioreg.kyushu-u.ac.jp/M3/20110418/F50997/3220/1", 75.81)</f>
        <v>75.81</v>
      </c>
      <c r="E1707" s="2">
        <v>61.61</v>
      </c>
      <c r="F1707" s="2">
        <v>2</v>
      </c>
      <c r="G1707" s="2" t="s">
        <v>12</v>
      </c>
    </row>
    <row r="1708" spans="1:7" x14ac:dyDescent="0.2">
      <c r="A1708" s="2" t="s">
        <v>3343</v>
      </c>
      <c r="B1708" s="2" t="s">
        <v>344</v>
      </c>
      <c r="C1708" s="2">
        <v>919.24620000000004</v>
      </c>
      <c r="D1708" s="2">
        <f>HYPERLINK("http://mcb-m6.bioreg.kyushu-u.ac.jp/M3/20110418/F50997/2651/1", 76.52)</f>
        <v>76.52</v>
      </c>
      <c r="E1708" s="2">
        <v>43.8</v>
      </c>
      <c r="F1708" s="2">
        <v>2</v>
      </c>
      <c r="G1708" s="2" t="s">
        <v>12</v>
      </c>
    </row>
    <row r="1709" spans="1:7" x14ac:dyDescent="0.2">
      <c r="A1709" s="2" t="s">
        <v>3343</v>
      </c>
      <c r="B1709" s="2" t="s">
        <v>546</v>
      </c>
      <c r="C1709" s="2">
        <v>664.82510000000002</v>
      </c>
      <c r="D1709" s="2">
        <f>HYPERLINK("http://mcb-m6.bioreg.kyushu-u.ac.jp/M3/20110418/F50997/1673/2", 76.89)</f>
        <v>76.89</v>
      </c>
      <c r="E1709" s="2">
        <v>62.71</v>
      </c>
      <c r="F1709" s="2">
        <v>2</v>
      </c>
      <c r="G1709" s="2" t="s">
        <v>12</v>
      </c>
    </row>
    <row r="1710" spans="1:7" x14ac:dyDescent="0.2">
      <c r="A1710" s="2" t="s">
        <v>3343</v>
      </c>
      <c r="B1710" s="2" t="s">
        <v>344</v>
      </c>
      <c r="C1710" s="2">
        <v>919.34469999999999</v>
      </c>
      <c r="D1710" s="2">
        <f>HYPERLINK("http://mcb-m6.bioreg.kyushu-u.ac.jp/M3/20110418/F50997/2652/1", 77.57)</f>
        <v>77.569999999999993</v>
      </c>
      <c r="E1710" s="2">
        <v>51.46</v>
      </c>
      <c r="F1710" s="2">
        <v>2</v>
      </c>
      <c r="G1710" s="2" t="s">
        <v>12</v>
      </c>
    </row>
    <row r="1711" spans="1:7" x14ac:dyDescent="0.2">
      <c r="A1711" s="2" t="s">
        <v>3343</v>
      </c>
      <c r="B1711" s="2" t="s">
        <v>546</v>
      </c>
      <c r="C1711" s="2">
        <v>664.72559999999999</v>
      </c>
      <c r="D1711" s="2">
        <f>HYPERLINK("http://mcb-m6.bioreg.kyushu-u.ac.jp/M3/20110418/F50997/1666/2", 78.19)</f>
        <v>78.19</v>
      </c>
      <c r="E1711" s="2">
        <v>54.9</v>
      </c>
      <c r="F1711" s="2">
        <v>2</v>
      </c>
      <c r="G1711" s="2" t="s">
        <v>12</v>
      </c>
    </row>
    <row r="1712" spans="1:7" x14ac:dyDescent="0.2">
      <c r="A1712" s="2" t="s">
        <v>3343</v>
      </c>
      <c r="B1712" s="2" t="s">
        <v>132</v>
      </c>
      <c r="C1712" s="2">
        <v>578.23469999999998</v>
      </c>
      <c r="D1712" s="2">
        <f>HYPERLINK("http://mcb-m6.bioreg.kyushu-u.ac.jp/M3/20110418/F50997/1395/1", 78.33)</f>
        <v>78.33</v>
      </c>
      <c r="E1712" s="2">
        <v>42.65</v>
      </c>
      <c r="F1712" s="2">
        <v>2</v>
      </c>
      <c r="G1712" s="2" t="s">
        <v>12</v>
      </c>
    </row>
    <row r="1713" spans="1:8" x14ac:dyDescent="0.2">
      <c r="A1713" s="2" t="s">
        <v>3343</v>
      </c>
      <c r="B1713" s="2" t="s">
        <v>558</v>
      </c>
      <c r="C1713" s="2">
        <v>729.37220000000002</v>
      </c>
      <c r="D1713" s="2">
        <f>HYPERLINK("http://mcb-m6.bioreg.kyushu-u.ac.jp/M3/20110418/F50997/1946/1", 78.53)</f>
        <v>78.53</v>
      </c>
      <c r="E1713" s="2">
        <v>64.78</v>
      </c>
      <c r="F1713" s="2">
        <v>2</v>
      </c>
      <c r="G1713" s="2" t="s">
        <v>12</v>
      </c>
    </row>
    <row r="1714" spans="1:8" x14ac:dyDescent="0.2">
      <c r="A1714" s="2" t="s">
        <v>3343</v>
      </c>
      <c r="B1714" s="2" t="s">
        <v>509</v>
      </c>
      <c r="C1714" s="2">
        <v>725.29470000000003</v>
      </c>
      <c r="D1714" s="2">
        <f>HYPERLINK("http://mcb-m6.bioreg.kyushu-u.ac.jp/M3/20110418/F50997/1926/1", 78.64)</f>
        <v>78.64</v>
      </c>
      <c r="E1714" s="2">
        <v>62.23</v>
      </c>
      <c r="F1714" s="2">
        <v>2</v>
      </c>
      <c r="G1714" s="2" t="s">
        <v>12</v>
      </c>
      <c r="H1714" s="2" t="s">
        <v>4927</v>
      </c>
    </row>
    <row r="1715" spans="1:8" x14ac:dyDescent="0.2">
      <c r="A1715" s="2" t="s">
        <v>3343</v>
      </c>
      <c r="B1715" s="2" t="s">
        <v>546</v>
      </c>
      <c r="C1715" s="2">
        <v>664.74770000000001</v>
      </c>
      <c r="D1715" s="2">
        <f>HYPERLINK("http://mcb-m6.bioreg.kyushu-u.ac.jp/M3/20110418/F50997/1668/2", 78.69)</f>
        <v>78.69</v>
      </c>
      <c r="E1715" s="2">
        <v>66.989999999999995</v>
      </c>
      <c r="F1715" s="2">
        <v>2</v>
      </c>
      <c r="G1715" s="2" t="s">
        <v>12</v>
      </c>
    </row>
    <row r="1716" spans="1:8" x14ac:dyDescent="0.2">
      <c r="A1716" s="2" t="s">
        <v>3343</v>
      </c>
      <c r="B1716" s="2" t="s">
        <v>509</v>
      </c>
      <c r="C1716" s="2">
        <v>725.54520000000002</v>
      </c>
      <c r="D1716" s="2">
        <f>HYPERLINK("http://mcb-m6.bioreg.kyushu-u.ac.jp/M3/20110418/F50997/1930/1", 79.04)</f>
        <v>79.040000000000006</v>
      </c>
      <c r="E1716" s="2">
        <v>61.58</v>
      </c>
      <c r="F1716" s="2">
        <v>2</v>
      </c>
      <c r="G1716" s="2" t="s">
        <v>12</v>
      </c>
      <c r="H1716" s="2" t="s">
        <v>4927</v>
      </c>
    </row>
    <row r="1717" spans="1:8" x14ac:dyDescent="0.2">
      <c r="A1717" s="2" t="s">
        <v>3343</v>
      </c>
      <c r="B1717" s="2" t="s">
        <v>325</v>
      </c>
      <c r="C1717" s="2">
        <v>1493.5940000000001</v>
      </c>
      <c r="D1717" s="2">
        <f>HYPERLINK("http://mcb-m6.bioreg.kyushu-u.ac.jp/M3/20110418/F50997/2040/1", 79.91)</f>
        <v>79.91</v>
      </c>
      <c r="E1717" s="2">
        <v>69.39</v>
      </c>
      <c r="F1717" s="2">
        <v>1</v>
      </c>
      <c r="G1717" s="2" t="s">
        <v>12</v>
      </c>
      <c r="H1717" s="2" t="s">
        <v>4925</v>
      </c>
    </row>
    <row r="1718" spans="1:8" x14ac:dyDescent="0.2">
      <c r="A1718" s="2" t="s">
        <v>3343</v>
      </c>
      <c r="B1718" s="2" t="s">
        <v>325</v>
      </c>
      <c r="C1718" s="2">
        <v>1477.5530000000001</v>
      </c>
      <c r="D1718" s="2">
        <f>HYPERLINK("http://mcb-m6.bioreg.kyushu-u.ac.jp/M3/20110418/F50997/1999/1", 80.37)</f>
        <v>80.37</v>
      </c>
      <c r="E1718" s="2">
        <v>69.14</v>
      </c>
      <c r="F1718" s="2">
        <v>1</v>
      </c>
      <c r="G1718" s="2" t="s">
        <v>12</v>
      </c>
    </row>
    <row r="1719" spans="1:8" x14ac:dyDescent="0.2">
      <c r="A1719" s="2" t="s">
        <v>3343</v>
      </c>
      <c r="B1719" s="2" t="s">
        <v>344</v>
      </c>
      <c r="C1719" s="2">
        <v>919.79819999999995</v>
      </c>
      <c r="D1719" s="2">
        <f>HYPERLINK("http://mcb-m6.bioreg.kyushu-u.ac.jp/M3/20110418/F50997/2657/1", 80.91)</f>
        <v>80.91</v>
      </c>
      <c r="E1719" s="2">
        <v>57.02</v>
      </c>
      <c r="F1719" s="2">
        <v>2</v>
      </c>
      <c r="G1719" s="2" t="s">
        <v>12</v>
      </c>
    </row>
    <row r="1720" spans="1:8" x14ac:dyDescent="0.2">
      <c r="A1720" s="2" t="s">
        <v>3343</v>
      </c>
      <c r="B1720" s="2" t="s">
        <v>1002</v>
      </c>
      <c r="C1720" s="2">
        <v>1147.4760000000001</v>
      </c>
      <c r="D1720" s="2">
        <f>HYPERLINK("http://mcb-m6.bioreg.kyushu-u.ac.jp/M3/20110418/F50997/3215/1", 81.02)</f>
        <v>81.02</v>
      </c>
      <c r="E1720" s="2">
        <v>74.760000000000005</v>
      </c>
      <c r="F1720" s="2">
        <v>2</v>
      </c>
      <c r="G1720" s="2" t="s">
        <v>12</v>
      </c>
    </row>
    <row r="1721" spans="1:8" x14ac:dyDescent="0.2">
      <c r="A1721" s="2" t="s">
        <v>3343</v>
      </c>
      <c r="B1721" s="2" t="s">
        <v>546</v>
      </c>
      <c r="C1721" s="2">
        <v>664.75710000000004</v>
      </c>
      <c r="D1721" s="2">
        <f>HYPERLINK("http://mcb-m6.bioreg.kyushu-u.ac.jp/M3/20110418/F50997/1669/2", 82.37)</f>
        <v>82.37</v>
      </c>
      <c r="E1721" s="2">
        <v>66.75</v>
      </c>
      <c r="F1721" s="2">
        <v>2</v>
      </c>
      <c r="G1721" s="2" t="s">
        <v>12</v>
      </c>
    </row>
    <row r="1722" spans="1:8" x14ac:dyDescent="0.2">
      <c r="A1722" s="2" t="s">
        <v>3343</v>
      </c>
      <c r="B1722" s="2" t="s">
        <v>1032</v>
      </c>
      <c r="C1722" s="2">
        <v>1163.4000000000001</v>
      </c>
      <c r="D1722" s="2">
        <f>HYPERLINK("http://mcb-m6.bioreg.kyushu-u.ac.jp/M3/20110418/F50997/3279/1", 82.6)</f>
        <v>82.6</v>
      </c>
      <c r="E1722" s="2">
        <v>74.599999999999994</v>
      </c>
      <c r="F1722" s="2">
        <v>2</v>
      </c>
      <c r="G1722" s="2" t="s">
        <v>12</v>
      </c>
    </row>
    <row r="1723" spans="1:8" x14ac:dyDescent="0.2">
      <c r="A1723" s="2" t="s">
        <v>3343</v>
      </c>
      <c r="B1723" s="2" t="s">
        <v>1496</v>
      </c>
      <c r="C1723" s="2">
        <v>967.4357</v>
      </c>
      <c r="D1723" s="2">
        <f>HYPERLINK("http://mcb-m6.bioreg.kyushu-u.ac.jp/M3/20110418/F50997/2811/1", 82.84)</f>
        <v>82.84</v>
      </c>
      <c r="E1723" s="2">
        <v>61.66</v>
      </c>
      <c r="F1723" s="2">
        <v>2</v>
      </c>
      <c r="G1723" s="2" t="s">
        <v>12</v>
      </c>
    </row>
    <row r="1724" spans="1:8" x14ac:dyDescent="0.2">
      <c r="A1724" s="2" t="s">
        <v>3343</v>
      </c>
      <c r="B1724" s="2" t="s">
        <v>344</v>
      </c>
      <c r="C1724" s="2">
        <v>919.39869999999996</v>
      </c>
      <c r="D1724" s="2">
        <f>HYPERLINK("http://mcb-m6.bioreg.kyushu-u.ac.jp/M3/20110418/F50997/2655/1", 82.92)</f>
        <v>82.92</v>
      </c>
      <c r="E1724" s="2">
        <v>57.15</v>
      </c>
      <c r="F1724" s="2">
        <v>2</v>
      </c>
      <c r="G1724" s="2" t="s">
        <v>12</v>
      </c>
    </row>
    <row r="1725" spans="1:8" x14ac:dyDescent="0.2">
      <c r="A1725" s="2" t="s">
        <v>3343</v>
      </c>
      <c r="B1725" s="2" t="s">
        <v>1211</v>
      </c>
      <c r="C1725" s="2">
        <v>1161.4749999999999</v>
      </c>
      <c r="D1725" s="2">
        <f>HYPERLINK("http://mcb-m6.bioreg.kyushu-u.ac.jp/M3/20110418/F50997/3271/1", 83.16)</f>
        <v>83.16</v>
      </c>
      <c r="E1725" s="2">
        <v>58.29</v>
      </c>
      <c r="F1725" s="2">
        <v>2</v>
      </c>
      <c r="G1725" s="2" t="s">
        <v>12</v>
      </c>
      <c r="H1725" s="2" t="s">
        <v>4891</v>
      </c>
    </row>
    <row r="1726" spans="1:8" x14ac:dyDescent="0.2">
      <c r="A1726" s="2" t="s">
        <v>3343</v>
      </c>
      <c r="B1726" s="2" t="s">
        <v>1002</v>
      </c>
      <c r="C1726" s="2">
        <v>1147.4749999999999</v>
      </c>
      <c r="D1726" s="2">
        <f>HYPERLINK("http://mcb-m6.bioreg.kyushu-u.ac.jp/M3/20110418/F50997/3214/1", 83.27)</f>
        <v>83.27</v>
      </c>
      <c r="E1726" s="2">
        <v>71.59</v>
      </c>
      <c r="F1726" s="2">
        <v>2</v>
      </c>
      <c r="G1726" s="2" t="s">
        <v>12</v>
      </c>
    </row>
    <row r="1727" spans="1:8" x14ac:dyDescent="0.2">
      <c r="A1727" s="2" t="s">
        <v>3343</v>
      </c>
      <c r="B1727" s="2" t="s">
        <v>1002</v>
      </c>
      <c r="C1727" s="2">
        <v>1147.4159999999999</v>
      </c>
      <c r="D1727" s="2">
        <f>HYPERLINK("http://mcb-m6.bioreg.kyushu-u.ac.jp/M3/20110418/F50997/3210/1", 83.39)</f>
        <v>83.39</v>
      </c>
      <c r="E1727" s="2">
        <v>74.37</v>
      </c>
      <c r="F1727" s="2">
        <v>2</v>
      </c>
      <c r="G1727" s="2" t="s">
        <v>12</v>
      </c>
    </row>
    <row r="1728" spans="1:8" x14ac:dyDescent="0.2">
      <c r="A1728" s="2" t="s">
        <v>3343</v>
      </c>
      <c r="B1728" s="2" t="s">
        <v>344</v>
      </c>
      <c r="C1728" s="2">
        <v>919.37120000000004</v>
      </c>
      <c r="D1728" s="2">
        <f>HYPERLINK("http://mcb-m6.bioreg.kyushu-u.ac.jp/M3/20110418/F50997/2653/1", 84.39)</f>
        <v>84.39</v>
      </c>
      <c r="E1728" s="2">
        <v>50.2</v>
      </c>
      <c r="F1728" s="2">
        <v>2</v>
      </c>
      <c r="G1728" s="2" t="s">
        <v>12</v>
      </c>
    </row>
    <row r="1729" spans="1:8" x14ac:dyDescent="0.2">
      <c r="A1729" s="2" t="s">
        <v>3343</v>
      </c>
      <c r="B1729" s="2" t="s">
        <v>1002</v>
      </c>
      <c r="C1729" s="2">
        <v>1147.6120000000001</v>
      </c>
      <c r="D1729" s="2">
        <f>HYPERLINK("http://mcb-m6.bioreg.kyushu-u.ac.jp/M3/20110418/F50997/3219/1", 85.62)</f>
        <v>85.62</v>
      </c>
      <c r="E1729" s="2">
        <v>80.099999999999994</v>
      </c>
      <c r="F1729" s="2">
        <v>2</v>
      </c>
      <c r="G1729" s="2" t="s">
        <v>12</v>
      </c>
    </row>
    <row r="1730" spans="1:8" x14ac:dyDescent="0.2">
      <c r="A1730" s="2" t="s">
        <v>3343</v>
      </c>
      <c r="B1730" s="2" t="s">
        <v>546</v>
      </c>
      <c r="C1730" s="2">
        <v>664.67570000000001</v>
      </c>
      <c r="D1730" s="2">
        <f>HYPERLINK("http://mcb-m6.bioreg.kyushu-u.ac.jp/M3/20110418/F50997/1665/2", 88.18)</f>
        <v>88.18</v>
      </c>
      <c r="E1730" s="2">
        <v>70.2</v>
      </c>
      <c r="F1730" s="2">
        <v>2</v>
      </c>
      <c r="G1730" s="2" t="s">
        <v>12</v>
      </c>
    </row>
    <row r="1731" spans="1:8" x14ac:dyDescent="0.2">
      <c r="A1731" s="2" t="s">
        <v>3343</v>
      </c>
      <c r="B1731" s="2" t="s">
        <v>1002</v>
      </c>
      <c r="C1731" s="2">
        <v>1147.4169999999999</v>
      </c>
      <c r="D1731" s="2">
        <f>HYPERLINK("http://mcb-m6.bioreg.kyushu-u.ac.jp/M3/20110418/F50997/3211/1", 90.99)</f>
        <v>90.99</v>
      </c>
      <c r="E1731" s="2">
        <v>80.83</v>
      </c>
      <c r="F1731" s="2">
        <v>2</v>
      </c>
      <c r="G1731" s="2" t="s">
        <v>12</v>
      </c>
    </row>
    <row r="1732" spans="1:8" x14ac:dyDescent="0.2">
      <c r="A1732" s="2" t="s">
        <v>3343</v>
      </c>
      <c r="B1732" s="2" t="s">
        <v>1002</v>
      </c>
      <c r="C1732" s="2">
        <v>1147.498</v>
      </c>
      <c r="D1732" s="2">
        <f>HYPERLINK("http://mcb-m6.bioreg.kyushu-u.ac.jp/M3/20110418/F50997/3217/1", 92.53)</f>
        <v>92.53</v>
      </c>
      <c r="E1732" s="2">
        <v>82.75</v>
      </c>
      <c r="F1732" s="2">
        <v>2</v>
      </c>
      <c r="G1732" s="2" t="s">
        <v>12</v>
      </c>
    </row>
    <row r="1733" spans="1:8" x14ac:dyDescent="0.2">
      <c r="A1733" s="2" t="s">
        <v>3343</v>
      </c>
      <c r="B1733" s="2" t="s">
        <v>325</v>
      </c>
      <c r="C1733" s="2">
        <v>739.72519999999997</v>
      </c>
      <c r="D1733" s="2">
        <f>HYPERLINK("http://mcb-m6.bioreg.kyushu-u.ac.jp/M3/20110418/F50984/2084/1", 95.03)</f>
        <v>95.03</v>
      </c>
      <c r="E1733" s="2">
        <v>82.01</v>
      </c>
      <c r="F1733" s="2">
        <v>2</v>
      </c>
      <c r="G1733" s="2" t="s">
        <v>12</v>
      </c>
    </row>
    <row r="1734" spans="1:8" x14ac:dyDescent="0.2">
      <c r="A1734" s="2" t="s">
        <v>3343</v>
      </c>
      <c r="B1734" s="2" t="s">
        <v>325</v>
      </c>
      <c r="C1734" s="2">
        <v>747.31769999999995</v>
      </c>
      <c r="D1734" s="2">
        <f>HYPERLINK("http://mcb-m6.bioreg.kyushu-u.ac.jp/M3/20110418/F50997/2041/1", 96.92)</f>
        <v>96.92</v>
      </c>
      <c r="E1734" s="2">
        <v>82.33</v>
      </c>
      <c r="F1734" s="2">
        <v>2</v>
      </c>
      <c r="G1734" s="2" t="s">
        <v>12</v>
      </c>
      <c r="H1734" s="2" t="s">
        <v>4925</v>
      </c>
    </row>
    <row r="1735" spans="1:8" x14ac:dyDescent="0.2">
      <c r="A1735" s="2" t="s">
        <v>3343</v>
      </c>
      <c r="B1735" s="2" t="s">
        <v>1189</v>
      </c>
      <c r="C1735" s="2">
        <v>1069.8689999999999</v>
      </c>
      <c r="D1735" s="2">
        <f>HYPERLINK("http://mcb-m6.bioreg.kyushu-u.ac.jp/M3/20110418/F50997/3020/1", 101.15)</f>
        <v>101.15</v>
      </c>
      <c r="E1735" s="2">
        <v>87.51</v>
      </c>
      <c r="F1735" s="2">
        <v>2</v>
      </c>
      <c r="G1735" s="2" t="s">
        <v>12</v>
      </c>
    </row>
    <row r="1736" spans="1:8" x14ac:dyDescent="0.2">
      <c r="A1736" s="2" t="s">
        <v>3343</v>
      </c>
      <c r="B1736" s="2" t="s">
        <v>325</v>
      </c>
      <c r="C1736" s="2">
        <v>739.66470000000004</v>
      </c>
      <c r="D1736" s="2">
        <f>HYPERLINK("http://mcb-m6.bioreg.kyushu-u.ac.jp/M3/20110418/F50997/2000/1", 103.32)</f>
        <v>103.32</v>
      </c>
      <c r="E1736" s="2">
        <v>87.94</v>
      </c>
      <c r="F1736" s="2">
        <v>2</v>
      </c>
      <c r="G1736" s="2" t="s">
        <v>12</v>
      </c>
    </row>
    <row r="1737" spans="1:8" x14ac:dyDescent="0.2">
      <c r="A1737" s="2" t="s">
        <v>3343</v>
      </c>
      <c r="B1737" s="2" t="s">
        <v>325</v>
      </c>
      <c r="C1737" s="2">
        <v>739.24519999999995</v>
      </c>
      <c r="D1737" s="2">
        <f>HYPERLINK("http://mcb-m6.bioreg.kyushu-u.ac.jp/M3/20110418/F50997/1997/1", 104)</f>
        <v>104</v>
      </c>
      <c r="E1737" s="2">
        <v>85.87</v>
      </c>
      <c r="F1737" s="2">
        <v>2</v>
      </c>
      <c r="G1737" s="2" t="s">
        <v>12</v>
      </c>
    </row>
    <row r="1738" spans="1:8" x14ac:dyDescent="0.2">
      <c r="A1738" s="2" t="s">
        <v>3343</v>
      </c>
      <c r="B1738" s="2" t="s">
        <v>1032</v>
      </c>
      <c r="C1738" s="2">
        <v>1163.4649999999999</v>
      </c>
      <c r="D1738" s="2">
        <f>HYPERLINK("http://mcb-m6.bioreg.kyushu-u.ac.jp/M3/20110418/F50997/3280/1", 104.22)</f>
        <v>104.22</v>
      </c>
      <c r="E1738" s="2">
        <v>94.63</v>
      </c>
      <c r="F1738" s="2">
        <v>2</v>
      </c>
      <c r="G1738" s="2" t="s">
        <v>12</v>
      </c>
    </row>
    <row r="1739" spans="1:8" x14ac:dyDescent="0.2">
      <c r="A1739" s="2" t="s">
        <v>3343</v>
      </c>
      <c r="B1739" s="2" t="s">
        <v>1032</v>
      </c>
      <c r="C1739" s="2">
        <v>1163.962</v>
      </c>
      <c r="D1739" s="2">
        <f>HYPERLINK("http://mcb-m6.bioreg.kyushu-u.ac.jp/M3/20110418/F50997/3282/1", 111.81)</f>
        <v>111.81</v>
      </c>
      <c r="E1739" s="2">
        <v>97.64</v>
      </c>
      <c r="F1739" s="2">
        <v>2</v>
      </c>
      <c r="G1739" s="2" t="s">
        <v>12</v>
      </c>
    </row>
    <row r="1740" spans="1:8" x14ac:dyDescent="0.2">
      <c r="A1740" s="2" t="s">
        <v>3343</v>
      </c>
      <c r="B1740" s="2" t="s">
        <v>1189</v>
      </c>
      <c r="C1740" s="2">
        <v>1069.4090000000001</v>
      </c>
      <c r="D1740" s="2">
        <f>HYPERLINK("http://mcb-m6.bioreg.kyushu-u.ac.jp/M3/20110418/F50997/3017/1", 116.96)</f>
        <v>116.96</v>
      </c>
      <c r="E1740" s="2">
        <v>104.03</v>
      </c>
      <c r="F1740" s="2">
        <v>2</v>
      </c>
      <c r="G1740" s="2" t="s">
        <v>12</v>
      </c>
    </row>
    <row r="1741" spans="1:8" x14ac:dyDescent="0.2">
      <c r="A1741" s="2" t="s">
        <v>3343</v>
      </c>
      <c r="B1741" s="2" t="s">
        <v>1032</v>
      </c>
      <c r="C1741" s="2">
        <v>1163.375</v>
      </c>
      <c r="D1741" s="2">
        <f>HYPERLINK("http://mcb-m6.bioreg.kyushu-u.ac.jp/M3/20110418/F50997/3277/1", 117.85)</f>
        <v>117.85</v>
      </c>
      <c r="E1741" s="2">
        <v>103.42</v>
      </c>
      <c r="F1741" s="2">
        <v>2</v>
      </c>
      <c r="G1741" s="2" t="s">
        <v>12</v>
      </c>
    </row>
    <row r="1742" spans="1:8" x14ac:dyDescent="0.2">
      <c r="A1742" s="2" t="s">
        <v>3343</v>
      </c>
      <c r="B1742" s="2" t="s">
        <v>1189</v>
      </c>
      <c r="C1742" s="2">
        <v>1069.367</v>
      </c>
      <c r="D1742" s="2">
        <f>HYPERLINK("http://mcb-m6.bioreg.kyushu-u.ac.jp/M3/20110418/F50997/3016/1", 132.27)</f>
        <v>132.27000000000001</v>
      </c>
      <c r="E1742" s="2">
        <v>119.08</v>
      </c>
      <c r="F1742" s="2">
        <v>2</v>
      </c>
      <c r="G1742" s="2" t="s">
        <v>12</v>
      </c>
    </row>
    <row r="1743" spans="1:8" x14ac:dyDescent="0.2">
      <c r="A1743" s="2" t="s">
        <v>3343</v>
      </c>
      <c r="B1743" s="2" t="s">
        <v>509</v>
      </c>
      <c r="C1743" s="2">
        <v>709.26170000000002</v>
      </c>
      <c r="D1743" s="2">
        <f>HYPERLINK("http://mcb-m6.bioreg.kyushu-u.ac.jp/M3/20110429/F51153/1740/1", 35.49)</f>
        <v>35.49</v>
      </c>
      <c r="E1743" s="2">
        <v>20.05</v>
      </c>
      <c r="F1743" s="2">
        <v>2</v>
      </c>
      <c r="G1743" s="2" t="s">
        <v>13</v>
      </c>
      <c r="H1743" s="2" t="s">
        <v>4904</v>
      </c>
    </row>
    <row r="1744" spans="1:8" x14ac:dyDescent="0.2">
      <c r="A1744" s="2" t="s">
        <v>3343</v>
      </c>
      <c r="B1744" s="2" t="s">
        <v>210</v>
      </c>
      <c r="C1744" s="2">
        <v>1108.404</v>
      </c>
      <c r="D1744" s="2">
        <f>HYPERLINK("http://mcb-m6.bioreg.kyushu-u.ac.jp/M3/20110429/F51152/1076/1", 35.54)</f>
        <v>35.54</v>
      </c>
      <c r="E1744" s="2">
        <v>17.57</v>
      </c>
      <c r="F1744" s="2">
        <v>1</v>
      </c>
      <c r="G1744" s="2" t="s">
        <v>13</v>
      </c>
      <c r="H1744" s="2" t="s">
        <v>4910</v>
      </c>
    </row>
    <row r="1745" spans="1:8" x14ac:dyDescent="0.2">
      <c r="A1745" s="2" t="s">
        <v>3343</v>
      </c>
      <c r="B1745" s="2" t="s">
        <v>132</v>
      </c>
      <c r="C1745" s="2">
        <v>578.67110000000002</v>
      </c>
      <c r="D1745" s="2">
        <f>HYPERLINK("http://mcb-m6.bioreg.kyushu-u.ac.jp/M3/20110429/F51153/1053/1", 36.39)</f>
        <v>36.39</v>
      </c>
      <c r="E1745" s="2">
        <v>20.170000000000002</v>
      </c>
      <c r="F1745" s="2">
        <v>2</v>
      </c>
      <c r="G1745" s="2" t="s">
        <v>13</v>
      </c>
    </row>
    <row r="1746" spans="1:8" x14ac:dyDescent="0.2">
      <c r="A1746" s="2" t="s">
        <v>3343</v>
      </c>
      <c r="B1746" s="2" t="s">
        <v>943</v>
      </c>
      <c r="C1746" s="2">
        <v>506.64210000000003</v>
      </c>
      <c r="D1746" s="2">
        <f>HYPERLINK("http://mcb-m6.bioreg.kyushu-u.ac.jp/M3/20110429/F51152/856/1", 37.08)</f>
        <v>37.08</v>
      </c>
      <c r="E1746" s="2">
        <v>18.559999999999999</v>
      </c>
      <c r="F1746" s="2">
        <v>2</v>
      </c>
      <c r="G1746" s="2" t="s">
        <v>13</v>
      </c>
    </row>
    <row r="1747" spans="1:8" x14ac:dyDescent="0.2">
      <c r="A1747" s="2" t="s">
        <v>3343</v>
      </c>
      <c r="B1747" s="2" t="s">
        <v>428</v>
      </c>
      <c r="C1747" s="2">
        <v>902.42200000000003</v>
      </c>
      <c r="D1747" s="2">
        <f>HYPERLINK("http://mcb-m6.bioreg.kyushu-u.ac.jp/M3/20110429/F51152/655/1", 37.39)</f>
        <v>37.39</v>
      </c>
      <c r="E1747" s="2">
        <v>19.309999999999999</v>
      </c>
      <c r="F1747" s="2">
        <v>1</v>
      </c>
      <c r="G1747" s="2" t="s">
        <v>13</v>
      </c>
    </row>
    <row r="1748" spans="1:8" x14ac:dyDescent="0.2">
      <c r="A1748" s="2" t="s">
        <v>3343</v>
      </c>
      <c r="B1748" s="2" t="s">
        <v>1032</v>
      </c>
      <c r="C1748" s="2">
        <v>1163.694</v>
      </c>
      <c r="D1748" s="2">
        <f>HYPERLINK("http://mcb-m6.bioreg.kyushu-u.ac.jp/M3/20110429/F51154/3712/1", 37.41)</f>
        <v>37.409999999999997</v>
      </c>
      <c r="E1748" s="2">
        <v>30.3</v>
      </c>
      <c r="F1748" s="2">
        <v>2</v>
      </c>
      <c r="G1748" s="2" t="s">
        <v>13</v>
      </c>
    </row>
    <row r="1749" spans="1:8" x14ac:dyDescent="0.2">
      <c r="A1749" s="2" t="s">
        <v>3343</v>
      </c>
      <c r="B1749" s="2" t="s">
        <v>558</v>
      </c>
      <c r="C1749" s="2">
        <v>729.17020000000002</v>
      </c>
      <c r="D1749" s="2">
        <f>HYPERLINK("http://mcb-m6.bioreg.kyushu-u.ac.jp/M3/20110429/F51153/1862/1", 38)</f>
        <v>38</v>
      </c>
      <c r="E1749" s="2">
        <v>25.62</v>
      </c>
      <c r="F1749" s="2">
        <v>2</v>
      </c>
      <c r="G1749" s="2" t="s">
        <v>13</v>
      </c>
    </row>
    <row r="1750" spans="1:8" x14ac:dyDescent="0.2">
      <c r="A1750" s="2" t="s">
        <v>3343</v>
      </c>
      <c r="B1750" s="2" t="s">
        <v>1189</v>
      </c>
      <c r="C1750" s="2">
        <v>1069.886</v>
      </c>
      <c r="D1750" s="2">
        <f>HYPERLINK("http://mcb-m6.bioreg.kyushu-u.ac.jp/M3/20110429/F51157/3214/1", 39.28)</f>
        <v>39.28</v>
      </c>
      <c r="E1750" s="2">
        <v>29.56</v>
      </c>
      <c r="F1750" s="2">
        <v>2</v>
      </c>
      <c r="G1750" s="2" t="s">
        <v>13</v>
      </c>
    </row>
    <row r="1751" spans="1:8" x14ac:dyDescent="0.2">
      <c r="A1751" s="2" t="s">
        <v>3343</v>
      </c>
      <c r="B1751" s="2" t="s">
        <v>443</v>
      </c>
      <c r="C1751" s="2">
        <v>509.73660000000001</v>
      </c>
      <c r="D1751" s="2">
        <f>HYPERLINK("http://mcb-m6.bioreg.kyushu-u.ac.jp/M3/20110429/F51152/878/1", 39.31)</f>
        <v>39.31</v>
      </c>
      <c r="E1751" s="2">
        <v>15.76</v>
      </c>
      <c r="F1751" s="2">
        <v>2</v>
      </c>
      <c r="G1751" s="2" t="s">
        <v>13</v>
      </c>
    </row>
    <row r="1752" spans="1:8" x14ac:dyDescent="0.2">
      <c r="A1752" s="2" t="s">
        <v>3343</v>
      </c>
      <c r="B1752" s="2" t="s">
        <v>546</v>
      </c>
      <c r="C1752" s="2">
        <v>1328.528</v>
      </c>
      <c r="D1752" s="2">
        <f>HYPERLINK("http://mcb-m6.bioreg.kyushu-u.ac.jp/M3/20110429/F51152/1504/2", 39.39)</f>
        <v>39.39</v>
      </c>
      <c r="E1752" s="2">
        <v>27.83</v>
      </c>
      <c r="F1752" s="2">
        <v>1</v>
      </c>
      <c r="G1752" s="2" t="s">
        <v>13</v>
      </c>
    </row>
    <row r="1753" spans="1:8" x14ac:dyDescent="0.2">
      <c r="A1753" s="2" t="s">
        <v>3343</v>
      </c>
      <c r="B1753" s="2" t="s">
        <v>1002</v>
      </c>
      <c r="C1753" s="2">
        <v>765.66719999999998</v>
      </c>
      <c r="D1753" s="2">
        <f>HYPERLINK("http://mcb-m6.bioreg.kyushu-u.ac.jp/M3/20110429/F51152/3489/1", 39.45)</f>
        <v>39.450000000000003</v>
      </c>
      <c r="E1753" s="2">
        <v>26.53</v>
      </c>
      <c r="F1753" s="2">
        <v>3</v>
      </c>
      <c r="G1753" s="2" t="s">
        <v>13</v>
      </c>
    </row>
    <row r="1754" spans="1:8" x14ac:dyDescent="0.2">
      <c r="A1754" s="2" t="s">
        <v>3343</v>
      </c>
      <c r="B1754" s="2" t="s">
        <v>428</v>
      </c>
      <c r="C1754" s="2">
        <v>451.7681</v>
      </c>
      <c r="D1754" s="2">
        <f>HYPERLINK("http://mcb-m6.bioreg.kyushu-u.ac.jp/M3/20110429/F51153/381/1", 39.45)</f>
        <v>39.450000000000003</v>
      </c>
      <c r="E1754" s="2">
        <v>15.55</v>
      </c>
      <c r="F1754" s="2">
        <v>2</v>
      </c>
      <c r="G1754" s="2" t="s">
        <v>13</v>
      </c>
    </row>
    <row r="1755" spans="1:8" x14ac:dyDescent="0.2">
      <c r="A1755" s="2" t="s">
        <v>3343</v>
      </c>
      <c r="B1755" s="2" t="s">
        <v>428</v>
      </c>
      <c r="C1755" s="2">
        <v>451.74160000000001</v>
      </c>
      <c r="D1755" s="2">
        <f>HYPERLINK("http://mcb-m6.bioreg.kyushu-u.ac.jp/M3/20110429/F51152/658/1", 39.54)</f>
        <v>39.54</v>
      </c>
      <c r="E1755" s="2">
        <v>16.510000000000002</v>
      </c>
      <c r="F1755" s="2">
        <v>2</v>
      </c>
      <c r="G1755" s="2" t="s">
        <v>13</v>
      </c>
    </row>
    <row r="1756" spans="1:8" x14ac:dyDescent="0.2">
      <c r="A1756" s="2" t="s">
        <v>3343</v>
      </c>
      <c r="B1756" s="2" t="s">
        <v>210</v>
      </c>
      <c r="C1756" s="2">
        <v>546.64170000000001</v>
      </c>
      <c r="D1756" s="2">
        <f>HYPERLINK("http://mcb-m6.bioreg.kyushu-u.ac.jp/M3/20110429/F51152/1042/1", 39.66)</f>
        <v>39.659999999999997</v>
      </c>
      <c r="E1756" s="2">
        <v>17.78</v>
      </c>
      <c r="F1756" s="2">
        <v>2</v>
      </c>
      <c r="G1756" s="2" t="s">
        <v>13</v>
      </c>
    </row>
    <row r="1757" spans="1:8" x14ac:dyDescent="0.2">
      <c r="A1757" s="2" t="s">
        <v>3343</v>
      </c>
      <c r="B1757" s="2" t="s">
        <v>132</v>
      </c>
      <c r="C1757" s="2">
        <v>1155.54</v>
      </c>
      <c r="D1757" s="2">
        <f>HYPERLINK("http://mcb-m6.bioreg.kyushu-u.ac.jp/M3/20110429/F51152/1177/1", 39.85)</f>
        <v>39.85</v>
      </c>
      <c r="E1757" s="2">
        <v>21.44</v>
      </c>
      <c r="F1757" s="2">
        <v>1</v>
      </c>
      <c r="G1757" s="2" t="s">
        <v>13</v>
      </c>
    </row>
    <row r="1758" spans="1:8" x14ac:dyDescent="0.2">
      <c r="A1758" s="2" t="s">
        <v>3343</v>
      </c>
      <c r="B1758" s="2" t="s">
        <v>704</v>
      </c>
      <c r="C1758" s="2">
        <v>610.81920000000002</v>
      </c>
      <c r="D1758" s="2">
        <f>HYPERLINK("http://mcb-m6.bioreg.kyushu-u.ac.jp/M3/20110429/F51153/1218/1", 40.71)</f>
        <v>40.71</v>
      </c>
      <c r="E1758" s="2">
        <v>15.37</v>
      </c>
      <c r="F1758" s="2">
        <v>2</v>
      </c>
      <c r="G1758" s="2" t="s">
        <v>13</v>
      </c>
      <c r="H1758" s="2" t="s">
        <v>4908</v>
      </c>
    </row>
    <row r="1759" spans="1:8" x14ac:dyDescent="0.2">
      <c r="A1759" s="2" t="s">
        <v>3343</v>
      </c>
      <c r="B1759" s="2" t="s">
        <v>428</v>
      </c>
      <c r="C1759" s="2">
        <v>452.02609999999999</v>
      </c>
      <c r="D1759" s="2">
        <f>HYPERLINK("http://mcb-m6.bioreg.kyushu-u.ac.jp/M3/20110429/F51152/663/1", 40.73)</f>
        <v>40.729999999999997</v>
      </c>
      <c r="E1759" s="2">
        <v>16.440000000000001</v>
      </c>
      <c r="F1759" s="2">
        <v>2</v>
      </c>
      <c r="G1759" s="2" t="s">
        <v>13</v>
      </c>
    </row>
    <row r="1760" spans="1:8" x14ac:dyDescent="0.2">
      <c r="A1760" s="2" t="s">
        <v>3343</v>
      </c>
      <c r="B1760" s="2" t="s">
        <v>943</v>
      </c>
      <c r="C1760" s="2">
        <v>506.71859999999998</v>
      </c>
      <c r="D1760" s="2">
        <f>HYPERLINK("http://mcb-m6.bioreg.kyushu-u.ac.jp/M3/20110429/F51152/860/1", 40.74)</f>
        <v>40.74</v>
      </c>
      <c r="E1760" s="2">
        <v>22.07</v>
      </c>
      <c r="F1760" s="2">
        <v>2</v>
      </c>
      <c r="G1760" s="2" t="s">
        <v>13</v>
      </c>
    </row>
    <row r="1761" spans="1:8" x14ac:dyDescent="0.2">
      <c r="A1761" s="2" t="s">
        <v>3343</v>
      </c>
      <c r="B1761" s="2" t="s">
        <v>428</v>
      </c>
      <c r="C1761" s="2">
        <v>452.26060000000001</v>
      </c>
      <c r="D1761" s="2">
        <f>HYPERLINK("http://mcb-m6.bioreg.kyushu-u.ac.jp/M3/20110429/F51152/667/1", 40.84)</f>
        <v>40.840000000000003</v>
      </c>
      <c r="E1761" s="2">
        <v>19.53</v>
      </c>
      <c r="F1761" s="2">
        <v>2</v>
      </c>
      <c r="G1761" s="2" t="s">
        <v>13</v>
      </c>
    </row>
    <row r="1762" spans="1:8" x14ac:dyDescent="0.2">
      <c r="A1762" s="2" t="s">
        <v>3343</v>
      </c>
      <c r="B1762" s="2" t="s">
        <v>325</v>
      </c>
      <c r="C1762" s="2">
        <v>739.13959999999997</v>
      </c>
      <c r="D1762" s="2">
        <f>HYPERLINK("http://mcb-m6.bioreg.kyushu-u.ac.jp/M3/20110429/F51152/1933/1", 40.93)</f>
        <v>40.93</v>
      </c>
      <c r="E1762" s="2">
        <v>32.94</v>
      </c>
      <c r="F1762" s="2">
        <v>2</v>
      </c>
      <c r="G1762" s="2" t="s">
        <v>13</v>
      </c>
    </row>
    <row r="1763" spans="1:8" x14ac:dyDescent="0.2">
      <c r="A1763" s="2" t="s">
        <v>3343</v>
      </c>
      <c r="B1763" s="2" t="s">
        <v>704</v>
      </c>
      <c r="C1763" s="2">
        <v>610.87019999999995</v>
      </c>
      <c r="D1763" s="2">
        <f>HYPERLINK("http://mcb-m6.bioreg.kyushu-u.ac.jp/M3/20110429/F51149/1743/1", 41.21)</f>
        <v>41.21</v>
      </c>
      <c r="E1763" s="2">
        <v>13.61</v>
      </c>
      <c r="F1763" s="2">
        <v>2</v>
      </c>
      <c r="G1763" s="2" t="s">
        <v>13</v>
      </c>
      <c r="H1763" s="2" t="s">
        <v>4908</v>
      </c>
    </row>
    <row r="1764" spans="1:8" x14ac:dyDescent="0.2">
      <c r="A1764" s="2" t="s">
        <v>3343</v>
      </c>
      <c r="B1764" s="2" t="s">
        <v>344</v>
      </c>
      <c r="C1764" s="2">
        <v>919.26009999999997</v>
      </c>
      <c r="D1764" s="2">
        <f>HYPERLINK("http://mcb-m6.bioreg.kyushu-u.ac.jp/M3/20110429/F51154/2982/1", 41.45)</f>
        <v>41.45</v>
      </c>
      <c r="E1764" s="2">
        <v>32.31</v>
      </c>
      <c r="F1764" s="2">
        <v>2</v>
      </c>
      <c r="G1764" s="2" t="s">
        <v>13</v>
      </c>
    </row>
    <row r="1765" spans="1:8" x14ac:dyDescent="0.2">
      <c r="A1765" s="2" t="s">
        <v>3343</v>
      </c>
      <c r="B1765" s="2" t="s">
        <v>328</v>
      </c>
      <c r="C1765" s="2">
        <v>1146.414</v>
      </c>
      <c r="D1765" s="2">
        <f>HYPERLINK("http://mcb-m6.bioreg.kyushu-u.ac.jp/M3/20110429/F51152/1140/1", 42.33)</f>
        <v>42.33</v>
      </c>
      <c r="E1765" s="2">
        <v>12.4</v>
      </c>
      <c r="F1765" s="2">
        <v>1</v>
      </c>
      <c r="G1765" s="2" t="s">
        <v>13</v>
      </c>
    </row>
    <row r="1766" spans="1:8" x14ac:dyDescent="0.2">
      <c r="A1766" s="2" t="s">
        <v>3343</v>
      </c>
      <c r="B1766" s="2" t="s">
        <v>132</v>
      </c>
      <c r="C1766" s="2">
        <v>1155.4590000000001</v>
      </c>
      <c r="D1766" s="2">
        <f>HYPERLINK("http://mcb-m6.bioreg.kyushu-u.ac.jp/M3/20110429/F51153/1042/1", 42.79)</f>
        <v>42.79</v>
      </c>
      <c r="E1766" s="2">
        <v>19.82</v>
      </c>
      <c r="F1766" s="2">
        <v>1</v>
      </c>
      <c r="G1766" s="2" t="s">
        <v>13</v>
      </c>
    </row>
    <row r="1767" spans="1:8" x14ac:dyDescent="0.2">
      <c r="A1767" s="2" t="s">
        <v>3343</v>
      </c>
      <c r="B1767" s="2" t="s">
        <v>704</v>
      </c>
      <c r="C1767" s="2">
        <v>603.37270000000001</v>
      </c>
      <c r="D1767" s="2">
        <f>HYPERLINK("http://mcb-m6.bioreg.kyushu-u.ac.jp/M3/20110429/F51152/1300/1", 43.48)</f>
        <v>43.48</v>
      </c>
      <c r="E1767" s="2">
        <v>14.6</v>
      </c>
      <c r="F1767" s="2">
        <v>2</v>
      </c>
      <c r="G1767" s="2" t="s">
        <v>13</v>
      </c>
    </row>
    <row r="1768" spans="1:8" x14ac:dyDescent="0.2">
      <c r="A1768" s="2" t="s">
        <v>3343</v>
      </c>
      <c r="B1768" s="2" t="s">
        <v>704</v>
      </c>
      <c r="C1768" s="2">
        <v>603.22770000000003</v>
      </c>
      <c r="D1768" s="2">
        <f>HYPERLINK("http://mcb-m6.bioreg.kyushu-u.ac.jp/M3/20110429/F51154/1247/1", 43.67)</f>
        <v>43.67</v>
      </c>
      <c r="E1768" s="2">
        <v>16.07</v>
      </c>
      <c r="F1768" s="2">
        <v>2</v>
      </c>
      <c r="G1768" s="2" t="s">
        <v>13</v>
      </c>
    </row>
    <row r="1769" spans="1:8" x14ac:dyDescent="0.2">
      <c r="A1769" s="2" t="s">
        <v>3343</v>
      </c>
      <c r="B1769" s="2" t="s">
        <v>210</v>
      </c>
      <c r="C1769" s="2">
        <v>1092.327</v>
      </c>
      <c r="D1769" s="2">
        <f>HYPERLINK("http://mcb-m6.bioreg.kyushu-u.ac.jp/M3/20110429/F51152/1044/1", 43.94)</f>
        <v>43.94</v>
      </c>
      <c r="E1769" s="2">
        <v>21.75</v>
      </c>
      <c r="F1769" s="2">
        <v>1</v>
      </c>
      <c r="G1769" s="2" t="s">
        <v>13</v>
      </c>
    </row>
    <row r="1770" spans="1:8" x14ac:dyDescent="0.2">
      <c r="A1770" s="2" t="s">
        <v>3343</v>
      </c>
      <c r="B1770" s="2" t="s">
        <v>558</v>
      </c>
      <c r="C1770" s="2">
        <v>729.27009999999996</v>
      </c>
      <c r="D1770" s="2">
        <f>HYPERLINK("http://mcb-m6.bioreg.kyushu-u.ac.jp/M3/20110429/F51152/1875/1", 44.36)</f>
        <v>44.36</v>
      </c>
      <c r="E1770" s="2">
        <v>30.29</v>
      </c>
      <c r="F1770" s="2">
        <v>2</v>
      </c>
      <c r="G1770" s="2" t="s">
        <v>13</v>
      </c>
    </row>
    <row r="1771" spans="1:8" x14ac:dyDescent="0.2">
      <c r="A1771" s="2" t="s">
        <v>3343</v>
      </c>
      <c r="B1771" s="2" t="s">
        <v>132</v>
      </c>
      <c r="C1771" s="2">
        <v>1155.491</v>
      </c>
      <c r="D1771" s="2">
        <f>HYPERLINK("http://mcb-m6.bioreg.kyushu-u.ac.jp/M3/20110429/F51152/1173/1", 44.42)</f>
        <v>44.42</v>
      </c>
      <c r="E1771" s="2">
        <v>24.44</v>
      </c>
      <c r="F1771" s="2">
        <v>1</v>
      </c>
      <c r="G1771" s="2" t="s">
        <v>13</v>
      </c>
    </row>
    <row r="1772" spans="1:8" x14ac:dyDescent="0.2">
      <c r="A1772" s="2" t="s">
        <v>3343</v>
      </c>
      <c r="B1772" s="2" t="s">
        <v>704</v>
      </c>
      <c r="C1772" s="2">
        <v>610.68219999999997</v>
      </c>
      <c r="D1772" s="2">
        <f>HYPERLINK("http://mcb-m6.bioreg.kyushu-u.ac.jp/M3/20110429/F51152/1335/1", 44.58)</f>
        <v>44.58</v>
      </c>
      <c r="E1772" s="2">
        <v>18.11</v>
      </c>
      <c r="F1772" s="2">
        <v>2</v>
      </c>
      <c r="G1772" s="2" t="s">
        <v>13</v>
      </c>
      <c r="H1772" s="2" t="s">
        <v>4908</v>
      </c>
    </row>
    <row r="1773" spans="1:8" x14ac:dyDescent="0.2">
      <c r="A1773" s="2" t="s">
        <v>3343</v>
      </c>
      <c r="B1773" s="2" t="s">
        <v>546</v>
      </c>
      <c r="C1773" s="2">
        <v>665.27009999999996</v>
      </c>
      <c r="D1773" s="2">
        <f>HYPERLINK("http://mcb-m6.bioreg.kyushu-u.ac.jp/M3/20110429/F51153/1450/2", 44.85)</f>
        <v>44.85</v>
      </c>
      <c r="E1773" s="2">
        <v>31.48</v>
      </c>
      <c r="F1773" s="2">
        <v>2</v>
      </c>
      <c r="G1773" s="2" t="s">
        <v>13</v>
      </c>
    </row>
    <row r="1774" spans="1:8" x14ac:dyDescent="0.2">
      <c r="A1774" s="2" t="s">
        <v>3343</v>
      </c>
      <c r="B1774" s="2" t="s">
        <v>428</v>
      </c>
      <c r="C1774" s="2">
        <v>902.42700000000002</v>
      </c>
      <c r="D1774" s="2">
        <f>HYPERLINK("http://mcb-m6.bioreg.kyushu-u.ac.jp/M3/20110429/F51153/379/1", 46.46)</f>
        <v>46.46</v>
      </c>
      <c r="E1774" s="2">
        <v>23.72</v>
      </c>
      <c r="F1774" s="2">
        <v>1</v>
      </c>
      <c r="G1774" s="2" t="s">
        <v>13</v>
      </c>
    </row>
    <row r="1775" spans="1:8" x14ac:dyDescent="0.2">
      <c r="A1775" s="2" t="s">
        <v>3343</v>
      </c>
      <c r="B1775" s="2" t="s">
        <v>132</v>
      </c>
      <c r="C1775" s="2">
        <v>578.76919999999996</v>
      </c>
      <c r="D1775" s="2">
        <f>HYPERLINK("http://mcb-m6.bioreg.kyushu-u.ac.jp/M3/20110429/F51156/1248/1", 46.54)</f>
        <v>46.54</v>
      </c>
      <c r="E1775" s="2">
        <v>19.86</v>
      </c>
      <c r="F1775" s="2">
        <v>2</v>
      </c>
      <c r="G1775" s="2" t="s">
        <v>13</v>
      </c>
    </row>
    <row r="1776" spans="1:8" x14ac:dyDescent="0.2">
      <c r="A1776" s="2" t="s">
        <v>3343</v>
      </c>
      <c r="B1776" s="2" t="s">
        <v>1032</v>
      </c>
      <c r="C1776" s="2">
        <v>776.32119999999998</v>
      </c>
      <c r="D1776" s="2">
        <f>HYPERLINK("http://mcb-m6.bioreg.kyushu-u.ac.jp/M3/20110429/F51152/3556/1", 46.75)</f>
        <v>46.75</v>
      </c>
      <c r="E1776" s="2">
        <v>27.73</v>
      </c>
      <c r="F1776" s="2">
        <v>3</v>
      </c>
      <c r="G1776" s="2" t="s">
        <v>13</v>
      </c>
    </row>
    <row r="1777" spans="1:8" x14ac:dyDescent="0.2">
      <c r="A1777" s="2" t="s">
        <v>3343</v>
      </c>
      <c r="B1777" s="2" t="s">
        <v>704</v>
      </c>
      <c r="C1777" s="2">
        <v>602.88319999999999</v>
      </c>
      <c r="D1777" s="2">
        <f>HYPERLINK("http://mcb-m6.bioreg.kyushu-u.ac.jp/M3/20110429/F51157/1091/1", 46.84)</f>
        <v>46.84</v>
      </c>
      <c r="E1777" s="2">
        <v>17.600000000000001</v>
      </c>
      <c r="F1777" s="2">
        <v>2</v>
      </c>
      <c r="G1777" s="2" t="s">
        <v>13</v>
      </c>
    </row>
    <row r="1778" spans="1:8" x14ac:dyDescent="0.2">
      <c r="A1778" s="2" t="s">
        <v>3343</v>
      </c>
      <c r="B1778" s="2" t="s">
        <v>132</v>
      </c>
      <c r="C1778" s="2">
        <v>1155.48</v>
      </c>
      <c r="D1778" s="2">
        <f>HYPERLINK("http://mcb-m6.bioreg.kyushu-u.ac.jp/M3/20110429/F51152/1171/1", 48.07)</f>
        <v>48.07</v>
      </c>
      <c r="E1778" s="2">
        <v>25.13</v>
      </c>
      <c r="F1778" s="2">
        <v>1</v>
      </c>
      <c r="G1778" s="2" t="s">
        <v>13</v>
      </c>
    </row>
    <row r="1779" spans="1:8" x14ac:dyDescent="0.2">
      <c r="A1779" s="2" t="s">
        <v>3343</v>
      </c>
      <c r="B1779" s="2" t="s">
        <v>344</v>
      </c>
      <c r="C1779" s="2">
        <v>919.26570000000004</v>
      </c>
      <c r="D1779" s="2">
        <f>HYPERLINK("http://mcb-m6.bioreg.kyushu-u.ac.jp/M3/20110429/F51152/2862/1", 48.2)</f>
        <v>48.2</v>
      </c>
      <c r="E1779" s="2">
        <v>30.67</v>
      </c>
      <c r="F1779" s="2">
        <v>2</v>
      </c>
      <c r="G1779" s="2" t="s">
        <v>13</v>
      </c>
    </row>
    <row r="1780" spans="1:8" x14ac:dyDescent="0.2">
      <c r="A1780" s="2" t="s">
        <v>3343</v>
      </c>
      <c r="B1780" s="2" t="s">
        <v>428</v>
      </c>
      <c r="C1780" s="2">
        <v>452.24110000000002</v>
      </c>
      <c r="D1780" s="2">
        <f>HYPERLINK("http://mcb-m6.bioreg.kyushu-u.ac.jp/M3/20110429/F51152/666/1", 48.28)</f>
        <v>48.28</v>
      </c>
      <c r="E1780" s="2">
        <v>20.27</v>
      </c>
      <c r="F1780" s="2">
        <v>2</v>
      </c>
      <c r="G1780" s="2" t="s">
        <v>13</v>
      </c>
    </row>
    <row r="1781" spans="1:8" x14ac:dyDescent="0.2">
      <c r="A1781" s="2" t="s">
        <v>3343</v>
      </c>
      <c r="B1781" s="2" t="s">
        <v>428</v>
      </c>
      <c r="C1781" s="2">
        <v>451.3021</v>
      </c>
      <c r="D1781" s="2">
        <f>HYPERLINK("http://mcb-m6.bioreg.kyushu-u.ac.jp/M3/20110429/F51153/375/1", 48.3)</f>
        <v>48.3</v>
      </c>
      <c r="E1781" s="2">
        <v>24.29</v>
      </c>
      <c r="F1781" s="2">
        <v>2</v>
      </c>
      <c r="G1781" s="2" t="s">
        <v>13</v>
      </c>
    </row>
    <row r="1782" spans="1:8" x14ac:dyDescent="0.2">
      <c r="A1782" s="2" t="s">
        <v>3343</v>
      </c>
      <c r="B1782" s="2" t="s">
        <v>509</v>
      </c>
      <c r="C1782" s="2">
        <v>725.23770000000002</v>
      </c>
      <c r="D1782" s="2">
        <f>HYPERLINK("http://mcb-m6.bioreg.kyushu-u.ac.jp/M3/20110429/F51152/1857/1", 48.42)</f>
        <v>48.42</v>
      </c>
      <c r="E1782" s="2">
        <v>31.44</v>
      </c>
      <c r="F1782" s="2">
        <v>2</v>
      </c>
      <c r="G1782" s="2" t="s">
        <v>13</v>
      </c>
      <c r="H1782" s="2" t="s">
        <v>4927</v>
      </c>
    </row>
    <row r="1783" spans="1:8" x14ac:dyDescent="0.2">
      <c r="A1783" s="2" t="s">
        <v>3343</v>
      </c>
      <c r="B1783" s="2" t="s">
        <v>132</v>
      </c>
      <c r="C1783" s="2">
        <v>1155.5509999999999</v>
      </c>
      <c r="D1783" s="2">
        <f>HYPERLINK("http://mcb-m6.bioreg.kyushu-u.ac.jp/M3/20110429/F51157/938/1", 48.53)</f>
        <v>48.53</v>
      </c>
      <c r="E1783" s="2">
        <v>24.41</v>
      </c>
      <c r="F1783" s="2">
        <v>1</v>
      </c>
      <c r="G1783" s="2" t="s">
        <v>13</v>
      </c>
    </row>
    <row r="1784" spans="1:8" x14ac:dyDescent="0.2">
      <c r="A1784" s="2" t="s">
        <v>3343</v>
      </c>
      <c r="B1784" s="2" t="s">
        <v>509</v>
      </c>
      <c r="C1784" s="2">
        <v>717.88070000000005</v>
      </c>
      <c r="D1784" s="2">
        <f>HYPERLINK("http://mcb-m6.bioreg.kyushu-u.ac.jp/M3/20110429/F51153/1810/1", 48.55)</f>
        <v>48.55</v>
      </c>
      <c r="E1784" s="2">
        <v>35.78</v>
      </c>
      <c r="F1784" s="2">
        <v>2</v>
      </c>
      <c r="G1784" s="2" t="s">
        <v>13</v>
      </c>
    </row>
    <row r="1785" spans="1:8" x14ac:dyDescent="0.2">
      <c r="A1785" s="2" t="s">
        <v>3343</v>
      </c>
      <c r="B1785" s="2" t="s">
        <v>1189</v>
      </c>
      <c r="C1785" s="2">
        <v>1069.229</v>
      </c>
      <c r="D1785" s="2">
        <f>HYPERLINK("http://mcb-m6.bioreg.kyushu-u.ac.jp/M3/20110429/F51153/3720/1", 48.88)</f>
        <v>48.88</v>
      </c>
      <c r="E1785" s="2">
        <v>30.24</v>
      </c>
      <c r="F1785" s="2">
        <v>2</v>
      </c>
      <c r="G1785" s="2" t="s">
        <v>13</v>
      </c>
    </row>
    <row r="1786" spans="1:8" x14ac:dyDescent="0.2">
      <c r="A1786" s="2" t="s">
        <v>3343</v>
      </c>
      <c r="B1786" s="2" t="s">
        <v>428</v>
      </c>
      <c r="C1786" s="2">
        <v>451.72710000000001</v>
      </c>
      <c r="D1786" s="2">
        <f>HYPERLINK("http://mcb-m6.bioreg.kyushu-u.ac.jp/M3/20110429/F51152/657/1", 48.91)</f>
        <v>48.91</v>
      </c>
      <c r="E1786" s="2">
        <v>25.43</v>
      </c>
      <c r="F1786" s="2">
        <v>2</v>
      </c>
      <c r="G1786" s="2" t="s">
        <v>13</v>
      </c>
    </row>
    <row r="1787" spans="1:8" x14ac:dyDescent="0.2">
      <c r="A1787" s="2" t="s">
        <v>3343</v>
      </c>
      <c r="B1787" s="2" t="s">
        <v>509</v>
      </c>
      <c r="C1787" s="2">
        <v>717.25620000000004</v>
      </c>
      <c r="D1787" s="2">
        <f>HYPERLINK("http://mcb-m6.bioreg.kyushu-u.ac.jp/M3/20110429/F51152/1817/1", 48.99)</f>
        <v>48.99</v>
      </c>
      <c r="E1787" s="2">
        <v>37.61</v>
      </c>
      <c r="F1787" s="2">
        <v>2</v>
      </c>
      <c r="G1787" s="2" t="s">
        <v>13</v>
      </c>
    </row>
    <row r="1788" spans="1:8" x14ac:dyDescent="0.2">
      <c r="A1788" s="2" t="s">
        <v>3343</v>
      </c>
      <c r="B1788" s="2" t="s">
        <v>132</v>
      </c>
      <c r="C1788" s="2">
        <v>578.71119999999996</v>
      </c>
      <c r="D1788" s="2">
        <f>HYPERLINK("http://mcb-m6.bioreg.kyushu-u.ac.jp/M3/20110429/F51157/944/1", 49.27)</f>
        <v>49.27</v>
      </c>
      <c r="E1788" s="2">
        <v>28.83</v>
      </c>
      <c r="F1788" s="2">
        <v>2</v>
      </c>
      <c r="G1788" s="2" t="s">
        <v>13</v>
      </c>
    </row>
    <row r="1789" spans="1:8" x14ac:dyDescent="0.2">
      <c r="A1789" s="2" t="s">
        <v>3343</v>
      </c>
      <c r="B1789" s="2" t="s">
        <v>509</v>
      </c>
      <c r="C1789" s="2">
        <v>709.1952</v>
      </c>
      <c r="D1789" s="2">
        <f>HYPERLINK("http://mcb-m6.bioreg.kyushu-u.ac.jp/M3/20110429/F51157/1603/1", 49.51)</f>
        <v>49.51</v>
      </c>
      <c r="E1789" s="2">
        <v>30.62</v>
      </c>
      <c r="F1789" s="2">
        <v>2</v>
      </c>
      <c r="G1789" s="2" t="s">
        <v>13</v>
      </c>
      <c r="H1789" s="2" t="s">
        <v>4904</v>
      </c>
    </row>
    <row r="1790" spans="1:8" x14ac:dyDescent="0.2">
      <c r="A1790" s="2" t="s">
        <v>3343</v>
      </c>
      <c r="B1790" s="2" t="s">
        <v>1032</v>
      </c>
      <c r="C1790" s="2">
        <v>776.19889999999998</v>
      </c>
      <c r="D1790" s="2">
        <f>HYPERLINK("http://mcb-m6.bioreg.kyushu-u.ac.jp/M3/20110429/F51152/3554/1", 49.63)</f>
        <v>49.63</v>
      </c>
      <c r="E1790" s="2">
        <v>33.549999999999997</v>
      </c>
      <c r="F1790" s="2">
        <v>3</v>
      </c>
      <c r="G1790" s="2" t="s">
        <v>13</v>
      </c>
    </row>
    <row r="1791" spans="1:8" x14ac:dyDescent="0.2">
      <c r="A1791" s="2" t="s">
        <v>3343</v>
      </c>
      <c r="B1791" s="2" t="s">
        <v>558</v>
      </c>
      <c r="C1791" s="2">
        <v>729.45669999999996</v>
      </c>
      <c r="D1791" s="2">
        <f>HYPERLINK("http://mcb-m6.bioreg.kyushu-u.ac.jp/M3/20110429/F51153/1867/1", 49.65)</f>
        <v>49.65</v>
      </c>
      <c r="E1791" s="2">
        <v>30.33</v>
      </c>
      <c r="F1791" s="2">
        <v>2</v>
      </c>
      <c r="G1791" s="2" t="s">
        <v>13</v>
      </c>
    </row>
    <row r="1792" spans="1:8" x14ac:dyDescent="0.2">
      <c r="A1792" s="2" t="s">
        <v>3343</v>
      </c>
      <c r="B1792" s="2" t="s">
        <v>1002</v>
      </c>
      <c r="C1792" s="2">
        <v>1147.365</v>
      </c>
      <c r="D1792" s="2">
        <f>HYPERLINK("http://mcb-m6.bioreg.kyushu-u.ac.jp/M3/20110429/F51153/4001/1", 50.1)</f>
        <v>50.1</v>
      </c>
      <c r="E1792" s="2">
        <v>43.73</v>
      </c>
      <c r="F1792" s="2">
        <v>2</v>
      </c>
      <c r="G1792" s="2" t="s">
        <v>13</v>
      </c>
    </row>
    <row r="1793" spans="1:8" x14ac:dyDescent="0.2">
      <c r="A1793" s="2" t="s">
        <v>3343</v>
      </c>
      <c r="B1793" s="2" t="s">
        <v>704</v>
      </c>
      <c r="C1793" s="2">
        <v>611.40470000000005</v>
      </c>
      <c r="D1793" s="2">
        <f>HYPERLINK("http://mcb-m6.bioreg.kyushu-u.ac.jp/M3/20110429/F51157/1133/1", 50.61)</f>
        <v>50.61</v>
      </c>
      <c r="E1793" s="2">
        <v>19.68</v>
      </c>
      <c r="F1793" s="2">
        <v>2</v>
      </c>
      <c r="G1793" s="2" t="s">
        <v>13</v>
      </c>
      <c r="H1793" s="2" t="s">
        <v>4908</v>
      </c>
    </row>
    <row r="1794" spans="1:8" x14ac:dyDescent="0.2">
      <c r="A1794" s="2" t="s">
        <v>3343</v>
      </c>
      <c r="B1794" s="2" t="s">
        <v>1189</v>
      </c>
      <c r="C1794" s="2">
        <v>1070.1479999999999</v>
      </c>
      <c r="D1794" s="2">
        <f>HYPERLINK("http://mcb-m6.bioreg.kyushu-u.ac.jp/M3/20110502/F51158/3316/1", 50.7)</f>
        <v>50.7</v>
      </c>
      <c r="E1794" s="2">
        <v>34.25</v>
      </c>
      <c r="F1794" s="2">
        <v>2</v>
      </c>
      <c r="G1794" s="2" t="s">
        <v>13</v>
      </c>
    </row>
    <row r="1795" spans="1:8" x14ac:dyDescent="0.2">
      <c r="A1795" s="2" t="s">
        <v>3343</v>
      </c>
      <c r="B1795" s="2" t="s">
        <v>428</v>
      </c>
      <c r="C1795" s="2">
        <v>451.82659999999998</v>
      </c>
      <c r="D1795" s="2">
        <f>HYPERLINK("http://mcb-m6.bioreg.kyushu-u.ac.jp/M3/20110429/F51152/660/1", 50.99)</f>
        <v>50.99</v>
      </c>
      <c r="E1795" s="2">
        <v>24.69</v>
      </c>
      <c r="F1795" s="2">
        <v>2</v>
      </c>
      <c r="G1795" s="2" t="s">
        <v>13</v>
      </c>
    </row>
    <row r="1796" spans="1:8" x14ac:dyDescent="0.2">
      <c r="A1796" s="2" t="s">
        <v>3343</v>
      </c>
      <c r="B1796" s="2" t="s">
        <v>704</v>
      </c>
      <c r="C1796" s="2">
        <v>610.55520000000001</v>
      </c>
      <c r="D1796" s="2">
        <f>HYPERLINK("http://mcb-m6.bioreg.kyushu-u.ac.jp/M3/20110429/F51152/1334/1", 51.13)</f>
        <v>51.13</v>
      </c>
      <c r="E1796" s="2">
        <v>20.18</v>
      </c>
      <c r="F1796" s="2">
        <v>2</v>
      </c>
      <c r="G1796" s="2" t="s">
        <v>13</v>
      </c>
      <c r="H1796" s="2" t="s">
        <v>4908</v>
      </c>
    </row>
    <row r="1797" spans="1:8" x14ac:dyDescent="0.2">
      <c r="A1797" s="2" t="s">
        <v>3343</v>
      </c>
      <c r="B1797" s="2" t="s">
        <v>704</v>
      </c>
      <c r="C1797" s="2">
        <v>611.26919999999996</v>
      </c>
      <c r="D1797" s="2">
        <f>HYPERLINK("http://mcb-m6.bioreg.kyushu-u.ac.jp/M3/20110429/F51152/1346/1", 51.22)</f>
        <v>51.22</v>
      </c>
      <c r="E1797" s="2">
        <v>18.3</v>
      </c>
      <c r="F1797" s="2">
        <v>2</v>
      </c>
      <c r="G1797" s="2" t="s">
        <v>13</v>
      </c>
      <c r="H1797" s="2" t="s">
        <v>4908</v>
      </c>
    </row>
    <row r="1798" spans="1:8" x14ac:dyDescent="0.2">
      <c r="A1798" s="2" t="s">
        <v>3343</v>
      </c>
      <c r="B1798" s="2" t="s">
        <v>325</v>
      </c>
      <c r="C1798" s="2">
        <v>747.78269999999998</v>
      </c>
      <c r="D1798" s="2">
        <f>HYPERLINK("http://mcb-m6.bioreg.kyushu-u.ac.jp/M3/20110429/F51153/2032/1", 51.67)</f>
        <v>51.67</v>
      </c>
      <c r="E1798" s="2">
        <v>43.76</v>
      </c>
      <c r="F1798" s="2">
        <v>2</v>
      </c>
      <c r="G1798" s="2" t="s">
        <v>13</v>
      </c>
      <c r="H1798" s="2" t="s">
        <v>4925</v>
      </c>
    </row>
    <row r="1799" spans="1:8" x14ac:dyDescent="0.2">
      <c r="A1799" s="2" t="s">
        <v>3343</v>
      </c>
      <c r="B1799" s="2" t="s">
        <v>132</v>
      </c>
      <c r="C1799" s="2">
        <v>578.4597</v>
      </c>
      <c r="D1799" s="2">
        <f>HYPERLINK("http://mcb-m6.bioreg.kyushu-u.ac.jp/M3/20110429/F51153/1050/1", 51.8)</f>
        <v>51.8</v>
      </c>
      <c r="E1799" s="2">
        <v>29.91</v>
      </c>
      <c r="F1799" s="2">
        <v>2</v>
      </c>
      <c r="G1799" s="2" t="s">
        <v>13</v>
      </c>
    </row>
    <row r="1800" spans="1:8" x14ac:dyDescent="0.2">
      <c r="A1800" s="2" t="s">
        <v>3343</v>
      </c>
      <c r="B1800" s="2" t="s">
        <v>509</v>
      </c>
      <c r="C1800" s="2">
        <v>717.53809999999999</v>
      </c>
      <c r="D1800" s="2">
        <f>HYPERLINK("http://mcb-m6.bioreg.kyushu-u.ac.jp/M3/20110429/F51153/1805/1", 51.8)</f>
        <v>51.8</v>
      </c>
      <c r="E1800" s="2">
        <v>35.409999999999997</v>
      </c>
      <c r="F1800" s="2">
        <v>2</v>
      </c>
      <c r="G1800" s="2" t="s">
        <v>13</v>
      </c>
    </row>
    <row r="1801" spans="1:8" x14ac:dyDescent="0.2">
      <c r="A1801" s="2" t="s">
        <v>3343</v>
      </c>
      <c r="B1801" s="2" t="s">
        <v>132</v>
      </c>
      <c r="C1801" s="2">
        <v>578.25120000000004</v>
      </c>
      <c r="D1801" s="2">
        <f>HYPERLINK("http://mcb-m6.bioreg.kyushu-u.ac.jp/M3/20110429/F51152/1174/1", 52.07)</f>
        <v>52.07</v>
      </c>
      <c r="E1801" s="2">
        <v>27.24</v>
      </c>
      <c r="F1801" s="2">
        <v>2</v>
      </c>
      <c r="G1801" s="2" t="s">
        <v>13</v>
      </c>
    </row>
    <row r="1802" spans="1:8" x14ac:dyDescent="0.2">
      <c r="A1802" s="2" t="s">
        <v>3343</v>
      </c>
      <c r="B1802" s="2" t="s">
        <v>132</v>
      </c>
      <c r="C1802" s="2">
        <v>578.91819999999996</v>
      </c>
      <c r="D1802" s="2">
        <f>HYPERLINK("http://mcb-m6.bioreg.kyushu-u.ac.jp/M3/20110429/F51153/1058/1", 52.35)</f>
        <v>52.35</v>
      </c>
      <c r="E1802" s="2">
        <v>29.9</v>
      </c>
      <c r="F1802" s="2">
        <v>2</v>
      </c>
      <c r="G1802" s="2" t="s">
        <v>13</v>
      </c>
    </row>
    <row r="1803" spans="1:8" x14ac:dyDescent="0.2">
      <c r="A1803" s="2" t="s">
        <v>3343</v>
      </c>
      <c r="B1803" s="2" t="s">
        <v>509</v>
      </c>
      <c r="C1803" s="2">
        <v>725.34860000000003</v>
      </c>
      <c r="D1803" s="2">
        <f>HYPERLINK("http://mcb-m6.bioreg.kyushu-u.ac.jp/M3/20110429/F51154/1921/1", 52.51)</f>
        <v>52.51</v>
      </c>
      <c r="E1803" s="2">
        <v>36.1</v>
      </c>
      <c r="F1803" s="2">
        <v>2</v>
      </c>
      <c r="G1803" s="2" t="s">
        <v>13</v>
      </c>
      <c r="H1803" s="2" t="s">
        <v>4927</v>
      </c>
    </row>
    <row r="1804" spans="1:8" x14ac:dyDescent="0.2">
      <c r="A1804" s="2" t="s">
        <v>3343</v>
      </c>
      <c r="B1804" s="2" t="s">
        <v>704</v>
      </c>
      <c r="C1804" s="2">
        <v>610.71720000000005</v>
      </c>
      <c r="D1804" s="2">
        <f>HYPERLINK("http://mcb-m6.bioreg.kyushu-u.ac.jp/M3/20110429/F51152/1336/1", 53.22)</f>
        <v>53.22</v>
      </c>
      <c r="E1804" s="2">
        <v>29.15</v>
      </c>
      <c r="F1804" s="2">
        <v>2</v>
      </c>
      <c r="G1804" s="2" t="s">
        <v>13</v>
      </c>
      <c r="H1804" s="2" t="s">
        <v>4908</v>
      </c>
    </row>
    <row r="1805" spans="1:8" x14ac:dyDescent="0.2">
      <c r="A1805" s="2" t="s">
        <v>3343</v>
      </c>
      <c r="B1805" s="2" t="s">
        <v>509</v>
      </c>
      <c r="C1805" s="2">
        <v>1432.46</v>
      </c>
      <c r="D1805" s="2">
        <f>HYPERLINK("http://mcb-m6.bioreg.kyushu-u.ac.jp/M3/20110429/F51152/1805/1", 53.33)</f>
        <v>53.33</v>
      </c>
      <c r="E1805" s="2">
        <v>39.97</v>
      </c>
      <c r="F1805" s="2">
        <v>1</v>
      </c>
      <c r="G1805" s="2" t="s">
        <v>13</v>
      </c>
      <c r="H1805" s="2" t="s">
        <v>4931</v>
      </c>
    </row>
    <row r="1806" spans="1:8" x14ac:dyDescent="0.2">
      <c r="A1806" s="2" t="s">
        <v>3343</v>
      </c>
      <c r="B1806" s="2" t="s">
        <v>325</v>
      </c>
      <c r="C1806" s="2">
        <v>747.76620000000003</v>
      </c>
      <c r="D1806" s="2">
        <f>HYPERLINK("http://mcb-m6.bioreg.kyushu-u.ac.jp/M3/20110429/F51153/2031/1", 53.5)</f>
        <v>53.5</v>
      </c>
      <c r="E1806" s="2">
        <v>44.02</v>
      </c>
      <c r="F1806" s="2">
        <v>2</v>
      </c>
      <c r="G1806" s="2" t="s">
        <v>13</v>
      </c>
      <c r="H1806" s="2" t="s">
        <v>4925</v>
      </c>
    </row>
    <row r="1807" spans="1:8" x14ac:dyDescent="0.2">
      <c r="A1807" s="2" t="s">
        <v>3343</v>
      </c>
      <c r="B1807" s="2" t="s">
        <v>443</v>
      </c>
      <c r="C1807" s="2">
        <v>509.04109999999997</v>
      </c>
      <c r="D1807" s="2">
        <f>HYPERLINK("http://mcb-m6.bioreg.kyushu-u.ac.jp/M3/20110429/F51152/873/1", 53.56)</f>
        <v>53.56</v>
      </c>
      <c r="E1807" s="2">
        <v>25.75</v>
      </c>
      <c r="F1807" s="2">
        <v>2</v>
      </c>
      <c r="G1807" s="2" t="s">
        <v>13</v>
      </c>
    </row>
    <row r="1808" spans="1:8" x14ac:dyDescent="0.2">
      <c r="A1808" s="2" t="s">
        <v>3343</v>
      </c>
      <c r="B1808" s="2" t="s">
        <v>509</v>
      </c>
      <c r="C1808" s="2">
        <v>725.77760000000001</v>
      </c>
      <c r="D1808" s="2">
        <f>HYPERLINK("http://mcb-m6.bioreg.kyushu-u.ac.jp/M3/20110429/F51153/1846/1", 53.59)</f>
        <v>53.59</v>
      </c>
      <c r="E1808" s="2">
        <v>36.409999999999997</v>
      </c>
      <c r="F1808" s="2">
        <v>2</v>
      </c>
      <c r="G1808" s="2" t="s">
        <v>13</v>
      </c>
      <c r="H1808" s="2" t="s">
        <v>4927</v>
      </c>
    </row>
    <row r="1809" spans="1:8" x14ac:dyDescent="0.2">
      <c r="A1809" s="2" t="s">
        <v>3343</v>
      </c>
      <c r="B1809" s="2" t="s">
        <v>704</v>
      </c>
      <c r="C1809" s="2">
        <v>611.23770000000002</v>
      </c>
      <c r="D1809" s="2">
        <f>HYPERLINK("http://mcb-m6.bioreg.kyushu-u.ac.jp/M3/20110429/F51152/1344/1", 53.6)</f>
        <v>53.6</v>
      </c>
      <c r="E1809" s="2">
        <v>25.41</v>
      </c>
      <c r="F1809" s="2">
        <v>2</v>
      </c>
      <c r="G1809" s="2" t="s">
        <v>13</v>
      </c>
      <c r="H1809" s="2" t="s">
        <v>4908</v>
      </c>
    </row>
    <row r="1810" spans="1:8" x14ac:dyDescent="0.2">
      <c r="A1810" s="2" t="s">
        <v>3343</v>
      </c>
      <c r="B1810" s="2" t="s">
        <v>558</v>
      </c>
      <c r="C1810" s="2">
        <v>729.38819999999998</v>
      </c>
      <c r="D1810" s="2">
        <f>HYPERLINK("http://mcb-m6.bioreg.kyushu-u.ac.jp/M3/20110429/F51153/1866/1", 53.75)</f>
        <v>53.75</v>
      </c>
      <c r="E1810" s="2">
        <v>38.909999999999997</v>
      </c>
      <c r="F1810" s="2">
        <v>2</v>
      </c>
      <c r="G1810" s="2" t="s">
        <v>13</v>
      </c>
    </row>
    <row r="1811" spans="1:8" x14ac:dyDescent="0.2">
      <c r="A1811" s="2" t="s">
        <v>3343</v>
      </c>
      <c r="B1811" s="2" t="s">
        <v>210</v>
      </c>
      <c r="C1811" s="2">
        <v>554.54219999999998</v>
      </c>
      <c r="D1811" s="2">
        <f>HYPERLINK("http://mcb-m6.bioreg.kyushu-u.ac.jp/M3/20110429/F51152/1074/1", 53.83)</f>
        <v>53.83</v>
      </c>
      <c r="E1811" s="2">
        <v>28.35</v>
      </c>
      <c r="F1811" s="2">
        <v>2</v>
      </c>
      <c r="G1811" s="2" t="s">
        <v>13</v>
      </c>
      <c r="H1811" s="2" t="s">
        <v>4910</v>
      </c>
    </row>
    <row r="1812" spans="1:8" x14ac:dyDescent="0.2">
      <c r="A1812" s="2" t="s">
        <v>3343</v>
      </c>
      <c r="B1812" s="2" t="s">
        <v>132</v>
      </c>
      <c r="C1812" s="2">
        <v>578.73770000000002</v>
      </c>
      <c r="D1812" s="2">
        <f>HYPERLINK("http://mcb-m6.bioreg.kyushu-u.ac.jp/M3/20110429/F51153/1055/1", 54.4)</f>
        <v>54.4</v>
      </c>
      <c r="E1812" s="2">
        <v>31.22</v>
      </c>
      <c r="F1812" s="2">
        <v>2</v>
      </c>
      <c r="G1812" s="2" t="s">
        <v>13</v>
      </c>
    </row>
    <row r="1813" spans="1:8" x14ac:dyDescent="0.2">
      <c r="A1813" s="2" t="s">
        <v>3343</v>
      </c>
      <c r="B1813" s="2" t="s">
        <v>132</v>
      </c>
      <c r="C1813" s="2">
        <v>1156.52</v>
      </c>
      <c r="D1813" s="2">
        <f>HYPERLINK("http://mcb-m6.bioreg.kyushu-u.ac.jp/M3/20110429/F51152/1185/1", 54.48)</f>
        <v>54.48</v>
      </c>
      <c r="E1813" s="2">
        <v>37.5</v>
      </c>
      <c r="F1813" s="2">
        <v>1</v>
      </c>
      <c r="G1813" s="2" t="s">
        <v>13</v>
      </c>
    </row>
    <row r="1814" spans="1:8" x14ac:dyDescent="0.2">
      <c r="A1814" s="2" t="s">
        <v>3343</v>
      </c>
      <c r="B1814" s="2" t="s">
        <v>325</v>
      </c>
      <c r="C1814" s="2">
        <v>498.4162</v>
      </c>
      <c r="D1814" s="2">
        <f>HYPERLINK("http://mcb-m6.bioreg.kyushu-u.ac.jp/M3/20110429/F51152/1996/1", 54.52)</f>
        <v>54.52</v>
      </c>
      <c r="E1814" s="2">
        <v>44.52</v>
      </c>
      <c r="F1814" s="2">
        <v>3</v>
      </c>
      <c r="G1814" s="2" t="s">
        <v>13</v>
      </c>
      <c r="H1814" s="2" t="s">
        <v>4925</v>
      </c>
    </row>
    <row r="1815" spans="1:8" x14ac:dyDescent="0.2">
      <c r="A1815" s="2" t="s">
        <v>3343</v>
      </c>
      <c r="B1815" s="2" t="s">
        <v>210</v>
      </c>
      <c r="C1815" s="2">
        <v>546.78560000000004</v>
      </c>
      <c r="D1815" s="2">
        <f>HYPERLINK("http://mcb-m6.bioreg.kyushu-u.ac.jp/M3/20110429/F51157/807/1", 54.72)</f>
        <v>54.72</v>
      </c>
      <c r="E1815" s="2">
        <v>22.93</v>
      </c>
      <c r="F1815" s="2">
        <v>2</v>
      </c>
      <c r="G1815" s="2" t="s">
        <v>13</v>
      </c>
    </row>
    <row r="1816" spans="1:8" x14ac:dyDescent="0.2">
      <c r="A1816" s="2" t="s">
        <v>3343</v>
      </c>
      <c r="B1816" s="2" t="s">
        <v>1211</v>
      </c>
      <c r="C1816" s="2">
        <v>774.63710000000003</v>
      </c>
      <c r="D1816" s="2">
        <f>HYPERLINK("http://mcb-m6.bioreg.kyushu-u.ac.jp/M3/20110429/F51152/3540/1", 54.89)</f>
        <v>54.89</v>
      </c>
      <c r="E1816" s="2">
        <v>34.1</v>
      </c>
      <c r="F1816" s="2">
        <v>3</v>
      </c>
      <c r="G1816" s="2" t="s">
        <v>13</v>
      </c>
      <c r="H1816" s="2" t="s">
        <v>4891</v>
      </c>
    </row>
    <row r="1817" spans="1:8" x14ac:dyDescent="0.2">
      <c r="A1817" s="2" t="s">
        <v>3343</v>
      </c>
      <c r="B1817" s="2" t="s">
        <v>546</v>
      </c>
      <c r="C1817" s="2">
        <v>665.35419999999999</v>
      </c>
      <c r="D1817" s="2">
        <f>HYPERLINK("http://mcb-m6.bioreg.kyushu-u.ac.jp/M3/20110429/F51153/1453/2", 55.42)</f>
        <v>55.42</v>
      </c>
      <c r="E1817" s="2">
        <v>38.840000000000003</v>
      </c>
      <c r="F1817" s="2">
        <v>2</v>
      </c>
      <c r="G1817" s="2" t="s">
        <v>13</v>
      </c>
    </row>
    <row r="1818" spans="1:8" x14ac:dyDescent="0.2">
      <c r="A1818" s="2" t="s">
        <v>3343</v>
      </c>
      <c r="B1818" s="2" t="s">
        <v>132</v>
      </c>
      <c r="C1818" s="2">
        <v>578.55070000000001</v>
      </c>
      <c r="D1818" s="2">
        <f>HYPERLINK("http://mcb-m6.bioreg.kyushu-u.ac.jp/M3/20110429/F51153/1052/1", 55.55)</f>
        <v>55.55</v>
      </c>
      <c r="E1818" s="2">
        <v>28.83</v>
      </c>
      <c r="F1818" s="2">
        <v>2</v>
      </c>
      <c r="G1818" s="2" t="s">
        <v>13</v>
      </c>
    </row>
    <row r="1819" spans="1:8" x14ac:dyDescent="0.2">
      <c r="A1819" s="2" t="s">
        <v>3343</v>
      </c>
      <c r="B1819" s="2" t="s">
        <v>509</v>
      </c>
      <c r="C1819" s="2">
        <v>717.30619999999999</v>
      </c>
      <c r="D1819" s="2">
        <f>HYPERLINK("http://mcb-m6.bioreg.kyushu-u.ac.jp/M3/20110429/F51153/1800/1", 56.2)</f>
        <v>56.2</v>
      </c>
      <c r="E1819" s="2">
        <v>37.090000000000003</v>
      </c>
      <c r="F1819" s="2">
        <v>2</v>
      </c>
      <c r="G1819" s="2" t="s">
        <v>13</v>
      </c>
    </row>
    <row r="1820" spans="1:8" x14ac:dyDescent="0.2">
      <c r="A1820" s="2" t="s">
        <v>3343</v>
      </c>
      <c r="B1820" s="2" t="s">
        <v>132</v>
      </c>
      <c r="C1820" s="2">
        <v>578.72969999999998</v>
      </c>
      <c r="D1820" s="2">
        <f>HYPERLINK("http://mcb-m6.bioreg.kyushu-u.ac.jp/M3/20110429/F51152/1184/1", 56.59)</f>
        <v>56.59</v>
      </c>
      <c r="E1820" s="2">
        <v>32.770000000000003</v>
      </c>
      <c r="F1820" s="2">
        <v>2</v>
      </c>
      <c r="G1820" s="2" t="s">
        <v>13</v>
      </c>
    </row>
    <row r="1821" spans="1:8" x14ac:dyDescent="0.2">
      <c r="A1821" s="2" t="s">
        <v>3343</v>
      </c>
      <c r="B1821" s="2" t="s">
        <v>704</v>
      </c>
      <c r="C1821" s="2">
        <v>602.76210000000003</v>
      </c>
      <c r="D1821" s="2">
        <f>HYPERLINK("http://mcb-m6.bioreg.kyushu-u.ac.jp/M3/20110429/F51152/1294/1", 56.71)</f>
        <v>56.71</v>
      </c>
      <c r="E1821" s="2">
        <v>21.71</v>
      </c>
      <c r="F1821" s="2">
        <v>2</v>
      </c>
      <c r="G1821" s="2" t="s">
        <v>13</v>
      </c>
    </row>
    <row r="1822" spans="1:8" x14ac:dyDescent="0.2">
      <c r="A1822" s="2" t="s">
        <v>3343</v>
      </c>
      <c r="B1822" s="2" t="s">
        <v>1002</v>
      </c>
      <c r="C1822" s="2">
        <v>1148.0050000000001</v>
      </c>
      <c r="D1822" s="2">
        <f>HYPERLINK("http://mcb-m6.bioreg.kyushu-u.ac.jp/M3/20110429/F51154/3682/1", 56.79)</f>
        <v>56.79</v>
      </c>
      <c r="E1822" s="2">
        <v>50.25</v>
      </c>
      <c r="F1822" s="2">
        <v>2</v>
      </c>
      <c r="G1822" s="2" t="s">
        <v>13</v>
      </c>
    </row>
    <row r="1823" spans="1:8" x14ac:dyDescent="0.2">
      <c r="A1823" s="2" t="s">
        <v>3343</v>
      </c>
      <c r="B1823" s="2" t="s">
        <v>132</v>
      </c>
      <c r="C1823" s="2">
        <v>578.62459999999999</v>
      </c>
      <c r="D1823" s="2">
        <f>HYPERLINK("http://mcb-m6.bioreg.kyushu-u.ac.jp/M3/20110429/F51151/1477/1", 57.35)</f>
        <v>57.35</v>
      </c>
      <c r="E1823" s="2">
        <v>26.5</v>
      </c>
      <c r="F1823" s="2">
        <v>2</v>
      </c>
      <c r="G1823" s="2" t="s">
        <v>13</v>
      </c>
    </row>
    <row r="1824" spans="1:8" x14ac:dyDescent="0.2">
      <c r="A1824" s="2" t="s">
        <v>3343</v>
      </c>
      <c r="B1824" s="2" t="s">
        <v>546</v>
      </c>
      <c r="C1824" s="2">
        <v>664.73860000000002</v>
      </c>
      <c r="D1824" s="2">
        <f>HYPERLINK("http://mcb-m6.bioreg.kyushu-u.ac.jp/M3/20110429/F51152/1500/2", 57.5)</f>
        <v>57.5</v>
      </c>
      <c r="E1824" s="2">
        <v>43.36</v>
      </c>
      <c r="F1824" s="2">
        <v>2</v>
      </c>
      <c r="G1824" s="2" t="s">
        <v>13</v>
      </c>
    </row>
    <row r="1825" spans="1:8" x14ac:dyDescent="0.2">
      <c r="A1825" s="2" t="s">
        <v>3343</v>
      </c>
      <c r="B1825" s="2" t="s">
        <v>344</v>
      </c>
      <c r="C1825" s="2">
        <v>919.33370000000002</v>
      </c>
      <c r="D1825" s="2">
        <f>HYPERLINK("http://mcb-m6.bioreg.kyushu-u.ac.jp/M3/20110429/F51154/2985/1", 57.7)</f>
        <v>57.7</v>
      </c>
      <c r="E1825" s="2">
        <v>34.6</v>
      </c>
      <c r="F1825" s="2">
        <v>2</v>
      </c>
      <c r="G1825" s="2" t="s">
        <v>13</v>
      </c>
    </row>
    <row r="1826" spans="1:8" x14ac:dyDescent="0.2">
      <c r="A1826" s="2" t="s">
        <v>3343</v>
      </c>
      <c r="B1826" s="2" t="s">
        <v>325</v>
      </c>
      <c r="C1826" s="2">
        <v>747.19269999999995</v>
      </c>
      <c r="D1826" s="2">
        <f>HYPERLINK("http://mcb-m6.bioreg.kyushu-u.ac.jp/M3/20110429/F51152/2000/1", 58.53)</f>
        <v>58.53</v>
      </c>
      <c r="E1826" s="2">
        <v>50.96</v>
      </c>
      <c r="F1826" s="2">
        <v>2</v>
      </c>
      <c r="G1826" s="2" t="s">
        <v>13</v>
      </c>
      <c r="H1826" s="2" t="s">
        <v>4925</v>
      </c>
    </row>
    <row r="1827" spans="1:8" x14ac:dyDescent="0.2">
      <c r="A1827" s="2" t="s">
        <v>3343</v>
      </c>
      <c r="B1827" s="2" t="s">
        <v>132</v>
      </c>
      <c r="C1827" s="2">
        <v>578.67769999999996</v>
      </c>
      <c r="D1827" s="2">
        <f>HYPERLINK("http://mcb-m6.bioreg.kyushu-u.ac.jp/M3/20110429/F51152/1181/1", 58.58)</f>
        <v>58.58</v>
      </c>
      <c r="E1827" s="2">
        <v>30.94</v>
      </c>
      <c r="F1827" s="2">
        <v>2</v>
      </c>
      <c r="G1827" s="2" t="s">
        <v>13</v>
      </c>
    </row>
    <row r="1828" spans="1:8" x14ac:dyDescent="0.2">
      <c r="A1828" s="2" t="s">
        <v>3343</v>
      </c>
      <c r="B1828" s="2" t="s">
        <v>325</v>
      </c>
      <c r="C1828" s="2">
        <v>1477.414</v>
      </c>
      <c r="D1828" s="2">
        <f>HYPERLINK("http://mcb-m6.bioreg.kyushu-u.ac.jp/M3/20110429/F51153/1937/1", 59.51)</f>
        <v>59.51</v>
      </c>
      <c r="E1828" s="2">
        <v>45.57</v>
      </c>
      <c r="F1828" s="2">
        <v>1</v>
      </c>
      <c r="G1828" s="2" t="s">
        <v>13</v>
      </c>
    </row>
    <row r="1829" spans="1:8" x14ac:dyDescent="0.2">
      <c r="A1829" s="2" t="s">
        <v>3343</v>
      </c>
      <c r="B1829" s="2" t="s">
        <v>509</v>
      </c>
      <c r="C1829" s="2">
        <v>717.84559999999999</v>
      </c>
      <c r="D1829" s="2">
        <f>HYPERLINK("http://mcb-m6.bioreg.kyushu-u.ac.jp/M3/20110429/F51152/1825/1", 59.57)</f>
        <v>59.57</v>
      </c>
      <c r="E1829" s="2">
        <v>42.53</v>
      </c>
      <c r="F1829" s="2">
        <v>2</v>
      </c>
      <c r="G1829" s="2" t="s">
        <v>13</v>
      </c>
    </row>
    <row r="1830" spans="1:8" x14ac:dyDescent="0.2">
      <c r="A1830" s="2" t="s">
        <v>3343</v>
      </c>
      <c r="B1830" s="2" t="s">
        <v>132</v>
      </c>
      <c r="C1830" s="2">
        <v>578.24720000000002</v>
      </c>
      <c r="D1830" s="2">
        <f>HYPERLINK("http://mcb-m6.bioreg.kyushu-u.ac.jp/M3/20110429/F51152/1172/1", 59.79)</f>
        <v>59.79</v>
      </c>
      <c r="E1830" s="2">
        <v>33.11</v>
      </c>
      <c r="F1830" s="2">
        <v>2</v>
      </c>
      <c r="G1830" s="2" t="s">
        <v>13</v>
      </c>
    </row>
    <row r="1831" spans="1:8" x14ac:dyDescent="0.2">
      <c r="A1831" s="2" t="s">
        <v>3343</v>
      </c>
      <c r="B1831" s="2" t="s">
        <v>325</v>
      </c>
      <c r="C1831" s="2">
        <v>747.6807</v>
      </c>
      <c r="D1831" s="2">
        <f>HYPERLINK("http://mcb-m6.bioreg.kyushu-u.ac.jp/M3/20110429/F51154/2054/1", 59.89)</f>
        <v>59.89</v>
      </c>
      <c r="E1831" s="2">
        <v>42.23</v>
      </c>
      <c r="F1831" s="2">
        <v>2</v>
      </c>
      <c r="G1831" s="2" t="s">
        <v>13</v>
      </c>
      <c r="H1831" s="2" t="s">
        <v>4925</v>
      </c>
    </row>
    <row r="1832" spans="1:8" x14ac:dyDescent="0.2">
      <c r="A1832" s="2" t="s">
        <v>3343</v>
      </c>
      <c r="B1832" s="2" t="s">
        <v>132</v>
      </c>
      <c r="C1832" s="2">
        <v>578.32619999999997</v>
      </c>
      <c r="D1832" s="2">
        <f>HYPERLINK("http://mcb-m6.bioreg.kyushu-u.ac.jp/M3/20110429/F51152/1179/1", 60.17)</f>
        <v>60.17</v>
      </c>
      <c r="E1832" s="2">
        <v>34.07</v>
      </c>
      <c r="F1832" s="2">
        <v>2</v>
      </c>
      <c r="G1832" s="2" t="s">
        <v>13</v>
      </c>
    </row>
    <row r="1833" spans="1:8" x14ac:dyDescent="0.2">
      <c r="A1833" s="2" t="s">
        <v>3343</v>
      </c>
      <c r="B1833" s="2" t="s">
        <v>1496</v>
      </c>
      <c r="C1833" s="2">
        <v>967.45719999999994</v>
      </c>
      <c r="D1833" s="2">
        <f>HYPERLINK("http://mcb-m6.bioreg.kyushu-u.ac.jp/M3/20110429/F51153/3375/1", 60.62)</f>
        <v>60.62</v>
      </c>
      <c r="E1833" s="2">
        <v>44.18</v>
      </c>
      <c r="F1833" s="2">
        <v>2</v>
      </c>
      <c r="G1833" s="2" t="s">
        <v>13</v>
      </c>
    </row>
    <row r="1834" spans="1:8" x14ac:dyDescent="0.2">
      <c r="A1834" s="2" t="s">
        <v>3343</v>
      </c>
      <c r="B1834" s="2" t="s">
        <v>1002</v>
      </c>
      <c r="C1834" s="2">
        <v>1147.9290000000001</v>
      </c>
      <c r="D1834" s="2">
        <f>HYPERLINK("http://mcb-m6.bioreg.kyushu-u.ac.jp/M3/20110429/F51152/3487/1", 60.97)</f>
        <v>60.97</v>
      </c>
      <c r="E1834" s="2">
        <v>43.79</v>
      </c>
      <c r="F1834" s="2">
        <v>2</v>
      </c>
      <c r="G1834" s="2" t="s">
        <v>13</v>
      </c>
    </row>
    <row r="1835" spans="1:8" x14ac:dyDescent="0.2">
      <c r="A1835" s="2" t="s">
        <v>3343</v>
      </c>
      <c r="B1835" s="2" t="s">
        <v>1002</v>
      </c>
      <c r="C1835" s="2">
        <v>1148.019</v>
      </c>
      <c r="D1835" s="2">
        <f>HYPERLINK("http://mcb-m6.bioreg.kyushu-u.ac.jp/M3/20110429/F51153/4020/1", 61.07)</f>
        <v>61.07</v>
      </c>
      <c r="E1835" s="2">
        <v>46.63</v>
      </c>
      <c r="F1835" s="2">
        <v>2</v>
      </c>
      <c r="G1835" s="2" t="s">
        <v>13</v>
      </c>
    </row>
    <row r="1836" spans="1:8" x14ac:dyDescent="0.2">
      <c r="A1836" s="2" t="s">
        <v>3343</v>
      </c>
      <c r="B1836" s="2" t="s">
        <v>132</v>
      </c>
      <c r="C1836" s="2">
        <v>578.76919999999996</v>
      </c>
      <c r="D1836" s="2">
        <f>HYPERLINK("http://mcb-m6.bioreg.kyushu-u.ac.jp/M3/20110429/F51152/1186/1", 61.26)</f>
        <v>61.26</v>
      </c>
      <c r="E1836" s="2">
        <v>33.229999999999997</v>
      </c>
      <c r="F1836" s="2">
        <v>2</v>
      </c>
      <c r="G1836" s="2" t="s">
        <v>13</v>
      </c>
    </row>
    <row r="1837" spans="1:8" x14ac:dyDescent="0.2">
      <c r="A1837" s="2" t="s">
        <v>3343</v>
      </c>
      <c r="B1837" s="2" t="s">
        <v>344</v>
      </c>
      <c r="C1837" s="2">
        <v>919.84810000000004</v>
      </c>
      <c r="D1837" s="2">
        <f>HYPERLINK("http://mcb-m6.bioreg.kyushu-u.ac.jp/M3/20110429/F51154/2991/1", 61.66)</f>
        <v>61.66</v>
      </c>
      <c r="E1837" s="2">
        <v>35.51</v>
      </c>
      <c r="F1837" s="2">
        <v>2</v>
      </c>
      <c r="G1837" s="2" t="s">
        <v>13</v>
      </c>
    </row>
    <row r="1838" spans="1:8" x14ac:dyDescent="0.2">
      <c r="A1838" s="2" t="s">
        <v>3343</v>
      </c>
      <c r="B1838" s="2" t="s">
        <v>132</v>
      </c>
      <c r="C1838" s="2">
        <v>578.28120000000001</v>
      </c>
      <c r="D1838" s="2">
        <f>HYPERLINK("http://mcb-m6.bioreg.kyushu-u.ac.jp/M3/20110429/F51152/1178/1", 61.94)</f>
        <v>61.94</v>
      </c>
      <c r="E1838" s="2">
        <v>32.590000000000003</v>
      </c>
      <c r="F1838" s="2">
        <v>2</v>
      </c>
      <c r="G1838" s="2" t="s">
        <v>13</v>
      </c>
    </row>
    <row r="1839" spans="1:8" x14ac:dyDescent="0.2">
      <c r="A1839" s="2" t="s">
        <v>3343</v>
      </c>
      <c r="B1839" s="2" t="s">
        <v>132</v>
      </c>
      <c r="C1839" s="2">
        <v>578.03970000000004</v>
      </c>
      <c r="D1839" s="2">
        <f>HYPERLINK("http://mcb-m6.bioreg.kyushu-u.ac.jp/M3/20110429/F51150/1542/1", 62.58)</f>
        <v>62.58</v>
      </c>
      <c r="E1839" s="2">
        <v>33.76</v>
      </c>
      <c r="F1839" s="2">
        <v>2</v>
      </c>
      <c r="G1839" s="2" t="s">
        <v>13</v>
      </c>
    </row>
    <row r="1840" spans="1:8" x14ac:dyDescent="0.2">
      <c r="A1840" s="2" t="s">
        <v>3343</v>
      </c>
      <c r="B1840" s="2" t="s">
        <v>325</v>
      </c>
      <c r="C1840" s="2">
        <v>1494.453</v>
      </c>
      <c r="D1840" s="2">
        <f>HYPERLINK("http://mcb-m6.bioreg.kyushu-u.ac.jp/M3/20110429/F51152/2010/1", 62.62)</f>
        <v>62.62</v>
      </c>
      <c r="E1840" s="2">
        <v>54.75</v>
      </c>
      <c r="F1840" s="2">
        <v>1</v>
      </c>
      <c r="G1840" s="2" t="s">
        <v>13</v>
      </c>
      <c r="H1840" s="2" t="s">
        <v>4925</v>
      </c>
    </row>
    <row r="1841" spans="1:8" x14ac:dyDescent="0.2">
      <c r="A1841" s="2" t="s">
        <v>3343</v>
      </c>
      <c r="B1841" s="2" t="s">
        <v>558</v>
      </c>
      <c r="C1841" s="2">
        <v>729.28560000000004</v>
      </c>
      <c r="D1841" s="2">
        <f>HYPERLINK("http://mcb-m6.bioreg.kyushu-u.ac.jp/M3/20110429/F51152/1877/1", 62.97)</f>
        <v>62.97</v>
      </c>
      <c r="E1841" s="2">
        <v>45.8</v>
      </c>
      <c r="F1841" s="2">
        <v>2</v>
      </c>
      <c r="G1841" s="2" t="s">
        <v>13</v>
      </c>
    </row>
    <row r="1842" spans="1:8" x14ac:dyDescent="0.2">
      <c r="A1842" s="2" t="s">
        <v>3343</v>
      </c>
      <c r="B1842" s="2" t="s">
        <v>1032</v>
      </c>
      <c r="C1842" s="2">
        <v>1163.952</v>
      </c>
      <c r="D1842" s="2">
        <f>HYPERLINK("http://mcb-m6.bioreg.kyushu-u.ac.jp/M3/20110429/F51157/3459/1", 63.49)</f>
        <v>63.49</v>
      </c>
      <c r="E1842" s="2">
        <v>47.49</v>
      </c>
      <c r="F1842" s="2">
        <v>2</v>
      </c>
      <c r="G1842" s="2" t="s">
        <v>13</v>
      </c>
    </row>
    <row r="1843" spans="1:8" x14ac:dyDescent="0.2">
      <c r="A1843" s="2" t="s">
        <v>3343</v>
      </c>
      <c r="B1843" s="2" t="s">
        <v>704</v>
      </c>
      <c r="C1843" s="2">
        <v>602.77919999999995</v>
      </c>
      <c r="D1843" s="2">
        <f>HYPERLINK("http://mcb-m6.bioreg.kyushu-u.ac.jp/M3/20110429/F51152/1295/1", 63.55)</f>
        <v>63.55</v>
      </c>
      <c r="E1843" s="2">
        <v>32.69</v>
      </c>
      <c r="F1843" s="2">
        <v>2</v>
      </c>
      <c r="G1843" s="2" t="s">
        <v>13</v>
      </c>
    </row>
    <row r="1844" spans="1:8" x14ac:dyDescent="0.2">
      <c r="A1844" s="2" t="s">
        <v>3343</v>
      </c>
      <c r="B1844" s="2" t="s">
        <v>943</v>
      </c>
      <c r="C1844" s="2">
        <v>506.68959999999998</v>
      </c>
      <c r="D1844" s="2">
        <f>HYPERLINK("http://mcb-m6.bioreg.kyushu-u.ac.jp/M3/20110429/F51157/656/1", 63.86)</f>
        <v>63.86</v>
      </c>
      <c r="E1844" s="2">
        <v>42.75</v>
      </c>
      <c r="F1844" s="2">
        <v>2</v>
      </c>
      <c r="G1844" s="2" t="s">
        <v>13</v>
      </c>
    </row>
    <row r="1845" spans="1:8" x14ac:dyDescent="0.2">
      <c r="A1845" s="2" t="s">
        <v>3343</v>
      </c>
      <c r="B1845" s="2" t="s">
        <v>1002</v>
      </c>
      <c r="C1845" s="2">
        <v>1147.923</v>
      </c>
      <c r="D1845" s="2">
        <f>HYPERLINK("http://mcb-m6.bioreg.kyushu-u.ac.jp/M3/20110429/F51153/4013/1", 63.87)</f>
        <v>63.87</v>
      </c>
      <c r="E1845" s="2">
        <v>55.3</v>
      </c>
      <c r="F1845" s="2">
        <v>2</v>
      </c>
      <c r="G1845" s="2" t="s">
        <v>13</v>
      </c>
    </row>
    <row r="1846" spans="1:8" x14ac:dyDescent="0.2">
      <c r="A1846" s="2" t="s">
        <v>3343</v>
      </c>
      <c r="B1846" s="2" t="s">
        <v>509</v>
      </c>
      <c r="C1846" s="2">
        <v>717.76070000000004</v>
      </c>
      <c r="D1846" s="2">
        <f>HYPERLINK("http://mcb-m6.bioreg.kyushu-u.ac.jp/M3/20110429/F51152/1823/1", 64.13)</f>
        <v>64.13</v>
      </c>
      <c r="E1846" s="2">
        <v>47.24</v>
      </c>
      <c r="F1846" s="2">
        <v>2</v>
      </c>
      <c r="G1846" s="2" t="s">
        <v>13</v>
      </c>
    </row>
    <row r="1847" spans="1:8" x14ac:dyDescent="0.2">
      <c r="A1847" s="2" t="s">
        <v>3343</v>
      </c>
      <c r="B1847" s="2" t="s">
        <v>509</v>
      </c>
      <c r="C1847" s="2">
        <v>1416.595</v>
      </c>
      <c r="D1847" s="2">
        <f>HYPERLINK("http://mcb-m6.bioreg.kyushu-u.ac.jp/M3/20110429/F51152/1764/1", 64.19)</f>
        <v>64.19</v>
      </c>
      <c r="E1847" s="2">
        <v>46.56</v>
      </c>
      <c r="F1847" s="2">
        <v>1</v>
      </c>
      <c r="G1847" s="2" t="s">
        <v>13</v>
      </c>
      <c r="H1847" s="2" t="s">
        <v>4904</v>
      </c>
    </row>
    <row r="1848" spans="1:8" x14ac:dyDescent="0.2">
      <c r="A1848" s="2" t="s">
        <v>3343</v>
      </c>
      <c r="B1848" s="2" t="s">
        <v>325</v>
      </c>
      <c r="C1848" s="2">
        <v>747.26570000000004</v>
      </c>
      <c r="D1848" s="2">
        <f>HYPERLINK("http://mcb-m6.bioreg.kyushu-u.ac.jp/M3/20110429/F51152/2007/1", 64.79)</f>
        <v>64.790000000000006</v>
      </c>
      <c r="E1848" s="2">
        <v>51.7</v>
      </c>
      <c r="F1848" s="2">
        <v>2</v>
      </c>
      <c r="G1848" s="2" t="s">
        <v>13</v>
      </c>
      <c r="H1848" s="2" t="s">
        <v>4925</v>
      </c>
    </row>
    <row r="1849" spans="1:8" x14ac:dyDescent="0.2">
      <c r="A1849" s="2" t="s">
        <v>3343</v>
      </c>
      <c r="B1849" s="2" t="s">
        <v>546</v>
      </c>
      <c r="C1849" s="2">
        <v>664.5992</v>
      </c>
      <c r="D1849" s="2">
        <f>HYPERLINK("http://mcb-m6.bioreg.kyushu-u.ac.jp/M3/20110429/F51152/1495/2", 65.41)</f>
        <v>65.41</v>
      </c>
      <c r="E1849" s="2">
        <v>49</v>
      </c>
      <c r="F1849" s="2">
        <v>2</v>
      </c>
      <c r="G1849" s="2" t="s">
        <v>13</v>
      </c>
    </row>
    <row r="1850" spans="1:8" x14ac:dyDescent="0.2">
      <c r="A1850" s="2" t="s">
        <v>3343</v>
      </c>
      <c r="B1850" s="2" t="s">
        <v>132</v>
      </c>
      <c r="C1850" s="2">
        <v>578.19269999999995</v>
      </c>
      <c r="D1850" s="2">
        <f>HYPERLINK("http://mcb-m6.bioreg.kyushu-u.ac.jp/M3/20110429/F51152/1166/1", 65.57)</f>
        <v>65.569999999999993</v>
      </c>
      <c r="E1850" s="2">
        <v>42.84</v>
      </c>
      <c r="F1850" s="2">
        <v>2</v>
      </c>
      <c r="G1850" s="2" t="s">
        <v>13</v>
      </c>
    </row>
    <row r="1851" spans="1:8" x14ac:dyDescent="0.2">
      <c r="A1851" s="2" t="s">
        <v>3343</v>
      </c>
      <c r="B1851" s="2" t="s">
        <v>1211</v>
      </c>
      <c r="C1851" s="2">
        <v>1153.4659999999999</v>
      </c>
      <c r="D1851" s="2">
        <f>HYPERLINK("http://mcb-m6.bioreg.kyushu-u.ac.jp/M3/20110429/F51152/3516/1", 66.51)</f>
        <v>66.510000000000005</v>
      </c>
      <c r="E1851" s="2">
        <v>53.5</v>
      </c>
      <c r="F1851" s="2">
        <v>2</v>
      </c>
      <c r="G1851" s="2" t="s">
        <v>13</v>
      </c>
    </row>
    <row r="1852" spans="1:8" x14ac:dyDescent="0.2">
      <c r="A1852" s="2" t="s">
        <v>3343</v>
      </c>
      <c r="B1852" s="2" t="s">
        <v>344</v>
      </c>
      <c r="C1852" s="2">
        <v>613.22820000000002</v>
      </c>
      <c r="D1852" s="2">
        <f>HYPERLINK("http://mcb-m6.bioreg.kyushu-u.ac.jp/M3/20110429/F51152/2867/1", 67.11)</f>
        <v>67.11</v>
      </c>
      <c r="E1852" s="2">
        <v>47.6</v>
      </c>
      <c r="F1852" s="2">
        <v>3</v>
      </c>
      <c r="G1852" s="2" t="s">
        <v>13</v>
      </c>
    </row>
    <row r="1853" spans="1:8" x14ac:dyDescent="0.2">
      <c r="A1853" s="2" t="s">
        <v>3343</v>
      </c>
      <c r="B1853" s="2" t="s">
        <v>325</v>
      </c>
      <c r="C1853" s="2">
        <v>739.81820000000005</v>
      </c>
      <c r="D1853" s="2">
        <f>HYPERLINK("http://mcb-m6.bioreg.kyushu-u.ac.jp/M3/20110429/F51157/1738/1", 67.16)</f>
        <v>67.16</v>
      </c>
      <c r="E1853" s="2">
        <v>55.95</v>
      </c>
      <c r="F1853" s="2">
        <v>2</v>
      </c>
      <c r="G1853" s="2" t="s">
        <v>13</v>
      </c>
    </row>
    <row r="1854" spans="1:8" x14ac:dyDescent="0.2">
      <c r="A1854" s="2" t="s">
        <v>3343</v>
      </c>
      <c r="B1854" s="2" t="s">
        <v>210</v>
      </c>
      <c r="C1854" s="2">
        <v>546.66060000000004</v>
      </c>
      <c r="D1854" s="2">
        <f>HYPERLINK("http://mcb-m6.bioreg.kyushu-u.ac.jp/M3/20110429/F51152/1043/1", 67.17)</f>
        <v>67.17</v>
      </c>
      <c r="E1854" s="2">
        <v>29.32</v>
      </c>
      <c r="F1854" s="2">
        <v>2</v>
      </c>
      <c r="G1854" s="2" t="s">
        <v>13</v>
      </c>
    </row>
    <row r="1855" spans="1:8" x14ac:dyDescent="0.2">
      <c r="A1855" s="2" t="s">
        <v>3343</v>
      </c>
      <c r="B1855" s="2" t="s">
        <v>132</v>
      </c>
      <c r="C1855" s="2">
        <v>578.70069999999998</v>
      </c>
      <c r="D1855" s="2">
        <f>HYPERLINK("http://mcb-m6.bioreg.kyushu-u.ac.jp/M3/20110429/F51152/1183/1", 67.32)</f>
        <v>67.319999999999993</v>
      </c>
      <c r="E1855" s="2">
        <v>38.33</v>
      </c>
      <c r="F1855" s="2">
        <v>2</v>
      </c>
      <c r="G1855" s="2" t="s">
        <v>13</v>
      </c>
    </row>
    <row r="1856" spans="1:8" x14ac:dyDescent="0.2">
      <c r="A1856" s="2" t="s">
        <v>3343</v>
      </c>
      <c r="B1856" s="2" t="s">
        <v>558</v>
      </c>
      <c r="C1856" s="2">
        <v>729.77809999999999</v>
      </c>
      <c r="D1856" s="2">
        <f>HYPERLINK("http://mcb-m6.bioreg.kyushu-u.ac.jp/M3/20110429/F51152/1882/1", 67.55)</f>
        <v>67.55</v>
      </c>
      <c r="E1856" s="2">
        <v>55.76</v>
      </c>
      <c r="F1856" s="2">
        <v>2</v>
      </c>
      <c r="G1856" s="2" t="s">
        <v>13</v>
      </c>
    </row>
    <row r="1857" spans="1:8" x14ac:dyDescent="0.2">
      <c r="A1857" s="2" t="s">
        <v>3343</v>
      </c>
      <c r="B1857" s="2" t="s">
        <v>546</v>
      </c>
      <c r="C1857" s="2">
        <v>665.24720000000002</v>
      </c>
      <c r="D1857" s="2">
        <f>HYPERLINK("http://mcb-m6.bioreg.kyushu-u.ac.jp/M3/20110429/F51152/1511/2", 67.78)</f>
        <v>67.78</v>
      </c>
      <c r="E1857" s="2">
        <v>48.17</v>
      </c>
      <c r="F1857" s="2">
        <v>2</v>
      </c>
      <c r="G1857" s="2" t="s">
        <v>13</v>
      </c>
    </row>
    <row r="1858" spans="1:8" x14ac:dyDescent="0.2">
      <c r="A1858" s="2" t="s">
        <v>3343</v>
      </c>
      <c r="B1858" s="2" t="s">
        <v>132</v>
      </c>
      <c r="C1858" s="2">
        <v>578.25869999999998</v>
      </c>
      <c r="D1858" s="2">
        <f>HYPERLINK("http://mcb-m6.bioreg.kyushu-u.ac.jp/M3/20110429/F51152/1176/1", 67.92)</f>
        <v>67.92</v>
      </c>
      <c r="E1858" s="2">
        <v>37.92</v>
      </c>
      <c r="F1858" s="2">
        <v>2</v>
      </c>
      <c r="G1858" s="2" t="s">
        <v>13</v>
      </c>
    </row>
    <row r="1859" spans="1:8" x14ac:dyDescent="0.2">
      <c r="A1859" s="2" t="s">
        <v>3343</v>
      </c>
      <c r="B1859" s="2" t="s">
        <v>132</v>
      </c>
      <c r="C1859" s="2">
        <v>578.31870000000004</v>
      </c>
      <c r="D1859" s="2">
        <f>HYPERLINK("http://mcb-m6.bioreg.kyushu-u.ac.jp/M3/20110429/F51157/940/1", 68)</f>
        <v>68</v>
      </c>
      <c r="E1859" s="2">
        <v>39.93</v>
      </c>
      <c r="F1859" s="2">
        <v>2</v>
      </c>
      <c r="G1859" s="2" t="s">
        <v>13</v>
      </c>
    </row>
    <row r="1860" spans="1:8" x14ac:dyDescent="0.2">
      <c r="A1860" s="2" t="s">
        <v>3343</v>
      </c>
      <c r="B1860" s="2" t="s">
        <v>546</v>
      </c>
      <c r="C1860" s="2">
        <v>664.80160000000001</v>
      </c>
      <c r="D1860" s="2">
        <f>HYPERLINK("http://mcb-m6.bioreg.kyushu-u.ac.jp/M3/20110429/F51157/1350/2", 68.15)</f>
        <v>68.150000000000006</v>
      </c>
      <c r="E1860" s="2">
        <v>53.37</v>
      </c>
      <c r="F1860" s="2">
        <v>2</v>
      </c>
      <c r="G1860" s="2" t="s">
        <v>13</v>
      </c>
    </row>
    <row r="1861" spans="1:8" x14ac:dyDescent="0.2">
      <c r="A1861" s="2" t="s">
        <v>3343</v>
      </c>
      <c r="B1861" s="2" t="s">
        <v>704</v>
      </c>
      <c r="C1861" s="2">
        <v>610.81820000000005</v>
      </c>
      <c r="D1861" s="2">
        <f>HYPERLINK("http://mcb-m6.bioreg.kyushu-u.ac.jp/M3/20110429/F51157/1125/1", 68.17)</f>
        <v>68.17</v>
      </c>
      <c r="E1861" s="2">
        <v>36.68</v>
      </c>
      <c r="F1861" s="2">
        <v>2</v>
      </c>
      <c r="G1861" s="2" t="s">
        <v>13</v>
      </c>
      <c r="H1861" s="2" t="s">
        <v>4908</v>
      </c>
    </row>
    <row r="1862" spans="1:8" x14ac:dyDescent="0.2">
      <c r="A1862" s="2" t="s">
        <v>3343</v>
      </c>
      <c r="B1862" s="2" t="s">
        <v>325</v>
      </c>
      <c r="C1862" s="2">
        <v>739.85860000000002</v>
      </c>
      <c r="D1862" s="2">
        <f>HYPERLINK("http://mcb-m6.bioreg.kyushu-u.ac.jp/M3/20110429/F51152/1945/1", 68.49)</f>
        <v>68.489999999999995</v>
      </c>
      <c r="E1862" s="2">
        <v>59.58</v>
      </c>
      <c r="F1862" s="2">
        <v>2</v>
      </c>
      <c r="G1862" s="2" t="s">
        <v>13</v>
      </c>
    </row>
    <row r="1863" spans="1:8" x14ac:dyDescent="0.2">
      <c r="A1863" s="2" t="s">
        <v>3343</v>
      </c>
      <c r="B1863" s="2" t="s">
        <v>558</v>
      </c>
      <c r="C1863" s="2">
        <v>729.28269999999998</v>
      </c>
      <c r="D1863" s="2">
        <f>HYPERLINK("http://mcb-m6.bioreg.kyushu-u.ac.jp/M3/20110429/F51152/1876/1", 68.98)</f>
        <v>68.98</v>
      </c>
      <c r="E1863" s="2">
        <v>54.25</v>
      </c>
      <c r="F1863" s="2">
        <v>2</v>
      </c>
      <c r="G1863" s="2" t="s">
        <v>13</v>
      </c>
    </row>
    <row r="1864" spans="1:8" x14ac:dyDescent="0.2">
      <c r="A1864" s="2" t="s">
        <v>3343</v>
      </c>
      <c r="B1864" s="2" t="s">
        <v>1032</v>
      </c>
      <c r="C1864" s="2">
        <v>1163.4459999999999</v>
      </c>
      <c r="D1864" s="2">
        <f>HYPERLINK("http://mcb-m6.bioreg.kyushu-u.ac.jp/M3/20110429/F51152/3549/1", 69.09)</f>
        <v>69.09</v>
      </c>
      <c r="E1864" s="2">
        <v>62.85</v>
      </c>
      <c r="F1864" s="2">
        <v>2</v>
      </c>
      <c r="G1864" s="2" t="s">
        <v>13</v>
      </c>
    </row>
    <row r="1865" spans="1:8" x14ac:dyDescent="0.2">
      <c r="A1865" s="2" t="s">
        <v>3343</v>
      </c>
      <c r="B1865" s="2" t="s">
        <v>1002</v>
      </c>
      <c r="C1865" s="2">
        <v>1147.9349999999999</v>
      </c>
      <c r="D1865" s="2">
        <f>HYPERLINK("http://mcb-m6.bioreg.kyushu-u.ac.jp/M3/20110429/F51153/4014/1", 69.2)</f>
        <v>69.2</v>
      </c>
      <c r="E1865" s="2">
        <v>58.56</v>
      </c>
      <c r="F1865" s="2">
        <v>2</v>
      </c>
      <c r="G1865" s="2" t="s">
        <v>13</v>
      </c>
    </row>
    <row r="1866" spans="1:8" x14ac:dyDescent="0.2">
      <c r="A1866" s="2" t="s">
        <v>3343</v>
      </c>
      <c r="B1866" s="2" t="s">
        <v>344</v>
      </c>
      <c r="C1866" s="2">
        <v>919.48320000000001</v>
      </c>
      <c r="D1866" s="2">
        <f>HYPERLINK("http://mcb-m6.bioreg.kyushu-u.ac.jp/M3/20110429/F51152/2869/1", 69.21)</f>
        <v>69.209999999999994</v>
      </c>
      <c r="E1866" s="2">
        <v>46.98</v>
      </c>
      <c r="F1866" s="2">
        <v>2</v>
      </c>
      <c r="G1866" s="2" t="s">
        <v>13</v>
      </c>
    </row>
    <row r="1867" spans="1:8" x14ac:dyDescent="0.2">
      <c r="A1867" s="2" t="s">
        <v>3343</v>
      </c>
      <c r="B1867" s="2" t="s">
        <v>943</v>
      </c>
      <c r="C1867" s="2">
        <v>506.67559999999997</v>
      </c>
      <c r="D1867" s="2">
        <f>HYPERLINK("http://mcb-m6.bioreg.kyushu-u.ac.jp/M3/20110429/F51152/857/1", 69.5)</f>
        <v>69.5</v>
      </c>
      <c r="E1867" s="2">
        <v>46.5</v>
      </c>
      <c r="F1867" s="2">
        <v>2</v>
      </c>
      <c r="G1867" s="2" t="s">
        <v>13</v>
      </c>
    </row>
    <row r="1868" spans="1:8" x14ac:dyDescent="0.2">
      <c r="A1868" s="2" t="s">
        <v>3343</v>
      </c>
      <c r="B1868" s="2" t="s">
        <v>132</v>
      </c>
      <c r="C1868" s="2">
        <v>578.22519999999997</v>
      </c>
      <c r="D1868" s="2">
        <f>HYPERLINK("http://mcb-m6.bioreg.kyushu-u.ac.jp/M3/20110429/F51152/1169/1", 70.18)</f>
        <v>70.180000000000007</v>
      </c>
      <c r="E1868" s="2">
        <v>37.58</v>
      </c>
      <c r="F1868" s="2">
        <v>2</v>
      </c>
      <c r="G1868" s="2" t="s">
        <v>13</v>
      </c>
    </row>
    <row r="1869" spans="1:8" x14ac:dyDescent="0.2">
      <c r="A1869" s="2" t="s">
        <v>3343</v>
      </c>
      <c r="B1869" s="2" t="s">
        <v>943</v>
      </c>
      <c r="C1869" s="2">
        <v>506.67910000000001</v>
      </c>
      <c r="D1869" s="2">
        <f>HYPERLINK("http://mcb-m6.bioreg.kyushu-u.ac.jp/M3/20110429/F51152/858/1", 70.6)</f>
        <v>70.599999999999994</v>
      </c>
      <c r="E1869" s="2">
        <v>48.42</v>
      </c>
      <c r="F1869" s="2">
        <v>2</v>
      </c>
      <c r="G1869" s="2" t="s">
        <v>13</v>
      </c>
    </row>
    <row r="1870" spans="1:8" x14ac:dyDescent="0.2">
      <c r="A1870" s="2" t="s">
        <v>3343</v>
      </c>
      <c r="B1870" s="2" t="s">
        <v>325</v>
      </c>
      <c r="C1870" s="2">
        <v>747.72670000000005</v>
      </c>
      <c r="D1870" s="2">
        <f>HYPERLINK("http://mcb-m6.bioreg.kyushu-u.ac.jp/M3/20110429/F51152/2009/1", 71.11)</f>
        <v>71.11</v>
      </c>
      <c r="E1870" s="2">
        <v>52.31</v>
      </c>
      <c r="F1870" s="2">
        <v>2</v>
      </c>
      <c r="G1870" s="2" t="s">
        <v>13</v>
      </c>
      <c r="H1870" s="2" t="s">
        <v>4925</v>
      </c>
    </row>
    <row r="1871" spans="1:8" x14ac:dyDescent="0.2">
      <c r="A1871" s="2" t="s">
        <v>3343</v>
      </c>
      <c r="B1871" s="2" t="s">
        <v>546</v>
      </c>
      <c r="C1871" s="2">
        <v>664.83810000000005</v>
      </c>
      <c r="D1871" s="2">
        <f>HYPERLINK("http://mcb-m6.bioreg.kyushu-u.ac.jp/M3/20110429/F51153/1449/2", 71.2)</f>
        <v>71.2</v>
      </c>
      <c r="E1871" s="2">
        <v>54.71</v>
      </c>
      <c r="F1871" s="2">
        <v>2</v>
      </c>
      <c r="G1871" s="2" t="s">
        <v>13</v>
      </c>
    </row>
    <row r="1872" spans="1:8" x14ac:dyDescent="0.2">
      <c r="A1872" s="2" t="s">
        <v>3343</v>
      </c>
      <c r="B1872" s="2" t="s">
        <v>546</v>
      </c>
      <c r="C1872" s="2">
        <v>664.76120000000003</v>
      </c>
      <c r="D1872" s="2">
        <f>HYPERLINK("http://mcb-m6.bioreg.kyushu-u.ac.jp/M3/20110429/F51153/1447/2", 71.45)</f>
        <v>71.45</v>
      </c>
      <c r="E1872" s="2">
        <v>51.96</v>
      </c>
      <c r="F1872" s="2">
        <v>2</v>
      </c>
      <c r="G1872" s="2" t="s">
        <v>13</v>
      </c>
    </row>
    <row r="1873" spans="1:8" x14ac:dyDescent="0.2">
      <c r="A1873" s="2" t="s">
        <v>3343</v>
      </c>
      <c r="B1873" s="2" t="s">
        <v>132</v>
      </c>
      <c r="C1873" s="2">
        <v>578.23770000000002</v>
      </c>
      <c r="D1873" s="2">
        <f>HYPERLINK("http://mcb-m6.bioreg.kyushu-u.ac.jp/M3/20110429/F51152/1170/1", 71.5)</f>
        <v>71.5</v>
      </c>
      <c r="E1873" s="2">
        <v>48.31</v>
      </c>
      <c r="F1873" s="2">
        <v>2</v>
      </c>
      <c r="G1873" s="2" t="s">
        <v>13</v>
      </c>
    </row>
    <row r="1874" spans="1:8" x14ac:dyDescent="0.2">
      <c r="A1874" s="2" t="s">
        <v>3343</v>
      </c>
      <c r="B1874" s="2" t="s">
        <v>546</v>
      </c>
      <c r="C1874" s="2">
        <v>665.39009999999996</v>
      </c>
      <c r="D1874" s="2">
        <f>HYPERLINK("http://mcb-m6.bioreg.kyushu-u.ac.jp/M3/20110429/F51149/1832/2", 71.51)</f>
        <v>71.510000000000005</v>
      </c>
      <c r="E1874" s="2">
        <v>56.08</v>
      </c>
      <c r="F1874" s="2">
        <v>2</v>
      </c>
      <c r="G1874" s="2" t="s">
        <v>13</v>
      </c>
    </row>
    <row r="1875" spans="1:8" x14ac:dyDescent="0.2">
      <c r="A1875" s="2" t="s">
        <v>3343</v>
      </c>
      <c r="B1875" s="2" t="s">
        <v>1002</v>
      </c>
      <c r="C1875" s="2">
        <v>1147.73</v>
      </c>
      <c r="D1875" s="2">
        <f>HYPERLINK("http://mcb-m6.bioreg.kyushu-u.ac.jp/M3/20110429/F51153/4011/1", 71.8)</f>
        <v>71.8</v>
      </c>
      <c r="E1875" s="2">
        <v>56.58</v>
      </c>
      <c r="F1875" s="2">
        <v>2</v>
      </c>
      <c r="G1875" s="2" t="s">
        <v>13</v>
      </c>
    </row>
    <row r="1876" spans="1:8" x14ac:dyDescent="0.2">
      <c r="A1876" s="2" t="s">
        <v>3343</v>
      </c>
      <c r="B1876" s="2" t="s">
        <v>1002</v>
      </c>
      <c r="C1876" s="2">
        <v>1147.96</v>
      </c>
      <c r="D1876" s="2">
        <f>HYPERLINK("http://mcb-m6.bioreg.kyushu-u.ac.jp/M3/20110429/F51153/4015/1", 72.19)</f>
        <v>72.19</v>
      </c>
      <c r="E1876" s="2">
        <v>56.58</v>
      </c>
      <c r="F1876" s="2">
        <v>2</v>
      </c>
      <c r="G1876" s="2" t="s">
        <v>13</v>
      </c>
    </row>
    <row r="1877" spans="1:8" x14ac:dyDescent="0.2">
      <c r="A1877" s="2" t="s">
        <v>3343</v>
      </c>
      <c r="B1877" s="2" t="s">
        <v>344</v>
      </c>
      <c r="C1877" s="2">
        <v>919.42470000000003</v>
      </c>
      <c r="D1877" s="2">
        <f>HYPERLINK("http://mcb-m6.bioreg.kyushu-u.ac.jp/M3/20110429/F51153/3188/1", 72.37)</f>
        <v>72.37</v>
      </c>
      <c r="E1877" s="2">
        <v>38.81</v>
      </c>
      <c r="F1877" s="2">
        <v>2</v>
      </c>
      <c r="G1877" s="2" t="s">
        <v>13</v>
      </c>
    </row>
    <row r="1878" spans="1:8" x14ac:dyDescent="0.2">
      <c r="A1878" s="2" t="s">
        <v>3343</v>
      </c>
      <c r="B1878" s="2" t="s">
        <v>1002</v>
      </c>
      <c r="C1878" s="2">
        <v>1147.4590000000001</v>
      </c>
      <c r="D1878" s="2">
        <f>HYPERLINK("http://mcb-m6.bioreg.kyushu-u.ac.jp/M3/20110429/F51153/4005/1", 72.97)</f>
        <v>72.97</v>
      </c>
      <c r="E1878" s="2">
        <v>55.76</v>
      </c>
      <c r="F1878" s="2">
        <v>2</v>
      </c>
      <c r="G1878" s="2" t="s">
        <v>13</v>
      </c>
    </row>
    <row r="1879" spans="1:8" x14ac:dyDescent="0.2">
      <c r="A1879" s="2" t="s">
        <v>3343</v>
      </c>
      <c r="B1879" s="2" t="s">
        <v>943</v>
      </c>
      <c r="C1879" s="2">
        <v>506.79660000000001</v>
      </c>
      <c r="D1879" s="2">
        <f>HYPERLINK("http://mcb-m6.bioreg.kyushu-u.ac.jp/M3/20110429/F51153/644/1", 73.92)</f>
        <v>73.92</v>
      </c>
      <c r="E1879" s="2">
        <v>49.05</v>
      </c>
      <c r="F1879" s="2">
        <v>2</v>
      </c>
      <c r="G1879" s="2" t="s">
        <v>13</v>
      </c>
    </row>
    <row r="1880" spans="1:8" x14ac:dyDescent="0.2">
      <c r="A1880" s="2" t="s">
        <v>3343</v>
      </c>
      <c r="B1880" s="2" t="s">
        <v>344</v>
      </c>
      <c r="C1880" s="2">
        <v>919.33619999999996</v>
      </c>
      <c r="D1880" s="2">
        <f>HYPERLINK("http://mcb-m6.bioreg.kyushu-u.ac.jp/M3/20110429/F51154/2986/1", 74.17)</f>
        <v>74.17</v>
      </c>
      <c r="E1880" s="2">
        <v>51.54</v>
      </c>
      <c r="F1880" s="2">
        <v>2</v>
      </c>
      <c r="G1880" s="2" t="s">
        <v>13</v>
      </c>
    </row>
    <row r="1881" spans="1:8" x14ac:dyDescent="0.2">
      <c r="A1881" s="2" t="s">
        <v>3343</v>
      </c>
      <c r="B1881" s="2" t="s">
        <v>1002</v>
      </c>
      <c r="C1881" s="2">
        <v>1147.97</v>
      </c>
      <c r="D1881" s="2">
        <f>HYPERLINK("http://mcb-m6.bioreg.kyushu-u.ac.jp/M3/20110429/F51153/4016/1", 74.67)</f>
        <v>74.67</v>
      </c>
      <c r="E1881" s="2">
        <v>64.31</v>
      </c>
      <c r="F1881" s="2">
        <v>2</v>
      </c>
      <c r="G1881" s="2" t="s">
        <v>13</v>
      </c>
    </row>
    <row r="1882" spans="1:8" x14ac:dyDescent="0.2">
      <c r="A1882" s="2" t="s">
        <v>3343</v>
      </c>
      <c r="B1882" s="2" t="s">
        <v>325</v>
      </c>
      <c r="C1882" s="2">
        <v>747.2047</v>
      </c>
      <c r="D1882" s="2">
        <f>HYPERLINK("http://mcb-m6.bioreg.kyushu-u.ac.jp/M3/20110429/F51152/2002/1", 74.81)</f>
        <v>74.81</v>
      </c>
      <c r="E1882" s="2">
        <v>58.39</v>
      </c>
      <c r="F1882" s="2">
        <v>2</v>
      </c>
      <c r="G1882" s="2" t="s">
        <v>13</v>
      </c>
      <c r="H1882" s="2" t="s">
        <v>4925</v>
      </c>
    </row>
    <row r="1883" spans="1:8" x14ac:dyDescent="0.2">
      <c r="A1883" s="2" t="s">
        <v>3343</v>
      </c>
      <c r="B1883" s="2" t="s">
        <v>1032</v>
      </c>
      <c r="C1883" s="2">
        <v>1163.9059999999999</v>
      </c>
      <c r="D1883" s="2">
        <f>HYPERLINK("http://mcb-m6.bioreg.kyushu-u.ac.jp/M3/20110429/F51153/4087/1", 74.86)</f>
        <v>74.86</v>
      </c>
      <c r="E1883" s="2">
        <v>65.25</v>
      </c>
      <c r="F1883" s="2">
        <v>2</v>
      </c>
      <c r="G1883" s="2" t="s">
        <v>13</v>
      </c>
    </row>
    <row r="1884" spans="1:8" x14ac:dyDescent="0.2">
      <c r="A1884" s="2" t="s">
        <v>3343</v>
      </c>
      <c r="B1884" s="2" t="s">
        <v>1002</v>
      </c>
      <c r="C1884" s="2">
        <v>1147.29</v>
      </c>
      <c r="D1884" s="2">
        <f>HYPERLINK("http://mcb-m6.bioreg.kyushu-u.ac.jp/M3/20110429/F51152/3476/1", 74.87)</f>
        <v>74.87</v>
      </c>
      <c r="E1884" s="2">
        <v>60.2</v>
      </c>
      <c r="F1884" s="2">
        <v>2</v>
      </c>
      <c r="G1884" s="2" t="s">
        <v>13</v>
      </c>
    </row>
    <row r="1885" spans="1:8" x14ac:dyDescent="0.2">
      <c r="A1885" s="2" t="s">
        <v>3343</v>
      </c>
      <c r="B1885" s="2" t="s">
        <v>1002</v>
      </c>
      <c r="C1885" s="2">
        <v>1147.44</v>
      </c>
      <c r="D1885" s="2">
        <f>HYPERLINK("http://mcb-m6.bioreg.kyushu-u.ac.jp/M3/20110429/F51152/3480/1", 75.01)</f>
        <v>75.010000000000005</v>
      </c>
      <c r="E1885" s="2">
        <v>68.680000000000007</v>
      </c>
      <c r="F1885" s="2">
        <v>2</v>
      </c>
      <c r="G1885" s="2" t="s">
        <v>13</v>
      </c>
    </row>
    <row r="1886" spans="1:8" x14ac:dyDescent="0.2">
      <c r="A1886" s="2" t="s">
        <v>3343</v>
      </c>
      <c r="B1886" s="2" t="s">
        <v>325</v>
      </c>
      <c r="C1886" s="2">
        <v>739.84969999999998</v>
      </c>
      <c r="D1886" s="2">
        <f>HYPERLINK("http://mcb-m6.bioreg.kyushu-u.ac.jp/M3/20110429/F51152/1944/1", 75.19)</f>
        <v>75.19</v>
      </c>
      <c r="E1886" s="2">
        <v>62.02</v>
      </c>
      <c r="F1886" s="2">
        <v>2</v>
      </c>
      <c r="G1886" s="2" t="s">
        <v>13</v>
      </c>
    </row>
    <row r="1887" spans="1:8" x14ac:dyDescent="0.2">
      <c r="A1887" s="2" t="s">
        <v>3343</v>
      </c>
      <c r="B1887" s="2" t="s">
        <v>132</v>
      </c>
      <c r="C1887" s="2">
        <v>578.25819999999999</v>
      </c>
      <c r="D1887" s="2">
        <f>HYPERLINK("http://mcb-m6.bioreg.kyushu-u.ac.jp/M3/20110429/F51152/1175/1", 75.33)</f>
        <v>75.33</v>
      </c>
      <c r="E1887" s="2">
        <v>45.57</v>
      </c>
      <c r="F1887" s="2">
        <v>2</v>
      </c>
      <c r="G1887" s="2" t="s">
        <v>13</v>
      </c>
    </row>
    <row r="1888" spans="1:8" x14ac:dyDescent="0.2">
      <c r="A1888" s="2" t="s">
        <v>3343</v>
      </c>
      <c r="B1888" s="2" t="s">
        <v>1002</v>
      </c>
      <c r="C1888" s="2">
        <v>1147.951</v>
      </c>
      <c r="D1888" s="2">
        <f>HYPERLINK("http://mcb-m6.bioreg.kyushu-u.ac.jp/M3/20110429/F51152/3488/1", 75.64)</f>
        <v>75.64</v>
      </c>
      <c r="E1888" s="2">
        <v>62.32</v>
      </c>
      <c r="F1888" s="2">
        <v>2</v>
      </c>
      <c r="G1888" s="2" t="s">
        <v>13</v>
      </c>
    </row>
    <row r="1889" spans="1:8" x14ac:dyDescent="0.2">
      <c r="A1889" s="2" t="s">
        <v>3343</v>
      </c>
      <c r="B1889" s="2" t="s">
        <v>325</v>
      </c>
      <c r="C1889" s="2">
        <v>739.54060000000004</v>
      </c>
      <c r="D1889" s="2">
        <f>HYPERLINK("http://mcb-m6.bioreg.kyushu-u.ac.jp/M3/20110429/F51157/1735/1", 75.68)</f>
        <v>75.680000000000007</v>
      </c>
      <c r="E1889" s="2">
        <v>65.34</v>
      </c>
      <c r="F1889" s="2">
        <v>2</v>
      </c>
      <c r="G1889" s="2" t="s">
        <v>13</v>
      </c>
    </row>
    <row r="1890" spans="1:8" x14ac:dyDescent="0.2">
      <c r="A1890" s="2" t="s">
        <v>3343</v>
      </c>
      <c r="B1890" s="2" t="s">
        <v>344</v>
      </c>
      <c r="C1890" s="2">
        <v>919.36360000000002</v>
      </c>
      <c r="D1890" s="2">
        <f>HYPERLINK("http://mcb-m6.bioreg.kyushu-u.ac.jp/M3/20110429/F51153/3186/1", 76.15)</f>
        <v>76.150000000000006</v>
      </c>
      <c r="E1890" s="2">
        <v>51.54</v>
      </c>
      <c r="F1890" s="2">
        <v>2</v>
      </c>
      <c r="G1890" s="2" t="s">
        <v>13</v>
      </c>
    </row>
    <row r="1891" spans="1:8" x14ac:dyDescent="0.2">
      <c r="A1891" s="2" t="s">
        <v>3343</v>
      </c>
      <c r="B1891" s="2" t="s">
        <v>546</v>
      </c>
      <c r="C1891" s="2">
        <v>664.74109999999996</v>
      </c>
      <c r="D1891" s="2">
        <f>HYPERLINK("http://mcb-m6.bioreg.kyushu-u.ac.jp/M3/20110429/F51152/1502/2", 76.39)</f>
        <v>76.39</v>
      </c>
      <c r="E1891" s="2">
        <v>60</v>
      </c>
      <c r="F1891" s="2">
        <v>2</v>
      </c>
      <c r="G1891" s="2" t="s">
        <v>13</v>
      </c>
    </row>
    <row r="1892" spans="1:8" x14ac:dyDescent="0.2">
      <c r="A1892" s="2" t="s">
        <v>3343</v>
      </c>
      <c r="B1892" s="2" t="s">
        <v>1002</v>
      </c>
      <c r="C1892" s="2">
        <v>1148.009</v>
      </c>
      <c r="D1892" s="2">
        <f>HYPERLINK("http://mcb-m6.bioreg.kyushu-u.ac.jp/M3/20110429/F51153/4019/1", 76.82)</f>
        <v>76.819999999999993</v>
      </c>
      <c r="E1892" s="2">
        <v>70.290000000000006</v>
      </c>
      <c r="F1892" s="2">
        <v>2</v>
      </c>
      <c r="G1892" s="2" t="s">
        <v>13</v>
      </c>
    </row>
    <row r="1893" spans="1:8" x14ac:dyDescent="0.2">
      <c r="A1893" s="2" t="s">
        <v>3343</v>
      </c>
      <c r="B1893" s="2" t="s">
        <v>558</v>
      </c>
      <c r="C1893" s="2">
        <v>729.4316</v>
      </c>
      <c r="D1893" s="2">
        <f>HYPERLINK("http://mcb-m6.bioreg.kyushu-u.ac.jp/M3/20110429/F51157/1699/1", 76.94)</f>
        <v>76.94</v>
      </c>
      <c r="E1893" s="2">
        <v>61.52</v>
      </c>
      <c r="F1893" s="2">
        <v>2</v>
      </c>
      <c r="G1893" s="2" t="s">
        <v>13</v>
      </c>
    </row>
    <row r="1894" spans="1:8" x14ac:dyDescent="0.2">
      <c r="A1894" s="2" t="s">
        <v>3343</v>
      </c>
      <c r="B1894" s="2" t="s">
        <v>1002</v>
      </c>
      <c r="C1894" s="2">
        <v>1148.008</v>
      </c>
      <c r="D1894" s="2">
        <f>HYPERLINK("http://mcb-m6.bioreg.kyushu-u.ac.jp/M3/20110429/F51153/4018/1", 77.29)</f>
        <v>77.290000000000006</v>
      </c>
      <c r="E1894" s="2">
        <v>67.459999999999994</v>
      </c>
      <c r="F1894" s="2">
        <v>2</v>
      </c>
      <c r="G1894" s="2" t="s">
        <v>13</v>
      </c>
    </row>
    <row r="1895" spans="1:8" x14ac:dyDescent="0.2">
      <c r="A1895" s="2" t="s">
        <v>3343</v>
      </c>
      <c r="B1895" s="2" t="s">
        <v>546</v>
      </c>
      <c r="C1895" s="2">
        <v>665.0077</v>
      </c>
      <c r="D1895" s="2">
        <f>HYPERLINK("http://mcb-m6.bioreg.kyushu-u.ac.jp/M3/20110429/F51152/1510/2", 78.17)</f>
        <v>78.17</v>
      </c>
      <c r="E1895" s="2">
        <v>65.930000000000007</v>
      </c>
      <c r="F1895" s="2">
        <v>2</v>
      </c>
      <c r="G1895" s="2" t="s">
        <v>13</v>
      </c>
    </row>
    <row r="1896" spans="1:8" x14ac:dyDescent="0.2">
      <c r="A1896" s="2" t="s">
        <v>3343</v>
      </c>
      <c r="B1896" s="2" t="s">
        <v>344</v>
      </c>
      <c r="C1896" s="2">
        <v>919.32119999999998</v>
      </c>
      <c r="D1896" s="2">
        <f>HYPERLINK("http://mcb-m6.bioreg.kyushu-u.ac.jp/M3/20110429/F51152/2866/1", 78.23)</f>
        <v>78.23</v>
      </c>
      <c r="E1896" s="2">
        <v>48.89</v>
      </c>
      <c r="F1896" s="2">
        <v>2</v>
      </c>
      <c r="G1896" s="2" t="s">
        <v>13</v>
      </c>
    </row>
    <row r="1897" spans="1:8" x14ac:dyDescent="0.2">
      <c r="A1897" s="2" t="s">
        <v>3343</v>
      </c>
      <c r="B1897" s="2" t="s">
        <v>132</v>
      </c>
      <c r="C1897" s="2">
        <v>578.19619999999998</v>
      </c>
      <c r="D1897" s="2">
        <f>HYPERLINK("http://mcb-m6.bioreg.kyushu-u.ac.jp/M3/20110429/F51152/1167/1", 78.34)</f>
        <v>78.34</v>
      </c>
      <c r="E1897" s="2">
        <v>47.74</v>
      </c>
      <c r="F1897" s="2">
        <v>2</v>
      </c>
      <c r="G1897" s="2" t="s">
        <v>13</v>
      </c>
    </row>
    <row r="1898" spans="1:8" x14ac:dyDescent="0.2">
      <c r="A1898" s="2" t="s">
        <v>3343</v>
      </c>
      <c r="B1898" s="2" t="s">
        <v>344</v>
      </c>
      <c r="C1898" s="2">
        <v>919.25120000000004</v>
      </c>
      <c r="D1898" s="2">
        <f>HYPERLINK("http://mcb-m6.bioreg.kyushu-u.ac.jp/M3/20110429/F51152/2861/1", 78.34)</f>
        <v>78.34</v>
      </c>
      <c r="E1898" s="2">
        <v>55.68</v>
      </c>
      <c r="F1898" s="2">
        <v>2</v>
      </c>
      <c r="G1898" s="2" t="s">
        <v>13</v>
      </c>
    </row>
    <row r="1899" spans="1:8" x14ac:dyDescent="0.2">
      <c r="A1899" s="2" t="s">
        <v>3343</v>
      </c>
      <c r="B1899" s="2" t="s">
        <v>132</v>
      </c>
      <c r="C1899" s="2">
        <v>578.19619999999998</v>
      </c>
      <c r="D1899" s="2">
        <f>HYPERLINK("http://mcb-m6.bioreg.kyushu-u.ac.jp/M3/20110429/F51152/1168/1", 78.37)</f>
        <v>78.37</v>
      </c>
      <c r="E1899" s="2">
        <v>50.04</v>
      </c>
      <c r="F1899" s="2">
        <v>2</v>
      </c>
      <c r="G1899" s="2" t="s">
        <v>13</v>
      </c>
    </row>
    <row r="1900" spans="1:8" x14ac:dyDescent="0.2">
      <c r="A1900" s="2" t="s">
        <v>3343</v>
      </c>
      <c r="B1900" s="2" t="s">
        <v>325</v>
      </c>
      <c r="C1900" s="2">
        <v>747.21969999999999</v>
      </c>
      <c r="D1900" s="2">
        <f>HYPERLINK("http://mcb-m6.bioreg.kyushu-u.ac.jp/M3/20110429/F51152/2005/1", 78.37)</f>
        <v>78.37</v>
      </c>
      <c r="E1900" s="2">
        <v>64.84</v>
      </c>
      <c r="F1900" s="2">
        <v>2</v>
      </c>
      <c r="G1900" s="2" t="s">
        <v>13</v>
      </c>
      <c r="H1900" s="2" t="s">
        <v>4925</v>
      </c>
    </row>
    <row r="1901" spans="1:8" x14ac:dyDescent="0.2">
      <c r="A1901" s="2" t="s">
        <v>3343</v>
      </c>
      <c r="B1901" s="2" t="s">
        <v>344</v>
      </c>
      <c r="C1901" s="2">
        <v>919.60860000000002</v>
      </c>
      <c r="D1901" s="2">
        <f>HYPERLINK("http://mcb-m6.bioreg.kyushu-u.ac.jp/M3/20110429/F51153/3190/1", 79.05)</f>
        <v>79.05</v>
      </c>
      <c r="E1901" s="2">
        <v>46.72</v>
      </c>
      <c r="F1901" s="2">
        <v>2</v>
      </c>
      <c r="G1901" s="2" t="s">
        <v>13</v>
      </c>
    </row>
    <row r="1902" spans="1:8" x14ac:dyDescent="0.2">
      <c r="A1902" s="2" t="s">
        <v>3343</v>
      </c>
      <c r="B1902" s="2" t="s">
        <v>1002</v>
      </c>
      <c r="C1902" s="2">
        <v>1147.4469999999999</v>
      </c>
      <c r="D1902" s="2">
        <f>HYPERLINK("http://mcb-m6.bioreg.kyushu-u.ac.jp/M3/20110429/F51153/4004/1", 79.71)</f>
        <v>79.709999999999994</v>
      </c>
      <c r="E1902" s="2">
        <v>68.569999999999993</v>
      </c>
      <c r="F1902" s="2">
        <v>2</v>
      </c>
      <c r="G1902" s="2" t="s">
        <v>13</v>
      </c>
    </row>
    <row r="1903" spans="1:8" x14ac:dyDescent="0.2">
      <c r="A1903" s="2" t="s">
        <v>3343</v>
      </c>
      <c r="B1903" s="2" t="s">
        <v>546</v>
      </c>
      <c r="C1903" s="2">
        <v>664.71220000000005</v>
      </c>
      <c r="D1903" s="2">
        <f>HYPERLINK("http://mcb-m6.bioreg.kyushu-u.ac.jp/M3/20110429/F51152/1498/2", 79.86)</f>
        <v>79.86</v>
      </c>
      <c r="E1903" s="2">
        <v>62.46</v>
      </c>
      <c r="F1903" s="2">
        <v>2</v>
      </c>
      <c r="G1903" s="2" t="s">
        <v>13</v>
      </c>
    </row>
    <row r="1904" spans="1:8" x14ac:dyDescent="0.2">
      <c r="A1904" s="2" t="s">
        <v>3343</v>
      </c>
      <c r="B1904" s="2" t="s">
        <v>325</v>
      </c>
      <c r="C1904" s="2">
        <v>1493.5029999999999</v>
      </c>
      <c r="D1904" s="2">
        <f>HYPERLINK("http://mcb-m6.bioreg.kyushu-u.ac.jp/M3/20110429/F51152/2006/1", 79.93)</f>
        <v>79.930000000000007</v>
      </c>
      <c r="E1904" s="2">
        <v>66.989999999999995</v>
      </c>
      <c r="F1904" s="2">
        <v>1</v>
      </c>
      <c r="G1904" s="2" t="s">
        <v>13</v>
      </c>
      <c r="H1904" s="2" t="s">
        <v>4925</v>
      </c>
    </row>
    <row r="1905" spans="1:7" x14ac:dyDescent="0.2">
      <c r="A1905" s="2" t="s">
        <v>3343</v>
      </c>
      <c r="B1905" s="2" t="s">
        <v>344</v>
      </c>
      <c r="C1905" s="2">
        <v>919.87570000000005</v>
      </c>
      <c r="D1905" s="2">
        <f>HYPERLINK("http://mcb-m6.bioreg.kyushu-u.ac.jp/M3/20110429/F51153/3193/1", 80.59)</f>
        <v>80.59</v>
      </c>
      <c r="E1905" s="2">
        <v>55.27</v>
      </c>
      <c r="F1905" s="2">
        <v>2</v>
      </c>
      <c r="G1905" s="2" t="s">
        <v>13</v>
      </c>
    </row>
    <row r="1906" spans="1:7" x14ac:dyDescent="0.2">
      <c r="A1906" s="2" t="s">
        <v>3343</v>
      </c>
      <c r="B1906" s="2" t="s">
        <v>1002</v>
      </c>
      <c r="C1906" s="2">
        <v>1147.3800000000001</v>
      </c>
      <c r="D1906" s="2">
        <f>HYPERLINK("http://mcb-m6.bioreg.kyushu-u.ac.jp/M3/20110429/F51153/4002/1", 80.61)</f>
        <v>80.61</v>
      </c>
      <c r="E1906" s="2">
        <v>67.89</v>
      </c>
      <c r="F1906" s="2">
        <v>2</v>
      </c>
      <c r="G1906" s="2" t="s">
        <v>13</v>
      </c>
    </row>
    <row r="1907" spans="1:7" x14ac:dyDescent="0.2">
      <c r="A1907" s="2" t="s">
        <v>3343</v>
      </c>
      <c r="B1907" s="2" t="s">
        <v>344</v>
      </c>
      <c r="C1907" s="2">
        <v>919.83169999999996</v>
      </c>
      <c r="D1907" s="2">
        <f>HYPERLINK("http://mcb-m6.bioreg.kyushu-u.ac.jp/M3/20110429/F51152/2872/1", 80.77)</f>
        <v>80.77</v>
      </c>
      <c r="E1907" s="2">
        <v>55.96</v>
      </c>
      <c r="F1907" s="2">
        <v>2</v>
      </c>
      <c r="G1907" s="2" t="s">
        <v>13</v>
      </c>
    </row>
    <row r="1908" spans="1:7" x14ac:dyDescent="0.2">
      <c r="A1908" s="2" t="s">
        <v>3343</v>
      </c>
      <c r="B1908" s="2" t="s">
        <v>344</v>
      </c>
      <c r="C1908" s="2">
        <v>919.35670000000005</v>
      </c>
      <c r="D1908" s="2">
        <f>HYPERLINK("http://mcb-m6.bioreg.kyushu-u.ac.jp/M3/20110429/F51153/3185/1", 80.89)</f>
        <v>80.89</v>
      </c>
      <c r="E1908" s="2">
        <v>57.34</v>
      </c>
      <c r="F1908" s="2">
        <v>2</v>
      </c>
      <c r="G1908" s="2" t="s">
        <v>13</v>
      </c>
    </row>
    <row r="1909" spans="1:7" x14ac:dyDescent="0.2">
      <c r="A1909" s="2" t="s">
        <v>3343</v>
      </c>
      <c r="B1909" s="2" t="s">
        <v>546</v>
      </c>
      <c r="C1909" s="2">
        <v>664.63120000000004</v>
      </c>
      <c r="D1909" s="2">
        <f>HYPERLINK("http://mcb-m6.bioreg.kyushu-u.ac.jp/M3/20110429/F51152/1496/2", 80.9)</f>
        <v>80.900000000000006</v>
      </c>
      <c r="E1909" s="2">
        <v>63.05</v>
      </c>
      <c r="F1909" s="2">
        <v>2</v>
      </c>
      <c r="G1909" s="2" t="s">
        <v>13</v>
      </c>
    </row>
    <row r="1910" spans="1:7" x14ac:dyDescent="0.2">
      <c r="A1910" s="2" t="s">
        <v>3343</v>
      </c>
      <c r="B1910" s="2" t="s">
        <v>546</v>
      </c>
      <c r="C1910" s="2">
        <v>665.08669999999995</v>
      </c>
      <c r="D1910" s="2">
        <f>HYPERLINK("http://mcb-m6.bioreg.kyushu-u.ac.jp/M3/20110429/F51157/1352/2", 81.04)</f>
        <v>81.040000000000006</v>
      </c>
      <c r="E1910" s="2">
        <v>67.23</v>
      </c>
      <c r="F1910" s="2">
        <v>2</v>
      </c>
      <c r="G1910" s="2" t="s">
        <v>13</v>
      </c>
    </row>
    <row r="1911" spans="1:7" x14ac:dyDescent="0.2">
      <c r="A1911" s="2" t="s">
        <v>3343</v>
      </c>
      <c r="B1911" s="2" t="s">
        <v>325</v>
      </c>
      <c r="C1911" s="2">
        <v>738.92110000000002</v>
      </c>
      <c r="D1911" s="2">
        <f>HYPERLINK("http://mcb-m6.bioreg.kyushu-u.ac.jp/M3/20110429/F51152/1932/1", 81.28)</f>
        <v>81.28</v>
      </c>
      <c r="E1911" s="2">
        <v>66.11</v>
      </c>
      <c r="F1911" s="2">
        <v>2</v>
      </c>
      <c r="G1911" s="2" t="s">
        <v>13</v>
      </c>
    </row>
    <row r="1912" spans="1:7" x14ac:dyDescent="0.2">
      <c r="A1912" s="2" t="s">
        <v>3343</v>
      </c>
      <c r="B1912" s="2" t="s">
        <v>1002</v>
      </c>
      <c r="C1912" s="2">
        <v>1147.463</v>
      </c>
      <c r="D1912" s="2">
        <f>HYPERLINK("http://mcb-m6.bioreg.kyushu-u.ac.jp/M3/20110429/F51154/3678/1", 81.62)</f>
        <v>81.62</v>
      </c>
      <c r="E1912" s="2">
        <v>70.58</v>
      </c>
      <c r="F1912" s="2">
        <v>2</v>
      </c>
      <c r="G1912" s="2" t="s">
        <v>13</v>
      </c>
    </row>
    <row r="1913" spans="1:7" x14ac:dyDescent="0.2">
      <c r="A1913" s="2" t="s">
        <v>3343</v>
      </c>
      <c r="B1913" s="2" t="s">
        <v>344</v>
      </c>
      <c r="C1913" s="2">
        <v>919.40620000000001</v>
      </c>
      <c r="D1913" s="2">
        <f>HYPERLINK("http://mcb-m6.bioreg.kyushu-u.ac.jp/M3/20110429/F51153/3187/1", 81.87)</f>
        <v>81.87</v>
      </c>
      <c r="E1913" s="2">
        <v>46.74</v>
      </c>
      <c r="F1913" s="2">
        <v>2</v>
      </c>
      <c r="G1913" s="2" t="s">
        <v>13</v>
      </c>
    </row>
    <row r="1914" spans="1:7" x14ac:dyDescent="0.2">
      <c r="A1914" s="2" t="s">
        <v>3343</v>
      </c>
      <c r="B1914" s="2" t="s">
        <v>325</v>
      </c>
      <c r="C1914" s="2">
        <v>739.51620000000003</v>
      </c>
      <c r="D1914" s="2">
        <f>HYPERLINK("http://mcb-m6.bioreg.kyushu-u.ac.jp/M3/20110429/F51153/1944/1", 81.88)</f>
        <v>81.88</v>
      </c>
      <c r="E1914" s="2">
        <v>70.430000000000007</v>
      </c>
      <c r="F1914" s="2">
        <v>2</v>
      </c>
      <c r="G1914" s="2" t="s">
        <v>13</v>
      </c>
    </row>
    <row r="1915" spans="1:7" x14ac:dyDescent="0.2">
      <c r="A1915" s="2" t="s">
        <v>3343</v>
      </c>
      <c r="B1915" s="2" t="s">
        <v>546</v>
      </c>
      <c r="C1915" s="2">
        <v>664.74620000000004</v>
      </c>
      <c r="D1915" s="2">
        <f>HYPERLINK("http://mcb-m6.bioreg.kyushu-u.ac.jp/M3/20110429/F51152/1503/2", 82.37)</f>
        <v>82.37</v>
      </c>
      <c r="E1915" s="2">
        <v>66.37</v>
      </c>
      <c r="F1915" s="2">
        <v>2</v>
      </c>
      <c r="G1915" s="2" t="s">
        <v>13</v>
      </c>
    </row>
    <row r="1916" spans="1:7" x14ac:dyDescent="0.2">
      <c r="A1916" s="2" t="s">
        <v>3343</v>
      </c>
      <c r="B1916" s="2" t="s">
        <v>1002</v>
      </c>
      <c r="C1916" s="2">
        <v>1147.643</v>
      </c>
      <c r="D1916" s="2">
        <f>HYPERLINK("http://mcb-m6.bioreg.kyushu-u.ac.jp/M3/20110429/F51152/3482/1", 82.48)</f>
        <v>82.48</v>
      </c>
      <c r="E1916" s="2">
        <v>63.34</v>
      </c>
      <c r="F1916" s="2">
        <v>2</v>
      </c>
      <c r="G1916" s="2" t="s">
        <v>13</v>
      </c>
    </row>
    <row r="1917" spans="1:7" x14ac:dyDescent="0.2">
      <c r="A1917" s="2" t="s">
        <v>3343</v>
      </c>
      <c r="B1917" s="2" t="s">
        <v>1002</v>
      </c>
      <c r="C1917" s="2">
        <v>1147.9760000000001</v>
      </c>
      <c r="D1917" s="2">
        <f>HYPERLINK("http://mcb-m6.bioreg.kyushu-u.ac.jp/M3/20110429/F51153/4017/1", 82.96)</f>
        <v>82.96</v>
      </c>
      <c r="E1917" s="2">
        <v>71.11</v>
      </c>
      <c r="F1917" s="2">
        <v>2</v>
      </c>
      <c r="G1917" s="2" t="s">
        <v>13</v>
      </c>
    </row>
    <row r="1918" spans="1:7" x14ac:dyDescent="0.2">
      <c r="A1918" s="2" t="s">
        <v>3343</v>
      </c>
      <c r="B1918" s="2" t="s">
        <v>1002</v>
      </c>
      <c r="C1918" s="2">
        <v>1147.6679999999999</v>
      </c>
      <c r="D1918" s="2">
        <f>HYPERLINK("http://mcb-m6.bioreg.kyushu-u.ac.jp/M3/20110429/F51152/3483/1", 83.03)</f>
        <v>83.03</v>
      </c>
      <c r="E1918" s="2">
        <v>65.349999999999994</v>
      </c>
      <c r="F1918" s="2">
        <v>2</v>
      </c>
      <c r="G1918" s="2" t="s">
        <v>13</v>
      </c>
    </row>
    <row r="1919" spans="1:7" x14ac:dyDescent="0.2">
      <c r="A1919" s="2" t="s">
        <v>3343</v>
      </c>
      <c r="B1919" s="2" t="s">
        <v>546</v>
      </c>
      <c r="C1919" s="2">
        <v>664.78369999999995</v>
      </c>
      <c r="D1919" s="2">
        <f>HYPERLINK("http://mcb-m6.bioreg.kyushu-u.ac.jp/M3/20110429/F51152/1506/2", 83.2)</f>
        <v>83.2</v>
      </c>
      <c r="E1919" s="2">
        <v>68.650000000000006</v>
      </c>
      <c r="F1919" s="2">
        <v>2</v>
      </c>
      <c r="G1919" s="2" t="s">
        <v>13</v>
      </c>
    </row>
    <row r="1920" spans="1:7" x14ac:dyDescent="0.2">
      <c r="A1920" s="2" t="s">
        <v>3343</v>
      </c>
      <c r="B1920" s="2" t="s">
        <v>1002</v>
      </c>
      <c r="C1920" s="2">
        <v>1147.3869999999999</v>
      </c>
      <c r="D1920" s="2">
        <f>HYPERLINK("http://mcb-m6.bioreg.kyushu-u.ac.jp/M3/20110429/F51152/3478/1", 83.21)</f>
        <v>83.21</v>
      </c>
      <c r="E1920" s="2">
        <v>76.69</v>
      </c>
      <c r="F1920" s="2">
        <v>2</v>
      </c>
      <c r="G1920" s="2" t="s">
        <v>13</v>
      </c>
    </row>
    <row r="1921" spans="1:8" x14ac:dyDescent="0.2">
      <c r="A1921" s="2" t="s">
        <v>3343</v>
      </c>
      <c r="B1921" s="2" t="s">
        <v>325</v>
      </c>
      <c r="C1921" s="2">
        <v>1477.5239999999999</v>
      </c>
      <c r="D1921" s="2">
        <f>HYPERLINK("http://mcb-m6.bioreg.kyushu-u.ac.jp/M3/20110429/F51152/1938/1", 83.78)</f>
        <v>83.78</v>
      </c>
      <c r="E1921" s="2">
        <v>68.66</v>
      </c>
      <c r="F1921" s="2">
        <v>1</v>
      </c>
      <c r="G1921" s="2" t="s">
        <v>13</v>
      </c>
    </row>
    <row r="1922" spans="1:8" x14ac:dyDescent="0.2">
      <c r="A1922" s="2" t="s">
        <v>3343</v>
      </c>
      <c r="B1922" s="2" t="s">
        <v>325</v>
      </c>
      <c r="C1922" s="2">
        <v>747.14170000000001</v>
      </c>
      <c r="D1922" s="2">
        <f>HYPERLINK("http://mcb-m6.bioreg.kyushu-u.ac.jp/M3/20110429/F51152/1997/1", 84.09)</f>
        <v>84.09</v>
      </c>
      <c r="E1922" s="2">
        <v>71.3</v>
      </c>
      <c r="F1922" s="2">
        <v>2</v>
      </c>
      <c r="G1922" s="2" t="s">
        <v>13</v>
      </c>
      <c r="H1922" s="2" t="s">
        <v>4925</v>
      </c>
    </row>
    <row r="1923" spans="1:8" x14ac:dyDescent="0.2">
      <c r="A1923" s="2" t="s">
        <v>3343</v>
      </c>
      <c r="B1923" s="2" t="s">
        <v>344</v>
      </c>
      <c r="C1923" s="2">
        <v>919.30269999999996</v>
      </c>
      <c r="D1923" s="2">
        <f>HYPERLINK("http://mcb-m6.bioreg.kyushu-u.ac.jp/M3/20110429/F51153/3182/1", 84.16)</f>
        <v>84.16</v>
      </c>
      <c r="E1923" s="2">
        <v>54.49</v>
      </c>
      <c r="F1923" s="2">
        <v>2</v>
      </c>
      <c r="G1923" s="2" t="s">
        <v>13</v>
      </c>
    </row>
    <row r="1924" spans="1:8" x14ac:dyDescent="0.2">
      <c r="A1924" s="2" t="s">
        <v>3343</v>
      </c>
      <c r="B1924" s="2" t="s">
        <v>1032</v>
      </c>
      <c r="C1924" s="2">
        <v>1163.326</v>
      </c>
      <c r="D1924" s="2">
        <f>HYPERLINK("http://mcb-m6.bioreg.kyushu-u.ac.jp/M3/20110429/F51152/3547/1", 84.38)</f>
        <v>84.38</v>
      </c>
      <c r="E1924" s="2">
        <v>72.040000000000006</v>
      </c>
      <c r="F1924" s="2">
        <v>2</v>
      </c>
      <c r="G1924" s="2" t="s">
        <v>13</v>
      </c>
    </row>
    <row r="1925" spans="1:8" x14ac:dyDescent="0.2">
      <c r="A1925" s="2" t="s">
        <v>3343</v>
      </c>
      <c r="B1925" s="2" t="s">
        <v>344</v>
      </c>
      <c r="C1925" s="2">
        <v>919.8492</v>
      </c>
      <c r="D1925" s="2">
        <f>HYPERLINK("http://mcb-m6.bioreg.kyushu-u.ac.jp/M3/20110429/F51153/3192/1", 84.53)</f>
        <v>84.53</v>
      </c>
      <c r="E1925" s="2">
        <v>57.56</v>
      </c>
      <c r="F1925" s="2">
        <v>2</v>
      </c>
      <c r="G1925" s="2" t="s">
        <v>13</v>
      </c>
    </row>
    <row r="1926" spans="1:8" x14ac:dyDescent="0.2">
      <c r="A1926" s="2" t="s">
        <v>3343</v>
      </c>
      <c r="B1926" s="2" t="s">
        <v>546</v>
      </c>
      <c r="C1926" s="2">
        <v>664.87159999999994</v>
      </c>
      <c r="D1926" s="2">
        <f>HYPERLINK("http://mcb-m6.bioreg.kyushu-u.ac.jp/M3/20110429/F51152/1509/2", 84.62)</f>
        <v>84.62</v>
      </c>
      <c r="E1926" s="2">
        <v>67.55</v>
      </c>
      <c r="F1926" s="2">
        <v>2</v>
      </c>
      <c r="G1926" s="2" t="s">
        <v>13</v>
      </c>
    </row>
    <row r="1927" spans="1:8" x14ac:dyDescent="0.2">
      <c r="A1927" s="2" t="s">
        <v>3343</v>
      </c>
      <c r="B1927" s="2" t="s">
        <v>344</v>
      </c>
      <c r="C1927" s="2">
        <v>919.40560000000005</v>
      </c>
      <c r="D1927" s="2">
        <f>HYPERLINK("http://mcb-m6.bioreg.kyushu-u.ac.jp/M3/20110429/F51157/2670/1", 84.78)</f>
        <v>84.78</v>
      </c>
      <c r="E1927" s="2">
        <v>56.59</v>
      </c>
      <c r="F1927" s="2">
        <v>2</v>
      </c>
      <c r="G1927" s="2" t="s">
        <v>13</v>
      </c>
    </row>
    <row r="1928" spans="1:8" x14ac:dyDescent="0.2">
      <c r="A1928" s="2" t="s">
        <v>3343</v>
      </c>
      <c r="B1928" s="2" t="s">
        <v>344</v>
      </c>
      <c r="C1928" s="2">
        <v>919.31410000000005</v>
      </c>
      <c r="D1928" s="2">
        <f>HYPERLINK("http://mcb-m6.bioreg.kyushu-u.ac.jp/M3/20110429/F51153/3183/1", 84.78)</f>
        <v>84.78</v>
      </c>
      <c r="E1928" s="2">
        <v>59.87</v>
      </c>
      <c r="F1928" s="2">
        <v>2</v>
      </c>
      <c r="G1928" s="2" t="s">
        <v>13</v>
      </c>
    </row>
    <row r="1929" spans="1:8" x14ac:dyDescent="0.2">
      <c r="A1929" s="2" t="s">
        <v>3343</v>
      </c>
      <c r="B1929" s="2" t="s">
        <v>344</v>
      </c>
      <c r="C1929" s="2">
        <v>919.78120000000001</v>
      </c>
      <c r="D1929" s="2">
        <f>HYPERLINK("http://mcb-m6.bioreg.kyushu-u.ac.jp/M3/20110429/F51152/2871/1", 84.8)</f>
        <v>84.8</v>
      </c>
      <c r="E1929" s="2">
        <v>52.89</v>
      </c>
      <c r="F1929" s="2">
        <v>2</v>
      </c>
      <c r="G1929" s="2" t="s">
        <v>13</v>
      </c>
    </row>
    <row r="1930" spans="1:8" x14ac:dyDescent="0.2">
      <c r="A1930" s="2" t="s">
        <v>3343</v>
      </c>
      <c r="B1930" s="2" t="s">
        <v>344</v>
      </c>
      <c r="C1930" s="2">
        <v>919.30110000000002</v>
      </c>
      <c r="D1930" s="2">
        <f>HYPERLINK("http://mcb-m6.bioreg.kyushu-u.ac.jp/M3/20110429/F51152/2864/1", 84.87)</f>
        <v>84.87</v>
      </c>
      <c r="E1930" s="2">
        <v>58.88</v>
      </c>
      <c r="F1930" s="2">
        <v>2</v>
      </c>
      <c r="G1930" s="2" t="s">
        <v>13</v>
      </c>
    </row>
    <row r="1931" spans="1:8" x14ac:dyDescent="0.2">
      <c r="A1931" s="2" t="s">
        <v>3343</v>
      </c>
      <c r="B1931" s="2" t="s">
        <v>546</v>
      </c>
      <c r="C1931" s="2">
        <v>664.74109999999996</v>
      </c>
      <c r="D1931" s="2">
        <f>HYPERLINK("http://mcb-m6.bioreg.kyushu-u.ac.jp/M3/20110429/F51152/1501/2", 84.89)</f>
        <v>84.89</v>
      </c>
      <c r="E1931" s="2">
        <v>68.22</v>
      </c>
      <c r="F1931" s="2">
        <v>2</v>
      </c>
      <c r="G1931" s="2" t="s">
        <v>13</v>
      </c>
    </row>
    <row r="1932" spans="1:8" x14ac:dyDescent="0.2">
      <c r="A1932" s="2" t="s">
        <v>3343</v>
      </c>
      <c r="B1932" s="2" t="s">
        <v>1189</v>
      </c>
      <c r="C1932" s="2">
        <v>1069.5650000000001</v>
      </c>
      <c r="D1932" s="2">
        <f>HYPERLINK("http://mcb-m6.bioreg.kyushu-u.ac.jp/M3/20110429/F51152/3239/1", 85.79)</f>
        <v>85.79</v>
      </c>
      <c r="E1932" s="2">
        <v>70.61</v>
      </c>
      <c r="F1932" s="2">
        <v>2</v>
      </c>
      <c r="G1932" s="2" t="s">
        <v>13</v>
      </c>
    </row>
    <row r="1933" spans="1:8" x14ac:dyDescent="0.2">
      <c r="A1933" s="2" t="s">
        <v>3343</v>
      </c>
      <c r="B1933" s="2" t="s">
        <v>546</v>
      </c>
      <c r="C1933" s="2">
        <v>664.71310000000005</v>
      </c>
      <c r="D1933" s="2">
        <f>HYPERLINK("http://mcb-m6.bioreg.kyushu-u.ac.jp/M3/20110429/F51152/1499/2", 85.88)</f>
        <v>85.88</v>
      </c>
      <c r="E1933" s="2">
        <v>71.099999999999994</v>
      </c>
      <c r="F1933" s="2">
        <v>2</v>
      </c>
      <c r="G1933" s="2" t="s">
        <v>13</v>
      </c>
    </row>
    <row r="1934" spans="1:8" x14ac:dyDescent="0.2">
      <c r="A1934" s="2" t="s">
        <v>3343</v>
      </c>
      <c r="B1934" s="2" t="s">
        <v>1002</v>
      </c>
      <c r="C1934" s="2">
        <v>1147.491</v>
      </c>
      <c r="D1934" s="2">
        <f>HYPERLINK("http://mcb-m6.bioreg.kyushu-u.ac.jp/M3/20110429/F51157/3417/1", 87.12)</f>
        <v>87.12</v>
      </c>
      <c r="E1934" s="2">
        <v>71.55</v>
      </c>
      <c r="F1934" s="2">
        <v>2</v>
      </c>
      <c r="G1934" s="2" t="s">
        <v>13</v>
      </c>
    </row>
    <row r="1935" spans="1:8" x14ac:dyDescent="0.2">
      <c r="A1935" s="2" t="s">
        <v>3343</v>
      </c>
      <c r="B1935" s="2" t="s">
        <v>344</v>
      </c>
      <c r="C1935" s="2">
        <v>919.33259999999996</v>
      </c>
      <c r="D1935" s="2">
        <f>HYPERLINK("http://mcb-m6.bioreg.kyushu-u.ac.jp/M3/20110429/F51153/3184/1", 88.16)</f>
        <v>88.16</v>
      </c>
      <c r="E1935" s="2">
        <v>56.16</v>
      </c>
      <c r="F1935" s="2">
        <v>2</v>
      </c>
      <c r="G1935" s="2" t="s">
        <v>13</v>
      </c>
    </row>
    <row r="1936" spans="1:8" x14ac:dyDescent="0.2">
      <c r="A1936" s="2" t="s">
        <v>3343</v>
      </c>
      <c r="B1936" s="2" t="s">
        <v>1032</v>
      </c>
      <c r="C1936" s="2">
        <v>1164.1969999999999</v>
      </c>
      <c r="D1936" s="2">
        <f>HYPERLINK("http://mcb-m6.bioreg.kyushu-u.ac.jp/M3/20110429/F51152/3558/1", 88.77)</f>
        <v>88.77</v>
      </c>
      <c r="E1936" s="2">
        <v>79.5</v>
      </c>
      <c r="F1936" s="2">
        <v>2</v>
      </c>
      <c r="G1936" s="2" t="s">
        <v>13</v>
      </c>
    </row>
    <row r="1937" spans="1:7" x14ac:dyDescent="0.2">
      <c r="A1937" s="2" t="s">
        <v>3343</v>
      </c>
      <c r="B1937" s="2" t="s">
        <v>344</v>
      </c>
      <c r="C1937" s="2">
        <v>919.29719999999998</v>
      </c>
      <c r="D1937" s="2">
        <f>HYPERLINK("http://mcb-m6.bioreg.kyushu-u.ac.jp/M3/20110429/F51152/2863/1", 89.92)</f>
        <v>89.92</v>
      </c>
      <c r="E1937" s="2">
        <v>67.17</v>
      </c>
      <c r="F1937" s="2">
        <v>2</v>
      </c>
      <c r="G1937" s="2" t="s">
        <v>13</v>
      </c>
    </row>
    <row r="1938" spans="1:7" x14ac:dyDescent="0.2">
      <c r="A1938" s="2" t="s">
        <v>3343</v>
      </c>
      <c r="B1938" s="2" t="s">
        <v>1496</v>
      </c>
      <c r="C1938" s="2">
        <v>967.49270000000001</v>
      </c>
      <c r="D1938" s="2">
        <f>HYPERLINK("http://mcb-m6.bioreg.kyushu-u.ac.jp/M3/20110429/F51152/2992/1", 91.14)</f>
        <v>91.14</v>
      </c>
      <c r="E1938" s="2">
        <v>70.540000000000006</v>
      </c>
      <c r="F1938" s="2">
        <v>2</v>
      </c>
      <c r="G1938" s="2" t="s">
        <v>13</v>
      </c>
    </row>
    <row r="1939" spans="1:7" x14ac:dyDescent="0.2">
      <c r="A1939" s="2" t="s">
        <v>3343</v>
      </c>
      <c r="B1939" s="2" t="s">
        <v>1189</v>
      </c>
      <c r="C1939" s="2">
        <v>1069.886</v>
      </c>
      <c r="D1939" s="2">
        <f>HYPERLINK("http://mcb-m6.bioreg.kyushu-u.ac.jp/M3/20110429/F51157/3213/1", 91.62)</f>
        <v>91.62</v>
      </c>
      <c r="E1939" s="2">
        <v>80.08</v>
      </c>
      <c r="F1939" s="2">
        <v>2</v>
      </c>
      <c r="G1939" s="2" t="s">
        <v>13</v>
      </c>
    </row>
    <row r="1940" spans="1:7" x14ac:dyDescent="0.2">
      <c r="A1940" s="2" t="s">
        <v>3343</v>
      </c>
      <c r="B1940" s="2" t="s">
        <v>546</v>
      </c>
      <c r="C1940" s="2">
        <v>664.78020000000004</v>
      </c>
      <c r="D1940" s="2">
        <f>HYPERLINK("http://mcb-m6.bioreg.kyushu-u.ac.jp/M3/20110429/F51152/1505/2", 91.94)</f>
        <v>91.94</v>
      </c>
      <c r="E1940" s="2">
        <v>70.989999999999995</v>
      </c>
      <c r="F1940" s="2">
        <v>2</v>
      </c>
      <c r="G1940" s="2" t="s">
        <v>13</v>
      </c>
    </row>
    <row r="1941" spans="1:7" x14ac:dyDescent="0.2">
      <c r="A1941" s="2" t="s">
        <v>3343</v>
      </c>
      <c r="B1941" s="2" t="s">
        <v>1032</v>
      </c>
      <c r="C1941" s="2">
        <v>1163.7370000000001</v>
      </c>
      <c r="D1941" s="2">
        <f>HYPERLINK("http://mcb-m6.bioreg.kyushu-u.ac.jp/M3/20110429/F51157/3457/1", 92.6)</f>
        <v>92.6</v>
      </c>
      <c r="E1941" s="2">
        <v>83.94</v>
      </c>
      <c r="F1941" s="2">
        <v>2</v>
      </c>
      <c r="G1941" s="2" t="s">
        <v>13</v>
      </c>
    </row>
    <row r="1942" spans="1:7" x14ac:dyDescent="0.2">
      <c r="A1942" s="2" t="s">
        <v>3343</v>
      </c>
      <c r="B1942" s="2" t="s">
        <v>1189</v>
      </c>
      <c r="C1942" s="2">
        <v>1069.8910000000001</v>
      </c>
      <c r="D1942" s="2">
        <f>HYPERLINK("http://mcb-m6.bioreg.kyushu-u.ac.jp/M3/20110429/F51153/3721/1", 93.32)</f>
        <v>93.32</v>
      </c>
      <c r="E1942" s="2">
        <v>82.36</v>
      </c>
      <c r="F1942" s="2">
        <v>2</v>
      </c>
      <c r="G1942" s="2" t="s">
        <v>13</v>
      </c>
    </row>
    <row r="1943" spans="1:7" x14ac:dyDescent="0.2">
      <c r="A1943" s="2" t="s">
        <v>3343</v>
      </c>
      <c r="B1943" s="2" t="s">
        <v>1032</v>
      </c>
      <c r="C1943" s="2">
        <v>1164.1769999999999</v>
      </c>
      <c r="D1943" s="2">
        <f>HYPERLINK("http://mcb-m6.bioreg.kyushu-u.ac.jp/M3/20110429/F51153/4089/1", 93.41)</f>
        <v>93.41</v>
      </c>
      <c r="E1943" s="2">
        <v>75.540000000000006</v>
      </c>
      <c r="F1943" s="2">
        <v>2</v>
      </c>
      <c r="G1943" s="2" t="s">
        <v>13</v>
      </c>
    </row>
    <row r="1944" spans="1:7" x14ac:dyDescent="0.2">
      <c r="A1944" s="2" t="s">
        <v>3343</v>
      </c>
      <c r="B1944" s="2" t="s">
        <v>325</v>
      </c>
      <c r="C1944" s="2">
        <v>739.31709999999998</v>
      </c>
      <c r="D1944" s="2">
        <f>HYPERLINK("http://mcb-m6.bioreg.kyushu-u.ac.jp/M3/20110429/F51153/1941/1", 93.53)</f>
        <v>93.53</v>
      </c>
      <c r="E1944" s="2">
        <v>81.97</v>
      </c>
      <c r="F1944" s="2">
        <v>2</v>
      </c>
      <c r="G1944" s="2" t="s">
        <v>13</v>
      </c>
    </row>
    <row r="1945" spans="1:7" x14ac:dyDescent="0.2">
      <c r="A1945" s="2" t="s">
        <v>3343</v>
      </c>
      <c r="B1945" s="2" t="s">
        <v>1032</v>
      </c>
      <c r="C1945" s="2">
        <v>1163.7829999999999</v>
      </c>
      <c r="D1945" s="2">
        <f>HYPERLINK("http://mcb-m6.bioreg.kyushu-u.ac.jp/M3/20110429/F51157/3458/1", 94)</f>
        <v>94</v>
      </c>
      <c r="E1945" s="2">
        <v>84.12</v>
      </c>
      <c r="F1945" s="2">
        <v>2</v>
      </c>
      <c r="G1945" s="2" t="s">
        <v>13</v>
      </c>
    </row>
    <row r="1946" spans="1:7" x14ac:dyDescent="0.2">
      <c r="A1946" s="2" t="s">
        <v>3343</v>
      </c>
      <c r="B1946" s="2" t="s">
        <v>1002</v>
      </c>
      <c r="C1946" s="2">
        <v>1147.4159999999999</v>
      </c>
      <c r="D1946" s="2">
        <f>HYPERLINK("http://mcb-m6.bioreg.kyushu-u.ac.jp/M3/20110429/F51152/3479/1", 94.07)</f>
        <v>94.07</v>
      </c>
      <c r="E1946" s="2">
        <v>82.8</v>
      </c>
      <c r="F1946" s="2">
        <v>2</v>
      </c>
      <c r="G1946" s="2" t="s">
        <v>13</v>
      </c>
    </row>
    <row r="1947" spans="1:7" x14ac:dyDescent="0.2">
      <c r="A1947" s="2" t="s">
        <v>3343</v>
      </c>
      <c r="B1947" s="2" t="s">
        <v>344</v>
      </c>
      <c r="C1947" s="2">
        <v>919.31709999999998</v>
      </c>
      <c r="D1947" s="2">
        <f>HYPERLINK("http://mcb-m6.bioreg.kyushu-u.ac.jp/M3/20110429/F51152/2865/1", 94.37)</f>
        <v>94.37</v>
      </c>
      <c r="E1947" s="2">
        <v>67.099999999999994</v>
      </c>
      <c r="F1947" s="2">
        <v>2</v>
      </c>
      <c r="G1947" s="2" t="s">
        <v>13</v>
      </c>
    </row>
    <row r="1948" spans="1:7" x14ac:dyDescent="0.2">
      <c r="A1948" s="2" t="s">
        <v>3343</v>
      </c>
      <c r="B1948" s="2" t="s">
        <v>325</v>
      </c>
      <c r="C1948" s="2">
        <v>739.73419999999999</v>
      </c>
      <c r="D1948" s="2">
        <f>HYPERLINK("http://mcb-m6.bioreg.kyushu-u.ac.jp/M3/20110429/F51152/1942/1", 95.41)</f>
        <v>95.41</v>
      </c>
      <c r="E1948" s="2">
        <v>73.19</v>
      </c>
      <c r="F1948" s="2">
        <v>2</v>
      </c>
      <c r="G1948" s="2" t="s">
        <v>13</v>
      </c>
    </row>
    <row r="1949" spans="1:7" x14ac:dyDescent="0.2">
      <c r="A1949" s="2" t="s">
        <v>3343</v>
      </c>
      <c r="B1949" s="2" t="s">
        <v>325</v>
      </c>
      <c r="C1949" s="2">
        <v>739.27869999999996</v>
      </c>
      <c r="D1949" s="2">
        <f>HYPERLINK("http://mcb-m6.bioreg.kyushu-u.ac.jp/M3/20110429/F51153/1939/1", 99.47)</f>
        <v>99.47</v>
      </c>
      <c r="E1949" s="2">
        <v>85.05</v>
      </c>
      <c r="F1949" s="2">
        <v>2</v>
      </c>
      <c r="G1949" s="2" t="s">
        <v>13</v>
      </c>
    </row>
    <row r="1950" spans="1:7" x14ac:dyDescent="0.2">
      <c r="A1950" s="2" t="s">
        <v>3343</v>
      </c>
      <c r="B1950" s="2" t="s">
        <v>325</v>
      </c>
      <c r="C1950" s="2">
        <v>739.24220000000003</v>
      </c>
      <c r="D1950" s="2">
        <f>HYPERLINK("http://mcb-m6.bioreg.kyushu-u.ac.jp/M3/20110429/F51152/1936/1", 99.64)</f>
        <v>99.64</v>
      </c>
      <c r="E1950" s="2">
        <v>87.04</v>
      </c>
      <c r="F1950" s="2">
        <v>2</v>
      </c>
      <c r="G1950" s="2" t="s">
        <v>13</v>
      </c>
    </row>
    <row r="1951" spans="1:7" x14ac:dyDescent="0.2">
      <c r="A1951" s="2" t="s">
        <v>3343</v>
      </c>
      <c r="B1951" s="2" t="s">
        <v>1002</v>
      </c>
      <c r="C1951" s="2">
        <v>1147.3630000000001</v>
      </c>
      <c r="D1951" s="2">
        <f>HYPERLINK("http://mcb-m6.bioreg.kyushu-u.ac.jp/M3/20110429/F51153/4000/1", 100.56)</f>
        <v>100.56</v>
      </c>
      <c r="E1951" s="2">
        <v>84.27</v>
      </c>
      <c r="F1951" s="2">
        <v>2</v>
      </c>
      <c r="G1951" s="2" t="s">
        <v>13</v>
      </c>
    </row>
    <row r="1952" spans="1:7" x14ac:dyDescent="0.2">
      <c r="A1952" s="2" t="s">
        <v>3343</v>
      </c>
      <c r="B1952" s="2" t="s">
        <v>1032</v>
      </c>
      <c r="C1952" s="2">
        <v>1163.6479999999999</v>
      </c>
      <c r="D1952" s="2">
        <f>HYPERLINK("http://mcb-m6.bioreg.kyushu-u.ac.jp/M3/20110429/F51152/3552/1", 100.94)</f>
        <v>100.94</v>
      </c>
      <c r="E1952" s="2">
        <v>89.85</v>
      </c>
      <c r="F1952" s="2">
        <v>2</v>
      </c>
      <c r="G1952" s="2" t="s">
        <v>13</v>
      </c>
    </row>
    <row r="1953" spans="1:8" x14ac:dyDescent="0.2">
      <c r="A1953" s="2" t="s">
        <v>3343</v>
      </c>
      <c r="B1953" s="2" t="s">
        <v>1189</v>
      </c>
      <c r="C1953" s="2">
        <v>1069.8620000000001</v>
      </c>
      <c r="D1953" s="2">
        <f>HYPERLINK("http://mcb-m6.bioreg.kyushu-u.ac.jp/M3/20110429/F51152/3243/1", 101.03)</f>
        <v>101.03</v>
      </c>
      <c r="E1953" s="2">
        <v>83.91</v>
      </c>
      <c r="F1953" s="2">
        <v>2</v>
      </c>
      <c r="G1953" s="2" t="s">
        <v>13</v>
      </c>
    </row>
    <row r="1954" spans="1:8" x14ac:dyDescent="0.2">
      <c r="A1954" s="2" t="s">
        <v>3343</v>
      </c>
      <c r="B1954" s="2" t="s">
        <v>1032</v>
      </c>
      <c r="C1954" s="2">
        <v>1163.6790000000001</v>
      </c>
      <c r="D1954" s="2">
        <f>HYPERLINK("http://mcb-m6.bioreg.kyushu-u.ac.jp/M3/20110429/F51153/4084/1", 102.3)</f>
        <v>102.3</v>
      </c>
      <c r="E1954" s="2">
        <v>90.98</v>
      </c>
      <c r="F1954" s="2">
        <v>2</v>
      </c>
      <c r="G1954" s="2" t="s">
        <v>13</v>
      </c>
    </row>
    <row r="1955" spans="1:8" x14ac:dyDescent="0.2">
      <c r="A1955" s="2" t="s">
        <v>3343</v>
      </c>
      <c r="B1955" s="2" t="s">
        <v>325</v>
      </c>
      <c r="C1955" s="2">
        <v>739.71169999999995</v>
      </c>
      <c r="D1955" s="2">
        <f>HYPERLINK("http://mcb-m6.bioreg.kyushu-u.ac.jp/M3/20110429/F51152/1941/1", 103.89)</f>
        <v>103.89</v>
      </c>
      <c r="E1955" s="2">
        <v>89.73</v>
      </c>
      <c r="F1955" s="2">
        <v>2</v>
      </c>
      <c r="G1955" s="2" t="s">
        <v>13</v>
      </c>
    </row>
    <row r="1956" spans="1:8" x14ac:dyDescent="0.2">
      <c r="A1956" s="2" t="s">
        <v>3343</v>
      </c>
      <c r="B1956" s="2" t="s">
        <v>1211</v>
      </c>
      <c r="C1956" s="2">
        <v>1161.395</v>
      </c>
      <c r="D1956" s="2">
        <f>HYPERLINK("http://mcb-m6.bioreg.kyushu-u.ac.jp/M3/20110429/F51152/3539/1", 106.15)</f>
        <v>106.15</v>
      </c>
      <c r="E1956" s="2">
        <v>86.31</v>
      </c>
      <c r="F1956" s="2">
        <v>2</v>
      </c>
      <c r="G1956" s="2" t="s">
        <v>13</v>
      </c>
      <c r="H1956" s="2" t="s">
        <v>4891</v>
      </c>
    </row>
    <row r="1957" spans="1:8" x14ac:dyDescent="0.2">
      <c r="A1957" s="2" t="s">
        <v>3343</v>
      </c>
      <c r="B1957" s="2" t="s">
        <v>1189</v>
      </c>
      <c r="C1957" s="2">
        <v>1069.5920000000001</v>
      </c>
      <c r="D1957" s="2">
        <f>HYPERLINK("http://mcb-m6.bioreg.kyushu-u.ac.jp/M3/20110429/F51152/3240/1", 106.58)</f>
        <v>106.58</v>
      </c>
      <c r="E1957" s="2">
        <v>93.53</v>
      </c>
      <c r="F1957" s="2">
        <v>2</v>
      </c>
      <c r="G1957" s="2" t="s">
        <v>13</v>
      </c>
    </row>
    <row r="1958" spans="1:8" x14ac:dyDescent="0.2">
      <c r="A1958" s="2" t="s">
        <v>3343</v>
      </c>
      <c r="B1958" s="2" t="s">
        <v>1496</v>
      </c>
      <c r="C1958" s="2">
        <v>966.85770000000002</v>
      </c>
      <c r="D1958" s="2">
        <f>HYPERLINK("http://mcb-m6.bioreg.kyushu-u.ac.jp/M3/20110429/F51152/2991/1", 107.82)</f>
        <v>107.82</v>
      </c>
      <c r="E1958" s="2">
        <v>91.21</v>
      </c>
      <c r="F1958" s="2">
        <v>2</v>
      </c>
      <c r="G1958" s="2" t="s">
        <v>13</v>
      </c>
    </row>
    <row r="1959" spans="1:8" x14ac:dyDescent="0.2">
      <c r="A1959" s="2" t="s">
        <v>3343</v>
      </c>
      <c r="B1959" s="2" t="s">
        <v>325</v>
      </c>
      <c r="C1959" s="2">
        <v>739.26260000000002</v>
      </c>
      <c r="D1959" s="2">
        <f>HYPERLINK("http://mcb-m6.bioreg.kyushu-u.ac.jp/M3/20110429/F51152/1937/1", 108.12)</f>
        <v>108.12</v>
      </c>
      <c r="E1959" s="2">
        <v>83.56</v>
      </c>
      <c r="F1959" s="2">
        <v>2</v>
      </c>
      <c r="G1959" s="2" t="s">
        <v>13</v>
      </c>
    </row>
    <row r="1960" spans="1:8" x14ac:dyDescent="0.2">
      <c r="A1960" s="2" t="s">
        <v>3343</v>
      </c>
      <c r="B1960" s="2" t="s">
        <v>1032</v>
      </c>
      <c r="C1960" s="2">
        <v>1163.6089999999999</v>
      </c>
      <c r="D1960" s="2">
        <f>HYPERLINK("http://mcb-m6.bioreg.kyushu-u.ac.jp/M3/20110429/F51152/3551/1", 108.59)</f>
        <v>108.59</v>
      </c>
      <c r="E1960" s="2">
        <v>94.66</v>
      </c>
      <c r="F1960" s="2">
        <v>2</v>
      </c>
      <c r="G1960" s="2" t="s">
        <v>13</v>
      </c>
    </row>
    <row r="1961" spans="1:8" x14ac:dyDescent="0.2">
      <c r="A1961" s="2" t="s">
        <v>3343</v>
      </c>
      <c r="B1961" s="2" t="s">
        <v>1032</v>
      </c>
      <c r="C1961" s="2">
        <v>1163.49</v>
      </c>
      <c r="D1961" s="2">
        <f>HYPERLINK("http://mcb-m6.bioreg.kyushu-u.ac.jp/M3/20110429/F51152/3550/1", 114.21)</f>
        <v>114.21</v>
      </c>
      <c r="E1961" s="2">
        <v>97.12</v>
      </c>
      <c r="F1961" s="2">
        <v>2</v>
      </c>
      <c r="G1961" s="2" t="s">
        <v>13</v>
      </c>
    </row>
    <row r="1962" spans="1:8" x14ac:dyDescent="0.2">
      <c r="A1962" s="2" t="s">
        <v>3343</v>
      </c>
      <c r="B1962" s="2" t="s">
        <v>1189</v>
      </c>
      <c r="C1962" s="2">
        <v>1069.3320000000001</v>
      </c>
      <c r="D1962" s="2">
        <f>HYPERLINK("http://mcb-m6.bioreg.kyushu-u.ac.jp/M3/20110429/F51152/3236/1", 118.4)</f>
        <v>118.4</v>
      </c>
      <c r="E1962" s="2">
        <v>104.36</v>
      </c>
      <c r="F1962" s="2">
        <v>2</v>
      </c>
      <c r="G1962" s="2" t="s">
        <v>13</v>
      </c>
    </row>
    <row r="1963" spans="1:8" x14ac:dyDescent="0.2">
      <c r="A1963" s="2" t="s">
        <v>3343</v>
      </c>
      <c r="B1963" s="2" t="s">
        <v>546</v>
      </c>
      <c r="C1963" s="2">
        <v>664.83259999999996</v>
      </c>
      <c r="D1963" s="2">
        <f>HYPERLINK("http://mcb-m6.bioreg.kyushu-u.ac.jp/M3/20110428/F51141/1461/2", 35.38)</f>
        <v>35.380000000000003</v>
      </c>
      <c r="E1963" s="2">
        <v>22.96</v>
      </c>
      <c r="F1963" s="2">
        <v>2</v>
      </c>
      <c r="G1963" s="2" t="s">
        <v>14</v>
      </c>
    </row>
    <row r="1964" spans="1:8" x14ac:dyDescent="0.2">
      <c r="A1964" s="2" t="s">
        <v>3343</v>
      </c>
      <c r="B1964" s="2" t="s">
        <v>132</v>
      </c>
      <c r="C1964" s="2">
        <v>578.88509999999997</v>
      </c>
      <c r="D1964" s="2">
        <f>HYPERLINK("http://mcb-m6.bioreg.kyushu-u.ac.jp/M3/20110428/F51142/1268/1", 35.41)</f>
        <v>35.409999999999997</v>
      </c>
      <c r="E1964" s="2">
        <v>10.56</v>
      </c>
      <c r="F1964" s="2">
        <v>2</v>
      </c>
      <c r="G1964" s="2" t="s">
        <v>14</v>
      </c>
    </row>
    <row r="1965" spans="1:8" x14ac:dyDescent="0.2">
      <c r="A1965" s="2" t="s">
        <v>3343</v>
      </c>
      <c r="B1965" s="2" t="s">
        <v>704</v>
      </c>
      <c r="C1965" s="2">
        <v>1204.6379999999999</v>
      </c>
      <c r="D1965" s="2">
        <f>HYPERLINK("http://mcb-m6.bioreg.kyushu-u.ac.jp/M3/20110428/F51140/1321/1", 36.45)</f>
        <v>36.450000000000003</v>
      </c>
      <c r="E1965" s="2">
        <v>11.08</v>
      </c>
      <c r="F1965" s="2">
        <v>1</v>
      </c>
      <c r="G1965" s="2" t="s">
        <v>14</v>
      </c>
    </row>
    <row r="1966" spans="1:8" x14ac:dyDescent="0.2">
      <c r="A1966" s="2" t="s">
        <v>3343</v>
      </c>
      <c r="B1966" s="2" t="s">
        <v>132</v>
      </c>
      <c r="C1966" s="2">
        <v>1155.896</v>
      </c>
      <c r="D1966" s="2">
        <f>HYPERLINK("http://mcb-m6.bioreg.kyushu-u.ac.jp/M3/20110502/F51159/1298/1", 36.63)</f>
        <v>36.630000000000003</v>
      </c>
      <c r="E1966" s="2">
        <v>10.84</v>
      </c>
      <c r="F1966" s="2">
        <v>1</v>
      </c>
      <c r="G1966" s="2" t="s">
        <v>14</v>
      </c>
    </row>
    <row r="1967" spans="1:8" x14ac:dyDescent="0.2">
      <c r="A1967" s="2" t="s">
        <v>3343</v>
      </c>
      <c r="B1967" s="2" t="s">
        <v>428</v>
      </c>
      <c r="C1967" s="2">
        <v>451.8956</v>
      </c>
      <c r="D1967" s="2">
        <f>HYPERLINK("http://mcb-m6.bioreg.kyushu-u.ac.jp/M3/20110428/F51140/678/1", 36.94)</f>
        <v>36.94</v>
      </c>
      <c r="E1967" s="2">
        <v>10.82</v>
      </c>
      <c r="F1967" s="2">
        <v>2</v>
      </c>
      <c r="G1967" s="2" t="s">
        <v>14</v>
      </c>
    </row>
    <row r="1968" spans="1:8" x14ac:dyDescent="0.2">
      <c r="A1968" s="2" t="s">
        <v>3343</v>
      </c>
      <c r="B1968" s="2" t="s">
        <v>943</v>
      </c>
      <c r="C1968" s="2">
        <v>506.89359999999999</v>
      </c>
      <c r="D1968" s="2">
        <f>HYPERLINK("http://mcb-m6.bioreg.kyushu-u.ac.jp/M3/20110428/F51140/908/1", 37.55)</f>
        <v>37.549999999999997</v>
      </c>
      <c r="E1968" s="2">
        <v>16.059999999999999</v>
      </c>
      <c r="F1968" s="2">
        <v>2</v>
      </c>
      <c r="G1968" s="2" t="s">
        <v>14</v>
      </c>
    </row>
    <row r="1969" spans="1:8" x14ac:dyDescent="0.2">
      <c r="A1969" s="2" t="s">
        <v>3343</v>
      </c>
      <c r="B1969" s="2" t="s">
        <v>443</v>
      </c>
      <c r="C1969" s="2">
        <v>509.2901</v>
      </c>
      <c r="D1969" s="2">
        <f>HYPERLINK("http://mcb-m6.bioreg.kyushu-u.ac.jp/M3/20110428/F51140/921/1", 37.83)</f>
        <v>37.83</v>
      </c>
      <c r="E1969" s="2">
        <v>11.7</v>
      </c>
      <c r="F1969" s="2">
        <v>2</v>
      </c>
      <c r="G1969" s="2" t="s">
        <v>14</v>
      </c>
    </row>
    <row r="1970" spans="1:8" x14ac:dyDescent="0.2">
      <c r="A1970" s="2" t="s">
        <v>3343</v>
      </c>
      <c r="B1970" s="2" t="s">
        <v>2359</v>
      </c>
      <c r="C1970" s="2">
        <v>678.89760000000001</v>
      </c>
      <c r="D1970" s="2">
        <f>HYPERLINK("http://mcb-m6.bioreg.kyushu-u.ac.jp/M3/20110428/F51140/1606/1", 38.11)</f>
        <v>38.11</v>
      </c>
      <c r="E1970" s="2">
        <v>19.02</v>
      </c>
      <c r="F1970" s="2">
        <v>2</v>
      </c>
      <c r="G1970" s="2" t="s">
        <v>14</v>
      </c>
    </row>
    <row r="1971" spans="1:8" x14ac:dyDescent="0.2">
      <c r="A1971" s="2" t="s">
        <v>3343</v>
      </c>
      <c r="B1971" s="2" t="s">
        <v>509</v>
      </c>
      <c r="C1971" s="2">
        <v>717.92909999999995</v>
      </c>
      <c r="D1971" s="2">
        <f>HYPERLINK("http://mcb-m6.bioreg.kyushu-u.ac.jp/M3/20110428/F51140/1842/1", 38.46)</f>
        <v>38.46</v>
      </c>
      <c r="E1971" s="2">
        <v>24.08</v>
      </c>
      <c r="F1971" s="2">
        <v>2</v>
      </c>
      <c r="G1971" s="2" t="s">
        <v>14</v>
      </c>
    </row>
    <row r="1972" spans="1:8" x14ac:dyDescent="0.2">
      <c r="A1972" s="2" t="s">
        <v>3343</v>
      </c>
      <c r="B1972" s="2" t="s">
        <v>132</v>
      </c>
      <c r="C1972" s="2">
        <v>578.73360000000002</v>
      </c>
      <c r="D1972" s="2">
        <f>HYPERLINK("http://mcb-m6.bioreg.kyushu-u.ac.jp/M3/20110428/F51141/1044/1", 38.65)</f>
        <v>38.65</v>
      </c>
      <c r="E1972" s="2">
        <v>19.420000000000002</v>
      </c>
      <c r="F1972" s="2">
        <v>2</v>
      </c>
      <c r="G1972" s="2" t="s">
        <v>14</v>
      </c>
    </row>
    <row r="1973" spans="1:8" x14ac:dyDescent="0.2">
      <c r="A1973" s="2" t="s">
        <v>3343</v>
      </c>
      <c r="B1973" s="2" t="s">
        <v>704</v>
      </c>
      <c r="C1973" s="2">
        <v>603.31320000000005</v>
      </c>
      <c r="D1973" s="2">
        <f>HYPERLINK("http://mcb-m6.bioreg.kyushu-u.ac.jp/M3/20110428/F51140/1323/1", 39.52)</f>
        <v>39.520000000000003</v>
      </c>
      <c r="E1973" s="2">
        <v>13.79</v>
      </c>
      <c r="F1973" s="2">
        <v>2</v>
      </c>
      <c r="G1973" s="2" t="s">
        <v>14</v>
      </c>
    </row>
    <row r="1974" spans="1:8" x14ac:dyDescent="0.2">
      <c r="A1974" s="2" t="s">
        <v>3343</v>
      </c>
      <c r="B1974" s="2" t="s">
        <v>428</v>
      </c>
      <c r="C1974" s="2">
        <v>452.2586</v>
      </c>
      <c r="D1974" s="2">
        <f>HYPERLINK("http://mcb-m6.bioreg.kyushu-u.ac.jp/M3/20110428/F51140/685/1", 39.72)</f>
        <v>39.72</v>
      </c>
      <c r="E1974" s="2">
        <v>20.12</v>
      </c>
      <c r="F1974" s="2">
        <v>2</v>
      </c>
      <c r="G1974" s="2" t="s">
        <v>14</v>
      </c>
    </row>
    <row r="1975" spans="1:8" x14ac:dyDescent="0.2">
      <c r="A1975" s="2" t="s">
        <v>3343</v>
      </c>
      <c r="B1975" s="2" t="s">
        <v>132</v>
      </c>
      <c r="C1975" s="2">
        <v>578.36969999999997</v>
      </c>
      <c r="D1975" s="2">
        <f>HYPERLINK("http://mcb-m6.bioreg.kyushu-u.ac.jp/M3/20110428/F51141/1040/1", 39.85)</f>
        <v>39.85</v>
      </c>
      <c r="E1975" s="2">
        <v>18.170000000000002</v>
      </c>
      <c r="F1975" s="2">
        <v>2</v>
      </c>
      <c r="G1975" s="2" t="s">
        <v>14</v>
      </c>
    </row>
    <row r="1976" spans="1:8" x14ac:dyDescent="0.2">
      <c r="A1976" s="2" t="s">
        <v>3343</v>
      </c>
      <c r="B1976" s="2" t="s">
        <v>428</v>
      </c>
      <c r="C1976" s="2">
        <v>902.58100000000002</v>
      </c>
      <c r="D1976" s="2">
        <f>HYPERLINK("http://mcb-m6.bioreg.kyushu-u.ac.jp/M3/20110428/F51140/672/1", 39.92)</f>
        <v>39.92</v>
      </c>
      <c r="E1976" s="2">
        <v>20.32</v>
      </c>
      <c r="F1976" s="2">
        <v>1</v>
      </c>
      <c r="G1976" s="2" t="s">
        <v>14</v>
      </c>
    </row>
    <row r="1977" spans="1:8" x14ac:dyDescent="0.2">
      <c r="A1977" s="2" t="s">
        <v>3343</v>
      </c>
      <c r="B1977" s="2" t="s">
        <v>132</v>
      </c>
      <c r="C1977" s="2">
        <v>578.81960000000004</v>
      </c>
      <c r="D1977" s="2">
        <f>HYPERLINK("http://mcb-m6.bioreg.kyushu-u.ac.jp/M3/20110428/F51141/1045/1", 39.92)</f>
        <v>39.92</v>
      </c>
      <c r="E1977" s="2">
        <v>17.8</v>
      </c>
      <c r="F1977" s="2">
        <v>2</v>
      </c>
      <c r="G1977" s="2" t="s">
        <v>14</v>
      </c>
    </row>
    <row r="1978" spans="1:8" x14ac:dyDescent="0.2">
      <c r="A1978" s="2" t="s">
        <v>3343</v>
      </c>
      <c r="B1978" s="2" t="s">
        <v>443</v>
      </c>
      <c r="C1978" s="2">
        <v>509.2201</v>
      </c>
      <c r="D1978" s="2">
        <f>HYPERLINK("http://mcb-m6.bioreg.kyushu-u.ac.jp/M3/20110428/F51140/920/1", 40.56)</f>
        <v>40.56</v>
      </c>
      <c r="E1978" s="2">
        <v>15.34</v>
      </c>
      <c r="F1978" s="2">
        <v>2</v>
      </c>
      <c r="G1978" s="2" t="s">
        <v>14</v>
      </c>
    </row>
    <row r="1979" spans="1:8" x14ac:dyDescent="0.2">
      <c r="A1979" s="2" t="s">
        <v>3343</v>
      </c>
      <c r="B1979" s="2" t="s">
        <v>210</v>
      </c>
      <c r="C1979" s="2">
        <v>547.09310000000005</v>
      </c>
      <c r="D1979" s="2">
        <f>HYPERLINK("http://mcb-m6.bioreg.kyushu-u.ac.jp/M3/20110428/F51140/1064/1", 41.74)</f>
        <v>41.74</v>
      </c>
      <c r="E1979" s="2">
        <v>15.19</v>
      </c>
      <c r="F1979" s="2">
        <v>2</v>
      </c>
      <c r="G1979" s="2" t="s">
        <v>14</v>
      </c>
    </row>
    <row r="1980" spans="1:8" x14ac:dyDescent="0.2">
      <c r="A1980" s="2" t="s">
        <v>3343</v>
      </c>
      <c r="B1980" s="2" t="s">
        <v>509</v>
      </c>
      <c r="C1980" s="2">
        <v>725.46969999999999</v>
      </c>
      <c r="D1980" s="2">
        <f>HYPERLINK("http://mcb-m6.bioreg.kyushu-u.ac.jp/M3/20110428/F51140/1886/1", 41.84)</f>
        <v>41.84</v>
      </c>
      <c r="E1980" s="2">
        <v>32.69</v>
      </c>
      <c r="F1980" s="2">
        <v>2</v>
      </c>
      <c r="G1980" s="2" t="s">
        <v>14</v>
      </c>
      <c r="H1980" s="2" t="s">
        <v>4927</v>
      </c>
    </row>
    <row r="1981" spans="1:8" x14ac:dyDescent="0.2">
      <c r="A1981" s="2" t="s">
        <v>3343</v>
      </c>
      <c r="B1981" s="2" t="s">
        <v>546</v>
      </c>
      <c r="C1981" s="2">
        <v>1328.711</v>
      </c>
      <c r="D1981" s="2">
        <f>HYPERLINK("http://mcb-m6.bioreg.kyushu-u.ac.jp/M3/20110428/F51140/1535/2", 42.2)</f>
        <v>42.2</v>
      </c>
      <c r="E1981" s="2">
        <v>34.479999999999997</v>
      </c>
      <c r="F1981" s="2">
        <v>1</v>
      </c>
      <c r="G1981" s="2" t="s">
        <v>14</v>
      </c>
    </row>
    <row r="1982" spans="1:8" x14ac:dyDescent="0.2">
      <c r="A1982" s="2" t="s">
        <v>3343</v>
      </c>
      <c r="B1982" s="2" t="s">
        <v>328</v>
      </c>
      <c r="C1982" s="2">
        <v>573.75459999999998</v>
      </c>
      <c r="D1982" s="2">
        <f>HYPERLINK("http://mcb-m6.bioreg.kyushu-u.ac.jp/M3/20110428/F51140/1167/1", 42.43)</f>
        <v>42.43</v>
      </c>
      <c r="E1982" s="2">
        <v>18.399999999999999</v>
      </c>
      <c r="F1982" s="2">
        <v>2</v>
      </c>
      <c r="G1982" s="2" t="s">
        <v>14</v>
      </c>
    </row>
    <row r="1983" spans="1:8" x14ac:dyDescent="0.2">
      <c r="A1983" s="2" t="s">
        <v>3343</v>
      </c>
      <c r="B1983" s="2" t="s">
        <v>132</v>
      </c>
      <c r="C1983" s="2">
        <v>578.86659999999995</v>
      </c>
      <c r="D1983" s="2">
        <f>HYPERLINK("http://mcb-m6.bioreg.kyushu-u.ac.jp/M3/20110428/F51141/1049/1", 42.51)</f>
        <v>42.51</v>
      </c>
      <c r="E1983" s="2">
        <v>24.92</v>
      </c>
      <c r="F1983" s="2">
        <v>2</v>
      </c>
      <c r="G1983" s="2" t="s">
        <v>14</v>
      </c>
    </row>
    <row r="1984" spans="1:8" x14ac:dyDescent="0.2">
      <c r="A1984" s="2" t="s">
        <v>3343</v>
      </c>
      <c r="B1984" s="2" t="s">
        <v>546</v>
      </c>
      <c r="C1984" s="2">
        <v>664.95370000000003</v>
      </c>
      <c r="D1984" s="2">
        <f>HYPERLINK("http://mcb-m6.bioreg.kyushu-u.ac.jp/M3/20110428/F51138/1964/2", 42.77)</f>
        <v>42.77</v>
      </c>
      <c r="E1984" s="2">
        <v>25.72</v>
      </c>
      <c r="F1984" s="2">
        <v>2</v>
      </c>
      <c r="G1984" s="2" t="s">
        <v>14</v>
      </c>
    </row>
    <row r="1985" spans="1:8" x14ac:dyDescent="0.2">
      <c r="A1985" s="2" t="s">
        <v>3343</v>
      </c>
      <c r="B1985" s="2" t="s">
        <v>210</v>
      </c>
      <c r="C1985" s="2">
        <v>554.76369999999997</v>
      </c>
      <c r="D1985" s="2">
        <f>HYPERLINK("http://mcb-m6.bioreg.kyushu-u.ac.jp/M3/20110428/F51140/1091/1", 42.86)</f>
        <v>42.86</v>
      </c>
      <c r="E1985" s="2">
        <v>20.149999999999999</v>
      </c>
      <c r="F1985" s="2">
        <v>2</v>
      </c>
      <c r="G1985" s="2" t="s">
        <v>14</v>
      </c>
      <c r="H1985" s="2" t="s">
        <v>4910</v>
      </c>
    </row>
    <row r="1986" spans="1:8" x14ac:dyDescent="0.2">
      <c r="A1986" s="2" t="s">
        <v>3343</v>
      </c>
      <c r="B1986" s="2" t="s">
        <v>132</v>
      </c>
      <c r="C1986" s="2">
        <v>578.28859999999997</v>
      </c>
      <c r="D1986" s="2">
        <f>HYPERLINK("http://mcb-m6.bioreg.kyushu-u.ac.jp/M3/20110428/F51138/1696/1", 43.15)</f>
        <v>43.15</v>
      </c>
      <c r="E1986" s="2">
        <v>24.02</v>
      </c>
      <c r="F1986" s="2">
        <v>2</v>
      </c>
      <c r="G1986" s="2" t="s">
        <v>14</v>
      </c>
    </row>
    <row r="1987" spans="1:8" x14ac:dyDescent="0.2">
      <c r="A1987" s="2" t="s">
        <v>3343</v>
      </c>
      <c r="B1987" s="2" t="s">
        <v>704</v>
      </c>
      <c r="C1987" s="2">
        <v>611.13509999999997</v>
      </c>
      <c r="D1987" s="2">
        <f>HYPERLINK("http://mcb-m6.bioreg.kyushu-u.ac.jp/M3/20110428/F51140/1366/1", 44.03)</f>
        <v>44.03</v>
      </c>
      <c r="E1987" s="2">
        <v>19.920000000000002</v>
      </c>
      <c r="F1987" s="2">
        <v>2</v>
      </c>
      <c r="G1987" s="2" t="s">
        <v>14</v>
      </c>
      <c r="H1987" s="2" t="s">
        <v>4908</v>
      </c>
    </row>
    <row r="1988" spans="1:8" x14ac:dyDescent="0.2">
      <c r="A1988" s="2" t="s">
        <v>3343</v>
      </c>
      <c r="B1988" s="2" t="s">
        <v>325</v>
      </c>
      <c r="C1988" s="2">
        <v>739.40369999999996</v>
      </c>
      <c r="D1988" s="2">
        <f>HYPERLINK("http://mcb-m6.bioreg.kyushu-u.ac.jp/M3/20110428/F51141/1909/1", 44.05)</f>
        <v>44.05</v>
      </c>
      <c r="E1988" s="2">
        <v>33.61</v>
      </c>
      <c r="F1988" s="2">
        <v>2</v>
      </c>
      <c r="G1988" s="2" t="s">
        <v>14</v>
      </c>
    </row>
    <row r="1989" spans="1:8" x14ac:dyDescent="0.2">
      <c r="A1989" s="2" t="s">
        <v>3343</v>
      </c>
      <c r="B1989" s="2" t="s">
        <v>132</v>
      </c>
      <c r="C1989" s="2">
        <v>1155.6610000000001</v>
      </c>
      <c r="D1989" s="2">
        <f>HYPERLINK("http://mcb-m6.bioreg.kyushu-u.ac.jp/M3/20110428/F51141/1037/1", 44.26)</f>
        <v>44.26</v>
      </c>
      <c r="E1989" s="2">
        <v>20.48</v>
      </c>
      <c r="F1989" s="2">
        <v>1</v>
      </c>
      <c r="G1989" s="2" t="s">
        <v>14</v>
      </c>
    </row>
    <row r="1990" spans="1:8" x14ac:dyDescent="0.2">
      <c r="A1990" s="2" t="s">
        <v>3343</v>
      </c>
      <c r="B1990" s="2" t="s">
        <v>132</v>
      </c>
      <c r="C1990" s="2">
        <v>1155.626</v>
      </c>
      <c r="D1990" s="2">
        <f>HYPERLINK("http://mcb-m6.bioreg.kyushu-u.ac.jp/M3/20110428/F51140/1189/1", 44.36)</f>
        <v>44.36</v>
      </c>
      <c r="E1990" s="2">
        <v>22.27</v>
      </c>
      <c r="F1990" s="2">
        <v>1</v>
      </c>
      <c r="G1990" s="2" t="s">
        <v>14</v>
      </c>
    </row>
    <row r="1991" spans="1:8" x14ac:dyDescent="0.2">
      <c r="A1991" s="2" t="s">
        <v>3343</v>
      </c>
      <c r="B1991" s="2" t="s">
        <v>428</v>
      </c>
      <c r="C1991" s="2">
        <v>452.1361</v>
      </c>
      <c r="D1991" s="2">
        <f>HYPERLINK("http://mcb-m6.bioreg.kyushu-u.ac.jp/M3/20110428/F51140/684/1", 44.38)</f>
        <v>44.38</v>
      </c>
      <c r="E1991" s="2">
        <v>21.49</v>
      </c>
      <c r="F1991" s="2">
        <v>2</v>
      </c>
      <c r="G1991" s="2" t="s">
        <v>14</v>
      </c>
    </row>
    <row r="1992" spans="1:8" x14ac:dyDescent="0.2">
      <c r="A1992" s="2" t="s">
        <v>3343</v>
      </c>
      <c r="B1992" s="2" t="s">
        <v>132</v>
      </c>
      <c r="C1992" s="2">
        <v>1156.806</v>
      </c>
      <c r="D1992" s="2">
        <f>HYPERLINK("http://mcb-m6.bioreg.kyushu-u.ac.jp/M3/20110428/F51140/1205/1", 44.8)</f>
        <v>44.8</v>
      </c>
      <c r="E1992" s="2">
        <v>31.24</v>
      </c>
      <c r="F1992" s="2">
        <v>1</v>
      </c>
      <c r="G1992" s="2" t="s">
        <v>14</v>
      </c>
    </row>
    <row r="1993" spans="1:8" x14ac:dyDescent="0.2">
      <c r="A1993" s="2" t="s">
        <v>3343</v>
      </c>
      <c r="B1993" s="2" t="s">
        <v>509</v>
      </c>
      <c r="C1993" s="2">
        <v>1432.7</v>
      </c>
      <c r="D1993" s="2">
        <f>HYPERLINK("http://mcb-m6.bioreg.kyushu-u.ac.jp/M3/20110428/F51140/1832/1", 44.88)</f>
        <v>44.88</v>
      </c>
      <c r="E1993" s="2">
        <v>36.32</v>
      </c>
      <c r="F1993" s="2">
        <v>1</v>
      </c>
      <c r="G1993" s="2" t="s">
        <v>14</v>
      </c>
      <c r="H1993" s="2" t="s">
        <v>4931</v>
      </c>
    </row>
    <row r="1994" spans="1:8" x14ac:dyDescent="0.2">
      <c r="A1994" s="2" t="s">
        <v>3343</v>
      </c>
      <c r="B1994" s="2" t="s">
        <v>1032</v>
      </c>
      <c r="C1994" s="2">
        <v>1163.6130000000001</v>
      </c>
      <c r="D1994" s="2">
        <f>HYPERLINK("http://mcb-m6.bioreg.kyushu-u.ac.jp/M3/20110428/F51140/3526/1", 45.49)</f>
        <v>45.49</v>
      </c>
      <c r="E1994" s="2">
        <v>41.86</v>
      </c>
      <c r="F1994" s="2">
        <v>2</v>
      </c>
      <c r="G1994" s="2" t="s">
        <v>14</v>
      </c>
    </row>
    <row r="1995" spans="1:8" x14ac:dyDescent="0.2">
      <c r="A1995" s="2" t="s">
        <v>3343</v>
      </c>
      <c r="B1995" s="2" t="s">
        <v>558</v>
      </c>
      <c r="C1995" s="2">
        <v>729.49469999999997</v>
      </c>
      <c r="D1995" s="2">
        <f>HYPERLINK("http://mcb-m6.bioreg.kyushu-u.ac.jp/M3/20110428/F51142/1968/1", 46.04)</f>
        <v>46.04</v>
      </c>
      <c r="E1995" s="2">
        <v>31.01</v>
      </c>
      <c r="F1995" s="2">
        <v>2</v>
      </c>
      <c r="G1995" s="2" t="s">
        <v>14</v>
      </c>
    </row>
    <row r="1996" spans="1:8" x14ac:dyDescent="0.2">
      <c r="A1996" s="2" t="s">
        <v>3343</v>
      </c>
      <c r="B1996" s="2" t="s">
        <v>344</v>
      </c>
      <c r="C1996" s="2">
        <v>919.94119999999998</v>
      </c>
      <c r="D1996" s="2">
        <f>HYPERLINK("http://mcb-m6.bioreg.kyushu-u.ac.jp/M3/20110502/F51159/2747/1", 46.68)</f>
        <v>46.68</v>
      </c>
      <c r="E1996" s="2">
        <v>35.9</v>
      </c>
      <c r="F1996" s="2">
        <v>2</v>
      </c>
      <c r="G1996" s="2" t="s">
        <v>14</v>
      </c>
    </row>
    <row r="1997" spans="1:8" x14ac:dyDescent="0.2">
      <c r="A1997" s="2" t="s">
        <v>3343</v>
      </c>
      <c r="B1997" s="2" t="s">
        <v>428</v>
      </c>
      <c r="C1997" s="2">
        <v>451.86709999999999</v>
      </c>
      <c r="D1997" s="2">
        <f>HYPERLINK("http://mcb-m6.bioreg.kyushu-u.ac.jp/M3/20110428/F51141/499/1", 47.1)</f>
        <v>47.1</v>
      </c>
      <c r="E1997" s="2">
        <v>22.75</v>
      </c>
      <c r="F1997" s="2">
        <v>2</v>
      </c>
      <c r="G1997" s="2" t="s">
        <v>14</v>
      </c>
    </row>
    <row r="1998" spans="1:8" x14ac:dyDescent="0.2">
      <c r="A1998" s="2" t="s">
        <v>3343</v>
      </c>
      <c r="B1998" s="2" t="s">
        <v>704</v>
      </c>
      <c r="C1998" s="2">
        <v>611.28719999999998</v>
      </c>
      <c r="D1998" s="2">
        <f>HYPERLINK("http://mcb-m6.bioreg.kyushu-u.ac.jp/M3/20110428/F51136/2050/1", 47.26)</f>
        <v>47.26</v>
      </c>
      <c r="E1998" s="2">
        <v>26.07</v>
      </c>
      <c r="F1998" s="2">
        <v>2</v>
      </c>
      <c r="G1998" s="2" t="s">
        <v>14</v>
      </c>
      <c r="H1998" s="2" t="s">
        <v>4908</v>
      </c>
    </row>
    <row r="1999" spans="1:8" x14ac:dyDescent="0.2">
      <c r="A1999" s="2" t="s">
        <v>3343</v>
      </c>
      <c r="B1999" s="2" t="s">
        <v>428</v>
      </c>
      <c r="C1999" s="2">
        <v>452.05759999999998</v>
      </c>
      <c r="D1999" s="2">
        <f>HYPERLINK("http://mcb-m6.bioreg.kyushu-u.ac.jp/M3/20110502/F51160/472/1", 48.69)</f>
        <v>48.69</v>
      </c>
      <c r="E1999" s="2">
        <v>19.690000000000001</v>
      </c>
      <c r="F1999" s="2">
        <v>2</v>
      </c>
      <c r="G1999" s="2" t="s">
        <v>14</v>
      </c>
    </row>
    <row r="2000" spans="1:8" x14ac:dyDescent="0.2">
      <c r="A2000" s="2" t="s">
        <v>3343</v>
      </c>
      <c r="B2000" s="2" t="s">
        <v>428</v>
      </c>
      <c r="C2000" s="2">
        <v>451.2176</v>
      </c>
      <c r="D2000" s="2">
        <f>HYPERLINK("http://mcb-m6.bioreg.kyushu-u.ac.jp/M3/20110428/F51140/670/1", 48.93)</f>
        <v>48.93</v>
      </c>
      <c r="E2000" s="2">
        <v>20.059999999999999</v>
      </c>
      <c r="F2000" s="2">
        <v>2</v>
      </c>
      <c r="G2000" s="2" t="s">
        <v>14</v>
      </c>
    </row>
    <row r="2001" spans="1:7" x14ac:dyDescent="0.2">
      <c r="A2001" s="2" t="s">
        <v>3343</v>
      </c>
      <c r="B2001" s="2" t="s">
        <v>546</v>
      </c>
      <c r="C2001" s="2">
        <v>665.39319999999998</v>
      </c>
      <c r="D2001" s="2">
        <f>HYPERLINK("http://mcb-m6.bioreg.kyushu-u.ac.jp/M3/20110428/F51141/1467/2", 49.63)</f>
        <v>49.63</v>
      </c>
      <c r="E2001" s="2">
        <v>34.119999999999997</v>
      </c>
      <c r="F2001" s="2">
        <v>2</v>
      </c>
      <c r="G2001" s="2" t="s">
        <v>14</v>
      </c>
    </row>
    <row r="2002" spans="1:7" x14ac:dyDescent="0.2">
      <c r="A2002" s="2" t="s">
        <v>3343</v>
      </c>
      <c r="B2002" s="2" t="s">
        <v>546</v>
      </c>
      <c r="C2002" s="2">
        <v>665.33810000000005</v>
      </c>
      <c r="D2002" s="2">
        <f>HYPERLINK("http://mcb-m6.bioreg.kyushu-u.ac.jp/M3/20110428/F51141/1465/2", 50.38)</f>
        <v>50.38</v>
      </c>
      <c r="E2002" s="2">
        <v>33.93</v>
      </c>
      <c r="F2002" s="2">
        <v>2</v>
      </c>
      <c r="G2002" s="2" t="s">
        <v>14</v>
      </c>
    </row>
    <row r="2003" spans="1:7" x14ac:dyDescent="0.2">
      <c r="A2003" s="2" t="s">
        <v>3343</v>
      </c>
      <c r="B2003" s="2" t="s">
        <v>546</v>
      </c>
      <c r="C2003" s="2">
        <v>665.3981</v>
      </c>
      <c r="D2003" s="2">
        <f>HYPERLINK("http://mcb-m6.bioreg.kyushu-u.ac.jp/M3/20110502/F51159/1643/2", 50.67)</f>
        <v>50.67</v>
      </c>
      <c r="E2003" s="2">
        <v>35.299999999999997</v>
      </c>
      <c r="F2003" s="2">
        <v>2</v>
      </c>
      <c r="G2003" s="2" t="s">
        <v>14</v>
      </c>
    </row>
    <row r="2004" spans="1:7" x14ac:dyDescent="0.2">
      <c r="A2004" s="2" t="s">
        <v>3343</v>
      </c>
      <c r="B2004" s="2" t="s">
        <v>2359</v>
      </c>
      <c r="C2004" s="2">
        <v>678.82669999999996</v>
      </c>
      <c r="D2004" s="2">
        <f>HYPERLINK("http://mcb-m6.bioreg.kyushu-u.ac.jp/M3/20110428/F51140/1602/1", 50.7)</f>
        <v>50.7</v>
      </c>
      <c r="E2004" s="2">
        <v>30.5</v>
      </c>
      <c r="F2004" s="2">
        <v>2</v>
      </c>
      <c r="G2004" s="2" t="s">
        <v>14</v>
      </c>
    </row>
    <row r="2005" spans="1:7" x14ac:dyDescent="0.2">
      <c r="A2005" s="2" t="s">
        <v>3343</v>
      </c>
      <c r="B2005" s="2" t="s">
        <v>428</v>
      </c>
      <c r="C2005" s="2">
        <v>451.81310000000002</v>
      </c>
      <c r="D2005" s="2">
        <f>HYPERLINK("http://mcb-m6.bioreg.kyushu-u.ac.jp/M3/20110428/F51140/673/1", 50.96)</f>
        <v>50.96</v>
      </c>
      <c r="E2005" s="2">
        <v>24.53</v>
      </c>
      <c r="F2005" s="2">
        <v>2</v>
      </c>
      <c r="G2005" s="2" t="s">
        <v>14</v>
      </c>
    </row>
    <row r="2006" spans="1:7" x14ac:dyDescent="0.2">
      <c r="A2006" s="2" t="s">
        <v>3343</v>
      </c>
      <c r="B2006" s="2" t="s">
        <v>1032</v>
      </c>
      <c r="C2006" s="2">
        <v>776.40520000000004</v>
      </c>
      <c r="D2006" s="2">
        <f>HYPERLINK("http://mcb-m6.bioreg.kyushu-u.ac.jp/M3/20110428/F51140/3530/1", 51.32)</f>
        <v>51.32</v>
      </c>
      <c r="E2006" s="2">
        <v>31.66</v>
      </c>
      <c r="F2006" s="2">
        <v>3</v>
      </c>
      <c r="G2006" s="2" t="s">
        <v>14</v>
      </c>
    </row>
    <row r="2007" spans="1:7" x14ac:dyDescent="0.2">
      <c r="A2007" s="2" t="s">
        <v>3343</v>
      </c>
      <c r="B2007" s="2" t="s">
        <v>132</v>
      </c>
      <c r="C2007" s="2">
        <v>578.84169999999995</v>
      </c>
      <c r="D2007" s="2">
        <f>HYPERLINK("http://mcb-m6.bioreg.kyushu-u.ac.jp/M3/20110428/F51140/1200/1", 51.82)</f>
        <v>51.82</v>
      </c>
      <c r="E2007" s="2">
        <v>20.190000000000001</v>
      </c>
      <c r="F2007" s="2">
        <v>2</v>
      </c>
      <c r="G2007" s="2" t="s">
        <v>14</v>
      </c>
    </row>
    <row r="2008" spans="1:7" x14ac:dyDescent="0.2">
      <c r="A2008" s="2" t="s">
        <v>3343</v>
      </c>
      <c r="B2008" s="2" t="s">
        <v>132</v>
      </c>
      <c r="C2008" s="2">
        <v>578.37570000000005</v>
      </c>
      <c r="D2008" s="2">
        <f>HYPERLINK("http://mcb-m6.bioreg.kyushu-u.ac.jp/M3/20110428/F51140/1193/1", 52.15)</f>
        <v>52.15</v>
      </c>
      <c r="E2008" s="2">
        <v>29.2</v>
      </c>
      <c r="F2008" s="2">
        <v>2</v>
      </c>
      <c r="G2008" s="2" t="s">
        <v>14</v>
      </c>
    </row>
    <row r="2009" spans="1:7" x14ac:dyDescent="0.2">
      <c r="A2009" s="2" t="s">
        <v>3343</v>
      </c>
      <c r="B2009" s="2" t="s">
        <v>428</v>
      </c>
      <c r="C2009" s="2">
        <v>451.81659999999999</v>
      </c>
      <c r="D2009" s="2">
        <f>HYPERLINK("http://mcb-m6.bioreg.kyushu-u.ac.jp/M3/20110428/F51140/674/1", 52.17)</f>
        <v>52.17</v>
      </c>
      <c r="E2009" s="2">
        <v>27.18</v>
      </c>
      <c r="F2009" s="2">
        <v>2</v>
      </c>
      <c r="G2009" s="2" t="s">
        <v>14</v>
      </c>
    </row>
    <row r="2010" spans="1:7" x14ac:dyDescent="0.2">
      <c r="A2010" s="2" t="s">
        <v>3343</v>
      </c>
      <c r="B2010" s="2" t="s">
        <v>943</v>
      </c>
      <c r="C2010" s="2">
        <v>507.12110000000001</v>
      </c>
      <c r="D2010" s="2">
        <f>HYPERLINK("http://mcb-m6.bioreg.kyushu-u.ac.jp/M3/20110502/F51159/988/1", 52.19)</f>
        <v>52.19</v>
      </c>
      <c r="E2010" s="2">
        <v>33.97</v>
      </c>
      <c r="F2010" s="2">
        <v>2</v>
      </c>
      <c r="G2010" s="2" t="s">
        <v>14</v>
      </c>
    </row>
    <row r="2011" spans="1:7" x14ac:dyDescent="0.2">
      <c r="A2011" s="2" t="s">
        <v>3343</v>
      </c>
      <c r="B2011" s="2" t="s">
        <v>132</v>
      </c>
      <c r="C2011" s="2">
        <v>578.40520000000004</v>
      </c>
      <c r="D2011" s="2">
        <f>HYPERLINK("http://mcb-m6.bioreg.kyushu-u.ac.jp/M3/20110428/F51141/1042/1", 52.23)</f>
        <v>52.23</v>
      </c>
      <c r="E2011" s="2">
        <v>28.52</v>
      </c>
      <c r="F2011" s="2">
        <v>2</v>
      </c>
      <c r="G2011" s="2" t="s">
        <v>14</v>
      </c>
    </row>
    <row r="2012" spans="1:7" x14ac:dyDescent="0.2">
      <c r="A2012" s="2" t="s">
        <v>3343</v>
      </c>
      <c r="B2012" s="2" t="s">
        <v>344</v>
      </c>
      <c r="C2012" s="2">
        <v>919.91060000000004</v>
      </c>
      <c r="D2012" s="2">
        <f>HYPERLINK("http://mcb-m6.bioreg.kyushu-u.ac.jp/M3/20110428/F51141/3028/1", 52.4)</f>
        <v>52.4</v>
      </c>
      <c r="E2012" s="2">
        <v>38.01</v>
      </c>
      <c r="F2012" s="2">
        <v>2</v>
      </c>
      <c r="G2012" s="2" t="s">
        <v>14</v>
      </c>
    </row>
    <row r="2013" spans="1:7" x14ac:dyDescent="0.2">
      <c r="A2013" s="2" t="s">
        <v>3343</v>
      </c>
      <c r="B2013" s="2" t="s">
        <v>509</v>
      </c>
      <c r="C2013" s="2">
        <v>717.37270000000001</v>
      </c>
      <c r="D2013" s="2">
        <f>HYPERLINK("http://mcb-m6.bioreg.kyushu-u.ac.jp/M3/20110428/F51141/1777/1", 53.66)</f>
        <v>53.66</v>
      </c>
      <c r="E2013" s="2">
        <v>40.35</v>
      </c>
      <c r="F2013" s="2">
        <v>2</v>
      </c>
      <c r="G2013" s="2" t="s">
        <v>14</v>
      </c>
    </row>
    <row r="2014" spans="1:7" x14ac:dyDescent="0.2">
      <c r="A2014" s="2" t="s">
        <v>3343</v>
      </c>
      <c r="B2014" s="2" t="s">
        <v>1032</v>
      </c>
      <c r="C2014" s="2">
        <v>1163.597</v>
      </c>
      <c r="D2014" s="2">
        <f>HYPERLINK("http://mcb-m6.bioreg.kyushu-u.ac.jp/M3/20110428/F51140/3525/1", 53.68)</f>
        <v>53.68</v>
      </c>
      <c r="E2014" s="2">
        <v>38.659999999999997</v>
      </c>
      <c r="F2014" s="2">
        <v>2</v>
      </c>
      <c r="G2014" s="2" t="s">
        <v>14</v>
      </c>
    </row>
    <row r="2015" spans="1:7" x14ac:dyDescent="0.2">
      <c r="A2015" s="2" t="s">
        <v>3343</v>
      </c>
      <c r="B2015" s="2" t="s">
        <v>132</v>
      </c>
      <c r="C2015" s="2">
        <v>578.80219999999997</v>
      </c>
      <c r="D2015" s="2">
        <f>HYPERLINK("http://mcb-m6.bioreg.kyushu-u.ac.jp/M3/20110428/F51140/1198/1", 53.73)</f>
        <v>53.73</v>
      </c>
      <c r="E2015" s="2">
        <v>29.55</v>
      </c>
      <c r="F2015" s="2">
        <v>2</v>
      </c>
      <c r="G2015" s="2" t="s">
        <v>14</v>
      </c>
    </row>
    <row r="2016" spans="1:7" x14ac:dyDescent="0.2">
      <c r="A2016" s="2" t="s">
        <v>3343</v>
      </c>
      <c r="B2016" s="2" t="s">
        <v>132</v>
      </c>
      <c r="C2016" s="2">
        <v>578.9366</v>
      </c>
      <c r="D2016" s="2">
        <f>HYPERLINK("http://mcb-m6.bioreg.kyushu-u.ac.jp/M3/20110502/F51159/1306/1", 53.76)</f>
        <v>53.76</v>
      </c>
      <c r="E2016" s="2">
        <v>20.93</v>
      </c>
      <c r="F2016" s="2">
        <v>2</v>
      </c>
      <c r="G2016" s="2" t="s">
        <v>14</v>
      </c>
    </row>
    <row r="2017" spans="1:8" x14ac:dyDescent="0.2">
      <c r="A2017" s="2" t="s">
        <v>3343</v>
      </c>
      <c r="B2017" s="2" t="s">
        <v>132</v>
      </c>
      <c r="C2017" s="2">
        <v>578.5231</v>
      </c>
      <c r="D2017" s="2">
        <f>HYPERLINK("http://mcb-m6.bioreg.kyushu-u.ac.jp/M3/20110428/F51140/1195/1", 54.4)</f>
        <v>54.4</v>
      </c>
      <c r="E2017" s="2">
        <v>26.35</v>
      </c>
      <c r="F2017" s="2">
        <v>2</v>
      </c>
      <c r="G2017" s="2" t="s">
        <v>14</v>
      </c>
    </row>
    <row r="2018" spans="1:8" x14ac:dyDescent="0.2">
      <c r="A2018" s="2" t="s">
        <v>3343</v>
      </c>
      <c r="B2018" s="2" t="s">
        <v>428</v>
      </c>
      <c r="C2018" s="2">
        <v>451.9366</v>
      </c>
      <c r="D2018" s="2">
        <f>HYPERLINK("http://mcb-m6.bioreg.kyushu-u.ac.jp/M3/20110502/F51159/752/1", 54.92)</f>
        <v>54.92</v>
      </c>
      <c r="E2018" s="2">
        <v>30.38</v>
      </c>
      <c r="F2018" s="2">
        <v>2</v>
      </c>
      <c r="G2018" s="2" t="s">
        <v>14</v>
      </c>
    </row>
    <row r="2019" spans="1:8" x14ac:dyDescent="0.2">
      <c r="A2019" s="2" t="s">
        <v>3343</v>
      </c>
      <c r="B2019" s="2" t="s">
        <v>132</v>
      </c>
      <c r="C2019" s="2">
        <v>578.81410000000005</v>
      </c>
      <c r="D2019" s="2">
        <f>HYPERLINK("http://mcb-m6.bioreg.kyushu-u.ac.jp/M3/20110428/F51140/1199/1", 55.31)</f>
        <v>55.31</v>
      </c>
      <c r="E2019" s="2">
        <v>15.7</v>
      </c>
      <c r="F2019" s="2">
        <v>2</v>
      </c>
      <c r="G2019" s="2" t="s">
        <v>14</v>
      </c>
    </row>
    <row r="2020" spans="1:8" x14ac:dyDescent="0.2">
      <c r="A2020" s="2" t="s">
        <v>3343</v>
      </c>
      <c r="B2020" s="2" t="s">
        <v>704</v>
      </c>
      <c r="C2020" s="2">
        <v>610.87369999999999</v>
      </c>
      <c r="D2020" s="2">
        <f>HYPERLINK("http://mcb-m6.bioreg.kyushu-u.ac.jp/M3/20110428/F51140/1361/1", 55.61)</f>
        <v>55.61</v>
      </c>
      <c r="E2020" s="2">
        <v>23.82</v>
      </c>
      <c r="F2020" s="2">
        <v>2</v>
      </c>
      <c r="G2020" s="2" t="s">
        <v>14</v>
      </c>
      <c r="H2020" s="2" t="s">
        <v>4908</v>
      </c>
    </row>
    <row r="2021" spans="1:8" x14ac:dyDescent="0.2">
      <c r="A2021" s="2" t="s">
        <v>3343</v>
      </c>
      <c r="B2021" s="2" t="s">
        <v>132</v>
      </c>
      <c r="C2021" s="2">
        <v>578.84370000000001</v>
      </c>
      <c r="D2021" s="2">
        <f>HYPERLINK("http://mcb-m6.bioreg.kyushu-u.ac.jp/M3/20110428/F51140/1201/1", 56.25)</f>
        <v>56.25</v>
      </c>
      <c r="E2021" s="2">
        <v>31.1</v>
      </c>
      <c r="F2021" s="2">
        <v>2</v>
      </c>
      <c r="G2021" s="2" t="s">
        <v>14</v>
      </c>
    </row>
    <row r="2022" spans="1:8" x14ac:dyDescent="0.2">
      <c r="A2022" s="2" t="s">
        <v>3343</v>
      </c>
      <c r="B2022" s="2" t="s">
        <v>132</v>
      </c>
      <c r="C2022" s="2">
        <v>1156.72</v>
      </c>
      <c r="D2022" s="2">
        <f>HYPERLINK("http://mcb-m6.bioreg.kyushu-u.ac.jp/M3/20110428/F51140/1203/1", 56.64)</f>
        <v>56.64</v>
      </c>
      <c r="E2022" s="2">
        <v>34.770000000000003</v>
      </c>
      <c r="F2022" s="2">
        <v>1</v>
      </c>
      <c r="G2022" s="2" t="s">
        <v>14</v>
      </c>
    </row>
    <row r="2023" spans="1:8" x14ac:dyDescent="0.2">
      <c r="A2023" s="2" t="s">
        <v>3343</v>
      </c>
      <c r="B2023" s="2" t="s">
        <v>704</v>
      </c>
      <c r="C2023" s="2">
        <v>603.33870000000002</v>
      </c>
      <c r="D2023" s="2">
        <f>HYPERLINK("http://mcb-m6.bioreg.kyushu-u.ac.jp/M3/20110428/F51140/1324/1", 56.74)</f>
        <v>56.74</v>
      </c>
      <c r="E2023" s="2">
        <v>21.35</v>
      </c>
      <c r="F2023" s="2">
        <v>2</v>
      </c>
      <c r="G2023" s="2" t="s">
        <v>14</v>
      </c>
    </row>
    <row r="2024" spans="1:8" x14ac:dyDescent="0.2">
      <c r="A2024" s="2" t="s">
        <v>3343</v>
      </c>
      <c r="B2024" s="2" t="s">
        <v>210</v>
      </c>
      <c r="C2024" s="2">
        <v>555.02670000000001</v>
      </c>
      <c r="D2024" s="2">
        <f>HYPERLINK("http://mcb-m6.bioreg.kyushu-u.ac.jp/M3/20110428/F51140/1094/1", 57.23)</f>
        <v>57.23</v>
      </c>
      <c r="E2024" s="2">
        <v>26.59</v>
      </c>
      <c r="F2024" s="2">
        <v>2</v>
      </c>
      <c r="G2024" s="2" t="s">
        <v>14</v>
      </c>
      <c r="H2024" s="2" t="s">
        <v>4910</v>
      </c>
    </row>
    <row r="2025" spans="1:8" x14ac:dyDescent="0.2">
      <c r="A2025" s="2" t="s">
        <v>3343</v>
      </c>
      <c r="B2025" s="2" t="s">
        <v>704</v>
      </c>
      <c r="C2025" s="2">
        <v>610.97519999999997</v>
      </c>
      <c r="D2025" s="2">
        <f>HYPERLINK("http://mcb-m6.bioreg.kyushu-u.ac.jp/M3/20110502/F51159/1479/1", 57.36)</f>
        <v>57.36</v>
      </c>
      <c r="E2025" s="2">
        <v>24.51</v>
      </c>
      <c r="F2025" s="2">
        <v>2</v>
      </c>
      <c r="G2025" s="2" t="s">
        <v>14</v>
      </c>
      <c r="H2025" s="2" t="s">
        <v>4908</v>
      </c>
    </row>
    <row r="2026" spans="1:8" x14ac:dyDescent="0.2">
      <c r="A2026" s="2" t="s">
        <v>3343</v>
      </c>
      <c r="B2026" s="2" t="s">
        <v>325</v>
      </c>
      <c r="C2026" s="2">
        <v>747.35270000000003</v>
      </c>
      <c r="D2026" s="2">
        <f>HYPERLINK("http://mcb-m6.bioreg.kyushu-u.ac.jp/M3/20110428/F51140/2025/1", 58.61)</f>
        <v>58.61</v>
      </c>
      <c r="E2026" s="2">
        <v>48.41</v>
      </c>
      <c r="F2026" s="2">
        <v>2</v>
      </c>
      <c r="G2026" s="2" t="s">
        <v>14</v>
      </c>
      <c r="H2026" s="2" t="s">
        <v>4925</v>
      </c>
    </row>
    <row r="2027" spans="1:8" x14ac:dyDescent="0.2">
      <c r="A2027" s="2" t="s">
        <v>3343</v>
      </c>
      <c r="B2027" s="2" t="s">
        <v>509</v>
      </c>
      <c r="C2027" s="2">
        <v>725.46220000000005</v>
      </c>
      <c r="D2027" s="2">
        <f>HYPERLINK("http://mcb-m6.bioreg.kyushu-u.ac.jp/M3/20110428/F51143/2010/1", 59.06)</f>
        <v>59.06</v>
      </c>
      <c r="E2027" s="2">
        <v>42.52</v>
      </c>
      <c r="F2027" s="2">
        <v>2</v>
      </c>
      <c r="G2027" s="2" t="s">
        <v>14</v>
      </c>
      <c r="H2027" s="2" t="s">
        <v>4927</v>
      </c>
    </row>
    <row r="2028" spans="1:8" x14ac:dyDescent="0.2">
      <c r="A2028" s="2" t="s">
        <v>3343</v>
      </c>
      <c r="B2028" s="2" t="s">
        <v>132</v>
      </c>
      <c r="C2028" s="2">
        <v>578.51009999999997</v>
      </c>
      <c r="D2028" s="2">
        <f>HYPERLINK("http://mcb-m6.bioreg.kyushu-u.ac.jp/M3/20110428/F51140/1194/1", 59.17)</f>
        <v>59.17</v>
      </c>
      <c r="E2028" s="2">
        <v>34.58</v>
      </c>
      <c r="F2028" s="2">
        <v>2</v>
      </c>
      <c r="G2028" s="2" t="s">
        <v>14</v>
      </c>
    </row>
    <row r="2029" spans="1:8" x14ac:dyDescent="0.2">
      <c r="A2029" s="2" t="s">
        <v>3343</v>
      </c>
      <c r="B2029" s="2" t="s">
        <v>210</v>
      </c>
      <c r="C2029" s="2">
        <v>554.82460000000003</v>
      </c>
      <c r="D2029" s="2">
        <f>HYPERLINK("http://mcb-m6.bioreg.kyushu-u.ac.jp/M3/20110428/F51140/1093/1", 59.19)</f>
        <v>59.19</v>
      </c>
      <c r="E2029" s="2">
        <v>32.520000000000003</v>
      </c>
      <c r="F2029" s="2">
        <v>2</v>
      </c>
      <c r="G2029" s="2" t="s">
        <v>14</v>
      </c>
      <c r="H2029" s="2" t="s">
        <v>4910</v>
      </c>
    </row>
    <row r="2030" spans="1:8" x14ac:dyDescent="0.2">
      <c r="A2030" s="2" t="s">
        <v>3343</v>
      </c>
      <c r="B2030" s="2" t="s">
        <v>325</v>
      </c>
      <c r="C2030" s="2">
        <v>747.32209999999998</v>
      </c>
      <c r="D2030" s="2">
        <f>HYPERLINK("http://mcb-m6.bioreg.kyushu-u.ac.jp/M3/20110428/F51140/2024/1", 59.61)</f>
        <v>59.61</v>
      </c>
      <c r="E2030" s="2">
        <v>51.08</v>
      </c>
      <c r="F2030" s="2">
        <v>2</v>
      </c>
      <c r="G2030" s="2" t="s">
        <v>14</v>
      </c>
      <c r="H2030" s="2" t="s">
        <v>4925</v>
      </c>
    </row>
    <row r="2031" spans="1:8" x14ac:dyDescent="0.2">
      <c r="A2031" s="2" t="s">
        <v>3343</v>
      </c>
      <c r="B2031" s="2" t="s">
        <v>546</v>
      </c>
      <c r="C2031" s="2">
        <v>665.39319999999998</v>
      </c>
      <c r="D2031" s="2">
        <f>HYPERLINK("http://mcb-m6.bioreg.kyushu-u.ac.jp/M3/20110428/F51142/1616/2", 59.7)</f>
        <v>59.7</v>
      </c>
      <c r="E2031" s="2">
        <v>45.77</v>
      </c>
      <c r="F2031" s="2">
        <v>2</v>
      </c>
      <c r="G2031" s="2" t="s">
        <v>14</v>
      </c>
    </row>
    <row r="2032" spans="1:8" x14ac:dyDescent="0.2">
      <c r="A2032" s="2" t="s">
        <v>3343</v>
      </c>
      <c r="B2032" s="2" t="s">
        <v>325</v>
      </c>
      <c r="C2032" s="2">
        <v>1477.806</v>
      </c>
      <c r="D2032" s="2">
        <f>HYPERLINK("http://mcb-m6.bioreg.kyushu-u.ac.jp/M3/20110428/F51140/1965/1", 60.15)</f>
        <v>60.15</v>
      </c>
      <c r="E2032" s="2">
        <v>42.7</v>
      </c>
      <c r="F2032" s="2">
        <v>1</v>
      </c>
      <c r="G2032" s="2" t="s">
        <v>14</v>
      </c>
    </row>
    <row r="2033" spans="1:8" x14ac:dyDescent="0.2">
      <c r="A2033" s="2" t="s">
        <v>3343</v>
      </c>
      <c r="B2033" s="2" t="s">
        <v>344</v>
      </c>
      <c r="C2033" s="2">
        <v>920.03309999999999</v>
      </c>
      <c r="D2033" s="2">
        <f>HYPERLINK("http://mcb-m6.bioreg.kyushu-u.ac.jp/M3/20110428/F51141/3030/1", 60.41)</f>
        <v>60.41</v>
      </c>
      <c r="E2033" s="2">
        <v>40.340000000000003</v>
      </c>
      <c r="F2033" s="2">
        <v>2</v>
      </c>
      <c r="G2033" s="2" t="s">
        <v>14</v>
      </c>
    </row>
    <row r="2034" spans="1:8" x14ac:dyDescent="0.2">
      <c r="A2034" s="2" t="s">
        <v>3343</v>
      </c>
      <c r="B2034" s="2" t="s">
        <v>704</v>
      </c>
      <c r="C2034" s="2">
        <v>610.86069999999995</v>
      </c>
      <c r="D2034" s="2">
        <f>HYPERLINK("http://mcb-m6.bioreg.kyushu-u.ac.jp/M3/20110428/F51140/1359/1", 60.66)</f>
        <v>60.66</v>
      </c>
      <c r="E2034" s="2">
        <v>35.69</v>
      </c>
      <c r="F2034" s="2">
        <v>2</v>
      </c>
      <c r="G2034" s="2" t="s">
        <v>14</v>
      </c>
      <c r="H2034" s="2" t="s">
        <v>4908</v>
      </c>
    </row>
    <row r="2035" spans="1:8" x14ac:dyDescent="0.2">
      <c r="A2035" s="2" t="s">
        <v>3343</v>
      </c>
      <c r="B2035" s="2" t="s">
        <v>325</v>
      </c>
      <c r="C2035" s="2">
        <v>747.56709999999998</v>
      </c>
      <c r="D2035" s="2">
        <f>HYPERLINK("http://mcb-m6.bioreg.kyushu-u.ac.jp/M3/20110502/F51159/2007/1", 61.02)</f>
        <v>61.02</v>
      </c>
      <c r="E2035" s="2">
        <v>51.35</v>
      </c>
      <c r="F2035" s="2">
        <v>2</v>
      </c>
      <c r="G2035" s="2" t="s">
        <v>14</v>
      </c>
      <c r="H2035" s="2" t="s">
        <v>4925</v>
      </c>
    </row>
    <row r="2036" spans="1:8" x14ac:dyDescent="0.2">
      <c r="A2036" s="2" t="s">
        <v>3343</v>
      </c>
      <c r="B2036" s="2" t="s">
        <v>132</v>
      </c>
      <c r="C2036" s="2">
        <v>578.33169999999996</v>
      </c>
      <c r="D2036" s="2">
        <f>HYPERLINK("http://mcb-m6.bioreg.kyushu-u.ac.jp/M3/20110428/F51140/1190/1", 61.14)</f>
        <v>61.14</v>
      </c>
      <c r="E2036" s="2">
        <v>35.020000000000003</v>
      </c>
      <c r="F2036" s="2">
        <v>2</v>
      </c>
      <c r="G2036" s="2" t="s">
        <v>14</v>
      </c>
    </row>
    <row r="2037" spans="1:8" x14ac:dyDescent="0.2">
      <c r="A2037" s="2" t="s">
        <v>3343</v>
      </c>
      <c r="B2037" s="2" t="s">
        <v>328</v>
      </c>
      <c r="C2037" s="2">
        <v>574.24519999999995</v>
      </c>
      <c r="D2037" s="2">
        <f>HYPERLINK("http://mcb-m6.bioreg.kyushu-u.ac.jp/M3/20110428/F51140/1171/1", 61.95)</f>
        <v>61.95</v>
      </c>
      <c r="E2037" s="2">
        <v>32</v>
      </c>
      <c r="F2037" s="2">
        <v>2</v>
      </c>
      <c r="G2037" s="2" t="s">
        <v>14</v>
      </c>
    </row>
    <row r="2038" spans="1:8" x14ac:dyDescent="0.2">
      <c r="A2038" s="2" t="s">
        <v>3343</v>
      </c>
      <c r="B2038" s="2" t="s">
        <v>1002</v>
      </c>
      <c r="C2038" s="2">
        <v>1148.114</v>
      </c>
      <c r="D2038" s="2">
        <f>HYPERLINK("http://mcb-m6.bioreg.kyushu-u.ac.jp/M3/20110428/F51141/3819/1", 62.74)</f>
        <v>62.74</v>
      </c>
      <c r="E2038" s="2">
        <v>52.47</v>
      </c>
      <c r="F2038" s="2">
        <v>2</v>
      </c>
      <c r="G2038" s="2" t="s">
        <v>14</v>
      </c>
    </row>
    <row r="2039" spans="1:8" x14ac:dyDescent="0.2">
      <c r="A2039" s="2" t="s">
        <v>3343</v>
      </c>
      <c r="B2039" s="2" t="s">
        <v>344</v>
      </c>
      <c r="C2039" s="2">
        <v>919.49720000000002</v>
      </c>
      <c r="D2039" s="2">
        <f>HYPERLINK("http://mcb-m6.bioreg.kyushu-u.ac.jp/M3/20110428/F51141/3024/1", 64.09)</f>
        <v>64.09</v>
      </c>
      <c r="E2039" s="2">
        <v>37.72</v>
      </c>
      <c r="F2039" s="2">
        <v>2</v>
      </c>
      <c r="G2039" s="2" t="s">
        <v>14</v>
      </c>
    </row>
    <row r="2040" spans="1:8" x14ac:dyDescent="0.2">
      <c r="A2040" s="2" t="s">
        <v>3343</v>
      </c>
      <c r="B2040" s="2" t="s">
        <v>344</v>
      </c>
      <c r="C2040" s="2">
        <v>613.20050000000003</v>
      </c>
      <c r="D2040" s="2">
        <f>HYPERLINK("http://mcb-m6.bioreg.kyushu-u.ac.jp/M3/20110428/F51140/2858/1", 64.1)</f>
        <v>64.099999999999994</v>
      </c>
      <c r="E2040" s="2">
        <v>39.97</v>
      </c>
      <c r="F2040" s="2">
        <v>3</v>
      </c>
      <c r="G2040" s="2" t="s">
        <v>14</v>
      </c>
    </row>
    <row r="2041" spans="1:8" x14ac:dyDescent="0.2">
      <c r="A2041" s="2" t="s">
        <v>3343</v>
      </c>
      <c r="B2041" s="2" t="s">
        <v>344</v>
      </c>
      <c r="C2041" s="2">
        <v>919.48519999999996</v>
      </c>
      <c r="D2041" s="2">
        <f>HYPERLINK("http://mcb-m6.bioreg.kyushu-u.ac.jp/M3/20110428/F51141/3022/1", 64.1)</f>
        <v>64.099999999999994</v>
      </c>
      <c r="E2041" s="2">
        <v>43.75</v>
      </c>
      <c r="F2041" s="2">
        <v>2</v>
      </c>
      <c r="G2041" s="2" t="s">
        <v>14</v>
      </c>
    </row>
    <row r="2042" spans="1:8" x14ac:dyDescent="0.2">
      <c r="A2042" s="2" t="s">
        <v>3343</v>
      </c>
      <c r="B2042" s="2" t="s">
        <v>344</v>
      </c>
      <c r="C2042" s="2">
        <v>919.49570000000006</v>
      </c>
      <c r="D2042" s="2">
        <f>HYPERLINK("http://mcb-m6.bioreg.kyushu-u.ac.jp/M3/20110428/F51141/3023/1", 64.27)</f>
        <v>64.27</v>
      </c>
      <c r="E2042" s="2">
        <v>50.35</v>
      </c>
      <c r="F2042" s="2">
        <v>2</v>
      </c>
      <c r="G2042" s="2" t="s">
        <v>14</v>
      </c>
    </row>
    <row r="2043" spans="1:8" x14ac:dyDescent="0.2">
      <c r="A2043" s="2" t="s">
        <v>3343</v>
      </c>
      <c r="B2043" s="2" t="s">
        <v>1002</v>
      </c>
      <c r="C2043" s="2">
        <v>1148.1890000000001</v>
      </c>
      <c r="D2043" s="2">
        <f>HYPERLINK("http://mcb-m6.bioreg.kyushu-u.ac.jp/M3/20110428/F51140/3471/1", 64.85)</f>
        <v>64.849999999999994</v>
      </c>
      <c r="E2043" s="2">
        <v>51.57</v>
      </c>
      <c r="F2043" s="2">
        <v>2</v>
      </c>
      <c r="G2043" s="2" t="s">
        <v>14</v>
      </c>
    </row>
    <row r="2044" spans="1:8" x14ac:dyDescent="0.2">
      <c r="A2044" s="2" t="s">
        <v>3343</v>
      </c>
      <c r="B2044" s="2" t="s">
        <v>546</v>
      </c>
      <c r="C2044" s="2">
        <v>664.94669999999996</v>
      </c>
      <c r="D2044" s="2">
        <f>HYPERLINK("http://mcb-m6.bioreg.kyushu-u.ac.jp/M3/20110428/F51141/1464/2", 65.01)</f>
        <v>65.010000000000005</v>
      </c>
      <c r="E2044" s="2">
        <v>51.47</v>
      </c>
      <c r="F2044" s="2">
        <v>2</v>
      </c>
      <c r="G2044" s="2" t="s">
        <v>14</v>
      </c>
    </row>
    <row r="2045" spans="1:8" x14ac:dyDescent="0.2">
      <c r="A2045" s="2" t="s">
        <v>3343</v>
      </c>
      <c r="B2045" s="2" t="s">
        <v>328</v>
      </c>
      <c r="C2045" s="2">
        <v>573.73320000000001</v>
      </c>
      <c r="D2045" s="2">
        <f>HYPERLINK("http://mcb-m6.bioreg.kyushu-u.ac.jp/M3/20110428/F51140/1166/1", 65.49)</f>
        <v>65.489999999999995</v>
      </c>
      <c r="E2045" s="2">
        <v>36.43</v>
      </c>
      <c r="F2045" s="2">
        <v>2</v>
      </c>
      <c r="G2045" s="2" t="s">
        <v>14</v>
      </c>
    </row>
    <row r="2046" spans="1:8" x14ac:dyDescent="0.2">
      <c r="A2046" s="2" t="s">
        <v>3343</v>
      </c>
      <c r="B2046" s="2" t="s">
        <v>1002</v>
      </c>
      <c r="C2046" s="2">
        <v>1148.0740000000001</v>
      </c>
      <c r="D2046" s="2">
        <f>HYPERLINK("http://mcb-m6.bioreg.kyushu-u.ac.jp/M3/20110502/F51160/3028/1", 66.33)</f>
        <v>66.33</v>
      </c>
      <c r="E2046" s="2">
        <v>54.3</v>
      </c>
      <c r="F2046" s="2">
        <v>2</v>
      </c>
      <c r="G2046" s="2" t="s">
        <v>14</v>
      </c>
    </row>
    <row r="2047" spans="1:8" x14ac:dyDescent="0.2">
      <c r="A2047" s="2" t="s">
        <v>3343</v>
      </c>
      <c r="B2047" s="2" t="s">
        <v>509</v>
      </c>
      <c r="C2047" s="2">
        <v>725.46510000000001</v>
      </c>
      <c r="D2047" s="2">
        <f>HYPERLINK("http://mcb-m6.bioreg.kyushu-u.ac.jp/M3/20110428/F51140/1885/1", 67.15)</f>
        <v>67.150000000000006</v>
      </c>
      <c r="E2047" s="2">
        <v>49.42</v>
      </c>
      <c r="F2047" s="2">
        <v>2</v>
      </c>
      <c r="G2047" s="2" t="s">
        <v>14</v>
      </c>
      <c r="H2047" s="2" t="s">
        <v>4927</v>
      </c>
    </row>
    <row r="2048" spans="1:8" x14ac:dyDescent="0.2">
      <c r="A2048" s="2" t="s">
        <v>3343</v>
      </c>
      <c r="B2048" s="2" t="s">
        <v>546</v>
      </c>
      <c r="C2048" s="2">
        <v>665.11220000000003</v>
      </c>
      <c r="D2048" s="2">
        <f>HYPERLINK("http://mcb-m6.bioreg.kyushu-u.ac.jp/M3/20110428/F51140/1539/2", 67.2)</f>
        <v>67.2</v>
      </c>
      <c r="E2048" s="2">
        <v>51.43</v>
      </c>
      <c r="F2048" s="2">
        <v>2</v>
      </c>
      <c r="G2048" s="2" t="s">
        <v>14</v>
      </c>
    </row>
    <row r="2049" spans="1:8" x14ac:dyDescent="0.2">
      <c r="A2049" s="2" t="s">
        <v>3343</v>
      </c>
      <c r="B2049" s="2" t="s">
        <v>1002</v>
      </c>
      <c r="C2049" s="2">
        <v>1148.0719999999999</v>
      </c>
      <c r="D2049" s="2">
        <f>HYPERLINK("http://mcb-m6.bioreg.kyushu-u.ac.jp/M3/20110428/F51140/3467/1", 67.43)</f>
        <v>67.430000000000007</v>
      </c>
      <c r="E2049" s="2">
        <v>49.91</v>
      </c>
      <c r="F2049" s="2">
        <v>2</v>
      </c>
      <c r="G2049" s="2" t="s">
        <v>14</v>
      </c>
    </row>
    <row r="2050" spans="1:8" x14ac:dyDescent="0.2">
      <c r="A2050" s="2" t="s">
        <v>3343</v>
      </c>
      <c r="B2050" s="2" t="s">
        <v>325</v>
      </c>
      <c r="C2050" s="2">
        <v>739.60310000000004</v>
      </c>
      <c r="D2050" s="2">
        <f>HYPERLINK("http://mcb-m6.bioreg.kyushu-u.ac.jp/M3/20110428/F51140/1969/1", 68.37)</f>
        <v>68.37</v>
      </c>
      <c r="E2050" s="2">
        <v>57.17</v>
      </c>
      <c r="F2050" s="2">
        <v>2</v>
      </c>
      <c r="G2050" s="2" t="s">
        <v>14</v>
      </c>
    </row>
    <row r="2051" spans="1:8" x14ac:dyDescent="0.2">
      <c r="A2051" s="2" t="s">
        <v>3343</v>
      </c>
      <c r="B2051" s="2" t="s">
        <v>344</v>
      </c>
      <c r="C2051" s="2">
        <v>919.42719999999997</v>
      </c>
      <c r="D2051" s="2">
        <f>HYPERLINK("http://mcb-m6.bioreg.kyushu-u.ac.jp/M3/20110428/F51140/2861/1", 68.77)</f>
        <v>68.77</v>
      </c>
      <c r="E2051" s="2">
        <v>45.64</v>
      </c>
      <c r="F2051" s="2">
        <v>2</v>
      </c>
      <c r="G2051" s="2" t="s">
        <v>14</v>
      </c>
    </row>
    <row r="2052" spans="1:8" x14ac:dyDescent="0.2">
      <c r="A2052" s="2" t="s">
        <v>3343</v>
      </c>
      <c r="B2052" s="2" t="s">
        <v>558</v>
      </c>
      <c r="C2052" s="2">
        <v>729.41669999999999</v>
      </c>
      <c r="D2052" s="2">
        <f>HYPERLINK("http://mcb-m6.bioreg.kyushu-u.ac.jp/M3/20110428/F51141/1839/1", 68.88)</f>
        <v>68.88</v>
      </c>
      <c r="E2052" s="2">
        <v>53.14</v>
      </c>
      <c r="F2052" s="2">
        <v>2</v>
      </c>
      <c r="G2052" s="2" t="s">
        <v>14</v>
      </c>
    </row>
    <row r="2053" spans="1:8" x14ac:dyDescent="0.2">
      <c r="A2053" s="2" t="s">
        <v>3343</v>
      </c>
      <c r="B2053" s="2" t="s">
        <v>943</v>
      </c>
      <c r="C2053" s="2">
        <v>506.7296</v>
      </c>
      <c r="D2053" s="2">
        <f>HYPERLINK("http://mcb-m6.bioreg.kyushu-u.ac.jp/M3/20110428/F51140/901/1", 69.35)</f>
        <v>69.349999999999994</v>
      </c>
      <c r="E2053" s="2">
        <v>48.23</v>
      </c>
      <c r="F2053" s="2">
        <v>2</v>
      </c>
      <c r="G2053" s="2" t="s">
        <v>14</v>
      </c>
    </row>
    <row r="2054" spans="1:8" x14ac:dyDescent="0.2">
      <c r="A2054" s="2" t="s">
        <v>3343</v>
      </c>
      <c r="B2054" s="2" t="s">
        <v>546</v>
      </c>
      <c r="C2054" s="2">
        <v>665.15869999999995</v>
      </c>
      <c r="D2054" s="2">
        <f>HYPERLINK("http://mcb-m6.bioreg.kyushu-u.ac.jp/M3/20110502/F51160/1331/2", 69.55)</f>
        <v>69.55</v>
      </c>
      <c r="E2054" s="2">
        <v>46.58</v>
      </c>
      <c r="F2054" s="2">
        <v>2</v>
      </c>
      <c r="G2054" s="2" t="s">
        <v>14</v>
      </c>
    </row>
    <row r="2055" spans="1:8" x14ac:dyDescent="0.2">
      <c r="A2055" s="2" t="s">
        <v>3343</v>
      </c>
      <c r="B2055" s="2" t="s">
        <v>132</v>
      </c>
      <c r="C2055" s="2">
        <v>578.29110000000003</v>
      </c>
      <c r="D2055" s="2">
        <f>HYPERLINK("http://mcb-m6.bioreg.kyushu-u.ac.jp/M3/20110428/F51140/1188/1", 69.66)</f>
        <v>69.66</v>
      </c>
      <c r="E2055" s="2">
        <v>41</v>
      </c>
      <c r="F2055" s="2">
        <v>2</v>
      </c>
      <c r="G2055" s="2" t="s">
        <v>14</v>
      </c>
    </row>
    <row r="2056" spans="1:8" x14ac:dyDescent="0.2">
      <c r="A2056" s="2" t="s">
        <v>3343</v>
      </c>
      <c r="B2056" s="2" t="s">
        <v>509</v>
      </c>
      <c r="C2056" s="2">
        <v>725.41219999999998</v>
      </c>
      <c r="D2056" s="2">
        <f>HYPERLINK("http://mcb-m6.bioreg.kyushu-u.ac.jp/M3/20110428/F51140/1883/1", 70.09)</f>
        <v>70.09</v>
      </c>
      <c r="E2056" s="2">
        <v>55.04</v>
      </c>
      <c r="F2056" s="2">
        <v>2</v>
      </c>
      <c r="G2056" s="2" t="s">
        <v>14</v>
      </c>
      <c r="H2056" s="2" t="s">
        <v>4927</v>
      </c>
    </row>
    <row r="2057" spans="1:8" x14ac:dyDescent="0.2">
      <c r="A2057" s="2" t="s">
        <v>3343</v>
      </c>
      <c r="B2057" s="2" t="s">
        <v>704</v>
      </c>
      <c r="C2057" s="2">
        <v>610.8972</v>
      </c>
      <c r="D2057" s="2">
        <f>HYPERLINK("http://mcb-m6.bioreg.kyushu-u.ac.jp/M3/20110428/F51140/1362/1", 70.36)</f>
        <v>70.36</v>
      </c>
      <c r="E2057" s="2">
        <v>41.13</v>
      </c>
      <c r="F2057" s="2">
        <v>2</v>
      </c>
      <c r="G2057" s="2" t="s">
        <v>14</v>
      </c>
      <c r="H2057" s="2" t="s">
        <v>4908</v>
      </c>
    </row>
    <row r="2058" spans="1:8" x14ac:dyDescent="0.2">
      <c r="A2058" s="2" t="s">
        <v>3343</v>
      </c>
      <c r="B2058" s="2" t="s">
        <v>1002</v>
      </c>
      <c r="C2058" s="2">
        <v>1147.7329999999999</v>
      </c>
      <c r="D2058" s="2">
        <f>HYPERLINK("http://mcb-m6.bioreg.kyushu-u.ac.jp/M3/20110428/F51141/3813/1", 70.36)</f>
        <v>70.36</v>
      </c>
      <c r="E2058" s="2">
        <v>63.82</v>
      </c>
      <c r="F2058" s="2">
        <v>2</v>
      </c>
      <c r="G2058" s="2" t="s">
        <v>14</v>
      </c>
    </row>
    <row r="2059" spans="1:8" x14ac:dyDescent="0.2">
      <c r="A2059" s="2" t="s">
        <v>3343</v>
      </c>
      <c r="B2059" s="2" t="s">
        <v>344</v>
      </c>
      <c r="C2059" s="2">
        <v>919.43910000000005</v>
      </c>
      <c r="D2059" s="2">
        <f>HYPERLINK("http://mcb-m6.bioreg.kyushu-u.ac.jp/M3/20110428/F51141/3019/1", 70.86)</f>
        <v>70.86</v>
      </c>
      <c r="E2059" s="2">
        <v>41.87</v>
      </c>
      <c r="F2059" s="2">
        <v>2</v>
      </c>
      <c r="G2059" s="2" t="s">
        <v>14</v>
      </c>
    </row>
    <row r="2060" spans="1:8" x14ac:dyDescent="0.2">
      <c r="A2060" s="2" t="s">
        <v>3343</v>
      </c>
      <c r="B2060" s="2" t="s">
        <v>325</v>
      </c>
      <c r="C2060" s="2">
        <v>1493.7090000000001</v>
      </c>
      <c r="D2060" s="2">
        <f>HYPERLINK("http://mcb-m6.bioreg.kyushu-u.ac.jp/M3/20110428/F51140/2026/1", 71.04)</f>
        <v>71.040000000000006</v>
      </c>
      <c r="E2060" s="2">
        <v>54.06</v>
      </c>
      <c r="F2060" s="2">
        <v>1</v>
      </c>
      <c r="G2060" s="2" t="s">
        <v>14</v>
      </c>
      <c r="H2060" s="2" t="s">
        <v>4925</v>
      </c>
    </row>
    <row r="2061" spans="1:8" x14ac:dyDescent="0.2">
      <c r="A2061" s="2" t="s">
        <v>3343</v>
      </c>
      <c r="B2061" s="2" t="s">
        <v>344</v>
      </c>
      <c r="C2061" s="2">
        <v>919.4692</v>
      </c>
      <c r="D2061" s="2">
        <f>HYPERLINK("http://mcb-m6.bioreg.kyushu-u.ac.jp/M3/20110428/F51140/2865/1", 71.12)</f>
        <v>71.12</v>
      </c>
      <c r="E2061" s="2">
        <v>52.01</v>
      </c>
      <c r="F2061" s="2">
        <v>2</v>
      </c>
      <c r="G2061" s="2" t="s">
        <v>14</v>
      </c>
    </row>
    <row r="2062" spans="1:8" x14ac:dyDescent="0.2">
      <c r="A2062" s="2" t="s">
        <v>3343</v>
      </c>
      <c r="B2062" s="2" t="s">
        <v>132</v>
      </c>
      <c r="C2062" s="2">
        <v>578.33669999999995</v>
      </c>
      <c r="D2062" s="2">
        <f>HYPERLINK("http://mcb-m6.bioreg.kyushu-u.ac.jp/M3/20110428/F51142/1263/1", 71.19)</f>
        <v>71.19</v>
      </c>
      <c r="E2062" s="2">
        <v>46.9</v>
      </c>
      <c r="F2062" s="2">
        <v>2</v>
      </c>
      <c r="G2062" s="2" t="s">
        <v>14</v>
      </c>
    </row>
    <row r="2063" spans="1:8" x14ac:dyDescent="0.2">
      <c r="A2063" s="2" t="s">
        <v>3343</v>
      </c>
      <c r="B2063" s="2" t="s">
        <v>132</v>
      </c>
      <c r="C2063" s="2">
        <v>578.34810000000004</v>
      </c>
      <c r="D2063" s="2">
        <f>HYPERLINK("http://mcb-m6.bioreg.kyushu-u.ac.jp/M3/20110428/F51140/1191/1", 71.31)</f>
        <v>71.31</v>
      </c>
      <c r="E2063" s="2">
        <v>38.01</v>
      </c>
      <c r="F2063" s="2">
        <v>2</v>
      </c>
      <c r="G2063" s="2" t="s">
        <v>14</v>
      </c>
    </row>
    <row r="2064" spans="1:8" x14ac:dyDescent="0.2">
      <c r="A2064" s="2" t="s">
        <v>3343</v>
      </c>
      <c r="B2064" s="2" t="s">
        <v>344</v>
      </c>
      <c r="C2064" s="2">
        <v>920.00459999999998</v>
      </c>
      <c r="D2064" s="2">
        <f>HYPERLINK("http://mcb-m6.bioreg.kyushu-u.ac.jp/M3/20110502/F51159/2748/1", 71.58)</f>
        <v>71.58</v>
      </c>
      <c r="E2064" s="2">
        <v>40.81</v>
      </c>
      <c r="F2064" s="2">
        <v>2</v>
      </c>
      <c r="G2064" s="2" t="s">
        <v>14</v>
      </c>
    </row>
    <row r="2065" spans="1:8" x14ac:dyDescent="0.2">
      <c r="A2065" s="2" t="s">
        <v>3343</v>
      </c>
      <c r="B2065" s="2" t="s">
        <v>132</v>
      </c>
      <c r="C2065" s="2">
        <v>578.22559999999999</v>
      </c>
      <c r="D2065" s="2">
        <f>HYPERLINK("http://mcb-m6.bioreg.kyushu-u.ac.jp/M3/20110428/F51140/1185/1", 72.17)</f>
        <v>72.17</v>
      </c>
      <c r="E2065" s="2">
        <v>41.71</v>
      </c>
      <c r="F2065" s="2">
        <v>2</v>
      </c>
      <c r="G2065" s="2" t="s">
        <v>14</v>
      </c>
    </row>
    <row r="2066" spans="1:8" x14ac:dyDescent="0.2">
      <c r="A2066" s="2" t="s">
        <v>3343</v>
      </c>
      <c r="B2066" s="2" t="s">
        <v>1002</v>
      </c>
      <c r="C2066" s="2">
        <v>1147.6110000000001</v>
      </c>
      <c r="D2066" s="2">
        <f>HYPERLINK("http://mcb-m6.bioreg.kyushu-u.ac.jp/M3/20110428/F51140/3460/1", 72.35)</f>
        <v>72.349999999999994</v>
      </c>
      <c r="E2066" s="2">
        <v>59.99</v>
      </c>
      <c r="F2066" s="2">
        <v>2</v>
      </c>
      <c r="G2066" s="2" t="s">
        <v>14</v>
      </c>
    </row>
    <row r="2067" spans="1:8" x14ac:dyDescent="0.2">
      <c r="A2067" s="2" t="s">
        <v>3343</v>
      </c>
      <c r="B2067" s="2" t="s">
        <v>344</v>
      </c>
      <c r="C2067" s="2">
        <v>919.60310000000004</v>
      </c>
      <c r="D2067" s="2">
        <f>HYPERLINK("http://mcb-m6.bioreg.kyushu-u.ac.jp/M3/20110428/F51141/3025/1", 72.54)</f>
        <v>72.540000000000006</v>
      </c>
      <c r="E2067" s="2">
        <v>54.09</v>
      </c>
      <c r="F2067" s="2">
        <v>2</v>
      </c>
      <c r="G2067" s="2" t="s">
        <v>14</v>
      </c>
    </row>
    <row r="2068" spans="1:8" x14ac:dyDescent="0.2">
      <c r="A2068" s="2" t="s">
        <v>3343</v>
      </c>
      <c r="B2068" s="2" t="s">
        <v>325</v>
      </c>
      <c r="C2068" s="2">
        <v>747.36019999999996</v>
      </c>
      <c r="D2068" s="2">
        <f>HYPERLINK("http://mcb-m6.bioreg.kyushu-u.ac.jp/M3/20110428/F51140/2027/1", 72.66)</f>
        <v>72.66</v>
      </c>
      <c r="E2068" s="2">
        <v>62.21</v>
      </c>
      <c r="F2068" s="2">
        <v>2</v>
      </c>
      <c r="G2068" s="2" t="s">
        <v>14</v>
      </c>
      <c r="H2068" s="2" t="s">
        <v>4925</v>
      </c>
    </row>
    <row r="2069" spans="1:8" x14ac:dyDescent="0.2">
      <c r="A2069" s="2" t="s">
        <v>3343</v>
      </c>
      <c r="B2069" s="2" t="s">
        <v>344</v>
      </c>
      <c r="C2069" s="2">
        <v>919.51170000000002</v>
      </c>
      <c r="D2069" s="2">
        <f>HYPERLINK("http://mcb-m6.bioreg.kyushu-u.ac.jp/M3/20110428/F51142/3146/1", 73.22)</f>
        <v>73.22</v>
      </c>
      <c r="E2069" s="2">
        <v>51.96</v>
      </c>
      <c r="F2069" s="2">
        <v>2</v>
      </c>
      <c r="G2069" s="2" t="s">
        <v>14</v>
      </c>
    </row>
    <row r="2070" spans="1:8" x14ac:dyDescent="0.2">
      <c r="A2070" s="2" t="s">
        <v>3343</v>
      </c>
      <c r="B2070" s="2" t="s">
        <v>344</v>
      </c>
      <c r="C2070" s="2">
        <v>919.92570000000001</v>
      </c>
      <c r="D2070" s="2">
        <f>HYPERLINK("http://mcb-m6.bioreg.kyushu-u.ac.jp/M3/20110428/F51141/3029/1", 73.32)</f>
        <v>73.319999999999993</v>
      </c>
      <c r="E2070" s="2">
        <v>49.84</v>
      </c>
      <c r="F2070" s="2">
        <v>2</v>
      </c>
      <c r="G2070" s="2" t="s">
        <v>14</v>
      </c>
    </row>
    <row r="2071" spans="1:8" x14ac:dyDescent="0.2">
      <c r="A2071" s="2" t="s">
        <v>3343</v>
      </c>
      <c r="B2071" s="2" t="s">
        <v>546</v>
      </c>
      <c r="C2071" s="2">
        <v>664.81410000000005</v>
      </c>
      <c r="D2071" s="2">
        <f>HYPERLINK("http://mcb-m6.bioreg.kyushu-u.ac.jp/M3/20110428/F51140/1530/2", 73.84)</f>
        <v>73.84</v>
      </c>
      <c r="E2071" s="2">
        <v>50.86</v>
      </c>
      <c r="F2071" s="2">
        <v>2</v>
      </c>
      <c r="G2071" s="2" t="s">
        <v>14</v>
      </c>
    </row>
    <row r="2072" spans="1:8" x14ac:dyDescent="0.2">
      <c r="A2072" s="2" t="s">
        <v>3343</v>
      </c>
      <c r="B2072" s="2" t="s">
        <v>546</v>
      </c>
      <c r="C2072" s="2">
        <v>664.80160000000001</v>
      </c>
      <c r="D2072" s="2">
        <f>HYPERLINK("http://mcb-m6.bioreg.kyushu-u.ac.jp/M3/20110428/F51140/1529/2", 74.69)</f>
        <v>74.69</v>
      </c>
      <c r="E2072" s="2">
        <v>53.96</v>
      </c>
      <c r="F2072" s="2">
        <v>2</v>
      </c>
      <c r="G2072" s="2" t="s">
        <v>14</v>
      </c>
    </row>
    <row r="2073" spans="1:8" x14ac:dyDescent="0.2">
      <c r="A2073" s="2" t="s">
        <v>3343</v>
      </c>
      <c r="B2073" s="2" t="s">
        <v>344</v>
      </c>
      <c r="C2073" s="2">
        <v>919.43769999999995</v>
      </c>
      <c r="D2073" s="2">
        <f>HYPERLINK("http://mcb-m6.bioreg.kyushu-u.ac.jp/M3/20110428/F51140/2862/1", 75.28)</f>
        <v>75.28</v>
      </c>
      <c r="E2073" s="2">
        <v>48.09</v>
      </c>
      <c r="F2073" s="2">
        <v>2</v>
      </c>
      <c r="G2073" s="2" t="s">
        <v>14</v>
      </c>
    </row>
    <row r="2074" spans="1:8" x14ac:dyDescent="0.2">
      <c r="A2074" s="2" t="s">
        <v>3343</v>
      </c>
      <c r="B2074" s="2" t="s">
        <v>132</v>
      </c>
      <c r="C2074" s="2">
        <v>578.28719999999998</v>
      </c>
      <c r="D2074" s="2">
        <f>HYPERLINK("http://mcb-m6.bioreg.kyushu-u.ac.jp/M3/20110428/F51140/1187/1", 75.42)</f>
        <v>75.42</v>
      </c>
      <c r="E2074" s="2">
        <v>36.58</v>
      </c>
      <c r="F2074" s="2">
        <v>2</v>
      </c>
      <c r="G2074" s="2" t="s">
        <v>14</v>
      </c>
    </row>
    <row r="2075" spans="1:8" x14ac:dyDescent="0.2">
      <c r="A2075" s="2" t="s">
        <v>3343</v>
      </c>
      <c r="B2075" s="2" t="s">
        <v>558</v>
      </c>
      <c r="C2075" s="2">
        <v>729.45259999999996</v>
      </c>
      <c r="D2075" s="2">
        <f>HYPERLINK("http://mcb-m6.bioreg.kyushu-u.ac.jp/M3/20110428/F51140/1907/1", 76.04)</f>
        <v>76.040000000000006</v>
      </c>
      <c r="E2075" s="2">
        <v>62.7</v>
      </c>
      <c r="F2075" s="2">
        <v>2</v>
      </c>
      <c r="G2075" s="2" t="s">
        <v>14</v>
      </c>
    </row>
    <row r="2076" spans="1:8" x14ac:dyDescent="0.2">
      <c r="A2076" s="2" t="s">
        <v>3343</v>
      </c>
      <c r="B2076" s="2" t="s">
        <v>325</v>
      </c>
      <c r="C2076" s="2">
        <v>739.44759999999997</v>
      </c>
      <c r="D2076" s="2">
        <f>HYPERLINK("http://mcb-m6.bioreg.kyushu-u.ac.jp/M3/20110502/F51159/1965/1", 76.22)</f>
        <v>76.22</v>
      </c>
      <c r="E2076" s="2">
        <v>63.15</v>
      </c>
      <c r="F2076" s="2">
        <v>2</v>
      </c>
      <c r="G2076" s="2" t="s">
        <v>14</v>
      </c>
    </row>
    <row r="2077" spans="1:8" x14ac:dyDescent="0.2">
      <c r="A2077" s="2" t="s">
        <v>3343</v>
      </c>
      <c r="B2077" s="2" t="s">
        <v>1189</v>
      </c>
      <c r="C2077" s="2">
        <v>1069.6389999999999</v>
      </c>
      <c r="D2077" s="2">
        <f>HYPERLINK("http://mcb-m6.bioreg.kyushu-u.ac.jp/M3/20110502/F51159/3101/1", 77.3)</f>
        <v>77.3</v>
      </c>
      <c r="E2077" s="2">
        <v>64.02</v>
      </c>
      <c r="F2077" s="2">
        <v>2</v>
      </c>
      <c r="G2077" s="2" t="s">
        <v>14</v>
      </c>
    </row>
    <row r="2078" spans="1:8" x14ac:dyDescent="0.2">
      <c r="A2078" s="2" t="s">
        <v>3343</v>
      </c>
      <c r="B2078" s="2" t="s">
        <v>546</v>
      </c>
      <c r="C2078" s="2">
        <v>665.33219999999994</v>
      </c>
      <c r="D2078" s="2">
        <f>HYPERLINK("http://mcb-m6.bioreg.kyushu-u.ac.jp/M3/20110428/F51140/1540/2", 77.5)</f>
        <v>77.5</v>
      </c>
      <c r="E2078" s="2">
        <v>64.42</v>
      </c>
      <c r="F2078" s="2">
        <v>2</v>
      </c>
      <c r="G2078" s="2" t="s">
        <v>14</v>
      </c>
    </row>
    <row r="2079" spans="1:8" x14ac:dyDescent="0.2">
      <c r="A2079" s="2" t="s">
        <v>3343</v>
      </c>
      <c r="B2079" s="2" t="s">
        <v>1002</v>
      </c>
      <c r="C2079" s="2">
        <v>1147.655</v>
      </c>
      <c r="D2079" s="2">
        <f>HYPERLINK("http://mcb-m6.bioreg.kyushu-u.ac.jp/M3/20110428/F51140/3462/1", 77.74)</f>
        <v>77.739999999999995</v>
      </c>
      <c r="E2079" s="2">
        <v>67.930000000000007</v>
      </c>
      <c r="F2079" s="2">
        <v>2</v>
      </c>
      <c r="G2079" s="2" t="s">
        <v>14</v>
      </c>
    </row>
    <row r="2080" spans="1:8" x14ac:dyDescent="0.2">
      <c r="A2080" s="2" t="s">
        <v>3343</v>
      </c>
      <c r="B2080" s="2" t="s">
        <v>1002</v>
      </c>
      <c r="C2080" s="2">
        <v>1147.569</v>
      </c>
      <c r="D2080" s="2">
        <f>HYPERLINK("http://mcb-m6.bioreg.kyushu-u.ac.jp/M3/20110428/F51140/3459/1", 77.94)</f>
        <v>77.94</v>
      </c>
      <c r="E2080" s="2">
        <v>67.069999999999993</v>
      </c>
      <c r="F2080" s="2">
        <v>2</v>
      </c>
      <c r="G2080" s="2" t="s">
        <v>14</v>
      </c>
    </row>
    <row r="2081" spans="1:8" x14ac:dyDescent="0.2">
      <c r="A2081" s="2" t="s">
        <v>3343</v>
      </c>
      <c r="B2081" s="2" t="s">
        <v>1002</v>
      </c>
      <c r="C2081" s="2">
        <v>1148.07</v>
      </c>
      <c r="D2081" s="2">
        <f>HYPERLINK("http://mcb-m6.bioreg.kyushu-u.ac.jp/M3/20110428/F51140/3466/1", 78.07)</f>
        <v>78.069999999999993</v>
      </c>
      <c r="E2081" s="2">
        <v>66.73</v>
      </c>
      <c r="F2081" s="2">
        <v>2</v>
      </c>
      <c r="G2081" s="2" t="s">
        <v>14</v>
      </c>
    </row>
    <row r="2082" spans="1:8" x14ac:dyDescent="0.2">
      <c r="A2082" s="2" t="s">
        <v>3343</v>
      </c>
      <c r="B2082" s="2" t="s">
        <v>132</v>
      </c>
      <c r="C2082" s="2">
        <v>578.43910000000005</v>
      </c>
      <c r="D2082" s="2">
        <f>HYPERLINK("http://mcb-m6.bioreg.kyushu-u.ac.jp/M3/20110428/F51141/1043/1", 78.07)</f>
        <v>78.069999999999993</v>
      </c>
      <c r="E2082" s="2">
        <v>49.91</v>
      </c>
      <c r="F2082" s="2">
        <v>2</v>
      </c>
      <c r="G2082" s="2" t="s">
        <v>14</v>
      </c>
    </row>
    <row r="2083" spans="1:8" x14ac:dyDescent="0.2">
      <c r="A2083" s="2" t="s">
        <v>3343</v>
      </c>
      <c r="B2083" s="2" t="s">
        <v>1002</v>
      </c>
      <c r="C2083" s="2">
        <v>1147.866</v>
      </c>
      <c r="D2083" s="2">
        <f>HYPERLINK("http://mcb-m6.bioreg.kyushu-u.ac.jp/M3/20110428/F51140/3464/1", 79.11)</f>
        <v>79.11</v>
      </c>
      <c r="E2083" s="2">
        <v>63.44</v>
      </c>
      <c r="F2083" s="2">
        <v>2</v>
      </c>
      <c r="G2083" s="2" t="s">
        <v>14</v>
      </c>
    </row>
    <row r="2084" spans="1:8" x14ac:dyDescent="0.2">
      <c r="A2084" s="2" t="s">
        <v>3343</v>
      </c>
      <c r="B2084" s="2" t="s">
        <v>1002</v>
      </c>
      <c r="C2084" s="2">
        <v>1147.6220000000001</v>
      </c>
      <c r="D2084" s="2">
        <f>HYPERLINK("http://mcb-m6.bioreg.kyushu-u.ac.jp/M3/20110428/F51141/3810/1", 79.81)</f>
        <v>79.81</v>
      </c>
      <c r="E2084" s="2">
        <v>66.92</v>
      </c>
      <c r="F2084" s="2">
        <v>2</v>
      </c>
      <c r="G2084" s="2" t="s">
        <v>14</v>
      </c>
    </row>
    <row r="2085" spans="1:8" x14ac:dyDescent="0.2">
      <c r="A2085" s="2" t="s">
        <v>3343</v>
      </c>
      <c r="B2085" s="2" t="s">
        <v>509</v>
      </c>
      <c r="C2085" s="2">
        <v>725.8107</v>
      </c>
      <c r="D2085" s="2">
        <f>HYPERLINK("http://mcb-m6.bioreg.kyushu-u.ac.jp/M3/20110428/F51140/1888/1", 80.4)</f>
        <v>80.400000000000006</v>
      </c>
      <c r="E2085" s="2">
        <v>58.96</v>
      </c>
      <c r="F2085" s="2">
        <v>2</v>
      </c>
      <c r="G2085" s="2" t="s">
        <v>14</v>
      </c>
      <c r="H2085" s="2" t="s">
        <v>4927</v>
      </c>
    </row>
    <row r="2086" spans="1:8" x14ac:dyDescent="0.2">
      <c r="A2086" s="2" t="s">
        <v>3343</v>
      </c>
      <c r="B2086" s="2" t="s">
        <v>344</v>
      </c>
      <c r="C2086" s="2">
        <v>919.45510000000002</v>
      </c>
      <c r="D2086" s="2">
        <f>HYPERLINK("http://mcb-m6.bioreg.kyushu-u.ac.jp/M3/20110428/F51140/2863/1", 80.54)</f>
        <v>80.540000000000006</v>
      </c>
      <c r="E2086" s="2">
        <v>60.4</v>
      </c>
      <c r="F2086" s="2">
        <v>2</v>
      </c>
      <c r="G2086" s="2" t="s">
        <v>14</v>
      </c>
    </row>
    <row r="2087" spans="1:8" x14ac:dyDescent="0.2">
      <c r="A2087" s="2" t="s">
        <v>3343</v>
      </c>
      <c r="B2087" s="2" t="s">
        <v>132</v>
      </c>
      <c r="C2087" s="2">
        <v>578.37120000000004</v>
      </c>
      <c r="D2087" s="2">
        <f>HYPERLINK("http://mcb-m6.bioreg.kyushu-u.ac.jp/M3/20110428/F51140/1192/1", 80.82)</f>
        <v>80.819999999999993</v>
      </c>
      <c r="E2087" s="2">
        <v>46.41</v>
      </c>
      <c r="F2087" s="2">
        <v>2</v>
      </c>
      <c r="G2087" s="2" t="s">
        <v>14</v>
      </c>
    </row>
    <row r="2088" spans="1:8" x14ac:dyDescent="0.2">
      <c r="A2088" s="2" t="s">
        <v>3343</v>
      </c>
      <c r="B2088" s="2" t="s">
        <v>546</v>
      </c>
      <c r="C2088" s="2">
        <v>664.92020000000002</v>
      </c>
      <c r="D2088" s="2">
        <f>HYPERLINK("http://mcb-m6.bioreg.kyushu-u.ac.jp/M3/20110428/F51140/1538/2", 80.85)</f>
        <v>80.849999999999994</v>
      </c>
      <c r="E2088" s="2">
        <v>58.42</v>
      </c>
      <c r="F2088" s="2">
        <v>2</v>
      </c>
      <c r="G2088" s="2" t="s">
        <v>14</v>
      </c>
    </row>
    <row r="2089" spans="1:8" x14ac:dyDescent="0.2">
      <c r="A2089" s="2" t="s">
        <v>3343</v>
      </c>
      <c r="B2089" s="2" t="s">
        <v>509</v>
      </c>
      <c r="C2089" s="2">
        <v>725.4547</v>
      </c>
      <c r="D2089" s="2">
        <f>HYPERLINK("http://mcb-m6.bioreg.kyushu-u.ac.jp/M3/20110428/F51140/1884/1", 80.97)</f>
        <v>80.97</v>
      </c>
      <c r="E2089" s="2">
        <v>63.76</v>
      </c>
      <c r="F2089" s="2">
        <v>2</v>
      </c>
      <c r="G2089" s="2" t="s">
        <v>14</v>
      </c>
      <c r="H2089" s="2" t="s">
        <v>4927</v>
      </c>
    </row>
    <row r="2090" spans="1:8" x14ac:dyDescent="0.2">
      <c r="A2090" s="2" t="s">
        <v>3343</v>
      </c>
      <c r="B2090" s="2" t="s">
        <v>344</v>
      </c>
      <c r="C2090" s="2">
        <v>919.46370000000002</v>
      </c>
      <c r="D2090" s="2">
        <f>HYPERLINK("http://mcb-m6.bioreg.kyushu-u.ac.jp/M3/20110428/F51140/2864/1", 81.52)</f>
        <v>81.52</v>
      </c>
      <c r="E2090" s="2">
        <v>58.3</v>
      </c>
      <c r="F2090" s="2">
        <v>2</v>
      </c>
      <c r="G2090" s="2" t="s">
        <v>14</v>
      </c>
    </row>
    <row r="2091" spans="1:8" x14ac:dyDescent="0.2">
      <c r="A2091" s="2" t="s">
        <v>3343</v>
      </c>
      <c r="B2091" s="2" t="s">
        <v>344</v>
      </c>
      <c r="C2091" s="2">
        <v>919.50369999999998</v>
      </c>
      <c r="D2091" s="2">
        <f>HYPERLINK("http://mcb-m6.bioreg.kyushu-u.ac.jp/M3/20110428/F51140/2866/1", 81.53)</f>
        <v>81.53</v>
      </c>
      <c r="E2091" s="2">
        <v>59.97</v>
      </c>
      <c r="F2091" s="2">
        <v>2</v>
      </c>
      <c r="G2091" s="2" t="s">
        <v>14</v>
      </c>
    </row>
    <row r="2092" spans="1:8" x14ac:dyDescent="0.2">
      <c r="A2092" s="2" t="s">
        <v>3343</v>
      </c>
      <c r="B2092" s="2" t="s">
        <v>325</v>
      </c>
      <c r="C2092" s="2">
        <v>739.41420000000005</v>
      </c>
      <c r="D2092" s="2">
        <f>HYPERLINK("http://mcb-m6.bioreg.kyushu-u.ac.jp/M3/20110428/F51141/1910/1", 81.67)</f>
        <v>81.67</v>
      </c>
      <c r="E2092" s="2">
        <v>65.709999999999994</v>
      </c>
      <c r="F2092" s="2">
        <v>2</v>
      </c>
      <c r="G2092" s="2" t="s">
        <v>14</v>
      </c>
    </row>
    <row r="2093" spans="1:8" x14ac:dyDescent="0.2">
      <c r="A2093" s="2" t="s">
        <v>3343</v>
      </c>
      <c r="B2093" s="2" t="s">
        <v>546</v>
      </c>
      <c r="C2093" s="2">
        <v>664.84169999999995</v>
      </c>
      <c r="D2093" s="2">
        <f>HYPERLINK("http://mcb-m6.bioreg.kyushu-u.ac.jp/M3/20110428/F51140/1533/2", 82.19)</f>
        <v>82.19</v>
      </c>
      <c r="E2093" s="2">
        <v>65.45</v>
      </c>
      <c r="F2093" s="2">
        <v>2</v>
      </c>
      <c r="G2093" s="2" t="s">
        <v>14</v>
      </c>
    </row>
    <row r="2094" spans="1:8" x14ac:dyDescent="0.2">
      <c r="A2094" s="2" t="s">
        <v>3343</v>
      </c>
      <c r="B2094" s="2" t="s">
        <v>1002</v>
      </c>
      <c r="C2094" s="2">
        <v>1147.681</v>
      </c>
      <c r="D2094" s="2">
        <f>HYPERLINK("http://mcb-m6.bioreg.kyushu-u.ac.jp/M3/20110502/F51159/3212/1", 83.62)</f>
        <v>83.62</v>
      </c>
      <c r="E2094" s="2">
        <v>71.5</v>
      </c>
      <c r="F2094" s="2">
        <v>2</v>
      </c>
      <c r="G2094" s="2" t="s">
        <v>14</v>
      </c>
    </row>
    <row r="2095" spans="1:8" x14ac:dyDescent="0.2">
      <c r="A2095" s="2" t="s">
        <v>3343</v>
      </c>
      <c r="B2095" s="2" t="s">
        <v>546</v>
      </c>
      <c r="C2095" s="2">
        <v>665.10109999999997</v>
      </c>
      <c r="D2095" s="2">
        <f>HYPERLINK("http://mcb-m6.bioreg.kyushu-u.ac.jp/M3/20110502/F51159/1641/2", 83.7)</f>
        <v>83.7</v>
      </c>
      <c r="E2095" s="2">
        <v>59.56</v>
      </c>
      <c r="F2095" s="2">
        <v>2</v>
      </c>
      <c r="G2095" s="2" t="s">
        <v>14</v>
      </c>
    </row>
    <row r="2096" spans="1:8" x14ac:dyDescent="0.2">
      <c r="A2096" s="2" t="s">
        <v>3343</v>
      </c>
      <c r="B2096" s="2" t="s">
        <v>344</v>
      </c>
      <c r="C2096" s="2">
        <v>919.3972</v>
      </c>
      <c r="D2096" s="2">
        <f>HYPERLINK("http://mcb-m6.bioreg.kyushu-u.ac.jp/M3/20110428/F51141/3018/1", 83.78)</f>
        <v>83.78</v>
      </c>
      <c r="E2096" s="2">
        <v>51.78</v>
      </c>
      <c r="F2096" s="2">
        <v>2</v>
      </c>
      <c r="G2096" s="2" t="s">
        <v>14</v>
      </c>
    </row>
    <row r="2097" spans="1:8" x14ac:dyDescent="0.2">
      <c r="A2097" s="2" t="s">
        <v>3343</v>
      </c>
      <c r="B2097" s="2" t="s">
        <v>344</v>
      </c>
      <c r="C2097" s="2">
        <v>919.6232</v>
      </c>
      <c r="D2097" s="2">
        <f>HYPERLINK("http://mcb-m6.bioreg.kyushu-u.ac.jp/M3/20110428/F51140/2868/1", 84.45)</f>
        <v>84.45</v>
      </c>
      <c r="E2097" s="2">
        <v>56.92</v>
      </c>
      <c r="F2097" s="2">
        <v>2</v>
      </c>
      <c r="G2097" s="2" t="s">
        <v>14</v>
      </c>
    </row>
    <row r="2098" spans="1:8" x14ac:dyDescent="0.2">
      <c r="A2098" s="2" t="s">
        <v>3343</v>
      </c>
      <c r="B2098" s="2" t="s">
        <v>132</v>
      </c>
      <c r="C2098" s="2">
        <v>578.27670000000001</v>
      </c>
      <c r="D2098" s="2">
        <f>HYPERLINK("http://mcb-m6.bioreg.kyushu-u.ac.jp/M3/20110428/F51140/1186/1", 84.71)</f>
        <v>84.71</v>
      </c>
      <c r="E2098" s="2">
        <v>56.97</v>
      </c>
      <c r="F2098" s="2">
        <v>2</v>
      </c>
      <c r="G2098" s="2" t="s">
        <v>14</v>
      </c>
    </row>
    <row r="2099" spans="1:8" x14ac:dyDescent="0.2">
      <c r="A2099" s="2" t="s">
        <v>3343</v>
      </c>
      <c r="B2099" s="2" t="s">
        <v>546</v>
      </c>
      <c r="C2099" s="2">
        <v>664.88459999999998</v>
      </c>
      <c r="D2099" s="2">
        <f>HYPERLINK("http://mcb-m6.bioreg.kyushu-u.ac.jp/M3/20110428/F51140/1537/2", 85.38)</f>
        <v>85.38</v>
      </c>
      <c r="E2099" s="2">
        <v>63.83</v>
      </c>
      <c r="F2099" s="2">
        <v>2</v>
      </c>
      <c r="G2099" s="2" t="s">
        <v>14</v>
      </c>
    </row>
    <row r="2100" spans="1:8" x14ac:dyDescent="0.2">
      <c r="A2100" s="2" t="s">
        <v>3343</v>
      </c>
      <c r="B2100" s="2" t="s">
        <v>546</v>
      </c>
      <c r="C2100" s="2">
        <v>664.83759999999995</v>
      </c>
      <c r="D2100" s="2">
        <f>HYPERLINK("http://mcb-m6.bioreg.kyushu-u.ac.jp/M3/20110428/F51140/1532/2", 86.04)</f>
        <v>86.04</v>
      </c>
      <c r="E2100" s="2">
        <v>68.61</v>
      </c>
      <c r="F2100" s="2">
        <v>2</v>
      </c>
      <c r="G2100" s="2" t="s">
        <v>14</v>
      </c>
    </row>
    <row r="2101" spans="1:8" x14ac:dyDescent="0.2">
      <c r="A2101" s="2" t="s">
        <v>3343</v>
      </c>
      <c r="B2101" s="2" t="s">
        <v>1032</v>
      </c>
      <c r="C2101" s="2">
        <v>1164.1189999999999</v>
      </c>
      <c r="D2101" s="2">
        <f>HYPERLINK("http://mcb-m6.bioreg.kyushu-u.ac.jp/M3/20110428/F51140/3531/1", 86.42)</f>
        <v>86.42</v>
      </c>
      <c r="E2101" s="2">
        <v>71.92</v>
      </c>
      <c r="F2101" s="2">
        <v>2</v>
      </c>
      <c r="G2101" s="2" t="s">
        <v>14</v>
      </c>
    </row>
    <row r="2102" spans="1:8" x14ac:dyDescent="0.2">
      <c r="A2102" s="2" t="s">
        <v>3343</v>
      </c>
      <c r="B2102" s="2" t="s">
        <v>1002</v>
      </c>
      <c r="C2102" s="2">
        <v>1148.0730000000001</v>
      </c>
      <c r="D2102" s="2">
        <f>HYPERLINK("http://mcb-m6.bioreg.kyushu-u.ac.jp/M3/20110428/F51141/3818/1", 87.18)</f>
        <v>87.18</v>
      </c>
      <c r="E2102" s="2">
        <v>70.63</v>
      </c>
      <c r="F2102" s="2">
        <v>2</v>
      </c>
      <c r="G2102" s="2" t="s">
        <v>14</v>
      </c>
    </row>
    <row r="2103" spans="1:8" x14ac:dyDescent="0.2">
      <c r="A2103" s="2" t="s">
        <v>3343</v>
      </c>
      <c r="B2103" s="2" t="s">
        <v>1189</v>
      </c>
      <c r="C2103" s="2">
        <v>1070.0519999999999</v>
      </c>
      <c r="D2103" s="2">
        <f>HYPERLINK("http://mcb-m6.bioreg.kyushu-u.ac.jp/M3/20110428/F51140/3235/1", 87.62)</f>
        <v>87.62</v>
      </c>
      <c r="E2103" s="2">
        <v>76.55</v>
      </c>
      <c r="F2103" s="2">
        <v>2</v>
      </c>
      <c r="G2103" s="2" t="s">
        <v>14</v>
      </c>
    </row>
    <row r="2104" spans="1:8" x14ac:dyDescent="0.2">
      <c r="A2104" s="2" t="s">
        <v>3343</v>
      </c>
      <c r="B2104" s="2" t="s">
        <v>1032</v>
      </c>
      <c r="C2104" s="2">
        <v>1164.096</v>
      </c>
      <c r="D2104" s="2">
        <f>HYPERLINK("http://mcb-m6.bioreg.kyushu-u.ac.jp/M3/20110502/F51160/3048/1", 88.33)</f>
        <v>88.33</v>
      </c>
      <c r="E2104" s="2">
        <v>74.33</v>
      </c>
      <c r="F2104" s="2">
        <v>2</v>
      </c>
      <c r="G2104" s="2" t="s">
        <v>14</v>
      </c>
    </row>
    <row r="2105" spans="1:8" x14ac:dyDescent="0.2">
      <c r="A2105" s="2" t="s">
        <v>3343</v>
      </c>
      <c r="B2105" s="2" t="s">
        <v>344</v>
      </c>
      <c r="C2105" s="2">
        <v>919.60019999999997</v>
      </c>
      <c r="D2105" s="2">
        <f>HYPERLINK("http://mcb-m6.bioreg.kyushu-u.ac.jp/M3/20110502/F51160/2527/1", 88.52)</f>
        <v>88.52</v>
      </c>
      <c r="E2105" s="2">
        <v>56.38</v>
      </c>
      <c r="F2105" s="2">
        <v>2</v>
      </c>
      <c r="G2105" s="2" t="s">
        <v>14</v>
      </c>
    </row>
    <row r="2106" spans="1:8" x14ac:dyDescent="0.2">
      <c r="A2106" s="2" t="s">
        <v>3343</v>
      </c>
      <c r="B2106" s="2" t="s">
        <v>1211</v>
      </c>
      <c r="C2106" s="2">
        <v>1161.596</v>
      </c>
      <c r="D2106" s="2">
        <f>HYPERLINK("http://mcb-m6.bioreg.kyushu-u.ac.jp/M3/20110428/F51141/3869/1", 89.32)</f>
        <v>89.32</v>
      </c>
      <c r="E2106" s="2">
        <v>67.069999999999993</v>
      </c>
      <c r="F2106" s="2">
        <v>2</v>
      </c>
      <c r="G2106" s="2" t="s">
        <v>14</v>
      </c>
      <c r="H2106" s="2" t="s">
        <v>4891</v>
      </c>
    </row>
    <row r="2107" spans="1:8" x14ac:dyDescent="0.2">
      <c r="A2107" s="2" t="s">
        <v>3343</v>
      </c>
      <c r="B2107" s="2" t="s">
        <v>546</v>
      </c>
      <c r="C2107" s="2">
        <v>664.87660000000005</v>
      </c>
      <c r="D2107" s="2">
        <f>HYPERLINK("http://mcb-m6.bioreg.kyushu-u.ac.jp/M3/20110428/F51140/1536/2", 91.88)</f>
        <v>91.88</v>
      </c>
      <c r="E2107" s="2">
        <v>72.040000000000006</v>
      </c>
      <c r="F2107" s="2">
        <v>2</v>
      </c>
      <c r="G2107" s="2" t="s">
        <v>14</v>
      </c>
    </row>
    <row r="2108" spans="1:8" x14ac:dyDescent="0.2">
      <c r="A2108" s="2" t="s">
        <v>3343</v>
      </c>
      <c r="B2108" s="2" t="s">
        <v>344</v>
      </c>
      <c r="C2108" s="2">
        <v>919.47019999999998</v>
      </c>
      <c r="D2108" s="2">
        <f>HYPERLINK("http://mcb-m6.bioreg.kyushu-u.ac.jp/M3/20110428/F51141/3021/1", 94.01)</f>
        <v>94.01</v>
      </c>
      <c r="E2108" s="2">
        <v>69.75</v>
      </c>
      <c r="F2108" s="2">
        <v>2</v>
      </c>
      <c r="G2108" s="2" t="s">
        <v>14</v>
      </c>
    </row>
    <row r="2109" spans="1:8" x14ac:dyDescent="0.2">
      <c r="A2109" s="2" t="s">
        <v>3343</v>
      </c>
      <c r="B2109" s="2" t="s">
        <v>1496</v>
      </c>
      <c r="C2109" s="2">
        <v>967.04359999999997</v>
      </c>
      <c r="D2109" s="2">
        <f>HYPERLINK("http://mcb-m6.bioreg.kyushu-u.ac.jp/M3/20110428/F51140/3000/1", 97.29)</f>
        <v>97.29</v>
      </c>
      <c r="E2109" s="2">
        <v>76.09</v>
      </c>
      <c r="F2109" s="2">
        <v>2</v>
      </c>
      <c r="G2109" s="2" t="s">
        <v>14</v>
      </c>
    </row>
    <row r="2110" spans="1:8" x14ac:dyDescent="0.2">
      <c r="A2110" s="2" t="s">
        <v>3343</v>
      </c>
      <c r="B2110" s="2" t="s">
        <v>1032</v>
      </c>
      <c r="C2110" s="2">
        <v>1163.48</v>
      </c>
      <c r="D2110" s="2">
        <f>HYPERLINK("http://mcb-m6.bioreg.kyushu-u.ac.jp/M3/20110502/F51160/3045/1", 97.42)</f>
        <v>97.42</v>
      </c>
      <c r="E2110" s="2">
        <v>91.12</v>
      </c>
      <c r="F2110" s="2">
        <v>2</v>
      </c>
      <c r="G2110" s="2" t="s">
        <v>14</v>
      </c>
    </row>
    <row r="2111" spans="1:8" x14ac:dyDescent="0.2">
      <c r="A2111" s="2" t="s">
        <v>3343</v>
      </c>
      <c r="B2111" s="2" t="s">
        <v>1032</v>
      </c>
      <c r="C2111" s="2">
        <v>1164.1110000000001</v>
      </c>
      <c r="D2111" s="2">
        <f>HYPERLINK("http://mcb-m6.bioreg.kyushu-u.ac.jp/M3/20110428/F51143/3474/1", 97.81)</f>
        <v>97.81</v>
      </c>
      <c r="E2111" s="2">
        <v>86.23</v>
      </c>
      <c r="F2111" s="2">
        <v>2</v>
      </c>
      <c r="G2111" s="2" t="s">
        <v>14</v>
      </c>
    </row>
    <row r="2112" spans="1:8" x14ac:dyDescent="0.2">
      <c r="A2112" s="2" t="s">
        <v>3343</v>
      </c>
      <c r="B2112" s="2" t="s">
        <v>325</v>
      </c>
      <c r="C2112" s="2">
        <v>739.83259999999996</v>
      </c>
      <c r="D2112" s="2">
        <f>HYPERLINK("http://mcb-m6.bioreg.kyushu-u.ac.jp/M3/20110428/F51140/1970/1", 98.11)</f>
        <v>98.11</v>
      </c>
      <c r="E2112" s="2">
        <v>84</v>
      </c>
      <c r="F2112" s="2">
        <v>2</v>
      </c>
      <c r="G2112" s="2" t="s">
        <v>14</v>
      </c>
    </row>
    <row r="2113" spans="1:8" x14ac:dyDescent="0.2">
      <c r="A2113" s="2" t="s">
        <v>3343</v>
      </c>
      <c r="B2113" s="2" t="s">
        <v>1032</v>
      </c>
      <c r="C2113" s="2">
        <v>1164.134</v>
      </c>
      <c r="D2113" s="2">
        <f>HYPERLINK("http://mcb-m6.bioreg.kyushu-u.ac.jp/M3/20110428/F51141/3881/1", 98.19)</f>
        <v>98.19</v>
      </c>
      <c r="E2113" s="2">
        <v>90.72</v>
      </c>
      <c r="F2113" s="2">
        <v>2</v>
      </c>
      <c r="G2113" s="2" t="s">
        <v>14</v>
      </c>
    </row>
    <row r="2114" spans="1:8" x14ac:dyDescent="0.2">
      <c r="A2114" s="2" t="s">
        <v>3343</v>
      </c>
      <c r="B2114" s="2" t="s">
        <v>1032</v>
      </c>
      <c r="C2114" s="2">
        <v>1164.1310000000001</v>
      </c>
      <c r="D2114" s="2">
        <f>HYPERLINK("http://mcb-m6.bioreg.kyushu-u.ac.jp/M3/20110428/F51140/3533/1", 100.42)</f>
        <v>100.42</v>
      </c>
      <c r="E2114" s="2">
        <v>86.71</v>
      </c>
      <c r="F2114" s="2">
        <v>2</v>
      </c>
      <c r="G2114" s="2" t="s">
        <v>14</v>
      </c>
    </row>
    <row r="2115" spans="1:8" x14ac:dyDescent="0.2">
      <c r="A2115" s="2" t="s">
        <v>3343</v>
      </c>
      <c r="B2115" s="2" t="s">
        <v>1189</v>
      </c>
      <c r="C2115" s="2">
        <v>1069.5340000000001</v>
      </c>
      <c r="D2115" s="2">
        <f>HYPERLINK("http://mcb-m6.bioreg.kyushu-u.ac.jp/M3/20110428/F51140/3232/1", 102.21)</f>
        <v>102.21</v>
      </c>
      <c r="E2115" s="2">
        <v>87.48</v>
      </c>
      <c r="F2115" s="2">
        <v>2</v>
      </c>
      <c r="G2115" s="2" t="s">
        <v>14</v>
      </c>
    </row>
    <row r="2116" spans="1:8" x14ac:dyDescent="0.2">
      <c r="A2116" s="2" t="s">
        <v>3343</v>
      </c>
      <c r="B2116" s="2" t="s">
        <v>1032</v>
      </c>
      <c r="C2116" s="2">
        <v>1163.7370000000001</v>
      </c>
      <c r="D2116" s="2">
        <f>HYPERLINK("http://mcb-m6.bioreg.kyushu-u.ac.jp/M3/20110502/F51159/3235/1", 103.48)</f>
        <v>103.48</v>
      </c>
      <c r="E2116" s="2">
        <v>86.6</v>
      </c>
      <c r="F2116" s="2">
        <v>2</v>
      </c>
      <c r="G2116" s="2" t="s">
        <v>14</v>
      </c>
    </row>
    <row r="2117" spans="1:8" x14ac:dyDescent="0.2">
      <c r="A2117" s="2" t="s">
        <v>3343</v>
      </c>
      <c r="B2117" s="2" t="s">
        <v>325</v>
      </c>
      <c r="C2117" s="2">
        <v>747.80909999999994</v>
      </c>
      <c r="D2117" s="2">
        <f>HYPERLINK("http://mcb-m6.bioreg.kyushu-u.ac.jp/M3/20110428/F51140/2029/1", 107.4)</f>
        <v>107.4</v>
      </c>
      <c r="E2117" s="2">
        <v>92.6</v>
      </c>
      <c r="F2117" s="2">
        <v>2</v>
      </c>
      <c r="G2117" s="2" t="s">
        <v>14</v>
      </c>
      <c r="H2117" s="2" t="s">
        <v>4925</v>
      </c>
    </row>
    <row r="2118" spans="1:8" x14ac:dyDescent="0.2">
      <c r="A2118" s="2" t="s">
        <v>3343</v>
      </c>
      <c r="B2118" s="2" t="s">
        <v>1032</v>
      </c>
      <c r="C2118" s="2">
        <v>1163.5540000000001</v>
      </c>
      <c r="D2118" s="2">
        <f>HYPERLINK("http://mcb-m6.bioreg.kyushu-u.ac.jp/M3/20110428/F51140/3524/1", 107.51)</f>
        <v>107.51</v>
      </c>
      <c r="E2118" s="2">
        <v>80.75</v>
      </c>
      <c r="F2118" s="2">
        <v>2</v>
      </c>
      <c r="G2118" s="2" t="s">
        <v>14</v>
      </c>
    </row>
    <row r="2119" spans="1:8" x14ac:dyDescent="0.2">
      <c r="A2119" s="2" t="s">
        <v>3343</v>
      </c>
      <c r="B2119" s="2" t="s">
        <v>1189</v>
      </c>
      <c r="C2119" s="2">
        <v>1070.002</v>
      </c>
      <c r="D2119" s="2">
        <f>HYPERLINK("http://mcb-m6.bioreg.kyushu-u.ac.jp/M3/20110428/F51140/3234/1", 108.59)</f>
        <v>108.59</v>
      </c>
      <c r="E2119" s="2">
        <v>93.83</v>
      </c>
      <c r="F2119" s="2">
        <v>2</v>
      </c>
      <c r="G2119" s="2" t="s">
        <v>14</v>
      </c>
    </row>
    <row r="2120" spans="1:8" x14ac:dyDescent="0.2">
      <c r="A2120" s="2" t="s">
        <v>3343</v>
      </c>
      <c r="B2120" s="2" t="s">
        <v>1189</v>
      </c>
      <c r="C2120" s="2">
        <v>1069.4929999999999</v>
      </c>
      <c r="D2120" s="2">
        <f>HYPERLINK("http://mcb-m6.bioreg.kyushu-u.ac.jp/M3/20110428/F51140/3230/1", 119.8)</f>
        <v>119.8</v>
      </c>
      <c r="E2120" s="2">
        <v>96.16</v>
      </c>
      <c r="F2120" s="2">
        <v>2</v>
      </c>
      <c r="G2120" s="2" t="s">
        <v>14</v>
      </c>
    </row>
    <row r="2121" spans="1:8" x14ac:dyDescent="0.2">
      <c r="A2121" s="2" t="s">
        <v>3343</v>
      </c>
      <c r="B2121" s="2" t="s">
        <v>1189</v>
      </c>
      <c r="C2121" s="2">
        <v>1069.5129999999999</v>
      </c>
      <c r="D2121" s="2">
        <f>HYPERLINK("http://mcb-m6.bioreg.kyushu-u.ac.jp/M3/20110428/F51140/3231/1", 122.32)</f>
        <v>122.32</v>
      </c>
      <c r="E2121" s="2">
        <v>104.84</v>
      </c>
      <c r="F2121" s="2">
        <v>2</v>
      </c>
      <c r="G2121" s="2" t="s">
        <v>14</v>
      </c>
    </row>
    <row r="2122" spans="1:8" x14ac:dyDescent="0.2">
      <c r="A2122" s="2" t="s">
        <v>4050</v>
      </c>
      <c r="B2122" s="2" t="s">
        <v>1399</v>
      </c>
      <c r="C2122" s="2">
        <v>686.36569999999995</v>
      </c>
      <c r="D2122" s="2">
        <f>HYPERLINK("http://mcb-m6.bioreg.kyushu-u.ac.jp/M3/20110318/F50610/1565/1", 35.94)</f>
        <v>35.94</v>
      </c>
      <c r="E2122" s="2">
        <v>11.92</v>
      </c>
      <c r="F2122" s="2">
        <v>2</v>
      </c>
      <c r="G2122" s="2" t="s">
        <v>9</v>
      </c>
    </row>
    <row r="2123" spans="1:8" x14ac:dyDescent="0.2">
      <c r="A2123" s="2" t="s">
        <v>5660</v>
      </c>
      <c r="B2123" s="2" t="s">
        <v>5123</v>
      </c>
      <c r="C2123" s="2">
        <v>730.43619999999999</v>
      </c>
      <c r="D2123" s="2">
        <f>HYPERLINK("http://mcb-m6.bioreg.kyushu-u.ac.jp/M3/20110318/F50606/1411/1", 62.47)</f>
        <v>62.47</v>
      </c>
      <c r="E2123" s="2">
        <v>42.48</v>
      </c>
      <c r="F2123" s="2">
        <v>2</v>
      </c>
      <c r="G2123" s="2" t="s">
        <v>9</v>
      </c>
    </row>
    <row r="2124" spans="1:8" x14ac:dyDescent="0.2">
      <c r="A2124" s="2" t="s">
        <v>5660</v>
      </c>
      <c r="B2124" s="2" t="s">
        <v>5123</v>
      </c>
      <c r="C2124" s="2">
        <v>729.9316</v>
      </c>
      <c r="D2124" s="2">
        <f>HYPERLINK("http://mcb-m6.bioreg.kyushu-u.ac.jp/M3/20110318/F50597/1522/1", 72.16)</f>
        <v>72.16</v>
      </c>
      <c r="E2124" s="2">
        <v>53.24</v>
      </c>
      <c r="F2124" s="2">
        <v>2</v>
      </c>
      <c r="G2124" s="2" t="s">
        <v>10</v>
      </c>
    </row>
    <row r="2125" spans="1:8" x14ac:dyDescent="0.2">
      <c r="A2125" s="2" t="s">
        <v>5660</v>
      </c>
      <c r="B2125" s="2" t="s">
        <v>5123</v>
      </c>
      <c r="C2125" s="2">
        <v>730.40560000000005</v>
      </c>
      <c r="D2125" s="2">
        <f>HYPERLINK("http://mcb-m6.bioreg.kyushu-u.ac.jp/M3/20110429/F51157/1700/1", 62.11)</f>
        <v>62.11</v>
      </c>
      <c r="E2125" s="2">
        <v>50.59</v>
      </c>
      <c r="F2125" s="2">
        <v>2</v>
      </c>
      <c r="G2125" s="2" t="s">
        <v>13</v>
      </c>
    </row>
    <row r="2126" spans="1:8" x14ac:dyDescent="0.2">
      <c r="A2126" s="2" t="s">
        <v>3771</v>
      </c>
      <c r="B2126" s="2" t="s">
        <v>794</v>
      </c>
      <c r="C2126" s="2">
        <v>930.97019999999998</v>
      </c>
      <c r="D2126" s="2">
        <f>HYPERLINK("http://mcb-m6.bioreg.kyushu-u.ac.jp/M3/20110318/F50597/2295/1", 46.81)</f>
        <v>46.81</v>
      </c>
      <c r="E2126" s="2">
        <v>12.85</v>
      </c>
      <c r="F2126" s="2">
        <v>2</v>
      </c>
      <c r="G2126" s="2" t="s">
        <v>10</v>
      </c>
    </row>
    <row r="2127" spans="1:8" x14ac:dyDescent="0.2">
      <c r="A2127" s="2" t="s">
        <v>3771</v>
      </c>
      <c r="B2127" s="2" t="s">
        <v>5344</v>
      </c>
      <c r="C2127" s="2">
        <v>647.87220000000002</v>
      </c>
      <c r="D2127" s="2">
        <f>HYPERLINK("http://mcb-m6.bioreg.kyushu-u.ac.jp/M3/20110318/F50597/1260/1", 77.59)</f>
        <v>77.59</v>
      </c>
      <c r="E2127" s="2">
        <v>52.34</v>
      </c>
      <c r="F2127" s="2">
        <v>2</v>
      </c>
      <c r="G2127" s="2" t="s">
        <v>10</v>
      </c>
    </row>
    <row r="2128" spans="1:8" x14ac:dyDescent="0.2">
      <c r="A2128" s="2" t="s">
        <v>3771</v>
      </c>
      <c r="B2128" s="2" t="s">
        <v>794</v>
      </c>
      <c r="C2128" s="2">
        <v>930.39570000000003</v>
      </c>
      <c r="D2128" s="2">
        <f>HYPERLINK("http://mcb-m6.bioreg.kyushu-u.ac.jp/M3/20110318/F50597/2293/1", 88.82)</f>
        <v>88.82</v>
      </c>
      <c r="E2128" s="2">
        <v>26.28</v>
      </c>
      <c r="F2128" s="2">
        <v>2</v>
      </c>
      <c r="G2128" s="2" t="s">
        <v>10</v>
      </c>
    </row>
    <row r="2129" spans="1:9" x14ac:dyDescent="0.2">
      <c r="A2129" s="2" t="s">
        <v>3771</v>
      </c>
      <c r="B2129" s="2" t="s">
        <v>794</v>
      </c>
      <c r="C2129" s="2">
        <v>931.00160000000005</v>
      </c>
      <c r="D2129" s="2">
        <f>HYPERLINK("http://mcb-m6.bioreg.kyushu-u.ac.jp/M3/20110418/F50974/2983/1", 44.18)</f>
        <v>44.18</v>
      </c>
      <c r="E2129" s="2">
        <v>13.02</v>
      </c>
      <c r="F2129" s="2">
        <v>2</v>
      </c>
      <c r="G2129" s="2" t="s">
        <v>11</v>
      </c>
    </row>
    <row r="2130" spans="1:9" x14ac:dyDescent="0.2">
      <c r="A2130" s="2" t="s">
        <v>3771</v>
      </c>
      <c r="B2130" s="2" t="s">
        <v>5344</v>
      </c>
      <c r="C2130" s="2">
        <v>647.47220000000004</v>
      </c>
      <c r="D2130" s="2">
        <f>HYPERLINK("http://mcb-m6.bioreg.kyushu-u.ac.jp/M3/20110418/F50974/1605/1", 60.28)</f>
        <v>60.28</v>
      </c>
      <c r="E2130" s="2">
        <v>39.65</v>
      </c>
      <c r="F2130" s="2">
        <v>2</v>
      </c>
      <c r="G2130" s="2" t="s">
        <v>11</v>
      </c>
    </row>
    <row r="2131" spans="1:9" x14ac:dyDescent="0.2">
      <c r="A2131" s="2" t="s">
        <v>3771</v>
      </c>
      <c r="B2131" s="2" t="s">
        <v>794</v>
      </c>
      <c r="C2131" s="2">
        <v>930.29020000000003</v>
      </c>
      <c r="D2131" s="2">
        <f>HYPERLINK("http://mcb-m6.bioreg.kyushu-u.ac.jp/M3/20110418/F50975/3118/1", 78.41)</f>
        <v>78.41</v>
      </c>
      <c r="E2131" s="2">
        <v>66.86</v>
      </c>
      <c r="F2131" s="2">
        <v>2</v>
      </c>
      <c r="G2131" s="2" t="s">
        <v>11</v>
      </c>
    </row>
    <row r="2132" spans="1:9" x14ac:dyDescent="0.2">
      <c r="A2132" s="2" t="s">
        <v>3771</v>
      </c>
      <c r="B2132" s="2" t="s">
        <v>794</v>
      </c>
      <c r="C2132" s="2">
        <v>930.30160000000001</v>
      </c>
      <c r="D2132" s="2">
        <f>HYPERLINK("http://mcb-m6.bioreg.kyushu-u.ac.jp/M3/20110418/F50974/2978/1", 103.29)</f>
        <v>103.29</v>
      </c>
      <c r="E2132" s="2">
        <v>87.44</v>
      </c>
      <c r="F2132" s="2">
        <v>2</v>
      </c>
      <c r="G2132" s="2" t="s">
        <v>11</v>
      </c>
    </row>
    <row r="2133" spans="1:9" x14ac:dyDescent="0.2">
      <c r="A2133" s="2" t="s">
        <v>3771</v>
      </c>
      <c r="B2133" s="2" t="s">
        <v>794</v>
      </c>
      <c r="C2133" s="2">
        <v>930.7577</v>
      </c>
      <c r="D2133" s="2">
        <f>HYPERLINK("http://mcb-m6.bioreg.kyushu-u.ac.jp/M3/20110418/F50984/2427/1", 43.25)</f>
        <v>43.25</v>
      </c>
      <c r="E2133" s="2">
        <v>15.6</v>
      </c>
      <c r="F2133" s="2">
        <v>2</v>
      </c>
      <c r="G2133" s="2" t="s">
        <v>12</v>
      </c>
    </row>
    <row r="2134" spans="1:9" x14ac:dyDescent="0.2">
      <c r="A2134" s="2" t="s">
        <v>3771</v>
      </c>
      <c r="B2134" s="2" t="s">
        <v>794</v>
      </c>
      <c r="C2134" s="2">
        <v>931.01260000000002</v>
      </c>
      <c r="D2134" s="2">
        <f>HYPERLINK("http://mcb-m6.bioreg.kyushu-u.ac.jp/M3/20110429/F51157/2718/1", 68.26)</f>
        <v>68.260000000000005</v>
      </c>
      <c r="E2134" s="2">
        <v>17.95</v>
      </c>
      <c r="F2134" s="2">
        <v>2</v>
      </c>
      <c r="G2134" s="2" t="s">
        <v>13</v>
      </c>
    </row>
    <row r="2135" spans="1:9" x14ac:dyDescent="0.2">
      <c r="A2135" s="2" t="s">
        <v>3771</v>
      </c>
      <c r="B2135" s="2" t="s">
        <v>5344</v>
      </c>
      <c r="C2135" s="2">
        <v>647.82920000000001</v>
      </c>
      <c r="D2135" s="2">
        <f>HYPERLINK("http://mcb-m6.bioreg.kyushu-u.ac.jp/M3/20110429/F51157/1265/1", 76.89)</f>
        <v>76.89</v>
      </c>
      <c r="E2135" s="2">
        <v>54.16</v>
      </c>
      <c r="F2135" s="2">
        <v>2</v>
      </c>
      <c r="G2135" s="2" t="s">
        <v>13</v>
      </c>
    </row>
    <row r="2136" spans="1:9" x14ac:dyDescent="0.2">
      <c r="A2136" s="2" t="s">
        <v>3771</v>
      </c>
      <c r="B2136" s="2" t="s">
        <v>794</v>
      </c>
      <c r="C2136" s="2">
        <v>930.39120000000003</v>
      </c>
      <c r="D2136" s="2">
        <f>HYPERLINK("http://mcb-m6.bioreg.kyushu-u.ac.jp/M3/20110429/F51157/2714/1", 95.46)</f>
        <v>95.46</v>
      </c>
      <c r="E2136" s="2">
        <v>30.52</v>
      </c>
      <c r="F2136" s="2">
        <v>2</v>
      </c>
      <c r="G2136" s="2" t="s">
        <v>13</v>
      </c>
    </row>
    <row r="2137" spans="1:9" x14ac:dyDescent="0.2">
      <c r="A2137" s="2" t="s">
        <v>3771</v>
      </c>
      <c r="B2137" s="2" t="s">
        <v>794</v>
      </c>
      <c r="C2137" s="2">
        <v>930.52369999999996</v>
      </c>
      <c r="D2137" s="2">
        <f>HYPERLINK("http://mcb-m6.bioreg.kyushu-u.ac.jp/M3/20110502/F51158/2881/1", 97.45)</f>
        <v>97.45</v>
      </c>
      <c r="E2137" s="2">
        <v>33.93</v>
      </c>
      <c r="F2137" s="2">
        <v>2</v>
      </c>
      <c r="G2137" s="2" t="s">
        <v>13</v>
      </c>
    </row>
    <row r="2138" spans="1:9" x14ac:dyDescent="0.2">
      <c r="A2138" s="2" t="s">
        <v>4278</v>
      </c>
      <c r="B2138" s="2" t="s">
        <v>1957</v>
      </c>
      <c r="C2138" s="2">
        <v>469.01659999999998</v>
      </c>
      <c r="D2138" s="2">
        <f>HYPERLINK("http://mcb-m6.bioreg.kyushu-u.ac.jp/M3/20110318/F50606/819/1", 49.24)</f>
        <v>49.24</v>
      </c>
      <c r="E2138" s="2">
        <v>20.49</v>
      </c>
      <c r="F2138" s="2">
        <v>2</v>
      </c>
      <c r="G2138" s="2" t="s">
        <v>9</v>
      </c>
    </row>
    <row r="2139" spans="1:9" x14ac:dyDescent="0.2">
      <c r="A2139" s="2" t="s">
        <v>4278</v>
      </c>
      <c r="B2139" s="2" t="s">
        <v>5330</v>
      </c>
      <c r="C2139" s="2">
        <v>989.48860000000002</v>
      </c>
      <c r="D2139" s="2">
        <f>HYPERLINK("http://mcb-m6.bioreg.kyushu-u.ac.jp/M3/20110318/F50597/2465/1", 64.24)</f>
        <v>64.239999999999995</v>
      </c>
      <c r="E2139" s="2">
        <v>42.5</v>
      </c>
      <c r="F2139" s="2">
        <v>2</v>
      </c>
      <c r="G2139" s="2" t="s">
        <v>10</v>
      </c>
    </row>
    <row r="2140" spans="1:9" x14ac:dyDescent="0.2">
      <c r="A2140" s="2" t="s">
        <v>4278</v>
      </c>
      <c r="B2140" s="2" t="s">
        <v>5330</v>
      </c>
      <c r="C2140" s="2">
        <v>989.30970000000002</v>
      </c>
      <c r="D2140" s="2">
        <f>HYPERLINK("http://mcb-m6.bioreg.kyushu-u.ac.jp/M3/20110418/F50974/3216/1", 73.94)</f>
        <v>73.94</v>
      </c>
      <c r="E2140" s="2">
        <v>57.35</v>
      </c>
      <c r="F2140" s="2">
        <v>2</v>
      </c>
      <c r="G2140" s="2" t="s">
        <v>11</v>
      </c>
    </row>
    <row r="2141" spans="1:9" x14ac:dyDescent="0.2">
      <c r="A2141" s="2" t="s">
        <v>5686</v>
      </c>
      <c r="B2141" s="2" t="s">
        <v>5212</v>
      </c>
      <c r="C2141" s="2">
        <v>551.37660000000005</v>
      </c>
      <c r="D2141" s="2">
        <f>HYPERLINK("http://mcb-m6.bioreg.kyushu-u.ac.jp/M3/20110318/F50597/1013/1", 36.2)</f>
        <v>36.200000000000003</v>
      </c>
      <c r="E2141" s="2">
        <v>13.6</v>
      </c>
      <c r="F2141" s="2">
        <v>2</v>
      </c>
      <c r="G2141" s="2" t="s">
        <v>10</v>
      </c>
      <c r="I2141" s="2" t="s">
        <v>4905</v>
      </c>
    </row>
    <row r="2142" spans="1:9" x14ac:dyDescent="0.2">
      <c r="A2142" s="2" t="s">
        <v>5686</v>
      </c>
      <c r="B2142" s="2" t="s">
        <v>5253</v>
      </c>
      <c r="C2142" s="2">
        <v>629.38959999999997</v>
      </c>
      <c r="D2142" s="2">
        <f>HYPERLINK("http://mcb-m6.bioreg.kyushu-u.ac.jp/M3/20110318/F50597/1220/1", 42.21)</f>
        <v>42.21</v>
      </c>
      <c r="E2142" s="2">
        <v>12.93</v>
      </c>
      <c r="F2142" s="2">
        <v>2</v>
      </c>
      <c r="G2142" s="2" t="s">
        <v>10</v>
      </c>
      <c r="I2142" s="2" t="s">
        <v>4905</v>
      </c>
    </row>
    <row r="2143" spans="1:9" x14ac:dyDescent="0.2">
      <c r="A2143" s="2" t="s">
        <v>4056</v>
      </c>
      <c r="B2143" s="2" t="s">
        <v>5079</v>
      </c>
      <c r="C2143" s="2">
        <v>493.97460000000001</v>
      </c>
      <c r="D2143" s="2">
        <f>HYPERLINK("http://mcb-m6.bioreg.kyushu-u.ac.jp/M3/20110318/F50604/1068/1", 48.35)</f>
        <v>48.35</v>
      </c>
      <c r="E2143" s="2">
        <v>24.42</v>
      </c>
      <c r="F2143" s="2">
        <v>2</v>
      </c>
      <c r="G2143" s="2" t="s">
        <v>9</v>
      </c>
    </row>
    <row r="2144" spans="1:9" x14ac:dyDescent="0.2">
      <c r="A2144" s="2" t="s">
        <v>4080</v>
      </c>
      <c r="B2144" s="2" t="s">
        <v>1811</v>
      </c>
      <c r="C2144" s="2">
        <v>897.40099999999995</v>
      </c>
      <c r="D2144" s="2">
        <f>HYPERLINK("http://mcb-m6.bioreg.kyushu-u.ac.jp/M3/20110318/F50597/761/1", 39.5)</f>
        <v>39.5</v>
      </c>
      <c r="E2144" s="2">
        <v>12.85</v>
      </c>
      <c r="F2144" s="2">
        <v>1</v>
      </c>
      <c r="G2144" s="2" t="s">
        <v>10</v>
      </c>
      <c r="H2144" s="2" t="s">
        <v>4904</v>
      </c>
    </row>
    <row r="2145" spans="1:9" x14ac:dyDescent="0.2">
      <c r="A2145" s="2" t="s">
        <v>4080</v>
      </c>
      <c r="B2145" s="2" t="s">
        <v>1811</v>
      </c>
      <c r="C2145" s="2">
        <v>897.48699999999997</v>
      </c>
      <c r="D2145" s="2">
        <f>HYPERLINK("http://mcb-m6.bioreg.kyushu-u.ac.jp/M3/20110418/F50974/754/1", 47.85)</f>
        <v>47.85</v>
      </c>
      <c r="E2145" s="2">
        <v>17.52</v>
      </c>
      <c r="F2145" s="2">
        <v>1</v>
      </c>
      <c r="G2145" s="2" t="s">
        <v>11</v>
      </c>
      <c r="H2145" s="2" t="s">
        <v>4904</v>
      </c>
    </row>
    <row r="2146" spans="1:9" x14ac:dyDescent="0.2">
      <c r="A2146" s="2" t="s">
        <v>4080</v>
      </c>
      <c r="B2146" s="2" t="s">
        <v>1811</v>
      </c>
      <c r="C2146" s="2">
        <v>897.43</v>
      </c>
      <c r="D2146" s="2">
        <f>HYPERLINK("http://mcb-m6.bioreg.kyushu-u.ac.jp/M3/20110418/F50984/1565/1", 45.74)</f>
        <v>45.74</v>
      </c>
      <c r="E2146" s="2">
        <v>14.2</v>
      </c>
      <c r="F2146" s="2">
        <v>1</v>
      </c>
      <c r="G2146" s="2" t="s">
        <v>12</v>
      </c>
      <c r="H2146" s="2" t="s">
        <v>4904</v>
      </c>
    </row>
    <row r="2147" spans="1:9" x14ac:dyDescent="0.2">
      <c r="A2147" s="2" t="s">
        <v>4080</v>
      </c>
      <c r="B2147" s="2" t="s">
        <v>1811</v>
      </c>
      <c r="C2147" s="2">
        <v>897.45299999999997</v>
      </c>
      <c r="D2147" s="2">
        <f>HYPERLINK("http://mcb-m6.bioreg.kyushu-u.ac.jp/M3/20110429/F51157/440/1", 44.75)</f>
        <v>44.75</v>
      </c>
      <c r="E2147" s="2">
        <v>13.29</v>
      </c>
      <c r="F2147" s="2">
        <v>1</v>
      </c>
      <c r="G2147" s="2" t="s">
        <v>13</v>
      </c>
      <c r="H2147" s="2" t="s">
        <v>4904</v>
      </c>
    </row>
    <row r="2148" spans="1:9" x14ac:dyDescent="0.2">
      <c r="A2148" s="2" t="s">
        <v>3600</v>
      </c>
      <c r="B2148" s="2" t="s">
        <v>492</v>
      </c>
      <c r="C2148" s="2">
        <v>560.71370000000002</v>
      </c>
      <c r="D2148" s="2">
        <f>HYPERLINK("http://mcb-m6.bioreg.kyushu-u.ac.jp/M3/20110429/F51157/845/1", 42.85)</f>
        <v>42.85</v>
      </c>
      <c r="E2148" s="2">
        <v>23.2</v>
      </c>
      <c r="F2148" s="2">
        <v>2</v>
      </c>
      <c r="G2148" s="2" t="s">
        <v>13</v>
      </c>
    </row>
    <row r="2149" spans="1:9" x14ac:dyDescent="0.2">
      <c r="A2149" s="2" t="s">
        <v>3910</v>
      </c>
      <c r="B2149" s="2" t="s">
        <v>1077</v>
      </c>
      <c r="C2149" s="2">
        <v>700.61159999999995</v>
      </c>
      <c r="D2149" s="2">
        <f>HYPERLINK("http://mcb-m6.bioreg.kyushu-u.ac.jp/M3/20110502/F51158/1697/1", 53.51)</f>
        <v>53.51</v>
      </c>
      <c r="E2149" s="2">
        <v>25.88</v>
      </c>
      <c r="F2149" s="2">
        <v>2</v>
      </c>
      <c r="G2149" s="2" t="s">
        <v>13</v>
      </c>
    </row>
    <row r="2150" spans="1:9" x14ac:dyDescent="0.2">
      <c r="A2150" s="2" t="s">
        <v>5756</v>
      </c>
      <c r="B2150" s="2" t="s">
        <v>5374</v>
      </c>
      <c r="C2150" s="2">
        <v>747.32669999999996</v>
      </c>
      <c r="D2150" s="2">
        <f>HYPERLINK("http://mcb-m6.bioreg.kyushu-u.ac.jp/M3/20110418/F50976/2047/1", 38.81)</f>
        <v>38.81</v>
      </c>
      <c r="E2150" s="2">
        <v>18.53</v>
      </c>
      <c r="F2150" s="2">
        <v>2</v>
      </c>
      <c r="G2150" s="2" t="s">
        <v>11</v>
      </c>
      <c r="I2150" s="2" t="s">
        <v>4898</v>
      </c>
    </row>
    <row r="2151" spans="1:9" x14ac:dyDescent="0.2">
      <c r="A2151" s="2" t="s">
        <v>5712</v>
      </c>
      <c r="B2151" s="2" t="s">
        <v>5256</v>
      </c>
      <c r="C2151" s="2">
        <v>674.30219999999997</v>
      </c>
      <c r="D2151" s="2">
        <f>HYPERLINK("http://mcb-m6.bioreg.kyushu-u.ac.jp/M3/20110318/F50611/1384/1", 42.8)</f>
        <v>42.8</v>
      </c>
      <c r="E2151" s="2">
        <v>20.53</v>
      </c>
      <c r="F2151" s="2">
        <v>2</v>
      </c>
      <c r="G2151" s="2" t="s">
        <v>10</v>
      </c>
    </row>
    <row r="2152" spans="1:9" x14ac:dyDescent="0.2">
      <c r="A2152" s="2" t="s">
        <v>5666</v>
      </c>
      <c r="B2152" s="2" t="s">
        <v>5136</v>
      </c>
      <c r="C2152" s="2">
        <v>689.5702</v>
      </c>
      <c r="D2152" s="2">
        <f>HYPERLINK("http://mcb-m6.bioreg.kyushu-u.ac.jp/M3/20110318/F50604/1420/1", 66.22)</f>
        <v>66.22</v>
      </c>
      <c r="E2152" s="2">
        <v>43.68</v>
      </c>
      <c r="F2152" s="2">
        <v>2</v>
      </c>
      <c r="G2152" s="2" t="s">
        <v>9</v>
      </c>
    </row>
    <row r="2153" spans="1:9" x14ac:dyDescent="0.2">
      <c r="A2153" s="2" t="s">
        <v>4494</v>
      </c>
      <c r="B2153" s="2" t="s">
        <v>5053</v>
      </c>
      <c r="C2153" s="2">
        <v>577.92219999999998</v>
      </c>
      <c r="D2153" s="2">
        <f>HYPERLINK("http://mcb-m6.bioreg.kyushu-u.ac.jp/M3/20110318/F50620/2135/1", 43.52)</f>
        <v>43.52</v>
      </c>
      <c r="E2153" s="2">
        <v>30.88</v>
      </c>
      <c r="F2153" s="2">
        <v>3</v>
      </c>
      <c r="G2153" s="2" t="s">
        <v>9</v>
      </c>
    </row>
    <row r="2154" spans="1:9" x14ac:dyDescent="0.2">
      <c r="A2154" s="2" t="s">
        <v>4494</v>
      </c>
      <c r="B2154" s="2" t="s">
        <v>5053</v>
      </c>
      <c r="C2154" s="2">
        <v>866.29970000000003</v>
      </c>
      <c r="D2154" s="2">
        <f>HYPERLINK("http://mcb-m6.bioreg.kyushu-u.ac.jp/M3/20110318/F50620/2134/1", 53.81)</f>
        <v>53.81</v>
      </c>
      <c r="E2154" s="2">
        <v>37.08</v>
      </c>
      <c r="F2154" s="2">
        <v>2</v>
      </c>
      <c r="G2154" s="2" t="s">
        <v>9</v>
      </c>
    </row>
    <row r="2155" spans="1:9" x14ac:dyDescent="0.2">
      <c r="A2155" s="2" t="s">
        <v>4494</v>
      </c>
      <c r="B2155" s="2" t="s">
        <v>2471</v>
      </c>
      <c r="C2155" s="2">
        <v>764.81669999999997</v>
      </c>
      <c r="D2155" s="2">
        <f>HYPERLINK("http://mcb-m6.bioreg.kyushu-u.ac.jp/M3/20110318/F50620/1774/1", 61.64)</f>
        <v>61.64</v>
      </c>
      <c r="E2155" s="2">
        <v>37.11</v>
      </c>
      <c r="F2155" s="2">
        <v>2</v>
      </c>
      <c r="G2155" s="2" t="s">
        <v>9</v>
      </c>
    </row>
    <row r="2156" spans="1:9" x14ac:dyDescent="0.2">
      <c r="A2156" s="2" t="s">
        <v>5618</v>
      </c>
      <c r="B2156" s="2" t="s">
        <v>5020</v>
      </c>
      <c r="C2156" s="2">
        <v>510.7636</v>
      </c>
      <c r="D2156" s="2">
        <f>HYPERLINK("http://mcb-m6.bioreg.kyushu-u.ac.jp/M3/20110318/F50620/1013/1", 39.8)</f>
        <v>39.799999999999997</v>
      </c>
      <c r="E2156" s="2">
        <v>24.28</v>
      </c>
      <c r="F2156" s="2">
        <v>2</v>
      </c>
      <c r="G2156" s="2" t="s">
        <v>9</v>
      </c>
    </row>
    <row r="2157" spans="1:9" x14ac:dyDescent="0.2">
      <c r="A2157" s="2" t="s">
        <v>5618</v>
      </c>
      <c r="B2157" s="2" t="s">
        <v>5058</v>
      </c>
      <c r="C2157" s="2">
        <v>778.27790000000005</v>
      </c>
      <c r="D2157" s="2">
        <f>HYPERLINK("http://mcb-m6.bioreg.kyushu-u.ac.jp/M3/20110318/F50620/2969/1", 44.01)</f>
        <v>44.01</v>
      </c>
      <c r="E2157" s="2">
        <v>31.24</v>
      </c>
      <c r="F2157" s="2">
        <v>3</v>
      </c>
      <c r="G2157" s="2" t="s">
        <v>9</v>
      </c>
      <c r="H2157" s="2" t="s">
        <v>4900</v>
      </c>
    </row>
    <row r="2158" spans="1:9" x14ac:dyDescent="0.2">
      <c r="A2158" s="2" t="s">
        <v>5618</v>
      </c>
      <c r="B2158" s="2" t="s">
        <v>5247</v>
      </c>
      <c r="C2158" s="2">
        <v>652.61569999999995</v>
      </c>
      <c r="D2158" s="2">
        <f>HYPERLINK("http://mcb-m6.bioreg.kyushu-u.ac.jp/M3/20110318/F50616/1349/1", 40.84)</f>
        <v>40.840000000000003</v>
      </c>
      <c r="E2158" s="2">
        <v>27.45</v>
      </c>
      <c r="F2158" s="2">
        <v>2</v>
      </c>
      <c r="G2158" s="2" t="s">
        <v>10</v>
      </c>
    </row>
    <row r="2159" spans="1:9" x14ac:dyDescent="0.2">
      <c r="A2159" s="2" t="s">
        <v>5618</v>
      </c>
      <c r="B2159" s="2" t="s">
        <v>5502</v>
      </c>
      <c r="C2159" s="2">
        <v>473.71510000000001</v>
      </c>
      <c r="D2159" s="2">
        <f>HYPERLINK("http://mcb-m6.bioreg.kyushu-u.ac.jp/M3/20110429/F51152/756/1", 42.78)</f>
        <v>42.78</v>
      </c>
      <c r="E2159" s="2">
        <v>8.06</v>
      </c>
      <c r="F2159" s="2">
        <v>2</v>
      </c>
      <c r="G2159" s="2" t="s">
        <v>13</v>
      </c>
      <c r="I2159" s="2" t="s">
        <v>4893</v>
      </c>
    </row>
    <row r="2160" spans="1:9" x14ac:dyDescent="0.2">
      <c r="A2160" s="2" t="s">
        <v>5647</v>
      </c>
      <c r="B2160" s="2" t="s">
        <v>5090</v>
      </c>
      <c r="C2160" s="2">
        <v>852.89620000000002</v>
      </c>
      <c r="D2160" s="2">
        <f>HYPERLINK("http://mcb-m6.bioreg.kyushu-u.ac.jp/M3/20110318/F50607/1906/1", 51.88)</f>
        <v>51.88</v>
      </c>
      <c r="E2160" s="2">
        <v>47.84</v>
      </c>
      <c r="F2160" s="2">
        <v>2</v>
      </c>
      <c r="G2160" s="2" t="s">
        <v>9</v>
      </c>
      <c r="I2160" s="2" t="s">
        <v>4918</v>
      </c>
    </row>
    <row r="2161" spans="1:9" x14ac:dyDescent="0.2">
      <c r="A2161" s="2" t="s">
        <v>5657</v>
      </c>
      <c r="B2161" s="2" t="s">
        <v>5114</v>
      </c>
      <c r="C2161" s="2">
        <v>713.73910000000001</v>
      </c>
      <c r="D2161" s="2">
        <f>HYPERLINK("http://mcb-m6.bioreg.kyushu-u.ac.jp/M3/20110318/F50607/1417/1", 58.78)</f>
        <v>58.78</v>
      </c>
      <c r="E2161" s="2">
        <v>46.04</v>
      </c>
      <c r="F2161" s="2">
        <v>2</v>
      </c>
      <c r="G2161" s="2" t="s">
        <v>9</v>
      </c>
    </row>
    <row r="2162" spans="1:9" x14ac:dyDescent="0.2">
      <c r="A2162" s="2" t="s">
        <v>5657</v>
      </c>
      <c r="B2162" s="2" t="s">
        <v>5114</v>
      </c>
      <c r="C2162" s="2">
        <v>713.69209999999998</v>
      </c>
      <c r="D2162" s="2">
        <f>HYPERLINK("http://mcb-m6.bioreg.kyushu-u.ac.jp/M3/20110318/F50616/1505/1", 52.15)</f>
        <v>52.15</v>
      </c>
      <c r="E2162" s="2">
        <v>38.6</v>
      </c>
      <c r="F2162" s="2">
        <v>2</v>
      </c>
      <c r="G2162" s="2" t="s">
        <v>10</v>
      </c>
    </row>
    <row r="2163" spans="1:9" x14ac:dyDescent="0.2">
      <c r="A2163" s="2" t="s">
        <v>5657</v>
      </c>
      <c r="B2163" s="2" t="s">
        <v>5457</v>
      </c>
      <c r="C2163" s="2">
        <v>803.30619999999999</v>
      </c>
      <c r="D2163" s="2">
        <f>HYPERLINK("http://mcb-m6.bioreg.kyushu-u.ac.jp/M3/20110418/F50997/2280/1", 92.12)</f>
        <v>92.12</v>
      </c>
      <c r="E2163" s="2">
        <v>67.16</v>
      </c>
      <c r="F2163" s="2">
        <v>2</v>
      </c>
      <c r="G2163" s="2" t="s">
        <v>12</v>
      </c>
    </row>
    <row r="2164" spans="1:9" x14ac:dyDescent="0.2">
      <c r="A2164" s="2" t="s">
        <v>5657</v>
      </c>
      <c r="B2164" s="2" t="s">
        <v>5465</v>
      </c>
      <c r="C2164" s="2">
        <v>560.66219999999998</v>
      </c>
      <c r="D2164" s="2">
        <f>HYPERLINK("http://mcb-m6.bioreg.kyushu-u.ac.jp/M3/20110429/F51152/1095/1", 36.12)</f>
        <v>36.119999999999997</v>
      </c>
      <c r="E2164" s="2">
        <v>13.15</v>
      </c>
      <c r="F2164" s="2">
        <v>2</v>
      </c>
      <c r="G2164" s="2" t="s">
        <v>13</v>
      </c>
    </row>
    <row r="2165" spans="1:9" x14ac:dyDescent="0.2">
      <c r="A2165" s="2" t="s">
        <v>5657</v>
      </c>
      <c r="B2165" s="2" t="s">
        <v>5457</v>
      </c>
      <c r="C2165" s="2">
        <v>803.21619999999996</v>
      </c>
      <c r="D2165" s="2">
        <f>HYPERLINK("http://mcb-m6.bioreg.kyushu-u.ac.jp/M3/20110429/F51152/2344/1", 71.48)</f>
        <v>71.48</v>
      </c>
      <c r="E2165" s="2">
        <v>43.89</v>
      </c>
      <c r="F2165" s="2">
        <v>2</v>
      </c>
      <c r="G2165" s="2" t="s">
        <v>13</v>
      </c>
    </row>
    <row r="2166" spans="1:9" x14ac:dyDescent="0.2">
      <c r="A2166" s="2" t="s">
        <v>5657</v>
      </c>
      <c r="B2166" s="2" t="s">
        <v>5114</v>
      </c>
      <c r="C2166" s="2">
        <v>713.2731</v>
      </c>
      <c r="D2166" s="2">
        <f>HYPERLINK("http://mcb-m6.bioreg.kyushu-u.ac.jp/M3/20110429/F51152/1785/1", 77.99)</f>
        <v>77.989999999999995</v>
      </c>
      <c r="E2166" s="2">
        <v>65.97</v>
      </c>
      <c r="F2166" s="2">
        <v>2</v>
      </c>
      <c r="G2166" s="2" t="s">
        <v>13</v>
      </c>
    </row>
    <row r="2167" spans="1:9" x14ac:dyDescent="0.2">
      <c r="A2167" s="2" t="s">
        <v>5657</v>
      </c>
      <c r="B2167" s="2" t="s">
        <v>5457</v>
      </c>
      <c r="C2167" s="2">
        <v>803.27170000000001</v>
      </c>
      <c r="D2167" s="2">
        <f>HYPERLINK("http://mcb-m6.bioreg.kyushu-u.ac.jp/M3/20110428/F51140/2340/1", 90.76)</f>
        <v>90.76</v>
      </c>
      <c r="E2167" s="2">
        <v>65.92</v>
      </c>
      <c r="F2167" s="2">
        <v>2</v>
      </c>
      <c r="G2167" s="2" t="s">
        <v>14</v>
      </c>
    </row>
    <row r="2168" spans="1:9" x14ac:dyDescent="0.2">
      <c r="A2168" s="2" t="s">
        <v>4559</v>
      </c>
      <c r="B2168" s="2" t="s">
        <v>2596</v>
      </c>
      <c r="C2168" s="2">
        <v>471.33510000000001</v>
      </c>
      <c r="D2168" s="2">
        <f>HYPERLINK("http://mcb-m6.bioreg.kyushu-u.ac.jp/M3/20110318/F50606/826/1", 40.18)</f>
        <v>40.18</v>
      </c>
      <c r="E2168" s="2">
        <v>11.17</v>
      </c>
      <c r="F2168" s="2">
        <v>2</v>
      </c>
      <c r="G2168" s="2" t="s">
        <v>9</v>
      </c>
    </row>
    <row r="2169" spans="1:9" x14ac:dyDescent="0.2">
      <c r="A2169" s="2" t="s">
        <v>3783</v>
      </c>
      <c r="B2169" s="2" t="s">
        <v>819</v>
      </c>
      <c r="C2169" s="2">
        <v>848.41309999999999</v>
      </c>
      <c r="D2169" s="2">
        <f>HYPERLINK("http://mcb-m6.bioreg.kyushu-u.ac.jp/M3/20110318/F50597/2018/1", 79.6)</f>
        <v>79.599999999999994</v>
      </c>
      <c r="E2169" s="2">
        <v>66.55</v>
      </c>
      <c r="F2169" s="2">
        <v>2</v>
      </c>
      <c r="G2169" s="2" t="s">
        <v>10</v>
      </c>
    </row>
    <row r="2170" spans="1:9" x14ac:dyDescent="0.2">
      <c r="A2170" s="2" t="s">
        <v>3783</v>
      </c>
      <c r="B2170" s="2" t="s">
        <v>819</v>
      </c>
      <c r="C2170" s="2">
        <v>848.6472</v>
      </c>
      <c r="D2170" s="2">
        <f>HYPERLINK("http://mcb-m6.bioreg.kyushu-u.ac.jp/M3/20110502/F51159/2393/1", 59.23)</f>
        <v>59.23</v>
      </c>
      <c r="E2170" s="2">
        <v>41.57</v>
      </c>
      <c r="F2170" s="2">
        <v>2</v>
      </c>
      <c r="G2170" s="2" t="s">
        <v>14</v>
      </c>
    </row>
    <row r="2171" spans="1:9" x14ac:dyDescent="0.2">
      <c r="A2171" s="2" t="s">
        <v>4115</v>
      </c>
      <c r="B2171" s="2" t="s">
        <v>1613</v>
      </c>
      <c r="C2171" s="2">
        <v>829.7242</v>
      </c>
      <c r="D2171" s="2">
        <f>HYPERLINK("http://mcb-m6.bioreg.kyushu-u.ac.jp/M3/20110418/F50974/2505/1", 67.02)</f>
        <v>67.02</v>
      </c>
      <c r="E2171" s="2">
        <v>55.32</v>
      </c>
      <c r="F2171" s="2">
        <v>2</v>
      </c>
      <c r="G2171" s="2" t="s">
        <v>11</v>
      </c>
    </row>
    <row r="2172" spans="1:9" x14ac:dyDescent="0.2">
      <c r="A2172" s="2" t="s">
        <v>4129</v>
      </c>
      <c r="B2172" s="2" t="s">
        <v>1653</v>
      </c>
      <c r="C2172" s="2">
        <v>904.42110000000002</v>
      </c>
      <c r="D2172" s="2">
        <f>HYPERLINK("http://mcb-m6.bioreg.kyushu-u.ac.jp/M3/20110428/F51142/3087/1", 88.13)</f>
        <v>88.13</v>
      </c>
      <c r="E2172" s="2">
        <v>74.5</v>
      </c>
      <c r="F2172" s="2">
        <v>2</v>
      </c>
      <c r="G2172" s="2" t="s">
        <v>14</v>
      </c>
      <c r="I2172" s="2" t="s">
        <v>4944</v>
      </c>
    </row>
    <row r="2173" spans="1:9" x14ac:dyDescent="0.2">
      <c r="A2173" s="2" t="s">
        <v>3756</v>
      </c>
      <c r="B2173" s="2" t="s">
        <v>5235</v>
      </c>
      <c r="C2173" s="2">
        <v>567.30269999999996</v>
      </c>
      <c r="D2173" s="2">
        <f>HYPERLINK("http://mcb-m6.bioreg.kyushu-u.ac.jp/M3/20110318/F50614/1092/1", 38.77)</f>
        <v>38.770000000000003</v>
      </c>
      <c r="E2173" s="2">
        <v>23.54</v>
      </c>
      <c r="F2173" s="2">
        <v>2</v>
      </c>
      <c r="G2173" s="2" t="s">
        <v>10</v>
      </c>
    </row>
    <row r="2174" spans="1:9" x14ac:dyDescent="0.2">
      <c r="A2174" s="2" t="s">
        <v>3756</v>
      </c>
      <c r="B2174" s="2" t="s">
        <v>1525</v>
      </c>
      <c r="C2174" s="2">
        <v>907.50459999999998</v>
      </c>
      <c r="D2174" s="2">
        <f>HYPERLINK("http://mcb-m6.bioreg.kyushu-u.ac.jp/M3/20110318/F50614/2332/1", 54.84)</f>
        <v>54.84</v>
      </c>
      <c r="E2174" s="2">
        <v>44.8</v>
      </c>
      <c r="F2174" s="2">
        <v>2</v>
      </c>
      <c r="G2174" s="2" t="s">
        <v>10</v>
      </c>
    </row>
    <row r="2175" spans="1:9" x14ac:dyDescent="0.2">
      <c r="A2175" s="2" t="s">
        <v>3756</v>
      </c>
      <c r="B2175" s="2" t="s">
        <v>2885</v>
      </c>
      <c r="C2175" s="2">
        <v>745.10270000000003</v>
      </c>
      <c r="D2175" s="2">
        <f>HYPERLINK("http://mcb-m6.bioreg.kyushu-u.ac.jp/M3/20110418/F50975/2077/1", 51.3)</f>
        <v>51.3</v>
      </c>
      <c r="E2175" s="2">
        <v>29.68</v>
      </c>
      <c r="F2175" s="2">
        <v>2</v>
      </c>
      <c r="G2175" s="2" t="s">
        <v>11</v>
      </c>
    </row>
    <row r="2176" spans="1:9" x14ac:dyDescent="0.2">
      <c r="A2176" s="2" t="s">
        <v>3756</v>
      </c>
      <c r="B2176" s="2" t="s">
        <v>2885</v>
      </c>
      <c r="C2176" s="2">
        <v>744.93020000000001</v>
      </c>
      <c r="D2176" s="2">
        <f>HYPERLINK("http://mcb-m6.bioreg.kyushu-u.ac.jp/M3/20110502/F51158/1929/1", 46.73)</f>
        <v>46.73</v>
      </c>
      <c r="E2176" s="2">
        <v>26.07</v>
      </c>
      <c r="F2176" s="2">
        <v>2</v>
      </c>
      <c r="G2176" s="2" t="s">
        <v>13</v>
      </c>
    </row>
    <row r="2177" spans="1:9" x14ac:dyDescent="0.2">
      <c r="A2177" s="2" t="s">
        <v>3756</v>
      </c>
      <c r="B2177" s="2" t="s">
        <v>2885</v>
      </c>
      <c r="C2177" s="2">
        <v>745.43409999999994</v>
      </c>
      <c r="D2177" s="2">
        <f>HYPERLINK("http://mcb-m6.bioreg.kyushu-u.ac.jp/M3/20110502/F51158/1931/1", 53.23)</f>
        <v>53.23</v>
      </c>
      <c r="E2177" s="2">
        <v>28.35</v>
      </c>
      <c r="F2177" s="2">
        <v>2</v>
      </c>
      <c r="G2177" s="2" t="s">
        <v>13</v>
      </c>
    </row>
    <row r="2178" spans="1:9" x14ac:dyDescent="0.2">
      <c r="A2178" s="2" t="s">
        <v>3644</v>
      </c>
      <c r="B2178" s="2" t="s">
        <v>569</v>
      </c>
      <c r="C2178" s="2">
        <v>615.9982</v>
      </c>
      <c r="D2178" s="2">
        <f>HYPERLINK("http://mcb-m6.bioreg.kyushu-u.ac.jp/M3/20110318/F50603/1201/1", 85.48)</f>
        <v>85.48</v>
      </c>
      <c r="E2178" s="2">
        <v>67.2</v>
      </c>
      <c r="F2178" s="2">
        <v>2</v>
      </c>
      <c r="G2178" s="2" t="s">
        <v>9</v>
      </c>
    </row>
    <row r="2179" spans="1:9" x14ac:dyDescent="0.2">
      <c r="A2179" s="2" t="s">
        <v>3644</v>
      </c>
      <c r="B2179" s="2" t="s">
        <v>569</v>
      </c>
      <c r="C2179" s="2">
        <v>615.8297</v>
      </c>
      <c r="D2179" s="2">
        <f>HYPERLINK("http://mcb-m6.bioreg.kyushu-u.ac.jp/M3/20110318/F50611/1260/1", 74.75)</f>
        <v>74.75</v>
      </c>
      <c r="E2179" s="2">
        <v>54.35</v>
      </c>
      <c r="F2179" s="2">
        <v>2</v>
      </c>
      <c r="G2179" s="2" t="s">
        <v>10</v>
      </c>
    </row>
    <row r="2180" spans="1:9" x14ac:dyDescent="0.2">
      <c r="A2180" s="2" t="s">
        <v>3644</v>
      </c>
      <c r="B2180" s="2" t="s">
        <v>569</v>
      </c>
      <c r="C2180" s="2">
        <v>616.3066</v>
      </c>
      <c r="D2180" s="2">
        <f>HYPERLINK("http://mcb-m6.bioreg.kyushu-u.ac.jp/M3/20110418/F51002/1696/1", 64.32)</f>
        <v>64.319999999999993</v>
      </c>
      <c r="E2180" s="2">
        <v>49.86</v>
      </c>
      <c r="F2180" s="2">
        <v>2</v>
      </c>
      <c r="G2180" s="2" t="s">
        <v>12</v>
      </c>
    </row>
    <row r="2181" spans="1:9" x14ac:dyDescent="0.2">
      <c r="A2181" s="2" t="s">
        <v>3644</v>
      </c>
      <c r="B2181" s="2" t="s">
        <v>569</v>
      </c>
      <c r="C2181" s="2">
        <v>616.29470000000003</v>
      </c>
      <c r="D2181" s="2">
        <f>HYPERLINK("http://mcb-m6.bioreg.kyushu-u.ac.jp/M3/20110429/F51154/1315/1", 59.05)</f>
        <v>59.05</v>
      </c>
      <c r="E2181" s="2">
        <v>44</v>
      </c>
      <c r="F2181" s="2">
        <v>2</v>
      </c>
      <c r="G2181" s="2" t="s">
        <v>13</v>
      </c>
    </row>
    <row r="2182" spans="1:9" x14ac:dyDescent="0.2">
      <c r="A2182" s="2" t="s">
        <v>3644</v>
      </c>
      <c r="B2182" s="2" t="s">
        <v>569</v>
      </c>
      <c r="C2182" s="2">
        <v>615.78520000000003</v>
      </c>
      <c r="D2182" s="2">
        <f>HYPERLINK("http://mcb-m6.bioreg.kyushu-u.ac.jp/M3/20110429/F51154/1311/1", 80.22)</f>
        <v>80.22</v>
      </c>
      <c r="E2182" s="2">
        <v>58.57</v>
      </c>
      <c r="F2182" s="2">
        <v>2</v>
      </c>
      <c r="G2182" s="2" t="s">
        <v>13</v>
      </c>
    </row>
    <row r="2183" spans="1:9" x14ac:dyDescent="0.2">
      <c r="A2183" s="2" t="s">
        <v>3644</v>
      </c>
      <c r="B2183" s="2" t="s">
        <v>569</v>
      </c>
      <c r="C2183" s="2">
        <v>616.29269999999997</v>
      </c>
      <c r="D2183" s="2">
        <f>HYPERLINK("http://mcb-m6.bioreg.kyushu-u.ac.jp/M3/20110502/F51162/1382/1", 46.67)</f>
        <v>46.67</v>
      </c>
      <c r="E2183" s="2">
        <v>32.119999999999997</v>
      </c>
      <c r="F2183" s="2">
        <v>2</v>
      </c>
      <c r="G2183" s="2" t="s">
        <v>14</v>
      </c>
    </row>
    <row r="2184" spans="1:9" x14ac:dyDescent="0.2">
      <c r="A2184" s="2" t="s">
        <v>3644</v>
      </c>
      <c r="B2184" s="2" t="s">
        <v>569</v>
      </c>
      <c r="C2184" s="2">
        <v>615.74469999999997</v>
      </c>
      <c r="D2184" s="2">
        <f>HYPERLINK("http://mcb-m6.bioreg.kyushu-u.ac.jp/M3/20110428/F51143/1531/1", 51.4)</f>
        <v>51.4</v>
      </c>
      <c r="E2184" s="2">
        <v>34.28</v>
      </c>
      <c r="F2184" s="2">
        <v>2</v>
      </c>
      <c r="G2184" s="2" t="s">
        <v>14</v>
      </c>
    </row>
    <row r="2185" spans="1:9" x14ac:dyDescent="0.2">
      <c r="A2185" s="2" t="s">
        <v>3644</v>
      </c>
      <c r="B2185" s="2" t="s">
        <v>2939</v>
      </c>
      <c r="C2185" s="2">
        <v>728.43370000000004</v>
      </c>
      <c r="D2185" s="2">
        <f>HYPERLINK("http://mcb-m6.bioreg.kyushu-u.ac.jp/M3/20110428/F51143/2020/1", 53.94)</f>
        <v>53.94</v>
      </c>
      <c r="E2185" s="2">
        <v>34.229999999999997</v>
      </c>
      <c r="F2185" s="2">
        <v>2</v>
      </c>
      <c r="G2185" s="2" t="s">
        <v>14</v>
      </c>
    </row>
    <row r="2186" spans="1:9" x14ac:dyDescent="0.2">
      <c r="A2186" s="4" t="s">
        <v>5669</v>
      </c>
      <c r="B2186" s="2" t="s">
        <v>5149</v>
      </c>
      <c r="C2186" s="2">
        <v>714.36659999999995</v>
      </c>
      <c r="D2186" s="2">
        <f>HYPERLINK("http://mcb-m6.bioreg.kyushu-u.ac.jp/M3/20110318/F50607/1420/1", 68.75)</f>
        <v>68.75</v>
      </c>
      <c r="E2186" s="2">
        <v>53.84</v>
      </c>
      <c r="F2186" s="2">
        <v>2</v>
      </c>
      <c r="G2186" s="2" t="s">
        <v>9</v>
      </c>
      <c r="I2186" s="2" t="s">
        <v>4918</v>
      </c>
    </row>
    <row r="2187" spans="1:9" x14ac:dyDescent="0.2">
      <c r="A2187" s="2" t="s">
        <v>5723</v>
      </c>
      <c r="B2187" s="2" t="s">
        <v>5299</v>
      </c>
      <c r="C2187" s="2">
        <v>685.40260000000001</v>
      </c>
      <c r="D2187" s="2">
        <f>HYPERLINK("http://mcb-m6.bioreg.kyushu-u.ac.jp/M3/20110318/F50598/1394/1", 52.09)</f>
        <v>52.09</v>
      </c>
      <c r="E2187" s="2">
        <v>13.72</v>
      </c>
      <c r="F2187" s="2">
        <v>2</v>
      </c>
      <c r="G2187" s="2" t="s">
        <v>10</v>
      </c>
    </row>
    <row r="2188" spans="1:9" x14ac:dyDescent="0.2">
      <c r="A2188" s="2" t="s">
        <v>5619</v>
      </c>
      <c r="B2188" s="2" t="s">
        <v>5025</v>
      </c>
      <c r="C2188" s="2">
        <v>614.89419999999996</v>
      </c>
      <c r="D2188" s="2">
        <f>HYPERLINK("http://mcb-m6.bioreg.kyushu-u.ac.jp/M3/20110318/F50607/1212/1", 40.04)</f>
        <v>40.04</v>
      </c>
      <c r="E2188" s="2">
        <v>13.55</v>
      </c>
      <c r="F2188" s="2">
        <v>2</v>
      </c>
      <c r="G2188" s="2" t="s">
        <v>9</v>
      </c>
    </row>
    <row r="2189" spans="1:9" x14ac:dyDescent="0.2">
      <c r="A2189" s="2" t="s">
        <v>3792</v>
      </c>
      <c r="B2189" s="2" t="s">
        <v>1227</v>
      </c>
      <c r="C2189" s="2">
        <v>819.50670000000002</v>
      </c>
      <c r="D2189" s="2">
        <f>HYPERLINK("http://mcb-m6.bioreg.kyushu-u.ac.jp/M3/20110318/F50600/1863/1", 48.34)</f>
        <v>48.34</v>
      </c>
      <c r="E2189" s="2">
        <v>30.83</v>
      </c>
      <c r="F2189" s="2">
        <v>2</v>
      </c>
      <c r="G2189" s="2" t="s">
        <v>10</v>
      </c>
    </row>
    <row r="2190" spans="1:9" x14ac:dyDescent="0.2">
      <c r="A2190" s="2" t="s">
        <v>3792</v>
      </c>
      <c r="B2190" s="2" t="s">
        <v>1376</v>
      </c>
      <c r="C2190" s="2">
        <v>554.42110000000002</v>
      </c>
      <c r="D2190" s="2">
        <f>HYPERLINK("http://mcb-m6.bioreg.kyushu-u.ac.jp/M3/20110318/F50600/1171/1", 65.98)</f>
        <v>65.98</v>
      </c>
      <c r="E2190" s="2">
        <v>27.08</v>
      </c>
      <c r="F2190" s="2">
        <v>2</v>
      </c>
      <c r="G2190" s="2" t="s">
        <v>10</v>
      </c>
    </row>
    <row r="2191" spans="1:9" x14ac:dyDescent="0.2">
      <c r="A2191" s="2" t="s">
        <v>3792</v>
      </c>
      <c r="B2191" s="2" t="s">
        <v>1376</v>
      </c>
      <c r="C2191" s="2">
        <v>554.61659999999995</v>
      </c>
      <c r="D2191" s="2">
        <f>HYPERLINK("http://mcb-m6.bioreg.kyushu-u.ac.jp/M3/20110418/F50971/1811/1", 36.63)</f>
        <v>36.630000000000003</v>
      </c>
      <c r="E2191" s="2">
        <v>11.43</v>
      </c>
      <c r="F2191" s="2">
        <v>2</v>
      </c>
      <c r="G2191" s="2" t="s">
        <v>11</v>
      </c>
    </row>
    <row r="2192" spans="1:9" x14ac:dyDescent="0.2">
      <c r="A2192" s="2" t="s">
        <v>3792</v>
      </c>
      <c r="B2192" s="2" t="s">
        <v>1376</v>
      </c>
      <c r="C2192" s="2">
        <v>554.80269999999996</v>
      </c>
      <c r="D2192" s="2">
        <f>HYPERLINK("http://mcb-m6.bioreg.kyushu-u.ac.jp/M3/20110429/F51149/1584/1", 68.6)</f>
        <v>68.599999999999994</v>
      </c>
      <c r="E2192" s="2">
        <v>27.36</v>
      </c>
      <c r="F2192" s="2">
        <v>2</v>
      </c>
      <c r="G2192" s="2" t="s">
        <v>13</v>
      </c>
    </row>
    <row r="2193" spans="1:9" x14ac:dyDescent="0.2">
      <c r="A2193" s="2" t="s">
        <v>3593</v>
      </c>
      <c r="B2193" s="2" t="s">
        <v>483</v>
      </c>
      <c r="C2193" s="2">
        <v>598.91359999999997</v>
      </c>
      <c r="D2193" s="2">
        <f>HYPERLINK("http://mcb-m6.bioreg.kyushu-u.ac.jp/M3/20110318/F50600/1239/1", 49.96)</f>
        <v>49.96</v>
      </c>
      <c r="E2193" s="2">
        <v>29.25</v>
      </c>
      <c r="F2193" s="2">
        <v>2</v>
      </c>
      <c r="G2193" s="2" t="s">
        <v>10</v>
      </c>
    </row>
    <row r="2194" spans="1:9" x14ac:dyDescent="0.2">
      <c r="A2194" s="2" t="s">
        <v>3593</v>
      </c>
      <c r="B2194" s="2" t="s">
        <v>483</v>
      </c>
      <c r="C2194" s="2">
        <v>599.32820000000004</v>
      </c>
      <c r="D2194" s="2">
        <f>HYPERLINK("http://mcb-m6.bioreg.kyushu-u.ac.jp/M3/20110429/F51149/1707/1", 49.86)</f>
        <v>49.86</v>
      </c>
      <c r="E2194" s="2">
        <v>31.19</v>
      </c>
      <c r="F2194" s="2">
        <v>2</v>
      </c>
      <c r="G2194" s="2" t="s">
        <v>13</v>
      </c>
    </row>
    <row r="2195" spans="1:9" x14ac:dyDescent="0.2">
      <c r="A2195" s="2" t="s">
        <v>3571</v>
      </c>
      <c r="B2195" s="2" t="s">
        <v>439</v>
      </c>
      <c r="C2195" s="2">
        <v>613.39070000000004</v>
      </c>
      <c r="D2195" s="2">
        <f>HYPERLINK("http://mcb-m6.bioreg.kyushu-u.ac.jp/M3/20110318/F50600/1266/1", 44.07)</f>
        <v>44.07</v>
      </c>
      <c r="E2195" s="2">
        <v>24.87</v>
      </c>
      <c r="F2195" s="2">
        <v>2</v>
      </c>
      <c r="G2195" s="2" t="s">
        <v>10</v>
      </c>
    </row>
    <row r="2196" spans="1:9" x14ac:dyDescent="0.2">
      <c r="A2196" s="2" t="s">
        <v>3571</v>
      </c>
      <c r="B2196" s="2" t="s">
        <v>439</v>
      </c>
      <c r="C2196" s="2">
        <v>613.83010000000002</v>
      </c>
      <c r="D2196" s="2">
        <f>HYPERLINK("http://mcb-m6.bioreg.kyushu-u.ac.jp/M3/20110418/F50972/1803/1", 63.19)</f>
        <v>63.19</v>
      </c>
      <c r="E2196" s="2">
        <v>37.89</v>
      </c>
      <c r="F2196" s="2">
        <v>2</v>
      </c>
      <c r="G2196" s="2" t="s">
        <v>11</v>
      </c>
    </row>
    <row r="2197" spans="1:9" x14ac:dyDescent="0.2">
      <c r="A2197" s="2" t="s">
        <v>3571</v>
      </c>
      <c r="B2197" s="2" t="s">
        <v>439</v>
      </c>
      <c r="C2197" s="2">
        <v>613.8107</v>
      </c>
      <c r="D2197" s="2">
        <f>HYPERLINK("http://mcb-m6.bioreg.kyushu-u.ac.jp/M3/20110418/F50981/1920/1", 62.93)</f>
        <v>62.93</v>
      </c>
      <c r="E2197" s="2">
        <v>36.53</v>
      </c>
      <c r="F2197" s="2">
        <v>2</v>
      </c>
      <c r="G2197" s="2" t="s">
        <v>12</v>
      </c>
    </row>
    <row r="2198" spans="1:9" x14ac:dyDescent="0.2">
      <c r="A2198" s="2" t="s">
        <v>3571</v>
      </c>
      <c r="B2198" s="2" t="s">
        <v>439</v>
      </c>
      <c r="C2198" s="2">
        <v>605.32420000000002</v>
      </c>
      <c r="D2198" s="2">
        <f>HYPERLINK("http://mcb-m6.bioreg.kyushu-u.ac.jp/M3/20110429/F51149/1728/1", 44.91)</f>
        <v>44.91</v>
      </c>
      <c r="E2198" s="2">
        <v>22.4</v>
      </c>
      <c r="F2198" s="2">
        <v>2</v>
      </c>
      <c r="G2198" s="2" t="s">
        <v>13</v>
      </c>
      <c r="H2198" s="2" t="s">
        <v>4904</v>
      </c>
    </row>
    <row r="2199" spans="1:9" x14ac:dyDescent="0.2">
      <c r="A2199" s="2" t="s">
        <v>3337</v>
      </c>
      <c r="B2199" s="2" t="s">
        <v>759</v>
      </c>
      <c r="C2199" s="2">
        <v>954.43700000000001</v>
      </c>
      <c r="D2199" s="2">
        <f>HYPERLINK("http://mcb-m6.bioreg.kyushu-u.ac.jp/M3/20110318/F50600/1012/1", 41.73)</f>
        <v>41.73</v>
      </c>
      <c r="E2199" s="2">
        <v>26.61</v>
      </c>
      <c r="F2199" s="2">
        <v>1</v>
      </c>
      <c r="G2199" s="2" t="s">
        <v>10</v>
      </c>
    </row>
    <row r="2200" spans="1:9" x14ac:dyDescent="0.2">
      <c r="A2200" s="2" t="s">
        <v>3337</v>
      </c>
      <c r="B2200" s="2" t="s">
        <v>125</v>
      </c>
      <c r="C2200" s="2">
        <v>590.90309999999999</v>
      </c>
      <c r="D2200" s="2">
        <f>HYPERLINK("http://mcb-m6.bioreg.kyushu-u.ac.jp/M3/20110318/F50600/1226/1", 43.48)</f>
        <v>43.48</v>
      </c>
      <c r="E2200" s="2">
        <v>24.91</v>
      </c>
      <c r="F2200" s="2">
        <v>2</v>
      </c>
      <c r="G2200" s="2" t="s">
        <v>10</v>
      </c>
      <c r="H2200" s="2" t="s">
        <v>4896</v>
      </c>
    </row>
    <row r="2201" spans="1:9" x14ac:dyDescent="0.2">
      <c r="A2201" s="2" t="s">
        <v>3966</v>
      </c>
      <c r="B2201" s="2" t="s">
        <v>1517</v>
      </c>
      <c r="C2201" s="2">
        <v>649.43269999999995</v>
      </c>
      <c r="D2201" s="2">
        <f>HYPERLINK("http://mcb-m6.bioreg.kyushu-u.ac.jp/M3/20110318/F50606/1159/1", 70.65)</f>
        <v>70.650000000000006</v>
      </c>
      <c r="E2201" s="2">
        <v>50.86</v>
      </c>
      <c r="F2201" s="2">
        <v>2</v>
      </c>
      <c r="G2201" s="2" t="s">
        <v>9</v>
      </c>
    </row>
    <row r="2202" spans="1:9" x14ac:dyDescent="0.2">
      <c r="A2202" s="2" t="s">
        <v>3966</v>
      </c>
      <c r="B2202" s="2" t="s">
        <v>1517</v>
      </c>
      <c r="C2202" s="2">
        <v>648.83370000000002</v>
      </c>
      <c r="D2202" s="2">
        <f>HYPERLINK("http://mcb-m6.bioreg.kyushu-u.ac.jp/M3/20110318/F50597/1264/1", 71.38)</f>
        <v>71.38</v>
      </c>
      <c r="E2202" s="2">
        <v>49.71</v>
      </c>
      <c r="F2202" s="2">
        <v>2</v>
      </c>
      <c r="G2202" s="2" t="s">
        <v>10</v>
      </c>
    </row>
    <row r="2203" spans="1:9" x14ac:dyDescent="0.2">
      <c r="A2203" s="2" t="s">
        <v>3966</v>
      </c>
      <c r="B2203" s="2" t="s">
        <v>2134</v>
      </c>
      <c r="C2203" s="2">
        <v>583.52760000000001</v>
      </c>
      <c r="D2203" s="2">
        <f>HYPERLINK("http://mcb-m6.bioreg.kyushu-u.ac.jp/M3/20110318/F50597/1107/1", 76.77)</f>
        <v>76.77</v>
      </c>
      <c r="E2203" s="2">
        <v>50.81</v>
      </c>
      <c r="F2203" s="2">
        <v>2</v>
      </c>
      <c r="G2203" s="2" t="s">
        <v>10</v>
      </c>
    </row>
    <row r="2204" spans="1:9" x14ac:dyDescent="0.2">
      <c r="A2204" s="2" t="s">
        <v>3966</v>
      </c>
      <c r="B2204" s="2" t="s">
        <v>2703</v>
      </c>
      <c r="C2204" s="2">
        <v>1011.448</v>
      </c>
      <c r="D2204" s="2">
        <f>HYPERLINK("http://mcb-m6.bioreg.kyushu-u.ac.jp/M3/20110318/F50597/2525/1", 87.65)</f>
        <v>87.65</v>
      </c>
      <c r="E2204" s="2">
        <v>71.290000000000006</v>
      </c>
      <c r="F2204" s="2">
        <v>2</v>
      </c>
      <c r="G2204" s="2" t="s">
        <v>10</v>
      </c>
      <c r="I2204" s="2" t="s">
        <v>4898</v>
      </c>
    </row>
    <row r="2205" spans="1:9" x14ac:dyDescent="0.2">
      <c r="A2205" s="2" t="s">
        <v>3966</v>
      </c>
      <c r="B2205" s="2" t="s">
        <v>2703</v>
      </c>
      <c r="C2205" s="2">
        <v>1011.343</v>
      </c>
      <c r="D2205" s="2">
        <f>HYPERLINK("http://mcb-m6.bioreg.kyushu-u.ac.jp/M3/20110418/F50974/3287/1", 43.64)</f>
        <v>43.64</v>
      </c>
      <c r="E2205" s="2">
        <v>38.22</v>
      </c>
      <c r="F2205" s="2">
        <v>2</v>
      </c>
      <c r="G2205" s="2" t="s">
        <v>11</v>
      </c>
      <c r="I2205" s="2" t="s">
        <v>4898</v>
      </c>
    </row>
    <row r="2206" spans="1:9" x14ac:dyDescent="0.2">
      <c r="A2206" s="2" t="s">
        <v>3966</v>
      </c>
      <c r="B2206" s="2" t="s">
        <v>2134</v>
      </c>
      <c r="C2206" s="2">
        <v>583.18269999999995</v>
      </c>
      <c r="D2206" s="2">
        <f>HYPERLINK("http://mcb-m6.bioreg.kyushu-u.ac.jp/M3/20110418/F50974/1335/1", 80.53)</f>
        <v>80.53</v>
      </c>
      <c r="E2206" s="2">
        <v>52.26</v>
      </c>
      <c r="F2206" s="2">
        <v>2</v>
      </c>
      <c r="G2206" s="2" t="s">
        <v>11</v>
      </c>
    </row>
    <row r="2207" spans="1:9" x14ac:dyDescent="0.2">
      <c r="A2207" s="2" t="s">
        <v>3966</v>
      </c>
      <c r="B2207" s="2" t="s">
        <v>1598</v>
      </c>
      <c r="C2207" s="2">
        <v>763.64869999999996</v>
      </c>
      <c r="D2207" s="2">
        <f>HYPERLINK("http://mcb-m6.bioreg.kyushu-u.ac.jp/M3/20110418/F50974/2186/1", 85.35)</f>
        <v>85.35</v>
      </c>
      <c r="E2207" s="2">
        <v>68.95</v>
      </c>
      <c r="F2207" s="2">
        <v>2</v>
      </c>
      <c r="G2207" s="2" t="s">
        <v>11</v>
      </c>
    </row>
    <row r="2208" spans="1:9" x14ac:dyDescent="0.2">
      <c r="A2208" s="2" t="s">
        <v>3966</v>
      </c>
      <c r="B2208" s="2" t="s">
        <v>1598</v>
      </c>
      <c r="C2208" s="2">
        <v>764.33119999999997</v>
      </c>
      <c r="D2208" s="2">
        <f>HYPERLINK("http://mcb-m6.bioreg.kyushu-u.ac.jp/M3/20110418/F50984/2156/1", 71.92)</f>
        <v>71.92</v>
      </c>
      <c r="E2208" s="2">
        <v>57.98</v>
      </c>
      <c r="F2208" s="2">
        <v>2</v>
      </c>
      <c r="G2208" s="2" t="s">
        <v>12</v>
      </c>
    </row>
    <row r="2209" spans="1:7" x14ac:dyDescent="0.2">
      <c r="A2209" s="2" t="s">
        <v>4102</v>
      </c>
      <c r="B2209" s="2" t="s">
        <v>1568</v>
      </c>
      <c r="C2209" s="2">
        <v>1064.5840000000001</v>
      </c>
      <c r="D2209" s="2">
        <f>HYPERLINK("http://mcb-m6.bioreg.kyushu-u.ac.jp/M3/20110318/F50600/2327/1", 41.57)</f>
        <v>41.57</v>
      </c>
      <c r="E2209" s="2">
        <v>30.84</v>
      </c>
      <c r="F2209" s="2">
        <v>2</v>
      </c>
      <c r="G2209" s="2" t="s">
        <v>10</v>
      </c>
    </row>
    <row r="2210" spans="1:7" x14ac:dyDescent="0.2">
      <c r="A2210" s="2" t="s">
        <v>4102</v>
      </c>
      <c r="B2210" s="2" t="s">
        <v>1568</v>
      </c>
      <c r="C2210" s="2">
        <v>1064.0619999999999</v>
      </c>
      <c r="D2210" s="2">
        <f>HYPERLINK("http://mcb-m6.bioreg.kyushu-u.ac.jp/M3/20110318/F50600/2326/1", 84.04)</f>
        <v>84.04</v>
      </c>
      <c r="E2210" s="2">
        <v>50.28</v>
      </c>
      <c r="F2210" s="2">
        <v>2</v>
      </c>
      <c r="G2210" s="2" t="s">
        <v>10</v>
      </c>
    </row>
    <row r="2211" spans="1:7" x14ac:dyDescent="0.2">
      <c r="A2211" s="2" t="s">
        <v>4102</v>
      </c>
      <c r="B2211" s="2" t="s">
        <v>1568</v>
      </c>
      <c r="C2211" s="2">
        <v>1064.49</v>
      </c>
      <c r="D2211" s="2">
        <f>HYPERLINK("http://mcb-m6.bioreg.kyushu-u.ac.jp/M3/20110429/F51149/2618/1", 98.18)</f>
        <v>98.18</v>
      </c>
      <c r="E2211" s="2">
        <v>81.73</v>
      </c>
      <c r="F2211" s="2">
        <v>2</v>
      </c>
      <c r="G2211" s="2" t="s">
        <v>13</v>
      </c>
    </row>
    <row r="2212" spans="1:7" x14ac:dyDescent="0.2">
      <c r="A2212" s="2" t="s">
        <v>3573</v>
      </c>
      <c r="B2212" s="2" t="s">
        <v>1585</v>
      </c>
      <c r="C2212" s="2">
        <v>972.03560000000004</v>
      </c>
      <c r="D2212" s="2">
        <f>HYPERLINK("http://mcb-m6.bioreg.kyushu-u.ac.jp/M3/20110318/F50621/2125/1", 115.48)</f>
        <v>115.48</v>
      </c>
      <c r="E2212" s="2">
        <v>95.42</v>
      </c>
      <c r="F2212" s="2">
        <v>2</v>
      </c>
      <c r="G2212" s="2" t="s">
        <v>9</v>
      </c>
    </row>
    <row r="2213" spans="1:7" x14ac:dyDescent="0.2">
      <c r="A2213" s="4" t="s">
        <v>3706</v>
      </c>
      <c r="B2213" s="2" t="s">
        <v>687</v>
      </c>
      <c r="C2213" s="2">
        <v>508.1671</v>
      </c>
      <c r="D2213" s="2">
        <f>HYPERLINK("http://mcb-m6.bioreg.kyushu-u.ac.jp/M3/20110418/F50977/928/1", 51.56)</f>
        <v>51.56</v>
      </c>
      <c r="E2213" s="2">
        <v>4.3600000000000003</v>
      </c>
      <c r="F2213" s="2">
        <v>2</v>
      </c>
      <c r="G2213" s="2" t="s">
        <v>11</v>
      </c>
    </row>
    <row r="2214" spans="1:7" x14ac:dyDescent="0.2">
      <c r="A2214" s="2" t="s">
        <v>4393</v>
      </c>
      <c r="B2214" s="2" t="s">
        <v>5391</v>
      </c>
      <c r="C2214" s="2">
        <v>721.37270000000001</v>
      </c>
      <c r="D2214" s="2">
        <f>HYPERLINK("http://mcb-m6.bioreg.kyushu-u.ac.jp/M3/20110418/F50977/1979/1", 44.32)</f>
        <v>44.32</v>
      </c>
      <c r="E2214" s="2">
        <v>27.03</v>
      </c>
      <c r="F2214" s="2">
        <v>2</v>
      </c>
      <c r="G2214" s="2" t="s">
        <v>11</v>
      </c>
    </row>
    <row r="2215" spans="1:7" x14ac:dyDescent="0.2">
      <c r="A2215" s="2" t="s">
        <v>3900</v>
      </c>
      <c r="B2215" s="2" t="s">
        <v>1537</v>
      </c>
      <c r="C2215" s="2">
        <v>750.34370000000001</v>
      </c>
      <c r="D2215" s="2">
        <f>HYPERLINK("http://mcb-m6.bioreg.kyushu-u.ac.jp/M3/20110318/F50618/1665/1", 55.32)</f>
        <v>55.32</v>
      </c>
      <c r="E2215" s="2">
        <v>33.409999999999997</v>
      </c>
      <c r="F2215" s="2">
        <v>2</v>
      </c>
      <c r="G2215" s="2" t="s">
        <v>9</v>
      </c>
    </row>
    <row r="2216" spans="1:7" x14ac:dyDescent="0.2">
      <c r="A2216" s="2" t="s">
        <v>3900</v>
      </c>
      <c r="B2216" s="2" t="s">
        <v>1050</v>
      </c>
      <c r="C2216" s="2">
        <v>770.20510000000002</v>
      </c>
      <c r="D2216" s="2">
        <f>HYPERLINK("http://mcb-m6.bioreg.kyushu-u.ac.jp/M3/20110318/F50618/1805/1", 61.77)</f>
        <v>61.77</v>
      </c>
      <c r="E2216" s="2">
        <v>45.21</v>
      </c>
      <c r="F2216" s="2">
        <v>2</v>
      </c>
      <c r="G2216" s="2" t="s">
        <v>9</v>
      </c>
    </row>
    <row r="2217" spans="1:7" x14ac:dyDescent="0.2">
      <c r="A2217" s="2" t="s">
        <v>3900</v>
      </c>
      <c r="B2217" s="2" t="s">
        <v>5151</v>
      </c>
      <c r="C2217" s="2">
        <v>738.26419999999996</v>
      </c>
      <c r="D2217" s="2">
        <f>HYPERLINK("http://mcb-m6.bioreg.kyushu-u.ac.jp/M3/20110318/F50618/1574/1", 68.88)</f>
        <v>68.88</v>
      </c>
      <c r="E2217" s="2">
        <v>48.15</v>
      </c>
      <c r="F2217" s="2">
        <v>2</v>
      </c>
      <c r="G2217" s="2" t="s">
        <v>9</v>
      </c>
    </row>
    <row r="2218" spans="1:7" x14ac:dyDescent="0.2">
      <c r="A2218" s="2" t="s">
        <v>3900</v>
      </c>
      <c r="B2218" s="2" t="s">
        <v>1537</v>
      </c>
      <c r="C2218" s="2">
        <v>749.99220000000003</v>
      </c>
      <c r="D2218" s="2">
        <f>HYPERLINK("http://mcb-m6.bioreg.kyushu-u.ac.jp/M3/20110318/F50605/1621/1", 73.97)</f>
        <v>73.97</v>
      </c>
      <c r="E2218" s="2">
        <v>56.83</v>
      </c>
      <c r="F2218" s="2">
        <v>2</v>
      </c>
      <c r="G2218" s="2" t="s">
        <v>9</v>
      </c>
    </row>
    <row r="2219" spans="1:7" x14ac:dyDescent="0.2">
      <c r="A2219" s="2" t="s">
        <v>3900</v>
      </c>
      <c r="B2219" s="2" t="s">
        <v>1537</v>
      </c>
      <c r="C2219" s="2">
        <v>750.32420000000002</v>
      </c>
      <c r="D2219" s="2">
        <f>HYPERLINK("http://mcb-m6.bioreg.kyushu-u.ac.jp/M3/20110418/F50976/2057/1", 57.49)</f>
        <v>57.49</v>
      </c>
      <c r="E2219" s="2">
        <v>40.880000000000003</v>
      </c>
      <c r="F2219" s="2">
        <v>2</v>
      </c>
      <c r="G2219" s="2" t="s">
        <v>11</v>
      </c>
    </row>
    <row r="2220" spans="1:7" x14ac:dyDescent="0.2">
      <c r="A2220" s="2" t="s">
        <v>3594</v>
      </c>
      <c r="B2220" s="2" t="s">
        <v>484</v>
      </c>
      <c r="C2220" s="2">
        <v>981.74659999999994</v>
      </c>
      <c r="D2220" s="2">
        <f>HYPERLINK("http://mcb-m6.bioreg.kyushu-u.ac.jp/M3/20110318/F50617/2272/1", 117.93)</f>
        <v>117.93</v>
      </c>
      <c r="E2220" s="2">
        <v>97.06</v>
      </c>
      <c r="F2220" s="2">
        <v>2</v>
      </c>
      <c r="G2220" s="2" t="s">
        <v>10</v>
      </c>
    </row>
    <row r="2221" spans="1:7" x14ac:dyDescent="0.2">
      <c r="A2221" s="2" t="s">
        <v>3594</v>
      </c>
      <c r="B2221" s="2" t="s">
        <v>484</v>
      </c>
      <c r="C2221" s="2">
        <v>981.18370000000004</v>
      </c>
      <c r="D2221" s="2">
        <f>HYPERLINK("http://mcb-m6.bioreg.kyushu-u.ac.jp/M3/20110318/F50617/2271/1", 154.69)</f>
        <v>154.69</v>
      </c>
      <c r="E2221" s="2">
        <v>138.87</v>
      </c>
      <c r="F2221" s="2">
        <v>2</v>
      </c>
      <c r="G2221" s="2" t="s">
        <v>10</v>
      </c>
    </row>
    <row r="2222" spans="1:7" x14ac:dyDescent="0.2">
      <c r="A2222" s="2" t="s">
        <v>3594</v>
      </c>
      <c r="B2222" s="2" t="s">
        <v>2247</v>
      </c>
      <c r="C2222" s="2">
        <v>716.57209999999998</v>
      </c>
      <c r="D2222" s="2">
        <f>HYPERLINK("http://mcb-m6.bioreg.kyushu-u.ac.jp/M3/20110418/F50982/2087/1", 65.45)</f>
        <v>65.45</v>
      </c>
      <c r="E2222" s="2">
        <v>49.91</v>
      </c>
      <c r="F2222" s="2">
        <v>2</v>
      </c>
      <c r="G2222" s="2" t="s">
        <v>12</v>
      </c>
    </row>
    <row r="2223" spans="1:7" x14ac:dyDescent="0.2">
      <c r="A2223" s="2" t="s">
        <v>3720</v>
      </c>
      <c r="B2223" s="2" t="s">
        <v>1165</v>
      </c>
      <c r="C2223" s="2">
        <v>742.3202</v>
      </c>
      <c r="D2223" s="2">
        <f>HYPERLINK("http://mcb-m6.bioreg.kyushu-u.ac.jp/M3/20110318/F50621/1523/1", 36.23)</f>
        <v>36.229999999999997</v>
      </c>
      <c r="E2223" s="2">
        <v>20.86</v>
      </c>
      <c r="F2223" s="2">
        <v>2</v>
      </c>
      <c r="G2223" s="2" t="s">
        <v>9</v>
      </c>
    </row>
    <row r="2224" spans="1:7" x14ac:dyDescent="0.2">
      <c r="A2224" s="2" t="s">
        <v>3780</v>
      </c>
      <c r="B2224" s="2" t="s">
        <v>815</v>
      </c>
      <c r="C2224" s="2">
        <v>545.91920000000005</v>
      </c>
      <c r="D2224" s="2">
        <f>HYPERLINK("http://mcb-m6.bioreg.kyushu-u.ac.jp/M3/20110318/F50603/1060/1", 38.63)</f>
        <v>38.630000000000003</v>
      </c>
      <c r="E2224" s="2">
        <v>16.29</v>
      </c>
      <c r="F2224" s="2">
        <v>2</v>
      </c>
      <c r="G2224" s="2" t="s">
        <v>9</v>
      </c>
    </row>
    <row r="2225" spans="1:8" x14ac:dyDescent="0.2">
      <c r="A2225" s="2" t="s">
        <v>3780</v>
      </c>
      <c r="B2225" s="2" t="s">
        <v>815</v>
      </c>
      <c r="C2225" s="2">
        <v>553.96010000000001</v>
      </c>
      <c r="D2225" s="2">
        <f>HYPERLINK("http://mcb-m6.bioreg.kyushu-u.ac.jp/M3/20110318/F50603/1073/1", 71.19)</f>
        <v>71.19</v>
      </c>
      <c r="E2225" s="2">
        <v>43.76</v>
      </c>
      <c r="F2225" s="2">
        <v>2</v>
      </c>
      <c r="G2225" s="2" t="s">
        <v>9</v>
      </c>
      <c r="H2225" s="2" t="s">
        <v>4920</v>
      </c>
    </row>
    <row r="2226" spans="1:8" x14ac:dyDescent="0.2">
      <c r="A2226" s="2" t="s">
        <v>3780</v>
      </c>
      <c r="B2226" s="2" t="s">
        <v>815</v>
      </c>
      <c r="C2226" s="2">
        <v>553.80870000000004</v>
      </c>
      <c r="D2226" s="2">
        <f>HYPERLINK("http://mcb-m6.bioreg.kyushu-u.ac.jp/M3/20110318/F50611/1104/1", 45.97)</f>
        <v>45.97</v>
      </c>
      <c r="E2226" s="2">
        <v>24.62</v>
      </c>
      <c r="F2226" s="2">
        <v>2</v>
      </c>
      <c r="G2226" s="2" t="s">
        <v>10</v>
      </c>
      <c r="H2226" s="2" t="s">
        <v>4920</v>
      </c>
    </row>
    <row r="2227" spans="1:8" x14ac:dyDescent="0.2">
      <c r="A2227" s="2" t="s">
        <v>3780</v>
      </c>
      <c r="B2227" s="2" t="s">
        <v>815</v>
      </c>
      <c r="C2227" s="2">
        <v>554.32460000000003</v>
      </c>
      <c r="D2227" s="2">
        <f>HYPERLINK("http://mcb-m6.bioreg.kyushu-u.ac.jp/M3/20110318/F50615/946/1", 61.61)</f>
        <v>61.61</v>
      </c>
      <c r="E2227" s="2">
        <v>36.83</v>
      </c>
      <c r="F2227" s="2">
        <v>2</v>
      </c>
      <c r="G2227" s="2" t="s">
        <v>10</v>
      </c>
      <c r="H2227" s="2" t="s">
        <v>4920</v>
      </c>
    </row>
    <row r="2228" spans="1:8" x14ac:dyDescent="0.2">
      <c r="A2228" s="2" t="s">
        <v>3780</v>
      </c>
      <c r="B2228" s="2" t="s">
        <v>815</v>
      </c>
      <c r="C2228" s="2">
        <v>553.83169999999996</v>
      </c>
      <c r="D2228" s="2">
        <f>HYPERLINK("http://mcb-m6.bioreg.kyushu-u.ac.jp/M3/20110318/F50612/1092/1", 68.2)</f>
        <v>68.2</v>
      </c>
      <c r="E2228" s="2">
        <v>42.09</v>
      </c>
      <c r="F2228" s="2">
        <v>2</v>
      </c>
      <c r="G2228" s="2" t="s">
        <v>10</v>
      </c>
      <c r="H2228" s="2" t="s">
        <v>4920</v>
      </c>
    </row>
    <row r="2229" spans="1:8" x14ac:dyDescent="0.2">
      <c r="A2229" s="2" t="s">
        <v>3780</v>
      </c>
      <c r="B2229" s="2" t="s">
        <v>815</v>
      </c>
      <c r="C2229" s="2">
        <v>546.18520000000001</v>
      </c>
      <c r="D2229" s="2">
        <f>HYPERLINK("http://mcb-m6.bioreg.kyushu-u.ac.jp/M3/20110418/F50975/966/1", 36.93)</f>
        <v>36.93</v>
      </c>
      <c r="E2229" s="2">
        <v>13.9</v>
      </c>
      <c r="F2229" s="2">
        <v>2</v>
      </c>
      <c r="G2229" s="2" t="s">
        <v>11</v>
      </c>
    </row>
    <row r="2230" spans="1:8" x14ac:dyDescent="0.2">
      <c r="A2230" s="2" t="s">
        <v>3780</v>
      </c>
      <c r="B2230" s="2" t="s">
        <v>815</v>
      </c>
      <c r="C2230" s="2">
        <v>545.60270000000003</v>
      </c>
      <c r="D2230" s="2">
        <f>HYPERLINK("http://mcb-m6.bioreg.kyushu-u.ac.jp/M3/20110418/F50969/1595/1", 47.93)</f>
        <v>47.93</v>
      </c>
      <c r="E2230" s="2">
        <v>20.260000000000002</v>
      </c>
      <c r="F2230" s="2">
        <v>2</v>
      </c>
      <c r="G2230" s="2" t="s">
        <v>11</v>
      </c>
    </row>
    <row r="2231" spans="1:8" x14ac:dyDescent="0.2">
      <c r="A2231" s="2" t="s">
        <v>3780</v>
      </c>
      <c r="B2231" s="2" t="s">
        <v>815</v>
      </c>
      <c r="C2231" s="2">
        <v>545.67660000000001</v>
      </c>
      <c r="D2231" s="2">
        <f>HYPERLINK("http://mcb-m6.bioreg.kyushu-u.ac.jp/M3/20110418/F50975/962/1", 57.06)</f>
        <v>57.06</v>
      </c>
      <c r="E2231" s="2">
        <v>25.35</v>
      </c>
      <c r="F2231" s="2">
        <v>2</v>
      </c>
      <c r="G2231" s="2" t="s">
        <v>11</v>
      </c>
    </row>
    <row r="2232" spans="1:8" x14ac:dyDescent="0.2">
      <c r="A2232" s="2" t="s">
        <v>3780</v>
      </c>
      <c r="B2232" s="2" t="s">
        <v>815</v>
      </c>
      <c r="C2232" s="2">
        <v>545.84169999999995</v>
      </c>
      <c r="D2232" s="2">
        <f>HYPERLINK("http://mcb-m6.bioreg.kyushu-u.ac.jp/M3/20110418/F50977/1102/1", 61.29)</f>
        <v>61.29</v>
      </c>
      <c r="E2232" s="2">
        <v>32.17</v>
      </c>
      <c r="F2232" s="2">
        <v>2</v>
      </c>
      <c r="G2232" s="2" t="s">
        <v>11</v>
      </c>
    </row>
    <row r="2233" spans="1:8" x14ac:dyDescent="0.2">
      <c r="A2233" s="2" t="s">
        <v>3780</v>
      </c>
      <c r="B2233" s="2" t="s">
        <v>815</v>
      </c>
      <c r="C2233" s="2">
        <v>545.69759999999997</v>
      </c>
      <c r="D2233" s="2">
        <f>HYPERLINK("http://mcb-m6.bioreg.kyushu-u.ac.jp/M3/20110418/F50979/1487/1", 68.35)</f>
        <v>68.349999999999994</v>
      </c>
      <c r="E2233" s="2">
        <v>33.4</v>
      </c>
      <c r="F2233" s="2">
        <v>2</v>
      </c>
      <c r="G2233" s="2" t="s">
        <v>11</v>
      </c>
    </row>
    <row r="2234" spans="1:8" x14ac:dyDescent="0.2">
      <c r="A2234" s="2" t="s">
        <v>3780</v>
      </c>
      <c r="B2234" s="2" t="s">
        <v>815</v>
      </c>
      <c r="C2234" s="2">
        <v>545.74019999999996</v>
      </c>
      <c r="D2234" s="2">
        <f>HYPERLINK("http://mcb-m6.bioreg.kyushu-u.ac.jp/M3/20110418/F50997/1301/1", 65.17)</f>
        <v>65.17</v>
      </c>
      <c r="E2234" s="2">
        <v>27.68</v>
      </c>
      <c r="F2234" s="2">
        <v>2</v>
      </c>
      <c r="G2234" s="2" t="s">
        <v>12</v>
      </c>
    </row>
    <row r="2235" spans="1:8" x14ac:dyDescent="0.2">
      <c r="A2235" s="2" t="s">
        <v>3780</v>
      </c>
      <c r="B2235" s="2" t="s">
        <v>815</v>
      </c>
      <c r="C2235" s="2">
        <v>546.1277</v>
      </c>
      <c r="D2235" s="2">
        <f>HYPERLINK("http://mcb-m6.bioreg.kyushu-u.ac.jp/M3/20110429/F51151/1335/1", 58.51)</f>
        <v>58.51</v>
      </c>
      <c r="E2235" s="2">
        <v>30.07</v>
      </c>
      <c r="F2235" s="2">
        <v>2</v>
      </c>
      <c r="G2235" s="2" t="s">
        <v>13</v>
      </c>
    </row>
    <row r="2236" spans="1:8" x14ac:dyDescent="0.2">
      <c r="A2236" s="2" t="s">
        <v>3780</v>
      </c>
      <c r="B2236" s="2" t="s">
        <v>815</v>
      </c>
      <c r="C2236" s="2">
        <v>545.83669999999995</v>
      </c>
      <c r="D2236" s="2">
        <f>HYPERLINK("http://mcb-m6.bioreg.kyushu-u.ac.jp/M3/20110429/F51150/1433/1", 59.74)</f>
        <v>59.74</v>
      </c>
      <c r="E2236" s="2">
        <v>27.27</v>
      </c>
      <c r="F2236" s="2">
        <v>2</v>
      </c>
      <c r="G2236" s="2" t="s">
        <v>13</v>
      </c>
    </row>
    <row r="2237" spans="1:8" x14ac:dyDescent="0.2">
      <c r="A2237" s="2" t="s">
        <v>3780</v>
      </c>
      <c r="B2237" s="2" t="s">
        <v>815</v>
      </c>
      <c r="C2237" s="2">
        <v>553.63959999999997</v>
      </c>
      <c r="D2237" s="2">
        <f>HYPERLINK("http://mcb-m6.bioreg.kyushu-u.ac.jp/M3/20110429/F51150/1465/1", 61.38)</f>
        <v>61.38</v>
      </c>
      <c r="E2237" s="2">
        <v>36.78</v>
      </c>
      <c r="F2237" s="2">
        <v>2</v>
      </c>
      <c r="G2237" s="2" t="s">
        <v>13</v>
      </c>
      <c r="H2237" s="2" t="s">
        <v>4920</v>
      </c>
    </row>
    <row r="2238" spans="1:8" x14ac:dyDescent="0.2">
      <c r="A2238" s="2" t="s">
        <v>3780</v>
      </c>
      <c r="B2238" s="2" t="s">
        <v>815</v>
      </c>
      <c r="C2238" s="2">
        <v>553.65219999999999</v>
      </c>
      <c r="D2238" s="2">
        <f>HYPERLINK("http://mcb-m6.bioreg.kyushu-u.ac.jp/M3/20110429/F51151/1374/1", 61.58)</f>
        <v>61.58</v>
      </c>
      <c r="E2238" s="2">
        <v>35.29</v>
      </c>
      <c r="F2238" s="2">
        <v>2</v>
      </c>
      <c r="G2238" s="2" t="s">
        <v>13</v>
      </c>
      <c r="H2238" s="2" t="s">
        <v>4920</v>
      </c>
    </row>
    <row r="2239" spans="1:8" x14ac:dyDescent="0.2">
      <c r="A2239" s="2" t="s">
        <v>3780</v>
      </c>
      <c r="B2239" s="2" t="s">
        <v>815</v>
      </c>
      <c r="C2239" s="2">
        <v>545.65970000000004</v>
      </c>
      <c r="D2239" s="2">
        <f>HYPERLINK("http://mcb-m6.bioreg.kyushu-u.ac.jp/M3/20110429/F51157/802/1", 65.14)</f>
        <v>65.14</v>
      </c>
      <c r="E2239" s="2">
        <v>33.619999999999997</v>
      </c>
      <c r="F2239" s="2">
        <v>2</v>
      </c>
      <c r="G2239" s="2" t="s">
        <v>13</v>
      </c>
    </row>
    <row r="2240" spans="1:8" x14ac:dyDescent="0.2">
      <c r="A2240" s="2" t="s">
        <v>3780</v>
      </c>
      <c r="B2240" s="2" t="s">
        <v>815</v>
      </c>
      <c r="C2240" s="2">
        <v>545.88919999999996</v>
      </c>
      <c r="D2240" s="2">
        <f>HYPERLINK("http://mcb-m6.bioreg.kyushu-u.ac.jp/M3/20110502/F51158/940/1", 68.82)</f>
        <v>68.819999999999993</v>
      </c>
      <c r="E2240" s="2">
        <v>25.95</v>
      </c>
      <c r="F2240" s="2">
        <v>2</v>
      </c>
      <c r="G2240" s="2" t="s">
        <v>13</v>
      </c>
    </row>
    <row r="2241" spans="1:9" x14ac:dyDescent="0.2">
      <c r="A2241" s="2" t="s">
        <v>3780</v>
      </c>
      <c r="B2241" s="2" t="s">
        <v>815</v>
      </c>
      <c r="C2241" s="2">
        <v>545.59519999999998</v>
      </c>
      <c r="D2241" s="2">
        <f>HYPERLINK("http://mcb-m6.bioreg.kyushu-u.ac.jp/M3/20110429/F51151/1332/1", 69.77)</f>
        <v>69.77</v>
      </c>
      <c r="E2241" s="2">
        <v>32.33</v>
      </c>
      <c r="F2241" s="2">
        <v>2</v>
      </c>
      <c r="G2241" s="2" t="s">
        <v>13</v>
      </c>
    </row>
    <row r="2242" spans="1:9" x14ac:dyDescent="0.2">
      <c r="A2242" s="2" t="s">
        <v>3780</v>
      </c>
      <c r="B2242" s="2" t="s">
        <v>815</v>
      </c>
      <c r="C2242" s="2">
        <v>545.60919999999999</v>
      </c>
      <c r="D2242" s="2">
        <f>HYPERLINK("http://mcb-m6.bioreg.kyushu-u.ac.jp/M3/20110429/F51152/1041/1", 72.77)</f>
        <v>72.77</v>
      </c>
      <c r="E2242" s="2">
        <v>38.119999999999997</v>
      </c>
      <c r="F2242" s="2">
        <v>2</v>
      </c>
      <c r="G2242" s="2" t="s">
        <v>13</v>
      </c>
    </row>
    <row r="2243" spans="1:9" x14ac:dyDescent="0.2">
      <c r="A2243" s="2" t="s">
        <v>3780</v>
      </c>
      <c r="B2243" s="2" t="s">
        <v>815</v>
      </c>
      <c r="C2243" s="2">
        <v>553.73659999999995</v>
      </c>
      <c r="D2243" s="2">
        <f>HYPERLINK("http://mcb-m6.bioreg.kyushu-u.ac.jp/M3/20110429/F51157/825/1", 78.36)</f>
        <v>78.36</v>
      </c>
      <c r="E2243" s="2">
        <v>46.35</v>
      </c>
      <c r="F2243" s="2">
        <v>2</v>
      </c>
      <c r="G2243" s="2" t="s">
        <v>13</v>
      </c>
      <c r="H2243" s="2" t="s">
        <v>4920</v>
      </c>
    </row>
    <row r="2244" spans="1:9" x14ac:dyDescent="0.2">
      <c r="A2244" s="2" t="s">
        <v>3780</v>
      </c>
      <c r="B2244" s="2" t="s">
        <v>815</v>
      </c>
      <c r="C2244" s="2">
        <v>554.34059999999999</v>
      </c>
      <c r="D2244" s="2">
        <f>HYPERLINK("http://mcb-m6.bioreg.kyushu-u.ac.jp/M3/20110428/F51138/1620/1", 62.21)</f>
        <v>62.21</v>
      </c>
      <c r="E2244" s="2">
        <v>31.97</v>
      </c>
      <c r="F2244" s="2">
        <v>2</v>
      </c>
      <c r="G2244" s="2" t="s">
        <v>14</v>
      </c>
      <c r="H2244" s="2" t="s">
        <v>4920</v>
      </c>
    </row>
    <row r="2245" spans="1:9" x14ac:dyDescent="0.2">
      <c r="A2245" s="2" t="s">
        <v>3780</v>
      </c>
      <c r="B2245" s="2" t="s">
        <v>815</v>
      </c>
      <c r="C2245" s="2">
        <v>553.80619999999999</v>
      </c>
      <c r="D2245" s="2">
        <f>HYPERLINK("http://mcb-m6.bioreg.kyushu-u.ac.jp/M3/20110428/F51138/1615/1", 67.12)</f>
        <v>67.12</v>
      </c>
      <c r="E2245" s="2">
        <v>41.75</v>
      </c>
      <c r="F2245" s="2">
        <v>2</v>
      </c>
      <c r="G2245" s="2" t="s">
        <v>14</v>
      </c>
      <c r="H2245" s="2" t="s">
        <v>4920</v>
      </c>
    </row>
    <row r="2246" spans="1:9" x14ac:dyDescent="0.2">
      <c r="A2246" s="2" t="s">
        <v>3535</v>
      </c>
      <c r="B2246" s="2" t="s">
        <v>389</v>
      </c>
      <c r="C2246" s="2">
        <v>633.26670000000001</v>
      </c>
      <c r="D2246" s="2">
        <f>HYPERLINK("http://mcb-m6.bioreg.kyushu-u.ac.jp/M3/20110418/F50975/1398/1", 44.55)</f>
        <v>44.55</v>
      </c>
      <c r="E2246" s="2">
        <v>10.8</v>
      </c>
      <c r="F2246" s="2">
        <v>2</v>
      </c>
      <c r="G2246" s="2" t="s">
        <v>11</v>
      </c>
      <c r="H2246" s="2" t="s">
        <v>4908</v>
      </c>
      <c r="I2246" s="2" t="s">
        <v>4903</v>
      </c>
    </row>
    <row r="2247" spans="1:9" x14ac:dyDescent="0.2">
      <c r="A2247" s="2" t="s">
        <v>3535</v>
      </c>
      <c r="B2247" s="2" t="s">
        <v>389</v>
      </c>
      <c r="C2247" s="2">
        <v>633.33759999999995</v>
      </c>
      <c r="D2247" s="2">
        <f>HYPERLINK("http://mcb-m6.bioreg.kyushu-u.ac.jp/M3/20110428/F51141/1323/1", 40.58)</f>
        <v>40.58</v>
      </c>
      <c r="E2247" s="2">
        <v>23.29</v>
      </c>
      <c r="F2247" s="2">
        <v>2</v>
      </c>
      <c r="G2247" s="2" t="s">
        <v>14</v>
      </c>
      <c r="H2247" s="2" t="s">
        <v>4908</v>
      </c>
      <c r="I2247" s="2" t="s">
        <v>4903</v>
      </c>
    </row>
    <row r="2248" spans="1:9" x14ac:dyDescent="0.2">
      <c r="A2248" s="2" t="s">
        <v>3535</v>
      </c>
      <c r="B2248" s="2" t="s">
        <v>389</v>
      </c>
      <c r="C2248" s="2">
        <v>633.38620000000003</v>
      </c>
      <c r="D2248" s="2">
        <f>HYPERLINK("http://mcb-m6.bioreg.kyushu-u.ac.jp/M3/20110428/F51141/1324/1", 42.09)</f>
        <v>42.09</v>
      </c>
      <c r="E2248" s="2">
        <v>10.46</v>
      </c>
      <c r="F2248" s="2">
        <v>2</v>
      </c>
      <c r="G2248" s="2" t="s">
        <v>14</v>
      </c>
      <c r="H2248" s="2" t="s">
        <v>4908</v>
      </c>
      <c r="I2248" s="2" t="s">
        <v>4903</v>
      </c>
    </row>
    <row r="2249" spans="1:9" x14ac:dyDescent="0.2">
      <c r="A2249" s="2" t="s">
        <v>4134</v>
      </c>
      <c r="B2249" s="2" t="s">
        <v>1677</v>
      </c>
      <c r="C2249" s="2">
        <v>902.74159999999995</v>
      </c>
      <c r="D2249" s="2">
        <f>HYPERLINK("http://mcb-m6.bioreg.kyushu-u.ac.jp/M3/20110429/F51157/2577/1", 71.89)</f>
        <v>71.89</v>
      </c>
      <c r="E2249" s="2">
        <v>57.87</v>
      </c>
      <c r="F2249" s="2">
        <v>2</v>
      </c>
      <c r="G2249" s="2" t="s">
        <v>13</v>
      </c>
    </row>
    <row r="2250" spans="1:9" x14ac:dyDescent="0.2">
      <c r="A2250" s="2" t="s">
        <v>4134</v>
      </c>
      <c r="B2250" s="2" t="s">
        <v>1677</v>
      </c>
      <c r="C2250" s="2">
        <v>903.38959999999997</v>
      </c>
      <c r="D2250" s="2">
        <f>HYPERLINK("http://mcb-m6.bioreg.kyushu-u.ac.jp/M3/20110429/F51157/2583/1", 102.6)</f>
        <v>102.6</v>
      </c>
      <c r="E2250" s="2">
        <v>85.95</v>
      </c>
      <c r="F2250" s="2">
        <v>2</v>
      </c>
      <c r="G2250" s="2" t="s">
        <v>13</v>
      </c>
    </row>
    <row r="2251" spans="1:9" x14ac:dyDescent="0.2">
      <c r="A2251" s="2" t="s">
        <v>4481</v>
      </c>
      <c r="B2251" s="2" t="s">
        <v>2431</v>
      </c>
      <c r="C2251" s="2">
        <v>736.24069999999995</v>
      </c>
      <c r="D2251" s="2">
        <f>HYPERLINK("http://mcb-m6.bioreg.kyushu-u.ac.jp/M3/20110418/F50974/2054/1", 62.47)</f>
        <v>62.47</v>
      </c>
      <c r="E2251" s="2">
        <v>46.21</v>
      </c>
      <c r="F2251" s="2">
        <v>2</v>
      </c>
      <c r="G2251" s="2" t="s">
        <v>11</v>
      </c>
    </row>
    <row r="2252" spans="1:9" x14ac:dyDescent="0.2">
      <c r="A2252" s="2" t="s">
        <v>4453</v>
      </c>
      <c r="B2252" s="2" t="s">
        <v>2363</v>
      </c>
      <c r="C2252" s="2">
        <v>1145.634</v>
      </c>
      <c r="D2252" s="2">
        <f>HYPERLINK("http://mcb-m6.bioreg.kyushu-u.ac.jp/M3/20110428/F51146/1487/1", 54.26)</f>
        <v>54.26</v>
      </c>
      <c r="E2252" s="2">
        <v>39.44</v>
      </c>
      <c r="F2252" s="2">
        <v>1</v>
      </c>
      <c r="G2252" s="2" t="s">
        <v>13</v>
      </c>
    </row>
    <row r="2253" spans="1:9" x14ac:dyDescent="0.2">
      <c r="A2253" s="4" t="s">
        <v>3777</v>
      </c>
      <c r="B2253" s="2" t="s">
        <v>804</v>
      </c>
      <c r="C2253" s="2">
        <v>685.94209999999998</v>
      </c>
      <c r="D2253" s="2">
        <f>HYPERLINK("http://mcb-m6.bioreg.kyushu-u.ac.jp/M3/20110318/F50598/1398/1", 65.56)</f>
        <v>65.56</v>
      </c>
      <c r="E2253" s="2">
        <v>47.63</v>
      </c>
      <c r="F2253" s="2">
        <v>2</v>
      </c>
      <c r="G2253" s="2" t="s">
        <v>10</v>
      </c>
    </row>
    <row r="2254" spans="1:9" x14ac:dyDescent="0.2">
      <c r="A2254" s="4" t="s">
        <v>3777</v>
      </c>
      <c r="B2254" s="2" t="s">
        <v>804</v>
      </c>
      <c r="C2254" s="2">
        <v>685.37070000000006</v>
      </c>
      <c r="D2254" s="2">
        <f>HYPERLINK("http://mcb-m6.bioreg.kyushu-u.ac.jp/M3/20110318/F50598/1393/1", 67.71)</f>
        <v>67.709999999999994</v>
      </c>
      <c r="E2254" s="2">
        <v>46.45</v>
      </c>
      <c r="F2254" s="2">
        <v>2</v>
      </c>
      <c r="G2254" s="2" t="s">
        <v>10</v>
      </c>
    </row>
    <row r="2255" spans="1:9" x14ac:dyDescent="0.2">
      <c r="A2255" s="4" t="s">
        <v>3777</v>
      </c>
      <c r="B2255" s="2" t="s">
        <v>804</v>
      </c>
      <c r="C2255" s="2">
        <v>685.71770000000004</v>
      </c>
      <c r="D2255" s="2">
        <f>HYPERLINK("http://mcb-m6.bioreg.kyushu-u.ac.jp/M3/20110418/F50983/1885/1", 59.49)</f>
        <v>59.49</v>
      </c>
      <c r="E2255" s="2">
        <v>38.06</v>
      </c>
      <c r="F2255" s="2">
        <v>2</v>
      </c>
      <c r="G2255" s="2" t="s">
        <v>12</v>
      </c>
    </row>
    <row r="2256" spans="1:9" x14ac:dyDescent="0.2">
      <c r="A2256" s="4" t="s">
        <v>3777</v>
      </c>
      <c r="B2256" s="2" t="s">
        <v>804</v>
      </c>
      <c r="C2256" s="2">
        <v>685.26070000000004</v>
      </c>
      <c r="D2256" s="2">
        <f>HYPERLINK("http://mcb-m6.bioreg.kyushu-u.ac.jp/M3/20110429/F51152/1641/1", 82.59)</f>
        <v>82.59</v>
      </c>
      <c r="E2256" s="2">
        <v>63.92</v>
      </c>
      <c r="F2256" s="2">
        <v>2</v>
      </c>
      <c r="G2256" s="2" t="s">
        <v>13</v>
      </c>
    </row>
    <row r="2257" spans="1:9" x14ac:dyDescent="0.2">
      <c r="A2257" s="4" t="s">
        <v>3777</v>
      </c>
      <c r="B2257" s="2" t="s">
        <v>804</v>
      </c>
      <c r="C2257" s="2">
        <v>685.45259999999996</v>
      </c>
      <c r="D2257" s="2">
        <f>HYPERLINK("http://mcb-m6.bioreg.kyushu-u.ac.jp/M3/20110428/F51140/1651/1", 69.52)</f>
        <v>69.52</v>
      </c>
      <c r="E2257" s="2">
        <v>51.08</v>
      </c>
      <c r="F2257" s="2">
        <v>2</v>
      </c>
      <c r="G2257" s="2" t="s">
        <v>14</v>
      </c>
    </row>
    <row r="2258" spans="1:9" x14ac:dyDescent="0.2">
      <c r="A2258" s="4" t="s">
        <v>3777</v>
      </c>
      <c r="B2258" s="2" t="s">
        <v>804</v>
      </c>
      <c r="C2258" s="2">
        <v>685.95569999999998</v>
      </c>
      <c r="D2258" s="2">
        <f>HYPERLINK("http://mcb-m6.bioreg.kyushu-u.ac.jp/M3/20110428/F51140/1655/1", 92.5)</f>
        <v>92.5</v>
      </c>
      <c r="E2258" s="2">
        <v>69.23</v>
      </c>
      <c r="F2258" s="2">
        <v>2</v>
      </c>
      <c r="G2258" s="2" t="s">
        <v>14</v>
      </c>
    </row>
    <row r="2259" spans="1:9" x14ac:dyDescent="0.2">
      <c r="A2259" s="4" t="s">
        <v>3766</v>
      </c>
      <c r="B2259" s="2" t="s">
        <v>783</v>
      </c>
      <c r="C2259" s="2">
        <v>910.46169999999995</v>
      </c>
      <c r="D2259" s="2">
        <f>HYPERLINK("http://mcb-m6.bioreg.kyushu-u.ac.jp/M3/20110318/F50598/2032/1", 82.56)</f>
        <v>82.56</v>
      </c>
      <c r="E2259" s="2">
        <v>67.099999999999994</v>
      </c>
      <c r="F2259" s="2">
        <v>2</v>
      </c>
      <c r="G2259" s="2" t="s">
        <v>10</v>
      </c>
      <c r="I2259" s="2" t="s">
        <v>4929</v>
      </c>
    </row>
    <row r="2260" spans="1:9" x14ac:dyDescent="0.2">
      <c r="A2260" s="4" t="s">
        <v>3766</v>
      </c>
      <c r="B2260" s="2" t="s">
        <v>783</v>
      </c>
      <c r="C2260" s="2">
        <v>910.84010000000001</v>
      </c>
      <c r="D2260" s="2">
        <f>HYPERLINK("http://mcb-m6.bioreg.kyushu-u.ac.jp/M3/20110429/F51152/2817/1", 77.13)</f>
        <v>77.13</v>
      </c>
      <c r="E2260" s="2">
        <v>65.48</v>
      </c>
      <c r="F2260" s="2">
        <v>2</v>
      </c>
      <c r="G2260" s="2" t="s">
        <v>13</v>
      </c>
      <c r="I2260" s="2" t="s">
        <v>4929</v>
      </c>
    </row>
    <row r="2261" spans="1:9" x14ac:dyDescent="0.2">
      <c r="A2261" s="4" t="s">
        <v>3766</v>
      </c>
      <c r="B2261" s="2" t="s">
        <v>783</v>
      </c>
      <c r="C2261" s="2">
        <v>910.1567</v>
      </c>
      <c r="D2261" s="2">
        <f>HYPERLINK("http://mcb-m6.bioreg.kyushu-u.ac.jp/M3/20110429/F51152/2809/1", 88.63)</f>
        <v>88.63</v>
      </c>
      <c r="E2261" s="2">
        <v>72.38</v>
      </c>
      <c r="F2261" s="2">
        <v>2</v>
      </c>
      <c r="G2261" s="2" t="s">
        <v>13</v>
      </c>
      <c r="I2261" s="2" t="s">
        <v>4929</v>
      </c>
    </row>
    <row r="2262" spans="1:9" x14ac:dyDescent="0.2">
      <c r="A2262" s="2" t="s">
        <v>3485</v>
      </c>
      <c r="B2262" s="2" t="s">
        <v>312</v>
      </c>
      <c r="C2262" s="2">
        <v>909.83870000000002</v>
      </c>
      <c r="D2262" s="2">
        <f>HYPERLINK("http://mcb-m6.bioreg.kyushu-u.ac.jp/M3/20110318/F50619/2020/1", 64.18)</f>
        <v>64.180000000000007</v>
      </c>
      <c r="E2262" s="2">
        <v>51.93</v>
      </c>
      <c r="F2262" s="2">
        <v>2</v>
      </c>
      <c r="G2262" s="2" t="s">
        <v>9</v>
      </c>
    </row>
    <row r="2263" spans="1:9" x14ac:dyDescent="0.2">
      <c r="A2263" s="2" t="s">
        <v>3485</v>
      </c>
      <c r="B2263" s="2" t="s">
        <v>312</v>
      </c>
      <c r="C2263" s="2">
        <v>909.90120000000002</v>
      </c>
      <c r="D2263" s="2">
        <f>HYPERLINK("http://mcb-m6.bioreg.kyushu-u.ac.jp/M3/20110318/F50597/2235/1", 66.27)</f>
        <v>66.27</v>
      </c>
      <c r="E2263" s="2">
        <v>58.14</v>
      </c>
      <c r="F2263" s="2">
        <v>2</v>
      </c>
      <c r="G2263" s="2" t="s">
        <v>10</v>
      </c>
    </row>
    <row r="2264" spans="1:9" x14ac:dyDescent="0.2">
      <c r="A2264" s="2" t="s">
        <v>3485</v>
      </c>
      <c r="B2264" s="2" t="s">
        <v>312</v>
      </c>
      <c r="C2264" s="2">
        <v>909.23609999999996</v>
      </c>
      <c r="D2264" s="2">
        <f>HYPERLINK("http://mcb-m6.bioreg.kyushu-u.ac.jp/M3/20110418/F50975/3029/1", 35.65)</f>
        <v>35.65</v>
      </c>
      <c r="E2264" s="2">
        <v>25.44</v>
      </c>
      <c r="F2264" s="2">
        <v>2</v>
      </c>
      <c r="G2264" s="2" t="s">
        <v>11</v>
      </c>
    </row>
    <row r="2265" spans="1:9" x14ac:dyDescent="0.2">
      <c r="A2265" s="2" t="s">
        <v>3485</v>
      </c>
      <c r="B2265" s="2" t="s">
        <v>312</v>
      </c>
      <c r="C2265" s="2">
        <v>909.37819999999999</v>
      </c>
      <c r="D2265" s="2">
        <f>HYPERLINK("http://mcb-m6.bioreg.kyushu-u.ac.jp/M3/20110418/F50975/3031/1", 43.54)</f>
        <v>43.54</v>
      </c>
      <c r="E2265" s="2">
        <v>34.36</v>
      </c>
      <c r="F2265" s="2">
        <v>2</v>
      </c>
      <c r="G2265" s="2" t="s">
        <v>11</v>
      </c>
    </row>
    <row r="2266" spans="1:9" x14ac:dyDescent="0.2">
      <c r="A2266" s="2" t="s">
        <v>3485</v>
      </c>
      <c r="B2266" s="2" t="s">
        <v>312</v>
      </c>
      <c r="C2266" s="2">
        <v>909.56320000000005</v>
      </c>
      <c r="D2266" s="2">
        <f>HYPERLINK("http://mcb-m6.bioreg.kyushu-u.ac.jp/M3/20110418/F50974/2887/1", 53.04)</f>
        <v>53.04</v>
      </c>
      <c r="E2266" s="2">
        <v>26.46</v>
      </c>
      <c r="F2266" s="2">
        <v>2</v>
      </c>
      <c r="G2266" s="2" t="s">
        <v>11</v>
      </c>
    </row>
    <row r="2267" spans="1:9" x14ac:dyDescent="0.2">
      <c r="A2267" s="2" t="s">
        <v>3485</v>
      </c>
      <c r="B2267" s="2" t="s">
        <v>312</v>
      </c>
      <c r="C2267" s="2">
        <v>909.60360000000003</v>
      </c>
      <c r="D2267" s="2">
        <f>HYPERLINK("http://mcb-m6.bioreg.kyushu-u.ac.jp/M3/20110502/F51158/2798/1", 71.72)</f>
        <v>71.72</v>
      </c>
      <c r="E2267" s="2">
        <v>63.71</v>
      </c>
      <c r="F2267" s="2">
        <v>2</v>
      </c>
      <c r="G2267" s="2" t="s">
        <v>13</v>
      </c>
    </row>
    <row r="2268" spans="1:9" x14ac:dyDescent="0.2">
      <c r="A2268" s="2" t="s">
        <v>3485</v>
      </c>
      <c r="B2268" s="2" t="s">
        <v>312</v>
      </c>
      <c r="C2268" s="2">
        <v>909.56920000000002</v>
      </c>
      <c r="D2268" s="2">
        <f>HYPERLINK("http://mcb-m6.bioreg.kyushu-u.ac.jp/M3/20110428/F51141/2976/1", 61.25)</f>
        <v>61.25</v>
      </c>
      <c r="E2268" s="2">
        <v>53.89</v>
      </c>
      <c r="F2268" s="2">
        <v>2</v>
      </c>
      <c r="G2268" s="2" t="s">
        <v>14</v>
      </c>
    </row>
    <row r="2269" spans="1:9" x14ac:dyDescent="0.2">
      <c r="A2269" s="2" t="s">
        <v>5633</v>
      </c>
      <c r="B2269" s="2" t="s">
        <v>5056</v>
      </c>
      <c r="C2269" s="2">
        <v>668.8442</v>
      </c>
      <c r="D2269" s="2">
        <f>HYPERLINK("http://mcb-m6.bioreg.kyushu-u.ac.jp/M3/20110318/F50619/1227/1", 43.79)</f>
        <v>43.79</v>
      </c>
      <c r="E2269" s="2">
        <v>26.93</v>
      </c>
      <c r="F2269" s="2">
        <v>2</v>
      </c>
      <c r="G2269" s="2" t="s">
        <v>9</v>
      </c>
    </row>
    <row r="2270" spans="1:9" x14ac:dyDescent="0.2">
      <c r="A2270" s="2" t="s">
        <v>5633</v>
      </c>
      <c r="B2270" s="2" t="s">
        <v>5056</v>
      </c>
      <c r="C2270" s="2">
        <v>668.94960000000003</v>
      </c>
      <c r="D2270" s="2">
        <f>HYPERLINK("http://mcb-m6.bioreg.kyushu-u.ac.jp/M3/20110318/F50597/1324/1", 40.52)</f>
        <v>40.520000000000003</v>
      </c>
      <c r="E2270" s="2">
        <v>25.94</v>
      </c>
      <c r="F2270" s="2">
        <v>2</v>
      </c>
      <c r="G2270" s="2" t="s">
        <v>10</v>
      </c>
    </row>
    <row r="2271" spans="1:9" x14ac:dyDescent="0.2">
      <c r="A2271" s="2" t="s">
        <v>3317</v>
      </c>
      <c r="B2271" s="2" t="s">
        <v>293</v>
      </c>
      <c r="C2271" s="2">
        <v>658.37570000000005</v>
      </c>
      <c r="D2271" s="2">
        <f>HYPERLINK("http://mcb-m6.bioreg.kyushu-u.ac.jp/M3/20110318/F50608/1268/1", 53.62)</f>
        <v>53.62</v>
      </c>
      <c r="E2271" s="2">
        <v>35.130000000000003</v>
      </c>
      <c r="F2271" s="2">
        <v>2</v>
      </c>
      <c r="G2271" s="2" t="s">
        <v>9</v>
      </c>
    </row>
    <row r="2272" spans="1:9" x14ac:dyDescent="0.2">
      <c r="A2272" s="2" t="s">
        <v>3317</v>
      </c>
      <c r="B2272" s="2" t="s">
        <v>293</v>
      </c>
      <c r="C2272" s="2">
        <v>658.91420000000005</v>
      </c>
      <c r="D2272" s="2">
        <f>HYPERLINK("http://mcb-m6.bioreg.kyushu-u.ac.jp/M3/20110318/F50598/1343/1", 36.81)</f>
        <v>36.81</v>
      </c>
      <c r="E2272" s="2">
        <v>18.239999999999998</v>
      </c>
      <c r="F2272" s="2">
        <v>2</v>
      </c>
      <c r="G2272" s="2" t="s">
        <v>10</v>
      </c>
    </row>
    <row r="2273" spans="1:9" x14ac:dyDescent="0.2">
      <c r="A2273" s="2" t="s">
        <v>3317</v>
      </c>
      <c r="B2273" s="2" t="s">
        <v>293</v>
      </c>
      <c r="C2273" s="2">
        <v>658.45920000000001</v>
      </c>
      <c r="D2273" s="2">
        <f>HYPERLINK("http://mcb-m6.bioreg.kyushu-u.ac.jp/M3/20110318/F50599/1476/1", 55.18)</f>
        <v>55.18</v>
      </c>
      <c r="E2273" s="2">
        <v>33.39</v>
      </c>
      <c r="F2273" s="2">
        <v>2</v>
      </c>
      <c r="G2273" s="2" t="s">
        <v>10</v>
      </c>
    </row>
    <row r="2274" spans="1:9" x14ac:dyDescent="0.2">
      <c r="A2274" s="2" t="s">
        <v>3317</v>
      </c>
      <c r="B2274" s="2" t="s">
        <v>293</v>
      </c>
      <c r="C2274" s="2">
        <v>658.76869999999997</v>
      </c>
      <c r="D2274" s="2">
        <f>HYPERLINK("http://mcb-m6.bioreg.kyushu-u.ac.jp/M3/20110428/F51139/1872/1", 58.3)</f>
        <v>58.3</v>
      </c>
      <c r="E2274" s="2">
        <v>38.26</v>
      </c>
      <c r="F2274" s="2">
        <v>2</v>
      </c>
      <c r="G2274" s="2" t="s">
        <v>14</v>
      </c>
    </row>
    <row r="2275" spans="1:9" x14ac:dyDescent="0.2">
      <c r="A2275" s="2" t="s">
        <v>5606</v>
      </c>
      <c r="B2275" s="2" t="s">
        <v>5000</v>
      </c>
      <c r="C2275" s="2">
        <v>856.19269999999995</v>
      </c>
      <c r="D2275" s="2">
        <f>HYPERLINK("http://mcb-m6.bioreg.kyushu-u.ac.jp/M3/20110318/F50602/1841/1", 36.46)</f>
        <v>36.46</v>
      </c>
      <c r="E2275" s="2">
        <v>17.18</v>
      </c>
      <c r="F2275" s="2">
        <v>2</v>
      </c>
      <c r="G2275" s="2" t="s">
        <v>9</v>
      </c>
    </row>
    <row r="2276" spans="1:9" x14ac:dyDescent="0.2">
      <c r="A2276" s="2" t="s">
        <v>5606</v>
      </c>
      <c r="B2276" s="2" t="s">
        <v>5172</v>
      </c>
      <c r="C2276" s="2">
        <v>821.98569999999995</v>
      </c>
      <c r="D2276" s="2">
        <f>HYPERLINK("http://mcb-m6.bioreg.kyushu-u.ac.jp/M3/20110318/F50602/1750/1", 77.68)</f>
        <v>77.680000000000007</v>
      </c>
      <c r="E2276" s="2">
        <v>56.93</v>
      </c>
      <c r="F2276" s="2">
        <v>2</v>
      </c>
      <c r="G2276" s="2" t="s">
        <v>9</v>
      </c>
      <c r="I2276" s="2" t="s">
        <v>4892</v>
      </c>
    </row>
    <row r="2277" spans="1:9" x14ac:dyDescent="0.2">
      <c r="A2277" s="2" t="s">
        <v>5606</v>
      </c>
      <c r="B2277" s="2" t="s">
        <v>5000</v>
      </c>
      <c r="C2277" s="2">
        <v>856.94920000000002</v>
      </c>
      <c r="D2277" s="2">
        <f>HYPERLINK("http://mcb-m6.bioreg.kyushu-u.ac.jp/M3/20110318/F50602/1842/1", 114.35)</f>
        <v>114.35</v>
      </c>
      <c r="E2277" s="2">
        <v>103.97</v>
      </c>
      <c r="F2277" s="2">
        <v>2</v>
      </c>
      <c r="G2277" s="2" t="s">
        <v>9</v>
      </c>
    </row>
    <row r="2278" spans="1:9" x14ac:dyDescent="0.2">
      <c r="A2278" s="2" t="s">
        <v>5606</v>
      </c>
      <c r="B2278" s="2" t="s">
        <v>5278</v>
      </c>
      <c r="C2278" s="2">
        <v>848.33950000000004</v>
      </c>
      <c r="D2278" s="2">
        <f>HYPERLINK("http://mcb-m6.bioreg.kyushu-u.ac.jp/M3/20110318/F50596/2880/1", 46.36)</f>
        <v>46.36</v>
      </c>
      <c r="E2278" s="2">
        <v>28.7</v>
      </c>
      <c r="F2278" s="2">
        <v>3</v>
      </c>
      <c r="G2278" s="2" t="s">
        <v>10</v>
      </c>
    </row>
    <row r="2279" spans="1:9" x14ac:dyDescent="0.2">
      <c r="A2279" s="2" t="s">
        <v>5606</v>
      </c>
      <c r="B2279" s="2" t="s">
        <v>5172</v>
      </c>
      <c r="C2279" s="2">
        <v>822.44269999999995</v>
      </c>
      <c r="D2279" s="2">
        <f>HYPERLINK("http://mcb-m6.bioreg.kyushu-u.ac.jp/M3/20110318/F50596/1916/1", 65.62)</f>
        <v>65.62</v>
      </c>
      <c r="E2279" s="2">
        <v>43.31</v>
      </c>
      <c r="F2279" s="2">
        <v>2</v>
      </c>
      <c r="G2279" s="2" t="s">
        <v>10</v>
      </c>
      <c r="I2279" s="2" t="s">
        <v>4892</v>
      </c>
    </row>
    <row r="2280" spans="1:9" x14ac:dyDescent="0.2">
      <c r="A2280" s="2" t="s">
        <v>5606</v>
      </c>
      <c r="B2280" s="2" t="s">
        <v>5000</v>
      </c>
      <c r="C2280" s="2">
        <v>856.51459999999997</v>
      </c>
      <c r="D2280" s="2">
        <f>HYPERLINK("http://mcb-m6.bioreg.kyushu-u.ac.jp/M3/20110318/F50596/2016/1", 69.35)</f>
        <v>69.349999999999994</v>
      </c>
      <c r="E2280" s="2">
        <v>59.95</v>
      </c>
      <c r="F2280" s="2">
        <v>2</v>
      </c>
      <c r="G2280" s="2" t="s">
        <v>10</v>
      </c>
    </row>
    <row r="2281" spans="1:9" x14ac:dyDescent="0.2">
      <c r="A2281" s="2" t="s">
        <v>5606</v>
      </c>
      <c r="B2281" s="2" t="s">
        <v>5519</v>
      </c>
      <c r="C2281" s="2">
        <v>648.38369999999998</v>
      </c>
      <c r="D2281" s="2">
        <f>HYPERLINK("http://mcb-m6.bioreg.kyushu-u.ac.jp/M3/20110429/F51154/1461/1", 47.96)</f>
        <v>47.96</v>
      </c>
      <c r="E2281" s="2">
        <v>31.77</v>
      </c>
      <c r="F2281" s="2">
        <v>2</v>
      </c>
      <c r="G2281" s="2" t="s">
        <v>13</v>
      </c>
    </row>
    <row r="2282" spans="1:9" x14ac:dyDescent="0.2">
      <c r="A2282" s="2" t="s">
        <v>5606</v>
      </c>
      <c r="B2282" s="2" t="s">
        <v>5559</v>
      </c>
      <c r="C2282" s="2">
        <v>1048.3209999999999</v>
      </c>
      <c r="D2282" s="2">
        <f>HYPERLINK("http://mcb-m6.bioreg.kyushu-u.ac.jp/M3/20110429/F51154/3437/1", 101.13)</f>
        <v>101.13</v>
      </c>
      <c r="E2282" s="2">
        <v>87.32</v>
      </c>
      <c r="F2282" s="2">
        <v>2</v>
      </c>
      <c r="G2282" s="2" t="s">
        <v>13</v>
      </c>
    </row>
    <row r="2283" spans="1:9" x14ac:dyDescent="0.2">
      <c r="A2283" s="2" t="s">
        <v>5696</v>
      </c>
      <c r="B2283" s="2" t="s">
        <v>5230</v>
      </c>
      <c r="C2283" s="2">
        <v>725.04280000000006</v>
      </c>
      <c r="D2283" s="2">
        <f>HYPERLINK("http://mcb-m6.bioreg.kyushu-u.ac.jp/M3/20110318/F50612/2362/1", 37.57)</f>
        <v>37.57</v>
      </c>
      <c r="E2283" s="2">
        <v>26.29</v>
      </c>
      <c r="F2283" s="2">
        <v>3</v>
      </c>
      <c r="G2283" s="2" t="s">
        <v>10</v>
      </c>
    </row>
    <row r="2284" spans="1:9" x14ac:dyDescent="0.2">
      <c r="A2284" s="2" t="s">
        <v>5696</v>
      </c>
      <c r="B2284" s="2" t="s">
        <v>5356</v>
      </c>
      <c r="C2284" s="2">
        <v>965.45820000000003</v>
      </c>
      <c r="D2284" s="2">
        <f>HYPERLINK("http://mcb-m6.bioreg.kyushu-u.ac.jp/M3/20110318/F50612/2176/1", 104.58)</f>
        <v>104.58</v>
      </c>
      <c r="E2284" s="2">
        <v>91.86</v>
      </c>
      <c r="F2284" s="2">
        <v>2</v>
      </c>
      <c r="G2284" s="2" t="s">
        <v>10</v>
      </c>
    </row>
    <row r="2285" spans="1:9" x14ac:dyDescent="0.2">
      <c r="A2285" s="2" t="s">
        <v>5881</v>
      </c>
      <c r="B2285" s="2" t="s">
        <v>5595</v>
      </c>
      <c r="C2285" s="2">
        <v>678.33320000000003</v>
      </c>
      <c r="D2285" s="2">
        <f>HYPERLINK("http://mcb-m6.bioreg.kyushu-u.ac.jp/M3/20110428/F51139/1910/1", 89.67)</f>
        <v>89.67</v>
      </c>
      <c r="E2285" s="2">
        <v>68.55</v>
      </c>
      <c r="F2285" s="2">
        <v>2</v>
      </c>
      <c r="G2285" s="2" t="s">
        <v>14</v>
      </c>
    </row>
    <row r="2286" spans="1:9" x14ac:dyDescent="0.2">
      <c r="A2286" s="2" t="s">
        <v>3283</v>
      </c>
      <c r="B2286" s="2" t="s">
        <v>63</v>
      </c>
      <c r="C2286" s="2">
        <v>871.25620000000004</v>
      </c>
      <c r="D2286" s="2">
        <f>HYPERLINK("http://mcb-m6.bioreg.kyushu-u.ac.jp/M3/20110318/F50620/2157/1", 134.8)</f>
        <v>134.80000000000001</v>
      </c>
      <c r="E2286" s="2">
        <v>110.86</v>
      </c>
      <c r="F2286" s="2">
        <v>2</v>
      </c>
      <c r="G2286" s="2" t="s">
        <v>9</v>
      </c>
    </row>
    <row r="2287" spans="1:9" x14ac:dyDescent="0.2">
      <c r="A2287" s="2" t="s">
        <v>3283</v>
      </c>
      <c r="B2287" s="2" t="s">
        <v>63</v>
      </c>
      <c r="C2287" s="2">
        <v>870.73360000000002</v>
      </c>
      <c r="D2287" s="2">
        <f>HYPERLINK("http://mcb-m6.bioreg.kyushu-u.ac.jp/M3/20110318/F50620/2154/1", 141.63)</f>
        <v>141.63</v>
      </c>
      <c r="E2287" s="2">
        <v>118.01</v>
      </c>
      <c r="F2287" s="2">
        <v>2</v>
      </c>
      <c r="G2287" s="2" t="s">
        <v>4984</v>
      </c>
    </row>
    <row r="2288" spans="1:9" x14ac:dyDescent="0.2">
      <c r="A2288" s="2" t="s">
        <v>3283</v>
      </c>
      <c r="B2288" s="2" t="s">
        <v>63</v>
      </c>
      <c r="C2288" s="2">
        <v>870.67070000000001</v>
      </c>
      <c r="D2288" s="2">
        <f>HYPERLINK("http://mcb-m6.bioreg.kyushu-u.ac.jp/M3/20110318/F50616/2156/1", 49.75)</f>
        <v>49.75</v>
      </c>
      <c r="E2288" s="2">
        <v>40.74</v>
      </c>
      <c r="F2288" s="2">
        <v>2</v>
      </c>
      <c r="G2288" s="2" t="s">
        <v>10</v>
      </c>
    </row>
    <row r="2289" spans="1:9" x14ac:dyDescent="0.2">
      <c r="A2289" s="2" t="s">
        <v>3283</v>
      </c>
      <c r="B2289" s="2" t="s">
        <v>63</v>
      </c>
      <c r="C2289" s="2">
        <v>871.17470000000003</v>
      </c>
      <c r="D2289" s="2">
        <f>HYPERLINK("http://mcb-m6.bioreg.kyushu-u.ac.jp/M3/20110318/F50616/2158/1", 138.14)</f>
        <v>138.13999999999999</v>
      </c>
      <c r="E2289" s="2">
        <v>114.45</v>
      </c>
      <c r="F2289" s="2">
        <v>2</v>
      </c>
      <c r="G2289" s="2" t="s">
        <v>10</v>
      </c>
    </row>
    <row r="2290" spans="1:9" x14ac:dyDescent="0.2">
      <c r="A2290" s="2" t="s">
        <v>3283</v>
      </c>
      <c r="B2290" s="2" t="s">
        <v>63</v>
      </c>
      <c r="C2290" s="2">
        <v>870.9117</v>
      </c>
      <c r="D2290" s="2">
        <f>HYPERLINK("http://mcb-m6.bioreg.kyushu-u.ac.jp/M3/20110418/F50996/2551/1", 89.86)</f>
        <v>89.86</v>
      </c>
      <c r="E2290" s="2">
        <v>71.209999999999994</v>
      </c>
      <c r="F2290" s="2">
        <v>2</v>
      </c>
      <c r="G2290" s="2" t="s">
        <v>11</v>
      </c>
    </row>
    <row r="2291" spans="1:9" x14ac:dyDescent="0.2">
      <c r="A2291" s="2" t="s">
        <v>3283</v>
      </c>
      <c r="B2291" s="2" t="s">
        <v>63</v>
      </c>
      <c r="C2291" s="2">
        <v>871.25160000000005</v>
      </c>
      <c r="D2291" s="2">
        <f>HYPERLINK("http://mcb-m6.bioreg.kyushu-u.ac.jp/M3/20110418/F50997/2464/1", 126.74)</f>
        <v>126.74</v>
      </c>
      <c r="E2291" s="2">
        <v>112.53</v>
      </c>
      <c r="F2291" s="2">
        <v>2</v>
      </c>
      <c r="G2291" s="2" t="s">
        <v>12</v>
      </c>
    </row>
    <row r="2292" spans="1:9" x14ac:dyDescent="0.2">
      <c r="A2292" s="2" t="s">
        <v>3283</v>
      </c>
      <c r="B2292" s="2" t="s">
        <v>63</v>
      </c>
      <c r="C2292" s="2">
        <v>871.27369999999996</v>
      </c>
      <c r="D2292" s="2">
        <f>HYPERLINK("http://mcb-m6.bioreg.kyushu-u.ac.jp/M3/20110429/F51152/2649/1", 78.46)</f>
        <v>78.459999999999994</v>
      </c>
      <c r="E2292" s="2">
        <v>62.27</v>
      </c>
      <c r="F2292" s="2">
        <v>2</v>
      </c>
      <c r="G2292" s="2" t="s">
        <v>13</v>
      </c>
    </row>
    <row r="2293" spans="1:9" x14ac:dyDescent="0.2">
      <c r="A2293" s="2" t="s">
        <v>3283</v>
      </c>
      <c r="B2293" s="2" t="s">
        <v>63</v>
      </c>
      <c r="C2293" s="2">
        <v>870.75519999999995</v>
      </c>
      <c r="D2293" s="2">
        <f>HYPERLINK("http://mcb-m6.bioreg.kyushu-u.ac.jp/M3/20110429/F51152/2646/1", 93.31)</f>
        <v>93.31</v>
      </c>
      <c r="E2293" s="2">
        <v>70.290000000000006</v>
      </c>
      <c r="F2293" s="2">
        <v>2</v>
      </c>
      <c r="G2293" s="2" t="s">
        <v>13</v>
      </c>
    </row>
    <row r="2294" spans="1:9" x14ac:dyDescent="0.2">
      <c r="A2294" s="2" t="s">
        <v>3283</v>
      </c>
      <c r="B2294" s="2" t="s">
        <v>63</v>
      </c>
      <c r="C2294" s="2">
        <v>871.57259999999997</v>
      </c>
      <c r="D2294" s="2">
        <f>HYPERLINK("http://mcb-m6.bioreg.kyushu-u.ac.jp/M3/20110429/F51153/2947/1", 102.64)</f>
        <v>102.64</v>
      </c>
      <c r="E2294" s="2">
        <v>86.35</v>
      </c>
      <c r="F2294" s="2">
        <v>2</v>
      </c>
      <c r="G2294" s="2" t="s">
        <v>13</v>
      </c>
    </row>
    <row r="2295" spans="1:9" x14ac:dyDescent="0.2">
      <c r="A2295" s="2" t="s">
        <v>3283</v>
      </c>
      <c r="B2295" s="2" t="s">
        <v>63</v>
      </c>
      <c r="C2295" s="2">
        <v>871.12070000000006</v>
      </c>
      <c r="D2295" s="2">
        <f>HYPERLINK("http://mcb-m6.bioreg.kyushu-u.ac.jp/M3/20110429/F51157/2394/1", 110.87)</f>
        <v>110.87</v>
      </c>
      <c r="E2295" s="2">
        <v>94.31</v>
      </c>
      <c r="F2295" s="2">
        <v>2</v>
      </c>
      <c r="G2295" s="2" t="s">
        <v>13</v>
      </c>
    </row>
    <row r="2296" spans="1:9" x14ac:dyDescent="0.2">
      <c r="A2296" s="2" t="s">
        <v>3283</v>
      </c>
      <c r="B2296" s="2" t="s">
        <v>63</v>
      </c>
      <c r="C2296" s="2">
        <v>870.92169999999999</v>
      </c>
      <c r="D2296" s="2">
        <f>HYPERLINK("http://mcb-m6.bioreg.kyushu-u.ac.jp/M3/20110428/F51140/2634/1", 46.2)</f>
        <v>46.2</v>
      </c>
      <c r="E2296" s="2">
        <v>30.4</v>
      </c>
      <c r="F2296" s="2">
        <v>2</v>
      </c>
      <c r="G2296" s="2" t="s">
        <v>14</v>
      </c>
    </row>
    <row r="2297" spans="1:9" x14ac:dyDescent="0.2">
      <c r="A2297" s="2" t="s">
        <v>5679</v>
      </c>
      <c r="B2297" s="2" t="s">
        <v>5198</v>
      </c>
      <c r="C2297" s="2">
        <v>858.25570000000005</v>
      </c>
      <c r="D2297" s="2">
        <f>HYPERLINK("http://mcb-m6.bioreg.kyushu-u.ac.jp/M3/20110318/F50620/2103/1", 101.22)</f>
        <v>101.22</v>
      </c>
      <c r="E2297" s="2">
        <v>79.66</v>
      </c>
      <c r="F2297" s="2">
        <v>2</v>
      </c>
      <c r="G2297" s="2" t="s">
        <v>9</v>
      </c>
    </row>
    <row r="2298" spans="1:9" x14ac:dyDescent="0.2">
      <c r="A2298" s="2" t="s">
        <v>5662</v>
      </c>
      <c r="B2298" s="2" t="s">
        <v>5128</v>
      </c>
      <c r="C2298" s="2">
        <v>999.44010000000003</v>
      </c>
      <c r="D2298" s="2">
        <f>HYPERLINK("http://mcb-m6.bioreg.kyushu-u.ac.jp/M3/20110318/F50620/3358/1", 63.48)</f>
        <v>63.48</v>
      </c>
      <c r="E2298" s="2">
        <v>53.64</v>
      </c>
      <c r="F2298" s="2">
        <v>3</v>
      </c>
      <c r="G2298" s="2" t="s">
        <v>9</v>
      </c>
      <c r="I2298" s="2" t="s">
        <v>5889</v>
      </c>
    </row>
    <row r="2299" spans="1:9" x14ac:dyDescent="0.2">
      <c r="A2299" s="2" t="s">
        <v>5662</v>
      </c>
      <c r="B2299" s="2" t="s">
        <v>5128</v>
      </c>
      <c r="C2299" s="2">
        <v>999.34609999999998</v>
      </c>
      <c r="D2299" s="2">
        <f>HYPERLINK("http://mcb-m6.bioreg.kyushu-u.ac.jp/M3/20110318/F50616/3410/1", 43.26)</f>
        <v>43.26</v>
      </c>
      <c r="E2299" s="2">
        <v>32.9</v>
      </c>
      <c r="F2299" s="2">
        <v>3</v>
      </c>
      <c r="G2299" s="2" t="s">
        <v>10</v>
      </c>
      <c r="I2299" s="2" t="s">
        <v>5889</v>
      </c>
    </row>
    <row r="2300" spans="1:9" x14ac:dyDescent="0.2">
      <c r="A2300" s="2" t="s">
        <v>5662</v>
      </c>
      <c r="B2300" s="2" t="s">
        <v>5128</v>
      </c>
      <c r="C2300" s="2">
        <v>999.87450000000001</v>
      </c>
      <c r="D2300" s="2">
        <f>HYPERLINK("http://mcb-m6.bioreg.kyushu-u.ac.jp/M3/20110318/F50616/3411/1", 74.17)</f>
        <v>74.17</v>
      </c>
      <c r="E2300" s="2">
        <v>61.79</v>
      </c>
      <c r="F2300" s="2">
        <v>3</v>
      </c>
      <c r="G2300" s="2" t="s">
        <v>10</v>
      </c>
      <c r="I2300" s="2" t="s">
        <v>5889</v>
      </c>
    </row>
    <row r="2301" spans="1:9" x14ac:dyDescent="0.2">
      <c r="A2301" s="2" t="s">
        <v>3987</v>
      </c>
      <c r="B2301" s="2" t="s">
        <v>5029</v>
      </c>
      <c r="C2301" s="2">
        <v>632.30359999999996</v>
      </c>
      <c r="D2301" s="2">
        <f>HYPERLINK("http://mcb-m6.bioreg.kyushu-u.ac.jp/M3/20110318/F50620/1310/1", 40.59)</f>
        <v>40.590000000000003</v>
      </c>
      <c r="E2301" s="2">
        <v>23.73</v>
      </c>
      <c r="F2301" s="2">
        <v>2</v>
      </c>
      <c r="G2301" s="2" t="s">
        <v>9</v>
      </c>
    </row>
    <row r="2302" spans="1:9" x14ac:dyDescent="0.2">
      <c r="A2302" s="2" t="s">
        <v>3987</v>
      </c>
      <c r="B2302" s="2" t="s">
        <v>1252</v>
      </c>
      <c r="C2302" s="2">
        <v>602.26319999999998</v>
      </c>
      <c r="D2302" s="2">
        <f>HYPERLINK("http://mcb-m6.bioreg.kyushu-u.ac.jp/M3/20110318/F50620/1240/1", 90.71)</f>
        <v>90.71</v>
      </c>
      <c r="E2302" s="2">
        <v>40.270000000000003</v>
      </c>
      <c r="F2302" s="2">
        <v>2</v>
      </c>
      <c r="G2302" s="2" t="s">
        <v>9</v>
      </c>
    </row>
    <row r="2303" spans="1:9" x14ac:dyDescent="0.2">
      <c r="A2303" s="2" t="s">
        <v>3987</v>
      </c>
      <c r="B2303" s="2" t="s">
        <v>1252</v>
      </c>
      <c r="C2303" s="2">
        <v>602.36019999999996</v>
      </c>
      <c r="D2303" s="2">
        <f>HYPERLINK("http://mcb-m6.bioreg.kyushu-u.ac.jp/M3/20110318/F50616/1239/1", 76.93)</f>
        <v>76.930000000000007</v>
      </c>
      <c r="E2303" s="2">
        <v>56.23</v>
      </c>
      <c r="F2303" s="2">
        <v>2</v>
      </c>
      <c r="G2303" s="2" t="s">
        <v>10</v>
      </c>
    </row>
    <row r="2304" spans="1:9" x14ac:dyDescent="0.2">
      <c r="A2304" s="2" t="s">
        <v>3987</v>
      </c>
      <c r="B2304" s="2" t="s">
        <v>1252</v>
      </c>
      <c r="C2304" s="2">
        <v>602.2577</v>
      </c>
      <c r="D2304" s="2">
        <f>HYPERLINK("http://mcb-m6.bioreg.kyushu-u.ac.jp/M3/20110418/F50997/1523/1", 111.52)</f>
        <v>111.52</v>
      </c>
      <c r="E2304" s="2">
        <v>65.77</v>
      </c>
      <c r="F2304" s="2">
        <v>2</v>
      </c>
      <c r="G2304" s="2" t="s">
        <v>12</v>
      </c>
    </row>
    <row r="2305" spans="1:9" x14ac:dyDescent="0.2">
      <c r="A2305" s="2" t="s">
        <v>3987</v>
      </c>
      <c r="B2305" s="2" t="s">
        <v>5468</v>
      </c>
      <c r="C2305" s="2">
        <v>457.17809999999997</v>
      </c>
      <c r="D2305" s="2">
        <f>HYPERLINK("http://mcb-m6.bioreg.kyushu-u.ac.jp/M3/20110429/F51152/689/1", 36.77)</f>
        <v>36.770000000000003</v>
      </c>
      <c r="E2305" s="2">
        <v>19.05</v>
      </c>
      <c r="F2305" s="2">
        <v>2</v>
      </c>
      <c r="G2305" s="2" t="s">
        <v>13</v>
      </c>
    </row>
    <row r="2306" spans="1:9" x14ac:dyDescent="0.2">
      <c r="A2306" s="2" t="s">
        <v>3987</v>
      </c>
      <c r="B2306" s="2" t="s">
        <v>1252</v>
      </c>
      <c r="C2306" s="2">
        <v>602.25959999999998</v>
      </c>
      <c r="D2306" s="2">
        <f>HYPERLINK("http://mcb-m6.bioreg.kyushu-u.ac.jp/M3/20110429/F51157/1087/1", 51.9)</f>
        <v>51.9</v>
      </c>
      <c r="E2306" s="2">
        <v>32.22</v>
      </c>
      <c r="F2306" s="2">
        <v>2</v>
      </c>
      <c r="G2306" s="2" t="s">
        <v>13</v>
      </c>
    </row>
    <row r="2307" spans="1:9" x14ac:dyDescent="0.2">
      <c r="A2307" s="2" t="s">
        <v>3987</v>
      </c>
      <c r="B2307" s="2" t="s">
        <v>1252</v>
      </c>
      <c r="C2307" s="2">
        <v>602.36220000000003</v>
      </c>
      <c r="D2307" s="2">
        <f>HYPERLINK("http://mcb-m6.bioreg.kyushu-u.ac.jp/M3/20110428/F51140/1320/1", 55.74)</f>
        <v>55.74</v>
      </c>
      <c r="E2307" s="2">
        <v>25.44</v>
      </c>
      <c r="F2307" s="2">
        <v>2</v>
      </c>
      <c r="G2307" s="2" t="s">
        <v>14</v>
      </c>
    </row>
    <row r="2308" spans="1:9" x14ac:dyDescent="0.2">
      <c r="A2308" s="2" t="s">
        <v>3987</v>
      </c>
      <c r="B2308" s="2" t="s">
        <v>1252</v>
      </c>
      <c r="C2308" s="2">
        <v>602.48320000000001</v>
      </c>
      <c r="D2308" s="2">
        <f>HYPERLINK("http://mcb-m6.bioreg.kyushu-u.ac.jp/M3/20110502/F51159/1429/1", 60.58)</f>
        <v>60.58</v>
      </c>
      <c r="E2308" s="2">
        <v>35.799999999999997</v>
      </c>
      <c r="F2308" s="2">
        <v>2</v>
      </c>
      <c r="G2308" s="2" t="s">
        <v>14</v>
      </c>
    </row>
    <row r="2309" spans="1:9" x14ac:dyDescent="0.2">
      <c r="A2309" s="2" t="s">
        <v>3852</v>
      </c>
      <c r="B2309" s="2" t="s">
        <v>954</v>
      </c>
      <c r="C2309" s="2">
        <v>654.42110000000002</v>
      </c>
      <c r="D2309" s="2">
        <f>HYPERLINK("http://mcb-m6.bioreg.kyushu-u.ac.jp/M3/20110318/F50616/1353/1", 36.4)</f>
        <v>36.4</v>
      </c>
      <c r="E2309" s="2">
        <v>25.6</v>
      </c>
      <c r="F2309" s="2">
        <v>2</v>
      </c>
      <c r="G2309" s="2" t="s">
        <v>10</v>
      </c>
      <c r="I2309" s="2" t="s">
        <v>4923</v>
      </c>
    </row>
    <row r="2310" spans="1:9" x14ac:dyDescent="0.2">
      <c r="A2310" s="2" t="s">
        <v>5852</v>
      </c>
      <c r="B2310" s="2" t="s">
        <v>5546</v>
      </c>
      <c r="C2310" s="2">
        <v>726.89260000000002</v>
      </c>
      <c r="D2310" s="2">
        <f>HYPERLINK("http://mcb-m6.bioreg.kyushu-u.ac.jp/M3/20110502/F51158/1829/1", 67.14)</f>
        <v>67.14</v>
      </c>
      <c r="E2310" s="2">
        <v>48.42</v>
      </c>
      <c r="F2310" s="2">
        <v>2</v>
      </c>
      <c r="G2310" s="2" t="s">
        <v>13</v>
      </c>
    </row>
    <row r="2311" spans="1:9" x14ac:dyDescent="0.2">
      <c r="A2311" s="2" t="s">
        <v>5856</v>
      </c>
      <c r="B2311" s="2" t="s">
        <v>5552</v>
      </c>
      <c r="C2311" s="2">
        <v>938.98419999999999</v>
      </c>
      <c r="D2311" s="2">
        <f>HYPERLINK("http://mcb-m6.bioreg.kyushu-u.ac.jp/M3/20110429/F51156/2799/1", 74.05)</f>
        <v>74.05</v>
      </c>
      <c r="E2311" s="2">
        <v>64.709999999999994</v>
      </c>
      <c r="F2311" s="2">
        <v>2</v>
      </c>
      <c r="G2311" s="2" t="s">
        <v>13</v>
      </c>
    </row>
    <row r="2312" spans="1:9" x14ac:dyDescent="0.2">
      <c r="A2312" s="2" t="s">
        <v>4100</v>
      </c>
      <c r="B2312" s="2" t="s">
        <v>1565</v>
      </c>
      <c r="C2312" s="2">
        <v>768.43960000000004</v>
      </c>
      <c r="D2312" s="2">
        <f>HYPERLINK("http://mcb-m6.bioreg.kyushu-u.ac.jp/M3/20110318/F50611/1785/1", 82.46)</f>
        <v>82.46</v>
      </c>
      <c r="E2312" s="2">
        <v>61.66</v>
      </c>
      <c r="F2312" s="2">
        <v>2</v>
      </c>
      <c r="G2312" s="2" t="s">
        <v>10</v>
      </c>
      <c r="I2312" s="2" t="s">
        <v>4942</v>
      </c>
    </row>
    <row r="2313" spans="1:9" x14ac:dyDescent="0.2">
      <c r="A2313" s="2" t="s">
        <v>3520</v>
      </c>
      <c r="B2313" s="2" t="s">
        <v>1919</v>
      </c>
      <c r="C2313" s="2">
        <v>649.03060000000005</v>
      </c>
      <c r="D2313" s="2">
        <f>HYPERLINK("http://mcb-m6.bioreg.kyushu-u.ac.jp/M3/20110318/F50603/1248/1", 47.49)</f>
        <v>47.49</v>
      </c>
      <c r="E2313" s="2">
        <v>30.46</v>
      </c>
      <c r="F2313" s="2">
        <v>2</v>
      </c>
      <c r="G2313" s="2" t="s">
        <v>9</v>
      </c>
    </row>
    <row r="2314" spans="1:9" x14ac:dyDescent="0.2">
      <c r="A2314" s="2" t="s">
        <v>3520</v>
      </c>
      <c r="B2314" s="2" t="s">
        <v>850</v>
      </c>
      <c r="C2314" s="2">
        <v>560.54719999999998</v>
      </c>
      <c r="D2314" s="2">
        <f>HYPERLINK("http://mcb-m6.bioreg.kyushu-u.ac.jp/M3/20110318/F50603/1085/1", 60.88)</f>
        <v>60.88</v>
      </c>
      <c r="E2314" s="2">
        <v>31.16</v>
      </c>
      <c r="F2314" s="2">
        <v>2</v>
      </c>
      <c r="G2314" s="2" t="s">
        <v>9</v>
      </c>
    </row>
    <row r="2315" spans="1:9" x14ac:dyDescent="0.2">
      <c r="A2315" s="2" t="s">
        <v>3520</v>
      </c>
      <c r="B2315" s="2" t="s">
        <v>2279</v>
      </c>
      <c r="C2315" s="2">
        <v>708.21810000000005</v>
      </c>
      <c r="D2315" s="2">
        <f>HYPERLINK("http://mcb-m6.bioreg.kyushu-u.ac.jp/M3/20110318/F50611/1496/1", 42.33)</f>
        <v>42.33</v>
      </c>
      <c r="E2315" s="2">
        <v>28.97</v>
      </c>
      <c r="F2315" s="2">
        <v>2</v>
      </c>
      <c r="G2315" s="2" t="s">
        <v>10</v>
      </c>
      <c r="I2315" s="2" t="s">
        <v>4903</v>
      </c>
    </row>
    <row r="2316" spans="1:9" x14ac:dyDescent="0.2">
      <c r="A2316" s="2" t="s">
        <v>3520</v>
      </c>
      <c r="B2316" s="2" t="s">
        <v>850</v>
      </c>
      <c r="C2316" s="2">
        <v>560.36270000000002</v>
      </c>
      <c r="D2316" s="2">
        <f>HYPERLINK("http://mcb-m6.bioreg.kyushu-u.ac.jp/M3/20110318/F50611/1129/1", 62.59)</f>
        <v>62.59</v>
      </c>
      <c r="E2316" s="2">
        <v>31.24</v>
      </c>
      <c r="F2316" s="2">
        <v>2</v>
      </c>
      <c r="G2316" s="2" t="s">
        <v>10</v>
      </c>
    </row>
    <row r="2317" spans="1:9" x14ac:dyDescent="0.2">
      <c r="A2317" s="2" t="s">
        <v>3520</v>
      </c>
      <c r="B2317" s="2" t="s">
        <v>2279</v>
      </c>
      <c r="C2317" s="2">
        <v>708.77120000000002</v>
      </c>
      <c r="D2317" s="2">
        <f>HYPERLINK("http://mcb-m6.bioreg.kyushu-u.ac.jp/M3/20110318/F50611/1498/1", 65.6)</f>
        <v>65.599999999999994</v>
      </c>
      <c r="E2317" s="2">
        <v>50.04</v>
      </c>
      <c r="F2317" s="2">
        <v>2</v>
      </c>
      <c r="G2317" s="2" t="s">
        <v>10</v>
      </c>
      <c r="I2317" s="2" t="s">
        <v>4903</v>
      </c>
    </row>
    <row r="2318" spans="1:9" x14ac:dyDescent="0.2">
      <c r="A2318" s="2" t="s">
        <v>3520</v>
      </c>
      <c r="B2318" s="2" t="s">
        <v>850</v>
      </c>
      <c r="C2318" s="2">
        <v>559.99019999999996</v>
      </c>
      <c r="D2318" s="2">
        <f>HYPERLINK("http://mcb-m6.bioreg.kyushu-u.ac.jp/M3/20110418/F50978/1221/1", 56.58)</f>
        <v>56.58</v>
      </c>
      <c r="E2318" s="2">
        <v>30.44</v>
      </c>
      <c r="F2318" s="2">
        <v>2</v>
      </c>
      <c r="G2318" s="2" t="s">
        <v>11</v>
      </c>
    </row>
    <row r="2319" spans="1:9" x14ac:dyDescent="0.2">
      <c r="A2319" s="2" t="s">
        <v>3520</v>
      </c>
      <c r="B2319" s="2" t="s">
        <v>1484</v>
      </c>
      <c r="C2319" s="2">
        <v>815.25959999999998</v>
      </c>
      <c r="D2319" s="2">
        <f>HYPERLINK("http://mcb-m6.bioreg.kyushu-u.ac.jp/M3/20110418/F50978/2443/1", 88.52)</f>
        <v>88.52</v>
      </c>
      <c r="E2319" s="2">
        <v>70.53</v>
      </c>
      <c r="F2319" s="2">
        <v>2</v>
      </c>
      <c r="G2319" s="2" t="s">
        <v>11</v>
      </c>
      <c r="I2319" s="2" t="s">
        <v>4906</v>
      </c>
    </row>
    <row r="2320" spans="1:9" x14ac:dyDescent="0.2">
      <c r="A2320" s="2" t="s">
        <v>3520</v>
      </c>
      <c r="B2320" s="2" t="s">
        <v>2997</v>
      </c>
      <c r="C2320" s="2">
        <v>472.18259999999998</v>
      </c>
      <c r="D2320" s="2">
        <f>HYPERLINK("http://mcb-m6.bioreg.kyushu-u.ac.jp/M3/20110429/F51154/637/1", 51.45)</f>
        <v>51.45</v>
      </c>
      <c r="E2320" s="2">
        <v>16.66</v>
      </c>
      <c r="F2320" s="2">
        <v>2</v>
      </c>
      <c r="G2320" s="2" t="s">
        <v>13</v>
      </c>
    </row>
    <row r="2321" spans="1:9" x14ac:dyDescent="0.2">
      <c r="A2321" s="2" t="s">
        <v>3520</v>
      </c>
      <c r="B2321" s="2" t="s">
        <v>850</v>
      </c>
      <c r="C2321" s="2">
        <v>560.8107</v>
      </c>
      <c r="D2321" s="2">
        <f>HYPERLINK("http://mcb-m6.bioreg.kyushu-u.ac.jp/M3/20110429/F51154/1033/1", 59.32)</f>
        <v>59.32</v>
      </c>
      <c r="E2321" s="2">
        <v>28.39</v>
      </c>
      <c r="F2321" s="2">
        <v>2</v>
      </c>
      <c r="G2321" s="2" t="s">
        <v>13</v>
      </c>
    </row>
    <row r="2322" spans="1:9" x14ac:dyDescent="0.2">
      <c r="A2322" s="2" t="s">
        <v>3520</v>
      </c>
      <c r="B2322" s="2" t="s">
        <v>2279</v>
      </c>
      <c r="C2322" s="2">
        <v>708.7527</v>
      </c>
      <c r="D2322" s="2">
        <f>HYPERLINK("http://mcb-m6.bioreg.kyushu-u.ac.jp/M3/20110429/F51154/1817/1", 65.23)</f>
        <v>65.23</v>
      </c>
      <c r="E2322" s="2">
        <v>54.54</v>
      </c>
      <c r="F2322" s="2">
        <v>2</v>
      </c>
      <c r="G2322" s="2" t="s">
        <v>13</v>
      </c>
      <c r="I2322" s="2" t="s">
        <v>4903</v>
      </c>
    </row>
    <row r="2323" spans="1:9" x14ac:dyDescent="0.2">
      <c r="A2323" s="2" t="s">
        <v>3520</v>
      </c>
      <c r="B2323" s="2" t="s">
        <v>1195</v>
      </c>
      <c r="C2323" s="2">
        <v>661.31370000000004</v>
      </c>
      <c r="D2323" s="2">
        <f>HYPERLINK("http://mcb-m6.bioreg.kyushu-u.ac.jp/M3/20110429/F51154/1522/1", 66.93)</f>
        <v>66.930000000000007</v>
      </c>
      <c r="E2323" s="2">
        <v>53.99</v>
      </c>
      <c r="F2323" s="2">
        <v>2</v>
      </c>
      <c r="G2323" s="2" t="s">
        <v>13</v>
      </c>
    </row>
    <row r="2324" spans="1:9" x14ac:dyDescent="0.2">
      <c r="A2324" s="2" t="s">
        <v>3520</v>
      </c>
      <c r="B2324" s="2" t="s">
        <v>1484</v>
      </c>
      <c r="C2324" s="2">
        <v>815.26260000000002</v>
      </c>
      <c r="D2324" s="2">
        <f>HYPERLINK("http://mcb-m6.bioreg.kyushu-u.ac.jp/M3/20110502/F51164/2107/1", 72.77)</f>
        <v>72.77</v>
      </c>
      <c r="E2324" s="2">
        <v>56.21</v>
      </c>
      <c r="F2324" s="2">
        <v>2</v>
      </c>
      <c r="G2324" s="2" t="s">
        <v>13</v>
      </c>
      <c r="I2324" s="2" t="s">
        <v>4906</v>
      </c>
    </row>
    <row r="2325" spans="1:9" x14ac:dyDescent="0.2">
      <c r="A2325" s="2" t="s">
        <v>3520</v>
      </c>
      <c r="B2325" s="2" t="s">
        <v>1484</v>
      </c>
      <c r="C2325" s="2">
        <v>815.30719999999997</v>
      </c>
      <c r="D2325" s="2">
        <f>HYPERLINK("http://mcb-m6.bioreg.kyushu-u.ac.jp/M3/20110429/F51154/2439/1", 91.16)</f>
        <v>91.16</v>
      </c>
      <c r="E2325" s="2">
        <v>73.930000000000007</v>
      </c>
      <c r="F2325" s="2">
        <v>2</v>
      </c>
      <c r="G2325" s="2" t="s">
        <v>13</v>
      </c>
      <c r="I2325" s="2" t="s">
        <v>4906</v>
      </c>
    </row>
    <row r="2326" spans="1:9" x14ac:dyDescent="0.2">
      <c r="A2326" s="2" t="s">
        <v>4415</v>
      </c>
      <c r="B2326" s="2" t="s">
        <v>2276</v>
      </c>
      <c r="C2326" s="2">
        <v>740.73770000000002</v>
      </c>
      <c r="D2326" s="2">
        <f>HYPERLINK("http://mcb-m6.bioreg.kyushu-u.ac.jp/M3/20110418/F50978/2117/1", 57.34)</f>
        <v>57.34</v>
      </c>
      <c r="E2326" s="2">
        <v>43.67</v>
      </c>
      <c r="F2326" s="2">
        <v>2</v>
      </c>
      <c r="G2326" s="2" t="s">
        <v>11</v>
      </c>
    </row>
    <row r="2327" spans="1:9" x14ac:dyDescent="0.2">
      <c r="A2327" s="2" t="s">
        <v>4090</v>
      </c>
      <c r="B2327" s="2" t="s">
        <v>3074</v>
      </c>
      <c r="C2327" s="2">
        <v>977.48109999999997</v>
      </c>
      <c r="D2327" s="2">
        <f>HYPERLINK("http://mcb-m6.bioreg.kyushu-u.ac.jp/M3/20110318/F50598/2182/1", 97.5)</f>
        <v>97.5</v>
      </c>
      <c r="E2327" s="2">
        <v>81.16</v>
      </c>
      <c r="F2327" s="2">
        <v>2</v>
      </c>
      <c r="G2327" s="2" t="s">
        <v>10</v>
      </c>
    </row>
    <row r="2328" spans="1:9" x14ac:dyDescent="0.2">
      <c r="A2328" s="2" t="s">
        <v>4312</v>
      </c>
      <c r="B2328" s="2" t="s">
        <v>2111</v>
      </c>
      <c r="C2328" s="2">
        <v>736.87620000000004</v>
      </c>
      <c r="D2328" s="2">
        <f>HYPERLINK("http://mcb-m6.bioreg.kyushu-u.ac.jp/M3/20110318/F50613/1582/1", 79.09)</f>
        <v>79.09</v>
      </c>
      <c r="E2328" s="2">
        <v>65.510000000000005</v>
      </c>
      <c r="F2328" s="2">
        <v>2</v>
      </c>
      <c r="G2328" s="2" t="s">
        <v>10</v>
      </c>
    </row>
    <row r="2329" spans="1:9" x14ac:dyDescent="0.2">
      <c r="A2329" s="2" t="s">
        <v>4312</v>
      </c>
      <c r="B2329" s="2" t="s">
        <v>2128</v>
      </c>
      <c r="C2329" s="2">
        <v>833.36519999999996</v>
      </c>
      <c r="D2329" s="2">
        <f>HYPERLINK("http://mcb-m6.bioreg.kyushu-u.ac.jp/M3/20110318/F50613/2069/1", 84.16)</f>
        <v>84.16</v>
      </c>
      <c r="E2329" s="2">
        <v>69.989999999999995</v>
      </c>
      <c r="F2329" s="2">
        <v>2</v>
      </c>
      <c r="G2329" s="2" t="s">
        <v>10</v>
      </c>
    </row>
    <row r="2330" spans="1:9" x14ac:dyDescent="0.2">
      <c r="A2330" s="2" t="s">
        <v>4312</v>
      </c>
      <c r="B2330" s="2" t="s">
        <v>5452</v>
      </c>
      <c r="C2330" s="2">
        <v>518.1182</v>
      </c>
      <c r="D2330" s="2">
        <f>HYPERLINK("http://mcb-m6.bioreg.kyushu-u.ac.jp/M3/20110418/F50986/1439/1", 55.22)</f>
        <v>55.22</v>
      </c>
      <c r="E2330" s="2">
        <v>35.72</v>
      </c>
      <c r="F2330" s="2">
        <v>2</v>
      </c>
      <c r="G2330" s="2" t="s">
        <v>12</v>
      </c>
    </row>
    <row r="2331" spans="1:9" x14ac:dyDescent="0.2">
      <c r="A2331" s="2" t="s">
        <v>4208</v>
      </c>
      <c r="B2331" s="2" t="s">
        <v>2089</v>
      </c>
      <c r="C2331" s="2">
        <v>537.76009999999997</v>
      </c>
      <c r="D2331" s="2">
        <f>HYPERLINK("http://mcb-m6.bioreg.kyushu-u.ac.jp/M3/20110318/F50613/1022/1", 35.78)</f>
        <v>35.78</v>
      </c>
      <c r="E2331" s="2">
        <v>13.98</v>
      </c>
      <c r="F2331" s="2">
        <v>2</v>
      </c>
      <c r="G2331" s="2" t="s">
        <v>10</v>
      </c>
      <c r="I2331" s="2" t="s">
        <v>4893</v>
      </c>
    </row>
    <row r="2332" spans="1:9" x14ac:dyDescent="0.2">
      <c r="A2332" s="2" t="s">
        <v>4208</v>
      </c>
      <c r="B2332" s="2" t="s">
        <v>2008</v>
      </c>
      <c r="C2332" s="2">
        <v>510.94810000000001</v>
      </c>
      <c r="D2332" s="2">
        <f>HYPERLINK("http://mcb-m6.bioreg.kyushu-u.ac.jp/M3/20110318/F50613/943/1", 37.59)</f>
        <v>37.590000000000003</v>
      </c>
      <c r="E2332" s="2">
        <v>17.32</v>
      </c>
      <c r="F2332" s="2">
        <v>2</v>
      </c>
      <c r="G2332" s="2" t="s">
        <v>10</v>
      </c>
    </row>
    <row r="2333" spans="1:9" x14ac:dyDescent="0.2">
      <c r="A2333" s="2" t="s">
        <v>4208</v>
      </c>
      <c r="B2333" s="2" t="s">
        <v>5239</v>
      </c>
      <c r="C2333" s="2">
        <v>841.91690000000006</v>
      </c>
      <c r="D2333" s="2">
        <f>HYPERLINK("http://mcb-m6.bioreg.kyushu-u.ac.jp/M3/20110318/F50613/3107/1", 39.4)</f>
        <v>39.4</v>
      </c>
      <c r="E2333" s="2">
        <v>29.68</v>
      </c>
      <c r="F2333" s="2">
        <v>3</v>
      </c>
      <c r="G2333" s="2" t="s">
        <v>10</v>
      </c>
      <c r="H2333" s="2" t="s">
        <v>5891</v>
      </c>
    </row>
    <row r="2334" spans="1:9" x14ac:dyDescent="0.2">
      <c r="A2334" s="2" t="s">
        <v>4208</v>
      </c>
      <c r="B2334" s="2" t="s">
        <v>2085</v>
      </c>
      <c r="C2334" s="2">
        <v>870.84479999999996</v>
      </c>
      <c r="D2334" s="2">
        <f>HYPERLINK("http://mcb-m6.bioreg.kyushu-u.ac.jp/M3/20110318/F50613/3176/1", 45.7)</f>
        <v>45.7</v>
      </c>
      <c r="E2334" s="2">
        <v>34.159999999999997</v>
      </c>
      <c r="F2334" s="2">
        <v>3</v>
      </c>
      <c r="G2334" s="2" t="s">
        <v>10</v>
      </c>
    </row>
    <row r="2335" spans="1:9" x14ac:dyDescent="0.2">
      <c r="A2335" s="2" t="s">
        <v>4208</v>
      </c>
      <c r="B2335" s="2" t="s">
        <v>1945</v>
      </c>
      <c r="C2335" s="2">
        <v>595.80160000000001</v>
      </c>
      <c r="D2335" s="2">
        <f>HYPERLINK("http://mcb-m6.bioreg.kyushu-u.ac.jp/M3/20110318/F50613/1180/1", 47.58)</f>
        <v>47.58</v>
      </c>
      <c r="E2335" s="2">
        <v>25.18</v>
      </c>
      <c r="F2335" s="2">
        <v>2</v>
      </c>
      <c r="G2335" s="2" t="s">
        <v>10</v>
      </c>
      <c r="I2335" s="2" t="s">
        <v>4899</v>
      </c>
    </row>
    <row r="2336" spans="1:9" x14ac:dyDescent="0.2">
      <c r="A2336" s="2" t="s">
        <v>4208</v>
      </c>
      <c r="B2336" s="2" t="s">
        <v>1877</v>
      </c>
      <c r="C2336" s="2">
        <v>642.87919999999997</v>
      </c>
      <c r="D2336" s="2">
        <f>HYPERLINK("http://mcb-m6.bioreg.kyushu-u.ac.jp/M3/20110318/F50613/1283/1", 47.93)</f>
        <v>47.93</v>
      </c>
      <c r="E2336" s="2">
        <v>19.920000000000002</v>
      </c>
      <c r="F2336" s="2">
        <v>2</v>
      </c>
      <c r="G2336" s="2" t="s">
        <v>10</v>
      </c>
    </row>
    <row r="2337" spans="1:9" x14ac:dyDescent="0.2">
      <c r="A2337" s="2" t="s">
        <v>4208</v>
      </c>
      <c r="B2337" s="2" t="s">
        <v>2650</v>
      </c>
      <c r="C2337" s="2">
        <v>683.82320000000004</v>
      </c>
      <c r="D2337" s="2">
        <f>HYPERLINK("http://mcb-m6.bioreg.kyushu-u.ac.jp/M3/20110318/F50613/1394/1", 48.14)</f>
        <v>48.14</v>
      </c>
      <c r="E2337" s="2">
        <v>3.66</v>
      </c>
      <c r="F2337" s="2">
        <v>2</v>
      </c>
      <c r="G2337" s="2" t="s">
        <v>10</v>
      </c>
      <c r="H2337" s="2" t="s">
        <v>4910</v>
      </c>
    </row>
    <row r="2338" spans="1:9" x14ac:dyDescent="0.2">
      <c r="A2338" s="2" t="s">
        <v>4208</v>
      </c>
      <c r="B2338" s="2" t="s">
        <v>1970</v>
      </c>
      <c r="C2338" s="2">
        <v>550.87459999999999</v>
      </c>
      <c r="D2338" s="2">
        <f>HYPERLINK("http://mcb-m6.bioreg.kyushu-u.ac.jp/M3/20110318/F50613/1062/1", 49.34)</f>
        <v>49.34</v>
      </c>
      <c r="E2338" s="2">
        <v>23.21</v>
      </c>
      <c r="F2338" s="2">
        <v>2</v>
      </c>
      <c r="G2338" s="2" t="s">
        <v>10</v>
      </c>
    </row>
    <row r="2339" spans="1:9" x14ac:dyDescent="0.2">
      <c r="A2339" s="2" t="s">
        <v>4208</v>
      </c>
      <c r="B2339" s="2" t="s">
        <v>1800</v>
      </c>
      <c r="C2339" s="2">
        <v>718.34119999999996</v>
      </c>
      <c r="D2339" s="2">
        <f>HYPERLINK("http://mcb-m6.bioreg.kyushu-u.ac.jp/M3/20110318/F50613/1499/1", 53.34)</f>
        <v>53.34</v>
      </c>
      <c r="E2339" s="2">
        <v>33.97</v>
      </c>
      <c r="F2339" s="2">
        <v>2</v>
      </c>
      <c r="G2339" s="2" t="s">
        <v>10</v>
      </c>
    </row>
    <row r="2340" spans="1:9" x14ac:dyDescent="0.2">
      <c r="A2340" s="2" t="s">
        <v>4208</v>
      </c>
      <c r="B2340" s="2" t="s">
        <v>1800</v>
      </c>
      <c r="C2340" s="2">
        <v>718.84310000000005</v>
      </c>
      <c r="D2340" s="2">
        <f>HYPERLINK("http://mcb-m6.bioreg.kyushu-u.ac.jp/M3/20110318/F50613/1501/1", 57.47)</f>
        <v>57.47</v>
      </c>
      <c r="E2340" s="2">
        <v>38.96</v>
      </c>
      <c r="F2340" s="2">
        <v>2</v>
      </c>
      <c r="G2340" s="2" t="s">
        <v>10</v>
      </c>
    </row>
    <row r="2341" spans="1:9" x14ac:dyDescent="0.2">
      <c r="A2341" s="2" t="s">
        <v>4208</v>
      </c>
      <c r="B2341" s="2" t="s">
        <v>2062</v>
      </c>
      <c r="C2341" s="2">
        <v>780.12620000000004</v>
      </c>
      <c r="D2341" s="2">
        <f>HYPERLINK("http://mcb-m6.bioreg.kyushu-u.ac.jp/M3/20110318/F50613/1828/1", 62.35)</f>
        <v>62.35</v>
      </c>
      <c r="E2341" s="2">
        <v>43.86</v>
      </c>
      <c r="F2341" s="2">
        <v>2</v>
      </c>
      <c r="G2341" s="2" t="s">
        <v>10</v>
      </c>
    </row>
    <row r="2342" spans="1:9" x14ac:dyDescent="0.2">
      <c r="A2342" s="2" t="s">
        <v>4208</v>
      </c>
      <c r="B2342" s="2" t="s">
        <v>2656</v>
      </c>
      <c r="C2342" s="2">
        <v>980.78859999999997</v>
      </c>
      <c r="D2342" s="2">
        <f>HYPERLINK("http://mcb-m6.bioreg.kyushu-u.ac.jp/M3/20110318/F50613/2485/1", 72.61)</f>
        <v>72.61</v>
      </c>
      <c r="E2342" s="2">
        <v>54.42</v>
      </c>
      <c r="F2342" s="2">
        <v>2</v>
      </c>
      <c r="G2342" s="2" t="s">
        <v>10</v>
      </c>
      <c r="H2342" s="2" t="s">
        <v>4938</v>
      </c>
    </row>
    <row r="2343" spans="1:9" x14ac:dyDescent="0.2">
      <c r="A2343" s="2" t="s">
        <v>4208</v>
      </c>
      <c r="B2343" s="2" t="s">
        <v>2008</v>
      </c>
      <c r="C2343" s="2">
        <v>510.77409999999998</v>
      </c>
      <c r="D2343" s="2">
        <f>HYPERLINK("http://mcb-m6.bioreg.kyushu-u.ac.jp/M3/20110418/F50986/1421/1", 37.19)</f>
        <v>37.19</v>
      </c>
      <c r="E2343" s="2">
        <v>17.559999999999999</v>
      </c>
      <c r="F2343" s="2">
        <v>2</v>
      </c>
      <c r="G2343" s="2" t="s">
        <v>12</v>
      </c>
    </row>
    <row r="2344" spans="1:9" x14ac:dyDescent="0.2">
      <c r="A2344" s="2" t="s">
        <v>4208</v>
      </c>
      <c r="B2344" s="2" t="s">
        <v>1970</v>
      </c>
      <c r="C2344" s="2">
        <v>550.61519999999996</v>
      </c>
      <c r="D2344" s="2">
        <f>HYPERLINK("http://mcb-m6.bioreg.kyushu-u.ac.jp/M3/20110418/F50986/1547/1", 38.4)</f>
        <v>38.4</v>
      </c>
      <c r="E2344" s="2">
        <v>10.15</v>
      </c>
      <c r="F2344" s="2">
        <v>2</v>
      </c>
      <c r="G2344" s="2" t="s">
        <v>12</v>
      </c>
    </row>
    <row r="2345" spans="1:9" x14ac:dyDescent="0.2">
      <c r="A2345" s="2" t="s">
        <v>4208</v>
      </c>
      <c r="B2345" s="2" t="s">
        <v>2592</v>
      </c>
      <c r="C2345" s="2">
        <v>1068.502</v>
      </c>
      <c r="D2345" s="2">
        <f>HYPERLINK("http://mcb-m6.bioreg.kyushu-u.ac.jp/M3/20110418/F50986/1515/1", 39.35)</f>
        <v>39.35</v>
      </c>
      <c r="E2345" s="2">
        <v>26.07</v>
      </c>
      <c r="F2345" s="2">
        <v>1</v>
      </c>
      <c r="G2345" s="2" t="s">
        <v>12</v>
      </c>
      <c r="I2345" s="2" t="s">
        <v>4892</v>
      </c>
    </row>
    <row r="2346" spans="1:9" x14ac:dyDescent="0.2">
      <c r="A2346" s="2" t="s">
        <v>4208</v>
      </c>
      <c r="B2346" s="2" t="s">
        <v>1877</v>
      </c>
      <c r="C2346" s="2">
        <v>643.08169999999996</v>
      </c>
      <c r="D2346" s="2">
        <f>HYPERLINK("http://mcb-m6.bioreg.kyushu-u.ac.jp/M3/20110418/F50986/1750/1", 39.97)</f>
        <v>39.97</v>
      </c>
      <c r="E2346" s="2">
        <v>14.45</v>
      </c>
      <c r="F2346" s="2">
        <v>2</v>
      </c>
      <c r="G2346" s="2" t="s">
        <v>12</v>
      </c>
    </row>
    <row r="2347" spans="1:9" x14ac:dyDescent="0.2">
      <c r="A2347" s="2" t="s">
        <v>4208</v>
      </c>
      <c r="B2347" s="2" t="s">
        <v>2557</v>
      </c>
      <c r="C2347" s="2">
        <v>481.65109999999999</v>
      </c>
      <c r="D2347" s="2">
        <f>HYPERLINK("http://mcb-m6.bioreg.kyushu-u.ac.jp/M3/20110418/F50986/1330/1", 54.35)</f>
        <v>54.35</v>
      </c>
      <c r="E2347" s="2">
        <v>30.1</v>
      </c>
      <c r="F2347" s="2">
        <v>2</v>
      </c>
      <c r="G2347" s="2" t="s">
        <v>12</v>
      </c>
    </row>
    <row r="2348" spans="1:9" x14ac:dyDescent="0.2">
      <c r="A2348" s="2" t="s">
        <v>4208</v>
      </c>
      <c r="B2348" s="2" t="s">
        <v>1970</v>
      </c>
      <c r="C2348" s="2">
        <v>550.88210000000004</v>
      </c>
      <c r="D2348" s="2">
        <f>HYPERLINK("http://mcb-m6.bioreg.kyushu-u.ac.jp/M3/20110428/F51142/1126/1", 36.56)</f>
        <v>36.56</v>
      </c>
      <c r="E2348" s="2">
        <v>11.48</v>
      </c>
      <c r="F2348" s="2">
        <v>2</v>
      </c>
      <c r="G2348" s="2" t="s">
        <v>14</v>
      </c>
    </row>
    <row r="2349" spans="1:9" x14ac:dyDescent="0.2">
      <c r="A2349" s="2" t="s">
        <v>4208</v>
      </c>
      <c r="B2349" s="2" t="s">
        <v>1800</v>
      </c>
      <c r="C2349" s="2">
        <v>718.61569999999995</v>
      </c>
      <c r="D2349" s="2">
        <f>HYPERLINK("http://mcb-m6.bioreg.kyushu-u.ac.jp/M3/20110428/F51142/1920/1", 48.1)</f>
        <v>48.1</v>
      </c>
      <c r="E2349" s="2">
        <v>26.79</v>
      </c>
      <c r="F2349" s="2">
        <v>2</v>
      </c>
      <c r="G2349" s="2" t="s">
        <v>14</v>
      </c>
    </row>
    <row r="2350" spans="1:9" x14ac:dyDescent="0.2">
      <c r="A2350" s="2" t="s">
        <v>4208</v>
      </c>
      <c r="B2350" s="2" t="s">
        <v>2062</v>
      </c>
      <c r="C2350" s="2">
        <v>779.90719999999999</v>
      </c>
      <c r="D2350" s="2">
        <f>HYPERLINK("http://mcb-m6.bioreg.kyushu-u.ac.jp/M3/20110428/F51142/2315/1", 59.97)</f>
        <v>59.97</v>
      </c>
      <c r="E2350" s="2">
        <v>48.58</v>
      </c>
      <c r="F2350" s="2">
        <v>2</v>
      </c>
      <c r="G2350" s="2" t="s">
        <v>14</v>
      </c>
    </row>
    <row r="2351" spans="1:9" x14ac:dyDescent="0.2">
      <c r="A2351" s="2" t="s">
        <v>3318</v>
      </c>
      <c r="B2351" s="2" t="s">
        <v>2395</v>
      </c>
      <c r="C2351" s="2">
        <v>488.31360000000001</v>
      </c>
      <c r="D2351" s="2">
        <f>HYPERLINK("http://mcb-m6.bioreg.kyushu-u.ac.jp/M3/20110318/F50618/753/1", 37.54)</f>
        <v>37.54</v>
      </c>
      <c r="E2351" s="2">
        <v>11.84</v>
      </c>
      <c r="F2351" s="2">
        <v>2</v>
      </c>
      <c r="G2351" s="2" t="s">
        <v>9</v>
      </c>
    </row>
    <row r="2352" spans="1:9" x14ac:dyDescent="0.2">
      <c r="A2352" s="2" t="s">
        <v>3318</v>
      </c>
      <c r="B2352" s="2" t="s">
        <v>2395</v>
      </c>
      <c r="C2352" s="2">
        <v>487.74560000000002</v>
      </c>
      <c r="D2352" s="2">
        <f>HYPERLINK("http://mcb-m6.bioreg.kyushu-u.ac.jp/M3/20110318/F50618/751/1", 47.35)</f>
        <v>47.35</v>
      </c>
      <c r="E2352" s="2">
        <v>8.65</v>
      </c>
      <c r="F2352" s="2">
        <v>2</v>
      </c>
      <c r="G2352" s="2" t="s">
        <v>9</v>
      </c>
    </row>
    <row r="2353" spans="1:8" x14ac:dyDescent="0.2">
      <c r="A2353" s="2" t="s">
        <v>3318</v>
      </c>
      <c r="B2353" s="2" t="s">
        <v>103</v>
      </c>
      <c r="C2353" s="2">
        <v>511.34660000000002</v>
      </c>
      <c r="D2353" s="2">
        <f>HYPERLINK("http://mcb-m6.bioreg.kyushu-u.ac.jp/M3/20110318/F50618/834/1", 57.16)</f>
        <v>57.16</v>
      </c>
      <c r="E2353" s="2">
        <v>31.93</v>
      </c>
      <c r="F2353" s="2">
        <v>2</v>
      </c>
      <c r="G2353" s="2" t="s">
        <v>9</v>
      </c>
      <c r="H2353" s="2" t="s">
        <v>4910</v>
      </c>
    </row>
    <row r="2354" spans="1:8" x14ac:dyDescent="0.2">
      <c r="A2354" s="2" t="s">
        <v>3834</v>
      </c>
      <c r="B2354" s="2" t="s">
        <v>5213</v>
      </c>
      <c r="C2354" s="2">
        <v>631.01369999999997</v>
      </c>
      <c r="D2354" s="2">
        <f>HYPERLINK("http://mcb-m6.bioreg.kyushu-u.ac.jp/M3/20110318/F50599/1422/1", 36.25)</f>
        <v>36.25</v>
      </c>
      <c r="E2354" s="2">
        <v>23.88</v>
      </c>
      <c r="F2354" s="2">
        <v>2</v>
      </c>
      <c r="G2354" s="2" t="s">
        <v>10</v>
      </c>
    </row>
    <row r="2355" spans="1:8" x14ac:dyDescent="0.2">
      <c r="A2355" s="2" t="s">
        <v>3834</v>
      </c>
      <c r="B2355" s="2" t="s">
        <v>5302</v>
      </c>
      <c r="C2355" s="2">
        <v>698.93409999999994</v>
      </c>
      <c r="D2355" s="2">
        <f>HYPERLINK("http://mcb-m6.bioreg.kyushu-u.ac.jp/M3/20110318/F50599/1567/1", 53.5)</f>
        <v>53.5</v>
      </c>
      <c r="E2355" s="2">
        <v>25.53</v>
      </c>
      <c r="F2355" s="2">
        <v>2</v>
      </c>
      <c r="G2355" s="2" t="s">
        <v>10</v>
      </c>
    </row>
    <row r="2356" spans="1:8" x14ac:dyDescent="0.2">
      <c r="A2356" s="2" t="s">
        <v>5699</v>
      </c>
      <c r="B2356" s="2" t="s">
        <v>5234</v>
      </c>
      <c r="C2356" s="2">
        <v>880.00710000000004</v>
      </c>
      <c r="D2356" s="2">
        <f>HYPERLINK("http://mcb-m6.bioreg.kyushu-u.ac.jp/M3/20110318/F50599/2087/1", 38.67)</f>
        <v>38.67</v>
      </c>
      <c r="E2356" s="2">
        <v>29.12</v>
      </c>
      <c r="F2356" s="2">
        <v>2</v>
      </c>
      <c r="G2356" s="2" t="s">
        <v>10</v>
      </c>
    </row>
    <row r="2357" spans="1:8" x14ac:dyDescent="0.2">
      <c r="A2357" s="2" t="s">
        <v>5673</v>
      </c>
      <c r="B2357" s="2" t="s">
        <v>5162</v>
      </c>
      <c r="C2357" s="2">
        <v>1041.7550000000001</v>
      </c>
      <c r="D2357" s="2">
        <f>HYPERLINK("http://mcb-m6.bioreg.kyushu-u.ac.jp/M3/20110318/F50607/3012/1", 73.21)</f>
        <v>73.209999999999994</v>
      </c>
      <c r="E2357" s="2">
        <v>66.37</v>
      </c>
      <c r="F2357" s="2">
        <v>3</v>
      </c>
      <c r="G2357" s="2" t="s">
        <v>9</v>
      </c>
    </row>
    <row r="2358" spans="1:8" x14ac:dyDescent="0.2">
      <c r="A2358" s="2" t="s">
        <v>3752</v>
      </c>
      <c r="B2358" s="2" t="s">
        <v>762</v>
      </c>
      <c r="C2358" s="2">
        <v>707.32569999999998</v>
      </c>
      <c r="D2358" s="2">
        <f>HYPERLINK("http://mcb-m6.bioreg.kyushu-u.ac.jp/M3/20110318/F50618/1427/1", 54.74)</f>
        <v>54.74</v>
      </c>
      <c r="E2358" s="2">
        <v>36.409999999999997</v>
      </c>
      <c r="F2358" s="2">
        <v>2</v>
      </c>
      <c r="G2358" s="2" t="s">
        <v>9</v>
      </c>
    </row>
    <row r="2359" spans="1:8" x14ac:dyDescent="0.2">
      <c r="A2359" s="2" t="s">
        <v>4076</v>
      </c>
      <c r="B2359" s="2" t="s">
        <v>1478</v>
      </c>
      <c r="C2359" s="2">
        <v>965.39009999999996</v>
      </c>
      <c r="D2359" s="2">
        <f>HYPERLINK("http://mcb-m6.bioreg.kyushu-u.ac.jp/M3/20110428/F51142/3288/1", 67.52)</f>
        <v>67.52</v>
      </c>
      <c r="E2359" s="2">
        <v>57.35</v>
      </c>
      <c r="F2359" s="2">
        <v>2</v>
      </c>
      <c r="G2359" s="2" t="s">
        <v>14</v>
      </c>
    </row>
    <row r="2360" spans="1:8" x14ac:dyDescent="0.2">
      <c r="A2360" s="2" t="s">
        <v>3625</v>
      </c>
      <c r="B2360" s="2" t="s">
        <v>537</v>
      </c>
      <c r="C2360" s="2">
        <v>665.78970000000004</v>
      </c>
      <c r="D2360" s="2">
        <f>HYPERLINK("http://mcb-m6.bioreg.kyushu-u.ac.jp/M3/20110318/F50607/1296/1", 76.95)</f>
        <v>76.95</v>
      </c>
      <c r="E2360" s="2">
        <v>50.02</v>
      </c>
      <c r="F2360" s="2">
        <v>2</v>
      </c>
      <c r="G2360" s="2" t="s">
        <v>9</v>
      </c>
    </row>
    <row r="2361" spans="1:8" x14ac:dyDescent="0.2">
      <c r="A2361" s="2" t="s">
        <v>3625</v>
      </c>
      <c r="B2361" s="2" t="s">
        <v>537</v>
      </c>
      <c r="C2361" s="2">
        <v>665.71469999999999</v>
      </c>
      <c r="D2361" s="2">
        <f>HYPERLINK("http://mcb-m6.bioreg.kyushu-u.ac.jp/M3/20110318/F50619/1224/1", 82.93)</f>
        <v>82.93</v>
      </c>
      <c r="E2361" s="2">
        <v>60.45</v>
      </c>
      <c r="F2361" s="2">
        <v>2</v>
      </c>
      <c r="G2361" s="2" t="s">
        <v>9</v>
      </c>
    </row>
    <row r="2362" spans="1:8" x14ac:dyDescent="0.2">
      <c r="A2362" s="2" t="s">
        <v>3625</v>
      </c>
      <c r="B2362" s="2" t="s">
        <v>537</v>
      </c>
      <c r="C2362" s="2">
        <v>665.58920000000001</v>
      </c>
      <c r="D2362" s="2">
        <f>HYPERLINK("http://mcb-m6.bioreg.kyushu-u.ac.jp/M3/20110318/F50606/1228/1", 87.75)</f>
        <v>87.75</v>
      </c>
      <c r="E2362" s="2">
        <v>60.61</v>
      </c>
      <c r="F2362" s="2">
        <v>2</v>
      </c>
      <c r="G2362" s="2" t="s">
        <v>9</v>
      </c>
    </row>
    <row r="2363" spans="1:8" x14ac:dyDescent="0.2">
      <c r="A2363" s="2" t="s">
        <v>3625</v>
      </c>
      <c r="B2363" s="2" t="s">
        <v>537</v>
      </c>
      <c r="C2363" s="2">
        <v>665.83969999999999</v>
      </c>
      <c r="D2363" s="2">
        <f>HYPERLINK("http://mcb-m6.bioreg.kyushu-u.ac.jp/M3/20110318/F50616/1374/1", 51.48)</f>
        <v>51.48</v>
      </c>
      <c r="E2363" s="2">
        <v>33.43</v>
      </c>
      <c r="F2363" s="2">
        <v>2</v>
      </c>
      <c r="G2363" s="2" t="s">
        <v>10</v>
      </c>
    </row>
    <row r="2364" spans="1:8" x14ac:dyDescent="0.2">
      <c r="A2364" s="2" t="s">
        <v>3625</v>
      </c>
      <c r="B2364" s="2" t="s">
        <v>537</v>
      </c>
      <c r="C2364" s="2">
        <v>665.35109999999997</v>
      </c>
      <c r="D2364" s="2">
        <f>HYPERLINK("http://mcb-m6.bioreg.kyushu-u.ac.jp/M3/20110318/F50615/1259/1", 83.24)</f>
        <v>83.24</v>
      </c>
      <c r="E2364" s="2">
        <v>62.23</v>
      </c>
      <c r="F2364" s="2">
        <v>2</v>
      </c>
      <c r="G2364" s="2" t="s">
        <v>10</v>
      </c>
    </row>
    <row r="2365" spans="1:8" x14ac:dyDescent="0.2">
      <c r="A2365" s="2" t="s">
        <v>3625</v>
      </c>
      <c r="B2365" s="2" t="s">
        <v>537</v>
      </c>
      <c r="C2365" s="2">
        <v>665.38570000000004</v>
      </c>
      <c r="D2365" s="2">
        <f>HYPERLINK("http://mcb-m6.bioreg.kyushu-u.ac.jp/M3/20110318/F50612/1339/1", 84.67)</f>
        <v>84.67</v>
      </c>
      <c r="E2365" s="2">
        <v>57.41</v>
      </c>
      <c r="F2365" s="2">
        <v>2</v>
      </c>
      <c r="G2365" s="2" t="s">
        <v>10</v>
      </c>
    </row>
    <row r="2366" spans="1:8" x14ac:dyDescent="0.2">
      <c r="A2366" s="2" t="s">
        <v>3625</v>
      </c>
      <c r="B2366" s="2" t="s">
        <v>537</v>
      </c>
      <c r="C2366" s="2">
        <v>665.84059999999999</v>
      </c>
      <c r="D2366" s="2">
        <f>HYPERLINK("http://mcb-m6.bioreg.kyushu-u.ac.jp/M3/20110318/F50597/1314/1", 87.79)</f>
        <v>87.79</v>
      </c>
      <c r="E2366" s="2">
        <v>59.84</v>
      </c>
      <c r="F2366" s="2">
        <v>2</v>
      </c>
      <c r="G2366" s="2" t="s">
        <v>10</v>
      </c>
    </row>
    <row r="2367" spans="1:8" x14ac:dyDescent="0.2">
      <c r="A2367" s="2" t="s">
        <v>3625</v>
      </c>
      <c r="B2367" s="2" t="s">
        <v>537</v>
      </c>
      <c r="C2367" s="2">
        <v>665.21119999999996</v>
      </c>
      <c r="D2367" s="2">
        <f>HYPERLINK("http://mcb-m6.bioreg.kyushu-u.ac.jp/M3/20110418/F50975/1533/1", 49.28)</f>
        <v>49.28</v>
      </c>
      <c r="E2367" s="2">
        <v>32.21</v>
      </c>
      <c r="F2367" s="2">
        <v>2</v>
      </c>
      <c r="G2367" s="2" t="s">
        <v>11</v>
      </c>
    </row>
    <row r="2368" spans="1:8" x14ac:dyDescent="0.2">
      <c r="A2368" s="2" t="s">
        <v>3625</v>
      </c>
      <c r="B2368" s="2" t="s">
        <v>537</v>
      </c>
      <c r="C2368" s="2">
        <v>1329.5250000000001</v>
      </c>
      <c r="D2368" s="2">
        <f>HYPERLINK("http://mcb-m6.bioreg.kyushu-u.ac.jp/M3/20110418/F50975/1538/1", 51.33)</f>
        <v>51.33</v>
      </c>
      <c r="E2368" s="2">
        <v>34.909999999999997</v>
      </c>
      <c r="F2368" s="2">
        <v>1</v>
      </c>
      <c r="G2368" s="2" t="s">
        <v>11</v>
      </c>
    </row>
    <row r="2369" spans="1:7" x14ac:dyDescent="0.2">
      <c r="A2369" s="2" t="s">
        <v>3625</v>
      </c>
      <c r="B2369" s="2" t="s">
        <v>537</v>
      </c>
      <c r="C2369" s="2">
        <v>1329.4870000000001</v>
      </c>
      <c r="D2369" s="2">
        <f>HYPERLINK("http://mcb-m6.bioreg.kyushu-u.ac.jp/M3/20110418/F50977/1635/1", 57.43)</f>
        <v>57.43</v>
      </c>
      <c r="E2369" s="2">
        <v>37.159999999999997</v>
      </c>
      <c r="F2369" s="2">
        <v>1</v>
      </c>
      <c r="G2369" s="2" t="s">
        <v>11</v>
      </c>
    </row>
    <row r="2370" spans="1:7" x14ac:dyDescent="0.2">
      <c r="A2370" s="2" t="s">
        <v>3625</v>
      </c>
      <c r="B2370" s="2" t="s">
        <v>537</v>
      </c>
      <c r="C2370" s="2">
        <v>665.74869999999999</v>
      </c>
      <c r="D2370" s="2">
        <f>HYPERLINK("http://mcb-m6.bioreg.kyushu-u.ac.jp/M3/20110418/F50978/1682/1", 67.51)</f>
        <v>67.510000000000005</v>
      </c>
      <c r="E2370" s="2">
        <v>45.27</v>
      </c>
      <c r="F2370" s="2">
        <v>2</v>
      </c>
      <c r="G2370" s="2" t="s">
        <v>11</v>
      </c>
    </row>
    <row r="2371" spans="1:7" x14ac:dyDescent="0.2">
      <c r="A2371" s="2" t="s">
        <v>3625</v>
      </c>
      <c r="B2371" s="2" t="s">
        <v>537</v>
      </c>
      <c r="C2371" s="2">
        <v>665.8356</v>
      </c>
      <c r="D2371" s="2">
        <f>HYPERLINK("http://mcb-m6.bioreg.kyushu-u.ac.jp/M3/20110418/F50979/1801/1", 71.17)</f>
        <v>71.17</v>
      </c>
      <c r="E2371" s="2">
        <v>47.36</v>
      </c>
      <c r="F2371" s="2">
        <v>2</v>
      </c>
      <c r="G2371" s="2" t="s">
        <v>11</v>
      </c>
    </row>
    <row r="2372" spans="1:7" x14ac:dyDescent="0.2">
      <c r="A2372" s="2" t="s">
        <v>3625</v>
      </c>
      <c r="B2372" s="2" t="s">
        <v>537</v>
      </c>
      <c r="C2372" s="2">
        <v>665.66610000000003</v>
      </c>
      <c r="D2372" s="2">
        <f>HYPERLINK("http://mcb-m6.bioreg.kyushu-u.ac.jp/M3/20110418/F50974/1688/1", 73.17)</f>
        <v>73.17</v>
      </c>
      <c r="E2372" s="2">
        <v>51.31</v>
      </c>
      <c r="F2372" s="2">
        <v>2</v>
      </c>
      <c r="G2372" s="2" t="s">
        <v>11</v>
      </c>
    </row>
    <row r="2373" spans="1:7" x14ac:dyDescent="0.2">
      <c r="A2373" s="2" t="s">
        <v>3625</v>
      </c>
      <c r="B2373" s="2" t="s">
        <v>537</v>
      </c>
      <c r="C2373" s="2">
        <v>665.21810000000005</v>
      </c>
      <c r="D2373" s="2">
        <f>HYPERLINK("http://mcb-m6.bioreg.kyushu-u.ac.jp/M3/20110418/F50975/1534/1", 76)</f>
        <v>76</v>
      </c>
      <c r="E2373" s="2">
        <v>55.39</v>
      </c>
      <c r="F2373" s="2">
        <v>2</v>
      </c>
      <c r="G2373" s="2" t="s">
        <v>11</v>
      </c>
    </row>
    <row r="2374" spans="1:7" x14ac:dyDescent="0.2">
      <c r="A2374" s="2" t="s">
        <v>3625</v>
      </c>
      <c r="B2374" s="2" t="s">
        <v>537</v>
      </c>
      <c r="C2374" s="2">
        <v>665.31460000000004</v>
      </c>
      <c r="D2374" s="2">
        <f>HYPERLINK("http://mcb-m6.bioreg.kyushu-u.ac.jp/M3/20110418/F50976/1558/1", 82.75)</f>
        <v>82.75</v>
      </c>
      <c r="E2374" s="2">
        <v>57.61</v>
      </c>
      <c r="F2374" s="2">
        <v>2</v>
      </c>
      <c r="G2374" s="2" t="s">
        <v>11</v>
      </c>
    </row>
    <row r="2375" spans="1:7" x14ac:dyDescent="0.2">
      <c r="A2375" s="2" t="s">
        <v>3625</v>
      </c>
      <c r="B2375" s="2" t="s">
        <v>537</v>
      </c>
      <c r="C2375" s="2">
        <v>665.17269999999996</v>
      </c>
      <c r="D2375" s="2">
        <f>HYPERLINK("http://mcb-m6.bioreg.kyushu-u.ac.jp/M3/20110418/F50973/1848/1", 85.74)</f>
        <v>85.74</v>
      </c>
      <c r="E2375" s="2">
        <v>60.53</v>
      </c>
      <c r="F2375" s="2">
        <v>2</v>
      </c>
      <c r="G2375" s="2" t="s">
        <v>11</v>
      </c>
    </row>
    <row r="2376" spans="1:7" x14ac:dyDescent="0.2">
      <c r="A2376" s="2" t="s">
        <v>3625</v>
      </c>
      <c r="B2376" s="2" t="s">
        <v>537</v>
      </c>
      <c r="C2376" s="2">
        <v>665.29570000000001</v>
      </c>
      <c r="D2376" s="2">
        <f>HYPERLINK("http://mcb-m6.bioreg.kyushu-u.ac.jp/M3/20110418/F50979/1800/1", 87.85)</f>
        <v>87.85</v>
      </c>
      <c r="E2376" s="2">
        <v>67.02</v>
      </c>
      <c r="F2376" s="2">
        <v>2</v>
      </c>
      <c r="G2376" s="2" t="s">
        <v>11</v>
      </c>
    </row>
    <row r="2377" spans="1:7" x14ac:dyDescent="0.2">
      <c r="A2377" s="2" t="s">
        <v>3625</v>
      </c>
      <c r="B2377" s="2" t="s">
        <v>537</v>
      </c>
      <c r="C2377" s="2">
        <v>665.18219999999997</v>
      </c>
      <c r="D2377" s="2">
        <f>HYPERLINK("http://mcb-m6.bioreg.kyushu-u.ac.jp/M3/20110418/F50977/1634/1", 87.99)</f>
        <v>87.99</v>
      </c>
      <c r="E2377" s="2">
        <v>62.48</v>
      </c>
      <c r="F2377" s="2">
        <v>2</v>
      </c>
      <c r="G2377" s="2" t="s">
        <v>11</v>
      </c>
    </row>
    <row r="2378" spans="1:7" x14ac:dyDescent="0.2">
      <c r="A2378" s="2" t="s">
        <v>3625</v>
      </c>
      <c r="B2378" s="2" t="s">
        <v>537</v>
      </c>
      <c r="C2378" s="2">
        <v>665.22220000000004</v>
      </c>
      <c r="D2378" s="2">
        <f>HYPERLINK("http://mcb-m6.bioreg.kyushu-u.ac.jp/M3/20110418/F50969/1868/1", 88.64)</f>
        <v>88.64</v>
      </c>
      <c r="E2378" s="2">
        <v>62.62</v>
      </c>
      <c r="F2378" s="2">
        <v>2</v>
      </c>
      <c r="G2378" s="2" t="s">
        <v>11</v>
      </c>
    </row>
    <row r="2379" spans="1:7" x14ac:dyDescent="0.2">
      <c r="A2379" s="2" t="s">
        <v>3625</v>
      </c>
      <c r="B2379" s="2" t="s">
        <v>537</v>
      </c>
      <c r="C2379" s="2">
        <v>665.85919999999999</v>
      </c>
      <c r="D2379" s="2">
        <f>HYPERLINK("http://mcb-m6.bioreg.kyushu-u.ac.jp/M3/20110418/F50997/1678/1", 54.4)</f>
        <v>54.4</v>
      </c>
      <c r="E2379" s="2">
        <v>37.19</v>
      </c>
      <c r="F2379" s="2">
        <v>2</v>
      </c>
      <c r="G2379" s="2" t="s">
        <v>12</v>
      </c>
    </row>
    <row r="2380" spans="1:7" x14ac:dyDescent="0.2">
      <c r="A2380" s="2" t="s">
        <v>3625</v>
      </c>
      <c r="B2380" s="2" t="s">
        <v>537</v>
      </c>
      <c r="C2380" s="2">
        <v>665.27509999999995</v>
      </c>
      <c r="D2380" s="2">
        <f>HYPERLINK("http://mcb-m6.bioreg.kyushu-u.ac.jp/M3/20110429/F51151/1806/1", 45.13)</f>
        <v>45.13</v>
      </c>
      <c r="E2380" s="2">
        <v>24.12</v>
      </c>
      <c r="F2380" s="2">
        <v>2</v>
      </c>
      <c r="G2380" s="2" t="s">
        <v>13</v>
      </c>
    </row>
    <row r="2381" spans="1:7" x14ac:dyDescent="0.2">
      <c r="A2381" s="2" t="s">
        <v>3625</v>
      </c>
      <c r="B2381" s="2" t="s">
        <v>537</v>
      </c>
      <c r="C2381" s="2">
        <v>665.82870000000003</v>
      </c>
      <c r="D2381" s="2">
        <f>HYPERLINK("http://mcb-m6.bioreg.kyushu-u.ac.jp/M3/20110429/F51157/1354/1", 50.1)</f>
        <v>50.1</v>
      </c>
      <c r="E2381" s="2">
        <v>30.42</v>
      </c>
      <c r="F2381" s="2">
        <v>2</v>
      </c>
      <c r="G2381" s="2" t="s">
        <v>13</v>
      </c>
    </row>
    <row r="2382" spans="1:7" x14ac:dyDescent="0.2">
      <c r="A2382" s="2" t="s">
        <v>3625</v>
      </c>
      <c r="B2382" s="2" t="s">
        <v>537</v>
      </c>
      <c r="C2382" s="2">
        <v>665.43709999999999</v>
      </c>
      <c r="D2382" s="2">
        <f>HYPERLINK("http://mcb-m6.bioreg.kyushu-u.ac.jp/M3/20110502/F51163/1359/1", 96.06)</f>
        <v>96.06</v>
      </c>
      <c r="E2382" s="2">
        <v>56.57</v>
      </c>
      <c r="F2382" s="2">
        <v>2</v>
      </c>
      <c r="G2382" s="2" t="s">
        <v>13</v>
      </c>
    </row>
    <row r="2383" spans="1:7" x14ac:dyDescent="0.2">
      <c r="A2383" s="2" t="s">
        <v>3625</v>
      </c>
      <c r="B2383" s="2" t="s">
        <v>537</v>
      </c>
      <c r="C2383" s="2">
        <v>1329.683</v>
      </c>
      <c r="D2383" s="2">
        <f>HYPERLINK("http://mcb-m6.bioreg.kyushu-u.ac.jp/M3/20110428/F51141/1466/1", 55.39)</f>
        <v>55.39</v>
      </c>
      <c r="E2383" s="2">
        <v>41.37</v>
      </c>
      <c r="F2383" s="2">
        <v>1</v>
      </c>
      <c r="G2383" s="2" t="s">
        <v>14</v>
      </c>
    </row>
    <row r="2384" spans="1:7" x14ac:dyDescent="0.2">
      <c r="A2384" s="2" t="s">
        <v>3625</v>
      </c>
      <c r="B2384" s="2" t="s">
        <v>537</v>
      </c>
      <c r="C2384" s="2">
        <v>665.76120000000003</v>
      </c>
      <c r="D2384" s="2">
        <f>HYPERLINK("http://mcb-m6.bioreg.kyushu-u.ac.jp/M3/20110428/F51138/1969/1", 59.96)</f>
        <v>59.96</v>
      </c>
      <c r="E2384" s="2">
        <v>40.86</v>
      </c>
      <c r="F2384" s="2">
        <v>2</v>
      </c>
      <c r="G2384" s="2" t="s">
        <v>14</v>
      </c>
    </row>
    <row r="2385" spans="1:7" x14ac:dyDescent="0.2">
      <c r="A2385" s="2" t="s">
        <v>3625</v>
      </c>
      <c r="B2385" s="2" t="s">
        <v>537</v>
      </c>
      <c r="C2385" s="2">
        <v>665.91610000000003</v>
      </c>
      <c r="D2385" s="2">
        <f>HYPERLINK("http://mcb-m6.bioreg.kyushu-u.ac.jp/M3/20110428/F51139/1881/1", 63.64)</f>
        <v>63.64</v>
      </c>
      <c r="E2385" s="2">
        <v>37.89</v>
      </c>
      <c r="F2385" s="2">
        <v>2</v>
      </c>
      <c r="G2385" s="2" t="s">
        <v>14</v>
      </c>
    </row>
    <row r="2386" spans="1:7" x14ac:dyDescent="0.2">
      <c r="A2386" s="2" t="s">
        <v>3625</v>
      </c>
      <c r="B2386" s="2" t="s">
        <v>537</v>
      </c>
      <c r="C2386" s="2">
        <v>665.42359999999996</v>
      </c>
      <c r="D2386" s="2">
        <f>HYPERLINK("http://mcb-m6.bioreg.kyushu-u.ac.jp/M3/20110428/F51141/1468/1", 76.56)</f>
        <v>76.56</v>
      </c>
      <c r="E2386" s="2">
        <v>50.05</v>
      </c>
      <c r="F2386" s="2">
        <v>2</v>
      </c>
      <c r="G2386" s="2" t="s">
        <v>14</v>
      </c>
    </row>
    <row r="2387" spans="1:7" x14ac:dyDescent="0.2">
      <c r="A2387" s="2" t="s">
        <v>3625</v>
      </c>
      <c r="B2387" s="2" t="s">
        <v>537</v>
      </c>
      <c r="C2387" s="2">
        <v>665.45259999999996</v>
      </c>
      <c r="D2387" s="2">
        <f>HYPERLINK("http://mcb-m6.bioreg.kyushu-u.ac.jp/M3/20110502/F51161/1527/1", 84.29)</f>
        <v>84.29</v>
      </c>
      <c r="E2387" s="2">
        <v>45.85</v>
      </c>
      <c r="F2387" s="2">
        <v>2</v>
      </c>
      <c r="G2387" s="2" t="s">
        <v>14</v>
      </c>
    </row>
    <row r="2388" spans="1:7" x14ac:dyDescent="0.2">
      <c r="A2388" s="2" t="s">
        <v>3625</v>
      </c>
      <c r="B2388" s="2" t="s">
        <v>537</v>
      </c>
      <c r="C2388" s="2">
        <v>665.41920000000005</v>
      </c>
      <c r="D2388" s="2">
        <f>HYPERLINK("http://mcb-m6.bioreg.kyushu-u.ac.jp/M3/20110428/F51142/1617/1", 95.04)</f>
        <v>95.04</v>
      </c>
      <c r="E2388" s="2">
        <v>66.290000000000006</v>
      </c>
      <c r="F2388" s="2">
        <v>2</v>
      </c>
      <c r="G2388" s="2" t="s">
        <v>14</v>
      </c>
    </row>
    <row r="2389" spans="1:7" x14ac:dyDescent="0.2">
      <c r="A2389" s="2" t="s">
        <v>3563</v>
      </c>
      <c r="B2389" s="2" t="s">
        <v>426</v>
      </c>
      <c r="C2389" s="2">
        <v>739.29169999999999</v>
      </c>
      <c r="D2389" s="2">
        <f>HYPERLINK("http://mcb-m6.bioreg.kyushu-u.ac.jp/M3/20110418/F50975/2029/1", 49.37)</f>
        <v>49.37</v>
      </c>
      <c r="E2389" s="2">
        <v>0.16</v>
      </c>
      <c r="F2389" s="2">
        <v>2</v>
      </c>
      <c r="G2389" s="2" t="s">
        <v>11</v>
      </c>
    </row>
    <row r="2390" spans="1:7" x14ac:dyDescent="0.2">
      <c r="A2390" s="2" t="s">
        <v>3563</v>
      </c>
      <c r="B2390" s="2" t="s">
        <v>426</v>
      </c>
      <c r="C2390" s="2">
        <v>739.34810000000004</v>
      </c>
      <c r="D2390" s="2">
        <f>HYPERLINK("http://mcb-m6.bioreg.kyushu-u.ac.jp/M3/20110502/F51158/1889/1", 49.28)</f>
        <v>49.28</v>
      </c>
      <c r="E2390" s="2">
        <v>22.51</v>
      </c>
      <c r="F2390" s="2">
        <v>2</v>
      </c>
      <c r="G2390" s="2" t="s">
        <v>13</v>
      </c>
    </row>
    <row r="2391" spans="1:7" x14ac:dyDescent="0.2">
      <c r="A2391" s="2" t="s">
        <v>5831</v>
      </c>
      <c r="B2391" s="2" t="s">
        <v>5515</v>
      </c>
      <c r="C2391" s="2">
        <v>973.35900000000004</v>
      </c>
      <c r="D2391" s="2">
        <f>HYPERLINK("http://mcb-m6.bioreg.kyushu-u.ac.jp/M3/20110429/F51151/1087/1", 45.95)</f>
        <v>45.95</v>
      </c>
      <c r="E2391" s="2">
        <v>15.67</v>
      </c>
      <c r="F2391" s="2">
        <v>1</v>
      </c>
      <c r="G2391" s="2" t="s">
        <v>13</v>
      </c>
    </row>
    <row r="2392" spans="1:7" x14ac:dyDescent="0.2">
      <c r="A2392" s="2" t="s">
        <v>5831</v>
      </c>
      <c r="B2392" s="2" t="s">
        <v>5515</v>
      </c>
      <c r="C2392" s="2">
        <v>487.18709999999999</v>
      </c>
      <c r="D2392" s="2">
        <f>HYPERLINK("http://mcb-m6.bioreg.kyushu-u.ac.jp/M3/20110429/F51151/1088/1", 54.6)</f>
        <v>54.6</v>
      </c>
      <c r="E2392" s="2">
        <v>15.3</v>
      </c>
      <c r="F2392" s="2">
        <v>2</v>
      </c>
      <c r="G2392" s="2" t="s">
        <v>13</v>
      </c>
    </row>
    <row r="2393" spans="1:7" x14ac:dyDescent="0.2">
      <c r="A2393" s="2" t="s">
        <v>5814</v>
      </c>
      <c r="B2393" s="2" t="s">
        <v>5484</v>
      </c>
      <c r="C2393" s="2">
        <v>505.09559999999999</v>
      </c>
      <c r="D2393" s="2">
        <f>HYPERLINK("http://mcb-m6.bioreg.kyushu-u.ac.jp/M3/20110429/F51151/1162/1", 38.42)</f>
        <v>38.42</v>
      </c>
      <c r="E2393" s="2">
        <v>15.49</v>
      </c>
      <c r="F2393" s="2">
        <v>2</v>
      </c>
      <c r="G2393" s="2" t="s">
        <v>13</v>
      </c>
    </row>
    <row r="2394" spans="1:7" x14ac:dyDescent="0.2">
      <c r="A2394" s="2" t="s">
        <v>5849</v>
      </c>
      <c r="B2394" s="2" t="s">
        <v>5542</v>
      </c>
      <c r="C2394" s="2">
        <v>637.23360000000002</v>
      </c>
      <c r="D2394" s="2">
        <f>HYPERLINK("http://mcb-m6.bioreg.kyushu-u.ac.jp/M3/20110429/F51151/1723/1", 65.45)</f>
        <v>65.45</v>
      </c>
      <c r="E2394" s="2">
        <v>27.89</v>
      </c>
      <c r="F2394" s="2">
        <v>2</v>
      </c>
      <c r="G2394" s="2" t="s">
        <v>13</v>
      </c>
    </row>
    <row r="2395" spans="1:7" x14ac:dyDescent="0.2">
      <c r="A2395" s="2" t="s">
        <v>5846</v>
      </c>
      <c r="B2395" s="2" t="s">
        <v>5539</v>
      </c>
      <c r="C2395" s="2">
        <v>596.68870000000004</v>
      </c>
      <c r="D2395" s="2">
        <f>HYPERLINK("http://mcb-m6.bioreg.kyushu-u.ac.jp/M3/20110429/F51151/1565/1", 61.17)</f>
        <v>61.17</v>
      </c>
      <c r="E2395" s="2">
        <v>40.5</v>
      </c>
      <c r="F2395" s="2">
        <v>2</v>
      </c>
      <c r="G2395" s="2" t="s">
        <v>13</v>
      </c>
    </row>
    <row r="2396" spans="1:7" x14ac:dyDescent="0.2">
      <c r="A2396" s="2" t="s">
        <v>4167</v>
      </c>
      <c r="B2396" s="2" t="s">
        <v>3204</v>
      </c>
      <c r="C2396" s="2">
        <v>694.78269999999998</v>
      </c>
      <c r="D2396" s="2">
        <f>HYPERLINK("http://mcb-m6.bioreg.kyushu-u.ac.jp/M3/20110418/F50975/1740/1", 39.45)</f>
        <v>39.450000000000003</v>
      </c>
      <c r="E2396" s="2">
        <v>20.36</v>
      </c>
      <c r="F2396" s="2">
        <v>2</v>
      </c>
      <c r="G2396" s="2" t="s">
        <v>11</v>
      </c>
    </row>
    <row r="2397" spans="1:7" x14ac:dyDescent="0.2">
      <c r="A2397" s="2" t="s">
        <v>4167</v>
      </c>
      <c r="B2397" s="2" t="s">
        <v>3204</v>
      </c>
      <c r="C2397" s="2">
        <v>694.67859999999996</v>
      </c>
      <c r="D2397" s="2">
        <f>HYPERLINK("http://mcb-m6.bioreg.kyushu-u.ac.jp/M3/20110418/F50985/2042/1", 41.08)</f>
        <v>41.08</v>
      </c>
      <c r="E2397" s="2">
        <v>23.04</v>
      </c>
      <c r="F2397" s="2">
        <v>2</v>
      </c>
      <c r="G2397" s="2" t="s">
        <v>12</v>
      </c>
    </row>
    <row r="2398" spans="1:7" x14ac:dyDescent="0.2">
      <c r="A2398" s="2" t="s">
        <v>3932</v>
      </c>
      <c r="B2398" s="2" t="s">
        <v>1355</v>
      </c>
      <c r="C2398" s="2">
        <v>796.55219999999997</v>
      </c>
      <c r="D2398" s="2">
        <f>HYPERLINK("http://mcb-m6.bioreg.kyushu-u.ac.jp/M3/20110318/F50610/1834/1", 58.19)</f>
        <v>58.19</v>
      </c>
      <c r="E2398" s="2">
        <v>41.88</v>
      </c>
      <c r="F2398" s="2">
        <v>2</v>
      </c>
      <c r="G2398" s="2" t="s">
        <v>9</v>
      </c>
    </row>
    <row r="2399" spans="1:7" x14ac:dyDescent="0.2">
      <c r="A2399" s="2" t="s">
        <v>3932</v>
      </c>
      <c r="B2399" s="2" t="s">
        <v>1119</v>
      </c>
      <c r="C2399" s="2">
        <v>624.89760000000001</v>
      </c>
      <c r="D2399" s="2">
        <f>HYPERLINK("http://mcb-m6.bioreg.kyushu-u.ac.jp/M3/20110318/F50622/1126/1", 49.75)</f>
        <v>49.75</v>
      </c>
      <c r="E2399" s="2">
        <v>24.96</v>
      </c>
      <c r="F2399" s="2">
        <v>2</v>
      </c>
      <c r="G2399" s="2" t="s">
        <v>10</v>
      </c>
    </row>
    <row r="2400" spans="1:7" x14ac:dyDescent="0.2">
      <c r="A2400" s="2" t="s">
        <v>3932</v>
      </c>
      <c r="B2400" s="2" t="s">
        <v>1355</v>
      </c>
      <c r="C2400" s="2">
        <v>796.72019999999998</v>
      </c>
      <c r="D2400" s="2">
        <f>HYPERLINK("http://mcb-m6.bioreg.kyushu-u.ac.jp/M3/20110318/F50622/1715/1", 51.49)</f>
        <v>51.49</v>
      </c>
      <c r="E2400" s="2">
        <v>31.49</v>
      </c>
      <c r="F2400" s="2">
        <v>2</v>
      </c>
      <c r="G2400" s="2" t="s">
        <v>10</v>
      </c>
    </row>
    <row r="2401" spans="1:8" x14ac:dyDescent="0.2">
      <c r="A2401" s="2" t="s">
        <v>4009</v>
      </c>
      <c r="B2401" s="2" t="s">
        <v>2452</v>
      </c>
      <c r="C2401" s="2">
        <v>913.52260000000001</v>
      </c>
      <c r="D2401" s="2">
        <f>HYPERLINK("http://mcb-m6.bioreg.kyushu-u.ac.jp/M3/20110318/F50606/2081/1", 43.54)</f>
        <v>43.54</v>
      </c>
      <c r="E2401" s="2">
        <v>35.24</v>
      </c>
      <c r="F2401" s="2">
        <v>2</v>
      </c>
      <c r="G2401" s="2" t="s">
        <v>9</v>
      </c>
    </row>
    <row r="2402" spans="1:8" x14ac:dyDescent="0.2">
      <c r="A2402" s="2" t="s">
        <v>4009</v>
      </c>
      <c r="B2402" s="2" t="s">
        <v>5100</v>
      </c>
      <c r="C2402" s="2">
        <v>719.28920000000005</v>
      </c>
      <c r="D2402" s="2">
        <f>HYPERLINK("http://mcb-m6.bioreg.kyushu-u.ac.jp/M3/20110318/F50619/1382/1", 53.74)</f>
        <v>53.74</v>
      </c>
      <c r="E2402" s="2">
        <v>25.72</v>
      </c>
      <c r="F2402" s="2">
        <v>2</v>
      </c>
      <c r="G2402" s="2" t="s">
        <v>9</v>
      </c>
    </row>
    <row r="2403" spans="1:8" x14ac:dyDescent="0.2">
      <c r="A2403" s="2" t="s">
        <v>4009</v>
      </c>
      <c r="B2403" s="2" t="s">
        <v>5100</v>
      </c>
      <c r="C2403" s="2">
        <v>727.7577</v>
      </c>
      <c r="D2403" s="2">
        <f>HYPERLINK("http://mcb-m6.bioreg.kyushu-u.ac.jp/M3/20110318/F50619/1412/1", 59.9)</f>
        <v>59.9</v>
      </c>
      <c r="E2403" s="2">
        <v>44.83</v>
      </c>
      <c r="F2403" s="2">
        <v>2</v>
      </c>
      <c r="G2403" s="2" t="s">
        <v>9</v>
      </c>
      <c r="H2403" s="2" t="s">
        <v>4910</v>
      </c>
    </row>
    <row r="2404" spans="1:8" x14ac:dyDescent="0.2">
      <c r="A2404" s="2" t="s">
        <v>4009</v>
      </c>
      <c r="B2404" s="2" t="s">
        <v>2452</v>
      </c>
      <c r="C2404" s="2">
        <v>913.20320000000004</v>
      </c>
      <c r="D2404" s="2">
        <f>HYPERLINK("http://mcb-m6.bioreg.kyushu-u.ac.jp/M3/20110318/F50619/2029/1", 63.16)</f>
        <v>63.16</v>
      </c>
      <c r="E2404" s="2">
        <v>50.05</v>
      </c>
      <c r="F2404" s="2">
        <v>2</v>
      </c>
      <c r="G2404" s="2" t="s">
        <v>9</v>
      </c>
    </row>
    <row r="2405" spans="1:8" x14ac:dyDescent="0.2">
      <c r="A2405" s="2" t="s">
        <v>4009</v>
      </c>
      <c r="B2405" s="2" t="s">
        <v>1304</v>
      </c>
      <c r="C2405" s="2">
        <v>787.79769999999996</v>
      </c>
      <c r="D2405" s="2">
        <f>HYPERLINK("http://mcb-m6.bioreg.kyushu-u.ac.jp/M3/20110318/F50619/1668/1", 75.88)</f>
        <v>75.88</v>
      </c>
      <c r="E2405" s="2">
        <v>50.57</v>
      </c>
      <c r="F2405" s="2">
        <v>2</v>
      </c>
      <c r="G2405" s="2" t="s">
        <v>9</v>
      </c>
    </row>
    <row r="2406" spans="1:8" x14ac:dyDescent="0.2">
      <c r="A2406" s="2" t="s">
        <v>4009</v>
      </c>
      <c r="B2406" s="2" t="s">
        <v>2452</v>
      </c>
      <c r="C2406" s="2">
        <v>913.72810000000004</v>
      </c>
      <c r="D2406" s="2">
        <f>HYPERLINK("http://mcb-m6.bioreg.kyushu-u.ac.jp/M3/20110318/F50619/2032/1", 81.29)</f>
        <v>81.290000000000006</v>
      </c>
      <c r="E2406" s="2">
        <v>66.319999999999993</v>
      </c>
      <c r="F2406" s="2">
        <v>2</v>
      </c>
      <c r="G2406" s="2" t="s">
        <v>9</v>
      </c>
    </row>
    <row r="2407" spans="1:8" x14ac:dyDescent="0.2">
      <c r="A2407" s="2" t="s">
        <v>4009</v>
      </c>
      <c r="B2407" s="2" t="s">
        <v>1304</v>
      </c>
      <c r="C2407" s="2">
        <v>788.23770000000002</v>
      </c>
      <c r="D2407" s="2">
        <f>HYPERLINK("http://mcb-m6.bioreg.kyushu-u.ac.jp/M3/20110418/F50975/2339/1", 50.84)</f>
        <v>50.84</v>
      </c>
      <c r="E2407" s="2">
        <v>38.869999999999997</v>
      </c>
      <c r="F2407" s="2">
        <v>2</v>
      </c>
      <c r="G2407" s="2" t="s">
        <v>11</v>
      </c>
    </row>
    <row r="2408" spans="1:8" x14ac:dyDescent="0.2">
      <c r="A2408" s="2" t="s">
        <v>4009</v>
      </c>
      <c r="B2408" s="2" t="s">
        <v>5100</v>
      </c>
      <c r="C2408" s="2">
        <v>719.64469999999994</v>
      </c>
      <c r="D2408" s="2">
        <f>HYPERLINK("http://mcb-m6.bioreg.kyushu-u.ac.jp/M3/20110418/F50975/1909/1", 57.99)</f>
        <v>57.99</v>
      </c>
      <c r="E2408" s="2">
        <v>26.24</v>
      </c>
      <c r="F2408" s="2">
        <v>2</v>
      </c>
      <c r="G2408" s="2" t="s">
        <v>11</v>
      </c>
    </row>
    <row r="2409" spans="1:8" x14ac:dyDescent="0.2">
      <c r="A2409" s="2" t="s">
        <v>4009</v>
      </c>
      <c r="B2409" s="2" t="s">
        <v>1304</v>
      </c>
      <c r="C2409" s="2">
        <v>787.77919999999995</v>
      </c>
      <c r="D2409" s="2">
        <f>HYPERLINK("http://mcb-m6.bioreg.kyushu-u.ac.jp/M3/20110418/F50975/2337/1", 73.08)</f>
        <v>73.08</v>
      </c>
      <c r="E2409" s="2">
        <v>58.35</v>
      </c>
      <c r="F2409" s="2">
        <v>2</v>
      </c>
      <c r="G2409" s="2" t="s">
        <v>11</v>
      </c>
    </row>
    <row r="2410" spans="1:8" x14ac:dyDescent="0.2">
      <c r="A2410" s="2" t="s">
        <v>4009</v>
      </c>
      <c r="B2410" s="2" t="s">
        <v>2452</v>
      </c>
      <c r="C2410" s="2">
        <v>914.09969999999998</v>
      </c>
      <c r="D2410" s="2">
        <f>HYPERLINK("http://mcb-m6.bioreg.kyushu-u.ac.jp/M3/20110502/F51158/2821/1", 73.41)</f>
        <v>73.41</v>
      </c>
      <c r="E2410" s="2">
        <v>57.31</v>
      </c>
      <c r="F2410" s="2">
        <v>2</v>
      </c>
      <c r="G2410" s="2" t="s">
        <v>13</v>
      </c>
    </row>
    <row r="2411" spans="1:8" x14ac:dyDescent="0.2">
      <c r="A2411" s="2" t="s">
        <v>4009</v>
      </c>
      <c r="B2411" s="2" t="s">
        <v>1304</v>
      </c>
      <c r="C2411" s="2">
        <v>788.49620000000004</v>
      </c>
      <c r="D2411" s="2">
        <f>HYPERLINK("http://mcb-m6.bioreg.kyushu-u.ac.jp/M3/20110502/F51158/2158/1", 73.49)</f>
        <v>73.489999999999995</v>
      </c>
      <c r="E2411" s="2">
        <v>60.31</v>
      </c>
      <c r="F2411" s="2">
        <v>2</v>
      </c>
      <c r="G2411" s="2" t="s">
        <v>13</v>
      </c>
    </row>
    <row r="2412" spans="1:8" x14ac:dyDescent="0.2">
      <c r="A2412" s="2" t="s">
        <v>4009</v>
      </c>
      <c r="B2412" s="2" t="s">
        <v>2452</v>
      </c>
      <c r="C2412" s="2">
        <v>914.10310000000004</v>
      </c>
      <c r="D2412" s="2">
        <f>HYPERLINK("http://mcb-m6.bioreg.kyushu-u.ac.jp/M3/20110502/F51159/2706/1", 53.41)</f>
        <v>53.41</v>
      </c>
      <c r="E2412" s="2">
        <v>44.89</v>
      </c>
      <c r="F2412" s="2">
        <v>2</v>
      </c>
      <c r="G2412" s="2" t="s">
        <v>14</v>
      </c>
    </row>
    <row r="2413" spans="1:8" x14ac:dyDescent="0.2">
      <c r="A2413" s="2" t="s">
        <v>4009</v>
      </c>
      <c r="B2413" s="2" t="s">
        <v>2452</v>
      </c>
      <c r="C2413" s="2">
        <v>914.01070000000004</v>
      </c>
      <c r="D2413" s="2">
        <f>HYPERLINK("http://mcb-m6.bioreg.kyushu-u.ac.jp/M3/20110502/F51160/2499/1", 69.87)</f>
        <v>69.87</v>
      </c>
      <c r="E2413" s="2">
        <v>59.89</v>
      </c>
      <c r="F2413" s="2">
        <v>2</v>
      </c>
      <c r="G2413" s="2" t="s">
        <v>14</v>
      </c>
    </row>
    <row r="2414" spans="1:8" x14ac:dyDescent="0.2">
      <c r="A2414" s="2" t="s">
        <v>4257</v>
      </c>
      <c r="B2414" s="2" t="s">
        <v>4998</v>
      </c>
      <c r="C2414" s="2">
        <v>729.4665</v>
      </c>
      <c r="D2414" s="2">
        <f>HYPERLINK("http://mcb-m6.bioreg.kyushu-u.ac.jp/M3/20110318/F50606/2572/1", 36.2)</f>
        <v>36.200000000000003</v>
      </c>
      <c r="E2414" s="2">
        <v>21.7</v>
      </c>
      <c r="F2414" s="2">
        <v>3</v>
      </c>
      <c r="G2414" s="2" t="s">
        <v>9</v>
      </c>
    </row>
    <row r="2415" spans="1:8" x14ac:dyDescent="0.2">
      <c r="A2415" s="2" t="s">
        <v>4257</v>
      </c>
      <c r="B2415" s="2" t="s">
        <v>1899</v>
      </c>
      <c r="C2415" s="2">
        <v>782.87220000000002</v>
      </c>
      <c r="D2415" s="2">
        <f>HYPERLINK("http://mcb-m6.bioreg.kyushu-u.ac.jp/M3/20110318/F50608/1711/1", 39.43)</f>
        <v>39.43</v>
      </c>
      <c r="E2415" s="2">
        <v>26.23</v>
      </c>
      <c r="F2415" s="2">
        <v>2</v>
      </c>
      <c r="G2415" s="2" t="s">
        <v>9</v>
      </c>
    </row>
    <row r="2416" spans="1:8" x14ac:dyDescent="0.2">
      <c r="A2416" s="2" t="s">
        <v>4257</v>
      </c>
      <c r="B2416" s="2" t="s">
        <v>1899</v>
      </c>
      <c r="C2416" s="2">
        <v>782.78020000000004</v>
      </c>
      <c r="D2416" s="2">
        <f>HYPERLINK("http://mcb-m6.bioreg.kyushu-u.ac.jp/M3/20110318/F50620/1911/1", 49.96)</f>
        <v>49.96</v>
      </c>
      <c r="E2416" s="2">
        <v>34.9</v>
      </c>
      <c r="F2416" s="2">
        <v>2</v>
      </c>
      <c r="G2416" s="2" t="s">
        <v>9</v>
      </c>
    </row>
    <row r="2417" spans="1:9" x14ac:dyDescent="0.2">
      <c r="A2417" s="2" t="s">
        <v>4257</v>
      </c>
      <c r="B2417" s="2" t="s">
        <v>4998</v>
      </c>
      <c r="C2417" s="2">
        <v>728.93349999999998</v>
      </c>
      <c r="D2417" s="2">
        <f>HYPERLINK("http://mcb-m6.bioreg.kyushu-u.ac.jp/M3/20110318/F50619/2566/1", 55.78)</f>
        <v>55.78</v>
      </c>
      <c r="E2417" s="2">
        <v>41.38</v>
      </c>
      <c r="F2417" s="2">
        <v>3</v>
      </c>
      <c r="G2417" s="2" t="s">
        <v>9</v>
      </c>
    </row>
    <row r="2418" spans="1:9" x14ac:dyDescent="0.2">
      <c r="A2418" s="2" t="s">
        <v>4257</v>
      </c>
      <c r="B2418" s="2" t="s">
        <v>5175</v>
      </c>
      <c r="C2418" s="2">
        <v>689.2482</v>
      </c>
      <c r="D2418" s="2">
        <f>HYPERLINK("http://mcb-m6.bioreg.kyushu-u.ac.jp/M3/20110318/F50619/1283/1", 79.75)</f>
        <v>79.75</v>
      </c>
      <c r="E2418" s="2">
        <v>56.76</v>
      </c>
      <c r="F2418" s="2">
        <v>2</v>
      </c>
      <c r="G2418" s="2" t="s">
        <v>9</v>
      </c>
      <c r="I2418" s="2" t="s">
        <v>4926</v>
      </c>
    </row>
    <row r="2419" spans="1:9" x14ac:dyDescent="0.2">
      <c r="A2419" s="2" t="s">
        <v>4257</v>
      </c>
      <c r="B2419" s="2" t="s">
        <v>1899</v>
      </c>
      <c r="C2419" s="2">
        <v>782.93520000000001</v>
      </c>
      <c r="D2419" s="2">
        <f>HYPERLINK("http://mcb-m6.bioreg.kyushu-u.ac.jp/M3/20110418/F50975/2302/1", 47.55)</f>
        <v>47.55</v>
      </c>
      <c r="E2419" s="2">
        <v>34.76</v>
      </c>
      <c r="F2419" s="2">
        <v>2</v>
      </c>
      <c r="G2419" s="2" t="s">
        <v>11</v>
      </c>
    </row>
    <row r="2420" spans="1:9" x14ac:dyDescent="0.2">
      <c r="A2420" s="2" t="s">
        <v>4257</v>
      </c>
      <c r="B2420" s="2" t="s">
        <v>1899</v>
      </c>
      <c r="C2420" s="2">
        <v>783.00819999999999</v>
      </c>
      <c r="D2420" s="2">
        <f>HYPERLINK("http://mcb-m6.bioreg.kyushu-u.ac.jp/M3/20110502/F51158/2121/1", 60.32)</f>
        <v>60.32</v>
      </c>
      <c r="E2420" s="2">
        <v>41.99</v>
      </c>
      <c r="F2420" s="2">
        <v>2</v>
      </c>
      <c r="G2420" s="2" t="s">
        <v>13</v>
      </c>
    </row>
    <row r="2421" spans="1:9" x14ac:dyDescent="0.2">
      <c r="A2421" s="2" t="s">
        <v>4257</v>
      </c>
      <c r="B2421" s="2" t="s">
        <v>5175</v>
      </c>
      <c r="C2421" s="2">
        <v>689.89760000000001</v>
      </c>
      <c r="D2421" s="2">
        <f>HYPERLINK("http://mcb-m6.bioreg.kyushu-u.ac.jp/M3/20110502/F51158/1632/1", 70.18)</f>
        <v>70.180000000000007</v>
      </c>
      <c r="E2421" s="2">
        <v>52.86</v>
      </c>
      <c r="F2421" s="2">
        <v>2</v>
      </c>
      <c r="G2421" s="2" t="s">
        <v>13</v>
      </c>
      <c r="I2421" s="2" t="s">
        <v>4926</v>
      </c>
    </row>
    <row r="2422" spans="1:9" x14ac:dyDescent="0.2">
      <c r="A2422" s="2" t="s">
        <v>4112</v>
      </c>
      <c r="B2422" s="2" t="s">
        <v>1599</v>
      </c>
      <c r="C2422" s="2">
        <v>939.19870000000003</v>
      </c>
      <c r="D2422" s="2">
        <f>HYPERLINK("http://mcb-m6.bioreg.kyushu-u.ac.jp/M3/20110318/F50619/2093/1", 87.29)</f>
        <v>87.29</v>
      </c>
      <c r="E2422" s="2">
        <v>69.37</v>
      </c>
      <c r="F2422" s="2">
        <v>2</v>
      </c>
      <c r="G2422" s="2" t="s">
        <v>9</v>
      </c>
    </row>
    <row r="2423" spans="1:9" x14ac:dyDescent="0.2">
      <c r="A2423" s="2" t="s">
        <v>4112</v>
      </c>
      <c r="B2423" s="2" t="s">
        <v>1599</v>
      </c>
      <c r="C2423" s="2">
        <v>939.33870000000002</v>
      </c>
      <c r="D2423" s="2">
        <f>HYPERLINK("http://mcb-m6.bioreg.kyushu-u.ac.jp/M3/20110418/F50975/3148/1", 87.83)</f>
        <v>87.83</v>
      </c>
      <c r="E2423" s="2">
        <v>71.13</v>
      </c>
      <c r="F2423" s="2">
        <v>2</v>
      </c>
      <c r="G2423" s="2" t="s">
        <v>11</v>
      </c>
    </row>
    <row r="2424" spans="1:9" x14ac:dyDescent="0.2">
      <c r="A2424" s="2" t="s">
        <v>4112</v>
      </c>
      <c r="B2424" s="2" t="s">
        <v>1599</v>
      </c>
      <c r="C2424" s="2">
        <v>939.47919999999999</v>
      </c>
      <c r="D2424" s="2">
        <f>HYPERLINK("http://mcb-m6.bioreg.kyushu-u.ac.jp/M3/20110502/F51158/2908/1", 90.74)</f>
        <v>90.74</v>
      </c>
      <c r="E2424" s="2">
        <v>76.02</v>
      </c>
      <c r="F2424" s="2">
        <v>2</v>
      </c>
      <c r="G2424" s="2" t="s">
        <v>13</v>
      </c>
    </row>
    <row r="2425" spans="1:9" x14ac:dyDescent="0.2">
      <c r="A2425" s="2" t="s">
        <v>4008</v>
      </c>
      <c r="B2425" s="2" t="s">
        <v>1303</v>
      </c>
      <c r="C2425" s="2">
        <v>851.85670000000005</v>
      </c>
      <c r="D2425" s="2">
        <f>HYPERLINK("http://mcb-m6.bioreg.kyushu-u.ac.jp/M3/20110318/F50619/1845/1", 78.03)</f>
        <v>78.03</v>
      </c>
      <c r="E2425" s="2">
        <v>45.67</v>
      </c>
      <c r="F2425" s="2">
        <v>2</v>
      </c>
      <c r="G2425" s="2" t="s">
        <v>9</v>
      </c>
    </row>
    <row r="2426" spans="1:9" x14ac:dyDescent="0.2">
      <c r="A2426" s="2" t="s">
        <v>4008</v>
      </c>
      <c r="B2426" s="2" t="s">
        <v>1605</v>
      </c>
      <c r="C2426" s="2">
        <v>957.82420000000002</v>
      </c>
      <c r="D2426" s="2">
        <f>HYPERLINK("http://mcb-m6.bioreg.kyushu-u.ac.jp/M3/20110318/F50619/2144/1", 88.13)</f>
        <v>88.13</v>
      </c>
      <c r="E2426" s="2">
        <v>68.55</v>
      </c>
      <c r="F2426" s="2">
        <v>2</v>
      </c>
      <c r="G2426" s="2" t="s">
        <v>9</v>
      </c>
    </row>
    <row r="2427" spans="1:9" x14ac:dyDescent="0.2">
      <c r="A2427" s="2" t="s">
        <v>4008</v>
      </c>
      <c r="B2427" s="2" t="s">
        <v>1303</v>
      </c>
      <c r="C2427" s="2">
        <v>852.28309999999999</v>
      </c>
      <c r="D2427" s="2">
        <f>HYPERLINK("http://mcb-m6.bioreg.kyushu-u.ac.jp/M3/20110418/F50975/2712/1", 79.91)</f>
        <v>79.91</v>
      </c>
      <c r="E2427" s="2">
        <v>59.16</v>
      </c>
      <c r="F2427" s="2">
        <v>2</v>
      </c>
      <c r="G2427" s="2" t="s">
        <v>11</v>
      </c>
    </row>
    <row r="2428" spans="1:9" x14ac:dyDescent="0.2">
      <c r="A2428" s="2" t="s">
        <v>4008</v>
      </c>
      <c r="B2428" s="2" t="s">
        <v>1605</v>
      </c>
      <c r="C2428" s="2">
        <v>957.8347</v>
      </c>
      <c r="D2428" s="2">
        <f>HYPERLINK("http://mcb-m6.bioreg.kyushu-u.ac.jp/M3/20110418/F50975/3227/1", 102.36)</f>
        <v>102.36</v>
      </c>
      <c r="E2428" s="2">
        <v>87.32</v>
      </c>
      <c r="F2428" s="2">
        <v>2</v>
      </c>
      <c r="G2428" s="2" t="s">
        <v>11</v>
      </c>
    </row>
    <row r="2429" spans="1:9" x14ac:dyDescent="0.2">
      <c r="A2429" s="2" t="s">
        <v>4008</v>
      </c>
      <c r="B2429" s="2" t="s">
        <v>1605</v>
      </c>
      <c r="C2429" s="2">
        <v>958.34469999999999</v>
      </c>
      <c r="D2429" s="2">
        <f>HYPERLINK("http://mcb-m6.bioreg.kyushu-u.ac.jp/M3/20110418/F50975/3230/1", 102.36)</f>
        <v>102.36</v>
      </c>
      <c r="E2429" s="2">
        <v>90.72</v>
      </c>
      <c r="F2429" s="2">
        <v>2</v>
      </c>
      <c r="G2429" s="2" t="s">
        <v>11</v>
      </c>
    </row>
    <row r="2430" spans="1:9" x14ac:dyDescent="0.2">
      <c r="A2430" s="2" t="s">
        <v>4008</v>
      </c>
      <c r="B2430" s="2" t="s">
        <v>1605</v>
      </c>
      <c r="C2430" s="2">
        <v>958.1866</v>
      </c>
      <c r="D2430" s="2">
        <f>HYPERLINK("http://mcb-m6.bioreg.kyushu-u.ac.jp/M3/20110502/F51158/2977/1", 117.23)</f>
        <v>117.23</v>
      </c>
      <c r="E2430" s="2">
        <v>102.32</v>
      </c>
      <c r="F2430" s="2">
        <v>2</v>
      </c>
      <c r="G2430" s="2" t="s">
        <v>13</v>
      </c>
    </row>
    <row r="2431" spans="1:9" x14ac:dyDescent="0.2">
      <c r="A2431" s="2" t="s">
        <v>5596</v>
      </c>
      <c r="B2431" s="2" t="s">
        <v>4985</v>
      </c>
      <c r="C2431" s="2">
        <v>676.69349999999997</v>
      </c>
      <c r="D2431" s="2">
        <f>HYPERLINK("http://mcb-m6.bioreg.kyushu-u.ac.jp/M3/20110318/F50604/2164/1", 35.04)</f>
        <v>35.04</v>
      </c>
      <c r="E2431" s="2">
        <v>12.35</v>
      </c>
      <c r="F2431" s="2">
        <v>3</v>
      </c>
      <c r="G2431" s="2" t="s">
        <v>4984</v>
      </c>
      <c r="H2431" s="2" t="s">
        <v>4907</v>
      </c>
    </row>
    <row r="2432" spans="1:9" x14ac:dyDescent="0.2">
      <c r="A2432" s="2" t="s">
        <v>4396</v>
      </c>
      <c r="B2432" s="2" t="s">
        <v>2245</v>
      </c>
      <c r="C2432" s="2">
        <v>464.2011</v>
      </c>
      <c r="D2432" s="2">
        <f>HYPERLINK("http://mcb-m6.bioreg.kyushu-u.ac.jp/M3/20110429/F51149/1312/1", 35.46)</f>
        <v>35.46</v>
      </c>
      <c r="E2432" s="2">
        <v>14.36</v>
      </c>
      <c r="F2432" s="2">
        <v>2</v>
      </c>
      <c r="G2432" s="2" t="s">
        <v>13</v>
      </c>
    </row>
    <row r="2433" spans="1:9" x14ac:dyDescent="0.2">
      <c r="A2433" s="2" t="s">
        <v>3640</v>
      </c>
      <c r="B2433" s="2" t="s">
        <v>559</v>
      </c>
      <c r="C2433" s="2">
        <v>492.87759999999997</v>
      </c>
      <c r="D2433" s="2">
        <f>HYPERLINK("http://mcb-m6.bioreg.kyushu-u.ac.jp/M3/20110318/F50609/1157/1", 55.65)</f>
        <v>55.65</v>
      </c>
      <c r="E2433" s="2">
        <v>34.17</v>
      </c>
      <c r="F2433" s="2">
        <v>2</v>
      </c>
      <c r="G2433" s="2" t="s">
        <v>9</v>
      </c>
    </row>
    <row r="2434" spans="1:9" x14ac:dyDescent="0.2">
      <c r="A2434" s="2" t="s">
        <v>3640</v>
      </c>
      <c r="B2434" s="2" t="s">
        <v>2096</v>
      </c>
      <c r="C2434" s="2">
        <v>751.87869999999998</v>
      </c>
      <c r="D2434" s="2">
        <f>HYPERLINK("http://mcb-m6.bioreg.kyushu-u.ac.jp/M3/20110318/F50600/1621/1", 43.46)</f>
        <v>43.46</v>
      </c>
      <c r="E2434" s="2">
        <v>30.33</v>
      </c>
      <c r="F2434" s="2">
        <v>2</v>
      </c>
      <c r="G2434" s="2" t="s">
        <v>10</v>
      </c>
      <c r="I2434" s="2" t="s">
        <v>4895</v>
      </c>
    </row>
    <row r="2435" spans="1:9" x14ac:dyDescent="0.2">
      <c r="A2435" s="2" t="s">
        <v>3640</v>
      </c>
      <c r="B2435" s="2" t="s">
        <v>559</v>
      </c>
      <c r="C2435" s="2">
        <v>967.66200000000003</v>
      </c>
      <c r="D2435" s="2">
        <f>HYPERLINK("http://mcb-m6.bioreg.kyushu-u.ac.jp/M3/20110429/F51149/1353/1", 37.1)</f>
        <v>37.1</v>
      </c>
      <c r="E2435" s="2">
        <v>23.65</v>
      </c>
      <c r="F2435" s="2">
        <v>1</v>
      </c>
      <c r="G2435" s="2" t="s">
        <v>13</v>
      </c>
      <c r="H2435" s="2" t="s">
        <v>4904</v>
      </c>
    </row>
    <row r="2436" spans="1:9" x14ac:dyDescent="0.2">
      <c r="A2436" s="2" t="s">
        <v>3640</v>
      </c>
      <c r="B2436" s="2" t="s">
        <v>559</v>
      </c>
      <c r="C2436" s="2">
        <v>492.99310000000003</v>
      </c>
      <c r="D2436" s="2">
        <f>HYPERLINK("http://mcb-m6.bioreg.kyushu-u.ac.jp/M3/20110429/F51149/1377/1", 37.41)</f>
        <v>37.409999999999997</v>
      </c>
      <c r="E2436" s="2">
        <v>17.84</v>
      </c>
      <c r="F2436" s="2">
        <v>2</v>
      </c>
      <c r="G2436" s="2" t="s">
        <v>13</v>
      </c>
    </row>
    <row r="2437" spans="1:9" x14ac:dyDescent="0.2">
      <c r="A2437" s="2" t="s">
        <v>3716</v>
      </c>
      <c r="B2437" s="2" t="s">
        <v>5333</v>
      </c>
      <c r="C2437" s="2">
        <v>984.06410000000005</v>
      </c>
      <c r="D2437" s="2">
        <f>HYPERLINK("http://mcb-m6.bioreg.kyushu-u.ac.jp/M3/20110318/F50611/2409/1", 66.62)</f>
        <v>66.62</v>
      </c>
      <c r="E2437" s="2">
        <v>46.71</v>
      </c>
      <c r="F2437" s="2">
        <v>2</v>
      </c>
      <c r="G2437" s="2" t="s">
        <v>10</v>
      </c>
      <c r="I2437" s="2" t="s">
        <v>4905</v>
      </c>
    </row>
    <row r="2438" spans="1:9" x14ac:dyDescent="0.2">
      <c r="A2438" s="2" t="s">
        <v>3949</v>
      </c>
      <c r="B2438" s="2" t="s">
        <v>2180</v>
      </c>
      <c r="C2438" s="2">
        <v>627.35270000000003</v>
      </c>
      <c r="D2438" s="2">
        <f>HYPERLINK("http://mcb-m6.bioreg.kyushu-u.ac.jp/M3/20110318/F50610/1462/1", 40.74)</f>
        <v>40.74</v>
      </c>
      <c r="E2438" s="2">
        <v>13.95</v>
      </c>
      <c r="F2438" s="2">
        <v>2</v>
      </c>
      <c r="G2438" s="2" t="s">
        <v>9</v>
      </c>
    </row>
    <row r="2439" spans="1:9" x14ac:dyDescent="0.2">
      <c r="A2439" s="2" t="s">
        <v>3949</v>
      </c>
      <c r="B2439" s="2" t="s">
        <v>2435</v>
      </c>
      <c r="C2439" s="2">
        <v>546.38459999999998</v>
      </c>
      <c r="D2439" s="2">
        <f>HYPERLINK("http://mcb-m6.bioreg.kyushu-u.ac.jp/M3/20110318/F50610/1396/1", 56.94)</f>
        <v>56.94</v>
      </c>
      <c r="E2439" s="2">
        <v>33.83</v>
      </c>
      <c r="F2439" s="2">
        <v>2</v>
      </c>
      <c r="G2439" s="2" t="s">
        <v>9</v>
      </c>
    </row>
    <row r="2440" spans="1:9" x14ac:dyDescent="0.2">
      <c r="A2440" s="2" t="s">
        <v>3949</v>
      </c>
      <c r="B2440" s="2" t="s">
        <v>1362</v>
      </c>
      <c r="C2440" s="2">
        <v>719.88620000000003</v>
      </c>
      <c r="D2440" s="2">
        <f>HYPERLINK("http://mcb-m6.bioreg.kyushu-u.ac.jp/M3/20110318/F50610/1629/1", 76.15)</f>
        <v>76.150000000000006</v>
      </c>
      <c r="E2440" s="2">
        <v>61.97</v>
      </c>
      <c r="F2440" s="2">
        <v>2</v>
      </c>
      <c r="G2440" s="2" t="s">
        <v>9</v>
      </c>
    </row>
    <row r="2441" spans="1:9" x14ac:dyDescent="0.2">
      <c r="A2441" s="2" t="s">
        <v>3949</v>
      </c>
      <c r="B2441" s="2" t="s">
        <v>1222</v>
      </c>
      <c r="C2441" s="2">
        <v>691.51819999999998</v>
      </c>
      <c r="D2441" s="2">
        <f>HYPERLINK("http://mcb-m6.bioreg.kyushu-u.ac.jp/M3/20110318/F50610/1573/1", 92.13)</f>
        <v>92.13</v>
      </c>
      <c r="E2441" s="2">
        <v>73.150000000000006</v>
      </c>
      <c r="F2441" s="2">
        <v>2</v>
      </c>
      <c r="G2441" s="2" t="s">
        <v>9</v>
      </c>
    </row>
    <row r="2442" spans="1:9" x14ac:dyDescent="0.2">
      <c r="A2442" s="2" t="s">
        <v>3949</v>
      </c>
      <c r="B2442" s="2" t="s">
        <v>2435</v>
      </c>
      <c r="C2442" s="2">
        <v>546.79669999999999</v>
      </c>
      <c r="D2442" s="2">
        <f>HYPERLINK("http://mcb-m6.bioreg.kyushu-u.ac.jp/M3/20110318/F50622/1024/1", 49.96)</f>
        <v>49.96</v>
      </c>
      <c r="E2442" s="2">
        <v>17.850000000000001</v>
      </c>
      <c r="F2442" s="2">
        <v>2</v>
      </c>
      <c r="G2442" s="2" t="s">
        <v>10</v>
      </c>
    </row>
    <row r="2443" spans="1:9" x14ac:dyDescent="0.2">
      <c r="A2443" s="2" t="s">
        <v>3949</v>
      </c>
      <c r="B2443" s="2" t="s">
        <v>2180</v>
      </c>
      <c r="C2443" s="2">
        <v>627.33370000000002</v>
      </c>
      <c r="D2443" s="2">
        <f>HYPERLINK("http://mcb-m6.bioreg.kyushu-u.ac.jp/M3/20110318/F50622/1129/1", 56.7)</f>
        <v>56.7</v>
      </c>
      <c r="E2443" s="2">
        <v>30.99</v>
      </c>
      <c r="F2443" s="2">
        <v>2</v>
      </c>
      <c r="G2443" s="2" t="s">
        <v>10</v>
      </c>
    </row>
    <row r="2444" spans="1:9" x14ac:dyDescent="0.2">
      <c r="A2444" s="2" t="s">
        <v>3949</v>
      </c>
      <c r="B2444" s="2" t="s">
        <v>1151</v>
      </c>
      <c r="C2444" s="2">
        <v>847.36159999999995</v>
      </c>
      <c r="D2444" s="2">
        <f>HYPERLINK("http://mcb-m6.bioreg.kyushu-u.ac.jp/M3/20110318/F50622/1853/1", 62.84)</f>
        <v>62.84</v>
      </c>
      <c r="E2444" s="2">
        <v>44.43</v>
      </c>
      <c r="F2444" s="2">
        <v>2</v>
      </c>
      <c r="G2444" s="2" t="s">
        <v>10</v>
      </c>
    </row>
    <row r="2445" spans="1:9" x14ac:dyDescent="0.2">
      <c r="A2445" s="2" t="s">
        <v>3949</v>
      </c>
      <c r="B2445" s="2" t="s">
        <v>2435</v>
      </c>
      <c r="C2445" s="2">
        <v>546.02760000000001</v>
      </c>
      <c r="D2445" s="2">
        <f>HYPERLINK("http://mcb-m6.bioreg.kyushu-u.ac.jp/M3/20110418/F50969/1597/1", 42.28)</f>
        <v>42.28</v>
      </c>
      <c r="E2445" s="2">
        <v>24</v>
      </c>
      <c r="F2445" s="2">
        <v>2</v>
      </c>
      <c r="G2445" s="2" t="s">
        <v>11</v>
      </c>
    </row>
    <row r="2446" spans="1:9" x14ac:dyDescent="0.2">
      <c r="A2446" s="2" t="s">
        <v>3949</v>
      </c>
      <c r="B2446" s="2" t="s">
        <v>1362</v>
      </c>
      <c r="C2446" s="2">
        <v>720.20420000000001</v>
      </c>
      <c r="D2446" s="2">
        <f>HYPERLINK("http://mcb-m6.bioreg.kyushu-u.ac.jp/M3/20110418/F50969/2048/1", 99.29)</f>
        <v>99.29</v>
      </c>
      <c r="E2446" s="2">
        <v>82.34</v>
      </c>
      <c r="F2446" s="2">
        <v>2</v>
      </c>
      <c r="G2446" s="2" t="s">
        <v>11</v>
      </c>
    </row>
    <row r="2447" spans="1:9" x14ac:dyDescent="0.2">
      <c r="A2447" s="2" t="s">
        <v>3949</v>
      </c>
      <c r="B2447" s="2" t="s">
        <v>1362</v>
      </c>
      <c r="C2447" s="2">
        <v>719.85170000000005</v>
      </c>
      <c r="D2447" s="2">
        <f>HYPERLINK("http://mcb-m6.bioreg.kyushu-u.ac.jp/M3/20110418/F50980/2032/1", 63.84)</f>
        <v>63.84</v>
      </c>
      <c r="E2447" s="2">
        <v>50.27</v>
      </c>
      <c r="F2447" s="2">
        <v>2</v>
      </c>
      <c r="G2447" s="2" t="s">
        <v>12</v>
      </c>
    </row>
    <row r="2448" spans="1:9" x14ac:dyDescent="0.2">
      <c r="A2448" s="2" t="s">
        <v>3949</v>
      </c>
      <c r="B2448" s="2" t="s">
        <v>1151</v>
      </c>
      <c r="C2448" s="2">
        <v>847.60419999999999</v>
      </c>
      <c r="D2448" s="2">
        <f>HYPERLINK("http://mcb-m6.bioreg.kyushu-u.ac.jp/M3/20110428/F51146/2480/1", 56.59)</f>
        <v>56.59</v>
      </c>
      <c r="E2448" s="2">
        <v>33.97</v>
      </c>
      <c r="F2448" s="2">
        <v>2</v>
      </c>
      <c r="G2448" s="2" t="s">
        <v>13</v>
      </c>
    </row>
    <row r="2449" spans="1:9" x14ac:dyDescent="0.2">
      <c r="A2449" s="2" t="s">
        <v>3949</v>
      </c>
      <c r="B2449" s="2" t="s">
        <v>2435</v>
      </c>
      <c r="C2449" s="2">
        <v>546.84519999999998</v>
      </c>
      <c r="D2449" s="2">
        <f>HYPERLINK("http://mcb-m6.bioreg.kyushu-u.ac.jp/M3/20110428/F51146/1390/1", 62.59)</f>
        <v>62.59</v>
      </c>
      <c r="E2449" s="2">
        <v>37.68</v>
      </c>
      <c r="F2449" s="2">
        <v>2</v>
      </c>
      <c r="G2449" s="2" t="s">
        <v>13</v>
      </c>
    </row>
    <row r="2450" spans="1:9" x14ac:dyDescent="0.2">
      <c r="A2450" s="2" t="s">
        <v>3949</v>
      </c>
      <c r="B2450" s="2" t="s">
        <v>1222</v>
      </c>
      <c r="C2450" s="2">
        <v>691.67409999999995</v>
      </c>
      <c r="D2450" s="2">
        <f>HYPERLINK("http://mcb-m6.bioreg.kyushu-u.ac.jp/M3/20110428/F51146/1871/1", 78.8)</f>
        <v>78.8</v>
      </c>
      <c r="E2450" s="2">
        <v>56.8</v>
      </c>
      <c r="F2450" s="2">
        <v>2</v>
      </c>
      <c r="G2450" s="2" t="s">
        <v>13</v>
      </c>
    </row>
    <row r="2451" spans="1:9" x14ac:dyDescent="0.2">
      <c r="A2451" s="2" t="s">
        <v>3949</v>
      </c>
      <c r="B2451" s="2" t="s">
        <v>1362</v>
      </c>
      <c r="C2451" s="2">
        <v>720.29859999999996</v>
      </c>
      <c r="D2451" s="2">
        <f>HYPERLINK("http://mcb-m6.bioreg.kyushu-u.ac.jp/M3/20110428/F51146/1996/1", 82.35)</f>
        <v>82.35</v>
      </c>
      <c r="E2451" s="2">
        <v>58.2</v>
      </c>
      <c r="F2451" s="2">
        <v>2</v>
      </c>
      <c r="G2451" s="2" t="s">
        <v>13</v>
      </c>
    </row>
    <row r="2452" spans="1:9" x14ac:dyDescent="0.2">
      <c r="A2452" s="2" t="s">
        <v>3949</v>
      </c>
      <c r="B2452" s="2" t="s">
        <v>1362</v>
      </c>
      <c r="C2452" s="2">
        <v>720.14919999999995</v>
      </c>
      <c r="D2452" s="2">
        <f>HYPERLINK("http://mcb-m6.bioreg.kyushu-u.ac.jp/M3/20110428/F51147/1943/1", 86.71)</f>
        <v>86.71</v>
      </c>
      <c r="E2452" s="2">
        <v>65.22</v>
      </c>
      <c r="F2452" s="2">
        <v>2</v>
      </c>
      <c r="G2452" s="2" t="s">
        <v>13</v>
      </c>
    </row>
    <row r="2453" spans="1:9" x14ac:dyDescent="0.2">
      <c r="A2453" s="2" t="s">
        <v>3507</v>
      </c>
      <c r="B2453" s="2" t="s">
        <v>345</v>
      </c>
      <c r="C2453" s="2">
        <v>900.08370000000002</v>
      </c>
      <c r="D2453" s="2">
        <f>HYPERLINK("http://mcb-m6.bioreg.kyushu-u.ac.jp/M3/20110318/F50620/2239/1", 71.26)</f>
        <v>71.260000000000005</v>
      </c>
      <c r="E2453" s="2">
        <v>56.67</v>
      </c>
      <c r="F2453" s="2">
        <v>2</v>
      </c>
      <c r="G2453" s="2" t="s">
        <v>9</v>
      </c>
    </row>
    <row r="2454" spans="1:9" x14ac:dyDescent="0.2">
      <c r="A2454" s="2" t="s">
        <v>3507</v>
      </c>
      <c r="B2454" s="2" t="s">
        <v>345</v>
      </c>
      <c r="C2454" s="2">
        <v>899.12270000000001</v>
      </c>
      <c r="D2454" s="2">
        <f>HYPERLINK("http://mcb-m6.bioreg.kyushu-u.ac.jp/M3/20110318/F50616/2242/1", 41.62)</f>
        <v>41.62</v>
      </c>
      <c r="E2454" s="2">
        <v>25.34</v>
      </c>
      <c r="F2454" s="2">
        <v>2</v>
      </c>
      <c r="G2454" s="2" t="s">
        <v>10</v>
      </c>
    </row>
    <row r="2455" spans="1:9" x14ac:dyDescent="0.2">
      <c r="A2455" s="2" t="s">
        <v>3507</v>
      </c>
      <c r="B2455" s="2" t="s">
        <v>345</v>
      </c>
      <c r="C2455" s="2">
        <v>899.6857</v>
      </c>
      <c r="D2455" s="2">
        <f>HYPERLINK("http://mcb-m6.bioreg.kyushu-u.ac.jp/M3/20110318/F50616/2245/1", 79.83)</f>
        <v>79.83</v>
      </c>
      <c r="E2455" s="2">
        <v>59.69</v>
      </c>
      <c r="F2455" s="2">
        <v>2</v>
      </c>
      <c r="G2455" s="2" t="s">
        <v>10</v>
      </c>
    </row>
    <row r="2456" spans="1:9" x14ac:dyDescent="0.2">
      <c r="A2456" s="2" t="s">
        <v>3507</v>
      </c>
      <c r="B2456" s="2" t="s">
        <v>5410</v>
      </c>
      <c r="C2456" s="2">
        <v>683.80219999999997</v>
      </c>
      <c r="D2456" s="2">
        <f>HYPERLINK("http://mcb-m6.bioreg.kyushu-u.ac.jp/M3/20110418/F50996/1791/1", 56.68)</f>
        <v>56.68</v>
      </c>
      <c r="E2456" s="2">
        <v>41.92</v>
      </c>
      <c r="F2456" s="2">
        <v>2</v>
      </c>
      <c r="G2456" s="2" t="s">
        <v>11</v>
      </c>
      <c r="I2456" s="2" t="s">
        <v>4923</v>
      </c>
    </row>
    <row r="2457" spans="1:9" x14ac:dyDescent="0.2">
      <c r="A2457" s="2" t="s">
        <v>3507</v>
      </c>
      <c r="B2457" s="2" t="s">
        <v>5444</v>
      </c>
      <c r="C2457" s="2">
        <v>685.18119999999999</v>
      </c>
      <c r="D2457" s="2">
        <f>HYPERLINK("http://mcb-m6.bioreg.kyushu-u.ac.jp/M3/20110418/F50997/1770/1", 46.85)</f>
        <v>46.85</v>
      </c>
      <c r="E2457" s="2">
        <v>21.86</v>
      </c>
      <c r="F2457" s="2">
        <v>2</v>
      </c>
      <c r="G2457" s="2" t="s">
        <v>12</v>
      </c>
      <c r="I2457" s="2" t="s">
        <v>4899</v>
      </c>
    </row>
    <row r="2458" spans="1:9" x14ac:dyDescent="0.2">
      <c r="A2458" s="2" t="s">
        <v>3507</v>
      </c>
      <c r="B2458" s="2" t="s">
        <v>5410</v>
      </c>
      <c r="C2458" s="2">
        <v>683.29319999999996</v>
      </c>
      <c r="D2458" s="2">
        <f>HYPERLINK("http://mcb-m6.bioreg.kyushu-u.ac.jp/M3/20110418/F50997/1763/1", 71.73)</f>
        <v>71.73</v>
      </c>
      <c r="E2458" s="2">
        <v>55.21</v>
      </c>
      <c r="F2458" s="2">
        <v>2</v>
      </c>
      <c r="G2458" s="2" t="s">
        <v>12</v>
      </c>
      <c r="I2458" s="2" t="s">
        <v>4923</v>
      </c>
    </row>
    <row r="2459" spans="1:9" x14ac:dyDescent="0.2">
      <c r="A2459" s="2" t="s">
        <v>3507</v>
      </c>
      <c r="B2459" s="2" t="s">
        <v>2606</v>
      </c>
      <c r="C2459" s="2">
        <v>582.77719999999999</v>
      </c>
      <c r="D2459" s="2">
        <f>HYPERLINK("http://mcb-m6.bioreg.kyushu-u.ac.jp/M3/20110429/F51152/1210/1", 107.1)</f>
        <v>107.1</v>
      </c>
      <c r="E2459" s="2">
        <v>81.83</v>
      </c>
      <c r="F2459" s="2">
        <v>2</v>
      </c>
      <c r="G2459" s="2" t="s">
        <v>13</v>
      </c>
    </row>
    <row r="2460" spans="1:9" x14ac:dyDescent="0.2">
      <c r="A2460" s="2" t="s">
        <v>3507</v>
      </c>
      <c r="B2460" s="2" t="s">
        <v>2606</v>
      </c>
      <c r="C2460" s="2">
        <v>583.37120000000004</v>
      </c>
      <c r="D2460" s="2">
        <f>HYPERLINK("http://mcb-m6.bioreg.kyushu-u.ac.jp/M3/20110428/F51140/1234/1", 62.57)</f>
        <v>62.57</v>
      </c>
      <c r="E2460" s="2">
        <v>41.78</v>
      </c>
      <c r="F2460" s="2">
        <v>2</v>
      </c>
      <c r="G2460" s="2" t="s">
        <v>14</v>
      </c>
    </row>
    <row r="2461" spans="1:9" x14ac:dyDescent="0.2">
      <c r="A2461" s="2" t="s">
        <v>4584</v>
      </c>
      <c r="B2461" s="2" t="s">
        <v>2643</v>
      </c>
      <c r="C2461" s="2">
        <v>478.77010000000001</v>
      </c>
      <c r="D2461" s="2">
        <f>HYPERLINK("http://mcb-m6.bioreg.kyushu-u.ac.jp/M3/20110418/F50997/1111/1", 51.7)</f>
        <v>51.7</v>
      </c>
      <c r="E2461" s="2">
        <v>26.41</v>
      </c>
      <c r="F2461" s="2">
        <v>2</v>
      </c>
      <c r="G2461" s="2" t="s">
        <v>12</v>
      </c>
    </row>
    <row r="2462" spans="1:9" x14ac:dyDescent="0.2">
      <c r="A2462" s="2" t="s">
        <v>4584</v>
      </c>
      <c r="B2462" s="2" t="s">
        <v>2643</v>
      </c>
      <c r="C2462" s="2">
        <v>478.75060000000002</v>
      </c>
      <c r="D2462" s="2">
        <f>HYPERLINK("http://mcb-m6.bioreg.kyushu-u.ac.jp/M3/20110429/F51152/771/1", 53.32)</f>
        <v>53.32</v>
      </c>
      <c r="E2462" s="2">
        <v>20.93</v>
      </c>
      <c r="F2462" s="2">
        <v>2</v>
      </c>
      <c r="G2462" s="2" t="s">
        <v>13</v>
      </c>
    </row>
    <row r="2463" spans="1:9" x14ac:dyDescent="0.2">
      <c r="A2463" s="2" t="s">
        <v>4584</v>
      </c>
      <c r="B2463" s="2" t="s">
        <v>2643</v>
      </c>
      <c r="C2463" s="2">
        <v>478.85809999999998</v>
      </c>
      <c r="D2463" s="2">
        <f>HYPERLINK("http://mcb-m6.bioreg.kyushu-u.ac.jp/M3/20110428/F51140/810/1", 51.82)</f>
        <v>51.82</v>
      </c>
      <c r="E2463" s="2">
        <v>14.79</v>
      </c>
      <c r="F2463" s="2">
        <v>2</v>
      </c>
      <c r="G2463" s="2" t="s">
        <v>14</v>
      </c>
    </row>
    <row r="2464" spans="1:9" x14ac:dyDescent="0.2">
      <c r="A2464" s="2" t="s">
        <v>4577</v>
      </c>
      <c r="B2464" s="2" t="s">
        <v>2630</v>
      </c>
      <c r="C2464" s="2">
        <v>561.22919999999999</v>
      </c>
      <c r="D2464" s="2">
        <f>HYPERLINK("http://mcb-m6.bioreg.kyushu-u.ac.jp/M3/20110418/F50997/1335/1", 62.02)</f>
        <v>62.02</v>
      </c>
      <c r="E2464" s="2">
        <v>24.24</v>
      </c>
      <c r="F2464" s="2">
        <v>2</v>
      </c>
      <c r="G2464" s="2" t="s">
        <v>12</v>
      </c>
      <c r="I2464" s="2" t="s">
        <v>4895</v>
      </c>
    </row>
    <row r="2465" spans="1:9" x14ac:dyDescent="0.2">
      <c r="A2465" s="2" t="s">
        <v>4577</v>
      </c>
      <c r="B2465" s="2" t="s">
        <v>2630</v>
      </c>
      <c r="C2465" s="2">
        <v>561.08169999999996</v>
      </c>
      <c r="D2465" s="2">
        <f>HYPERLINK("http://mcb-m6.bioreg.kyushu-u.ac.jp/M3/20110429/F51152/1096/1", 73.48)</f>
        <v>73.48</v>
      </c>
      <c r="E2465" s="2">
        <v>44.23</v>
      </c>
      <c r="F2465" s="2">
        <v>2</v>
      </c>
      <c r="G2465" s="2" t="s">
        <v>13</v>
      </c>
      <c r="I2465" s="2" t="s">
        <v>4895</v>
      </c>
    </row>
    <row r="2466" spans="1:9" x14ac:dyDescent="0.2">
      <c r="A2466" s="2" t="s">
        <v>3552</v>
      </c>
      <c r="B2466" s="2" t="s">
        <v>2465</v>
      </c>
      <c r="C2466" s="2">
        <v>817.21010000000001</v>
      </c>
      <c r="D2466" s="2">
        <f>HYPERLINK("http://mcb-m6.bioreg.kyushu-u.ac.jp/M3/20110418/F50975/2501/1", 59.27)</f>
        <v>59.27</v>
      </c>
      <c r="E2466" s="2">
        <v>45.49</v>
      </c>
      <c r="F2466" s="2">
        <v>2</v>
      </c>
      <c r="G2466" s="2" t="s">
        <v>11</v>
      </c>
    </row>
    <row r="2467" spans="1:9" x14ac:dyDescent="0.2">
      <c r="A2467" s="2" t="s">
        <v>5777</v>
      </c>
      <c r="B2467" s="2" t="s">
        <v>5420</v>
      </c>
      <c r="C2467" s="2">
        <v>925.4357</v>
      </c>
      <c r="D2467" s="2">
        <f>HYPERLINK("http://mcb-m6.bioreg.kyushu-u.ac.jp/M3/20110418/F50977/3098/1", 74.84)</f>
        <v>74.84</v>
      </c>
      <c r="E2467" s="2">
        <v>6.88</v>
      </c>
      <c r="F2467" s="2">
        <v>2</v>
      </c>
      <c r="G2467" s="2" t="s">
        <v>11</v>
      </c>
    </row>
    <row r="2468" spans="1:9" x14ac:dyDescent="0.2">
      <c r="A2468" s="2" t="s">
        <v>3838</v>
      </c>
      <c r="B2468" s="2" t="s">
        <v>920</v>
      </c>
      <c r="C2468" s="2">
        <v>646.86469999999997</v>
      </c>
      <c r="D2468" s="2">
        <f>HYPERLINK("http://mcb-m6.bioreg.kyushu-u.ac.jp/M3/20110418/F50977/1556/1", 53.14)</f>
        <v>53.14</v>
      </c>
      <c r="E2468" s="2">
        <v>36.33</v>
      </c>
      <c r="F2468" s="2">
        <v>2</v>
      </c>
      <c r="G2468" s="2" t="s">
        <v>11</v>
      </c>
    </row>
    <row r="2469" spans="1:9" x14ac:dyDescent="0.2">
      <c r="A2469" s="2" t="s">
        <v>3601</v>
      </c>
      <c r="B2469" s="2" t="s">
        <v>1170</v>
      </c>
      <c r="C2469" s="2">
        <v>763.85469999999998</v>
      </c>
      <c r="D2469" s="2">
        <f>HYPERLINK("http://mcb-m6.bioreg.kyushu-u.ac.jp/M3/20110318/F50604/1616/1", 35.67)</f>
        <v>35.67</v>
      </c>
      <c r="E2469" s="2">
        <v>22.9</v>
      </c>
      <c r="F2469" s="2">
        <v>2</v>
      </c>
      <c r="G2469" s="2" t="s">
        <v>9</v>
      </c>
    </row>
    <row r="2470" spans="1:9" x14ac:dyDescent="0.2">
      <c r="A2470" s="2" t="s">
        <v>3601</v>
      </c>
      <c r="B2470" s="2" t="s">
        <v>2354</v>
      </c>
      <c r="C2470" s="2">
        <v>598.67169999999999</v>
      </c>
      <c r="D2470" s="2">
        <f>HYPERLINK("http://mcb-m6.bioreg.kyushu-u.ac.jp/M3/20110418/F50977/1340/1", 42.71)</f>
        <v>42.71</v>
      </c>
      <c r="E2470" s="2">
        <v>21.13</v>
      </c>
      <c r="F2470" s="2">
        <v>2</v>
      </c>
      <c r="G2470" s="2" t="s">
        <v>11</v>
      </c>
      <c r="I2470" s="2" t="s">
        <v>4895</v>
      </c>
    </row>
    <row r="2471" spans="1:9" x14ac:dyDescent="0.2">
      <c r="A2471" s="2" t="s">
        <v>3595</v>
      </c>
      <c r="B2471" s="2" t="s">
        <v>921</v>
      </c>
      <c r="C2471" s="2">
        <v>542.89509999999996</v>
      </c>
      <c r="D2471" s="2">
        <f>HYPERLINK("http://mcb-m6.bioreg.kyushu-u.ac.jp/M3/20110318/F50621/1125/1", 40.06)</f>
        <v>40.06</v>
      </c>
      <c r="E2471" s="2">
        <v>8.18</v>
      </c>
      <c r="F2471" s="2">
        <v>2</v>
      </c>
      <c r="G2471" s="2" t="s">
        <v>9</v>
      </c>
    </row>
    <row r="2472" spans="1:9" x14ac:dyDescent="0.2">
      <c r="A2472" s="2" t="s">
        <v>3595</v>
      </c>
      <c r="B2472" s="2" t="s">
        <v>485</v>
      </c>
      <c r="C2472" s="2">
        <v>695.76120000000003</v>
      </c>
      <c r="D2472" s="2">
        <f>HYPERLINK("http://mcb-m6.bioreg.kyushu-u.ac.jp/M3/20110318/F50621/1369/1", 65.94)</f>
        <v>65.94</v>
      </c>
      <c r="E2472" s="2">
        <v>49.55</v>
      </c>
      <c r="F2472" s="2">
        <v>2</v>
      </c>
      <c r="G2472" s="2" t="s">
        <v>9</v>
      </c>
      <c r="I2472" s="2" t="s">
        <v>4895</v>
      </c>
    </row>
    <row r="2473" spans="1:9" x14ac:dyDescent="0.2">
      <c r="A2473" s="2" t="s">
        <v>3595</v>
      </c>
      <c r="B2473" s="2" t="s">
        <v>485</v>
      </c>
      <c r="C2473" s="2">
        <v>696.18409999999994</v>
      </c>
      <c r="D2473" s="2">
        <f>HYPERLINK("http://mcb-m6.bioreg.kyushu-u.ac.jp/M3/20110318/F50617/1387/1", 58.28)</f>
        <v>58.28</v>
      </c>
      <c r="E2473" s="2">
        <v>40.94</v>
      </c>
      <c r="F2473" s="2">
        <v>2</v>
      </c>
      <c r="G2473" s="2" t="s">
        <v>10</v>
      </c>
      <c r="I2473" s="2" t="s">
        <v>4895</v>
      </c>
    </row>
    <row r="2474" spans="1:9" x14ac:dyDescent="0.2">
      <c r="A2474" s="2" t="s">
        <v>3480</v>
      </c>
      <c r="B2474" s="2" t="s">
        <v>2890</v>
      </c>
      <c r="C2474" s="2">
        <v>506.90309999999999</v>
      </c>
      <c r="D2474" s="2">
        <f>HYPERLINK("http://mcb-m6.bioreg.kyushu-u.ac.jp/M3/20110318/F50595/1354/1", 38.13)</f>
        <v>38.130000000000003</v>
      </c>
      <c r="E2474" s="2">
        <v>16.57</v>
      </c>
      <c r="F2474" s="2">
        <v>2</v>
      </c>
      <c r="G2474" s="2" t="s">
        <v>10</v>
      </c>
    </row>
    <row r="2475" spans="1:9" x14ac:dyDescent="0.2">
      <c r="A2475" s="2" t="s">
        <v>3480</v>
      </c>
      <c r="B2475" s="2" t="s">
        <v>302</v>
      </c>
      <c r="C2475" s="2">
        <v>787.30160000000001</v>
      </c>
      <c r="D2475" s="2">
        <f>HYPERLINK("http://mcb-m6.bioreg.kyushu-u.ac.jp/M3/20110318/F50615/1757/1", 51.58)</f>
        <v>51.58</v>
      </c>
      <c r="E2475" s="2">
        <v>30.89</v>
      </c>
      <c r="F2475" s="2">
        <v>2</v>
      </c>
      <c r="G2475" s="2" t="s">
        <v>10</v>
      </c>
    </row>
    <row r="2476" spans="1:9" x14ac:dyDescent="0.2">
      <c r="A2476" s="2" t="s">
        <v>3480</v>
      </c>
      <c r="B2476" s="2" t="s">
        <v>302</v>
      </c>
      <c r="C2476" s="2">
        <v>787.24570000000006</v>
      </c>
      <c r="D2476" s="2">
        <f>HYPERLINK("http://mcb-m6.bioreg.kyushu-u.ac.jp/M3/20110418/F50975/2334/1", 45.95)</f>
        <v>45.95</v>
      </c>
      <c r="E2476" s="2">
        <v>30.81</v>
      </c>
      <c r="F2476" s="2">
        <v>2</v>
      </c>
      <c r="G2476" s="2" t="s">
        <v>11</v>
      </c>
    </row>
    <row r="2477" spans="1:9" x14ac:dyDescent="0.2">
      <c r="A2477" s="2" t="s">
        <v>3480</v>
      </c>
      <c r="B2477" s="2" t="s">
        <v>302</v>
      </c>
      <c r="C2477" s="2">
        <v>786.72220000000004</v>
      </c>
      <c r="D2477" s="2">
        <f>HYPERLINK("http://mcb-m6.bioreg.kyushu-u.ac.jp/M3/20110418/F50975/2331/1", 47.44)</f>
        <v>47.44</v>
      </c>
      <c r="E2477" s="2">
        <v>32.68</v>
      </c>
      <c r="F2477" s="2">
        <v>2</v>
      </c>
      <c r="G2477" s="2" t="s">
        <v>11</v>
      </c>
    </row>
    <row r="2478" spans="1:9" x14ac:dyDescent="0.2">
      <c r="A2478" s="2" t="s">
        <v>3480</v>
      </c>
      <c r="B2478" s="2" t="s">
        <v>302</v>
      </c>
      <c r="C2478" s="2">
        <v>787.08619999999996</v>
      </c>
      <c r="D2478" s="2">
        <f>HYPERLINK("http://mcb-m6.bioreg.kyushu-u.ac.jp/M3/20110418/F50985/2333/1", 41.67)</f>
        <v>41.67</v>
      </c>
      <c r="E2478" s="2">
        <v>21.3</v>
      </c>
      <c r="F2478" s="2">
        <v>2</v>
      </c>
      <c r="G2478" s="2" t="s">
        <v>12</v>
      </c>
    </row>
    <row r="2479" spans="1:9" x14ac:dyDescent="0.2">
      <c r="A2479" s="2" t="s">
        <v>3480</v>
      </c>
      <c r="B2479" s="2" t="s">
        <v>653</v>
      </c>
      <c r="C2479" s="2">
        <v>475.85860000000002</v>
      </c>
      <c r="D2479" s="2">
        <f>HYPERLINK("http://mcb-m6.bioreg.kyushu-u.ac.jp/M3/20110418/F50986/1311/1", 42.94)</f>
        <v>42.94</v>
      </c>
      <c r="E2479" s="2">
        <v>18.149999999999999</v>
      </c>
      <c r="F2479" s="2">
        <v>2</v>
      </c>
      <c r="G2479" s="2" t="s">
        <v>12</v>
      </c>
    </row>
    <row r="2480" spans="1:9" x14ac:dyDescent="0.2">
      <c r="A2480" s="2" t="s">
        <v>3480</v>
      </c>
      <c r="B2480" s="2" t="s">
        <v>302</v>
      </c>
      <c r="C2480" s="2">
        <v>786.96010000000001</v>
      </c>
      <c r="D2480" s="2">
        <f>HYPERLINK("http://mcb-m6.bioreg.kyushu-u.ac.jp/M3/20110502/F51158/2152/1", 40.62)</f>
        <v>40.619999999999997</v>
      </c>
      <c r="E2480" s="2">
        <v>14</v>
      </c>
      <c r="F2480" s="2">
        <v>2</v>
      </c>
      <c r="G2480" s="2" t="s">
        <v>13</v>
      </c>
    </row>
    <row r="2481" spans="1:9" x14ac:dyDescent="0.2">
      <c r="A2481" s="2" t="s">
        <v>3480</v>
      </c>
      <c r="B2481" s="2" t="s">
        <v>302</v>
      </c>
      <c r="C2481" s="2">
        <v>786.96810000000005</v>
      </c>
      <c r="D2481" s="2">
        <f>HYPERLINK("http://mcb-m6.bioreg.kyushu-u.ac.jp/M3/20110502/F51158/2153/1", 55.61)</f>
        <v>55.61</v>
      </c>
      <c r="E2481" s="2">
        <v>38.35</v>
      </c>
      <c r="F2481" s="2">
        <v>2</v>
      </c>
      <c r="G2481" s="2" t="s">
        <v>13</v>
      </c>
    </row>
    <row r="2482" spans="1:9" x14ac:dyDescent="0.2">
      <c r="A2482" s="2" t="s">
        <v>3480</v>
      </c>
      <c r="B2482" s="2" t="s">
        <v>302</v>
      </c>
      <c r="C2482" s="2">
        <v>786.91020000000003</v>
      </c>
      <c r="D2482" s="2">
        <f>HYPERLINK("http://mcb-m6.bioreg.kyushu-u.ac.jp/M3/20110428/F51141/2238/1", 40.7)</f>
        <v>40.700000000000003</v>
      </c>
      <c r="E2482" s="2">
        <v>24.75</v>
      </c>
      <c r="F2482" s="2">
        <v>2</v>
      </c>
      <c r="G2482" s="2" t="s">
        <v>14</v>
      </c>
    </row>
    <row r="2483" spans="1:9" x14ac:dyDescent="0.2">
      <c r="A2483" s="2" t="s">
        <v>3531</v>
      </c>
      <c r="B2483" s="2" t="s">
        <v>379</v>
      </c>
      <c r="C2483" s="2">
        <v>685.92570000000001</v>
      </c>
      <c r="D2483" s="2">
        <f>HYPERLINK("http://mcb-m6.bioreg.kyushu-u.ac.jp/M3/20110318/F50614/1465/1", 35.67)</f>
        <v>35.67</v>
      </c>
      <c r="E2483" s="2">
        <v>18.02</v>
      </c>
      <c r="F2483" s="2">
        <v>2</v>
      </c>
      <c r="G2483" s="2" t="s">
        <v>10</v>
      </c>
    </row>
    <row r="2484" spans="1:9" x14ac:dyDescent="0.2">
      <c r="A2484" s="2" t="s">
        <v>3531</v>
      </c>
      <c r="B2484" s="2" t="s">
        <v>469</v>
      </c>
      <c r="C2484" s="2">
        <v>575.94460000000004</v>
      </c>
      <c r="D2484" s="2">
        <f>HYPERLINK("http://mcb-m6.bioreg.kyushu-u.ac.jp/M3/20110318/F50597/1084/1", 38.01)</f>
        <v>38.01</v>
      </c>
      <c r="E2484" s="2">
        <v>20.72</v>
      </c>
      <c r="F2484" s="2">
        <v>2</v>
      </c>
      <c r="G2484" s="2" t="s">
        <v>10</v>
      </c>
    </row>
    <row r="2485" spans="1:9" x14ac:dyDescent="0.2">
      <c r="A2485" s="2" t="s">
        <v>3531</v>
      </c>
      <c r="B2485" s="2" t="s">
        <v>469</v>
      </c>
      <c r="C2485" s="2">
        <v>575.85670000000005</v>
      </c>
      <c r="D2485" s="2">
        <f>HYPERLINK("http://mcb-m6.bioreg.kyushu-u.ac.jp/M3/20110318/F50615/995/1", 50.41)</f>
        <v>50.41</v>
      </c>
      <c r="E2485" s="2">
        <v>31.94</v>
      </c>
      <c r="F2485" s="2">
        <v>2</v>
      </c>
      <c r="G2485" s="2" t="s">
        <v>10</v>
      </c>
    </row>
    <row r="2486" spans="1:9" x14ac:dyDescent="0.2">
      <c r="A2486" s="2" t="s">
        <v>3531</v>
      </c>
      <c r="B2486" s="2" t="s">
        <v>379</v>
      </c>
      <c r="C2486" s="2">
        <v>685.98659999999995</v>
      </c>
      <c r="D2486" s="2">
        <f>HYPERLINK("http://mcb-m6.bioreg.kyushu-u.ac.jp/M3/20110318/F50597/1375/1", 51.34)</f>
        <v>51.34</v>
      </c>
      <c r="E2486" s="2">
        <v>29.35</v>
      </c>
      <c r="F2486" s="2">
        <v>2</v>
      </c>
      <c r="G2486" s="2" t="s">
        <v>10</v>
      </c>
    </row>
    <row r="2487" spans="1:9" x14ac:dyDescent="0.2">
      <c r="A2487" s="2" t="s">
        <v>3531</v>
      </c>
      <c r="B2487" s="2" t="s">
        <v>469</v>
      </c>
      <c r="C2487" s="2">
        <v>575.66470000000004</v>
      </c>
      <c r="D2487" s="2">
        <f>HYPERLINK("http://mcb-m6.bioreg.kyushu-u.ac.jp/M3/20110418/F50975/1103/1", 54.14)</f>
        <v>54.14</v>
      </c>
      <c r="E2487" s="2">
        <v>32.46</v>
      </c>
      <c r="F2487" s="2">
        <v>2</v>
      </c>
      <c r="G2487" s="2" t="s">
        <v>11</v>
      </c>
    </row>
    <row r="2488" spans="1:9" x14ac:dyDescent="0.2">
      <c r="A2488" s="2" t="s">
        <v>3531</v>
      </c>
      <c r="B2488" s="2" t="s">
        <v>379</v>
      </c>
      <c r="C2488" s="2">
        <v>685.8492</v>
      </c>
      <c r="D2488" s="2">
        <f>HYPERLINK("http://mcb-m6.bioreg.kyushu-u.ac.jp/M3/20110418/F50975/1663/1", 57.42)</f>
        <v>57.42</v>
      </c>
      <c r="E2488" s="2">
        <v>35.21</v>
      </c>
      <c r="F2488" s="2">
        <v>2</v>
      </c>
      <c r="G2488" s="2" t="s">
        <v>11</v>
      </c>
    </row>
    <row r="2489" spans="1:9" x14ac:dyDescent="0.2">
      <c r="A2489" s="2" t="s">
        <v>3531</v>
      </c>
      <c r="B2489" s="2" t="s">
        <v>469</v>
      </c>
      <c r="C2489" s="2">
        <v>575.94960000000003</v>
      </c>
      <c r="D2489" s="2">
        <f>HYPERLINK("http://mcb-m6.bioreg.kyushu-u.ac.jp/M3/20110418/F50985/1876/1", 49.23)</f>
        <v>49.23</v>
      </c>
      <c r="E2489" s="2">
        <v>33.21</v>
      </c>
      <c r="F2489" s="2">
        <v>2</v>
      </c>
      <c r="G2489" s="2" t="s">
        <v>12</v>
      </c>
    </row>
    <row r="2490" spans="1:9" x14ac:dyDescent="0.2">
      <c r="A2490" s="2" t="s">
        <v>3531</v>
      </c>
      <c r="B2490" s="2" t="s">
        <v>3203</v>
      </c>
      <c r="C2490" s="2">
        <v>718.72919999999999</v>
      </c>
      <c r="D2490" s="2">
        <f>HYPERLINK("http://mcb-m6.bioreg.kyushu-u.ac.jp/M3/20110418/F50985/2096/1", 62.97)</f>
        <v>62.97</v>
      </c>
      <c r="E2490" s="2">
        <v>44.8</v>
      </c>
      <c r="F2490" s="2">
        <v>2</v>
      </c>
      <c r="G2490" s="2" t="s">
        <v>12</v>
      </c>
    </row>
    <row r="2491" spans="1:9" x14ac:dyDescent="0.2">
      <c r="A2491" s="2" t="s">
        <v>3531</v>
      </c>
      <c r="B2491" s="2" t="s">
        <v>379</v>
      </c>
      <c r="C2491" s="2">
        <v>686.07259999999997</v>
      </c>
      <c r="D2491" s="2">
        <f>HYPERLINK("http://mcb-m6.bioreg.kyushu-u.ac.jp/M3/20110502/F51158/1594/1", 50.59)</f>
        <v>50.59</v>
      </c>
      <c r="E2491" s="2">
        <v>29.71</v>
      </c>
      <c r="F2491" s="2">
        <v>2</v>
      </c>
      <c r="G2491" s="2" t="s">
        <v>13</v>
      </c>
    </row>
    <row r="2492" spans="1:9" x14ac:dyDescent="0.2">
      <c r="A2492" s="2" t="s">
        <v>3531</v>
      </c>
      <c r="B2492" s="2" t="s">
        <v>469</v>
      </c>
      <c r="C2492" s="2">
        <v>576.36360000000002</v>
      </c>
      <c r="D2492" s="2">
        <f>HYPERLINK("http://mcb-m6.bioreg.kyushu-u.ac.jp/M3/20110502/F51158/1085/1", 53.23)</f>
        <v>53.23</v>
      </c>
      <c r="E2492" s="2">
        <v>31.59</v>
      </c>
      <c r="F2492" s="2">
        <v>2</v>
      </c>
      <c r="G2492" s="2" t="s">
        <v>13</v>
      </c>
    </row>
    <row r="2493" spans="1:9" x14ac:dyDescent="0.2">
      <c r="A2493" s="2" t="s">
        <v>3531</v>
      </c>
      <c r="B2493" s="2" t="s">
        <v>469</v>
      </c>
      <c r="C2493" s="2">
        <v>576.18619999999999</v>
      </c>
      <c r="D2493" s="2">
        <f>HYPERLINK("http://mcb-m6.bioreg.kyushu-u.ac.jp/M3/20110428/F51142/1254/1", 36.44)</f>
        <v>36.44</v>
      </c>
      <c r="E2493" s="2">
        <v>23.86</v>
      </c>
      <c r="F2493" s="2">
        <v>2</v>
      </c>
      <c r="G2493" s="2" t="s">
        <v>14</v>
      </c>
    </row>
    <row r="2494" spans="1:9" x14ac:dyDescent="0.2">
      <c r="A2494" s="2" t="s">
        <v>3531</v>
      </c>
      <c r="B2494" s="2" t="s">
        <v>469</v>
      </c>
      <c r="C2494" s="2">
        <v>576.35519999999997</v>
      </c>
      <c r="D2494" s="2">
        <f>HYPERLINK("http://mcb-m6.bioreg.kyushu-u.ac.jp/M3/20110428/F51141/1024/1", 50.91)</f>
        <v>50.91</v>
      </c>
      <c r="E2494" s="2">
        <v>35.71</v>
      </c>
      <c r="F2494" s="2">
        <v>2</v>
      </c>
      <c r="G2494" s="2" t="s">
        <v>14</v>
      </c>
    </row>
    <row r="2495" spans="1:9" x14ac:dyDescent="0.2">
      <c r="A2495" s="2" t="s">
        <v>3531</v>
      </c>
      <c r="B2495" s="2" t="s">
        <v>379</v>
      </c>
      <c r="C2495" s="2">
        <v>685.91669999999999</v>
      </c>
      <c r="D2495" s="2">
        <f>HYPERLINK("http://mcb-m6.bioreg.kyushu-u.ac.jp/M3/20110428/F51141/1605/1", 56.9)</f>
        <v>56.9</v>
      </c>
      <c r="E2495" s="2">
        <v>37.729999999999997</v>
      </c>
      <c r="F2495" s="2">
        <v>2</v>
      </c>
      <c r="G2495" s="2" t="s">
        <v>14</v>
      </c>
    </row>
    <row r="2496" spans="1:9" x14ac:dyDescent="0.2">
      <c r="A2496" s="2" t="s">
        <v>3723</v>
      </c>
      <c r="B2496" s="2" t="s">
        <v>2021</v>
      </c>
      <c r="C2496" s="2">
        <v>605.82119999999998</v>
      </c>
      <c r="D2496" s="2">
        <f>HYPERLINK("http://mcb-m6.bioreg.kyushu-u.ac.jp/M3/20110318/F50615/1085/1", 73.98)</f>
        <v>73.98</v>
      </c>
      <c r="E2496" s="2">
        <v>50.07</v>
      </c>
      <c r="F2496" s="2">
        <v>2</v>
      </c>
      <c r="G2496" s="2" t="s">
        <v>10</v>
      </c>
      <c r="I2496" s="2" t="s">
        <v>4892</v>
      </c>
    </row>
    <row r="2497" spans="1:9" x14ac:dyDescent="0.2">
      <c r="A2497" s="2" t="s">
        <v>3723</v>
      </c>
      <c r="B2497" s="2" t="s">
        <v>2021</v>
      </c>
      <c r="C2497" s="2">
        <v>605.75160000000005</v>
      </c>
      <c r="D2497" s="2">
        <f>HYPERLINK("http://mcb-m6.bioreg.kyushu-u.ac.jp/M3/20110418/F50975/1276/1", 77.53)</f>
        <v>77.53</v>
      </c>
      <c r="E2497" s="2">
        <v>57.64</v>
      </c>
      <c r="F2497" s="2">
        <v>2</v>
      </c>
      <c r="G2497" s="2" t="s">
        <v>11</v>
      </c>
      <c r="I2497" s="2" t="s">
        <v>4892</v>
      </c>
    </row>
    <row r="2498" spans="1:9" x14ac:dyDescent="0.2">
      <c r="A2498" s="2" t="s">
        <v>3723</v>
      </c>
      <c r="B2498" s="2" t="s">
        <v>2021</v>
      </c>
      <c r="C2498" s="2">
        <v>606.10059999999999</v>
      </c>
      <c r="D2498" s="2">
        <f>HYPERLINK("http://mcb-m6.bioreg.kyushu-u.ac.jp/M3/20110418/F50985/1926/1", 36.09)</f>
        <v>36.090000000000003</v>
      </c>
      <c r="E2498" s="2">
        <v>19.190000000000001</v>
      </c>
      <c r="F2498" s="2">
        <v>2</v>
      </c>
      <c r="G2498" s="2" t="s">
        <v>12</v>
      </c>
      <c r="I2498" s="2" t="s">
        <v>4892</v>
      </c>
    </row>
    <row r="2499" spans="1:9" x14ac:dyDescent="0.2">
      <c r="A2499" s="2" t="s">
        <v>3723</v>
      </c>
      <c r="B2499" s="2" t="s">
        <v>2021</v>
      </c>
      <c r="C2499" s="2">
        <v>605.97310000000004</v>
      </c>
      <c r="D2499" s="2">
        <f>HYPERLINK("http://mcb-m6.bioreg.kyushu-u.ac.jp/M3/20110502/F51158/1257/1", 62.23)</f>
        <v>62.23</v>
      </c>
      <c r="E2499" s="2">
        <v>42.77</v>
      </c>
      <c r="F2499" s="2">
        <v>2</v>
      </c>
      <c r="G2499" s="2" t="s">
        <v>13</v>
      </c>
      <c r="I2499" s="2" t="s">
        <v>4892</v>
      </c>
    </row>
    <row r="2500" spans="1:9" x14ac:dyDescent="0.2">
      <c r="A2500" s="2" t="s">
        <v>3723</v>
      </c>
      <c r="B2500" s="2" t="s">
        <v>2021</v>
      </c>
      <c r="C2500" s="2">
        <v>606.34270000000004</v>
      </c>
      <c r="D2500" s="2">
        <f>HYPERLINK("http://mcb-m6.bioreg.kyushu-u.ac.jp/M3/20110428/F51141/1195/1", 61.27)</f>
        <v>61.27</v>
      </c>
      <c r="E2500" s="2">
        <v>42.87</v>
      </c>
      <c r="F2500" s="2">
        <v>2</v>
      </c>
      <c r="G2500" s="2" t="s">
        <v>14</v>
      </c>
      <c r="I2500" s="2" t="s">
        <v>4892</v>
      </c>
    </row>
    <row r="2501" spans="1:9" x14ac:dyDescent="0.2">
      <c r="A2501" s="2" t="s">
        <v>3723</v>
      </c>
      <c r="B2501" s="2" t="s">
        <v>2021</v>
      </c>
      <c r="C2501" s="2">
        <v>605.77869999999996</v>
      </c>
      <c r="D2501" s="2">
        <f>HYPERLINK("http://mcb-m6.bioreg.kyushu-u.ac.jp/M3/20110428/F51141/1192/1", 73.3)</f>
        <v>73.3</v>
      </c>
      <c r="E2501" s="2">
        <v>56.48</v>
      </c>
      <c r="F2501" s="2">
        <v>2</v>
      </c>
      <c r="G2501" s="2" t="s">
        <v>14</v>
      </c>
      <c r="I2501" s="2" t="s">
        <v>4892</v>
      </c>
    </row>
    <row r="2502" spans="1:9" x14ac:dyDescent="0.2">
      <c r="A2502" s="2" t="s">
        <v>5637</v>
      </c>
      <c r="B2502" s="2" t="s">
        <v>5065</v>
      </c>
      <c r="C2502" s="2">
        <v>800.85310000000004</v>
      </c>
      <c r="D2502" s="2">
        <f>HYPERLINK("http://mcb-m6.bioreg.kyushu-u.ac.jp/M3/20110318/F50621/1760/1", 45.23)</f>
        <v>45.23</v>
      </c>
      <c r="E2502" s="2">
        <v>27.26</v>
      </c>
      <c r="F2502" s="2">
        <v>2</v>
      </c>
      <c r="G2502" s="2" t="s">
        <v>9</v>
      </c>
    </row>
    <row r="2503" spans="1:9" x14ac:dyDescent="0.2">
      <c r="A2503" s="2" t="s">
        <v>5637</v>
      </c>
      <c r="B2503" s="2" t="s">
        <v>5065</v>
      </c>
      <c r="C2503" s="2">
        <v>809.2731</v>
      </c>
      <c r="D2503" s="2">
        <f>HYPERLINK("http://mcb-m6.bioreg.kyushu-u.ac.jp/M3/20110318/F50617/1864/1", 53.13)</f>
        <v>53.13</v>
      </c>
      <c r="E2503" s="2">
        <v>33.08</v>
      </c>
      <c r="F2503" s="2">
        <v>2</v>
      </c>
      <c r="G2503" s="2" t="s">
        <v>10</v>
      </c>
      <c r="H2503" s="2" t="s">
        <v>4927</v>
      </c>
    </row>
    <row r="2504" spans="1:9" x14ac:dyDescent="0.2">
      <c r="A2504" s="2" t="s">
        <v>3702</v>
      </c>
      <c r="B2504" s="2" t="s">
        <v>681</v>
      </c>
      <c r="C2504" s="2">
        <v>483.75009999999997</v>
      </c>
      <c r="D2504" s="2">
        <f>HYPERLINK("http://mcb-m6.bioreg.kyushu-u.ac.jp/M3/20110318/F50617/1008/1", 51.53)</f>
        <v>51.53</v>
      </c>
      <c r="E2504" s="2">
        <v>19.649999999999999</v>
      </c>
      <c r="F2504" s="2">
        <v>2</v>
      </c>
      <c r="G2504" s="2" t="s">
        <v>10</v>
      </c>
    </row>
    <row r="2505" spans="1:9" x14ac:dyDescent="0.2">
      <c r="A2505" s="2" t="s">
        <v>5847</v>
      </c>
      <c r="B2505" s="2" t="s">
        <v>5540</v>
      </c>
      <c r="C2505" s="2">
        <v>486.36059999999998</v>
      </c>
      <c r="D2505" s="2">
        <f>HYPERLINK("http://mcb-m6.bioreg.kyushu-u.ac.jp/M3/20110502/F51163/652/1", 61.24)</f>
        <v>61.24</v>
      </c>
      <c r="E2505" s="2">
        <v>30.3</v>
      </c>
      <c r="F2505" s="2">
        <v>2</v>
      </c>
      <c r="G2505" s="2" t="s">
        <v>13</v>
      </c>
    </row>
    <row r="2506" spans="1:9" x14ac:dyDescent="0.2">
      <c r="A2506" s="2" t="s">
        <v>4552</v>
      </c>
      <c r="B2506" s="2" t="s">
        <v>2611</v>
      </c>
      <c r="C2506" s="2">
        <v>700.01260000000002</v>
      </c>
      <c r="D2506" s="2">
        <f>HYPERLINK("http://mcb-m6.bioreg.kyushu-u.ac.jp/M3/20110318/F50604/1438/1", 56.48)</f>
        <v>56.48</v>
      </c>
      <c r="E2506" s="2">
        <v>35.229999999999997</v>
      </c>
      <c r="F2506" s="2">
        <v>2</v>
      </c>
      <c r="G2506" s="2" t="s">
        <v>9</v>
      </c>
    </row>
    <row r="2507" spans="1:9" x14ac:dyDescent="0.2">
      <c r="A2507" s="2" t="s">
        <v>4552</v>
      </c>
      <c r="B2507" s="2" t="s">
        <v>5335</v>
      </c>
      <c r="C2507" s="2">
        <v>619.78420000000006</v>
      </c>
      <c r="D2507" s="2">
        <f>HYPERLINK("http://mcb-m6.bioreg.kyushu-u.ac.jp/M3/20110318/F50612/1235/1", 68.21)</f>
        <v>68.209999999999994</v>
      </c>
      <c r="E2507" s="2">
        <v>37.299999999999997</v>
      </c>
      <c r="F2507" s="2">
        <v>2</v>
      </c>
      <c r="G2507" s="2" t="s">
        <v>10</v>
      </c>
    </row>
    <row r="2508" spans="1:9" x14ac:dyDescent="0.2">
      <c r="A2508" s="2" t="s">
        <v>4552</v>
      </c>
      <c r="B2508" s="2" t="s">
        <v>2611</v>
      </c>
      <c r="C2508" s="2">
        <v>700.37159999999994</v>
      </c>
      <c r="D2508" s="2">
        <f>HYPERLINK("http://mcb-m6.bioreg.kyushu-u.ac.jp/M3/20110318/F50612/1410/1", 84.41)</f>
        <v>84.41</v>
      </c>
      <c r="E2508" s="2">
        <v>60.17</v>
      </c>
      <c r="F2508" s="2">
        <v>2</v>
      </c>
      <c r="G2508" s="2" t="s">
        <v>10</v>
      </c>
    </row>
    <row r="2509" spans="1:9" x14ac:dyDescent="0.2">
      <c r="A2509" s="2" t="s">
        <v>4552</v>
      </c>
      <c r="B2509" s="2" t="s">
        <v>2611</v>
      </c>
      <c r="C2509" s="2">
        <v>699.85469999999998</v>
      </c>
      <c r="D2509" s="2">
        <f>HYPERLINK("http://mcb-m6.bioreg.kyushu-u.ac.jp/M3/20110318/F50612/1407/1", 92.64)</f>
        <v>92.64</v>
      </c>
      <c r="E2509" s="2">
        <v>69.760000000000005</v>
      </c>
      <c r="F2509" s="2">
        <v>2</v>
      </c>
      <c r="G2509" s="2" t="s">
        <v>10</v>
      </c>
    </row>
    <row r="2510" spans="1:9" x14ac:dyDescent="0.2">
      <c r="A2510" s="2" t="s">
        <v>4552</v>
      </c>
      <c r="B2510" s="2" t="s">
        <v>2583</v>
      </c>
      <c r="C2510" s="2">
        <v>844.44759999999997</v>
      </c>
      <c r="D2510" s="2">
        <f>HYPERLINK("http://mcb-m6.bioreg.kyushu-u.ac.jp/M3/20110418/F50977/2701/1", 35.65)</f>
        <v>35.65</v>
      </c>
      <c r="E2510" s="2">
        <v>10.56</v>
      </c>
      <c r="F2510" s="2">
        <v>2</v>
      </c>
      <c r="G2510" s="2" t="s">
        <v>11</v>
      </c>
    </row>
    <row r="2511" spans="1:9" x14ac:dyDescent="0.2">
      <c r="A2511" s="2" t="s">
        <v>4552</v>
      </c>
      <c r="B2511" s="2" t="s">
        <v>2611</v>
      </c>
      <c r="C2511" s="2">
        <v>699.81320000000005</v>
      </c>
      <c r="D2511" s="2">
        <f>HYPERLINK("http://mcb-m6.bioreg.kyushu-u.ac.jp/M3/20110418/F50977/1863/1", 72.57)</f>
        <v>72.569999999999993</v>
      </c>
      <c r="E2511" s="2">
        <v>50.75</v>
      </c>
      <c r="F2511" s="2">
        <v>2</v>
      </c>
      <c r="G2511" s="2" t="s">
        <v>11</v>
      </c>
    </row>
    <row r="2512" spans="1:9" x14ac:dyDescent="0.2">
      <c r="A2512" s="2" t="s">
        <v>4552</v>
      </c>
      <c r="B2512" s="2" t="s">
        <v>2611</v>
      </c>
      <c r="C2512" s="2">
        <v>699.94759999999997</v>
      </c>
      <c r="D2512" s="2">
        <f>HYPERLINK("http://mcb-m6.bioreg.kyushu-u.ac.jp/M3/20110502/F51164/1484/1", 48.75)</f>
        <v>48.75</v>
      </c>
      <c r="E2512" s="2">
        <v>34.71</v>
      </c>
      <c r="F2512" s="2">
        <v>2</v>
      </c>
      <c r="G2512" s="2" t="s">
        <v>13</v>
      </c>
    </row>
    <row r="2513" spans="1:9" x14ac:dyDescent="0.2">
      <c r="A2513" s="2" t="s">
        <v>3916</v>
      </c>
      <c r="B2513" s="2" t="s">
        <v>1090</v>
      </c>
      <c r="C2513" s="2">
        <v>570.6422</v>
      </c>
      <c r="D2513" s="2">
        <f>HYPERLINK("http://mcb-m6.bioreg.kyushu-u.ac.jp/M3/20110318/F50607/1122/1", 40.36)</f>
        <v>40.36</v>
      </c>
      <c r="E2513" s="2">
        <v>23.81</v>
      </c>
      <c r="F2513" s="2">
        <v>2</v>
      </c>
      <c r="G2513" s="2" t="s">
        <v>9</v>
      </c>
    </row>
    <row r="2514" spans="1:9" x14ac:dyDescent="0.2">
      <c r="A2514" s="2" t="s">
        <v>3999</v>
      </c>
      <c r="B2514" s="2" t="s">
        <v>1288</v>
      </c>
      <c r="C2514" s="2">
        <v>785.04319999999996</v>
      </c>
      <c r="D2514" s="2">
        <f>HYPERLINK("http://mcb-m6.bioreg.kyushu-u.ac.jp/M3/20110318/F50607/1753/1", 66.66)</f>
        <v>66.66</v>
      </c>
      <c r="E2514" s="2">
        <v>44.95</v>
      </c>
      <c r="F2514" s="2">
        <v>2</v>
      </c>
      <c r="G2514" s="2" t="s">
        <v>9</v>
      </c>
    </row>
    <row r="2515" spans="1:9" x14ac:dyDescent="0.2">
      <c r="A2515" s="2" t="s">
        <v>3999</v>
      </c>
      <c r="B2515" s="2" t="s">
        <v>1288</v>
      </c>
      <c r="C2515" s="2">
        <v>784.7817</v>
      </c>
      <c r="D2515" s="2">
        <f>HYPERLINK("http://mcb-m6.bioreg.kyushu-u.ac.jp/M3/20110429/F51152/2255/1", 75.74)</f>
        <v>75.739999999999995</v>
      </c>
      <c r="E2515" s="2">
        <v>47.33</v>
      </c>
      <c r="F2515" s="2">
        <v>2</v>
      </c>
      <c r="G2515" s="2" t="s">
        <v>13</v>
      </c>
    </row>
    <row r="2516" spans="1:9" x14ac:dyDescent="0.2">
      <c r="A2516" s="2" t="s">
        <v>4002</v>
      </c>
      <c r="B2516" s="2" t="s">
        <v>2050</v>
      </c>
      <c r="C2516" s="2">
        <v>466.6336</v>
      </c>
      <c r="D2516" s="2">
        <f>HYPERLINK("http://mcb-m6.bioreg.kyushu-u.ac.jp/M3/20110318/F50607/882/1", 66.57)</f>
        <v>66.569999999999993</v>
      </c>
      <c r="E2516" s="2">
        <v>36.799999999999997</v>
      </c>
      <c r="F2516" s="2">
        <v>2</v>
      </c>
      <c r="G2516" s="2" t="s">
        <v>9</v>
      </c>
    </row>
    <row r="2517" spans="1:9" x14ac:dyDescent="0.2">
      <c r="A2517" s="2" t="s">
        <v>4002</v>
      </c>
      <c r="B2517" s="2" t="s">
        <v>2050</v>
      </c>
      <c r="C2517" s="2">
        <v>466.41160000000002</v>
      </c>
      <c r="D2517" s="2">
        <f>HYPERLINK("http://mcb-m6.bioreg.kyushu-u.ac.jp/M3/20110318/F50598/1000/1", 41.18)</f>
        <v>41.18</v>
      </c>
      <c r="E2517" s="2">
        <v>17.57</v>
      </c>
      <c r="F2517" s="2">
        <v>2</v>
      </c>
      <c r="G2517" s="2" t="s">
        <v>10</v>
      </c>
    </row>
    <row r="2518" spans="1:9" x14ac:dyDescent="0.2">
      <c r="A2518" s="2" t="s">
        <v>4002</v>
      </c>
      <c r="B2518" s="2" t="s">
        <v>2050</v>
      </c>
      <c r="C2518" s="2">
        <v>466.09809999999999</v>
      </c>
      <c r="D2518" s="2">
        <f>HYPERLINK("http://mcb-m6.bioreg.kyushu-u.ac.jp/M3/20110429/F51152/727/1", 63.82)</f>
        <v>63.82</v>
      </c>
      <c r="E2518" s="2">
        <v>35.450000000000003</v>
      </c>
      <c r="F2518" s="2">
        <v>2</v>
      </c>
      <c r="G2518" s="2" t="s">
        <v>13</v>
      </c>
    </row>
    <row r="2519" spans="1:9" x14ac:dyDescent="0.2">
      <c r="A2519" s="2" t="s">
        <v>3860</v>
      </c>
      <c r="B2519" s="2" t="s">
        <v>969</v>
      </c>
      <c r="C2519" s="2">
        <v>910.27620000000002</v>
      </c>
      <c r="D2519" s="2">
        <f>HYPERLINK("http://mcb-m6.bioreg.kyushu-u.ac.jp/M3/20110429/F51152/2812/1", 47.8)</f>
        <v>47.8</v>
      </c>
      <c r="E2519" s="2">
        <v>16.899999999999999</v>
      </c>
      <c r="F2519" s="2">
        <v>2</v>
      </c>
      <c r="G2519" s="2" t="s">
        <v>13</v>
      </c>
    </row>
    <row r="2520" spans="1:9" x14ac:dyDescent="0.2">
      <c r="A2520" s="2" t="s">
        <v>5834</v>
      </c>
      <c r="B2520" s="2" t="s">
        <v>5521</v>
      </c>
      <c r="C2520" s="2">
        <v>644.7527</v>
      </c>
      <c r="D2520" s="2">
        <f>HYPERLINK("http://mcb-m6.bioreg.kyushu-u.ac.jp/M3/20110429/F51152/1452/1", 48.49)</f>
        <v>48.49</v>
      </c>
      <c r="E2520" s="2">
        <v>17.850000000000001</v>
      </c>
      <c r="F2520" s="2">
        <v>2</v>
      </c>
      <c r="G2520" s="2" t="s">
        <v>13</v>
      </c>
      <c r="I2520" s="2" t="s">
        <v>4923</v>
      </c>
    </row>
    <row r="2521" spans="1:9" x14ac:dyDescent="0.2">
      <c r="A2521" s="2" t="s">
        <v>3796</v>
      </c>
      <c r="B2521" s="2" t="s">
        <v>843</v>
      </c>
      <c r="C2521" s="2">
        <v>579.60270000000003</v>
      </c>
      <c r="D2521" s="2">
        <f>HYPERLINK("http://mcb-m6.bioreg.kyushu-u.ac.jp/M3/20110429/F51152/1191/1", 44.07)</f>
        <v>44.07</v>
      </c>
      <c r="E2521" s="2">
        <v>27.43</v>
      </c>
      <c r="F2521" s="2">
        <v>2</v>
      </c>
      <c r="G2521" s="2" t="s">
        <v>13</v>
      </c>
    </row>
    <row r="2522" spans="1:9" x14ac:dyDescent="0.2">
      <c r="A2522" s="2" t="s">
        <v>3811</v>
      </c>
      <c r="B2522" s="2" t="s">
        <v>871</v>
      </c>
      <c r="C2522" s="2">
        <v>714.7047</v>
      </c>
      <c r="D2522" s="2">
        <f>HYPERLINK("http://mcb-m6.bioreg.kyushu-u.ac.jp/M3/20110429/F51152/1791/1", 56.37)</f>
        <v>56.37</v>
      </c>
      <c r="E2522" s="2">
        <v>40.479999999999997</v>
      </c>
      <c r="F2522" s="2">
        <v>2</v>
      </c>
      <c r="G2522" s="2" t="s">
        <v>13</v>
      </c>
      <c r="I2522" s="2" t="s">
        <v>4923</v>
      </c>
    </row>
    <row r="2523" spans="1:9" x14ac:dyDescent="0.2">
      <c r="A2523" s="2" t="s">
        <v>4404</v>
      </c>
      <c r="B2523" s="2" t="s">
        <v>5074</v>
      </c>
      <c r="C2523" s="2">
        <v>789.9742</v>
      </c>
      <c r="D2523" s="2">
        <f>HYPERLINK("http://mcb-m6.bioreg.kyushu-u.ac.jp/M3/20110318/F50601/1693/1", 46.63)</f>
        <v>46.63</v>
      </c>
      <c r="E2523" s="2">
        <v>1.88</v>
      </c>
      <c r="F2523" s="2">
        <v>2</v>
      </c>
      <c r="G2523" s="2" t="s">
        <v>9</v>
      </c>
      <c r="I2523" s="2" t="s">
        <v>4923</v>
      </c>
    </row>
    <row r="2524" spans="1:9" x14ac:dyDescent="0.2">
      <c r="A2524" s="2" t="s">
        <v>4404</v>
      </c>
      <c r="B2524" s="2" t="s">
        <v>5084</v>
      </c>
      <c r="C2524" s="2">
        <v>538.50670000000002</v>
      </c>
      <c r="D2524" s="2">
        <f>HYPERLINK("http://mcb-m6.bioreg.kyushu-u.ac.jp/M3/20110318/F50601/1290/1", 49.88)</f>
        <v>49.88</v>
      </c>
      <c r="E2524" s="2">
        <v>29.98</v>
      </c>
      <c r="F2524" s="2">
        <v>2</v>
      </c>
      <c r="G2524" s="2" t="s">
        <v>9</v>
      </c>
      <c r="H2524" s="2" t="s">
        <v>4904</v>
      </c>
    </row>
    <row r="2525" spans="1:9" x14ac:dyDescent="0.2">
      <c r="A2525" s="2" t="s">
        <v>4404</v>
      </c>
      <c r="B2525" s="2" t="s">
        <v>5120</v>
      </c>
      <c r="C2525" s="2">
        <v>554.35860000000002</v>
      </c>
      <c r="D2525" s="2">
        <f>HYPERLINK("http://mcb-m6.bioreg.kyushu-u.ac.jp/M3/20110318/F50602/1164/1", 61.5)</f>
        <v>61.5</v>
      </c>
      <c r="E2525" s="2">
        <v>33.49</v>
      </c>
      <c r="F2525" s="2">
        <v>2</v>
      </c>
      <c r="G2525" s="2" t="s">
        <v>9</v>
      </c>
    </row>
    <row r="2526" spans="1:9" x14ac:dyDescent="0.2">
      <c r="A2526" s="2" t="s">
        <v>4404</v>
      </c>
      <c r="B2526" s="2" t="s">
        <v>5137</v>
      </c>
      <c r="C2526" s="2">
        <v>722.95320000000004</v>
      </c>
      <c r="D2526" s="2">
        <f>HYPERLINK("http://mcb-m6.bioreg.kyushu-u.ac.jp/M3/20110318/F50601/1518/1", 66.27)</f>
        <v>66.27</v>
      </c>
      <c r="E2526" s="2">
        <v>48.59</v>
      </c>
      <c r="F2526" s="2">
        <v>2</v>
      </c>
      <c r="G2526" s="2" t="s">
        <v>9</v>
      </c>
    </row>
    <row r="2527" spans="1:9" x14ac:dyDescent="0.2">
      <c r="A2527" s="2" t="s">
        <v>4404</v>
      </c>
      <c r="B2527" s="2" t="s">
        <v>5120</v>
      </c>
      <c r="C2527" s="2">
        <v>554.3492</v>
      </c>
      <c r="D2527" s="2">
        <f>HYPERLINK("http://mcb-m6.bioreg.kyushu-u.ac.jp/M3/20110318/F50601/1307/1", 68.02)</f>
        <v>68.02</v>
      </c>
      <c r="E2527" s="2">
        <v>39.72</v>
      </c>
      <c r="F2527" s="2">
        <v>2</v>
      </c>
      <c r="G2527" s="2" t="s">
        <v>9</v>
      </c>
    </row>
    <row r="2528" spans="1:9" x14ac:dyDescent="0.2">
      <c r="A2528" s="2" t="s">
        <v>4404</v>
      </c>
      <c r="B2528" s="2" t="s">
        <v>5185</v>
      </c>
      <c r="C2528" s="2">
        <v>917.45759999999996</v>
      </c>
      <c r="D2528" s="2">
        <f>HYPERLINK("http://mcb-m6.bioreg.kyushu-u.ac.jp/M3/20110318/F50601/1899/1", 87.22)</f>
        <v>87.22</v>
      </c>
      <c r="E2528" s="2">
        <v>71.459999999999994</v>
      </c>
      <c r="F2528" s="2">
        <v>2</v>
      </c>
      <c r="G2528" s="2" t="s">
        <v>9</v>
      </c>
      <c r="I2528" s="2" t="s">
        <v>4890</v>
      </c>
    </row>
    <row r="2529" spans="1:8" x14ac:dyDescent="0.2">
      <c r="A2529" s="2" t="s">
        <v>4404</v>
      </c>
      <c r="B2529" s="2" t="s">
        <v>5193</v>
      </c>
      <c r="C2529" s="2">
        <v>1063.49</v>
      </c>
      <c r="D2529" s="2">
        <f>HYPERLINK("http://mcb-m6.bioreg.kyushu-u.ac.jp/M3/20110318/F50602/2222/1", 95.52)</f>
        <v>95.52</v>
      </c>
      <c r="E2529" s="2">
        <v>73.3</v>
      </c>
      <c r="F2529" s="2">
        <v>2</v>
      </c>
      <c r="G2529" s="2" t="s">
        <v>9</v>
      </c>
    </row>
    <row r="2530" spans="1:8" x14ac:dyDescent="0.2">
      <c r="A2530" s="2" t="s">
        <v>4404</v>
      </c>
      <c r="B2530" s="2" t="s">
        <v>5120</v>
      </c>
      <c r="C2530" s="2">
        <v>554.42319999999995</v>
      </c>
      <c r="D2530" s="2">
        <f>HYPERLINK("http://mcb-m6.bioreg.kyushu-u.ac.jp/M3/20110429/F51156/1158/1", 43.03)</f>
        <v>43.03</v>
      </c>
      <c r="E2530" s="2">
        <v>17.96</v>
      </c>
      <c r="F2530" s="2">
        <v>2</v>
      </c>
      <c r="G2530" s="2" t="s">
        <v>13</v>
      </c>
    </row>
    <row r="2531" spans="1:8" x14ac:dyDescent="0.2">
      <c r="A2531" s="2" t="s">
        <v>5652</v>
      </c>
      <c r="B2531" s="2" t="s">
        <v>5097</v>
      </c>
      <c r="C2531" s="2">
        <v>637.45259999999996</v>
      </c>
      <c r="D2531" s="2">
        <f>HYPERLINK("http://mcb-m6.bioreg.kyushu-u.ac.jp/M3/20110318/F50602/1291/1", 53.09)</f>
        <v>53.09</v>
      </c>
      <c r="E2531" s="2">
        <v>34.58</v>
      </c>
      <c r="F2531" s="2">
        <v>2</v>
      </c>
      <c r="G2531" s="2" t="s">
        <v>9</v>
      </c>
    </row>
    <row r="2532" spans="1:8" x14ac:dyDescent="0.2">
      <c r="A2532" s="2" t="s">
        <v>5652</v>
      </c>
      <c r="B2532" s="2" t="s">
        <v>5118</v>
      </c>
      <c r="C2532" s="2">
        <v>739.30520000000001</v>
      </c>
      <c r="D2532" s="2">
        <f>HYPERLINK("http://mcb-m6.bioreg.kyushu-u.ac.jp/M3/20110318/F50601/1559/1", 60.16)</f>
        <v>60.16</v>
      </c>
      <c r="E2532" s="2">
        <v>31.24</v>
      </c>
      <c r="F2532" s="2">
        <v>2</v>
      </c>
      <c r="G2532" s="2" t="s">
        <v>9</v>
      </c>
      <c r="H2532" s="2" t="s">
        <v>4917</v>
      </c>
    </row>
    <row r="2533" spans="1:8" x14ac:dyDescent="0.2">
      <c r="A2533" s="2" t="s">
        <v>5652</v>
      </c>
      <c r="B2533" s="2" t="s">
        <v>5138</v>
      </c>
      <c r="C2533" s="2">
        <v>964.62019999999995</v>
      </c>
      <c r="D2533" s="2">
        <f>HYPERLINK("http://mcb-m6.bioreg.kyushu-u.ac.jp/M3/20110318/F50601/1953/1", 66.55)</f>
        <v>66.55</v>
      </c>
      <c r="E2533" s="2">
        <v>53.08</v>
      </c>
      <c r="F2533" s="2">
        <v>2</v>
      </c>
      <c r="G2533" s="2" t="s">
        <v>9</v>
      </c>
    </row>
    <row r="2534" spans="1:8" x14ac:dyDescent="0.2">
      <c r="A2534" s="2" t="s">
        <v>5652</v>
      </c>
      <c r="B2534" s="2" t="s">
        <v>5273</v>
      </c>
      <c r="C2534" s="2">
        <v>625.42070000000001</v>
      </c>
      <c r="D2534" s="2">
        <f>HYPERLINK("http://mcb-m6.bioreg.kyushu-u.ac.jp/M3/20110318/F50596/1295/1", 46.02)</f>
        <v>46.02</v>
      </c>
      <c r="E2534" s="2">
        <v>22.78</v>
      </c>
      <c r="F2534" s="2">
        <v>2</v>
      </c>
      <c r="G2534" s="2" t="s">
        <v>10</v>
      </c>
    </row>
    <row r="2535" spans="1:8" x14ac:dyDescent="0.2">
      <c r="A2535" s="2" t="s">
        <v>3278</v>
      </c>
      <c r="B2535" s="2" t="s">
        <v>58</v>
      </c>
      <c r="C2535" s="2">
        <v>738.41449999999998</v>
      </c>
      <c r="D2535" s="2">
        <f>HYPERLINK("http://mcb-m6.bioreg.kyushu-u.ac.jp/M3/20110318/F50601/2171/1", 35.72)</f>
        <v>35.72</v>
      </c>
      <c r="E2535" s="2">
        <v>12</v>
      </c>
      <c r="F2535" s="2">
        <v>3</v>
      </c>
      <c r="G2535" s="2" t="s">
        <v>9</v>
      </c>
    </row>
    <row r="2536" spans="1:8" x14ac:dyDescent="0.2">
      <c r="A2536" s="2" t="s">
        <v>3278</v>
      </c>
      <c r="B2536" s="2" t="s">
        <v>58</v>
      </c>
      <c r="C2536" s="2">
        <v>1106.807</v>
      </c>
      <c r="D2536" s="2">
        <f>HYPERLINK("http://mcb-m6.bioreg.kyushu-u.ac.jp/M3/20110318/F50620/2728/1", 51)</f>
        <v>51</v>
      </c>
      <c r="E2536" s="2">
        <v>22.2</v>
      </c>
      <c r="F2536" s="2">
        <v>2</v>
      </c>
      <c r="G2536" s="2" t="s">
        <v>9</v>
      </c>
    </row>
    <row r="2537" spans="1:8" x14ac:dyDescent="0.2">
      <c r="A2537" s="2" t="s">
        <v>3278</v>
      </c>
      <c r="B2537" s="2" t="s">
        <v>58</v>
      </c>
      <c r="C2537" s="2">
        <v>1106.76</v>
      </c>
      <c r="D2537" s="2">
        <f>HYPERLINK("http://mcb-m6.bioreg.kyushu-u.ac.jp/M3/20110318/F50618/2888/1", 80.39)</f>
        <v>80.39</v>
      </c>
      <c r="E2537" s="2">
        <v>27.83</v>
      </c>
      <c r="F2537" s="2">
        <v>2</v>
      </c>
      <c r="G2537" s="2" t="s">
        <v>9</v>
      </c>
    </row>
    <row r="2538" spans="1:8" x14ac:dyDescent="0.2">
      <c r="A2538" s="2" t="s">
        <v>3278</v>
      </c>
      <c r="B2538" s="2" t="s">
        <v>58</v>
      </c>
      <c r="C2538" s="2">
        <v>1106.9670000000001</v>
      </c>
      <c r="D2538" s="2">
        <f>HYPERLINK("http://mcb-m6.bioreg.kyushu-u.ac.jp/M3/20110318/F50596/2587/1", 35.11)</f>
        <v>35.11</v>
      </c>
      <c r="E2538" s="2">
        <v>18.16</v>
      </c>
      <c r="F2538" s="2">
        <v>2</v>
      </c>
      <c r="G2538" s="2" t="s">
        <v>10</v>
      </c>
    </row>
    <row r="2539" spans="1:8" x14ac:dyDescent="0.2">
      <c r="A2539" s="2" t="s">
        <v>3278</v>
      </c>
      <c r="B2539" s="2" t="s">
        <v>58</v>
      </c>
      <c r="C2539" s="2">
        <v>1106.9480000000001</v>
      </c>
      <c r="D2539" s="2">
        <f>HYPERLINK("http://mcb-m6.bioreg.kyushu-u.ac.jp/M3/20110318/F50613/2743/1", 39.22)</f>
        <v>39.22</v>
      </c>
      <c r="E2539" s="2">
        <v>17.96</v>
      </c>
      <c r="F2539" s="2">
        <v>2</v>
      </c>
      <c r="G2539" s="2" t="s">
        <v>10</v>
      </c>
    </row>
    <row r="2540" spans="1:8" x14ac:dyDescent="0.2">
      <c r="A2540" s="2" t="s">
        <v>3278</v>
      </c>
      <c r="B2540" s="2" t="s">
        <v>58</v>
      </c>
      <c r="C2540" s="2">
        <v>1106.9739999999999</v>
      </c>
      <c r="D2540" s="2">
        <f>HYPERLINK("http://mcb-m6.bioreg.kyushu-u.ac.jp/M3/20110318/F50600/2423/1", 44.5)</f>
        <v>44.5</v>
      </c>
      <c r="E2540" s="2">
        <v>20.64</v>
      </c>
      <c r="F2540" s="2">
        <v>2</v>
      </c>
      <c r="G2540" s="2" t="s">
        <v>10</v>
      </c>
    </row>
    <row r="2541" spans="1:8" x14ac:dyDescent="0.2">
      <c r="A2541" s="2" t="s">
        <v>3278</v>
      </c>
      <c r="B2541" s="2" t="s">
        <v>58</v>
      </c>
      <c r="C2541" s="2">
        <v>738.13750000000005</v>
      </c>
      <c r="D2541" s="2">
        <f>HYPERLINK("http://mcb-m6.bioreg.kyushu-u.ac.jp/M3/20110318/F50617/2489/1", 55.32)</f>
        <v>55.32</v>
      </c>
      <c r="E2541" s="2">
        <v>12.12</v>
      </c>
      <c r="F2541" s="2">
        <v>3</v>
      </c>
      <c r="G2541" s="2" t="s">
        <v>10</v>
      </c>
    </row>
    <row r="2542" spans="1:8" x14ac:dyDescent="0.2">
      <c r="A2542" s="2" t="s">
        <v>3278</v>
      </c>
      <c r="B2542" s="2" t="s">
        <v>58</v>
      </c>
      <c r="C2542" s="2">
        <v>1106.9090000000001</v>
      </c>
      <c r="D2542" s="2">
        <f>HYPERLINK("http://mcb-m6.bioreg.kyushu-u.ac.jp/M3/20110418/F50972/2908/1", 36.04)</f>
        <v>36.04</v>
      </c>
      <c r="E2542" s="2">
        <v>15.42</v>
      </c>
      <c r="F2542" s="2">
        <v>2</v>
      </c>
      <c r="G2542" s="2" t="s">
        <v>11</v>
      </c>
    </row>
    <row r="2543" spans="1:8" x14ac:dyDescent="0.2">
      <c r="A2543" s="2" t="s">
        <v>3278</v>
      </c>
      <c r="B2543" s="2" t="s">
        <v>58</v>
      </c>
      <c r="C2543" s="2">
        <v>1107.0029999999999</v>
      </c>
      <c r="D2543" s="2">
        <f>HYPERLINK("http://mcb-m6.bioreg.kyushu-u.ac.jp/M3/20110418/F50978/3480/1", 36.63)</f>
        <v>36.630000000000003</v>
      </c>
      <c r="E2543" s="2">
        <v>17.16</v>
      </c>
      <c r="F2543" s="2">
        <v>2</v>
      </c>
      <c r="G2543" s="2" t="s">
        <v>11</v>
      </c>
    </row>
    <row r="2544" spans="1:8" x14ac:dyDescent="0.2">
      <c r="A2544" s="2" t="s">
        <v>3278</v>
      </c>
      <c r="B2544" s="2" t="s">
        <v>58</v>
      </c>
      <c r="C2544" s="2">
        <v>1107.018</v>
      </c>
      <c r="D2544" s="2">
        <f>HYPERLINK("http://mcb-m6.bioreg.kyushu-u.ac.jp/M3/20110418/F50975/3786/1", 42.01)</f>
        <v>42.01</v>
      </c>
      <c r="E2544" s="2">
        <v>13.75</v>
      </c>
      <c r="F2544" s="2">
        <v>2</v>
      </c>
      <c r="G2544" s="2" t="s">
        <v>11</v>
      </c>
    </row>
    <row r="2545" spans="1:9" x14ac:dyDescent="0.2">
      <c r="A2545" s="2" t="s">
        <v>3278</v>
      </c>
      <c r="B2545" s="2" t="s">
        <v>58</v>
      </c>
      <c r="C2545" s="2">
        <v>1107.019</v>
      </c>
      <c r="D2545" s="2">
        <f>HYPERLINK("http://mcb-m6.bioreg.kyushu-u.ac.jp/M3/20110429/F51157/3308/1", 38.98)</f>
        <v>38.979999999999997</v>
      </c>
      <c r="E2545" s="2">
        <v>18.57</v>
      </c>
      <c r="F2545" s="2">
        <v>2</v>
      </c>
      <c r="G2545" s="2" t="s">
        <v>13</v>
      </c>
    </row>
    <row r="2546" spans="1:9" x14ac:dyDescent="0.2">
      <c r="A2546" s="2" t="s">
        <v>3278</v>
      </c>
      <c r="B2546" s="2" t="s">
        <v>58</v>
      </c>
      <c r="C2546" s="2">
        <v>738.41549999999995</v>
      </c>
      <c r="D2546" s="2">
        <f>HYPERLINK("http://mcb-m6.bioreg.kyushu-u.ac.jp/M3/20110429/F51156/3238/1", 39.02)</f>
        <v>39.020000000000003</v>
      </c>
      <c r="E2546" s="2">
        <v>16.920000000000002</v>
      </c>
      <c r="F2546" s="2">
        <v>3</v>
      </c>
      <c r="G2546" s="2" t="s">
        <v>13</v>
      </c>
    </row>
    <row r="2547" spans="1:9" x14ac:dyDescent="0.2">
      <c r="A2547" s="2" t="s">
        <v>3278</v>
      </c>
      <c r="B2547" s="2" t="s">
        <v>58</v>
      </c>
      <c r="C2547" s="2">
        <v>738.36789999999996</v>
      </c>
      <c r="D2547" s="2">
        <f>HYPERLINK("http://mcb-m6.bioreg.kyushu-u.ac.jp/M3/20110428/F51147/2906/1", 56.33)</f>
        <v>56.33</v>
      </c>
      <c r="E2547" s="2">
        <v>28.31</v>
      </c>
      <c r="F2547" s="2">
        <v>3</v>
      </c>
      <c r="G2547" s="2" t="s">
        <v>13</v>
      </c>
    </row>
    <row r="2548" spans="1:9" x14ac:dyDescent="0.2">
      <c r="A2548" s="2" t="s">
        <v>3278</v>
      </c>
      <c r="B2548" s="2" t="s">
        <v>58</v>
      </c>
      <c r="C2548" s="2">
        <v>1106.904</v>
      </c>
      <c r="D2548" s="2">
        <f>HYPERLINK("http://mcb-m6.bioreg.kyushu-u.ac.jp/M3/20110428/F51146/3041/1", 56.52)</f>
        <v>56.52</v>
      </c>
      <c r="E2548" s="2">
        <v>17.29</v>
      </c>
      <c r="F2548" s="2">
        <v>2</v>
      </c>
      <c r="G2548" s="2" t="s">
        <v>13</v>
      </c>
    </row>
    <row r="2549" spans="1:9" x14ac:dyDescent="0.2">
      <c r="A2549" s="2" t="s">
        <v>3278</v>
      </c>
      <c r="B2549" s="2" t="s">
        <v>58</v>
      </c>
      <c r="C2549" s="2">
        <v>1107.087</v>
      </c>
      <c r="D2549" s="2">
        <f>HYPERLINK("http://mcb-m6.bioreg.kyushu-u.ac.jp/M3/20110429/F51149/2643/1", 61.96)</f>
        <v>61.96</v>
      </c>
      <c r="E2549" s="2">
        <v>27.97</v>
      </c>
      <c r="F2549" s="2">
        <v>2</v>
      </c>
      <c r="G2549" s="2" t="s">
        <v>13</v>
      </c>
    </row>
    <row r="2550" spans="1:9" x14ac:dyDescent="0.2">
      <c r="A2550" s="2" t="s">
        <v>3278</v>
      </c>
      <c r="B2550" s="2" t="s">
        <v>58</v>
      </c>
      <c r="C2550" s="2">
        <v>1106.8520000000001</v>
      </c>
      <c r="D2550" s="2">
        <f>HYPERLINK("http://mcb-m6.bioreg.kyushu-u.ac.jp/M3/20110428/F51146/3040/1", 65.63)</f>
        <v>65.63</v>
      </c>
      <c r="E2550" s="2">
        <v>18.77</v>
      </c>
      <c r="F2550" s="2">
        <v>2</v>
      </c>
      <c r="G2550" s="2" t="s">
        <v>13</v>
      </c>
    </row>
    <row r="2551" spans="1:9" x14ac:dyDescent="0.2">
      <c r="A2551" s="2" t="s">
        <v>3278</v>
      </c>
      <c r="B2551" s="2" t="s">
        <v>58</v>
      </c>
      <c r="C2551" s="2">
        <v>1106.835</v>
      </c>
      <c r="D2551" s="2">
        <f>HYPERLINK("http://mcb-m6.bioreg.kyushu-u.ac.jp/M3/20110428/F51146/3039/1", 73.48)</f>
        <v>73.48</v>
      </c>
      <c r="E2551" s="2">
        <v>19.329999999999998</v>
      </c>
      <c r="F2551" s="2">
        <v>2</v>
      </c>
      <c r="G2551" s="2" t="s">
        <v>13</v>
      </c>
    </row>
    <row r="2552" spans="1:9" x14ac:dyDescent="0.2">
      <c r="A2552" s="2" t="s">
        <v>3278</v>
      </c>
      <c r="B2552" s="2" t="s">
        <v>58</v>
      </c>
      <c r="C2552" s="2">
        <v>738.39390000000003</v>
      </c>
      <c r="D2552" s="2">
        <f>HYPERLINK("http://mcb-m6.bioreg.kyushu-u.ac.jp/M3/20110428/F51145/2974/1", 35.69)</f>
        <v>35.69</v>
      </c>
      <c r="E2552" s="2">
        <v>15.56</v>
      </c>
      <c r="F2552" s="2">
        <v>3</v>
      </c>
      <c r="G2552" s="2" t="s">
        <v>14</v>
      </c>
    </row>
    <row r="2553" spans="1:9" x14ac:dyDescent="0.2">
      <c r="A2553" s="2" t="s">
        <v>3278</v>
      </c>
      <c r="B2553" s="2" t="s">
        <v>58</v>
      </c>
      <c r="C2553" s="2">
        <v>1107.1110000000001</v>
      </c>
      <c r="D2553" s="2">
        <f>HYPERLINK("http://mcb-m6.bioreg.kyushu-u.ac.jp/M3/20110428/F51142/3639/1", 43.49)</f>
        <v>43.49</v>
      </c>
      <c r="E2553" s="2">
        <v>19.309999999999999</v>
      </c>
      <c r="F2553" s="2">
        <v>2</v>
      </c>
      <c r="G2553" s="2" t="s">
        <v>14</v>
      </c>
    </row>
    <row r="2554" spans="1:9" x14ac:dyDescent="0.2">
      <c r="A2554" s="2" t="s">
        <v>3980</v>
      </c>
      <c r="B2554" s="2" t="s">
        <v>1230</v>
      </c>
      <c r="C2554" s="2">
        <v>630.40719999999999</v>
      </c>
      <c r="D2554" s="2">
        <f>HYPERLINK("http://mcb-m6.bioreg.kyushu-u.ac.jp/M3/20110318/F50609/1340/1", 64.2)</f>
        <v>64.2</v>
      </c>
      <c r="E2554" s="2">
        <v>36.81</v>
      </c>
      <c r="F2554" s="2">
        <v>2</v>
      </c>
      <c r="G2554" s="2" t="s">
        <v>9</v>
      </c>
    </row>
    <row r="2555" spans="1:9" x14ac:dyDescent="0.2">
      <c r="A2555" s="2" t="s">
        <v>5764</v>
      </c>
      <c r="B2555" s="2" t="s">
        <v>5387</v>
      </c>
      <c r="C2555" s="2">
        <v>522.95619999999997</v>
      </c>
      <c r="D2555" s="2">
        <f>HYPERLINK("http://mcb-m6.bioreg.kyushu-u.ac.jp/M3/20110418/F50970/1703/1", 43.68)</f>
        <v>43.68</v>
      </c>
      <c r="E2555" s="2">
        <v>15.07</v>
      </c>
      <c r="F2555" s="2">
        <v>2</v>
      </c>
      <c r="G2555" s="2" t="s">
        <v>11</v>
      </c>
    </row>
    <row r="2556" spans="1:9" x14ac:dyDescent="0.2">
      <c r="A2556" s="2" t="s">
        <v>5809</v>
      </c>
      <c r="B2556" s="2" t="s">
        <v>5474</v>
      </c>
      <c r="C2556" s="2">
        <v>464.21409999999997</v>
      </c>
      <c r="D2556" s="2">
        <f>HYPERLINK("http://mcb-m6.bioreg.kyushu-u.ac.jp/M3/20110429/F51153/453/1", 37.38)</f>
        <v>37.380000000000003</v>
      </c>
      <c r="E2556" s="2">
        <v>13.1</v>
      </c>
      <c r="F2556" s="2">
        <v>2</v>
      </c>
      <c r="G2556" s="2" t="s">
        <v>13</v>
      </c>
    </row>
    <row r="2557" spans="1:9" x14ac:dyDescent="0.2">
      <c r="A2557" s="2" t="s">
        <v>4061</v>
      </c>
      <c r="B2557" s="2" t="s">
        <v>5223</v>
      </c>
      <c r="C2557" s="2">
        <v>484.40210000000002</v>
      </c>
      <c r="D2557" s="2">
        <f>HYPERLINK("http://mcb-m6.bioreg.kyushu-u.ac.jp/M3/20110318/F50597/853/1", 36.79)</f>
        <v>36.79</v>
      </c>
      <c r="E2557" s="2">
        <v>12.99</v>
      </c>
      <c r="F2557" s="2">
        <v>2</v>
      </c>
      <c r="G2557" s="2" t="s">
        <v>10</v>
      </c>
      <c r="I2557" s="2" t="s">
        <v>4898</v>
      </c>
    </row>
    <row r="2558" spans="1:9" x14ac:dyDescent="0.2">
      <c r="A2558" s="2" t="s">
        <v>4061</v>
      </c>
      <c r="B2558" s="2" t="s">
        <v>1426</v>
      </c>
      <c r="C2558" s="2">
        <v>987.48320000000001</v>
      </c>
      <c r="D2558" s="2">
        <f>HYPERLINK("http://mcb-m6.bioreg.kyushu-u.ac.jp/M3/20110318/F50597/2460/1", 82.9)</f>
        <v>82.9</v>
      </c>
      <c r="E2558" s="2">
        <v>66.010000000000005</v>
      </c>
      <c r="F2558" s="2">
        <v>2</v>
      </c>
      <c r="G2558" s="2" t="s">
        <v>10</v>
      </c>
    </row>
    <row r="2559" spans="1:9" x14ac:dyDescent="0.2">
      <c r="A2559" s="2" t="s">
        <v>4061</v>
      </c>
      <c r="B2559" s="2" t="s">
        <v>2114</v>
      </c>
      <c r="C2559" s="2">
        <v>975.11320000000001</v>
      </c>
      <c r="D2559" s="2">
        <f>HYPERLINK("http://mcb-m6.bioreg.kyushu-u.ac.jp/M3/20110418/F50974/3145/1", 40.01)</f>
        <v>40.01</v>
      </c>
      <c r="E2559" s="2">
        <v>15.6</v>
      </c>
      <c r="F2559" s="2">
        <v>2</v>
      </c>
      <c r="G2559" s="2" t="s">
        <v>11</v>
      </c>
    </row>
    <row r="2560" spans="1:9" x14ac:dyDescent="0.2">
      <c r="A2560" s="2" t="s">
        <v>4057</v>
      </c>
      <c r="B2560" s="2" t="s">
        <v>1415</v>
      </c>
      <c r="C2560" s="2">
        <v>571.10519999999997</v>
      </c>
      <c r="D2560" s="2">
        <f>HYPERLINK("http://mcb-m6.bioreg.kyushu-u.ac.jp/M3/20110318/F50597/2049/1", 38.14)</f>
        <v>38.14</v>
      </c>
      <c r="E2560" s="2">
        <v>21.04</v>
      </c>
      <c r="F2560" s="2">
        <v>3</v>
      </c>
      <c r="G2560" s="2" t="s">
        <v>10</v>
      </c>
      <c r="I2560" s="2" t="s">
        <v>4918</v>
      </c>
    </row>
    <row r="2561" spans="1:9" x14ac:dyDescent="0.2">
      <c r="A2561" s="2" t="s">
        <v>4150</v>
      </c>
      <c r="B2561" s="2" t="s">
        <v>5115</v>
      </c>
      <c r="C2561" s="2">
        <v>694.77120000000002</v>
      </c>
      <c r="D2561" s="2">
        <f>HYPERLINK("http://mcb-m6.bioreg.kyushu-u.ac.jp/M3/20110318/F50620/1447/1", 59.26)</f>
        <v>59.26</v>
      </c>
      <c r="E2561" s="2">
        <v>33.159999999999997</v>
      </c>
      <c r="F2561" s="2">
        <v>2</v>
      </c>
      <c r="G2561" s="2" t="s">
        <v>9</v>
      </c>
    </row>
    <row r="2562" spans="1:9" x14ac:dyDescent="0.2">
      <c r="A2562" s="2" t="s">
        <v>4150</v>
      </c>
      <c r="B2562" s="2" t="s">
        <v>1702</v>
      </c>
      <c r="C2562" s="2">
        <v>837.2722</v>
      </c>
      <c r="D2562" s="2">
        <f>HYPERLINK("http://mcb-m6.bioreg.kyushu-u.ac.jp/M3/20110418/F50996/2427/1", 48.75)</f>
        <v>48.75</v>
      </c>
      <c r="E2562" s="2">
        <v>37.03</v>
      </c>
      <c r="F2562" s="2">
        <v>2</v>
      </c>
      <c r="G2562" s="2" t="s">
        <v>11</v>
      </c>
      <c r="I2562" s="2" t="s">
        <v>4909</v>
      </c>
    </row>
    <row r="2563" spans="1:9" x14ac:dyDescent="0.2">
      <c r="A2563" s="2" t="s">
        <v>4150</v>
      </c>
      <c r="B2563" s="2" t="s">
        <v>2348</v>
      </c>
      <c r="C2563" s="2">
        <v>721.8827</v>
      </c>
      <c r="D2563" s="2">
        <f>HYPERLINK("http://mcb-m6.bioreg.kyushu-u.ac.jp/M3/20110418/F50996/1961/1", 73)</f>
        <v>73</v>
      </c>
      <c r="E2563" s="2">
        <v>35.33</v>
      </c>
      <c r="F2563" s="2">
        <v>2</v>
      </c>
      <c r="G2563" s="2" t="s">
        <v>11</v>
      </c>
      <c r="I2563" s="2" t="s">
        <v>4923</v>
      </c>
    </row>
    <row r="2564" spans="1:9" x14ac:dyDescent="0.2">
      <c r="A2564" s="2" t="s">
        <v>4150</v>
      </c>
      <c r="B2564" s="2" t="s">
        <v>2348</v>
      </c>
      <c r="C2564" s="2">
        <v>721.74620000000004</v>
      </c>
      <c r="D2564" s="2">
        <f>HYPERLINK("http://mcb-m6.bioreg.kyushu-u.ac.jp/M3/20110418/F50997/1914/1", 36.44)</f>
        <v>36.44</v>
      </c>
      <c r="E2564" s="2">
        <v>15.76</v>
      </c>
      <c r="F2564" s="2">
        <v>2</v>
      </c>
      <c r="G2564" s="2" t="s">
        <v>12</v>
      </c>
      <c r="I2564" s="2" t="s">
        <v>4923</v>
      </c>
    </row>
    <row r="2565" spans="1:9" x14ac:dyDescent="0.2">
      <c r="A2565" s="2" t="s">
        <v>4150</v>
      </c>
      <c r="B2565" s="2" t="s">
        <v>5507</v>
      </c>
      <c r="C2565" s="2">
        <v>543.73019999999997</v>
      </c>
      <c r="D2565" s="2">
        <f>HYPERLINK("http://mcb-m6.bioreg.kyushu-u.ac.jp/M3/20110429/F51152/1036/1", 43.53)</f>
        <v>43.53</v>
      </c>
      <c r="E2565" s="2">
        <v>23.6</v>
      </c>
      <c r="F2565" s="2">
        <v>2</v>
      </c>
      <c r="G2565" s="2" t="s">
        <v>13</v>
      </c>
    </row>
    <row r="2566" spans="1:9" x14ac:dyDescent="0.2">
      <c r="A2566" s="2" t="s">
        <v>4150</v>
      </c>
      <c r="B2566" s="2" t="s">
        <v>1702</v>
      </c>
      <c r="C2566" s="2">
        <v>837.11720000000003</v>
      </c>
      <c r="D2566" s="2">
        <f>HYPERLINK("http://mcb-m6.bioreg.kyushu-u.ac.jp/M3/20110429/F51152/2476/1", 65.75)</f>
        <v>65.75</v>
      </c>
      <c r="E2566" s="2">
        <v>54.16</v>
      </c>
      <c r="F2566" s="2">
        <v>2</v>
      </c>
      <c r="G2566" s="2" t="s">
        <v>13</v>
      </c>
      <c r="I2566" s="2" t="s">
        <v>4909</v>
      </c>
    </row>
    <row r="2567" spans="1:9" x14ac:dyDescent="0.2">
      <c r="A2567" s="2" t="s">
        <v>4150</v>
      </c>
      <c r="B2567" s="2" t="s">
        <v>2348</v>
      </c>
      <c r="C2567" s="2">
        <v>721.71310000000005</v>
      </c>
      <c r="D2567" s="2">
        <f>HYPERLINK("http://mcb-m6.bioreg.kyushu-u.ac.jp/M3/20110429/F51152/1846/1", 70.97)</f>
        <v>70.97</v>
      </c>
      <c r="E2567" s="2">
        <v>27.71</v>
      </c>
      <c r="F2567" s="2">
        <v>2</v>
      </c>
      <c r="G2567" s="2" t="s">
        <v>13</v>
      </c>
      <c r="I2567" s="2" t="s">
        <v>4923</v>
      </c>
    </row>
    <row r="2568" spans="1:9" x14ac:dyDescent="0.2">
      <c r="A2568" s="2" t="s">
        <v>4150</v>
      </c>
      <c r="B2568" s="2" t="s">
        <v>1702</v>
      </c>
      <c r="C2568" s="2">
        <v>837.43769999999995</v>
      </c>
      <c r="D2568" s="2">
        <f>HYPERLINK("http://mcb-m6.bioreg.kyushu-u.ac.jp/M3/20110428/F51140/2457/1", 43.72)</f>
        <v>43.72</v>
      </c>
      <c r="E2568" s="2">
        <v>32.54</v>
      </c>
      <c r="F2568" s="2">
        <v>2</v>
      </c>
      <c r="G2568" s="2" t="s">
        <v>14</v>
      </c>
      <c r="I2568" s="2" t="s">
        <v>4909</v>
      </c>
    </row>
    <row r="2569" spans="1:9" x14ac:dyDescent="0.2">
      <c r="A2569" s="2" t="s">
        <v>4150</v>
      </c>
      <c r="B2569" s="2" t="s">
        <v>5507</v>
      </c>
      <c r="C2569" s="2">
        <v>544.22860000000003</v>
      </c>
      <c r="D2569" s="2">
        <f>HYPERLINK("http://mcb-m6.bioreg.kyushu-u.ac.jp/M3/20110428/F51140/1055/1", 65.02)</f>
        <v>65.02</v>
      </c>
      <c r="E2569" s="2">
        <v>48.45</v>
      </c>
      <c r="F2569" s="2">
        <v>2</v>
      </c>
      <c r="G2569" s="2" t="s">
        <v>14</v>
      </c>
    </row>
    <row r="2570" spans="1:9" x14ac:dyDescent="0.2">
      <c r="A2570" s="2" t="s">
        <v>3738</v>
      </c>
      <c r="B2570" s="2" t="s">
        <v>1452</v>
      </c>
      <c r="C2570" s="2">
        <v>653.91309999999999</v>
      </c>
      <c r="D2570" s="2">
        <f>HYPERLINK("http://mcb-m6.bioreg.kyushu-u.ac.jp/M3/20110318/F50609/1388/1", 47.66)</f>
        <v>47.66</v>
      </c>
      <c r="E2570" s="2">
        <v>28.4</v>
      </c>
      <c r="F2570" s="2">
        <v>2</v>
      </c>
      <c r="G2570" s="2" t="s">
        <v>9</v>
      </c>
    </row>
    <row r="2571" spans="1:9" x14ac:dyDescent="0.2">
      <c r="A2571" s="2" t="s">
        <v>3738</v>
      </c>
      <c r="B2571" s="2" t="s">
        <v>740</v>
      </c>
      <c r="C2571" s="2">
        <v>806.84119999999996</v>
      </c>
      <c r="D2571" s="2">
        <f>HYPERLINK("http://mcb-m6.bioreg.kyushu-u.ac.jp/M3/20110318/F50609/1823/1", 76.13)</f>
        <v>76.13</v>
      </c>
      <c r="E2571" s="2">
        <v>55.19</v>
      </c>
      <c r="F2571" s="2">
        <v>2</v>
      </c>
      <c r="G2571" s="2" t="s">
        <v>9</v>
      </c>
    </row>
    <row r="2572" spans="1:9" x14ac:dyDescent="0.2">
      <c r="A2572" s="2" t="s">
        <v>3738</v>
      </c>
      <c r="B2572" s="2" t="s">
        <v>5238</v>
      </c>
      <c r="C2572" s="2">
        <v>1010.812</v>
      </c>
      <c r="D2572" s="2">
        <f>HYPERLINK("http://mcb-m6.bioreg.kyushu-u.ac.jp/M3/20110318/F50600/2254/1", 39.19)</f>
        <v>39.19</v>
      </c>
      <c r="E2572" s="2">
        <v>24.41</v>
      </c>
      <c r="F2572" s="2">
        <v>2</v>
      </c>
      <c r="G2572" s="2" t="s">
        <v>10</v>
      </c>
    </row>
    <row r="2573" spans="1:9" x14ac:dyDescent="0.2">
      <c r="A2573" s="2" t="s">
        <v>3738</v>
      </c>
      <c r="B2573" s="2" t="s">
        <v>5268</v>
      </c>
      <c r="C2573" s="2">
        <v>641.93020000000001</v>
      </c>
      <c r="D2573" s="2">
        <f>HYPERLINK("http://mcb-m6.bioreg.kyushu-u.ac.jp/M3/20110318/F50600/2165/1", 44.8)</f>
        <v>44.8</v>
      </c>
      <c r="E2573" s="2">
        <v>35.97</v>
      </c>
      <c r="F2573" s="2">
        <v>3</v>
      </c>
      <c r="G2573" s="2" t="s">
        <v>10</v>
      </c>
    </row>
    <row r="2574" spans="1:9" x14ac:dyDescent="0.2">
      <c r="A2574" s="2" t="s">
        <v>3738</v>
      </c>
      <c r="B2574" s="2" t="s">
        <v>1264</v>
      </c>
      <c r="C2574" s="2">
        <v>538.94420000000002</v>
      </c>
      <c r="D2574" s="2">
        <f>HYPERLINK("http://mcb-m6.bioreg.kyushu-u.ac.jp/M3/20110318/F50600/1147/1", 75.1)</f>
        <v>75.099999999999994</v>
      </c>
      <c r="E2574" s="2">
        <v>44.35</v>
      </c>
      <c r="F2574" s="2">
        <v>2</v>
      </c>
      <c r="G2574" s="2" t="s">
        <v>10</v>
      </c>
      <c r="H2574" s="2" t="s">
        <v>4900</v>
      </c>
    </row>
    <row r="2575" spans="1:9" x14ac:dyDescent="0.2">
      <c r="A2575" s="2" t="s">
        <v>3738</v>
      </c>
      <c r="B2575" s="2" t="s">
        <v>740</v>
      </c>
      <c r="C2575" s="2">
        <v>806.77719999999999</v>
      </c>
      <c r="D2575" s="2">
        <f>HYPERLINK("http://mcb-m6.bioreg.kyushu-u.ac.jp/M3/20110318/F50600/1819/1", 99.13)</f>
        <v>99.13</v>
      </c>
      <c r="E2575" s="2">
        <v>76.709999999999994</v>
      </c>
      <c r="F2575" s="2">
        <v>2</v>
      </c>
      <c r="G2575" s="2" t="s">
        <v>10</v>
      </c>
    </row>
    <row r="2576" spans="1:9" x14ac:dyDescent="0.2">
      <c r="A2576" s="2" t="s">
        <v>3738</v>
      </c>
      <c r="B2576" s="2" t="s">
        <v>740</v>
      </c>
      <c r="C2576" s="2">
        <v>806.34860000000003</v>
      </c>
      <c r="D2576" s="2">
        <f>HYPERLINK("http://mcb-m6.bioreg.kyushu-u.ac.jp/M3/20110318/F50600/1818/1", 99.83)</f>
        <v>99.83</v>
      </c>
      <c r="E2576" s="2">
        <v>79</v>
      </c>
      <c r="F2576" s="2">
        <v>2</v>
      </c>
      <c r="G2576" s="2" t="s">
        <v>10</v>
      </c>
    </row>
    <row r="2577" spans="1:8" x14ac:dyDescent="0.2">
      <c r="A2577" s="2" t="s">
        <v>5855</v>
      </c>
      <c r="B2577" s="2" t="s">
        <v>5551</v>
      </c>
      <c r="C2577" s="2">
        <v>788.36609999999996</v>
      </c>
      <c r="D2577" s="2">
        <f>HYPERLINK("http://mcb-m6.bioreg.kyushu-u.ac.jp/M3/20110429/F51157/2000/1", 70.97)</f>
        <v>70.97</v>
      </c>
      <c r="E2577" s="2">
        <v>56.66</v>
      </c>
      <c r="F2577" s="2">
        <v>2</v>
      </c>
      <c r="G2577" s="2" t="s">
        <v>13</v>
      </c>
    </row>
    <row r="2578" spans="1:8" x14ac:dyDescent="0.2">
      <c r="A2578" s="2" t="s">
        <v>3271</v>
      </c>
      <c r="B2578" s="2" t="s">
        <v>5434</v>
      </c>
      <c r="C2578" s="2">
        <v>486.74560000000002</v>
      </c>
      <c r="D2578" s="2">
        <f>HYPERLINK("http://mcb-m6.bioreg.kyushu-u.ac.jp/M3/20110418/F50988/1408/2", 38.54)</f>
        <v>38.54</v>
      </c>
      <c r="E2578" s="2">
        <v>8.07</v>
      </c>
      <c r="F2578" s="2">
        <v>2</v>
      </c>
      <c r="G2578" s="2" t="s">
        <v>12</v>
      </c>
    </row>
    <row r="2579" spans="1:8" x14ac:dyDescent="0.2">
      <c r="A2579" s="2" t="s">
        <v>3271</v>
      </c>
      <c r="B2579" s="2" t="s">
        <v>3116</v>
      </c>
      <c r="C2579" s="2">
        <v>868.29219999999998</v>
      </c>
      <c r="D2579" s="2">
        <f>HYPERLINK("http://mcb-m6.bioreg.kyushu-u.ac.jp/M3/20110429/F51154/2734/1", 66.01)</f>
        <v>66.010000000000005</v>
      </c>
      <c r="E2579" s="2">
        <v>44.76</v>
      </c>
      <c r="F2579" s="2">
        <v>2</v>
      </c>
      <c r="G2579" s="2" t="s">
        <v>13</v>
      </c>
    </row>
    <row r="2580" spans="1:8" x14ac:dyDescent="0.2">
      <c r="A2580" s="2" t="s">
        <v>4520</v>
      </c>
      <c r="B2580" s="2" t="s">
        <v>2535</v>
      </c>
      <c r="C2580" s="2">
        <v>634.40620000000001</v>
      </c>
      <c r="D2580" s="2">
        <f>HYPERLINK("http://mcb-m6.bioreg.kyushu-u.ac.jp/M3/20110318/F50603/1229/1", 74.57)</f>
        <v>74.569999999999993</v>
      </c>
      <c r="E2580" s="2">
        <v>51.76</v>
      </c>
      <c r="F2580" s="2">
        <v>2</v>
      </c>
      <c r="G2580" s="2" t="s">
        <v>9</v>
      </c>
    </row>
    <row r="2581" spans="1:8" x14ac:dyDescent="0.2">
      <c r="A2581" s="2" t="s">
        <v>3532</v>
      </c>
      <c r="B2581" s="2" t="s">
        <v>382</v>
      </c>
      <c r="C2581" s="2">
        <v>882.49300000000005</v>
      </c>
      <c r="D2581" s="2">
        <f>HYPERLINK("http://mcb-m6.bioreg.kyushu-u.ac.jp/M3/20110318/F50603/864/1", 46.91)</f>
        <v>46.91</v>
      </c>
      <c r="E2581" s="2">
        <v>32.08</v>
      </c>
      <c r="F2581" s="2">
        <v>1</v>
      </c>
      <c r="G2581" s="2" t="s">
        <v>9</v>
      </c>
    </row>
    <row r="2582" spans="1:8" x14ac:dyDescent="0.2">
      <c r="A2582" s="2" t="s">
        <v>3532</v>
      </c>
      <c r="B2582" s="2" t="s">
        <v>5086</v>
      </c>
      <c r="C2582" s="2">
        <v>568.99019999999996</v>
      </c>
      <c r="D2582" s="2">
        <f>HYPERLINK("http://mcb-m6.bioreg.kyushu-u.ac.jp/M3/20110318/F50603/1100/1", 50.57)</f>
        <v>50.57</v>
      </c>
      <c r="E2582" s="2">
        <v>32.74</v>
      </c>
      <c r="F2582" s="2">
        <v>2</v>
      </c>
      <c r="G2582" s="2" t="s">
        <v>9</v>
      </c>
      <c r="H2582" s="2" t="s">
        <v>4917</v>
      </c>
    </row>
    <row r="2583" spans="1:8" x14ac:dyDescent="0.2">
      <c r="A2583" s="2" t="s">
        <v>3532</v>
      </c>
      <c r="B2583" s="2" t="s">
        <v>2406</v>
      </c>
      <c r="C2583" s="2">
        <v>904.50419999999997</v>
      </c>
      <c r="D2583" s="2">
        <f>HYPERLINK("http://mcb-m6.bioreg.kyushu-u.ac.jp/M3/20110318/F50603/1912/1", 51.34)</f>
        <v>51.34</v>
      </c>
      <c r="E2583" s="2">
        <v>39.39</v>
      </c>
      <c r="F2583" s="2">
        <v>2</v>
      </c>
      <c r="G2583" s="2" t="s">
        <v>9</v>
      </c>
    </row>
    <row r="2584" spans="1:8" x14ac:dyDescent="0.2">
      <c r="A2584" s="2" t="s">
        <v>3532</v>
      </c>
      <c r="B2584" s="2" t="s">
        <v>5117</v>
      </c>
      <c r="C2584" s="2">
        <v>532.4357</v>
      </c>
      <c r="D2584" s="2">
        <f>HYPERLINK("http://mcb-m6.bioreg.kyushu-u.ac.jp/M3/20110318/F50603/1042/1", 59.73)</f>
        <v>59.73</v>
      </c>
      <c r="E2584" s="2">
        <v>36.119999999999997</v>
      </c>
      <c r="F2584" s="2">
        <v>2</v>
      </c>
      <c r="G2584" s="2" t="s">
        <v>9</v>
      </c>
      <c r="H2584" s="2" t="s">
        <v>4901</v>
      </c>
    </row>
    <row r="2585" spans="1:8" x14ac:dyDescent="0.2">
      <c r="A2585" s="2" t="s">
        <v>3532</v>
      </c>
      <c r="B2585" s="2" t="s">
        <v>1300</v>
      </c>
      <c r="C2585" s="2">
        <v>627.05970000000002</v>
      </c>
      <c r="D2585" s="2">
        <f>HYPERLINK("http://mcb-m6.bioreg.kyushu-u.ac.jp/M3/20110318/F50603/1219/1", 77.82)</f>
        <v>77.819999999999993</v>
      </c>
      <c r="E2585" s="2">
        <v>60.94</v>
      </c>
      <c r="F2585" s="2">
        <v>2</v>
      </c>
      <c r="G2585" s="2" t="s">
        <v>9</v>
      </c>
    </row>
    <row r="2586" spans="1:8" x14ac:dyDescent="0.2">
      <c r="A2586" s="2" t="s">
        <v>3532</v>
      </c>
      <c r="B2586" s="2" t="s">
        <v>1326</v>
      </c>
      <c r="C2586" s="2">
        <v>572.61969999999997</v>
      </c>
      <c r="D2586" s="2">
        <f>HYPERLINK("http://mcb-m6.bioreg.kyushu-u.ac.jp/M3/20110318/F50603/1105/1", 80.46)</f>
        <v>80.459999999999994</v>
      </c>
      <c r="E2586" s="2">
        <v>55.64</v>
      </c>
      <c r="F2586" s="2">
        <v>2</v>
      </c>
      <c r="G2586" s="2" t="s">
        <v>9</v>
      </c>
    </row>
    <row r="2587" spans="1:8" x14ac:dyDescent="0.2">
      <c r="A2587" s="2" t="s">
        <v>3532</v>
      </c>
      <c r="B2587" s="2" t="s">
        <v>1300</v>
      </c>
      <c r="C2587" s="2">
        <v>627.32119999999998</v>
      </c>
      <c r="D2587" s="2">
        <f>HYPERLINK("http://mcb-m6.bioreg.kyushu-u.ac.jp/M3/20110318/F50596/1299/1", 42.1)</f>
        <v>42.1</v>
      </c>
      <c r="E2587" s="2">
        <v>20.190000000000001</v>
      </c>
      <c r="F2587" s="2">
        <v>2</v>
      </c>
      <c r="G2587" s="2" t="s">
        <v>10</v>
      </c>
    </row>
    <row r="2588" spans="1:8" x14ac:dyDescent="0.2">
      <c r="A2588" s="2" t="s">
        <v>3532</v>
      </c>
      <c r="B2588" s="2" t="s">
        <v>5086</v>
      </c>
      <c r="C2588" s="2">
        <v>568.85969999999998</v>
      </c>
      <c r="D2588" s="2">
        <f>HYPERLINK("http://mcb-m6.bioreg.kyushu-u.ac.jp/M3/20110318/F50611/1146/1", 43.54)</f>
        <v>43.54</v>
      </c>
      <c r="E2588" s="2">
        <v>30.89</v>
      </c>
      <c r="F2588" s="2">
        <v>2</v>
      </c>
      <c r="G2588" s="2" t="s">
        <v>10</v>
      </c>
      <c r="H2588" s="2" t="s">
        <v>4917</v>
      </c>
    </row>
    <row r="2589" spans="1:8" x14ac:dyDescent="0.2">
      <c r="A2589" s="2" t="s">
        <v>3532</v>
      </c>
      <c r="B2589" s="2" t="s">
        <v>382</v>
      </c>
      <c r="C2589" s="2">
        <v>882.31100000000004</v>
      </c>
      <c r="D2589" s="2">
        <f>HYPERLINK("http://mcb-m6.bioreg.kyushu-u.ac.jp/M3/20110318/F50611/819/1", 46.85)</f>
        <v>46.85</v>
      </c>
      <c r="E2589" s="2">
        <v>28.86</v>
      </c>
      <c r="F2589" s="2">
        <v>1</v>
      </c>
      <c r="G2589" s="2" t="s">
        <v>10</v>
      </c>
    </row>
    <row r="2590" spans="1:8" x14ac:dyDescent="0.2">
      <c r="A2590" s="2" t="s">
        <v>3532</v>
      </c>
      <c r="B2590" s="2" t="s">
        <v>5295</v>
      </c>
      <c r="C2590" s="2">
        <v>623.40309999999999</v>
      </c>
      <c r="D2590" s="2">
        <f>HYPERLINK("http://mcb-m6.bioreg.kyushu-u.ac.jp/M3/20110318/F50611/1275/1", 51.33)</f>
        <v>51.33</v>
      </c>
      <c r="E2590" s="2">
        <v>35.35</v>
      </c>
      <c r="F2590" s="2">
        <v>2</v>
      </c>
      <c r="G2590" s="2" t="s">
        <v>10</v>
      </c>
    </row>
    <row r="2591" spans="1:8" x14ac:dyDescent="0.2">
      <c r="A2591" s="2" t="s">
        <v>3532</v>
      </c>
      <c r="B2591" s="2" t="s">
        <v>1948</v>
      </c>
      <c r="C2591" s="2">
        <v>671.30070000000001</v>
      </c>
      <c r="D2591" s="2">
        <f>HYPERLINK("http://mcb-m6.bioreg.kyushu-u.ac.jp/M3/20110318/F50611/1378/1", 56.21)</f>
        <v>56.21</v>
      </c>
      <c r="E2591" s="2">
        <v>34.25</v>
      </c>
      <c r="F2591" s="2">
        <v>2</v>
      </c>
      <c r="G2591" s="2" t="s">
        <v>10</v>
      </c>
    </row>
    <row r="2592" spans="1:8" x14ac:dyDescent="0.2">
      <c r="A2592" s="2" t="s">
        <v>3532</v>
      </c>
      <c r="B2592" s="2" t="s">
        <v>5117</v>
      </c>
      <c r="C2592" s="2">
        <v>532.26760000000002</v>
      </c>
      <c r="D2592" s="2">
        <f>HYPERLINK("http://mcb-m6.bioreg.kyushu-u.ac.jp/M3/20110318/F50611/1067/1", 62.31)</f>
        <v>62.31</v>
      </c>
      <c r="E2592" s="2">
        <v>38.93</v>
      </c>
      <c r="F2592" s="2">
        <v>2</v>
      </c>
      <c r="G2592" s="2" t="s">
        <v>10</v>
      </c>
      <c r="H2592" s="2" t="s">
        <v>4901</v>
      </c>
    </row>
    <row r="2593" spans="1:7" x14ac:dyDescent="0.2">
      <c r="A2593" s="2" t="s">
        <v>3532</v>
      </c>
      <c r="B2593" s="2" t="s">
        <v>1326</v>
      </c>
      <c r="C2593" s="2">
        <v>572.40869999999995</v>
      </c>
      <c r="D2593" s="2">
        <f>HYPERLINK("http://mcb-m6.bioreg.kyushu-u.ac.jp/M3/20110318/F50611/1151/1", 77.75)</f>
        <v>77.75</v>
      </c>
      <c r="E2593" s="2">
        <v>59.25</v>
      </c>
      <c r="F2593" s="2">
        <v>2</v>
      </c>
      <c r="G2593" s="2" t="s">
        <v>10</v>
      </c>
    </row>
    <row r="2594" spans="1:7" x14ac:dyDescent="0.2">
      <c r="A2594" s="2" t="s">
        <v>3532</v>
      </c>
      <c r="B2594" s="2" t="s">
        <v>2406</v>
      </c>
      <c r="C2594" s="2">
        <v>904.51670000000001</v>
      </c>
      <c r="D2594" s="2">
        <f>HYPERLINK("http://mcb-m6.bioreg.kyushu-u.ac.jp/M3/20110318/F50611/2213/1", 85.99)</f>
        <v>85.99</v>
      </c>
      <c r="E2594" s="2">
        <v>44.87</v>
      </c>
      <c r="F2594" s="2">
        <v>2</v>
      </c>
      <c r="G2594" s="2" t="s">
        <v>10</v>
      </c>
    </row>
    <row r="2595" spans="1:7" x14ac:dyDescent="0.2">
      <c r="A2595" s="2" t="s">
        <v>3532</v>
      </c>
      <c r="B2595" s="2" t="s">
        <v>823</v>
      </c>
      <c r="C2595" s="2">
        <v>982.60969999999998</v>
      </c>
      <c r="D2595" s="2">
        <f>HYPERLINK("http://mcb-m6.bioreg.kyushu-u.ac.jp/M3/20110318/F50611/2402/1", 88)</f>
        <v>88</v>
      </c>
      <c r="E2595" s="2">
        <v>68.34</v>
      </c>
      <c r="F2595" s="2">
        <v>2</v>
      </c>
      <c r="G2595" s="2" t="s">
        <v>10</v>
      </c>
    </row>
    <row r="2596" spans="1:7" x14ac:dyDescent="0.2">
      <c r="A2596" s="2" t="s">
        <v>3532</v>
      </c>
      <c r="B2596" s="2" t="s">
        <v>1326</v>
      </c>
      <c r="C2596" s="2">
        <v>572.33420000000001</v>
      </c>
      <c r="D2596" s="2">
        <f>HYPERLINK("http://mcb-m6.bioreg.kyushu-u.ac.jp/M3/20110418/F51001/1490/1", 37.63)</f>
        <v>37.630000000000003</v>
      </c>
      <c r="E2596" s="2">
        <v>19.739999999999998</v>
      </c>
      <c r="F2596" s="2">
        <v>2</v>
      </c>
      <c r="G2596" s="2" t="s">
        <v>12</v>
      </c>
    </row>
    <row r="2597" spans="1:7" x14ac:dyDescent="0.2">
      <c r="A2597" s="2" t="s">
        <v>3532</v>
      </c>
      <c r="B2597" s="2" t="s">
        <v>1948</v>
      </c>
      <c r="C2597" s="2">
        <v>671.04719999999998</v>
      </c>
      <c r="D2597" s="2">
        <f>HYPERLINK("http://mcb-m6.bioreg.kyushu-u.ac.jp/M3/20110429/F51154/1576/1", 43.28)</f>
        <v>43.28</v>
      </c>
      <c r="E2597" s="2">
        <v>31.84</v>
      </c>
      <c r="F2597" s="2">
        <v>2</v>
      </c>
      <c r="G2597" s="2" t="s">
        <v>13</v>
      </c>
    </row>
    <row r="2598" spans="1:7" x14ac:dyDescent="0.2">
      <c r="A2598" s="2" t="s">
        <v>3532</v>
      </c>
      <c r="B2598" s="2" t="s">
        <v>1300</v>
      </c>
      <c r="C2598" s="2">
        <v>626.93709999999999</v>
      </c>
      <c r="D2598" s="2">
        <f>HYPERLINK("http://mcb-m6.bioreg.kyushu-u.ac.jp/M3/20110502/F51164/1125/1", 49.82)</f>
        <v>49.82</v>
      </c>
      <c r="E2598" s="2">
        <v>30.18</v>
      </c>
      <c r="F2598" s="2">
        <v>2</v>
      </c>
      <c r="G2598" s="2" t="s">
        <v>13</v>
      </c>
    </row>
    <row r="2599" spans="1:7" x14ac:dyDescent="0.2">
      <c r="A2599" s="2" t="s">
        <v>3532</v>
      </c>
      <c r="B2599" s="2" t="s">
        <v>1300</v>
      </c>
      <c r="C2599" s="2">
        <v>626.8827</v>
      </c>
      <c r="D2599" s="2">
        <f>HYPERLINK("http://mcb-m6.bioreg.kyushu-u.ac.jp/M3/20110429/F51154/1355/1", 49.99)</f>
        <v>49.99</v>
      </c>
      <c r="E2599" s="2">
        <v>31.44</v>
      </c>
      <c r="F2599" s="2">
        <v>2</v>
      </c>
      <c r="G2599" s="2" t="s">
        <v>13</v>
      </c>
    </row>
    <row r="2600" spans="1:7" x14ac:dyDescent="0.2">
      <c r="A2600" s="2" t="s">
        <v>3532</v>
      </c>
      <c r="B2600" s="2" t="s">
        <v>823</v>
      </c>
      <c r="C2600" s="2">
        <v>983.03060000000005</v>
      </c>
      <c r="D2600" s="2">
        <f>HYPERLINK("http://mcb-m6.bioreg.kyushu-u.ac.jp/M3/20110502/F51164/2803/1", 50.8)</f>
        <v>50.8</v>
      </c>
      <c r="E2600" s="2">
        <v>40.94</v>
      </c>
      <c r="F2600" s="2">
        <v>2</v>
      </c>
      <c r="G2600" s="2" t="s">
        <v>13</v>
      </c>
    </row>
    <row r="2601" spans="1:7" x14ac:dyDescent="0.2">
      <c r="A2601" s="2" t="s">
        <v>3532</v>
      </c>
      <c r="B2601" s="2" t="s">
        <v>2779</v>
      </c>
      <c r="C2601" s="2">
        <v>1320.509</v>
      </c>
      <c r="D2601" s="2">
        <f>HYPERLINK("http://mcb-m6.bioreg.kyushu-u.ac.jp/M3/20110502/F51164/3589/1", 106.58)</f>
        <v>106.58</v>
      </c>
      <c r="E2601" s="2">
        <v>96.02</v>
      </c>
      <c r="F2601" s="2">
        <v>2</v>
      </c>
      <c r="G2601" s="2" t="s">
        <v>13</v>
      </c>
    </row>
    <row r="2602" spans="1:7" x14ac:dyDescent="0.2">
      <c r="A2602" s="2" t="s">
        <v>3532</v>
      </c>
      <c r="B2602" s="2" t="s">
        <v>1300</v>
      </c>
      <c r="C2602" s="2">
        <v>626.93520000000001</v>
      </c>
      <c r="D2602" s="2">
        <f>HYPERLINK("http://mcb-m6.bioreg.kyushu-u.ac.jp/M3/20110502/F51162/1410/1", 36.76)</f>
        <v>36.76</v>
      </c>
      <c r="E2602" s="2">
        <v>19.16</v>
      </c>
      <c r="F2602" s="2">
        <v>2</v>
      </c>
      <c r="G2602" s="2" t="s">
        <v>14</v>
      </c>
    </row>
    <row r="2603" spans="1:7" x14ac:dyDescent="0.2">
      <c r="A2603" s="2" t="s">
        <v>3532</v>
      </c>
      <c r="B2603" s="2" t="s">
        <v>1948</v>
      </c>
      <c r="C2603" s="2">
        <v>671.43269999999995</v>
      </c>
      <c r="D2603" s="2">
        <f>HYPERLINK("http://mcb-m6.bioreg.kyushu-u.ac.jp/M3/20110428/F51143/1729/1", 68.25)</f>
        <v>68.25</v>
      </c>
      <c r="E2603" s="2">
        <v>45.2</v>
      </c>
      <c r="F2603" s="2">
        <v>2</v>
      </c>
      <c r="G2603" s="2" t="s">
        <v>14</v>
      </c>
    </row>
    <row r="2604" spans="1:7" x14ac:dyDescent="0.2">
      <c r="A2604" s="2" t="s">
        <v>3532</v>
      </c>
      <c r="B2604" s="2" t="s">
        <v>1948</v>
      </c>
      <c r="C2604" s="2">
        <v>671.44569999999999</v>
      </c>
      <c r="D2604" s="2">
        <f>HYPERLINK("http://mcb-m6.bioreg.kyushu-u.ac.jp/M3/20110502/F51162/1547/1", 83)</f>
        <v>83</v>
      </c>
      <c r="E2604" s="2">
        <v>57.74</v>
      </c>
      <c r="F2604" s="2">
        <v>2</v>
      </c>
      <c r="G2604" s="2" t="s">
        <v>14</v>
      </c>
    </row>
    <row r="2605" spans="1:7" x14ac:dyDescent="0.2">
      <c r="A2605" s="2" t="s">
        <v>3765</v>
      </c>
      <c r="B2605" s="2" t="s">
        <v>782</v>
      </c>
      <c r="C2605" s="2">
        <v>564.92819999999995</v>
      </c>
      <c r="D2605" s="2">
        <f>HYPERLINK("http://mcb-m6.bioreg.kyushu-u.ac.jp/M3/20110318/F50600/1185/1", 57.28)</f>
        <v>57.28</v>
      </c>
      <c r="E2605" s="2">
        <v>34.57</v>
      </c>
      <c r="F2605" s="2">
        <v>2</v>
      </c>
      <c r="G2605" s="2" t="s">
        <v>10</v>
      </c>
    </row>
    <row r="2606" spans="1:7" x14ac:dyDescent="0.2">
      <c r="A2606" s="2" t="s">
        <v>3814</v>
      </c>
      <c r="B2606" s="2" t="s">
        <v>874</v>
      </c>
      <c r="C2606" s="2">
        <v>638.60519999999997</v>
      </c>
      <c r="D2606" s="2">
        <f>HYPERLINK("http://mcb-m6.bioreg.kyushu-u.ac.jp/M3/20110318/F50607/1241/1", 40.08)</f>
        <v>40.08</v>
      </c>
      <c r="E2606" s="2">
        <v>18.78</v>
      </c>
      <c r="F2606" s="2">
        <v>2</v>
      </c>
      <c r="G2606" s="2" t="s">
        <v>9</v>
      </c>
    </row>
    <row r="2607" spans="1:7" x14ac:dyDescent="0.2">
      <c r="A2607" s="2" t="s">
        <v>3814</v>
      </c>
      <c r="B2607" s="2" t="s">
        <v>1570</v>
      </c>
      <c r="C2607" s="2">
        <v>773.15369999999996</v>
      </c>
      <c r="D2607" s="2">
        <f>HYPERLINK("http://mcb-m6.bioreg.kyushu-u.ac.jp/M3/20110318/F50604/1661/1", 53.31)</f>
        <v>53.31</v>
      </c>
      <c r="E2607" s="2">
        <v>35.770000000000003</v>
      </c>
      <c r="F2607" s="2">
        <v>2</v>
      </c>
      <c r="G2607" s="2" t="s">
        <v>9</v>
      </c>
    </row>
    <row r="2608" spans="1:7" x14ac:dyDescent="0.2">
      <c r="A2608" s="2" t="s">
        <v>3814</v>
      </c>
      <c r="B2608" s="2" t="s">
        <v>874</v>
      </c>
      <c r="C2608" s="2">
        <v>638.39170000000001</v>
      </c>
      <c r="D2608" s="2">
        <f>HYPERLINK("http://mcb-m6.bioreg.kyushu-u.ac.jp/M3/20110318/F50596/1327/1", 40.35)</f>
        <v>40.35</v>
      </c>
      <c r="E2608" s="2">
        <v>20.149999999999999</v>
      </c>
      <c r="F2608" s="2">
        <v>2</v>
      </c>
      <c r="G2608" s="2" t="s">
        <v>10</v>
      </c>
    </row>
    <row r="2609" spans="1:9" x14ac:dyDescent="0.2">
      <c r="A2609" s="2" t="s">
        <v>3814</v>
      </c>
      <c r="B2609" s="2" t="s">
        <v>1570</v>
      </c>
      <c r="C2609" s="2">
        <v>772.92470000000003</v>
      </c>
      <c r="D2609" s="2">
        <f>HYPERLINK("http://mcb-m6.bioreg.kyushu-u.ac.jp/M3/20110318/F50612/1688/1", 89.84)</f>
        <v>89.84</v>
      </c>
      <c r="E2609" s="2">
        <v>64.33</v>
      </c>
      <c r="F2609" s="2">
        <v>2</v>
      </c>
      <c r="G2609" s="2" t="s">
        <v>10</v>
      </c>
    </row>
    <row r="2610" spans="1:9" x14ac:dyDescent="0.2">
      <c r="A2610" s="2" t="s">
        <v>3814</v>
      </c>
      <c r="B2610" s="2" t="s">
        <v>1570</v>
      </c>
      <c r="C2610" s="2">
        <v>772.89260000000002</v>
      </c>
      <c r="D2610" s="2">
        <f>HYPERLINK("http://mcb-m6.bioreg.kyushu-u.ac.jp/M3/20110418/F50977/2297/1", 90.81)</f>
        <v>90.81</v>
      </c>
      <c r="E2610" s="2">
        <v>71.66</v>
      </c>
      <c r="F2610" s="2">
        <v>2</v>
      </c>
      <c r="G2610" s="2" t="s">
        <v>11</v>
      </c>
    </row>
    <row r="2611" spans="1:9" x14ac:dyDescent="0.2">
      <c r="A2611" s="2" t="s">
        <v>3814</v>
      </c>
      <c r="B2611" s="2" t="s">
        <v>1570</v>
      </c>
      <c r="C2611" s="2">
        <v>773.32870000000003</v>
      </c>
      <c r="D2611" s="2">
        <f>HYPERLINK("http://mcb-m6.bioreg.kyushu-u.ac.jp/M3/20110502/F51162/2043/1", 80.66)</f>
        <v>80.66</v>
      </c>
      <c r="E2611" s="2">
        <v>54.77</v>
      </c>
      <c r="F2611" s="2">
        <v>2</v>
      </c>
      <c r="G2611" s="2" t="s">
        <v>14</v>
      </c>
    </row>
    <row r="2612" spans="1:9" x14ac:dyDescent="0.2">
      <c r="A2612" s="2" t="s">
        <v>5725</v>
      </c>
      <c r="B2612" s="2" t="s">
        <v>5305</v>
      </c>
      <c r="C2612" s="2">
        <v>743.46220000000005</v>
      </c>
      <c r="D2612" s="2">
        <f>HYPERLINK("http://mcb-m6.bioreg.kyushu-u.ac.jp/M3/20110318/F50611/1677/1", 53.84)</f>
        <v>53.84</v>
      </c>
      <c r="E2612" s="2">
        <v>23.56</v>
      </c>
      <c r="F2612" s="2">
        <v>2</v>
      </c>
      <c r="G2612" s="2" t="s">
        <v>10</v>
      </c>
    </row>
    <row r="2613" spans="1:9" x14ac:dyDescent="0.2">
      <c r="A2613" s="2" t="s">
        <v>5730</v>
      </c>
      <c r="B2613" s="2" t="s">
        <v>5313</v>
      </c>
      <c r="C2613" s="2">
        <v>531.36159999999995</v>
      </c>
      <c r="D2613" s="2">
        <f>HYPERLINK("http://mcb-m6.bioreg.kyushu-u.ac.jp/M3/20110318/F50615/890/1", 56.43)</f>
        <v>56.43</v>
      </c>
      <c r="E2613" s="2">
        <v>16.86</v>
      </c>
      <c r="F2613" s="2">
        <v>2</v>
      </c>
      <c r="G2613" s="2" t="s">
        <v>10</v>
      </c>
    </row>
    <row r="2614" spans="1:9" x14ac:dyDescent="0.2">
      <c r="A2614" s="2" t="s">
        <v>3393</v>
      </c>
      <c r="B2614" s="2" t="s">
        <v>5411</v>
      </c>
      <c r="C2614" s="2">
        <v>595.79219999999998</v>
      </c>
      <c r="D2614" s="2">
        <f>HYPERLINK("http://mcb-m6.bioreg.kyushu-u.ac.jp/M3/20110418/F50975/1221/1", 56.86)</f>
        <v>56.86</v>
      </c>
      <c r="E2614" s="2">
        <v>31.62</v>
      </c>
      <c r="F2614" s="2">
        <v>2</v>
      </c>
      <c r="G2614" s="2" t="s">
        <v>11</v>
      </c>
    </row>
    <row r="2615" spans="1:9" x14ac:dyDescent="0.2">
      <c r="A2615" s="2" t="s">
        <v>5750</v>
      </c>
      <c r="B2615" s="2" t="s">
        <v>5365</v>
      </c>
      <c r="C2615" s="2">
        <v>548.65970000000004</v>
      </c>
      <c r="D2615" s="2">
        <f>HYPERLINK("http://mcb-m6.bioreg.kyushu-u.ac.jp/M3/20110418/F50975/974/1", 37.23)</f>
        <v>37.229999999999997</v>
      </c>
      <c r="E2615" s="2">
        <v>26.25</v>
      </c>
      <c r="F2615" s="2">
        <v>2</v>
      </c>
      <c r="G2615" s="2" t="s">
        <v>11</v>
      </c>
    </row>
    <row r="2616" spans="1:9" x14ac:dyDescent="0.2">
      <c r="A2616" s="2" t="s">
        <v>5708</v>
      </c>
      <c r="B2616" s="2" t="s">
        <v>5250</v>
      </c>
      <c r="C2616" s="2">
        <v>628.78120000000001</v>
      </c>
      <c r="D2616" s="2">
        <f>HYPERLINK("http://mcb-m6.bioreg.kyushu-u.ac.jp/M3/20110318/F50598/1301/1", 41.7)</f>
        <v>41.7</v>
      </c>
      <c r="E2616" s="2">
        <v>14.58</v>
      </c>
      <c r="F2616" s="2">
        <v>2</v>
      </c>
      <c r="G2616" s="2" t="s">
        <v>10</v>
      </c>
    </row>
    <row r="2617" spans="1:9" x14ac:dyDescent="0.2">
      <c r="A2617" s="2" t="s">
        <v>4388</v>
      </c>
      <c r="B2617" s="2" t="s">
        <v>5098</v>
      </c>
      <c r="C2617" s="2">
        <v>604.51819999999998</v>
      </c>
      <c r="D2617" s="2">
        <f>HYPERLINK("http://mcb-m6.bioreg.kyushu-u.ac.jp/M3/20110318/F50619/2001/1", 53.27)</f>
        <v>53.27</v>
      </c>
      <c r="E2617" s="2">
        <v>29.23</v>
      </c>
      <c r="F2617" s="2">
        <v>3</v>
      </c>
      <c r="G2617" s="2" t="s">
        <v>9</v>
      </c>
    </row>
    <row r="2618" spans="1:9" x14ac:dyDescent="0.2">
      <c r="A2618" s="2" t="s">
        <v>4388</v>
      </c>
      <c r="B2618" s="2" t="s">
        <v>2226</v>
      </c>
      <c r="C2618" s="2">
        <v>886.80070000000001</v>
      </c>
      <c r="D2618" s="2">
        <f>HYPERLINK("http://mcb-m6.bioreg.kyushu-u.ac.jp/M3/20110318/F50619/1946/1", 83.51)</f>
        <v>83.51</v>
      </c>
      <c r="E2618" s="2">
        <v>56.76</v>
      </c>
      <c r="F2618" s="2">
        <v>2</v>
      </c>
      <c r="G2618" s="2" t="s">
        <v>9</v>
      </c>
    </row>
    <row r="2619" spans="1:9" x14ac:dyDescent="0.2">
      <c r="A2619" s="2" t="s">
        <v>4388</v>
      </c>
      <c r="B2619" s="2" t="s">
        <v>5098</v>
      </c>
      <c r="C2619" s="2">
        <v>906.19169999999997</v>
      </c>
      <c r="D2619" s="2">
        <f>HYPERLINK("http://mcb-m6.bioreg.kyushu-u.ac.jp/M3/20110318/F50619/2000/1", 138.65)</f>
        <v>138.65</v>
      </c>
      <c r="E2619" s="2">
        <v>107.81</v>
      </c>
      <c r="F2619" s="2">
        <v>2</v>
      </c>
      <c r="G2619" s="2" t="s">
        <v>9</v>
      </c>
    </row>
    <row r="2620" spans="1:9" x14ac:dyDescent="0.2">
      <c r="A2620" s="2" t="s">
        <v>4388</v>
      </c>
      <c r="B2620" s="2" t="s">
        <v>5203</v>
      </c>
      <c r="C2620" s="2">
        <v>1161.212</v>
      </c>
      <c r="D2620" s="2">
        <f>HYPERLINK("http://mcb-m6.bioreg.kyushu-u.ac.jp/M3/20110318/F50619/2759/1", 143.69)</f>
        <v>143.69</v>
      </c>
      <c r="E2620" s="2">
        <v>121.63</v>
      </c>
      <c r="F2620" s="2">
        <v>2</v>
      </c>
      <c r="G2620" s="2" t="s">
        <v>4984</v>
      </c>
      <c r="I2620" s="2" t="s">
        <v>4941</v>
      </c>
    </row>
    <row r="2621" spans="1:9" x14ac:dyDescent="0.2">
      <c r="A2621" s="2" t="s">
        <v>4388</v>
      </c>
      <c r="B2621" s="2" t="s">
        <v>2226</v>
      </c>
      <c r="C2621" s="2">
        <v>887.25710000000004</v>
      </c>
      <c r="D2621" s="2">
        <f>HYPERLINK("http://mcb-m6.bioreg.kyushu-u.ac.jp/M3/20110418/F50975/2898/1", 55.93)</f>
        <v>55.93</v>
      </c>
      <c r="E2621" s="2">
        <v>39.380000000000003</v>
      </c>
      <c r="F2621" s="2">
        <v>2</v>
      </c>
      <c r="G2621" s="2" t="s">
        <v>11</v>
      </c>
    </row>
    <row r="2622" spans="1:9" x14ac:dyDescent="0.2">
      <c r="A2622" s="2" t="s">
        <v>4388</v>
      </c>
      <c r="B2622" s="2" t="s">
        <v>5098</v>
      </c>
      <c r="C2622" s="2">
        <v>906.55520000000001</v>
      </c>
      <c r="D2622" s="2">
        <f>HYPERLINK("http://mcb-m6.bioreg.kyushu-u.ac.jp/M3/20110502/F51158/2780/1", 93.65)</f>
        <v>93.65</v>
      </c>
      <c r="E2622" s="2">
        <v>69.739999999999995</v>
      </c>
      <c r="F2622" s="2">
        <v>2</v>
      </c>
      <c r="G2622" s="2" t="s">
        <v>13</v>
      </c>
    </row>
    <row r="2623" spans="1:9" x14ac:dyDescent="0.2">
      <c r="A2623" s="2" t="s">
        <v>3859</v>
      </c>
      <c r="B2623" s="2" t="s">
        <v>967</v>
      </c>
      <c r="C2623" s="2">
        <v>848.3107</v>
      </c>
      <c r="D2623" s="2">
        <f>HYPERLINK("http://mcb-m6.bioreg.kyushu-u.ac.jp/M3/20110318/F50619/1829/1", 62.55)</f>
        <v>62.55</v>
      </c>
      <c r="E2623" s="2">
        <v>35.14</v>
      </c>
      <c r="F2623" s="2">
        <v>2</v>
      </c>
      <c r="G2623" s="2" t="s">
        <v>9</v>
      </c>
    </row>
    <row r="2624" spans="1:9" x14ac:dyDescent="0.2">
      <c r="A2624" s="2" t="s">
        <v>3859</v>
      </c>
      <c r="B2624" s="2" t="s">
        <v>967</v>
      </c>
      <c r="C2624" s="2">
        <v>848.3202</v>
      </c>
      <c r="D2624" s="2">
        <f>HYPERLINK("http://mcb-m6.bioreg.kyushu-u.ac.jp/M3/20110418/F50975/2676/1", 43.23)</f>
        <v>43.23</v>
      </c>
      <c r="E2624" s="2">
        <v>27.72</v>
      </c>
      <c r="F2624" s="2">
        <v>2</v>
      </c>
      <c r="G2624" s="2" t="s">
        <v>11</v>
      </c>
    </row>
    <row r="2625" spans="1:9" x14ac:dyDescent="0.2">
      <c r="A2625" s="2" t="s">
        <v>3612</v>
      </c>
      <c r="B2625" s="2" t="s">
        <v>515</v>
      </c>
      <c r="C2625" s="2">
        <v>479.3501</v>
      </c>
      <c r="D2625" s="2">
        <f>HYPERLINK("http://mcb-m6.bioreg.kyushu-u.ac.jp/M3/20110318/F50619/799/1", 40.78)</f>
        <v>40.78</v>
      </c>
      <c r="E2625" s="2">
        <v>13.47</v>
      </c>
      <c r="F2625" s="2">
        <v>2</v>
      </c>
      <c r="G2625" s="2" t="s">
        <v>9</v>
      </c>
    </row>
    <row r="2626" spans="1:9" x14ac:dyDescent="0.2">
      <c r="A2626" s="2" t="s">
        <v>3612</v>
      </c>
      <c r="B2626" s="2" t="s">
        <v>5034</v>
      </c>
      <c r="C2626" s="2">
        <v>754.10820000000001</v>
      </c>
      <c r="D2626" s="2">
        <f>HYPERLINK("http://mcb-m6.bioreg.kyushu-u.ac.jp/M3/20110318/F50608/1576/1", 40.91)</f>
        <v>40.909999999999997</v>
      </c>
      <c r="E2626" s="2">
        <v>30.38</v>
      </c>
      <c r="F2626" s="2">
        <v>2</v>
      </c>
      <c r="G2626" s="2" t="s">
        <v>9</v>
      </c>
      <c r="I2626" s="2" t="s">
        <v>4926</v>
      </c>
    </row>
    <row r="2627" spans="1:9" x14ac:dyDescent="0.2">
      <c r="A2627" s="2" t="s">
        <v>3612</v>
      </c>
      <c r="B2627" s="2" t="s">
        <v>5195</v>
      </c>
      <c r="C2627" s="2">
        <v>1070.693</v>
      </c>
      <c r="D2627" s="2">
        <f>HYPERLINK("http://mcb-m6.bioreg.kyushu-u.ac.jp/M3/20110318/F50619/2524/1", 100.59)</f>
        <v>100.59</v>
      </c>
      <c r="E2627" s="2">
        <v>85.04</v>
      </c>
      <c r="F2627" s="2">
        <v>2</v>
      </c>
      <c r="G2627" s="2" t="s">
        <v>9</v>
      </c>
      <c r="I2627" s="2" t="s">
        <v>4923</v>
      </c>
    </row>
    <row r="2628" spans="1:9" x14ac:dyDescent="0.2">
      <c r="A2628" s="2" t="s">
        <v>3612</v>
      </c>
      <c r="B2628" s="2" t="s">
        <v>5195</v>
      </c>
      <c r="C2628" s="2">
        <v>1070.1079999999999</v>
      </c>
      <c r="D2628" s="2">
        <f>HYPERLINK("http://mcb-m6.bioreg.kyushu-u.ac.jp/M3/20110318/F50619/2523/1", 118.74)</f>
        <v>118.74</v>
      </c>
      <c r="E2628" s="2">
        <v>97.61</v>
      </c>
      <c r="F2628" s="2">
        <v>2</v>
      </c>
      <c r="G2628" s="2" t="s">
        <v>9</v>
      </c>
      <c r="I2628" s="2" t="s">
        <v>4923</v>
      </c>
    </row>
    <row r="2629" spans="1:9" x14ac:dyDescent="0.2">
      <c r="A2629" s="2" t="s">
        <v>3544</v>
      </c>
      <c r="B2629" s="2" t="s">
        <v>893</v>
      </c>
      <c r="C2629" s="2">
        <v>969.23519999999996</v>
      </c>
      <c r="D2629" s="2">
        <f>HYPERLINK("http://mcb-m6.bioreg.kyushu-u.ac.jp/M3/20110318/F50618/2532/1", 69.52)</f>
        <v>69.52</v>
      </c>
      <c r="E2629" s="2">
        <v>46.67</v>
      </c>
      <c r="F2629" s="2">
        <v>2</v>
      </c>
      <c r="G2629" s="2" t="s">
        <v>9</v>
      </c>
    </row>
    <row r="2630" spans="1:9" x14ac:dyDescent="0.2">
      <c r="A2630" s="2" t="s">
        <v>3544</v>
      </c>
      <c r="B2630" s="2" t="s">
        <v>893</v>
      </c>
      <c r="C2630" s="2">
        <v>969.78420000000006</v>
      </c>
      <c r="D2630" s="2">
        <f>HYPERLINK("http://mcb-m6.bioreg.kyushu-u.ac.jp/M3/20110318/F50618/2533/1", 105.84)</f>
        <v>105.84</v>
      </c>
      <c r="E2630" s="2">
        <v>91.43</v>
      </c>
      <c r="F2630" s="2">
        <v>2</v>
      </c>
      <c r="G2630" s="2" t="s">
        <v>9</v>
      </c>
    </row>
    <row r="2631" spans="1:9" x14ac:dyDescent="0.2">
      <c r="A2631" s="2" t="s">
        <v>3544</v>
      </c>
      <c r="B2631" s="2" t="s">
        <v>893</v>
      </c>
      <c r="C2631" s="2">
        <v>969.9547</v>
      </c>
      <c r="D2631" s="2">
        <f>HYPERLINK("http://mcb-m6.bioreg.kyushu-u.ac.jp/M3/20110318/F50614/2555/1", 90.58)</f>
        <v>90.58</v>
      </c>
      <c r="E2631" s="2">
        <v>66.39</v>
      </c>
      <c r="F2631" s="2">
        <v>2</v>
      </c>
      <c r="G2631" s="2" t="s">
        <v>10</v>
      </c>
    </row>
    <row r="2632" spans="1:9" x14ac:dyDescent="0.2">
      <c r="A2632" s="2" t="s">
        <v>3286</v>
      </c>
      <c r="B2632" s="2" t="s">
        <v>5083</v>
      </c>
      <c r="C2632" s="2">
        <v>578.19870000000003</v>
      </c>
      <c r="D2632" s="2">
        <f>HYPERLINK("http://mcb-m6.bioreg.kyushu-u.ac.jp/M3/20110318/F50618/1036/1", 49.62)</f>
        <v>49.62</v>
      </c>
      <c r="E2632" s="2">
        <v>29.81</v>
      </c>
      <c r="F2632" s="2">
        <v>2</v>
      </c>
      <c r="G2632" s="2" t="s">
        <v>9</v>
      </c>
    </row>
    <row r="2633" spans="1:9" x14ac:dyDescent="0.2">
      <c r="A2633" s="2" t="s">
        <v>5760</v>
      </c>
      <c r="B2633" s="2" t="s">
        <v>5382</v>
      </c>
      <c r="C2633" s="2">
        <v>594.20510000000002</v>
      </c>
      <c r="D2633" s="2">
        <f>HYPERLINK("http://mcb-m6.bioreg.kyushu-u.ac.jp/M3/20110418/F50976/1268/1", 40.87)</f>
        <v>40.869999999999997</v>
      </c>
      <c r="E2633" s="2">
        <v>17.579999999999998</v>
      </c>
      <c r="F2633" s="2">
        <v>2</v>
      </c>
      <c r="G2633" s="2" t="s">
        <v>11</v>
      </c>
    </row>
    <row r="2634" spans="1:9" x14ac:dyDescent="0.2">
      <c r="A2634" s="2" t="s">
        <v>4734</v>
      </c>
      <c r="B2634" s="2" t="s">
        <v>5081</v>
      </c>
      <c r="C2634" s="2">
        <v>658.43870000000004</v>
      </c>
      <c r="D2634" s="2">
        <f>HYPERLINK("http://mcb-m6.bioreg.kyushu-u.ac.jp/M3/20110318/F50602/1332/1", 48.78)</f>
        <v>48.78</v>
      </c>
      <c r="E2634" s="2">
        <v>25.54</v>
      </c>
      <c r="F2634" s="2">
        <v>2</v>
      </c>
      <c r="G2634" s="2" t="s">
        <v>9</v>
      </c>
    </row>
    <row r="2635" spans="1:9" x14ac:dyDescent="0.2">
      <c r="A2635" s="2" t="s">
        <v>4734</v>
      </c>
      <c r="B2635" s="2" t="s">
        <v>5081</v>
      </c>
      <c r="C2635" s="2">
        <v>657.80820000000006</v>
      </c>
      <c r="D2635" s="2">
        <f>HYPERLINK("http://mcb-m6.bioreg.kyushu-u.ac.jp/M3/20110318/F50611/1352/1", 56.83)</f>
        <v>56.83</v>
      </c>
      <c r="E2635" s="2">
        <v>38.65</v>
      </c>
      <c r="F2635" s="2">
        <v>2</v>
      </c>
      <c r="G2635" s="2" t="s">
        <v>10</v>
      </c>
    </row>
    <row r="2636" spans="1:9" x14ac:dyDescent="0.2">
      <c r="A2636" s="2" t="s">
        <v>4734</v>
      </c>
      <c r="B2636" s="2" t="s">
        <v>5081</v>
      </c>
      <c r="C2636" s="2">
        <v>657.64170000000001</v>
      </c>
      <c r="D2636" s="2">
        <f>HYPERLINK("http://mcb-m6.bioreg.kyushu-u.ac.jp/M3/20110418/F50988/1814/1", 71.22)</f>
        <v>71.22</v>
      </c>
      <c r="E2636" s="2">
        <v>52.92</v>
      </c>
      <c r="F2636" s="2">
        <v>2</v>
      </c>
      <c r="G2636" s="2" t="s">
        <v>12</v>
      </c>
    </row>
    <row r="2637" spans="1:9" x14ac:dyDescent="0.2">
      <c r="A2637" s="2" t="s">
        <v>4734</v>
      </c>
      <c r="B2637" s="2" t="s">
        <v>5081</v>
      </c>
      <c r="C2637" s="2">
        <v>657.76009999999997</v>
      </c>
      <c r="D2637" s="2">
        <f>HYPERLINK("http://mcb-m6.bioreg.kyushu-u.ac.jp/M3/20110428/F51143/1685/1", 59.95)</f>
        <v>59.95</v>
      </c>
      <c r="E2637" s="2">
        <v>40.01</v>
      </c>
      <c r="F2637" s="2">
        <v>2</v>
      </c>
      <c r="G2637" s="2" t="s">
        <v>14</v>
      </c>
    </row>
    <row r="2638" spans="1:9" x14ac:dyDescent="0.2">
      <c r="A2638" s="2" t="s">
        <v>3536</v>
      </c>
      <c r="B2638" s="2" t="s">
        <v>390</v>
      </c>
      <c r="C2638" s="2">
        <v>715.61720000000003</v>
      </c>
      <c r="D2638" s="2">
        <f>HYPERLINK("http://mcb-m6.bioreg.kyushu-u.ac.jp/M3/20110418/F50978/1955/1", 65.96)</f>
        <v>65.959999999999994</v>
      </c>
      <c r="E2638" s="2">
        <v>38.67</v>
      </c>
      <c r="F2638" s="2">
        <v>2</v>
      </c>
      <c r="G2638" s="2" t="s">
        <v>11</v>
      </c>
    </row>
    <row r="2639" spans="1:9" x14ac:dyDescent="0.2">
      <c r="A2639" s="2" t="s">
        <v>3536</v>
      </c>
      <c r="B2639" s="2" t="s">
        <v>390</v>
      </c>
      <c r="C2639" s="2">
        <v>715.23720000000003</v>
      </c>
      <c r="D2639" s="2">
        <f>HYPERLINK("http://mcb-m6.bioreg.kyushu-u.ac.jp/M3/20110418/F50988/1980/1", 48.45)</f>
        <v>48.45</v>
      </c>
      <c r="E2639" s="2">
        <v>22.73</v>
      </c>
      <c r="F2639" s="2">
        <v>2</v>
      </c>
      <c r="G2639" s="2" t="s">
        <v>12</v>
      </c>
    </row>
    <row r="2640" spans="1:9" x14ac:dyDescent="0.2">
      <c r="A2640" s="2" t="s">
        <v>3536</v>
      </c>
      <c r="B2640" s="2" t="s">
        <v>390</v>
      </c>
      <c r="C2640" s="2">
        <v>715.74570000000006</v>
      </c>
      <c r="D2640" s="2">
        <f>HYPERLINK("http://mcb-m6.bioreg.kyushu-u.ac.jp/M3/20110418/F50988/1981/1", 83.89)</f>
        <v>83.89</v>
      </c>
      <c r="E2640" s="2">
        <v>49.14</v>
      </c>
      <c r="F2640" s="2">
        <v>2</v>
      </c>
      <c r="G2640" s="2" t="s">
        <v>12</v>
      </c>
    </row>
    <row r="2641" spans="1:9" x14ac:dyDescent="0.2">
      <c r="A2641" s="2" t="s">
        <v>3536</v>
      </c>
      <c r="B2641" s="2" t="s">
        <v>390</v>
      </c>
      <c r="C2641" s="2">
        <v>715.34619999999995</v>
      </c>
      <c r="D2641" s="2">
        <f>HYPERLINK("http://mcb-m6.bioreg.kyushu-u.ac.jp/M3/20110429/F51154/1853/1", 85.45)</f>
        <v>85.45</v>
      </c>
      <c r="E2641" s="2">
        <v>54.63</v>
      </c>
      <c r="F2641" s="2">
        <v>2</v>
      </c>
      <c r="G2641" s="2" t="s">
        <v>13</v>
      </c>
    </row>
    <row r="2642" spans="1:9" x14ac:dyDescent="0.2">
      <c r="A2642" s="2" t="s">
        <v>3536</v>
      </c>
      <c r="B2642" s="2" t="s">
        <v>390</v>
      </c>
      <c r="C2642" s="2">
        <v>715.49109999999996</v>
      </c>
      <c r="D2642" s="2">
        <f>HYPERLINK("http://mcb-m6.bioreg.kyushu-u.ac.jp/M3/20110428/F51143/1961/1", 92.6)</f>
        <v>92.6</v>
      </c>
      <c r="E2642" s="2">
        <v>63.55</v>
      </c>
      <c r="F2642" s="2">
        <v>2</v>
      </c>
      <c r="G2642" s="2" t="s">
        <v>14</v>
      </c>
    </row>
    <row r="2643" spans="1:9" x14ac:dyDescent="0.2">
      <c r="A2643" s="2" t="s">
        <v>3762</v>
      </c>
      <c r="B2643" s="2" t="s">
        <v>1323</v>
      </c>
      <c r="C2643" s="2">
        <v>664.96669999999995</v>
      </c>
      <c r="D2643" s="2">
        <f>HYPERLINK("http://mcb-m6.bioreg.kyushu-u.ac.jp/M3/20110318/F50600/1355/1", 69.96)</f>
        <v>69.959999999999994</v>
      </c>
      <c r="E2643" s="2">
        <v>41.58</v>
      </c>
      <c r="F2643" s="2">
        <v>2</v>
      </c>
      <c r="G2643" s="2" t="s">
        <v>10</v>
      </c>
    </row>
    <row r="2644" spans="1:9" x14ac:dyDescent="0.2">
      <c r="A2644" s="2" t="s">
        <v>5667</v>
      </c>
      <c r="B2644" s="2" t="s">
        <v>5142</v>
      </c>
      <c r="C2644" s="2">
        <v>766.67769999999996</v>
      </c>
      <c r="D2644" s="2">
        <f>HYPERLINK("http://mcb-m6.bioreg.kyushu-u.ac.jp/M3/20110318/F50604/1629/1", 66.88)</f>
        <v>66.88</v>
      </c>
      <c r="E2644" s="2">
        <v>49.14</v>
      </c>
      <c r="F2644" s="2">
        <v>2</v>
      </c>
      <c r="G2644" s="2" t="s">
        <v>9</v>
      </c>
    </row>
    <row r="2645" spans="1:9" x14ac:dyDescent="0.2">
      <c r="A2645" s="2" t="s">
        <v>5667</v>
      </c>
      <c r="B2645" s="2" t="s">
        <v>5142</v>
      </c>
      <c r="C2645" s="2">
        <v>766.48720000000003</v>
      </c>
      <c r="D2645" s="2">
        <f>HYPERLINK("http://mcb-m6.bioreg.kyushu-u.ac.jp/M3/20110318/F50603/1559/1", 72.04)</f>
        <v>72.040000000000006</v>
      </c>
      <c r="E2645" s="2">
        <v>53.9</v>
      </c>
      <c r="F2645" s="2">
        <v>2</v>
      </c>
      <c r="G2645" s="2" t="s">
        <v>9</v>
      </c>
    </row>
    <row r="2646" spans="1:9" x14ac:dyDescent="0.2">
      <c r="A2646" s="2" t="s">
        <v>5667</v>
      </c>
      <c r="B2646" s="2" t="s">
        <v>5142</v>
      </c>
      <c r="C2646" s="2">
        <v>766.30470000000003</v>
      </c>
      <c r="D2646" s="2">
        <f>HYPERLINK("http://mcb-m6.bioreg.kyushu-u.ac.jp/M3/20110318/F50611/1772/1", 65)</f>
        <v>65</v>
      </c>
      <c r="E2646" s="2">
        <v>50.92</v>
      </c>
      <c r="F2646" s="2">
        <v>2</v>
      </c>
      <c r="G2646" s="2" t="s">
        <v>10</v>
      </c>
    </row>
    <row r="2647" spans="1:9" x14ac:dyDescent="0.2">
      <c r="A2647" s="2" t="s">
        <v>5752</v>
      </c>
      <c r="B2647" s="2" t="s">
        <v>5368</v>
      </c>
      <c r="C2647" s="2">
        <v>502.2079</v>
      </c>
      <c r="D2647" s="2">
        <f>HYPERLINK("http://mcb-m6.bioreg.kyushu-u.ac.jp/M3/20110418/F50976/2068/1", 38.53)</f>
        <v>38.53</v>
      </c>
      <c r="E2647" s="2">
        <v>17.98</v>
      </c>
      <c r="F2647" s="2">
        <v>3</v>
      </c>
      <c r="G2647" s="2" t="s">
        <v>11</v>
      </c>
      <c r="I2647" s="2" t="s">
        <v>4926</v>
      </c>
    </row>
    <row r="2648" spans="1:9" x14ac:dyDescent="0.2">
      <c r="A2648" s="2" t="s">
        <v>5774</v>
      </c>
      <c r="B2648" s="2" t="s">
        <v>5414</v>
      </c>
      <c r="C2648" s="2">
        <v>690.34860000000003</v>
      </c>
      <c r="D2648" s="2">
        <f>HYPERLINK("http://mcb-m6.bioreg.kyushu-u.ac.jp/M3/20110418/F50978/1817/1", 59.35)</f>
        <v>59.35</v>
      </c>
      <c r="E2648" s="2">
        <v>43.17</v>
      </c>
      <c r="F2648" s="2">
        <v>2</v>
      </c>
      <c r="G2648" s="2" t="s">
        <v>11</v>
      </c>
    </row>
    <row r="2649" spans="1:9" x14ac:dyDescent="0.2">
      <c r="A2649" s="2" t="s">
        <v>5774</v>
      </c>
      <c r="B2649" s="2" t="s">
        <v>5493</v>
      </c>
      <c r="C2649" s="2">
        <v>784.83420000000001</v>
      </c>
      <c r="D2649" s="2">
        <f>HYPERLINK("http://mcb-m6.bioreg.kyushu-u.ac.jp/M3/20110429/F51154/2273/1", 40.39)</f>
        <v>40.39</v>
      </c>
      <c r="E2649" s="2">
        <v>24.6</v>
      </c>
      <c r="F2649" s="2">
        <v>2</v>
      </c>
      <c r="G2649" s="2" t="s">
        <v>13</v>
      </c>
    </row>
    <row r="2650" spans="1:9" x14ac:dyDescent="0.2">
      <c r="A2650" s="2" t="s">
        <v>5774</v>
      </c>
      <c r="B2650" s="2" t="s">
        <v>5493</v>
      </c>
      <c r="C2650" s="2">
        <v>785.40560000000005</v>
      </c>
      <c r="D2650" s="2">
        <f>HYPERLINK("http://mcb-m6.bioreg.kyushu-u.ac.jp/M3/20110429/F51154/2278/1", 65.74)</f>
        <v>65.739999999999995</v>
      </c>
      <c r="E2650" s="2">
        <v>51.96</v>
      </c>
      <c r="F2650" s="2">
        <v>2</v>
      </c>
      <c r="G2650" s="2" t="s">
        <v>13</v>
      </c>
    </row>
    <row r="2651" spans="1:9" x14ac:dyDescent="0.2">
      <c r="A2651" s="2" t="s">
        <v>5774</v>
      </c>
      <c r="B2651" s="2" t="s">
        <v>5414</v>
      </c>
      <c r="C2651" s="2">
        <v>690.46370000000002</v>
      </c>
      <c r="D2651" s="2">
        <f>HYPERLINK("http://mcb-m6.bioreg.kyushu-u.ac.jp/M3/20110429/F51154/1720/1", 69.61)</f>
        <v>69.61</v>
      </c>
      <c r="E2651" s="2">
        <v>58.64</v>
      </c>
      <c r="F2651" s="2">
        <v>2</v>
      </c>
      <c r="G2651" s="2" t="s">
        <v>13</v>
      </c>
    </row>
    <row r="2652" spans="1:9" x14ac:dyDescent="0.2">
      <c r="A2652" s="2" t="s">
        <v>5736</v>
      </c>
      <c r="B2652" s="2" t="s">
        <v>5325</v>
      </c>
      <c r="C2652" s="2">
        <v>939.36919999999998</v>
      </c>
      <c r="D2652" s="2">
        <f>HYPERLINK("http://mcb-m6.bioreg.kyushu-u.ac.jp/M3/20110318/F50596/2976/1", 60.89)</f>
        <v>60.89</v>
      </c>
      <c r="E2652" s="2">
        <v>51.83</v>
      </c>
      <c r="F2652" s="2">
        <v>3</v>
      </c>
      <c r="G2652" s="2" t="s">
        <v>10</v>
      </c>
    </row>
    <row r="2653" spans="1:9" x14ac:dyDescent="0.2">
      <c r="A2653" s="2" t="s">
        <v>5736</v>
      </c>
      <c r="B2653" s="2" t="s">
        <v>5369</v>
      </c>
      <c r="C2653" s="2">
        <v>893.99369999999999</v>
      </c>
      <c r="D2653" s="2">
        <f>HYPERLINK("http://mcb-m6.bioreg.kyushu-u.ac.jp/M3/20110418/F50978/2800/1", 38.62)</f>
        <v>38.619999999999997</v>
      </c>
      <c r="E2653" s="2">
        <v>28.37</v>
      </c>
      <c r="F2653" s="2">
        <v>2</v>
      </c>
      <c r="G2653" s="2" t="s">
        <v>11</v>
      </c>
    </row>
    <row r="2654" spans="1:9" x14ac:dyDescent="0.2">
      <c r="A2654" s="2" t="s">
        <v>5736</v>
      </c>
      <c r="B2654" s="2" t="s">
        <v>5495</v>
      </c>
      <c r="C2654" s="2">
        <v>557.38959999999997</v>
      </c>
      <c r="D2654" s="2">
        <f>HYPERLINK("http://mcb-m6.bioreg.kyushu-u.ac.jp/M3/20110429/F51155/1468/1", 40.94)</f>
        <v>40.94</v>
      </c>
      <c r="E2654" s="2">
        <v>20.72</v>
      </c>
      <c r="F2654" s="2">
        <v>2</v>
      </c>
      <c r="G2654" s="2" t="s">
        <v>13</v>
      </c>
    </row>
    <row r="2655" spans="1:9" x14ac:dyDescent="0.2">
      <c r="A2655" s="2" t="s">
        <v>5736</v>
      </c>
      <c r="B2655" s="2" t="s">
        <v>5369</v>
      </c>
      <c r="C2655" s="2">
        <v>894.30909999999994</v>
      </c>
      <c r="D2655" s="2">
        <f>HYPERLINK("http://mcb-m6.bioreg.kyushu-u.ac.jp/M3/20110428/F51144/2989/1", 43.19)</f>
        <v>43.19</v>
      </c>
      <c r="E2655" s="2">
        <v>31.68</v>
      </c>
      <c r="F2655" s="2">
        <v>2</v>
      </c>
      <c r="G2655" s="2" t="s">
        <v>14</v>
      </c>
    </row>
    <row r="2656" spans="1:9" x14ac:dyDescent="0.2">
      <c r="A2656" s="2" t="s">
        <v>3245</v>
      </c>
      <c r="B2656" s="2" t="s">
        <v>25</v>
      </c>
      <c r="C2656" s="2">
        <v>1106.654</v>
      </c>
      <c r="D2656" s="2">
        <f>HYPERLINK("http://mcb-m6.bioreg.kyushu-u.ac.jp/M3/20110318/F50605/2697/1", 35.46)</f>
        <v>35.46</v>
      </c>
      <c r="E2656" s="2">
        <v>18.28</v>
      </c>
      <c r="F2656" s="2">
        <v>2</v>
      </c>
      <c r="G2656" s="2" t="s">
        <v>9</v>
      </c>
    </row>
    <row r="2657" spans="1:7" x14ac:dyDescent="0.2">
      <c r="A2657" s="2" t="s">
        <v>3245</v>
      </c>
      <c r="B2657" s="2" t="s">
        <v>25</v>
      </c>
      <c r="C2657" s="2">
        <v>1106.0440000000001</v>
      </c>
      <c r="D2657" s="2">
        <f>HYPERLINK("http://mcb-m6.bioreg.kyushu-u.ac.jp/M3/20110318/F50601/2160/1", 35.95)</f>
        <v>35.950000000000003</v>
      </c>
      <c r="E2657" s="2">
        <v>16.91</v>
      </c>
      <c r="F2657" s="2">
        <v>2</v>
      </c>
      <c r="G2657" s="2" t="s">
        <v>9</v>
      </c>
    </row>
    <row r="2658" spans="1:7" x14ac:dyDescent="0.2">
      <c r="A2658" s="2" t="s">
        <v>3245</v>
      </c>
      <c r="B2658" s="2" t="s">
        <v>25</v>
      </c>
      <c r="C2658" s="2">
        <v>737.58749999999998</v>
      </c>
      <c r="D2658" s="2">
        <f>HYPERLINK("http://mcb-m6.bioreg.kyushu-u.ac.jp/M3/20110318/F50621/2384/1", 35.98)</f>
        <v>35.979999999999997</v>
      </c>
      <c r="E2658" s="2">
        <v>15.99</v>
      </c>
      <c r="F2658" s="2">
        <v>3</v>
      </c>
      <c r="G2658" s="2" t="s">
        <v>9</v>
      </c>
    </row>
    <row r="2659" spans="1:7" x14ac:dyDescent="0.2">
      <c r="A2659" s="2" t="s">
        <v>3245</v>
      </c>
      <c r="B2659" s="2" t="s">
        <v>25</v>
      </c>
      <c r="C2659" s="2">
        <v>1106.479</v>
      </c>
      <c r="D2659" s="2">
        <f>HYPERLINK("http://mcb-m6.bioreg.kyushu-u.ac.jp/M3/20110318/F50601/2166/1", 36.85)</f>
        <v>36.85</v>
      </c>
      <c r="E2659" s="2">
        <v>16.63</v>
      </c>
      <c r="F2659" s="2">
        <v>2</v>
      </c>
      <c r="G2659" s="2" t="s">
        <v>9</v>
      </c>
    </row>
    <row r="2660" spans="1:7" x14ac:dyDescent="0.2">
      <c r="A2660" s="2" t="s">
        <v>3245</v>
      </c>
      <c r="B2660" s="2" t="s">
        <v>25</v>
      </c>
      <c r="C2660" s="2">
        <v>737.94590000000005</v>
      </c>
      <c r="D2660" s="2">
        <f>HYPERLINK("http://mcb-m6.bioreg.kyushu-u.ac.jp/M3/20110318/F50621/2393/1", 37.24)</f>
        <v>37.24</v>
      </c>
      <c r="E2660" s="2">
        <v>13.92</v>
      </c>
      <c r="F2660" s="2">
        <v>3</v>
      </c>
      <c r="G2660" s="2" t="s">
        <v>9</v>
      </c>
    </row>
    <row r="2661" spans="1:7" x14ac:dyDescent="0.2">
      <c r="A2661" s="2" t="s">
        <v>3245</v>
      </c>
      <c r="B2661" s="2" t="s">
        <v>25</v>
      </c>
      <c r="C2661" s="2">
        <v>1106.181</v>
      </c>
      <c r="D2661" s="2">
        <f>HYPERLINK("http://mcb-m6.bioreg.kyushu-u.ac.jp/M3/20110318/F50604/2282/1", 37.39)</f>
        <v>37.39</v>
      </c>
      <c r="E2661" s="2">
        <v>17.260000000000002</v>
      </c>
      <c r="F2661" s="2">
        <v>2</v>
      </c>
      <c r="G2661" s="2" t="s">
        <v>9</v>
      </c>
    </row>
    <row r="2662" spans="1:7" x14ac:dyDescent="0.2">
      <c r="A2662" s="2" t="s">
        <v>3245</v>
      </c>
      <c r="B2662" s="2" t="s">
        <v>25</v>
      </c>
      <c r="C2662" s="2">
        <v>737.60979999999995</v>
      </c>
      <c r="D2662" s="2">
        <f>HYPERLINK("http://mcb-m6.bioreg.kyushu-u.ac.jp/M3/20110318/F50619/2611/1", 37.43)</f>
        <v>37.43</v>
      </c>
      <c r="E2662" s="2">
        <v>20.82</v>
      </c>
      <c r="F2662" s="2">
        <v>3</v>
      </c>
      <c r="G2662" s="2" t="s">
        <v>9</v>
      </c>
    </row>
    <row r="2663" spans="1:7" x14ac:dyDescent="0.2">
      <c r="A2663" s="2" t="s">
        <v>3245</v>
      </c>
      <c r="B2663" s="2" t="s">
        <v>25</v>
      </c>
      <c r="C2663" s="2">
        <v>1105.9469999999999</v>
      </c>
      <c r="D2663" s="2">
        <f>HYPERLINK("http://mcb-m6.bioreg.kyushu-u.ac.jp/M3/20110318/F50610/2273/1", 37.71)</f>
        <v>37.71</v>
      </c>
      <c r="E2663" s="2">
        <v>15.73</v>
      </c>
      <c r="F2663" s="2">
        <v>2</v>
      </c>
      <c r="G2663" s="2" t="s">
        <v>9</v>
      </c>
    </row>
    <row r="2664" spans="1:7" x14ac:dyDescent="0.2">
      <c r="A2664" s="2" t="s">
        <v>3245</v>
      </c>
      <c r="B2664" s="2" t="s">
        <v>25</v>
      </c>
      <c r="C2664" s="2">
        <v>1106.027</v>
      </c>
      <c r="D2664" s="2">
        <f>HYPERLINK("http://mcb-m6.bioreg.kyushu-u.ac.jp/M3/20110318/F50606/2626/1", 37.79)</f>
        <v>37.79</v>
      </c>
      <c r="E2664" s="2">
        <v>13.22</v>
      </c>
      <c r="F2664" s="2">
        <v>2</v>
      </c>
      <c r="G2664" s="2" t="s">
        <v>9</v>
      </c>
    </row>
    <row r="2665" spans="1:7" x14ac:dyDescent="0.2">
      <c r="A2665" s="2" t="s">
        <v>3245</v>
      </c>
      <c r="B2665" s="2" t="s">
        <v>25</v>
      </c>
      <c r="C2665" s="2">
        <v>1106.2370000000001</v>
      </c>
      <c r="D2665" s="2">
        <f>HYPERLINK("http://mcb-m6.bioreg.kyushu-u.ac.jp/M3/20110318/F50607/2449/1", 38.2)</f>
        <v>38.200000000000003</v>
      </c>
      <c r="E2665" s="2">
        <v>18.52</v>
      </c>
      <c r="F2665" s="2">
        <v>2</v>
      </c>
      <c r="G2665" s="2" t="s">
        <v>9</v>
      </c>
    </row>
    <row r="2666" spans="1:7" x14ac:dyDescent="0.2">
      <c r="A2666" s="2" t="s">
        <v>3245</v>
      </c>
      <c r="B2666" s="2" t="s">
        <v>25</v>
      </c>
      <c r="C2666" s="2">
        <v>1106.617</v>
      </c>
      <c r="D2666" s="2">
        <f>HYPERLINK("http://mcb-m6.bioreg.kyushu-u.ac.jp/M3/20110318/F50606/2636/1", 38.37)</f>
        <v>38.369999999999997</v>
      </c>
      <c r="E2666" s="2">
        <v>15.81</v>
      </c>
      <c r="F2666" s="2">
        <v>2</v>
      </c>
      <c r="G2666" s="2" t="s">
        <v>9</v>
      </c>
    </row>
    <row r="2667" spans="1:7" x14ac:dyDescent="0.2">
      <c r="A2667" s="2" t="s">
        <v>3245</v>
      </c>
      <c r="B2667" s="2" t="s">
        <v>25</v>
      </c>
      <c r="C2667" s="2">
        <v>737.60609999999997</v>
      </c>
      <c r="D2667" s="2">
        <f>HYPERLINK("http://mcb-m6.bioreg.kyushu-u.ac.jp/M3/20110318/F50621/2386/1", 38.6)</f>
        <v>38.6</v>
      </c>
      <c r="E2667" s="2">
        <v>21.96</v>
      </c>
      <c r="F2667" s="2">
        <v>3</v>
      </c>
      <c r="G2667" s="2" t="s">
        <v>9</v>
      </c>
    </row>
    <row r="2668" spans="1:7" x14ac:dyDescent="0.2">
      <c r="A2668" s="2" t="s">
        <v>3245</v>
      </c>
      <c r="B2668" s="2" t="s">
        <v>25</v>
      </c>
      <c r="C2668" s="2">
        <v>737.77520000000004</v>
      </c>
      <c r="D2668" s="2">
        <f>HYPERLINK("http://mcb-m6.bioreg.kyushu-u.ac.jp/M3/20110318/F50620/2718/1", 38.66)</f>
        <v>38.659999999999997</v>
      </c>
      <c r="E2668" s="2">
        <v>21.54</v>
      </c>
      <c r="F2668" s="2">
        <v>3</v>
      </c>
      <c r="G2668" s="2" t="s">
        <v>9</v>
      </c>
    </row>
    <row r="2669" spans="1:7" x14ac:dyDescent="0.2">
      <c r="A2669" s="2" t="s">
        <v>3245</v>
      </c>
      <c r="B2669" s="2" t="s">
        <v>25</v>
      </c>
      <c r="C2669" s="2">
        <v>1106.521</v>
      </c>
      <c r="D2669" s="2">
        <f>HYPERLINK("http://mcb-m6.bioreg.kyushu-u.ac.jp/M3/20110318/F50601/2167/1", 38.66)</f>
        <v>38.659999999999997</v>
      </c>
      <c r="E2669" s="2">
        <v>14.33</v>
      </c>
      <c r="F2669" s="2">
        <v>2</v>
      </c>
      <c r="G2669" s="2" t="s">
        <v>9</v>
      </c>
    </row>
    <row r="2670" spans="1:7" x14ac:dyDescent="0.2">
      <c r="A2670" s="2" t="s">
        <v>3245</v>
      </c>
      <c r="B2670" s="2" t="s">
        <v>25</v>
      </c>
      <c r="C2670" s="2">
        <v>737.78989999999999</v>
      </c>
      <c r="D2670" s="2">
        <f>HYPERLINK("http://mcb-m6.bioreg.kyushu-u.ac.jp/M3/20110318/F50620/2719/1", 38.77)</f>
        <v>38.770000000000003</v>
      </c>
      <c r="E2670" s="2">
        <v>23.16</v>
      </c>
      <c r="F2670" s="2">
        <v>3</v>
      </c>
      <c r="G2670" s="2" t="s">
        <v>9</v>
      </c>
    </row>
    <row r="2671" spans="1:7" x14ac:dyDescent="0.2">
      <c r="A2671" s="2" t="s">
        <v>3245</v>
      </c>
      <c r="B2671" s="2" t="s">
        <v>25</v>
      </c>
      <c r="C2671" s="2">
        <v>1106.162</v>
      </c>
      <c r="D2671" s="2">
        <f>HYPERLINK("http://mcb-m6.bioreg.kyushu-u.ac.jp/M3/20110318/F50618/2877/1", 39.01)</f>
        <v>39.01</v>
      </c>
      <c r="E2671" s="2">
        <v>23.82</v>
      </c>
      <c r="F2671" s="2">
        <v>2</v>
      </c>
      <c r="G2671" s="2" t="s">
        <v>9</v>
      </c>
    </row>
    <row r="2672" spans="1:7" x14ac:dyDescent="0.2">
      <c r="A2672" s="2" t="s">
        <v>3245</v>
      </c>
      <c r="B2672" s="2" t="s">
        <v>25</v>
      </c>
      <c r="C2672" s="2">
        <v>737.80219999999997</v>
      </c>
      <c r="D2672" s="2">
        <f>HYPERLINK("http://mcb-m6.bioreg.kyushu-u.ac.jp/M3/20110318/F50618/2878/1", 39.16)</f>
        <v>39.159999999999997</v>
      </c>
      <c r="E2672" s="2">
        <v>20.16</v>
      </c>
      <c r="F2672" s="2">
        <v>3</v>
      </c>
      <c r="G2672" s="2" t="s">
        <v>9</v>
      </c>
    </row>
    <row r="2673" spans="1:7" x14ac:dyDescent="0.2">
      <c r="A2673" s="2" t="s">
        <v>3245</v>
      </c>
      <c r="B2673" s="2" t="s">
        <v>25</v>
      </c>
      <c r="C2673" s="2">
        <v>1106.143</v>
      </c>
      <c r="D2673" s="2">
        <f>HYPERLINK("http://mcb-m6.bioreg.kyushu-u.ac.jp/M3/20110318/F50603/2219/1", 39.67)</f>
        <v>39.67</v>
      </c>
      <c r="E2673" s="2">
        <v>22.45</v>
      </c>
      <c r="F2673" s="2">
        <v>2</v>
      </c>
      <c r="G2673" s="2" t="s">
        <v>9</v>
      </c>
    </row>
    <row r="2674" spans="1:7" x14ac:dyDescent="0.2">
      <c r="A2674" s="2" t="s">
        <v>3245</v>
      </c>
      <c r="B2674" s="2" t="s">
        <v>25</v>
      </c>
      <c r="C2674" s="2">
        <v>737.81410000000005</v>
      </c>
      <c r="D2674" s="2">
        <f>HYPERLINK("http://mcb-m6.bioreg.kyushu-u.ac.jp/M3/20110318/F50621/2389/1", 39.75)</f>
        <v>39.75</v>
      </c>
      <c r="E2674" s="2">
        <v>14.1</v>
      </c>
      <c r="F2674" s="2">
        <v>3</v>
      </c>
      <c r="G2674" s="2" t="s">
        <v>9</v>
      </c>
    </row>
    <row r="2675" spans="1:7" x14ac:dyDescent="0.2">
      <c r="A2675" s="2" t="s">
        <v>3245</v>
      </c>
      <c r="B2675" s="2" t="s">
        <v>25</v>
      </c>
      <c r="C2675" s="2">
        <v>1106.5820000000001</v>
      </c>
      <c r="D2675" s="2">
        <f>HYPERLINK("http://mcb-m6.bioreg.kyushu-u.ac.jp/M3/20110318/F50602/2318/1", 40.29)</f>
        <v>40.29</v>
      </c>
      <c r="E2675" s="2">
        <v>20.69</v>
      </c>
      <c r="F2675" s="2">
        <v>2</v>
      </c>
      <c r="G2675" s="2" t="s">
        <v>9</v>
      </c>
    </row>
    <row r="2676" spans="1:7" x14ac:dyDescent="0.2">
      <c r="A2676" s="2" t="s">
        <v>3245</v>
      </c>
      <c r="B2676" s="2" t="s">
        <v>25</v>
      </c>
      <c r="C2676" s="2">
        <v>1106.518</v>
      </c>
      <c r="D2676" s="2">
        <f>HYPERLINK("http://mcb-m6.bioreg.kyushu-u.ac.jp/M3/20110318/F50606/2632/1", 40.88)</f>
        <v>40.880000000000003</v>
      </c>
      <c r="E2676" s="2">
        <v>24.71</v>
      </c>
      <c r="F2676" s="2">
        <v>2</v>
      </c>
      <c r="G2676" s="2" t="s">
        <v>9</v>
      </c>
    </row>
    <row r="2677" spans="1:7" x14ac:dyDescent="0.2">
      <c r="A2677" s="2" t="s">
        <v>3245</v>
      </c>
      <c r="B2677" s="2" t="s">
        <v>25</v>
      </c>
      <c r="C2677" s="2">
        <v>1106.1780000000001</v>
      </c>
      <c r="D2677" s="2">
        <f>HYPERLINK("http://mcb-m6.bioreg.kyushu-u.ac.jp/M3/20110318/F50603/2221/1", 41.15)</f>
        <v>41.15</v>
      </c>
      <c r="E2677" s="2">
        <v>19.78</v>
      </c>
      <c r="F2677" s="2">
        <v>2</v>
      </c>
      <c r="G2677" s="2" t="s">
        <v>9</v>
      </c>
    </row>
    <row r="2678" spans="1:7" x14ac:dyDescent="0.2">
      <c r="A2678" s="2" t="s">
        <v>3245</v>
      </c>
      <c r="B2678" s="2" t="s">
        <v>25</v>
      </c>
      <c r="C2678" s="2">
        <v>737.43349999999998</v>
      </c>
      <c r="D2678" s="2">
        <f>HYPERLINK("http://mcb-m6.bioreg.kyushu-u.ac.jp/M3/20110318/F50619/2603/1", 41.95)</f>
        <v>41.95</v>
      </c>
      <c r="E2678" s="2">
        <v>25.11</v>
      </c>
      <c r="F2678" s="2">
        <v>3</v>
      </c>
      <c r="G2678" s="2" t="s">
        <v>9</v>
      </c>
    </row>
    <row r="2679" spans="1:7" x14ac:dyDescent="0.2">
      <c r="A2679" s="2" t="s">
        <v>3245</v>
      </c>
      <c r="B2679" s="2" t="s">
        <v>25</v>
      </c>
      <c r="C2679" s="2">
        <v>737.7165</v>
      </c>
      <c r="D2679" s="2">
        <f>HYPERLINK("http://mcb-m6.bioreg.kyushu-u.ac.jp/M3/20110318/F50602/2307/1", 42.17)</f>
        <v>42.17</v>
      </c>
      <c r="E2679" s="2">
        <v>18.57</v>
      </c>
      <c r="F2679" s="2">
        <v>3</v>
      </c>
      <c r="G2679" s="2" t="s">
        <v>9</v>
      </c>
    </row>
    <row r="2680" spans="1:7" x14ac:dyDescent="0.2">
      <c r="A2680" s="2" t="s">
        <v>3245</v>
      </c>
      <c r="B2680" s="2" t="s">
        <v>25</v>
      </c>
      <c r="C2680" s="2">
        <v>737.98019999999997</v>
      </c>
      <c r="D2680" s="2">
        <f>HYPERLINK("http://mcb-m6.bioreg.kyushu-u.ac.jp/M3/20110318/F50619/2618/1", 42.78)</f>
        <v>42.78</v>
      </c>
      <c r="E2680" s="2">
        <v>28.16</v>
      </c>
      <c r="F2680" s="2">
        <v>3</v>
      </c>
      <c r="G2680" s="2" t="s">
        <v>9</v>
      </c>
    </row>
    <row r="2681" spans="1:7" x14ac:dyDescent="0.2">
      <c r="A2681" s="2" t="s">
        <v>3245</v>
      </c>
      <c r="B2681" s="2" t="s">
        <v>25</v>
      </c>
      <c r="C2681" s="2">
        <v>1106.079</v>
      </c>
      <c r="D2681" s="2">
        <f>HYPERLINK("http://mcb-m6.bioreg.kyushu-u.ac.jp/M3/20110318/F50603/2215/1", 43.02)</f>
        <v>43.02</v>
      </c>
      <c r="E2681" s="2">
        <v>27.73</v>
      </c>
      <c r="F2681" s="2">
        <v>2</v>
      </c>
      <c r="G2681" s="2" t="s">
        <v>9</v>
      </c>
    </row>
    <row r="2682" spans="1:7" x14ac:dyDescent="0.2">
      <c r="A2682" s="2" t="s">
        <v>3245</v>
      </c>
      <c r="B2682" s="2" t="s">
        <v>25</v>
      </c>
      <c r="C2682" s="2">
        <v>1105.912</v>
      </c>
      <c r="D2682" s="2">
        <f>HYPERLINK("http://mcb-m6.bioreg.kyushu-u.ac.jp/M3/20110318/F50602/2303/1", 43.59)</f>
        <v>43.59</v>
      </c>
      <c r="E2682" s="2">
        <v>18.52</v>
      </c>
      <c r="F2682" s="2">
        <v>2</v>
      </c>
      <c r="G2682" s="2" t="s">
        <v>9</v>
      </c>
    </row>
    <row r="2683" spans="1:7" x14ac:dyDescent="0.2">
      <c r="A2683" s="2" t="s">
        <v>3245</v>
      </c>
      <c r="B2683" s="2" t="s">
        <v>25</v>
      </c>
      <c r="C2683" s="2">
        <v>737.62779999999998</v>
      </c>
      <c r="D2683" s="2">
        <f>HYPERLINK("http://mcb-m6.bioreg.kyushu-u.ac.jp/M3/20110318/F50603/2212/1", 44.01)</f>
        <v>44.01</v>
      </c>
      <c r="E2683" s="2">
        <v>26.3</v>
      </c>
      <c r="F2683" s="2">
        <v>3</v>
      </c>
      <c r="G2683" s="2" t="s">
        <v>9</v>
      </c>
    </row>
    <row r="2684" spans="1:7" x14ac:dyDescent="0.2">
      <c r="A2684" s="2" t="s">
        <v>3245</v>
      </c>
      <c r="B2684" s="2" t="s">
        <v>25</v>
      </c>
      <c r="C2684" s="2">
        <v>1106.289</v>
      </c>
      <c r="D2684" s="2">
        <f>HYPERLINK("http://mcb-m6.bioreg.kyushu-u.ac.jp/M3/20110318/F50608/2449/1", 44.28)</f>
        <v>44.28</v>
      </c>
      <c r="E2684" s="2">
        <v>25.52</v>
      </c>
      <c r="F2684" s="2">
        <v>2</v>
      </c>
      <c r="G2684" s="2" t="s">
        <v>9</v>
      </c>
    </row>
    <row r="2685" spans="1:7" x14ac:dyDescent="0.2">
      <c r="A2685" s="2" t="s">
        <v>3245</v>
      </c>
      <c r="B2685" s="2" t="s">
        <v>25</v>
      </c>
      <c r="C2685" s="2">
        <v>1106.0820000000001</v>
      </c>
      <c r="D2685" s="2">
        <f>HYPERLINK("http://mcb-m6.bioreg.kyushu-u.ac.jp/M3/20110318/F50603/2216/1", 44.37)</f>
        <v>44.37</v>
      </c>
      <c r="E2685" s="2">
        <v>17.649999999999999</v>
      </c>
      <c r="F2685" s="2">
        <v>2</v>
      </c>
      <c r="G2685" s="2" t="s">
        <v>9</v>
      </c>
    </row>
    <row r="2686" spans="1:7" x14ac:dyDescent="0.2">
      <c r="A2686" s="2" t="s">
        <v>3245</v>
      </c>
      <c r="B2686" s="2" t="s">
        <v>25</v>
      </c>
      <c r="C2686" s="2">
        <v>1106.009</v>
      </c>
      <c r="D2686" s="2">
        <f>HYPERLINK("http://mcb-m6.bioreg.kyushu-u.ac.jp/M3/20110318/F50605/2679/1", 44.74)</f>
        <v>44.74</v>
      </c>
      <c r="E2686" s="2">
        <v>29.03</v>
      </c>
      <c r="F2686" s="2">
        <v>2</v>
      </c>
      <c r="G2686" s="2" t="s">
        <v>9</v>
      </c>
    </row>
    <row r="2687" spans="1:7" x14ac:dyDescent="0.2">
      <c r="A2687" s="2" t="s">
        <v>3245</v>
      </c>
      <c r="B2687" s="2" t="s">
        <v>25</v>
      </c>
      <c r="C2687" s="2">
        <v>1106.4559999999999</v>
      </c>
      <c r="D2687" s="2">
        <f>HYPERLINK("http://mcb-m6.bioreg.kyushu-u.ac.jp/M3/20110318/F50609/2403/1", 44.8)</f>
        <v>44.8</v>
      </c>
      <c r="E2687" s="2">
        <v>22.16</v>
      </c>
      <c r="F2687" s="2">
        <v>2</v>
      </c>
      <c r="G2687" s="2" t="s">
        <v>9</v>
      </c>
    </row>
    <row r="2688" spans="1:7" x14ac:dyDescent="0.2">
      <c r="A2688" s="2" t="s">
        <v>3245</v>
      </c>
      <c r="B2688" s="2" t="s">
        <v>25</v>
      </c>
      <c r="C2688" s="2">
        <v>737.63559999999995</v>
      </c>
      <c r="D2688" s="2">
        <f>HYPERLINK("http://mcb-m6.bioreg.kyushu-u.ac.jp/M3/20110318/F50606/2623/1", 45.38)</f>
        <v>45.38</v>
      </c>
      <c r="E2688" s="2">
        <v>24.72</v>
      </c>
      <c r="F2688" s="2">
        <v>3</v>
      </c>
      <c r="G2688" s="2" t="s">
        <v>9</v>
      </c>
    </row>
    <row r="2689" spans="1:7" x14ac:dyDescent="0.2">
      <c r="A2689" s="2" t="s">
        <v>3245</v>
      </c>
      <c r="B2689" s="2" t="s">
        <v>25</v>
      </c>
      <c r="C2689" s="2">
        <v>1106.5219999999999</v>
      </c>
      <c r="D2689" s="2">
        <f>HYPERLINK("http://mcb-m6.bioreg.kyushu-u.ac.jp/M3/20110318/F50602/2315/1", 45.43)</f>
        <v>45.43</v>
      </c>
      <c r="E2689" s="2">
        <v>18.82</v>
      </c>
      <c r="F2689" s="2">
        <v>2</v>
      </c>
      <c r="G2689" s="2" t="s">
        <v>9</v>
      </c>
    </row>
    <row r="2690" spans="1:7" x14ac:dyDescent="0.2">
      <c r="A2690" s="2" t="s">
        <v>3245</v>
      </c>
      <c r="B2690" s="2" t="s">
        <v>25</v>
      </c>
      <c r="C2690" s="2">
        <v>737.55989999999997</v>
      </c>
      <c r="D2690" s="2">
        <f>HYPERLINK("http://mcb-m6.bioreg.kyushu-u.ac.jp/M3/20110318/F50621/2381/1", 45.52)</f>
        <v>45.52</v>
      </c>
      <c r="E2690" s="2">
        <v>20.41</v>
      </c>
      <c r="F2690" s="2">
        <v>3</v>
      </c>
      <c r="G2690" s="2" t="s">
        <v>9</v>
      </c>
    </row>
    <row r="2691" spans="1:7" x14ac:dyDescent="0.2">
      <c r="A2691" s="2" t="s">
        <v>3245</v>
      </c>
      <c r="B2691" s="2" t="s">
        <v>25</v>
      </c>
      <c r="C2691" s="2">
        <v>737.8175</v>
      </c>
      <c r="D2691" s="2">
        <f>HYPERLINK("http://mcb-m6.bioreg.kyushu-u.ac.jp/M3/20110318/F50619/2615/1", 45.53)</f>
        <v>45.53</v>
      </c>
      <c r="E2691" s="2">
        <v>28.73</v>
      </c>
      <c r="F2691" s="2">
        <v>3</v>
      </c>
      <c r="G2691" s="2" t="s">
        <v>9</v>
      </c>
    </row>
    <row r="2692" spans="1:7" x14ac:dyDescent="0.2">
      <c r="A2692" s="2" t="s">
        <v>3245</v>
      </c>
      <c r="B2692" s="2" t="s">
        <v>25</v>
      </c>
      <c r="C2692" s="2">
        <v>1105.5250000000001</v>
      </c>
      <c r="D2692" s="2">
        <f>HYPERLINK("http://mcb-m6.bioreg.kyushu-u.ac.jp/M3/20110318/F50602/2299/1", 45.57)</f>
        <v>45.57</v>
      </c>
      <c r="E2692" s="2">
        <v>27.07</v>
      </c>
      <c r="F2692" s="2">
        <v>2</v>
      </c>
      <c r="G2692" s="2" t="s">
        <v>9</v>
      </c>
    </row>
    <row r="2693" spans="1:7" x14ac:dyDescent="0.2">
      <c r="A2693" s="2" t="s">
        <v>3245</v>
      </c>
      <c r="B2693" s="2" t="s">
        <v>25</v>
      </c>
      <c r="C2693" s="2">
        <v>1105.9739999999999</v>
      </c>
      <c r="D2693" s="2">
        <f>HYPERLINK("http://mcb-m6.bioreg.kyushu-u.ac.jp/M3/20110318/F50606/2624/1", 45.66)</f>
        <v>45.66</v>
      </c>
      <c r="E2693" s="2">
        <v>27.25</v>
      </c>
      <c r="F2693" s="2">
        <v>2</v>
      </c>
      <c r="G2693" s="2" t="s">
        <v>9</v>
      </c>
    </row>
    <row r="2694" spans="1:7" x14ac:dyDescent="0.2">
      <c r="A2694" s="2" t="s">
        <v>3245</v>
      </c>
      <c r="B2694" s="2" t="s">
        <v>25</v>
      </c>
      <c r="C2694" s="2">
        <v>737.67949999999996</v>
      </c>
      <c r="D2694" s="2">
        <f>HYPERLINK("http://mcb-m6.bioreg.kyushu-u.ac.jp/M3/20110318/F50608/2445/1", 45.97)</f>
        <v>45.97</v>
      </c>
      <c r="E2694" s="2">
        <v>26.15</v>
      </c>
      <c r="F2694" s="2">
        <v>3</v>
      </c>
      <c r="G2694" s="2" t="s">
        <v>9</v>
      </c>
    </row>
    <row r="2695" spans="1:7" x14ac:dyDescent="0.2">
      <c r="A2695" s="2" t="s">
        <v>3245</v>
      </c>
      <c r="B2695" s="2" t="s">
        <v>25</v>
      </c>
      <c r="C2695" s="2">
        <v>737.66049999999996</v>
      </c>
      <c r="D2695" s="2">
        <f>HYPERLINK("http://mcb-m6.bioreg.kyushu-u.ac.jp/M3/20110318/F50618/2874/1", 46.05)</f>
        <v>46.05</v>
      </c>
      <c r="E2695" s="2">
        <v>22.17</v>
      </c>
      <c r="F2695" s="2">
        <v>3</v>
      </c>
      <c r="G2695" s="2" t="s">
        <v>9</v>
      </c>
    </row>
    <row r="2696" spans="1:7" x14ac:dyDescent="0.2">
      <c r="A2696" s="2" t="s">
        <v>3245</v>
      </c>
      <c r="B2696" s="2" t="s">
        <v>25</v>
      </c>
      <c r="C2696" s="2">
        <v>1106.2370000000001</v>
      </c>
      <c r="D2696" s="2">
        <f>HYPERLINK("http://mcb-m6.bioreg.kyushu-u.ac.jp/M3/20110318/F50605/2683/1", 46.64)</f>
        <v>46.64</v>
      </c>
      <c r="E2696" s="2">
        <v>22.64</v>
      </c>
      <c r="F2696" s="2">
        <v>2</v>
      </c>
      <c r="G2696" s="2" t="s">
        <v>9</v>
      </c>
    </row>
    <row r="2697" spans="1:7" x14ac:dyDescent="0.2">
      <c r="A2697" s="2" t="s">
        <v>3245</v>
      </c>
      <c r="B2697" s="2" t="s">
        <v>25</v>
      </c>
      <c r="C2697" s="2">
        <v>1106.5319999999999</v>
      </c>
      <c r="D2697" s="2">
        <f>HYPERLINK("http://mcb-m6.bioreg.kyushu-u.ac.jp/M3/20110318/F50605/2690/1", 47.03)</f>
        <v>47.03</v>
      </c>
      <c r="E2697" s="2">
        <v>26.05</v>
      </c>
      <c r="F2697" s="2">
        <v>2</v>
      </c>
      <c r="G2697" s="2" t="s">
        <v>9</v>
      </c>
    </row>
    <row r="2698" spans="1:7" x14ac:dyDescent="0.2">
      <c r="A2698" s="2" t="s">
        <v>3245</v>
      </c>
      <c r="B2698" s="2" t="s">
        <v>25</v>
      </c>
      <c r="C2698" s="2">
        <v>1106.136</v>
      </c>
      <c r="D2698" s="2">
        <f>HYPERLINK("http://mcb-m6.bioreg.kyushu-u.ac.jp/M3/20110318/F50603/2218/1", 48.23)</f>
        <v>48.23</v>
      </c>
      <c r="E2698" s="2">
        <v>22.64</v>
      </c>
      <c r="F2698" s="2">
        <v>2</v>
      </c>
      <c r="G2698" s="2" t="s">
        <v>9</v>
      </c>
    </row>
    <row r="2699" spans="1:7" x14ac:dyDescent="0.2">
      <c r="A2699" s="2" t="s">
        <v>3245</v>
      </c>
      <c r="B2699" s="2" t="s">
        <v>25</v>
      </c>
      <c r="C2699" s="2">
        <v>1106.4570000000001</v>
      </c>
      <c r="D2699" s="2">
        <f>HYPERLINK("http://mcb-m6.bioreg.kyushu-u.ac.jp/M3/20110318/F50610/2277/1", 48.42)</f>
        <v>48.42</v>
      </c>
      <c r="E2699" s="2">
        <v>21.15</v>
      </c>
      <c r="F2699" s="2">
        <v>2</v>
      </c>
      <c r="G2699" s="2" t="s">
        <v>9</v>
      </c>
    </row>
    <row r="2700" spans="1:7" x14ac:dyDescent="0.2">
      <c r="A2700" s="2" t="s">
        <v>3245</v>
      </c>
      <c r="B2700" s="2" t="s">
        <v>25</v>
      </c>
      <c r="C2700" s="2">
        <v>1105.979</v>
      </c>
      <c r="D2700" s="2">
        <f>HYPERLINK("http://mcb-m6.bioreg.kyushu-u.ac.jp/M3/20110318/F50602/2305/1", 48.59)</f>
        <v>48.59</v>
      </c>
      <c r="E2700" s="2">
        <v>29.76</v>
      </c>
      <c r="F2700" s="2">
        <v>2</v>
      </c>
      <c r="G2700" s="2" t="s">
        <v>9</v>
      </c>
    </row>
    <row r="2701" spans="1:7" x14ac:dyDescent="0.2">
      <c r="A2701" s="2" t="s">
        <v>3245</v>
      </c>
      <c r="B2701" s="2" t="s">
        <v>25</v>
      </c>
      <c r="C2701" s="2">
        <v>1106.115</v>
      </c>
      <c r="D2701" s="2">
        <f>HYPERLINK("http://mcb-m6.bioreg.kyushu-u.ac.jp/M3/20110318/F50603/2217/1", 48.6)</f>
        <v>48.6</v>
      </c>
      <c r="E2701" s="2">
        <v>26.51</v>
      </c>
      <c r="F2701" s="2">
        <v>2</v>
      </c>
      <c r="G2701" s="2" t="s">
        <v>9</v>
      </c>
    </row>
    <row r="2702" spans="1:7" x14ac:dyDescent="0.2">
      <c r="A2702" s="2" t="s">
        <v>3245</v>
      </c>
      <c r="B2702" s="2" t="s">
        <v>25</v>
      </c>
      <c r="C2702" s="2">
        <v>1106.144</v>
      </c>
      <c r="D2702" s="2">
        <f>HYPERLINK("http://mcb-m6.bioreg.kyushu-u.ac.jp/M3/20110318/F50603/2220/1", 48.6)</f>
        <v>48.6</v>
      </c>
      <c r="E2702" s="2">
        <v>29.29</v>
      </c>
      <c r="F2702" s="2">
        <v>2</v>
      </c>
      <c r="G2702" s="2" t="s">
        <v>9</v>
      </c>
    </row>
    <row r="2703" spans="1:7" x14ac:dyDescent="0.2">
      <c r="A2703" s="2" t="s">
        <v>3245</v>
      </c>
      <c r="B2703" s="2" t="s">
        <v>25</v>
      </c>
      <c r="C2703" s="2">
        <v>1106.068</v>
      </c>
      <c r="D2703" s="2">
        <f>HYPERLINK("http://mcb-m6.bioreg.kyushu-u.ac.jp/M3/20110318/F50606/2627/1", 48.62)</f>
        <v>48.62</v>
      </c>
      <c r="E2703" s="2">
        <v>18.809999999999999</v>
      </c>
      <c r="F2703" s="2">
        <v>2</v>
      </c>
      <c r="G2703" s="2" t="s">
        <v>9</v>
      </c>
    </row>
    <row r="2704" spans="1:7" x14ac:dyDescent="0.2">
      <c r="A2704" s="2" t="s">
        <v>3245</v>
      </c>
      <c r="B2704" s="2" t="s">
        <v>25</v>
      </c>
      <c r="C2704" s="2">
        <v>1106.4680000000001</v>
      </c>
      <c r="D2704" s="2">
        <f>HYPERLINK("http://mcb-m6.bioreg.kyushu-u.ac.jp/M3/20110318/F50610/2278/1", 48.72)</f>
        <v>48.72</v>
      </c>
      <c r="E2704" s="2">
        <v>29.06</v>
      </c>
      <c r="F2704" s="2">
        <v>2</v>
      </c>
      <c r="G2704" s="2" t="s">
        <v>9</v>
      </c>
    </row>
    <row r="2705" spans="1:7" x14ac:dyDescent="0.2">
      <c r="A2705" s="2" t="s">
        <v>3245</v>
      </c>
      <c r="B2705" s="2" t="s">
        <v>25</v>
      </c>
      <c r="C2705" s="2">
        <v>738.00850000000003</v>
      </c>
      <c r="D2705" s="2">
        <f>HYPERLINK("http://mcb-m6.bioreg.kyushu-u.ac.jp/M3/20110318/F50609/2407/1", 49.23)</f>
        <v>49.23</v>
      </c>
      <c r="E2705" s="2">
        <v>27.47</v>
      </c>
      <c r="F2705" s="2">
        <v>3</v>
      </c>
      <c r="G2705" s="2" t="s">
        <v>9</v>
      </c>
    </row>
    <row r="2706" spans="1:7" x14ac:dyDescent="0.2">
      <c r="A2706" s="2" t="s">
        <v>3245</v>
      </c>
      <c r="B2706" s="2" t="s">
        <v>25</v>
      </c>
      <c r="C2706" s="2">
        <v>1106.4549999999999</v>
      </c>
      <c r="D2706" s="2">
        <f>HYPERLINK("http://mcb-m6.bioreg.kyushu-u.ac.jp/M3/20110318/F50621/2397/1", 49.37)</f>
        <v>49.37</v>
      </c>
      <c r="E2706" s="2">
        <v>19.96</v>
      </c>
      <c r="F2706" s="2">
        <v>2</v>
      </c>
      <c r="G2706" s="2" t="s">
        <v>9</v>
      </c>
    </row>
    <row r="2707" spans="1:7" x14ac:dyDescent="0.2">
      <c r="A2707" s="2" t="s">
        <v>3245</v>
      </c>
      <c r="B2707" s="2" t="s">
        <v>25</v>
      </c>
      <c r="C2707" s="2">
        <v>1106.586</v>
      </c>
      <c r="D2707" s="2">
        <f>HYPERLINK("http://mcb-m6.bioreg.kyushu-u.ac.jp/M3/20110318/F50605/2693/1", 49.45)</f>
        <v>49.45</v>
      </c>
      <c r="E2707" s="2">
        <v>26.88</v>
      </c>
      <c r="F2707" s="2">
        <v>2</v>
      </c>
      <c r="G2707" s="2" t="s">
        <v>9</v>
      </c>
    </row>
    <row r="2708" spans="1:7" x14ac:dyDescent="0.2">
      <c r="A2708" s="2" t="s">
        <v>3245</v>
      </c>
      <c r="B2708" s="2" t="s">
        <v>25</v>
      </c>
      <c r="C2708" s="2">
        <v>1106.0989999999999</v>
      </c>
      <c r="D2708" s="2">
        <f>HYPERLINK("http://mcb-m6.bioreg.kyushu-u.ac.jp/M3/20110318/F50605/2681/1", 50.03)</f>
        <v>50.03</v>
      </c>
      <c r="E2708" s="2">
        <v>32.47</v>
      </c>
      <c r="F2708" s="2">
        <v>2</v>
      </c>
      <c r="G2708" s="2" t="s">
        <v>9</v>
      </c>
    </row>
    <row r="2709" spans="1:7" x14ac:dyDescent="0.2">
      <c r="A2709" s="2" t="s">
        <v>3245</v>
      </c>
      <c r="B2709" s="2" t="s">
        <v>25</v>
      </c>
      <c r="C2709" s="2">
        <v>737.95349999999996</v>
      </c>
      <c r="D2709" s="2">
        <f>HYPERLINK("http://mcb-m6.bioreg.kyushu-u.ac.jp/M3/20110318/F50618/2885/1", 50.19)</f>
        <v>50.19</v>
      </c>
      <c r="E2709" s="2">
        <v>27.98</v>
      </c>
      <c r="F2709" s="2">
        <v>3</v>
      </c>
      <c r="G2709" s="2" t="s">
        <v>9</v>
      </c>
    </row>
    <row r="2710" spans="1:7" x14ac:dyDescent="0.2">
      <c r="A2710" s="2" t="s">
        <v>3245</v>
      </c>
      <c r="B2710" s="2" t="s">
        <v>25</v>
      </c>
      <c r="C2710" s="2">
        <v>737.66520000000003</v>
      </c>
      <c r="D2710" s="2">
        <f>HYPERLINK("http://mcb-m6.bioreg.kyushu-u.ac.jp/M3/20110318/F50610/2274/1", 50.5)</f>
        <v>50.5</v>
      </c>
      <c r="E2710" s="2">
        <v>25.49</v>
      </c>
      <c r="F2710" s="2">
        <v>3</v>
      </c>
      <c r="G2710" s="2" t="s">
        <v>9</v>
      </c>
    </row>
    <row r="2711" spans="1:7" x14ac:dyDescent="0.2">
      <c r="A2711" s="2" t="s">
        <v>3245</v>
      </c>
      <c r="B2711" s="2" t="s">
        <v>25</v>
      </c>
      <c r="C2711" s="2">
        <v>1106.453</v>
      </c>
      <c r="D2711" s="2">
        <f>HYPERLINK("http://mcb-m6.bioreg.kyushu-u.ac.jp/M3/20110318/F50602/2312/1", 50.51)</f>
        <v>50.51</v>
      </c>
      <c r="E2711" s="2">
        <v>27.29</v>
      </c>
      <c r="F2711" s="2">
        <v>2</v>
      </c>
      <c r="G2711" s="2" t="s">
        <v>9</v>
      </c>
    </row>
    <row r="2712" spans="1:7" x14ac:dyDescent="0.2">
      <c r="A2712" s="2" t="s">
        <v>3245</v>
      </c>
      <c r="B2712" s="2" t="s">
        <v>25</v>
      </c>
      <c r="C2712" s="2">
        <v>1106.492</v>
      </c>
      <c r="D2712" s="2">
        <f>HYPERLINK("http://mcb-m6.bioreg.kyushu-u.ac.jp/M3/20110318/F50609/2406/1", 51.32)</f>
        <v>51.32</v>
      </c>
      <c r="E2712" s="2">
        <v>33.909999999999997</v>
      </c>
      <c r="F2712" s="2">
        <v>2</v>
      </c>
      <c r="G2712" s="2" t="s">
        <v>9</v>
      </c>
    </row>
    <row r="2713" spans="1:7" x14ac:dyDescent="0.2">
      <c r="A2713" s="2" t="s">
        <v>3245</v>
      </c>
      <c r="B2713" s="2" t="s">
        <v>25</v>
      </c>
      <c r="C2713" s="2">
        <v>738.05079999999998</v>
      </c>
      <c r="D2713" s="2">
        <f>HYPERLINK("http://mcb-m6.bioreg.kyushu-u.ac.jp/M3/20110318/F50602/2317/1", 51.76)</f>
        <v>51.76</v>
      </c>
      <c r="E2713" s="2">
        <v>26.71</v>
      </c>
      <c r="F2713" s="2">
        <v>3</v>
      </c>
      <c r="G2713" s="2" t="s">
        <v>9</v>
      </c>
    </row>
    <row r="2714" spans="1:7" x14ac:dyDescent="0.2">
      <c r="A2714" s="2" t="s">
        <v>3245</v>
      </c>
      <c r="B2714" s="2" t="s">
        <v>25</v>
      </c>
      <c r="C2714" s="2">
        <v>1106.4169999999999</v>
      </c>
      <c r="D2714" s="2">
        <f>HYPERLINK("http://mcb-m6.bioreg.kyushu-u.ac.jp/M3/20110318/F50609/2402/1", 52.45)</f>
        <v>52.45</v>
      </c>
      <c r="E2714" s="2">
        <v>23.69</v>
      </c>
      <c r="F2714" s="2">
        <v>2</v>
      </c>
      <c r="G2714" s="2" t="s">
        <v>9</v>
      </c>
    </row>
    <row r="2715" spans="1:7" x14ac:dyDescent="0.2">
      <c r="A2715" s="2" t="s">
        <v>3245</v>
      </c>
      <c r="B2715" s="2" t="s">
        <v>25</v>
      </c>
      <c r="C2715" s="2">
        <v>737.75350000000003</v>
      </c>
      <c r="D2715" s="2">
        <f>HYPERLINK("http://mcb-m6.bioreg.kyushu-u.ac.jp/M3/20110318/F50618/2876/1", 54.66)</f>
        <v>54.66</v>
      </c>
      <c r="E2715" s="2">
        <v>19.079999999999998</v>
      </c>
      <c r="F2715" s="2">
        <v>3</v>
      </c>
      <c r="G2715" s="2" t="s">
        <v>9</v>
      </c>
    </row>
    <row r="2716" spans="1:7" x14ac:dyDescent="0.2">
      <c r="A2716" s="2" t="s">
        <v>3245</v>
      </c>
      <c r="B2716" s="2" t="s">
        <v>25</v>
      </c>
      <c r="C2716" s="2">
        <v>1105.865</v>
      </c>
      <c r="D2716" s="2">
        <f>HYPERLINK("http://mcb-m6.bioreg.kyushu-u.ac.jp/M3/20110318/F50621/2382/1", 56.83)</f>
        <v>56.83</v>
      </c>
      <c r="E2716" s="2">
        <v>38.44</v>
      </c>
      <c r="F2716" s="2">
        <v>2</v>
      </c>
      <c r="G2716" s="2" t="s">
        <v>9</v>
      </c>
    </row>
    <row r="2717" spans="1:7" x14ac:dyDescent="0.2">
      <c r="A2717" s="2" t="s">
        <v>3245</v>
      </c>
      <c r="B2717" s="2" t="s">
        <v>25</v>
      </c>
      <c r="C2717" s="2">
        <v>1106.346</v>
      </c>
      <c r="D2717" s="2">
        <f>HYPERLINK("http://mcb-m6.bioreg.kyushu-u.ac.jp/M3/20110318/F50608/2454/1", 56.87)</f>
        <v>56.87</v>
      </c>
      <c r="E2717" s="2">
        <v>26.61</v>
      </c>
      <c r="F2717" s="2">
        <v>2</v>
      </c>
      <c r="G2717" s="2" t="s">
        <v>9</v>
      </c>
    </row>
    <row r="2718" spans="1:7" x14ac:dyDescent="0.2">
      <c r="A2718" s="2" t="s">
        <v>3245</v>
      </c>
      <c r="B2718" s="2" t="s">
        <v>25</v>
      </c>
      <c r="C2718" s="2">
        <v>737.89779999999996</v>
      </c>
      <c r="D2718" s="2">
        <f>HYPERLINK("http://mcb-m6.bioreg.kyushu-u.ac.jp/M3/20110318/F50608/2453/1", 57.58)</f>
        <v>57.58</v>
      </c>
      <c r="E2718" s="2">
        <v>33.549999999999997</v>
      </c>
      <c r="F2718" s="2">
        <v>3</v>
      </c>
      <c r="G2718" s="2" t="s">
        <v>9</v>
      </c>
    </row>
    <row r="2719" spans="1:7" x14ac:dyDescent="0.2">
      <c r="A2719" s="2" t="s">
        <v>3245</v>
      </c>
      <c r="B2719" s="2" t="s">
        <v>25</v>
      </c>
      <c r="C2719" s="2">
        <v>737.93010000000004</v>
      </c>
      <c r="D2719" s="2">
        <f>HYPERLINK("http://mcb-m6.bioreg.kyushu-u.ac.jp/M3/20110318/F50605/2689/1", 57.67)</f>
        <v>57.67</v>
      </c>
      <c r="E2719" s="2">
        <v>26.54</v>
      </c>
      <c r="F2719" s="2">
        <v>3</v>
      </c>
      <c r="G2719" s="2" t="s">
        <v>9</v>
      </c>
    </row>
    <row r="2720" spans="1:7" x14ac:dyDescent="0.2">
      <c r="A2720" s="2" t="s">
        <v>3245</v>
      </c>
      <c r="B2720" s="2" t="s">
        <v>25</v>
      </c>
      <c r="C2720" s="2">
        <v>737.84389999999996</v>
      </c>
      <c r="D2720" s="2">
        <f>HYPERLINK("http://mcb-m6.bioreg.kyushu-u.ac.jp/M3/20110318/F50618/2879/1", 57.74)</f>
        <v>57.74</v>
      </c>
      <c r="E2720" s="2">
        <v>33.33</v>
      </c>
      <c r="F2720" s="2">
        <v>3</v>
      </c>
      <c r="G2720" s="2" t="s">
        <v>9</v>
      </c>
    </row>
    <row r="2721" spans="1:7" x14ac:dyDescent="0.2">
      <c r="A2721" s="2" t="s">
        <v>3245</v>
      </c>
      <c r="B2721" s="2" t="s">
        <v>25</v>
      </c>
      <c r="C2721" s="2">
        <v>737.93790000000001</v>
      </c>
      <c r="D2721" s="2">
        <f>HYPERLINK("http://mcb-m6.bioreg.kyushu-u.ac.jp/M3/20110318/F50621/2392/1", 57.76)</f>
        <v>57.76</v>
      </c>
      <c r="E2721" s="2">
        <v>29.35</v>
      </c>
      <c r="F2721" s="2">
        <v>3</v>
      </c>
      <c r="G2721" s="2" t="s">
        <v>9</v>
      </c>
    </row>
    <row r="2722" spans="1:7" x14ac:dyDescent="0.2">
      <c r="A2722" s="2" t="s">
        <v>3245</v>
      </c>
      <c r="B2722" s="2" t="s">
        <v>25</v>
      </c>
      <c r="C2722" s="2">
        <v>737.95749999999998</v>
      </c>
      <c r="D2722" s="2">
        <f>HYPERLINK("http://mcb-m6.bioreg.kyushu-u.ac.jp/M3/20110318/F50619/2617/1", 57.77)</f>
        <v>57.77</v>
      </c>
      <c r="E2722" s="2">
        <v>30.08</v>
      </c>
      <c r="F2722" s="2">
        <v>3</v>
      </c>
      <c r="G2722" s="2" t="s">
        <v>9</v>
      </c>
    </row>
    <row r="2723" spans="1:7" x14ac:dyDescent="0.2">
      <c r="A2723" s="2" t="s">
        <v>3245</v>
      </c>
      <c r="B2723" s="2" t="s">
        <v>25</v>
      </c>
      <c r="C2723" s="2">
        <v>1106.3800000000001</v>
      </c>
      <c r="D2723" s="2">
        <f>HYPERLINK("http://mcb-m6.bioreg.kyushu-u.ac.jp/M3/20110318/F50609/2400/1", 58.07)</f>
        <v>58.07</v>
      </c>
      <c r="E2723" s="2">
        <v>36.96</v>
      </c>
      <c r="F2723" s="2">
        <v>2</v>
      </c>
      <c r="G2723" s="2" t="s">
        <v>9</v>
      </c>
    </row>
    <row r="2724" spans="1:7" x14ac:dyDescent="0.2">
      <c r="A2724" s="2" t="s">
        <v>3245</v>
      </c>
      <c r="B2724" s="2" t="s">
        <v>25</v>
      </c>
      <c r="C2724" s="2">
        <v>1105.8630000000001</v>
      </c>
      <c r="D2724" s="2">
        <f>HYPERLINK("http://mcb-m6.bioreg.kyushu-u.ac.jp/M3/20110318/F50620/2711/1", 59.04)</f>
        <v>59.04</v>
      </c>
      <c r="E2724" s="2">
        <v>36.380000000000003</v>
      </c>
      <c r="F2724" s="2">
        <v>2</v>
      </c>
      <c r="G2724" s="2" t="s">
        <v>9</v>
      </c>
    </row>
    <row r="2725" spans="1:7" x14ac:dyDescent="0.2">
      <c r="A2725" s="2" t="s">
        <v>3245</v>
      </c>
      <c r="B2725" s="2" t="s">
        <v>25</v>
      </c>
      <c r="C2725" s="2">
        <v>1105.828</v>
      </c>
      <c r="D2725" s="2">
        <f>HYPERLINK("http://mcb-m6.bioreg.kyushu-u.ac.jp/M3/20110318/F50619/2609/1", 60.03)</f>
        <v>60.03</v>
      </c>
      <c r="E2725" s="2">
        <v>42.36</v>
      </c>
      <c r="F2725" s="2">
        <v>2</v>
      </c>
      <c r="G2725" s="2" t="s">
        <v>9</v>
      </c>
    </row>
    <row r="2726" spans="1:7" x14ac:dyDescent="0.2">
      <c r="A2726" s="2" t="s">
        <v>3245</v>
      </c>
      <c r="B2726" s="2" t="s">
        <v>25</v>
      </c>
      <c r="C2726" s="2">
        <v>1106.557</v>
      </c>
      <c r="D2726" s="2">
        <f>HYPERLINK("http://mcb-m6.bioreg.kyushu-u.ac.jp/M3/20110318/F50601/2168/1", 60.72)</f>
        <v>60.72</v>
      </c>
      <c r="E2726" s="2">
        <v>34.909999999999997</v>
      </c>
      <c r="F2726" s="2">
        <v>2</v>
      </c>
      <c r="G2726" s="2" t="s">
        <v>9</v>
      </c>
    </row>
    <row r="2727" spans="1:7" x14ac:dyDescent="0.2">
      <c r="A2727" s="2" t="s">
        <v>3245</v>
      </c>
      <c r="B2727" s="2" t="s">
        <v>25</v>
      </c>
      <c r="C2727" s="2">
        <v>1105.8910000000001</v>
      </c>
      <c r="D2727" s="2">
        <f>HYPERLINK("http://mcb-m6.bioreg.kyushu-u.ac.jp/M3/20110318/F50609/2392/1", 61.35)</f>
        <v>61.35</v>
      </c>
      <c r="E2727" s="2">
        <v>37.479999999999997</v>
      </c>
      <c r="F2727" s="2">
        <v>2</v>
      </c>
      <c r="G2727" s="2" t="s">
        <v>9</v>
      </c>
    </row>
    <row r="2728" spans="1:7" x14ac:dyDescent="0.2">
      <c r="A2728" s="2" t="s">
        <v>3245</v>
      </c>
      <c r="B2728" s="2" t="s">
        <v>25</v>
      </c>
      <c r="C2728" s="2">
        <v>737.70420000000001</v>
      </c>
      <c r="D2728" s="2">
        <f>HYPERLINK("http://mcb-m6.bioreg.kyushu-u.ac.jp/M3/20110318/F50601/2162/1", 62.15)</f>
        <v>62.15</v>
      </c>
      <c r="E2728" s="2">
        <v>39.950000000000003</v>
      </c>
      <c r="F2728" s="2">
        <v>3</v>
      </c>
      <c r="G2728" s="2" t="s">
        <v>9</v>
      </c>
    </row>
    <row r="2729" spans="1:7" x14ac:dyDescent="0.2">
      <c r="A2729" s="2" t="s">
        <v>3245</v>
      </c>
      <c r="B2729" s="2" t="s">
        <v>25</v>
      </c>
      <c r="C2729" s="2">
        <v>737.67179999999996</v>
      </c>
      <c r="D2729" s="2">
        <f>HYPERLINK("http://mcb-m6.bioreg.kyushu-u.ac.jp/M3/20110318/F50608/2444/1", 62.56)</f>
        <v>62.56</v>
      </c>
      <c r="E2729" s="2">
        <v>31.98</v>
      </c>
      <c r="F2729" s="2">
        <v>3</v>
      </c>
      <c r="G2729" s="2" t="s">
        <v>9</v>
      </c>
    </row>
    <row r="2730" spans="1:7" x14ac:dyDescent="0.2">
      <c r="A2730" s="2" t="s">
        <v>3245</v>
      </c>
      <c r="B2730" s="2" t="s">
        <v>25</v>
      </c>
      <c r="C2730" s="2">
        <v>1106.3879999999999</v>
      </c>
      <c r="D2730" s="2">
        <f>HYPERLINK("http://mcb-m6.bioreg.kyushu-u.ac.jp/M3/20110318/F50620/2725/1", 63.13)</f>
        <v>63.13</v>
      </c>
      <c r="E2730" s="2">
        <v>28.42</v>
      </c>
      <c r="F2730" s="2">
        <v>2</v>
      </c>
      <c r="G2730" s="2" t="s">
        <v>9</v>
      </c>
    </row>
    <row r="2731" spans="1:7" x14ac:dyDescent="0.2">
      <c r="A2731" s="2" t="s">
        <v>3245</v>
      </c>
      <c r="B2731" s="2" t="s">
        <v>25</v>
      </c>
      <c r="C2731" s="2">
        <v>1106.3109999999999</v>
      </c>
      <c r="D2731" s="2">
        <f>HYPERLINK("http://mcb-m6.bioreg.kyushu-u.ac.jp/M3/20110318/F50609/2399/1", 65.23)</f>
        <v>65.23</v>
      </c>
      <c r="E2731" s="2">
        <v>33.14</v>
      </c>
      <c r="F2731" s="2">
        <v>2</v>
      </c>
      <c r="G2731" s="2" t="s">
        <v>9</v>
      </c>
    </row>
    <row r="2732" spans="1:7" x14ac:dyDescent="0.2">
      <c r="A2732" s="2" t="s">
        <v>3245</v>
      </c>
      <c r="B2732" s="2" t="s">
        <v>25</v>
      </c>
      <c r="C2732" s="2">
        <v>737.83150000000001</v>
      </c>
      <c r="D2732" s="2">
        <f>HYPERLINK("http://mcb-m6.bioreg.kyushu-u.ac.jp/M3/20110318/F50620/2720/1", 65.91)</f>
        <v>65.91</v>
      </c>
      <c r="E2732" s="2">
        <v>39.97</v>
      </c>
      <c r="F2732" s="2">
        <v>3</v>
      </c>
      <c r="G2732" s="2" t="s">
        <v>9</v>
      </c>
    </row>
    <row r="2733" spans="1:7" x14ac:dyDescent="0.2">
      <c r="A2733" s="2" t="s">
        <v>3245</v>
      </c>
      <c r="B2733" s="2" t="s">
        <v>25</v>
      </c>
      <c r="C2733" s="2">
        <v>1106.508</v>
      </c>
      <c r="D2733" s="2">
        <f>HYPERLINK("http://mcb-m6.bioreg.kyushu-u.ac.jp/M3/20110318/F50608/2456/1", 67.45)</f>
        <v>67.45</v>
      </c>
      <c r="E2733" s="2">
        <v>27.87</v>
      </c>
      <c r="F2733" s="2">
        <v>2</v>
      </c>
      <c r="G2733" s="2" t="s">
        <v>9</v>
      </c>
    </row>
    <row r="2734" spans="1:7" x14ac:dyDescent="0.2">
      <c r="A2734" s="2" t="s">
        <v>3245</v>
      </c>
      <c r="B2734" s="2" t="s">
        <v>25</v>
      </c>
      <c r="C2734" s="2">
        <v>1105.893</v>
      </c>
      <c r="D2734" s="2">
        <f>HYPERLINK("http://mcb-m6.bioreg.kyushu-u.ac.jp/M3/20110318/F50620/2713/1", 67.66)</f>
        <v>67.66</v>
      </c>
      <c r="E2734" s="2">
        <v>42.77</v>
      </c>
      <c r="F2734" s="2">
        <v>2</v>
      </c>
      <c r="G2734" s="2" t="s">
        <v>9</v>
      </c>
    </row>
    <row r="2735" spans="1:7" x14ac:dyDescent="0.2">
      <c r="A2735" s="2" t="s">
        <v>3245</v>
      </c>
      <c r="B2735" s="2" t="s">
        <v>25</v>
      </c>
      <c r="C2735" s="2">
        <v>1106.4169999999999</v>
      </c>
      <c r="D2735" s="2">
        <f>HYPERLINK("http://mcb-m6.bioreg.kyushu-u.ac.jp/M3/20110318/F50602/2311/1", 67.79)</f>
        <v>67.790000000000006</v>
      </c>
      <c r="E2735" s="2">
        <v>39.9</v>
      </c>
      <c r="F2735" s="2">
        <v>2</v>
      </c>
      <c r="G2735" s="2" t="s">
        <v>9</v>
      </c>
    </row>
    <row r="2736" spans="1:7" x14ac:dyDescent="0.2">
      <c r="A2736" s="2" t="s">
        <v>3245</v>
      </c>
      <c r="B2736" s="2" t="s">
        <v>25</v>
      </c>
      <c r="C2736" s="2">
        <v>737.97990000000004</v>
      </c>
      <c r="D2736" s="2">
        <f>HYPERLINK("http://mcb-m6.bioreg.kyushu-u.ac.jp/M3/20110318/F50602/2313/1", 68.31)</f>
        <v>68.31</v>
      </c>
      <c r="E2736" s="2">
        <v>36.770000000000003</v>
      </c>
      <c r="F2736" s="2">
        <v>3</v>
      </c>
      <c r="G2736" s="2" t="s">
        <v>9</v>
      </c>
    </row>
    <row r="2737" spans="1:7" x14ac:dyDescent="0.2">
      <c r="A2737" s="2" t="s">
        <v>3245</v>
      </c>
      <c r="B2737" s="2" t="s">
        <v>25</v>
      </c>
      <c r="C2737" s="2">
        <v>1106.1479999999999</v>
      </c>
      <c r="D2737" s="2">
        <f>HYPERLINK("http://mcb-m6.bioreg.kyushu-u.ac.jp/M3/20110318/F50604/2278/1", 68.34)</f>
        <v>68.34</v>
      </c>
      <c r="E2737" s="2">
        <v>39.19</v>
      </c>
      <c r="F2737" s="2">
        <v>2</v>
      </c>
      <c r="G2737" s="2" t="s">
        <v>9</v>
      </c>
    </row>
    <row r="2738" spans="1:7" x14ac:dyDescent="0.2">
      <c r="A2738" s="2" t="s">
        <v>3245</v>
      </c>
      <c r="B2738" s="2" t="s">
        <v>25</v>
      </c>
      <c r="C2738" s="2">
        <v>1105.875</v>
      </c>
      <c r="D2738" s="2">
        <f>HYPERLINK("http://mcb-m6.bioreg.kyushu-u.ac.jp/M3/20110318/F50621/2383/1", 69.23)</f>
        <v>69.23</v>
      </c>
      <c r="E2738" s="2">
        <v>45.84</v>
      </c>
      <c r="F2738" s="2">
        <v>2</v>
      </c>
      <c r="G2738" s="2" t="s">
        <v>9</v>
      </c>
    </row>
    <row r="2739" spans="1:7" x14ac:dyDescent="0.2">
      <c r="A2739" s="2" t="s">
        <v>3245</v>
      </c>
      <c r="B2739" s="2" t="s">
        <v>25</v>
      </c>
      <c r="C2739" s="2">
        <v>1105.7439999999999</v>
      </c>
      <c r="D2739" s="2">
        <f>HYPERLINK("http://mcb-m6.bioreg.kyushu-u.ac.jp/M3/20110318/F50618/2868/1", 69.61)</f>
        <v>69.61</v>
      </c>
      <c r="E2739" s="2">
        <v>34.4</v>
      </c>
      <c r="F2739" s="2">
        <v>2</v>
      </c>
      <c r="G2739" s="2" t="s">
        <v>9</v>
      </c>
    </row>
    <row r="2740" spans="1:7" x14ac:dyDescent="0.2">
      <c r="A2740" s="2" t="s">
        <v>3245</v>
      </c>
      <c r="B2740" s="2" t="s">
        <v>25</v>
      </c>
      <c r="C2740" s="2">
        <v>1105.662</v>
      </c>
      <c r="D2740" s="2">
        <f>HYPERLINK("http://mcb-m6.bioreg.kyushu-u.ac.jp/M3/20110318/F50609/2390/1", 70.13)</f>
        <v>70.13</v>
      </c>
      <c r="E2740" s="2">
        <v>46</v>
      </c>
      <c r="F2740" s="2">
        <v>2</v>
      </c>
      <c r="G2740" s="2" t="s">
        <v>9</v>
      </c>
    </row>
    <row r="2741" spans="1:7" x14ac:dyDescent="0.2">
      <c r="A2741" s="2" t="s">
        <v>3245</v>
      </c>
      <c r="B2741" s="2" t="s">
        <v>25</v>
      </c>
      <c r="C2741" s="2">
        <v>1106.4190000000001</v>
      </c>
      <c r="D2741" s="2">
        <f>HYPERLINK("http://mcb-m6.bioreg.kyushu-u.ac.jp/M3/20110318/F50603/2223/1", 70.47)</f>
        <v>70.47</v>
      </c>
      <c r="E2741" s="2">
        <v>27.52</v>
      </c>
      <c r="F2741" s="2">
        <v>2</v>
      </c>
      <c r="G2741" s="2" t="s">
        <v>9</v>
      </c>
    </row>
    <row r="2742" spans="1:7" x14ac:dyDescent="0.2">
      <c r="A2742" s="2" t="s">
        <v>3245</v>
      </c>
      <c r="B2742" s="2" t="s">
        <v>25</v>
      </c>
      <c r="C2742" s="2">
        <v>738.0575</v>
      </c>
      <c r="D2742" s="2">
        <f>HYPERLINK("http://mcb-m6.bioreg.kyushu-u.ac.jp/M3/20110318/F50620/2727/1", 70.72)</f>
        <v>70.72</v>
      </c>
      <c r="E2742" s="2">
        <v>20.59</v>
      </c>
      <c r="F2742" s="2">
        <v>3</v>
      </c>
      <c r="G2742" s="2" t="s">
        <v>9</v>
      </c>
    </row>
    <row r="2743" spans="1:7" x14ac:dyDescent="0.2">
      <c r="A2743" s="2" t="s">
        <v>3245</v>
      </c>
      <c r="B2743" s="2" t="s">
        <v>25</v>
      </c>
      <c r="C2743" s="2">
        <v>1106.0329999999999</v>
      </c>
      <c r="D2743" s="2">
        <f>HYPERLINK("http://mcb-m6.bioreg.kyushu-u.ac.jp/M3/20110318/F50605/2680/1", 70.75)</f>
        <v>70.75</v>
      </c>
      <c r="E2743" s="2">
        <v>38.43</v>
      </c>
      <c r="F2743" s="2">
        <v>2</v>
      </c>
      <c r="G2743" s="2" t="s">
        <v>9</v>
      </c>
    </row>
    <row r="2744" spans="1:7" x14ac:dyDescent="0.2">
      <c r="A2744" s="2" t="s">
        <v>3245</v>
      </c>
      <c r="B2744" s="2" t="s">
        <v>25</v>
      </c>
      <c r="C2744" s="2">
        <v>1105.8040000000001</v>
      </c>
      <c r="D2744" s="2">
        <f>HYPERLINK("http://mcb-m6.bioreg.kyushu-u.ac.jp/M3/20110318/F50619/2606/1", 72.09)</f>
        <v>72.09</v>
      </c>
      <c r="E2744" s="2">
        <v>38.950000000000003</v>
      </c>
      <c r="F2744" s="2">
        <v>2</v>
      </c>
      <c r="G2744" s="2" t="s">
        <v>9</v>
      </c>
    </row>
    <row r="2745" spans="1:7" x14ac:dyDescent="0.2">
      <c r="A2745" s="2" t="s">
        <v>3245</v>
      </c>
      <c r="B2745" s="2" t="s">
        <v>25</v>
      </c>
      <c r="C2745" s="2">
        <v>1106.1389999999999</v>
      </c>
      <c r="D2745" s="2">
        <f>HYPERLINK("http://mcb-m6.bioreg.kyushu-u.ac.jp/M3/20110318/F50608/2447/1", 73.41)</f>
        <v>73.41</v>
      </c>
      <c r="E2745" s="2">
        <v>46.4</v>
      </c>
      <c r="F2745" s="2">
        <v>2</v>
      </c>
      <c r="G2745" s="2" t="s">
        <v>9</v>
      </c>
    </row>
    <row r="2746" spans="1:7" x14ac:dyDescent="0.2">
      <c r="A2746" s="2" t="s">
        <v>3245</v>
      </c>
      <c r="B2746" s="2" t="s">
        <v>25</v>
      </c>
      <c r="C2746" s="2">
        <v>1106.3969999999999</v>
      </c>
      <c r="D2746" s="2">
        <f>HYPERLINK("http://mcb-m6.bioreg.kyushu-u.ac.jp/M3/20110318/F50621/2391/1", 73.5)</f>
        <v>73.5</v>
      </c>
      <c r="E2746" s="2">
        <v>41.44</v>
      </c>
      <c r="F2746" s="2">
        <v>2</v>
      </c>
      <c r="G2746" s="2" t="s">
        <v>9</v>
      </c>
    </row>
    <row r="2747" spans="1:7" x14ac:dyDescent="0.2">
      <c r="A2747" s="2" t="s">
        <v>3245</v>
      </c>
      <c r="B2747" s="2" t="s">
        <v>25</v>
      </c>
      <c r="C2747" s="2">
        <v>1105.817</v>
      </c>
      <c r="D2747" s="2">
        <f>HYPERLINK("http://mcb-m6.bioreg.kyushu-u.ac.jp/M3/20110318/F50619/2607/1", 74.13)</f>
        <v>74.13</v>
      </c>
      <c r="E2747" s="2">
        <v>43.1</v>
      </c>
      <c r="F2747" s="2">
        <v>2</v>
      </c>
      <c r="G2747" s="2" t="s">
        <v>9</v>
      </c>
    </row>
    <row r="2748" spans="1:7" x14ac:dyDescent="0.2">
      <c r="A2748" s="2" t="s">
        <v>3245</v>
      </c>
      <c r="B2748" s="2" t="s">
        <v>25</v>
      </c>
      <c r="C2748" s="2">
        <v>1105.923</v>
      </c>
      <c r="D2748" s="2">
        <f>HYPERLINK("http://mcb-m6.bioreg.kyushu-u.ac.jp/M3/20110318/F50608/2443/1", 74.18)</f>
        <v>74.180000000000007</v>
      </c>
      <c r="E2748" s="2">
        <v>46.07</v>
      </c>
      <c r="F2748" s="2">
        <v>2</v>
      </c>
      <c r="G2748" s="2" t="s">
        <v>9</v>
      </c>
    </row>
    <row r="2749" spans="1:7" x14ac:dyDescent="0.2">
      <c r="A2749" s="2" t="s">
        <v>3245</v>
      </c>
      <c r="B2749" s="2" t="s">
        <v>25</v>
      </c>
      <c r="C2749" s="2">
        <v>1105.6179999999999</v>
      </c>
      <c r="D2749" s="2">
        <f>HYPERLINK("http://mcb-m6.bioreg.kyushu-u.ac.jp/M3/20110318/F50601/2157/1", 74.98)</f>
        <v>74.98</v>
      </c>
      <c r="E2749" s="2">
        <v>55.69</v>
      </c>
      <c r="F2749" s="2">
        <v>2</v>
      </c>
      <c r="G2749" s="2" t="s">
        <v>9</v>
      </c>
    </row>
    <row r="2750" spans="1:7" x14ac:dyDescent="0.2">
      <c r="A2750" s="2" t="s">
        <v>3245</v>
      </c>
      <c r="B2750" s="2" t="s">
        <v>25</v>
      </c>
      <c r="C2750" s="2">
        <v>737.99720000000002</v>
      </c>
      <c r="D2750" s="2">
        <f>HYPERLINK("http://mcb-m6.bioreg.kyushu-u.ac.jp/M3/20110318/F50608/2455/1", 76.9)</f>
        <v>76.900000000000006</v>
      </c>
      <c r="E2750" s="2">
        <v>38.29</v>
      </c>
      <c r="F2750" s="2">
        <v>3</v>
      </c>
      <c r="G2750" s="2" t="s">
        <v>9</v>
      </c>
    </row>
    <row r="2751" spans="1:7" x14ac:dyDescent="0.2">
      <c r="A2751" s="2" t="s">
        <v>3245</v>
      </c>
      <c r="B2751" s="2" t="s">
        <v>25</v>
      </c>
      <c r="C2751" s="2">
        <v>737.51350000000002</v>
      </c>
      <c r="D2751" s="2">
        <f>HYPERLINK("http://mcb-m6.bioreg.kyushu-u.ac.jp/M3/20110318/F50618/2869/1", 78.81)</f>
        <v>78.81</v>
      </c>
      <c r="E2751" s="2">
        <v>48.91</v>
      </c>
      <c r="F2751" s="2">
        <v>3</v>
      </c>
      <c r="G2751" s="2" t="s">
        <v>9</v>
      </c>
    </row>
    <row r="2752" spans="1:7" x14ac:dyDescent="0.2">
      <c r="A2752" s="2" t="s">
        <v>3245</v>
      </c>
      <c r="B2752" s="2" t="s">
        <v>25</v>
      </c>
      <c r="C2752" s="2">
        <v>1106.434</v>
      </c>
      <c r="D2752" s="2">
        <f>HYPERLINK("http://mcb-m6.bioreg.kyushu-u.ac.jp/M3/20110318/F50621/2395/1", 79.07)</f>
        <v>79.069999999999993</v>
      </c>
      <c r="E2752" s="2">
        <v>32.51</v>
      </c>
      <c r="F2752" s="2">
        <v>2</v>
      </c>
      <c r="G2752" s="2" t="s">
        <v>9</v>
      </c>
    </row>
    <row r="2753" spans="1:7" x14ac:dyDescent="0.2">
      <c r="A2753" s="2" t="s">
        <v>3245</v>
      </c>
      <c r="B2753" s="2" t="s">
        <v>25</v>
      </c>
      <c r="C2753" s="2">
        <v>1105.836</v>
      </c>
      <c r="D2753" s="2">
        <f>HYPERLINK("http://mcb-m6.bioreg.kyushu-u.ac.jp/M3/20110318/F50618/2872/1", 79.48)</f>
        <v>79.48</v>
      </c>
      <c r="E2753" s="2">
        <v>54.37</v>
      </c>
      <c r="F2753" s="2">
        <v>2</v>
      </c>
      <c r="G2753" s="2" t="s">
        <v>9</v>
      </c>
    </row>
    <row r="2754" spans="1:7" x14ac:dyDescent="0.2">
      <c r="A2754" s="2" t="s">
        <v>3245</v>
      </c>
      <c r="B2754" s="2" t="s">
        <v>25</v>
      </c>
      <c r="C2754" s="2">
        <v>737.98050000000001</v>
      </c>
      <c r="D2754" s="2">
        <f>HYPERLINK("http://mcb-m6.bioreg.kyushu-u.ac.jp/M3/20110318/F50609/2404/1", 80.36)</f>
        <v>80.36</v>
      </c>
      <c r="E2754" s="2">
        <v>40.21</v>
      </c>
      <c r="F2754" s="2">
        <v>3</v>
      </c>
      <c r="G2754" s="2" t="s">
        <v>9</v>
      </c>
    </row>
    <row r="2755" spans="1:7" x14ac:dyDescent="0.2">
      <c r="A2755" s="2" t="s">
        <v>3245</v>
      </c>
      <c r="B2755" s="2" t="s">
        <v>25</v>
      </c>
      <c r="C2755" s="2">
        <v>1105.866</v>
      </c>
      <c r="D2755" s="2">
        <f>HYPERLINK("http://mcb-m6.bioreg.kyushu-u.ac.jp/M3/20110318/F50620/2712/1", 80.54)</f>
        <v>80.540000000000006</v>
      </c>
      <c r="E2755" s="2">
        <v>60.53</v>
      </c>
      <c r="F2755" s="2">
        <v>2</v>
      </c>
      <c r="G2755" s="2" t="s">
        <v>9</v>
      </c>
    </row>
    <row r="2756" spans="1:7" x14ac:dyDescent="0.2">
      <c r="A2756" s="2" t="s">
        <v>3245</v>
      </c>
      <c r="B2756" s="2" t="s">
        <v>25</v>
      </c>
      <c r="C2756" s="2">
        <v>1105.5999999999999</v>
      </c>
      <c r="D2756" s="2">
        <f>HYPERLINK("http://mcb-m6.bioreg.kyushu-u.ac.jp/M3/20110318/F50603/2210/1", 80.54)</f>
        <v>80.540000000000006</v>
      </c>
      <c r="E2756" s="2">
        <v>49.77</v>
      </c>
      <c r="F2756" s="2">
        <v>2</v>
      </c>
      <c r="G2756" s="2" t="s">
        <v>9</v>
      </c>
    </row>
    <row r="2757" spans="1:7" x14ac:dyDescent="0.2">
      <c r="A2757" s="2" t="s">
        <v>3245</v>
      </c>
      <c r="B2757" s="2" t="s">
        <v>25</v>
      </c>
      <c r="C2757" s="2">
        <v>1105.953</v>
      </c>
      <c r="D2757" s="2">
        <f>HYPERLINK("http://mcb-m6.bioreg.kyushu-u.ac.jp/M3/20110318/F50621/2388/1", 81.9)</f>
        <v>81.900000000000006</v>
      </c>
      <c r="E2757" s="2">
        <v>49.17</v>
      </c>
      <c r="F2757" s="2">
        <v>2</v>
      </c>
      <c r="G2757" s="2" t="s">
        <v>9</v>
      </c>
    </row>
    <row r="2758" spans="1:7" x14ac:dyDescent="0.2">
      <c r="A2758" s="2" t="s">
        <v>3245</v>
      </c>
      <c r="B2758" s="2" t="s">
        <v>25</v>
      </c>
      <c r="C2758" s="2">
        <v>1105.702</v>
      </c>
      <c r="D2758" s="2">
        <f>HYPERLINK("http://mcb-m6.bioreg.kyushu-u.ac.jp/M3/20110318/F50618/2867/1", 84.53)</f>
        <v>84.53</v>
      </c>
      <c r="E2758" s="2">
        <v>60.93</v>
      </c>
      <c r="F2758" s="2">
        <v>2</v>
      </c>
      <c r="G2758" s="2" t="s">
        <v>9</v>
      </c>
    </row>
    <row r="2759" spans="1:7" x14ac:dyDescent="0.2">
      <c r="A2759" s="2" t="s">
        <v>3245</v>
      </c>
      <c r="B2759" s="2" t="s">
        <v>25</v>
      </c>
      <c r="C2759" s="2">
        <v>1105.829</v>
      </c>
      <c r="D2759" s="2">
        <f>HYPERLINK("http://mcb-m6.bioreg.kyushu-u.ac.jp/M3/20110318/F50620/2710/1", 84.82)</f>
        <v>84.82</v>
      </c>
      <c r="E2759" s="2">
        <v>54.15</v>
      </c>
      <c r="F2759" s="2">
        <v>2</v>
      </c>
      <c r="G2759" s="2" t="s">
        <v>9</v>
      </c>
    </row>
    <row r="2760" spans="1:7" x14ac:dyDescent="0.2">
      <c r="A2760" s="2" t="s">
        <v>3245</v>
      </c>
      <c r="B2760" s="2" t="s">
        <v>25</v>
      </c>
      <c r="C2760" s="2">
        <v>1105.6569999999999</v>
      </c>
      <c r="D2760" s="2">
        <f>HYPERLINK("http://mcb-m6.bioreg.kyushu-u.ac.jp/M3/20110318/F50608/2440/1", 84.82)</f>
        <v>84.82</v>
      </c>
      <c r="E2760" s="2">
        <v>59.5</v>
      </c>
      <c r="F2760" s="2">
        <v>2</v>
      </c>
      <c r="G2760" s="2" t="s">
        <v>9</v>
      </c>
    </row>
    <row r="2761" spans="1:7" x14ac:dyDescent="0.2">
      <c r="A2761" s="2" t="s">
        <v>3245</v>
      </c>
      <c r="B2761" s="2" t="s">
        <v>25</v>
      </c>
      <c r="C2761" s="2">
        <v>1106.414</v>
      </c>
      <c r="D2761" s="2">
        <f>HYPERLINK("http://mcb-m6.bioreg.kyushu-u.ac.jp/M3/20110318/F50620/2726/1", 86.24)</f>
        <v>86.24</v>
      </c>
      <c r="E2761" s="2">
        <v>38.39</v>
      </c>
      <c r="F2761" s="2">
        <v>2</v>
      </c>
      <c r="G2761" s="2" t="s">
        <v>9</v>
      </c>
    </row>
    <row r="2762" spans="1:7" x14ac:dyDescent="0.2">
      <c r="A2762" s="2" t="s">
        <v>3245</v>
      </c>
      <c r="B2762" s="2" t="s">
        <v>25</v>
      </c>
      <c r="C2762" s="2">
        <v>1105.5329999999999</v>
      </c>
      <c r="D2762" s="2">
        <f>HYPERLINK("http://mcb-m6.bioreg.kyushu-u.ac.jp/M3/20110318/F50606/2621/1", 86.58)</f>
        <v>86.58</v>
      </c>
      <c r="E2762" s="2">
        <v>63.97</v>
      </c>
      <c r="F2762" s="2">
        <v>2</v>
      </c>
      <c r="G2762" s="2" t="s">
        <v>9</v>
      </c>
    </row>
    <row r="2763" spans="1:7" x14ac:dyDescent="0.2">
      <c r="A2763" s="2" t="s">
        <v>3245</v>
      </c>
      <c r="B2763" s="2" t="s">
        <v>25</v>
      </c>
      <c r="C2763" s="2">
        <v>1105.6849999999999</v>
      </c>
      <c r="D2763" s="2">
        <f>HYPERLINK("http://mcb-m6.bioreg.kyushu-u.ac.jp/M3/20110318/F50619/2605/1", 88.5)</f>
        <v>88.5</v>
      </c>
      <c r="E2763" s="2">
        <v>53.6</v>
      </c>
      <c r="F2763" s="2">
        <v>2</v>
      </c>
      <c r="G2763" s="2" t="s">
        <v>9</v>
      </c>
    </row>
    <row r="2764" spans="1:7" x14ac:dyDescent="0.2">
      <c r="A2764" s="2" t="s">
        <v>3245</v>
      </c>
      <c r="B2764" s="2" t="s">
        <v>25</v>
      </c>
      <c r="C2764" s="2">
        <v>1105.8779999999999</v>
      </c>
      <c r="D2764" s="2">
        <f>HYPERLINK("http://mcb-m6.bioreg.kyushu-u.ac.jp/M3/20110318/F50621/2385/1", 88.63)</f>
        <v>88.63</v>
      </c>
      <c r="E2764" s="2">
        <v>66.739999999999995</v>
      </c>
      <c r="F2764" s="2">
        <v>2</v>
      </c>
      <c r="G2764" s="2" t="s">
        <v>9</v>
      </c>
    </row>
    <row r="2765" spans="1:7" x14ac:dyDescent="0.2">
      <c r="A2765" s="2" t="s">
        <v>3245</v>
      </c>
      <c r="B2765" s="2" t="s">
        <v>25</v>
      </c>
      <c r="C2765" s="2">
        <v>1106.4079999999999</v>
      </c>
      <c r="D2765" s="2">
        <f>HYPERLINK("http://mcb-m6.bioreg.kyushu-u.ac.jp/M3/20110318/F50618/2883/1", 88.63)</f>
        <v>88.63</v>
      </c>
      <c r="E2765" s="2">
        <v>40.83</v>
      </c>
      <c r="F2765" s="2">
        <v>2</v>
      </c>
      <c r="G2765" s="2" t="s">
        <v>9</v>
      </c>
    </row>
    <row r="2766" spans="1:7" x14ac:dyDescent="0.2">
      <c r="A2766" s="2" t="s">
        <v>3245</v>
      </c>
      <c r="B2766" s="2" t="s">
        <v>25</v>
      </c>
      <c r="C2766" s="2">
        <v>1106.393</v>
      </c>
      <c r="D2766" s="2">
        <f>HYPERLINK("http://mcb-m6.bioreg.kyushu-u.ac.jp/M3/20110318/F50619/2616/1", 89.01)</f>
        <v>89.01</v>
      </c>
      <c r="E2766" s="2">
        <v>28.2</v>
      </c>
      <c r="F2766" s="2">
        <v>2</v>
      </c>
      <c r="G2766" s="2" t="s">
        <v>9</v>
      </c>
    </row>
    <row r="2767" spans="1:7" x14ac:dyDescent="0.2">
      <c r="A2767" s="2" t="s">
        <v>3245</v>
      </c>
      <c r="B2767" s="2" t="s">
        <v>25</v>
      </c>
      <c r="C2767" s="2">
        <v>1105.7950000000001</v>
      </c>
      <c r="D2767" s="2">
        <f>HYPERLINK("http://mcb-m6.bioreg.kyushu-u.ac.jp/M3/20110318/F50618/2870/1", 91.34)</f>
        <v>91.34</v>
      </c>
      <c r="E2767" s="2">
        <v>47.65</v>
      </c>
      <c r="F2767" s="2">
        <v>2</v>
      </c>
      <c r="G2767" s="2" t="s">
        <v>9</v>
      </c>
    </row>
    <row r="2768" spans="1:7" x14ac:dyDescent="0.2">
      <c r="A2768" s="2" t="s">
        <v>3245</v>
      </c>
      <c r="B2768" s="2" t="s">
        <v>25</v>
      </c>
      <c r="C2768" s="2">
        <v>1105.633</v>
      </c>
      <c r="D2768" s="2">
        <f>HYPERLINK("http://mcb-m6.bioreg.kyushu-u.ac.jp/M3/20110318/F50607/2444/1", 92.98)</f>
        <v>92.98</v>
      </c>
      <c r="E2768" s="2">
        <v>69.45</v>
      </c>
      <c r="F2768" s="2">
        <v>2</v>
      </c>
      <c r="G2768" s="2" t="s">
        <v>9</v>
      </c>
    </row>
    <row r="2769" spans="1:7" x14ac:dyDescent="0.2">
      <c r="A2769" s="2" t="s">
        <v>3245</v>
      </c>
      <c r="B2769" s="2" t="s">
        <v>25</v>
      </c>
      <c r="C2769" s="2">
        <v>1106.3019999999999</v>
      </c>
      <c r="D2769" s="2">
        <f>HYPERLINK("http://mcb-m6.bioreg.kyushu-u.ac.jp/M3/20110318/F50608/2450/1", 95.03)</f>
        <v>95.03</v>
      </c>
      <c r="E2769" s="2">
        <v>46.81</v>
      </c>
      <c r="F2769" s="2">
        <v>2</v>
      </c>
      <c r="G2769" s="2" t="s">
        <v>9</v>
      </c>
    </row>
    <row r="2770" spans="1:7" x14ac:dyDescent="0.2">
      <c r="A2770" s="2" t="s">
        <v>3245</v>
      </c>
      <c r="B2770" s="2" t="s">
        <v>25</v>
      </c>
      <c r="C2770" s="2">
        <v>1106.2049999999999</v>
      </c>
      <c r="D2770" s="2">
        <f>HYPERLINK("http://mcb-m6.bioreg.kyushu-u.ac.jp/M3/20110318/F50609/2396/1", 96.2)</f>
        <v>96.2</v>
      </c>
      <c r="E2770" s="2">
        <v>33.04</v>
      </c>
      <c r="F2770" s="2">
        <v>2</v>
      </c>
      <c r="G2770" s="2" t="s">
        <v>9</v>
      </c>
    </row>
    <row r="2771" spans="1:7" x14ac:dyDescent="0.2">
      <c r="A2771" s="2" t="s">
        <v>3245</v>
      </c>
      <c r="B2771" s="2" t="s">
        <v>25</v>
      </c>
      <c r="C2771" s="2">
        <v>1106.3889999999999</v>
      </c>
      <c r="D2771" s="2">
        <f>HYPERLINK("http://mcb-m6.bioreg.kyushu-u.ac.jp/M3/20110318/F50621/2390/1", 98.99)</f>
        <v>98.99</v>
      </c>
      <c r="E2771" s="2">
        <v>43.78</v>
      </c>
      <c r="F2771" s="2">
        <v>2</v>
      </c>
      <c r="G2771" s="2" t="s">
        <v>9</v>
      </c>
    </row>
    <row r="2772" spans="1:7" x14ac:dyDescent="0.2">
      <c r="A2772" s="2" t="s">
        <v>3245</v>
      </c>
      <c r="B2772" s="2" t="s">
        <v>25</v>
      </c>
      <c r="C2772" s="2">
        <v>1106.066</v>
      </c>
      <c r="D2772" s="2">
        <f>HYPERLINK("http://mcb-m6.bioreg.kyushu-u.ac.jp/M3/20110318/F50619/2613/1", 99.86)</f>
        <v>99.86</v>
      </c>
      <c r="E2772" s="2">
        <v>50.78</v>
      </c>
      <c r="F2772" s="2">
        <v>2</v>
      </c>
      <c r="G2772" s="2" t="s">
        <v>9</v>
      </c>
    </row>
    <row r="2773" spans="1:7" x14ac:dyDescent="0.2">
      <c r="A2773" s="2" t="s">
        <v>3245</v>
      </c>
      <c r="B2773" s="2" t="s">
        <v>25</v>
      </c>
      <c r="C2773" s="2">
        <v>1106.2940000000001</v>
      </c>
      <c r="D2773" s="2">
        <f>HYPERLINK("http://mcb-m6.bioreg.kyushu-u.ac.jp/M3/20110318/F50618/2880/1", 100.02)</f>
        <v>100.02</v>
      </c>
      <c r="E2773" s="2">
        <v>49.91</v>
      </c>
      <c r="F2773" s="2">
        <v>2</v>
      </c>
      <c r="G2773" s="2" t="s">
        <v>9</v>
      </c>
    </row>
    <row r="2774" spans="1:7" x14ac:dyDescent="0.2">
      <c r="A2774" s="2" t="s">
        <v>3245</v>
      </c>
      <c r="B2774" s="2" t="s">
        <v>25</v>
      </c>
      <c r="C2774" s="2">
        <v>1106.327</v>
      </c>
      <c r="D2774" s="2">
        <f>HYPERLINK("http://mcb-m6.bioreg.kyushu-u.ac.jp/M3/20110318/F50618/2882/1", 106.37)</f>
        <v>106.37</v>
      </c>
      <c r="E2774" s="2">
        <v>54.28</v>
      </c>
      <c r="F2774" s="2">
        <v>2</v>
      </c>
      <c r="G2774" s="2" t="s">
        <v>9</v>
      </c>
    </row>
    <row r="2775" spans="1:7" x14ac:dyDescent="0.2">
      <c r="A2775" s="2" t="s">
        <v>3245</v>
      </c>
      <c r="B2775" s="2" t="s">
        <v>25</v>
      </c>
      <c r="C2775" s="2">
        <v>1105.9770000000001</v>
      </c>
      <c r="D2775" s="2">
        <f>HYPERLINK("http://mcb-m6.bioreg.kyushu-u.ac.jp/M3/20110318/F50613/2724/1", 35.29)</f>
        <v>35.29</v>
      </c>
      <c r="E2775" s="2">
        <v>22.69</v>
      </c>
      <c r="F2775" s="2">
        <v>2</v>
      </c>
      <c r="G2775" s="2" t="s">
        <v>10</v>
      </c>
    </row>
    <row r="2776" spans="1:7" x14ac:dyDescent="0.2">
      <c r="A2776" s="2" t="s">
        <v>3245</v>
      </c>
      <c r="B2776" s="2" t="s">
        <v>25</v>
      </c>
      <c r="C2776" s="2">
        <v>1106.2639999999999</v>
      </c>
      <c r="D2776" s="2">
        <f>HYPERLINK("http://mcb-m6.bioreg.kyushu-u.ac.jp/M3/20110318/F50599/2524/1", 35.66)</f>
        <v>35.659999999999997</v>
      </c>
      <c r="E2776" s="2">
        <v>16.36</v>
      </c>
      <c r="F2776" s="2">
        <v>2</v>
      </c>
      <c r="G2776" s="2" t="s">
        <v>10</v>
      </c>
    </row>
    <row r="2777" spans="1:7" x14ac:dyDescent="0.2">
      <c r="A2777" s="2" t="s">
        <v>3245</v>
      </c>
      <c r="B2777" s="2" t="s">
        <v>25</v>
      </c>
      <c r="C2777" s="2">
        <v>1106.4559999999999</v>
      </c>
      <c r="D2777" s="2">
        <f>HYPERLINK("http://mcb-m6.bioreg.kyushu-u.ac.jp/M3/20110318/F50596/2580/1", 35.71)</f>
        <v>35.71</v>
      </c>
      <c r="E2777" s="2">
        <v>15.7</v>
      </c>
      <c r="F2777" s="2">
        <v>2</v>
      </c>
      <c r="G2777" s="2" t="s">
        <v>10</v>
      </c>
    </row>
    <row r="2778" spans="1:7" x14ac:dyDescent="0.2">
      <c r="A2778" s="2" t="s">
        <v>3245</v>
      </c>
      <c r="B2778" s="2" t="s">
        <v>25</v>
      </c>
      <c r="C2778" s="2">
        <v>738.08780000000002</v>
      </c>
      <c r="D2778" s="2">
        <f>HYPERLINK("http://mcb-m6.bioreg.kyushu-u.ac.jp/M3/20110318/F50622/2559/1", 35.91)</f>
        <v>35.909999999999997</v>
      </c>
      <c r="E2778" s="2">
        <v>23.61</v>
      </c>
      <c r="F2778" s="2">
        <v>3</v>
      </c>
      <c r="G2778" s="2" t="s">
        <v>10</v>
      </c>
    </row>
    <row r="2779" spans="1:7" x14ac:dyDescent="0.2">
      <c r="A2779" s="2" t="s">
        <v>3245</v>
      </c>
      <c r="B2779" s="2" t="s">
        <v>25</v>
      </c>
      <c r="C2779" s="2">
        <v>1106.5</v>
      </c>
      <c r="D2779" s="2">
        <f>HYPERLINK("http://mcb-m6.bioreg.kyushu-u.ac.jp/M3/20110318/F50600/2416/1", 36.42)</f>
        <v>36.42</v>
      </c>
      <c r="E2779" s="2">
        <v>17.13</v>
      </c>
      <c r="F2779" s="2">
        <v>2</v>
      </c>
      <c r="G2779" s="2" t="s">
        <v>10</v>
      </c>
    </row>
    <row r="2780" spans="1:7" x14ac:dyDescent="0.2">
      <c r="A2780" s="2" t="s">
        <v>3245</v>
      </c>
      <c r="B2780" s="2" t="s">
        <v>25</v>
      </c>
      <c r="C2780" s="2">
        <v>737.33609999999999</v>
      </c>
      <c r="D2780" s="2">
        <f>HYPERLINK("http://mcb-m6.bioreg.kyushu-u.ac.jp/M3/20110318/F50615/2641/1", 36.45)</f>
        <v>36.450000000000003</v>
      </c>
      <c r="E2780" s="2">
        <v>17.38</v>
      </c>
      <c r="F2780" s="2">
        <v>3</v>
      </c>
      <c r="G2780" s="2" t="s">
        <v>10</v>
      </c>
    </row>
    <row r="2781" spans="1:7" x14ac:dyDescent="0.2">
      <c r="A2781" s="2" t="s">
        <v>3245</v>
      </c>
      <c r="B2781" s="2" t="s">
        <v>25</v>
      </c>
      <c r="C2781" s="2">
        <v>737.76120000000003</v>
      </c>
      <c r="D2781" s="2">
        <f>HYPERLINK("http://mcb-m6.bioreg.kyushu-u.ac.jp/M3/20110318/F50597/2728/1", 37.16)</f>
        <v>37.159999999999997</v>
      </c>
      <c r="E2781" s="2">
        <v>11.9</v>
      </c>
      <c r="F2781" s="2">
        <v>3</v>
      </c>
      <c r="G2781" s="2" t="s">
        <v>10</v>
      </c>
    </row>
    <row r="2782" spans="1:7" x14ac:dyDescent="0.2">
      <c r="A2782" s="2" t="s">
        <v>3245</v>
      </c>
      <c r="B2782" s="2" t="s">
        <v>25</v>
      </c>
      <c r="C2782" s="2">
        <v>1105.758</v>
      </c>
      <c r="D2782" s="2">
        <f>HYPERLINK("http://mcb-m6.bioreg.kyushu-u.ac.jp/M3/20110318/F50596/2568/1", 37.72)</f>
        <v>37.72</v>
      </c>
      <c r="E2782" s="2">
        <v>12.71</v>
      </c>
      <c r="F2782" s="2">
        <v>2</v>
      </c>
      <c r="G2782" s="2" t="s">
        <v>10</v>
      </c>
    </row>
    <row r="2783" spans="1:7" x14ac:dyDescent="0.2">
      <c r="A2783" s="2" t="s">
        <v>3245</v>
      </c>
      <c r="B2783" s="2" t="s">
        <v>25</v>
      </c>
      <c r="C2783" s="2">
        <v>1106.4839999999999</v>
      </c>
      <c r="D2783" s="2">
        <f>HYPERLINK("http://mcb-m6.bioreg.kyushu-u.ac.jp/M3/20110318/F50614/2863/1", 38.07)</f>
        <v>38.07</v>
      </c>
      <c r="E2783" s="2">
        <v>20.51</v>
      </c>
      <c r="F2783" s="2">
        <v>2</v>
      </c>
      <c r="G2783" s="2" t="s">
        <v>10</v>
      </c>
    </row>
    <row r="2784" spans="1:7" x14ac:dyDescent="0.2">
      <c r="A2784" s="2" t="s">
        <v>3245</v>
      </c>
      <c r="B2784" s="2" t="s">
        <v>25</v>
      </c>
      <c r="C2784" s="2">
        <v>1106.499</v>
      </c>
      <c r="D2784" s="2">
        <f>HYPERLINK("http://mcb-m6.bioreg.kyushu-u.ac.jp/M3/20110318/F50614/2864/1", 38.43)</f>
        <v>38.43</v>
      </c>
      <c r="E2784" s="2">
        <v>17.2</v>
      </c>
      <c r="F2784" s="2">
        <v>2</v>
      </c>
      <c r="G2784" s="2" t="s">
        <v>10</v>
      </c>
    </row>
    <row r="2785" spans="1:7" x14ac:dyDescent="0.2">
      <c r="A2785" s="2" t="s">
        <v>3245</v>
      </c>
      <c r="B2785" s="2" t="s">
        <v>25</v>
      </c>
      <c r="C2785" s="2">
        <v>1105.9860000000001</v>
      </c>
      <c r="D2785" s="2">
        <f>HYPERLINK("http://mcb-m6.bioreg.kyushu-u.ac.jp/M3/20110318/F50613/2725/1", 38.52)</f>
        <v>38.520000000000003</v>
      </c>
      <c r="E2785" s="2">
        <v>19.75</v>
      </c>
      <c r="F2785" s="2">
        <v>2</v>
      </c>
      <c r="G2785" s="2" t="s">
        <v>10</v>
      </c>
    </row>
    <row r="2786" spans="1:7" x14ac:dyDescent="0.2">
      <c r="A2786" s="2" t="s">
        <v>3245</v>
      </c>
      <c r="B2786" s="2" t="s">
        <v>25</v>
      </c>
      <c r="C2786" s="2">
        <v>1106.5619999999999</v>
      </c>
      <c r="D2786" s="2">
        <f>HYPERLINK("http://mcb-m6.bioreg.kyushu-u.ac.jp/M3/20110318/F50615/2661/1", 38.77)</f>
        <v>38.770000000000003</v>
      </c>
      <c r="E2786" s="2">
        <v>22.39</v>
      </c>
      <c r="F2786" s="2">
        <v>2</v>
      </c>
      <c r="G2786" s="2" t="s">
        <v>10</v>
      </c>
    </row>
    <row r="2787" spans="1:7" x14ac:dyDescent="0.2">
      <c r="A2787" s="2" t="s">
        <v>3245</v>
      </c>
      <c r="B2787" s="2" t="s">
        <v>25</v>
      </c>
      <c r="C2787" s="2">
        <v>1106.482</v>
      </c>
      <c r="D2787" s="2">
        <f>HYPERLINK("http://mcb-m6.bioreg.kyushu-u.ac.jp/M3/20110318/F50613/2733/1", 38.88)</f>
        <v>38.880000000000003</v>
      </c>
      <c r="E2787" s="2">
        <v>17.61</v>
      </c>
      <c r="F2787" s="2">
        <v>2</v>
      </c>
      <c r="G2787" s="2" t="s">
        <v>10</v>
      </c>
    </row>
    <row r="2788" spans="1:7" x14ac:dyDescent="0.2">
      <c r="A2788" s="2" t="s">
        <v>3245</v>
      </c>
      <c r="B2788" s="2" t="s">
        <v>25</v>
      </c>
      <c r="C2788" s="2">
        <v>1105.9659999999999</v>
      </c>
      <c r="D2788" s="2">
        <f>HYPERLINK("http://mcb-m6.bioreg.kyushu-u.ac.jp/M3/20110318/F50614/2853/1", 39.02)</f>
        <v>39.020000000000003</v>
      </c>
      <c r="E2788" s="2">
        <v>25.54</v>
      </c>
      <c r="F2788" s="2">
        <v>2</v>
      </c>
      <c r="G2788" s="2" t="s">
        <v>10</v>
      </c>
    </row>
    <row r="2789" spans="1:7" x14ac:dyDescent="0.2">
      <c r="A2789" s="2" t="s">
        <v>3245</v>
      </c>
      <c r="B2789" s="2" t="s">
        <v>25</v>
      </c>
      <c r="C2789" s="2">
        <v>737.88810000000001</v>
      </c>
      <c r="D2789" s="2">
        <f>HYPERLINK("http://mcb-m6.bioreg.kyushu-u.ac.jp/M3/20110318/F50612/2409/1", 39.09)</f>
        <v>39.090000000000003</v>
      </c>
      <c r="E2789" s="2">
        <v>19.489999999999998</v>
      </c>
      <c r="F2789" s="2">
        <v>3</v>
      </c>
      <c r="G2789" s="2" t="s">
        <v>10</v>
      </c>
    </row>
    <row r="2790" spans="1:7" x14ac:dyDescent="0.2">
      <c r="A2790" s="2" t="s">
        <v>3245</v>
      </c>
      <c r="B2790" s="2" t="s">
        <v>25</v>
      </c>
      <c r="C2790" s="2">
        <v>1106.5329999999999</v>
      </c>
      <c r="D2790" s="2">
        <f>HYPERLINK("http://mcb-m6.bioreg.kyushu-u.ac.jp/M3/20110318/F50613/2737/1", 39.54)</f>
        <v>39.54</v>
      </c>
      <c r="E2790" s="2">
        <v>23.66</v>
      </c>
      <c r="F2790" s="2">
        <v>2</v>
      </c>
      <c r="G2790" s="2" t="s">
        <v>10</v>
      </c>
    </row>
    <row r="2791" spans="1:7" x14ac:dyDescent="0.2">
      <c r="A2791" s="2" t="s">
        <v>3245</v>
      </c>
      <c r="B2791" s="2" t="s">
        <v>25</v>
      </c>
      <c r="C2791" s="2">
        <v>1106.5</v>
      </c>
      <c r="D2791" s="2">
        <f>HYPERLINK("http://mcb-m6.bioreg.kyushu-u.ac.jp/M3/20110318/F50612/2415/1", 40.05)</f>
        <v>40.049999999999997</v>
      </c>
      <c r="E2791" s="2">
        <v>13.79</v>
      </c>
      <c r="F2791" s="2">
        <v>2</v>
      </c>
      <c r="G2791" s="2" t="s">
        <v>10</v>
      </c>
    </row>
    <row r="2792" spans="1:7" x14ac:dyDescent="0.2">
      <c r="A2792" s="2" t="s">
        <v>3245</v>
      </c>
      <c r="B2792" s="2" t="s">
        <v>25</v>
      </c>
      <c r="C2792" s="2">
        <v>738.10249999999996</v>
      </c>
      <c r="D2792" s="2">
        <f>HYPERLINK("http://mcb-m6.bioreg.kyushu-u.ac.jp/M3/20110318/F50611/2666/1", 40.38)</f>
        <v>40.380000000000003</v>
      </c>
      <c r="E2792" s="2">
        <v>16.440000000000001</v>
      </c>
      <c r="F2792" s="2">
        <v>3</v>
      </c>
      <c r="G2792" s="2" t="s">
        <v>10</v>
      </c>
    </row>
    <row r="2793" spans="1:7" x14ac:dyDescent="0.2">
      <c r="A2793" s="2" t="s">
        <v>3245</v>
      </c>
      <c r="B2793" s="2" t="s">
        <v>25</v>
      </c>
      <c r="C2793" s="2">
        <v>738.07240000000002</v>
      </c>
      <c r="D2793" s="2">
        <f>HYPERLINK("http://mcb-m6.bioreg.kyushu-u.ac.jp/M3/20110318/F50596/2585/1", 40.57)</f>
        <v>40.57</v>
      </c>
      <c r="E2793" s="2">
        <v>20.98</v>
      </c>
      <c r="F2793" s="2">
        <v>3</v>
      </c>
      <c r="G2793" s="2" t="s">
        <v>10</v>
      </c>
    </row>
    <row r="2794" spans="1:7" x14ac:dyDescent="0.2">
      <c r="A2794" s="2" t="s">
        <v>3245</v>
      </c>
      <c r="B2794" s="2" t="s">
        <v>25</v>
      </c>
      <c r="C2794" s="2">
        <v>1106.4839999999999</v>
      </c>
      <c r="D2794" s="2">
        <f>HYPERLINK("http://mcb-m6.bioreg.kyushu-u.ac.jp/M3/20110318/F50597/2734/1", 40.6)</f>
        <v>40.6</v>
      </c>
      <c r="E2794" s="2">
        <v>17.350000000000001</v>
      </c>
      <c r="F2794" s="2">
        <v>2</v>
      </c>
      <c r="G2794" s="2" t="s">
        <v>10</v>
      </c>
    </row>
    <row r="2795" spans="1:7" x14ac:dyDescent="0.2">
      <c r="A2795" s="2" t="s">
        <v>3245</v>
      </c>
      <c r="B2795" s="2" t="s">
        <v>25</v>
      </c>
      <c r="C2795" s="2">
        <v>737.72379999999998</v>
      </c>
      <c r="D2795" s="2">
        <f>HYPERLINK("http://mcb-m6.bioreg.kyushu-u.ac.jp/M3/20110318/F50599/2523/1", 40.76)</f>
        <v>40.76</v>
      </c>
      <c r="E2795" s="2">
        <v>19.29</v>
      </c>
      <c r="F2795" s="2">
        <v>3</v>
      </c>
      <c r="G2795" s="2" t="s">
        <v>10</v>
      </c>
    </row>
    <row r="2796" spans="1:7" x14ac:dyDescent="0.2">
      <c r="A2796" s="2" t="s">
        <v>3245</v>
      </c>
      <c r="B2796" s="2" t="s">
        <v>25</v>
      </c>
      <c r="C2796" s="2">
        <v>738.00549999999998</v>
      </c>
      <c r="D2796" s="2">
        <f>HYPERLINK("http://mcb-m6.bioreg.kyushu-u.ac.jp/M3/20110318/F50600/2417/1", 41.02)</f>
        <v>41.02</v>
      </c>
      <c r="E2796" s="2">
        <v>17.78</v>
      </c>
      <c r="F2796" s="2">
        <v>3</v>
      </c>
      <c r="G2796" s="2" t="s">
        <v>10</v>
      </c>
    </row>
    <row r="2797" spans="1:7" x14ac:dyDescent="0.2">
      <c r="A2797" s="2" t="s">
        <v>3245</v>
      </c>
      <c r="B2797" s="2" t="s">
        <v>25</v>
      </c>
      <c r="C2797" s="2">
        <v>1106.55</v>
      </c>
      <c r="D2797" s="2">
        <f>HYPERLINK("http://mcb-m6.bioreg.kyushu-u.ac.jp/M3/20110318/F50600/2419/1", 41.6)</f>
        <v>41.6</v>
      </c>
      <c r="E2797" s="2">
        <v>22.03</v>
      </c>
      <c r="F2797" s="2">
        <v>2</v>
      </c>
      <c r="G2797" s="2" t="s">
        <v>10</v>
      </c>
    </row>
    <row r="2798" spans="1:7" x14ac:dyDescent="0.2">
      <c r="A2798" s="2" t="s">
        <v>3245</v>
      </c>
      <c r="B2798" s="2" t="s">
        <v>25</v>
      </c>
      <c r="C2798" s="2">
        <v>1105.52</v>
      </c>
      <c r="D2798" s="2">
        <f>HYPERLINK("http://mcb-m6.bioreg.kyushu-u.ac.jp/M3/20110318/F50615/2642/1", 41.77)</f>
        <v>41.77</v>
      </c>
      <c r="E2798" s="2">
        <v>21.33</v>
      </c>
      <c r="F2798" s="2">
        <v>2</v>
      </c>
      <c r="G2798" s="2" t="s">
        <v>10</v>
      </c>
    </row>
    <row r="2799" spans="1:7" x14ac:dyDescent="0.2">
      <c r="A2799" s="2" t="s">
        <v>3245</v>
      </c>
      <c r="B2799" s="2" t="s">
        <v>25</v>
      </c>
      <c r="C2799" s="2">
        <v>1106.008</v>
      </c>
      <c r="D2799" s="2">
        <f>HYPERLINK("http://mcb-m6.bioreg.kyushu-u.ac.jp/M3/20110318/F50599/2521/1", 42.17)</f>
        <v>42.17</v>
      </c>
      <c r="E2799" s="2">
        <v>23.04</v>
      </c>
      <c r="F2799" s="2">
        <v>2</v>
      </c>
      <c r="G2799" s="2" t="s">
        <v>10</v>
      </c>
    </row>
    <row r="2800" spans="1:7" x14ac:dyDescent="0.2">
      <c r="A2800" s="2" t="s">
        <v>3245</v>
      </c>
      <c r="B2800" s="2" t="s">
        <v>25</v>
      </c>
      <c r="C2800" s="2">
        <v>737.59879999999998</v>
      </c>
      <c r="D2800" s="2">
        <f>HYPERLINK("http://mcb-m6.bioreg.kyushu-u.ac.jp/M3/20110318/F50600/2408/1", 42.19)</f>
        <v>42.19</v>
      </c>
      <c r="E2800" s="2">
        <v>25.06</v>
      </c>
      <c r="F2800" s="2">
        <v>3</v>
      </c>
      <c r="G2800" s="2" t="s">
        <v>10</v>
      </c>
    </row>
    <row r="2801" spans="1:7" x14ac:dyDescent="0.2">
      <c r="A2801" s="2" t="s">
        <v>3245</v>
      </c>
      <c r="B2801" s="2" t="s">
        <v>25</v>
      </c>
      <c r="C2801" s="2">
        <v>737.80949999999996</v>
      </c>
      <c r="D2801" s="2">
        <f>HYPERLINK("http://mcb-m6.bioreg.kyushu-u.ac.jp/M3/20110318/F50611/2659/1", 42.5)</f>
        <v>42.5</v>
      </c>
      <c r="E2801" s="2">
        <v>22.52</v>
      </c>
      <c r="F2801" s="2">
        <v>3</v>
      </c>
      <c r="G2801" s="2" t="s">
        <v>10</v>
      </c>
    </row>
    <row r="2802" spans="1:7" x14ac:dyDescent="0.2">
      <c r="A2802" s="2" t="s">
        <v>3245</v>
      </c>
      <c r="B2802" s="2" t="s">
        <v>25</v>
      </c>
      <c r="C2802" s="2">
        <v>1106.0309999999999</v>
      </c>
      <c r="D2802" s="2">
        <f>HYPERLINK("http://mcb-m6.bioreg.kyushu-u.ac.jp/M3/20110318/F50600/2409/1", 42.64)</f>
        <v>42.64</v>
      </c>
      <c r="E2802" s="2">
        <v>20.55</v>
      </c>
      <c r="F2802" s="2">
        <v>2</v>
      </c>
      <c r="G2802" s="2" t="s">
        <v>10</v>
      </c>
    </row>
    <row r="2803" spans="1:7" x14ac:dyDescent="0.2">
      <c r="A2803" s="2" t="s">
        <v>3245</v>
      </c>
      <c r="B2803" s="2" t="s">
        <v>25</v>
      </c>
      <c r="C2803" s="2">
        <v>1106.5920000000001</v>
      </c>
      <c r="D2803" s="2">
        <f>HYPERLINK("http://mcb-m6.bioreg.kyushu-u.ac.jp/M3/20110318/F50595/2283/1", 44.04)</f>
        <v>44.04</v>
      </c>
      <c r="E2803" s="2">
        <v>28.37</v>
      </c>
      <c r="F2803" s="2">
        <v>2</v>
      </c>
      <c r="G2803" s="2" t="s">
        <v>10</v>
      </c>
    </row>
    <row r="2804" spans="1:7" x14ac:dyDescent="0.2">
      <c r="A2804" s="2" t="s">
        <v>3245</v>
      </c>
      <c r="B2804" s="2" t="s">
        <v>25</v>
      </c>
      <c r="C2804" s="2">
        <v>1105.9670000000001</v>
      </c>
      <c r="D2804" s="2">
        <f>HYPERLINK("http://mcb-m6.bioreg.kyushu-u.ac.jp/M3/20110318/F50596/2573/1", 44.24)</f>
        <v>44.24</v>
      </c>
      <c r="E2804" s="2">
        <v>20.3</v>
      </c>
      <c r="F2804" s="2">
        <v>2</v>
      </c>
      <c r="G2804" s="2" t="s">
        <v>10</v>
      </c>
    </row>
    <row r="2805" spans="1:7" x14ac:dyDescent="0.2">
      <c r="A2805" s="2" t="s">
        <v>3245</v>
      </c>
      <c r="B2805" s="2" t="s">
        <v>25</v>
      </c>
      <c r="C2805" s="2">
        <v>1105.9449999999999</v>
      </c>
      <c r="D2805" s="2">
        <f>HYPERLINK("http://mcb-m6.bioreg.kyushu-u.ac.jp/M3/20110318/F50612/2406/1", 44.38)</f>
        <v>44.38</v>
      </c>
      <c r="E2805" s="2">
        <v>14.49</v>
      </c>
      <c r="F2805" s="2">
        <v>2</v>
      </c>
      <c r="G2805" s="2" t="s">
        <v>10</v>
      </c>
    </row>
    <row r="2806" spans="1:7" x14ac:dyDescent="0.2">
      <c r="A2806" s="2" t="s">
        <v>3245</v>
      </c>
      <c r="B2806" s="2" t="s">
        <v>25</v>
      </c>
      <c r="C2806" s="2">
        <v>1105.981</v>
      </c>
      <c r="D2806" s="2">
        <f>HYPERLINK("http://mcb-m6.bioreg.kyushu-u.ac.jp/M3/20110318/F50598/2407/1", 44.49)</f>
        <v>44.49</v>
      </c>
      <c r="E2806" s="2">
        <v>27.04</v>
      </c>
      <c r="F2806" s="2">
        <v>2</v>
      </c>
      <c r="G2806" s="2" t="s">
        <v>10</v>
      </c>
    </row>
    <row r="2807" spans="1:7" x14ac:dyDescent="0.2">
      <c r="A2807" s="2" t="s">
        <v>3245</v>
      </c>
      <c r="B2807" s="2" t="s">
        <v>25</v>
      </c>
      <c r="C2807" s="2">
        <v>1106.5409999999999</v>
      </c>
      <c r="D2807" s="2">
        <f>HYPERLINK("http://mcb-m6.bioreg.kyushu-u.ac.jp/M3/20110318/F50597/2736/1", 45.42)</f>
        <v>45.42</v>
      </c>
      <c r="E2807" s="2">
        <v>26.82</v>
      </c>
      <c r="F2807" s="2">
        <v>2</v>
      </c>
      <c r="G2807" s="2" t="s">
        <v>10</v>
      </c>
    </row>
    <row r="2808" spans="1:7" x14ac:dyDescent="0.2">
      <c r="A2808" s="2" t="s">
        <v>3245</v>
      </c>
      <c r="B2808" s="2" t="s">
        <v>25</v>
      </c>
      <c r="C2808" s="2">
        <v>1106.567</v>
      </c>
      <c r="D2808" s="2">
        <f>HYPERLINK("http://mcb-m6.bioreg.kyushu-u.ac.jp/M3/20110318/F50600/2420/1", 45.73)</f>
        <v>45.73</v>
      </c>
      <c r="E2808" s="2">
        <v>25.7</v>
      </c>
      <c r="F2808" s="2">
        <v>2</v>
      </c>
      <c r="G2808" s="2" t="s">
        <v>10</v>
      </c>
    </row>
    <row r="2809" spans="1:7" x14ac:dyDescent="0.2">
      <c r="A2809" s="2" t="s">
        <v>3245</v>
      </c>
      <c r="B2809" s="2" t="s">
        <v>25</v>
      </c>
      <c r="C2809" s="2">
        <v>738.01020000000005</v>
      </c>
      <c r="D2809" s="2">
        <f>HYPERLINK("http://mcb-m6.bioreg.kyushu-u.ac.jp/M3/20110318/F50613/2736/1", 45.97)</f>
        <v>45.97</v>
      </c>
      <c r="E2809" s="2">
        <v>15.47</v>
      </c>
      <c r="F2809" s="2">
        <v>3</v>
      </c>
      <c r="G2809" s="2" t="s">
        <v>10</v>
      </c>
    </row>
    <row r="2810" spans="1:7" x14ac:dyDescent="0.2">
      <c r="A2810" s="2" t="s">
        <v>3245</v>
      </c>
      <c r="B2810" s="2" t="s">
        <v>25</v>
      </c>
      <c r="C2810" s="2">
        <v>1105.7159999999999</v>
      </c>
      <c r="D2810" s="2">
        <f>HYPERLINK("http://mcb-m6.bioreg.kyushu-u.ac.jp/M3/20110318/F50597/2721/1", 46.84)</f>
        <v>46.84</v>
      </c>
      <c r="E2810" s="2">
        <v>25.91</v>
      </c>
      <c r="F2810" s="2">
        <v>2</v>
      </c>
      <c r="G2810" s="2" t="s">
        <v>10</v>
      </c>
    </row>
    <row r="2811" spans="1:7" x14ac:dyDescent="0.2">
      <c r="A2811" s="2" t="s">
        <v>3245</v>
      </c>
      <c r="B2811" s="2" t="s">
        <v>25</v>
      </c>
      <c r="C2811" s="2">
        <v>737.7328</v>
      </c>
      <c r="D2811" s="2">
        <f>HYPERLINK("http://mcb-m6.bioreg.kyushu-u.ac.jp/M3/20110318/F50617/2480/1", 47.28)</f>
        <v>47.28</v>
      </c>
      <c r="E2811" s="2">
        <v>26.8</v>
      </c>
      <c r="F2811" s="2">
        <v>3</v>
      </c>
      <c r="G2811" s="2" t="s">
        <v>10</v>
      </c>
    </row>
    <row r="2812" spans="1:7" x14ac:dyDescent="0.2">
      <c r="A2812" s="2" t="s">
        <v>3245</v>
      </c>
      <c r="B2812" s="2" t="s">
        <v>25</v>
      </c>
      <c r="C2812" s="2">
        <v>737.98019999999997</v>
      </c>
      <c r="D2812" s="2">
        <f>HYPERLINK("http://mcb-m6.bioreg.kyushu-u.ac.jp/M3/20110318/F50612/2413/1", 47.32)</f>
        <v>47.32</v>
      </c>
      <c r="E2812" s="2">
        <v>25.98</v>
      </c>
      <c r="F2812" s="2">
        <v>3</v>
      </c>
      <c r="G2812" s="2" t="s">
        <v>10</v>
      </c>
    </row>
    <row r="2813" spans="1:7" x14ac:dyDescent="0.2">
      <c r="A2813" s="2" t="s">
        <v>3245</v>
      </c>
      <c r="B2813" s="2" t="s">
        <v>25</v>
      </c>
      <c r="C2813" s="2">
        <v>737.90949999999998</v>
      </c>
      <c r="D2813" s="2">
        <f>HYPERLINK("http://mcb-m6.bioreg.kyushu-u.ac.jp/M3/20110318/F50622/2554/1", 47.95)</f>
        <v>47.95</v>
      </c>
      <c r="E2813" s="2">
        <v>29.73</v>
      </c>
      <c r="F2813" s="2">
        <v>3</v>
      </c>
      <c r="G2813" s="2" t="s">
        <v>10</v>
      </c>
    </row>
    <row r="2814" spans="1:7" x14ac:dyDescent="0.2">
      <c r="A2814" s="2" t="s">
        <v>3245</v>
      </c>
      <c r="B2814" s="2" t="s">
        <v>25</v>
      </c>
      <c r="C2814" s="2">
        <v>737.98450000000003</v>
      </c>
      <c r="D2814" s="2">
        <f>HYPERLINK("http://mcb-m6.bioreg.kyushu-u.ac.jp/M3/20110318/F50614/2861/1", 48.45)</f>
        <v>48.45</v>
      </c>
      <c r="E2814" s="2">
        <v>23.44</v>
      </c>
      <c r="F2814" s="2">
        <v>3</v>
      </c>
      <c r="G2814" s="2" t="s">
        <v>10</v>
      </c>
    </row>
    <row r="2815" spans="1:7" x14ac:dyDescent="0.2">
      <c r="A2815" s="2" t="s">
        <v>3245</v>
      </c>
      <c r="B2815" s="2" t="s">
        <v>25</v>
      </c>
      <c r="C2815" s="2">
        <v>1106.627</v>
      </c>
      <c r="D2815" s="2">
        <f>HYPERLINK("http://mcb-m6.bioreg.kyushu-u.ac.jp/M3/20110318/F50599/2532/1", 48.91)</f>
        <v>48.91</v>
      </c>
      <c r="E2815" s="2">
        <v>29.41</v>
      </c>
      <c r="F2815" s="2">
        <v>2</v>
      </c>
      <c r="G2815" s="2" t="s">
        <v>10</v>
      </c>
    </row>
    <row r="2816" spans="1:7" x14ac:dyDescent="0.2">
      <c r="A2816" s="2" t="s">
        <v>3245</v>
      </c>
      <c r="B2816" s="2" t="s">
        <v>25</v>
      </c>
      <c r="C2816" s="2">
        <v>1105.9839999999999</v>
      </c>
      <c r="D2816" s="2">
        <f>HYPERLINK("http://mcb-m6.bioreg.kyushu-u.ac.jp/M3/20110318/F50614/2855/1", 49.01)</f>
        <v>49.01</v>
      </c>
      <c r="E2816" s="2">
        <v>22.73</v>
      </c>
      <c r="F2816" s="2">
        <v>2</v>
      </c>
      <c r="G2816" s="2" t="s">
        <v>10</v>
      </c>
    </row>
    <row r="2817" spans="1:7" x14ac:dyDescent="0.2">
      <c r="A2817" s="2" t="s">
        <v>3245</v>
      </c>
      <c r="B2817" s="2" t="s">
        <v>25</v>
      </c>
      <c r="C2817" s="2">
        <v>1106.51</v>
      </c>
      <c r="D2817" s="2">
        <f>HYPERLINK("http://mcb-m6.bioreg.kyushu-u.ac.jp/M3/20110318/F50598/2412/1", 49.2)</f>
        <v>49.2</v>
      </c>
      <c r="E2817" s="2">
        <v>29.06</v>
      </c>
      <c r="F2817" s="2">
        <v>2</v>
      </c>
      <c r="G2817" s="2" t="s">
        <v>10</v>
      </c>
    </row>
    <row r="2818" spans="1:7" x14ac:dyDescent="0.2">
      <c r="A2818" s="2" t="s">
        <v>3245</v>
      </c>
      <c r="B2818" s="2" t="s">
        <v>25</v>
      </c>
      <c r="C2818" s="2">
        <v>738.05719999999997</v>
      </c>
      <c r="D2818" s="2">
        <f>HYPERLINK("http://mcb-m6.bioreg.kyushu-u.ac.jp/M3/20110318/F50613/2739/1", 49.34)</f>
        <v>49.34</v>
      </c>
      <c r="E2818" s="2">
        <v>18.059999999999999</v>
      </c>
      <c r="F2818" s="2">
        <v>3</v>
      </c>
      <c r="G2818" s="2" t="s">
        <v>10</v>
      </c>
    </row>
    <row r="2819" spans="1:7" x14ac:dyDescent="0.2">
      <c r="A2819" s="2" t="s">
        <v>3245</v>
      </c>
      <c r="B2819" s="2" t="s">
        <v>25</v>
      </c>
      <c r="C2819" s="2">
        <v>1106.5070000000001</v>
      </c>
      <c r="D2819" s="2">
        <f>HYPERLINK("http://mcb-m6.bioreg.kyushu-u.ac.jp/M3/20110318/F50613/2735/1", 49.75)</f>
        <v>49.75</v>
      </c>
      <c r="E2819" s="2">
        <v>27.98</v>
      </c>
      <c r="F2819" s="2">
        <v>2</v>
      </c>
      <c r="G2819" s="2" t="s">
        <v>10</v>
      </c>
    </row>
    <row r="2820" spans="1:7" x14ac:dyDescent="0.2">
      <c r="A2820" s="2" t="s">
        <v>3245</v>
      </c>
      <c r="B2820" s="2" t="s">
        <v>25</v>
      </c>
      <c r="C2820" s="2">
        <v>737.54920000000004</v>
      </c>
      <c r="D2820" s="2">
        <f>HYPERLINK("http://mcb-m6.bioreg.kyushu-u.ac.jp/M3/20110318/F50617/2478/1", 50.1)</f>
        <v>50.1</v>
      </c>
      <c r="E2820" s="2">
        <v>28.41</v>
      </c>
      <c r="F2820" s="2">
        <v>3</v>
      </c>
      <c r="G2820" s="2" t="s">
        <v>10</v>
      </c>
    </row>
    <row r="2821" spans="1:7" x14ac:dyDescent="0.2">
      <c r="A2821" s="2" t="s">
        <v>3245</v>
      </c>
      <c r="B2821" s="2" t="s">
        <v>25</v>
      </c>
      <c r="C2821" s="2">
        <v>1106.433</v>
      </c>
      <c r="D2821" s="2">
        <f>HYPERLINK("http://mcb-m6.bioreg.kyushu-u.ac.jp/M3/20110318/F50615/2657/1", 50.76)</f>
        <v>50.76</v>
      </c>
      <c r="E2821" s="2">
        <v>29.83</v>
      </c>
      <c r="F2821" s="2">
        <v>2</v>
      </c>
      <c r="G2821" s="2" t="s">
        <v>10</v>
      </c>
    </row>
    <row r="2822" spans="1:7" x14ac:dyDescent="0.2">
      <c r="A2822" s="2" t="s">
        <v>3245</v>
      </c>
      <c r="B2822" s="2" t="s">
        <v>25</v>
      </c>
      <c r="C2822" s="2">
        <v>1105.925</v>
      </c>
      <c r="D2822" s="2">
        <f>HYPERLINK("http://mcb-m6.bioreg.kyushu-u.ac.jp/M3/20110318/F50611/2654/1", 50.77)</f>
        <v>50.77</v>
      </c>
      <c r="E2822" s="2">
        <v>28.65</v>
      </c>
      <c r="F2822" s="2">
        <v>2</v>
      </c>
      <c r="G2822" s="2" t="s">
        <v>10</v>
      </c>
    </row>
    <row r="2823" spans="1:7" x14ac:dyDescent="0.2">
      <c r="A2823" s="2" t="s">
        <v>3245</v>
      </c>
      <c r="B2823" s="2" t="s">
        <v>25</v>
      </c>
      <c r="C2823" s="2">
        <v>1106.345</v>
      </c>
      <c r="D2823" s="2">
        <f>HYPERLINK("http://mcb-m6.bioreg.kyushu-u.ac.jp/M3/20110318/F50611/2662/1", 51.74)</f>
        <v>51.74</v>
      </c>
      <c r="E2823" s="2">
        <v>35.51</v>
      </c>
      <c r="F2823" s="2">
        <v>2</v>
      </c>
      <c r="G2823" s="2" t="s">
        <v>10</v>
      </c>
    </row>
    <row r="2824" spans="1:7" x14ac:dyDescent="0.2">
      <c r="A2824" s="2" t="s">
        <v>3245</v>
      </c>
      <c r="B2824" s="2" t="s">
        <v>25</v>
      </c>
      <c r="C2824" s="2">
        <v>1106.4680000000001</v>
      </c>
      <c r="D2824" s="2">
        <f>HYPERLINK("http://mcb-m6.bioreg.kyushu-u.ac.jp/M3/20110318/F50596/2581/1", 51.81)</f>
        <v>51.81</v>
      </c>
      <c r="E2824" s="2">
        <v>26.07</v>
      </c>
      <c r="F2824" s="2">
        <v>2</v>
      </c>
      <c r="G2824" s="2" t="s">
        <v>10</v>
      </c>
    </row>
    <row r="2825" spans="1:7" x14ac:dyDescent="0.2">
      <c r="A2825" s="2" t="s">
        <v>3245</v>
      </c>
      <c r="B2825" s="2" t="s">
        <v>25</v>
      </c>
      <c r="C2825" s="2">
        <v>1106.482</v>
      </c>
      <c r="D2825" s="2">
        <f>HYPERLINK("http://mcb-m6.bioreg.kyushu-u.ac.jp/M3/20110318/F50614/2862/1", 52.25)</f>
        <v>52.25</v>
      </c>
      <c r="E2825" s="2">
        <v>31.97</v>
      </c>
      <c r="F2825" s="2">
        <v>2</v>
      </c>
      <c r="G2825" s="2" t="s">
        <v>10</v>
      </c>
    </row>
    <row r="2826" spans="1:7" x14ac:dyDescent="0.2">
      <c r="A2826" s="2" t="s">
        <v>3245</v>
      </c>
      <c r="B2826" s="2" t="s">
        <v>25</v>
      </c>
      <c r="C2826" s="2">
        <v>1106.5</v>
      </c>
      <c r="D2826" s="2">
        <f>HYPERLINK("http://mcb-m6.bioreg.kyushu-u.ac.jp/M3/20110318/F50597/2735/1", 52.42)</f>
        <v>52.42</v>
      </c>
      <c r="E2826" s="2">
        <v>34.58</v>
      </c>
      <c r="F2826" s="2">
        <v>2</v>
      </c>
      <c r="G2826" s="2" t="s">
        <v>10</v>
      </c>
    </row>
    <row r="2827" spans="1:7" x14ac:dyDescent="0.2">
      <c r="A2827" s="2" t="s">
        <v>3245</v>
      </c>
      <c r="B2827" s="2" t="s">
        <v>25</v>
      </c>
      <c r="C2827" s="2">
        <v>738.04049999999995</v>
      </c>
      <c r="D2827" s="2">
        <f>HYPERLINK("http://mcb-m6.bioreg.kyushu-u.ac.jp/M3/20110318/F50597/2738/1", 52.63)</f>
        <v>52.63</v>
      </c>
      <c r="E2827" s="2">
        <v>31.77</v>
      </c>
      <c r="F2827" s="2">
        <v>3</v>
      </c>
      <c r="G2827" s="2" t="s">
        <v>10</v>
      </c>
    </row>
    <row r="2828" spans="1:7" x14ac:dyDescent="0.2">
      <c r="A2828" s="2" t="s">
        <v>3245</v>
      </c>
      <c r="B2828" s="2" t="s">
        <v>25</v>
      </c>
      <c r="C2828" s="2">
        <v>737.46079999999995</v>
      </c>
      <c r="D2828" s="2">
        <f>HYPERLINK("http://mcb-m6.bioreg.kyushu-u.ac.jp/M3/20110318/F50599/2519/1", 52.69)</f>
        <v>52.69</v>
      </c>
      <c r="E2828" s="2">
        <v>35.68</v>
      </c>
      <c r="F2828" s="2">
        <v>3</v>
      </c>
      <c r="G2828" s="2" t="s">
        <v>10</v>
      </c>
    </row>
    <row r="2829" spans="1:7" x14ac:dyDescent="0.2">
      <c r="A2829" s="2" t="s">
        <v>3245</v>
      </c>
      <c r="B2829" s="2" t="s">
        <v>25</v>
      </c>
      <c r="C2829" s="2">
        <v>1106.557</v>
      </c>
      <c r="D2829" s="2">
        <f>HYPERLINK("http://mcb-m6.bioreg.kyushu-u.ac.jp/M3/20110318/F50597/2737/1", 54.68)</f>
        <v>54.68</v>
      </c>
      <c r="E2829" s="2">
        <v>29.4</v>
      </c>
      <c r="F2829" s="2">
        <v>2</v>
      </c>
      <c r="G2829" s="2" t="s">
        <v>10</v>
      </c>
    </row>
    <row r="2830" spans="1:7" x14ac:dyDescent="0.2">
      <c r="A2830" s="2" t="s">
        <v>3245</v>
      </c>
      <c r="B2830" s="2" t="s">
        <v>25</v>
      </c>
      <c r="C2830" s="2">
        <v>1106</v>
      </c>
      <c r="D2830" s="2">
        <f>HYPERLINK("http://mcb-m6.bioreg.kyushu-u.ac.jp/M3/20110318/F50611/2657/1", 54.82)</f>
        <v>54.82</v>
      </c>
      <c r="E2830" s="2">
        <v>34.909999999999997</v>
      </c>
      <c r="F2830" s="2">
        <v>2</v>
      </c>
      <c r="G2830" s="2" t="s">
        <v>10</v>
      </c>
    </row>
    <row r="2831" spans="1:7" x14ac:dyDescent="0.2">
      <c r="A2831" s="2" t="s">
        <v>3245</v>
      </c>
      <c r="B2831" s="2" t="s">
        <v>25</v>
      </c>
      <c r="C2831" s="2">
        <v>738.03279999999995</v>
      </c>
      <c r="D2831" s="2">
        <f>HYPERLINK("http://mcb-m6.bioreg.kyushu-u.ac.jp/M3/20110318/F50613/2738/1", 55.07)</f>
        <v>55.07</v>
      </c>
      <c r="E2831" s="2">
        <v>28.37</v>
      </c>
      <c r="F2831" s="2">
        <v>3</v>
      </c>
      <c r="G2831" s="2" t="s">
        <v>10</v>
      </c>
    </row>
    <row r="2832" spans="1:7" x14ac:dyDescent="0.2">
      <c r="A2832" s="2" t="s">
        <v>3245</v>
      </c>
      <c r="B2832" s="2" t="s">
        <v>25</v>
      </c>
      <c r="C2832" s="2">
        <v>1106.17</v>
      </c>
      <c r="D2832" s="2">
        <f>HYPERLINK("http://mcb-m6.bioreg.kyushu-u.ac.jp/M3/20110318/F50595/2280/1", 56.26)</f>
        <v>56.26</v>
      </c>
      <c r="E2832" s="2">
        <v>25.52</v>
      </c>
      <c r="F2832" s="2">
        <v>2</v>
      </c>
      <c r="G2832" s="2" t="s">
        <v>10</v>
      </c>
    </row>
    <row r="2833" spans="1:7" x14ac:dyDescent="0.2">
      <c r="A2833" s="2" t="s">
        <v>3245</v>
      </c>
      <c r="B2833" s="2" t="s">
        <v>25</v>
      </c>
      <c r="C2833" s="2">
        <v>1106.451</v>
      </c>
      <c r="D2833" s="2">
        <f>HYPERLINK("http://mcb-m6.bioreg.kyushu-u.ac.jp/M3/20110318/F50597/2733/1", 57.23)</f>
        <v>57.23</v>
      </c>
      <c r="E2833" s="2">
        <v>31.75</v>
      </c>
      <c r="F2833" s="2">
        <v>2</v>
      </c>
      <c r="G2833" s="2" t="s">
        <v>10</v>
      </c>
    </row>
    <row r="2834" spans="1:7" x14ac:dyDescent="0.2">
      <c r="A2834" s="2" t="s">
        <v>3245</v>
      </c>
      <c r="B2834" s="2" t="s">
        <v>25</v>
      </c>
      <c r="C2834" s="2">
        <v>1106.088</v>
      </c>
      <c r="D2834" s="2">
        <f>HYPERLINK("http://mcb-m6.bioreg.kyushu-u.ac.jp/M3/20110318/F50598/2409/1", 57.9)</f>
        <v>57.9</v>
      </c>
      <c r="E2834" s="2">
        <v>35.94</v>
      </c>
      <c r="F2834" s="2">
        <v>2</v>
      </c>
      <c r="G2834" s="2" t="s">
        <v>10</v>
      </c>
    </row>
    <row r="2835" spans="1:7" x14ac:dyDescent="0.2">
      <c r="A2835" s="2" t="s">
        <v>3245</v>
      </c>
      <c r="B2835" s="2" t="s">
        <v>25</v>
      </c>
      <c r="C2835" s="2">
        <v>1106.49</v>
      </c>
      <c r="D2835" s="2">
        <f>HYPERLINK("http://mcb-m6.bioreg.kyushu-u.ac.jp/M3/20110318/F50596/2583/1", 58.74)</f>
        <v>58.74</v>
      </c>
      <c r="E2835" s="2">
        <v>17.63</v>
      </c>
      <c r="F2835" s="2">
        <v>2</v>
      </c>
      <c r="G2835" s="2" t="s">
        <v>10</v>
      </c>
    </row>
    <row r="2836" spans="1:7" x14ac:dyDescent="0.2">
      <c r="A2836" s="2" t="s">
        <v>3245</v>
      </c>
      <c r="B2836" s="2" t="s">
        <v>25</v>
      </c>
      <c r="C2836" s="2">
        <v>737.85749999999996</v>
      </c>
      <c r="D2836" s="2">
        <f>HYPERLINK("http://mcb-m6.bioreg.kyushu-u.ac.jp/M3/20110318/F50615/2654/1", 58.98)</f>
        <v>58.98</v>
      </c>
      <c r="E2836" s="2">
        <v>29.12</v>
      </c>
      <c r="F2836" s="2">
        <v>3</v>
      </c>
      <c r="G2836" s="2" t="s">
        <v>10</v>
      </c>
    </row>
    <row r="2837" spans="1:7" x14ac:dyDescent="0.2">
      <c r="A2837" s="2" t="s">
        <v>3245</v>
      </c>
      <c r="B2837" s="2" t="s">
        <v>25</v>
      </c>
      <c r="C2837" s="2">
        <v>1106.4079999999999</v>
      </c>
      <c r="D2837" s="2">
        <f>HYPERLINK("http://mcb-m6.bioreg.kyushu-u.ac.jp/M3/20110318/F50615/2656/1", 59.05)</f>
        <v>59.05</v>
      </c>
      <c r="E2837" s="2">
        <v>27.9</v>
      </c>
      <c r="F2837" s="2">
        <v>2</v>
      </c>
      <c r="G2837" s="2" t="s">
        <v>10</v>
      </c>
    </row>
    <row r="2838" spans="1:7" x14ac:dyDescent="0.2">
      <c r="A2838" s="2" t="s">
        <v>3245</v>
      </c>
      <c r="B2838" s="2" t="s">
        <v>25</v>
      </c>
      <c r="C2838" s="2">
        <v>1105.894</v>
      </c>
      <c r="D2838" s="2">
        <f>HYPERLINK("http://mcb-m6.bioreg.kyushu-u.ac.jp/M3/20110318/F50615/2645/1", 59.14)</f>
        <v>59.14</v>
      </c>
      <c r="E2838" s="2">
        <v>34.56</v>
      </c>
      <c r="F2838" s="2">
        <v>2</v>
      </c>
      <c r="G2838" s="2" t="s">
        <v>10</v>
      </c>
    </row>
    <row r="2839" spans="1:7" x14ac:dyDescent="0.2">
      <c r="A2839" s="2" t="s">
        <v>3245</v>
      </c>
      <c r="B2839" s="2" t="s">
        <v>25</v>
      </c>
      <c r="C2839" s="2">
        <v>1106.4690000000001</v>
      </c>
      <c r="D2839" s="2">
        <f>HYPERLINK("http://mcb-m6.bioreg.kyushu-u.ac.jp/M3/20110318/F50611/2664/1", 60.02)</f>
        <v>60.02</v>
      </c>
      <c r="E2839" s="2">
        <v>36.33</v>
      </c>
      <c r="F2839" s="2">
        <v>2</v>
      </c>
      <c r="G2839" s="2" t="s">
        <v>10</v>
      </c>
    </row>
    <row r="2840" spans="1:7" x14ac:dyDescent="0.2">
      <c r="A2840" s="2" t="s">
        <v>3245</v>
      </c>
      <c r="B2840" s="2" t="s">
        <v>25</v>
      </c>
      <c r="C2840" s="2">
        <v>1106.49</v>
      </c>
      <c r="D2840" s="2">
        <f>HYPERLINK("http://mcb-m6.bioreg.kyushu-u.ac.jp/M3/20110318/F50612/2414/1", 61.04)</f>
        <v>61.04</v>
      </c>
      <c r="E2840" s="2">
        <v>35.15</v>
      </c>
      <c r="F2840" s="2">
        <v>2</v>
      </c>
      <c r="G2840" s="2" t="s">
        <v>10</v>
      </c>
    </row>
    <row r="2841" spans="1:7" x14ac:dyDescent="0.2">
      <c r="A2841" s="2" t="s">
        <v>3245</v>
      </c>
      <c r="B2841" s="2" t="s">
        <v>25</v>
      </c>
      <c r="C2841" s="2">
        <v>1106.009</v>
      </c>
      <c r="D2841" s="2">
        <f>HYPERLINK("http://mcb-m6.bioreg.kyushu-u.ac.jp/M3/20110318/F50622/2551/1", 61.13)</f>
        <v>61.13</v>
      </c>
      <c r="E2841" s="2">
        <v>29.46</v>
      </c>
      <c r="F2841" s="2">
        <v>2</v>
      </c>
      <c r="G2841" s="2" t="s">
        <v>10</v>
      </c>
    </row>
    <row r="2842" spans="1:7" x14ac:dyDescent="0.2">
      <c r="A2842" s="2" t="s">
        <v>3245</v>
      </c>
      <c r="B2842" s="2" t="s">
        <v>25</v>
      </c>
      <c r="C2842" s="2">
        <v>1105.9010000000001</v>
      </c>
      <c r="D2842" s="2">
        <f>HYPERLINK("http://mcb-m6.bioreg.kyushu-u.ac.jp/M3/20110318/F50612/2405/1", 62.02)</f>
        <v>62.02</v>
      </c>
      <c r="E2842" s="2">
        <v>31.63</v>
      </c>
      <c r="F2842" s="2">
        <v>2</v>
      </c>
      <c r="G2842" s="2" t="s">
        <v>10</v>
      </c>
    </row>
    <row r="2843" spans="1:7" x14ac:dyDescent="0.2">
      <c r="A2843" s="2" t="s">
        <v>3245</v>
      </c>
      <c r="B2843" s="2" t="s">
        <v>25</v>
      </c>
      <c r="C2843" s="2">
        <v>737.99180000000001</v>
      </c>
      <c r="D2843" s="2">
        <f>HYPERLINK("http://mcb-m6.bioreg.kyushu-u.ac.jp/M3/20110318/F50596/2582/1", 63.28)</f>
        <v>63.28</v>
      </c>
      <c r="E2843" s="2">
        <v>41</v>
      </c>
      <c r="F2843" s="2">
        <v>3</v>
      </c>
      <c r="G2843" s="2" t="s">
        <v>10</v>
      </c>
    </row>
    <row r="2844" spans="1:7" x14ac:dyDescent="0.2">
      <c r="A2844" s="2" t="s">
        <v>3245</v>
      </c>
      <c r="B2844" s="2" t="s">
        <v>25</v>
      </c>
      <c r="C2844" s="2">
        <v>1105.9480000000001</v>
      </c>
      <c r="D2844" s="2">
        <f>HYPERLINK("http://mcb-m6.bioreg.kyushu-u.ac.jp/M3/20110318/F50613/2722/1", 64.27)</f>
        <v>64.27</v>
      </c>
      <c r="E2844" s="2">
        <v>45.32</v>
      </c>
      <c r="F2844" s="2">
        <v>2</v>
      </c>
      <c r="G2844" s="2" t="s">
        <v>10</v>
      </c>
    </row>
    <row r="2845" spans="1:7" x14ac:dyDescent="0.2">
      <c r="A2845" s="2" t="s">
        <v>3245</v>
      </c>
      <c r="B2845" s="2" t="s">
        <v>25</v>
      </c>
      <c r="C2845" s="2">
        <v>737.57619999999997</v>
      </c>
      <c r="D2845" s="2">
        <f>HYPERLINK("http://mcb-m6.bioreg.kyushu-u.ac.jp/M3/20110318/F50598/2403/1", 64.31)</f>
        <v>64.31</v>
      </c>
      <c r="E2845" s="2">
        <v>44.8</v>
      </c>
      <c r="F2845" s="2">
        <v>3</v>
      </c>
      <c r="G2845" s="2" t="s">
        <v>10</v>
      </c>
    </row>
    <row r="2846" spans="1:7" x14ac:dyDescent="0.2">
      <c r="A2846" s="2" t="s">
        <v>3245</v>
      </c>
      <c r="B2846" s="2" t="s">
        <v>25</v>
      </c>
      <c r="C2846" s="2">
        <v>1105.8589999999999</v>
      </c>
      <c r="D2846" s="2">
        <f>HYPERLINK("http://mcb-m6.bioreg.kyushu-u.ac.jp/M3/20110318/F50622/2547/1", 65.22)</f>
        <v>65.22</v>
      </c>
      <c r="E2846" s="2">
        <v>40.659999999999997</v>
      </c>
      <c r="F2846" s="2">
        <v>2</v>
      </c>
      <c r="G2846" s="2" t="s">
        <v>10</v>
      </c>
    </row>
    <row r="2847" spans="1:7" x14ac:dyDescent="0.2">
      <c r="A2847" s="2" t="s">
        <v>3245</v>
      </c>
      <c r="B2847" s="2" t="s">
        <v>25</v>
      </c>
      <c r="C2847" s="2">
        <v>737.6268</v>
      </c>
      <c r="D2847" s="2">
        <f>HYPERLINK("http://mcb-m6.bioreg.kyushu-u.ac.jp/M3/20110318/F50597/2724/1", 65.55)</f>
        <v>65.55</v>
      </c>
      <c r="E2847" s="2">
        <v>43.62</v>
      </c>
      <c r="F2847" s="2">
        <v>3</v>
      </c>
      <c r="G2847" s="2" t="s">
        <v>10</v>
      </c>
    </row>
    <row r="2848" spans="1:7" x14ac:dyDescent="0.2">
      <c r="A2848" s="2" t="s">
        <v>3245</v>
      </c>
      <c r="B2848" s="2" t="s">
        <v>25</v>
      </c>
      <c r="C2848" s="2">
        <v>1105.951</v>
      </c>
      <c r="D2848" s="2">
        <f>HYPERLINK("http://mcb-m6.bioreg.kyushu-u.ac.jp/M3/20110318/F50597/2725/1", 67.65)</f>
        <v>67.650000000000006</v>
      </c>
      <c r="E2848" s="2">
        <v>50.83</v>
      </c>
      <c r="F2848" s="2">
        <v>2</v>
      </c>
      <c r="G2848" s="2" t="s">
        <v>10</v>
      </c>
    </row>
    <row r="2849" spans="1:7" x14ac:dyDescent="0.2">
      <c r="A2849" s="2" t="s">
        <v>3245</v>
      </c>
      <c r="B2849" s="2" t="s">
        <v>25</v>
      </c>
      <c r="C2849" s="2">
        <v>1106.4570000000001</v>
      </c>
      <c r="D2849" s="2">
        <f>HYPERLINK("http://mcb-m6.bioreg.kyushu-u.ac.jp/M3/20110318/F50600/2415/1", 69.76)</f>
        <v>69.760000000000005</v>
      </c>
      <c r="E2849" s="2">
        <v>27.41</v>
      </c>
      <c r="F2849" s="2">
        <v>2</v>
      </c>
      <c r="G2849" s="2" t="s">
        <v>10</v>
      </c>
    </row>
    <row r="2850" spans="1:7" x14ac:dyDescent="0.2">
      <c r="A2850" s="2" t="s">
        <v>3245</v>
      </c>
      <c r="B2850" s="2" t="s">
        <v>25</v>
      </c>
      <c r="C2850" s="2">
        <v>1105.9880000000001</v>
      </c>
      <c r="D2850" s="2">
        <f>HYPERLINK("http://mcb-m6.bioreg.kyushu-u.ac.jp/M3/20110318/F50622/2550/1", 70.19)</f>
        <v>70.19</v>
      </c>
      <c r="E2850" s="2">
        <v>36.619999999999997</v>
      </c>
      <c r="F2850" s="2">
        <v>2</v>
      </c>
      <c r="G2850" s="2" t="s">
        <v>10</v>
      </c>
    </row>
    <row r="2851" spans="1:7" x14ac:dyDescent="0.2">
      <c r="A2851" s="2" t="s">
        <v>3245</v>
      </c>
      <c r="B2851" s="2" t="s">
        <v>25</v>
      </c>
      <c r="C2851" s="2">
        <v>737.8646</v>
      </c>
      <c r="D2851" s="2">
        <f>HYPERLINK("http://mcb-m6.bioreg.kyushu-u.ac.jp/M3/20110318/F50614/2860/1", 71.05)</f>
        <v>71.05</v>
      </c>
      <c r="E2851" s="2">
        <v>25.47</v>
      </c>
      <c r="F2851" s="2">
        <v>3</v>
      </c>
      <c r="G2851" s="2" t="s">
        <v>10</v>
      </c>
    </row>
    <row r="2852" spans="1:7" x14ac:dyDescent="0.2">
      <c r="A2852" s="2" t="s">
        <v>3245</v>
      </c>
      <c r="B2852" s="2" t="s">
        <v>25</v>
      </c>
      <c r="C2852" s="2">
        <v>1106.337</v>
      </c>
      <c r="D2852" s="2">
        <f>HYPERLINK("http://mcb-m6.bioreg.kyushu-u.ac.jp/M3/20110318/F50617/2484/1", 71.13)</f>
        <v>71.13</v>
      </c>
      <c r="E2852" s="2">
        <v>26.73</v>
      </c>
      <c r="F2852" s="2">
        <v>2</v>
      </c>
      <c r="G2852" s="2" t="s">
        <v>10</v>
      </c>
    </row>
    <row r="2853" spans="1:7" x14ac:dyDescent="0.2">
      <c r="A2853" s="2" t="s">
        <v>3245</v>
      </c>
      <c r="B2853" s="2" t="s">
        <v>25</v>
      </c>
      <c r="C2853" s="2">
        <v>738.06259999999997</v>
      </c>
      <c r="D2853" s="2">
        <f>HYPERLINK("http://mcb-m6.bioreg.kyushu-u.ac.jp/M3/20110318/F50598/2414/1", 71.17)</f>
        <v>71.17</v>
      </c>
      <c r="E2853" s="2">
        <v>38.81</v>
      </c>
      <c r="F2853" s="2">
        <v>3</v>
      </c>
      <c r="G2853" s="2" t="s">
        <v>10</v>
      </c>
    </row>
    <row r="2854" spans="1:7" x14ac:dyDescent="0.2">
      <c r="A2854" s="2" t="s">
        <v>3245</v>
      </c>
      <c r="B2854" s="2" t="s">
        <v>25</v>
      </c>
      <c r="C2854" s="2">
        <v>1105.73</v>
      </c>
      <c r="D2854" s="2">
        <f>HYPERLINK("http://mcb-m6.bioreg.kyushu-u.ac.jp/M3/20110318/F50617/2474/1", 72.32)</f>
        <v>72.319999999999993</v>
      </c>
      <c r="E2854" s="2">
        <v>38.85</v>
      </c>
      <c r="F2854" s="2">
        <v>2</v>
      </c>
      <c r="G2854" s="2" t="s">
        <v>10</v>
      </c>
    </row>
    <row r="2855" spans="1:7" x14ac:dyDescent="0.2">
      <c r="A2855" s="2" t="s">
        <v>3245</v>
      </c>
      <c r="B2855" s="2" t="s">
        <v>25</v>
      </c>
      <c r="C2855" s="2">
        <v>738.06320000000005</v>
      </c>
      <c r="D2855" s="2">
        <f>HYPERLINK("http://mcb-m6.bioreg.kyushu-u.ac.jp/M3/20110318/F50622/2558/1", 72.73)</f>
        <v>72.73</v>
      </c>
      <c r="E2855" s="2">
        <v>36.43</v>
      </c>
      <c r="F2855" s="2">
        <v>3</v>
      </c>
      <c r="G2855" s="2" t="s">
        <v>10</v>
      </c>
    </row>
    <row r="2856" spans="1:7" x14ac:dyDescent="0.2">
      <c r="A2856" s="2" t="s">
        <v>3245</v>
      </c>
      <c r="B2856" s="2" t="s">
        <v>25</v>
      </c>
      <c r="C2856" s="2">
        <v>1105.4739999999999</v>
      </c>
      <c r="D2856" s="2">
        <f>HYPERLINK("http://mcb-m6.bioreg.kyushu-u.ac.jp/M3/20110318/F50598/2401/1", 73.78)</f>
        <v>73.78</v>
      </c>
      <c r="E2856" s="2">
        <v>53.11</v>
      </c>
      <c r="F2856" s="2">
        <v>2</v>
      </c>
      <c r="G2856" s="2" t="s">
        <v>10</v>
      </c>
    </row>
    <row r="2857" spans="1:7" x14ac:dyDescent="0.2">
      <c r="A2857" s="2" t="s">
        <v>3245</v>
      </c>
      <c r="B2857" s="2" t="s">
        <v>25</v>
      </c>
      <c r="C2857" s="2">
        <v>1106.441</v>
      </c>
      <c r="D2857" s="2">
        <f>HYPERLINK("http://mcb-m6.bioreg.kyushu-u.ac.jp/M3/20110318/F50596/2579/1", 75.31)</f>
        <v>75.31</v>
      </c>
      <c r="E2857" s="2">
        <v>22.48</v>
      </c>
      <c r="F2857" s="2">
        <v>2</v>
      </c>
      <c r="G2857" s="2" t="s">
        <v>10</v>
      </c>
    </row>
    <row r="2858" spans="1:7" x14ac:dyDescent="0.2">
      <c r="A2858" s="2" t="s">
        <v>3245</v>
      </c>
      <c r="B2858" s="2" t="s">
        <v>25</v>
      </c>
      <c r="C2858" s="2">
        <v>1106.3989999999999</v>
      </c>
      <c r="D2858" s="2">
        <f>HYPERLINK("http://mcb-m6.bioreg.kyushu-u.ac.jp/M3/20110318/F50622/2555/1", 75.54)</f>
        <v>75.540000000000006</v>
      </c>
      <c r="E2858" s="2">
        <v>35.4</v>
      </c>
      <c r="F2858" s="2">
        <v>2</v>
      </c>
      <c r="G2858" s="2" t="s">
        <v>10</v>
      </c>
    </row>
    <row r="2859" spans="1:7" x14ac:dyDescent="0.2">
      <c r="A2859" s="2" t="s">
        <v>3245</v>
      </c>
      <c r="B2859" s="2" t="s">
        <v>25</v>
      </c>
      <c r="C2859" s="2">
        <v>1106.6289999999999</v>
      </c>
      <c r="D2859" s="2">
        <f>HYPERLINK("http://mcb-m6.bioreg.kyushu-u.ac.jp/M3/20110318/F50622/2560/1", 75.81)</f>
        <v>75.81</v>
      </c>
      <c r="E2859" s="2">
        <v>28.23</v>
      </c>
      <c r="F2859" s="2">
        <v>2</v>
      </c>
      <c r="G2859" s="2" t="s">
        <v>10</v>
      </c>
    </row>
    <row r="2860" spans="1:7" x14ac:dyDescent="0.2">
      <c r="A2860" s="2" t="s">
        <v>3245</v>
      </c>
      <c r="B2860" s="2" t="s">
        <v>25</v>
      </c>
      <c r="C2860" s="2">
        <v>1106.069</v>
      </c>
      <c r="D2860" s="2">
        <f>HYPERLINK("http://mcb-m6.bioreg.kyushu-u.ac.jp/M3/20110318/F50616/2751/1", 76.46)</f>
        <v>76.459999999999994</v>
      </c>
      <c r="E2860" s="2">
        <v>38.49</v>
      </c>
      <c r="F2860" s="2">
        <v>2</v>
      </c>
      <c r="G2860" s="2" t="s">
        <v>10</v>
      </c>
    </row>
    <row r="2861" spans="1:7" x14ac:dyDescent="0.2">
      <c r="A2861" s="2" t="s">
        <v>3245</v>
      </c>
      <c r="B2861" s="2" t="s">
        <v>25</v>
      </c>
      <c r="C2861" s="2">
        <v>1105.7750000000001</v>
      </c>
      <c r="D2861" s="2">
        <f>HYPERLINK("http://mcb-m6.bioreg.kyushu-u.ac.jp/M3/20110318/F50617/2477/1", 77.6)</f>
        <v>77.599999999999994</v>
      </c>
      <c r="E2861" s="2">
        <v>45.19</v>
      </c>
      <c r="F2861" s="2">
        <v>2</v>
      </c>
      <c r="G2861" s="2" t="s">
        <v>10</v>
      </c>
    </row>
    <row r="2862" spans="1:7" x14ac:dyDescent="0.2">
      <c r="A2862" s="2" t="s">
        <v>3245</v>
      </c>
      <c r="B2862" s="2" t="s">
        <v>25</v>
      </c>
      <c r="C2862" s="2">
        <v>1105.9590000000001</v>
      </c>
      <c r="D2862" s="2">
        <f>HYPERLINK("http://mcb-m6.bioreg.kyushu-u.ac.jp/M3/20110318/F50612/2407/1", 82.66)</f>
        <v>82.66</v>
      </c>
      <c r="E2862" s="2">
        <v>25.76</v>
      </c>
      <c r="F2862" s="2">
        <v>2</v>
      </c>
      <c r="G2862" s="2" t="s">
        <v>10</v>
      </c>
    </row>
    <row r="2863" spans="1:7" x14ac:dyDescent="0.2">
      <c r="A2863" s="2" t="s">
        <v>3245</v>
      </c>
      <c r="B2863" s="2" t="s">
        <v>25</v>
      </c>
      <c r="C2863" s="2">
        <v>1106.4580000000001</v>
      </c>
      <c r="D2863" s="2">
        <f>HYPERLINK("http://mcb-m6.bioreg.kyushu-u.ac.jp/M3/20110318/F50612/2412/1", 83.68)</f>
        <v>83.68</v>
      </c>
      <c r="E2863" s="2">
        <v>36.229999999999997</v>
      </c>
      <c r="F2863" s="2">
        <v>2</v>
      </c>
      <c r="G2863" s="2" t="s">
        <v>10</v>
      </c>
    </row>
    <row r="2864" spans="1:7" x14ac:dyDescent="0.2">
      <c r="A2864" s="2" t="s">
        <v>3245</v>
      </c>
      <c r="B2864" s="2" t="s">
        <v>25</v>
      </c>
      <c r="C2864" s="2">
        <v>737.49210000000005</v>
      </c>
      <c r="D2864" s="2">
        <f>HYPERLINK("http://mcb-m6.bioreg.kyushu-u.ac.jp/M3/20110318/F50612/2403/1", 84.17)</f>
        <v>84.17</v>
      </c>
      <c r="E2864" s="2">
        <v>63.44</v>
      </c>
      <c r="F2864" s="2">
        <v>3</v>
      </c>
      <c r="G2864" s="2" t="s">
        <v>10</v>
      </c>
    </row>
    <row r="2865" spans="1:7" x14ac:dyDescent="0.2">
      <c r="A2865" s="2" t="s">
        <v>3245</v>
      </c>
      <c r="B2865" s="2" t="s">
        <v>25</v>
      </c>
      <c r="C2865" s="2">
        <v>1106.0060000000001</v>
      </c>
      <c r="D2865" s="2">
        <f>HYPERLINK("http://mcb-m6.bioreg.kyushu-u.ac.jp/M3/20110318/F50598/2408/1", 85.57)</f>
        <v>85.57</v>
      </c>
      <c r="E2865" s="2">
        <v>49.46</v>
      </c>
      <c r="F2865" s="2">
        <v>2</v>
      </c>
      <c r="G2865" s="2" t="s">
        <v>10</v>
      </c>
    </row>
    <row r="2866" spans="1:7" x14ac:dyDescent="0.2">
      <c r="A2866" s="2" t="s">
        <v>3245</v>
      </c>
      <c r="B2866" s="2" t="s">
        <v>25</v>
      </c>
      <c r="C2866" s="2">
        <v>1105.6420000000001</v>
      </c>
      <c r="D2866" s="2">
        <f>HYPERLINK("http://mcb-m6.bioreg.kyushu-u.ac.jp/M3/20110318/F50600/2406/1", 90.03)</f>
        <v>90.03</v>
      </c>
      <c r="E2866" s="2">
        <v>64.84</v>
      </c>
      <c r="F2866" s="2">
        <v>2</v>
      </c>
      <c r="G2866" s="2" t="s">
        <v>10</v>
      </c>
    </row>
    <row r="2867" spans="1:7" x14ac:dyDescent="0.2">
      <c r="A2867" s="2" t="s">
        <v>3245</v>
      </c>
      <c r="B2867" s="2" t="s">
        <v>25</v>
      </c>
      <c r="C2867" s="2">
        <v>1105.558</v>
      </c>
      <c r="D2867" s="2">
        <f>HYPERLINK("http://mcb-m6.bioreg.kyushu-u.ac.jp/M3/20110318/F50599/2518/1", 90.71)</f>
        <v>90.71</v>
      </c>
      <c r="E2867" s="2">
        <v>65.739999999999995</v>
      </c>
      <c r="F2867" s="2">
        <v>2</v>
      </c>
      <c r="G2867" s="2" t="s">
        <v>10</v>
      </c>
    </row>
    <row r="2868" spans="1:7" x14ac:dyDescent="0.2">
      <c r="A2868" s="2" t="s">
        <v>3245</v>
      </c>
      <c r="B2868" s="2" t="s">
        <v>25</v>
      </c>
      <c r="C2868" s="2">
        <v>1105.972</v>
      </c>
      <c r="D2868" s="2">
        <f>HYPERLINK("http://mcb-m6.bioreg.kyushu-u.ac.jp/M3/20110318/F50622/2549/1", 94.08)</f>
        <v>94.08</v>
      </c>
      <c r="E2868" s="2">
        <v>49.4</v>
      </c>
      <c r="F2868" s="2">
        <v>2</v>
      </c>
      <c r="G2868" s="2" t="s">
        <v>10</v>
      </c>
    </row>
    <row r="2869" spans="1:7" x14ac:dyDescent="0.2">
      <c r="A2869" s="2" t="s">
        <v>3245</v>
      </c>
      <c r="B2869" s="2" t="s">
        <v>25</v>
      </c>
      <c r="C2869" s="2">
        <v>1106.337</v>
      </c>
      <c r="D2869" s="2">
        <f>HYPERLINK("http://mcb-m6.bioreg.kyushu-u.ac.jp/M3/20110318/F50617/2485/1", 99.98)</f>
        <v>99.98</v>
      </c>
      <c r="E2869" s="2">
        <v>49.66</v>
      </c>
      <c r="F2869" s="2">
        <v>2</v>
      </c>
      <c r="G2869" s="2" t="s">
        <v>10</v>
      </c>
    </row>
    <row r="2870" spans="1:7" x14ac:dyDescent="0.2">
      <c r="A2870" s="2" t="s">
        <v>3245</v>
      </c>
      <c r="B2870" s="2" t="s">
        <v>25</v>
      </c>
      <c r="C2870" s="2">
        <v>1106.308</v>
      </c>
      <c r="D2870" s="2">
        <f>HYPERLINK("http://mcb-m6.bioreg.kyushu-u.ac.jp/M3/20110318/F50617/2483/1", 100.46)</f>
        <v>100.46</v>
      </c>
      <c r="E2870" s="2">
        <v>35.58</v>
      </c>
      <c r="F2870" s="2">
        <v>2</v>
      </c>
      <c r="G2870" s="2" t="s">
        <v>10</v>
      </c>
    </row>
    <row r="2871" spans="1:7" x14ac:dyDescent="0.2">
      <c r="A2871" s="2" t="s">
        <v>3245</v>
      </c>
      <c r="B2871" s="2" t="s">
        <v>25</v>
      </c>
      <c r="C2871" s="2">
        <v>1105.8879999999999</v>
      </c>
      <c r="D2871" s="2">
        <f>HYPERLINK("http://mcb-m6.bioreg.kyushu-u.ac.jp/M3/20110318/F50611/2653/1", 103.25)</f>
        <v>103.25</v>
      </c>
      <c r="E2871" s="2">
        <v>73.86</v>
      </c>
      <c r="F2871" s="2">
        <v>2</v>
      </c>
      <c r="G2871" s="2" t="s">
        <v>10</v>
      </c>
    </row>
    <row r="2872" spans="1:7" x14ac:dyDescent="0.2">
      <c r="A2872" s="2" t="s">
        <v>3245</v>
      </c>
      <c r="B2872" s="2" t="s">
        <v>25</v>
      </c>
      <c r="C2872" s="2">
        <v>1105.7719999999999</v>
      </c>
      <c r="D2872" s="2">
        <f>HYPERLINK("http://mcb-m6.bioreg.kyushu-u.ac.jp/M3/20110318/F50617/2476/1", 108.55)</f>
        <v>108.55</v>
      </c>
      <c r="E2872" s="2">
        <v>82.84</v>
      </c>
      <c r="F2872" s="2">
        <v>2</v>
      </c>
      <c r="G2872" s="2" t="s">
        <v>10</v>
      </c>
    </row>
    <row r="2873" spans="1:7" x14ac:dyDescent="0.2">
      <c r="A2873" s="2" t="s">
        <v>3245</v>
      </c>
      <c r="B2873" s="2" t="s">
        <v>25</v>
      </c>
      <c r="C2873" s="2">
        <v>1106.44</v>
      </c>
      <c r="D2873" s="2">
        <f>HYPERLINK("http://mcb-m6.bioreg.kyushu-u.ac.jp/M3/20110418/F50977/3691/1", 36.78)</f>
        <v>36.78</v>
      </c>
      <c r="E2873" s="2">
        <v>11.02</v>
      </c>
      <c r="F2873" s="2">
        <v>2</v>
      </c>
      <c r="G2873" s="2" t="s">
        <v>11</v>
      </c>
    </row>
    <row r="2874" spans="1:7" x14ac:dyDescent="0.2">
      <c r="A2874" s="2" t="s">
        <v>3245</v>
      </c>
      <c r="B2874" s="2" t="s">
        <v>25</v>
      </c>
      <c r="C2874" s="2">
        <v>1106.4960000000001</v>
      </c>
      <c r="D2874" s="2">
        <f>HYPERLINK("http://mcb-m6.bioreg.kyushu-u.ac.jp/M3/20110418/F50977/3694/1", 37.08)</f>
        <v>37.08</v>
      </c>
      <c r="E2874" s="2">
        <v>19.329999999999998</v>
      </c>
      <c r="F2874" s="2">
        <v>2</v>
      </c>
      <c r="G2874" s="2" t="s">
        <v>11</v>
      </c>
    </row>
    <row r="2875" spans="1:7" x14ac:dyDescent="0.2">
      <c r="A2875" s="2" t="s">
        <v>3245</v>
      </c>
      <c r="B2875" s="2" t="s">
        <v>25</v>
      </c>
      <c r="C2875" s="2">
        <v>737.54409999999996</v>
      </c>
      <c r="D2875" s="2">
        <f>HYPERLINK("http://mcb-m6.bioreg.kyushu-u.ac.jp/M3/20110418/F50975/3767/1", 38.63)</f>
        <v>38.630000000000003</v>
      </c>
      <c r="E2875" s="2">
        <v>24.68</v>
      </c>
      <c r="F2875" s="2">
        <v>3</v>
      </c>
      <c r="G2875" s="2" t="s">
        <v>11</v>
      </c>
    </row>
    <row r="2876" spans="1:7" x14ac:dyDescent="0.2">
      <c r="A2876" s="2" t="s">
        <v>3245</v>
      </c>
      <c r="B2876" s="2" t="s">
        <v>25</v>
      </c>
      <c r="C2876" s="2">
        <v>1106.4469999999999</v>
      </c>
      <c r="D2876" s="2">
        <f>HYPERLINK("http://mcb-m6.bioreg.kyushu-u.ac.jp/M3/20110418/F50976/3599/1", 39.84)</f>
        <v>39.840000000000003</v>
      </c>
      <c r="E2876" s="2">
        <v>10.83</v>
      </c>
      <c r="F2876" s="2">
        <v>2</v>
      </c>
      <c r="G2876" s="2" t="s">
        <v>11</v>
      </c>
    </row>
    <row r="2877" spans="1:7" x14ac:dyDescent="0.2">
      <c r="A2877" s="2" t="s">
        <v>3245</v>
      </c>
      <c r="B2877" s="2" t="s">
        <v>25</v>
      </c>
      <c r="C2877" s="2">
        <v>1106.413</v>
      </c>
      <c r="D2877" s="2">
        <f>HYPERLINK("http://mcb-m6.bioreg.kyushu-u.ac.jp/M3/20110418/F50976/3596/1", 40.3)</f>
        <v>40.299999999999997</v>
      </c>
      <c r="E2877" s="2">
        <v>14.29</v>
      </c>
      <c r="F2877" s="2">
        <v>2</v>
      </c>
      <c r="G2877" s="2" t="s">
        <v>11</v>
      </c>
    </row>
    <row r="2878" spans="1:7" x14ac:dyDescent="0.2">
      <c r="A2878" s="2" t="s">
        <v>3245</v>
      </c>
      <c r="B2878" s="2" t="s">
        <v>25</v>
      </c>
      <c r="C2878" s="2">
        <v>1106.4459999999999</v>
      </c>
      <c r="D2878" s="2">
        <f>HYPERLINK("http://mcb-m6.bioreg.kyushu-u.ac.jp/M3/20110418/F50977/3692/1", 40.44)</f>
        <v>40.44</v>
      </c>
      <c r="E2878" s="2">
        <v>21.26</v>
      </c>
      <c r="F2878" s="2">
        <v>2</v>
      </c>
      <c r="G2878" s="2" t="s">
        <v>11</v>
      </c>
    </row>
    <row r="2879" spans="1:7" x14ac:dyDescent="0.2">
      <c r="A2879" s="2" t="s">
        <v>3245</v>
      </c>
      <c r="B2879" s="2" t="s">
        <v>25</v>
      </c>
      <c r="C2879" s="2">
        <v>1105.8420000000001</v>
      </c>
      <c r="D2879" s="2">
        <f>HYPERLINK("http://mcb-m6.bioreg.kyushu-u.ac.jp/M3/20110418/F50969/2818/1", 40.92)</f>
        <v>40.92</v>
      </c>
      <c r="E2879" s="2">
        <v>20.93</v>
      </c>
      <c r="F2879" s="2">
        <v>2</v>
      </c>
      <c r="G2879" s="2" t="s">
        <v>11</v>
      </c>
    </row>
    <row r="2880" spans="1:7" x14ac:dyDescent="0.2">
      <c r="A2880" s="2" t="s">
        <v>3245</v>
      </c>
      <c r="B2880" s="2" t="s">
        <v>25</v>
      </c>
      <c r="C2880" s="2">
        <v>1106.472</v>
      </c>
      <c r="D2880" s="2">
        <f>HYPERLINK("http://mcb-m6.bioreg.kyushu-u.ac.jp/M3/20110418/F50979/3143/1", 41)</f>
        <v>41</v>
      </c>
      <c r="E2880" s="2">
        <v>23.3</v>
      </c>
      <c r="F2880" s="2">
        <v>2</v>
      </c>
      <c r="G2880" s="2" t="s">
        <v>11</v>
      </c>
    </row>
    <row r="2881" spans="1:7" x14ac:dyDescent="0.2">
      <c r="A2881" s="2" t="s">
        <v>3245</v>
      </c>
      <c r="B2881" s="2" t="s">
        <v>25</v>
      </c>
      <c r="C2881" s="2">
        <v>1106.44</v>
      </c>
      <c r="D2881" s="2">
        <f>HYPERLINK("http://mcb-m6.bioreg.kyushu-u.ac.jp/M3/20110418/F50978/3474/1", 43.52)</f>
        <v>43.52</v>
      </c>
      <c r="E2881" s="2">
        <v>16.03</v>
      </c>
      <c r="F2881" s="2">
        <v>2</v>
      </c>
      <c r="G2881" s="2" t="s">
        <v>11</v>
      </c>
    </row>
    <row r="2882" spans="1:7" x14ac:dyDescent="0.2">
      <c r="A2882" s="2" t="s">
        <v>3245</v>
      </c>
      <c r="B2882" s="2" t="s">
        <v>25</v>
      </c>
      <c r="C2882" s="2">
        <v>1105.962</v>
      </c>
      <c r="D2882" s="2">
        <f>HYPERLINK("http://mcb-m6.bioreg.kyushu-u.ac.jp/M3/20110418/F50977/3683/1", 43.76)</f>
        <v>43.76</v>
      </c>
      <c r="E2882" s="2">
        <v>26.35</v>
      </c>
      <c r="F2882" s="2">
        <v>2</v>
      </c>
      <c r="G2882" s="2" t="s">
        <v>11</v>
      </c>
    </row>
    <row r="2883" spans="1:7" x14ac:dyDescent="0.2">
      <c r="A2883" s="2" t="s">
        <v>3245</v>
      </c>
      <c r="B2883" s="2" t="s">
        <v>25</v>
      </c>
      <c r="C2883" s="2">
        <v>1106.5139999999999</v>
      </c>
      <c r="D2883" s="2">
        <f>HYPERLINK("http://mcb-m6.bioreg.kyushu-u.ac.jp/M3/20110418/F50978/3477/1", 43.85)</f>
        <v>43.85</v>
      </c>
      <c r="E2883" s="2">
        <v>27.82</v>
      </c>
      <c r="F2883" s="2">
        <v>2</v>
      </c>
      <c r="G2883" s="2" t="s">
        <v>11</v>
      </c>
    </row>
    <row r="2884" spans="1:7" x14ac:dyDescent="0.2">
      <c r="A2884" s="2" t="s">
        <v>3245</v>
      </c>
      <c r="B2884" s="2" t="s">
        <v>25</v>
      </c>
      <c r="C2884" s="2">
        <v>1106.367</v>
      </c>
      <c r="D2884" s="2">
        <f>HYPERLINK("http://mcb-m6.bioreg.kyushu-u.ac.jp/M3/20110418/F50974/3508/1", 44.63)</f>
        <v>44.63</v>
      </c>
      <c r="E2884" s="2">
        <v>17.649999999999999</v>
      </c>
      <c r="F2884" s="2">
        <v>2</v>
      </c>
      <c r="G2884" s="2" t="s">
        <v>11</v>
      </c>
    </row>
    <row r="2885" spans="1:7" x14ac:dyDescent="0.2">
      <c r="A2885" s="2" t="s">
        <v>3245</v>
      </c>
      <c r="B2885" s="2" t="s">
        <v>25</v>
      </c>
      <c r="C2885" s="2">
        <v>1105.8699999999999</v>
      </c>
      <c r="D2885" s="2">
        <f>HYPERLINK("http://mcb-m6.bioreg.kyushu-u.ac.jp/M3/20110418/F50972/2906/1", 44.66)</f>
        <v>44.66</v>
      </c>
      <c r="E2885" s="2">
        <v>19.16</v>
      </c>
      <c r="F2885" s="2">
        <v>2</v>
      </c>
      <c r="G2885" s="2" t="s">
        <v>11</v>
      </c>
    </row>
    <row r="2886" spans="1:7" x14ac:dyDescent="0.2">
      <c r="A2886" s="2" t="s">
        <v>3245</v>
      </c>
      <c r="B2886" s="2" t="s">
        <v>25</v>
      </c>
      <c r="C2886" s="2">
        <v>1106.44</v>
      </c>
      <c r="D2886" s="2">
        <f>HYPERLINK("http://mcb-m6.bioreg.kyushu-u.ac.jp/M3/20110418/F50976/3597/1", 45.12)</f>
        <v>45.12</v>
      </c>
      <c r="E2886" s="2">
        <v>24.69</v>
      </c>
      <c r="F2886" s="2">
        <v>2</v>
      </c>
      <c r="G2886" s="2" t="s">
        <v>11</v>
      </c>
    </row>
    <row r="2887" spans="1:7" x14ac:dyDescent="0.2">
      <c r="A2887" s="2" t="s">
        <v>3245</v>
      </c>
      <c r="B2887" s="2" t="s">
        <v>25</v>
      </c>
      <c r="C2887" s="2">
        <v>1105.9590000000001</v>
      </c>
      <c r="D2887" s="2">
        <f>HYPERLINK("http://mcb-m6.bioreg.kyushu-u.ac.jp/M3/20110418/F50975/3770/1", 45.55)</f>
        <v>45.55</v>
      </c>
      <c r="E2887" s="2">
        <v>27.61</v>
      </c>
      <c r="F2887" s="2">
        <v>2</v>
      </c>
      <c r="G2887" s="2" t="s">
        <v>11</v>
      </c>
    </row>
    <row r="2888" spans="1:7" x14ac:dyDescent="0.2">
      <c r="A2888" s="2" t="s">
        <v>3245</v>
      </c>
      <c r="B2888" s="2" t="s">
        <v>25</v>
      </c>
      <c r="C2888" s="2">
        <v>1105.9590000000001</v>
      </c>
      <c r="D2888" s="2">
        <f>HYPERLINK("http://mcb-m6.bioreg.kyushu-u.ac.jp/M3/20110418/F50999/2865/1", 45.68)</f>
        <v>45.68</v>
      </c>
      <c r="E2888" s="2">
        <v>28.71</v>
      </c>
      <c r="F2888" s="2">
        <v>2</v>
      </c>
      <c r="G2888" s="2" t="s">
        <v>11</v>
      </c>
    </row>
    <row r="2889" spans="1:7" x14ac:dyDescent="0.2">
      <c r="A2889" s="2" t="s">
        <v>3245</v>
      </c>
      <c r="B2889" s="2" t="s">
        <v>25</v>
      </c>
      <c r="C2889" s="2">
        <v>737.93679999999995</v>
      </c>
      <c r="D2889" s="2">
        <f>HYPERLINK("http://mcb-m6.bioreg.kyushu-u.ac.jp/M3/20110418/F50977/3690/1", 45.71)</f>
        <v>45.71</v>
      </c>
      <c r="E2889" s="2">
        <v>22.8</v>
      </c>
      <c r="F2889" s="2">
        <v>3</v>
      </c>
      <c r="G2889" s="2" t="s">
        <v>11</v>
      </c>
    </row>
    <row r="2890" spans="1:7" x14ac:dyDescent="0.2">
      <c r="A2890" s="2" t="s">
        <v>3245</v>
      </c>
      <c r="B2890" s="2" t="s">
        <v>25</v>
      </c>
      <c r="C2890" s="2">
        <v>1106.492</v>
      </c>
      <c r="D2890" s="2">
        <f>HYPERLINK("http://mcb-m6.bioreg.kyushu-u.ac.jp/M3/20110418/F50977/3693/1", 45.72)</f>
        <v>45.72</v>
      </c>
      <c r="E2890" s="2">
        <v>19.23</v>
      </c>
      <c r="F2890" s="2">
        <v>2</v>
      </c>
      <c r="G2890" s="2" t="s">
        <v>11</v>
      </c>
    </row>
    <row r="2891" spans="1:7" x14ac:dyDescent="0.2">
      <c r="A2891" s="2" t="s">
        <v>3245</v>
      </c>
      <c r="B2891" s="2" t="s">
        <v>25</v>
      </c>
      <c r="C2891" s="2">
        <v>1106.4280000000001</v>
      </c>
      <c r="D2891" s="2">
        <f>HYPERLINK("http://mcb-m6.bioreg.kyushu-u.ac.jp/M3/20110418/F50975/3778/1", 45.74)</f>
        <v>45.74</v>
      </c>
      <c r="E2891" s="2">
        <v>18.41</v>
      </c>
      <c r="F2891" s="2">
        <v>2</v>
      </c>
      <c r="G2891" s="2" t="s">
        <v>11</v>
      </c>
    </row>
    <row r="2892" spans="1:7" x14ac:dyDescent="0.2">
      <c r="A2892" s="2" t="s">
        <v>3245</v>
      </c>
      <c r="B2892" s="2" t="s">
        <v>25</v>
      </c>
      <c r="C2892" s="2">
        <v>1106.405</v>
      </c>
      <c r="D2892" s="2">
        <f>HYPERLINK("http://mcb-m6.bioreg.kyushu-u.ac.jp/M3/20110418/F50975/3777/1", 46.45)</f>
        <v>46.45</v>
      </c>
      <c r="E2892" s="2">
        <v>27</v>
      </c>
      <c r="F2892" s="2">
        <v>2</v>
      </c>
      <c r="G2892" s="2" t="s">
        <v>11</v>
      </c>
    </row>
    <row r="2893" spans="1:7" x14ac:dyDescent="0.2">
      <c r="A2893" s="2" t="s">
        <v>3245</v>
      </c>
      <c r="B2893" s="2" t="s">
        <v>25</v>
      </c>
      <c r="C2893" s="2">
        <v>1105.912</v>
      </c>
      <c r="D2893" s="2">
        <f>HYPERLINK("http://mcb-m6.bioreg.kyushu-u.ac.jp/M3/20110418/F50977/3681/1", 46.48)</f>
        <v>46.48</v>
      </c>
      <c r="E2893" s="2">
        <v>25.88</v>
      </c>
      <c r="F2893" s="2">
        <v>2</v>
      </c>
      <c r="G2893" s="2" t="s">
        <v>11</v>
      </c>
    </row>
    <row r="2894" spans="1:7" x14ac:dyDescent="0.2">
      <c r="A2894" s="2" t="s">
        <v>3245</v>
      </c>
      <c r="B2894" s="2" t="s">
        <v>25</v>
      </c>
      <c r="C2894" s="2">
        <v>1106.5</v>
      </c>
      <c r="D2894" s="2">
        <f>HYPERLINK("http://mcb-m6.bioreg.kyushu-u.ac.jp/M3/20110418/F50978/3476/1", 46.62)</f>
        <v>46.62</v>
      </c>
      <c r="E2894" s="2">
        <v>23.57</v>
      </c>
      <c r="F2894" s="2">
        <v>2</v>
      </c>
      <c r="G2894" s="2" t="s">
        <v>11</v>
      </c>
    </row>
    <row r="2895" spans="1:7" x14ac:dyDescent="0.2">
      <c r="A2895" s="2" t="s">
        <v>3245</v>
      </c>
      <c r="B2895" s="2" t="s">
        <v>25</v>
      </c>
      <c r="C2895" s="2">
        <v>1106.402</v>
      </c>
      <c r="D2895" s="2">
        <f>HYPERLINK("http://mcb-m6.bioreg.kyushu-u.ac.jp/M3/20110418/F50996/3162/1", 48.15)</f>
        <v>48.15</v>
      </c>
      <c r="E2895" s="2">
        <v>24.06</v>
      </c>
      <c r="F2895" s="2">
        <v>2</v>
      </c>
      <c r="G2895" s="2" t="s">
        <v>11</v>
      </c>
    </row>
    <row r="2896" spans="1:7" x14ac:dyDescent="0.2">
      <c r="A2896" s="2" t="s">
        <v>3245</v>
      </c>
      <c r="B2896" s="2" t="s">
        <v>25</v>
      </c>
      <c r="C2896" s="2">
        <v>1106.4880000000001</v>
      </c>
      <c r="D2896" s="2">
        <f>HYPERLINK("http://mcb-m6.bioreg.kyushu-u.ac.jp/M3/20110418/F50978/3475/1", 48.29)</f>
        <v>48.29</v>
      </c>
      <c r="E2896" s="2">
        <v>19.87</v>
      </c>
      <c r="F2896" s="2">
        <v>2</v>
      </c>
      <c r="G2896" s="2" t="s">
        <v>11</v>
      </c>
    </row>
    <row r="2897" spans="1:7" x14ac:dyDescent="0.2">
      <c r="A2897" s="2" t="s">
        <v>3245</v>
      </c>
      <c r="B2897" s="2" t="s">
        <v>25</v>
      </c>
      <c r="C2897" s="2">
        <v>1105.8420000000001</v>
      </c>
      <c r="D2897" s="2">
        <f>HYPERLINK("http://mcb-m6.bioreg.kyushu-u.ac.jp/M3/20110418/F50973/2849/1", 48.38)</f>
        <v>48.38</v>
      </c>
      <c r="E2897" s="2">
        <v>20.22</v>
      </c>
      <c r="F2897" s="2">
        <v>2</v>
      </c>
      <c r="G2897" s="2" t="s">
        <v>11</v>
      </c>
    </row>
    <row r="2898" spans="1:7" x14ac:dyDescent="0.2">
      <c r="A2898" s="2" t="s">
        <v>3245</v>
      </c>
      <c r="B2898" s="2" t="s">
        <v>25</v>
      </c>
      <c r="C2898" s="2">
        <v>1106.1379999999999</v>
      </c>
      <c r="D2898" s="2">
        <f>HYPERLINK("http://mcb-m6.bioreg.kyushu-u.ac.jp/M3/20110418/F50974/3505/1", 50.44)</f>
        <v>50.44</v>
      </c>
      <c r="E2898" s="2">
        <v>28.31</v>
      </c>
      <c r="F2898" s="2">
        <v>2</v>
      </c>
      <c r="G2898" s="2" t="s">
        <v>11</v>
      </c>
    </row>
    <row r="2899" spans="1:7" x14ac:dyDescent="0.2">
      <c r="A2899" s="2" t="s">
        <v>3245</v>
      </c>
      <c r="B2899" s="2" t="s">
        <v>25</v>
      </c>
      <c r="C2899" s="2">
        <v>1106.2719999999999</v>
      </c>
      <c r="D2899" s="2">
        <f>HYPERLINK("http://mcb-m6.bioreg.kyushu-u.ac.jp/M3/20110418/F50973/2850/1", 50.49)</f>
        <v>50.49</v>
      </c>
      <c r="E2899" s="2">
        <v>26.77</v>
      </c>
      <c r="F2899" s="2">
        <v>2</v>
      </c>
      <c r="G2899" s="2" t="s">
        <v>11</v>
      </c>
    </row>
    <row r="2900" spans="1:7" x14ac:dyDescent="0.2">
      <c r="A2900" s="2" t="s">
        <v>3245</v>
      </c>
      <c r="B2900" s="2" t="s">
        <v>25</v>
      </c>
      <c r="C2900" s="2">
        <v>1106.5509999999999</v>
      </c>
      <c r="D2900" s="2">
        <f>HYPERLINK("http://mcb-m6.bioreg.kyushu-u.ac.jp/M3/20110418/F50979/3146/1", 50.97)</f>
        <v>50.97</v>
      </c>
      <c r="E2900" s="2">
        <v>19.86</v>
      </c>
      <c r="F2900" s="2">
        <v>2</v>
      </c>
      <c r="G2900" s="2" t="s">
        <v>11</v>
      </c>
    </row>
    <row r="2901" spans="1:7" x14ac:dyDescent="0.2">
      <c r="A2901" s="2" t="s">
        <v>3245</v>
      </c>
      <c r="B2901" s="2" t="s">
        <v>25</v>
      </c>
      <c r="C2901" s="2">
        <v>1106.3430000000001</v>
      </c>
      <c r="D2901" s="2">
        <f>HYPERLINK("http://mcb-m6.bioreg.kyushu-u.ac.jp/M3/20110418/F50973/2851/1", 51.34)</f>
        <v>51.34</v>
      </c>
      <c r="E2901" s="2">
        <v>33.33</v>
      </c>
      <c r="F2901" s="2">
        <v>2</v>
      </c>
      <c r="G2901" s="2" t="s">
        <v>11</v>
      </c>
    </row>
    <row r="2902" spans="1:7" x14ac:dyDescent="0.2">
      <c r="A2902" s="2" t="s">
        <v>3245</v>
      </c>
      <c r="B2902" s="2" t="s">
        <v>25</v>
      </c>
      <c r="C2902" s="2">
        <v>1105.864</v>
      </c>
      <c r="D2902" s="2">
        <f>HYPERLINK("http://mcb-m6.bioreg.kyushu-u.ac.jp/M3/20110418/F50977/3679/1", 51.76)</f>
        <v>51.76</v>
      </c>
      <c r="E2902" s="2">
        <v>26.71</v>
      </c>
      <c r="F2902" s="2">
        <v>2</v>
      </c>
      <c r="G2902" s="2" t="s">
        <v>11</v>
      </c>
    </row>
    <row r="2903" spans="1:7" x14ac:dyDescent="0.2">
      <c r="A2903" s="2" t="s">
        <v>3245</v>
      </c>
      <c r="B2903" s="2" t="s">
        <v>25</v>
      </c>
      <c r="C2903" s="2">
        <v>1106.364</v>
      </c>
      <c r="D2903" s="2">
        <f>HYPERLINK("http://mcb-m6.bioreg.kyushu-u.ac.jp/M3/20110418/F50977/3689/1", 52.12)</f>
        <v>52.12</v>
      </c>
      <c r="E2903" s="2">
        <v>23.98</v>
      </c>
      <c r="F2903" s="2">
        <v>2</v>
      </c>
      <c r="G2903" s="2" t="s">
        <v>11</v>
      </c>
    </row>
    <row r="2904" spans="1:7" x14ac:dyDescent="0.2">
      <c r="A2904" s="2" t="s">
        <v>3245</v>
      </c>
      <c r="B2904" s="2" t="s">
        <v>25</v>
      </c>
      <c r="C2904" s="2">
        <v>1106.4390000000001</v>
      </c>
      <c r="D2904" s="2">
        <f>HYPERLINK("http://mcb-m6.bioreg.kyushu-u.ac.jp/M3/20110418/F50975/3779/1", 52.21)</f>
        <v>52.21</v>
      </c>
      <c r="E2904" s="2">
        <v>27.58</v>
      </c>
      <c r="F2904" s="2">
        <v>2</v>
      </c>
      <c r="G2904" s="2" t="s">
        <v>11</v>
      </c>
    </row>
    <row r="2905" spans="1:7" x14ac:dyDescent="0.2">
      <c r="A2905" s="2" t="s">
        <v>3245</v>
      </c>
      <c r="B2905" s="2" t="s">
        <v>25</v>
      </c>
      <c r="C2905" s="2">
        <v>1106.6079999999999</v>
      </c>
      <c r="D2905" s="2">
        <f>HYPERLINK("http://mcb-m6.bioreg.kyushu-u.ac.jp/M3/20110418/F50973/2852/1", 52.48)</f>
        <v>52.48</v>
      </c>
      <c r="E2905" s="2">
        <v>29.22</v>
      </c>
      <c r="F2905" s="2">
        <v>2</v>
      </c>
      <c r="G2905" s="2" t="s">
        <v>11</v>
      </c>
    </row>
    <row r="2906" spans="1:7" x14ac:dyDescent="0.2">
      <c r="A2906" s="2" t="s">
        <v>3245</v>
      </c>
      <c r="B2906" s="2" t="s">
        <v>25</v>
      </c>
      <c r="C2906" s="2">
        <v>1105.9680000000001</v>
      </c>
      <c r="D2906" s="2">
        <f>HYPERLINK("http://mcb-m6.bioreg.kyushu-u.ac.jp/M3/20110418/F50979/3135/1", 52.79)</f>
        <v>52.79</v>
      </c>
      <c r="E2906" s="2">
        <v>32.380000000000003</v>
      </c>
      <c r="F2906" s="2">
        <v>2</v>
      </c>
      <c r="G2906" s="2" t="s">
        <v>11</v>
      </c>
    </row>
    <row r="2907" spans="1:7" x14ac:dyDescent="0.2">
      <c r="A2907" s="2" t="s">
        <v>3245</v>
      </c>
      <c r="B2907" s="2" t="s">
        <v>25</v>
      </c>
      <c r="C2907" s="2">
        <v>1105.944</v>
      </c>
      <c r="D2907" s="2">
        <f>HYPERLINK("http://mcb-m6.bioreg.kyushu-u.ac.jp/M3/20110418/F50978/3470/1", 53.56)</f>
        <v>53.56</v>
      </c>
      <c r="E2907" s="2">
        <v>26.56</v>
      </c>
      <c r="F2907" s="2">
        <v>2</v>
      </c>
      <c r="G2907" s="2" t="s">
        <v>11</v>
      </c>
    </row>
    <row r="2908" spans="1:7" x14ac:dyDescent="0.2">
      <c r="A2908" s="2" t="s">
        <v>3245</v>
      </c>
      <c r="B2908" s="2" t="s">
        <v>25</v>
      </c>
      <c r="C2908" s="2">
        <v>1106.3789999999999</v>
      </c>
      <c r="D2908" s="2">
        <f>HYPERLINK("http://mcb-m6.bioreg.kyushu-u.ac.jp/M3/20110418/F50969/2822/1", 54.11)</f>
        <v>54.11</v>
      </c>
      <c r="E2908" s="2">
        <v>23.05</v>
      </c>
      <c r="F2908" s="2">
        <v>2</v>
      </c>
      <c r="G2908" s="2" t="s">
        <v>11</v>
      </c>
    </row>
    <row r="2909" spans="1:7" x14ac:dyDescent="0.2">
      <c r="A2909" s="2" t="s">
        <v>3245</v>
      </c>
      <c r="B2909" s="2" t="s">
        <v>25</v>
      </c>
      <c r="C2909" s="2">
        <v>1106.383</v>
      </c>
      <c r="D2909" s="2">
        <f>HYPERLINK("http://mcb-m6.bioreg.kyushu-u.ac.jp/M3/20110418/F50975/3776/1", 54.34)</f>
        <v>54.34</v>
      </c>
      <c r="E2909" s="2">
        <v>28.19</v>
      </c>
      <c r="F2909" s="2">
        <v>2</v>
      </c>
      <c r="G2909" s="2" t="s">
        <v>11</v>
      </c>
    </row>
    <row r="2910" spans="1:7" x14ac:dyDescent="0.2">
      <c r="A2910" s="2" t="s">
        <v>3245</v>
      </c>
      <c r="B2910" s="2" t="s">
        <v>25</v>
      </c>
      <c r="C2910" s="2">
        <v>1106.4670000000001</v>
      </c>
      <c r="D2910" s="2">
        <f>HYPERLINK("http://mcb-m6.bioreg.kyushu-u.ac.jp/M3/20110418/F50979/3142/1", 54.96)</f>
        <v>54.96</v>
      </c>
      <c r="E2910" s="2">
        <v>12.52</v>
      </c>
      <c r="F2910" s="2">
        <v>2</v>
      </c>
      <c r="G2910" s="2" t="s">
        <v>11</v>
      </c>
    </row>
    <row r="2911" spans="1:7" x14ac:dyDescent="0.2">
      <c r="A2911" s="2" t="s">
        <v>3245</v>
      </c>
      <c r="B2911" s="2" t="s">
        <v>25</v>
      </c>
      <c r="C2911" s="2">
        <v>1106.1690000000001</v>
      </c>
      <c r="D2911" s="2">
        <f>HYPERLINK("http://mcb-m6.bioreg.kyushu-u.ac.jp/M3/20110418/F50976/3594/1", 55.42)</f>
        <v>55.42</v>
      </c>
      <c r="E2911" s="2">
        <v>25.59</v>
      </c>
      <c r="F2911" s="2">
        <v>2</v>
      </c>
      <c r="G2911" s="2" t="s">
        <v>11</v>
      </c>
    </row>
    <row r="2912" spans="1:7" x14ac:dyDescent="0.2">
      <c r="A2912" s="2" t="s">
        <v>3245</v>
      </c>
      <c r="B2912" s="2" t="s">
        <v>25</v>
      </c>
      <c r="C2912" s="2">
        <v>1106.0419999999999</v>
      </c>
      <c r="D2912" s="2">
        <f>HYPERLINK("http://mcb-m6.bioreg.kyushu-u.ac.jp/M3/20110418/F50978/3472/1", 57.5)</f>
        <v>57.5</v>
      </c>
      <c r="E2912" s="2">
        <v>28.29</v>
      </c>
      <c r="F2912" s="2">
        <v>2</v>
      </c>
      <c r="G2912" s="2" t="s">
        <v>11</v>
      </c>
    </row>
    <row r="2913" spans="1:7" x14ac:dyDescent="0.2">
      <c r="A2913" s="2" t="s">
        <v>3245</v>
      </c>
      <c r="B2913" s="2" t="s">
        <v>25</v>
      </c>
      <c r="C2913" s="2">
        <v>1105.931</v>
      </c>
      <c r="D2913" s="2">
        <f>HYPERLINK("http://mcb-m6.bioreg.kyushu-u.ac.jp/M3/20110418/F50978/3468/1", 57.6)</f>
        <v>57.6</v>
      </c>
      <c r="E2913" s="2">
        <v>41.13</v>
      </c>
      <c r="F2913" s="2">
        <v>2</v>
      </c>
      <c r="G2913" s="2" t="s">
        <v>11</v>
      </c>
    </row>
    <row r="2914" spans="1:7" x14ac:dyDescent="0.2">
      <c r="A2914" s="2" t="s">
        <v>3245</v>
      </c>
      <c r="B2914" s="2" t="s">
        <v>25</v>
      </c>
      <c r="C2914" s="2">
        <v>1106.5039999999999</v>
      </c>
      <c r="D2914" s="2">
        <f>HYPERLINK("http://mcb-m6.bioreg.kyushu-u.ac.jp/M3/20110418/F50979/3145/1", 58.45)</f>
        <v>58.45</v>
      </c>
      <c r="E2914" s="2">
        <v>43.08</v>
      </c>
      <c r="F2914" s="2">
        <v>2</v>
      </c>
      <c r="G2914" s="2" t="s">
        <v>11</v>
      </c>
    </row>
    <row r="2915" spans="1:7" x14ac:dyDescent="0.2">
      <c r="A2915" s="2" t="s">
        <v>3245</v>
      </c>
      <c r="B2915" s="2" t="s">
        <v>25</v>
      </c>
      <c r="C2915" s="2">
        <v>1106.4459999999999</v>
      </c>
      <c r="D2915" s="2">
        <f>HYPERLINK("http://mcb-m6.bioreg.kyushu-u.ac.jp/M3/20110418/F50975/3780/1", 59.02)</f>
        <v>59.02</v>
      </c>
      <c r="E2915" s="2">
        <v>29.06</v>
      </c>
      <c r="F2915" s="2">
        <v>2</v>
      </c>
      <c r="G2915" s="2" t="s">
        <v>11</v>
      </c>
    </row>
    <row r="2916" spans="1:7" x14ac:dyDescent="0.2">
      <c r="A2916" s="2" t="s">
        <v>3245</v>
      </c>
      <c r="B2916" s="2" t="s">
        <v>25</v>
      </c>
      <c r="C2916" s="2">
        <v>1105.8699999999999</v>
      </c>
      <c r="D2916" s="2">
        <f>HYPERLINK("http://mcb-m6.bioreg.kyushu-u.ac.jp/M3/20110418/F50976/3587/1", 59.23)</f>
        <v>59.23</v>
      </c>
      <c r="E2916" s="2">
        <v>40.58</v>
      </c>
      <c r="F2916" s="2">
        <v>2</v>
      </c>
      <c r="G2916" s="2" t="s">
        <v>11</v>
      </c>
    </row>
    <row r="2917" spans="1:7" x14ac:dyDescent="0.2">
      <c r="A2917" s="2" t="s">
        <v>3245</v>
      </c>
      <c r="B2917" s="2" t="s">
        <v>25</v>
      </c>
      <c r="C2917" s="2">
        <v>738.07619999999997</v>
      </c>
      <c r="D2917" s="2">
        <f>HYPERLINK("http://mcb-m6.bioreg.kyushu-u.ac.jp/M3/20110418/F50976/3603/1", 60.33)</f>
        <v>60.33</v>
      </c>
      <c r="E2917" s="2">
        <v>36.979999999999997</v>
      </c>
      <c r="F2917" s="2">
        <v>3</v>
      </c>
      <c r="G2917" s="2" t="s">
        <v>11</v>
      </c>
    </row>
    <row r="2918" spans="1:7" x14ac:dyDescent="0.2">
      <c r="A2918" s="2" t="s">
        <v>3245</v>
      </c>
      <c r="B2918" s="2" t="s">
        <v>25</v>
      </c>
      <c r="C2918" s="2">
        <v>738.02890000000002</v>
      </c>
      <c r="D2918" s="2">
        <f>HYPERLINK("http://mcb-m6.bioreg.kyushu-u.ac.jp/M3/20110418/F50976/3602/1", 61.03)</f>
        <v>61.03</v>
      </c>
      <c r="E2918" s="2">
        <v>36.28</v>
      </c>
      <c r="F2918" s="2">
        <v>3</v>
      </c>
      <c r="G2918" s="2" t="s">
        <v>11</v>
      </c>
    </row>
    <row r="2919" spans="1:7" x14ac:dyDescent="0.2">
      <c r="A2919" s="2" t="s">
        <v>3245</v>
      </c>
      <c r="B2919" s="2" t="s">
        <v>25</v>
      </c>
      <c r="C2919" s="2">
        <v>1106.3520000000001</v>
      </c>
      <c r="D2919" s="2">
        <f>HYPERLINK("http://mcb-m6.bioreg.kyushu-u.ac.jp/M3/20110418/F50969/2821/1", 61.88)</f>
        <v>61.88</v>
      </c>
      <c r="E2919" s="2">
        <v>34.79</v>
      </c>
      <c r="F2919" s="2">
        <v>2</v>
      </c>
      <c r="G2919" s="2" t="s">
        <v>11</v>
      </c>
    </row>
    <row r="2920" spans="1:7" x14ac:dyDescent="0.2">
      <c r="A2920" s="2" t="s">
        <v>3245</v>
      </c>
      <c r="B2920" s="2" t="s">
        <v>25</v>
      </c>
      <c r="C2920" s="2">
        <v>1105.8610000000001</v>
      </c>
      <c r="D2920" s="2">
        <f>HYPERLINK("http://mcb-m6.bioreg.kyushu-u.ac.jp/M3/20110418/F50977/3678/1", 61.91)</f>
        <v>61.91</v>
      </c>
      <c r="E2920" s="2">
        <v>39.97</v>
      </c>
      <c r="F2920" s="2">
        <v>2</v>
      </c>
      <c r="G2920" s="2" t="s">
        <v>11</v>
      </c>
    </row>
    <row r="2921" spans="1:7" x14ac:dyDescent="0.2">
      <c r="A2921" s="2" t="s">
        <v>3245</v>
      </c>
      <c r="B2921" s="2" t="s">
        <v>25</v>
      </c>
      <c r="C2921" s="2">
        <v>1106.4459999999999</v>
      </c>
      <c r="D2921" s="2">
        <f>HYPERLINK("http://mcb-m6.bioreg.kyushu-u.ac.jp/M3/20110418/F50976/3598/1", 62.4)</f>
        <v>62.4</v>
      </c>
      <c r="E2921" s="2">
        <v>27.97</v>
      </c>
      <c r="F2921" s="2">
        <v>2</v>
      </c>
      <c r="G2921" s="2" t="s">
        <v>11</v>
      </c>
    </row>
    <row r="2922" spans="1:7" x14ac:dyDescent="0.2">
      <c r="A2922" s="2" t="s">
        <v>3245</v>
      </c>
      <c r="B2922" s="2" t="s">
        <v>25</v>
      </c>
      <c r="C2922" s="2">
        <v>1106.0830000000001</v>
      </c>
      <c r="D2922" s="2">
        <f>HYPERLINK("http://mcb-m6.bioreg.kyushu-u.ac.jp/M3/20110418/F50969/2819/1", 62.61)</f>
        <v>62.61</v>
      </c>
      <c r="E2922" s="2">
        <v>33.36</v>
      </c>
      <c r="F2922" s="2">
        <v>2</v>
      </c>
      <c r="G2922" s="2" t="s">
        <v>11</v>
      </c>
    </row>
    <row r="2923" spans="1:7" x14ac:dyDescent="0.2">
      <c r="A2923" s="2" t="s">
        <v>3245</v>
      </c>
      <c r="B2923" s="2" t="s">
        <v>25</v>
      </c>
      <c r="C2923" s="2">
        <v>1105.923</v>
      </c>
      <c r="D2923" s="2">
        <f>HYPERLINK("http://mcb-m6.bioreg.kyushu-u.ac.jp/M3/20110418/F50977/3682/1", 62.72)</f>
        <v>62.72</v>
      </c>
      <c r="E2923" s="2">
        <v>44.87</v>
      </c>
      <c r="F2923" s="2">
        <v>2</v>
      </c>
      <c r="G2923" s="2" t="s">
        <v>11</v>
      </c>
    </row>
    <row r="2924" spans="1:7" x14ac:dyDescent="0.2">
      <c r="A2924" s="2" t="s">
        <v>3245</v>
      </c>
      <c r="B2924" s="2" t="s">
        <v>25</v>
      </c>
      <c r="C2924" s="2">
        <v>1106.538</v>
      </c>
      <c r="D2924" s="2">
        <f>HYPERLINK("http://mcb-m6.bioreg.kyushu-u.ac.jp/M3/20110418/F50996/3164/1", 63.08)</f>
        <v>63.08</v>
      </c>
      <c r="E2924" s="2">
        <v>27.32</v>
      </c>
      <c r="F2924" s="2">
        <v>2</v>
      </c>
      <c r="G2924" s="2" t="s">
        <v>11</v>
      </c>
    </row>
    <row r="2925" spans="1:7" x14ac:dyDescent="0.2">
      <c r="A2925" s="2" t="s">
        <v>3245</v>
      </c>
      <c r="B2925" s="2" t="s">
        <v>25</v>
      </c>
      <c r="C2925" s="2">
        <v>1105.8979999999999</v>
      </c>
      <c r="D2925" s="2">
        <f>HYPERLINK("http://mcb-m6.bioreg.kyushu-u.ac.jp/M3/20110418/F50978/3467/1", 63.5)</f>
        <v>63.5</v>
      </c>
      <c r="E2925" s="2">
        <v>34.22</v>
      </c>
      <c r="F2925" s="2">
        <v>2</v>
      </c>
      <c r="G2925" s="2" t="s">
        <v>11</v>
      </c>
    </row>
    <row r="2926" spans="1:7" x14ac:dyDescent="0.2">
      <c r="A2926" s="2" t="s">
        <v>3245</v>
      </c>
      <c r="B2926" s="2" t="s">
        <v>25</v>
      </c>
      <c r="C2926" s="2">
        <v>1105.9290000000001</v>
      </c>
      <c r="D2926" s="2">
        <f>HYPERLINK("http://mcb-m6.bioreg.kyushu-u.ac.jp/M3/20110418/F50979/3134/1", 64.54)</f>
        <v>64.540000000000006</v>
      </c>
      <c r="E2926" s="2">
        <v>49.74</v>
      </c>
      <c r="F2926" s="2">
        <v>2</v>
      </c>
      <c r="G2926" s="2" t="s">
        <v>11</v>
      </c>
    </row>
    <row r="2927" spans="1:7" x14ac:dyDescent="0.2">
      <c r="A2927" s="2" t="s">
        <v>3245</v>
      </c>
      <c r="B2927" s="2" t="s">
        <v>25</v>
      </c>
      <c r="C2927" s="2">
        <v>1105.903</v>
      </c>
      <c r="D2927" s="2">
        <f>HYPERLINK("http://mcb-m6.bioreg.kyushu-u.ac.jp/M3/20110418/F50976/3589/1", 64.61)</f>
        <v>64.61</v>
      </c>
      <c r="E2927" s="2">
        <v>40.840000000000003</v>
      </c>
      <c r="F2927" s="2">
        <v>2</v>
      </c>
      <c r="G2927" s="2" t="s">
        <v>11</v>
      </c>
    </row>
    <row r="2928" spans="1:7" x14ac:dyDescent="0.2">
      <c r="A2928" s="2" t="s">
        <v>3245</v>
      </c>
      <c r="B2928" s="2" t="s">
        <v>25</v>
      </c>
      <c r="C2928" s="2">
        <v>1106.271</v>
      </c>
      <c r="D2928" s="2">
        <f>HYPERLINK("http://mcb-m6.bioreg.kyushu-u.ac.jp/M3/20110418/F50974/3507/1", 66.8)</f>
        <v>66.8</v>
      </c>
      <c r="E2928" s="2">
        <v>29.64</v>
      </c>
      <c r="F2928" s="2">
        <v>2</v>
      </c>
      <c r="G2928" s="2" t="s">
        <v>11</v>
      </c>
    </row>
    <row r="2929" spans="1:7" x14ac:dyDescent="0.2">
      <c r="A2929" s="2" t="s">
        <v>3245</v>
      </c>
      <c r="B2929" s="2" t="s">
        <v>25</v>
      </c>
      <c r="C2929" s="2">
        <v>737.84950000000003</v>
      </c>
      <c r="D2929" s="2">
        <f>HYPERLINK("http://mcb-m6.bioreg.kyushu-u.ac.jp/M3/20110418/F50969/2820/1", 66.85)</f>
        <v>66.849999999999994</v>
      </c>
      <c r="E2929" s="2">
        <v>32.76</v>
      </c>
      <c r="F2929" s="2">
        <v>3</v>
      </c>
      <c r="G2929" s="2" t="s">
        <v>11</v>
      </c>
    </row>
    <row r="2930" spans="1:7" x14ac:dyDescent="0.2">
      <c r="A2930" s="2" t="s">
        <v>3245</v>
      </c>
      <c r="B2930" s="2" t="s">
        <v>25</v>
      </c>
      <c r="C2930" s="2">
        <v>1105.9639999999999</v>
      </c>
      <c r="D2930" s="2">
        <f>HYPERLINK("http://mcb-m6.bioreg.kyushu-u.ac.jp/M3/20110418/F50976/3592/1", 67.12)</f>
        <v>67.12</v>
      </c>
      <c r="E2930" s="2">
        <v>42.98</v>
      </c>
      <c r="F2930" s="2">
        <v>2</v>
      </c>
      <c r="G2930" s="2" t="s">
        <v>11</v>
      </c>
    </row>
    <row r="2931" spans="1:7" x14ac:dyDescent="0.2">
      <c r="A2931" s="2" t="s">
        <v>3245</v>
      </c>
      <c r="B2931" s="2" t="s">
        <v>25</v>
      </c>
      <c r="C2931" s="2">
        <v>1106.296</v>
      </c>
      <c r="D2931" s="2">
        <f>HYPERLINK("http://mcb-m6.bioreg.kyushu-u.ac.jp/M3/20110418/F50971/2496/1", 70.47)</f>
        <v>70.47</v>
      </c>
      <c r="E2931" s="2">
        <v>39.46</v>
      </c>
      <c r="F2931" s="2">
        <v>2</v>
      </c>
      <c r="G2931" s="2" t="s">
        <v>11</v>
      </c>
    </row>
    <row r="2932" spans="1:7" x14ac:dyDescent="0.2">
      <c r="A2932" s="2" t="s">
        <v>3245</v>
      </c>
      <c r="B2932" s="2" t="s">
        <v>25</v>
      </c>
      <c r="C2932" s="2">
        <v>1105.8689999999999</v>
      </c>
      <c r="D2932" s="2">
        <f>HYPERLINK("http://mcb-m6.bioreg.kyushu-u.ac.jp/M3/20110418/F50974/3501/1", 70.82)</f>
        <v>70.819999999999993</v>
      </c>
      <c r="E2932" s="2">
        <v>40.090000000000003</v>
      </c>
      <c r="F2932" s="2">
        <v>2</v>
      </c>
      <c r="G2932" s="2" t="s">
        <v>11</v>
      </c>
    </row>
    <row r="2933" spans="1:7" x14ac:dyDescent="0.2">
      <c r="A2933" s="2" t="s">
        <v>3245</v>
      </c>
      <c r="B2933" s="2" t="s">
        <v>25</v>
      </c>
      <c r="C2933" s="2">
        <v>1106.3900000000001</v>
      </c>
      <c r="D2933" s="2">
        <f>HYPERLINK("http://mcb-m6.bioreg.kyushu-u.ac.jp/M3/20110418/F50974/3509/1", 73.07)</f>
        <v>73.069999999999993</v>
      </c>
      <c r="E2933" s="2">
        <v>31.69</v>
      </c>
      <c r="F2933" s="2">
        <v>2</v>
      </c>
      <c r="G2933" s="2" t="s">
        <v>11</v>
      </c>
    </row>
    <row r="2934" spans="1:7" x14ac:dyDescent="0.2">
      <c r="A2934" s="2" t="s">
        <v>3245</v>
      </c>
      <c r="B2934" s="2" t="s">
        <v>25</v>
      </c>
      <c r="C2934" s="2">
        <v>1105.972</v>
      </c>
      <c r="D2934" s="2">
        <f>HYPERLINK("http://mcb-m6.bioreg.kyushu-u.ac.jp/M3/20110418/F50979/3137/1", 75.19)</f>
        <v>75.19</v>
      </c>
      <c r="E2934" s="2">
        <v>37.49</v>
      </c>
      <c r="F2934" s="2">
        <v>2</v>
      </c>
      <c r="G2934" s="2" t="s">
        <v>11</v>
      </c>
    </row>
    <row r="2935" spans="1:7" x14ac:dyDescent="0.2">
      <c r="A2935" s="2" t="s">
        <v>3245</v>
      </c>
      <c r="B2935" s="2" t="s">
        <v>25</v>
      </c>
      <c r="C2935" s="2">
        <v>1106.4870000000001</v>
      </c>
      <c r="D2935" s="2">
        <f>HYPERLINK("http://mcb-m6.bioreg.kyushu-u.ac.jp/M3/20110418/F50979/3144/1", 76.71)</f>
        <v>76.709999999999994</v>
      </c>
      <c r="E2935" s="2">
        <v>26.58</v>
      </c>
      <c r="F2935" s="2">
        <v>2</v>
      </c>
      <c r="G2935" s="2" t="s">
        <v>11</v>
      </c>
    </row>
    <row r="2936" spans="1:7" x14ac:dyDescent="0.2">
      <c r="A2936" s="2" t="s">
        <v>3245</v>
      </c>
      <c r="B2936" s="2" t="s">
        <v>25</v>
      </c>
      <c r="C2936" s="2">
        <v>1106.021</v>
      </c>
      <c r="D2936" s="2">
        <f>HYPERLINK("http://mcb-m6.bioreg.kyushu-u.ac.jp/M3/20110418/F50974/3503/1", 78.75)</f>
        <v>78.75</v>
      </c>
      <c r="E2936" s="2">
        <v>40.770000000000003</v>
      </c>
      <c r="F2936" s="2">
        <v>2</v>
      </c>
      <c r="G2936" s="2" t="s">
        <v>11</v>
      </c>
    </row>
    <row r="2937" spans="1:7" x14ac:dyDescent="0.2">
      <c r="A2937" s="2" t="s">
        <v>3245</v>
      </c>
      <c r="B2937" s="2" t="s">
        <v>25</v>
      </c>
      <c r="C2937" s="2">
        <v>1105.865</v>
      </c>
      <c r="D2937" s="2">
        <f>HYPERLINK("http://mcb-m6.bioreg.kyushu-u.ac.jp/M3/20110418/F50971/2495/1", 79.08)</f>
        <v>79.08</v>
      </c>
      <c r="E2937" s="2">
        <v>58.1</v>
      </c>
      <c r="F2937" s="2">
        <v>2</v>
      </c>
      <c r="G2937" s="2" t="s">
        <v>11</v>
      </c>
    </row>
    <row r="2938" spans="1:7" x14ac:dyDescent="0.2">
      <c r="A2938" s="2" t="s">
        <v>3245</v>
      </c>
      <c r="B2938" s="2" t="s">
        <v>25</v>
      </c>
      <c r="C2938" s="2">
        <v>1105.7719999999999</v>
      </c>
      <c r="D2938" s="2">
        <f>HYPERLINK("http://mcb-m6.bioreg.kyushu-u.ac.jp/M3/20110418/F50970/2437/1", 82.82)</f>
        <v>82.82</v>
      </c>
      <c r="E2938" s="2">
        <v>58.6</v>
      </c>
      <c r="F2938" s="2">
        <v>2</v>
      </c>
      <c r="G2938" s="2" t="s">
        <v>11</v>
      </c>
    </row>
    <row r="2939" spans="1:7" x14ac:dyDescent="0.2">
      <c r="A2939" s="2" t="s">
        <v>3245</v>
      </c>
      <c r="B2939" s="2" t="s">
        <v>25</v>
      </c>
      <c r="C2939" s="2">
        <v>1105.903</v>
      </c>
      <c r="D2939" s="2">
        <f>HYPERLINK("http://mcb-m6.bioreg.kyushu-u.ac.jp/M3/20110418/F50977/3680/1", 84.65)</f>
        <v>84.65</v>
      </c>
      <c r="E2939" s="2">
        <v>66</v>
      </c>
      <c r="F2939" s="2">
        <v>2</v>
      </c>
      <c r="G2939" s="2" t="s">
        <v>11</v>
      </c>
    </row>
    <row r="2940" spans="1:7" x14ac:dyDescent="0.2">
      <c r="A2940" s="2" t="s">
        <v>3245</v>
      </c>
      <c r="B2940" s="2" t="s">
        <v>25</v>
      </c>
      <c r="C2940" s="2">
        <v>1106.1320000000001</v>
      </c>
      <c r="D2940" s="2">
        <f>HYPERLINK("http://mcb-m6.bioreg.kyushu-u.ac.jp/M3/20110418/F50970/2438/1", 85.79)</f>
        <v>85.79</v>
      </c>
      <c r="E2940" s="2">
        <v>40.380000000000003</v>
      </c>
      <c r="F2940" s="2">
        <v>2</v>
      </c>
      <c r="G2940" s="2" t="s">
        <v>11</v>
      </c>
    </row>
    <row r="2941" spans="1:7" x14ac:dyDescent="0.2">
      <c r="A2941" s="2" t="s">
        <v>3245</v>
      </c>
      <c r="B2941" s="2" t="s">
        <v>25</v>
      </c>
      <c r="C2941" s="2">
        <v>1106.298</v>
      </c>
      <c r="D2941" s="2">
        <f>HYPERLINK("http://mcb-m6.bioreg.kyushu-u.ac.jp/M3/20110418/F50970/2439/1", 86.57)</f>
        <v>86.57</v>
      </c>
      <c r="E2941" s="2">
        <v>43.31</v>
      </c>
      <c r="F2941" s="2">
        <v>2</v>
      </c>
      <c r="G2941" s="2" t="s">
        <v>11</v>
      </c>
    </row>
    <row r="2942" spans="1:7" x14ac:dyDescent="0.2">
      <c r="A2942" s="2" t="s">
        <v>3245</v>
      </c>
      <c r="B2942" s="2" t="s">
        <v>25</v>
      </c>
      <c r="C2942" s="2">
        <v>1105.913</v>
      </c>
      <c r="D2942" s="2">
        <f>HYPERLINK("http://mcb-m6.bioreg.kyushu-u.ac.jp/M3/20110418/F50972/2907/1", 86.92)</f>
        <v>86.92</v>
      </c>
      <c r="E2942" s="2">
        <v>62.16</v>
      </c>
      <c r="F2942" s="2">
        <v>2</v>
      </c>
      <c r="G2942" s="2" t="s">
        <v>11</v>
      </c>
    </row>
    <row r="2943" spans="1:7" x14ac:dyDescent="0.2">
      <c r="A2943" s="2" t="s">
        <v>3245</v>
      </c>
      <c r="B2943" s="2" t="s">
        <v>25</v>
      </c>
      <c r="C2943" s="2">
        <v>1105.5440000000001</v>
      </c>
      <c r="D2943" s="2">
        <f>HYPERLINK("http://mcb-m6.bioreg.kyushu-u.ac.jp/M3/20110418/F50996/3159/1", 86.97)</f>
        <v>86.97</v>
      </c>
      <c r="E2943" s="2">
        <v>65.900000000000006</v>
      </c>
      <c r="F2943" s="2">
        <v>2</v>
      </c>
      <c r="G2943" s="2" t="s">
        <v>11</v>
      </c>
    </row>
    <row r="2944" spans="1:7" x14ac:dyDescent="0.2">
      <c r="A2944" s="2" t="s">
        <v>3245</v>
      </c>
      <c r="B2944" s="2" t="s">
        <v>25</v>
      </c>
      <c r="C2944" s="2">
        <v>1105.8630000000001</v>
      </c>
      <c r="D2944" s="2">
        <f>HYPERLINK("http://mcb-m6.bioreg.kyushu-u.ac.jp/M3/20110418/F50974/3499/1", 89.07)</f>
        <v>89.07</v>
      </c>
      <c r="E2944" s="2">
        <v>68.650000000000006</v>
      </c>
      <c r="F2944" s="2">
        <v>2</v>
      </c>
      <c r="G2944" s="2" t="s">
        <v>11</v>
      </c>
    </row>
    <row r="2945" spans="1:7" x14ac:dyDescent="0.2">
      <c r="A2945" s="2" t="s">
        <v>3245</v>
      </c>
      <c r="B2945" s="2" t="s">
        <v>25</v>
      </c>
      <c r="C2945" s="2">
        <v>1105.788</v>
      </c>
      <c r="D2945" s="2">
        <f>HYPERLINK("http://mcb-m6.bioreg.kyushu-u.ac.jp/M3/20110418/F50971/2494/1", 89.76)</f>
        <v>89.76</v>
      </c>
      <c r="E2945" s="2">
        <v>64.790000000000006</v>
      </c>
      <c r="F2945" s="2">
        <v>2</v>
      </c>
      <c r="G2945" s="2" t="s">
        <v>11</v>
      </c>
    </row>
    <row r="2946" spans="1:7" x14ac:dyDescent="0.2">
      <c r="A2946" s="2" t="s">
        <v>3245</v>
      </c>
      <c r="B2946" s="2" t="s">
        <v>25</v>
      </c>
      <c r="C2946" s="2">
        <v>1105.771</v>
      </c>
      <c r="D2946" s="2">
        <f>HYPERLINK("http://mcb-m6.bioreg.kyushu-u.ac.jp/M3/20110418/F50970/2436/1", 94.3)</f>
        <v>94.3</v>
      </c>
      <c r="E2946" s="2">
        <v>65.209999999999994</v>
      </c>
      <c r="F2946" s="2">
        <v>2</v>
      </c>
      <c r="G2946" s="2" t="s">
        <v>11</v>
      </c>
    </row>
    <row r="2947" spans="1:7" x14ac:dyDescent="0.2">
      <c r="A2947" s="2" t="s">
        <v>3245</v>
      </c>
      <c r="B2947" s="2" t="s">
        <v>25</v>
      </c>
      <c r="C2947" s="2">
        <v>1105.56</v>
      </c>
      <c r="D2947" s="2">
        <f>HYPERLINK("http://mcb-m6.bioreg.kyushu-u.ac.jp/M3/20110418/F50969/2817/1", 96.44)</f>
        <v>96.44</v>
      </c>
      <c r="E2947" s="2">
        <v>65.040000000000006</v>
      </c>
      <c r="F2947" s="2">
        <v>2</v>
      </c>
      <c r="G2947" s="2" t="s">
        <v>11</v>
      </c>
    </row>
    <row r="2948" spans="1:7" x14ac:dyDescent="0.2">
      <c r="A2948" s="2" t="s">
        <v>3245</v>
      </c>
      <c r="B2948" s="2" t="s">
        <v>25</v>
      </c>
      <c r="C2948" s="2">
        <v>1105.8240000000001</v>
      </c>
      <c r="D2948" s="2">
        <f>HYPERLINK("http://mcb-m6.bioreg.kyushu-u.ac.jp/M3/20110418/F50982/2681/1", 35.11)</f>
        <v>35.11</v>
      </c>
      <c r="E2948" s="2">
        <v>28.65</v>
      </c>
      <c r="F2948" s="2">
        <v>2</v>
      </c>
      <c r="G2948" s="2" t="s">
        <v>12</v>
      </c>
    </row>
    <row r="2949" spans="1:7" x14ac:dyDescent="0.2">
      <c r="A2949" s="2" t="s">
        <v>3245</v>
      </c>
      <c r="B2949" s="2" t="s">
        <v>25</v>
      </c>
      <c r="C2949" s="2">
        <v>737.60979999999995</v>
      </c>
      <c r="D2949" s="2">
        <f>HYPERLINK("http://mcb-m6.bioreg.kyushu-u.ac.jp/M3/20110418/F50983/2576/1", 35.16)</f>
        <v>35.159999999999997</v>
      </c>
      <c r="E2949" s="2">
        <v>11.57</v>
      </c>
      <c r="F2949" s="2">
        <v>3</v>
      </c>
      <c r="G2949" s="2" t="s">
        <v>12</v>
      </c>
    </row>
    <row r="2950" spans="1:7" x14ac:dyDescent="0.2">
      <c r="A2950" s="2" t="s">
        <v>3245</v>
      </c>
      <c r="B2950" s="2" t="s">
        <v>25</v>
      </c>
      <c r="C2950" s="2">
        <v>737.72590000000002</v>
      </c>
      <c r="D2950" s="2">
        <f>HYPERLINK("http://mcb-m6.bioreg.kyushu-u.ac.jp/M3/20110418/F50988/2989/1", 35.33)</f>
        <v>35.33</v>
      </c>
      <c r="E2950" s="2">
        <v>15.67</v>
      </c>
      <c r="F2950" s="2">
        <v>3</v>
      </c>
      <c r="G2950" s="2" t="s">
        <v>12</v>
      </c>
    </row>
    <row r="2951" spans="1:7" x14ac:dyDescent="0.2">
      <c r="A2951" s="2" t="s">
        <v>3245</v>
      </c>
      <c r="B2951" s="2" t="s">
        <v>25</v>
      </c>
      <c r="C2951" s="2">
        <v>1105.9849999999999</v>
      </c>
      <c r="D2951" s="2">
        <f>HYPERLINK("http://mcb-m6.bioreg.kyushu-u.ac.jp/M3/20110418/F50980/2743/1", 35.4)</f>
        <v>35.4</v>
      </c>
      <c r="E2951" s="2">
        <v>25.14</v>
      </c>
      <c r="F2951" s="2">
        <v>2</v>
      </c>
      <c r="G2951" s="2" t="s">
        <v>12</v>
      </c>
    </row>
    <row r="2952" spans="1:7" x14ac:dyDescent="0.2">
      <c r="A2952" s="2" t="s">
        <v>3245</v>
      </c>
      <c r="B2952" s="2" t="s">
        <v>25</v>
      </c>
      <c r="C2952" s="2">
        <v>1105.8499999999999</v>
      </c>
      <c r="D2952" s="2">
        <f>HYPERLINK("http://mcb-m6.bioreg.kyushu-u.ac.jp/M3/20110418/F50986/3090/1", 35.78)</f>
        <v>35.78</v>
      </c>
      <c r="E2952" s="2">
        <v>16.899999999999999</v>
      </c>
      <c r="F2952" s="2">
        <v>2</v>
      </c>
      <c r="G2952" s="2" t="s">
        <v>12</v>
      </c>
    </row>
    <row r="2953" spans="1:7" x14ac:dyDescent="0.2">
      <c r="A2953" s="2" t="s">
        <v>3245</v>
      </c>
      <c r="B2953" s="2" t="s">
        <v>25</v>
      </c>
      <c r="C2953" s="2">
        <v>1106.0809999999999</v>
      </c>
      <c r="D2953" s="2">
        <f>HYPERLINK("http://mcb-m6.bioreg.kyushu-u.ac.jp/M3/20110418/F50997/3124/1", 36.1)</f>
        <v>36.1</v>
      </c>
      <c r="E2953" s="2">
        <v>16.04</v>
      </c>
      <c r="F2953" s="2">
        <v>2</v>
      </c>
      <c r="G2953" s="2" t="s">
        <v>12</v>
      </c>
    </row>
    <row r="2954" spans="1:7" x14ac:dyDescent="0.2">
      <c r="A2954" s="2" t="s">
        <v>3245</v>
      </c>
      <c r="B2954" s="2" t="s">
        <v>25</v>
      </c>
      <c r="C2954" s="2">
        <v>1105.912</v>
      </c>
      <c r="D2954" s="2">
        <f>HYPERLINK("http://mcb-m6.bioreg.kyushu-u.ac.jp/M3/20110418/F50983/2577/1", 36.12)</f>
        <v>36.119999999999997</v>
      </c>
      <c r="E2954" s="2">
        <v>13.86</v>
      </c>
      <c r="F2954" s="2">
        <v>2</v>
      </c>
      <c r="G2954" s="2" t="s">
        <v>12</v>
      </c>
    </row>
    <row r="2955" spans="1:7" x14ac:dyDescent="0.2">
      <c r="A2955" s="2" t="s">
        <v>3245</v>
      </c>
      <c r="B2955" s="2" t="s">
        <v>25</v>
      </c>
      <c r="C2955" s="2">
        <v>1106.18</v>
      </c>
      <c r="D2955" s="2">
        <f>HYPERLINK("http://mcb-m6.bioreg.kyushu-u.ac.jp/M3/20110418/F50988/2991/1", 36.74)</f>
        <v>36.74</v>
      </c>
      <c r="E2955" s="2">
        <v>13.79</v>
      </c>
      <c r="F2955" s="2">
        <v>2</v>
      </c>
      <c r="G2955" s="2" t="s">
        <v>12</v>
      </c>
    </row>
    <row r="2956" spans="1:7" x14ac:dyDescent="0.2">
      <c r="A2956" s="2" t="s">
        <v>3245</v>
      </c>
      <c r="B2956" s="2" t="s">
        <v>25</v>
      </c>
      <c r="C2956" s="2">
        <v>1106.4159999999999</v>
      </c>
      <c r="D2956" s="2">
        <f>HYPERLINK("http://mcb-m6.bioreg.kyushu-u.ac.jp/M3/20110418/F50997/3126/1", 37.08)</f>
        <v>37.08</v>
      </c>
      <c r="E2956" s="2">
        <v>16.79</v>
      </c>
      <c r="F2956" s="2">
        <v>2</v>
      </c>
      <c r="G2956" s="2" t="s">
        <v>12</v>
      </c>
    </row>
    <row r="2957" spans="1:7" x14ac:dyDescent="0.2">
      <c r="A2957" s="2" t="s">
        <v>3245</v>
      </c>
      <c r="B2957" s="2" t="s">
        <v>25</v>
      </c>
      <c r="C2957" s="2">
        <v>1106.5409999999999</v>
      </c>
      <c r="D2957" s="2">
        <f>HYPERLINK("http://mcb-m6.bioreg.kyushu-u.ac.jp/M3/20110418/F50983/2587/1", 37.08)</f>
        <v>37.08</v>
      </c>
      <c r="E2957" s="2">
        <v>10.48</v>
      </c>
      <c r="F2957" s="2">
        <v>2</v>
      </c>
      <c r="G2957" s="2" t="s">
        <v>12</v>
      </c>
    </row>
    <row r="2958" spans="1:7" x14ac:dyDescent="0.2">
      <c r="A2958" s="2" t="s">
        <v>3245</v>
      </c>
      <c r="B2958" s="2" t="s">
        <v>25</v>
      </c>
      <c r="C2958" s="2">
        <v>1105.922</v>
      </c>
      <c r="D2958" s="2">
        <f>HYPERLINK("http://mcb-m6.bioreg.kyushu-u.ac.jp/M3/20110418/F50983/2578/1", 37.3)</f>
        <v>37.299999999999997</v>
      </c>
      <c r="E2958" s="2">
        <v>22.07</v>
      </c>
      <c r="F2958" s="2">
        <v>2</v>
      </c>
      <c r="G2958" s="2" t="s">
        <v>12</v>
      </c>
    </row>
    <row r="2959" spans="1:7" x14ac:dyDescent="0.2">
      <c r="A2959" s="2" t="s">
        <v>3245</v>
      </c>
      <c r="B2959" s="2" t="s">
        <v>25</v>
      </c>
      <c r="C2959" s="2">
        <v>1106.348</v>
      </c>
      <c r="D2959" s="2">
        <f>HYPERLINK("http://mcb-m6.bioreg.kyushu-u.ac.jp/M3/20110418/F50984/2660/1", 37.49)</f>
        <v>37.49</v>
      </c>
      <c r="E2959" s="2">
        <v>15.82</v>
      </c>
      <c r="F2959" s="2">
        <v>2</v>
      </c>
      <c r="G2959" s="2" t="s">
        <v>12</v>
      </c>
    </row>
    <row r="2960" spans="1:7" x14ac:dyDescent="0.2">
      <c r="A2960" s="2" t="s">
        <v>3245</v>
      </c>
      <c r="B2960" s="2" t="s">
        <v>25</v>
      </c>
      <c r="C2960" s="2">
        <v>737.77279999999996</v>
      </c>
      <c r="D2960" s="2">
        <f>HYPERLINK("http://mcb-m6.bioreg.kyushu-u.ac.jp/M3/20110418/F50983/2580/1", 37.7)</f>
        <v>37.700000000000003</v>
      </c>
      <c r="E2960" s="2">
        <v>19.14</v>
      </c>
      <c r="F2960" s="2">
        <v>3</v>
      </c>
      <c r="G2960" s="2" t="s">
        <v>12</v>
      </c>
    </row>
    <row r="2961" spans="1:7" x14ac:dyDescent="0.2">
      <c r="A2961" s="2" t="s">
        <v>3245</v>
      </c>
      <c r="B2961" s="2" t="s">
        <v>25</v>
      </c>
      <c r="C2961" s="2">
        <v>1106.3969999999999</v>
      </c>
      <c r="D2961" s="2">
        <f>HYPERLINK("http://mcb-m6.bioreg.kyushu-u.ac.jp/M3/20110418/F50984/2662/1", 37.73)</f>
        <v>37.729999999999997</v>
      </c>
      <c r="E2961" s="2">
        <v>14.62</v>
      </c>
      <c r="F2961" s="2">
        <v>2</v>
      </c>
      <c r="G2961" s="2" t="s">
        <v>12</v>
      </c>
    </row>
    <row r="2962" spans="1:7" x14ac:dyDescent="0.2">
      <c r="A2962" s="2" t="s">
        <v>3245</v>
      </c>
      <c r="B2962" s="2" t="s">
        <v>25</v>
      </c>
      <c r="C2962" s="2">
        <v>1105.941</v>
      </c>
      <c r="D2962" s="2">
        <f>HYPERLINK("http://mcb-m6.bioreg.kyushu-u.ac.jp/M3/20110418/F51001/2759/1", 37.77)</f>
        <v>37.770000000000003</v>
      </c>
      <c r="E2962" s="2">
        <v>22.3</v>
      </c>
      <c r="F2962" s="2">
        <v>2</v>
      </c>
      <c r="G2962" s="2" t="s">
        <v>12</v>
      </c>
    </row>
    <row r="2963" spans="1:7" x14ac:dyDescent="0.2">
      <c r="A2963" s="2" t="s">
        <v>3245</v>
      </c>
      <c r="B2963" s="2" t="s">
        <v>25</v>
      </c>
      <c r="C2963" s="2">
        <v>1105.9369999999999</v>
      </c>
      <c r="D2963" s="2">
        <f>HYPERLINK("http://mcb-m6.bioreg.kyushu-u.ac.jp/M3/20110418/F50982/2683/1", 38.17)</f>
        <v>38.17</v>
      </c>
      <c r="E2963" s="2">
        <v>18.61</v>
      </c>
      <c r="F2963" s="2">
        <v>2</v>
      </c>
      <c r="G2963" s="2" t="s">
        <v>12</v>
      </c>
    </row>
    <row r="2964" spans="1:7" x14ac:dyDescent="0.2">
      <c r="A2964" s="2" t="s">
        <v>3245</v>
      </c>
      <c r="B2964" s="2" t="s">
        <v>25</v>
      </c>
      <c r="C2964" s="2">
        <v>1106.4079999999999</v>
      </c>
      <c r="D2964" s="2">
        <f>HYPERLINK("http://mcb-m6.bioreg.kyushu-u.ac.jp/M3/20110418/F50981/2380/1", 38.73)</f>
        <v>38.729999999999997</v>
      </c>
      <c r="E2964" s="2">
        <v>21.65</v>
      </c>
      <c r="F2964" s="2">
        <v>2</v>
      </c>
      <c r="G2964" s="2" t="s">
        <v>12</v>
      </c>
    </row>
    <row r="2965" spans="1:7" x14ac:dyDescent="0.2">
      <c r="A2965" s="2" t="s">
        <v>3245</v>
      </c>
      <c r="B2965" s="2" t="s">
        <v>25</v>
      </c>
      <c r="C2965" s="2">
        <v>737.74419999999998</v>
      </c>
      <c r="D2965" s="2">
        <f>HYPERLINK("http://mcb-m6.bioreg.kyushu-u.ac.jp/M3/20110418/F50986/3095/1", 39.47)</f>
        <v>39.47</v>
      </c>
      <c r="E2965" s="2">
        <v>20.83</v>
      </c>
      <c r="F2965" s="2">
        <v>3</v>
      </c>
      <c r="G2965" s="2" t="s">
        <v>12</v>
      </c>
    </row>
    <row r="2966" spans="1:7" x14ac:dyDescent="0.2">
      <c r="A2966" s="2" t="s">
        <v>3245</v>
      </c>
      <c r="B2966" s="2" t="s">
        <v>25</v>
      </c>
      <c r="C2966" s="2">
        <v>1106.3520000000001</v>
      </c>
      <c r="D2966" s="2">
        <f>HYPERLINK("http://mcb-m6.bioreg.kyushu-u.ac.jp/M3/20110418/F50988/2993/1", 40.1)</f>
        <v>40.1</v>
      </c>
      <c r="E2966" s="2">
        <v>19.66</v>
      </c>
      <c r="F2966" s="2">
        <v>2</v>
      </c>
      <c r="G2966" s="2" t="s">
        <v>12</v>
      </c>
    </row>
    <row r="2967" spans="1:7" x14ac:dyDescent="0.2">
      <c r="A2967" s="2" t="s">
        <v>3245</v>
      </c>
      <c r="B2967" s="2" t="s">
        <v>25</v>
      </c>
      <c r="C2967" s="2">
        <v>1105.9670000000001</v>
      </c>
      <c r="D2967" s="2">
        <f>HYPERLINK("http://mcb-m6.bioreg.kyushu-u.ac.jp/M3/20110418/F50986/3094/1", 40.14)</f>
        <v>40.14</v>
      </c>
      <c r="E2967" s="2">
        <v>14.68</v>
      </c>
      <c r="F2967" s="2">
        <v>2</v>
      </c>
      <c r="G2967" s="2" t="s">
        <v>12</v>
      </c>
    </row>
    <row r="2968" spans="1:7" x14ac:dyDescent="0.2">
      <c r="A2968" s="2" t="s">
        <v>3245</v>
      </c>
      <c r="B2968" s="2" t="s">
        <v>25</v>
      </c>
      <c r="C2968" s="2">
        <v>1106.443</v>
      </c>
      <c r="D2968" s="2">
        <f>HYPERLINK("http://mcb-m6.bioreg.kyushu-u.ac.jp/M3/20110418/F50980/2750/1", 40.23)</f>
        <v>40.229999999999997</v>
      </c>
      <c r="E2968" s="2">
        <v>11.74</v>
      </c>
      <c r="F2968" s="2">
        <v>2</v>
      </c>
      <c r="G2968" s="2" t="s">
        <v>12</v>
      </c>
    </row>
    <row r="2969" spans="1:7" x14ac:dyDescent="0.2">
      <c r="A2969" s="2" t="s">
        <v>3245</v>
      </c>
      <c r="B2969" s="2" t="s">
        <v>25</v>
      </c>
      <c r="C2969" s="2">
        <v>1106.383</v>
      </c>
      <c r="D2969" s="2">
        <f>HYPERLINK("http://mcb-m6.bioreg.kyushu-u.ac.jp/M3/20110418/F50987/2692/1", 40.58)</f>
        <v>40.58</v>
      </c>
      <c r="E2969" s="2">
        <v>12.55</v>
      </c>
      <c r="F2969" s="2">
        <v>2</v>
      </c>
      <c r="G2969" s="2" t="s">
        <v>12</v>
      </c>
    </row>
    <row r="2970" spans="1:7" x14ac:dyDescent="0.2">
      <c r="A2970" s="2" t="s">
        <v>3245</v>
      </c>
      <c r="B2970" s="2" t="s">
        <v>25</v>
      </c>
      <c r="C2970" s="2">
        <v>1106.2919999999999</v>
      </c>
      <c r="D2970" s="2">
        <f>HYPERLINK("http://mcb-m6.bioreg.kyushu-u.ac.jp/M3/20110418/F50985/2739/1", 40.73)</f>
        <v>40.729999999999997</v>
      </c>
      <c r="E2970" s="2">
        <v>16.88</v>
      </c>
      <c r="F2970" s="2">
        <v>2</v>
      </c>
      <c r="G2970" s="2" t="s">
        <v>12</v>
      </c>
    </row>
    <row r="2971" spans="1:7" x14ac:dyDescent="0.2">
      <c r="A2971" s="2" t="s">
        <v>3245</v>
      </c>
      <c r="B2971" s="2" t="s">
        <v>25</v>
      </c>
      <c r="C2971" s="2">
        <v>1106.3689999999999</v>
      </c>
      <c r="D2971" s="2">
        <f>HYPERLINK("http://mcb-m6.bioreg.kyushu-u.ac.jp/M3/20110418/F50989/2782/1", 41.59)</f>
        <v>41.59</v>
      </c>
      <c r="E2971" s="2">
        <v>18.64</v>
      </c>
      <c r="F2971" s="2">
        <v>2</v>
      </c>
      <c r="G2971" s="2" t="s">
        <v>12</v>
      </c>
    </row>
    <row r="2972" spans="1:7" x14ac:dyDescent="0.2">
      <c r="A2972" s="2" t="s">
        <v>3245</v>
      </c>
      <c r="B2972" s="2" t="s">
        <v>25</v>
      </c>
      <c r="C2972" s="2">
        <v>1106.6310000000001</v>
      </c>
      <c r="D2972" s="2">
        <f>HYPERLINK("http://mcb-m6.bioreg.kyushu-u.ac.jp/M3/20110418/F50986/3100/1", 42.8)</f>
        <v>42.8</v>
      </c>
      <c r="E2972" s="2">
        <v>20.329999999999998</v>
      </c>
      <c r="F2972" s="2">
        <v>2</v>
      </c>
      <c r="G2972" s="2" t="s">
        <v>12</v>
      </c>
    </row>
    <row r="2973" spans="1:7" x14ac:dyDescent="0.2">
      <c r="A2973" s="2" t="s">
        <v>3245</v>
      </c>
      <c r="B2973" s="2" t="s">
        <v>25</v>
      </c>
      <c r="C2973" s="2">
        <v>1106.461</v>
      </c>
      <c r="D2973" s="2">
        <f>HYPERLINK("http://mcb-m6.bioreg.kyushu-u.ac.jp/M3/20110418/F50983/2583/1", 42.86)</f>
        <v>42.86</v>
      </c>
      <c r="E2973" s="2">
        <v>30.63</v>
      </c>
      <c r="F2973" s="2">
        <v>2</v>
      </c>
      <c r="G2973" s="2" t="s">
        <v>12</v>
      </c>
    </row>
    <row r="2974" spans="1:7" x14ac:dyDescent="0.2">
      <c r="A2974" s="2" t="s">
        <v>3245</v>
      </c>
      <c r="B2974" s="2" t="s">
        <v>25</v>
      </c>
      <c r="C2974" s="2">
        <v>1105.951</v>
      </c>
      <c r="D2974" s="2">
        <f>HYPERLINK("http://mcb-m6.bioreg.kyushu-u.ac.jp/M3/20110418/F50988/2985/1", 43.12)</f>
        <v>43.12</v>
      </c>
      <c r="E2974" s="2">
        <v>20.93</v>
      </c>
      <c r="F2974" s="2">
        <v>2</v>
      </c>
      <c r="G2974" s="2" t="s">
        <v>12</v>
      </c>
    </row>
    <row r="2975" spans="1:7" x14ac:dyDescent="0.2">
      <c r="A2975" s="2" t="s">
        <v>3245</v>
      </c>
      <c r="B2975" s="2" t="s">
        <v>25</v>
      </c>
      <c r="C2975" s="2">
        <v>1105.9680000000001</v>
      </c>
      <c r="D2975" s="2">
        <f>HYPERLINK("http://mcb-m6.bioreg.kyushu-u.ac.jp/M3/20110418/F50988/2986/1", 43.53)</f>
        <v>43.53</v>
      </c>
      <c r="E2975" s="2">
        <v>23.16</v>
      </c>
      <c r="F2975" s="2">
        <v>2</v>
      </c>
      <c r="G2975" s="2" t="s">
        <v>12</v>
      </c>
    </row>
    <row r="2976" spans="1:7" x14ac:dyDescent="0.2">
      <c r="A2976" s="2" t="s">
        <v>3245</v>
      </c>
      <c r="B2976" s="2" t="s">
        <v>25</v>
      </c>
      <c r="C2976" s="2">
        <v>1106.4770000000001</v>
      </c>
      <c r="D2976" s="2">
        <f>HYPERLINK("http://mcb-m6.bioreg.kyushu-u.ac.jp/M3/20110418/F50983/2584/1", 43.74)</f>
        <v>43.74</v>
      </c>
      <c r="E2976" s="2">
        <v>20.66</v>
      </c>
      <c r="F2976" s="2">
        <v>2</v>
      </c>
      <c r="G2976" s="2" t="s">
        <v>12</v>
      </c>
    </row>
    <row r="2977" spans="1:7" x14ac:dyDescent="0.2">
      <c r="A2977" s="2" t="s">
        <v>3245</v>
      </c>
      <c r="B2977" s="2" t="s">
        <v>25</v>
      </c>
      <c r="C2977" s="2">
        <v>1106.002</v>
      </c>
      <c r="D2977" s="2">
        <f>HYPERLINK("http://mcb-m6.bioreg.kyushu-u.ac.jp/M3/20110418/F51001/2761/1", 43.89)</f>
        <v>43.89</v>
      </c>
      <c r="E2977" s="2">
        <v>20.46</v>
      </c>
      <c r="F2977" s="2">
        <v>2</v>
      </c>
      <c r="G2977" s="2" t="s">
        <v>12</v>
      </c>
    </row>
    <row r="2978" spans="1:7" x14ac:dyDescent="0.2">
      <c r="A2978" s="2" t="s">
        <v>3245</v>
      </c>
      <c r="B2978" s="2" t="s">
        <v>25</v>
      </c>
      <c r="C2978" s="2">
        <v>737.76089999999999</v>
      </c>
      <c r="D2978" s="2">
        <f>HYPERLINK("http://mcb-m6.bioreg.kyushu-u.ac.jp/M3/20110418/F50986/3096/1", 43.93)</f>
        <v>43.93</v>
      </c>
      <c r="E2978" s="2">
        <v>25.13</v>
      </c>
      <c r="F2978" s="2">
        <v>3</v>
      </c>
      <c r="G2978" s="2" t="s">
        <v>12</v>
      </c>
    </row>
    <row r="2979" spans="1:7" x14ac:dyDescent="0.2">
      <c r="A2979" s="2" t="s">
        <v>3245</v>
      </c>
      <c r="B2979" s="2" t="s">
        <v>25</v>
      </c>
      <c r="C2979" s="2">
        <v>1106.3910000000001</v>
      </c>
      <c r="D2979" s="2">
        <f>HYPERLINK("http://mcb-m6.bioreg.kyushu-u.ac.jp/M3/20110418/F50989/2783/1", 43.95)</f>
        <v>43.95</v>
      </c>
      <c r="E2979" s="2">
        <v>26.35</v>
      </c>
      <c r="F2979" s="2">
        <v>2</v>
      </c>
      <c r="G2979" s="2" t="s">
        <v>12</v>
      </c>
    </row>
    <row r="2980" spans="1:7" x14ac:dyDescent="0.2">
      <c r="A2980" s="2" t="s">
        <v>3245</v>
      </c>
      <c r="B2980" s="2" t="s">
        <v>25</v>
      </c>
      <c r="C2980" s="2">
        <v>1106.5740000000001</v>
      </c>
      <c r="D2980" s="2">
        <f>HYPERLINK("http://mcb-m6.bioreg.kyushu-u.ac.jp/M3/20110418/F51001/2763/1", 44.07)</f>
        <v>44.07</v>
      </c>
      <c r="E2980" s="2">
        <v>22.48</v>
      </c>
      <c r="F2980" s="2">
        <v>2</v>
      </c>
      <c r="G2980" s="2" t="s">
        <v>12</v>
      </c>
    </row>
    <row r="2981" spans="1:7" x14ac:dyDescent="0.2">
      <c r="A2981" s="2" t="s">
        <v>3245</v>
      </c>
      <c r="B2981" s="2" t="s">
        <v>25</v>
      </c>
      <c r="C2981" s="2">
        <v>1106.43</v>
      </c>
      <c r="D2981" s="2">
        <f>HYPERLINK("http://mcb-m6.bioreg.kyushu-u.ac.jp/M3/20110418/F50983/2582/1", 44.47)</f>
        <v>44.47</v>
      </c>
      <c r="E2981" s="2">
        <v>23.35</v>
      </c>
      <c r="F2981" s="2">
        <v>2</v>
      </c>
      <c r="G2981" s="2" t="s">
        <v>12</v>
      </c>
    </row>
    <row r="2982" spans="1:7" x14ac:dyDescent="0.2">
      <c r="A2982" s="2" t="s">
        <v>3245</v>
      </c>
      <c r="B2982" s="2" t="s">
        <v>25</v>
      </c>
      <c r="C2982" s="2">
        <v>737.61350000000004</v>
      </c>
      <c r="D2982" s="2">
        <f>HYPERLINK("http://mcb-m6.bioreg.kyushu-u.ac.jp/M3/20110418/F50986/3093/1", 45.92)</f>
        <v>45.92</v>
      </c>
      <c r="E2982" s="2">
        <v>21.67</v>
      </c>
      <c r="F2982" s="2">
        <v>3</v>
      </c>
      <c r="G2982" s="2" t="s">
        <v>12</v>
      </c>
    </row>
    <row r="2983" spans="1:7" x14ac:dyDescent="0.2">
      <c r="A2983" s="2" t="s">
        <v>3245</v>
      </c>
      <c r="B2983" s="2" t="s">
        <v>25</v>
      </c>
      <c r="C2983" s="2">
        <v>1105.9059999999999</v>
      </c>
      <c r="D2983" s="2">
        <f>HYPERLINK("http://mcb-m6.bioreg.kyushu-u.ac.jp/M3/20110418/F50981/2374/1", 45.93)</f>
        <v>45.93</v>
      </c>
      <c r="E2983" s="2">
        <v>28.94</v>
      </c>
      <c r="F2983" s="2">
        <v>2</v>
      </c>
      <c r="G2983" s="2" t="s">
        <v>12</v>
      </c>
    </row>
    <row r="2984" spans="1:7" x14ac:dyDescent="0.2">
      <c r="A2984" s="2" t="s">
        <v>3245</v>
      </c>
      <c r="B2984" s="2" t="s">
        <v>25</v>
      </c>
      <c r="C2984" s="2">
        <v>1105.8599999999999</v>
      </c>
      <c r="D2984" s="2">
        <f>HYPERLINK("http://mcb-m6.bioreg.kyushu-u.ac.jp/M3/20110418/F50989/2774/1", 46.32)</f>
        <v>46.32</v>
      </c>
      <c r="E2984" s="2">
        <v>28.95</v>
      </c>
      <c r="F2984" s="2">
        <v>2</v>
      </c>
      <c r="G2984" s="2" t="s">
        <v>12</v>
      </c>
    </row>
    <row r="2985" spans="1:7" x14ac:dyDescent="0.2">
      <c r="A2985" s="2" t="s">
        <v>3245</v>
      </c>
      <c r="B2985" s="2" t="s">
        <v>25</v>
      </c>
      <c r="C2985" s="2">
        <v>1106.376</v>
      </c>
      <c r="D2985" s="2">
        <f>HYPERLINK("http://mcb-m6.bioreg.kyushu-u.ac.jp/M3/20110418/F50987/2691/1", 46.9)</f>
        <v>46.9</v>
      </c>
      <c r="E2985" s="2">
        <v>26.1</v>
      </c>
      <c r="F2985" s="2">
        <v>2</v>
      </c>
      <c r="G2985" s="2" t="s">
        <v>12</v>
      </c>
    </row>
    <row r="2986" spans="1:7" x14ac:dyDescent="0.2">
      <c r="A2986" s="2" t="s">
        <v>3245</v>
      </c>
      <c r="B2986" s="2" t="s">
        <v>25</v>
      </c>
      <c r="C2986" s="2">
        <v>1105.9480000000001</v>
      </c>
      <c r="D2986" s="2">
        <f>HYPERLINK("http://mcb-m6.bioreg.kyushu-u.ac.jp/M3/20110418/F50982/2684/1", 47.22)</f>
        <v>47.22</v>
      </c>
      <c r="E2986" s="2">
        <v>23.16</v>
      </c>
      <c r="F2986" s="2">
        <v>2</v>
      </c>
      <c r="G2986" s="2" t="s">
        <v>12</v>
      </c>
    </row>
    <row r="2987" spans="1:7" x14ac:dyDescent="0.2">
      <c r="A2987" s="2" t="s">
        <v>3245</v>
      </c>
      <c r="B2987" s="2" t="s">
        <v>25</v>
      </c>
      <c r="C2987" s="2">
        <v>1106.5029999999999</v>
      </c>
      <c r="D2987" s="2">
        <f>HYPERLINK("http://mcb-m6.bioreg.kyushu-u.ac.jp/M3/20110418/F50980/2752/1", 47.34)</f>
        <v>47.34</v>
      </c>
      <c r="E2987" s="2">
        <v>19.02</v>
      </c>
      <c r="F2987" s="2">
        <v>2</v>
      </c>
      <c r="G2987" s="2" t="s">
        <v>12</v>
      </c>
    </row>
    <row r="2988" spans="1:7" x14ac:dyDescent="0.2">
      <c r="A2988" s="2" t="s">
        <v>3245</v>
      </c>
      <c r="B2988" s="2" t="s">
        <v>25</v>
      </c>
      <c r="C2988" s="2">
        <v>1105.912</v>
      </c>
      <c r="D2988" s="2">
        <f>HYPERLINK("http://mcb-m6.bioreg.kyushu-u.ac.jp/M3/20110418/F50981/2375/1", 47.39)</f>
        <v>47.39</v>
      </c>
      <c r="E2988" s="2">
        <v>23.46</v>
      </c>
      <c r="F2988" s="2">
        <v>2</v>
      </c>
      <c r="G2988" s="2" t="s">
        <v>12</v>
      </c>
    </row>
    <row r="2989" spans="1:7" x14ac:dyDescent="0.2">
      <c r="A2989" s="2" t="s">
        <v>3245</v>
      </c>
      <c r="B2989" s="2" t="s">
        <v>25</v>
      </c>
      <c r="C2989" s="2">
        <v>1106.5730000000001</v>
      </c>
      <c r="D2989" s="2">
        <f>HYPERLINK("http://mcb-m6.bioreg.kyushu-u.ac.jp/M3/20110418/F51001/2762/1", 47.46)</f>
        <v>47.46</v>
      </c>
      <c r="E2989" s="2">
        <v>29.52</v>
      </c>
      <c r="F2989" s="2">
        <v>2</v>
      </c>
      <c r="G2989" s="2" t="s">
        <v>12</v>
      </c>
    </row>
    <row r="2990" spans="1:7" x14ac:dyDescent="0.2">
      <c r="A2990" s="2" t="s">
        <v>3245</v>
      </c>
      <c r="B2990" s="2" t="s">
        <v>25</v>
      </c>
      <c r="C2990" s="2">
        <v>1106.5830000000001</v>
      </c>
      <c r="D2990" s="2">
        <f>HYPERLINK("http://mcb-m6.bioreg.kyushu-u.ac.jp/M3/20110418/F50980/2754/1", 48.2)</f>
        <v>48.2</v>
      </c>
      <c r="E2990" s="2">
        <v>22.11</v>
      </c>
      <c r="F2990" s="2">
        <v>2</v>
      </c>
      <c r="G2990" s="2" t="s">
        <v>12</v>
      </c>
    </row>
    <row r="2991" spans="1:7" x14ac:dyDescent="0.2">
      <c r="A2991" s="2" t="s">
        <v>3245</v>
      </c>
      <c r="B2991" s="2" t="s">
        <v>25</v>
      </c>
      <c r="C2991" s="2">
        <v>1106.432</v>
      </c>
      <c r="D2991" s="2">
        <f>HYPERLINK("http://mcb-m6.bioreg.kyushu-u.ac.jp/M3/20110418/F50980/2749/1", 48.5)</f>
        <v>48.5</v>
      </c>
      <c r="E2991" s="2">
        <v>29.39</v>
      </c>
      <c r="F2991" s="2">
        <v>2</v>
      </c>
      <c r="G2991" s="2" t="s">
        <v>12</v>
      </c>
    </row>
    <row r="2992" spans="1:7" x14ac:dyDescent="0.2">
      <c r="A2992" s="2" t="s">
        <v>3245</v>
      </c>
      <c r="B2992" s="2" t="s">
        <v>25</v>
      </c>
      <c r="C2992" s="2">
        <v>1105.8869999999999</v>
      </c>
      <c r="D2992" s="2">
        <f>HYPERLINK("http://mcb-m6.bioreg.kyushu-u.ac.jp/M3/20110418/F50997/3119/1", 48.57)</f>
        <v>48.57</v>
      </c>
      <c r="E2992" s="2">
        <v>31.75</v>
      </c>
      <c r="F2992" s="2">
        <v>2</v>
      </c>
      <c r="G2992" s="2" t="s">
        <v>12</v>
      </c>
    </row>
    <row r="2993" spans="1:7" x14ac:dyDescent="0.2">
      <c r="A2993" s="2" t="s">
        <v>3245</v>
      </c>
      <c r="B2993" s="2" t="s">
        <v>25</v>
      </c>
      <c r="C2993" s="2">
        <v>1106.4839999999999</v>
      </c>
      <c r="D2993" s="2">
        <f>HYPERLINK("http://mcb-m6.bioreg.kyushu-u.ac.jp/M3/20110418/F50983/2586/1", 48.77)</f>
        <v>48.77</v>
      </c>
      <c r="E2993" s="2">
        <v>23.35</v>
      </c>
      <c r="F2993" s="2">
        <v>2</v>
      </c>
      <c r="G2993" s="2" t="s">
        <v>12</v>
      </c>
    </row>
    <row r="2994" spans="1:7" x14ac:dyDescent="0.2">
      <c r="A2994" s="2" t="s">
        <v>3245</v>
      </c>
      <c r="B2994" s="2" t="s">
        <v>25</v>
      </c>
      <c r="C2994" s="2">
        <v>1106.385</v>
      </c>
      <c r="D2994" s="2">
        <f>HYPERLINK("http://mcb-m6.bioreg.kyushu-u.ac.jp/M3/20110418/F50984/2661/1", 48.94)</f>
        <v>48.94</v>
      </c>
      <c r="E2994" s="2">
        <v>29.44</v>
      </c>
      <c r="F2994" s="2">
        <v>2</v>
      </c>
      <c r="G2994" s="2" t="s">
        <v>12</v>
      </c>
    </row>
    <row r="2995" spans="1:7" x14ac:dyDescent="0.2">
      <c r="A2995" s="2" t="s">
        <v>3245</v>
      </c>
      <c r="B2995" s="2" t="s">
        <v>25</v>
      </c>
      <c r="C2995" s="2">
        <v>737.82849999999996</v>
      </c>
      <c r="D2995" s="2">
        <f>HYPERLINK("http://mcb-m6.bioreg.kyushu-u.ac.jp/M3/20110418/F50989/2781/1", 49.55)</f>
        <v>49.55</v>
      </c>
      <c r="E2995" s="2">
        <v>29.16</v>
      </c>
      <c r="F2995" s="2">
        <v>3</v>
      </c>
      <c r="G2995" s="2" t="s">
        <v>12</v>
      </c>
    </row>
    <row r="2996" spans="1:7" x14ac:dyDescent="0.2">
      <c r="A2996" s="2" t="s">
        <v>3245</v>
      </c>
      <c r="B2996" s="2" t="s">
        <v>25</v>
      </c>
      <c r="C2996" s="2">
        <v>1106.49</v>
      </c>
      <c r="D2996" s="2">
        <f>HYPERLINK("http://mcb-m6.bioreg.kyushu-u.ac.jp/M3/20110418/F50980/2751/1", 49.79)</f>
        <v>49.79</v>
      </c>
      <c r="E2996" s="2">
        <v>31.76</v>
      </c>
      <c r="F2996" s="2">
        <v>2</v>
      </c>
      <c r="G2996" s="2" t="s">
        <v>12</v>
      </c>
    </row>
    <row r="2997" spans="1:7" x14ac:dyDescent="0.2">
      <c r="A2997" s="2" t="s">
        <v>3245</v>
      </c>
      <c r="B2997" s="2" t="s">
        <v>25</v>
      </c>
      <c r="C2997" s="2">
        <v>737.8202</v>
      </c>
      <c r="D2997" s="2">
        <f>HYPERLINK("http://mcb-m6.bioreg.kyushu-u.ac.jp/M3/20110418/F50986/3097/1", 50.4)</f>
        <v>50.4</v>
      </c>
      <c r="E2997" s="2">
        <v>23.33</v>
      </c>
      <c r="F2997" s="2">
        <v>3</v>
      </c>
      <c r="G2997" s="2" t="s">
        <v>12</v>
      </c>
    </row>
    <row r="2998" spans="1:7" x14ac:dyDescent="0.2">
      <c r="A2998" s="2" t="s">
        <v>3245</v>
      </c>
      <c r="B2998" s="2" t="s">
        <v>25</v>
      </c>
      <c r="C2998" s="2">
        <v>1105.97</v>
      </c>
      <c r="D2998" s="2">
        <f>HYPERLINK("http://mcb-m6.bioreg.kyushu-u.ac.jp/M3/20110418/F50989/2778/1", 50.46)</f>
        <v>50.46</v>
      </c>
      <c r="E2998" s="2">
        <v>28.38</v>
      </c>
      <c r="F2998" s="2">
        <v>2</v>
      </c>
      <c r="G2998" s="2" t="s">
        <v>12</v>
      </c>
    </row>
    <row r="2999" spans="1:7" x14ac:dyDescent="0.2">
      <c r="A2999" s="2" t="s">
        <v>3245</v>
      </c>
      <c r="B2999" s="2" t="s">
        <v>25</v>
      </c>
      <c r="C2999" s="2">
        <v>1106.425</v>
      </c>
      <c r="D2999" s="2">
        <f>HYPERLINK("http://mcb-m6.bioreg.kyushu-u.ac.jp/M3/20110418/F50988/2995/1", 50.98)</f>
        <v>50.98</v>
      </c>
      <c r="E2999" s="2">
        <v>30.61</v>
      </c>
      <c r="F2999" s="2">
        <v>2</v>
      </c>
      <c r="G2999" s="2" t="s">
        <v>12</v>
      </c>
    </row>
    <row r="3000" spans="1:7" x14ac:dyDescent="0.2">
      <c r="A3000" s="2" t="s">
        <v>3245</v>
      </c>
      <c r="B3000" s="2" t="s">
        <v>25</v>
      </c>
      <c r="C3000" s="2">
        <v>737.59360000000004</v>
      </c>
      <c r="D3000" s="2">
        <f>HYPERLINK("http://mcb-m6.bioreg.kyushu-u.ac.jp/M3/20110418/F50989/2775/1", 52.26)</f>
        <v>52.26</v>
      </c>
      <c r="E3000" s="2">
        <v>35.869999999999997</v>
      </c>
      <c r="F3000" s="2">
        <v>3</v>
      </c>
      <c r="G3000" s="2" t="s">
        <v>12</v>
      </c>
    </row>
    <row r="3001" spans="1:7" x14ac:dyDescent="0.2">
      <c r="A3001" s="2" t="s">
        <v>3245</v>
      </c>
      <c r="B3001" s="2" t="s">
        <v>25</v>
      </c>
      <c r="C3001" s="2">
        <v>737.75789999999995</v>
      </c>
      <c r="D3001" s="2">
        <f>HYPERLINK("http://mcb-m6.bioreg.kyushu-u.ac.jp/M3/20110418/F50981/2379/1", 52.33)</f>
        <v>52.33</v>
      </c>
      <c r="E3001" s="2">
        <v>26.05</v>
      </c>
      <c r="F3001" s="2">
        <v>3</v>
      </c>
      <c r="G3001" s="2" t="s">
        <v>12</v>
      </c>
    </row>
    <row r="3002" spans="1:7" x14ac:dyDescent="0.2">
      <c r="A3002" s="2" t="s">
        <v>3245</v>
      </c>
      <c r="B3002" s="2" t="s">
        <v>25</v>
      </c>
      <c r="C3002" s="2">
        <v>1106.4169999999999</v>
      </c>
      <c r="D3002" s="2">
        <f>HYPERLINK("http://mcb-m6.bioreg.kyushu-u.ac.jp/M3/20110418/F50983/2581/1", 53.56)</f>
        <v>53.56</v>
      </c>
      <c r="E3002" s="2">
        <v>27.24</v>
      </c>
      <c r="F3002" s="2">
        <v>2</v>
      </c>
      <c r="G3002" s="2" t="s">
        <v>12</v>
      </c>
    </row>
    <row r="3003" spans="1:7" x14ac:dyDescent="0.2">
      <c r="A3003" s="2" t="s">
        <v>3245</v>
      </c>
      <c r="B3003" s="2" t="s">
        <v>25</v>
      </c>
      <c r="C3003" s="2">
        <v>1105.7260000000001</v>
      </c>
      <c r="D3003" s="2">
        <f>HYPERLINK("http://mcb-m6.bioreg.kyushu-u.ac.jp/M3/20110418/F50985/2738/1", 53.57)</f>
        <v>53.57</v>
      </c>
      <c r="E3003" s="2">
        <v>37.29</v>
      </c>
      <c r="F3003" s="2">
        <v>2</v>
      </c>
      <c r="G3003" s="2" t="s">
        <v>12</v>
      </c>
    </row>
    <row r="3004" spans="1:7" x14ac:dyDescent="0.2">
      <c r="A3004" s="2" t="s">
        <v>3245</v>
      </c>
      <c r="B3004" s="2" t="s">
        <v>25</v>
      </c>
      <c r="C3004" s="2">
        <v>1106.4259999999999</v>
      </c>
      <c r="D3004" s="2">
        <f>HYPERLINK("http://mcb-m6.bioreg.kyushu-u.ac.jp/M3/20110418/F50986/3099/1", 53.61)</f>
        <v>53.61</v>
      </c>
      <c r="E3004" s="2">
        <v>21.15</v>
      </c>
      <c r="F3004" s="2">
        <v>2</v>
      </c>
      <c r="G3004" s="2" t="s">
        <v>12</v>
      </c>
    </row>
    <row r="3005" spans="1:7" x14ac:dyDescent="0.2">
      <c r="A3005" s="2" t="s">
        <v>3245</v>
      </c>
      <c r="B3005" s="2" t="s">
        <v>25</v>
      </c>
      <c r="C3005" s="2">
        <v>1105.8409999999999</v>
      </c>
      <c r="D3005" s="2">
        <f>HYPERLINK("http://mcb-m6.bioreg.kyushu-u.ac.jp/M3/20110418/F50987/2689/1", 53.77)</f>
        <v>53.77</v>
      </c>
      <c r="E3005" s="2">
        <v>31.12</v>
      </c>
      <c r="F3005" s="2">
        <v>2</v>
      </c>
      <c r="G3005" s="2" t="s">
        <v>12</v>
      </c>
    </row>
    <row r="3006" spans="1:7" x14ac:dyDescent="0.2">
      <c r="A3006" s="2" t="s">
        <v>3245</v>
      </c>
      <c r="B3006" s="2" t="s">
        <v>25</v>
      </c>
      <c r="C3006" s="2">
        <v>1106.4949999999999</v>
      </c>
      <c r="D3006" s="2">
        <f>HYPERLINK("http://mcb-m6.bioreg.kyushu-u.ac.jp/M3/20110418/F50982/2687/1", 55.32)</f>
        <v>55.32</v>
      </c>
      <c r="E3006" s="2">
        <v>25.52</v>
      </c>
      <c r="F3006" s="2">
        <v>2</v>
      </c>
      <c r="G3006" s="2" t="s">
        <v>12</v>
      </c>
    </row>
    <row r="3007" spans="1:7" x14ac:dyDescent="0.2">
      <c r="A3007" s="2" t="s">
        <v>3245</v>
      </c>
      <c r="B3007" s="2" t="s">
        <v>25</v>
      </c>
      <c r="C3007" s="2">
        <v>1105.942</v>
      </c>
      <c r="D3007" s="2">
        <f>HYPERLINK("http://mcb-m6.bioreg.kyushu-u.ac.jp/M3/20110418/F50980/2741/1", 57.65)</f>
        <v>57.65</v>
      </c>
      <c r="E3007" s="2">
        <v>41.7</v>
      </c>
      <c r="F3007" s="2">
        <v>2</v>
      </c>
      <c r="G3007" s="2" t="s">
        <v>12</v>
      </c>
    </row>
    <row r="3008" spans="1:7" x14ac:dyDescent="0.2">
      <c r="A3008" s="2" t="s">
        <v>3245</v>
      </c>
      <c r="B3008" s="2" t="s">
        <v>25</v>
      </c>
      <c r="C3008" s="2">
        <v>1106.1579999999999</v>
      </c>
      <c r="D3008" s="2">
        <f>HYPERLINK("http://mcb-m6.bioreg.kyushu-u.ac.jp/M3/20110418/F50997/3125/1", 58.21)</f>
        <v>58.21</v>
      </c>
      <c r="E3008" s="2">
        <v>30.29</v>
      </c>
      <c r="F3008" s="2">
        <v>2</v>
      </c>
      <c r="G3008" s="2" t="s">
        <v>12</v>
      </c>
    </row>
    <row r="3009" spans="1:7" x14ac:dyDescent="0.2">
      <c r="A3009" s="2" t="s">
        <v>3245</v>
      </c>
      <c r="B3009" s="2" t="s">
        <v>25</v>
      </c>
      <c r="C3009" s="2">
        <v>1105.8969999999999</v>
      </c>
      <c r="D3009" s="2">
        <f>HYPERLINK("http://mcb-m6.bioreg.kyushu-u.ac.jp/M3/20110418/F50981/2373/1", 58.34)</f>
        <v>58.34</v>
      </c>
      <c r="E3009" s="2">
        <v>42.05</v>
      </c>
      <c r="F3009" s="2">
        <v>2</v>
      </c>
      <c r="G3009" s="2" t="s">
        <v>12</v>
      </c>
    </row>
    <row r="3010" spans="1:7" x14ac:dyDescent="0.2">
      <c r="A3010" s="2" t="s">
        <v>3245</v>
      </c>
      <c r="B3010" s="2" t="s">
        <v>25</v>
      </c>
      <c r="C3010" s="2">
        <v>1106.3399999999999</v>
      </c>
      <c r="D3010" s="2">
        <f>HYPERLINK("http://mcb-m6.bioreg.kyushu-u.ac.jp/M3/20110418/F50984/2659/1", 58.93)</f>
        <v>58.93</v>
      </c>
      <c r="E3010" s="2">
        <v>29.56</v>
      </c>
      <c r="F3010" s="2">
        <v>2</v>
      </c>
      <c r="G3010" s="2" t="s">
        <v>12</v>
      </c>
    </row>
    <row r="3011" spans="1:7" x14ac:dyDescent="0.2">
      <c r="A3011" s="2" t="s">
        <v>3245</v>
      </c>
      <c r="B3011" s="2" t="s">
        <v>25</v>
      </c>
      <c r="C3011" s="2">
        <v>1106.4570000000001</v>
      </c>
      <c r="D3011" s="2">
        <f>HYPERLINK("http://mcb-m6.bioreg.kyushu-u.ac.jp/M3/20110418/F50982/2686/1", 58.99)</f>
        <v>58.99</v>
      </c>
      <c r="E3011" s="2">
        <v>22.37</v>
      </c>
      <c r="F3011" s="2">
        <v>2</v>
      </c>
      <c r="G3011" s="2" t="s">
        <v>12</v>
      </c>
    </row>
    <row r="3012" spans="1:7" x14ac:dyDescent="0.2">
      <c r="A3012" s="2" t="s">
        <v>3245</v>
      </c>
      <c r="B3012" s="2" t="s">
        <v>25</v>
      </c>
      <c r="C3012" s="2">
        <v>1106.5530000000001</v>
      </c>
      <c r="D3012" s="2">
        <f>HYPERLINK("http://mcb-m6.bioreg.kyushu-u.ac.jp/M3/20110418/F50980/2753/1", 60.19)</f>
        <v>60.19</v>
      </c>
      <c r="E3012" s="2">
        <v>27.19</v>
      </c>
      <c r="F3012" s="2">
        <v>2</v>
      </c>
      <c r="G3012" s="2" t="s">
        <v>12</v>
      </c>
    </row>
    <row r="3013" spans="1:7" x14ac:dyDescent="0.2">
      <c r="A3013" s="2" t="s">
        <v>3245</v>
      </c>
      <c r="B3013" s="2" t="s">
        <v>25</v>
      </c>
      <c r="C3013" s="2">
        <v>1105.923</v>
      </c>
      <c r="D3013" s="2">
        <f>HYPERLINK("http://mcb-m6.bioreg.kyushu-u.ac.jp/M3/20110418/F50989/2776/1", 60.55)</f>
        <v>60.55</v>
      </c>
      <c r="E3013" s="2">
        <v>36.78</v>
      </c>
      <c r="F3013" s="2">
        <v>2</v>
      </c>
      <c r="G3013" s="2" t="s">
        <v>12</v>
      </c>
    </row>
    <row r="3014" spans="1:7" x14ac:dyDescent="0.2">
      <c r="A3014" s="2" t="s">
        <v>3245</v>
      </c>
      <c r="B3014" s="2" t="s">
        <v>25</v>
      </c>
      <c r="C3014" s="2">
        <v>1106.04</v>
      </c>
      <c r="D3014" s="2">
        <f>HYPERLINK("http://mcb-m6.bioreg.kyushu-u.ac.jp/M3/20110418/F50989/2780/1", 63.26)</f>
        <v>63.26</v>
      </c>
      <c r="E3014" s="2">
        <v>43.06</v>
      </c>
      <c r="F3014" s="2">
        <v>2</v>
      </c>
      <c r="G3014" s="2" t="s">
        <v>12</v>
      </c>
    </row>
    <row r="3015" spans="1:7" x14ac:dyDescent="0.2">
      <c r="A3015" s="2" t="s">
        <v>3245</v>
      </c>
      <c r="B3015" s="2" t="s">
        <v>25</v>
      </c>
      <c r="C3015" s="2">
        <v>1106.048</v>
      </c>
      <c r="D3015" s="2">
        <f>HYPERLINK("http://mcb-m6.bioreg.kyushu-u.ac.jp/M3/20110418/F50988/2987/1", 63.5)</f>
        <v>63.5</v>
      </c>
      <c r="E3015" s="2">
        <v>28.52</v>
      </c>
      <c r="F3015" s="2">
        <v>2</v>
      </c>
      <c r="G3015" s="2" t="s">
        <v>12</v>
      </c>
    </row>
    <row r="3016" spans="1:7" x14ac:dyDescent="0.2">
      <c r="A3016" s="2" t="s">
        <v>3245</v>
      </c>
      <c r="B3016" s="2" t="s">
        <v>25</v>
      </c>
      <c r="C3016" s="2">
        <v>1105.886</v>
      </c>
      <c r="D3016" s="2">
        <f>HYPERLINK("http://mcb-m6.bioreg.kyushu-u.ac.jp/M3/20110418/F50986/3092/1", 64.59)</f>
        <v>64.59</v>
      </c>
      <c r="E3016" s="2">
        <v>41.21</v>
      </c>
      <c r="F3016" s="2">
        <v>2</v>
      </c>
      <c r="G3016" s="2" t="s">
        <v>12</v>
      </c>
    </row>
    <row r="3017" spans="1:7" x14ac:dyDescent="0.2">
      <c r="A3017" s="2" t="s">
        <v>3245</v>
      </c>
      <c r="B3017" s="2" t="s">
        <v>25</v>
      </c>
      <c r="C3017" s="2">
        <v>1105.8620000000001</v>
      </c>
      <c r="D3017" s="2">
        <f>HYPERLINK("http://mcb-m6.bioreg.kyushu-u.ac.jp/M3/20110418/F50982/2682/1", 70.37)</f>
        <v>70.37</v>
      </c>
      <c r="E3017" s="2">
        <v>50.3</v>
      </c>
      <c r="F3017" s="2">
        <v>2</v>
      </c>
      <c r="G3017" s="2" t="s">
        <v>12</v>
      </c>
    </row>
    <row r="3018" spans="1:7" x14ac:dyDescent="0.2">
      <c r="A3018" s="2" t="s">
        <v>3245</v>
      </c>
      <c r="B3018" s="2" t="s">
        <v>25</v>
      </c>
      <c r="C3018" s="2">
        <v>1105.9739999999999</v>
      </c>
      <c r="D3018" s="2">
        <f>HYPERLINK("http://mcb-m6.bioreg.kyushu-u.ac.jp/M3/20110418/F50989/2779/1", 71.81)</f>
        <v>71.81</v>
      </c>
      <c r="E3018" s="2">
        <v>44.71</v>
      </c>
      <c r="F3018" s="2">
        <v>2</v>
      </c>
      <c r="G3018" s="2" t="s">
        <v>12</v>
      </c>
    </row>
    <row r="3019" spans="1:7" x14ac:dyDescent="0.2">
      <c r="A3019" s="2" t="s">
        <v>3245</v>
      </c>
      <c r="B3019" s="2" t="s">
        <v>25</v>
      </c>
      <c r="C3019" s="2">
        <v>1105.847</v>
      </c>
      <c r="D3019" s="2">
        <f>HYPERLINK("http://mcb-m6.bioreg.kyushu-u.ac.jp/M3/20110418/F50986/3089/1", 74.54)</f>
        <v>74.540000000000006</v>
      </c>
      <c r="E3019" s="2">
        <v>46.19</v>
      </c>
      <c r="F3019" s="2">
        <v>2</v>
      </c>
      <c r="G3019" s="2" t="s">
        <v>12</v>
      </c>
    </row>
    <row r="3020" spans="1:7" x14ac:dyDescent="0.2">
      <c r="A3020" s="2" t="s">
        <v>3245</v>
      </c>
      <c r="B3020" s="2" t="s">
        <v>25</v>
      </c>
      <c r="C3020" s="2">
        <v>1105.92</v>
      </c>
      <c r="D3020" s="2">
        <f>HYPERLINK("http://mcb-m6.bioreg.kyushu-u.ac.jp/M3/20110418/F50981/2376/1", 75.14)</f>
        <v>75.14</v>
      </c>
      <c r="E3020" s="2">
        <v>57.29</v>
      </c>
      <c r="F3020" s="2">
        <v>2</v>
      </c>
      <c r="G3020" s="2" t="s">
        <v>12</v>
      </c>
    </row>
    <row r="3021" spans="1:7" x14ac:dyDescent="0.2">
      <c r="A3021" s="2" t="s">
        <v>3245</v>
      </c>
      <c r="B3021" s="2" t="s">
        <v>25</v>
      </c>
      <c r="C3021" s="2">
        <v>1106.4659999999999</v>
      </c>
      <c r="D3021" s="2">
        <f>HYPERLINK("http://mcb-m6.bioreg.kyushu-u.ac.jp/M3/20110418/F50989/2784/1", 76.37)</f>
        <v>76.37</v>
      </c>
      <c r="E3021" s="2">
        <v>29.18</v>
      </c>
      <c r="F3021" s="2">
        <v>2</v>
      </c>
      <c r="G3021" s="2" t="s">
        <v>12</v>
      </c>
    </row>
    <row r="3022" spans="1:7" x14ac:dyDescent="0.2">
      <c r="A3022" s="2" t="s">
        <v>3245</v>
      </c>
      <c r="B3022" s="2" t="s">
        <v>25</v>
      </c>
      <c r="C3022" s="2">
        <v>1105.9069999999999</v>
      </c>
      <c r="D3022" s="2">
        <f>HYPERLINK("http://mcb-m6.bioreg.kyushu-u.ac.jp/M3/20110418/F50997/3121/1", 77.66)</f>
        <v>77.66</v>
      </c>
      <c r="E3022" s="2">
        <v>54.32</v>
      </c>
      <c r="F3022" s="2">
        <v>2</v>
      </c>
      <c r="G3022" s="2" t="s">
        <v>12</v>
      </c>
    </row>
    <row r="3023" spans="1:7" x14ac:dyDescent="0.2">
      <c r="A3023" s="2" t="s">
        <v>3245</v>
      </c>
      <c r="B3023" s="2" t="s">
        <v>25</v>
      </c>
      <c r="C3023" s="2">
        <v>1105.9480000000001</v>
      </c>
      <c r="D3023" s="2">
        <f>HYPERLINK("http://mcb-m6.bioreg.kyushu-u.ac.jp/M3/20110418/F50983/2579/1", 79.83)</f>
        <v>79.83</v>
      </c>
      <c r="E3023" s="2">
        <v>57.27</v>
      </c>
      <c r="F3023" s="2">
        <v>2</v>
      </c>
      <c r="G3023" s="2" t="s">
        <v>12</v>
      </c>
    </row>
    <row r="3024" spans="1:7" x14ac:dyDescent="0.2">
      <c r="A3024" s="2" t="s">
        <v>3245</v>
      </c>
      <c r="B3024" s="2" t="s">
        <v>25</v>
      </c>
      <c r="C3024" s="2">
        <v>1106.0029999999999</v>
      </c>
      <c r="D3024" s="2">
        <f>HYPERLINK("http://mcb-m6.bioreg.kyushu-u.ac.jp/M3/20110418/F50980/2744/1", 81.85)</f>
        <v>81.849999999999994</v>
      </c>
      <c r="E3024" s="2">
        <v>46.52</v>
      </c>
      <c r="F3024" s="2">
        <v>2</v>
      </c>
      <c r="G3024" s="2" t="s">
        <v>12</v>
      </c>
    </row>
    <row r="3025" spans="1:7" x14ac:dyDescent="0.2">
      <c r="A3025" s="2" t="s">
        <v>3245</v>
      </c>
      <c r="B3025" s="2" t="s">
        <v>25</v>
      </c>
      <c r="C3025" s="2">
        <v>1105.8610000000001</v>
      </c>
      <c r="D3025" s="2">
        <f>HYPERLINK("http://mcb-m6.bioreg.kyushu-u.ac.jp/M3/20110418/F50987/2690/1", 84.53)</f>
        <v>84.53</v>
      </c>
      <c r="E3025" s="2">
        <v>62.35</v>
      </c>
      <c r="F3025" s="2">
        <v>2</v>
      </c>
      <c r="G3025" s="2" t="s">
        <v>12</v>
      </c>
    </row>
    <row r="3026" spans="1:7" x14ac:dyDescent="0.2">
      <c r="A3026" s="2" t="s">
        <v>3245</v>
      </c>
      <c r="B3026" s="2" t="s">
        <v>25</v>
      </c>
      <c r="C3026" s="2">
        <v>1105.9649999999999</v>
      </c>
      <c r="D3026" s="2">
        <f>HYPERLINK("http://mcb-m6.bioreg.kyushu-u.ac.jp/M3/20110418/F50989/2777/1", 94.34)</f>
        <v>94.34</v>
      </c>
      <c r="E3026" s="2">
        <v>56.94</v>
      </c>
      <c r="F3026" s="2">
        <v>2</v>
      </c>
      <c r="G3026" s="2" t="s">
        <v>12</v>
      </c>
    </row>
    <row r="3027" spans="1:7" x14ac:dyDescent="0.2">
      <c r="A3027" s="2" t="s">
        <v>3245</v>
      </c>
      <c r="B3027" s="2" t="s">
        <v>25</v>
      </c>
      <c r="C3027" s="2">
        <v>1106.107</v>
      </c>
      <c r="D3027" s="2">
        <f>HYPERLINK("http://mcb-m6.bioreg.kyushu-u.ac.jp/M3/20110502/F51164/3157/1", 35.35)</f>
        <v>35.35</v>
      </c>
      <c r="E3027" s="2">
        <v>18.8</v>
      </c>
      <c r="F3027" s="2">
        <v>2</v>
      </c>
      <c r="G3027" s="2" t="s">
        <v>13</v>
      </c>
    </row>
    <row r="3028" spans="1:7" x14ac:dyDescent="0.2">
      <c r="A3028" s="2" t="s">
        <v>3245</v>
      </c>
      <c r="B3028" s="2" t="s">
        <v>25</v>
      </c>
      <c r="C3028" s="2">
        <v>1106.4939999999999</v>
      </c>
      <c r="D3028" s="2">
        <f>HYPERLINK("http://mcb-m6.bioreg.kyushu-u.ac.jp/M3/20110429/F51155/3285/1", 36.19)</f>
        <v>36.19</v>
      </c>
      <c r="E3028" s="2">
        <v>10.72</v>
      </c>
      <c r="F3028" s="2">
        <v>2</v>
      </c>
      <c r="G3028" s="2" t="s">
        <v>13</v>
      </c>
    </row>
    <row r="3029" spans="1:7" x14ac:dyDescent="0.2">
      <c r="A3029" s="2" t="s">
        <v>3245</v>
      </c>
      <c r="B3029" s="2" t="s">
        <v>25</v>
      </c>
      <c r="C3029" s="2">
        <v>1106.413</v>
      </c>
      <c r="D3029" s="2">
        <f>HYPERLINK("http://mcb-m6.bioreg.kyushu-u.ac.jp/M3/20110429/F51152/3353/1", 36.51)</f>
        <v>36.51</v>
      </c>
      <c r="E3029" s="2">
        <v>16.559999999999999</v>
      </c>
      <c r="F3029" s="2">
        <v>2</v>
      </c>
      <c r="G3029" s="2" t="s">
        <v>13</v>
      </c>
    </row>
    <row r="3030" spans="1:7" x14ac:dyDescent="0.2">
      <c r="A3030" s="2" t="s">
        <v>3245</v>
      </c>
      <c r="B3030" s="2" t="s">
        <v>25</v>
      </c>
      <c r="C3030" s="2">
        <v>1106.296</v>
      </c>
      <c r="D3030" s="2">
        <f>HYPERLINK("http://mcb-m6.bioreg.kyushu-u.ac.jp/M3/20110429/F51157/3300/1", 36.74)</f>
        <v>36.74</v>
      </c>
      <c r="E3030" s="2">
        <v>15.1</v>
      </c>
      <c r="F3030" s="2">
        <v>2</v>
      </c>
      <c r="G3030" s="2" t="s">
        <v>13</v>
      </c>
    </row>
    <row r="3031" spans="1:7" x14ac:dyDescent="0.2">
      <c r="A3031" s="2" t="s">
        <v>3245</v>
      </c>
      <c r="B3031" s="2" t="s">
        <v>25</v>
      </c>
      <c r="C3031" s="2">
        <v>1106.4380000000001</v>
      </c>
      <c r="D3031" s="2">
        <f>HYPERLINK("http://mcb-m6.bioreg.kyushu-u.ac.jp/M3/20110429/F51154/3579/1", 37.04)</f>
        <v>37.04</v>
      </c>
      <c r="E3031" s="2">
        <v>19.03</v>
      </c>
      <c r="F3031" s="2">
        <v>2</v>
      </c>
      <c r="G3031" s="2" t="s">
        <v>13</v>
      </c>
    </row>
    <row r="3032" spans="1:7" x14ac:dyDescent="0.2">
      <c r="A3032" s="2" t="s">
        <v>3245</v>
      </c>
      <c r="B3032" s="2" t="s">
        <v>25</v>
      </c>
      <c r="C3032" s="2">
        <v>738.03790000000004</v>
      </c>
      <c r="D3032" s="2">
        <f>HYPERLINK("http://mcb-m6.bioreg.kyushu-u.ac.jp/M3/20110502/F51158/3390/1", 37.37)</f>
        <v>37.369999999999997</v>
      </c>
      <c r="E3032" s="2">
        <v>14.94</v>
      </c>
      <c r="F3032" s="2">
        <v>3</v>
      </c>
      <c r="G3032" s="2" t="s">
        <v>13</v>
      </c>
    </row>
    <row r="3033" spans="1:7" x14ac:dyDescent="0.2">
      <c r="A3033" s="2" t="s">
        <v>3245</v>
      </c>
      <c r="B3033" s="2" t="s">
        <v>25</v>
      </c>
      <c r="C3033" s="2">
        <v>1106.643</v>
      </c>
      <c r="D3033" s="2">
        <f>HYPERLINK("http://mcb-m6.bioreg.kyushu-u.ac.jp/M3/20110429/F51149/2639/1", 37.73)</f>
        <v>37.729999999999997</v>
      </c>
      <c r="E3033" s="2">
        <v>10.74</v>
      </c>
      <c r="F3033" s="2">
        <v>2</v>
      </c>
      <c r="G3033" s="2" t="s">
        <v>13</v>
      </c>
    </row>
    <row r="3034" spans="1:7" x14ac:dyDescent="0.2">
      <c r="A3034" s="2" t="s">
        <v>3245</v>
      </c>
      <c r="B3034" s="2" t="s">
        <v>25</v>
      </c>
      <c r="C3034" s="2">
        <v>1106.595</v>
      </c>
      <c r="D3034" s="2">
        <f>HYPERLINK("http://mcb-m6.bioreg.kyushu-u.ac.jp/M3/20110502/F51158/3394/1", 38.4)</f>
        <v>38.4</v>
      </c>
      <c r="E3034" s="2">
        <v>10.83</v>
      </c>
      <c r="F3034" s="2">
        <v>2</v>
      </c>
      <c r="G3034" s="2" t="s">
        <v>13</v>
      </c>
    </row>
    <row r="3035" spans="1:7" x14ac:dyDescent="0.2">
      <c r="A3035" s="2" t="s">
        <v>3245</v>
      </c>
      <c r="B3035" s="2" t="s">
        <v>25</v>
      </c>
      <c r="C3035" s="2">
        <v>1106.5899999999999</v>
      </c>
      <c r="D3035" s="2">
        <f>HYPERLINK("http://mcb-m6.bioreg.kyushu-u.ac.jp/M3/20110502/F51163/3101/1", 38.96)</f>
        <v>38.96</v>
      </c>
      <c r="E3035" s="2">
        <v>16.39</v>
      </c>
      <c r="F3035" s="2">
        <v>2</v>
      </c>
      <c r="G3035" s="2" t="s">
        <v>13</v>
      </c>
    </row>
    <row r="3036" spans="1:7" x14ac:dyDescent="0.2">
      <c r="A3036" s="2" t="s">
        <v>3245</v>
      </c>
      <c r="B3036" s="2" t="s">
        <v>25</v>
      </c>
      <c r="C3036" s="2">
        <v>1106.414</v>
      </c>
      <c r="D3036" s="2">
        <f>HYPERLINK("http://mcb-m6.bioreg.kyushu-u.ac.jp/M3/20110429/F51151/3191/1", 39.17)</f>
        <v>39.17</v>
      </c>
      <c r="E3036" s="2">
        <v>22.66</v>
      </c>
      <c r="F3036" s="2">
        <v>2</v>
      </c>
      <c r="G3036" s="2" t="s">
        <v>13</v>
      </c>
    </row>
    <row r="3037" spans="1:7" x14ac:dyDescent="0.2">
      <c r="A3037" s="2" t="s">
        <v>3245</v>
      </c>
      <c r="B3037" s="2" t="s">
        <v>25</v>
      </c>
      <c r="C3037" s="2">
        <v>1105.461</v>
      </c>
      <c r="D3037" s="2">
        <f>HYPERLINK("http://mcb-m6.bioreg.kyushu-u.ac.jp/M3/20110429/F51156/3225/1", 39.54)</f>
        <v>39.54</v>
      </c>
      <c r="E3037" s="2">
        <v>20.52</v>
      </c>
      <c r="F3037" s="2">
        <v>2</v>
      </c>
      <c r="G3037" s="2" t="s">
        <v>13</v>
      </c>
    </row>
    <row r="3038" spans="1:7" x14ac:dyDescent="0.2">
      <c r="A3038" s="2" t="s">
        <v>3245</v>
      </c>
      <c r="B3038" s="2" t="s">
        <v>25</v>
      </c>
      <c r="C3038" s="2">
        <v>737.93589999999995</v>
      </c>
      <c r="D3038" s="2">
        <f>HYPERLINK("http://mcb-m6.bioreg.kyushu-u.ac.jp/M3/20110502/F51164/3159/1", 39.79)</f>
        <v>39.79</v>
      </c>
      <c r="E3038" s="2">
        <v>19.22</v>
      </c>
      <c r="F3038" s="2">
        <v>3</v>
      </c>
      <c r="G3038" s="2" t="s">
        <v>13</v>
      </c>
    </row>
    <row r="3039" spans="1:7" x14ac:dyDescent="0.2">
      <c r="A3039" s="2" t="s">
        <v>3245</v>
      </c>
      <c r="B3039" s="2" t="s">
        <v>25</v>
      </c>
      <c r="C3039" s="2">
        <v>1106.46</v>
      </c>
      <c r="D3039" s="2">
        <f>HYPERLINK("http://mcb-m6.bioreg.kyushu-u.ac.jp/M3/20110429/F51153/3842/1", 40.19)</f>
        <v>40.19</v>
      </c>
      <c r="E3039" s="2">
        <v>16.27</v>
      </c>
      <c r="F3039" s="2">
        <v>2</v>
      </c>
      <c r="G3039" s="2" t="s">
        <v>13</v>
      </c>
    </row>
    <row r="3040" spans="1:7" x14ac:dyDescent="0.2">
      <c r="A3040" s="2" t="s">
        <v>3245</v>
      </c>
      <c r="B3040" s="2" t="s">
        <v>25</v>
      </c>
      <c r="C3040" s="2">
        <v>737.75980000000004</v>
      </c>
      <c r="D3040" s="2">
        <f>HYPERLINK("http://mcb-m6.bioreg.kyushu-u.ac.jp/M3/20110429/F51153/3837/1", 41.01)</f>
        <v>41.01</v>
      </c>
      <c r="E3040" s="2">
        <v>26.08</v>
      </c>
      <c r="F3040" s="2">
        <v>3</v>
      </c>
      <c r="G3040" s="2" t="s">
        <v>13</v>
      </c>
    </row>
    <row r="3041" spans="1:7" x14ac:dyDescent="0.2">
      <c r="A3041" s="2" t="s">
        <v>3245</v>
      </c>
      <c r="B3041" s="2" t="s">
        <v>25</v>
      </c>
      <c r="C3041" s="2">
        <v>1106.4770000000001</v>
      </c>
      <c r="D3041" s="2">
        <f>HYPERLINK("http://mcb-m6.bioreg.kyushu-u.ac.jp/M3/20110429/F51157/3303/1", 41.19)</f>
        <v>41.19</v>
      </c>
      <c r="E3041" s="2">
        <v>24.22</v>
      </c>
      <c r="F3041" s="2">
        <v>2</v>
      </c>
      <c r="G3041" s="2" t="s">
        <v>13</v>
      </c>
    </row>
    <row r="3042" spans="1:7" x14ac:dyDescent="0.2">
      <c r="A3042" s="2" t="s">
        <v>3245</v>
      </c>
      <c r="B3042" s="2" t="s">
        <v>25</v>
      </c>
      <c r="C3042" s="2">
        <v>1106.2339999999999</v>
      </c>
      <c r="D3042" s="2">
        <f>HYPERLINK("http://mcb-m6.bioreg.kyushu-u.ac.jp/M3/20110429/F51154/3577/1", 41.53)</f>
        <v>41.53</v>
      </c>
      <c r="E3042" s="2">
        <v>23.12</v>
      </c>
      <c r="F3042" s="2">
        <v>2</v>
      </c>
      <c r="G3042" s="2" t="s">
        <v>13</v>
      </c>
    </row>
    <row r="3043" spans="1:7" x14ac:dyDescent="0.2">
      <c r="A3043" s="2" t="s">
        <v>3245</v>
      </c>
      <c r="B3043" s="2" t="s">
        <v>25</v>
      </c>
      <c r="C3043" s="2">
        <v>1106.2539999999999</v>
      </c>
      <c r="D3043" s="2">
        <f>HYPERLINK("http://mcb-m6.bioreg.kyushu-u.ac.jp/M3/20110429/F51155/3284/1", 42.06)</f>
        <v>42.06</v>
      </c>
      <c r="E3043" s="2">
        <v>23.93</v>
      </c>
      <c r="F3043" s="2">
        <v>2</v>
      </c>
      <c r="G3043" s="2" t="s">
        <v>13</v>
      </c>
    </row>
    <row r="3044" spans="1:7" x14ac:dyDescent="0.2">
      <c r="A3044" s="2" t="s">
        <v>3245</v>
      </c>
      <c r="B3044" s="2" t="s">
        <v>25</v>
      </c>
      <c r="C3044" s="2">
        <v>1106.365</v>
      </c>
      <c r="D3044" s="2">
        <f>HYPERLINK("http://mcb-m6.bioreg.kyushu-u.ac.jp/M3/20110428/F51146/3034/1", 42.15)</f>
        <v>42.15</v>
      </c>
      <c r="E3044" s="2">
        <v>25.01</v>
      </c>
      <c r="F3044" s="2">
        <v>2</v>
      </c>
      <c r="G3044" s="2" t="s">
        <v>13</v>
      </c>
    </row>
    <row r="3045" spans="1:7" x14ac:dyDescent="0.2">
      <c r="A3045" s="2" t="s">
        <v>3245</v>
      </c>
      <c r="B3045" s="2" t="s">
        <v>25</v>
      </c>
      <c r="C3045" s="2">
        <v>738.07389999999998</v>
      </c>
      <c r="D3045" s="2">
        <f>HYPERLINK("http://mcb-m6.bioreg.kyushu-u.ac.jp/M3/20110428/F51147/2904/1", 42.21)</f>
        <v>42.21</v>
      </c>
      <c r="E3045" s="2">
        <v>14.91</v>
      </c>
      <c r="F3045" s="2">
        <v>3</v>
      </c>
      <c r="G3045" s="2" t="s">
        <v>13</v>
      </c>
    </row>
    <row r="3046" spans="1:7" x14ac:dyDescent="0.2">
      <c r="A3046" s="2" t="s">
        <v>3245</v>
      </c>
      <c r="B3046" s="2" t="s">
        <v>25</v>
      </c>
      <c r="C3046" s="2">
        <v>1106.4860000000001</v>
      </c>
      <c r="D3046" s="2">
        <f>HYPERLINK("http://mcb-m6.bioreg.kyushu-u.ac.jp/M3/20110429/F51153/3844/1", 42.48)</f>
        <v>42.48</v>
      </c>
      <c r="E3046" s="2">
        <v>26.76</v>
      </c>
      <c r="F3046" s="2">
        <v>2</v>
      </c>
      <c r="G3046" s="2" t="s">
        <v>13</v>
      </c>
    </row>
    <row r="3047" spans="1:7" x14ac:dyDescent="0.2">
      <c r="A3047" s="2" t="s">
        <v>3245</v>
      </c>
      <c r="B3047" s="2" t="s">
        <v>25</v>
      </c>
      <c r="C3047" s="2">
        <v>1106.3579999999999</v>
      </c>
      <c r="D3047" s="2">
        <f>HYPERLINK("http://mcb-m6.bioreg.kyushu-u.ac.jp/M3/20110428/F51146/3033/1", 43.43)</f>
        <v>43.43</v>
      </c>
      <c r="E3047" s="2">
        <v>12.38</v>
      </c>
      <c r="F3047" s="2">
        <v>2</v>
      </c>
      <c r="G3047" s="2" t="s">
        <v>13</v>
      </c>
    </row>
    <row r="3048" spans="1:7" x14ac:dyDescent="0.2">
      <c r="A3048" s="2" t="s">
        <v>3245</v>
      </c>
      <c r="B3048" s="2" t="s">
        <v>25</v>
      </c>
      <c r="C3048" s="2">
        <v>1106.201</v>
      </c>
      <c r="D3048" s="2">
        <f>HYPERLINK("http://mcb-m6.bioreg.kyushu-u.ac.jp/M3/20110502/F51158/3386/1", 43.58)</f>
        <v>43.58</v>
      </c>
      <c r="E3048" s="2">
        <v>19.93</v>
      </c>
      <c r="F3048" s="2">
        <v>2</v>
      </c>
      <c r="G3048" s="2" t="s">
        <v>13</v>
      </c>
    </row>
    <row r="3049" spans="1:7" x14ac:dyDescent="0.2">
      <c r="A3049" s="2" t="s">
        <v>3245</v>
      </c>
      <c r="B3049" s="2" t="s">
        <v>25</v>
      </c>
      <c r="C3049" s="2">
        <v>737.69619999999998</v>
      </c>
      <c r="D3049" s="2">
        <f>HYPERLINK("http://mcb-m6.bioreg.kyushu-u.ac.jp/M3/20110429/F51157/3298/1", 43.95)</f>
        <v>43.95</v>
      </c>
      <c r="E3049" s="2">
        <v>27.33</v>
      </c>
      <c r="F3049" s="2">
        <v>3</v>
      </c>
      <c r="G3049" s="2" t="s">
        <v>13</v>
      </c>
    </row>
    <row r="3050" spans="1:7" x14ac:dyDescent="0.2">
      <c r="A3050" s="2" t="s">
        <v>3245</v>
      </c>
      <c r="B3050" s="2" t="s">
        <v>25</v>
      </c>
      <c r="C3050" s="2">
        <v>1106.135</v>
      </c>
      <c r="D3050" s="2">
        <f>HYPERLINK("http://mcb-m6.bioreg.kyushu-u.ac.jp/M3/20110429/F51149/2638/1", 44)</f>
        <v>44</v>
      </c>
      <c r="E3050" s="2">
        <v>21.51</v>
      </c>
      <c r="F3050" s="2">
        <v>2</v>
      </c>
      <c r="G3050" s="2" t="s">
        <v>13</v>
      </c>
    </row>
    <row r="3051" spans="1:7" x14ac:dyDescent="0.2">
      <c r="A3051" s="2" t="s">
        <v>3245</v>
      </c>
      <c r="B3051" s="2" t="s">
        <v>25</v>
      </c>
      <c r="C3051" s="2">
        <v>1105.836</v>
      </c>
      <c r="D3051" s="2">
        <f>HYPERLINK("http://mcb-m6.bioreg.kyushu-u.ac.jp/M3/20110429/F51151/3183/1", 44.23)</f>
        <v>44.23</v>
      </c>
      <c r="E3051" s="2">
        <v>20.149999999999999</v>
      </c>
      <c r="F3051" s="2">
        <v>2</v>
      </c>
      <c r="G3051" s="2" t="s">
        <v>13</v>
      </c>
    </row>
    <row r="3052" spans="1:7" x14ac:dyDescent="0.2">
      <c r="A3052" s="2" t="s">
        <v>3245</v>
      </c>
      <c r="B3052" s="2" t="s">
        <v>25</v>
      </c>
      <c r="C3052" s="2">
        <v>1105.9390000000001</v>
      </c>
      <c r="D3052" s="2">
        <f>HYPERLINK("http://mcb-m6.bioreg.kyushu-u.ac.jp/M3/20110502/F51163/3096/1", 44.52)</f>
        <v>44.52</v>
      </c>
      <c r="E3052" s="2">
        <v>27.19</v>
      </c>
      <c r="F3052" s="2">
        <v>2</v>
      </c>
      <c r="G3052" s="2" t="s">
        <v>13</v>
      </c>
    </row>
    <row r="3053" spans="1:7" x14ac:dyDescent="0.2">
      <c r="A3053" s="2" t="s">
        <v>3245</v>
      </c>
      <c r="B3053" s="2" t="s">
        <v>25</v>
      </c>
      <c r="C3053" s="2">
        <v>1106.153</v>
      </c>
      <c r="D3053" s="2">
        <f>HYPERLINK("http://mcb-m6.bioreg.kyushu-u.ac.jp/M3/20110429/F51156/3228/1", 44.62)</f>
        <v>44.62</v>
      </c>
      <c r="E3053" s="2">
        <v>20.059999999999999</v>
      </c>
      <c r="F3053" s="2">
        <v>2</v>
      </c>
      <c r="G3053" s="2" t="s">
        <v>13</v>
      </c>
    </row>
    <row r="3054" spans="1:7" x14ac:dyDescent="0.2">
      <c r="A3054" s="2" t="s">
        <v>3245</v>
      </c>
      <c r="B3054" s="2" t="s">
        <v>25</v>
      </c>
      <c r="C3054" s="2">
        <v>737.91420000000005</v>
      </c>
      <c r="D3054" s="2">
        <f>HYPERLINK("http://mcb-m6.bioreg.kyushu-u.ac.jp/M3/20110429/F51152/3352/1", 45.8)</f>
        <v>45.8</v>
      </c>
      <c r="E3054" s="2">
        <v>17.12</v>
      </c>
      <c r="F3054" s="2">
        <v>3</v>
      </c>
      <c r="G3054" s="2" t="s">
        <v>13</v>
      </c>
    </row>
    <row r="3055" spans="1:7" x14ac:dyDescent="0.2">
      <c r="A3055" s="2" t="s">
        <v>3245</v>
      </c>
      <c r="B3055" s="2" t="s">
        <v>25</v>
      </c>
      <c r="C3055" s="2">
        <v>1105.8589999999999</v>
      </c>
      <c r="D3055" s="2">
        <f>HYPERLINK("http://mcb-m6.bioreg.kyushu-u.ac.jp/M3/20110429/F51151/3184/1", 46.63)</f>
        <v>46.63</v>
      </c>
      <c r="E3055" s="2">
        <v>26.32</v>
      </c>
      <c r="F3055" s="2">
        <v>2</v>
      </c>
      <c r="G3055" s="2" t="s">
        <v>13</v>
      </c>
    </row>
    <row r="3056" spans="1:7" x14ac:dyDescent="0.2">
      <c r="A3056" s="2" t="s">
        <v>3245</v>
      </c>
      <c r="B3056" s="2" t="s">
        <v>25</v>
      </c>
      <c r="C3056" s="2">
        <v>1106.202</v>
      </c>
      <c r="D3056" s="2">
        <f>HYPERLINK("http://mcb-m6.bioreg.kyushu-u.ac.jp/M3/20110502/F51158/3387/1", 49.34)</f>
        <v>49.34</v>
      </c>
      <c r="E3056" s="2">
        <v>24.87</v>
      </c>
      <c r="F3056" s="2">
        <v>2</v>
      </c>
      <c r="G3056" s="2" t="s">
        <v>13</v>
      </c>
    </row>
    <row r="3057" spans="1:7" x14ac:dyDescent="0.2">
      <c r="A3057" s="2" t="s">
        <v>3245</v>
      </c>
      <c r="B3057" s="2" t="s">
        <v>25</v>
      </c>
      <c r="C3057" s="2">
        <v>1106.048</v>
      </c>
      <c r="D3057" s="2">
        <f>HYPERLINK("http://mcb-m6.bioreg.kyushu-u.ac.jp/M3/20110429/F51154/3571/1", 50.44)</f>
        <v>50.44</v>
      </c>
      <c r="E3057" s="2">
        <v>36.799999999999997</v>
      </c>
      <c r="F3057" s="2">
        <v>2</v>
      </c>
      <c r="G3057" s="2" t="s">
        <v>13</v>
      </c>
    </row>
    <row r="3058" spans="1:7" x14ac:dyDescent="0.2">
      <c r="A3058" s="2" t="s">
        <v>3245</v>
      </c>
      <c r="B3058" s="2" t="s">
        <v>25</v>
      </c>
      <c r="C3058" s="2">
        <v>1106.549</v>
      </c>
      <c r="D3058" s="2">
        <f>HYPERLINK("http://mcb-m6.bioreg.kyushu-u.ac.jp/M3/20110429/F51157/3304/1", 50.5)</f>
        <v>50.5</v>
      </c>
      <c r="E3058" s="2">
        <v>21.79</v>
      </c>
      <c r="F3058" s="2">
        <v>2</v>
      </c>
      <c r="G3058" s="2" t="s">
        <v>13</v>
      </c>
    </row>
    <row r="3059" spans="1:7" x14ac:dyDescent="0.2">
      <c r="A3059" s="2" t="s">
        <v>3245</v>
      </c>
      <c r="B3059" s="2" t="s">
        <v>25</v>
      </c>
      <c r="C3059" s="2">
        <v>737.94179999999994</v>
      </c>
      <c r="D3059" s="2">
        <f>HYPERLINK("http://mcb-m6.bioreg.kyushu-u.ac.jp/M3/20110429/F51151/3190/1", 50.91)</f>
        <v>50.91</v>
      </c>
      <c r="E3059" s="2">
        <v>30.94</v>
      </c>
      <c r="F3059" s="2">
        <v>3</v>
      </c>
      <c r="G3059" s="2" t="s">
        <v>13</v>
      </c>
    </row>
    <row r="3060" spans="1:7" x14ac:dyDescent="0.2">
      <c r="A3060" s="2" t="s">
        <v>3245</v>
      </c>
      <c r="B3060" s="2" t="s">
        <v>25</v>
      </c>
      <c r="C3060" s="2">
        <v>1106.6479999999999</v>
      </c>
      <c r="D3060" s="2">
        <f>HYPERLINK("http://mcb-m6.bioreg.kyushu-u.ac.jp/M3/20110502/F51164/3164/1", 51.43)</f>
        <v>51.43</v>
      </c>
      <c r="E3060" s="2">
        <v>33.76</v>
      </c>
      <c r="F3060" s="2">
        <v>2</v>
      </c>
      <c r="G3060" s="2" t="s">
        <v>13</v>
      </c>
    </row>
    <row r="3061" spans="1:7" x14ac:dyDescent="0.2">
      <c r="A3061" s="2" t="s">
        <v>3245</v>
      </c>
      <c r="B3061" s="2" t="s">
        <v>25</v>
      </c>
      <c r="C3061" s="2">
        <v>1106.1320000000001</v>
      </c>
      <c r="D3061" s="2">
        <f>HYPERLINK("http://mcb-m6.bioreg.kyushu-u.ac.jp/M3/20110502/F51164/3158/1", 51.51)</f>
        <v>51.51</v>
      </c>
      <c r="E3061" s="2">
        <v>26.55</v>
      </c>
      <c r="F3061" s="2">
        <v>2</v>
      </c>
      <c r="G3061" s="2" t="s">
        <v>13</v>
      </c>
    </row>
    <row r="3062" spans="1:7" x14ac:dyDescent="0.2">
      <c r="A3062" s="2" t="s">
        <v>3245</v>
      </c>
      <c r="B3062" s="2" t="s">
        <v>25</v>
      </c>
      <c r="C3062" s="2">
        <v>737.6472</v>
      </c>
      <c r="D3062" s="2">
        <f>HYPERLINK("http://mcb-m6.bioreg.kyushu-u.ac.jp/M3/20110429/F51150/3032/1", 52.46)</f>
        <v>52.46</v>
      </c>
      <c r="E3062" s="2">
        <v>24.3</v>
      </c>
      <c r="F3062" s="2">
        <v>3</v>
      </c>
      <c r="G3062" s="2" t="s">
        <v>13</v>
      </c>
    </row>
    <row r="3063" spans="1:7" x14ac:dyDescent="0.2">
      <c r="A3063" s="2" t="s">
        <v>3245</v>
      </c>
      <c r="B3063" s="2" t="s">
        <v>25</v>
      </c>
      <c r="C3063" s="2">
        <v>1106.3589999999999</v>
      </c>
      <c r="D3063" s="2">
        <f>HYPERLINK("http://mcb-m6.bioreg.kyushu-u.ac.jp/M3/20110429/F51151/3188/1", 52.85)</f>
        <v>52.85</v>
      </c>
      <c r="E3063" s="2">
        <v>22.06</v>
      </c>
      <c r="F3063" s="2">
        <v>2</v>
      </c>
      <c r="G3063" s="2" t="s">
        <v>13</v>
      </c>
    </row>
    <row r="3064" spans="1:7" x14ac:dyDescent="0.2">
      <c r="A3064" s="2" t="s">
        <v>3245</v>
      </c>
      <c r="B3064" s="2" t="s">
        <v>25</v>
      </c>
      <c r="C3064" s="2">
        <v>737.94219999999996</v>
      </c>
      <c r="D3064" s="2">
        <f>HYPERLINK("http://mcb-m6.bioreg.kyushu-u.ac.jp/M3/20110502/F51164/3160/1", 53.45)</f>
        <v>53.45</v>
      </c>
      <c r="E3064" s="2">
        <v>31.18</v>
      </c>
      <c r="F3064" s="2">
        <v>3</v>
      </c>
      <c r="G3064" s="2" t="s">
        <v>13</v>
      </c>
    </row>
    <row r="3065" spans="1:7" x14ac:dyDescent="0.2">
      <c r="A3065" s="2" t="s">
        <v>3245</v>
      </c>
      <c r="B3065" s="2" t="s">
        <v>25</v>
      </c>
      <c r="C3065" s="2">
        <v>737.9896</v>
      </c>
      <c r="D3065" s="2">
        <f>HYPERLINK("http://mcb-m6.bioreg.kyushu-u.ac.jp/M3/20110429/F51156/3234/1", 53.5)</f>
        <v>53.5</v>
      </c>
      <c r="E3065" s="2">
        <v>32.49</v>
      </c>
      <c r="F3065" s="2">
        <v>3</v>
      </c>
      <c r="G3065" s="2" t="s">
        <v>13</v>
      </c>
    </row>
    <row r="3066" spans="1:7" x14ac:dyDescent="0.2">
      <c r="A3066" s="2" t="s">
        <v>3245</v>
      </c>
      <c r="B3066" s="2" t="s">
        <v>25</v>
      </c>
      <c r="C3066" s="2">
        <v>1105.6189999999999</v>
      </c>
      <c r="D3066" s="2">
        <f>HYPERLINK("http://mcb-m6.bioreg.kyushu-u.ac.jp/M3/20110502/F51163/3093/1", 56.17)</f>
        <v>56.17</v>
      </c>
      <c r="E3066" s="2">
        <v>39.49</v>
      </c>
      <c r="F3066" s="2">
        <v>2</v>
      </c>
      <c r="G3066" s="2" t="s">
        <v>13</v>
      </c>
    </row>
    <row r="3067" spans="1:7" x14ac:dyDescent="0.2">
      <c r="A3067" s="2" t="s">
        <v>3245</v>
      </c>
      <c r="B3067" s="2" t="s">
        <v>25</v>
      </c>
      <c r="C3067" s="2">
        <v>1105.921</v>
      </c>
      <c r="D3067" s="2">
        <f>HYPERLINK("http://mcb-m6.bioreg.kyushu-u.ac.jp/M3/20110429/F51151/3186/1", 58.63)</f>
        <v>58.63</v>
      </c>
      <c r="E3067" s="2">
        <v>45.36</v>
      </c>
      <c r="F3067" s="2">
        <v>2</v>
      </c>
      <c r="G3067" s="2" t="s">
        <v>13</v>
      </c>
    </row>
    <row r="3068" spans="1:7" x14ac:dyDescent="0.2">
      <c r="A3068" s="2" t="s">
        <v>3245</v>
      </c>
      <c r="B3068" s="2" t="s">
        <v>25</v>
      </c>
      <c r="C3068" s="2">
        <v>737.83249999999998</v>
      </c>
      <c r="D3068" s="2">
        <f>HYPERLINK("http://mcb-m6.bioreg.kyushu-u.ac.jp/M3/20110429/F51156/3231/1", 59.38)</f>
        <v>59.38</v>
      </c>
      <c r="E3068" s="2">
        <v>22.34</v>
      </c>
      <c r="F3068" s="2">
        <v>3</v>
      </c>
      <c r="G3068" s="2" t="s">
        <v>13</v>
      </c>
    </row>
    <row r="3069" spans="1:7" x14ac:dyDescent="0.2">
      <c r="A3069" s="2" t="s">
        <v>3245</v>
      </c>
      <c r="B3069" s="2" t="s">
        <v>25</v>
      </c>
      <c r="C3069" s="2">
        <v>1105.787</v>
      </c>
      <c r="D3069" s="2">
        <f>HYPERLINK("http://mcb-m6.bioreg.kyushu-u.ac.jp/M3/20110429/F51150/3031/1", 59.55)</f>
        <v>59.55</v>
      </c>
      <c r="E3069" s="2">
        <v>42.39</v>
      </c>
      <c r="F3069" s="2">
        <v>2</v>
      </c>
      <c r="G3069" s="2" t="s">
        <v>13</v>
      </c>
    </row>
    <row r="3070" spans="1:7" x14ac:dyDescent="0.2">
      <c r="A3070" s="2" t="s">
        <v>3245</v>
      </c>
      <c r="B3070" s="2" t="s">
        <v>25</v>
      </c>
      <c r="C3070" s="2">
        <v>737.98749999999995</v>
      </c>
      <c r="D3070" s="2">
        <f>HYPERLINK("http://mcb-m6.bioreg.kyushu-u.ac.jp/M3/20110429/F51150/3034/1", 61.57)</f>
        <v>61.57</v>
      </c>
      <c r="E3070" s="2">
        <v>30.28</v>
      </c>
      <c r="F3070" s="2">
        <v>3</v>
      </c>
      <c r="G3070" s="2" t="s">
        <v>13</v>
      </c>
    </row>
    <row r="3071" spans="1:7" x14ac:dyDescent="0.2">
      <c r="A3071" s="2" t="s">
        <v>3245</v>
      </c>
      <c r="B3071" s="2" t="s">
        <v>25</v>
      </c>
      <c r="C3071" s="2">
        <v>1106.441</v>
      </c>
      <c r="D3071" s="2">
        <f>HYPERLINK("http://mcb-m6.bioreg.kyushu-u.ac.jp/M3/20110429/F51152/3355/1", 63.42)</f>
        <v>63.42</v>
      </c>
      <c r="E3071" s="2">
        <v>27.19</v>
      </c>
      <c r="F3071" s="2">
        <v>2</v>
      </c>
      <c r="G3071" s="2" t="s">
        <v>13</v>
      </c>
    </row>
    <row r="3072" spans="1:7" x14ac:dyDescent="0.2">
      <c r="A3072" s="2" t="s">
        <v>3245</v>
      </c>
      <c r="B3072" s="2" t="s">
        <v>25</v>
      </c>
      <c r="C3072" s="2">
        <v>1105.5050000000001</v>
      </c>
      <c r="D3072" s="2">
        <f>HYPERLINK("http://mcb-m6.bioreg.kyushu-u.ac.jp/M3/20110502/F51164/3153/1", 63.8)</f>
        <v>63.8</v>
      </c>
      <c r="E3072" s="2">
        <v>44.86</v>
      </c>
      <c r="F3072" s="2">
        <v>2</v>
      </c>
      <c r="G3072" s="2" t="s">
        <v>13</v>
      </c>
    </row>
    <row r="3073" spans="1:7" x14ac:dyDescent="0.2">
      <c r="A3073" s="2" t="s">
        <v>3245</v>
      </c>
      <c r="B3073" s="2" t="s">
        <v>25</v>
      </c>
      <c r="C3073" s="2">
        <v>1106.001</v>
      </c>
      <c r="D3073" s="2">
        <f>HYPERLINK("http://mcb-m6.bioreg.kyushu-u.ac.jp/M3/20110429/F51153/3834/1", 64.29)</f>
        <v>64.290000000000006</v>
      </c>
      <c r="E3073" s="2">
        <v>29.58</v>
      </c>
      <c r="F3073" s="2">
        <v>2</v>
      </c>
      <c r="G3073" s="2" t="s">
        <v>13</v>
      </c>
    </row>
    <row r="3074" spans="1:7" x14ac:dyDescent="0.2">
      <c r="A3074" s="2" t="s">
        <v>3245</v>
      </c>
      <c r="B3074" s="2" t="s">
        <v>25</v>
      </c>
      <c r="C3074" s="2">
        <v>1106.424</v>
      </c>
      <c r="D3074" s="2">
        <f>HYPERLINK("http://mcb-m6.bioreg.kyushu-u.ac.jp/M3/20110429/F51153/3839/1", 65.52)</f>
        <v>65.52</v>
      </c>
      <c r="E3074" s="2">
        <v>24.33</v>
      </c>
      <c r="F3074" s="2">
        <v>2</v>
      </c>
      <c r="G3074" s="2" t="s">
        <v>13</v>
      </c>
    </row>
    <row r="3075" spans="1:7" x14ac:dyDescent="0.2">
      <c r="A3075" s="2" t="s">
        <v>3245</v>
      </c>
      <c r="B3075" s="2" t="s">
        <v>25</v>
      </c>
      <c r="C3075" s="2">
        <v>738.10550000000001</v>
      </c>
      <c r="D3075" s="2">
        <f>HYPERLINK("http://mcb-m6.bioreg.kyushu-u.ac.jp/M3/20110429/F51153/3845/1", 65.92)</f>
        <v>65.92</v>
      </c>
      <c r="E3075" s="2">
        <v>44.32</v>
      </c>
      <c r="F3075" s="2">
        <v>3</v>
      </c>
      <c r="G3075" s="2" t="s">
        <v>13</v>
      </c>
    </row>
    <row r="3076" spans="1:7" x14ac:dyDescent="0.2">
      <c r="A3076" s="2" t="s">
        <v>3245</v>
      </c>
      <c r="B3076" s="2" t="s">
        <v>25</v>
      </c>
      <c r="C3076" s="2">
        <v>737.40390000000002</v>
      </c>
      <c r="D3076" s="2">
        <f>HYPERLINK("http://mcb-m6.bioreg.kyushu-u.ac.jp/M3/20110429/F51150/3028/1", 66.14)</f>
        <v>66.14</v>
      </c>
      <c r="E3076" s="2">
        <v>46.78</v>
      </c>
      <c r="F3076" s="2">
        <v>3</v>
      </c>
      <c r="G3076" s="2" t="s">
        <v>13</v>
      </c>
    </row>
    <row r="3077" spans="1:7" x14ac:dyDescent="0.2">
      <c r="A3077" s="2" t="s">
        <v>3245</v>
      </c>
      <c r="B3077" s="2" t="s">
        <v>25</v>
      </c>
      <c r="C3077" s="2">
        <v>1105.692</v>
      </c>
      <c r="D3077" s="2">
        <f>HYPERLINK("http://mcb-m6.bioreg.kyushu-u.ac.jp/M3/20110502/F51158/3384/1", 66.5)</f>
        <v>66.5</v>
      </c>
      <c r="E3077" s="2">
        <v>50.09</v>
      </c>
      <c r="F3077" s="2">
        <v>2</v>
      </c>
      <c r="G3077" s="2" t="s">
        <v>13</v>
      </c>
    </row>
    <row r="3078" spans="1:7" x14ac:dyDescent="0.2">
      <c r="A3078" s="2" t="s">
        <v>3245</v>
      </c>
      <c r="B3078" s="2" t="s">
        <v>25</v>
      </c>
      <c r="C3078" s="2">
        <v>1106.5899999999999</v>
      </c>
      <c r="D3078" s="2">
        <f>HYPERLINK("http://mcb-m6.bioreg.kyushu-u.ac.jp/M3/20110428/F51146/3036/1", 67.84)</f>
        <v>67.84</v>
      </c>
      <c r="E3078" s="2">
        <v>29.03</v>
      </c>
      <c r="F3078" s="2">
        <v>2</v>
      </c>
      <c r="G3078" s="2" t="s">
        <v>13</v>
      </c>
    </row>
    <row r="3079" spans="1:7" x14ac:dyDescent="0.2">
      <c r="A3079" s="2" t="s">
        <v>3245</v>
      </c>
      <c r="B3079" s="2" t="s">
        <v>25</v>
      </c>
      <c r="C3079" s="2">
        <v>1106.2950000000001</v>
      </c>
      <c r="D3079" s="2">
        <f>HYPERLINK("http://mcb-m6.bioreg.kyushu-u.ac.jp/M3/20110428/F51146/3030/1", 68.06)</f>
        <v>68.06</v>
      </c>
      <c r="E3079" s="2">
        <v>33.32</v>
      </c>
      <c r="F3079" s="2">
        <v>2</v>
      </c>
      <c r="G3079" s="2" t="s">
        <v>13</v>
      </c>
    </row>
    <row r="3080" spans="1:7" x14ac:dyDescent="0.2">
      <c r="A3080" s="2" t="s">
        <v>3245</v>
      </c>
      <c r="B3080" s="2" t="s">
        <v>25</v>
      </c>
      <c r="C3080" s="2">
        <v>1106.4659999999999</v>
      </c>
      <c r="D3080" s="2">
        <f>HYPERLINK("http://mcb-m6.bioreg.kyushu-u.ac.jp/M3/20110429/F51154/3581/1", 68.18)</f>
        <v>68.180000000000007</v>
      </c>
      <c r="E3080" s="2">
        <v>32.53</v>
      </c>
      <c r="F3080" s="2">
        <v>2</v>
      </c>
      <c r="G3080" s="2" t="s">
        <v>13</v>
      </c>
    </row>
    <row r="3081" spans="1:7" x14ac:dyDescent="0.2">
      <c r="A3081" s="2" t="s">
        <v>3245</v>
      </c>
      <c r="B3081" s="2" t="s">
        <v>25</v>
      </c>
      <c r="C3081" s="2">
        <v>1106.2439999999999</v>
      </c>
      <c r="D3081" s="2">
        <f>HYPERLINK("http://mcb-m6.bioreg.kyushu-u.ac.jp/M3/20110429/F51150/3033/1", 68.32)</f>
        <v>68.319999999999993</v>
      </c>
      <c r="E3081" s="2">
        <v>41.68</v>
      </c>
      <c r="F3081" s="2">
        <v>2</v>
      </c>
      <c r="G3081" s="2" t="s">
        <v>13</v>
      </c>
    </row>
    <row r="3082" spans="1:7" x14ac:dyDescent="0.2">
      <c r="A3082" s="2" t="s">
        <v>3245</v>
      </c>
      <c r="B3082" s="2" t="s">
        <v>25</v>
      </c>
      <c r="C3082" s="2">
        <v>1105.7360000000001</v>
      </c>
      <c r="D3082" s="2">
        <f>HYPERLINK("http://mcb-m6.bioreg.kyushu-u.ac.jp/M3/20110429/F51150/3030/1", 68.36)</f>
        <v>68.36</v>
      </c>
      <c r="E3082" s="2">
        <v>40.78</v>
      </c>
      <c r="F3082" s="2">
        <v>2</v>
      </c>
      <c r="G3082" s="2" t="s">
        <v>13</v>
      </c>
    </row>
    <row r="3083" spans="1:7" x14ac:dyDescent="0.2">
      <c r="A3083" s="2" t="s">
        <v>3245</v>
      </c>
      <c r="B3083" s="2" t="s">
        <v>25</v>
      </c>
      <c r="C3083" s="2">
        <v>1106.443</v>
      </c>
      <c r="D3083" s="2">
        <f>HYPERLINK("http://mcb-m6.bioreg.kyushu-u.ac.jp/M3/20110429/F51153/3840/1", 68.59)</f>
        <v>68.59</v>
      </c>
      <c r="E3083" s="2">
        <v>31.79</v>
      </c>
      <c r="F3083" s="2">
        <v>2</v>
      </c>
      <c r="G3083" s="2" t="s">
        <v>13</v>
      </c>
    </row>
    <row r="3084" spans="1:7" x14ac:dyDescent="0.2">
      <c r="A3084" s="2" t="s">
        <v>3245</v>
      </c>
      <c r="B3084" s="2" t="s">
        <v>25</v>
      </c>
      <c r="C3084" s="2">
        <v>1106.604</v>
      </c>
      <c r="D3084" s="2">
        <f>HYPERLINK("http://mcb-m6.bioreg.kyushu-u.ac.jp/M3/20110502/F51164/3163/1", 68.86)</f>
        <v>68.86</v>
      </c>
      <c r="E3084" s="2">
        <v>24.99</v>
      </c>
      <c r="F3084" s="2">
        <v>2</v>
      </c>
      <c r="G3084" s="2" t="s">
        <v>13</v>
      </c>
    </row>
    <row r="3085" spans="1:7" x14ac:dyDescent="0.2">
      <c r="A3085" s="2" t="s">
        <v>3245</v>
      </c>
      <c r="B3085" s="2" t="s">
        <v>25</v>
      </c>
      <c r="C3085" s="2">
        <v>1106.452</v>
      </c>
      <c r="D3085" s="2">
        <f>HYPERLINK("http://mcb-m6.bioreg.kyushu-u.ac.jp/M3/20110429/F51156/3233/1", 69.2)</f>
        <v>69.2</v>
      </c>
      <c r="E3085" s="2">
        <v>31.26</v>
      </c>
      <c r="F3085" s="2">
        <v>2</v>
      </c>
      <c r="G3085" s="2" t="s">
        <v>13</v>
      </c>
    </row>
    <row r="3086" spans="1:7" x14ac:dyDescent="0.2">
      <c r="A3086" s="2" t="s">
        <v>3245</v>
      </c>
      <c r="B3086" s="2" t="s">
        <v>25</v>
      </c>
      <c r="C3086" s="2">
        <v>1106.057</v>
      </c>
      <c r="D3086" s="2">
        <f>HYPERLINK("http://mcb-m6.bioreg.kyushu-u.ac.jp/M3/20110428/F51147/2897/1", 70.49)</f>
        <v>70.489999999999995</v>
      </c>
      <c r="E3086" s="2">
        <v>27.79</v>
      </c>
      <c r="F3086" s="2">
        <v>2</v>
      </c>
      <c r="G3086" s="2" t="s">
        <v>13</v>
      </c>
    </row>
    <row r="3087" spans="1:7" x14ac:dyDescent="0.2">
      <c r="A3087" s="2" t="s">
        <v>3245</v>
      </c>
      <c r="B3087" s="2" t="s">
        <v>25</v>
      </c>
      <c r="C3087" s="2">
        <v>1105.8679999999999</v>
      </c>
      <c r="D3087" s="2">
        <f>HYPERLINK("http://mcb-m6.bioreg.kyushu-u.ac.jp/M3/20110429/F51154/3568/1", 70.9)</f>
        <v>70.900000000000006</v>
      </c>
      <c r="E3087" s="2">
        <v>54.21</v>
      </c>
      <c r="F3087" s="2">
        <v>2</v>
      </c>
      <c r="G3087" s="2" t="s">
        <v>13</v>
      </c>
    </row>
    <row r="3088" spans="1:7" x14ac:dyDescent="0.2">
      <c r="A3088" s="2" t="s">
        <v>3245</v>
      </c>
      <c r="B3088" s="2" t="s">
        <v>25</v>
      </c>
      <c r="C3088" s="2">
        <v>737.91449999999998</v>
      </c>
      <c r="D3088" s="2">
        <f>HYPERLINK("http://mcb-m6.bioreg.kyushu-u.ac.jp/M3/20110428/F51146/3035/1", 72.32)</f>
        <v>72.319999999999993</v>
      </c>
      <c r="E3088" s="2">
        <v>38.36</v>
      </c>
      <c r="F3088" s="2">
        <v>3</v>
      </c>
      <c r="G3088" s="2" t="s">
        <v>13</v>
      </c>
    </row>
    <row r="3089" spans="1:7" x14ac:dyDescent="0.2">
      <c r="A3089" s="2" t="s">
        <v>3245</v>
      </c>
      <c r="B3089" s="2" t="s">
        <v>25</v>
      </c>
      <c r="C3089" s="2">
        <v>1105.519</v>
      </c>
      <c r="D3089" s="2">
        <f>HYPERLINK("http://mcb-m6.bioreg.kyushu-u.ac.jp/M3/20110429/F51149/2637/1", 73.53)</f>
        <v>73.53</v>
      </c>
      <c r="E3089" s="2">
        <v>57.08</v>
      </c>
      <c r="F3089" s="2">
        <v>2</v>
      </c>
      <c r="G3089" s="2" t="s">
        <v>13</v>
      </c>
    </row>
    <row r="3090" spans="1:7" x14ac:dyDescent="0.2">
      <c r="A3090" s="2" t="s">
        <v>3245</v>
      </c>
      <c r="B3090" s="2" t="s">
        <v>25</v>
      </c>
      <c r="C3090" s="2">
        <v>1106.509</v>
      </c>
      <c r="D3090" s="2">
        <f>HYPERLINK("http://mcb-m6.bioreg.kyushu-u.ac.jp/M3/20110429/F51150/3035/1", 73.94)</f>
        <v>73.94</v>
      </c>
      <c r="E3090" s="2">
        <v>44.18</v>
      </c>
      <c r="F3090" s="2">
        <v>2</v>
      </c>
      <c r="G3090" s="2" t="s">
        <v>13</v>
      </c>
    </row>
    <row r="3091" spans="1:7" x14ac:dyDescent="0.2">
      <c r="A3091" s="2" t="s">
        <v>3245</v>
      </c>
      <c r="B3091" s="2" t="s">
        <v>25</v>
      </c>
      <c r="C3091" s="2">
        <v>1105.895</v>
      </c>
      <c r="D3091" s="2">
        <f>HYPERLINK("http://mcb-m6.bioreg.kyushu-u.ac.jp/M3/20110429/F51151/3185/1", 74.84)</f>
        <v>74.84</v>
      </c>
      <c r="E3091" s="2">
        <v>61.03</v>
      </c>
      <c r="F3091" s="2">
        <v>2</v>
      </c>
      <c r="G3091" s="2" t="s">
        <v>13</v>
      </c>
    </row>
    <row r="3092" spans="1:7" x14ac:dyDescent="0.2">
      <c r="A3092" s="2" t="s">
        <v>3245</v>
      </c>
      <c r="B3092" s="2" t="s">
        <v>25</v>
      </c>
      <c r="C3092" s="2">
        <v>1105.9570000000001</v>
      </c>
      <c r="D3092" s="2">
        <f>HYPERLINK("http://mcb-m6.bioreg.kyushu-u.ac.jp/M3/20110429/F51155/3281/1", 75.28)</f>
        <v>75.28</v>
      </c>
      <c r="E3092" s="2">
        <v>39.92</v>
      </c>
      <c r="F3092" s="2">
        <v>2</v>
      </c>
      <c r="G3092" s="2" t="s">
        <v>13</v>
      </c>
    </row>
    <row r="3093" spans="1:7" x14ac:dyDescent="0.2">
      <c r="A3093" s="2" t="s">
        <v>3245</v>
      </c>
      <c r="B3093" s="2" t="s">
        <v>25</v>
      </c>
      <c r="C3093" s="2">
        <v>1105.9280000000001</v>
      </c>
      <c r="D3093" s="2">
        <f>HYPERLINK("http://mcb-m6.bioreg.kyushu-u.ac.jp/M3/20110429/F51153/3832/1", 78.06)</f>
        <v>78.06</v>
      </c>
      <c r="E3093" s="2">
        <v>55.63</v>
      </c>
      <c r="F3093" s="2">
        <v>2</v>
      </c>
      <c r="G3093" s="2" t="s">
        <v>13</v>
      </c>
    </row>
    <row r="3094" spans="1:7" x14ac:dyDescent="0.2">
      <c r="A3094" s="2" t="s">
        <v>3245</v>
      </c>
      <c r="B3094" s="2" t="s">
        <v>25</v>
      </c>
      <c r="C3094" s="2">
        <v>1106.3679999999999</v>
      </c>
      <c r="D3094" s="2">
        <f>HYPERLINK("http://mcb-m6.bioreg.kyushu-u.ac.jp/M3/20110428/F51147/2901/1", 78.75)</f>
        <v>78.75</v>
      </c>
      <c r="E3094" s="2">
        <v>33.86</v>
      </c>
      <c r="F3094" s="2">
        <v>2</v>
      </c>
      <c r="G3094" s="2" t="s">
        <v>13</v>
      </c>
    </row>
    <row r="3095" spans="1:7" x14ac:dyDescent="0.2">
      <c r="A3095" s="2" t="s">
        <v>3245</v>
      </c>
      <c r="B3095" s="2" t="s">
        <v>25</v>
      </c>
      <c r="C3095" s="2">
        <v>1106.354</v>
      </c>
      <c r="D3095" s="2">
        <f>HYPERLINK("http://mcb-m6.bioreg.kyushu-u.ac.jp/M3/20110428/F51147/2900/1", 81.66)</f>
        <v>81.66</v>
      </c>
      <c r="E3095" s="2">
        <v>21.11</v>
      </c>
      <c r="F3095" s="2">
        <v>2</v>
      </c>
      <c r="G3095" s="2" t="s">
        <v>13</v>
      </c>
    </row>
    <row r="3096" spans="1:7" x14ac:dyDescent="0.2">
      <c r="A3096" s="2" t="s">
        <v>3245</v>
      </c>
      <c r="B3096" s="2" t="s">
        <v>25</v>
      </c>
      <c r="C3096" s="2">
        <v>1105.867</v>
      </c>
      <c r="D3096" s="2">
        <f>HYPERLINK("http://mcb-m6.bioreg.kyushu-u.ac.jp/M3/20110429/F51152/3345/1", 83.09)</f>
        <v>83.09</v>
      </c>
      <c r="E3096" s="2">
        <v>63.85</v>
      </c>
      <c r="F3096" s="2">
        <v>2</v>
      </c>
      <c r="G3096" s="2" t="s">
        <v>13</v>
      </c>
    </row>
    <row r="3097" spans="1:7" x14ac:dyDescent="0.2">
      <c r="A3097" s="2" t="s">
        <v>3245</v>
      </c>
      <c r="B3097" s="2" t="s">
        <v>25</v>
      </c>
      <c r="C3097" s="2">
        <v>1105.693</v>
      </c>
      <c r="D3097" s="2">
        <f>HYPERLINK("http://mcb-m6.bioreg.kyushu-u.ac.jp/M3/20110429/F51150/3029/1", 83.92)</f>
        <v>83.92</v>
      </c>
      <c r="E3097" s="2">
        <v>53.55</v>
      </c>
      <c r="F3097" s="2">
        <v>2</v>
      </c>
      <c r="G3097" s="2" t="s">
        <v>13</v>
      </c>
    </row>
    <row r="3098" spans="1:7" x14ac:dyDescent="0.2">
      <c r="A3098" s="2" t="s">
        <v>3245</v>
      </c>
      <c r="B3098" s="2" t="s">
        <v>25</v>
      </c>
      <c r="C3098" s="2">
        <v>1106.319</v>
      </c>
      <c r="D3098" s="2">
        <f>HYPERLINK("http://mcb-m6.bioreg.kyushu-u.ac.jp/M3/20110428/F51147/2899/1", 84.96)</f>
        <v>84.96</v>
      </c>
      <c r="E3098" s="2">
        <v>51.16</v>
      </c>
      <c r="F3098" s="2">
        <v>2</v>
      </c>
      <c r="G3098" s="2" t="s">
        <v>13</v>
      </c>
    </row>
    <row r="3099" spans="1:7" x14ac:dyDescent="0.2">
      <c r="A3099" s="2" t="s">
        <v>3245</v>
      </c>
      <c r="B3099" s="2" t="s">
        <v>25</v>
      </c>
      <c r="C3099" s="2">
        <v>1106.05</v>
      </c>
      <c r="D3099" s="2">
        <f>HYPERLINK("http://mcb-m6.bioreg.kyushu-u.ac.jp/M3/20110502/F51164/3156/1", 91.22)</f>
        <v>91.22</v>
      </c>
      <c r="E3099" s="2">
        <v>51.12</v>
      </c>
      <c r="F3099" s="2">
        <v>2</v>
      </c>
      <c r="G3099" s="2" t="s">
        <v>13</v>
      </c>
    </row>
    <row r="3100" spans="1:7" x14ac:dyDescent="0.2">
      <c r="A3100" s="2" t="s">
        <v>3245</v>
      </c>
      <c r="B3100" s="2" t="s">
        <v>25</v>
      </c>
      <c r="C3100" s="2">
        <v>1105.7940000000001</v>
      </c>
      <c r="D3100" s="2">
        <f>HYPERLINK("http://mcb-m6.bioreg.kyushu-u.ac.jp/M3/20110428/F51147/2895/1", 92.64)</f>
        <v>92.64</v>
      </c>
      <c r="E3100" s="2">
        <v>59.81</v>
      </c>
      <c r="F3100" s="2">
        <v>2</v>
      </c>
      <c r="G3100" s="2" t="s">
        <v>13</v>
      </c>
    </row>
    <row r="3101" spans="1:7" x14ac:dyDescent="0.2">
      <c r="A3101" s="2" t="s">
        <v>3245</v>
      </c>
      <c r="B3101" s="2" t="s">
        <v>25</v>
      </c>
      <c r="C3101" s="2">
        <v>1105.914</v>
      </c>
      <c r="D3101" s="2">
        <f>HYPERLINK("http://mcb-m6.bioreg.kyushu-u.ac.jp/M3/20110429/F51153/3829/1", 95.65)</f>
        <v>95.65</v>
      </c>
      <c r="E3101" s="2">
        <v>76.510000000000005</v>
      </c>
      <c r="F3101" s="2">
        <v>2</v>
      </c>
      <c r="G3101" s="2" t="s">
        <v>13</v>
      </c>
    </row>
    <row r="3102" spans="1:7" x14ac:dyDescent="0.2">
      <c r="A3102" s="2" t="s">
        <v>3245</v>
      </c>
      <c r="B3102" s="2" t="s">
        <v>25</v>
      </c>
      <c r="C3102" s="2">
        <v>1106.4010000000001</v>
      </c>
      <c r="D3102" s="2">
        <f>HYPERLINK("http://mcb-m6.bioreg.kyushu-u.ac.jp/M3/20110428/F51147/2903/1", 98.47)</f>
        <v>98.47</v>
      </c>
      <c r="E3102" s="2">
        <v>45.73</v>
      </c>
      <c r="F3102" s="2">
        <v>2</v>
      </c>
      <c r="G3102" s="2" t="s">
        <v>13</v>
      </c>
    </row>
    <row r="3103" spans="1:7" x14ac:dyDescent="0.2">
      <c r="A3103" s="2" t="s">
        <v>3245</v>
      </c>
      <c r="B3103" s="2" t="s">
        <v>25</v>
      </c>
      <c r="C3103" s="2">
        <v>1106.3320000000001</v>
      </c>
      <c r="D3103" s="2">
        <f>HYPERLINK("http://mcb-m6.bioreg.kyushu-u.ac.jp/M3/20110428/F51146/3032/1", 101.05)</f>
        <v>101.05</v>
      </c>
      <c r="E3103" s="2">
        <v>34.5</v>
      </c>
      <c r="F3103" s="2">
        <v>2</v>
      </c>
      <c r="G3103" s="2" t="s">
        <v>13</v>
      </c>
    </row>
    <row r="3104" spans="1:7" x14ac:dyDescent="0.2">
      <c r="A3104" s="2" t="s">
        <v>3245</v>
      </c>
      <c r="B3104" s="2" t="s">
        <v>25</v>
      </c>
      <c r="C3104" s="2">
        <v>1105.82</v>
      </c>
      <c r="D3104" s="2">
        <f>HYPERLINK("http://mcb-m6.bioreg.kyushu-u.ac.jp/M3/20110428/F51146/3027/1", 106.07)</f>
        <v>106.07</v>
      </c>
      <c r="E3104" s="2">
        <v>57.15</v>
      </c>
      <c r="F3104" s="2">
        <v>2</v>
      </c>
      <c r="G3104" s="2" t="s">
        <v>13</v>
      </c>
    </row>
    <row r="3105" spans="1:7" x14ac:dyDescent="0.2">
      <c r="A3105" s="2" t="s">
        <v>3245</v>
      </c>
      <c r="B3105" s="2" t="s">
        <v>25</v>
      </c>
      <c r="C3105" s="2">
        <v>1106.33</v>
      </c>
      <c r="D3105" s="2">
        <f>HYPERLINK("http://mcb-m6.bioreg.kyushu-u.ac.jp/M3/20110428/F51146/3031/1", 110.59)</f>
        <v>110.59</v>
      </c>
      <c r="E3105" s="2">
        <v>41.3</v>
      </c>
      <c r="F3105" s="2">
        <v>2</v>
      </c>
      <c r="G3105" s="2" t="s">
        <v>13</v>
      </c>
    </row>
    <row r="3106" spans="1:7" x14ac:dyDescent="0.2">
      <c r="A3106" s="2" t="s">
        <v>3245</v>
      </c>
      <c r="B3106" s="2" t="s">
        <v>25</v>
      </c>
      <c r="C3106" s="2">
        <v>1106.633</v>
      </c>
      <c r="D3106" s="2">
        <f>HYPERLINK("http://mcb-m6.bioreg.kyushu-u.ac.jp/M3/20110428/F51141/3679/1", 35.49)</f>
        <v>35.49</v>
      </c>
      <c r="E3106" s="2">
        <v>11.12</v>
      </c>
      <c r="F3106" s="2">
        <v>2</v>
      </c>
      <c r="G3106" s="2" t="s">
        <v>14</v>
      </c>
    </row>
    <row r="3107" spans="1:7" x14ac:dyDescent="0.2">
      <c r="A3107" s="2" t="s">
        <v>3245</v>
      </c>
      <c r="B3107" s="2" t="s">
        <v>25</v>
      </c>
      <c r="C3107" s="2">
        <v>1106.5260000000001</v>
      </c>
      <c r="D3107" s="2">
        <f>HYPERLINK("http://mcb-m6.bioreg.kyushu-u.ac.jp/M3/20110428/F51140/3337/1", 35.82)</f>
        <v>35.82</v>
      </c>
      <c r="E3107" s="2">
        <v>16.62</v>
      </c>
      <c r="F3107" s="2">
        <v>2</v>
      </c>
      <c r="G3107" s="2" t="s">
        <v>14</v>
      </c>
    </row>
    <row r="3108" spans="1:7" x14ac:dyDescent="0.2">
      <c r="A3108" s="2" t="s">
        <v>3245</v>
      </c>
      <c r="B3108" s="2" t="s">
        <v>25</v>
      </c>
      <c r="C3108" s="2">
        <v>1106.152</v>
      </c>
      <c r="D3108" s="2">
        <f>HYPERLINK("http://mcb-m6.bioreg.kyushu-u.ac.jp/M3/20110428/F51137/2627/1", 36.03)</f>
        <v>36.03</v>
      </c>
      <c r="E3108" s="2">
        <v>13.48</v>
      </c>
      <c r="F3108" s="2">
        <v>2</v>
      </c>
      <c r="G3108" s="2" t="s">
        <v>14</v>
      </c>
    </row>
    <row r="3109" spans="1:7" x14ac:dyDescent="0.2">
      <c r="A3109" s="2" t="s">
        <v>3245</v>
      </c>
      <c r="B3109" s="2" t="s">
        <v>25</v>
      </c>
      <c r="C3109" s="2">
        <v>1106.125</v>
      </c>
      <c r="D3109" s="2">
        <f>HYPERLINK("http://mcb-m6.bioreg.kyushu-u.ac.jp/M3/20110428/F51142/3625/1", 36.26)</f>
        <v>36.26</v>
      </c>
      <c r="E3109" s="2">
        <v>18.57</v>
      </c>
      <c r="F3109" s="2">
        <v>2</v>
      </c>
      <c r="G3109" s="2" t="s">
        <v>14</v>
      </c>
    </row>
    <row r="3110" spans="1:7" x14ac:dyDescent="0.2">
      <c r="A3110" s="2" t="s">
        <v>3245</v>
      </c>
      <c r="B3110" s="2" t="s">
        <v>25</v>
      </c>
      <c r="C3110" s="2">
        <v>1106.4870000000001</v>
      </c>
      <c r="D3110" s="2">
        <f>HYPERLINK("http://mcb-m6.bioreg.kyushu-u.ac.jp/M3/20110428/F51141/3675/1", 36.66)</f>
        <v>36.659999999999997</v>
      </c>
      <c r="E3110" s="2">
        <v>18.399999999999999</v>
      </c>
      <c r="F3110" s="2">
        <v>2</v>
      </c>
      <c r="G3110" s="2" t="s">
        <v>14</v>
      </c>
    </row>
    <row r="3111" spans="1:7" x14ac:dyDescent="0.2">
      <c r="A3111" s="2" t="s">
        <v>3245</v>
      </c>
      <c r="B3111" s="2" t="s">
        <v>25</v>
      </c>
      <c r="C3111" s="2">
        <v>1106.595</v>
      </c>
      <c r="D3111" s="2">
        <f>HYPERLINK("http://mcb-m6.bioreg.kyushu-u.ac.jp/M3/20110502/F51160/2955/1", 36.66)</f>
        <v>36.659999999999997</v>
      </c>
      <c r="E3111" s="2">
        <v>17.329999999999998</v>
      </c>
      <c r="F3111" s="2">
        <v>2</v>
      </c>
      <c r="G3111" s="2" t="s">
        <v>14</v>
      </c>
    </row>
    <row r="3112" spans="1:7" x14ac:dyDescent="0.2">
      <c r="A3112" s="2" t="s">
        <v>3245</v>
      </c>
      <c r="B3112" s="2" t="s">
        <v>25</v>
      </c>
      <c r="C3112" s="2">
        <v>1106.5989999999999</v>
      </c>
      <c r="D3112" s="2">
        <f>HYPERLINK("http://mcb-m6.bioreg.kyushu-u.ac.jp/M3/20110428/F51144/3549/1", 36.89)</f>
        <v>36.89</v>
      </c>
      <c r="E3112" s="2">
        <v>16.190000000000001</v>
      </c>
      <c r="F3112" s="2">
        <v>2</v>
      </c>
      <c r="G3112" s="2" t="s">
        <v>14</v>
      </c>
    </row>
    <row r="3113" spans="1:7" x14ac:dyDescent="0.2">
      <c r="A3113" s="2" t="s">
        <v>3245</v>
      </c>
      <c r="B3113" s="2" t="s">
        <v>25</v>
      </c>
      <c r="C3113" s="2">
        <v>737.70280000000002</v>
      </c>
      <c r="D3113" s="2">
        <f>HYPERLINK("http://mcb-m6.bioreg.kyushu-u.ac.jp/M3/20110428/F51142/3622/1", 39.37)</f>
        <v>39.369999999999997</v>
      </c>
      <c r="E3113" s="2">
        <v>16.23</v>
      </c>
      <c r="F3113" s="2">
        <v>3</v>
      </c>
      <c r="G3113" s="2" t="s">
        <v>14</v>
      </c>
    </row>
    <row r="3114" spans="1:7" x14ac:dyDescent="0.2">
      <c r="A3114" s="2" t="s">
        <v>3245</v>
      </c>
      <c r="B3114" s="2" t="s">
        <v>25</v>
      </c>
      <c r="C3114" s="2">
        <v>1106.3679999999999</v>
      </c>
      <c r="D3114" s="2">
        <f>HYPERLINK("http://mcb-m6.bioreg.kyushu-u.ac.jp/M3/20110428/F51141/3672/1", 39.89)</f>
        <v>39.89</v>
      </c>
      <c r="E3114" s="2">
        <v>18.79</v>
      </c>
      <c r="F3114" s="2">
        <v>2</v>
      </c>
      <c r="G3114" s="2" t="s">
        <v>14</v>
      </c>
    </row>
    <row r="3115" spans="1:7" x14ac:dyDescent="0.2">
      <c r="A3115" s="2" t="s">
        <v>3245</v>
      </c>
      <c r="B3115" s="2" t="s">
        <v>25</v>
      </c>
      <c r="C3115" s="2">
        <v>1106.6489999999999</v>
      </c>
      <c r="D3115" s="2">
        <f>HYPERLINK("http://mcb-m6.bioreg.kyushu-u.ac.jp/M3/20110502/F51162/2861/1", 39.9)</f>
        <v>39.9</v>
      </c>
      <c r="E3115" s="2">
        <v>16.86</v>
      </c>
      <c r="F3115" s="2">
        <v>2</v>
      </c>
      <c r="G3115" s="2" t="s">
        <v>14</v>
      </c>
    </row>
    <row r="3116" spans="1:7" x14ac:dyDescent="0.2">
      <c r="A3116" s="2" t="s">
        <v>3245</v>
      </c>
      <c r="B3116" s="2" t="s">
        <v>25</v>
      </c>
      <c r="C3116" s="2">
        <v>1106.019</v>
      </c>
      <c r="D3116" s="2">
        <f>HYPERLINK("http://mcb-m6.bioreg.kyushu-u.ac.jp/M3/20110428/F51136/2571/1", 40.67)</f>
        <v>40.67</v>
      </c>
      <c r="E3116" s="2">
        <v>17.440000000000001</v>
      </c>
      <c r="F3116" s="2">
        <v>2</v>
      </c>
      <c r="G3116" s="2" t="s">
        <v>14</v>
      </c>
    </row>
    <row r="3117" spans="1:7" x14ac:dyDescent="0.2">
      <c r="A3117" s="2" t="s">
        <v>3245</v>
      </c>
      <c r="B3117" s="2" t="s">
        <v>25</v>
      </c>
      <c r="C3117" s="2">
        <v>1106.114</v>
      </c>
      <c r="D3117" s="2">
        <f>HYPERLINK("http://mcb-m6.bioreg.kyushu-u.ac.jp/M3/20110428/F51144/3542/1", 40.89)</f>
        <v>40.89</v>
      </c>
      <c r="E3117" s="2">
        <v>18.07</v>
      </c>
      <c r="F3117" s="2">
        <v>2</v>
      </c>
      <c r="G3117" s="2" t="s">
        <v>14</v>
      </c>
    </row>
    <row r="3118" spans="1:7" x14ac:dyDescent="0.2">
      <c r="A3118" s="2" t="s">
        <v>3245</v>
      </c>
      <c r="B3118" s="2" t="s">
        <v>25</v>
      </c>
      <c r="C3118" s="2">
        <v>1106.019</v>
      </c>
      <c r="D3118" s="2">
        <f>HYPERLINK("http://mcb-m6.bioreg.kyushu-u.ac.jp/M3/20110428/F51139/2503/1", 42.94)</f>
        <v>42.94</v>
      </c>
      <c r="E3118" s="2">
        <v>21.62</v>
      </c>
      <c r="F3118" s="2">
        <v>2</v>
      </c>
      <c r="G3118" s="2" t="s">
        <v>14</v>
      </c>
    </row>
    <row r="3119" spans="1:7" x14ac:dyDescent="0.2">
      <c r="A3119" s="2" t="s">
        <v>3245</v>
      </c>
      <c r="B3119" s="2" t="s">
        <v>25</v>
      </c>
      <c r="C3119" s="2">
        <v>1106.2049999999999</v>
      </c>
      <c r="D3119" s="2">
        <f>HYPERLINK("http://mcb-m6.bioreg.kyushu-u.ac.jp/M3/20110428/F51144/3546/1", 43.08)</f>
        <v>43.08</v>
      </c>
      <c r="E3119" s="2">
        <v>23.08</v>
      </c>
      <c r="F3119" s="2">
        <v>2</v>
      </c>
      <c r="G3119" s="2" t="s">
        <v>14</v>
      </c>
    </row>
    <row r="3120" spans="1:7" x14ac:dyDescent="0.2">
      <c r="A3120" s="2" t="s">
        <v>3245</v>
      </c>
      <c r="B3120" s="2" t="s">
        <v>25</v>
      </c>
      <c r="C3120" s="2">
        <v>738.01649999999995</v>
      </c>
      <c r="D3120" s="2">
        <f>HYPERLINK("http://mcb-m6.bioreg.kyushu-u.ac.jp/M3/20110428/F51143/3352/1", 44.08)</f>
        <v>44.08</v>
      </c>
      <c r="E3120" s="2">
        <v>21.44</v>
      </c>
      <c r="F3120" s="2">
        <v>3</v>
      </c>
      <c r="G3120" s="2" t="s">
        <v>14</v>
      </c>
    </row>
    <row r="3121" spans="1:7" x14ac:dyDescent="0.2">
      <c r="A3121" s="2" t="s">
        <v>3245</v>
      </c>
      <c r="B3121" s="2" t="s">
        <v>25</v>
      </c>
      <c r="C3121" s="2">
        <v>737.8682</v>
      </c>
      <c r="D3121" s="2">
        <f>HYPERLINK("http://mcb-m6.bioreg.kyushu-u.ac.jp/M3/20110428/F51144/3547/1", 44.29)</f>
        <v>44.29</v>
      </c>
      <c r="E3121" s="2">
        <v>23.37</v>
      </c>
      <c r="F3121" s="2">
        <v>3</v>
      </c>
      <c r="G3121" s="2" t="s">
        <v>14</v>
      </c>
    </row>
    <row r="3122" spans="1:7" x14ac:dyDescent="0.2">
      <c r="A3122" s="2" t="s">
        <v>3245</v>
      </c>
      <c r="B3122" s="2" t="s">
        <v>25</v>
      </c>
      <c r="C3122" s="2">
        <v>1105.7829999999999</v>
      </c>
      <c r="D3122" s="2">
        <f>HYPERLINK("http://mcb-m6.bioreg.kyushu-u.ac.jp/M3/20110428/F51139/2502/1", 44.65)</f>
        <v>44.65</v>
      </c>
      <c r="E3122" s="2">
        <v>35.11</v>
      </c>
      <c r="F3122" s="2">
        <v>2</v>
      </c>
      <c r="G3122" s="2" t="s">
        <v>14</v>
      </c>
    </row>
    <row r="3123" spans="1:7" x14ac:dyDescent="0.2">
      <c r="A3123" s="2" t="s">
        <v>3245</v>
      </c>
      <c r="B3123" s="2" t="s">
        <v>25</v>
      </c>
      <c r="C3123" s="2">
        <v>1106.654</v>
      </c>
      <c r="D3123" s="2">
        <f>HYPERLINK("http://mcb-m6.bioreg.kyushu-u.ac.jp/M3/20110502/F51161/2767/1", 44.7)</f>
        <v>44.7</v>
      </c>
      <c r="E3123" s="2">
        <v>26.75</v>
      </c>
      <c r="F3123" s="2">
        <v>2</v>
      </c>
      <c r="G3123" s="2" t="s">
        <v>14</v>
      </c>
    </row>
    <row r="3124" spans="1:7" x14ac:dyDescent="0.2">
      <c r="A3124" s="2" t="s">
        <v>3245</v>
      </c>
      <c r="B3124" s="2" t="s">
        <v>25</v>
      </c>
      <c r="C3124" s="2">
        <v>737.9769</v>
      </c>
      <c r="D3124" s="2">
        <f>HYPERLINK("http://mcb-m6.bioreg.kyushu-u.ac.jp/M3/20110428/F51141/3674/1", 45.06)</f>
        <v>45.06</v>
      </c>
      <c r="E3124" s="2">
        <v>22.86</v>
      </c>
      <c r="F3124" s="2">
        <v>3</v>
      </c>
      <c r="G3124" s="2" t="s">
        <v>14</v>
      </c>
    </row>
    <row r="3125" spans="1:7" x14ac:dyDescent="0.2">
      <c r="A3125" s="2" t="s">
        <v>3245</v>
      </c>
      <c r="B3125" s="2" t="s">
        <v>25</v>
      </c>
      <c r="C3125" s="2">
        <v>1106.6279999999999</v>
      </c>
      <c r="D3125" s="2">
        <f>HYPERLINK("http://mcb-m6.bioreg.kyushu-u.ac.jp/M3/20110428/F51143/3356/1", 45.25)</f>
        <v>45.25</v>
      </c>
      <c r="E3125" s="2">
        <v>24.35</v>
      </c>
      <c r="F3125" s="2">
        <v>2</v>
      </c>
      <c r="G3125" s="2" t="s">
        <v>14</v>
      </c>
    </row>
    <row r="3126" spans="1:7" x14ac:dyDescent="0.2">
      <c r="A3126" s="2" t="s">
        <v>3245</v>
      </c>
      <c r="B3126" s="2" t="s">
        <v>25</v>
      </c>
      <c r="C3126" s="2">
        <v>1106.5260000000001</v>
      </c>
      <c r="D3126" s="2">
        <f>HYPERLINK("http://mcb-m6.bioreg.kyushu-u.ac.jp/M3/20110428/F51136/2576/1", 45.43)</f>
        <v>45.43</v>
      </c>
      <c r="E3126" s="2">
        <v>28.49</v>
      </c>
      <c r="F3126" s="2">
        <v>2</v>
      </c>
      <c r="G3126" s="2" t="s">
        <v>14</v>
      </c>
    </row>
    <row r="3127" spans="1:7" x14ac:dyDescent="0.2">
      <c r="A3127" s="2" t="s">
        <v>3245</v>
      </c>
      <c r="B3127" s="2" t="s">
        <v>25</v>
      </c>
      <c r="C3127" s="2">
        <v>737.73590000000002</v>
      </c>
      <c r="D3127" s="2">
        <f>HYPERLINK("http://mcb-m6.bioreg.kyushu-u.ac.jp/M3/20110428/F51141/3668/1", 46.34)</f>
        <v>46.34</v>
      </c>
      <c r="E3127" s="2">
        <v>25.79</v>
      </c>
      <c r="F3127" s="2">
        <v>3</v>
      </c>
      <c r="G3127" s="2" t="s">
        <v>14</v>
      </c>
    </row>
    <row r="3128" spans="1:7" x14ac:dyDescent="0.2">
      <c r="A3128" s="2" t="s">
        <v>3245</v>
      </c>
      <c r="B3128" s="2" t="s">
        <v>25</v>
      </c>
      <c r="C3128" s="2">
        <v>1106.6469999999999</v>
      </c>
      <c r="D3128" s="2">
        <f>HYPERLINK("http://mcb-m6.bioreg.kyushu-u.ac.jp/M3/20110428/F51143/3358/1", 46.68)</f>
        <v>46.68</v>
      </c>
      <c r="E3128" s="2">
        <v>20.75</v>
      </c>
      <c r="F3128" s="2">
        <v>2</v>
      </c>
      <c r="G3128" s="2" t="s">
        <v>14</v>
      </c>
    </row>
    <row r="3129" spans="1:7" x14ac:dyDescent="0.2">
      <c r="A3129" s="2" t="s">
        <v>3245</v>
      </c>
      <c r="B3129" s="2" t="s">
        <v>25</v>
      </c>
      <c r="C3129" s="2">
        <v>1106.6310000000001</v>
      </c>
      <c r="D3129" s="2">
        <f>HYPERLINK("http://mcb-m6.bioreg.kyushu-u.ac.jp/M3/20110428/F51144/3552/1", 46.74)</f>
        <v>46.74</v>
      </c>
      <c r="E3129" s="2">
        <v>18.309999999999999</v>
      </c>
      <c r="F3129" s="2">
        <v>2</v>
      </c>
      <c r="G3129" s="2" t="s">
        <v>14</v>
      </c>
    </row>
    <row r="3130" spans="1:7" x14ac:dyDescent="0.2">
      <c r="A3130" s="2" t="s">
        <v>3245</v>
      </c>
      <c r="B3130" s="2" t="s">
        <v>25</v>
      </c>
      <c r="C3130" s="2">
        <v>1106.646</v>
      </c>
      <c r="D3130" s="2">
        <f>HYPERLINK("http://mcb-m6.bioreg.kyushu-u.ac.jp/M3/20110428/F51143/3357/1", 47.49)</f>
        <v>47.49</v>
      </c>
      <c r="E3130" s="2">
        <v>17.54</v>
      </c>
      <c r="F3130" s="2">
        <v>2</v>
      </c>
      <c r="G3130" s="2" t="s">
        <v>14</v>
      </c>
    </row>
    <row r="3131" spans="1:7" x14ac:dyDescent="0.2">
      <c r="A3131" s="2" t="s">
        <v>3245</v>
      </c>
      <c r="B3131" s="2" t="s">
        <v>25</v>
      </c>
      <c r="C3131" s="2">
        <v>1106.155</v>
      </c>
      <c r="D3131" s="2">
        <f>HYPERLINK("http://mcb-m6.bioreg.kyushu-u.ac.jp/M3/20110502/F51161/2762/1", 47.65)</f>
        <v>47.65</v>
      </c>
      <c r="E3131" s="2">
        <v>26.14</v>
      </c>
      <c r="F3131" s="2">
        <v>2</v>
      </c>
      <c r="G3131" s="2" t="s">
        <v>14</v>
      </c>
    </row>
    <row r="3132" spans="1:7" x14ac:dyDescent="0.2">
      <c r="A3132" s="2" t="s">
        <v>3245</v>
      </c>
      <c r="B3132" s="2" t="s">
        <v>25</v>
      </c>
      <c r="C3132" s="2">
        <v>1105.971</v>
      </c>
      <c r="D3132" s="2">
        <f>HYPERLINK("http://mcb-m6.bioreg.kyushu-u.ac.jp/M3/20110502/F51160/2948/1", 49.14)</f>
        <v>49.14</v>
      </c>
      <c r="E3132" s="2">
        <v>26.68</v>
      </c>
      <c r="F3132" s="2">
        <v>2</v>
      </c>
      <c r="G3132" s="2" t="s">
        <v>14</v>
      </c>
    </row>
    <row r="3133" spans="1:7" x14ac:dyDescent="0.2">
      <c r="A3133" s="2" t="s">
        <v>3245</v>
      </c>
      <c r="B3133" s="2" t="s">
        <v>25</v>
      </c>
      <c r="C3133" s="2">
        <v>737.92880000000002</v>
      </c>
      <c r="D3133" s="2">
        <f>HYPERLINK("http://mcb-m6.bioreg.kyushu-u.ac.jp/M3/20110502/F51161/2765/1", 50.34)</f>
        <v>50.34</v>
      </c>
      <c r="E3133" s="2">
        <v>24.84</v>
      </c>
      <c r="F3133" s="2">
        <v>3</v>
      </c>
      <c r="G3133" s="2" t="s">
        <v>14</v>
      </c>
    </row>
    <row r="3134" spans="1:7" x14ac:dyDescent="0.2">
      <c r="A3134" s="2" t="s">
        <v>3245</v>
      </c>
      <c r="B3134" s="2" t="s">
        <v>25</v>
      </c>
      <c r="C3134" s="2">
        <v>738.03620000000001</v>
      </c>
      <c r="D3134" s="2">
        <f>HYPERLINK("http://mcb-m6.bioreg.kyushu-u.ac.jp/M3/20110428/F51140/3338/1", 50.89)</f>
        <v>50.89</v>
      </c>
      <c r="E3134" s="2">
        <v>26.12</v>
      </c>
      <c r="F3134" s="2">
        <v>3</v>
      </c>
      <c r="G3134" s="2" t="s">
        <v>14</v>
      </c>
    </row>
    <row r="3135" spans="1:7" x14ac:dyDescent="0.2">
      <c r="A3135" s="2" t="s">
        <v>3245</v>
      </c>
      <c r="B3135" s="2" t="s">
        <v>25</v>
      </c>
      <c r="C3135" s="2">
        <v>1106.145</v>
      </c>
      <c r="D3135" s="2">
        <f>HYPERLINK("http://mcb-m6.bioreg.kyushu-u.ac.jp/M3/20110428/F51144/3544/1", 52.23)</f>
        <v>52.23</v>
      </c>
      <c r="E3135" s="2">
        <v>22.77</v>
      </c>
      <c r="F3135" s="2">
        <v>2</v>
      </c>
      <c r="G3135" s="2" t="s">
        <v>14</v>
      </c>
    </row>
    <row r="3136" spans="1:7" x14ac:dyDescent="0.2">
      <c r="A3136" s="2" t="s">
        <v>3245</v>
      </c>
      <c r="B3136" s="2" t="s">
        <v>25</v>
      </c>
      <c r="C3136" s="2">
        <v>1106.124</v>
      </c>
      <c r="D3136" s="2">
        <f>HYPERLINK("http://mcb-m6.bioreg.kyushu-u.ac.jp/M3/20110428/F51144/3543/1", 52.42)</f>
        <v>52.42</v>
      </c>
      <c r="E3136" s="2">
        <v>23.47</v>
      </c>
      <c r="F3136" s="2">
        <v>2</v>
      </c>
      <c r="G3136" s="2" t="s">
        <v>14</v>
      </c>
    </row>
    <row r="3137" spans="1:7" x14ac:dyDescent="0.2">
      <c r="A3137" s="2" t="s">
        <v>3245</v>
      </c>
      <c r="B3137" s="2" t="s">
        <v>25</v>
      </c>
      <c r="C3137" s="2">
        <v>1106.6199999999999</v>
      </c>
      <c r="D3137" s="2">
        <f>HYPERLINK("http://mcb-m6.bioreg.kyushu-u.ac.jp/M3/20110428/F51144/3551/1", 52.85)</f>
        <v>52.85</v>
      </c>
      <c r="E3137" s="2">
        <v>26.35</v>
      </c>
      <c r="F3137" s="2">
        <v>2</v>
      </c>
      <c r="G3137" s="2" t="s">
        <v>14</v>
      </c>
    </row>
    <row r="3138" spans="1:7" x14ac:dyDescent="0.2">
      <c r="A3138" s="2" t="s">
        <v>3245</v>
      </c>
      <c r="B3138" s="2" t="s">
        <v>25</v>
      </c>
      <c r="C3138" s="2">
        <v>1106.653</v>
      </c>
      <c r="D3138" s="2">
        <f>HYPERLINK("http://mcb-m6.bioreg.kyushu-u.ac.jp/M3/20110428/F51142/3634/1", 54.07)</f>
        <v>54.07</v>
      </c>
      <c r="E3138" s="2">
        <v>36.97</v>
      </c>
      <c r="F3138" s="2">
        <v>2</v>
      </c>
      <c r="G3138" s="2" t="s">
        <v>14</v>
      </c>
    </row>
    <row r="3139" spans="1:7" x14ac:dyDescent="0.2">
      <c r="A3139" s="2" t="s">
        <v>3245</v>
      </c>
      <c r="B3139" s="2" t="s">
        <v>25</v>
      </c>
      <c r="C3139" s="2">
        <v>1106.627</v>
      </c>
      <c r="D3139" s="2">
        <f>HYPERLINK("http://mcb-m6.bioreg.kyushu-u.ac.jp/M3/20110428/F51142/3632/1", 54.71)</f>
        <v>54.71</v>
      </c>
      <c r="E3139" s="2">
        <v>21.99</v>
      </c>
      <c r="F3139" s="2">
        <v>2</v>
      </c>
      <c r="G3139" s="2" t="s">
        <v>14</v>
      </c>
    </row>
    <row r="3140" spans="1:7" x14ac:dyDescent="0.2">
      <c r="A3140" s="2" t="s">
        <v>3245</v>
      </c>
      <c r="B3140" s="2" t="s">
        <v>25</v>
      </c>
      <c r="C3140" s="2">
        <v>1106.597</v>
      </c>
      <c r="D3140" s="2">
        <f>HYPERLINK("http://mcb-m6.bioreg.kyushu-u.ac.jp/M3/20110428/F51141/3677/1", 55.2)</f>
        <v>55.2</v>
      </c>
      <c r="E3140" s="2">
        <v>35.17</v>
      </c>
      <c r="F3140" s="2">
        <v>2</v>
      </c>
      <c r="G3140" s="2" t="s">
        <v>14</v>
      </c>
    </row>
    <row r="3141" spans="1:7" x14ac:dyDescent="0.2">
      <c r="A3141" s="2" t="s">
        <v>3245</v>
      </c>
      <c r="B3141" s="2" t="s">
        <v>25</v>
      </c>
      <c r="C3141" s="2">
        <v>1106.2750000000001</v>
      </c>
      <c r="D3141" s="2">
        <f>HYPERLINK("http://mcb-m6.bioreg.kyushu-u.ac.jp/M3/20110428/F51142/3627/1", 56.67)</f>
        <v>56.67</v>
      </c>
      <c r="E3141" s="2">
        <v>32.22</v>
      </c>
      <c r="F3141" s="2">
        <v>2</v>
      </c>
      <c r="G3141" s="2" t="s">
        <v>14</v>
      </c>
    </row>
    <row r="3142" spans="1:7" x14ac:dyDescent="0.2">
      <c r="A3142" s="2" t="s">
        <v>3245</v>
      </c>
      <c r="B3142" s="2" t="s">
        <v>25</v>
      </c>
      <c r="C3142" s="2">
        <v>1106.2070000000001</v>
      </c>
      <c r="D3142" s="2">
        <f>HYPERLINK("http://mcb-m6.bioreg.kyushu-u.ac.jp/M3/20110502/F51159/3144/1", 57.54)</f>
        <v>57.54</v>
      </c>
      <c r="E3142" s="2">
        <v>31.68</v>
      </c>
      <c r="F3142" s="2">
        <v>2</v>
      </c>
      <c r="G3142" s="2" t="s">
        <v>14</v>
      </c>
    </row>
    <row r="3143" spans="1:7" x14ac:dyDescent="0.2">
      <c r="A3143" s="2" t="s">
        <v>3245</v>
      </c>
      <c r="B3143" s="2" t="s">
        <v>25</v>
      </c>
      <c r="C3143" s="2">
        <v>1106.6389999999999</v>
      </c>
      <c r="D3143" s="2">
        <f>HYPERLINK("http://mcb-m6.bioreg.kyushu-u.ac.jp/M3/20110428/F51142/3633/1", 59.35)</f>
        <v>59.35</v>
      </c>
      <c r="E3143" s="2">
        <v>30.2</v>
      </c>
      <c r="F3143" s="2">
        <v>2</v>
      </c>
      <c r="G3143" s="2" t="s">
        <v>14</v>
      </c>
    </row>
    <row r="3144" spans="1:7" x14ac:dyDescent="0.2">
      <c r="A3144" s="2" t="s">
        <v>3245</v>
      </c>
      <c r="B3144" s="2" t="s">
        <v>25</v>
      </c>
      <c r="C3144" s="2">
        <v>738.07550000000003</v>
      </c>
      <c r="D3144" s="2">
        <f>HYPERLINK("http://mcb-m6.bioreg.kyushu-u.ac.jp/M3/20110428/F51144/3550/1", 59.92)</f>
        <v>59.92</v>
      </c>
      <c r="E3144" s="2">
        <v>27.59</v>
      </c>
      <c r="F3144" s="2">
        <v>3</v>
      </c>
      <c r="G3144" s="2" t="s">
        <v>14</v>
      </c>
    </row>
    <row r="3145" spans="1:7" x14ac:dyDescent="0.2">
      <c r="A3145" s="2" t="s">
        <v>3245</v>
      </c>
      <c r="B3145" s="2" t="s">
        <v>25</v>
      </c>
      <c r="C3145" s="2">
        <v>1105.539</v>
      </c>
      <c r="D3145" s="2">
        <f>HYPERLINK("http://mcb-m6.bioreg.kyushu-u.ac.jp/M3/20110428/F51143/3340/1", 61.61)</f>
        <v>61.61</v>
      </c>
      <c r="E3145" s="2">
        <v>47.32</v>
      </c>
      <c r="F3145" s="2">
        <v>2</v>
      </c>
      <c r="G3145" s="2" t="s">
        <v>14</v>
      </c>
    </row>
    <row r="3146" spans="1:7" x14ac:dyDescent="0.2">
      <c r="A3146" s="2" t="s">
        <v>3245</v>
      </c>
      <c r="B3146" s="2" t="s">
        <v>25</v>
      </c>
      <c r="C3146" s="2">
        <v>1106.0820000000001</v>
      </c>
      <c r="D3146" s="2">
        <f>HYPERLINK("http://mcb-m6.bioreg.kyushu-u.ac.jp/M3/20110428/F51144/3540/1", 61.77)</f>
        <v>61.77</v>
      </c>
      <c r="E3146" s="2">
        <v>35.409999999999997</v>
      </c>
      <c r="F3146" s="2">
        <v>2</v>
      </c>
      <c r="G3146" s="2" t="s">
        <v>14</v>
      </c>
    </row>
    <row r="3147" spans="1:7" x14ac:dyDescent="0.2">
      <c r="A3147" s="2" t="s">
        <v>3245</v>
      </c>
      <c r="B3147" s="2" t="s">
        <v>25</v>
      </c>
      <c r="C3147" s="2">
        <v>738.03679999999997</v>
      </c>
      <c r="D3147" s="2">
        <f>HYPERLINK("http://mcb-m6.bioreg.kyushu-u.ac.jp/M3/20110502/F51160/2953/1", 63.58)</f>
        <v>63.58</v>
      </c>
      <c r="E3147" s="2">
        <v>36.04</v>
      </c>
      <c r="F3147" s="2">
        <v>3</v>
      </c>
      <c r="G3147" s="2" t="s">
        <v>14</v>
      </c>
    </row>
    <row r="3148" spans="1:7" x14ac:dyDescent="0.2">
      <c r="A3148" s="2" t="s">
        <v>3245</v>
      </c>
      <c r="B3148" s="2" t="s">
        <v>25</v>
      </c>
      <c r="C3148" s="2">
        <v>1105.5809999999999</v>
      </c>
      <c r="D3148" s="2">
        <f>HYPERLINK("http://mcb-m6.bioreg.kyushu-u.ac.jp/M3/20110428/F51144/3537/1", 65.31)</f>
        <v>65.31</v>
      </c>
      <c r="E3148" s="2">
        <v>45.4</v>
      </c>
      <c r="F3148" s="2">
        <v>2</v>
      </c>
      <c r="G3148" s="2" t="s">
        <v>14</v>
      </c>
    </row>
    <row r="3149" spans="1:7" x14ac:dyDescent="0.2">
      <c r="A3149" s="2" t="s">
        <v>3245</v>
      </c>
      <c r="B3149" s="2" t="s">
        <v>25</v>
      </c>
      <c r="C3149" s="2">
        <v>737.80409999999995</v>
      </c>
      <c r="D3149" s="2">
        <f>HYPERLINK("http://mcb-m6.bioreg.kyushu-u.ac.jp/M3/20110428/F51144/3545/1", 65.97)</f>
        <v>65.97</v>
      </c>
      <c r="E3149" s="2">
        <v>35.01</v>
      </c>
      <c r="F3149" s="2">
        <v>3</v>
      </c>
      <c r="G3149" s="2" t="s">
        <v>14</v>
      </c>
    </row>
    <row r="3150" spans="1:7" x14ac:dyDescent="0.2">
      <c r="A3150" s="2" t="s">
        <v>3245</v>
      </c>
      <c r="B3150" s="2" t="s">
        <v>25</v>
      </c>
      <c r="C3150" s="2">
        <v>1105.646</v>
      </c>
      <c r="D3150" s="2">
        <f>HYPERLINK("http://mcb-m6.bioreg.kyushu-u.ac.jp/M3/20110428/F51137/2625/1", 66.35)</f>
        <v>66.349999999999994</v>
      </c>
      <c r="E3150" s="2">
        <v>50.18</v>
      </c>
      <c r="F3150" s="2">
        <v>2</v>
      </c>
      <c r="G3150" s="2" t="s">
        <v>14</v>
      </c>
    </row>
    <row r="3151" spans="1:7" x14ac:dyDescent="0.2">
      <c r="A3151" s="2" t="s">
        <v>3245</v>
      </c>
      <c r="B3151" s="2" t="s">
        <v>25</v>
      </c>
      <c r="C3151" s="2">
        <v>1105.5360000000001</v>
      </c>
      <c r="D3151" s="2">
        <f>HYPERLINK("http://mcb-m6.bioreg.kyushu-u.ac.jp/M3/20110428/F51136/2570/1", 66.5)</f>
        <v>66.5</v>
      </c>
      <c r="E3151" s="2">
        <v>49.31</v>
      </c>
      <c r="F3151" s="2">
        <v>2</v>
      </c>
      <c r="G3151" s="2" t="s">
        <v>14</v>
      </c>
    </row>
    <row r="3152" spans="1:7" x14ac:dyDescent="0.2">
      <c r="A3152" s="2" t="s">
        <v>3245</v>
      </c>
      <c r="B3152" s="2" t="s">
        <v>25</v>
      </c>
      <c r="C3152" s="2">
        <v>1106.0730000000001</v>
      </c>
      <c r="D3152" s="2">
        <f>HYPERLINK("http://mcb-m6.bioreg.kyushu-u.ac.jp/M3/20110502/F51160/2950/1", 66.64)</f>
        <v>66.64</v>
      </c>
      <c r="E3152" s="2">
        <v>38.19</v>
      </c>
      <c r="F3152" s="2">
        <v>2</v>
      </c>
      <c r="G3152" s="2" t="s">
        <v>14</v>
      </c>
    </row>
    <row r="3153" spans="1:7" x14ac:dyDescent="0.2">
      <c r="A3153" s="2" t="s">
        <v>3245</v>
      </c>
      <c r="B3153" s="2" t="s">
        <v>25</v>
      </c>
      <c r="C3153" s="2">
        <v>1106.2070000000001</v>
      </c>
      <c r="D3153" s="2">
        <f>HYPERLINK("http://mcb-m6.bioreg.kyushu-u.ac.jp/M3/20110502/F51160/2951/1", 67.22)</f>
        <v>67.22</v>
      </c>
      <c r="E3153" s="2">
        <v>41.66</v>
      </c>
      <c r="F3153" s="2">
        <v>2</v>
      </c>
      <c r="G3153" s="2" t="s">
        <v>14</v>
      </c>
    </row>
    <row r="3154" spans="1:7" x14ac:dyDescent="0.2">
      <c r="A3154" s="2" t="s">
        <v>3245</v>
      </c>
      <c r="B3154" s="2" t="s">
        <v>25</v>
      </c>
      <c r="C3154" s="2">
        <v>1106.0899999999999</v>
      </c>
      <c r="D3154" s="2">
        <f>HYPERLINK("http://mcb-m6.bioreg.kyushu-u.ac.jp/M3/20110428/F51141/3667/1", 68.5)</f>
        <v>68.5</v>
      </c>
      <c r="E3154" s="2">
        <v>26.91</v>
      </c>
      <c r="F3154" s="2">
        <v>2</v>
      </c>
      <c r="G3154" s="2" t="s">
        <v>14</v>
      </c>
    </row>
    <row r="3155" spans="1:7" x14ac:dyDescent="0.2">
      <c r="A3155" s="2" t="s">
        <v>3245</v>
      </c>
      <c r="B3155" s="2" t="s">
        <v>25</v>
      </c>
      <c r="C3155" s="2">
        <v>1106.4880000000001</v>
      </c>
      <c r="D3155" s="2">
        <f>HYPERLINK("http://mcb-m6.bioreg.kyushu-u.ac.jp/M3/20110428/F51139/2505/1", 74.59)</f>
        <v>74.59</v>
      </c>
      <c r="E3155" s="2">
        <v>26.29</v>
      </c>
      <c r="F3155" s="2">
        <v>2</v>
      </c>
      <c r="G3155" s="2" t="s">
        <v>14</v>
      </c>
    </row>
    <row r="3156" spans="1:7" x14ac:dyDescent="0.2">
      <c r="A3156" s="2" t="s">
        <v>3245</v>
      </c>
      <c r="B3156" s="2" t="s">
        <v>25</v>
      </c>
      <c r="C3156" s="2">
        <v>1106.5709999999999</v>
      </c>
      <c r="D3156" s="2">
        <f>HYPERLINK("http://mcb-m6.bioreg.kyushu-u.ac.jp/M3/20110428/F51143/3353/1", 76.01)</f>
        <v>76.010000000000005</v>
      </c>
      <c r="E3156" s="2">
        <v>21.1</v>
      </c>
      <c r="F3156" s="2">
        <v>2</v>
      </c>
      <c r="G3156" s="2" t="s">
        <v>14</v>
      </c>
    </row>
    <row r="3157" spans="1:7" x14ac:dyDescent="0.2">
      <c r="A3157" s="2" t="s">
        <v>3245</v>
      </c>
      <c r="B3157" s="2" t="s">
        <v>25</v>
      </c>
      <c r="C3157" s="2">
        <v>1106.116</v>
      </c>
      <c r="D3157" s="2">
        <f>HYPERLINK("http://mcb-m6.bioreg.kyushu-u.ac.jp/M3/20110428/F51143/3345/1", 76.44)</f>
        <v>76.44</v>
      </c>
      <c r="E3157" s="2">
        <v>36.71</v>
      </c>
      <c r="F3157" s="2">
        <v>2</v>
      </c>
      <c r="G3157" s="2" t="s">
        <v>14</v>
      </c>
    </row>
    <row r="3158" spans="1:7" x14ac:dyDescent="0.2">
      <c r="A3158" s="2" t="s">
        <v>3245</v>
      </c>
      <c r="B3158" s="2" t="s">
        <v>25</v>
      </c>
      <c r="C3158" s="2">
        <v>1106.329</v>
      </c>
      <c r="D3158" s="2">
        <f>HYPERLINK("http://mcb-m6.bioreg.kyushu-u.ac.jp/M3/20110428/F51142/3628/1", 78.22)</f>
        <v>78.22</v>
      </c>
      <c r="E3158" s="2">
        <v>33.65</v>
      </c>
      <c r="F3158" s="2">
        <v>2</v>
      </c>
      <c r="G3158" s="2" t="s">
        <v>14</v>
      </c>
    </row>
    <row r="3159" spans="1:7" x14ac:dyDescent="0.2">
      <c r="A3159" s="2" t="s">
        <v>3245</v>
      </c>
      <c r="B3159" s="2" t="s">
        <v>25</v>
      </c>
      <c r="C3159" s="2">
        <v>1106.2070000000001</v>
      </c>
      <c r="D3159" s="2">
        <f>HYPERLINK("http://mcb-m6.bioreg.kyushu-u.ac.jp/M3/20110502/F51159/3145/1", 78.23)</f>
        <v>78.23</v>
      </c>
      <c r="E3159" s="2">
        <v>34.86</v>
      </c>
      <c r="F3159" s="2">
        <v>2</v>
      </c>
      <c r="G3159" s="2" t="s">
        <v>14</v>
      </c>
    </row>
    <row r="3160" spans="1:7" x14ac:dyDescent="0.2">
      <c r="A3160" s="2" t="s">
        <v>3245</v>
      </c>
      <c r="B3160" s="2" t="s">
        <v>25</v>
      </c>
      <c r="C3160" s="2">
        <v>1106.654</v>
      </c>
      <c r="D3160" s="2">
        <f>HYPERLINK("http://mcb-m6.bioreg.kyushu-u.ac.jp/M3/20110428/F51136/2577/1", 78.49)</f>
        <v>78.489999999999995</v>
      </c>
      <c r="E3160" s="2">
        <v>27.05</v>
      </c>
      <c r="F3160" s="2">
        <v>2</v>
      </c>
      <c r="G3160" s="2" t="s">
        <v>14</v>
      </c>
    </row>
    <row r="3161" spans="1:7" x14ac:dyDescent="0.2">
      <c r="A3161" s="2" t="s">
        <v>3245</v>
      </c>
      <c r="B3161" s="2" t="s">
        <v>25</v>
      </c>
      <c r="C3161" s="2">
        <v>1106.242</v>
      </c>
      <c r="D3161" s="2">
        <f>HYPERLINK("http://mcb-m6.bioreg.kyushu-u.ac.jp/M3/20110428/F51138/3132/1", 79.88)</f>
        <v>79.88</v>
      </c>
      <c r="E3161" s="2">
        <v>26.32</v>
      </c>
      <c r="F3161" s="2">
        <v>2</v>
      </c>
      <c r="G3161" s="2" t="s">
        <v>14</v>
      </c>
    </row>
    <row r="3162" spans="1:7" x14ac:dyDescent="0.2">
      <c r="A3162" s="2" t="s">
        <v>3245</v>
      </c>
      <c r="B3162" s="2" t="s">
        <v>25</v>
      </c>
      <c r="C3162" s="2">
        <v>1105.856</v>
      </c>
      <c r="D3162" s="2">
        <f>HYPERLINK("http://mcb-m6.bioreg.kyushu-u.ac.jp/M3/20110428/F51140/3331/1", 83.88)</f>
        <v>83.88</v>
      </c>
      <c r="E3162" s="2">
        <v>61.78</v>
      </c>
      <c r="F3162" s="2">
        <v>2</v>
      </c>
      <c r="G3162" s="2" t="s">
        <v>14</v>
      </c>
    </row>
    <row r="3163" spans="1:7" x14ac:dyDescent="0.2">
      <c r="A3163" s="2" t="s">
        <v>3245</v>
      </c>
      <c r="B3163" s="2" t="s">
        <v>25</v>
      </c>
      <c r="C3163" s="2">
        <v>1105.6880000000001</v>
      </c>
      <c r="D3163" s="2">
        <f>HYPERLINK("http://mcb-m6.bioreg.kyushu-u.ac.jp/M3/20110502/F51159/3140/1", 84.11)</f>
        <v>84.11</v>
      </c>
      <c r="E3163" s="2">
        <v>39.81</v>
      </c>
      <c r="F3163" s="2">
        <v>2</v>
      </c>
      <c r="G3163" s="2" t="s">
        <v>14</v>
      </c>
    </row>
    <row r="3164" spans="1:7" x14ac:dyDescent="0.2">
      <c r="A3164" s="2" t="s">
        <v>3245</v>
      </c>
      <c r="B3164" s="2" t="s">
        <v>25</v>
      </c>
      <c r="C3164" s="2">
        <v>1106.2380000000001</v>
      </c>
      <c r="D3164" s="2">
        <f>HYPERLINK("http://mcb-m6.bioreg.kyushu-u.ac.jp/M3/20110428/F51145/2969/1", 85.81)</f>
        <v>85.81</v>
      </c>
      <c r="E3164" s="2">
        <v>38.83</v>
      </c>
      <c r="F3164" s="2">
        <v>2</v>
      </c>
      <c r="G3164" s="2" t="s">
        <v>14</v>
      </c>
    </row>
    <row r="3165" spans="1:7" x14ac:dyDescent="0.2">
      <c r="A3165" s="2" t="s">
        <v>3245</v>
      </c>
      <c r="B3165" s="2" t="s">
        <v>25</v>
      </c>
      <c r="C3165" s="2">
        <v>1105.624</v>
      </c>
      <c r="D3165" s="2">
        <f>HYPERLINK("http://mcb-m6.bioreg.kyushu-u.ac.jp/M3/20110502/F51162/2855/1", 85.93)</f>
        <v>85.93</v>
      </c>
      <c r="E3165" s="2">
        <v>62.94</v>
      </c>
      <c r="F3165" s="2">
        <v>2</v>
      </c>
      <c r="G3165" s="2" t="s">
        <v>14</v>
      </c>
    </row>
    <row r="3166" spans="1:7" x14ac:dyDescent="0.2">
      <c r="A3166" s="2" t="s">
        <v>3245</v>
      </c>
      <c r="B3166" s="2" t="s">
        <v>25</v>
      </c>
      <c r="C3166" s="2">
        <v>1105.672</v>
      </c>
      <c r="D3166" s="2">
        <f>HYPERLINK("http://mcb-m6.bioreg.kyushu-u.ac.jp/M3/20110428/F51145/2968/1", 86.18)</f>
        <v>86.18</v>
      </c>
      <c r="E3166" s="2">
        <v>55.25</v>
      </c>
      <c r="F3166" s="2">
        <v>2</v>
      </c>
      <c r="G3166" s="2" t="s">
        <v>14</v>
      </c>
    </row>
    <row r="3167" spans="1:7" x14ac:dyDescent="0.2">
      <c r="A3167" s="2" t="s">
        <v>3245</v>
      </c>
      <c r="B3167" s="2" t="s">
        <v>25</v>
      </c>
      <c r="C3167" s="2">
        <v>1106.088</v>
      </c>
      <c r="D3167" s="2">
        <f>HYPERLINK("http://mcb-m6.bioreg.kyushu-u.ac.jp/M3/20110428/F51144/3541/1", 86.26)</f>
        <v>86.26</v>
      </c>
      <c r="E3167" s="2">
        <v>53.88</v>
      </c>
      <c r="F3167" s="2">
        <v>2</v>
      </c>
      <c r="G3167" s="2" t="s">
        <v>14</v>
      </c>
    </row>
    <row r="3168" spans="1:7" x14ac:dyDescent="0.2">
      <c r="A3168" s="2" t="s">
        <v>3245</v>
      </c>
      <c r="B3168" s="2" t="s">
        <v>25</v>
      </c>
      <c r="C3168" s="2">
        <v>1106.1759999999999</v>
      </c>
      <c r="D3168" s="2">
        <f>HYPERLINK("http://mcb-m6.bioreg.kyushu-u.ac.jp/M3/20110502/F51162/2858/1", 87.96)</f>
        <v>87.96</v>
      </c>
      <c r="E3168" s="2">
        <v>51.24</v>
      </c>
      <c r="F3168" s="2">
        <v>2</v>
      </c>
      <c r="G3168" s="2" t="s">
        <v>14</v>
      </c>
    </row>
    <row r="3169" spans="1:8" x14ac:dyDescent="0.2">
      <c r="A3169" s="2" t="s">
        <v>3245</v>
      </c>
      <c r="B3169" s="2" t="s">
        <v>25</v>
      </c>
      <c r="C3169" s="2">
        <v>1106.2239999999999</v>
      </c>
      <c r="D3169" s="2">
        <f>HYPERLINK("http://mcb-m6.bioreg.kyushu-u.ac.jp/M3/20110502/F51161/2764/1", 89.24)</f>
        <v>89.24</v>
      </c>
      <c r="E3169" s="2">
        <v>39.14</v>
      </c>
      <c r="F3169" s="2">
        <v>2</v>
      </c>
      <c r="G3169" s="2" t="s">
        <v>14</v>
      </c>
    </row>
    <row r="3170" spans="1:8" x14ac:dyDescent="0.2">
      <c r="A3170" s="2" t="s">
        <v>3245</v>
      </c>
      <c r="B3170" s="2" t="s">
        <v>25</v>
      </c>
      <c r="C3170" s="2">
        <v>1106.202</v>
      </c>
      <c r="D3170" s="2">
        <f>HYPERLINK("http://mcb-m6.bioreg.kyushu-u.ac.jp/M3/20110428/F51137/2628/1", 90.01)</f>
        <v>90.01</v>
      </c>
      <c r="E3170" s="2">
        <v>40</v>
      </c>
      <c r="F3170" s="2">
        <v>2</v>
      </c>
      <c r="G3170" s="2" t="s">
        <v>14</v>
      </c>
    </row>
    <row r="3171" spans="1:8" x14ac:dyDescent="0.2">
      <c r="A3171" s="2" t="s">
        <v>3245</v>
      </c>
      <c r="B3171" s="2" t="s">
        <v>25</v>
      </c>
      <c r="C3171" s="2">
        <v>1106.078</v>
      </c>
      <c r="D3171" s="2">
        <f>HYPERLINK("http://mcb-m6.bioreg.kyushu-u.ac.jp/M3/20110428/F51136/2573/1", 92.91)</f>
        <v>92.91</v>
      </c>
      <c r="E3171" s="2">
        <v>55.9</v>
      </c>
      <c r="F3171" s="2">
        <v>2</v>
      </c>
      <c r="G3171" s="2" t="s">
        <v>14</v>
      </c>
    </row>
    <row r="3172" spans="1:8" x14ac:dyDescent="0.2">
      <c r="A3172" s="2" t="s">
        <v>3245</v>
      </c>
      <c r="B3172" s="2" t="s">
        <v>25</v>
      </c>
      <c r="C3172" s="2">
        <v>1105.675</v>
      </c>
      <c r="D3172" s="2">
        <f>HYPERLINK("http://mcb-m6.bioreg.kyushu-u.ac.jp/M3/20110502/F51161/2761/1", 94.84)</f>
        <v>94.84</v>
      </c>
      <c r="E3172" s="2">
        <v>70.78</v>
      </c>
      <c r="F3172" s="2">
        <v>2</v>
      </c>
      <c r="G3172" s="2" t="s">
        <v>14</v>
      </c>
    </row>
    <row r="3173" spans="1:8" x14ac:dyDescent="0.2">
      <c r="A3173" s="2" t="s">
        <v>3351</v>
      </c>
      <c r="B3173" s="2" t="s">
        <v>141</v>
      </c>
      <c r="C3173" s="2">
        <v>614.42660000000001</v>
      </c>
      <c r="D3173" s="2">
        <f>HYPERLINK("http://mcb-m6.bioreg.kyushu-u.ac.jp/M3/20110318/F50608/1191/1", 35.62)</f>
        <v>35.619999999999997</v>
      </c>
      <c r="E3173" s="2">
        <v>20.25</v>
      </c>
      <c r="F3173" s="2">
        <v>2</v>
      </c>
      <c r="G3173" s="2" t="s">
        <v>9</v>
      </c>
    </row>
    <row r="3174" spans="1:8" x14ac:dyDescent="0.2">
      <c r="A3174" s="2" t="s">
        <v>3351</v>
      </c>
      <c r="B3174" s="2" t="s">
        <v>141</v>
      </c>
      <c r="C3174" s="2">
        <v>614.51210000000003</v>
      </c>
      <c r="D3174" s="2">
        <f>HYPERLINK("http://mcb-m6.bioreg.kyushu-u.ac.jp/M3/20110318/F50607/1210/1", 55.89)</f>
        <v>55.89</v>
      </c>
      <c r="E3174" s="2">
        <v>22.04</v>
      </c>
      <c r="F3174" s="2">
        <v>2</v>
      </c>
      <c r="G3174" s="2" t="s">
        <v>9</v>
      </c>
    </row>
    <row r="3175" spans="1:8" x14ac:dyDescent="0.2">
      <c r="A3175" s="2" t="s">
        <v>3351</v>
      </c>
      <c r="B3175" s="2" t="s">
        <v>1668</v>
      </c>
      <c r="C3175" s="2">
        <v>901.71420000000001</v>
      </c>
      <c r="D3175" s="2">
        <f>HYPERLINK("http://mcb-m6.bioreg.kyushu-u.ac.jp/M3/20110318/F50607/2035/1", 64.14)</f>
        <v>64.14</v>
      </c>
      <c r="E3175" s="2">
        <v>47.42</v>
      </c>
      <c r="F3175" s="2">
        <v>2</v>
      </c>
      <c r="G3175" s="2" t="s">
        <v>9</v>
      </c>
      <c r="H3175" s="2" t="s">
        <v>4917</v>
      </c>
    </row>
    <row r="3176" spans="1:8" x14ac:dyDescent="0.2">
      <c r="A3176" s="2" t="s">
        <v>3351</v>
      </c>
      <c r="B3176" s="2" t="s">
        <v>1130</v>
      </c>
      <c r="C3176" s="2">
        <v>826.42110000000002</v>
      </c>
      <c r="D3176" s="2">
        <f>HYPERLINK("http://mcb-m6.bioreg.kyushu-u.ac.jp/M3/20110318/F50607/1839/1", 90.5)</f>
        <v>90.5</v>
      </c>
      <c r="E3176" s="2">
        <v>77.510000000000005</v>
      </c>
      <c r="F3176" s="2">
        <v>2</v>
      </c>
      <c r="G3176" s="2" t="s">
        <v>9</v>
      </c>
    </row>
    <row r="3177" spans="1:8" x14ac:dyDescent="0.2">
      <c r="A3177" s="2" t="s">
        <v>3351</v>
      </c>
      <c r="B3177" s="2" t="s">
        <v>1668</v>
      </c>
      <c r="C3177" s="2">
        <v>893.52369999999996</v>
      </c>
      <c r="D3177" s="2">
        <f>HYPERLINK("http://mcb-m6.bioreg.kyushu-u.ac.jp/M3/20110318/F50607/2005/1", 117.39)</f>
        <v>117.39</v>
      </c>
      <c r="E3177" s="2">
        <v>90.44</v>
      </c>
      <c r="F3177" s="2">
        <v>2</v>
      </c>
      <c r="G3177" s="2" t="s">
        <v>9</v>
      </c>
    </row>
    <row r="3178" spans="1:8" x14ac:dyDescent="0.2">
      <c r="A3178" s="2" t="s">
        <v>3351</v>
      </c>
      <c r="B3178" s="2" t="s">
        <v>141</v>
      </c>
      <c r="C3178" s="2">
        <v>614.32709999999997</v>
      </c>
      <c r="D3178" s="2">
        <f>HYPERLINK("http://mcb-m6.bioreg.kyushu-u.ac.jp/M3/20110318/F50598/1278/1", 36.61)</f>
        <v>36.61</v>
      </c>
      <c r="E3178" s="2">
        <v>22</v>
      </c>
      <c r="F3178" s="2">
        <v>2</v>
      </c>
      <c r="G3178" s="2" t="s">
        <v>10</v>
      </c>
    </row>
    <row r="3179" spans="1:8" x14ac:dyDescent="0.2">
      <c r="A3179" s="2" t="s">
        <v>3351</v>
      </c>
      <c r="B3179" s="2" t="s">
        <v>1130</v>
      </c>
      <c r="C3179" s="2">
        <v>818.37570000000005</v>
      </c>
      <c r="D3179" s="2">
        <f>HYPERLINK("http://mcb-m6.bioreg.kyushu-u.ac.jp/M3/20110318/F50598/1842/1", 68.12)</f>
        <v>68.12</v>
      </c>
      <c r="E3179" s="2">
        <v>43.84</v>
      </c>
      <c r="F3179" s="2">
        <v>2</v>
      </c>
      <c r="G3179" s="2" t="s">
        <v>10</v>
      </c>
      <c r="H3179" s="2" t="s">
        <v>4904</v>
      </c>
    </row>
    <row r="3180" spans="1:8" x14ac:dyDescent="0.2">
      <c r="A3180" s="2" t="s">
        <v>3351</v>
      </c>
      <c r="B3180" s="2" t="s">
        <v>1130</v>
      </c>
      <c r="C3180" s="2">
        <v>826.87270000000001</v>
      </c>
      <c r="D3180" s="2">
        <f>HYPERLINK("http://mcb-m6.bioreg.kyushu-u.ac.jp/M3/20110318/F50598/1861/1", 72.28)</f>
        <v>72.28</v>
      </c>
      <c r="E3180" s="2">
        <v>56.6</v>
      </c>
      <c r="F3180" s="2">
        <v>2</v>
      </c>
      <c r="G3180" s="2" t="s">
        <v>10</v>
      </c>
    </row>
    <row r="3181" spans="1:8" x14ac:dyDescent="0.2">
      <c r="A3181" s="2" t="s">
        <v>3351</v>
      </c>
      <c r="B3181" s="2" t="s">
        <v>1130</v>
      </c>
      <c r="C3181" s="2">
        <v>826.0566</v>
      </c>
      <c r="D3181" s="2">
        <f>HYPERLINK("http://mcb-m6.bioreg.kyushu-u.ac.jp/M3/20110318/F50598/1859/1", 93.56)</f>
        <v>93.56</v>
      </c>
      <c r="E3181" s="2">
        <v>78.61</v>
      </c>
      <c r="F3181" s="2">
        <v>2</v>
      </c>
      <c r="G3181" s="2" t="s">
        <v>10</v>
      </c>
    </row>
    <row r="3182" spans="1:8" x14ac:dyDescent="0.2">
      <c r="A3182" s="2" t="s">
        <v>3351</v>
      </c>
      <c r="B3182" s="2" t="s">
        <v>1668</v>
      </c>
      <c r="C3182" s="2">
        <v>893.87070000000006</v>
      </c>
      <c r="D3182" s="2">
        <f>HYPERLINK("http://mcb-m6.bioreg.kyushu-u.ac.jp/M3/20110318/F50598/1992/1", 101.81)</f>
        <v>101.81</v>
      </c>
      <c r="E3182" s="2">
        <v>71.75</v>
      </c>
      <c r="F3182" s="2">
        <v>2</v>
      </c>
      <c r="G3182" s="2" t="s">
        <v>10</v>
      </c>
    </row>
    <row r="3183" spans="1:8" x14ac:dyDescent="0.2">
      <c r="A3183" s="2" t="s">
        <v>3351</v>
      </c>
      <c r="B3183" s="2" t="s">
        <v>1668</v>
      </c>
      <c r="C3183" s="2">
        <v>893.35019999999997</v>
      </c>
      <c r="D3183" s="2">
        <f>HYPERLINK("http://mcb-m6.bioreg.kyushu-u.ac.jp/M3/20110318/F50598/1991/1", 115.14)</f>
        <v>115.14</v>
      </c>
      <c r="E3183" s="2">
        <v>86.39</v>
      </c>
      <c r="F3183" s="2">
        <v>2</v>
      </c>
      <c r="G3183" s="2" t="s">
        <v>10</v>
      </c>
    </row>
    <row r="3184" spans="1:8" x14ac:dyDescent="0.2">
      <c r="A3184" s="2" t="s">
        <v>3351</v>
      </c>
      <c r="B3184" s="2" t="s">
        <v>141</v>
      </c>
      <c r="C3184" s="2">
        <v>614.07169999999996</v>
      </c>
      <c r="D3184" s="2">
        <f>HYPERLINK("http://mcb-m6.bioreg.kyushu-u.ac.jp/M3/20110418/F50973/1755/1", 53.99)</f>
        <v>53.99</v>
      </c>
      <c r="E3184" s="2">
        <v>34.340000000000003</v>
      </c>
      <c r="F3184" s="2">
        <v>2</v>
      </c>
      <c r="G3184" s="2" t="s">
        <v>11</v>
      </c>
    </row>
    <row r="3185" spans="1:9" x14ac:dyDescent="0.2">
      <c r="A3185" s="2" t="s">
        <v>3351</v>
      </c>
      <c r="B3185" s="2" t="s">
        <v>2372</v>
      </c>
      <c r="C3185" s="2">
        <v>567.02560000000005</v>
      </c>
      <c r="D3185" s="2">
        <f>HYPERLINK("http://mcb-m6.bioreg.kyushu-u.ac.jp/M3/20110418/F50983/1752/1", 52.5)</f>
        <v>52.5</v>
      </c>
      <c r="E3185" s="2">
        <v>32.590000000000003</v>
      </c>
      <c r="F3185" s="2">
        <v>2</v>
      </c>
      <c r="G3185" s="2" t="s">
        <v>12</v>
      </c>
      <c r="I3185" s="2" t="s">
        <v>4898</v>
      </c>
    </row>
    <row r="3186" spans="1:9" x14ac:dyDescent="0.2">
      <c r="A3186" s="2" t="s">
        <v>3351</v>
      </c>
      <c r="B3186" s="2" t="s">
        <v>1130</v>
      </c>
      <c r="C3186" s="2">
        <v>818.36519999999996</v>
      </c>
      <c r="D3186" s="2">
        <f>HYPERLINK("http://mcb-m6.bioreg.kyushu-u.ac.jp/M3/20110418/F50983/2196/1", 62.43)</f>
        <v>62.43</v>
      </c>
      <c r="E3186" s="2">
        <v>32.57</v>
      </c>
      <c r="F3186" s="2">
        <v>2</v>
      </c>
      <c r="G3186" s="2" t="s">
        <v>12</v>
      </c>
      <c r="H3186" s="2" t="s">
        <v>4904</v>
      </c>
    </row>
    <row r="3187" spans="1:9" x14ac:dyDescent="0.2">
      <c r="A3187" s="2" t="s">
        <v>3351</v>
      </c>
      <c r="B3187" s="2" t="s">
        <v>2372</v>
      </c>
      <c r="C3187" s="2">
        <v>575.16610000000003</v>
      </c>
      <c r="D3187" s="2">
        <f>HYPERLINK("http://mcb-m6.bioreg.kyushu-u.ac.jp/M3/20110418/F50983/1759/1", 63.22)</f>
        <v>63.22</v>
      </c>
      <c r="E3187" s="2">
        <v>38.130000000000003</v>
      </c>
      <c r="F3187" s="2">
        <v>2</v>
      </c>
      <c r="G3187" s="2" t="s">
        <v>12</v>
      </c>
      <c r="H3187" s="2" t="s">
        <v>4920</v>
      </c>
      <c r="I3187" s="2" t="s">
        <v>4898</v>
      </c>
    </row>
    <row r="3188" spans="1:9" x14ac:dyDescent="0.2">
      <c r="A3188" s="2" t="s">
        <v>3351</v>
      </c>
      <c r="B3188" s="2" t="s">
        <v>1130</v>
      </c>
      <c r="C3188" s="2">
        <v>826.8297</v>
      </c>
      <c r="D3188" s="2">
        <f>HYPERLINK("http://mcb-m6.bioreg.kyushu-u.ac.jp/M3/20110418/F50983/2210/1", 76.17)</f>
        <v>76.17</v>
      </c>
      <c r="E3188" s="2">
        <v>64.37</v>
      </c>
      <c r="F3188" s="2">
        <v>2</v>
      </c>
      <c r="G3188" s="2" t="s">
        <v>12</v>
      </c>
    </row>
    <row r="3189" spans="1:9" x14ac:dyDescent="0.2">
      <c r="A3189" s="2" t="s">
        <v>3351</v>
      </c>
      <c r="B3189" s="2" t="s">
        <v>1130</v>
      </c>
      <c r="C3189" s="2">
        <v>826.76919999999996</v>
      </c>
      <c r="D3189" s="2">
        <f>HYPERLINK("http://mcb-m6.bioreg.kyushu-u.ac.jp/M3/20110429/F51151/2480/1", 38.26)</f>
        <v>38.26</v>
      </c>
      <c r="E3189" s="2">
        <v>32.909999999999997</v>
      </c>
      <c r="F3189" s="2">
        <v>2</v>
      </c>
      <c r="G3189" s="2" t="s">
        <v>13</v>
      </c>
    </row>
    <row r="3190" spans="1:9" x14ac:dyDescent="0.2">
      <c r="A3190" s="2" t="s">
        <v>3351</v>
      </c>
      <c r="B3190" s="2" t="s">
        <v>1130</v>
      </c>
      <c r="C3190" s="2">
        <v>826.13959999999997</v>
      </c>
      <c r="D3190" s="2">
        <f>HYPERLINK("http://mcb-m6.bioreg.kyushu-u.ac.jp/M3/20110429/F51151/2474/1", 58.65)</f>
        <v>58.65</v>
      </c>
      <c r="E3190" s="2">
        <v>48.66</v>
      </c>
      <c r="F3190" s="2">
        <v>2</v>
      </c>
      <c r="G3190" s="2" t="s">
        <v>13</v>
      </c>
    </row>
    <row r="3191" spans="1:9" x14ac:dyDescent="0.2">
      <c r="A3191" s="2" t="s">
        <v>3351</v>
      </c>
      <c r="B3191" s="2" t="s">
        <v>1130</v>
      </c>
      <c r="C3191" s="2">
        <v>826.20320000000004</v>
      </c>
      <c r="D3191" s="2">
        <f>HYPERLINK("http://mcb-m6.bioreg.kyushu-u.ac.jp/M3/20110429/F51152/2428/1", 58.88)</f>
        <v>58.88</v>
      </c>
      <c r="E3191" s="2">
        <v>48.91</v>
      </c>
      <c r="F3191" s="2">
        <v>2</v>
      </c>
      <c r="G3191" s="2" t="s">
        <v>13</v>
      </c>
    </row>
    <row r="3192" spans="1:9" x14ac:dyDescent="0.2">
      <c r="A3192" s="2" t="s">
        <v>3351</v>
      </c>
      <c r="B3192" s="2" t="s">
        <v>1130</v>
      </c>
      <c r="C3192" s="2">
        <v>826.74469999999997</v>
      </c>
      <c r="D3192" s="2">
        <f>HYPERLINK("http://mcb-m6.bioreg.kyushu-u.ac.jp/M3/20110429/F51152/2429/1", 65.1)</f>
        <v>65.099999999999994</v>
      </c>
      <c r="E3192" s="2">
        <v>47.25</v>
      </c>
      <c r="F3192" s="2">
        <v>2</v>
      </c>
      <c r="G3192" s="2" t="s">
        <v>13</v>
      </c>
    </row>
    <row r="3193" spans="1:9" x14ac:dyDescent="0.2">
      <c r="A3193" s="2" t="s">
        <v>3351</v>
      </c>
      <c r="B3193" s="2" t="s">
        <v>1130</v>
      </c>
      <c r="C3193" s="2">
        <v>826.30870000000004</v>
      </c>
      <c r="D3193" s="2">
        <f>HYPERLINK("http://mcb-m6.bioreg.kyushu-u.ac.jp/M3/20110429/F51151/2476/1", 71.78)</f>
        <v>71.78</v>
      </c>
      <c r="E3193" s="2">
        <v>56.67</v>
      </c>
      <c r="F3193" s="2">
        <v>2</v>
      </c>
      <c r="G3193" s="2" t="s">
        <v>13</v>
      </c>
    </row>
    <row r="3194" spans="1:9" x14ac:dyDescent="0.2">
      <c r="A3194" s="2" t="s">
        <v>3351</v>
      </c>
      <c r="B3194" s="2" t="s">
        <v>1668</v>
      </c>
      <c r="C3194" s="2">
        <v>893.65869999999995</v>
      </c>
      <c r="D3194" s="2">
        <f>HYPERLINK("http://mcb-m6.bioreg.kyushu-u.ac.jp/M3/20110429/F51151/2735/1", 109.32)</f>
        <v>109.32</v>
      </c>
      <c r="E3194" s="2">
        <v>76.92</v>
      </c>
      <c r="F3194" s="2">
        <v>2</v>
      </c>
      <c r="G3194" s="2" t="s">
        <v>13</v>
      </c>
    </row>
    <row r="3195" spans="1:9" x14ac:dyDescent="0.2">
      <c r="A3195" s="2" t="s">
        <v>3351</v>
      </c>
      <c r="B3195" s="2" t="s">
        <v>1668</v>
      </c>
      <c r="C3195" s="2">
        <v>893.13760000000002</v>
      </c>
      <c r="D3195" s="2">
        <f>HYPERLINK("http://mcb-m6.bioreg.kyushu-u.ac.jp/M3/20110429/F51151/2732/1", 120.56)</f>
        <v>120.56</v>
      </c>
      <c r="E3195" s="2">
        <v>85.9</v>
      </c>
      <c r="F3195" s="2">
        <v>2</v>
      </c>
      <c r="G3195" s="2" t="s">
        <v>13</v>
      </c>
    </row>
    <row r="3196" spans="1:9" x14ac:dyDescent="0.2">
      <c r="A3196" s="2" t="s">
        <v>3351</v>
      </c>
      <c r="B3196" s="2" t="s">
        <v>1130</v>
      </c>
      <c r="C3196" s="2">
        <v>826.37959999999998</v>
      </c>
      <c r="D3196" s="2">
        <f>HYPERLINK("http://mcb-m6.bioreg.kyushu-u.ac.jp/M3/20110428/F51139/2159/1", 85)</f>
        <v>85</v>
      </c>
      <c r="E3196" s="2">
        <v>73.010000000000005</v>
      </c>
      <c r="F3196" s="2">
        <v>2</v>
      </c>
      <c r="G3196" s="2" t="s">
        <v>14</v>
      </c>
    </row>
    <row r="3197" spans="1:9" x14ac:dyDescent="0.2">
      <c r="A3197" s="2" t="s">
        <v>3345</v>
      </c>
      <c r="B3197" s="2" t="s">
        <v>563</v>
      </c>
      <c r="C3197" s="2">
        <v>713.82870000000003</v>
      </c>
      <c r="D3197" s="2">
        <f>HYPERLINK("http://mcb-m6.bioreg.kyushu-u.ac.jp/M3/20110318/F50607/1418/1", 45.95)</f>
        <v>45.95</v>
      </c>
      <c r="E3197" s="2">
        <v>26.58</v>
      </c>
      <c r="F3197" s="2">
        <v>2</v>
      </c>
      <c r="G3197" s="2" t="s">
        <v>9</v>
      </c>
    </row>
    <row r="3198" spans="1:9" x14ac:dyDescent="0.2">
      <c r="A3198" s="2" t="s">
        <v>3345</v>
      </c>
      <c r="B3198" s="2" t="s">
        <v>867</v>
      </c>
      <c r="C3198" s="2">
        <v>792.05909999999994</v>
      </c>
      <c r="D3198" s="2">
        <f>HYPERLINK("http://mcb-m6.bioreg.kyushu-u.ac.jp/M3/20110318/F50607/1771/1", 46.01)</f>
        <v>46.01</v>
      </c>
      <c r="E3198" s="2">
        <v>19.73</v>
      </c>
      <c r="F3198" s="2">
        <v>2</v>
      </c>
      <c r="G3198" s="2" t="s">
        <v>9</v>
      </c>
    </row>
    <row r="3199" spans="1:9" x14ac:dyDescent="0.2">
      <c r="A3199" s="2" t="s">
        <v>3345</v>
      </c>
      <c r="B3199" s="2" t="s">
        <v>867</v>
      </c>
      <c r="C3199" s="2">
        <v>791.9941</v>
      </c>
      <c r="D3199" s="2">
        <f>HYPERLINK("http://mcb-m6.bioreg.kyushu-u.ac.jp/M3/20110318/F50598/1796/1", 57.65)</f>
        <v>57.65</v>
      </c>
      <c r="E3199" s="2">
        <v>30.97</v>
      </c>
      <c r="F3199" s="2">
        <v>2</v>
      </c>
      <c r="G3199" s="2" t="s">
        <v>10</v>
      </c>
    </row>
    <row r="3200" spans="1:9" x14ac:dyDescent="0.2">
      <c r="A3200" s="2" t="s">
        <v>3345</v>
      </c>
      <c r="B3200" s="2" t="s">
        <v>563</v>
      </c>
      <c r="C3200" s="2">
        <v>721.45169999999996</v>
      </c>
      <c r="D3200" s="2">
        <f>HYPERLINK("http://mcb-m6.bioreg.kyushu-u.ac.jp/M3/20110318/F50598/1497/1", 61.75)</f>
        <v>61.75</v>
      </c>
      <c r="E3200" s="2">
        <v>38.340000000000003</v>
      </c>
      <c r="F3200" s="2">
        <v>2</v>
      </c>
      <c r="G3200" s="2" t="s">
        <v>10</v>
      </c>
      <c r="H3200" s="2" t="s">
        <v>4927</v>
      </c>
    </row>
    <row r="3201" spans="1:8" x14ac:dyDescent="0.2">
      <c r="A3201" s="2" t="s">
        <v>3345</v>
      </c>
      <c r="B3201" s="2" t="s">
        <v>563</v>
      </c>
      <c r="C3201" s="2">
        <v>721.23519999999996</v>
      </c>
      <c r="D3201" s="2">
        <f>HYPERLINK("http://mcb-m6.bioreg.kyushu-u.ac.jp/M3/20110418/F50973/2068/1", 51.03)</f>
        <v>51.03</v>
      </c>
      <c r="E3201" s="2">
        <v>31.37</v>
      </c>
      <c r="F3201" s="2">
        <v>2</v>
      </c>
      <c r="G3201" s="2" t="s">
        <v>11</v>
      </c>
      <c r="H3201" s="2" t="s">
        <v>4927</v>
      </c>
    </row>
    <row r="3202" spans="1:8" x14ac:dyDescent="0.2">
      <c r="A3202" s="2" t="s">
        <v>3345</v>
      </c>
      <c r="B3202" s="2" t="s">
        <v>563</v>
      </c>
      <c r="C3202" s="2">
        <v>713.74069999999995</v>
      </c>
      <c r="D3202" s="2">
        <f>HYPERLINK("http://mcb-m6.bioreg.kyushu-u.ac.jp/M3/20110418/F50973/2029/1", 59.43)</f>
        <v>59.43</v>
      </c>
      <c r="E3202" s="2">
        <v>35.01</v>
      </c>
      <c r="F3202" s="2">
        <v>2</v>
      </c>
      <c r="G3202" s="2" t="s">
        <v>11</v>
      </c>
    </row>
    <row r="3203" spans="1:8" x14ac:dyDescent="0.2">
      <c r="A3203" s="2" t="s">
        <v>3345</v>
      </c>
      <c r="B3203" s="2" t="s">
        <v>563</v>
      </c>
      <c r="C3203" s="2">
        <v>721.32420000000002</v>
      </c>
      <c r="D3203" s="2">
        <f>HYPERLINK("http://mcb-m6.bioreg.kyushu-u.ac.jp/M3/20110418/F50983/1960/1", 69.68)</f>
        <v>69.680000000000007</v>
      </c>
      <c r="E3203" s="2">
        <v>42.85</v>
      </c>
      <c r="F3203" s="2">
        <v>2</v>
      </c>
      <c r="G3203" s="2" t="s">
        <v>12</v>
      </c>
      <c r="H3203" s="2" t="s">
        <v>4927</v>
      </c>
    </row>
    <row r="3204" spans="1:8" x14ac:dyDescent="0.2">
      <c r="A3204" s="2" t="s">
        <v>3345</v>
      </c>
      <c r="B3204" s="2" t="s">
        <v>563</v>
      </c>
      <c r="C3204" s="2">
        <v>713.0607</v>
      </c>
      <c r="D3204" s="2">
        <f>HYPERLINK("http://mcb-m6.bioreg.kyushu-u.ac.jp/M3/20110418/F50983/1936/1", 73.87)</f>
        <v>73.87</v>
      </c>
      <c r="E3204" s="2">
        <v>58.4</v>
      </c>
      <c r="F3204" s="2">
        <v>2</v>
      </c>
      <c r="G3204" s="2" t="s">
        <v>12</v>
      </c>
    </row>
    <row r="3205" spans="1:8" x14ac:dyDescent="0.2">
      <c r="A3205" s="2" t="s">
        <v>3345</v>
      </c>
      <c r="B3205" s="2" t="s">
        <v>563</v>
      </c>
      <c r="C3205" s="2">
        <v>721.1857</v>
      </c>
      <c r="D3205" s="2">
        <f>HYPERLINK("http://mcb-m6.bioreg.kyushu-u.ac.jp/M3/20110429/F51151/2047/1", 66.82)</f>
        <v>66.819999999999993</v>
      </c>
      <c r="E3205" s="2">
        <v>50.62</v>
      </c>
      <c r="F3205" s="2">
        <v>2</v>
      </c>
      <c r="G3205" s="2" t="s">
        <v>13</v>
      </c>
      <c r="H3205" s="2" t="s">
        <v>4927</v>
      </c>
    </row>
    <row r="3206" spans="1:8" x14ac:dyDescent="0.2">
      <c r="A3206" s="2" t="s">
        <v>3345</v>
      </c>
      <c r="B3206" s="2" t="s">
        <v>563</v>
      </c>
      <c r="C3206" s="2">
        <v>713.27419999999995</v>
      </c>
      <c r="D3206" s="2">
        <f>HYPERLINK("http://mcb-m6.bioreg.kyushu-u.ac.jp/M3/20110429/F51152/1786/1", 68.55)</f>
        <v>68.55</v>
      </c>
      <c r="E3206" s="2">
        <v>52.24</v>
      </c>
      <c r="F3206" s="2">
        <v>2</v>
      </c>
      <c r="G3206" s="2" t="s">
        <v>13</v>
      </c>
    </row>
    <row r="3207" spans="1:8" x14ac:dyDescent="0.2">
      <c r="A3207" s="2" t="s">
        <v>3345</v>
      </c>
      <c r="B3207" s="2" t="s">
        <v>785</v>
      </c>
      <c r="C3207" s="2">
        <v>1115.395</v>
      </c>
      <c r="D3207" s="2">
        <f>HYPERLINK("http://mcb-m6.bioreg.kyushu-u.ac.jp/M3/20110429/F51151/3217/1", 74.14)</f>
        <v>74.14</v>
      </c>
      <c r="E3207" s="2">
        <v>57</v>
      </c>
      <c r="F3207" s="2">
        <v>2</v>
      </c>
      <c r="G3207" s="2" t="s">
        <v>13</v>
      </c>
    </row>
    <row r="3208" spans="1:8" x14ac:dyDescent="0.2">
      <c r="A3208" s="2" t="s">
        <v>3345</v>
      </c>
      <c r="B3208" s="2" t="s">
        <v>563</v>
      </c>
      <c r="C3208" s="2">
        <v>713.86469999999997</v>
      </c>
      <c r="D3208" s="2">
        <f>HYPERLINK("http://mcb-m6.bioreg.kyushu-u.ac.jp/M3/20110428/F51140/1811/1", 36.3)</f>
        <v>36.299999999999997</v>
      </c>
      <c r="E3208" s="2">
        <v>18.8</v>
      </c>
      <c r="F3208" s="2">
        <v>2</v>
      </c>
      <c r="G3208" s="2" t="s">
        <v>14</v>
      </c>
    </row>
    <row r="3209" spans="1:8" x14ac:dyDescent="0.2">
      <c r="A3209" s="2" t="s">
        <v>3345</v>
      </c>
      <c r="B3209" s="2" t="s">
        <v>867</v>
      </c>
      <c r="C3209" s="2">
        <v>791.95510000000002</v>
      </c>
      <c r="D3209" s="2">
        <f>HYPERLINK("http://mcb-m6.bioreg.kyushu-u.ac.jp/M3/20110428/F51139/2109/1", 51.9)</f>
        <v>51.9</v>
      </c>
      <c r="E3209" s="2">
        <v>26.93</v>
      </c>
      <c r="F3209" s="2">
        <v>2</v>
      </c>
      <c r="G3209" s="2" t="s">
        <v>14</v>
      </c>
    </row>
    <row r="3210" spans="1:8" x14ac:dyDescent="0.2">
      <c r="A3210" s="2" t="s">
        <v>3345</v>
      </c>
      <c r="B3210" s="2" t="s">
        <v>563</v>
      </c>
      <c r="C3210" s="2">
        <v>721.86320000000001</v>
      </c>
      <c r="D3210" s="2">
        <f>HYPERLINK("http://mcb-m6.bioreg.kyushu-u.ac.jp/M3/20110428/F51140/1870/1", 58.38)</f>
        <v>58.38</v>
      </c>
      <c r="E3210" s="2">
        <v>26.73</v>
      </c>
      <c r="F3210" s="2">
        <v>2</v>
      </c>
      <c r="G3210" s="2" t="s">
        <v>14</v>
      </c>
      <c r="H3210" s="2" t="s">
        <v>4927</v>
      </c>
    </row>
    <row r="3211" spans="1:8" x14ac:dyDescent="0.2">
      <c r="A3211" s="2" t="s">
        <v>3345</v>
      </c>
      <c r="B3211" s="2" t="s">
        <v>563</v>
      </c>
      <c r="C3211" s="2">
        <v>713.87570000000005</v>
      </c>
      <c r="D3211" s="2">
        <f>HYPERLINK("http://mcb-m6.bioreg.kyushu-u.ac.jp/M3/20110428/F51139/1974/1", 61.23)</f>
        <v>61.23</v>
      </c>
      <c r="E3211" s="2">
        <v>41.71</v>
      </c>
      <c r="F3211" s="2">
        <v>2</v>
      </c>
      <c r="G3211" s="2" t="s">
        <v>14</v>
      </c>
    </row>
    <row r="3212" spans="1:8" x14ac:dyDescent="0.2">
      <c r="A3212" s="2" t="s">
        <v>3345</v>
      </c>
      <c r="B3212" s="2" t="s">
        <v>563</v>
      </c>
      <c r="C3212" s="2">
        <v>721.32870000000003</v>
      </c>
      <c r="D3212" s="2">
        <f>HYPERLINK("http://mcb-m6.bioreg.kyushu-u.ac.jp/M3/20110428/F51139/1979/1", 84.59)</f>
        <v>84.59</v>
      </c>
      <c r="E3212" s="2">
        <v>59.71</v>
      </c>
      <c r="F3212" s="2">
        <v>2</v>
      </c>
      <c r="G3212" s="2" t="s">
        <v>14</v>
      </c>
      <c r="H3212" s="2" t="s">
        <v>4927</v>
      </c>
    </row>
    <row r="3213" spans="1:8" x14ac:dyDescent="0.2">
      <c r="A3213" s="2" t="s">
        <v>3345</v>
      </c>
      <c r="B3213" s="2" t="s">
        <v>563</v>
      </c>
      <c r="C3213" s="2">
        <v>721.36109999999996</v>
      </c>
      <c r="D3213" s="2">
        <f>HYPERLINK("http://mcb-m6.bioreg.kyushu-u.ac.jp/M3/20110428/F51140/1866/1", 89.23)</f>
        <v>89.23</v>
      </c>
      <c r="E3213" s="2">
        <v>62.82</v>
      </c>
      <c r="F3213" s="2">
        <v>2</v>
      </c>
      <c r="G3213" s="2" t="s">
        <v>14</v>
      </c>
      <c r="H3213" s="2" t="s">
        <v>4927</v>
      </c>
    </row>
    <row r="3214" spans="1:8" x14ac:dyDescent="0.2">
      <c r="A3214" s="2" t="s">
        <v>3906</v>
      </c>
      <c r="B3214" s="2" t="s">
        <v>1068</v>
      </c>
      <c r="C3214" s="2">
        <v>611.55020000000002</v>
      </c>
      <c r="D3214" s="2">
        <f>HYPERLINK("http://mcb-m6.bioreg.kyushu-u.ac.jp/M3/20110318/F50607/1203/1", 71.45)</f>
        <v>71.45</v>
      </c>
      <c r="E3214" s="2">
        <v>53.65</v>
      </c>
      <c r="F3214" s="2">
        <v>2</v>
      </c>
      <c r="G3214" s="2" t="s">
        <v>9</v>
      </c>
    </row>
    <row r="3215" spans="1:8" x14ac:dyDescent="0.2">
      <c r="A3215" s="2" t="s">
        <v>3906</v>
      </c>
      <c r="B3215" s="2" t="s">
        <v>1068</v>
      </c>
      <c r="C3215" s="2">
        <v>611.51369999999997</v>
      </c>
      <c r="D3215" s="2">
        <f>HYPERLINK("http://mcb-m6.bioreg.kyushu-u.ac.jp/M3/20110318/F50598/1273/1", 55.65)</f>
        <v>55.65</v>
      </c>
      <c r="E3215" s="2">
        <v>35.35</v>
      </c>
      <c r="F3215" s="2">
        <v>2</v>
      </c>
      <c r="G3215" s="2" t="s">
        <v>10</v>
      </c>
    </row>
    <row r="3216" spans="1:8" x14ac:dyDescent="0.2">
      <c r="A3216" s="2" t="s">
        <v>3906</v>
      </c>
      <c r="B3216" s="2" t="s">
        <v>1068</v>
      </c>
      <c r="C3216" s="2">
        <v>611.20820000000003</v>
      </c>
      <c r="D3216" s="2">
        <f>HYPERLINK("http://mcb-m6.bioreg.kyushu-u.ac.jp/M3/20110429/F51152/1343/1", 49.81)</f>
        <v>49.81</v>
      </c>
      <c r="E3216" s="2">
        <v>34.97</v>
      </c>
      <c r="F3216" s="2">
        <v>2</v>
      </c>
      <c r="G3216" s="2" t="s">
        <v>13</v>
      </c>
    </row>
    <row r="3217" spans="1:9" x14ac:dyDescent="0.2">
      <c r="A3217" s="2" t="s">
        <v>3906</v>
      </c>
      <c r="B3217" s="2" t="s">
        <v>1068</v>
      </c>
      <c r="C3217" s="2">
        <v>611.37070000000006</v>
      </c>
      <c r="D3217" s="2">
        <f>HYPERLINK("http://mcb-m6.bioreg.kyushu-u.ac.jp/M3/20110429/F51153/1220/1", 50.02)</f>
        <v>50.02</v>
      </c>
      <c r="E3217" s="2">
        <v>30.67</v>
      </c>
      <c r="F3217" s="2">
        <v>2</v>
      </c>
      <c r="G3217" s="2" t="s">
        <v>13</v>
      </c>
    </row>
    <row r="3218" spans="1:9" x14ac:dyDescent="0.2">
      <c r="A3218" s="2" t="s">
        <v>3906</v>
      </c>
      <c r="B3218" s="2" t="s">
        <v>1068</v>
      </c>
      <c r="C3218" s="2">
        <v>611.73069999999996</v>
      </c>
      <c r="D3218" s="2">
        <f>HYPERLINK("http://mcb-m6.bioreg.kyushu-u.ac.jp/M3/20110429/F51152/1347/1", 58.71)</f>
        <v>58.71</v>
      </c>
      <c r="E3218" s="2">
        <v>41.76</v>
      </c>
      <c r="F3218" s="2">
        <v>2</v>
      </c>
      <c r="G3218" s="2" t="s">
        <v>13</v>
      </c>
    </row>
    <row r="3219" spans="1:9" x14ac:dyDescent="0.2">
      <c r="A3219" s="2" t="s">
        <v>5597</v>
      </c>
      <c r="B3219" s="2" t="s">
        <v>4987</v>
      </c>
      <c r="C3219" s="2">
        <v>849.21010000000001</v>
      </c>
      <c r="D3219" s="2">
        <f>HYPERLINK("http://mcb-m6.bioreg.kyushu-u.ac.jp/M3/20110318/F50603/2533/1", 35.08)</f>
        <v>35.08</v>
      </c>
      <c r="E3219" s="2">
        <v>22.48</v>
      </c>
      <c r="F3219" s="2">
        <v>3</v>
      </c>
      <c r="G3219" s="2" t="s">
        <v>9</v>
      </c>
    </row>
    <row r="3220" spans="1:9" x14ac:dyDescent="0.2">
      <c r="A3220" s="2" t="s">
        <v>5597</v>
      </c>
      <c r="B3220" s="2" t="s">
        <v>4997</v>
      </c>
      <c r="C3220" s="2">
        <v>997.31399999999996</v>
      </c>
      <c r="D3220" s="2">
        <f>HYPERLINK("http://mcb-m6.bioreg.kyushu-u.ac.jp/M3/20110318/F50608/1019/1", 36.19)</f>
        <v>36.19</v>
      </c>
      <c r="E3220" s="2">
        <v>15.42</v>
      </c>
      <c r="F3220" s="2">
        <v>1</v>
      </c>
      <c r="G3220" s="2" t="s">
        <v>9</v>
      </c>
    </row>
    <row r="3221" spans="1:9" x14ac:dyDescent="0.2">
      <c r="A3221" s="2" t="s">
        <v>5597</v>
      </c>
      <c r="B3221" s="2" t="s">
        <v>5011</v>
      </c>
      <c r="C3221" s="2">
        <v>675.03769999999997</v>
      </c>
      <c r="D3221" s="2">
        <f>HYPERLINK("http://mcb-m6.bioreg.kyushu-u.ac.jp/M3/20110318/F50602/1358/1", 37.93)</f>
        <v>37.93</v>
      </c>
      <c r="E3221" s="2">
        <v>25.65</v>
      </c>
      <c r="F3221" s="2">
        <v>2</v>
      </c>
      <c r="G3221" s="2" t="s">
        <v>9</v>
      </c>
    </row>
    <row r="3222" spans="1:9" x14ac:dyDescent="0.2">
      <c r="A3222" s="2" t="s">
        <v>5597</v>
      </c>
      <c r="B3222" s="2" t="s">
        <v>5035</v>
      </c>
      <c r="C3222" s="2">
        <v>827.39970000000005</v>
      </c>
      <c r="D3222" s="2">
        <f>HYPERLINK("http://mcb-m6.bioreg.kyushu-u.ac.jp/M3/20110318/F50601/1759/1", 41.14)</f>
        <v>41.14</v>
      </c>
      <c r="E3222" s="2">
        <v>28.49</v>
      </c>
      <c r="F3222" s="2">
        <v>2</v>
      </c>
      <c r="G3222" s="2" t="s">
        <v>9</v>
      </c>
      <c r="I3222" s="2" t="s">
        <v>4892</v>
      </c>
    </row>
    <row r="3223" spans="1:9" x14ac:dyDescent="0.2">
      <c r="A3223" s="2" t="s">
        <v>5597</v>
      </c>
      <c r="B3223" s="2" t="s">
        <v>5049</v>
      </c>
      <c r="C3223" s="2">
        <v>626.86869999999999</v>
      </c>
      <c r="D3223" s="2">
        <f>HYPERLINK("http://mcb-m6.bioreg.kyushu-u.ac.jp/M3/20110318/F50602/1279/1", 43.16)</f>
        <v>43.16</v>
      </c>
      <c r="E3223" s="2">
        <v>23.76</v>
      </c>
      <c r="F3223" s="2">
        <v>2</v>
      </c>
      <c r="G3223" s="2" t="s">
        <v>9</v>
      </c>
    </row>
    <row r="3224" spans="1:9" x14ac:dyDescent="0.2">
      <c r="A3224" s="2" t="s">
        <v>5597</v>
      </c>
      <c r="B3224" s="2" t="s">
        <v>5062</v>
      </c>
      <c r="C3224" s="2">
        <v>800.00070000000005</v>
      </c>
      <c r="D3224" s="2">
        <f>HYPERLINK("http://mcb-m6.bioreg.kyushu-u.ac.jp/M3/20110318/F50602/1709/1", 44.67)</f>
        <v>44.67</v>
      </c>
      <c r="E3224" s="2">
        <v>36.26</v>
      </c>
      <c r="F3224" s="2">
        <v>2</v>
      </c>
      <c r="G3224" s="2" t="s">
        <v>9</v>
      </c>
      <c r="I3224" s="2" t="s">
        <v>4895</v>
      </c>
    </row>
    <row r="3225" spans="1:9" x14ac:dyDescent="0.2">
      <c r="A3225" s="2" t="s">
        <v>5597</v>
      </c>
      <c r="B3225" s="2" t="s">
        <v>5073</v>
      </c>
      <c r="C3225" s="2">
        <v>643.50120000000004</v>
      </c>
      <c r="D3225" s="2">
        <f>HYPERLINK("http://mcb-m6.bioreg.kyushu-u.ac.jp/M3/20110318/F50608/2101/1", 46.38)</f>
        <v>46.38</v>
      </c>
      <c r="E3225" s="2">
        <v>30.46</v>
      </c>
      <c r="F3225" s="2">
        <v>3</v>
      </c>
      <c r="G3225" s="2" t="s">
        <v>9</v>
      </c>
    </row>
    <row r="3226" spans="1:9" x14ac:dyDescent="0.2">
      <c r="A3226" s="2" t="s">
        <v>5597</v>
      </c>
      <c r="B3226" s="2" t="s">
        <v>5011</v>
      </c>
      <c r="C3226" s="2">
        <v>674.96559999999999</v>
      </c>
      <c r="D3226" s="2">
        <f>HYPERLINK("http://mcb-m6.bioreg.kyushu-u.ac.jp/M3/20110318/F50601/1438/1", 52.29)</f>
        <v>52.29</v>
      </c>
      <c r="E3226" s="2">
        <v>36.15</v>
      </c>
      <c r="F3226" s="2">
        <v>2</v>
      </c>
      <c r="G3226" s="2" t="s">
        <v>9</v>
      </c>
    </row>
    <row r="3227" spans="1:9" x14ac:dyDescent="0.2">
      <c r="A3227" s="2" t="s">
        <v>5597</v>
      </c>
      <c r="B3227" s="2" t="s">
        <v>5112</v>
      </c>
      <c r="C3227" s="2">
        <v>916.33510000000001</v>
      </c>
      <c r="D3227" s="2">
        <f>HYPERLINK("http://mcb-m6.bioreg.kyushu-u.ac.jp/M3/20110318/F50602/1962/1", 58.58)</f>
        <v>58.58</v>
      </c>
      <c r="E3227" s="2">
        <v>40.18</v>
      </c>
      <c r="F3227" s="2">
        <v>2</v>
      </c>
      <c r="G3227" s="2" t="s">
        <v>9</v>
      </c>
    </row>
    <row r="3228" spans="1:9" x14ac:dyDescent="0.2">
      <c r="A3228" s="2" t="s">
        <v>5597</v>
      </c>
      <c r="B3228" s="2" t="s">
        <v>5122</v>
      </c>
      <c r="C3228" s="2">
        <v>833.46010000000001</v>
      </c>
      <c r="D3228" s="2">
        <f>HYPERLINK("http://mcb-m6.bioreg.kyushu-u.ac.jp/M3/20110318/F50602/1780/1", 61.94)</f>
        <v>61.94</v>
      </c>
      <c r="E3228" s="2">
        <v>41.69</v>
      </c>
      <c r="F3228" s="2">
        <v>2</v>
      </c>
      <c r="G3228" s="2" t="s">
        <v>9</v>
      </c>
    </row>
    <row r="3229" spans="1:9" x14ac:dyDescent="0.2">
      <c r="A3229" s="2" t="s">
        <v>5597</v>
      </c>
      <c r="B3229" s="2" t="s">
        <v>5112</v>
      </c>
      <c r="C3229" s="2">
        <v>916.4067</v>
      </c>
      <c r="D3229" s="2">
        <f>HYPERLINK("http://mcb-m6.bioreg.kyushu-u.ac.jp/M3/20110318/F50601/1897/1", 62.39)</f>
        <v>62.39</v>
      </c>
      <c r="E3229" s="2">
        <v>42.42</v>
      </c>
      <c r="F3229" s="2">
        <v>2</v>
      </c>
      <c r="G3229" s="2" t="s">
        <v>9</v>
      </c>
    </row>
    <row r="3230" spans="1:9" x14ac:dyDescent="0.2">
      <c r="A3230" s="2" t="s">
        <v>5597</v>
      </c>
      <c r="B3230" s="2" t="s">
        <v>5135</v>
      </c>
      <c r="C3230" s="2">
        <v>850.47969999999998</v>
      </c>
      <c r="D3230" s="2">
        <f>HYPERLINK("http://mcb-m6.bioreg.kyushu-u.ac.jp/M3/20110318/F50601/1804/1", 66.07)</f>
        <v>66.069999999999993</v>
      </c>
      <c r="E3230" s="2">
        <v>45.18</v>
      </c>
      <c r="F3230" s="2">
        <v>2</v>
      </c>
      <c r="G3230" s="2" t="s">
        <v>9</v>
      </c>
    </row>
    <row r="3231" spans="1:9" x14ac:dyDescent="0.2">
      <c r="A3231" s="2" t="s">
        <v>5597</v>
      </c>
      <c r="B3231" s="2" t="s">
        <v>5140</v>
      </c>
      <c r="C3231" s="2">
        <v>1186.7529999999999</v>
      </c>
      <c r="D3231" s="2">
        <f>HYPERLINK("http://mcb-m6.bioreg.kyushu-u.ac.jp/M3/20110318/F50601/2633/1", 66.71)</f>
        <v>66.709999999999994</v>
      </c>
      <c r="E3231" s="2">
        <v>62.35</v>
      </c>
      <c r="F3231" s="2">
        <v>3</v>
      </c>
      <c r="G3231" s="2" t="s">
        <v>9</v>
      </c>
    </row>
    <row r="3232" spans="1:9" x14ac:dyDescent="0.2">
      <c r="A3232" s="2" t="s">
        <v>5597</v>
      </c>
      <c r="B3232" s="2" t="s">
        <v>5146</v>
      </c>
      <c r="C3232" s="2">
        <v>637.37369999999999</v>
      </c>
      <c r="D3232" s="2">
        <f>HYPERLINK("http://mcb-m6.bioreg.kyushu-u.ac.jp/M3/20110318/F50601/1380/1", 68.32)</f>
        <v>68.319999999999993</v>
      </c>
      <c r="E3232" s="2">
        <v>47.88</v>
      </c>
      <c r="F3232" s="2">
        <v>2</v>
      </c>
      <c r="G3232" s="2" t="s">
        <v>9</v>
      </c>
    </row>
    <row r="3233" spans="1:9" x14ac:dyDescent="0.2">
      <c r="A3233" s="2" t="s">
        <v>5597</v>
      </c>
      <c r="B3233" s="2" t="s">
        <v>5146</v>
      </c>
      <c r="C3233" s="2">
        <v>637.30219999999997</v>
      </c>
      <c r="D3233" s="2">
        <f>HYPERLINK("http://mcb-m6.bioreg.kyushu-u.ac.jp/M3/20110318/F50602/1290/1", 68.61)</f>
        <v>68.61</v>
      </c>
      <c r="E3233" s="2">
        <v>49.95</v>
      </c>
      <c r="F3233" s="2">
        <v>2</v>
      </c>
      <c r="G3233" s="2" t="s">
        <v>9</v>
      </c>
    </row>
    <row r="3234" spans="1:9" x14ac:dyDescent="0.2">
      <c r="A3234" s="2" t="s">
        <v>5597</v>
      </c>
      <c r="B3234" s="2" t="s">
        <v>5146</v>
      </c>
      <c r="C3234" s="2">
        <v>637.45259999999996</v>
      </c>
      <c r="D3234" s="2">
        <f>HYPERLINK("http://mcb-m6.bioreg.kyushu-u.ac.jp/M3/20110318/F50604/1325/1", 70.44)</f>
        <v>70.44</v>
      </c>
      <c r="E3234" s="2">
        <v>49.92</v>
      </c>
      <c r="F3234" s="2">
        <v>2</v>
      </c>
      <c r="G3234" s="2" t="s">
        <v>9</v>
      </c>
    </row>
    <row r="3235" spans="1:9" x14ac:dyDescent="0.2">
      <c r="A3235" s="2" t="s">
        <v>5597</v>
      </c>
      <c r="B3235" s="2" t="s">
        <v>5146</v>
      </c>
      <c r="C3235" s="2">
        <v>637.48069999999996</v>
      </c>
      <c r="D3235" s="2">
        <f>HYPERLINK("http://mcb-m6.bioreg.kyushu-u.ac.jp/M3/20110318/F50603/1235/1", 70.52)</f>
        <v>70.52</v>
      </c>
      <c r="E3235" s="2">
        <v>49.92</v>
      </c>
      <c r="F3235" s="2">
        <v>2</v>
      </c>
      <c r="G3235" s="2" t="s">
        <v>9</v>
      </c>
    </row>
    <row r="3236" spans="1:9" x14ac:dyDescent="0.2">
      <c r="A3236" s="2" t="s">
        <v>5597</v>
      </c>
      <c r="B3236" s="2" t="s">
        <v>5112</v>
      </c>
      <c r="C3236" s="2">
        <v>915.90309999999999</v>
      </c>
      <c r="D3236" s="2">
        <f>HYPERLINK("http://mcb-m6.bioreg.kyushu-u.ac.jp/M3/20110318/F50601/1896/1", 71.29)</f>
        <v>71.290000000000006</v>
      </c>
      <c r="E3236" s="2">
        <v>52.4</v>
      </c>
      <c r="F3236" s="2">
        <v>2</v>
      </c>
      <c r="G3236" s="2" t="s">
        <v>9</v>
      </c>
    </row>
    <row r="3237" spans="1:9" x14ac:dyDescent="0.2">
      <c r="A3237" s="2" t="s">
        <v>5597</v>
      </c>
      <c r="B3237" s="2" t="s">
        <v>5135</v>
      </c>
      <c r="C3237" s="2">
        <v>849.97519999999997</v>
      </c>
      <c r="D3237" s="2">
        <f>HYPERLINK("http://mcb-m6.bioreg.kyushu-u.ac.jp/M3/20110318/F50601/1801/1", 72.74)</f>
        <v>72.739999999999995</v>
      </c>
      <c r="E3237" s="2">
        <v>49.88</v>
      </c>
      <c r="F3237" s="2">
        <v>2</v>
      </c>
      <c r="G3237" s="2" t="s">
        <v>9</v>
      </c>
    </row>
    <row r="3238" spans="1:9" x14ac:dyDescent="0.2">
      <c r="A3238" s="2" t="s">
        <v>5597</v>
      </c>
      <c r="B3238" s="2" t="s">
        <v>5122</v>
      </c>
      <c r="C3238" s="2">
        <v>833.04610000000002</v>
      </c>
      <c r="D3238" s="2">
        <f>HYPERLINK("http://mcb-m6.bioreg.kyushu-u.ac.jp/M3/20110318/F50601/1772/1", 72.86)</f>
        <v>72.86</v>
      </c>
      <c r="E3238" s="2">
        <v>61.02</v>
      </c>
      <c r="F3238" s="2">
        <v>2</v>
      </c>
      <c r="G3238" s="2" t="s">
        <v>9</v>
      </c>
    </row>
    <row r="3239" spans="1:9" x14ac:dyDescent="0.2">
      <c r="A3239" s="2" t="s">
        <v>5597</v>
      </c>
      <c r="B3239" s="2" t="s">
        <v>5161</v>
      </c>
      <c r="C3239" s="2">
        <v>1007.4059999999999</v>
      </c>
      <c r="D3239" s="2">
        <f>HYPERLINK("http://mcb-m6.bioreg.kyushu-u.ac.jp/M3/20110318/F50601/2025/1", 72.92)</f>
        <v>72.92</v>
      </c>
      <c r="E3239" s="2">
        <v>58.31</v>
      </c>
      <c r="F3239" s="2">
        <v>2</v>
      </c>
      <c r="G3239" s="2" t="s">
        <v>9</v>
      </c>
    </row>
    <row r="3240" spans="1:9" x14ac:dyDescent="0.2">
      <c r="A3240" s="2" t="s">
        <v>5597</v>
      </c>
      <c r="B3240" s="2" t="s">
        <v>5166</v>
      </c>
      <c r="C3240" s="2">
        <v>803.66610000000003</v>
      </c>
      <c r="D3240" s="2">
        <f>HYPERLINK("http://mcb-m6.bioreg.kyushu-u.ac.jp/M3/20110318/F50606/1722/1", 74.95)</f>
        <v>74.95</v>
      </c>
      <c r="E3240" s="2">
        <v>61.23</v>
      </c>
      <c r="F3240" s="2">
        <v>2</v>
      </c>
      <c r="G3240" s="2" t="s">
        <v>9</v>
      </c>
    </row>
    <row r="3241" spans="1:9" x14ac:dyDescent="0.2">
      <c r="A3241" s="2" t="s">
        <v>5597</v>
      </c>
      <c r="B3241" s="2" t="s">
        <v>5161</v>
      </c>
      <c r="C3241" s="2">
        <v>1007.942</v>
      </c>
      <c r="D3241" s="2">
        <f>HYPERLINK("http://mcb-m6.bioreg.kyushu-u.ac.jp/M3/20110318/F50601/2027/1", 77.87)</f>
        <v>77.87</v>
      </c>
      <c r="E3241" s="2">
        <v>65.650000000000006</v>
      </c>
      <c r="F3241" s="2">
        <v>2</v>
      </c>
      <c r="G3241" s="2" t="s">
        <v>9</v>
      </c>
    </row>
    <row r="3242" spans="1:9" x14ac:dyDescent="0.2">
      <c r="A3242" s="2" t="s">
        <v>5597</v>
      </c>
      <c r="B3242" s="2" t="s">
        <v>5166</v>
      </c>
      <c r="C3242" s="2">
        <v>803.41219999999998</v>
      </c>
      <c r="D3242" s="2">
        <f>HYPERLINK("http://mcb-m6.bioreg.kyushu-u.ac.jp/M3/20110318/F50601/1718/1", 78.83)</f>
        <v>78.83</v>
      </c>
      <c r="E3242" s="2">
        <v>67.91</v>
      </c>
      <c r="F3242" s="2">
        <v>2</v>
      </c>
      <c r="G3242" s="2" t="s">
        <v>9</v>
      </c>
    </row>
    <row r="3243" spans="1:9" x14ac:dyDescent="0.2">
      <c r="A3243" s="2" t="s">
        <v>5597</v>
      </c>
      <c r="B3243" s="2" t="s">
        <v>5176</v>
      </c>
      <c r="C3243" s="2">
        <v>870.90719999999999</v>
      </c>
      <c r="D3243" s="2">
        <f>HYPERLINK("http://mcb-m6.bioreg.kyushu-u.ac.jp/M3/20110318/F50601/1826/1", 80.85)</f>
        <v>80.849999999999994</v>
      </c>
      <c r="E3243" s="2">
        <v>66.930000000000007</v>
      </c>
      <c r="F3243" s="2">
        <v>2</v>
      </c>
      <c r="G3243" s="2" t="s">
        <v>9</v>
      </c>
    </row>
    <row r="3244" spans="1:9" x14ac:dyDescent="0.2">
      <c r="A3244" s="2" t="s">
        <v>5597</v>
      </c>
      <c r="B3244" s="2" t="s">
        <v>5181</v>
      </c>
      <c r="C3244" s="2">
        <v>795.36519999999996</v>
      </c>
      <c r="D3244" s="2">
        <f>HYPERLINK("http://mcb-m6.bioreg.kyushu-u.ac.jp/M3/20110318/F50601/1701/1", 84.18)</f>
        <v>84.18</v>
      </c>
      <c r="E3244" s="2">
        <v>68.52</v>
      </c>
      <c r="F3244" s="2">
        <v>2</v>
      </c>
      <c r="G3244" s="2" t="s">
        <v>9</v>
      </c>
    </row>
    <row r="3245" spans="1:9" x14ac:dyDescent="0.2">
      <c r="A3245" s="2" t="s">
        <v>5597</v>
      </c>
      <c r="B3245" s="2" t="s">
        <v>5166</v>
      </c>
      <c r="C3245" s="2">
        <v>803.50120000000004</v>
      </c>
      <c r="D3245" s="2">
        <f>HYPERLINK("http://mcb-m6.bioreg.kyushu-u.ac.jp/M3/20110318/F50604/1734/1", 86.13)</f>
        <v>86.13</v>
      </c>
      <c r="E3245" s="2">
        <v>73.62</v>
      </c>
      <c r="F3245" s="2">
        <v>2</v>
      </c>
      <c r="G3245" s="2" t="s">
        <v>9</v>
      </c>
    </row>
    <row r="3246" spans="1:9" x14ac:dyDescent="0.2">
      <c r="A3246" s="2" t="s">
        <v>5597</v>
      </c>
      <c r="B3246" s="2" t="s">
        <v>5182</v>
      </c>
      <c r="C3246" s="2">
        <v>978.36659999999995</v>
      </c>
      <c r="D3246" s="2">
        <f>HYPERLINK("http://mcb-m6.bioreg.kyushu-u.ac.jp/M3/20110318/F50602/2080/1", 86.19)</f>
        <v>86.19</v>
      </c>
      <c r="E3246" s="2">
        <v>76.81</v>
      </c>
      <c r="F3246" s="2">
        <v>2</v>
      </c>
      <c r="G3246" s="2" t="s">
        <v>9</v>
      </c>
    </row>
    <row r="3247" spans="1:9" x14ac:dyDescent="0.2">
      <c r="A3247" s="2" t="s">
        <v>5597</v>
      </c>
      <c r="B3247" s="2" t="s">
        <v>5184</v>
      </c>
      <c r="C3247" s="2">
        <v>818.36519999999996</v>
      </c>
      <c r="D3247" s="2">
        <f>HYPERLINK("http://mcb-m6.bioreg.kyushu-u.ac.jp/M3/20110318/F50602/1736/1", 86.82)</f>
        <v>86.82</v>
      </c>
      <c r="E3247" s="2">
        <v>69.31</v>
      </c>
      <c r="F3247" s="2">
        <v>2</v>
      </c>
      <c r="G3247" s="2" t="s">
        <v>9</v>
      </c>
      <c r="I3247" s="2" t="s">
        <v>4899</v>
      </c>
    </row>
    <row r="3248" spans="1:9" x14ac:dyDescent="0.2">
      <c r="A3248" s="2" t="s">
        <v>5597</v>
      </c>
      <c r="B3248" s="2" t="s">
        <v>5062</v>
      </c>
      <c r="C3248" s="2">
        <v>800.47670000000005</v>
      </c>
      <c r="D3248" s="2">
        <f>HYPERLINK("http://mcb-m6.bioreg.kyushu-u.ac.jp/M3/20110318/F50601/1711/1", 87.42)</f>
        <v>87.42</v>
      </c>
      <c r="E3248" s="2">
        <v>74.8</v>
      </c>
      <c r="F3248" s="2">
        <v>2</v>
      </c>
      <c r="G3248" s="2" t="s">
        <v>9</v>
      </c>
      <c r="I3248" s="2" t="s">
        <v>4895</v>
      </c>
    </row>
    <row r="3249" spans="1:9" x14ac:dyDescent="0.2">
      <c r="A3249" s="2" t="s">
        <v>5597</v>
      </c>
      <c r="B3249" s="2" t="s">
        <v>5140</v>
      </c>
      <c r="C3249" s="2">
        <v>1186.8409999999999</v>
      </c>
      <c r="D3249" s="2">
        <f>HYPERLINK("http://mcb-m6.bioreg.kyushu-u.ac.jp/M3/20110318/F50602/2952/1", 87.65)</f>
        <v>87.65</v>
      </c>
      <c r="E3249" s="2">
        <v>83.88</v>
      </c>
      <c r="F3249" s="2">
        <v>3</v>
      </c>
      <c r="G3249" s="2" t="s">
        <v>9</v>
      </c>
    </row>
    <row r="3250" spans="1:9" x14ac:dyDescent="0.2">
      <c r="A3250" s="2" t="s">
        <v>5597</v>
      </c>
      <c r="B3250" s="2" t="s">
        <v>5182</v>
      </c>
      <c r="C3250" s="2">
        <v>978.91859999999997</v>
      </c>
      <c r="D3250" s="2">
        <f>HYPERLINK("http://mcb-m6.bioreg.kyushu-u.ac.jp/M3/20110318/F50601/1986/1", 89.53)</f>
        <v>89.53</v>
      </c>
      <c r="E3250" s="2">
        <v>77.760000000000005</v>
      </c>
      <c r="F3250" s="2">
        <v>2</v>
      </c>
      <c r="G3250" s="2" t="s">
        <v>9</v>
      </c>
    </row>
    <row r="3251" spans="1:9" x14ac:dyDescent="0.2">
      <c r="A3251" s="2" t="s">
        <v>5597</v>
      </c>
      <c r="B3251" s="2" t="s">
        <v>5190</v>
      </c>
      <c r="C3251" s="2">
        <v>818.42269999999996</v>
      </c>
      <c r="D3251" s="2">
        <f>HYPERLINK("http://mcb-m6.bioreg.kyushu-u.ac.jp/M3/20110318/F50601/1744/1", 92.53)</f>
        <v>92.53</v>
      </c>
      <c r="E3251" s="2">
        <v>55.31</v>
      </c>
      <c r="F3251" s="2">
        <v>2</v>
      </c>
      <c r="G3251" s="2" t="s">
        <v>9</v>
      </c>
    </row>
    <row r="3252" spans="1:9" x14ac:dyDescent="0.2">
      <c r="A3252" s="2" t="s">
        <v>5597</v>
      </c>
      <c r="B3252" s="2" t="s">
        <v>5166</v>
      </c>
      <c r="C3252" s="2">
        <v>803.43269999999995</v>
      </c>
      <c r="D3252" s="2">
        <f>HYPERLINK("http://mcb-m6.bioreg.kyushu-u.ac.jp/M3/20110318/F50603/1688/1", 94.67)</f>
        <v>94.67</v>
      </c>
      <c r="E3252" s="2">
        <v>83.29</v>
      </c>
      <c r="F3252" s="2">
        <v>2</v>
      </c>
      <c r="G3252" s="2" t="s">
        <v>9</v>
      </c>
    </row>
    <row r="3253" spans="1:9" x14ac:dyDescent="0.2">
      <c r="A3253" s="2" t="s">
        <v>5597</v>
      </c>
      <c r="B3253" s="2" t="s">
        <v>5182</v>
      </c>
      <c r="C3253" s="2">
        <v>978.87019999999995</v>
      </c>
      <c r="D3253" s="2">
        <f>HYPERLINK("http://mcb-m6.bioreg.kyushu-u.ac.jp/M3/20110318/F50602/2082/1", 99.08)</f>
        <v>99.08</v>
      </c>
      <c r="E3253" s="2">
        <v>87.25</v>
      </c>
      <c r="F3253" s="2">
        <v>2</v>
      </c>
      <c r="G3253" s="2" t="s">
        <v>9</v>
      </c>
    </row>
    <row r="3254" spans="1:9" x14ac:dyDescent="0.2">
      <c r="A3254" s="2" t="s">
        <v>5597</v>
      </c>
      <c r="B3254" s="2" t="s">
        <v>5197</v>
      </c>
      <c r="C3254" s="2">
        <v>989.90260000000001</v>
      </c>
      <c r="D3254" s="2">
        <f>HYPERLINK("http://mcb-m6.bioreg.kyushu-u.ac.jp/M3/20110318/F50601/1996/1", 100.69)</f>
        <v>100.69</v>
      </c>
      <c r="E3254" s="2">
        <v>66.05</v>
      </c>
      <c r="F3254" s="2">
        <v>2</v>
      </c>
      <c r="G3254" s="2" t="s">
        <v>9</v>
      </c>
      <c r="I3254" s="2" t="s">
        <v>4895</v>
      </c>
    </row>
    <row r="3255" spans="1:9" x14ac:dyDescent="0.2">
      <c r="A3255" s="2" t="s">
        <v>5597</v>
      </c>
      <c r="B3255" s="2" t="s">
        <v>5184</v>
      </c>
      <c r="C3255" s="2">
        <v>818.45759999999996</v>
      </c>
      <c r="D3255" s="2">
        <f>HYPERLINK("http://mcb-m6.bioreg.kyushu-u.ac.jp/M3/20110318/F50601/1745/1", 104.15)</f>
        <v>104.15</v>
      </c>
      <c r="E3255" s="2">
        <v>83.78</v>
      </c>
      <c r="F3255" s="2">
        <v>2</v>
      </c>
      <c r="G3255" s="2" t="s">
        <v>9</v>
      </c>
      <c r="I3255" s="2" t="s">
        <v>4899</v>
      </c>
    </row>
    <row r="3256" spans="1:9" x14ac:dyDescent="0.2">
      <c r="A3256" s="2" t="s">
        <v>5597</v>
      </c>
      <c r="B3256" s="2" t="s">
        <v>5073</v>
      </c>
      <c r="C3256" s="2">
        <v>964.67169999999999</v>
      </c>
      <c r="D3256" s="2">
        <f>HYPERLINK("http://mcb-m6.bioreg.kyushu-u.ac.jp/M3/20110318/F50608/2100/1", 106.37)</f>
        <v>106.37</v>
      </c>
      <c r="E3256" s="2">
        <v>82.18</v>
      </c>
      <c r="F3256" s="2">
        <v>2</v>
      </c>
      <c r="G3256" s="2" t="s">
        <v>9</v>
      </c>
    </row>
    <row r="3257" spans="1:9" x14ac:dyDescent="0.2">
      <c r="A3257" s="2" t="s">
        <v>5597</v>
      </c>
      <c r="B3257" s="2" t="s">
        <v>5073</v>
      </c>
      <c r="C3257" s="2">
        <v>964.13710000000003</v>
      </c>
      <c r="D3257" s="2">
        <f>HYPERLINK("http://mcb-m6.bioreg.kyushu-u.ac.jp/M3/20110318/F50608/2095/1", 106.67)</f>
        <v>106.67</v>
      </c>
      <c r="E3257" s="2">
        <v>81.680000000000007</v>
      </c>
      <c r="F3257" s="2">
        <v>2</v>
      </c>
      <c r="G3257" s="2" t="s">
        <v>9</v>
      </c>
    </row>
    <row r="3258" spans="1:9" x14ac:dyDescent="0.2">
      <c r="A3258" s="2" t="s">
        <v>5597</v>
      </c>
      <c r="B3258" s="2" t="s">
        <v>5182</v>
      </c>
      <c r="C3258" s="2">
        <v>978.40719999999999</v>
      </c>
      <c r="D3258" s="2">
        <f>HYPERLINK("http://mcb-m6.bioreg.kyushu-u.ac.jp/M3/20110318/F50601/1984/1", 116.15)</f>
        <v>116.15</v>
      </c>
      <c r="E3258" s="2">
        <v>103.11</v>
      </c>
      <c r="F3258" s="2">
        <v>2</v>
      </c>
      <c r="G3258" s="2" t="s">
        <v>9</v>
      </c>
    </row>
    <row r="3259" spans="1:9" x14ac:dyDescent="0.2">
      <c r="A3259" s="2" t="s">
        <v>5597</v>
      </c>
      <c r="B3259" s="2" t="s">
        <v>5269</v>
      </c>
      <c r="C3259" s="2">
        <v>577.37710000000004</v>
      </c>
      <c r="D3259" s="2">
        <f>HYPERLINK("http://mcb-m6.bioreg.kyushu-u.ac.jp/M3/20110318/F50595/1424/1", 45.06)</f>
        <v>45.06</v>
      </c>
      <c r="E3259" s="2">
        <v>25.44</v>
      </c>
      <c r="F3259" s="2">
        <v>2</v>
      </c>
      <c r="G3259" s="2" t="s">
        <v>10</v>
      </c>
    </row>
    <row r="3260" spans="1:9" x14ac:dyDescent="0.2">
      <c r="A3260" s="2" t="s">
        <v>5597</v>
      </c>
      <c r="B3260" s="2" t="s">
        <v>4997</v>
      </c>
      <c r="C3260" s="2">
        <v>997.553</v>
      </c>
      <c r="D3260" s="2">
        <f>HYPERLINK("http://mcb-m6.bioreg.kyushu-u.ac.jp/M3/20110318/F50599/1194/1", 45.71)</f>
        <v>45.71</v>
      </c>
      <c r="E3260" s="2">
        <v>26.79</v>
      </c>
      <c r="F3260" s="2">
        <v>1</v>
      </c>
      <c r="G3260" s="2" t="s">
        <v>10</v>
      </c>
    </row>
    <row r="3261" spans="1:9" x14ac:dyDescent="0.2">
      <c r="A3261" s="2" t="s">
        <v>5597</v>
      </c>
      <c r="B3261" s="2" t="s">
        <v>5011</v>
      </c>
      <c r="C3261" s="2">
        <v>675.19460000000004</v>
      </c>
      <c r="D3261" s="2">
        <f>HYPERLINK("http://mcb-m6.bioreg.kyushu-u.ac.jp/M3/20110318/F50595/1543/1", 46.41)</f>
        <v>46.41</v>
      </c>
      <c r="E3261" s="2">
        <v>31</v>
      </c>
      <c r="F3261" s="2">
        <v>2</v>
      </c>
      <c r="G3261" s="2" t="s">
        <v>10</v>
      </c>
    </row>
    <row r="3262" spans="1:9" x14ac:dyDescent="0.2">
      <c r="A3262" s="2" t="s">
        <v>5597</v>
      </c>
      <c r="B3262" s="2" t="s">
        <v>5035</v>
      </c>
      <c r="C3262" s="2">
        <v>827.43219999999997</v>
      </c>
      <c r="D3262" s="2">
        <f>HYPERLINK("http://mcb-m6.bioreg.kyushu-u.ac.jp/M3/20110318/F50596/1927/1", 49.41)</f>
        <v>49.41</v>
      </c>
      <c r="E3262" s="2">
        <v>23.41</v>
      </c>
      <c r="F3262" s="2">
        <v>2</v>
      </c>
      <c r="G3262" s="2" t="s">
        <v>10</v>
      </c>
      <c r="I3262" s="2" t="s">
        <v>4892</v>
      </c>
    </row>
    <row r="3263" spans="1:9" x14ac:dyDescent="0.2">
      <c r="A3263" s="2" t="s">
        <v>5597</v>
      </c>
      <c r="B3263" s="2" t="s">
        <v>5035</v>
      </c>
      <c r="C3263" s="2">
        <v>826.88959999999997</v>
      </c>
      <c r="D3263" s="2">
        <f>HYPERLINK("http://mcb-m6.bioreg.kyushu-u.ac.jp/M3/20110318/F50595/1853/1", 50.07)</f>
        <v>50.07</v>
      </c>
      <c r="E3263" s="2">
        <v>27.69</v>
      </c>
      <c r="F3263" s="2">
        <v>2</v>
      </c>
      <c r="G3263" s="2" t="s">
        <v>10</v>
      </c>
      <c r="I3263" s="2" t="s">
        <v>4892</v>
      </c>
    </row>
    <row r="3264" spans="1:9" x14ac:dyDescent="0.2">
      <c r="A3264" s="2" t="s">
        <v>5597</v>
      </c>
      <c r="B3264" s="2" t="s">
        <v>5294</v>
      </c>
      <c r="C3264" s="2">
        <v>682.80359999999996</v>
      </c>
      <c r="D3264" s="2">
        <f>HYPERLINK("http://mcb-m6.bioreg.kyushu-u.ac.jp/M3/20110318/F50599/1529/1", 50.98)</f>
        <v>50.98</v>
      </c>
      <c r="E3264" s="2">
        <v>34.06</v>
      </c>
      <c r="F3264" s="2">
        <v>2</v>
      </c>
      <c r="G3264" s="2" t="s">
        <v>10</v>
      </c>
    </row>
    <row r="3265" spans="1:9" x14ac:dyDescent="0.2">
      <c r="A3265" s="2" t="s">
        <v>5597</v>
      </c>
      <c r="B3265" s="2" t="s">
        <v>4987</v>
      </c>
      <c r="C3265" s="2">
        <v>849.30449999999996</v>
      </c>
      <c r="D3265" s="2">
        <f>HYPERLINK("http://mcb-m6.bioreg.kyushu-u.ac.jp/M3/20110318/F50595/2506/1", 51.83)</f>
        <v>51.83</v>
      </c>
      <c r="E3265" s="2">
        <v>41.32</v>
      </c>
      <c r="F3265" s="2">
        <v>3</v>
      </c>
      <c r="G3265" s="2" t="s">
        <v>10</v>
      </c>
    </row>
    <row r="3266" spans="1:9" x14ac:dyDescent="0.2">
      <c r="A3266" s="2" t="s">
        <v>5597</v>
      </c>
      <c r="B3266" s="2" t="s">
        <v>5304</v>
      </c>
      <c r="C3266" s="2">
        <v>890.8229</v>
      </c>
      <c r="D3266" s="2">
        <f>HYPERLINK("http://mcb-m6.bioreg.kyushu-u.ac.jp/M3/20110318/F50595/2556/1", 53.79)</f>
        <v>53.79</v>
      </c>
      <c r="E3266" s="2">
        <v>41.18</v>
      </c>
      <c r="F3266" s="2">
        <v>3</v>
      </c>
      <c r="G3266" s="2" t="s">
        <v>10</v>
      </c>
    </row>
    <row r="3267" spans="1:9" x14ac:dyDescent="0.2">
      <c r="A3267" s="2" t="s">
        <v>5597</v>
      </c>
      <c r="B3267" s="2" t="s">
        <v>5161</v>
      </c>
      <c r="C3267" s="2">
        <v>1008.03</v>
      </c>
      <c r="D3267" s="2">
        <f>HYPERLINK("http://mcb-m6.bioreg.kyushu-u.ac.jp/M3/20110318/F50595/2148/1", 55.79)</f>
        <v>55.79</v>
      </c>
      <c r="E3267" s="2">
        <v>45.84</v>
      </c>
      <c r="F3267" s="2">
        <v>2</v>
      </c>
      <c r="G3267" s="2" t="s">
        <v>10</v>
      </c>
    </row>
    <row r="3268" spans="1:9" x14ac:dyDescent="0.2">
      <c r="A3268" s="2" t="s">
        <v>5597</v>
      </c>
      <c r="B3268" s="2" t="s">
        <v>5312</v>
      </c>
      <c r="C3268" s="2">
        <v>970.9452</v>
      </c>
      <c r="D3268" s="2">
        <f>HYPERLINK("http://mcb-m6.bioreg.kyushu-u.ac.jp/M3/20110318/F50595/2077/1", 56.11)</f>
        <v>56.11</v>
      </c>
      <c r="E3268" s="2">
        <v>43</v>
      </c>
      <c r="F3268" s="2">
        <v>2</v>
      </c>
      <c r="G3268" s="2" t="s">
        <v>10</v>
      </c>
    </row>
    <row r="3269" spans="1:9" x14ac:dyDescent="0.2">
      <c r="A3269" s="2" t="s">
        <v>5597</v>
      </c>
      <c r="B3269" s="2" t="s">
        <v>5318</v>
      </c>
      <c r="C3269" s="2">
        <v>621.55970000000002</v>
      </c>
      <c r="D3269" s="2">
        <f>HYPERLINK("http://mcb-m6.bioreg.kyushu-u.ac.jp/M3/20110318/F50595/1474/1", 58.07)</f>
        <v>58.07</v>
      </c>
      <c r="E3269" s="2">
        <v>38.57</v>
      </c>
      <c r="F3269" s="2">
        <v>2</v>
      </c>
      <c r="G3269" s="2" t="s">
        <v>10</v>
      </c>
    </row>
    <row r="3270" spans="1:9" x14ac:dyDescent="0.2">
      <c r="A3270" s="2" t="s">
        <v>5597</v>
      </c>
      <c r="B3270" s="2" t="s">
        <v>5122</v>
      </c>
      <c r="C3270" s="2">
        <v>833.03120000000001</v>
      </c>
      <c r="D3270" s="2">
        <f>HYPERLINK("http://mcb-m6.bioreg.kyushu-u.ac.jp/M3/20110318/F50595/1870/1", 59.57)</f>
        <v>59.57</v>
      </c>
      <c r="E3270" s="2">
        <v>44.21</v>
      </c>
      <c r="F3270" s="2">
        <v>2</v>
      </c>
      <c r="G3270" s="2" t="s">
        <v>10</v>
      </c>
    </row>
    <row r="3271" spans="1:9" x14ac:dyDescent="0.2">
      <c r="A3271" s="2" t="s">
        <v>5597</v>
      </c>
      <c r="B3271" s="2" t="s">
        <v>5135</v>
      </c>
      <c r="C3271" s="2">
        <v>849.9982</v>
      </c>
      <c r="D3271" s="2">
        <f>HYPERLINK("http://mcb-m6.bioreg.kyushu-u.ac.jp/M3/20110318/F50596/1996/1", 61.17)</f>
        <v>61.17</v>
      </c>
      <c r="E3271" s="2">
        <v>46.17</v>
      </c>
      <c r="F3271" s="2">
        <v>2</v>
      </c>
      <c r="G3271" s="2" t="s">
        <v>10</v>
      </c>
    </row>
    <row r="3272" spans="1:9" x14ac:dyDescent="0.2">
      <c r="A3272" s="2" t="s">
        <v>5597</v>
      </c>
      <c r="B3272" s="2" t="s">
        <v>5112</v>
      </c>
      <c r="C3272" s="2">
        <v>916.36360000000002</v>
      </c>
      <c r="D3272" s="2">
        <f>HYPERLINK("http://mcb-m6.bioreg.kyushu-u.ac.jp/M3/20110318/F50596/2154/1", 61.8)</f>
        <v>61.8</v>
      </c>
      <c r="E3272" s="2">
        <v>45.88</v>
      </c>
      <c r="F3272" s="2">
        <v>2</v>
      </c>
      <c r="G3272" s="2" t="s">
        <v>10</v>
      </c>
    </row>
    <row r="3273" spans="1:9" x14ac:dyDescent="0.2">
      <c r="A3273" s="2" t="s">
        <v>5597</v>
      </c>
      <c r="B3273" s="2" t="s">
        <v>5049</v>
      </c>
      <c r="C3273" s="2">
        <v>626.37159999999994</v>
      </c>
      <c r="D3273" s="2">
        <f>HYPERLINK("http://mcb-m6.bioreg.kyushu-u.ac.jp/M3/20110318/F50595/1481/1", 62.01)</f>
        <v>62.01</v>
      </c>
      <c r="E3273" s="2">
        <v>44.31</v>
      </c>
      <c r="F3273" s="2">
        <v>2</v>
      </c>
      <c r="G3273" s="2" t="s">
        <v>10</v>
      </c>
    </row>
    <row r="3274" spans="1:9" x14ac:dyDescent="0.2">
      <c r="A3274" s="2" t="s">
        <v>5597</v>
      </c>
      <c r="B3274" s="2" t="s">
        <v>5146</v>
      </c>
      <c r="C3274" s="2">
        <v>637.36869999999999</v>
      </c>
      <c r="D3274" s="2">
        <f>HYPERLINK("http://mcb-m6.bioreg.kyushu-u.ac.jp/M3/20110318/F50595/1496/1", 64.01)</f>
        <v>64.010000000000005</v>
      </c>
      <c r="E3274" s="2">
        <v>44.42</v>
      </c>
      <c r="F3274" s="2">
        <v>2</v>
      </c>
      <c r="G3274" s="2" t="s">
        <v>10</v>
      </c>
    </row>
    <row r="3275" spans="1:9" x14ac:dyDescent="0.2">
      <c r="A3275" s="2" t="s">
        <v>5597</v>
      </c>
      <c r="B3275" s="2" t="s">
        <v>5332</v>
      </c>
      <c r="C3275" s="2">
        <v>1112.4639999999999</v>
      </c>
      <c r="D3275" s="2">
        <f>HYPERLINK("http://mcb-m6.bioreg.kyushu-u.ac.jp/M3/20110318/F50595/2712/1", 65.56)</f>
        <v>65.56</v>
      </c>
      <c r="E3275" s="2">
        <v>50.85</v>
      </c>
      <c r="F3275" s="2">
        <v>3</v>
      </c>
      <c r="G3275" s="2" t="s">
        <v>10</v>
      </c>
      <c r="I3275" s="2" t="s">
        <v>4922</v>
      </c>
    </row>
    <row r="3276" spans="1:9" x14ac:dyDescent="0.2">
      <c r="A3276" s="2" t="s">
        <v>5597</v>
      </c>
      <c r="B3276" s="2" t="s">
        <v>5190</v>
      </c>
      <c r="C3276" s="2">
        <v>819.00019999999995</v>
      </c>
      <c r="D3276" s="2">
        <f>HYPERLINK("http://mcb-m6.bioreg.kyushu-u.ac.jp/M3/20110318/F50597/1913/1", 66.87)</f>
        <v>66.87</v>
      </c>
      <c r="E3276" s="2">
        <v>49.37</v>
      </c>
      <c r="F3276" s="2">
        <v>2</v>
      </c>
      <c r="G3276" s="2" t="s">
        <v>10</v>
      </c>
    </row>
    <row r="3277" spans="1:9" x14ac:dyDescent="0.2">
      <c r="A3277" s="2" t="s">
        <v>5597</v>
      </c>
      <c r="B3277" s="2" t="s">
        <v>5135</v>
      </c>
      <c r="C3277" s="2">
        <v>850.54269999999997</v>
      </c>
      <c r="D3277" s="2">
        <f>HYPERLINK("http://mcb-m6.bioreg.kyushu-u.ac.jp/M3/20110318/F50595/1895/1", 68.63)</f>
        <v>68.63</v>
      </c>
      <c r="E3277" s="2">
        <v>36.5</v>
      </c>
      <c r="F3277" s="2">
        <v>2</v>
      </c>
      <c r="G3277" s="2" t="s">
        <v>10</v>
      </c>
    </row>
    <row r="3278" spans="1:9" x14ac:dyDescent="0.2">
      <c r="A3278" s="2" t="s">
        <v>5597</v>
      </c>
      <c r="B3278" s="2" t="s">
        <v>5181</v>
      </c>
      <c r="C3278" s="2">
        <v>794.95119999999997</v>
      </c>
      <c r="D3278" s="2">
        <f>HYPERLINK("http://mcb-m6.bioreg.kyushu-u.ac.jp/M3/20110318/F50595/1817/1", 73.78)</f>
        <v>73.78</v>
      </c>
      <c r="E3278" s="2">
        <v>59.11</v>
      </c>
      <c r="F3278" s="2">
        <v>2</v>
      </c>
      <c r="G3278" s="2" t="s">
        <v>10</v>
      </c>
    </row>
    <row r="3279" spans="1:9" x14ac:dyDescent="0.2">
      <c r="A3279" s="2" t="s">
        <v>5597</v>
      </c>
      <c r="B3279" s="2" t="s">
        <v>5176</v>
      </c>
      <c r="C3279" s="2">
        <v>870.94709999999998</v>
      </c>
      <c r="D3279" s="2">
        <f>HYPERLINK("http://mcb-m6.bioreg.kyushu-u.ac.jp/M3/20110318/F50595/1927/1", 75.6)</f>
        <v>75.599999999999994</v>
      </c>
      <c r="E3279" s="2">
        <v>63.91</v>
      </c>
      <c r="F3279" s="2">
        <v>2</v>
      </c>
      <c r="G3279" s="2" t="s">
        <v>10</v>
      </c>
    </row>
    <row r="3280" spans="1:9" x14ac:dyDescent="0.2">
      <c r="A3280" s="2" t="s">
        <v>5597</v>
      </c>
      <c r="B3280" s="2" t="s">
        <v>5190</v>
      </c>
      <c r="C3280" s="2">
        <v>818.57320000000004</v>
      </c>
      <c r="D3280" s="2">
        <f>HYPERLINK("http://mcb-m6.bioreg.kyushu-u.ac.jp/M3/20110318/F50595/1848/1", 76.91)</f>
        <v>76.91</v>
      </c>
      <c r="E3280" s="2">
        <v>39.81</v>
      </c>
      <c r="F3280" s="2">
        <v>2</v>
      </c>
      <c r="G3280" s="2" t="s">
        <v>10</v>
      </c>
    </row>
    <row r="3281" spans="1:9" x14ac:dyDescent="0.2">
      <c r="A3281" s="2" t="s">
        <v>5597</v>
      </c>
      <c r="B3281" s="2" t="s">
        <v>5181</v>
      </c>
      <c r="C3281" s="2">
        <v>794.81370000000004</v>
      </c>
      <c r="D3281" s="2">
        <f>HYPERLINK("http://mcb-m6.bioreg.kyushu-u.ac.jp/M3/20110318/F50596/1849/1", 78.92)</f>
        <v>78.92</v>
      </c>
      <c r="E3281" s="2">
        <v>56.31</v>
      </c>
      <c r="F3281" s="2">
        <v>2</v>
      </c>
      <c r="G3281" s="2" t="s">
        <v>10</v>
      </c>
    </row>
    <row r="3282" spans="1:9" x14ac:dyDescent="0.2">
      <c r="A3282" s="2" t="s">
        <v>5597</v>
      </c>
      <c r="B3282" s="2" t="s">
        <v>5166</v>
      </c>
      <c r="C3282" s="2">
        <v>803.79520000000002</v>
      </c>
      <c r="D3282" s="2">
        <f>HYPERLINK("http://mcb-m6.bioreg.kyushu-u.ac.jp/M3/20110318/F50596/1871/1", 79.25)</f>
        <v>79.25</v>
      </c>
      <c r="E3282" s="2">
        <v>66.58</v>
      </c>
      <c r="F3282" s="2">
        <v>2</v>
      </c>
      <c r="G3282" s="2" t="s">
        <v>10</v>
      </c>
    </row>
    <row r="3283" spans="1:9" x14ac:dyDescent="0.2">
      <c r="A3283" s="2" t="s">
        <v>5597</v>
      </c>
      <c r="B3283" s="2" t="s">
        <v>5346</v>
      </c>
      <c r="C3283" s="2">
        <v>681.95870000000002</v>
      </c>
      <c r="D3283" s="2">
        <f>HYPERLINK("http://mcb-m6.bioreg.kyushu-u.ac.jp/M3/20110318/F50595/1554/1", 80.86)</f>
        <v>80.86</v>
      </c>
      <c r="E3283" s="2">
        <v>63.58</v>
      </c>
      <c r="F3283" s="2">
        <v>2</v>
      </c>
      <c r="G3283" s="2" t="s">
        <v>10</v>
      </c>
    </row>
    <row r="3284" spans="1:9" x14ac:dyDescent="0.2">
      <c r="A3284" s="2" t="s">
        <v>5597</v>
      </c>
      <c r="B3284" s="2" t="s">
        <v>5135</v>
      </c>
      <c r="C3284" s="2">
        <v>850.00570000000005</v>
      </c>
      <c r="D3284" s="2">
        <f>HYPERLINK("http://mcb-m6.bioreg.kyushu-u.ac.jp/M3/20110318/F50595/1894/1", 83.3)</f>
        <v>83.3</v>
      </c>
      <c r="E3284" s="2">
        <v>50.84</v>
      </c>
      <c r="F3284" s="2">
        <v>2</v>
      </c>
      <c r="G3284" s="2" t="s">
        <v>10</v>
      </c>
    </row>
    <row r="3285" spans="1:9" x14ac:dyDescent="0.2">
      <c r="A3285" s="2" t="s">
        <v>5597</v>
      </c>
      <c r="B3285" s="2" t="s">
        <v>5140</v>
      </c>
      <c r="C3285" s="2">
        <v>1186.5350000000001</v>
      </c>
      <c r="D3285" s="2">
        <f>HYPERLINK("http://mcb-m6.bioreg.kyushu-u.ac.jp/M3/20110318/F50595/2743/1", 88.1)</f>
        <v>88.1</v>
      </c>
      <c r="E3285" s="2">
        <v>84.12</v>
      </c>
      <c r="F3285" s="2">
        <v>3</v>
      </c>
      <c r="G3285" s="2" t="s">
        <v>10</v>
      </c>
    </row>
    <row r="3286" spans="1:9" x14ac:dyDescent="0.2">
      <c r="A3286" s="2" t="s">
        <v>5597</v>
      </c>
      <c r="B3286" s="2" t="s">
        <v>5062</v>
      </c>
      <c r="C3286" s="2">
        <v>800.30409999999995</v>
      </c>
      <c r="D3286" s="2">
        <f>HYPERLINK("http://mcb-m6.bioreg.kyushu-u.ac.jp/M3/20110318/F50596/1861/1", 89.03)</f>
        <v>89.03</v>
      </c>
      <c r="E3286" s="2">
        <v>67.930000000000007</v>
      </c>
      <c r="F3286" s="2">
        <v>2</v>
      </c>
      <c r="G3286" s="2" t="s">
        <v>10</v>
      </c>
      <c r="I3286" s="2" t="s">
        <v>4895</v>
      </c>
    </row>
    <row r="3287" spans="1:9" x14ac:dyDescent="0.2">
      <c r="A3287" s="2" t="s">
        <v>5597</v>
      </c>
      <c r="B3287" s="2" t="s">
        <v>5062</v>
      </c>
      <c r="C3287" s="2">
        <v>800.47059999999999</v>
      </c>
      <c r="D3287" s="2">
        <f>HYPERLINK("http://mcb-m6.bioreg.kyushu-u.ac.jp/M3/20110318/F50595/1828/1", 95.09)</f>
        <v>95.09</v>
      </c>
      <c r="E3287" s="2">
        <v>79.06</v>
      </c>
      <c r="F3287" s="2">
        <v>2</v>
      </c>
      <c r="G3287" s="2" t="s">
        <v>10</v>
      </c>
      <c r="I3287" s="2" t="s">
        <v>4895</v>
      </c>
    </row>
    <row r="3288" spans="1:9" x14ac:dyDescent="0.2">
      <c r="A3288" s="2" t="s">
        <v>5597</v>
      </c>
      <c r="B3288" s="2" t="s">
        <v>5140</v>
      </c>
      <c r="C3288" s="2">
        <v>1186.588</v>
      </c>
      <c r="D3288" s="2">
        <f>HYPERLINK("http://mcb-m6.bioreg.kyushu-u.ac.jp/M3/20110318/F50596/3144/1", 97.31)</f>
        <v>97.31</v>
      </c>
      <c r="E3288" s="2">
        <v>90.48</v>
      </c>
      <c r="F3288" s="2">
        <v>3</v>
      </c>
      <c r="G3288" s="2" t="s">
        <v>10</v>
      </c>
    </row>
    <row r="3289" spans="1:9" x14ac:dyDescent="0.2">
      <c r="A3289" s="2" t="s">
        <v>5597</v>
      </c>
      <c r="B3289" s="2" t="s">
        <v>5355</v>
      </c>
      <c r="C3289" s="2">
        <v>1011.378</v>
      </c>
      <c r="D3289" s="2">
        <f>HYPERLINK("http://mcb-m6.bioreg.kyushu-u.ac.jp/M3/20110318/F50596/2370/1", 97.79)</f>
        <v>97.79</v>
      </c>
      <c r="E3289" s="2">
        <v>67.150000000000006</v>
      </c>
      <c r="F3289" s="2">
        <v>2</v>
      </c>
      <c r="G3289" s="2" t="s">
        <v>10</v>
      </c>
    </row>
    <row r="3290" spans="1:9" x14ac:dyDescent="0.2">
      <c r="A3290" s="2" t="s">
        <v>5597</v>
      </c>
      <c r="B3290" s="2" t="s">
        <v>5073</v>
      </c>
      <c r="C3290" s="2">
        <v>964.44820000000004</v>
      </c>
      <c r="D3290" s="2">
        <f>HYPERLINK("http://mcb-m6.bioreg.kyushu-u.ac.jp/M3/20110318/F50596/2272/1", 98.14)</f>
        <v>98.14</v>
      </c>
      <c r="E3290" s="2">
        <v>71.97</v>
      </c>
      <c r="F3290" s="2">
        <v>2</v>
      </c>
      <c r="G3290" s="2" t="s">
        <v>10</v>
      </c>
    </row>
    <row r="3291" spans="1:9" x14ac:dyDescent="0.2">
      <c r="A3291" s="2" t="s">
        <v>5597</v>
      </c>
      <c r="B3291" s="2" t="s">
        <v>5190</v>
      </c>
      <c r="C3291" s="2">
        <v>818.55269999999996</v>
      </c>
      <c r="D3291" s="2">
        <f>HYPERLINK("http://mcb-m6.bioreg.kyushu-u.ac.jp/M3/20110318/F50596/1906/1", 98.87)</f>
        <v>98.87</v>
      </c>
      <c r="E3291" s="2">
        <v>73.12</v>
      </c>
      <c r="F3291" s="2">
        <v>2</v>
      </c>
      <c r="G3291" s="2" t="s">
        <v>10</v>
      </c>
    </row>
    <row r="3292" spans="1:9" x14ac:dyDescent="0.2">
      <c r="A3292" s="2" t="s">
        <v>5597</v>
      </c>
      <c r="B3292" s="2" t="s">
        <v>5182</v>
      </c>
      <c r="C3292" s="2">
        <v>978.71469999999999</v>
      </c>
      <c r="D3292" s="2">
        <f>HYPERLINK("http://mcb-m6.bioreg.kyushu-u.ac.jp/M3/20110318/F50595/2095/1", 99.13)</f>
        <v>99.13</v>
      </c>
      <c r="E3292" s="2">
        <v>87.1</v>
      </c>
      <c r="F3292" s="2">
        <v>2</v>
      </c>
      <c r="G3292" s="2" t="s">
        <v>10</v>
      </c>
    </row>
    <row r="3293" spans="1:9" x14ac:dyDescent="0.2">
      <c r="A3293" s="2" t="s">
        <v>5597</v>
      </c>
      <c r="B3293" s="2" t="s">
        <v>5355</v>
      </c>
      <c r="C3293" s="2">
        <v>1011.44</v>
      </c>
      <c r="D3293" s="2">
        <f>HYPERLINK("http://mcb-m6.bioreg.kyushu-u.ac.jp/M3/20110318/F50595/2152/1", 102.54)</f>
        <v>102.54</v>
      </c>
      <c r="E3293" s="2">
        <v>70.95</v>
      </c>
      <c r="F3293" s="2">
        <v>2</v>
      </c>
      <c r="G3293" s="2" t="s">
        <v>10</v>
      </c>
    </row>
    <row r="3294" spans="1:9" x14ac:dyDescent="0.2">
      <c r="A3294" s="2" t="s">
        <v>5597</v>
      </c>
      <c r="B3294" s="2" t="s">
        <v>5182</v>
      </c>
      <c r="C3294" s="2">
        <v>978.36969999999997</v>
      </c>
      <c r="D3294" s="2">
        <f>HYPERLINK("http://mcb-m6.bioreg.kyushu-u.ac.jp/M3/20110318/F50596/2305/1", 103.45)</f>
        <v>103.45</v>
      </c>
      <c r="E3294" s="2">
        <v>90.31</v>
      </c>
      <c r="F3294" s="2">
        <v>2</v>
      </c>
      <c r="G3294" s="2" t="s">
        <v>10</v>
      </c>
    </row>
    <row r="3295" spans="1:9" x14ac:dyDescent="0.2">
      <c r="A3295" s="2" t="s">
        <v>5597</v>
      </c>
      <c r="B3295" s="2" t="s">
        <v>5197</v>
      </c>
      <c r="C3295" s="2">
        <v>989.55160000000001</v>
      </c>
      <c r="D3295" s="2">
        <f>HYPERLINK("http://mcb-m6.bioreg.kyushu-u.ac.jp/M3/20110318/F50595/2115/1", 108.31)</f>
        <v>108.31</v>
      </c>
      <c r="E3295" s="2">
        <v>69.540000000000006</v>
      </c>
      <c r="F3295" s="2">
        <v>2</v>
      </c>
      <c r="G3295" s="2" t="s">
        <v>10</v>
      </c>
      <c r="I3295" s="2" t="s">
        <v>4895</v>
      </c>
    </row>
    <row r="3296" spans="1:9" x14ac:dyDescent="0.2">
      <c r="A3296" s="2" t="s">
        <v>5597</v>
      </c>
      <c r="B3296" s="2" t="s">
        <v>5073</v>
      </c>
      <c r="C3296" s="2">
        <v>964.82169999999996</v>
      </c>
      <c r="D3296" s="2">
        <f>HYPERLINK("http://mcb-m6.bioreg.kyushu-u.ac.jp/M3/20110318/F50598/2141/1", 109.48)</f>
        <v>109.48</v>
      </c>
      <c r="E3296" s="2">
        <v>89.48</v>
      </c>
      <c r="F3296" s="2">
        <v>2</v>
      </c>
      <c r="G3296" s="2" t="s">
        <v>10</v>
      </c>
    </row>
    <row r="3297" spans="1:9" x14ac:dyDescent="0.2">
      <c r="A3297" s="2" t="s">
        <v>5597</v>
      </c>
      <c r="B3297" s="2" t="s">
        <v>5073</v>
      </c>
      <c r="C3297" s="2">
        <v>964.21310000000005</v>
      </c>
      <c r="D3297" s="2">
        <f>HYPERLINK("http://mcb-m6.bioreg.kyushu-u.ac.jp/M3/20110318/F50599/2257/1", 122.09)</f>
        <v>122.09</v>
      </c>
      <c r="E3297" s="2">
        <v>103.56</v>
      </c>
      <c r="F3297" s="2">
        <v>2</v>
      </c>
      <c r="G3297" s="2" t="s">
        <v>10</v>
      </c>
    </row>
    <row r="3298" spans="1:9" x14ac:dyDescent="0.2">
      <c r="A3298" s="2" t="s">
        <v>5597</v>
      </c>
      <c r="B3298" s="2" t="s">
        <v>5371</v>
      </c>
      <c r="C3298" s="2">
        <v>773.38210000000004</v>
      </c>
      <c r="D3298" s="2">
        <f>HYPERLINK("http://mcb-m6.bioreg.kyushu-u.ac.jp/M3/20110418/F50979/2234/1", 38.69)</f>
        <v>38.69</v>
      </c>
      <c r="E3298" s="2">
        <v>25.54</v>
      </c>
      <c r="F3298" s="2">
        <v>2</v>
      </c>
      <c r="G3298" s="2" t="s">
        <v>11</v>
      </c>
    </row>
    <row r="3299" spans="1:9" x14ac:dyDescent="0.2">
      <c r="A3299" s="2" t="s">
        <v>5597</v>
      </c>
      <c r="B3299" s="2" t="s">
        <v>5400</v>
      </c>
      <c r="C3299" s="2">
        <v>988.34799999999996</v>
      </c>
      <c r="D3299" s="2">
        <f>HYPERLINK("http://mcb-m6.bioreg.kyushu-u.ac.jp/M3/20110418/F50979/1351/1", 47.09)</f>
        <v>47.09</v>
      </c>
      <c r="E3299" s="2">
        <v>20.79</v>
      </c>
      <c r="F3299" s="2">
        <v>1</v>
      </c>
      <c r="G3299" s="2" t="s">
        <v>11</v>
      </c>
    </row>
    <row r="3300" spans="1:9" x14ac:dyDescent="0.2">
      <c r="A3300" s="2" t="s">
        <v>5597</v>
      </c>
      <c r="B3300" s="2" t="s">
        <v>5035</v>
      </c>
      <c r="C3300" s="2">
        <v>826.85919999999999</v>
      </c>
      <c r="D3300" s="2">
        <f>HYPERLINK("http://mcb-m6.bioreg.kyushu-u.ac.jp/M3/20110418/F50979/2410/1", 57.11)</f>
        <v>57.11</v>
      </c>
      <c r="E3300" s="2">
        <v>31.57</v>
      </c>
      <c r="F3300" s="2">
        <v>2</v>
      </c>
      <c r="G3300" s="2" t="s">
        <v>11</v>
      </c>
      <c r="I3300" s="2" t="s">
        <v>4892</v>
      </c>
    </row>
    <row r="3301" spans="1:9" x14ac:dyDescent="0.2">
      <c r="A3301" s="2" t="s">
        <v>5597</v>
      </c>
      <c r="B3301" s="2" t="s">
        <v>5181</v>
      </c>
      <c r="C3301" s="2">
        <v>795.32669999999996</v>
      </c>
      <c r="D3301" s="2">
        <f>HYPERLINK("http://mcb-m6.bioreg.kyushu-u.ac.jp/M3/20110418/F50978/2360/1", 60.66)</f>
        <v>60.66</v>
      </c>
      <c r="E3301" s="2">
        <v>41.67</v>
      </c>
      <c r="F3301" s="2">
        <v>2</v>
      </c>
      <c r="G3301" s="2" t="s">
        <v>11</v>
      </c>
    </row>
    <row r="3302" spans="1:9" x14ac:dyDescent="0.2">
      <c r="A3302" s="2" t="s">
        <v>5597</v>
      </c>
      <c r="B3302" s="2" t="s">
        <v>5355</v>
      </c>
      <c r="C3302" s="2">
        <v>1011.391</v>
      </c>
      <c r="D3302" s="2">
        <f>HYPERLINK("http://mcb-m6.bioreg.kyushu-u.ac.jp/M3/20110418/F50979/2958/1", 61.62)</f>
        <v>61.62</v>
      </c>
      <c r="E3302" s="2">
        <v>40.35</v>
      </c>
      <c r="F3302" s="2">
        <v>2</v>
      </c>
      <c r="G3302" s="2" t="s">
        <v>11</v>
      </c>
    </row>
    <row r="3303" spans="1:9" x14ac:dyDescent="0.2">
      <c r="A3303" s="2" t="s">
        <v>5597</v>
      </c>
      <c r="B3303" s="2" t="s">
        <v>5112</v>
      </c>
      <c r="C3303" s="2">
        <v>915.85170000000005</v>
      </c>
      <c r="D3303" s="2">
        <f>HYPERLINK("http://mcb-m6.bioreg.kyushu-u.ac.jp/M3/20110418/F50979/2684/1", 64.31)</f>
        <v>64.31</v>
      </c>
      <c r="E3303" s="2">
        <v>55.3</v>
      </c>
      <c r="F3303" s="2">
        <v>2</v>
      </c>
      <c r="G3303" s="2" t="s">
        <v>11</v>
      </c>
    </row>
    <row r="3304" spans="1:9" x14ac:dyDescent="0.2">
      <c r="A3304" s="2" t="s">
        <v>5597</v>
      </c>
      <c r="B3304" s="2" t="s">
        <v>5166</v>
      </c>
      <c r="C3304" s="2">
        <v>803.80409999999995</v>
      </c>
      <c r="D3304" s="2">
        <f>HYPERLINK("http://mcb-m6.bioreg.kyushu-u.ac.jp/M3/20110418/F50979/2345/1", 74.42)</f>
        <v>74.42</v>
      </c>
      <c r="E3304" s="2">
        <v>60.76</v>
      </c>
      <c r="F3304" s="2">
        <v>2</v>
      </c>
      <c r="G3304" s="2" t="s">
        <v>11</v>
      </c>
    </row>
    <row r="3305" spans="1:9" x14ac:dyDescent="0.2">
      <c r="A3305" s="2" t="s">
        <v>5597</v>
      </c>
      <c r="B3305" s="2" t="s">
        <v>5184</v>
      </c>
      <c r="C3305" s="2">
        <v>818.81410000000005</v>
      </c>
      <c r="D3305" s="2">
        <f>HYPERLINK("http://mcb-m6.bioreg.kyushu-u.ac.jp/M3/20110418/F50979/2386/1", 78.86)</f>
        <v>78.86</v>
      </c>
      <c r="E3305" s="2">
        <v>62.62</v>
      </c>
      <c r="F3305" s="2">
        <v>2</v>
      </c>
      <c r="G3305" s="2" t="s">
        <v>11</v>
      </c>
      <c r="I3305" s="2" t="s">
        <v>4899</v>
      </c>
    </row>
    <row r="3306" spans="1:9" x14ac:dyDescent="0.2">
      <c r="A3306" s="2" t="s">
        <v>5597</v>
      </c>
      <c r="B3306" s="2" t="s">
        <v>5182</v>
      </c>
      <c r="C3306" s="2">
        <v>978.29719999999998</v>
      </c>
      <c r="D3306" s="2">
        <f>HYPERLINK("http://mcb-m6.bioreg.kyushu-u.ac.jp/M3/20110418/F50979/2860/1", 87.09)</f>
        <v>87.09</v>
      </c>
      <c r="E3306" s="2">
        <v>74.849999999999994</v>
      </c>
      <c r="F3306" s="2">
        <v>2</v>
      </c>
      <c r="G3306" s="2" t="s">
        <v>11</v>
      </c>
    </row>
    <row r="3307" spans="1:9" x14ac:dyDescent="0.2">
      <c r="A3307" s="2" t="s">
        <v>5597</v>
      </c>
      <c r="B3307" s="2" t="s">
        <v>5197</v>
      </c>
      <c r="C3307" s="2">
        <v>989.88819999999998</v>
      </c>
      <c r="D3307" s="2">
        <f>HYPERLINK("http://mcb-m6.bioreg.kyushu-u.ac.jp/M3/20110418/F50979/2896/1", 89.26)</f>
        <v>89.26</v>
      </c>
      <c r="E3307" s="2">
        <v>64.61</v>
      </c>
      <c r="F3307" s="2">
        <v>2</v>
      </c>
      <c r="G3307" s="2" t="s">
        <v>11</v>
      </c>
      <c r="I3307" s="2" t="s">
        <v>4895</v>
      </c>
    </row>
    <row r="3308" spans="1:9" x14ac:dyDescent="0.2">
      <c r="A3308" s="2" t="s">
        <v>5597</v>
      </c>
      <c r="B3308" s="2" t="s">
        <v>5073</v>
      </c>
      <c r="C3308" s="2">
        <v>964.76319999999998</v>
      </c>
      <c r="D3308" s="2">
        <f>HYPERLINK("http://mcb-m6.bioreg.kyushu-u.ac.jp/M3/20110418/F50973/2636/1", 89.73)</f>
        <v>89.73</v>
      </c>
      <c r="E3308" s="2">
        <v>61.45</v>
      </c>
      <c r="F3308" s="2">
        <v>2</v>
      </c>
      <c r="G3308" s="2" t="s">
        <v>11</v>
      </c>
    </row>
    <row r="3309" spans="1:9" x14ac:dyDescent="0.2">
      <c r="A3309" s="2" t="s">
        <v>5597</v>
      </c>
      <c r="B3309" s="2" t="s">
        <v>5166</v>
      </c>
      <c r="C3309" s="2">
        <v>803.29060000000004</v>
      </c>
      <c r="D3309" s="2">
        <f>HYPERLINK("http://mcb-m6.bioreg.kyushu-u.ac.jp/M3/20110418/F50979/2344/1", 95.33)</f>
        <v>95.33</v>
      </c>
      <c r="E3309" s="2">
        <v>85.97</v>
      </c>
      <c r="F3309" s="2">
        <v>2</v>
      </c>
      <c r="G3309" s="2" t="s">
        <v>11</v>
      </c>
    </row>
    <row r="3310" spans="1:9" x14ac:dyDescent="0.2">
      <c r="A3310" s="2" t="s">
        <v>5597</v>
      </c>
      <c r="B3310" s="2" t="s">
        <v>5181</v>
      </c>
      <c r="C3310" s="2">
        <v>795.45259999999996</v>
      </c>
      <c r="D3310" s="2">
        <f>HYPERLINK("http://mcb-m6.bioreg.kyushu-u.ac.jp/M3/20110418/F50979/2316/1", 96.45)</f>
        <v>96.45</v>
      </c>
      <c r="E3310" s="2">
        <v>81.709999999999994</v>
      </c>
      <c r="F3310" s="2">
        <v>2</v>
      </c>
      <c r="G3310" s="2" t="s">
        <v>11</v>
      </c>
    </row>
    <row r="3311" spans="1:9" x14ac:dyDescent="0.2">
      <c r="A3311" s="2" t="s">
        <v>5597</v>
      </c>
      <c r="B3311" s="2" t="s">
        <v>5073</v>
      </c>
      <c r="C3311" s="2">
        <v>964.22969999999998</v>
      </c>
      <c r="D3311" s="2">
        <f>HYPERLINK("http://mcb-m6.bioreg.kyushu-u.ac.jp/M3/20110418/F50973/2634/1", 122.25)</f>
        <v>122.25</v>
      </c>
      <c r="E3311" s="2">
        <v>94.86</v>
      </c>
      <c r="F3311" s="2">
        <v>2</v>
      </c>
      <c r="G3311" s="2" t="s">
        <v>11</v>
      </c>
    </row>
    <row r="3312" spans="1:9" x14ac:dyDescent="0.2">
      <c r="A3312" s="2" t="s">
        <v>5597</v>
      </c>
      <c r="B3312" s="2" t="s">
        <v>5049</v>
      </c>
      <c r="C3312" s="2">
        <v>626.12819999999999</v>
      </c>
      <c r="D3312" s="2">
        <f>HYPERLINK("http://mcb-m6.bioreg.kyushu-u.ac.jp/M3/20110418/F50989/1749/1", 35.2)</f>
        <v>35.200000000000003</v>
      </c>
      <c r="E3312" s="2">
        <v>25.09</v>
      </c>
      <c r="F3312" s="2">
        <v>2</v>
      </c>
      <c r="G3312" s="2" t="s">
        <v>12</v>
      </c>
    </row>
    <row r="3313" spans="1:9" x14ac:dyDescent="0.2">
      <c r="A3313" s="2" t="s">
        <v>5597</v>
      </c>
      <c r="B3313" s="2" t="s">
        <v>5436</v>
      </c>
      <c r="C3313" s="2">
        <v>490.84710000000001</v>
      </c>
      <c r="D3313" s="2">
        <f>HYPERLINK("http://mcb-m6.bioreg.kyushu-u.ac.jp/M3/20110418/F50989/1469/1", 39.79)</f>
        <v>39.79</v>
      </c>
      <c r="E3313" s="2">
        <v>19.16</v>
      </c>
      <c r="F3313" s="2">
        <v>2</v>
      </c>
      <c r="G3313" s="2" t="s">
        <v>12</v>
      </c>
    </row>
    <row r="3314" spans="1:9" x14ac:dyDescent="0.2">
      <c r="A3314" s="2" t="s">
        <v>5597</v>
      </c>
      <c r="B3314" s="2" t="s">
        <v>5400</v>
      </c>
      <c r="C3314" s="2">
        <v>988.39200000000005</v>
      </c>
      <c r="D3314" s="2">
        <f>HYPERLINK("http://mcb-m6.bioreg.kyushu-u.ac.jp/M3/20110418/F50989/1482/1", 47.84)</f>
        <v>47.84</v>
      </c>
      <c r="E3314" s="2">
        <v>21.47</v>
      </c>
      <c r="F3314" s="2">
        <v>1</v>
      </c>
      <c r="G3314" s="2" t="s">
        <v>12</v>
      </c>
    </row>
    <row r="3315" spans="1:9" x14ac:dyDescent="0.2">
      <c r="A3315" s="2" t="s">
        <v>5597</v>
      </c>
      <c r="B3315" s="2" t="s">
        <v>4997</v>
      </c>
      <c r="C3315" s="2">
        <v>997.34500000000003</v>
      </c>
      <c r="D3315" s="2">
        <f>HYPERLINK("http://mcb-m6.bioreg.kyushu-u.ac.jp/M3/20110418/F50983/1666/1", 49.09)</f>
        <v>49.09</v>
      </c>
      <c r="E3315" s="2">
        <v>28.37</v>
      </c>
      <c r="F3315" s="2">
        <v>1</v>
      </c>
      <c r="G3315" s="2" t="s">
        <v>12</v>
      </c>
    </row>
    <row r="3316" spans="1:9" x14ac:dyDescent="0.2">
      <c r="A3316" s="2" t="s">
        <v>5597</v>
      </c>
      <c r="B3316" s="2" t="s">
        <v>5146</v>
      </c>
      <c r="C3316" s="2">
        <v>637.67169999999999</v>
      </c>
      <c r="D3316" s="2">
        <f>HYPERLINK("http://mcb-m6.bioreg.kyushu-u.ac.jp/M3/20110418/F50988/1770/1", 52.73)</f>
        <v>52.73</v>
      </c>
      <c r="E3316" s="2">
        <v>33.31</v>
      </c>
      <c r="F3316" s="2">
        <v>2</v>
      </c>
      <c r="G3316" s="2" t="s">
        <v>12</v>
      </c>
    </row>
    <row r="3317" spans="1:9" x14ac:dyDescent="0.2">
      <c r="A3317" s="2" t="s">
        <v>5597</v>
      </c>
      <c r="B3317" s="2" t="s">
        <v>5454</v>
      </c>
      <c r="C3317" s="2">
        <v>841.29610000000002</v>
      </c>
      <c r="D3317" s="2">
        <f>HYPERLINK("http://mcb-m6.bioreg.kyushu-u.ac.jp/M3/20110418/F50989/2329/1", 57.49)</f>
        <v>57.49</v>
      </c>
      <c r="E3317" s="2">
        <v>41.58</v>
      </c>
      <c r="F3317" s="2">
        <v>2</v>
      </c>
      <c r="G3317" s="2" t="s">
        <v>12</v>
      </c>
      <c r="I3317" s="2" t="s">
        <v>4923</v>
      </c>
    </row>
    <row r="3318" spans="1:9" x14ac:dyDescent="0.2">
      <c r="A3318" s="2" t="s">
        <v>5597</v>
      </c>
      <c r="B3318" s="2" t="s">
        <v>5146</v>
      </c>
      <c r="C3318" s="2">
        <v>637.17610000000002</v>
      </c>
      <c r="D3318" s="2">
        <f>HYPERLINK("http://mcb-m6.bioreg.kyushu-u.ac.jp/M3/20110418/F50989/1766/1", 66.94)</f>
        <v>66.94</v>
      </c>
      <c r="E3318" s="2">
        <v>46.52</v>
      </c>
      <c r="F3318" s="2">
        <v>2</v>
      </c>
      <c r="G3318" s="2" t="s">
        <v>12</v>
      </c>
    </row>
    <row r="3319" spans="1:9" x14ac:dyDescent="0.2">
      <c r="A3319" s="2" t="s">
        <v>5597</v>
      </c>
      <c r="B3319" s="2" t="s">
        <v>5371</v>
      </c>
      <c r="C3319" s="2">
        <v>772.79319999999996</v>
      </c>
      <c r="D3319" s="2">
        <f>HYPERLINK("http://mcb-m6.bioreg.kyushu-u.ac.jp/M3/20110418/F50989/2183/1", 68.02)</f>
        <v>68.02</v>
      </c>
      <c r="E3319" s="2">
        <v>52.53</v>
      </c>
      <c r="F3319" s="2">
        <v>2</v>
      </c>
      <c r="G3319" s="2" t="s">
        <v>12</v>
      </c>
    </row>
    <row r="3320" spans="1:9" x14ac:dyDescent="0.2">
      <c r="A3320" s="2" t="s">
        <v>5597</v>
      </c>
      <c r="B3320" s="2" t="s">
        <v>5456</v>
      </c>
      <c r="C3320" s="2">
        <v>712.24519999999995</v>
      </c>
      <c r="D3320" s="2">
        <f>HYPERLINK("http://mcb-m6.bioreg.kyushu-u.ac.jp/M3/20110418/F50989/1931/1", 70.43)</f>
        <v>70.430000000000007</v>
      </c>
      <c r="E3320" s="2">
        <v>50.61</v>
      </c>
      <c r="F3320" s="2">
        <v>2</v>
      </c>
      <c r="G3320" s="2" t="s">
        <v>12</v>
      </c>
    </row>
    <row r="3321" spans="1:9" x14ac:dyDescent="0.2">
      <c r="A3321" s="2" t="s">
        <v>5597</v>
      </c>
      <c r="B3321" s="2" t="s">
        <v>5371</v>
      </c>
      <c r="C3321" s="2">
        <v>773.32420000000002</v>
      </c>
      <c r="D3321" s="2">
        <f>HYPERLINK("http://mcb-m6.bioreg.kyushu-u.ac.jp/M3/20110418/F50989/2184/1", 86.75)</f>
        <v>86.75</v>
      </c>
      <c r="E3321" s="2">
        <v>66.88</v>
      </c>
      <c r="F3321" s="2">
        <v>2</v>
      </c>
      <c r="G3321" s="2" t="s">
        <v>12</v>
      </c>
    </row>
    <row r="3322" spans="1:9" x14ac:dyDescent="0.2">
      <c r="A3322" s="2" t="s">
        <v>5597</v>
      </c>
      <c r="B3322" s="2" t="s">
        <v>5182</v>
      </c>
      <c r="C3322" s="2">
        <v>978.53369999999995</v>
      </c>
      <c r="D3322" s="2">
        <f>HYPERLINK("http://mcb-m6.bioreg.kyushu-u.ac.jp/M3/20110418/F50989/2603/1", 93.75)</f>
        <v>93.75</v>
      </c>
      <c r="E3322" s="2">
        <v>81.72</v>
      </c>
      <c r="F3322" s="2">
        <v>2</v>
      </c>
      <c r="G3322" s="2" t="s">
        <v>12</v>
      </c>
    </row>
    <row r="3323" spans="1:9" x14ac:dyDescent="0.2">
      <c r="A3323" s="2" t="s">
        <v>5597</v>
      </c>
      <c r="B3323" s="2" t="s">
        <v>5355</v>
      </c>
      <c r="C3323" s="2">
        <v>1011.802</v>
      </c>
      <c r="D3323" s="2">
        <f>HYPERLINK("http://mcb-m6.bioreg.kyushu-u.ac.jp/M3/20110418/F50989/2654/1", 97.99)</f>
        <v>97.99</v>
      </c>
      <c r="E3323" s="2">
        <v>81.94</v>
      </c>
      <c r="F3323" s="2">
        <v>2</v>
      </c>
      <c r="G3323" s="2" t="s">
        <v>12</v>
      </c>
    </row>
    <row r="3324" spans="1:9" x14ac:dyDescent="0.2">
      <c r="A3324" s="2" t="s">
        <v>5597</v>
      </c>
      <c r="B3324" s="2" t="s">
        <v>5166</v>
      </c>
      <c r="C3324" s="2">
        <v>803.16920000000005</v>
      </c>
      <c r="D3324" s="2">
        <f>HYPERLINK("http://mcb-m6.bioreg.kyushu-u.ac.jp/M3/20110418/F50989/2259/1", 112.09)</f>
        <v>112.09</v>
      </c>
      <c r="E3324" s="2">
        <v>102.72</v>
      </c>
      <c r="F3324" s="2">
        <v>2</v>
      </c>
      <c r="G3324" s="2" t="s">
        <v>12</v>
      </c>
    </row>
    <row r="3325" spans="1:9" x14ac:dyDescent="0.2">
      <c r="A3325" s="2" t="s">
        <v>5597</v>
      </c>
      <c r="B3325" s="2" t="s">
        <v>5073</v>
      </c>
      <c r="C3325" s="2">
        <v>964.23910000000001</v>
      </c>
      <c r="D3325" s="2">
        <f>HYPERLINK("http://mcb-m6.bioreg.kyushu-u.ac.jp/M3/20110418/F50983/2394/1", 121.91)</f>
        <v>121.91</v>
      </c>
      <c r="E3325" s="2">
        <v>92.37</v>
      </c>
      <c r="F3325" s="2">
        <v>2</v>
      </c>
      <c r="G3325" s="2" t="s">
        <v>12</v>
      </c>
    </row>
    <row r="3326" spans="1:9" x14ac:dyDescent="0.2">
      <c r="A3326" s="2" t="s">
        <v>5597</v>
      </c>
      <c r="B3326" s="2" t="s">
        <v>5462</v>
      </c>
      <c r="C3326" s="2">
        <v>528.66420000000005</v>
      </c>
      <c r="D3326" s="2">
        <f>HYPERLINK("http://mcb-m6.bioreg.kyushu-u.ac.jp/M3/20110429/F51156/1047/1", 35.94)</f>
        <v>35.94</v>
      </c>
      <c r="E3326" s="2">
        <v>13.4</v>
      </c>
      <c r="F3326" s="2">
        <v>2</v>
      </c>
      <c r="G3326" s="2" t="s">
        <v>13</v>
      </c>
    </row>
    <row r="3327" spans="1:9" x14ac:dyDescent="0.2">
      <c r="A3327" s="2" t="s">
        <v>5597</v>
      </c>
      <c r="B3327" s="2" t="s">
        <v>5462</v>
      </c>
      <c r="C3327" s="2">
        <v>528.29319999999996</v>
      </c>
      <c r="D3327" s="2">
        <f>HYPERLINK("http://mcb-m6.bioreg.kyushu-u.ac.jp/M3/20110429/F51156/1044/1", 36.42)</f>
        <v>36.42</v>
      </c>
      <c r="E3327" s="2">
        <v>16.98</v>
      </c>
      <c r="F3327" s="2">
        <v>2</v>
      </c>
      <c r="G3327" s="2" t="s">
        <v>13</v>
      </c>
    </row>
    <row r="3328" spans="1:9" x14ac:dyDescent="0.2">
      <c r="A3328" s="2" t="s">
        <v>5597</v>
      </c>
      <c r="B3328" s="2" t="s">
        <v>5400</v>
      </c>
      <c r="C3328" s="2">
        <v>988.75400000000002</v>
      </c>
      <c r="D3328" s="2">
        <f>HYPERLINK("http://mcb-m6.bioreg.kyushu-u.ac.jp/M3/20110429/F51156/909/1", 39.03)</f>
        <v>39.03</v>
      </c>
      <c r="E3328" s="2">
        <v>8.84</v>
      </c>
      <c r="F3328" s="2">
        <v>1</v>
      </c>
      <c r="G3328" s="2" t="s">
        <v>13</v>
      </c>
    </row>
    <row r="3329" spans="1:9" x14ac:dyDescent="0.2">
      <c r="A3329" s="2" t="s">
        <v>5597</v>
      </c>
      <c r="B3329" s="2" t="s">
        <v>5355</v>
      </c>
      <c r="C3329" s="2">
        <v>1011.58</v>
      </c>
      <c r="D3329" s="2">
        <f>HYPERLINK("http://mcb-m6.bioreg.kyushu-u.ac.jp/M3/20110429/F51156/3045/1", 41.84)</f>
        <v>41.84</v>
      </c>
      <c r="E3329" s="2">
        <v>20.6</v>
      </c>
      <c r="F3329" s="2">
        <v>2</v>
      </c>
      <c r="G3329" s="2" t="s">
        <v>13</v>
      </c>
    </row>
    <row r="3330" spans="1:9" x14ac:dyDescent="0.2">
      <c r="A3330" s="2" t="s">
        <v>5597</v>
      </c>
      <c r="B3330" s="2" t="s">
        <v>5011</v>
      </c>
      <c r="C3330" s="2">
        <v>675.06119999999999</v>
      </c>
      <c r="D3330" s="2">
        <f>HYPERLINK("http://mcb-m6.bioreg.kyushu-u.ac.jp/M3/20110429/F51156/1639/1", 41.93)</f>
        <v>41.93</v>
      </c>
      <c r="E3330" s="2">
        <v>24.92</v>
      </c>
      <c r="F3330" s="2">
        <v>2</v>
      </c>
      <c r="G3330" s="2" t="s">
        <v>13</v>
      </c>
    </row>
    <row r="3331" spans="1:9" x14ac:dyDescent="0.2">
      <c r="A3331" s="2" t="s">
        <v>5597</v>
      </c>
      <c r="B3331" s="2" t="s">
        <v>5371</v>
      </c>
      <c r="C3331" s="2">
        <v>773.07119999999998</v>
      </c>
      <c r="D3331" s="2">
        <f>HYPERLINK("http://mcb-m6.bioreg.kyushu-u.ac.jp/M3/20110429/F51156/2130/1", 42.96)</f>
        <v>42.96</v>
      </c>
      <c r="E3331" s="2">
        <v>35.58</v>
      </c>
      <c r="F3331" s="2">
        <v>2</v>
      </c>
      <c r="G3331" s="2" t="s">
        <v>13</v>
      </c>
    </row>
    <row r="3332" spans="1:9" x14ac:dyDescent="0.2">
      <c r="A3332" s="2" t="s">
        <v>5597</v>
      </c>
      <c r="B3332" s="2" t="s">
        <v>5512</v>
      </c>
      <c r="C3332" s="2">
        <v>493.27359999999999</v>
      </c>
      <c r="D3332" s="2">
        <f>HYPERLINK("http://mcb-m6.bioreg.kyushu-u.ac.jp/M3/20110429/F51156/904/1", 44.81)</f>
        <v>44.81</v>
      </c>
      <c r="E3332" s="2">
        <v>20.67</v>
      </c>
      <c r="F3332" s="2">
        <v>2</v>
      </c>
      <c r="G3332" s="2" t="s">
        <v>13</v>
      </c>
    </row>
    <row r="3333" spans="1:9" x14ac:dyDescent="0.2">
      <c r="A3333" s="2" t="s">
        <v>5597</v>
      </c>
      <c r="B3333" s="2" t="s">
        <v>5318</v>
      </c>
      <c r="C3333" s="2">
        <v>621.53809999999999</v>
      </c>
      <c r="D3333" s="2">
        <f>HYPERLINK("http://mcb-m6.bioreg.kyushu-u.ac.jp/M3/20110429/F51156/1428/1", 46.86)</f>
        <v>46.86</v>
      </c>
      <c r="E3333" s="2">
        <v>22.52</v>
      </c>
      <c r="F3333" s="2">
        <v>2</v>
      </c>
      <c r="G3333" s="2" t="s">
        <v>13</v>
      </c>
    </row>
    <row r="3334" spans="1:9" x14ac:dyDescent="0.2">
      <c r="A3334" s="2" t="s">
        <v>5597</v>
      </c>
      <c r="B3334" s="2" t="s">
        <v>5146</v>
      </c>
      <c r="C3334" s="2">
        <v>637.32820000000004</v>
      </c>
      <c r="D3334" s="2">
        <f>HYPERLINK("http://mcb-m6.bioreg.kyushu-u.ac.jp/M3/20110429/F51156/1495/1", 48.38)</f>
        <v>48.38</v>
      </c>
      <c r="E3334" s="2">
        <v>29.44</v>
      </c>
      <c r="F3334" s="2">
        <v>2</v>
      </c>
      <c r="G3334" s="2" t="s">
        <v>13</v>
      </c>
    </row>
    <row r="3335" spans="1:9" x14ac:dyDescent="0.2">
      <c r="A3335" s="2" t="s">
        <v>5597</v>
      </c>
      <c r="B3335" s="2" t="s">
        <v>4997</v>
      </c>
      <c r="C3335" s="2">
        <v>997.31899999999996</v>
      </c>
      <c r="D3335" s="2">
        <f>HYPERLINK("http://mcb-m6.bioreg.kyushu-u.ac.jp/M3/20110429/F51151/1131/1", 49.76)</f>
        <v>49.76</v>
      </c>
      <c r="E3335" s="2">
        <v>22.17</v>
      </c>
      <c r="F3335" s="2">
        <v>1</v>
      </c>
      <c r="G3335" s="2" t="s">
        <v>13</v>
      </c>
    </row>
    <row r="3336" spans="1:9" x14ac:dyDescent="0.2">
      <c r="A3336" s="2" t="s">
        <v>5597</v>
      </c>
      <c r="B3336" s="2" t="s">
        <v>5526</v>
      </c>
      <c r="C3336" s="2">
        <v>802.54859999999996</v>
      </c>
      <c r="D3336" s="2">
        <f>HYPERLINK("http://mcb-m6.bioreg.kyushu-u.ac.jp/M3/20110429/F51156/2292/1", 50.09)</f>
        <v>50.09</v>
      </c>
      <c r="E3336" s="2">
        <v>27.05</v>
      </c>
      <c r="F3336" s="2">
        <v>2</v>
      </c>
      <c r="G3336" s="2" t="s">
        <v>13</v>
      </c>
    </row>
    <row r="3337" spans="1:9" x14ac:dyDescent="0.2">
      <c r="A3337" s="2" t="s">
        <v>5597</v>
      </c>
      <c r="B3337" s="2" t="s">
        <v>5462</v>
      </c>
      <c r="C3337" s="2">
        <v>528.15869999999995</v>
      </c>
      <c r="D3337" s="2">
        <f>HYPERLINK("http://mcb-m6.bioreg.kyushu-u.ac.jp/M3/20110429/F51156/1043/1", 50.67)</f>
        <v>50.67</v>
      </c>
      <c r="E3337" s="2">
        <v>27.26</v>
      </c>
      <c r="F3337" s="2">
        <v>2</v>
      </c>
      <c r="G3337" s="2" t="s">
        <v>13</v>
      </c>
    </row>
    <row r="3338" spans="1:9" x14ac:dyDescent="0.2">
      <c r="A3338" s="2" t="s">
        <v>5597</v>
      </c>
      <c r="B3338" s="2" t="s">
        <v>5011</v>
      </c>
      <c r="C3338" s="2">
        <v>674.86569999999995</v>
      </c>
      <c r="D3338" s="2">
        <f>HYPERLINK("http://mcb-m6.bioreg.kyushu-u.ac.jp/M3/20110429/F51157/1394/1", 51.65)</f>
        <v>51.65</v>
      </c>
      <c r="E3338" s="2">
        <v>24.5</v>
      </c>
      <c r="F3338" s="2">
        <v>2</v>
      </c>
      <c r="G3338" s="2" t="s">
        <v>13</v>
      </c>
    </row>
    <row r="3339" spans="1:9" x14ac:dyDescent="0.2">
      <c r="A3339" s="2" t="s">
        <v>5597</v>
      </c>
      <c r="B3339" s="2" t="s">
        <v>5355</v>
      </c>
      <c r="C3339" s="2">
        <v>1011.772</v>
      </c>
      <c r="D3339" s="2">
        <f>HYPERLINK("http://mcb-m6.bioreg.kyushu-u.ac.jp/M3/20110429/F51157/3066/1", 53.03)</f>
        <v>53.03</v>
      </c>
      <c r="E3339" s="2">
        <v>31.68</v>
      </c>
      <c r="F3339" s="2">
        <v>2</v>
      </c>
      <c r="G3339" s="2" t="s">
        <v>13</v>
      </c>
    </row>
    <row r="3340" spans="1:9" x14ac:dyDescent="0.2">
      <c r="A3340" s="2" t="s">
        <v>5597</v>
      </c>
      <c r="B3340" s="2" t="s">
        <v>5035</v>
      </c>
      <c r="C3340" s="2">
        <v>827.29859999999996</v>
      </c>
      <c r="D3340" s="2">
        <f>HYPERLINK("http://mcb-m6.bioreg.kyushu-u.ac.jp/M3/20110429/F51157/2149/1", 53.42)</f>
        <v>53.42</v>
      </c>
      <c r="E3340" s="2">
        <v>34.97</v>
      </c>
      <c r="F3340" s="2">
        <v>2</v>
      </c>
      <c r="G3340" s="2" t="s">
        <v>13</v>
      </c>
      <c r="I3340" s="2" t="s">
        <v>4892</v>
      </c>
    </row>
    <row r="3341" spans="1:9" x14ac:dyDescent="0.2">
      <c r="A3341" s="2" t="s">
        <v>5597</v>
      </c>
      <c r="B3341" s="2" t="s">
        <v>5371</v>
      </c>
      <c r="C3341" s="2">
        <v>772.90560000000005</v>
      </c>
      <c r="D3341" s="2">
        <f>HYPERLINK("http://mcb-m6.bioreg.kyushu-u.ac.jp/M3/20110429/F51157/1907/1", 54.64)</f>
        <v>54.64</v>
      </c>
      <c r="E3341" s="2">
        <v>38.44</v>
      </c>
      <c r="F3341" s="2">
        <v>2</v>
      </c>
      <c r="G3341" s="2" t="s">
        <v>13</v>
      </c>
    </row>
    <row r="3342" spans="1:9" x14ac:dyDescent="0.2">
      <c r="A3342" s="2" t="s">
        <v>5597</v>
      </c>
      <c r="B3342" s="2" t="s">
        <v>5049</v>
      </c>
      <c r="C3342" s="2">
        <v>626.48519999999996</v>
      </c>
      <c r="D3342" s="2">
        <f>HYPERLINK("http://mcb-m6.bioreg.kyushu-u.ac.jp/M3/20110429/F51156/1440/1", 57.14)</f>
        <v>57.14</v>
      </c>
      <c r="E3342" s="2">
        <v>42.24</v>
      </c>
      <c r="F3342" s="2">
        <v>2</v>
      </c>
      <c r="G3342" s="2" t="s">
        <v>13</v>
      </c>
    </row>
    <row r="3343" spans="1:9" x14ac:dyDescent="0.2">
      <c r="A3343" s="2" t="s">
        <v>5597</v>
      </c>
      <c r="B3343" s="2" t="s">
        <v>5146</v>
      </c>
      <c r="C3343" s="2">
        <v>637.47170000000006</v>
      </c>
      <c r="D3343" s="2">
        <f>HYPERLINK("http://mcb-m6.bioreg.kyushu-u.ac.jp/M3/20110429/F51156/1496/1", 58.03)</f>
        <v>58.03</v>
      </c>
      <c r="E3343" s="2">
        <v>39.33</v>
      </c>
      <c r="F3343" s="2">
        <v>2</v>
      </c>
      <c r="G3343" s="2" t="s">
        <v>13</v>
      </c>
    </row>
    <row r="3344" spans="1:9" x14ac:dyDescent="0.2">
      <c r="A3344" s="2" t="s">
        <v>5597</v>
      </c>
      <c r="B3344" s="2" t="s">
        <v>5197</v>
      </c>
      <c r="C3344" s="2">
        <v>989.69420000000002</v>
      </c>
      <c r="D3344" s="2">
        <f>HYPERLINK("http://mcb-m6.bioreg.kyushu-u.ac.jp/M3/20110429/F51156/2967/1", 59.47)</f>
        <v>59.47</v>
      </c>
      <c r="E3344" s="2">
        <v>32.61</v>
      </c>
      <c r="F3344" s="2">
        <v>2</v>
      </c>
      <c r="G3344" s="2" t="s">
        <v>13</v>
      </c>
      <c r="I3344" s="2" t="s">
        <v>4895</v>
      </c>
    </row>
    <row r="3345" spans="1:9" x14ac:dyDescent="0.2">
      <c r="A3345" s="2" t="s">
        <v>5597</v>
      </c>
      <c r="B3345" s="2" t="s">
        <v>5035</v>
      </c>
      <c r="C3345" s="2">
        <v>826.94870000000003</v>
      </c>
      <c r="D3345" s="2">
        <f>HYPERLINK("http://mcb-m6.bioreg.kyushu-u.ac.jp/M3/20110429/F51156/2382/1", 60.7)</f>
        <v>60.7</v>
      </c>
      <c r="E3345" s="2">
        <v>39.54</v>
      </c>
      <c r="F3345" s="2">
        <v>2</v>
      </c>
      <c r="G3345" s="2" t="s">
        <v>13</v>
      </c>
      <c r="I3345" s="2" t="s">
        <v>4892</v>
      </c>
    </row>
    <row r="3346" spans="1:9" x14ac:dyDescent="0.2">
      <c r="A3346" s="2" t="s">
        <v>5597</v>
      </c>
      <c r="B3346" s="2" t="s">
        <v>5355</v>
      </c>
      <c r="C3346" s="2">
        <v>1011.429</v>
      </c>
      <c r="D3346" s="2">
        <f>HYPERLINK("http://mcb-m6.bioreg.kyushu-u.ac.jp/M3/20110429/F51156/3043/1", 64.2)</f>
        <v>64.2</v>
      </c>
      <c r="E3346" s="2">
        <v>51.25</v>
      </c>
      <c r="F3346" s="2">
        <v>2</v>
      </c>
      <c r="G3346" s="2" t="s">
        <v>13</v>
      </c>
    </row>
    <row r="3347" spans="1:9" x14ac:dyDescent="0.2">
      <c r="A3347" s="2" t="s">
        <v>5597</v>
      </c>
      <c r="B3347" s="2" t="s">
        <v>5346</v>
      </c>
      <c r="C3347" s="2">
        <v>682.00369999999998</v>
      </c>
      <c r="D3347" s="2">
        <f>HYPERLINK("http://mcb-m6.bioreg.kyushu-u.ac.jp/M3/20110429/F51156/1678/1", 71.82)</f>
        <v>71.819999999999993</v>
      </c>
      <c r="E3347" s="2">
        <v>51.42</v>
      </c>
      <c r="F3347" s="2">
        <v>2</v>
      </c>
      <c r="G3347" s="2" t="s">
        <v>13</v>
      </c>
    </row>
    <row r="3348" spans="1:9" x14ac:dyDescent="0.2">
      <c r="A3348" s="2" t="s">
        <v>5597</v>
      </c>
      <c r="B3348" s="2" t="s">
        <v>5112</v>
      </c>
      <c r="C3348" s="2">
        <v>916.03369999999995</v>
      </c>
      <c r="D3348" s="2">
        <f>HYPERLINK("http://mcb-m6.bioreg.kyushu-u.ac.jp/M3/20110429/F51156/2743/1", 77.61)</f>
        <v>77.61</v>
      </c>
      <c r="E3348" s="2">
        <v>58.7</v>
      </c>
      <c r="F3348" s="2">
        <v>2</v>
      </c>
      <c r="G3348" s="2" t="s">
        <v>13</v>
      </c>
    </row>
    <row r="3349" spans="1:9" x14ac:dyDescent="0.2">
      <c r="A3349" s="2" t="s">
        <v>5597</v>
      </c>
      <c r="B3349" s="2" t="s">
        <v>5166</v>
      </c>
      <c r="C3349" s="2">
        <v>803.61220000000003</v>
      </c>
      <c r="D3349" s="2">
        <f>HYPERLINK("http://mcb-m6.bioreg.kyushu-u.ac.jp/M3/20110429/F51156/2297/1", 84.38)</f>
        <v>84.38</v>
      </c>
      <c r="E3349" s="2">
        <v>65.75</v>
      </c>
      <c r="F3349" s="2">
        <v>2</v>
      </c>
      <c r="G3349" s="2" t="s">
        <v>13</v>
      </c>
    </row>
    <row r="3350" spans="1:9" x14ac:dyDescent="0.2">
      <c r="A3350" s="2" t="s">
        <v>5597</v>
      </c>
      <c r="B3350" s="2" t="s">
        <v>5197</v>
      </c>
      <c r="C3350" s="2">
        <v>989.72059999999999</v>
      </c>
      <c r="D3350" s="2">
        <f>HYPERLINK("http://mcb-m6.bioreg.kyushu-u.ac.jp/M3/20110429/F51156/2968/1", 85.03)</f>
        <v>85.03</v>
      </c>
      <c r="E3350" s="2">
        <v>62.03</v>
      </c>
      <c r="F3350" s="2">
        <v>2</v>
      </c>
      <c r="G3350" s="2" t="s">
        <v>13</v>
      </c>
      <c r="I3350" s="2" t="s">
        <v>4895</v>
      </c>
    </row>
    <row r="3351" spans="1:9" x14ac:dyDescent="0.2">
      <c r="A3351" s="2" t="s">
        <v>5597</v>
      </c>
      <c r="B3351" s="2" t="s">
        <v>5181</v>
      </c>
      <c r="C3351" s="2">
        <v>794.85360000000003</v>
      </c>
      <c r="D3351" s="2">
        <f>HYPERLINK("http://mcb-m6.bioreg.kyushu-u.ac.jp/M3/20110429/F51157/2029/1", 93.27)</f>
        <v>93.27</v>
      </c>
      <c r="E3351" s="2">
        <v>73.5</v>
      </c>
      <c r="F3351" s="2">
        <v>2</v>
      </c>
      <c r="G3351" s="2" t="s">
        <v>13</v>
      </c>
    </row>
    <row r="3352" spans="1:9" x14ac:dyDescent="0.2">
      <c r="A3352" s="2" t="s">
        <v>5597</v>
      </c>
      <c r="B3352" s="2" t="s">
        <v>5073</v>
      </c>
      <c r="C3352" s="2">
        <v>964.6952</v>
      </c>
      <c r="D3352" s="2">
        <f>HYPERLINK("http://mcb-m6.bioreg.kyushu-u.ac.jp/M3/20110429/F51151/2939/1", 95.25)</f>
        <v>95.25</v>
      </c>
      <c r="E3352" s="2">
        <v>75.67</v>
      </c>
      <c r="F3352" s="2">
        <v>2</v>
      </c>
      <c r="G3352" s="2" t="s">
        <v>13</v>
      </c>
    </row>
    <row r="3353" spans="1:9" x14ac:dyDescent="0.2">
      <c r="A3353" s="2" t="s">
        <v>5597</v>
      </c>
      <c r="B3353" s="2" t="s">
        <v>5184</v>
      </c>
      <c r="C3353" s="2">
        <v>818.52620000000002</v>
      </c>
      <c r="D3353" s="2">
        <f>HYPERLINK("http://mcb-m6.bioreg.kyushu-u.ac.jp/M3/20110429/F51156/2351/1", 96.98)</f>
        <v>96.98</v>
      </c>
      <c r="E3353" s="2">
        <v>67.78</v>
      </c>
      <c r="F3353" s="2">
        <v>2</v>
      </c>
      <c r="G3353" s="2" t="s">
        <v>13</v>
      </c>
      <c r="I3353" s="2" t="s">
        <v>4899</v>
      </c>
    </row>
    <row r="3354" spans="1:9" x14ac:dyDescent="0.2">
      <c r="A3354" s="2" t="s">
        <v>5597</v>
      </c>
      <c r="B3354" s="2" t="s">
        <v>5182</v>
      </c>
      <c r="C3354" s="2">
        <v>978.52970000000005</v>
      </c>
      <c r="D3354" s="2">
        <f>HYPERLINK("http://mcb-m6.bioreg.kyushu-u.ac.jp/M3/20110429/F51156/2935/1", 99.62)</f>
        <v>99.62</v>
      </c>
      <c r="E3354" s="2">
        <v>86.42</v>
      </c>
      <c r="F3354" s="2">
        <v>2</v>
      </c>
      <c r="G3354" s="2" t="s">
        <v>13</v>
      </c>
    </row>
    <row r="3355" spans="1:9" x14ac:dyDescent="0.2">
      <c r="A3355" s="2" t="s">
        <v>5597</v>
      </c>
      <c r="B3355" s="2" t="s">
        <v>5073</v>
      </c>
      <c r="C3355" s="2">
        <v>964.17660000000001</v>
      </c>
      <c r="D3355" s="2">
        <f>HYPERLINK("http://mcb-m6.bioreg.kyushu-u.ac.jp/M3/20110429/F51151/2937/1", 131.29)</f>
        <v>131.29</v>
      </c>
      <c r="E3355" s="2">
        <v>101.88</v>
      </c>
      <c r="F3355" s="2">
        <v>2</v>
      </c>
      <c r="G3355" s="2" t="s">
        <v>13</v>
      </c>
    </row>
    <row r="3356" spans="1:9" x14ac:dyDescent="0.2">
      <c r="A3356" s="2" t="s">
        <v>5597</v>
      </c>
      <c r="B3356" s="2" t="s">
        <v>5112</v>
      </c>
      <c r="C3356" s="2">
        <v>916.48910000000001</v>
      </c>
      <c r="D3356" s="2">
        <f>HYPERLINK("http://mcb-m6.bioreg.kyushu-u.ac.jp/M3/20110428/F51145/2636/1", 45.3)</f>
        <v>45.3</v>
      </c>
      <c r="E3356" s="2">
        <v>27.88</v>
      </c>
      <c r="F3356" s="2">
        <v>2</v>
      </c>
      <c r="G3356" s="2" t="s">
        <v>14</v>
      </c>
    </row>
    <row r="3357" spans="1:9" x14ac:dyDescent="0.2">
      <c r="A3357" s="2" t="s">
        <v>5597</v>
      </c>
      <c r="B3357" s="2" t="s">
        <v>5011</v>
      </c>
      <c r="C3357" s="2">
        <v>675.42859999999996</v>
      </c>
      <c r="D3357" s="2">
        <f>HYPERLINK("http://mcb-m6.bioreg.kyushu-u.ac.jp/M3/20110428/F51145/1803/1", 51.08)</f>
        <v>51.08</v>
      </c>
      <c r="E3357" s="2">
        <v>34.96</v>
      </c>
      <c r="F3357" s="2">
        <v>2</v>
      </c>
      <c r="G3357" s="2" t="s">
        <v>14</v>
      </c>
    </row>
    <row r="3358" spans="1:9" x14ac:dyDescent="0.2">
      <c r="A3358" s="2" t="s">
        <v>5597</v>
      </c>
      <c r="B3358" s="2" t="s">
        <v>5197</v>
      </c>
      <c r="C3358" s="2">
        <v>989.63509999999997</v>
      </c>
      <c r="D3358" s="2">
        <f>HYPERLINK("http://mcb-m6.bioreg.kyushu-u.ac.jp/M3/20110428/F51145/2794/1", 55.47)</f>
        <v>55.47</v>
      </c>
      <c r="E3358" s="2">
        <v>27.47</v>
      </c>
      <c r="F3358" s="2">
        <v>2</v>
      </c>
      <c r="G3358" s="2" t="s">
        <v>14</v>
      </c>
      <c r="I3358" s="2" t="s">
        <v>4895</v>
      </c>
    </row>
    <row r="3359" spans="1:9" x14ac:dyDescent="0.2">
      <c r="A3359" s="2" t="s">
        <v>5597</v>
      </c>
      <c r="B3359" s="2" t="s">
        <v>5182</v>
      </c>
      <c r="C3359" s="2">
        <v>978.47059999999999</v>
      </c>
      <c r="D3359" s="2">
        <f>HYPERLINK("http://mcb-m6.bioreg.kyushu-u.ac.jp/M3/20110428/F51143/3091/1", 56.77)</f>
        <v>56.77</v>
      </c>
      <c r="E3359" s="2">
        <v>46.11</v>
      </c>
      <c r="F3359" s="2">
        <v>2</v>
      </c>
      <c r="G3359" s="2" t="s">
        <v>14</v>
      </c>
    </row>
    <row r="3360" spans="1:9" x14ac:dyDescent="0.2">
      <c r="A3360" s="2" t="s">
        <v>5597</v>
      </c>
      <c r="B3360" s="2" t="s">
        <v>5589</v>
      </c>
      <c r="C3360" s="2">
        <v>577.22969999999998</v>
      </c>
      <c r="D3360" s="2">
        <f>HYPERLINK("http://mcb-m6.bioreg.kyushu-u.ac.jp/M3/20110428/F51139/1730/1", 57.11)</f>
        <v>57.11</v>
      </c>
      <c r="E3360" s="2">
        <v>34.24</v>
      </c>
      <c r="F3360" s="2">
        <v>2</v>
      </c>
      <c r="G3360" s="2" t="s">
        <v>14</v>
      </c>
    </row>
    <row r="3361" spans="1:9" x14ac:dyDescent="0.2">
      <c r="A3361" s="2" t="s">
        <v>5597</v>
      </c>
      <c r="B3361" s="2" t="s">
        <v>5161</v>
      </c>
      <c r="C3361" s="2">
        <v>1007.592</v>
      </c>
      <c r="D3361" s="2">
        <f>HYPERLINK("http://mcb-m6.bioreg.kyushu-u.ac.jp/M3/20110428/F51145/2832/1", 58.24)</f>
        <v>58.24</v>
      </c>
      <c r="E3361" s="2">
        <v>43.49</v>
      </c>
      <c r="F3361" s="2">
        <v>2</v>
      </c>
      <c r="G3361" s="2" t="s">
        <v>14</v>
      </c>
    </row>
    <row r="3362" spans="1:9" x14ac:dyDescent="0.2">
      <c r="A3362" s="2" t="s">
        <v>5597</v>
      </c>
      <c r="B3362" s="2" t="s">
        <v>5146</v>
      </c>
      <c r="C3362" s="2">
        <v>637.32370000000003</v>
      </c>
      <c r="D3362" s="2">
        <f>HYPERLINK("http://mcb-m6.bioreg.kyushu-u.ac.jp/M3/20110428/F51144/1727/1", 59.89)</f>
        <v>59.89</v>
      </c>
      <c r="E3362" s="2">
        <v>41.67</v>
      </c>
      <c r="F3362" s="2">
        <v>2</v>
      </c>
      <c r="G3362" s="2" t="s">
        <v>14</v>
      </c>
    </row>
    <row r="3363" spans="1:9" x14ac:dyDescent="0.2">
      <c r="A3363" s="2" t="s">
        <v>5597</v>
      </c>
      <c r="B3363" s="2" t="s">
        <v>5112</v>
      </c>
      <c r="C3363" s="2">
        <v>915.97860000000003</v>
      </c>
      <c r="D3363" s="2">
        <f>HYPERLINK("http://mcb-m6.bioreg.kyushu-u.ac.jp/M3/20110428/F51145/2634/1", 61.97)</f>
        <v>61.97</v>
      </c>
      <c r="E3363" s="2">
        <v>43.68</v>
      </c>
      <c r="F3363" s="2">
        <v>2</v>
      </c>
      <c r="G3363" s="2" t="s">
        <v>14</v>
      </c>
    </row>
    <row r="3364" spans="1:9" x14ac:dyDescent="0.2">
      <c r="A3364" s="2" t="s">
        <v>5597</v>
      </c>
      <c r="B3364" s="2" t="s">
        <v>5146</v>
      </c>
      <c r="C3364" s="2">
        <v>637.43370000000004</v>
      </c>
      <c r="D3364" s="2">
        <f>HYPERLINK("http://mcb-m6.bioreg.kyushu-u.ac.jp/M3/20110428/F51145/1695/1", 66.11)</f>
        <v>66.11</v>
      </c>
      <c r="E3364" s="2">
        <v>48.41</v>
      </c>
      <c r="F3364" s="2">
        <v>2</v>
      </c>
      <c r="G3364" s="2" t="s">
        <v>14</v>
      </c>
    </row>
    <row r="3365" spans="1:9" x14ac:dyDescent="0.2">
      <c r="A3365" s="2" t="s">
        <v>5597</v>
      </c>
      <c r="B3365" s="2" t="s">
        <v>5049</v>
      </c>
      <c r="C3365" s="2">
        <v>626.60609999999997</v>
      </c>
      <c r="D3365" s="2">
        <f>HYPERLINK("http://mcb-m6.bioreg.kyushu-u.ac.jp/M3/20110428/F51145/1665/1", 68.98)</f>
        <v>68.98</v>
      </c>
      <c r="E3365" s="2">
        <v>48.41</v>
      </c>
      <c r="F3365" s="2">
        <v>2</v>
      </c>
      <c r="G3365" s="2" t="s">
        <v>14</v>
      </c>
    </row>
    <row r="3366" spans="1:9" x14ac:dyDescent="0.2">
      <c r="A3366" s="2" t="s">
        <v>5597</v>
      </c>
      <c r="B3366" s="2" t="s">
        <v>5371</v>
      </c>
      <c r="C3366" s="2">
        <v>773.11770000000001</v>
      </c>
      <c r="D3366" s="2">
        <f>HYPERLINK("http://mcb-m6.bioreg.kyushu-u.ac.jp/M3/20110428/F51145/2183/1", 75.59)</f>
        <v>75.59</v>
      </c>
      <c r="E3366" s="2">
        <v>56.41</v>
      </c>
      <c r="F3366" s="2">
        <v>2</v>
      </c>
      <c r="G3366" s="2" t="s">
        <v>14</v>
      </c>
    </row>
    <row r="3367" spans="1:9" x14ac:dyDescent="0.2">
      <c r="A3367" s="2" t="s">
        <v>5597</v>
      </c>
      <c r="B3367" s="2" t="s">
        <v>5166</v>
      </c>
      <c r="C3367" s="2">
        <v>803.56410000000005</v>
      </c>
      <c r="D3367" s="2">
        <f>HYPERLINK("http://mcb-m6.bioreg.kyushu-u.ac.jp/M3/20110428/F51145/2293/1", 80.37)</f>
        <v>80.37</v>
      </c>
      <c r="E3367" s="2">
        <v>58.64</v>
      </c>
      <c r="F3367" s="2">
        <v>2</v>
      </c>
      <c r="G3367" s="2" t="s">
        <v>14</v>
      </c>
    </row>
    <row r="3368" spans="1:9" x14ac:dyDescent="0.2">
      <c r="A3368" s="2" t="s">
        <v>5597</v>
      </c>
      <c r="B3368" s="2" t="s">
        <v>5182</v>
      </c>
      <c r="C3368" s="2">
        <v>978.53769999999997</v>
      </c>
      <c r="D3368" s="2">
        <f>HYPERLINK("http://mcb-m6.bioreg.kyushu-u.ac.jp/M3/20110428/F51145/2769/1", 82.03)</f>
        <v>82.03</v>
      </c>
      <c r="E3368" s="2">
        <v>68.39</v>
      </c>
      <c r="F3368" s="2">
        <v>2</v>
      </c>
      <c r="G3368" s="2" t="s">
        <v>14</v>
      </c>
    </row>
    <row r="3369" spans="1:9" x14ac:dyDescent="0.2">
      <c r="A3369" s="2" t="s">
        <v>5597</v>
      </c>
      <c r="B3369" s="2" t="s">
        <v>5166</v>
      </c>
      <c r="C3369" s="2">
        <v>803.40560000000005</v>
      </c>
      <c r="D3369" s="2">
        <f>HYPERLINK("http://mcb-m6.bioreg.kyushu-u.ac.jp/M3/20110428/F51144/2575/1", 88.35)</f>
        <v>88.35</v>
      </c>
      <c r="E3369" s="2">
        <v>78.72</v>
      </c>
      <c r="F3369" s="2">
        <v>2</v>
      </c>
      <c r="G3369" s="2" t="s">
        <v>14</v>
      </c>
    </row>
    <row r="3370" spans="1:9" x14ac:dyDescent="0.2">
      <c r="A3370" s="2" t="s">
        <v>5597</v>
      </c>
      <c r="B3370" s="2" t="s">
        <v>5062</v>
      </c>
      <c r="C3370" s="2">
        <v>800.61410000000001</v>
      </c>
      <c r="D3370" s="2">
        <f>HYPERLINK("http://mcb-m6.bioreg.kyushu-u.ac.jp/M3/20110428/F51145/2284/1", 90.67)</f>
        <v>90.67</v>
      </c>
      <c r="E3370" s="2">
        <v>76.25</v>
      </c>
      <c r="F3370" s="2">
        <v>2</v>
      </c>
      <c r="G3370" s="2" t="s">
        <v>14</v>
      </c>
      <c r="I3370" s="2" t="s">
        <v>4895</v>
      </c>
    </row>
    <row r="3371" spans="1:9" x14ac:dyDescent="0.2">
      <c r="A3371" s="2" t="s">
        <v>5597</v>
      </c>
      <c r="B3371" s="2" t="s">
        <v>5355</v>
      </c>
      <c r="C3371" s="2">
        <v>1011.606</v>
      </c>
      <c r="D3371" s="2">
        <f>HYPERLINK("http://mcb-m6.bioreg.kyushu-u.ac.jp/M3/20110428/F51145/2844/1", 92.22)</f>
        <v>92.22</v>
      </c>
      <c r="E3371" s="2">
        <v>72.8</v>
      </c>
      <c r="F3371" s="2">
        <v>2</v>
      </c>
      <c r="G3371" s="2" t="s">
        <v>14</v>
      </c>
    </row>
    <row r="3372" spans="1:9" x14ac:dyDescent="0.2">
      <c r="A3372" s="2" t="s">
        <v>5597</v>
      </c>
      <c r="B3372" s="2" t="s">
        <v>5184</v>
      </c>
      <c r="C3372" s="2">
        <v>818.46619999999996</v>
      </c>
      <c r="D3372" s="2">
        <f>HYPERLINK("http://mcb-m6.bioreg.kyushu-u.ac.jp/M3/20110428/F51145/2338/1", 103.92)</f>
        <v>103.92</v>
      </c>
      <c r="E3372" s="2">
        <v>80.349999999999994</v>
      </c>
      <c r="F3372" s="2">
        <v>2</v>
      </c>
      <c r="G3372" s="2" t="s">
        <v>14</v>
      </c>
      <c r="I3372" s="2" t="s">
        <v>4899</v>
      </c>
    </row>
    <row r="3373" spans="1:9" x14ac:dyDescent="0.2">
      <c r="A3373" s="2" t="s">
        <v>5713</v>
      </c>
      <c r="B3373" s="2" t="s">
        <v>5259</v>
      </c>
      <c r="C3373" s="2">
        <v>1028.596</v>
      </c>
      <c r="D3373" s="2">
        <f>HYPERLINK("http://mcb-m6.bioreg.kyushu-u.ac.jp/M3/20110318/F50599/1227/1", 43.43)</f>
        <v>43.43</v>
      </c>
      <c r="E3373" s="2">
        <v>21.48</v>
      </c>
      <c r="F3373" s="2">
        <v>1</v>
      </c>
      <c r="G3373" s="2" t="s">
        <v>10</v>
      </c>
    </row>
    <row r="3374" spans="1:9" x14ac:dyDescent="0.2">
      <c r="A3374" s="2" t="s">
        <v>5713</v>
      </c>
      <c r="B3374" s="2" t="s">
        <v>5259</v>
      </c>
      <c r="C3374" s="2">
        <v>514.84220000000005</v>
      </c>
      <c r="D3374" s="2">
        <f>HYPERLINK("http://mcb-m6.bioreg.kyushu-u.ac.jp/M3/20110318/F50597/924/1", 53.07)</f>
        <v>53.07</v>
      </c>
      <c r="E3374" s="2">
        <v>21.21</v>
      </c>
      <c r="F3374" s="2">
        <v>2</v>
      </c>
      <c r="G3374" s="2" t="s">
        <v>10</v>
      </c>
    </row>
    <row r="3375" spans="1:9" x14ac:dyDescent="0.2">
      <c r="A3375" s="2" t="s">
        <v>5713</v>
      </c>
      <c r="B3375" s="2" t="s">
        <v>5259</v>
      </c>
      <c r="C3375" s="2">
        <v>515.26369999999997</v>
      </c>
      <c r="D3375" s="2">
        <f>HYPERLINK("http://mcb-m6.bioreg.kyushu-u.ac.jp/M3/20110418/F50973/1498/1", 39.74)</f>
        <v>39.74</v>
      </c>
      <c r="E3375" s="2">
        <v>21.42</v>
      </c>
      <c r="F3375" s="2">
        <v>2</v>
      </c>
      <c r="G3375" s="2" t="s">
        <v>11</v>
      </c>
    </row>
    <row r="3376" spans="1:9" x14ac:dyDescent="0.2">
      <c r="A3376" s="2" t="s">
        <v>5713</v>
      </c>
      <c r="B3376" s="2" t="s">
        <v>5259</v>
      </c>
      <c r="C3376" s="2">
        <v>515.26260000000002</v>
      </c>
      <c r="D3376" s="2">
        <f>HYPERLINK("http://mcb-m6.bioreg.kyushu-u.ac.jp/M3/20110418/F50973/1497/1", 47.81)</f>
        <v>47.81</v>
      </c>
      <c r="E3376" s="2">
        <v>23.76</v>
      </c>
      <c r="F3376" s="2">
        <v>2</v>
      </c>
      <c r="G3376" s="2" t="s">
        <v>11</v>
      </c>
    </row>
    <row r="3377" spans="1:9" x14ac:dyDescent="0.2">
      <c r="A3377" s="2" t="s">
        <v>5713</v>
      </c>
      <c r="B3377" s="2" t="s">
        <v>5259</v>
      </c>
      <c r="C3377" s="2">
        <v>514.59059999999999</v>
      </c>
      <c r="D3377" s="2">
        <f>HYPERLINK("http://mcb-m6.bioreg.kyushu-u.ac.jp/M3/20110418/F50973/1494/1", 65.44)</f>
        <v>65.44</v>
      </c>
      <c r="E3377" s="2">
        <v>33.51</v>
      </c>
      <c r="F3377" s="2">
        <v>2</v>
      </c>
      <c r="G3377" s="2" t="s">
        <v>11</v>
      </c>
    </row>
    <row r="3378" spans="1:9" x14ac:dyDescent="0.2">
      <c r="A3378" s="2" t="s">
        <v>5713</v>
      </c>
      <c r="B3378" s="2" t="s">
        <v>5259</v>
      </c>
      <c r="C3378" s="2">
        <v>514.78859999999997</v>
      </c>
      <c r="D3378" s="2">
        <f>HYPERLINK("http://mcb-m6.bioreg.kyushu-u.ac.jp/M3/20110428/F51139/1574/1", 69.26)</f>
        <v>69.260000000000005</v>
      </c>
      <c r="E3378" s="2">
        <v>44.98</v>
      </c>
      <c r="F3378" s="2">
        <v>2</v>
      </c>
      <c r="G3378" s="2" t="s">
        <v>14</v>
      </c>
    </row>
    <row r="3379" spans="1:9" x14ac:dyDescent="0.2">
      <c r="A3379" s="2" t="s">
        <v>4053</v>
      </c>
      <c r="B3379" s="2" t="s">
        <v>1409</v>
      </c>
      <c r="C3379" s="2">
        <v>708.55359999999996</v>
      </c>
      <c r="D3379" s="2">
        <f>HYPERLINK("http://mcb-m6.bioreg.kyushu-u.ac.jp/M3/20110418/F50979/1929/1", 61.82)</f>
        <v>61.82</v>
      </c>
      <c r="E3379" s="2">
        <v>49.53</v>
      </c>
      <c r="F3379" s="2">
        <v>2</v>
      </c>
      <c r="G3379" s="2" t="s">
        <v>11</v>
      </c>
    </row>
    <row r="3380" spans="1:9" x14ac:dyDescent="0.2">
      <c r="A3380" s="2" t="s">
        <v>4053</v>
      </c>
      <c r="B3380" s="2" t="s">
        <v>1409</v>
      </c>
      <c r="C3380" s="2">
        <v>708.25369999999998</v>
      </c>
      <c r="D3380" s="2">
        <f>HYPERLINK("http://mcb-m6.bioreg.kyushu-u.ac.jp/M3/20110418/F50989/1919/1", 67.22)</f>
        <v>67.22</v>
      </c>
      <c r="E3380" s="2">
        <v>51.68</v>
      </c>
      <c r="F3380" s="2">
        <v>2</v>
      </c>
      <c r="G3380" s="2" t="s">
        <v>12</v>
      </c>
    </row>
    <row r="3381" spans="1:9" x14ac:dyDescent="0.2">
      <c r="A3381" s="2" t="s">
        <v>3461</v>
      </c>
      <c r="B3381" s="2" t="s">
        <v>5579</v>
      </c>
      <c r="C3381" s="2">
        <v>718.18619999999999</v>
      </c>
      <c r="D3381" s="2">
        <f>HYPERLINK("http://mcb-m6.bioreg.kyushu-u.ac.jp/M3/20110428/F51145/1972/1", 40.49)</f>
        <v>40.49</v>
      </c>
      <c r="E3381" s="2">
        <v>27.51</v>
      </c>
      <c r="F3381" s="2">
        <v>2</v>
      </c>
      <c r="G3381" s="2" t="s">
        <v>14</v>
      </c>
    </row>
    <row r="3382" spans="1:9" x14ac:dyDescent="0.2">
      <c r="A3382" s="2" t="s">
        <v>3651</v>
      </c>
      <c r="B3382" s="2" t="s">
        <v>1476</v>
      </c>
      <c r="C3382" s="2">
        <v>827.48270000000002</v>
      </c>
      <c r="D3382" s="2">
        <f>HYPERLINK("http://mcb-m6.bioreg.kyushu-u.ac.jp/M3/20110318/F50595/1855/1", 63)</f>
        <v>63</v>
      </c>
      <c r="E3382" s="2">
        <v>49.8</v>
      </c>
      <c r="F3382" s="2">
        <v>2</v>
      </c>
      <c r="G3382" s="2" t="s">
        <v>10</v>
      </c>
    </row>
    <row r="3383" spans="1:9" x14ac:dyDescent="0.2">
      <c r="A3383" s="2" t="s">
        <v>3651</v>
      </c>
      <c r="B3383" s="2" t="s">
        <v>5459</v>
      </c>
      <c r="C3383" s="2">
        <v>542.18820000000005</v>
      </c>
      <c r="D3383" s="2">
        <f>HYPERLINK("http://mcb-m6.bioreg.kyushu-u.ac.jp/M3/20110429/F51156/1107/1", 35.29)</f>
        <v>35.29</v>
      </c>
      <c r="E3383" s="2">
        <v>16.04</v>
      </c>
      <c r="F3383" s="2">
        <v>2</v>
      </c>
      <c r="G3383" s="2" t="s">
        <v>13</v>
      </c>
    </row>
    <row r="3384" spans="1:9" x14ac:dyDescent="0.2">
      <c r="A3384" s="2" t="s">
        <v>3651</v>
      </c>
      <c r="B3384" s="2" t="s">
        <v>1476</v>
      </c>
      <c r="C3384" s="2">
        <v>827.44460000000004</v>
      </c>
      <c r="D3384" s="2">
        <f>HYPERLINK("http://mcb-m6.bioreg.kyushu-u.ac.jp/M3/20110429/F51156/2386/1", 94.17)</f>
        <v>94.17</v>
      </c>
      <c r="E3384" s="2">
        <v>67.8</v>
      </c>
      <c r="F3384" s="2">
        <v>2</v>
      </c>
      <c r="G3384" s="2" t="s">
        <v>13</v>
      </c>
    </row>
    <row r="3385" spans="1:9" x14ac:dyDescent="0.2">
      <c r="A3385" s="2" t="s">
        <v>3651</v>
      </c>
      <c r="B3385" s="2" t="s">
        <v>1476</v>
      </c>
      <c r="C3385" s="2">
        <v>827.0702</v>
      </c>
      <c r="D3385" s="2">
        <f>HYPERLINK("http://mcb-m6.bioreg.kyushu-u.ac.jp/M3/20110428/F51145/2362/1", 99.52)</f>
        <v>99.52</v>
      </c>
      <c r="E3385" s="2">
        <v>73</v>
      </c>
      <c r="F3385" s="2">
        <v>2</v>
      </c>
      <c r="G3385" s="2" t="s">
        <v>14</v>
      </c>
    </row>
    <row r="3386" spans="1:9" x14ac:dyDescent="0.2">
      <c r="A3386" s="2" t="s">
        <v>3432</v>
      </c>
      <c r="B3386" s="2" t="s">
        <v>1097</v>
      </c>
      <c r="C3386" s="2">
        <v>760.21259999999995</v>
      </c>
      <c r="D3386" s="2">
        <f>HYPERLINK("http://mcb-m6.bioreg.kyushu-u.ac.jp/M3/20110418/F50989/2125/1", 55.29)</f>
        <v>55.29</v>
      </c>
      <c r="E3386" s="2">
        <v>44.89</v>
      </c>
      <c r="F3386" s="2">
        <v>2</v>
      </c>
      <c r="G3386" s="2" t="s">
        <v>12</v>
      </c>
    </row>
    <row r="3387" spans="1:9" x14ac:dyDescent="0.2">
      <c r="A3387" s="2" t="s">
        <v>4295</v>
      </c>
      <c r="B3387" s="2" t="s">
        <v>2004</v>
      </c>
      <c r="C3387" s="2">
        <v>690.47969999999998</v>
      </c>
      <c r="D3387" s="2">
        <f>HYPERLINK("http://mcb-m6.bioreg.kyushu-u.ac.jp/M3/20110318/F50597/1392/1", 64.1)</f>
        <v>64.099999999999994</v>
      </c>
      <c r="E3387" s="2">
        <v>49.17</v>
      </c>
      <c r="F3387" s="2">
        <v>2</v>
      </c>
      <c r="G3387" s="2" t="s">
        <v>10</v>
      </c>
    </row>
    <row r="3388" spans="1:9" x14ac:dyDescent="0.2">
      <c r="A3388" s="2" t="s">
        <v>5626</v>
      </c>
      <c r="B3388" s="2" t="s">
        <v>5044</v>
      </c>
      <c r="C3388" s="2">
        <v>755.3057</v>
      </c>
      <c r="D3388" s="2">
        <f>HYPERLINK("http://mcb-m6.bioreg.kyushu-u.ac.jp/M3/20110318/F50618/1691/1", 42.58)</f>
        <v>42.58</v>
      </c>
      <c r="E3388" s="2">
        <v>25.14</v>
      </c>
      <c r="F3388" s="2">
        <v>2</v>
      </c>
      <c r="G3388" s="2" t="s">
        <v>9</v>
      </c>
      <c r="I3388" s="2" t="s">
        <v>4926</v>
      </c>
    </row>
    <row r="3389" spans="1:9" x14ac:dyDescent="0.2">
      <c r="A3389" s="2" t="s">
        <v>3667</v>
      </c>
      <c r="B3389" s="2" t="s">
        <v>607</v>
      </c>
      <c r="C3389" s="2">
        <v>729.495</v>
      </c>
      <c r="D3389" s="2">
        <f>HYPERLINK("http://mcb-m6.bioreg.kyushu-u.ac.jp/M3/20110318/F50605/665/1", 46.78)</f>
        <v>46.78</v>
      </c>
      <c r="E3389" s="2">
        <v>7.24</v>
      </c>
      <c r="F3389" s="2">
        <v>1</v>
      </c>
      <c r="G3389" s="2" t="s">
        <v>9</v>
      </c>
    </row>
    <row r="3390" spans="1:9" x14ac:dyDescent="0.2">
      <c r="A3390" s="2" t="s">
        <v>3667</v>
      </c>
      <c r="B3390" s="2" t="s">
        <v>607</v>
      </c>
      <c r="C3390" s="2">
        <v>729.39800000000002</v>
      </c>
      <c r="D3390" s="2">
        <f>HYPERLINK("http://mcb-m6.bioreg.kyushu-u.ac.jp/M3/20110318/F50612/761/1", 46.49)</f>
        <v>46.49</v>
      </c>
      <c r="E3390" s="2">
        <v>7.24</v>
      </c>
      <c r="F3390" s="2">
        <v>1</v>
      </c>
      <c r="G3390" s="2" t="s">
        <v>10</v>
      </c>
    </row>
    <row r="3391" spans="1:9" x14ac:dyDescent="0.2">
      <c r="A3391" s="2" t="s">
        <v>3667</v>
      </c>
      <c r="B3391" s="2" t="s">
        <v>607</v>
      </c>
      <c r="C3391" s="2">
        <v>729.38199999999995</v>
      </c>
      <c r="D3391" s="2">
        <f>HYPERLINK("http://mcb-m6.bioreg.kyushu-u.ac.jp/M3/20110418/F50976/579/1", 46.73)</f>
        <v>46.73</v>
      </c>
      <c r="E3391" s="2">
        <v>7.23</v>
      </c>
      <c r="F3391" s="2">
        <v>1</v>
      </c>
      <c r="G3391" s="2" t="s">
        <v>11</v>
      </c>
    </row>
    <row r="3392" spans="1:9" x14ac:dyDescent="0.2">
      <c r="A3392" s="2" t="s">
        <v>3667</v>
      </c>
      <c r="B3392" s="2" t="s">
        <v>607</v>
      </c>
      <c r="C3392" s="2">
        <v>729.30499999999995</v>
      </c>
      <c r="D3392" s="2">
        <f>HYPERLINK("http://mcb-m6.bioreg.kyushu-u.ac.jp/M3/20110418/F50986/1058/2", 46.87)</f>
        <v>46.87</v>
      </c>
      <c r="E3392" s="2">
        <v>7.24</v>
      </c>
      <c r="F3392" s="2">
        <v>1</v>
      </c>
      <c r="G3392" s="2" t="s">
        <v>12</v>
      </c>
    </row>
    <row r="3393" spans="1:7" x14ac:dyDescent="0.2">
      <c r="A3393" s="2" t="s">
        <v>4294</v>
      </c>
      <c r="B3393" s="2" t="s">
        <v>2000</v>
      </c>
      <c r="C3393" s="2">
        <v>596.45119999999997</v>
      </c>
      <c r="D3393" s="2">
        <f>HYPERLINK("http://mcb-m6.bioreg.kyushu-u.ac.jp/M3/20110428/F51146/1577/1", 66.05)</f>
        <v>66.05</v>
      </c>
      <c r="E3393" s="2">
        <v>45.66</v>
      </c>
      <c r="F3393" s="2">
        <v>2</v>
      </c>
      <c r="G3393" s="2" t="s">
        <v>13</v>
      </c>
    </row>
    <row r="3394" spans="1:7" x14ac:dyDescent="0.2">
      <c r="A3394" s="2" t="s">
        <v>3285</v>
      </c>
      <c r="B3394" s="2" t="s">
        <v>65</v>
      </c>
      <c r="C3394" s="2">
        <v>652.31960000000004</v>
      </c>
      <c r="D3394" s="2">
        <f>HYPERLINK("http://mcb-m6.bioreg.kyushu-u.ac.jp/M3/20110318/F50608/1253/1", 62.36)</f>
        <v>62.36</v>
      </c>
      <c r="E3394" s="2">
        <v>29.12</v>
      </c>
      <c r="F3394" s="2">
        <v>2</v>
      </c>
      <c r="G3394" s="2" t="s">
        <v>9</v>
      </c>
    </row>
    <row r="3395" spans="1:7" x14ac:dyDescent="0.2">
      <c r="A3395" s="2" t="s">
        <v>3285</v>
      </c>
      <c r="B3395" s="2" t="s">
        <v>65</v>
      </c>
      <c r="C3395" s="2">
        <v>652.25019999999995</v>
      </c>
      <c r="D3395" s="2">
        <f>HYPERLINK("http://mcb-m6.bioreg.kyushu-u.ac.jp/M3/20110318/F50620/1341/1", 66.24)</f>
        <v>66.239999999999995</v>
      </c>
      <c r="E3395" s="2">
        <v>32.92</v>
      </c>
      <c r="F3395" s="2">
        <v>2</v>
      </c>
      <c r="G3395" s="2" t="s">
        <v>9</v>
      </c>
    </row>
    <row r="3396" spans="1:7" x14ac:dyDescent="0.2">
      <c r="A3396" s="2" t="s">
        <v>3285</v>
      </c>
      <c r="B3396" s="2" t="s">
        <v>65</v>
      </c>
      <c r="C3396" s="2">
        <v>651.97810000000004</v>
      </c>
      <c r="D3396" s="2">
        <f>HYPERLINK("http://mcb-m6.bioreg.kyushu-u.ac.jp/M3/20110318/F50618/1240/1", 76.09)</f>
        <v>76.09</v>
      </c>
      <c r="E3396" s="2">
        <v>22.84</v>
      </c>
      <c r="F3396" s="2">
        <v>2</v>
      </c>
      <c r="G3396" s="2" t="s">
        <v>9</v>
      </c>
    </row>
    <row r="3397" spans="1:7" x14ac:dyDescent="0.2">
      <c r="A3397" s="2" t="s">
        <v>3285</v>
      </c>
      <c r="B3397" s="2" t="s">
        <v>65</v>
      </c>
      <c r="C3397" s="2">
        <v>651.8981</v>
      </c>
      <c r="D3397" s="2">
        <f>HYPERLINK("http://mcb-m6.bioreg.kyushu-u.ac.jp/M3/20110318/F50606/1178/1", 77.74)</f>
        <v>77.739999999999995</v>
      </c>
      <c r="E3397" s="2">
        <v>38.770000000000003</v>
      </c>
      <c r="F3397" s="2">
        <v>2</v>
      </c>
      <c r="G3397" s="2" t="s">
        <v>9</v>
      </c>
    </row>
    <row r="3398" spans="1:7" x14ac:dyDescent="0.2">
      <c r="A3398" s="2" t="s">
        <v>3285</v>
      </c>
      <c r="B3398" s="2" t="s">
        <v>65</v>
      </c>
      <c r="C3398" s="2">
        <v>651.96469999999999</v>
      </c>
      <c r="D3398" s="2">
        <f>HYPERLINK("http://mcb-m6.bioreg.kyushu-u.ac.jp/M3/20110318/F50605/1269/1", 78.72)</f>
        <v>78.72</v>
      </c>
      <c r="E3398" s="2">
        <v>21</v>
      </c>
      <c r="F3398" s="2">
        <v>2</v>
      </c>
      <c r="G3398" s="2" t="s">
        <v>9</v>
      </c>
    </row>
    <row r="3399" spans="1:7" x14ac:dyDescent="0.2">
      <c r="A3399" s="2" t="s">
        <v>3285</v>
      </c>
      <c r="B3399" s="2" t="s">
        <v>65</v>
      </c>
      <c r="C3399" s="2">
        <v>1302.5119999999999</v>
      </c>
      <c r="D3399" s="2">
        <f>HYPERLINK("http://mcb-m6.bioreg.kyushu-u.ac.jp/M3/20110318/F50614/1357/1", 42.08)</f>
        <v>42.08</v>
      </c>
      <c r="E3399" s="2">
        <v>21.47</v>
      </c>
      <c r="F3399" s="2">
        <v>1</v>
      </c>
      <c r="G3399" s="2" t="s">
        <v>10</v>
      </c>
    </row>
    <row r="3400" spans="1:7" x14ac:dyDescent="0.2">
      <c r="A3400" s="2" t="s">
        <v>3285</v>
      </c>
      <c r="B3400" s="2" t="s">
        <v>65</v>
      </c>
      <c r="C3400" s="2">
        <v>651.91859999999997</v>
      </c>
      <c r="D3400" s="2">
        <f>HYPERLINK("http://mcb-m6.bioreg.kyushu-u.ac.jp/M3/20110318/F50597/1277/1", 57.73)</f>
        <v>57.73</v>
      </c>
      <c r="E3400" s="2">
        <v>5.31</v>
      </c>
      <c r="F3400" s="2">
        <v>2</v>
      </c>
      <c r="G3400" s="2" t="s">
        <v>10</v>
      </c>
    </row>
    <row r="3401" spans="1:7" x14ac:dyDescent="0.2">
      <c r="A3401" s="2" t="s">
        <v>3285</v>
      </c>
      <c r="B3401" s="2" t="s">
        <v>65</v>
      </c>
      <c r="C3401" s="2">
        <v>651.9742</v>
      </c>
      <c r="D3401" s="2">
        <f>HYPERLINK("http://mcb-m6.bioreg.kyushu-u.ac.jp/M3/20110318/F50595/1515/1", 64.24)</f>
        <v>64.239999999999995</v>
      </c>
      <c r="E3401" s="2">
        <v>24.45</v>
      </c>
      <c r="F3401" s="2">
        <v>2</v>
      </c>
      <c r="G3401" s="2" t="s">
        <v>10</v>
      </c>
    </row>
    <row r="3402" spans="1:7" x14ac:dyDescent="0.2">
      <c r="A3402" s="2" t="s">
        <v>3285</v>
      </c>
      <c r="B3402" s="2" t="s">
        <v>65</v>
      </c>
      <c r="C3402" s="2">
        <v>651.92970000000003</v>
      </c>
      <c r="D3402" s="2">
        <f>HYPERLINK("http://mcb-m6.bioreg.kyushu-u.ac.jp/M3/20110318/F50598/1332/1", 66.21)</f>
        <v>66.209999999999994</v>
      </c>
      <c r="E3402" s="2">
        <v>25.91</v>
      </c>
      <c r="F3402" s="2">
        <v>2</v>
      </c>
      <c r="G3402" s="2" t="s">
        <v>10</v>
      </c>
    </row>
    <row r="3403" spans="1:7" x14ac:dyDescent="0.2">
      <c r="A3403" s="2" t="s">
        <v>3285</v>
      </c>
      <c r="B3403" s="2" t="s">
        <v>65</v>
      </c>
      <c r="C3403" s="2">
        <v>652.34220000000005</v>
      </c>
      <c r="D3403" s="2">
        <f>HYPERLINK("http://mcb-m6.bioreg.kyushu-u.ac.jp/M3/20110318/F50600/1330/1", 69.29)</f>
        <v>69.290000000000006</v>
      </c>
      <c r="E3403" s="2">
        <v>37.47</v>
      </c>
      <c r="F3403" s="2">
        <v>2</v>
      </c>
      <c r="G3403" s="2" t="s">
        <v>10</v>
      </c>
    </row>
    <row r="3404" spans="1:7" x14ac:dyDescent="0.2">
      <c r="A3404" s="2" t="s">
        <v>3285</v>
      </c>
      <c r="B3404" s="2" t="s">
        <v>65</v>
      </c>
      <c r="C3404" s="2">
        <v>652.40719999999999</v>
      </c>
      <c r="D3404" s="2">
        <f>HYPERLINK("http://mcb-m6.bioreg.kyushu-u.ac.jp/M3/20110318/F50599/1463/1", 71.49)</f>
        <v>71.489999999999995</v>
      </c>
      <c r="E3404" s="2">
        <v>27.62</v>
      </c>
      <c r="F3404" s="2">
        <v>2</v>
      </c>
      <c r="G3404" s="2" t="s">
        <v>10</v>
      </c>
    </row>
    <row r="3405" spans="1:7" x14ac:dyDescent="0.2">
      <c r="A3405" s="2" t="s">
        <v>3285</v>
      </c>
      <c r="B3405" s="2" t="s">
        <v>65</v>
      </c>
      <c r="C3405" s="2">
        <v>652.07460000000003</v>
      </c>
      <c r="D3405" s="2">
        <f>HYPERLINK("http://mcb-m6.bioreg.kyushu-u.ac.jp/M3/20110318/F50611/1338/1", 79.56)</f>
        <v>79.56</v>
      </c>
      <c r="E3405" s="2">
        <v>33.08</v>
      </c>
      <c r="F3405" s="2">
        <v>2</v>
      </c>
      <c r="G3405" s="2" t="s">
        <v>10</v>
      </c>
    </row>
    <row r="3406" spans="1:7" x14ac:dyDescent="0.2">
      <c r="A3406" s="2" t="s">
        <v>3285</v>
      </c>
      <c r="B3406" s="2" t="s">
        <v>65</v>
      </c>
      <c r="C3406" s="2">
        <v>651.89070000000004</v>
      </c>
      <c r="D3406" s="2">
        <f>HYPERLINK("http://mcb-m6.bioreg.kyushu-u.ac.jp/M3/20110318/F50615/1224/1", 91.92)</f>
        <v>91.92</v>
      </c>
      <c r="E3406" s="2">
        <v>35.18</v>
      </c>
      <c r="F3406" s="2">
        <v>2</v>
      </c>
      <c r="G3406" s="2" t="s">
        <v>10</v>
      </c>
    </row>
    <row r="3407" spans="1:7" x14ac:dyDescent="0.2">
      <c r="A3407" s="2" t="s">
        <v>3285</v>
      </c>
      <c r="B3407" s="2" t="s">
        <v>65</v>
      </c>
      <c r="C3407" s="2">
        <v>1302.444</v>
      </c>
      <c r="D3407" s="2">
        <f>HYPERLINK("http://mcb-m6.bioreg.kyushu-u.ac.jp/M3/20110418/F50976/1501/1", 39.19)</f>
        <v>39.19</v>
      </c>
      <c r="E3407" s="2">
        <v>18.45</v>
      </c>
      <c r="F3407" s="2">
        <v>1</v>
      </c>
      <c r="G3407" s="2" t="s">
        <v>11</v>
      </c>
    </row>
    <row r="3408" spans="1:7" x14ac:dyDescent="0.2">
      <c r="A3408" s="2" t="s">
        <v>3285</v>
      </c>
      <c r="B3408" s="2" t="s">
        <v>65</v>
      </c>
      <c r="C3408" s="2">
        <v>1302.58</v>
      </c>
      <c r="D3408" s="2">
        <f>HYPERLINK("http://mcb-m6.bioreg.kyushu-u.ac.jp/M3/20110418/F50975/1477/1", 44.71)</f>
        <v>44.71</v>
      </c>
      <c r="E3408" s="2">
        <v>16.78</v>
      </c>
      <c r="F3408" s="2">
        <v>1</v>
      </c>
      <c r="G3408" s="2" t="s">
        <v>11</v>
      </c>
    </row>
    <row r="3409" spans="1:7" x14ac:dyDescent="0.2">
      <c r="A3409" s="2" t="s">
        <v>3285</v>
      </c>
      <c r="B3409" s="2" t="s">
        <v>65</v>
      </c>
      <c r="C3409" s="2">
        <v>652.22810000000004</v>
      </c>
      <c r="D3409" s="2">
        <f>HYPERLINK("http://mcb-m6.bioreg.kyushu-u.ac.jp/M3/20110418/F50976/1506/1", 53.78)</f>
        <v>53.78</v>
      </c>
      <c r="E3409" s="2">
        <v>37.549999999999997</v>
      </c>
      <c r="F3409" s="2">
        <v>2</v>
      </c>
      <c r="G3409" s="2" t="s">
        <v>11</v>
      </c>
    </row>
    <row r="3410" spans="1:7" x14ac:dyDescent="0.2">
      <c r="A3410" s="2" t="s">
        <v>3285</v>
      </c>
      <c r="B3410" s="2" t="s">
        <v>65</v>
      </c>
      <c r="C3410" s="2">
        <v>1302.4880000000001</v>
      </c>
      <c r="D3410" s="2">
        <f>HYPERLINK("http://mcb-m6.bioreg.kyushu-u.ac.jp/M3/20110418/F50969/1835/1", 57.02)</f>
        <v>57.02</v>
      </c>
      <c r="E3410" s="2">
        <v>28.58</v>
      </c>
      <c r="F3410" s="2">
        <v>1</v>
      </c>
      <c r="G3410" s="2" t="s">
        <v>11</v>
      </c>
    </row>
    <row r="3411" spans="1:7" x14ac:dyDescent="0.2">
      <c r="A3411" s="2" t="s">
        <v>3285</v>
      </c>
      <c r="B3411" s="2" t="s">
        <v>65</v>
      </c>
      <c r="C3411" s="2">
        <v>651.91520000000003</v>
      </c>
      <c r="D3411" s="2">
        <f>HYPERLINK("http://mcb-m6.bioreg.kyushu-u.ac.jp/M3/20110418/F50975/1479/1", 60.82)</f>
        <v>60.82</v>
      </c>
      <c r="E3411" s="2">
        <v>28.92</v>
      </c>
      <c r="F3411" s="2">
        <v>2</v>
      </c>
      <c r="G3411" s="2" t="s">
        <v>11</v>
      </c>
    </row>
    <row r="3412" spans="1:7" x14ac:dyDescent="0.2">
      <c r="A3412" s="2" t="s">
        <v>3285</v>
      </c>
      <c r="B3412" s="2" t="s">
        <v>65</v>
      </c>
      <c r="C3412" s="2">
        <v>651.71370000000002</v>
      </c>
      <c r="D3412" s="2">
        <f>HYPERLINK("http://mcb-m6.bioreg.kyushu-u.ac.jp/M3/20110418/F50970/1830/1", 65.18)</f>
        <v>65.180000000000007</v>
      </c>
      <c r="E3412" s="2">
        <v>4.3899999999999997</v>
      </c>
      <c r="F3412" s="2">
        <v>2</v>
      </c>
      <c r="G3412" s="2" t="s">
        <v>11</v>
      </c>
    </row>
    <row r="3413" spans="1:7" x14ac:dyDescent="0.2">
      <c r="A3413" s="2" t="s">
        <v>3285</v>
      </c>
      <c r="B3413" s="2" t="s">
        <v>65</v>
      </c>
      <c r="C3413" s="2">
        <v>651.72919999999999</v>
      </c>
      <c r="D3413" s="2">
        <f>HYPERLINK("http://mcb-m6.bioreg.kyushu-u.ac.jp/M3/20110418/F50977/1578/1", 73.04)</f>
        <v>73.040000000000006</v>
      </c>
      <c r="E3413" s="2">
        <v>19.32</v>
      </c>
      <c r="F3413" s="2">
        <v>2</v>
      </c>
      <c r="G3413" s="2" t="s">
        <v>11</v>
      </c>
    </row>
    <row r="3414" spans="1:7" x14ac:dyDescent="0.2">
      <c r="A3414" s="2" t="s">
        <v>3285</v>
      </c>
      <c r="B3414" s="2" t="s">
        <v>65</v>
      </c>
      <c r="C3414" s="2">
        <v>651.82619999999997</v>
      </c>
      <c r="D3414" s="2">
        <f>HYPERLINK("http://mcb-m6.bioreg.kyushu-u.ac.jp/M3/20110418/F50979/1763/1", 76.01)</f>
        <v>76.010000000000005</v>
      </c>
      <c r="E3414" s="2">
        <v>24.82</v>
      </c>
      <c r="F3414" s="2">
        <v>2</v>
      </c>
      <c r="G3414" s="2" t="s">
        <v>11</v>
      </c>
    </row>
    <row r="3415" spans="1:7" x14ac:dyDescent="0.2">
      <c r="A3415" s="2" t="s">
        <v>3285</v>
      </c>
      <c r="B3415" s="2" t="s">
        <v>65</v>
      </c>
      <c r="C3415" s="2">
        <v>651.58320000000003</v>
      </c>
      <c r="D3415" s="2">
        <f>HYPERLINK("http://mcb-m6.bioreg.kyushu-u.ac.jp/M3/20110418/F50974/1634/1", 80.73)</f>
        <v>80.73</v>
      </c>
      <c r="E3415" s="2">
        <v>5.37</v>
      </c>
      <c r="F3415" s="2">
        <v>2</v>
      </c>
      <c r="G3415" s="2" t="s">
        <v>11</v>
      </c>
    </row>
    <row r="3416" spans="1:7" x14ac:dyDescent="0.2">
      <c r="A3416" s="2" t="s">
        <v>3285</v>
      </c>
      <c r="B3416" s="2" t="s">
        <v>65</v>
      </c>
      <c r="C3416" s="2">
        <v>652.25319999999999</v>
      </c>
      <c r="D3416" s="2">
        <f>HYPERLINK("http://mcb-m6.bioreg.kyushu-u.ac.jp/M3/20110418/F50977/1585/1", 82.39)</f>
        <v>82.39</v>
      </c>
      <c r="E3416" s="2">
        <v>56.94</v>
      </c>
      <c r="F3416" s="2">
        <v>2</v>
      </c>
      <c r="G3416" s="2" t="s">
        <v>11</v>
      </c>
    </row>
    <row r="3417" spans="1:7" x14ac:dyDescent="0.2">
      <c r="A3417" s="2" t="s">
        <v>3285</v>
      </c>
      <c r="B3417" s="2" t="s">
        <v>65</v>
      </c>
      <c r="C3417" s="2">
        <v>652.16470000000004</v>
      </c>
      <c r="D3417" s="2">
        <f>HYPERLINK("http://mcb-m6.bioreg.kyushu-u.ac.jp/M3/20110418/F50975/1481/1", 85.12)</f>
        <v>85.12</v>
      </c>
      <c r="E3417" s="2">
        <v>62.38</v>
      </c>
      <c r="F3417" s="2">
        <v>2</v>
      </c>
      <c r="G3417" s="2" t="s">
        <v>11</v>
      </c>
    </row>
    <row r="3418" spans="1:7" x14ac:dyDescent="0.2">
      <c r="A3418" s="2" t="s">
        <v>3285</v>
      </c>
      <c r="B3418" s="2" t="s">
        <v>65</v>
      </c>
      <c r="C3418" s="2">
        <v>652.07169999999996</v>
      </c>
      <c r="D3418" s="2">
        <f>HYPERLINK("http://mcb-m6.bioreg.kyushu-u.ac.jp/M3/20110418/F50973/1820/1", 89.31)</f>
        <v>89.31</v>
      </c>
      <c r="E3418" s="2">
        <v>61.55</v>
      </c>
      <c r="F3418" s="2">
        <v>2</v>
      </c>
      <c r="G3418" s="2" t="s">
        <v>11</v>
      </c>
    </row>
    <row r="3419" spans="1:7" x14ac:dyDescent="0.2">
      <c r="A3419" s="2" t="s">
        <v>3285</v>
      </c>
      <c r="B3419" s="2" t="s">
        <v>65</v>
      </c>
      <c r="C3419" s="2">
        <v>652.21619999999996</v>
      </c>
      <c r="D3419" s="2">
        <f>HYPERLINK("http://mcb-m6.bioreg.kyushu-u.ac.jp/M3/20110418/F50974/1642/1", 89.69)</f>
        <v>89.69</v>
      </c>
      <c r="E3419" s="2">
        <v>58.28</v>
      </c>
      <c r="F3419" s="2">
        <v>2</v>
      </c>
      <c r="G3419" s="2" t="s">
        <v>11</v>
      </c>
    </row>
    <row r="3420" spans="1:7" x14ac:dyDescent="0.2">
      <c r="A3420" s="2" t="s">
        <v>3285</v>
      </c>
      <c r="B3420" s="2" t="s">
        <v>65</v>
      </c>
      <c r="C3420" s="2">
        <v>651.92219999999998</v>
      </c>
      <c r="D3420" s="2">
        <f>HYPERLINK("http://mcb-m6.bioreg.kyushu-u.ac.jp/M3/20110418/F50976/1503/1", 92.08)</f>
        <v>92.08</v>
      </c>
      <c r="E3420" s="2">
        <v>18.399999999999999</v>
      </c>
      <c r="F3420" s="2">
        <v>2</v>
      </c>
      <c r="G3420" s="2" t="s">
        <v>11</v>
      </c>
    </row>
    <row r="3421" spans="1:7" x14ac:dyDescent="0.2">
      <c r="A3421" s="2" t="s">
        <v>3285</v>
      </c>
      <c r="B3421" s="2" t="s">
        <v>65</v>
      </c>
      <c r="C3421" s="2">
        <v>652.10019999999997</v>
      </c>
      <c r="D3421" s="2">
        <f>HYPERLINK("http://mcb-m6.bioreg.kyushu-u.ac.jp/M3/20110418/F50975/1480/1", 96.24)</f>
        <v>96.24</v>
      </c>
      <c r="E3421" s="2">
        <v>68.819999999999993</v>
      </c>
      <c r="F3421" s="2">
        <v>2</v>
      </c>
      <c r="G3421" s="2" t="s">
        <v>11</v>
      </c>
    </row>
    <row r="3422" spans="1:7" x14ac:dyDescent="0.2">
      <c r="A3422" s="2" t="s">
        <v>3285</v>
      </c>
      <c r="B3422" s="2" t="s">
        <v>65</v>
      </c>
      <c r="C3422" s="2">
        <v>651.77919999999995</v>
      </c>
      <c r="D3422" s="2">
        <f>HYPERLINK("http://mcb-m6.bioreg.kyushu-u.ac.jp/M3/20110418/F50975/1476/1", 96.27)</f>
        <v>96.27</v>
      </c>
      <c r="E3422" s="2">
        <v>31.67</v>
      </c>
      <c r="F3422" s="2">
        <v>2</v>
      </c>
      <c r="G3422" s="2" t="s">
        <v>11</v>
      </c>
    </row>
    <row r="3423" spans="1:7" x14ac:dyDescent="0.2">
      <c r="A3423" s="2" t="s">
        <v>3285</v>
      </c>
      <c r="B3423" s="2" t="s">
        <v>65</v>
      </c>
      <c r="C3423" s="2">
        <v>651.72360000000003</v>
      </c>
      <c r="D3423" s="2">
        <f>HYPERLINK("http://mcb-m6.bioreg.kyushu-u.ac.jp/M3/20110418/F50969/1834/1", 107.6)</f>
        <v>107.6</v>
      </c>
      <c r="E3423" s="2">
        <v>11.44</v>
      </c>
      <c r="F3423" s="2">
        <v>2</v>
      </c>
      <c r="G3423" s="2" t="s">
        <v>11</v>
      </c>
    </row>
    <row r="3424" spans="1:7" x14ac:dyDescent="0.2">
      <c r="A3424" s="2" t="s">
        <v>3285</v>
      </c>
      <c r="B3424" s="2" t="s">
        <v>65</v>
      </c>
      <c r="C3424" s="2">
        <v>652.41610000000003</v>
      </c>
      <c r="D3424" s="2">
        <f>HYPERLINK("http://mcb-m6.bioreg.kyushu-u.ac.jp/M3/20110418/F50969/1837/1", 111.94)</f>
        <v>111.94</v>
      </c>
      <c r="E3424" s="2">
        <v>71.27</v>
      </c>
      <c r="F3424" s="2">
        <v>2</v>
      </c>
      <c r="G3424" s="2" t="s">
        <v>11</v>
      </c>
    </row>
    <row r="3425" spans="1:7" x14ac:dyDescent="0.2">
      <c r="A3425" s="2" t="s">
        <v>3285</v>
      </c>
      <c r="B3425" s="2" t="s">
        <v>65</v>
      </c>
      <c r="C3425" s="2">
        <v>651.83720000000005</v>
      </c>
      <c r="D3425" s="2">
        <f>HYPERLINK("http://mcb-m6.bioreg.kyushu-u.ac.jp/M3/20110418/F50982/1984/1", 54.14)</f>
        <v>54.14</v>
      </c>
      <c r="E3425" s="2">
        <v>23.44</v>
      </c>
      <c r="F3425" s="2">
        <v>2</v>
      </c>
      <c r="G3425" s="2" t="s">
        <v>12</v>
      </c>
    </row>
    <row r="3426" spans="1:7" x14ac:dyDescent="0.2">
      <c r="A3426" s="2" t="s">
        <v>3285</v>
      </c>
      <c r="B3426" s="2" t="s">
        <v>65</v>
      </c>
      <c r="C3426" s="2">
        <v>651.79319999999996</v>
      </c>
      <c r="D3426" s="2">
        <f>HYPERLINK("http://mcb-m6.bioreg.kyushu-u.ac.jp/M3/20110418/F50980/1907/1", 61.23)</f>
        <v>61.23</v>
      </c>
      <c r="E3426" s="2">
        <v>22.3</v>
      </c>
      <c r="F3426" s="2">
        <v>2</v>
      </c>
      <c r="G3426" s="2" t="s">
        <v>12</v>
      </c>
    </row>
    <row r="3427" spans="1:7" x14ac:dyDescent="0.2">
      <c r="A3427" s="2" t="s">
        <v>3285</v>
      </c>
      <c r="B3427" s="2" t="s">
        <v>65</v>
      </c>
      <c r="C3427" s="2">
        <v>1302.5999999999999</v>
      </c>
      <c r="D3427" s="2">
        <f>HYPERLINK("http://mcb-m6.bioreg.kyushu-u.ac.jp/M3/20110429/F51157/1285/1", 44.6)</f>
        <v>44.6</v>
      </c>
      <c r="E3427" s="2">
        <v>28.72</v>
      </c>
      <c r="F3427" s="2">
        <v>1</v>
      </c>
      <c r="G3427" s="2" t="s">
        <v>13</v>
      </c>
    </row>
    <row r="3428" spans="1:7" x14ac:dyDescent="0.2">
      <c r="A3428" s="2" t="s">
        <v>3285</v>
      </c>
      <c r="B3428" s="2" t="s">
        <v>65</v>
      </c>
      <c r="C3428" s="2">
        <v>651.82510000000002</v>
      </c>
      <c r="D3428" s="2">
        <f>HYPERLINK("http://mcb-m6.bioreg.kyushu-u.ac.jp/M3/20110502/F51164/1218/1", 54.24)</f>
        <v>54.24</v>
      </c>
      <c r="E3428" s="2">
        <v>26.96</v>
      </c>
      <c r="F3428" s="2">
        <v>2</v>
      </c>
      <c r="G3428" s="2" t="s">
        <v>13</v>
      </c>
    </row>
    <row r="3429" spans="1:7" x14ac:dyDescent="0.2">
      <c r="A3429" s="2" t="s">
        <v>3285</v>
      </c>
      <c r="B3429" s="2" t="s">
        <v>65</v>
      </c>
      <c r="C3429" s="2">
        <v>651.95669999999996</v>
      </c>
      <c r="D3429" s="2">
        <f>HYPERLINK("http://mcb-m6.bioreg.kyushu-u.ac.jp/M3/20110429/F51153/1399/1", 65.49)</f>
        <v>65.489999999999995</v>
      </c>
      <c r="E3429" s="2">
        <v>20.53</v>
      </c>
      <c r="F3429" s="2">
        <v>2</v>
      </c>
      <c r="G3429" s="2" t="s">
        <v>13</v>
      </c>
    </row>
    <row r="3430" spans="1:7" x14ac:dyDescent="0.2">
      <c r="A3430" s="2" t="s">
        <v>3285</v>
      </c>
      <c r="B3430" s="2" t="s">
        <v>65</v>
      </c>
      <c r="C3430" s="2">
        <v>652.09469999999999</v>
      </c>
      <c r="D3430" s="2">
        <f>HYPERLINK("http://mcb-m6.bioreg.kyushu-u.ac.jp/M3/20110428/F51147/1674/1", 81.24)</f>
        <v>81.239999999999995</v>
      </c>
      <c r="E3430" s="2">
        <v>48.95</v>
      </c>
      <c r="F3430" s="2">
        <v>2</v>
      </c>
      <c r="G3430" s="2" t="s">
        <v>13</v>
      </c>
    </row>
    <row r="3431" spans="1:7" x14ac:dyDescent="0.2">
      <c r="A3431" s="2" t="s">
        <v>3285</v>
      </c>
      <c r="B3431" s="2" t="s">
        <v>65</v>
      </c>
      <c r="C3431" s="2">
        <v>651.87019999999995</v>
      </c>
      <c r="D3431" s="2">
        <f>HYPERLINK("http://mcb-m6.bioreg.kyushu-u.ac.jp/M3/20110428/F51140/1498/1", 37.33)</f>
        <v>37.33</v>
      </c>
      <c r="E3431" s="2">
        <v>14.36</v>
      </c>
      <c r="F3431" s="2">
        <v>2</v>
      </c>
      <c r="G3431" s="2" t="s">
        <v>14</v>
      </c>
    </row>
    <row r="3432" spans="1:7" x14ac:dyDescent="0.2">
      <c r="A3432" s="2" t="s">
        <v>3285</v>
      </c>
      <c r="B3432" s="2" t="s">
        <v>65</v>
      </c>
      <c r="C3432" s="2">
        <v>1302.7550000000001</v>
      </c>
      <c r="D3432" s="2">
        <f>HYPERLINK("http://mcb-m6.bioreg.kyushu-u.ac.jp/M3/20110428/F51141/1412/1", 44.7)</f>
        <v>44.7</v>
      </c>
      <c r="E3432" s="2">
        <v>24.56</v>
      </c>
      <c r="F3432" s="2">
        <v>1</v>
      </c>
      <c r="G3432" s="2" t="s">
        <v>14</v>
      </c>
    </row>
    <row r="3433" spans="1:7" x14ac:dyDescent="0.2">
      <c r="A3433" s="2" t="s">
        <v>3285</v>
      </c>
      <c r="B3433" s="2" t="s">
        <v>65</v>
      </c>
      <c r="C3433" s="2">
        <v>1302.69</v>
      </c>
      <c r="D3433" s="2">
        <f>HYPERLINK("http://mcb-m6.bioreg.kyushu-u.ac.jp/M3/20110428/F51142/1582/1", 54.17)</f>
        <v>54.17</v>
      </c>
      <c r="E3433" s="2">
        <v>34.47</v>
      </c>
      <c r="F3433" s="2">
        <v>1</v>
      </c>
      <c r="G3433" s="2" t="s">
        <v>14</v>
      </c>
    </row>
    <row r="3434" spans="1:7" x14ac:dyDescent="0.2">
      <c r="A3434" s="2" t="s">
        <v>3285</v>
      </c>
      <c r="B3434" s="2" t="s">
        <v>65</v>
      </c>
      <c r="C3434" s="2">
        <v>651.99220000000003</v>
      </c>
      <c r="D3434" s="2">
        <f>HYPERLINK("http://mcb-m6.bioreg.kyushu-u.ac.jp/M3/20110428/F51138/1929/1", 60.52)</f>
        <v>60.52</v>
      </c>
      <c r="E3434" s="2">
        <v>38.07</v>
      </c>
      <c r="F3434" s="2">
        <v>2</v>
      </c>
      <c r="G3434" s="2" t="s">
        <v>14</v>
      </c>
    </row>
    <row r="3435" spans="1:7" x14ac:dyDescent="0.2">
      <c r="A3435" s="2" t="s">
        <v>3285</v>
      </c>
      <c r="B3435" s="2" t="s">
        <v>65</v>
      </c>
      <c r="C3435" s="2">
        <v>652.25160000000005</v>
      </c>
      <c r="D3435" s="2">
        <f>HYPERLINK("http://mcb-m6.bioreg.kyushu-u.ac.jp/M3/20110502/F51160/1307/1", 66.42)</f>
        <v>66.42</v>
      </c>
      <c r="E3435" s="2">
        <v>44.85</v>
      </c>
      <c r="F3435" s="2">
        <v>2</v>
      </c>
      <c r="G3435" s="2" t="s">
        <v>14</v>
      </c>
    </row>
    <row r="3436" spans="1:7" x14ac:dyDescent="0.2">
      <c r="A3436" s="2" t="s">
        <v>3285</v>
      </c>
      <c r="B3436" s="2" t="s">
        <v>65</v>
      </c>
      <c r="C3436" s="2">
        <v>651.91110000000003</v>
      </c>
      <c r="D3436" s="2">
        <f>HYPERLINK("http://mcb-m6.bioreg.kyushu-u.ac.jp/M3/20110502/F51161/1501/1", 95)</f>
        <v>95</v>
      </c>
      <c r="E3436" s="2">
        <v>40.33</v>
      </c>
      <c r="F3436" s="2">
        <v>2</v>
      </c>
      <c r="G3436" s="2" t="s">
        <v>14</v>
      </c>
    </row>
    <row r="3437" spans="1:7" x14ac:dyDescent="0.2">
      <c r="A3437" s="2" t="s">
        <v>3285</v>
      </c>
      <c r="B3437" s="2" t="s">
        <v>65</v>
      </c>
      <c r="C3437" s="2">
        <v>652.13570000000004</v>
      </c>
      <c r="D3437" s="2">
        <f>HYPERLINK("http://mcb-m6.bioreg.kyushu-u.ac.jp/M3/20110428/F51141/1417/1", 101.6)</f>
        <v>101.6</v>
      </c>
      <c r="E3437" s="2">
        <v>75.13</v>
      </c>
      <c r="F3437" s="2">
        <v>2</v>
      </c>
      <c r="G3437" s="2" t="s">
        <v>14</v>
      </c>
    </row>
    <row r="3438" spans="1:7" x14ac:dyDescent="0.2">
      <c r="A3438" s="2" t="s">
        <v>3285</v>
      </c>
      <c r="B3438" s="2" t="s">
        <v>65</v>
      </c>
      <c r="C3438" s="2">
        <v>652.25819999999999</v>
      </c>
      <c r="D3438" s="2">
        <f>HYPERLINK("http://mcb-m6.bioreg.kyushu-u.ac.jp/M3/20110502/F51162/1470/1", 108.5)</f>
        <v>108.5</v>
      </c>
      <c r="E3438" s="2">
        <v>74.459999999999994</v>
      </c>
      <c r="F3438" s="2">
        <v>2</v>
      </c>
      <c r="G3438" s="2" t="s">
        <v>14</v>
      </c>
    </row>
    <row r="3439" spans="1:7" x14ac:dyDescent="0.2">
      <c r="A3439" s="2" t="s">
        <v>4301</v>
      </c>
      <c r="B3439" s="2" t="s">
        <v>2054</v>
      </c>
      <c r="C3439" s="2">
        <v>676.36569999999995</v>
      </c>
      <c r="D3439" s="2">
        <f>HYPERLINK("http://mcb-m6.bioreg.kyushu-u.ac.jp/M3/20110418/F50979/1840/1", 66.15)</f>
        <v>66.150000000000006</v>
      </c>
      <c r="E3439" s="2">
        <v>43.5</v>
      </c>
      <c r="F3439" s="2">
        <v>2</v>
      </c>
      <c r="G3439" s="2" t="s">
        <v>11</v>
      </c>
    </row>
    <row r="3440" spans="1:7" x14ac:dyDescent="0.2">
      <c r="A3440" s="2" t="s">
        <v>4301</v>
      </c>
      <c r="B3440" s="2" t="s">
        <v>2054</v>
      </c>
      <c r="C3440" s="2">
        <v>675.80520000000001</v>
      </c>
      <c r="D3440" s="2">
        <f>HYPERLINK("http://mcb-m6.bioreg.kyushu-u.ac.jp/M3/20110418/F50977/1689/1", 71.96)</f>
        <v>71.959999999999994</v>
      </c>
      <c r="E3440" s="2">
        <v>53.07</v>
      </c>
      <c r="F3440" s="2">
        <v>2</v>
      </c>
      <c r="G3440" s="2" t="s">
        <v>11</v>
      </c>
    </row>
    <row r="3441" spans="1:9" x14ac:dyDescent="0.2">
      <c r="A3441" s="2" t="s">
        <v>4132</v>
      </c>
      <c r="B3441" s="2" t="s">
        <v>1662</v>
      </c>
      <c r="C3441" s="2">
        <v>863.81119999999999</v>
      </c>
      <c r="D3441" s="2">
        <f>HYPERLINK("http://mcb-m6.bioreg.kyushu-u.ac.jp/M3/20110318/F50621/1873/1", 72.28)</f>
        <v>72.28</v>
      </c>
      <c r="E3441" s="2">
        <v>50.76</v>
      </c>
      <c r="F3441" s="2">
        <v>2</v>
      </c>
      <c r="G3441" s="2" t="s">
        <v>9</v>
      </c>
    </row>
    <row r="3442" spans="1:9" x14ac:dyDescent="0.2">
      <c r="A3442" s="2" t="s">
        <v>4132</v>
      </c>
      <c r="B3442" s="2" t="s">
        <v>5345</v>
      </c>
      <c r="C3442" s="2">
        <v>578.92570000000001</v>
      </c>
      <c r="D3442" s="2">
        <f>HYPERLINK("http://mcb-m6.bioreg.kyushu-u.ac.jp/M3/20110318/F50617/1171/1", 80.76)</f>
        <v>80.760000000000005</v>
      </c>
      <c r="E3442" s="2">
        <v>65.64</v>
      </c>
      <c r="F3442" s="2">
        <v>2</v>
      </c>
      <c r="G3442" s="2" t="s">
        <v>10</v>
      </c>
    </row>
    <row r="3443" spans="1:9" x14ac:dyDescent="0.2">
      <c r="A3443" s="2" t="s">
        <v>4132</v>
      </c>
      <c r="B3443" s="2" t="s">
        <v>1662</v>
      </c>
      <c r="C3443" s="2">
        <v>863.68269999999995</v>
      </c>
      <c r="D3443" s="2">
        <f>HYPERLINK("http://mcb-m6.bioreg.kyushu-u.ac.jp/M3/20110318/F50617/1968/1", 129.44)</f>
        <v>129.44</v>
      </c>
      <c r="E3443" s="2">
        <v>99.8</v>
      </c>
      <c r="F3443" s="2">
        <v>2</v>
      </c>
      <c r="G3443" s="2" t="s">
        <v>10</v>
      </c>
    </row>
    <row r="3444" spans="1:9" x14ac:dyDescent="0.2">
      <c r="A3444" s="2" t="s">
        <v>4132</v>
      </c>
      <c r="B3444" s="2" t="s">
        <v>1662</v>
      </c>
      <c r="C3444" s="2">
        <v>864.26009999999997</v>
      </c>
      <c r="D3444" s="2">
        <f>HYPERLINK("http://mcb-m6.bioreg.kyushu-u.ac.jp/M3/20110318/F50617/1970/1", 136.29)</f>
        <v>136.29</v>
      </c>
      <c r="E3444" s="2">
        <v>100.13</v>
      </c>
      <c r="F3444" s="2">
        <v>2</v>
      </c>
      <c r="G3444" s="2" t="s">
        <v>10</v>
      </c>
    </row>
    <row r="3445" spans="1:9" x14ac:dyDescent="0.2">
      <c r="A3445" s="2" t="s">
        <v>3346</v>
      </c>
      <c r="B3445" s="2" t="s">
        <v>135</v>
      </c>
      <c r="C3445" s="2">
        <v>1106.7670000000001</v>
      </c>
      <c r="D3445" s="2">
        <f>HYPERLINK("http://mcb-m6.bioreg.kyushu-u.ac.jp/M3/20110428/F51147/2905/1", 50.63)</f>
        <v>50.63</v>
      </c>
      <c r="E3445" s="2">
        <v>10.119999999999999</v>
      </c>
      <c r="F3445" s="2">
        <v>2</v>
      </c>
      <c r="G3445" s="2" t="s">
        <v>13</v>
      </c>
    </row>
    <row r="3446" spans="1:9" x14ac:dyDescent="0.2">
      <c r="A3446" s="2" t="s">
        <v>3615</v>
      </c>
      <c r="B3446" s="2" t="s">
        <v>521</v>
      </c>
      <c r="C3446" s="2">
        <v>711.15009999999995</v>
      </c>
      <c r="D3446" s="2">
        <f>HYPERLINK("http://mcb-m6.bioreg.kyushu-u.ac.jp/M3/20110318/F50605/1439/1", 36.82)</f>
        <v>36.82</v>
      </c>
      <c r="E3446" s="2">
        <v>21.73</v>
      </c>
      <c r="F3446" s="2">
        <v>2</v>
      </c>
      <c r="G3446" s="2" t="s">
        <v>9</v>
      </c>
    </row>
    <row r="3447" spans="1:9" x14ac:dyDescent="0.2">
      <c r="A3447" s="2" t="s">
        <v>3615</v>
      </c>
      <c r="B3447" s="2" t="s">
        <v>521</v>
      </c>
      <c r="C3447" s="2">
        <v>710.69920000000002</v>
      </c>
      <c r="D3447" s="2">
        <f>HYPERLINK("http://mcb-m6.bioreg.kyushu-u.ac.jp/M3/20110318/F50618/1438/1", 41.47)</f>
        <v>41.47</v>
      </c>
      <c r="E3447" s="2">
        <v>30.44</v>
      </c>
      <c r="F3447" s="2">
        <v>2</v>
      </c>
      <c r="G3447" s="2" t="s">
        <v>9</v>
      </c>
    </row>
    <row r="3448" spans="1:9" x14ac:dyDescent="0.2">
      <c r="A3448" s="2" t="s">
        <v>3615</v>
      </c>
      <c r="B3448" s="2" t="s">
        <v>521</v>
      </c>
      <c r="C3448" s="2">
        <v>711.01620000000003</v>
      </c>
      <c r="D3448" s="2">
        <f>HYPERLINK("http://mcb-m6.bioreg.kyushu-u.ac.jp/M3/20110318/F50613/1484/1", 42.79)</f>
        <v>42.79</v>
      </c>
      <c r="E3448" s="2">
        <v>28.88</v>
      </c>
      <c r="F3448" s="2">
        <v>2</v>
      </c>
      <c r="G3448" s="2" t="s">
        <v>10</v>
      </c>
    </row>
    <row r="3449" spans="1:9" x14ac:dyDescent="0.2">
      <c r="A3449" s="2" t="s">
        <v>3615</v>
      </c>
      <c r="B3449" s="2" t="s">
        <v>521</v>
      </c>
      <c r="C3449" s="2">
        <v>711.17769999999996</v>
      </c>
      <c r="D3449" s="2">
        <f>HYPERLINK("http://mcb-m6.bioreg.kyushu-u.ac.jp/M3/20110418/F50996/1912/1", 45.56)</f>
        <v>45.56</v>
      </c>
      <c r="E3449" s="2">
        <v>37.909999999999997</v>
      </c>
      <c r="F3449" s="2">
        <v>2</v>
      </c>
      <c r="G3449" s="2" t="s">
        <v>11</v>
      </c>
    </row>
    <row r="3450" spans="1:9" x14ac:dyDescent="0.2">
      <c r="A3450" s="2" t="s">
        <v>3615</v>
      </c>
      <c r="B3450" s="2" t="s">
        <v>521</v>
      </c>
      <c r="C3450" s="2">
        <v>711.15809999999999</v>
      </c>
      <c r="D3450" s="2">
        <f>HYPERLINK("http://mcb-m6.bioreg.kyushu-u.ac.jp/M3/20110418/F50982/2077/1", 55.32)</f>
        <v>55.32</v>
      </c>
      <c r="E3450" s="2">
        <v>44.86</v>
      </c>
      <c r="F3450" s="2">
        <v>2</v>
      </c>
      <c r="G3450" s="2" t="s">
        <v>12</v>
      </c>
    </row>
    <row r="3451" spans="1:9" x14ac:dyDescent="0.2">
      <c r="A3451" s="2" t="s">
        <v>3615</v>
      </c>
      <c r="B3451" s="2" t="s">
        <v>521</v>
      </c>
      <c r="C3451" s="2">
        <v>710.96870000000001</v>
      </c>
      <c r="D3451" s="2">
        <f>HYPERLINK("http://mcb-m6.bioreg.kyushu-u.ac.jp/M3/20110429/F51155/2077/1", 48.48)</f>
        <v>48.48</v>
      </c>
      <c r="E3451" s="2">
        <v>34.75</v>
      </c>
      <c r="F3451" s="2">
        <v>2</v>
      </c>
      <c r="G3451" s="2" t="s">
        <v>13</v>
      </c>
    </row>
    <row r="3452" spans="1:9" x14ac:dyDescent="0.2">
      <c r="A3452" s="2" t="s">
        <v>3615</v>
      </c>
      <c r="B3452" s="2" t="s">
        <v>521</v>
      </c>
      <c r="C3452" s="2">
        <v>711.34969999999998</v>
      </c>
      <c r="D3452" s="2">
        <f>HYPERLINK("http://mcb-m6.bioreg.kyushu-u.ac.jp/M3/20110428/F51142/1884/1", 51.55)</f>
        <v>51.55</v>
      </c>
      <c r="E3452" s="2">
        <v>37.700000000000003</v>
      </c>
      <c r="F3452" s="2">
        <v>2</v>
      </c>
      <c r="G3452" s="2" t="s">
        <v>14</v>
      </c>
    </row>
    <row r="3453" spans="1:9" x14ac:dyDescent="0.2">
      <c r="A3453" s="2" t="s">
        <v>3919</v>
      </c>
      <c r="B3453" s="2" t="s">
        <v>5005</v>
      </c>
      <c r="C3453" s="2">
        <v>583.81150000000002</v>
      </c>
      <c r="D3453" s="2">
        <f>HYPERLINK("http://mcb-m6.bioreg.kyushu-u.ac.jp/M3/20110318/F50618/2236/1", 37.6)</f>
        <v>37.6</v>
      </c>
      <c r="E3453" s="2">
        <v>16.68</v>
      </c>
      <c r="F3453" s="2">
        <v>3</v>
      </c>
      <c r="G3453" s="2" t="s">
        <v>9</v>
      </c>
      <c r="I3453" s="2" t="s">
        <v>5884</v>
      </c>
    </row>
    <row r="3454" spans="1:9" x14ac:dyDescent="0.2">
      <c r="A3454" s="2" t="s">
        <v>3919</v>
      </c>
      <c r="B3454" s="2" t="s">
        <v>1094</v>
      </c>
      <c r="C3454" s="2">
        <v>740.29060000000004</v>
      </c>
      <c r="D3454" s="2">
        <f>HYPERLINK("http://mcb-m6.bioreg.kyushu-u.ac.jp/M3/20110318/F50618/1594/1", 56.5)</f>
        <v>56.5</v>
      </c>
      <c r="E3454" s="2">
        <v>28.99</v>
      </c>
      <c r="F3454" s="2">
        <v>2</v>
      </c>
      <c r="G3454" s="2" t="s">
        <v>9</v>
      </c>
    </row>
    <row r="3455" spans="1:9" x14ac:dyDescent="0.2">
      <c r="A3455" s="2" t="s">
        <v>3919</v>
      </c>
      <c r="B3455" s="2" t="s">
        <v>5005</v>
      </c>
      <c r="C3455" s="2">
        <v>875.74270000000001</v>
      </c>
      <c r="D3455" s="2">
        <f>HYPERLINK("http://mcb-m6.bioreg.kyushu-u.ac.jp/M3/20110318/F50618/2238/1", 77.93)</f>
        <v>77.930000000000007</v>
      </c>
      <c r="E3455" s="2">
        <v>60.36</v>
      </c>
      <c r="F3455" s="2">
        <v>2</v>
      </c>
      <c r="G3455" s="2" t="s">
        <v>9</v>
      </c>
      <c r="I3455" s="2" t="s">
        <v>5884</v>
      </c>
    </row>
    <row r="3456" spans="1:9" x14ac:dyDescent="0.2">
      <c r="A3456" s="2" t="s">
        <v>3919</v>
      </c>
      <c r="B3456" s="2" t="s">
        <v>1094</v>
      </c>
      <c r="C3456" s="2">
        <v>740.82420000000002</v>
      </c>
      <c r="D3456" s="2">
        <f>HYPERLINK("http://mcb-m6.bioreg.kyushu-u.ac.jp/M3/20110318/F50618/1599/1", 92.97)</f>
        <v>92.97</v>
      </c>
      <c r="E3456" s="2">
        <v>68.849999999999994</v>
      </c>
      <c r="F3456" s="2">
        <v>2</v>
      </c>
      <c r="G3456" s="2" t="s">
        <v>9</v>
      </c>
    </row>
    <row r="3457" spans="1:7" x14ac:dyDescent="0.2">
      <c r="A3457" s="2" t="s">
        <v>3919</v>
      </c>
      <c r="B3457" s="2" t="s">
        <v>1094</v>
      </c>
      <c r="C3457" s="2">
        <v>740.44460000000004</v>
      </c>
      <c r="D3457" s="2">
        <f>HYPERLINK("http://mcb-m6.bioreg.kyushu-u.ac.jp/M3/20110318/F50596/1631/1", 67.78)</f>
        <v>67.78</v>
      </c>
      <c r="E3457" s="2">
        <v>43.34</v>
      </c>
      <c r="F3457" s="2">
        <v>2</v>
      </c>
      <c r="G3457" s="2" t="s">
        <v>10</v>
      </c>
    </row>
    <row r="3458" spans="1:7" x14ac:dyDescent="0.2">
      <c r="A3458" s="2" t="s">
        <v>3919</v>
      </c>
      <c r="B3458" s="2" t="s">
        <v>1094</v>
      </c>
      <c r="C3458" s="2">
        <v>740.42110000000002</v>
      </c>
      <c r="D3458" s="2">
        <f>HYPERLINK("http://mcb-m6.bioreg.kyushu-u.ac.jp/M3/20110318/F50614/1679/1", 83.71)</f>
        <v>83.71</v>
      </c>
      <c r="E3458" s="2">
        <v>60.25</v>
      </c>
      <c r="F3458" s="2">
        <v>2</v>
      </c>
      <c r="G3458" s="2" t="s">
        <v>10</v>
      </c>
    </row>
    <row r="3459" spans="1:7" x14ac:dyDescent="0.2">
      <c r="A3459" s="2" t="s">
        <v>3919</v>
      </c>
      <c r="B3459" s="2" t="s">
        <v>1094</v>
      </c>
      <c r="C3459" s="2">
        <v>740.30970000000002</v>
      </c>
      <c r="D3459" s="2">
        <f>HYPERLINK("http://mcb-m6.bioreg.kyushu-u.ac.jp/M3/20110418/F50999/2004/1", 44.31)</f>
        <v>44.31</v>
      </c>
      <c r="E3459" s="2">
        <v>28.78</v>
      </c>
      <c r="F3459" s="2">
        <v>2</v>
      </c>
      <c r="G3459" s="2" t="s">
        <v>11</v>
      </c>
    </row>
    <row r="3460" spans="1:7" x14ac:dyDescent="0.2">
      <c r="A3460" s="2" t="s">
        <v>3919</v>
      </c>
      <c r="B3460" s="2" t="s">
        <v>1094</v>
      </c>
      <c r="C3460" s="2">
        <v>740.36969999999997</v>
      </c>
      <c r="D3460" s="2">
        <f>HYPERLINK("http://mcb-m6.bioreg.kyushu-u.ac.jp/M3/20110418/F50976/1986/1", 54.96)</f>
        <v>54.96</v>
      </c>
      <c r="E3460" s="2">
        <v>41.63</v>
      </c>
      <c r="F3460" s="2">
        <v>2</v>
      </c>
      <c r="G3460" s="2" t="s">
        <v>11</v>
      </c>
    </row>
    <row r="3461" spans="1:7" x14ac:dyDescent="0.2">
      <c r="A3461" s="2" t="s">
        <v>3919</v>
      </c>
      <c r="B3461" s="2" t="s">
        <v>1094</v>
      </c>
      <c r="C3461" s="2">
        <v>740.70719999999994</v>
      </c>
      <c r="D3461" s="2">
        <f>HYPERLINK("http://mcb-m6.bioreg.kyushu-u.ac.jp/M3/20110418/F50999/2010/1", 64.15)</f>
        <v>64.150000000000006</v>
      </c>
      <c r="E3461" s="2">
        <v>47.09</v>
      </c>
      <c r="F3461" s="2">
        <v>2</v>
      </c>
      <c r="G3461" s="2" t="s">
        <v>11</v>
      </c>
    </row>
    <row r="3462" spans="1:7" x14ac:dyDescent="0.2">
      <c r="A3462" s="2" t="s">
        <v>3919</v>
      </c>
      <c r="B3462" s="2" t="s">
        <v>1094</v>
      </c>
      <c r="C3462" s="2">
        <v>740.37620000000004</v>
      </c>
      <c r="D3462" s="2">
        <f>HYPERLINK("http://mcb-m6.bioreg.kyushu-u.ac.jp/M3/20110502/F51164/1719/1", 38.25)</f>
        <v>38.25</v>
      </c>
      <c r="E3462" s="2">
        <v>23.99</v>
      </c>
      <c r="F3462" s="2">
        <v>2</v>
      </c>
      <c r="G3462" s="2" t="s">
        <v>13</v>
      </c>
    </row>
    <row r="3463" spans="1:7" x14ac:dyDescent="0.2">
      <c r="A3463" s="2" t="s">
        <v>3919</v>
      </c>
      <c r="B3463" s="2" t="s">
        <v>1094</v>
      </c>
      <c r="C3463" s="2">
        <v>740.49570000000006</v>
      </c>
      <c r="D3463" s="2">
        <f>HYPERLINK("http://mcb-m6.bioreg.kyushu-u.ac.jp/M3/20110502/F51163/1778/1", 38.76)</f>
        <v>38.76</v>
      </c>
      <c r="E3463" s="2">
        <v>28.18</v>
      </c>
      <c r="F3463" s="2">
        <v>2</v>
      </c>
      <c r="G3463" s="2" t="s">
        <v>13</v>
      </c>
    </row>
    <row r="3464" spans="1:7" x14ac:dyDescent="0.2">
      <c r="A3464" s="2" t="s">
        <v>3919</v>
      </c>
      <c r="B3464" s="2" t="s">
        <v>1094</v>
      </c>
      <c r="C3464" s="2">
        <v>740.9606</v>
      </c>
      <c r="D3464" s="2">
        <f>HYPERLINK("http://mcb-m6.bioreg.kyushu-u.ac.jp/M3/20110429/F51153/1962/1", 40.78)</f>
        <v>40.78</v>
      </c>
      <c r="E3464" s="2">
        <v>18.97</v>
      </c>
      <c r="F3464" s="2">
        <v>2</v>
      </c>
      <c r="G3464" s="2" t="s">
        <v>13</v>
      </c>
    </row>
    <row r="3465" spans="1:7" x14ac:dyDescent="0.2">
      <c r="A3465" s="2" t="s">
        <v>3919</v>
      </c>
      <c r="B3465" s="2" t="s">
        <v>1094</v>
      </c>
      <c r="C3465" s="2">
        <v>740.46510000000001</v>
      </c>
      <c r="D3465" s="2">
        <f>HYPERLINK("http://mcb-m6.bioreg.kyushu-u.ac.jp/M3/20110502/F51163/1777/1", 45.38)</f>
        <v>45.38</v>
      </c>
      <c r="E3465" s="2">
        <v>32.03</v>
      </c>
      <c r="F3465" s="2">
        <v>2</v>
      </c>
      <c r="G3465" s="2" t="s">
        <v>13</v>
      </c>
    </row>
    <row r="3466" spans="1:7" x14ac:dyDescent="0.2">
      <c r="A3466" s="2" t="s">
        <v>3919</v>
      </c>
      <c r="B3466" s="2" t="s">
        <v>1094</v>
      </c>
      <c r="C3466" s="2">
        <v>740.79319999999996</v>
      </c>
      <c r="D3466" s="2">
        <f>HYPERLINK("http://mcb-m6.bioreg.kyushu-u.ac.jp/M3/20110502/F51163/1791/1", 49.37)</f>
        <v>49.37</v>
      </c>
      <c r="E3466" s="2">
        <v>22.09</v>
      </c>
      <c r="F3466" s="2">
        <v>2</v>
      </c>
      <c r="G3466" s="2" t="s">
        <v>13</v>
      </c>
    </row>
    <row r="3467" spans="1:7" x14ac:dyDescent="0.2">
      <c r="A3467" s="2" t="s">
        <v>3919</v>
      </c>
      <c r="B3467" s="2" t="s">
        <v>1094</v>
      </c>
      <c r="C3467" s="2">
        <v>740.83069999999998</v>
      </c>
      <c r="D3467" s="2">
        <f>HYPERLINK("http://mcb-m6.bioreg.kyushu-u.ac.jp/M3/20110502/F51163/1792/1", 49.99)</f>
        <v>49.99</v>
      </c>
      <c r="E3467" s="2">
        <v>19.690000000000001</v>
      </c>
      <c r="F3467" s="2">
        <v>2</v>
      </c>
      <c r="G3467" s="2" t="s">
        <v>13</v>
      </c>
    </row>
    <row r="3468" spans="1:7" x14ac:dyDescent="0.2">
      <c r="A3468" s="2" t="s">
        <v>3919</v>
      </c>
      <c r="B3468" s="2" t="s">
        <v>1094</v>
      </c>
      <c r="C3468" s="2">
        <v>740.32119999999998</v>
      </c>
      <c r="D3468" s="2">
        <f>HYPERLINK("http://mcb-m6.bioreg.kyushu-u.ac.jp/M3/20110502/F51163/1773/1", 53.7)</f>
        <v>53.7</v>
      </c>
      <c r="E3468" s="2">
        <v>32.549999999999997</v>
      </c>
      <c r="F3468" s="2">
        <v>2</v>
      </c>
      <c r="G3468" s="2" t="s">
        <v>13</v>
      </c>
    </row>
    <row r="3469" spans="1:7" x14ac:dyDescent="0.2">
      <c r="A3469" s="2" t="s">
        <v>3919</v>
      </c>
      <c r="B3469" s="2" t="s">
        <v>1094</v>
      </c>
      <c r="C3469" s="2">
        <v>740.91420000000005</v>
      </c>
      <c r="D3469" s="2">
        <f>HYPERLINK("http://mcb-m6.bioreg.kyushu-u.ac.jp/M3/20110429/F51153/1960/1", 57.68)</f>
        <v>57.68</v>
      </c>
      <c r="E3469" s="2">
        <v>37.81</v>
      </c>
      <c r="F3469" s="2">
        <v>2</v>
      </c>
      <c r="G3469" s="2" t="s">
        <v>13</v>
      </c>
    </row>
    <row r="3470" spans="1:7" x14ac:dyDescent="0.2">
      <c r="A3470" s="2" t="s">
        <v>3919</v>
      </c>
      <c r="B3470" s="2" t="s">
        <v>1094</v>
      </c>
      <c r="C3470" s="2">
        <v>740.96420000000001</v>
      </c>
      <c r="D3470" s="2">
        <f>HYPERLINK("http://mcb-m6.bioreg.kyushu-u.ac.jp/M3/20110429/F51157/1749/1", 58.56)</f>
        <v>58.56</v>
      </c>
      <c r="E3470" s="2">
        <v>41.13</v>
      </c>
      <c r="F3470" s="2">
        <v>2</v>
      </c>
      <c r="G3470" s="2" t="s">
        <v>13</v>
      </c>
    </row>
    <row r="3471" spans="1:7" x14ac:dyDescent="0.2">
      <c r="A3471" s="2" t="s">
        <v>3919</v>
      </c>
      <c r="B3471" s="2" t="s">
        <v>1094</v>
      </c>
      <c r="C3471" s="2">
        <v>740.78269999999998</v>
      </c>
      <c r="D3471" s="2">
        <f>HYPERLINK("http://mcb-m6.bioreg.kyushu-u.ac.jp/M3/20110429/F51151/2130/1", 62.98)</f>
        <v>62.98</v>
      </c>
      <c r="E3471" s="2">
        <v>42.9</v>
      </c>
      <c r="F3471" s="2">
        <v>2</v>
      </c>
      <c r="G3471" s="2" t="s">
        <v>13</v>
      </c>
    </row>
    <row r="3472" spans="1:7" x14ac:dyDescent="0.2">
      <c r="A3472" s="2" t="s">
        <v>3919</v>
      </c>
      <c r="B3472" s="2" t="s">
        <v>1094</v>
      </c>
      <c r="C3472" s="2">
        <v>740.87919999999997</v>
      </c>
      <c r="D3472" s="2">
        <f>HYPERLINK("http://mcb-m6.bioreg.kyushu-u.ac.jp/M3/20110429/F51155/2218/1", 63.99)</f>
        <v>63.99</v>
      </c>
      <c r="E3472" s="2">
        <v>42.87</v>
      </c>
      <c r="F3472" s="2">
        <v>2</v>
      </c>
      <c r="G3472" s="2" t="s">
        <v>13</v>
      </c>
    </row>
    <row r="3473" spans="1:7" x14ac:dyDescent="0.2">
      <c r="A3473" s="2" t="s">
        <v>3919</v>
      </c>
      <c r="B3473" s="2" t="s">
        <v>1094</v>
      </c>
      <c r="C3473" s="2">
        <v>740.5942</v>
      </c>
      <c r="D3473" s="2">
        <f>HYPERLINK("http://mcb-m6.bioreg.kyushu-u.ac.jp/M3/20110502/F51163/1782/1", 65.39)</f>
        <v>65.39</v>
      </c>
      <c r="E3473" s="2">
        <v>31.63</v>
      </c>
      <c r="F3473" s="2">
        <v>2</v>
      </c>
      <c r="G3473" s="2" t="s">
        <v>13</v>
      </c>
    </row>
    <row r="3474" spans="1:7" x14ac:dyDescent="0.2">
      <c r="A3474" s="2" t="s">
        <v>3919</v>
      </c>
      <c r="B3474" s="2" t="s">
        <v>1094</v>
      </c>
      <c r="C3474" s="2">
        <v>740.93960000000004</v>
      </c>
      <c r="D3474" s="2">
        <f>HYPERLINK("http://mcb-m6.bioreg.kyushu-u.ac.jp/M3/20110502/F51163/1794/1", 67.93)</f>
        <v>67.930000000000007</v>
      </c>
      <c r="E3474" s="2">
        <v>39</v>
      </c>
      <c r="F3474" s="2">
        <v>2</v>
      </c>
      <c r="G3474" s="2" t="s">
        <v>13</v>
      </c>
    </row>
    <row r="3475" spans="1:7" x14ac:dyDescent="0.2">
      <c r="A3475" s="2" t="s">
        <v>3919</v>
      </c>
      <c r="B3475" s="2" t="s">
        <v>1094</v>
      </c>
      <c r="C3475" s="2">
        <v>740.63570000000004</v>
      </c>
      <c r="D3475" s="2">
        <f>HYPERLINK("http://mcb-m6.bioreg.kyushu-u.ac.jp/M3/20110502/F51164/1724/1", 68.46)</f>
        <v>68.459999999999994</v>
      </c>
      <c r="E3475" s="2">
        <v>44.11</v>
      </c>
      <c r="F3475" s="2">
        <v>2</v>
      </c>
      <c r="G3475" s="2" t="s">
        <v>13</v>
      </c>
    </row>
    <row r="3476" spans="1:7" x14ac:dyDescent="0.2">
      <c r="A3476" s="2" t="s">
        <v>3919</v>
      </c>
      <c r="B3476" s="2" t="s">
        <v>1094</v>
      </c>
      <c r="C3476" s="2">
        <v>740.84770000000003</v>
      </c>
      <c r="D3476" s="2">
        <f>HYPERLINK("http://mcb-m6.bioreg.kyushu-u.ac.jp/M3/20110502/F51164/1732/1", 68.54)</f>
        <v>68.540000000000006</v>
      </c>
      <c r="E3476" s="2">
        <v>49.09</v>
      </c>
      <c r="F3476" s="2">
        <v>2</v>
      </c>
      <c r="G3476" s="2" t="s">
        <v>13</v>
      </c>
    </row>
    <row r="3477" spans="1:7" x14ac:dyDescent="0.2">
      <c r="A3477" s="2" t="s">
        <v>3919</v>
      </c>
      <c r="B3477" s="2" t="s">
        <v>1094</v>
      </c>
      <c r="C3477" s="2">
        <v>740.56020000000001</v>
      </c>
      <c r="D3477" s="2">
        <f>HYPERLINK("http://mcb-m6.bioreg.kyushu-u.ac.jp/M3/20110502/F51163/1781/1", 70.37)</f>
        <v>70.37</v>
      </c>
      <c r="E3477" s="2">
        <v>41.77</v>
      </c>
      <c r="F3477" s="2">
        <v>2</v>
      </c>
      <c r="G3477" s="2" t="s">
        <v>13</v>
      </c>
    </row>
    <row r="3478" spans="1:7" x14ac:dyDescent="0.2">
      <c r="A3478" s="2" t="s">
        <v>3919</v>
      </c>
      <c r="B3478" s="2" t="s">
        <v>1094</v>
      </c>
      <c r="C3478" s="2">
        <v>740.86469999999997</v>
      </c>
      <c r="D3478" s="2">
        <f>HYPERLINK("http://mcb-m6.bioreg.kyushu-u.ac.jp/M3/20110429/F51154/2007/1", 71.41)</f>
        <v>71.41</v>
      </c>
      <c r="E3478" s="2">
        <v>51.08</v>
      </c>
      <c r="F3478" s="2">
        <v>2</v>
      </c>
      <c r="G3478" s="2" t="s">
        <v>13</v>
      </c>
    </row>
    <row r="3479" spans="1:7" x14ac:dyDescent="0.2">
      <c r="A3479" s="2" t="s">
        <v>3919</v>
      </c>
      <c r="B3479" s="2" t="s">
        <v>1094</v>
      </c>
      <c r="C3479" s="2">
        <v>740.39419999999996</v>
      </c>
      <c r="D3479" s="2">
        <f>HYPERLINK("http://mcb-m6.bioreg.kyushu-u.ac.jp/M3/20110502/F51163/1774/1", 76.66)</f>
        <v>76.66</v>
      </c>
      <c r="E3479" s="2">
        <v>45.51</v>
      </c>
      <c r="F3479" s="2">
        <v>2</v>
      </c>
      <c r="G3479" s="2" t="s">
        <v>13</v>
      </c>
    </row>
    <row r="3480" spans="1:7" x14ac:dyDescent="0.2">
      <c r="A3480" s="2" t="s">
        <v>3919</v>
      </c>
      <c r="B3480" s="2" t="s">
        <v>1094</v>
      </c>
      <c r="C3480" s="2">
        <v>740.70209999999997</v>
      </c>
      <c r="D3480" s="2">
        <f>HYPERLINK("http://mcb-m6.bioreg.kyushu-u.ac.jp/M3/20110502/F51163/1788/1", 78.67)</f>
        <v>78.67</v>
      </c>
      <c r="E3480" s="2">
        <v>55.76</v>
      </c>
      <c r="F3480" s="2">
        <v>2</v>
      </c>
      <c r="G3480" s="2" t="s">
        <v>13</v>
      </c>
    </row>
    <row r="3481" spans="1:7" x14ac:dyDescent="0.2">
      <c r="A3481" s="2" t="s">
        <v>3919</v>
      </c>
      <c r="B3481" s="2" t="s">
        <v>1094</v>
      </c>
      <c r="C3481" s="2">
        <v>740.51369999999997</v>
      </c>
      <c r="D3481" s="2">
        <f>HYPERLINK("http://mcb-m6.bioreg.kyushu-u.ac.jp/M3/20110502/F51164/1723/1", 79.47)</f>
        <v>79.47</v>
      </c>
      <c r="E3481" s="2">
        <v>53.78</v>
      </c>
      <c r="F3481" s="2">
        <v>2</v>
      </c>
      <c r="G3481" s="2" t="s">
        <v>13</v>
      </c>
    </row>
    <row r="3482" spans="1:7" x14ac:dyDescent="0.2">
      <c r="A3482" s="2" t="s">
        <v>3919</v>
      </c>
      <c r="B3482" s="2" t="s">
        <v>1094</v>
      </c>
      <c r="C3482" s="2">
        <v>740.79420000000005</v>
      </c>
      <c r="D3482" s="2">
        <f>HYPERLINK("http://mcb-m6.bioreg.kyushu-u.ac.jp/M3/20110429/F51152/1958/1", 83.39)</f>
        <v>83.39</v>
      </c>
      <c r="E3482" s="2">
        <v>62.75</v>
      </c>
      <c r="F3482" s="2">
        <v>2</v>
      </c>
      <c r="G3482" s="2" t="s">
        <v>13</v>
      </c>
    </row>
    <row r="3483" spans="1:7" x14ac:dyDescent="0.2">
      <c r="A3483" s="2" t="s">
        <v>3919</v>
      </c>
      <c r="B3483" s="2" t="s">
        <v>1094</v>
      </c>
      <c r="C3483" s="2">
        <v>740.40470000000005</v>
      </c>
      <c r="D3483" s="2">
        <f>HYPERLINK("http://mcb-m6.bioreg.kyushu-u.ac.jp/M3/20110502/F51163/1775/1", 83.77)</f>
        <v>83.77</v>
      </c>
      <c r="E3483" s="2">
        <v>57.23</v>
      </c>
      <c r="F3483" s="2">
        <v>2</v>
      </c>
      <c r="G3483" s="2" t="s">
        <v>13</v>
      </c>
    </row>
    <row r="3484" spans="1:7" x14ac:dyDescent="0.2">
      <c r="A3484" s="2" t="s">
        <v>3919</v>
      </c>
      <c r="B3484" s="2" t="s">
        <v>1094</v>
      </c>
      <c r="C3484" s="2">
        <v>740.48770000000002</v>
      </c>
      <c r="D3484" s="2">
        <f>HYPERLINK("http://mcb-m6.bioreg.kyushu-u.ac.jp/M3/20110502/F51164/1721/1", 88.91)</f>
        <v>88.91</v>
      </c>
      <c r="E3484" s="2">
        <v>58.28</v>
      </c>
      <c r="F3484" s="2">
        <v>2</v>
      </c>
      <c r="G3484" s="2" t="s">
        <v>13</v>
      </c>
    </row>
    <row r="3485" spans="1:7" x14ac:dyDescent="0.2">
      <c r="A3485" s="2" t="s">
        <v>3919</v>
      </c>
      <c r="B3485" s="2" t="s">
        <v>1094</v>
      </c>
      <c r="C3485" s="2">
        <v>740.54669999999999</v>
      </c>
      <c r="D3485" s="2">
        <f>HYPERLINK("http://mcb-m6.bioreg.kyushu-u.ac.jp/M3/20110502/F51163/1780/1", 89.42)</f>
        <v>89.42</v>
      </c>
      <c r="E3485" s="2">
        <v>57.89</v>
      </c>
      <c r="F3485" s="2">
        <v>2</v>
      </c>
      <c r="G3485" s="2" t="s">
        <v>13</v>
      </c>
    </row>
    <row r="3486" spans="1:7" x14ac:dyDescent="0.2">
      <c r="A3486" s="2" t="s">
        <v>3919</v>
      </c>
      <c r="B3486" s="2" t="s">
        <v>1094</v>
      </c>
      <c r="C3486" s="2">
        <v>740.40009999999995</v>
      </c>
      <c r="D3486" s="2">
        <f>HYPERLINK("http://mcb-m6.bioreg.kyushu-u.ac.jp/M3/20110429/F51157/1742/1", 90.45)</f>
        <v>90.45</v>
      </c>
      <c r="E3486" s="2">
        <v>58.22</v>
      </c>
      <c r="F3486" s="2">
        <v>2</v>
      </c>
      <c r="G3486" s="2" t="s">
        <v>13</v>
      </c>
    </row>
    <row r="3487" spans="1:7" x14ac:dyDescent="0.2">
      <c r="A3487" s="2" t="s">
        <v>3919</v>
      </c>
      <c r="B3487" s="2" t="s">
        <v>1094</v>
      </c>
      <c r="C3487" s="2">
        <v>740.65470000000005</v>
      </c>
      <c r="D3487" s="2">
        <f>HYPERLINK("http://mcb-m6.bioreg.kyushu-u.ac.jp/M3/20110502/F51164/1727/1", 92.16)</f>
        <v>92.16</v>
      </c>
      <c r="E3487" s="2">
        <v>61.2</v>
      </c>
      <c r="F3487" s="2">
        <v>2</v>
      </c>
      <c r="G3487" s="2" t="s">
        <v>13</v>
      </c>
    </row>
    <row r="3488" spans="1:7" x14ac:dyDescent="0.2">
      <c r="A3488" s="2" t="s">
        <v>3919</v>
      </c>
      <c r="B3488" s="2" t="s">
        <v>1094</v>
      </c>
      <c r="C3488" s="2">
        <v>740.73860000000002</v>
      </c>
      <c r="D3488" s="2">
        <f>HYPERLINK("http://mcb-m6.bioreg.kyushu-u.ac.jp/M3/20110502/F51164/1728/1", 92.22)</f>
        <v>92.22</v>
      </c>
      <c r="E3488" s="2">
        <v>59.7</v>
      </c>
      <c r="F3488" s="2">
        <v>2</v>
      </c>
      <c r="G3488" s="2" t="s">
        <v>13</v>
      </c>
    </row>
    <row r="3489" spans="1:7" x14ac:dyDescent="0.2">
      <c r="A3489" s="2" t="s">
        <v>3919</v>
      </c>
      <c r="B3489" s="2" t="s">
        <v>1094</v>
      </c>
      <c r="C3489" s="2">
        <v>740.9692</v>
      </c>
      <c r="D3489" s="2">
        <f>HYPERLINK("http://mcb-m6.bioreg.kyushu-u.ac.jp/M3/20110502/F51163/1795/1", 92.74)</f>
        <v>92.74</v>
      </c>
      <c r="E3489" s="2">
        <v>58.3</v>
      </c>
      <c r="F3489" s="2">
        <v>2</v>
      </c>
      <c r="G3489" s="2" t="s">
        <v>13</v>
      </c>
    </row>
    <row r="3490" spans="1:7" x14ac:dyDescent="0.2">
      <c r="A3490" s="2" t="s">
        <v>3919</v>
      </c>
      <c r="B3490" s="2" t="s">
        <v>1094</v>
      </c>
      <c r="C3490" s="2">
        <v>740.73270000000002</v>
      </c>
      <c r="D3490" s="2">
        <f>HYPERLINK("http://mcb-m6.bioreg.kyushu-u.ac.jp/M3/20110502/F51163/1789/1", 95.25)</f>
        <v>95.25</v>
      </c>
      <c r="E3490" s="2">
        <v>58.89</v>
      </c>
      <c r="F3490" s="2">
        <v>2</v>
      </c>
      <c r="G3490" s="2" t="s">
        <v>13</v>
      </c>
    </row>
    <row r="3491" spans="1:7" x14ac:dyDescent="0.2">
      <c r="A3491" s="2" t="s">
        <v>3919</v>
      </c>
      <c r="B3491" s="2" t="s">
        <v>1094</v>
      </c>
      <c r="C3491" s="2">
        <v>740.55269999999996</v>
      </c>
      <c r="D3491" s="2">
        <f>HYPERLINK("http://mcb-m6.bioreg.kyushu-u.ac.jp/M3/20110429/F51156/1975/1", 103.14)</f>
        <v>103.14</v>
      </c>
      <c r="E3491" s="2">
        <v>70.83</v>
      </c>
      <c r="F3491" s="2">
        <v>2</v>
      </c>
      <c r="G3491" s="2" t="s">
        <v>13</v>
      </c>
    </row>
    <row r="3492" spans="1:7" x14ac:dyDescent="0.2">
      <c r="A3492" s="2" t="s">
        <v>3919</v>
      </c>
      <c r="B3492" s="2" t="s">
        <v>1094</v>
      </c>
      <c r="C3492" s="2">
        <v>740.75869999999998</v>
      </c>
      <c r="D3492" s="2">
        <f>HYPERLINK("http://mcb-m6.bioreg.kyushu-u.ac.jp/M3/20110502/F51160/1786/1", 38.8)</f>
        <v>38.799999999999997</v>
      </c>
      <c r="E3492" s="2">
        <v>22.72</v>
      </c>
      <c r="F3492" s="2">
        <v>2</v>
      </c>
      <c r="G3492" s="2" t="s">
        <v>14</v>
      </c>
    </row>
    <row r="3493" spans="1:7" x14ac:dyDescent="0.2">
      <c r="A3493" s="2" t="s">
        <v>3919</v>
      </c>
      <c r="B3493" s="2" t="s">
        <v>1094</v>
      </c>
      <c r="C3493" s="2">
        <v>740.87459999999999</v>
      </c>
      <c r="D3493" s="2">
        <f>HYPERLINK("http://mcb-m6.bioreg.kyushu-u.ac.jp/M3/20110502/F51160/1789/1", 43.77)</f>
        <v>43.77</v>
      </c>
      <c r="E3493" s="2">
        <v>29.62</v>
      </c>
      <c r="F3493" s="2">
        <v>2</v>
      </c>
      <c r="G3493" s="2" t="s">
        <v>14</v>
      </c>
    </row>
    <row r="3494" spans="1:7" x14ac:dyDescent="0.2">
      <c r="A3494" s="2" t="s">
        <v>3919</v>
      </c>
      <c r="B3494" s="2" t="s">
        <v>1094</v>
      </c>
      <c r="C3494" s="2">
        <v>740.79669999999999</v>
      </c>
      <c r="D3494" s="2">
        <f>HYPERLINK("http://mcb-m6.bioreg.kyushu-u.ac.jp/M3/20110502/F51162/1906/1", 44.27)</f>
        <v>44.27</v>
      </c>
      <c r="E3494" s="2">
        <v>25.42</v>
      </c>
      <c r="F3494" s="2">
        <v>2</v>
      </c>
      <c r="G3494" s="2" t="s">
        <v>14</v>
      </c>
    </row>
    <row r="3495" spans="1:7" x14ac:dyDescent="0.2">
      <c r="A3495" s="2" t="s">
        <v>3919</v>
      </c>
      <c r="B3495" s="2" t="s">
        <v>1094</v>
      </c>
      <c r="C3495" s="2">
        <v>740.65309999999999</v>
      </c>
      <c r="D3495" s="2">
        <f>HYPERLINK("http://mcb-m6.bioreg.kyushu-u.ac.jp/M3/20110502/F51161/1901/1", 47.74)</f>
        <v>47.74</v>
      </c>
      <c r="E3495" s="2">
        <v>29.99</v>
      </c>
      <c r="F3495" s="2">
        <v>2</v>
      </c>
      <c r="G3495" s="2" t="s">
        <v>14</v>
      </c>
    </row>
    <row r="3496" spans="1:7" x14ac:dyDescent="0.2">
      <c r="A3496" s="2" t="s">
        <v>3919</v>
      </c>
      <c r="B3496" s="2" t="s">
        <v>1094</v>
      </c>
      <c r="C3496" s="2">
        <v>740.55359999999996</v>
      </c>
      <c r="D3496" s="2">
        <f>HYPERLINK("http://mcb-m6.bioreg.kyushu-u.ac.jp/M3/20110502/F51162/1900/1", 49.83)</f>
        <v>49.83</v>
      </c>
      <c r="E3496" s="2">
        <v>31.15</v>
      </c>
      <c r="F3496" s="2">
        <v>2</v>
      </c>
      <c r="G3496" s="2" t="s">
        <v>14</v>
      </c>
    </row>
    <row r="3497" spans="1:7" x14ac:dyDescent="0.2">
      <c r="A3497" s="2" t="s">
        <v>3919</v>
      </c>
      <c r="B3497" s="2" t="s">
        <v>1094</v>
      </c>
      <c r="C3497" s="2">
        <v>740.66819999999996</v>
      </c>
      <c r="D3497" s="2">
        <f>HYPERLINK("http://mcb-m6.bioreg.kyushu-u.ac.jp/M3/20110502/F51162/1903/1", 53.65)</f>
        <v>53.65</v>
      </c>
      <c r="E3497" s="2">
        <v>31.43</v>
      </c>
      <c r="F3497" s="2">
        <v>2</v>
      </c>
      <c r="G3497" s="2" t="s">
        <v>14</v>
      </c>
    </row>
    <row r="3498" spans="1:7" x14ac:dyDescent="0.2">
      <c r="A3498" s="2" t="s">
        <v>3919</v>
      </c>
      <c r="B3498" s="2" t="s">
        <v>1094</v>
      </c>
      <c r="C3498" s="2">
        <v>740.79470000000003</v>
      </c>
      <c r="D3498" s="2">
        <f>HYPERLINK("http://mcb-m6.bioreg.kyushu-u.ac.jp/M3/20110502/F51162/1905/1", 57.37)</f>
        <v>57.37</v>
      </c>
      <c r="E3498" s="2">
        <v>32.29</v>
      </c>
      <c r="F3498" s="2">
        <v>2</v>
      </c>
      <c r="G3498" s="2" t="s">
        <v>14</v>
      </c>
    </row>
    <row r="3499" spans="1:7" x14ac:dyDescent="0.2">
      <c r="A3499" s="2" t="s">
        <v>3919</v>
      </c>
      <c r="B3499" s="2" t="s">
        <v>1094</v>
      </c>
      <c r="C3499" s="2">
        <v>740.48910000000001</v>
      </c>
      <c r="D3499" s="2">
        <f>HYPERLINK("http://mcb-m6.bioreg.kyushu-u.ac.jp/M3/20110502/F51161/1893/1", 61.87)</f>
        <v>61.87</v>
      </c>
      <c r="E3499" s="2">
        <v>36.29</v>
      </c>
      <c r="F3499" s="2">
        <v>2</v>
      </c>
      <c r="G3499" s="2" t="s">
        <v>14</v>
      </c>
    </row>
    <row r="3500" spans="1:7" x14ac:dyDescent="0.2">
      <c r="A3500" s="2" t="s">
        <v>3919</v>
      </c>
      <c r="B3500" s="2" t="s">
        <v>1094</v>
      </c>
      <c r="C3500" s="2">
        <v>740.5847</v>
      </c>
      <c r="D3500" s="2">
        <f>HYPERLINK("http://mcb-m6.bioreg.kyushu-u.ac.jp/M3/20110502/F51159/1969/1", 61.9)</f>
        <v>61.9</v>
      </c>
      <c r="E3500" s="2">
        <v>39.479999999999997</v>
      </c>
      <c r="F3500" s="2">
        <v>2</v>
      </c>
      <c r="G3500" s="2" t="s">
        <v>14</v>
      </c>
    </row>
    <row r="3501" spans="1:7" x14ac:dyDescent="0.2">
      <c r="A3501" s="2" t="s">
        <v>3919</v>
      </c>
      <c r="B3501" s="2" t="s">
        <v>1094</v>
      </c>
      <c r="C3501" s="2">
        <v>740.8732</v>
      </c>
      <c r="D3501" s="2">
        <f>HYPERLINK("http://mcb-m6.bioreg.kyushu-u.ac.jp/M3/20110502/F51161/1907/1", 63.07)</f>
        <v>63.07</v>
      </c>
      <c r="E3501" s="2">
        <v>34.450000000000003</v>
      </c>
      <c r="F3501" s="2">
        <v>2</v>
      </c>
      <c r="G3501" s="2" t="s">
        <v>14</v>
      </c>
    </row>
    <row r="3502" spans="1:7" x14ac:dyDescent="0.2">
      <c r="A3502" s="2" t="s">
        <v>3919</v>
      </c>
      <c r="B3502" s="2" t="s">
        <v>1094</v>
      </c>
      <c r="C3502" s="2">
        <v>740.63369999999998</v>
      </c>
      <c r="D3502" s="2">
        <f>HYPERLINK("http://mcb-m6.bioreg.kyushu-u.ac.jp/M3/20110502/F51161/1900/1", 65.88)</f>
        <v>65.88</v>
      </c>
      <c r="E3502" s="2">
        <v>43.03</v>
      </c>
      <c r="F3502" s="2">
        <v>2</v>
      </c>
      <c r="G3502" s="2" t="s">
        <v>14</v>
      </c>
    </row>
    <row r="3503" spans="1:7" x14ac:dyDescent="0.2">
      <c r="A3503" s="2" t="s">
        <v>3919</v>
      </c>
      <c r="B3503" s="2" t="s">
        <v>1094</v>
      </c>
      <c r="C3503" s="2">
        <v>740.9991</v>
      </c>
      <c r="D3503" s="2">
        <f>HYPERLINK("http://mcb-m6.bioreg.kyushu-u.ac.jp/M3/20110502/F51161/1910/1", 66.98)</f>
        <v>66.98</v>
      </c>
      <c r="E3503" s="2">
        <v>53.04</v>
      </c>
      <c r="F3503" s="2">
        <v>2</v>
      </c>
      <c r="G3503" s="2" t="s">
        <v>14</v>
      </c>
    </row>
    <row r="3504" spans="1:7" x14ac:dyDescent="0.2">
      <c r="A3504" s="2" t="s">
        <v>3919</v>
      </c>
      <c r="B3504" s="2" t="s">
        <v>1094</v>
      </c>
      <c r="C3504" s="2">
        <v>740.90869999999995</v>
      </c>
      <c r="D3504" s="2">
        <f>HYPERLINK("http://mcb-m6.bioreg.kyushu-u.ac.jp/M3/20110428/F51141/1926/1", 68.98)</f>
        <v>68.98</v>
      </c>
      <c r="E3504" s="2">
        <v>48.1</v>
      </c>
      <c r="F3504" s="2">
        <v>2</v>
      </c>
      <c r="G3504" s="2" t="s">
        <v>14</v>
      </c>
    </row>
    <row r="3505" spans="1:9" x14ac:dyDescent="0.2">
      <c r="A3505" s="2" t="s">
        <v>3919</v>
      </c>
      <c r="B3505" s="2" t="s">
        <v>1094</v>
      </c>
      <c r="C3505" s="2">
        <v>740.86410000000001</v>
      </c>
      <c r="D3505" s="2">
        <f>HYPERLINK("http://mcb-m6.bioreg.kyushu-u.ac.jp/M3/20110428/F51143/2083/1", 76.44)</f>
        <v>76.44</v>
      </c>
      <c r="E3505" s="2">
        <v>46.96</v>
      </c>
      <c r="F3505" s="2">
        <v>2</v>
      </c>
      <c r="G3505" s="2" t="s">
        <v>14</v>
      </c>
    </row>
    <row r="3506" spans="1:9" x14ac:dyDescent="0.2">
      <c r="A3506" s="2" t="s">
        <v>3919</v>
      </c>
      <c r="B3506" s="2" t="s">
        <v>1094</v>
      </c>
      <c r="C3506" s="2">
        <v>740.79020000000003</v>
      </c>
      <c r="D3506" s="2">
        <f>HYPERLINK("http://mcb-m6.bioreg.kyushu-u.ac.jp/M3/20110502/F51161/1904/1", 82.09)</f>
        <v>82.09</v>
      </c>
      <c r="E3506" s="2">
        <v>61.29</v>
      </c>
      <c r="F3506" s="2">
        <v>2</v>
      </c>
      <c r="G3506" s="2" t="s">
        <v>14</v>
      </c>
    </row>
    <row r="3507" spans="1:9" x14ac:dyDescent="0.2">
      <c r="A3507" s="2" t="s">
        <v>3919</v>
      </c>
      <c r="B3507" s="2" t="s">
        <v>1094</v>
      </c>
      <c r="C3507" s="2">
        <v>740.56569999999999</v>
      </c>
      <c r="D3507" s="2">
        <f>HYPERLINK("http://mcb-m6.bioreg.kyushu-u.ac.jp/M3/20110502/F51162/1901/1", 90.19)</f>
        <v>90.19</v>
      </c>
      <c r="E3507" s="2">
        <v>51.2</v>
      </c>
      <c r="F3507" s="2">
        <v>2</v>
      </c>
      <c r="G3507" s="2" t="s">
        <v>14</v>
      </c>
    </row>
    <row r="3508" spans="1:9" x14ac:dyDescent="0.2">
      <c r="A3508" s="2" t="s">
        <v>3356</v>
      </c>
      <c r="B3508" s="2" t="s">
        <v>5042</v>
      </c>
      <c r="C3508" s="2">
        <v>784.16179999999997</v>
      </c>
      <c r="D3508" s="2">
        <f>HYPERLINK("http://mcb-m6.bioreg.kyushu-u.ac.jp/M3/20110318/F50608/2682/1", 42)</f>
        <v>42</v>
      </c>
      <c r="E3508" s="2">
        <v>34.61</v>
      </c>
      <c r="F3508" s="2">
        <v>3</v>
      </c>
      <c r="G3508" s="2" t="s">
        <v>9</v>
      </c>
      <c r="I3508" s="2" t="s">
        <v>4906</v>
      </c>
    </row>
    <row r="3509" spans="1:9" x14ac:dyDescent="0.2">
      <c r="A3509" s="2" t="s">
        <v>3356</v>
      </c>
      <c r="B3509" s="2" t="s">
        <v>916</v>
      </c>
      <c r="C3509" s="2">
        <v>654.29610000000002</v>
      </c>
      <c r="D3509" s="2">
        <f>HYPERLINK("http://mcb-m6.bioreg.kyushu-u.ac.jp/M3/20110318/F50608/1258/1", 63.39)</f>
        <v>63.39</v>
      </c>
      <c r="E3509" s="2">
        <v>37.08</v>
      </c>
      <c r="F3509" s="2">
        <v>2</v>
      </c>
      <c r="G3509" s="2" t="s">
        <v>9</v>
      </c>
    </row>
    <row r="3510" spans="1:9" x14ac:dyDescent="0.2">
      <c r="A3510" s="2" t="s">
        <v>3356</v>
      </c>
      <c r="B3510" s="2" t="s">
        <v>5160</v>
      </c>
      <c r="C3510" s="2">
        <v>674.28470000000004</v>
      </c>
      <c r="D3510" s="2">
        <f>HYPERLINK("http://mcb-m6.bioreg.kyushu-u.ac.jp/M3/20110318/F50608/1301/1", 72.44)</f>
        <v>72.44</v>
      </c>
      <c r="E3510" s="2">
        <v>50.97</v>
      </c>
      <c r="F3510" s="2">
        <v>2</v>
      </c>
      <c r="G3510" s="2" t="s">
        <v>9</v>
      </c>
      <c r="H3510" s="2" t="s">
        <v>4908</v>
      </c>
    </row>
    <row r="3511" spans="1:9" x14ac:dyDescent="0.2">
      <c r="A3511" s="2" t="s">
        <v>3356</v>
      </c>
      <c r="B3511" s="2" t="s">
        <v>1639</v>
      </c>
      <c r="C3511" s="2">
        <v>826.21310000000005</v>
      </c>
      <c r="D3511" s="2">
        <f>HYPERLINK("http://mcb-m6.bioreg.kyushu-u.ac.jp/M3/20110318/F50608/1820/1", 114.53)</f>
        <v>114.53</v>
      </c>
      <c r="E3511" s="2">
        <v>99.71</v>
      </c>
      <c r="F3511" s="2">
        <v>2</v>
      </c>
      <c r="G3511" s="2" t="s">
        <v>9</v>
      </c>
    </row>
    <row r="3512" spans="1:9" x14ac:dyDescent="0.2">
      <c r="A3512" s="2" t="s">
        <v>3356</v>
      </c>
      <c r="B3512" s="2" t="s">
        <v>5445</v>
      </c>
      <c r="C3512" s="2">
        <v>729.30499999999995</v>
      </c>
      <c r="D3512" s="2">
        <f>HYPERLINK("http://mcb-m6.bioreg.kyushu-u.ac.jp/M3/20110418/F50986/1058/1", 46.87)</f>
        <v>46.87</v>
      </c>
      <c r="E3512" s="2">
        <v>7.24</v>
      </c>
      <c r="F3512" s="2">
        <v>1</v>
      </c>
      <c r="G3512" s="2" t="s">
        <v>12</v>
      </c>
    </row>
    <row r="3513" spans="1:9" x14ac:dyDescent="0.2">
      <c r="A3513" s="2" t="s">
        <v>3356</v>
      </c>
      <c r="B3513" s="2" t="s">
        <v>1639</v>
      </c>
      <c r="C3513" s="2">
        <v>825.7672</v>
      </c>
      <c r="D3513" s="2">
        <f>HYPERLINK("http://mcb-m6.bioreg.kyushu-u.ac.jp/M3/20110429/F51151/2471/1", 106.08)</f>
        <v>106.08</v>
      </c>
      <c r="E3513" s="2">
        <v>92.28</v>
      </c>
      <c r="F3513" s="2">
        <v>2</v>
      </c>
      <c r="G3513" s="2" t="s">
        <v>13</v>
      </c>
    </row>
    <row r="3514" spans="1:9" x14ac:dyDescent="0.2">
      <c r="A3514" s="2" t="s">
        <v>3843</v>
      </c>
      <c r="B3514" s="2" t="s">
        <v>5281</v>
      </c>
      <c r="C3514" s="2">
        <v>669.12819999999999</v>
      </c>
      <c r="D3514" s="2">
        <f>HYPERLINK("http://mcb-m6.bioreg.kyushu-u.ac.jp/M3/20110318/F50617/1297/1", 46.73)</f>
        <v>46.73</v>
      </c>
      <c r="E3514" s="2">
        <v>22.09</v>
      </c>
      <c r="F3514" s="2">
        <v>2</v>
      </c>
      <c r="G3514" s="2" t="s">
        <v>10</v>
      </c>
      <c r="I3514" s="2" t="s">
        <v>5896</v>
      </c>
    </row>
    <row r="3515" spans="1:9" x14ac:dyDescent="0.2">
      <c r="A3515" s="2" t="s">
        <v>3843</v>
      </c>
      <c r="B3515" s="2" t="s">
        <v>934</v>
      </c>
      <c r="C3515" s="2">
        <v>581.18709999999999</v>
      </c>
      <c r="D3515" s="2">
        <f>HYPERLINK("http://mcb-m6.bioreg.kyushu-u.ac.jp/M3/20110318/F50617/1178/1", 51.27)</f>
        <v>51.27</v>
      </c>
      <c r="E3515" s="2">
        <v>30.02</v>
      </c>
      <c r="F3515" s="2">
        <v>2</v>
      </c>
      <c r="G3515" s="2" t="s">
        <v>10</v>
      </c>
    </row>
    <row r="3516" spans="1:9" x14ac:dyDescent="0.2">
      <c r="A3516" s="2" t="s">
        <v>3843</v>
      </c>
      <c r="B3516" s="2" t="s">
        <v>5319</v>
      </c>
      <c r="C3516" s="2">
        <v>752.14509999999996</v>
      </c>
      <c r="D3516" s="2">
        <f>HYPERLINK("http://mcb-m6.bioreg.kyushu-u.ac.jp/M3/20110318/F50617/1617/1", 58.08)</f>
        <v>58.08</v>
      </c>
      <c r="E3516" s="2">
        <v>31.07</v>
      </c>
      <c r="F3516" s="2">
        <v>2</v>
      </c>
      <c r="G3516" s="2" t="s">
        <v>10</v>
      </c>
      <c r="H3516" s="2" t="s">
        <v>4900</v>
      </c>
      <c r="I3516" s="2" t="s">
        <v>4914</v>
      </c>
    </row>
    <row r="3517" spans="1:9" x14ac:dyDescent="0.2">
      <c r="A3517" s="2" t="s">
        <v>3843</v>
      </c>
      <c r="B3517" s="2" t="s">
        <v>1441</v>
      </c>
      <c r="C3517" s="2">
        <v>643.24109999999996</v>
      </c>
      <c r="D3517" s="2">
        <f>HYPERLINK("http://mcb-m6.bioreg.kyushu-u.ac.jp/M3/20110318/F50617/1244/1", 85.64)</f>
        <v>85.64</v>
      </c>
      <c r="E3517" s="2">
        <v>65.37</v>
      </c>
      <c r="F3517" s="2">
        <v>2</v>
      </c>
      <c r="G3517" s="2" t="s">
        <v>10</v>
      </c>
    </row>
    <row r="3518" spans="1:9" x14ac:dyDescent="0.2">
      <c r="A3518" s="2" t="s">
        <v>3843</v>
      </c>
      <c r="B3518" s="2" t="s">
        <v>1441</v>
      </c>
      <c r="C3518" s="2">
        <v>643.11659999999995</v>
      </c>
      <c r="D3518" s="2">
        <f>HYPERLINK("http://mcb-m6.bioreg.kyushu-u.ac.jp/M3/20110418/F50972/1853/1", 56.82)</f>
        <v>56.82</v>
      </c>
      <c r="E3518" s="2">
        <v>43.19</v>
      </c>
      <c r="F3518" s="2">
        <v>2</v>
      </c>
      <c r="G3518" s="2" t="s">
        <v>11</v>
      </c>
    </row>
    <row r="3519" spans="1:9" x14ac:dyDescent="0.2">
      <c r="A3519" s="2" t="s">
        <v>3843</v>
      </c>
      <c r="B3519" s="2" t="s">
        <v>1441</v>
      </c>
      <c r="C3519" s="2">
        <v>643.66560000000004</v>
      </c>
      <c r="D3519" s="2">
        <f>HYPERLINK("http://mcb-m6.bioreg.kyushu-u.ac.jp/M3/20110418/F50972/1854/1", 75.3)</f>
        <v>75.3</v>
      </c>
      <c r="E3519" s="2">
        <v>55.44</v>
      </c>
      <c r="F3519" s="2">
        <v>2</v>
      </c>
      <c r="G3519" s="2" t="s">
        <v>11</v>
      </c>
    </row>
    <row r="3520" spans="1:9" x14ac:dyDescent="0.2">
      <c r="A3520" s="2" t="s">
        <v>3843</v>
      </c>
      <c r="B3520" s="2" t="s">
        <v>1441</v>
      </c>
      <c r="C3520" s="2">
        <v>643.33219999999994</v>
      </c>
      <c r="D3520" s="2">
        <f>HYPERLINK("http://mcb-m6.bioreg.kyushu-u.ac.jp/M3/20110418/F50982/1975/1", 99.21)</f>
        <v>99.21</v>
      </c>
      <c r="E3520" s="2">
        <v>77.89</v>
      </c>
      <c r="F3520" s="2">
        <v>2</v>
      </c>
      <c r="G3520" s="2" t="s">
        <v>12</v>
      </c>
    </row>
    <row r="3521" spans="1:9" x14ac:dyDescent="0.2">
      <c r="A3521" s="2" t="s">
        <v>3843</v>
      </c>
      <c r="B3521" s="2" t="s">
        <v>1441</v>
      </c>
      <c r="C3521" s="2">
        <v>643.71720000000005</v>
      </c>
      <c r="D3521" s="2">
        <f>HYPERLINK("http://mcb-m6.bioreg.kyushu-u.ac.jp/M3/20110429/F51150/1771/1", 70.57)</f>
        <v>70.569999999999993</v>
      </c>
      <c r="E3521" s="2">
        <v>47.8</v>
      </c>
      <c r="F3521" s="2">
        <v>2</v>
      </c>
      <c r="G3521" s="2" t="s">
        <v>13</v>
      </c>
    </row>
    <row r="3522" spans="1:9" x14ac:dyDescent="0.2">
      <c r="A3522" s="2" t="s">
        <v>3843</v>
      </c>
      <c r="B3522" s="2" t="s">
        <v>1441</v>
      </c>
      <c r="C3522" s="2">
        <v>643.03859999999997</v>
      </c>
      <c r="D3522" s="2">
        <f>HYPERLINK("http://mcb-m6.bioreg.kyushu-u.ac.jp/M3/20110429/F51150/1768/1", 92)</f>
        <v>92</v>
      </c>
      <c r="E3522" s="2">
        <v>70.34</v>
      </c>
      <c r="F3522" s="2">
        <v>2</v>
      </c>
      <c r="G3522" s="2" t="s">
        <v>13</v>
      </c>
    </row>
    <row r="3523" spans="1:9" x14ac:dyDescent="0.2">
      <c r="A3523" s="2" t="s">
        <v>4305</v>
      </c>
      <c r="B3523" s="2" t="s">
        <v>2043</v>
      </c>
      <c r="C3523" s="2">
        <v>1012.333</v>
      </c>
      <c r="D3523" s="2">
        <f>HYPERLINK("http://mcb-m6.bioreg.kyushu-u.ac.jp/M3/20110418/F50997/2944/1", 56.51)</f>
        <v>56.51</v>
      </c>
      <c r="E3523" s="2">
        <v>48.12</v>
      </c>
      <c r="F3523" s="2">
        <v>2</v>
      </c>
      <c r="G3523" s="2" t="s">
        <v>12</v>
      </c>
    </row>
    <row r="3524" spans="1:9" x14ac:dyDescent="0.2">
      <c r="A3524" s="2" t="s">
        <v>4101</v>
      </c>
      <c r="B3524" s="2" t="s">
        <v>1566</v>
      </c>
      <c r="C3524" s="2">
        <v>765.0566</v>
      </c>
      <c r="D3524" s="2">
        <f>HYPERLINK("http://mcb-m6.bioreg.kyushu-u.ac.jp/M3/20110418/F50980/2180/1", 42.36)</f>
        <v>42.36</v>
      </c>
      <c r="E3524" s="2">
        <v>31.27</v>
      </c>
      <c r="F3524" s="2">
        <v>2</v>
      </c>
      <c r="G3524" s="2" t="s">
        <v>12</v>
      </c>
    </row>
    <row r="3525" spans="1:9" x14ac:dyDescent="0.2">
      <c r="A3525" s="2" t="s">
        <v>3570</v>
      </c>
      <c r="B3525" s="2" t="s">
        <v>663</v>
      </c>
      <c r="C3525" s="2">
        <v>780.32069999999999</v>
      </c>
      <c r="D3525" s="2">
        <f>HYPERLINK("http://mcb-m6.bioreg.kyushu-u.ac.jp/M3/20110318/F50618/1847/1", 81.92)</f>
        <v>81.92</v>
      </c>
      <c r="E3525" s="2">
        <v>60.67</v>
      </c>
      <c r="F3525" s="2">
        <v>2</v>
      </c>
      <c r="G3525" s="2" t="s">
        <v>9</v>
      </c>
    </row>
    <row r="3526" spans="1:9" x14ac:dyDescent="0.2">
      <c r="A3526" s="2" t="s">
        <v>3570</v>
      </c>
      <c r="B3526" s="2" t="s">
        <v>438</v>
      </c>
      <c r="C3526" s="2">
        <v>537.96720000000005</v>
      </c>
      <c r="D3526" s="2">
        <f>HYPERLINK("http://mcb-m6.bioreg.kyushu-u.ac.jp/M3/20110318/F50614/1023/1", 44.31)</f>
        <v>44.31</v>
      </c>
      <c r="E3526" s="2">
        <v>17.63</v>
      </c>
      <c r="F3526" s="2">
        <v>2</v>
      </c>
      <c r="G3526" s="2" t="s">
        <v>10</v>
      </c>
    </row>
    <row r="3527" spans="1:9" x14ac:dyDescent="0.2">
      <c r="A3527" s="2" t="s">
        <v>3570</v>
      </c>
      <c r="B3527" s="2" t="s">
        <v>1292</v>
      </c>
      <c r="C3527" s="2">
        <v>812.81769999999995</v>
      </c>
      <c r="D3527" s="2">
        <f>HYPERLINK("http://mcb-m6.bioreg.kyushu-u.ac.jp/M3/20110418/F50976/2462/1", 41.56)</f>
        <v>41.56</v>
      </c>
      <c r="E3527" s="2">
        <v>25.72</v>
      </c>
      <c r="F3527" s="2">
        <v>2</v>
      </c>
      <c r="G3527" s="2" t="s">
        <v>11</v>
      </c>
    </row>
    <row r="3528" spans="1:9" x14ac:dyDescent="0.2">
      <c r="A3528" s="2" t="s">
        <v>3570</v>
      </c>
      <c r="B3528" s="2" t="s">
        <v>476</v>
      </c>
      <c r="C3528" s="2">
        <v>665.12459999999999</v>
      </c>
      <c r="D3528" s="2">
        <f>HYPERLINK("http://mcb-m6.bioreg.kyushu-u.ac.jp/M3/20110418/F50999/1697/1", 43.11)</f>
        <v>43.11</v>
      </c>
      <c r="E3528" s="2">
        <v>8.43</v>
      </c>
      <c r="F3528" s="2">
        <v>2</v>
      </c>
      <c r="G3528" s="2" t="s">
        <v>11</v>
      </c>
    </row>
    <row r="3529" spans="1:9" x14ac:dyDescent="0.2">
      <c r="A3529" s="2" t="s">
        <v>3570</v>
      </c>
      <c r="B3529" s="2" t="s">
        <v>663</v>
      </c>
      <c r="C3529" s="2">
        <v>780.93470000000002</v>
      </c>
      <c r="D3529" s="2">
        <f>HYPERLINK("http://mcb-m6.bioreg.kyushu-u.ac.jp/M3/20110502/F51163/2038/1", 69.41)</f>
        <v>69.41</v>
      </c>
      <c r="E3529" s="2">
        <v>42.48</v>
      </c>
      <c r="F3529" s="2">
        <v>2</v>
      </c>
      <c r="G3529" s="2" t="s">
        <v>13</v>
      </c>
    </row>
    <row r="3530" spans="1:9" x14ac:dyDescent="0.2">
      <c r="A3530" s="2" t="s">
        <v>5820</v>
      </c>
      <c r="B3530" s="2" t="s">
        <v>5498</v>
      </c>
      <c r="C3530" s="2">
        <v>666.64070000000004</v>
      </c>
      <c r="D3530" s="2">
        <f>HYPERLINK("http://mcb-m6.bioreg.kyushu-u.ac.jp/M3/20110429/F51151/1818/1", 41.66)</f>
        <v>41.66</v>
      </c>
      <c r="E3530" s="2">
        <v>18.89</v>
      </c>
      <c r="F3530" s="2">
        <v>2</v>
      </c>
      <c r="G3530" s="2" t="s">
        <v>13</v>
      </c>
      <c r="I3530" s="2" t="s">
        <v>4905</v>
      </c>
    </row>
    <row r="3531" spans="1:9" x14ac:dyDescent="0.2">
      <c r="A3531" s="2" t="s">
        <v>4070</v>
      </c>
      <c r="B3531" s="2" t="s">
        <v>1453</v>
      </c>
      <c r="C3531" s="2">
        <v>808.62710000000004</v>
      </c>
      <c r="D3531" s="2">
        <f>HYPERLINK("http://mcb-m6.bioreg.kyushu-u.ac.jp/M3/20110429/F51151/2404/1", 46.44)</f>
        <v>46.44</v>
      </c>
      <c r="E3531" s="2">
        <v>22.04</v>
      </c>
      <c r="F3531" s="2">
        <v>2</v>
      </c>
      <c r="G3531" s="2" t="s">
        <v>13</v>
      </c>
      <c r="I3531" s="2" t="s">
        <v>4899</v>
      </c>
    </row>
    <row r="3532" spans="1:9" x14ac:dyDescent="0.2">
      <c r="A3532" s="2" t="s">
        <v>3862</v>
      </c>
      <c r="B3532" s="2" t="s">
        <v>1373</v>
      </c>
      <c r="C3532" s="2">
        <v>675.44619999999998</v>
      </c>
      <c r="D3532" s="2">
        <f>HYPERLINK("http://mcb-m6.bioreg.kyushu-u.ac.jp/M3/20110318/F50598/1371/1", 68.44)</f>
        <v>68.44</v>
      </c>
      <c r="E3532" s="2">
        <v>47.53</v>
      </c>
      <c r="F3532" s="2">
        <v>2</v>
      </c>
      <c r="G3532" s="2" t="s">
        <v>10</v>
      </c>
    </row>
    <row r="3533" spans="1:9" x14ac:dyDescent="0.2">
      <c r="A3533" s="2" t="s">
        <v>3862</v>
      </c>
      <c r="B3533" s="2" t="s">
        <v>1595</v>
      </c>
      <c r="C3533" s="2">
        <v>858.49159999999995</v>
      </c>
      <c r="D3533" s="2">
        <f>HYPERLINK("http://mcb-m6.bioreg.kyushu-u.ac.jp/M3/20110428/F51140/2555/1", 73.65)</f>
        <v>73.650000000000006</v>
      </c>
      <c r="E3533" s="2">
        <v>59.96</v>
      </c>
      <c r="F3533" s="2">
        <v>2</v>
      </c>
      <c r="G3533" s="2" t="s">
        <v>14</v>
      </c>
      <c r="H3533" s="2" t="s">
        <v>4904</v>
      </c>
    </row>
    <row r="3534" spans="1:9" x14ac:dyDescent="0.2">
      <c r="A3534" s="2" t="s">
        <v>3958</v>
      </c>
      <c r="B3534" s="2" t="s">
        <v>1169</v>
      </c>
      <c r="C3534" s="2">
        <v>726.36019999999996</v>
      </c>
      <c r="D3534" s="2">
        <f>HYPERLINK("http://mcb-m6.bioreg.kyushu-u.ac.jp/M3/20110418/F50984/2027/1", 39.44)</f>
        <v>39.44</v>
      </c>
      <c r="E3534" s="2">
        <v>29.01</v>
      </c>
      <c r="F3534" s="2">
        <v>2</v>
      </c>
      <c r="G3534" s="2" t="s">
        <v>12</v>
      </c>
    </row>
    <row r="3535" spans="1:9" x14ac:dyDescent="0.2">
      <c r="A3535" s="2" t="s">
        <v>3770</v>
      </c>
      <c r="B3535" s="2" t="s">
        <v>5337</v>
      </c>
      <c r="C3535" s="2">
        <v>907.60749999999996</v>
      </c>
      <c r="D3535" s="2">
        <f>HYPERLINK("http://mcb-m6.bioreg.kyushu-u.ac.jp/M3/20110318/F50597/3190/1", 68.79)</f>
        <v>68.790000000000006</v>
      </c>
      <c r="E3535" s="2">
        <v>57.21</v>
      </c>
      <c r="F3535" s="2">
        <v>3</v>
      </c>
      <c r="G3535" s="2" t="s">
        <v>10</v>
      </c>
    </row>
    <row r="3536" spans="1:9" x14ac:dyDescent="0.2">
      <c r="A3536" s="2" t="s">
        <v>3821</v>
      </c>
      <c r="B3536" s="2" t="s">
        <v>889</v>
      </c>
      <c r="C3536" s="2">
        <v>676.36360000000002</v>
      </c>
      <c r="D3536" s="2">
        <f>HYPERLINK("http://mcb-m6.bioreg.kyushu-u.ac.jp/M3/20110318/F50597/1346/1", 46.33)</f>
        <v>46.33</v>
      </c>
      <c r="E3536" s="2">
        <v>22.26</v>
      </c>
      <c r="F3536" s="2">
        <v>2</v>
      </c>
      <c r="G3536" s="2" t="s">
        <v>10</v>
      </c>
      <c r="I3536" s="2" t="s">
        <v>4893</v>
      </c>
    </row>
    <row r="3537" spans="1:7" x14ac:dyDescent="0.2">
      <c r="A3537" s="2" t="s">
        <v>3821</v>
      </c>
      <c r="B3537" s="2" t="s">
        <v>1128</v>
      </c>
      <c r="C3537" s="2">
        <v>697.4452</v>
      </c>
      <c r="D3537" s="2">
        <f>HYPERLINK("http://mcb-m6.bioreg.kyushu-u.ac.jp/M3/20110429/F51157/1545/1", 46.97)</f>
        <v>46.97</v>
      </c>
      <c r="E3537" s="2">
        <v>22.12</v>
      </c>
      <c r="F3537" s="2">
        <v>2</v>
      </c>
      <c r="G3537" s="2" t="s">
        <v>13</v>
      </c>
    </row>
    <row r="3538" spans="1:7" x14ac:dyDescent="0.2">
      <c r="A3538" s="2" t="s">
        <v>4296</v>
      </c>
      <c r="B3538" s="2" t="s">
        <v>5322</v>
      </c>
      <c r="C3538" s="2">
        <v>753.41390000000001</v>
      </c>
      <c r="D3538" s="2">
        <f>HYPERLINK("http://mcb-m6.bioreg.kyushu-u.ac.jp/M3/20110318/F50597/2824/1", 58.57)</f>
        <v>58.57</v>
      </c>
      <c r="E3538" s="2">
        <v>45.39</v>
      </c>
      <c r="F3538" s="2">
        <v>3</v>
      </c>
      <c r="G3538" s="2" t="s">
        <v>10</v>
      </c>
    </row>
    <row r="3539" spans="1:7" x14ac:dyDescent="0.2">
      <c r="A3539" s="2" t="s">
        <v>4296</v>
      </c>
      <c r="B3539" s="2" t="s">
        <v>2006</v>
      </c>
      <c r="C3539" s="2">
        <v>628.30070000000001</v>
      </c>
      <c r="D3539" s="2">
        <f>HYPERLINK("http://mcb-m6.bioreg.kyushu-u.ac.jp/M3/20110418/F50974/1529/1", 46.71)</f>
        <v>46.71</v>
      </c>
      <c r="E3539" s="2">
        <v>21.04</v>
      </c>
      <c r="F3539" s="2">
        <v>2</v>
      </c>
      <c r="G3539" s="2" t="s">
        <v>11</v>
      </c>
    </row>
    <row r="3540" spans="1:7" x14ac:dyDescent="0.2">
      <c r="A3540" s="2" t="s">
        <v>3349</v>
      </c>
      <c r="B3540" s="2" t="s">
        <v>5037</v>
      </c>
      <c r="C3540" s="2">
        <v>1075.038</v>
      </c>
      <c r="D3540" s="2">
        <f>HYPERLINK("http://mcb-m6.bioreg.kyushu-u.ac.jp/M3/20110318/F50607/1056/1", 41.4)</f>
        <v>41.4</v>
      </c>
      <c r="E3540" s="2">
        <v>23.83</v>
      </c>
      <c r="F3540" s="2">
        <v>1</v>
      </c>
      <c r="G3540" s="2" t="s">
        <v>9</v>
      </c>
    </row>
    <row r="3541" spans="1:7" x14ac:dyDescent="0.2">
      <c r="A3541" s="2" t="s">
        <v>3626</v>
      </c>
      <c r="B3541" s="2" t="s">
        <v>538</v>
      </c>
      <c r="C3541" s="2">
        <v>745.33219999999994</v>
      </c>
      <c r="D3541" s="2">
        <f>HYPERLINK("http://mcb-m6.bioreg.kyushu-u.ac.jp/M3/20110318/F50621/1542/1", 56.1)</f>
        <v>56.1</v>
      </c>
      <c r="E3541" s="2">
        <v>36.130000000000003</v>
      </c>
      <c r="F3541" s="2">
        <v>2</v>
      </c>
      <c r="G3541" s="2" t="s">
        <v>9</v>
      </c>
    </row>
    <row r="3542" spans="1:7" x14ac:dyDescent="0.2">
      <c r="A3542" s="2" t="s">
        <v>3626</v>
      </c>
      <c r="B3542" s="2" t="s">
        <v>1488</v>
      </c>
      <c r="C3542" s="2">
        <v>877.12710000000004</v>
      </c>
      <c r="D3542" s="2">
        <f>HYPERLINK("http://mcb-m6.bioreg.kyushu-u.ac.jp/M3/20110318/F50621/1920/1", 84.01)</f>
        <v>84.01</v>
      </c>
      <c r="E3542" s="2">
        <v>60.71</v>
      </c>
      <c r="F3542" s="2">
        <v>2</v>
      </c>
      <c r="G3542" s="2" t="s">
        <v>9</v>
      </c>
    </row>
    <row r="3543" spans="1:7" x14ac:dyDescent="0.2">
      <c r="A3543" s="2" t="s">
        <v>3626</v>
      </c>
      <c r="B3543" s="2" t="s">
        <v>1488</v>
      </c>
      <c r="C3543" s="2">
        <v>876.85270000000003</v>
      </c>
      <c r="D3543" s="2">
        <f>HYPERLINK("http://mcb-m6.bioreg.kyushu-u.ac.jp/M3/20110318/F50609/1962/1", 89.32)</f>
        <v>89.32</v>
      </c>
      <c r="E3543" s="2">
        <v>64.92</v>
      </c>
      <c r="F3543" s="2">
        <v>2</v>
      </c>
      <c r="G3543" s="2" t="s">
        <v>9</v>
      </c>
    </row>
    <row r="3544" spans="1:7" x14ac:dyDescent="0.2">
      <c r="A3544" s="2" t="s">
        <v>3626</v>
      </c>
      <c r="B3544" s="2" t="s">
        <v>1518</v>
      </c>
      <c r="C3544" s="2">
        <v>954.95010000000002</v>
      </c>
      <c r="D3544" s="2">
        <f>HYPERLINK("http://mcb-m6.bioreg.kyushu-u.ac.jp/M3/20110318/F50621/2071/1", 93.5)</f>
        <v>93.5</v>
      </c>
      <c r="E3544" s="2">
        <v>75.37</v>
      </c>
      <c r="F3544" s="2">
        <v>2</v>
      </c>
      <c r="G3544" s="2" t="s">
        <v>9</v>
      </c>
    </row>
    <row r="3545" spans="1:7" x14ac:dyDescent="0.2">
      <c r="A3545" s="2" t="s">
        <v>3626</v>
      </c>
      <c r="B3545" s="2" t="s">
        <v>2486</v>
      </c>
      <c r="C3545" s="2">
        <v>873.96559999999999</v>
      </c>
      <c r="D3545" s="2">
        <f>HYPERLINK("http://mcb-m6.bioreg.kyushu-u.ac.jp/M3/20110318/F50600/1977/1", 55.47)</f>
        <v>55.47</v>
      </c>
      <c r="E3545" s="2">
        <v>36.93</v>
      </c>
      <c r="F3545" s="2">
        <v>2</v>
      </c>
      <c r="G3545" s="2" t="s">
        <v>10</v>
      </c>
    </row>
    <row r="3546" spans="1:7" x14ac:dyDescent="0.2">
      <c r="A3546" s="2" t="s">
        <v>3626</v>
      </c>
      <c r="B3546" s="2" t="s">
        <v>1488</v>
      </c>
      <c r="C3546" s="2">
        <v>877.00070000000005</v>
      </c>
      <c r="D3546" s="2">
        <f>HYPERLINK("http://mcb-m6.bioreg.kyushu-u.ac.jp/M3/20110318/F50600/1985/1", 83.12)</f>
        <v>83.12</v>
      </c>
      <c r="E3546" s="2">
        <v>61.77</v>
      </c>
      <c r="F3546" s="2">
        <v>2</v>
      </c>
      <c r="G3546" s="2" t="s">
        <v>10</v>
      </c>
    </row>
    <row r="3547" spans="1:7" x14ac:dyDescent="0.2">
      <c r="A3547" s="2" t="s">
        <v>3626</v>
      </c>
      <c r="B3547" s="2" t="s">
        <v>1488</v>
      </c>
      <c r="C3547" s="2">
        <v>876.77970000000005</v>
      </c>
      <c r="D3547" s="2">
        <f>HYPERLINK("http://mcb-m6.bioreg.kyushu-u.ac.jp/M3/20110318/F50617/2020/1", 89.36)</f>
        <v>89.36</v>
      </c>
      <c r="E3547" s="2">
        <v>62.05</v>
      </c>
      <c r="F3547" s="2">
        <v>2</v>
      </c>
      <c r="G3547" s="2" t="s">
        <v>10</v>
      </c>
    </row>
    <row r="3548" spans="1:7" x14ac:dyDescent="0.2">
      <c r="A3548" s="2" t="s">
        <v>3626</v>
      </c>
      <c r="B3548" s="2" t="s">
        <v>1518</v>
      </c>
      <c r="C3548" s="2">
        <v>955.23109999999997</v>
      </c>
      <c r="D3548" s="2">
        <f>HYPERLINK("http://mcb-m6.bioreg.kyushu-u.ac.jp/M3/20110318/F50617/2189/1", 100.86)</f>
        <v>100.86</v>
      </c>
      <c r="E3548" s="2">
        <v>84.06</v>
      </c>
      <c r="F3548" s="2">
        <v>2</v>
      </c>
      <c r="G3548" s="2" t="s">
        <v>10</v>
      </c>
    </row>
    <row r="3549" spans="1:7" x14ac:dyDescent="0.2">
      <c r="A3549" s="2" t="s">
        <v>5654</v>
      </c>
      <c r="B3549" s="2" t="s">
        <v>5101</v>
      </c>
      <c r="C3549" s="2">
        <v>553.2722</v>
      </c>
      <c r="D3549" s="2">
        <f>HYPERLINK("http://mcb-m6.bioreg.kyushu-u.ac.jp/M3/20110318/F50621/1135/1", 54.05)</f>
        <v>54.05</v>
      </c>
      <c r="E3549" s="2">
        <v>30.93</v>
      </c>
      <c r="F3549" s="2">
        <v>2</v>
      </c>
      <c r="G3549" s="2" t="s">
        <v>9</v>
      </c>
    </row>
    <row r="3550" spans="1:7" x14ac:dyDescent="0.2">
      <c r="A3550" s="2" t="s">
        <v>5654</v>
      </c>
      <c r="B3550" s="2" t="s">
        <v>5101</v>
      </c>
      <c r="C3550" s="2">
        <v>553.14760000000001</v>
      </c>
      <c r="D3550" s="2">
        <f>HYPERLINK("http://mcb-m6.bioreg.kyushu-u.ac.jp/M3/20110318/F50617/1139/1", 73.5)</f>
        <v>73.5</v>
      </c>
      <c r="E3550" s="2">
        <v>32.979999999999997</v>
      </c>
      <c r="F3550" s="2">
        <v>2</v>
      </c>
      <c r="G3550" s="2" t="s">
        <v>10</v>
      </c>
    </row>
    <row r="3551" spans="1:7" x14ac:dyDescent="0.2">
      <c r="A3551" s="2" t="s">
        <v>4027</v>
      </c>
      <c r="B3551" s="2" t="s">
        <v>1342</v>
      </c>
      <c r="C3551" s="2">
        <v>757.98220000000003</v>
      </c>
      <c r="D3551" s="2">
        <f>HYPERLINK("http://mcb-m6.bioreg.kyushu-u.ac.jp/M3/20110318/F50604/1600/1", 84.26)</f>
        <v>84.26</v>
      </c>
      <c r="E3551" s="2">
        <v>56.33</v>
      </c>
      <c r="F3551" s="2">
        <v>2</v>
      </c>
      <c r="G3551" s="2" t="s">
        <v>9</v>
      </c>
    </row>
    <row r="3552" spans="1:7" x14ac:dyDescent="0.2">
      <c r="A3552" s="2" t="s">
        <v>4027</v>
      </c>
      <c r="B3552" s="2" t="s">
        <v>1342</v>
      </c>
      <c r="C3552" s="2">
        <v>1513.692</v>
      </c>
      <c r="D3552" s="2">
        <f>HYPERLINK("http://mcb-m6.bioreg.kyushu-u.ac.jp/M3/20110318/F50612/1606/1", 49.39)</f>
        <v>49.39</v>
      </c>
      <c r="E3552" s="2">
        <v>35.93</v>
      </c>
      <c r="F3552" s="2">
        <v>1</v>
      </c>
      <c r="G3552" s="2" t="s">
        <v>10</v>
      </c>
    </row>
    <row r="3553" spans="1:8" x14ac:dyDescent="0.2">
      <c r="A3553" s="2" t="s">
        <v>4027</v>
      </c>
      <c r="B3553" s="2" t="s">
        <v>1342</v>
      </c>
      <c r="C3553" s="2">
        <v>757.90170000000001</v>
      </c>
      <c r="D3553" s="2">
        <f>HYPERLINK("http://mcb-m6.bioreg.kyushu-u.ac.jp/M3/20110318/F50597/1680/1", 86.83)</f>
        <v>86.83</v>
      </c>
      <c r="E3553" s="2">
        <v>55.13</v>
      </c>
      <c r="F3553" s="2">
        <v>2</v>
      </c>
      <c r="G3553" s="2" t="s">
        <v>10</v>
      </c>
    </row>
    <row r="3554" spans="1:8" x14ac:dyDescent="0.2">
      <c r="A3554" s="2" t="s">
        <v>4027</v>
      </c>
      <c r="B3554" s="2" t="s">
        <v>1342</v>
      </c>
      <c r="C3554" s="2">
        <v>757.17110000000002</v>
      </c>
      <c r="D3554" s="2">
        <f>HYPERLINK("http://mcb-m6.bioreg.kyushu-u.ac.jp/M3/20110418/F50974/2154/1", 35.35)</f>
        <v>35.35</v>
      </c>
      <c r="E3554" s="2">
        <v>20.92</v>
      </c>
      <c r="F3554" s="2">
        <v>2</v>
      </c>
      <c r="G3554" s="2" t="s">
        <v>11</v>
      </c>
    </row>
    <row r="3555" spans="1:8" x14ac:dyDescent="0.2">
      <c r="A3555" s="2" t="s">
        <v>4027</v>
      </c>
      <c r="B3555" s="2" t="s">
        <v>1342</v>
      </c>
      <c r="C3555" s="2">
        <v>1513.6980000000001</v>
      </c>
      <c r="D3555" s="2">
        <f>HYPERLINK("http://mcb-m6.bioreg.kyushu-u.ac.jp/M3/20110418/F50977/2195/1", 75.07)</f>
        <v>75.069999999999993</v>
      </c>
      <c r="E3555" s="2">
        <v>59.08</v>
      </c>
      <c r="F3555" s="2">
        <v>1</v>
      </c>
      <c r="G3555" s="2" t="s">
        <v>11</v>
      </c>
    </row>
    <row r="3556" spans="1:8" x14ac:dyDescent="0.2">
      <c r="A3556" s="2" t="s">
        <v>4027</v>
      </c>
      <c r="B3556" s="2" t="s">
        <v>1342</v>
      </c>
      <c r="C3556" s="2">
        <v>757.24959999999999</v>
      </c>
      <c r="D3556" s="2">
        <f>HYPERLINK("http://mcb-m6.bioreg.kyushu-u.ac.jp/M3/20110418/F50987/2165/1", 101.85)</f>
        <v>101.85</v>
      </c>
      <c r="E3556" s="2">
        <v>65.599999999999994</v>
      </c>
      <c r="F3556" s="2">
        <v>2</v>
      </c>
      <c r="G3556" s="2" t="s">
        <v>12</v>
      </c>
    </row>
    <row r="3557" spans="1:8" x14ac:dyDescent="0.2">
      <c r="A3557" s="2" t="s">
        <v>4027</v>
      </c>
      <c r="B3557" s="2" t="s">
        <v>1342</v>
      </c>
      <c r="C3557" s="2">
        <v>757.53610000000003</v>
      </c>
      <c r="D3557" s="2">
        <f>HYPERLINK("http://mcb-m6.bioreg.kyushu-u.ac.jp/M3/20110502/F51164/1821/1", 77.2)</f>
        <v>77.2</v>
      </c>
      <c r="E3557" s="2">
        <v>52.2</v>
      </c>
      <c r="F3557" s="2">
        <v>2</v>
      </c>
      <c r="G3557" s="2" t="s">
        <v>13</v>
      </c>
    </row>
    <row r="3558" spans="1:8" x14ac:dyDescent="0.2">
      <c r="A3558" s="2" t="s">
        <v>4027</v>
      </c>
      <c r="B3558" s="2" t="s">
        <v>1342</v>
      </c>
      <c r="C3558" s="2">
        <v>757.32709999999997</v>
      </c>
      <c r="D3558" s="2">
        <f>HYPERLINK("http://mcb-m6.bioreg.kyushu-u.ac.jp/M3/20110429/F51153/2094/1", 78.73)</f>
        <v>78.73</v>
      </c>
      <c r="E3558" s="2">
        <v>48.97</v>
      </c>
      <c r="F3558" s="2">
        <v>2</v>
      </c>
      <c r="G3558" s="2" t="s">
        <v>13</v>
      </c>
    </row>
    <row r="3559" spans="1:8" x14ac:dyDescent="0.2">
      <c r="A3559" s="2" t="s">
        <v>4027</v>
      </c>
      <c r="B3559" s="2" t="s">
        <v>1342</v>
      </c>
      <c r="C3559" s="2">
        <v>757.75210000000004</v>
      </c>
      <c r="D3559" s="2">
        <f>HYPERLINK("http://mcb-m6.bioreg.kyushu-u.ac.jp/M3/20110429/F51154/2107/1", 80.38)</f>
        <v>80.38</v>
      </c>
      <c r="E3559" s="2">
        <v>55.26</v>
      </c>
      <c r="F3559" s="2">
        <v>2</v>
      </c>
      <c r="G3559" s="2" t="s">
        <v>13</v>
      </c>
    </row>
    <row r="3560" spans="1:8" x14ac:dyDescent="0.2">
      <c r="A3560" s="2" t="s">
        <v>4027</v>
      </c>
      <c r="B3560" s="2" t="s">
        <v>1342</v>
      </c>
      <c r="C3560" s="2">
        <v>757.48320000000001</v>
      </c>
      <c r="D3560" s="2">
        <f>HYPERLINK("http://mcb-m6.bioreg.kyushu-u.ac.jp/M3/20110428/F51143/2165/1", 46.36)</f>
        <v>46.36</v>
      </c>
      <c r="E3560" s="2">
        <v>24.59</v>
      </c>
      <c r="F3560" s="2">
        <v>2</v>
      </c>
      <c r="G3560" s="2" t="s">
        <v>14</v>
      </c>
    </row>
    <row r="3561" spans="1:8" x14ac:dyDescent="0.2">
      <c r="A3561" s="2" t="s">
        <v>4027</v>
      </c>
      <c r="B3561" s="2" t="s">
        <v>1342</v>
      </c>
      <c r="C3561" s="2">
        <v>757.43409999999994</v>
      </c>
      <c r="D3561" s="2">
        <f>HYPERLINK("http://mcb-m6.bioreg.kyushu-u.ac.jp/M3/20110502/F51162/1996/1", 61.33)</f>
        <v>61.33</v>
      </c>
      <c r="E3561" s="2">
        <v>34.74</v>
      </c>
      <c r="F3561" s="2">
        <v>2</v>
      </c>
      <c r="G3561" s="2" t="s">
        <v>14</v>
      </c>
    </row>
    <row r="3562" spans="1:8" x14ac:dyDescent="0.2">
      <c r="A3562" s="2" t="s">
        <v>4229</v>
      </c>
      <c r="B3562" s="2" t="s">
        <v>1840</v>
      </c>
      <c r="C3562" s="2">
        <v>796.78859999999997</v>
      </c>
      <c r="D3562" s="2">
        <f>HYPERLINK("http://mcb-m6.bioreg.kyushu-u.ac.jp/M3/20110418/F50975/2405/1", 41.81)</f>
        <v>41.81</v>
      </c>
      <c r="E3562" s="2">
        <v>25.64</v>
      </c>
      <c r="F3562" s="2">
        <v>2</v>
      </c>
      <c r="G3562" s="2" t="s">
        <v>11</v>
      </c>
    </row>
    <row r="3563" spans="1:8" x14ac:dyDescent="0.2">
      <c r="A3563" s="2" t="s">
        <v>3361</v>
      </c>
      <c r="B3563" s="2" t="s">
        <v>709</v>
      </c>
      <c r="C3563" s="2">
        <v>1035.3679999999999</v>
      </c>
      <c r="D3563" s="2">
        <f>HYPERLINK("http://mcb-m6.bioreg.kyushu-u.ac.jp/M3/20110318/F50620/1032/1", 35.74)</f>
        <v>35.74</v>
      </c>
      <c r="E3563" s="2">
        <v>18.739999999999998</v>
      </c>
      <c r="F3563" s="2">
        <v>1</v>
      </c>
      <c r="G3563" s="2" t="s">
        <v>9</v>
      </c>
    </row>
    <row r="3564" spans="1:8" x14ac:dyDescent="0.2">
      <c r="A3564" s="2" t="s">
        <v>3361</v>
      </c>
      <c r="B3564" s="2" t="s">
        <v>309</v>
      </c>
      <c r="C3564" s="2">
        <v>822.25710000000004</v>
      </c>
      <c r="D3564" s="2">
        <f>HYPERLINK("http://mcb-m6.bioreg.kyushu-u.ac.jp/M3/20110318/F50621/1812/1", 43.58)</f>
        <v>43.58</v>
      </c>
      <c r="E3564" s="2">
        <v>32.32</v>
      </c>
      <c r="F3564" s="2">
        <v>2</v>
      </c>
      <c r="G3564" s="2" t="s">
        <v>9</v>
      </c>
    </row>
    <row r="3565" spans="1:8" x14ac:dyDescent="0.2">
      <c r="A3565" s="2" t="s">
        <v>3361</v>
      </c>
      <c r="B3565" s="2" t="s">
        <v>692</v>
      </c>
      <c r="C3565" s="2">
        <v>596.67610000000002</v>
      </c>
      <c r="D3565" s="2">
        <f>HYPERLINK("http://mcb-m6.bioreg.kyushu-u.ac.jp/M3/20110318/F50620/1227/1", 48.38)</f>
        <v>48.38</v>
      </c>
      <c r="E3565" s="2">
        <v>7.14</v>
      </c>
      <c r="F3565" s="2">
        <v>2</v>
      </c>
      <c r="G3565" s="2" t="s">
        <v>9</v>
      </c>
    </row>
    <row r="3566" spans="1:8" x14ac:dyDescent="0.2">
      <c r="A3566" s="2" t="s">
        <v>3361</v>
      </c>
      <c r="B3566" s="2" t="s">
        <v>816</v>
      </c>
      <c r="C3566" s="2">
        <v>774.2867</v>
      </c>
      <c r="D3566" s="2">
        <f>HYPERLINK("http://mcb-m6.bioreg.kyushu-u.ac.jp/M3/20110318/F50620/1858/1", 49.04)</f>
        <v>49.04</v>
      </c>
      <c r="E3566" s="2">
        <v>22.85</v>
      </c>
      <c r="F3566" s="2">
        <v>2</v>
      </c>
      <c r="G3566" s="2" t="s">
        <v>9</v>
      </c>
      <c r="H3566" s="2" t="s">
        <v>4927</v>
      </c>
    </row>
    <row r="3567" spans="1:8" x14ac:dyDescent="0.2">
      <c r="A3567" s="2" t="s">
        <v>3361</v>
      </c>
      <c r="B3567" s="2" t="s">
        <v>2035</v>
      </c>
      <c r="C3567" s="2">
        <v>986.38400000000001</v>
      </c>
      <c r="D3567" s="2">
        <f>HYPERLINK("http://mcb-m6.bioreg.kyushu-u.ac.jp/M3/20110318/F50620/956/1", 49.99)</f>
        <v>49.99</v>
      </c>
      <c r="E3567" s="2">
        <v>6.77</v>
      </c>
      <c r="F3567" s="2">
        <v>1</v>
      </c>
      <c r="G3567" s="2" t="s">
        <v>9</v>
      </c>
    </row>
    <row r="3568" spans="1:8" x14ac:dyDescent="0.2">
      <c r="A3568" s="2" t="s">
        <v>3361</v>
      </c>
      <c r="B3568" s="2" t="s">
        <v>629</v>
      </c>
      <c r="C3568" s="2">
        <v>1216.3679999999999</v>
      </c>
      <c r="D3568" s="2">
        <f>HYPERLINK("http://mcb-m6.bioreg.kyushu-u.ac.jp/M3/20110318/F50620/1261/1", 50.96)</f>
        <v>50.96</v>
      </c>
      <c r="E3568" s="2">
        <v>22.01</v>
      </c>
      <c r="F3568" s="2">
        <v>1</v>
      </c>
      <c r="G3568" s="2" t="s">
        <v>9</v>
      </c>
    </row>
    <row r="3569" spans="1:8" x14ac:dyDescent="0.2">
      <c r="A3569" s="2" t="s">
        <v>3361</v>
      </c>
      <c r="B3569" s="2" t="s">
        <v>629</v>
      </c>
      <c r="C3569" s="2">
        <v>608.96720000000005</v>
      </c>
      <c r="D3569" s="2">
        <f>HYPERLINK("http://mcb-m6.bioreg.kyushu-u.ac.jp/M3/20110318/F50606/1080/1", 55)</f>
        <v>55</v>
      </c>
      <c r="E3569" s="2">
        <v>31.95</v>
      </c>
      <c r="F3569" s="2">
        <v>2</v>
      </c>
      <c r="G3569" s="2" t="s">
        <v>9</v>
      </c>
    </row>
    <row r="3570" spans="1:8" x14ac:dyDescent="0.2">
      <c r="A3570" s="2" t="s">
        <v>3361</v>
      </c>
      <c r="B3570" s="2" t="s">
        <v>692</v>
      </c>
      <c r="C3570" s="2">
        <v>604.70119999999997</v>
      </c>
      <c r="D3570" s="2">
        <f>HYPERLINK("http://mcb-m6.bioreg.kyushu-u.ac.jp/M3/20110318/F50620/1248/1", 55.81)</f>
        <v>55.81</v>
      </c>
      <c r="E3570" s="2">
        <v>31.23</v>
      </c>
      <c r="F3570" s="2">
        <v>2</v>
      </c>
      <c r="G3570" s="2" t="s">
        <v>9</v>
      </c>
      <c r="H3570" s="2" t="s">
        <v>4917</v>
      </c>
    </row>
    <row r="3571" spans="1:8" x14ac:dyDescent="0.2">
      <c r="A3571" s="2" t="s">
        <v>3361</v>
      </c>
      <c r="B3571" s="2" t="s">
        <v>736</v>
      </c>
      <c r="C3571" s="2">
        <v>1091.2660000000001</v>
      </c>
      <c r="D3571" s="2">
        <f>HYPERLINK("http://mcb-m6.bioreg.kyushu-u.ac.jp/M3/20110318/F50620/1088/1", 59.17)</f>
        <v>59.17</v>
      </c>
      <c r="E3571" s="2">
        <v>30.77</v>
      </c>
      <c r="F3571" s="2">
        <v>1</v>
      </c>
      <c r="G3571" s="2" t="s">
        <v>9</v>
      </c>
    </row>
    <row r="3572" spans="1:8" x14ac:dyDescent="0.2">
      <c r="A3572" s="2" t="s">
        <v>3361</v>
      </c>
      <c r="B3572" s="2" t="s">
        <v>864</v>
      </c>
      <c r="C3572" s="2">
        <v>1391.317</v>
      </c>
      <c r="D3572" s="2">
        <f>HYPERLINK("http://mcb-m6.bioreg.kyushu-u.ac.jp/M3/20110318/F50620/1454/1", 60.83)</f>
        <v>60.83</v>
      </c>
      <c r="E3572" s="2">
        <v>38.229999999999997</v>
      </c>
      <c r="F3572" s="2">
        <v>1</v>
      </c>
      <c r="G3572" s="2" t="s">
        <v>9</v>
      </c>
    </row>
    <row r="3573" spans="1:8" x14ac:dyDescent="0.2">
      <c r="A3573" s="2" t="s">
        <v>3361</v>
      </c>
      <c r="B3573" s="2" t="s">
        <v>878</v>
      </c>
      <c r="C3573" s="2">
        <v>573.78309999999999</v>
      </c>
      <c r="D3573" s="2">
        <f>HYPERLINK("http://mcb-m6.bioreg.kyushu-u.ac.jp/M3/20110318/F50620/1148/1", 61.45)</f>
        <v>61.45</v>
      </c>
      <c r="E3573" s="2">
        <v>26.35</v>
      </c>
      <c r="F3573" s="2">
        <v>2</v>
      </c>
      <c r="G3573" s="2" t="s">
        <v>9</v>
      </c>
    </row>
    <row r="3574" spans="1:8" x14ac:dyDescent="0.2">
      <c r="A3574" s="2" t="s">
        <v>3361</v>
      </c>
      <c r="B3574" s="2" t="s">
        <v>2035</v>
      </c>
      <c r="C3574" s="2">
        <v>493.84609999999998</v>
      </c>
      <c r="D3574" s="2">
        <f>HYPERLINK("http://mcb-m6.bioreg.kyushu-u.ac.jp/M3/20110318/F50620/957/1", 61.51)</f>
        <v>61.51</v>
      </c>
      <c r="E3574" s="2">
        <v>19.010000000000002</v>
      </c>
      <c r="F3574" s="2">
        <v>2</v>
      </c>
      <c r="G3574" s="2" t="s">
        <v>9</v>
      </c>
    </row>
    <row r="3575" spans="1:8" x14ac:dyDescent="0.2">
      <c r="A3575" s="2" t="s">
        <v>3361</v>
      </c>
      <c r="B3575" s="2" t="s">
        <v>1371</v>
      </c>
      <c r="C3575" s="2">
        <v>564.80110000000002</v>
      </c>
      <c r="D3575" s="2">
        <f>HYPERLINK("http://mcb-m6.bioreg.kyushu-u.ac.jp/M3/20110318/F50620/1124/1", 62.26)</f>
        <v>62.26</v>
      </c>
      <c r="E3575" s="2">
        <v>32.1</v>
      </c>
      <c r="F3575" s="2">
        <v>2</v>
      </c>
      <c r="G3575" s="2" t="s">
        <v>9</v>
      </c>
    </row>
    <row r="3576" spans="1:8" x14ac:dyDescent="0.2">
      <c r="A3576" s="2" t="s">
        <v>3361</v>
      </c>
      <c r="B3576" s="2" t="s">
        <v>309</v>
      </c>
      <c r="C3576" s="2">
        <v>822.61609999999996</v>
      </c>
      <c r="D3576" s="2">
        <f>HYPERLINK("http://mcb-m6.bioreg.kyushu-u.ac.jp/M3/20110318/F50606/1774/1", 75.84)</f>
        <v>75.84</v>
      </c>
      <c r="E3576" s="2">
        <v>61.43</v>
      </c>
      <c r="F3576" s="2">
        <v>2</v>
      </c>
      <c r="G3576" s="2" t="s">
        <v>9</v>
      </c>
    </row>
    <row r="3577" spans="1:8" x14ac:dyDescent="0.2">
      <c r="A3577" s="2" t="s">
        <v>3361</v>
      </c>
      <c r="B3577" s="2" t="s">
        <v>1998</v>
      </c>
      <c r="C3577" s="2">
        <v>756.82119999999998</v>
      </c>
      <c r="D3577" s="2">
        <f>HYPERLINK("http://mcb-m6.bioreg.kyushu-u.ac.jp/M3/20110318/F50620/1712/1", 77.64)</f>
        <v>77.64</v>
      </c>
      <c r="E3577" s="2">
        <v>61.88</v>
      </c>
      <c r="F3577" s="2">
        <v>2</v>
      </c>
      <c r="G3577" s="2" t="s">
        <v>9</v>
      </c>
    </row>
    <row r="3578" spans="1:8" x14ac:dyDescent="0.2">
      <c r="A3578" s="2" t="s">
        <v>3361</v>
      </c>
      <c r="B3578" s="2" t="s">
        <v>1405</v>
      </c>
      <c r="C3578" s="2">
        <v>637.78219999999999</v>
      </c>
      <c r="D3578" s="2">
        <f>HYPERLINK("http://mcb-m6.bioreg.kyushu-u.ac.jp/M3/20110318/F50620/1314/1", 78.3)</f>
        <v>78.3</v>
      </c>
      <c r="E3578" s="2">
        <v>33.46</v>
      </c>
      <c r="F3578" s="2">
        <v>2</v>
      </c>
      <c r="G3578" s="2" t="s">
        <v>9</v>
      </c>
    </row>
    <row r="3579" spans="1:8" x14ac:dyDescent="0.2">
      <c r="A3579" s="2" t="s">
        <v>3361</v>
      </c>
      <c r="B3579" s="2" t="s">
        <v>309</v>
      </c>
      <c r="C3579" s="2">
        <v>822.72919999999999</v>
      </c>
      <c r="D3579" s="2">
        <f>HYPERLINK("http://mcb-m6.bioreg.kyushu-u.ac.jp/M3/20110318/F50620/2018/1", 79.26)</f>
        <v>79.260000000000005</v>
      </c>
      <c r="E3579" s="2">
        <v>60.83</v>
      </c>
      <c r="F3579" s="2">
        <v>2</v>
      </c>
      <c r="G3579" s="2" t="s">
        <v>9</v>
      </c>
    </row>
    <row r="3580" spans="1:8" x14ac:dyDescent="0.2">
      <c r="A3580" s="2" t="s">
        <v>3361</v>
      </c>
      <c r="B3580" s="2" t="s">
        <v>309</v>
      </c>
      <c r="C3580" s="2">
        <v>822.93370000000004</v>
      </c>
      <c r="D3580" s="2">
        <f>HYPERLINK("http://mcb-m6.bioreg.kyushu-u.ac.jp/M3/20110318/F50607/1829/1", 80.89)</f>
        <v>80.89</v>
      </c>
      <c r="E3580" s="2">
        <v>67.17</v>
      </c>
      <c r="F3580" s="2">
        <v>2</v>
      </c>
      <c r="G3580" s="2" t="s">
        <v>9</v>
      </c>
    </row>
    <row r="3581" spans="1:8" x14ac:dyDescent="0.2">
      <c r="A3581" s="2" t="s">
        <v>3361</v>
      </c>
      <c r="B3581" s="2" t="s">
        <v>629</v>
      </c>
      <c r="C3581" s="2">
        <v>608.70010000000002</v>
      </c>
      <c r="D3581" s="2">
        <f>HYPERLINK("http://mcb-m6.bioreg.kyushu-u.ac.jp/M3/20110318/F50620/1262/1", 81.56)</f>
        <v>81.56</v>
      </c>
      <c r="E3581" s="2">
        <v>39.229999999999997</v>
      </c>
      <c r="F3581" s="2">
        <v>2</v>
      </c>
      <c r="G3581" s="2" t="s">
        <v>9</v>
      </c>
    </row>
    <row r="3582" spans="1:8" x14ac:dyDescent="0.2">
      <c r="A3582" s="2" t="s">
        <v>3361</v>
      </c>
      <c r="B3582" s="2" t="s">
        <v>864</v>
      </c>
      <c r="C3582" s="2">
        <v>696.28309999999999</v>
      </c>
      <c r="D3582" s="2">
        <f>HYPERLINK("http://mcb-m6.bioreg.kyushu-u.ac.jp/M3/20110318/F50621/1372/1", 85.17)</f>
        <v>85.17</v>
      </c>
      <c r="E3582" s="2">
        <v>66</v>
      </c>
      <c r="F3582" s="2">
        <v>2</v>
      </c>
      <c r="G3582" s="2" t="s">
        <v>9</v>
      </c>
    </row>
    <row r="3583" spans="1:8" x14ac:dyDescent="0.2">
      <c r="A3583" s="2" t="s">
        <v>3361</v>
      </c>
      <c r="B3583" s="2" t="s">
        <v>1313</v>
      </c>
      <c r="C3583" s="2">
        <v>821.75459999999998</v>
      </c>
      <c r="D3583" s="2">
        <f>HYPERLINK("http://mcb-m6.bioreg.kyushu-u.ac.jp/M3/20110318/F50620/2016/1", 89.32)</f>
        <v>89.32</v>
      </c>
      <c r="E3583" s="2">
        <v>67.150000000000006</v>
      </c>
      <c r="F3583" s="2">
        <v>2</v>
      </c>
      <c r="G3583" s="2" t="s">
        <v>9</v>
      </c>
    </row>
    <row r="3584" spans="1:8" x14ac:dyDescent="0.2">
      <c r="A3584" s="2" t="s">
        <v>3361</v>
      </c>
      <c r="B3584" s="2" t="s">
        <v>578</v>
      </c>
      <c r="C3584" s="2">
        <v>896.80160000000001</v>
      </c>
      <c r="D3584" s="2">
        <f>HYPERLINK("http://mcb-m6.bioreg.kyushu-u.ac.jp/M3/20110318/F50620/2224/1", 93.79)</f>
        <v>93.79</v>
      </c>
      <c r="E3584" s="2">
        <v>71.48</v>
      </c>
      <c r="F3584" s="2">
        <v>2</v>
      </c>
      <c r="G3584" s="2" t="s">
        <v>9</v>
      </c>
    </row>
    <row r="3585" spans="1:7" x14ac:dyDescent="0.2">
      <c r="A3585" s="2" t="s">
        <v>3361</v>
      </c>
      <c r="B3585" s="2" t="s">
        <v>864</v>
      </c>
      <c r="C3585" s="2">
        <v>696.2722</v>
      </c>
      <c r="D3585" s="2">
        <f>HYPERLINK("http://mcb-m6.bioreg.kyushu-u.ac.jp/M3/20110318/F50620/1455/1", 96.79)</f>
        <v>96.79</v>
      </c>
      <c r="E3585" s="2">
        <v>70.08</v>
      </c>
      <c r="F3585" s="2">
        <v>2</v>
      </c>
      <c r="G3585" s="2" t="s">
        <v>9</v>
      </c>
    </row>
    <row r="3586" spans="1:7" x14ac:dyDescent="0.2">
      <c r="A3586" s="2" t="s">
        <v>3361</v>
      </c>
      <c r="B3586" s="2" t="s">
        <v>816</v>
      </c>
      <c r="C3586" s="2">
        <v>766.13959999999997</v>
      </c>
      <c r="D3586" s="2">
        <f>HYPERLINK("http://mcb-m6.bioreg.kyushu-u.ac.jp/M3/20110318/F50620/1791/1", 105.52)</f>
        <v>105.52</v>
      </c>
      <c r="E3586" s="2">
        <v>79.709999999999994</v>
      </c>
      <c r="F3586" s="2">
        <v>2</v>
      </c>
      <c r="G3586" s="2" t="s">
        <v>9</v>
      </c>
    </row>
    <row r="3587" spans="1:7" x14ac:dyDescent="0.2">
      <c r="A3587" s="2" t="s">
        <v>3361</v>
      </c>
      <c r="B3587" s="2" t="s">
        <v>1313</v>
      </c>
      <c r="C3587" s="2">
        <v>821.98519999999996</v>
      </c>
      <c r="D3587" s="2">
        <f>HYPERLINK("http://mcb-m6.bioreg.kyushu-u.ac.jp/M3/20110318/F50616/2030/1", 38.97)</f>
        <v>38.97</v>
      </c>
      <c r="E3587" s="2">
        <v>25.97</v>
      </c>
      <c r="F3587" s="2">
        <v>2</v>
      </c>
      <c r="G3587" s="2" t="s">
        <v>10</v>
      </c>
    </row>
    <row r="3588" spans="1:7" x14ac:dyDescent="0.2">
      <c r="A3588" s="2" t="s">
        <v>3361</v>
      </c>
      <c r="B3588" s="2" t="s">
        <v>2035</v>
      </c>
      <c r="C3588" s="2">
        <v>493.93009999999998</v>
      </c>
      <c r="D3588" s="2">
        <f>HYPERLINK("http://mcb-m6.bioreg.kyushu-u.ac.jp/M3/20110318/F50616/964/1", 43.6)</f>
        <v>43.6</v>
      </c>
      <c r="E3588" s="2">
        <v>11.71</v>
      </c>
      <c r="F3588" s="2">
        <v>2</v>
      </c>
      <c r="G3588" s="2" t="s">
        <v>10</v>
      </c>
    </row>
    <row r="3589" spans="1:7" x14ac:dyDescent="0.2">
      <c r="A3589" s="2" t="s">
        <v>3361</v>
      </c>
      <c r="B3589" s="2" t="s">
        <v>878</v>
      </c>
      <c r="C3589" s="2">
        <v>574.09559999999999</v>
      </c>
      <c r="D3589" s="2">
        <f>HYPERLINK("http://mcb-m6.bioreg.kyushu-u.ac.jp/M3/20110318/F50597/1077/1", 44.09)</f>
        <v>44.09</v>
      </c>
      <c r="E3589" s="2">
        <v>15.17</v>
      </c>
      <c r="F3589" s="2">
        <v>2</v>
      </c>
      <c r="G3589" s="2" t="s">
        <v>10</v>
      </c>
    </row>
    <row r="3590" spans="1:7" x14ac:dyDescent="0.2">
      <c r="A3590" s="2" t="s">
        <v>3361</v>
      </c>
      <c r="B3590" s="2" t="s">
        <v>309</v>
      </c>
      <c r="C3590" s="2">
        <v>822.29520000000002</v>
      </c>
      <c r="D3590" s="2">
        <f>HYPERLINK("http://mcb-m6.bioreg.kyushu-u.ac.jp/M3/20110318/F50598/1850/1", 54.13)</f>
        <v>54.13</v>
      </c>
      <c r="E3590" s="2">
        <v>30.59</v>
      </c>
      <c r="F3590" s="2">
        <v>2</v>
      </c>
      <c r="G3590" s="2" t="s">
        <v>10</v>
      </c>
    </row>
    <row r="3591" spans="1:7" x14ac:dyDescent="0.2">
      <c r="A3591" s="2" t="s">
        <v>3361</v>
      </c>
      <c r="B3591" s="2" t="s">
        <v>709</v>
      </c>
      <c r="C3591" s="2">
        <v>518.34860000000003</v>
      </c>
      <c r="D3591" s="2">
        <f>HYPERLINK("http://mcb-m6.bioreg.kyushu-u.ac.jp/M3/20110318/F50597/935/1", 63.54)</f>
        <v>63.54</v>
      </c>
      <c r="E3591" s="2">
        <v>41.38</v>
      </c>
      <c r="F3591" s="2">
        <v>2</v>
      </c>
      <c r="G3591" s="2" t="s">
        <v>10</v>
      </c>
    </row>
    <row r="3592" spans="1:7" x14ac:dyDescent="0.2">
      <c r="A3592" s="2" t="s">
        <v>3361</v>
      </c>
      <c r="B3592" s="2" t="s">
        <v>629</v>
      </c>
      <c r="C3592" s="2">
        <v>608.89419999999996</v>
      </c>
      <c r="D3592" s="2">
        <f>HYPERLINK("http://mcb-m6.bioreg.kyushu-u.ac.jp/M3/20110318/F50616/1262/1", 67.95)</f>
        <v>67.95</v>
      </c>
      <c r="E3592" s="2">
        <v>37.99</v>
      </c>
      <c r="F3592" s="2">
        <v>2</v>
      </c>
      <c r="G3592" s="2" t="s">
        <v>10</v>
      </c>
    </row>
    <row r="3593" spans="1:7" x14ac:dyDescent="0.2">
      <c r="A3593" s="2" t="s">
        <v>3361</v>
      </c>
      <c r="B3593" s="2" t="s">
        <v>309</v>
      </c>
      <c r="C3593" s="2">
        <v>822.08169999999996</v>
      </c>
      <c r="D3593" s="2">
        <f>HYPERLINK("http://mcb-m6.bioreg.kyushu-u.ac.jp/M3/20110318/F50617/1896/1", 67.96)</f>
        <v>67.959999999999994</v>
      </c>
      <c r="E3593" s="2">
        <v>44.98</v>
      </c>
      <c r="F3593" s="2">
        <v>2</v>
      </c>
      <c r="G3593" s="2" t="s">
        <v>10</v>
      </c>
    </row>
    <row r="3594" spans="1:7" x14ac:dyDescent="0.2">
      <c r="A3594" s="2" t="s">
        <v>3361</v>
      </c>
      <c r="B3594" s="2" t="s">
        <v>309</v>
      </c>
      <c r="C3594" s="2">
        <v>822.42359999999996</v>
      </c>
      <c r="D3594" s="2">
        <f>HYPERLINK("http://mcb-m6.bioreg.kyushu-u.ac.jp/M3/20110318/F50616/2034/1", 75.25)</f>
        <v>75.25</v>
      </c>
      <c r="E3594" s="2">
        <v>58.01</v>
      </c>
      <c r="F3594" s="2">
        <v>2</v>
      </c>
      <c r="G3594" s="2" t="s">
        <v>10</v>
      </c>
    </row>
    <row r="3595" spans="1:7" x14ac:dyDescent="0.2">
      <c r="A3595" s="2" t="s">
        <v>3361</v>
      </c>
      <c r="B3595" s="2" t="s">
        <v>309</v>
      </c>
      <c r="C3595" s="2">
        <v>822.61969999999997</v>
      </c>
      <c r="D3595" s="2">
        <f>HYPERLINK("http://mcb-m6.bioreg.kyushu-u.ac.jp/M3/20110318/F50597/1929/1", 78.64)</f>
        <v>78.64</v>
      </c>
      <c r="E3595" s="2">
        <v>62.49</v>
      </c>
      <c r="F3595" s="2">
        <v>2</v>
      </c>
      <c r="G3595" s="2" t="s">
        <v>10</v>
      </c>
    </row>
    <row r="3596" spans="1:7" x14ac:dyDescent="0.2">
      <c r="A3596" s="2" t="s">
        <v>3361</v>
      </c>
      <c r="B3596" s="2" t="s">
        <v>975</v>
      </c>
      <c r="C3596" s="2">
        <v>880.23270000000002</v>
      </c>
      <c r="D3596" s="2">
        <f>HYPERLINK("http://mcb-m6.bioreg.kyushu-u.ac.jp/M3/20110418/F50974/2729/1", 39.12)</f>
        <v>39.119999999999997</v>
      </c>
      <c r="E3596" s="2">
        <v>23.76</v>
      </c>
      <c r="F3596" s="2">
        <v>2</v>
      </c>
      <c r="G3596" s="2" t="s">
        <v>11</v>
      </c>
    </row>
    <row r="3597" spans="1:7" x14ac:dyDescent="0.2">
      <c r="A3597" s="2" t="s">
        <v>3361</v>
      </c>
      <c r="B3597" s="2" t="s">
        <v>629</v>
      </c>
      <c r="C3597" s="2">
        <v>1216.3820000000001</v>
      </c>
      <c r="D3597" s="2">
        <f>HYPERLINK("http://mcb-m6.bioreg.kyushu-u.ac.jp/M3/20110418/F50974/1457/1", 45.47)</f>
        <v>45.47</v>
      </c>
      <c r="E3597" s="2">
        <v>21.12</v>
      </c>
      <c r="F3597" s="2">
        <v>1</v>
      </c>
      <c r="G3597" s="2" t="s">
        <v>11</v>
      </c>
    </row>
    <row r="3598" spans="1:7" x14ac:dyDescent="0.2">
      <c r="A3598" s="2" t="s">
        <v>3361</v>
      </c>
      <c r="B3598" s="2" t="s">
        <v>2035</v>
      </c>
      <c r="C3598" s="2">
        <v>493.64760000000001</v>
      </c>
      <c r="D3598" s="2">
        <f>HYPERLINK("http://mcb-m6.bioreg.kyushu-u.ac.jp/M3/20110418/F50974/933/1", 45.91)</f>
        <v>45.91</v>
      </c>
      <c r="E3598" s="2">
        <v>16.059999999999999</v>
      </c>
      <c r="F3598" s="2">
        <v>2</v>
      </c>
      <c r="G3598" s="2" t="s">
        <v>11</v>
      </c>
    </row>
    <row r="3599" spans="1:7" x14ac:dyDescent="0.2">
      <c r="A3599" s="2" t="s">
        <v>3361</v>
      </c>
      <c r="B3599" s="2" t="s">
        <v>629</v>
      </c>
      <c r="C3599" s="2">
        <v>608.8691</v>
      </c>
      <c r="D3599" s="2">
        <f>HYPERLINK("http://mcb-m6.bioreg.kyushu-u.ac.jp/M3/20110418/F50974/1458/1", 62.56)</f>
        <v>62.56</v>
      </c>
      <c r="E3599" s="2">
        <v>26.01</v>
      </c>
      <c r="F3599" s="2">
        <v>2</v>
      </c>
      <c r="G3599" s="2" t="s">
        <v>11</v>
      </c>
    </row>
    <row r="3600" spans="1:7" x14ac:dyDescent="0.2">
      <c r="A3600" s="2" t="s">
        <v>3361</v>
      </c>
      <c r="B3600" s="2" t="s">
        <v>709</v>
      </c>
      <c r="C3600" s="2">
        <v>518.22059999999999</v>
      </c>
      <c r="D3600" s="2">
        <f>HYPERLINK("http://mcb-m6.bioreg.kyushu-u.ac.jp/M3/20110418/F50974/1036/1", 71.89)</f>
        <v>71.89</v>
      </c>
      <c r="E3600" s="2">
        <v>43.85</v>
      </c>
      <c r="F3600" s="2">
        <v>2</v>
      </c>
      <c r="G3600" s="2" t="s">
        <v>11</v>
      </c>
    </row>
    <row r="3601" spans="1:7" x14ac:dyDescent="0.2">
      <c r="A3601" s="2" t="s">
        <v>3361</v>
      </c>
      <c r="B3601" s="2" t="s">
        <v>309</v>
      </c>
      <c r="C3601" s="2">
        <v>822.13509999999997</v>
      </c>
      <c r="D3601" s="2">
        <f>HYPERLINK("http://mcb-m6.bioreg.kyushu-u.ac.jp/M3/20110418/F50974/2478/1", 75.15)</f>
        <v>75.150000000000006</v>
      </c>
      <c r="E3601" s="2">
        <v>54.74</v>
      </c>
      <c r="F3601" s="2">
        <v>2</v>
      </c>
      <c r="G3601" s="2" t="s">
        <v>11</v>
      </c>
    </row>
    <row r="3602" spans="1:7" x14ac:dyDescent="0.2">
      <c r="A3602" s="2" t="s">
        <v>3361</v>
      </c>
      <c r="B3602" s="2" t="s">
        <v>629</v>
      </c>
      <c r="C3602" s="2">
        <v>608.94320000000005</v>
      </c>
      <c r="D3602" s="2">
        <f>HYPERLINK("http://mcb-m6.bioreg.kyushu-u.ac.jp/M3/20110418/F50996/1571/1", 80.42)</f>
        <v>80.42</v>
      </c>
      <c r="E3602" s="2">
        <v>52.69</v>
      </c>
      <c r="F3602" s="2">
        <v>2</v>
      </c>
      <c r="G3602" s="2" t="s">
        <v>11</v>
      </c>
    </row>
    <row r="3603" spans="1:7" x14ac:dyDescent="0.2">
      <c r="A3603" s="2" t="s">
        <v>3361</v>
      </c>
      <c r="B3603" s="2" t="s">
        <v>864</v>
      </c>
      <c r="C3603" s="2">
        <v>696.65769999999998</v>
      </c>
      <c r="D3603" s="2">
        <f>HYPERLINK("http://mcb-m6.bioreg.kyushu-u.ac.jp/M3/20110418/F50974/1855/1", 82.2)</f>
        <v>82.2</v>
      </c>
      <c r="E3603" s="2">
        <v>67.19</v>
      </c>
      <c r="F3603" s="2">
        <v>2</v>
      </c>
      <c r="G3603" s="2" t="s">
        <v>11</v>
      </c>
    </row>
    <row r="3604" spans="1:7" x14ac:dyDescent="0.2">
      <c r="A3604" s="2" t="s">
        <v>3361</v>
      </c>
      <c r="B3604" s="2" t="s">
        <v>1313</v>
      </c>
      <c r="C3604" s="2">
        <v>821.97220000000004</v>
      </c>
      <c r="D3604" s="2">
        <f>HYPERLINK("http://mcb-m6.bioreg.kyushu-u.ac.jp/M3/20110418/F50997/2316/1", 43.09)</f>
        <v>43.09</v>
      </c>
      <c r="E3604" s="2">
        <v>32.72</v>
      </c>
      <c r="F3604" s="2">
        <v>2</v>
      </c>
      <c r="G3604" s="2" t="s">
        <v>12</v>
      </c>
    </row>
    <row r="3605" spans="1:7" x14ac:dyDescent="0.2">
      <c r="A3605" s="2" t="s">
        <v>3361</v>
      </c>
      <c r="B3605" s="2" t="s">
        <v>309</v>
      </c>
      <c r="C3605" s="2">
        <v>822.34619999999995</v>
      </c>
      <c r="D3605" s="2">
        <f>HYPERLINK("http://mcb-m6.bioreg.kyushu-u.ac.jp/M3/20110418/F50997/2317/1", 48.22)</f>
        <v>48.22</v>
      </c>
      <c r="E3605" s="2">
        <v>38.18</v>
      </c>
      <c r="F3605" s="2">
        <v>2</v>
      </c>
      <c r="G3605" s="2" t="s">
        <v>12</v>
      </c>
    </row>
    <row r="3606" spans="1:7" x14ac:dyDescent="0.2">
      <c r="A3606" s="2" t="s">
        <v>3361</v>
      </c>
      <c r="B3606" s="2" t="s">
        <v>709</v>
      </c>
      <c r="C3606" s="2">
        <v>518.20420000000001</v>
      </c>
      <c r="D3606" s="2">
        <f>HYPERLINK("http://mcb-m6.bioreg.kyushu-u.ac.jp/M3/20110418/F50997/1227/1", 49.58)</f>
        <v>49.58</v>
      </c>
      <c r="E3606" s="2">
        <v>24.43</v>
      </c>
      <c r="F3606" s="2">
        <v>2</v>
      </c>
      <c r="G3606" s="2" t="s">
        <v>12</v>
      </c>
    </row>
    <row r="3607" spans="1:7" x14ac:dyDescent="0.2">
      <c r="A3607" s="2" t="s">
        <v>3361</v>
      </c>
      <c r="B3607" s="2" t="s">
        <v>629</v>
      </c>
      <c r="C3607" s="2">
        <v>1216.452</v>
      </c>
      <c r="D3607" s="2">
        <f>HYPERLINK("http://mcb-m6.bioreg.kyushu-u.ac.jp/M3/20110418/F50984/1845/1", 51.88)</f>
        <v>51.88</v>
      </c>
      <c r="E3607" s="2">
        <v>27.61</v>
      </c>
      <c r="F3607" s="2">
        <v>1</v>
      </c>
      <c r="G3607" s="2" t="s">
        <v>12</v>
      </c>
    </row>
    <row r="3608" spans="1:7" x14ac:dyDescent="0.2">
      <c r="A3608" s="2" t="s">
        <v>3361</v>
      </c>
      <c r="B3608" s="2" t="s">
        <v>629</v>
      </c>
      <c r="C3608" s="2">
        <v>1216.4490000000001</v>
      </c>
      <c r="D3608" s="2">
        <f>HYPERLINK("http://mcb-m6.bioreg.kyushu-u.ac.jp/M3/20110418/F50997/1544/1", 55.85)</f>
        <v>55.85</v>
      </c>
      <c r="E3608" s="2">
        <v>38.92</v>
      </c>
      <c r="F3608" s="2">
        <v>1</v>
      </c>
      <c r="G3608" s="2" t="s">
        <v>12</v>
      </c>
    </row>
    <row r="3609" spans="1:7" x14ac:dyDescent="0.2">
      <c r="A3609" s="2" t="s">
        <v>3361</v>
      </c>
      <c r="B3609" s="2" t="s">
        <v>692</v>
      </c>
      <c r="C3609" s="2">
        <v>596.89319999999998</v>
      </c>
      <c r="D3609" s="2">
        <f>HYPERLINK("http://mcb-m6.bioreg.kyushu-u.ac.jp/M3/20110418/F50997/1496/1", 55.94)</f>
        <v>55.94</v>
      </c>
      <c r="E3609" s="2">
        <v>18.29</v>
      </c>
      <c r="F3609" s="2">
        <v>2</v>
      </c>
      <c r="G3609" s="2" t="s">
        <v>12</v>
      </c>
    </row>
    <row r="3610" spans="1:7" x14ac:dyDescent="0.2">
      <c r="A3610" s="2" t="s">
        <v>3361</v>
      </c>
      <c r="B3610" s="2" t="s">
        <v>309</v>
      </c>
      <c r="C3610" s="2">
        <v>822.77260000000001</v>
      </c>
      <c r="D3610" s="2">
        <f>HYPERLINK("http://mcb-m6.bioreg.kyushu-u.ac.jp/M3/20110418/F50984/2295/1", 58.13)</f>
        <v>58.13</v>
      </c>
      <c r="E3610" s="2">
        <v>42.81</v>
      </c>
      <c r="F3610" s="2">
        <v>2</v>
      </c>
      <c r="G3610" s="2" t="s">
        <v>12</v>
      </c>
    </row>
    <row r="3611" spans="1:7" x14ac:dyDescent="0.2">
      <c r="A3611" s="2" t="s">
        <v>3361</v>
      </c>
      <c r="B3611" s="2" t="s">
        <v>629</v>
      </c>
      <c r="C3611" s="2">
        <v>608.72860000000003</v>
      </c>
      <c r="D3611" s="2">
        <f>HYPERLINK("http://mcb-m6.bioreg.kyushu-u.ac.jp/M3/20110418/F50984/1844/1", 72.32)</f>
        <v>72.319999999999993</v>
      </c>
      <c r="E3611" s="2">
        <v>46.82</v>
      </c>
      <c r="F3611" s="2">
        <v>2</v>
      </c>
      <c r="G3611" s="2" t="s">
        <v>12</v>
      </c>
    </row>
    <row r="3612" spans="1:7" x14ac:dyDescent="0.2">
      <c r="A3612" s="2" t="s">
        <v>3361</v>
      </c>
      <c r="B3612" s="2" t="s">
        <v>629</v>
      </c>
      <c r="C3612" s="2">
        <v>1216.53</v>
      </c>
      <c r="D3612" s="2">
        <f>HYPERLINK("http://mcb-m6.bioreg.kyushu-u.ac.jp/M3/20110429/F51157/1111/1", 45.43)</f>
        <v>45.43</v>
      </c>
      <c r="E3612" s="2">
        <v>30.6</v>
      </c>
      <c r="F3612" s="2">
        <v>1</v>
      </c>
      <c r="G3612" s="2" t="s">
        <v>13</v>
      </c>
    </row>
    <row r="3613" spans="1:7" x14ac:dyDescent="0.2">
      <c r="A3613" s="2" t="s">
        <v>3361</v>
      </c>
      <c r="B3613" s="2" t="s">
        <v>2035</v>
      </c>
      <c r="C3613" s="2">
        <v>494.27359999999999</v>
      </c>
      <c r="D3613" s="2">
        <f>HYPERLINK("http://mcb-m6.bioreg.kyushu-u.ac.jp/M3/20110429/F51157/614/1", 45.46)</f>
        <v>45.46</v>
      </c>
      <c r="E3613" s="2">
        <v>6.14</v>
      </c>
      <c r="F3613" s="2">
        <v>2</v>
      </c>
      <c r="G3613" s="2" t="s">
        <v>13</v>
      </c>
    </row>
    <row r="3614" spans="1:7" x14ac:dyDescent="0.2">
      <c r="A3614" s="2" t="s">
        <v>3361</v>
      </c>
      <c r="B3614" s="2" t="s">
        <v>1371</v>
      </c>
      <c r="C3614" s="2">
        <v>564.80520000000001</v>
      </c>
      <c r="D3614" s="2">
        <f>HYPERLINK("http://mcb-m6.bioreg.kyushu-u.ac.jp/M3/20110429/F51157/855/1", 46.02)</f>
        <v>46.02</v>
      </c>
      <c r="E3614" s="2">
        <v>31.67</v>
      </c>
      <c r="F3614" s="2">
        <v>2</v>
      </c>
      <c r="G3614" s="2" t="s">
        <v>13</v>
      </c>
    </row>
    <row r="3615" spans="1:7" x14ac:dyDescent="0.2">
      <c r="A3615" s="2" t="s">
        <v>3361</v>
      </c>
      <c r="B3615" s="2" t="s">
        <v>5518</v>
      </c>
      <c r="C3615" s="2">
        <v>465.78059999999999</v>
      </c>
      <c r="D3615" s="2">
        <f>HYPERLINK("http://mcb-m6.bioreg.kyushu-u.ac.jp/M3/20110429/F51157/531/1", 46.8)</f>
        <v>46.8</v>
      </c>
      <c r="E3615" s="2">
        <v>16.190000000000001</v>
      </c>
      <c r="F3615" s="2">
        <v>2</v>
      </c>
      <c r="G3615" s="2" t="s">
        <v>13</v>
      </c>
    </row>
    <row r="3616" spans="1:7" x14ac:dyDescent="0.2">
      <c r="A3616" s="2" t="s">
        <v>3361</v>
      </c>
      <c r="B3616" s="2" t="s">
        <v>1313</v>
      </c>
      <c r="C3616" s="2">
        <v>821.89419999999996</v>
      </c>
      <c r="D3616" s="2">
        <f>HYPERLINK("http://mcb-m6.bioreg.kyushu-u.ac.jp/M3/20110429/F51157/2132/1", 47.09)</f>
        <v>47.09</v>
      </c>
      <c r="E3616" s="2">
        <v>31.08</v>
      </c>
      <c r="F3616" s="2">
        <v>2</v>
      </c>
      <c r="G3616" s="2" t="s">
        <v>13</v>
      </c>
    </row>
    <row r="3617" spans="1:8" x14ac:dyDescent="0.2">
      <c r="A3617" s="2" t="s">
        <v>3361</v>
      </c>
      <c r="B3617" s="2" t="s">
        <v>1313</v>
      </c>
      <c r="C3617" s="2">
        <v>547.89890000000003</v>
      </c>
      <c r="D3617" s="2">
        <f>HYPERLINK("http://mcb-m6.bioreg.kyushu-u.ac.jp/M3/20110429/F51157/2131/1", 47.94)</f>
        <v>47.94</v>
      </c>
      <c r="E3617" s="2">
        <v>29.29</v>
      </c>
      <c r="F3617" s="2">
        <v>3</v>
      </c>
      <c r="G3617" s="2" t="s">
        <v>13</v>
      </c>
    </row>
    <row r="3618" spans="1:8" x14ac:dyDescent="0.2">
      <c r="A3618" s="2" t="s">
        <v>3361</v>
      </c>
      <c r="B3618" s="2" t="s">
        <v>692</v>
      </c>
      <c r="C3618" s="2">
        <v>605.26120000000003</v>
      </c>
      <c r="D3618" s="2">
        <f>HYPERLINK("http://mcb-m6.bioreg.kyushu-u.ac.jp/M3/20110429/F51157/1098/1", 53.2)</f>
        <v>53.2</v>
      </c>
      <c r="E3618" s="2">
        <v>30.71</v>
      </c>
      <c r="F3618" s="2">
        <v>2</v>
      </c>
      <c r="G3618" s="2" t="s">
        <v>13</v>
      </c>
      <c r="H3618" s="2" t="s">
        <v>4917</v>
      </c>
    </row>
    <row r="3619" spans="1:8" x14ac:dyDescent="0.2">
      <c r="A3619" s="2" t="s">
        <v>3361</v>
      </c>
      <c r="B3619" s="2" t="s">
        <v>878</v>
      </c>
      <c r="C3619" s="2">
        <v>574.20569999999998</v>
      </c>
      <c r="D3619" s="2">
        <f>HYPERLINK("http://mcb-m6.bioreg.kyushu-u.ac.jp/M3/20110429/F51157/920/1", 55.42)</f>
        <v>55.42</v>
      </c>
      <c r="E3619" s="2">
        <v>26.84</v>
      </c>
      <c r="F3619" s="2">
        <v>2</v>
      </c>
      <c r="G3619" s="2" t="s">
        <v>13</v>
      </c>
    </row>
    <row r="3620" spans="1:8" x14ac:dyDescent="0.2">
      <c r="A3620" s="2" t="s">
        <v>3361</v>
      </c>
      <c r="B3620" s="2" t="s">
        <v>153</v>
      </c>
      <c r="C3620" s="2">
        <v>672.88459999999998</v>
      </c>
      <c r="D3620" s="2">
        <f>HYPERLINK("http://mcb-m6.bioreg.kyushu-u.ac.jp/M3/20110429/F51157/1386/1", 56.3)</f>
        <v>56.3</v>
      </c>
      <c r="E3620" s="2">
        <v>35.01</v>
      </c>
      <c r="F3620" s="2">
        <v>2</v>
      </c>
      <c r="G3620" s="2" t="s">
        <v>13</v>
      </c>
    </row>
    <row r="3621" spans="1:8" x14ac:dyDescent="0.2">
      <c r="A3621" s="2" t="s">
        <v>3361</v>
      </c>
      <c r="B3621" s="2" t="s">
        <v>736</v>
      </c>
      <c r="C3621" s="2">
        <v>546.21010000000001</v>
      </c>
      <c r="D3621" s="2">
        <f>HYPERLINK("http://mcb-m6.bioreg.kyushu-u.ac.jp/M3/20110429/F51157/803/1", 61.07)</f>
        <v>61.07</v>
      </c>
      <c r="E3621" s="2">
        <v>31.62</v>
      </c>
      <c r="F3621" s="2">
        <v>2</v>
      </c>
      <c r="G3621" s="2" t="s">
        <v>13</v>
      </c>
    </row>
    <row r="3622" spans="1:8" x14ac:dyDescent="0.2">
      <c r="A3622" s="2" t="s">
        <v>3361</v>
      </c>
      <c r="B3622" s="2" t="s">
        <v>2035</v>
      </c>
      <c r="C3622" s="2">
        <v>493.68560000000002</v>
      </c>
      <c r="D3622" s="2">
        <f>HYPERLINK("http://mcb-m6.bioreg.kyushu-u.ac.jp/M3/20110429/F51157/613/1", 61.16)</f>
        <v>61.16</v>
      </c>
      <c r="E3622" s="2">
        <v>28.05</v>
      </c>
      <c r="F3622" s="2">
        <v>2</v>
      </c>
      <c r="G3622" s="2" t="s">
        <v>13</v>
      </c>
    </row>
    <row r="3623" spans="1:8" x14ac:dyDescent="0.2">
      <c r="A3623" s="2" t="s">
        <v>3361</v>
      </c>
      <c r="B3623" s="2" t="s">
        <v>1371</v>
      </c>
      <c r="C3623" s="2">
        <v>565.33669999999995</v>
      </c>
      <c r="D3623" s="2">
        <f>HYPERLINK("http://mcb-m6.bioreg.kyushu-u.ac.jp/M3/20110429/F51157/859/1", 62.3)</f>
        <v>62.3</v>
      </c>
      <c r="E3623" s="2">
        <v>30.77</v>
      </c>
      <c r="F3623" s="2">
        <v>2</v>
      </c>
      <c r="G3623" s="2" t="s">
        <v>13</v>
      </c>
    </row>
    <row r="3624" spans="1:8" x14ac:dyDescent="0.2">
      <c r="A3624" s="2" t="s">
        <v>3361</v>
      </c>
      <c r="B3624" s="2" t="s">
        <v>878</v>
      </c>
      <c r="C3624" s="2">
        <v>573.66060000000004</v>
      </c>
      <c r="D3624" s="2">
        <f>HYPERLINK("http://mcb-m6.bioreg.kyushu-u.ac.jp/M3/20110429/F51157/915/1", 69.81)</f>
        <v>69.81</v>
      </c>
      <c r="E3624" s="2">
        <v>43.5</v>
      </c>
      <c r="F3624" s="2">
        <v>2</v>
      </c>
      <c r="G3624" s="2" t="s">
        <v>13</v>
      </c>
    </row>
    <row r="3625" spans="1:8" x14ac:dyDescent="0.2">
      <c r="A3625" s="2" t="s">
        <v>3361</v>
      </c>
      <c r="B3625" s="2" t="s">
        <v>309</v>
      </c>
      <c r="C3625" s="2">
        <v>822.28809999999999</v>
      </c>
      <c r="D3625" s="2">
        <f>HYPERLINK("http://mcb-m6.bioreg.kyushu-u.ac.jp/M3/20110429/F51157/2133/1", 71.24)</f>
        <v>71.239999999999995</v>
      </c>
      <c r="E3625" s="2">
        <v>52.95</v>
      </c>
      <c r="F3625" s="2">
        <v>2</v>
      </c>
      <c r="G3625" s="2" t="s">
        <v>13</v>
      </c>
    </row>
    <row r="3626" spans="1:8" x14ac:dyDescent="0.2">
      <c r="A3626" s="2" t="s">
        <v>3361</v>
      </c>
      <c r="B3626" s="2" t="s">
        <v>629</v>
      </c>
      <c r="C3626" s="2">
        <v>608.8116</v>
      </c>
      <c r="D3626" s="2">
        <f>HYPERLINK("http://mcb-m6.bioreg.kyushu-u.ac.jp/M3/20110429/F51157/1113/1", 81.42)</f>
        <v>81.42</v>
      </c>
      <c r="E3626" s="2">
        <v>53.77</v>
      </c>
      <c r="F3626" s="2">
        <v>2</v>
      </c>
      <c r="G3626" s="2" t="s">
        <v>13</v>
      </c>
    </row>
    <row r="3627" spans="1:8" x14ac:dyDescent="0.2">
      <c r="A3627" s="2" t="s">
        <v>3361</v>
      </c>
      <c r="B3627" s="2" t="s">
        <v>864</v>
      </c>
      <c r="C3627" s="2">
        <v>696.80409999999995</v>
      </c>
      <c r="D3627" s="2">
        <f>HYPERLINK("http://mcb-m6.bioreg.kyushu-u.ac.jp/M3/20110429/F51157/1541/1", 88.28)</f>
        <v>88.28</v>
      </c>
      <c r="E3627" s="2">
        <v>72.31</v>
      </c>
      <c r="F3627" s="2">
        <v>2</v>
      </c>
      <c r="G3627" s="2" t="s">
        <v>13</v>
      </c>
    </row>
    <row r="3628" spans="1:8" x14ac:dyDescent="0.2">
      <c r="A3628" s="2" t="s">
        <v>3361</v>
      </c>
      <c r="B3628" s="2" t="s">
        <v>975</v>
      </c>
      <c r="C3628" s="2">
        <v>880.57619999999997</v>
      </c>
      <c r="D3628" s="2">
        <f>HYPERLINK("http://mcb-m6.bioreg.kyushu-u.ac.jp/M3/20110429/F51157/2431/1", 96.45)</f>
        <v>96.45</v>
      </c>
      <c r="E3628" s="2">
        <v>85.97</v>
      </c>
      <c r="F3628" s="2">
        <v>2</v>
      </c>
      <c r="G3628" s="2" t="s">
        <v>13</v>
      </c>
    </row>
    <row r="3629" spans="1:8" x14ac:dyDescent="0.2">
      <c r="A3629" s="2" t="s">
        <v>3361</v>
      </c>
      <c r="B3629" s="2" t="s">
        <v>975</v>
      </c>
      <c r="C3629" s="2">
        <v>881.01459999999997</v>
      </c>
      <c r="D3629" s="2">
        <f>HYPERLINK("http://mcb-m6.bioreg.kyushu-u.ac.jp/M3/20110502/F51159/2534/1", 37.96)</f>
        <v>37.96</v>
      </c>
      <c r="E3629" s="2">
        <v>24.5</v>
      </c>
      <c r="F3629" s="2">
        <v>2</v>
      </c>
      <c r="G3629" s="2" t="s">
        <v>14</v>
      </c>
    </row>
    <row r="3630" spans="1:8" x14ac:dyDescent="0.2">
      <c r="A3630" s="2" t="s">
        <v>3361</v>
      </c>
      <c r="B3630" s="2" t="s">
        <v>709</v>
      </c>
      <c r="C3630" s="2">
        <v>518.44920000000002</v>
      </c>
      <c r="D3630" s="2">
        <f>HYPERLINK("http://mcb-m6.bioreg.kyushu-u.ac.jp/M3/20110502/F51159/1042/1", 38.62)</f>
        <v>38.619999999999997</v>
      </c>
      <c r="E3630" s="2">
        <v>13.94</v>
      </c>
      <c r="F3630" s="2">
        <v>2</v>
      </c>
      <c r="G3630" s="2" t="s">
        <v>14</v>
      </c>
    </row>
    <row r="3631" spans="1:8" x14ac:dyDescent="0.2">
      <c r="A3631" s="2" t="s">
        <v>3361</v>
      </c>
      <c r="B3631" s="2" t="s">
        <v>309</v>
      </c>
      <c r="C3631" s="2">
        <v>822.48419999999999</v>
      </c>
      <c r="D3631" s="2">
        <f>HYPERLINK("http://mcb-m6.bioreg.kyushu-u.ac.jp/M3/20110502/F51159/2312/1", 42.59)</f>
        <v>42.59</v>
      </c>
      <c r="E3631" s="2">
        <v>25.82</v>
      </c>
      <c r="F3631" s="2">
        <v>2</v>
      </c>
      <c r="G3631" s="2" t="s">
        <v>14</v>
      </c>
    </row>
    <row r="3632" spans="1:8" x14ac:dyDescent="0.2">
      <c r="A3632" s="2" t="s">
        <v>3361</v>
      </c>
      <c r="B3632" s="2" t="s">
        <v>309</v>
      </c>
      <c r="C3632" s="2">
        <v>822.45619999999997</v>
      </c>
      <c r="D3632" s="2">
        <f>HYPERLINK("http://mcb-m6.bioreg.kyushu-u.ac.jp/M3/20110502/F51160/2166/1", 61.96)</f>
        <v>61.96</v>
      </c>
      <c r="E3632" s="2">
        <v>40.99</v>
      </c>
      <c r="F3632" s="2">
        <v>2</v>
      </c>
      <c r="G3632" s="2" t="s">
        <v>14</v>
      </c>
    </row>
    <row r="3633" spans="1:9" x14ac:dyDescent="0.2">
      <c r="A3633" s="2" t="s">
        <v>3361</v>
      </c>
      <c r="B3633" s="2" t="s">
        <v>629</v>
      </c>
      <c r="C3633" s="2">
        <v>608.94569999999999</v>
      </c>
      <c r="D3633" s="2">
        <f>HYPERLINK("http://mcb-m6.bioreg.kyushu-u.ac.jp/M3/20110502/F51159/1452/1", 78.66)</f>
        <v>78.66</v>
      </c>
      <c r="E3633" s="2">
        <v>50.36</v>
      </c>
      <c r="F3633" s="2">
        <v>2</v>
      </c>
      <c r="G3633" s="2" t="s">
        <v>14</v>
      </c>
    </row>
    <row r="3634" spans="1:9" x14ac:dyDescent="0.2">
      <c r="A3634" s="2" t="s">
        <v>4066</v>
      </c>
      <c r="B3634" s="2" t="s">
        <v>1442</v>
      </c>
      <c r="C3634" s="2">
        <v>685.82209999999998</v>
      </c>
      <c r="D3634" s="2">
        <f>HYPERLINK("http://mcb-m6.bioreg.kyushu-u.ac.jp/M3/20110418/F50969/1939/1", 67.36)</f>
        <v>67.36</v>
      </c>
      <c r="E3634" s="2">
        <v>48.63</v>
      </c>
      <c r="F3634" s="2">
        <v>2</v>
      </c>
      <c r="G3634" s="2" t="s">
        <v>11</v>
      </c>
    </row>
    <row r="3635" spans="1:9" x14ac:dyDescent="0.2">
      <c r="A3635" s="2" t="s">
        <v>4066</v>
      </c>
      <c r="B3635" s="2" t="s">
        <v>1442</v>
      </c>
      <c r="C3635" s="2">
        <v>686.01369999999997</v>
      </c>
      <c r="D3635" s="2">
        <f>HYPERLINK("http://mcb-m6.bioreg.kyushu-u.ac.jp/M3/20110418/F50980/1960/1", 74.07)</f>
        <v>74.069999999999993</v>
      </c>
      <c r="E3635" s="2">
        <v>65.67</v>
      </c>
      <c r="F3635" s="2">
        <v>2</v>
      </c>
      <c r="G3635" s="2" t="s">
        <v>12</v>
      </c>
    </row>
    <row r="3636" spans="1:9" x14ac:dyDescent="0.2">
      <c r="A3636" s="2" t="s">
        <v>4066</v>
      </c>
      <c r="B3636" s="2" t="s">
        <v>1442</v>
      </c>
      <c r="C3636" s="2">
        <v>686.39120000000003</v>
      </c>
      <c r="D3636" s="2">
        <f>HYPERLINK("http://mcb-m6.bioreg.kyushu-u.ac.jp/M3/20110428/F51146/1837/1", 46.07)</f>
        <v>46.07</v>
      </c>
      <c r="E3636" s="2">
        <v>33.94</v>
      </c>
      <c r="F3636" s="2">
        <v>2</v>
      </c>
      <c r="G3636" s="2" t="s">
        <v>13</v>
      </c>
    </row>
    <row r="3637" spans="1:9" x14ac:dyDescent="0.2">
      <c r="A3637" s="2" t="s">
        <v>3645</v>
      </c>
      <c r="B3637" s="2" t="s">
        <v>571</v>
      </c>
      <c r="C3637" s="2">
        <v>579.0616</v>
      </c>
      <c r="D3637" s="2">
        <f>HYPERLINK("http://mcb-m6.bioreg.kyushu-u.ac.jp/M3/20110428/F51146/1512/1", 41.42)</f>
        <v>41.42</v>
      </c>
      <c r="E3637" s="2">
        <v>17.32</v>
      </c>
      <c r="F3637" s="2">
        <v>2</v>
      </c>
      <c r="G3637" s="2" t="s">
        <v>13</v>
      </c>
    </row>
    <row r="3638" spans="1:9" x14ac:dyDescent="0.2">
      <c r="A3638" s="2" t="s">
        <v>4606</v>
      </c>
      <c r="B3638" s="2" t="s">
        <v>2710</v>
      </c>
      <c r="C3638" s="2">
        <v>758.01869999999997</v>
      </c>
      <c r="D3638" s="2">
        <f>HYPERLINK("http://mcb-m6.bioreg.kyushu-u.ac.jp/M3/20110318/F50597/1682/1", 52.33)</f>
        <v>52.33</v>
      </c>
      <c r="E3638" s="2">
        <v>29.28</v>
      </c>
      <c r="F3638" s="2">
        <v>2</v>
      </c>
      <c r="G3638" s="2" t="s">
        <v>10</v>
      </c>
    </row>
    <row r="3639" spans="1:9" x14ac:dyDescent="0.2">
      <c r="A3639" s="2" t="s">
        <v>4612</v>
      </c>
      <c r="B3639" s="2" t="s">
        <v>2727</v>
      </c>
      <c r="C3639" s="2">
        <v>699.88710000000003</v>
      </c>
      <c r="D3639" s="2">
        <f>HYPERLINK("http://mcb-m6.bioreg.kyushu-u.ac.jp/M3/20110318/F50597/1418/1", 69.49)</f>
        <v>69.489999999999995</v>
      </c>
      <c r="E3639" s="2">
        <v>52.63</v>
      </c>
      <c r="F3639" s="2">
        <v>2</v>
      </c>
      <c r="G3639" s="2" t="s">
        <v>10</v>
      </c>
    </row>
    <row r="3640" spans="1:9" x14ac:dyDescent="0.2">
      <c r="A3640" s="2" t="s">
        <v>5743</v>
      </c>
      <c r="B3640" s="2" t="s">
        <v>5358</v>
      </c>
      <c r="C3640" s="2">
        <v>521.32259999999997</v>
      </c>
      <c r="D3640" s="2">
        <f>HYPERLINK("http://mcb-m6.bioreg.kyushu-u.ac.jp/M3/20110318/F50617/1090/1", 106.77)</f>
        <v>106.77</v>
      </c>
      <c r="E3640" s="2">
        <v>83.67</v>
      </c>
      <c r="F3640" s="2">
        <v>2</v>
      </c>
      <c r="G3640" s="2" t="s">
        <v>10</v>
      </c>
    </row>
    <row r="3641" spans="1:9" x14ac:dyDescent="0.2">
      <c r="A3641" s="2" t="s">
        <v>3768</v>
      </c>
      <c r="B3641" s="2" t="s">
        <v>789</v>
      </c>
      <c r="C3641" s="2">
        <v>624.2817</v>
      </c>
      <c r="D3641" s="2">
        <f>HYPERLINK("http://mcb-m6.bioreg.kyushu-u.ac.jp/M3/20110318/F50621/1220/1", 48.65)</f>
        <v>48.65</v>
      </c>
      <c r="E3641" s="2">
        <v>28.73</v>
      </c>
      <c r="F3641" s="2">
        <v>2</v>
      </c>
      <c r="G3641" s="2" t="s">
        <v>9</v>
      </c>
    </row>
    <row r="3642" spans="1:9" x14ac:dyDescent="0.2">
      <c r="A3642" s="2" t="s">
        <v>3768</v>
      </c>
      <c r="B3642" s="2" t="s">
        <v>993</v>
      </c>
      <c r="C3642" s="2">
        <v>678.19759999999997</v>
      </c>
      <c r="D3642" s="2">
        <f>HYPERLINK("http://mcb-m6.bioreg.kyushu-u.ac.jp/M3/20110429/F51150/1869/1", 37.63)</f>
        <v>37.630000000000003</v>
      </c>
      <c r="E3642" s="2">
        <v>24.93</v>
      </c>
      <c r="F3642" s="2">
        <v>2</v>
      </c>
      <c r="G3642" s="2" t="s">
        <v>13</v>
      </c>
    </row>
    <row r="3643" spans="1:9" x14ac:dyDescent="0.2">
      <c r="A3643" s="2" t="s">
        <v>5697</v>
      </c>
      <c r="B3643" s="2" t="s">
        <v>5231</v>
      </c>
      <c r="C3643" s="2">
        <v>634.78809999999999</v>
      </c>
      <c r="D3643" s="2">
        <f>HYPERLINK("http://mcb-m6.bioreg.kyushu-u.ac.jp/M3/20110318/F50617/1236/1", 37.87)</f>
        <v>37.869999999999997</v>
      </c>
      <c r="E3643" s="2">
        <v>13.42</v>
      </c>
      <c r="F3643" s="2">
        <v>2</v>
      </c>
      <c r="G3643" s="2" t="s">
        <v>10</v>
      </c>
      <c r="I3643" s="2" t="s">
        <v>4893</v>
      </c>
    </row>
    <row r="3644" spans="1:9" x14ac:dyDescent="0.2">
      <c r="A3644" s="2" t="s">
        <v>5877</v>
      </c>
      <c r="B3644" s="2" t="s">
        <v>5576</v>
      </c>
      <c r="C3644" s="2">
        <v>940.11360000000002</v>
      </c>
      <c r="D3644" s="2">
        <f>HYPERLINK("http://mcb-m6.bioreg.kyushu-u.ac.jp/M3/20110428/F51143/2988/1", 39.26)</f>
        <v>39.26</v>
      </c>
      <c r="E3644" s="2">
        <v>26.32</v>
      </c>
      <c r="F3644" s="2">
        <v>2</v>
      </c>
      <c r="G3644" s="2" t="s">
        <v>14</v>
      </c>
    </row>
    <row r="3645" spans="1:9" x14ac:dyDescent="0.2">
      <c r="A3645" s="2" t="s">
        <v>3691</v>
      </c>
      <c r="B3645" s="2" t="s">
        <v>661</v>
      </c>
      <c r="C3645" s="2">
        <v>830.89170000000001</v>
      </c>
      <c r="D3645" s="2">
        <f>HYPERLINK("http://mcb-m6.bioreg.kyushu-u.ac.jp/M3/20110318/F50606/1802/1", 38.19)</f>
        <v>38.19</v>
      </c>
      <c r="E3645" s="2">
        <v>18.66</v>
      </c>
      <c r="F3645" s="2">
        <v>2</v>
      </c>
      <c r="G3645" s="2" t="s">
        <v>9</v>
      </c>
      <c r="H3645" s="2" t="s">
        <v>4900</v>
      </c>
    </row>
    <row r="3646" spans="1:9" x14ac:dyDescent="0.2">
      <c r="A3646" s="2" t="s">
        <v>3691</v>
      </c>
      <c r="B3646" s="2" t="s">
        <v>832</v>
      </c>
      <c r="C3646" s="2">
        <v>846.96510000000001</v>
      </c>
      <c r="D3646" s="2">
        <f>HYPERLINK("http://mcb-m6.bioreg.kyushu-u.ac.jp/M3/20110318/F50597/2011/1", 42.9)</f>
        <v>42.9</v>
      </c>
      <c r="E3646" s="2">
        <v>27.31</v>
      </c>
      <c r="F3646" s="2">
        <v>2</v>
      </c>
      <c r="G3646" s="2" t="s">
        <v>10</v>
      </c>
    </row>
    <row r="3647" spans="1:9" x14ac:dyDescent="0.2">
      <c r="A3647" s="2" t="s">
        <v>3691</v>
      </c>
      <c r="B3647" s="2" t="s">
        <v>661</v>
      </c>
      <c r="C3647" s="2">
        <v>830.84860000000003</v>
      </c>
      <c r="D3647" s="2">
        <f>HYPERLINK("http://mcb-m6.bioreg.kyushu-u.ac.jp/M3/20110318/F50597/1963/1", 50.31)</f>
        <v>50.31</v>
      </c>
      <c r="E3647" s="2">
        <v>35.090000000000003</v>
      </c>
      <c r="F3647" s="2">
        <v>2</v>
      </c>
      <c r="G3647" s="2" t="s">
        <v>10</v>
      </c>
      <c r="H3647" s="2" t="s">
        <v>4900</v>
      </c>
    </row>
    <row r="3648" spans="1:9" x14ac:dyDescent="0.2">
      <c r="A3648" s="2" t="s">
        <v>3691</v>
      </c>
      <c r="B3648" s="2" t="s">
        <v>661</v>
      </c>
      <c r="C3648" s="2">
        <v>831.16719999999998</v>
      </c>
      <c r="D3648" s="2">
        <f>HYPERLINK("http://mcb-m6.bioreg.kyushu-u.ac.jp/M3/20110418/F50974/2513/1", 36.3)</f>
        <v>36.299999999999997</v>
      </c>
      <c r="E3648" s="2">
        <v>27.06</v>
      </c>
      <c r="F3648" s="2">
        <v>2</v>
      </c>
      <c r="G3648" s="2" t="s">
        <v>11</v>
      </c>
      <c r="H3648" s="2" t="s">
        <v>4900</v>
      </c>
    </row>
    <row r="3649" spans="1:8" x14ac:dyDescent="0.2">
      <c r="A3649" s="2" t="s">
        <v>3691</v>
      </c>
      <c r="B3649" s="2" t="s">
        <v>832</v>
      </c>
      <c r="C3649" s="2">
        <v>846.90369999999996</v>
      </c>
      <c r="D3649" s="2">
        <f>HYPERLINK("http://mcb-m6.bioreg.kyushu-u.ac.jp/M3/20110429/F51157/2224/1", 40.27)</f>
        <v>40.270000000000003</v>
      </c>
      <c r="E3649" s="2">
        <v>30.56</v>
      </c>
      <c r="F3649" s="2">
        <v>2</v>
      </c>
      <c r="G3649" s="2" t="s">
        <v>13</v>
      </c>
    </row>
    <row r="3650" spans="1:8" x14ac:dyDescent="0.2">
      <c r="A3650" s="2" t="s">
        <v>3691</v>
      </c>
      <c r="B3650" s="2" t="s">
        <v>832</v>
      </c>
      <c r="C3650" s="2">
        <v>847.48969999999997</v>
      </c>
      <c r="D3650" s="2">
        <f>HYPERLINK("http://mcb-m6.bioreg.kyushu-u.ac.jp/M3/20110429/F51157/2229/1", 43.19)</f>
        <v>43.19</v>
      </c>
      <c r="E3650" s="2">
        <v>22.21</v>
      </c>
      <c r="F3650" s="2">
        <v>2</v>
      </c>
      <c r="G3650" s="2" t="s">
        <v>13</v>
      </c>
    </row>
    <row r="3651" spans="1:8" x14ac:dyDescent="0.2">
      <c r="A3651" s="2" t="s">
        <v>3691</v>
      </c>
      <c r="B3651" s="2" t="s">
        <v>661</v>
      </c>
      <c r="C3651" s="2">
        <v>823.45619999999997</v>
      </c>
      <c r="D3651" s="2">
        <f>HYPERLINK("http://mcb-m6.bioreg.kyushu-u.ac.jp/M3/20110429/F51157/2137/1", 44.63)</f>
        <v>44.63</v>
      </c>
      <c r="E3651" s="2">
        <v>19.71</v>
      </c>
      <c r="F3651" s="2">
        <v>2</v>
      </c>
      <c r="G3651" s="2" t="s">
        <v>13</v>
      </c>
    </row>
    <row r="3652" spans="1:8" x14ac:dyDescent="0.2">
      <c r="A3652" s="2" t="s">
        <v>3691</v>
      </c>
      <c r="B3652" s="2" t="s">
        <v>661</v>
      </c>
      <c r="C3652" s="2">
        <v>831.09670000000006</v>
      </c>
      <c r="D3652" s="2">
        <f>HYPERLINK("http://mcb-m6.bioreg.kyushu-u.ac.jp/M3/20110502/F51159/2345/1", 36.61)</f>
        <v>36.61</v>
      </c>
      <c r="E3652" s="2">
        <v>28.71</v>
      </c>
      <c r="F3652" s="2">
        <v>2</v>
      </c>
      <c r="G3652" s="2" t="s">
        <v>14</v>
      </c>
      <c r="H3652" s="2" t="s">
        <v>4900</v>
      </c>
    </row>
    <row r="3653" spans="1:8" x14ac:dyDescent="0.2">
      <c r="A3653" s="2" t="s">
        <v>3691</v>
      </c>
      <c r="B3653" s="2" t="s">
        <v>832</v>
      </c>
      <c r="C3653" s="2">
        <v>847.45370000000003</v>
      </c>
      <c r="D3653" s="2">
        <f>HYPERLINK("http://mcb-m6.bioreg.kyushu-u.ac.jp/M3/20110428/F51141/2563/1", 50.71)</f>
        <v>50.71</v>
      </c>
      <c r="E3653" s="2">
        <v>37.11</v>
      </c>
      <c r="F3653" s="2">
        <v>2</v>
      </c>
      <c r="G3653" s="2" t="s">
        <v>14</v>
      </c>
    </row>
    <row r="3654" spans="1:8" x14ac:dyDescent="0.2">
      <c r="A3654" s="2" t="s">
        <v>3827</v>
      </c>
      <c r="B3654" s="2" t="s">
        <v>899</v>
      </c>
      <c r="C3654" s="2">
        <v>1228.3520000000001</v>
      </c>
      <c r="D3654" s="2">
        <f>HYPERLINK("http://mcb-m6.bioreg.kyushu-u.ac.jp/M3/20110318/F50618/1134/1", 39.8)</f>
        <v>39.799999999999997</v>
      </c>
      <c r="E3654" s="2">
        <v>13.46</v>
      </c>
      <c r="F3654" s="2">
        <v>1</v>
      </c>
      <c r="G3654" s="2" t="s">
        <v>9</v>
      </c>
    </row>
    <row r="3655" spans="1:8" x14ac:dyDescent="0.2">
      <c r="A3655" s="2" t="s">
        <v>3827</v>
      </c>
      <c r="B3655" s="2" t="s">
        <v>899</v>
      </c>
      <c r="C3655" s="2">
        <v>614.70169999999996</v>
      </c>
      <c r="D3655" s="2">
        <f>HYPERLINK("http://mcb-m6.bioreg.kyushu-u.ac.jp/M3/20110318/F50618/1135/1", 46.79)</f>
        <v>46.79</v>
      </c>
      <c r="E3655" s="2">
        <v>22.38</v>
      </c>
      <c r="F3655" s="2">
        <v>2</v>
      </c>
      <c r="G3655" s="2" t="s">
        <v>9</v>
      </c>
    </row>
    <row r="3656" spans="1:8" x14ac:dyDescent="0.2">
      <c r="A3656" s="2" t="s">
        <v>3827</v>
      </c>
      <c r="B3656" s="2" t="s">
        <v>899</v>
      </c>
      <c r="C3656" s="2">
        <v>614.65869999999995</v>
      </c>
      <c r="D3656" s="2">
        <f>HYPERLINK("http://mcb-m6.bioreg.kyushu-u.ac.jp/M3/20110318/F50621/1211/1", 49.35)</f>
        <v>49.35</v>
      </c>
      <c r="E3656" s="2">
        <v>25.82</v>
      </c>
      <c r="F3656" s="2">
        <v>2</v>
      </c>
      <c r="G3656" s="2" t="s">
        <v>9</v>
      </c>
    </row>
    <row r="3657" spans="1:8" x14ac:dyDescent="0.2">
      <c r="A3657" s="2" t="s">
        <v>3827</v>
      </c>
      <c r="B3657" s="2" t="s">
        <v>899</v>
      </c>
      <c r="C3657" s="2">
        <v>614.90260000000001</v>
      </c>
      <c r="D3657" s="2">
        <f>HYPERLINK("http://mcb-m6.bioreg.kyushu-u.ac.jp/M3/20110318/F50605/1203/1", 65.66)</f>
        <v>65.66</v>
      </c>
      <c r="E3657" s="2">
        <v>41.32</v>
      </c>
      <c r="F3657" s="2">
        <v>2</v>
      </c>
      <c r="G3657" s="2" t="s">
        <v>9</v>
      </c>
    </row>
    <row r="3658" spans="1:8" x14ac:dyDescent="0.2">
      <c r="A3658" s="2" t="s">
        <v>3827</v>
      </c>
      <c r="B3658" s="2" t="s">
        <v>899</v>
      </c>
      <c r="C3658" s="2">
        <v>614.78020000000004</v>
      </c>
      <c r="D3658" s="2">
        <f>HYPERLINK("http://mcb-m6.bioreg.kyushu-u.ac.jp/M3/20110318/F50614/1228/1", 36.68)</f>
        <v>36.68</v>
      </c>
      <c r="E3658" s="2">
        <v>10.31</v>
      </c>
      <c r="F3658" s="2">
        <v>2</v>
      </c>
      <c r="G3658" s="2" t="s">
        <v>10</v>
      </c>
    </row>
    <row r="3659" spans="1:8" x14ac:dyDescent="0.2">
      <c r="A3659" s="2" t="s">
        <v>3827</v>
      </c>
      <c r="B3659" s="2" t="s">
        <v>899</v>
      </c>
      <c r="C3659" s="2">
        <v>614.6857</v>
      </c>
      <c r="D3659" s="2">
        <f>HYPERLINK("http://mcb-m6.bioreg.kyushu-u.ac.jp/M3/20110318/F50596/1269/1", 42.55)</f>
        <v>42.55</v>
      </c>
      <c r="E3659" s="2">
        <v>24.82</v>
      </c>
      <c r="F3659" s="2">
        <v>2</v>
      </c>
      <c r="G3659" s="2" t="s">
        <v>10</v>
      </c>
    </row>
    <row r="3660" spans="1:8" x14ac:dyDescent="0.2">
      <c r="A3660" s="2" t="s">
        <v>3827</v>
      </c>
      <c r="B3660" s="2" t="s">
        <v>899</v>
      </c>
      <c r="C3660" s="2">
        <v>614.81460000000004</v>
      </c>
      <c r="D3660" s="2">
        <f>HYPERLINK("http://mcb-m6.bioreg.kyushu-u.ac.jp/M3/20110318/F50614/1233/1", 47.26)</f>
        <v>47.26</v>
      </c>
      <c r="E3660" s="2">
        <v>20.84</v>
      </c>
      <c r="F3660" s="2">
        <v>2</v>
      </c>
      <c r="G3660" s="2" t="s">
        <v>10</v>
      </c>
    </row>
    <row r="3661" spans="1:8" x14ac:dyDescent="0.2">
      <c r="A3661" s="2" t="s">
        <v>3827</v>
      </c>
      <c r="B3661" s="2" t="s">
        <v>899</v>
      </c>
      <c r="C3661" s="2">
        <v>614.81920000000002</v>
      </c>
      <c r="D3661" s="2">
        <f>HYPERLINK("http://mcb-m6.bioreg.kyushu-u.ac.jp/M3/20110318/F50597/1187/1", 47.29)</f>
        <v>47.29</v>
      </c>
      <c r="E3661" s="2">
        <v>22.48</v>
      </c>
      <c r="F3661" s="2">
        <v>2</v>
      </c>
      <c r="G3661" s="2" t="s">
        <v>10</v>
      </c>
    </row>
    <row r="3662" spans="1:8" x14ac:dyDescent="0.2">
      <c r="A3662" s="2" t="s">
        <v>3827</v>
      </c>
      <c r="B3662" s="2" t="s">
        <v>899</v>
      </c>
      <c r="C3662" s="2">
        <v>615.00919999999996</v>
      </c>
      <c r="D3662" s="2">
        <f>HYPERLINK("http://mcb-m6.bioreg.kyushu-u.ac.jp/M3/20110318/F50614/1236/1", 49.59)</f>
        <v>49.59</v>
      </c>
      <c r="E3662" s="2">
        <v>22.62</v>
      </c>
      <c r="F3662" s="2">
        <v>2</v>
      </c>
      <c r="G3662" s="2" t="s">
        <v>10</v>
      </c>
    </row>
    <row r="3663" spans="1:8" x14ac:dyDescent="0.2">
      <c r="A3663" s="2" t="s">
        <v>3827</v>
      </c>
      <c r="B3663" s="2" t="s">
        <v>899</v>
      </c>
      <c r="C3663" s="2">
        <v>614.70259999999996</v>
      </c>
      <c r="D3663" s="2">
        <f>HYPERLINK("http://mcb-m6.bioreg.kyushu-u.ac.jp/M3/20110318/F50614/1227/1", 53.41)</f>
        <v>53.41</v>
      </c>
      <c r="E3663" s="2">
        <v>31.91</v>
      </c>
      <c r="F3663" s="2">
        <v>2</v>
      </c>
      <c r="G3663" s="2" t="s">
        <v>10</v>
      </c>
    </row>
    <row r="3664" spans="1:8" x14ac:dyDescent="0.2">
      <c r="A3664" s="2" t="s">
        <v>3827</v>
      </c>
      <c r="B3664" s="2" t="s">
        <v>899</v>
      </c>
      <c r="C3664" s="2">
        <v>614.77620000000002</v>
      </c>
      <c r="D3664" s="2">
        <f>HYPERLINK("http://mcb-m6.bioreg.kyushu-u.ac.jp/M3/20110318/F50612/1224/1", 57.86)</f>
        <v>57.86</v>
      </c>
      <c r="E3664" s="2">
        <v>29.55</v>
      </c>
      <c r="F3664" s="2">
        <v>2</v>
      </c>
      <c r="G3664" s="2" t="s">
        <v>10</v>
      </c>
    </row>
    <row r="3665" spans="1:7" x14ac:dyDescent="0.2">
      <c r="A3665" s="2" t="s">
        <v>3827</v>
      </c>
      <c r="B3665" s="2" t="s">
        <v>899</v>
      </c>
      <c r="C3665" s="2">
        <v>614.79719999999998</v>
      </c>
      <c r="D3665" s="2">
        <f>HYPERLINK("http://mcb-m6.bioreg.kyushu-u.ac.jp/M3/20110318/F50614/1230/1", 59.58)</f>
        <v>59.58</v>
      </c>
      <c r="E3665" s="2">
        <v>37.81</v>
      </c>
      <c r="F3665" s="2">
        <v>2</v>
      </c>
      <c r="G3665" s="2" t="s">
        <v>10</v>
      </c>
    </row>
    <row r="3666" spans="1:7" x14ac:dyDescent="0.2">
      <c r="A3666" s="2" t="s">
        <v>3827</v>
      </c>
      <c r="B3666" s="2" t="s">
        <v>899</v>
      </c>
      <c r="C3666" s="2">
        <v>614.80870000000004</v>
      </c>
      <c r="D3666" s="2">
        <f>HYPERLINK("http://mcb-m6.bioreg.kyushu-u.ac.jp/M3/20110318/F50613/1225/1", 65.64)</f>
        <v>65.64</v>
      </c>
      <c r="E3666" s="2">
        <v>40.380000000000003</v>
      </c>
      <c r="F3666" s="2">
        <v>2</v>
      </c>
      <c r="G3666" s="2" t="s">
        <v>10</v>
      </c>
    </row>
    <row r="3667" spans="1:7" x14ac:dyDescent="0.2">
      <c r="A3667" s="2" t="s">
        <v>3827</v>
      </c>
      <c r="B3667" s="2" t="s">
        <v>899</v>
      </c>
      <c r="C3667" s="2">
        <v>615.2491</v>
      </c>
      <c r="D3667" s="2">
        <f>HYPERLINK("http://mcb-m6.bioreg.kyushu-u.ac.jp/M3/20110418/F50976/1366/1", 45.44)</f>
        <v>45.44</v>
      </c>
      <c r="E3667" s="2">
        <v>26.29</v>
      </c>
      <c r="F3667" s="2">
        <v>2</v>
      </c>
      <c r="G3667" s="2" t="s">
        <v>11</v>
      </c>
    </row>
    <row r="3668" spans="1:7" x14ac:dyDescent="0.2">
      <c r="A3668" s="2" t="s">
        <v>3827</v>
      </c>
      <c r="B3668" s="2" t="s">
        <v>899</v>
      </c>
      <c r="C3668" s="2">
        <v>614.82320000000004</v>
      </c>
      <c r="D3668" s="2">
        <f>HYPERLINK("http://mcb-m6.bioreg.kyushu-u.ac.jp/M3/20110418/F50999/1603/1", 52.23)</f>
        <v>52.23</v>
      </c>
      <c r="E3668" s="2">
        <v>34.53</v>
      </c>
      <c r="F3668" s="2">
        <v>2</v>
      </c>
      <c r="G3668" s="2" t="s">
        <v>11</v>
      </c>
    </row>
    <row r="3669" spans="1:7" x14ac:dyDescent="0.2">
      <c r="A3669" s="2" t="s">
        <v>3827</v>
      </c>
      <c r="B3669" s="2" t="s">
        <v>899</v>
      </c>
      <c r="C3669" s="2">
        <v>614.69759999999997</v>
      </c>
      <c r="D3669" s="2">
        <f>HYPERLINK("http://mcb-m6.bioreg.kyushu-u.ac.jp/M3/20110418/F50977/1414/1", 53.67)</f>
        <v>53.67</v>
      </c>
      <c r="E3669" s="2">
        <v>35.44</v>
      </c>
      <c r="F3669" s="2">
        <v>2</v>
      </c>
      <c r="G3669" s="2" t="s">
        <v>11</v>
      </c>
    </row>
    <row r="3670" spans="1:7" x14ac:dyDescent="0.2">
      <c r="A3670" s="2" t="s">
        <v>3827</v>
      </c>
      <c r="B3670" s="2" t="s">
        <v>899</v>
      </c>
      <c r="C3670" s="2">
        <v>614.89970000000005</v>
      </c>
      <c r="D3670" s="2">
        <f>HYPERLINK("http://mcb-m6.bioreg.kyushu-u.ac.jp/M3/20110418/F50999/1604/1", 67.41)</f>
        <v>67.41</v>
      </c>
      <c r="E3670" s="2">
        <v>38.89</v>
      </c>
      <c r="F3670" s="2">
        <v>2</v>
      </c>
      <c r="G3670" s="2" t="s">
        <v>11</v>
      </c>
    </row>
    <row r="3671" spans="1:7" x14ac:dyDescent="0.2">
      <c r="A3671" s="2" t="s">
        <v>3827</v>
      </c>
      <c r="B3671" s="2" t="s">
        <v>899</v>
      </c>
      <c r="C3671" s="2">
        <v>615.22310000000004</v>
      </c>
      <c r="D3671" s="2">
        <f>HYPERLINK("http://mcb-m6.bioreg.kyushu-u.ac.jp/M3/20110418/F50999/1605/1", 68.69)</f>
        <v>68.69</v>
      </c>
      <c r="E3671" s="2">
        <v>40.06</v>
      </c>
      <c r="F3671" s="2">
        <v>2</v>
      </c>
      <c r="G3671" s="2" t="s">
        <v>11</v>
      </c>
    </row>
    <row r="3672" spans="1:7" x14ac:dyDescent="0.2">
      <c r="A3672" s="2" t="s">
        <v>3827</v>
      </c>
      <c r="B3672" s="2" t="s">
        <v>899</v>
      </c>
      <c r="C3672" s="2">
        <v>614.65170000000001</v>
      </c>
      <c r="D3672" s="2">
        <f>HYPERLINK("http://mcb-m6.bioreg.kyushu-u.ac.jp/M3/20110418/F50999/1600/1", 68.81)</f>
        <v>68.81</v>
      </c>
      <c r="E3672" s="2">
        <v>39.979999999999997</v>
      </c>
      <c r="F3672" s="2">
        <v>2</v>
      </c>
      <c r="G3672" s="2" t="s">
        <v>11</v>
      </c>
    </row>
    <row r="3673" spans="1:7" x14ac:dyDescent="0.2">
      <c r="A3673" s="2" t="s">
        <v>3827</v>
      </c>
      <c r="B3673" s="2" t="s">
        <v>899</v>
      </c>
      <c r="C3673" s="2">
        <v>614.71810000000005</v>
      </c>
      <c r="D3673" s="2">
        <f>HYPERLINK("http://mcb-m6.bioreg.kyushu-u.ac.jp/M3/20110418/F50976/1363/1", 87.31)</f>
        <v>87.31</v>
      </c>
      <c r="E3673" s="2">
        <v>65.31</v>
      </c>
      <c r="F3673" s="2">
        <v>2</v>
      </c>
      <c r="G3673" s="2" t="s">
        <v>11</v>
      </c>
    </row>
    <row r="3674" spans="1:7" x14ac:dyDescent="0.2">
      <c r="A3674" s="2" t="s">
        <v>3827</v>
      </c>
      <c r="B3674" s="2" t="s">
        <v>899</v>
      </c>
      <c r="C3674" s="2">
        <v>1228.645</v>
      </c>
      <c r="D3674" s="2">
        <f>HYPERLINK("http://mcb-m6.bioreg.kyushu-u.ac.jp/M3/20110418/F51001/1633/1", 42.61)</f>
        <v>42.61</v>
      </c>
      <c r="E3674" s="2">
        <v>27.27</v>
      </c>
      <c r="F3674" s="2">
        <v>1</v>
      </c>
      <c r="G3674" s="2" t="s">
        <v>12</v>
      </c>
    </row>
    <row r="3675" spans="1:7" x14ac:dyDescent="0.2">
      <c r="A3675" s="2" t="s">
        <v>3827</v>
      </c>
      <c r="B3675" s="2" t="s">
        <v>899</v>
      </c>
      <c r="C3675" s="2">
        <v>614.75160000000005</v>
      </c>
      <c r="D3675" s="2">
        <f>HYPERLINK("http://mcb-m6.bioreg.kyushu-u.ac.jp/M3/20110418/F51001/1631/1", 57.55)</f>
        <v>57.55</v>
      </c>
      <c r="E3675" s="2">
        <v>38.58</v>
      </c>
      <c r="F3675" s="2">
        <v>2</v>
      </c>
      <c r="G3675" s="2" t="s">
        <v>12</v>
      </c>
    </row>
    <row r="3676" spans="1:7" x14ac:dyDescent="0.2">
      <c r="A3676" s="2" t="s">
        <v>3827</v>
      </c>
      <c r="B3676" s="2" t="s">
        <v>899</v>
      </c>
      <c r="C3676" s="2">
        <v>614.78809999999999</v>
      </c>
      <c r="D3676" s="2">
        <f>HYPERLINK("http://mcb-m6.bioreg.kyushu-u.ac.jp/M3/20110418/F51001/1632/1", 66.12)</f>
        <v>66.12</v>
      </c>
      <c r="E3676" s="2">
        <v>44.94</v>
      </c>
      <c r="F3676" s="2">
        <v>2</v>
      </c>
      <c r="G3676" s="2" t="s">
        <v>12</v>
      </c>
    </row>
    <row r="3677" spans="1:7" x14ac:dyDescent="0.2">
      <c r="A3677" s="2" t="s">
        <v>3827</v>
      </c>
      <c r="B3677" s="2" t="s">
        <v>899</v>
      </c>
      <c r="C3677" s="2">
        <v>614.6816</v>
      </c>
      <c r="D3677" s="2">
        <f>HYPERLINK("http://mcb-m6.bioreg.kyushu-u.ac.jp/M3/20110418/F50986/1694/1", 78.48)</f>
        <v>78.48</v>
      </c>
      <c r="E3677" s="2">
        <v>51.26</v>
      </c>
      <c r="F3677" s="2">
        <v>2</v>
      </c>
      <c r="G3677" s="2" t="s">
        <v>12</v>
      </c>
    </row>
    <row r="3678" spans="1:7" x14ac:dyDescent="0.2">
      <c r="A3678" s="2" t="s">
        <v>3827</v>
      </c>
      <c r="B3678" s="2" t="s">
        <v>899</v>
      </c>
      <c r="C3678" s="2">
        <v>1228.5650000000001</v>
      </c>
      <c r="D3678" s="2">
        <f>HYPERLINK("http://mcb-m6.bioreg.kyushu-u.ac.jp/M3/20110429/F51153/1243/1", 40.03)</f>
        <v>40.03</v>
      </c>
      <c r="E3678" s="2">
        <v>23.64</v>
      </c>
      <c r="F3678" s="2">
        <v>1</v>
      </c>
      <c r="G3678" s="2" t="s">
        <v>13</v>
      </c>
    </row>
    <row r="3679" spans="1:7" x14ac:dyDescent="0.2">
      <c r="A3679" s="2" t="s">
        <v>3827</v>
      </c>
      <c r="B3679" s="2" t="s">
        <v>899</v>
      </c>
      <c r="C3679" s="2">
        <v>614.80110000000002</v>
      </c>
      <c r="D3679" s="2">
        <f>HYPERLINK("http://mcb-m6.bioreg.kyushu-u.ac.jp/M3/20110429/F51157/1146/1", 41.04)</f>
        <v>41.04</v>
      </c>
      <c r="E3679" s="2">
        <v>24.59</v>
      </c>
      <c r="F3679" s="2">
        <v>2</v>
      </c>
      <c r="G3679" s="2" t="s">
        <v>13</v>
      </c>
    </row>
    <row r="3680" spans="1:7" x14ac:dyDescent="0.2">
      <c r="A3680" s="2" t="s">
        <v>3827</v>
      </c>
      <c r="B3680" s="2" t="s">
        <v>899</v>
      </c>
      <c r="C3680" s="2">
        <v>1228.7840000000001</v>
      </c>
      <c r="D3680" s="2">
        <f>HYPERLINK("http://mcb-m6.bioreg.kyushu-u.ac.jp/M3/20110502/F51163/1205/1", 47.33)</f>
        <v>47.33</v>
      </c>
      <c r="E3680" s="2">
        <v>19.8</v>
      </c>
      <c r="F3680" s="2">
        <v>1</v>
      </c>
      <c r="G3680" s="2" t="s">
        <v>13</v>
      </c>
    </row>
    <row r="3681" spans="1:7" x14ac:dyDescent="0.2">
      <c r="A3681" s="2" t="s">
        <v>3827</v>
      </c>
      <c r="B3681" s="2" t="s">
        <v>899</v>
      </c>
      <c r="C3681" s="2">
        <v>614.93520000000001</v>
      </c>
      <c r="D3681" s="2">
        <f>HYPERLINK("http://mcb-m6.bioreg.kyushu-u.ac.jp/M3/20110502/F51164/1093/1", 50.56)</f>
        <v>50.56</v>
      </c>
      <c r="E3681" s="2">
        <v>32.25</v>
      </c>
      <c r="F3681" s="2">
        <v>2</v>
      </c>
      <c r="G3681" s="2" t="s">
        <v>13</v>
      </c>
    </row>
    <row r="3682" spans="1:7" x14ac:dyDescent="0.2">
      <c r="A3682" s="2" t="s">
        <v>3827</v>
      </c>
      <c r="B3682" s="2" t="s">
        <v>899</v>
      </c>
      <c r="C3682" s="2">
        <v>615.17110000000002</v>
      </c>
      <c r="D3682" s="2">
        <f>HYPERLINK("http://mcb-m6.bioreg.kyushu-u.ac.jp/M3/20110429/F51154/1310/1", 52.17)</f>
        <v>52.17</v>
      </c>
      <c r="E3682" s="2">
        <v>30.06</v>
      </c>
      <c r="F3682" s="2">
        <v>2</v>
      </c>
      <c r="G3682" s="2" t="s">
        <v>13</v>
      </c>
    </row>
    <row r="3683" spans="1:7" x14ac:dyDescent="0.2">
      <c r="A3683" s="2" t="s">
        <v>3827</v>
      </c>
      <c r="B3683" s="2" t="s">
        <v>899</v>
      </c>
      <c r="C3683" s="2">
        <v>615.1902</v>
      </c>
      <c r="D3683" s="2">
        <f>HYPERLINK("http://mcb-m6.bioreg.kyushu-u.ac.jp/M3/20110429/F51153/1244/1", 53.86)</f>
        <v>53.86</v>
      </c>
      <c r="E3683" s="2">
        <v>29.34</v>
      </c>
      <c r="F3683" s="2">
        <v>2</v>
      </c>
      <c r="G3683" s="2" t="s">
        <v>13</v>
      </c>
    </row>
    <row r="3684" spans="1:7" x14ac:dyDescent="0.2">
      <c r="A3684" s="2" t="s">
        <v>3827</v>
      </c>
      <c r="B3684" s="2" t="s">
        <v>899</v>
      </c>
      <c r="C3684" s="2">
        <v>615.38019999999995</v>
      </c>
      <c r="D3684" s="2">
        <f>HYPERLINK("http://mcb-m6.bioreg.kyushu-u.ac.jp/M3/20110502/F51163/1207/1", 63.42)</f>
        <v>63.42</v>
      </c>
      <c r="E3684" s="2">
        <v>35.549999999999997</v>
      </c>
      <c r="F3684" s="2">
        <v>2</v>
      </c>
      <c r="G3684" s="2" t="s">
        <v>13</v>
      </c>
    </row>
    <row r="3685" spans="1:7" x14ac:dyDescent="0.2">
      <c r="A3685" s="2" t="s">
        <v>3827</v>
      </c>
      <c r="B3685" s="2" t="s">
        <v>899</v>
      </c>
      <c r="C3685" s="2">
        <v>615.38070000000005</v>
      </c>
      <c r="D3685" s="2">
        <f>HYPERLINK("http://mcb-m6.bioreg.kyushu-u.ac.jp/M3/20110502/F51163/1208/1", 63.84)</f>
        <v>63.84</v>
      </c>
      <c r="E3685" s="2">
        <v>34.799999999999997</v>
      </c>
      <c r="F3685" s="2">
        <v>2</v>
      </c>
      <c r="G3685" s="2" t="s">
        <v>13</v>
      </c>
    </row>
    <row r="3686" spans="1:7" x14ac:dyDescent="0.2">
      <c r="A3686" s="2" t="s">
        <v>3827</v>
      </c>
      <c r="B3686" s="2" t="s">
        <v>899</v>
      </c>
      <c r="C3686" s="2">
        <v>614.84619999999995</v>
      </c>
      <c r="D3686" s="2">
        <f>HYPERLINK("http://mcb-m6.bioreg.kyushu-u.ac.jp/M3/20110502/F51163/1203/1", 64.86)</f>
        <v>64.86</v>
      </c>
      <c r="E3686" s="2">
        <v>31.62</v>
      </c>
      <c r="F3686" s="2">
        <v>2</v>
      </c>
      <c r="G3686" s="2" t="s">
        <v>13</v>
      </c>
    </row>
    <row r="3687" spans="1:7" x14ac:dyDescent="0.2">
      <c r="A3687" s="2" t="s">
        <v>3827</v>
      </c>
      <c r="B3687" s="2" t="s">
        <v>899</v>
      </c>
      <c r="C3687" s="2">
        <v>614.92970000000003</v>
      </c>
      <c r="D3687" s="2">
        <f>HYPERLINK("http://mcb-m6.bioreg.kyushu-u.ac.jp/M3/20110502/F51163/1206/1", 70.48)</f>
        <v>70.48</v>
      </c>
      <c r="E3687" s="2">
        <v>49.84</v>
      </c>
      <c r="F3687" s="2">
        <v>2</v>
      </c>
      <c r="G3687" s="2" t="s">
        <v>13</v>
      </c>
    </row>
    <row r="3688" spans="1:7" x14ac:dyDescent="0.2">
      <c r="A3688" s="2" t="s">
        <v>3827</v>
      </c>
      <c r="B3688" s="2" t="s">
        <v>899</v>
      </c>
      <c r="C3688" s="2">
        <v>614.67169999999999</v>
      </c>
      <c r="D3688" s="2">
        <f>HYPERLINK("http://mcb-m6.bioreg.kyushu-u.ac.jp/M3/20110429/F51153/1241/1", 74.44)</f>
        <v>74.44</v>
      </c>
      <c r="E3688" s="2">
        <v>53.2</v>
      </c>
      <c r="F3688" s="2">
        <v>2</v>
      </c>
      <c r="G3688" s="2" t="s">
        <v>13</v>
      </c>
    </row>
    <row r="3689" spans="1:7" x14ac:dyDescent="0.2">
      <c r="A3689" s="2" t="s">
        <v>3827</v>
      </c>
      <c r="B3689" s="2" t="s">
        <v>899</v>
      </c>
      <c r="C3689" s="2">
        <v>615.00869999999998</v>
      </c>
      <c r="D3689" s="2">
        <f>HYPERLINK("http://mcb-m6.bioreg.kyushu-u.ac.jp/M3/20110428/F51142/1449/1", 45.64)</f>
        <v>45.64</v>
      </c>
      <c r="E3689" s="2">
        <v>28.33</v>
      </c>
      <c r="F3689" s="2">
        <v>2</v>
      </c>
      <c r="G3689" s="2" t="s">
        <v>14</v>
      </c>
    </row>
    <row r="3690" spans="1:7" x14ac:dyDescent="0.2">
      <c r="A3690" s="2" t="s">
        <v>3827</v>
      </c>
      <c r="B3690" s="2" t="s">
        <v>899</v>
      </c>
      <c r="C3690" s="2">
        <v>615.36320000000001</v>
      </c>
      <c r="D3690" s="2">
        <f>HYPERLINK("http://mcb-m6.bioreg.kyushu-u.ac.jp/M3/20110428/F51142/1452/1", 53.74)</f>
        <v>53.74</v>
      </c>
      <c r="E3690" s="2">
        <v>29.22</v>
      </c>
      <c r="F3690" s="2">
        <v>2</v>
      </c>
      <c r="G3690" s="2" t="s">
        <v>14</v>
      </c>
    </row>
    <row r="3691" spans="1:7" x14ac:dyDescent="0.2">
      <c r="A3691" s="2" t="s">
        <v>3827</v>
      </c>
      <c r="B3691" s="2" t="s">
        <v>899</v>
      </c>
      <c r="C3691" s="2">
        <v>614.88760000000002</v>
      </c>
      <c r="D3691" s="2">
        <f>HYPERLINK("http://mcb-m6.bioreg.kyushu-u.ac.jp/M3/20110502/F51161/1442/1", 63.69)</f>
        <v>63.69</v>
      </c>
      <c r="E3691" s="2">
        <v>30.49</v>
      </c>
      <c r="F3691" s="2">
        <v>2</v>
      </c>
      <c r="G3691" s="2" t="s">
        <v>14</v>
      </c>
    </row>
    <row r="3692" spans="1:7" x14ac:dyDescent="0.2">
      <c r="A3692" s="2" t="s">
        <v>3827</v>
      </c>
      <c r="B3692" s="2" t="s">
        <v>899</v>
      </c>
      <c r="C3692" s="2">
        <v>614.77869999999996</v>
      </c>
      <c r="D3692" s="2">
        <f>HYPERLINK("http://mcb-m6.bioreg.kyushu-u.ac.jp/M3/20110428/F51143/1528/1", 71.93)</f>
        <v>71.930000000000007</v>
      </c>
      <c r="E3692" s="2">
        <v>47.49</v>
      </c>
      <c r="F3692" s="2">
        <v>2</v>
      </c>
      <c r="G3692" s="2" t="s">
        <v>14</v>
      </c>
    </row>
    <row r="3693" spans="1:7" x14ac:dyDescent="0.2">
      <c r="A3693" s="2" t="s">
        <v>3827</v>
      </c>
      <c r="B3693" s="2" t="s">
        <v>899</v>
      </c>
      <c r="C3693" s="2">
        <v>614.84969999999998</v>
      </c>
      <c r="D3693" s="2">
        <f>HYPERLINK("http://mcb-m6.bioreg.kyushu-u.ac.jp/M3/20110428/F51142/1447/1", 77.15)</f>
        <v>77.150000000000006</v>
      </c>
      <c r="E3693" s="2">
        <v>56.29</v>
      </c>
      <c r="F3693" s="2">
        <v>2</v>
      </c>
      <c r="G3693" s="2" t="s">
        <v>14</v>
      </c>
    </row>
    <row r="3694" spans="1:7" x14ac:dyDescent="0.2">
      <c r="A3694" s="2" t="s">
        <v>3482</v>
      </c>
      <c r="B3694" s="2" t="s">
        <v>304</v>
      </c>
      <c r="C3694" s="2">
        <v>830.23770000000002</v>
      </c>
      <c r="D3694" s="2">
        <f>HYPERLINK("http://mcb-m6.bioreg.kyushu-u.ac.jp/M3/20110318/F50619/1786/1", 72.04)</f>
        <v>72.040000000000006</v>
      </c>
      <c r="E3694" s="2">
        <v>56.66</v>
      </c>
      <c r="F3694" s="2">
        <v>2</v>
      </c>
      <c r="G3694" s="2" t="s">
        <v>9</v>
      </c>
    </row>
    <row r="3695" spans="1:7" x14ac:dyDescent="0.2">
      <c r="A3695" s="2" t="s">
        <v>3482</v>
      </c>
      <c r="B3695" s="2" t="s">
        <v>304</v>
      </c>
      <c r="C3695" s="2">
        <v>830.60419999999999</v>
      </c>
      <c r="D3695" s="2">
        <f>HYPERLINK("http://mcb-m6.bioreg.kyushu-u.ac.jp/M3/20110318/F50605/2006/1", 115.57)</f>
        <v>115.57</v>
      </c>
      <c r="E3695" s="2">
        <v>90.3</v>
      </c>
      <c r="F3695" s="2">
        <v>2</v>
      </c>
      <c r="G3695" s="2" t="s">
        <v>9</v>
      </c>
    </row>
    <row r="3696" spans="1:7" x14ac:dyDescent="0.2">
      <c r="A3696" s="2" t="s">
        <v>3482</v>
      </c>
      <c r="B3696" s="2" t="s">
        <v>304</v>
      </c>
      <c r="C3696" s="2">
        <v>830.41269999999997</v>
      </c>
      <c r="D3696" s="2">
        <f>HYPERLINK("http://mcb-m6.bioreg.kyushu-u.ac.jp/M3/20110318/F50596/1936/1", 37.54)</f>
        <v>37.54</v>
      </c>
      <c r="E3696" s="2">
        <v>28.2</v>
      </c>
      <c r="F3696" s="2">
        <v>2</v>
      </c>
      <c r="G3696" s="2" t="s">
        <v>10</v>
      </c>
    </row>
    <row r="3697" spans="1:7" x14ac:dyDescent="0.2">
      <c r="A3697" s="2" t="s">
        <v>3482</v>
      </c>
      <c r="B3697" s="2" t="s">
        <v>304</v>
      </c>
      <c r="C3697" s="2">
        <v>830.39760000000001</v>
      </c>
      <c r="D3697" s="2">
        <f>HYPERLINK("http://mcb-m6.bioreg.kyushu-u.ac.jp/M3/20110318/F50600/1886/1", 62.22)</f>
        <v>62.22</v>
      </c>
      <c r="E3697" s="2">
        <v>46.54</v>
      </c>
      <c r="F3697" s="2">
        <v>2</v>
      </c>
      <c r="G3697" s="2" t="s">
        <v>10</v>
      </c>
    </row>
    <row r="3698" spans="1:7" x14ac:dyDescent="0.2">
      <c r="A3698" s="2" t="s">
        <v>3482</v>
      </c>
      <c r="B3698" s="2" t="s">
        <v>304</v>
      </c>
      <c r="C3698" s="2">
        <v>1659.701</v>
      </c>
      <c r="D3698" s="2">
        <f>HYPERLINK("http://mcb-m6.bioreg.kyushu-u.ac.jp/M3/20110318/F50614/2058/1", 81.49)</f>
        <v>81.489999999999995</v>
      </c>
      <c r="E3698" s="2">
        <v>58.98</v>
      </c>
      <c r="F3698" s="2">
        <v>1</v>
      </c>
      <c r="G3698" s="2" t="s">
        <v>10</v>
      </c>
    </row>
    <row r="3699" spans="1:7" x14ac:dyDescent="0.2">
      <c r="A3699" s="2" t="s">
        <v>3482</v>
      </c>
      <c r="B3699" s="2" t="s">
        <v>304</v>
      </c>
      <c r="C3699" s="2">
        <v>830.81870000000004</v>
      </c>
      <c r="D3699" s="2">
        <f>HYPERLINK("http://mcb-m6.bioreg.kyushu-u.ac.jp/M3/20110318/F50615/1883/1", 103.23)</f>
        <v>103.23</v>
      </c>
      <c r="E3699" s="2">
        <v>84.31</v>
      </c>
      <c r="F3699" s="2">
        <v>2</v>
      </c>
      <c r="G3699" s="2" t="s">
        <v>10</v>
      </c>
    </row>
    <row r="3700" spans="1:7" x14ac:dyDescent="0.2">
      <c r="A3700" s="2" t="s">
        <v>3482</v>
      </c>
      <c r="B3700" s="2" t="s">
        <v>304</v>
      </c>
      <c r="C3700" s="2">
        <v>830.39170000000001</v>
      </c>
      <c r="D3700" s="2">
        <f>HYPERLINK("http://mcb-m6.bioreg.kyushu-u.ac.jp/M3/20110318/F50614/2059/1", 114.81)</f>
        <v>114.81</v>
      </c>
      <c r="E3700" s="2">
        <v>93.63</v>
      </c>
      <c r="F3700" s="2">
        <v>2</v>
      </c>
      <c r="G3700" s="2" t="s">
        <v>10</v>
      </c>
    </row>
    <row r="3701" spans="1:7" x14ac:dyDescent="0.2">
      <c r="A3701" s="2" t="s">
        <v>3482</v>
      </c>
      <c r="B3701" s="2" t="s">
        <v>304</v>
      </c>
      <c r="C3701" s="2">
        <v>830.41269999999997</v>
      </c>
      <c r="D3701" s="2">
        <f>HYPERLINK("http://mcb-m6.bioreg.kyushu-u.ac.jp/M3/20110318/F50613/2056/1", 121.08)</f>
        <v>121.08</v>
      </c>
      <c r="E3701" s="2">
        <v>96.97</v>
      </c>
      <c r="F3701" s="2">
        <v>2</v>
      </c>
      <c r="G3701" s="2" t="s">
        <v>10</v>
      </c>
    </row>
    <row r="3702" spans="1:7" x14ac:dyDescent="0.2">
      <c r="A3702" s="2" t="s">
        <v>3482</v>
      </c>
      <c r="B3702" s="2" t="s">
        <v>304</v>
      </c>
      <c r="C3702" s="2">
        <v>830.31410000000005</v>
      </c>
      <c r="D3702" s="2">
        <f>HYPERLINK("http://mcb-m6.bioreg.kyushu-u.ac.jp/M3/20110318/F50615/1880/1", 132.17)</f>
        <v>132.16999999999999</v>
      </c>
      <c r="E3702" s="2">
        <v>107.45</v>
      </c>
      <c r="F3702" s="2">
        <v>2</v>
      </c>
      <c r="G3702" s="2" t="s">
        <v>10</v>
      </c>
    </row>
    <row r="3703" spans="1:7" x14ac:dyDescent="0.2">
      <c r="A3703" s="2" t="s">
        <v>3482</v>
      </c>
      <c r="B3703" s="2" t="s">
        <v>304</v>
      </c>
      <c r="C3703" s="2">
        <v>830.23910000000001</v>
      </c>
      <c r="D3703" s="2">
        <f>HYPERLINK("http://mcb-m6.bioreg.kyushu-u.ac.jp/M3/20110418/F50979/2420/1", 35.11)</f>
        <v>35.11</v>
      </c>
      <c r="E3703" s="2">
        <v>31.86</v>
      </c>
      <c r="F3703" s="2">
        <v>2</v>
      </c>
      <c r="G3703" s="2" t="s">
        <v>11</v>
      </c>
    </row>
    <row r="3704" spans="1:7" x14ac:dyDescent="0.2">
      <c r="A3704" s="2" t="s">
        <v>3482</v>
      </c>
      <c r="B3704" s="2" t="s">
        <v>304</v>
      </c>
      <c r="C3704" s="2">
        <v>830.3202</v>
      </c>
      <c r="D3704" s="2">
        <f>HYPERLINK("http://mcb-m6.bioreg.kyushu-u.ac.jp/M3/20110418/F50976/2567/1", 85.24)</f>
        <v>85.24</v>
      </c>
      <c r="E3704" s="2">
        <v>68.19</v>
      </c>
      <c r="F3704" s="2">
        <v>2</v>
      </c>
      <c r="G3704" s="2" t="s">
        <v>11</v>
      </c>
    </row>
    <row r="3705" spans="1:7" x14ac:dyDescent="0.2">
      <c r="A3705" s="2" t="s">
        <v>3482</v>
      </c>
      <c r="B3705" s="2" t="s">
        <v>304</v>
      </c>
      <c r="C3705" s="2">
        <v>830.83010000000002</v>
      </c>
      <c r="D3705" s="2">
        <f>HYPERLINK("http://mcb-m6.bioreg.kyushu-u.ac.jp/M3/20110418/F50999/2317/1", 106.47)</f>
        <v>106.47</v>
      </c>
      <c r="E3705" s="2">
        <v>87.15</v>
      </c>
      <c r="F3705" s="2">
        <v>2</v>
      </c>
      <c r="G3705" s="2" t="s">
        <v>11</v>
      </c>
    </row>
    <row r="3706" spans="1:7" x14ac:dyDescent="0.2">
      <c r="A3706" s="2" t="s">
        <v>3482</v>
      </c>
      <c r="B3706" s="2" t="s">
        <v>304</v>
      </c>
      <c r="C3706" s="2">
        <v>830.27919999999995</v>
      </c>
      <c r="D3706" s="2">
        <f>HYPERLINK("http://mcb-m6.bioreg.kyushu-u.ac.jp/M3/20110418/F50999/2315/1", 135.05)</f>
        <v>135.05000000000001</v>
      </c>
      <c r="E3706" s="2">
        <v>109.45</v>
      </c>
      <c r="F3706" s="2">
        <v>2</v>
      </c>
      <c r="G3706" s="2" t="s">
        <v>11</v>
      </c>
    </row>
    <row r="3707" spans="1:7" x14ac:dyDescent="0.2">
      <c r="A3707" s="2" t="s">
        <v>3482</v>
      </c>
      <c r="B3707" s="2" t="s">
        <v>304</v>
      </c>
      <c r="C3707" s="2">
        <v>830.28809999999999</v>
      </c>
      <c r="D3707" s="2">
        <f>HYPERLINK("http://mcb-m6.bioreg.kyushu-u.ac.jp/M3/20110418/F50986/2504/1", 96.78)</f>
        <v>96.78</v>
      </c>
      <c r="E3707" s="2">
        <v>80.900000000000006</v>
      </c>
      <c r="F3707" s="2">
        <v>2</v>
      </c>
      <c r="G3707" s="2" t="s">
        <v>12</v>
      </c>
    </row>
    <row r="3708" spans="1:7" x14ac:dyDescent="0.2">
      <c r="A3708" s="2" t="s">
        <v>3482</v>
      </c>
      <c r="B3708" s="2" t="s">
        <v>304</v>
      </c>
      <c r="C3708" s="2">
        <v>830.30359999999996</v>
      </c>
      <c r="D3708" s="2">
        <f>HYPERLINK("http://mcb-m6.bioreg.kyushu-u.ac.jp/M3/20110418/F51001/2309/1", 135.73)</f>
        <v>135.72999999999999</v>
      </c>
      <c r="E3708" s="2">
        <v>109.87</v>
      </c>
      <c r="F3708" s="2">
        <v>2</v>
      </c>
      <c r="G3708" s="2" t="s">
        <v>12</v>
      </c>
    </row>
    <row r="3709" spans="1:7" x14ac:dyDescent="0.2">
      <c r="A3709" s="2" t="s">
        <v>3482</v>
      </c>
      <c r="B3709" s="2" t="s">
        <v>304</v>
      </c>
      <c r="C3709" s="2">
        <v>831.04060000000004</v>
      </c>
      <c r="D3709" s="2">
        <f>HYPERLINK("http://mcb-m6.bioreg.kyushu-u.ac.jp/M3/20110502/F51164/2196/1", 54.22)</f>
        <v>54.22</v>
      </c>
      <c r="E3709" s="2">
        <v>39.020000000000003</v>
      </c>
      <c r="F3709" s="2">
        <v>2</v>
      </c>
      <c r="G3709" s="2" t="s">
        <v>13</v>
      </c>
    </row>
    <row r="3710" spans="1:7" x14ac:dyDescent="0.2">
      <c r="A3710" s="2" t="s">
        <v>3482</v>
      </c>
      <c r="B3710" s="2" t="s">
        <v>304</v>
      </c>
      <c r="C3710" s="2">
        <v>830.49570000000006</v>
      </c>
      <c r="D3710" s="2">
        <f>HYPERLINK("http://mcb-m6.bioreg.kyushu-u.ac.jp/M3/20110502/F51163/2276/1", 75.27)</f>
        <v>75.27</v>
      </c>
      <c r="E3710" s="2">
        <v>59.51</v>
      </c>
      <c r="F3710" s="2">
        <v>2</v>
      </c>
      <c r="G3710" s="2" t="s">
        <v>13</v>
      </c>
    </row>
    <row r="3711" spans="1:7" x14ac:dyDescent="0.2">
      <c r="A3711" s="2" t="s">
        <v>3482</v>
      </c>
      <c r="B3711" s="2" t="s">
        <v>304</v>
      </c>
      <c r="C3711" s="2">
        <v>830.50319999999999</v>
      </c>
      <c r="D3711" s="2">
        <f>HYPERLINK("http://mcb-m6.bioreg.kyushu-u.ac.jp/M3/20110502/F51164/2193/1", 82.51)</f>
        <v>82.51</v>
      </c>
      <c r="E3711" s="2">
        <v>66.92</v>
      </c>
      <c r="F3711" s="2">
        <v>2</v>
      </c>
      <c r="G3711" s="2" t="s">
        <v>13</v>
      </c>
    </row>
    <row r="3712" spans="1:7" x14ac:dyDescent="0.2">
      <c r="A3712" s="2" t="s">
        <v>3482</v>
      </c>
      <c r="B3712" s="2" t="s">
        <v>304</v>
      </c>
      <c r="C3712" s="2">
        <v>554.34780000000001</v>
      </c>
      <c r="D3712" s="2">
        <f>HYPERLINK("http://mcb-m6.bioreg.kyushu-u.ac.jp/M3/20110502/F51163/2279/1", 82.79)</f>
        <v>82.79</v>
      </c>
      <c r="E3712" s="2">
        <v>52.16</v>
      </c>
      <c r="F3712" s="2">
        <v>3</v>
      </c>
      <c r="G3712" s="2" t="s">
        <v>13</v>
      </c>
    </row>
    <row r="3713" spans="1:7" x14ac:dyDescent="0.2">
      <c r="A3713" s="2" t="s">
        <v>3482</v>
      </c>
      <c r="B3713" s="2" t="s">
        <v>304</v>
      </c>
      <c r="C3713" s="2">
        <v>831.00419999999997</v>
      </c>
      <c r="D3713" s="2">
        <f>HYPERLINK("http://mcb-m6.bioreg.kyushu-u.ac.jp/M3/20110502/F51163/2278/1", 83.85)</f>
        <v>83.85</v>
      </c>
      <c r="E3713" s="2">
        <v>62.5</v>
      </c>
      <c r="F3713" s="2">
        <v>2</v>
      </c>
      <c r="G3713" s="2" t="s">
        <v>13</v>
      </c>
    </row>
    <row r="3714" spans="1:7" x14ac:dyDescent="0.2">
      <c r="A3714" s="2" t="s">
        <v>3482</v>
      </c>
      <c r="B3714" s="2" t="s">
        <v>304</v>
      </c>
      <c r="C3714" s="2">
        <v>830.83510000000001</v>
      </c>
      <c r="D3714" s="2">
        <f>HYPERLINK("http://mcb-m6.bioreg.kyushu-u.ac.jp/M3/20110429/F51153/2676/1", 108.87)</f>
        <v>108.87</v>
      </c>
      <c r="E3714" s="2">
        <v>85.33</v>
      </c>
      <c r="F3714" s="2">
        <v>2</v>
      </c>
      <c r="G3714" s="2" t="s">
        <v>13</v>
      </c>
    </row>
    <row r="3715" spans="1:7" x14ac:dyDescent="0.2">
      <c r="A3715" s="2" t="s">
        <v>3482</v>
      </c>
      <c r="B3715" s="2" t="s">
        <v>304</v>
      </c>
      <c r="C3715" s="2">
        <v>830.44320000000005</v>
      </c>
      <c r="D3715" s="2">
        <f>HYPERLINK("http://mcb-m6.bioreg.kyushu-u.ac.jp/M3/20110502/F51163/2275/1", 116.06)</f>
        <v>116.06</v>
      </c>
      <c r="E3715" s="2">
        <v>95.91</v>
      </c>
      <c r="F3715" s="2">
        <v>2</v>
      </c>
      <c r="G3715" s="2" t="s">
        <v>13</v>
      </c>
    </row>
    <row r="3716" spans="1:7" x14ac:dyDescent="0.2">
      <c r="A3716" s="2" t="s">
        <v>3482</v>
      </c>
      <c r="B3716" s="2" t="s">
        <v>304</v>
      </c>
      <c r="C3716" s="2">
        <v>830.6277</v>
      </c>
      <c r="D3716" s="2">
        <f>HYPERLINK("http://mcb-m6.bioreg.kyushu-u.ac.jp/M3/20110428/F51145/2375/1", 46.53)</f>
        <v>46.53</v>
      </c>
      <c r="E3716" s="2">
        <v>32.799999999999997</v>
      </c>
      <c r="F3716" s="2">
        <v>2</v>
      </c>
      <c r="G3716" s="2" t="s">
        <v>14</v>
      </c>
    </row>
    <row r="3717" spans="1:7" x14ac:dyDescent="0.2">
      <c r="A3717" s="2" t="s">
        <v>3482</v>
      </c>
      <c r="B3717" s="2" t="s">
        <v>304</v>
      </c>
      <c r="C3717" s="2">
        <v>830.80970000000002</v>
      </c>
      <c r="D3717" s="2">
        <f>HYPERLINK("http://mcb-m6.bioreg.kyushu-u.ac.jp/M3/20110502/F51161/2227/1", 100.06)</f>
        <v>100.06</v>
      </c>
      <c r="E3717" s="2">
        <v>70.099999999999994</v>
      </c>
      <c r="F3717" s="2">
        <v>2</v>
      </c>
      <c r="G3717" s="2" t="s">
        <v>14</v>
      </c>
    </row>
    <row r="3718" spans="1:7" x14ac:dyDescent="0.2">
      <c r="A3718" s="2" t="s">
        <v>3482</v>
      </c>
      <c r="B3718" s="2" t="s">
        <v>304</v>
      </c>
      <c r="C3718" s="2">
        <v>830.38670000000002</v>
      </c>
      <c r="D3718" s="2">
        <f>HYPERLINK("http://mcb-m6.bioreg.kyushu-u.ac.jp/M3/20110428/F51142/2683/1", 103.17)</f>
        <v>103.17</v>
      </c>
      <c r="E3718" s="2">
        <v>85.59</v>
      </c>
      <c r="F3718" s="2">
        <v>2</v>
      </c>
      <c r="G3718" s="2" t="s">
        <v>14</v>
      </c>
    </row>
    <row r="3719" spans="1:7" x14ac:dyDescent="0.2">
      <c r="A3719" s="2" t="s">
        <v>3853</v>
      </c>
      <c r="B3719" s="2" t="s">
        <v>955</v>
      </c>
      <c r="C3719" s="2">
        <v>509.41210000000001</v>
      </c>
      <c r="D3719" s="2">
        <f>HYPERLINK("http://mcb-m6.bioreg.kyushu-u.ac.jp/M3/20110318/F50614/968/1", 62.16)</f>
        <v>62.16</v>
      </c>
      <c r="E3719" s="2">
        <v>26.68</v>
      </c>
      <c r="F3719" s="2">
        <v>2</v>
      </c>
      <c r="G3719" s="2" t="s">
        <v>10</v>
      </c>
    </row>
    <row r="3720" spans="1:7" x14ac:dyDescent="0.2">
      <c r="A3720" s="2" t="s">
        <v>3853</v>
      </c>
      <c r="B3720" s="2" t="s">
        <v>955</v>
      </c>
      <c r="C3720" s="2">
        <v>509.11559999999997</v>
      </c>
      <c r="D3720" s="2">
        <f>HYPERLINK("http://mcb-m6.bioreg.kyushu-u.ac.jp/M3/20110418/F50976/902/1", 46.69)</f>
        <v>46.69</v>
      </c>
      <c r="E3720" s="2">
        <v>11.81</v>
      </c>
      <c r="F3720" s="2">
        <v>2</v>
      </c>
      <c r="G3720" s="2" t="s">
        <v>11</v>
      </c>
    </row>
    <row r="3721" spans="1:7" x14ac:dyDescent="0.2">
      <c r="A3721" s="2" t="s">
        <v>3853</v>
      </c>
      <c r="B3721" s="2" t="s">
        <v>955</v>
      </c>
      <c r="C3721" s="2">
        <v>509.79160000000002</v>
      </c>
      <c r="D3721" s="2">
        <f>HYPERLINK("http://mcb-m6.bioreg.kyushu-u.ac.jp/M3/20110418/F50999/1325/1", 61.26)</f>
        <v>61.26</v>
      </c>
      <c r="E3721" s="2">
        <v>28.51</v>
      </c>
      <c r="F3721" s="2">
        <v>2</v>
      </c>
      <c r="G3721" s="2" t="s">
        <v>11</v>
      </c>
    </row>
    <row r="3722" spans="1:7" x14ac:dyDescent="0.2">
      <c r="A3722" s="2" t="s">
        <v>3853</v>
      </c>
      <c r="B3722" s="2" t="s">
        <v>955</v>
      </c>
      <c r="C3722" s="2">
        <v>509.84660000000002</v>
      </c>
      <c r="D3722" s="2">
        <f>HYPERLINK("http://mcb-m6.bioreg.kyushu-u.ac.jp/M3/20110418/F51001/1341/1", 35.02)</f>
        <v>35.020000000000003</v>
      </c>
      <c r="E3722" s="2">
        <v>14.99</v>
      </c>
      <c r="F3722" s="2">
        <v>2</v>
      </c>
      <c r="G3722" s="2" t="s">
        <v>12</v>
      </c>
    </row>
    <row r="3723" spans="1:7" x14ac:dyDescent="0.2">
      <c r="A3723" s="2" t="s">
        <v>3853</v>
      </c>
      <c r="B3723" s="2" t="s">
        <v>955</v>
      </c>
      <c r="C3723" s="2">
        <v>509.22809999999998</v>
      </c>
      <c r="D3723" s="2">
        <f>HYPERLINK("http://mcb-m6.bioreg.kyushu-u.ac.jp/M3/20110418/F50986/1419/1", 59.87)</f>
        <v>59.87</v>
      </c>
      <c r="E3723" s="2">
        <v>23.79</v>
      </c>
      <c r="F3723" s="2">
        <v>2</v>
      </c>
      <c r="G3723" s="2" t="s">
        <v>12</v>
      </c>
    </row>
    <row r="3724" spans="1:7" x14ac:dyDescent="0.2">
      <c r="A3724" s="2" t="s">
        <v>3797</v>
      </c>
      <c r="B3724" s="2" t="s">
        <v>845</v>
      </c>
      <c r="C3724" s="2">
        <v>744.63319999999999</v>
      </c>
      <c r="D3724" s="2">
        <f>HYPERLINK("http://mcb-m6.bioreg.kyushu-u.ac.jp/M3/20110318/F50620/1649/1", 43.38)</f>
        <v>43.38</v>
      </c>
      <c r="E3724" s="2">
        <v>25.94</v>
      </c>
      <c r="F3724" s="2">
        <v>2</v>
      </c>
      <c r="G3724" s="2" t="s">
        <v>9</v>
      </c>
    </row>
    <row r="3725" spans="1:7" x14ac:dyDescent="0.2">
      <c r="A3725" s="2" t="s">
        <v>3797</v>
      </c>
      <c r="B3725" s="2" t="s">
        <v>845</v>
      </c>
      <c r="C3725" s="2">
        <v>1487.4590000000001</v>
      </c>
      <c r="D3725" s="2">
        <f>HYPERLINK("http://mcb-m6.bioreg.kyushu-u.ac.jp/M3/20110318/F50618/1626/1", 44.48)</f>
        <v>44.48</v>
      </c>
      <c r="E3725" s="2">
        <v>39.46</v>
      </c>
      <c r="F3725" s="2">
        <v>1</v>
      </c>
      <c r="G3725" s="2" t="s">
        <v>9</v>
      </c>
    </row>
    <row r="3726" spans="1:7" x14ac:dyDescent="0.2">
      <c r="A3726" s="2" t="s">
        <v>3797</v>
      </c>
      <c r="B3726" s="2" t="s">
        <v>845</v>
      </c>
      <c r="C3726" s="2">
        <v>744.52260000000001</v>
      </c>
      <c r="D3726" s="2">
        <f>HYPERLINK("http://mcb-m6.bioreg.kyushu-u.ac.jp/M3/20110318/F50605/1593/1", 66.26)</f>
        <v>66.260000000000005</v>
      </c>
      <c r="E3726" s="2">
        <v>54.03</v>
      </c>
      <c r="F3726" s="2">
        <v>2</v>
      </c>
      <c r="G3726" s="2" t="s">
        <v>9</v>
      </c>
    </row>
    <row r="3727" spans="1:7" x14ac:dyDescent="0.2">
      <c r="A3727" s="2" t="s">
        <v>3797</v>
      </c>
      <c r="B3727" s="2" t="s">
        <v>845</v>
      </c>
      <c r="C3727" s="2">
        <v>744.70209999999997</v>
      </c>
      <c r="D3727" s="2">
        <f>HYPERLINK("http://mcb-m6.bioreg.kyushu-u.ac.jp/M3/20110318/F50618/1634/1", 69.9)</f>
        <v>69.900000000000006</v>
      </c>
      <c r="E3727" s="2">
        <v>51.58</v>
      </c>
      <c r="F3727" s="2">
        <v>2</v>
      </c>
      <c r="G3727" s="2" t="s">
        <v>9</v>
      </c>
    </row>
    <row r="3728" spans="1:7" x14ac:dyDescent="0.2">
      <c r="A3728" s="2" t="s">
        <v>3797</v>
      </c>
      <c r="B3728" s="2" t="s">
        <v>845</v>
      </c>
      <c r="C3728" s="2">
        <v>744.24620000000004</v>
      </c>
      <c r="D3728" s="2">
        <f>HYPERLINK("http://mcb-m6.bioreg.kyushu-u.ac.jp/M3/20110318/F50596/1660/1", 42.75)</f>
        <v>42.75</v>
      </c>
      <c r="E3728" s="2">
        <v>18.7</v>
      </c>
      <c r="F3728" s="2">
        <v>2</v>
      </c>
      <c r="G3728" s="2" t="s">
        <v>10</v>
      </c>
    </row>
    <row r="3729" spans="1:7" x14ac:dyDescent="0.2">
      <c r="A3729" s="2" t="s">
        <v>3797</v>
      </c>
      <c r="B3729" s="2" t="s">
        <v>845</v>
      </c>
      <c r="C3729" s="2">
        <v>744.74369999999999</v>
      </c>
      <c r="D3729" s="2">
        <f>HYPERLINK("http://mcb-m6.bioreg.kyushu-u.ac.jp/M3/20110318/F50614/1717/1", 56.69)</f>
        <v>56.69</v>
      </c>
      <c r="E3729" s="2">
        <v>31.25</v>
      </c>
      <c r="F3729" s="2">
        <v>2</v>
      </c>
      <c r="G3729" s="2" t="s">
        <v>10</v>
      </c>
    </row>
    <row r="3730" spans="1:7" x14ac:dyDescent="0.2">
      <c r="A3730" s="2" t="s">
        <v>3797</v>
      </c>
      <c r="B3730" s="2" t="s">
        <v>845</v>
      </c>
      <c r="C3730" s="2">
        <v>744.23569999999995</v>
      </c>
      <c r="D3730" s="2">
        <f>HYPERLINK("http://mcb-m6.bioreg.kyushu-u.ac.jp/M3/20110318/F50614/1710/1", 72.45)</f>
        <v>72.45</v>
      </c>
      <c r="E3730" s="2">
        <v>50.89</v>
      </c>
      <c r="F3730" s="2">
        <v>2</v>
      </c>
      <c r="G3730" s="2" t="s">
        <v>10</v>
      </c>
    </row>
    <row r="3731" spans="1:7" x14ac:dyDescent="0.2">
      <c r="A3731" s="2" t="s">
        <v>3797</v>
      </c>
      <c r="B3731" s="2" t="s">
        <v>845</v>
      </c>
      <c r="C3731" s="2">
        <v>744.28060000000005</v>
      </c>
      <c r="D3731" s="2">
        <f>HYPERLINK("http://mcb-m6.bioreg.kyushu-u.ac.jp/M3/20110418/F50979/2103/1", 40.35)</f>
        <v>40.35</v>
      </c>
      <c r="E3731" s="2">
        <v>25.02</v>
      </c>
      <c r="F3731" s="2">
        <v>2</v>
      </c>
      <c r="G3731" s="2" t="s">
        <v>11</v>
      </c>
    </row>
    <row r="3732" spans="1:7" x14ac:dyDescent="0.2">
      <c r="A3732" s="2" t="s">
        <v>3797</v>
      </c>
      <c r="B3732" s="2" t="s">
        <v>845</v>
      </c>
      <c r="C3732" s="2">
        <v>1487.54</v>
      </c>
      <c r="D3732" s="2">
        <f>HYPERLINK("http://mcb-m6.bioreg.kyushu-u.ac.jp/M3/20110418/F50976/2018/1", 42.18)</f>
        <v>42.18</v>
      </c>
      <c r="E3732" s="2">
        <v>36.19</v>
      </c>
      <c r="F3732" s="2">
        <v>1</v>
      </c>
      <c r="G3732" s="2" t="s">
        <v>11</v>
      </c>
    </row>
    <row r="3733" spans="1:7" x14ac:dyDescent="0.2">
      <c r="A3733" s="2" t="s">
        <v>3797</v>
      </c>
      <c r="B3733" s="2" t="s">
        <v>845</v>
      </c>
      <c r="C3733" s="2">
        <v>744.30070000000001</v>
      </c>
      <c r="D3733" s="2">
        <f>HYPERLINK("http://mcb-m6.bioreg.kyushu-u.ac.jp/M3/20110418/F50976/2019/1", 50.43)</f>
        <v>50.43</v>
      </c>
      <c r="E3733" s="2">
        <v>33.71</v>
      </c>
      <c r="F3733" s="2">
        <v>2</v>
      </c>
      <c r="G3733" s="2" t="s">
        <v>11</v>
      </c>
    </row>
    <row r="3734" spans="1:7" x14ac:dyDescent="0.2">
      <c r="A3734" s="2" t="s">
        <v>3797</v>
      </c>
      <c r="B3734" s="2" t="s">
        <v>845</v>
      </c>
      <c r="C3734" s="2">
        <v>744.18020000000001</v>
      </c>
      <c r="D3734" s="2">
        <f>HYPERLINK("http://mcb-m6.bioreg.kyushu-u.ac.jp/M3/20110418/F50999/2034/1", 68.55)</f>
        <v>68.55</v>
      </c>
      <c r="E3734" s="2">
        <v>54.93</v>
      </c>
      <c r="F3734" s="2">
        <v>2</v>
      </c>
      <c r="G3734" s="2" t="s">
        <v>11</v>
      </c>
    </row>
    <row r="3735" spans="1:7" x14ac:dyDescent="0.2">
      <c r="A3735" s="2" t="s">
        <v>3797</v>
      </c>
      <c r="B3735" s="2" t="s">
        <v>845</v>
      </c>
      <c r="C3735" s="2">
        <v>744.70010000000002</v>
      </c>
      <c r="D3735" s="2">
        <f>HYPERLINK("http://mcb-m6.bioreg.kyushu-u.ac.jp/M3/20110418/F50975/2071/1", 71.92)</f>
        <v>71.92</v>
      </c>
      <c r="E3735" s="2">
        <v>58.6</v>
      </c>
      <c r="F3735" s="2">
        <v>2</v>
      </c>
      <c r="G3735" s="2" t="s">
        <v>11</v>
      </c>
    </row>
    <row r="3736" spans="1:7" x14ac:dyDescent="0.2">
      <c r="A3736" s="2" t="s">
        <v>3797</v>
      </c>
      <c r="B3736" s="2" t="s">
        <v>845</v>
      </c>
      <c r="C3736" s="2">
        <v>744.87459999999999</v>
      </c>
      <c r="D3736" s="2">
        <f>HYPERLINK("http://mcb-m6.bioreg.kyushu-u.ac.jp/M3/20110418/F50976/2026/1", 75.03)</f>
        <v>75.03</v>
      </c>
      <c r="E3736" s="2">
        <v>57.81</v>
      </c>
      <c r="F3736" s="2">
        <v>2</v>
      </c>
      <c r="G3736" s="2" t="s">
        <v>11</v>
      </c>
    </row>
    <row r="3737" spans="1:7" x14ac:dyDescent="0.2">
      <c r="A3737" s="2" t="s">
        <v>3797</v>
      </c>
      <c r="B3737" s="2" t="s">
        <v>845</v>
      </c>
      <c r="C3737" s="2">
        <v>744.28809999999999</v>
      </c>
      <c r="D3737" s="2">
        <f>HYPERLINK("http://mcb-m6.bioreg.kyushu-u.ac.jp/M3/20110418/F50997/2022/1", 62.48)</f>
        <v>62.48</v>
      </c>
      <c r="E3737" s="2">
        <v>47.5</v>
      </c>
      <c r="F3737" s="2">
        <v>2</v>
      </c>
      <c r="G3737" s="2" t="s">
        <v>12</v>
      </c>
    </row>
    <row r="3738" spans="1:7" x14ac:dyDescent="0.2">
      <c r="A3738" s="2" t="s">
        <v>3797</v>
      </c>
      <c r="B3738" s="2" t="s">
        <v>845</v>
      </c>
      <c r="C3738" s="2">
        <v>744.17970000000003</v>
      </c>
      <c r="D3738" s="2">
        <f>HYPERLINK("http://mcb-m6.bioreg.kyushu-u.ac.jp/M3/20110418/F50987/2106/1", 66.8)</f>
        <v>66.8</v>
      </c>
      <c r="E3738" s="2">
        <v>40.729999999999997</v>
      </c>
      <c r="F3738" s="2">
        <v>2</v>
      </c>
      <c r="G3738" s="2" t="s">
        <v>12</v>
      </c>
    </row>
    <row r="3739" spans="1:7" x14ac:dyDescent="0.2">
      <c r="A3739" s="2" t="s">
        <v>3797</v>
      </c>
      <c r="B3739" s="2" t="s">
        <v>845</v>
      </c>
      <c r="C3739" s="2">
        <v>744.23910000000001</v>
      </c>
      <c r="D3739" s="2">
        <f>HYPERLINK("http://mcb-m6.bioreg.kyushu-u.ac.jp/M3/20110418/F51001/2052/1", 90.3)</f>
        <v>90.3</v>
      </c>
      <c r="E3739" s="2">
        <v>73.72</v>
      </c>
      <c r="F3739" s="2">
        <v>2</v>
      </c>
      <c r="G3739" s="2" t="s">
        <v>12</v>
      </c>
    </row>
    <row r="3740" spans="1:7" x14ac:dyDescent="0.2">
      <c r="A3740" s="2" t="s">
        <v>3797</v>
      </c>
      <c r="B3740" s="2" t="s">
        <v>845</v>
      </c>
      <c r="C3740" s="2">
        <v>1487.61</v>
      </c>
      <c r="D3740" s="2">
        <f>HYPERLINK("http://mcb-m6.bioreg.kyushu-u.ac.jp/M3/20110502/F51163/1829/1", 35.44)</f>
        <v>35.44</v>
      </c>
      <c r="E3740" s="2">
        <v>30.54</v>
      </c>
      <c r="F3740" s="2">
        <v>1</v>
      </c>
      <c r="G3740" s="2" t="s">
        <v>13</v>
      </c>
    </row>
    <row r="3741" spans="1:7" x14ac:dyDescent="0.2">
      <c r="A3741" s="2" t="s">
        <v>3797</v>
      </c>
      <c r="B3741" s="2" t="s">
        <v>845</v>
      </c>
      <c r="C3741" s="2">
        <v>744.23360000000002</v>
      </c>
      <c r="D3741" s="2">
        <f>HYPERLINK("http://mcb-m6.bioreg.kyushu-u.ac.jp/M3/20110429/F51150/2145/1", 35.46)</f>
        <v>35.46</v>
      </c>
      <c r="E3741" s="2">
        <v>24.7</v>
      </c>
      <c r="F3741" s="2">
        <v>2</v>
      </c>
      <c r="G3741" s="2" t="s">
        <v>13</v>
      </c>
    </row>
    <row r="3742" spans="1:7" x14ac:dyDescent="0.2">
      <c r="A3742" s="2" t="s">
        <v>3797</v>
      </c>
      <c r="B3742" s="2" t="s">
        <v>845</v>
      </c>
      <c r="C3742" s="2">
        <v>744.89419999999996</v>
      </c>
      <c r="D3742" s="2">
        <f>HYPERLINK("http://mcb-m6.bioreg.kyushu-u.ac.jp/M3/20110502/F51158/1928/1", 37.78)</f>
        <v>37.78</v>
      </c>
      <c r="E3742" s="2">
        <v>20.58</v>
      </c>
      <c r="F3742" s="2">
        <v>2</v>
      </c>
      <c r="G3742" s="2" t="s">
        <v>13</v>
      </c>
    </row>
    <row r="3743" spans="1:7" x14ac:dyDescent="0.2">
      <c r="A3743" s="2" t="s">
        <v>3797</v>
      </c>
      <c r="B3743" s="2" t="s">
        <v>845</v>
      </c>
      <c r="C3743" s="2">
        <v>744.40219999999999</v>
      </c>
      <c r="D3743" s="2">
        <f>HYPERLINK("http://mcb-m6.bioreg.kyushu-u.ac.jp/M3/20110429/F51152/1976/1", 40.51)</f>
        <v>40.51</v>
      </c>
      <c r="E3743" s="2">
        <v>24.54</v>
      </c>
      <c r="F3743" s="2">
        <v>2</v>
      </c>
      <c r="G3743" s="2" t="s">
        <v>13</v>
      </c>
    </row>
    <row r="3744" spans="1:7" x14ac:dyDescent="0.2">
      <c r="A3744" s="2" t="s">
        <v>3797</v>
      </c>
      <c r="B3744" s="2" t="s">
        <v>845</v>
      </c>
      <c r="C3744" s="2">
        <v>1487.433</v>
      </c>
      <c r="D3744" s="2">
        <f>HYPERLINK("http://mcb-m6.bioreg.kyushu-u.ac.jp/M3/20110429/F51153/1995/1", 45.65)</f>
        <v>45.65</v>
      </c>
      <c r="E3744" s="2">
        <v>40.96</v>
      </c>
      <c r="F3744" s="2">
        <v>1</v>
      </c>
      <c r="G3744" s="2" t="s">
        <v>13</v>
      </c>
    </row>
    <row r="3745" spans="1:9" x14ac:dyDescent="0.2">
      <c r="A3745" s="2" t="s">
        <v>3797</v>
      </c>
      <c r="B3745" s="2" t="s">
        <v>845</v>
      </c>
      <c r="C3745" s="2">
        <v>744.23320000000001</v>
      </c>
      <c r="D3745" s="2">
        <f>HYPERLINK("http://mcb-m6.bioreg.kyushu-u.ac.jp/M3/20110429/F51153/1996/1", 56.08)</f>
        <v>56.08</v>
      </c>
      <c r="E3745" s="2">
        <v>42.21</v>
      </c>
      <c r="F3745" s="2">
        <v>2</v>
      </c>
      <c r="G3745" s="2" t="s">
        <v>13</v>
      </c>
    </row>
    <row r="3746" spans="1:9" x14ac:dyDescent="0.2">
      <c r="A3746" s="2" t="s">
        <v>3797</v>
      </c>
      <c r="B3746" s="2" t="s">
        <v>845</v>
      </c>
      <c r="C3746" s="2">
        <v>744.4452</v>
      </c>
      <c r="D3746" s="2">
        <f>HYPERLINK("http://mcb-m6.bioreg.kyushu-u.ac.jp/M3/20110502/F51163/1833/1", 61.77)</f>
        <v>61.77</v>
      </c>
      <c r="E3746" s="2">
        <v>42.89</v>
      </c>
      <c r="F3746" s="2">
        <v>2</v>
      </c>
      <c r="G3746" s="2" t="s">
        <v>13</v>
      </c>
    </row>
    <row r="3747" spans="1:9" x14ac:dyDescent="0.2">
      <c r="A3747" s="2" t="s">
        <v>3797</v>
      </c>
      <c r="B3747" s="2" t="s">
        <v>845</v>
      </c>
      <c r="C3747" s="2">
        <v>744.48360000000002</v>
      </c>
      <c r="D3747" s="2">
        <f>HYPERLINK("http://mcb-m6.bioreg.kyushu-u.ac.jp/M3/20110502/F51163/1834/1", 68.11)</f>
        <v>68.11</v>
      </c>
      <c r="E3747" s="2">
        <v>54.53</v>
      </c>
      <c r="F3747" s="2">
        <v>2</v>
      </c>
      <c r="G3747" s="2" t="s">
        <v>13</v>
      </c>
    </row>
    <row r="3748" spans="1:9" x14ac:dyDescent="0.2">
      <c r="A3748" s="2" t="s">
        <v>3797</v>
      </c>
      <c r="B3748" s="2" t="s">
        <v>845</v>
      </c>
      <c r="C3748" s="2">
        <v>744.33920000000001</v>
      </c>
      <c r="D3748" s="2">
        <f>HYPERLINK("http://mcb-m6.bioreg.kyushu-u.ac.jp/M3/20110428/F51143/2104/1", 39.99)</f>
        <v>39.99</v>
      </c>
      <c r="E3748" s="2">
        <v>24.98</v>
      </c>
      <c r="F3748" s="2">
        <v>2</v>
      </c>
      <c r="G3748" s="2" t="s">
        <v>14</v>
      </c>
    </row>
    <row r="3749" spans="1:9" x14ac:dyDescent="0.2">
      <c r="A3749" s="2" t="s">
        <v>3797</v>
      </c>
      <c r="B3749" s="2" t="s">
        <v>845</v>
      </c>
      <c r="C3749" s="2">
        <v>744.88959999999997</v>
      </c>
      <c r="D3749" s="2">
        <f>HYPERLINK("http://mcb-m6.bioreg.kyushu-u.ac.jp/M3/20110428/F51142/2078/1", 45.83)</f>
        <v>45.83</v>
      </c>
      <c r="E3749" s="2">
        <v>32.840000000000003</v>
      </c>
      <c r="F3749" s="2">
        <v>2</v>
      </c>
      <c r="G3749" s="2" t="s">
        <v>14</v>
      </c>
    </row>
    <row r="3750" spans="1:9" x14ac:dyDescent="0.2">
      <c r="A3750" s="2" t="s">
        <v>3797</v>
      </c>
      <c r="B3750" s="2" t="s">
        <v>845</v>
      </c>
      <c r="C3750" s="2">
        <v>744.38019999999995</v>
      </c>
      <c r="D3750" s="2">
        <f>HYPERLINK("http://mcb-m6.bioreg.kyushu-u.ac.jp/M3/20110428/F51142/2073/1", 61.36)</f>
        <v>61.36</v>
      </c>
      <c r="E3750" s="2">
        <v>45.57</v>
      </c>
      <c r="F3750" s="2">
        <v>2</v>
      </c>
      <c r="G3750" s="2" t="s">
        <v>14</v>
      </c>
    </row>
    <row r="3751" spans="1:9" x14ac:dyDescent="0.2">
      <c r="A3751" s="2" t="s">
        <v>3797</v>
      </c>
      <c r="B3751" s="2" t="s">
        <v>845</v>
      </c>
      <c r="C3751" s="2">
        <v>744.53859999999997</v>
      </c>
      <c r="D3751" s="2">
        <f>HYPERLINK("http://mcb-m6.bioreg.kyushu-u.ac.jp/M3/20110502/F51161/1939/1", 80.39)</f>
        <v>80.39</v>
      </c>
      <c r="E3751" s="2">
        <v>59.65</v>
      </c>
      <c r="F3751" s="2">
        <v>2</v>
      </c>
      <c r="G3751" s="2" t="s">
        <v>14</v>
      </c>
    </row>
    <row r="3752" spans="1:9" x14ac:dyDescent="0.2">
      <c r="A3752" s="2" t="s">
        <v>5599</v>
      </c>
      <c r="B3752" s="2" t="s">
        <v>4989</v>
      </c>
      <c r="C3752" s="2">
        <v>926.23860000000002</v>
      </c>
      <c r="D3752" s="2">
        <f>HYPERLINK("http://mcb-m6.bioreg.kyushu-u.ac.jp/M3/20110318/F50609/2080/1", 35.18)</f>
        <v>35.18</v>
      </c>
      <c r="E3752" s="2">
        <v>16.54</v>
      </c>
      <c r="F3752" s="2">
        <v>2</v>
      </c>
      <c r="G3752" s="2" t="s">
        <v>9</v>
      </c>
      <c r="I3752" s="2" t="s">
        <v>5882</v>
      </c>
    </row>
    <row r="3753" spans="1:9" x14ac:dyDescent="0.2">
      <c r="A3753" s="2" t="s">
        <v>3534</v>
      </c>
      <c r="B3753" s="2" t="s">
        <v>1273</v>
      </c>
      <c r="C3753" s="2">
        <v>735.37649999999996</v>
      </c>
      <c r="D3753" s="2">
        <f>HYPERLINK("http://mcb-m6.bioreg.kyushu-u.ac.jp/M3/20110318/F50619/2596/1", 38.66)</f>
        <v>38.659999999999997</v>
      </c>
      <c r="E3753" s="2">
        <v>20.58</v>
      </c>
      <c r="F3753" s="2">
        <v>3</v>
      </c>
      <c r="G3753" s="2" t="s">
        <v>9</v>
      </c>
    </row>
    <row r="3754" spans="1:9" x14ac:dyDescent="0.2">
      <c r="A3754" s="2" t="s">
        <v>3534</v>
      </c>
      <c r="B3754" s="2" t="s">
        <v>1416</v>
      </c>
      <c r="C3754" s="2">
        <v>639.79319999999996</v>
      </c>
      <c r="D3754" s="2">
        <f>HYPERLINK("http://mcb-m6.bioreg.kyushu-u.ac.jp/M3/20110318/F50619/1151/1", 42.65)</f>
        <v>42.65</v>
      </c>
      <c r="E3754" s="2">
        <v>29.19</v>
      </c>
      <c r="F3754" s="2">
        <v>2</v>
      </c>
      <c r="G3754" s="2" t="s">
        <v>9</v>
      </c>
    </row>
    <row r="3755" spans="1:9" x14ac:dyDescent="0.2">
      <c r="A3755" s="2" t="s">
        <v>3534</v>
      </c>
      <c r="B3755" s="2" t="s">
        <v>1416</v>
      </c>
      <c r="C3755" s="2">
        <v>639.69069999999999</v>
      </c>
      <c r="D3755" s="2">
        <f>HYPERLINK("http://mcb-m6.bioreg.kyushu-u.ac.jp/M3/20110318/F50615/1191/1", 44.89)</f>
        <v>44.89</v>
      </c>
      <c r="E3755" s="2">
        <v>33.24</v>
      </c>
      <c r="F3755" s="2">
        <v>2</v>
      </c>
      <c r="G3755" s="2" t="s">
        <v>10</v>
      </c>
    </row>
    <row r="3756" spans="1:9" x14ac:dyDescent="0.2">
      <c r="A3756" s="2" t="s">
        <v>3534</v>
      </c>
      <c r="B3756" s="2" t="s">
        <v>2412</v>
      </c>
      <c r="C3756" s="2">
        <v>487.10109999999997</v>
      </c>
      <c r="D3756" s="2">
        <f>HYPERLINK("http://mcb-m6.bioreg.kyushu-u.ac.jp/M3/20110318/F50615/766/1", 59.47)</f>
        <v>59.47</v>
      </c>
      <c r="E3756" s="2">
        <v>16.010000000000002</v>
      </c>
      <c r="F3756" s="2">
        <v>2</v>
      </c>
      <c r="G3756" s="2" t="s">
        <v>10</v>
      </c>
    </row>
    <row r="3757" spans="1:9" x14ac:dyDescent="0.2">
      <c r="A3757" s="2" t="s">
        <v>3534</v>
      </c>
      <c r="B3757" s="2" t="s">
        <v>1416</v>
      </c>
      <c r="C3757" s="2">
        <v>640.29570000000001</v>
      </c>
      <c r="D3757" s="2">
        <f>HYPERLINK("http://mcb-m6.bioreg.kyushu-u.ac.jp/M3/20110428/F51141/1368/1", 70.63)</f>
        <v>70.63</v>
      </c>
      <c r="E3757" s="2">
        <v>44.45</v>
      </c>
      <c r="F3757" s="2">
        <v>2</v>
      </c>
      <c r="G3757" s="2" t="s">
        <v>14</v>
      </c>
    </row>
    <row r="3758" spans="1:9" x14ac:dyDescent="0.2">
      <c r="A3758" s="2" t="s">
        <v>5841</v>
      </c>
      <c r="B3758" s="2" t="s">
        <v>5531</v>
      </c>
      <c r="C3758" s="2">
        <v>666.78520000000003</v>
      </c>
      <c r="D3758" s="2">
        <f>HYPERLINK("http://mcb-m6.bioreg.kyushu-u.ac.jp/M3/20110429/F51152/1522/1", 53.52)</f>
        <v>53.52</v>
      </c>
      <c r="E3758" s="2">
        <v>36.229999999999997</v>
      </c>
      <c r="F3758" s="2">
        <v>2</v>
      </c>
      <c r="G3758" s="2" t="s">
        <v>13</v>
      </c>
    </row>
    <row r="3759" spans="1:9" x14ac:dyDescent="0.2">
      <c r="A3759" s="2" t="s">
        <v>3874</v>
      </c>
      <c r="B3759" s="2" t="s">
        <v>1658</v>
      </c>
      <c r="C3759" s="2">
        <v>942.35720000000003</v>
      </c>
      <c r="D3759" s="2">
        <f>HYPERLINK("http://mcb-m6.bioreg.kyushu-u.ac.jp/M3/20110318/F50613/2387/1", 94.49)</f>
        <v>94.49</v>
      </c>
      <c r="E3759" s="2">
        <v>72.91</v>
      </c>
      <c r="F3759" s="2">
        <v>2</v>
      </c>
      <c r="G3759" s="2" t="s">
        <v>10</v>
      </c>
    </row>
    <row r="3760" spans="1:9" x14ac:dyDescent="0.2">
      <c r="A3760" s="2" t="s">
        <v>3874</v>
      </c>
      <c r="B3760" s="2" t="s">
        <v>3085</v>
      </c>
      <c r="C3760" s="2">
        <v>582.48659999999995</v>
      </c>
      <c r="D3760" s="2">
        <f>HYPERLINK("http://mcb-m6.bioreg.kyushu-u.ac.jp/M3/20110418/F50976/1208/1", 38.02)</f>
        <v>38.020000000000003</v>
      </c>
      <c r="E3760" s="2">
        <v>20.51</v>
      </c>
      <c r="F3760" s="2">
        <v>2</v>
      </c>
      <c r="G3760" s="2" t="s">
        <v>11</v>
      </c>
    </row>
    <row r="3761" spans="1:9" x14ac:dyDescent="0.2">
      <c r="A3761" s="2" t="s">
        <v>3874</v>
      </c>
      <c r="B3761" s="2" t="s">
        <v>2469</v>
      </c>
      <c r="C3761" s="2">
        <v>762.77470000000005</v>
      </c>
      <c r="D3761" s="2">
        <f>HYPERLINK("http://mcb-m6.bioreg.kyushu-u.ac.jp/M3/20110418/F50976/2133/1", 44.06)</f>
        <v>44.06</v>
      </c>
      <c r="E3761" s="2">
        <v>37.25</v>
      </c>
      <c r="F3761" s="2">
        <v>2</v>
      </c>
      <c r="G3761" s="2" t="s">
        <v>11</v>
      </c>
    </row>
    <row r="3762" spans="1:9" x14ac:dyDescent="0.2">
      <c r="A3762" s="2" t="s">
        <v>3874</v>
      </c>
      <c r="B3762" s="2" t="s">
        <v>1157</v>
      </c>
      <c r="C3762" s="2">
        <v>564.68870000000004</v>
      </c>
      <c r="D3762" s="2">
        <f>HYPERLINK("http://mcb-m6.bioreg.kyushu-u.ac.jp/M3/20110429/F51153/958/1", 61.61)</f>
        <v>61.61</v>
      </c>
      <c r="E3762" s="2">
        <v>36.57</v>
      </c>
      <c r="F3762" s="2">
        <v>2</v>
      </c>
      <c r="G3762" s="2" t="s">
        <v>13</v>
      </c>
    </row>
    <row r="3763" spans="1:9" x14ac:dyDescent="0.2">
      <c r="A3763" s="2" t="s">
        <v>5649</v>
      </c>
      <c r="B3763" s="2" t="s">
        <v>5093</v>
      </c>
      <c r="C3763" s="2">
        <v>684.81870000000004</v>
      </c>
      <c r="D3763" s="2">
        <f>HYPERLINK("http://mcb-m6.bioreg.kyushu-u.ac.jp/M3/20110318/F50618/1364/1", 52.51)</f>
        <v>52.51</v>
      </c>
      <c r="E3763" s="2">
        <v>30.22</v>
      </c>
      <c r="F3763" s="2">
        <v>2</v>
      </c>
      <c r="G3763" s="2" t="s">
        <v>9</v>
      </c>
      <c r="H3763" s="2" t="s">
        <v>5888</v>
      </c>
    </row>
    <row r="3764" spans="1:9" x14ac:dyDescent="0.2">
      <c r="A3764" s="2" t="s">
        <v>5842</v>
      </c>
      <c r="B3764" s="2" t="s">
        <v>5532</v>
      </c>
      <c r="C3764" s="2">
        <v>585.35059999999999</v>
      </c>
      <c r="D3764" s="2">
        <f>HYPERLINK("http://mcb-m6.bioreg.kyushu-u.ac.jp/M3/20110429/F51153/1100/1", 53.6)</f>
        <v>53.6</v>
      </c>
      <c r="E3764" s="2">
        <v>30.24</v>
      </c>
      <c r="F3764" s="2">
        <v>2</v>
      </c>
      <c r="G3764" s="2" t="s">
        <v>13</v>
      </c>
    </row>
    <row r="3765" spans="1:9" x14ac:dyDescent="0.2">
      <c r="A3765" s="2" t="s">
        <v>4518</v>
      </c>
      <c r="B3765" s="2" t="s">
        <v>2532</v>
      </c>
      <c r="C3765" s="2">
        <v>774.45899999999995</v>
      </c>
      <c r="D3765" s="2">
        <f>HYPERLINK("http://mcb-m6.bioreg.kyushu-u.ac.jp/M3/20110428/F51141/427/1", 35.92)</f>
        <v>35.92</v>
      </c>
      <c r="E3765" s="2">
        <v>15.15</v>
      </c>
      <c r="F3765" s="2">
        <v>1</v>
      </c>
      <c r="G3765" s="2" t="s">
        <v>14</v>
      </c>
    </row>
    <row r="3766" spans="1:9" x14ac:dyDescent="0.2">
      <c r="A3766" s="2" t="s">
        <v>3607</v>
      </c>
      <c r="B3766" s="2" t="s">
        <v>1963</v>
      </c>
      <c r="C3766" s="2">
        <v>667.29819999999995</v>
      </c>
      <c r="D3766" s="2">
        <f>HYPERLINK("http://mcb-m6.bioreg.kyushu-u.ac.jp/M3/20110318/F50618/1305/1", 35.6)</f>
        <v>35.6</v>
      </c>
      <c r="E3766" s="2">
        <v>14.11</v>
      </c>
      <c r="F3766" s="2">
        <v>2</v>
      </c>
      <c r="G3766" s="2" t="s">
        <v>9</v>
      </c>
    </row>
    <row r="3767" spans="1:9" x14ac:dyDescent="0.2">
      <c r="A3767" s="2" t="s">
        <v>3607</v>
      </c>
      <c r="B3767" s="2" t="s">
        <v>5027</v>
      </c>
      <c r="C3767" s="2">
        <v>927.93619999999999</v>
      </c>
      <c r="D3767" s="2">
        <f>HYPERLINK("http://mcb-m6.bioreg.kyushu-u.ac.jp/M3/20110318/F50620/2328/1", 40.24)</f>
        <v>40.24</v>
      </c>
      <c r="E3767" s="2">
        <v>27.9</v>
      </c>
      <c r="F3767" s="2">
        <v>2</v>
      </c>
      <c r="G3767" s="2" t="s">
        <v>9</v>
      </c>
      <c r="I3767" s="2" t="s">
        <v>4906</v>
      </c>
    </row>
    <row r="3768" spans="1:9" x14ac:dyDescent="0.2">
      <c r="A3768" s="2" t="s">
        <v>3607</v>
      </c>
      <c r="B3768" s="2" t="s">
        <v>2663</v>
      </c>
      <c r="C3768" s="2">
        <v>479.8811</v>
      </c>
      <c r="D3768" s="2">
        <f>HYPERLINK("http://mcb-m6.bioreg.kyushu-u.ac.jp/M3/20110318/F50618/723/1", 61.18)</f>
        <v>61.18</v>
      </c>
      <c r="E3768" s="2">
        <v>27.42</v>
      </c>
      <c r="F3768" s="2">
        <v>2</v>
      </c>
      <c r="G3768" s="2" t="s">
        <v>9</v>
      </c>
    </row>
    <row r="3769" spans="1:9" x14ac:dyDescent="0.2">
      <c r="A3769" s="2" t="s">
        <v>3607</v>
      </c>
      <c r="B3769" s="2" t="s">
        <v>1087</v>
      </c>
      <c r="C3769" s="2">
        <v>1028.7719999999999</v>
      </c>
      <c r="D3769" s="2">
        <f>HYPERLINK("http://mcb-m6.bioreg.kyushu-u.ac.jp/M3/20110318/F50618/2728/1", 65.01)</f>
        <v>65.010000000000005</v>
      </c>
      <c r="E3769" s="2">
        <v>52.28</v>
      </c>
      <c r="F3769" s="2">
        <v>2</v>
      </c>
      <c r="G3769" s="2" t="s">
        <v>9</v>
      </c>
    </row>
    <row r="3770" spans="1:9" x14ac:dyDescent="0.2">
      <c r="A3770" s="2" t="s">
        <v>3607</v>
      </c>
      <c r="B3770" s="2" t="s">
        <v>2754</v>
      </c>
      <c r="C3770" s="2">
        <v>784.99620000000004</v>
      </c>
      <c r="D3770" s="2">
        <f>HYPERLINK("http://mcb-m6.bioreg.kyushu-u.ac.jp/M3/20110318/F50618/1883/1", 97.46)</f>
        <v>97.46</v>
      </c>
      <c r="E3770" s="2">
        <v>76.88</v>
      </c>
      <c r="F3770" s="2">
        <v>2</v>
      </c>
      <c r="G3770" s="2" t="s">
        <v>9</v>
      </c>
    </row>
    <row r="3771" spans="1:9" x14ac:dyDescent="0.2">
      <c r="A3771" s="2" t="s">
        <v>3607</v>
      </c>
      <c r="B3771" s="2" t="s">
        <v>2947</v>
      </c>
      <c r="C3771" s="2">
        <v>622.23609999999996</v>
      </c>
      <c r="D3771" s="2">
        <f>HYPERLINK("http://mcb-m6.bioreg.kyushu-u.ac.jp/M3/20110318/F50613/1241/1", 41.89)</f>
        <v>41.89</v>
      </c>
      <c r="E3771" s="2">
        <v>20.12</v>
      </c>
      <c r="F3771" s="2">
        <v>2</v>
      </c>
      <c r="G3771" s="2" t="s">
        <v>10</v>
      </c>
    </row>
    <row r="3772" spans="1:9" x14ac:dyDescent="0.2">
      <c r="A3772" s="2" t="s">
        <v>3607</v>
      </c>
      <c r="B3772" s="2" t="s">
        <v>505</v>
      </c>
      <c r="C3772" s="2">
        <v>725.65769999999998</v>
      </c>
      <c r="D3772" s="2">
        <f>HYPERLINK("http://mcb-m6.bioreg.kyushu-u.ac.jp/M3/20110318/F50614/1591/1", 47.32)</f>
        <v>47.32</v>
      </c>
      <c r="E3772" s="2">
        <v>36.15</v>
      </c>
      <c r="F3772" s="2">
        <v>2</v>
      </c>
      <c r="G3772" s="2" t="s">
        <v>10</v>
      </c>
    </row>
    <row r="3773" spans="1:9" x14ac:dyDescent="0.2">
      <c r="A3773" s="2" t="s">
        <v>3607</v>
      </c>
      <c r="B3773" s="2" t="s">
        <v>1963</v>
      </c>
      <c r="C3773" s="2">
        <v>667.59860000000003</v>
      </c>
      <c r="D3773" s="2">
        <f>HYPERLINK("http://mcb-m6.bioreg.kyushu-u.ac.jp/M3/20110318/F50614/1407/1", 66.73)</f>
        <v>66.73</v>
      </c>
      <c r="E3773" s="2">
        <v>33.090000000000003</v>
      </c>
      <c r="F3773" s="2">
        <v>2</v>
      </c>
      <c r="G3773" s="2" t="s">
        <v>10</v>
      </c>
    </row>
    <row r="3774" spans="1:9" x14ac:dyDescent="0.2">
      <c r="A3774" s="2" t="s">
        <v>3607</v>
      </c>
      <c r="B3774" s="2" t="s">
        <v>2947</v>
      </c>
      <c r="C3774" s="2">
        <v>621.91669999999999</v>
      </c>
      <c r="D3774" s="2">
        <f>HYPERLINK("http://mcb-m6.bioreg.kyushu-u.ac.jp/M3/20110318/F50614/1257/1", 87.48)</f>
        <v>87.48</v>
      </c>
      <c r="E3774" s="2">
        <v>60.81</v>
      </c>
      <c r="F3774" s="2">
        <v>2</v>
      </c>
      <c r="G3774" s="2" t="s">
        <v>10</v>
      </c>
    </row>
    <row r="3775" spans="1:9" x14ac:dyDescent="0.2">
      <c r="A3775" s="2" t="s">
        <v>3607</v>
      </c>
      <c r="B3775" s="2" t="s">
        <v>5412</v>
      </c>
      <c r="C3775" s="2">
        <v>853.9606</v>
      </c>
      <c r="D3775" s="2">
        <f>HYPERLINK("http://mcb-m6.bioreg.kyushu-u.ac.jp/M3/20110418/F50976/2684/1", 56.93)</f>
        <v>56.93</v>
      </c>
      <c r="E3775" s="2">
        <v>38.93</v>
      </c>
      <c r="F3775" s="2">
        <v>2</v>
      </c>
      <c r="G3775" s="2" t="s">
        <v>11</v>
      </c>
      <c r="H3775" s="2" t="s">
        <v>4927</v>
      </c>
    </row>
    <row r="3776" spans="1:9" x14ac:dyDescent="0.2">
      <c r="A3776" s="2" t="s">
        <v>3607</v>
      </c>
      <c r="B3776" s="2" t="s">
        <v>2947</v>
      </c>
      <c r="C3776" s="2">
        <v>622.07920000000001</v>
      </c>
      <c r="D3776" s="2">
        <f>HYPERLINK("http://mcb-m6.bioreg.kyushu-u.ac.jp/M3/20110418/F50999/1610/1", 56.98)</f>
        <v>56.98</v>
      </c>
      <c r="E3776" s="2">
        <v>36.75</v>
      </c>
      <c r="F3776" s="2">
        <v>2</v>
      </c>
      <c r="G3776" s="2" t="s">
        <v>11</v>
      </c>
    </row>
    <row r="3777" spans="1:7" x14ac:dyDescent="0.2">
      <c r="A3777" s="2" t="s">
        <v>3607</v>
      </c>
      <c r="B3777" s="2" t="s">
        <v>2754</v>
      </c>
      <c r="C3777" s="2">
        <v>785.26760000000002</v>
      </c>
      <c r="D3777" s="2">
        <f>HYPERLINK("http://mcb-m6.bioreg.kyushu-u.ac.jp/M3/20110418/F50976/2295/1", 64.27)</f>
        <v>64.27</v>
      </c>
      <c r="E3777" s="2">
        <v>47.62</v>
      </c>
      <c r="F3777" s="2">
        <v>2</v>
      </c>
      <c r="G3777" s="2" t="s">
        <v>11</v>
      </c>
    </row>
    <row r="3778" spans="1:7" x14ac:dyDescent="0.2">
      <c r="A3778" s="2" t="s">
        <v>3607</v>
      </c>
      <c r="B3778" s="2" t="s">
        <v>2947</v>
      </c>
      <c r="C3778" s="2">
        <v>621.70719999999994</v>
      </c>
      <c r="D3778" s="2">
        <f>HYPERLINK("http://mcb-m6.bioreg.kyushu-u.ac.jp/M3/20110418/F50976/1391/1", 65.24)</f>
        <v>65.239999999999995</v>
      </c>
      <c r="E3778" s="2">
        <v>28.78</v>
      </c>
      <c r="F3778" s="2">
        <v>2</v>
      </c>
      <c r="G3778" s="2" t="s">
        <v>11</v>
      </c>
    </row>
    <row r="3779" spans="1:7" x14ac:dyDescent="0.2">
      <c r="A3779" s="2" t="s">
        <v>3607</v>
      </c>
      <c r="B3779" s="2" t="s">
        <v>963</v>
      </c>
      <c r="C3779" s="2">
        <v>645.79219999999998</v>
      </c>
      <c r="D3779" s="2">
        <f>HYPERLINK("http://mcb-m6.bioreg.kyushu-u.ac.jp/M3/20110418/F50976/1477/1", 68.24)</f>
        <v>68.239999999999995</v>
      </c>
      <c r="E3779" s="2">
        <v>31.95</v>
      </c>
      <c r="F3779" s="2">
        <v>2</v>
      </c>
      <c r="G3779" s="2" t="s">
        <v>11</v>
      </c>
    </row>
    <row r="3780" spans="1:7" x14ac:dyDescent="0.2">
      <c r="A3780" s="2" t="s">
        <v>3607</v>
      </c>
      <c r="B3780" s="2" t="s">
        <v>2947</v>
      </c>
      <c r="C3780" s="2">
        <v>622.25670000000002</v>
      </c>
      <c r="D3780" s="2">
        <f>HYPERLINK("http://mcb-m6.bioreg.kyushu-u.ac.jp/M3/20110418/F50976/1393/1", 73.6)</f>
        <v>73.599999999999994</v>
      </c>
      <c r="E3780" s="2">
        <v>49.15</v>
      </c>
      <c r="F3780" s="2">
        <v>2</v>
      </c>
      <c r="G3780" s="2" t="s">
        <v>11</v>
      </c>
    </row>
    <row r="3781" spans="1:7" x14ac:dyDescent="0.2">
      <c r="A3781" s="2" t="s">
        <v>3607</v>
      </c>
      <c r="B3781" s="2" t="s">
        <v>1087</v>
      </c>
      <c r="C3781" s="2">
        <v>1028.9490000000001</v>
      </c>
      <c r="D3781" s="2">
        <f>HYPERLINK("http://mcb-m6.bioreg.kyushu-u.ac.jp/M3/20110418/F50976/3387/1", 78.93)</f>
        <v>78.930000000000007</v>
      </c>
      <c r="E3781" s="2">
        <v>63.05</v>
      </c>
      <c r="F3781" s="2">
        <v>2</v>
      </c>
      <c r="G3781" s="2" t="s">
        <v>11</v>
      </c>
    </row>
    <row r="3782" spans="1:7" x14ac:dyDescent="0.2">
      <c r="A3782" s="2" t="s">
        <v>3607</v>
      </c>
      <c r="B3782" s="2" t="s">
        <v>505</v>
      </c>
      <c r="C3782" s="2">
        <v>725.69209999999998</v>
      </c>
      <c r="D3782" s="2">
        <f>HYPERLINK("http://mcb-m6.bioreg.kyushu-u.ac.jp/M3/20110418/F50976/1903/1", 85.33)</f>
        <v>85.33</v>
      </c>
      <c r="E3782" s="2">
        <v>68.709999999999994</v>
      </c>
      <c r="F3782" s="2">
        <v>2</v>
      </c>
      <c r="G3782" s="2" t="s">
        <v>11</v>
      </c>
    </row>
    <row r="3783" spans="1:7" x14ac:dyDescent="0.2">
      <c r="A3783" s="2" t="s">
        <v>3607</v>
      </c>
      <c r="B3783" s="2" t="s">
        <v>2663</v>
      </c>
      <c r="C3783" s="2">
        <v>479.9871</v>
      </c>
      <c r="D3783" s="2">
        <f>HYPERLINK("http://mcb-m6.bioreg.kyushu-u.ac.jp/M3/20110418/F50986/1324/1", 35.98)</f>
        <v>35.979999999999997</v>
      </c>
      <c r="E3783" s="2">
        <v>8.3000000000000007</v>
      </c>
      <c r="F3783" s="2">
        <v>2</v>
      </c>
      <c r="G3783" s="2" t="s">
        <v>12</v>
      </c>
    </row>
    <row r="3784" spans="1:7" x14ac:dyDescent="0.2">
      <c r="A3784" s="2" t="s">
        <v>3607</v>
      </c>
      <c r="B3784" s="2" t="s">
        <v>505</v>
      </c>
      <c r="C3784" s="2">
        <v>726.28020000000004</v>
      </c>
      <c r="D3784" s="2">
        <f>HYPERLINK("http://mcb-m6.bioreg.kyushu-u.ac.jp/M3/20110418/F50986/1983/1", 49.27)</f>
        <v>49.27</v>
      </c>
      <c r="E3784" s="2">
        <v>29.04</v>
      </c>
      <c r="F3784" s="2">
        <v>2</v>
      </c>
      <c r="G3784" s="2" t="s">
        <v>12</v>
      </c>
    </row>
    <row r="3785" spans="1:7" x14ac:dyDescent="0.2">
      <c r="A3785" s="2" t="s">
        <v>3607</v>
      </c>
      <c r="B3785" s="2" t="s">
        <v>2663</v>
      </c>
      <c r="C3785" s="2">
        <v>479.6721</v>
      </c>
      <c r="D3785" s="2">
        <f>HYPERLINK("http://mcb-m6.bioreg.kyushu-u.ac.jp/M3/20110429/F51153/515/1", 40.09)</f>
        <v>40.090000000000003</v>
      </c>
      <c r="E3785" s="2">
        <v>15.06</v>
      </c>
      <c r="F3785" s="2">
        <v>2</v>
      </c>
      <c r="G3785" s="2" t="s">
        <v>13</v>
      </c>
    </row>
    <row r="3786" spans="1:7" x14ac:dyDescent="0.2">
      <c r="A3786" s="2" t="s">
        <v>3607</v>
      </c>
      <c r="B3786" s="2" t="s">
        <v>2754</v>
      </c>
      <c r="C3786" s="2">
        <v>785.33010000000002</v>
      </c>
      <c r="D3786" s="2">
        <f>HYPERLINK("http://mcb-m6.bioreg.kyushu-u.ac.jp/M3/20110429/F51153/2350/1", 50.93)</f>
        <v>50.93</v>
      </c>
      <c r="E3786" s="2">
        <v>41.65</v>
      </c>
      <c r="F3786" s="2">
        <v>2</v>
      </c>
      <c r="G3786" s="2" t="s">
        <v>13</v>
      </c>
    </row>
    <row r="3787" spans="1:7" x14ac:dyDescent="0.2">
      <c r="A3787" s="2" t="s">
        <v>3607</v>
      </c>
      <c r="B3787" s="2" t="s">
        <v>1087</v>
      </c>
      <c r="C3787" s="2">
        <v>1028.875</v>
      </c>
      <c r="D3787" s="2">
        <f>HYPERLINK("http://mcb-m6.bioreg.kyushu-u.ac.jp/M3/20110429/F51153/3603/1", 74.77)</f>
        <v>74.77</v>
      </c>
      <c r="E3787" s="2">
        <v>56.93</v>
      </c>
      <c r="F3787" s="2">
        <v>2</v>
      </c>
      <c r="G3787" s="2" t="s">
        <v>13</v>
      </c>
    </row>
    <row r="3788" spans="1:7" x14ac:dyDescent="0.2">
      <c r="A3788" s="2" t="s">
        <v>3607</v>
      </c>
      <c r="B3788" s="2" t="s">
        <v>505</v>
      </c>
      <c r="C3788" s="2">
        <v>725.75919999999996</v>
      </c>
      <c r="D3788" s="2">
        <f>HYPERLINK("http://mcb-m6.bioreg.kyushu-u.ac.jp/M3/20110429/F51153/1845/1", 82.33)</f>
        <v>82.33</v>
      </c>
      <c r="E3788" s="2">
        <v>65.58</v>
      </c>
      <c r="F3788" s="2">
        <v>2</v>
      </c>
      <c r="G3788" s="2" t="s">
        <v>13</v>
      </c>
    </row>
    <row r="3789" spans="1:7" x14ac:dyDescent="0.2">
      <c r="A3789" s="2" t="s">
        <v>3607</v>
      </c>
      <c r="B3789" s="2" t="s">
        <v>963</v>
      </c>
      <c r="C3789" s="2">
        <v>645.79859999999996</v>
      </c>
      <c r="D3789" s="2">
        <f>HYPERLINK("http://mcb-m6.bioreg.kyushu-u.ac.jp/M3/20110502/F51163/1298/1", 82.9)</f>
        <v>82.9</v>
      </c>
      <c r="E3789" s="2">
        <v>32.56</v>
      </c>
      <c r="F3789" s="2">
        <v>2</v>
      </c>
      <c r="G3789" s="2" t="s">
        <v>13</v>
      </c>
    </row>
    <row r="3790" spans="1:7" x14ac:dyDescent="0.2">
      <c r="A3790" s="2" t="s">
        <v>3607</v>
      </c>
      <c r="B3790" s="2" t="s">
        <v>5578</v>
      </c>
      <c r="C3790" s="2">
        <v>848.31569999999999</v>
      </c>
      <c r="D3790" s="2">
        <f>HYPERLINK("http://mcb-m6.bioreg.kyushu-u.ac.jp/M3/20110428/F51142/2777/1", 39.74)</f>
        <v>39.74</v>
      </c>
      <c r="E3790" s="2">
        <v>23.87</v>
      </c>
      <c r="F3790" s="2">
        <v>2</v>
      </c>
      <c r="G3790" s="2" t="s">
        <v>14</v>
      </c>
    </row>
    <row r="3791" spans="1:7" x14ac:dyDescent="0.2">
      <c r="A3791" s="2" t="s">
        <v>3607</v>
      </c>
      <c r="B3791" s="2" t="s">
        <v>963</v>
      </c>
      <c r="C3791" s="2">
        <v>646.42819999999995</v>
      </c>
      <c r="D3791" s="2">
        <f>HYPERLINK("http://mcb-m6.bioreg.kyushu-u.ac.jp/M3/20110428/F51142/1565/1", 52.96)</f>
        <v>52.96</v>
      </c>
      <c r="E3791" s="2">
        <v>23.8</v>
      </c>
      <c r="F3791" s="2">
        <v>2</v>
      </c>
      <c r="G3791" s="2" t="s">
        <v>14</v>
      </c>
    </row>
    <row r="3792" spans="1:7" x14ac:dyDescent="0.2">
      <c r="A3792" s="2" t="s">
        <v>3607</v>
      </c>
      <c r="B3792" s="2" t="s">
        <v>2947</v>
      </c>
      <c r="C3792" s="2">
        <v>621.94759999999997</v>
      </c>
      <c r="D3792" s="2">
        <f>HYPERLINK("http://mcb-m6.bioreg.kyushu-u.ac.jp/M3/20110428/F51142/1479/1", 63.04)</f>
        <v>63.04</v>
      </c>
      <c r="E3792" s="2">
        <v>41.82</v>
      </c>
      <c r="F3792" s="2">
        <v>2</v>
      </c>
      <c r="G3792" s="2" t="s">
        <v>14</v>
      </c>
    </row>
    <row r="3793" spans="1:9" x14ac:dyDescent="0.2">
      <c r="A3793" s="2" t="s">
        <v>3607</v>
      </c>
      <c r="B3793" s="2" t="s">
        <v>505</v>
      </c>
      <c r="C3793" s="2">
        <v>726.3691</v>
      </c>
      <c r="D3793" s="2">
        <f>HYPERLINK("http://mcb-m6.bioreg.kyushu-u.ac.jp/M3/20110428/F51142/1952/1", 103.44)</f>
        <v>103.44</v>
      </c>
      <c r="E3793" s="2">
        <v>86.31</v>
      </c>
      <c r="F3793" s="2">
        <v>2</v>
      </c>
      <c r="G3793" s="2" t="s">
        <v>14</v>
      </c>
    </row>
    <row r="3794" spans="1:9" x14ac:dyDescent="0.2">
      <c r="A3794" s="2" t="s">
        <v>3749</v>
      </c>
      <c r="B3794" s="2" t="s">
        <v>1383</v>
      </c>
      <c r="C3794" s="2">
        <v>753.44370000000004</v>
      </c>
      <c r="D3794" s="2">
        <f>HYPERLINK("http://mcb-m6.bioreg.kyushu-u.ac.jp/M3/20110318/F50597/1665/1", 52.31)</f>
        <v>52.31</v>
      </c>
      <c r="E3794" s="2">
        <v>30.23</v>
      </c>
      <c r="F3794" s="2">
        <v>2</v>
      </c>
      <c r="G3794" s="2" t="s">
        <v>10</v>
      </c>
      <c r="I3794" s="2" t="s">
        <v>4903</v>
      </c>
    </row>
    <row r="3795" spans="1:9" x14ac:dyDescent="0.2">
      <c r="A3795" s="2" t="s">
        <v>3749</v>
      </c>
      <c r="B3795" s="2" t="s">
        <v>1383</v>
      </c>
      <c r="C3795" s="2">
        <v>752.83169999999996</v>
      </c>
      <c r="D3795" s="2">
        <f>HYPERLINK("http://mcb-m6.bioreg.kyushu-u.ac.jp/M3/20110318/F50597/1659/1", 64.22)</f>
        <v>64.22</v>
      </c>
      <c r="E3795" s="2">
        <v>47.73</v>
      </c>
      <c r="F3795" s="2">
        <v>2</v>
      </c>
      <c r="G3795" s="2" t="s">
        <v>10</v>
      </c>
      <c r="I3795" s="2" t="s">
        <v>4903</v>
      </c>
    </row>
    <row r="3796" spans="1:9" x14ac:dyDescent="0.2">
      <c r="A3796" s="2" t="s">
        <v>3749</v>
      </c>
      <c r="B3796" s="2" t="s">
        <v>1383</v>
      </c>
      <c r="C3796" s="2">
        <v>752.66020000000003</v>
      </c>
      <c r="D3796" s="2">
        <f>HYPERLINK("http://mcb-m6.bioreg.kyushu-u.ac.jp/M3/20110418/F50974/2134/1", 64.97)</f>
        <v>64.97</v>
      </c>
      <c r="E3796" s="2">
        <v>47.11</v>
      </c>
      <c r="F3796" s="2">
        <v>2</v>
      </c>
      <c r="G3796" s="2" t="s">
        <v>11</v>
      </c>
      <c r="I3796" s="2" t="s">
        <v>4903</v>
      </c>
    </row>
    <row r="3797" spans="1:9" x14ac:dyDescent="0.2">
      <c r="A3797" s="2" t="s">
        <v>3749</v>
      </c>
      <c r="B3797" s="2" t="s">
        <v>1383</v>
      </c>
      <c r="C3797" s="2">
        <v>752.80070000000001</v>
      </c>
      <c r="D3797" s="2">
        <f>HYPERLINK("http://mcb-m6.bioreg.kyushu-u.ac.jp/M3/20110502/F51158/1961/1", 70.23)</f>
        <v>70.23</v>
      </c>
      <c r="E3797" s="2">
        <v>56.94</v>
      </c>
      <c r="F3797" s="2">
        <v>2</v>
      </c>
      <c r="G3797" s="2" t="s">
        <v>13</v>
      </c>
      <c r="I3797" s="2" t="s">
        <v>4903</v>
      </c>
    </row>
    <row r="3798" spans="1:9" x14ac:dyDescent="0.2">
      <c r="A3798" s="2" t="s">
        <v>3749</v>
      </c>
      <c r="B3798" s="2" t="s">
        <v>1383</v>
      </c>
      <c r="C3798" s="2">
        <v>752.83669999999995</v>
      </c>
      <c r="D3798" s="2">
        <f>HYPERLINK("http://mcb-m6.bioreg.kyushu-u.ac.jp/M3/20110428/F51141/1996/1", 70.35)</f>
        <v>70.349999999999994</v>
      </c>
      <c r="E3798" s="2">
        <v>48.72</v>
      </c>
      <c r="F3798" s="2">
        <v>2</v>
      </c>
      <c r="G3798" s="2" t="s">
        <v>14</v>
      </c>
      <c r="I3798" s="2" t="s">
        <v>4903</v>
      </c>
    </row>
    <row r="3799" spans="1:9" x14ac:dyDescent="0.2">
      <c r="A3799" s="2" t="s">
        <v>4330</v>
      </c>
      <c r="B3799" s="2" t="s">
        <v>2129</v>
      </c>
      <c r="C3799" s="2">
        <v>999.21720000000005</v>
      </c>
      <c r="D3799" s="2">
        <f>HYPERLINK("http://mcb-m6.bioreg.kyushu-u.ac.jp/M3/20110418/F50974/3253/1", 74.8)</f>
        <v>74.8</v>
      </c>
      <c r="E3799" s="2">
        <v>60.42</v>
      </c>
      <c r="F3799" s="2">
        <v>2</v>
      </c>
      <c r="G3799" s="2" t="s">
        <v>11</v>
      </c>
    </row>
    <row r="3800" spans="1:9" x14ac:dyDescent="0.2">
      <c r="A3800" s="2" t="s">
        <v>4330</v>
      </c>
      <c r="B3800" s="2" t="s">
        <v>2129</v>
      </c>
      <c r="C3800" s="2">
        <v>999.57619999999997</v>
      </c>
      <c r="D3800" s="2">
        <f>HYPERLINK("http://mcb-m6.bioreg.kyushu-u.ac.jp/M3/20110428/F51141/3386/1", 47.84)</f>
        <v>47.84</v>
      </c>
      <c r="E3800" s="2">
        <v>34.450000000000003</v>
      </c>
      <c r="F3800" s="2">
        <v>2</v>
      </c>
      <c r="G3800" s="2" t="s">
        <v>14</v>
      </c>
    </row>
    <row r="3801" spans="1:9" x14ac:dyDescent="0.2">
      <c r="A3801" s="2" t="s">
        <v>4330</v>
      </c>
      <c r="B3801" s="2" t="s">
        <v>2129</v>
      </c>
      <c r="C3801" s="2">
        <v>998.99959999999999</v>
      </c>
      <c r="D3801" s="2">
        <f>HYPERLINK("http://mcb-m6.bioreg.kyushu-u.ac.jp/M3/20110428/F51141/3382/1", 52.63)</f>
        <v>52.63</v>
      </c>
      <c r="E3801" s="2">
        <v>35.26</v>
      </c>
      <c r="F3801" s="2">
        <v>2</v>
      </c>
      <c r="G3801" s="2" t="s">
        <v>14</v>
      </c>
    </row>
    <row r="3802" spans="1:9" x14ac:dyDescent="0.2">
      <c r="A3802" s="2" t="s">
        <v>3324</v>
      </c>
      <c r="B3802" s="2" t="s">
        <v>5499</v>
      </c>
      <c r="C3802" s="2">
        <v>766.44619999999998</v>
      </c>
      <c r="D3802" s="2">
        <f>HYPERLINK("http://mcb-m6.bioreg.kyushu-u.ac.jp/M3/20110502/F51158/2027/1", 42.6)</f>
        <v>42.6</v>
      </c>
      <c r="E3802" s="2">
        <v>27.15</v>
      </c>
      <c r="F3802" s="2">
        <v>2</v>
      </c>
      <c r="G3802" s="2" t="s">
        <v>13</v>
      </c>
    </row>
    <row r="3803" spans="1:9" x14ac:dyDescent="0.2">
      <c r="A3803" s="2" t="s">
        <v>4879</v>
      </c>
      <c r="B3803" s="2" t="s">
        <v>5366</v>
      </c>
      <c r="C3803" s="2">
        <v>943.4366</v>
      </c>
      <c r="D3803" s="2">
        <f>HYPERLINK("http://mcb-m6.bioreg.kyushu-u.ac.jp/M3/20110418/F50979/2756/1", 37.76)</f>
        <v>37.76</v>
      </c>
      <c r="E3803" s="2">
        <v>27.42</v>
      </c>
      <c r="F3803" s="2">
        <v>2</v>
      </c>
      <c r="G3803" s="2" t="s">
        <v>11</v>
      </c>
      <c r="I3803" s="2" t="s">
        <v>5899</v>
      </c>
    </row>
    <row r="3804" spans="1:9" x14ac:dyDescent="0.2">
      <c r="A3804" s="2" t="s">
        <v>4879</v>
      </c>
      <c r="B3804" s="2" t="s">
        <v>5485</v>
      </c>
      <c r="C3804" s="2">
        <v>684.43709999999999</v>
      </c>
      <c r="D3804" s="2">
        <f>HYPERLINK("http://mcb-m6.bioreg.kyushu-u.ac.jp/M3/20110429/F51154/1672/1", 38.51)</f>
        <v>38.51</v>
      </c>
      <c r="E3804" s="2">
        <v>16.350000000000001</v>
      </c>
      <c r="F3804" s="2">
        <v>2</v>
      </c>
      <c r="G3804" s="2" t="s">
        <v>13</v>
      </c>
    </row>
    <row r="3805" spans="1:9" x14ac:dyDescent="0.2">
      <c r="A3805" s="2" t="s">
        <v>3761</v>
      </c>
      <c r="B3805" s="2" t="s">
        <v>777</v>
      </c>
      <c r="C3805" s="2">
        <v>475.8356</v>
      </c>
      <c r="D3805" s="2">
        <f>HYPERLINK("http://mcb-m6.bioreg.kyushu-u.ac.jp/M3/20110318/F50621/1007/1", 37.81)</f>
        <v>37.81</v>
      </c>
      <c r="E3805" s="2">
        <v>12.28</v>
      </c>
      <c r="F3805" s="2">
        <v>2</v>
      </c>
      <c r="G3805" s="2" t="s">
        <v>9</v>
      </c>
    </row>
    <row r="3806" spans="1:9" x14ac:dyDescent="0.2">
      <c r="A3806" s="2" t="s">
        <v>3761</v>
      </c>
      <c r="B3806" s="2" t="s">
        <v>5126</v>
      </c>
      <c r="C3806" s="2">
        <v>617.23910000000001</v>
      </c>
      <c r="D3806" s="2">
        <f>HYPERLINK("http://mcb-m6.bioreg.kyushu-u.ac.jp/M3/20110318/F50621/1213/1", 62.76)</f>
        <v>62.76</v>
      </c>
      <c r="E3806" s="2">
        <v>34.979999999999997</v>
      </c>
      <c r="F3806" s="2">
        <v>2</v>
      </c>
      <c r="G3806" s="2" t="s">
        <v>9</v>
      </c>
    </row>
    <row r="3807" spans="1:9" x14ac:dyDescent="0.2">
      <c r="A3807" s="2" t="s">
        <v>3761</v>
      </c>
      <c r="B3807" s="2" t="s">
        <v>5126</v>
      </c>
      <c r="C3807" s="2">
        <v>617.19619999999998</v>
      </c>
      <c r="D3807" s="2">
        <f>HYPERLINK("http://mcb-m6.bioreg.kyushu-u.ac.jp/M3/20110318/F50617/1222/1", 67.93)</f>
        <v>67.930000000000007</v>
      </c>
      <c r="E3807" s="2">
        <v>39.89</v>
      </c>
      <c r="F3807" s="2">
        <v>2</v>
      </c>
      <c r="G3807" s="2" t="s">
        <v>10</v>
      </c>
    </row>
    <row r="3808" spans="1:9" x14ac:dyDescent="0.2">
      <c r="A3808" s="2" t="s">
        <v>3239</v>
      </c>
      <c r="B3808" s="2" t="s">
        <v>19</v>
      </c>
      <c r="C3808" s="2">
        <v>639.56569999999999</v>
      </c>
      <c r="D3808" s="2">
        <f>HYPERLINK("http://mcb-m6.bioreg.kyushu-u.ac.jp/M3/20110318/F50610/1474/1", 46.87)</f>
        <v>46.87</v>
      </c>
      <c r="E3808" s="2">
        <v>32.119999999999997</v>
      </c>
      <c r="F3808" s="2">
        <v>2</v>
      </c>
      <c r="G3808" s="2" t="s">
        <v>9</v>
      </c>
      <c r="H3808" s="2" t="s">
        <v>4927</v>
      </c>
    </row>
    <row r="3809" spans="1:9" x14ac:dyDescent="0.2">
      <c r="A3809" s="2" t="s">
        <v>3239</v>
      </c>
      <c r="B3809" s="2" t="s">
        <v>19</v>
      </c>
      <c r="C3809" s="2">
        <v>639.24659999999994</v>
      </c>
      <c r="D3809" s="2">
        <f>HYPERLINK("http://mcb-m6.bioreg.kyushu-u.ac.jp/M3/20110318/F50622/1146/1", 52.69)</f>
        <v>52.69</v>
      </c>
      <c r="E3809" s="2">
        <v>38.26</v>
      </c>
      <c r="F3809" s="2">
        <v>2</v>
      </c>
      <c r="G3809" s="2" t="s">
        <v>10</v>
      </c>
      <c r="H3809" s="2" t="s">
        <v>4927</v>
      </c>
    </row>
    <row r="3810" spans="1:9" x14ac:dyDescent="0.2">
      <c r="A3810" s="2" t="s">
        <v>3541</v>
      </c>
      <c r="B3810" s="2" t="s">
        <v>396</v>
      </c>
      <c r="C3810" s="2">
        <v>966.56700000000001</v>
      </c>
      <c r="D3810" s="2">
        <f>HYPERLINK("http://mcb-m6.bioreg.kyushu-u.ac.jp/M3/20110318/F50610/1306/1", 49.92)</f>
        <v>49.92</v>
      </c>
      <c r="E3810" s="2">
        <v>21.07</v>
      </c>
      <c r="F3810" s="2">
        <v>1</v>
      </c>
      <c r="G3810" s="2" t="s">
        <v>9</v>
      </c>
    </row>
    <row r="3811" spans="1:9" x14ac:dyDescent="0.2">
      <c r="A3811" s="2" t="s">
        <v>3541</v>
      </c>
      <c r="B3811" s="2" t="s">
        <v>396</v>
      </c>
      <c r="C3811" s="2">
        <v>483.81360000000001</v>
      </c>
      <c r="D3811" s="2">
        <f>HYPERLINK("http://mcb-m6.bioreg.kyushu-u.ac.jp/M3/20110318/F50622/906/1", 40.22)</f>
        <v>40.22</v>
      </c>
      <c r="E3811" s="2">
        <v>19.600000000000001</v>
      </c>
      <c r="F3811" s="2">
        <v>2</v>
      </c>
      <c r="G3811" s="2" t="s">
        <v>10</v>
      </c>
    </row>
    <row r="3812" spans="1:9" x14ac:dyDescent="0.2">
      <c r="A3812" s="2" t="s">
        <v>3801</v>
      </c>
      <c r="B3812" s="2" t="s">
        <v>854</v>
      </c>
      <c r="C3812" s="2">
        <v>735.80619999999999</v>
      </c>
      <c r="D3812" s="2">
        <f>HYPERLINK("http://mcb-m6.bioreg.kyushu-u.ac.jp/M3/20110318/F50599/1684/1", 56.03)</f>
        <v>56.03</v>
      </c>
      <c r="E3812" s="2">
        <v>22.8</v>
      </c>
      <c r="F3812" s="2">
        <v>2</v>
      </c>
      <c r="G3812" s="2" t="s">
        <v>10</v>
      </c>
    </row>
    <row r="3813" spans="1:9" x14ac:dyDescent="0.2">
      <c r="A3813" s="2" t="s">
        <v>3801</v>
      </c>
      <c r="B3813" s="2" t="s">
        <v>854</v>
      </c>
      <c r="C3813" s="2">
        <v>736.34559999999999</v>
      </c>
      <c r="D3813" s="2">
        <f>HYPERLINK("http://mcb-m6.bioreg.kyushu-u.ac.jp/M3/20110318/F50599/1686/1", 64.56)</f>
        <v>64.56</v>
      </c>
      <c r="E3813" s="2">
        <v>39.04</v>
      </c>
      <c r="F3813" s="2">
        <v>2</v>
      </c>
      <c r="G3813" s="2" t="s">
        <v>10</v>
      </c>
    </row>
    <row r="3814" spans="1:9" x14ac:dyDescent="0.2">
      <c r="A3814" s="2" t="s">
        <v>3629</v>
      </c>
      <c r="B3814" s="2" t="s">
        <v>1235</v>
      </c>
      <c r="C3814" s="2">
        <v>787.39620000000002</v>
      </c>
      <c r="D3814" s="2">
        <f>HYPERLINK("http://mcb-m6.bioreg.kyushu-u.ac.jp/M3/20110318/F50599/1893/1", 43.16)</f>
        <v>43.16</v>
      </c>
      <c r="E3814" s="2">
        <v>30.16</v>
      </c>
      <c r="F3814" s="2">
        <v>2</v>
      </c>
      <c r="G3814" s="2" t="s">
        <v>10</v>
      </c>
    </row>
    <row r="3815" spans="1:9" x14ac:dyDescent="0.2">
      <c r="A3815" s="2" t="s">
        <v>3629</v>
      </c>
      <c r="B3815" s="2" t="s">
        <v>734</v>
      </c>
      <c r="C3815" s="2">
        <v>645.30359999999996</v>
      </c>
      <c r="D3815" s="2">
        <f>HYPERLINK("http://mcb-m6.bioreg.kyushu-u.ac.jp/M3/20110429/F51150/1775/1", 55.99)</f>
        <v>55.99</v>
      </c>
      <c r="E3815" s="2">
        <v>27.51</v>
      </c>
      <c r="F3815" s="2">
        <v>2</v>
      </c>
      <c r="G3815" s="2" t="s">
        <v>13</v>
      </c>
      <c r="I3815" s="2" t="s">
        <v>4899</v>
      </c>
    </row>
    <row r="3816" spans="1:9" x14ac:dyDescent="0.2">
      <c r="A3816" s="2" t="s">
        <v>4122</v>
      </c>
      <c r="B3816" s="2" t="s">
        <v>2322</v>
      </c>
      <c r="C3816" s="2">
        <v>470.3571</v>
      </c>
      <c r="D3816" s="2">
        <f>HYPERLINK("http://mcb-m6.bioreg.kyushu-u.ac.jp/M3/20110318/F50609/1102/1", 43.66)</f>
        <v>43.66</v>
      </c>
      <c r="E3816" s="2">
        <v>15.79</v>
      </c>
      <c r="F3816" s="2">
        <v>2</v>
      </c>
      <c r="G3816" s="2" t="s">
        <v>9</v>
      </c>
    </row>
    <row r="3817" spans="1:9" x14ac:dyDescent="0.2">
      <c r="A3817" s="2" t="s">
        <v>4122</v>
      </c>
      <c r="B3817" s="2" t="s">
        <v>1630</v>
      </c>
      <c r="C3817" s="2">
        <v>679.40449999999998</v>
      </c>
      <c r="D3817" s="2">
        <f>HYPERLINK("http://mcb-m6.bioreg.kyushu-u.ac.jp/M3/20110318/F50619/2406/1", 71)</f>
        <v>71</v>
      </c>
      <c r="E3817" s="2">
        <v>50.26</v>
      </c>
      <c r="F3817" s="2">
        <v>3</v>
      </c>
      <c r="G3817" s="2" t="s">
        <v>9</v>
      </c>
    </row>
    <row r="3818" spans="1:9" x14ac:dyDescent="0.2">
      <c r="A3818" s="2" t="s">
        <v>4122</v>
      </c>
      <c r="B3818" s="2" t="s">
        <v>1630</v>
      </c>
      <c r="C3818" s="2">
        <v>1018.683</v>
      </c>
      <c r="D3818" s="2">
        <f>HYPERLINK("http://mcb-m6.bioreg.kyushu-u.ac.jp/M3/20110318/F50619/2407/1", 79.21)</f>
        <v>79.209999999999994</v>
      </c>
      <c r="E3818" s="2">
        <v>67.010000000000005</v>
      </c>
      <c r="F3818" s="2">
        <v>2</v>
      </c>
      <c r="G3818" s="2" t="s">
        <v>9</v>
      </c>
    </row>
    <row r="3819" spans="1:9" x14ac:dyDescent="0.2">
      <c r="A3819" s="2" t="s">
        <v>4122</v>
      </c>
      <c r="B3819" s="2" t="s">
        <v>1630</v>
      </c>
      <c r="C3819" s="2">
        <v>1019.192</v>
      </c>
      <c r="D3819" s="2">
        <f>HYPERLINK("http://mcb-m6.bioreg.kyushu-u.ac.jp/M3/20110318/F50620/2554/1", 91.99)</f>
        <v>91.99</v>
      </c>
      <c r="E3819" s="2">
        <v>77.790000000000006</v>
      </c>
      <c r="F3819" s="2">
        <v>2</v>
      </c>
      <c r="G3819" s="2" t="s">
        <v>9</v>
      </c>
    </row>
    <row r="3820" spans="1:9" x14ac:dyDescent="0.2">
      <c r="A3820" s="2" t="s">
        <v>4122</v>
      </c>
      <c r="B3820" s="2" t="s">
        <v>1630</v>
      </c>
      <c r="C3820" s="2">
        <v>1019.2430000000001</v>
      </c>
      <c r="D3820" s="2">
        <f>HYPERLINK("http://mcb-m6.bioreg.kyushu-u.ac.jp/M3/20110318/F50621/2217/1", 97.9)</f>
        <v>97.9</v>
      </c>
      <c r="E3820" s="2">
        <v>81.83</v>
      </c>
      <c r="F3820" s="2">
        <v>2</v>
      </c>
      <c r="G3820" s="2" t="s">
        <v>9</v>
      </c>
    </row>
    <row r="3821" spans="1:9" x14ac:dyDescent="0.2">
      <c r="A3821" s="2" t="s">
        <v>4122</v>
      </c>
      <c r="B3821" s="2" t="s">
        <v>1630</v>
      </c>
      <c r="C3821" s="2">
        <v>1018.706</v>
      </c>
      <c r="D3821" s="2">
        <f>HYPERLINK("http://mcb-m6.bioreg.kyushu-u.ac.jp/M3/20110318/F50621/2216/1", 98.59)</f>
        <v>98.59</v>
      </c>
      <c r="E3821" s="2">
        <v>84.82</v>
      </c>
      <c r="F3821" s="2">
        <v>2</v>
      </c>
      <c r="G3821" s="2" t="s">
        <v>9</v>
      </c>
    </row>
    <row r="3822" spans="1:9" x14ac:dyDescent="0.2">
      <c r="A3822" s="2" t="s">
        <v>4122</v>
      </c>
      <c r="B3822" s="2" t="s">
        <v>2322</v>
      </c>
      <c r="C3822" s="2">
        <v>470.70260000000002</v>
      </c>
      <c r="D3822" s="2">
        <f>HYPERLINK("http://mcb-m6.bioreg.kyushu-u.ac.jp/M3/20110418/F50975/647/1", 48.57)</f>
        <v>48.57</v>
      </c>
      <c r="E3822" s="2">
        <v>14.7</v>
      </c>
      <c r="F3822" s="2">
        <v>2</v>
      </c>
      <c r="G3822" s="2" t="s">
        <v>11</v>
      </c>
    </row>
    <row r="3823" spans="1:9" x14ac:dyDescent="0.2">
      <c r="A3823" s="2" t="s">
        <v>4122</v>
      </c>
      <c r="B3823" s="2" t="s">
        <v>1630</v>
      </c>
      <c r="C3823" s="2">
        <v>1018.971</v>
      </c>
      <c r="D3823" s="2">
        <f>HYPERLINK("http://mcb-m6.bioreg.kyushu-u.ac.jp/M3/20110418/F50975/3497/1", 86.72)</f>
        <v>86.72</v>
      </c>
      <c r="E3823" s="2">
        <v>78.400000000000006</v>
      </c>
      <c r="F3823" s="2">
        <v>2</v>
      </c>
      <c r="G3823" s="2" t="s">
        <v>11</v>
      </c>
    </row>
    <row r="3824" spans="1:9" x14ac:dyDescent="0.2">
      <c r="A3824" s="2" t="s">
        <v>4122</v>
      </c>
      <c r="B3824" s="2" t="s">
        <v>5534</v>
      </c>
      <c r="C3824" s="2">
        <v>687.84810000000004</v>
      </c>
      <c r="D3824" s="2">
        <f>HYPERLINK("http://mcb-m6.bioreg.kyushu-u.ac.jp/M3/20110502/F51158/1609/1", 54.5)</f>
        <v>54.5</v>
      </c>
      <c r="E3824" s="2">
        <v>31.49</v>
      </c>
      <c r="F3824" s="2">
        <v>2</v>
      </c>
      <c r="G3824" s="2" t="s">
        <v>13</v>
      </c>
      <c r="I3824" s="2" t="s">
        <v>4926</v>
      </c>
    </row>
    <row r="3825" spans="1:8" x14ac:dyDescent="0.2">
      <c r="A3825" s="2" t="s">
        <v>4122</v>
      </c>
      <c r="B3825" s="2" t="s">
        <v>1630</v>
      </c>
      <c r="C3825" s="2">
        <v>1019.461</v>
      </c>
      <c r="D3825" s="2">
        <f>HYPERLINK("http://mcb-m6.bioreg.kyushu-u.ac.jp/M3/20110502/F51158/3193/1", 80.73)</f>
        <v>80.73</v>
      </c>
      <c r="E3825" s="2">
        <v>61.8</v>
      </c>
      <c r="F3825" s="2">
        <v>2</v>
      </c>
      <c r="G3825" s="2" t="s">
        <v>13</v>
      </c>
    </row>
    <row r="3826" spans="1:8" x14ac:dyDescent="0.2">
      <c r="A3826" s="2" t="s">
        <v>5734</v>
      </c>
      <c r="B3826" s="2" t="s">
        <v>5323</v>
      </c>
      <c r="C3826" s="2">
        <v>710.15060000000005</v>
      </c>
      <c r="D3826" s="2">
        <f>HYPERLINK("http://mcb-m6.bioreg.kyushu-u.ac.jp/M3/20110318/F50596/1500/1", 58.73)</f>
        <v>58.73</v>
      </c>
      <c r="E3826" s="2">
        <v>42.88</v>
      </c>
      <c r="F3826" s="2">
        <v>2</v>
      </c>
      <c r="G3826" s="2" t="s">
        <v>10</v>
      </c>
    </row>
    <row r="3827" spans="1:8" x14ac:dyDescent="0.2">
      <c r="A3827" s="2" t="s">
        <v>5691</v>
      </c>
      <c r="B3827" s="2" t="s">
        <v>5222</v>
      </c>
      <c r="C3827" s="2">
        <v>454.9821</v>
      </c>
      <c r="D3827" s="2">
        <f>HYPERLINK("http://mcb-m6.bioreg.kyushu-u.ac.jp/M3/20110318/F50596/912/1", 36.76)</f>
        <v>36.76</v>
      </c>
      <c r="E3827" s="2">
        <v>16.59</v>
      </c>
      <c r="F3827" s="2">
        <v>2</v>
      </c>
      <c r="G3827" s="2" t="s">
        <v>10</v>
      </c>
    </row>
    <row r="3828" spans="1:8" x14ac:dyDescent="0.2">
      <c r="A3828" s="2" t="s">
        <v>5691</v>
      </c>
      <c r="B3828" s="2" t="s">
        <v>5336</v>
      </c>
      <c r="C3828" s="2">
        <v>873.43219999999997</v>
      </c>
      <c r="D3828" s="2">
        <f>HYPERLINK("http://mcb-m6.bioreg.kyushu-u.ac.jp/M3/20110318/F50596/2058/1", 68.46)</f>
        <v>68.459999999999994</v>
      </c>
      <c r="E3828" s="2">
        <v>46.12</v>
      </c>
      <c r="F3828" s="2">
        <v>2</v>
      </c>
      <c r="G3828" s="2" t="s">
        <v>10</v>
      </c>
    </row>
    <row r="3829" spans="1:8" x14ac:dyDescent="0.2">
      <c r="A3829" s="2" t="s">
        <v>4621</v>
      </c>
      <c r="B3829" s="2" t="s">
        <v>2748</v>
      </c>
      <c r="C3829" s="2">
        <v>645.76120000000003</v>
      </c>
      <c r="D3829" s="2">
        <f>HYPERLINK("http://mcb-m6.bioreg.kyushu-u.ac.jp/M3/20110429/F51157/1259/1", 100.81)</f>
        <v>100.81</v>
      </c>
      <c r="E3829" s="2">
        <v>78.67</v>
      </c>
      <c r="F3829" s="2">
        <v>2</v>
      </c>
      <c r="G3829" s="2" t="s">
        <v>13</v>
      </c>
    </row>
    <row r="3830" spans="1:8" x14ac:dyDescent="0.2">
      <c r="A3830" s="2" t="s">
        <v>5617</v>
      </c>
      <c r="B3830" s="2" t="s">
        <v>5019</v>
      </c>
      <c r="C3830" s="2">
        <v>968.11609999999996</v>
      </c>
      <c r="D3830" s="2">
        <f>HYPERLINK("http://mcb-m6.bioreg.kyushu-u.ac.jp/M3/20110318/F50618/2530/1", 39.75)</f>
        <v>39.75</v>
      </c>
      <c r="E3830" s="2">
        <v>27.63</v>
      </c>
      <c r="F3830" s="2">
        <v>2</v>
      </c>
      <c r="G3830" s="2" t="s">
        <v>9</v>
      </c>
    </row>
    <row r="3831" spans="1:8" x14ac:dyDescent="0.2">
      <c r="A3831" s="2" t="s">
        <v>5682</v>
      </c>
      <c r="B3831" s="2" t="s">
        <v>5206</v>
      </c>
      <c r="C3831" s="2">
        <v>585.54110000000003</v>
      </c>
      <c r="D3831" s="2">
        <f>HYPERLINK("http://mcb-m6.bioreg.kyushu-u.ac.jp/M3/20110318/F50597/1109/1", 35.36)</f>
        <v>35.36</v>
      </c>
      <c r="E3831" s="2">
        <v>13.95</v>
      </c>
      <c r="F3831" s="2">
        <v>2</v>
      </c>
      <c r="G3831" s="2" t="s">
        <v>10</v>
      </c>
    </row>
    <row r="3832" spans="1:8" x14ac:dyDescent="0.2">
      <c r="A3832" s="2" t="s">
        <v>3302</v>
      </c>
      <c r="B3832" s="2" t="s">
        <v>1107</v>
      </c>
      <c r="C3832" s="2">
        <v>601.65809999999999</v>
      </c>
      <c r="D3832" s="2">
        <f>HYPERLINK("http://mcb-m6.bioreg.kyushu-u.ac.jp/M3/20110418/F50977/1358/1", 57.09)</f>
        <v>57.09</v>
      </c>
      <c r="E3832" s="2">
        <v>31.54</v>
      </c>
      <c r="F3832" s="2">
        <v>2</v>
      </c>
      <c r="G3832" s="2" t="s">
        <v>11</v>
      </c>
    </row>
    <row r="3833" spans="1:8" x14ac:dyDescent="0.2">
      <c r="A3833" s="2" t="s">
        <v>3302</v>
      </c>
      <c r="B3833" s="2" t="s">
        <v>1107</v>
      </c>
      <c r="C3833" s="2">
        <v>601.31960000000004</v>
      </c>
      <c r="D3833" s="2">
        <f>HYPERLINK("http://mcb-m6.bioreg.kyushu-u.ac.jp/M3/20110418/F50975/1255/1", 65.41)</f>
        <v>65.41</v>
      </c>
      <c r="E3833" s="2">
        <v>39.39</v>
      </c>
      <c r="F3833" s="2">
        <v>2</v>
      </c>
      <c r="G3833" s="2" t="s">
        <v>11</v>
      </c>
    </row>
    <row r="3834" spans="1:8" x14ac:dyDescent="0.2">
      <c r="A3834" s="2" t="s">
        <v>3302</v>
      </c>
      <c r="B3834" s="2" t="s">
        <v>83</v>
      </c>
      <c r="C3834" s="2">
        <v>671.40970000000004</v>
      </c>
      <c r="D3834" s="2">
        <f>HYPERLINK("http://mcb-m6.bioreg.kyushu-u.ac.jp/M3/20110428/F51147/1730/1", 37.29)</f>
        <v>37.29</v>
      </c>
      <c r="E3834" s="2">
        <v>8.52</v>
      </c>
      <c r="F3834" s="2">
        <v>2</v>
      </c>
      <c r="G3834" s="2" t="s">
        <v>13</v>
      </c>
      <c r="H3834" s="2" t="s">
        <v>4904</v>
      </c>
    </row>
    <row r="3835" spans="1:8" x14ac:dyDescent="0.2">
      <c r="A3835" s="2" t="s">
        <v>3302</v>
      </c>
      <c r="B3835" s="2" t="s">
        <v>83</v>
      </c>
      <c r="C3835" s="2">
        <v>670.87270000000001</v>
      </c>
      <c r="D3835" s="2">
        <f>HYPERLINK("http://mcb-m6.bioreg.kyushu-u.ac.jp/M3/20110428/F51138/1981/1", 37.01)</f>
        <v>37.01</v>
      </c>
      <c r="E3835" s="2">
        <v>14.88</v>
      </c>
      <c r="F3835" s="2">
        <v>2</v>
      </c>
      <c r="G3835" s="2" t="s">
        <v>14</v>
      </c>
      <c r="H3835" s="2" t="s">
        <v>4904</v>
      </c>
    </row>
    <row r="3836" spans="1:8" x14ac:dyDescent="0.2">
      <c r="A3836" s="2" t="s">
        <v>3302</v>
      </c>
      <c r="B3836" s="2" t="s">
        <v>83</v>
      </c>
      <c r="C3836" s="2">
        <v>671.43020000000001</v>
      </c>
      <c r="D3836" s="2">
        <f>HYPERLINK("http://mcb-m6.bioreg.kyushu-u.ac.jp/M3/20110428/F51141/1501/1", 37.58)</f>
        <v>37.58</v>
      </c>
      <c r="E3836" s="2">
        <v>13.99</v>
      </c>
      <c r="F3836" s="2">
        <v>2</v>
      </c>
      <c r="G3836" s="2" t="s">
        <v>14</v>
      </c>
      <c r="H3836" s="2" t="s">
        <v>4904</v>
      </c>
    </row>
    <row r="3837" spans="1:8" x14ac:dyDescent="0.2">
      <c r="A3837" s="2" t="s">
        <v>5738</v>
      </c>
      <c r="B3837" s="2" t="s">
        <v>5347</v>
      </c>
      <c r="C3837" s="2">
        <v>770.89469999999994</v>
      </c>
      <c r="D3837" s="2">
        <f>HYPERLINK("http://mcb-m6.bioreg.kyushu-u.ac.jp/M3/20110318/F50612/1680/1", 81.19)</f>
        <v>81.19</v>
      </c>
      <c r="E3837" s="2">
        <v>66.97</v>
      </c>
      <c r="F3837" s="2">
        <v>2</v>
      </c>
      <c r="G3837" s="2" t="s">
        <v>10</v>
      </c>
    </row>
    <row r="3838" spans="1:8" x14ac:dyDescent="0.2">
      <c r="A3838" s="2" t="s">
        <v>3419</v>
      </c>
      <c r="B3838" s="2" t="s">
        <v>5017</v>
      </c>
      <c r="C3838" s="2">
        <v>881.15120000000002</v>
      </c>
      <c r="D3838" s="2">
        <f>HYPERLINK("http://mcb-m6.bioreg.kyushu-u.ac.jp/M3/20110318/F50606/3112/1", 39.16)</f>
        <v>39.159999999999997</v>
      </c>
      <c r="E3838" s="2">
        <v>21.02</v>
      </c>
      <c r="F3838" s="2">
        <v>3</v>
      </c>
      <c r="G3838" s="2" t="s">
        <v>9</v>
      </c>
    </row>
    <row r="3839" spans="1:8" x14ac:dyDescent="0.2">
      <c r="A3839" s="2" t="s">
        <v>3419</v>
      </c>
      <c r="B3839" s="2" t="s">
        <v>5233</v>
      </c>
      <c r="C3839" s="2">
        <v>477.05009999999999</v>
      </c>
      <c r="D3839" s="2">
        <f>HYPERLINK("http://mcb-m6.bioreg.kyushu-u.ac.jp/M3/20110318/F50597/839/1", 38.08)</f>
        <v>38.08</v>
      </c>
      <c r="E3839" s="2">
        <v>15.79</v>
      </c>
      <c r="F3839" s="2">
        <v>2</v>
      </c>
      <c r="G3839" s="2" t="s">
        <v>10</v>
      </c>
    </row>
    <row r="3840" spans="1:8" x14ac:dyDescent="0.2">
      <c r="A3840" s="2" t="s">
        <v>3419</v>
      </c>
      <c r="B3840" s="2" t="s">
        <v>5288</v>
      </c>
      <c r="C3840" s="2">
        <v>971.98360000000002</v>
      </c>
      <c r="D3840" s="2">
        <f>HYPERLINK("http://mcb-m6.bioreg.kyushu-u.ac.jp/M3/20110318/F50597/2417/1", 48)</f>
        <v>48</v>
      </c>
      <c r="E3840" s="2">
        <v>32.840000000000003</v>
      </c>
      <c r="F3840" s="2">
        <v>2</v>
      </c>
      <c r="G3840" s="2" t="s">
        <v>10</v>
      </c>
    </row>
    <row r="3841" spans="1:9" x14ac:dyDescent="0.2">
      <c r="A3841" s="2" t="s">
        <v>3419</v>
      </c>
      <c r="B3841" s="2" t="s">
        <v>1538</v>
      </c>
      <c r="C3841" s="2">
        <v>669.84010000000001</v>
      </c>
      <c r="D3841" s="2">
        <f>HYPERLINK("http://mcb-m6.bioreg.kyushu-u.ac.jp/M3/20110429/F51157/1377/1", 42.54)</f>
        <v>42.54</v>
      </c>
      <c r="E3841" s="2">
        <v>22.75</v>
      </c>
      <c r="F3841" s="2">
        <v>2</v>
      </c>
      <c r="G3841" s="2" t="s">
        <v>13</v>
      </c>
      <c r="I3841" s="2" t="s">
        <v>4902</v>
      </c>
    </row>
    <row r="3842" spans="1:9" x14ac:dyDescent="0.2">
      <c r="A3842" s="2" t="s">
        <v>5797</v>
      </c>
      <c r="B3842" s="2" t="s">
        <v>5453</v>
      </c>
      <c r="C3842" s="2">
        <v>602.18600000000004</v>
      </c>
      <c r="D3842" s="2">
        <f>HYPERLINK("http://mcb-m6.bioreg.kyushu-u.ac.jp/M3/20110418/F50980/979/1", 57.38)</f>
        <v>57.38</v>
      </c>
      <c r="E3842" s="2">
        <v>14.17</v>
      </c>
      <c r="F3842" s="2">
        <v>1</v>
      </c>
      <c r="G3842" s="2" t="s">
        <v>12</v>
      </c>
    </row>
    <row r="3843" spans="1:9" x14ac:dyDescent="0.2">
      <c r="A3843" s="2" t="s">
        <v>4075</v>
      </c>
      <c r="B3843" s="2" t="s">
        <v>1546</v>
      </c>
      <c r="C3843" s="2">
        <v>787.0575</v>
      </c>
      <c r="D3843" s="2">
        <f>HYPERLINK("http://mcb-m6.bioreg.kyushu-u.ac.jp/M3/20110318/F50620/3016/2", 60.07)</f>
        <v>60.07</v>
      </c>
      <c r="E3843" s="2">
        <v>45.75</v>
      </c>
      <c r="F3843" s="2">
        <v>3</v>
      </c>
      <c r="G3843" s="2" t="s">
        <v>9</v>
      </c>
      <c r="H3843" s="2" t="s">
        <v>4938</v>
      </c>
    </row>
    <row r="3844" spans="1:9" x14ac:dyDescent="0.2">
      <c r="A3844" s="2" t="s">
        <v>4075</v>
      </c>
      <c r="B3844" s="2" t="s">
        <v>1473</v>
      </c>
      <c r="C3844" s="2">
        <v>1116.4970000000001</v>
      </c>
      <c r="D3844" s="2">
        <f>HYPERLINK("http://mcb-m6.bioreg.kyushu-u.ac.jp/M3/20110318/F50621/2433/2", 74.8)</f>
        <v>74.8</v>
      </c>
      <c r="E3844" s="2">
        <v>61.63</v>
      </c>
      <c r="F3844" s="2">
        <v>2</v>
      </c>
      <c r="G3844" s="2" t="s">
        <v>9</v>
      </c>
      <c r="H3844" s="2" t="s">
        <v>4907</v>
      </c>
    </row>
    <row r="3845" spans="1:9" x14ac:dyDescent="0.2">
      <c r="A3845" s="2" t="s">
        <v>4075</v>
      </c>
      <c r="B3845" s="2" t="s">
        <v>1473</v>
      </c>
      <c r="C3845" s="2">
        <v>1116.154</v>
      </c>
      <c r="D3845" s="2">
        <f>HYPERLINK("http://mcb-m6.bioreg.kyushu-u.ac.jp/M3/20110318/F50618/2935/2", 111.72)</f>
        <v>111.72</v>
      </c>
      <c r="E3845" s="2">
        <v>96.35</v>
      </c>
      <c r="F3845" s="2">
        <v>2</v>
      </c>
      <c r="G3845" s="2" t="s">
        <v>9</v>
      </c>
      <c r="H3845" s="2" t="s">
        <v>4907</v>
      </c>
    </row>
    <row r="3846" spans="1:9" x14ac:dyDescent="0.2">
      <c r="A3846" s="2" t="s">
        <v>4075</v>
      </c>
      <c r="B3846" s="2" t="s">
        <v>1473</v>
      </c>
      <c r="C3846" s="2">
        <v>1115.723</v>
      </c>
      <c r="D3846" s="2">
        <f>HYPERLINK("http://mcb-m6.bioreg.kyushu-u.ac.jp/M3/20110318/F50620/2755/2", 125.58)</f>
        <v>125.58</v>
      </c>
      <c r="E3846" s="2">
        <v>112.26</v>
      </c>
      <c r="F3846" s="2">
        <v>2</v>
      </c>
      <c r="G3846" s="2" t="s">
        <v>9</v>
      </c>
      <c r="H3846" s="2" t="s">
        <v>4907</v>
      </c>
    </row>
    <row r="3847" spans="1:9" x14ac:dyDescent="0.2">
      <c r="A3847" s="2" t="s">
        <v>4075</v>
      </c>
      <c r="B3847" s="2" t="s">
        <v>1473</v>
      </c>
      <c r="C3847" s="2">
        <v>1116.248</v>
      </c>
      <c r="D3847" s="2">
        <f>HYPERLINK("http://mcb-m6.bioreg.kyushu-u.ac.jp/M3/20110318/F50620/2758/2", 134.89)</f>
        <v>134.88999999999999</v>
      </c>
      <c r="E3847" s="2">
        <v>123.07</v>
      </c>
      <c r="F3847" s="2">
        <v>2</v>
      </c>
      <c r="G3847" s="2" t="s">
        <v>9</v>
      </c>
      <c r="H3847" s="2" t="s">
        <v>4907</v>
      </c>
    </row>
    <row r="3848" spans="1:9" x14ac:dyDescent="0.2">
      <c r="A3848" s="2" t="s">
        <v>4075</v>
      </c>
      <c r="B3848" s="2" t="s">
        <v>1473</v>
      </c>
      <c r="C3848" s="2">
        <v>1108.2460000000001</v>
      </c>
      <c r="D3848" s="2">
        <f>HYPERLINK("http://mcb-m6.bioreg.kyushu-u.ac.jp/M3/20110318/F50616/2763/2", 50.9)</f>
        <v>50.9</v>
      </c>
      <c r="E3848" s="2">
        <v>42.98</v>
      </c>
      <c r="F3848" s="2">
        <v>2</v>
      </c>
      <c r="G3848" s="2" t="s">
        <v>10</v>
      </c>
    </row>
    <row r="3849" spans="1:9" x14ac:dyDescent="0.2">
      <c r="A3849" s="2" t="s">
        <v>4075</v>
      </c>
      <c r="B3849" s="2" t="s">
        <v>1473</v>
      </c>
      <c r="C3849" s="2">
        <v>744.65319999999997</v>
      </c>
      <c r="D3849" s="2">
        <f>HYPERLINK("http://mcb-m6.bioreg.kyushu-u.ac.jp/M3/20110318/F50616/2783/2", 55.56)</f>
        <v>55.56</v>
      </c>
      <c r="E3849" s="2">
        <v>44.03</v>
      </c>
      <c r="F3849" s="2">
        <v>3</v>
      </c>
      <c r="G3849" s="2" t="s">
        <v>10</v>
      </c>
      <c r="H3849" s="2" t="s">
        <v>4907</v>
      </c>
    </row>
    <row r="3850" spans="1:9" x14ac:dyDescent="0.2">
      <c r="A3850" s="2" t="s">
        <v>4075</v>
      </c>
      <c r="B3850" s="2" t="s">
        <v>1546</v>
      </c>
      <c r="C3850" s="2">
        <v>787.21379999999999</v>
      </c>
      <c r="D3850" s="2">
        <f>HYPERLINK("http://mcb-m6.bioreg.kyushu-u.ac.jp/M3/20110318/F50617/2716/2", 78.18)</f>
        <v>78.180000000000007</v>
      </c>
      <c r="E3850" s="2">
        <v>63.02</v>
      </c>
      <c r="F3850" s="2">
        <v>3</v>
      </c>
      <c r="G3850" s="2" t="s">
        <v>10</v>
      </c>
      <c r="H3850" s="2" t="s">
        <v>4938</v>
      </c>
    </row>
    <row r="3851" spans="1:9" x14ac:dyDescent="0.2">
      <c r="A3851" s="2" t="s">
        <v>4075</v>
      </c>
      <c r="B3851" s="2" t="s">
        <v>1546</v>
      </c>
      <c r="C3851" s="2">
        <v>786.92179999999996</v>
      </c>
      <c r="D3851" s="2">
        <f>HYPERLINK("http://mcb-m6.bioreg.kyushu-u.ac.jp/M3/20110318/F50616/3052/2", 78.42)</f>
        <v>78.42</v>
      </c>
      <c r="E3851" s="2">
        <v>65.78</v>
      </c>
      <c r="F3851" s="2">
        <v>3</v>
      </c>
      <c r="G3851" s="2" t="s">
        <v>10</v>
      </c>
      <c r="H3851" s="2" t="s">
        <v>4938</v>
      </c>
    </row>
    <row r="3852" spans="1:9" x14ac:dyDescent="0.2">
      <c r="A3852" s="2" t="s">
        <v>4075</v>
      </c>
      <c r="B3852" s="2" t="s">
        <v>1473</v>
      </c>
      <c r="C3852" s="2">
        <v>1116.2850000000001</v>
      </c>
      <c r="D3852" s="2">
        <f>HYPERLINK("http://mcb-m6.bioreg.kyushu-u.ac.jp/M3/20110318/F50616/2782/2", 80.87)</f>
        <v>80.87</v>
      </c>
      <c r="E3852" s="2">
        <v>70.239999999999995</v>
      </c>
      <c r="F3852" s="2">
        <v>2</v>
      </c>
      <c r="G3852" s="2" t="s">
        <v>10</v>
      </c>
      <c r="H3852" s="2" t="s">
        <v>4907</v>
      </c>
    </row>
    <row r="3853" spans="1:9" x14ac:dyDescent="0.2">
      <c r="A3853" s="2" t="s">
        <v>4075</v>
      </c>
      <c r="B3853" s="2" t="s">
        <v>1546</v>
      </c>
      <c r="C3853" s="2">
        <v>1180.4090000000001</v>
      </c>
      <c r="D3853" s="2">
        <f>HYPERLINK("http://mcb-m6.bioreg.kyushu-u.ac.jp/M3/20110318/F50616/3054/2", 109.72)</f>
        <v>109.72</v>
      </c>
      <c r="E3853" s="2">
        <v>99.51</v>
      </c>
      <c r="F3853" s="2">
        <v>2</v>
      </c>
      <c r="G3853" s="2" t="s">
        <v>10</v>
      </c>
      <c r="H3853" s="2" t="s">
        <v>4938</v>
      </c>
    </row>
    <row r="3854" spans="1:9" x14ac:dyDescent="0.2">
      <c r="A3854" s="2" t="s">
        <v>4075</v>
      </c>
      <c r="B3854" s="2" t="s">
        <v>1473</v>
      </c>
      <c r="C3854" s="2">
        <v>1115.7750000000001</v>
      </c>
      <c r="D3854" s="2">
        <f>HYPERLINK("http://mcb-m6.bioreg.kyushu-u.ac.jp/M3/20110318/F50616/2780/2", 139.48)</f>
        <v>139.47999999999999</v>
      </c>
      <c r="E3854" s="2">
        <v>120.32</v>
      </c>
      <c r="F3854" s="2">
        <v>2</v>
      </c>
      <c r="G3854" s="2" t="s">
        <v>10</v>
      </c>
      <c r="H3854" s="2" t="s">
        <v>4907</v>
      </c>
    </row>
    <row r="3855" spans="1:9" x14ac:dyDescent="0.2">
      <c r="A3855" s="2" t="s">
        <v>4075</v>
      </c>
      <c r="B3855" s="2" t="s">
        <v>1473</v>
      </c>
      <c r="C3855" s="2">
        <v>1116.3019999999999</v>
      </c>
      <c r="D3855" s="2">
        <f>HYPERLINK("http://mcb-m6.bioreg.kyushu-u.ac.jp/M3/20110418/F50974/3535/2", 119.42)</f>
        <v>119.42</v>
      </c>
      <c r="E3855" s="2">
        <v>104.95</v>
      </c>
      <c r="F3855" s="2">
        <v>2</v>
      </c>
      <c r="G3855" s="2" t="s">
        <v>11</v>
      </c>
      <c r="H3855" s="2" t="s">
        <v>4907</v>
      </c>
    </row>
    <row r="3856" spans="1:9" x14ac:dyDescent="0.2">
      <c r="A3856" s="2" t="s">
        <v>4075</v>
      </c>
      <c r="B3856" s="2" t="s">
        <v>1473</v>
      </c>
      <c r="C3856" s="2">
        <v>1116.2529999999999</v>
      </c>
      <c r="D3856" s="2">
        <f>HYPERLINK("http://mcb-m6.bioreg.kyushu-u.ac.jp/M3/20110418/F50996/3190/2", 147.82)</f>
        <v>147.82</v>
      </c>
      <c r="E3856" s="2">
        <v>137.33000000000001</v>
      </c>
      <c r="F3856" s="2">
        <v>2</v>
      </c>
      <c r="G3856" s="2" t="s">
        <v>11</v>
      </c>
      <c r="H3856" s="2" t="s">
        <v>4907</v>
      </c>
    </row>
    <row r="3857" spans="1:9" x14ac:dyDescent="0.2">
      <c r="A3857" s="2" t="s">
        <v>4075</v>
      </c>
      <c r="B3857" s="2" t="s">
        <v>1473</v>
      </c>
      <c r="C3857" s="2">
        <v>1116.2650000000001</v>
      </c>
      <c r="D3857" s="2">
        <f>HYPERLINK("http://mcb-m6.bioreg.kyushu-u.ac.jp/M3/20110418/F50999/2888/2", 148.4)</f>
        <v>148.4</v>
      </c>
      <c r="E3857" s="2">
        <v>140.69</v>
      </c>
      <c r="F3857" s="2">
        <v>2</v>
      </c>
      <c r="G3857" s="2" t="s">
        <v>11</v>
      </c>
      <c r="H3857" s="2" t="s">
        <v>4907</v>
      </c>
    </row>
    <row r="3858" spans="1:9" x14ac:dyDescent="0.2">
      <c r="A3858" s="2" t="s">
        <v>4075</v>
      </c>
      <c r="B3858" s="2" t="s">
        <v>1473</v>
      </c>
      <c r="C3858" s="2">
        <v>1115.779</v>
      </c>
      <c r="D3858" s="2">
        <f>HYPERLINK("http://mcb-m6.bioreg.kyushu-u.ac.jp/M3/20110418/F50997/3148/2", 104.44)</f>
        <v>104.44</v>
      </c>
      <c r="E3858" s="2">
        <v>96.12</v>
      </c>
      <c r="F3858" s="2">
        <v>2</v>
      </c>
      <c r="G3858" s="2" t="s">
        <v>12</v>
      </c>
      <c r="H3858" s="2" t="s">
        <v>4907</v>
      </c>
    </row>
    <row r="3859" spans="1:9" x14ac:dyDescent="0.2">
      <c r="A3859" s="2" t="s">
        <v>4075</v>
      </c>
      <c r="B3859" s="2" t="s">
        <v>1473</v>
      </c>
      <c r="C3859" s="2">
        <v>1116.3240000000001</v>
      </c>
      <c r="D3859" s="2">
        <f>HYPERLINK("http://mcb-m6.bioreg.kyushu-u.ac.jp/M3/20110418/F50997/3151/2", 138.19)</f>
        <v>138.19</v>
      </c>
      <c r="E3859" s="2">
        <v>129.15</v>
      </c>
      <c r="F3859" s="2">
        <v>2</v>
      </c>
      <c r="G3859" s="2" t="s">
        <v>12</v>
      </c>
      <c r="H3859" s="2" t="s">
        <v>4907</v>
      </c>
    </row>
    <row r="3860" spans="1:9" x14ac:dyDescent="0.2">
      <c r="A3860" s="2" t="s">
        <v>4075</v>
      </c>
      <c r="B3860" s="2" t="s">
        <v>1473</v>
      </c>
      <c r="C3860" s="2">
        <v>1108.3989999999999</v>
      </c>
      <c r="D3860" s="2">
        <f>HYPERLINK("http://mcb-m6.bioreg.kyushu-u.ac.jp/M3/20110429/F51157/3316/2", 44.17)</f>
        <v>44.17</v>
      </c>
      <c r="E3860" s="2">
        <v>36.71</v>
      </c>
      <c r="F3860" s="2">
        <v>2</v>
      </c>
      <c r="G3860" s="2" t="s">
        <v>13</v>
      </c>
    </row>
    <row r="3861" spans="1:9" x14ac:dyDescent="0.2">
      <c r="A3861" s="2" t="s">
        <v>4075</v>
      </c>
      <c r="B3861" s="2" t="s">
        <v>1473</v>
      </c>
      <c r="C3861" s="2">
        <v>1115.8820000000001</v>
      </c>
      <c r="D3861" s="2">
        <f>HYPERLINK("http://mcb-m6.bioreg.kyushu-u.ac.jp/M3/20110429/F51157/3348/2", 72.95)</f>
        <v>72.95</v>
      </c>
      <c r="E3861" s="2">
        <v>65.569999999999993</v>
      </c>
      <c r="F3861" s="2">
        <v>2</v>
      </c>
      <c r="G3861" s="2" t="s">
        <v>13</v>
      </c>
      <c r="H3861" s="2" t="s">
        <v>4907</v>
      </c>
    </row>
    <row r="3862" spans="1:9" x14ac:dyDescent="0.2">
      <c r="A3862" s="2" t="s">
        <v>4075</v>
      </c>
      <c r="B3862" s="2" t="s">
        <v>1473</v>
      </c>
      <c r="C3862" s="2">
        <v>1116.393</v>
      </c>
      <c r="D3862" s="2">
        <f>HYPERLINK("http://mcb-m6.bioreg.kyushu-u.ac.jp/M3/20110429/F51157/3351/2", 76.67)</f>
        <v>76.67</v>
      </c>
      <c r="E3862" s="2">
        <v>68.510000000000005</v>
      </c>
      <c r="F3862" s="2">
        <v>2</v>
      </c>
      <c r="G3862" s="2" t="s">
        <v>13</v>
      </c>
      <c r="H3862" s="2" t="s">
        <v>4907</v>
      </c>
    </row>
    <row r="3863" spans="1:9" x14ac:dyDescent="0.2">
      <c r="A3863" s="2" t="s">
        <v>4075</v>
      </c>
      <c r="B3863" s="2" t="s">
        <v>1473</v>
      </c>
      <c r="C3863" s="2">
        <v>1116.498</v>
      </c>
      <c r="D3863" s="2">
        <f>HYPERLINK("http://mcb-m6.bioreg.kyushu-u.ac.jp/M3/20110502/F51160/2994/2", 127.92)</f>
        <v>127.92</v>
      </c>
      <c r="E3863" s="2">
        <v>118.31</v>
      </c>
      <c r="F3863" s="2">
        <v>2</v>
      </c>
      <c r="G3863" s="2" t="s">
        <v>14</v>
      </c>
      <c r="H3863" s="2" t="s">
        <v>4907</v>
      </c>
    </row>
    <row r="3864" spans="1:9" x14ac:dyDescent="0.2">
      <c r="A3864" s="2" t="s">
        <v>3616</v>
      </c>
      <c r="B3864" s="2" t="s">
        <v>3173</v>
      </c>
      <c r="C3864" s="2">
        <v>514.88170000000002</v>
      </c>
      <c r="D3864" s="2">
        <f>HYPERLINK("http://mcb-m6.bioreg.kyushu-u.ac.jp/M3/20110428/F51147/1223/1", 51.53)</f>
        <v>51.53</v>
      </c>
      <c r="E3864" s="2">
        <v>6.04</v>
      </c>
      <c r="F3864" s="2">
        <v>2</v>
      </c>
      <c r="G3864" s="2" t="s">
        <v>13</v>
      </c>
      <c r="I3864" s="2" t="s">
        <v>4903</v>
      </c>
    </row>
    <row r="3865" spans="1:9" x14ac:dyDescent="0.2">
      <c r="A3865" s="2" t="s">
        <v>5789</v>
      </c>
      <c r="B3865" s="2" t="s">
        <v>5438</v>
      </c>
      <c r="C3865" s="2">
        <v>623.11609999999996</v>
      </c>
      <c r="D3865" s="2">
        <f>HYPERLINK("http://mcb-m6.bioreg.kyushu-u.ac.jp/M3/20110418/F50985/1938/1", 40.99)</f>
        <v>40.99</v>
      </c>
      <c r="E3865" s="2">
        <v>24.39</v>
      </c>
      <c r="F3865" s="2">
        <v>2</v>
      </c>
      <c r="G3865" s="2" t="s">
        <v>12</v>
      </c>
      <c r="H3865" s="2" t="s">
        <v>4910</v>
      </c>
    </row>
    <row r="3866" spans="1:9" x14ac:dyDescent="0.2">
      <c r="A3866" s="2" t="s">
        <v>5771</v>
      </c>
      <c r="B3866" s="2" t="s">
        <v>5405</v>
      </c>
      <c r="C3866" s="2">
        <v>596.15560000000005</v>
      </c>
      <c r="D3866" s="2">
        <f>HYPERLINK("http://mcb-m6.bioreg.kyushu-u.ac.jp/M3/20110418/F50975/1225/1", 53.88)</f>
        <v>53.88</v>
      </c>
      <c r="E3866" s="2">
        <v>39.39</v>
      </c>
      <c r="F3866" s="2">
        <v>2</v>
      </c>
      <c r="G3866" s="2" t="s">
        <v>11</v>
      </c>
    </row>
    <row r="3867" spans="1:9" x14ac:dyDescent="0.2">
      <c r="A3867" s="2" t="s">
        <v>5771</v>
      </c>
      <c r="B3867" s="2" t="s">
        <v>5405</v>
      </c>
      <c r="C3867" s="2">
        <v>596.16859999999997</v>
      </c>
      <c r="D3867" s="2">
        <f>HYPERLINK("http://mcb-m6.bioreg.kyushu-u.ac.jp/M3/20110428/F51141/1151/1", 40.66)</f>
        <v>40.659999999999997</v>
      </c>
      <c r="E3867" s="2">
        <v>16.010000000000002</v>
      </c>
      <c r="F3867" s="2">
        <v>2</v>
      </c>
      <c r="G3867" s="2" t="s">
        <v>14</v>
      </c>
    </row>
    <row r="3868" spans="1:9" x14ac:dyDescent="0.2">
      <c r="A3868" s="2" t="s">
        <v>5728</v>
      </c>
      <c r="B3868" s="2" t="s">
        <v>5310</v>
      </c>
      <c r="C3868" s="2">
        <v>675.43320000000006</v>
      </c>
      <c r="D3868" s="2">
        <f>HYPERLINK("http://mcb-m6.bioreg.kyushu-u.ac.jp/M3/20110318/F50599/1507/1", 55.85)</f>
        <v>55.85</v>
      </c>
      <c r="E3868" s="2">
        <v>35.159999999999997</v>
      </c>
      <c r="F3868" s="2">
        <v>2</v>
      </c>
      <c r="G3868" s="2" t="s">
        <v>10</v>
      </c>
    </row>
    <row r="3869" spans="1:9" x14ac:dyDescent="0.2">
      <c r="A3869" s="2" t="s">
        <v>5728</v>
      </c>
      <c r="B3869" s="2" t="s">
        <v>5310</v>
      </c>
      <c r="C3869" s="2">
        <v>675.12459999999999</v>
      </c>
      <c r="D3869" s="2">
        <f>HYPERLINK("http://mcb-m6.bioreg.kyushu-u.ac.jp/M3/20110429/F51151/1842/1", 60)</f>
        <v>60</v>
      </c>
      <c r="E3869" s="2">
        <v>45.96</v>
      </c>
      <c r="F3869" s="2">
        <v>2</v>
      </c>
      <c r="G3869" s="2" t="s">
        <v>13</v>
      </c>
    </row>
    <row r="3870" spans="1:9" x14ac:dyDescent="0.2">
      <c r="A3870" s="2" t="s">
        <v>4391</v>
      </c>
      <c r="B3870" s="2" t="s">
        <v>2231</v>
      </c>
      <c r="C3870" s="2">
        <v>930.04100000000005</v>
      </c>
      <c r="D3870" s="2">
        <f>HYPERLINK("http://mcb-m6.bioreg.kyushu-u.ac.jp/M3/20110418/F50969/1301/1", 38.78)</f>
        <v>38.78</v>
      </c>
      <c r="E3870" s="2">
        <v>25.8</v>
      </c>
      <c r="F3870" s="2">
        <v>1</v>
      </c>
      <c r="G3870" s="2" t="s">
        <v>11</v>
      </c>
    </row>
    <row r="3871" spans="1:9" x14ac:dyDescent="0.2">
      <c r="A3871" s="2" t="s">
        <v>4391</v>
      </c>
      <c r="B3871" s="2" t="s">
        <v>2231</v>
      </c>
      <c r="C3871" s="2">
        <v>930.48900000000003</v>
      </c>
      <c r="D3871" s="2">
        <f>HYPERLINK("http://mcb-m6.bioreg.kyushu-u.ac.jp/M3/20110428/F51146/1066/1", 40.85)</f>
        <v>40.85</v>
      </c>
      <c r="E3871" s="2">
        <v>31.94</v>
      </c>
      <c r="F3871" s="2">
        <v>1</v>
      </c>
      <c r="G3871" s="2" t="s">
        <v>13</v>
      </c>
    </row>
    <row r="3872" spans="1:9" x14ac:dyDescent="0.2">
      <c r="A3872" s="2" t="s">
        <v>3841</v>
      </c>
      <c r="B3872" s="2" t="s">
        <v>931</v>
      </c>
      <c r="C3872" s="2">
        <v>845.33069999999998</v>
      </c>
      <c r="D3872" s="2">
        <f>HYPERLINK("http://mcb-m6.bioreg.kyushu-u.ac.jp/M3/20110318/F50608/1870/1", 37.64)</f>
        <v>37.64</v>
      </c>
      <c r="E3872" s="2">
        <v>30.56</v>
      </c>
      <c r="F3872" s="2">
        <v>2</v>
      </c>
      <c r="G3872" s="2" t="s">
        <v>9</v>
      </c>
    </row>
    <row r="3873" spans="1:7" x14ac:dyDescent="0.2">
      <c r="A3873" s="2" t="s">
        <v>3841</v>
      </c>
      <c r="B3873" s="2" t="s">
        <v>2242</v>
      </c>
      <c r="C3873" s="2">
        <v>471.6431</v>
      </c>
      <c r="D3873" s="2">
        <f>HYPERLINK("http://mcb-m6.bioreg.kyushu-u.ac.jp/M3/20110429/F51150/1166/1", 50.32)</f>
        <v>50.32</v>
      </c>
      <c r="E3873" s="2">
        <v>35.090000000000003</v>
      </c>
      <c r="F3873" s="2">
        <v>2</v>
      </c>
      <c r="G3873" s="2" t="s">
        <v>13</v>
      </c>
    </row>
    <row r="3874" spans="1:7" x14ac:dyDescent="0.2">
      <c r="A3874" s="2" t="s">
        <v>3475</v>
      </c>
      <c r="B3874" s="2" t="s">
        <v>1180</v>
      </c>
      <c r="C3874" s="2">
        <v>967.24620000000004</v>
      </c>
      <c r="D3874" s="2">
        <f>HYPERLINK("http://mcb-m6.bioreg.kyushu-u.ac.jp/M3/20110318/F50618/2523/1", 92.09)</f>
        <v>92.09</v>
      </c>
      <c r="E3874" s="2">
        <v>78.64</v>
      </c>
      <c r="F3874" s="2">
        <v>2</v>
      </c>
      <c r="G3874" s="2" t="s">
        <v>9</v>
      </c>
    </row>
    <row r="3875" spans="1:7" x14ac:dyDescent="0.2">
      <c r="A3875" s="2" t="s">
        <v>3787</v>
      </c>
      <c r="B3875" s="2" t="s">
        <v>1333</v>
      </c>
      <c r="C3875" s="2">
        <v>593.71420000000001</v>
      </c>
      <c r="D3875" s="2">
        <f>HYPERLINK("http://mcb-m6.bioreg.kyushu-u.ac.jp/M3/20110318/F50622/1092/1", 58.28)</f>
        <v>58.28</v>
      </c>
      <c r="E3875" s="2">
        <v>40.479999999999997</v>
      </c>
      <c r="F3875" s="2">
        <v>2</v>
      </c>
      <c r="G3875" s="2" t="s">
        <v>10</v>
      </c>
    </row>
    <row r="3876" spans="1:7" x14ac:dyDescent="0.2">
      <c r="A3876" s="2" t="s">
        <v>3787</v>
      </c>
      <c r="B3876" s="2" t="s">
        <v>1821</v>
      </c>
      <c r="C3876" s="2">
        <v>635.04570000000001</v>
      </c>
      <c r="D3876" s="2">
        <f>HYPERLINK("http://mcb-m6.bioreg.kyushu-u.ac.jp/M3/20110428/F51147/1639/1", 44.02)</f>
        <v>44.02</v>
      </c>
      <c r="E3876" s="2">
        <v>20.53</v>
      </c>
      <c r="F3876" s="2">
        <v>2</v>
      </c>
      <c r="G3876" s="2" t="s">
        <v>13</v>
      </c>
    </row>
    <row r="3877" spans="1:7" x14ac:dyDescent="0.2">
      <c r="A3877" s="2" t="s">
        <v>3280</v>
      </c>
      <c r="B3877" s="2" t="s">
        <v>60</v>
      </c>
      <c r="C3877" s="2">
        <v>709.94920000000002</v>
      </c>
      <c r="D3877" s="2">
        <f>HYPERLINK("http://mcb-m6.bioreg.kyushu-u.ac.jp/M3/20110318/F50597/1455/1", 40.63)</f>
        <v>40.630000000000003</v>
      </c>
      <c r="E3877" s="2">
        <v>23.58</v>
      </c>
      <c r="F3877" s="2">
        <v>2</v>
      </c>
      <c r="G3877" s="2" t="s">
        <v>10</v>
      </c>
    </row>
    <row r="3878" spans="1:7" x14ac:dyDescent="0.2">
      <c r="A3878" s="2" t="s">
        <v>4017</v>
      </c>
      <c r="B3878" s="2" t="s">
        <v>2057</v>
      </c>
      <c r="C3878" s="2">
        <v>680.83119999999997</v>
      </c>
      <c r="D3878" s="2">
        <f>HYPERLINK("http://mcb-m6.bioreg.kyushu-u.ac.jp/M3/20110318/F50620/1419/1", 59.84)</f>
        <v>59.84</v>
      </c>
      <c r="E3878" s="2">
        <v>46.4</v>
      </c>
      <c r="F3878" s="2">
        <v>2</v>
      </c>
      <c r="G3878" s="2" t="s">
        <v>9</v>
      </c>
    </row>
    <row r="3879" spans="1:7" x14ac:dyDescent="0.2">
      <c r="A3879" s="2" t="s">
        <v>4017</v>
      </c>
      <c r="B3879" s="2" t="s">
        <v>2057</v>
      </c>
      <c r="C3879" s="2">
        <v>680.83510000000001</v>
      </c>
      <c r="D3879" s="2">
        <f>HYPERLINK("http://mcb-m6.bioreg.kyushu-u.ac.jp/M3/20110318/F50616/1422/1", 48.3)</f>
        <v>48.3</v>
      </c>
      <c r="E3879" s="2">
        <v>30.56</v>
      </c>
      <c r="F3879" s="2">
        <v>2</v>
      </c>
      <c r="G3879" s="2" t="s">
        <v>10</v>
      </c>
    </row>
    <row r="3880" spans="1:7" x14ac:dyDescent="0.2">
      <c r="A3880" s="2" t="s">
        <v>4017</v>
      </c>
      <c r="B3880" s="2" t="s">
        <v>2057</v>
      </c>
      <c r="C3880" s="2">
        <v>680.44320000000005</v>
      </c>
      <c r="D3880" s="2">
        <f>HYPERLINK("http://mcb-m6.bioreg.kyushu-u.ac.jp/M3/20110318/F50597/1361/1", 66.94)</f>
        <v>66.94</v>
      </c>
      <c r="E3880" s="2">
        <v>53.91</v>
      </c>
      <c r="F3880" s="2">
        <v>2</v>
      </c>
      <c r="G3880" s="2" t="s">
        <v>10</v>
      </c>
    </row>
    <row r="3881" spans="1:7" x14ac:dyDescent="0.2">
      <c r="A3881" s="2" t="s">
        <v>4017</v>
      </c>
      <c r="B3881" s="2" t="s">
        <v>2057</v>
      </c>
      <c r="C3881" s="2">
        <v>680.07669999999996</v>
      </c>
      <c r="D3881" s="2">
        <f>HYPERLINK("http://mcb-m6.bioreg.kyushu-u.ac.jp/M3/20110418/F50974/1763/1", 76.59)</f>
        <v>76.59</v>
      </c>
      <c r="E3881" s="2">
        <v>66.400000000000006</v>
      </c>
      <c r="F3881" s="2">
        <v>2</v>
      </c>
      <c r="G3881" s="2" t="s">
        <v>11</v>
      </c>
    </row>
    <row r="3882" spans="1:7" x14ac:dyDescent="0.2">
      <c r="A3882" s="2" t="s">
        <v>4017</v>
      </c>
      <c r="B3882" s="2" t="s">
        <v>2057</v>
      </c>
      <c r="C3882" s="2">
        <v>680.66859999999997</v>
      </c>
      <c r="D3882" s="2">
        <f>HYPERLINK("http://mcb-m6.bioreg.kyushu-u.ac.jp/M3/20110418/F50984/1940/1", 87.98)</f>
        <v>87.98</v>
      </c>
      <c r="E3882" s="2">
        <v>73.95</v>
      </c>
      <c r="F3882" s="2">
        <v>2</v>
      </c>
      <c r="G3882" s="2" t="s">
        <v>12</v>
      </c>
    </row>
    <row r="3883" spans="1:7" x14ac:dyDescent="0.2">
      <c r="A3883" s="2" t="s">
        <v>4017</v>
      </c>
      <c r="B3883" s="2" t="s">
        <v>2057</v>
      </c>
      <c r="C3883" s="2">
        <v>680.16560000000004</v>
      </c>
      <c r="D3883" s="2">
        <f>HYPERLINK("http://mcb-m6.bioreg.kyushu-u.ac.jp/M3/20110418/F50984/1938/1", 94.37)</f>
        <v>94.37</v>
      </c>
      <c r="E3883" s="2">
        <v>75.55</v>
      </c>
      <c r="F3883" s="2">
        <v>2</v>
      </c>
      <c r="G3883" s="2" t="s">
        <v>12</v>
      </c>
    </row>
    <row r="3884" spans="1:7" x14ac:dyDescent="0.2">
      <c r="A3884" s="2" t="s">
        <v>4017</v>
      </c>
      <c r="B3884" s="2" t="s">
        <v>2057</v>
      </c>
      <c r="C3884" s="2">
        <v>680.50070000000005</v>
      </c>
      <c r="D3884" s="2">
        <f>HYPERLINK("http://mcb-m6.bioreg.kyushu-u.ac.jp/M3/20110502/F51159/1714/1", 69.5)</f>
        <v>69.5</v>
      </c>
      <c r="E3884" s="2">
        <v>56.08</v>
      </c>
      <c r="F3884" s="2">
        <v>2</v>
      </c>
      <c r="G3884" s="2" t="s">
        <v>14</v>
      </c>
    </row>
    <row r="3885" spans="1:7" x14ac:dyDescent="0.2">
      <c r="A3885" s="2" t="s">
        <v>3542</v>
      </c>
      <c r="B3885" s="2" t="s">
        <v>397</v>
      </c>
      <c r="C3885" s="2">
        <v>894.61609999999996</v>
      </c>
      <c r="D3885" s="2">
        <f>HYPERLINK("http://mcb-m6.bioreg.kyushu-u.ac.jp/M3/20110318/F50605/2204/1", 48.72)</f>
        <v>48.72</v>
      </c>
      <c r="E3885" s="2">
        <v>13.62</v>
      </c>
      <c r="F3885" s="2">
        <v>2</v>
      </c>
      <c r="G3885" s="2" t="s">
        <v>9</v>
      </c>
    </row>
    <row r="3886" spans="1:7" x14ac:dyDescent="0.2">
      <c r="A3886" s="2" t="s">
        <v>3542</v>
      </c>
      <c r="B3886" s="2" t="s">
        <v>397</v>
      </c>
      <c r="C3886" s="2">
        <v>894.30160000000001</v>
      </c>
      <c r="D3886" s="2">
        <f>HYPERLINK("http://mcb-m6.bioreg.kyushu-u.ac.jp/M3/20110318/F50611/2179/1", 37.2)</f>
        <v>37.200000000000003</v>
      </c>
      <c r="E3886" s="2">
        <v>9.15</v>
      </c>
      <c r="F3886" s="2">
        <v>2</v>
      </c>
      <c r="G3886" s="2" t="s">
        <v>10</v>
      </c>
    </row>
    <row r="3887" spans="1:7" x14ac:dyDescent="0.2">
      <c r="A3887" s="2" t="s">
        <v>3542</v>
      </c>
      <c r="B3887" s="2" t="s">
        <v>397</v>
      </c>
      <c r="C3887" s="2">
        <v>894.35019999999997</v>
      </c>
      <c r="D3887" s="2">
        <f>HYPERLINK("http://mcb-m6.bioreg.kyushu-u.ac.jp/M3/20110318/F50613/2273/1", 62.9)</f>
        <v>62.9</v>
      </c>
      <c r="E3887" s="2">
        <v>8.6999999999999993</v>
      </c>
      <c r="F3887" s="2">
        <v>2</v>
      </c>
      <c r="G3887" s="2" t="s">
        <v>10</v>
      </c>
    </row>
    <row r="3888" spans="1:7" x14ac:dyDescent="0.2">
      <c r="A3888" s="2" t="s">
        <v>3542</v>
      </c>
      <c r="B3888" s="2" t="s">
        <v>397</v>
      </c>
      <c r="C3888" s="2">
        <v>894.97720000000004</v>
      </c>
      <c r="D3888" s="2">
        <f>HYPERLINK("http://mcb-m6.bioreg.kyushu-u.ac.jp/M3/20110318/F50599/2127/1", 66.15)</f>
        <v>66.150000000000006</v>
      </c>
      <c r="E3888" s="2">
        <v>36.25</v>
      </c>
      <c r="F3888" s="2">
        <v>2</v>
      </c>
      <c r="G3888" s="2" t="s">
        <v>10</v>
      </c>
    </row>
    <row r="3889" spans="1:7" x14ac:dyDescent="0.2">
      <c r="A3889" s="2" t="s">
        <v>3542</v>
      </c>
      <c r="B3889" s="2" t="s">
        <v>397</v>
      </c>
      <c r="C3889" s="2">
        <v>894.47770000000003</v>
      </c>
      <c r="D3889" s="2">
        <f>HYPERLINK("http://mcb-m6.bioreg.kyushu-u.ac.jp/M3/20110318/F50612/2006/1", 71.68)</f>
        <v>71.680000000000007</v>
      </c>
      <c r="E3889" s="2">
        <v>3.69</v>
      </c>
      <c r="F3889" s="2">
        <v>2</v>
      </c>
      <c r="G3889" s="2" t="s">
        <v>10</v>
      </c>
    </row>
    <row r="3890" spans="1:7" x14ac:dyDescent="0.2">
      <c r="A3890" s="2" t="s">
        <v>3542</v>
      </c>
      <c r="B3890" s="2" t="s">
        <v>397</v>
      </c>
      <c r="C3890" s="2">
        <v>894.95119999999997</v>
      </c>
      <c r="D3890" s="2">
        <f>HYPERLINK("http://mcb-m6.bioreg.kyushu-u.ac.jp/M3/20110318/F50598/1993/1", 76.81)</f>
        <v>76.81</v>
      </c>
      <c r="E3890" s="2">
        <v>43.56</v>
      </c>
      <c r="F3890" s="2">
        <v>2</v>
      </c>
      <c r="G3890" s="2" t="s">
        <v>10</v>
      </c>
    </row>
    <row r="3891" spans="1:7" x14ac:dyDescent="0.2">
      <c r="A3891" s="2" t="s">
        <v>3542</v>
      </c>
      <c r="B3891" s="2" t="s">
        <v>397</v>
      </c>
      <c r="C3891" s="2">
        <v>894.8741</v>
      </c>
      <c r="D3891" s="2">
        <f>HYPERLINK("http://mcb-m6.bioreg.kyushu-u.ac.jp/M3/20110418/F50978/2805/1", 37.5)</f>
        <v>37.5</v>
      </c>
      <c r="E3891" s="2">
        <v>22.21</v>
      </c>
      <c r="F3891" s="2">
        <v>2</v>
      </c>
      <c r="G3891" s="2" t="s">
        <v>11</v>
      </c>
    </row>
    <row r="3892" spans="1:7" x14ac:dyDescent="0.2">
      <c r="A3892" s="2" t="s">
        <v>3542</v>
      </c>
      <c r="B3892" s="2" t="s">
        <v>397</v>
      </c>
      <c r="C3892" s="2">
        <v>894.56960000000004</v>
      </c>
      <c r="D3892" s="2">
        <f>HYPERLINK("http://mcb-m6.bioreg.kyushu-u.ac.jp/M3/20110418/F50976/2885/1", 50.52)</f>
        <v>50.52</v>
      </c>
      <c r="E3892" s="2">
        <v>13.27</v>
      </c>
      <c r="F3892" s="2">
        <v>2</v>
      </c>
      <c r="G3892" s="2" t="s">
        <v>11</v>
      </c>
    </row>
    <row r="3893" spans="1:7" x14ac:dyDescent="0.2">
      <c r="A3893" s="2" t="s">
        <v>3542</v>
      </c>
      <c r="B3893" s="2" t="s">
        <v>397</v>
      </c>
      <c r="C3893" s="2">
        <v>894.80020000000002</v>
      </c>
      <c r="D3893" s="2">
        <f>HYPERLINK("http://mcb-m6.bioreg.kyushu-u.ac.jp/M3/20110418/F50975/2953/1", 58.92)</f>
        <v>58.92</v>
      </c>
      <c r="E3893" s="2">
        <v>26.79</v>
      </c>
      <c r="F3893" s="2">
        <v>2</v>
      </c>
      <c r="G3893" s="2" t="s">
        <v>11</v>
      </c>
    </row>
    <row r="3894" spans="1:7" x14ac:dyDescent="0.2">
      <c r="A3894" s="2" t="s">
        <v>3542</v>
      </c>
      <c r="B3894" s="2" t="s">
        <v>397</v>
      </c>
      <c r="C3894" s="2">
        <v>894.48969999999997</v>
      </c>
      <c r="D3894" s="2">
        <f>HYPERLINK("http://mcb-m6.bioreg.kyushu-u.ac.jp/M3/20110418/F50974/2798/1", 61.69)</f>
        <v>61.69</v>
      </c>
      <c r="E3894" s="2">
        <v>5.96</v>
      </c>
      <c r="F3894" s="2">
        <v>2</v>
      </c>
      <c r="G3894" s="2" t="s">
        <v>11</v>
      </c>
    </row>
    <row r="3895" spans="1:7" x14ac:dyDescent="0.2">
      <c r="A3895" s="2" t="s">
        <v>3542</v>
      </c>
      <c r="B3895" s="2" t="s">
        <v>397</v>
      </c>
      <c r="C3895" s="2">
        <v>894.37120000000004</v>
      </c>
      <c r="D3895" s="2">
        <f>HYPERLINK("http://mcb-m6.bioreg.kyushu-u.ac.jp/M3/20110418/F50979/2606/1", 78.71)</f>
        <v>78.709999999999994</v>
      </c>
      <c r="E3895" s="2">
        <v>27.46</v>
      </c>
      <c r="F3895" s="2">
        <v>2</v>
      </c>
      <c r="G3895" s="2" t="s">
        <v>11</v>
      </c>
    </row>
    <row r="3896" spans="1:7" x14ac:dyDescent="0.2">
      <c r="A3896" s="2" t="s">
        <v>3542</v>
      </c>
      <c r="B3896" s="2" t="s">
        <v>397</v>
      </c>
      <c r="C3896" s="2">
        <v>894.44460000000004</v>
      </c>
      <c r="D3896" s="2">
        <f>HYPERLINK("http://mcb-m6.bioreg.kyushu-u.ac.jp/M3/20110418/F50978/2802/1", 85.2)</f>
        <v>85.2</v>
      </c>
      <c r="E3896" s="2">
        <v>37.47</v>
      </c>
      <c r="F3896" s="2">
        <v>2</v>
      </c>
      <c r="G3896" s="2" t="s">
        <v>11</v>
      </c>
    </row>
    <row r="3897" spans="1:7" x14ac:dyDescent="0.2">
      <c r="A3897" s="2" t="s">
        <v>3542</v>
      </c>
      <c r="B3897" s="2" t="s">
        <v>397</v>
      </c>
      <c r="C3897" s="2">
        <v>894.20759999999996</v>
      </c>
      <c r="D3897" s="2">
        <f>HYPERLINK("http://mcb-m6.bioreg.kyushu-u.ac.jp/M3/20110418/F50997/2545/1", 42.97)</f>
        <v>42.97</v>
      </c>
      <c r="E3897" s="2">
        <v>12.41</v>
      </c>
      <c r="F3897" s="2">
        <v>2</v>
      </c>
      <c r="G3897" s="2" t="s">
        <v>12</v>
      </c>
    </row>
    <row r="3898" spans="1:7" x14ac:dyDescent="0.2">
      <c r="A3898" s="2" t="s">
        <v>3542</v>
      </c>
      <c r="B3898" s="2" t="s">
        <v>397</v>
      </c>
      <c r="C3898" s="2">
        <v>894.78020000000004</v>
      </c>
      <c r="D3898" s="2">
        <f>HYPERLINK("http://mcb-m6.bioreg.kyushu-u.ac.jp/M3/20110418/F50988/2561/1", 66.93)</f>
        <v>66.930000000000007</v>
      </c>
      <c r="E3898" s="2">
        <v>36.89</v>
      </c>
      <c r="F3898" s="2">
        <v>2</v>
      </c>
      <c r="G3898" s="2" t="s">
        <v>12</v>
      </c>
    </row>
    <row r="3899" spans="1:7" x14ac:dyDescent="0.2">
      <c r="A3899" s="2" t="s">
        <v>3542</v>
      </c>
      <c r="B3899" s="2" t="s">
        <v>397</v>
      </c>
      <c r="C3899" s="2">
        <v>894.7192</v>
      </c>
      <c r="D3899" s="2">
        <f>HYPERLINK("http://mcb-m6.bioreg.kyushu-u.ac.jp/M3/20110418/F50989/2436/1", 79.86)</f>
        <v>79.86</v>
      </c>
      <c r="E3899" s="2">
        <v>39.79</v>
      </c>
      <c r="F3899" s="2">
        <v>2</v>
      </c>
      <c r="G3899" s="2" t="s">
        <v>12</v>
      </c>
    </row>
    <row r="3900" spans="1:7" x14ac:dyDescent="0.2">
      <c r="A3900" s="2" t="s">
        <v>3542</v>
      </c>
      <c r="B3900" s="2" t="s">
        <v>397</v>
      </c>
      <c r="C3900" s="2">
        <v>894.36969999999997</v>
      </c>
      <c r="D3900" s="2">
        <f>HYPERLINK("http://mcb-m6.bioreg.kyushu-u.ac.jp/M3/20110429/F51155/2839/1", 35.43)</f>
        <v>35.43</v>
      </c>
      <c r="E3900" s="2">
        <v>16.510000000000002</v>
      </c>
      <c r="F3900" s="2">
        <v>2</v>
      </c>
      <c r="G3900" s="2" t="s">
        <v>13</v>
      </c>
    </row>
    <row r="3901" spans="1:7" x14ac:dyDescent="0.2">
      <c r="A3901" s="2" t="s">
        <v>3542</v>
      </c>
      <c r="B3901" s="2" t="s">
        <v>397</v>
      </c>
      <c r="C3901" s="2">
        <v>894.33510000000001</v>
      </c>
      <c r="D3901" s="2">
        <f>HYPERLINK("http://mcb-m6.bioreg.kyushu-u.ac.jp/M3/20110429/F51157/2512/1", 37.63)</f>
        <v>37.630000000000003</v>
      </c>
      <c r="E3901" s="2">
        <v>11.27</v>
      </c>
      <c r="F3901" s="2">
        <v>2</v>
      </c>
      <c r="G3901" s="2" t="s">
        <v>13</v>
      </c>
    </row>
    <row r="3902" spans="1:7" x14ac:dyDescent="0.2">
      <c r="A3902" s="2" t="s">
        <v>3542</v>
      </c>
      <c r="B3902" s="2" t="s">
        <v>397</v>
      </c>
      <c r="C3902" s="2">
        <v>894.66269999999997</v>
      </c>
      <c r="D3902" s="2">
        <f>HYPERLINK("http://mcb-m6.bioreg.kyushu-u.ac.jp/M3/20110429/F51150/2673/1", 38.85)</f>
        <v>38.85</v>
      </c>
      <c r="E3902" s="2">
        <v>11.25</v>
      </c>
      <c r="F3902" s="2">
        <v>2</v>
      </c>
      <c r="G3902" s="2" t="s">
        <v>13</v>
      </c>
    </row>
    <row r="3903" spans="1:7" x14ac:dyDescent="0.2">
      <c r="A3903" s="2" t="s">
        <v>3542</v>
      </c>
      <c r="B3903" s="2" t="s">
        <v>397</v>
      </c>
      <c r="C3903" s="2">
        <v>895.02719999999999</v>
      </c>
      <c r="D3903" s="2">
        <f>HYPERLINK("http://mcb-m6.bioreg.kyushu-u.ac.jp/M3/20110502/F51158/2735/1", 45)</f>
        <v>45</v>
      </c>
      <c r="E3903" s="2">
        <v>25.23</v>
      </c>
      <c r="F3903" s="2">
        <v>2</v>
      </c>
      <c r="G3903" s="2" t="s">
        <v>13</v>
      </c>
    </row>
    <row r="3904" spans="1:7" x14ac:dyDescent="0.2">
      <c r="A3904" s="2" t="s">
        <v>3542</v>
      </c>
      <c r="B3904" s="2" t="s">
        <v>397</v>
      </c>
      <c r="C3904" s="2">
        <v>894.52009999999996</v>
      </c>
      <c r="D3904" s="2">
        <f>HYPERLINK("http://mcb-m6.bioreg.kyushu-u.ac.jp/M3/20110502/F51158/2733/1", 58.95)</f>
        <v>58.95</v>
      </c>
      <c r="E3904" s="2">
        <v>25.51</v>
      </c>
      <c r="F3904" s="2">
        <v>2</v>
      </c>
      <c r="G3904" s="2" t="s">
        <v>13</v>
      </c>
    </row>
    <row r="3905" spans="1:7" x14ac:dyDescent="0.2">
      <c r="A3905" s="2" t="s">
        <v>3542</v>
      </c>
      <c r="B3905" s="2" t="s">
        <v>397</v>
      </c>
      <c r="C3905" s="2">
        <v>894.97170000000006</v>
      </c>
      <c r="D3905" s="2">
        <f>HYPERLINK("http://mcb-m6.bioreg.kyushu-u.ac.jp/M3/20110429/F51155/2841/1", 59.91)</f>
        <v>59.91</v>
      </c>
      <c r="E3905" s="2">
        <v>27.12</v>
      </c>
      <c r="F3905" s="2">
        <v>2</v>
      </c>
      <c r="G3905" s="2" t="s">
        <v>13</v>
      </c>
    </row>
    <row r="3906" spans="1:7" x14ac:dyDescent="0.2">
      <c r="A3906" s="2" t="s">
        <v>3542</v>
      </c>
      <c r="B3906" s="2" t="s">
        <v>397</v>
      </c>
      <c r="C3906" s="2">
        <v>894.39419999999996</v>
      </c>
      <c r="D3906" s="2">
        <f>HYPERLINK("http://mcb-m6.bioreg.kyushu-u.ac.jp/M3/20110429/F51154/2869/1", 60.26)</f>
        <v>60.26</v>
      </c>
      <c r="E3906" s="2">
        <v>8.1199999999999992</v>
      </c>
      <c r="F3906" s="2">
        <v>2</v>
      </c>
      <c r="G3906" s="2" t="s">
        <v>13</v>
      </c>
    </row>
    <row r="3907" spans="1:7" x14ac:dyDescent="0.2">
      <c r="A3907" s="2" t="s">
        <v>3542</v>
      </c>
      <c r="B3907" s="2" t="s">
        <v>397</v>
      </c>
      <c r="C3907" s="2">
        <v>894.78120000000001</v>
      </c>
      <c r="D3907" s="2">
        <f>HYPERLINK("http://mcb-m6.bioreg.kyushu-u.ac.jp/M3/20110429/F51152/2732/1", 69.16)</f>
        <v>69.16</v>
      </c>
      <c r="E3907" s="2">
        <v>38.630000000000003</v>
      </c>
      <c r="F3907" s="2">
        <v>2</v>
      </c>
      <c r="G3907" s="2" t="s">
        <v>13</v>
      </c>
    </row>
    <row r="3908" spans="1:7" x14ac:dyDescent="0.2">
      <c r="A3908" s="2" t="s">
        <v>3542</v>
      </c>
      <c r="B3908" s="2" t="s">
        <v>397</v>
      </c>
      <c r="C3908" s="2">
        <v>894.86109999999996</v>
      </c>
      <c r="D3908" s="2">
        <f>HYPERLINK("http://mcb-m6.bioreg.kyushu-u.ac.jp/M3/20110428/F51146/2649/1", 74.97)</f>
        <v>74.97</v>
      </c>
      <c r="E3908" s="2">
        <v>41.51</v>
      </c>
      <c r="F3908" s="2">
        <v>2</v>
      </c>
      <c r="G3908" s="2" t="s">
        <v>13</v>
      </c>
    </row>
    <row r="3909" spans="1:7" x14ac:dyDescent="0.2">
      <c r="A3909" s="2" t="s">
        <v>3542</v>
      </c>
      <c r="B3909" s="2" t="s">
        <v>397</v>
      </c>
      <c r="C3909" s="2">
        <v>894.54020000000003</v>
      </c>
      <c r="D3909" s="2">
        <f>HYPERLINK("http://mcb-m6.bioreg.kyushu-u.ac.jp/M3/20110429/F51156/2667/1", 78.55)</f>
        <v>78.55</v>
      </c>
      <c r="E3909" s="2">
        <v>55.14</v>
      </c>
      <c r="F3909" s="2">
        <v>2</v>
      </c>
      <c r="G3909" s="2" t="s">
        <v>13</v>
      </c>
    </row>
    <row r="3910" spans="1:7" x14ac:dyDescent="0.2">
      <c r="A3910" s="2" t="s">
        <v>3542</v>
      </c>
      <c r="B3910" s="2" t="s">
        <v>397</v>
      </c>
      <c r="C3910" s="2">
        <v>894.94960000000003</v>
      </c>
      <c r="D3910" s="2">
        <f>HYPERLINK("http://mcb-m6.bioreg.kyushu-u.ac.jp/M3/20110428/F51141/2897/1", 37.15)</f>
        <v>37.15</v>
      </c>
      <c r="E3910" s="2">
        <v>23.61</v>
      </c>
      <c r="F3910" s="2">
        <v>2</v>
      </c>
      <c r="G3910" s="2" t="s">
        <v>14</v>
      </c>
    </row>
    <row r="3911" spans="1:7" x14ac:dyDescent="0.2">
      <c r="A3911" s="2" t="s">
        <v>3542</v>
      </c>
      <c r="B3911" s="2" t="s">
        <v>397</v>
      </c>
      <c r="C3911" s="2">
        <v>894.88170000000002</v>
      </c>
      <c r="D3911" s="2">
        <f>HYPERLINK("http://mcb-m6.bioreg.kyushu-u.ac.jp/M3/20110502/F51160/2427/1", 47.06)</f>
        <v>47.06</v>
      </c>
      <c r="E3911" s="2">
        <v>18.34</v>
      </c>
      <c r="F3911" s="2">
        <v>2</v>
      </c>
      <c r="G3911" s="2" t="s">
        <v>14</v>
      </c>
    </row>
    <row r="3912" spans="1:7" x14ac:dyDescent="0.2">
      <c r="A3912" s="2" t="s">
        <v>3542</v>
      </c>
      <c r="B3912" s="2" t="s">
        <v>397</v>
      </c>
      <c r="C3912" s="2">
        <v>894.79970000000003</v>
      </c>
      <c r="D3912" s="2">
        <f>HYPERLINK("http://mcb-m6.bioreg.kyushu-u.ac.jp/M3/20110428/F51145/2571/1", 72.09)</f>
        <v>72.09</v>
      </c>
      <c r="E3912" s="2">
        <v>44.68</v>
      </c>
      <c r="F3912" s="2">
        <v>2</v>
      </c>
      <c r="G3912" s="2" t="s">
        <v>14</v>
      </c>
    </row>
    <row r="3913" spans="1:7" x14ac:dyDescent="0.2">
      <c r="A3913" s="2" t="s">
        <v>3542</v>
      </c>
      <c r="B3913" s="2" t="s">
        <v>397</v>
      </c>
      <c r="C3913" s="2">
        <v>894.95669999999996</v>
      </c>
      <c r="D3913" s="2">
        <f>HYPERLINK("http://mcb-m6.bioreg.kyushu-u.ac.jp/M3/20110428/F51144/2993/1", 72.28)</f>
        <v>72.28</v>
      </c>
      <c r="E3913" s="2">
        <v>40.409999999999997</v>
      </c>
      <c r="F3913" s="2">
        <v>2</v>
      </c>
      <c r="G3913" s="2" t="s">
        <v>14</v>
      </c>
    </row>
    <row r="3914" spans="1:7" x14ac:dyDescent="0.2">
      <c r="A3914" s="2" t="s">
        <v>3542</v>
      </c>
      <c r="B3914" s="2" t="s">
        <v>397</v>
      </c>
      <c r="C3914" s="2">
        <v>894.28809999999999</v>
      </c>
      <c r="D3914" s="2">
        <f>HYPERLINK("http://mcb-m6.bioreg.kyushu-u.ac.jp/M3/20110428/F51139/2301/1", 74.16)</f>
        <v>74.16</v>
      </c>
      <c r="E3914" s="2">
        <v>15.83</v>
      </c>
      <c r="F3914" s="2">
        <v>2</v>
      </c>
      <c r="G3914" s="2" t="s">
        <v>14</v>
      </c>
    </row>
    <row r="3915" spans="1:7" x14ac:dyDescent="0.2">
      <c r="A3915" s="2" t="s">
        <v>3542</v>
      </c>
      <c r="B3915" s="2" t="s">
        <v>397</v>
      </c>
      <c r="C3915" s="2">
        <v>894.37220000000002</v>
      </c>
      <c r="D3915" s="2">
        <f>HYPERLINK("http://mcb-m6.bioreg.kyushu-u.ac.jp/M3/20110428/F51140/2748/1", 81.38)</f>
        <v>81.38</v>
      </c>
      <c r="E3915" s="2">
        <v>49.5</v>
      </c>
      <c r="F3915" s="2">
        <v>2</v>
      </c>
      <c r="G3915" s="2" t="s">
        <v>14</v>
      </c>
    </row>
    <row r="3916" spans="1:7" x14ac:dyDescent="0.2">
      <c r="A3916" s="2" t="s">
        <v>4365</v>
      </c>
      <c r="B3916" s="2" t="s">
        <v>2191</v>
      </c>
      <c r="C3916" s="2">
        <v>541.8777</v>
      </c>
      <c r="D3916" s="2">
        <f>HYPERLINK("http://mcb-m6.bioreg.kyushu-u.ac.jp/M3/20110318/F50612/1079/1", 38.93)</f>
        <v>38.93</v>
      </c>
      <c r="E3916" s="2">
        <v>17.23</v>
      </c>
      <c r="F3916" s="2">
        <v>2</v>
      </c>
      <c r="G3916" s="2" t="s">
        <v>10</v>
      </c>
    </row>
    <row r="3917" spans="1:7" x14ac:dyDescent="0.2">
      <c r="A3917" s="2" t="s">
        <v>4365</v>
      </c>
      <c r="B3917" s="2" t="s">
        <v>2191</v>
      </c>
      <c r="C3917" s="2">
        <v>541.33510000000001</v>
      </c>
      <c r="D3917" s="2">
        <f>HYPERLINK("http://mcb-m6.bioreg.kyushu-u.ac.jp/M3/20110318/F50596/1117/1", 40.67)</f>
        <v>40.67</v>
      </c>
      <c r="E3917" s="2">
        <v>23.23</v>
      </c>
      <c r="F3917" s="2">
        <v>2</v>
      </c>
      <c r="G3917" s="2" t="s">
        <v>10</v>
      </c>
    </row>
    <row r="3918" spans="1:7" x14ac:dyDescent="0.2">
      <c r="A3918" s="2" t="s">
        <v>4365</v>
      </c>
      <c r="B3918" s="2" t="s">
        <v>2191</v>
      </c>
      <c r="C3918" s="2">
        <v>541.39570000000003</v>
      </c>
      <c r="D3918" s="2">
        <f>HYPERLINK("http://mcb-m6.bioreg.kyushu-u.ac.jp/M3/20110318/F50597/985/1", 52.34)</f>
        <v>52.34</v>
      </c>
      <c r="E3918" s="2">
        <v>30.41</v>
      </c>
      <c r="F3918" s="2">
        <v>2</v>
      </c>
      <c r="G3918" s="2" t="s">
        <v>10</v>
      </c>
    </row>
    <row r="3919" spans="1:7" x14ac:dyDescent="0.2">
      <c r="A3919" s="2" t="s">
        <v>4365</v>
      </c>
      <c r="B3919" s="2" t="s">
        <v>2191</v>
      </c>
      <c r="C3919" s="2">
        <v>541.25120000000004</v>
      </c>
      <c r="D3919" s="2">
        <f>HYPERLINK("http://mcb-m6.bioreg.kyushu-u.ac.jp/M3/20110418/F50979/1479/1", 35.04)</f>
        <v>35.04</v>
      </c>
      <c r="E3919" s="2">
        <v>13.75</v>
      </c>
      <c r="F3919" s="2">
        <v>2</v>
      </c>
      <c r="G3919" s="2" t="s">
        <v>11</v>
      </c>
    </row>
    <row r="3920" spans="1:7" x14ac:dyDescent="0.2">
      <c r="A3920" s="2" t="s">
        <v>4365</v>
      </c>
      <c r="B3920" s="2" t="s">
        <v>2191</v>
      </c>
      <c r="C3920" s="2">
        <v>541.14260000000002</v>
      </c>
      <c r="D3920" s="2">
        <f>HYPERLINK("http://mcb-m6.bioreg.kyushu-u.ac.jp/M3/20110418/F50988/1567/1", 43.51)</f>
        <v>43.51</v>
      </c>
      <c r="E3920" s="2">
        <v>28.45</v>
      </c>
      <c r="F3920" s="2">
        <v>2</v>
      </c>
      <c r="G3920" s="2" t="s">
        <v>12</v>
      </c>
    </row>
    <row r="3921" spans="1:7" x14ac:dyDescent="0.2">
      <c r="A3921" s="2" t="s">
        <v>4365</v>
      </c>
      <c r="B3921" s="2" t="s">
        <v>2191</v>
      </c>
      <c r="C3921" s="2">
        <v>541.64670000000001</v>
      </c>
      <c r="D3921" s="2">
        <f>HYPERLINK("http://mcb-m6.bioreg.kyushu-u.ac.jp/M3/20110418/F50986/1529/1", 44.58)</f>
        <v>44.58</v>
      </c>
      <c r="E3921" s="2">
        <v>16.47</v>
      </c>
      <c r="F3921" s="2">
        <v>2</v>
      </c>
      <c r="G3921" s="2" t="s">
        <v>12</v>
      </c>
    </row>
    <row r="3922" spans="1:7" x14ac:dyDescent="0.2">
      <c r="A3922" s="2" t="s">
        <v>4365</v>
      </c>
      <c r="B3922" s="2" t="s">
        <v>2191</v>
      </c>
      <c r="C3922" s="2">
        <v>541.52670000000001</v>
      </c>
      <c r="D3922" s="2">
        <f>HYPERLINK("http://mcb-m6.bioreg.kyushu-u.ac.jp/M3/20110429/F51155/1390/1", 39.07)</f>
        <v>39.07</v>
      </c>
      <c r="E3922" s="2">
        <v>18.760000000000002</v>
      </c>
      <c r="F3922" s="2">
        <v>2</v>
      </c>
      <c r="G3922" s="2" t="s">
        <v>13</v>
      </c>
    </row>
    <row r="3923" spans="1:7" x14ac:dyDescent="0.2">
      <c r="A3923" s="2" t="s">
        <v>4845</v>
      </c>
      <c r="B3923" s="2" t="s">
        <v>3117</v>
      </c>
      <c r="C3923" s="2">
        <v>534.5616</v>
      </c>
      <c r="D3923" s="2">
        <f>HYPERLINK("http://mcb-m6.bioreg.kyushu-u.ac.jp/M3/20110318/F50605/1019/1", 38.15)</f>
        <v>38.15</v>
      </c>
      <c r="E3923" s="2">
        <v>10.61</v>
      </c>
      <c r="F3923" s="2">
        <v>2</v>
      </c>
      <c r="G3923" s="2" t="s">
        <v>9</v>
      </c>
    </row>
    <row r="3924" spans="1:7" x14ac:dyDescent="0.2">
      <c r="A3924" s="2" t="s">
        <v>4845</v>
      </c>
      <c r="B3924" s="2" t="s">
        <v>3117</v>
      </c>
      <c r="C3924" s="2">
        <v>534.47720000000004</v>
      </c>
      <c r="D3924" s="2">
        <f>HYPERLINK("http://mcb-m6.bioreg.kyushu-u.ac.jp/M3/20110318/F50612/1066/1", 39.89)</f>
        <v>39.89</v>
      </c>
      <c r="E3924" s="2">
        <v>19.600000000000001</v>
      </c>
      <c r="F3924" s="2">
        <v>2</v>
      </c>
      <c r="G3924" s="2" t="s">
        <v>10</v>
      </c>
    </row>
    <row r="3925" spans="1:7" x14ac:dyDescent="0.2">
      <c r="A3925" s="2" t="s">
        <v>4845</v>
      </c>
      <c r="B3925" s="2" t="s">
        <v>3117</v>
      </c>
      <c r="C3925" s="2">
        <v>534.28970000000004</v>
      </c>
      <c r="D3925" s="2">
        <f>HYPERLINK("http://mcb-m6.bioreg.kyushu-u.ac.jp/M3/20110428/F51143/1146/1", 39.15)</f>
        <v>39.15</v>
      </c>
      <c r="E3925" s="2">
        <v>8.15</v>
      </c>
      <c r="F3925" s="2">
        <v>2</v>
      </c>
      <c r="G3925" s="2" t="s">
        <v>14</v>
      </c>
    </row>
    <row r="3926" spans="1:7" x14ac:dyDescent="0.2">
      <c r="A3926" s="2" t="s">
        <v>4058</v>
      </c>
      <c r="B3926" s="2" t="s">
        <v>1417</v>
      </c>
      <c r="C3926" s="2">
        <v>844.53859999999997</v>
      </c>
      <c r="D3926" s="2">
        <f>HYPERLINK("http://mcb-m6.bioreg.kyushu-u.ac.jp/M3/20110318/F50604/1824/1", 104.87)</f>
        <v>104.87</v>
      </c>
      <c r="E3926" s="2">
        <v>83.24</v>
      </c>
      <c r="F3926" s="2">
        <v>2</v>
      </c>
      <c r="G3926" s="2" t="s">
        <v>9</v>
      </c>
    </row>
    <row r="3927" spans="1:7" x14ac:dyDescent="0.2">
      <c r="A3927" s="2" t="s">
        <v>3590</v>
      </c>
      <c r="B3927" s="2" t="s">
        <v>475</v>
      </c>
      <c r="C3927" s="2">
        <v>597.80769999999995</v>
      </c>
      <c r="D3927" s="2">
        <f>HYPERLINK("http://mcb-m6.bioreg.kyushu-u.ac.jp/M3/20110318/F50597/1138/1", 72.92)</f>
        <v>72.92</v>
      </c>
      <c r="E3927" s="2">
        <v>41.44</v>
      </c>
      <c r="F3927" s="2">
        <v>2</v>
      </c>
      <c r="G3927" s="2" t="s">
        <v>10</v>
      </c>
    </row>
    <row r="3928" spans="1:7" x14ac:dyDescent="0.2">
      <c r="A3928" s="2" t="s">
        <v>3590</v>
      </c>
      <c r="B3928" s="2" t="s">
        <v>685</v>
      </c>
      <c r="C3928" s="2">
        <v>621.95510000000002</v>
      </c>
      <c r="D3928" s="2">
        <f>HYPERLINK("http://mcb-m6.bioreg.kyushu-u.ac.jp/M3/20110418/F50977/1452/1", 57.39)</f>
        <v>57.39</v>
      </c>
      <c r="E3928" s="2">
        <v>32.65</v>
      </c>
      <c r="F3928" s="2">
        <v>2</v>
      </c>
      <c r="G3928" s="2" t="s">
        <v>11</v>
      </c>
    </row>
    <row r="3929" spans="1:7" x14ac:dyDescent="0.2">
      <c r="A3929" s="2" t="s">
        <v>3590</v>
      </c>
      <c r="B3929" s="2" t="s">
        <v>475</v>
      </c>
      <c r="C3929" s="2">
        <v>598.23109999999997</v>
      </c>
      <c r="D3929" s="2">
        <f>HYPERLINK("http://mcb-m6.bioreg.kyushu-u.ac.jp/M3/20110418/F50975/1235/1", 59.25)</f>
        <v>59.25</v>
      </c>
      <c r="E3929" s="2">
        <v>33.659999999999997</v>
      </c>
      <c r="F3929" s="2">
        <v>2</v>
      </c>
      <c r="G3929" s="2" t="s">
        <v>11</v>
      </c>
    </row>
    <row r="3930" spans="1:7" x14ac:dyDescent="0.2">
      <c r="A3930" s="2" t="s">
        <v>3590</v>
      </c>
      <c r="B3930" s="2" t="s">
        <v>3231</v>
      </c>
      <c r="C3930" s="2">
        <v>713.20370000000003</v>
      </c>
      <c r="D3930" s="2">
        <f>HYPERLINK("http://mcb-m6.bioreg.kyushu-u.ac.jp/M3/20110418/F50977/1932/1", 69.56)</f>
        <v>69.56</v>
      </c>
      <c r="E3930" s="2">
        <v>55.06</v>
      </c>
      <c r="F3930" s="2">
        <v>2</v>
      </c>
      <c r="G3930" s="2" t="s">
        <v>11</v>
      </c>
    </row>
    <row r="3931" spans="1:7" x14ac:dyDescent="0.2">
      <c r="A3931" s="2" t="s">
        <v>3590</v>
      </c>
      <c r="B3931" s="2" t="s">
        <v>475</v>
      </c>
      <c r="C3931" s="2">
        <v>597.96420000000001</v>
      </c>
      <c r="D3931" s="2">
        <f>HYPERLINK("http://mcb-m6.bioreg.kyushu-u.ac.jp/M3/20110428/F51141/1156/1", 58.66)</f>
        <v>58.66</v>
      </c>
      <c r="E3931" s="2">
        <v>26.04</v>
      </c>
      <c r="F3931" s="2">
        <v>2</v>
      </c>
      <c r="G3931" s="2" t="s">
        <v>14</v>
      </c>
    </row>
    <row r="3932" spans="1:7" x14ac:dyDescent="0.2">
      <c r="A3932" s="2" t="s">
        <v>4353</v>
      </c>
      <c r="B3932" s="2" t="s">
        <v>2170</v>
      </c>
      <c r="C3932" s="2">
        <v>516.31269999999995</v>
      </c>
      <c r="D3932" s="2">
        <f>HYPERLINK("http://mcb-m6.bioreg.kyushu-u.ac.jp/M3/20110418/F50973/1502/1", 38.51)</f>
        <v>38.51</v>
      </c>
      <c r="E3932" s="2">
        <v>14.79</v>
      </c>
      <c r="F3932" s="2">
        <v>2</v>
      </c>
      <c r="G3932" s="2" t="s">
        <v>11</v>
      </c>
    </row>
    <row r="3933" spans="1:7" x14ac:dyDescent="0.2">
      <c r="A3933" s="2" t="s">
        <v>3550</v>
      </c>
      <c r="B3933" s="2" t="s">
        <v>407</v>
      </c>
      <c r="C3933" s="2">
        <v>631.97059999999999</v>
      </c>
      <c r="D3933" s="2">
        <f>HYPERLINK("http://mcb-m6.bioreg.kyushu-u.ac.jp/M3/20110318/F50608/1211/1", 43.86)</f>
        <v>43.86</v>
      </c>
      <c r="E3933" s="2">
        <v>26.24</v>
      </c>
      <c r="F3933" s="2">
        <v>2</v>
      </c>
      <c r="G3933" s="2" t="s">
        <v>9</v>
      </c>
    </row>
    <row r="3934" spans="1:7" x14ac:dyDescent="0.2">
      <c r="A3934" s="2" t="s">
        <v>3550</v>
      </c>
      <c r="B3934" s="2" t="s">
        <v>407</v>
      </c>
      <c r="C3934" s="2">
        <v>632.40470000000005</v>
      </c>
      <c r="D3934" s="2">
        <f>HYPERLINK("http://mcb-m6.bioreg.kyushu-u.ac.jp/M3/20110318/F50599/1424/1", 47.6)</f>
        <v>47.6</v>
      </c>
      <c r="E3934" s="2">
        <v>29.47</v>
      </c>
      <c r="F3934" s="2">
        <v>2</v>
      </c>
      <c r="G3934" s="2" t="s">
        <v>10</v>
      </c>
    </row>
    <row r="3935" spans="1:7" x14ac:dyDescent="0.2">
      <c r="A3935" s="2" t="s">
        <v>3550</v>
      </c>
      <c r="B3935" s="2" t="s">
        <v>407</v>
      </c>
      <c r="C3935" s="2">
        <v>632.15719999999999</v>
      </c>
      <c r="D3935" s="2">
        <f>HYPERLINK("http://mcb-m6.bioreg.kyushu-u.ac.jp/M3/20110418/F50983/1810/1", 61.9)</f>
        <v>61.9</v>
      </c>
      <c r="E3935" s="2">
        <v>43.25</v>
      </c>
      <c r="F3935" s="2">
        <v>2</v>
      </c>
      <c r="G3935" s="2" t="s">
        <v>12</v>
      </c>
    </row>
    <row r="3936" spans="1:7" x14ac:dyDescent="0.2">
      <c r="A3936" s="2" t="s">
        <v>3550</v>
      </c>
      <c r="B3936" s="2" t="s">
        <v>407</v>
      </c>
      <c r="C3936" s="2">
        <v>632.58119999999997</v>
      </c>
      <c r="D3936" s="2">
        <f>HYPERLINK("http://mcb-m6.bioreg.kyushu-u.ac.jp/M3/20110429/F51151/1710/1", 58.01)</f>
        <v>58.01</v>
      </c>
      <c r="E3936" s="2">
        <v>38.270000000000003</v>
      </c>
      <c r="F3936" s="2">
        <v>2</v>
      </c>
      <c r="G3936" s="2" t="s">
        <v>13</v>
      </c>
    </row>
    <row r="3937" spans="1:9" x14ac:dyDescent="0.2">
      <c r="A3937" s="2" t="s">
        <v>4629</v>
      </c>
      <c r="B3937" s="2" t="s">
        <v>2781</v>
      </c>
      <c r="C3937" s="2">
        <v>985.65620000000001</v>
      </c>
      <c r="D3937" s="2">
        <f>HYPERLINK("http://mcb-m6.bioreg.kyushu-u.ac.jp/M3/20110418/F50980/2602/1", 98.06)</f>
        <v>98.06</v>
      </c>
      <c r="E3937" s="2">
        <v>68.400000000000006</v>
      </c>
      <c r="F3937" s="2">
        <v>2</v>
      </c>
      <c r="G3937" s="2" t="s">
        <v>12</v>
      </c>
      <c r="I3937" s="2" t="s">
        <v>4906</v>
      </c>
    </row>
    <row r="3938" spans="1:9" x14ac:dyDescent="0.2">
      <c r="A3938" s="2" t="s">
        <v>4629</v>
      </c>
      <c r="B3938" s="2" t="s">
        <v>2781</v>
      </c>
      <c r="C3938" s="2">
        <v>985.57820000000004</v>
      </c>
      <c r="D3938" s="2">
        <f>HYPERLINK("http://mcb-m6.bioreg.kyushu-u.ac.jp/M3/20110428/F51146/2851/1", 92.09)</f>
        <v>92.09</v>
      </c>
      <c r="E3938" s="2">
        <v>68.39</v>
      </c>
      <c r="F3938" s="2">
        <v>2</v>
      </c>
      <c r="G3938" s="2" t="s">
        <v>13</v>
      </c>
      <c r="I3938" s="2" t="s">
        <v>4906</v>
      </c>
    </row>
    <row r="3939" spans="1:9" x14ac:dyDescent="0.2">
      <c r="A3939" s="2" t="s">
        <v>4703</v>
      </c>
      <c r="B3939" s="2" t="s">
        <v>2883</v>
      </c>
      <c r="C3939" s="2">
        <v>562.18020000000001</v>
      </c>
      <c r="D3939" s="2">
        <f>HYPERLINK("http://mcb-m6.bioreg.kyushu-u.ac.jp/M3/20110418/F50986/1573/1", 41.05)</f>
        <v>41.05</v>
      </c>
      <c r="E3939" s="2">
        <v>17.23</v>
      </c>
      <c r="F3939" s="2">
        <v>2</v>
      </c>
      <c r="G3939" s="2" t="s">
        <v>12</v>
      </c>
    </row>
    <row r="3940" spans="1:9" x14ac:dyDescent="0.2">
      <c r="A3940" s="2" t="s">
        <v>4703</v>
      </c>
      <c r="B3940" s="2" t="s">
        <v>2883</v>
      </c>
      <c r="C3940" s="2">
        <v>561.85670000000005</v>
      </c>
      <c r="D3940" s="2">
        <f>HYPERLINK("http://mcb-m6.bioreg.kyushu-u.ac.jp/M3/20110429/F51153/949/1", 43.68)</f>
        <v>43.68</v>
      </c>
      <c r="E3940" s="2">
        <v>21.44</v>
      </c>
      <c r="F3940" s="2">
        <v>2</v>
      </c>
      <c r="G3940" s="2" t="s">
        <v>13</v>
      </c>
    </row>
    <row r="3941" spans="1:9" x14ac:dyDescent="0.2">
      <c r="A3941" s="2" t="s">
        <v>3764</v>
      </c>
      <c r="B3941" s="2" t="s">
        <v>780</v>
      </c>
      <c r="C3941" s="2">
        <v>887.16219999999998</v>
      </c>
      <c r="D3941" s="2">
        <f>HYPERLINK("http://mcb-m6.bioreg.kyushu-u.ac.jp/M3/20110428/F51146/2615/1", 74.32)</f>
        <v>74.319999999999993</v>
      </c>
      <c r="E3941" s="2">
        <v>47.34</v>
      </c>
      <c r="F3941" s="2">
        <v>2</v>
      </c>
      <c r="G3941" s="2" t="s">
        <v>13</v>
      </c>
    </row>
    <row r="3942" spans="1:9" x14ac:dyDescent="0.2">
      <c r="A3942" s="2" t="s">
        <v>4046</v>
      </c>
      <c r="B3942" s="2" t="s">
        <v>1391</v>
      </c>
      <c r="C3942" s="2">
        <v>621.84119999999996</v>
      </c>
      <c r="D3942" s="2">
        <f>HYPERLINK("http://mcb-m6.bioreg.kyushu-u.ac.jp/M3/20110318/F50610/1457/1", 43.81)</f>
        <v>43.81</v>
      </c>
      <c r="E3942" s="2">
        <v>21.77</v>
      </c>
      <c r="F3942" s="2">
        <v>2</v>
      </c>
      <c r="G3942" s="2" t="s">
        <v>9</v>
      </c>
    </row>
    <row r="3943" spans="1:9" x14ac:dyDescent="0.2">
      <c r="A3943" s="2" t="s">
        <v>4046</v>
      </c>
      <c r="B3943" s="2" t="s">
        <v>1391</v>
      </c>
      <c r="C3943" s="2">
        <v>621.50419999999997</v>
      </c>
      <c r="D3943" s="2">
        <f>HYPERLINK("http://mcb-m6.bioreg.kyushu-u.ac.jp/M3/20110418/F50969/1772/1", 75.78)</f>
        <v>75.78</v>
      </c>
      <c r="E3943" s="2">
        <v>50.15</v>
      </c>
      <c r="F3943" s="2">
        <v>2</v>
      </c>
      <c r="G3943" s="2" t="s">
        <v>11</v>
      </c>
    </row>
    <row r="3944" spans="1:9" x14ac:dyDescent="0.2">
      <c r="A3944" s="2" t="s">
        <v>4046</v>
      </c>
      <c r="B3944" s="2" t="s">
        <v>1391</v>
      </c>
      <c r="C3944" s="2">
        <v>622.07370000000003</v>
      </c>
      <c r="D3944" s="2">
        <f>HYPERLINK("http://mcb-m6.bioreg.kyushu-u.ac.jp/M3/20110418/F50969/1774/1", 89.55)</f>
        <v>89.55</v>
      </c>
      <c r="E3944" s="2">
        <v>70.67</v>
      </c>
      <c r="F3944" s="2">
        <v>2</v>
      </c>
      <c r="G3944" s="2" t="s">
        <v>11</v>
      </c>
    </row>
    <row r="3945" spans="1:9" x14ac:dyDescent="0.2">
      <c r="A3945" s="2" t="s">
        <v>4046</v>
      </c>
      <c r="B3945" s="2" t="s">
        <v>1391</v>
      </c>
      <c r="C3945" s="2">
        <v>621.86270000000002</v>
      </c>
      <c r="D3945" s="2">
        <f>HYPERLINK("http://mcb-m6.bioreg.kyushu-u.ac.jp/M3/20110418/F50980/1859/1", 71.88)</f>
        <v>71.88</v>
      </c>
      <c r="E3945" s="2">
        <v>58.13</v>
      </c>
      <c r="F3945" s="2">
        <v>2</v>
      </c>
      <c r="G3945" s="2" t="s">
        <v>12</v>
      </c>
    </row>
    <row r="3946" spans="1:9" x14ac:dyDescent="0.2">
      <c r="A3946" s="2" t="s">
        <v>4046</v>
      </c>
      <c r="B3946" s="2" t="s">
        <v>1391</v>
      </c>
      <c r="C3946" s="2">
        <v>1243.415</v>
      </c>
      <c r="D3946" s="2">
        <f>HYPERLINK("http://mcb-m6.bioreg.kyushu-u.ac.jp/M3/20110428/F51146/1650/1", 80.7)</f>
        <v>80.7</v>
      </c>
      <c r="E3946" s="2">
        <v>47.04</v>
      </c>
      <c r="F3946" s="2">
        <v>1</v>
      </c>
      <c r="G3946" s="2" t="s">
        <v>13</v>
      </c>
    </row>
    <row r="3947" spans="1:9" x14ac:dyDescent="0.2">
      <c r="A3947" s="2" t="s">
        <v>3604</v>
      </c>
      <c r="B3947" s="2" t="s">
        <v>496</v>
      </c>
      <c r="C3947" s="2">
        <v>473.17959999999999</v>
      </c>
      <c r="D3947" s="2">
        <f>HYPERLINK("http://mcb-m6.bioreg.kyushu-u.ac.jp/M3/20110418/F50969/1330/1", 44.92)</f>
        <v>44.92</v>
      </c>
      <c r="E3947" s="2">
        <v>22.94</v>
      </c>
      <c r="F3947" s="2">
        <v>2</v>
      </c>
      <c r="G3947" s="2" t="s">
        <v>11</v>
      </c>
    </row>
    <row r="3948" spans="1:9" x14ac:dyDescent="0.2">
      <c r="A3948" s="2" t="s">
        <v>5775</v>
      </c>
      <c r="B3948" s="2" t="s">
        <v>5416</v>
      </c>
      <c r="C3948" s="2">
        <v>747.33720000000005</v>
      </c>
      <c r="D3948" s="2">
        <f>HYPERLINK("http://mcb-m6.bioreg.kyushu-u.ac.jp/M3/20110418/F50978/2150/1", 59.95)</f>
        <v>59.95</v>
      </c>
      <c r="E3948" s="2">
        <v>37.31</v>
      </c>
      <c r="F3948" s="2">
        <v>2</v>
      </c>
      <c r="G3948" s="2" t="s">
        <v>11</v>
      </c>
    </row>
    <row r="3949" spans="1:9" x14ac:dyDescent="0.2">
      <c r="A3949" s="2" t="s">
        <v>4290</v>
      </c>
      <c r="B3949" s="2" t="s">
        <v>1985</v>
      </c>
      <c r="C3949" s="2">
        <v>920.04470000000003</v>
      </c>
      <c r="D3949" s="2">
        <f>HYPERLINK("http://mcb-m6.bioreg.kyushu-u.ac.jp/M3/20110502/F51163/2657/1", 62.96)</f>
        <v>62.96</v>
      </c>
      <c r="E3949" s="2">
        <v>51.91</v>
      </c>
      <c r="F3949" s="2">
        <v>2</v>
      </c>
      <c r="G3949" s="2" t="s">
        <v>13</v>
      </c>
    </row>
    <row r="3950" spans="1:9" x14ac:dyDescent="0.2">
      <c r="A3950" s="2" t="s">
        <v>4737</v>
      </c>
      <c r="B3950" s="2" t="s">
        <v>2961</v>
      </c>
      <c r="C3950" s="2">
        <v>523.15470000000005</v>
      </c>
      <c r="D3950" s="2">
        <f>HYPERLINK("http://mcb-m6.bioreg.kyushu-u.ac.jp/M3/20110318/F50608/1055/1", 35.08)</f>
        <v>35.08</v>
      </c>
      <c r="E3950" s="2">
        <v>8.35</v>
      </c>
      <c r="F3950" s="2">
        <v>2</v>
      </c>
      <c r="G3950" s="2" t="s">
        <v>9</v>
      </c>
    </row>
    <row r="3951" spans="1:9" x14ac:dyDescent="0.2">
      <c r="A3951" s="2" t="s">
        <v>5804</v>
      </c>
      <c r="B3951" s="2" t="s">
        <v>5469</v>
      </c>
      <c r="C3951" s="2">
        <v>774.54769999999996</v>
      </c>
      <c r="D3951" s="2">
        <f>HYPERLINK("http://mcb-m6.bioreg.kyushu-u.ac.jp/M3/20110502/F51163/2002/1", 36.79)</f>
        <v>36.79</v>
      </c>
      <c r="E3951" s="2">
        <v>14.97</v>
      </c>
      <c r="F3951" s="2">
        <v>2</v>
      </c>
      <c r="G3951" s="2" t="s">
        <v>13</v>
      </c>
    </row>
    <row r="3952" spans="1:9" x14ac:dyDescent="0.2">
      <c r="A3952" s="2" t="s">
        <v>4215</v>
      </c>
      <c r="B3952" s="2" t="s">
        <v>1814</v>
      </c>
      <c r="C3952" s="2">
        <v>831.71969999999999</v>
      </c>
      <c r="D3952" s="2">
        <f>HYPERLINK("http://mcb-m6.bioreg.kyushu-u.ac.jp/M3/20110318/F50598/1881/1", 44.64)</f>
        <v>44.64</v>
      </c>
      <c r="E3952" s="2">
        <v>31.99</v>
      </c>
      <c r="F3952" s="2">
        <v>2</v>
      </c>
      <c r="G3952" s="2" t="s">
        <v>10</v>
      </c>
    </row>
    <row r="3953" spans="1:9" x14ac:dyDescent="0.2">
      <c r="A3953" s="2" t="s">
        <v>3791</v>
      </c>
      <c r="B3953" s="2" t="s">
        <v>836</v>
      </c>
      <c r="C3953" s="2">
        <v>712.46310000000005</v>
      </c>
      <c r="D3953" s="2">
        <f>HYPERLINK("http://mcb-m6.bioreg.kyushu-u.ac.jp/M3/20110318/F50598/1462/1", 67.56)</f>
        <v>67.56</v>
      </c>
      <c r="E3953" s="2">
        <v>49.83</v>
      </c>
      <c r="F3953" s="2">
        <v>2</v>
      </c>
      <c r="G3953" s="2" t="s">
        <v>10</v>
      </c>
    </row>
    <row r="3954" spans="1:9" x14ac:dyDescent="0.2">
      <c r="A3954" s="2" t="s">
        <v>3755</v>
      </c>
      <c r="B3954" s="2" t="s">
        <v>2280</v>
      </c>
      <c r="C3954" s="2">
        <v>819.40170000000001</v>
      </c>
      <c r="D3954" s="2">
        <f>HYPERLINK("http://mcb-m6.bioreg.kyushu-u.ac.jp/M3/20110318/F50596/1908/1", 37.52)</f>
        <v>37.520000000000003</v>
      </c>
      <c r="E3954" s="2">
        <v>29.17</v>
      </c>
      <c r="F3954" s="2">
        <v>2</v>
      </c>
      <c r="G3954" s="2" t="s">
        <v>10</v>
      </c>
      <c r="I3954" s="2" t="s">
        <v>4918</v>
      </c>
    </row>
    <row r="3955" spans="1:9" x14ac:dyDescent="0.2">
      <c r="A3955" s="2" t="s">
        <v>3755</v>
      </c>
      <c r="B3955" s="2" t="s">
        <v>2031</v>
      </c>
      <c r="C3955" s="2">
        <v>794.89570000000003</v>
      </c>
      <c r="D3955" s="2">
        <f>HYPERLINK("http://mcb-m6.bioreg.kyushu-u.ac.jp/M3/20110418/F50977/2437/1", 35.32)</f>
        <v>35.32</v>
      </c>
      <c r="E3955" s="2">
        <v>18.72</v>
      </c>
      <c r="F3955" s="2">
        <v>2</v>
      </c>
      <c r="G3955" s="2" t="s">
        <v>11</v>
      </c>
    </row>
    <row r="3956" spans="1:9" x14ac:dyDescent="0.2">
      <c r="A3956" s="2" t="s">
        <v>3755</v>
      </c>
      <c r="B3956" s="2" t="s">
        <v>1378</v>
      </c>
      <c r="C3956" s="2">
        <v>710.94960000000003</v>
      </c>
      <c r="D3956" s="2">
        <f>HYPERLINK("http://mcb-m6.bioreg.kyushu-u.ac.jp/M3/20110418/F50978/1935/1", 49.07)</f>
        <v>49.07</v>
      </c>
      <c r="E3956" s="2">
        <v>26.1</v>
      </c>
      <c r="F3956" s="2">
        <v>2</v>
      </c>
      <c r="G3956" s="2" t="s">
        <v>11</v>
      </c>
    </row>
    <row r="3957" spans="1:9" x14ac:dyDescent="0.2">
      <c r="A3957" s="2" t="s">
        <v>3755</v>
      </c>
      <c r="B3957" s="2" t="s">
        <v>1378</v>
      </c>
      <c r="C3957" s="2">
        <v>710.92169999999999</v>
      </c>
      <c r="D3957" s="2">
        <f>HYPERLINK("http://mcb-m6.bioreg.kyushu-u.ac.jp/M3/20110418/F50988/1965/1", 41.7)</f>
        <v>41.7</v>
      </c>
      <c r="E3957" s="2">
        <v>10.38</v>
      </c>
      <c r="F3957" s="2">
        <v>2</v>
      </c>
      <c r="G3957" s="2" t="s">
        <v>12</v>
      </c>
    </row>
    <row r="3958" spans="1:9" x14ac:dyDescent="0.2">
      <c r="A3958" s="2" t="s">
        <v>3755</v>
      </c>
      <c r="B3958" s="2" t="s">
        <v>5447</v>
      </c>
      <c r="C3958" s="2">
        <v>812.72270000000003</v>
      </c>
      <c r="D3958" s="2">
        <f>HYPERLINK("http://mcb-m6.bioreg.kyushu-u.ac.jp/M3/20110418/F50988/2378/1", 49.97)</f>
        <v>49.97</v>
      </c>
      <c r="E3958" s="2">
        <v>29.7</v>
      </c>
      <c r="F3958" s="2">
        <v>2</v>
      </c>
      <c r="G3958" s="2" t="s">
        <v>12</v>
      </c>
    </row>
    <row r="3959" spans="1:9" x14ac:dyDescent="0.2">
      <c r="A3959" s="2" t="s">
        <v>3755</v>
      </c>
      <c r="B3959" s="2" t="s">
        <v>2892</v>
      </c>
      <c r="C3959" s="2">
        <v>791.22670000000005</v>
      </c>
      <c r="D3959" s="2">
        <f>HYPERLINK("http://mcb-m6.bioreg.kyushu-u.ac.jp/M3/20110429/F51154/2314/1", 42.3)</f>
        <v>42.3</v>
      </c>
      <c r="E3959" s="2">
        <v>32.69</v>
      </c>
      <c r="F3959" s="2">
        <v>2</v>
      </c>
      <c r="G3959" s="2" t="s">
        <v>13</v>
      </c>
      <c r="I3959" s="2" t="s">
        <v>4905</v>
      </c>
    </row>
    <row r="3960" spans="1:9" x14ac:dyDescent="0.2">
      <c r="A3960" s="2" t="s">
        <v>3755</v>
      </c>
      <c r="B3960" s="2" t="s">
        <v>767</v>
      </c>
      <c r="C3960" s="2">
        <v>489.72210000000001</v>
      </c>
      <c r="D3960" s="2">
        <f>HYPERLINK("http://mcb-m6.bioreg.kyushu-u.ac.jp/M3/20110429/F51154/698/1", 45.95)</f>
        <v>45.95</v>
      </c>
      <c r="E3960" s="2">
        <v>19.22</v>
      </c>
      <c r="F3960" s="2">
        <v>2</v>
      </c>
      <c r="G3960" s="2" t="s">
        <v>13</v>
      </c>
    </row>
    <row r="3961" spans="1:9" x14ac:dyDescent="0.2">
      <c r="A3961" s="2" t="s">
        <v>3755</v>
      </c>
      <c r="B3961" s="2" t="s">
        <v>1207</v>
      </c>
      <c r="C3961" s="2">
        <v>860.32420000000002</v>
      </c>
      <c r="D3961" s="2">
        <f>HYPERLINK("http://mcb-m6.bioreg.kyushu-u.ac.jp/M3/20110429/F51154/2684/1", 53.61)</f>
        <v>53.61</v>
      </c>
      <c r="E3961" s="2">
        <v>41.57</v>
      </c>
      <c r="F3961" s="2">
        <v>2</v>
      </c>
      <c r="G3961" s="2" t="s">
        <v>13</v>
      </c>
    </row>
    <row r="3962" spans="1:9" x14ac:dyDescent="0.2">
      <c r="A3962" s="2" t="s">
        <v>3755</v>
      </c>
      <c r="B3962" s="2" t="s">
        <v>2031</v>
      </c>
      <c r="C3962" s="2">
        <v>794.78719999999998</v>
      </c>
      <c r="D3962" s="2">
        <f>HYPERLINK("http://mcb-m6.bioreg.kyushu-u.ac.jp/M3/20110429/F51154/2333/1", 65.55)</f>
        <v>65.55</v>
      </c>
      <c r="E3962" s="2">
        <v>54.54</v>
      </c>
      <c r="F3962" s="2">
        <v>2</v>
      </c>
      <c r="G3962" s="2" t="s">
        <v>13</v>
      </c>
    </row>
    <row r="3963" spans="1:9" x14ac:dyDescent="0.2">
      <c r="A3963" s="2" t="s">
        <v>3755</v>
      </c>
      <c r="B3963" s="2" t="s">
        <v>2031</v>
      </c>
      <c r="C3963" s="2">
        <v>794.25319999999999</v>
      </c>
      <c r="D3963" s="2">
        <f>HYPERLINK("http://mcb-m6.bioreg.kyushu-u.ac.jp/M3/20110429/F51154/2328/1", 68.73)</f>
        <v>68.73</v>
      </c>
      <c r="E3963" s="2">
        <v>55.87</v>
      </c>
      <c r="F3963" s="2">
        <v>2</v>
      </c>
      <c r="G3963" s="2" t="s">
        <v>13</v>
      </c>
    </row>
    <row r="3964" spans="1:9" x14ac:dyDescent="0.2">
      <c r="A3964" s="2" t="s">
        <v>3755</v>
      </c>
      <c r="B3964" s="2" t="s">
        <v>2031</v>
      </c>
      <c r="C3964" s="2">
        <v>794.37519999999995</v>
      </c>
      <c r="D3964" s="2">
        <f>HYPERLINK("http://mcb-m6.bioreg.kyushu-u.ac.jp/M3/20110428/F51143/2381/1", 44.34)</f>
        <v>44.34</v>
      </c>
      <c r="E3964" s="2">
        <v>23.44</v>
      </c>
      <c r="F3964" s="2">
        <v>2</v>
      </c>
      <c r="G3964" s="2" t="s">
        <v>14</v>
      </c>
    </row>
    <row r="3965" spans="1:9" x14ac:dyDescent="0.2">
      <c r="A3965" s="2" t="s">
        <v>4335</v>
      </c>
      <c r="B3965" s="2" t="s">
        <v>2147</v>
      </c>
      <c r="C3965" s="2">
        <v>755.12220000000002</v>
      </c>
      <c r="D3965" s="2">
        <f>HYPERLINK("http://mcb-m6.bioreg.kyushu-u.ac.jp/M3/20110318/F50597/1671/1", 90.54)</f>
        <v>90.54</v>
      </c>
      <c r="E3965" s="2">
        <v>78.95</v>
      </c>
      <c r="F3965" s="2">
        <v>2</v>
      </c>
      <c r="G3965" s="2" t="s">
        <v>10</v>
      </c>
    </row>
    <row r="3966" spans="1:9" x14ac:dyDescent="0.2">
      <c r="A3966" s="2" t="s">
        <v>3447</v>
      </c>
      <c r="B3966" s="2" t="s">
        <v>257</v>
      </c>
      <c r="C3966" s="2">
        <v>728.82320000000004</v>
      </c>
      <c r="D3966" s="2">
        <f>HYPERLINK("http://mcb-m6.bioreg.kyushu-u.ac.jp/M3/20110429/F51150/2084/1", 71.63)</f>
        <v>71.63</v>
      </c>
      <c r="E3966" s="2">
        <v>51.37</v>
      </c>
      <c r="F3966" s="2">
        <v>2</v>
      </c>
      <c r="G3966" s="2" t="s">
        <v>13</v>
      </c>
      <c r="I3966" s="2" t="s">
        <v>4914</v>
      </c>
    </row>
    <row r="3967" spans="1:9" x14ac:dyDescent="0.2">
      <c r="A3967" s="2" t="s">
        <v>3250</v>
      </c>
      <c r="B3967" s="2" t="s">
        <v>561</v>
      </c>
      <c r="C3967" s="2">
        <v>662.85670000000005</v>
      </c>
      <c r="D3967" s="2">
        <f>HYPERLINK("http://mcb-m6.bioreg.kyushu-u.ac.jp/M3/20110318/F50618/1294/1", 35.18)</f>
        <v>35.18</v>
      </c>
      <c r="E3967" s="2">
        <v>16.100000000000001</v>
      </c>
      <c r="F3967" s="2">
        <v>2</v>
      </c>
      <c r="G3967" s="2" t="s">
        <v>9</v>
      </c>
      <c r="H3967" s="2" t="s">
        <v>4919</v>
      </c>
    </row>
    <row r="3968" spans="1:9" x14ac:dyDescent="0.2">
      <c r="A3968" s="2" t="s">
        <v>3250</v>
      </c>
      <c r="B3968" s="2" t="s">
        <v>175</v>
      </c>
      <c r="C3968" s="2">
        <v>523.3809</v>
      </c>
      <c r="D3968" s="2">
        <f>HYPERLINK("http://mcb-m6.bioreg.kyushu-u.ac.jp/M3/20110318/F50619/1653/1", 36.5)</f>
        <v>36.5</v>
      </c>
      <c r="E3968" s="2">
        <v>19.170000000000002</v>
      </c>
      <c r="F3968" s="2">
        <v>3</v>
      </c>
      <c r="G3968" s="2" t="s">
        <v>9</v>
      </c>
      <c r="I3968" s="2" t="s">
        <v>4893</v>
      </c>
    </row>
    <row r="3969" spans="1:9" x14ac:dyDescent="0.2">
      <c r="A3969" s="2" t="s">
        <v>3250</v>
      </c>
      <c r="B3969" s="2" t="s">
        <v>142</v>
      </c>
      <c r="C3969" s="2">
        <v>847.23800000000006</v>
      </c>
      <c r="D3969" s="2">
        <f>HYPERLINK("http://mcb-m6.bioreg.kyushu-u.ac.jp/M3/20110318/F50618/608/1", 36.57)</f>
        <v>36.57</v>
      </c>
      <c r="E3969" s="2">
        <v>13.09</v>
      </c>
      <c r="F3969" s="2">
        <v>1</v>
      </c>
      <c r="G3969" s="2" t="s">
        <v>9</v>
      </c>
    </row>
    <row r="3970" spans="1:9" x14ac:dyDescent="0.2">
      <c r="A3970" s="2" t="s">
        <v>3250</v>
      </c>
      <c r="B3970" s="2" t="s">
        <v>467</v>
      </c>
      <c r="C3970" s="2">
        <v>692.38170000000002</v>
      </c>
      <c r="D3970" s="2">
        <f>HYPERLINK("http://mcb-m6.bioreg.kyushu-u.ac.jp/M3/20110318/F50602/1388/1", 36.62)</f>
        <v>36.619999999999997</v>
      </c>
      <c r="E3970" s="2">
        <v>15.86</v>
      </c>
      <c r="F3970" s="2">
        <v>2</v>
      </c>
      <c r="G3970" s="2" t="s">
        <v>9</v>
      </c>
    </row>
    <row r="3971" spans="1:9" x14ac:dyDescent="0.2">
      <c r="A3971" s="2" t="s">
        <v>3250</v>
      </c>
      <c r="B3971" s="2" t="s">
        <v>467</v>
      </c>
      <c r="C3971" s="2">
        <v>692.16819999999996</v>
      </c>
      <c r="D3971" s="2">
        <f>HYPERLINK("http://mcb-m6.bioreg.kyushu-u.ac.jp/M3/20110318/F50618/1385/1", 37.3)</f>
        <v>37.299999999999997</v>
      </c>
      <c r="E3971" s="2">
        <v>17.14</v>
      </c>
      <c r="F3971" s="2">
        <v>2</v>
      </c>
      <c r="G3971" s="2" t="s">
        <v>9</v>
      </c>
    </row>
    <row r="3972" spans="1:9" x14ac:dyDescent="0.2">
      <c r="A3972" s="2" t="s">
        <v>3250</v>
      </c>
      <c r="B3972" s="2" t="s">
        <v>365</v>
      </c>
      <c r="C3972" s="2">
        <v>849.47170000000006</v>
      </c>
      <c r="D3972" s="2">
        <f>HYPERLINK("http://mcb-m6.bioreg.kyushu-u.ac.jp/M3/20110318/F50602/1824/1", 37.64)</f>
        <v>37.64</v>
      </c>
      <c r="E3972" s="2">
        <v>16.46</v>
      </c>
      <c r="F3972" s="2">
        <v>2</v>
      </c>
      <c r="G3972" s="2" t="s">
        <v>9</v>
      </c>
    </row>
    <row r="3973" spans="1:9" x14ac:dyDescent="0.2">
      <c r="A3973" s="2" t="s">
        <v>3250</v>
      </c>
      <c r="B3973" s="2" t="s">
        <v>604</v>
      </c>
      <c r="C3973" s="2">
        <v>521.3347</v>
      </c>
      <c r="D3973" s="2">
        <f>HYPERLINK("http://mcb-m6.bioreg.kyushu-u.ac.jp/M3/20110318/F50618/871/1", 37.9)</f>
        <v>37.9</v>
      </c>
      <c r="E3973" s="2">
        <v>8.7899999999999991</v>
      </c>
      <c r="F3973" s="2">
        <v>2</v>
      </c>
      <c r="G3973" s="2" t="s">
        <v>9</v>
      </c>
    </row>
    <row r="3974" spans="1:9" x14ac:dyDescent="0.2">
      <c r="A3974" s="2" t="s">
        <v>3250</v>
      </c>
      <c r="B3974" s="2" t="s">
        <v>365</v>
      </c>
      <c r="C3974" s="2">
        <v>848.91970000000003</v>
      </c>
      <c r="D3974" s="2">
        <f>HYPERLINK("http://mcb-m6.bioreg.kyushu-u.ac.jp/M3/20110318/F50602/1821/1", 38.25)</f>
        <v>38.25</v>
      </c>
      <c r="E3974" s="2">
        <v>21.18</v>
      </c>
      <c r="F3974" s="2">
        <v>2</v>
      </c>
      <c r="G3974" s="2" t="s">
        <v>9</v>
      </c>
    </row>
    <row r="3975" spans="1:9" x14ac:dyDescent="0.2">
      <c r="A3975" s="2" t="s">
        <v>3250</v>
      </c>
      <c r="B3975" s="2" t="s">
        <v>481</v>
      </c>
      <c r="C3975" s="2">
        <v>709.40869999999995</v>
      </c>
      <c r="D3975" s="2">
        <f>HYPERLINK("http://mcb-m6.bioreg.kyushu-u.ac.jp/M3/20110318/F50601/1494/1", 38.85)</f>
        <v>38.85</v>
      </c>
      <c r="E3975" s="2">
        <v>23.99</v>
      </c>
      <c r="F3975" s="2">
        <v>2</v>
      </c>
      <c r="G3975" s="2" t="s">
        <v>9</v>
      </c>
      <c r="I3975" s="2" t="s">
        <v>4898</v>
      </c>
    </row>
    <row r="3976" spans="1:9" x14ac:dyDescent="0.2">
      <c r="A3976" s="2" t="s">
        <v>3250</v>
      </c>
      <c r="B3976" s="2" t="s">
        <v>311</v>
      </c>
      <c r="C3976" s="2">
        <v>1196.2670000000001</v>
      </c>
      <c r="D3976" s="2">
        <f>HYPERLINK("http://mcb-m6.bioreg.kyushu-u.ac.jp/M3/20110318/F50619/1058/1", 39.85)</f>
        <v>39.85</v>
      </c>
      <c r="E3976" s="2">
        <v>19.98</v>
      </c>
      <c r="F3976" s="2">
        <v>1</v>
      </c>
      <c r="G3976" s="2" t="s">
        <v>9</v>
      </c>
    </row>
    <row r="3977" spans="1:9" x14ac:dyDescent="0.2">
      <c r="A3977" s="2" t="s">
        <v>3250</v>
      </c>
      <c r="B3977" s="2" t="s">
        <v>77</v>
      </c>
      <c r="C3977" s="2">
        <v>1148.7239999999999</v>
      </c>
      <c r="D3977" s="2">
        <f>HYPERLINK("http://mcb-m6.bioreg.kyushu-u.ac.jp/M3/20110318/F50605/1115/1", 39.97)</f>
        <v>39.97</v>
      </c>
      <c r="E3977" s="2">
        <v>18.739999999999998</v>
      </c>
      <c r="F3977" s="2">
        <v>1</v>
      </c>
      <c r="G3977" s="2" t="s">
        <v>9</v>
      </c>
    </row>
    <row r="3978" spans="1:9" x14ac:dyDescent="0.2">
      <c r="A3978" s="2" t="s">
        <v>3250</v>
      </c>
      <c r="B3978" s="2" t="s">
        <v>1065</v>
      </c>
      <c r="C3978" s="2">
        <v>717.11410000000001</v>
      </c>
      <c r="D3978" s="2">
        <f>HYPERLINK("http://mcb-m6.bioreg.kyushu-u.ac.jp/M3/20110318/F50605/1454/1", 41.15)</f>
        <v>41.15</v>
      </c>
      <c r="E3978" s="2">
        <v>30.51</v>
      </c>
      <c r="F3978" s="2">
        <v>2</v>
      </c>
      <c r="G3978" s="2" t="s">
        <v>9</v>
      </c>
      <c r="I3978" s="2" t="s">
        <v>4892</v>
      </c>
    </row>
    <row r="3979" spans="1:9" x14ac:dyDescent="0.2">
      <c r="A3979" s="2" t="s">
        <v>3250</v>
      </c>
      <c r="B3979" s="2" t="s">
        <v>1065</v>
      </c>
      <c r="C3979" s="2">
        <v>716.91859999999997</v>
      </c>
      <c r="D3979" s="2">
        <f>HYPERLINK("http://mcb-m6.bioreg.kyushu-u.ac.jp/M3/20110318/F50603/1367/1", 41.2)</f>
        <v>41.2</v>
      </c>
      <c r="E3979" s="2">
        <v>27.99</v>
      </c>
      <c r="F3979" s="2">
        <v>2</v>
      </c>
      <c r="G3979" s="2" t="s">
        <v>9</v>
      </c>
      <c r="I3979" s="2" t="s">
        <v>4892</v>
      </c>
    </row>
    <row r="3980" spans="1:9" x14ac:dyDescent="0.2">
      <c r="A3980" s="2" t="s">
        <v>3250</v>
      </c>
      <c r="B3980" s="2" t="s">
        <v>1255</v>
      </c>
      <c r="C3980" s="2">
        <v>1274.1600000000001</v>
      </c>
      <c r="D3980" s="2">
        <f>HYPERLINK("http://mcb-m6.bioreg.kyushu-u.ac.jp/M3/20110318/F50607/2773/1", 41.57)</f>
        <v>41.57</v>
      </c>
      <c r="E3980" s="2">
        <v>34.42</v>
      </c>
      <c r="F3980" s="2">
        <v>2</v>
      </c>
      <c r="G3980" s="2" t="s">
        <v>9</v>
      </c>
      <c r="I3980" s="2" t="s">
        <v>4906</v>
      </c>
    </row>
    <row r="3981" spans="1:9" x14ac:dyDescent="0.2">
      <c r="A3981" s="2" t="s">
        <v>3250</v>
      </c>
      <c r="B3981" s="2" t="s">
        <v>503</v>
      </c>
      <c r="C3981" s="2">
        <v>544.85050000000001</v>
      </c>
      <c r="D3981" s="2">
        <f>HYPERLINK("http://mcb-m6.bioreg.kyushu-u.ac.jp/M3/20110318/F50605/1912/1", 41.84)</f>
        <v>41.84</v>
      </c>
      <c r="E3981" s="2">
        <v>24.6</v>
      </c>
      <c r="F3981" s="2">
        <v>3</v>
      </c>
      <c r="G3981" s="2" t="s">
        <v>9</v>
      </c>
      <c r="H3981" s="2" t="s">
        <v>4907</v>
      </c>
    </row>
    <row r="3982" spans="1:9" x14ac:dyDescent="0.2">
      <c r="A3982" s="2" t="s">
        <v>3250</v>
      </c>
      <c r="B3982" s="2" t="s">
        <v>102</v>
      </c>
      <c r="C3982" s="2">
        <v>616.36069999999995</v>
      </c>
      <c r="D3982" s="2">
        <f>HYPERLINK("http://mcb-m6.bioreg.kyushu-u.ac.jp/M3/20110318/F50618/1139/1", 42.72)</f>
        <v>42.72</v>
      </c>
      <c r="E3982" s="2">
        <v>27.93</v>
      </c>
      <c r="F3982" s="2">
        <v>2</v>
      </c>
      <c r="G3982" s="2" t="s">
        <v>9</v>
      </c>
      <c r="H3982" s="2" t="s">
        <v>4900</v>
      </c>
    </row>
    <row r="3983" spans="1:9" x14ac:dyDescent="0.2">
      <c r="A3983" s="2" t="s">
        <v>3250</v>
      </c>
      <c r="B3983" s="2" t="s">
        <v>175</v>
      </c>
      <c r="C3983" s="2">
        <v>784.50869999999998</v>
      </c>
      <c r="D3983" s="2">
        <f>HYPERLINK("http://mcb-m6.bioreg.kyushu-u.ac.jp/M3/20110318/F50604/1698/1", 43.34)</f>
        <v>43.34</v>
      </c>
      <c r="E3983" s="2">
        <v>28.91</v>
      </c>
      <c r="F3983" s="2">
        <v>2</v>
      </c>
      <c r="G3983" s="2" t="s">
        <v>9</v>
      </c>
      <c r="I3983" s="2" t="s">
        <v>4893</v>
      </c>
    </row>
    <row r="3984" spans="1:9" x14ac:dyDescent="0.2">
      <c r="A3984" s="2" t="s">
        <v>3250</v>
      </c>
      <c r="B3984" s="2" t="s">
        <v>77</v>
      </c>
      <c r="C3984" s="2">
        <v>1148.6469999999999</v>
      </c>
      <c r="D3984" s="2">
        <f>HYPERLINK("http://mcb-m6.bioreg.kyushu-u.ac.jp/M3/20110318/F50603/1111/1", 43.86)</f>
        <v>43.86</v>
      </c>
      <c r="E3984" s="2">
        <v>27.99</v>
      </c>
      <c r="F3984" s="2">
        <v>1</v>
      </c>
      <c r="G3984" s="2" t="s">
        <v>9</v>
      </c>
    </row>
    <row r="3985" spans="1:9" x14ac:dyDescent="0.2">
      <c r="A3985" s="2" t="s">
        <v>3250</v>
      </c>
      <c r="B3985" s="2" t="s">
        <v>1888</v>
      </c>
      <c r="C3985" s="2">
        <v>456.9486</v>
      </c>
      <c r="D3985" s="2">
        <f>HYPERLINK("http://mcb-m6.bioreg.kyushu-u.ac.jp/M3/20110318/F50621/944/1", 44.23)</f>
        <v>44.23</v>
      </c>
      <c r="E3985" s="2">
        <v>16.16</v>
      </c>
      <c r="F3985" s="2">
        <v>2</v>
      </c>
      <c r="G3985" s="2" t="s">
        <v>9</v>
      </c>
    </row>
    <row r="3986" spans="1:9" x14ac:dyDescent="0.2">
      <c r="A3986" s="2" t="s">
        <v>3250</v>
      </c>
      <c r="B3986" s="2" t="s">
        <v>77</v>
      </c>
      <c r="C3986" s="2">
        <v>1148.367</v>
      </c>
      <c r="D3986" s="2">
        <f>HYPERLINK("http://mcb-m6.bioreg.kyushu-u.ac.jp/M3/20110318/F50618/1018/1", 45.06)</f>
        <v>45.06</v>
      </c>
      <c r="E3986" s="2">
        <v>18.899999999999999</v>
      </c>
      <c r="F3986" s="2">
        <v>1</v>
      </c>
      <c r="G3986" s="2" t="s">
        <v>9</v>
      </c>
    </row>
    <row r="3987" spans="1:9" x14ac:dyDescent="0.2">
      <c r="A3987" s="2" t="s">
        <v>3250</v>
      </c>
      <c r="B3987" s="2" t="s">
        <v>30</v>
      </c>
      <c r="C3987" s="2">
        <v>643.73879999999997</v>
      </c>
      <c r="D3987" s="2">
        <f>HYPERLINK("http://mcb-m6.bioreg.kyushu-u.ac.jp/M3/20110318/F50602/2038/1", 45.09)</f>
        <v>45.09</v>
      </c>
      <c r="E3987" s="2">
        <v>33.14</v>
      </c>
      <c r="F3987" s="2">
        <v>3</v>
      </c>
      <c r="G3987" s="2" t="s">
        <v>9</v>
      </c>
      <c r="I3987" s="2" t="s">
        <v>4894</v>
      </c>
    </row>
    <row r="3988" spans="1:9" x14ac:dyDescent="0.2">
      <c r="A3988" s="2" t="s">
        <v>3250</v>
      </c>
      <c r="B3988" s="2" t="s">
        <v>503</v>
      </c>
      <c r="C3988" s="2">
        <v>544.91819999999996</v>
      </c>
      <c r="D3988" s="2">
        <f>HYPERLINK("http://mcb-m6.bioreg.kyushu-u.ac.jp/M3/20110318/F50618/2001/1", 45.37)</f>
        <v>45.37</v>
      </c>
      <c r="E3988" s="2">
        <v>24.96</v>
      </c>
      <c r="F3988" s="2">
        <v>3</v>
      </c>
      <c r="G3988" s="2" t="s">
        <v>9</v>
      </c>
      <c r="H3988" s="2" t="s">
        <v>4907</v>
      </c>
    </row>
    <row r="3989" spans="1:9" x14ac:dyDescent="0.2">
      <c r="A3989" s="2" t="s">
        <v>3250</v>
      </c>
      <c r="B3989" s="2" t="s">
        <v>175</v>
      </c>
      <c r="C3989" s="2">
        <v>784.57510000000002</v>
      </c>
      <c r="D3989" s="2">
        <f>HYPERLINK("http://mcb-m6.bioreg.kyushu-u.ac.jp/M3/20110318/F50605/1822/1", 45.69)</f>
        <v>45.69</v>
      </c>
      <c r="E3989" s="2">
        <v>31.42</v>
      </c>
      <c r="F3989" s="2">
        <v>2</v>
      </c>
      <c r="G3989" s="2" t="s">
        <v>9</v>
      </c>
      <c r="I3989" s="2" t="s">
        <v>4893</v>
      </c>
    </row>
    <row r="3990" spans="1:9" x14ac:dyDescent="0.2">
      <c r="A3990" s="2" t="s">
        <v>3250</v>
      </c>
      <c r="B3990" s="2" t="s">
        <v>1888</v>
      </c>
      <c r="C3990" s="2">
        <v>457.00909999999999</v>
      </c>
      <c r="D3990" s="2">
        <f>HYPERLINK("http://mcb-m6.bioreg.kyushu-u.ac.jp/M3/20110318/F50606/789/1", 46.82)</f>
        <v>46.82</v>
      </c>
      <c r="E3990" s="2">
        <v>7.12</v>
      </c>
      <c r="F3990" s="2">
        <v>2</v>
      </c>
      <c r="G3990" s="2" t="s">
        <v>9</v>
      </c>
    </row>
    <row r="3991" spans="1:9" x14ac:dyDescent="0.2">
      <c r="A3991" s="2" t="s">
        <v>3250</v>
      </c>
      <c r="B3991" s="2" t="s">
        <v>604</v>
      </c>
      <c r="C3991" s="2">
        <v>521.02809999999999</v>
      </c>
      <c r="D3991" s="2">
        <f>HYPERLINK("http://mcb-m6.bioreg.kyushu-u.ac.jp/M3/20110318/F50606/920/1", 47.29)</f>
        <v>47.29</v>
      </c>
      <c r="E3991" s="2">
        <v>4.09</v>
      </c>
      <c r="F3991" s="2">
        <v>2</v>
      </c>
      <c r="G3991" s="2" t="s">
        <v>9</v>
      </c>
    </row>
    <row r="3992" spans="1:9" x14ac:dyDescent="0.2">
      <c r="A3992" s="2" t="s">
        <v>3250</v>
      </c>
      <c r="B3992" s="2" t="s">
        <v>772</v>
      </c>
      <c r="C3992" s="2">
        <v>1190.7560000000001</v>
      </c>
      <c r="D3992" s="2">
        <f>HYPERLINK("http://mcb-m6.bioreg.kyushu-u.ac.jp/M3/20110318/F50605/1163/1", 47.96)</f>
        <v>47.96</v>
      </c>
      <c r="E3992" s="2">
        <v>21.66</v>
      </c>
      <c r="F3992" s="2">
        <v>1</v>
      </c>
      <c r="G3992" s="2" t="s">
        <v>9</v>
      </c>
    </row>
    <row r="3993" spans="1:9" x14ac:dyDescent="0.2">
      <c r="A3993" s="2" t="s">
        <v>3250</v>
      </c>
      <c r="B3993" s="2" t="s">
        <v>481</v>
      </c>
      <c r="C3993" s="2">
        <v>709.53560000000004</v>
      </c>
      <c r="D3993" s="2">
        <f>HYPERLINK("http://mcb-m6.bioreg.kyushu-u.ac.jp/M3/20110318/F50607/1401/1", 48.18)</f>
        <v>48.18</v>
      </c>
      <c r="E3993" s="2">
        <v>18.93</v>
      </c>
      <c r="F3993" s="2">
        <v>2</v>
      </c>
      <c r="G3993" s="2" t="s">
        <v>9</v>
      </c>
      <c r="I3993" s="2" t="s">
        <v>4898</v>
      </c>
    </row>
    <row r="3994" spans="1:9" x14ac:dyDescent="0.2">
      <c r="A3994" s="2" t="s">
        <v>3250</v>
      </c>
      <c r="B3994" s="2" t="s">
        <v>102</v>
      </c>
      <c r="C3994" s="2">
        <v>616.39369999999997</v>
      </c>
      <c r="D3994" s="2">
        <f>HYPERLINK("http://mcb-m6.bioreg.kyushu-u.ac.jp/M3/20110318/F50604/1287/1", 48.27)</f>
        <v>48.27</v>
      </c>
      <c r="E3994" s="2">
        <v>36.14</v>
      </c>
      <c r="F3994" s="2">
        <v>2</v>
      </c>
      <c r="G3994" s="2" t="s">
        <v>9</v>
      </c>
      <c r="H3994" s="2" t="s">
        <v>4900</v>
      </c>
    </row>
    <row r="3995" spans="1:9" x14ac:dyDescent="0.2">
      <c r="A3995" s="2" t="s">
        <v>3250</v>
      </c>
      <c r="B3995" s="2" t="s">
        <v>604</v>
      </c>
      <c r="C3995" s="2">
        <v>520.94420000000002</v>
      </c>
      <c r="D3995" s="2">
        <f>HYPERLINK("http://mcb-m6.bioreg.kyushu-u.ac.jp/M3/20110318/F50620/1045/1", 48.51)</f>
        <v>48.51</v>
      </c>
      <c r="E3995" s="2">
        <v>8.2200000000000006</v>
      </c>
      <c r="F3995" s="2">
        <v>2</v>
      </c>
      <c r="G3995" s="2" t="s">
        <v>9</v>
      </c>
    </row>
    <row r="3996" spans="1:9" x14ac:dyDescent="0.2">
      <c r="A3996" s="2" t="s">
        <v>3250</v>
      </c>
      <c r="B3996" s="2" t="s">
        <v>175</v>
      </c>
      <c r="C3996" s="2">
        <v>784.23469999999998</v>
      </c>
      <c r="D3996" s="2">
        <f>HYPERLINK("http://mcb-m6.bioreg.kyushu-u.ac.jp/M3/20110318/F50620/1922/1", 48.51)</f>
        <v>48.51</v>
      </c>
      <c r="E3996" s="2">
        <v>34.72</v>
      </c>
      <c r="F3996" s="2">
        <v>2</v>
      </c>
      <c r="G3996" s="2" t="s">
        <v>9</v>
      </c>
      <c r="I3996" s="2" t="s">
        <v>4893</v>
      </c>
    </row>
    <row r="3997" spans="1:9" x14ac:dyDescent="0.2">
      <c r="A3997" s="2" t="s">
        <v>3250</v>
      </c>
      <c r="B3997" s="2" t="s">
        <v>604</v>
      </c>
      <c r="C3997" s="2">
        <v>520.93960000000004</v>
      </c>
      <c r="D3997" s="2">
        <f>HYPERLINK("http://mcb-m6.bioreg.kyushu-u.ac.jp/M3/20110318/F50621/1095/1", 48.56)</f>
        <v>48.56</v>
      </c>
      <c r="E3997" s="2">
        <v>10.86</v>
      </c>
      <c r="F3997" s="2">
        <v>2</v>
      </c>
      <c r="G3997" s="2" t="s">
        <v>9</v>
      </c>
    </row>
    <row r="3998" spans="1:9" x14ac:dyDescent="0.2">
      <c r="A3998" s="2" t="s">
        <v>3250</v>
      </c>
      <c r="B3998" s="2" t="s">
        <v>77</v>
      </c>
      <c r="C3998" s="2">
        <v>574.73519999999996</v>
      </c>
      <c r="D3998" s="2">
        <f>HYPERLINK("http://mcb-m6.bioreg.kyushu-u.ac.jp/M3/20110318/F50620/1153/1", 48.6)</f>
        <v>48.6</v>
      </c>
      <c r="E3998" s="2">
        <v>15.68</v>
      </c>
      <c r="F3998" s="2">
        <v>2</v>
      </c>
      <c r="G3998" s="2" t="s">
        <v>9</v>
      </c>
    </row>
    <row r="3999" spans="1:9" x14ac:dyDescent="0.2">
      <c r="A3999" s="2" t="s">
        <v>3250</v>
      </c>
      <c r="B3999" s="2" t="s">
        <v>561</v>
      </c>
      <c r="C3999" s="2">
        <v>662.5652</v>
      </c>
      <c r="D3999" s="2">
        <f>HYPERLINK("http://mcb-m6.bioreg.kyushu-u.ac.jp/M3/20110318/F50605/1292/1", 48.99)</f>
        <v>48.99</v>
      </c>
      <c r="E3999" s="2">
        <v>33.200000000000003</v>
      </c>
      <c r="F3999" s="2">
        <v>2</v>
      </c>
      <c r="G3999" s="2" t="s">
        <v>9</v>
      </c>
      <c r="H3999" s="2" t="s">
        <v>4919</v>
      </c>
    </row>
    <row r="4000" spans="1:9" x14ac:dyDescent="0.2">
      <c r="A4000" s="2" t="s">
        <v>3250</v>
      </c>
      <c r="B4000" s="2" t="s">
        <v>1255</v>
      </c>
      <c r="C4000" s="2">
        <v>849.66520000000003</v>
      </c>
      <c r="D4000" s="2">
        <f>HYPERLINK("http://mcb-m6.bioreg.kyushu-u.ac.jp/M3/20110318/F50608/2828/1", 49.11)</f>
        <v>49.11</v>
      </c>
      <c r="E4000" s="2">
        <v>37.83</v>
      </c>
      <c r="F4000" s="2">
        <v>3</v>
      </c>
      <c r="G4000" s="2" t="s">
        <v>9</v>
      </c>
      <c r="I4000" s="2" t="s">
        <v>4906</v>
      </c>
    </row>
    <row r="4001" spans="1:9" x14ac:dyDescent="0.2">
      <c r="A4001" s="2" t="s">
        <v>3250</v>
      </c>
      <c r="B4001" s="2" t="s">
        <v>311</v>
      </c>
      <c r="C4001" s="2">
        <v>1212.5229999999999</v>
      </c>
      <c r="D4001" s="2">
        <f>HYPERLINK("http://mcb-m6.bioreg.kyushu-u.ac.jp/M3/20110318/F50606/1074/1", 49.21)</f>
        <v>49.21</v>
      </c>
      <c r="E4001" s="2">
        <v>30.81</v>
      </c>
      <c r="F4001" s="2">
        <v>1</v>
      </c>
      <c r="G4001" s="2" t="s">
        <v>9</v>
      </c>
      <c r="H4001" s="2" t="s">
        <v>4908</v>
      </c>
    </row>
    <row r="4002" spans="1:9" x14ac:dyDescent="0.2">
      <c r="A4002" s="2" t="s">
        <v>3250</v>
      </c>
      <c r="B4002" s="2" t="s">
        <v>311</v>
      </c>
      <c r="C4002" s="2">
        <v>1196.5540000000001</v>
      </c>
      <c r="D4002" s="2">
        <f>HYPERLINK("http://mcb-m6.bioreg.kyushu-u.ac.jp/M3/20110318/F50606/1054/1", 49.72)</f>
        <v>49.72</v>
      </c>
      <c r="E4002" s="2">
        <v>33.380000000000003</v>
      </c>
      <c r="F4002" s="2">
        <v>1</v>
      </c>
      <c r="G4002" s="2" t="s">
        <v>9</v>
      </c>
    </row>
    <row r="4003" spans="1:9" x14ac:dyDescent="0.2">
      <c r="A4003" s="2" t="s">
        <v>3250</v>
      </c>
      <c r="B4003" s="2" t="s">
        <v>77</v>
      </c>
      <c r="C4003" s="2">
        <v>574.82870000000003</v>
      </c>
      <c r="D4003" s="2">
        <f>HYPERLINK("http://mcb-m6.bioreg.kyushu-u.ac.jp/M3/20110318/F50602/1201/1", 50.04)</f>
        <v>50.04</v>
      </c>
      <c r="E4003" s="2">
        <v>29.7</v>
      </c>
      <c r="F4003" s="2">
        <v>2</v>
      </c>
      <c r="G4003" s="2" t="s">
        <v>9</v>
      </c>
    </row>
    <row r="4004" spans="1:9" x14ac:dyDescent="0.2">
      <c r="A4004" s="2" t="s">
        <v>3250</v>
      </c>
      <c r="B4004" s="2" t="s">
        <v>604</v>
      </c>
      <c r="C4004" s="2">
        <v>520.56709999999998</v>
      </c>
      <c r="D4004" s="2">
        <f>HYPERLINK("http://mcb-m6.bioreg.kyushu-u.ac.jp/M3/20110318/F50618/860/1", 50.85)</f>
        <v>50.85</v>
      </c>
      <c r="E4004" s="2">
        <v>4.18</v>
      </c>
      <c r="F4004" s="2">
        <v>2</v>
      </c>
      <c r="G4004" s="2" t="s">
        <v>9</v>
      </c>
    </row>
    <row r="4005" spans="1:9" x14ac:dyDescent="0.2">
      <c r="A4005" s="2" t="s">
        <v>3250</v>
      </c>
      <c r="B4005" s="2" t="s">
        <v>311</v>
      </c>
      <c r="C4005" s="2">
        <v>1196.335</v>
      </c>
      <c r="D4005" s="2">
        <f>HYPERLINK("http://mcb-m6.bioreg.kyushu-u.ac.jp/M3/20110318/F50618/1100/1", 51.35)</f>
        <v>51.35</v>
      </c>
      <c r="E4005" s="2">
        <v>34.380000000000003</v>
      </c>
      <c r="F4005" s="2">
        <v>1</v>
      </c>
      <c r="G4005" s="2" t="s">
        <v>9</v>
      </c>
    </row>
    <row r="4006" spans="1:9" x14ac:dyDescent="0.2">
      <c r="A4006" s="2" t="s">
        <v>3250</v>
      </c>
      <c r="B4006" s="2" t="s">
        <v>1888</v>
      </c>
      <c r="C4006" s="2">
        <v>913.20899999999995</v>
      </c>
      <c r="D4006" s="2">
        <f>HYPERLINK("http://mcb-m6.bioreg.kyushu-u.ac.jp/M3/20110318/F50606/790/1", 51.7)</f>
        <v>51.7</v>
      </c>
      <c r="E4006" s="2">
        <v>31.28</v>
      </c>
      <c r="F4006" s="2">
        <v>1</v>
      </c>
      <c r="G4006" s="2" t="s">
        <v>9</v>
      </c>
    </row>
    <row r="4007" spans="1:9" x14ac:dyDescent="0.2">
      <c r="A4007" s="2" t="s">
        <v>3250</v>
      </c>
      <c r="B4007" s="2" t="s">
        <v>503</v>
      </c>
      <c r="C4007" s="2">
        <v>539.66250000000002</v>
      </c>
      <c r="D4007" s="2">
        <f>HYPERLINK("http://mcb-m6.bioreg.kyushu-u.ac.jp/M3/20110318/F50618/1975/1", 51.8)</f>
        <v>51.8</v>
      </c>
      <c r="E4007" s="2">
        <v>34.32</v>
      </c>
      <c r="F4007" s="2">
        <v>3</v>
      </c>
      <c r="G4007" s="2" t="s">
        <v>9</v>
      </c>
    </row>
    <row r="4008" spans="1:9" x14ac:dyDescent="0.2">
      <c r="A4008" s="2" t="s">
        <v>3250</v>
      </c>
      <c r="B4008" s="2" t="s">
        <v>30</v>
      </c>
      <c r="C4008" s="2">
        <v>643.61109999999996</v>
      </c>
      <c r="D4008" s="2">
        <f>HYPERLINK("http://mcb-m6.bioreg.kyushu-u.ac.jp/M3/20110318/F50619/2182/1", 51.93)</f>
        <v>51.93</v>
      </c>
      <c r="E4008" s="2">
        <v>37.72</v>
      </c>
      <c r="F4008" s="2">
        <v>3</v>
      </c>
      <c r="G4008" s="2" t="s">
        <v>9</v>
      </c>
      <c r="I4008" s="2" t="s">
        <v>4894</v>
      </c>
    </row>
    <row r="4009" spans="1:9" x14ac:dyDescent="0.2">
      <c r="A4009" s="2" t="s">
        <v>3250</v>
      </c>
      <c r="B4009" s="2" t="s">
        <v>77</v>
      </c>
      <c r="C4009" s="2">
        <v>574.70870000000002</v>
      </c>
      <c r="D4009" s="2">
        <f>HYPERLINK("http://mcb-m6.bioreg.kyushu-u.ac.jp/M3/20110318/F50608/1127/1", 52.03)</f>
        <v>52.03</v>
      </c>
      <c r="E4009" s="2">
        <v>22.37</v>
      </c>
      <c r="F4009" s="2">
        <v>2</v>
      </c>
      <c r="G4009" s="2" t="s">
        <v>9</v>
      </c>
    </row>
    <row r="4010" spans="1:9" x14ac:dyDescent="0.2">
      <c r="A4010" s="2" t="s">
        <v>3250</v>
      </c>
      <c r="B4010" s="2" t="s">
        <v>311</v>
      </c>
      <c r="C4010" s="2">
        <v>598.89760000000001</v>
      </c>
      <c r="D4010" s="2">
        <f>HYPERLINK("http://mcb-m6.bioreg.kyushu-u.ac.jp/M3/20110318/F50602/1241/1", 52.13)</f>
        <v>52.13</v>
      </c>
      <c r="E4010" s="2">
        <v>35.83</v>
      </c>
      <c r="F4010" s="2">
        <v>2</v>
      </c>
      <c r="G4010" s="2" t="s">
        <v>9</v>
      </c>
    </row>
    <row r="4011" spans="1:9" x14ac:dyDescent="0.2">
      <c r="A4011" s="2" t="s">
        <v>3250</v>
      </c>
      <c r="B4011" s="2" t="s">
        <v>102</v>
      </c>
      <c r="C4011" s="2">
        <v>608.59119999999996</v>
      </c>
      <c r="D4011" s="2">
        <f>HYPERLINK("http://mcb-m6.bioreg.kyushu-u.ac.jp/M3/20110318/F50603/1189/1", 52.42)</f>
        <v>52.42</v>
      </c>
      <c r="E4011" s="2">
        <v>38.619999999999997</v>
      </c>
      <c r="F4011" s="2">
        <v>2</v>
      </c>
      <c r="G4011" s="2" t="s">
        <v>9</v>
      </c>
    </row>
    <row r="4012" spans="1:9" x14ac:dyDescent="0.2">
      <c r="A4012" s="2" t="s">
        <v>3250</v>
      </c>
      <c r="B4012" s="2" t="s">
        <v>481</v>
      </c>
      <c r="C4012" s="2">
        <v>709.46559999999999</v>
      </c>
      <c r="D4012" s="2">
        <f>HYPERLINK("http://mcb-m6.bioreg.kyushu-u.ac.jp/M3/20110318/F50606/1351/1", 52.54)</f>
        <v>52.54</v>
      </c>
      <c r="E4012" s="2">
        <v>26.67</v>
      </c>
      <c r="F4012" s="2">
        <v>2</v>
      </c>
      <c r="G4012" s="2" t="s">
        <v>9</v>
      </c>
      <c r="I4012" s="2" t="s">
        <v>4898</v>
      </c>
    </row>
    <row r="4013" spans="1:9" x14ac:dyDescent="0.2">
      <c r="A4013" s="2" t="s">
        <v>3250</v>
      </c>
      <c r="B4013" s="2" t="s">
        <v>467</v>
      </c>
      <c r="C4013" s="2">
        <v>691.95569999999998</v>
      </c>
      <c r="D4013" s="2">
        <f>HYPERLINK("http://mcb-m6.bioreg.kyushu-u.ac.jp/M3/20110318/F50607/1362/1", 52.62)</f>
        <v>52.62</v>
      </c>
      <c r="E4013" s="2">
        <v>27.9</v>
      </c>
      <c r="F4013" s="2">
        <v>2</v>
      </c>
      <c r="G4013" s="2" t="s">
        <v>9</v>
      </c>
    </row>
    <row r="4014" spans="1:9" x14ac:dyDescent="0.2">
      <c r="A4014" s="2" t="s">
        <v>3250</v>
      </c>
      <c r="B4014" s="2" t="s">
        <v>102</v>
      </c>
      <c r="C4014" s="2">
        <v>608.44759999999997</v>
      </c>
      <c r="D4014" s="2">
        <f>HYPERLINK("http://mcb-m6.bioreg.kyushu-u.ac.jp/M3/20110318/F50605/1190/1", 52.68)</f>
        <v>52.68</v>
      </c>
      <c r="E4014" s="2">
        <v>38.11</v>
      </c>
      <c r="F4014" s="2">
        <v>2</v>
      </c>
      <c r="G4014" s="2" t="s">
        <v>9</v>
      </c>
    </row>
    <row r="4015" spans="1:9" x14ac:dyDescent="0.2">
      <c r="A4015" s="2" t="s">
        <v>3250</v>
      </c>
      <c r="B4015" s="2" t="s">
        <v>311</v>
      </c>
      <c r="C4015" s="2">
        <v>599.23910000000001</v>
      </c>
      <c r="D4015" s="2">
        <f>HYPERLINK("http://mcb-m6.bioreg.kyushu-u.ac.jp/M3/20110318/F50605/1172/1", 52.77)</f>
        <v>52.77</v>
      </c>
      <c r="E4015" s="2">
        <v>33.909999999999997</v>
      </c>
      <c r="F4015" s="2">
        <v>2</v>
      </c>
      <c r="G4015" s="2" t="s">
        <v>9</v>
      </c>
    </row>
    <row r="4016" spans="1:9" x14ac:dyDescent="0.2">
      <c r="A4016" s="2" t="s">
        <v>3250</v>
      </c>
      <c r="B4016" s="2" t="s">
        <v>311</v>
      </c>
      <c r="C4016" s="2">
        <v>607.34559999999999</v>
      </c>
      <c r="D4016" s="2">
        <f>HYPERLINK("http://mcb-m6.bioreg.kyushu-u.ac.jp/M3/20110318/F50602/1255/1", 52.83)</f>
        <v>52.83</v>
      </c>
      <c r="E4016" s="2">
        <v>31.77</v>
      </c>
      <c r="F4016" s="2">
        <v>2</v>
      </c>
      <c r="G4016" s="2" t="s">
        <v>9</v>
      </c>
      <c r="H4016" s="2" t="s">
        <v>4908</v>
      </c>
    </row>
    <row r="4017" spans="1:9" x14ac:dyDescent="0.2">
      <c r="A4017" s="2" t="s">
        <v>3250</v>
      </c>
      <c r="B4017" s="2" t="s">
        <v>311</v>
      </c>
      <c r="C4017" s="2">
        <v>606.85969999999998</v>
      </c>
      <c r="D4017" s="2">
        <f>HYPERLINK("http://mcb-m6.bioreg.kyushu-u.ac.jp/M3/20110318/F50610/1442/1", 52.84)</f>
        <v>52.84</v>
      </c>
      <c r="E4017" s="2">
        <v>31.27</v>
      </c>
      <c r="F4017" s="2">
        <v>2</v>
      </c>
      <c r="G4017" s="2" t="s">
        <v>9</v>
      </c>
      <c r="H4017" s="2" t="s">
        <v>4908</v>
      </c>
    </row>
    <row r="4018" spans="1:9" x14ac:dyDescent="0.2">
      <c r="A4018" s="2" t="s">
        <v>3250</v>
      </c>
      <c r="B4018" s="2" t="s">
        <v>77</v>
      </c>
      <c r="C4018" s="2">
        <v>574.73519999999996</v>
      </c>
      <c r="D4018" s="2">
        <f>HYPERLINK("http://mcb-m6.bioreg.kyushu-u.ac.jp/M3/20110318/F50618/1019/1", 52.86)</f>
        <v>52.86</v>
      </c>
      <c r="E4018" s="2">
        <v>21.29</v>
      </c>
      <c r="F4018" s="2">
        <v>2</v>
      </c>
      <c r="G4018" s="2" t="s">
        <v>9</v>
      </c>
    </row>
    <row r="4019" spans="1:9" x14ac:dyDescent="0.2">
      <c r="A4019" s="2" t="s">
        <v>3250</v>
      </c>
      <c r="B4019" s="2" t="s">
        <v>772</v>
      </c>
      <c r="C4019" s="2">
        <v>595.72170000000006</v>
      </c>
      <c r="D4019" s="2">
        <f>HYPERLINK("http://mcb-m6.bioreg.kyushu-u.ac.jp/M3/20110318/F50620/1225/1", 53.11)</f>
        <v>53.11</v>
      </c>
      <c r="E4019" s="2">
        <v>18.5</v>
      </c>
      <c r="F4019" s="2">
        <v>2</v>
      </c>
      <c r="G4019" s="2" t="s">
        <v>9</v>
      </c>
    </row>
    <row r="4020" spans="1:9" x14ac:dyDescent="0.2">
      <c r="A4020" s="2" t="s">
        <v>3250</v>
      </c>
      <c r="B4020" s="2" t="s">
        <v>772</v>
      </c>
      <c r="C4020" s="2">
        <v>595.89469999999994</v>
      </c>
      <c r="D4020" s="2">
        <f>HYPERLINK("http://mcb-m6.bioreg.kyushu-u.ac.jp/M3/20110318/F50606/1051/1", 53.13)</f>
        <v>53.13</v>
      </c>
      <c r="E4020" s="2">
        <v>21.84</v>
      </c>
      <c r="F4020" s="2">
        <v>2</v>
      </c>
      <c r="G4020" s="2" t="s">
        <v>9</v>
      </c>
    </row>
    <row r="4021" spans="1:9" x14ac:dyDescent="0.2">
      <c r="A4021" s="2" t="s">
        <v>3250</v>
      </c>
      <c r="B4021" s="2" t="s">
        <v>77</v>
      </c>
      <c r="C4021" s="2">
        <v>574.99519999999995</v>
      </c>
      <c r="D4021" s="2">
        <f>HYPERLINK("http://mcb-m6.bioreg.kyushu-u.ac.jp/M3/20110318/F50603/1113/1", 53.23)</f>
        <v>53.23</v>
      </c>
      <c r="E4021" s="2">
        <v>24.72</v>
      </c>
      <c r="F4021" s="2">
        <v>2</v>
      </c>
      <c r="G4021" s="2" t="s">
        <v>9</v>
      </c>
    </row>
    <row r="4022" spans="1:9" x14ac:dyDescent="0.2">
      <c r="A4022" s="2" t="s">
        <v>3250</v>
      </c>
      <c r="B4022" s="2" t="s">
        <v>77</v>
      </c>
      <c r="C4022" s="2">
        <v>575.00919999999996</v>
      </c>
      <c r="D4022" s="2">
        <f>HYPERLINK("http://mcb-m6.bioreg.kyushu-u.ac.jp/M3/20110318/F50607/1128/1", 54.34)</f>
        <v>54.34</v>
      </c>
      <c r="E4022" s="2">
        <v>24.15</v>
      </c>
      <c r="F4022" s="2">
        <v>2</v>
      </c>
      <c r="G4022" s="2" t="s">
        <v>9</v>
      </c>
    </row>
    <row r="4023" spans="1:9" x14ac:dyDescent="0.2">
      <c r="A4023" s="2" t="s">
        <v>3250</v>
      </c>
      <c r="B4023" s="2" t="s">
        <v>77</v>
      </c>
      <c r="C4023" s="2">
        <v>574.89319999999998</v>
      </c>
      <c r="D4023" s="2">
        <f>HYPERLINK("http://mcb-m6.bioreg.kyushu-u.ac.jp/M3/20110318/F50602/1202/1", 54.99)</f>
        <v>54.99</v>
      </c>
      <c r="E4023" s="2">
        <v>25.79</v>
      </c>
      <c r="F4023" s="2">
        <v>2</v>
      </c>
      <c r="G4023" s="2" t="s">
        <v>9</v>
      </c>
    </row>
    <row r="4024" spans="1:9" x14ac:dyDescent="0.2">
      <c r="A4024" s="2" t="s">
        <v>3250</v>
      </c>
      <c r="B4024" s="2" t="s">
        <v>311</v>
      </c>
      <c r="C4024" s="2">
        <v>607.15869999999995</v>
      </c>
      <c r="D4024" s="2">
        <f>HYPERLINK("http://mcb-m6.bioreg.kyushu-u.ac.jp/M3/20110318/F50620/1257/1", 55.1)</f>
        <v>55.1</v>
      </c>
      <c r="E4024" s="2">
        <v>27.03</v>
      </c>
      <c r="F4024" s="2">
        <v>2</v>
      </c>
      <c r="G4024" s="2" t="s">
        <v>9</v>
      </c>
      <c r="H4024" s="2" t="s">
        <v>4908</v>
      </c>
    </row>
    <row r="4025" spans="1:9" x14ac:dyDescent="0.2">
      <c r="A4025" s="2" t="s">
        <v>3250</v>
      </c>
      <c r="B4025" s="2" t="s">
        <v>1065</v>
      </c>
      <c r="C4025" s="2">
        <v>716.98910000000001</v>
      </c>
      <c r="D4025" s="2">
        <f>HYPERLINK("http://mcb-m6.bioreg.kyushu-u.ac.jp/M3/20110318/F50601/1508/1", 55.23)</f>
        <v>55.23</v>
      </c>
      <c r="E4025" s="2">
        <v>42.47</v>
      </c>
      <c r="F4025" s="2">
        <v>2</v>
      </c>
      <c r="G4025" s="2" t="s">
        <v>9</v>
      </c>
      <c r="I4025" s="2" t="s">
        <v>4892</v>
      </c>
    </row>
    <row r="4026" spans="1:9" x14ac:dyDescent="0.2">
      <c r="A4026" s="2" t="s">
        <v>3250</v>
      </c>
      <c r="B4026" s="2" t="s">
        <v>311</v>
      </c>
      <c r="C4026" s="2">
        <v>606.73659999999995</v>
      </c>
      <c r="D4026" s="2">
        <f>HYPERLINK("http://mcb-m6.bioreg.kyushu-u.ac.jp/M3/20110318/F50608/1174/1", 55.5)</f>
        <v>55.5</v>
      </c>
      <c r="E4026" s="2">
        <v>23.54</v>
      </c>
      <c r="F4026" s="2">
        <v>2</v>
      </c>
      <c r="G4026" s="2" t="s">
        <v>9</v>
      </c>
      <c r="H4026" s="2" t="s">
        <v>4908</v>
      </c>
    </row>
    <row r="4027" spans="1:9" x14ac:dyDescent="0.2">
      <c r="A4027" s="2" t="s">
        <v>3250</v>
      </c>
      <c r="B4027" s="2" t="s">
        <v>77</v>
      </c>
      <c r="C4027" s="2">
        <v>574.98109999999997</v>
      </c>
      <c r="D4027" s="2">
        <f>HYPERLINK("http://mcb-m6.bioreg.kyushu-u.ac.jp/M3/20110318/F50603/1112/1", 55.77)</f>
        <v>55.77</v>
      </c>
      <c r="E4027" s="2">
        <v>25.73</v>
      </c>
      <c r="F4027" s="2">
        <v>2</v>
      </c>
      <c r="G4027" s="2" t="s">
        <v>9</v>
      </c>
    </row>
    <row r="4028" spans="1:9" x14ac:dyDescent="0.2">
      <c r="A4028" s="2" t="s">
        <v>3250</v>
      </c>
      <c r="B4028" s="2" t="s">
        <v>365</v>
      </c>
      <c r="C4028" s="2">
        <v>849.52670000000001</v>
      </c>
      <c r="D4028" s="2">
        <f>HYPERLINK("http://mcb-m6.bioreg.kyushu-u.ac.jp/M3/20110318/F50603/1785/1", 55.81)</f>
        <v>55.81</v>
      </c>
      <c r="E4028" s="2">
        <v>42.23</v>
      </c>
      <c r="F4028" s="2">
        <v>2</v>
      </c>
      <c r="G4028" s="2" t="s">
        <v>9</v>
      </c>
    </row>
    <row r="4029" spans="1:9" x14ac:dyDescent="0.2">
      <c r="A4029" s="2" t="s">
        <v>3250</v>
      </c>
      <c r="B4029" s="2" t="s">
        <v>90</v>
      </c>
      <c r="C4029" s="2">
        <v>716.64070000000004</v>
      </c>
      <c r="D4029" s="2">
        <f>HYPERLINK("http://mcb-m6.bioreg.kyushu-u.ac.jp/M3/20110318/F50618/1459/1", 56.4)</f>
        <v>56.4</v>
      </c>
      <c r="E4029" s="2">
        <v>32.409999999999997</v>
      </c>
      <c r="F4029" s="2">
        <v>2</v>
      </c>
      <c r="G4029" s="2" t="s">
        <v>9</v>
      </c>
    </row>
    <row r="4030" spans="1:9" x14ac:dyDescent="0.2">
      <c r="A4030" s="2" t="s">
        <v>3250</v>
      </c>
      <c r="B4030" s="2" t="s">
        <v>481</v>
      </c>
      <c r="C4030" s="2">
        <v>709.85360000000003</v>
      </c>
      <c r="D4030" s="2">
        <f>HYPERLINK("http://mcb-m6.bioreg.kyushu-u.ac.jp/M3/20110318/F50610/1604/1", 57.41)</f>
        <v>57.41</v>
      </c>
      <c r="E4030" s="2">
        <v>34.92</v>
      </c>
      <c r="F4030" s="2">
        <v>2</v>
      </c>
      <c r="G4030" s="2" t="s">
        <v>9</v>
      </c>
      <c r="I4030" s="2" t="s">
        <v>4898</v>
      </c>
    </row>
    <row r="4031" spans="1:9" x14ac:dyDescent="0.2">
      <c r="A4031" s="2" t="s">
        <v>3250</v>
      </c>
      <c r="B4031" s="2" t="s">
        <v>1255</v>
      </c>
      <c r="C4031" s="2">
        <v>1273.47</v>
      </c>
      <c r="D4031" s="2">
        <f>HYPERLINK("http://mcb-m6.bioreg.kyushu-u.ac.jp/M3/20110318/F50606/3024/1", 57.66)</f>
        <v>57.66</v>
      </c>
      <c r="E4031" s="2">
        <v>46.99</v>
      </c>
      <c r="F4031" s="2">
        <v>2</v>
      </c>
      <c r="G4031" s="2" t="s">
        <v>9</v>
      </c>
      <c r="I4031" s="2" t="s">
        <v>4906</v>
      </c>
    </row>
    <row r="4032" spans="1:9" x14ac:dyDescent="0.2">
      <c r="A4032" s="2" t="s">
        <v>3250</v>
      </c>
      <c r="B4032" s="2" t="s">
        <v>1581</v>
      </c>
      <c r="C4032" s="2">
        <v>765.39589999999998</v>
      </c>
      <c r="D4032" s="2">
        <f>HYPERLINK("http://mcb-m6.bioreg.kyushu-u.ac.jp/M3/20110318/F50602/2441/1", 57.68)</f>
        <v>57.68</v>
      </c>
      <c r="E4032" s="2">
        <v>35.61</v>
      </c>
      <c r="F4032" s="2">
        <v>3</v>
      </c>
      <c r="G4032" s="2" t="s">
        <v>9</v>
      </c>
      <c r="I4032" s="2" t="s">
        <v>4895</v>
      </c>
    </row>
    <row r="4033" spans="1:9" x14ac:dyDescent="0.2">
      <c r="A4033" s="2" t="s">
        <v>3250</v>
      </c>
      <c r="B4033" s="2" t="s">
        <v>561</v>
      </c>
      <c r="C4033" s="2">
        <v>654.38869999999997</v>
      </c>
      <c r="D4033" s="2">
        <f>HYPERLINK("http://mcb-m6.bioreg.kyushu-u.ac.jp/M3/20110318/F50602/1324/1", 58.04)</f>
        <v>58.04</v>
      </c>
      <c r="E4033" s="2">
        <v>44.86</v>
      </c>
      <c r="F4033" s="2">
        <v>2</v>
      </c>
      <c r="G4033" s="2" t="s">
        <v>9</v>
      </c>
    </row>
    <row r="4034" spans="1:9" x14ac:dyDescent="0.2">
      <c r="A4034" s="2" t="s">
        <v>3250</v>
      </c>
      <c r="B4034" s="2" t="s">
        <v>311</v>
      </c>
      <c r="C4034" s="2">
        <v>1212.2760000000001</v>
      </c>
      <c r="D4034" s="2">
        <f>HYPERLINK("http://mcb-m6.bioreg.kyushu-u.ac.jp/M3/20110318/F50619/1077/1", 58.08)</f>
        <v>58.08</v>
      </c>
      <c r="E4034" s="2">
        <v>35.32</v>
      </c>
      <c r="F4034" s="2">
        <v>1</v>
      </c>
      <c r="G4034" s="2" t="s">
        <v>9</v>
      </c>
      <c r="H4034" s="2" t="s">
        <v>4908</v>
      </c>
    </row>
    <row r="4035" spans="1:9" x14ac:dyDescent="0.2">
      <c r="A4035" s="2" t="s">
        <v>3250</v>
      </c>
      <c r="B4035" s="2" t="s">
        <v>102</v>
      </c>
      <c r="C4035" s="2">
        <v>608.51620000000003</v>
      </c>
      <c r="D4035" s="2">
        <f>HYPERLINK("http://mcb-m6.bioreg.kyushu-u.ac.jp/M3/20110318/F50601/1354/1", 58.23)</f>
        <v>58.23</v>
      </c>
      <c r="E4035" s="2">
        <v>42.68</v>
      </c>
      <c r="F4035" s="2">
        <v>2</v>
      </c>
      <c r="G4035" s="2" t="s">
        <v>9</v>
      </c>
    </row>
    <row r="4036" spans="1:9" x14ac:dyDescent="0.2">
      <c r="A4036" s="2" t="s">
        <v>3250</v>
      </c>
      <c r="B4036" s="2" t="s">
        <v>77</v>
      </c>
      <c r="C4036" s="2">
        <v>574.90520000000004</v>
      </c>
      <c r="D4036" s="2">
        <f>HYPERLINK("http://mcb-m6.bioreg.kyushu-u.ac.jp/M3/20110318/F50601/1322/1", 58.81)</f>
        <v>58.81</v>
      </c>
      <c r="E4036" s="2">
        <v>37.33</v>
      </c>
      <c r="F4036" s="2">
        <v>2</v>
      </c>
      <c r="G4036" s="2" t="s">
        <v>9</v>
      </c>
    </row>
    <row r="4037" spans="1:9" x14ac:dyDescent="0.2">
      <c r="A4037" s="2" t="s">
        <v>3250</v>
      </c>
      <c r="B4037" s="2" t="s">
        <v>365</v>
      </c>
      <c r="C4037" s="2">
        <v>848.79319999999996</v>
      </c>
      <c r="D4037" s="2">
        <f>HYPERLINK("http://mcb-m6.bioreg.kyushu-u.ac.jp/M3/20110318/F50609/1901/1", 59.36)</f>
        <v>59.36</v>
      </c>
      <c r="E4037" s="2">
        <v>37.21</v>
      </c>
      <c r="F4037" s="2">
        <v>2</v>
      </c>
      <c r="G4037" s="2" t="s">
        <v>9</v>
      </c>
    </row>
    <row r="4038" spans="1:9" x14ac:dyDescent="0.2">
      <c r="A4038" s="2" t="s">
        <v>3250</v>
      </c>
      <c r="B4038" s="2" t="s">
        <v>604</v>
      </c>
      <c r="C4038" s="2">
        <v>521.05020000000002</v>
      </c>
      <c r="D4038" s="2">
        <f>HYPERLINK("http://mcb-m6.bioreg.kyushu-u.ac.jp/M3/20110318/F50606/921/1", 59.38)</f>
        <v>59.38</v>
      </c>
      <c r="E4038" s="2">
        <v>12.84</v>
      </c>
      <c r="F4038" s="2">
        <v>2</v>
      </c>
      <c r="G4038" s="2" t="s">
        <v>9</v>
      </c>
    </row>
    <row r="4039" spans="1:9" x14ac:dyDescent="0.2">
      <c r="A4039" s="2" t="s">
        <v>3250</v>
      </c>
      <c r="B4039" s="2" t="s">
        <v>311</v>
      </c>
      <c r="C4039" s="2">
        <v>599.2672</v>
      </c>
      <c r="D4039" s="2">
        <f>HYPERLINK("http://mcb-m6.bioreg.kyushu-u.ac.jp/M3/20110318/F50604/1255/1", 60.08)</f>
        <v>60.08</v>
      </c>
      <c r="E4039" s="2">
        <v>37.68</v>
      </c>
      <c r="F4039" s="2">
        <v>2</v>
      </c>
      <c r="G4039" s="2" t="s">
        <v>9</v>
      </c>
    </row>
    <row r="4040" spans="1:9" x14ac:dyDescent="0.2">
      <c r="A4040" s="2" t="s">
        <v>3250</v>
      </c>
      <c r="B4040" s="2" t="s">
        <v>311</v>
      </c>
      <c r="C4040" s="2">
        <v>606.99159999999995</v>
      </c>
      <c r="D4040" s="2">
        <f>HYPERLINK("http://mcb-m6.bioreg.kyushu-u.ac.jp/M3/20110318/F50604/1266/1", 60.22)</f>
        <v>60.22</v>
      </c>
      <c r="E4040" s="2">
        <v>45.1</v>
      </c>
      <c r="F4040" s="2">
        <v>2</v>
      </c>
      <c r="G4040" s="2" t="s">
        <v>9</v>
      </c>
      <c r="H4040" s="2" t="s">
        <v>4908</v>
      </c>
    </row>
    <row r="4041" spans="1:9" x14ac:dyDescent="0.2">
      <c r="A4041" s="2" t="s">
        <v>3250</v>
      </c>
      <c r="B4041" s="2" t="s">
        <v>311</v>
      </c>
      <c r="C4041" s="2">
        <v>598.92859999999996</v>
      </c>
      <c r="D4041" s="2">
        <f>HYPERLINK("http://mcb-m6.bioreg.kyushu-u.ac.jp/M3/20110318/F50603/1174/1", 60.41)</f>
        <v>60.41</v>
      </c>
      <c r="E4041" s="2">
        <v>41.78</v>
      </c>
      <c r="F4041" s="2">
        <v>2</v>
      </c>
      <c r="G4041" s="2" t="s">
        <v>9</v>
      </c>
    </row>
    <row r="4042" spans="1:9" x14ac:dyDescent="0.2">
      <c r="A4042" s="2" t="s">
        <v>3250</v>
      </c>
      <c r="B4042" s="2" t="s">
        <v>311</v>
      </c>
      <c r="C4042" s="2">
        <v>599.22170000000006</v>
      </c>
      <c r="D4042" s="2">
        <f>HYPERLINK("http://mcb-m6.bioreg.kyushu-u.ac.jp/M3/20110318/F50619/1059/1", 60.62)</f>
        <v>60.62</v>
      </c>
      <c r="E4042" s="2">
        <v>40.97</v>
      </c>
      <c r="F4042" s="2">
        <v>2</v>
      </c>
      <c r="G4042" s="2" t="s">
        <v>9</v>
      </c>
    </row>
    <row r="4043" spans="1:9" x14ac:dyDescent="0.2">
      <c r="A4043" s="2" t="s">
        <v>3250</v>
      </c>
      <c r="B4043" s="2" t="s">
        <v>772</v>
      </c>
      <c r="C4043" s="2">
        <v>1190.3920000000001</v>
      </c>
      <c r="D4043" s="2">
        <f>HYPERLINK("http://mcb-m6.bioreg.kyushu-u.ac.jp/M3/20110318/F50618/1089/1", 60.95)</f>
        <v>60.95</v>
      </c>
      <c r="E4043" s="2">
        <v>30.77</v>
      </c>
      <c r="F4043" s="2">
        <v>1</v>
      </c>
      <c r="G4043" s="2" t="s">
        <v>9</v>
      </c>
    </row>
    <row r="4044" spans="1:9" x14ac:dyDescent="0.2">
      <c r="A4044" s="2" t="s">
        <v>3250</v>
      </c>
      <c r="B4044" s="2" t="s">
        <v>365</v>
      </c>
      <c r="C4044" s="2">
        <v>849.01869999999997</v>
      </c>
      <c r="D4044" s="2">
        <f>HYPERLINK("http://mcb-m6.bioreg.kyushu-u.ac.jp/M3/20110318/F50619/1832/1", 61.38)</f>
        <v>61.38</v>
      </c>
      <c r="E4044" s="2">
        <v>39.24</v>
      </c>
      <c r="F4044" s="2">
        <v>2</v>
      </c>
      <c r="G4044" s="2" t="s">
        <v>9</v>
      </c>
    </row>
    <row r="4045" spans="1:9" x14ac:dyDescent="0.2">
      <c r="A4045" s="2" t="s">
        <v>3250</v>
      </c>
      <c r="B4045" s="2" t="s">
        <v>1888</v>
      </c>
      <c r="C4045" s="2">
        <v>456.88959999999997</v>
      </c>
      <c r="D4045" s="2">
        <f>HYPERLINK("http://mcb-m6.bioreg.kyushu-u.ac.jp/M3/20110318/F50620/852/1", 61.57)</f>
        <v>61.57</v>
      </c>
      <c r="E4045" s="2">
        <v>17.57</v>
      </c>
      <c r="F4045" s="2">
        <v>2</v>
      </c>
      <c r="G4045" s="2" t="s">
        <v>9</v>
      </c>
    </row>
    <row r="4046" spans="1:9" x14ac:dyDescent="0.2">
      <c r="A4046" s="2" t="s">
        <v>3250</v>
      </c>
      <c r="B4046" s="2" t="s">
        <v>77</v>
      </c>
      <c r="C4046" s="2">
        <v>574.86720000000003</v>
      </c>
      <c r="D4046" s="2">
        <f>HYPERLINK("http://mcb-m6.bioreg.kyushu-u.ac.jp/M3/20110318/F50619/1003/1", 61.68)</f>
        <v>61.68</v>
      </c>
      <c r="E4046" s="2">
        <v>38.57</v>
      </c>
      <c r="F4046" s="2">
        <v>2</v>
      </c>
      <c r="G4046" s="2" t="s">
        <v>9</v>
      </c>
    </row>
    <row r="4047" spans="1:9" x14ac:dyDescent="0.2">
      <c r="A4047" s="2" t="s">
        <v>3250</v>
      </c>
      <c r="B4047" s="2" t="s">
        <v>365</v>
      </c>
      <c r="C4047" s="2">
        <v>849.45209999999997</v>
      </c>
      <c r="D4047" s="2">
        <f>HYPERLINK("http://mcb-m6.bioreg.kyushu-u.ac.jp/M3/20110318/F50601/1800/1", 62)</f>
        <v>62</v>
      </c>
      <c r="E4047" s="2">
        <v>48.14</v>
      </c>
      <c r="F4047" s="2">
        <v>2</v>
      </c>
      <c r="G4047" s="2" t="s">
        <v>9</v>
      </c>
    </row>
    <row r="4048" spans="1:9" x14ac:dyDescent="0.2">
      <c r="A4048" s="2" t="s">
        <v>3250</v>
      </c>
      <c r="B4048" s="2" t="s">
        <v>481</v>
      </c>
      <c r="C4048" s="2">
        <v>709.25519999999995</v>
      </c>
      <c r="D4048" s="2">
        <f>HYPERLINK("http://mcb-m6.bioreg.kyushu-u.ac.jp/M3/20110318/F50619/1336/1", 62.31)</f>
        <v>62.31</v>
      </c>
      <c r="E4048" s="2">
        <v>40.9</v>
      </c>
      <c r="F4048" s="2">
        <v>2</v>
      </c>
      <c r="G4048" s="2" t="s">
        <v>9</v>
      </c>
      <c r="I4048" s="2" t="s">
        <v>4898</v>
      </c>
    </row>
    <row r="4049" spans="1:9" x14ac:dyDescent="0.2">
      <c r="A4049" s="2" t="s">
        <v>3250</v>
      </c>
      <c r="B4049" s="2" t="s">
        <v>561</v>
      </c>
      <c r="C4049" s="2">
        <v>654.7577</v>
      </c>
      <c r="D4049" s="2">
        <f>HYPERLINK("http://mcb-m6.bioreg.kyushu-u.ac.jp/M3/20110318/F50605/1276/1", 62.6)</f>
        <v>62.6</v>
      </c>
      <c r="E4049" s="2">
        <v>47.06</v>
      </c>
      <c r="F4049" s="2">
        <v>2</v>
      </c>
      <c r="G4049" s="2" t="s">
        <v>9</v>
      </c>
    </row>
    <row r="4050" spans="1:9" x14ac:dyDescent="0.2">
      <c r="A4050" s="2" t="s">
        <v>3250</v>
      </c>
      <c r="B4050" s="2" t="s">
        <v>888</v>
      </c>
      <c r="C4050" s="2">
        <v>810.83320000000003</v>
      </c>
      <c r="D4050" s="2">
        <f>HYPERLINK("http://mcb-m6.bioreg.kyushu-u.ac.jp/M3/20110318/F50618/3227/1", 62.89)</f>
        <v>62.89</v>
      </c>
      <c r="E4050" s="2">
        <v>47.93</v>
      </c>
      <c r="F4050" s="2">
        <v>3</v>
      </c>
      <c r="G4050" s="2" t="s">
        <v>9</v>
      </c>
      <c r="I4050" s="2" t="s">
        <v>4895</v>
      </c>
    </row>
    <row r="4051" spans="1:9" x14ac:dyDescent="0.2">
      <c r="A4051" s="2" t="s">
        <v>3250</v>
      </c>
      <c r="B4051" s="2" t="s">
        <v>888</v>
      </c>
      <c r="C4051" s="2">
        <v>811.33690000000001</v>
      </c>
      <c r="D4051" s="2">
        <f>HYPERLINK("http://mcb-m6.bioreg.kyushu-u.ac.jp/M3/20110318/F50618/3230/1", 65.09)</f>
        <v>65.09</v>
      </c>
      <c r="E4051" s="2">
        <v>53.2</v>
      </c>
      <c r="F4051" s="2">
        <v>3</v>
      </c>
      <c r="G4051" s="2" t="s">
        <v>9</v>
      </c>
      <c r="I4051" s="2" t="s">
        <v>4895</v>
      </c>
    </row>
    <row r="4052" spans="1:9" x14ac:dyDescent="0.2">
      <c r="A4052" s="2" t="s">
        <v>3250</v>
      </c>
      <c r="B4052" s="2" t="s">
        <v>365</v>
      </c>
      <c r="C4052" s="2">
        <v>849.01869999999997</v>
      </c>
      <c r="D4052" s="2">
        <f>HYPERLINK("http://mcb-m6.bioreg.kyushu-u.ac.jp/M3/20110318/F50618/2125/1", 65.51)</f>
        <v>65.510000000000005</v>
      </c>
      <c r="E4052" s="2">
        <v>46.53</v>
      </c>
      <c r="F4052" s="2">
        <v>2</v>
      </c>
      <c r="G4052" s="2" t="s">
        <v>9</v>
      </c>
    </row>
    <row r="4053" spans="1:9" x14ac:dyDescent="0.2">
      <c r="A4053" s="2" t="s">
        <v>3250</v>
      </c>
      <c r="B4053" s="2" t="s">
        <v>311</v>
      </c>
      <c r="C4053" s="2">
        <v>598.77170000000001</v>
      </c>
      <c r="D4053" s="2">
        <f>HYPERLINK("http://mcb-m6.bioreg.kyushu-u.ac.jp/M3/20110318/F50620/1229/1", 65.77)</f>
        <v>65.77</v>
      </c>
      <c r="E4053" s="2">
        <v>45.45</v>
      </c>
      <c r="F4053" s="2">
        <v>2</v>
      </c>
      <c r="G4053" s="2" t="s">
        <v>9</v>
      </c>
    </row>
    <row r="4054" spans="1:9" x14ac:dyDescent="0.2">
      <c r="A4054" s="2" t="s">
        <v>3250</v>
      </c>
      <c r="B4054" s="2" t="s">
        <v>311</v>
      </c>
      <c r="C4054" s="2">
        <v>598.80719999999997</v>
      </c>
      <c r="D4054" s="2">
        <f>HYPERLINK("http://mcb-m6.bioreg.kyushu-u.ac.jp/M3/20110318/F50621/1192/1", 65.86)</f>
        <v>65.86</v>
      </c>
      <c r="E4054" s="2">
        <v>43.22</v>
      </c>
      <c r="F4054" s="2">
        <v>2</v>
      </c>
      <c r="G4054" s="2" t="s">
        <v>9</v>
      </c>
    </row>
    <row r="4055" spans="1:9" x14ac:dyDescent="0.2">
      <c r="A4055" s="2" t="s">
        <v>3250</v>
      </c>
      <c r="B4055" s="2" t="s">
        <v>481</v>
      </c>
      <c r="C4055" s="2">
        <v>709.48170000000005</v>
      </c>
      <c r="D4055" s="2">
        <f>HYPERLINK("http://mcb-m6.bioreg.kyushu-u.ac.jp/M3/20110318/F50604/1453/1", 66.01)</f>
        <v>66.010000000000005</v>
      </c>
      <c r="E4055" s="2">
        <v>49.01</v>
      </c>
      <c r="F4055" s="2">
        <v>2</v>
      </c>
      <c r="G4055" s="2" t="s">
        <v>9</v>
      </c>
      <c r="I4055" s="2" t="s">
        <v>4898</v>
      </c>
    </row>
    <row r="4056" spans="1:9" x14ac:dyDescent="0.2">
      <c r="A4056" s="2" t="s">
        <v>3250</v>
      </c>
      <c r="B4056" s="2" t="s">
        <v>77</v>
      </c>
      <c r="C4056" s="2">
        <v>575.01419999999996</v>
      </c>
      <c r="D4056" s="2">
        <f>HYPERLINK("http://mcb-m6.bioreg.kyushu-u.ac.jp/M3/20110318/F50605/1116/1", 66.12)</f>
        <v>66.12</v>
      </c>
      <c r="E4056" s="2">
        <v>30.81</v>
      </c>
      <c r="F4056" s="2">
        <v>2</v>
      </c>
      <c r="G4056" s="2" t="s">
        <v>9</v>
      </c>
    </row>
    <row r="4057" spans="1:9" x14ac:dyDescent="0.2">
      <c r="A4057" s="2" t="s">
        <v>3250</v>
      </c>
      <c r="B4057" s="2" t="s">
        <v>1065</v>
      </c>
      <c r="C4057" s="2">
        <v>716.92070000000001</v>
      </c>
      <c r="D4057" s="2">
        <f>HYPERLINK("http://mcb-m6.bioreg.kyushu-u.ac.jp/M3/20110318/F50602/1434/1", 66.67)</f>
        <v>66.67</v>
      </c>
      <c r="E4057" s="2">
        <v>56.54</v>
      </c>
      <c r="F4057" s="2">
        <v>2</v>
      </c>
      <c r="G4057" s="2" t="s">
        <v>9</v>
      </c>
      <c r="I4057" s="2" t="s">
        <v>4892</v>
      </c>
    </row>
    <row r="4058" spans="1:9" x14ac:dyDescent="0.2">
      <c r="A4058" s="2" t="s">
        <v>3250</v>
      </c>
      <c r="B4058" s="2" t="s">
        <v>481</v>
      </c>
      <c r="C4058" s="2">
        <v>709.21469999999999</v>
      </c>
      <c r="D4058" s="2">
        <f>HYPERLINK("http://mcb-m6.bioreg.kyushu-u.ac.jp/M3/20110318/F50620/1482/1", 66.78)</f>
        <v>66.78</v>
      </c>
      <c r="E4058" s="2">
        <v>45.31</v>
      </c>
      <c r="F4058" s="2">
        <v>2</v>
      </c>
      <c r="G4058" s="2" t="s">
        <v>9</v>
      </c>
      <c r="I4058" s="2" t="s">
        <v>4898</v>
      </c>
    </row>
    <row r="4059" spans="1:9" x14ac:dyDescent="0.2">
      <c r="A4059" s="2" t="s">
        <v>3250</v>
      </c>
      <c r="B4059" s="2" t="s">
        <v>365</v>
      </c>
      <c r="C4059" s="2">
        <v>1696.5</v>
      </c>
      <c r="D4059" s="2">
        <f>HYPERLINK("http://mcb-m6.bioreg.kyushu-u.ac.jp/M3/20110318/F50619/1830/1", 66.86)</f>
        <v>66.86</v>
      </c>
      <c r="E4059" s="2">
        <v>44.99</v>
      </c>
      <c r="F4059" s="2">
        <v>1</v>
      </c>
      <c r="G4059" s="2" t="s">
        <v>9</v>
      </c>
    </row>
    <row r="4060" spans="1:9" x14ac:dyDescent="0.2">
      <c r="A4060" s="2" t="s">
        <v>3250</v>
      </c>
      <c r="B4060" s="2" t="s">
        <v>888</v>
      </c>
      <c r="C4060" s="2">
        <v>811.3288</v>
      </c>
      <c r="D4060" s="2">
        <f>HYPERLINK("http://mcb-m6.bioreg.kyushu-u.ac.jp/M3/20110318/F50604/2473/1", 67.39)</f>
        <v>67.39</v>
      </c>
      <c r="E4060" s="2">
        <v>51.43</v>
      </c>
      <c r="F4060" s="2">
        <v>3</v>
      </c>
      <c r="G4060" s="2" t="s">
        <v>9</v>
      </c>
      <c r="I4060" s="2" t="s">
        <v>4895</v>
      </c>
    </row>
    <row r="4061" spans="1:9" x14ac:dyDescent="0.2">
      <c r="A4061" s="2" t="s">
        <v>3250</v>
      </c>
      <c r="B4061" s="2" t="s">
        <v>365</v>
      </c>
      <c r="C4061" s="2">
        <v>848.84670000000006</v>
      </c>
      <c r="D4061" s="2">
        <f>HYPERLINK("http://mcb-m6.bioreg.kyushu-u.ac.jp/M3/20110318/F50618/2123/1", 68.75)</f>
        <v>68.75</v>
      </c>
      <c r="E4061" s="2">
        <v>52.92</v>
      </c>
      <c r="F4061" s="2">
        <v>2</v>
      </c>
      <c r="G4061" s="2" t="s">
        <v>9</v>
      </c>
    </row>
    <row r="4062" spans="1:9" x14ac:dyDescent="0.2">
      <c r="A4062" s="2" t="s">
        <v>3250</v>
      </c>
      <c r="B4062" s="2" t="s">
        <v>175</v>
      </c>
      <c r="C4062" s="2">
        <v>784.22360000000003</v>
      </c>
      <c r="D4062" s="2">
        <f>HYPERLINK("http://mcb-m6.bioreg.kyushu-u.ac.jp/M3/20110318/F50618/1873/1", 68.95)</f>
        <v>68.95</v>
      </c>
      <c r="E4062" s="2">
        <v>46.89</v>
      </c>
      <c r="F4062" s="2">
        <v>2</v>
      </c>
      <c r="G4062" s="2" t="s">
        <v>9</v>
      </c>
      <c r="I4062" s="2" t="s">
        <v>4893</v>
      </c>
    </row>
    <row r="4063" spans="1:9" x14ac:dyDescent="0.2">
      <c r="A4063" s="2" t="s">
        <v>3250</v>
      </c>
      <c r="B4063" s="2" t="s">
        <v>481</v>
      </c>
      <c r="C4063" s="2">
        <v>709.51210000000003</v>
      </c>
      <c r="D4063" s="2">
        <f>HYPERLINK("http://mcb-m6.bioreg.kyushu-u.ac.jp/M3/20110318/F50603/1356/1", 69.01)</f>
        <v>69.010000000000005</v>
      </c>
      <c r="E4063" s="2">
        <v>51.65</v>
      </c>
      <c r="F4063" s="2">
        <v>2</v>
      </c>
      <c r="G4063" s="2" t="s">
        <v>9</v>
      </c>
      <c r="I4063" s="2" t="s">
        <v>4898</v>
      </c>
    </row>
    <row r="4064" spans="1:9" x14ac:dyDescent="0.2">
      <c r="A4064" s="2" t="s">
        <v>3250</v>
      </c>
      <c r="B4064" s="2" t="s">
        <v>481</v>
      </c>
      <c r="C4064" s="2">
        <v>709.36069999999995</v>
      </c>
      <c r="D4064" s="2">
        <f>HYPERLINK("http://mcb-m6.bioreg.kyushu-u.ac.jp/M3/20110318/F50602/1420/1", 69.09)</f>
        <v>69.09</v>
      </c>
      <c r="E4064" s="2">
        <v>46.7</v>
      </c>
      <c r="F4064" s="2">
        <v>2</v>
      </c>
      <c r="G4064" s="2" t="s">
        <v>9</v>
      </c>
      <c r="I4064" s="2" t="s">
        <v>4898</v>
      </c>
    </row>
    <row r="4065" spans="1:9" x14ac:dyDescent="0.2">
      <c r="A4065" s="2" t="s">
        <v>3250</v>
      </c>
      <c r="B4065" s="2" t="s">
        <v>503</v>
      </c>
      <c r="C4065" s="2">
        <v>816.56769999999995</v>
      </c>
      <c r="D4065" s="2">
        <f>HYPERLINK("http://mcb-m6.bioreg.kyushu-u.ac.jp/M3/20110318/F50605/1910/1", 69.24)</f>
        <v>69.239999999999995</v>
      </c>
      <c r="E4065" s="2">
        <v>60.93</v>
      </c>
      <c r="F4065" s="2">
        <v>2</v>
      </c>
      <c r="G4065" s="2" t="s">
        <v>9</v>
      </c>
      <c r="H4065" s="2" t="s">
        <v>4907</v>
      </c>
    </row>
    <row r="4066" spans="1:9" x14ac:dyDescent="0.2">
      <c r="A4066" s="2" t="s">
        <v>3250</v>
      </c>
      <c r="B4066" s="2" t="s">
        <v>1255</v>
      </c>
      <c r="C4066" s="2">
        <v>1273.3489999999999</v>
      </c>
      <c r="D4066" s="2">
        <f>HYPERLINK("http://mcb-m6.bioreg.kyushu-u.ac.jp/M3/20110318/F50620/3125/1", 69.29)</f>
        <v>69.290000000000006</v>
      </c>
      <c r="E4066" s="2">
        <v>55.49</v>
      </c>
      <c r="F4066" s="2">
        <v>2</v>
      </c>
      <c r="G4066" s="2" t="s">
        <v>9</v>
      </c>
      <c r="I4066" s="2" t="s">
        <v>4906</v>
      </c>
    </row>
    <row r="4067" spans="1:9" x14ac:dyDescent="0.2">
      <c r="A4067" s="2" t="s">
        <v>3250</v>
      </c>
      <c r="B4067" s="2" t="s">
        <v>311</v>
      </c>
      <c r="C4067" s="2">
        <v>598.74019999999996</v>
      </c>
      <c r="D4067" s="2">
        <f>HYPERLINK("http://mcb-m6.bioreg.kyushu-u.ac.jp/M3/20110318/F50618/1101/1", 69.51)</f>
        <v>69.510000000000005</v>
      </c>
      <c r="E4067" s="2">
        <v>49.37</v>
      </c>
      <c r="F4067" s="2">
        <v>2</v>
      </c>
      <c r="G4067" s="2" t="s">
        <v>9</v>
      </c>
    </row>
    <row r="4068" spans="1:9" x14ac:dyDescent="0.2">
      <c r="A4068" s="2" t="s">
        <v>3250</v>
      </c>
      <c r="B4068" s="2" t="s">
        <v>365</v>
      </c>
      <c r="C4068" s="2">
        <v>848.98019999999997</v>
      </c>
      <c r="D4068" s="2">
        <f>HYPERLINK("http://mcb-m6.bioreg.kyushu-u.ac.jp/M3/20110318/F50603/1783/1", 69.74)</f>
        <v>69.739999999999995</v>
      </c>
      <c r="E4068" s="2">
        <v>56.69</v>
      </c>
      <c r="F4068" s="2">
        <v>2</v>
      </c>
      <c r="G4068" s="2" t="s">
        <v>9</v>
      </c>
    </row>
    <row r="4069" spans="1:9" x14ac:dyDescent="0.2">
      <c r="A4069" s="2" t="s">
        <v>3250</v>
      </c>
      <c r="B4069" s="2" t="s">
        <v>365</v>
      </c>
      <c r="C4069" s="2">
        <v>1697.0409999999999</v>
      </c>
      <c r="D4069" s="2">
        <f>HYPERLINK("http://mcb-m6.bioreg.kyushu-u.ac.jp/M3/20110318/F50618/2126/1", 69.74)</f>
        <v>69.739999999999995</v>
      </c>
      <c r="E4069" s="2">
        <v>49.66</v>
      </c>
      <c r="F4069" s="2">
        <v>1</v>
      </c>
      <c r="G4069" s="2" t="s">
        <v>9</v>
      </c>
    </row>
    <row r="4070" spans="1:9" x14ac:dyDescent="0.2">
      <c r="A4070" s="2" t="s">
        <v>3250</v>
      </c>
      <c r="B4070" s="2" t="s">
        <v>311</v>
      </c>
      <c r="C4070" s="2">
        <v>598.43020000000001</v>
      </c>
      <c r="D4070" s="2">
        <f>HYPERLINK("http://mcb-m6.bioreg.kyushu-u.ac.jp/M3/20110318/F50619/1056/1", 70.19)</f>
        <v>70.19</v>
      </c>
      <c r="E4070" s="2">
        <v>47.07</v>
      </c>
      <c r="F4070" s="2">
        <v>2</v>
      </c>
      <c r="G4070" s="2" t="s">
        <v>9</v>
      </c>
    </row>
    <row r="4071" spans="1:9" x14ac:dyDescent="0.2">
      <c r="A4071" s="2" t="s">
        <v>3250</v>
      </c>
      <c r="B4071" s="2" t="s">
        <v>102</v>
      </c>
      <c r="C4071" s="2">
        <v>616.40769999999998</v>
      </c>
      <c r="D4071" s="2">
        <f>HYPERLINK("http://mcb-m6.bioreg.kyushu-u.ac.jp/M3/20110318/F50605/1205/1", 70.76)</f>
        <v>70.760000000000005</v>
      </c>
      <c r="E4071" s="2">
        <v>55.3</v>
      </c>
      <c r="F4071" s="2">
        <v>2</v>
      </c>
      <c r="G4071" s="2" t="s">
        <v>9</v>
      </c>
      <c r="H4071" s="2" t="s">
        <v>4900</v>
      </c>
    </row>
    <row r="4072" spans="1:9" x14ac:dyDescent="0.2">
      <c r="A4072" s="2" t="s">
        <v>3250</v>
      </c>
      <c r="B4072" s="2" t="s">
        <v>561</v>
      </c>
      <c r="C4072" s="2">
        <v>662.6567</v>
      </c>
      <c r="D4072" s="2">
        <f>HYPERLINK("http://mcb-m6.bioreg.kyushu-u.ac.jp/M3/20110318/F50601/1415/1", 70.91)</f>
        <v>70.91</v>
      </c>
      <c r="E4072" s="2">
        <v>56.1</v>
      </c>
      <c r="F4072" s="2">
        <v>2</v>
      </c>
      <c r="G4072" s="2" t="s">
        <v>9</v>
      </c>
      <c r="H4072" s="2" t="s">
        <v>4919</v>
      </c>
    </row>
    <row r="4073" spans="1:9" x14ac:dyDescent="0.2">
      <c r="A4073" s="2" t="s">
        <v>3250</v>
      </c>
      <c r="B4073" s="2" t="s">
        <v>481</v>
      </c>
      <c r="C4073" s="2">
        <v>709.38170000000002</v>
      </c>
      <c r="D4073" s="2">
        <f>HYPERLINK("http://mcb-m6.bioreg.kyushu-u.ac.jp/M3/20110318/F50601/1493/1", 71.08)</f>
        <v>71.08</v>
      </c>
      <c r="E4073" s="2">
        <v>52.9</v>
      </c>
      <c r="F4073" s="2">
        <v>2</v>
      </c>
      <c r="G4073" s="2" t="s">
        <v>9</v>
      </c>
      <c r="I4073" s="2" t="s">
        <v>4898</v>
      </c>
    </row>
    <row r="4074" spans="1:9" x14ac:dyDescent="0.2">
      <c r="A4074" s="2" t="s">
        <v>3250</v>
      </c>
      <c r="B4074" s="2" t="s">
        <v>365</v>
      </c>
      <c r="C4074" s="2">
        <v>849.48320000000001</v>
      </c>
      <c r="D4074" s="2">
        <f>HYPERLINK("http://mcb-m6.bioreg.kyushu-u.ac.jp/M3/20110318/F50606/1866/1", 71.15)</f>
        <v>71.150000000000006</v>
      </c>
      <c r="E4074" s="2">
        <v>58.83</v>
      </c>
      <c r="F4074" s="2">
        <v>2</v>
      </c>
      <c r="G4074" s="2" t="s">
        <v>9</v>
      </c>
    </row>
    <row r="4075" spans="1:9" x14ac:dyDescent="0.2">
      <c r="A4075" s="2" t="s">
        <v>3250</v>
      </c>
      <c r="B4075" s="2" t="s">
        <v>888</v>
      </c>
      <c r="C4075" s="2">
        <v>811.36980000000005</v>
      </c>
      <c r="D4075" s="2">
        <f>HYPERLINK("http://mcb-m6.bioreg.kyushu-u.ac.jp/M3/20110318/F50605/2962/1", 71.27)</f>
        <v>71.27</v>
      </c>
      <c r="E4075" s="2">
        <v>56.05</v>
      </c>
      <c r="F4075" s="2">
        <v>3</v>
      </c>
      <c r="G4075" s="2" t="s">
        <v>9</v>
      </c>
      <c r="I4075" s="2" t="s">
        <v>4895</v>
      </c>
    </row>
    <row r="4076" spans="1:9" x14ac:dyDescent="0.2">
      <c r="A4076" s="2" t="s">
        <v>3250</v>
      </c>
      <c r="B4076" s="2" t="s">
        <v>102</v>
      </c>
      <c r="C4076" s="2">
        <v>616.35270000000003</v>
      </c>
      <c r="D4076" s="2">
        <f>HYPERLINK("http://mcb-m6.bioreg.kyushu-u.ac.jp/M3/20110318/F50601/1360/1", 71.56)</f>
        <v>71.56</v>
      </c>
      <c r="E4076" s="2">
        <v>54.66</v>
      </c>
      <c r="F4076" s="2">
        <v>2</v>
      </c>
      <c r="G4076" s="2" t="s">
        <v>9</v>
      </c>
      <c r="H4076" s="2" t="s">
        <v>4900</v>
      </c>
    </row>
    <row r="4077" spans="1:9" x14ac:dyDescent="0.2">
      <c r="A4077" s="2" t="s">
        <v>3250</v>
      </c>
      <c r="B4077" s="2" t="s">
        <v>102</v>
      </c>
      <c r="C4077" s="2">
        <v>616.41560000000004</v>
      </c>
      <c r="D4077" s="2">
        <f>HYPERLINK("http://mcb-m6.bioreg.kyushu-u.ac.jp/M3/20110318/F50603/1202/1", 72.22)</f>
        <v>72.22</v>
      </c>
      <c r="E4077" s="2">
        <v>55.35</v>
      </c>
      <c r="F4077" s="2">
        <v>2</v>
      </c>
      <c r="G4077" s="2" t="s">
        <v>9</v>
      </c>
      <c r="H4077" s="2" t="s">
        <v>4900</v>
      </c>
    </row>
    <row r="4078" spans="1:9" x14ac:dyDescent="0.2">
      <c r="A4078" s="2" t="s">
        <v>3250</v>
      </c>
      <c r="B4078" s="2" t="s">
        <v>175</v>
      </c>
      <c r="C4078" s="2">
        <v>784.27470000000005</v>
      </c>
      <c r="D4078" s="2">
        <f>HYPERLINK("http://mcb-m6.bioreg.kyushu-u.ac.jp/M3/20110318/F50619/1646/1", 72.28)</f>
        <v>72.28</v>
      </c>
      <c r="E4078" s="2">
        <v>51.9</v>
      </c>
      <c r="F4078" s="2">
        <v>2</v>
      </c>
      <c r="G4078" s="2" t="s">
        <v>9</v>
      </c>
      <c r="I4078" s="2" t="s">
        <v>4893</v>
      </c>
    </row>
    <row r="4079" spans="1:9" x14ac:dyDescent="0.2">
      <c r="A4079" s="2" t="s">
        <v>3250</v>
      </c>
      <c r="B4079" s="2" t="s">
        <v>1255</v>
      </c>
      <c r="C4079" s="2">
        <v>1273.999</v>
      </c>
      <c r="D4079" s="2">
        <f>HYPERLINK("http://mcb-m6.bioreg.kyushu-u.ac.jp/M3/20110318/F50606/3028/1", 72.46)</f>
        <v>72.459999999999994</v>
      </c>
      <c r="E4079" s="2">
        <v>56.81</v>
      </c>
      <c r="F4079" s="2">
        <v>2</v>
      </c>
      <c r="G4079" s="2" t="s">
        <v>9</v>
      </c>
      <c r="I4079" s="2" t="s">
        <v>4906</v>
      </c>
    </row>
    <row r="4080" spans="1:9" x14ac:dyDescent="0.2">
      <c r="A4080" s="2" t="s">
        <v>3250</v>
      </c>
      <c r="B4080" s="2" t="s">
        <v>481</v>
      </c>
      <c r="C4080" s="2">
        <v>709.3202</v>
      </c>
      <c r="D4080" s="2">
        <f>HYPERLINK("http://mcb-m6.bioreg.kyushu-u.ac.jp/M3/20110318/F50621/1417/1", 73.23)</f>
        <v>73.23</v>
      </c>
      <c r="E4080" s="2">
        <v>55.11</v>
      </c>
      <c r="F4080" s="2">
        <v>2</v>
      </c>
      <c r="G4080" s="2" t="s">
        <v>9</v>
      </c>
      <c r="I4080" s="2" t="s">
        <v>4898</v>
      </c>
    </row>
    <row r="4081" spans="1:9" x14ac:dyDescent="0.2">
      <c r="A4081" s="2" t="s">
        <v>3250</v>
      </c>
      <c r="B4081" s="2" t="s">
        <v>1065</v>
      </c>
      <c r="C4081" s="2">
        <v>717.0027</v>
      </c>
      <c r="D4081" s="2">
        <f>HYPERLINK("http://mcb-m6.bioreg.kyushu-u.ac.jp/M3/20110318/F50603/1368/1", 73.49)</f>
        <v>73.489999999999995</v>
      </c>
      <c r="E4081" s="2">
        <v>56.74</v>
      </c>
      <c r="F4081" s="2">
        <v>2</v>
      </c>
      <c r="G4081" s="2" t="s">
        <v>9</v>
      </c>
      <c r="I4081" s="2" t="s">
        <v>4892</v>
      </c>
    </row>
    <row r="4082" spans="1:9" x14ac:dyDescent="0.2">
      <c r="A4082" s="2" t="s">
        <v>3250</v>
      </c>
      <c r="B4082" s="2" t="s">
        <v>481</v>
      </c>
      <c r="C4082" s="2">
        <v>708.82420000000002</v>
      </c>
      <c r="D4082" s="2">
        <f>HYPERLINK("http://mcb-m6.bioreg.kyushu-u.ac.jp/M3/20110318/F50605/1425/1", 73.56)</f>
        <v>73.56</v>
      </c>
      <c r="E4082" s="2">
        <v>42.42</v>
      </c>
      <c r="F4082" s="2">
        <v>2</v>
      </c>
      <c r="G4082" s="2" t="s">
        <v>9</v>
      </c>
      <c r="I4082" s="2" t="s">
        <v>4898</v>
      </c>
    </row>
    <row r="4083" spans="1:9" x14ac:dyDescent="0.2">
      <c r="A4083" s="2" t="s">
        <v>3250</v>
      </c>
      <c r="B4083" s="2" t="s">
        <v>503</v>
      </c>
      <c r="C4083" s="2">
        <v>816.57510000000002</v>
      </c>
      <c r="D4083" s="2">
        <f>HYPERLINK("http://mcb-m6.bioreg.kyushu-u.ac.jp/M3/20110318/F50603/1708/1", 73.63)</f>
        <v>73.63</v>
      </c>
      <c r="E4083" s="2">
        <v>57.28</v>
      </c>
      <c r="F4083" s="2">
        <v>2</v>
      </c>
      <c r="G4083" s="2" t="s">
        <v>9</v>
      </c>
      <c r="H4083" s="2" t="s">
        <v>4907</v>
      </c>
    </row>
    <row r="4084" spans="1:9" x14ac:dyDescent="0.2">
      <c r="A4084" s="2" t="s">
        <v>3250</v>
      </c>
      <c r="B4084" s="2" t="s">
        <v>481</v>
      </c>
      <c r="C4084" s="2">
        <v>709.34059999999999</v>
      </c>
      <c r="D4084" s="2">
        <f>HYPERLINK("http://mcb-m6.bioreg.kyushu-u.ac.jp/M3/20110318/F50610/1602/1", 73.79)</f>
        <v>73.790000000000006</v>
      </c>
      <c r="E4084" s="2">
        <v>55.15</v>
      </c>
      <c r="F4084" s="2">
        <v>2</v>
      </c>
      <c r="G4084" s="2" t="s">
        <v>9</v>
      </c>
      <c r="I4084" s="2" t="s">
        <v>4898</v>
      </c>
    </row>
    <row r="4085" spans="1:9" x14ac:dyDescent="0.2">
      <c r="A4085" s="2" t="s">
        <v>3250</v>
      </c>
      <c r="B4085" s="2" t="s">
        <v>561</v>
      </c>
      <c r="C4085" s="2">
        <v>662.86569999999995</v>
      </c>
      <c r="D4085" s="2">
        <f>HYPERLINK("http://mcb-m6.bioreg.kyushu-u.ac.jp/M3/20110318/F50610/1513/1", 73.88)</f>
        <v>73.88</v>
      </c>
      <c r="E4085" s="2">
        <v>49.83</v>
      </c>
      <c r="F4085" s="2">
        <v>2</v>
      </c>
      <c r="G4085" s="2" t="s">
        <v>9</v>
      </c>
      <c r="H4085" s="2" t="s">
        <v>4919</v>
      </c>
    </row>
    <row r="4086" spans="1:9" x14ac:dyDescent="0.2">
      <c r="A4086" s="2" t="s">
        <v>3250</v>
      </c>
      <c r="B4086" s="2" t="s">
        <v>365</v>
      </c>
      <c r="C4086" s="2">
        <v>848.88170000000002</v>
      </c>
      <c r="D4086" s="2">
        <f>HYPERLINK("http://mcb-m6.bioreg.kyushu-u.ac.jp/M3/20110318/F50610/1901/1", 74.96)</f>
        <v>74.959999999999994</v>
      </c>
      <c r="E4086" s="2">
        <v>54.52</v>
      </c>
      <c r="F4086" s="2">
        <v>2</v>
      </c>
      <c r="G4086" s="2" t="s">
        <v>9</v>
      </c>
    </row>
    <row r="4087" spans="1:9" x14ac:dyDescent="0.2">
      <c r="A4087" s="2" t="s">
        <v>3250</v>
      </c>
      <c r="B4087" s="2" t="s">
        <v>1255</v>
      </c>
      <c r="C4087" s="2">
        <v>1273.7950000000001</v>
      </c>
      <c r="D4087" s="2">
        <f>HYPERLINK("http://mcb-m6.bioreg.kyushu-u.ac.jp/M3/20110318/F50621/2730/1", 75.85)</f>
        <v>75.849999999999994</v>
      </c>
      <c r="E4087" s="2">
        <v>69.12</v>
      </c>
      <c r="F4087" s="2">
        <v>2</v>
      </c>
      <c r="G4087" s="2" t="s">
        <v>9</v>
      </c>
      <c r="I4087" s="2" t="s">
        <v>4906</v>
      </c>
    </row>
    <row r="4088" spans="1:9" x14ac:dyDescent="0.2">
      <c r="A4088" s="2" t="s">
        <v>3250</v>
      </c>
      <c r="B4088" s="2" t="s">
        <v>1065</v>
      </c>
      <c r="C4088" s="2">
        <v>717.01369999999997</v>
      </c>
      <c r="D4088" s="2">
        <f>HYPERLINK("http://mcb-m6.bioreg.kyushu-u.ac.jp/M3/20110318/F50604/1471/1", 76.51)</f>
        <v>76.510000000000005</v>
      </c>
      <c r="E4088" s="2">
        <v>66.22</v>
      </c>
      <c r="F4088" s="2">
        <v>2</v>
      </c>
      <c r="G4088" s="2" t="s">
        <v>9</v>
      </c>
      <c r="I4088" s="2" t="s">
        <v>4892</v>
      </c>
    </row>
    <row r="4089" spans="1:9" x14ac:dyDescent="0.2">
      <c r="A4089" s="2" t="s">
        <v>3250</v>
      </c>
      <c r="B4089" s="2" t="s">
        <v>772</v>
      </c>
      <c r="C4089" s="2">
        <v>595.9452</v>
      </c>
      <c r="D4089" s="2">
        <f>HYPERLINK("http://mcb-m6.bioreg.kyushu-u.ac.jp/M3/20110318/F50603/1163/1", 76.53)</f>
        <v>76.53</v>
      </c>
      <c r="E4089" s="2">
        <v>49.79</v>
      </c>
      <c r="F4089" s="2">
        <v>2</v>
      </c>
      <c r="G4089" s="2" t="s">
        <v>9</v>
      </c>
    </row>
    <row r="4090" spans="1:9" x14ac:dyDescent="0.2">
      <c r="A4090" s="2" t="s">
        <v>3250</v>
      </c>
      <c r="B4090" s="2" t="s">
        <v>772</v>
      </c>
      <c r="C4090" s="2">
        <v>595.94069999999999</v>
      </c>
      <c r="D4090" s="2">
        <f>HYPERLINK("http://mcb-m6.bioreg.kyushu-u.ac.jp/M3/20110318/F50618/1092/1", 77.36)</f>
        <v>77.36</v>
      </c>
      <c r="E4090" s="2">
        <v>51.14</v>
      </c>
      <c r="F4090" s="2">
        <v>2</v>
      </c>
      <c r="G4090" s="2" t="s">
        <v>9</v>
      </c>
    </row>
    <row r="4091" spans="1:9" x14ac:dyDescent="0.2">
      <c r="A4091" s="2" t="s">
        <v>3250</v>
      </c>
      <c r="B4091" s="2" t="s">
        <v>365</v>
      </c>
      <c r="C4091" s="2">
        <v>1696.82</v>
      </c>
      <c r="D4091" s="2">
        <f>HYPERLINK("http://mcb-m6.bioreg.kyushu-u.ac.jp/M3/20110318/F50606/1862/1", 78.33)</f>
        <v>78.33</v>
      </c>
      <c r="E4091" s="2">
        <v>57.39</v>
      </c>
      <c r="F4091" s="2">
        <v>1</v>
      </c>
      <c r="G4091" s="2" t="s">
        <v>9</v>
      </c>
    </row>
    <row r="4092" spans="1:9" x14ac:dyDescent="0.2">
      <c r="A4092" s="2" t="s">
        <v>3250</v>
      </c>
      <c r="B4092" s="2" t="s">
        <v>467</v>
      </c>
      <c r="C4092" s="2">
        <v>692.09969999999998</v>
      </c>
      <c r="D4092" s="2">
        <f>HYPERLINK("http://mcb-m6.bioreg.kyushu-u.ac.jp/M3/20110318/F50601/1471/1", 78.81)</f>
        <v>78.81</v>
      </c>
      <c r="E4092" s="2">
        <v>49.54</v>
      </c>
      <c r="F4092" s="2">
        <v>2</v>
      </c>
      <c r="G4092" s="2" t="s">
        <v>9</v>
      </c>
    </row>
    <row r="4093" spans="1:9" x14ac:dyDescent="0.2">
      <c r="A4093" s="2" t="s">
        <v>3250</v>
      </c>
      <c r="B4093" s="2" t="s">
        <v>772</v>
      </c>
      <c r="C4093" s="2">
        <v>595.81709999999998</v>
      </c>
      <c r="D4093" s="2">
        <f>HYPERLINK("http://mcb-m6.bioreg.kyushu-u.ac.jp/M3/20110318/F50602/1236/1", 79.26)</f>
        <v>79.260000000000005</v>
      </c>
      <c r="E4093" s="2">
        <v>49.18</v>
      </c>
      <c r="F4093" s="2">
        <v>2</v>
      </c>
      <c r="G4093" s="2" t="s">
        <v>9</v>
      </c>
    </row>
    <row r="4094" spans="1:9" x14ac:dyDescent="0.2">
      <c r="A4094" s="2" t="s">
        <v>3250</v>
      </c>
      <c r="B4094" s="2" t="s">
        <v>467</v>
      </c>
      <c r="C4094" s="2">
        <v>692.24019999999996</v>
      </c>
      <c r="D4094" s="2">
        <f>HYPERLINK("http://mcb-m6.bioreg.kyushu-u.ac.jp/M3/20110318/F50605/1378/1", 81.63)</f>
        <v>81.63</v>
      </c>
      <c r="E4094" s="2">
        <v>55.59</v>
      </c>
      <c r="F4094" s="2">
        <v>2</v>
      </c>
      <c r="G4094" s="2" t="s">
        <v>9</v>
      </c>
    </row>
    <row r="4095" spans="1:9" x14ac:dyDescent="0.2">
      <c r="A4095" s="2" t="s">
        <v>3250</v>
      </c>
      <c r="B4095" s="2" t="s">
        <v>365</v>
      </c>
      <c r="C4095" s="2">
        <v>848.97220000000004</v>
      </c>
      <c r="D4095" s="2">
        <f>HYPERLINK("http://mcb-m6.bioreg.kyushu-u.ac.jp/M3/20110318/F50604/1834/1", 82.14)</f>
        <v>82.14</v>
      </c>
      <c r="E4095" s="2">
        <v>67.27</v>
      </c>
      <c r="F4095" s="2">
        <v>2</v>
      </c>
      <c r="G4095" s="2" t="s">
        <v>9</v>
      </c>
    </row>
    <row r="4096" spans="1:9" x14ac:dyDescent="0.2">
      <c r="A4096" s="2" t="s">
        <v>3250</v>
      </c>
      <c r="B4096" s="2" t="s">
        <v>772</v>
      </c>
      <c r="C4096" s="2">
        <v>596.30470000000003</v>
      </c>
      <c r="D4096" s="2">
        <f>HYPERLINK("http://mcb-m6.bioreg.kyushu-u.ac.jp/M3/20110318/F50601/1342/1", 82.92)</f>
        <v>82.92</v>
      </c>
      <c r="E4096" s="2">
        <v>57.78</v>
      </c>
      <c r="F4096" s="2">
        <v>2</v>
      </c>
      <c r="G4096" s="2" t="s">
        <v>9</v>
      </c>
    </row>
    <row r="4097" spans="1:9" x14ac:dyDescent="0.2">
      <c r="A4097" s="2" t="s">
        <v>3250</v>
      </c>
      <c r="B4097" s="2" t="s">
        <v>1255</v>
      </c>
      <c r="C4097" s="2">
        <v>1273.7370000000001</v>
      </c>
      <c r="D4097" s="2">
        <f>HYPERLINK("http://mcb-m6.bioreg.kyushu-u.ac.jp/M3/20110318/F50619/2952/1", 83.72)</f>
        <v>83.72</v>
      </c>
      <c r="E4097" s="2">
        <v>74.02</v>
      </c>
      <c r="F4097" s="2">
        <v>2</v>
      </c>
      <c r="G4097" s="2" t="s">
        <v>9</v>
      </c>
      <c r="I4097" s="2" t="s">
        <v>4906</v>
      </c>
    </row>
    <row r="4098" spans="1:9" x14ac:dyDescent="0.2">
      <c r="A4098" s="2" t="s">
        <v>3250</v>
      </c>
      <c r="B4098" s="2" t="s">
        <v>772</v>
      </c>
      <c r="C4098" s="2">
        <v>595.77009999999996</v>
      </c>
      <c r="D4098" s="2">
        <f>HYPERLINK("http://mcb-m6.bioreg.kyushu-u.ac.jp/M3/20110318/F50601/1339/1", 84.18)</f>
        <v>84.18</v>
      </c>
      <c r="E4098" s="2">
        <v>48.32</v>
      </c>
      <c r="F4098" s="2">
        <v>2</v>
      </c>
      <c r="G4098" s="2" t="s">
        <v>9</v>
      </c>
    </row>
    <row r="4099" spans="1:9" x14ac:dyDescent="0.2">
      <c r="A4099" s="2" t="s">
        <v>3250</v>
      </c>
      <c r="B4099" s="2" t="s">
        <v>1255</v>
      </c>
      <c r="C4099" s="2">
        <v>1273.232</v>
      </c>
      <c r="D4099" s="2">
        <f>HYPERLINK("http://mcb-m6.bioreg.kyushu-u.ac.jp/M3/20110318/F50619/2949/1", 84.53)</f>
        <v>84.53</v>
      </c>
      <c r="E4099" s="2">
        <v>69.59</v>
      </c>
      <c r="F4099" s="2">
        <v>2</v>
      </c>
      <c r="G4099" s="2" t="s">
        <v>9</v>
      </c>
      <c r="I4099" s="2" t="s">
        <v>4906</v>
      </c>
    </row>
    <row r="4100" spans="1:9" x14ac:dyDescent="0.2">
      <c r="A4100" s="2" t="s">
        <v>3250</v>
      </c>
      <c r="B4100" s="2" t="s">
        <v>365</v>
      </c>
      <c r="C4100" s="2">
        <v>848.89620000000002</v>
      </c>
      <c r="D4100" s="2">
        <f>HYPERLINK("http://mcb-m6.bioreg.kyushu-u.ac.jp/M3/20110318/F50601/1797/1", 85.64)</f>
        <v>85.64</v>
      </c>
      <c r="E4100" s="2">
        <v>66.97</v>
      </c>
      <c r="F4100" s="2">
        <v>2</v>
      </c>
      <c r="G4100" s="2" t="s">
        <v>9</v>
      </c>
    </row>
    <row r="4101" spans="1:9" x14ac:dyDescent="0.2">
      <c r="A4101" s="2" t="s">
        <v>3250</v>
      </c>
      <c r="B4101" s="2" t="s">
        <v>467</v>
      </c>
      <c r="C4101" s="2">
        <v>692.07709999999997</v>
      </c>
      <c r="D4101" s="2">
        <f>HYPERLINK("http://mcb-m6.bioreg.kyushu-u.ac.jp/M3/20110318/F50604/1424/1", 86.09)</f>
        <v>86.09</v>
      </c>
      <c r="E4101" s="2">
        <v>56.75</v>
      </c>
      <c r="F4101" s="2">
        <v>2</v>
      </c>
      <c r="G4101" s="2" t="s">
        <v>9</v>
      </c>
    </row>
    <row r="4102" spans="1:9" x14ac:dyDescent="0.2">
      <c r="A4102" s="2" t="s">
        <v>3250</v>
      </c>
      <c r="B4102" s="2" t="s">
        <v>772</v>
      </c>
      <c r="C4102" s="2">
        <v>595.97670000000005</v>
      </c>
      <c r="D4102" s="2">
        <f>HYPERLINK("http://mcb-m6.bioreg.kyushu-u.ac.jp/M3/20110318/F50604/1249/1", 86.36)</f>
        <v>86.36</v>
      </c>
      <c r="E4102" s="2">
        <v>60.53</v>
      </c>
      <c r="F4102" s="2">
        <v>2</v>
      </c>
      <c r="G4102" s="2" t="s">
        <v>9</v>
      </c>
    </row>
    <row r="4103" spans="1:9" x14ac:dyDescent="0.2">
      <c r="A4103" s="2" t="s">
        <v>3250</v>
      </c>
      <c r="B4103" s="2" t="s">
        <v>772</v>
      </c>
      <c r="C4103" s="2">
        <v>595.9117</v>
      </c>
      <c r="D4103" s="2">
        <f>HYPERLINK("http://mcb-m6.bioreg.kyushu-u.ac.jp/M3/20110318/F50605/1164/1", 86.68)</f>
        <v>86.68</v>
      </c>
      <c r="E4103" s="2">
        <v>59.61</v>
      </c>
      <c r="F4103" s="2">
        <v>2</v>
      </c>
      <c r="G4103" s="2" t="s">
        <v>9</v>
      </c>
    </row>
    <row r="4104" spans="1:9" x14ac:dyDescent="0.2">
      <c r="A4104" s="2" t="s">
        <v>3250</v>
      </c>
      <c r="B4104" s="2" t="s">
        <v>503</v>
      </c>
      <c r="C4104" s="2">
        <v>816.24369999999999</v>
      </c>
      <c r="D4104" s="2">
        <f>HYPERLINK("http://mcb-m6.bioreg.kyushu-u.ac.jp/M3/20110318/F50618/1996/1", 86.81)</f>
        <v>86.81</v>
      </c>
      <c r="E4104" s="2">
        <v>67.14</v>
      </c>
      <c r="F4104" s="2">
        <v>2</v>
      </c>
      <c r="G4104" s="2" t="s">
        <v>9</v>
      </c>
      <c r="H4104" s="2" t="s">
        <v>4907</v>
      </c>
    </row>
    <row r="4105" spans="1:9" x14ac:dyDescent="0.2">
      <c r="A4105" s="2" t="s">
        <v>3250</v>
      </c>
      <c r="B4105" s="2" t="s">
        <v>503</v>
      </c>
      <c r="C4105" s="2">
        <v>808.3202</v>
      </c>
      <c r="D4105" s="2">
        <f>HYPERLINK("http://mcb-m6.bioreg.kyushu-u.ac.jp/M3/20110318/F50618/1974/1", 86.89)</f>
        <v>86.89</v>
      </c>
      <c r="E4105" s="2">
        <v>67.16</v>
      </c>
      <c r="F4105" s="2">
        <v>2</v>
      </c>
      <c r="G4105" s="2" t="s">
        <v>9</v>
      </c>
    </row>
    <row r="4106" spans="1:9" x14ac:dyDescent="0.2">
      <c r="A4106" s="2" t="s">
        <v>3250</v>
      </c>
      <c r="B4106" s="2" t="s">
        <v>365</v>
      </c>
      <c r="C4106" s="2">
        <v>848.84619999999995</v>
      </c>
      <c r="D4106" s="2">
        <f>HYPERLINK("http://mcb-m6.bioreg.kyushu-u.ac.jp/M3/20110318/F50621/1851/1", 88.36)</f>
        <v>88.36</v>
      </c>
      <c r="E4106" s="2">
        <v>66.42</v>
      </c>
      <c r="F4106" s="2">
        <v>2</v>
      </c>
      <c r="G4106" s="2" t="s">
        <v>9</v>
      </c>
    </row>
    <row r="4107" spans="1:9" x14ac:dyDescent="0.2">
      <c r="A4107" s="2" t="s">
        <v>3250</v>
      </c>
      <c r="B4107" s="2" t="s">
        <v>772</v>
      </c>
      <c r="C4107" s="2">
        <v>595.98770000000002</v>
      </c>
      <c r="D4107" s="2">
        <f>HYPERLINK("http://mcb-m6.bioreg.kyushu-u.ac.jp/M3/20110318/F50607/1170/1", 91.06)</f>
        <v>91.06</v>
      </c>
      <c r="E4107" s="2">
        <v>55.71</v>
      </c>
      <c r="F4107" s="2">
        <v>2</v>
      </c>
      <c r="G4107" s="2" t="s">
        <v>9</v>
      </c>
    </row>
    <row r="4108" spans="1:9" x14ac:dyDescent="0.2">
      <c r="A4108" s="2" t="s">
        <v>3250</v>
      </c>
      <c r="B4108" s="2" t="s">
        <v>481</v>
      </c>
      <c r="C4108" s="2">
        <v>709.17269999999996</v>
      </c>
      <c r="D4108" s="2">
        <f>HYPERLINK("http://mcb-m6.bioreg.kyushu-u.ac.jp/M3/20110318/F50608/1388/1", 91.34)</f>
        <v>91.34</v>
      </c>
      <c r="E4108" s="2">
        <v>70.319999999999993</v>
      </c>
      <c r="F4108" s="2">
        <v>2</v>
      </c>
      <c r="G4108" s="2" t="s">
        <v>9</v>
      </c>
      <c r="I4108" s="2" t="s">
        <v>4898</v>
      </c>
    </row>
    <row r="4109" spans="1:9" x14ac:dyDescent="0.2">
      <c r="A4109" s="2" t="s">
        <v>3250</v>
      </c>
      <c r="B4109" s="2" t="s">
        <v>561</v>
      </c>
      <c r="C4109" s="2">
        <v>662.31410000000005</v>
      </c>
      <c r="D4109" s="2">
        <f>HYPERLINK("http://mcb-m6.bioreg.kyushu-u.ac.jp/M3/20110318/F50618/1291/1", 91.48)</f>
        <v>91.48</v>
      </c>
      <c r="E4109" s="2">
        <v>67.95</v>
      </c>
      <c r="F4109" s="2">
        <v>2</v>
      </c>
      <c r="G4109" s="2" t="s">
        <v>9</v>
      </c>
      <c r="H4109" s="2" t="s">
        <v>4919</v>
      </c>
    </row>
    <row r="4110" spans="1:9" x14ac:dyDescent="0.2">
      <c r="A4110" s="2" t="s">
        <v>3250</v>
      </c>
      <c r="B4110" s="2" t="s">
        <v>356</v>
      </c>
      <c r="C4110" s="2">
        <v>816.27170000000001</v>
      </c>
      <c r="D4110" s="2">
        <f>HYPERLINK("http://mcb-m6.bioreg.kyushu-u.ac.jp/M3/20110318/F50603/1707/1", 92.24)</f>
        <v>92.24</v>
      </c>
      <c r="E4110" s="2">
        <v>76.010000000000005</v>
      </c>
      <c r="F4110" s="2">
        <v>2</v>
      </c>
      <c r="G4110" s="2" t="s">
        <v>9</v>
      </c>
    </row>
    <row r="4111" spans="1:9" x14ac:dyDescent="0.2">
      <c r="A4111" s="2" t="s">
        <v>3250</v>
      </c>
      <c r="B4111" s="2" t="s">
        <v>90</v>
      </c>
      <c r="C4111" s="2">
        <v>717.17110000000002</v>
      </c>
      <c r="D4111" s="2">
        <f>HYPERLINK("http://mcb-m6.bioreg.kyushu-u.ac.jp/M3/20110318/F50618/1463/1", 92.29)</f>
        <v>92.29</v>
      </c>
      <c r="E4111" s="2">
        <v>62.76</v>
      </c>
      <c r="F4111" s="2">
        <v>2</v>
      </c>
      <c r="G4111" s="2" t="s">
        <v>9</v>
      </c>
    </row>
    <row r="4112" spans="1:9" x14ac:dyDescent="0.2">
      <c r="A4112" s="2" t="s">
        <v>3250</v>
      </c>
      <c r="B4112" s="2" t="s">
        <v>356</v>
      </c>
      <c r="C4112" s="2">
        <v>816.44920000000002</v>
      </c>
      <c r="D4112" s="2">
        <f>HYPERLINK("http://mcb-m6.bioreg.kyushu-u.ac.jp/M3/20110318/F50610/1859/1", 93.24)</f>
        <v>93.24</v>
      </c>
      <c r="E4112" s="2">
        <v>76.430000000000007</v>
      </c>
      <c r="F4112" s="2">
        <v>2</v>
      </c>
      <c r="G4112" s="2" t="s">
        <v>9</v>
      </c>
    </row>
    <row r="4113" spans="1:9" x14ac:dyDescent="0.2">
      <c r="A4113" s="2" t="s">
        <v>3250</v>
      </c>
      <c r="B4113" s="2" t="s">
        <v>543</v>
      </c>
      <c r="C4113" s="2">
        <v>618.63019999999995</v>
      </c>
      <c r="D4113" s="2">
        <f>HYPERLINK("http://mcb-m6.bioreg.kyushu-u.ac.jp/M3/20110318/F50618/2416/1", 93.63)</f>
        <v>93.63</v>
      </c>
      <c r="E4113" s="2">
        <v>69.849999999999994</v>
      </c>
      <c r="F4113" s="2">
        <v>3</v>
      </c>
      <c r="G4113" s="2" t="s">
        <v>9</v>
      </c>
    </row>
    <row r="4114" spans="1:9" x14ac:dyDescent="0.2">
      <c r="A4114" s="2" t="s">
        <v>3250</v>
      </c>
      <c r="B4114" s="2" t="s">
        <v>90</v>
      </c>
      <c r="C4114" s="2">
        <v>717.14760000000001</v>
      </c>
      <c r="D4114" s="2">
        <f>HYPERLINK("http://mcb-m6.bioreg.kyushu-u.ac.jp/M3/20110318/F50603/1370/1", 94.09)</f>
        <v>94.09</v>
      </c>
      <c r="E4114" s="2">
        <v>72.08</v>
      </c>
      <c r="F4114" s="2">
        <v>2</v>
      </c>
      <c r="G4114" s="2" t="s">
        <v>9</v>
      </c>
    </row>
    <row r="4115" spans="1:9" x14ac:dyDescent="0.2">
      <c r="A4115" s="2" t="s">
        <v>3250</v>
      </c>
      <c r="B4115" s="2" t="s">
        <v>1665</v>
      </c>
      <c r="C4115" s="2">
        <v>1147.663</v>
      </c>
      <c r="D4115" s="2">
        <f>HYPERLINK("http://mcb-m6.bioreg.kyushu-u.ac.jp/M3/20110318/F50603/2357/1", 96.88)</f>
        <v>96.88</v>
      </c>
      <c r="E4115" s="2">
        <v>80.94</v>
      </c>
      <c r="F4115" s="2">
        <v>2</v>
      </c>
      <c r="G4115" s="2" t="s">
        <v>9</v>
      </c>
    </row>
    <row r="4116" spans="1:9" x14ac:dyDescent="0.2">
      <c r="A4116" s="2" t="s">
        <v>3250</v>
      </c>
      <c r="B4116" s="2" t="s">
        <v>1255</v>
      </c>
      <c r="C4116" s="2">
        <v>1273.694</v>
      </c>
      <c r="D4116" s="2">
        <f>HYPERLINK("http://mcb-m6.bioreg.kyushu-u.ac.jp/M3/20110318/F50618/3320/1", 100.63)</f>
        <v>100.63</v>
      </c>
      <c r="E4116" s="2">
        <v>91.58</v>
      </c>
      <c r="F4116" s="2">
        <v>2</v>
      </c>
      <c r="G4116" s="2" t="s">
        <v>9</v>
      </c>
      <c r="I4116" s="2" t="s">
        <v>4906</v>
      </c>
    </row>
    <row r="4117" spans="1:9" x14ac:dyDescent="0.2">
      <c r="A4117" s="2" t="s">
        <v>3250</v>
      </c>
      <c r="B4117" s="2" t="s">
        <v>1255</v>
      </c>
      <c r="C4117" s="2">
        <v>1273.8499999999999</v>
      </c>
      <c r="D4117" s="2">
        <f>HYPERLINK("http://mcb-m6.bioreg.kyushu-u.ac.jp/M3/20110318/F50620/3126/1", 100.76)</f>
        <v>100.76</v>
      </c>
      <c r="E4117" s="2">
        <v>89.45</v>
      </c>
      <c r="F4117" s="2">
        <v>2</v>
      </c>
      <c r="G4117" s="2" t="s">
        <v>9</v>
      </c>
      <c r="I4117" s="2" t="s">
        <v>4906</v>
      </c>
    </row>
    <row r="4118" spans="1:9" x14ac:dyDescent="0.2">
      <c r="A4118" s="2" t="s">
        <v>3250</v>
      </c>
      <c r="B4118" s="2" t="s">
        <v>90</v>
      </c>
      <c r="C4118" s="2">
        <v>716.94069999999999</v>
      </c>
      <c r="D4118" s="2">
        <f>HYPERLINK("http://mcb-m6.bioreg.kyushu-u.ac.jp/M3/20110318/F50604/1470/1", 106.26)</f>
        <v>106.26</v>
      </c>
      <c r="E4118" s="2">
        <v>79.650000000000006</v>
      </c>
      <c r="F4118" s="2">
        <v>2</v>
      </c>
      <c r="G4118" s="2" t="s">
        <v>9</v>
      </c>
    </row>
    <row r="4119" spans="1:9" x14ac:dyDescent="0.2">
      <c r="A4119" s="2" t="s">
        <v>3250</v>
      </c>
      <c r="B4119" s="2" t="s">
        <v>356</v>
      </c>
      <c r="C4119" s="2">
        <v>816.02260000000001</v>
      </c>
      <c r="D4119" s="2">
        <f>HYPERLINK("http://mcb-m6.bioreg.kyushu-u.ac.jp/M3/20110318/F50604/1760/1", 108.06)</f>
        <v>108.06</v>
      </c>
      <c r="E4119" s="2">
        <v>87.29</v>
      </c>
      <c r="F4119" s="2">
        <v>2</v>
      </c>
      <c r="G4119" s="2" t="s">
        <v>9</v>
      </c>
    </row>
    <row r="4120" spans="1:9" x14ac:dyDescent="0.2">
      <c r="A4120" s="2" t="s">
        <v>3250</v>
      </c>
      <c r="B4120" s="2" t="s">
        <v>356</v>
      </c>
      <c r="C4120" s="2">
        <v>816.32320000000004</v>
      </c>
      <c r="D4120" s="2">
        <f>HYPERLINK("http://mcb-m6.bioreg.kyushu-u.ac.jp/M3/20110318/F50602/1731/1", 123.14)</f>
        <v>123.14</v>
      </c>
      <c r="E4120" s="2">
        <v>104.96</v>
      </c>
      <c r="F4120" s="2">
        <v>2</v>
      </c>
      <c r="G4120" s="2" t="s">
        <v>9</v>
      </c>
    </row>
    <row r="4121" spans="1:9" x14ac:dyDescent="0.2">
      <c r="A4121" s="2" t="s">
        <v>3250</v>
      </c>
      <c r="B4121" s="2" t="s">
        <v>1665</v>
      </c>
      <c r="C4121" s="2">
        <v>1147.6010000000001</v>
      </c>
      <c r="D4121" s="2">
        <f>HYPERLINK("http://mcb-m6.bioreg.kyushu-u.ac.jp/M3/20110318/F50602/2442/1", 124.46)</f>
        <v>124.46</v>
      </c>
      <c r="E4121" s="2">
        <v>110.01</v>
      </c>
      <c r="F4121" s="2">
        <v>2</v>
      </c>
      <c r="G4121" s="2" t="s">
        <v>9</v>
      </c>
    </row>
    <row r="4122" spans="1:9" x14ac:dyDescent="0.2">
      <c r="A4122" s="2" t="s">
        <v>3250</v>
      </c>
      <c r="B4122" s="2" t="s">
        <v>311</v>
      </c>
      <c r="C4122" s="2">
        <v>606.65869999999995</v>
      </c>
      <c r="D4122" s="2">
        <f>HYPERLINK("http://mcb-m6.bioreg.kyushu-u.ac.jp/M3/20110318/F50617/1210/1", 35.03)</f>
        <v>35.03</v>
      </c>
      <c r="E4122" s="2">
        <v>15.87</v>
      </c>
      <c r="F4122" s="2">
        <v>2</v>
      </c>
      <c r="G4122" s="2" t="s">
        <v>10</v>
      </c>
      <c r="H4122" s="2" t="s">
        <v>4908</v>
      </c>
    </row>
    <row r="4123" spans="1:9" x14ac:dyDescent="0.2">
      <c r="A4123" s="2" t="s">
        <v>3250</v>
      </c>
      <c r="B4123" s="2" t="s">
        <v>604</v>
      </c>
      <c r="C4123" s="2">
        <v>520.95719999999994</v>
      </c>
      <c r="D4123" s="2">
        <f>HYPERLINK("http://mcb-m6.bioreg.kyushu-u.ac.jp/M3/20110318/F50599/1237/1", 36.61)</f>
        <v>36.61</v>
      </c>
      <c r="E4123" s="2">
        <v>9.44</v>
      </c>
      <c r="F4123" s="2">
        <v>2</v>
      </c>
      <c r="G4123" s="2" t="s">
        <v>10</v>
      </c>
    </row>
    <row r="4124" spans="1:9" x14ac:dyDescent="0.2">
      <c r="A4124" s="2" t="s">
        <v>3250</v>
      </c>
      <c r="B4124" s="2" t="s">
        <v>834</v>
      </c>
      <c r="C4124" s="2">
        <v>622.05219999999997</v>
      </c>
      <c r="D4124" s="2">
        <f>HYPERLINK("http://mcb-m6.bioreg.kyushu-u.ac.jp/M3/20110318/F50613/1240/1", 36.61)</f>
        <v>36.61</v>
      </c>
      <c r="E4124" s="2">
        <v>20.23</v>
      </c>
      <c r="F4124" s="2">
        <v>2</v>
      </c>
      <c r="G4124" s="2" t="s">
        <v>10</v>
      </c>
    </row>
    <row r="4125" spans="1:9" x14ac:dyDescent="0.2">
      <c r="A4125" s="2" t="s">
        <v>3250</v>
      </c>
      <c r="B4125" s="2" t="s">
        <v>1875</v>
      </c>
      <c r="C4125" s="2">
        <v>788.91769999999997</v>
      </c>
      <c r="D4125" s="2">
        <f>HYPERLINK("http://mcb-m6.bioreg.kyushu-u.ac.jp/M3/20110318/F50597/1835/1", 37.18)</f>
        <v>37.18</v>
      </c>
      <c r="E4125" s="2">
        <v>25.85</v>
      </c>
      <c r="F4125" s="2">
        <v>2</v>
      </c>
      <c r="G4125" s="2" t="s">
        <v>10</v>
      </c>
      <c r="H4125" s="2" t="s">
        <v>4953</v>
      </c>
    </row>
    <row r="4126" spans="1:9" x14ac:dyDescent="0.2">
      <c r="A4126" s="2" t="s">
        <v>3250</v>
      </c>
      <c r="B4126" s="2" t="s">
        <v>311</v>
      </c>
      <c r="C4126" s="2">
        <v>598.81920000000002</v>
      </c>
      <c r="D4126" s="2">
        <f>HYPERLINK("http://mcb-m6.bioreg.kyushu-u.ac.jp/M3/20110318/F50611/1222/1", 37.55)</f>
        <v>37.549999999999997</v>
      </c>
      <c r="E4126" s="2">
        <v>18.059999999999999</v>
      </c>
      <c r="F4126" s="2">
        <v>2</v>
      </c>
      <c r="G4126" s="2" t="s">
        <v>10</v>
      </c>
    </row>
    <row r="4127" spans="1:9" x14ac:dyDescent="0.2">
      <c r="A4127" s="2" t="s">
        <v>3250</v>
      </c>
      <c r="B4127" s="2" t="s">
        <v>604</v>
      </c>
      <c r="C4127" s="2">
        <v>521.02970000000005</v>
      </c>
      <c r="D4127" s="2">
        <f>HYPERLINK("http://mcb-m6.bioreg.kyushu-u.ac.jp/M3/20110318/F50600/1110/1", 37.67)</f>
        <v>37.67</v>
      </c>
      <c r="E4127" s="2">
        <v>9.44</v>
      </c>
      <c r="F4127" s="2">
        <v>2</v>
      </c>
      <c r="G4127" s="2" t="s">
        <v>10</v>
      </c>
    </row>
    <row r="4128" spans="1:9" x14ac:dyDescent="0.2">
      <c r="A4128" s="2" t="s">
        <v>3250</v>
      </c>
      <c r="B4128" s="2" t="s">
        <v>561</v>
      </c>
      <c r="C4128" s="2">
        <v>662.27120000000002</v>
      </c>
      <c r="D4128" s="2">
        <f>HYPERLINK("http://mcb-m6.bioreg.kyushu-u.ac.jp/M3/20110318/F50595/1527/1", 38.23)</f>
        <v>38.229999999999997</v>
      </c>
      <c r="E4128" s="2">
        <v>13.6</v>
      </c>
      <c r="F4128" s="2">
        <v>2</v>
      </c>
      <c r="G4128" s="2" t="s">
        <v>10</v>
      </c>
      <c r="H4128" s="2" t="s">
        <v>4919</v>
      </c>
    </row>
    <row r="4129" spans="1:9" x14ac:dyDescent="0.2">
      <c r="A4129" s="2" t="s">
        <v>3250</v>
      </c>
      <c r="B4129" s="2" t="s">
        <v>1665</v>
      </c>
      <c r="C4129" s="2">
        <v>1147.432</v>
      </c>
      <c r="D4129" s="2">
        <f>HYPERLINK("http://mcb-m6.bioreg.kyushu-u.ac.jp/M3/20110318/F50622/2703/1", 38.31)</f>
        <v>38.31</v>
      </c>
      <c r="E4129" s="2">
        <v>33.07</v>
      </c>
      <c r="F4129" s="2">
        <v>2</v>
      </c>
      <c r="G4129" s="2" t="s">
        <v>10</v>
      </c>
    </row>
    <row r="4130" spans="1:9" x14ac:dyDescent="0.2">
      <c r="A4130" s="2" t="s">
        <v>3250</v>
      </c>
      <c r="B4130" s="2" t="s">
        <v>1255</v>
      </c>
      <c r="C4130" s="2">
        <v>1273.4380000000001</v>
      </c>
      <c r="D4130" s="2">
        <f>HYPERLINK("http://mcb-m6.bioreg.kyushu-u.ac.jp/M3/20110318/F50615/2971/1", 39.02)</f>
        <v>39.020000000000003</v>
      </c>
      <c r="E4130" s="2">
        <v>28.52</v>
      </c>
      <c r="F4130" s="2">
        <v>2</v>
      </c>
      <c r="G4130" s="2" t="s">
        <v>10</v>
      </c>
      <c r="I4130" s="2" t="s">
        <v>4906</v>
      </c>
    </row>
    <row r="4131" spans="1:9" x14ac:dyDescent="0.2">
      <c r="A4131" s="2" t="s">
        <v>3250</v>
      </c>
      <c r="B4131" s="2" t="s">
        <v>365</v>
      </c>
      <c r="C4131" s="2">
        <v>849.45510000000002</v>
      </c>
      <c r="D4131" s="2">
        <f>HYPERLINK("http://mcb-m6.bioreg.kyushu-u.ac.jp/M3/20110318/F50597/2025/1", 39.41)</f>
        <v>39.409999999999997</v>
      </c>
      <c r="E4131" s="2">
        <v>26.3</v>
      </c>
      <c r="F4131" s="2">
        <v>2</v>
      </c>
      <c r="G4131" s="2" t="s">
        <v>10</v>
      </c>
    </row>
    <row r="4132" spans="1:9" x14ac:dyDescent="0.2">
      <c r="A4132" s="2" t="s">
        <v>3250</v>
      </c>
      <c r="B4132" s="2" t="s">
        <v>311</v>
      </c>
      <c r="C4132" s="2">
        <v>598.9547</v>
      </c>
      <c r="D4132" s="2">
        <f>HYPERLINK("http://mcb-m6.bioreg.kyushu-u.ac.jp/M3/20110318/F50595/1446/1", 39.77)</f>
        <v>39.770000000000003</v>
      </c>
      <c r="E4132" s="2">
        <v>20.010000000000002</v>
      </c>
      <c r="F4132" s="2">
        <v>2</v>
      </c>
      <c r="G4132" s="2" t="s">
        <v>10</v>
      </c>
    </row>
    <row r="4133" spans="1:9" x14ac:dyDescent="0.2">
      <c r="A4133" s="2" t="s">
        <v>3250</v>
      </c>
      <c r="B4133" s="2" t="s">
        <v>834</v>
      </c>
      <c r="C4133" s="2">
        <v>1242.645</v>
      </c>
      <c r="D4133" s="2">
        <f>HYPERLINK("http://mcb-m6.bioreg.kyushu-u.ac.jp/M3/20110318/F50614/1255/1", 40.86)</f>
        <v>40.86</v>
      </c>
      <c r="E4133" s="2">
        <v>25.67</v>
      </c>
      <c r="F4133" s="2">
        <v>1</v>
      </c>
      <c r="G4133" s="2" t="s">
        <v>10</v>
      </c>
    </row>
    <row r="4134" spans="1:9" x14ac:dyDescent="0.2">
      <c r="A4134" s="2" t="s">
        <v>3250</v>
      </c>
      <c r="B4134" s="2" t="s">
        <v>834</v>
      </c>
      <c r="C4134" s="2">
        <v>621.96720000000005</v>
      </c>
      <c r="D4134" s="2">
        <f>HYPERLINK("http://mcb-m6.bioreg.kyushu-u.ac.jp/M3/20110318/F50600/1281/1", 41.41)</f>
        <v>41.41</v>
      </c>
      <c r="E4134" s="2">
        <v>25.45</v>
      </c>
      <c r="F4134" s="2">
        <v>2</v>
      </c>
      <c r="G4134" s="2" t="s">
        <v>10</v>
      </c>
    </row>
    <row r="4135" spans="1:9" x14ac:dyDescent="0.2">
      <c r="A4135" s="2" t="s">
        <v>3250</v>
      </c>
      <c r="B4135" s="2" t="s">
        <v>77</v>
      </c>
      <c r="C4135" s="2">
        <v>1148.499</v>
      </c>
      <c r="D4135" s="2">
        <f>HYPERLINK("http://mcb-m6.bioreg.kyushu-u.ac.jp/M3/20110318/F50613/1126/1", 41.88)</f>
        <v>41.88</v>
      </c>
      <c r="E4135" s="2">
        <v>18.78</v>
      </c>
      <c r="F4135" s="2">
        <v>1</v>
      </c>
      <c r="G4135" s="2" t="s">
        <v>10</v>
      </c>
    </row>
    <row r="4136" spans="1:9" x14ac:dyDescent="0.2">
      <c r="A4136" s="2" t="s">
        <v>3250</v>
      </c>
      <c r="B4136" s="2" t="s">
        <v>365</v>
      </c>
      <c r="C4136" s="2">
        <v>848.99469999999997</v>
      </c>
      <c r="D4136" s="2">
        <f>HYPERLINK("http://mcb-m6.bioreg.kyushu-u.ac.jp/M3/20110318/F50595/1890/1", 42.25)</f>
        <v>42.25</v>
      </c>
      <c r="E4136" s="2">
        <v>31.99</v>
      </c>
      <c r="F4136" s="2">
        <v>2</v>
      </c>
      <c r="G4136" s="2" t="s">
        <v>10</v>
      </c>
    </row>
    <row r="4137" spans="1:9" x14ac:dyDescent="0.2">
      <c r="A4137" s="2" t="s">
        <v>3250</v>
      </c>
      <c r="B4137" s="2" t="s">
        <v>1787</v>
      </c>
      <c r="C4137" s="2">
        <v>1175.521</v>
      </c>
      <c r="D4137" s="2">
        <f>HYPERLINK("http://mcb-m6.bioreg.kyushu-u.ac.jp/M3/20110318/F50611/1201/1", 42.52)</f>
        <v>42.52</v>
      </c>
      <c r="E4137" s="2">
        <v>25.31</v>
      </c>
      <c r="F4137" s="2">
        <v>1</v>
      </c>
      <c r="G4137" s="2" t="s">
        <v>10</v>
      </c>
      <c r="I4137" s="2" t="s">
        <v>4895</v>
      </c>
    </row>
    <row r="4138" spans="1:9" x14ac:dyDescent="0.2">
      <c r="A4138" s="2" t="s">
        <v>3250</v>
      </c>
      <c r="B4138" s="2" t="s">
        <v>102</v>
      </c>
      <c r="C4138" s="2">
        <v>608.43409999999994</v>
      </c>
      <c r="D4138" s="2">
        <f>HYPERLINK("http://mcb-m6.bioreg.kyushu-u.ac.jp/M3/20110318/F50612/1210/1", 42.74)</f>
        <v>42.74</v>
      </c>
      <c r="E4138" s="2">
        <v>29</v>
      </c>
      <c r="F4138" s="2">
        <v>2</v>
      </c>
      <c r="G4138" s="2" t="s">
        <v>10</v>
      </c>
    </row>
    <row r="4139" spans="1:9" x14ac:dyDescent="0.2">
      <c r="A4139" s="2" t="s">
        <v>3250</v>
      </c>
      <c r="B4139" s="2" t="s">
        <v>1875</v>
      </c>
      <c r="C4139" s="2">
        <v>788.39419999999996</v>
      </c>
      <c r="D4139" s="2">
        <f>HYPERLINK("http://mcb-m6.bioreg.kyushu-u.ac.jp/M3/20110318/F50614/1917/1", 42.84)</f>
        <v>42.84</v>
      </c>
      <c r="E4139" s="2">
        <v>27.24</v>
      </c>
      <c r="F4139" s="2">
        <v>2</v>
      </c>
      <c r="G4139" s="2" t="s">
        <v>10</v>
      </c>
      <c r="H4139" s="2" t="s">
        <v>4953</v>
      </c>
    </row>
    <row r="4140" spans="1:9" x14ac:dyDescent="0.2">
      <c r="A4140" s="2" t="s">
        <v>3250</v>
      </c>
      <c r="B4140" s="2" t="s">
        <v>1875</v>
      </c>
      <c r="C4140" s="2">
        <v>788.44709999999998</v>
      </c>
      <c r="D4140" s="2">
        <f>HYPERLINK("http://mcb-m6.bioreg.kyushu-u.ac.jp/M3/20110318/F50611/1867/1", 43.9)</f>
        <v>43.9</v>
      </c>
      <c r="E4140" s="2">
        <v>24.54</v>
      </c>
      <c r="F4140" s="2">
        <v>2</v>
      </c>
      <c r="G4140" s="2" t="s">
        <v>10</v>
      </c>
      <c r="H4140" s="2" t="s">
        <v>4953</v>
      </c>
    </row>
    <row r="4141" spans="1:9" x14ac:dyDescent="0.2">
      <c r="A4141" s="2" t="s">
        <v>3250</v>
      </c>
      <c r="B4141" s="2" t="s">
        <v>365</v>
      </c>
      <c r="C4141" s="2">
        <v>848.88369999999998</v>
      </c>
      <c r="D4141" s="2">
        <f>HYPERLINK("http://mcb-m6.bioreg.kyushu-u.ac.jp/M3/20110318/F50614/2132/1", 43.99)</f>
        <v>43.99</v>
      </c>
      <c r="E4141" s="2">
        <v>29.4</v>
      </c>
      <c r="F4141" s="2">
        <v>2</v>
      </c>
      <c r="G4141" s="2" t="s">
        <v>10</v>
      </c>
    </row>
    <row r="4142" spans="1:9" x14ac:dyDescent="0.2">
      <c r="A4142" s="2" t="s">
        <v>3250</v>
      </c>
      <c r="B4142" s="2" t="s">
        <v>398</v>
      </c>
      <c r="C4142" s="2">
        <v>640.26210000000003</v>
      </c>
      <c r="D4142" s="2">
        <f>HYPERLINK("http://mcb-m6.bioreg.kyushu-u.ac.jp/M3/20110318/F50611/1312/1", 44.33)</f>
        <v>44.33</v>
      </c>
      <c r="E4142" s="2">
        <v>19.12</v>
      </c>
      <c r="F4142" s="2">
        <v>2</v>
      </c>
      <c r="G4142" s="2" t="s">
        <v>10</v>
      </c>
    </row>
    <row r="4143" spans="1:9" x14ac:dyDescent="0.2">
      <c r="A4143" s="2" t="s">
        <v>3250</v>
      </c>
      <c r="B4143" s="2" t="s">
        <v>1875</v>
      </c>
      <c r="C4143" s="2">
        <v>788.63070000000005</v>
      </c>
      <c r="D4143" s="2">
        <f>HYPERLINK("http://mcb-m6.bioreg.kyushu-u.ac.jp/M3/20110318/F50613/1882/1", 44.5)</f>
        <v>44.5</v>
      </c>
      <c r="E4143" s="2">
        <v>33.96</v>
      </c>
      <c r="F4143" s="2">
        <v>2</v>
      </c>
      <c r="G4143" s="2" t="s">
        <v>10</v>
      </c>
      <c r="H4143" s="2" t="s">
        <v>4953</v>
      </c>
    </row>
    <row r="4144" spans="1:9" x14ac:dyDescent="0.2">
      <c r="A4144" s="2" t="s">
        <v>3250</v>
      </c>
      <c r="B4144" s="2" t="s">
        <v>1875</v>
      </c>
      <c r="C4144" s="2">
        <v>788.39469999999994</v>
      </c>
      <c r="D4144" s="2">
        <f>HYPERLINK("http://mcb-m6.bioreg.kyushu-u.ac.jp/M3/20110318/F50615/1760/1", 44.95)</f>
        <v>44.95</v>
      </c>
      <c r="E4144" s="2">
        <v>23.73</v>
      </c>
      <c r="F4144" s="2">
        <v>2</v>
      </c>
      <c r="G4144" s="2" t="s">
        <v>10</v>
      </c>
      <c r="H4144" s="2" t="s">
        <v>4953</v>
      </c>
    </row>
    <row r="4145" spans="1:9" x14ac:dyDescent="0.2">
      <c r="A4145" s="2" t="s">
        <v>3250</v>
      </c>
      <c r="B4145" s="2" t="s">
        <v>1888</v>
      </c>
      <c r="C4145" s="2">
        <v>456.97710000000001</v>
      </c>
      <c r="D4145" s="2">
        <f>HYPERLINK("http://mcb-m6.bioreg.kyushu-u.ac.jp/M3/20110318/F50611/852/1", 45.47)</f>
        <v>45.47</v>
      </c>
      <c r="E4145" s="2">
        <v>13.21</v>
      </c>
      <c r="F4145" s="2">
        <v>2</v>
      </c>
      <c r="G4145" s="2" t="s">
        <v>10</v>
      </c>
    </row>
    <row r="4146" spans="1:9" x14ac:dyDescent="0.2">
      <c r="A4146" s="2" t="s">
        <v>3250</v>
      </c>
      <c r="B4146" s="2" t="s">
        <v>1581</v>
      </c>
      <c r="C4146" s="2">
        <v>765.60680000000002</v>
      </c>
      <c r="D4146" s="2">
        <f>HYPERLINK("http://mcb-m6.bioreg.kyushu-u.ac.jp/M3/20110318/F50611/2781/1", 46.8)</f>
        <v>46.8</v>
      </c>
      <c r="E4146" s="2">
        <v>28.42</v>
      </c>
      <c r="F4146" s="2">
        <v>3</v>
      </c>
      <c r="G4146" s="2" t="s">
        <v>10</v>
      </c>
      <c r="I4146" s="2" t="s">
        <v>4895</v>
      </c>
    </row>
    <row r="4147" spans="1:9" x14ac:dyDescent="0.2">
      <c r="A4147" s="2" t="s">
        <v>3250</v>
      </c>
      <c r="B4147" s="2" t="s">
        <v>834</v>
      </c>
      <c r="C4147" s="2">
        <v>622.03719999999998</v>
      </c>
      <c r="D4147" s="2">
        <f>HYPERLINK("http://mcb-m6.bioreg.kyushu-u.ac.jp/M3/20110318/F50614/1258/1", 46.87)</f>
        <v>46.87</v>
      </c>
      <c r="E4147" s="2">
        <v>28.85</v>
      </c>
      <c r="F4147" s="2">
        <v>2</v>
      </c>
      <c r="G4147" s="2" t="s">
        <v>10</v>
      </c>
    </row>
    <row r="4148" spans="1:9" x14ac:dyDescent="0.2">
      <c r="A4148" s="2" t="s">
        <v>3250</v>
      </c>
      <c r="B4148" s="2" t="s">
        <v>834</v>
      </c>
      <c r="C4148" s="2">
        <v>1242.6769999999999</v>
      </c>
      <c r="D4148" s="2">
        <f>HYPERLINK("http://mcb-m6.bioreg.kyushu-u.ac.jp/M3/20110318/F50613/1238/1", 46.88)</f>
        <v>46.88</v>
      </c>
      <c r="E4148" s="2">
        <v>34.65</v>
      </c>
      <c r="F4148" s="2">
        <v>1</v>
      </c>
      <c r="G4148" s="2" t="s">
        <v>10</v>
      </c>
    </row>
    <row r="4149" spans="1:9" x14ac:dyDescent="0.2">
      <c r="A4149" s="2" t="s">
        <v>3250</v>
      </c>
      <c r="B4149" s="2" t="s">
        <v>175</v>
      </c>
      <c r="C4149" s="2">
        <v>784.38509999999997</v>
      </c>
      <c r="D4149" s="2">
        <f>HYPERLINK("http://mcb-m6.bioreg.kyushu-u.ac.jp/M3/20110318/F50614/1898/1", 47.29)</f>
        <v>47.29</v>
      </c>
      <c r="E4149" s="2">
        <v>25.73</v>
      </c>
      <c r="F4149" s="2">
        <v>2</v>
      </c>
      <c r="G4149" s="2" t="s">
        <v>10</v>
      </c>
      <c r="I4149" s="2" t="s">
        <v>4893</v>
      </c>
    </row>
    <row r="4150" spans="1:9" x14ac:dyDescent="0.2">
      <c r="A4150" s="2" t="s">
        <v>3250</v>
      </c>
      <c r="B4150" s="2" t="s">
        <v>1787</v>
      </c>
      <c r="C4150" s="2">
        <v>588.23419999999999</v>
      </c>
      <c r="D4150" s="2">
        <f>HYPERLINK("http://mcb-m6.bioreg.kyushu-u.ac.jp/M3/20110318/F50617/1191/1", 47.44)</f>
        <v>47.44</v>
      </c>
      <c r="E4150" s="2">
        <v>19.989999999999998</v>
      </c>
      <c r="F4150" s="2">
        <v>2</v>
      </c>
      <c r="G4150" s="2" t="s">
        <v>10</v>
      </c>
      <c r="I4150" s="2" t="s">
        <v>4895</v>
      </c>
    </row>
    <row r="4151" spans="1:9" x14ac:dyDescent="0.2">
      <c r="A4151" s="2" t="s">
        <v>3250</v>
      </c>
      <c r="B4151" s="2" t="s">
        <v>1665</v>
      </c>
      <c r="C4151" s="2">
        <v>765.03309999999999</v>
      </c>
      <c r="D4151" s="2">
        <f>HYPERLINK("http://mcb-m6.bioreg.kyushu-u.ac.jp/M3/20110318/F50612/2510/1", 47.47)</f>
        <v>47.47</v>
      </c>
      <c r="E4151" s="2">
        <v>35.44</v>
      </c>
      <c r="F4151" s="2">
        <v>3</v>
      </c>
      <c r="G4151" s="2" t="s">
        <v>10</v>
      </c>
    </row>
    <row r="4152" spans="1:9" x14ac:dyDescent="0.2">
      <c r="A4152" s="2" t="s">
        <v>3250</v>
      </c>
      <c r="B4152" s="2" t="s">
        <v>30</v>
      </c>
      <c r="C4152" s="2">
        <v>643.96780000000001</v>
      </c>
      <c r="D4152" s="2">
        <f>HYPERLINK("http://mcb-m6.bioreg.kyushu-u.ac.jp/M3/20110318/F50595/2066/1", 47.58)</f>
        <v>47.58</v>
      </c>
      <c r="E4152" s="2">
        <v>29.66</v>
      </c>
      <c r="F4152" s="2">
        <v>3</v>
      </c>
      <c r="G4152" s="2" t="s">
        <v>10</v>
      </c>
      <c r="I4152" s="2" t="s">
        <v>4894</v>
      </c>
    </row>
    <row r="4153" spans="1:9" x14ac:dyDescent="0.2">
      <c r="A4153" s="2" t="s">
        <v>3250</v>
      </c>
      <c r="B4153" s="2" t="s">
        <v>1787</v>
      </c>
      <c r="C4153" s="2">
        <v>1175.6410000000001</v>
      </c>
      <c r="D4153" s="2">
        <f>HYPERLINK("http://mcb-m6.bioreg.kyushu-u.ac.jp/M3/20110318/F50613/1162/1", 47.74)</f>
        <v>47.74</v>
      </c>
      <c r="E4153" s="2">
        <v>30.64</v>
      </c>
      <c r="F4153" s="2">
        <v>1</v>
      </c>
      <c r="G4153" s="2" t="s">
        <v>10</v>
      </c>
      <c r="I4153" s="2" t="s">
        <v>4895</v>
      </c>
    </row>
    <row r="4154" spans="1:9" x14ac:dyDescent="0.2">
      <c r="A4154" s="2" t="s">
        <v>3250</v>
      </c>
      <c r="B4154" s="2" t="s">
        <v>311</v>
      </c>
      <c r="C4154" s="2">
        <v>598.87459999999999</v>
      </c>
      <c r="D4154" s="2">
        <f>HYPERLINK("http://mcb-m6.bioreg.kyushu-u.ac.jp/M3/20110318/F50613/1191/1", 47.87)</f>
        <v>47.87</v>
      </c>
      <c r="E4154" s="2">
        <v>27.6</v>
      </c>
      <c r="F4154" s="2">
        <v>2</v>
      </c>
      <c r="G4154" s="2" t="s">
        <v>10</v>
      </c>
    </row>
    <row r="4155" spans="1:9" x14ac:dyDescent="0.2">
      <c r="A4155" s="2" t="s">
        <v>3250</v>
      </c>
      <c r="B4155" s="2" t="s">
        <v>311</v>
      </c>
      <c r="C4155" s="2">
        <v>598.84169999999995</v>
      </c>
      <c r="D4155" s="2">
        <f>HYPERLINK("http://mcb-m6.bioreg.kyushu-u.ac.jp/M3/20110318/F50596/1240/1", 48.32)</f>
        <v>48.32</v>
      </c>
      <c r="E4155" s="2">
        <v>23.66</v>
      </c>
      <c r="F4155" s="2">
        <v>2</v>
      </c>
      <c r="G4155" s="2" t="s">
        <v>10</v>
      </c>
    </row>
    <row r="4156" spans="1:9" x14ac:dyDescent="0.2">
      <c r="A4156" s="2" t="s">
        <v>3250</v>
      </c>
      <c r="B4156" s="2" t="s">
        <v>1888</v>
      </c>
      <c r="C4156" s="2">
        <v>456.98610000000002</v>
      </c>
      <c r="D4156" s="2">
        <f>HYPERLINK("http://mcb-m6.bioreg.kyushu-u.ac.jp/M3/20110318/F50597/780/1", 48.75)</f>
        <v>48.75</v>
      </c>
      <c r="E4156" s="2">
        <v>1.2</v>
      </c>
      <c r="F4156" s="2">
        <v>2</v>
      </c>
      <c r="G4156" s="2" t="s">
        <v>10</v>
      </c>
    </row>
    <row r="4157" spans="1:9" x14ac:dyDescent="0.2">
      <c r="A4157" s="2" t="s">
        <v>3250</v>
      </c>
      <c r="B4157" s="2" t="s">
        <v>834</v>
      </c>
      <c r="C4157" s="2">
        <v>621.84169999999995</v>
      </c>
      <c r="D4157" s="2">
        <f>HYPERLINK("http://mcb-m6.bioreg.kyushu-u.ac.jp/M3/20110318/F50615/1132/1", 48.92)</f>
        <v>48.92</v>
      </c>
      <c r="E4157" s="2">
        <v>32.24</v>
      </c>
      <c r="F4157" s="2">
        <v>2</v>
      </c>
      <c r="G4157" s="2" t="s">
        <v>10</v>
      </c>
    </row>
    <row r="4158" spans="1:9" x14ac:dyDescent="0.2">
      <c r="A4158" s="2" t="s">
        <v>3250</v>
      </c>
      <c r="B4158" s="2" t="s">
        <v>77</v>
      </c>
      <c r="C4158" s="2">
        <v>574.95669999999996</v>
      </c>
      <c r="D4158" s="2">
        <f>HYPERLINK("http://mcb-m6.bioreg.kyushu-u.ac.jp/M3/20110318/F50595/1421/1", 49.04)</f>
        <v>49.04</v>
      </c>
      <c r="E4158" s="2">
        <v>22.47</v>
      </c>
      <c r="F4158" s="2">
        <v>2</v>
      </c>
      <c r="G4158" s="2" t="s">
        <v>10</v>
      </c>
    </row>
    <row r="4159" spans="1:9" x14ac:dyDescent="0.2">
      <c r="A4159" s="2" t="s">
        <v>3250</v>
      </c>
      <c r="B4159" s="2" t="s">
        <v>77</v>
      </c>
      <c r="C4159" s="2">
        <v>575.0652</v>
      </c>
      <c r="D4159" s="2">
        <f>HYPERLINK("http://mcb-m6.bioreg.kyushu-u.ac.jp/M3/20110318/F50614/1107/1", 49.89)</f>
        <v>49.89</v>
      </c>
      <c r="E4159" s="2">
        <v>20.21</v>
      </c>
      <c r="F4159" s="2">
        <v>2</v>
      </c>
      <c r="G4159" s="2" t="s">
        <v>10</v>
      </c>
    </row>
    <row r="4160" spans="1:9" x14ac:dyDescent="0.2">
      <c r="A4160" s="2" t="s">
        <v>3250</v>
      </c>
      <c r="B4160" s="2" t="s">
        <v>102</v>
      </c>
      <c r="C4160" s="2">
        <v>608.3066</v>
      </c>
      <c r="D4160" s="2">
        <f>HYPERLINK("http://mcb-m6.bioreg.kyushu-u.ac.jp/M3/20110318/F50613/1211/1", 50.21)</f>
        <v>50.21</v>
      </c>
      <c r="E4160" s="2">
        <v>32.159999999999997</v>
      </c>
      <c r="F4160" s="2">
        <v>2</v>
      </c>
      <c r="G4160" s="2" t="s">
        <v>10</v>
      </c>
    </row>
    <row r="4161" spans="1:9" x14ac:dyDescent="0.2">
      <c r="A4161" s="2" t="s">
        <v>3250</v>
      </c>
      <c r="B4161" s="2" t="s">
        <v>398</v>
      </c>
      <c r="C4161" s="2">
        <v>640.30769999999995</v>
      </c>
      <c r="D4161" s="2">
        <f>HYPERLINK("http://mcb-m6.bioreg.kyushu-u.ac.jp/M3/20110318/F50613/1280/1", 50.43)</f>
        <v>50.43</v>
      </c>
      <c r="E4161" s="2">
        <v>28.88</v>
      </c>
      <c r="F4161" s="2">
        <v>2</v>
      </c>
      <c r="G4161" s="2" t="s">
        <v>10</v>
      </c>
    </row>
    <row r="4162" spans="1:9" x14ac:dyDescent="0.2">
      <c r="A4162" s="2" t="s">
        <v>3250</v>
      </c>
      <c r="B4162" s="2" t="s">
        <v>604</v>
      </c>
      <c r="C4162" s="2">
        <v>520.98969999999997</v>
      </c>
      <c r="D4162" s="2">
        <f>HYPERLINK("http://mcb-m6.bioreg.kyushu-u.ac.jp/M3/20110318/F50597/941/1", 51)</f>
        <v>51</v>
      </c>
      <c r="E4162" s="2">
        <v>4.32</v>
      </c>
      <c r="F4162" s="2">
        <v>2</v>
      </c>
      <c r="G4162" s="2" t="s">
        <v>10</v>
      </c>
    </row>
    <row r="4163" spans="1:9" x14ac:dyDescent="0.2">
      <c r="A4163" s="2" t="s">
        <v>3250</v>
      </c>
      <c r="B4163" s="2" t="s">
        <v>175</v>
      </c>
      <c r="C4163" s="2">
        <v>784.40719999999999</v>
      </c>
      <c r="D4163" s="2">
        <f>HYPERLINK("http://mcb-m6.bioreg.kyushu-u.ac.jp/M3/20110318/F50613/1860/1", 51.42)</f>
        <v>51.42</v>
      </c>
      <c r="E4163" s="2">
        <v>34.76</v>
      </c>
      <c r="F4163" s="2">
        <v>2</v>
      </c>
      <c r="G4163" s="2" t="s">
        <v>10</v>
      </c>
      <c r="I4163" s="2" t="s">
        <v>4893</v>
      </c>
    </row>
    <row r="4164" spans="1:9" x14ac:dyDescent="0.2">
      <c r="A4164" s="2" t="s">
        <v>3250</v>
      </c>
      <c r="B4164" s="2" t="s">
        <v>77</v>
      </c>
      <c r="C4164" s="2">
        <v>574.93960000000004</v>
      </c>
      <c r="D4164" s="2">
        <f>HYPERLINK("http://mcb-m6.bioreg.kyushu-u.ac.jp/M3/20110318/F50598/1212/1", 51.48)</f>
        <v>51.48</v>
      </c>
      <c r="E4164" s="2">
        <v>31.28</v>
      </c>
      <c r="F4164" s="2">
        <v>2</v>
      </c>
      <c r="G4164" s="2" t="s">
        <v>10</v>
      </c>
    </row>
    <row r="4165" spans="1:9" x14ac:dyDescent="0.2">
      <c r="A4165" s="2" t="s">
        <v>3250</v>
      </c>
      <c r="B4165" s="2" t="s">
        <v>311</v>
      </c>
      <c r="C4165" s="2">
        <v>598.93960000000004</v>
      </c>
      <c r="D4165" s="2">
        <f>HYPERLINK("http://mcb-m6.bioreg.kyushu-u.ac.jp/M3/20110318/F50597/1142/1", 52.77)</f>
        <v>52.77</v>
      </c>
      <c r="E4165" s="2">
        <v>33.200000000000003</v>
      </c>
      <c r="F4165" s="2">
        <v>2</v>
      </c>
      <c r="G4165" s="2" t="s">
        <v>10</v>
      </c>
    </row>
    <row r="4166" spans="1:9" x14ac:dyDescent="0.2">
      <c r="A4166" s="2" t="s">
        <v>3250</v>
      </c>
      <c r="B4166" s="2" t="s">
        <v>365</v>
      </c>
      <c r="C4166" s="2">
        <v>849.35860000000002</v>
      </c>
      <c r="D4166" s="2">
        <f>HYPERLINK("http://mcb-m6.bioreg.kyushu-u.ac.jp/M3/20110318/F50615/1940/1", 53.04)</f>
        <v>53.04</v>
      </c>
      <c r="E4166" s="2">
        <v>35.83</v>
      </c>
      <c r="F4166" s="2">
        <v>2</v>
      </c>
      <c r="G4166" s="2" t="s">
        <v>10</v>
      </c>
    </row>
    <row r="4167" spans="1:9" x14ac:dyDescent="0.2">
      <c r="A4167" s="2" t="s">
        <v>3250</v>
      </c>
      <c r="B4167" s="2" t="s">
        <v>102</v>
      </c>
      <c r="C4167" s="2">
        <v>616.45719999999994</v>
      </c>
      <c r="D4167" s="2">
        <f>HYPERLINK("http://mcb-m6.bioreg.kyushu-u.ac.jp/M3/20110318/F50596/1271/1", 54.82)</f>
        <v>54.82</v>
      </c>
      <c r="E4167" s="2">
        <v>38.61</v>
      </c>
      <c r="F4167" s="2">
        <v>2</v>
      </c>
      <c r="G4167" s="2" t="s">
        <v>10</v>
      </c>
      <c r="H4167" s="2" t="s">
        <v>4900</v>
      </c>
    </row>
    <row r="4168" spans="1:9" x14ac:dyDescent="0.2">
      <c r="A4168" s="2" t="s">
        <v>3250</v>
      </c>
      <c r="B4168" s="2" t="s">
        <v>311</v>
      </c>
      <c r="C4168" s="2">
        <v>607.32119999999998</v>
      </c>
      <c r="D4168" s="2">
        <f>HYPERLINK("http://mcb-m6.bioreg.kyushu-u.ac.jp/M3/20110318/F50613/1210/1", 54.89)</f>
        <v>54.89</v>
      </c>
      <c r="E4168" s="2">
        <v>32.299999999999997</v>
      </c>
      <c r="F4168" s="2">
        <v>2</v>
      </c>
      <c r="G4168" s="2" t="s">
        <v>10</v>
      </c>
      <c r="H4168" s="2" t="s">
        <v>4908</v>
      </c>
    </row>
    <row r="4169" spans="1:9" x14ac:dyDescent="0.2">
      <c r="A4169" s="2" t="s">
        <v>3250</v>
      </c>
      <c r="B4169" s="2" t="s">
        <v>1787</v>
      </c>
      <c r="C4169" s="2">
        <v>588.35419999999999</v>
      </c>
      <c r="D4169" s="2">
        <f>HYPERLINK("http://mcb-m6.bioreg.kyushu-u.ac.jp/M3/20110318/F50615/1032/1", 56.07)</f>
        <v>56.07</v>
      </c>
      <c r="E4169" s="2">
        <v>39.56</v>
      </c>
      <c r="F4169" s="2">
        <v>2</v>
      </c>
      <c r="G4169" s="2" t="s">
        <v>10</v>
      </c>
      <c r="I4169" s="2" t="s">
        <v>4895</v>
      </c>
    </row>
    <row r="4170" spans="1:9" x14ac:dyDescent="0.2">
      <c r="A4170" s="2" t="s">
        <v>3250</v>
      </c>
      <c r="B4170" s="2" t="s">
        <v>175</v>
      </c>
      <c r="C4170" s="2">
        <v>784.33119999999997</v>
      </c>
      <c r="D4170" s="2">
        <f>HYPERLINK("http://mcb-m6.bioreg.kyushu-u.ac.jp/M3/20110318/F50611/1848/1", 56.62)</f>
        <v>56.62</v>
      </c>
      <c r="E4170" s="2">
        <v>41.46</v>
      </c>
      <c r="F4170" s="2">
        <v>2</v>
      </c>
      <c r="G4170" s="2" t="s">
        <v>10</v>
      </c>
      <c r="I4170" s="2" t="s">
        <v>4893</v>
      </c>
    </row>
    <row r="4171" spans="1:9" x14ac:dyDescent="0.2">
      <c r="A4171" s="2" t="s">
        <v>3250</v>
      </c>
      <c r="B4171" s="2" t="s">
        <v>1875</v>
      </c>
      <c r="C4171" s="2">
        <v>772.89970000000005</v>
      </c>
      <c r="D4171" s="2">
        <f>HYPERLINK("http://mcb-m6.bioreg.kyushu-u.ac.jp/M3/20110318/F50597/1765/1", 56.82)</f>
        <v>56.82</v>
      </c>
      <c r="E4171" s="2">
        <v>47.21</v>
      </c>
      <c r="F4171" s="2">
        <v>2</v>
      </c>
      <c r="G4171" s="2" t="s">
        <v>10</v>
      </c>
    </row>
    <row r="4172" spans="1:9" x14ac:dyDescent="0.2">
      <c r="A4172" s="2" t="s">
        <v>3250</v>
      </c>
      <c r="B4172" s="2" t="s">
        <v>365</v>
      </c>
      <c r="C4172" s="2">
        <v>1696.6790000000001</v>
      </c>
      <c r="D4172" s="2">
        <f>HYPERLINK("http://mcb-m6.bioreg.kyushu-u.ac.jp/M3/20110318/F50597/2021/1", 56.85)</f>
        <v>56.85</v>
      </c>
      <c r="E4172" s="2">
        <v>33.700000000000003</v>
      </c>
      <c r="F4172" s="2">
        <v>1</v>
      </c>
      <c r="G4172" s="2" t="s">
        <v>10</v>
      </c>
    </row>
    <row r="4173" spans="1:9" x14ac:dyDescent="0.2">
      <c r="A4173" s="2" t="s">
        <v>3250</v>
      </c>
      <c r="B4173" s="2" t="s">
        <v>311</v>
      </c>
      <c r="C4173" s="2">
        <v>607.31119999999999</v>
      </c>
      <c r="D4173" s="2">
        <f>HYPERLINK("http://mcb-m6.bioreg.kyushu-u.ac.jp/M3/20110318/F50611/1242/1", 57.52)</f>
        <v>57.52</v>
      </c>
      <c r="E4173" s="2">
        <v>33.549999999999997</v>
      </c>
      <c r="F4173" s="2">
        <v>2</v>
      </c>
      <c r="G4173" s="2" t="s">
        <v>10</v>
      </c>
      <c r="H4173" s="2" t="s">
        <v>4908</v>
      </c>
    </row>
    <row r="4174" spans="1:9" x14ac:dyDescent="0.2">
      <c r="A4174" s="2" t="s">
        <v>3250</v>
      </c>
      <c r="B4174" s="2" t="s">
        <v>1065</v>
      </c>
      <c r="C4174" s="2">
        <v>716.82569999999998</v>
      </c>
      <c r="D4174" s="2">
        <f>HYPERLINK("http://mcb-m6.bioreg.kyushu-u.ac.jp/M3/20110318/F50612/1453/1", 57.55)</f>
        <v>57.55</v>
      </c>
      <c r="E4174" s="2">
        <v>46.5</v>
      </c>
      <c r="F4174" s="2">
        <v>2</v>
      </c>
      <c r="G4174" s="2" t="s">
        <v>10</v>
      </c>
      <c r="I4174" s="2" t="s">
        <v>4892</v>
      </c>
    </row>
    <row r="4175" spans="1:9" x14ac:dyDescent="0.2">
      <c r="A4175" s="2" t="s">
        <v>3250</v>
      </c>
      <c r="B4175" s="2" t="s">
        <v>311</v>
      </c>
      <c r="C4175" s="2">
        <v>606.82259999999997</v>
      </c>
      <c r="D4175" s="2">
        <f>HYPERLINK("http://mcb-m6.bioreg.kyushu-u.ac.jp/M3/20110318/F50612/1207/1", 57.65)</f>
        <v>57.65</v>
      </c>
      <c r="E4175" s="2">
        <v>35.450000000000003</v>
      </c>
      <c r="F4175" s="2">
        <v>2</v>
      </c>
      <c r="G4175" s="2" t="s">
        <v>10</v>
      </c>
      <c r="H4175" s="2" t="s">
        <v>4908</v>
      </c>
    </row>
    <row r="4176" spans="1:9" x14ac:dyDescent="0.2">
      <c r="A4176" s="2" t="s">
        <v>3250</v>
      </c>
      <c r="B4176" s="2" t="s">
        <v>311</v>
      </c>
      <c r="C4176" s="2">
        <v>599.29859999999996</v>
      </c>
      <c r="D4176" s="2">
        <f>HYPERLINK("http://mcb-m6.bioreg.kyushu-u.ac.jp/M3/20110318/F50614/1178/1", 58.54)</f>
        <v>58.54</v>
      </c>
      <c r="E4176" s="2">
        <v>39.46</v>
      </c>
      <c r="F4176" s="2">
        <v>2</v>
      </c>
      <c r="G4176" s="2" t="s">
        <v>10</v>
      </c>
    </row>
    <row r="4177" spans="1:9" x14ac:dyDescent="0.2">
      <c r="A4177" s="2" t="s">
        <v>3250</v>
      </c>
      <c r="B4177" s="2" t="s">
        <v>77</v>
      </c>
      <c r="C4177" s="2">
        <v>574.82510000000002</v>
      </c>
      <c r="D4177" s="2">
        <f>HYPERLINK("http://mcb-m6.bioreg.kyushu-u.ac.jp/M3/20110318/F50596/1185/1", 59.13)</f>
        <v>59.13</v>
      </c>
      <c r="E4177" s="2">
        <v>31.23</v>
      </c>
      <c r="F4177" s="2">
        <v>2</v>
      </c>
      <c r="G4177" s="2" t="s">
        <v>10</v>
      </c>
    </row>
    <row r="4178" spans="1:9" x14ac:dyDescent="0.2">
      <c r="A4178" s="2" t="s">
        <v>3250</v>
      </c>
      <c r="B4178" s="2" t="s">
        <v>561</v>
      </c>
      <c r="C4178" s="2">
        <v>654.24019999999996</v>
      </c>
      <c r="D4178" s="2">
        <f>HYPERLINK("http://mcb-m6.bioreg.kyushu-u.ac.jp/M3/20110318/F50611/1343/1", 59.53)</f>
        <v>59.53</v>
      </c>
      <c r="E4178" s="2">
        <v>34.119999999999997</v>
      </c>
      <c r="F4178" s="2">
        <v>2</v>
      </c>
      <c r="G4178" s="2" t="s">
        <v>10</v>
      </c>
    </row>
    <row r="4179" spans="1:9" x14ac:dyDescent="0.2">
      <c r="A4179" s="2" t="s">
        <v>3250</v>
      </c>
      <c r="B4179" s="2" t="s">
        <v>77</v>
      </c>
      <c r="C4179" s="2">
        <v>574.74019999999996</v>
      </c>
      <c r="D4179" s="2">
        <f>HYPERLINK("http://mcb-m6.bioreg.kyushu-u.ac.jp/M3/20110318/F50611/1158/1", 59.58)</f>
        <v>59.58</v>
      </c>
      <c r="E4179" s="2">
        <v>37.35</v>
      </c>
      <c r="F4179" s="2">
        <v>2</v>
      </c>
      <c r="G4179" s="2" t="s">
        <v>10</v>
      </c>
    </row>
    <row r="4180" spans="1:9" x14ac:dyDescent="0.2">
      <c r="A4180" s="2" t="s">
        <v>3250</v>
      </c>
      <c r="B4180" s="2" t="s">
        <v>1787</v>
      </c>
      <c r="C4180" s="2">
        <v>588.42819999999995</v>
      </c>
      <c r="D4180" s="2">
        <f>HYPERLINK("http://mcb-m6.bioreg.kyushu-u.ac.jp/M3/20110318/F50595/1439/1", 61.34)</f>
        <v>61.34</v>
      </c>
      <c r="E4180" s="2">
        <v>47.39</v>
      </c>
      <c r="F4180" s="2">
        <v>2</v>
      </c>
      <c r="G4180" s="2" t="s">
        <v>10</v>
      </c>
      <c r="I4180" s="2" t="s">
        <v>4895</v>
      </c>
    </row>
    <row r="4181" spans="1:9" x14ac:dyDescent="0.2">
      <c r="A4181" s="2" t="s">
        <v>3250</v>
      </c>
      <c r="B4181" s="2" t="s">
        <v>481</v>
      </c>
      <c r="C4181" s="2">
        <v>709.30970000000002</v>
      </c>
      <c r="D4181" s="2">
        <f>HYPERLINK("http://mcb-m6.bioreg.kyushu-u.ac.jp/M3/20110318/F50622/1316/1", 61.67)</f>
        <v>61.67</v>
      </c>
      <c r="E4181" s="2">
        <v>36.79</v>
      </c>
      <c r="F4181" s="2">
        <v>2</v>
      </c>
      <c r="G4181" s="2" t="s">
        <v>10</v>
      </c>
      <c r="I4181" s="2" t="s">
        <v>4898</v>
      </c>
    </row>
    <row r="4182" spans="1:9" x14ac:dyDescent="0.2">
      <c r="A4182" s="2" t="s">
        <v>3250</v>
      </c>
      <c r="B4182" s="2" t="s">
        <v>102</v>
      </c>
      <c r="C4182" s="2">
        <v>608.58169999999996</v>
      </c>
      <c r="D4182" s="2">
        <f>HYPERLINK("http://mcb-m6.bioreg.kyushu-u.ac.jp/M3/20110318/F50611/1245/1", 61.97)</f>
        <v>61.97</v>
      </c>
      <c r="E4182" s="2">
        <v>38.020000000000003</v>
      </c>
      <c r="F4182" s="2">
        <v>2</v>
      </c>
      <c r="G4182" s="2" t="s">
        <v>10</v>
      </c>
    </row>
    <row r="4183" spans="1:9" x14ac:dyDescent="0.2">
      <c r="A4183" s="2" t="s">
        <v>3250</v>
      </c>
      <c r="B4183" s="2" t="s">
        <v>77</v>
      </c>
      <c r="C4183" s="2">
        <v>574.95320000000004</v>
      </c>
      <c r="D4183" s="2">
        <f>HYPERLINK("http://mcb-m6.bioreg.kyushu-u.ac.jp/M3/20110318/F50597/1081/1", 62.41)</f>
        <v>62.41</v>
      </c>
      <c r="E4183" s="2">
        <v>36.25</v>
      </c>
      <c r="F4183" s="2">
        <v>2</v>
      </c>
      <c r="G4183" s="2" t="s">
        <v>10</v>
      </c>
    </row>
    <row r="4184" spans="1:9" x14ac:dyDescent="0.2">
      <c r="A4184" s="2" t="s">
        <v>3250</v>
      </c>
      <c r="B4184" s="2" t="s">
        <v>102</v>
      </c>
      <c r="C4184" s="2">
        <v>616.35310000000004</v>
      </c>
      <c r="D4184" s="2">
        <f>HYPERLINK("http://mcb-m6.bioreg.kyushu-u.ac.jp/M3/20110318/F50612/1227/1", 62.55)</f>
        <v>62.55</v>
      </c>
      <c r="E4184" s="2">
        <v>45.57</v>
      </c>
      <c r="F4184" s="2">
        <v>2</v>
      </c>
      <c r="G4184" s="2" t="s">
        <v>10</v>
      </c>
      <c r="H4184" s="2" t="s">
        <v>4900</v>
      </c>
    </row>
    <row r="4185" spans="1:9" x14ac:dyDescent="0.2">
      <c r="A4185" s="2" t="s">
        <v>3250</v>
      </c>
      <c r="B4185" s="2" t="s">
        <v>77</v>
      </c>
      <c r="C4185" s="2">
        <v>574.83219999999994</v>
      </c>
      <c r="D4185" s="2">
        <f>HYPERLINK("http://mcb-m6.bioreg.kyushu-u.ac.jp/M3/20110318/F50613/1127/1", 62.56)</f>
        <v>62.56</v>
      </c>
      <c r="E4185" s="2">
        <v>42.8</v>
      </c>
      <c r="F4185" s="2">
        <v>2</v>
      </c>
      <c r="G4185" s="2" t="s">
        <v>10</v>
      </c>
    </row>
    <row r="4186" spans="1:9" x14ac:dyDescent="0.2">
      <c r="A4186" s="2" t="s">
        <v>3250</v>
      </c>
      <c r="B4186" s="2" t="s">
        <v>1875</v>
      </c>
      <c r="C4186" s="2">
        <v>772.26459999999997</v>
      </c>
      <c r="D4186" s="2">
        <f>HYPERLINK("http://mcb-m6.bioreg.kyushu-u.ac.jp/M3/20110318/F50615/1693/1", 63.29)</f>
        <v>63.29</v>
      </c>
      <c r="E4186" s="2">
        <v>53.26</v>
      </c>
      <c r="F4186" s="2">
        <v>2</v>
      </c>
      <c r="G4186" s="2" t="s">
        <v>10</v>
      </c>
    </row>
    <row r="4187" spans="1:9" x14ac:dyDescent="0.2">
      <c r="A4187" s="2" t="s">
        <v>3250</v>
      </c>
      <c r="B4187" s="2" t="s">
        <v>311</v>
      </c>
      <c r="C4187" s="2">
        <v>598.8057</v>
      </c>
      <c r="D4187" s="2">
        <f>HYPERLINK("http://mcb-m6.bioreg.kyushu-u.ac.jp/M3/20110318/F50612/1188/1", 63.34)</f>
        <v>63.34</v>
      </c>
      <c r="E4187" s="2">
        <v>42.69</v>
      </c>
      <c r="F4187" s="2">
        <v>2</v>
      </c>
      <c r="G4187" s="2" t="s">
        <v>10</v>
      </c>
    </row>
    <row r="4188" spans="1:9" x14ac:dyDescent="0.2">
      <c r="A4188" s="2" t="s">
        <v>3250</v>
      </c>
      <c r="B4188" s="2" t="s">
        <v>102</v>
      </c>
      <c r="C4188" s="2">
        <v>616.36019999999996</v>
      </c>
      <c r="D4188" s="2">
        <f>HYPERLINK("http://mcb-m6.bioreg.kyushu-u.ac.jp/M3/20110318/F50613/1227/1", 63.97)</f>
        <v>63.97</v>
      </c>
      <c r="E4188" s="2">
        <v>43.98</v>
      </c>
      <c r="F4188" s="2">
        <v>2</v>
      </c>
      <c r="G4188" s="2" t="s">
        <v>10</v>
      </c>
      <c r="H4188" s="2" t="s">
        <v>4900</v>
      </c>
    </row>
    <row r="4189" spans="1:9" x14ac:dyDescent="0.2">
      <c r="A4189" s="2" t="s">
        <v>3250</v>
      </c>
      <c r="B4189" s="2" t="s">
        <v>365</v>
      </c>
      <c r="C4189" s="2">
        <v>848.84810000000004</v>
      </c>
      <c r="D4189" s="2">
        <f>HYPERLINK("http://mcb-m6.bioreg.kyushu-u.ac.jp/M3/20110318/F50615/1936/1", 65.43)</f>
        <v>65.430000000000007</v>
      </c>
      <c r="E4189" s="2">
        <v>46.74</v>
      </c>
      <c r="F4189" s="2">
        <v>2</v>
      </c>
      <c r="G4189" s="2" t="s">
        <v>10</v>
      </c>
    </row>
    <row r="4190" spans="1:9" x14ac:dyDescent="0.2">
      <c r="A4190" s="2" t="s">
        <v>3250</v>
      </c>
      <c r="B4190" s="2" t="s">
        <v>1787</v>
      </c>
      <c r="C4190" s="2">
        <v>588.36109999999996</v>
      </c>
      <c r="D4190" s="2">
        <f>HYPERLINK("http://mcb-m6.bioreg.kyushu-u.ac.jp/M3/20110318/F50613/1163/1", 65.83)</f>
        <v>65.83</v>
      </c>
      <c r="E4190" s="2">
        <v>44.35</v>
      </c>
      <c r="F4190" s="2">
        <v>2</v>
      </c>
      <c r="G4190" s="2" t="s">
        <v>10</v>
      </c>
      <c r="I4190" s="2" t="s">
        <v>4895</v>
      </c>
    </row>
    <row r="4191" spans="1:9" x14ac:dyDescent="0.2">
      <c r="A4191" s="2" t="s">
        <v>3250</v>
      </c>
      <c r="B4191" s="2" t="s">
        <v>365</v>
      </c>
      <c r="C4191" s="2">
        <v>849.45169999999996</v>
      </c>
      <c r="D4191" s="2">
        <f>HYPERLINK("http://mcb-m6.bioreg.kyushu-u.ac.jp/M3/20110318/F50612/1884/1", 66.37)</f>
        <v>66.37</v>
      </c>
      <c r="E4191" s="2">
        <v>49.3</v>
      </c>
      <c r="F4191" s="2">
        <v>2</v>
      </c>
      <c r="G4191" s="2" t="s">
        <v>10</v>
      </c>
    </row>
    <row r="4192" spans="1:9" x14ac:dyDescent="0.2">
      <c r="A4192" s="2" t="s">
        <v>3250</v>
      </c>
      <c r="B4192" s="2" t="s">
        <v>1787</v>
      </c>
      <c r="C4192" s="2">
        <v>588.32420000000002</v>
      </c>
      <c r="D4192" s="2">
        <f>HYPERLINK("http://mcb-m6.bioreg.kyushu-u.ac.jp/M3/20110318/F50614/1145/1", 66.62)</f>
        <v>66.62</v>
      </c>
      <c r="E4192" s="2">
        <v>40.78</v>
      </c>
      <c r="F4192" s="2">
        <v>2</v>
      </c>
      <c r="G4192" s="2" t="s">
        <v>10</v>
      </c>
      <c r="I4192" s="2" t="s">
        <v>4895</v>
      </c>
    </row>
    <row r="4193" spans="1:9" x14ac:dyDescent="0.2">
      <c r="A4193" s="2" t="s">
        <v>3250</v>
      </c>
      <c r="B4193" s="2" t="s">
        <v>481</v>
      </c>
      <c r="C4193" s="2">
        <v>709.48419999999999</v>
      </c>
      <c r="D4193" s="2">
        <f>HYPERLINK("http://mcb-m6.bioreg.kyushu-u.ac.jp/M3/20110318/F50595/1593/1", 67.03)</f>
        <v>67.03</v>
      </c>
      <c r="E4193" s="2">
        <v>51.63</v>
      </c>
      <c r="F4193" s="2">
        <v>2</v>
      </c>
      <c r="G4193" s="2" t="s">
        <v>10</v>
      </c>
      <c r="I4193" s="2" t="s">
        <v>4898</v>
      </c>
    </row>
    <row r="4194" spans="1:9" x14ac:dyDescent="0.2">
      <c r="A4194" s="2" t="s">
        <v>3250</v>
      </c>
      <c r="B4194" s="2" t="s">
        <v>834</v>
      </c>
      <c r="C4194" s="2">
        <v>621.88670000000002</v>
      </c>
      <c r="D4194" s="2">
        <f>HYPERLINK("http://mcb-m6.bioreg.kyushu-u.ac.jp/M3/20110318/F50615/1133/1", 67.14)</f>
        <v>67.14</v>
      </c>
      <c r="E4194" s="2">
        <v>51.65</v>
      </c>
      <c r="F4194" s="2">
        <v>2</v>
      </c>
      <c r="G4194" s="2" t="s">
        <v>10</v>
      </c>
    </row>
    <row r="4195" spans="1:9" x14ac:dyDescent="0.2">
      <c r="A4195" s="2" t="s">
        <v>3250</v>
      </c>
      <c r="B4195" s="2" t="s">
        <v>1787</v>
      </c>
      <c r="C4195" s="2">
        <v>588.42219999999998</v>
      </c>
      <c r="D4195" s="2">
        <f>HYPERLINK("http://mcb-m6.bioreg.kyushu-u.ac.jp/M3/20110318/F50596/1212/1", 67.28)</f>
        <v>67.28</v>
      </c>
      <c r="E4195" s="2">
        <v>38.5</v>
      </c>
      <c r="F4195" s="2">
        <v>2</v>
      </c>
      <c r="G4195" s="2" t="s">
        <v>10</v>
      </c>
      <c r="I4195" s="2" t="s">
        <v>4895</v>
      </c>
    </row>
    <row r="4196" spans="1:9" x14ac:dyDescent="0.2">
      <c r="A4196" s="2" t="s">
        <v>3250</v>
      </c>
      <c r="B4196" s="2" t="s">
        <v>481</v>
      </c>
      <c r="C4196" s="2">
        <v>709.77560000000005</v>
      </c>
      <c r="D4196" s="2">
        <f>HYPERLINK("http://mcb-m6.bioreg.kyushu-u.ac.jp/M3/20110318/F50611/1501/1", 67.3)</f>
        <v>67.3</v>
      </c>
      <c r="E4196" s="2">
        <v>40.51</v>
      </c>
      <c r="F4196" s="2">
        <v>2</v>
      </c>
      <c r="G4196" s="2" t="s">
        <v>10</v>
      </c>
      <c r="I4196" s="2" t="s">
        <v>4898</v>
      </c>
    </row>
    <row r="4197" spans="1:9" x14ac:dyDescent="0.2">
      <c r="A4197" s="2" t="s">
        <v>3250</v>
      </c>
      <c r="B4197" s="2" t="s">
        <v>772</v>
      </c>
      <c r="C4197" s="2">
        <v>596.24659999999994</v>
      </c>
      <c r="D4197" s="2">
        <f>HYPERLINK("http://mcb-m6.bioreg.kyushu-u.ac.jp/M3/20110318/F50613/1181/1", 67.44)</f>
        <v>67.44</v>
      </c>
      <c r="E4197" s="2">
        <v>41.05</v>
      </c>
      <c r="F4197" s="2">
        <v>2</v>
      </c>
      <c r="G4197" s="2" t="s">
        <v>10</v>
      </c>
    </row>
    <row r="4198" spans="1:9" x14ac:dyDescent="0.2">
      <c r="A4198" s="2" t="s">
        <v>3250</v>
      </c>
      <c r="B4198" s="2" t="s">
        <v>365</v>
      </c>
      <c r="C4198" s="2">
        <v>848.96010000000001</v>
      </c>
      <c r="D4198" s="2">
        <f>HYPERLINK("http://mcb-m6.bioreg.kyushu-u.ac.jp/M3/20110318/F50599/2021/1", 67.46)</f>
        <v>67.459999999999994</v>
      </c>
      <c r="E4198" s="2">
        <v>49.14</v>
      </c>
      <c r="F4198" s="2">
        <v>2</v>
      </c>
      <c r="G4198" s="2" t="s">
        <v>10</v>
      </c>
    </row>
    <row r="4199" spans="1:9" x14ac:dyDescent="0.2">
      <c r="A4199" s="2" t="s">
        <v>3250</v>
      </c>
      <c r="B4199" s="2" t="s">
        <v>481</v>
      </c>
      <c r="C4199" s="2">
        <v>709.43020000000001</v>
      </c>
      <c r="D4199" s="2">
        <f>HYPERLINK("http://mcb-m6.bioreg.kyushu-u.ac.jp/M3/20110318/F50600/1460/1", 68.1)</f>
        <v>68.099999999999994</v>
      </c>
      <c r="E4199" s="2">
        <v>47.06</v>
      </c>
      <c r="F4199" s="2">
        <v>2</v>
      </c>
      <c r="G4199" s="2" t="s">
        <v>10</v>
      </c>
      <c r="I4199" s="2" t="s">
        <v>4898</v>
      </c>
    </row>
    <row r="4200" spans="1:9" x14ac:dyDescent="0.2">
      <c r="A4200" s="2" t="s">
        <v>3250</v>
      </c>
      <c r="B4200" s="2" t="s">
        <v>1875</v>
      </c>
      <c r="C4200" s="2">
        <v>772.9067</v>
      </c>
      <c r="D4200" s="2">
        <f>HYPERLINK("http://mcb-m6.bioreg.kyushu-u.ac.jp/M3/20110318/F50614/1854/1", 68.36)</f>
        <v>68.36</v>
      </c>
      <c r="E4200" s="2">
        <v>54.79</v>
      </c>
      <c r="F4200" s="2">
        <v>2</v>
      </c>
      <c r="G4200" s="2" t="s">
        <v>10</v>
      </c>
    </row>
    <row r="4201" spans="1:9" x14ac:dyDescent="0.2">
      <c r="A4201" s="2" t="s">
        <v>3250</v>
      </c>
      <c r="B4201" s="2" t="s">
        <v>365</v>
      </c>
      <c r="C4201" s="2">
        <v>849.46420000000001</v>
      </c>
      <c r="D4201" s="2">
        <f>HYPERLINK("http://mcb-m6.bioreg.kyushu-u.ac.jp/M3/20110318/F50596/1991/1", 68.75)</f>
        <v>68.75</v>
      </c>
      <c r="E4201" s="2">
        <v>46.7</v>
      </c>
      <c r="F4201" s="2">
        <v>2</v>
      </c>
      <c r="G4201" s="2" t="s">
        <v>10</v>
      </c>
    </row>
    <row r="4202" spans="1:9" x14ac:dyDescent="0.2">
      <c r="A4202" s="2" t="s">
        <v>3250</v>
      </c>
      <c r="B4202" s="2" t="s">
        <v>1065</v>
      </c>
      <c r="C4202" s="2">
        <v>716.79470000000003</v>
      </c>
      <c r="D4202" s="2">
        <f>HYPERLINK("http://mcb-m6.bioreg.kyushu-u.ac.jp/M3/20110318/F50611/1537/1", 69.06)</f>
        <v>69.06</v>
      </c>
      <c r="E4202" s="2">
        <v>53.25</v>
      </c>
      <c r="F4202" s="2">
        <v>2</v>
      </c>
      <c r="G4202" s="2" t="s">
        <v>10</v>
      </c>
      <c r="I4202" s="2" t="s">
        <v>4892</v>
      </c>
    </row>
    <row r="4203" spans="1:9" x14ac:dyDescent="0.2">
      <c r="A4203" s="2" t="s">
        <v>3250</v>
      </c>
      <c r="B4203" s="2" t="s">
        <v>481</v>
      </c>
      <c r="C4203" s="2">
        <v>709.26509999999996</v>
      </c>
      <c r="D4203" s="2">
        <f>HYPERLINK("http://mcb-m6.bioreg.kyushu-u.ac.jp/M3/20110318/F50617/1432/1", 69.14)</f>
        <v>69.14</v>
      </c>
      <c r="E4203" s="2">
        <v>42.33</v>
      </c>
      <c r="F4203" s="2">
        <v>2</v>
      </c>
      <c r="G4203" s="2" t="s">
        <v>10</v>
      </c>
      <c r="I4203" s="2" t="s">
        <v>4898</v>
      </c>
    </row>
    <row r="4204" spans="1:9" x14ac:dyDescent="0.2">
      <c r="A4204" s="2" t="s">
        <v>3250</v>
      </c>
      <c r="B4204" s="2" t="s">
        <v>365</v>
      </c>
      <c r="C4204" s="2">
        <v>848.87710000000004</v>
      </c>
      <c r="D4204" s="2">
        <f>HYPERLINK("http://mcb-m6.bioreg.kyushu-u.ac.jp/M3/20110318/F50596/1989/1", 69.59)</f>
        <v>69.59</v>
      </c>
      <c r="E4204" s="2">
        <v>46.99</v>
      </c>
      <c r="F4204" s="2">
        <v>2</v>
      </c>
      <c r="G4204" s="2" t="s">
        <v>10</v>
      </c>
    </row>
    <row r="4205" spans="1:9" x14ac:dyDescent="0.2">
      <c r="A4205" s="2" t="s">
        <v>3250</v>
      </c>
      <c r="B4205" s="2" t="s">
        <v>102</v>
      </c>
      <c r="C4205" s="2">
        <v>608.64419999999996</v>
      </c>
      <c r="D4205" s="2">
        <f>HYPERLINK("http://mcb-m6.bioreg.kyushu-u.ac.jp/M3/20110318/F50596/1260/1", 70.11)</f>
        <v>70.11</v>
      </c>
      <c r="E4205" s="2">
        <v>51.75</v>
      </c>
      <c r="F4205" s="2">
        <v>2</v>
      </c>
      <c r="G4205" s="2" t="s">
        <v>10</v>
      </c>
    </row>
    <row r="4206" spans="1:9" x14ac:dyDescent="0.2">
      <c r="A4206" s="2" t="s">
        <v>3250</v>
      </c>
      <c r="B4206" s="2" t="s">
        <v>356</v>
      </c>
      <c r="C4206" s="2">
        <v>816.40560000000005</v>
      </c>
      <c r="D4206" s="2">
        <f>HYPERLINK("http://mcb-m6.bioreg.kyushu-u.ac.jp/M3/20110318/F50600/1853/1", 70.55)</f>
        <v>70.55</v>
      </c>
      <c r="E4206" s="2">
        <v>56.73</v>
      </c>
      <c r="F4206" s="2">
        <v>2</v>
      </c>
      <c r="G4206" s="2" t="s">
        <v>10</v>
      </c>
    </row>
    <row r="4207" spans="1:9" x14ac:dyDescent="0.2">
      <c r="A4207" s="2" t="s">
        <v>3250</v>
      </c>
      <c r="B4207" s="2" t="s">
        <v>365</v>
      </c>
      <c r="C4207" s="2">
        <v>848.81769999999995</v>
      </c>
      <c r="D4207" s="2">
        <f>HYPERLINK("http://mcb-m6.bioreg.kyushu-u.ac.jp/M3/20110318/F50611/2030/1", 70.58)</f>
        <v>70.58</v>
      </c>
      <c r="E4207" s="2">
        <v>50.96</v>
      </c>
      <c r="F4207" s="2">
        <v>2</v>
      </c>
      <c r="G4207" s="2" t="s">
        <v>10</v>
      </c>
    </row>
    <row r="4208" spans="1:9" x14ac:dyDescent="0.2">
      <c r="A4208" s="2" t="s">
        <v>3250</v>
      </c>
      <c r="B4208" s="2" t="s">
        <v>365</v>
      </c>
      <c r="C4208" s="2">
        <v>849.31820000000005</v>
      </c>
      <c r="D4208" s="2">
        <f>HYPERLINK("http://mcb-m6.bioreg.kyushu-u.ac.jp/M3/20110318/F50611/2034/1", 70.95)</f>
        <v>70.95</v>
      </c>
      <c r="E4208" s="2">
        <v>53.56</v>
      </c>
      <c r="F4208" s="2">
        <v>2</v>
      </c>
      <c r="G4208" s="2" t="s">
        <v>10</v>
      </c>
    </row>
    <row r="4209" spans="1:9" x14ac:dyDescent="0.2">
      <c r="A4209" s="2" t="s">
        <v>3250</v>
      </c>
      <c r="B4209" s="2" t="s">
        <v>365</v>
      </c>
      <c r="C4209" s="2">
        <v>848.76869999999997</v>
      </c>
      <c r="D4209" s="2">
        <f>HYPERLINK("http://mcb-m6.bioreg.kyushu-u.ac.jp/M3/20110318/F50617/1942/1", 71.2)</f>
        <v>71.2</v>
      </c>
      <c r="E4209" s="2">
        <v>52.3</v>
      </c>
      <c r="F4209" s="2">
        <v>2</v>
      </c>
      <c r="G4209" s="2" t="s">
        <v>10</v>
      </c>
    </row>
    <row r="4210" spans="1:9" x14ac:dyDescent="0.2">
      <c r="A4210" s="2" t="s">
        <v>3250</v>
      </c>
      <c r="B4210" s="2" t="s">
        <v>365</v>
      </c>
      <c r="C4210" s="2">
        <v>848.97170000000006</v>
      </c>
      <c r="D4210" s="2">
        <f>HYPERLINK("http://mcb-m6.bioreg.kyushu-u.ac.jp/M3/20110318/F50600/1922/1", 71.22)</f>
        <v>71.22</v>
      </c>
      <c r="E4210" s="2">
        <v>54.92</v>
      </c>
      <c r="F4210" s="2">
        <v>2</v>
      </c>
      <c r="G4210" s="2" t="s">
        <v>10</v>
      </c>
    </row>
    <row r="4211" spans="1:9" x14ac:dyDescent="0.2">
      <c r="A4211" s="2" t="s">
        <v>3250</v>
      </c>
      <c r="B4211" s="2" t="s">
        <v>1875</v>
      </c>
      <c r="C4211" s="2">
        <v>772.34310000000005</v>
      </c>
      <c r="D4211" s="2">
        <f>HYPERLINK("http://mcb-m6.bioreg.kyushu-u.ac.jp/M3/20110318/F50611/1805/1", 71.64)</f>
        <v>71.64</v>
      </c>
      <c r="E4211" s="2">
        <v>58.46</v>
      </c>
      <c r="F4211" s="2">
        <v>2</v>
      </c>
      <c r="G4211" s="2" t="s">
        <v>10</v>
      </c>
    </row>
    <row r="4212" spans="1:9" x14ac:dyDescent="0.2">
      <c r="A4212" s="2" t="s">
        <v>3250</v>
      </c>
      <c r="B4212" s="2" t="s">
        <v>503</v>
      </c>
      <c r="C4212" s="2">
        <v>816.84010000000001</v>
      </c>
      <c r="D4212" s="2">
        <f>HYPERLINK("http://mcb-m6.bioreg.kyushu-u.ac.jp/M3/20110318/F50613/1981/1", 72.11)</f>
        <v>72.11</v>
      </c>
      <c r="E4212" s="2">
        <v>61.99</v>
      </c>
      <c r="F4212" s="2">
        <v>2</v>
      </c>
      <c r="G4212" s="2" t="s">
        <v>10</v>
      </c>
      <c r="H4212" s="2" t="s">
        <v>4907</v>
      </c>
    </row>
    <row r="4213" spans="1:9" x14ac:dyDescent="0.2">
      <c r="A4213" s="2" t="s">
        <v>3250</v>
      </c>
      <c r="B4213" s="2" t="s">
        <v>1065</v>
      </c>
      <c r="C4213" s="2">
        <v>716.77419999999995</v>
      </c>
      <c r="D4213" s="2">
        <f>HYPERLINK("http://mcb-m6.bioreg.kyushu-u.ac.jp/M3/20110318/F50622/1339/1", 73.4)</f>
        <v>73.400000000000006</v>
      </c>
      <c r="E4213" s="2">
        <v>60.09</v>
      </c>
      <c r="F4213" s="2">
        <v>2</v>
      </c>
      <c r="G4213" s="2" t="s">
        <v>10</v>
      </c>
      <c r="I4213" s="2" t="s">
        <v>4892</v>
      </c>
    </row>
    <row r="4214" spans="1:9" x14ac:dyDescent="0.2">
      <c r="A4214" s="2" t="s">
        <v>3250</v>
      </c>
      <c r="B4214" s="2" t="s">
        <v>365</v>
      </c>
      <c r="C4214" s="2">
        <v>1696.7470000000001</v>
      </c>
      <c r="D4214" s="2">
        <f>HYPERLINK("http://mcb-m6.bioreg.kyushu-u.ac.jp/M3/20110318/F50614/2131/1", 73.78)</f>
        <v>73.78</v>
      </c>
      <c r="E4214" s="2">
        <v>54.22</v>
      </c>
      <c r="F4214" s="2">
        <v>1</v>
      </c>
      <c r="G4214" s="2" t="s">
        <v>10</v>
      </c>
    </row>
    <row r="4215" spans="1:9" x14ac:dyDescent="0.2">
      <c r="A4215" s="2" t="s">
        <v>3250</v>
      </c>
      <c r="B4215" s="2" t="s">
        <v>467</v>
      </c>
      <c r="C4215" s="2">
        <v>692.28769999999997</v>
      </c>
      <c r="D4215" s="2">
        <f>HYPERLINK("http://mcb-m6.bioreg.kyushu-u.ac.jp/M3/20110318/F50612/1393/1", 74.41)</f>
        <v>74.41</v>
      </c>
      <c r="E4215" s="2">
        <v>44.26</v>
      </c>
      <c r="F4215" s="2">
        <v>2</v>
      </c>
      <c r="G4215" s="2" t="s">
        <v>10</v>
      </c>
    </row>
    <row r="4216" spans="1:9" x14ac:dyDescent="0.2">
      <c r="A4216" s="2" t="s">
        <v>3250</v>
      </c>
      <c r="B4216" s="2" t="s">
        <v>1065</v>
      </c>
      <c r="C4216" s="2">
        <v>716.9941</v>
      </c>
      <c r="D4216" s="2">
        <f>HYPERLINK("http://mcb-m6.bioreg.kyushu-u.ac.jp/M3/20110318/F50595/1609/1", 74.53)</f>
        <v>74.53</v>
      </c>
      <c r="E4216" s="2">
        <v>63.39</v>
      </c>
      <c r="F4216" s="2">
        <v>2</v>
      </c>
      <c r="G4216" s="2" t="s">
        <v>10</v>
      </c>
      <c r="I4216" s="2" t="s">
        <v>4892</v>
      </c>
    </row>
    <row r="4217" spans="1:9" x14ac:dyDescent="0.2">
      <c r="A4217" s="2" t="s">
        <v>3250</v>
      </c>
      <c r="B4217" s="2" t="s">
        <v>543</v>
      </c>
      <c r="C4217" s="2">
        <v>927.44920000000002</v>
      </c>
      <c r="D4217" s="2">
        <f>HYPERLINK("http://mcb-m6.bioreg.kyushu-u.ac.jp/M3/20110318/F50611/2264/1", 75.63)</f>
        <v>75.63</v>
      </c>
      <c r="E4217" s="2">
        <v>61.72</v>
      </c>
      <c r="F4217" s="2">
        <v>2</v>
      </c>
      <c r="G4217" s="2" t="s">
        <v>10</v>
      </c>
    </row>
    <row r="4218" spans="1:9" x14ac:dyDescent="0.2">
      <c r="A4218" s="2" t="s">
        <v>3250</v>
      </c>
      <c r="B4218" s="2" t="s">
        <v>1065</v>
      </c>
      <c r="C4218" s="2">
        <v>716.8777</v>
      </c>
      <c r="D4218" s="2">
        <f>HYPERLINK("http://mcb-m6.bioreg.kyushu-u.ac.jp/M3/20110318/F50596/1523/1", 76.12)</f>
        <v>76.12</v>
      </c>
      <c r="E4218" s="2">
        <v>65.41</v>
      </c>
      <c r="F4218" s="2">
        <v>2</v>
      </c>
      <c r="G4218" s="2" t="s">
        <v>10</v>
      </c>
      <c r="I4218" s="2" t="s">
        <v>4892</v>
      </c>
    </row>
    <row r="4219" spans="1:9" x14ac:dyDescent="0.2">
      <c r="A4219" s="2" t="s">
        <v>3250</v>
      </c>
      <c r="B4219" s="2" t="s">
        <v>503</v>
      </c>
      <c r="C4219" s="2">
        <v>816.33069999999998</v>
      </c>
      <c r="D4219" s="2">
        <f>HYPERLINK("http://mcb-m6.bioreg.kyushu-u.ac.jp/M3/20110318/F50611/1937/1", 76.58)</f>
        <v>76.58</v>
      </c>
      <c r="E4219" s="2">
        <v>60.51</v>
      </c>
      <c r="F4219" s="2">
        <v>2</v>
      </c>
      <c r="G4219" s="2" t="s">
        <v>10</v>
      </c>
      <c r="H4219" s="2" t="s">
        <v>4907</v>
      </c>
    </row>
    <row r="4220" spans="1:9" x14ac:dyDescent="0.2">
      <c r="A4220" s="2" t="s">
        <v>3250</v>
      </c>
      <c r="B4220" s="2" t="s">
        <v>1875</v>
      </c>
      <c r="C4220" s="2">
        <v>772.37120000000004</v>
      </c>
      <c r="D4220" s="2">
        <f>HYPERLINK("http://mcb-m6.bioreg.kyushu-u.ac.jp/M3/20110318/F50613/1802/1", 76.65)</f>
        <v>76.650000000000006</v>
      </c>
      <c r="E4220" s="2">
        <v>67.3</v>
      </c>
      <c r="F4220" s="2">
        <v>2</v>
      </c>
      <c r="G4220" s="2" t="s">
        <v>10</v>
      </c>
    </row>
    <row r="4221" spans="1:9" x14ac:dyDescent="0.2">
      <c r="A4221" s="2" t="s">
        <v>3250</v>
      </c>
      <c r="B4221" s="2" t="s">
        <v>543</v>
      </c>
      <c r="C4221" s="2">
        <v>927.54020000000003</v>
      </c>
      <c r="D4221" s="2">
        <f>HYPERLINK("http://mcb-m6.bioreg.kyushu-u.ac.jp/M3/20110318/F50613/2351/1", 76.78)</f>
        <v>76.78</v>
      </c>
      <c r="E4221" s="2">
        <v>63.77</v>
      </c>
      <c r="F4221" s="2">
        <v>2</v>
      </c>
      <c r="G4221" s="2" t="s">
        <v>10</v>
      </c>
    </row>
    <row r="4222" spans="1:9" x14ac:dyDescent="0.2">
      <c r="A4222" s="2" t="s">
        <v>3250</v>
      </c>
      <c r="B4222" s="2" t="s">
        <v>772</v>
      </c>
      <c r="C4222" s="2">
        <v>595.88419999999996</v>
      </c>
      <c r="D4222" s="2">
        <f>HYPERLINK("http://mcb-m6.bioreg.kyushu-u.ac.jp/M3/20110318/F50595/1443/1", 76.92)</f>
        <v>76.92</v>
      </c>
      <c r="E4222" s="2">
        <v>49.17</v>
      </c>
      <c r="F4222" s="2">
        <v>2</v>
      </c>
      <c r="G4222" s="2" t="s">
        <v>10</v>
      </c>
    </row>
    <row r="4223" spans="1:9" x14ac:dyDescent="0.2">
      <c r="A4223" s="2" t="s">
        <v>3250</v>
      </c>
      <c r="B4223" s="2" t="s">
        <v>481</v>
      </c>
      <c r="C4223" s="2">
        <v>709.84619999999995</v>
      </c>
      <c r="D4223" s="2">
        <f>HYPERLINK("http://mcb-m6.bioreg.kyushu-u.ac.jp/M3/20110318/F50612/1431/1", 77.57)</f>
        <v>77.569999999999993</v>
      </c>
      <c r="E4223" s="2">
        <v>50.45</v>
      </c>
      <c r="F4223" s="2">
        <v>2</v>
      </c>
      <c r="G4223" s="2" t="s">
        <v>10</v>
      </c>
      <c r="I4223" s="2" t="s">
        <v>4898</v>
      </c>
    </row>
    <row r="4224" spans="1:9" x14ac:dyDescent="0.2">
      <c r="A4224" s="2" t="s">
        <v>3250</v>
      </c>
      <c r="B4224" s="2" t="s">
        <v>365</v>
      </c>
      <c r="C4224" s="2">
        <v>848.87459999999999</v>
      </c>
      <c r="D4224" s="2">
        <f>HYPERLINK("http://mcb-m6.bioreg.kyushu-u.ac.jp/M3/20110318/F50612/1881/1", 77.99)</f>
        <v>77.989999999999995</v>
      </c>
      <c r="E4224" s="2">
        <v>63.04</v>
      </c>
      <c r="F4224" s="2">
        <v>2</v>
      </c>
      <c r="G4224" s="2" t="s">
        <v>10</v>
      </c>
    </row>
    <row r="4225" spans="1:9" x14ac:dyDescent="0.2">
      <c r="A4225" s="2" t="s">
        <v>3250</v>
      </c>
      <c r="B4225" s="2" t="s">
        <v>834</v>
      </c>
      <c r="C4225" s="2">
        <v>621.91269999999997</v>
      </c>
      <c r="D4225" s="2">
        <f>HYPERLINK("http://mcb-m6.bioreg.kyushu-u.ac.jp/M3/20110318/F50614/1256/1", 78.85)</f>
        <v>78.849999999999994</v>
      </c>
      <c r="E4225" s="2">
        <v>62.2</v>
      </c>
      <c r="F4225" s="2">
        <v>2</v>
      </c>
      <c r="G4225" s="2" t="s">
        <v>10</v>
      </c>
    </row>
    <row r="4226" spans="1:9" x14ac:dyDescent="0.2">
      <c r="A4226" s="2" t="s">
        <v>3250</v>
      </c>
      <c r="B4226" s="2" t="s">
        <v>772</v>
      </c>
      <c r="C4226" s="2">
        <v>596.26170000000002</v>
      </c>
      <c r="D4226" s="2">
        <f>HYPERLINK("http://mcb-m6.bioreg.kyushu-u.ac.jp/M3/20110318/F50612/1181/1", 79.03)</f>
        <v>79.03</v>
      </c>
      <c r="E4226" s="2">
        <v>54.64</v>
      </c>
      <c r="F4226" s="2">
        <v>2</v>
      </c>
      <c r="G4226" s="2" t="s">
        <v>10</v>
      </c>
    </row>
    <row r="4227" spans="1:9" x14ac:dyDescent="0.2">
      <c r="A4227" s="2" t="s">
        <v>3250</v>
      </c>
      <c r="B4227" s="2" t="s">
        <v>561</v>
      </c>
      <c r="C4227" s="2">
        <v>662.49069999999995</v>
      </c>
      <c r="D4227" s="2">
        <f>HYPERLINK("http://mcb-m6.bioreg.kyushu-u.ac.jp/M3/20110318/F50615/1253/1", 79.26)</f>
        <v>79.260000000000005</v>
      </c>
      <c r="E4227" s="2">
        <v>56.68</v>
      </c>
      <c r="F4227" s="2">
        <v>2</v>
      </c>
      <c r="G4227" s="2" t="s">
        <v>10</v>
      </c>
      <c r="H4227" s="2" t="s">
        <v>4919</v>
      </c>
    </row>
    <row r="4228" spans="1:9" x14ac:dyDescent="0.2">
      <c r="A4228" s="2" t="s">
        <v>3250</v>
      </c>
      <c r="B4228" s="2" t="s">
        <v>481</v>
      </c>
      <c r="C4228" s="2">
        <v>709.48109999999997</v>
      </c>
      <c r="D4228" s="2">
        <f>HYPERLINK("http://mcb-m6.bioreg.kyushu-u.ac.jp/M3/20110318/F50597/1453/1", 79.46)</f>
        <v>79.459999999999994</v>
      </c>
      <c r="E4228" s="2">
        <v>62.63</v>
      </c>
      <c r="F4228" s="2">
        <v>2</v>
      </c>
      <c r="G4228" s="2" t="s">
        <v>10</v>
      </c>
      <c r="I4228" s="2" t="s">
        <v>4898</v>
      </c>
    </row>
    <row r="4229" spans="1:9" x14ac:dyDescent="0.2">
      <c r="A4229" s="2" t="s">
        <v>3250</v>
      </c>
      <c r="B4229" s="2" t="s">
        <v>467</v>
      </c>
      <c r="C4229" s="2">
        <v>1382.4680000000001</v>
      </c>
      <c r="D4229" s="2">
        <f>HYPERLINK("http://mcb-m6.bioreg.kyushu-u.ac.jp/M3/20110318/F50611/1437/1", 80.16)</f>
        <v>80.16</v>
      </c>
      <c r="E4229" s="2">
        <v>61.06</v>
      </c>
      <c r="F4229" s="2">
        <v>1</v>
      </c>
      <c r="G4229" s="2" t="s">
        <v>10</v>
      </c>
    </row>
    <row r="4230" spans="1:9" x14ac:dyDescent="0.2">
      <c r="A4230" s="2" t="s">
        <v>3250</v>
      </c>
      <c r="B4230" s="2" t="s">
        <v>90</v>
      </c>
      <c r="C4230" s="2">
        <v>716.96310000000005</v>
      </c>
      <c r="D4230" s="2">
        <f>HYPERLINK("http://mcb-m6.bioreg.kyushu-u.ac.jp/M3/20110318/F50622/1340/1", 84.37)</f>
        <v>84.37</v>
      </c>
      <c r="E4230" s="2">
        <v>51.54</v>
      </c>
      <c r="F4230" s="2">
        <v>2</v>
      </c>
      <c r="G4230" s="2" t="s">
        <v>10</v>
      </c>
    </row>
    <row r="4231" spans="1:9" x14ac:dyDescent="0.2">
      <c r="A4231" s="2" t="s">
        <v>3250</v>
      </c>
      <c r="B4231" s="2" t="s">
        <v>543</v>
      </c>
      <c r="C4231" s="2">
        <v>927.12959999999998</v>
      </c>
      <c r="D4231" s="2">
        <f>HYPERLINK("http://mcb-m6.bioreg.kyushu-u.ac.jp/M3/20110318/F50614/2396/1", 85.57)</f>
        <v>85.57</v>
      </c>
      <c r="E4231" s="2">
        <v>70.27</v>
      </c>
      <c r="F4231" s="2">
        <v>2</v>
      </c>
      <c r="G4231" s="2" t="s">
        <v>10</v>
      </c>
    </row>
    <row r="4232" spans="1:9" x14ac:dyDescent="0.2">
      <c r="A4232" s="2" t="s">
        <v>3250</v>
      </c>
      <c r="B4232" s="2" t="s">
        <v>356</v>
      </c>
      <c r="C4232" s="2">
        <v>815.75319999999999</v>
      </c>
      <c r="D4232" s="2">
        <f>HYPERLINK("http://mcb-m6.bioreg.kyushu-u.ac.jp/M3/20110318/F50617/1881/1", 86.13)</f>
        <v>86.13</v>
      </c>
      <c r="E4232" s="2">
        <v>56.92</v>
      </c>
      <c r="F4232" s="2">
        <v>2</v>
      </c>
      <c r="G4232" s="2" t="s">
        <v>10</v>
      </c>
    </row>
    <row r="4233" spans="1:9" x14ac:dyDescent="0.2">
      <c r="A4233" s="2" t="s">
        <v>3250</v>
      </c>
      <c r="B4233" s="2" t="s">
        <v>772</v>
      </c>
      <c r="C4233" s="2">
        <v>595.81709999999998</v>
      </c>
      <c r="D4233" s="2">
        <f>HYPERLINK("http://mcb-m6.bioreg.kyushu-u.ac.jp/M3/20110318/F50611/1215/1", 87.76)</f>
        <v>87.76</v>
      </c>
      <c r="E4233" s="2">
        <v>58.79</v>
      </c>
      <c r="F4233" s="2">
        <v>2</v>
      </c>
      <c r="G4233" s="2" t="s">
        <v>10</v>
      </c>
    </row>
    <row r="4234" spans="1:9" x14ac:dyDescent="0.2">
      <c r="A4234" s="2" t="s">
        <v>3250</v>
      </c>
      <c r="B4234" s="2" t="s">
        <v>772</v>
      </c>
      <c r="C4234" s="2">
        <v>595.70569999999998</v>
      </c>
      <c r="D4234" s="2">
        <f>HYPERLINK("http://mcb-m6.bioreg.kyushu-u.ac.jp/M3/20110318/F50612/1178/1", 87.92)</f>
        <v>87.92</v>
      </c>
      <c r="E4234" s="2">
        <v>53.65</v>
      </c>
      <c r="F4234" s="2">
        <v>2</v>
      </c>
      <c r="G4234" s="2" t="s">
        <v>10</v>
      </c>
    </row>
    <row r="4235" spans="1:9" x14ac:dyDescent="0.2">
      <c r="A4235" s="2" t="s">
        <v>3250</v>
      </c>
      <c r="B4235" s="2" t="s">
        <v>356</v>
      </c>
      <c r="C4235" s="2">
        <v>816.36519999999996</v>
      </c>
      <c r="D4235" s="2">
        <f>HYPERLINK("http://mcb-m6.bioreg.kyushu-u.ac.jp/M3/20110318/F50613/1976/1", 90.6)</f>
        <v>90.6</v>
      </c>
      <c r="E4235" s="2">
        <v>75.739999999999995</v>
      </c>
      <c r="F4235" s="2">
        <v>2</v>
      </c>
      <c r="G4235" s="2" t="s">
        <v>10</v>
      </c>
    </row>
    <row r="4236" spans="1:9" x14ac:dyDescent="0.2">
      <c r="A4236" s="2" t="s">
        <v>3250</v>
      </c>
      <c r="B4236" s="2" t="s">
        <v>772</v>
      </c>
      <c r="C4236" s="2">
        <v>595.78219999999999</v>
      </c>
      <c r="D4236" s="2">
        <f>HYPERLINK("http://mcb-m6.bioreg.kyushu-u.ac.jp/M3/20110318/F50596/1231/1", 91.69)</f>
        <v>91.69</v>
      </c>
      <c r="E4236" s="2">
        <v>56.44</v>
      </c>
      <c r="F4236" s="2">
        <v>2</v>
      </c>
      <c r="G4236" s="2" t="s">
        <v>10</v>
      </c>
    </row>
    <row r="4237" spans="1:9" x14ac:dyDescent="0.2">
      <c r="A4237" s="2" t="s">
        <v>3250</v>
      </c>
      <c r="B4237" s="2" t="s">
        <v>90</v>
      </c>
      <c r="C4237" s="2">
        <v>717.2731</v>
      </c>
      <c r="D4237" s="2">
        <f>HYPERLINK("http://mcb-m6.bioreg.kyushu-u.ac.jp/M3/20110318/F50611/1540/1", 92)</f>
        <v>92</v>
      </c>
      <c r="E4237" s="2">
        <v>67.47</v>
      </c>
      <c r="F4237" s="2">
        <v>2</v>
      </c>
      <c r="G4237" s="2" t="s">
        <v>10</v>
      </c>
    </row>
    <row r="4238" spans="1:9" x14ac:dyDescent="0.2">
      <c r="A4238" s="2" t="s">
        <v>3250</v>
      </c>
      <c r="B4238" s="2" t="s">
        <v>1765</v>
      </c>
      <c r="C4238" s="2">
        <v>761.3827</v>
      </c>
      <c r="D4238" s="2">
        <f>HYPERLINK("http://mcb-m6.bioreg.kyushu-u.ac.jp/M3/20110318/F50614/1784/1", 92.92)</f>
        <v>92.92</v>
      </c>
      <c r="E4238" s="2">
        <v>51.19</v>
      </c>
      <c r="F4238" s="2">
        <v>2</v>
      </c>
      <c r="G4238" s="2" t="s">
        <v>10</v>
      </c>
    </row>
    <row r="4239" spans="1:9" x14ac:dyDescent="0.2">
      <c r="A4239" s="2" t="s">
        <v>3250</v>
      </c>
      <c r="B4239" s="2" t="s">
        <v>481</v>
      </c>
      <c r="C4239" s="2">
        <v>709.09720000000004</v>
      </c>
      <c r="D4239" s="2">
        <f>HYPERLINK("http://mcb-m6.bioreg.kyushu-u.ac.jp/M3/20110318/F50611/1500/1", 94.03)</f>
        <v>94.03</v>
      </c>
      <c r="E4239" s="2">
        <v>69.34</v>
      </c>
      <c r="F4239" s="2">
        <v>2</v>
      </c>
      <c r="G4239" s="2" t="s">
        <v>10</v>
      </c>
      <c r="I4239" s="2" t="s">
        <v>4898</v>
      </c>
    </row>
    <row r="4240" spans="1:9" x14ac:dyDescent="0.2">
      <c r="A4240" s="2" t="s">
        <v>3250</v>
      </c>
      <c r="B4240" s="2" t="s">
        <v>90</v>
      </c>
      <c r="C4240" s="2">
        <v>717.26670000000001</v>
      </c>
      <c r="D4240" s="2">
        <f>HYPERLINK("http://mcb-m6.bioreg.kyushu-u.ac.jp/M3/20110318/F50612/1456/1", 94.15)</f>
        <v>94.15</v>
      </c>
      <c r="E4240" s="2">
        <v>71.849999999999994</v>
      </c>
      <c r="F4240" s="2">
        <v>2</v>
      </c>
      <c r="G4240" s="2" t="s">
        <v>10</v>
      </c>
    </row>
    <row r="4241" spans="1:9" x14ac:dyDescent="0.2">
      <c r="A4241" s="2" t="s">
        <v>3250</v>
      </c>
      <c r="B4241" s="2" t="s">
        <v>90</v>
      </c>
      <c r="C4241" s="2">
        <v>717.25670000000002</v>
      </c>
      <c r="D4241" s="2">
        <f>HYPERLINK("http://mcb-m6.bioreg.kyushu-u.ac.jp/M3/20110318/F50596/1527/1", 94.75)</f>
        <v>94.75</v>
      </c>
      <c r="E4241" s="2">
        <v>69.28</v>
      </c>
      <c r="F4241" s="2">
        <v>2</v>
      </c>
      <c r="G4241" s="2" t="s">
        <v>10</v>
      </c>
    </row>
    <row r="4242" spans="1:9" x14ac:dyDescent="0.2">
      <c r="A4242" s="2" t="s">
        <v>3250</v>
      </c>
      <c r="B4242" s="2" t="s">
        <v>467</v>
      </c>
      <c r="C4242" s="2">
        <v>691.76319999999998</v>
      </c>
      <c r="D4242" s="2">
        <f>HYPERLINK("http://mcb-m6.bioreg.kyushu-u.ac.jp/M3/20110318/F50612/1392/1", 95.04)</f>
        <v>95.04</v>
      </c>
      <c r="E4242" s="2">
        <v>67.099999999999994</v>
      </c>
      <c r="F4242" s="2">
        <v>2</v>
      </c>
      <c r="G4242" s="2" t="s">
        <v>10</v>
      </c>
    </row>
    <row r="4243" spans="1:9" x14ac:dyDescent="0.2">
      <c r="A4243" s="2" t="s">
        <v>3250</v>
      </c>
      <c r="B4243" s="2" t="s">
        <v>1255</v>
      </c>
      <c r="C4243" s="2">
        <v>1273.9059999999999</v>
      </c>
      <c r="D4243" s="2">
        <f>HYPERLINK("http://mcb-m6.bioreg.kyushu-u.ac.jp/M3/20110318/F50596/2884/1", 95.55)</f>
        <v>95.55</v>
      </c>
      <c r="E4243" s="2">
        <v>88.13</v>
      </c>
      <c r="F4243" s="2">
        <v>2</v>
      </c>
      <c r="G4243" s="2" t="s">
        <v>10</v>
      </c>
      <c r="I4243" s="2" t="s">
        <v>4906</v>
      </c>
    </row>
    <row r="4244" spans="1:9" x14ac:dyDescent="0.2">
      <c r="A4244" s="2" t="s">
        <v>3250</v>
      </c>
      <c r="B4244" s="2" t="s">
        <v>1255</v>
      </c>
      <c r="C4244" s="2">
        <v>1273.874</v>
      </c>
      <c r="D4244" s="2">
        <f>HYPERLINK("http://mcb-m6.bioreg.kyushu-u.ac.jp/M3/20110318/F50611/2964/1", 95.55)</f>
        <v>95.55</v>
      </c>
      <c r="E4244" s="2">
        <v>86.24</v>
      </c>
      <c r="F4244" s="2">
        <v>2</v>
      </c>
      <c r="G4244" s="2" t="s">
        <v>10</v>
      </c>
      <c r="I4244" s="2" t="s">
        <v>4906</v>
      </c>
    </row>
    <row r="4245" spans="1:9" x14ac:dyDescent="0.2">
      <c r="A4245" s="2" t="s">
        <v>3250</v>
      </c>
      <c r="B4245" s="2" t="s">
        <v>1255</v>
      </c>
      <c r="C4245" s="2">
        <v>1273.412</v>
      </c>
      <c r="D4245" s="2">
        <f>HYPERLINK("http://mcb-m6.bioreg.kyushu-u.ac.jp/M3/20110318/F50597/3073/1", 96.37)</f>
        <v>96.37</v>
      </c>
      <c r="E4245" s="2">
        <v>80.19</v>
      </c>
      <c r="F4245" s="2">
        <v>2</v>
      </c>
      <c r="G4245" s="2" t="s">
        <v>10</v>
      </c>
      <c r="I4245" s="2" t="s">
        <v>4906</v>
      </c>
    </row>
    <row r="4246" spans="1:9" x14ac:dyDescent="0.2">
      <c r="A4246" s="2" t="s">
        <v>3250</v>
      </c>
      <c r="B4246" s="2" t="s">
        <v>1255</v>
      </c>
      <c r="C4246" s="2">
        <v>1273.3589999999999</v>
      </c>
      <c r="D4246" s="2">
        <f>HYPERLINK("http://mcb-m6.bioreg.kyushu-u.ac.jp/M3/20110318/F50611/2962/1", 96.4)</f>
        <v>96.4</v>
      </c>
      <c r="E4246" s="2">
        <v>81.150000000000006</v>
      </c>
      <c r="F4246" s="2">
        <v>2</v>
      </c>
      <c r="G4246" s="2" t="s">
        <v>10</v>
      </c>
      <c r="I4246" s="2" t="s">
        <v>4906</v>
      </c>
    </row>
    <row r="4247" spans="1:9" x14ac:dyDescent="0.2">
      <c r="A4247" s="2" t="s">
        <v>3250</v>
      </c>
      <c r="B4247" s="2" t="s">
        <v>772</v>
      </c>
      <c r="C4247" s="2">
        <v>595.74369999999999</v>
      </c>
      <c r="D4247" s="2">
        <f>HYPERLINK("http://mcb-m6.bioreg.kyushu-u.ac.jp/M3/20110318/F50613/1179/1", 96.49)</f>
        <v>96.49</v>
      </c>
      <c r="E4247" s="2">
        <v>56.71</v>
      </c>
      <c r="F4247" s="2">
        <v>2</v>
      </c>
      <c r="G4247" s="2" t="s">
        <v>10</v>
      </c>
    </row>
    <row r="4248" spans="1:9" x14ac:dyDescent="0.2">
      <c r="A4248" s="2" t="s">
        <v>3250</v>
      </c>
      <c r="B4248" s="2" t="s">
        <v>1255</v>
      </c>
      <c r="C4248" s="2">
        <v>1273.951</v>
      </c>
      <c r="D4248" s="2">
        <f>HYPERLINK("http://mcb-m6.bioreg.kyushu-u.ac.jp/M3/20110318/F50599/2822/1", 100.84)</f>
        <v>100.84</v>
      </c>
      <c r="E4248" s="2">
        <v>90.87</v>
      </c>
      <c r="F4248" s="2">
        <v>2</v>
      </c>
      <c r="G4248" s="2" t="s">
        <v>10</v>
      </c>
      <c r="I4248" s="2" t="s">
        <v>4906</v>
      </c>
    </row>
    <row r="4249" spans="1:9" x14ac:dyDescent="0.2">
      <c r="A4249" s="2" t="s">
        <v>3250</v>
      </c>
      <c r="B4249" s="2" t="s">
        <v>1255</v>
      </c>
      <c r="C4249" s="2">
        <v>1274.08</v>
      </c>
      <c r="D4249" s="2">
        <f>HYPERLINK("http://mcb-m6.bioreg.kyushu-u.ac.jp/M3/20110318/F50595/2507/1", 100.87)</f>
        <v>100.87</v>
      </c>
      <c r="E4249" s="2">
        <v>88.03</v>
      </c>
      <c r="F4249" s="2">
        <v>2</v>
      </c>
      <c r="G4249" s="2" t="s">
        <v>10</v>
      </c>
      <c r="I4249" s="2" t="s">
        <v>4906</v>
      </c>
    </row>
    <row r="4250" spans="1:9" x14ac:dyDescent="0.2">
      <c r="A4250" s="2" t="s">
        <v>3250</v>
      </c>
      <c r="B4250" s="2" t="s">
        <v>1255</v>
      </c>
      <c r="C4250" s="2">
        <v>1273.741</v>
      </c>
      <c r="D4250" s="2">
        <f>HYPERLINK("http://mcb-m6.bioreg.kyushu-u.ac.jp/M3/20110318/F50613/3120/1", 101.16)</f>
        <v>101.16</v>
      </c>
      <c r="E4250" s="2">
        <v>91.25</v>
      </c>
      <c r="F4250" s="2">
        <v>2</v>
      </c>
      <c r="G4250" s="2" t="s">
        <v>10</v>
      </c>
      <c r="I4250" s="2" t="s">
        <v>4906</v>
      </c>
    </row>
    <row r="4251" spans="1:9" x14ac:dyDescent="0.2">
      <c r="A4251" s="2" t="s">
        <v>3250</v>
      </c>
      <c r="B4251" s="2" t="s">
        <v>467</v>
      </c>
      <c r="C4251" s="2">
        <v>691.84720000000004</v>
      </c>
      <c r="D4251" s="2">
        <f>HYPERLINK("http://mcb-m6.bioreg.kyushu-u.ac.jp/M3/20110318/F50596/1452/1", 101.33)</f>
        <v>101.33</v>
      </c>
      <c r="E4251" s="2">
        <v>66.72</v>
      </c>
      <c r="F4251" s="2">
        <v>2</v>
      </c>
      <c r="G4251" s="2" t="s">
        <v>10</v>
      </c>
    </row>
    <row r="4252" spans="1:9" x14ac:dyDescent="0.2">
      <c r="A4252" s="2" t="s">
        <v>3250</v>
      </c>
      <c r="B4252" s="2" t="s">
        <v>1255</v>
      </c>
      <c r="C4252" s="2">
        <v>1273.924</v>
      </c>
      <c r="D4252" s="2">
        <f>HYPERLINK("http://mcb-m6.bioreg.kyushu-u.ac.jp/M3/20110318/F50597/3077/1", 107.55)</f>
        <v>107.55</v>
      </c>
      <c r="E4252" s="2">
        <v>100.32</v>
      </c>
      <c r="F4252" s="2">
        <v>2</v>
      </c>
      <c r="G4252" s="2" t="s">
        <v>10</v>
      </c>
      <c r="I4252" s="2" t="s">
        <v>4906</v>
      </c>
    </row>
    <row r="4253" spans="1:9" x14ac:dyDescent="0.2">
      <c r="A4253" s="2" t="s">
        <v>3250</v>
      </c>
      <c r="B4253" s="2" t="s">
        <v>1255</v>
      </c>
      <c r="C4253" s="2">
        <v>1273.8040000000001</v>
      </c>
      <c r="D4253" s="2">
        <f>HYPERLINK("http://mcb-m6.bioreg.kyushu-u.ac.jp/M3/20110318/F50614/3238/1", 107.61)</f>
        <v>107.61</v>
      </c>
      <c r="E4253" s="2">
        <v>99.94</v>
      </c>
      <c r="F4253" s="2">
        <v>2</v>
      </c>
      <c r="G4253" s="2" t="s">
        <v>10</v>
      </c>
      <c r="I4253" s="2" t="s">
        <v>4906</v>
      </c>
    </row>
    <row r="4254" spans="1:9" x14ac:dyDescent="0.2">
      <c r="A4254" s="2" t="s">
        <v>3250</v>
      </c>
      <c r="B4254" s="2" t="s">
        <v>356</v>
      </c>
      <c r="C4254" s="2">
        <v>816.24519999999995</v>
      </c>
      <c r="D4254" s="2">
        <f>HYPERLINK("http://mcb-m6.bioreg.kyushu-u.ac.jp/M3/20110318/F50612/1800/1", 108.18)</f>
        <v>108.18</v>
      </c>
      <c r="E4254" s="2">
        <v>92.04</v>
      </c>
      <c r="F4254" s="2">
        <v>2</v>
      </c>
      <c r="G4254" s="2" t="s">
        <v>10</v>
      </c>
    </row>
    <row r="4255" spans="1:9" x14ac:dyDescent="0.2">
      <c r="A4255" s="2" t="s">
        <v>3250</v>
      </c>
      <c r="B4255" s="2" t="s">
        <v>90</v>
      </c>
      <c r="C4255" s="2">
        <v>716.73609999999996</v>
      </c>
      <c r="D4255" s="2">
        <f>HYPERLINK("http://mcb-m6.bioreg.kyushu-u.ac.jp/M3/20110318/F50596/1522/1", 115.74)</f>
        <v>115.74</v>
      </c>
      <c r="E4255" s="2">
        <v>91.22</v>
      </c>
      <c r="F4255" s="2">
        <v>2</v>
      </c>
      <c r="G4255" s="2" t="s">
        <v>10</v>
      </c>
    </row>
    <row r="4256" spans="1:9" x14ac:dyDescent="0.2">
      <c r="A4256" s="2" t="s">
        <v>3250</v>
      </c>
      <c r="B4256" s="2" t="s">
        <v>102</v>
      </c>
      <c r="C4256" s="2">
        <v>1215.511</v>
      </c>
      <c r="D4256" s="2">
        <f>HYPERLINK("http://mcb-m6.bioreg.kyushu-u.ac.jp/M3/20110418/F50978/1463/1", 35.52)</f>
        <v>35.520000000000003</v>
      </c>
      <c r="E4256" s="2">
        <v>20.58</v>
      </c>
      <c r="F4256" s="2">
        <v>1</v>
      </c>
      <c r="G4256" s="2" t="s">
        <v>11</v>
      </c>
    </row>
    <row r="4257" spans="1:9" x14ac:dyDescent="0.2">
      <c r="A4257" s="2" t="s">
        <v>3250</v>
      </c>
      <c r="B4257" s="2" t="s">
        <v>365</v>
      </c>
      <c r="C4257" s="2">
        <v>848.81669999999997</v>
      </c>
      <c r="D4257" s="2">
        <f>HYPERLINK("http://mcb-m6.bioreg.kyushu-u.ac.jp/M3/20110418/F50978/2574/1", 35.54)</f>
        <v>35.54</v>
      </c>
      <c r="E4257" s="2">
        <v>20.03</v>
      </c>
      <c r="F4257" s="2">
        <v>2</v>
      </c>
      <c r="G4257" s="2" t="s">
        <v>11</v>
      </c>
    </row>
    <row r="4258" spans="1:9" x14ac:dyDescent="0.2">
      <c r="A4258" s="2" t="s">
        <v>3250</v>
      </c>
      <c r="B4258" s="2" t="s">
        <v>311</v>
      </c>
      <c r="C4258" s="2">
        <v>1212.3800000000001</v>
      </c>
      <c r="D4258" s="2">
        <f>HYPERLINK("http://mcb-m6.bioreg.kyushu-u.ac.jp/M3/20110418/F50975/1279/1", 35.75)</f>
        <v>35.75</v>
      </c>
      <c r="E4258" s="2">
        <v>18.739999999999998</v>
      </c>
      <c r="F4258" s="2">
        <v>1</v>
      </c>
      <c r="G4258" s="2" t="s">
        <v>11</v>
      </c>
      <c r="H4258" s="2" t="s">
        <v>4908</v>
      </c>
    </row>
    <row r="4259" spans="1:9" x14ac:dyDescent="0.2">
      <c r="A4259" s="2" t="s">
        <v>3250</v>
      </c>
      <c r="B4259" s="2" t="s">
        <v>142</v>
      </c>
      <c r="C4259" s="2">
        <v>847.35400000000004</v>
      </c>
      <c r="D4259" s="2">
        <f>HYPERLINK("http://mcb-m6.bioreg.kyushu-u.ac.jp/M3/20110418/F50999/1037/1", 36.53)</f>
        <v>36.53</v>
      </c>
      <c r="E4259" s="2">
        <v>9.24</v>
      </c>
      <c r="F4259" s="2">
        <v>1</v>
      </c>
      <c r="G4259" s="2" t="s">
        <v>11</v>
      </c>
    </row>
    <row r="4260" spans="1:9" x14ac:dyDescent="0.2">
      <c r="A4260" s="2" t="s">
        <v>3250</v>
      </c>
      <c r="B4260" s="2" t="s">
        <v>351</v>
      </c>
      <c r="C4260" s="2">
        <v>861.41</v>
      </c>
      <c r="D4260" s="2">
        <f>HYPERLINK("http://mcb-m6.bioreg.kyushu-u.ac.jp/M3/20110418/F50977/683/1", 36.7)</f>
        <v>36.700000000000003</v>
      </c>
      <c r="E4260" s="2">
        <v>15.02</v>
      </c>
      <c r="F4260" s="2">
        <v>1</v>
      </c>
      <c r="G4260" s="2" t="s">
        <v>11</v>
      </c>
      <c r="I4260" s="2" t="s">
        <v>4899</v>
      </c>
    </row>
    <row r="4261" spans="1:9" x14ac:dyDescent="0.2">
      <c r="A4261" s="2" t="s">
        <v>3250</v>
      </c>
      <c r="B4261" s="2" t="s">
        <v>481</v>
      </c>
      <c r="C4261" s="2">
        <v>709.34670000000006</v>
      </c>
      <c r="D4261" s="2">
        <f>HYPERLINK("http://mcb-m6.bioreg.kyushu-u.ac.jp/M3/20110418/F51000/1842/1", 37.01)</f>
        <v>37.01</v>
      </c>
      <c r="E4261" s="2">
        <v>26.98</v>
      </c>
      <c r="F4261" s="2">
        <v>2</v>
      </c>
      <c r="G4261" s="2" t="s">
        <v>11</v>
      </c>
      <c r="I4261" s="2" t="s">
        <v>4898</v>
      </c>
    </row>
    <row r="4262" spans="1:9" x14ac:dyDescent="0.2">
      <c r="A4262" s="2" t="s">
        <v>3250</v>
      </c>
      <c r="B4262" s="2" t="s">
        <v>142</v>
      </c>
      <c r="C4262" s="2">
        <v>847.44299999999998</v>
      </c>
      <c r="D4262" s="2">
        <f>HYPERLINK("http://mcb-m6.bioreg.kyushu-u.ac.jp/M3/20110418/F50976/631/1", 37.01)</f>
        <v>37.01</v>
      </c>
      <c r="E4262" s="2">
        <v>14.19</v>
      </c>
      <c r="F4262" s="2">
        <v>1</v>
      </c>
      <c r="G4262" s="2" t="s">
        <v>11</v>
      </c>
    </row>
    <row r="4263" spans="1:9" x14ac:dyDescent="0.2">
      <c r="A4263" s="2" t="s">
        <v>3250</v>
      </c>
      <c r="B4263" s="2" t="s">
        <v>772</v>
      </c>
      <c r="C4263" s="2">
        <v>595.54269999999997</v>
      </c>
      <c r="D4263" s="2">
        <f>HYPERLINK("http://mcb-m6.bioreg.kyushu-u.ac.jp/M3/20110418/F50978/1390/1", 37.06)</f>
        <v>37.06</v>
      </c>
      <c r="E4263" s="2">
        <v>17.989999999999998</v>
      </c>
      <c r="F4263" s="2">
        <v>2</v>
      </c>
      <c r="G4263" s="2" t="s">
        <v>11</v>
      </c>
    </row>
    <row r="4264" spans="1:9" x14ac:dyDescent="0.2">
      <c r="A4264" s="2" t="s">
        <v>3250</v>
      </c>
      <c r="B4264" s="2" t="s">
        <v>365</v>
      </c>
      <c r="C4264" s="2">
        <v>848.6866</v>
      </c>
      <c r="D4264" s="2">
        <f>HYPERLINK("http://mcb-m6.bioreg.kyushu-u.ac.jp/M3/20110418/F50974/2587/1", 37.25)</f>
        <v>37.25</v>
      </c>
      <c r="E4264" s="2">
        <v>22.28</v>
      </c>
      <c r="F4264" s="2">
        <v>2</v>
      </c>
      <c r="G4264" s="2" t="s">
        <v>11</v>
      </c>
    </row>
    <row r="4265" spans="1:9" x14ac:dyDescent="0.2">
      <c r="A4265" s="2" t="s">
        <v>3250</v>
      </c>
      <c r="B4265" s="2" t="s">
        <v>561</v>
      </c>
      <c r="C4265" s="2">
        <v>662.24019999999996</v>
      </c>
      <c r="D4265" s="2">
        <f>HYPERLINK("http://mcb-m6.bioreg.kyushu-u.ac.jp/M3/20110418/F50978/1667/1", 37.35)</f>
        <v>37.35</v>
      </c>
      <c r="E4265" s="2">
        <v>26.31</v>
      </c>
      <c r="F4265" s="2">
        <v>2</v>
      </c>
      <c r="G4265" s="2" t="s">
        <v>11</v>
      </c>
      <c r="H4265" s="2" t="s">
        <v>4919</v>
      </c>
    </row>
    <row r="4266" spans="1:9" x14ac:dyDescent="0.2">
      <c r="A4266" s="2" t="s">
        <v>3250</v>
      </c>
      <c r="B4266" s="2" t="s">
        <v>311</v>
      </c>
      <c r="C4266" s="2">
        <v>1212.6579999999999</v>
      </c>
      <c r="D4266" s="2">
        <f>HYPERLINK("http://mcb-m6.bioreg.kyushu-u.ac.jp/M3/20110418/F50978/1453/1", 37.38)</f>
        <v>37.380000000000003</v>
      </c>
      <c r="E4266" s="2">
        <v>12.32</v>
      </c>
      <c r="F4266" s="2">
        <v>1</v>
      </c>
      <c r="G4266" s="2" t="s">
        <v>11</v>
      </c>
      <c r="H4266" s="2" t="s">
        <v>4908</v>
      </c>
    </row>
    <row r="4267" spans="1:9" x14ac:dyDescent="0.2">
      <c r="A4267" s="2" t="s">
        <v>3250</v>
      </c>
      <c r="B4267" s="2" t="s">
        <v>365</v>
      </c>
      <c r="C4267" s="2">
        <v>848.85969999999998</v>
      </c>
      <c r="D4267" s="2">
        <f>HYPERLINK("http://mcb-m6.bioreg.kyushu-u.ac.jp/M3/20110418/F50979/2476/1", 37.57)</f>
        <v>37.57</v>
      </c>
      <c r="E4267" s="2">
        <v>23.94</v>
      </c>
      <c r="F4267" s="2">
        <v>2</v>
      </c>
      <c r="G4267" s="2" t="s">
        <v>11</v>
      </c>
    </row>
    <row r="4268" spans="1:9" x14ac:dyDescent="0.2">
      <c r="A4268" s="2" t="s">
        <v>3250</v>
      </c>
      <c r="B4268" s="2" t="s">
        <v>142</v>
      </c>
      <c r="C4268" s="2">
        <v>847.41800000000001</v>
      </c>
      <c r="D4268" s="2">
        <f>HYPERLINK("http://mcb-m6.bioreg.kyushu-u.ac.jp/M3/20110418/F51000/1171/1", 37.67)</f>
        <v>37.67</v>
      </c>
      <c r="E4268" s="2">
        <v>12.55</v>
      </c>
      <c r="F4268" s="2">
        <v>1</v>
      </c>
      <c r="G4268" s="2" t="s">
        <v>11</v>
      </c>
    </row>
    <row r="4269" spans="1:9" x14ac:dyDescent="0.2">
      <c r="A4269" s="2" t="s">
        <v>3250</v>
      </c>
      <c r="B4269" s="2" t="s">
        <v>102</v>
      </c>
      <c r="C4269" s="2">
        <v>616.25459999999998</v>
      </c>
      <c r="D4269" s="2">
        <f>HYPERLINK("http://mcb-m6.bioreg.kyushu-u.ac.jp/M3/20110418/F50979/1669/1", 37.77)</f>
        <v>37.770000000000003</v>
      </c>
      <c r="E4269" s="2">
        <v>24.78</v>
      </c>
      <c r="F4269" s="2">
        <v>2</v>
      </c>
      <c r="G4269" s="2" t="s">
        <v>11</v>
      </c>
      <c r="H4269" s="2" t="s">
        <v>4900</v>
      </c>
    </row>
    <row r="4270" spans="1:9" x14ac:dyDescent="0.2">
      <c r="A4270" s="2" t="s">
        <v>3250</v>
      </c>
      <c r="B4270" s="2" t="s">
        <v>102</v>
      </c>
      <c r="C4270" s="2">
        <v>1215.5119999999999</v>
      </c>
      <c r="D4270" s="2">
        <f>HYPERLINK("http://mcb-m6.bioreg.kyushu-u.ac.jp/M3/20110418/F51000/1590/1", 38.02)</f>
        <v>38.020000000000003</v>
      </c>
      <c r="E4270" s="2">
        <v>23.47</v>
      </c>
      <c r="F4270" s="2">
        <v>1</v>
      </c>
      <c r="G4270" s="2" t="s">
        <v>11</v>
      </c>
    </row>
    <row r="4271" spans="1:9" x14ac:dyDescent="0.2">
      <c r="A4271" s="2" t="s">
        <v>3250</v>
      </c>
      <c r="B4271" s="2" t="s">
        <v>102</v>
      </c>
      <c r="C4271" s="2">
        <v>1231.5160000000001</v>
      </c>
      <c r="D4271" s="2">
        <f>HYPERLINK("http://mcb-m6.bioreg.kyushu-u.ac.jp/M3/20110418/F50979/1671/1", 40.08)</f>
        <v>40.08</v>
      </c>
      <c r="E4271" s="2">
        <v>22.15</v>
      </c>
      <c r="F4271" s="2">
        <v>1</v>
      </c>
      <c r="G4271" s="2" t="s">
        <v>11</v>
      </c>
      <c r="H4271" s="2" t="s">
        <v>4900</v>
      </c>
    </row>
    <row r="4272" spans="1:9" x14ac:dyDescent="0.2">
      <c r="A4272" s="2" t="s">
        <v>3250</v>
      </c>
      <c r="B4272" s="2" t="s">
        <v>467</v>
      </c>
      <c r="C4272" s="2">
        <v>692.25959999999998</v>
      </c>
      <c r="D4272" s="2">
        <f>HYPERLINK("http://mcb-m6.bioreg.kyushu-u.ac.jp/M3/20110418/F50979/1891/1", 40.62)</f>
        <v>40.619999999999997</v>
      </c>
      <c r="E4272" s="2">
        <v>11.48</v>
      </c>
      <c r="F4272" s="2">
        <v>2</v>
      </c>
      <c r="G4272" s="2" t="s">
        <v>11</v>
      </c>
    </row>
    <row r="4273" spans="1:9" x14ac:dyDescent="0.2">
      <c r="A4273" s="2" t="s">
        <v>3250</v>
      </c>
      <c r="B4273" s="2" t="s">
        <v>1065</v>
      </c>
      <c r="C4273" s="2">
        <v>716.73220000000003</v>
      </c>
      <c r="D4273" s="2">
        <f>HYPERLINK("http://mcb-m6.bioreg.kyushu-u.ac.jp/M3/20110418/F50978/1962/1", 40.96)</f>
        <v>40.96</v>
      </c>
      <c r="E4273" s="2">
        <v>27.59</v>
      </c>
      <c r="F4273" s="2">
        <v>2</v>
      </c>
      <c r="G4273" s="2" t="s">
        <v>11</v>
      </c>
      <c r="I4273" s="2" t="s">
        <v>4892</v>
      </c>
    </row>
    <row r="4274" spans="1:9" x14ac:dyDescent="0.2">
      <c r="A4274" s="2" t="s">
        <v>3250</v>
      </c>
      <c r="B4274" s="2" t="s">
        <v>398</v>
      </c>
      <c r="C4274" s="2">
        <v>640.88869999999997</v>
      </c>
      <c r="D4274" s="2">
        <f>HYPERLINK("http://mcb-m6.bioreg.kyushu-u.ac.jp/M3/20110418/F51000/1668/1", 41.56)</f>
        <v>41.56</v>
      </c>
      <c r="E4274" s="2">
        <v>15.2</v>
      </c>
      <c r="F4274" s="2">
        <v>2</v>
      </c>
      <c r="G4274" s="2" t="s">
        <v>11</v>
      </c>
    </row>
    <row r="4275" spans="1:9" x14ac:dyDescent="0.2">
      <c r="A4275" s="2" t="s">
        <v>3250</v>
      </c>
      <c r="B4275" s="2" t="s">
        <v>90</v>
      </c>
      <c r="C4275" s="2">
        <v>716.73069999999996</v>
      </c>
      <c r="D4275" s="2">
        <f>HYPERLINK("http://mcb-m6.bioreg.kyushu-u.ac.jp/M3/20110418/F50970/1959/1", 41.56)</f>
        <v>41.56</v>
      </c>
      <c r="E4275" s="2">
        <v>24.33</v>
      </c>
      <c r="F4275" s="2">
        <v>2</v>
      </c>
      <c r="G4275" s="2" t="s">
        <v>11</v>
      </c>
    </row>
    <row r="4276" spans="1:9" x14ac:dyDescent="0.2">
      <c r="A4276" s="2" t="s">
        <v>3250</v>
      </c>
      <c r="B4276" s="2" t="s">
        <v>543</v>
      </c>
      <c r="C4276" s="2">
        <v>927.49869999999999</v>
      </c>
      <c r="D4276" s="2">
        <f>HYPERLINK("http://mcb-m6.bioreg.kyushu-u.ac.jp/M3/20110418/F51000/2364/1", 41.68)</f>
        <v>41.68</v>
      </c>
      <c r="E4276" s="2">
        <v>21.26</v>
      </c>
      <c r="F4276" s="2">
        <v>2</v>
      </c>
      <c r="G4276" s="2" t="s">
        <v>11</v>
      </c>
    </row>
    <row r="4277" spans="1:9" x14ac:dyDescent="0.2">
      <c r="A4277" s="2" t="s">
        <v>3250</v>
      </c>
      <c r="B4277" s="2" t="s">
        <v>311</v>
      </c>
      <c r="C4277" s="2">
        <v>1196.6089999999999</v>
      </c>
      <c r="D4277" s="2">
        <f>HYPERLINK("http://mcb-m6.bioreg.kyushu-u.ac.jp/M3/20110418/F50978/1423/1", 41.75)</f>
        <v>41.75</v>
      </c>
      <c r="E4277" s="2">
        <v>28.35</v>
      </c>
      <c r="F4277" s="2">
        <v>1</v>
      </c>
      <c r="G4277" s="2" t="s">
        <v>11</v>
      </c>
    </row>
    <row r="4278" spans="1:9" x14ac:dyDescent="0.2">
      <c r="A4278" s="2" t="s">
        <v>3250</v>
      </c>
      <c r="B4278" s="2" t="s">
        <v>1065</v>
      </c>
      <c r="C4278" s="2">
        <v>716.97609999999997</v>
      </c>
      <c r="D4278" s="2">
        <f>HYPERLINK("http://mcb-m6.bioreg.kyushu-u.ac.jp/M3/20110418/F50978/1971/1", 41.91)</f>
        <v>41.91</v>
      </c>
      <c r="E4278" s="2">
        <v>35.369999999999997</v>
      </c>
      <c r="F4278" s="2">
        <v>2</v>
      </c>
      <c r="G4278" s="2" t="s">
        <v>11</v>
      </c>
      <c r="I4278" s="2" t="s">
        <v>4892</v>
      </c>
    </row>
    <row r="4279" spans="1:9" x14ac:dyDescent="0.2">
      <c r="A4279" s="2" t="s">
        <v>3250</v>
      </c>
      <c r="B4279" s="2" t="s">
        <v>503</v>
      </c>
      <c r="C4279" s="2">
        <v>808.94569999999999</v>
      </c>
      <c r="D4279" s="2">
        <f>HYPERLINK("http://mcb-m6.bioreg.kyushu-u.ac.jp/M3/20110418/F50978/2418/1", 42.05)</f>
        <v>42.05</v>
      </c>
      <c r="E4279" s="2">
        <v>21.31</v>
      </c>
      <c r="F4279" s="2">
        <v>2</v>
      </c>
      <c r="G4279" s="2" t="s">
        <v>11</v>
      </c>
    </row>
    <row r="4280" spans="1:9" x14ac:dyDescent="0.2">
      <c r="A4280" s="2" t="s">
        <v>3250</v>
      </c>
      <c r="B4280" s="2" t="s">
        <v>90</v>
      </c>
      <c r="C4280" s="2">
        <v>716.81569999999999</v>
      </c>
      <c r="D4280" s="2">
        <f>HYPERLINK("http://mcb-m6.bioreg.kyushu-u.ac.jp/M3/20110418/F50972/2096/1", 42.08)</f>
        <v>42.08</v>
      </c>
      <c r="E4280" s="2">
        <v>24.84</v>
      </c>
      <c r="F4280" s="2">
        <v>2</v>
      </c>
      <c r="G4280" s="2" t="s">
        <v>11</v>
      </c>
    </row>
    <row r="4281" spans="1:9" x14ac:dyDescent="0.2">
      <c r="A4281" s="2" t="s">
        <v>3250</v>
      </c>
      <c r="B4281" s="2" t="s">
        <v>102</v>
      </c>
      <c r="C4281" s="2">
        <v>608.18370000000004</v>
      </c>
      <c r="D4281" s="2">
        <f>HYPERLINK("http://mcb-m6.bioreg.kyushu-u.ac.jp/M3/20110418/F50977/1380/1", 42.44)</f>
        <v>42.44</v>
      </c>
      <c r="E4281" s="2">
        <v>20.3</v>
      </c>
      <c r="F4281" s="2">
        <v>2</v>
      </c>
      <c r="G4281" s="2" t="s">
        <v>11</v>
      </c>
    </row>
    <row r="4282" spans="1:9" x14ac:dyDescent="0.2">
      <c r="A4282" s="2" t="s">
        <v>3250</v>
      </c>
      <c r="B4282" s="2" t="s">
        <v>481</v>
      </c>
      <c r="C4282" s="2">
        <v>1417.54</v>
      </c>
      <c r="D4282" s="2">
        <f>HYPERLINK("http://mcb-m6.bioreg.kyushu-u.ac.jp/M3/20110418/F51000/1840/1", 42.59)</f>
        <v>42.59</v>
      </c>
      <c r="E4282" s="2">
        <v>29.86</v>
      </c>
      <c r="F4282" s="2">
        <v>1</v>
      </c>
      <c r="G4282" s="2" t="s">
        <v>11</v>
      </c>
      <c r="I4282" s="2" t="s">
        <v>4898</v>
      </c>
    </row>
    <row r="4283" spans="1:9" x14ac:dyDescent="0.2">
      <c r="A4283" s="2" t="s">
        <v>3250</v>
      </c>
      <c r="B4283" s="2" t="s">
        <v>311</v>
      </c>
      <c r="C4283" s="2">
        <v>599.25670000000002</v>
      </c>
      <c r="D4283" s="2">
        <f>HYPERLINK("http://mcb-m6.bioreg.kyushu-u.ac.jp/M3/20110418/F50977/1345/1", 43.01)</f>
        <v>43.01</v>
      </c>
      <c r="E4283" s="2">
        <v>25.88</v>
      </c>
      <c r="F4283" s="2">
        <v>2</v>
      </c>
      <c r="G4283" s="2" t="s">
        <v>11</v>
      </c>
    </row>
    <row r="4284" spans="1:9" x14ac:dyDescent="0.2">
      <c r="A4284" s="2" t="s">
        <v>3250</v>
      </c>
      <c r="B4284" s="2" t="s">
        <v>365</v>
      </c>
      <c r="C4284" s="2">
        <v>849.35860000000002</v>
      </c>
      <c r="D4284" s="2">
        <f>HYPERLINK("http://mcb-m6.bioreg.kyushu-u.ac.jp/M3/20110418/F50978/2580/1", 43.27)</f>
        <v>43.27</v>
      </c>
      <c r="E4284" s="2">
        <v>29.77</v>
      </c>
      <c r="F4284" s="2">
        <v>2</v>
      </c>
      <c r="G4284" s="2" t="s">
        <v>11</v>
      </c>
    </row>
    <row r="4285" spans="1:9" x14ac:dyDescent="0.2">
      <c r="A4285" s="2" t="s">
        <v>3250</v>
      </c>
      <c r="B4285" s="2" t="s">
        <v>311</v>
      </c>
      <c r="C4285" s="2">
        <v>607.33669999999995</v>
      </c>
      <c r="D4285" s="2">
        <f>HYPERLINK("http://mcb-m6.bioreg.kyushu-u.ac.jp/M3/20110418/F51000/1587/1", 43.38)</f>
        <v>43.38</v>
      </c>
      <c r="E4285" s="2">
        <v>14.91</v>
      </c>
      <c r="F4285" s="2">
        <v>2</v>
      </c>
      <c r="G4285" s="2" t="s">
        <v>11</v>
      </c>
      <c r="H4285" s="2" t="s">
        <v>4908</v>
      </c>
    </row>
    <row r="4286" spans="1:9" x14ac:dyDescent="0.2">
      <c r="A4286" s="2" t="s">
        <v>3250</v>
      </c>
      <c r="B4286" s="2" t="s">
        <v>102</v>
      </c>
      <c r="C4286" s="2">
        <v>616.30619999999999</v>
      </c>
      <c r="D4286" s="2">
        <f>HYPERLINK("http://mcb-m6.bioreg.kyushu-u.ac.jp/M3/20110418/F50976/1373/1", 43.45)</f>
        <v>43.45</v>
      </c>
      <c r="E4286" s="2">
        <v>29.66</v>
      </c>
      <c r="F4286" s="2">
        <v>2</v>
      </c>
      <c r="G4286" s="2" t="s">
        <v>11</v>
      </c>
      <c r="H4286" s="2" t="s">
        <v>4900</v>
      </c>
    </row>
    <row r="4287" spans="1:9" x14ac:dyDescent="0.2">
      <c r="A4287" s="2" t="s">
        <v>3250</v>
      </c>
      <c r="B4287" s="2" t="s">
        <v>503</v>
      </c>
      <c r="C4287" s="2">
        <v>816.4067</v>
      </c>
      <c r="D4287" s="2">
        <f>HYPERLINK("http://mcb-m6.bioreg.kyushu-u.ac.jp/M3/20110418/F50979/2380/1", 43.7)</f>
        <v>43.7</v>
      </c>
      <c r="E4287" s="2">
        <v>32.700000000000003</v>
      </c>
      <c r="F4287" s="2">
        <v>2</v>
      </c>
      <c r="G4287" s="2" t="s">
        <v>11</v>
      </c>
      <c r="H4287" s="2" t="s">
        <v>4907</v>
      </c>
    </row>
    <row r="4288" spans="1:9" x14ac:dyDescent="0.2">
      <c r="A4288" s="2" t="s">
        <v>3250</v>
      </c>
      <c r="B4288" s="2" t="s">
        <v>561</v>
      </c>
      <c r="C4288" s="2">
        <v>662.89260000000002</v>
      </c>
      <c r="D4288" s="2">
        <f>HYPERLINK("http://mcb-m6.bioreg.kyushu-u.ac.jp/M3/20110418/F50979/1794/1", 43.83)</f>
        <v>43.83</v>
      </c>
      <c r="E4288" s="2">
        <v>23.01</v>
      </c>
      <c r="F4288" s="2">
        <v>2</v>
      </c>
      <c r="G4288" s="2" t="s">
        <v>11</v>
      </c>
      <c r="H4288" s="2" t="s">
        <v>4919</v>
      </c>
    </row>
    <row r="4289" spans="1:9" x14ac:dyDescent="0.2">
      <c r="A4289" s="2" t="s">
        <v>3250</v>
      </c>
      <c r="B4289" s="2" t="s">
        <v>365</v>
      </c>
      <c r="C4289" s="2">
        <v>849.22170000000006</v>
      </c>
      <c r="D4289" s="2">
        <f>HYPERLINK("http://mcb-m6.bioreg.kyushu-u.ac.jp/M3/20110418/F50978/2578/1", 43.86)</f>
        <v>43.86</v>
      </c>
      <c r="E4289" s="2">
        <v>22.92</v>
      </c>
      <c r="F4289" s="2">
        <v>2</v>
      </c>
      <c r="G4289" s="2" t="s">
        <v>11</v>
      </c>
    </row>
    <row r="4290" spans="1:9" x14ac:dyDescent="0.2">
      <c r="A4290" s="2" t="s">
        <v>3250</v>
      </c>
      <c r="B4290" s="2" t="s">
        <v>102</v>
      </c>
      <c r="C4290" s="2">
        <v>1215.3989999999999</v>
      </c>
      <c r="D4290" s="2">
        <f>HYPERLINK("http://mcb-m6.bioreg.kyushu-u.ac.jp/M3/20110418/F50977/1381/1", 43.99)</f>
        <v>43.99</v>
      </c>
      <c r="E4290" s="2">
        <v>30.15</v>
      </c>
      <c r="F4290" s="2">
        <v>1</v>
      </c>
      <c r="G4290" s="2" t="s">
        <v>11</v>
      </c>
    </row>
    <row r="4291" spans="1:9" x14ac:dyDescent="0.2">
      <c r="A4291" s="2" t="s">
        <v>3250</v>
      </c>
      <c r="B4291" s="2" t="s">
        <v>77</v>
      </c>
      <c r="C4291" s="2">
        <v>574.70619999999997</v>
      </c>
      <c r="D4291" s="2">
        <f>HYPERLINK("http://mcb-m6.bioreg.kyushu-u.ac.jp/M3/20110418/F50977/1220/1", 44.28)</f>
        <v>44.28</v>
      </c>
      <c r="E4291" s="2">
        <v>25.89</v>
      </c>
      <c r="F4291" s="2">
        <v>2</v>
      </c>
      <c r="G4291" s="2" t="s">
        <v>11</v>
      </c>
    </row>
    <row r="4292" spans="1:9" x14ac:dyDescent="0.2">
      <c r="A4292" s="2" t="s">
        <v>3250</v>
      </c>
      <c r="B4292" s="2" t="s">
        <v>365</v>
      </c>
      <c r="C4292" s="2">
        <v>848.94759999999997</v>
      </c>
      <c r="D4292" s="2">
        <f>HYPERLINK("http://mcb-m6.bioreg.kyushu-u.ac.jp/M3/20110418/F50977/2734/1", 44.28)</f>
        <v>44.28</v>
      </c>
      <c r="E4292" s="2">
        <v>29.06</v>
      </c>
      <c r="F4292" s="2">
        <v>2</v>
      </c>
      <c r="G4292" s="2" t="s">
        <v>11</v>
      </c>
    </row>
    <row r="4293" spans="1:9" x14ac:dyDescent="0.2">
      <c r="A4293" s="2" t="s">
        <v>3250</v>
      </c>
      <c r="B4293" s="2" t="s">
        <v>772</v>
      </c>
      <c r="C4293" s="2">
        <v>596.08370000000002</v>
      </c>
      <c r="D4293" s="2">
        <f>HYPERLINK("http://mcb-m6.bioreg.kyushu-u.ac.jp/M3/20110418/F50979/1599/1", 44.37)</f>
        <v>44.37</v>
      </c>
      <c r="E4293" s="2">
        <v>24.7</v>
      </c>
      <c r="F4293" s="2">
        <v>2</v>
      </c>
      <c r="G4293" s="2" t="s">
        <v>11</v>
      </c>
    </row>
    <row r="4294" spans="1:9" x14ac:dyDescent="0.2">
      <c r="A4294" s="2" t="s">
        <v>3250</v>
      </c>
      <c r="B4294" s="2" t="s">
        <v>77</v>
      </c>
      <c r="C4294" s="2">
        <v>1148.4349999999999</v>
      </c>
      <c r="D4294" s="2">
        <f>HYPERLINK("http://mcb-m6.bioreg.kyushu-u.ac.jp/M3/20110418/F50976/1167/1", 44.5)</f>
        <v>44.5</v>
      </c>
      <c r="E4294" s="2">
        <v>26.84</v>
      </c>
      <c r="F4294" s="2">
        <v>1</v>
      </c>
      <c r="G4294" s="2" t="s">
        <v>11</v>
      </c>
    </row>
    <row r="4295" spans="1:9" x14ac:dyDescent="0.2">
      <c r="A4295" s="2" t="s">
        <v>3250</v>
      </c>
      <c r="B4295" s="2" t="s">
        <v>77</v>
      </c>
      <c r="C4295" s="2">
        <v>1148.4570000000001</v>
      </c>
      <c r="D4295" s="2">
        <f>HYPERLINK("http://mcb-m6.bioreg.kyushu-u.ac.jp/M3/20110418/F50977/1221/1", 44.69)</f>
        <v>44.69</v>
      </c>
      <c r="E4295" s="2">
        <v>27.65</v>
      </c>
      <c r="F4295" s="2">
        <v>1</v>
      </c>
      <c r="G4295" s="2" t="s">
        <v>11</v>
      </c>
    </row>
    <row r="4296" spans="1:9" x14ac:dyDescent="0.2">
      <c r="A4296" s="2" t="s">
        <v>3250</v>
      </c>
      <c r="B4296" s="2" t="s">
        <v>77</v>
      </c>
      <c r="C4296" s="2">
        <v>1148.6179999999999</v>
      </c>
      <c r="D4296" s="2">
        <f>HYPERLINK("http://mcb-m6.bioreg.kyushu-u.ac.jp/M3/20110418/F50979/1540/1", 44.75)</f>
        <v>44.75</v>
      </c>
      <c r="E4296" s="2">
        <v>25.94</v>
      </c>
      <c r="F4296" s="2">
        <v>1</v>
      </c>
      <c r="G4296" s="2" t="s">
        <v>11</v>
      </c>
    </row>
    <row r="4297" spans="1:9" x14ac:dyDescent="0.2">
      <c r="A4297" s="2" t="s">
        <v>3250</v>
      </c>
      <c r="B4297" s="2" t="s">
        <v>311</v>
      </c>
      <c r="C4297" s="2">
        <v>1196.364</v>
      </c>
      <c r="D4297" s="2">
        <f>HYPERLINK("http://mcb-m6.bioreg.kyushu-u.ac.jp/M3/20110418/F50976/1293/1", 44.91)</f>
        <v>44.91</v>
      </c>
      <c r="E4297" s="2">
        <v>31.45</v>
      </c>
      <c r="F4297" s="2">
        <v>1</v>
      </c>
      <c r="G4297" s="2" t="s">
        <v>11</v>
      </c>
    </row>
    <row r="4298" spans="1:9" x14ac:dyDescent="0.2">
      <c r="A4298" s="2" t="s">
        <v>3250</v>
      </c>
      <c r="B4298" s="2" t="s">
        <v>1065</v>
      </c>
      <c r="C4298" s="2">
        <v>717.29060000000004</v>
      </c>
      <c r="D4298" s="2">
        <f>HYPERLINK("http://mcb-m6.bioreg.kyushu-u.ac.jp/M3/20110418/F51000/1875/1", 45.09)</f>
        <v>45.09</v>
      </c>
      <c r="E4298" s="2">
        <v>7.05</v>
      </c>
      <c r="F4298" s="2">
        <v>2</v>
      </c>
      <c r="G4298" s="2" t="s">
        <v>11</v>
      </c>
      <c r="I4298" s="2" t="s">
        <v>4892</v>
      </c>
    </row>
    <row r="4299" spans="1:9" x14ac:dyDescent="0.2">
      <c r="A4299" s="2" t="s">
        <v>3250</v>
      </c>
      <c r="B4299" s="2" t="s">
        <v>90</v>
      </c>
      <c r="C4299" s="2">
        <v>717.40869999999995</v>
      </c>
      <c r="D4299" s="2">
        <f>HYPERLINK("http://mcb-m6.bioreg.kyushu-u.ac.jp/M3/20110418/F50979/1965/1", 45.25)</f>
        <v>45.25</v>
      </c>
      <c r="E4299" s="2">
        <v>13.78</v>
      </c>
      <c r="F4299" s="2">
        <v>2</v>
      </c>
      <c r="G4299" s="2" t="s">
        <v>11</v>
      </c>
    </row>
    <row r="4300" spans="1:9" x14ac:dyDescent="0.2">
      <c r="A4300" s="2" t="s">
        <v>3250</v>
      </c>
      <c r="B4300" s="2" t="s">
        <v>467</v>
      </c>
      <c r="C4300" s="2">
        <v>692.26319999999998</v>
      </c>
      <c r="D4300" s="2">
        <f>HYPERLINK("http://mcb-m6.bioreg.kyushu-u.ac.jp/M3/20110418/F50978/1836/1", 45.4)</f>
        <v>45.4</v>
      </c>
      <c r="E4300" s="2">
        <v>22.38</v>
      </c>
      <c r="F4300" s="2">
        <v>2</v>
      </c>
      <c r="G4300" s="2" t="s">
        <v>11</v>
      </c>
    </row>
    <row r="4301" spans="1:9" x14ac:dyDescent="0.2">
      <c r="A4301" s="2" t="s">
        <v>3250</v>
      </c>
      <c r="B4301" s="2" t="s">
        <v>1065</v>
      </c>
      <c r="C4301" s="2">
        <v>717.28970000000004</v>
      </c>
      <c r="D4301" s="2">
        <f>HYPERLINK("http://mcb-m6.bioreg.kyushu-u.ac.jp/M3/20110418/F50978/1974/1", 45.45)</f>
        <v>45.45</v>
      </c>
      <c r="E4301" s="2">
        <v>7.97</v>
      </c>
      <c r="F4301" s="2">
        <v>2</v>
      </c>
      <c r="G4301" s="2" t="s">
        <v>11</v>
      </c>
      <c r="I4301" s="2" t="s">
        <v>4892</v>
      </c>
    </row>
    <row r="4302" spans="1:9" x14ac:dyDescent="0.2">
      <c r="A4302" s="2" t="s">
        <v>3250</v>
      </c>
      <c r="B4302" s="2" t="s">
        <v>772</v>
      </c>
      <c r="C4302" s="2">
        <v>1191.0360000000001</v>
      </c>
      <c r="D4302" s="2">
        <f>HYPERLINK("http://mcb-m6.bioreg.kyushu-u.ac.jp/M3/20110418/F50977/1324/1", 45.74)</f>
        <v>45.74</v>
      </c>
      <c r="E4302" s="2">
        <v>30.59</v>
      </c>
      <c r="F4302" s="2">
        <v>1</v>
      </c>
      <c r="G4302" s="2" t="s">
        <v>11</v>
      </c>
    </row>
    <row r="4303" spans="1:9" x14ac:dyDescent="0.2">
      <c r="A4303" s="2" t="s">
        <v>3250</v>
      </c>
      <c r="B4303" s="2" t="s">
        <v>365</v>
      </c>
      <c r="C4303" s="2">
        <v>849.23860000000002</v>
      </c>
      <c r="D4303" s="2">
        <f>HYPERLINK("http://mcb-m6.bioreg.kyushu-u.ac.jp/M3/20110418/F50975/2687/1", 46.14)</f>
        <v>46.14</v>
      </c>
      <c r="E4303" s="2">
        <v>35.07</v>
      </c>
      <c r="F4303" s="2">
        <v>2</v>
      </c>
      <c r="G4303" s="2" t="s">
        <v>11</v>
      </c>
    </row>
    <row r="4304" spans="1:9" x14ac:dyDescent="0.2">
      <c r="A4304" s="2" t="s">
        <v>3250</v>
      </c>
      <c r="B4304" s="2" t="s">
        <v>1065</v>
      </c>
      <c r="C4304" s="2">
        <v>716.73969999999997</v>
      </c>
      <c r="D4304" s="2">
        <f>HYPERLINK("http://mcb-m6.bioreg.kyushu-u.ac.jp/M3/20110418/F50978/1963/1", 46.87)</f>
        <v>46.87</v>
      </c>
      <c r="E4304" s="2">
        <v>35.97</v>
      </c>
      <c r="F4304" s="2">
        <v>2</v>
      </c>
      <c r="G4304" s="2" t="s">
        <v>11</v>
      </c>
      <c r="I4304" s="2" t="s">
        <v>4892</v>
      </c>
    </row>
    <row r="4305" spans="1:9" x14ac:dyDescent="0.2">
      <c r="A4305" s="2" t="s">
        <v>3250</v>
      </c>
      <c r="B4305" s="2" t="s">
        <v>90</v>
      </c>
      <c r="C4305" s="2">
        <v>716.96310000000005</v>
      </c>
      <c r="D4305" s="2">
        <f>HYPERLINK("http://mcb-m6.bioreg.kyushu-u.ac.jp/M3/20110418/F50978/1970/1", 47.04)</f>
        <v>47.04</v>
      </c>
      <c r="E4305" s="2">
        <v>7.65</v>
      </c>
      <c r="F4305" s="2">
        <v>2</v>
      </c>
      <c r="G4305" s="2" t="s">
        <v>11</v>
      </c>
    </row>
    <row r="4306" spans="1:9" x14ac:dyDescent="0.2">
      <c r="A4306" s="2" t="s">
        <v>3250</v>
      </c>
      <c r="B4306" s="2" t="s">
        <v>467</v>
      </c>
      <c r="C4306" s="2">
        <v>692.31370000000004</v>
      </c>
      <c r="D4306" s="2">
        <f>HYPERLINK("http://mcb-m6.bioreg.kyushu-u.ac.jp/M3/20110418/F50996/1839/1", 47.76)</f>
        <v>47.76</v>
      </c>
      <c r="E4306" s="2">
        <v>20.43</v>
      </c>
      <c r="F4306" s="2">
        <v>2</v>
      </c>
      <c r="G4306" s="2" t="s">
        <v>11</v>
      </c>
    </row>
    <row r="4307" spans="1:9" x14ac:dyDescent="0.2">
      <c r="A4307" s="2" t="s">
        <v>3250</v>
      </c>
      <c r="B4307" s="2" t="s">
        <v>90</v>
      </c>
      <c r="C4307" s="2">
        <v>716.78610000000003</v>
      </c>
      <c r="D4307" s="2">
        <f>HYPERLINK("http://mcb-m6.bioreg.kyushu-u.ac.jp/M3/20110418/F50978/1966/1", 48.09)</f>
        <v>48.09</v>
      </c>
      <c r="E4307" s="2">
        <v>23.37</v>
      </c>
      <c r="F4307" s="2">
        <v>2</v>
      </c>
      <c r="G4307" s="2" t="s">
        <v>11</v>
      </c>
    </row>
    <row r="4308" spans="1:9" x14ac:dyDescent="0.2">
      <c r="A4308" s="2" t="s">
        <v>3250</v>
      </c>
      <c r="B4308" s="2" t="s">
        <v>467</v>
      </c>
      <c r="C4308" s="2">
        <v>692.14260000000002</v>
      </c>
      <c r="D4308" s="2">
        <f>HYPERLINK("http://mcb-m6.bioreg.kyushu-u.ac.jp/M3/20110418/F50976/1728/1", 48.2)</f>
        <v>48.2</v>
      </c>
      <c r="E4308" s="2">
        <v>24.57</v>
      </c>
      <c r="F4308" s="2">
        <v>2</v>
      </c>
      <c r="G4308" s="2" t="s">
        <v>11</v>
      </c>
    </row>
    <row r="4309" spans="1:9" x14ac:dyDescent="0.2">
      <c r="A4309" s="2" t="s">
        <v>3250</v>
      </c>
      <c r="B4309" s="2" t="s">
        <v>1065</v>
      </c>
      <c r="C4309" s="2">
        <v>716.86519999999996</v>
      </c>
      <c r="D4309" s="2">
        <f>HYPERLINK("http://mcb-m6.bioreg.kyushu-u.ac.jp/M3/20110418/F50979/1958/1", 48.48)</f>
        <v>48.48</v>
      </c>
      <c r="E4309" s="2">
        <v>33.35</v>
      </c>
      <c r="F4309" s="2">
        <v>2</v>
      </c>
      <c r="G4309" s="2" t="s">
        <v>11</v>
      </c>
      <c r="I4309" s="2" t="s">
        <v>4892</v>
      </c>
    </row>
    <row r="4310" spans="1:9" x14ac:dyDescent="0.2">
      <c r="A4310" s="2" t="s">
        <v>3250</v>
      </c>
      <c r="B4310" s="2" t="s">
        <v>561</v>
      </c>
      <c r="C4310" s="2">
        <v>662.85969999999998</v>
      </c>
      <c r="D4310" s="2">
        <f>HYPERLINK("http://mcb-m6.bioreg.kyushu-u.ac.jp/M3/20110418/F50971/1955/1", 48.67)</f>
        <v>48.67</v>
      </c>
      <c r="E4310" s="2">
        <v>31.67</v>
      </c>
      <c r="F4310" s="2">
        <v>2</v>
      </c>
      <c r="G4310" s="2" t="s">
        <v>11</v>
      </c>
      <c r="H4310" s="2" t="s">
        <v>4919</v>
      </c>
    </row>
    <row r="4311" spans="1:9" x14ac:dyDescent="0.2">
      <c r="A4311" s="2" t="s">
        <v>3250</v>
      </c>
      <c r="B4311" s="2" t="s">
        <v>467</v>
      </c>
      <c r="C4311" s="2">
        <v>692.24720000000002</v>
      </c>
      <c r="D4311" s="2">
        <f>HYPERLINK("http://mcb-m6.bioreg.kyushu-u.ac.jp/M3/20110418/F50978/1835/1", 48.86)</f>
        <v>48.86</v>
      </c>
      <c r="E4311" s="2">
        <v>26.94</v>
      </c>
      <c r="F4311" s="2">
        <v>2</v>
      </c>
      <c r="G4311" s="2" t="s">
        <v>11</v>
      </c>
    </row>
    <row r="4312" spans="1:9" x14ac:dyDescent="0.2">
      <c r="A4312" s="2" t="s">
        <v>3250</v>
      </c>
      <c r="B4312" s="2" t="s">
        <v>1065</v>
      </c>
      <c r="C4312" s="2">
        <v>717.31119999999999</v>
      </c>
      <c r="D4312" s="2">
        <f>HYPERLINK("http://mcb-m6.bioreg.kyushu-u.ac.jp/M3/20110418/F50979/1963/1", 49.81)</f>
        <v>49.81</v>
      </c>
      <c r="E4312" s="2">
        <v>30.08</v>
      </c>
      <c r="F4312" s="2">
        <v>2</v>
      </c>
      <c r="G4312" s="2" t="s">
        <v>11</v>
      </c>
      <c r="I4312" s="2" t="s">
        <v>4892</v>
      </c>
    </row>
    <row r="4313" spans="1:9" x14ac:dyDescent="0.2">
      <c r="A4313" s="2" t="s">
        <v>3250</v>
      </c>
      <c r="B4313" s="2" t="s">
        <v>90</v>
      </c>
      <c r="C4313" s="2">
        <v>717.37819999999999</v>
      </c>
      <c r="D4313" s="2">
        <f>HYPERLINK("http://mcb-m6.bioreg.kyushu-u.ac.jp/M3/20110418/F50979/1964/1", 50.47)</f>
        <v>50.47</v>
      </c>
      <c r="E4313" s="2">
        <v>16.77</v>
      </c>
      <c r="F4313" s="2">
        <v>2</v>
      </c>
      <c r="G4313" s="2" t="s">
        <v>11</v>
      </c>
    </row>
    <row r="4314" spans="1:9" x14ac:dyDescent="0.2">
      <c r="A4314" s="2" t="s">
        <v>3250</v>
      </c>
      <c r="B4314" s="2" t="s">
        <v>467</v>
      </c>
      <c r="C4314" s="2">
        <v>691.89070000000004</v>
      </c>
      <c r="D4314" s="2">
        <f>HYPERLINK("http://mcb-m6.bioreg.kyushu-u.ac.jp/M3/20110418/F50978/1832/1", 50.6)</f>
        <v>50.6</v>
      </c>
      <c r="E4314" s="2">
        <v>22.31</v>
      </c>
      <c r="F4314" s="2">
        <v>2</v>
      </c>
      <c r="G4314" s="2" t="s">
        <v>11</v>
      </c>
    </row>
    <row r="4315" spans="1:9" x14ac:dyDescent="0.2">
      <c r="A4315" s="2" t="s">
        <v>3250</v>
      </c>
      <c r="B4315" s="2" t="s">
        <v>561</v>
      </c>
      <c r="C4315" s="2">
        <v>654.91359999999997</v>
      </c>
      <c r="D4315" s="2">
        <f>HYPERLINK("http://mcb-m6.bioreg.kyushu-u.ac.jp/M3/20110418/F50979/1774/1", 50.77)</f>
        <v>50.77</v>
      </c>
      <c r="E4315" s="2">
        <v>34.700000000000003</v>
      </c>
      <c r="F4315" s="2">
        <v>2</v>
      </c>
      <c r="G4315" s="2" t="s">
        <v>11</v>
      </c>
    </row>
    <row r="4316" spans="1:9" x14ac:dyDescent="0.2">
      <c r="A4316" s="2" t="s">
        <v>3250</v>
      </c>
      <c r="B4316" s="2" t="s">
        <v>1065</v>
      </c>
      <c r="C4316" s="2">
        <v>716.79319999999996</v>
      </c>
      <c r="D4316" s="2">
        <f>HYPERLINK("http://mcb-m6.bioreg.kyushu-u.ac.jp/M3/20110418/F50978/1967/1", 50.87)</f>
        <v>50.87</v>
      </c>
      <c r="E4316" s="2">
        <v>41.14</v>
      </c>
      <c r="F4316" s="2">
        <v>2</v>
      </c>
      <c r="G4316" s="2" t="s">
        <v>11</v>
      </c>
      <c r="I4316" s="2" t="s">
        <v>4892</v>
      </c>
    </row>
    <row r="4317" spans="1:9" x14ac:dyDescent="0.2">
      <c r="A4317" s="2" t="s">
        <v>3250</v>
      </c>
      <c r="B4317" s="2" t="s">
        <v>467</v>
      </c>
      <c r="C4317" s="2">
        <v>692.19269999999995</v>
      </c>
      <c r="D4317" s="2">
        <f>HYPERLINK("http://mcb-m6.bioreg.kyushu-u.ac.jp/M3/20110418/F50978/1834/1", 51.13)</f>
        <v>51.13</v>
      </c>
      <c r="E4317" s="2">
        <v>24.81</v>
      </c>
      <c r="F4317" s="2">
        <v>2</v>
      </c>
      <c r="G4317" s="2" t="s">
        <v>11</v>
      </c>
    </row>
    <row r="4318" spans="1:9" x14ac:dyDescent="0.2">
      <c r="A4318" s="2" t="s">
        <v>3250</v>
      </c>
      <c r="B4318" s="2" t="s">
        <v>77</v>
      </c>
      <c r="C4318" s="2">
        <v>575.01260000000002</v>
      </c>
      <c r="D4318" s="2">
        <f>HYPERLINK("http://mcb-m6.bioreg.kyushu-u.ac.jp/M3/20110418/F51000/1519/1", 51.19)</f>
        <v>51.19</v>
      </c>
      <c r="E4318" s="2">
        <v>30.33</v>
      </c>
      <c r="F4318" s="2">
        <v>2</v>
      </c>
      <c r="G4318" s="2" t="s">
        <v>11</v>
      </c>
    </row>
    <row r="4319" spans="1:9" x14ac:dyDescent="0.2">
      <c r="A4319" s="2" t="s">
        <v>3250</v>
      </c>
      <c r="B4319" s="2" t="s">
        <v>77</v>
      </c>
      <c r="C4319" s="2">
        <v>574.74069999999995</v>
      </c>
      <c r="D4319" s="2">
        <f>HYPERLINK("http://mcb-m6.bioreg.kyushu-u.ac.jp/M3/20110418/F50974/1291/1", 51.37)</f>
        <v>51.37</v>
      </c>
      <c r="E4319" s="2">
        <v>26.28</v>
      </c>
      <c r="F4319" s="2">
        <v>2</v>
      </c>
      <c r="G4319" s="2" t="s">
        <v>11</v>
      </c>
    </row>
    <row r="4320" spans="1:9" x14ac:dyDescent="0.2">
      <c r="A4320" s="2" t="s">
        <v>3250</v>
      </c>
      <c r="B4320" s="2" t="s">
        <v>503</v>
      </c>
      <c r="C4320" s="2">
        <v>816.43370000000004</v>
      </c>
      <c r="D4320" s="2">
        <f>HYPERLINK("http://mcb-m6.bioreg.kyushu-u.ac.jp/M3/20110418/F50976/2474/1", 51.91)</f>
        <v>51.91</v>
      </c>
      <c r="E4320" s="2">
        <v>41.16</v>
      </c>
      <c r="F4320" s="2">
        <v>2</v>
      </c>
      <c r="G4320" s="2" t="s">
        <v>11</v>
      </c>
      <c r="H4320" s="2" t="s">
        <v>4907</v>
      </c>
    </row>
    <row r="4321" spans="1:9" x14ac:dyDescent="0.2">
      <c r="A4321" s="2" t="s">
        <v>3250</v>
      </c>
      <c r="B4321" s="2" t="s">
        <v>1065</v>
      </c>
      <c r="C4321" s="2">
        <v>716.94420000000002</v>
      </c>
      <c r="D4321" s="2">
        <f>HYPERLINK("http://mcb-m6.bioreg.kyushu-u.ac.jp/M3/20110418/F50978/1969/1", 52.22)</f>
        <v>52.22</v>
      </c>
      <c r="E4321" s="2">
        <v>41.36</v>
      </c>
      <c r="F4321" s="2">
        <v>2</v>
      </c>
      <c r="G4321" s="2" t="s">
        <v>11</v>
      </c>
      <c r="I4321" s="2" t="s">
        <v>4892</v>
      </c>
    </row>
    <row r="4322" spans="1:9" x14ac:dyDescent="0.2">
      <c r="A4322" s="2" t="s">
        <v>3250</v>
      </c>
      <c r="B4322" s="2" t="s">
        <v>481</v>
      </c>
      <c r="C4322" s="2">
        <v>1417.567</v>
      </c>
      <c r="D4322" s="2">
        <f>HYPERLINK("http://mcb-m6.bioreg.kyushu-u.ac.jp/M3/20110418/F50979/1932/1", 52.3)</f>
        <v>52.3</v>
      </c>
      <c r="E4322" s="2">
        <v>37.9</v>
      </c>
      <c r="F4322" s="2">
        <v>1</v>
      </c>
      <c r="G4322" s="2" t="s">
        <v>11</v>
      </c>
      <c r="I4322" s="2" t="s">
        <v>4898</v>
      </c>
    </row>
    <row r="4323" spans="1:9" x14ac:dyDescent="0.2">
      <c r="A4323" s="2" t="s">
        <v>3250</v>
      </c>
      <c r="B4323" s="2" t="s">
        <v>77</v>
      </c>
      <c r="C4323" s="2">
        <v>575.04420000000005</v>
      </c>
      <c r="D4323" s="2">
        <f>HYPERLINK("http://mcb-m6.bioreg.kyushu-u.ac.jp/M3/20110418/F51000/1520/1", 52.4)</f>
        <v>52.4</v>
      </c>
      <c r="E4323" s="2">
        <v>25.01</v>
      </c>
      <c r="F4323" s="2">
        <v>2</v>
      </c>
      <c r="G4323" s="2" t="s">
        <v>11</v>
      </c>
    </row>
    <row r="4324" spans="1:9" x14ac:dyDescent="0.2">
      <c r="A4324" s="2" t="s">
        <v>3250</v>
      </c>
      <c r="B4324" s="2" t="s">
        <v>77</v>
      </c>
      <c r="C4324" s="2">
        <v>574.91060000000004</v>
      </c>
      <c r="D4324" s="2">
        <f>HYPERLINK("http://mcb-m6.bioreg.kyushu-u.ac.jp/M3/20110418/F50976/1169/1", 52.88)</f>
        <v>52.88</v>
      </c>
      <c r="E4324" s="2">
        <v>25.08</v>
      </c>
      <c r="F4324" s="2">
        <v>2</v>
      </c>
      <c r="G4324" s="2" t="s">
        <v>11</v>
      </c>
    </row>
    <row r="4325" spans="1:9" x14ac:dyDescent="0.2">
      <c r="A4325" s="2" t="s">
        <v>3250</v>
      </c>
      <c r="B4325" s="2" t="s">
        <v>481</v>
      </c>
      <c r="C4325" s="2">
        <v>1417.7180000000001</v>
      </c>
      <c r="D4325" s="2">
        <f>HYPERLINK("http://mcb-m6.bioreg.kyushu-u.ac.jp/M3/20110418/F50978/1922/1", 53.07)</f>
        <v>53.07</v>
      </c>
      <c r="E4325" s="2">
        <v>39.83</v>
      </c>
      <c r="F4325" s="2">
        <v>1</v>
      </c>
      <c r="G4325" s="2" t="s">
        <v>11</v>
      </c>
      <c r="I4325" s="2" t="s">
        <v>4898</v>
      </c>
    </row>
    <row r="4326" spans="1:9" x14ac:dyDescent="0.2">
      <c r="A4326" s="2" t="s">
        <v>3250</v>
      </c>
      <c r="B4326" s="2" t="s">
        <v>77</v>
      </c>
      <c r="C4326" s="2">
        <v>574.86569999999995</v>
      </c>
      <c r="D4326" s="2">
        <f>HYPERLINK("http://mcb-m6.bioreg.kyushu-u.ac.jp/M3/20110418/F50978/1286/1", 53.14)</f>
        <v>53.14</v>
      </c>
      <c r="E4326" s="2">
        <v>25.26</v>
      </c>
      <c r="F4326" s="2">
        <v>2</v>
      </c>
      <c r="G4326" s="2" t="s">
        <v>11</v>
      </c>
    </row>
    <row r="4327" spans="1:9" x14ac:dyDescent="0.2">
      <c r="A4327" s="2" t="s">
        <v>3250</v>
      </c>
      <c r="B4327" s="2" t="s">
        <v>772</v>
      </c>
      <c r="C4327" s="2">
        <v>596.10720000000003</v>
      </c>
      <c r="D4327" s="2">
        <f>HYPERLINK("http://mcb-m6.bioreg.kyushu-u.ac.jp/M3/20110418/F50978/1402/1", 53.45)</f>
        <v>53.45</v>
      </c>
      <c r="E4327" s="2">
        <v>38.200000000000003</v>
      </c>
      <c r="F4327" s="2">
        <v>2</v>
      </c>
      <c r="G4327" s="2" t="s">
        <v>11</v>
      </c>
    </row>
    <row r="4328" spans="1:9" x14ac:dyDescent="0.2">
      <c r="A4328" s="2" t="s">
        <v>3250</v>
      </c>
      <c r="B4328" s="2" t="s">
        <v>481</v>
      </c>
      <c r="C4328" s="2">
        <v>709.35109999999997</v>
      </c>
      <c r="D4328" s="2">
        <f>HYPERLINK("http://mcb-m6.bioreg.kyushu-u.ac.jp/M3/20110418/F50979/1933/1", 53.56)</f>
        <v>53.56</v>
      </c>
      <c r="E4328" s="2">
        <v>37.15</v>
      </c>
      <c r="F4328" s="2">
        <v>2</v>
      </c>
      <c r="G4328" s="2" t="s">
        <v>11</v>
      </c>
      <c r="I4328" s="2" t="s">
        <v>4898</v>
      </c>
    </row>
    <row r="4329" spans="1:9" x14ac:dyDescent="0.2">
      <c r="A4329" s="2" t="s">
        <v>3250</v>
      </c>
      <c r="B4329" s="2" t="s">
        <v>1065</v>
      </c>
      <c r="C4329" s="2">
        <v>717.1327</v>
      </c>
      <c r="D4329" s="2">
        <f>HYPERLINK("http://mcb-m6.bioreg.kyushu-u.ac.jp/M3/20110418/F50979/1961/1", 54.13)</f>
        <v>54.13</v>
      </c>
      <c r="E4329" s="2">
        <v>22.37</v>
      </c>
      <c r="F4329" s="2">
        <v>2</v>
      </c>
      <c r="G4329" s="2" t="s">
        <v>11</v>
      </c>
      <c r="I4329" s="2" t="s">
        <v>4892</v>
      </c>
    </row>
    <row r="4330" spans="1:9" x14ac:dyDescent="0.2">
      <c r="A4330" s="2" t="s">
        <v>3250</v>
      </c>
      <c r="B4330" s="2" t="s">
        <v>772</v>
      </c>
      <c r="C4330" s="2">
        <v>1190.6279999999999</v>
      </c>
      <c r="D4330" s="2">
        <f>HYPERLINK("http://mcb-m6.bioreg.kyushu-u.ac.jp/M3/20110418/F50979/1597/1", 54.58)</f>
        <v>54.58</v>
      </c>
      <c r="E4330" s="2">
        <v>16.46</v>
      </c>
      <c r="F4330" s="2">
        <v>1</v>
      </c>
      <c r="G4330" s="2" t="s">
        <v>11</v>
      </c>
    </row>
    <row r="4331" spans="1:9" x14ac:dyDescent="0.2">
      <c r="A4331" s="2" t="s">
        <v>3250</v>
      </c>
      <c r="B4331" s="2" t="s">
        <v>311</v>
      </c>
      <c r="C4331" s="2">
        <v>1196.5309999999999</v>
      </c>
      <c r="D4331" s="2">
        <f>HYPERLINK("http://mcb-m6.bioreg.kyushu-u.ac.jp/M3/20110418/F50977/1341/1", 54.74)</f>
        <v>54.74</v>
      </c>
      <c r="E4331" s="2">
        <v>41.04</v>
      </c>
      <c r="F4331" s="2">
        <v>1</v>
      </c>
      <c r="G4331" s="2" t="s">
        <v>11</v>
      </c>
    </row>
    <row r="4332" spans="1:9" x14ac:dyDescent="0.2">
      <c r="A4332" s="2" t="s">
        <v>3250</v>
      </c>
      <c r="B4332" s="2" t="s">
        <v>467</v>
      </c>
      <c r="C4332" s="2">
        <v>692.30020000000002</v>
      </c>
      <c r="D4332" s="2">
        <f>HYPERLINK("http://mcb-m6.bioreg.kyushu-u.ac.jp/M3/20110418/F50978/1837/1", 54.99)</f>
        <v>54.99</v>
      </c>
      <c r="E4332" s="2">
        <v>28.81</v>
      </c>
      <c r="F4332" s="2">
        <v>2</v>
      </c>
      <c r="G4332" s="2" t="s">
        <v>11</v>
      </c>
    </row>
    <row r="4333" spans="1:9" x14ac:dyDescent="0.2">
      <c r="A4333" s="2" t="s">
        <v>3250</v>
      </c>
      <c r="B4333" s="2" t="s">
        <v>90</v>
      </c>
      <c r="C4333" s="2">
        <v>717.35860000000002</v>
      </c>
      <c r="D4333" s="2">
        <f>HYPERLINK("http://mcb-m6.bioreg.kyushu-u.ac.jp/M3/20110418/F50978/1975/1", 55.04)</f>
        <v>55.04</v>
      </c>
      <c r="E4333" s="2">
        <v>5.96</v>
      </c>
      <c r="F4333" s="2">
        <v>2</v>
      </c>
      <c r="G4333" s="2" t="s">
        <v>11</v>
      </c>
    </row>
    <row r="4334" spans="1:9" x14ac:dyDescent="0.2">
      <c r="A4334" s="2" t="s">
        <v>3250</v>
      </c>
      <c r="B4334" s="2" t="s">
        <v>1065</v>
      </c>
      <c r="C4334" s="2">
        <v>716.73609999999996</v>
      </c>
      <c r="D4334" s="2">
        <f>HYPERLINK("http://mcb-m6.bioreg.kyushu-u.ac.jp/M3/20110418/F50979/1954/1", 55.45)</f>
        <v>55.45</v>
      </c>
      <c r="E4334" s="2">
        <v>41.42</v>
      </c>
      <c r="F4334" s="2">
        <v>2</v>
      </c>
      <c r="G4334" s="2" t="s">
        <v>11</v>
      </c>
      <c r="I4334" s="2" t="s">
        <v>4892</v>
      </c>
    </row>
    <row r="4335" spans="1:9" x14ac:dyDescent="0.2">
      <c r="A4335" s="2" t="s">
        <v>3250</v>
      </c>
      <c r="B4335" s="2" t="s">
        <v>481</v>
      </c>
      <c r="C4335" s="2">
        <v>1417.557</v>
      </c>
      <c r="D4335" s="2">
        <f>HYPERLINK("http://mcb-m6.bioreg.kyushu-u.ac.jp/M3/20110418/F50977/1910/1", 55.64)</f>
        <v>55.64</v>
      </c>
      <c r="E4335" s="2">
        <v>43.17</v>
      </c>
      <c r="F4335" s="2">
        <v>1</v>
      </c>
      <c r="G4335" s="2" t="s">
        <v>11</v>
      </c>
      <c r="I4335" s="2" t="s">
        <v>4898</v>
      </c>
    </row>
    <row r="4336" spans="1:9" x14ac:dyDescent="0.2">
      <c r="A4336" s="2" t="s">
        <v>3250</v>
      </c>
      <c r="B4336" s="2" t="s">
        <v>365</v>
      </c>
      <c r="C4336" s="2">
        <v>848.82619999999997</v>
      </c>
      <c r="D4336" s="2">
        <f>HYPERLINK("http://mcb-m6.bioreg.kyushu-u.ac.jp/M3/20110418/F50977/2730/1", 55.85)</f>
        <v>55.85</v>
      </c>
      <c r="E4336" s="2">
        <v>41.14</v>
      </c>
      <c r="F4336" s="2">
        <v>2</v>
      </c>
      <c r="G4336" s="2" t="s">
        <v>11</v>
      </c>
    </row>
    <row r="4337" spans="1:9" x14ac:dyDescent="0.2">
      <c r="A4337" s="2" t="s">
        <v>3250</v>
      </c>
      <c r="B4337" s="2" t="s">
        <v>365</v>
      </c>
      <c r="C4337" s="2">
        <v>849.31960000000004</v>
      </c>
      <c r="D4337" s="2">
        <f>HYPERLINK("http://mcb-m6.bioreg.kyushu-u.ac.jp/M3/20110418/F51000/2214/1", 56.34)</f>
        <v>56.34</v>
      </c>
      <c r="E4337" s="2">
        <v>41.18</v>
      </c>
      <c r="F4337" s="2">
        <v>2</v>
      </c>
      <c r="G4337" s="2" t="s">
        <v>11</v>
      </c>
    </row>
    <row r="4338" spans="1:9" x14ac:dyDescent="0.2">
      <c r="A4338" s="2" t="s">
        <v>3250</v>
      </c>
      <c r="B4338" s="2" t="s">
        <v>311</v>
      </c>
      <c r="C4338" s="2">
        <v>599.2527</v>
      </c>
      <c r="D4338" s="2">
        <f>HYPERLINK("http://mcb-m6.bioreg.kyushu-u.ac.jp/M3/20110418/F50975/1243/1", 57.36)</f>
        <v>57.36</v>
      </c>
      <c r="E4338" s="2">
        <v>37.93</v>
      </c>
      <c r="F4338" s="2">
        <v>2</v>
      </c>
      <c r="G4338" s="2" t="s">
        <v>11</v>
      </c>
    </row>
    <row r="4339" spans="1:9" x14ac:dyDescent="0.2">
      <c r="A4339" s="2" t="s">
        <v>3250</v>
      </c>
      <c r="B4339" s="2" t="s">
        <v>467</v>
      </c>
      <c r="C4339" s="2">
        <v>692.19119999999998</v>
      </c>
      <c r="D4339" s="2">
        <f>HYPERLINK("http://mcb-m6.bioreg.kyushu-u.ac.jp/M3/20110418/F50973/1954/1", 57.49)</f>
        <v>57.49</v>
      </c>
      <c r="E4339" s="2">
        <v>26.15</v>
      </c>
      <c r="F4339" s="2">
        <v>2</v>
      </c>
      <c r="G4339" s="2" t="s">
        <v>11</v>
      </c>
    </row>
    <row r="4340" spans="1:9" x14ac:dyDescent="0.2">
      <c r="A4340" s="2" t="s">
        <v>3250</v>
      </c>
      <c r="B4340" s="2" t="s">
        <v>503</v>
      </c>
      <c r="C4340" s="2">
        <v>816.41970000000003</v>
      </c>
      <c r="D4340" s="2">
        <f>HYPERLINK("http://mcb-m6.bioreg.kyushu-u.ac.jp/M3/20110418/F50977/2544/1", 57.53)</f>
        <v>57.53</v>
      </c>
      <c r="E4340" s="2">
        <v>48.62</v>
      </c>
      <c r="F4340" s="2">
        <v>2</v>
      </c>
      <c r="G4340" s="2" t="s">
        <v>11</v>
      </c>
      <c r="H4340" s="2" t="s">
        <v>4907</v>
      </c>
    </row>
    <row r="4341" spans="1:9" x14ac:dyDescent="0.2">
      <c r="A4341" s="2" t="s">
        <v>3250</v>
      </c>
      <c r="B4341" s="2" t="s">
        <v>311</v>
      </c>
      <c r="C4341" s="2">
        <v>606.70569999999998</v>
      </c>
      <c r="D4341" s="2">
        <f>HYPERLINK("http://mcb-m6.bioreg.kyushu-u.ac.jp/M3/20110418/F50978/1452/1", 57.56)</f>
        <v>57.56</v>
      </c>
      <c r="E4341" s="2">
        <v>43.11</v>
      </c>
      <c r="F4341" s="2">
        <v>2</v>
      </c>
      <c r="G4341" s="2" t="s">
        <v>11</v>
      </c>
      <c r="H4341" s="2" t="s">
        <v>4908</v>
      </c>
    </row>
    <row r="4342" spans="1:9" x14ac:dyDescent="0.2">
      <c r="A4342" s="2" t="s">
        <v>3250</v>
      </c>
      <c r="B4342" s="2" t="s">
        <v>503</v>
      </c>
      <c r="C4342" s="2">
        <v>816.41309999999999</v>
      </c>
      <c r="D4342" s="2">
        <f>HYPERLINK("http://mcb-m6.bioreg.kyushu-u.ac.jp/M3/20110418/F50979/2381/1", 58.75)</f>
        <v>58.75</v>
      </c>
      <c r="E4342" s="2">
        <v>49.92</v>
      </c>
      <c r="F4342" s="2">
        <v>2</v>
      </c>
      <c r="G4342" s="2" t="s">
        <v>11</v>
      </c>
      <c r="H4342" s="2" t="s">
        <v>4907</v>
      </c>
    </row>
    <row r="4343" spans="1:9" x14ac:dyDescent="0.2">
      <c r="A4343" s="2" t="s">
        <v>3250</v>
      </c>
      <c r="B4343" s="2" t="s">
        <v>311</v>
      </c>
      <c r="C4343" s="2">
        <v>607.30269999999996</v>
      </c>
      <c r="D4343" s="2">
        <f>HYPERLINK("http://mcb-m6.bioreg.kyushu-u.ac.jp/M3/20110418/F50979/1635/1", 58.96)</f>
        <v>58.96</v>
      </c>
      <c r="E4343" s="2">
        <v>40.659999999999997</v>
      </c>
      <c r="F4343" s="2">
        <v>2</v>
      </c>
      <c r="G4343" s="2" t="s">
        <v>11</v>
      </c>
      <c r="H4343" s="2" t="s">
        <v>4908</v>
      </c>
    </row>
    <row r="4344" spans="1:9" x14ac:dyDescent="0.2">
      <c r="A4344" s="2" t="s">
        <v>3250</v>
      </c>
      <c r="B4344" s="2" t="s">
        <v>467</v>
      </c>
      <c r="C4344" s="2">
        <v>1383.585</v>
      </c>
      <c r="D4344" s="2">
        <f>HYPERLINK("http://mcb-m6.bioreg.kyushu-u.ac.jp/M3/20110418/F50979/1892/1", 59.07)</f>
        <v>59.07</v>
      </c>
      <c r="E4344" s="2">
        <v>46.78</v>
      </c>
      <c r="F4344" s="2">
        <v>1</v>
      </c>
      <c r="G4344" s="2" t="s">
        <v>11</v>
      </c>
    </row>
    <row r="4345" spans="1:9" x14ac:dyDescent="0.2">
      <c r="A4345" s="2" t="s">
        <v>3250</v>
      </c>
      <c r="B4345" s="2" t="s">
        <v>561</v>
      </c>
      <c r="C4345" s="2">
        <v>662.79859999999996</v>
      </c>
      <c r="D4345" s="2">
        <f>HYPERLINK("http://mcb-m6.bioreg.kyushu-u.ac.jp/M3/20110418/F50979/1792/1", 59.87)</f>
        <v>59.87</v>
      </c>
      <c r="E4345" s="2">
        <v>46.33</v>
      </c>
      <c r="F4345" s="2">
        <v>2</v>
      </c>
      <c r="G4345" s="2" t="s">
        <v>11</v>
      </c>
      <c r="H4345" s="2" t="s">
        <v>4919</v>
      </c>
    </row>
    <row r="4346" spans="1:9" x14ac:dyDescent="0.2">
      <c r="A4346" s="2" t="s">
        <v>3250</v>
      </c>
      <c r="B4346" s="2" t="s">
        <v>311</v>
      </c>
      <c r="C4346" s="2">
        <v>599.33259999999996</v>
      </c>
      <c r="D4346" s="2">
        <f>HYPERLINK("http://mcb-m6.bioreg.kyushu-u.ac.jp/M3/20110418/F50978/1429/1", 60.18)</f>
        <v>60.18</v>
      </c>
      <c r="E4346" s="2">
        <v>37.549999999999997</v>
      </c>
      <c r="F4346" s="2">
        <v>2</v>
      </c>
      <c r="G4346" s="2" t="s">
        <v>11</v>
      </c>
    </row>
    <row r="4347" spans="1:9" x14ac:dyDescent="0.2">
      <c r="A4347" s="2" t="s">
        <v>3250</v>
      </c>
      <c r="B4347" s="2" t="s">
        <v>481</v>
      </c>
      <c r="C4347" s="2">
        <v>709.77760000000001</v>
      </c>
      <c r="D4347" s="2">
        <f>HYPERLINK("http://mcb-m6.bioreg.kyushu-u.ac.jp/M3/20110418/F50996/1905/1", 60.52)</f>
        <v>60.52</v>
      </c>
      <c r="E4347" s="2">
        <v>38.93</v>
      </c>
      <c r="F4347" s="2">
        <v>2</v>
      </c>
      <c r="G4347" s="2" t="s">
        <v>11</v>
      </c>
      <c r="I4347" s="2" t="s">
        <v>4898</v>
      </c>
    </row>
    <row r="4348" spans="1:9" x14ac:dyDescent="0.2">
      <c r="A4348" s="2" t="s">
        <v>3250</v>
      </c>
      <c r="B4348" s="2" t="s">
        <v>365</v>
      </c>
      <c r="C4348" s="2">
        <v>849.35670000000005</v>
      </c>
      <c r="D4348" s="2">
        <f>HYPERLINK("http://mcb-m6.bioreg.kyushu-u.ac.jp/M3/20110418/F50996/2449/1", 60.98)</f>
        <v>60.98</v>
      </c>
      <c r="E4348" s="2">
        <v>45.02</v>
      </c>
      <c r="F4348" s="2">
        <v>2</v>
      </c>
      <c r="G4348" s="2" t="s">
        <v>11</v>
      </c>
    </row>
    <row r="4349" spans="1:9" x14ac:dyDescent="0.2">
      <c r="A4349" s="2" t="s">
        <v>3250</v>
      </c>
      <c r="B4349" s="2" t="s">
        <v>772</v>
      </c>
      <c r="C4349" s="2">
        <v>1190.569</v>
      </c>
      <c r="D4349" s="2">
        <f>HYPERLINK("http://mcb-m6.bioreg.kyushu-u.ac.jp/M3/20110418/F50976/1275/1", 61)</f>
        <v>61</v>
      </c>
      <c r="E4349" s="2">
        <v>35.090000000000003</v>
      </c>
      <c r="F4349" s="2">
        <v>1</v>
      </c>
      <c r="G4349" s="2" t="s">
        <v>11</v>
      </c>
    </row>
    <row r="4350" spans="1:9" x14ac:dyDescent="0.2">
      <c r="A4350" s="2" t="s">
        <v>3250</v>
      </c>
      <c r="B4350" s="2" t="s">
        <v>102</v>
      </c>
      <c r="C4350" s="2">
        <v>608.64919999999995</v>
      </c>
      <c r="D4350" s="2">
        <f>HYPERLINK("http://mcb-m6.bioreg.kyushu-u.ac.jp/M3/20110418/F50979/1641/1", 61.02)</f>
        <v>61.02</v>
      </c>
      <c r="E4350" s="2">
        <v>43.82</v>
      </c>
      <c r="F4350" s="2">
        <v>2</v>
      </c>
      <c r="G4350" s="2" t="s">
        <v>11</v>
      </c>
    </row>
    <row r="4351" spans="1:9" x14ac:dyDescent="0.2">
      <c r="A4351" s="2" t="s">
        <v>3250</v>
      </c>
      <c r="B4351" s="2" t="s">
        <v>772</v>
      </c>
      <c r="C4351" s="2">
        <v>1190.643</v>
      </c>
      <c r="D4351" s="2">
        <f>HYPERLINK("http://mcb-m6.bioreg.kyushu-u.ac.jp/M3/20110418/F50978/1398/1", 61.21)</f>
        <v>61.21</v>
      </c>
      <c r="E4351" s="2">
        <v>38.54</v>
      </c>
      <c r="F4351" s="2">
        <v>1</v>
      </c>
      <c r="G4351" s="2" t="s">
        <v>11</v>
      </c>
    </row>
    <row r="4352" spans="1:9" x14ac:dyDescent="0.2">
      <c r="A4352" s="2" t="s">
        <v>3250</v>
      </c>
      <c r="B4352" s="2" t="s">
        <v>543</v>
      </c>
      <c r="C4352" s="2">
        <v>927.04769999999996</v>
      </c>
      <c r="D4352" s="2">
        <f>HYPERLINK("http://mcb-m6.bioreg.kyushu-u.ac.jp/M3/20110418/F50979/2711/1", 61.36)</f>
        <v>61.36</v>
      </c>
      <c r="E4352" s="2">
        <v>47.8</v>
      </c>
      <c r="F4352" s="2">
        <v>2</v>
      </c>
      <c r="G4352" s="2" t="s">
        <v>11</v>
      </c>
    </row>
    <row r="4353" spans="1:9" x14ac:dyDescent="0.2">
      <c r="A4353" s="2" t="s">
        <v>3250</v>
      </c>
      <c r="B4353" s="2" t="s">
        <v>356</v>
      </c>
      <c r="C4353" s="2">
        <v>816.24620000000004</v>
      </c>
      <c r="D4353" s="2">
        <f>HYPERLINK("http://mcb-m6.bioreg.kyushu-u.ac.jp/M3/20110418/F50979/2379/1", 61.46)</f>
        <v>61.46</v>
      </c>
      <c r="E4353" s="2">
        <v>46.69</v>
      </c>
      <c r="F4353" s="2">
        <v>2</v>
      </c>
      <c r="G4353" s="2" t="s">
        <v>11</v>
      </c>
    </row>
    <row r="4354" spans="1:9" x14ac:dyDescent="0.2">
      <c r="A4354" s="2" t="s">
        <v>3250</v>
      </c>
      <c r="B4354" s="2" t="s">
        <v>77</v>
      </c>
      <c r="C4354" s="2">
        <v>574.83169999999996</v>
      </c>
      <c r="D4354" s="2">
        <f>HYPERLINK("http://mcb-m6.bioreg.kyushu-u.ac.jp/M3/20110418/F50999/1466/1", 61.75)</f>
        <v>61.75</v>
      </c>
      <c r="E4354" s="2">
        <v>37.35</v>
      </c>
      <c r="F4354" s="2">
        <v>2</v>
      </c>
      <c r="G4354" s="2" t="s">
        <v>11</v>
      </c>
    </row>
    <row r="4355" spans="1:9" x14ac:dyDescent="0.2">
      <c r="A4355" s="2" t="s">
        <v>3250</v>
      </c>
      <c r="B4355" s="2" t="s">
        <v>311</v>
      </c>
      <c r="C4355" s="2">
        <v>606.79570000000001</v>
      </c>
      <c r="D4355" s="2">
        <f>HYPERLINK("http://mcb-m6.bioreg.kyushu-u.ac.jp/M3/20110418/F50979/1631/1", 61.79)</f>
        <v>61.79</v>
      </c>
      <c r="E4355" s="2">
        <v>41.13</v>
      </c>
      <c r="F4355" s="2">
        <v>2</v>
      </c>
      <c r="G4355" s="2" t="s">
        <v>11</v>
      </c>
      <c r="H4355" s="2" t="s">
        <v>4908</v>
      </c>
    </row>
    <row r="4356" spans="1:9" x14ac:dyDescent="0.2">
      <c r="A4356" s="2" t="s">
        <v>3250</v>
      </c>
      <c r="B4356" s="2" t="s">
        <v>481</v>
      </c>
      <c r="C4356" s="2">
        <v>709.47720000000004</v>
      </c>
      <c r="D4356" s="2">
        <f>HYPERLINK("http://mcb-m6.bioreg.kyushu-u.ac.jp/M3/20110418/F50978/1923/1", 62.55)</f>
        <v>62.55</v>
      </c>
      <c r="E4356" s="2">
        <v>45.48</v>
      </c>
      <c r="F4356" s="2">
        <v>2</v>
      </c>
      <c r="G4356" s="2" t="s">
        <v>11</v>
      </c>
      <c r="I4356" s="2" t="s">
        <v>4898</v>
      </c>
    </row>
    <row r="4357" spans="1:9" x14ac:dyDescent="0.2">
      <c r="A4357" s="2" t="s">
        <v>3250</v>
      </c>
      <c r="B4357" s="2" t="s">
        <v>365</v>
      </c>
      <c r="C4357" s="2">
        <v>849.00670000000002</v>
      </c>
      <c r="D4357" s="2">
        <f>HYPERLINK("http://mcb-m6.bioreg.kyushu-u.ac.jp/M3/20110418/F50978/2577/1", 62.66)</f>
        <v>62.66</v>
      </c>
      <c r="E4357" s="2">
        <v>43.96</v>
      </c>
      <c r="F4357" s="2">
        <v>2</v>
      </c>
      <c r="G4357" s="2" t="s">
        <v>11</v>
      </c>
    </row>
    <row r="4358" spans="1:9" x14ac:dyDescent="0.2">
      <c r="A4358" s="2" t="s">
        <v>3250</v>
      </c>
      <c r="B4358" s="2" t="s">
        <v>311</v>
      </c>
      <c r="C4358" s="2">
        <v>1196.471</v>
      </c>
      <c r="D4358" s="2">
        <f>HYPERLINK("http://mcb-m6.bioreg.kyushu-u.ac.jp/M3/20110418/F51000/1572/1", 62.7)</f>
        <v>62.7</v>
      </c>
      <c r="E4358" s="2">
        <v>47.44</v>
      </c>
      <c r="F4358" s="2">
        <v>1</v>
      </c>
      <c r="G4358" s="2" t="s">
        <v>11</v>
      </c>
    </row>
    <row r="4359" spans="1:9" x14ac:dyDescent="0.2">
      <c r="A4359" s="2" t="s">
        <v>3250</v>
      </c>
      <c r="B4359" s="2" t="s">
        <v>1065</v>
      </c>
      <c r="C4359" s="2">
        <v>716.7867</v>
      </c>
      <c r="D4359" s="2">
        <f>HYPERLINK("http://mcb-m6.bioreg.kyushu-u.ac.jp/M3/20110418/F50979/1956/1", 63.37)</f>
        <v>63.37</v>
      </c>
      <c r="E4359" s="2">
        <v>45.98</v>
      </c>
      <c r="F4359" s="2">
        <v>2</v>
      </c>
      <c r="G4359" s="2" t="s">
        <v>11</v>
      </c>
      <c r="I4359" s="2" t="s">
        <v>4892</v>
      </c>
    </row>
    <row r="4360" spans="1:9" x14ac:dyDescent="0.2">
      <c r="A4360" s="2" t="s">
        <v>3250</v>
      </c>
      <c r="B4360" s="2" t="s">
        <v>311</v>
      </c>
      <c r="C4360" s="2">
        <v>598.6182</v>
      </c>
      <c r="D4360" s="2">
        <f>HYPERLINK("http://mcb-m6.bioreg.kyushu-u.ac.jp/M3/20110418/F50974/1414/1", 64.46)</f>
        <v>64.459999999999994</v>
      </c>
      <c r="E4360" s="2">
        <v>43.68</v>
      </c>
      <c r="F4360" s="2">
        <v>2</v>
      </c>
      <c r="G4360" s="2" t="s">
        <v>11</v>
      </c>
    </row>
    <row r="4361" spans="1:9" x14ac:dyDescent="0.2">
      <c r="A4361" s="2" t="s">
        <v>3250</v>
      </c>
      <c r="B4361" s="2" t="s">
        <v>1255</v>
      </c>
      <c r="C4361" s="2">
        <v>1273.903</v>
      </c>
      <c r="D4361" s="2">
        <f>HYPERLINK("http://mcb-m6.bioreg.kyushu-u.ac.jp/M3/20110418/F50977/4110/1", 64.5)</f>
        <v>64.5</v>
      </c>
      <c r="E4361" s="2">
        <v>50.64</v>
      </c>
      <c r="F4361" s="2">
        <v>2</v>
      </c>
      <c r="G4361" s="2" t="s">
        <v>11</v>
      </c>
      <c r="I4361" s="2" t="s">
        <v>4906</v>
      </c>
    </row>
    <row r="4362" spans="1:9" x14ac:dyDescent="0.2">
      <c r="A4362" s="2" t="s">
        <v>3250</v>
      </c>
      <c r="B4362" s="2" t="s">
        <v>467</v>
      </c>
      <c r="C4362" s="2">
        <v>691.72670000000005</v>
      </c>
      <c r="D4362" s="2">
        <f>HYPERLINK("http://mcb-m6.bioreg.kyushu-u.ac.jp/M3/20110418/F50978/1830/1", 64.56)</f>
        <v>64.56</v>
      </c>
      <c r="E4362" s="2">
        <v>39.06</v>
      </c>
      <c r="F4362" s="2">
        <v>2</v>
      </c>
      <c r="G4362" s="2" t="s">
        <v>11</v>
      </c>
    </row>
    <row r="4363" spans="1:9" x14ac:dyDescent="0.2">
      <c r="A4363" s="2" t="s">
        <v>3250</v>
      </c>
      <c r="B4363" s="2" t="s">
        <v>503</v>
      </c>
      <c r="C4363" s="2">
        <v>808.34519999999998</v>
      </c>
      <c r="D4363" s="2">
        <f>HYPERLINK("http://mcb-m6.bioreg.kyushu-u.ac.jp/M3/20110418/F50979/2352/1", 65.29)</f>
        <v>65.290000000000006</v>
      </c>
      <c r="E4363" s="2">
        <v>54.39</v>
      </c>
      <c r="F4363" s="2">
        <v>2</v>
      </c>
      <c r="G4363" s="2" t="s">
        <v>11</v>
      </c>
    </row>
    <row r="4364" spans="1:9" x14ac:dyDescent="0.2">
      <c r="A4364" s="2" t="s">
        <v>3250</v>
      </c>
      <c r="B4364" s="2" t="s">
        <v>543</v>
      </c>
      <c r="C4364" s="2">
        <v>926.88070000000005</v>
      </c>
      <c r="D4364" s="2">
        <f>HYPERLINK("http://mcb-m6.bioreg.kyushu-u.ac.jp/M3/20110418/F50975/3111/1", 65.47)</f>
        <v>65.47</v>
      </c>
      <c r="E4364" s="2">
        <v>52.61</v>
      </c>
      <c r="F4364" s="2">
        <v>2</v>
      </c>
      <c r="G4364" s="2" t="s">
        <v>11</v>
      </c>
    </row>
    <row r="4365" spans="1:9" x14ac:dyDescent="0.2">
      <c r="A4365" s="2" t="s">
        <v>3250</v>
      </c>
      <c r="B4365" s="2" t="s">
        <v>365</v>
      </c>
      <c r="C4365" s="2">
        <v>849.26070000000004</v>
      </c>
      <c r="D4365" s="2">
        <f>HYPERLINK("http://mcb-m6.bioreg.kyushu-u.ac.jp/M3/20110418/F50999/2359/1", 65.66)</f>
        <v>65.66</v>
      </c>
      <c r="E4365" s="2">
        <v>51.76</v>
      </c>
      <c r="F4365" s="2">
        <v>2</v>
      </c>
      <c r="G4365" s="2" t="s">
        <v>11</v>
      </c>
    </row>
    <row r="4366" spans="1:9" x14ac:dyDescent="0.2">
      <c r="A4366" s="2" t="s">
        <v>3250</v>
      </c>
      <c r="B4366" s="2" t="s">
        <v>311</v>
      </c>
      <c r="C4366" s="2">
        <v>1196.5229999999999</v>
      </c>
      <c r="D4366" s="2">
        <f>HYPERLINK("http://mcb-m6.bioreg.kyushu-u.ac.jp/M3/20110418/F50979/1612/1", 66.16)</f>
        <v>66.16</v>
      </c>
      <c r="E4366" s="2">
        <v>52.83</v>
      </c>
      <c r="F4366" s="2">
        <v>1</v>
      </c>
      <c r="G4366" s="2" t="s">
        <v>11</v>
      </c>
    </row>
    <row r="4367" spans="1:9" x14ac:dyDescent="0.2">
      <c r="A4367" s="2" t="s">
        <v>3250</v>
      </c>
      <c r="B4367" s="2" t="s">
        <v>90</v>
      </c>
      <c r="C4367" s="2">
        <v>717.2867</v>
      </c>
      <c r="D4367" s="2">
        <f>HYPERLINK("http://mcb-m6.bioreg.kyushu-u.ac.jp/M3/20110418/F50977/1956/1", 66.43)</f>
        <v>66.430000000000007</v>
      </c>
      <c r="E4367" s="2">
        <v>43.51</v>
      </c>
      <c r="F4367" s="2">
        <v>2</v>
      </c>
      <c r="G4367" s="2" t="s">
        <v>11</v>
      </c>
    </row>
    <row r="4368" spans="1:9" x14ac:dyDescent="0.2">
      <c r="A4368" s="2" t="s">
        <v>3250</v>
      </c>
      <c r="B4368" s="2" t="s">
        <v>1065</v>
      </c>
      <c r="C4368" s="2">
        <v>716.75369999999998</v>
      </c>
      <c r="D4368" s="2">
        <f>HYPERLINK("http://mcb-m6.bioreg.kyushu-u.ac.jp/M3/20110418/F50978/1964/1", 66.62)</f>
        <v>66.62</v>
      </c>
      <c r="E4368" s="2">
        <v>55.1</v>
      </c>
      <c r="F4368" s="2">
        <v>2</v>
      </c>
      <c r="G4368" s="2" t="s">
        <v>11</v>
      </c>
      <c r="I4368" s="2" t="s">
        <v>4892</v>
      </c>
    </row>
    <row r="4369" spans="1:9" x14ac:dyDescent="0.2">
      <c r="A4369" s="2" t="s">
        <v>3250</v>
      </c>
      <c r="B4369" s="2" t="s">
        <v>102</v>
      </c>
      <c r="C4369" s="2">
        <v>616.71010000000001</v>
      </c>
      <c r="D4369" s="2">
        <f>HYPERLINK("http://mcb-m6.bioreg.kyushu-u.ac.jp/M3/20110418/F50977/1428/1", 66.85)</f>
        <v>66.849999999999994</v>
      </c>
      <c r="E4369" s="2">
        <v>50.36</v>
      </c>
      <c r="F4369" s="2">
        <v>2</v>
      </c>
      <c r="G4369" s="2" t="s">
        <v>11</v>
      </c>
      <c r="H4369" s="2" t="s">
        <v>4900</v>
      </c>
    </row>
    <row r="4370" spans="1:9" x14ac:dyDescent="0.2">
      <c r="A4370" s="2" t="s">
        <v>3250</v>
      </c>
      <c r="B4370" s="2" t="s">
        <v>102</v>
      </c>
      <c r="C4370" s="2">
        <v>616.77970000000005</v>
      </c>
      <c r="D4370" s="2">
        <f>HYPERLINK("http://mcb-m6.bioreg.kyushu-u.ac.jp/M3/20110418/F50978/1512/1", 67.09)</f>
        <v>67.09</v>
      </c>
      <c r="E4370" s="2">
        <v>50.43</v>
      </c>
      <c r="F4370" s="2">
        <v>2</v>
      </c>
      <c r="G4370" s="2" t="s">
        <v>11</v>
      </c>
      <c r="H4370" s="2" t="s">
        <v>4900</v>
      </c>
    </row>
    <row r="4371" spans="1:9" x14ac:dyDescent="0.2">
      <c r="A4371" s="2" t="s">
        <v>3250</v>
      </c>
      <c r="B4371" s="2" t="s">
        <v>467</v>
      </c>
      <c r="C4371" s="2">
        <v>1382.549</v>
      </c>
      <c r="D4371" s="2">
        <f>HYPERLINK("http://mcb-m6.bioreg.kyushu-u.ac.jp/M3/20110418/F51000/1796/1", 67.11)</f>
        <v>67.11</v>
      </c>
      <c r="E4371" s="2">
        <v>52.06</v>
      </c>
      <c r="F4371" s="2">
        <v>1</v>
      </c>
      <c r="G4371" s="2" t="s">
        <v>11</v>
      </c>
    </row>
    <row r="4372" spans="1:9" x14ac:dyDescent="0.2">
      <c r="A4372" s="2" t="s">
        <v>3250</v>
      </c>
      <c r="B4372" s="2" t="s">
        <v>77</v>
      </c>
      <c r="C4372" s="2">
        <v>574.7097</v>
      </c>
      <c r="D4372" s="2">
        <f>HYPERLINK("http://mcb-m6.bioreg.kyushu-u.ac.jp/M3/20110418/F50979/1537/1", 67.11)</f>
        <v>67.11</v>
      </c>
      <c r="E4372" s="2">
        <v>44.51</v>
      </c>
      <c r="F4372" s="2">
        <v>2</v>
      </c>
      <c r="G4372" s="2" t="s">
        <v>11</v>
      </c>
    </row>
    <row r="4373" spans="1:9" x14ac:dyDescent="0.2">
      <c r="A4373" s="2" t="s">
        <v>3250</v>
      </c>
      <c r="B4373" s="2" t="s">
        <v>311</v>
      </c>
      <c r="C4373" s="2">
        <v>599.2482</v>
      </c>
      <c r="D4373" s="2">
        <f>HYPERLINK("http://mcb-m6.bioreg.kyushu-u.ac.jp/M3/20110418/F50979/1617/1", 67.23)</f>
        <v>67.23</v>
      </c>
      <c r="E4373" s="2">
        <v>47.05</v>
      </c>
      <c r="F4373" s="2">
        <v>2</v>
      </c>
      <c r="G4373" s="2" t="s">
        <v>11</v>
      </c>
    </row>
    <row r="4374" spans="1:9" x14ac:dyDescent="0.2">
      <c r="A4374" s="2" t="s">
        <v>3250</v>
      </c>
      <c r="B4374" s="2" t="s">
        <v>311</v>
      </c>
      <c r="C4374" s="2">
        <v>599.20169999999996</v>
      </c>
      <c r="D4374" s="2">
        <f>HYPERLINK("http://mcb-m6.bioreg.kyushu-u.ac.jp/M3/20110418/F50999/1536/1", 67.27)</f>
        <v>67.27</v>
      </c>
      <c r="E4374" s="2">
        <v>48.38</v>
      </c>
      <c r="F4374" s="2">
        <v>2</v>
      </c>
      <c r="G4374" s="2" t="s">
        <v>11</v>
      </c>
    </row>
    <row r="4375" spans="1:9" x14ac:dyDescent="0.2">
      <c r="A4375" s="2" t="s">
        <v>3250</v>
      </c>
      <c r="B4375" s="2" t="s">
        <v>102</v>
      </c>
      <c r="C4375" s="2">
        <v>608.72860000000003</v>
      </c>
      <c r="D4375" s="2">
        <f>HYPERLINK("http://mcb-m6.bioreg.kyushu-u.ac.jp/M3/20110418/F50976/1338/1", 67.9)</f>
        <v>67.900000000000006</v>
      </c>
      <c r="E4375" s="2">
        <v>52.36</v>
      </c>
      <c r="F4375" s="2">
        <v>2</v>
      </c>
      <c r="G4375" s="2" t="s">
        <v>11</v>
      </c>
    </row>
    <row r="4376" spans="1:9" x14ac:dyDescent="0.2">
      <c r="A4376" s="2" t="s">
        <v>3250</v>
      </c>
      <c r="B4376" s="2" t="s">
        <v>772</v>
      </c>
      <c r="C4376" s="2">
        <v>596.15470000000005</v>
      </c>
      <c r="D4376" s="2">
        <f>HYPERLINK("http://mcb-m6.bioreg.kyushu-u.ac.jp/M3/20110418/F50978/1404/1", 68.14)</f>
        <v>68.14</v>
      </c>
      <c r="E4376" s="2">
        <v>44.43</v>
      </c>
      <c r="F4376" s="2">
        <v>2</v>
      </c>
      <c r="G4376" s="2" t="s">
        <v>11</v>
      </c>
    </row>
    <row r="4377" spans="1:9" x14ac:dyDescent="0.2">
      <c r="A4377" s="2" t="s">
        <v>3250</v>
      </c>
      <c r="B4377" s="2" t="s">
        <v>481</v>
      </c>
      <c r="C4377" s="2">
        <v>709.29570000000001</v>
      </c>
      <c r="D4377" s="2">
        <f>HYPERLINK("http://mcb-m6.bioreg.kyushu-u.ac.jp/M3/20110418/F50977/1911/1", 68.26)</f>
        <v>68.260000000000005</v>
      </c>
      <c r="E4377" s="2">
        <v>51.48</v>
      </c>
      <c r="F4377" s="2">
        <v>2</v>
      </c>
      <c r="G4377" s="2" t="s">
        <v>11</v>
      </c>
      <c r="I4377" s="2" t="s">
        <v>4898</v>
      </c>
    </row>
    <row r="4378" spans="1:9" x14ac:dyDescent="0.2">
      <c r="A4378" s="2" t="s">
        <v>3250</v>
      </c>
      <c r="B4378" s="2" t="s">
        <v>90</v>
      </c>
      <c r="C4378" s="2">
        <v>716.77419999999995</v>
      </c>
      <c r="D4378" s="2">
        <f>HYPERLINK("http://mcb-m6.bioreg.kyushu-u.ac.jp/M3/20110418/F50979/1955/1", 68.44)</f>
        <v>68.44</v>
      </c>
      <c r="E4378" s="2">
        <v>20.63</v>
      </c>
      <c r="F4378" s="2">
        <v>2</v>
      </c>
      <c r="G4378" s="2" t="s">
        <v>11</v>
      </c>
    </row>
    <row r="4379" spans="1:9" x14ac:dyDescent="0.2">
      <c r="A4379" s="2" t="s">
        <v>3250</v>
      </c>
      <c r="B4379" s="2" t="s">
        <v>365</v>
      </c>
      <c r="C4379" s="2">
        <v>848.89009999999996</v>
      </c>
      <c r="D4379" s="2">
        <f>HYPERLINK("http://mcb-m6.bioreg.kyushu-u.ac.jp/M3/20110418/F51000/2213/1", 68.78)</f>
        <v>68.78</v>
      </c>
      <c r="E4379" s="2">
        <v>49.86</v>
      </c>
      <c r="F4379" s="2">
        <v>2</v>
      </c>
      <c r="G4379" s="2" t="s">
        <v>11</v>
      </c>
    </row>
    <row r="4380" spans="1:9" x14ac:dyDescent="0.2">
      <c r="A4380" s="2" t="s">
        <v>3250</v>
      </c>
      <c r="B4380" s="2" t="s">
        <v>77</v>
      </c>
      <c r="C4380" s="2">
        <v>575.00019999999995</v>
      </c>
      <c r="D4380" s="2">
        <f>HYPERLINK("http://mcb-m6.bioreg.kyushu-u.ac.jp/M3/20110418/F50978/1287/1", 69.45)</f>
        <v>69.45</v>
      </c>
      <c r="E4380" s="2">
        <v>34.08</v>
      </c>
      <c r="F4380" s="2">
        <v>2</v>
      </c>
      <c r="G4380" s="2" t="s">
        <v>11</v>
      </c>
    </row>
    <row r="4381" spans="1:9" x14ac:dyDescent="0.2">
      <c r="A4381" s="2" t="s">
        <v>3250</v>
      </c>
      <c r="B4381" s="2" t="s">
        <v>311</v>
      </c>
      <c r="C4381" s="2">
        <v>598.79669999999999</v>
      </c>
      <c r="D4381" s="2">
        <f>HYPERLINK("http://mcb-m6.bioreg.kyushu-u.ac.jp/M3/20110418/F51000/1573/1", 69.79)</f>
        <v>69.790000000000006</v>
      </c>
      <c r="E4381" s="2">
        <v>47.8</v>
      </c>
      <c r="F4381" s="2">
        <v>2</v>
      </c>
      <c r="G4381" s="2" t="s">
        <v>11</v>
      </c>
    </row>
    <row r="4382" spans="1:9" x14ac:dyDescent="0.2">
      <c r="A4382" s="2" t="s">
        <v>3250</v>
      </c>
      <c r="B4382" s="2" t="s">
        <v>772</v>
      </c>
      <c r="C4382" s="2">
        <v>596.13959999999997</v>
      </c>
      <c r="D4382" s="2">
        <f>HYPERLINK("http://mcb-m6.bioreg.kyushu-u.ac.jp/M3/20110418/F50978/1403/1", 70.06)</f>
        <v>70.06</v>
      </c>
      <c r="E4382" s="2">
        <v>43.49</v>
      </c>
      <c r="F4382" s="2">
        <v>2</v>
      </c>
      <c r="G4382" s="2" t="s">
        <v>11</v>
      </c>
    </row>
    <row r="4383" spans="1:9" x14ac:dyDescent="0.2">
      <c r="A4383" s="2" t="s">
        <v>3250</v>
      </c>
      <c r="B4383" s="2" t="s">
        <v>503</v>
      </c>
      <c r="C4383" s="2">
        <v>816.94069999999999</v>
      </c>
      <c r="D4383" s="2">
        <f>HYPERLINK("http://mcb-m6.bioreg.kyushu-u.ac.jp/M3/20110418/F50979/2382/1", 70.09)</f>
        <v>70.09</v>
      </c>
      <c r="E4383" s="2">
        <v>52.72</v>
      </c>
      <c r="F4383" s="2">
        <v>2</v>
      </c>
      <c r="G4383" s="2" t="s">
        <v>11</v>
      </c>
      <c r="H4383" s="2" t="s">
        <v>4907</v>
      </c>
    </row>
    <row r="4384" spans="1:9" x14ac:dyDescent="0.2">
      <c r="A4384" s="2" t="s">
        <v>3250</v>
      </c>
      <c r="B4384" s="2" t="s">
        <v>1065</v>
      </c>
      <c r="C4384" s="2">
        <v>717.3732</v>
      </c>
      <c r="D4384" s="2">
        <f>HYPERLINK("http://mcb-m6.bioreg.kyushu-u.ac.jp/M3/20110418/F51000/1876/1", 70.29)</f>
        <v>70.290000000000006</v>
      </c>
      <c r="E4384" s="2">
        <v>54.5</v>
      </c>
      <c r="F4384" s="2">
        <v>2</v>
      </c>
      <c r="G4384" s="2" t="s">
        <v>11</v>
      </c>
      <c r="I4384" s="2" t="s">
        <v>4892</v>
      </c>
    </row>
    <row r="4385" spans="1:9" x14ac:dyDescent="0.2">
      <c r="A4385" s="2" t="s">
        <v>3250</v>
      </c>
      <c r="B4385" s="2" t="s">
        <v>311</v>
      </c>
      <c r="C4385" s="2">
        <v>598.80719999999997</v>
      </c>
      <c r="D4385" s="2">
        <f>HYPERLINK("http://mcb-m6.bioreg.kyushu-u.ac.jp/M3/20110418/F50978/1422/1", 70.32)</f>
        <v>70.319999999999993</v>
      </c>
      <c r="E4385" s="2">
        <v>49.51</v>
      </c>
      <c r="F4385" s="2">
        <v>2</v>
      </c>
      <c r="G4385" s="2" t="s">
        <v>11</v>
      </c>
    </row>
    <row r="4386" spans="1:9" x14ac:dyDescent="0.2">
      <c r="A4386" s="2" t="s">
        <v>3250</v>
      </c>
      <c r="B4386" s="2" t="s">
        <v>311</v>
      </c>
      <c r="C4386" s="2">
        <v>606.64620000000002</v>
      </c>
      <c r="D4386" s="2">
        <f>HYPERLINK("http://mcb-m6.bioreg.kyushu-u.ac.jp/M3/20110418/F51000/1586/1", 70.99)</f>
        <v>70.989999999999995</v>
      </c>
      <c r="E4386" s="2">
        <v>45.95</v>
      </c>
      <c r="F4386" s="2">
        <v>2</v>
      </c>
      <c r="G4386" s="2" t="s">
        <v>11</v>
      </c>
      <c r="H4386" s="2" t="s">
        <v>4908</v>
      </c>
    </row>
    <row r="4387" spans="1:9" x14ac:dyDescent="0.2">
      <c r="A4387" s="2" t="s">
        <v>3250</v>
      </c>
      <c r="B4387" s="2" t="s">
        <v>77</v>
      </c>
      <c r="C4387" s="2">
        <v>574.65560000000005</v>
      </c>
      <c r="D4387" s="2">
        <f>HYPERLINK("http://mcb-m6.bioreg.kyushu-u.ac.jp/M3/20110418/F50977/1219/1", 71.1)</f>
        <v>71.099999999999994</v>
      </c>
      <c r="E4387" s="2">
        <v>45.63</v>
      </c>
      <c r="F4387" s="2">
        <v>2</v>
      </c>
      <c r="G4387" s="2" t="s">
        <v>11</v>
      </c>
    </row>
    <row r="4388" spans="1:9" x14ac:dyDescent="0.2">
      <c r="A4388" s="2" t="s">
        <v>3250</v>
      </c>
      <c r="B4388" s="2" t="s">
        <v>1065</v>
      </c>
      <c r="C4388" s="2">
        <v>716.76969999999994</v>
      </c>
      <c r="D4388" s="2">
        <f>HYPERLINK("http://mcb-m6.bioreg.kyushu-u.ac.jp/M3/20110418/F51000/1872/1", 71.35)</f>
        <v>71.349999999999994</v>
      </c>
      <c r="E4388" s="2">
        <v>55.05</v>
      </c>
      <c r="F4388" s="2">
        <v>2</v>
      </c>
      <c r="G4388" s="2" t="s">
        <v>11</v>
      </c>
      <c r="I4388" s="2" t="s">
        <v>4892</v>
      </c>
    </row>
    <row r="4389" spans="1:9" x14ac:dyDescent="0.2">
      <c r="A4389" s="2" t="s">
        <v>3250</v>
      </c>
      <c r="B4389" s="2" t="s">
        <v>90</v>
      </c>
      <c r="C4389" s="2">
        <v>716.75160000000005</v>
      </c>
      <c r="D4389" s="2">
        <f>HYPERLINK("http://mcb-m6.bioreg.kyushu-u.ac.jp/M3/20110418/F50969/2034/1", 71.56)</f>
        <v>71.56</v>
      </c>
      <c r="E4389" s="2">
        <v>57.71</v>
      </c>
      <c r="F4389" s="2">
        <v>2</v>
      </c>
      <c r="G4389" s="2" t="s">
        <v>11</v>
      </c>
    </row>
    <row r="4390" spans="1:9" x14ac:dyDescent="0.2">
      <c r="A4390" s="2" t="s">
        <v>3250</v>
      </c>
      <c r="B4390" s="2" t="s">
        <v>481</v>
      </c>
      <c r="C4390" s="2">
        <v>709.82920000000001</v>
      </c>
      <c r="D4390" s="2">
        <f>HYPERLINK("http://mcb-m6.bioreg.kyushu-u.ac.jp/M3/20110418/F51000/1843/1", 71.65)</f>
        <v>71.650000000000006</v>
      </c>
      <c r="E4390" s="2">
        <v>51.06</v>
      </c>
      <c r="F4390" s="2">
        <v>2</v>
      </c>
      <c r="G4390" s="2" t="s">
        <v>11</v>
      </c>
      <c r="I4390" s="2" t="s">
        <v>4898</v>
      </c>
    </row>
    <row r="4391" spans="1:9" x14ac:dyDescent="0.2">
      <c r="A4391" s="2" t="s">
        <v>3250</v>
      </c>
      <c r="B4391" s="2" t="s">
        <v>772</v>
      </c>
      <c r="C4391" s="2">
        <v>1190.636</v>
      </c>
      <c r="D4391" s="2">
        <f>HYPERLINK("http://mcb-m6.bioreg.kyushu-u.ac.jp/M3/20110418/F51000/1565/1", 72.51)</f>
        <v>72.510000000000005</v>
      </c>
      <c r="E4391" s="2">
        <v>33.9</v>
      </c>
      <c r="F4391" s="2">
        <v>1</v>
      </c>
      <c r="G4391" s="2" t="s">
        <v>11</v>
      </c>
    </row>
    <row r="4392" spans="1:9" x14ac:dyDescent="0.2">
      <c r="A4392" s="2" t="s">
        <v>3250</v>
      </c>
      <c r="B4392" s="2" t="s">
        <v>481</v>
      </c>
      <c r="C4392" s="2">
        <v>709.35270000000003</v>
      </c>
      <c r="D4392" s="2">
        <f>HYPERLINK("http://mcb-m6.bioreg.kyushu-u.ac.jp/M3/20110418/F50979/1934/1", 72.53)</f>
        <v>72.53</v>
      </c>
      <c r="E4392" s="2">
        <v>52.27</v>
      </c>
      <c r="F4392" s="2">
        <v>2</v>
      </c>
      <c r="G4392" s="2" t="s">
        <v>11</v>
      </c>
      <c r="I4392" s="2" t="s">
        <v>4898</v>
      </c>
    </row>
    <row r="4393" spans="1:9" x14ac:dyDescent="0.2">
      <c r="A4393" s="2" t="s">
        <v>3250</v>
      </c>
      <c r="B4393" s="2" t="s">
        <v>481</v>
      </c>
      <c r="C4393" s="2">
        <v>709.66110000000003</v>
      </c>
      <c r="D4393" s="2">
        <f>HYPERLINK("http://mcb-m6.bioreg.kyushu-u.ac.jp/M3/20110418/F50969/2007/1", 73.26)</f>
        <v>73.260000000000005</v>
      </c>
      <c r="E4393" s="2">
        <v>46.25</v>
      </c>
      <c r="F4393" s="2">
        <v>2</v>
      </c>
      <c r="G4393" s="2" t="s">
        <v>11</v>
      </c>
      <c r="I4393" s="2" t="s">
        <v>4898</v>
      </c>
    </row>
    <row r="4394" spans="1:9" x14ac:dyDescent="0.2">
      <c r="A4394" s="2" t="s">
        <v>3250</v>
      </c>
      <c r="B4394" s="2" t="s">
        <v>1255</v>
      </c>
      <c r="C4394" s="2">
        <v>1273.9269999999999</v>
      </c>
      <c r="D4394" s="2">
        <f>HYPERLINK("http://mcb-m6.bioreg.kyushu-u.ac.jp/M3/20110418/F50978/3709/1", 73.99)</f>
        <v>73.989999999999995</v>
      </c>
      <c r="E4394" s="2">
        <v>64.42</v>
      </c>
      <c r="F4394" s="2">
        <v>2</v>
      </c>
      <c r="G4394" s="2" t="s">
        <v>11</v>
      </c>
      <c r="I4394" s="2" t="s">
        <v>4906</v>
      </c>
    </row>
    <row r="4395" spans="1:9" x14ac:dyDescent="0.2">
      <c r="A4395" s="2" t="s">
        <v>3250</v>
      </c>
      <c r="B4395" s="2" t="s">
        <v>90</v>
      </c>
      <c r="C4395" s="2">
        <v>717.46259999999995</v>
      </c>
      <c r="D4395" s="2">
        <f>HYPERLINK("http://mcb-m6.bioreg.kyushu-u.ac.jp/M3/20110418/F50969/2035/1", 74.43)</f>
        <v>74.430000000000007</v>
      </c>
      <c r="E4395" s="2">
        <v>56.39</v>
      </c>
      <c r="F4395" s="2">
        <v>2</v>
      </c>
      <c r="G4395" s="2" t="s">
        <v>11</v>
      </c>
    </row>
    <row r="4396" spans="1:9" x14ac:dyDescent="0.2">
      <c r="A4396" s="2" t="s">
        <v>3250</v>
      </c>
      <c r="B4396" s="2" t="s">
        <v>77</v>
      </c>
      <c r="C4396" s="2">
        <v>574.7106</v>
      </c>
      <c r="D4396" s="2">
        <f>HYPERLINK("http://mcb-m6.bioreg.kyushu-u.ac.jp/M3/20110418/F50979/1538/1", 74.45)</f>
        <v>74.45</v>
      </c>
      <c r="E4396" s="2">
        <v>50.86</v>
      </c>
      <c r="F4396" s="2">
        <v>2</v>
      </c>
      <c r="G4396" s="2" t="s">
        <v>11</v>
      </c>
    </row>
    <row r="4397" spans="1:9" x14ac:dyDescent="0.2">
      <c r="A4397" s="2" t="s">
        <v>3250</v>
      </c>
      <c r="B4397" s="2" t="s">
        <v>77</v>
      </c>
      <c r="C4397" s="2">
        <v>574.70069999999998</v>
      </c>
      <c r="D4397" s="2">
        <f>HYPERLINK("http://mcb-m6.bioreg.kyushu-u.ac.jp/M3/20110418/F50978/1280/1", 75)</f>
        <v>75</v>
      </c>
      <c r="E4397" s="2">
        <v>48.34</v>
      </c>
      <c r="F4397" s="2">
        <v>2</v>
      </c>
      <c r="G4397" s="2" t="s">
        <v>11</v>
      </c>
    </row>
    <row r="4398" spans="1:9" x14ac:dyDescent="0.2">
      <c r="A4398" s="2" t="s">
        <v>3250</v>
      </c>
      <c r="B4398" s="2" t="s">
        <v>772</v>
      </c>
      <c r="C4398" s="2">
        <v>595.8152</v>
      </c>
      <c r="D4398" s="2">
        <f>HYPERLINK("http://mcb-m6.bioreg.kyushu-u.ac.jp/M3/20110418/F51000/1564/1", 75.09)</f>
        <v>75.09</v>
      </c>
      <c r="E4398" s="2">
        <v>48.04</v>
      </c>
      <c r="F4398" s="2">
        <v>2</v>
      </c>
      <c r="G4398" s="2" t="s">
        <v>11</v>
      </c>
    </row>
    <row r="4399" spans="1:9" x14ac:dyDescent="0.2">
      <c r="A4399" s="2" t="s">
        <v>3250</v>
      </c>
      <c r="B4399" s="2" t="s">
        <v>481</v>
      </c>
      <c r="C4399" s="2">
        <v>709.84010000000001</v>
      </c>
      <c r="D4399" s="2">
        <f>HYPERLINK("http://mcb-m6.bioreg.kyushu-u.ac.jp/M3/20110418/F50978/1925/1", 75.38)</f>
        <v>75.38</v>
      </c>
      <c r="E4399" s="2">
        <v>58.54</v>
      </c>
      <c r="F4399" s="2">
        <v>2</v>
      </c>
      <c r="G4399" s="2" t="s">
        <v>11</v>
      </c>
      <c r="I4399" s="2" t="s">
        <v>4898</v>
      </c>
    </row>
    <row r="4400" spans="1:9" x14ac:dyDescent="0.2">
      <c r="A4400" s="2" t="s">
        <v>3250</v>
      </c>
      <c r="B4400" s="2" t="s">
        <v>481</v>
      </c>
      <c r="C4400" s="2">
        <v>709.25160000000005</v>
      </c>
      <c r="D4400" s="2">
        <f>HYPERLINK("http://mcb-m6.bioreg.kyushu-u.ac.jp/M3/20110418/F51000/1839/1", 76.22)</f>
        <v>76.22</v>
      </c>
      <c r="E4400" s="2">
        <v>56.25</v>
      </c>
      <c r="F4400" s="2">
        <v>2</v>
      </c>
      <c r="G4400" s="2" t="s">
        <v>11</v>
      </c>
      <c r="I4400" s="2" t="s">
        <v>4898</v>
      </c>
    </row>
    <row r="4401" spans="1:9" x14ac:dyDescent="0.2">
      <c r="A4401" s="2" t="s">
        <v>3250</v>
      </c>
      <c r="B4401" s="2" t="s">
        <v>1065</v>
      </c>
      <c r="C4401" s="2">
        <v>716.90170000000001</v>
      </c>
      <c r="D4401" s="2">
        <f>HYPERLINK("http://mcb-m6.bioreg.kyushu-u.ac.jp/M3/20110418/F50979/1959/1", 76.67)</f>
        <v>76.67</v>
      </c>
      <c r="E4401" s="2">
        <v>65.239999999999995</v>
      </c>
      <c r="F4401" s="2">
        <v>2</v>
      </c>
      <c r="G4401" s="2" t="s">
        <v>11</v>
      </c>
      <c r="I4401" s="2" t="s">
        <v>4892</v>
      </c>
    </row>
    <row r="4402" spans="1:9" x14ac:dyDescent="0.2">
      <c r="A4402" s="2" t="s">
        <v>3250</v>
      </c>
      <c r="B4402" s="2" t="s">
        <v>543</v>
      </c>
      <c r="C4402" s="2">
        <v>927.00670000000002</v>
      </c>
      <c r="D4402" s="2">
        <f>HYPERLINK("http://mcb-m6.bioreg.kyushu-u.ac.jp/M3/20110418/F50978/2942/1", 76.79)</f>
        <v>76.790000000000006</v>
      </c>
      <c r="E4402" s="2">
        <v>61.59</v>
      </c>
      <c r="F4402" s="2">
        <v>2</v>
      </c>
      <c r="G4402" s="2" t="s">
        <v>11</v>
      </c>
    </row>
    <row r="4403" spans="1:9" x14ac:dyDescent="0.2">
      <c r="A4403" s="2" t="s">
        <v>3250</v>
      </c>
      <c r="B4403" s="2" t="s">
        <v>1255</v>
      </c>
      <c r="C4403" s="2">
        <v>1273.7249999999999</v>
      </c>
      <c r="D4403" s="2">
        <f>HYPERLINK("http://mcb-m6.bioreg.kyushu-u.ac.jp/M3/20110418/F51000/2775/1", 76.84)</f>
        <v>76.84</v>
      </c>
      <c r="E4403" s="2">
        <v>66.75</v>
      </c>
      <c r="F4403" s="2">
        <v>2</v>
      </c>
      <c r="G4403" s="2" t="s">
        <v>11</v>
      </c>
      <c r="I4403" s="2" t="s">
        <v>4906</v>
      </c>
    </row>
    <row r="4404" spans="1:9" x14ac:dyDescent="0.2">
      <c r="A4404" s="2" t="s">
        <v>3250</v>
      </c>
      <c r="B4404" s="2" t="s">
        <v>102</v>
      </c>
      <c r="C4404" s="2">
        <v>608.14009999999996</v>
      </c>
      <c r="D4404" s="2">
        <f>HYPERLINK("http://mcb-m6.bioreg.kyushu-u.ac.jp/M3/20110418/F51000/1589/1", 77.07)</f>
        <v>77.069999999999993</v>
      </c>
      <c r="E4404" s="2">
        <v>60.88</v>
      </c>
      <c r="F4404" s="2">
        <v>2</v>
      </c>
      <c r="G4404" s="2" t="s">
        <v>11</v>
      </c>
    </row>
    <row r="4405" spans="1:9" x14ac:dyDescent="0.2">
      <c r="A4405" s="2" t="s">
        <v>3250</v>
      </c>
      <c r="B4405" s="2" t="s">
        <v>561</v>
      </c>
      <c r="C4405" s="2">
        <v>662.08119999999997</v>
      </c>
      <c r="D4405" s="2">
        <f>HYPERLINK("http://mcb-m6.bioreg.kyushu-u.ac.jp/M3/20110418/F50970/1845/1", 77.67)</f>
        <v>77.67</v>
      </c>
      <c r="E4405" s="2">
        <v>57.38</v>
      </c>
      <c r="F4405" s="2">
        <v>2</v>
      </c>
      <c r="G4405" s="2" t="s">
        <v>11</v>
      </c>
      <c r="H4405" s="2" t="s">
        <v>4919</v>
      </c>
    </row>
    <row r="4406" spans="1:9" x14ac:dyDescent="0.2">
      <c r="A4406" s="2" t="s">
        <v>3250</v>
      </c>
      <c r="B4406" s="2" t="s">
        <v>561</v>
      </c>
      <c r="C4406" s="2">
        <v>662.6277</v>
      </c>
      <c r="D4406" s="2">
        <f>HYPERLINK("http://mcb-m6.bioreg.kyushu-u.ac.jp/M3/20110418/F50978/1672/1", 77.88)</f>
        <v>77.88</v>
      </c>
      <c r="E4406" s="2">
        <v>55.13</v>
      </c>
      <c r="F4406" s="2">
        <v>2</v>
      </c>
      <c r="G4406" s="2" t="s">
        <v>11</v>
      </c>
      <c r="H4406" s="2" t="s">
        <v>4919</v>
      </c>
    </row>
    <row r="4407" spans="1:9" x14ac:dyDescent="0.2">
      <c r="A4407" s="2" t="s">
        <v>3250</v>
      </c>
      <c r="B4407" s="2" t="s">
        <v>1065</v>
      </c>
      <c r="C4407" s="2">
        <v>716.78920000000005</v>
      </c>
      <c r="D4407" s="2">
        <f>HYPERLINK("http://mcb-m6.bioreg.kyushu-u.ac.jp/M3/20110418/F50977/1952/1", 77.99)</f>
        <v>77.989999999999995</v>
      </c>
      <c r="E4407" s="2">
        <v>62.57</v>
      </c>
      <c r="F4407" s="2">
        <v>2</v>
      </c>
      <c r="G4407" s="2" t="s">
        <v>11</v>
      </c>
      <c r="I4407" s="2" t="s">
        <v>4892</v>
      </c>
    </row>
    <row r="4408" spans="1:9" x14ac:dyDescent="0.2">
      <c r="A4408" s="2" t="s">
        <v>3250</v>
      </c>
      <c r="B4408" s="2" t="s">
        <v>1065</v>
      </c>
      <c r="C4408" s="2">
        <v>716.76760000000002</v>
      </c>
      <c r="D4408" s="2">
        <f>HYPERLINK("http://mcb-m6.bioreg.kyushu-u.ac.jp/M3/20110418/F50976/1851/1", 78.1)</f>
        <v>78.099999999999994</v>
      </c>
      <c r="E4408" s="2">
        <v>66.72</v>
      </c>
      <c r="F4408" s="2">
        <v>2</v>
      </c>
      <c r="G4408" s="2" t="s">
        <v>11</v>
      </c>
      <c r="I4408" s="2" t="s">
        <v>4892</v>
      </c>
    </row>
    <row r="4409" spans="1:9" x14ac:dyDescent="0.2">
      <c r="A4409" s="2" t="s">
        <v>3250</v>
      </c>
      <c r="B4409" s="2" t="s">
        <v>561</v>
      </c>
      <c r="C4409" s="2">
        <v>662.09810000000004</v>
      </c>
      <c r="D4409" s="2">
        <f>HYPERLINK("http://mcb-m6.bioreg.kyushu-u.ac.jp/M3/20110418/F51000/1692/1", 78.25)</f>
        <v>78.25</v>
      </c>
      <c r="E4409" s="2">
        <v>61.96</v>
      </c>
      <c r="F4409" s="2">
        <v>2</v>
      </c>
      <c r="G4409" s="2" t="s">
        <v>11</v>
      </c>
      <c r="H4409" s="2" t="s">
        <v>4919</v>
      </c>
    </row>
    <row r="4410" spans="1:9" x14ac:dyDescent="0.2">
      <c r="A4410" s="2" t="s">
        <v>3250</v>
      </c>
      <c r="B4410" s="2" t="s">
        <v>772</v>
      </c>
      <c r="C4410" s="2">
        <v>596.11019999999996</v>
      </c>
      <c r="D4410" s="2">
        <f>HYPERLINK("http://mcb-m6.bioreg.kyushu-u.ac.jp/M3/20110418/F50979/1600/1", 78.74)</f>
        <v>78.739999999999995</v>
      </c>
      <c r="E4410" s="2">
        <v>52.25</v>
      </c>
      <c r="F4410" s="2">
        <v>2</v>
      </c>
      <c r="G4410" s="2" t="s">
        <v>11</v>
      </c>
    </row>
    <row r="4411" spans="1:9" x14ac:dyDescent="0.2">
      <c r="A4411" s="2" t="s">
        <v>3250</v>
      </c>
      <c r="B4411" s="2" t="s">
        <v>356</v>
      </c>
      <c r="C4411" s="2">
        <v>815.87459999999999</v>
      </c>
      <c r="D4411" s="2">
        <f>HYPERLINK("http://mcb-m6.bioreg.kyushu-u.ac.jp/M3/20110418/F50977/2541/1", 79.85)</f>
        <v>79.849999999999994</v>
      </c>
      <c r="E4411" s="2">
        <v>65.12</v>
      </c>
      <c r="F4411" s="2">
        <v>2</v>
      </c>
      <c r="G4411" s="2" t="s">
        <v>11</v>
      </c>
    </row>
    <row r="4412" spans="1:9" x14ac:dyDescent="0.2">
      <c r="A4412" s="2" t="s">
        <v>3250</v>
      </c>
      <c r="B4412" s="2" t="s">
        <v>503</v>
      </c>
      <c r="C4412" s="2">
        <v>808.3057</v>
      </c>
      <c r="D4412" s="2">
        <f>HYPERLINK("http://mcb-m6.bioreg.kyushu-u.ac.jp/M3/20110418/F50977/2503/1", 80.02)</f>
        <v>80.02</v>
      </c>
      <c r="E4412" s="2">
        <v>68.739999999999995</v>
      </c>
      <c r="F4412" s="2">
        <v>2</v>
      </c>
      <c r="G4412" s="2" t="s">
        <v>11</v>
      </c>
    </row>
    <row r="4413" spans="1:9" x14ac:dyDescent="0.2">
      <c r="A4413" s="2" t="s">
        <v>3250</v>
      </c>
      <c r="B4413" s="2" t="s">
        <v>102</v>
      </c>
      <c r="C4413" s="2">
        <v>616.19960000000003</v>
      </c>
      <c r="D4413" s="2">
        <f>HYPERLINK("http://mcb-m6.bioreg.kyushu-u.ac.jp/M3/20110418/F51000/1629/1", 80.4)</f>
        <v>80.400000000000006</v>
      </c>
      <c r="E4413" s="2">
        <v>60.06</v>
      </c>
      <c r="F4413" s="2">
        <v>2</v>
      </c>
      <c r="G4413" s="2" t="s">
        <v>11</v>
      </c>
      <c r="H4413" s="2" t="s">
        <v>4900</v>
      </c>
    </row>
    <row r="4414" spans="1:9" x14ac:dyDescent="0.2">
      <c r="A4414" s="2" t="s">
        <v>3250</v>
      </c>
      <c r="B4414" s="2" t="s">
        <v>481</v>
      </c>
      <c r="C4414" s="2">
        <v>709.1232</v>
      </c>
      <c r="D4414" s="2">
        <f>HYPERLINK("http://mcb-m6.bioreg.kyushu-u.ac.jp/M3/20110418/F50971/2021/1", 81.08)</f>
        <v>81.08</v>
      </c>
      <c r="E4414" s="2">
        <v>60.64</v>
      </c>
      <c r="F4414" s="2">
        <v>2</v>
      </c>
      <c r="G4414" s="2" t="s">
        <v>11</v>
      </c>
      <c r="I4414" s="2" t="s">
        <v>4898</v>
      </c>
    </row>
    <row r="4415" spans="1:9" x14ac:dyDescent="0.2">
      <c r="A4415" s="2" t="s">
        <v>3250</v>
      </c>
      <c r="B4415" s="2" t="s">
        <v>772</v>
      </c>
      <c r="C4415" s="2">
        <v>596.16859999999997</v>
      </c>
      <c r="D4415" s="2">
        <f>HYPERLINK("http://mcb-m6.bioreg.kyushu-u.ac.jp/M3/20110418/F50977/1325/1", 81.35)</f>
        <v>81.349999999999994</v>
      </c>
      <c r="E4415" s="2">
        <v>57.92</v>
      </c>
      <c r="F4415" s="2">
        <v>2</v>
      </c>
      <c r="G4415" s="2" t="s">
        <v>11</v>
      </c>
    </row>
    <row r="4416" spans="1:9" x14ac:dyDescent="0.2">
      <c r="A4416" s="2" t="s">
        <v>3250</v>
      </c>
      <c r="B4416" s="2" t="s">
        <v>90</v>
      </c>
      <c r="C4416" s="2">
        <v>716.99869999999999</v>
      </c>
      <c r="D4416" s="2">
        <f>HYPERLINK("http://mcb-m6.bioreg.kyushu-u.ac.jp/M3/20110418/F50978/1972/1", 82.97)</f>
        <v>82.97</v>
      </c>
      <c r="E4416" s="2">
        <v>57.48</v>
      </c>
      <c r="F4416" s="2">
        <v>2</v>
      </c>
      <c r="G4416" s="2" t="s">
        <v>11</v>
      </c>
    </row>
    <row r="4417" spans="1:9" x14ac:dyDescent="0.2">
      <c r="A4417" s="2" t="s">
        <v>3250</v>
      </c>
      <c r="B4417" s="2" t="s">
        <v>365</v>
      </c>
      <c r="C4417" s="2">
        <v>848.72310000000004</v>
      </c>
      <c r="D4417" s="2">
        <f>HYPERLINK("http://mcb-m6.bioreg.kyushu-u.ac.jp/M3/20110418/F50974/2588/1", 83.32)</f>
        <v>83.32</v>
      </c>
      <c r="E4417" s="2">
        <v>61.15</v>
      </c>
      <c r="F4417" s="2">
        <v>2</v>
      </c>
      <c r="G4417" s="2" t="s">
        <v>11</v>
      </c>
    </row>
    <row r="4418" spans="1:9" x14ac:dyDescent="0.2">
      <c r="A4418" s="2" t="s">
        <v>3250</v>
      </c>
      <c r="B4418" s="2" t="s">
        <v>772</v>
      </c>
      <c r="C4418" s="2">
        <v>596.22220000000004</v>
      </c>
      <c r="D4418" s="2">
        <f>HYPERLINK("http://mcb-m6.bioreg.kyushu-u.ac.jp/M3/20110418/F50979/1601/1", 83.64)</f>
        <v>83.64</v>
      </c>
      <c r="E4418" s="2">
        <v>66.150000000000006</v>
      </c>
      <c r="F4418" s="2">
        <v>2</v>
      </c>
      <c r="G4418" s="2" t="s">
        <v>11</v>
      </c>
    </row>
    <row r="4419" spans="1:9" x14ac:dyDescent="0.2">
      <c r="A4419" s="2" t="s">
        <v>3250</v>
      </c>
      <c r="B4419" s="2" t="s">
        <v>365</v>
      </c>
      <c r="C4419" s="2">
        <v>848.8152</v>
      </c>
      <c r="D4419" s="2">
        <f>HYPERLINK("http://mcb-m6.bioreg.kyushu-u.ac.jp/M3/20110418/F51000/2212/1", 85.22)</f>
        <v>85.22</v>
      </c>
      <c r="E4419" s="2">
        <v>61.72</v>
      </c>
      <c r="F4419" s="2">
        <v>2</v>
      </c>
      <c r="G4419" s="2" t="s">
        <v>11</v>
      </c>
    </row>
    <row r="4420" spans="1:9" x14ac:dyDescent="0.2">
      <c r="A4420" s="2" t="s">
        <v>3250</v>
      </c>
      <c r="B4420" s="2" t="s">
        <v>481</v>
      </c>
      <c r="C4420" s="2">
        <v>709.5607</v>
      </c>
      <c r="D4420" s="2">
        <f>HYPERLINK("http://mcb-m6.bioreg.kyushu-u.ac.jp/M3/20110418/F50975/1842/1", 85.38)</f>
        <v>85.38</v>
      </c>
      <c r="E4420" s="2">
        <v>62.93</v>
      </c>
      <c r="F4420" s="2">
        <v>2</v>
      </c>
      <c r="G4420" s="2" t="s">
        <v>11</v>
      </c>
      <c r="I4420" s="2" t="s">
        <v>4898</v>
      </c>
    </row>
    <row r="4421" spans="1:9" x14ac:dyDescent="0.2">
      <c r="A4421" s="2" t="s">
        <v>3250</v>
      </c>
      <c r="B4421" s="2" t="s">
        <v>1255</v>
      </c>
      <c r="C4421" s="2">
        <v>1273.8340000000001</v>
      </c>
      <c r="D4421" s="2">
        <f>HYPERLINK("http://mcb-m6.bioreg.kyushu-u.ac.jp/M3/20110418/F50974/3779/1", 85.61)</f>
        <v>85.61</v>
      </c>
      <c r="E4421" s="2">
        <v>72.53</v>
      </c>
      <c r="F4421" s="2">
        <v>2</v>
      </c>
      <c r="G4421" s="2" t="s">
        <v>11</v>
      </c>
      <c r="I4421" s="2" t="s">
        <v>4906</v>
      </c>
    </row>
    <row r="4422" spans="1:9" x14ac:dyDescent="0.2">
      <c r="A4422" s="2" t="s">
        <v>3250</v>
      </c>
      <c r="B4422" s="2" t="s">
        <v>481</v>
      </c>
      <c r="C4422" s="2">
        <v>709.33920000000001</v>
      </c>
      <c r="D4422" s="2">
        <f>HYPERLINK("http://mcb-m6.bioreg.kyushu-u.ac.jp/M3/20110418/F50978/1921/1", 86.37)</f>
        <v>86.37</v>
      </c>
      <c r="E4422" s="2">
        <v>68.13</v>
      </c>
      <c r="F4422" s="2">
        <v>2</v>
      </c>
      <c r="G4422" s="2" t="s">
        <v>11</v>
      </c>
      <c r="I4422" s="2" t="s">
        <v>4898</v>
      </c>
    </row>
    <row r="4423" spans="1:9" x14ac:dyDescent="0.2">
      <c r="A4423" s="2" t="s">
        <v>3250</v>
      </c>
      <c r="B4423" s="2" t="s">
        <v>481</v>
      </c>
      <c r="C4423" s="2">
        <v>709.27809999999999</v>
      </c>
      <c r="D4423" s="2">
        <f>HYPERLINK("http://mcb-m6.bioreg.kyushu-u.ac.jp/M3/20110418/F50976/1816/1", 86.44)</f>
        <v>86.44</v>
      </c>
      <c r="E4423" s="2">
        <v>63.78</v>
      </c>
      <c r="F4423" s="2">
        <v>2</v>
      </c>
      <c r="G4423" s="2" t="s">
        <v>11</v>
      </c>
      <c r="I4423" s="2" t="s">
        <v>4898</v>
      </c>
    </row>
    <row r="4424" spans="1:9" x14ac:dyDescent="0.2">
      <c r="A4424" s="2" t="s">
        <v>3250</v>
      </c>
      <c r="B4424" s="2" t="s">
        <v>772</v>
      </c>
      <c r="C4424" s="2">
        <v>595.64509999999996</v>
      </c>
      <c r="D4424" s="2">
        <f>HYPERLINK("http://mcb-m6.bioreg.kyushu-u.ac.jp/M3/20110418/F50979/1593/1", 86.76)</f>
        <v>86.76</v>
      </c>
      <c r="E4424" s="2">
        <v>57.75</v>
      </c>
      <c r="F4424" s="2">
        <v>2</v>
      </c>
      <c r="G4424" s="2" t="s">
        <v>11</v>
      </c>
    </row>
    <row r="4425" spans="1:9" x14ac:dyDescent="0.2">
      <c r="A4425" s="2" t="s">
        <v>3250</v>
      </c>
      <c r="B4425" s="2" t="s">
        <v>481</v>
      </c>
      <c r="C4425" s="2">
        <v>709.06020000000001</v>
      </c>
      <c r="D4425" s="2">
        <f>HYPERLINK("http://mcb-m6.bioreg.kyushu-u.ac.jp/M3/20110418/F50970/1939/1", 87.07)</f>
        <v>87.07</v>
      </c>
      <c r="E4425" s="2">
        <v>67.86</v>
      </c>
      <c r="F4425" s="2">
        <v>2</v>
      </c>
      <c r="G4425" s="2" t="s">
        <v>11</v>
      </c>
      <c r="I4425" s="2" t="s">
        <v>4898</v>
      </c>
    </row>
    <row r="4426" spans="1:9" x14ac:dyDescent="0.2">
      <c r="A4426" s="2" t="s">
        <v>3250</v>
      </c>
      <c r="B4426" s="2" t="s">
        <v>481</v>
      </c>
      <c r="C4426" s="2">
        <v>709.1277</v>
      </c>
      <c r="D4426" s="2">
        <f>HYPERLINK("http://mcb-m6.bioreg.kyushu-u.ac.jp/M3/20110418/F50969/2003/1", 87.25)</f>
        <v>87.25</v>
      </c>
      <c r="E4426" s="2">
        <v>67.98</v>
      </c>
      <c r="F4426" s="2">
        <v>2</v>
      </c>
      <c r="G4426" s="2" t="s">
        <v>11</v>
      </c>
      <c r="I4426" s="2" t="s">
        <v>4898</v>
      </c>
    </row>
    <row r="4427" spans="1:9" x14ac:dyDescent="0.2">
      <c r="A4427" s="2" t="s">
        <v>3250</v>
      </c>
      <c r="B4427" s="2" t="s">
        <v>356</v>
      </c>
      <c r="C4427" s="2">
        <v>816.30359999999996</v>
      </c>
      <c r="D4427" s="2">
        <f>HYPERLINK("http://mcb-m6.bioreg.kyushu-u.ac.jp/M3/20110418/F50978/2448/1", 87.93)</f>
        <v>87.93</v>
      </c>
      <c r="E4427" s="2">
        <v>69.459999999999994</v>
      </c>
      <c r="F4427" s="2">
        <v>2</v>
      </c>
      <c r="G4427" s="2" t="s">
        <v>11</v>
      </c>
    </row>
    <row r="4428" spans="1:9" x14ac:dyDescent="0.2">
      <c r="A4428" s="2" t="s">
        <v>3250</v>
      </c>
      <c r="B4428" s="2" t="s">
        <v>772</v>
      </c>
      <c r="C4428" s="2">
        <v>595.62959999999998</v>
      </c>
      <c r="D4428" s="2">
        <f>HYPERLINK("http://mcb-m6.bioreg.kyushu-u.ac.jp/M3/20110418/F51000/1562/1", 89.7)</f>
        <v>89.7</v>
      </c>
      <c r="E4428" s="2">
        <v>60.65</v>
      </c>
      <c r="F4428" s="2">
        <v>2</v>
      </c>
      <c r="G4428" s="2" t="s">
        <v>11</v>
      </c>
    </row>
    <row r="4429" spans="1:9" x14ac:dyDescent="0.2">
      <c r="A4429" s="2" t="s">
        <v>3250</v>
      </c>
      <c r="B4429" s="2" t="s">
        <v>1521</v>
      </c>
      <c r="C4429" s="2">
        <v>989.38019999999995</v>
      </c>
      <c r="D4429" s="2">
        <f>HYPERLINK("http://mcb-m6.bioreg.kyushu-u.ac.jp/M3/20110418/F50978/3146/1", 89.81)</f>
        <v>89.81</v>
      </c>
      <c r="E4429" s="2">
        <v>83.51</v>
      </c>
      <c r="F4429" s="2">
        <v>2</v>
      </c>
      <c r="G4429" s="2" t="s">
        <v>11</v>
      </c>
    </row>
    <row r="4430" spans="1:9" x14ac:dyDescent="0.2">
      <c r="A4430" s="2" t="s">
        <v>3250</v>
      </c>
      <c r="B4430" s="2" t="s">
        <v>90</v>
      </c>
      <c r="C4430" s="2">
        <v>716.83069999999998</v>
      </c>
      <c r="D4430" s="2">
        <f>HYPERLINK("http://mcb-m6.bioreg.kyushu-u.ac.jp/M3/20110418/F50977/1953/1", 90.02)</f>
        <v>90.02</v>
      </c>
      <c r="E4430" s="2">
        <v>62.16</v>
      </c>
      <c r="F4430" s="2">
        <v>2</v>
      </c>
      <c r="G4430" s="2" t="s">
        <v>11</v>
      </c>
    </row>
    <row r="4431" spans="1:9" x14ac:dyDescent="0.2">
      <c r="A4431" s="2" t="s">
        <v>3250</v>
      </c>
      <c r="B4431" s="2" t="s">
        <v>356</v>
      </c>
      <c r="C4431" s="2">
        <v>815.88459999999998</v>
      </c>
      <c r="D4431" s="2">
        <f>HYPERLINK("http://mcb-m6.bioreg.kyushu-u.ac.jp/M3/20110418/F50978/2446/1", 90.12)</f>
        <v>90.12</v>
      </c>
      <c r="E4431" s="2">
        <v>75.73</v>
      </c>
      <c r="F4431" s="2">
        <v>2</v>
      </c>
      <c r="G4431" s="2" t="s">
        <v>11</v>
      </c>
    </row>
    <row r="4432" spans="1:9" x14ac:dyDescent="0.2">
      <c r="A4432" s="2" t="s">
        <v>3250</v>
      </c>
      <c r="B4432" s="2" t="s">
        <v>772</v>
      </c>
      <c r="C4432" s="2">
        <v>596.20759999999996</v>
      </c>
      <c r="D4432" s="2">
        <f>HYPERLINK("http://mcb-m6.bioreg.kyushu-u.ac.jp/M3/20110418/F50978/1406/1", 92.42)</f>
        <v>92.42</v>
      </c>
      <c r="E4432" s="2">
        <v>63.31</v>
      </c>
      <c r="F4432" s="2">
        <v>2</v>
      </c>
      <c r="G4432" s="2" t="s">
        <v>11</v>
      </c>
    </row>
    <row r="4433" spans="1:9" x14ac:dyDescent="0.2">
      <c r="A4433" s="2" t="s">
        <v>3250</v>
      </c>
      <c r="B4433" s="2" t="s">
        <v>1521</v>
      </c>
      <c r="C4433" s="2">
        <v>988.92660000000001</v>
      </c>
      <c r="D4433" s="2">
        <f>HYPERLINK("http://mcb-m6.bioreg.kyushu-u.ac.jp/M3/20110418/F50979/2893/1", 92.74)</f>
        <v>92.74</v>
      </c>
      <c r="E4433" s="2">
        <v>73.42</v>
      </c>
      <c r="F4433" s="2">
        <v>2</v>
      </c>
      <c r="G4433" s="2" t="s">
        <v>11</v>
      </c>
    </row>
    <row r="4434" spans="1:9" x14ac:dyDescent="0.2">
      <c r="A4434" s="2" t="s">
        <v>3250</v>
      </c>
      <c r="B4434" s="2" t="s">
        <v>481</v>
      </c>
      <c r="C4434" s="2">
        <v>709.1902</v>
      </c>
      <c r="D4434" s="2">
        <f>HYPERLINK("http://mcb-m6.bioreg.kyushu-u.ac.jp/M3/20110418/F50974/1926/1", 94.81)</f>
        <v>94.81</v>
      </c>
      <c r="E4434" s="2">
        <v>72.819999999999993</v>
      </c>
      <c r="F4434" s="2">
        <v>2</v>
      </c>
      <c r="G4434" s="2" t="s">
        <v>11</v>
      </c>
      <c r="I4434" s="2" t="s">
        <v>4898</v>
      </c>
    </row>
    <row r="4435" spans="1:9" x14ac:dyDescent="0.2">
      <c r="A4435" s="2" t="s">
        <v>3250</v>
      </c>
      <c r="B4435" s="2" t="s">
        <v>1255</v>
      </c>
      <c r="C4435" s="2">
        <v>1273.9000000000001</v>
      </c>
      <c r="D4435" s="2">
        <f>HYPERLINK("http://mcb-m6.bioreg.kyushu-u.ac.jp/M3/20110418/F50975/4157/1", 96.44)</f>
        <v>96.44</v>
      </c>
      <c r="E4435" s="2">
        <v>82.69</v>
      </c>
      <c r="F4435" s="2">
        <v>2</v>
      </c>
      <c r="G4435" s="2" t="s">
        <v>11</v>
      </c>
      <c r="I4435" s="2" t="s">
        <v>4906</v>
      </c>
    </row>
    <row r="4436" spans="1:9" x14ac:dyDescent="0.2">
      <c r="A4436" s="2" t="s">
        <v>3250</v>
      </c>
      <c r="B4436" s="2" t="s">
        <v>90</v>
      </c>
      <c r="C4436" s="2">
        <v>717.11320000000001</v>
      </c>
      <c r="D4436" s="2">
        <f>HYPERLINK("http://mcb-m6.bioreg.kyushu-u.ac.jp/M3/20110418/F50974/1972/1", 97.63)</f>
        <v>97.63</v>
      </c>
      <c r="E4436" s="2">
        <v>75.27</v>
      </c>
      <c r="F4436" s="2">
        <v>2</v>
      </c>
      <c r="G4436" s="2" t="s">
        <v>11</v>
      </c>
    </row>
    <row r="4437" spans="1:9" x14ac:dyDescent="0.2">
      <c r="A4437" s="2" t="s">
        <v>3250</v>
      </c>
      <c r="B4437" s="2" t="s">
        <v>90</v>
      </c>
      <c r="C4437" s="2">
        <v>717.02670000000001</v>
      </c>
      <c r="D4437" s="2">
        <f>HYPERLINK("http://mcb-m6.bioreg.kyushu-u.ac.jp/M3/20110418/F50973/2043/1", 97.65)</f>
        <v>97.65</v>
      </c>
      <c r="E4437" s="2">
        <v>80.62</v>
      </c>
      <c r="F4437" s="2">
        <v>2</v>
      </c>
      <c r="G4437" s="2" t="s">
        <v>11</v>
      </c>
    </row>
    <row r="4438" spans="1:9" x14ac:dyDescent="0.2">
      <c r="A4438" s="2" t="s">
        <v>3250</v>
      </c>
      <c r="B4438" s="2" t="s">
        <v>481</v>
      </c>
      <c r="C4438" s="2">
        <v>709.15369999999996</v>
      </c>
      <c r="D4438" s="2">
        <f>HYPERLINK("http://mcb-m6.bioreg.kyushu-u.ac.jp/M3/20110418/F50972/2061/1", 99.92)</f>
        <v>99.92</v>
      </c>
      <c r="E4438" s="2">
        <v>75.88</v>
      </c>
      <c r="F4438" s="2">
        <v>2</v>
      </c>
      <c r="G4438" s="2" t="s">
        <v>11</v>
      </c>
      <c r="I4438" s="2" t="s">
        <v>4898</v>
      </c>
    </row>
    <row r="4439" spans="1:9" x14ac:dyDescent="0.2">
      <c r="A4439" s="2" t="s">
        <v>3250</v>
      </c>
      <c r="B4439" s="2" t="s">
        <v>772</v>
      </c>
      <c r="C4439" s="2">
        <v>595.66560000000004</v>
      </c>
      <c r="D4439" s="2">
        <f>HYPERLINK("http://mcb-m6.bioreg.kyushu-u.ac.jp/M3/20110418/F50977/1317/1", 100.04)</f>
        <v>100.04</v>
      </c>
      <c r="E4439" s="2">
        <v>63.76</v>
      </c>
      <c r="F4439" s="2">
        <v>2</v>
      </c>
      <c r="G4439" s="2" t="s">
        <v>11</v>
      </c>
    </row>
    <row r="4440" spans="1:9" x14ac:dyDescent="0.2">
      <c r="A4440" s="2" t="s">
        <v>3250</v>
      </c>
      <c r="B4440" s="2" t="s">
        <v>467</v>
      </c>
      <c r="C4440" s="2">
        <v>691.64509999999996</v>
      </c>
      <c r="D4440" s="2">
        <f>HYPERLINK("http://mcb-m6.bioreg.kyushu-u.ac.jp/M3/20110418/F51000/1795/1", 101.84)</f>
        <v>101.84</v>
      </c>
      <c r="E4440" s="2">
        <v>71.08</v>
      </c>
      <c r="F4440" s="2">
        <v>2</v>
      </c>
      <c r="G4440" s="2" t="s">
        <v>11</v>
      </c>
    </row>
    <row r="4441" spans="1:9" x14ac:dyDescent="0.2">
      <c r="A4441" s="2" t="s">
        <v>3250</v>
      </c>
      <c r="B4441" s="2" t="s">
        <v>365</v>
      </c>
      <c r="C4441" s="2">
        <v>848.74019999999996</v>
      </c>
      <c r="D4441" s="2">
        <f>HYPERLINK("http://mcb-m6.bioreg.kyushu-u.ac.jp/M3/20110418/F50999/2356/1", 106.85)</f>
        <v>106.85</v>
      </c>
      <c r="E4441" s="2">
        <v>87.04</v>
      </c>
      <c r="F4441" s="2">
        <v>2</v>
      </c>
      <c r="G4441" s="2" t="s">
        <v>11</v>
      </c>
    </row>
    <row r="4442" spans="1:9" x14ac:dyDescent="0.2">
      <c r="A4442" s="2" t="s">
        <v>3250</v>
      </c>
      <c r="B4442" s="2" t="s">
        <v>356</v>
      </c>
      <c r="C4442" s="2">
        <v>815.94920000000002</v>
      </c>
      <c r="D4442" s="2">
        <f>HYPERLINK("http://mcb-m6.bioreg.kyushu-u.ac.jp/M3/20110418/F51000/2172/1", 120.52)</f>
        <v>120.52</v>
      </c>
      <c r="E4442" s="2">
        <v>102.59</v>
      </c>
      <c r="F4442" s="2">
        <v>2</v>
      </c>
      <c r="G4442" s="2" t="s">
        <v>11</v>
      </c>
    </row>
    <row r="4443" spans="1:9" x14ac:dyDescent="0.2">
      <c r="A4443" s="2" t="s">
        <v>3250</v>
      </c>
      <c r="B4443" s="2" t="s">
        <v>77</v>
      </c>
      <c r="C4443" s="2">
        <v>1148.4059999999999</v>
      </c>
      <c r="D4443" s="2">
        <f>HYPERLINK("http://mcb-m6.bioreg.kyushu-u.ac.jp/M3/20110418/F50989/1636/1", 35.02)</f>
        <v>35.020000000000003</v>
      </c>
      <c r="E4443" s="2">
        <v>18.64</v>
      </c>
      <c r="F4443" s="2">
        <v>1</v>
      </c>
      <c r="G4443" s="2" t="s">
        <v>12</v>
      </c>
    </row>
    <row r="4444" spans="1:9" x14ac:dyDescent="0.2">
      <c r="A4444" s="2" t="s">
        <v>3250</v>
      </c>
      <c r="B4444" s="2" t="s">
        <v>142</v>
      </c>
      <c r="C4444" s="2">
        <v>847.13900000000001</v>
      </c>
      <c r="D4444" s="2">
        <f>HYPERLINK("http://mcb-m6.bioreg.kyushu-u.ac.jp/M3/20110418/F50989/1328/1", 35.04)</f>
        <v>35.04</v>
      </c>
      <c r="E4444" s="2">
        <v>12.99</v>
      </c>
      <c r="F4444" s="2">
        <v>1</v>
      </c>
      <c r="G4444" s="2" t="s">
        <v>12</v>
      </c>
    </row>
    <row r="4445" spans="1:9" x14ac:dyDescent="0.2">
      <c r="A4445" s="2" t="s">
        <v>3250</v>
      </c>
      <c r="B4445" s="2" t="s">
        <v>77</v>
      </c>
      <c r="C4445" s="2">
        <v>1149.422</v>
      </c>
      <c r="D4445" s="2">
        <f>HYPERLINK("http://mcb-m6.bioreg.kyushu-u.ac.jp/M3/20110418/F50987/1708/1", 36.02)</f>
        <v>36.020000000000003</v>
      </c>
      <c r="E4445" s="2">
        <v>19.29</v>
      </c>
      <c r="F4445" s="2">
        <v>1</v>
      </c>
      <c r="G4445" s="2" t="s">
        <v>12</v>
      </c>
    </row>
    <row r="4446" spans="1:9" x14ac:dyDescent="0.2">
      <c r="A4446" s="2" t="s">
        <v>3250</v>
      </c>
      <c r="B4446" s="2" t="s">
        <v>142</v>
      </c>
      <c r="C4446" s="2">
        <v>847.36199999999997</v>
      </c>
      <c r="D4446" s="2">
        <f>HYPERLINK("http://mcb-m6.bioreg.kyushu-u.ac.jp/M3/20110418/F50986/1172/1", 36.53)</f>
        <v>36.53</v>
      </c>
      <c r="E4446" s="2">
        <v>11.03</v>
      </c>
      <c r="F4446" s="2">
        <v>1</v>
      </c>
      <c r="G4446" s="2" t="s">
        <v>12</v>
      </c>
    </row>
    <row r="4447" spans="1:9" x14ac:dyDescent="0.2">
      <c r="A4447" s="2" t="s">
        <v>3250</v>
      </c>
      <c r="B4447" s="2" t="s">
        <v>90</v>
      </c>
      <c r="C4447" s="2">
        <v>717.07669999999996</v>
      </c>
      <c r="D4447" s="2">
        <f>HYPERLINK("http://mcb-m6.bioreg.kyushu-u.ac.jp/M3/20110418/F50981/1993/1", 37.66)</f>
        <v>37.659999999999997</v>
      </c>
      <c r="E4447" s="2">
        <v>19.690000000000001</v>
      </c>
      <c r="F4447" s="2">
        <v>2</v>
      </c>
      <c r="G4447" s="2" t="s">
        <v>12</v>
      </c>
    </row>
    <row r="4448" spans="1:9" x14ac:dyDescent="0.2">
      <c r="A4448" s="2" t="s">
        <v>3250</v>
      </c>
      <c r="B4448" s="2" t="s">
        <v>77</v>
      </c>
      <c r="C4448" s="2">
        <v>1148.3409999999999</v>
      </c>
      <c r="D4448" s="2">
        <f>HYPERLINK("http://mcb-m6.bioreg.kyushu-u.ac.jp/M3/20110418/F50988/1617/1", 37.84)</f>
        <v>37.840000000000003</v>
      </c>
      <c r="E4448" s="2">
        <v>16.809999999999999</v>
      </c>
      <c r="F4448" s="2">
        <v>1</v>
      </c>
      <c r="G4448" s="2" t="s">
        <v>12</v>
      </c>
    </row>
    <row r="4449" spans="1:9" x14ac:dyDescent="0.2">
      <c r="A4449" s="2" t="s">
        <v>3250</v>
      </c>
      <c r="B4449" s="2" t="s">
        <v>142</v>
      </c>
      <c r="C4449" s="2">
        <v>847.24400000000003</v>
      </c>
      <c r="D4449" s="2">
        <f>HYPERLINK("http://mcb-m6.bioreg.kyushu-u.ac.jp/M3/20110418/F51001/1047/1", 38.15)</f>
        <v>38.15</v>
      </c>
      <c r="E4449" s="2">
        <v>14.06</v>
      </c>
      <c r="F4449" s="2">
        <v>1</v>
      </c>
      <c r="G4449" s="2" t="s">
        <v>12</v>
      </c>
    </row>
    <row r="4450" spans="1:9" x14ac:dyDescent="0.2">
      <c r="A4450" s="2" t="s">
        <v>3250</v>
      </c>
      <c r="B4450" s="2" t="s">
        <v>772</v>
      </c>
      <c r="C4450" s="2">
        <v>595.87019999999995</v>
      </c>
      <c r="D4450" s="2">
        <f>HYPERLINK("http://mcb-m6.bioreg.kyushu-u.ac.jp/M3/20110418/F50980/1829/1", 38.57)</f>
        <v>38.57</v>
      </c>
      <c r="E4450" s="2">
        <v>19.62</v>
      </c>
      <c r="F4450" s="2">
        <v>2</v>
      </c>
      <c r="G4450" s="2" t="s">
        <v>12</v>
      </c>
    </row>
    <row r="4451" spans="1:9" x14ac:dyDescent="0.2">
      <c r="A4451" s="2" t="s">
        <v>3250</v>
      </c>
      <c r="B4451" s="2" t="s">
        <v>77</v>
      </c>
      <c r="C4451" s="2">
        <v>1148.508</v>
      </c>
      <c r="D4451" s="2">
        <f>HYPERLINK("http://mcb-m6.bioreg.kyushu-u.ac.jp/M3/20110418/F51002/1556/1", 38.9)</f>
        <v>38.9</v>
      </c>
      <c r="E4451" s="2">
        <v>14.51</v>
      </c>
      <c r="F4451" s="2">
        <v>1</v>
      </c>
      <c r="G4451" s="2" t="s">
        <v>12</v>
      </c>
    </row>
    <row r="4452" spans="1:9" x14ac:dyDescent="0.2">
      <c r="A4452" s="2" t="s">
        <v>3250</v>
      </c>
      <c r="B4452" s="2" t="s">
        <v>356</v>
      </c>
      <c r="C4452" s="2">
        <v>816.41560000000004</v>
      </c>
      <c r="D4452" s="2">
        <f>HYPERLINK("http://mcb-m6.bioreg.kyushu-u.ac.jp/M3/20110418/F50981/2162/1", 39.67)</f>
        <v>39.67</v>
      </c>
      <c r="E4452" s="2">
        <v>22.89</v>
      </c>
      <c r="F4452" s="2">
        <v>2</v>
      </c>
      <c r="G4452" s="2" t="s">
        <v>12</v>
      </c>
    </row>
    <row r="4453" spans="1:9" x14ac:dyDescent="0.2">
      <c r="A4453" s="2" t="s">
        <v>3250</v>
      </c>
      <c r="B4453" s="2" t="s">
        <v>834</v>
      </c>
      <c r="C4453" s="2">
        <v>622.12570000000005</v>
      </c>
      <c r="D4453" s="2">
        <f>HYPERLINK("http://mcb-m6.bioreg.kyushu-u.ac.jp/M3/20110418/F50989/1738/1", 39.84)</f>
        <v>39.840000000000003</v>
      </c>
      <c r="E4453" s="2">
        <v>16.77</v>
      </c>
      <c r="F4453" s="2">
        <v>2</v>
      </c>
      <c r="G4453" s="2" t="s">
        <v>12</v>
      </c>
    </row>
    <row r="4454" spans="1:9" x14ac:dyDescent="0.2">
      <c r="A4454" s="2" t="s">
        <v>3250</v>
      </c>
      <c r="B4454" s="2" t="s">
        <v>102</v>
      </c>
      <c r="C4454" s="2">
        <v>1215.404</v>
      </c>
      <c r="D4454" s="2">
        <f>HYPERLINK("http://mcb-m6.bioreg.kyushu-u.ac.jp/M3/20110418/F50988/1696/1", 40.41)</f>
        <v>40.409999999999997</v>
      </c>
      <c r="E4454" s="2">
        <v>22.09</v>
      </c>
      <c r="F4454" s="2">
        <v>1</v>
      </c>
      <c r="G4454" s="2" t="s">
        <v>12</v>
      </c>
    </row>
    <row r="4455" spans="1:9" x14ac:dyDescent="0.2">
      <c r="A4455" s="2" t="s">
        <v>3250</v>
      </c>
      <c r="B4455" s="2" t="s">
        <v>356</v>
      </c>
      <c r="C4455" s="2">
        <v>816.45370000000003</v>
      </c>
      <c r="D4455" s="2">
        <f>HYPERLINK("http://mcb-m6.bioreg.kyushu-u.ac.jp/M3/20110418/F50980/2306/1", 40.59)</f>
        <v>40.590000000000003</v>
      </c>
      <c r="E4455" s="2">
        <v>24.6</v>
      </c>
      <c r="F4455" s="2">
        <v>2</v>
      </c>
      <c r="G4455" s="2" t="s">
        <v>12</v>
      </c>
    </row>
    <row r="4456" spans="1:9" x14ac:dyDescent="0.2">
      <c r="A4456" s="2" t="s">
        <v>3250</v>
      </c>
      <c r="B4456" s="2" t="s">
        <v>561</v>
      </c>
      <c r="C4456" s="2">
        <v>662.76570000000004</v>
      </c>
      <c r="D4456" s="2">
        <f>HYPERLINK("http://mcb-m6.bioreg.kyushu-u.ac.jp/M3/20110418/F50989/1807/1", 41.47)</f>
        <v>41.47</v>
      </c>
      <c r="E4456" s="2">
        <v>16.190000000000001</v>
      </c>
      <c r="F4456" s="2">
        <v>2</v>
      </c>
      <c r="G4456" s="2" t="s">
        <v>12</v>
      </c>
      <c r="H4456" s="2" t="s">
        <v>4919</v>
      </c>
    </row>
    <row r="4457" spans="1:9" x14ac:dyDescent="0.2">
      <c r="A4457" s="2" t="s">
        <v>3250</v>
      </c>
      <c r="B4457" s="2" t="s">
        <v>1875</v>
      </c>
      <c r="C4457" s="2">
        <v>780.41719999999998</v>
      </c>
      <c r="D4457" s="2">
        <f>HYPERLINK("http://mcb-m6.bioreg.kyushu-u.ac.jp/M3/20110418/F51002/2183/1", 41.62)</f>
        <v>41.62</v>
      </c>
      <c r="E4457" s="2">
        <v>31.57</v>
      </c>
      <c r="F4457" s="2">
        <v>2</v>
      </c>
      <c r="G4457" s="2" t="s">
        <v>12</v>
      </c>
      <c r="H4457" s="2" t="s">
        <v>4920</v>
      </c>
    </row>
    <row r="4458" spans="1:9" x14ac:dyDescent="0.2">
      <c r="A4458" s="2" t="s">
        <v>3250</v>
      </c>
      <c r="B4458" s="2" t="s">
        <v>90</v>
      </c>
      <c r="C4458" s="2">
        <v>717.07709999999997</v>
      </c>
      <c r="D4458" s="2">
        <f>HYPERLINK("http://mcb-m6.bioreg.kyushu-u.ac.jp/M3/20110418/F50987/1999/1", 41.68)</f>
        <v>41.68</v>
      </c>
      <c r="E4458" s="2">
        <v>27.87</v>
      </c>
      <c r="F4458" s="2">
        <v>2</v>
      </c>
      <c r="G4458" s="2" t="s">
        <v>12</v>
      </c>
    </row>
    <row r="4459" spans="1:9" x14ac:dyDescent="0.2">
      <c r="A4459" s="2" t="s">
        <v>3250</v>
      </c>
      <c r="B4459" s="2" t="s">
        <v>1787</v>
      </c>
      <c r="C4459" s="2">
        <v>1175.4829999999999</v>
      </c>
      <c r="D4459" s="2">
        <f>HYPERLINK("http://mcb-m6.bioreg.kyushu-u.ac.jp/M3/20110418/F50989/1659/1", 42.34)</f>
        <v>42.34</v>
      </c>
      <c r="E4459" s="2">
        <v>24.57</v>
      </c>
      <c r="F4459" s="2">
        <v>1</v>
      </c>
      <c r="G4459" s="2" t="s">
        <v>12</v>
      </c>
      <c r="I4459" s="2" t="s">
        <v>4895</v>
      </c>
    </row>
    <row r="4460" spans="1:9" x14ac:dyDescent="0.2">
      <c r="A4460" s="2" t="s">
        <v>3250</v>
      </c>
      <c r="B4460" s="2" t="s">
        <v>102</v>
      </c>
      <c r="C4460" s="2">
        <v>1215.4770000000001</v>
      </c>
      <c r="D4460" s="2">
        <f>HYPERLINK("http://mcb-m6.bioreg.kyushu-u.ac.jp/M3/20110418/F50989/1704/1", 42.49)</f>
        <v>42.49</v>
      </c>
      <c r="E4460" s="2">
        <v>25.22</v>
      </c>
      <c r="F4460" s="2">
        <v>1</v>
      </c>
      <c r="G4460" s="2" t="s">
        <v>12</v>
      </c>
    </row>
    <row r="4461" spans="1:9" x14ac:dyDescent="0.2">
      <c r="A4461" s="2" t="s">
        <v>3250</v>
      </c>
      <c r="B4461" s="2" t="s">
        <v>311</v>
      </c>
      <c r="C4461" s="2">
        <v>1196.3820000000001</v>
      </c>
      <c r="D4461" s="2">
        <f>HYPERLINK("http://mcb-m6.bioreg.kyushu-u.ac.jp/M3/20110418/F50988/1680/1", 42.54)</f>
        <v>42.54</v>
      </c>
      <c r="E4461" s="2">
        <v>27.72</v>
      </c>
      <c r="F4461" s="2">
        <v>1</v>
      </c>
      <c r="G4461" s="2" t="s">
        <v>12</v>
      </c>
    </row>
    <row r="4462" spans="1:9" x14ac:dyDescent="0.2">
      <c r="A4462" s="2" t="s">
        <v>3250</v>
      </c>
      <c r="B4462" s="2" t="s">
        <v>1787</v>
      </c>
      <c r="C4462" s="2">
        <v>1175.432</v>
      </c>
      <c r="D4462" s="2">
        <f>HYPERLINK("http://mcb-m6.bioreg.kyushu-u.ac.jp/M3/20110418/F50988/1645/1", 42.87)</f>
        <v>42.87</v>
      </c>
      <c r="E4462" s="2">
        <v>29.35</v>
      </c>
      <c r="F4462" s="2">
        <v>1</v>
      </c>
      <c r="G4462" s="2" t="s">
        <v>12</v>
      </c>
      <c r="I4462" s="2" t="s">
        <v>4895</v>
      </c>
    </row>
    <row r="4463" spans="1:9" x14ac:dyDescent="0.2">
      <c r="A4463" s="2" t="s">
        <v>3250</v>
      </c>
      <c r="B4463" s="2" t="s">
        <v>1787</v>
      </c>
      <c r="C4463" s="2">
        <v>588.2867</v>
      </c>
      <c r="D4463" s="2">
        <f>HYPERLINK("http://mcb-m6.bioreg.kyushu-u.ac.jp/M3/20110418/F50997/1447/1", 43.35)</f>
        <v>43.35</v>
      </c>
      <c r="E4463" s="2">
        <v>27.64</v>
      </c>
      <c r="F4463" s="2">
        <v>2</v>
      </c>
      <c r="G4463" s="2" t="s">
        <v>12</v>
      </c>
      <c r="I4463" s="2" t="s">
        <v>4895</v>
      </c>
    </row>
    <row r="4464" spans="1:9" x14ac:dyDescent="0.2">
      <c r="A4464" s="2" t="s">
        <v>3250</v>
      </c>
      <c r="B4464" s="2" t="s">
        <v>503</v>
      </c>
      <c r="C4464" s="2">
        <v>808.89620000000002</v>
      </c>
      <c r="D4464" s="2">
        <f>HYPERLINK("http://mcb-m6.bioreg.kyushu-u.ac.jp/M3/20110418/F50989/2267/1", 44.32)</f>
        <v>44.32</v>
      </c>
      <c r="E4464" s="2">
        <v>29.62</v>
      </c>
      <c r="F4464" s="2">
        <v>2</v>
      </c>
      <c r="G4464" s="2" t="s">
        <v>12</v>
      </c>
    </row>
    <row r="4465" spans="1:9" x14ac:dyDescent="0.2">
      <c r="A4465" s="2" t="s">
        <v>3250</v>
      </c>
      <c r="B4465" s="2" t="s">
        <v>90</v>
      </c>
      <c r="C4465" s="2">
        <v>716.72919999999999</v>
      </c>
      <c r="D4465" s="2">
        <f>HYPERLINK("http://mcb-m6.bioreg.kyushu-u.ac.jp/M3/20110418/F51002/1980/1", 44.33)</f>
        <v>44.33</v>
      </c>
      <c r="E4465" s="2">
        <v>29.01</v>
      </c>
      <c r="F4465" s="2">
        <v>2</v>
      </c>
      <c r="G4465" s="2" t="s">
        <v>12</v>
      </c>
    </row>
    <row r="4466" spans="1:9" x14ac:dyDescent="0.2">
      <c r="A4466" s="2" t="s">
        <v>3250</v>
      </c>
      <c r="B4466" s="2" t="s">
        <v>90</v>
      </c>
      <c r="C4466" s="2">
        <v>717.1952</v>
      </c>
      <c r="D4466" s="2">
        <f>HYPERLINK("http://mcb-m6.bioreg.kyushu-u.ac.jp/M3/20110418/F50980/2013/1", 45.11)</f>
        <v>45.11</v>
      </c>
      <c r="E4466" s="2">
        <v>6.79</v>
      </c>
      <c r="F4466" s="2">
        <v>2</v>
      </c>
      <c r="G4466" s="2" t="s">
        <v>12</v>
      </c>
    </row>
    <row r="4467" spans="1:9" x14ac:dyDescent="0.2">
      <c r="A4467" s="2" t="s">
        <v>3250</v>
      </c>
      <c r="B4467" s="2" t="s">
        <v>77</v>
      </c>
      <c r="C4467" s="2">
        <v>575.26760000000002</v>
      </c>
      <c r="D4467" s="2">
        <f>HYPERLINK("http://mcb-m6.bioreg.kyushu-u.ac.jp/M3/20110418/F50989/1640/1", 45.31)</f>
        <v>45.31</v>
      </c>
      <c r="E4467" s="2">
        <v>16.39</v>
      </c>
      <c r="F4467" s="2">
        <v>2</v>
      </c>
      <c r="G4467" s="2" t="s">
        <v>12</v>
      </c>
    </row>
    <row r="4468" spans="1:9" x14ac:dyDescent="0.2">
      <c r="A4468" s="2" t="s">
        <v>3250</v>
      </c>
      <c r="B4468" s="2" t="s">
        <v>90</v>
      </c>
      <c r="C4468" s="2">
        <v>716.78269999999998</v>
      </c>
      <c r="D4468" s="2">
        <f>HYPERLINK("http://mcb-m6.bioreg.kyushu-u.ac.jp/M3/20110418/F50983/1943/1", 45.47)</f>
        <v>45.47</v>
      </c>
      <c r="E4468" s="2">
        <v>18.09</v>
      </c>
      <c r="F4468" s="2">
        <v>2</v>
      </c>
      <c r="G4468" s="2" t="s">
        <v>12</v>
      </c>
    </row>
    <row r="4469" spans="1:9" x14ac:dyDescent="0.2">
      <c r="A4469" s="2" t="s">
        <v>3250</v>
      </c>
      <c r="B4469" s="2" t="s">
        <v>77</v>
      </c>
      <c r="C4469" s="2">
        <v>575.10569999999996</v>
      </c>
      <c r="D4469" s="2">
        <f>HYPERLINK("http://mcb-m6.bioreg.kyushu-u.ac.jp/M3/20110418/F50988/1619/1", 45.71)</f>
        <v>45.71</v>
      </c>
      <c r="E4469" s="2">
        <v>22.13</v>
      </c>
      <c r="F4469" s="2">
        <v>2</v>
      </c>
      <c r="G4469" s="2" t="s">
        <v>12</v>
      </c>
    </row>
    <row r="4470" spans="1:9" x14ac:dyDescent="0.2">
      <c r="A4470" s="2" t="s">
        <v>3250</v>
      </c>
      <c r="B4470" s="2" t="s">
        <v>311</v>
      </c>
      <c r="C4470" s="2">
        <v>606.6617</v>
      </c>
      <c r="D4470" s="2">
        <f>HYPERLINK("http://mcb-m6.bioreg.kyushu-u.ac.jp/M3/20110418/F50988/1690/1", 45.74)</f>
        <v>45.74</v>
      </c>
      <c r="E4470" s="2">
        <v>23.22</v>
      </c>
      <c r="F4470" s="2">
        <v>2</v>
      </c>
      <c r="G4470" s="2" t="s">
        <v>12</v>
      </c>
      <c r="H4470" s="2" t="s">
        <v>4908</v>
      </c>
    </row>
    <row r="4471" spans="1:9" x14ac:dyDescent="0.2">
      <c r="A4471" s="2" t="s">
        <v>3250</v>
      </c>
      <c r="B4471" s="2" t="s">
        <v>77</v>
      </c>
      <c r="C4471" s="2">
        <v>1148.461</v>
      </c>
      <c r="D4471" s="2">
        <f>HYPERLINK("http://mcb-m6.bioreg.kyushu-u.ac.jp/M3/20110418/F50986/1594/1", 45.91)</f>
        <v>45.91</v>
      </c>
      <c r="E4471" s="2">
        <v>24.72</v>
      </c>
      <c r="F4471" s="2">
        <v>1</v>
      </c>
      <c r="G4471" s="2" t="s">
        <v>12</v>
      </c>
    </row>
    <row r="4472" spans="1:9" x14ac:dyDescent="0.2">
      <c r="A4472" s="2" t="s">
        <v>3250</v>
      </c>
      <c r="B4472" s="2" t="s">
        <v>1875</v>
      </c>
      <c r="C4472" s="2">
        <v>788.5607</v>
      </c>
      <c r="D4472" s="2">
        <f>HYPERLINK("http://mcb-m6.bioreg.kyushu-u.ac.jp/M3/20110418/F50986/2370/1", 46.41)</f>
        <v>46.41</v>
      </c>
      <c r="E4472" s="2">
        <v>30.26</v>
      </c>
      <c r="F4472" s="2">
        <v>2</v>
      </c>
      <c r="G4472" s="2" t="s">
        <v>12</v>
      </c>
      <c r="H4472" s="2" t="s">
        <v>4953</v>
      </c>
    </row>
    <row r="4473" spans="1:9" x14ac:dyDescent="0.2">
      <c r="A4473" s="2" t="s">
        <v>3250</v>
      </c>
      <c r="B4473" s="2" t="s">
        <v>102</v>
      </c>
      <c r="C4473" s="2">
        <v>608.63070000000005</v>
      </c>
      <c r="D4473" s="2">
        <f>HYPERLINK("http://mcb-m6.bioreg.kyushu-u.ac.jp/M3/20110418/F51002/1651/1", 47.84)</f>
        <v>47.84</v>
      </c>
      <c r="E4473" s="2">
        <v>34.24</v>
      </c>
      <c r="F4473" s="2">
        <v>2</v>
      </c>
      <c r="G4473" s="2" t="s">
        <v>12</v>
      </c>
    </row>
    <row r="4474" spans="1:9" x14ac:dyDescent="0.2">
      <c r="A4474" s="2" t="s">
        <v>3250</v>
      </c>
      <c r="B4474" s="2" t="s">
        <v>1787</v>
      </c>
      <c r="C4474" s="2">
        <v>1175.395</v>
      </c>
      <c r="D4474" s="2">
        <f>HYPERLINK("http://mcb-m6.bioreg.kyushu-u.ac.jp/M3/20110418/F50987/1734/1", 48.25)</f>
        <v>48.25</v>
      </c>
      <c r="E4474" s="2">
        <v>34.69</v>
      </c>
      <c r="F4474" s="2">
        <v>1</v>
      </c>
      <c r="G4474" s="2" t="s">
        <v>12</v>
      </c>
      <c r="I4474" s="2" t="s">
        <v>4895</v>
      </c>
    </row>
    <row r="4475" spans="1:9" x14ac:dyDescent="0.2">
      <c r="A4475" s="2" t="s">
        <v>3250</v>
      </c>
      <c r="B4475" s="2" t="s">
        <v>834</v>
      </c>
      <c r="C4475" s="2">
        <v>1243.635</v>
      </c>
      <c r="D4475" s="2">
        <f>HYPERLINK("http://mcb-m6.bioreg.kyushu-u.ac.jp/M3/20110418/F50988/1738/1", 48.45)</f>
        <v>48.45</v>
      </c>
      <c r="E4475" s="2">
        <v>34.74</v>
      </c>
      <c r="F4475" s="2">
        <v>1</v>
      </c>
      <c r="G4475" s="2" t="s">
        <v>12</v>
      </c>
    </row>
    <row r="4476" spans="1:9" x14ac:dyDescent="0.2">
      <c r="A4476" s="2" t="s">
        <v>3250</v>
      </c>
      <c r="B4476" s="2" t="s">
        <v>1787</v>
      </c>
      <c r="C4476" s="2">
        <v>1175.528</v>
      </c>
      <c r="D4476" s="2">
        <f>HYPERLINK("http://mcb-m6.bioreg.kyushu-u.ac.jp/M3/20110418/F51002/1586/1", 48.7)</f>
        <v>48.7</v>
      </c>
      <c r="E4476" s="2">
        <v>31.01</v>
      </c>
      <c r="F4476" s="2">
        <v>1</v>
      </c>
      <c r="G4476" s="2" t="s">
        <v>12</v>
      </c>
      <c r="I4476" s="2" t="s">
        <v>4895</v>
      </c>
    </row>
    <row r="4477" spans="1:9" x14ac:dyDescent="0.2">
      <c r="A4477" s="2" t="s">
        <v>3250</v>
      </c>
      <c r="B4477" s="2" t="s">
        <v>481</v>
      </c>
      <c r="C4477" s="2">
        <v>1417.9749999999999</v>
      </c>
      <c r="D4477" s="2">
        <f>HYPERLINK("http://mcb-m6.bioreg.kyushu-u.ac.jp/M3/20110418/F50989/1923/1", 48.74)</f>
        <v>48.74</v>
      </c>
      <c r="E4477" s="2">
        <v>32.880000000000003</v>
      </c>
      <c r="F4477" s="2">
        <v>1</v>
      </c>
      <c r="G4477" s="2" t="s">
        <v>12</v>
      </c>
      <c r="I4477" s="2" t="s">
        <v>4898</v>
      </c>
    </row>
    <row r="4478" spans="1:9" x14ac:dyDescent="0.2">
      <c r="A4478" s="2" t="s">
        <v>3250</v>
      </c>
      <c r="B4478" s="2" t="s">
        <v>1065</v>
      </c>
      <c r="C4478" s="2">
        <v>716.87070000000006</v>
      </c>
      <c r="D4478" s="2">
        <f>HYPERLINK("http://mcb-m6.bioreg.kyushu-u.ac.jp/M3/20110418/F50980/2011/1", 49.55)</f>
        <v>49.55</v>
      </c>
      <c r="E4478" s="2">
        <v>27.93</v>
      </c>
      <c r="F4478" s="2">
        <v>2</v>
      </c>
      <c r="G4478" s="2" t="s">
        <v>12</v>
      </c>
      <c r="I4478" s="2" t="s">
        <v>4892</v>
      </c>
    </row>
    <row r="4479" spans="1:9" x14ac:dyDescent="0.2">
      <c r="A4479" s="2" t="s">
        <v>3250</v>
      </c>
      <c r="B4479" s="2" t="s">
        <v>311</v>
      </c>
      <c r="C4479" s="2">
        <v>1196.4110000000001</v>
      </c>
      <c r="D4479" s="2">
        <f>HYPERLINK("http://mcb-m6.bioreg.kyushu-u.ac.jp/M3/20110418/F50989/1691/1", 51.34)</f>
        <v>51.34</v>
      </c>
      <c r="E4479" s="2">
        <v>34.47</v>
      </c>
      <c r="F4479" s="2">
        <v>1</v>
      </c>
      <c r="G4479" s="2" t="s">
        <v>12</v>
      </c>
    </row>
    <row r="4480" spans="1:9" x14ac:dyDescent="0.2">
      <c r="A4480" s="2" t="s">
        <v>3250</v>
      </c>
      <c r="B4480" s="2" t="s">
        <v>481</v>
      </c>
      <c r="C4480" s="2">
        <v>1417.5150000000001</v>
      </c>
      <c r="D4480" s="2">
        <f>HYPERLINK("http://mcb-m6.bioreg.kyushu-u.ac.jp/M3/20110418/F50988/1958/1", 51.51)</f>
        <v>51.51</v>
      </c>
      <c r="E4480" s="2">
        <v>38.24</v>
      </c>
      <c r="F4480" s="2">
        <v>1</v>
      </c>
      <c r="G4480" s="2" t="s">
        <v>12</v>
      </c>
      <c r="I4480" s="2" t="s">
        <v>4898</v>
      </c>
    </row>
    <row r="4481" spans="1:9" x14ac:dyDescent="0.2">
      <c r="A4481" s="2" t="s">
        <v>3250</v>
      </c>
      <c r="B4481" s="2" t="s">
        <v>772</v>
      </c>
      <c r="C4481" s="2">
        <v>1190.4690000000001</v>
      </c>
      <c r="D4481" s="2">
        <f>HYPERLINK("http://mcb-m6.bioreg.kyushu-u.ac.jp/M3/20110418/F50988/1668/1", 51.96)</f>
        <v>51.96</v>
      </c>
      <c r="E4481" s="2">
        <v>18.079999999999998</v>
      </c>
      <c r="F4481" s="2">
        <v>1</v>
      </c>
      <c r="G4481" s="2" t="s">
        <v>12</v>
      </c>
    </row>
    <row r="4482" spans="1:9" x14ac:dyDescent="0.2">
      <c r="A4482" s="2" t="s">
        <v>3250</v>
      </c>
      <c r="B4482" s="2" t="s">
        <v>1765</v>
      </c>
      <c r="C4482" s="2">
        <v>761.72860000000003</v>
      </c>
      <c r="D4482" s="2">
        <f>HYPERLINK("http://mcb-m6.bioreg.kyushu-u.ac.jp/M3/20110418/F50988/2193/1", 52.63)</f>
        <v>52.63</v>
      </c>
      <c r="E4482" s="2">
        <v>33.22</v>
      </c>
      <c r="F4482" s="2">
        <v>2</v>
      </c>
      <c r="G4482" s="2" t="s">
        <v>12</v>
      </c>
    </row>
    <row r="4483" spans="1:9" x14ac:dyDescent="0.2">
      <c r="A4483" s="2" t="s">
        <v>3250</v>
      </c>
      <c r="B4483" s="2" t="s">
        <v>311</v>
      </c>
      <c r="C4483" s="2">
        <v>607.23360000000002</v>
      </c>
      <c r="D4483" s="2">
        <f>HYPERLINK("http://mcb-m6.bioreg.kyushu-u.ac.jp/M3/20110418/F50987/1772/1", 53.42)</f>
        <v>53.42</v>
      </c>
      <c r="E4483" s="2">
        <v>29.93</v>
      </c>
      <c r="F4483" s="2">
        <v>2</v>
      </c>
      <c r="G4483" s="2" t="s">
        <v>12</v>
      </c>
      <c r="H4483" s="2" t="s">
        <v>4908</v>
      </c>
    </row>
    <row r="4484" spans="1:9" x14ac:dyDescent="0.2">
      <c r="A4484" s="2" t="s">
        <v>3250</v>
      </c>
      <c r="B4484" s="2" t="s">
        <v>467</v>
      </c>
      <c r="C4484" s="2">
        <v>1382.606</v>
      </c>
      <c r="D4484" s="2">
        <f>HYPERLINK("http://mcb-m6.bioreg.kyushu-u.ac.jp/M3/20110418/F51002/1888/1", 53.87)</f>
        <v>53.87</v>
      </c>
      <c r="E4484" s="2">
        <v>35.92</v>
      </c>
      <c r="F4484" s="2">
        <v>1</v>
      </c>
      <c r="G4484" s="2" t="s">
        <v>12</v>
      </c>
    </row>
    <row r="4485" spans="1:9" x14ac:dyDescent="0.2">
      <c r="A4485" s="2" t="s">
        <v>3250</v>
      </c>
      <c r="B4485" s="2" t="s">
        <v>365</v>
      </c>
      <c r="C4485" s="2">
        <v>849.08259999999996</v>
      </c>
      <c r="D4485" s="2">
        <f>HYPERLINK("http://mcb-m6.bioreg.kyushu-u.ac.jp/M3/20110418/F50988/2461/1", 54.09)</f>
        <v>54.09</v>
      </c>
      <c r="E4485" s="2">
        <v>39.24</v>
      </c>
      <c r="F4485" s="2">
        <v>2</v>
      </c>
      <c r="G4485" s="2" t="s">
        <v>12</v>
      </c>
    </row>
    <row r="4486" spans="1:9" x14ac:dyDescent="0.2">
      <c r="A4486" s="2" t="s">
        <v>3250</v>
      </c>
      <c r="B4486" s="2" t="s">
        <v>102</v>
      </c>
      <c r="C4486" s="2">
        <v>608.1191</v>
      </c>
      <c r="D4486" s="2">
        <f>HYPERLINK("http://mcb-m6.bioreg.kyushu-u.ac.jp/M3/20110418/F50988/1694/1", 54.17)</f>
        <v>54.17</v>
      </c>
      <c r="E4486" s="2">
        <v>37.83</v>
      </c>
      <c r="F4486" s="2">
        <v>2</v>
      </c>
      <c r="G4486" s="2" t="s">
        <v>12</v>
      </c>
    </row>
    <row r="4487" spans="1:9" x14ac:dyDescent="0.2">
      <c r="A4487" s="2" t="s">
        <v>3250</v>
      </c>
      <c r="B4487" s="2" t="s">
        <v>834</v>
      </c>
      <c r="C4487" s="2">
        <v>621.71510000000001</v>
      </c>
      <c r="D4487" s="2">
        <f>HYPERLINK("http://mcb-m6.bioreg.kyushu-u.ac.jp/M3/20110418/F50986/1712/1", 54.8)</f>
        <v>54.8</v>
      </c>
      <c r="E4487" s="2">
        <v>32.4</v>
      </c>
      <c r="F4487" s="2">
        <v>2</v>
      </c>
      <c r="G4487" s="2" t="s">
        <v>12</v>
      </c>
    </row>
    <row r="4488" spans="1:9" x14ac:dyDescent="0.2">
      <c r="A4488" s="2" t="s">
        <v>3250</v>
      </c>
      <c r="B4488" s="2" t="s">
        <v>772</v>
      </c>
      <c r="C4488" s="2">
        <v>1190.444</v>
      </c>
      <c r="D4488" s="2">
        <f>HYPERLINK("http://mcb-m6.bioreg.kyushu-u.ac.jp/M3/20110418/F50989/1680/1", 55.57)</f>
        <v>55.57</v>
      </c>
      <c r="E4488" s="2">
        <v>19.89</v>
      </c>
      <c r="F4488" s="2">
        <v>1</v>
      </c>
      <c r="G4488" s="2" t="s">
        <v>12</v>
      </c>
    </row>
    <row r="4489" spans="1:9" x14ac:dyDescent="0.2">
      <c r="A4489" s="2" t="s">
        <v>3250</v>
      </c>
      <c r="B4489" s="2" t="s">
        <v>311</v>
      </c>
      <c r="C4489" s="2">
        <v>606.5557</v>
      </c>
      <c r="D4489" s="2">
        <f>HYPERLINK("http://mcb-m6.bioreg.kyushu-u.ac.jp/M3/20110418/F50989/1701/1", 55.75)</f>
        <v>55.75</v>
      </c>
      <c r="E4489" s="2">
        <v>32.64</v>
      </c>
      <c r="F4489" s="2">
        <v>2</v>
      </c>
      <c r="G4489" s="2" t="s">
        <v>12</v>
      </c>
      <c r="H4489" s="2" t="s">
        <v>4908</v>
      </c>
    </row>
    <row r="4490" spans="1:9" x14ac:dyDescent="0.2">
      <c r="A4490" s="2" t="s">
        <v>3250</v>
      </c>
      <c r="B4490" s="2" t="s">
        <v>90</v>
      </c>
      <c r="C4490" s="2">
        <v>716.90260000000001</v>
      </c>
      <c r="D4490" s="2">
        <f>HYPERLINK("http://mcb-m6.bioreg.kyushu-u.ac.jp/M3/20110418/F51005/1924/1", 56.14)</f>
        <v>56.14</v>
      </c>
      <c r="E4490" s="2">
        <v>34.36</v>
      </c>
      <c r="F4490" s="2">
        <v>2</v>
      </c>
      <c r="G4490" s="2" t="s">
        <v>12</v>
      </c>
    </row>
    <row r="4491" spans="1:9" x14ac:dyDescent="0.2">
      <c r="A4491" s="2" t="s">
        <v>3250</v>
      </c>
      <c r="B4491" s="2" t="s">
        <v>1787</v>
      </c>
      <c r="C4491" s="2">
        <v>588.7867</v>
      </c>
      <c r="D4491" s="2">
        <f>HYPERLINK("http://mcb-m6.bioreg.kyushu-u.ac.jp/M3/20110418/F51001/1530/1", 56.56)</f>
        <v>56.56</v>
      </c>
      <c r="E4491" s="2">
        <v>37.840000000000003</v>
      </c>
      <c r="F4491" s="2">
        <v>2</v>
      </c>
      <c r="G4491" s="2" t="s">
        <v>12</v>
      </c>
      <c r="I4491" s="2" t="s">
        <v>4895</v>
      </c>
    </row>
    <row r="4492" spans="1:9" x14ac:dyDescent="0.2">
      <c r="A4492" s="2" t="s">
        <v>3250</v>
      </c>
      <c r="B4492" s="2" t="s">
        <v>481</v>
      </c>
      <c r="C4492" s="2">
        <v>1417.499</v>
      </c>
      <c r="D4492" s="2">
        <f>HYPERLINK("http://mcb-m6.bioreg.kyushu-u.ac.jp/M3/20110418/F51002/1948/1", 57.09)</f>
        <v>57.09</v>
      </c>
      <c r="E4492" s="2">
        <v>47.29</v>
      </c>
      <c r="F4492" s="2">
        <v>1</v>
      </c>
      <c r="G4492" s="2" t="s">
        <v>12</v>
      </c>
      <c r="I4492" s="2" t="s">
        <v>4898</v>
      </c>
    </row>
    <row r="4493" spans="1:9" x14ac:dyDescent="0.2">
      <c r="A4493" s="2" t="s">
        <v>3250</v>
      </c>
      <c r="B4493" s="2" t="s">
        <v>102</v>
      </c>
      <c r="C4493" s="2">
        <v>616.73770000000002</v>
      </c>
      <c r="D4493" s="2">
        <f>HYPERLINK("http://mcb-m6.bioreg.kyushu-u.ac.jp/M3/20110418/F50989/1726/1", 58.55)</f>
        <v>58.55</v>
      </c>
      <c r="E4493" s="2">
        <v>39.67</v>
      </c>
      <c r="F4493" s="2">
        <v>2</v>
      </c>
      <c r="G4493" s="2" t="s">
        <v>12</v>
      </c>
      <c r="H4493" s="2" t="s">
        <v>4900</v>
      </c>
    </row>
    <row r="4494" spans="1:9" x14ac:dyDescent="0.2">
      <c r="A4494" s="2" t="s">
        <v>3250</v>
      </c>
      <c r="B4494" s="2" t="s">
        <v>365</v>
      </c>
      <c r="C4494" s="2">
        <v>848.71810000000005</v>
      </c>
      <c r="D4494" s="2">
        <f>HYPERLINK("http://mcb-m6.bioreg.kyushu-u.ac.jp/M3/20110418/F50984/2317/1", 58.64)</f>
        <v>58.64</v>
      </c>
      <c r="E4494" s="2">
        <v>44.4</v>
      </c>
      <c r="F4494" s="2">
        <v>2</v>
      </c>
      <c r="G4494" s="2" t="s">
        <v>12</v>
      </c>
    </row>
    <row r="4495" spans="1:9" x14ac:dyDescent="0.2">
      <c r="A4495" s="2" t="s">
        <v>3250</v>
      </c>
      <c r="B4495" s="2" t="s">
        <v>77</v>
      </c>
      <c r="C4495" s="2">
        <v>574.48519999999996</v>
      </c>
      <c r="D4495" s="2">
        <f>HYPERLINK("http://mcb-m6.bioreg.kyushu-u.ac.jp/M3/20110418/F50988/1616/1", 58.91)</f>
        <v>58.91</v>
      </c>
      <c r="E4495" s="2">
        <v>28.97</v>
      </c>
      <c r="F4495" s="2">
        <v>2</v>
      </c>
      <c r="G4495" s="2" t="s">
        <v>12</v>
      </c>
    </row>
    <row r="4496" spans="1:9" x14ac:dyDescent="0.2">
      <c r="A4496" s="2" t="s">
        <v>3250</v>
      </c>
      <c r="B4496" s="2" t="s">
        <v>481</v>
      </c>
      <c r="C4496" s="2">
        <v>709.52809999999999</v>
      </c>
      <c r="D4496" s="2">
        <f>HYPERLINK("http://mcb-m6.bioreg.kyushu-u.ac.jp/M3/20110418/F51002/1949/1", 58.97)</f>
        <v>58.97</v>
      </c>
      <c r="E4496" s="2">
        <v>40.200000000000003</v>
      </c>
      <c r="F4496" s="2">
        <v>2</v>
      </c>
      <c r="G4496" s="2" t="s">
        <v>12</v>
      </c>
      <c r="I4496" s="2" t="s">
        <v>4898</v>
      </c>
    </row>
    <row r="4497" spans="1:9" x14ac:dyDescent="0.2">
      <c r="A4497" s="2" t="s">
        <v>3250</v>
      </c>
      <c r="B4497" s="2" t="s">
        <v>90</v>
      </c>
      <c r="C4497" s="2">
        <v>716.82259999999997</v>
      </c>
      <c r="D4497" s="2">
        <f>HYPERLINK("http://mcb-m6.bioreg.kyushu-u.ac.jp/M3/20110418/F50988/1989/1", 59.23)</f>
        <v>59.23</v>
      </c>
      <c r="E4497" s="2">
        <v>13.84</v>
      </c>
      <c r="F4497" s="2">
        <v>2</v>
      </c>
      <c r="G4497" s="2" t="s">
        <v>12</v>
      </c>
    </row>
    <row r="4498" spans="1:9" x14ac:dyDescent="0.2">
      <c r="A4498" s="2" t="s">
        <v>3250</v>
      </c>
      <c r="B4498" s="2" t="s">
        <v>77</v>
      </c>
      <c r="C4498" s="2">
        <v>574.76459999999997</v>
      </c>
      <c r="D4498" s="2">
        <f>HYPERLINK("http://mcb-m6.bioreg.kyushu-u.ac.jp/M3/20110418/F50986/1596/1", 59.75)</f>
        <v>59.75</v>
      </c>
      <c r="E4498" s="2">
        <v>29.39</v>
      </c>
      <c r="F4498" s="2">
        <v>2</v>
      </c>
      <c r="G4498" s="2" t="s">
        <v>12</v>
      </c>
    </row>
    <row r="4499" spans="1:9" x14ac:dyDescent="0.2">
      <c r="A4499" s="2" t="s">
        <v>3250</v>
      </c>
      <c r="B4499" s="2" t="s">
        <v>1065</v>
      </c>
      <c r="C4499" s="2">
        <v>716.60860000000002</v>
      </c>
      <c r="D4499" s="2">
        <f>HYPERLINK("http://mcb-m6.bioreg.kyushu-u.ac.jp/M3/20110418/F50989/1940/1", 59.92)</f>
        <v>59.92</v>
      </c>
      <c r="E4499" s="2">
        <v>48.7</v>
      </c>
      <c r="F4499" s="2">
        <v>2</v>
      </c>
      <c r="G4499" s="2" t="s">
        <v>12</v>
      </c>
      <c r="I4499" s="2" t="s">
        <v>4892</v>
      </c>
    </row>
    <row r="4500" spans="1:9" x14ac:dyDescent="0.2">
      <c r="A4500" s="2" t="s">
        <v>3250</v>
      </c>
      <c r="B4500" s="2" t="s">
        <v>772</v>
      </c>
      <c r="C4500" s="2">
        <v>1190.6030000000001</v>
      </c>
      <c r="D4500" s="2">
        <f>HYPERLINK("http://mcb-m6.bioreg.kyushu-u.ac.jp/M3/20110418/F51002/1622/1", 60.24)</f>
        <v>60.24</v>
      </c>
      <c r="E4500" s="2">
        <v>26.38</v>
      </c>
      <c r="F4500" s="2">
        <v>1</v>
      </c>
      <c r="G4500" s="2" t="s">
        <v>12</v>
      </c>
    </row>
    <row r="4501" spans="1:9" x14ac:dyDescent="0.2">
      <c r="A4501" s="2" t="s">
        <v>3250</v>
      </c>
      <c r="B4501" s="2" t="s">
        <v>772</v>
      </c>
      <c r="C4501" s="2">
        <v>595.67169999999999</v>
      </c>
      <c r="D4501" s="2">
        <f>HYPERLINK("http://mcb-m6.bioreg.kyushu-u.ac.jp/M3/20110418/F50988/1667/1", 60.3)</f>
        <v>60.3</v>
      </c>
      <c r="E4501" s="2">
        <v>25</v>
      </c>
      <c r="F4501" s="2">
        <v>2</v>
      </c>
      <c r="G4501" s="2" t="s">
        <v>12</v>
      </c>
    </row>
    <row r="4502" spans="1:9" x14ac:dyDescent="0.2">
      <c r="A4502" s="2" t="s">
        <v>3250</v>
      </c>
      <c r="B4502" s="2" t="s">
        <v>311</v>
      </c>
      <c r="C4502" s="2">
        <v>598.66110000000003</v>
      </c>
      <c r="D4502" s="2">
        <f>HYPERLINK("http://mcb-m6.bioreg.kyushu-u.ac.jp/M3/20110418/F50988/1679/1", 61.59)</f>
        <v>61.59</v>
      </c>
      <c r="E4502" s="2">
        <v>45.61</v>
      </c>
      <c r="F4502" s="2">
        <v>2</v>
      </c>
      <c r="G4502" s="2" t="s">
        <v>12</v>
      </c>
    </row>
    <row r="4503" spans="1:9" x14ac:dyDescent="0.2">
      <c r="A4503" s="2" t="s">
        <v>3250</v>
      </c>
      <c r="B4503" s="2" t="s">
        <v>772</v>
      </c>
      <c r="C4503" s="2">
        <v>596.1191</v>
      </c>
      <c r="D4503" s="2">
        <f>HYPERLINK("http://mcb-m6.bioreg.kyushu-u.ac.jp/M3/20110418/F50989/1683/1", 62.34)</f>
        <v>62.34</v>
      </c>
      <c r="E4503" s="2">
        <v>35.729999999999997</v>
      </c>
      <c r="F4503" s="2">
        <v>2</v>
      </c>
      <c r="G4503" s="2" t="s">
        <v>12</v>
      </c>
    </row>
    <row r="4504" spans="1:9" x14ac:dyDescent="0.2">
      <c r="A4504" s="2" t="s">
        <v>3250</v>
      </c>
      <c r="B4504" s="2" t="s">
        <v>365</v>
      </c>
      <c r="C4504" s="2">
        <v>848.74620000000004</v>
      </c>
      <c r="D4504" s="2">
        <f>HYPERLINK("http://mcb-m6.bioreg.kyushu-u.ac.jp/M3/20110418/F50988/2460/1", 63.26)</f>
        <v>63.26</v>
      </c>
      <c r="E4504" s="2">
        <v>38.130000000000003</v>
      </c>
      <c r="F4504" s="2">
        <v>2</v>
      </c>
      <c r="G4504" s="2" t="s">
        <v>12</v>
      </c>
    </row>
    <row r="4505" spans="1:9" x14ac:dyDescent="0.2">
      <c r="A4505" s="2" t="s">
        <v>3250</v>
      </c>
      <c r="B4505" s="2" t="s">
        <v>311</v>
      </c>
      <c r="C4505" s="2">
        <v>598.70759999999996</v>
      </c>
      <c r="D4505" s="2">
        <f>HYPERLINK("http://mcb-m6.bioreg.kyushu-u.ac.jp/M3/20110418/F50985/1913/1", 63.59)</f>
        <v>63.59</v>
      </c>
      <c r="E4505" s="2">
        <v>44.5</v>
      </c>
      <c r="F4505" s="2">
        <v>2</v>
      </c>
      <c r="G4505" s="2" t="s">
        <v>12</v>
      </c>
    </row>
    <row r="4506" spans="1:9" x14ac:dyDescent="0.2">
      <c r="A4506" s="2" t="s">
        <v>3250</v>
      </c>
      <c r="B4506" s="2" t="s">
        <v>311</v>
      </c>
      <c r="C4506" s="2">
        <v>606.68269999999995</v>
      </c>
      <c r="D4506" s="2">
        <f>HYPERLINK("http://mcb-m6.bioreg.kyushu-u.ac.jp/M3/20110418/F51001/1592/1", 63.76)</f>
        <v>63.76</v>
      </c>
      <c r="E4506" s="2">
        <v>39.369999999999997</v>
      </c>
      <c r="F4506" s="2">
        <v>2</v>
      </c>
      <c r="G4506" s="2" t="s">
        <v>12</v>
      </c>
      <c r="H4506" s="2" t="s">
        <v>4908</v>
      </c>
    </row>
    <row r="4507" spans="1:9" x14ac:dyDescent="0.2">
      <c r="A4507" s="2" t="s">
        <v>3250</v>
      </c>
      <c r="B4507" s="2" t="s">
        <v>834</v>
      </c>
      <c r="C4507" s="2">
        <v>621.7047</v>
      </c>
      <c r="D4507" s="2">
        <f>HYPERLINK("http://mcb-m6.bioreg.kyushu-u.ac.jp/M3/20110418/F50988/1734/1", 63.88)</f>
        <v>63.88</v>
      </c>
      <c r="E4507" s="2">
        <v>40.28</v>
      </c>
      <c r="F4507" s="2">
        <v>2</v>
      </c>
      <c r="G4507" s="2" t="s">
        <v>12</v>
      </c>
    </row>
    <row r="4508" spans="1:9" x14ac:dyDescent="0.2">
      <c r="A4508" s="2" t="s">
        <v>3250</v>
      </c>
      <c r="B4508" s="2" t="s">
        <v>1065</v>
      </c>
      <c r="C4508" s="2">
        <v>717.11069999999995</v>
      </c>
      <c r="D4508" s="2">
        <f>HYPERLINK("http://mcb-m6.bioreg.kyushu-u.ac.jp/M3/20110418/F50989/1943/1", 63.92)</f>
        <v>63.92</v>
      </c>
      <c r="E4508" s="2">
        <v>51.9</v>
      </c>
      <c r="F4508" s="2">
        <v>2</v>
      </c>
      <c r="G4508" s="2" t="s">
        <v>12</v>
      </c>
      <c r="I4508" s="2" t="s">
        <v>4892</v>
      </c>
    </row>
    <row r="4509" spans="1:9" x14ac:dyDescent="0.2">
      <c r="A4509" s="2" t="s">
        <v>3250</v>
      </c>
      <c r="B4509" s="2" t="s">
        <v>365</v>
      </c>
      <c r="C4509" s="2">
        <v>849.23019999999997</v>
      </c>
      <c r="D4509" s="2">
        <f>HYPERLINK("http://mcb-m6.bioreg.kyushu-u.ac.jp/M3/20110418/F50997/2371/1", 64.93)</f>
        <v>64.930000000000007</v>
      </c>
      <c r="E4509" s="2">
        <v>50.1</v>
      </c>
      <c r="F4509" s="2">
        <v>2</v>
      </c>
      <c r="G4509" s="2" t="s">
        <v>12</v>
      </c>
    </row>
    <row r="4510" spans="1:9" x14ac:dyDescent="0.2">
      <c r="A4510" s="2" t="s">
        <v>3250</v>
      </c>
      <c r="B4510" s="2" t="s">
        <v>1065</v>
      </c>
      <c r="C4510" s="2">
        <v>716.79909999999995</v>
      </c>
      <c r="D4510" s="2">
        <f>HYPERLINK("http://mcb-m6.bioreg.kyushu-u.ac.jp/M3/20110418/F50986/1951/1", 65.03)</f>
        <v>65.03</v>
      </c>
      <c r="E4510" s="2">
        <v>52.36</v>
      </c>
      <c r="F4510" s="2">
        <v>2</v>
      </c>
      <c r="G4510" s="2" t="s">
        <v>12</v>
      </c>
      <c r="I4510" s="2" t="s">
        <v>4892</v>
      </c>
    </row>
    <row r="4511" spans="1:9" x14ac:dyDescent="0.2">
      <c r="A4511" s="2" t="s">
        <v>3250</v>
      </c>
      <c r="B4511" s="2" t="s">
        <v>1065</v>
      </c>
      <c r="C4511" s="2">
        <v>717.14570000000003</v>
      </c>
      <c r="D4511" s="2">
        <f>HYPERLINK("http://mcb-m6.bioreg.kyushu-u.ac.jp/M3/20110418/F50988/1992/1", 65.58)</f>
        <v>65.58</v>
      </c>
      <c r="E4511" s="2">
        <v>52.93</v>
      </c>
      <c r="F4511" s="2">
        <v>2</v>
      </c>
      <c r="G4511" s="2" t="s">
        <v>12</v>
      </c>
      <c r="I4511" s="2" t="s">
        <v>4892</v>
      </c>
    </row>
    <row r="4512" spans="1:9" x14ac:dyDescent="0.2">
      <c r="A4512" s="2" t="s">
        <v>3250</v>
      </c>
      <c r="B4512" s="2" t="s">
        <v>1787</v>
      </c>
      <c r="C4512" s="2">
        <v>588.63210000000004</v>
      </c>
      <c r="D4512" s="2">
        <f>HYPERLINK("http://mcb-m6.bioreg.kyushu-u.ac.jp/M3/20110418/F51002/1587/1", 66.08)</f>
        <v>66.08</v>
      </c>
      <c r="E4512" s="2">
        <v>46.25</v>
      </c>
      <c r="F4512" s="2">
        <v>2</v>
      </c>
      <c r="G4512" s="2" t="s">
        <v>12</v>
      </c>
      <c r="I4512" s="2" t="s">
        <v>4895</v>
      </c>
    </row>
    <row r="4513" spans="1:9" x14ac:dyDescent="0.2">
      <c r="A4513" s="2" t="s">
        <v>3250</v>
      </c>
      <c r="B4513" s="2" t="s">
        <v>365</v>
      </c>
      <c r="C4513" s="2">
        <v>849.27070000000003</v>
      </c>
      <c r="D4513" s="2">
        <f>HYPERLINK("http://mcb-m6.bioreg.kyushu-u.ac.jp/M3/20110418/F50986/2553/1", 66.61)</f>
        <v>66.61</v>
      </c>
      <c r="E4513" s="2">
        <v>50.31</v>
      </c>
      <c r="F4513" s="2">
        <v>2</v>
      </c>
      <c r="G4513" s="2" t="s">
        <v>12</v>
      </c>
    </row>
    <row r="4514" spans="1:9" x14ac:dyDescent="0.2">
      <c r="A4514" s="2" t="s">
        <v>3250</v>
      </c>
      <c r="B4514" s="2" t="s">
        <v>77</v>
      </c>
      <c r="C4514" s="2">
        <v>574.76670000000001</v>
      </c>
      <c r="D4514" s="2">
        <f>HYPERLINK("http://mcb-m6.bioreg.kyushu-u.ac.jp/M3/20110418/F51002/1557/1", 66.88)</f>
        <v>66.88</v>
      </c>
      <c r="E4514" s="2">
        <v>35.61</v>
      </c>
      <c r="F4514" s="2">
        <v>2</v>
      </c>
      <c r="G4514" s="2" t="s">
        <v>12</v>
      </c>
    </row>
    <row r="4515" spans="1:9" x14ac:dyDescent="0.2">
      <c r="A4515" s="2" t="s">
        <v>3250</v>
      </c>
      <c r="B4515" s="2" t="s">
        <v>1787</v>
      </c>
      <c r="C4515" s="2">
        <v>588.60109999999997</v>
      </c>
      <c r="D4515" s="2">
        <f>HYPERLINK("http://mcb-m6.bioreg.kyushu-u.ac.jp/M3/20110418/F50988/1646/1", 67.46)</f>
        <v>67.459999999999994</v>
      </c>
      <c r="E4515" s="2">
        <v>45.94</v>
      </c>
      <c r="F4515" s="2">
        <v>2</v>
      </c>
      <c r="G4515" s="2" t="s">
        <v>12</v>
      </c>
      <c r="I4515" s="2" t="s">
        <v>4895</v>
      </c>
    </row>
    <row r="4516" spans="1:9" x14ac:dyDescent="0.2">
      <c r="A4516" s="2" t="s">
        <v>3250</v>
      </c>
      <c r="B4516" s="2" t="s">
        <v>365</v>
      </c>
      <c r="C4516" s="2">
        <v>849.30769999999995</v>
      </c>
      <c r="D4516" s="2">
        <f>HYPERLINK("http://mcb-m6.bioreg.kyushu-u.ac.jp/M3/20110418/F50984/2319/1", 67.61)</f>
        <v>67.61</v>
      </c>
      <c r="E4516" s="2">
        <v>46.87</v>
      </c>
      <c r="F4516" s="2">
        <v>2</v>
      </c>
      <c r="G4516" s="2" t="s">
        <v>12</v>
      </c>
    </row>
    <row r="4517" spans="1:9" x14ac:dyDescent="0.2">
      <c r="A4517" s="2" t="s">
        <v>3250</v>
      </c>
      <c r="B4517" s="2" t="s">
        <v>834</v>
      </c>
      <c r="C4517" s="2">
        <v>622.29169999999999</v>
      </c>
      <c r="D4517" s="2">
        <f>HYPERLINK("http://mcb-m6.bioreg.kyushu-u.ac.jp/M3/20110418/F50988/1737/1", 67.79)</f>
        <v>67.790000000000006</v>
      </c>
      <c r="E4517" s="2">
        <v>42.7</v>
      </c>
      <c r="F4517" s="2">
        <v>2</v>
      </c>
      <c r="G4517" s="2" t="s">
        <v>12</v>
      </c>
    </row>
    <row r="4518" spans="1:9" x14ac:dyDescent="0.2">
      <c r="A4518" s="2" t="s">
        <v>3250</v>
      </c>
      <c r="B4518" s="2" t="s">
        <v>467</v>
      </c>
      <c r="C4518" s="2">
        <v>1382.6079999999999</v>
      </c>
      <c r="D4518" s="2">
        <f>HYPERLINK("http://mcb-m6.bioreg.kyushu-u.ac.jp/M3/20110418/F50988/1906/1", 68.83)</f>
        <v>68.83</v>
      </c>
      <c r="E4518" s="2">
        <v>50.68</v>
      </c>
      <c r="F4518" s="2">
        <v>1</v>
      </c>
      <c r="G4518" s="2" t="s">
        <v>12</v>
      </c>
    </row>
    <row r="4519" spans="1:9" x14ac:dyDescent="0.2">
      <c r="A4519" s="2" t="s">
        <v>3250</v>
      </c>
      <c r="B4519" s="2" t="s">
        <v>102</v>
      </c>
      <c r="C4519" s="2">
        <v>608.67319999999995</v>
      </c>
      <c r="D4519" s="2">
        <f>HYPERLINK("http://mcb-m6.bioreg.kyushu-u.ac.jp/M3/20110418/F50989/1705/1", 69.13)</f>
        <v>69.13</v>
      </c>
      <c r="E4519" s="2">
        <v>54.22</v>
      </c>
      <c r="F4519" s="2">
        <v>2</v>
      </c>
      <c r="G4519" s="2" t="s">
        <v>12</v>
      </c>
    </row>
    <row r="4520" spans="1:9" x14ac:dyDescent="0.2">
      <c r="A4520" s="2" t="s">
        <v>3250</v>
      </c>
      <c r="B4520" s="2" t="s">
        <v>311</v>
      </c>
      <c r="C4520" s="2">
        <v>598.65260000000001</v>
      </c>
      <c r="D4520" s="2">
        <f>HYPERLINK("http://mcb-m6.bioreg.kyushu-u.ac.jp/M3/20110418/F50986/1659/1", 69.44)</f>
        <v>69.44</v>
      </c>
      <c r="E4520" s="2">
        <v>48.92</v>
      </c>
      <c r="F4520" s="2">
        <v>2</v>
      </c>
      <c r="G4520" s="2" t="s">
        <v>12</v>
      </c>
    </row>
    <row r="4521" spans="1:9" x14ac:dyDescent="0.2">
      <c r="A4521" s="2" t="s">
        <v>3250</v>
      </c>
      <c r="B4521" s="2" t="s">
        <v>1065</v>
      </c>
      <c r="C4521" s="2">
        <v>716.97220000000004</v>
      </c>
      <c r="D4521" s="2">
        <f>HYPERLINK("http://mcb-m6.bioreg.kyushu-u.ac.jp/M3/20110418/F50980/2012/1", 70.21)</f>
        <v>70.209999999999994</v>
      </c>
      <c r="E4521" s="2">
        <v>56.34</v>
      </c>
      <c r="F4521" s="2">
        <v>2</v>
      </c>
      <c r="G4521" s="2" t="s">
        <v>12</v>
      </c>
      <c r="I4521" s="2" t="s">
        <v>4892</v>
      </c>
    </row>
    <row r="4522" spans="1:9" x14ac:dyDescent="0.2">
      <c r="A4522" s="2" t="s">
        <v>3250</v>
      </c>
      <c r="B4522" s="2" t="s">
        <v>365</v>
      </c>
      <c r="C4522" s="2">
        <v>849.38570000000004</v>
      </c>
      <c r="D4522" s="2">
        <f>HYPERLINK("http://mcb-m6.bioreg.kyushu-u.ac.jp/M3/20110418/F51002/2300/1", 70.37)</f>
        <v>70.37</v>
      </c>
      <c r="E4522" s="2">
        <v>56.89</v>
      </c>
      <c r="F4522" s="2">
        <v>2</v>
      </c>
      <c r="G4522" s="2" t="s">
        <v>12</v>
      </c>
    </row>
    <row r="4523" spans="1:9" x14ac:dyDescent="0.2">
      <c r="A4523" s="2" t="s">
        <v>3250</v>
      </c>
      <c r="B4523" s="2" t="s">
        <v>102</v>
      </c>
      <c r="C4523" s="2">
        <v>608.08010000000002</v>
      </c>
      <c r="D4523" s="2">
        <f>HYPERLINK("http://mcb-m6.bioreg.kyushu-u.ac.jp/M3/20110418/F51001/1596/1", 70.85)</f>
        <v>70.849999999999994</v>
      </c>
      <c r="E4523" s="2">
        <v>54.8</v>
      </c>
      <c r="F4523" s="2">
        <v>2</v>
      </c>
      <c r="G4523" s="2" t="s">
        <v>12</v>
      </c>
    </row>
    <row r="4524" spans="1:9" x14ac:dyDescent="0.2">
      <c r="A4524" s="2" t="s">
        <v>3250</v>
      </c>
      <c r="B4524" s="2" t="s">
        <v>102</v>
      </c>
      <c r="C4524" s="2">
        <v>616.18910000000005</v>
      </c>
      <c r="D4524" s="2">
        <f>HYPERLINK("http://mcb-m6.bioreg.kyushu-u.ac.jp/M3/20110418/F50988/1719/1", 71.8)</f>
        <v>71.8</v>
      </c>
      <c r="E4524" s="2">
        <v>54.41</v>
      </c>
      <c r="F4524" s="2">
        <v>2</v>
      </c>
      <c r="G4524" s="2" t="s">
        <v>12</v>
      </c>
      <c r="H4524" s="2" t="s">
        <v>4900</v>
      </c>
    </row>
    <row r="4525" spans="1:9" x14ac:dyDescent="0.2">
      <c r="A4525" s="2" t="s">
        <v>3250</v>
      </c>
      <c r="B4525" s="2" t="s">
        <v>467</v>
      </c>
      <c r="C4525" s="2">
        <v>1382.4280000000001</v>
      </c>
      <c r="D4525" s="2">
        <f>HYPERLINK("http://mcb-m6.bioreg.kyushu-u.ac.jp/M3/20110418/F50989/1883/1", 71.99)</f>
        <v>71.989999999999995</v>
      </c>
      <c r="E4525" s="2">
        <v>58.8</v>
      </c>
      <c r="F4525" s="2">
        <v>1</v>
      </c>
      <c r="G4525" s="2" t="s">
        <v>12</v>
      </c>
    </row>
    <row r="4526" spans="1:9" x14ac:dyDescent="0.2">
      <c r="A4526" s="2" t="s">
        <v>3250</v>
      </c>
      <c r="B4526" s="2" t="s">
        <v>1065</v>
      </c>
      <c r="C4526" s="2">
        <v>717.29819999999995</v>
      </c>
      <c r="D4526" s="2">
        <f>HYPERLINK("http://mcb-m6.bioreg.kyushu-u.ac.jp/M3/20110418/F51001/1930/1", 72.12)</f>
        <v>72.12</v>
      </c>
      <c r="E4526" s="2">
        <v>59.59</v>
      </c>
      <c r="F4526" s="2">
        <v>2</v>
      </c>
      <c r="G4526" s="2" t="s">
        <v>12</v>
      </c>
      <c r="I4526" s="2" t="s">
        <v>4892</v>
      </c>
    </row>
    <row r="4527" spans="1:9" x14ac:dyDescent="0.2">
      <c r="A4527" s="2" t="s">
        <v>3250</v>
      </c>
      <c r="B4527" s="2" t="s">
        <v>1065</v>
      </c>
      <c r="C4527" s="2">
        <v>716.72919999999999</v>
      </c>
      <c r="D4527" s="2">
        <f>HYPERLINK("http://mcb-m6.bioreg.kyushu-u.ac.jp/M3/20110418/F50989/1941/1", 72.27)</f>
        <v>72.27</v>
      </c>
      <c r="E4527" s="2">
        <v>53.92</v>
      </c>
      <c r="F4527" s="2">
        <v>2</v>
      </c>
      <c r="G4527" s="2" t="s">
        <v>12</v>
      </c>
      <c r="I4527" s="2" t="s">
        <v>4892</v>
      </c>
    </row>
    <row r="4528" spans="1:9" x14ac:dyDescent="0.2">
      <c r="A4528" s="2" t="s">
        <v>3250</v>
      </c>
      <c r="B4528" s="2" t="s">
        <v>311</v>
      </c>
      <c r="C4528" s="2">
        <v>606.63210000000004</v>
      </c>
      <c r="D4528" s="2">
        <f>HYPERLINK("http://mcb-m6.bioreg.kyushu-u.ac.jp/M3/20110418/F50986/1679/1", 72.73)</f>
        <v>72.73</v>
      </c>
      <c r="E4528" s="2">
        <v>48.69</v>
      </c>
      <c r="F4528" s="2">
        <v>2</v>
      </c>
      <c r="G4528" s="2" t="s">
        <v>12</v>
      </c>
      <c r="H4528" s="2" t="s">
        <v>4908</v>
      </c>
    </row>
    <row r="4529" spans="1:9" x14ac:dyDescent="0.2">
      <c r="A4529" s="2" t="s">
        <v>3250</v>
      </c>
      <c r="B4529" s="2" t="s">
        <v>1065</v>
      </c>
      <c r="C4529" s="2">
        <v>717.24770000000001</v>
      </c>
      <c r="D4529" s="2">
        <f>HYPERLINK("http://mcb-m6.bioreg.kyushu-u.ac.jp/M3/20110418/F50988/1993/1", 74.33)</f>
        <v>74.33</v>
      </c>
      <c r="E4529" s="2">
        <v>60.49</v>
      </c>
      <c r="F4529" s="2">
        <v>2</v>
      </c>
      <c r="G4529" s="2" t="s">
        <v>12</v>
      </c>
      <c r="I4529" s="2" t="s">
        <v>4892</v>
      </c>
    </row>
    <row r="4530" spans="1:9" x14ac:dyDescent="0.2">
      <c r="A4530" s="2" t="s">
        <v>3250</v>
      </c>
      <c r="B4530" s="2" t="s">
        <v>772</v>
      </c>
      <c r="C4530" s="2">
        <v>596.19119999999998</v>
      </c>
      <c r="D4530" s="2">
        <f>HYPERLINK("http://mcb-m6.bioreg.kyushu-u.ac.jp/M3/20110418/F51001/1567/1", 74.47)</f>
        <v>74.47</v>
      </c>
      <c r="E4530" s="2">
        <v>48.09</v>
      </c>
      <c r="F4530" s="2">
        <v>2</v>
      </c>
      <c r="G4530" s="2" t="s">
        <v>12</v>
      </c>
    </row>
    <row r="4531" spans="1:9" x14ac:dyDescent="0.2">
      <c r="A4531" s="2" t="s">
        <v>3250</v>
      </c>
      <c r="B4531" s="2" t="s">
        <v>365</v>
      </c>
      <c r="C4531" s="2">
        <v>849.24620000000004</v>
      </c>
      <c r="D4531" s="2">
        <f>HYPERLINK("http://mcb-m6.bioreg.kyushu-u.ac.jp/M3/20110418/F51001/2328/1", 74.55)</f>
        <v>74.55</v>
      </c>
      <c r="E4531" s="2">
        <v>59.51</v>
      </c>
      <c r="F4531" s="2">
        <v>2</v>
      </c>
      <c r="G4531" s="2" t="s">
        <v>12</v>
      </c>
    </row>
    <row r="4532" spans="1:9" x14ac:dyDescent="0.2">
      <c r="A4532" s="2" t="s">
        <v>3250</v>
      </c>
      <c r="B4532" s="2" t="s">
        <v>356</v>
      </c>
      <c r="C4532" s="2">
        <v>816.35419999999999</v>
      </c>
      <c r="D4532" s="2">
        <f>HYPERLINK("http://mcb-m6.bioreg.kyushu-u.ac.jp/M3/20110418/F50988/2384/1", 74.88)</f>
        <v>74.88</v>
      </c>
      <c r="E4532" s="2">
        <v>54.76</v>
      </c>
      <c r="F4532" s="2">
        <v>2</v>
      </c>
      <c r="G4532" s="2" t="s">
        <v>12</v>
      </c>
    </row>
    <row r="4533" spans="1:9" x14ac:dyDescent="0.2">
      <c r="A4533" s="2" t="s">
        <v>3250</v>
      </c>
      <c r="B4533" s="2" t="s">
        <v>311</v>
      </c>
      <c r="C4533" s="2">
        <v>598.69870000000003</v>
      </c>
      <c r="D4533" s="2">
        <f>HYPERLINK("http://mcb-m6.bioreg.kyushu-u.ac.jp/M3/20110418/F50989/1690/1", 75.37)</f>
        <v>75.37</v>
      </c>
      <c r="E4533" s="2">
        <v>54.96</v>
      </c>
      <c r="F4533" s="2">
        <v>2</v>
      </c>
      <c r="G4533" s="2" t="s">
        <v>12</v>
      </c>
    </row>
    <row r="4534" spans="1:9" x14ac:dyDescent="0.2">
      <c r="A4534" s="2" t="s">
        <v>3250</v>
      </c>
      <c r="B4534" s="2" t="s">
        <v>365</v>
      </c>
      <c r="C4534" s="2">
        <v>848.76369999999997</v>
      </c>
      <c r="D4534" s="2">
        <f>HYPERLINK("http://mcb-m6.bioreg.kyushu-u.ac.jp/M3/20110418/F50986/2552/1", 75.42)</f>
        <v>75.42</v>
      </c>
      <c r="E4534" s="2">
        <v>51.43</v>
      </c>
      <c r="F4534" s="2">
        <v>2</v>
      </c>
      <c r="G4534" s="2" t="s">
        <v>12</v>
      </c>
    </row>
    <row r="4535" spans="1:9" x14ac:dyDescent="0.2">
      <c r="A4535" s="2" t="s">
        <v>3250</v>
      </c>
      <c r="B4535" s="2" t="s">
        <v>1255</v>
      </c>
      <c r="C4535" s="2">
        <v>1273.9580000000001</v>
      </c>
      <c r="D4535" s="2">
        <f>HYPERLINK("http://mcb-m6.bioreg.kyushu-u.ac.jp/M3/20110418/F51002/2760/1", 75.83)</f>
        <v>75.83</v>
      </c>
      <c r="E4535" s="2">
        <v>69.7</v>
      </c>
      <c r="F4535" s="2">
        <v>2</v>
      </c>
      <c r="G4535" s="2" t="s">
        <v>12</v>
      </c>
      <c r="I4535" s="2" t="s">
        <v>4906</v>
      </c>
    </row>
    <row r="4536" spans="1:9" x14ac:dyDescent="0.2">
      <c r="A4536" s="2" t="s">
        <v>3250</v>
      </c>
      <c r="B4536" s="2" t="s">
        <v>1065</v>
      </c>
      <c r="C4536" s="2">
        <v>716.57259999999997</v>
      </c>
      <c r="D4536" s="2">
        <f>HYPERLINK("http://mcb-m6.bioreg.kyushu-u.ac.jp/M3/20110418/F50988/1984/1", 75.98)</f>
        <v>75.98</v>
      </c>
      <c r="E4536" s="2">
        <v>60.45</v>
      </c>
      <c r="F4536" s="2">
        <v>2</v>
      </c>
      <c r="G4536" s="2" t="s">
        <v>12</v>
      </c>
      <c r="I4536" s="2" t="s">
        <v>4892</v>
      </c>
    </row>
    <row r="4537" spans="1:9" x14ac:dyDescent="0.2">
      <c r="A4537" s="2" t="s">
        <v>3250</v>
      </c>
      <c r="B4537" s="2" t="s">
        <v>90</v>
      </c>
      <c r="C4537" s="2">
        <v>716.92169999999999</v>
      </c>
      <c r="D4537" s="2">
        <f>HYPERLINK("http://mcb-m6.bioreg.kyushu-u.ac.jp/M3/20110418/F51001/1928/1", 76.08)</f>
        <v>76.08</v>
      </c>
      <c r="E4537" s="2">
        <v>58.77</v>
      </c>
      <c r="F4537" s="2">
        <v>2</v>
      </c>
      <c r="G4537" s="2" t="s">
        <v>12</v>
      </c>
    </row>
    <row r="4538" spans="1:9" x14ac:dyDescent="0.2">
      <c r="A4538" s="2" t="s">
        <v>3250</v>
      </c>
      <c r="B4538" s="2" t="s">
        <v>102</v>
      </c>
      <c r="C4538" s="2">
        <v>608.11519999999996</v>
      </c>
      <c r="D4538" s="2">
        <f>HYPERLINK("http://mcb-m6.bioreg.kyushu-u.ac.jp/M3/20110418/F51002/1648/1", 76.64)</f>
        <v>76.64</v>
      </c>
      <c r="E4538" s="2">
        <v>59.75</v>
      </c>
      <c r="F4538" s="2">
        <v>2</v>
      </c>
      <c r="G4538" s="2" t="s">
        <v>12</v>
      </c>
    </row>
    <row r="4539" spans="1:9" x14ac:dyDescent="0.2">
      <c r="A4539" s="2" t="s">
        <v>3250</v>
      </c>
      <c r="B4539" s="2" t="s">
        <v>365</v>
      </c>
      <c r="C4539" s="2">
        <v>849.04110000000003</v>
      </c>
      <c r="D4539" s="2">
        <f>HYPERLINK("http://mcb-m6.bioreg.kyushu-u.ac.jp/M3/20110418/F50985/2434/1", 76.73)</f>
        <v>76.73</v>
      </c>
      <c r="E4539" s="2">
        <v>57.09</v>
      </c>
      <c r="F4539" s="2">
        <v>2</v>
      </c>
      <c r="G4539" s="2" t="s">
        <v>12</v>
      </c>
    </row>
    <row r="4540" spans="1:9" x14ac:dyDescent="0.2">
      <c r="A4540" s="2" t="s">
        <v>3250</v>
      </c>
      <c r="B4540" s="2" t="s">
        <v>772</v>
      </c>
      <c r="C4540" s="2">
        <v>596.24659999999994</v>
      </c>
      <c r="D4540" s="2">
        <f>HYPERLINK("http://mcb-m6.bioreg.kyushu-u.ac.jp/M3/20110418/F51001/1568/1", 77.91)</f>
        <v>77.91</v>
      </c>
      <c r="E4540" s="2">
        <v>48.63</v>
      </c>
      <c r="F4540" s="2">
        <v>2</v>
      </c>
      <c r="G4540" s="2" t="s">
        <v>12</v>
      </c>
    </row>
    <row r="4541" spans="1:9" x14ac:dyDescent="0.2">
      <c r="A4541" s="2" t="s">
        <v>3250</v>
      </c>
      <c r="B4541" s="2" t="s">
        <v>90</v>
      </c>
      <c r="C4541" s="2">
        <v>716.83669999999995</v>
      </c>
      <c r="D4541" s="2">
        <f>HYPERLINK("http://mcb-m6.bioreg.kyushu-u.ac.jp/M3/20110418/F51002/1981/1", 78.24)</f>
        <v>78.239999999999995</v>
      </c>
      <c r="E4541" s="2">
        <v>61.72</v>
      </c>
      <c r="F4541" s="2">
        <v>2</v>
      </c>
      <c r="G4541" s="2" t="s">
        <v>12</v>
      </c>
    </row>
    <row r="4542" spans="1:9" x14ac:dyDescent="0.2">
      <c r="A4542" s="2" t="s">
        <v>3250</v>
      </c>
      <c r="B4542" s="2" t="s">
        <v>834</v>
      </c>
      <c r="C4542" s="2">
        <v>621.67859999999996</v>
      </c>
      <c r="D4542" s="2">
        <f>HYPERLINK("http://mcb-m6.bioreg.kyushu-u.ac.jp/M3/20110418/F50989/1737/1", 78.72)</f>
        <v>78.72</v>
      </c>
      <c r="E4542" s="2">
        <v>60.49</v>
      </c>
      <c r="F4542" s="2">
        <v>2</v>
      </c>
      <c r="G4542" s="2" t="s">
        <v>12</v>
      </c>
    </row>
    <row r="4543" spans="1:9" x14ac:dyDescent="0.2">
      <c r="A4543" s="2" t="s">
        <v>3250</v>
      </c>
      <c r="B4543" s="2" t="s">
        <v>467</v>
      </c>
      <c r="C4543" s="2">
        <v>692.18960000000004</v>
      </c>
      <c r="D4543" s="2">
        <f>HYPERLINK("http://mcb-m6.bioreg.kyushu-u.ac.jp/M3/20110418/F50988/1913/1", 78.78)</f>
        <v>78.78</v>
      </c>
      <c r="E4543" s="2">
        <v>51.35</v>
      </c>
      <c r="F4543" s="2">
        <v>2</v>
      </c>
      <c r="G4543" s="2" t="s">
        <v>12</v>
      </c>
    </row>
    <row r="4544" spans="1:9" x14ac:dyDescent="0.2">
      <c r="A4544" s="2" t="s">
        <v>3250</v>
      </c>
      <c r="B4544" s="2" t="s">
        <v>772</v>
      </c>
      <c r="C4544" s="2">
        <v>596.21220000000005</v>
      </c>
      <c r="D4544" s="2">
        <f>HYPERLINK("http://mcb-m6.bioreg.kyushu-u.ac.jp/M3/20110418/F50980/1831/1", 80.94)</f>
        <v>80.94</v>
      </c>
      <c r="E4544" s="2">
        <v>57.63</v>
      </c>
      <c r="F4544" s="2">
        <v>2</v>
      </c>
      <c r="G4544" s="2" t="s">
        <v>12</v>
      </c>
    </row>
    <row r="4545" spans="1:9" x14ac:dyDescent="0.2">
      <c r="A4545" s="2" t="s">
        <v>3250</v>
      </c>
      <c r="B4545" s="2" t="s">
        <v>481</v>
      </c>
      <c r="C4545" s="2">
        <v>709.29420000000005</v>
      </c>
      <c r="D4545" s="2">
        <f>HYPERLINK("http://mcb-m6.bioreg.kyushu-u.ac.jp/M3/20110418/F50997/1849/1", 81.05)</f>
        <v>81.05</v>
      </c>
      <c r="E4545" s="2">
        <v>61.61</v>
      </c>
      <c r="F4545" s="2">
        <v>2</v>
      </c>
      <c r="G4545" s="2" t="s">
        <v>12</v>
      </c>
      <c r="I4545" s="2" t="s">
        <v>4898</v>
      </c>
    </row>
    <row r="4546" spans="1:9" x14ac:dyDescent="0.2">
      <c r="A4546" s="2" t="s">
        <v>3250</v>
      </c>
      <c r="B4546" s="2" t="s">
        <v>772</v>
      </c>
      <c r="C4546" s="2">
        <v>596.36609999999996</v>
      </c>
      <c r="D4546" s="2">
        <f>HYPERLINK("http://mcb-m6.bioreg.kyushu-u.ac.jp/M3/20110418/F50986/1655/1", 81.29)</f>
        <v>81.290000000000006</v>
      </c>
      <c r="E4546" s="2">
        <v>54.81</v>
      </c>
      <c r="F4546" s="2">
        <v>2</v>
      </c>
      <c r="G4546" s="2" t="s">
        <v>12</v>
      </c>
    </row>
    <row r="4547" spans="1:9" x14ac:dyDescent="0.2">
      <c r="A4547" s="2" t="s">
        <v>3250</v>
      </c>
      <c r="B4547" s="2" t="s">
        <v>467</v>
      </c>
      <c r="C4547" s="2">
        <v>691.92110000000002</v>
      </c>
      <c r="D4547" s="2">
        <f>HYPERLINK("http://mcb-m6.bioreg.kyushu-u.ac.jp/M3/20110418/F50986/1882/1", 81.41)</f>
        <v>81.41</v>
      </c>
      <c r="E4547" s="2">
        <v>53.92</v>
      </c>
      <c r="F4547" s="2">
        <v>2</v>
      </c>
      <c r="G4547" s="2" t="s">
        <v>12</v>
      </c>
    </row>
    <row r="4548" spans="1:9" x14ac:dyDescent="0.2">
      <c r="A4548" s="2" t="s">
        <v>3250</v>
      </c>
      <c r="B4548" s="2" t="s">
        <v>1521</v>
      </c>
      <c r="C4548" s="2">
        <v>988.92219999999998</v>
      </c>
      <c r="D4548" s="2">
        <f>HYPERLINK("http://mcb-m6.bioreg.kyushu-u.ac.jp/M3/20110418/F50989/2621/1", 82.46)</f>
        <v>82.46</v>
      </c>
      <c r="E4548" s="2">
        <v>70.02</v>
      </c>
      <c r="F4548" s="2">
        <v>2</v>
      </c>
      <c r="G4548" s="2" t="s">
        <v>12</v>
      </c>
    </row>
    <row r="4549" spans="1:9" x14ac:dyDescent="0.2">
      <c r="A4549" s="2" t="s">
        <v>3250</v>
      </c>
      <c r="B4549" s="2" t="s">
        <v>834</v>
      </c>
      <c r="C4549" s="2">
        <v>621.69619999999998</v>
      </c>
      <c r="D4549" s="2">
        <f>HYPERLINK("http://mcb-m6.bioreg.kyushu-u.ac.jp/M3/20110418/F51001/1640/1", 83.11)</f>
        <v>83.11</v>
      </c>
      <c r="E4549" s="2">
        <v>59.52</v>
      </c>
      <c r="F4549" s="2">
        <v>2</v>
      </c>
      <c r="G4549" s="2" t="s">
        <v>12</v>
      </c>
    </row>
    <row r="4550" spans="1:9" x14ac:dyDescent="0.2">
      <c r="A4550" s="2" t="s">
        <v>3250</v>
      </c>
      <c r="B4550" s="2" t="s">
        <v>834</v>
      </c>
      <c r="C4550" s="2">
        <v>621.79060000000004</v>
      </c>
      <c r="D4550" s="2">
        <f>HYPERLINK("http://mcb-m6.bioreg.kyushu-u.ac.jp/M3/20110418/F51002/1699/1", 83.23)</f>
        <v>83.23</v>
      </c>
      <c r="E4550" s="2">
        <v>65.06</v>
      </c>
      <c r="F4550" s="2">
        <v>2</v>
      </c>
      <c r="G4550" s="2" t="s">
        <v>12</v>
      </c>
    </row>
    <row r="4551" spans="1:9" x14ac:dyDescent="0.2">
      <c r="A4551" s="2" t="s">
        <v>3250</v>
      </c>
      <c r="B4551" s="2" t="s">
        <v>772</v>
      </c>
      <c r="C4551" s="2">
        <v>596.16219999999998</v>
      </c>
      <c r="D4551" s="2">
        <f>HYPERLINK("http://mcb-m6.bioreg.kyushu-u.ac.jp/M3/20110418/F51002/1623/1", 83.69)</f>
        <v>83.69</v>
      </c>
      <c r="E4551" s="2">
        <v>56.87</v>
      </c>
      <c r="F4551" s="2">
        <v>2</v>
      </c>
      <c r="G4551" s="2" t="s">
        <v>12</v>
      </c>
    </row>
    <row r="4552" spans="1:9" x14ac:dyDescent="0.2">
      <c r="A4552" s="2" t="s">
        <v>3250</v>
      </c>
      <c r="B4552" s="2" t="s">
        <v>1065</v>
      </c>
      <c r="C4552" s="2">
        <v>716.72919999999999</v>
      </c>
      <c r="D4552" s="2">
        <f>HYPERLINK("http://mcb-m6.bioreg.kyushu-u.ac.jp/M3/20110418/F50988/1986/1", 83.92)</f>
        <v>83.92</v>
      </c>
      <c r="E4552" s="2">
        <v>73.900000000000006</v>
      </c>
      <c r="F4552" s="2">
        <v>2</v>
      </c>
      <c r="G4552" s="2" t="s">
        <v>12</v>
      </c>
      <c r="I4552" s="2" t="s">
        <v>4892</v>
      </c>
    </row>
    <row r="4553" spans="1:9" x14ac:dyDescent="0.2">
      <c r="A4553" s="2" t="s">
        <v>3250</v>
      </c>
      <c r="B4553" s="2" t="s">
        <v>1255</v>
      </c>
      <c r="C4553" s="2">
        <v>1273.855</v>
      </c>
      <c r="D4553" s="2">
        <f>HYPERLINK("http://mcb-m6.bioreg.kyushu-u.ac.jp/M3/20110418/F50989/2970/1", 84.14)</f>
        <v>84.14</v>
      </c>
      <c r="E4553" s="2">
        <v>73.569999999999993</v>
      </c>
      <c r="F4553" s="2">
        <v>2</v>
      </c>
      <c r="G4553" s="2" t="s">
        <v>12</v>
      </c>
      <c r="I4553" s="2" t="s">
        <v>4906</v>
      </c>
    </row>
    <row r="4554" spans="1:9" x14ac:dyDescent="0.2">
      <c r="A4554" s="2" t="s">
        <v>3250</v>
      </c>
      <c r="B4554" s="2" t="s">
        <v>1065</v>
      </c>
      <c r="C4554" s="2">
        <v>716.79269999999997</v>
      </c>
      <c r="D4554" s="2">
        <f>HYPERLINK("http://mcb-m6.bioreg.kyushu-u.ac.jp/M3/20110418/F51001/1927/1", 84.19)</f>
        <v>84.19</v>
      </c>
      <c r="E4554" s="2">
        <v>72.55</v>
      </c>
      <c r="F4554" s="2">
        <v>2</v>
      </c>
      <c r="G4554" s="2" t="s">
        <v>12</v>
      </c>
      <c r="I4554" s="2" t="s">
        <v>4892</v>
      </c>
    </row>
    <row r="4555" spans="1:9" x14ac:dyDescent="0.2">
      <c r="A4555" s="2" t="s">
        <v>3250</v>
      </c>
      <c r="B4555" s="2" t="s">
        <v>467</v>
      </c>
      <c r="C4555" s="2">
        <v>692.18960000000004</v>
      </c>
      <c r="D4555" s="2">
        <f>HYPERLINK("http://mcb-m6.bioreg.kyushu-u.ac.jp/M3/20110418/F50989/1885/1", 84.61)</f>
        <v>84.61</v>
      </c>
      <c r="E4555" s="2">
        <v>56.88</v>
      </c>
      <c r="F4555" s="2">
        <v>2</v>
      </c>
      <c r="G4555" s="2" t="s">
        <v>12</v>
      </c>
    </row>
    <row r="4556" spans="1:9" x14ac:dyDescent="0.2">
      <c r="A4556" s="2" t="s">
        <v>3250</v>
      </c>
      <c r="B4556" s="2" t="s">
        <v>481</v>
      </c>
      <c r="C4556" s="2">
        <v>709.25019999999995</v>
      </c>
      <c r="D4556" s="2">
        <f>HYPERLINK("http://mcb-m6.bioreg.kyushu-u.ac.jp/M3/20110418/F50986/1926/1", 86.6)</f>
        <v>86.6</v>
      </c>
      <c r="E4556" s="2">
        <v>66.23</v>
      </c>
      <c r="F4556" s="2">
        <v>2</v>
      </c>
      <c r="G4556" s="2" t="s">
        <v>12</v>
      </c>
      <c r="I4556" s="2" t="s">
        <v>4898</v>
      </c>
    </row>
    <row r="4557" spans="1:9" x14ac:dyDescent="0.2">
      <c r="A4557" s="2" t="s">
        <v>3250</v>
      </c>
      <c r="B4557" s="2" t="s">
        <v>772</v>
      </c>
      <c r="C4557" s="2">
        <v>595.5566</v>
      </c>
      <c r="D4557" s="2">
        <f>HYPERLINK("http://mcb-m6.bioreg.kyushu-u.ac.jp/M3/20110418/F50989/1679/1", 86.85)</f>
        <v>86.85</v>
      </c>
      <c r="E4557" s="2">
        <v>51.08</v>
      </c>
      <c r="F4557" s="2">
        <v>2</v>
      </c>
      <c r="G4557" s="2" t="s">
        <v>12</v>
      </c>
    </row>
    <row r="4558" spans="1:9" x14ac:dyDescent="0.2">
      <c r="A4558" s="2" t="s">
        <v>3250</v>
      </c>
      <c r="B4558" s="2" t="s">
        <v>481</v>
      </c>
      <c r="C4558" s="2">
        <v>709.23609999999996</v>
      </c>
      <c r="D4558" s="2">
        <f>HYPERLINK("http://mcb-m6.bioreg.kyushu-u.ac.jp/M3/20110418/F50988/1957/1", 86.85)</f>
        <v>86.85</v>
      </c>
      <c r="E4558" s="2">
        <v>66.39</v>
      </c>
      <c r="F4558" s="2">
        <v>2</v>
      </c>
      <c r="G4558" s="2" t="s">
        <v>12</v>
      </c>
      <c r="I4558" s="2" t="s">
        <v>4898</v>
      </c>
    </row>
    <row r="4559" spans="1:9" x14ac:dyDescent="0.2">
      <c r="A4559" s="2" t="s">
        <v>3250</v>
      </c>
      <c r="B4559" s="2" t="s">
        <v>365</v>
      </c>
      <c r="C4559" s="2">
        <v>848.73569999999995</v>
      </c>
      <c r="D4559" s="2">
        <f>HYPERLINK("http://mcb-m6.bioreg.kyushu-u.ac.jp/M3/20110418/F51002/2298/1", 87.82)</f>
        <v>87.82</v>
      </c>
      <c r="E4559" s="2">
        <v>68.58</v>
      </c>
      <c r="F4559" s="2">
        <v>2</v>
      </c>
      <c r="G4559" s="2" t="s">
        <v>12</v>
      </c>
    </row>
    <row r="4560" spans="1:9" x14ac:dyDescent="0.2">
      <c r="A4560" s="2" t="s">
        <v>3250</v>
      </c>
      <c r="B4560" s="2" t="s">
        <v>481</v>
      </c>
      <c r="C4560" s="2">
        <v>709.24720000000002</v>
      </c>
      <c r="D4560" s="2">
        <f>HYPERLINK("http://mcb-m6.bioreg.kyushu-u.ac.jp/M3/20110418/F50985/2067/1", 88.81)</f>
        <v>88.81</v>
      </c>
      <c r="E4560" s="2">
        <v>64.14</v>
      </c>
      <c r="F4560" s="2">
        <v>2</v>
      </c>
      <c r="G4560" s="2" t="s">
        <v>12</v>
      </c>
      <c r="I4560" s="2" t="s">
        <v>4898</v>
      </c>
    </row>
    <row r="4561" spans="1:9" x14ac:dyDescent="0.2">
      <c r="A4561" s="2" t="s">
        <v>3250</v>
      </c>
      <c r="B4561" s="2" t="s">
        <v>365</v>
      </c>
      <c r="C4561" s="2">
        <v>848.82870000000003</v>
      </c>
      <c r="D4561" s="2">
        <f>HYPERLINK("http://mcb-m6.bioreg.kyushu-u.ac.jp/M3/20110418/F50987/2346/1", 88.96)</f>
        <v>88.96</v>
      </c>
      <c r="E4561" s="2">
        <v>62.99</v>
      </c>
      <c r="F4561" s="2">
        <v>2</v>
      </c>
      <c r="G4561" s="2" t="s">
        <v>12</v>
      </c>
    </row>
    <row r="4562" spans="1:9" x14ac:dyDescent="0.2">
      <c r="A4562" s="2" t="s">
        <v>3250</v>
      </c>
      <c r="B4562" s="2" t="s">
        <v>481</v>
      </c>
      <c r="C4562" s="2">
        <v>709.29420000000005</v>
      </c>
      <c r="D4562" s="2">
        <f>HYPERLINK("http://mcb-m6.bioreg.kyushu-u.ac.jp/M3/20110418/F50982/2069/1", 89.01)</f>
        <v>89.01</v>
      </c>
      <c r="E4562" s="2">
        <v>68.7</v>
      </c>
      <c r="F4562" s="2">
        <v>2</v>
      </c>
      <c r="G4562" s="2" t="s">
        <v>12</v>
      </c>
      <c r="I4562" s="2" t="s">
        <v>4898</v>
      </c>
    </row>
    <row r="4563" spans="1:9" x14ac:dyDescent="0.2">
      <c r="A4563" s="2" t="s">
        <v>3250</v>
      </c>
      <c r="B4563" s="2" t="s">
        <v>481</v>
      </c>
      <c r="C4563" s="2">
        <v>709.36320000000001</v>
      </c>
      <c r="D4563" s="2">
        <f>HYPERLINK("http://mcb-m6.bioreg.kyushu-u.ac.jp/M3/20110418/F50980/1994/1", 89.74)</f>
        <v>89.74</v>
      </c>
      <c r="E4563" s="2">
        <v>69.09</v>
      </c>
      <c r="F4563" s="2">
        <v>2</v>
      </c>
      <c r="G4563" s="2" t="s">
        <v>12</v>
      </c>
      <c r="I4563" s="2" t="s">
        <v>4898</v>
      </c>
    </row>
    <row r="4564" spans="1:9" x14ac:dyDescent="0.2">
      <c r="A4564" s="2" t="s">
        <v>3250</v>
      </c>
      <c r="B4564" s="2" t="s">
        <v>481</v>
      </c>
      <c r="C4564" s="2">
        <v>709.15809999999999</v>
      </c>
      <c r="D4564" s="2">
        <f>HYPERLINK("http://mcb-m6.bioreg.kyushu-u.ac.jp/M3/20110418/F50987/1977/1", 91.1)</f>
        <v>91.1</v>
      </c>
      <c r="E4564" s="2">
        <v>69.45</v>
      </c>
      <c r="F4564" s="2">
        <v>2</v>
      </c>
      <c r="G4564" s="2" t="s">
        <v>12</v>
      </c>
      <c r="I4564" s="2" t="s">
        <v>4898</v>
      </c>
    </row>
    <row r="4565" spans="1:9" x14ac:dyDescent="0.2">
      <c r="A4565" s="2" t="s">
        <v>3250</v>
      </c>
      <c r="B4565" s="2" t="s">
        <v>772</v>
      </c>
      <c r="C4565" s="2">
        <v>595.58420000000001</v>
      </c>
      <c r="D4565" s="2">
        <f>HYPERLINK("http://mcb-m6.bioreg.kyushu-u.ac.jp/M3/20110418/F50988/1665/1", 91.45)</f>
        <v>91.45</v>
      </c>
      <c r="E4565" s="2">
        <v>64.41</v>
      </c>
      <c r="F4565" s="2">
        <v>2</v>
      </c>
      <c r="G4565" s="2" t="s">
        <v>12</v>
      </c>
    </row>
    <row r="4566" spans="1:9" x14ac:dyDescent="0.2">
      <c r="A4566" s="2" t="s">
        <v>3250</v>
      </c>
      <c r="B4566" s="2" t="s">
        <v>365</v>
      </c>
      <c r="C4566" s="2">
        <v>849.4402</v>
      </c>
      <c r="D4566" s="2">
        <f>HYPERLINK("http://mcb-m6.bioreg.kyushu-u.ac.jp/M3/20110418/F50989/2350/1", 91.49)</f>
        <v>91.49</v>
      </c>
      <c r="E4566" s="2">
        <v>76.28</v>
      </c>
      <c r="F4566" s="2">
        <v>2</v>
      </c>
      <c r="G4566" s="2" t="s">
        <v>12</v>
      </c>
    </row>
    <row r="4567" spans="1:9" x14ac:dyDescent="0.2">
      <c r="A4567" s="2" t="s">
        <v>3250</v>
      </c>
      <c r="B4567" s="2" t="s">
        <v>467</v>
      </c>
      <c r="C4567" s="2">
        <v>691.6807</v>
      </c>
      <c r="D4567" s="2">
        <f>HYPERLINK("http://mcb-m6.bioreg.kyushu-u.ac.jp/M3/20110418/F50989/1882/1", 92.2)</f>
        <v>92.2</v>
      </c>
      <c r="E4567" s="2">
        <v>65.44</v>
      </c>
      <c r="F4567" s="2">
        <v>2</v>
      </c>
      <c r="G4567" s="2" t="s">
        <v>12</v>
      </c>
    </row>
    <row r="4568" spans="1:9" x14ac:dyDescent="0.2">
      <c r="A4568" s="2" t="s">
        <v>3250</v>
      </c>
      <c r="B4568" s="2" t="s">
        <v>467</v>
      </c>
      <c r="C4568" s="2">
        <v>691.57510000000002</v>
      </c>
      <c r="D4568" s="2">
        <f>HYPERLINK("http://mcb-m6.bioreg.kyushu-u.ac.jp/M3/20110418/F51001/1832/1", 94.39)</f>
        <v>94.39</v>
      </c>
      <c r="E4568" s="2">
        <v>61.42</v>
      </c>
      <c r="F4568" s="2">
        <v>2</v>
      </c>
      <c r="G4568" s="2" t="s">
        <v>12</v>
      </c>
    </row>
    <row r="4569" spans="1:9" x14ac:dyDescent="0.2">
      <c r="A4569" s="2" t="s">
        <v>3250</v>
      </c>
      <c r="B4569" s="2" t="s">
        <v>356</v>
      </c>
      <c r="C4569" s="2">
        <v>815.79269999999997</v>
      </c>
      <c r="D4569" s="2">
        <f>HYPERLINK("http://mcb-m6.bioreg.kyushu-u.ac.jp/M3/20110418/F51002/2250/1", 94.99)</f>
        <v>94.99</v>
      </c>
      <c r="E4569" s="2">
        <v>78.42</v>
      </c>
      <c r="F4569" s="2">
        <v>2</v>
      </c>
      <c r="G4569" s="2" t="s">
        <v>12</v>
      </c>
    </row>
    <row r="4570" spans="1:9" x14ac:dyDescent="0.2">
      <c r="A4570" s="2" t="s">
        <v>3250</v>
      </c>
      <c r="B4570" s="2" t="s">
        <v>356</v>
      </c>
      <c r="C4570" s="2">
        <v>816.23519999999996</v>
      </c>
      <c r="D4570" s="2">
        <f>HYPERLINK("http://mcb-m6.bioreg.kyushu-u.ac.jp/M3/20110418/F50983/2194/1", 95.61)</f>
        <v>95.61</v>
      </c>
      <c r="E4570" s="2">
        <v>76.819999999999993</v>
      </c>
      <c r="F4570" s="2">
        <v>2</v>
      </c>
      <c r="G4570" s="2" t="s">
        <v>12</v>
      </c>
    </row>
    <row r="4571" spans="1:9" x14ac:dyDescent="0.2">
      <c r="A4571" s="2" t="s">
        <v>3250</v>
      </c>
      <c r="B4571" s="2" t="s">
        <v>90</v>
      </c>
      <c r="C4571" s="2">
        <v>717.26009999999997</v>
      </c>
      <c r="D4571" s="2">
        <f>HYPERLINK("http://mcb-m6.bioreg.kyushu-u.ac.jp/M3/20110418/F50982/2089/1", 95.69)</f>
        <v>95.69</v>
      </c>
      <c r="E4571" s="2">
        <v>71.05</v>
      </c>
      <c r="F4571" s="2">
        <v>2</v>
      </c>
      <c r="G4571" s="2" t="s">
        <v>12</v>
      </c>
    </row>
    <row r="4572" spans="1:9" x14ac:dyDescent="0.2">
      <c r="A4572" s="2" t="s">
        <v>3250</v>
      </c>
      <c r="B4572" s="2" t="s">
        <v>561</v>
      </c>
      <c r="C4572" s="2">
        <v>662.20259999999996</v>
      </c>
      <c r="D4572" s="2">
        <f>HYPERLINK("http://mcb-m6.bioreg.kyushu-u.ac.jp/M3/20110418/F50989/1806/1", 95.84)</f>
        <v>95.84</v>
      </c>
      <c r="E4572" s="2">
        <v>76.34</v>
      </c>
      <c r="F4572" s="2">
        <v>2</v>
      </c>
      <c r="G4572" s="2" t="s">
        <v>12</v>
      </c>
      <c r="H4572" s="2" t="s">
        <v>4919</v>
      </c>
    </row>
    <row r="4573" spans="1:9" x14ac:dyDescent="0.2">
      <c r="A4573" s="2" t="s">
        <v>3250</v>
      </c>
      <c r="B4573" s="2" t="s">
        <v>561</v>
      </c>
      <c r="C4573" s="2">
        <v>662.13570000000004</v>
      </c>
      <c r="D4573" s="2">
        <f>HYPERLINK("http://mcb-m6.bioreg.kyushu-u.ac.jp/M3/20110418/F50988/1826/1", 96.05)</f>
        <v>96.05</v>
      </c>
      <c r="E4573" s="2">
        <v>76.239999999999995</v>
      </c>
      <c r="F4573" s="2">
        <v>2</v>
      </c>
      <c r="G4573" s="2" t="s">
        <v>12</v>
      </c>
      <c r="H4573" s="2" t="s">
        <v>4919</v>
      </c>
    </row>
    <row r="4574" spans="1:9" x14ac:dyDescent="0.2">
      <c r="A4574" s="2" t="s">
        <v>3250</v>
      </c>
      <c r="B4574" s="2" t="s">
        <v>772</v>
      </c>
      <c r="C4574" s="2">
        <v>595.52809999999999</v>
      </c>
      <c r="D4574" s="2">
        <f>HYPERLINK("http://mcb-m6.bioreg.kyushu-u.ac.jp/M3/20110418/F51002/1619/1", 96.17)</f>
        <v>96.17</v>
      </c>
      <c r="E4574" s="2">
        <v>64.08</v>
      </c>
      <c r="F4574" s="2">
        <v>2</v>
      </c>
      <c r="G4574" s="2" t="s">
        <v>12</v>
      </c>
    </row>
    <row r="4575" spans="1:9" x14ac:dyDescent="0.2">
      <c r="A4575" s="2" t="s">
        <v>3250</v>
      </c>
      <c r="B4575" s="2" t="s">
        <v>365</v>
      </c>
      <c r="C4575" s="2">
        <v>848.76419999999996</v>
      </c>
      <c r="D4575" s="2">
        <f>HYPERLINK("http://mcb-m6.bioreg.kyushu-u.ac.jp/M3/20110418/F50989/2348/1", 97.46)</f>
        <v>97.46</v>
      </c>
      <c r="E4575" s="2">
        <v>73.099999999999994</v>
      </c>
      <c r="F4575" s="2">
        <v>2</v>
      </c>
      <c r="G4575" s="2" t="s">
        <v>12</v>
      </c>
    </row>
    <row r="4576" spans="1:9" x14ac:dyDescent="0.2">
      <c r="A4576" s="2" t="s">
        <v>3250</v>
      </c>
      <c r="B4576" s="2" t="s">
        <v>481</v>
      </c>
      <c r="C4576" s="2">
        <v>709.22119999999995</v>
      </c>
      <c r="D4576" s="2">
        <f>HYPERLINK("http://mcb-m6.bioreg.kyushu-u.ac.jp/M3/20110418/F50989/1921/1", 100.14)</f>
        <v>100.14</v>
      </c>
      <c r="E4576" s="2">
        <v>75.739999999999995</v>
      </c>
      <c r="F4576" s="2">
        <v>2</v>
      </c>
      <c r="G4576" s="2" t="s">
        <v>12</v>
      </c>
      <c r="I4576" s="2" t="s">
        <v>4898</v>
      </c>
    </row>
    <row r="4577" spans="1:9" x14ac:dyDescent="0.2">
      <c r="A4577" s="2" t="s">
        <v>3250</v>
      </c>
      <c r="B4577" s="2" t="s">
        <v>1255</v>
      </c>
      <c r="C4577" s="2">
        <v>1273.71</v>
      </c>
      <c r="D4577" s="2">
        <f>HYPERLINK("http://mcb-m6.bioreg.kyushu-u.ac.jp/M3/20110418/F50986/3408/1", 102.03)</f>
        <v>102.03</v>
      </c>
      <c r="E4577" s="2">
        <v>91.43</v>
      </c>
      <c r="F4577" s="2">
        <v>2</v>
      </c>
      <c r="G4577" s="2" t="s">
        <v>12</v>
      </c>
      <c r="I4577" s="2" t="s">
        <v>4906</v>
      </c>
    </row>
    <row r="4578" spans="1:9" x14ac:dyDescent="0.2">
      <c r="A4578" s="2" t="s">
        <v>3250</v>
      </c>
      <c r="B4578" s="2" t="s">
        <v>1255</v>
      </c>
      <c r="C4578" s="2">
        <v>1273.8399999999999</v>
      </c>
      <c r="D4578" s="2">
        <f>HYPERLINK("http://mcb-m6.bioreg.kyushu-u.ac.jp/M3/20110418/F50984/2823/1", 105.33)</f>
        <v>105.33</v>
      </c>
      <c r="E4578" s="2">
        <v>96.29</v>
      </c>
      <c r="F4578" s="2">
        <v>2</v>
      </c>
      <c r="G4578" s="2" t="s">
        <v>12</v>
      </c>
      <c r="I4578" s="2" t="s">
        <v>4906</v>
      </c>
    </row>
    <row r="4579" spans="1:9" x14ac:dyDescent="0.2">
      <c r="A4579" s="2" t="s">
        <v>3250</v>
      </c>
      <c r="B4579" s="2" t="s">
        <v>467</v>
      </c>
      <c r="C4579" s="2">
        <v>691.92319999999995</v>
      </c>
      <c r="D4579" s="2">
        <f>HYPERLINK("http://mcb-m6.bioreg.kyushu-u.ac.jp/M3/20110418/F51002/1892/1", 112.96)</f>
        <v>112.96</v>
      </c>
      <c r="E4579" s="2">
        <v>77.58</v>
      </c>
      <c r="F4579" s="2">
        <v>2</v>
      </c>
      <c r="G4579" s="2" t="s">
        <v>12</v>
      </c>
    </row>
    <row r="4580" spans="1:9" x14ac:dyDescent="0.2">
      <c r="A4580" s="2" t="s">
        <v>3250</v>
      </c>
      <c r="B4580" s="2" t="s">
        <v>1255</v>
      </c>
      <c r="C4580" s="2">
        <v>1273.519</v>
      </c>
      <c r="D4580" s="2">
        <f>HYPERLINK("http://mcb-m6.bioreg.kyushu-u.ac.jp/M3/20110418/F50988/3236/1", 114.43)</f>
        <v>114.43</v>
      </c>
      <c r="E4580" s="2">
        <v>104.1</v>
      </c>
      <c r="F4580" s="2">
        <v>2</v>
      </c>
      <c r="G4580" s="2" t="s">
        <v>12</v>
      </c>
      <c r="I4580" s="2" t="s">
        <v>4906</v>
      </c>
    </row>
    <row r="4581" spans="1:9" x14ac:dyDescent="0.2">
      <c r="A4581" s="2" t="s">
        <v>3250</v>
      </c>
      <c r="B4581" s="2" t="s">
        <v>1065</v>
      </c>
      <c r="C4581" s="2">
        <v>716.85019999999997</v>
      </c>
      <c r="D4581" s="2">
        <f>HYPERLINK("http://mcb-m6.bioreg.kyushu-u.ac.jp/M3/20110429/F51155/2101/1", 35.09)</f>
        <v>35.090000000000003</v>
      </c>
      <c r="E4581" s="2">
        <v>16.97</v>
      </c>
      <c r="F4581" s="2">
        <v>2</v>
      </c>
      <c r="G4581" s="2" t="s">
        <v>13</v>
      </c>
      <c r="I4581" s="2" t="s">
        <v>4892</v>
      </c>
    </row>
    <row r="4582" spans="1:9" x14ac:dyDescent="0.2">
      <c r="A4582" s="2" t="s">
        <v>3250</v>
      </c>
      <c r="B4582" s="2" t="s">
        <v>365</v>
      </c>
      <c r="C4582" s="2">
        <v>848.96810000000005</v>
      </c>
      <c r="D4582" s="2">
        <f>HYPERLINK("http://mcb-m6.bioreg.kyushu-u.ac.jp/M3/20110502/F51164/2267/1", 35.2)</f>
        <v>35.200000000000003</v>
      </c>
      <c r="E4582" s="2">
        <v>26.33</v>
      </c>
      <c r="F4582" s="2">
        <v>2</v>
      </c>
      <c r="G4582" s="2" t="s">
        <v>13</v>
      </c>
    </row>
    <row r="4583" spans="1:9" x14ac:dyDescent="0.2">
      <c r="A4583" s="2" t="s">
        <v>3250</v>
      </c>
      <c r="B4583" s="2" t="s">
        <v>772</v>
      </c>
      <c r="C4583" s="2">
        <v>595.97310000000004</v>
      </c>
      <c r="D4583" s="2">
        <f>HYPERLINK("http://mcb-m6.bioreg.kyushu-u.ac.jp/M3/20110502/F51164/1007/1", 35.49)</f>
        <v>35.49</v>
      </c>
      <c r="E4583" s="2">
        <v>19.98</v>
      </c>
      <c r="F4583" s="2">
        <v>2</v>
      </c>
      <c r="G4583" s="2" t="s">
        <v>13</v>
      </c>
    </row>
    <row r="4584" spans="1:9" x14ac:dyDescent="0.2">
      <c r="A4584" s="2" t="s">
        <v>3250</v>
      </c>
      <c r="B4584" s="2" t="s">
        <v>90</v>
      </c>
      <c r="C4584" s="2">
        <v>716.99770000000001</v>
      </c>
      <c r="D4584" s="2">
        <f>HYPERLINK("http://mcb-m6.bioreg.kyushu-u.ac.jp/M3/20110502/F51163/1646/1", 36.04)</f>
        <v>36.04</v>
      </c>
      <c r="E4584" s="2">
        <v>21.06</v>
      </c>
      <c r="F4584" s="2">
        <v>2</v>
      </c>
      <c r="G4584" s="2" t="s">
        <v>13</v>
      </c>
    </row>
    <row r="4585" spans="1:9" x14ac:dyDescent="0.2">
      <c r="A4585" s="2" t="s">
        <v>3250</v>
      </c>
      <c r="B4585" s="2" t="s">
        <v>561</v>
      </c>
      <c r="C4585" s="2">
        <v>662.40809999999999</v>
      </c>
      <c r="D4585" s="2">
        <f>HYPERLINK("http://mcb-m6.bioreg.kyushu-u.ac.jp/M3/20110502/F51164/1265/1", 36.17)</f>
        <v>36.17</v>
      </c>
      <c r="E4585" s="2">
        <v>20.78</v>
      </c>
      <c r="F4585" s="2">
        <v>2</v>
      </c>
      <c r="G4585" s="2" t="s">
        <v>13</v>
      </c>
      <c r="H4585" s="2" t="s">
        <v>4919</v>
      </c>
    </row>
    <row r="4586" spans="1:9" x14ac:dyDescent="0.2">
      <c r="A4586" s="2" t="s">
        <v>3250</v>
      </c>
      <c r="B4586" s="2" t="s">
        <v>351</v>
      </c>
      <c r="C4586" s="2">
        <v>861.476</v>
      </c>
      <c r="D4586" s="2">
        <f>HYPERLINK("http://mcb-m6.bioreg.kyushu-u.ac.jp/M3/20110429/F51154/514/1", 36.78)</f>
        <v>36.78</v>
      </c>
      <c r="E4586" s="2">
        <v>15.35</v>
      </c>
      <c r="F4586" s="2">
        <v>1</v>
      </c>
      <c r="G4586" s="2" t="s">
        <v>13</v>
      </c>
      <c r="I4586" s="2" t="s">
        <v>4899</v>
      </c>
    </row>
    <row r="4587" spans="1:9" x14ac:dyDescent="0.2">
      <c r="A4587" s="2" t="s">
        <v>3250</v>
      </c>
      <c r="B4587" s="2" t="s">
        <v>365</v>
      </c>
      <c r="C4587" s="2">
        <v>848.81669999999997</v>
      </c>
      <c r="D4587" s="2">
        <f>HYPERLINK("http://mcb-m6.bioreg.kyushu-u.ac.jp/M3/20110429/F51154/2611/1", 36.81)</f>
        <v>36.81</v>
      </c>
      <c r="E4587" s="2">
        <v>26.29</v>
      </c>
      <c r="F4587" s="2">
        <v>2</v>
      </c>
      <c r="G4587" s="2" t="s">
        <v>13</v>
      </c>
    </row>
    <row r="4588" spans="1:9" x14ac:dyDescent="0.2">
      <c r="A4588" s="2" t="s">
        <v>3250</v>
      </c>
      <c r="B4588" s="2" t="s">
        <v>365</v>
      </c>
      <c r="C4588" s="2">
        <v>849.32510000000002</v>
      </c>
      <c r="D4588" s="2">
        <f>HYPERLINK("http://mcb-m6.bioreg.kyushu-u.ac.jp/M3/20110429/F51156/2474/1", 37.23)</f>
        <v>37.229999999999997</v>
      </c>
      <c r="E4588" s="2">
        <v>20.97</v>
      </c>
      <c r="F4588" s="2">
        <v>2</v>
      </c>
      <c r="G4588" s="2" t="s">
        <v>13</v>
      </c>
    </row>
    <row r="4589" spans="1:9" x14ac:dyDescent="0.2">
      <c r="A4589" s="2" t="s">
        <v>3250</v>
      </c>
      <c r="B4589" s="2" t="s">
        <v>365</v>
      </c>
      <c r="C4589" s="2">
        <v>848.85720000000003</v>
      </c>
      <c r="D4589" s="2">
        <f>HYPERLINK("http://mcb-m6.bioreg.kyushu-u.ac.jp/M3/20110429/F51154/2613/1", 37.48)</f>
        <v>37.479999999999997</v>
      </c>
      <c r="E4589" s="2">
        <v>24.02</v>
      </c>
      <c r="F4589" s="2">
        <v>2</v>
      </c>
      <c r="G4589" s="2" t="s">
        <v>13</v>
      </c>
    </row>
    <row r="4590" spans="1:9" x14ac:dyDescent="0.2">
      <c r="A4590" s="2" t="s">
        <v>3250</v>
      </c>
      <c r="B4590" s="2" t="s">
        <v>772</v>
      </c>
      <c r="C4590" s="2">
        <v>596.09810000000004</v>
      </c>
      <c r="D4590" s="2">
        <f>HYPERLINK("http://mcb-m6.bioreg.kyushu-u.ac.jp/M3/20110429/F51156/1331/1", 38.98)</f>
        <v>38.979999999999997</v>
      </c>
      <c r="E4590" s="2">
        <v>20.74</v>
      </c>
      <c r="F4590" s="2">
        <v>2</v>
      </c>
      <c r="G4590" s="2" t="s">
        <v>13</v>
      </c>
    </row>
    <row r="4591" spans="1:9" x14ac:dyDescent="0.2">
      <c r="A4591" s="2" t="s">
        <v>3250</v>
      </c>
      <c r="B4591" s="2" t="s">
        <v>467</v>
      </c>
      <c r="C4591" s="2">
        <v>692.1807</v>
      </c>
      <c r="D4591" s="2">
        <f>HYPERLINK("http://mcb-m6.bioreg.kyushu-u.ac.jp/M3/20110429/F51156/1745/1", 39.4)</f>
        <v>39.4</v>
      </c>
      <c r="E4591" s="2">
        <v>24.46</v>
      </c>
      <c r="F4591" s="2">
        <v>2</v>
      </c>
      <c r="G4591" s="2" t="s">
        <v>13</v>
      </c>
    </row>
    <row r="4592" spans="1:9" x14ac:dyDescent="0.2">
      <c r="A4592" s="2" t="s">
        <v>3250</v>
      </c>
      <c r="B4592" s="2" t="s">
        <v>77</v>
      </c>
      <c r="C4592" s="2">
        <v>1148.481</v>
      </c>
      <c r="D4592" s="2">
        <f>HYPERLINK("http://mcb-m6.bioreg.kyushu-u.ac.jp/M3/20110429/F51154/1082/1", 39.6)</f>
        <v>39.6</v>
      </c>
      <c r="E4592" s="2">
        <v>29.22</v>
      </c>
      <c r="F4592" s="2">
        <v>1</v>
      </c>
      <c r="G4592" s="2" t="s">
        <v>13</v>
      </c>
    </row>
    <row r="4593" spans="1:9" x14ac:dyDescent="0.2">
      <c r="A4593" s="2" t="s">
        <v>3250</v>
      </c>
      <c r="B4593" s="2" t="s">
        <v>102</v>
      </c>
      <c r="C4593" s="2">
        <v>616.27809999999999</v>
      </c>
      <c r="D4593" s="2">
        <f>HYPERLINK("http://mcb-m6.bioreg.kyushu-u.ac.jp/M3/20110429/F51155/1738/1", 39.68)</f>
        <v>39.68</v>
      </c>
      <c r="E4593" s="2">
        <v>20.16</v>
      </c>
      <c r="F4593" s="2">
        <v>2</v>
      </c>
      <c r="G4593" s="2" t="s">
        <v>13</v>
      </c>
      <c r="H4593" s="2" t="s">
        <v>4900</v>
      </c>
    </row>
    <row r="4594" spans="1:9" x14ac:dyDescent="0.2">
      <c r="A4594" s="2" t="s">
        <v>3250</v>
      </c>
      <c r="B4594" s="2" t="s">
        <v>772</v>
      </c>
      <c r="C4594" s="2">
        <v>595.9402</v>
      </c>
      <c r="D4594" s="2">
        <f>HYPERLINK("http://mcb-m6.bioreg.kyushu-u.ac.jp/M3/20110429/F51156/1327/1", 39.77)</f>
        <v>39.770000000000003</v>
      </c>
      <c r="E4594" s="2">
        <v>23.12</v>
      </c>
      <c r="F4594" s="2">
        <v>2</v>
      </c>
      <c r="G4594" s="2" t="s">
        <v>13</v>
      </c>
    </row>
    <row r="4595" spans="1:9" x14ac:dyDescent="0.2">
      <c r="A4595" s="2" t="s">
        <v>3250</v>
      </c>
      <c r="B4595" s="2" t="s">
        <v>543</v>
      </c>
      <c r="C4595" s="2">
        <v>926.84310000000005</v>
      </c>
      <c r="D4595" s="2">
        <f>HYPERLINK("http://mcb-m6.bioreg.kyushu-u.ac.jp/M3/20110429/F51154/3019/1", 40.02)</f>
        <v>40.020000000000003</v>
      </c>
      <c r="E4595" s="2">
        <v>31.72</v>
      </c>
      <c r="F4595" s="2">
        <v>2</v>
      </c>
      <c r="G4595" s="2" t="s">
        <v>13</v>
      </c>
    </row>
    <row r="4596" spans="1:9" x14ac:dyDescent="0.2">
      <c r="A4596" s="2" t="s">
        <v>3250</v>
      </c>
      <c r="B4596" s="2" t="s">
        <v>467</v>
      </c>
      <c r="C4596" s="2">
        <v>692.23320000000001</v>
      </c>
      <c r="D4596" s="2">
        <f>HYPERLINK("http://mcb-m6.bioreg.kyushu-u.ac.jp/M3/20110429/F51154/1736/1", 40.62)</f>
        <v>40.619999999999997</v>
      </c>
      <c r="E4596" s="2">
        <v>18.86</v>
      </c>
      <c r="F4596" s="2">
        <v>2</v>
      </c>
      <c r="G4596" s="2" t="s">
        <v>13</v>
      </c>
    </row>
    <row r="4597" spans="1:9" x14ac:dyDescent="0.2">
      <c r="A4597" s="2" t="s">
        <v>3250</v>
      </c>
      <c r="B4597" s="2" t="s">
        <v>356</v>
      </c>
      <c r="C4597" s="2">
        <v>816.39509999999996</v>
      </c>
      <c r="D4597" s="2">
        <f>HYPERLINK("http://mcb-m6.bioreg.kyushu-u.ac.jp/M3/20110429/F51154/2447/1", 40.76)</f>
        <v>40.76</v>
      </c>
      <c r="E4597" s="2">
        <v>32.229999999999997</v>
      </c>
      <c r="F4597" s="2">
        <v>2</v>
      </c>
      <c r="G4597" s="2" t="s">
        <v>13</v>
      </c>
    </row>
    <row r="4598" spans="1:9" x14ac:dyDescent="0.2">
      <c r="A4598" s="2" t="s">
        <v>3250</v>
      </c>
      <c r="B4598" s="2" t="s">
        <v>1065</v>
      </c>
      <c r="C4598" s="2">
        <v>717.41920000000005</v>
      </c>
      <c r="D4598" s="2">
        <f>HYPERLINK("http://mcb-m6.bioreg.kyushu-u.ac.jp/M3/20110502/F51164/1606/1", 40.77)</f>
        <v>40.770000000000003</v>
      </c>
      <c r="E4598" s="2">
        <v>20.56</v>
      </c>
      <c r="F4598" s="2">
        <v>2</v>
      </c>
      <c r="G4598" s="2" t="s">
        <v>13</v>
      </c>
      <c r="I4598" s="2" t="s">
        <v>4892</v>
      </c>
    </row>
    <row r="4599" spans="1:9" x14ac:dyDescent="0.2">
      <c r="A4599" s="2" t="s">
        <v>3250</v>
      </c>
      <c r="B4599" s="2" t="s">
        <v>175</v>
      </c>
      <c r="C4599" s="2">
        <v>784.28560000000004</v>
      </c>
      <c r="D4599" s="2">
        <f>HYPERLINK("http://mcb-m6.bioreg.kyushu-u.ac.jp/M3/20110429/F51153/2337/1", 41.14)</f>
        <v>41.14</v>
      </c>
      <c r="E4599" s="2">
        <v>29.68</v>
      </c>
      <c r="F4599" s="2">
        <v>2</v>
      </c>
      <c r="G4599" s="2" t="s">
        <v>13</v>
      </c>
      <c r="I4599" s="2" t="s">
        <v>4893</v>
      </c>
    </row>
    <row r="4600" spans="1:9" x14ac:dyDescent="0.2">
      <c r="A4600" s="2" t="s">
        <v>3250</v>
      </c>
      <c r="B4600" s="2" t="s">
        <v>772</v>
      </c>
      <c r="C4600" s="2">
        <v>595.66610000000003</v>
      </c>
      <c r="D4600" s="2">
        <f>HYPERLINK("http://mcb-m6.bioreg.kyushu-u.ac.jp/M3/20110429/F51157/1035/1", 41.56)</f>
        <v>41.56</v>
      </c>
      <c r="E4600" s="2">
        <v>22.19</v>
      </c>
      <c r="F4600" s="2">
        <v>2</v>
      </c>
      <c r="G4600" s="2" t="s">
        <v>13</v>
      </c>
    </row>
    <row r="4601" spans="1:9" x14ac:dyDescent="0.2">
      <c r="A4601" s="2" t="s">
        <v>3250</v>
      </c>
      <c r="B4601" s="2" t="s">
        <v>1665</v>
      </c>
      <c r="C4601" s="2">
        <v>1147.4590000000001</v>
      </c>
      <c r="D4601" s="2">
        <f>HYPERLINK("http://mcb-m6.bioreg.kyushu-u.ac.jp/M3/20110429/F51154/3677/1", 41.61)</f>
        <v>41.61</v>
      </c>
      <c r="E4601" s="2">
        <v>34.340000000000003</v>
      </c>
      <c r="F4601" s="2">
        <v>2</v>
      </c>
      <c r="G4601" s="2" t="s">
        <v>13</v>
      </c>
    </row>
    <row r="4602" spans="1:9" x14ac:dyDescent="0.2">
      <c r="A4602" s="2" t="s">
        <v>3250</v>
      </c>
      <c r="B4602" s="2" t="s">
        <v>561</v>
      </c>
      <c r="C4602" s="2">
        <v>662.47670000000005</v>
      </c>
      <c r="D4602" s="2">
        <f>HYPERLINK("http://mcb-m6.bioreg.kyushu-u.ac.jp/M3/20110502/F51164/1266/1", 41.7)</f>
        <v>41.7</v>
      </c>
      <c r="E4602" s="2">
        <v>28.1</v>
      </c>
      <c r="F4602" s="2">
        <v>2</v>
      </c>
      <c r="G4602" s="2" t="s">
        <v>13</v>
      </c>
      <c r="H4602" s="2" t="s">
        <v>4919</v>
      </c>
    </row>
    <row r="4603" spans="1:9" x14ac:dyDescent="0.2">
      <c r="A4603" s="2" t="s">
        <v>3250</v>
      </c>
      <c r="B4603" s="2" t="s">
        <v>1065</v>
      </c>
      <c r="C4603" s="2">
        <v>716.75419999999997</v>
      </c>
      <c r="D4603" s="2">
        <f>HYPERLINK("http://mcb-m6.bioreg.kyushu-u.ac.jp/M3/20110429/F51154/1862/1", 41.81)</f>
        <v>41.81</v>
      </c>
      <c r="E4603" s="2">
        <v>32.39</v>
      </c>
      <c r="F4603" s="2">
        <v>2</v>
      </c>
      <c r="G4603" s="2" t="s">
        <v>13</v>
      </c>
      <c r="I4603" s="2" t="s">
        <v>4892</v>
      </c>
    </row>
    <row r="4604" spans="1:9" x14ac:dyDescent="0.2">
      <c r="A4604" s="2" t="s">
        <v>3250</v>
      </c>
      <c r="B4604" s="2" t="s">
        <v>543</v>
      </c>
      <c r="C4604" s="2">
        <v>927.10919999999999</v>
      </c>
      <c r="D4604" s="2">
        <f>HYPERLINK("http://mcb-m6.bioreg.kyushu-u.ac.jp/M3/20110502/F51164/2617/1", 41.94)</f>
        <v>41.94</v>
      </c>
      <c r="E4604" s="2">
        <v>22.88</v>
      </c>
      <c r="F4604" s="2">
        <v>2</v>
      </c>
      <c r="G4604" s="2" t="s">
        <v>13</v>
      </c>
    </row>
    <row r="4605" spans="1:9" x14ac:dyDescent="0.2">
      <c r="A4605" s="2" t="s">
        <v>3250</v>
      </c>
      <c r="B4605" s="2" t="s">
        <v>1065</v>
      </c>
      <c r="C4605" s="2">
        <v>716.95759999999996</v>
      </c>
      <c r="D4605" s="2">
        <f>HYPERLINK("http://mcb-m6.bioreg.kyushu-u.ac.jp/M3/20110502/F51164/1597/1", 42.33)</f>
        <v>42.33</v>
      </c>
      <c r="E4605" s="2">
        <v>30.08</v>
      </c>
      <c r="F4605" s="2">
        <v>2</v>
      </c>
      <c r="G4605" s="2" t="s">
        <v>13</v>
      </c>
      <c r="I4605" s="2" t="s">
        <v>4892</v>
      </c>
    </row>
    <row r="4606" spans="1:9" x14ac:dyDescent="0.2">
      <c r="A4606" s="2" t="s">
        <v>3250</v>
      </c>
      <c r="B4606" s="2" t="s">
        <v>772</v>
      </c>
      <c r="C4606" s="2">
        <v>595.72720000000004</v>
      </c>
      <c r="D4606" s="2">
        <f>HYPERLINK("http://mcb-m6.bioreg.kyushu-u.ac.jp/M3/20110502/F51164/1000/1", 42.53)</f>
        <v>42.53</v>
      </c>
      <c r="E4606" s="2">
        <v>25.41</v>
      </c>
      <c r="F4606" s="2">
        <v>2</v>
      </c>
      <c r="G4606" s="2" t="s">
        <v>13</v>
      </c>
    </row>
    <row r="4607" spans="1:9" x14ac:dyDescent="0.2">
      <c r="A4607" s="2" t="s">
        <v>3250</v>
      </c>
      <c r="B4607" s="2" t="s">
        <v>1065</v>
      </c>
      <c r="C4607" s="2">
        <v>716.94169999999997</v>
      </c>
      <c r="D4607" s="2">
        <f>HYPERLINK("http://mcb-m6.bioreg.kyushu-u.ac.jp/M3/20110502/F51164/1596/1", 42.55)</f>
        <v>42.55</v>
      </c>
      <c r="E4607" s="2">
        <v>33.130000000000003</v>
      </c>
      <c r="F4607" s="2">
        <v>2</v>
      </c>
      <c r="G4607" s="2" t="s">
        <v>13</v>
      </c>
      <c r="I4607" s="2" t="s">
        <v>4892</v>
      </c>
    </row>
    <row r="4608" spans="1:9" x14ac:dyDescent="0.2">
      <c r="A4608" s="2" t="s">
        <v>3250</v>
      </c>
      <c r="B4608" s="2" t="s">
        <v>1065</v>
      </c>
      <c r="C4608" s="2">
        <v>716.86320000000001</v>
      </c>
      <c r="D4608" s="2">
        <f>HYPERLINK("http://mcb-m6.bioreg.kyushu-u.ac.jp/M3/20110429/F51157/1641/1", 42.6)</f>
        <v>42.6</v>
      </c>
      <c r="E4608" s="2">
        <v>25.79</v>
      </c>
      <c r="F4608" s="2">
        <v>2</v>
      </c>
      <c r="G4608" s="2" t="s">
        <v>13</v>
      </c>
      <c r="I4608" s="2" t="s">
        <v>4892</v>
      </c>
    </row>
    <row r="4609" spans="1:9" x14ac:dyDescent="0.2">
      <c r="A4609" s="2" t="s">
        <v>3250</v>
      </c>
      <c r="B4609" s="2" t="s">
        <v>365</v>
      </c>
      <c r="C4609" s="2">
        <v>848.73270000000002</v>
      </c>
      <c r="D4609" s="2">
        <f>HYPERLINK("http://mcb-m6.bioreg.kyushu-u.ac.jp/M3/20110429/F51154/2608/1", 42.65)</f>
        <v>42.65</v>
      </c>
      <c r="E4609" s="2">
        <v>30.54</v>
      </c>
      <c r="F4609" s="2">
        <v>2</v>
      </c>
      <c r="G4609" s="2" t="s">
        <v>13</v>
      </c>
    </row>
    <row r="4610" spans="1:9" x14ac:dyDescent="0.2">
      <c r="A4610" s="2" t="s">
        <v>3250</v>
      </c>
      <c r="B4610" s="2" t="s">
        <v>481</v>
      </c>
      <c r="C4610" s="2">
        <v>1418.229</v>
      </c>
      <c r="D4610" s="2">
        <f>HYPERLINK("http://mcb-m6.bioreg.kyushu-u.ac.jp/M3/20110502/F51164/1540/1", 42.82)</f>
        <v>42.82</v>
      </c>
      <c r="E4610" s="2">
        <v>28.17</v>
      </c>
      <c r="F4610" s="2">
        <v>1</v>
      </c>
      <c r="G4610" s="2" t="s">
        <v>13</v>
      </c>
      <c r="I4610" s="2" t="s">
        <v>4898</v>
      </c>
    </row>
    <row r="4611" spans="1:9" x14ac:dyDescent="0.2">
      <c r="A4611" s="2" t="s">
        <v>3250</v>
      </c>
      <c r="B4611" s="2" t="s">
        <v>772</v>
      </c>
      <c r="C4611" s="2">
        <v>1190.567</v>
      </c>
      <c r="D4611" s="2">
        <f>HYPERLINK("http://mcb-m6.bioreg.kyushu-u.ac.jp/M3/20110429/F51157/1039/1", 43.03)</f>
        <v>43.03</v>
      </c>
      <c r="E4611" s="2">
        <v>11.3</v>
      </c>
      <c r="F4611" s="2">
        <v>1</v>
      </c>
      <c r="G4611" s="2" t="s">
        <v>13</v>
      </c>
    </row>
    <row r="4612" spans="1:9" x14ac:dyDescent="0.2">
      <c r="A4612" s="2" t="s">
        <v>3250</v>
      </c>
      <c r="B4612" s="2" t="s">
        <v>77</v>
      </c>
      <c r="C4612" s="2">
        <v>1148.51</v>
      </c>
      <c r="D4612" s="2">
        <f>HYPERLINK("http://mcb-m6.bioreg.kyushu-u.ac.jp/M3/20110502/F51164/912/1", 43.1)</f>
        <v>43.1</v>
      </c>
      <c r="E4612" s="2">
        <v>25.33</v>
      </c>
      <c r="F4612" s="2">
        <v>1</v>
      </c>
      <c r="G4612" s="2" t="s">
        <v>13</v>
      </c>
    </row>
    <row r="4613" spans="1:9" x14ac:dyDescent="0.2">
      <c r="A4613" s="2" t="s">
        <v>3250</v>
      </c>
      <c r="B4613" s="2" t="s">
        <v>503</v>
      </c>
      <c r="C4613" s="2">
        <v>816.78309999999999</v>
      </c>
      <c r="D4613" s="2">
        <f>HYPERLINK("http://mcb-m6.bioreg.kyushu-u.ac.jp/M3/20110429/F51153/2558/1", 43.1)</f>
        <v>43.1</v>
      </c>
      <c r="E4613" s="2">
        <v>29.11</v>
      </c>
      <c r="F4613" s="2">
        <v>2</v>
      </c>
      <c r="G4613" s="2" t="s">
        <v>13</v>
      </c>
      <c r="H4613" s="2" t="s">
        <v>4907</v>
      </c>
    </row>
    <row r="4614" spans="1:9" x14ac:dyDescent="0.2">
      <c r="A4614" s="2" t="s">
        <v>3250</v>
      </c>
      <c r="B4614" s="2" t="s">
        <v>481</v>
      </c>
      <c r="C4614" s="2">
        <v>709.35820000000001</v>
      </c>
      <c r="D4614" s="2">
        <f>HYPERLINK("http://mcb-m6.bioreg.kyushu-u.ac.jp/M3/20110429/F51157/1607/1", 43.12)</f>
        <v>43.12</v>
      </c>
      <c r="E4614" s="2">
        <v>33.119999999999997</v>
      </c>
      <c r="F4614" s="2">
        <v>2</v>
      </c>
      <c r="G4614" s="2" t="s">
        <v>13</v>
      </c>
      <c r="I4614" s="2" t="s">
        <v>4898</v>
      </c>
    </row>
    <row r="4615" spans="1:9" x14ac:dyDescent="0.2">
      <c r="A4615" s="2" t="s">
        <v>3250</v>
      </c>
      <c r="B4615" s="2" t="s">
        <v>1065</v>
      </c>
      <c r="C4615" s="2">
        <v>717.09519999999998</v>
      </c>
      <c r="D4615" s="2">
        <f>HYPERLINK("http://mcb-m6.bioreg.kyushu-u.ac.jp/M3/20110428/F51147/1929/1", 43.91)</f>
        <v>43.91</v>
      </c>
      <c r="E4615" s="2">
        <v>33.020000000000003</v>
      </c>
      <c r="F4615" s="2">
        <v>2</v>
      </c>
      <c r="G4615" s="2" t="s">
        <v>13</v>
      </c>
      <c r="I4615" s="2" t="s">
        <v>4892</v>
      </c>
    </row>
    <row r="4616" spans="1:9" x14ac:dyDescent="0.2">
      <c r="A4616" s="2" t="s">
        <v>3250</v>
      </c>
      <c r="B4616" s="2" t="s">
        <v>365</v>
      </c>
      <c r="C4616" s="2">
        <v>849.04819999999995</v>
      </c>
      <c r="D4616" s="2">
        <f>HYPERLINK("http://mcb-m6.bioreg.kyushu-u.ac.jp/M3/20110502/F51158/2476/1", 44.15)</f>
        <v>44.15</v>
      </c>
      <c r="E4616" s="2">
        <v>21.58</v>
      </c>
      <c r="F4616" s="2">
        <v>2</v>
      </c>
      <c r="G4616" s="2" t="s">
        <v>13</v>
      </c>
    </row>
    <row r="4617" spans="1:9" x14ac:dyDescent="0.2">
      <c r="A4617" s="2" t="s">
        <v>3250</v>
      </c>
      <c r="B4617" s="2" t="s">
        <v>772</v>
      </c>
      <c r="C4617" s="2">
        <v>596.37660000000005</v>
      </c>
      <c r="D4617" s="2">
        <f>HYPERLINK("http://mcb-m6.bioreg.kyushu-u.ac.jp/M3/20110429/F51154/1212/1", 44.21)</f>
        <v>44.21</v>
      </c>
      <c r="E4617" s="2">
        <v>24.87</v>
      </c>
      <c r="F4617" s="2">
        <v>2</v>
      </c>
      <c r="G4617" s="2" t="s">
        <v>13</v>
      </c>
    </row>
    <row r="4618" spans="1:9" x14ac:dyDescent="0.2">
      <c r="A4618" s="2" t="s">
        <v>3250</v>
      </c>
      <c r="B4618" s="2" t="s">
        <v>1065</v>
      </c>
      <c r="C4618" s="2">
        <v>717.36869999999999</v>
      </c>
      <c r="D4618" s="2">
        <f>HYPERLINK("http://mcb-m6.bioreg.kyushu-u.ac.jp/M3/20110428/F51147/1931/1", 44.52)</f>
        <v>44.52</v>
      </c>
      <c r="E4618" s="2">
        <v>24.99</v>
      </c>
      <c r="F4618" s="2">
        <v>2</v>
      </c>
      <c r="G4618" s="2" t="s">
        <v>13</v>
      </c>
      <c r="I4618" s="2" t="s">
        <v>4892</v>
      </c>
    </row>
    <row r="4619" spans="1:9" x14ac:dyDescent="0.2">
      <c r="A4619" s="2" t="s">
        <v>3250</v>
      </c>
      <c r="B4619" s="2" t="s">
        <v>772</v>
      </c>
      <c r="C4619" s="2">
        <v>1190.433</v>
      </c>
      <c r="D4619" s="2">
        <f>HYPERLINK("http://mcb-m6.bioreg.kyushu-u.ac.jp/M3/20110429/F51153/1141/1", 45.36)</f>
        <v>45.36</v>
      </c>
      <c r="E4619" s="2">
        <v>23.17</v>
      </c>
      <c r="F4619" s="2">
        <v>1</v>
      </c>
      <c r="G4619" s="2" t="s">
        <v>13</v>
      </c>
    </row>
    <row r="4620" spans="1:9" x14ac:dyDescent="0.2">
      <c r="A4620" s="2" t="s">
        <v>3250</v>
      </c>
      <c r="B4620" s="2" t="s">
        <v>398</v>
      </c>
      <c r="C4620" s="2">
        <v>640.53219999999999</v>
      </c>
      <c r="D4620" s="2">
        <f>HYPERLINK("http://mcb-m6.bioreg.kyushu-u.ac.jp/M3/20110502/F51164/1181/1", 45.62)</f>
        <v>45.62</v>
      </c>
      <c r="E4620" s="2">
        <v>21.79</v>
      </c>
      <c r="F4620" s="2">
        <v>2</v>
      </c>
      <c r="G4620" s="2" t="s">
        <v>13</v>
      </c>
    </row>
    <row r="4621" spans="1:9" x14ac:dyDescent="0.2">
      <c r="A4621" s="2" t="s">
        <v>3250</v>
      </c>
      <c r="B4621" s="2" t="s">
        <v>1665</v>
      </c>
      <c r="C4621" s="2">
        <v>1147.502</v>
      </c>
      <c r="D4621" s="2">
        <f>HYPERLINK("http://mcb-m6.bioreg.kyushu-u.ac.jp/M3/20110429/F51157/3418/1", 45.81)</f>
        <v>45.81</v>
      </c>
      <c r="E4621" s="2">
        <v>36.340000000000003</v>
      </c>
      <c r="F4621" s="2">
        <v>2</v>
      </c>
      <c r="G4621" s="2" t="s">
        <v>13</v>
      </c>
    </row>
    <row r="4622" spans="1:9" x14ac:dyDescent="0.2">
      <c r="A4622" s="2" t="s">
        <v>3250</v>
      </c>
      <c r="B4622" s="2" t="s">
        <v>1065</v>
      </c>
      <c r="C4622" s="2">
        <v>717.30870000000004</v>
      </c>
      <c r="D4622" s="2">
        <f>HYPERLINK("http://mcb-m6.bioreg.kyushu-u.ac.jp/M3/20110429/F51154/1874/1", 45.99)</f>
        <v>45.99</v>
      </c>
      <c r="E4622" s="2">
        <v>32.590000000000003</v>
      </c>
      <c r="F4622" s="2">
        <v>2</v>
      </c>
      <c r="G4622" s="2" t="s">
        <v>13</v>
      </c>
      <c r="I4622" s="2" t="s">
        <v>4892</v>
      </c>
    </row>
    <row r="4623" spans="1:9" x14ac:dyDescent="0.2">
      <c r="A4623" s="2" t="s">
        <v>3250</v>
      </c>
      <c r="B4623" s="2" t="s">
        <v>365</v>
      </c>
      <c r="C4623" s="2">
        <v>849.31370000000004</v>
      </c>
      <c r="D4623" s="2">
        <f>HYPERLINK("http://mcb-m6.bioreg.kyushu-u.ac.jp/M3/20110429/F51155/2652/1", 46.1)</f>
        <v>46.1</v>
      </c>
      <c r="E4623" s="2">
        <v>30.88</v>
      </c>
      <c r="F4623" s="2">
        <v>2</v>
      </c>
      <c r="G4623" s="2" t="s">
        <v>13</v>
      </c>
    </row>
    <row r="4624" spans="1:9" x14ac:dyDescent="0.2">
      <c r="A4624" s="2" t="s">
        <v>3250</v>
      </c>
      <c r="B4624" s="2" t="s">
        <v>356</v>
      </c>
      <c r="C4624" s="2">
        <v>816.46559999999999</v>
      </c>
      <c r="D4624" s="2">
        <f>HYPERLINK("http://mcb-m6.bioreg.kyushu-u.ac.jp/M3/20110429/F51157/2111/1", 46.15)</f>
        <v>46.15</v>
      </c>
      <c r="E4624" s="2">
        <v>32.97</v>
      </c>
      <c r="F4624" s="2">
        <v>2</v>
      </c>
      <c r="G4624" s="2" t="s">
        <v>13</v>
      </c>
    </row>
    <row r="4625" spans="1:9" x14ac:dyDescent="0.2">
      <c r="A4625" s="2" t="s">
        <v>3250</v>
      </c>
      <c r="B4625" s="2" t="s">
        <v>311</v>
      </c>
      <c r="C4625" s="2">
        <v>598.73910000000001</v>
      </c>
      <c r="D4625" s="2">
        <f>HYPERLINK("http://mcb-m6.bioreg.kyushu-u.ac.jp/M3/20110429/F51153/1157/1", 46.19)</f>
        <v>46.19</v>
      </c>
      <c r="E4625" s="2">
        <v>25.92</v>
      </c>
      <c r="F4625" s="2">
        <v>2</v>
      </c>
      <c r="G4625" s="2" t="s">
        <v>13</v>
      </c>
    </row>
    <row r="4626" spans="1:9" x14ac:dyDescent="0.2">
      <c r="A4626" s="2" t="s">
        <v>3250</v>
      </c>
      <c r="B4626" s="2" t="s">
        <v>102</v>
      </c>
      <c r="C4626" s="2">
        <v>1215.6389999999999</v>
      </c>
      <c r="D4626" s="2">
        <f>HYPERLINK("http://mcb-m6.bioreg.kyushu-u.ac.jp/M3/20110502/F51164/1059/1", 46.22)</f>
        <v>46.22</v>
      </c>
      <c r="E4626" s="2">
        <v>30.17</v>
      </c>
      <c r="F4626" s="2">
        <v>1</v>
      </c>
      <c r="G4626" s="2" t="s">
        <v>13</v>
      </c>
    </row>
    <row r="4627" spans="1:9" x14ac:dyDescent="0.2">
      <c r="A4627" s="2" t="s">
        <v>3250</v>
      </c>
      <c r="B4627" s="2" t="s">
        <v>467</v>
      </c>
      <c r="C4627" s="2">
        <v>691.63319999999999</v>
      </c>
      <c r="D4627" s="2">
        <f>HYPERLINK("http://mcb-m6.bioreg.kyushu-u.ac.jp/M3/20110429/F51151/1917/1", 46.32)</f>
        <v>46.32</v>
      </c>
      <c r="E4627" s="2">
        <v>28.57</v>
      </c>
      <c r="F4627" s="2">
        <v>2</v>
      </c>
      <c r="G4627" s="2" t="s">
        <v>13</v>
      </c>
    </row>
    <row r="4628" spans="1:9" x14ac:dyDescent="0.2">
      <c r="A4628" s="2" t="s">
        <v>3250</v>
      </c>
      <c r="B4628" s="2" t="s">
        <v>467</v>
      </c>
      <c r="C4628" s="2">
        <v>691.89760000000001</v>
      </c>
      <c r="D4628" s="2">
        <f>HYPERLINK("http://mcb-m6.bioreg.kyushu-u.ac.jp/M3/20110502/F51164/1449/1", 46.47)</f>
        <v>46.47</v>
      </c>
      <c r="E4628" s="2">
        <v>17.62</v>
      </c>
      <c r="F4628" s="2">
        <v>2</v>
      </c>
      <c r="G4628" s="2" t="s">
        <v>13</v>
      </c>
    </row>
    <row r="4629" spans="1:9" x14ac:dyDescent="0.2">
      <c r="A4629" s="2" t="s">
        <v>3250</v>
      </c>
      <c r="B4629" s="2" t="s">
        <v>1065</v>
      </c>
      <c r="C4629" s="2">
        <v>716.91060000000004</v>
      </c>
      <c r="D4629" s="2">
        <f>HYPERLINK("http://mcb-m6.bioreg.kyushu-u.ac.jp/M3/20110502/F51164/1594/1", 46.47)</f>
        <v>46.47</v>
      </c>
      <c r="E4629" s="2">
        <v>19.850000000000001</v>
      </c>
      <c r="F4629" s="2">
        <v>2</v>
      </c>
      <c r="G4629" s="2" t="s">
        <v>13</v>
      </c>
      <c r="I4629" s="2" t="s">
        <v>4892</v>
      </c>
    </row>
    <row r="4630" spans="1:9" x14ac:dyDescent="0.2">
      <c r="A4630" s="2" t="s">
        <v>3250</v>
      </c>
      <c r="B4630" s="2" t="s">
        <v>772</v>
      </c>
      <c r="C4630" s="2">
        <v>595.77470000000005</v>
      </c>
      <c r="D4630" s="2">
        <f>HYPERLINK("http://mcb-m6.bioreg.kyushu-u.ac.jp/M3/20110429/F51157/1038/1", 46.78)</f>
        <v>46.78</v>
      </c>
      <c r="E4630" s="2">
        <v>21.98</v>
      </c>
      <c r="F4630" s="2">
        <v>2</v>
      </c>
      <c r="G4630" s="2" t="s">
        <v>13</v>
      </c>
    </row>
    <row r="4631" spans="1:9" x14ac:dyDescent="0.2">
      <c r="A4631" s="2" t="s">
        <v>3250</v>
      </c>
      <c r="B4631" s="2" t="s">
        <v>90</v>
      </c>
      <c r="C4631" s="2">
        <v>717.17970000000003</v>
      </c>
      <c r="D4631" s="2">
        <f>HYPERLINK("http://mcb-m6.bioreg.kyushu-u.ac.jp/M3/20110429/F51154/1871/1", 47.05)</f>
        <v>47.05</v>
      </c>
      <c r="E4631" s="2">
        <v>10.050000000000001</v>
      </c>
      <c r="F4631" s="2">
        <v>2</v>
      </c>
      <c r="G4631" s="2" t="s">
        <v>13</v>
      </c>
    </row>
    <row r="4632" spans="1:9" x14ac:dyDescent="0.2">
      <c r="A4632" s="2" t="s">
        <v>3250</v>
      </c>
      <c r="B4632" s="2" t="s">
        <v>772</v>
      </c>
      <c r="C4632" s="2">
        <v>596.29909999999995</v>
      </c>
      <c r="D4632" s="2">
        <f>HYPERLINK("http://mcb-m6.bioreg.kyushu-u.ac.jp/M3/20110502/F51164/1010/1", 47.25)</f>
        <v>47.25</v>
      </c>
      <c r="E4632" s="2">
        <v>28.94</v>
      </c>
      <c r="F4632" s="2">
        <v>2</v>
      </c>
      <c r="G4632" s="2" t="s">
        <v>13</v>
      </c>
    </row>
    <row r="4633" spans="1:9" x14ac:dyDescent="0.2">
      <c r="A4633" s="2" t="s">
        <v>3250</v>
      </c>
      <c r="B4633" s="2" t="s">
        <v>481</v>
      </c>
      <c r="C4633" s="2">
        <v>709.51009999999997</v>
      </c>
      <c r="D4633" s="2">
        <f>HYPERLINK("http://mcb-m6.bioreg.kyushu-u.ac.jp/M3/20110429/F51153/1746/1", 47.63)</f>
        <v>47.63</v>
      </c>
      <c r="E4633" s="2">
        <v>28.97</v>
      </c>
      <c r="F4633" s="2">
        <v>2</v>
      </c>
      <c r="G4633" s="2" t="s">
        <v>13</v>
      </c>
      <c r="I4633" s="2" t="s">
        <v>4898</v>
      </c>
    </row>
    <row r="4634" spans="1:9" x14ac:dyDescent="0.2">
      <c r="A4634" s="2" t="s">
        <v>3250</v>
      </c>
      <c r="B4634" s="2" t="s">
        <v>561</v>
      </c>
      <c r="C4634" s="2">
        <v>1307.626</v>
      </c>
      <c r="D4634" s="2">
        <f>HYPERLINK("http://mcb-m6.bioreg.kyushu-u.ac.jp/M3/20110502/F51164/1233/1", 47.89)</f>
        <v>47.89</v>
      </c>
      <c r="E4634" s="2">
        <v>32.119999999999997</v>
      </c>
      <c r="F4634" s="2">
        <v>1</v>
      </c>
      <c r="G4634" s="2" t="s">
        <v>13</v>
      </c>
    </row>
    <row r="4635" spans="1:9" x14ac:dyDescent="0.2">
      <c r="A4635" s="2" t="s">
        <v>3250</v>
      </c>
      <c r="B4635" s="2" t="s">
        <v>561</v>
      </c>
      <c r="C4635" s="2">
        <v>654.47609999999997</v>
      </c>
      <c r="D4635" s="2">
        <f>HYPERLINK("http://mcb-m6.bioreg.kyushu-u.ac.jp/M3/20110502/F51164/1235/1", 47.95)</f>
        <v>47.95</v>
      </c>
      <c r="E4635" s="2">
        <v>30.34</v>
      </c>
      <c r="F4635" s="2">
        <v>2</v>
      </c>
      <c r="G4635" s="2" t="s">
        <v>13</v>
      </c>
    </row>
    <row r="4636" spans="1:9" x14ac:dyDescent="0.2">
      <c r="A4636" s="2" t="s">
        <v>3250</v>
      </c>
      <c r="B4636" s="2" t="s">
        <v>365</v>
      </c>
      <c r="C4636" s="2">
        <v>849.35720000000003</v>
      </c>
      <c r="D4636" s="2">
        <f>HYPERLINK("http://mcb-m6.bioreg.kyushu-u.ac.jp/M3/20110429/F51154/2618/1", 48.05)</f>
        <v>48.05</v>
      </c>
      <c r="E4636" s="2">
        <v>33.31</v>
      </c>
      <c r="F4636" s="2">
        <v>2</v>
      </c>
      <c r="G4636" s="2" t="s">
        <v>13</v>
      </c>
    </row>
    <row r="4637" spans="1:9" x14ac:dyDescent="0.2">
      <c r="A4637" s="2" t="s">
        <v>3250</v>
      </c>
      <c r="B4637" s="2" t="s">
        <v>365</v>
      </c>
      <c r="C4637" s="2">
        <v>849.32820000000004</v>
      </c>
      <c r="D4637" s="2">
        <f>HYPERLINK("http://mcb-m6.bioreg.kyushu-u.ac.jp/M3/20110429/F51156/2475/1", 48.22)</f>
        <v>48.22</v>
      </c>
      <c r="E4637" s="2">
        <v>32.74</v>
      </c>
      <c r="F4637" s="2">
        <v>2</v>
      </c>
      <c r="G4637" s="2" t="s">
        <v>13</v>
      </c>
    </row>
    <row r="4638" spans="1:9" x14ac:dyDescent="0.2">
      <c r="A4638" s="2" t="s">
        <v>3250</v>
      </c>
      <c r="B4638" s="2" t="s">
        <v>467</v>
      </c>
      <c r="C4638" s="2">
        <v>692.26070000000004</v>
      </c>
      <c r="D4638" s="2">
        <f>HYPERLINK("http://mcb-m6.bioreg.kyushu-u.ac.jp/M3/20110429/F51154/1737/1", 48.24)</f>
        <v>48.24</v>
      </c>
      <c r="E4638" s="2">
        <v>23.64</v>
      </c>
      <c r="F4638" s="2">
        <v>2</v>
      </c>
      <c r="G4638" s="2" t="s">
        <v>13</v>
      </c>
    </row>
    <row r="4639" spans="1:9" x14ac:dyDescent="0.2">
      <c r="A4639" s="2" t="s">
        <v>3250</v>
      </c>
      <c r="B4639" s="2" t="s">
        <v>888</v>
      </c>
      <c r="C4639" s="2">
        <v>811.34360000000004</v>
      </c>
      <c r="D4639" s="2">
        <f>HYPERLINK("http://mcb-m6.bioreg.kyushu-u.ac.jp/M3/20110502/F51164/3392/1", 48.45)</f>
        <v>48.45</v>
      </c>
      <c r="E4639" s="2">
        <v>34.76</v>
      </c>
      <c r="F4639" s="2">
        <v>3</v>
      </c>
      <c r="G4639" s="2" t="s">
        <v>13</v>
      </c>
      <c r="I4639" s="2" t="s">
        <v>4895</v>
      </c>
    </row>
    <row r="4640" spans="1:9" x14ac:dyDescent="0.2">
      <c r="A4640" s="2" t="s">
        <v>3250</v>
      </c>
      <c r="B4640" s="2" t="s">
        <v>834</v>
      </c>
      <c r="C4640" s="2">
        <v>621.94420000000002</v>
      </c>
      <c r="D4640" s="2">
        <f>HYPERLINK("http://mcb-m6.bioreg.kyushu-u.ac.jp/M3/20110428/F51146/1647/1", 48.98)</f>
        <v>48.98</v>
      </c>
      <c r="E4640" s="2">
        <v>23.68</v>
      </c>
      <c r="F4640" s="2">
        <v>2</v>
      </c>
      <c r="G4640" s="2" t="s">
        <v>13</v>
      </c>
    </row>
    <row r="4641" spans="1:9" x14ac:dyDescent="0.2">
      <c r="A4641" s="2" t="s">
        <v>3250</v>
      </c>
      <c r="B4641" s="2" t="s">
        <v>175</v>
      </c>
      <c r="C4641" s="2">
        <v>784.82370000000003</v>
      </c>
      <c r="D4641" s="2">
        <f>HYPERLINK("http://mcb-m6.bioreg.kyushu-u.ac.jp/M3/20110429/F51153/2347/1", 49.18)</f>
        <v>49.18</v>
      </c>
      <c r="E4641" s="2">
        <v>35.81</v>
      </c>
      <c r="F4641" s="2">
        <v>2</v>
      </c>
      <c r="G4641" s="2" t="s">
        <v>13</v>
      </c>
      <c r="I4641" s="2" t="s">
        <v>4893</v>
      </c>
    </row>
    <row r="4642" spans="1:9" x14ac:dyDescent="0.2">
      <c r="A4642" s="2" t="s">
        <v>3250</v>
      </c>
      <c r="B4642" s="2" t="s">
        <v>77</v>
      </c>
      <c r="C4642" s="2">
        <v>1148.5429999999999</v>
      </c>
      <c r="D4642" s="2">
        <f>HYPERLINK("http://mcb-m6.bioreg.kyushu-u.ac.jp/M3/20110429/F51153/1015/1", 49.28)</f>
        <v>49.28</v>
      </c>
      <c r="E4642" s="2">
        <v>25.9</v>
      </c>
      <c r="F4642" s="2">
        <v>1</v>
      </c>
      <c r="G4642" s="2" t="s">
        <v>13</v>
      </c>
    </row>
    <row r="4643" spans="1:9" x14ac:dyDescent="0.2">
      <c r="A4643" s="2" t="s">
        <v>3250</v>
      </c>
      <c r="B4643" s="2" t="s">
        <v>1665</v>
      </c>
      <c r="C4643" s="2">
        <v>765.34280000000001</v>
      </c>
      <c r="D4643" s="2">
        <f>HYPERLINK("http://mcb-m6.bioreg.kyushu-u.ac.jp/M3/20110502/F51164/3253/1", 49.31)</f>
        <v>49.31</v>
      </c>
      <c r="E4643" s="2">
        <v>33.840000000000003</v>
      </c>
      <c r="F4643" s="2">
        <v>3</v>
      </c>
      <c r="G4643" s="2" t="s">
        <v>13</v>
      </c>
    </row>
    <row r="4644" spans="1:9" x14ac:dyDescent="0.2">
      <c r="A4644" s="2" t="s">
        <v>3250</v>
      </c>
      <c r="B4644" s="2" t="s">
        <v>481</v>
      </c>
      <c r="C4644" s="2">
        <v>1417.44</v>
      </c>
      <c r="D4644" s="2">
        <f>HYPERLINK("http://mcb-m6.bioreg.kyushu-u.ac.jp/M3/20110429/F51154/1819/1", 49.58)</f>
        <v>49.58</v>
      </c>
      <c r="E4644" s="2">
        <v>37.479999999999997</v>
      </c>
      <c r="F4644" s="2">
        <v>1</v>
      </c>
      <c r="G4644" s="2" t="s">
        <v>13</v>
      </c>
      <c r="I4644" s="2" t="s">
        <v>4898</v>
      </c>
    </row>
    <row r="4645" spans="1:9" x14ac:dyDescent="0.2">
      <c r="A4645" s="2" t="s">
        <v>3250</v>
      </c>
      <c r="B4645" s="2" t="s">
        <v>77</v>
      </c>
      <c r="C4645" s="2">
        <v>1148.827</v>
      </c>
      <c r="D4645" s="2">
        <f>HYPERLINK("http://mcb-m6.bioreg.kyushu-u.ac.jp/M3/20110429/F51156/1227/1", 49.93)</f>
        <v>49.93</v>
      </c>
      <c r="E4645" s="2">
        <v>20.59</v>
      </c>
      <c r="F4645" s="2">
        <v>1</v>
      </c>
      <c r="G4645" s="2" t="s">
        <v>13</v>
      </c>
    </row>
    <row r="4646" spans="1:9" x14ac:dyDescent="0.2">
      <c r="A4646" s="2" t="s">
        <v>3250</v>
      </c>
      <c r="B4646" s="2" t="s">
        <v>77</v>
      </c>
      <c r="C4646" s="2">
        <v>574.96010000000001</v>
      </c>
      <c r="D4646" s="2">
        <f>HYPERLINK("http://mcb-m6.bioreg.kyushu-u.ac.jp/M3/20110502/F51164/914/1", 50.03)</f>
        <v>50.03</v>
      </c>
      <c r="E4646" s="2">
        <v>30.81</v>
      </c>
      <c r="F4646" s="2">
        <v>2</v>
      </c>
      <c r="G4646" s="2" t="s">
        <v>13</v>
      </c>
    </row>
    <row r="4647" spans="1:9" x14ac:dyDescent="0.2">
      <c r="A4647" s="2" t="s">
        <v>3250</v>
      </c>
      <c r="B4647" s="2" t="s">
        <v>356</v>
      </c>
      <c r="C4647" s="2">
        <v>816.51070000000004</v>
      </c>
      <c r="D4647" s="2">
        <f>HYPERLINK("http://mcb-m6.bioreg.kyushu-u.ac.jp/M3/20110429/F51154/2448/1", 50.13)</f>
        <v>50.13</v>
      </c>
      <c r="E4647" s="2">
        <v>30.22</v>
      </c>
      <c r="F4647" s="2">
        <v>2</v>
      </c>
      <c r="G4647" s="2" t="s">
        <v>13</v>
      </c>
    </row>
    <row r="4648" spans="1:9" x14ac:dyDescent="0.2">
      <c r="A4648" s="2" t="s">
        <v>3250</v>
      </c>
      <c r="B4648" s="2" t="s">
        <v>102</v>
      </c>
      <c r="C4648" s="2">
        <v>616.80970000000002</v>
      </c>
      <c r="D4648" s="2">
        <f>HYPERLINK("http://mcb-m6.bioreg.kyushu-u.ac.jp/M3/20110429/F51154/1320/1", 50.33)</f>
        <v>50.33</v>
      </c>
      <c r="E4648" s="2">
        <v>36.119999999999997</v>
      </c>
      <c r="F4648" s="2">
        <v>2</v>
      </c>
      <c r="G4648" s="2" t="s">
        <v>13</v>
      </c>
      <c r="H4648" s="2" t="s">
        <v>4900</v>
      </c>
    </row>
    <row r="4649" spans="1:9" x14ac:dyDescent="0.2">
      <c r="A4649" s="2" t="s">
        <v>3250</v>
      </c>
      <c r="B4649" s="2" t="s">
        <v>365</v>
      </c>
      <c r="C4649" s="2">
        <v>848.69870000000003</v>
      </c>
      <c r="D4649" s="2">
        <f>HYPERLINK("http://mcb-m6.bioreg.kyushu-u.ac.jp/M3/20110429/F51154/2607/1", 50.97)</f>
        <v>50.97</v>
      </c>
      <c r="E4649" s="2">
        <v>40.43</v>
      </c>
      <c r="F4649" s="2">
        <v>2</v>
      </c>
      <c r="G4649" s="2" t="s">
        <v>13</v>
      </c>
    </row>
    <row r="4650" spans="1:9" x14ac:dyDescent="0.2">
      <c r="A4650" s="2" t="s">
        <v>3250</v>
      </c>
      <c r="B4650" s="2" t="s">
        <v>90</v>
      </c>
      <c r="C4650" s="2">
        <v>716.93119999999999</v>
      </c>
      <c r="D4650" s="2">
        <f>HYPERLINK("http://mcb-m6.bioreg.kyushu-u.ac.jp/M3/20110429/F51154/1869/1", 51.3)</f>
        <v>51.3</v>
      </c>
      <c r="E4650" s="2">
        <v>28.31</v>
      </c>
      <c r="F4650" s="2">
        <v>2</v>
      </c>
      <c r="G4650" s="2" t="s">
        <v>13</v>
      </c>
    </row>
    <row r="4651" spans="1:9" x14ac:dyDescent="0.2">
      <c r="A4651" s="2" t="s">
        <v>3250</v>
      </c>
      <c r="B4651" s="2" t="s">
        <v>561</v>
      </c>
      <c r="C4651" s="2">
        <v>654.16859999999997</v>
      </c>
      <c r="D4651" s="2">
        <f>HYPERLINK("http://mcb-m6.bioreg.kyushu-u.ac.jp/M3/20110429/F51155/1865/1", 51.33)</f>
        <v>51.33</v>
      </c>
      <c r="E4651" s="2">
        <v>29.66</v>
      </c>
      <c r="F4651" s="2">
        <v>2</v>
      </c>
      <c r="G4651" s="2" t="s">
        <v>13</v>
      </c>
    </row>
    <row r="4652" spans="1:9" x14ac:dyDescent="0.2">
      <c r="A4652" s="2" t="s">
        <v>3250</v>
      </c>
      <c r="B4652" s="2" t="s">
        <v>365</v>
      </c>
      <c r="C4652" s="2">
        <v>849.12270000000001</v>
      </c>
      <c r="D4652" s="2">
        <f>HYPERLINK("http://mcb-m6.bioreg.kyushu-u.ac.jp/M3/20110502/F51158/2477/1", 51.44)</f>
        <v>51.44</v>
      </c>
      <c r="E4652" s="2">
        <v>30.9</v>
      </c>
      <c r="F4652" s="2">
        <v>2</v>
      </c>
      <c r="G4652" s="2" t="s">
        <v>13</v>
      </c>
    </row>
    <row r="4653" spans="1:9" x14ac:dyDescent="0.2">
      <c r="A4653" s="2" t="s">
        <v>3250</v>
      </c>
      <c r="B4653" s="2" t="s">
        <v>365</v>
      </c>
      <c r="C4653" s="2">
        <v>849.38170000000002</v>
      </c>
      <c r="D4653" s="2">
        <f>HYPERLINK("http://mcb-m6.bioreg.kyushu-u.ac.jp/M3/20110429/F51157/2249/1", 51.78)</f>
        <v>51.78</v>
      </c>
      <c r="E4653" s="2">
        <v>34.130000000000003</v>
      </c>
      <c r="F4653" s="2">
        <v>2</v>
      </c>
      <c r="G4653" s="2" t="s">
        <v>13</v>
      </c>
    </row>
    <row r="4654" spans="1:9" x14ac:dyDescent="0.2">
      <c r="A4654" s="2" t="s">
        <v>3250</v>
      </c>
      <c r="B4654" s="2" t="s">
        <v>365</v>
      </c>
      <c r="C4654" s="2">
        <v>849.02260000000001</v>
      </c>
      <c r="D4654" s="2">
        <f>HYPERLINK("http://mcb-m6.bioreg.kyushu-u.ac.jp/M3/20110502/F51158/2473/1", 51.92)</f>
        <v>51.92</v>
      </c>
      <c r="E4654" s="2">
        <v>34.549999999999997</v>
      </c>
      <c r="F4654" s="2">
        <v>2</v>
      </c>
      <c r="G4654" s="2" t="s">
        <v>13</v>
      </c>
    </row>
    <row r="4655" spans="1:9" x14ac:dyDescent="0.2">
      <c r="A4655" s="2" t="s">
        <v>3250</v>
      </c>
      <c r="B4655" s="2" t="s">
        <v>481</v>
      </c>
      <c r="C4655" s="2">
        <v>709.88170000000002</v>
      </c>
      <c r="D4655" s="2">
        <f>HYPERLINK("http://mcb-m6.bioreg.kyushu-u.ac.jp/M3/20110429/F51155/2070/1", 52.03)</f>
        <v>52.03</v>
      </c>
      <c r="E4655" s="2">
        <v>29.64</v>
      </c>
      <c r="F4655" s="2">
        <v>2</v>
      </c>
      <c r="G4655" s="2" t="s">
        <v>13</v>
      </c>
      <c r="I4655" s="2" t="s">
        <v>4898</v>
      </c>
    </row>
    <row r="4656" spans="1:9" x14ac:dyDescent="0.2">
      <c r="A4656" s="2" t="s">
        <v>3250</v>
      </c>
      <c r="B4656" s="2" t="s">
        <v>481</v>
      </c>
      <c r="C4656" s="2">
        <v>709.38819999999998</v>
      </c>
      <c r="D4656" s="2">
        <f>HYPERLINK("http://mcb-m6.bioreg.kyushu-u.ac.jp/M3/20110429/F51155/2067/1", 52.21)</f>
        <v>52.21</v>
      </c>
      <c r="E4656" s="2">
        <v>34.42</v>
      </c>
      <c r="F4656" s="2">
        <v>2</v>
      </c>
      <c r="G4656" s="2" t="s">
        <v>13</v>
      </c>
      <c r="I4656" s="2" t="s">
        <v>4898</v>
      </c>
    </row>
    <row r="4657" spans="1:9" x14ac:dyDescent="0.2">
      <c r="A4657" s="2" t="s">
        <v>3250</v>
      </c>
      <c r="B4657" s="2" t="s">
        <v>365</v>
      </c>
      <c r="C4657" s="2">
        <v>848.87959999999998</v>
      </c>
      <c r="D4657" s="2">
        <f>HYPERLINK("http://mcb-m6.bioreg.kyushu-u.ac.jp/M3/20110502/F51163/2337/1", 52.33)</f>
        <v>52.33</v>
      </c>
      <c r="E4657" s="2">
        <v>38.700000000000003</v>
      </c>
      <c r="F4657" s="2">
        <v>2</v>
      </c>
      <c r="G4657" s="2" t="s">
        <v>13</v>
      </c>
    </row>
    <row r="4658" spans="1:9" x14ac:dyDescent="0.2">
      <c r="A4658" s="2" t="s">
        <v>3250</v>
      </c>
      <c r="B4658" s="2" t="s">
        <v>561</v>
      </c>
      <c r="C4658" s="2">
        <v>654.29570000000001</v>
      </c>
      <c r="D4658" s="2">
        <f>HYPERLINK("http://mcb-m6.bioreg.kyushu-u.ac.jp/M3/20110502/F51164/1232/1", 52.38)</f>
        <v>52.38</v>
      </c>
      <c r="E4658" s="2">
        <v>29.44</v>
      </c>
      <c r="F4658" s="2">
        <v>2</v>
      </c>
      <c r="G4658" s="2" t="s">
        <v>13</v>
      </c>
    </row>
    <row r="4659" spans="1:9" x14ac:dyDescent="0.2">
      <c r="A4659" s="2" t="s">
        <v>3250</v>
      </c>
      <c r="B4659" s="2" t="s">
        <v>481</v>
      </c>
      <c r="C4659" s="2">
        <v>1417.857</v>
      </c>
      <c r="D4659" s="2">
        <f>HYPERLINK("http://mcb-m6.bioreg.kyushu-u.ac.jp/M3/20110429/F51156/1826/1", 52.39)</f>
        <v>52.39</v>
      </c>
      <c r="E4659" s="2">
        <v>22.76</v>
      </c>
      <c r="F4659" s="2">
        <v>1</v>
      </c>
      <c r="G4659" s="2" t="s">
        <v>13</v>
      </c>
      <c r="I4659" s="2" t="s">
        <v>4898</v>
      </c>
    </row>
    <row r="4660" spans="1:9" x14ac:dyDescent="0.2">
      <c r="A4660" s="2" t="s">
        <v>3250</v>
      </c>
      <c r="B4660" s="2" t="s">
        <v>90</v>
      </c>
      <c r="C4660" s="2">
        <v>717.05870000000004</v>
      </c>
      <c r="D4660" s="2">
        <f>HYPERLINK("http://mcb-m6.bioreg.kyushu-u.ac.jp/M3/20110429/F51150/2041/1", 52.49)</f>
        <v>52.49</v>
      </c>
      <c r="E4660" s="2">
        <v>31.25</v>
      </c>
      <c r="F4660" s="2">
        <v>2</v>
      </c>
      <c r="G4660" s="2" t="s">
        <v>13</v>
      </c>
    </row>
    <row r="4661" spans="1:9" x14ac:dyDescent="0.2">
      <c r="A4661" s="2" t="s">
        <v>3250</v>
      </c>
      <c r="B4661" s="2" t="s">
        <v>365</v>
      </c>
      <c r="C4661" s="2">
        <v>849.3732</v>
      </c>
      <c r="D4661" s="2">
        <f>HYPERLINK("http://mcb-m6.bioreg.kyushu-u.ac.jp/M3/20110429/F51156/2477/1", 52.73)</f>
        <v>52.73</v>
      </c>
      <c r="E4661" s="2">
        <v>34.93</v>
      </c>
      <c r="F4661" s="2">
        <v>2</v>
      </c>
      <c r="G4661" s="2" t="s">
        <v>13</v>
      </c>
    </row>
    <row r="4662" spans="1:9" x14ac:dyDescent="0.2">
      <c r="A4662" s="2" t="s">
        <v>3250</v>
      </c>
      <c r="B4662" s="2" t="s">
        <v>467</v>
      </c>
      <c r="C4662" s="2">
        <v>691.84860000000003</v>
      </c>
      <c r="D4662" s="2">
        <f>HYPERLINK("http://mcb-m6.bioreg.kyushu-u.ac.jp/M3/20110429/F51149/1909/1", 53.36)</f>
        <v>53.36</v>
      </c>
      <c r="E4662" s="2">
        <v>36.25</v>
      </c>
      <c r="F4662" s="2">
        <v>2</v>
      </c>
      <c r="G4662" s="2" t="s">
        <v>13</v>
      </c>
    </row>
    <row r="4663" spans="1:9" x14ac:dyDescent="0.2">
      <c r="A4663" s="2" t="s">
        <v>3250</v>
      </c>
      <c r="B4663" s="2" t="s">
        <v>365</v>
      </c>
      <c r="C4663" s="2">
        <v>849.54470000000003</v>
      </c>
      <c r="D4663" s="2">
        <f>HYPERLINK("http://mcb-m6.bioreg.kyushu-u.ac.jp/M3/20110428/F51146/2489/1", 53.53)</f>
        <v>53.53</v>
      </c>
      <c r="E4663" s="2">
        <v>37.880000000000003</v>
      </c>
      <c r="F4663" s="2">
        <v>2</v>
      </c>
      <c r="G4663" s="2" t="s">
        <v>13</v>
      </c>
    </row>
    <row r="4664" spans="1:9" x14ac:dyDescent="0.2">
      <c r="A4664" s="2" t="s">
        <v>3250</v>
      </c>
      <c r="B4664" s="2" t="s">
        <v>561</v>
      </c>
      <c r="C4664" s="2">
        <v>662.34169999999995</v>
      </c>
      <c r="D4664" s="2">
        <f>HYPERLINK("http://mcb-m6.bioreg.kyushu-u.ac.jp/M3/20110429/F51156/1578/1", 53.67)</f>
        <v>53.67</v>
      </c>
      <c r="E4664" s="2">
        <v>34.08</v>
      </c>
      <c r="F4664" s="2">
        <v>2</v>
      </c>
      <c r="G4664" s="2" t="s">
        <v>13</v>
      </c>
      <c r="H4664" s="2" t="s">
        <v>4919</v>
      </c>
    </row>
    <row r="4665" spans="1:9" x14ac:dyDescent="0.2">
      <c r="A4665" s="2" t="s">
        <v>3250</v>
      </c>
      <c r="B4665" s="2" t="s">
        <v>90</v>
      </c>
      <c r="C4665" s="2">
        <v>717.27369999999996</v>
      </c>
      <c r="D4665" s="2">
        <f>HYPERLINK("http://mcb-m6.bioreg.kyushu-u.ac.jp/M3/20110429/F51154/1873/1", 53.81)</f>
        <v>53.81</v>
      </c>
      <c r="E4665" s="2">
        <v>10.62</v>
      </c>
      <c r="F4665" s="2">
        <v>2</v>
      </c>
      <c r="G4665" s="2" t="s">
        <v>13</v>
      </c>
    </row>
    <row r="4666" spans="1:9" x14ac:dyDescent="0.2">
      <c r="A4666" s="2" t="s">
        <v>3250</v>
      </c>
      <c r="B4666" s="2" t="s">
        <v>1065</v>
      </c>
      <c r="C4666" s="2">
        <v>716.85860000000002</v>
      </c>
      <c r="D4666" s="2">
        <f>HYPERLINK("http://mcb-m6.bioreg.kyushu-u.ac.jp/M3/20110429/F51154/1867/1", 53.96)</f>
        <v>53.96</v>
      </c>
      <c r="E4666" s="2">
        <v>45.42</v>
      </c>
      <c r="F4666" s="2">
        <v>2</v>
      </c>
      <c r="G4666" s="2" t="s">
        <v>13</v>
      </c>
      <c r="I4666" s="2" t="s">
        <v>4892</v>
      </c>
    </row>
    <row r="4667" spans="1:9" x14ac:dyDescent="0.2">
      <c r="A4667" s="2" t="s">
        <v>3250</v>
      </c>
      <c r="B4667" s="2" t="s">
        <v>503</v>
      </c>
      <c r="C4667" s="2">
        <v>816.38919999999996</v>
      </c>
      <c r="D4667" s="2">
        <f>HYPERLINK("http://mcb-m6.bioreg.kyushu-u.ac.jp/M3/20110429/F51154/2446/1", 54.4)</f>
        <v>54.4</v>
      </c>
      <c r="E4667" s="2">
        <v>33.049999999999997</v>
      </c>
      <c r="F4667" s="2">
        <v>2</v>
      </c>
      <c r="G4667" s="2" t="s">
        <v>13</v>
      </c>
      <c r="H4667" s="2" t="s">
        <v>4907</v>
      </c>
    </row>
    <row r="4668" spans="1:9" x14ac:dyDescent="0.2">
      <c r="A4668" s="2" t="s">
        <v>3250</v>
      </c>
      <c r="B4668" s="2" t="s">
        <v>311</v>
      </c>
      <c r="C4668" s="2">
        <v>598.92219999999998</v>
      </c>
      <c r="D4668" s="2">
        <f>HYPERLINK("http://mcb-m6.bioreg.kyushu-u.ac.jp/M3/20110502/F51163/1134/1", 54.86)</f>
        <v>54.86</v>
      </c>
      <c r="E4668" s="2">
        <v>39.79</v>
      </c>
      <c r="F4668" s="2">
        <v>2</v>
      </c>
      <c r="G4668" s="2" t="s">
        <v>13</v>
      </c>
    </row>
    <row r="4669" spans="1:9" x14ac:dyDescent="0.2">
      <c r="A4669" s="2" t="s">
        <v>3250</v>
      </c>
      <c r="B4669" s="2" t="s">
        <v>311</v>
      </c>
      <c r="C4669" s="2">
        <v>599.00019999999995</v>
      </c>
      <c r="D4669" s="2">
        <f>HYPERLINK("http://mcb-m6.bioreg.kyushu-u.ac.jp/M3/20110502/F51158/1222/1", 55.04)</f>
        <v>55.04</v>
      </c>
      <c r="E4669" s="2">
        <v>32.24</v>
      </c>
      <c r="F4669" s="2">
        <v>2</v>
      </c>
      <c r="G4669" s="2" t="s">
        <v>13</v>
      </c>
    </row>
    <row r="4670" spans="1:9" x14ac:dyDescent="0.2">
      <c r="A4670" s="2" t="s">
        <v>3250</v>
      </c>
      <c r="B4670" s="2" t="s">
        <v>772</v>
      </c>
      <c r="C4670" s="2">
        <v>1190.6890000000001</v>
      </c>
      <c r="D4670" s="2">
        <f>HYPERLINK("http://mcb-m6.bioreg.kyushu-u.ac.jp/M3/20110502/F51164/1001/1", 55.78)</f>
        <v>55.78</v>
      </c>
      <c r="E4670" s="2">
        <v>26</v>
      </c>
      <c r="F4670" s="2">
        <v>1</v>
      </c>
      <c r="G4670" s="2" t="s">
        <v>13</v>
      </c>
    </row>
    <row r="4671" spans="1:9" x14ac:dyDescent="0.2">
      <c r="A4671" s="2" t="s">
        <v>3250</v>
      </c>
      <c r="B4671" s="2" t="s">
        <v>365</v>
      </c>
      <c r="C4671" s="2">
        <v>848.89170000000001</v>
      </c>
      <c r="D4671" s="2">
        <f>HYPERLINK("http://mcb-m6.bioreg.kyushu-u.ac.jp/M3/20110429/F51156/2470/1", 55.8)</f>
        <v>55.8</v>
      </c>
      <c r="E4671" s="2">
        <v>40.36</v>
      </c>
      <c r="F4671" s="2">
        <v>2</v>
      </c>
      <c r="G4671" s="2" t="s">
        <v>13</v>
      </c>
    </row>
    <row r="4672" spans="1:9" x14ac:dyDescent="0.2">
      <c r="A4672" s="2" t="s">
        <v>3250</v>
      </c>
      <c r="B4672" s="2" t="s">
        <v>365</v>
      </c>
      <c r="C4672" s="2">
        <v>849.36360000000002</v>
      </c>
      <c r="D4672" s="2">
        <f>HYPERLINK("http://mcb-m6.bioreg.kyushu-u.ac.jp/M3/20110429/F51154/2619/1", 56.21)</f>
        <v>56.21</v>
      </c>
      <c r="E4672" s="2">
        <v>43.41</v>
      </c>
      <c r="F4672" s="2">
        <v>2</v>
      </c>
      <c r="G4672" s="2" t="s">
        <v>13</v>
      </c>
    </row>
    <row r="4673" spans="1:9" x14ac:dyDescent="0.2">
      <c r="A4673" s="2" t="s">
        <v>3250</v>
      </c>
      <c r="B4673" s="2" t="s">
        <v>77</v>
      </c>
      <c r="C4673" s="2">
        <v>574.70510000000002</v>
      </c>
      <c r="D4673" s="2">
        <f>HYPERLINK("http://mcb-m6.bioreg.kyushu-u.ac.jp/M3/20110429/F51154/1080/1", 56.29)</f>
        <v>56.29</v>
      </c>
      <c r="E4673" s="2">
        <v>33.68</v>
      </c>
      <c r="F4673" s="2">
        <v>2</v>
      </c>
      <c r="G4673" s="2" t="s">
        <v>13</v>
      </c>
    </row>
    <row r="4674" spans="1:9" x14ac:dyDescent="0.2">
      <c r="A4674" s="2" t="s">
        <v>3250</v>
      </c>
      <c r="B4674" s="2" t="s">
        <v>561</v>
      </c>
      <c r="C4674" s="2">
        <v>654.92570000000001</v>
      </c>
      <c r="D4674" s="2">
        <f>HYPERLINK("http://mcb-m6.bioreg.kyushu-u.ac.jp/M3/20110502/F51164/1238/1", 56.4)</f>
        <v>56.4</v>
      </c>
      <c r="E4674" s="2">
        <v>36.409999999999997</v>
      </c>
      <c r="F4674" s="2">
        <v>2</v>
      </c>
      <c r="G4674" s="2" t="s">
        <v>13</v>
      </c>
    </row>
    <row r="4675" spans="1:9" x14ac:dyDescent="0.2">
      <c r="A4675" s="2" t="s">
        <v>3250</v>
      </c>
      <c r="B4675" s="2" t="s">
        <v>365</v>
      </c>
      <c r="C4675" s="2">
        <v>848.77120000000002</v>
      </c>
      <c r="D4675" s="2">
        <f>HYPERLINK("http://mcb-m6.bioreg.kyushu-u.ac.jp/M3/20110429/F51155/2647/1", 56.83)</f>
        <v>56.83</v>
      </c>
      <c r="E4675" s="2">
        <v>43.57</v>
      </c>
      <c r="F4675" s="2">
        <v>2</v>
      </c>
      <c r="G4675" s="2" t="s">
        <v>13</v>
      </c>
    </row>
    <row r="4676" spans="1:9" x14ac:dyDescent="0.2">
      <c r="A4676" s="2" t="s">
        <v>3250</v>
      </c>
      <c r="B4676" s="2" t="s">
        <v>365</v>
      </c>
      <c r="C4676" s="2">
        <v>849.28470000000004</v>
      </c>
      <c r="D4676" s="2">
        <f>HYPERLINK("http://mcb-m6.bioreg.kyushu-u.ac.jp/M3/20110502/F51158/2478/1", 57.01)</f>
        <v>57.01</v>
      </c>
      <c r="E4676" s="2">
        <v>42.07</v>
      </c>
      <c r="F4676" s="2">
        <v>2</v>
      </c>
      <c r="G4676" s="2" t="s">
        <v>13</v>
      </c>
    </row>
    <row r="4677" spans="1:9" x14ac:dyDescent="0.2">
      <c r="A4677" s="2" t="s">
        <v>3250</v>
      </c>
      <c r="B4677" s="2" t="s">
        <v>311</v>
      </c>
      <c r="C4677" s="2">
        <v>598.81960000000004</v>
      </c>
      <c r="D4677" s="2">
        <f>HYPERLINK("http://mcb-m6.bioreg.kyushu-u.ac.jp/M3/20110429/F51155/1665/1", 57.05)</f>
        <v>57.05</v>
      </c>
      <c r="E4677" s="2">
        <v>38.86</v>
      </c>
      <c r="F4677" s="2">
        <v>2</v>
      </c>
      <c r="G4677" s="2" t="s">
        <v>13</v>
      </c>
    </row>
    <row r="4678" spans="1:9" x14ac:dyDescent="0.2">
      <c r="A4678" s="2" t="s">
        <v>3250</v>
      </c>
      <c r="B4678" s="2" t="s">
        <v>365</v>
      </c>
      <c r="C4678" s="2">
        <v>849.30409999999995</v>
      </c>
      <c r="D4678" s="2">
        <f>HYPERLINK("http://mcb-m6.bioreg.kyushu-u.ac.jp/M3/20110429/F51154/2616/1", 57.09)</f>
        <v>57.09</v>
      </c>
      <c r="E4678" s="2">
        <v>42.49</v>
      </c>
      <c r="F4678" s="2">
        <v>2</v>
      </c>
      <c r="G4678" s="2" t="s">
        <v>13</v>
      </c>
    </row>
    <row r="4679" spans="1:9" x14ac:dyDescent="0.2">
      <c r="A4679" s="2" t="s">
        <v>3250</v>
      </c>
      <c r="B4679" s="2" t="s">
        <v>311</v>
      </c>
      <c r="C4679" s="2">
        <v>599.32169999999996</v>
      </c>
      <c r="D4679" s="2">
        <f>HYPERLINK("http://mcb-m6.bioreg.kyushu-u.ac.jp/M3/20110429/F51154/1231/1", 57.4)</f>
        <v>57.4</v>
      </c>
      <c r="E4679" s="2">
        <v>39.409999999999997</v>
      </c>
      <c r="F4679" s="2">
        <v>2</v>
      </c>
      <c r="G4679" s="2" t="s">
        <v>13</v>
      </c>
    </row>
    <row r="4680" spans="1:9" x14ac:dyDescent="0.2">
      <c r="A4680" s="2" t="s">
        <v>3250</v>
      </c>
      <c r="B4680" s="2" t="s">
        <v>365</v>
      </c>
      <c r="C4680" s="2">
        <v>1696.7439999999999</v>
      </c>
      <c r="D4680" s="2">
        <f>HYPERLINK("http://mcb-m6.bioreg.kyushu-u.ac.jp/M3/20110429/F51154/2614/1", 57.58)</f>
        <v>57.58</v>
      </c>
      <c r="E4680" s="2">
        <v>39.619999999999997</v>
      </c>
      <c r="F4680" s="2">
        <v>1</v>
      </c>
      <c r="G4680" s="2" t="s">
        <v>13</v>
      </c>
    </row>
    <row r="4681" spans="1:9" x14ac:dyDescent="0.2">
      <c r="A4681" s="2" t="s">
        <v>3250</v>
      </c>
      <c r="B4681" s="2" t="s">
        <v>365</v>
      </c>
      <c r="C4681" s="2">
        <v>849.15920000000006</v>
      </c>
      <c r="D4681" s="2">
        <f>HYPERLINK("http://mcb-m6.bioreg.kyushu-u.ac.jp/M3/20110428/F51147/2396/1", 57.75)</f>
        <v>57.75</v>
      </c>
      <c r="E4681" s="2">
        <v>40.82</v>
      </c>
      <c r="F4681" s="2">
        <v>2</v>
      </c>
      <c r="G4681" s="2" t="s">
        <v>13</v>
      </c>
    </row>
    <row r="4682" spans="1:9" x14ac:dyDescent="0.2">
      <c r="A4682" s="2" t="s">
        <v>3250</v>
      </c>
      <c r="B4682" s="2" t="s">
        <v>772</v>
      </c>
      <c r="C4682" s="2">
        <v>595.7192</v>
      </c>
      <c r="D4682" s="2">
        <f>HYPERLINK("http://mcb-m6.bioreg.kyushu-u.ac.jp/M3/20110429/F51156/1321/1", 58.31)</f>
        <v>58.31</v>
      </c>
      <c r="E4682" s="2">
        <v>31.79</v>
      </c>
      <c r="F4682" s="2">
        <v>2</v>
      </c>
      <c r="G4682" s="2" t="s">
        <v>13</v>
      </c>
    </row>
    <row r="4683" spans="1:9" x14ac:dyDescent="0.2">
      <c r="A4683" s="2" t="s">
        <v>3250</v>
      </c>
      <c r="B4683" s="2" t="s">
        <v>365</v>
      </c>
      <c r="C4683" s="2">
        <v>849.15719999999999</v>
      </c>
      <c r="D4683" s="2">
        <f>HYPERLINK("http://mcb-m6.bioreg.kyushu-u.ac.jp/M3/20110429/F51150/2510/1", 58.69)</f>
        <v>58.69</v>
      </c>
      <c r="E4683" s="2">
        <v>44.4</v>
      </c>
      <c r="F4683" s="2">
        <v>2</v>
      </c>
      <c r="G4683" s="2" t="s">
        <v>13</v>
      </c>
    </row>
    <row r="4684" spans="1:9" x14ac:dyDescent="0.2">
      <c r="A4684" s="2" t="s">
        <v>3250</v>
      </c>
      <c r="B4684" s="2" t="s">
        <v>365</v>
      </c>
      <c r="C4684" s="2">
        <v>848.81709999999998</v>
      </c>
      <c r="D4684" s="2">
        <f>HYPERLINK("http://mcb-m6.bioreg.kyushu-u.ac.jp/M3/20110429/F51156/2468/1", 59.1)</f>
        <v>59.1</v>
      </c>
      <c r="E4684" s="2">
        <v>39.44</v>
      </c>
      <c r="F4684" s="2">
        <v>2</v>
      </c>
      <c r="G4684" s="2" t="s">
        <v>13</v>
      </c>
    </row>
    <row r="4685" spans="1:9" x14ac:dyDescent="0.2">
      <c r="A4685" s="2" t="s">
        <v>3250</v>
      </c>
      <c r="B4685" s="2" t="s">
        <v>772</v>
      </c>
      <c r="C4685" s="2">
        <v>595.76869999999997</v>
      </c>
      <c r="D4685" s="2">
        <f>HYPERLINK("http://mcb-m6.bioreg.kyushu-u.ac.jp/M3/20110429/F51157/1037/1", 59.24)</f>
        <v>59.24</v>
      </c>
      <c r="E4685" s="2">
        <v>38.53</v>
      </c>
      <c r="F4685" s="2">
        <v>2</v>
      </c>
      <c r="G4685" s="2" t="s">
        <v>13</v>
      </c>
    </row>
    <row r="4686" spans="1:9" x14ac:dyDescent="0.2">
      <c r="A4686" s="2" t="s">
        <v>3250</v>
      </c>
      <c r="B4686" s="2" t="s">
        <v>481</v>
      </c>
      <c r="C4686" s="2">
        <v>709.8922</v>
      </c>
      <c r="D4686" s="2">
        <f>HYPERLINK("http://mcb-m6.bioreg.kyushu-u.ac.jp/M3/20110429/F51155/2072/1", 59.75)</f>
        <v>59.75</v>
      </c>
      <c r="E4686" s="2">
        <v>38.39</v>
      </c>
      <c r="F4686" s="2">
        <v>2</v>
      </c>
      <c r="G4686" s="2" t="s">
        <v>13</v>
      </c>
      <c r="I4686" s="2" t="s">
        <v>4898</v>
      </c>
    </row>
    <row r="4687" spans="1:9" x14ac:dyDescent="0.2">
      <c r="A4687" s="2" t="s">
        <v>3250</v>
      </c>
      <c r="B4687" s="2" t="s">
        <v>365</v>
      </c>
      <c r="C4687" s="2">
        <v>848.89170000000001</v>
      </c>
      <c r="D4687" s="2">
        <f>HYPERLINK("http://mcb-m6.bioreg.kyushu-u.ac.jp/M3/20110429/F51154/2615/1", 60.05)</f>
        <v>60.05</v>
      </c>
      <c r="E4687" s="2">
        <v>41.39</v>
      </c>
      <c r="F4687" s="2">
        <v>2</v>
      </c>
      <c r="G4687" s="2" t="s">
        <v>13</v>
      </c>
    </row>
    <row r="4688" spans="1:9" x14ac:dyDescent="0.2">
      <c r="A4688" s="2" t="s">
        <v>3250</v>
      </c>
      <c r="B4688" s="2" t="s">
        <v>365</v>
      </c>
      <c r="C4688" s="2">
        <v>849.34860000000003</v>
      </c>
      <c r="D4688" s="2">
        <f>HYPERLINK("http://mcb-m6.bioreg.kyushu-u.ac.jp/M3/20110429/F51151/2573/1", 60.31)</f>
        <v>60.31</v>
      </c>
      <c r="E4688" s="2">
        <v>47.14</v>
      </c>
      <c r="F4688" s="2">
        <v>2</v>
      </c>
      <c r="G4688" s="2" t="s">
        <v>13</v>
      </c>
    </row>
    <row r="4689" spans="1:9" x14ac:dyDescent="0.2">
      <c r="A4689" s="2" t="s">
        <v>3250</v>
      </c>
      <c r="B4689" s="2" t="s">
        <v>1065</v>
      </c>
      <c r="C4689" s="2">
        <v>716.85519999999997</v>
      </c>
      <c r="D4689" s="2">
        <f>HYPERLINK("http://mcb-m6.bioreg.kyushu-u.ac.jp/M3/20110428/F51147/1925/1", 60.58)</f>
        <v>60.58</v>
      </c>
      <c r="E4689" s="2">
        <v>43.4</v>
      </c>
      <c r="F4689" s="2">
        <v>2</v>
      </c>
      <c r="G4689" s="2" t="s">
        <v>13</v>
      </c>
      <c r="I4689" s="2" t="s">
        <v>4892</v>
      </c>
    </row>
    <row r="4690" spans="1:9" x14ac:dyDescent="0.2">
      <c r="A4690" s="2" t="s">
        <v>3250</v>
      </c>
      <c r="B4690" s="2" t="s">
        <v>467</v>
      </c>
      <c r="C4690" s="2">
        <v>692.28920000000005</v>
      </c>
      <c r="D4690" s="2">
        <f>HYPERLINK("http://mcb-m6.bioreg.kyushu-u.ac.jp/M3/20110429/F51154/1739/1", 61.06)</f>
        <v>61.06</v>
      </c>
      <c r="E4690" s="2">
        <v>34.659999999999997</v>
      </c>
      <c r="F4690" s="2">
        <v>2</v>
      </c>
      <c r="G4690" s="2" t="s">
        <v>13</v>
      </c>
    </row>
    <row r="4691" spans="1:9" x14ac:dyDescent="0.2">
      <c r="A4691" s="2" t="s">
        <v>3250</v>
      </c>
      <c r="B4691" s="2" t="s">
        <v>772</v>
      </c>
      <c r="C4691" s="2">
        <v>596.35360000000003</v>
      </c>
      <c r="D4691" s="2">
        <f>HYPERLINK("http://mcb-m6.bioreg.kyushu-u.ac.jp/M3/20110502/F51164/1012/1", 61.36)</f>
        <v>61.36</v>
      </c>
      <c r="E4691" s="2">
        <v>43.49</v>
      </c>
      <c r="F4691" s="2">
        <v>2</v>
      </c>
      <c r="G4691" s="2" t="s">
        <v>13</v>
      </c>
    </row>
    <row r="4692" spans="1:9" x14ac:dyDescent="0.2">
      <c r="A4692" s="2" t="s">
        <v>3250</v>
      </c>
      <c r="B4692" s="2" t="s">
        <v>365</v>
      </c>
      <c r="C4692" s="2">
        <v>849.01670000000001</v>
      </c>
      <c r="D4692" s="2">
        <f>HYPERLINK("http://mcb-m6.bioreg.kyushu-u.ac.jp/M3/20110502/F51164/2268/1", 61.78)</f>
        <v>61.78</v>
      </c>
      <c r="E4692" s="2">
        <v>46.83</v>
      </c>
      <c r="F4692" s="2">
        <v>2</v>
      </c>
      <c r="G4692" s="2" t="s">
        <v>13</v>
      </c>
    </row>
    <row r="4693" spans="1:9" x14ac:dyDescent="0.2">
      <c r="A4693" s="2" t="s">
        <v>3250</v>
      </c>
      <c r="B4693" s="2" t="s">
        <v>543</v>
      </c>
      <c r="C4693" s="2">
        <v>927.59169999999995</v>
      </c>
      <c r="D4693" s="2">
        <f>HYPERLINK("http://mcb-m6.bioreg.kyushu-u.ac.jp/M3/20110429/F51154/3025/1", 62.05)</f>
        <v>62.05</v>
      </c>
      <c r="E4693" s="2">
        <v>44.17</v>
      </c>
      <c r="F4693" s="2">
        <v>2</v>
      </c>
      <c r="G4693" s="2" t="s">
        <v>13</v>
      </c>
    </row>
    <row r="4694" spans="1:9" x14ac:dyDescent="0.2">
      <c r="A4694" s="2" t="s">
        <v>3250</v>
      </c>
      <c r="B4694" s="2" t="s">
        <v>102</v>
      </c>
      <c r="C4694" s="2">
        <v>616.70209999999997</v>
      </c>
      <c r="D4694" s="2">
        <f>HYPERLINK("http://mcb-m6.bioreg.kyushu-u.ac.jp/M3/20110429/F51153/1251/1", 62.22)</f>
        <v>62.22</v>
      </c>
      <c r="E4694" s="2">
        <v>45.14</v>
      </c>
      <c r="F4694" s="2">
        <v>2</v>
      </c>
      <c r="G4694" s="2" t="s">
        <v>13</v>
      </c>
      <c r="H4694" s="2" t="s">
        <v>4900</v>
      </c>
    </row>
    <row r="4695" spans="1:9" x14ac:dyDescent="0.2">
      <c r="A4695" s="2" t="s">
        <v>3250</v>
      </c>
      <c r="B4695" s="2" t="s">
        <v>481</v>
      </c>
      <c r="C4695" s="2">
        <v>709.74159999999995</v>
      </c>
      <c r="D4695" s="2">
        <f>HYPERLINK("http://mcb-m6.bioreg.kyushu-u.ac.jp/M3/20110429/F51150/2014/1", 62.29)</f>
        <v>62.29</v>
      </c>
      <c r="E4695" s="2">
        <v>30.45</v>
      </c>
      <c r="F4695" s="2">
        <v>2</v>
      </c>
      <c r="G4695" s="2" t="s">
        <v>13</v>
      </c>
      <c r="I4695" s="2" t="s">
        <v>4898</v>
      </c>
    </row>
    <row r="4696" spans="1:9" x14ac:dyDescent="0.2">
      <c r="A4696" s="2" t="s">
        <v>3250</v>
      </c>
      <c r="B4696" s="2" t="s">
        <v>90</v>
      </c>
      <c r="C4696" s="2">
        <v>717.05160000000001</v>
      </c>
      <c r="D4696" s="2">
        <f>HYPERLINK("http://mcb-m6.bioreg.kyushu-u.ac.jp/M3/20110502/F51163/1647/1", 62.51)</f>
        <v>62.51</v>
      </c>
      <c r="E4696" s="2">
        <v>41.58</v>
      </c>
      <c r="F4696" s="2">
        <v>2</v>
      </c>
      <c r="G4696" s="2" t="s">
        <v>13</v>
      </c>
    </row>
    <row r="4697" spans="1:9" x14ac:dyDescent="0.2">
      <c r="A4697" s="2" t="s">
        <v>3250</v>
      </c>
      <c r="B4697" s="2" t="s">
        <v>561</v>
      </c>
      <c r="C4697" s="2">
        <v>654.77369999999996</v>
      </c>
      <c r="D4697" s="2">
        <f>HYPERLINK("http://mcb-m6.bioreg.kyushu-u.ac.jp/M3/20110429/F51157/1307/1", 62.56)</f>
        <v>62.56</v>
      </c>
      <c r="E4697" s="2">
        <v>45.31</v>
      </c>
      <c r="F4697" s="2">
        <v>2</v>
      </c>
      <c r="G4697" s="2" t="s">
        <v>13</v>
      </c>
    </row>
    <row r="4698" spans="1:9" x14ac:dyDescent="0.2">
      <c r="A4698" s="2" t="s">
        <v>3250</v>
      </c>
      <c r="B4698" s="2" t="s">
        <v>481</v>
      </c>
      <c r="C4698" s="2">
        <v>709.63070000000005</v>
      </c>
      <c r="D4698" s="2">
        <f>HYPERLINK("http://mcb-m6.bioreg.kyushu-u.ac.jp/M3/20110502/F51164/1541/1", 62.88)</f>
        <v>62.88</v>
      </c>
      <c r="E4698" s="2">
        <v>44.11</v>
      </c>
      <c r="F4698" s="2">
        <v>2</v>
      </c>
      <c r="G4698" s="2" t="s">
        <v>13</v>
      </c>
      <c r="I4698" s="2" t="s">
        <v>4898</v>
      </c>
    </row>
    <row r="4699" spans="1:9" x14ac:dyDescent="0.2">
      <c r="A4699" s="2" t="s">
        <v>3250</v>
      </c>
      <c r="B4699" s="2" t="s">
        <v>90</v>
      </c>
      <c r="C4699" s="2">
        <v>717.19119999999998</v>
      </c>
      <c r="D4699" s="2">
        <f>HYPERLINK("http://mcb-m6.bioreg.kyushu-u.ac.jp/M3/20110429/F51155/2105/1", 63.28)</f>
        <v>63.28</v>
      </c>
      <c r="E4699" s="2">
        <v>35.72</v>
      </c>
      <c r="F4699" s="2">
        <v>2</v>
      </c>
      <c r="G4699" s="2" t="s">
        <v>13</v>
      </c>
    </row>
    <row r="4700" spans="1:9" x14ac:dyDescent="0.2">
      <c r="A4700" s="2" t="s">
        <v>3250</v>
      </c>
      <c r="B4700" s="2" t="s">
        <v>102</v>
      </c>
      <c r="C4700" s="2">
        <v>616.7817</v>
      </c>
      <c r="D4700" s="2">
        <f>HYPERLINK("http://mcb-m6.bioreg.kyushu-u.ac.jp/M3/20110429/F51156/1413/1", 63.68)</f>
        <v>63.68</v>
      </c>
      <c r="E4700" s="2">
        <v>48.88</v>
      </c>
      <c r="F4700" s="2">
        <v>2</v>
      </c>
      <c r="G4700" s="2" t="s">
        <v>13</v>
      </c>
      <c r="H4700" s="2" t="s">
        <v>4900</v>
      </c>
    </row>
    <row r="4701" spans="1:9" x14ac:dyDescent="0.2">
      <c r="A4701" s="2" t="s">
        <v>3250</v>
      </c>
      <c r="B4701" s="2" t="s">
        <v>365</v>
      </c>
      <c r="C4701" s="2">
        <v>849.39120000000003</v>
      </c>
      <c r="D4701" s="2">
        <f>HYPERLINK("http://mcb-m6.bioreg.kyushu-u.ac.jp/M3/20110429/F51156/2478/1", 63.68)</f>
        <v>63.68</v>
      </c>
      <c r="E4701" s="2">
        <v>48.56</v>
      </c>
      <c r="F4701" s="2">
        <v>2</v>
      </c>
      <c r="G4701" s="2" t="s">
        <v>13</v>
      </c>
    </row>
    <row r="4702" spans="1:9" x14ac:dyDescent="0.2">
      <c r="A4702" s="2" t="s">
        <v>3250</v>
      </c>
      <c r="B4702" s="2" t="s">
        <v>365</v>
      </c>
      <c r="C4702" s="2">
        <v>848.84270000000004</v>
      </c>
      <c r="D4702" s="2">
        <f>HYPERLINK("http://mcb-m6.bioreg.kyushu-u.ac.jp/M3/20110502/F51164/2263/1", 64.11)</f>
        <v>64.11</v>
      </c>
      <c r="E4702" s="2">
        <v>44.53</v>
      </c>
      <c r="F4702" s="2">
        <v>2</v>
      </c>
      <c r="G4702" s="2" t="s">
        <v>13</v>
      </c>
    </row>
    <row r="4703" spans="1:9" x14ac:dyDescent="0.2">
      <c r="A4703" s="2" t="s">
        <v>3250</v>
      </c>
      <c r="B4703" s="2" t="s">
        <v>90</v>
      </c>
      <c r="C4703" s="2">
        <v>717.28769999999997</v>
      </c>
      <c r="D4703" s="2">
        <f>HYPERLINK("http://mcb-m6.bioreg.kyushu-u.ac.jp/M3/20110429/F51155/2107/1", 64.32)</f>
        <v>64.319999999999993</v>
      </c>
      <c r="E4703" s="2">
        <v>39.33</v>
      </c>
      <c r="F4703" s="2">
        <v>2</v>
      </c>
      <c r="G4703" s="2" t="s">
        <v>13</v>
      </c>
    </row>
    <row r="4704" spans="1:9" x14ac:dyDescent="0.2">
      <c r="A4704" s="2" t="s">
        <v>3250</v>
      </c>
      <c r="B4704" s="2" t="s">
        <v>311</v>
      </c>
      <c r="C4704" s="2">
        <v>598.80160000000001</v>
      </c>
      <c r="D4704" s="2">
        <f>HYPERLINK("http://mcb-m6.bioreg.kyushu-u.ac.jp/M3/20110429/F51154/1228/1", 64.34)</f>
        <v>64.34</v>
      </c>
      <c r="E4704" s="2">
        <v>43.44</v>
      </c>
      <c r="F4704" s="2">
        <v>2</v>
      </c>
      <c r="G4704" s="2" t="s">
        <v>13</v>
      </c>
    </row>
    <row r="4705" spans="1:9" x14ac:dyDescent="0.2">
      <c r="A4705" s="2" t="s">
        <v>3250</v>
      </c>
      <c r="B4705" s="2" t="s">
        <v>102</v>
      </c>
      <c r="C4705" s="2">
        <v>608.60969999999998</v>
      </c>
      <c r="D4705" s="2">
        <f>HYPERLINK("http://mcb-m6.bioreg.kyushu-u.ac.jp/M3/20110429/F51156/1379/1", 64.38)</f>
        <v>64.38</v>
      </c>
      <c r="E4705" s="2">
        <v>48.04</v>
      </c>
      <c r="F4705" s="2">
        <v>2</v>
      </c>
      <c r="G4705" s="2" t="s">
        <v>13</v>
      </c>
    </row>
    <row r="4706" spans="1:9" x14ac:dyDescent="0.2">
      <c r="A4706" s="2" t="s">
        <v>3250</v>
      </c>
      <c r="B4706" s="2" t="s">
        <v>543</v>
      </c>
      <c r="C4706" s="2">
        <v>927.1857</v>
      </c>
      <c r="D4706" s="2">
        <f>HYPERLINK("http://mcb-m6.bioreg.kyushu-u.ac.jp/M3/20110502/F51158/2878/1", 64.4)</f>
        <v>64.400000000000006</v>
      </c>
      <c r="E4706" s="2">
        <v>42.12</v>
      </c>
      <c r="F4706" s="2">
        <v>2</v>
      </c>
      <c r="G4706" s="2" t="s">
        <v>13</v>
      </c>
    </row>
    <row r="4707" spans="1:9" x14ac:dyDescent="0.2">
      <c r="A4707" s="2" t="s">
        <v>3250</v>
      </c>
      <c r="B4707" s="2" t="s">
        <v>356</v>
      </c>
      <c r="C4707" s="2">
        <v>816.42819999999995</v>
      </c>
      <c r="D4707" s="2">
        <f>HYPERLINK("http://mcb-m6.bioreg.kyushu-u.ac.jp/M3/20110429/F51157/2110/1", 64.43)</f>
        <v>64.430000000000007</v>
      </c>
      <c r="E4707" s="2">
        <v>52.27</v>
      </c>
      <c r="F4707" s="2">
        <v>2</v>
      </c>
      <c r="G4707" s="2" t="s">
        <v>13</v>
      </c>
    </row>
    <row r="4708" spans="1:9" x14ac:dyDescent="0.2">
      <c r="A4708" s="2" t="s">
        <v>3250</v>
      </c>
      <c r="B4708" s="2" t="s">
        <v>1065</v>
      </c>
      <c r="C4708" s="2">
        <v>716.95510000000002</v>
      </c>
      <c r="D4708" s="2">
        <f>HYPERLINK("http://mcb-m6.bioreg.kyushu-u.ac.jp/M3/20110429/F51157/1646/1", 64.47)</f>
        <v>64.47</v>
      </c>
      <c r="E4708" s="2">
        <v>51.34</v>
      </c>
      <c r="F4708" s="2">
        <v>2</v>
      </c>
      <c r="G4708" s="2" t="s">
        <v>13</v>
      </c>
      <c r="I4708" s="2" t="s">
        <v>4892</v>
      </c>
    </row>
    <row r="4709" spans="1:9" x14ac:dyDescent="0.2">
      <c r="A4709" s="2" t="s">
        <v>3250</v>
      </c>
      <c r="B4709" s="2" t="s">
        <v>311</v>
      </c>
      <c r="C4709" s="2">
        <v>606.9117</v>
      </c>
      <c r="D4709" s="2">
        <f>HYPERLINK("http://mcb-m6.bioreg.kyushu-u.ac.jp/M3/20110502/F51164/1056/1", 64.6)</f>
        <v>64.599999999999994</v>
      </c>
      <c r="E4709" s="2">
        <v>45</v>
      </c>
      <c r="F4709" s="2">
        <v>2</v>
      </c>
      <c r="G4709" s="2" t="s">
        <v>13</v>
      </c>
      <c r="H4709" s="2" t="s">
        <v>4908</v>
      </c>
    </row>
    <row r="4710" spans="1:9" x14ac:dyDescent="0.2">
      <c r="A4710" s="2" t="s">
        <v>3250</v>
      </c>
      <c r="B4710" s="2" t="s">
        <v>175</v>
      </c>
      <c r="C4710" s="2">
        <v>784.5566</v>
      </c>
      <c r="D4710" s="2">
        <f>HYPERLINK("http://mcb-m6.bioreg.kyushu-u.ac.jp/M3/20110502/F51164/1957/1", 64.64)</f>
        <v>64.64</v>
      </c>
      <c r="E4710" s="2">
        <v>43.32</v>
      </c>
      <c r="F4710" s="2">
        <v>2</v>
      </c>
      <c r="G4710" s="2" t="s">
        <v>13</v>
      </c>
      <c r="I4710" s="2" t="s">
        <v>4893</v>
      </c>
    </row>
    <row r="4711" spans="1:9" x14ac:dyDescent="0.2">
      <c r="A4711" s="2" t="s">
        <v>3250</v>
      </c>
      <c r="B4711" s="2" t="s">
        <v>102</v>
      </c>
      <c r="C4711" s="2">
        <v>608.28369999999995</v>
      </c>
      <c r="D4711" s="2">
        <f>HYPERLINK("http://mcb-m6.bioreg.kyushu-u.ac.jp/M3/20110429/F51154/1274/1", 64.66)</f>
        <v>64.66</v>
      </c>
      <c r="E4711" s="2">
        <v>48.07</v>
      </c>
      <c r="F4711" s="2">
        <v>2</v>
      </c>
      <c r="G4711" s="2" t="s">
        <v>13</v>
      </c>
    </row>
    <row r="4712" spans="1:9" x14ac:dyDescent="0.2">
      <c r="A4712" s="2" t="s">
        <v>3250</v>
      </c>
      <c r="B4712" s="2" t="s">
        <v>365</v>
      </c>
      <c r="C4712" s="2">
        <v>849.35469999999998</v>
      </c>
      <c r="D4712" s="2">
        <f>HYPERLINK("http://mcb-m6.bioreg.kyushu-u.ac.jp/M3/20110429/F51156/2476/1", 64.95)</f>
        <v>64.95</v>
      </c>
      <c r="E4712" s="2">
        <v>49.66</v>
      </c>
      <c r="F4712" s="2">
        <v>2</v>
      </c>
      <c r="G4712" s="2" t="s">
        <v>13</v>
      </c>
    </row>
    <row r="4713" spans="1:9" x14ac:dyDescent="0.2">
      <c r="A4713" s="2" t="s">
        <v>3250</v>
      </c>
      <c r="B4713" s="2" t="s">
        <v>772</v>
      </c>
      <c r="C4713" s="2">
        <v>595.90719999999999</v>
      </c>
      <c r="D4713" s="2">
        <f>HYPERLINK("http://mcb-m6.bioreg.kyushu-u.ac.jp/M3/20110429/F51156/1325/1", 65.01)</f>
        <v>65.010000000000005</v>
      </c>
      <c r="E4713" s="2">
        <v>46.44</v>
      </c>
      <c r="F4713" s="2">
        <v>2</v>
      </c>
      <c r="G4713" s="2" t="s">
        <v>13</v>
      </c>
    </row>
    <row r="4714" spans="1:9" x14ac:dyDescent="0.2">
      <c r="A4714" s="2" t="s">
        <v>3250</v>
      </c>
      <c r="B4714" s="2" t="s">
        <v>481</v>
      </c>
      <c r="C4714" s="2">
        <v>709.33259999999996</v>
      </c>
      <c r="D4714" s="2">
        <f>HYPERLINK("http://mcb-m6.bioreg.kyushu-u.ac.jp/M3/20110429/F51154/1823/1", 65.27)</f>
        <v>65.27</v>
      </c>
      <c r="E4714" s="2">
        <v>47.51</v>
      </c>
      <c r="F4714" s="2">
        <v>2</v>
      </c>
      <c r="G4714" s="2" t="s">
        <v>13</v>
      </c>
      <c r="I4714" s="2" t="s">
        <v>4898</v>
      </c>
    </row>
    <row r="4715" spans="1:9" x14ac:dyDescent="0.2">
      <c r="A4715" s="2" t="s">
        <v>3250</v>
      </c>
      <c r="B4715" s="2" t="s">
        <v>543</v>
      </c>
      <c r="C4715" s="2">
        <v>927.32820000000004</v>
      </c>
      <c r="D4715" s="2">
        <f>HYPERLINK("http://mcb-m6.bioreg.kyushu-u.ac.jp/M3/20110429/F51156/2778/1", 65.3)</f>
        <v>65.3</v>
      </c>
      <c r="E4715" s="2">
        <v>46.45</v>
      </c>
      <c r="F4715" s="2">
        <v>2</v>
      </c>
      <c r="G4715" s="2" t="s">
        <v>13</v>
      </c>
    </row>
    <row r="4716" spans="1:9" x14ac:dyDescent="0.2">
      <c r="A4716" s="2" t="s">
        <v>3250</v>
      </c>
      <c r="B4716" s="2" t="s">
        <v>356</v>
      </c>
      <c r="C4716" s="2">
        <v>816.4941</v>
      </c>
      <c r="D4716" s="2">
        <f>HYPERLINK("http://mcb-m6.bioreg.kyushu-u.ac.jp/M3/20110502/F51164/2119/1", 65.7)</f>
        <v>65.7</v>
      </c>
      <c r="E4716" s="2">
        <v>51.26</v>
      </c>
      <c r="F4716" s="2">
        <v>2</v>
      </c>
      <c r="G4716" s="2" t="s">
        <v>13</v>
      </c>
    </row>
    <row r="4717" spans="1:9" x14ac:dyDescent="0.2">
      <c r="A4717" s="2" t="s">
        <v>3250</v>
      </c>
      <c r="B4717" s="2" t="s">
        <v>365</v>
      </c>
      <c r="C4717" s="2">
        <v>849.32569999999998</v>
      </c>
      <c r="D4717" s="2">
        <f>HYPERLINK("http://mcb-m6.bioreg.kyushu-u.ac.jp/M3/20110429/F51154/2617/1", 66.39)</f>
        <v>66.39</v>
      </c>
      <c r="E4717" s="2">
        <v>43.64</v>
      </c>
      <c r="F4717" s="2">
        <v>2</v>
      </c>
      <c r="G4717" s="2" t="s">
        <v>13</v>
      </c>
    </row>
    <row r="4718" spans="1:9" x14ac:dyDescent="0.2">
      <c r="A4718" s="2" t="s">
        <v>3250</v>
      </c>
      <c r="B4718" s="2" t="s">
        <v>77</v>
      </c>
      <c r="C4718" s="2">
        <v>574.80160000000001</v>
      </c>
      <c r="D4718" s="2">
        <f>HYPERLINK("http://mcb-m6.bioreg.kyushu-u.ac.jp/M3/20110429/F51154/1084/1", 66.43)</f>
        <v>66.430000000000007</v>
      </c>
      <c r="E4718" s="2">
        <v>40.880000000000003</v>
      </c>
      <c r="F4718" s="2">
        <v>2</v>
      </c>
      <c r="G4718" s="2" t="s">
        <v>13</v>
      </c>
    </row>
    <row r="4719" spans="1:9" x14ac:dyDescent="0.2">
      <c r="A4719" s="2" t="s">
        <v>3250</v>
      </c>
      <c r="B4719" s="2" t="s">
        <v>772</v>
      </c>
      <c r="C4719" s="2">
        <v>595.6277</v>
      </c>
      <c r="D4719" s="2">
        <f>HYPERLINK("http://mcb-m6.bioreg.kyushu-u.ac.jp/M3/20110429/F51154/1198/1", 66.53)</f>
        <v>66.53</v>
      </c>
      <c r="E4719" s="2">
        <v>41.14</v>
      </c>
      <c r="F4719" s="2">
        <v>2</v>
      </c>
      <c r="G4719" s="2" t="s">
        <v>13</v>
      </c>
    </row>
    <row r="4720" spans="1:9" x14ac:dyDescent="0.2">
      <c r="A4720" s="2" t="s">
        <v>3250</v>
      </c>
      <c r="B4720" s="2" t="s">
        <v>77</v>
      </c>
      <c r="C4720" s="2">
        <v>574.88710000000003</v>
      </c>
      <c r="D4720" s="2">
        <f>HYPERLINK("http://mcb-m6.bioreg.kyushu-u.ac.jp/M3/20110429/F51156/1226/1", 67.24)</f>
        <v>67.239999999999995</v>
      </c>
      <c r="E4720" s="2">
        <v>35.28</v>
      </c>
      <c r="F4720" s="2">
        <v>2</v>
      </c>
      <c r="G4720" s="2" t="s">
        <v>13</v>
      </c>
    </row>
    <row r="4721" spans="1:9" x14ac:dyDescent="0.2">
      <c r="A4721" s="2" t="s">
        <v>3250</v>
      </c>
      <c r="B4721" s="2" t="s">
        <v>2107</v>
      </c>
      <c r="C4721" s="2">
        <v>1019.481</v>
      </c>
      <c r="D4721" s="2">
        <f>HYPERLINK("http://mcb-m6.bioreg.kyushu-u.ac.jp/M3/20110502/F51164/2932/1", 67.33)</f>
        <v>67.33</v>
      </c>
      <c r="E4721" s="2">
        <v>44.94</v>
      </c>
      <c r="F4721" s="2">
        <v>2</v>
      </c>
      <c r="G4721" s="2" t="s">
        <v>13</v>
      </c>
    </row>
    <row r="4722" spans="1:9" x14ac:dyDescent="0.2">
      <c r="A4722" s="2" t="s">
        <v>3250</v>
      </c>
      <c r="B4722" s="2" t="s">
        <v>1255</v>
      </c>
      <c r="C4722" s="2">
        <v>1274.1769999999999</v>
      </c>
      <c r="D4722" s="2">
        <f>HYPERLINK("http://mcb-m6.bioreg.kyushu-u.ac.jp/M3/20110502/F51158/3705/1", 68.2)</f>
        <v>68.2</v>
      </c>
      <c r="E4722" s="2">
        <v>57.27</v>
      </c>
      <c r="F4722" s="2">
        <v>2</v>
      </c>
      <c r="G4722" s="2" t="s">
        <v>13</v>
      </c>
      <c r="I4722" s="2" t="s">
        <v>4906</v>
      </c>
    </row>
    <row r="4723" spans="1:9" x14ac:dyDescent="0.2">
      <c r="A4723" s="2" t="s">
        <v>3250</v>
      </c>
      <c r="B4723" s="2" t="s">
        <v>356</v>
      </c>
      <c r="C4723" s="2">
        <v>815.88570000000004</v>
      </c>
      <c r="D4723" s="2">
        <f>HYPERLINK("http://mcb-m6.bioreg.kyushu-u.ac.jp/M3/20110502/F51164/2112/1", 68.6)</f>
        <v>68.599999999999994</v>
      </c>
      <c r="E4723" s="2">
        <v>56.65</v>
      </c>
      <c r="F4723" s="2">
        <v>2</v>
      </c>
      <c r="G4723" s="2" t="s">
        <v>13</v>
      </c>
    </row>
    <row r="4724" spans="1:9" x14ac:dyDescent="0.2">
      <c r="A4724" s="2" t="s">
        <v>3250</v>
      </c>
      <c r="B4724" s="2" t="s">
        <v>467</v>
      </c>
      <c r="C4724" s="2">
        <v>691.9597</v>
      </c>
      <c r="D4724" s="2">
        <f>HYPERLINK("http://mcb-m6.bioreg.kyushu-u.ac.jp/M3/20110429/F51152/1685/1", 68.88)</f>
        <v>68.88</v>
      </c>
      <c r="E4724" s="2">
        <v>43.01</v>
      </c>
      <c r="F4724" s="2">
        <v>2</v>
      </c>
      <c r="G4724" s="2" t="s">
        <v>13</v>
      </c>
    </row>
    <row r="4725" spans="1:9" x14ac:dyDescent="0.2">
      <c r="A4725" s="2" t="s">
        <v>3250</v>
      </c>
      <c r="B4725" s="2" t="s">
        <v>365</v>
      </c>
      <c r="C4725" s="2">
        <v>848.85519999999997</v>
      </c>
      <c r="D4725" s="2">
        <f>HYPERLINK("http://mcb-m6.bioreg.kyushu-u.ac.jp/M3/20110429/F51156/2469/1", 69.16)</f>
        <v>69.16</v>
      </c>
      <c r="E4725" s="2">
        <v>56.16</v>
      </c>
      <c r="F4725" s="2">
        <v>2</v>
      </c>
      <c r="G4725" s="2" t="s">
        <v>13</v>
      </c>
    </row>
    <row r="4726" spans="1:9" x14ac:dyDescent="0.2">
      <c r="A4726" s="2" t="s">
        <v>3250</v>
      </c>
      <c r="B4726" s="2" t="s">
        <v>561</v>
      </c>
      <c r="C4726" s="2">
        <v>654.80520000000001</v>
      </c>
      <c r="D4726" s="2">
        <f>HYPERLINK("http://mcb-m6.bioreg.kyushu-u.ac.jp/M3/20110429/F51155/1867/1", 69.5)</f>
        <v>69.5</v>
      </c>
      <c r="E4726" s="2">
        <v>49.51</v>
      </c>
      <c r="F4726" s="2">
        <v>2</v>
      </c>
      <c r="G4726" s="2" t="s">
        <v>13</v>
      </c>
    </row>
    <row r="4727" spans="1:9" x14ac:dyDescent="0.2">
      <c r="A4727" s="2" t="s">
        <v>3250</v>
      </c>
      <c r="B4727" s="2" t="s">
        <v>90</v>
      </c>
      <c r="C4727" s="2">
        <v>716.74959999999999</v>
      </c>
      <c r="D4727" s="2">
        <f>HYPERLINK("http://mcb-m6.bioreg.kyushu-u.ac.jp/M3/20110429/F51154/1861/1", 69.91)</f>
        <v>69.91</v>
      </c>
      <c r="E4727" s="2">
        <v>26.93</v>
      </c>
      <c r="F4727" s="2">
        <v>2</v>
      </c>
      <c r="G4727" s="2" t="s">
        <v>13</v>
      </c>
    </row>
    <row r="4728" spans="1:9" x14ac:dyDescent="0.2">
      <c r="A4728" s="2" t="s">
        <v>3250</v>
      </c>
      <c r="B4728" s="2" t="s">
        <v>1255</v>
      </c>
      <c r="C4728" s="2">
        <v>1273.8330000000001</v>
      </c>
      <c r="D4728" s="2">
        <f>HYPERLINK("http://mcb-m6.bioreg.kyushu-u.ac.jp/M3/20110429/F51153/4387/1", 70.11)</f>
        <v>70.11</v>
      </c>
      <c r="E4728" s="2">
        <v>62.67</v>
      </c>
      <c r="F4728" s="2">
        <v>2</v>
      </c>
      <c r="G4728" s="2" t="s">
        <v>13</v>
      </c>
      <c r="I4728" s="2" t="s">
        <v>4906</v>
      </c>
    </row>
    <row r="4729" spans="1:9" x14ac:dyDescent="0.2">
      <c r="A4729" s="2" t="s">
        <v>3250</v>
      </c>
      <c r="B4729" s="2" t="s">
        <v>77</v>
      </c>
      <c r="C4729" s="2">
        <v>574.73820000000001</v>
      </c>
      <c r="D4729" s="2">
        <f>HYPERLINK("http://mcb-m6.bioreg.kyushu-u.ac.jp/M3/20110502/F51164/911/1", 70.24)</f>
        <v>70.239999999999995</v>
      </c>
      <c r="E4729" s="2">
        <v>39.65</v>
      </c>
      <c r="F4729" s="2">
        <v>2</v>
      </c>
      <c r="G4729" s="2" t="s">
        <v>13</v>
      </c>
    </row>
    <row r="4730" spans="1:9" x14ac:dyDescent="0.2">
      <c r="A4730" s="2" t="s">
        <v>3250</v>
      </c>
      <c r="B4730" s="2" t="s">
        <v>481</v>
      </c>
      <c r="C4730" s="2">
        <v>709.12919999999997</v>
      </c>
      <c r="D4730" s="2">
        <f>HYPERLINK("http://mcb-m6.bioreg.kyushu-u.ac.jp/M3/20110429/F51152/1767/1", 70.44)</f>
        <v>70.44</v>
      </c>
      <c r="E4730" s="2">
        <v>53.95</v>
      </c>
      <c r="F4730" s="2">
        <v>2</v>
      </c>
      <c r="G4730" s="2" t="s">
        <v>13</v>
      </c>
      <c r="I4730" s="2" t="s">
        <v>4898</v>
      </c>
    </row>
    <row r="4731" spans="1:9" x14ac:dyDescent="0.2">
      <c r="A4731" s="2" t="s">
        <v>3250</v>
      </c>
      <c r="B4731" s="2" t="s">
        <v>481</v>
      </c>
      <c r="C4731" s="2">
        <v>709.90009999999995</v>
      </c>
      <c r="D4731" s="2">
        <f>HYPERLINK("http://mcb-m6.bioreg.kyushu-u.ac.jp/M3/20110429/F51149/1951/1", 70.59)</f>
        <v>70.59</v>
      </c>
      <c r="E4731" s="2">
        <v>50.27</v>
      </c>
      <c r="F4731" s="2">
        <v>2</v>
      </c>
      <c r="G4731" s="2" t="s">
        <v>13</v>
      </c>
      <c r="I4731" s="2" t="s">
        <v>4898</v>
      </c>
    </row>
    <row r="4732" spans="1:9" x14ac:dyDescent="0.2">
      <c r="A4732" s="2" t="s">
        <v>3250</v>
      </c>
      <c r="B4732" s="2" t="s">
        <v>481</v>
      </c>
      <c r="C4732" s="2">
        <v>709.34310000000005</v>
      </c>
      <c r="D4732" s="2">
        <f>HYPERLINK("http://mcb-m6.bioreg.kyushu-u.ac.jp/M3/20110429/F51155/2065/1", 70.78)</f>
        <v>70.78</v>
      </c>
      <c r="E4732" s="2">
        <v>48.97</v>
      </c>
      <c r="F4732" s="2">
        <v>2</v>
      </c>
      <c r="G4732" s="2" t="s">
        <v>13</v>
      </c>
      <c r="I4732" s="2" t="s">
        <v>4898</v>
      </c>
    </row>
    <row r="4733" spans="1:9" x14ac:dyDescent="0.2">
      <c r="A4733" s="2" t="s">
        <v>3250</v>
      </c>
      <c r="B4733" s="2" t="s">
        <v>365</v>
      </c>
      <c r="C4733" s="2">
        <v>849.19920000000002</v>
      </c>
      <c r="D4733" s="2">
        <f>HYPERLINK("http://mcb-m6.bioreg.kyushu-u.ac.jp/M3/20110502/F51164/2269/1", 71.61)</f>
        <v>71.61</v>
      </c>
      <c r="E4733" s="2">
        <v>49.07</v>
      </c>
      <c r="F4733" s="2">
        <v>2</v>
      </c>
      <c r="G4733" s="2" t="s">
        <v>13</v>
      </c>
    </row>
    <row r="4734" spans="1:9" x14ac:dyDescent="0.2">
      <c r="A4734" s="2" t="s">
        <v>3250</v>
      </c>
      <c r="B4734" s="2" t="s">
        <v>561</v>
      </c>
      <c r="C4734" s="2">
        <v>654.94709999999998</v>
      </c>
      <c r="D4734" s="2">
        <f>HYPERLINK("http://mcb-m6.bioreg.kyushu-u.ac.jp/M3/20110502/F51164/1239/1", 71.63)</f>
        <v>71.63</v>
      </c>
      <c r="E4734" s="2">
        <v>51.87</v>
      </c>
      <c r="F4734" s="2">
        <v>2</v>
      </c>
      <c r="G4734" s="2" t="s">
        <v>13</v>
      </c>
    </row>
    <row r="4735" spans="1:9" x14ac:dyDescent="0.2">
      <c r="A4735" s="2" t="s">
        <v>3250</v>
      </c>
      <c r="B4735" s="2" t="s">
        <v>561</v>
      </c>
      <c r="C4735" s="2">
        <v>662.7482</v>
      </c>
      <c r="D4735" s="2">
        <f>HYPERLINK("http://mcb-m6.bioreg.kyushu-u.ac.jp/M3/20110502/F51164/1268/1", 71.74)</f>
        <v>71.739999999999995</v>
      </c>
      <c r="E4735" s="2">
        <v>53.27</v>
      </c>
      <c r="F4735" s="2">
        <v>2</v>
      </c>
      <c r="G4735" s="2" t="s">
        <v>13</v>
      </c>
      <c r="H4735" s="2" t="s">
        <v>4919</v>
      </c>
    </row>
    <row r="4736" spans="1:9" x14ac:dyDescent="0.2">
      <c r="A4736" s="2" t="s">
        <v>3250</v>
      </c>
      <c r="B4736" s="2" t="s">
        <v>561</v>
      </c>
      <c r="C4736" s="2">
        <v>654.71310000000005</v>
      </c>
      <c r="D4736" s="2">
        <f>HYPERLINK("http://mcb-m6.bioreg.kyushu-u.ac.jp/M3/20110429/F51156/1557/1", 72.57)</f>
        <v>72.569999999999993</v>
      </c>
      <c r="E4736" s="2">
        <v>57.26</v>
      </c>
      <c r="F4736" s="2">
        <v>2</v>
      </c>
      <c r="G4736" s="2" t="s">
        <v>13</v>
      </c>
    </row>
    <row r="4737" spans="1:9" x14ac:dyDescent="0.2">
      <c r="A4737" s="2" t="s">
        <v>3250</v>
      </c>
      <c r="B4737" s="2" t="s">
        <v>365</v>
      </c>
      <c r="C4737" s="2">
        <v>848.90719999999999</v>
      </c>
      <c r="D4737" s="2">
        <f>HYPERLINK("http://mcb-m6.bioreg.kyushu-u.ac.jp/M3/20110502/F51164/2266/1", 72.57)</f>
        <v>72.569999999999993</v>
      </c>
      <c r="E4737" s="2">
        <v>56.23</v>
      </c>
      <c r="F4737" s="2">
        <v>2</v>
      </c>
      <c r="G4737" s="2" t="s">
        <v>13</v>
      </c>
    </row>
    <row r="4738" spans="1:9" x14ac:dyDescent="0.2">
      <c r="A4738" s="2" t="s">
        <v>3250</v>
      </c>
      <c r="B4738" s="2" t="s">
        <v>561</v>
      </c>
      <c r="C4738" s="2">
        <v>662.85919999999999</v>
      </c>
      <c r="D4738" s="2">
        <f>HYPERLINK("http://mcb-m6.bioreg.kyushu-u.ac.jp/M3/20110429/F51157/1344/1", 73.05)</f>
        <v>73.05</v>
      </c>
      <c r="E4738" s="2">
        <v>56.52</v>
      </c>
      <c r="F4738" s="2">
        <v>2</v>
      </c>
      <c r="G4738" s="2" t="s">
        <v>13</v>
      </c>
      <c r="H4738" s="2" t="s">
        <v>4919</v>
      </c>
    </row>
    <row r="4739" spans="1:9" x14ac:dyDescent="0.2">
      <c r="A4739" s="2" t="s">
        <v>3250</v>
      </c>
      <c r="B4739" s="2" t="s">
        <v>1065</v>
      </c>
      <c r="C4739" s="2">
        <v>717.39670000000001</v>
      </c>
      <c r="D4739" s="2">
        <f>HYPERLINK("http://mcb-m6.bioreg.kyushu-u.ac.jp/M3/20110429/F51155/2108/1", 73.11)</f>
        <v>73.11</v>
      </c>
      <c r="E4739" s="2">
        <v>56.01</v>
      </c>
      <c r="F4739" s="2">
        <v>2</v>
      </c>
      <c r="G4739" s="2" t="s">
        <v>13</v>
      </c>
      <c r="I4739" s="2" t="s">
        <v>4892</v>
      </c>
    </row>
    <row r="4740" spans="1:9" x14ac:dyDescent="0.2">
      <c r="A4740" s="2" t="s">
        <v>3250</v>
      </c>
      <c r="B4740" s="2" t="s">
        <v>467</v>
      </c>
      <c r="C4740" s="2">
        <v>692.22670000000005</v>
      </c>
      <c r="D4740" s="2">
        <f>HYPERLINK("http://mcb-m6.bioreg.kyushu-u.ac.jp/M3/20110429/F51155/2002/1", 73.39)</f>
        <v>73.39</v>
      </c>
      <c r="E4740" s="2">
        <v>46.85</v>
      </c>
      <c r="F4740" s="2">
        <v>2</v>
      </c>
      <c r="G4740" s="2" t="s">
        <v>13</v>
      </c>
    </row>
    <row r="4741" spans="1:9" x14ac:dyDescent="0.2">
      <c r="A4741" s="2" t="s">
        <v>3250</v>
      </c>
      <c r="B4741" s="2" t="s">
        <v>467</v>
      </c>
      <c r="C4741" s="2">
        <v>691.94920000000002</v>
      </c>
      <c r="D4741" s="2">
        <f>HYPERLINK("http://mcb-m6.bioreg.kyushu-u.ac.jp/M3/20110429/F51156/1743/1", 73.41)</f>
        <v>73.41</v>
      </c>
      <c r="E4741" s="2">
        <v>46.31</v>
      </c>
      <c r="F4741" s="2">
        <v>2</v>
      </c>
      <c r="G4741" s="2" t="s">
        <v>13</v>
      </c>
    </row>
    <row r="4742" spans="1:9" x14ac:dyDescent="0.2">
      <c r="A4742" s="2" t="s">
        <v>3250</v>
      </c>
      <c r="B4742" s="2" t="s">
        <v>77</v>
      </c>
      <c r="C4742" s="2">
        <v>574.73609999999996</v>
      </c>
      <c r="D4742" s="2">
        <f>HYPERLINK("http://mcb-m6.bioreg.kyushu-u.ac.jp/M3/20110429/F51155/1535/1", 73.46)</f>
        <v>73.459999999999994</v>
      </c>
      <c r="E4742" s="2">
        <v>41.24</v>
      </c>
      <c r="F4742" s="2">
        <v>2</v>
      </c>
      <c r="G4742" s="2" t="s">
        <v>13</v>
      </c>
    </row>
    <row r="4743" spans="1:9" x14ac:dyDescent="0.2">
      <c r="A4743" s="2" t="s">
        <v>3250</v>
      </c>
      <c r="B4743" s="2" t="s">
        <v>481</v>
      </c>
      <c r="C4743" s="2">
        <v>709.88369999999998</v>
      </c>
      <c r="D4743" s="2">
        <f>HYPERLINK("http://mcb-m6.bioreg.kyushu-u.ac.jp/M3/20110429/F51155/2071/1", 73.83)</f>
        <v>73.83</v>
      </c>
      <c r="E4743" s="2">
        <v>54.53</v>
      </c>
      <c r="F4743" s="2">
        <v>2</v>
      </c>
      <c r="G4743" s="2" t="s">
        <v>13</v>
      </c>
      <c r="I4743" s="2" t="s">
        <v>4898</v>
      </c>
    </row>
    <row r="4744" spans="1:9" x14ac:dyDescent="0.2">
      <c r="A4744" s="2" t="s">
        <v>3250</v>
      </c>
      <c r="B4744" s="2" t="s">
        <v>481</v>
      </c>
      <c r="C4744" s="2">
        <v>709.61609999999996</v>
      </c>
      <c r="D4744" s="2">
        <f>HYPERLINK("http://mcb-m6.bioreg.kyushu-u.ac.jp/M3/20110429/F51156/1831/1", 74.21)</f>
        <v>74.209999999999994</v>
      </c>
      <c r="E4744" s="2">
        <v>52.4</v>
      </c>
      <c r="F4744" s="2">
        <v>2</v>
      </c>
      <c r="G4744" s="2" t="s">
        <v>13</v>
      </c>
      <c r="I4744" s="2" t="s">
        <v>4898</v>
      </c>
    </row>
    <row r="4745" spans="1:9" x14ac:dyDescent="0.2">
      <c r="A4745" s="2" t="s">
        <v>3250</v>
      </c>
      <c r="B4745" s="2" t="s">
        <v>365</v>
      </c>
      <c r="C4745" s="2">
        <v>848.78859999999997</v>
      </c>
      <c r="D4745" s="2">
        <f>HYPERLINK("http://mcb-m6.bioreg.kyushu-u.ac.jp/M3/20110429/F51155/2648/1", 74.31)</f>
        <v>74.31</v>
      </c>
      <c r="E4745" s="2">
        <v>56.5</v>
      </c>
      <c r="F4745" s="2">
        <v>2</v>
      </c>
      <c r="G4745" s="2" t="s">
        <v>13</v>
      </c>
    </row>
    <row r="4746" spans="1:9" x14ac:dyDescent="0.2">
      <c r="A4746" s="2" t="s">
        <v>3250</v>
      </c>
      <c r="B4746" s="2" t="s">
        <v>1255</v>
      </c>
      <c r="C4746" s="2">
        <v>1273.8889999999999</v>
      </c>
      <c r="D4746" s="2">
        <f>HYPERLINK("http://mcb-m6.bioreg.kyushu-u.ac.jp/M3/20110429/F51154/3904/1", 74.45)</f>
        <v>74.45</v>
      </c>
      <c r="E4746" s="2">
        <v>64.25</v>
      </c>
      <c r="F4746" s="2">
        <v>2</v>
      </c>
      <c r="G4746" s="2" t="s">
        <v>13</v>
      </c>
      <c r="I4746" s="2" t="s">
        <v>4906</v>
      </c>
    </row>
    <row r="4747" spans="1:9" x14ac:dyDescent="0.2">
      <c r="A4747" s="2" t="s">
        <v>3250</v>
      </c>
      <c r="B4747" s="2" t="s">
        <v>77</v>
      </c>
      <c r="C4747" s="2">
        <v>574.67470000000003</v>
      </c>
      <c r="D4747" s="2">
        <f>HYPERLINK("http://mcb-m6.bioreg.kyushu-u.ac.jp/M3/20110429/F51152/1147/1", 74.79)</f>
        <v>74.790000000000006</v>
      </c>
      <c r="E4747" s="2">
        <v>51.51</v>
      </c>
      <c r="F4747" s="2">
        <v>2</v>
      </c>
      <c r="G4747" s="2" t="s">
        <v>13</v>
      </c>
    </row>
    <row r="4748" spans="1:9" x14ac:dyDescent="0.2">
      <c r="A4748" s="2" t="s">
        <v>3250</v>
      </c>
      <c r="B4748" s="2" t="s">
        <v>1521</v>
      </c>
      <c r="C4748" s="2">
        <v>989.56209999999999</v>
      </c>
      <c r="D4748" s="2">
        <f>HYPERLINK("http://mcb-m6.bioreg.kyushu-u.ac.jp/M3/20110502/F51164/2821/1", 74.85)</f>
        <v>74.849999999999994</v>
      </c>
      <c r="E4748" s="2">
        <v>63.88</v>
      </c>
      <c r="F4748" s="2">
        <v>2</v>
      </c>
      <c r="G4748" s="2" t="s">
        <v>13</v>
      </c>
    </row>
    <row r="4749" spans="1:9" x14ac:dyDescent="0.2">
      <c r="A4749" s="2" t="s">
        <v>3250</v>
      </c>
      <c r="B4749" s="2" t="s">
        <v>561</v>
      </c>
      <c r="C4749" s="2">
        <v>662.7192</v>
      </c>
      <c r="D4749" s="2">
        <f>HYPERLINK("http://mcb-m6.bioreg.kyushu-u.ac.jp/M3/20110429/F51149/1828/1", 75.14)</f>
        <v>75.14</v>
      </c>
      <c r="E4749" s="2">
        <v>55.46</v>
      </c>
      <c r="F4749" s="2">
        <v>2</v>
      </c>
      <c r="G4749" s="2" t="s">
        <v>13</v>
      </c>
      <c r="H4749" s="2" t="s">
        <v>4919</v>
      </c>
    </row>
    <row r="4750" spans="1:9" x14ac:dyDescent="0.2">
      <c r="A4750" s="2" t="s">
        <v>3250</v>
      </c>
      <c r="B4750" s="2" t="s">
        <v>1065</v>
      </c>
      <c r="C4750" s="2">
        <v>717.04420000000005</v>
      </c>
      <c r="D4750" s="2">
        <f>HYPERLINK("http://mcb-m6.bioreg.kyushu-u.ac.jp/M3/20110429/F51156/1862/1", 75.2)</f>
        <v>75.2</v>
      </c>
      <c r="E4750" s="2">
        <v>59.17</v>
      </c>
      <c r="F4750" s="2">
        <v>2</v>
      </c>
      <c r="G4750" s="2" t="s">
        <v>13</v>
      </c>
      <c r="I4750" s="2" t="s">
        <v>4892</v>
      </c>
    </row>
    <row r="4751" spans="1:9" x14ac:dyDescent="0.2">
      <c r="A4751" s="2" t="s">
        <v>3250</v>
      </c>
      <c r="B4751" s="2" t="s">
        <v>90</v>
      </c>
      <c r="C4751" s="2">
        <v>717.38760000000002</v>
      </c>
      <c r="D4751" s="2">
        <f>HYPERLINK("http://mcb-m6.bioreg.kyushu-u.ac.jp/M3/20110429/F51154/1875/1", 75.34)</f>
        <v>75.34</v>
      </c>
      <c r="E4751" s="2">
        <v>53.62</v>
      </c>
      <c r="F4751" s="2">
        <v>2</v>
      </c>
      <c r="G4751" s="2" t="s">
        <v>13</v>
      </c>
    </row>
    <row r="4752" spans="1:9" x14ac:dyDescent="0.2">
      <c r="A4752" s="2" t="s">
        <v>3250</v>
      </c>
      <c r="B4752" s="2" t="s">
        <v>481</v>
      </c>
      <c r="C4752" s="2">
        <v>709.68619999999999</v>
      </c>
      <c r="D4752" s="2">
        <f>HYPERLINK("http://mcb-m6.bioreg.kyushu-u.ac.jp/M3/20110429/F51156/1832/1", 75.58)</f>
        <v>75.58</v>
      </c>
      <c r="E4752" s="2">
        <v>51.17</v>
      </c>
      <c r="F4752" s="2">
        <v>2</v>
      </c>
      <c r="G4752" s="2" t="s">
        <v>13</v>
      </c>
      <c r="I4752" s="2" t="s">
        <v>4898</v>
      </c>
    </row>
    <row r="4753" spans="1:9" x14ac:dyDescent="0.2">
      <c r="A4753" s="2" t="s">
        <v>3250</v>
      </c>
      <c r="B4753" s="2" t="s">
        <v>481</v>
      </c>
      <c r="C4753" s="2">
        <v>709.52509999999995</v>
      </c>
      <c r="D4753" s="2">
        <f>HYPERLINK("http://mcb-m6.bioreg.kyushu-u.ac.jp/M3/20110502/F51164/1538/1", 75.68)</f>
        <v>75.680000000000007</v>
      </c>
      <c r="E4753" s="2">
        <v>52.66</v>
      </c>
      <c r="F4753" s="2">
        <v>2</v>
      </c>
      <c r="G4753" s="2" t="s">
        <v>13</v>
      </c>
      <c r="I4753" s="2" t="s">
        <v>4898</v>
      </c>
    </row>
    <row r="4754" spans="1:9" x14ac:dyDescent="0.2">
      <c r="A4754" s="2" t="s">
        <v>3250</v>
      </c>
      <c r="B4754" s="2" t="s">
        <v>467</v>
      </c>
      <c r="C4754" s="2">
        <v>1382.7170000000001</v>
      </c>
      <c r="D4754" s="2">
        <f>HYPERLINK("http://mcb-m6.bioreg.kyushu-u.ac.jp/M3/20110502/F51164/1447/1", 75.84)</f>
        <v>75.84</v>
      </c>
      <c r="E4754" s="2">
        <v>56.31</v>
      </c>
      <c r="F4754" s="2">
        <v>1</v>
      </c>
      <c r="G4754" s="2" t="s">
        <v>13</v>
      </c>
    </row>
    <row r="4755" spans="1:9" x14ac:dyDescent="0.2">
      <c r="A4755" s="2" t="s">
        <v>3250</v>
      </c>
      <c r="B4755" s="2" t="s">
        <v>1255</v>
      </c>
      <c r="C4755" s="2">
        <v>1274.1099999999999</v>
      </c>
      <c r="D4755" s="2">
        <f>HYPERLINK("http://mcb-m6.bioreg.kyushu-u.ac.jp/M3/20110502/F51163/3420/1", 76.14)</f>
        <v>76.14</v>
      </c>
      <c r="E4755" s="2">
        <v>63.56</v>
      </c>
      <c r="F4755" s="2">
        <v>2</v>
      </c>
      <c r="G4755" s="2" t="s">
        <v>13</v>
      </c>
      <c r="I4755" s="2" t="s">
        <v>4906</v>
      </c>
    </row>
    <row r="4756" spans="1:9" x14ac:dyDescent="0.2">
      <c r="A4756" s="2" t="s">
        <v>3250</v>
      </c>
      <c r="B4756" s="2" t="s">
        <v>356</v>
      </c>
      <c r="C4756" s="2">
        <v>816.10310000000004</v>
      </c>
      <c r="D4756" s="2">
        <f>HYPERLINK("http://mcb-m6.bioreg.kyushu-u.ac.jp/M3/20110428/F51146/2365/1", 76.19)</f>
        <v>76.19</v>
      </c>
      <c r="E4756" s="2">
        <v>59.35</v>
      </c>
      <c r="F4756" s="2">
        <v>2</v>
      </c>
      <c r="G4756" s="2" t="s">
        <v>13</v>
      </c>
    </row>
    <row r="4757" spans="1:9" x14ac:dyDescent="0.2">
      <c r="A4757" s="2" t="s">
        <v>3250</v>
      </c>
      <c r="B4757" s="2" t="s">
        <v>1065</v>
      </c>
      <c r="C4757" s="2">
        <v>717.0856</v>
      </c>
      <c r="D4757" s="2">
        <f>HYPERLINK("http://mcb-m6.bioreg.kyushu-u.ac.jp/M3/20110502/F51158/1784/1", 76.77)</f>
        <v>76.77</v>
      </c>
      <c r="E4757" s="2">
        <v>62.95</v>
      </c>
      <c r="F4757" s="2">
        <v>2</v>
      </c>
      <c r="G4757" s="2" t="s">
        <v>13</v>
      </c>
      <c r="I4757" s="2" t="s">
        <v>4892</v>
      </c>
    </row>
    <row r="4758" spans="1:9" x14ac:dyDescent="0.2">
      <c r="A4758" s="2" t="s">
        <v>3250</v>
      </c>
      <c r="B4758" s="2" t="s">
        <v>356</v>
      </c>
      <c r="C4758" s="2">
        <v>816.05909999999994</v>
      </c>
      <c r="D4758" s="2">
        <f>HYPERLINK("http://mcb-m6.bioreg.kyushu-u.ac.jp/M3/20110429/F51151/2436/1", 76.77)</f>
        <v>76.77</v>
      </c>
      <c r="E4758" s="2">
        <v>62.43</v>
      </c>
      <c r="F4758" s="2">
        <v>2</v>
      </c>
      <c r="G4758" s="2" t="s">
        <v>13</v>
      </c>
    </row>
    <row r="4759" spans="1:9" x14ac:dyDescent="0.2">
      <c r="A4759" s="2" t="s">
        <v>3250</v>
      </c>
      <c r="B4759" s="2" t="s">
        <v>102</v>
      </c>
      <c r="C4759" s="2">
        <v>608.42859999999996</v>
      </c>
      <c r="D4759" s="2">
        <f>HYPERLINK("http://mcb-m6.bioreg.kyushu-u.ac.jp/M3/20110502/F51164/1060/1", 76.82)</f>
        <v>76.819999999999993</v>
      </c>
      <c r="E4759" s="2">
        <v>59.78</v>
      </c>
      <c r="F4759" s="2">
        <v>2</v>
      </c>
      <c r="G4759" s="2" t="s">
        <v>13</v>
      </c>
    </row>
    <row r="4760" spans="1:9" x14ac:dyDescent="0.2">
      <c r="A4760" s="2" t="s">
        <v>3250</v>
      </c>
      <c r="B4760" s="2" t="s">
        <v>772</v>
      </c>
      <c r="C4760" s="2">
        <v>596.22270000000003</v>
      </c>
      <c r="D4760" s="2">
        <f>HYPERLINK("http://mcb-m6.bioreg.kyushu-u.ac.jp/M3/20110429/F51155/1651/1", 76.86)</f>
        <v>76.86</v>
      </c>
      <c r="E4760" s="2">
        <v>50.13</v>
      </c>
      <c r="F4760" s="2">
        <v>2</v>
      </c>
      <c r="G4760" s="2" t="s">
        <v>13</v>
      </c>
    </row>
    <row r="4761" spans="1:9" x14ac:dyDescent="0.2">
      <c r="A4761" s="2" t="s">
        <v>3250</v>
      </c>
      <c r="B4761" s="2" t="s">
        <v>1255</v>
      </c>
      <c r="C4761" s="2">
        <v>1273.9680000000001</v>
      </c>
      <c r="D4761" s="2">
        <f>HYPERLINK("http://mcb-m6.bioreg.kyushu-u.ac.jp/M3/20110429/F51157/3640/1", 77.33)</f>
        <v>77.33</v>
      </c>
      <c r="E4761" s="2">
        <v>67.099999999999994</v>
      </c>
      <c r="F4761" s="2">
        <v>2</v>
      </c>
      <c r="G4761" s="2" t="s">
        <v>13</v>
      </c>
      <c r="I4761" s="2" t="s">
        <v>4906</v>
      </c>
    </row>
    <row r="4762" spans="1:9" x14ac:dyDescent="0.2">
      <c r="A4762" s="2" t="s">
        <v>3250</v>
      </c>
      <c r="B4762" s="2" t="s">
        <v>356</v>
      </c>
      <c r="C4762" s="2">
        <v>815.97519999999997</v>
      </c>
      <c r="D4762" s="2">
        <f>HYPERLINK("http://mcb-m6.bioreg.kyushu-u.ac.jp/M3/20110502/F51164/2113/1", 77.45)</f>
        <v>77.45</v>
      </c>
      <c r="E4762" s="2">
        <v>62.6</v>
      </c>
      <c r="F4762" s="2">
        <v>2</v>
      </c>
      <c r="G4762" s="2" t="s">
        <v>13</v>
      </c>
    </row>
    <row r="4763" spans="1:9" x14ac:dyDescent="0.2">
      <c r="A4763" s="2" t="s">
        <v>3250</v>
      </c>
      <c r="B4763" s="2" t="s">
        <v>467</v>
      </c>
      <c r="C4763" s="2">
        <v>691.66269999999997</v>
      </c>
      <c r="D4763" s="2">
        <f>HYPERLINK("http://mcb-m6.bioreg.kyushu-u.ac.jp/M3/20110429/F51153/1638/1", 77.63)</f>
        <v>77.63</v>
      </c>
      <c r="E4763" s="2">
        <v>49.67</v>
      </c>
      <c r="F4763" s="2">
        <v>2</v>
      </c>
      <c r="G4763" s="2" t="s">
        <v>13</v>
      </c>
    </row>
    <row r="4764" spans="1:9" x14ac:dyDescent="0.2">
      <c r="A4764" s="2" t="s">
        <v>3250</v>
      </c>
      <c r="B4764" s="2" t="s">
        <v>481</v>
      </c>
      <c r="C4764" s="2">
        <v>709.34119999999996</v>
      </c>
      <c r="D4764" s="2">
        <f>HYPERLINK("http://mcb-m6.bioreg.kyushu-u.ac.jp/M3/20110429/F51154/1824/1", 77.69)</f>
        <v>77.69</v>
      </c>
      <c r="E4764" s="2">
        <v>58.42</v>
      </c>
      <c r="F4764" s="2">
        <v>2</v>
      </c>
      <c r="G4764" s="2" t="s">
        <v>13</v>
      </c>
      <c r="I4764" s="2" t="s">
        <v>4898</v>
      </c>
    </row>
    <row r="4765" spans="1:9" x14ac:dyDescent="0.2">
      <c r="A4765" s="2" t="s">
        <v>3250</v>
      </c>
      <c r="B4765" s="2" t="s">
        <v>481</v>
      </c>
      <c r="C4765" s="2">
        <v>709.58259999999996</v>
      </c>
      <c r="D4765" s="2">
        <f>HYPERLINK("http://mcb-m6.bioreg.kyushu-u.ac.jp/M3/20110429/F51156/1830/1", 77.72)</f>
        <v>77.72</v>
      </c>
      <c r="E4765" s="2">
        <v>50.3</v>
      </c>
      <c r="F4765" s="2">
        <v>2</v>
      </c>
      <c r="G4765" s="2" t="s">
        <v>13</v>
      </c>
      <c r="I4765" s="2" t="s">
        <v>4898</v>
      </c>
    </row>
    <row r="4766" spans="1:9" x14ac:dyDescent="0.2">
      <c r="A4766" s="2" t="s">
        <v>3250</v>
      </c>
      <c r="B4766" s="2" t="s">
        <v>1065</v>
      </c>
      <c r="C4766" s="2">
        <v>717.0702</v>
      </c>
      <c r="D4766" s="2">
        <f>HYPERLINK("http://mcb-m6.bioreg.kyushu-u.ac.jp/M3/20110502/F51164/1600/1", 77.74)</f>
        <v>77.739999999999995</v>
      </c>
      <c r="E4766" s="2">
        <v>64.38</v>
      </c>
      <c r="F4766" s="2">
        <v>2</v>
      </c>
      <c r="G4766" s="2" t="s">
        <v>13</v>
      </c>
      <c r="I4766" s="2" t="s">
        <v>4892</v>
      </c>
    </row>
    <row r="4767" spans="1:9" x14ac:dyDescent="0.2">
      <c r="A4767" s="2" t="s">
        <v>3250</v>
      </c>
      <c r="B4767" s="2" t="s">
        <v>1065</v>
      </c>
      <c r="C4767" s="2">
        <v>716.87019999999995</v>
      </c>
      <c r="D4767" s="2">
        <f>HYPERLINK("http://mcb-m6.bioreg.kyushu-u.ac.jp/M3/20110429/F51155/2102/1", 77.83)</f>
        <v>77.83</v>
      </c>
      <c r="E4767" s="2">
        <v>59.79</v>
      </c>
      <c r="F4767" s="2">
        <v>2</v>
      </c>
      <c r="G4767" s="2" t="s">
        <v>13</v>
      </c>
      <c r="I4767" s="2" t="s">
        <v>4892</v>
      </c>
    </row>
    <row r="4768" spans="1:9" x14ac:dyDescent="0.2">
      <c r="A4768" s="2" t="s">
        <v>3250</v>
      </c>
      <c r="B4768" s="2" t="s">
        <v>543</v>
      </c>
      <c r="C4768" s="2">
        <v>927.10360000000003</v>
      </c>
      <c r="D4768" s="2">
        <f>HYPERLINK("http://mcb-m6.bioreg.kyushu-u.ac.jp/M3/20110502/F51164/2616/1", 78.31)</f>
        <v>78.31</v>
      </c>
      <c r="E4768" s="2">
        <v>62.02</v>
      </c>
      <c r="F4768" s="2">
        <v>2</v>
      </c>
      <c r="G4768" s="2" t="s">
        <v>13</v>
      </c>
    </row>
    <row r="4769" spans="1:9" x14ac:dyDescent="0.2">
      <c r="A4769" s="2" t="s">
        <v>3250</v>
      </c>
      <c r="B4769" s="2" t="s">
        <v>467</v>
      </c>
      <c r="C4769" s="2">
        <v>691.74959999999999</v>
      </c>
      <c r="D4769" s="2">
        <f>HYPERLINK("http://mcb-m6.bioreg.kyushu-u.ac.jp/M3/20110429/F51154/1730/1", 79.01)</f>
        <v>79.010000000000005</v>
      </c>
      <c r="E4769" s="2">
        <v>53.47</v>
      </c>
      <c r="F4769" s="2">
        <v>2</v>
      </c>
      <c r="G4769" s="2" t="s">
        <v>13</v>
      </c>
    </row>
    <row r="4770" spans="1:9" x14ac:dyDescent="0.2">
      <c r="A4770" s="2" t="s">
        <v>3250</v>
      </c>
      <c r="B4770" s="2" t="s">
        <v>1255</v>
      </c>
      <c r="C4770" s="2">
        <v>1274.0309999999999</v>
      </c>
      <c r="D4770" s="2">
        <f>HYPERLINK("http://mcb-m6.bioreg.kyushu-u.ac.jp/M3/20110502/F51164/3508/1", 79.26)</f>
        <v>79.260000000000005</v>
      </c>
      <c r="E4770" s="2">
        <v>68.62</v>
      </c>
      <c r="F4770" s="2">
        <v>2</v>
      </c>
      <c r="G4770" s="2" t="s">
        <v>13</v>
      </c>
      <c r="I4770" s="2" t="s">
        <v>4906</v>
      </c>
    </row>
    <row r="4771" spans="1:9" x14ac:dyDescent="0.2">
      <c r="A4771" s="2" t="s">
        <v>3250</v>
      </c>
      <c r="B4771" s="2" t="s">
        <v>467</v>
      </c>
      <c r="C4771" s="2">
        <v>691.99220000000003</v>
      </c>
      <c r="D4771" s="2">
        <f>HYPERLINK("http://mcb-m6.bioreg.kyushu-u.ac.jp/M3/20110502/F51164/1450/1", 79.41)</f>
        <v>79.41</v>
      </c>
      <c r="E4771" s="2">
        <v>56.37</v>
      </c>
      <c r="F4771" s="2">
        <v>2</v>
      </c>
      <c r="G4771" s="2" t="s">
        <v>13</v>
      </c>
    </row>
    <row r="4772" spans="1:9" x14ac:dyDescent="0.2">
      <c r="A4772" s="2" t="s">
        <v>3250</v>
      </c>
      <c r="B4772" s="2" t="s">
        <v>90</v>
      </c>
      <c r="C4772" s="2">
        <v>717.15009999999995</v>
      </c>
      <c r="D4772" s="2">
        <f>HYPERLINK("http://mcb-m6.bioreg.kyushu-u.ac.jp/M3/20110429/F51156/1864/1", 79.51)</f>
        <v>79.510000000000005</v>
      </c>
      <c r="E4772" s="2">
        <v>48.7</v>
      </c>
      <c r="F4772" s="2">
        <v>2</v>
      </c>
      <c r="G4772" s="2" t="s">
        <v>13</v>
      </c>
    </row>
    <row r="4773" spans="1:9" x14ac:dyDescent="0.2">
      <c r="A4773" s="2" t="s">
        <v>3250</v>
      </c>
      <c r="B4773" s="2" t="s">
        <v>467</v>
      </c>
      <c r="C4773" s="2">
        <v>1382.9259999999999</v>
      </c>
      <c r="D4773" s="2">
        <f>HYPERLINK("http://mcb-m6.bioreg.kyushu-u.ac.jp/M3/20110428/F51147/1826/1", 80)</f>
        <v>80</v>
      </c>
      <c r="E4773" s="2">
        <v>56.73</v>
      </c>
      <c r="F4773" s="2">
        <v>1</v>
      </c>
      <c r="G4773" s="2" t="s">
        <v>13</v>
      </c>
    </row>
    <row r="4774" spans="1:9" x14ac:dyDescent="0.2">
      <c r="A4774" s="2" t="s">
        <v>3250</v>
      </c>
      <c r="B4774" s="2" t="s">
        <v>503</v>
      </c>
      <c r="C4774" s="2">
        <v>816.63120000000004</v>
      </c>
      <c r="D4774" s="2">
        <f>HYPERLINK("http://mcb-m6.bioreg.kyushu-u.ac.jp/M3/20110502/F51164/2122/1", 80.22)</f>
        <v>80.22</v>
      </c>
      <c r="E4774" s="2">
        <v>62.78</v>
      </c>
      <c r="F4774" s="2">
        <v>2</v>
      </c>
      <c r="G4774" s="2" t="s">
        <v>13</v>
      </c>
      <c r="H4774" s="2" t="s">
        <v>4907</v>
      </c>
    </row>
    <row r="4775" spans="1:9" x14ac:dyDescent="0.2">
      <c r="A4775" s="2" t="s">
        <v>3250</v>
      </c>
      <c r="B4775" s="2" t="s">
        <v>102</v>
      </c>
      <c r="C4775" s="2">
        <v>616.57069999999999</v>
      </c>
      <c r="D4775" s="2">
        <f>HYPERLINK("http://mcb-m6.bioreg.kyushu-u.ac.jp/M3/20110502/F51164/1097/1", 80.47)</f>
        <v>80.47</v>
      </c>
      <c r="E4775" s="2">
        <v>63.97</v>
      </c>
      <c r="F4775" s="2">
        <v>2</v>
      </c>
      <c r="G4775" s="2" t="s">
        <v>13</v>
      </c>
      <c r="H4775" s="2" t="s">
        <v>4900</v>
      </c>
    </row>
    <row r="4776" spans="1:9" x14ac:dyDescent="0.2">
      <c r="A4776" s="2" t="s">
        <v>3250</v>
      </c>
      <c r="B4776" s="2" t="s">
        <v>481</v>
      </c>
      <c r="C4776" s="2">
        <v>708.97919999999999</v>
      </c>
      <c r="D4776" s="2">
        <f>HYPERLINK("http://mcb-m6.bioreg.kyushu-u.ac.jp/M3/20110429/F51153/1736/1", 81.2)</f>
        <v>81.2</v>
      </c>
      <c r="E4776" s="2">
        <v>59.63</v>
      </c>
      <c r="F4776" s="2">
        <v>2</v>
      </c>
      <c r="G4776" s="2" t="s">
        <v>13</v>
      </c>
      <c r="I4776" s="2" t="s">
        <v>4898</v>
      </c>
    </row>
    <row r="4777" spans="1:9" x14ac:dyDescent="0.2">
      <c r="A4777" s="2" t="s">
        <v>3250</v>
      </c>
      <c r="B4777" s="2" t="s">
        <v>772</v>
      </c>
      <c r="C4777" s="2">
        <v>595.86410000000001</v>
      </c>
      <c r="D4777" s="2">
        <f>HYPERLINK("http://mcb-m6.bioreg.kyushu-u.ac.jp/M3/20110502/F51164/1004/1", 81.94)</f>
        <v>81.94</v>
      </c>
      <c r="E4777" s="2">
        <v>56.99</v>
      </c>
      <c r="F4777" s="2">
        <v>2</v>
      </c>
      <c r="G4777" s="2" t="s">
        <v>13</v>
      </c>
    </row>
    <row r="4778" spans="1:9" x14ac:dyDescent="0.2">
      <c r="A4778" s="2" t="s">
        <v>3250</v>
      </c>
      <c r="B4778" s="2" t="s">
        <v>481</v>
      </c>
      <c r="C4778" s="2">
        <v>709.79970000000003</v>
      </c>
      <c r="D4778" s="2">
        <f>HYPERLINK("http://mcb-m6.bioreg.kyushu-u.ac.jp/M3/20110429/F51154/1826/1", 81.98)</f>
        <v>81.98</v>
      </c>
      <c r="E4778" s="2">
        <v>63.39</v>
      </c>
      <c r="F4778" s="2">
        <v>2</v>
      </c>
      <c r="G4778" s="2" t="s">
        <v>13</v>
      </c>
      <c r="I4778" s="2" t="s">
        <v>4898</v>
      </c>
    </row>
    <row r="4779" spans="1:9" x14ac:dyDescent="0.2">
      <c r="A4779" s="2" t="s">
        <v>3250</v>
      </c>
      <c r="B4779" s="2" t="s">
        <v>481</v>
      </c>
      <c r="C4779" s="2">
        <v>709.53420000000006</v>
      </c>
      <c r="D4779" s="2">
        <f>HYPERLINK("http://mcb-m6.bioreg.kyushu-u.ac.jp/M3/20110502/F51158/1740/1", 83.15)</f>
        <v>83.15</v>
      </c>
      <c r="E4779" s="2">
        <v>63.52</v>
      </c>
      <c r="F4779" s="2">
        <v>2</v>
      </c>
      <c r="G4779" s="2" t="s">
        <v>13</v>
      </c>
      <c r="I4779" s="2" t="s">
        <v>4898</v>
      </c>
    </row>
    <row r="4780" spans="1:9" x14ac:dyDescent="0.2">
      <c r="A4780" s="2" t="s">
        <v>3250</v>
      </c>
      <c r="B4780" s="2" t="s">
        <v>561</v>
      </c>
      <c r="C4780" s="2">
        <v>654.65260000000001</v>
      </c>
      <c r="D4780" s="2">
        <f>HYPERLINK("http://mcb-m6.bioreg.kyushu-u.ac.jp/M3/20110429/F51151/1777/1", 83.56)</f>
        <v>83.56</v>
      </c>
      <c r="E4780" s="2">
        <v>56.93</v>
      </c>
      <c r="F4780" s="2">
        <v>2</v>
      </c>
      <c r="G4780" s="2" t="s">
        <v>13</v>
      </c>
    </row>
    <row r="4781" spans="1:9" x14ac:dyDescent="0.2">
      <c r="A4781" s="2" t="s">
        <v>3250</v>
      </c>
      <c r="B4781" s="2" t="s">
        <v>561</v>
      </c>
      <c r="C4781" s="2">
        <v>662.57370000000003</v>
      </c>
      <c r="D4781" s="2">
        <f>HYPERLINK("http://mcb-m6.bioreg.kyushu-u.ac.jp/M3/20110429/F51150/1819/1", 83.58)</f>
        <v>83.58</v>
      </c>
      <c r="E4781" s="2">
        <v>62.93</v>
      </c>
      <c r="F4781" s="2">
        <v>2</v>
      </c>
      <c r="G4781" s="2" t="s">
        <v>13</v>
      </c>
      <c r="H4781" s="2" t="s">
        <v>4919</v>
      </c>
    </row>
    <row r="4782" spans="1:9" x14ac:dyDescent="0.2">
      <c r="A4782" s="2" t="s">
        <v>3250</v>
      </c>
      <c r="B4782" s="2" t="s">
        <v>772</v>
      </c>
      <c r="C4782" s="2">
        <v>595.93910000000005</v>
      </c>
      <c r="D4782" s="2">
        <f>HYPERLINK("http://mcb-m6.bioreg.kyushu-u.ac.jp/M3/20110502/F51164/1006/1", 83.94)</f>
        <v>83.94</v>
      </c>
      <c r="E4782" s="2">
        <v>66.16</v>
      </c>
      <c r="F4782" s="2">
        <v>2</v>
      </c>
      <c r="G4782" s="2" t="s">
        <v>13</v>
      </c>
    </row>
    <row r="4783" spans="1:9" x14ac:dyDescent="0.2">
      <c r="A4783" s="2" t="s">
        <v>3250</v>
      </c>
      <c r="B4783" s="2" t="s">
        <v>1065</v>
      </c>
      <c r="C4783" s="2">
        <v>717.00019999999995</v>
      </c>
      <c r="D4783" s="2">
        <f>HYPERLINK("http://mcb-m6.bioreg.kyushu-u.ac.jp/M3/20110428/F51146/1982/1", 84.06)</f>
        <v>84.06</v>
      </c>
      <c r="E4783" s="2">
        <v>66.53</v>
      </c>
      <c r="F4783" s="2">
        <v>2</v>
      </c>
      <c r="G4783" s="2" t="s">
        <v>13</v>
      </c>
      <c r="I4783" s="2" t="s">
        <v>4892</v>
      </c>
    </row>
    <row r="4784" spans="1:9" x14ac:dyDescent="0.2">
      <c r="A4784" s="2" t="s">
        <v>3250</v>
      </c>
      <c r="B4784" s="2" t="s">
        <v>1065</v>
      </c>
      <c r="C4784" s="2">
        <v>717.07209999999998</v>
      </c>
      <c r="D4784" s="2">
        <f>HYPERLINK("http://mcb-m6.bioreg.kyushu-u.ac.jp/M3/20110428/F51147/1928/1", 84.14)</f>
        <v>84.14</v>
      </c>
      <c r="E4784" s="2">
        <v>68.010000000000005</v>
      </c>
      <c r="F4784" s="2">
        <v>2</v>
      </c>
      <c r="G4784" s="2" t="s">
        <v>13</v>
      </c>
      <c r="I4784" s="2" t="s">
        <v>4892</v>
      </c>
    </row>
    <row r="4785" spans="1:9" x14ac:dyDescent="0.2">
      <c r="A4785" s="2" t="s">
        <v>3250</v>
      </c>
      <c r="B4785" s="2" t="s">
        <v>467</v>
      </c>
      <c r="C4785" s="2">
        <v>692.3347</v>
      </c>
      <c r="D4785" s="2">
        <f>HYPERLINK("http://mcb-m6.bioreg.kyushu-u.ac.jp/M3/20110429/F51156/1746/1", 84.21)</f>
        <v>84.21</v>
      </c>
      <c r="E4785" s="2">
        <v>59.22</v>
      </c>
      <c r="F4785" s="2">
        <v>2</v>
      </c>
      <c r="G4785" s="2" t="s">
        <v>13</v>
      </c>
    </row>
    <row r="4786" spans="1:9" x14ac:dyDescent="0.2">
      <c r="A4786" s="2" t="s">
        <v>3250</v>
      </c>
      <c r="B4786" s="2" t="s">
        <v>90</v>
      </c>
      <c r="C4786" s="2">
        <v>717.35860000000002</v>
      </c>
      <c r="D4786" s="2">
        <f>HYPERLINK("http://mcb-m6.bioreg.kyushu-u.ac.jp/M3/20110502/F51164/1605/1", 84.34)</f>
        <v>84.34</v>
      </c>
      <c r="E4786" s="2">
        <v>62.21</v>
      </c>
      <c r="F4786" s="2">
        <v>2</v>
      </c>
      <c r="G4786" s="2" t="s">
        <v>13</v>
      </c>
    </row>
    <row r="4787" spans="1:9" x14ac:dyDescent="0.2">
      <c r="A4787" s="2" t="s">
        <v>3250</v>
      </c>
      <c r="B4787" s="2" t="s">
        <v>561</v>
      </c>
      <c r="C4787" s="2">
        <v>662.46469999999999</v>
      </c>
      <c r="D4787" s="2">
        <f>HYPERLINK("http://mcb-m6.bioreg.kyushu-u.ac.jp/M3/20110428/F51147/1694/1", 84.8)</f>
        <v>84.8</v>
      </c>
      <c r="E4787" s="2">
        <v>61.65</v>
      </c>
      <c r="F4787" s="2">
        <v>2</v>
      </c>
      <c r="G4787" s="2" t="s">
        <v>13</v>
      </c>
      <c r="H4787" s="2" t="s">
        <v>4919</v>
      </c>
    </row>
    <row r="4788" spans="1:9" x14ac:dyDescent="0.2">
      <c r="A4788" s="2" t="s">
        <v>3250</v>
      </c>
      <c r="B4788" s="2" t="s">
        <v>356</v>
      </c>
      <c r="C4788" s="2">
        <v>816.51919999999996</v>
      </c>
      <c r="D4788" s="2">
        <f>HYPERLINK("http://mcb-m6.bioreg.kyushu-u.ac.jp/M3/20110428/F51147/2284/1", 86.58)</f>
        <v>86.58</v>
      </c>
      <c r="E4788" s="2">
        <v>64.459999999999994</v>
      </c>
      <c r="F4788" s="2">
        <v>2</v>
      </c>
      <c r="G4788" s="2" t="s">
        <v>13</v>
      </c>
    </row>
    <row r="4789" spans="1:9" x14ac:dyDescent="0.2">
      <c r="A4789" s="2" t="s">
        <v>3250</v>
      </c>
      <c r="B4789" s="2" t="s">
        <v>481</v>
      </c>
      <c r="C4789" s="2">
        <v>709.42409999999995</v>
      </c>
      <c r="D4789" s="2">
        <f>HYPERLINK("http://mcb-m6.bioreg.kyushu-u.ac.jp/M3/20110502/F51164/1537/1", 87.25)</f>
        <v>87.25</v>
      </c>
      <c r="E4789" s="2">
        <v>62.95</v>
      </c>
      <c r="F4789" s="2">
        <v>2</v>
      </c>
      <c r="G4789" s="2" t="s">
        <v>13</v>
      </c>
      <c r="I4789" s="2" t="s">
        <v>4898</v>
      </c>
    </row>
    <row r="4790" spans="1:9" x14ac:dyDescent="0.2">
      <c r="A4790" s="2" t="s">
        <v>3250</v>
      </c>
      <c r="B4790" s="2" t="s">
        <v>561</v>
      </c>
      <c r="C4790" s="2">
        <v>662.3066</v>
      </c>
      <c r="D4790" s="2">
        <f>HYPERLINK("http://mcb-m6.bioreg.kyushu-u.ac.jp/M3/20110429/F51157/1342/1", 87.29)</f>
        <v>87.29</v>
      </c>
      <c r="E4790" s="2">
        <v>66.569999999999993</v>
      </c>
      <c r="F4790" s="2">
        <v>2</v>
      </c>
      <c r="G4790" s="2" t="s">
        <v>13</v>
      </c>
      <c r="H4790" s="2" t="s">
        <v>4919</v>
      </c>
    </row>
    <row r="4791" spans="1:9" x14ac:dyDescent="0.2">
      <c r="A4791" s="2" t="s">
        <v>3250</v>
      </c>
      <c r="B4791" s="2" t="s">
        <v>481</v>
      </c>
      <c r="C4791" s="2">
        <v>709.18870000000004</v>
      </c>
      <c r="D4791" s="2">
        <f>HYPERLINK("http://mcb-m6.bioreg.kyushu-u.ac.jp/M3/20110429/F51150/2010/1", 88.04)</f>
        <v>88.04</v>
      </c>
      <c r="E4791" s="2">
        <v>69</v>
      </c>
      <c r="F4791" s="2">
        <v>2</v>
      </c>
      <c r="G4791" s="2" t="s">
        <v>13</v>
      </c>
      <c r="I4791" s="2" t="s">
        <v>4898</v>
      </c>
    </row>
    <row r="4792" spans="1:9" x14ac:dyDescent="0.2">
      <c r="A4792" s="2" t="s">
        <v>3250</v>
      </c>
      <c r="B4792" s="2" t="s">
        <v>90</v>
      </c>
      <c r="C4792" s="2">
        <v>716.66819999999996</v>
      </c>
      <c r="D4792" s="2">
        <f>HYPERLINK("http://mcb-m6.bioreg.kyushu-u.ac.jp/M3/20110429/F51151/2029/1", 88.72)</f>
        <v>88.72</v>
      </c>
      <c r="E4792" s="2">
        <v>64.64</v>
      </c>
      <c r="F4792" s="2">
        <v>2</v>
      </c>
      <c r="G4792" s="2" t="s">
        <v>13</v>
      </c>
    </row>
    <row r="4793" spans="1:9" x14ac:dyDescent="0.2">
      <c r="A4793" s="2" t="s">
        <v>3250</v>
      </c>
      <c r="B4793" s="2" t="s">
        <v>467</v>
      </c>
      <c r="C4793" s="2">
        <v>692.07569999999998</v>
      </c>
      <c r="D4793" s="2">
        <f>HYPERLINK("http://mcb-m6.bioreg.kyushu-u.ac.jp/M3/20110428/F51146/1873/1", 88.89)</f>
        <v>88.89</v>
      </c>
      <c r="E4793" s="2">
        <v>57.54</v>
      </c>
      <c r="F4793" s="2">
        <v>2</v>
      </c>
      <c r="G4793" s="2" t="s">
        <v>13</v>
      </c>
    </row>
    <row r="4794" spans="1:9" x14ac:dyDescent="0.2">
      <c r="A4794" s="2" t="s">
        <v>3250</v>
      </c>
      <c r="B4794" s="2" t="s">
        <v>356</v>
      </c>
      <c r="C4794" s="2">
        <v>816.50019999999995</v>
      </c>
      <c r="D4794" s="2">
        <f>HYPERLINK("http://mcb-m6.bioreg.kyushu-u.ac.jp/M3/20110429/F51155/2521/1", 88.92)</f>
        <v>88.92</v>
      </c>
      <c r="E4794" s="2">
        <v>70.16</v>
      </c>
      <c r="F4794" s="2">
        <v>2</v>
      </c>
      <c r="G4794" s="2" t="s">
        <v>13</v>
      </c>
    </row>
    <row r="4795" spans="1:9" x14ac:dyDescent="0.2">
      <c r="A4795" s="2" t="s">
        <v>3250</v>
      </c>
      <c r="B4795" s="2" t="s">
        <v>481</v>
      </c>
      <c r="C4795" s="2">
        <v>709.23860000000002</v>
      </c>
      <c r="D4795" s="2">
        <f>HYPERLINK("http://mcb-m6.bioreg.kyushu-u.ac.jp/M3/20110429/F51151/2000/1", 89.24)</f>
        <v>89.24</v>
      </c>
      <c r="E4795" s="2">
        <v>67.88</v>
      </c>
      <c r="F4795" s="2">
        <v>2</v>
      </c>
      <c r="G4795" s="2" t="s">
        <v>13</v>
      </c>
      <c r="I4795" s="2" t="s">
        <v>4898</v>
      </c>
    </row>
    <row r="4796" spans="1:9" x14ac:dyDescent="0.2">
      <c r="A4796" s="2" t="s">
        <v>3250</v>
      </c>
      <c r="B4796" s="2" t="s">
        <v>90</v>
      </c>
      <c r="C4796" s="2">
        <v>1432.7239999999999</v>
      </c>
      <c r="D4796" s="2">
        <f>HYPERLINK("http://mcb-m6.bioreg.kyushu-u.ac.jp/M3/20110502/F51164/1591/1", 89.43)</f>
        <v>89.43</v>
      </c>
      <c r="E4796" s="2">
        <v>72.39</v>
      </c>
      <c r="F4796" s="2">
        <v>1</v>
      </c>
      <c r="G4796" s="2" t="s">
        <v>13</v>
      </c>
    </row>
    <row r="4797" spans="1:9" x14ac:dyDescent="0.2">
      <c r="A4797" s="2" t="s">
        <v>3250</v>
      </c>
      <c r="B4797" s="2" t="s">
        <v>90</v>
      </c>
      <c r="C4797" s="2">
        <v>717.45420000000001</v>
      </c>
      <c r="D4797" s="2">
        <f>HYPERLINK("http://mcb-m6.bioreg.kyushu-u.ac.jp/M3/20110429/F51156/1869/1", 90.4)</f>
        <v>90.4</v>
      </c>
      <c r="E4797" s="2">
        <v>67.7</v>
      </c>
      <c r="F4797" s="2">
        <v>2</v>
      </c>
      <c r="G4797" s="2" t="s">
        <v>13</v>
      </c>
    </row>
    <row r="4798" spans="1:9" x14ac:dyDescent="0.2">
      <c r="A4798" s="2" t="s">
        <v>3250</v>
      </c>
      <c r="B4798" s="2" t="s">
        <v>503</v>
      </c>
      <c r="C4798" s="2">
        <v>808.5616</v>
      </c>
      <c r="D4798" s="2">
        <f>HYPERLINK("http://mcb-m6.bioreg.kyushu-u.ac.jp/M3/20110502/F51164/2077/1", 91.55)</f>
        <v>91.55</v>
      </c>
      <c r="E4798" s="2">
        <v>73.42</v>
      </c>
      <c r="F4798" s="2">
        <v>2</v>
      </c>
      <c r="G4798" s="2" t="s">
        <v>13</v>
      </c>
    </row>
    <row r="4799" spans="1:9" x14ac:dyDescent="0.2">
      <c r="A4799" s="2" t="s">
        <v>3250</v>
      </c>
      <c r="B4799" s="2" t="s">
        <v>356</v>
      </c>
      <c r="C4799" s="2">
        <v>815.67359999999996</v>
      </c>
      <c r="D4799" s="2">
        <f>HYPERLINK("http://mcb-m6.bioreg.kyushu-u.ac.jp/M3/20110429/F51150/2401/1", 91.93)</f>
        <v>91.93</v>
      </c>
      <c r="E4799" s="2">
        <v>70.14</v>
      </c>
      <c r="F4799" s="2">
        <v>2</v>
      </c>
      <c r="G4799" s="2" t="s">
        <v>13</v>
      </c>
    </row>
    <row r="4800" spans="1:9" x14ac:dyDescent="0.2">
      <c r="A4800" s="2" t="s">
        <v>3250</v>
      </c>
      <c r="B4800" s="2" t="s">
        <v>90</v>
      </c>
      <c r="C4800" s="2">
        <v>717.35059999999999</v>
      </c>
      <c r="D4800" s="2">
        <f>HYPERLINK("http://mcb-m6.bioreg.kyushu-u.ac.jp/M3/20110429/F51156/1867/1", 92.82)</f>
        <v>92.82</v>
      </c>
      <c r="E4800" s="2">
        <v>68.14</v>
      </c>
      <c r="F4800" s="2">
        <v>2</v>
      </c>
      <c r="G4800" s="2" t="s">
        <v>13</v>
      </c>
    </row>
    <row r="4801" spans="1:9" x14ac:dyDescent="0.2">
      <c r="A4801" s="2" t="s">
        <v>3250</v>
      </c>
      <c r="B4801" s="2" t="s">
        <v>90</v>
      </c>
      <c r="C4801" s="2">
        <v>716.77369999999996</v>
      </c>
      <c r="D4801" s="2">
        <f>HYPERLINK("http://mcb-m6.bioreg.kyushu-u.ac.jp/M3/20110429/F51155/2099/1", 93.76)</f>
        <v>93.76</v>
      </c>
      <c r="E4801" s="2">
        <v>71.89</v>
      </c>
      <c r="F4801" s="2">
        <v>2</v>
      </c>
      <c r="G4801" s="2" t="s">
        <v>13</v>
      </c>
    </row>
    <row r="4802" spans="1:9" x14ac:dyDescent="0.2">
      <c r="A4802" s="2" t="s">
        <v>3250</v>
      </c>
      <c r="B4802" s="2" t="s">
        <v>356</v>
      </c>
      <c r="C4802" s="2">
        <v>816.19370000000004</v>
      </c>
      <c r="D4802" s="2">
        <f>HYPERLINK("http://mcb-m6.bioreg.kyushu-u.ac.jp/M3/20110429/F51149/2229/1", 95.15)</f>
        <v>95.15</v>
      </c>
      <c r="E4802" s="2">
        <v>73.92</v>
      </c>
      <c r="F4802" s="2">
        <v>2</v>
      </c>
      <c r="G4802" s="2" t="s">
        <v>13</v>
      </c>
    </row>
    <row r="4803" spans="1:9" x14ac:dyDescent="0.2">
      <c r="A4803" s="2" t="s">
        <v>3250</v>
      </c>
      <c r="B4803" s="2" t="s">
        <v>356</v>
      </c>
      <c r="C4803" s="2">
        <v>816.52470000000005</v>
      </c>
      <c r="D4803" s="2">
        <f>HYPERLINK("http://mcb-m6.bioreg.kyushu-u.ac.jp/M3/20110502/F51163/2211/1", 95.26)</f>
        <v>95.26</v>
      </c>
      <c r="E4803" s="2">
        <v>75.63</v>
      </c>
      <c r="F4803" s="2">
        <v>2</v>
      </c>
      <c r="G4803" s="2" t="s">
        <v>13</v>
      </c>
    </row>
    <row r="4804" spans="1:9" x14ac:dyDescent="0.2">
      <c r="A4804" s="2" t="s">
        <v>3250</v>
      </c>
      <c r="B4804" s="2" t="s">
        <v>772</v>
      </c>
      <c r="C4804" s="2">
        <v>595.71310000000005</v>
      </c>
      <c r="D4804" s="2">
        <f>HYPERLINK("http://mcb-m6.bioreg.kyushu-u.ac.jp/M3/20110429/F51155/1648/1", 96.44)</f>
        <v>96.44</v>
      </c>
      <c r="E4804" s="2">
        <v>65.53</v>
      </c>
      <c r="F4804" s="2">
        <v>2</v>
      </c>
      <c r="G4804" s="2" t="s">
        <v>13</v>
      </c>
    </row>
    <row r="4805" spans="1:9" x14ac:dyDescent="0.2">
      <c r="A4805" s="2" t="s">
        <v>3250</v>
      </c>
      <c r="B4805" s="2" t="s">
        <v>356</v>
      </c>
      <c r="C4805" s="2">
        <v>816.40970000000004</v>
      </c>
      <c r="D4805" s="2">
        <f>HYPERLINK("http://mcb-m6.bioreg.kyushu-u.ac.jp/M3/20110429/F51157/2109/1", 98.06)</f>
        <v>98.06</v>
      </c>
      <c r="E4805" s="2">
        <v>82.19</v>
      </c>
      <c r="F4805" s="2">
        <v>2</v>
      </c>
      <c r="G4805" s="2" t="s">
        <v>13</v>
      </c>
    </row>
    <row r="4806" spans="1:9" x14ac:dyDescent="0.2">
      <c r="A4806" s="2" t="s">
        <v>3250</v>
      </c>
      <c r="B4806" s="2" t="s">
        <v>481</v>
      </c>
      <c r="C4806" s="2">
        <v>709.36569999999995</v>
      </c>
      <c r="D4806" s="2">
        <f>HYPERLINK("http://mcb-m6.bioreg.kyushu-u.ac.jp/M3/20110429/F51155/2066/1", 100.05)</f>
        <v>100.05</v>
      </c>
      <c r="E4806" s="2">
        <v>79.680000000000007</v>
      </c>
      <c r="F4806" s="2">
        <v>2</v>
      </c>
      <c r="G4806" s="2" t="s">
        <v>13</v>
      </c>
      <c r="I4806" s="2" t="s">
        <v>4898</v>
      </c>
    </row>
    <row r="4807" spans="1:9" x14ac:dyDescent="0.2">
      <c r="A4807" s="2" t="s">
        <v>3250</v>
      </c>
      <c r="B4807" s="2" t="s">
        <v>90</v>
      </c>
      <c r="C4807" s="2">
        <v>717.23069999999996</v>
      </c>
      <c r="D4807" s="2">
        <f>HYPERLINK("http://mcb-m6.bioreg.kyushu-u.ac.jp/M3/20110502/F51164/1603/1", 100.22)</f>
        <v>100.22</v>
      </c>
      <c r="E4807" s="2">
        <v>74.239999999999995</v>
      </c>
      <c r="F4807" s="2">
        <v>2</v>
      </c>
      <c r="G4807" s="2" t="s">
        <v>13</v>
      </c>
    </row>
    <row r="4808" spans="1:9" x14ac:dyDescent="0.2">
      <c r="A4808" s="2" t="s">
        <v>3250</v>
      </c>
      <c r="B4808" s="2" t="s">
        <v>90</v>
      </c>
      <c r="C4808" s="2">
        <v>717.02970000000005</v>
      </c>
      <c r="D4808" s="2">
        <f>HYPERLINK("http://mcb-m6.bioreg.kyushu-u.ac.jp/M3/20110502/F51164/1599/1", 100.61)</f>
        <v>100.61</v>
      </c>
      <c r="E4808" s="2">
        <v>78.19</v>
      </c>
      <c r="F4808" s="2">
        <v>2</v>
      </c>
      <c r="G4808" s="2" t="s">
        <v>13</v>
      </c>
    </row>
    <row r="4809" spans="1:9" x14ac:dyDescent="0.2">
      <c r="A4809" s="2" t="s">
        <v>3250</v>
      </c>
      <c r="B4809" s="2" t="s">
        <v>467</v>
      </c>
      <c r="C4809" s="2">
        <v>691.95820000000003</v>
      </c>
      <c r="D4809" s="2">
        <f>HYPERLINK("http://mcb-m6.bioreg.kyushu-u.ac.jp/M3/20110502/F51158/1645/1", 106.45)</f>
        <v>106.45</v>
      </c>
      <c r="E4809" s="2">
        <v>72.63</v>
      </c>
      <c r="F4809" s="2">
        <v>2</v>
      </c>
      <c r="G4809" s="2" t="s">
        <v>13</v>
      </c>
    </row>
    <row r="4810" spans="1:9" x14ac:dyDescent="0.2">
      <c r="A4810" s="2" t="s">
        <v>3250</v>
      </c>
      <c r="B4810" s="2" t="s">
        <v>467</v>
      </c>
      <c r="C4810" s="2">
        <v>692.26760000000002</v>
      </c>
      <c r="D4810" s="2">
        <f>HYPERLINK("http://mcb-m6.bioreg.kyushu-u.ac.jp/M3/20110502/F51163/1519/1", 109.82)</f>
        <v>109.82</v>
      </c>
      <c r="E4810" s="2">
        <v>75.55</v>
      </c>
      <c r="F4810" s="2">
        <v>2</v>
      </c>
      <c r="G4810" s="2" t="s">
        <v>13</v>
      </c>
    </row>
    <row r="4811" spans="1:9" x14ac:dyDescent="0.2">
      <c r="A4811" s="2" t="s">
        <v>3250</v>
      </c>
      <c r="B4811" s="2" t="s">
        <v>356</v>
      </c>
      <c r="C4811" s="2">
        <v>816.05470000000003</v>
      </c>
      <c r="D4811" s="2">
        <f>HYPERLINK("http://mcb-m6.bioreg.kyushu-u.ac.jp/M3/20110502/F51164/2115/1", 109.83)</f>
        <v>109.83</v>
      </c>
      <c r="E4811" s="2">
        <v>88.32</v>
      </c>
      <c r="F4811" s="2">
        <v>2</v>
      </c>
      <c r="G4811" s="2" t="s">
        <v>13</v>
      </c>
    </row>
    <row r="4812" spans="1:9" x14ac:dyDescent="0.2">
      <c r="A4812" s="2" t="s">
        <v>3250</v>
      </c>
      <c r="B4812" s="2" t="s">
        <v>356</v>
      </c>
      <c r="C4812" s="2">
        <v>815.86969999999997</v>
      </c>
      <c r="D4812" s="2">
        <f>HYPERLINK("http://mcb-m6.bioreg.kyushu-u.ac.jp/M3/20110429/F51154/2444/1", 111.24)</f>
        <v>111.24</v>
      </c>
      <c r="E4812" s="2">
        <v>97.24</v>
      </c>
      <c r="F4812" s="2">
        <v>2</v>
      </c>
      <c r="G4812" s="2" t="s">
        <v>13</v>
      </c>
    </row>
    <row r="4813" spans="1:9" x14ac:dyDescent="0.2">
      <c r="A4813" s="2" t="s">
        <v>3250</v>
      </c>
      <c r="B4813" s="2" t="s">
        <v>90</v>
      </c>
      <c r="C4813" s="2">
        <v>717.38919999999996</v>
      </c>
      <c r="D4813" s="2">
        <f>HYPERLINK("http://mcb-m6.bioreg.kyushu-u.ac.jp/M3/20110429/F51156/1868/1", 111.89)</f>
        <v>111.89</v>
      </c>
      <c r="E4813" s="2">
        <v>89.69</v>
      </c>
      <c r="F4813" s="2">
        <v>2</v>
      </c>
      <c r="G4813" s="2" t="s">
        <v>13</v>
      </c>
    </row>
    <row r="4814" spans="1:9" x14ac:dyDescent="0.2">
      <c r="A4814" s="2" t="s">
        <v>3250</v>
      </c>
      <c r="B4814" s="2" t="s">
        <v>356</v>
      </c>
      <c r="C4814" s="2">
        <v>816.03859999999997</v>
      </c>
      <c r="D4814" s="2">
        <f>HYPERLINK("http://mcb-m6.bioreg.kyushu-u.ac.jp/M3/20110429/F51156/2338/1", 112.23)</f>
        <v>112.23</v>
      </c>
      <c r="E4814" s="2">
        <v>90.53</v>
      </c>
      <c r="F4814" s="2">
        <v>2</v>
      </c>
      <c r="G4814" s="2" t="s">
        <v>13</v>
      </c>
    </row>
    <row r="4815" spans="1:9" x14ac:dyDescent="0.2">
      <c r="A4815" s="2" t="s">
        <v>3250</v>
      </c>
      <c r="B4815" s="2" t="s">
        <v>356</v>
      </c>
      <c r="C4815" s="2">
        <v>816.41610000000003</v>
      </c>
      <c r="D4815" s="2">
        <f>HYPERLINK("http://mcb-m6.bioreg.kyushu-u.ac.jp/M3/20110429/F51155/2520/1", 112.47)</f>
        <v>112.47</v>
      </c>
      <c r="E4815" s="2">
        <v>93.71</v>
      </c>
      <c r="F4815" s="2">
        <v>2</v>
      </c>
      <c r="G4815" s="2" t="s">
        <v>13</v>
      </c>
    </row>
    <row r="4816" spans="1:9" x14ac:dyDescent="0.2">
      <c r="A4816" s="2" t="s">
        <v>3250</v>
      </c>
      <c r="B4816" s="2" t="s">
        <v>356</v>
      </c>
      <c r="C4816" s="2">
        <v>816.41560000000004</v>
      </c>
      <c r="D4816" s="2">
        <f>HYPERLINK("http://mcb-m6.bioreg.kyushu-u.ac.jp/M3/20110502/F51164/2118/1", 112.59)</f>
        <v>112.59</v>
      </c>
      <c r="E4816" s="2">
        <v>92.12</v>
      </c>
      <c r="F4816" s="2">
        <v>2</v>
      </c>
      <c r="G4816" s="2" t="s">
        <v>13</v>
      </c>
    </row>
    <row r="4817" spans="1:9" x14ac:dyDescent="0.2">
      <c r="A4817" s="2" t="s">
        <v>3250</v>
      </c>
      <c r="B4817" s="2" t="s">
        <v>467</v>
      </c>
      <c r="C4817" s="2">
        <v>691.99159999999995</v>
      </c>
      <c r="D4817" s="2">
        <f>HYPERLINK("http://mcb-m6.bioreg.kyushu-u.ac.jp/M3/20110428/F51147/1827/1", 113.07)</f>
        <v>113.07</v>
      </c>
      <c r="E4817" s="2">
        <v>77.22</v>
      </c>
      <c r="F4817" s="2">
        <v>2</v>
      </c>
      <c r="G4817" s="2" t="s">
        <v>13</v>
      </c>
    </row>
    <row r="4818" spans="1:9" x14ac:dyDescent="0.2">
      <c r="A4818" s="2" t="s">
        <v>3250</v>
      </c>
      <c r="B4818" s="2" t="s">
        <v>90</v>
      </c>
      <c r="C4818" s="2">
        <v>716.89919999999995</v>
      </c>
      <c r="D4818" s="2">
        <f>HYPERLINK("http://mcb-m6.bioreg.kyushu-u.ac.jp/M3/20110502/F51163/1644/1", 115.71)</f>
        <v>115.71</v>
      </c>
      <c r="E4818" s="2">
        <v>90.88</v>
      </c>
      <c r="F4818" s="2">
        <v>2</v>
      </c>
      <c r="G4818" s="2" t="s">
        <v>13</v>
      </c>
    </row>
    <row r="4819" spans="1:9" x14ac:dyDescent="0.2">
      <c r="A4819" s="2" t="s">
        <v>3250</v>
      </c>
      <c r="B4819" s="2" t="s">
        <v>90</v>
      </c>
      <c r="C4819" s="2">
        <v>717.18119999999999</v>
      </c>
      <c r="D4819" s="2">
        <f>HYPERLINK("http://mcb-m6.bioreg.kyushu-u.ac.jp/M3/20110429/F51156/1865/1", 116.67)</f>
        <v>116.67</v>
      </c>
      <c r="E4819" s="2">
        <v>84.61</v>
      </c>
      <c r="F4819" s="2">
        <v>2</v>
      </c>
      <c r="G4819" s="2" t="s">
        <v>13</v>
      </c>
    </row>
    <row r="4820" spans="1:9" x14ac:dyDescent="0.2">
      <c r="A4820" s="2" t="s">
        <v>3250</v>
      </c>
      <c r="B4820" s="2" t="s">
        <v>90</v>
      </c>
      <c r="C4820" s="2">
        <v>717.39319999999998</v>
      </c>
      <c r="D4820" s="2">
        <f>HYPERLINK("http://mcb-m6.bioreg.kyushu-u.ac.jp/M3/20110428/F51146/1985/1", 118.05)</f>
        <v>118.05</v>
      </c>
      <c r="E4820" s="2">
        <v>86.46</v>
      </c>
      <c r="F4820" s="2">
        <v>2</v>
      </c>
      <c r="G4820" s="2" t="s">
        <v>13</v>
      </c>
    </row>
    <row r="4821" spans="1:9" x14ac:dyDescent="0.2">
      <c r="A4821" s="2" t="s">
        <v>3250</v>
      </c>
      <c r="B4821" s="2" t="s">
        <v>356</v>
      </c>
      <c r="C4821" s="2">
        <v>816.38959999999997</v>
      </c>
      <c r="D4821" s="2">
        <f>HYPERLINK("http://mcb-m6.bioreg.kyushu-u.ac.jp/M3/20110502/F51164/2117/1", 121.3)</f>
        <v>121.3</v>
      </c>
      <c r="E4821" s="2">
        <v>99.26</v>
      </c>
      <c r="F4821" s="2">
        <v>2</v>
      </c>
      <c r="G4821" s="2" t="s">
        <v>13</v>
      </c>
    </row>
    <row r="4822" spans="1:9" x14ac:dyDescent="0.2">
      <c r="A4822" s="2" t="s">
        <v>3250</v>
      </c>
      <c r="B4822" s="2" t="s">
        <v>356</v>
      </c>
      <c r="C4822" s="2">
        <v>816.45069999999998</v>
      </c>
      <c r="D4822" s="2">
        <f>HYPERLINK("http://mcb-m6.bioreg.kyushu-u.ac.jp/M3/20110502/F51163/2210/1", 122.89)</f>
        <v>122.89</v>
      </c>
      <c r="E4822" s="2">
        <v>100.44</v>
      </c>
      <c r="F4822" s="2">
        <v>2</v>
      </c>
      <c r="G4822" s="2" t="s">
        <v>13</v>
      </c>
    </row>
    <row r="4823" spans="1:9" x14ac:dyDescent="0.2">
      <c r="A4823" s="2" t="s">
        <v>3250</v>
      </c>
      <c r="B4823" s="2" t="s">
        <v>1665</v>
      </c>
      <c r="C4823" s="2">
        <v>1147.1569999999999</v>
      </c>
      <c r="D4823" s="2">
        <f>HYPERLINK("http://mcb-m6.bioreg.kyushu-u.ac.jp/M3/20110502/F51164/3252/1", 124.72)</f>
        <v>124.72</v>
      </c>
      <c r="E4823" s="2">
        <v>107.35</v>
      </c>
      <c r="F4823" s="2">
        <v>2</v>
      </c>
      <c r="G4823" s="2" t="s">
        <v>13</v>
      </c>
    </row>
    <row r="4824" spans="1:9" x14ac:dyDescent="0.2">
      <c r="A4824" s="2" t="s">
        <v>3250</v>
      </c>
      <c r="B4824" s="2" t="s">
        <v>90</v>
      </c>
      <c r="C4824" s="2">
        <v>717.26260000000002</v>
      </c>
      <c r="D4824" s="2">
        <f>HYPERLINK("http://mcb-m6.bioreg.kyushu-u.ac.jp/M3/20110429/F51149/1966/1", 130.86)</f>
        <v>130.86000000000001</v>
      </c>
      <c r="E4824" s="2">
        <v>97.51</v>
      </c>
      <c r="F4824" s="2">
        <v>2</v>
      </c>
      <c r="G4824" s="2" t="s">
        <v>13</v>
      </c>
    </row>
    <row r="4825" spans="1:9" x14ac:dyDescent="0.2">
      <c r="A4825" s="2" t="s">
        <v>3250</v>
      </c>
      <c r="B4825" s="2" t="s">
        <v>365</v>
      </c>
      <c r="C4825" s="2">
        <v>849.41219999999998</v>
      </c>
      <c r="D4825" s="2">
        <f>HYPERLINK("http://mcb-m6.bioreg.kyushu-u.ac.jp/M3/20110428/F51142/2789/1", 35.24)</f>
        <v>35.24</v>
      </c>
      <c r="E4825" s="2">
        <v>18.850000000000001</v>
      </c>
      <c r="F4825" s="2">
        <v>2</v>
      </c>
      <c r="G4825" s="2" t="s">
        <v>14</v>
      </c>
    </row>
    <row r="4826" spans="1:9" x14ac:dyDescent="0.2">
      <c r="A4826" s="2" t="s">
        <v>3250</v>
      </c>
      <c r="B4826" s="2" t="s">
        <v>365</v>
      </c>
      <c r="C4826" s="2">
        <v>849.51369999999997</v>
      </c>
      <c r="D4826" s="2">
        <f>HYPERLINK("http://mcb-m6.bioreg.kyushu-u.ac.jp/M3/20110428/F51141/2586/1", 35.69)</f>
        <v>35.69</v>
      </c>
      <c r="E4826" s="2">
        <v>23.74</v>
      </c>
      <c r="F4826" s="2">
        <v>2</v>
      </c>
      <c r="G4826" s="2" t="s">
        <v>14</v>
      </c>
    </row>
    <row r="4827" spans="1:9" x14ac:dyDescent="0.2">
      <c r="A4827" s="2" t="s">
        <v>3250</v>
      </c>
      <c r="B4827" s="2" t="s">
        <v>1787</v>
      </c>
      <c r="C4827" s="2">
        <v>1175.741</v>
      </c>
      <c r="D4827" s="2">
        <f>HYPERLINK("http://mcb-m6.bioreg.kyushu-u.ac.jp/M3/20110502/F51161/1320/1", 36.32)</f>
        <v>36.32</v>
      </c>
      <c r="E4827" s="2">
        <v>23.55</v>
      </c>
      <c r="F4827" s="2">
        <v>1</v>
      </c>
      <c r="G4827" s="2" t="s">
        <v>14</v>
      </c>
      <c r="I4827" s="2" t="s">
        <v>4895</v>
      </c>
    </row>
    <row r="4828" spans="1:9" x14ac:dyDescent="0.2">
      <c r="A4828" s="2" t="s">
        <v>3250</v>
      </c>
      <c r="B4828" s="2" t="s">
        <v>365</v>
      </c>
      <c r="C4828" s="2">
        <v>849.53120000000001</v>
      </c>
      <c r="D4828" s="2">
        <f>HYPERLINK("http://mcb-m6.bioreg.kyushu-u.ac.jp/M3/20110502/F51161/2271/1", 36.33)</f>
        <v>36.33</v>
      </c>
      <c r="E4828" s="2">
        <v>23.13</v>
      </c>
      <c r="F4828" s="2">
        <v>2</v>
      </c>
      <c r="G4828" s="2" t="s">
        <v>14</v>
      </c>
    </row>
    <row r="4829" spans="1:9" x14ac:dyDescent="0.2">
      <c r="A4829" s="2" t="s">
        <v>3250</v>
      </c>
      <c r="B4829" s="2" t="s">
        <v>1065</v>
      </c>
      <c r="C4829" s="2">
        <v>717.16520000000003</v>
      </c>
      <c r="D4829" s="2">
        <f>HYPERLINK("http://mcb-m6.bioreg.kyushu-u.ac.jp/M3/20110428/F51143/1978/1", 36.39)</f>
        <v>36.39</v>
      </c>
      <c r="E4829" s="2">
        <v>21.06</v>
      </c>
      <c r="F4829" s="2">
        <v>2</v>
      </c>
      <c r="G4829" s="2" t="s">
        <v>14</v>
      </c>
      <c r="I4829" s="2" t="s">
        <v>4892</v>
      </c>
    </row>
    <row r="4830" spans="1:9" x14ac:dyDescent="0.2">
      <c r="A4830" s="2" t="s">
        <v>3250</v>
      </c>
      <c r="B4830" s="2" t="s">
        <v>351</v>
      </c>
      <c r="C4830" s="2">
        <v>861.63199999999995</v>
      </c>
      <c r="D4830" s="2">
        <f>HYPERLINK("http://mcb-m6.bioreg.kyushu-u.ac.jp/M3/20110428/F51143/734/1", 36.72)</f>
        <v>36.72</v>
      </c>
      <c r="E4830" s="2">
        <v>15.32</v>
      </c>
      <c r="F4830" s="2">
        <v>1</v>
      </c>
      <c r="G4830" s="2" t="s">
        <v>14</v>
      </c>
      <c r="I4830" s="2" t="s">
        <v>4899</v>
      </c>
    </row>
    <row r="4831" spans="1:9" x14ac:dyDescent="0.2">
      <c r="A4831" s="2" t="s">
        <v>3250</v>
      </c>
      <c r="B4831" s="2" t="s">
        <v>365</v>
      </c>
      <c r="C4831" s="2">
        <v>848.9597</v>
      </c>
      <c r="D4831" s="2">
        <f>HYPERLINK("http://mcb-m6.bioreg.kyushu-u.ac.jp/M3/20110428/F51141/2579/1", 37.02)</f>
        <v>37.020000000000003</v>
      </c>
      <c r="E4831" s="2">
        <v>24</v>
      </c>
      <c r="F4831" s="2">
        <v>2</v>
      </c>
      <c r="G4831" s="2" t="s">
        <v>14</v>
      </c>
    </row>
    <row r="4832" spans="1:9" x14ac:dyDescent="0.2">
      <c r="A4832" s="2" t="s">
        <v>3250</v>
      </c>
      <c r="B4832" s="2" t="s">
        <v>772</v>
      </c>
      <c r="C4832" s="2">
        <v>596.3116</v>
      </c>
      <c r="D4832" s="2">
        <f>HYPERLINK("http://mcb-m6.bioreg.kyushu-u.ac.jp/M3/20110428/F51143/1431/1", 37.26)</f>
        <v>37.26</v>
      </c>
      <c r="E4832" s="2">
        <v>15.4</v>
      </c>
      <c r="F4832" s="2">
        <v>2</v>
      </c>
      <c r="G4832" s="2" t="s">
        <v>14</v>
      </c>
    </row>
    <row r="4833" spans="1:9" x14ac:dyDescent="0.2">
      <c r="A4833" s="2" t="s">
        <v>3250</v>
      </c>
      <c r="B4833" s="2" t="s">
        <v>1065</v>
      </c>
      <c r="C4833" s="2">
        <v>716.82569999999998</v>
      </c>
      <c r="D4833" s="2">
        <f>HYPERLINK("http://mcb-m6.bioreg.kyushu-u.ac.jp/M3/20110428/F51144/2090/1", 37.61)</f>
        <v>37.61</v>
      </c>
      <c r="E4833" s="2">
        <v>29.71</v>
      </c>
      <c r="F4833" s="2">
        <v>2</v>
      </c>
      <c r="G4833" s="2" t="s">
        <v>14</v>
      </c>
      <c r="I4833" s="2" t="s">
        <v>4892</v>
      </c>
    </row>
    <row r="4834" spans="1:9" x14ac:dyDescent="0.2">
      <c r="A4834" s="2" t="s">
        <v>3250</v>
      </c>
      <c r="B4834" s="2" t="s">
        <v>1765</v>
      </c>
      <c r="C4834" s="2">
        <v>1521.85</v>
      </c>
      <c r="D4834" s="2">
        <f>HYPERLINK("http://mcb-m6.bioreg.kyushu-u.ac.jp/M3/20110428/F51143/2183/1", 38.87)</f>
        <v>38.869999999999997</v>
      </c>
      <c r="E4834" s="2">
        <v>19.84</v>
      </c>
      <c r="F4834" s="2">
        <v>1</v>
      </c>
      <c r="G4834" s="2" t="s">
        <v>14</v>
      </c>
    </row>
    <row r="4835" spans="1:9" x14ac:dyDescent="0.2">
      <c r="A4835" s="2" t="s">
        <v>3250</v>
      </c>
      <c r="B4835" s="2" t="s">
        <v>772</v>
      </c>
      <c r="C4835" s="2">
        <v>596.00620000000004</v>
      </c>
      <c r="D4835" s="2">
        <f>HYPERLINK("http://mcb-m6.bioreg.kyushu-u.ac.jp/M3/20110428/F51145/1562/1", 39.14)</f>
        <v>39.14</v>
      </c>
      <c r="E4835" s="2">
        <v>21.29</v>
      </c>
      <c r="F4835" s="2">
        <v>2</v>
      </c>
      <c r="G4835" s="2" t="s">
        <v>14</v>
      </c>
    </row>
    <row r="4836" spans="1:9" x14ac:dyDescent="0.2">
      <c r="A4836" s="2" t="s">
        <v>3250</v>
      </c>
      <c r="B4836" s="2" t="s">
        <v>77</v>
      </c>
      <c r="C4836" s="2">
        <v>1148.586</v>
      </c>
      <c r="D4836" s="2">
        <f>HYPERLINK("http://mcb-m6.bioreg.kyushu-u.ac.jp/M3/20110428/F51143/1309/1", 39.42)</f>
        <v>39.42</v>
      </c>
      <c r="E4836" s="2">
        <v>23.29</v>
      </c>
      <c r="F4836" s="2">
        <v>1</v>
      </c>
      <c r="G4836" s="2" t="s">
        <v>14</v>
      </c>
    </row>
    <row r="4837" spans="1:9" x14ac:dyDescent="0.2">
      <c r="A4837" s="2" t="s">
        <v>3250</v>
      </c>
      <c r="B4837" s="2" t="s">
        <v>1875</v>
      </c>
      <c r="C4837" s="2">
        <v>772.67110000000002</v>
      </c>
      <c r="D4837" s="2">
        <f>HYPERLINK("http://mcb-m6.bioreg.kyushu-u.ac.jp/M3/20110428/F51143/2250/1", 40.29)</f>
        <v>40.29</v>
      </c>
      <c r="E4837" s="2">
        <v>28.07</v>
      </c>
      <c r="F4837" s="2">
        <v>2</v>
      </c>
      <c r="G4837" s="2" t="s">
        <v>14</v>
      </c>
    </row>
    <row r="4838" spans="1:9" x14ac:dyDescent="0.2">
      <c r="A4838" s="2" t="s">
        <v>3250</v>
      </c>
      <c r="B4838" s="2" t="s">
        <v>77</v>
      </c>
      <c r="C4838" s="2">
        <v>574.80769999999995</v>
      </c>
      <c r="D4838" s="2">
        <f>HYPERLINK("http://mcb-m6.bioreg.kyushu-u.ac.jp/M3/20110428/F51145/1466/1", 40.33)</f>
        <v>40.33</v>
      </c>
      <c r="E4838" s="2">
        <v>15.69</v>
      </c>
      <c r="F4838" s="2">
        <v>2</v>
      </c>
      <c r="G4838" s="2" t="s">
        <v>14</v>
      </c>
    </row>
    <row r="4839" spans="1:9" x14ac:dyDescent="0.2">
      <c r="A4839" s="2" t="s">
        <v>3250</v>
      </c>
      <c r="B4839" s="2" t="s">
        <v>467</v>
      </c>
      <c r="C4839" s="2">
        <v>691.75120000000004</v>
      </c>
      <c r="D4839" s="2">
        <f>HYPERLINK("http://mcb-m6.bioreg.kyushu-u.ac.jp/M3/20110428/F51144/1967/1", 40.44)</f>
        <v>40.44</v>
      </c>
      <c r="E4839" s="2">
        <v>18.87</v>
      </c>
      <c r="F4839" s="2">
        <v>2</v>
      </c>
      <c r="G4839" s="2" t="s">
        <v>14</v>
      </c>
    </row>
    <row r="4840" spans="1:9" x14ac:dyDescent="0.2">
      <c r="A4840" s="2" t="s">
        <v>3250</v>
      </c>
      <c r="B4840" s="2" t="s">
        <v>561</v>
      </c>
      <c r="C4840" s="2">
        <v>1307.7329999999999</v>
      </c>
      <c r="D4840" s="2">
        <f>HYPERLINK("http://mcb-m6.bioreg.kyushu-u.ac.jp/M3/20110502/F51162/1475/1", 40.55)</f>
        <v>40.549999999999997</v>
      </c>
      <c r="E4840" s="2">
        <v>16.079999999999998</v>
      </c>
      <c r="F4840" s="2">
        <v>1</v>
      </c>
      <c r="G4840" s="2" t="s">
        <v>14</v>
      </c>
    </row>
    <row r="4841" spans="1:9" x14ac:dyDescent="0.2">
      <c r="A4841" s="2" t="s">
        <v>3250</v>
      </c>
      <c r="B4841" s="2" t="s">
        <v>365</v>
      </c>
      <c r="C4841" s="2">
        <v>849.13919999999996</v>
      </c>
      <c r="D4841" s="2">
        <f>HYPERLINK("http://mcb-m6.bioreg.kyushu-u.ac.jp/M3/20110428/F51142/2786/1", 40.68)</f>
        <v>40.68</v>
      </c>
      <c r="E4841" s="2">
        <v>21.05</v>
      </c>
      <c r="F4841" s="2">
        <v>2</v>
      </c>
      <c r="G4841" s="2" t="s">
        <v>14</v>
      </c>
    </row>
    <row r="4842" spans="1:9" x14ac:dyDescent="0.2">
      <c r="A4842" s="2" t="s">
        <v>3250</v>
      </c>
      <c r="B4842" s="2" t="s">
        <v>834</v>
      </c>
      <c r="C4842" s="2">
        <v>622.2817</v>
      </c>
      <c r="D4842" s="2">
        <f>HYPERLINK("http://mcb-m6.bioreg.kyushu-u.ac.jp/M3/20110428/F51142/1481/1", 41.06)</f>
        <v>41.06</v>
      </c>
      <c r="E4842" s="2">
        <v>23.82</v>
      </c>
      <c r="F4842" s="2">
        <v>2</v>
      </c>
      <c r="G4842" s="2" t="s">
        <v>14</v>
      </c>
    </row>
    <row r="4843" spans="1:9" x14ac:dyDescent="0.2">
      <c r="A4843" s="2" t="s">
        <v>3250</v>
      </c>
      <c r="B4843" s="2" t="s">
        <v>365</v>
      </c>
      <c r="C4843" s="2">
        <v>849.05970000000002</v>
      </c>
      <c r="D4843" s="2">
        <f>HYPERLINK("http://mcb-m6.bioreg.kyushu-u.ac.jp/M3/20110428/F51141/2582/1", 41.16)</f>
        <v>41.16</v>
      </c>
      <c r="E4843" s="2">
        <v>25.17</v>
      </c>
      <c r="F4843" s="2">
        <v>2</v>
      </c>
      <c r="G4843" s="2" t="s">
        <v>14</v>
      </c>
    </row>
    <row r="4844" spans="1:9" x14ac:dyDescent="0.2">
      <c r="A4844" s="2" t="s">
        <v>3250</v>
      </c>
      <c r="B4844" s="2" t="s">
        <v>772</v>
      </c>
      <c r="C4844" s="2">
        <v>596.34220000000005</v>
      </c>
      <c r="D4844" s="2">
        <f>HYPERLINK("http://mcb-m6.bioreg.kyushu-u.ac.jp/M3/20110428/F51144/1523/1", 41.46)</f>
        <v>41.46</v>
      </c>
      <c r="E4844" s="2">
        <v>23.82</v>
      </c>
      <c r="F4844" s="2">
        <v>2</v>
      </c>
      <c r="G4844" s="2" t="s">
        <v>14</v>
      </c>
    </row>
    <row r="4845" spans="1:9" x14ac:dyDescent="0.2">
      <c r="A4845" s="2" t="s">
        <v>3250</v>
      </c>
      <c r="B4845" s="2" t="s">
        <v>356</v>
      </c>
      <c r="C4845" s="2">
        <v>816.3691</v>
      </c>
      <c r="D4845" s="2">
        <f>HYPERLINK("http://mcb-m6.bioreg.kyushu-u.ac.jp/M3/20110428/F51143/2468/1", 41.53)</f>
        <v>41.53</v>
      </c>
      <c r="E4845" s="2">
        <v>32.159999999999997</v>
      </c>
      <c r="F4845" s="2">
        <v>2</v>
      </c>
      <c r="G4845" s="2" t="s">
        <v>14</v>
      </c>
    </row>
    <row r="4846" spans="1:9" x14ac:dyDescent="0.2">
      <c r="A4846" s="2" t="s">
        <v>3250</v>
      </c>
      <c r="B4846" s="2" t="s">
        <v>1875</v>
      </c>
      <c r="C4846" s="2">
        <v>772.77560000000005</v>
      </c>
      <c r="D4846" s="2">
        <f>HYPERLINK("http://mcb-m6.bioreg.kyushu-u.ac.jp/M3/20110428/F51144/2394/1", 41.82)</f>
        <v>41.82</v>
      </c>
      <c r="E4846" s="2">
        <v>27.63</v>
      </c>
      <c r="F4846" s="2">
        <v>2</v>
      </c>
      <c r="G4846" s="2" t="s">
        <v>14</v>
      </c>
    </row>
    <row r="4847" spans="1:9" x14ac:dyDescent="0.2">
      <c r="A4847" s="2" t="s">
        <v>3250</v>
      </c>
      <c r="B4847" s="2" t="s">
        <v>772</v>
      </c>
      <c r="C4847" s="2">
        <v>595.81619999999998</v>
      </c>
      <c r="D4847" s="2">
        <f>HYPERLINK("http://mcb-m6.bioreg.kyushu-u.ac.jp/M3/20110428/F51143/1427/1", 41.83)</f>
        <v>41.83</v>
      </c>
      <c r="E4847" s="2">
        <v>16.84</v>
      </c>
      <c r="F4847" s="2">
        <v>2</v>
      </c>
      <c r="G4847" s="2" t="s">
        <v>14</v>
      </c>
    </row>
    <row r="4848" spans="1:9" x14ac:dyDescent="0.2">
      <c r="A4848" s="2" t="s">
        <v>3250</v>
      </c>
      <c r="B4848" s="2" t="s">
        <v>834</v>
      </c>
      <c r="C4848" s="2">
        <v>622.32569999999998</v>
      </c>
      <c r="D4848" s="2">
        <f>HYPERLINK("http://mcb-m6.bioreg.kyushu-u.ac.jp/M3/20110428/F51143/1560/1", 42.31)</f>
        <v>42.31</v>
      </c>
      <c r="E4848" s="2">
        <v>22.04</v>
      </c>
      <c r="F4848" s="2">
        <v>2</v>
      </c>
      <c r="G4848" s="2" t="s">
        <v>14</v>
      </c>
    </row>
    <row r="4849" spans="1:9" x14ac:dyDescent="0.2">
      <c r="A4849" s="2" t="s">
        <v>3250</v>
      </c>
      <c r="B4849" s="2" t="s">
        <v>1765</v>
      </c>
      <c r="C4849" s="2">
        <v>1521.7829999999999</v>
      </c>
      <c r="D4849" s="2">
        <f>HYPERLINK("http://mcb-m6.bioreg.kyushu-u.ac.jp/M3/20110428/F51142/2182/1", 42.7)</f>
        <v>42.7</v>
      </c>
      <c r="E4849" s="2">
        <v>27.25</v>
      </c>
      <c r="F4849" s="2">
        <v>1</v>
      </c>
      <c r="G4849" s="2" t="s">
        <v>14</v>
      </c>
    </row>
    <row r="4850" spans="1:9" x14ac:dyDescent="0.2">
      <c r="A4850" s="2" t="s">
        <v>3250</v>
      </c>
      <c r="B4850" s="2" t="s">
        <v>311</v>
      </c>
      <c r="C4850" s="2">
        <v>606.79570000000001</v>
      </c>
      <c r="D4850" s="2">
        <f>HYPERLINK("http://mcb-m6.bioreg.kyushu-u.ac.jp/M3/20110428/F51143/1483/1", 42.77)</f>
        <v>42.77</v>
      </c>
      <c r="E4850" s="2">
        <v>24.82</v>
      </c>
      <c r="F4850" s="2">
        <v>2</v>
      </c>
      <c r="G4850" s="2" t="s">
        <v>14</v>
      </c>
      <c r="H4850" s="2" t="s">
        <v>4908</v>
      </c>
    </row>
    <row r="4851" spans="1:9" x14ac:dyDescent="0.2">
      <c r="A4851" s="2" t="s">
        <v>3250</v>
      </c>
      <c r="B4851" s="2" t="s">
        <v>77</v>
      </c>
      <c r="C4851" s="2">
        <v>574.83969999999999</v>
      </c>
      <c r="D4851" s="2">
        <f>HYPERLINK("http://mcb-m6.bioreg.kyushu-u.ac.jp/M3/20110428/F51143/1310/1", 43.23)</f>
        <v>43.23</v>
      </c>
      <c r="E4851" s="2">
        <v>14.3</v>
      </c>
      <c r="F4851" s="2">
        <v>2</v>
      </c>
      <c r="G4851" s="2" t="s">
        <v>14</v>
      </c>
    </row>
    <row r="4852" spans="1:9" x14ac:dyDescent="0.2">
      <c r="A4852" s="2" t="s">
        <v>3250</v>
      </c>
      <c r="B4852" s="2" t="s">
        <v>834</v>
      </c>
      <c r="C4852" s="2">
        <v>1243.29</v>
      </c>
      <c r="D4852" s="2">
        <f>HYPERLINK("http://mcb-m6.bioreg.kyushu-u.ac.jp/M3/20110428/F51143/1556/1", 43.62)</f>
        <v>43.62</v>
      </c>
      <c r="E4852" s="2">
        <v>30.71</v>
      </c>
      <c r="F4852" s="2">
        <v>1</v>
      </c>
      <c r="G4852" s="2" t="s">
        <v>14</v>
      </c>
    </row>
    <row r="4853" spans="1:9" x14ac:dyDescent="0.2">
      <c r="A4853" s="2" t="s">
        <v>3250</v>
      </c>
      <c r="B4853" s="2" t="s">
        <v>1787</v>
      </c>
      <c r="C4853" s="2">
        <v>1175.7339999999999</v>
      </c>
      <c r="D4853" s="2">
        <f>HYPERLINK("http://mcb-m6.bioreg.kyushu-u.ac.jp/M3/20110428/F51144/1468/1", 43.99)</f>
        <v>43.99</v>
      </c>
      <c r="E4853" s="2">
        <v>17.7</v>
      </c>
      <c r="F4853" s="2">
        <v>1</v>
      </c>
      <c r="G4853" s="2" t="s">
        <v>14</v>
      </c>
      <c r="I4853" s="2" t="s">
        <v>4895</v>
      </c>
    </row>
    <row r="4854" spans="1:9" x14ac:dyDescent="0.2">
      <c r="A4854" s="2" t="s">
        <v>3250</v>
      </c>
      <c r="B4854" s="2" t="s">
        <v>1787</v>
      </c>
      <c r="C4854" s="2">
        <v>1175.702</v>
      </c>
      <c r="D4854" s="2">
        <f>HYPERLINK("http://mcb-m6.bioreg.kyushu-u.ac.jp/M3/20110428/F51142/1311/1", 44.1)</f>
        <v>44.1</v>
      </c>
      <c r="E4854" s="2">
        <v>24.47</v>
      </c>
      <c r="F4854" s="2">
        <v>1</v>
      </c>
      <c r="G4854" s="2" t="s">
        <v>14</v>
      </c>
      <c r="I4854" s="2" t="s">
        <v>4895</v>
      </c>
    </row>
    <row r="4855" spans="1:9" x14ac:dyDescent="0.2">
      <c r="A4855" s="2" t="s">
        <v>3250</v>
      </c>
      <c r="B4855" s="2" t="s">
        <v>365</v>
      </c>
      <c r="C4855" s="2">
        <v>848.73419999999999</v>
      </c>
      <c r="D4855" s="2">
        <f>HYPERLINK("http://mcb-m6.bioreg.kyushu-u.ac.jp/M3/20110428/F51143/2596/1", 44.2)</f>
        <v>44.2</v>
      </c>
      <c r="E4855" s="2">
        <v>32.840000000000003</v>
      </c>
      <c r="F4855" s="2">
        <v>2</v>
      </c>
      <c r="G4855" s="2" t="s">
        <v>14</v>
      </c>
    </row>
    <row r="4856" spans="1:9" x14ac:dyDescent="0.2">
      <c r="A4856" s="2" t="s">
        <v>3250</v>
      </c>
      <c r="B4856" s="2" t="s">
        <v>467</v>
      </c>
      <c r="C4856" s="2">
        <v>692.37710000000004</v>
      </c>
      <c r="D4856" s="2">
        <f>HYPERLINK("http://mcb-m6.bioreg.kyushu-u.ac.jp/M3/20110428/F51143/1858/1", 44.43)</f>
        <v>44.43</v>
      </c>
      <c r="E4856" s="2">
        <v>20.21</v>
      </c>
      <c r="F4856" s="2">
        <v>2</v>
      </c>
      <c r="G4856" s="2" t="s">
        <v>14</v>
      </c>
    </row>
    <row r="4857" spans="1:9" x14ac:dyDescent="0.2">
      <c r="A4857" s="2" t="s">
        <v>3250</v>
      </c>
      <c r="B4857" s="2" t="s">
        <v>1787</v>
      </c>
      <c r="C4857" s="2">
        <v>1175.8119999999999</v>
      </c>
      <c r="D4857" s="2">
        <f>HYPERLINK("http://mcb-m6.bioreg.kyushu-u.ac.jp/M3/20110502/F51162/1265/1", 45.25)</f>
        <v>45.25</v>
      </c>
      <c r="E4857" s="2">
        <v>16.48</v>
      </c>
      <c r="F4857" s="2">
        <v>1</v>
      </c>
      <c r="G4857" s="2" t="s">
        <v>14</v>
      </c>
      <c r="I4857" s="2" t="s">
        <v>4895</v>
      </c>
    </row>
    <row r="4858" spans="1:9" x14ac:dyDescent="0.2">
      <c r="A4858" s="2" t="s">
        <v>3250</v>
      </c>
      <c r="B4858" s="2" t="s">
        <v>1787</v>
      </c>
      <c r="C4858" s="2">
        <v>588.51919999999996</v>
      </c>
      <c r="D4858" s="2">
        <f>HYPERLINK("http://mcb-m6.bioreg.kyushu-u.ac.jp/M3/20110502/F51159/1353/1", 45.52)</f>
        <v>45.52</v>
      </c>
      <c r="E4858" s="2">
        <v>25.33</v>
      </c>
      <c r="F4858" s="2">
        <v>2</v>
      </c>
      <c r="G4858" s="2" t="s">
        <v>14</v>
      </c>
      <c r="I4858" s="2" t="s">
        <v>4895</v>
      </c>
    </row>
    <row r="4859" spans="1:9" x14ac:dyDescent="0.2">
      <c r="A4859" s="2" t="s">
        <v>3250</v>
      </c>
      <c r="B4859" s="2" t="s">
        <v>772</v>
      </c>
      <c r="C4859" s="2">
        <v>595.81669999999997</v>
      </c>
      <c r="D4859" s="2">
        <f>HYPERLINK("http://mcb-m6.bioreg.kyushu-u.ac.jp/M3/20110428/F51145/1558/1", 45.72)</f>
        <v>45.72</v>
      </c>
      <c r="E4859" s="2">
        <v>21.76</v>
      </c>
      <c r="F4859" s="2">
        <v>2</v>
      </c>
      <c r="G4859" s="2" t="s">
        <v>14</v>
      </c>
    </row>
    <row r="4860" spans="1:9" x14ac:dyDescent="0.2">
      <c r="A4860" s="2" t="s">
        <v>3250</v>
      </c>
      <c r="B4860" s="2" t="s">
        <v>772</v>
      </c>
      <c r="C4860" s="2">
        <v>596.31619999999998</v>
      </c>
      <c r="D4860" s="2">
        <f>HYPERLINK("http://mcb-m6.bioreg.kyushu-u.ac.jp/M3/20110428/F51142/1359/1", 46.38)</f>
        <v>46.38</v>
      </c>
      <c r="E4860" s="2">
        <v>26.61</v>
      </c>
      <c r="F4860" s="2">
        <v>2</v>
      </c>
      <c r="G4860" s="2" t="s">
        <v>14</v>
      </c>
    </row>
    <row r="4861" spans="1:9" x14ac:dyDescent="0.2">
      <c r="A4861" s="2" t="s">
        <v>3250</v>
      </c>
      <c r="B4861" s="2" t="s">
        <v>77</v>
      </c>
      <c r="C4861" s="2">
        <v>1148.6099999999999</v>
      </c>
      <c r="D4861" s="2">
        <f>HYPERLINK("http://mcb-m6.bioreg.kyushu-u.ac.jp/M3/20110428/F51144/1400/1", 46.41)</f>
        <v>46.41</v>
      </c>
      <c r="E4861" s="2">
        <v>26.12</v>
      </c>
      <c r="F4861" s="2">
        <v>1</v>
      </c>
      <c r="G4861" s="2" t="s">
        <v>14</v>
      </c>
    </row>
    <row r="4862" spans="1:9" x14ac:dyDescent="0.2">
      <c r="A4862" s="2" t="s">
        <v>3250</v>
      </c>
      <c r="B4862" s="2" t="s">
        <v>772</v>
      </c>
      <c r="C4862" s="2">
        <v>1190.7739999999999</v>
      </c>
      <c r="D4862" s="2">
        <f>HYPERLINK("http://mcb-m6.bioreg.kyushu-u.ac.jp/M3/20110428/F51145/1561/1", 46.92)</f>
        <v>46.92</v>
      </c>
      <c r="E4862" s="2">
        <v>26.67</v>
      </c>
      <c r="F4862" s="2">
        <v>1</v>
      </c>
      <c r="G4862" s="2" t="s">
        <v>14</v>
      </c>
    </row>
    <row r="4863" spans="1:9" x14ac:dyDescent="0.2">
      <c r="A4863" s="2" t="s">
        <v>3250</v>
      </c>
      <c r="B4863" s="2" t="s">
        <v>1065</v>
      </c>
      <c r="C4863" s="2">
        <v>717.44370000000004</v>
      </c>
      <c r="D4863" s="2">
        <f>HYPERLINK("http://mcb-m6.bioreg.kyushu-u.ac.jp/M3/20110428/F51144/2098/1", 47.12)</f>
        <v>47.12</v>
      </c>
      <c r="E4863" s="2">
        <v>2.87</v>
      </c>
      <c r="F4863" s="2">
        <v>2</v>
      </c>
      <c r="G4863" s="2" t="s">
        <v>14</v>
      </c>
      <c r="I4863" s="2" t="s">
        <v>4892</v>
      </c>
    </row>
    <row r="4864" spans="1:9" x14ac:dyDescent="0.2">
      <c r="A4864" s="2" t="s">
        <v>3250</v>
      </c>
      <c r="B4864" s="2" t="s">
        <v>1787</v>
      </c>
      <c r="C4864" s="2">
        <v>1175.7929999999999</v>
      </c>
      <c r="D4864" s="2">
        <f>HYPERLINK("http://mcb-m6.bioreg.kyushu-u.ac.jp/M3/20110428/F51145/1518/1", 47.41)</f>
        <v>47.41</v>
      </c>
      <c r="E4864" s="2">
        <v>31.02</v>
      </c>
      <c r="F4864" s="2">
        <v>1</v>
      </c>
      <c r="G4864" s="2" t="s">
        <v>14</v>
      </c>
      <c r="I4864" s="2" t="s">
        <v>4895</v>
      </c>
    </row>
    <row r="4865" spans="1:9" x14ac:dyDescent="0.2">
      <c r="A4865" s="2" t="s">
        <v>3250</v>
      </c>
      <c r="B4865" s="2" t="s">
        <v>365</v>
      </c>
      <c r="C4865" s="2">
        <v>849.08420000000001</v>
      </c>
      <c r="D4865" s="2">
        <f>HYPERLINK("http://mcb-m6.bioreg.kyushu-u.ac.jp/M3/20110428/F51138/2647/1", 47.91)</f>
        <v>47.91</v>
      </c>
      <c r="E4865" s="2">
        <v>35.03</v>
      </c>
      <c r="F4865" s="2">
        <v>2</v>
      </c>
      <c r="G4865" s="2" t="s">
        <v>14</v>
      </c>
    </row>
    <row r="4866" spans="1:9" x14ac:dyDescent="0.2">
      <c r="A4866" s="2" t="s">
        <v>3250</v>
      </c>
      <c r="B4866" s="2" t="s">
        <v>77</v>
      </c>
      <c r="C4866" s="2">
        <v>575.14419999999996</v>
      </c>
      <c r="D4866" s="2">
        <f>HYPERLINK("http://mcb-m6.bioreg.kyushu-u.ac.jp/M3/20110502/F51162/1224/1", 48.17)</f>
        <v>48.17</v>
      </c>
      <c r="E4866" s="2">
        <v>29.37</v>
      </c>
      <c r="F4866" s="2">
        <v>2</v>
      </c>
      <c r="G4866" s="2" t="s">
        <v>14</v>
      </c>
    </row>
    <row r="4867" spans="1:9" x14ac:dyDescent="0.2">
      <c r="A4867" s="2" t="s">
        <v>3250</v>
      </c>
      <c r="B4867" s="2" t="s">
        <v>834</v>
      </c>
      <c r="C4867" s="2">
        <v>622.30520000000001</v>
      </c>
      <c r="D4867" s="2">
        <f>HYPERLINK("http://mcb-m6.bioreg.kyushu-u.ac.jp/M3/20110502/F51162/1395/1", 48.66)</f>
        <v>48.66</v>
      </c>
      <c r="E4867" s="2">
        <v>32.1</v>
      </c>
      <c r="F4867" s="2">
        <v>2</v>
      </c>
      <c r="G4867" s="2" t="s">
        <v>14</v>
      </c>
    </row>
    <row r="4868" spans="1:9" x14ac:dyDescent="0.2">
      <c r="A4868" s="2" t="s">
        <v>3250</v>
      </c>
      <c r="B4868" s="2" t="s">
        <v>77</v>
      </c>
      <c r="C4868" s="2">
        <v>574.79470000000003</v>
      </c>
      <c r="D4868" s="2">
        <f>HYPERLINK("http://mcb-m6.bioreg.kyushu-u.ac.jp/M3/20110428/F51143/1308/1", 48.77)</f>
        <v>48.77</v>
      </c>
      <c r="E4868" s="2">
        <v>13.84</v>
      </c>
      <c r="F4868" s="2">
        <v>2</v>
      </c>
      <c r="G4868" s="2" t="s">
        <v>14</v>
      </c>
    </row>
    <row r="4869" spans="1:9" x14ac:dyDescent="0.2">
      <c r="A4869" s="2" t="s">
        <v>3250</v>
      </c>
      <c r="B4869" s="2" t="s">
        <v>90</v>
      </c>
      <c r="C4869" s="2">
        <v>717.09220000000005</v>
      </c>
      <c r="D4869" s="2">
        <f>HYPERLINK("http://mcb-m6.bioreg.kyushu-u.ac.jp/M3/20110502/F51161/1796/1", 49.59)</f>
        <v>49.59</v>
      </c>
      <c r="E4869" s="2">
        <v>39.79</v>
      </c>
      <c r="F4869" s="2">
        <v>2</v>
      </c>
      <c r="G4869" s="2" t="s">
        <v>14</v>
      </c>
    </row>
    <row r="4870" spans="1:9" x14ac:dyDescent="0.2">
      <c r="A4870" s="2" t="s">
        <v>3250</v>
      </c>
      <c r="B4870" s="2" t="s">
        <v>834</v>
      </c>
      <c r="C4870" s="2">
        <v>622.38509999999997</v>
      </c>
      <c r="D4870" s="2">
        <f>HYPERLINK("http://mcb-m6.bioreg.kyushu-u.ac.jp/M3/20110428/F51143/1562/1", 49.8)</f>
        <v>49.8</v>
      </c>
      <c r="E4870" s="2">
        <v>27.72</v>
      </c>
      <c r="F4870" s="2">
        <v>2</v>
      </c>
      <c r="G4870" s="2" t="s">
        <v>14</v>
      </c>
    </row>
    <row r="4871" spans="1:9" x14ac:dyDescent="0.2">
      <c r="A4871" s="2" t="s">
        <v>3250</v>
      </c>
      <c r="B4871" s="2" t="s">
        <v>1787</v>
      </c>
      <c r="C4871" s="2">
        <v>1175.663</v>
      </c>
      <c r="D4871" s="2">
        <f>HYPERLINK("http://mcb-m6.bioreg.kyushu-u.ac.jp/M3/20110428/F51143/1370/1", 50.24)</f>
        <v>50.24</v>
      </c>
      <c r="E4871" s="2">
        <v>35.15</v>
      </c>
      <c r="F4871" s="2">
        <v>1</v>
      </c>
      <c r="G4871" s="2" t="s">
        <v>14</v>
      </c>
      <c r="I4871" s="2" t="s">
        <v>4895</v>
      </c>
    </row>
    <row r="4872" spans="1:9" x14ac:dyDescent="0.2">
      <c r="A4872" s="2" t="s">
        <v>3250</v>
      </c>
      <c r="B4872" s="2" t="s">
        <v>90</v>
      </c>
      <c r="C4872" s="2">
        <v>717.08010000000002</v>
      </c>
      <c r="D4872" s="2">
        <f>HYPERLINK("http://mcb-m6.bioreg.kyushu-u.ac.jp/M3/20110428/F51145/1965/1", 50.49)</f>
        <v>50.49</v>
      </c>
      <c r="E4872" s="2">
        <v>20.18</v>
      </c>
      <c r="F4872" s="2">
        <v>2</v>
      </c>
      <c r="G4872" s="2" t="s">
        <v>14</v>
      </c>
    </row>
    <row r="4873" spans="1:9" x14ac:dyDescent="0.2">
      <c r="A4873" s="2" t="s">
        <v>3250</v>
      </c>
      <c r="B4873" s="2" t="s">
        <v>834</v>
      </c>
      <c r="C4873" s="2">
        <v>621.89670000000001</v>
      </c>
      <c r="D4873" s="2">
        <f>HYPERLINK("http://mcb-m6.bioreg.kyushu-u.ac.jp/M3/20110428/F51143/1555/1", 50.84)</f>
        <v>50.84</v>
      </c>
      <c r="E4873" s="2">
        <v>31.25</v>
      </c>
      <c r="F4873" s="2">
        <v>2</v>
      </c>
      <c r="G4873" s="2" t="s">
        <v>14</v>
      </c>
    </row>
    <row r="4874" spans="1:9" x14ac:dyDescent="0.2">
      <c r="A4874" s="2" t="s">
        <v>3250</v>
      </c>
      <c r="B4874" s="2" t="s">
        <v>365</v>
      </c>
      <c r="C4874" s="2">
        <v>849.01210000000003</v>
      </c>
      <c r="D4874" s="2">
        <f>HYPERLINK("http://mcb-m6.bioreg.kyushu-u.ac.jp/M3/20110428/F51143/2600/1", 51.12)</f>
        <v>51.12</v>
      </c>
      <c r="E4874" s="2">
        <v>35.21</v>
      </c>
      <c r="F4874" s="2">
        <v>2</v>
      </c>
      <c r="G4874" s="2" t="s">
        <v>14</v>
      </c>
    </row>
    <row r="4875" spans="1:9" x14ac:dyDescent="0.2">
      <c r="A4875" s="2" t="s">
        <v>3250</v>
      </c>
      <c r="B4875" s="2" t="s">
        <v>311</v>
      </c>
      <c r="C4875" s="2">
        <v>598.88670000000002</v>
      </c>
      <c r="D4875" s="2">
        <f>HYPERLINK("http://mcb-m6.bioreg.kyushu-u.ac.jp/M3/20110428/F51142/1377/1", 51.48)</f>
        <v>51.48</v>
      </c>
      <c r="E4875" s="2">
        <v>31.27</v>
      </c>
      <c r="F4875" s="2">
        <v>2</v>
      </c>
      <c r="G4875" s="2" t="s">
        <v>14</v>
      </c>
    </row>
    <row r="4876" spans="1:9" x14ac:dyDescent="0.2">
      <c r="A4876" s="2" t="s">
        <v>3250</v>
      </c>
      <c r="B4876" s="2" t="s">
        <v>467</v>
      </c>
      <c r="C4876" s="2">
        <v>691.84559999999999</v>
      </c>
      <c r="D4876" s="2">
        <f>HYPERLINK("http://mcb-m6.bioreg.kyushu-u.ac.jp/M3/20110502/F51160/1513/1", 52.04)</f>
        <v>52.04</v>
      </c>
      <c r="E4876" s="2">
        <v>27.48</v>
      </c>
      <c r="F4876" s="2">
        <v>2</v>
      </c>
      <c r="G4876" s="2" t="s">
        <v>14</v>
      </c>
    </row>
    <row r="4877" spans="1:9" x14ac:dyDescent="0.2">
      <c r="A4877" s="2" t="s">
        <v>3250</v>
      </c>
      <c r="B4877" s="2" t="s">
        <v>90</v>
      </c>
      <c r="C4877" s="2">
        <v>717.46510000000001</v>
      </c>
      <c r="D4877" s="2">
        <f>HYPERLINK("http://mcb-m6.bioreg.kyushu-u.ac.jp/M3/20110428/F51141/1779/1", 53.32)</f>
        <v>53.32</v>
      </c>
      <c r="E4877" s="2">
        <v>34.07</v>
      </c>
      <c r="F4877" s="2">
        <v>2</v>
      </c>
      <c r="G4877" s="2" t="s">
        <v>14</v>
      </c>
    </row>
    <row r="4878" spans="1:9" x14ac:dyDescent="0.2">
      <c r="A4878" s="2" t="s">
        <v>3250</v>
      </c>
      <c r="B4878" s="2" t="s">
        <v>772</v>
      </c>
      <c r="C4878" s="2">
        <v>1190.6980000000001</v>
      </c>
      <c r="D4878" s="2">
        <f>HYPERLINK("http://mcb-m6.bioreg.kyushu-u.ac.jp/M3/20110502/F51162/1308/1", 53.34)</f>
        <v>53.34</v>
      </c>
      <c r="E4878" s="2">
        <v>26.64</v>
      </c>
      <c r="F4878" s="2">
        <v>1</v>
      </c>
      <c r="G4878" s="2" t="s">
        <v>14</v>
      </c>
    </row>
    <row r="4879" spans="1:9" x14ac:dyDescent="0.2">
      <c r="A4879" s="2" t="s">
        <v>3250</v>
      </c>
      <c r="B4879" s="2" t="s">
        <v>1065</v>
      </c>
      <c r="C4879" s="2">
        <v>717.12869999999998</v>
      </c>
      <c r="D4879" s="2">
        <f>HYPERLINK("http://mcb-m6.bioreg.kyushu-u.ac.jp/M3/20110428/F51145/1967/1", 54.06)</f>
        <v>54.06</v>
      </c>
      <c r="E4879" s="2">
        <v>40.97</v>
      </c>
      <c r="F4879" s="2">
        <v>2</v>
      </c>
      <c r="G4879" s="2" t="s">
        <v>14</v>
      </c>
      <c r="I4879" s="2" t="s">
        <v>4892</v>
      </c>
    </row>
    <row r="4880" spans="1:9" x14ac:dyDescent="0.2">
      <c r="A4880" s="2" t="s">
        <v>3250</v>
      </c>
      <c r="B4880" s="2" t="s">
        <v>365</v>
      </c>
      <c r="C4880" s="2">
        <v>849.35220000000004</v>
      </c>
      <c r="D4880" s="2">
        <f>HYPERLINK("http://mcb-m6.bioreg.kyushu-u.ac.jp/M3/20110428/F51139/2220/1", 55.18)</f>
        <v>55.18</v>
      </c>
      <c r="E4880" s="2">
        <v>31.27</v>
      </c>
      <c r="F4880" s="2">
        <v>2</v>
      </c>
      <c r="G4880" s="2" t="s">
        <v>14</v>
      </c>
    </row>
    <row r="4881" spans="1:9" x14ac:dyDescent="0.2">
      <c r="A4881" s="2" t="s">
        <v>3250</v>
      </c>
      <c r="B4881" s="2" t="s">
        <v>561</v>
      </c>
      <c r="C4881" s="2">
        <v>1308.731</v>
      </c>
      <c r="D4881" s="2">
        <f>HYPERLINK("http://mcb-m6.bioreg.kyushu-u.ac.jp/M3/20110502/F51162/1479/1", 55.61)</f>
        <v>55.61</v>
      </c>
      <c r="E4881" s="2">
        <v>42.88</v>
      </c>
      <c r="F4881" s="2">
        <v>1</v>
      </c>
      <c r="G4881" s="2" t="s">
        <v>14</v>
      </c>
    </row>
    <row r="4882" spans="1:9" x14ac:dyDescent="0.2">
      <c r="A4882" s="2" t="s">
        <v>3250</v>
      </c>
      <c r="B4882" s="2" t="s">
        <v>90</v>
      </c>
      <c r="C4882" s="2">
        <v>717.07320000000004</v>
      </c>
      <c r="D4882" s="2">
        <f>HYPERLINK("http://mcb-m6.bioreg.kyushu-u.ac.jp/M3/20110502/F51162/1784/1", 56.89)</f>
        <v>56.89</v>
      </c>
      <c r="E4882" s="2">
        <v>40.07</v>
      </c>
      <c r="F4882" s="2">
        <v>2</v>
      </c>
      <c r="G4882" s="2" t="s">
        <v>14</v>
      </c>
    </row>
    <row r="4883" spans="1:9" x14ac:dyDescent="0.2">
      <c r="A4883" s="2" t="s">
        <v>3250</v>
      </c>
      <c r="B4883" s="2" t="s">
        <v>311</v>
      </c>
      <c r="C4883" s="2">
        <v>598.85019999999997</v>
      </c>
      <c r="D4883" s="2">
        <f>HYPERLINK("http://mcb-m6.bioreg.kyushu-u.ac.jp/M3/20110428/F51145/1574/1", 57.15)</f>
        <v>57.15</v>
      </c>
      <c r="E4883" s="2">
        <v>34.17</v>
      </c>
      <c r="F4883" s="2">
        <v>2</v>
      </c>
      <c r="G4883" s="2" t="s">
        <v>14</v>
      </c>
    </row>
    <row r="4884" spans="1:9" x14ac:dyDescent="0.2">
      <c r="A4884" s="2" t="s">
        <v>3250</v>
      </c>
      <c r="B4884" s="2" t="s">
        <v>1065</v>
      </c>
      <c r="C4884" s="2">
        <v>716.95209999999997</v>
      </c>
      <c r="D4884" s="2">
        <f>HYPERLINK("http://mcb-m6.bioreg.kyushu-u.ac.jp/M3/20110428/F51145/1964/1", 57.23)</f>
        <v>57.23</v>
      </c>
      <c r="E4884" s="2">
        <v>39.76</v>
      </c>
      <c r="F4884" s="2">
        <v>2</v>
      </c>
      <c r="G4884" s="2" t="s">
        <v>14</v>
      </c>
      <c r="I4884" s="2" t="s">
        <v>4892</v>
      </c>
    </row>
    <row r="4885" spans="1:9" x14ac:dyDescent="0.2">
      <c r="A4885" s="2" t="s">
        <v>3250</v>
      </c>
      <c r="B4885" s="2" t="s">
        <v>834</v>
      </c>
      <c r="C4885" s="2">
        <v>622.40719999999999</v>
      </c>
      <c r="D4885" s="2">
        <f>HYPERLINK("http://mcb-m6.bioreg.kyushu-u.ac.jp/M3/20110428/F51144/1652/1", 57.48)</f>
        <v>57.48</v>
      </c>
      <c r="E4885" s="2">
        <v>39.61</v>
      </c>
      <c r="F4885" s="2">
        <v>2</v>
      </c>
      <c r="G4885" s="2" t="s">
        <v>14</v>
      </c>
    </row>
    <row r="4886" spans="1:9" x14ac:dyDescent="0.2">
      <c r="A4886" s="2" t="s">
        <v>3250</v>
      </c>
      <c r="B4886" s="2" t="s">
        <v>1065</v>
      </c>
      <c r="C4886" s="2">
        <v>717.11320000000001</v>
      </c>
      <c r="D4886" s="2">
        <f>HYPERLINK("http://mcb-m6.bioreg.kyushu-u.ac.jp/M3/20110428/F51143/1977/1", 57.58)</f>
        <v>57.58</v>
      </c>
      <c r="E4886" s="2">
        <v>6.82</v>
      </c>
      <c r="F4886" s="2">
        <v>2</v>
      </c>
      <c r="G4886" s="2" t="s">
        <v>14</v>
      </c>
      <c r="I4886" s="2" t="s">
        <v>4892</v>
      </c>
    </row>
    <row r="4887" spans="1:9" x14ac:dyDescent="0.2">
      <c r="A4887" s="2" t="s">
        <v>3250</v>
      </c>
      <c r="B4887" s="2" t="s">
        <v>1065</v>
      </c>
      <c r="C4887" s="2">
        <v>716.81619999999998</v>
      </c>
      <c r="D4887" s="2">
        <f>HYPERLINK("http://mcb-m6.bioreg.kyushu-u.ac.jp/M3/20110428/F51144/2089/1", 57.76)</f>
        <v>57.76</v>
      </c>
      <c r="E4887" s="2">
        <v>44.84</v>
      </c>
      <c r="F4887" s="2">
        <v>2</v>
      </c>
      <c r="G4887" s="2" t="s">
        <v>14</v>
      </c>
      <c r="I4887" s="2" t="s">
        <v>4892</v>
      </c>
    </row>
    <row r="4888" spans="1:9" x14ac:dyDescent="0.2">
      <c r="A4888" s="2" t="s">
        <v>3250</v>
      </c>
      <c r="B4888" s="2" t="s">
        <v>1065</v>
      </c>
      <c r="C4888" s="2">
        <v>716.88419999999996</v>
      </c>
      <c r="D4888" s="2">
        <f>HYPERLINK("http://mcb-m6.bioreg.kyushu-u.ac.jp/M3/20110428/F51143/1972/1", 58.32)</f>
        <v>58.32</v>
      </c>
      <c r="E4888" s="2">
        <v>45.14</v>
      </c>
      <c r="F4888" s="2">
        <v>2</v>
      </c>
      <c r="G4888" s="2" t="s">
        <v>14</v>
      </c>
      <c r="I4888" s="2" t="s">
        <v>4892</v>
      </c>
    </row>
    <row r="4889" spans="1:9" x14ac:dyDescent="0.2">
      <c r="A4889" s="2" t="s">
        <v>3250</v>
      </c>
      <c r="B4889" s="2" t="s">
        <v>1065</v>
      </c>
      <c r="C4889" s="2">
        <v>717.31870000000004</v>
      </c>
      <c r="D4889" s="2">
        <f>HYPERLINK("http://mcb-m6.bioreg.kyushu-u.ac.jp/M3/20110428/F51144/2097/1", 59.83)</f>
        <v>59.83</v>
      </c>
      <c r="E4889" s="2">
        <v>43.73</v>
      </c>
      <c r="F4889" s="2">
        <v>2</v>
      </c>
      <c r="G4889" s="2" t="s">
        <v>14</v>
      </c>
      <c r="I4889" s="2" t="s">
        <v>4892</v>
      </c>
    </row>
    <row r="4890" spans="1:9" x14ac:dyDescent="0.2">
      <c r="A4890" s="2" t="s">
        <v>3250</v>
      </c>
      <c r="B4890" s="2" t="s">
        <v>481</v>
      </c>
      <c r="C4890" s="2">
        <v>709.90219999999999</v>
      </c>
      <c r="D4890" s="2">
        <f>HYPERLINK("http://mcb-m6.bioreg.kyushu-u.ac.jp/M3/20110428/F51145/1935/1", 59.84)</f>
        <v>59.84</v>
      </c>
      <c r="E4890" s="2">
        <v>37.9</v>
      </c>
      <c r="F4890" s="2">
        <v>2</v>
      </c>
      <c r="G4890" s="2" t="s">
        <v>14</v>
      </c>
      <c r="I4890" s="2" t="s">
        <v>4898</v>
      </c>
    </row>
    <row r="4891" spans="1:9" x14ac:dyDescent="0.2">
      <c r="A4891" s="2" t="s">
        <v>3250</v>
      </c>
      <c r="B4891" s="2" t="s">
        <v>356</v>
      </c>
      <c r="C4891" s="2">
        <v>816.02620000000002</v>
      </c>
      <c r="D4891" s="2">
        <f>HYPERLINK("http://mcb-m6.bioreg.kyushu-u.ac.jp/M3/20110428/F51145/2326/1", 60.1)</f>
        <v>60.1</v>
      </c>
      <c r="E4891" s="2">
        <v>43.19</v>
      </c>
      <c r="F4891" s="2">
        <v>2</v>
      </c>
      <c r="G4891" s="2" t="s">
        <v>14</v>
      </c>
    </row>
    <row r="4892" spans="1:9" x14ac:dyDescent="0.2">
      <c r="A4892" s="2" t="s">
        <v>3250</v>
      </c>
      <c r="B4892" s="2" t="s">
        <v>102</v>
      </c>
      <c r="C4892" s="2">
        <v>608.77419999999995</v>
      </c>
      <c r="D4892" s="2">
        <f>HYPERLINK("http://mcb-m6.bioreg.kyushu-u.ac.jp/M3/20110428/F51143/1495/1", 60.19)</f>
        <v>60.19</v>
      </c>
      <c r="E4892" s="2">
        <v>45.86</v>
      </c>
      <c r="F4892" s="2">
        <v>2</v>
      </c>
      <c r="G4892" s="2" t="s">
        <v>14</v>
      </c>
    </row>
    <row r="4893" spans="1:9" x14ac:dyDescent="0.2">
      <c r="A4893" s="2" t="s">
        <v>3250</v>
      </c>
      <c r="B4893" s="2" t="s">
        <v>1787</v>
      </c>
      <c r="C4893" s="2">
        <v>588.78120000000001</v>
      </c>
      <c r="D4893" s="2">
        <f>HYPERLINK("http://mcb-m6.bioreg.kyushu-u.ac.jp/M3/20110428/F51142/1316/1", 60.36)</f>
        <v>60.36</v>
      </c>
      <c r="E4893" s="2">
        <v>39.03</v>
      </c>
      <c r="F4893" s="2">
        <v>2</v>
      </c>
      <c r="G4893" s="2" t="s">
        <v>14</v>
      </c>
      <c r="I4893" s="2" t="s">
        <v>4895</v>
      </c>
    </row>
    <row r="4894" spans="1:9" x14ac:dyDescent="0.2">
      <c r="A4894" s="2" t="s">
        <v>3250</v>
      </c>
      <c r="B4894" s="2" t="s">
        <v>1065</v>
      </c>
      <c r="C4894" s="2">
        <v>716.9117</v>
      </c>
      <c r="D4894" s="2">
        <f>HYPERLINK("http://mcb-m6.bioreg.kyushu-u.ac.jp/M3/20110428/F51143/1973/1", 60.41)</f>
        <v>60.41</v>
      </c>
      <c r="E4894" s="2">
        <v>45.6</v>
      </c>
      <c r="F4894" s="2">
        <v>2</v>
      </c>
      <c r="G4894" s="2" t="s">
        <v>14</v>
      </c>
      <c r="I4894" s="2" t="s">
        <v>4892</v>
      </c>
    </row>
    <row r="4895" spans="1:9" x14ac:dyDescent="0.2">
      <c r="A4895" s="2" t="s">
        <v>3250</v>
      </c>
      <c r="B4895" s="2" t="s">
        <v>77</v>
      </c>
      <c r="C4895" s="2">
        <v>574.88509999999997</v>
      </c>
      <c r="D4895" s="2">
        <f>HYPERLINK("http://mcb-m6.bioreg.kyushu-u.ac.jp/M3/20110428/F51144/1401/1", 60.77)</f>
        <v>60.77</v>
      </c>
      <c r="E4895" s="2">
        <v>30.01</v>
      </c>
      <c r="F4895" s="2">
        <v>2</v>
      </c>
      <c r="G4895" s="2" t="s">
        <v>14</v>
      </c>
    </row>
    <row r="4896" spans="1:9" x14ac:dyDescent="0.2">
      <c r="A4896" s="2" t="s">
        <v>3250</v>
      </c>
      <c r="B4896" s="2" t="s">
        <v>1787</v>
      </c>
      <c r="C4896" s="2">
        <v>588.40369999999996</v>
      </c>
      <c r="D4896" s="2">
        <f>HYPERLINK("http://mcb-m6.bioreg.kyushu-u.ac.jp/M3/20110502/F51162/1264/1", 61.04)</f>
        <v>61.04</v>
      </c>
      <c r="E4896" s="2">
        <v>35.06</v>
      </c>
      <c r="F4896" s="2">
        <v>2</v>
      </c>
      <c r="G4896" s="2" t="s">
        <v>14</v>
      </c>
      <c r="I4896" s="2" t="s">
        <v>4895</v>
      </c>
    </row>
    <row r="4897" spans="1:9" x14ac:dyDescent="0.2">
      <c r="A4897" s="2" t="s">
        <v>3250</v>
      </c>
      <c r="B4897" s="2" t="s">
        <v>561</v>
      </c>
      <c r="C4897" s="2">
        <v>662.89620000000002</v>
      </c>
      <c r="D4897" s="2">
        <f>HYPERLINK("http://mcb-m6.bioreg.kyushu-u.ac.jp/M3/20110428/F51143/1701/1", 61.18)</f>
        <v>61.18</v>
      </c>
      <c r="E4897" s="2">
        <v>48.71</v>
      </c>
      <c r="F4897" s="2">
        <v>2</v>
      </c>
      <c r="G4897" s="2" t="s">
        <v>14</v>
      </c>
      <c r="H4897" s="2" t="s">
        <v>4919</v>
      </c>
    </row>
    <row r="4898" spans="1:9" x14ac:dyDescent="0.2">
      <c r="A4898" s="2" t="s">
        <v>3250</v>
      </c>
      <c r="B4898" s="2" t="s">
        <v>1065</v>
      </c>
      <c r="C4898" s="2">
        <v>717.26869999999997</v>
      </c>
      <c r="D4898" s="2">
        <f>HYPERLINK("http://mcb-m6.bioreg.kyushu-u.ac.jp/M3/20110502/F51161/1797/1", 61.74)</f>
        <v>61.74</v>
      </c>
      <c r="E4898" s="2">
        <v>46.2</v>
      </c>
      <c r="F4898" s="2">
        <v>2</v>
      </c>
      <c r="G4898" s="2" t="s">
        <v>14</v>
      </c>
      <c r="I4898" s="2" t="s">
        <v>4892</v>
      </c>
    </row>
    <row r="4899" spans="1:9" x14ac:dyDescent="0.2">
      <c r="A4899" s="2" t="s">
        <v>3250</v>
      </c>
      <c r="B4899" s="2" t="s">
        <v>467</v>
      </c>
      <c r="C4899" s="2">
        <v>1382.6890000000001</v>
      </c>
      <c r="D4899" s="2">
        <f>HYPERLINK("http://mcb-m6.bioreg.kyushu-u.ac.jp/M3/20110502/F51162/1656/1", 63.73)</f>
        <v>63.73</v>
      </c>
      <c r="E4899" s="2">
        <v>37.58</v>
      </c>
      <c r="F4899" s="2">
        <v>1</v>
      </c>
      <c r="G4899" s="2" t="s">
        <v>14</v>
      </c>
    </row>
    <row r="4900" spans="1:9" x14ac:dyDescent="0.2">
      <c r="A4900" s="2" t="s">
        <v>3250</v>
      </c>
      <c r="B4900" s="2" t="s">
        <v>365</v>
      </c>
      <c r="C4900" s="2">
        <v>848.91269999999997</v>
      </c>
      <c r="D4900" s="2">
        <f>HYPERLINK("http://mcb-m6.bioreg.kyushu-u.ac.jp/M3/20110428/F51141/2576/1", 64.7)</f>
        <v>64.7</v>
      </c>
      <c r="E4900" s="2">
        <v>52.94</v>
      </c>
      <c r="F4900" s="2">
        <v>2</v>
      </c>
      <c r="G4900" s="2" t="s">
        <v>14</v>
      </c>
    </row>
    <row r="4901" spans="1:9" x14ac:dyDescent="0.2">
      <c r="A4901" s="2" t="s">
        <v>3250</v>
      </c>
      <c r="B4901" s="2" t="s">
        <v>102</v>
      </c>
      <c r="C4901" s="2">
        <v>616.32420000000002</v>
      </c>
      <c r="D4901" s="2">
        <f>HYPERLINK("http://mcb-m6.bioreg.kyushu-u.ac.jp/M3/20110428/F51143/1532/1", 65.16)</f>
        <v>65.16</v>
      </c>
      <c r="E4901" s="2">
        <v>48.58</v>
      </c>
      <c r="F4901" s="2">
        <v>2</v>
      </c>
      <c r="G4901" s="2" t="s">
        <v>14</v>
      </c>
      <c r="H4901" s="2" t="s">
        <v>4900</v>
      </c>
    </row>
    <row r="4902" spans="1:9" x14ac:dyDescent="0.2">
      <c r="A4902" s="2" t="s">
        <v>3250</v>
      </c>
      <c r="B4902" s="2" t="s">
        <v>1065</v>
      </c>
      <c r="C4902" s="2">
        <v>716.92819999999995</v>
      </c>
      <c r="D4902" s="2">
        <f>HYPERLINK("http://mcb-m6.bioreg.kyushu-u.ac.jp/M3/20110428/F51144/2094/1", 65.43)</f>
        <v>65.430000000000007</v>
      </c>
      <c r="E4902" s="2">
        <v>55.78</v>
      </c>
      <c r="F4902" s="2">
        <v>2</v>
      </c>
      <c r="G4902" s="2" t="s">
        <v>14</v>
      </c>
      <c r="I4902" s="2" t="s">
        <v>4892</v>
      </c>
    </row>
    <row r="4903" spans="1:9" x14ac:dyDescent="0.2">
      <c r="A4903" s="2" t="s">
        <v>3250</v>
      </c>
      <c r="B4903" s="2" t="s">
        <v>365</v>
      </c>
      <c r="C4903" s="2">
        <v>849.1277</v>
      </c>
      <c r="D4903" s="2">
        <f>HYPERLINK("http://mcb-m6.bioreg.kyushu-u.ac.jp/M3/20110428/F51145/2424/1", 66.01)</f>
        <v>66.010000000000005</v>
      </c>
      <c r="E4903" s="2">
        <v>50.77</v>
      </c>
      <c r="F4903" s="2">
        <v>2</v>
      </c>
      <c r="G4903" s="2" t="s">
        <v>14</v>
      </c>
    </row>
    <row r="4904" spans="1:9" x14ac:dyDescent="0.2">
      <c r="A4904" s="2" t="s">
        <v>3250</v>
      </c>
      <c r="B4904" s="2" t="s">
        <v>1787</v>
      </c>
      <c r="C4904" s="2">
        <v>588.79970000000003</v>
      </c>
      <c r="D4904" s="2">
        <f>HYPERLINK("http://mcb-m6.bioreg.kyushu-u.ac.jp/M3/20110428/F51141/1108/1", 66.02)</f>
        <v>66.02</v>
      </c>
      <c r="E4904" s="2">
        <v>46.39</v>
      </c>
      <c r="F4904" s="2">
        <v>2</v>
      </c>
      <c r="G4904" s="2" t="s">
        <v>14</v>
      </c>
      <c r="I4904" s="2" t="s">
        <v>4895</v>
      </c>
    </row>
    <row r="4905" spans="1:9" x14ac:dyDescent="0.2">
      <c r="A4905" s="2" t="s">
        <v>3250</v>
      </c>
      <c r="B4905" s="2" t="s">
        <v>467</v>
      </c>
      <c r="C4905" s="2">
        <v>691.9117</v>
      </c>
      <c r="D4905" s="2">
        <f>HYPERLINK("http://mcb-m6.bioreg.kyushu-u.ac.jp/M3/20110428/F51142/1785/1", 66.71)</f>
        <v>66.709999999999994</v>
      </c>
      <c r="E4905" s="2">
        <v>39.549999999999997</v>
      </c>
      <c r="F4905" s="2">
        <v>2</v>
      </c>
      <c r="G4905" s="2" t="s">
        <v>14</v>
      </c>
    </row>
    <row r="4906" spans="1:9" x14ac:dyDescent="0.2">
      <c r="A4906" s="2" t="s">
        <v>3250</v>
      </c>
      <c r="B4906" s="2" t="s">
        <v>1787</v>
      </c>
      <c r="C4906" s="2">
        <v>588.80409999999995</v>
      </c>
      <c r="D4906" s="2">
        <f>HYPERLINK("http://mcb-m6.bioreg.kyushu-u.ac.jp/M3/20110428/F51143/1373/1", 67.51)</f>
        <v>67.510000000000005</v>
      </c>
      <c r="E4906" s="2">
        <v>46.15</v>
      </c>
      <c r="F4906" s="2">
        <v>2</v>
      </c>
      <c r="G4906" s="2" t="s">
        <v>14</v>
      </c>
      <c r="I4906" s="2" t="s">
        <v>4895</v>
      </c>
    </row>
    <row r="4907" spans="1:9" x14ac:dyDescent="0.2">
      <c r="A4907" s="2" t="s">
        <v>3250</v>
      </c>
      <c r="B4907" s="2" t="s">
        <v>356</v>
      </c>
      <c r="C4907" s="2">
        <v>816.43870000000004</v>
      </c>
      <c r="D4907" s="2">
        <f>HYPERLINK("http://mcb-m6.bioreg.kyushu-u.ac.jp/M3/20110428/F51138/2550/1", 67.69)</f>
        <v>67.69</v>
      </c>
      <c r="E4907" s="2">
        <v>44.57</v>
      </c>
      <c r="F4907" s="2">
        <v>2</v>
      </c>
      <c r="G4907" s="2" t="s">
        <v>14</v>
      </c>
    </row>
    <row r="4908" spans="1:9" x14ac:dyDescent="0.2">
      <c r="A4908" s="2" t="s">
        <v>3250</v>
      </c>
      <c r="B4908" s="2" t="s">
        <v>365</v>
      </c>
      <c r="C4908" s="2">
        <v>849.48969999999997</v>
      </c>
      <c r="D4908" s="2">
        <f>HYPERLINK("http://mcb-m6.bioreg.kyushu-u.ac.jp/M3/20110502/F51162/2318/1", 67.98)</f>
        <v>67.98</v>
      </c>
      <c r="E4908" s="2">
        <v>54.25</v>
      </c>
      <c r="F4908" s="2">
        <v>2</v>
      </c>
      <c r="G4908" s="2" t="s">
        <v>14</v>
      </c>
    </row>
    <row r="4909" spans="1:9" x14ac:dyDescent="0.2">
      <c r="A4909" s="2" t="s">
        <v>3250</v>
      </c>
      <c r="B4909" s="2" t="s">
        <v>356</v>
      </c>
      <c r="C4909" s="2">
        <v>816.33420000000001</v>
      </c>
      <c r="D4909" s="2">
        <f>HYPERLINK("http://mcb-m6.bioreg.kyushu-u.ac.jp/M3/20110428/F51142/2580/1", 69.52)</f>
        <v>69.52</v>
      </c>
      <c r="E4909" s="2">
        <v>47.81</v>
      </c>
      <c r="F4909" s="2">
        <v>2</v>
      </c>
      <c r="G4909" s="2" t="s">
        <v>14</v>
      </c>
    </row>
    <row r="4910" spans="1:9" x14ac:dyDescent="0.2">
      <c r="A4910" s="2" t="s">
        <v>3250</v>
      </c>
      <c r="B4910" s="2" t="s">
        <v>543</v>
      </c>
      <c r="C4910" s="2">
        <v>927.61220000000003</v>
      </c>
      <c r="D4910" s="2">
        <f>HYPERLINK("http://mcb-m6.bioreg.kyushu-u.ac.jp/M3/20110428/F51143/2948/1", 69.68)</f>
        <v>69.680000000000007</v>
      </c>
      <c r="E4910" s="2">
        <v>50.37</v>
      </c>
      <c r="F4910" s="2">
        <v>2</v>
      </c>
      <c r="G4910" s="2" t="s">
        <v>14</v>
      </c>
    </row>
    <row r="4911" spans="1:9" x14ac:dyDescent="0.2">
      <c r="A4911" s="2" t="s">
        <v>3250</v>
      </c>
      <c r="B4911" s="2" t="s">
        <v>365</v>
      </c>
      <c r="C4911" s="2">
        <v>849.00710000000004</v>
      </c>
      <c r="D4911" s="2">
        <f>HYPERLINK("http://mcb-m6.bioreg.kyushu-u.ac.jp/M3/20110502/F51161/2270/1", 70.04)</f>
        <v>70.040000000000006</v>
      </c>
      <c r="E4911" s="2">
        <v>56.23</v>
      </c>
      <c r="F4911" s="2">
        <v>2</v>
      </c>
      <c r="G4911" s="2" t="s">
        <v>14</v>
      </c>
    </row>
    <row r="4912" spans="1:9" x14ac:dyDescent="0.2">
      <c r="A4912" s="2" t="s">
        <v>3250</v>
      </c>
      <c r="B4912" s="2" t="s">
        <v>102</v>
      </c>
      <c r="C4912" s="2">
        <v>608.39009999999996</v>
      </c>
      <c r="D4912" s="2">
        <f>HYPERLINK("http://mcb-m6.bioreg.kyushu-u.ac.jp/M3/20110428/F51145/1605/1", 70.17)</f>
        <v>70.17</v>
      </c>
      <c r="E4912" s="2">
        <v>44.9</v>
      </c>
      <c r="F4912" s="2">
        <v>2</v>
      </c>
      <c r="G4912" s="2" t="s">
        <v>14</v>
      </c>
    </row>
    <row r="4913" spans="1:9" x14ac:dyDescent="0.2">
      <c r="A4913" s="2" t="s">
        <v>3250</v>
      </c>
      <c r="B4913" s="2" t="s">
        <v>1065</v>
      </c>
      <c r="C4913" s="2">
        <v>717.21559999999999</v>
      </c>
      <c r="D4913" s="2">
        <f>HYPERLINK("http://mcb-m6.bioreg.kyushu-u.ac.jp/M3/20110428/F51145/1968/1", 70.81)</f>
        <v>70.81</v>
      </c>
      <c r="E4913" s="2">
        <v>56.51</v>
      </c>
      <c r="F4913" s="2">
        <v>2</v>
      </c>
      <c r="G4913" s="2" t="s">
        <v>14</v>
      </c>
      <c r="I4913" s="2" t="s">
        <v>4892</v>
      </c>
    </row>
    <row r="4914" spans="1:9" x14ac:dyDescent="0.2">
      <c r="A4914" s="2" t="s">
        <v>3250</v>
      </c>
      <c r="B4914" s="2" t="s">
        <v>1255</v>
      </c>
      <c r="C4914" s="2">
        <v>1274.1569999999999</v>
      </c>
      <c r="D4914" s="2">
        <f>HYPERLINK("http://mcb-m6.bioreg.kyushu-u.ac.jp/M3/20110502/F51159/3314/1", 70.86)</f>
        <v>70.86</v>
      </c>
      <c r="E4914" s="2">
        <v>61.9</v>
      </c>
      <c r="F4914" s="2">
        <v>2</v>
      </c>
      <c r="G4914" s="2" t="s">
        <v>14</v>
      </c>
      <c r="I4914" s="2" t="s">
        <v>4906</v>
      </c>
    </row>
    <row r="4915" spans="1:9" x14ac:dyDescent="0.2">
      <c r="A4915" s="2" t="s">
        <v>3250</v>
      </c>
      <c r="B4915" s="2" t="s">
        <v>467</v>
      </c>
      <c r="C4915" s="2">
        <v>692.27009999999996</v>
      </c>
      <c r="D4915" s="2">
        <f>HYPERLINK("http://mcb-m6.bioreg.kyushu-u.ac.jp/M3/20110428/F51144/1970/1", 72.46)</f>
        <v>72.459999999999994</v>
      </c>
      <c r="E4915" s="2">
        <v>46.83</v>
      </c>
      <c r="F4915" s="2">
        <v>2</v>
      </c>
      <c r="G4915" s="2" t="s">
        <v>14</v>
      </c>
    </row>
    <row r="4916" spans="1:9" x14ac:dyDescent="0.2">
      <c r="A4916" s="2" t="s">
        <v>3250</v>
      </c>
      <c r="B4916" s="2" t="s">
        <v>365</v>
      </c>
      <c r="C4916" s="2">
        <v>849.04420000000005</v>
      </c>
      <c r="D4916" s="2">
        <f>HYPERLINK("http://mcb-m6.bioreg.kyushu-u.ac.jp/M3/20110502/F51162/2315/1", 72.56)</f>
        <v>72.56</v>
      </c>
      <c r="E4916" s="2">
        <v>58.26</v>
      </c>
      <c r="F4916" s="2">
        <v>2</v>
      </c>
      <c r="G4916" s="2" t="s">
        <v>14</v>
      </c>
    </row>
    <row r="4917" spans="1:9" x14ac:dyDescent="0.2">
      <c r="A4917" s="2" t="s">
        <v>3250</v>
      </c>
      <c r="B4917" s="2" t="s">
        <v>90</v>
      </c>
      <c r="C4917" s="2">
        <v>717.36720000000003</v>
      </c>
      <c r="D4917" s="2">
        <f>HYPERLINK("http://mcb-m6.bioreg.kyushu-u.ac.jp/M3/20110502/F51162/1786/1", 72.64)</f>
        <v>72.64</v>
      </c>
      <c r="E4917" s="2">
        <v>44.22</v>
      </c>
      <c r="F4917" s="2">
        <v>2</v>
      </c>
      <c r="G4917" s="2" t="s">
        <v>14</v>
      </c>
    </row>
    <row r="4918" spans="1:9" x14ac:dyDescent="0.2">
      <c r="A4918" s="2" t="s">
        <v>3250</v>
      </c>
      <c r="B4918" s="2" t="s">
        <v>90</v>
      </c>
      <c r="C4918" s="2">
        <v>717.23860000000002</v>
      </c>
      <c r="D4918" s="2">
        <f>HYPERLINK("http://mcb-m6.bioreg.kyushu-u.ac.jp/M3/20110428/F51143/1980/1", 72.68)</f>
        <v>72.680000000000007</v>
      </c>
      <c r="E4918" s="2">
        <v>40.43</v>
      </c>
      <c r="F4918" s="2">
        <v>2</v>
      </c>
      <c r="G4918" s="2" t="s">
        <v>14</v>
      </c>
    </row>
    <row r="4919" spans="1:9" x14ac:dyDescent="0.2">
      <c r="A4919" s="2" t="s">
        <v>3250</v>
      </c>
      <c r="B4919" s="2" t="s">
        <v>1787</v>
      </c>
      <c r="C4919" s="2">
        <v>588.33420000000001</v>
      </c>
      <c r="D4919" s="2">
        <f>HYPERLINK("http://mcb-m6.bioreg.kyushu-u.ac.jp/M3/20110428/F51144/1466/1", 72.86)</f>
        <v>72.86</v>
      </c>
      <c r="E4919" s="2">
        <v>50.45</v>
      </c>
      <c r="F4919" s="2">
        <v>2</v>
      </c>
      <c r="G4919" s="2" t="s">
        <v>14</v>
      </c>
      <c r="I4919" s="2" t="s">
        <v>4895</v>
      </c>
    </row>
    <row r="4920" spans="1:9" x14ac:dyDescent="0.2">
      <c r="A4920" s="2" t="s">
        <v>3250</v>
      </c>
      <c r="B4920" s="2" t="s">
        <v>1787</v>
      </c>
      <c r="C4920" s="2">
        <v>588.25070000000005</v>
      </c>
      <c r="D4920" s="2">
        <f>HYPERLINK("http://mcb-m6.bioreg.kyushu-u.ac.jp/M3/20110428/F51142/1309/1", 72.93)</f>
        <v>72.930000000000007</v>
      </c>
      <c r="E4920" s="2">
        <v>48.33</v>
      </c>
      <c r="F4920" s="2">
        <v>2</v>
      </c>
      <c r="G4920" s="2" t="s">
        <v>14</v>
      </c>
      <c r="I4920" s="2" t="s">
        <v>4895</v>
      </c>
    </row>
    <row r="4921" spans="1:9" x14ac:dyDescent="0.2">
      <c r="A4921" s="2" t="s">
        <v>3250</v>
      </c>
      <c r="B4921" s="2" t="s">
        <v>481</v>
      </c>
      <c r="C4921" s="2">
        <v>709.58759999999995</v>
      </c>
      <c r="D4921" s="2">
        <f>HYPERLINK("http://mcb-m6.bioreg.kyushu-u.ac.jp/M3/20110428/F51145/1934/1", 73.48)</f>
        <v>73.48</v>
      </c>
      <c r="E4921" s="2">
        <v>48.48</v>
      </c>
      <c r="F4921" s="2">
        <v>2</v>
      </c>
      <c r="G4921" s="2" t="s">
        <v>14</v>
      </c>
      <c r="I4921" s="2" t="s">
        <v>4898</v>
      </c>
    </row>
    <row r="4922" spans="1:9" x14ac:dyDescent="0.2">
      <c r="A4922" s="2" t="s">
        <v>3250</v>
      </c>
      <c r="B4922" s="2" t="s">
        <v>481</v>
      </c>
      <c r="C4922" s="2">
        <v>709.37620000000004</v>
      </c>
      <c r="D4922" s="2">
        <f>HYPERLINK("http://mcb-m6.bioreg.kyushu-u.ac.jp/M3/20110428/F51140/1789/1", 73.62)</f>
        <v>73.62</v>
      </c>
      <c r="E4922" s="2">
        <v>52.38</v>
      </c>
      <c r="F4922" s="2">
        <v>2</v>
      </c>
      <c r="G4922" s="2" t="s">
        <v>14</v>
      </c>
      <c r="I4922" s="2" t="s">
        <v>4898</v>
      </c>
    </row>
    <row r="4923" spans="1:9" x14ac:dyDescent="0.2">
      <c r="A4923" s="2" t="s">
        <v>3250</v>
      </c>
      <c r="B4923" s="2" t="s">
        <v>561</v>
      </c>
      <c r="C4923" s="2">
        <v>662.41269999999997</v>
      </c>
      <c r="D4923" s="2">
        <f>HYPERLINK("http://mcb-m6.bioreg.kyushu-u.ac.jp/M3/20110502/F51162/1504/1", 74.65)</f>
        <v>74.650000000000006</v>
      </c>
      <c r="E4923" s="2">
        <v>53.97</v>
      </c>
      <c r="F4923" s="2">
        <v>2</v>
      </c>
      <c r="G4923" s="2" t="s">
        <v>14</v>
      </c>
      <c r="H4923" s="2" t="s">
        <v>4919</v>
      </c>
    </row>
    <row r="4924" spans="1:9" x14ac:dyDescent="0.2">
      <c r="A4924" s="2" t="s">
        <v>3250</v>
      </c>
      <c r="B4924" s="2" t="s">
        <v>561</v>
      </c>
      <c r="C4924" s="2">
        <v>662.94669999999996</v>
      </c>
      <c r="D4924" s="2">
        <f>HYPERLINK("http://mcb-m6.bioreg.kyushu-u.ac.jp/M3/20110428/F51145/1756/1", 75.05)</f>
        <v>75.05</v>
      </c>
      <c r="E4924" s="2">
        <v>53.2</v>
      </c>
      <c r="F4924" s="2">
        <v>2</v>
      </c>
      <c r="G4924" s="2" t="s">
        <v>14</v>
      </c>
      <c r="H4924" s="2" t="s">
        <v>4919</v>
      </c>
    </row>
    <row r="4925" spans="1:9" x14ac:dyDescent="0.2">
      <c r="A4925" s="2" t="s">
        <v>3250</v>
      </c>
      <c r="B4925" s="2" t="s">
        <v>365</v>
      </c>
      <c r="C4925" s="2">
        <v>849.41420000000005</v>
      </c>
      <c r="D4925" s="2">
        <f>HYPERLINK("http://mcb-m6.bioreg.kyushu-u.ac.jp/M3/20110428/F51144/2778/1", 75.14)</f>
        <v>75.14</v>
      </c>
      <c r="E4925" s="2">
        <v>55.76</v>
      </c>
      <c r="F4925" s="2">
        <v>2</v>
      </c>
      <c r="G4925" s="2" t="s">
        <v>14</v>
      </c>
    </row>
    <row r="4926" spans="1:9" x14ac:dyDescent="0.2">
      <c r="A4926" s="2" t="s">
        <v>3250</v>
      </c>
      <c r="B4926" s="2" t="s">
        <v>467</v>
      </c>
      <c r="C4926" s="2">
        <v>1382.652</v>
      </c>
      <c r="D4926" s="2">
        <f>HYPERLINK("http://mcb-m6.bioreg.kyushu-u.ac.jp/M3/20110428/F51143/1851/1", 75.19)</f>
        <v>75.19</v>
      </c>
      <c r="E4926" s="2">
        <v>56.97</v>
      </c>
      <c r="F4926" s="2">
        <v>1</v>
      </c>
      <c r="G4926" s="2" t="s">
        <v>14</v>
      </c>
    </row>
    <row r="4927" spans="1:9" x14ac:dyDescent="0.2">
      <c r="A4927" s="2" t="s">
        <v>3250</v>
      </c>
      <c r="B4927" s="2" t="s">
        <v>365</v>
      </c>
      <c r="C4927" s="2">
        <v>848.95759999999996</v>
      </c>
      <c r="D4927" s="2">
        <f>HYPERLINK("http://mcb-m6.bioreg.kyushu-u.ac.jp/M3/20110428/F51145/2423/1", 75.22)</f>
        <v>75.22</v>
      </c>
      <c r="E4927" s="2">
        <v>56.99</v>
      </c>
      <c r="F4927" s="2">
        <v>2</v>
      </c>
      <c r="G4927" s="2" t="s">
        <v>14</v>
      </c>
    </row>
    <row r="4928" spans="1:9" x14ac:dyDescent="0.2">
      <c r="A4928" s="2" t="s">
        <v>3250</v>
      </c>
      <c r="B4928" s="2" t="s">
        <v>1765</v>
      </c>
      <c r="C4928" s="2">
        <v>761.91920000000005</v>
      </c>
      <c r="D4928" s="2">
        <f>HYPERLINK("http://mcb-m6.bioreg.kyushu-u.ac.jp/M3/20110428/F51144/2332/1", 75.44)</f>
        <v>75.44</v>
      </c>
      <c r="E4928" s="2">
        <v>55.78</v>
      </c>
      <c r="F4928" s="2">
        <v>2</v>
      </c>
      <c r="G4928" s="2" t="s">
        <v>14</v>
      </c>
    </row>
    <row r="4929" spans="1:9" x14ac:dyDescent="0.2">
      <c r="A4929" s="2" t="s">
        <v>3250</v>
      </c>
      <c r="B4929" s="2" t="s">
        <v>543</v>
      </c>
      <c r="C4929" s="2">
        <v>927.14760000000001</v>
      </c>
      <c r="D4929" s="2">
        <f>HYPERLINK("http://mcb-m6.bioreg.kyushu-u.ac.jp/M3/20110502/F51162/2544/1", 75.55)</f>
        <v>75.55</v>
      </c>
      <c r="E4929" s="2">
        <v>59.72</v>
      </c>
      <c r="F4929" s="2">
        <v>2</v>
      </c>
      <c r="G4929" s="2" t="s">
        <v>14</v>
      </c>
    </row>
    <row r="4930" spans="1:9" x14ac:dyDescent="0.2">
      <c r="A4930" s="2" t="s">
        <v>3250</v>
      </c>
      <c r="B4930" s="2" t="s">
        <v>772</v>
      </c>
      <c r="C4930" s="2">
        <v>596.27719999999999</v>
      </c>
      <c r="D4930" s="2">
        <f>HYPERLINK("http://mcb-m6.bioreg.kyushu-u.ac.jp/M3/20110428/F51143/1430/1", 76.21)</f>
        <v>76.209999999999994</v>
      </c>
      <c r="E4930" s="2">
        <v>49.74</v>
      </c>
      <c r="F4930" s="2">
        <v>2</v>
      </c>
      <c r="G4930" s="2" t="s">
        <v>14</v>
      </c>
    </row>
    <row r="4931" spans="1:9" x14ac:dyDescent="0.2">
      <c r="A4931" s="2" t="s">
        <v>3250</v>
      </c>
      <c r="B4931" s="2" t="s">
        <v>772</v>
      </c>
      <c r="C4931" s="2">
        <v>596.2867</v>
      </c>
      <c r="D4931" s="2">
        <f>HYPERLINK("http://mcb-m6.bioreg.kyushu-u.ac.jp/M3/20110428/F51144/1522/1", 76.35)</f>
        <v>76.349999999999994</v>
      </c>
      <c r="E4931" s="2">
        <v>50.28</v>
      </c>
      <c r="F4931" s="2">
        <v>2</v>
      </c>
      <c r="G4931" s="2" t="s">
        <v>14</v>
      </c>
    </row>
    <row r="4932" spans="1:9" x14ac:dyDescent="0.2">
      <c r="A4932" s="2" t="s">
        <v>3250</v>
      </c>
      <c r="B4932" s="2" t="s">
        <v>77</v>
      </c>
      <c r="C4932" s="2">
        <v>574.90309999999999</v>
      </c>
      <c r="D4932" s="2">
        <f>HYPERLINK("http://mcb-m6.bioreg.kyushu-u.ac.jp/M3/20110502/F51162/1222/1", 76.88)</f>
        <v>76.88</v>
      </c>
      <c r="E4932" s="2">
        <v>44.88</v>
      </c>
      <c r="F4932" s="2">
        <v>2</v>
      </c>
      <c r="G4932" s="2" t="s">
        <v>14</v>
      </c>
    </row>
    <row r="4933" spans="1:9" x14ac:dyDescent="0.2">
      <c r="A4933" s="2" t="s">
        <v>3250</v>
      </c>
      <c r="B4933" s="2" t="s">
        <v>1787</v>
      </c>
      <c r="C4933" s="2">
        <v>588.30070000000001</v>
      </c>
      <c r="D4933" s="2">
        <f>HYPERLINK("http://mcb-m6.bioreg.kyushu-u.ac.jp/M3/20110428/F51145/1514/1", 78.47)</f>
        <v>78.47</v>
      </c>
      <c r="E4933" s="2">
        <v>57.3</v>
      </c>
      <c r="F4933" s="2">
        <v>2</v>
      </c>
      <c r="G4933" s="2" t="s">
        <v>14</v>
      </c>
      <c r="I4933" s="2" t="s">
        <v>4895</v>
      </c>
    </row>
    <row r="4934" spans="1:9" x14ac:dyDescent="0.2">
      <c r="A4934" s="2" t="s">
        <v>3250</v>
      </c>
      <c r="B4934" s="2" t="s">
        <v>834</v>
      </c>
      <c r="C4934" s="2">
        <v>621.86770000000001</v>
      </c>
      <c r="D4934" s="2">
        <f>HYPERLINK("http://mcb-m6.bioreg.kyushu-u.ac.jp/M3/20110428/F51142/1477/1", 78.95)</f>
        <v>78.95</v>
      </c>
      <c r="E4934" s="2">
        <v>55.09</v>
      </c>
      <c r="F4934" s="2">
        <v>2</v>
      </c>
      <c r="G4934" s="2" t="s">
        <v>14</v>
      </c>
    </row>
    <row r="4935" spans="1:9" x14ac:dyDescent="0.2">
      <c r="A4935" s="2" t="s">
        <v>3250</v>
      </c>
      <c r="B4935" s="2" t="s">
        <v>503</v>
      </c>
      <c r="C4935" s="2">
        <v>808.9941</v>
      </c>
      <c r="D4935" s="2">
        <f>HYPERLINK("http://mcb-m6.bioreg.kyushu-u.ac.jp/M3/20110428/F51143/2442/1", 79.24)</f>
        <v>79.239999999999995</v>
      </c>
      <c r="E4935" s="2">
        <v>65.83</v>
      </c>
      <c r="F4935" s="2">
        <v>2</v>
      </c>
      <c r="G4935" s="2" t="s">
        <v>14</v>
      </c>
    </row>
    <row r="4936" spans="1:9" x14ac:dyDescent="0.2">
      <c r="A4936" s="2" t="s">
        <v>3250</v>
      </c>
      <c r="B4936" s="2" t="s">
        <v>467</v>
      </c>
      <c r="C4936" s="2">
        <v>692.39009999999996</v>
      </c>
      <c r="D4936" s="2">
        <f>HYPERLINK("http://mcb-m6.bioreg.kyushu-u.ac.jp/M3/20110502/F51161/1673/1", 79.66)</f>
        <v>79.66</v>
      </c>
      <c r="E4936" s="2">
        <v>53.82</v>
      </c>
      <c r="F4936" s="2">
        <v>2</v>
      </c>
      <c r="G4936" s="2" t="s">
        <v>14</v>
      </c>
    </row>
    <row r="4937" spans="1:9" x14ac:dyDescent="0.2">
      <c r="A4937" s="2" t="s">
        <v>3250</v>
      </c>
      <c r="B4937" s="2" t="s">
        <v>1065</v>
      </c>
      <c r="C4937" s="2">
        <v>716.99469999999997</v>
      </c>
      <c r="D4937" s="2">
        <f>HYPERLINK("http://mcb-m6.bioreg.kyushu-u.ac.jp/M3/20110428/F51143/1974/1", 80.26)</f>
        <v>80.260000000000005</v>
      </c>
      <c r="E4937" s="2">
        <v>69.25</v>
      </c>
      <c r="F4937" s="2">
        <v>2</v>
      </c>
      <c r="G4937" s="2" t="s">
        <v>14</v>
      </c>
      <c r="I4937" s="2" t="s">
        <v>4892</v>
      </c>
    </row>
    <row r="4938" spans="1:9" x14ac:dyDescent="0.2">
      <c r="A4938" s="2" t="s">
        <v>3250</v>
      </c>
      <c r="B4938" s="2" t="s">
        <v>481</v>
      </c>
      <c r="C4938" s="2">
        <v>709.42769999999996</v>
      </c>
      <c r="D4938" s="2">
        <f>HYPERLINK("http://mcb-m6.bioreg.kyushu-u.ac.jp/M3/20110428/F51142/1876/1", 81.08)</f>
        <v>81.08</v>
      </c>
      <c r="E4938" s="2">
        <v>57.73</v>
      </c>
      <c r="F4938" s="2">
        <v>2</v>
      </c>
      <c r="G4938" s="2" t="s">
        <v>14</v>
      </c>
      <c r="I4938" s="2" t="s">
        <v>4898</v>
      </c>
    </row>
    <row r="4939" spans="1:9" x14ac:dyDescent="0.2">
      <c r="A4939" s="2" t="s">
        <v>3250</v>
      </c>
      <c r="B4939" s="2" t="s">
        <v>481</v>
      </c>
      <c r="C4939" s="2">
        <v>709.44420000000002</v>
      </c>
      <c r="D4939" s="2">
        <f>HYPERLINK("http://mcb-m6.bioreg.kyushu-u.ac.jp/M3/20110428/F51144/2047/1", 81.48)</f>
        <v>81.48</v>
      </c>
      <c r="E4939" s="2">
        <v>62.34</v>
      </c>
      <c r="F4939" s="2">
        <v>2</v>
      </c>
      <c r="G4939" s="2" t="s">
        <v>14</v>
      </c>
      <c r="I4939" s="2" t="s">
        <v>4898</v>
      </c>
    </row>
    <row r="4940" spans="1:9" x14ac:dyDescent="0.2">
      <c r="A4940" s="2" t="s">
        <v>3250</v>
      </c>
      <c r="B4940" s="2" t="s">
        <v>561</v>
      </c>
      <c r="C4940" s="2">
        <v>654.5652</v>
      </c>
      <c r="D4940" s="2">
        <f>HYPERLINK("http://mcb-m6.bioreg.kyushu-u.ac.jp/M3/20110502/F51160/1313/1", 81.89)</f>
        <v>81.89</v>
      </c>
      <c r="E4940" s="2">
        <v>65.2</v>
      </c>
      <c r="F4940" s="2">
        <v>2</v>
      </c>
      <c r="G4940" s="2" t="s">
        <v>14</v>
      </c>
    </row>
    <row r="4941" spans="1:9" x14ac:dyDescent="0.2">
      <c r="A4941" s="2" t="s">
        <v>3250</v>
      </c>
      <c r="B4941" s="2" t="s">
        <v>481</v>
      </c>
      <c r="C4941" s="2">
        <v>709.3972</v>
      </c>
      <c r="D4941" s="2">
        <f>HYPERLINK("http://mcb-m6.bioreg.kyushu-u.ac.jp/M3/20110428/F51143/1936/1", 83.21)</f>
        <v>83.21</v>
      </c>
      <c r="E4941" s="2">
        <v>62.3</v>
      </c>
      <c r="F4941" s="2">
        <v>2</v>
      </c>
      <c r="G4941" s="2" t="s">
        <v>14</v>
      </c>
      <c r="I4941" s="2" t="s">
        <v>4898</v>
      </c>
    </row>
    <row r="4942" spans="1:9" x14ac:dyDescent="0.2">
      <c r="A4942" s="2" t="s">
        <v>3250</v>
      </c>
      <c r="B4942" s="2" t="s">
        <v>834</v>
      </c>
      <c r="C4942" s="2">
        <v>621.9366</v>
      </c>
      <c r="D4942" s="2">
        <f>HYPERLINK("http://mcb-m6.bioreg.kyushu-u.ac.jp/M3/20110502/F51161/1451/1", 83.23)</f>
        <v>83.23</v>
      </c>
      <c r="E4942" s="2">
        <v>60.18</v>
      </c>
      <c r="F4942" s="2">
        <v>2</v>
      </c>
      <c r="G4942" s="2" t="s">
        <v>14</v>
      </c>
    </row>
    <row r="4943" spans="1:9" x14ac:dyDescent="0.2">
      <c r="A4943" s="2" t="s">
        <v>3250</v>
      </c>
      <c r="B4943" s="2" t="s">
        <v>1765</v>
      </c>
      <c r="C4943" s="2">
        <v>761.98860000000002</v>
      </c>
      <c r="D4943" s="2">
        <f>HYPERLINK("http://mcb-m6.bioreg.kyushu-u.ac.jp/M3/20110502/F51161/2019/1", 83.76)</f>
        <v>83.76</v>
      </c>
      <c r="E4943" s="2">
        <v>56.91</v>
      </c>
      <c r="F4943" s="2">
        <v>2</v>
      </c>
      <c r="G4943" s="2" t="s">
        <v>14</v>
      </c>
    </row>
    <row r="4944" spans="1:9" x14ac:dyDescent="0.2">
      <c r="A4944" s="2" t="s">
        <v>3250</v>
      </c>
      <c r="B4944" s="2" t="s">
        <v>365</v>
      </c>
      <c r="C4944" s="2">
        <v>848.90309999999999</v>
      </c>
      <c r="D4944" s="2">
        <f>HYPERLINK("http://mcb-m6.bioreg.kyushu-u.ac.jp/M3/20110428/F51144/2772/1", 84.04)</f>
        <v>84.04</v>
      </c>
      <c r="E4944" s="2">
        <v>67.61</v>
      </c>
      <c r="F4944" s="2">
        <v>2</v>
      </c>
      <c r="G4944" s="2" t="s">
        <v>14</v>
      </c>
    </row>
    <row r="4945" spans="1:9" x14ac:dyDescent="0.2">
      <c r="A4945" s="2" t="s">
        <v>3250</v>
      </c>
      <c r="B4945" s="2" t="s">
        <v>467</v>
      </c>
      <c r="C4945" s="2">
        <v>691.90769999999998</v>
      </c>
      <c r="D4945" s="2">
        <f>HYPERLINK("http://mcb-m6.bioreg.kyushu-u.ac.jp/M3/20110428/F51145/1872/1", 84.66)</f>
        <v>84.66</v>
      </c>
      <c r="E4945" s="2">
        <v>53.87</v>
      </c>
      <c r="F4945" s="2">
        <v>2</v>
      </c>
      <c r="G4945" s="2" t="s">
        <v>14</v>
      </c>
    </row>
    <row r="4946" spans="1:9" x14ac:dyDescent="0.2">
      <c r="A4946" s="2" t="s">
        <v>3250</v>
      </c>
      <c r="B4946" s="2" t="s">
        <v>481</v>
      </c>
      <c r="C4946" s="2">
        <v>709.42110000000002</v>
      </c>
      <c r="D4946" s="2">
        <f>HYPERLINK("http://mcb-m6.bioreg.kyushu-u.ac.jp/M3/20110428/F51136/2176/1", 85.11)</f>
        <v>85.11</v>
      </c>
      <c r="E4946" s="2">
        <v>65.64</v>
      </c>
      <c r="F4946" s="2">
        <v>2</v>
      </c>
      <c r="G4946" s="2" t="s">
        <v>14</v>
      </c>
      <c r="I4946" s="2" t="s">
        <v>4898</v>
      </c>
    </row>
    <row r="4947" spans="1:9" x14ac:dyDescent="0.2">
      <c r="A4947" s="2" t="s">
        <v>3250</v>
      </c>
      <c r="B4947" s="2" t="s">
        <v>1765</v>
      </c>
      <c r="C4947" s="2">
        <v>761.92110000000002</v>
      </c>
      <c r="D4947" s="2">
        <f>HYPERLINK("http://mcb-m6.bioreg.kyushu-u.ac.jp/M3/20110428/F51142/2191/1", 85.34)</f>
        <v>85.34</v>
      </c>
      <c r="E4947" s="2">
        <v>55.41</v>
      </c>
      <c r="F4947" s="2">
        <v>2</v>
      </c>
      <c r="G4947" s="2" t="s">
        <v>14</v>
      </c>
    </row>
    <row r="4948" spans="1:9" x14ac:dyDescent="0.2">
      <c r="A4948" s="2" t="s">
        <v>3250</v>
      </c>
      <c r="B4948" s="2" t="s">
        <v>481</v>
      </c>
      <c r="C4948" s="2">
        <v>709.51120000000003</v>
      </c>
      <c r="D4948" s="2">
        <f>HYPERLINK("http://mcb-m6.bioreg.kyushu-u.ac.jp/M3/20110502/F51161/1751/1", 85.65)</f>
        <v>85.65</v>
      </c>
      <c r="E4948" s="2">
        <v>68.13</v>
      </c>
      <c r="F4948" s="2">
        <v>2</v>
      </c>
      <c r="G4948" s="2" t="s">
        <v>14</v>
      </c>
      <c r="I4948" s="2" t="s">
        <v>4898</v>
      </c>
    </row>
    <row r="4949" spans="1:9" x14ac:dyDescent="0.2">
      <c r="A4949" s="2" t="s">
        <v>3250</v>
      </c>
      <c r="B4949" s="2" t="s">
        <v>1255</v>
      </c>
      <c r="C4949" s="2">
        <v>1274.059</v>
      </c>
      <c r="D4949" s="2">
        <f>HYPERLINK("http://mcb-m6.bioreg.kyushu-u.ac.jp/M3/20110502/F51161/2925/1", 85.83)</f>
        <v>85.83</v>
      </c>
      <c r="E4949" s="2">
        <v>74.73</v>
      </c>
      <c r="F4949" s="2">
        <v>2</v>
      </c>
      <c r="G4949" s="2" t="s">
        <v>14</v>
      </c>
      <c r="I4949" s="2" t="s">
        <v>4906</v>
      </c>
    </row>
    <row r="4950" spans="1:9" x14ac:dyDescent="0.2">
      <c r="A4950" s="2" t="s">
        <v>3250</v>
      </c>
      <c r="B4950" s="2" t="s">
        <v>772</v>
      </c>
      <c r="C4950" s="2">
        <v>595.73720000000003</v>
      </c>
      <c r="D4950" s="2">
        <f>HYPERLINK("http://mcb-m6.bioreg.kyushu-u.ac.jp/M3/20110428/F51143/1425/1", 86.67)</f>
        <v>86.67</v>
      </c>
      <c r="E4950" s="2">
        <v>59.65</v>
      </c>
      <c r="F4950" s="2">
        <v>2</v>
      </c>
      <c r="G4950" s="2" t="s">
        <v>14</v>
      </c>
    </row>
    <row r="4951" spans="1:9" x14ac:dyDescent="0.2">
      <c r="A4951" s="2" t="s">
        <v>3250</v>
      </c>
      <c r="B4951" s="2" t="s">
        <v>467</v>
      </c>
      <c r="C4951" s="2">
        <v>691.73860000000002</v>
      </c>
      <c r="D4951" s="2">
        <f>HYPERLINK("http://mcb-m6.bioreg.kyushu-u.ac.jp/M3/20110428/F51143/1849/1", 86.84)</f>
        <v>86.84</v>
      </c>
      <c r="E4951" s="2">
        <v>61.33</v>
      </c>
      <c r="F4951" s="2">
        <v>2</v>
      </c>
      <c r="G4951" s="2" t="s">
        <v>14</v>
      </c>
    </row>
    <row r="4952" spans="1:9" x14ac:dyDescent="0.2">
      <c r="A4952" s="2" t="s">
        <v>3250</v>
      </c>
      <c r="B4952" s="2" t="s">
        <v>561</v>
      </c>
      <c r="C4952" s="2">
        <v>662.34370000000001</v>
      </c>
      <c r="D4952" s="2">
        <f>HYPERLINK("http://mcb-m6.bioreg.kyushu-u.ac.jp/M3/20110428/F51143/1698/1", 87.84)</f>
        <v>87.84</v>
      </c>
      <c r="E4952" s="2">
        <v>66.790000000000006</v>
      </c>
      <c r="F4952" s="2">
        <v>2</v>
      </c>
      <c r="G4952" s="2" t="s">
        <v>14</v>
      </c>
      <c r="H4952" s="2" t="s">
        <v>4919</v>
      </c>
    </row>
    <row r="4953" spans="1:9" x14ac:dyDescent="0.2">
      <c r="A4953" s="2" t="s">
        <v>3250</v>
      </c>
      <c r="B4953" s="2" t="s">
        <v>772</v>
      </c>
      <c r="C4953" s="2">
        <v>596.38170000000002</v>
      </c>
      <c r="D4953" s="2">
        <f>HYPERLINK("http://mcb-m6.bioreg.kyushu-u.ac.jp/M3/20110502/F51162/1310/1", 91.13)</f>
        <v>91.13</v>
      </c>
      <c r="E4953" s="2">
        <v>64.27</v>
      </c>
      <c r="F4953" s="2">
        <v>2</v>
      </c>
      <c r="G4953" s="2" t="s">
        <v>14</v>
      </c>
    </row>
    <row r="4954" spans="1:9" x14ac:dyDescent="0.2">
      <c r="A4954" s="2" t="s">
        <v>3250</v>
      </c>
      <c r="B4954" s="2" t="s">
        <v>481</v>
      </c>
      <c r="C4954" s="2">
        <v>709.5027</v>
      </c>
      <c r="D4954" s="2">
        <f>HYPERLINK("http://mcb-m6.bioreg.kyushu-u.ac.jp/M3/20110502/F51162/1735/1", 91.23)</f>
        <v>91.23</v>
      </c>
      <c r="E4954" s="2">
        <v>64.849999999999994</v>
      </c>
      <c r="F4954" s="2">
        <v>2</v>
      </c>
      <c r="G4954" s="2" t="s">
        <v>14</v>
      </c>
      <c r="I4954" s="2" t="s">
        <v>4898</v>
      </c>
    </row>
    <row r="4955" spans="1:9" x14ac:dyDescent="0.2">
      <c r="A4955" s="2" t="s">
        <v>3250</v>
      </c>
      <c r="B4955" s="2" t="s">
        <v>481</v>
      </c>
      <c r="C4955" s="2">
        <v>709.41859999999997</v>
      </c>
      <c r="D4955" s="2">
        <f>HYPERLINK("http://mcb-m6.bioreg.kyushu-u.ac.jp/M3/20110428/F51138/2152/1", 91.73)</f>
        <v>91.73</v>
      </c>
      <c r="E4955" s="2">
        <v>72.89</v>
      </c>
      <c r="F4955" s="2">
        <v>2</v>
      </c>
      <c r="G4955" s="2" t="s">
        <v>14</v>
      </c>
      <c r="I4955" s="2" t="s">
        <v>4898</v>
      </c>
    </row>
    <row r="4956" spans="1:9" x14ac:dyDescent="0.2">
      <c r="A4956" s="2" t="s">
        <v>3250</v>
      </c>
      <c r="B4956" s="2" t="s">
        <v>561</v>
      </c>
      <c r="C4956" s="2">
        <v>662.36969999999997</v>
      </c>
      <c r="D4956" s="2">
        <f>HYPERLINK("http://mcb-m6.bioreg.kyushu-u.ac.jp/M3/20110428/F51145/1755/1", 91.8)</f>
        <v>91.8</v>
      </c>
      <c r="E4956" s="2">
        <v>68.92</v>
      </c>
      <c r="F4956" s="2">
        <v>2</v>
      </c>
      <c r="G4956" s="2" t="s">
        <v>14</v>
      </c>
      <c r="H4956" s="2" t="s">
        <v>4919</v>
      </c>
    </row>
    <row r="4957" spans="1:9" x14ac:dyDescent="0.2">
      <c r="A4957" s="2" t="s">
        <v>3250</v>
      </c>
      <c r="B4957" s="2" t="s">
        <v>481</v>
      </c>
      <c r="C4957" s="2">
        <v>709.51919999999996</v>
      </c>
      <c r="D4957" s="2">
        <f>HYPERLINK("http://mcb-m6.bioreg.kyushu-u.ac.jp/M3/20110502/F51159/1839/1", 92.13)</f>
        <v>92.13</v>
      </c>
      <c r="E4957" s="2">
        <v>71.38</v>
      </c>
      <c r="F4957" s="2">
        <v>2</v>
      </c>
      <c r="G4957" s="2" t="s">
        <v>14</v>
      </c>
      <c r="I4957" s="2" t="s">
        <v>4898</v>
      </c>
    </row>
    <row r="4958" spans="1:9" x14ac:dyDescent="0.2">
      <c r="A4958" s="2" t="s">
        <v>3250</v>
      </c>
      <c r="B4958" s="2" t="s">
        <v>561</v>
      </c>
      <c r="C4958" s="2">
        <v>654.39970000000005</v>
      </c>
      <c r="D4958" s="2">
        <f>HYPERLINK("http://mcb-m6.bioreg.kyushu-u.ac.jp/M3/20110502/F51162/1476/1", 92.62)</f>
        <v>92.62</v>
      </c>
      <c r="E4958" s="2">
        <v>67.819999999999993</v>
      </c>
      <c r="F4958" s="2">
        <v>2</v>
      </c>
      <c r="G4958" s="2" t="s">
        <v>14</v>
      </c>
    </row>
    <row r="4959" spans="1:9" x14ac:dyDescent="0.2">
      <c r="A4959" s="2" t="s">
        <v>3250</v>
      </c>
      <c r="B4959" s="2" t="s">
        <v>1255</v>
      </c>
      <c r="C4959" s="2">
        <v>1274.0119999999999</v>
      </c>
      <c r="D4959" s="2">
        <f>HYPERLINK("http://mcb-m6.bioreg.kyushu-u.ac.jp/M3/20110428/F51144/3806/1", 93.6)</f>
        <v>93.6</v>
      </c>
      <c r="E4959" s="2">
        <v>82.08</v>
      </c>
      <c r="F4959" s="2">
        <v>2</v>
      </c>
      <c r="G4959" s="2" t="s">
        <v>14</v>
      </c>
      <c r="I4959" s="2" t="s">
        <v>4906</v>
      </c>
    </row>
    <row r="4960" spans="1:9" x14ac:dyDescent="0.2">
      <c r="A4960" s="2" t="s">
        <v>3250</v>
      </c>
      <c r="B4960" s="2" t="s">
        <v>1255</v>
      </c>
      <c r="C4960" s="2">
        <v>1274.135</v>
      </c>
      <c r="D4960" s="2">
        <f>HYPERLINK("http://mcb-m6.bioreg.kyushu-u.ac.jp/M3/20110502/F51162/3035/1", 93.63)</f>
        <v>93.63</v>
      </c>
      <c r="E4960" s="2">
        <v>84.85</v>
      </c>
      <c r="F4960" s="2">
        <v>2</v>
      </c>
      <c r="G4960" s="2" t="s">
        <v>14</v>
      </c>
      <c r="I4960" s="2" t="s">
        <v>4906</v>
      </c>
    </row>
    <row r="4961" spans="1:9" x14ac:dyDescent="0.2">
      <c r="A4961" s="2" t="s">
        <v>3250</v>
      </c>
      <c r="B4961" s="2" t="s">
        <v>365</v>
      </c>
      <c r="C4961" s="2">
        <v>848.98910000000001</v>
      </c>
      <c r="D4961" s="2">
        <f>HYPERLINK("http://mcb-m6.bioreg.kyushu-u.ac.jp/M3/20110428/F51143/2599/1", 93.68)</f>
        <v>93.68</v>
      </c>
      <c r="E4961" s="2">
        <v>74.37</v>
      </c>
      <c r="F4961" s="2">
        <v>2</v>
      </c>
      <c r="G4961" s="2" t="s">
        <v>14</v>
      </c>
    </row>
    <row r="4962" spans="1:9" x14ac:dyDescent="0.2">
      <c r="A4962" s="2" t="s">
        <v>3250</v>
      </c>
      <c r="B4962" s="2" t="s">
        <v>481</v>
      </c>
      <c r="C4962" s="2">
        <v>709.43020000000001</v>
      </c>
      <c r="D4962" s="2">
        <f>HYPERLINK("http://mcb-m6.bioreg.kyushu-u.ac.jp/M3/20110502/F51162/1734/1", 94.16)</f>
        <v>94.16</v>
      </c>
      <c r="E4962" s="2">
        <v>71</v>
      </c>
      <c r="F4962" s="2">
        <v>2</v>
      </c>
      <c r="G4962" s="2" t="s">
        <v>14</v>
      </c>
      <c r="I4962" s="2" t="s">
        <v>4898</v>
      </c>
    </row>
    <row r="4963" spans="1:9" x14ac:dyDescent="0.2">
      <c r="A4963" s="2" t="s">
        <v>3250</v>
      </c>
      <c r="B4963" s="2" t="s">
        <v>467</v>
      </c>
      <c r="C4963" s="2">
        <v>692.37220000000002</v>
      </c>
      <c r="D4963" s="2">
        <f>HYPERLINK("http://mcb-m6.bioreg.kyushu-u.ac.jp/M3/20110502/F51160/1517/1", 96.53)</f>
        <v>96.53</v>
      </c>
      <c r="E4963" s="2">
        <v>62.54</v>
      </c>
      <c r="F4963" s="2">
        <v>2</v>
      </c>
      <c r="G4963" s="2" t="s">
        <v>14</v>
      </c>
    </row>
    <row r="4964" spans="1:9" x14ac:dyDescent="0.2">
      <c r="A4964" s="2" t="s">
        <v>3250</v>
      </c>
      <c r="B4964" s="2" t="s">
        <v>481</v>
      </c>
      <c r="C4964" s="2">
        <v>709.35609999999997</v>
      </c>
      <c r="D4964" s="2">
        <f>HYPERLINK("http://mcb-m6.bioreg.kyushu-u.ac.jp/M3/20110428/F51141/1735/1", 96.68)</f>
        <v>96.68</v>
      </c>
      <c r="E4964" s="2">
        <v>77.790000000000006</v>
      </c>
      <c r="F4964" s="2">
        <v>2</v>
      </c>
      <c r="G4964" s="2" t="s">
        <v>14</v>
      </c>
      <c r="I4964" s="2" t="s">
        <v>4898</v>
      </c>
    </row>
    <row r="4965" spans="1:9" x14ac:dyDescent="0.2">
      <c r="A4965" s="2" t="s">
        <v>3250</v>
      </c>
      <c r="B4965" s="2" t="s">
        <v>467</v>
      </c>
      <c r="C4965" s="2">
        <v>691.90920000000006</v>
      </c>
      <c r="D4965" s="2">
        <f>HYPERLINK("http://mcb-m6.bioreg.kyushu-u.ac.jp/M3/20110502/F51162/1657/1", 100.8)</f>
        <v>100.8</v>
      </c>
      <c r="E4965" s="2">
        <v>65.099999999999994</v>
      </c>
      <c r="F4965" s="2">
        <v>2</v>
      </c>
      <c r="G4965" s="2" t="s">
        <v>14</v>
      </c>
    </row>
    <row r="4966" spans="1:9" x14ac:dyDescent="0.2">
      <c r="A4966" s="2" t="s">
        <v>3250</v>
      </c>
      <c r="B4966" s="2" t="s">
        <v>356</v>
      </c>
      <c r="C4966" s="2">
        <v>815.9067</v>
      </c>
      <c r="D4966" s="2">
        <f>HYPERLINK("http://mcb-m6.bioreg.kyushu-u.ac.jp/M3/20110428/F51144/2622/1", 101.3)</f>
        <v>101.3</v>
      </c>
      <c r="E4966" s="2">
        <v>81.739999999999995</v>
      </c>
      <c r="F4966" s="2">
        <v>2</v>
      </c>
      <c r="G4966" s="2" t="s">
        <v>14</v>
      </c>
    </row>
    <row r="4967" spans="1:9" x14ac:dyDescent="0.2">
      <c r="A4967" s="2" t="s">
        <v>3250</v>
      </c>
      <c r="B4967" s="2" t="s">
        <v>90</v>
      </c>
      <c r="C4967" s="2">
        <v>716.91110000000003</v>
      </c>
      <c r="D4967" s="2">
        <f>HYPERLINK("http://mcb-m6.bioreg.kyushu-u.ac.jp/M3/20110428/F51144/2093/1", 104.44)</f>
        <v>104.44</v>
      </c>
      <c r="E4967" s="2">
        <v>80.17</v>
      </c>
      <c r="F4967" s="2">
        <v>2</v>
      </c>
      <c r="G4967" s="2" t="s">
        <v>14</v>
      </c>
    </row>
    <row r="4968" spans="1:9" x14ac:dyDescent="0.2">
      <c r="A4968" s="2" t="s">
        <v>3250</v>
      </c>
      <c r="B4968" s="2" t="s">
        <v>481</v>
      </c>
      <c r="C4968" s="2">
        <v>709.51009999999997</v>
      </c>
      <c r="D4968" s="2">
        <f>HYPERLINK("http://mcb-m6.bioreg.kyushu-u.ac.jp/M3/20110502/F51160/1608/1", 105.08)</f>
        <v>105.08</v>
      </c>
      <c r="E4968" s="2">
        <v>80.38</v>
      </c>
      <c r="F4968" s="2">
        <v>2</v>
      </c>
      <c r="G4968" s="2" t="s">
        <v>14</v>
      </c>
      <c r="I4968" s="2" t="s">
        <v>4898</v>
      </c>
    </row>
    <row r="4969" spans="1:9" x14ac:dyDescent="0.2">
      <c r="A4969" s="2" t="s">
        <v>3250</v>
      </c>
      <c r="B4969" s="2" t="s">
        <v>1255</v>
      </c>
      <c r="C4969" s="2">
        <v>1274.0340000000001</v>
      </c>
      <c r="D4969" s="2">
        <f>HYPERLINK("http://mcb-m6.bioreg.kyushu-u.ac.jp/M3/20110428/F51145/3131/1", 107.32)</f>
        <v>107.32</v>
      </c>
      <c r="E4969" s="2">
        <v>96.14</v>
      </c>
      <c r="F4969" s="2">
        <v>2</v>
      </c>
      <c r="G4969" s="2" t="s">
        <v>14</v>
      </c>
      <c r="I4969" s="2" t="s">
        <v>4906</v>
      </c>
    </row>
    <row r="4970" spans="1:9" x14ac:dyDescent="0.2">
      <c r="A4970" s="2" t="s">
        <v>3250</v>
      </c>
      <c r="B4970" s="2" t="s">
        <v>90</v>
      </c>
      <c r="C4970" s="2">
        <v>717.33920000000001</v>
      </c>
      <c r="D4970" s="2">
        <f>HYPERLINK("http://mcb-m6.bioreg.kyushu-u.ac.jp/M3/20110502/F51162/1785/1", 107.33)</f>
        <v>107.33</v>
      </c>
      <c r="E4970" s="2">
        <v>84.93</v>
      </c>
      <c r="F4970" s="2">
        <v>2</v>
      </c>
      <c r="G4970" s="2" t="s">
        <v>14</v>
      </c>
    </row>
    <row r="4971" spans="1:9" x14ac:dyDescent="0.2">
      <c r="A4971" s="2" t="s">
        <v>3250</v>
      </c>
      <c r="B4971" s="2" t="s">
        <v>356</v>
      </c>
      <c r="C4971" s="2">
        <v>815.99469999999997</v>
      </c>
      <c r="D4971" s="2">
        <f>HYPERLINK("http://mcb-m6.bioreg.kyushu-u.ac.jp/M3/20110428/F51143/2467/1", 110.92)</f>
        <v>110.92</v>
      </c>
      <c r="E4971" s="2">
        <v>90.42</v>
      </c>
      <c r="F4971" s="2">
        <v>2</v>
      </c>
      <c r="G4971" s="2" t="s">
        <v>14</v>
      </c>
    </row>
    <row r="4972" spans="1:9" x14ac:dyDescent="0.2">
      <c r="A4972" s="2" t="s">
        <v>3250</v>
      </c>
      <c r="B4972" s="2" t="s">
        <v>90</v>
      </c>
      <c r="C4972" s="2">
        <v>717.41669999999999</v>
      </c>
      <c r="D4972" s="2">
        <f>HYPERLINK("http://mcb-m6.bioreg.kyushu-u.ac.jp/M3/20110502/F51162/1787/1", 115.99)</f>
        <v>115.99</v>
      </c>
      <c r="E4972" s="2">
        <v>81.48</v>
      </c>
      <c r="F4972" s="2">
        <v>2</v>
      </c>
      <c r="G4972" s="2" t="s">
        <v>14</v>
      </c>
    </row>
    <row r="4973" spans="1:9" x14ac:dyDescent="0.2">
      <c r="A4973" s="2" t="s">
        <v>3250</v>
      </c>
      <c r="B4973" s="2" t="s">
        <v>356</v>
      </c>
      <c r="C4973" s="2">
        <v>816.02009999999996</v>
      </c>
      <c r="D4973" s="2">
        <f>HYPERLINK("http://mcb-m6.bioreg.kyushu-u.ac.jp/M3/20110502/F51162/2213/1", 126.5)</f>
        <v>126.5</v>
      </c>
      <c r="E4973" s="2">
        <v>108.12</v>
      </c>
      <c r="F4973" s="2">
        <v>2</v>
      </c>
      <c r="G4973" s="2" t="s">
        <v>14</v>
      </c>
    </row>
    <row r="4974" spans="1:9" x14ac:dyDescent="0.2">
      <c r="A4974" s="2" t="s">
        <v>3894</v>
      </c>
      <c r="B4974" s="2" t="s">
        <v>1040</v>
      </c>
      <c r="C4974" s="2">
        <v>670.50419999999997</v>
      </c>
      <c r="D4974" s="2">
        <f>HYPERLINK("http://mcb-m6.bioreg.kyushu-u.ac.jp/M3/20110318/F50608/1294/1", 51.65)</f>
        <v>51.65</v>
      </c>
      <c r="E4974" s="2">
        <v>39.18</v>
      </c>
      <c r="F4974" s="2">
        <v>2</v>
      </c>
      <c r="G4974" s="2" t="s">
        <v>9</v>
      </c>
    </row>
    <row r="4975" spans="1:9" x14ac:dyDescent="0.2">
      <c r="A4975" s="2" t="s">
        <v>3894</v>
      </c>
      <c r="B4975" s="2" t="s">
        <v>1040</v>
      </c>
      <c r="C4975" s="2">
        <v>670.43619999999999</v>
      </c>
      <c r="D4975" s="2">
        <f>HYPERLINK("http://mcb-m6.bioreg.kyushu-u.ac.jp/M3/20110318/F50599/1500/1", 65.9)</f>
        <v>65.900000000000006</v>
      </c>
      <c r="E4975" s="2">
        <v>51.58</v>
      </c>
      <c r="F4975" s="2">
        <v>2</v>
      </c>
      <c r="G4975" s="2" t="s">
        <v>10</v>
      </c>
    </row>
    <row r="4976" spans="1:9" x14ac:dyDescent="0.2">
      <c r="A4976" s="2" t="s">
        <v>3894</v>
      </c>
      <c r="B4976" s="2" t="s">
        <v>1040</v>
      </c>
      <c r="C4976" s="2">
        <v>670.74109999999996</v>
      </c>
      <c r="D4976" s="2">
        <f>HYPERLINK("http://mcb-m6.bioreg.kyushu-u.ac.jp/M3/20110429/F51150/1847/1", 56.73)</f>
        <v>56.73</v>
      </c>
      <c r="E4976" s="2">
        <v>45.4</v>
      </c>
      <c r="F4976" s="2">
        <v>2</v>
      </c>
      <c r="G4976" s="2" t="s">
        <v>13</v>
      </c>
    </row>
    <row r="4977" spans="1:9" x14ac:dyDescent="0.2">
      <c r="A4977" s="2" t="s">
        <v>3894</v>
      </c>
      <c r="B4977" s="2" t="s">
        <v>1040</v>
      </c>
      <c r="C4977" s="2">
        <v>670.1952</v>
      </c>
      <c r="D4977" s="2">
        <f>HYPERLINK("http://mcb-m6.bioreg.kyushu-u.ac.jp/M3/20110429/F51150/1845/1", 61.46)</f>
        <v>61.46</v>
      </c>
      <c r="E4977" s="2">
        <v>48.12</v>
      </c>
      <c r="F4977" s="2">
        <v>2</v>
      </c>
      <c r="G4977" s="2" t="s">
        <v>13</v>
      </c>
    </row>
    <row r="4978" spans="1:9" x14ac:dyDescent="0.2">
      <c r="A4978" s="2" t="s">
        <v>4266</v>
      </c>
      <c r="B4978" s="2" t="s">
        <v>5437</v>
      </c>
      <c r="C4978" s="2">
        <v>730.16520000000003</v>
      </c>
      <c r="D4978" s="2">
        <f>HYPERLINK("http://mcb-m6.bioreg.kyushu-u.ac.jp/M3/20110418/F50989/1999/1", 40.82)</f>
        <v>40.82</v>
      </c>
      <c r="E4978" s="2">
        <v>19.96</v>
      </c>
      <c r="F4978" s="2">
        <v>2</v>
      </c>
      <c r="G4978" s="2" t="s">
        <v>12</v>
      </c>
    </row>
    <row r="4979" spans="1:9" x14ac:dyDescent="0.2">
      <c r="A4979" s="2" t="s">
        <v>4266</v>
      </c>
      <c r="B4979" s="2" t="s">
        <v>5437</v>
      </c>
      <c r="C4979" s="2">
        <v>730.32709999999997</v>
      </c>
      <c r="D4979" s="2">
        <f>HYPERLINK("http://mcb-m6.bioreg.kyushu-u.ac.jp/M3/20110428/F51143/2030/1", 50.53)</f>
        <v>50.53</v>
      </c>
      <c r="E4979" s="2">
        <v>37.090000000000003</v>
      </c>
      <c r="F4979" s="2">
        <v>2</v>
      </c>
      <c r="G4979" s="2" t="s">
        <v>14</v>
      </c>
    </row>
    <row r="4980" spans="1:9" x14ac:dyDescent="0.2">
      <c r="A4980" s="2" t="s">
        <v>5648</v>
      </c>
      <c r="B4980" s="2" t="s">
        <v>5091</v>
      </c>
      <c r="C4980" s="2">
        <v>658.79909999999995</v>
      </c>
      <c r="D4980" s="2">
        <f>HYPERLINK("http://mcb-m6.bioreg.kyushu-u.ac.jp/M3/20110318/F50621/1278/1", 52.46)</f>
        <v>52.46</v>
      </c>
      <c r="E4980" s="2">
        <v>29.42</v>
      </c>
      <c r="F4980" s="2">
        <v>2</v>
      </c>
      <c r="G4980" s="2" t="s">
        <v>9</v>
      </c>
    </row>
    <row r="4981" spans="1:9" x14ac:dyDescent="0.2">
      <c r="A4981" s="2" t="s">
        <v>5747</v>
      </c>
      <c r="B4981" s="2" t="s">
        <v>5362</v>
      </c>
      <c r="C4981" s="2">
        <v>795.90369999999996</v>
      </c>
      <c r="D4981" s="2">
        <f>HYPERLINK("http://mcb-m6.bioreg.kyushu-u.ac.jp/M3/20110418/F50976/2365/1", 36.45)</f>
        <v>36.450000000000003</v>
      </c>
      <c r="E4981" s="2">
        <v>18.68</v>
      </c>
      <c r="F4981" s="2">
        <v>2</v>
      </c>
      <c r="G4981" s="2" t="s">
        <v>11</v>
      </c>
    </row>
    <row r="4982" spans="1:9" x14ac:dyDescent="0.2">
      <c r="A4982" s="2" t="s">
        <v>5675</v>
      </c>
      <c r="B4982" s="2" t="s">
        <v>5168</v>
      </c>
      <c r="C4982" s="2">
        <v>818.8972</v>
      </c>
      <c r="D4982" s="2">
        <f>HYPERLINK("http://mcb-m6.bioreg.kyushu-u.ac.jp/M3/20110318/F50618/2010/1", 75.25)</f>
        <v>75.25</v>
      </c>
      <c r="E4982" s="2">
        <v>56.2</v>
      </c>
      <c r="F4982" s="2">
        <v>2</v>
      </c>
      <c r="G4982" s="2" t="s">
        <v>9</v>
      </c>
      <c r="I4982" s="2" t="s">
        <v>4923</v>
      </c>
    </row>
    <row r="4983" spans="1:9" x14ac:dyDescent="0.2">
      <c r="A4983" s="2" t="s">
        <v>5675</v>
      </c>
      <c r="B4983" s="2" t="s">
        <v>5168</v>
      </c>
      <c r="C4983" s="2">
        <v>818.1327</v>
      </c>
      <c r="D4983" s="2">
        <f>HYPERLINK("http://mcb-m6.bioreg.kyushu-u.ac.jp/M3/20110318/F50618/2008/1", 84.44)</f>
        <v>84.44</v>
      </c>
      <c r="E4983" s="2">
        <v>55.81</v>
      </c>
      <c r="F4983" s="2">
        <v>2</v>
      </c>
      <c r="G4983" s="2" t="s">
        <v>9</v>
      </c>
      <c r="I4983" s="2" t="s">
        <v>4923</v>
      </c>
    </row>
    <row r="4984" spans="1:9" x14ac:dyDescent="0.2">
      <c r="A4984" s="2" t="s">
        <v>5650</v>
      </c>
      <c r="B4984" s="2" t="s">
        <v>5095</v>
      </c>
      <c r="C4984" s="2">
        <v>580.72969999999998</v>
      </c>
      <c r="D4984" s="2">
        <f>HYPERLINK("http://mcb-m6.bioreg.kyushu-u.ac.jp/M3/20110318/F50618/1043/1", 52.88)</f>
        <v>52.88</v>
      </c>
      <c r="E4984" s="2">
        <v>20.04</v>
      </c>
      <c r="F4984" s="2">
        <v>2</v>
      </c>
      <c r="G4984" s="2" t="s">
        <v>9</v>
      </c>
    </row>
    <row r="4985" spans="1:9" x14ac:dyDescent="0.2">
      <c r="A4985" s="2" t="s">
        <v>3416</v>
      </c>
      <c r="B4985" s="2" t="s">
        <v>824</v>
      </c>
      <c r="C4985" s="2">
        <v>673.77009999999996</v>
      </c>
      <c r="D4985" s="2">
        <f>HYPERLINK("http://mcb-m6.bioreg.kyushu-u.ac.jp/M3/20110318/F50608/1299/1", 35.62)</f>
        <v>35.619999999999997</v>
      </c>
      <c r="E4985" s="2">
        <v>22.38</v>
      </c>
      <c r="F4985" s="2">
        <v>2</v>
      </c>
      <c r="G4985" s="2" t="s">
        <v>9</v>
      </c>
    </row>
    <row r="4986" spans="1:9" x14ac:dyDescent="0.2">
      <c r="A4986" s="2" t="s">
        <v>3416</v>
      </c>
      <c r="B4986" s="2" t="s">
        <v>215</v>
      </c>
      <c r="C4986" s="2">
        <v>609.74019999999996</v>
      </c>
      <c r="D4986" s="2">
        <f>HYPERLINK("http://mcb-m6.bioreg.kyushu-u.ac.jp/M3/20110418/F50972/1781/1", 38.54)</f>
        <v>38.54</v>
      </c>
      <c r="E4986" s="2">
        <v>8.2799999999999994</v>
      </c>
      <c r="F4986" s="2">
        <v>2</v>
      </c>
      <c r="G4986" s="2" t="s">
        <v>11</v>
      </c>
    </row>
    <row r="4987" spans="1:9" x14ac:dyDescent="0.2">
      <c r="A4987" s="2" t="s">
        <v>5624</v>
      </c>
      <c r="B4987" s="2" t="s">
        <v>5036</v>
      </c>
      <c r="C4987" s="2">
        <v>815.48500000000001</v>
      </c>
      <c r="D4987" s="2">
        <f>HYPERLINK("http://mcb-m6.bioreg.kyushu-u.ac.jp/M3/20110318/F50610/1141/1", 41.15)</f>
        <v>41.15</v>
      </c>
      <c r="E4987" s="2">
        <v>13.2</v>
      </c>
      <c r="F4987" s="2">
        <v>1</v>
      </c>
      <c r="G4987" s="2" t="s">
        <v>9</v>
      </c>
    </row>
    <row r="4988" spans="1:9" x14ac:dyDescent="0.2">
      <c r="A4988" s="2" t="s">
        <v>3885</v>
      </c>
      <c r="B4988" s="2" t="s">
        <v>1524</v>
      </c>
      <c r="C4988" s="2">
        <v>565.27919999999995</v>
      </c>
      <c r="D4988" s="2">
        <f>HYPERLINK("http://mcb-m6.bioreg.kyushu-u.ac.jp/M3/20110318/F50599/1306/1", 39.55)</f>
        <v>39.549999999999997</v>
      </c>
      <c r="E4988" s="2">
        <v>14.83</v>
      </c>
      <c r="F4988" s="2">
        <v>2</v>
      </c>
      <c r="G4988" s="2" t="s">
        <v>10</v>
      </c>
    </row>
    <row r="4989" spans="1:9" x14ac:dyDescent="0.2">
      <c r="A4989" s="2" t="s">
        <v>3885</v>
      </c>
      <c r="B4989" s="2" t="s">
        <v>5317</v>
      </c>
      <c r="C4989" s="2">
        <v>580.32420000000002</v>
      </c>
      <c r="D4989" s="2">
        <f>HYPERLINK("http://mcb-m6.bioreg.kyushu-u.ac.jp/M3/20110318/F50599/1332/1", 56.76)</f>
        <v>56.76</v>
      </c>
      <c r="E4989" s="2">
        <v>30.92</v>
      </c>
      <c r="F4989" s="2">
        <v>2</v>
      </c>
      <c r="G4989" s="2" t="s">
        <v>10</v>
      </c>
    </row>
    <row r="4990" spans="1:9" x14ac:dyDescent="0.2">
      <c r="A4990" s="2" t="s">
        <v>3885</v>
      </c>
      <c r="B4990" s="2" t="s">
        <v>1524</v>
      </c>
      <c r="C4990" s="2">
        <v>565.83969999999999</v>
      </c>
      <c r="D4990" s="2">
        <f>HYPERLINK("http://mcb-m6.bioreg.kyushu-u.ac.jp/M3/20110318/F50599/1309/1", 58.18)</f>
        <v>58.18</v>
      </c>
      <c r="E4990" s="2">
        <v>32.06</v>
      </c>
      <c r="F4990" s="2">
        <v>2</v>
      </c>
      <c r="G4990" s="2" t="s">
        <v>10</v>
      </c>
    </row>
    <row r="4991" spans="1:9" x14ac:dyDescent="0.2">
      <c r="A4991" s="2" t="s">
        <v>3885</v>
      </c>
      <c r="B4991" s="2" t="s">
        <v>1026</v>
      </c>
      <c r="C4991" s="2">
        <v>662.12159999999994</v>
      </c>
      <c r="D4991" s="2">
        <f>HYPERLINK("http://mcb-m6.bioreg.kyushu-u.ac.jp/M3/20110429/F51150/1818/1", 37.62)</f>
        <v>37.619999999999997</v>
      </c>
      <c r="E4991" s="2">
        <v>20.7</v>
      </c>
      <c r="F4991" s="2">
        <v>2</v>
      </c>
      <c r="G4991" s="2" t="s">
        <v>13</v>
      </c>
      <c r="I4991" s="2" t="s">
        <v>4905</v>
      </c>
    </row>
    <row r="4992" spans="1:9" x14ac:dyDescent="0.2">
      <c r="A4992" s="2" t="s">
        <v>3885</v>
      </c>
      <c r="B4992" s="2" t="s">
        <v>1524</v>
      </c>
      <c r="C4992" s="2">
        <v>565.11659999999995</v>
      </c>
      <c r="D4992" s="2">
        <f>HYPERLINK("http://mcb-m6.bioreg.kyushu-u.ac.jp/M3/20110429/F51150/1501/1", 39.11)</f>
        <v>39.11</v>
      </c>
      <c r="E4992" s="2">
        <v>23.5</v>
      </c>
      <c r="F4992" s="2">
        <v>2</v>
      </c>
      <c r="G4992" s="2" t="s">
        <v>13</v>
      </c>
    </row>
    <row r="4993" spans="1:9" x14ac:dyDescent="0.2">
      <c r="A4993" s="2" t="s">
        <v>3885</v>
      </c>
      <c r="B4993" s="2" t="s">
        <v>1026</v>
      </c>
      <c r="C4993" s="2">
        <v>662.07759999999996</v>
      </c>
      <c r="D4993" s="2">
        <f>HYPERLINK("http://mcb-m6.bioreg.kyushu-u.ac.jp/M3/20110429/F51151/1796/1", 67.21)</f>
        <v>67.209999999999994</v>
      </c>
      <c r="E4993" s="2">
        <v>42.1</v>
      </c>
      <c r="F4993" s="2">
        <v>2</v>
      </c>
      <c r="G4993" s="2" t="s">
        <v>13</v>
      </c>
      <c r="I4993" s="2" t="s">
        <v>4905</v>
      </c>
    </row>
    <row r="4994" spans="1:9" x14ac:dyDescent="0.2">
      <c r="A4994" s="2" t="s">
        <v>3885</v>
      </c>
      <c r="B4994" s="2" t="s">
        <v>1524</v>
      </c>
      <c r="C4994" s="2">
        <v>565.12620000000004</v>
      </c>
      <c r="D4994" s="2">
        <f>HYPERLINK("http://mcb-m6.bioreg.kyushu-u.ac.jp/M3/20110429/F51151/1423/1", 84.88)</f>
        <v>84.88</v>
      </c>
      <c r="E4994" s="2">
        <v>55.11</v>
      </c>
      <c r="F4994" s="2">
        <v>2</v>
      </c>
      <c r="G4994" s="2" t="s">
        <v>13</v>
      </c>
    </row>
    <row r="4995" spans="1:9" x14ac:dyDescent="0.2">
      <c r="A4995" s="2" t="s">
        <v>5710</v>
      </c>
      <c r="B4995" s="2" t="s">
        <v>5252</v>
      </c>
      <c r="C4995" s="2">
        <v>457.49560000000002</v>
      </c>
      <c r="D4995" s="2">
        <f>HYPERLINK("http://mcb-m6.bioreg.kyushu-u.ac.jp/M3/20110318/F50612/881/1", 42.04)</f>
        <v>42.04</v>
      </c>
      <c r="E4995" s="2">
        <v>11.08</v>
      </c>
      <c r="F4995" s="2">
        <v>2</v>
      </c>
      <c r="G4995" s="2" t="s">
        <v>10</v>
      </c>
    </row>
    <row r="4996" spans="1:9" x14ac:dyDescent="0.2">
      <c r="A4996" s="2" t="s">
        <v>5625</v>
      </c>
      <c r="B4996" s="2" t="s">
        <v>5040</v>
      </c>
      <c r="C4996" s="2">
        <v>666.06020000000001</v>
      </c>
      <c r="D4996" s="2">
        <f>HYPERLINK("http://mcb-m6.bioreg.kyushu-u.ac.jp/M3/20110318/F50606/1229/1", 41.65)</f>
        <v>41.65</v>
      </c>
      <c r="E4996" s="2">
        <v>18.72</v>
      </c>
      <c r="F4996" s="2">
        <v>2</v>
      </c>
      <c r="G4996" s="2" t="s">
        <v>9</v>
      </c>
    </row>
    <row r="4997" spans="1:9" x14ac:dyDescent="0.2">
      <c r="A4997" s="2" t="s">
        <v>5676</v>
      </c>
      <c r="B4997" s="2" t="s">
        <v>5170</v>
      </c>
      <c r="C4997" s="2">
        <v>888.37120000000004</v>
      </c>
      <c r="D4997" s="2">
        <f>HYPERLINK("http://mcb-m6.bioreg.kyushu-u.ac.jp/M3/20110318/F50620/2203/1", 75.39)</f>
        <v>75.39</v>
      </c>
      <c r="E4997" s="2">
        <v>65.33</v>
      </c>
      <c r="F4997" s="2">
        <v>2</v>
      </c>
      <c r="G4997" s="2" t="s">
        <v>9</v>
      </c>
    </row>
    <row r="4998" spans="1:9" x14ac:dyDescent="0.2">
      <c r="A4998" s="2" t="s">
        <v>4072</v>
      </c>
      <c r="B4998" s="2" t="s">
        <v>1685</v>
      </c>
      <c r="C4998" s="2">
        <v>677.72919999999999</v>
      </c>
      <c r="D4998" s="2">
        <f>HYPERLINK("http://mcb-m6.bioreg.kyushu-u.ac.jp/M3/20110418/F50997/1720/1", 47.34)</f>
        <v>47.34</v>
      </c>
      <c r="E4998" s="2">
        <v>21.78</v>
      </c>
      <c r="F4998" s="2">
        <v>2</v>
      </c>
      <c r="G4998" s="2" t="s">
        <v>12</v>
      </c>
    </row>
    <row r="4999" spans="1:9" x14ac:dyDescent="0.2">
      <c r="A4999" s="2" t="s">
        <v>4072</v>
      </c>
      <c r="B4999" s="2" t="s">
        <v>1463</v>
      </c>
      <c r="C4999" s="2">
        <v>822.22220000000004</v>
      </c>
      <c r="D4999" s="2">
        <f>HYPERLINK("http://mcb-m6.bioreg.kyushu-u.ac.jp/M3/20110429/F51152/2412/1", 79.14)</f>
        <v>79.14</v>
      </c>
      <c r="E4999" s="2">
        <v>53.68</v>
      </c>
      <c r="F4999" s="2">
        <v>2</v>
      </c>
      <c r="G4999" s="2" t="s">
        <v>13</v>
      </c>
      <c r="I4999" s="2" t="s">
        <v>4890</v>
      </c>
    </row>
    <row r="5000" spans="1:9" x14ac:dyDescent="0.2">
      <c r="A5000" s="2" t="s">
        <v>4072</v>
      </c>
      <c r="B5000" s="2" t="s">
        <v>1463</v>
      </c>
      <c r="C5000" s="2">
        <v>822.51509999999996</v>
      </c>
      <c r="D5000" s="2">
        <f>HYPERLINK("http://mcb-m6.bioreg.kyushu-u.ac.jp/M3/20110428/F51140/2400/1", 91.73)</f>
        <v>91.73</v>
      </c>
      <c r="E5000" s="2">
        <v>74.63</v>
      </c>
      <c r="F5000" s="2">
        <v>2</v>
      </c>
      <c r="G5000" s="2" t="s">
        <v>14</v>
      </c>
      <c r="I5000" s="2" t="s">
        <v>4890</v>
      </c>
    </row>
    <row r="5001" spans="1:9" x14ac:dyDescent="0.2">
      <c r="A5001" s="2" t="s">
        <v>4147</v>
      </c>
      <c r="B5001" s="2" t="s">
        <v>2531</v>
      </c>
      <c r="C5001" s="2">
        <v>778.89509999999996</v>
      </c>
      <c r="D5001" s="2">
        <f>HYPERLINK("http://mcb-m6.bioreg.kyushu-u.ac.jp/M3/20110318/F50619/1616/1", 70.77)</f>
        <v>70.77</v>
      </c>
      <c r="E5001" s="2">
        <v>47.52</v>
      </c>
      <c r="F5001" s="2">
        <v>2</v>
      </c>
      <c r="G5001" s="2" t="s">
        <v>9</v>
      </c>
    </row>
    <row r="5002" spans="1:9" x14ac:dyDescent="0.2">
      <c r="A5002" s="2" t="s">
        <v>4147</v>
      </c>
      <c r="B5002" s="2" t="s">
        <v>2103</v>
      </c>
      <c r="C5002" s="2">
        <v>790.25959999999998</v>
      </c>
      <c r="D5002" s="2">
        <f>HYPERLINK("http://mcb-m6.bioreg.kyushu-u.ac.jp/M3/20110318/F50619/1680/1", 81.71)</f>
        <v>81.709999999999994</v>
      </c>
      <c r="E5002" s="2">
        <v>69.89</v>
      </c>
      <c r="F5002" s="2">
        <v>2</v>
      </c>
      <c r="G5002" s="2" t="s">
        <v>9</v>
      </c>
    </row>
    <row r="5003" spans="1:9" x14ac:dyDescent="0.2">
      <c r="A5003" s="2" t="s">
        <v>4147</v>
      </c>
      <c r="B5003" s="2" t="s">
        <v>5254</v>
      </c>
      <c r="C5003" s="2">
        <v>451.87009999999998</v>
      </c>
      <c r="D5003" s="2">
        <f>HYPERLINK("http://mcb-m6.bioreg.kyushu-u.ac.jp/M3/20110318/F50615/657/1", 42.61)</f>
        <v>42.61</v>
      </c>
      <c r="E5003" s="2">
        <v>10.33</v>
      </c>
      <c r="F5003" s="2">
        <v>2</v>
      </c>
      <c r="G5003" s="2" t="s">
        <v>10</v>
      </c>
      <c r="I5003" s="2" t="s">
        <v>4890</v>
      </c>
    </row>
    <row r="5004" spans="1:9" x14ac:dyDescent="0.2">
      <c r="A5004" s="2" t="s">
        <v>4147</v>
      </c>
      <c r="B5004" s="2" t="s">
        <v>5334</v>
      </c>
      <c r="C5004" s="2">
        <v>545.39260000000002</v>
      </c>
      <c r="D5004" s="2">
        <f>HYPERLINK("http://mcb-m6.bioreg.kyushu-u.ac.jp/M3/20110318/F50615/920/1", 67.6)</f>
        <v>67.599999999999994</v>
      </c>
      <c r="E5004" s="2">
        <v>27.38</v>
      </c>
      <c r="F5004" s="2">
        <v>2</v>
      </c>
      <c r="G5004" s="2" t="s">
        <v>10</v>
      </c>
    </row>
    <row r="5005" spans="1:9" x14ac:dyDescent="0.2">
      <c r="A5005" s="2" t="s">
        <v>4147</v>
      </c>
      <c r="B5005" s="2" t="s">
        <v>2531</v>
      </c>
      <c r="C5005" s="2">
        <v>778.34519999999998</v>
      </c>
      <c r="D5005" s="2">
        <f>HYPERLINK("http://mcb-m6.bioreg.kyushu-u.ac.jp/M3/20110318/F50615/1717/1", 72.09)</f>
        <v>72.09</v>
      </c>
      <c r="E5005" s="2">
        <v>52.13</v>
      </c>
      <c r="F5005" s="2">
        <v>2</v>
      </c>
      <c r="G5005" s="2" t="s">
        <v>10</v>
      </c>
    </row>
    <row r="5006" spans="1:9" x14ac:dyDescent="0.2">
      <c r="A5006" s="2" t="s">
        <v>4147</v>
      </c>
      <c r="B5006" s="2" t="s">
        <v>1907</v>
      </c>
      <c r="C5006" s="2">
        <v>644.82209999999998</v>
      </c>
      <c r="D5006" s="2">
        <f>HYPERLINK("http://mcb-m6.bioreg.kyushu-u.ac.jp/M3/20110318/F50615/1203/1", 81.52)</f>
        <v>81.52</v>
      </c>
      <c r="E5006" s="2">
        <v>56.08</v>
      </c>
      <c r="F5006" s="2">
        <v>2</v>
      </c>
      <c r="G5006" s="2" t="s">
        <v>10</v>
      </c>
    </row>
    <row r="5007" spans="1:9" x14ac:dyDescent="0.2">
      <c r="A5007" s="2" t="s">
        <v>4147</v>
      </c>
      <c r="B5007" s="2" t="s">
        <v>5350</v>
      </c>
      <c r="C5007" s="2">
        <v>474.84410000000003</v>
      </c>
      <c r="D5007" s="2">
        <f>HYPERLINK("http://mcb-m6.bioreg.kyushu-u.ac.jp/M3/20110318/F50615/721/1", 82.46)</f>
        <v>82.46</v>
      </c>
      <c r="E5007" s="2">
        <v>53.89</v>
      </c>
      <c r="F5007" s="2">
        <v>2</v>
      </c>
      <c r="G5007" s="2" t="s">
        <v>10</v>
      </c>
    </row>
    <row r="5008" spans="1:9" x14ac:dyDescent="0.2">
      <c r="A5008" s="2" t="s">
        <v>4147</v>
      </c>
      <c r="B5008" s="2" t="s">
        <v>1907</v>
      </c>
      <c r="C5008" s="2">
        <v>645.36969999999997</v>
      </c>
      <c r="D5008" s="2">
        <f>HYPERLINK("http://mcb-m6.bioreg.kyushu-u.ac.jp/M3/20110318/F50615/1204/1", 93.44)</f>
        <v>93.44</v>
      </c>
      <c r="E5008" s="2">
        <v>75.989999999999995</v>
      </c>
      <c r="F5008" s="2">
        <v>2</v>
      </c>
      <c r="G5008" s="2" t="s">
        <v>10</v>
      </c>
    </row>
    <row r="5009" spans="1:9" x14ac:dyDescent="0.2">
      <c r="A5009" s="2" t="s">
        <v>4147</v>
      </c>
      <c r="B5009" s="2" t="s">
        <v>2103</v>
      </c>
      <c r="C5009" s="2">
        <v>790.81460000000004</v>
      </c>
      <c r="D5009" s="2">
        <f>HYPERLINK("http://mcb-m6.bioreg.kyushu-u.ac.jp/M3/20110318/F50615/1768/1", 104.69)</f>
        <v>104.69</v>
      </c>
      <c r="E5009" s="2">
        <v>88.66</v>
      </c>
      <c r="F5009" s="2">
        <v>2</v>
      </c>
      <c r="G5009" s="2" t="s">
        <v>10</v>
      </c>
    </row>
    <row r="5010" spans="1:9" x14ac:dyDescent="0.2">
      <c r="A5010" s="2" t="s">
        <v>4147</v>
      </c>
      <c r="B5010" s="2" t="s">
        <v>5350</v>
      </c>
      <c r="C5010" s="2">
        <v>475.03210000000001</v>
      </c>
      <c r="D5010" s="2">
        <f>HYPERLINK("http://mcb-m6.bioreg.kyushu-u.ac.jp/M3/20110418/F50975/666/1", 35.81)</f>
        <v>35.81</v>
      </c>
      <c r="E5010" s="2">
        <v>9.94</v>
      </c>
      <c r="F5010" s="2">
        <v>2</v>
      </c>
      <c r="G5010" s="2" t="s">
        <v>11</v>
      </c>
    </row>
    <row r="5011" spans="1:9" x14ac:dyDescent="0.2">
      <c r="A5011" s="2" t="s">
        <v>4147</v>
      </c>
      <c r="B5011" s="2" t="s">
        <v>1698</v>
      </c>
      <c r="C5011" s="2">
        <v>492.08409999999998</v>
      </c>
      <c r="D5011" s="2">
        <f>HYPERLINK("http://mcb-m6.bioreg.kyushu-u.ac.jp/M3/20110418/F50975/722/1", 45.16)</f>
        <v>45.16</v>
      </c>
      <c r="E5011" s="2">
        <v>27.49</v>
      </c>
      <c r="F5011" s="2">
        <v>2</v>
      </c>
      <c r="G5011" s="2" t="s">
        <v>11</v>
      </c>
    </row>
    <row r="5012" spans="1:9" x14ac:dyDescent="0.2">
      <c r="A5012" s="2" t="s">
        <v>4147</v>
      </c>
      <c r="B5012" s="2" t="s">
        <v>5403</v>
      </c>
      <c r="C5012" s="2">
        <v>671.26459999999997</v>
      </c>
      <c r="D5012" s="2">
        <f>HYPERLINK("http://mcb-m6.bioreg.kyushu-u.ac.jp/M3/20110418/F50975/1579/1", 50.66)</f>
        <v>50.66</v>
      </c>
      <c r="E5012" s="2">
        <v>37.130000000000003</v>
      </c>
      <c r="F5012" s="2">
        <v>2</v>
      </c>
      <c r="G5012" s="2" t="s">
        <v>11</v>
      </c>
    </row>
    <row r="5013" spans="1:9" x14ac:dyDescent="0.2">
      <c r="A5013" s="2" t="s">
        <v>4147</v>
      </c>
      <c r="B5013" s="2" t="s">
        <v>2531</v>
      </c>
      <c r="C5013" s="2">
        <v>778.26570000000004</v>
      </c>
      <c r="D5013" s="2">
        <f>HYPERLINK("http://mcb-m6.bioreg.kyushu-u.ac.jp/M3/20110418/F50975/2270/1", 80.6)</f>
        <v>80.599999999999994</v>
      </c>
      <c r="E5013" s="2">
        <v>57.55</v>
      </c>
      <c r="F5013" s="2">
        <v>2</v>
      </c>
      <c r="G5013" s="2" t="s">
        <v>11</v>
      </c>
    </row>
    <row r="5014" spans="1:9" x14ac:dyDescent="0.2">
      <c r="A5014" s="2" t="s">
        <v>4147</v>
      </c>
      <c r="B5014" s="2" t="s">
        <v>2103</v>
      </c>
      <c r="C5014" s="2">
        <v>790.73270000000002</v>
      </c>
      <c r="D5014" s="2">
        <f>HYPERLINK("http://mcb-m6.bioreg.kyushu-u.ac.jp/M3/20110418/F50975/2370/1", 87.73)</f>
        <v>87.73</v>
      </c>
      <c r="E5014" s="2">
        <v>74.7</v>
      </c>
      <c r="F5014" s="2">
        <v>2</v>
      </c>
      <c r="G5014" s="2" t="s">
        <v>11</v>
      </c>
    </row>
    <row r="5015" spans="1:9" x14ac:dyDescent="0.2">
      <c r="A5015" s="2" t="s">
        <v>4147</v>
      </c>
      <c r="B5015" s="2" t="s">
        <v>2103</v>
      </c>
      <c r="C5015" s="2">
        <v>790.76120000000003</v>
      </c>
      <c r="D5015" s="2">
        <f>HYPERLINK("http://mcb-m6.bioreg.kyushu-u.ac.jp/M3/20110418/F50976/2338/1", 97.92)</f>
        <v>97.92</v>
      </c>
      <c r="E5015" s="2">
        <v>81.430000000000007</v>
      </c>
      <c r="F5015" s="2">
        <v>2</v>
      </c>
      <c r="G5015" s="2" t="s">
        <v>11</v>
      </c>
    </row>
    <row r="5016" spans="1:9" x14ac:dyDescent="0.2">
      <c r="A5016" s="2" t="s">
        <v>4147</v>
      </c>
      <c r="B5016" s="2" t="s">
        <v>1698</v>
      </c>
      <c r="C5016" s="2">
        <v>491.90010000000001</v>
      </c>
      <c r="D5016" s="2">
        <f>HYPERLINK("http://mcb-m6.bioreg.kyushu-u.ac.jp/M3/20110418/F50985/1711/1", 35.75)</f>
        <v>35.75</v>
      </c>
      <c r="E5016" s="2">
        <v>19.170000000000002</v>
      </c>
      <c r="F5016" s="2">
        <v>2</v>
      </c>
      <c r="G5016" s="2" t="s">
        <v>12</v>
      </c>
    </row>
    <row r="5017" spans="1:9" x14ac:dyDescent="0.2">
      <c r="A5017" s="2" t="s">
        <v>4147</v>
      </c>
      <c r="B5017" s="2" t="s">
        <v>2531</v>
      </c>
      <c r="C5017" s="2">
        <v>778.32169999999996</v>
      </c>
      <c r="D5017" s="2">
        <f>HYPERLINK("http://mcb-m6.bioreg.kyushu-u.ac.jp/M3/20110418/F50985/2306/1", 91.37)</f>
        <v>91.37</v>
      </c>
      <c r="E5017" s="2">
        <v>62.97</v>
      </c>
      <c r="F5017" s="2">
        <v>2</v>
      </c>
      <c r="G5017" s="2" t="s">
        <v>12</v>
      </c>
    </row>
    <row r="5018" spans="1:9" x14ac:dyDescent="0.2">
      <c r="A5018" s="2" t="s">
        <v>4147</v>
      </c>
      <c r="B5018" s="2" t="s">
        <v>1698</v>
      </c>
      <c r="C5018" s="2">
        <v>492.31709999999998</v>
      </c>
      <c r="D5018" s="2">
        <f>HYPERLINK("http://mcb-m6.bioreg.kyushu-u.ac.jp/M3/20110502/F51158/704/1", 51.22)</f>
        <v>51.22</v>
      </c>
      <c r="E5018" s="2">
        <v>24.53</v>
      </c>
      <c r="F5018" s="2">
        <v>2</v>
      </c>
      <c r="G5018" s="2" t="s">
        <v>13</v>
      </c>
    </row>
    <row r="5019" spans="1:9" x14ac:dyDescent="0.2">
      <c r="A5019" s="2" t="s">
        <v>4147</v>
      </c>
      <c r="B5019" s="2" t="s">
        <v>5350</v>
      </c>
      <c r="C5019" s="2">
        <v>475.22460000000001</v>
      </c>
      <c r="D5019" s="2">
        <f>HYPERLINK("http://mcb-m6.bioreg.kyushu-u.ac.jp/M3/20110429/F51152/758/1", 52.52)</f>
        <v>52.52</v>
      </c>
      <c r="E5019" s="2">
        <v>17.579999999999998</v>
      </c>
      <c r="F5019" s="2">
        <v>2</v>
      </c>
      <c r="G5019" s="2" t="s">
        <v>13</v>
      </c>
    </row>
    <row r="5020" spans="1:9" x14ac:dyDescent="0.2">
      <c r="A5020" s="2" t="s">
        <v>4147</v>
      </c>
      <c r="B5020" s="2" t="s">
        <v>2531</v>
      </c>
      <c r="C5020" s="2">
        <v>778.79610000000002</v>
      </c>
      <c r="D5020" s="2">
        <f>HYPERLINK("http://mcb-m6.bioreg.kyushu-u.ac.jp/M3/20110502/F51158/2090/1", 68.68)</f>
        <v>68.680000000000007</v>
      </c>
      <c r="E5020" s="2">
        <v>53.33</v>
      </c>
      <c r="F5020" s="2">
        <v>2</v>
      </c>
      <c r="G5020" s="2" t="s">
        <v>13</v>
      </c>
    </row>
    <row r="5021" spans="1:9" x14ac:dyDescent="0.2">
      <c r="A5021" s="2" t="s">
        <v>4147</v>
      </c>
      <c r="B5021" s="2" t="s">
        <v>1698</v>
      </c>
      <c r="C5021" s="2">
        <v>492.25560000000002</v>
      </c>
      <c r="D5021" s="2">
        <f>HYPERLINK("http://mcb-m6.bioreg.kyushu-u.ac.jp/M3/20110428/F51141/669/1", 36.89)</f>
        <v>36.89</v>
      </c>
      <c r="E5021" s="2">
        <v>12.96</v>
      </c>
      <c r="F5021" s="2">
        <v>2</v>
      </c>
      <c r="G5021" s="2" t="s">
        <v>14</v>
      </c>
    </row>
    <row r="5022" spans="1:9" x14ac:dyDescent="0.2">
      <c r="A5022" s="2" t="s">
        <v>4147</v>
      </c>
      <c r="B5022" s="2" t="s">
        <v>1698</v>
      </c>
      <c r="C5022" s="2">
        <v>492.8091</v>
      </c>
      <c r="D5022" s="2">
        <f>HYPERLINK("http://mcb-m6.bioreg.kyushu-u.ac.jp/M3/20110428/F51141/670/1", 44.51)</f>
        <v>44.51</v>
      </c>
      <c r="E5022" s="2">
        <v>19.78</v>
      </c>
      <c r="F5022" s="2">
        <v>2</v>
      </c>
      <c r="G5022" s="2" t="s">
        <v>14</v>
      </c>
    </row>
    <row r="5023" spans="1:9" x14ac:dyDescent="0.2">
      <c r="A5023" s="2" t="s">
        <v>4147</v>
      </c>
      <c r="B5023" s="2" t="s">
        <v>5403</v>
      </c>
      <c r="C5023" s="2">
        <v>670.85109999999997</v>
      </c>
      <c r="D5023" s="2">
        <f>HYPERLINK("http://mcb-m6.bioreg.kyushu-u.ac.jp/M3/20110428/F51141/1497/1", 55.93)</f>
        <v>55.93</v>
      </c>
      <c r="E5023" s="2">
        <v>37.5</v>
      </c>
      <c r="F5023" s="2">
        <v>2</v>
      </c>
      <c r="G5023" s="2" t="s">
        <v>14</v>
      </c>
    </row>
    <row r="5024" spans="1:9" x14ac:dyDescent="0.2">
      <c r="A5024" s="2" t="s">
        <v>4147</v>
      </c>
      <c r="B5024" s="2" t="s">
        <v>5590</v>
      </c>
      <c r="C5024" s="2">
        <v>832.02809999999999</v>
      </c>
      <c r="D5024" s="2">
        <f>HYPERLINK("http://mcb-m6.bioreg.kyushu-u.ac.jp/M3/20110428/F51141/2485/1", 59.03)</f>
        <v>59.03</v>
      </c>
      <c r="E5024" s="2">
        <v>43.46</v>
      </c>
      <c r="F5024" s="2">
        <v>2</v>
      </c>
      <c r="G5024" s="2" t="s">
        <v>14</v>
      </c>
      <c r="H5024" s="2" t="s">
        <v>4904</v>
      </c>
      <c r="I5024" s="2" t="s">
        <v>4923</v>
      </c>
    </row>
    <row r="5025" spans="1:9" x14ac:dyDescent="0.2">
      <c r="A5025" s="2" t="s">
        <v>4147</v>
      </c>
      <c r="B5025" s="2" t="s">
        <v>2531</v>
      </c>
      <c r="C5025" s="2">
        <v>778.38369999999998</v>
      </c>
      <c r="D5025" s="2">
        <f>HYPERLINK("http://mcb-m6.bioreg.kyushu-u.ac.jp/M3/20110428/F51141/2169/1", 80.74)</f>
        <v>80.739999999999995</v>
      </c>
      <c r="E5025" s="2">
        <v>62.96</v>
      </c>
      <c r="F5025" s="2">
        <v>2</v>
      </c>
      <c r="G5025" s="2" t="s">
        <v>14</v>
      </c>
    </row>
    <row r="5026" spans="1:9" x14ac:dyDescent="0.2">
      <c r="A5026" s="2" t="s">
        <v>4443</v>
      </c>
      <c r="B5026" s="2" t="s">
        <v>5522</v>
      </c>
      <c r="C5026" s="2">
        <v>626.42219999999998</v>
      </c>
      <c r="D5026" s="2">
        <f>HYPERLINK("http://mcb-m6.bioreg.kyushu-u.ac.jp/M3/20110428/F51147/1614/1", 48.9)</f>
        <v>48.9</v>
      </c>
      <c r="E5026" s="2">
        <v>34.479999999999997</v>
      </c>
      <c r="F5026" s="2">
        <v>2</v>
      </c>
      <c r="G5026" s="2" t="s">
        <v>13</v>
      </c>
    </row>
    <row r="5027" spans="1:9" x14ac:dyDescent="0.2">
      <c r="A5027" s="2" t="s">
        <v>5845</v>
      </c>
      <c r="B5027" s="2" t="s">
        <v>5538</v>
      </c>
      <c r="C5027" s="2">
        <v>567.15120000000002</v>
      </c>
      <c r="D5027" s="2">
        <f>HYPERLINK("http://mcb-m6.bioreg.kyushu-u.ac.jp/M3/20110429/F51152/1113/1", 60.86)</f>
        <v>60.86</v>
      </c>
      <c r="E5027" s="2">
        <v>44.2</v>
      </c>
      <c r="F5027" s="2">
        <v>2</v>
      </c>
      <c r="G5027" s="2" t="s">
        <v>13</v>
      </c>
      <c r="I5027" s="2" t="s">
        <v>4923</v>
      </c>
    </row>
    <row r="5028" spans="1:9" x14ac:dyDescent="0.2">
      <c r="A5028" s="2" t="s">
        <v>4476</v>
      </c>
      <c r="B5028" s="2" t="s">
        <v>2419</v>
      </c>
      <c r="C5028" s="2">
        <v>666.71669999999995</v>
      </c>
      <c r="D5028" s="2">
        <f>HYPERLINK("http://mcb-m6.bioreg.kyushu-u.ac.jp/M3/20110418/F50984/1924/1", 35.19)</f>
        <v>35.19</v>
      </c>
      <c r="E5028" s="2">
        <v>15.62</v>
      </c>
      <c r="F5028" s="2">
        <v>2</v>
      </c>
      <c r="G5028" s="2" t="s">
        <v>12</v>
      </c>
    </row>
    <row r="5029" spans="1:9" x14ac:dyDescent="0.2">
      <c r="A5029" s="2" t="s">
        <v>3267</v>
      </c>
      <c r="B5029" s="2" t="s">
        <v>697</v>
      </c>
      <c r="C5029" s="2">
        <v>488.89490000000001</v>
      </c>
      <c r="D5029" s="2">
        <f>HYPERLINK("http://mcb-m6.bioreg.kyushu-u.ac.jp/M3/20110318/F50604/1510/1", 36.42)</f>
        <v>36.42</v>
      </c>
      <c r="E5029" s="2">
        <v>23.92</v>
      </c>
      <c r="F5029" s="2">
        <v>3</v>
      </c>
      <c r="G5029" s="2" t="s">
        <v>9</v>
      </c>
    </row>
    <row r="5030" spans="1:9" x14ac:dyDescent="0.2">
      <c r="A5030" s="2" t="s">
        <v>3267</v>
      </c>
      <c r="B5030" s="2" t="s">
        <v>2906</v>
      </c>
      <c r="C5030" s="2">
        <v>500.45159999999998</v>
      </c>
      <c r="D5030" s="2">
        <f>HYPERLINK("http://mcb-m6.bioreg.kyushu-u.ac.jp/M3/20110318/F50618/800/1", 36.61)</f>
        <v>36.61</v>
      </c>
      <c r="E5030" s="2">
        <v>10.7</v>
      </c>
      <c r="F5030" s="2">
        <v>2</v>
      </c>
      <c r="G5030" s="2" t="s">
        <v>9</v>
      </c>
    </row>
    <row r="5031" spans="1:9" x14ac:dyDescent="0.2">
      <c r="A5031" s="2" t="s">
        <v>3267</v>
      </c>
      <c r="B5031" s="2" t="s">
        <v>1923</v>
      </c>
      <c r="C5031" s="2">
        <v>544.69619999999998</v>
      </c>
      <c r="D5031" s="2">
        <f>HYPERLINK("http://mcb-m6.bioreg.kyushu-u.ac.jp/M3/20110318/F50618/938/1", 36.63)</f>
        <v>36.630000000000003</v>
      </c>
      <c r="E5031" s="2">
        <v>10.9</v>
      </c>
      <c r="F5031" s="2">
        <v>2</v>
      </c>
      <c r="G5031" s="2" t="s">
        <v>9</v>
      </c>
    </row>
    <row r="5032" spans="1:9" x14ac:dyDescent="0.2">
      <c r="A5032" s="2" t="s">
        <v>3267</v>
      </c>
      <c r="B5032" s="2" t="s">
        <v>697</v>
      </c>
      <c r="C5032" s="2">
        <v>733.27009999999996</v>
      </c>
      <c r="D5032" s="2">
        <f>HYPERLINK("http://mcb-m6.bioreg.kyushu-u.ac.jp/M3/20110318/F50620/1583/1", 36.75)</f>
        <v>36.75</v>
      </c>
      <c r="E5032" s="2">
        <v>9.4600000000000009</v>
      </c>
      <c r="F5032" s="2">
        <v>2</v>
      </c>
      <c r="G5032" s="2" t="s">
        <v>9</v>
      </c>
    </row>
    <row r="5033" spans="1:9" x14ac:dyDescent="0.2">
      <c r="A5033" s="2" t="s">
        <v>3267</v>
      </c>
      <c r="B5033" s="2" t="s">
        <v>1353</v>
      </c>
      <c r="C5033" s="2">
        <v>825.02560000000005</v>
      </c>
      <c r="D5033" s="2">
        <f>HYPERLINK("http://mcb-m6.bioreg.kyushu-u.ac.jp/M3/20110318/F50602/1758/1", 36.87)</f>
        <v>36.869999999999997</v>
      </c>
      <c r="E5033" s="2">
        <v>23.39</v>
      </c>
      <c r="F5033" s="2">
        <v>2</v>
      </c>
      <c r="G5033" s="2" t="s">
        <v>9</v>
      </c>
    </row>
    <row r="5034" spans="1:9" x14ac:dyDescent="0.2">
      <c r="A5034" s="2" t="s">
        <v>3267</v>
      </c>
      <c r="B5034" s="2" t="s">
        <v>223</v>
      </c>
      <c r="C5034" s="2">
        <v>782.57370000000003</v>
      </c>
      <c r="D5034" s="2">
        <f>HYPERLINK("http://mcb-m6.bioreg.kyushu-u.ac.jp/M3/20110318/F50605/1806/1", 38.14)</f>
        <v>38.14</v>
      </c>
      <c r="E5034" s="2">
        <v>17.72</v>
      </c>
      <c r="F5034" s="2">
        <v>2</v>
      </c>
      <c r="G5034" s="2" t="s">
        <v>9</v>
      </c>
    </row>
    <row r="5035" spans="1:9" x14ac:dyDescent="0.2">
      <c r="A5035" s="2" t="s">
        <v>3267</v>
      </c>
      <c r="B5035" s="2" t="s">
        <v>1526</v>
      </c>
      <c r="C5035" s="2">
        <v>619.75620000000004</v>
      </c>
      <c r="D5035" s="2">
        <f>HYPERLINK("http://mcb-m6.bioreg.kyushu-u.ac.jp/M3/20110318/F50618/1146/1", 38.53)</f>
        <v>38.53</v>
      </c>
      <c r="E5035" s="2">
        <v>14.59</v>
      </c>
      <c r="F5035" s="2">
        <v>2</v>
      </c>
      <c r="G5035" s="2" t="s">
        <v>9</v>
      </c>
    </row>
    <row r="5036" spans="1:9" x14ac:dyDescent="0.2">
      <c r="A5036" s="2" t="s">
        <v>3267</v>
      </c>
      <c r="B5036" s="2" t="s">
        <v>5013</v>
      </c>
      <c r="C5036" s="2">
        <v>513.04359999999997</v>
      </c>
      <c r="D5036" s="2">
        <f>HYPERLINK("http://mcb-m6.bioreg.kyushu-u.ac.jp/M3/20110318/F50605/949/1", 38.67)</f>
        <v>38.67</v>
      </c>
      <c r="E5036" s="2">
        <v>11.44</v>
      </c>
      <c r="F5036" s="2">
        <v>2</v>
      </c>
      <c r="G5036" s="2" t="s">
        <v>9</v>
      </c>
    </row>
    <row r="5037" spans="1:9" x14ac:dyDescent="0.2">
      <c r="A5037" s="2" t="s">
        <v>3267</v>
      </c>
      <c r="B5037" s="2" t="s">
        <v>433</v>
      </c>
      <c r="C5037" s="2">
        <v>819.27809999999999</v>
      </c>
      <c r="D5037" s="2">
        <f>HYPERLINK("http://mcb-m6.bioreg.kyushu-u.ac.jp/M3/20110318/F50618/2011/1", 38.79)</f>
        <v>38.79</v>
      </c>
      <c r="E5037" s="2">
        <v>26.89</v>
      </c>
      <c r="F5037" s="2">
        <v>2</v>
      </c>
      <c r="G5037" s="2" t="s">
        <v>9</v>
      </c>
    </row>
    <row r="5038" spans="1:9" x14ac:dyDescent="0.2">
      <c r="A5038" s="2" t="s">
        <v>3267</v>
      </c>
      <c r="B5038" s="2" t="s">
        <v>97</v>
      </c>
      <c r="C5038" s="2">
        <v>1337.355</v>
      </c>
      <c r="D5038" s="2">
        <f>HYPERLINK("http://mcb-m6.bioreg.kyushu-u.ac.jp/M3/20110318/F50605/1310/1", 39.01)</f>
        <v>39.01</v>
      </c>
      <c r="E5038" s="2">
        <v>22.44</v>
      </c>
      <c r="F5038" s="2">
        <v>1</v>
      </c>
      <c r="G5038" s="2" t="s">
        <v>9</v>
      </c>
    </row>
    <row r="5039" spans="1:9" x14ac:dyDescent="0.2">
      <c r="A5039" s="2" t="s">
        <v>3267</v>
      </c>
      <c r="B5039" s="2" t="s">
        <v>97</v>
      </c>
      <c r="C5039" s="2">
        <v>668.71810000000005</v>
      </c>
      <c r="D5039" s="2">
        <f>HYPERLINK("http://mcb-m6.bioreg.kyushu-u.ac.jp/M3/20110318/F50609/1421/1", 39.14)</f>
        <v>39.14</v>
      </c>
      <c r="E5039" s="2">
        <v>21.32</v>
      </c>
      <c r="F5039" s="2">
        <v>2</v>
      </c>
      <c r="G5039" s="2" t="s">
        <v>9</v>
      </c>
    </row>
    <row r="5040" spans="1:9" x14ac:dyDescent="0.2">
      <c r="A5040" s="2" t="s">
        <v>3267</v>
      </c>
      <c r="B5040" s="2" t="s">
        <v>433</v>
      </c>
      <c r="C5040" s="2">
        <v>819.35109999999997</v>
      </c>
      <c r="D5040" s="2">
        <f>HYPERLINK("http://mcb-m6.bioreg.kyushu-u.ac.jp/M3/20110318/F50608/1804/1", 39.23)</f>
        <v>39.229999999999997</v>
      </c>
      <c r="E5040" s="2">
        <v>20.420000000000002</v>
      </c>
      <c r="F5040" s="2">
        <v>2</v>
      </c>
      <c r="G5040" s="2" t="s">
        <v>9</v>
      </c>
    </row>
    <row r="5041" spans="1:8" x14ac:dyDescent="0.2">
      <c r="A5041" s="2" t="s">
        <v>3267</v>
      </c>
      <c r="B5041" s="2" t="s">
        <v>602</v>
      </c>
      <c r="C5041" s="2">
        <v>742.47270000000003</v>
      </c>
      <c r="D5041" s="2">
        <f>HYPERLINK("http://mcb-m6.bioreg.kyushu-u.ac.jp/M3/20110318/F50605/1576/1", 39.41)</f>
        <v>39.409999999999997</v>
      </c>
      <c r="E5041" s="2">
        <v>29.24</v>
      </c>
      <c r="F5041" s="2">
        <v>2</v>
      </c>
      <c r="G5041" s="2" t="s">
        <v>9</v>
      </c>
    </row>
    <row r="5042" spans="1:8" x14ac:dyDescent="0.2">
      <c r="A5042" s="2" t="s">
        <v>3267</v>
      </c>
      <c r="B5042" s="2" t="s">
        <v>697</v>
      </c>
      <c r="C5042" s="2">
        <v>732.86720000000003</v>
      </c>
      <c r="D5042" s="2">
        <f>HYPERLINK("http://mcb-m6.bioreg.kyushu-u.ac.jp/M3/20110318/F50601/1530/1", 40.53)</f>
        <v>40.53</v>
      </c>
      <c r="E5042" s="2">
        <v>17.87</v>
      </c>
      <c r="F5042" s="2">
        <v>2</v>
      </c>
      <c r="G5042" s="2" t="s">
        <v>9</v>
      </c>
    </row>
    <row r="5043" spans="1:8" x14ac:dyDescent="0.2">
      <c r="A5043" s="2" t="s">
        <v>3267</v>
      </c>
      <c r="B5043" s="2" t="s">
        <v>1606</v>
      </c>
      <c r="C5043" s="2">
        <v>1723.9880000000001</v>
      </c>
      <c r="D5043" s="2">
        <f>HYPERLINK("http://mcb-m6.bioreg.kyushu-u.ac.jp/M3/20110318/F50605/2118/1", 41.26)</f>
        <v>41.26</v>
      </c>
      <c r="E5043" s="2">
        <v>27.29</v>
      </c>
      <c r="F5043" s="2">
        <v>1</v>
      </c>
      <c r="G5043" s="2" t="s">
        <v>9</v>
      </c>
    </row>
    <row r="5044" spans="1:8" x14ac:dyDescent="0.2">
      <c r="A5044" s="2" t="s">
        <v>3267</v>
      </c>
      <c r="B5044" s="2" t="s">
        <v>491</v>
      </c>
      <c r="C5044" s="2">
        <v>511.63150000000002</v>
      </c>
      <c r="D5044" s="2">
        <f>HYPERLINK("http://mcb-m6.bioreg.kyushu-u.ac.jp/M3/20110318/F50605/1725/1", 41.37)</f>
        <v>41.37</v>
      </c>
      <c r="E5044" s="2">
        <v>29.55</v>
      </c>
      <c r="F5044" s="2">
        <v>3</v>
      </c>
      <c r="G5044" s="2" t="s">
        <v>9</v>
      </c>
    </row>
    <row r="5045" spans="1:8" x14ac:dyDescent="0.2">
      <c r="A5045" s="2" t="s">
        <v>3267</v>
      </c>
      <c r="B5045" s="2" t="s">
        <v>433</v>
      </c>
      <c r="C5045" s="2">
        <v>819.6857</v>
      </c>
      <c r="D5045" s="2">
        <f>HYPERLINK("http://mcb-m6.bioreg.kyushu-u.ac.jp/M3/20110318/F50605/1939/1", 42.02)</f>
        <v>42.02</v>
      </c>
      <c r="E5045" s="2">
        <v>32.520000000000003</v>
      </c>
      <c r="F5045" s="2">
        <v>2</v>
      </c>
      <c r="G5045" s="2" t="s">
        <v>9</v>
      </c>
    </row>
    <row r="5046" spans="1:8" x14ac:dyDescent="0.2">
      <c r="A5046" s="2" t="s">
        <v>3267</v>
      </c>
      <c r="B5046" s="2" t="s">
        <v>491</v>
      </c>
      <c r="C5046" s="2">
        <v>766.14070000000004</v>
      </c>
      <c r="D5046" s="2">
        <f>HYPERLINK("http://mcb-m6.bioreg.kyushu-u.ac.jp/M3/20110318/F50605/1707/1", 42.06)</f>
        <v>42.06</v>
      </c>
      <c r="E5046" s="2">
        <v>28.08</v>
      </c>
      <c r="F5046" s="2">
        <v>2</v>
      </c>
      <c r="G5046" s="2" t="s">
        <v>9</v>
      </c>
    </row>
    <row r="5047" spans="1:8" x14ac:dyDescent="0.2">
      <c r="A5047" s="2" t="s">
        <v>3267</v>
      </c>
      <c r="B5047" s="2" t="s">
        <v>568</v>
      </c>
      <c r="C5047" s="2">
        <v>852.62800000000004</v>
      </c>
      <c r="D5047" s="2">
        <f>HYPERLINK("http://mcb-m6.bioreg.kyushu-u.ac.jp/M3/20110318/F50605/752/1", 42.28)</f>
        <v>42.28</v>
      </c>
      <c r="E5047" s="2">
        <v>27.63</v>
      </c>
      <c r="F5047" s="2">
        <v>1</v>
      </c>
      <c r="G5047" s="2" t="s">
        <v>9</v>
      </c>
      <c r="H5047" s="2" t="s">
        <v>4917</v>
      </c>
    </row>
    <row r="5048" spans="1:8" x14ac:dyDescent="0.2">
      <c r="A5048" s="2" t="s">
        <v>3267</v>
      </c>
      <c r="B5048" s="2" t="s">
        <v>97</v>
      </c>
      <c r="C5048" s="2">
        <v>668.98969999999997</v>
      </c>
      <c r="D5048" s="2">
        <f>HYPERLINK("http://mcb-m6.bioreg.kyushu-u.ac.jp/M3/20110318/F50608/1290/1", 42.61)</f>
        <v>42.61</v>
      </c>
      <c r="E5048" s="2">
        <v>23.56</v>
      </c>
      <c r="F5048" s="2">
        <v>2</v>
      </c>
      <c r="G5048" s="2" t="s">
        <v>9</v>
      </c>
    </row>
    <row r="5049" spans="1:8" x14ac:dyDescent="0.2">
      <c r="A5049" s="2" t="s">
        <v>3267</v>
      </c>
      <c r="B5049" s="2" t="s">
        <v>568</v>
      </c>
      <c r="C5049" s="2">
        <v>836.59900000000005</v>
      </c>
      <c r="D5049" s="2">
        <f>HYPERLINK("http://mcb-m6.bioreg.kyushu-u.ac.jp/M3/20110318/F50605/739/1", 42.69)</f>
        <v>42.69</v>
      </c>
      <c r="E5049" s="2">
        <v>26.03</v>
      </c>
      <c r="F5049" s="2">
        <v>1</v>
      </c>
      <c r="G5049" s="2" t="s">
        <v>9</v>
      </c>
    </row>
    <row r="5050" spans="1:8" x14ac:dyDescent="0.2">
      <c r="A5050" s="2" t="s">
        <v>3267</v>
      </c>
      <c r="B5050" s="2" t="s">
        <v>97</v>
      </c>
      <c r="C5050" s="2">
        <v>669.12070000000006</v>
      </c>
      <c r="D5050" s="2">
        <f>HYPERLINK("http://mcb-m6.bioreg.kyushu-u.ac.jp/M3/20110318/F50606/1235/1", 42.8)</f>
        <v>42.8</v>
      </c>
      <c r="E5050" s="2">
        <v>12.91</v>
      </c>
      <c r="F5050" s="2">
        <v>2</v>
      </c>
      <c r="G5050" s="2" t="s">
        <v>9</v>
      </c>
    </row>
    <row r="5051" spans="1:8" x14ac:dyDescent="0.2">
      <c r="A5051" s="2" t="s">
        <v>3267</v>
      </c>
      <c r="B5051" s="2" t="s">
        <v>433</v>
      </c>
      <c r="C5051" s="2">
        <v>546.96010000000001</v>
      </c>
      <c r="D5051" s="2">
        <f>HYPERLINK("http://mcb-m6.bioreg.kyushu-u.ac.jp/M3/20110318/F50605/1943/1", 43.34)</f>
        <v>43.34</v>
      </c>
      <c r="E5051" s="2">
        <v>23.43</v>
      </c>
      <c r="F5051" s="2">
        <v>3</v>
      </c>
      <c r="G5051" s="2" t="s">
        <v>9</v>
      </c>
    </row>
    <row r="5052" spans="1:8" x14ac:dyDescent="0.2">
      <c r="A5052" s="2" t="s">
        <v>3267</v>
      </c>
      <c r="B5052" s="2" t="s">
        <v>697</v>
      </c>
      <c r="C5052" s="2">
        <v>733.07069999999999</v>
      </c>
      <c r="D5052" s="2">
        <f>HYPERLINK("http://mcb-m6.bioreg.kyushu-u.ac.jp/M3/20110318/F50605/1513/1", 44.32)</f>
        <v>44.32</v>
      </c>
      <c r="E5052" s="2">
        <v>21.17</v>
      </c>
      <c r="F5052" s="2">
        <v>2</v>
      </c>
      <c r="G5052" s="2" t="s">
        <v>9</v>
      </c>
    </row>
    <row r="5053" spans="1:8" x14ac:dyDescent="0.2">
      <c r="A5053" s="2" t="s">
        <v>3267</v>
      </c>
      <c r="B5053" s="2" t="s">
        <v>697</v>
      </c>
      <c r="C5053" s="2">
        <v>733.02760000000001</v>
      </c>
      <c r="D5053" s="2">
        <f>HYPERLINK("http://mcb-m6.bioreg.kyushu-u.ac.jp/M3/20110318/F50607/1478/1", 44.43)</f>
        <v>44.43</v>
      </c>
      <c r="E5053" s="2">
        <v>19.09</v>
      </c>
      <c r="F5053" s="2">
        <v>2</v>
      </c>
      <c r="G5053" s="2" t="s">
        <v>9</v>
      </c>
    </row>
    <row r="5054" spans="1:8" x14ac:dyDescent="0.2">
      <c r="A5054" s="2" t="s">
        <v>3267</v>
      </c>
      <c r="B5054" s="2" t="s">
        <v>491</v>
      </c>
      <c r="C5054" s="2">
        <v>766.56870000000004</v>
      </c>
      <c r="D5054" s="2">
        <f>HYPERLINK("http://mcb-m6.bioreg.kyushu-u.ac.jp/M3/20110318/F50605/1714/1", 44.71)</f>
        <v>44.71</v>
      </c>
      <c r="E5054" s="2">
        <v>31.56</v>
      </c>
      <c r="F5054" s="2">
        <v>2</v>
      </c>
      <c r="G5054" s="2" t="s">
        <v>9</v>
      </c>
    </row>
    <row r="5055" spans="1:8" x14ac:dyDescent="0.2">
      <c r="A5055" s="2" t="s">
        <v>3267</v>
      </c>
      <c r="B5055" s="2" t="s">
        <v>433</v>
      </c>
      <c r="C5055" s="2">
        <v>819.28219999999999</v>
      </c>
      <c r="D5055" s="2">
        <f>HYPERLINK("http://mcb-m6.bioreg.kyushu-u.ac.jp/M3/20110318/F50618/2012/1", 45.11)</f>
        <v>45.11</v>
      </c>
      <c r="E5055" s="2">
        <v>31.95</v>
      </c>
      <c r="F5055" s="2">
        <v>2</v>
      </c>
      <c r="G5055" s="2" t="s">
        <v>9</v>
      </c>
    </row>
    <row r="5056" spans="1:8" x14ac:dyDescent="0.2">
      <c r="A5056" s="2" t="s">
        <v>3267</v>
      </c>
      <c r="B5056" s="2" t="s">
        <v>97</v>
      </c>
      <c r="C5056" s="2">
        <v>669.23419999999999</v>
      </c>
      <c r="D5056" s="2">
        <f>HYPERLINK("http://mcb-m6.bioreg.kyushu-u.ac.jp/M3/20110318/F50605/1311/1", 46.76)</f>
        <v>46.76</v>
      </c>
      <c r="E5056" s="2">
        <v>27.33</v>
      </c>
      <c r="F5056" s="2">
        <v>2</v>
      </c>
      <c r="G5056" s="2" t="s">
        <v>9</v>
      </c>
    </row>
    <row r="5057" spans="1:8" x14ac:dyDescent="0.2">
      <c r="A5057" s="2" t="s">
        <v>3267</v>
      </c>
      <c r="B5057" s="2" t="s">
        <v>47</v>
      </c>
      <c r="C5057" s="2">
        <v>557.55909999999994</v>
      </c>
      <c r="D5057" s="2">
        <f>HYPERLINK("http://mcb-m6.bioreg.kyushu-u.ac.jp/M3/20110318/F50605/1078/1", 47.32)</f>
        <v>47.32</v>
      </c>
      <c r="E5057" s="2">
        <v>16.420000000000002</v>
      </c>
      <c r="F5057" s="2">
        <v>2</v>
      </c>
      <c r="G5057" s="2" t="s">
        <v>9</v>
      </c>
    </row>
    <row r="5058" spans="1:8" x14ac:dyDescent="0.2">
      <c r="A5058" s="2" t="s">
        <v>3267</v>
      </c>
      <c r="B5058" s="2" t="s">
        <v>491</v>
      </c>
      <c r="C5058" s="2">
        <v>766.58069999999998</v>
      </c>
      <c r="D5058" s="2">
        <f>HYPERLINK("http://mcb-m6.bioreg.kyushu-u.ac.jp/M3/20110318/F50605/1715/1", 48.28)</f>
        <v>48.28</v>
      </c>
      <c r="E5058" s="2">
        <v>32.979999999999997</v>
      </c>
      <c r="F5058" s="2">
        <v>2</v>
      </c>
      <c r="G5058" s="2" t="s">
        <v>9</v>
      </c>
    </row>
    <row r="5059" spans="1:8" x14ac:dyDescent="0.2">
      <c r="A5059" s="2" t="s">
        <v>3267</v>
      </c>
      <c r="B5059" s="2" t="s">
        <v>97</v>
      </c>
      <c r="C5059" s="2">
        <v>668.98720000000003</v>
      </c>
      <c r="D5059" s="2">
        <f>HYPERLINK("http://mcb-m6.bioreg.kyushu-u.ac.jp/M3/20110318/F50607/1301/1", 48.35)</f>
        <v>48.35</v>
      </c>
      <c r="E5059" s="2">
        <v>25.95</v>
      </c>
      <c r="F5059" s="2">
        <v>2</v>
      </c>
      <c r="G5059" s="2" t="s">
        <v>9</v>
      </c>
    </row>
    <row r="5060" spans="1:8" x14ac:dyDescent="0.2">
      <c r="A5060" s="2" t="s">
        <v>3267</v>
      </c>
      <c r="B5060" s="2" t="s">
        <v>433</v>
      </c>
      <c r="C5060" s="2">
        <v>819.63019999999995</v>
      </c>
      <c r="D5060" s="2">
        <f>HYPERLINK("http://mcb-m6.bioreg.kyushu-u.ac.jp/M3/20110318/F50605/1937/1", 48.46)</f>
        <v>48.46</v>
      </c>
      <c r="E5060" s="2">
        <v>34.729999999999997</v>
      </c>
      <c r="F5060" s="2">
        <v>2</v>
      </c>
      <c r="G5060" s="2" t="s">
        <v>9</v>
      </c>
    </row>
    <row r="5061" spans="1:8" x14ac:dyDescent="0.2">
      <c r="A5061" s="2" t="s">
        <v>3267</v>
      </c>
      <c r="B5061" s="2" t="s">
        <v>855</v>
      </c>
      <c r="C5061" s="2">
        <v>499.0616</v>
      </c>
      <c r="D5061" s="2">
        <f>HYPERLINK("http://mcb-m6.bioreg.kyushu-u.ac.jp/M3/20110318/F50605/899/1", 48.71)</f>
        <v>48.71</v>
      </c>
      <c r="E5061" s="2">
        <v>9.23</v>
      </c>
      <c r="F5061" s="2">
        <v>2</v>
      </c>
      <c r="G5061" s="2" t="s">
        <v>9</v>
      </c>
    </row>
    <row r="5062" spans="1:8" x14ac:dyDescent="0.2">
      <c r="A5062" s="2" t="s">
        <v>3267</v>
      </c>
      <c r="B5062" s="2" t="s">
        <v>223</v>
      </c>
      <c r="C5062" s="2">
        <v>790.54610000000002</v>
      </c>
      <c r="D5062" s="2">
        <f>HYPERLINK("http://mcb-m6.bioreg.kyushu-u.ac.jp/M3/20110318/F50605/1841/1", 48.95)</f>
        <v>48.95</v>
      </c>
      <c r="E5062" s="2">
        <v>27.32</v>
      </c>
      <c r="F5062" s="2">
        <v>2</v>
      </c>
      <c r="G5062" s="2" t="s">
        <v>9</v>
      </c>
      <c r="H5062" s="2" t="s">
        <v>4917</v>
      </c>
    </row>
    <row r="5063" spans="1:8" x14ac:dyDescent="0.2">
      <c r="A5063" s="2" t="s">
        <v>3267</v>
      </c>
      <c r="B5063" s="2" t="s">
        <v>433</v>
      </c>
      <c r="C5063" s="2">
        <v>819.5856</v>
      </c>
      <c r="D5063" s="2">
        <f>HYPERLINK("http://mcb-m6.bioreg.kyushu-u.ac.jp/M3/20110318/F50606/1767/1", 49.02)</f>
        <v>49.02</v>
      </c>
      <c r="E5063" s="2">
        <v>41.02</v>
      </c>
      <c r="F5063" s="2">
        <v>2</v>
      </c>
      <c r="G5063" s="2" t="s">
        <v>9</v>
      </c>
    </row>
    <row r="5064" spans="1:8" x14ac:dyDescent="0.2">
      <c r="A5064" s="2" t="s">
        <v>3267</v>
      </c>
      <c r="B5064" s="2" t="s">
        <v>97</v>
      </c>
      <c r="C5064" s="2">
        <v>669.31460000000004</v>
      </c>
      <c r="D5064" s="2">
        <f>HYPERLINK("http://mcb-m6.bioreg.kyushu-u.ac.jp/M3/20110318/F50602/1349/1", 50.2)</f>
        <v>50.2</v>
      </c>
      <c r="E5064" s="2">
        <v>30.99</v>
      </c>
      <c r="F5064" s="2">
        <v>2</v>
      </c>
      <c r="G5064" s="2" t="s">
        <v>9</v>
      </c>
    </row>
    <row r="5065" spans="1:8" x14ac:dyDescent="0.2">
      <c r="A5065" s="2" t="s">
        <v>3267</v>
      </c>
      <c r="B5065" s="2" t="s">
        <v>2906</v>
      </c>
      <c r="C5065" s="2">
        <v>500.44810000000001</v>
      </c>
      <c r="D5065" s="2">
        <f>HYPERLINK("http://mcb-m6.bioreg.kyushu-u.ac.jp/M3/20110318/F50605/904/1", 50.69)</f>
        <v>50.69</v>
      </c>
      <c r="E5065" s="2">
        <v>23.82</v>
      </c>
      <c r="F5065" s="2">
        <v>2</v>
      </c>
      <c r="G5065" s="2" t="s">
        <v>9</v>
      </c>
    </row>
    <row r="5066" spans="1:8" x14ac:dyDescent="0.2">
      <c r="A5066" s="2" t="s">
        <v>3267</v>
      </c>
      <c r="B5066" s="2" t="s">
        <v>433</v>
      </c>
      <c r="C5066" s="2">
        <v>819.22670000000005</v>
      </c>
      <c r="D5066" s="2">
        <f>HYPERLINK("http://mcb-m6.bioreg.kyushu-u.ac.jp/M3/20110318/F50620/2010/1", 51.13)</f>
        <v>51.13</v>
      </c>
      <c r="E5066" s="2">
        <v>35.39</v>
      </c>
      <c r="F5066" s="2">
        <v>2</v>
      </c>
      <c r="G5066" s="2" t="s">
        <v>9</v>
      </c>
    </row>
    <row r="5067" spans="1:8" x14ac:dyDescent="0.2">
      <c r="A5067" s="2" t="s">
        <v>3267</v>
      </c>
      <c r="B5067" s="2" t="s">
        <v>491</v>
      </c>
      <c r="C5067" s="2">
        <v>766.36220000000003</v>
      </c>
      <c r="D5067" s="2">
        <f>HYPERLINK("http://mcb-m6.bioreg.kyushu-u.ac.jp/M3/20110318/F50605/1710/1", 51.52)</f>
        <v>51.52</v>
      </c>
      <c r="E5067" s="2">
        <v>33.24</v>
      </c>
      <c r="F5067" s="2">
        <v>2</v>
      </c>
      <c r="G5067" s="2" t="s">
        <v>9</v>
      </c>
    </row>
    <row r="5068" spans="1:8" x14ac:dyDescent="0.2">
      <c r="A5068" s="2" t="s">
        <v>3267</v>
      </c>
      <c r="B5068" s="2" t="s">
        <v>491</v>
      </c>
      <c r="C5068" s="2">
        <v>766.38570000000004</v>
      </c>
      <c r="D5068" s="2">
        <f>HYPERLINK("http://mcb-m6.bioreg.kyushu-u.ac.jp/M3/20110318/F50620/1794/1", 51.73)</f>
        <v>51.73</v>
      </c>
      <c r="E5068" s="2">
        <v>32.479999999999997</v>
      </c>
      <c r="F5068" s="2">
        <v>2</v>
      </c>
      <c r="G5068" s="2" t="s">
        <v>9</v>
      </c>
    </row>
    <row r="5069" spans="1:8" x14ac:dyDescent="0.2">
      <c r="A5069" s="2" t="s">
        <v>3267</v>
      </c>
      <c r="B5069" s="2" t="s">
        <v>97</v>
      </c>
      <c r="C5069" s="2">
        <v>668.72670000000005</v>
      </c>
      <c r="D5069" s="2">
        <f>HYPERLINK("http://mcb-m6.bioreg.kyushu-u.ac.jp/M3/20110318/F50620/1386/1", 51.86)</f>
        <v>51.86</v>
      </c>
      <c r="E5069" s="2">
        <v>28.93</v>
      </c>
      <c r="F5069" s="2">
        <v>2</v>
      </c>
      <c r="G5069" s="2" t="s">
        <v>9</v>
      </c>
    </row>
    <row r="5070" spans="1:8" x14ac:dyDescent="0.2">
      <c r="A5070" s="2" t="s">
        <v>3267</v>
      </c>
      <c r="B5070" s="2" t="s">
        <v>2539</v>
      </c>
      <c r="C5070" s="2">
        <v>598.86379999999997</v>
      </c>
      <c r="D5070" s="2">
        <f>HYPERLINK("http://mcb-m6.bioreg.kyushu-u.ac.jp/M3/20110318/F50605/2211/1", 52.28)</f>
        <v>52.28</v>
      </c>
      <c r="E5070" s="2">
        <v>36.51</v>
      </c>
      <c r="F5070" s="2">
        <v>3</v>
      </c>
      <c r="G5070" s="2" t="s">
        <v>9</v>
      </c>
    </row>
    <row r="5071" spans="1:8" x14ac:dyDescent="0.2">
      <c r="A5071" s="2" t="s">
        <v>3267</v>
      </c>
      <c r="B5071" s="2" t="s">
        <v>433</v>
      </c>
      <c r="C5071" s="2">
        <v>819.71969999999999</v>
      </c>
      <c r="D5071" s="2">
        <f>HYPERLINK("http://mcb-m6.bioreg.kyushu-u.ac.jp/M3/20110318/F50608/1807/1", 52.37)</f>
        <v>52.37</v>
      </c>
      <c r="E5071" s="2">
        <v>36.4</v>
      </c>
      <c r="F5071" s="2">
        <v>2</v>
      </c>
      <c r="G5071" s="2" t="s">
        <v>9</v>
      </c>
    </row>
    <row r="5072" spans="1:8" x14ac:dyDescent="0.2">
      <c r="A5072" s="2" t="s">
        <v>3267</v>
      </c>
      <c r="B5072" s="2" t="s">
        <v>2906</v>
      </c>
      <c r="C5072" s="2">
        <v>500.64060000000001</v>
      </c>
      <c r="D5072" s="2">
        <f>HYPERLINK("http://mcb-m6.bioreg.kyushu-u.ac.jp/M3/20110318/F50605/910/1", 52.38)</f>
        <v>52.38</v>
      </c>
      <c r="E5072" s="2">
        <v>21.46</v>
      </c>
      <c r="F5072" s="2">
        <v>2</v>
      </c>
      <c r="G5072" s="2" t="s">
        <v>9</v>
      </c>
    </row>
    <row r="5073" spans="1:8" x14ac:dyDescent="0.2">
      <c r="A5073" s="2" t="s">
        <v>3267</v>
      </c>
      <c r="B5073" s="2" t="s">
        <v>433</v>
      </c>
      <c r="C5073" s="2">
        <v>819.61270000000002</v>
      </c>
      <c r="D5073" s="2">
        <f>HYPERLINK("http://mcb-m6.bioreg.kyushu-u.ac.jp/M3/20110318/F50605/1936/1", 52.69)</f>
        <v>52.69</v>
      </c>
      <c r="E5073" s="2">
        <v>41.82</v>
      </c>
      <c r="F5073" s="2">
        <v>2</v>
      </c>
      <c r="G5073" s="2" t="s">
        <v>9</v>
      </c>
    </row>
    <row r="5074" spans="1:8" x14ac:dyDescent="0.2">
      <c r="A5074" s="2" t="s">
        <v>3267</v>
      </c>
      <c r="B5074" s="2" t="s">
        <v>491</v>
      </c>
      <c r="C5074" s="2">
        <v>511.41419999999999</v>
      </c>
      <c r="D5074" s="2">
        <f>HYPERLINK("http://mcb-m6.bioreg.kyushu-u.ac.jp/M3/20110318/F50606/1584/1", 53.64)</f>
        <v>53.64</v>
      </c>
      <c r="E5074" s="2">
        <v>44.09</v>
      </c>
      <c r="F5074" s="2">
        <v>3</v>
      </c>
      <c r="G5074" s="2" t="s">
        <v>9</v>
      </c>
    </row>
    <row r="5075" spans="1:8" x14ac:dyDescent="0.2">
      <c r="A5075" s="2" t="s">
        <v>3267</v>
      </c>
      <c r="B5075" s="2" t="s">
        <v>433</v>
      </c>
      <c r="C5075" s="2">
        <v>819.54169999999999</v>
      </c>
      <c r="D5075" s="2">
        <f>HYPERLINK("http://mcb-m6.bioreg.kyushu-u.ac.jp/M3/20110318/F50619/1754/1", 53.87)</f>
        <v>53.87</v>
      </c>
      <c r="E5075" s="2">
        <v>41.91</v>
      </c>
      <c r="F5075" s="2">
        <v>2</v>
      </c>
      <c r="G5075" s="2" t="s">
        <v>9</v>
      </c>
    </row>
    <row r="5076" spans="1:8" x14ac:dyDescent="0.2">
      <c r="A5076" s="2" t="s">
        <v>3267</v>
      </c>
      <c r="B5076" s="2" t="s">
        <v>433</v>
      </c>
      <c r="C5076" s="2">
        <v>819.84270000000004</v>
      </c>
      <c r="D5076" s="2">
        <f>HYPERLINK("http://mcb-m6.bioreg.kyushu-u.ac.jp/M3/20110318/F50618/2016/1", 54.38)</f>
        <v>54.38</v>
      </c>
      <c r="E5076" s="2">
        <v>33.86</v>
      </c>
      <c r="F5076" s="2">
        <v>2</v>
      </c>
      <c r="G5076" s="2" t="s">
        <v>9</v>
      </c>
    </row>
    <row r="5077" spans="1:8" x14ac:dyDescent="0.2">
      <c r="A5077" s="2" t="s">
        <v>3267</v>
      </c>
      <c r="B5077" s="2" t="s">
        <v>47</v>
      </c>
      <c r="C5077" s="2">
        <v>549.03610000000003</v>
      </c>
      <c r="D5077" s="2">
        <f>HYPERLINK("http://mcb-m6.bioreg.kyushu-u.ac.jp/M3/20110318/F50604/1177/1", 54.41)</f>
        <v>54.41</v>
      </c>
      <c r="E5077" s="2">
        <v>24.19</v>
      </c>
      <c r="F5077" s="2">
        <v>2</v>
      </c>
      <c r="G5077" s="2" t="s">
        <v>9</v>
      </c>
      <c r="H5077" s="2" t="s">
        <v>4904</v>
      </c>
    </row>
    <row r="5078" spans="1:8" x14ac:dyDescent="0.2">
      <c r="A5078" s="2" t="s">
        <v>3267</v>
      </c>
      <c r="B5078" s="2" t="s">
        <v>433</v>
      </c>
      <c r="C5078" s="2">
        <v>819.60310000000004</v>
      </c>
      <c r="D5078" s="2">
        <f>HYPERLINK("http://mcb-m6.bioreg.kyushu-u.ac.jp/M3/20110318/F50607/1820/1", 55.01)</f>
        <v>55.01</v>
      </c>
      <c r="E5078" s="2">
        <v>44.86</v>
      </c>
      <c r="F5078" s="2">
        <v>2</v>
      </c>
      <c r="G5078" s="2" t="s">
        <v>9</v>
      </c>
    </row>
    <row r="5079" spans="1:8" x14ac:dyDescent="0.2">
      <c r="A5079" s="2" t="s">
        <v>3267</v>
      </c>
      <c r="B5079" s="2" t="s">
        <v>491</v>
      </c>
      <c r="C5079" s="2">
        <v>766.93020000000001</v>
      </c>
      <c r="D5079" s="2">
        <f>HYPERLINK("http://mcb-m6.bioreg.kyushu-u.ac.jp/M3/20110318/F50605/1724/1", 55.37)</f>
        <v>55.37</v>
      </c>
      <c r="E5079" s="2">
        <v>36.9</v>
      </c>
      <c r="F5079" s="2">
        <v>2</v>
      </c>
      <c r="G5079" s="2" t="s">
        <v>9</v>
      </c>
    </row>
    <row r="5080" spans="1:8" x14ac:dyDescent="0.2">
      <c r="A5080" s="2" t="s">
        <v>3267</v>
      </c>
      <c r="B5080" s="2" t="s">
        <v>994</v>
      </c>
      <c r="C5080" s="2">
        <v>580.4991</v>
      </c>
      <c r="D5080" s="2">
        <f>HYPERLINK("http://mcb-m6.bioreg.kyushu-u.ac.jp/M3/20110318/F50605/1131/1", 55.52)</f>
        <v>55.52</v>
      </c>
      <c r="E5080" s="2">
        <v>32.85</v>
      </c>
      <c r="F5080" s="2">
        <v>2</v>
      </c>
      <c r="G5080" s="2" t="s">
        <v>9</v>
      </c>
    </row>
    <row r="5081" spans="1:8" x14ac:dyDescent="0.2">
      <c r="A5081" s="2" t="s">
        <v>3267</v>
      </c>
      <c r="B5081" s="2" t="s">
        <v>697</v>
      </c>
      <c r="C5081" s="2">
        <v>732.81619999999998</v>
      </c>
      <c r="D5081" s="2">
        <f>HYPERLINK("http://mcb-m6.bioreg.kyushu-u.ac.jp/M3/20110318/F50619/1432/1", 55.65)</f>
        <v>55.65</v>
      </c>
      <c r="E5081" s="2">
        <v>37.229999999999997</v>
      </c>
      <c r="F5081" s="2">
        <v>2</v>
      </c>
      <c r="G5081" s="2" t="s">
        <v>9</v>
      </c>
    </row>
    <row r="5082" spans="1:8" x14ac:dyDescent="0.2">
      <c r="A5082" s="2" t="s">
        <v>3267</v>
      </c>
      <c r="B5082" s="2" t="s">
        <v>697</v>
      </c>
      <c r="C5082" s="2">
        <v>733.07119999999998</v>
      </c>
      <c r="D5082" s="2">
        <f>HYPERLINK("http://mcb-m6.bioreg.kyushu-u.ac.jp/M3/20110318/F50604/1512/1", 56.28)</f>
        <v>56.28</v>
      </c>
      <c r="E5082" s="2">
        <v>32.25</v>
      </c>
      <c r="F5082" s="2">
        <v>2</v>
      </c>
      <c r="G5082" s="2" t="s">
        <v>9</v>
      </c>
    </row>
    <row r="5083" spans="1:8" x14ac:dyDescent="0.2">
      <c r="A5083" s="2" t="s">
        <v>3267</v>
      </c>
      <c r="B5083" s="2" t="s">
        <v>2906</v>
      </c>
      <c r="C5083" s="2">
        <v>500.74059999999997</v>
      </c>
      <c r="D5083" s="2">
        <f>HYPERLINK("http://mcb-m6.bioreg.kyushu-u.ac.jp/M3/20110318/F50605/912/1", 57.19)</f>
        <v>57.19</v>
      </c>
      <c r="E5083" s="2">
        <v>31.52</v>
      </c>
      <c r="F5083" s="2">
        <v>2</v>
      </c>
      <c r="G5083" s="2" t="s">
        <v>9</v>
      </c>
    </row>
    <row r="5084" spans="1:8" x14ac:dyDescent="0.2">
      <c r="A5084" s="2" t="s">
        <v>3267</v>
      </c>
      <c r="B5084" s="2" t="s">
        <v>491</v>
      </c>
      <c r="C5084" s="2">
        <v>766.52170000000001</v>
      </c>
      <c r="D5084" s="2">
        <f>HYPERLINK("http://mcb-m6.bioreg.kyushu-u.ac.jp/M3/20110318/F50606/1583/1", 57.83)</f>
        <v>57.83</v>
      </c>
      <c r="E5084" s="2">
        <v>43.85</v>
      </c>
      <c r="F5084" s="2">
        <v>2</v>
      </c>
      <c r="G5084" s="2" t="s">
        <v>9</v>
      </c>
    </row>
    <row r="5085" spans="1:8" x14ac:dyDescent="0.2">
      <c r="A5085" s="2" t="s">
        <v>3267</v>
      </c>
      <c r="B5085" s="2" t="s">
        <v>433</v>
      </c>
      <c r="C5085" s="2">
        <v>819.60670000000005</v>
      </c>
      <c r="D5085" s="2">
        <f>HYPERLINK("http://mcb-m6.bioreg.kyushu-u.ac.jp/M3/20110318/F50605/1935/1", 58.5)</f>
        <v>58.5</v>
      </c>
      <c r="E5085" s="2">
        <v>48.13</v>
      </c>
      <c r="F5085" s="2">
        <v>2</v>
      </c>
      <c r="G5085" s="2" t="s">
        <v>9</v>
      </c>
    </row>
    <row r="5086" spans="1:8" x14ac:dyDescent="0.2">
      <c r="A5086" s="2" t="s">
        <v>3267</v>
      </c>
      <c r="B5086" s="2" t="s">
        <v>1526</v>
      </c>
      <c r="C5086" s="2">
        <v>620.03610000000003</v>
      </c>
      <c r="D5086" s="2">
        <f>HYPERLINK("http://mcb-m6.bioreg.kyushu-u.ac.jp/M3/20110318/F50605/1209/1", 59.51)</f>
        <v>59.51</v>
      </c>
      <c r="E5086" s="2">
        <v>42.72</v>
      </c>
      <c r="F5086" s="2">
        <v>2</v>
      </c>
      <c r="G5086" s="2" t="s">
        <v>9</v>
      </c>
    </row>
    <row r="5087" spans="1:8" x14ac:dyDescent="0.2">
      <c r="A5087" s="2" t="s">
        <v>3267</v>
      </c>
      <c r="B5087" s="2" t="s">
        <v>2589</v>
      </c>
      <c r="C5087" s="2">
        <v>680.48109999999997</v>
      </c>
      <c r="D5087" s="2">
        <f>HYPERLINK("http://mcb-m6.bioreg.kyushu-u.ac.jp/M3/20110318/F50605/1344/1", 60.83)</f>
        <v>60.83</v>
      </c>
      <c r="E5087" s="2">
        <v>38.4</v>
      </c>
      <c r="F5087" s="2">
        <v>2</v>
      </c>
      <c r="G5087" s="2" t="s">
        <v>9</v>
      </c>
    </row>
    <row r="5088" spans="1:8" x14ac:dyDescent="0.2">
      <c r="A5088" s="2" t="s">
        <v>3267</v>
      </c>
      <c r="B5088" s="2" t="s">
        <v>491</v>
      </c>
      <c r="C5088" s="2">
        <v>511.21879999999999</v>
      </c>
      <c r="D5088" s="2">
        <f>HYPERLINK("http://mcb-m6.bioreg.kyushu-u.ac.jp/M3/20110318/F50605/1709/1", 61.12)</f>
        <v>61.12</v>
      </c>
      <c r="E5088" s="2">
        <v>49.26</v>
      </c>
      <c r="F5088" s="2">
        <v>3</v>
      </c>
      <c r="G5088" s="2" t="s">
        <v>9</v>
      </c>
    </row>
    <row r="5089" spans="1:7" x14ac:dyDescent="0.2">
      <c r="A5089" s="2" t="s">
        <v>3267</v>
      </c>
      <c r="B5089" s="2" t="s">
        <v>697</v>
      </c>
      <c r="C5089" s="2">
        <v>732.76070000000004</v>
      </c>
      <c r="D5089" s="2">
        <f>HYPERLINK("http://mcb-m6.bioreg.kyushu-u.ac.jp/M3/20110318/F50609/1543/1", 62.65)</f>
        <v>62.65</v>
      </c>
      <c r="E5089" s="2">
        <v>41.67</v>
      </c>
      <c r="F5089" s="2">
        <v>2</v>
      </c>
      <c r="G5089" s="2" t="s">
        <v>9</v>
      </c>
    </row>
    <row r="5090" spans="1:7" x14ac:dyDescent="0.2">
      <c r="A5090" s="2" t="s">
        <v>3267</v>
      </c>
      <c r="B5090" s="2" t="s">
        <v>491</v>
      </c>
      <c r="C5090" s="2">
        <v>766.48019999999997</v>
      </c>
      <c r="D5090" s="2">
        <f>HYPERLINK("http://mcb-m6.bioreg.kyushu-u.ac.jp/M3/20110318/F50605/1712/1", 64.59)</f>
        <v>64.59</v>
      </c>
      <c r="E5090" s="2">
        <v>49.79</v>
      </c>
      <c r="F5090" s="2">
        <v>2</v>
      </c>
      <c r="G5090" s="2" t="s">
        <v>9</v>
      </c>
    </row>
    <row r="5091" spans="1:7" x14ac:dyDescent="0.2">
      <c r="A5091" s="2" t="s">
        <v>3267</v>
      </c>
      <c r="B5091" s="2" t="s">
        <v>491</v>
      </c>
      <c r="C5091" s="2">
        <v>766.59469999999999</v>
      </c>
      <c r="D5091" s="2">
        <f>HYPERLINK("http://mcb-m6.bioreg.kyushu-u.ac.jp/M3/20110318/F50605/1717/1", 65.16)</f>
        <v>65.16</v>
      </c>
      <c r="E5091" s="2">
        <v>44.54</v>
      </c>
      <c r="F5091" s="2">
        <v>2</v>
      </c>
      <c r="G5091" s="2" t="s">
        <v>9</v>
      </c>
    </row>
    <row r="5092" spans="1:7" x14ac:dyDescent="0.2">
      <c r="A5092" s="2" t="s">
        <v>3267</v>
      </c>
      <c r="B5092" s="2" t="s">
        <v>2906</v>
      </c>
      <c r="C5092" s="2">
        <v>500.19409999999999</v>
      </c>
      <c r="D5092" s="2">
        <f>HYPERLINK("http://mcb-m6.bioreg.kyushu-u.ac.jp/M3/20110318/F50605/900/1", 65.74)</f>
        <v>65.739999999999995</v>
      </c>
      <c r="E5092" s="2">
        <v>39.590000000000003</v>
      </c>
      <c r="F5092" s="2">
        <v>2</v>
      </c>
      <c r="G5092" s="2" t="s">
        <v>9</v>
      </c>
    </row>
    <row r="5093" spans="1:7" x14ac:dyDescent="0.2">
      <c r="A5093" s="2" t="s">
        <v>3267</v>
      </c>
      <c r="B5093" s="2" t="s">
        <v>1606</v>
      </c>
      <c r="C5093" s="2">
        <v>862.8107</v>
      </c>
      <c r="D5093" s="2">
        <f>HYPERLINK("http://mcb-m6.bioreg.kyushu-u.ac.jp/M3/20110318/F50606/1918/1", 67.38)</f>
        <v>67.38</v>
      </c>
      <c r="E5093" s="2">
        <v>58.88</v>
      </c>
      <c r="F5093" s="2">
        <v>2</v>
      </c>
      <c r="G5093" s="2" t="s">
        <v>9</v>
      </c>
    </row>
    <row r="5094" spans="1:7" x14ac:dyDescent="0.2">
      <c r="A5094" s="2" t="s">
        <v>3267</v>
      </c>
      <c r="B5094" s="2" t="s">
        <v>1526</v>
      </c>
      <c r="C5094" s="2">
        <v>1238.732</v>
      </c>
      <c r="D5094" s="2">
        <f>HYPERLINK("http://mcb-m6.bioreg.kyushu-u.ac.jp/M3/20110318/F50605/1208/1", 67.84)</f>
        <v>67.84</v>
      </c>
      <c r="E5094" s="2">
        <v>45.49</v>
      </c>
      <c r="F5094" s="2">
        <v>1</v>
      </c>
      <c r="G5094" s="2" t="s">
        <v>9</v>
      </c>
    </row>
    <row r="5095" spans="1:7" x14ac:dyDescent="0.2">
      <c r="A5095" s="2" t="s">
        <v>3267</v>
      </c>
      <c r="B5095" s="2" t="s">
        <v>491</v>
      </c>
      <c r="C5095" s="2">
        <v>766.29060000000004</v>
      </c>
      <c r="D5095" s="2">
        <f>HYPERLINK("http://mcb-m6.bioreg.kyushu-u.ac.jp/M3/20110318/F50619/1564/1", 68.24)</f>
        <v>68.239999999999995</v>
      </c>
      <c r="E5095" s="2">
        <v>49.16</v>
      </c>
      <c r="F5095" s="2">
        <v>2</v>
      </c>
      <c r="G5095" s="2" t="s">
        <v>9</v>
      </c>
    </row>
    <row r="5096" spans="1:7" x14ac:dyDescent="0.2">
      <c r="A5096" s="2" t="s">
        <v>3267</v>
      </c>
      <c r="B5096" s="2" t="s">
        <v>491</v>
      </c>
      <c r="C5096" s="2">
        <v>766.61019999999996</v>
      </c>
      <c r="D5096" s="2">
        <f>HYPERLINK("http://mcb-m6.bioreg.kyushu-u.ac.jp/M3/20110318/F50605/1718/1", 68.69)</f>
        <v>68.69</v>
      </c>
      <c r="E5096" s="2">
        <v>49.29</v>
      </c>
      <c r="F5096" s="2">
        <v>2</v>
      </c>
      <c r="G5096" s="2" t="s">
        <v>9</v>
      </c>
    </row>
    <row r="5097" spans="1:7" x14ac:dyDescent="0.2">
      <c r="A5097" s="2" t="s">
        <v>3267</v>
      </c>
      <c r="B5097" s="2" t="s">
        <v>491</v>
      </c>
      <c r="C5097" s="2">
        <v>766.60270000000003</v>
      </c>
      <c r="D5097" s="2">
        <f>HYPERLINK("http://mcb-m6.bioreg.kyushu-u.ac.jp/M3/20110318/F50607/1655/1", 71.17)</f>
        <v>71.17</v>
      </c>
      <c r="E5097" s="2">
        <v>49.98</v>
      </c>
      <c r="F5097" s="2">
        <v>2</v>
      </c>
      <c r="G5097" s="2" t="s">
        <v>9</v>
      </c>
    </row>
    <row r="5098" spans="1:7" x14ac:dyDescent="0.2">
      <c r="A5098" s="2" t="s">
        <v>3267</v>
      </c>
      <c r="B5098" s="2" t="s">
        <v>491</v>
      </c>
      <c r="C5098" s="2">
        <v>766.69820000000004</v>
      </c>
      <c r="D5098" s="2">
        <f>HYPERLINK("http://mcb-m6.bioreg.kyushu-u.ac.jp/M3/20110318/F50604/1630/1", 71.65)</f>
        <v>71.650000000000006</v>
      </c>
      <c r="E5098" s="2">
        <v>49.22</v>
      </c>
      <c r="F5098" s="2">
        <v>2</v>
      </c>
      <c r="G5098" s="2" t="s">
        <v>9</v>
      </c>
    </row>
    <row r="5099" spans="1:7" x14ac:dyDescent="0.2">
      <c r="A5099" s="2" t="s">
        <v>3267</v>
      </c>
      <c r="B5099" s="2" t="s">
        <v>1606</v>
      </c>
      <c r="C5099" s="2">
        <v>575.57479999999998</v>
      </c>
      <c r="D5099" s="2">
        <f>HYPERLINK("http://mcb-m6.bioreg.kyushu-u.ac.jp/M3/20110318/F50605/2121/1", 71.75)</f>
        <v>71.75</v>
      </c>
      <c r="E5099" s="2">
        <v>54.98</v>
      </c>
      <c r="F5099" s="2">
        <v>3</v>
      </c>
      <c r="G5099" s="2" t="s">
        <v>9</v>
      </c>
    </row>
    <row r="5100" spans="1:7" x14ac:dyDescent="0.2">
      <c r="A5100" s="2" t="s">
        <v>3267</v>
      </c>
      <c r="B5100" s="2" t="s">
        <v>491</v>
      </c>
      <c r="C5100" s="2">
        <v>1531.9839999999999</v>
      </c>
      <c r="D5100" s="2">
        <f>HYPERLINK("http://mcb-m6.bioreg.kyushu-u.ac.jp/M3/20110318/F50605/1713/1", 73.68)</f>
        <v>73.680000000000007</v>
      </c>
      <c r="E5100" s="2">
        <v>57.38</v>
      </c>
      <c r="F5100" s="2">
        <v>1</v>
      </c>
      <c r="G5100" s="2" t="s">
        <v>9</v>
      </c>
    </row>
    <row r="5101" spans="1:7" x14ac:dyDescent="0.2">
      <c r="A5101" s="2" t="s">
        <v>3267</v>
      </c>
      <c r="B5101" s="2" t="s">
        <v>491</v>
      </c>
      <c r="C5101" s="2">
        <v>766.9606</v>
      </c>
      <c r="D5101" s="2">
        <f>HYPERLINK("http://mcb-m6.bioreg.kyushu-u.ac.jp/M3/20110318/F50605/1726/1", 77.01)</f>
        <v>77.010000000000005</v>
      </c>
      <c r="E5101" s="2">
        <v>64.11</v>
      </c>
      <c r="F5101" s="2">
        <v>2</v>
      </c>
      <c r="G5101" s="2" t="s">
        <v>9</v>
      </c>
    </row>
    <row r="5102" spans="1:7" x14ac:dyDescent="0.2">
      <c r="A5102" s="2" t="s">
        <v>3267</v>
      </c>
      <c r="B5102" s="2" t="s">
        <v>1923</v>
      </c>
      <c r="C5102" s="2">
        <v>544.96810000000005</v>
      </c>
      <c r="D5102" s="2">
        <f>HYPERLINK("http://mcb-m6.bioreg.kyushu-u.ac.jp/M3/20110318/F50605/1033/1", 77.9)</f>
        <v>77.900000000000006</v>
      </c>
      <c r="E5102" s="2">
        <v>44.05</v>
      </c>
      <c r="F5102" s="2">
        <v>2</v>
      </c>
      <c r="G5102" s="2" t="s">
        <v>9</v>
      </c>
    </row>
    <row r="5103" spans="1:7" x14ac:dyDescent="0.2">
      <c r="A5103" s="2" t="s">
        <v>3267</v>
      </c>
      <c r="B5103" s="2" t="s">
        <v>491</v>
      </c>
      <c r="C5103" s="2">
        <v>766.24369999999999</v>
      </c>
      <c r="D5103" s="2">
        <f>HYPERLINK("http://mcb-m6.bioreg.kyushu-u.ac.jp/M3/20110318/F50618/1761/1", 78.34)</f>
        <v>78.34</v>
      </c>
      <c r="E5103" s="2">
        <v>62.16</v>
      </c>
      <c r="F5103" s="2">
        <v>2</v>
      </c>
      <c r="G5103" s="2" t="s">
        <v>9</v>
      </c>
    </row>
    <row r="5104" spans="1:7" x14ac:dyDescent="0.2">
      <c r="A5104" s="2" t="s">
        <v>3267</v>
      </c>
      <c r="B5104" s="2" t="s">
        <v>491</v>
      </c>
      <c r="C5104" s="2">
        <v>766.58920000000001</v>
      </c>
      <c r="D5104" s="2">
        <f>HYPERLINK("http://mcb-m6.bioreg.kyushu-u.ac.jp/M3/20110318/F50605/1716/1", 79.52)</f>
        <v>79.52</v>
      </c>
      <c r="E5104" s="2">
        <v>58.45</v>
      </c>
      <c r="F5104" s="2">
        <v>2</v>
      </c>
      <c r="G5104" s="2" t="s">
        <v>9</v>
      </c>
    </row>
    <row r="5105" spans="1:9" x14ac:dyDescent="0.2">
      <c r="A5105" s="2" t="s">
        <v>3267</v>
      </c>
      <c r="B5105" s="2" t="s">
        <v>1353</v>
      </c>
      <c r="C5105" s="2">
        <v>1649.874</v>
      </c>
      <c r="D5105" s="2">
        <f>HYPERLINK("http://mcb-m6.bioreg.kyushu-u.ac.jp/M3/20110318/F50605/1973/1", 79.95)</f>
        <v>79.95</v>
      </c>
      <c r="E5105" s="2">
        <v>62.9</v>
      </c>
      <c r="F5105" s="2">
        <v>1</v>
      </c>
      <c r="G5105" s="2" t="s">
        <v>9</v>
      </c>
    </row>
    <row r="5106" spans="1:9" x14ac:dyDescent="0.2">
      <c r="A5106" s="2" t="s">
        <v>3267</v>
      </c>
      <c r="B5106" s="2" t="s">
        <v>2506</v>
      </c>
      <c r="C5106" s="2">
        <v>1045.6769999999999</v>
      </c>
      <c r="D5106" s="2">
        <f>HYPERLINK("http://mcb-m6.bioreg.kyushu-u.ac.jp/M3/20110318/F50605/2540/1", 81.03)</f>
        <v>81.03</v>
      </c>
      <c r="E5106" s="2">
        <v>73.81</v>
      </c>
      <c r="F5106" s="2">
        <v>2</v>
      </c>
      <c r="G5106" s="2" t="s">
        <v>9</v>
      </c>
      <c r="I5106" s="2" t="s">
        <v>4966</v>
      </c>
    </row>
    <row r="5107" spans="1:9" x14ac:dyDescent="0.2">
      <c r="A5107" s="2" t="s">
        <v>3267</v>
      </c>
      <c r="B5107" s="2" t="s">
        <v>2952</v>
      </c>
      <c r="C5107" s="2">
        <v>671.05110000000002</v>
      </c>
      <c r="D5107" s="2">
        <f>HYPERLINK("http://mcb-m6.bioreg.kyushu-u.ac.jp/M3/20110318/F50605/1316/1", 81.41)</f>
        <v>81.41</v>
      </c>
      <c r="E5107" s="2">
        <v>61.46</v>
      </c>
      <c r="F5107" s="2">
        <v>2</v>
      </c>
      <c r="G5107" s="2" t="s">
        <v>9</v>
      </c>
    </row>
    <row r="5108" spans="1:9" x14ac:dyDescent="0.2">
      <c r="A5108" s="2" t="s">
        <v>3267</v>
      </c>
      <c r="B5108" s="2" t="s">
        <v>602</v>
      </c>
      <c r="C5108" s="2">
        <v>1483.867</v>
      </c>
      <c r="D5108" s="2">
        <f>HYPERLINK("http://mcb-m6.bioreg.kyushu-u.ac.jp/M3/20110318/F50605/1575/1", 84.23)</f>
        <v>84.23</v>
      </c>
      <c r="E5108" s="2">
        <v>70.11</v>
      </c>
      <c r="F5108" s="2">
        <v>1</v>
      </c>
      <c r="G5108" s="2" t="s">
        <v>9</v>
      </c>
    </row>
    <row r="5109" spans="1:9" x14ac:dyDescent="0.2">
      <c r="A5109" s="2" t="s">
        <v>3267</v>
      </c>
      <c r="B5109" s="2" t="s">
        <v>1353</v>
      </c>
      <c r="C5109" s="2">
        <v>825.61019999999996</v>
      </c>
      <c r="D5109" s="2">
        <f>HYPERLINK("http://mcb-m6.bioreg.kyushu-u.ac.jp/M3/20110318/F50605/1974/1", 88.86)</f>
        <v>88.86</v>
      </c>
      <c r="E5109" s="2">
        <v>73.75</v>
      </c>
      <c r="F5109" s="2">
        <v>2</v>
      </c>
      <c r="G5109" s="2" t="s">
        <v>9</v>
      </c>
    </row>
    <row r="5110" spans="1:9" x14ac:dyDescent="0.2">
      <c r="A5110" s="2" t="s">
        <v>3267</v>
      </c>
      <c r="B5110" s="2" t="s">
        <v>1606</v>
      </c>
      <c r="C5110" s="2">
        <v>862.63170000000002</v>
      </c>
      <c r="D5110" s="2">
        <f>HYPERLINK("http://mcb-m6.bioreg.kyushu-u.ac.jp/M3/20110318/F50604/1860/1", 91.17)</f>
        <v>91.17</v>
      </c>
      <c r="E5110" s="2">
        <v>72.89</v>
      </c>
      <c r="F5110" s="2">
        <v>2</v>
      </c>
      <c r="G5110" s="2" t="s">
        <v>9</v>
      </c>
    </row>
    <row r="5111" spans="1:9" x14ac:dyDescent="0.2">
      <c r="A5111" s="2" t="s">
        <v>3267</v>
      </c>
      <c r="B5111" s="2" t="s">
        <v>1353</v>
      </c>
      <c r="C5111" s="2">
        <v>825.59559999999999</v>
      </c>
      <c r="D5111" s="2">
        <f>HYPERLINK("http://mcb-m6.bioreg.kyushu-u.ac.jp/M3/20110318/F50603/1722/1", 91.81)</f>
        <v>91.81</v>
      </c>
      <c r="E5111" s="2">
        <v>74.98</v>
      </c>
      <c r="F5111" s="2">
        <v>2</v>
      </c>
      <c r="G5111" s="2" t="s">
        <v>9</v>
      </c>
    </row>
    <row r="5112" spans="1:9" x14ac:dyDescent="0.2">
      <c r="A5112" s="2" t="s">
        <v>3267</v>
      </c>
      <c r="B5112" s="2" t="s">
        <v>1353</v>
      </c>
      <c r="C5112" s="2">
        <v>825.66669999999999</v>
      </c>
      <c r="D5112" s="2">
        <f>HYPERLINK("http://mcb-m6.bioreg.kyushu-u.ac.jp/M3/20110318/F50607/1836/1", 92.23)</f>
        <v>92.23</v>
      </c>
      <c r="E5112" s="2">
        <v>71.739999999999995</v>
      </c>
      <c r="F5112" s="2">
        <v>2</v>
      </c>
      <c r="G5112" s="2" t="s">
        <v>9</v>
      </c>
    </row>
    <row r="5113" spans="1:9" x14ac:dyDescent="0.2">
      <c r="A5113" s="2" t="s">
        <v>3267</v>
      </c>
      <c r="B5113" s="2" t="s">
        <v>1606</v>
      </c>
      <c r="C5113" s="2">
        <v>862.53769999999997</v>
      </c>
      <c r="D5113" s="2">
        <f>HYPERLINK("http://mcb-m6.bioreg.kyushu-u.ac.jp/M3/20110318/F50605/2119/1", 93.12)</f>
        <v>93.12</v>
      </c>
      <c r="E5113" s="2">
        <v>78.52</v>
      </c>
      <c r="F5113" s="2">
        <v>2</v>
      </c>
      <c r="G5113" s="2" t="s">
        <v>9</v>
      </c>
    </row>
    <row r="5114" spans="1:9" x14ac:dyDescent="0.2">
      <c r="A5114" s="2" t="s">
        <v>3267</v>
      </c>
      <c r="B5114" s="2" t="s">
        <v>1606</v>
      </c>
      <c r="C5114" s="2">
        <v>862.48170000000005</v>
      </c>
      <c r="D5114" s="2">
        <f>HYPERLINK("http://mcb-m6.bioreg.kyushu-u.ac.jp/M3/20110318/F50606/1916/1", 94.68)</f>
        <v>94.68</v>
      </c>
      <c r="E5114" s="2">
        <v>80.55</v>
      </c>
      <c r="F5114" s="2">
        <v>2</v>
      </c>
      <c r="G5114" s="2" t="s">
        <v>9</v>
      </c>
    </row>
    <row r="5115" spans="1:9" x14ac:dyDescent="0.2">
      <c r="A5115" s="2" t="s">
        <v>3267</v>
      </c>
      <c r="B5115" s="2" t="s">
        <v>1606</v>
      </c>
      <c r="C5115" s="2">
        <v>862.64919999999995</v>
      </c>
      <c r="D5115" s="2">
        <f>HYPERLINK("http://mcb-m6.bioreg.kyushu-u.ac.jp/M3/20110318/F50619/1870/1", 96.02)</f>
        <v>96.02</v>
      </c>
      <c r="E5115" s="2">
        <v>81.459999999999994</v>
      </c>
      <c r="F5115" s="2">
        <v>2</v>
      </c>
      <c r="G5115" s="2" t="s">
        <v>9</v>
      </c>
    </row>
    <row r="5116" spans="1:9" x14ac:dyDescent="0.2">
      <c r="A5116" s="2" t="s">
        <v>3267</v>
      </c>
      <c r="B5116" s="2" t="s">
        <v>602</v>
      </c>
      <c r="C5116" s="2">
        <v>742.70169999999996</v>
      </c>
      <c r="D5116" s="2">
        <f>HYPERLINK("http://mcb-m6.bioreg.kyushu-u.ac.jp/M3/20110318/F50606/1493/1", 96.14)</f>
        <v>96.14</v>
      </c>
      <c r="E5116" s="2">
        <v>88.44</v>
      </c>
      <c r="F5116" s="2">
        <v>2</v>
      </c>
      <c r="G5116" s="2" t="s">
        <v>9</v>
      </c>
    </row>
    <row r="5117" spans="1:9" x14ac:dyDescent="0.2">
      <c r="A5117" s="2" t="s">
        <v>3267</v>
      </c>
      <c r="B5117" s="2" t="s">
        <v>602</v>
      </c>
      <c r="C5117" s="2">
        <v>742.54219999999998</v>
      </c>
      <c r="D5117" s="2">
        <f>HYPERLINK("http://mcb-m6.bioreg.kyushu-u.ac.jp/M3/20110318/F50605/1578/1", 96.93)</f>
        <v>96.93</v>
      </c>
      <c r="E5117" s="2">
        <v>85.02</v>
      </c>
      <c r="F5117" s="2">
        <v>2</v>
      </c>
      <c r="G5117" s="2" t="s">
        <v>9</v>
      </c>
    </row>
    <row r="5118" spans="1:9" x14ac:dyDescent="0.2">
      <c r="A5118" s="2" t="s">
        <v>3267</v>
      </c>
      <c r="B5118" s="2" t="s">
        <v>1606</v>
      </c>
      <c r="C5118" s="2">
        <v>862.60720000000003</v>
      </c>
      <c r="D5118" s="2">
        <f>HYPERLINK("http://mcb-m6.bioreg.kyushu-u.ac.jp/M3/20110318/F50605/2120/1", 98.74)</f>
        <v>98.74</v>
      </c>
      <c r="E5118" s="2">
        <v>85.15</v>
      </c>
      <c r="F5118" s="2">
        <v>2</v>
      </c>
      <c r="G5118" s="2" t="s">
        <v>9</v>
      </c>
    </row>
    <row r="5119" spans="1:9" x14ac:dyDescent="0.2">
      <c r="A5119" s="2" t="s">
        <v>3267</v>
      </c>
      <c r="B5119" s="2" t="s">
        <v>602</v>
      </c>
      <c r="C5119" s="2">
        <v>742.64260000000002</v>
      </c>
      <c r="D5119" s="2">
        <f>HYPERLINK("http://mcb-m6.bioreg.kyushu-u.ac.jp/M3/20110318/F50607/1531/1", 99.93)</f>
        <v>99.93</v>
      </c>
      <c r="E5119" s="2">
        <v>90.1</v>
      </c>
      <c r="F5119" s="2">
        <v>2</v>
      </c>
      <c r="G5119" s="2" t="s">
        <v>9</v>
      </c>
    </row>
    <row r="5120" spans="1:9" x14ac:dyDescent="0.2">
      <c r="A5120" s="2" t="s">
        <v>3267</v>
      </c>
      <c r="B5120" s="2" t="s">
        <v>1353</v>
      </c>
      <c r="C5120" s="2">
        <v>825.87270000000001</v>
      </c>
      <c r="D5120" s="2">
        <f>HYPERLINK("http://mcb-m6.bioreg.kyushu-u.ac.jp/M3/20110318/F50604/1777/1", 101.67)</f>
        <v>101.67</v>
      </c>
      <c r="E5120" s="2">
        <v>86.85</v>
      </c>
      <c r="F5120" s="2">
        <v>2</v>
      </c>
      <c r="G5120" s="2" t="s">
        <v>9</v>
      </c>
    </row>
    <row r="5121" spans="1:8" x14ac:dyDescent="0.2">
      <c r="A5121" s="2" t="s">
        <v>3267</v>
      </c>
      <c r="B5121" s="2" t="s">
        <v>1353</v>
      </c>
      <c r="C5121" s="2">
        <v>825.69209999999998</v>
      </c>
      <c r="D5121" s="2">
        <f>HYPERLINK("http://mcb-m6.bioreg.kyushu-u.ac.jp/M3/20110318/F50620/2024/1", 108.98)</f>
        <v>108.98</v>
      </c>
      <c r="E5121" s="2">
        <v>81.709999999999994</v>
      </c>
      <c r="F5121" s="2">
        <v>2</v>
      </c>
      <c r="G5121" s="2" t="s">
        <v>9</v>
      </c>
    </row>
    <row r="5122" spans="1:8" x14ac:dyDescent="0.2">
      <c r="A5122" s="2" t="s">
        <v>3267</v>
      </c>
      <c r="B5122" s="2" t="s">
        <v>602</v>
      </c>
      <c r="C5122" s="2">
        <v>742.36019999999996</v>
      </c>
      <c r="D5122" s="2">
        <f>HYPERLINK("http://mcb-m6.bioreg.kyushu-u.ac.jp/M3/20110318/F50619/1480/1", 109.2)</f>
        <v>109.2</v>
      </c>
      <c r="E5122" s="2">
        <v>93.23</v>
      </c>
      <c r="F5122" s="2">
        <v>2</v>
      </c>
      <c r="G5122" s="2" t="s">
        <v>9</v>
      </c>
    </row>
    <row r="5123" spans="1:8" x14ac:dyDescent="0.2">
      <c r="A5123" s="2" t="s">
        <v>3267</v>
      </c>
      <c r="B5123" s="2" t="s">
        <v>1606</v>
      </c>
      <c r="C5123" s="2">
        <v>862.38819999999998</v>
      </c>
      <c r="D5123" s="2">
        <f>HYPERLINK("http://mcb-m6.bioreg.kyushu-u.ac.jp/M3/20110318/F50618/2173/1", 109.88)</f>
        <v>109.88</v>
      </c>
      <c r="E5123" s="2">
        <v>93.37</v>
      </c>
      <c r="F5123" s="2">
        <v>2</v>
      </c>
      <c r="G5123" s="2" t="s">
        <v>9</v>
      </c>
    </row>
    <row r="5124" spans="1:8" x14ac:dyDescent="0.2">
      <c r="A5124" s="2" t="s">
        <v>3267</v>
      </c>
      <c r="B5124" s="2" t="s">
        <v>1353</v>
      </c>
      <c r="C5124" s="2">
        <v>825.80409999999995</v>
      </c>
      <c r="D5124" s="2">
        <f>HYPERLINK("http://mcb-m6.bioreg.kyushu-u.ac.jp/M3/20110318/F50619/1772/1", 115.61)</f>
        <v>115.61</v>
      </c>
      <c r="E5124" s="2">
        <v>80.61</v>
      </c>
      <c r="F5124" s="2">
        <v>2</v>
      </c>
      <c r="G5124" s="2" t="s">
        <v>9</v>
      </c>
    </row>
    <row r="5125" spans="1:8" x14ac:dyDescent="0.2">
      <c r="A5125" s="2" t="s">
        <v>3267</v>
      </c>
      <c r="B5125" s="2" t="s">
        <v>1606</v>
      </c>
      <c r="C5125" s="2">
        <v>862.3492</v>
      </c>
      <c r="D5125" s="2">
        <f>HYPERLINK("http://mcb-m6.bioreg.kyushu-u.ac.jp/M3/20110318/F50620/2118/1", 117.48)</f>
        <v>117.48</v>
      </c>
      <c r="E5125" s="2">
        <v>102.58</v>
      </c>
      <c r="F5125" s="2">
        <v>2</v>
      </c>
      <c r="G5125" s="2" t="s">
        <v>9</v>
      </c>
    </row>
    <row r="5126" spans="1:8" x14ac:dyDescent="0.2">
      <c r="A5126" s="2" t="s">
        <v>3267</v>
      </c>
      <c r="B5126" s="2" t="s">
        <v>602</v>
      </c>
      <c r="C5126" s="2">
        <v>742.63120000000004</v>
      </c>
      <c r="D5126" s="2">
        <f>HYPERLINK("http://mcb-m6.bioreg.kyushu-u.ac.jp/M3/20110318/F50618/1617/1", 128.52)</f>
        <v>128.52000000000001</v>
      </c>
      <c r="E5126" s="2">
        <v>110.11</v>
      </c>
      <c r="F5126" s="2">
        <v>2</v>
      </c>
      <c r="G5126" s="2" t="s">
        <v>9</v>
      </c>
    </row>
    <row r="5127" spans="1:8" x14ac:dyDescent="0.2">
      <c r="A5127" s="2" t="s">
        <v>3267</v>
      </c>
      <c r="B5127" s="2" t="s">
        <v>491</v>
      </c>
      <c r="C5127" s="2">
        <v>766.48019999999997</v>
      </c>
      <c r="D5127" s="2">
        <f>HYPERLINK("http://mcb-m6.bioreg.kyushu-u.ac.jp/M3/20110318/F50613/1750/1", 35.3)</f>
        <v>35.299999999999997</v>
      </c>
      <c r="E5127" s="2">
        <v>19.45</v>
      </c>
      <c r="F5127" s="2">
        <v>2</v>
      </c>
      <c r="G5127" s="2" t="s">
        <v>10</v>
      </c>
    </row>
    <row r="5128" spans="1:8" x14ac:dyDescent="0.2">
      <c r="A5128" s="2" t="s">
        <v>3267</v>
      </c>
      <c r="B5128" s="2" t="s">
        <v>491</v>
      </c>
      <c r="C5128" s="2">
        <v>511.51179999999999</v>
      </c>
      <c r="D5128" s="2">
        <f>HYPERLINK("http://mcb-m6.bioreg.kyushu-u.ac.jp/M3/20110318/F50613/1760/1", 35.58)</f>
        <v>35.58</v>
      </c>
      <c r="E5128" s="2">
        <v>22.21</v>
      </c>
      <c r="F5128" s="2">
        <v>3</v>
      </c>
      <c r="G5128" s="2" t="s">
        <v>10</v>
      </c>
    </row>
    <row r="5129" spans="1:8" x14ac:dyDescent="0.2">
      <c r="A5129" s="2" t="s">
        <v>3267</v>
      </c>
      <c r="B5129" s="2" t="s">
        <v>697</v>
      </c>
      <c r="C5129" s="2">
        <v>1464.6020000000001</v>
      </c>
      <c r="D5129" s="2">
        <f>HYPERLINK("http://mcb-m6.bioreg.kyushu-u.ac.jp/M3/20110318/F50613/1552/1", 36.6)</f>
        <v>36.6</v>
      </c>
      <c r="E5129" s="2">
        <v>21.06</v>
      </c>
      <c r="F5129" s="2">
        <v>1</v>
      </c>
      <c r="G5129" s="2" t="s">
        <v>10</v>
      </c>
    </row>
    <row r="5130" spans="1:8" x14ac:dyDescent="0.2">
      <c r="A5130" s="2" t="s">
        <v>3267</v>
      </c>
      <c r="B5130" s="2" t="s">
        <v>47</v>
      </c>
      <c r="C5130" s="2">
        <v>548.8682</v>
      </c>
      <c r="D5130" s="2">
        <f>HYPERLINK("http://mcb-m6.bioreg.kyushu-u.ac.jp/M3/20110318/F50613/1054/1", 36.65)</f>
        <v>36.65</v>
      </c>
      <c r="E5130" s="2">
        <v>17.079999999999998</v>
      </c>
      <c r="F5130" s="2">
        <v>2</v>
      </c>
      <c r="G5130" s="2" t="s">
        <v>10</v>
      </c>
      <c r="H5130" s="2" t="s">
        <v>4904</v>
      </c>
    </row>
    <row r="5131" spans="1:8" x14ac:dyDescent="0.2">
      <c r="A5131" s="2" t="s">
        <v>3267</v>
      </c>
      <c r="B5131" s="2" t="s">
        <v>697</v>
      </c>
      <c r="C5131" s="2">
        <v>489.1472</v>
      </c>
      <c r="D5131" s="2">
        <f>HYPERLINK("http://mcb-m6.bioreg.kyushu-u.ac.jp/M3/20110318/F50598/1536/1", 37.47)</f>
        <v>37.47</v>
      </c>
      <c r="E5131" s="2">
        <v>19.47</v>
      </c>
      <c r="F5131" s="2">
        <v>3</v>
      </c>
      <c r="G5131" s="2" t="s">
        <v>10</v>
      </c>
    </row>
    <row r="5132" spans="1:8" x14ac:dyDescent="0.2">
      <c r="A5132" s="2" t="s">
        <v>3267</v>
      </c>
      <c r="B5132" s="2" t="s">
        <v>433</v>
      </c>
      <c r="C5132" s="2">
        <v>819.05160000000001</v>
      </c>
      <c r="D5132" s="2">
        <f>HYPERLINK("http://mcb-m6.bioreg.kyushu-u.ac.jp/M3/20110318/F50613/1991/1", 38.35)</f>
        <v>38.35</v>
      </c>
      <c r="E5132" s="2">
        <v>26.52</v>
      </c>
      <c r="F5132" s="2">
        <v>2</v>
      </c>
      <c r="G5132" s="2" t="s">
        <v>10</v>
      </c>
    </row>
    <row r="5133" spans="1:8" x14ac:dyDescent="0.2">
      <c r="A5133" s="2" t="s">
        <v>3267</v>
      </c>
      <c r="B5133" s="2" t="s">
        <v>2539</v>
      </c>
      <c r="C5133" s="2">
        <v>598.71220000000005</v>
      </c>
      <c r="D5133" s="2">
        <f>HYPERLINK("http://mcb-m6.bioreg.kyushu-u.ac.jp/M3/20110318/F50613/2284/1", 39.71)</f>
        <v>39.71</v>
      </c>
      <c r="E5133" s="2">
        <v>24.16</v>
      </c>
      <c r="F5133" s="2">
        <v>3</v>
      </c>
      <c r="G5133" s="2" t="s">
        <v>10</v>
      </c>
    </row>
    <row r="5134" spans="1:8" x14ac:dyDescent="0.2">
      <c r="A5134" s="2" t="s">
        <v>3267</v>
      </c>
      <c r="B5134" s="2" t="s">
        <v>697</v>
      </c>
      <c r="C5134" s="2">
        <v>732.87220000000002</v>
      </c>
      <c r="D5134" s="2">
        <f>HYPERLINK("http://mcb-m6.bioreg.kyushu-u.ac.jp/M3/20110318/F50598/1533/1", 39.91)</f>
        <v>39.909999999999997</v>
      </c>
      <c r="E5134" s="2">
        <v>18.77</v>
      </c>
      <c r="F5134" s="2">
        <v>2</v>
      </c>
      <c r="G5134" s="2" t="s">
        <v>10</v>
      </c>
    </row>
    <row r="5135" spans="1:8" x14ac:dyDescent="0.2">
      <c r="A5135" s="2" t="s">
        <v>3267</v>
      </c>
      <c r="B5135" s="2" t="s">
        <v>223</v>
      </c>
      <c r="C5135" s="2">
        <v>782.90260000000001</v>
      </c>
      <c r="D5135" s="2">
        <f>HYPERLINK("http://mcb-m6.bioreg.kyushu-u.ac.jp/M3/20110318/F50613/1850/1", 40.08)</f>
        <v>40.08</v>
      </c>
      <c r="E5135" s="2">
        <v>22.98</v>
      </c>
      <c r="F5135" s="2">
        <v>2</v>
      </c>
      <c r="G5135" s="2" t="s">
        <v>10</v>
      </c>
    </row>
    <row r="5136" spans="1:8" x14ac:dyDescent="0.2">
      <c r="A5136" s="2" t="s">
        <v>3267</v>
      </c>
      <c r="B5136" s="2" t="s">
        <v>147</v>
      </c>
      <c r="C5136" s="2">
        <v>829.61300000000006</v>
      </c>
      <c r="D5136" s="2">
        <f>HYPERLINK("http://mcb-m6.bioreg.kyushu-u.ac.jp/M3/20110318/F50614/732/1", 40.12)</f>
        <v>40.119999999999997</v>
      </c>
      <c r="E5136" s="2">
        <v>16.95</v>
      </c>
      <c r="F5136" s="2">
        <v>1</v>
      </c>
      <c r="G5136" s="2" t="s">
        <v>10</v>
      </c>
    </row>
    <row r="5137" spans="1:8" x14ac:dyDescent="0.2">
      <c r="A5137" s="2" t="s">
        <v>3267</v>
      </c>
      <c r="B5137" s="2" t="s">
        <v>568</v>
      </c>
      <c r="C5137" s="2">
        <v>852.46199999999999</v>
      </c>
      <c r="D5137" s="2">
        <f>HYPERLINK("http://mcb-m6.bioreg.kyushu-u.ac.jp/M3/20110318/F50613/719/1", 40.78)</f>
        <v>40.78</v>
      </c>
      <c r="E5137" s="2">
        <v>26.15</v>
      </c>
      <c r="F5137" s="2">
        <v>1</v>
      </c>
      <c r="G5137" s="2" t="s">
        <v>10</v>
      </c>
      <c r="H5137" s="2" t="s">
        <v>4917</v>
      </c>
    </row>
    <row r="5138" spans="1:8" x14ac:dyDescent="0.2">
      <c r="A5138" s="2" t="s">
        <v>3267</v>
      </c>
      <c r="B5138" s="2" t="s">
        <v>491</v>
      </c>
      <c r="C5138" s="2">
        <v>766.53470000000004</v>
      </c>
      <c r="D5138" s="2">
        <f>HYPERLINK("http://mcb-m6.bioreg.kyushu-u.ac.jp/M3/20110318/F50615/1665/1", 40.96)</f>
        <v>40.96</v>
      </c>
      <c r="E5138" s="2">
        <v>26.79</v>
      </c>
      <c r="F5138" s="2">
        <v>2</v>
      </c>
      <c r="G5138" s="2" t="s">
        <v>10</v>
      </c>
    </row>
    <row r="5139" spans="1:8" x14ac:dyDescent="0.2">
      <c r="A5139" s="2" t="s">
        <v>3267</v>
      </c>
      <c r="B5139" s="2" t="s">
        <v>697</v>
      </c>
      <c r="C5139" s="2">
        <v>732.5557</v>
      </c>
      <c r="D5139" s="2">
        <f>HYPERLINK("http://mcb-m6.bioreg.kyushu-u.ac.jp/M3/20110318/F50613/1544/1", 41.04)</f>
        <v>41.04</v>
      </c>
      <c r="E5139" s="2">
        <v>19.16</v>
      </c>
      <c r="F5139" s="2">
        <v>2</v>
      </c>
      <c r="G5139" s="2" t="s">
        <v>10</v>
      </c>
    </row>
    <row r="5140" spans="1:8" x14ac:dyDescent="0.2">
      <c r="A5140" s="2" t="s">
        <v>3267</v>
      </c>
      <c r="B5140" s="2" t="s">
        <v>97</v>
      </c>
      <c r="C5140" s="2">
        <v>1336.635</v>
      </c>
      <c r="D5140" s="2">
        <f>HYPERLINK("http://mcb-m6.bioreg.kyushu-u.ac.jp/M3/20110318/F50613/1335/1", 41.17)</f>
        <v>41.17</v>
      </c>
      <c r="E5140" s="2">
        <v>13.2</v>
      </c>
      <c r="F5140" s="2">
        <v>1</v>
      </c>
      <c r="G5140" s="2" t="s">
        <v>10</v>
      </c>
    </row>
    <row r="5141" spans="1:8" x14ac:dyDescent="0.2">
      <c r="A5141" s="2" t="s">
        <v>3267</v>
      </c>
      <c r="B5141" s="2" t="s">
        <v>697</v>
      </c>
      <c r="C5141" s="2">
        <v>733.38819999999998</v>
      </c>
      <c r="D5141" s="2">
        <f>HYPERLINK("http://mcb-m6.bioreg.kyushu-u.ac.jp/M3/20110318/F50596/1589/1", 41.4)</f>
        <v>41.4</v>
      </c>
      <c r="E5141" s="2">
        <v>22.75</v>
      </c>
      <c r="F5141" s="2">
        <v>2</v>
      </c>
      <c r="G5141" s="2" t="s">
        <v>10</v>
      </c>
    </row>
    <row r="5142" spans="1:8" x14ac:dyDescent="0.2">
      <c r="A5142" s="2" t="s">
        <v>3267</v>
      </c>
      <c r="B5142" s="2" t="s">
        <v>433</v>
      </c>
      <c r="C5142" s="2">
        <v>819.45719999999994</v>
      </c>
      <c r="D5142" s="2">
        <f>HYPERLINK("http://mcb-m6.bioreg.kyushu-u.ac.jp/M3/20110318/F50614/2013/1", 41.59)</f>
        <v>41.59</v>
      </c>
      <c r="E5142" s="2">
        <v>30.78</v>
      </c>
      <c r="F5142" s="2">
        <v>2</v>
      </c>
      <c r="G5142" s="2" t="s">
        <v>10</v>
      </c>
    </row>
    <row r="5143" spans="1:8" x14ac:dyDescent="0.2">
      <c r="A5143" s="2" t="s">
        <v>3267</v>
      </c>
      <c r="B5143" s="2" t="s">
        <v>491</v>
      </c>
      <c r="C5143" s="2">
        <v>511.45389999999998</v>
      </c>
      <c r="D5143" s="2">
        <f>HYPERLINK("http://mcb-m6.bioreg.kyushu-u.ac.jp/M3/20110318/F50597/1730/1", 41.64)</f>
        <v>41.64</v>
      </c>
      <c r="E5143" s="2">
        <v>22</v>
      </c>
      <c r="F5143" s="2">
        <v>3</v>
      </c>
      <c r="G5143" s="2" t="s">
        <v>10</v>
      </c>
    </row>
    <row r="5144" spans="1:8" x14ac:dyDescent="0.2">
      <c r="A5144" s="2" t="s">
        <v>3267</v>
      </c>
      <c r="B5144" s="2" t="s">
        <v>433</v>
      </c>
      <c r="C5144" s="2">
        <v>819.44420000000002</v>
      </c>
      <c r="D5144" s="2">
        <f>HYPERLINK("http://mcb-m6.bioreg.kyushu-u.ac.jp/M3/20110318/F50613/1999/1", 41.79)</f>
        <v>41.79</v>
      </c>
      <c r="E5144" s="2">
        <v>32.36</v>
      </c>
      <c r="F5144" s="2">
        <v>2</v>
      </c>
      <c r="G5144" s="2" t="s">
        <v>10</v>
      </c>
    </row>
    <row r="5145" spans="1:8" x14ac:dyDescent="0.2">
      <c r="A5145" s="2" t="s">
        <v>3267</v>
      </c>
      <c r="B5145" s="2" t="s">
        <v>47</v>
      </c>
      <c r="C5145" s="2">
        <v>557.37070000000006</v>
      </c>
      <c r="D5145" s="2">
        <f>HYPERLINK("http://mcb-m6.bioreg.kyushu-u.ac.jp/M3/20110318/F50613/1082/1", 41.81)</f>
        <v>41.81</v>
      </c>
      <c r="E5145" s="2">
        <v>13.68</v>
      </c>
      <c r="F5145" s="2">
        <v>2</v>
      </c>
      <c r="G5145" s="2" t="s">
        <v>10</v>
      </c>
    </row>
    <row r="5146" spans="1:8" x14ac:dyDescent="0.2">
      <c r="A5146" s="2" t="s">
        <v>3267</v>
      </c>
      <c r="B5146" s="2" t="s">
        <v>433</v>
      </c>
      <c r="C5146" s="2">
        <v>546.96590000000003</v>
      </c>
      <c r="D5146" s="2">
        <f>HYPERLINK("http://mcb-m6.bioreg.kyushu-u.ac.jp/M3/20110318/F50613/2008/1", 42.09)</f>
        <v>42.09</v>
      </c>
      <c r="E5146" s="2">
        <v>18.170000000000002</v>
      </c>
      <c r="F5146" s="2">
        <v>3</v>
      </c>
      <c r="G5146" s="2" t="s">
        <v>10</v>
      </c>
    </row>
    <row r="5147" spans="1:8" x14ac:dyDescent="0.2">
      <c r="A5147" s="2" t="s">
        <v>3267</v>
      </c>
      <c r="B5147" s="2" t="s">
        <v>1923</v>
      </c>
      <c r="C5147" s="2">
        <v>545.31619999999998</v>
      </c>
      <c r="D5147" s="2">
        <f>HYPERLINK("http://mcb-m6.bioreg.kyushu-u.ac.jp/M3/20110318/F50615/919/1", 42.34)</f>
        <v>42.34</v>
      </c>
      <c r="E5147" s="2">
        <v>22.98</v>
      </c>
      <c r="F5147" s="2">
        <v>2</v>
      </c>
      <c r="G5147" s="2" t="s">
        <v>10</v>
      </c>
    </row>
    <row r="5148" spans="1:8" x14ac:dyDescent="0.2">
      <c r="A5148" s="2" t="s">
        <v>3267</v>
      </c>
      <c r="B5148" s="2" t="s">
        <v>2906</v>
      </c>
      <c r="C5148" s="2">
        <v>500.62459999999999</v>
      </c>
      <c r="D5148" s="2">
        <f>HYPERLINK("http://mcb-m6.bioreg.kyushu-u.ac.jp/M3/20110318/F50613/915/1", 42.59)</f>
        <v>42.59</v>
      </c>
      <c r="E5148" s="2">
        <v>20.13</v>
      </c>
      <c r="F5148" s="2">
        <v>2</v>
      </c>
      <c r="G5148" s="2" t="s">
        <v>10</v>
      </c>
    </row>
    <row r="5149" spans="1:8" x14ac:dyDescent="0.2">
      <c r="A5149" s="2" t="s">
        <v>3267</v>
      </c>
      <c r="B5149" s="2" t="s">
        <v>697</v>
      </c>
      <c r="C5149" s="2">
        <v>732.90060000000005</v>
      </c>
      <c r="D5149" s="2">
        <f>HYPERLINK("http://mcb-m6.bioreg.kyushu-u.ac.jp/M3/20110318/F50613/1555/1", 42.72)</f>
        <v>42.72</v>
      </c>
      <c r="E5149" s="2">
        <v>25.93</v>
      </c>
      <c r="F5149" s="2">
        <v>2</v>
      </c>
      <c r="G5149" s="2" t="s">
        <v>10</v>
      </c>
    </row>
    <row r="5150" spans="1:8" x14ac:dyDescent="0.2">
      <c r="A5150" s="2" t="s">
        <v>3267</v>
      </c>
      <c r="B5150" s="2" t="s">
        <v>491</v>
      </c>
      <c r="C5150" s="2">
        <v>511.4205</v>
      </c>
      <c r="D5150" s="2">
        <f>HYPERLINK("http://mcb-m6.bioreg.kyushu-u.ac.jp/M3/20110318/F50613/1756/1", 43.05)</f>
        <v>43.05</v>
      </c>
      <c r="E5150" s="2">
        <v>25.02</v>
      </c>
      <c r="F5150" s="2">
        <v>3</v>
      </c>
      <c r="G5150" s="2" t="s">
        <v>10</v>
      </c>
    </row>
    <row r="5151" spans="1:8" x14ac:dyDescent="0.2">
      <c r="A5151" s="2" t="s">
        <v>3267</v>
      </c>
      <c r="B5151" s="2" t="s">
        <v>433</v>
      </c>
      <c r="C5151" s="2">
        <v>819.95619999999997</v>
      </c>
      <c r="D5151" s="2">
        <f>HYPERLINK("http://mcb-m6.bioreg.kyushu-u.ac.jp/M3/20110318/F50611/1946/1", 43.27)</f>
        <v>43.27</v>
      </c>
      <c r="E5151" s="2">
        <v>31.78</v>
      </c>
      <c r="F5151" s="2">
        <v>2</v>
      </c>
      <c r="G5151" s="2" t="s">
        <v>10</v>
      </c>
    </row>
    <row r="5152" spans="1:8" x14ac:dyDescent="0.2">
      <c r="A5152" s="2" t="s">
        <v>3267</v>
      </c>
      <c r="B5152" s="2" t="s">
        <v>97</v>
      </c>
      <c r="C5152" s="2">
        <v>668.89120000000003</v>
      </c>
      <c r="D5152" s="2">
        <f>HYPERLINK("http://mcb-m6.bioreg.kyushu-u.ac.jp/M3/20110318/F50616/1383/1", 43.29)</f>
        <v>43.29</v>
      </c>
      <c r="E5152" s="2">
        <v>25.4</v>
      </c>
      <c r="F5152" s="2">
        <v>2</v>
      </c>
      <c r="G5152" s="2" t="s">
        <v>10</v>
      </c>
    </row>
    <row r="5153" spans="1:8" x14ac:dyDescent="0.2">
      <c r="A5153" s="2" t="s">
        <v>3267</v>
      </c>
      <c r="B5153" s="2" t="s">
        <v>697</v>
      </c>
      <c r="C5153" s="2">
        <v>733.02009999999996</v>
      </c>
      <c r="D5153" s="2">
        <f>HYPERLINK("http://mcb-m6.bioreg.kyushu-u.ac.jp/M3/20110318/F50615/1480/1", 44.06)</f>
        <v>44.06</v>
      </c>
      <c r="E5153" s="2">
        <v>19.2</v>
      </c>
      <c r="F5153" s="2">
        <v>2</v>
      </c>
      <c r="G5153" s="2" t="s">
        <v>10</v>
      </c>
    </row>
    <row r="5154" spans="1:8" x14ac:dyDescent="0.2">
      <c r="A5154" s="2" t="s">
        <v>3267</v>
      </c>
      <c r="B5154" s="2" t="s">
        <v>697</v>
      </c>
      <c r="C5154" s="2">
        <v>732.92470000000003</v>
      </c>
      <c r="D5154" s="2">
        <f>HYPERLINK("http://mcb-m6.bioreg.kyushu-u.ac.jp/M3/20110318/F50612/1503/1", 44.18)</f>
        <v>44.18</v>
      </c>
      <c r="E5154" s="2">
        <v>25.14</v>
      </c>
      <c r="F5154" s="2">
        <v>2</v>
      </c>
      <c r="G5154" s="2" t="s">
        <v>10</v>
      </c>
    </row>
    <row r="5155" spans="1:8" x14ac:dyDescent="0.2">
      <c r="A5155" s="2" t="s">
        <v>3267</v>
      </c>
      <c r="B5155" s="2" t="s">
        <v>433</v>
      </c>
      <c r="C5155" s="2">
        <v>819.91359999999997</v>
      </c>
      <c r="D5155" s="2">
        <f>HYPERLINK("http://mcb-m6.bioreg.kyushu-u.ac.jp/M3/20110318/F50614/2016/1", 44.65)</f>
        <v>44.65</v>
      </c>
      <c r="E5155" s="2">
        <v>30.28</v>
      </c>
      <c r="F5155" s="2">
        <v>2</v>
      </c>
      <c r="G5155" s="2" t="s">
        <v>10</v>
      </c>
    </row>
    <row r="5156" spans="1:8" x14ac:dyDescent="0.2">
      <c r="A5156" s="2" t="s">
        <v>3267</v>
      </c>
      <c r="B5156" s="2" t="s">
        <v>697</v>
      </c>
      <c r="C5156" s="2">
        <v>733.3347</v>
      </c>
      <c r="D5156" s="2">
        <f>HYPERLINK("http://mcb-m6.bioreg.kyushu-u.ac.jp/M3/20110318/F50611/1622/1", 44.67)</f>
        <v>44.67</v>
      </c>
      <c r="E5156" s="2">
        <v>27.04</v>
      </c>
      <c r="F5156" s="2">
        <v>2</v>
      </c>
      <c r="G5156" s="2" t="s">
        <v>10</v>
      </c>
    </row>
    <row r="5157" spans="1:8" x14ac:dyDescent="0.2">
      <c r="A5157" s="2" t="s">
        <v>3267</v>
      </c>
      <c r="B5157" s="2" t="s">
        <v>697</v>
      </c>
      <c r="C5157" s="2">
        <v>733.30219999999997</v>
      </c>
      <c r="D5157" s="2">
        <f>HYPERLINK("http://mcb-m6.bioreg.kyushu-u.ac.jp/M3/20110318/F50617/1517/1", 45.24)</f>
        <v>45.24</v>
      </c>
      <c r="E5157" s="2">
        <v>26.35</v>
      </c>
      <c r="F5157" s="2">
        <v>2</v>
      </c>
      <c r="G5157" s="2" t="s">
        <v>10</v>
      </c>
    </row>
    <row r="5158" spans="1:8" x14ac:dyDescent="0.2">
      <c r="A5158" s="2" t="s">
        <v>3267</v>
      </c>
      <c r="B5158" s="2" t="s">
        <v>433</v>
      </c>
      <c r="C5158" s="2">
        <v>819.42409999999995</v>
      </c>
      <c r="D5158" s="2">
        <f>HYPERLINK("http://mcb-m6.bioreg.kyushu-u.ac.jp/M3/20110318/F50613/1997/1", 45.31)</f>
        <v>45.31</v>
      </c>
      <c r="E5158" s="2">
        <v>32.03</v>
      </c>
      <c r="F5158" s="2">
        <v>2</v>
      </c>
      <c r="G5158" s="2" t="s">
        <v>10</v>
      </c>
    </row>
    <row r="5159" spans="1:8" x14ac:dyDescent="0.2">
      <c r="A5159" s="2" t="s">
        <v>3267</v>
      </c>
      <c r="B5159" s="2" t="s">
        <v>97</v>
      </c>
      <c r="C5159" s="2">
        <v>669.08169999999996</v>
      </c>
      <c r="D5159" s="2">
        <f>HYPERLINK("http://mcb-m6.bioreg.kyushu-u.ac.jp/M3/20110318/F50615/1265/1", 45.32)</f>
        <v>45.32</v>
      </c>
      <c r="E5159" s="2">
        <v>21.43</v>
      </c>
      <c r="F5159" s="2">
        <v>2</v>
      </c>
      <c r="G5159" s="2" t="s">
        <v>10</v>
      </c>
    </row>
    <row r="5160" spans="1:8" x14ac:dyDescent="0.2">
      <c r="A5160" s="2" t="s">
        <v>3267</v>
      </c>
      <c r="B5160" s="2" t="s">
        <v>97</v>
      </c>
      <c r="C5160" s="2">
        <v>668.93820000000005</v>
      </c>
      <c r="D5160" s="2">
        <f>HYPERLINK("http://mcb-m6.bioreg.kyushu-u.ac.jp/M3/20110318/F50614/1411/1", 45.55)</f>
        <v>45.55</v>
      </c>
      <c r="E5160" s="2">
        <v>21.68</v>
      </c>
      <c r="F5160" s="2">
        <v>2</v>
      </c>
      <c r="G5160" s="2" t="s">
        <v>10</v>
      </c>
    </row>
    <row r="5161" spans="1:8" x14ac:dyDescent="0.2">
      <c r="A5161" s="2" t="s">
        <v>3267</v>
      </c>
      <c r="B5161" s="2" t="s">
        <v>2952</v>
      </c>
      <c r="C5161" s="2">
        <v>670.77970000000005</v>
      </c>
      <c r="D5161" s="2">
        <f>HYPERLINK("http://mcb-m6.bioreg.kyushu-u.ac.jp/M3/20110318/F50613/1341/1", 45.59)</f>
        <v>45.59</v>
      </c>
      <c r="E5161" s="2">
        <v>29.66</v>
      </c>
      <c r="F5161" s="2">
        <v>2</v>
      </c>
      <c r="G5161" s="2" t="s">
        <v>10</v>
      </c>
    </row>
    <row r="5162" spans="1:8" x14ac:dyDescent="0.2">
      <c r="A5162" s="2" t="s">
        <v>3267</v>
      </c>
      <c r="B5162" s="2" t="s">
        <v>491</v>
      </c>
      <c r="C5162" s="2">
        <v>766.32870000000003</v>
      </c>
      <c r="D5162" s="2">
        <f>HYPERLINK("http://mcb-m6.bioreg.kyushu-u.ac.jp/M3/20110318/F50613/1741/1", 45.66)</f>
        <v>45.66</v>
      </c>
      <c r="E5162" s="2">
        <v>30.25</v>
      </c>
      <c r="F5162" s="2">
        <v>2</v>
      </c>
      <c r="G5162" s="2" t="s">
        <v>10</v>
      </c>
    </row>
    <row r="5163" spans="1:8" x14ac:dyDescent="0.2">
      <c r="A5163" s="2" t="s">
        <v>3267</v>
      </c>
      <c r="B5163" s="2" t="s">
        <v>433</v>
      </c>
      <c r="C5163" s="2">
        <v>819.51869999999997</v>
      </c>
      <c r="D5163" s="2">
        <f>HYPERLINK("http://mcb-m6.bioreg.kyushu-u.ac.jp/M3/20110318/F50598/1845/1", 45.73)</f>
        <v>45.73</v>
      </c>
      <c r="E5163" s="2">
        <v>34.01</v>
      </c>
      <c r="F5163" s="2">
        <v>2</v>
      </c>
      <c r="G5163" s="2" t="s">
        <v>10</v>
      </c>
    </row>
    <row r="5164" spans="1:8" x14ac:dyDescent="0.2">
      <c r="A5164" s="2" t="s">
        <v>3267</v>
      </c>
      <c r="B5164" s="2" t="s">
        <v>97</v>
      </c>
      <c r="C5164" s="2">
        <v>668.77809999999999</v>
      </c>
      <c r="D5164" s="2">
        <f>HYPERLINK("http://mcb-m6.bioreg.kyushu-u.ac.jp/M3/20110318/F50596/1384/1", 46.06)</f>
        <v>46.06</v>
      </c>
      <c r="E5164" s="2">
        <v>27.88</v>
      </c>
      <c r="F5164" s="2">
        <v>2</v>
      </c>
      <c r="G5164" s="2" t="s">
        <v>10</v>
      </c>
    </row>
    <row r="5165" spans="1:8" x14ac:dyDescent="0.2">
      <c r="A5165" s="2" t="s">
        <v>3267</v>
      </c>
      <c r="B5165" s="2" t="s">
        <v>223</v>
      </c>
      <c r="C5165" s="2">
        <v>790.39319999999998</v>
      </c>
      <c r="D5165" s="2">
        <f>HYPERLINK("http://mcb-m6.bioreg.kyushu-u.ac.jp/M3/20110318/F50613/1886/1", 46.16)</f>
        <v>46.16</v>
      </c>
      <c r="E5165" s="2">
        <v>24.49</v>
      </c>
      <c r="F5165" s="2">
        <v>2</v>
      </c>
      <c r="G5165" s="2" t="s">
        <v>10</v>
      </c>
      <c r="H5165" s="2" t="s">
        <v>4917</v>
      </c>
    </row>
    <row r="5166" spans="1:8" x14ac:dyDescent="0.2">
      <c r="A5166" s="2" t="s">
        <v>3267</v>
      </c>
      <c r="B5166" s="2" t="s">
        <v>602</v>
      </c>
      <c r="C5166" s="2">
        <v>1483.66</v>
      </c>
      <c r="D5166" s="2">
        <f>HYPERLINK("http://mcb-m6.bioreg.kyushu-u.ac.jp/M3/20110318/F50613/1620/1", 46.58)</f>
        <v>46.58</v>
      </c>
      <c r="E5166" s="2">
        <v>38.909999999999997</v>
      </c>
      <c r="F5166" s="2">
        <v>1</v>
      </c>
      <c r="G5166" s="2" t="s">
        <v>10</v>
      </c>
    </row>
    <row r="5167" spans="1:8" x14ac:dyDescent="0.2">
      <c r="A5167" s="2" t="s">
        <v>3267</v>
      </c>
      <c r="B5167" s="2" t="s">
        <v>97</v>
      </c>
      <c r="C5167" s="2">
        <v>669.31820000000005</v>
      </c>
      <c r="D5167" s="2">
        <f>HYPERLINK("http://mcb-m6.bioreg.kyushu-u.ac.jp/M3/20110318/F50597/1325/1", 46.73)</f>
        <v>46.73</v>
      </c>
      <c r="E5167" s="2">
        <v>26.7</v>
      </c>
      <c r="F5167" s="2">
        <v>2</v>
      </c>
      <c r="G5167" s="2" t="s">
        <v>10</v>
      </c>
    </row>
    <row r="5168" spans="1:8" x14ac:dyDescent="0.2">
      <c r="A5168" s="2" t="s">
        <v>3267</v>
      </c>
      <c r="B5168" s="2" t="s">
        <v>491</v>
      </c>
      <c r="C5168" s="2">
        <v>766.4692</v>
      </c>
      <c r="D5168" s="2">
        <f>HYPERLINK("http://mcb-m6.bioreg.kyushu-u.ac.jp/M3/20110318/F50613/1749/1", 47.17)</f>
        <v>47.17</v>
      </c>
      <c r="E5168" s="2">
        <v>29.52</v>
      </c>
      <c r="F5168" s="2">
        <v>2</v>
      </c>
      <c r="G5168" s="2" t="s">
        <v>10</v>
      </c>
    </row>
    <row r="5169" spans="1:7" x14ac:dyDescent="0.2">
      <c r="A5169" s="2" t="s">
        <v>3267</v>
      </c>
      <c r="B5169" s="2" t="s">
        <v>697</v>
      </c>
      <c r="C5169" s="2">
        <v>733.38919999999996</v>
      </c>
      <c r="D5169" s="2">
        <f>HYPERLINK("http://mcb-m6.bioreg.kyushu-u.ac.jp/M3/20110318/F50613/1561/1", 47.21)</f>
        <v>47.21</v>
      </c>
      <c r="E5169" s="2">
        <v>24.97</v>
      </c>
      <c r="F5169" s="2">
        <v>2</v>
      </c>
      <c r="G5169" s="2" t="s">
        <v>10</v>
      </c>
    </row>
    <row r="5170" spans="1:7" x14ac:dyDescent="0.2">
      <c r="A5170" s="2" t="s">
        <v>3267</v>
      </c>
      <c r="B5170" s="2" t="s">
        <v>697</v>
      </c>
      <c r="C5170" s="2">
        <v>732.90920000000006</v>
      </c>
      <c r="D5170" s="2">
        <f>HYPERLINK("http://mcb-m6.bioreg.kyushu-u.ac.jp/M3/20110318/F50599/1669/1", 47.26)</f>
        <v>47.26</v>
      </c>
      <c r="E5170" s="2">
        <v>21.56</v>
      </c>
      <c r="F5170" s="2">
        <v>2</v>
      </c>
      <c r="G5170" s="2" t="s">
        <v>10</v>
      </c>
    </row>
    <row r="5171" spans="1:7" x14ac:dyDescent="0.2">
      <c r="A5171" s="2" t="s">
        <v>3267</v>
      </c>
      <c r="B5171" s="2" t="s">
        <v>491</v>
      </c>
      <c r="C5171" s="2">
        <v>766.9991</v>
      </c>
      <c r="D5171" s="2">
        <f>HYPERLINK("http://mcb-m6.bioreg.kyushu-u.ac.jp/M3/20110318/F50613/1764/1", 47.26)</f>
        <v>47.26</v>
      </c>
      <c r="E5171" s="2">
        <v>37.39</v>
      </c>
      <c r="F5171" s="2">
        <v>2</v>
      </c>
      <c r="G5171" s="2" t="s">
        <v>10</v>
      </c>
    </row>
    <row r="5172" spans="1:7" x14ac:dyDescent="0.2">
      <c r="A5172" s="2" t="s">
        <v>3267</v>
      </c>
      <c r="B5172" s="2" t="s">
        <v>697</v>
      </c>
      <c r="C5172" s="2">
        <v>732.85469999999998</v>
      </c>
      <c r="D5172" s="2">
        <f>HYPERLINK("http://mcb-m6.bioreg.kyushu-u.ac.jp/M3/20110318/F50596/1585/1", 47.35)</f>
        <v>47.35</v>
      </c>
      <c r="E5172" s="2">
        <v>27.17</v>
      </c>
      <c r="F5172" s="2">
        <v>2</v>
      </c>
      <c r="G5172" s="2" t="s">
        <v>10</v>
      </c>
    </row>
    <row r="5173" spans="1:7" x14ac:dyDescent="0.2">
      <c r="A5173" s="2" t="s">
        <v>3267</v>
      </c>
      <c r="B5173" s="2" t="s">
        <v>97</v>
      </c>
      <c r="C5173" s="2">
        <v>668.88869999999997</v>
      </c>
      <c r="D5173" s="2">
        <f>HYPERLINK("http://mcb-m6.bioreg.kyushu-u.ac.jp/M3/20110318/F50598/1358/1", 47.55)</f>
        <v>47.55</v>
      </c>
      <c r="E5173" s="2">
        <v>30.1</v>
      </c>
      <c r="F5173" s="2">
        <v>2</v>
      </c>
      <c r="G5173" s="2" t="s">
        <v>10</v>
      </c>
    </row>
    <row r="5174" spans="1:7" x14ac:dyDescent="0.2">
      <c r="A5174" s="2" t="s">
        <v>3267</v>
      </c>
      <c r="B5174" s="2" t="s">
        <v>433</v>
      </c>
      <c r="C5174" s="2">
        <v>819.87570000000005</v>
      </c>
      <c r="D5174" s="2">
        <f>HYPERLINK("http://mcb-m6.bioreg.kyushu-u.ac.jp/M3/20110318/F50613/2007/1", 47.86)</f>
        <v>47.86</v>
      </c>
      <c r="E5174" s="2">
        <v>35.9</v>
      </c>
      <c r="F5174" s="2">
        <v>2</v>
      </c>
      <c r="G5174" s="2" t="s">
        <v>10</v>
      </c>
    </row>
    <row r="5175" spans="1:7" x14ac:dyDescent="0.2">
      <c r="A5175" s="2" t="s">
        <v>3267</v>
      </c>
      <c r="B5175" s="2" t="s">
        <v>223</v>
      </c>
      <c r="C5175" s="2">
        <v>782.33259999999996</v>
      </c>
      <c r="D5175" s="2">
        <f>HYPERLINK("http://mcb-m6.bioreg.kyushu-u.ac.jp/M3/20110318/F50613/1844/1", 47.91)</f>
        <v>47.91</v>
      </c>
      <c r="E5175" s="2">
        <v>33.74</v>
      </c>
      <c r="F5175" s="2">
        <v>2</v>
      </c>
      <c r="G5175" s="2" t="s">
        <v>10</v>
      </c>
    </row>
    <row r="5176" spans="1:7" x14ac:dyDescent="0.2">
      <c r="A5176" s="2" t="s">
        <v>3267</v>
      </c>
      <c r="B5176" s="2" t="s">
        <v>491</v>
      </c>
      <c r="C5176" s="2">
        <v>766.4402</v>
      </c>
      <c r="D5176" s="2">
        <f>HYPERLINK("http://mcb-m6.bioreg.kyushu-u.ac.jp/M3/20110318/F50613/1747/1", 48.93)</f>
        <v>48.93</v>
      </c>
      <c r="E5176" s="2">
        <v>36.03</v>
      </c>
      <c r="F5176" s="2">
        <v>2</v>
      </c>
      <c r="G5176" s="2" t="s">
        <v>10</v>
      </c>
    </row>
    <row r="5177" spans="1:7" x14ac:dyDescent="0.2">
      <c r="A5177" s="2" t="s">
        <v>3267</v>
      </c>
      <c r="B5177" s="2" t="s">
        <v>491</v>
      </c>
      <c r="C5177" s="2">
        <v>766.44820000000004</v>
      </c>
      <c r="D5177" s="2">
        <f>HYPERLINK("http://mcb-m6.bioreg.kyushu-u.ac.jp/M3/20110318/F50613/1748/1", 49.56)</f>
        <v>49.56</v>
      </c>
      <c r="E5177" s="2">
        <v>37.47</v>
      </c>
      <c r="F5177" s="2">
        <v>2</v>
      </c>
      <c r="G5177" s="2" t="s">
        <v>10</v>
      </c>
    </row>
    <row r="5178" spans="1:7" x14ac:dyDescent="0.2">
      <c r="A5178" s="2" t="s">
        <v>3267</v>
      </c>
      <c r="B5178" s="2" t="s">
        <v>433</v>
      </c>
      <c r="C5178" s="2">
        <v>819.38959999999997</v>
      </c>
      <c r="D5178" s="2">
        <f>HYPERLINK("http://mcb-m6.bioreg.kyushu-u.ac.jp/M3/20110318/F50614/2012/1", 49.69)</f>
        <v>49.69</v>
      </c>
      <c r="E5178" s="2">
        <v>34.06</v>
      </c>
      <c r="F5178" s="2">
        <v>2</v>
      </c>
      <c r="G5178" s="2" t="s">
        <v>10</v>
      </c>
    </row>
    <row r="5179" spans="1:7" x14ac:dyDescent="0.2">
      <c r="A5179" s="2" t="s">
        <v>3267</v>
      </c>
      <c r="B5179" s="2" t="s">
        <v>433</v>
      </c>
      <c r="C5179" s="2">
        <v>819.42020000000002</v>
      </c>
      <c r="D5179" s="2">
        <f>HYPERLINK("http://mcb-m6.bioreg.kyushu-u.ac.jp/M3/20110318/F50613/1996/1", 50.79)</f>
        <v>50.79</v>
      </c>
      <c r="E5179" s="2">
        <v>39.229999999999997</v>
      </c>
      <c r="F5179" s="2">
        <v>2</v>
      </c>
      <c r="G5179" s="2" t="s">
        <v>10</v>
      </c>
    </row>
    <row r="5180" spans="1:7" x14ac:dyDescent="0.2">
      <c r="A5180" s="2" t="s">
        <v>3267</v>
      </c>
      <c r="B5180" s="2" t="s">
        <v>97</v>
      </c>
      <c r="C5180" s="2">
        <v>668.84770000000003</v>
      </c>
      <c r="D5180" s="2">
        <f>HYPERLINK("http://mcb-m6.bioreg.kyushu-u.ac.jp/M3/20110318/F50613/1336/1", 50.94)</f>
        <v>50.94</v>
      </c>
      <c r="E5180" s="2">
        <v>29.63</v>
      </c>
      <c r="F5180" s="2">
        <v>2</v>
      </c>
      <c r="G5180" s="2" t="s">
        <v>10</v>
      </c>
    </row>
    <row r="5181" spans="1:7" x14ac:dyDescent="0.2">
      <c r="A5181" s="2" t="s">
        <v>3267</v>
      </c>
      <c r="B5181" s="2" t="s">
        <v>97</v>
      </c>
      <c r="C5181" s="2">
        <v>669.19870000000003</v>
      </c>
      <c r="D5181" s="2">
        <f>HYPERLINK("http://mcb-m6.bioreg.kyushu-u.ac.jp/M3/20110318/F50617/1298/1", 50.98)</f>
        <v>50.98</v>
      </c>
      <c r="E5181" s="2">
        <v>27.69</v>
      </c>
      <c r="F5181" s="2">
        <v>2</v>
      </c>
      <c r="G5181" s="2" t="s">
        <v>10</v>
      </c>
    </row>
    <row r="5182" spans="1:7" x14ac:dyDescent="0.2">
      <c r="A5182" s="2" t="s">
        <v>3267</v>
      </c>
      <c r="B5182" s="2" t="s">
        <v>97</v>
      </c>
      <c r="C5182" s="2">
        <v>668.89919999999995</v>
      </c>
      <c r="D5182" s="2">
        <f>HYPERLINK("http://mcb-m6.bioreg.kyushu-u.ac.jp/M3/20110318/F50600/1363/1", 51.04)</f>
        <v>51.04</v>
      </c>
      <c r="E5182" s="2">
        <v>34.32</v>
      </c>
      <c r="F5182" s="2">
        <v>2</v>
      </c>
      <c r="G5182" s="2" t="s">
        <v>10</v>
      </c>
    </row>
    <row r="5183" spans="1:7" x14ac:dyDescent="0.2">
      <c r="A5183" s="2" t="s">
        <v>3267</v>
      </c>
      <c r="B5183" s="2" t="s">
        <v>855</v>
      </c>
      <c r="C5183" s="2">
        <v>498.95310000000001</v>
      </c>
      <c r="D5183" s="2">
        <f>HYPERLINK("http://mcb-m6.bioreg.kyushu-u.ac.jp/M3/20110318/F50613/908/1", 51.1)</f>
        <v>51.1</v>
      </c>
      <c r="E5183" s="2">
        <v>9.69</v>
      </c>
      <c r="F5183" s="2">
        <v>2</v>
      </c>
      <c r="G5183" s="2" t="s">
        <v>10</v>
      </c>
    </row>
    <row r="5184" spans="1:7" x14ac:dyDescent="0.2">
      <c r="A5184" s="2" t="s">
        <v>3267</v>
      </c>
      <c r="B5184" s="2" t="s">
        <v>491</v>
      </c>
      <c r="C5184" s="2">
        <v>766.50210000000004</v>
      </c>
      <c r="D5184" s="2">
        <f>HYPERLINK("http://mcb-m6.bioreg.kyushu-u.ac.jp/M3/20110318/F50613/1752/1", 51.19)</f>
        <v>51.19</v>
      </c>
      <c r="E5184" s="2">
        <v>38.22</v>
      </c>
      <c r="F5184" s="2">
        <v>2</v>
      </c>
      <c r="G5184" s="2" t="s">
        <v>10</v>
      </c>
    </row>
    <row r="5185" spans="1:7" x14ac:dyDescent="0.2">
      <c r="A5185" s="2" t="s">
        <v>3267</v>
      </c>
      <c r="B5185" s="2" t="s">
        <v>433</v>
      </c>
      <c r="C5185" s="2">
        <v>819.53719999999998</v>
      </c>
      <c r="D5185" s="2">
        <f>HYPERLINK("http://mcb-m6.bioreg.kyushu-u.ac.jp/M3/20110318/F50597/1918/1", 51.43)</f>
        <v>51.43</v>
      </c>
      <c r="E5185" s="2">
        <v>42.04</v>
      </c>
      <c r="F5185" s="2">
        <v>2</v>
      </c>
      <c r="G5185" s="2" t="s">
        <v>10</v>
      </c>
    </row>
    <row r="5186" spans="1:7" x14ac:dyDescent="0.2">
      <c r="A5186" s="2" t="s">
        <v>3267</v>
      </c>
      <c r="B5186" s="2" t="s">
        <v>697</v>
      </c>
      <c r="C5186" s="2">
        <v>732.9692</v>
      </c>
      <c r="D5186" s="2">
        <f>HYPERLINK("http://mcb-m6.bioreg.kyushu-u.ac.jp/M3/20110318/F50597/1544/1", 52.07)</f>
        <v>52.07</v>
      </c>
      <c r="E5186" s="2">
        <v>35.31</v>
      </c>
      <c r="F5186" s="2">
        <v>2</v>
      </c>
      <c r="G5186" s="2" t="s">
        <v>10</v>
      </c>
    </row>
    <row r="5187" spans="1:7" x14ac:dyDescent="0.2">
      <c r="A5187" s="2" t="s">
        <v>3267</v>
      </c>
      <c r="B5187" s="2" t="s">
        <v>433</v>
      </c>
      <c r="C5187" s="2">
        <v>819.44119999999998</v>
      </c>
      <c r="D5187" s="2">
        <f>HYPERLINK("http://mcb-m6.bioreg.kyushu-u.ac.jp/M3/20110318/F50615/1839/1", 53)</f>
        <v>53</v>
      </c>
      <c r="E5187" s="2">
        <v>40.840000000000003</v>
      </c>
      <c r="F5187" s="2">
        <v>2</v>
      </c>
      <c r="G5187" s="2" t="s">
        <v>10</v>
      </c>
    </row>
    <row r="5188" spans="1:7" x14ac:dyDescent="0.2">
      <c r="A5188" s="2" t="s">
        <v>3267</v>
      </c>
      <c r="B5188" s="2" t="s">
        <v>2589</v>
      </c>
      <c r="C5188" s="2">
        <v>680.41470000000004</v>
      </c>
      <c r="D5188" s="2">
        <f>HYPERLINK("http://mcb-m6.bioreg.kyushu-u.ac.jp/M3/20110318/F50613/1381/1", 53.4)</f>
        <v>53.4</v>
      </c>
      <c r="E5188" s="2">
        <v>38.479999999999997</v>
      </c>
      <c r="F5188" s="2">
        <v>2</v>
      </c>
      <c r="G5188" s="2" t="s">
        <v>10</v>
      </c>
    </row>
    <row r="5189" spans="1:7" x14ac:dyDescent="0.2">
      <c r="A5189" s="2" t="s">
        <v>3267</v>
      </c>
      <c r="B5189" s="2" t="s">
        <v>433</v>
      </c>
      <c r="C5189" s="2">
        <v>819.41920000000005</v>
      </c>
      <c r="D5189" s="2">
        <f>HYPERLINK("http://mcb-m6.bioreg.kyushu-u.ac.jp/M3/20110318/F50613/1995/1", 53.53)</f>
        <v>53.53</v>
      </c>
      <c r="E5189" s="2">
        <v>42.45</v>
      </c>
      <c r="F5189" s="2">
        <v>2</v>
      </c>
      <c r="G5189" s="2" t="s">
        <v>10</v>
      </c>
    </row>
    <row r="5190" spans="1:7" x14ac:dyDescent="0.2">
      <c r="A5190" s="2" t="s">
        <v>3267</v>
      </c>
      <c r="B5190" s="2" t="s">
        <v>994</v>
      </c>
      <c r="C5190" s="2">
        <v>580.37620000000004</v>
      </c>
      <c r="D5190" s="2">
        <f>HYPERLINK("http://mcb-m6.bioreg.kyushu-u.ac.jp/M3/20110318/F50613/1138/1", 53.64)</f>
        <v>53.64</v>
      </c>
      <c r="E5190" s="2">
        <v>31.01</v>
      </c>
      <c r="F5190" s="2">
        <v>2</v>
      </c>
      <c r="G5190" s="2" t="s">
        <v>10</v>
      </c>
    </row>
    <row r="5191" spans="1:7" x14ac:dyDescent="0.2">
      <c r="A5191" s="2" t="s">
        <v>3267</v>
      </c>
      <c r="B5191" s="2" t="s">
        <v>1606</v>
      </c>
      <c r="C5191" s="2">
        <v>862.39260000000002</v>
      </c>
      <c r="D5191" s="2">
        <f>HYPERLINK("http://mcb-m6.bioreg.kyushu-u.ac.jp/M3/20110318/F50613/2171/1", 53.77)</f>
        <v>53.77</v>
      </c>
      <c r="E5191" s="2">
        <v>39.19</v>
      </c>
      <c r="F5191" s="2">
        <v>2</v>
      </c>
      <c r="G5191" s="2" t="s">
        <v>10</v>
      </c>
    </row>
    <row r="5192" spans="1:7" x14ac:dyDescent="0.2">
      <c r="A5192" s="2" t="s">
        <v>3267</v>
      </c>
      <c r="B5192" s="2" t="s">
        <v>1526</v>
      </c>
      <c r="C5192" s="2">
        <v>619.77560000000005</v>
      </c>
      <c r="D5192" s="2">
        <f>HYPERLINK("http://mcb-m6.bioreg.kyushu-u.ac.jp/M3/20110318/F50613/1234/1", 53.85)</f>
        <v>53.85</v>
      </c>
      <c r="E5192" s="2">
        <v>32.54</v>
      </c>
      <c r="F5192" s="2">
        <v>2</v>
      </c>
      <c r="G5192" s="2" t="s">
        <v>10</v>
      </c>
    </row>
    <row r="5193" spans="1:7" x14ac:dyDescent="0.2">
      <c r="A5193" s="2" t="s">
        <v>3267</v>
      </c>
      <c r="B5193" s="2" t="s">
        <v>97</v>
      </c>
      <c r="C5193" s="2">
        <v>668.74959999999999</v>
      </c>
      <c r="D5193" s="2">
        <f>HYPERLINK("http://mcb-m6.bioreg.kyushu-u.ac.jp/M3/20110318/F50611/1375/1", 54.7)</f>
        <v>54.7</v>
      </c>
      <c r="E5193" s="2">
        <v>35.979999999999997</v>
      </c>
      <c r="F5193" s="2">
        <v>2</v>
      </c>
      <c r="G5193" s="2" t="s">
        <v>10</v>
      </c>
    </row>
    <row r="5194" spans="1:7" x14ac:dyDescent="0.2">
      <c r="A5194" s="2" t="s">
        <v>3267</v>
      </c>
      <c r="B5194" s="2" t="s">
        <v>697</v>
      </c>
      <c r="C5194" s="2">
        <v>489.00920000000002</v>
      </c>
      <c r="D5194" s="2">
        <f>HYPERLINK("http://mcb-m6.bioreg.kyushu-u.ac.jp/M3/20110318/F50596/1587/1", 56.34)</f>
        <v>56.34</v>
      </c>
      <c r="E5194" s="2">
        <v>33.17</v>
      </c>
      <c r="F5194" s="2">
        <v>3</v>
      </c>
      <c r="G5194" s="2" t="s">
        <v>10</v>
      </c>
    </row>
    <row r="5195" spans="1:7" x14ac:dyDescent="0.2">
      <c r="A5195" s="2" t="s">
        <v>3267</v>
      </c>
      <c r="B5195" s="2" t="s">
        <v>1606</v>
      </c>
      <c r="C5195" s="2">
        <v>575.38649999999996</v>
      </c>
      <c r="D5195" s="2">
        <f>HYPERLINK("http://mcb-m6.bioreg.kyushu-u.ac.jp/M3/20110318/F50613/2173/1", 56.71)</f>
        <v>56.71</v>
      </c>
      <c r="E5195" s="2">
        <v>36.74</v>
      </c>
      <c r="F5195" s="2">
        <v>3</v>
      </c>
      <c r="G5195" s="2" t="s">
        <v>10</v>
      </c>
    </row>
    <row r="5196" spans="1:7" x14ac:dyDescent="0.2">
      <c r="A5196" s="2" t="s">
        <v>3267</v>
      </c>
      <c r="B5196" s="2" t="s">
        <v>491</v>
      </c>
      <c r="C5196" s="2">
        <v>766.43820000000005</v>
      </c>
      <c r="D5196" s="2">
        <f>HYPERLINK("http://mcb-m6.bioreg.kyushu-u.ac.jp/M3/20110318/F50613/1746/1", 57.4)</f>
        <v>57.4</v>
      </c>
      <c r="E5196" s="2">
        <v>40.83</v>
      </c>
      <c r="F5196" s="2">
        <v>2</v>
      </c>
      <c r="G5196" s="2" t="s">
        <v>10</v>
      </c>
    </row>
    <row r="5197" spans="1:7" x14ac:dyDescent="0.2">
      <c r="A5197" s="2" t="s">
        <v>3267</v>
      </c>
      <c r="B5197" s="2" t="s">
        <v>697</v>
      </c>
      <c r="C5197" s="2">
        <v>733.0231</v>
      </c>
      <c r="D5197" s="2">
        <f>HYPERLINK("http://mcb-m6.bioreg.kyushu-u.ac.jp/M3/20110318/F50616/1597/1", 57.81)</f>
        <v>57.81</v>
      </c>
      <c r="E5197" s="2">
        <v>34.36</v>
      </c>
      <c r="F5197" s="2">
        <v>2</v>
      </c>
      <c r="G5197" s="2" t="s">
        <v>10</v>
      </c>
    </row>
    <row r="5198" spans="1:7" x14ac:dyDescent="0.2">
      <c r="A5198" s="2" t="s">
        <v>3267</v>
      </c>
      <c r="B5198" s="2" t="s">
        <v>491</v>
      </c>
      <c r="C5198" s="2">
        <v>766.38620000000003</v>
      </c>
      <c r="D5198" s="2">
        <f>HYPERLINK("http://mcb-m6.bioreg.kyushu-u.ac.jp/M3/20110318/F50613/1745/1", 59.52)</f>
        <v>59.52</v>
      </c>
      <c r="E5198" s="2">
        <v>45.84</v>
      </c>
      <c r="F5198" s="2">
        <v>2</v>
      </c>
      <c r="G5198" s="2" t="s">
        <v>10</v>
      </c>
    </row>
    <row r="5199" spans="1:7" x14ac:dyDescent="0.2">
      <c r="A5199" s="2" t="s">
        <v>3267</v>
      </c>
      <c r="B5199" s="2" t="s">
        <v>2906</v>
      </c>
      <c r="C5199" s="2">
        <v>500.42509999999999</v>
      </c>
      <c r="D5199" s="2">
        <f>HYPERLINK("http://mcb-m6.bioreg.kyushu-u.ac.jp/M3/20110318/F50613/913/1", 59.74)</f>
        <v>59.74</v>
      </c>
      <c r="E5199" s="2">
        <v>29.85</v>
      </c>
      <c r="F5199" s="2">
        <v>2</v>
      </c>
      <c r="G5199" s="2" t="s">
        <v>10</v>
      </c>
    </row>
    <row r="5200" spans="1:7" x14ac:dyDescent="0.2">
      <c r="A5200" s="2" t="s">
        <v>3267</v>
      </c>
      <c r="B5200" s="2" t="s">
        <v>491</v>
      </c>
      <c r="C5200" s="2">
        <v>766.68119999999999</v>
      </c>
      <c r="D5200" s="2">
        <f>HYPERLINK("http://mcb-m6.bioreg.kyushu-u.ac.jp/M3/20110318/F50613/1758/1", 59.74)</f>
        <v>59.74</v>
      </c>
      <c r="E5200" s="2">
        <v>43.14</v>
      </c>
      <c r="F5200" s="2">
        <v>2</v>
      </c>
      <c r="G5200" s="2" t="s">
        <v>10</v>
      </c>
    </row>
    <row r="5201" spans="1:9" x14ac:dyDescent="0.2">
      <c r="A5201" s="2" t="s">
        <v>3267</v>
      </c>
      <c r="B5201" s="2" t="s">
        <v>602</v>
      </c>
      <c r="C5201" s="2">
        <v>742.62019999999995</v>
      </c>
      <c r="D5201" s="2">
        <f>HYPERLINK("http://mcb-m6.bioreg.kyushu-u.ac.jp/M3/20110318/F50596/1650/1", 60.58)</f>
        <v>60.58</v>
      </c>
      <c r="E5201" s="2">
        <v>52.15</v>
      </c>
      <c r="F5201" s="2">
        <v>2</v>
      </c>
      <c r="G5201" s="2" t="s">
        <v>10</v>
      </c>
    </row>
    <row r="5202" spans="1:9" x14ac:dyDescent="0.2">
      <c r="A5202" s="2" t="s">
        <v>3267</v>
      </c>
      <c r="B5202" s="2" t="s">
        <v>491</v>
      </c>
      <c r="C5202" s="2">
        <v>766.44069999999999</v>
      </c>
      <c r="D5202" s="2">
        <f>HYPERLINK("http://mcb-m6.bioreg.kyushu-u.ac.jp/M3/20110318/F50596/1741/1", 61.46)</f>
        <v>61.46</v>
      </c>
      <c r="E5202" s="2">
        <v>50.2</v>
      </c>
      <c r="F5202" s="2">
        <v>2</v>
      </c>
      <c r="G5202" s="2" t="s">
        <v>10</v>
      </c>
    </row>
    <row r="5203" spans="1:9" x14ac:dyDescent="0.2">
      <c r="A5203" s="2" t="s">
        <v>3267</v>
      </c>
      <c r="B5203" s="2" t="s">
        <v>2906</v>
      </c>
      <c r="C5203" s="2">
        <v>500.35509999999999</v>
      </c>
      <c r="D5203" s="2">
        <f>HYPERLINK("http://mcb-m6.bioreg.kyushu-u.ac.jp/M3/20110318/F50613/910/1", 61.74)</f>
        <v>61.74</v>
      </c>
      <c r="E5203" s="2">
        <v>33.33</v>
      </c>
      <c r="F5203" s="2">
        <v>2</v>
      </c>
      <c r="G5203" s="2" t="s">
        <v>10</v>
      </c>
    </row>
    <row r="5204" spans="1:9" x14ac:dyDescent="0.2">
      <c r="A5204" s="2" t="s">
        <v>3267</v>
      </c>
      <c r="B5204" s="2" t="s">
        <v>491</v>
      </c>
      <c r="C5204" s="2">
        <v>766.42570000000001</v>
      </c>
      <c r="D5204" s="2">
        <f>HYPERLINK("http://mcb-m6.bioreg.kyushu-u.ac.jp/M3/20110318/F50611/1774/1", 63.96)</f>
        <v>63.96</v>
      </c>
      <c r="E5204" s="2">
        <v>46.72</v>
      </c>
      <c r="F5204" s="2">
        <v>2</v>
      </c>
      <c r="G5204" s="2" t="s">
        <v>10</v>
      </c>
    </row>
    <row r="5205" spans="1:9" x14ac:dyDescent="0.2">
      <c r="A5205" s="2" t="s">
        <v>3267</v>
      </c>
      <c r="B5205" s="2" t="s">
        <v>1923</v>
      </c>
      <c r="C5205" s="2">
        <v>544.67520000000002</v>
      </c>
      <c r="D5205" s="2">
        <f>HYPERLINK("http://mcb-m6.bioreg.kyushu-u.ac.jp/M3/20110318/F50612/1082/1", 66.6)</f>
        <v>66.599999999999994</v>
      </c>
      <c r="E5205" s="2">
        <v>40.49</v>
      </c>
      <c r="F5205" s="2">
        <v>2</v>
      </c>
      <c r="G5205" s="2" t="s">
        <v>10</v>
      </c>
    </row>
    <row r="5206" spans="1:9" x14ac:dyDescent="0.2">
      <c r="A5206" s="2" t="s">
        <v>3267</v>
      </c>
      <c r="B5206" s="2" t="s">
        <v>491</v>
      </c>
      <c r="C5206" s="2">
        <v>766.85360000000003</v>
      </c>
      <c r="D5206" s="2">
        <f>HYPERLINK("http://mcb-m6.bioreg.kyushu-u.ac.jp/M3/20110318/F50612/1651/1", 66.68)</f>
        <v>66.680000000000007</v>
      </c>
      <c r="E5206" s="2">
        <v>49.89</v>
      </c>
      <c r="F5206" s="2">
        <v>2</v>
      </c>
      <c r="G5206" s="2" t="s">
        <v>10</v>
      </c>
    </row>
    <row r="5207" spans="1:9" x14ac:dyDescent="0.2">
      <c r="A5207" s="2" t="s">
        <v>3267</v>
      </c>
      <c r="B5207" s="2" t="s">
        <v>491</v>
      </c>
      <c r="C5207" s="2">
        <v>766.64919999999995</v>
      </c>
      <c r="D5207" s="2">
        <f>HYPERLINK("http://mcb-m6.bioreg.kyushu-u.ac.jp/M3/20110318/F50613/1757/1", 66.99)</f>
        <v>66.989999999999995</v>
      </c>
      <c r="E5207" s="2">
        <v>53.99</v>
      </c>
      <c r="F5207" s="2">
        <v>2</v>
      </c>
      <c r="G5207" s="2" t="s">
        <v>10</v>
      </c>
    </row>
    <row r="5208" spans="1:9" x14ac:dyDescent="0.2">
      <c r="A5208" s="2" t="s">
        <v>3267</v>
      </c>
      <c r="B5208" s="2" t="s">
        <v>491</v>
      </c>
      <c r="C5208" s="2">
        <v>766.50210000000004</v>
      </c>
      <c r="D5208" s="2">
        <f>HYPERLINK("http://mcb-m6.bioreg.kyushu-u.ac.jp/M3/20110318/F50616/1794/1", 67.79)</f>
        <v>67.790000000000006</v>
      </c>
      <c r="E5208" s="2">
        <v>54.49</v>
      </c>
      <c r="F5208" s="2">
        <v>2</v>
      </c>
      <c r="G5208" s="2" t="s">
        <v>10</v>
      </c>
    </row>
    <row r="5209" spans="1:9" x14ac:dyDescent="0.2">
      <c r="A5209" s="2" t="s">
        <v>3267</v>
      </c>
      <c r="B5209" s="2" t="s">
        <v>491</v>
      </c>
      <c r="C5209" s="2">
        <v>766.44870000000003</v>
      </c>
      <c r="D5209" s="2">
        <f>HYPERLINK("http://mcb-m6.bioreg.kyushu-u.ac.jp/M3/20110318/F50614/1811/1", 68.04)</f>
        <v>68.040000000000006</v>
      </c>
      <c r="E5209" s="2">
        <v>53.43</v>
      </c>
      <c r="F5209" s="2">
        <v>2</v>
      </c>
      <c r="G5209" s="2" t="s">
        <v>10</v>
      </c>
    </row>
    <row r="5210" spans="1:9" x14ac:dyDescent="0.2">
      <c r="A5210" s="2" t="s">
        <v>3267</v>
      </c>
      <c r="B5210" s="2" t="s">
        <v>1353</v>
      </c>
      <c r="C5210" s="2">
        <v>1649.605</v>
      </c>
      <c r="D5210" s="2">
        <f>HYPERLINK("http://mcb-m6.bioreg.kyushu-u.ac.jp/M3/20110318/F50613/2029/1", 68.1)</f>
        <v>68.099999999999994</v>
      </c>
      <c r="E5210" s="2">
        <v>51.83</v>
      </c>
      <c r="F5210" s="2">
        <v>1</v>
      </c>
      <c r="G5210" s="2" t="s">
        <v>10</v>
      </c>
    </row>
    <row r="5211" spans="1:9" x14ac:dyDescent="0.2">
      <c r="A5211" s="2" t="s">
        <v>3267</v>
      </c>
      <c r="B5211" s="2" t="s">
        <v>1923</v>
      </c>
      <c r="C5211" s="2">
        <v>544.81410000000005</v>
      </c>
      <c r="D5211" s="2">
        <f>HYPERLINK("http://mcb-m6.bioreg.kyushu-u.ac.jp/M3/20110318/F50613/1038/1", 70.69)</f>
        <v>70.69</v>
      </c>
      <c r="E5211" s="2">
        <v>40.659999999999997</v>
      </c>
      <c r="F5211" s="2">
        <v>2</v>
      </c>
      <c r="G5211" s="2" t="s">
        <v>10</v>
      </c>
    </row>
    <row r="5212" spans="1:9" x14ac:dyDescent="0.2">
      <c r="A5212" s="2" t="s">
        <v>3267</v>
      </c>
      <c r="B5212" s="2" t="s">
        <v>491</v>
      </c>
      <c r="C5212" s="2">
        <v>1531.7260000000001</v>
      </c>
      <c r="D5212" s="2">
        <f>HYPERLINK("http://mcb-m6.bioreg.kyushu-u.ac.jp/M3/20110318/F50613/1742/1", 71.49)</f>
        <v>71.489999999999995</v>
      </c>
      <c r="E5212" s="2">
        <v>54.94</v>
      </c>
      <c r="F5212" s="2">
        <v>1</v>
      </c>
      <c r="G5212" s="2" t="s">
        <v>10</v>
      </c>
    </row>
    <row r="5213" spans="1:9" x14ac:dyDescent="0.2">
      <c r="A5213" s="2" t="s">
        <v>3267</v>
      </c>
      <c r="B5213" s="2" t="s">
        <v>2506</v>
      </c>
      <c r="C5213" s="2">
        <v>1045.402</v>
      </c>
      <c r="D5213" s="2">
        <f>HYPERLINK("http://mcb-m6.bioreg.kyushu-u.ac.jp/M3/20110318/F50613/2607/1", 72.04)</f>
        <v>72.040000000000006</v>
      </c>
      <c r="E5213" s="2">
        <v>58.23</v>
      </c>
      <c r="F5213" s="2">
        <v>2</v>
      </c>
      <c r="G5213" s="2" t="s">
        <v>10</v>
      </c>
      <c r="I5213" s="2" t="s">
        <v>4966</v>
      </c>
    </row>
    <row r="5214" spans="1:9" x14ac:dyDescent="0.2">
      <c r="A5214" s="2" t="s">
        <v>3267</v>
      </c>
      <c r="B5214" s="2" t="s">
        <v>491</v>
      </c>
      <c r="C5214" s="2">
        <v>766.88369999999998</v>
      </c>
      <c r="D5214" s="2">
        <f>HYPERLINK("http://mcb-m6.bioreg.kyushu-u.ac.jp/M3/20110318/F50613/1763/1", 72.18)</f>
        <v>72.180000000000007</v>
      </c>
      <c r="E5214" s="2">
        <v>53.5</v>
      </c>
      <c r="F5214" s="2">
        <v>2</v>
      </c>
      <c r="G5214" s="2" t="s">
        <v>10</v>
      </c>
    </row>
    <row r="5215" spans="1:9" x14ac:dyDescent="0.2">
      <c r="A5215" s="2" t="s">
        <v>3267</v>
      </c>
      <c r="B5215" s="2" t="s">
        <v>491</v>
      </c>
      <c r="C5215" s="2">
        <v>766.53920000000005</v>
      </c>
      <c r="D5215" s="2">
        <f>HYPERLINK("http://mcb-m6.bioreg.kyushu-u.ac.jp/M3/20110318/F50613/1754/1", 73.29)</f>
        <v>73.290000000000006</v>
      </c>
      <c r="E5215" s="2">
        <v>59.98</v>
      </c>
      <c r="F5215" s="2">
        <v>2</v>
      </c>
      <c r="G5215" s="2" t="s">
        <v>10</v>
      </c>
    </row>
    <row r="5216" spans="1:9" x14ac:dyDescent="0.2">
      <c r="A5216" s="2" t="s">
        <v>3267</v>
      </c>
      <c r="B5216" s="2" t="s">
        <v>491</v>
      </c>
      <c r="C5216" s="2">
        <v>766.52760000000001</v>
      </c>
      <c r="D5216" s="2">
        <f>HYPERLINK("http://mcb-m6.bioreg.kyushu-u.ac.jp/M3/20110318/F50598/1687/1", 76.46)</f>
        <v>76.459999999999994</v>
      </c>
      <c r="E5216" s="2">
        <v>61.49</v>
      </c>
      <c r="F5216" s="2">
        <v>2</v>
      </c>
      <c r="G5216" s="2" t="s">
        <v>10</v>
      </c>
    </row>
    <row r="5217" spans="1:7" x14ac:dyDescent="0.2">
      <c r="A5217" s="2" t="s">
        <v>3267</v>
      </c>
      <c r="B5217" s="2" t="s">
        <v>2071</v>
      </c>
      <c r="C5217" s="2">
        <v>1164.546</v>
      </c>
      <c r="D5217" s="2">
        <f>HYPERLINK("http://mcb-m6.bioreg.kyushu-u.ac.jp/M3/20110318/F50613/2920/1", 77.18)</f>
        <v>77.180000000000007</v>
      </c>
      <c r="E5217" s="2">
        <v>65.400000000000006</v>
      </c>
      <c r="F5217" s="2">
        <v>2</v>
      </c>
      <c r="G5217" s="2" t="s">
        <v>10</v>
      </c>
    </row>
    <row r="5218" spans="1:7" x14ac:dyDescent="0.2">
      <c r="A5218" s="2" t="s">
        <v>3267</v>
      </c>
      <c r="B5218" s="2" t="s">
        <v>1353</v>
      </c>
      <c r="C5218" s="2">
        <v>825.35310000000004</v>
      </c>
      <c r="D5218" s="2">
        <f>HYPERLINK("http://mcb-m6.bioreg.kyushu-u.ac.jp/M3/20110318/F50614/2035/1", 77.24)</f>
        <v>77.239999999999995</v>
      </c>
      <c r="E5218" s="2">
        <v>52.37</v>
      </c>
      <c r="F5218" s="2">
        <v>2</v>
      </c>
      <c r="G5218" s="2" t="s">
        <v>10</v>
      </c>
    </row>
    <row r="5219" spans="1:7" x14ac:dyDescent="0.2">
      <c r="A5219" s="2" t="s">
        <v>3267</v>
      </c>
      <c r="B5219" s="2" t="s">
        <v>602</v>
      </c>
      <c r="C5219" s="2">
        <v>742.50959999999998</v>
      </c>
      <c r="D5219" s="2">
        <f>HYPERLINK("http://mcb-m6.bioreg.kyushu-u.ac.jp/M3/20110318/F50613/1625/1", 77.38)</f>
        <v>77.38</v>
      </c>
      <c r="E5219" s="2">
        <v>65.48</v>
      </c>
      <c r="F5219" s="2">
        <v>2</v>
      </c>
      <c r="G5219" s="2" t="s">
        <v>10</v>
      </c>
    </row>
    <row r="5220" spans="1:7" x14ac:dyDescent="0.2">
      <c r="A5220" s="2" t="s">
        <v>3267</v>
      </c>
      <c r="B5220" s="2" t="s">
        <v>602</v>
      </c>
      <c r="C5220" s="2">
        <v>742.61220000000003</v>
      </c>
      <c r="D5220" s="2">
        <f>HYPERLINK("http://mcb-m6.bioreg.kyushu-u.ac.jp/M3/20110318/F50611/1671/1", 78.65)</f>
        <v>78.650000000000006</v>
      </c>
      <c r="E5220" s="2">
        <v>64.58</v>
      </c>
      <c r="F5220" s="2">
        <v>2</v>
      </c>
      <c r="G5220" s="2" t="s">
        <v>10</v>
      </c>
    </row>
    <row r="5221" spans="1:7" x14ac:dyDescent="0.2">
      <c r="A5221" s="2" t="s">
        <v>3267</v>
      </c>
      <c r="B5221" s="2" t="s">
        <v>491</v>
      </c>
      <c r="C5221" s="2">
        <v>766.39919999999995</v>
      </c>
      <c r="D5221" s="2">
        <f>HYPERLINK("http://mcb-m6.bioreg.kyushu-u.ac.jp/M3/20110318/F50615/1662/1", 79.4)</f>
        <v>79.400000000000006</v>
      </c>
      <c r="E5221" s="2">
        <v>63.52</v>
      </c>
      <c r="F5221" s="2">
        <v>2</v>
      </c>
      <c r="G5221" s="2" t="s">
        <v>10</v>
      </c>
    </row>
    <row r="5222" spans="1:7" x14ac:dyDescent="0.2">
      <c r="A5222" s="2" t="s">
        <v>3267</v>
      </c>
      <c r="B5222" s="2" t="s">
        <v>1606</v>
      </c>
      <c r="C5222" s="2">
        <v>862.57420000000002</v>
      </c>
      <c r="D5222" s="2">
        <f>HYPERLINK("http://mcb-m6.bioreg.kyushu-u.ac.jp/M3/20110318/F50611/2068/1", 79.58)</f>
        <v>79.58</v>
      </c>
      <c r="E5222" s="2">
        <v>67.61</v>
      </c>
      <c r="F5222" s="2">
        <v>2</v>
      </c>
      <c r="G5222" s="2" t="s">
        <v>10</v>
      </c>
    </row>
    <row r="5223" spans="1:7" x14ac:dyDescent="0.2">
      <c r="A5223" s="2" t="s">
        <v>3267</v>
      </c>
      <c r="B5223" s="2" t="s">
        <v>602</v>
      </c>
      <c r="C5223" s="2">
        <v>742.32259999999997</v>
      </c>
      <c r="D5223" s="2">
        <f>HYPERLINK("http://mcb-m6.bioreg.kyushu-u.ac.jp/M3/20110318/F50622/1486/1", 79.72)</f>
        <v>79.72</v>
      </c>
      <c r="E5223" s="2">
        <v>68.09</v>
      </c>
      <c r="F5223" s="2">
        <v>2</v>
      </c>
      <c r="G5223" s="2" t="s">
        <v>10</v>
      </c>
    </row>
    <row r="5224" spans="1:7" x14ac:dyDescent="0.2">
      <c r="A5224" s="2" t="s">
        <v>3267</v>
      </c>
      <c r="B5224" s="2" t="s">
        <v>491</v>
      </c>
      <c r="C5224" s="2">
        <v>766.47019999999998</v>
      </c>
      <c r="D5224" s="2">
        <f>HYPERLINK("http://mcb-m6.bioreg.kyushu-u.ac.jp/M3/20110318/F50597/1727/1", 81.75)</f>
        <v>81.75</v>
      </c>
      <c r="E5224" s="2">
        <v>68.39</v>
      </c>
      <c r="F5224" s="2">
        <v>2</v>
      </c>
      <c r="G5224" s="2" t="s">
        <v>10</v>
      </c>
    </row>
    <row r="5225" spans="1:7" x14ac:dyDescent="0.2">
      <c r="A5225" s="2" t="s">
        <v>3267</v>
      </c>
      <c r="B5225" s="2" t="s">
        <v>1606</v>
      </c>
      <c r="C5225" s="2">
        <v>862.4991</v>
      </c>
      <c r="D5225" s="2">
        <f>HYPERLINK("http://mcb-m6.bioreg.kyushu-u.ac.jp/M3/20110318/F50613/2172/1", 82.08)</f>
        <v>82.08</v>
      </c>
      <c r="E5225" s="2">
        <v>71.959999999999994</v>
      </c>
      <c r="F5225" s="2">
        <v>2</v>
      </c>
      <c r="G5225" s="2" t="s">
        <v>10</v>
      </c>
    </row>
    <row r="5226" spans="1:7" x14ac:dyDescent="0.2">
      <c r="A5226" s="2" t="s">
        <v>3267</v>
      </c>
      <c r="B5226" s="2" t="s">
        <v>491</v>
      </c>
      <c r="C5226" s="2">
        <v>766.37819999999999</v>
      </c>
      <c r="D5226" s="2">
        <f>HYPERLINK("http://mcb-m6.bioreg.kyushu-u.ac.jp/M3/20110318/F50613/1744/1", 83.41)</f>
        <v>83.41</v>
      </c>
      <c r="E5226" s="2">
        <v>63.29</v>
      </c>
      <c r="F5226" s="2">
        <v>2</v>
      </c>
      <c r="G5226" s="2" t="s">
        <v>10</v>
      </c>
    </row>
    <row r="5227" spans="1:7" x14ac:dyDescent="0.2">
      <c r="A5227" s="2" t="s">
        <v>3267</v>
      </c>
      <c r="B5227" s="2" t="s">
        <v>1606</v>
      </c>
      <c r="C5227" s="2">
        <v>862.47270000000003</v>
      </c>
      <c r="D5227" s="2">
        <f>HYPERLINK("http://mcb-m6.bioreg.kyushu-u.ac.jp/M3/20110318/F50597/2077/1", 85.11)</f>
        <v>85.11</v>
      </c>
      <c r="E5227" s="2">
        <v>68.59</v>
      </c>
      <c r="F5227" s="2">
        <v>2</v>
      </c>
      <c r="G5227" s="2" t="s">
        <v>10</v>
      </c>
    </row>
    <row r="5228" spans="1:7" x14ac:dyDescent="0.2">
      <c r="A5228" s="2" t="s">
        <v>3267</v>
      </c>
      <c r="B5228" s="2" t="s">
        <v>1353</v>
      </c>
      <c r="C5228" s="2">
        <v>825.25160000000005</v>
      </c>
      <c r="D5228" s="2">
        <f>HYPERLINK("http://mcb-m6.bioreg.kyushu-u.ac.jp/M3/20110318/F50597/1937/1", 85.77)</f>
        <v>85.77</v>
      </c>
      <c r="E5228" s="2">
        <v>62.81</v>
      </c>
      <c r="F5228" s="2">
        <v>2</v>
      </c>
      <c r="G5228" s="2" t="s">
        <v>10</v>
      </c>
    </row>
    <row r="5229" spans="1:7" x14ac:dyDescent="0.2">
      <c r="A5229" s="2" t="s">
        <v>3267</v>
      </c>
      <c r="B5229" s="2" t="s">
        <v>1640</v>
      </c>
      <c r="C5229" s="2">
        <v>864.0317</v>
      </c>
      <c r="D5229" s="2">
        <f>HYPERLINK("http://mcb-m6.bioreg.kyushu-u.ac.jp/M3/20110318/F50613/2180/1", 87.17)</f>
        <v>87.17</v>
      </c>
      <c r="E5229" s="2">
        <v>69.41</v>
      </c>
      <c r="F5229" s="2">
        <v>2</v>
      </c>
      <c r="G5229" s="2" t="s">
        <v>10</v>
      </c>
    </row>
    <row r="5230" spans="1:7" x14ac:dyDescent="0.2">
      <c r="A5230" s="2" t="s">
        <v>3267</v>
      </c>
      <c r="B5230" s="2" t="s">
        <v>1526</v>
      </c>
      <c r="C5230" s="2">
        <v>1238.4949999999999</v>
      </c>
      <c r="D5230" s="2">
        <f>HYPERLINK("http://mcb-m6.bioreg.kyushu-u.ac.jp/M3/20110318/F50613/1233/1", 87.68)</f>
        <v>87.68</v>
      </c>
      <c r="E5230" s="2">
        <v>65.63</v>
      </c>
      <c r="F5230" s="2">
        <v>1</v>
      </c>
      <c r="G5230" s="2" t="s">
        <v>10</v>
      </c>
    </row>
    <row r="5231" spans="1:7" x14ac:dyDescent="0.2">
      <c r="A5231" s="2" t="s">
        <v>3267</v>
      </c>
      <c r="B5231" s="2" t="s">
        <v>2071</v>
      </c>
      <c r="C5231" s="2">
        <v>1163.99</v>
      </c>
      <c r="D5231" s="2">
        <f>HYPERLINK("http://mcb-m6.bioreg.kyushu-u.ac.jp/M3/20110318/F50613/2916/1", 88.71)</f>
        <v>88.71</v>
      </c>
      <c r="E5231" s="2">
        <v>76.91</v>
      </c>
      <c r="F5231" s="2">
        <v>2</v>
      </c>
      <c r="G5231" s="2" t="s">
        <v>10</v>
      </c>
    </row>
    <row r="5232" spans="1:7" x14ac:dyDescent="0.2">
      <c r="A5232" s="2" t="s">
        <v>3267</v>
      </c>
      <c r="B5232" s="2" t="s">
        <v>1353</v>
      </c>
      <c r="C5232" s="2">
        <v>825.3981</v>
      </c>
      <c r="D5232" s="2">
        <f>HYPERLINK("http://mcb-m6.bioreg.kyushu-u.ac.jp/M3/20110318/F50615/1860/1", 92.46)</f>
        <v>92.46</v>
      </c>
      <c r="E5232" s="2">
        <v>61.19</v>
      </c>
      <c r="F5232" s="2">
        <v>2</v>
      </c>
      <c r="G5232" s="2" t="s">
        <v>10</v>
      </c>
    </row>
    <row r="5233" spans="1:7" x14ac:dyDescent="0.2">
      <c r="A5233" s="2" t="s">
        <v>3267</v>
      </c>
      <c r="B5233" s="2" t="s">
        <v>1353</v>
      </c>
      <c r="C5233" s="2">
        <v>825.36869999999999</v>
      </c>
      <c r="D5233" s="2">
        <f>HYPERLINK("http://mcb-m6.bioreg.kyushu-u.ac.jp/M3/20110318/F50612/1816/1", 95.04)</f>
        <v>95.04</v>
      </c>
      <c r="E5233" s="2">
        <v>64.03</v>
      </c>
      <c r="F5233" s="2">
        <v>2</v>
      </c>
      <c r="G5233" s="2" t="s">
        <v>10</v>
      </c>
    </row>
    <row r="5234" spans="1:7" x14ac:dyDescent="0.2">
      <c r="A5234" s="2" t="s">
        <v>3267</v>
      </c>
      <c r="B5234" s="2" t="s">
        <v>1606</v>
      </c>
      <c r="C5234" s="2">
        <v>862.38170000000002</v>
      </c>
      <c r="D5234" s="2">
        <f>HYPERLINK("http://mcb-m6.bioreg.kyushu-u.ac.jp/M3/20110318/F50613/2170/1", 99.11)</f>
        <v>99.11</v>
      </c>
      <c r="E5234" s="2">
        <v>88.9</v>
      </c>
      <c r="F5234" s="2">
        <v>2</v>
      </c>
      <c r="G5234" s="2" t="s">
        <v>10</v>
      </c>
    </row>
    <row r="5235" spans="1:7" x14ac:dyDescent="0.2">
      <c r="A5235" s="2" t="s">
        <v>3267</v>
      </c>
      <c r="B5235" s="2" t="s">
        <v>1606</v>
      </c>
      <c r="C5235" s="2">
        <v>862.44820000000004</v>
      </c>
      <c r="D5235" s="2">
        <f>HYPERLINK("http://mcb-m6.bioreg.kyushu-u.ac.jp/M3/20110318/F50615/1972/1", 100.96)</f>
        <v>100.96</v>
      </c>
      <c r="E5235" s="2">
        <v>90.2</v>
      </c>
      <c r="F5235" s="2">
        <v>2</v>
      </c>
      <c r="G5235" s="2" t="s">
        <v>10</v>
      </c>
    </row>
    <row r="5236" spans="1:7" x14ac:dyDescent="0.2">
      <c r="A5236" s="2" t="s">
        <v>3267</v>
      </c>
      <c r="B5236" s="2" t="s">
        <v>1353</v>
      </c>
      <c r="C5236" s="2">
        <v>825.46870000000001</v>
      </c>
      <c r="D5236" s="2">
        <f>HYPERLINK("http://mcb-m6.bioreg.kyushu-u.ac.jp/M3/20110318/F50611/1952/1", 101)</f>
        <v>101</v>
      </c>
      <c r="E5236" s="2">
        <v>73.34</v>
      </c>
      <c r="F5236" s="2">
        <v>2</v>
      </c>
      <c r="G5236" s="2" t="s">
        <v>10</v>
      </c>
    </row>
    <row r="5237" spans="1:7" x14ac:dyDescent="0.2">
      <c r="A5237" s="2" t="s">
        <v>3267</v>
      </c>
      <c r="B5237" s="2" t="s">
        <v>1606</v>
      </c>
      <c r="C5237" s="2">
        <v>862.3691</v>
      </c>
      <c r="D5237" s="2">
        <f>HYPERLINK("http://mcb-m6.bioreg.kyushu-u.ac.jp/M3/20110318/F50613/2169/1", 101.12)</f>
        <v>101.12</v>
      </c>
      <c r="E5237" s="2">
        <v>85.73</v>
      </c>
      <c r="F5237" s="2">
        <v>2</v>
      </c>
      <c r="G5237" s="2" t="s">
        <v>10</v>
      </c>
    </row>
    <row r="5238" spans="1:7" x14ac:dyDescent="0.2">
      <c r="A5238" s="2" t="s">
        <v>3267</v>
      </c>
      <c r="B5238" s="2" t="s">
        <v>602</v>
      </c>
      <c r="C5238" s="2">
        <v>742.37519999999995</v>
      </c>
      <c r="D5238" s="2">
        <f>HYPERLINK("http://mcb-m6.bioreg.kyushu-u.ac.jp/M3/20110318/F50612/1554/1", 103.07)</f>
        <v>103.07</v>
      </c>
      <c r="E5238" s="2">
        <v>90.95</v>
      </c>
      <c r="F5238" s="2">
        <v>2</v>
      </c>
      <c r="G5238" s="2" t="s">
        <v>10</v>
      </c>
    </row>
    <row r="5239" spans="1:7" x14ac:dyDescent="0.2">
      <c r="A5239" s="2" t="s">
        <v>3267</v>
      </c>
      <c r="B5239" s="2" t="s">
        <v>1353</v>
      </c>
      <c r="C5239" s="2">
        <v>825.46420000000001</v>
      </c>
      <c r="D5239" s="2">
        <f>HYPERLINK("http://mcb-m6.bioreg.kyushu-u.ac.jp/M3/20110318/F50613/2031/1", 107.63)</f>
        <v>107.63</v>
      </c>
      <c r="E5239" s="2">
        <v>79.849999999999994</v>
      </c>
      <c r="F5239" s="2">
        <v>2</v>
      </c>
      <c r="G5239" s="2" t="s">
        <v>10</v>
      </c>
    </row>
    <row r="5240" spans="1:7" x14ac:dyDescent="0.2">
      <c r="A5240" s="2" t="s">
        <v>3267</v>
      </c>
      <c r="B5240" s="2" t="s">
        <v>602</v>
      </c>
      <c r="C5240" s="2">
        <v>742.40809999999999</v>
      </c>
      <c r="D5240" s="2">
        <f>HYPERLINK("http://mcb-m6.bioreg.kyushu-u.ac.jp/M3/20110318/F50597/1598/1", 110.84)</f>
        <v>110.84</v>
      </c>
      <c r="E5240" s="2">
        <v>93.39</v>
      </c>
      <c r="F5240" s="2">
        <v>2</v>
      </c>
      <c r="G5240" s="2" t="s">
        <v>10</v>
      </c>
    </row>
    <row r="5241" spans="1:7" x14ac:dyDescent="0.2">
      <c r="A5241" s="2" t="s">
        <v>3267</v>
      </c>
      <c r="B5241" s="2" t="s">
        <v>1353</v>
      </c>
      <c r="C5241" s="2">
        <v>825.35609999999997</v>
      </c>
      <c r="D5241" s="2">
        <f>HYPERLINK("http://mcb-m6.bioreg.kyushu-u.ac.jp/M3/20110318/F50596/1919/1", 116.98)</f>
        <v>116.98</v>
      </c>
      <c r="E5241" s="2">
        <v>97.54</v>
      </c>
      <c r="F5241" s="2">
        <v>2</v>
      </c>
      <c r="G5241" s="2" t="s">
        <v>10</v>
      </c>
    </row>
    <row r="5242" spans="1:7" x14ac:dyDescent="0.2">
      <c r="A5242" s="2" t="s">
        <v>3267</v>
      </c>
      <c r="B5242" s="2" t="s">
        <v>602</v>
      </c>
      <c r="C5242" s="2">
        <v>742.74959999999999</v>
      </c>
      <c r="D5242" s="2">
        <f>HYPERLINK("http://mcb-m6.bioreg.kyushu-u.ac.jp/M3/20110318/F50614/1704/1", 123.41)</f>
        <v>123.41</v>
      </c>
      <c r="E5242" s="2">
        <v>115.31</v>
      </c>
      <c r="F5242" s="2">
        <v>2</v>
      </c>
      <c r="G5242" s="2" t="s">
        <v>10</v>
      </c>
    </row>
    <row r="5243" spans="1:7" x14ac:dyDescent="0.2">
      <c r="A5243" s="2" t="s">
        <v>3267</v>
      </c>
      <c r="B5243" s="2" t="s">
        <v>602</v>
      </c>
      <c r="C5243" s="2">
        <v>742.46619999999996</v>
      </c>
      <c r="D5243" s="2">
        <f>HYPERLINK("http://mcb-m6.bioreg.kyushu-u.ac.jp/M3/20110318/F50615/1538/1", 123.87)</f>
        <v>123.87</v>
      </c>
      <c r="E5243" s="2">
        <v>113.86</v>
      </c>
      <c r="F5243" s="2">
        <v>2</v>
      </c>
      <c r="G5243" s="2" t="s">
        <v>10</v>
      </c>
    </row>
    <row r="5244" spans="1:7" x14ac:dyDescent="0.2">
      <c r="A5244" s="2" t="s">
        <v>3267</v>
      </c>
      <c r="B5244" s="2" t="s">
        <v>602</v>
      </c>
      <c r="C5244" s="2">
        <v>742.70370000000003</v>
      </c>
      <c r="D5244" s="2">
        <f>HYPERLINK("http://mcb-m6.bioreg.kyushu-u.ac.jp/M3/20110318/F50613/1629/1", 125.4)</f>
        <v>125.4</v>
      </c>
      <c r="E5244" s="2">
        <v>116.44</v>
      </c>
      <c r="F5244" s="2">
        <v>2</v>
      </c>
      <c r="G5244" s="2" t="s">
        <v>10</v>
      </c>
    </row>
    <row r="5245" spans="1:7" x14ac:dyDescent="0.2">
      <c r="A5245" s="2" t="s">
        <v>3267</v>
      </c>
      <c r="B5245" s="2" t="s">
        <v>491</v>
      </c>
      <c r="C5245" s="2">
        <v>766.36159999999995</v>
      </c>
      <c r="D5245" s="2">
        <f>HYPERLINK("http://mcb-m6.bioreg.kyushu-u.ac.jp/M3/20110418/F50977/2243/1", 35.79)</f>
        <v>35.79</v>
      </c>
      <c r="E5245" s="2">
        <v>23.44</v>
      </c>
      <c r="F5245" s="2">
        <v>2</v>
      </c>
      <c r="G5245" s="2" t="s">
        <v>11</v>
      </c>
    </row>
    <row r="5246" spans="1:7" x14ac:dyDescent="0.2">
      <c r="A5246" s="2" t="s">
        <v>3267</v>
      </c>
      <c r="B5246" s="2" t="s">
        <v>491</v>
      </c>
      <c r="C5246" s="2">
        <v>766.32119999999998</v>
      </c>
      <c r="D5246" s="2">
        <f>HYPERLINK("http://mcb-m6.bioreg.kyushu-u.ac.jp/M3/20110418/F50976/2157/1", 35.86)</f>
        <v>35.86</v>
      </c>
      <c r="E5246" s="2">
        <v>23.09</v>
      </c>
      <c r="F5246" s="2">
        <v>2</v>
      </c>
      <c r="G5246" s="2" t="s">
        <v>11</v>
      </c>
    </row>
    <row r="5247" spans="1:7" x14ac:dyDescent="0.2">
      <c r="A5247" s="2" t="s">
        <v>3267</v>
      </c>
      <c r="B5247" s="2" t="s">
        <v>568</v>
      </c>
      <c r="C5247" s="2">
        <v>836.30700000000002</v>
      </c>
      <c r="D5247" s="2">
        <f>HYPERLINK("http://mcb-m6.bioreg.kyushu-u.ac.jp/M3/20110418/F50976/624/1", 36.41)</f>
        <v>36.409999999999997</v>
      </c>
      <c r="E5247" s="2">
        <v>22.04</v>
      </c>
      <c r="F5247" s="2">
        <v>1</v>
      </c>
      <c r="G5247" s="2" t="s">
        <v>11</v>
      </c>
    </row>
    <row r="5248" spans="1:7" x14ac:dyDescent="0.2">
      <c r="A5248" s="2" t="s">
        <v>3267</v>
      </c>
      <c r="B5248" s="2" t="s">
        <v>433</v>
      </c>
      <c r="C5248" s="2">
        <v>819.86220000000003</v>
      </c>
      <c r="D5248" s="2">
        <f>HYPERLINK("http://mcb-m6.bioreg.kyushu-u.ac.jp/M3/20110418/F50977/2576/1", 36.86)</f>
        <v>36.86</v>
      </c>
      <c r="E5248" s="2">
        <v>27.54</v>
      </c>
      <c r="F5248" s="2">
        <v>2</v>
      </c>
      <c r="G5248" s="2" t="s">
        <v>11</v>
      </c>
    </row>
    <row r="5249" spans="1:7" x14ac:dyDescent="0.2">
      <c r="A5249" s="2" t="s">
        <v>3267</v>
      </c>
      <c r="B5249" s="2" t="s">
        <v>147</v>
      </c>
      <c r="C5249" s="2">
        <v>829.5</v>
      </c>
      <c r="D5249" s="2">
        <f>HYPERLINK("http://mcb-m6.bioreg.kyushu-u.ac.jp/M3/20110418/F50975/525/1", 37.21)</f>
        <v>37.21</v>
      </c>
      <c r="E5249" s="2">
        <v>14.64</v>
      </c>
      <c r="F5249" s="2">
        <v>1</v>
      </c>
      <c r="G5249" s="2" t="s">
        <v>11</v>
      </c>
    </row>
    <row r="5250" spans="1:7" x14ac:dyDescent="0.2">
      <c r="A5250" s="2" t="s">
        <v>3267</v>
      </c>
      <c r="B5250" s="2" t="s">
        <v>433</v>
      </c>
      <c r="C5250" s="2">
        <v>819.35360000000003</v>
      </c>
      <c r="D5250" s="2">
        <f>HYPERLINK("http://mcb-m6.bioreg.kyushu-u.ac.jp/M3/20110418/F50975/2519/1", 37.35)</f>
        <v>37.35</v>
      </c>
      <c r="E5250" s="2">
        <v>25.13</v>
      </c>
      <c r="F5250" s="2">
        <v>2</v>
      </c>
      <c r="G5250" s="2" t="s">
        <v>11</v>
      </c>
    </row>
    <row r="5251" spans="1:7" x14ac:dyDescent="0.2">
      <c r="A5251" s="2" t="s">
        <v>3267</v>
      </c>
      <c r="B5251" s="2" t="s">
        <v>433</v>
      </c>
      <c r="C5251" s="2">
        <v>819.82460000000003</v>
      </c>
      <c r="D5251" s="2">
        <f>HYPERLINK("http://mcb-m6.bioreg.kyushu-u.ac.jp/M3/20110418/F50977/2574/1", 37.44)</f>
        <v>37.44</v>
      </c>
      <c r="E5251" s="2">
        <v>26.84</v>
      </c>
      <c r="F5251" s="2">
        <v>2</v>
      </c>
      <c r="G5251" s="2" t="s">
        <v>11</v>
      </c>
    </row>
    <row r="5252" spans="1:7" x14ac:dyDescent="0.2">
      <c r="A5252" s="2" t="s">
        <v>3267</v>
      </c>
      <c r="B5252" s="2" t="s">
        <v>491</v>
      </c>
      <c r="C5252" s="2">
        <v>766.21310000000005</v>
      </c>
      <c r="D5252" s="2">
        <f>HYPERLINK("http://mcb-m6.bioreg.kyushu-u.ac.jp/M3/20110418/F50976/2149/1", 38.22)</f>
        <v>38.22</v>
      </c>
      <c r="E5252" s="2">
        <v>24.63</v>
      </c>
      <c r="F5252" s="2">
        <v>2</v>
      </c>
      <c r="G5252" s="2" t="s">
        <v>11</v>
      </c>
    </row>
    <row r="5253" spans="1:7" x14ac:dyDescent="0.2">
      <c r="A5253" s="2" t="s">
        <v>3267</v>
      </c>
      <c r="B5253" s="2" t="s">
        <v>433</v>
      </c>
      <c r="C5253" s="2">
        <v>819.14369999999997</v>
      </c>
      <c r="D5253" s="2">
        <f>HYPERLINK("http://mcb-m6.bioreg.kyushu-u.ac.jp/M3/20110418/F50976/2492/1", 38.23)</f>
        <v>38.229999999999997</v>
      </c>
      <c r="E5253" s="2">
        <v>29.1</v>
      </c>
      <c r="F5253" s="2">
        <v>2</v>
      </c>
      <c r="G5253" s="2" t="s">
        <v>11</v>
      </c>
    </row>
    <row r="5254" spans="1:7" x14ac:dyDescent="0.2">
      <c r="A5254" s="2" t="s">
        <v>3267</v>
      </c>
      <c r="B5254" s="2" t="s">
        <v>47</v>
      </c>
      <c r="C5254" s="2">
        <v>1113.5409999999999</v>
      </c>
      <c r="D5254" s="2">
        <f>HYPERLINK("http://mcb-m6.bioreg.kyushu-u.ac.jp/M3/20110418/F50976/1108/1", 38.29)</f>
        <v>38.29</v>
      </c>
      <c r="E5254" s="2">
        <v>18.399999999999999</v>
      </c>
      <c r="F5254" s="2">
        <v>1</v>
      </c>
      <c r="G5254" s="2" t="s">
        <v>11</v>
      </c>
    </row>
    <row r="5255" spans="1:7" x14ac:dyDescent="0.2">
      <c r="A5255" s="2" t="s">
        <v>3267</v>
      </c>
      <c r="B5255" s="2" t="s">
        <v>433</v>
      </c>
      <c r="C5255" s="2">
        <v>819.37869999999998</v>
      </c>
      <c r="D5255" s="2">
        <f>HYPERLINK("http://mcb-m6.bioreg.kyushu-u.ac.jp/M3/20110418/F50976/2497/1", 38.54)</f>
        <v>38.54</v>
      </c>
      <c r="E5255" s="2">
        <v>26.92</v>
      </c>
      <c r="F5255" s="2">
        <v>2</v>
      </c>
      <c r="G5255" s="2" t="s">
        <v>11</v>
      </c>
    </row>
    <row r="5256" spans="1:7" x14ac:dyDescent="0.2">
      <c r="A5256" s="2" t="s">
        <v>3267</v>
      </c>
      <c r="B5256" s="2" t="s">
        <v>433</v>
      </c>
      <c r="C5256" s="2">
        <v>546.86450000000002</v>
      </c>
      <c r="D5256" s="2">
        <f>HYPERLINK("http://mcb-m6.bioreg.kyushu-u.ac.jp/M3/20110418/F50976/2506/1", 39.08)</f>
        <v>39.08</v>
      </c>
      <c r="E5256" s="2">
        <v>21.7</v>
      </c>
      <c r="F5256" s="2">
        <v>3</v>
      </c>
      <c r="G5256" s="2" t="s">
        <v>11</v>
      </c>
    </row>
    <row r="5257" spans="1:7" x14ac:dyDescent="0.2">
      <c r="A5257" s="2" t="s">
        <v>3267</v>
      </c>
      <c r="B5257" s="2" t="s">
        <v>97</v>
      </c>
      <c r="C5257" s="2">
        <v>668.77120000000002</v>
      </c>
      <c r="D5257" s="2">
        <f>HYPERLINK("http://mcb-m6.bioreg.kyushu-u.ac.jp/M3/20110418/F50974/1700/1", 39.43)</f>
        <v>39.43</v>
      </c>
      <c r="E5257" s="2">
        <v>17.47</v>
      </c>
      <c r="F5257" s="2">
        <v>2</v>
      </c>
      <c r="G5257" s="2" t="s">
        <v>11</v>
      </c>
    </row>
    <row r="5258" spans="1:7" x14ac:dyDescent="0.2">
      <c r="A5258" s="2" t="s">
        <v>3267</v>
      </c>
      <c r="B5258" s="2" t="s">
        <v>491</v>
      </c>
      <c r="C5258" s="2">
        <v>766.35469999999998</v>
      </c>
      <c r="D5258" s="2">
        <f>HYPERLINK("http://mcb-m6.bioreg.kyushu-u.ac.jp/M3/20110418/F50977/2242/1", 39.88)</f>
        <v>39.880000000000003</v>
      </c>
      <c r="E5258" s="2">
        <v>24.21</v>
      </c>
      <c r="F5258" s="2">
        <v>2</v>
      </c>
      <c r="G5258" s="2" t="s">
        <v>11</v>
      </c>
    </row>
    <row r="5259" spans="1:7" x14ac:dyDescent="0.2">
      <c r="A5259" s="2" t="s">
        <v>3267</v>
      </c>
      <c r="B5259" s="2" t="s">
        <v>433</v>
      </c>
      <c r="C5259" s="2">
        <v>546.50480000000005</v>
      </c>
      <c r="D5259" s="2">
        <f>HYPERLINK("http://mcb-m6.bioreg.kyushu-u.ac.jp/M3/20110418/F50976/2493/1", 39.91)</f>
        <v>39.909999999999997</v>
      </c>
      <c r="E5259" s="2">
        <v>20.18</v>
      </c>
      <c r="F5259" s="2">
        <v>3</v>
      </c>
      <c r="G5259" s="2" t="s">
        <v>11</v>
      </c>
    </row>
    <row r="5260" spans="1:7" x14ac:dyDescent="0.2">
      <c r="A5260" s="2" t="s">
        <v>3267</v>
      </c>
      <c r="B5260" s="2" t="s">
        <v>433</v>
      </c>
      <c r="C5260" s="2">
        <v>819.90260000000001</v>
      </c>
      <c r="D5260" s="2">
        <f>HYPERLINK("http://mcb-m6.bioreg.kyushu-u.ac.jp/M3/20110418/F50976/2508/1", 40.34)</f>
        <v>40.340000000000003</v>
      </c>
      <c r="E5260" s="2">
        <v>31.01</v>
      </c>
      <c r="F5260" s="2">
        <v>2</v>
      </c>
      <c r="G5260" s="2" t="s">
        <v>11</v>
      </c>
    </row>
    <row r="5261" spans="1:7" x14ac:dyDescent="0.2">
      <c r="A5261" s="2" t="s">
        <v>3267</v>
      </c>
      <c r="B5261" s="2" t="s">
        <v>433</v>
      </c>
      <c r="C5261" s="2">
        <v>819.76369999999997</v>
      </c>
      <c r="D5261" s="2">
        <f>HYPERLINK("http://mcb-m6.bioreg.kyushu-u.ac.jp/M3/20110418/F50976/2505/1", 40.43)</f>
        <v>40.43</v>
      </c>
      <c r="E5261" s="2">
        <v>31.77</v>
      </c>
      <c r="F5261" s="2">
        <v>2</v>
      </c>
      <c r="G5261" s="2" t="s">
        <v>11</v>
      </c>
    </row>
    <row r="5262" spans="1:7" x14ac:dyDescent="0.2">
      <c r="A5262" s="2" t="s">
        <v>3267</v>
      </c>
      <c r="B5262" s="2" t="s">
        <v>223</v>
      </c>
      <c r="C5262" s="2">
        <v>782.3116</v>
      </c>
      <c r="D5262" s="2">
        <f>HYPERLINK("http://mcb-m6.bioreg.kyushu-u.ac.jp/M3/20110418/F50976/2262/1", 40.94)</f>
        <v>40.94</v>
      </c>
      <c r="E5262" s="2">
        <v>25.62</v>
      </c>
      <c r="F5262" s="2">
        <v>2</v>
      </c>
      <c r="G5262" s="2" t="s">
        <v>11</v>
      </c>
    </row>
    <row r="5263" spans="1:7" x14ac:dyDescent="0.2">
      <c r="A5263" s="2" t="s">
        <v>3267</v>
      </c>
      <c r="B5263" s="2" t="s">
        <v>97</v>
      </c>
      <c r="C5263" s="2">
        <v>1336.5920000000001</v>
      </c>
      <c r="D5263" s="2">
        <f>HYPERLINK("http://mcb-m6.bioreg.kyushu-u.ac.jp/M3/20110418/F50977/1652/1", 40.97)</f>
        <v>40.97</v>
      </c>
      <c r="E5263" s="2">
        <v>22</v>
      </c>
      <c r="F5263" s="2">
        <v>1</v>
      </c>
      <c r="G5263" s="2" t="s">
        <v>11</v>
      </c>
    </row>
    <row r="5264" spans="1:7" x14ac:dyDescent="0.2">
      <c r="A5264" s="2" t="s">
        <v>3267</v>
      </c>
      <c r="B5264" s="2" t="s">
        <v>491</v>
      </c>
      <c r="C5264" s="2">
        <v>766.29319999999996</v>
      </c>
      <c r="D5264" s="2">
        <f>HYPERLINK("http://mcb-m6.bioreg.kyushu-u.ac.jp/M3/20110418/F50977/2239/1", 41.45)</f>
        <v>41.45</v>
      </c>
      <c r="E5264" s="2">
        <v>20.11</v>
      </c>
      <c r="F5264" s="2">
        <v>2</v>
      </c>
      <c r="G5264" s="2" t="s">
        <v>11</v>
      </c>
    </row>
    <row r="5265" spans="1:7" x14ac:dyDescent="0.2">
      <c r="A5265" s="2" t="s">
        <v>3267</v>
      </c>
      <c r="B5265" s="2" t="s">
        <v>491</v>
      </c>
      <c r="C5265" s="2">
        <v>766.41719999999998</v>
      </c>
      <c r="D5265" s="2">
        <f>HYPERLINK("http://mcb-m6.bioreg.kyushu-u.ac.jp/M3/20110418/F50978/2217/1", 41.78)</f>
        <v>41.78</v>
      </c>
      <c r="E5265" s="2">
        <v>26.18</v>
      </c>
      <c r="F5265" s="2">
        <v>2</v>
      </c>
      <c r="G5265" s="2" t="s">
        <v>11</v>
      </c>
    </row>
    <row r="5266" spans="1:7" x14ac:dyDescent="0.2">
      <c r="A5266" s="2" t="s">
        <v>3267</v>
      </c>
      <c r="B5266" s="2" t="s">
        <v>491</v>
      </c>
      <c r="C5266" s="2">
        <v>766.31619999999998</v>
      </c>
      <c r="D5266" s="2">
        <f>HYPERLINK("http://mcb-m6.bioreg.kyushu-u.ac.jp/M3/20110418/F50977/2241/1", 41.79)</f>
        <v>41.79</v>
      </c>
      <c r="E5266" s="2">
        <v>31.89</v>
      </c>
      <c r="F5266" s="2">
        <v>2</v>
      </c>
      <c r="G5266" s="2" t="s">
        <v>11</v>
      </c>
    </row>
    <row r="5267" spans="1:7" x14ac:dyDescent="0.2">
      <c r="A5267" s="2" t="s">
        <v>3267</v>
      </c>
      <c r="B5267" s="2" t="s">
        <v>491</v>
      </c>
      <c r="C5267" s="2">
        <v>766.41020000000003</v>
      </c>
      <c r="D5267" s="2">
        <f>HYPERLINK("http://mcb-m6.bioreg.kyushu-u.ac.jp/M3/20110418/F50976/2163/1", 42.05)</f>
        <v>42.05</v>
      </c>
      <c r="E5267" s="2">
        <v>25.17</v>
      </c>
      <c r="F5267" s="2">
        <v>2</v>
      </c>
      <c r="G5267" s="2" t="s">
        <v>11</v>
      </c>
    </row>
    <row r="5268" spans="1:7" x14ac:dyDescent="0.2">
      <c r="A5268" s="2" t="s">
        <v>3267</v>
      </c>
      <c r="B5268" s="2" t="s">
        <v>491</v>
      </c>
      <c r="C5268" s="2">
        <v>766.79719999999998</v>
      </c>
      <c r="D5268" s="2">
        <f>HYPERLINK("http://mcb-m6.bioreg.kyushu-u.ac.jp/M3/20110418/F50976/2167/1", 42.29)</f>
        <v>42.29</v>
      </c>
      <c r="E5268" s="2">
        <v>29.67</v>
      </c>
      <c r="F5268" s="2">
        <v>2</v>
      </c>
      <c r="G5268" s="2" t="s">
        <v>11</v>
      </c>
    </row>
    <row r="5269" spans="1:7" x14ac:dyDescent="0.2">
      <c r="A5269" s="2" t="s">
        <v>3267</v>
      </c>
      <c r="B5269" s="2" t="s">
        <v>433</v>
      </c>
      <c r="C5269" s="2">
        <v>819.34770000000003</v>
      </c>
      <c r="D5269" s="2">
        <f>HYPERLINK("http://mcb-m6.bioreg.kyushu-u.ac.jp/M3/20110418/F50975/2518/1", 42.35)</f>
        <v>42.35</v>
      </c>
      <c r="E5269" s="2">
        <v>28.96</v>
      </c>
      <c r="F5269" s="2">
        <v>2</v>
      </c>
      <c r="G5269" s="2" t="s">
        <v>11</v>
      </c>
    </row>
    <row r="5270" spans="1:7" x14ac:dyDescent="0.2">
      <c r="A5270" s="2" t="s">
        <v>3267</v>
      </c>
      <c r="B5270" s="2" t="s">
        <v>223</v>
      </c>
      <c r="C5270" s="2">
        <v>782.31870000000004</v>
      </c>
      <c r="D5270" s="2">
        <f>HYPERLINK("http://mcb-m6.bioreg.kyushu-u.ac.jp/M3/20110418/F50976/2263/1", 42.4)</f>
        <v>42.4</v>
      </c>
      <c r="E5270" s="2">
        <v>25.88</v>
      </c>
      <c r="F5270" s="2">
        <v>2</v>
      </c>
      <c r="G5270" s="2" t="s">
        <v>11</v>
      </c>
    </row>
    <row r="5271" spans="1:7" x14ac:dyDescent="0.2">
      <c r="A5271" s="2" t="s">
        <v>3267</v>
      </c>
      <c r="B5271" s="2" t="s">
        <v>491</v>
      </c>
      <c r="C5271" s="2">
        <v>766.4982</v>
      </c>
      <c r="D5271" s="2">
        <f>HYPERLINK("http://mcb-m6.bioreg.kyushu-u.ac.jp/M3/20110418/F50977/2249/1", 42.56)</f>
        <v>42.56</v>
      </c>
      <c r="E5271" s="2">
        <v>29.53</v>
      </c>
      <c r="F5271" s="2">
        <v>2</v>
      </c>
      <c r="G5271" s="2" t="s">
        <v>11</v>
      </c>
    </row>
    <row r="5272" spans="1:7" x14ac:dyDescent="0.2">
      <c r="A5272" s="2" t="s">
        <v>3267</v>
      </c>
      <c r="B5272" s="2" t="s">
        <v>491</v>
      </c>
      <c r="C5272" s="2">
        <v>766.92319999999995</v>
      </c>
      <c r="D5272" s="2">
        <f>HYPERLINK("http://mcb-m6.bioreg.kyushu-u.ac.jp/M3/20110418/F50977/2255/1", 42.7)</f>
        <v>42.7</v>
      </c>
      <c r="E5272" s="2">
        <v>30.64</v>
      </c>
      <c r="F5272" s="2">
        <v>2</v>
      </c>
      <c r="G5272" s="2" t="s">
        <v>11</v>
      </c>
    </row>
    <row r="5273" spans="1:7" x14ac:dyDescent="0.2">
      <c r="A5273" s="2" t="s">
        <v>3267</v>
      </c>
      <c r="B5273" s="2" t="s">
        <v>433</v>
      </c>
      <c r="C5273" s="2">
        <v>819.39009999999996</v>
      </c>
      <c r="D5273" s="2">
        <f>HYPERLINK("http://mcb-m6.bioreg.kyushu-u.ac.jp/M3/20110418/F50976/2500/1", 42.83)</f>
        <v>42.83</v>
      </c>
      <c r="E5273" s="2">
        <v>31.66</v>
      </c>
      <c r="F5273" s="2">
        <v>2</v>
      </c>
      <c r="G5273" s="2" t="s">
        <v>11</v>
      </c>
    </row>
    <row r="5274" spans="1:7" x14ac:dyDescent="0.2">
      <c r="A5274" s="2" t="s">
        <v>3267</v>
      </c>
      <c r="B5274" s="2" t="s">
        <v>491</v>
      </c>
      <c r="C5274" s="2">
        <v>766.40170000000001</v>
      </c>
      <c r="D5274" s="2">
        <f>HYPERLINK("http://mcb-m6.bioreg.kyushu-u.ac.jp/M3/20110418/F50974/2206/1", 42.98)</f>
        <v>42.98</v>
      </c>
      <c r="E5274" s="2">
        <v>30.97</v>
      </c>
      <c r="F5274" s="2">
        <v>2</v>
      </c>
      <c r="G5274" s="2" t="s">
        <v>11</v>
      </c>
    </row>
    <row r="5275" spans="1:7" x14ac:dyDescent="0.2">
      <c r="A5275" s="2" t="s">
        <v>3267</v>
      </c>
      <c r="B5275" s="2" t="s">
        <v>223</v>
      </c>
      <c r="C5275" s="2">
        <v>782.85919999999999</v>
      </c>
      <c r="D5275" s="2">
        <f>HYPERLINK("http://mcb-m6.bioreg.kyushu-u.ac.jp/M3/20110418/F50976/2267/1", 43.32)</f>
        <v>43.32</v>
      </c>
      <c r="E5275" s="2">
        <v>29.54</v>
      </c>
      <c r="F5275" s="2">
        <v>2</v>
      </c>
      <c r="G5275" s="2" t="s">
        <v>11</v>
      </c>
    </row>
    <row r="5276" spans="1:7" x14ac:dyDescent="0.2">
      <c r="A5276" s="2" t="s">
        <v>3267</v>
      </c>
      <c r="B5276" s="2" t="s">
        <v>433</v>
      </c>
      <c r="C5276" s="2">
        <v>819.35569999999996</v>
      </c>
      <c r="D5276" s="2">
        <f>HYPERLINK("http://mcb-m6.bioreg.kyushu-u.ac.jp/M3/20110418/F50976/2495/1", 43.41)</f>
        <v>43.41</v>
      </c>
      <c r="E5276" s="2">
        <v>34.65</v>
      </c>
      <c r="F5276" s="2">
        <v>2</v>
      </c>
      <c r="G5276" s="2" t="s">
        <v>11</v>
      </c>
    </row>
    <row r="5277" spans="1:7" x14ac:dyDescent="0.2">
      <c r="A5277" s="2" t="s">
        <v>3267</v>
      </c>
      <c r="B5277" s="2" t="s">
        <v>2589</v>
      </c>
      <c r="C5277" s="2">
        <v>680.28020000000004</v>
      </c>
      <c r="D5277" s="2">
        <f>HYPERLINK("http://mcb-m6.bioreg.kyushu-u.ac.jp/M3/20110418/F50976/1641/1", 43.42)</f>
        <v>43.42</v>
      </c>
      <c r="E5277" s="2">
        <v>23.41</v>
      </c>
      <c r="F5277" s="2">
        <v>2</v>
      </c>
      <c r="G5277" s="2" t="s">
        <v>11</v>
      </c>
    </row>
    <row r="5278" spans="1:7" x14ac:dyDescent="0.2">
      <c r="A5278" s="2" t="s">
        <v>3267</v>
      </c>
      <c r="B5278" s="2" t="s">
        <v>97</v>
      </c>
      <c r="C5278" s="2">
        <v>669.38959999999997</v>
      </c>
      <c r="D5278" s="2">
        <f>HYPERLINK("http://mcb-m6.bioreg.kyushu-u.ac.jp/M3/20110418/F50978/1701/1", 43.65)</f>
        <v>43.65</v>
      </c>
      <c r="E5278" s="2">
        <v>23.97</v>
      </c>
      <c r="F5278" s="2">
        <v>2</v>
      </c>
      <c r="G5278" s="2" t="s">
        <v>11</v>
      </c>
    </row>
    <row r="5279" spans="1:7" x14ac:dyDescent="0.2">
      <c r="A5279" s="2" t="s">
        <v>3267</v>
      </c>
      <c r="B5279" s="2" t="s">
        <v>433</v>
      </c>
      <c r="C5279" s="2">
        <v>819.33969999999999</v>
      </c>
      <c r="D5279" s="2">
        <f>HYPERLINK("http://mcb-m6.bioreg.kyushu-u.ac.jp/M3/20110418/F50977/2565/1", 44.06)</f>
        <v>44.06</v>
      </c>
      <c r="E5279" s="2">
        <v>32.659999999999997</v>
      </c>
      <c r="F5279" s="2">
        <v>2</v>
      </c>
      <c r="G5279" s="2" t="s">
        <v>11</v>
      </c>
    </row>
    <row r="5280" spans="1:7" x14ac:dyDescent="0.2">
      <c r="A5280" s="2" t="s">
        <v>3267</v>
      </c>
      <c r="B5280" s="2" t="s">
        <v>97</v>
      </c>
      <c r="C5280" s="2">
        <v>1336.595</v>
      </c>
      <c r="D5280" s="2">
        <f>HYPERLINK("http://mcb-m6.bioreg.kyushu-u.ac.jp/M3/20110418/F50976/1576/1", 44.23)</f>
        <v>44.23</v>
      </c>
      <c r="E5280" s="2">
        <v>25.36</v>
      </c>
      <c r="F5280" s="2">
        <v>1</v>
      </c>
      <c r="G5280" s="2" t="s">
        <v>11</v>
      </c>
    </row>
    <row r="5281" spans="1:8" x14ac:dyDescent="0.2">
      <c r="A5281" s="2" t="s">
        <v>3267</v>
      </c>
      <c r="B5281" s="2" t="s">
        <v>491</v>
      </c>
      <c r="C5281" s="2">
        <v>766.35220000000004</v>
      </c>
      <c r="D5281" s="2">
        <f>HYPERLINK("http://mcb-m6.bioreg.kyushu-u.ac.jp/M3/20110418/F50976/2161/1", 44.47)</f>
        <v>44.47</v>
      </c>
      <c r="E5281" s="2">
        <v>31.11</v>
      </c>
      <c r="F5281" s="2">
        <v>2</v>
      </c>
      <c r="G5281" s="2" t="s">
        <v>11</v>
      </c>
    </row>
    <row r="5282" spans="1:8" x14ac:dyDescent="0.2">
      <c r="A5282" s="2" t="s">
        <v>3267</v>
      </c>
      <c r="B5282" s="2" t="s">
        <v>491</v>
      </c>
      <c r="C5282" s="2">
        <v>766.29470000000003</v>
      </c>
      <c r="D5282" s="2">
        <f>HYPERLINK("http://mcb-m6.bioreg.kyushu-u.ac.jp/M3/20110418/F50976/2152/1", 44.63)</f>
        <v>44.63</v>
      </c>
      <c r="E5282" s="2">
        <v>34.69</v>
      </c>
      <c r="F5282" s="2">
        <v>2</v>
      </c>
      <c r="G5282" s="2" t="s">
        <v>11</v>
      </c>
    </row>
    <row r="5283" spans="1:8" x14ac:dyDescent="0.2">
      <c r="A5283" s="2" t="s">
        <v>3267</v>
      </c>
      <c r="B5283" s="2" t="s">
        <v>97</v>
      </c>
      <c r="C5283" s="2">
        <v>668.74869999999999</v>
      </c>
      <c r="D5283" s="2">
        <f>HYPERLINK("http://mcb-m6.bioreg.kyushu-u.ac.jp/M3/20110418/F50978/1699/1", 44.73)</f>
        <v>44.73</v>
      </c>
      <c r="E5283" s="2">
        <v>20.38</v>
      </c>
      <c r="F5283" s="2">
        <v>2</v>
      </c>
      <c r="G5283" s="2" t="s">
        <v>11</v>
      </c>
    </row>
    <row r="5284" spans="1:8" x14ac:dyDescent="0.2">
      <c r="A5284" s="2" t="s">
        <v>3267</v>
      </c>
      <c r="B5284" s="2" t="s">
        <v>433</v>
      </c>
      <c r="C5284" s="2">
        <v>819.90920000000006</v>
      </c>
      <c r="D5284" s="2">
        <f>HYPERLINK("http://mcb-m6.bioreg.kyushu-u.ac.jp/M3/20110418/F50977/2577/1", 44.8)</f>
        <v>44.8</v>
      </c>
      <c r="E5284" s="2">
        <v>34.840000000000003</v>
      </c>
      <c r="F5284" s="2">
        <v>2</v>
      </c>
      <c r="G5284" s="2" t="s">
        <v>11</v>
      </c>
    </row>
    <row r="5285" spans="1:8" x14ac:dyDescent="0.2">
      <c r="A5285" s="2" t="s">
        <v>3267</v>
      </c>
      <c r="B5285" s="2" t="s">
        <v>491</v>
      </c>
      <c r="C5285" s="2">
        <v>511.64449999999999</v>
      </c>
      <c r="D5285" s="2">
        <f>HYPERLINK("http://mcb-m6.bioreg.kyushu-u.ac.jp/M3/20110418/F50977/2256/1", 45.19)</f>
        <v>45.19</v>
      </c>
      <c r="E5285" s="2">
        <v>32.18</v>
      </c>
      <c r="F5285" s="2">
        <v>3</v>
      </c>
      <c r="G5285" s="2" t="s">
        <v>11</v>
      </c>
    </row>
    <row r="5286" spans="1:8" x14ac:dyDescent="0.2">
      <c r="A5286" s="2" t="s">
        <v>3267</v>
      </c>
      <c r="B5286" s="2" t="s">
        <v>491</v>
      </c>
      <c r="C5286" s="2">
        <v>766.80909999999994</v>
      </c>
      <c r="D5286" s="2">
        <f>HYPERLINK("http://mcb-m6.bioreg.kyushu-u.ac.jp/M3/20110418/F50977/2252/1", 45.37)</f>
        <v>45.37</v>
      </c>
      <c r="E5286" s="2">
        <v>33.9</v>
      </c>
      <c r="F5286" s="2">
        <v>2</v>
      </c>
      <c r="G5286" s="2" t="s">
        <v>11</v>
      </c>
    </row>
    <row r="5287" spans="1:8" x14ac:dyDescent="0.2">
      <c r="A5287" s="2" t="s">
        <v>3267</v>
      </c>
      <c r="B5287" s="2" t="s">
        <v>491</v>
      </c>
      <c r="C5287" s="2">
        <v>766.19420000000002</v>
      </c>
      <c r="D5287" s="2">
        <f>HYPERLINK("http://mcb-m6.bioreg.kyushu-u.ac.jp/M3/20110418/F50976/2148/1", 46.22)</f>
        <v>46.22</v>
      </c>
      <c r="E5287" s="2">
        <v>36.590000000000003</v>
      </c>
      <c r="F5287" s="2">
        <v>2</v>
      </c>
      <c r="G5287" s="2" t="s">
        <v>11</v>
      </c>
    </row>
    <row r="5288" spans="1:8" x14ac:dyDescent="0.2">
      <c r="A5288" s="2" t="s">
        <v>3267</v>
      </c>
      <c r="B5288" s="2" t="s">
        <v>47</v>
      </c>
      <c r="C5288" s="2">
        <v>548.71810000000005</v>
      </c>
      <c r="D5288" s="2">
        <f>HYPERLINK("http://mcb-m6.bioreg.kyushu-u.ac.jp/M3/20110418/F50977/1118/1", 46.26)</f>
        <v>46.26</v>
      </c>
      <c r="E5288" s="2">
        <v>26.69</v>
      </c>
      <c r="F5288" s="2">
        <v>2</v>
      </c>
      <c r="G5288" s="2" t="s">
        <v>11</v>
      </c>
      <c r="H5288" s="2" t="s">
        <v>4904</v>
      </c>
    </row>
    <row r="5289" spans="1:8" x14ac:dyDescent="0.2">
      <c r="A5289" s="2" t="s">
        <v>3267</v>
      </c>
      <c r="B5289" s="2" t="s">
        <v>433</v>
      </c>
      <c r="C5289" s="2">
        <v>546.78679999999997</v>
      </c>
      <c r="D5289" s="2">
        <f>HYPERLINK("http://mcb-m6.bioreg.kyushu-u.ac.jp/M3/20110418/F50977/2573/1", 46.33)</f>
        <v>46.33</v>
      </c>
      <c r="E5289" s="2">
        <v>31.61</v>
      </c>
      <c r="F5289" s="2">
        <v>3</v>
      </c>
      <c r="G5289" s="2" t="s">
        <v>11</v>
      </c>
    </row>
    <row r="5290" spans="1:8" x14ac:dyDescent="0.2">
      <c r="A5290" s="2" t="s">
        <v>3267</v>
      </c>
      <c r="B5290" s="2" t="s">
        <v>697</v>
      </c>
      <c r="C5290" s="2">
        <v>732.77970000000005</v>
      </c>
      <c r="D5290" s="2">
        <f>HYPERLINK("http://mcb-m6.bioreg.kyushu-u.ac.jp/M3/20110418/F50976/1940/1", 47.46)</f>
        <v>47.46</v>
      </c>
      <c r="E5290" s="2">
        <v>29.89</v>
      </c>
      <c r="F5290" s="2">
        <v>2</v>
      </c>
      <c r="G5290" s="2" t="s">
        <v>11</v>
      </c>
    </row>
    <row r="5291" spans="1:8" x14ac:dyDescent="0.2">
      <c r="A5291" s="2" t="s">
        <v>3267</v>
      </c>
      <c r="B5291" s="2" t="s">
        <v>433</v>
      </c>
      <c r="C5291" s="2">
        <v>546.62850000000003</v>
      </c>
      <c r="D5291" s="2">
        <f>HYPERLINK("http://mcb-m6.bioreg.kyushu-u.ac.jp/M3/20110418/F50977/2569/1", 47.96)</f>
        <v>47.96</v>
      </c>
      <c r="E5291" s="2">
        <v>25.95</v>
      </c>
      <c r="F5291" s="2">
        <v>3</v>
      </c>
      <c r="G5291" s="2" t="s">
        <v>11</v>
      </c>
    </row>
    <row r="5292" spans="1:8" x14ac:dyDescent="0.2">
      <c r="A5292" s="2" t="s">
        <v>3267</v>
      </c>
      <c r="B5292" s="2" t="s">
        <v>697</v>
      </c>
      <c r="C5292" s="2">
        <v>733.31020000000001</v>
      </c>
      <c r="D5292" s="2">
        <f>HYPERLINK("http://mcb-m6.bioreg.kyushu-u.ac.jp/M3/20110418/F50976/1949/1", 48.3)</f>
        <v>48.3</v>
      </c>
      <c r="E5292" s="2">
        <v>30.57</v>
      </c>
      <c r="F5292" s="2">
        <v>2</v>
      </c>
      <c r="G5292" s="2" t="s">
        <v>11</v>
      </c>
    </row>
    <row r="5293" spans="1:8" x14ac:dyDescent="0.2">
      <c r="A5293" s="2" t="s">
        <v>3267</v>
      </c>
      <c r="B5293" s="2" t="s">
        <v>433</v>
      </c>
      <c r="C5293" s="2">
        <v>819.35569999999996</v>
      </c>
      <c r="D5293" s="2">
        <f>HYPERLINK("http://mcb-m6.bioreg.kyushu-u.ac.jp/M3/20110418/F50977/2566/1", 48.48)</f>
        <v>48.48</v>
      </c>
      <c r="E5293" s="2">
        <v>36.94</v>
      </c>
      <c r="F5293" s="2">
        <v>2</v>
      </c>
      <c r="G5293" s="2" t="s">
        <v>11</v>
      </c>
    </row>
    <row r="5294" spans="1:8" x14ac:dyDescent="0.2">
      <c r="A5294" s="2" t="s">
        <v>3267</v>
      </c>
      <c r="B5294" s="2" t="s">
        <v>491</v>
      </c>
      <c r="C5294" s="2">
        <v>766.38570000000004</v>
      </c>
      <c r="D5294" s="2">
        <f>HYPERLINK("http://mcb-m6.bioreg.kyushu-u.ac.jp/M3/20110418/F50977/2245/1", 48.81)</f>
        <v>48.81</v>
      </c>
      <c r="E5294" s="2">
        <v>34.67</v>
      </c>
      <c r="F5294" s="2">
        <v>2</v>
      </c>
      <c r="G5294" s="2" t="s">
        <v>11</v>
      </c>
    </row>
    <row r="5295" spans="1:8" x14ac:dyDescent="0.2">
      <c r="A5295" s="2" t="s">
        <v>3267</v>
      </c>
      <c r="B5295" s="2" t="s">
        <v>697</v>
      </c>
      <c r="C5295" s="2">
        <v>732.85720000000003</v>
      </c>
      <c r="D5295" s="2">
        <f>HYPERLINK("http://mcb-m6.bioreg.kyushu-u.ac.jp/M3/20110418/F50977/2028/1", 49.61)</f>
        <v>49.61</v>
      </c>
      <c r="E5295" s="2">
        <v>28.99</v>
      </c>
      <c r="F5295" s="2">
        <v>2</v>
      </c>
      <c r="G5295" s="2" t="s">
        <v>11</v>
      </c>
    </row>
    <row r="5296" spans="1:8" x14ac:dyDescent="0.2">
      <c r="A5296" s="2" t="s">
        <v>3267</v>
      </c>
      <c r="B5296" s="2" t="s">
        <v>491</v>
      </c>
      <c r="C5296" s="2">
        <v>766.83619999999996</v>
      </c>
      <c r="D5296" s="2">
        <f>HYPERLINK("http://mcb-m6.bioreg.kyushu-u.ac.jp/M3/20110418/F50996/2188/1", 50.7)</f>
        <v>50.7</v>
      </c>
      <c r="E5296" s="2">
        <v>37.85</v>
      </c>
      <c r="F5296" s="2">
        <v>2</v>
      </c>
      <c r="G5296" s="2" t="s">
        <v>11</v>
      </c>
    </row>
    <row r="5297" spans="1:7" x14ac:dyDescent="0.2">
      <c r="A5297" s="2" t="s">
        <v>3267</v>
      </c>
      <c r="B5297" s="2" t="s">
        <v>697</v>
      </c>
      <c r="C5297" s="2">
        <v>733.21469999999999</v>
      </c>
      <c r="D5297" s="2">
        <f>HYPERLINK("http://mcb-m6.bioreg.kyushu-u.ac.jp/M3/20110418/F50975/1992/1", 50.73)</f>
        <v>50.73</v>
      </c>
      <c r="E5297" s="2">
        <v>33.270000000000003</v>
      </c>
      <c r="F5297" s="2">
        <v>2</v>
      </c>
      <c r="G5297" s="2" t="s">
        <v>11</v>
      </c>
    </row>
    <row r="5298" spans="1:7" x14ac:dyDescent="0.2">
      <c r="A5298" s="2" t="s">
        <v>3267</v>
      </c>
      <c r="B5298" s="2" t="s">
        <v>1606</v>
      </c>
      <c r="C5298" s="2">
        <v>575.29020000000003</v>
      </c>
      <c r="D5298" s="2">
        <f>HYPERLINK("http://mcb-m6.bioreg.kyushu-u.ac.jp/M3/20110418/F50976/2728/1", 50.79)</f>
        <v>50.79</v>
      </c>
      <c r="E5298" s="2">
        <v>33.93</v>
      </c>
      <c r="F5298" s="2">
        <v>3</v>
      </c>
      <c r="G5298" s="2" t="s">
        <v>11</v>
      </c>
    </row>
    <row r="5299" spans="1:7" x14ac:dyDescent="0.2">
      <c r="A5299" s="2" t="s">
        <v>3267</v>
      </c>
      <c r="B5299" s="2" t="s">
        <v>697</v>
      </c>
      <c r="C5299" s="2">
        <v>733.35059999999999</v>
      </c>
      <c r="D5299" s="2">
        <f>HYPERLINK("http://mcb-m6.bioreg.kyushu-u.ac.jp/M3/20110418/F50977/2036/1", 51.08)</f>
        <v>51.08</v>
      </c>
      <c r="E5299" s="2">
        <v>28.78</v>
      </c>
      <c r="F5299" s="2">
        <v>2</v>
      </c>
      <c r="G5299" s="2" t="s">
        <v>11</v>
      </c>
    </row>
    <row r="5300" spans="1:7" x14ac:dyDescent="0.2">
      <c r="A5300" s="2" t="s">
        <v>3267</v>
      </c>
      <c r="B5300" s="2" t="s">
        <v>433</v>
      </c>
      <c r="C5300" s="2">
        <v>819.3492</v>
      </c>
      <c r="D5300" s="2">
        <f>HYPERLINK("http://mcb-m6.bioreg.kyushu-u.ac.jp/M3/20110418/F50976/2494/1", 51.18)</f>
        <v>51.18</v>
      </c>
      <c r="E5300" s="2">
        <v>41.27</v>
      </c>
      <c r="F5300" s="2">
        <v>2</v>
      </c>
      <c r="G5300" s="2" t="s">
        <v>11</v>
      </c>
    </row>
    <row r="5301" spans="1:7" x14ac:dyDescent="0.2">
      <c r="A5301" s="2" t="s">
        <v>3267</v>
      </c>
      <c r="B5301" s="2" t="s">
        <v>97</v>
      </c>
      <c r="C5301" s="2">
        <v>668.7432</v>
      </c>
      <c r="D5301" s="2">
        <f>HYPERLINK("http://mcb-m6.bioreg.kyushu-u.ac.jp/M3/20110418/F50977/1651/1", 51.38)</f>
        <v>51.38</v>
      </c>
      <c r="E5301" s="2">
        <v>33.49</v>
      </c>
      <c r="F5301" s="2">
        <v>2</v>
      </c>
      <c r="G5301" s="2" t="s">
        <v>11</v>
      </c>
    </row>
    <row r="5302" spans="1:7" x14ac:dyDescent="0.2">
      <c r="A5302" s="2" t="s">
        <v>3267</v>
      </c>
      <c r="B5302" s="2" t="s">
        <v>433</v>
      </c>
      <c r="C5302" s="2">
        <v>819.26919999999996</v>
      </c>
      <c r="D5302" s="2">
        <f>HYPERLINK("http://mcb-m6.bioreg.kyushu-u.ac.jp/M3/20110418/F50977/2561/1", 52.9)</f>
        <v>52.9</v>
      </c>
      <c r="E5302" s="2">
        <v>40.840000000000003</v>
      </c>
      <c r="F5302" s="2">
        <v>2</v>
      </c>
      <c r="G5302" s="2" t="s">
        <v>11</v>
      </c>
    </row>
    <row r="5303" spans="1:7" x14ac:dyDescent="0.2">
      <c r="A5303" s="2" t="s">
        <v>3267</v>
      </c>
      <c r="B5303" s="2" t="s">
        <v>697</v>
      </c>
      <c r="C5303" s="2">
        <v>732.79420000000005</v>
      </c>
      <c r="D5303" s="2">
        <f>HYPERLINK("http://mcb-m6.bioreg.kyushu-u.ac.jp/M3/20110418/F50976/1941/1", 53.01)</f>
        <v>53.01</v>
      </c>
      <c r="E5303" s="2">
        <v>35.409999999999997</v>
      </c>
      <c r="F5303" s="2">
        <v>2</v>
      </c>
      <c r="G5303" s="2" t="s">
        <v>11</v>
      </c>
    </row>
    <row r="5304" spans="1:7" x14ac:dyDescent="0.2">
      <c r="A5304" s="2" t="s">
        <v>3267</v>
      </c>
      <c r="B5304" s="2" t="s">
        <v>491</v>
      </c>
      <c r="C5304" s="2">
        <v>1532.71</v>
      </c>
      <c r="D5304" s="2">
        <f>HYPERLINK("http://mcb-m6.bioreg.kyushu-u.ac.jp/M3/20110418/F50977/2253/1", 53.8)</f>
        <v>53.8</v>
      </c>
      <c r="E5304" s="2">
        <v>38.53</v>
      </c>
      <c r="F5304" s="2">
        <v>1</v>
      </c>
      <c r="G5304" s="2" t="s">
        <v>11</v>
      </c>
    </row>
    <row r="5305" spans="1:7" x14ac:dyDescent="0.2">
      <c r="A5305" s="2" t="s">
        <v>3267</v>
      </c>
      <c r="B5305" s="2" t="s">
        <v>491</v>
      </c>
      <c r="C5305" s="2">
        <v>766.88509999999997</v>
      </c>
      <c r="D5305" s="2">
        <f>HYPERLINK("http://mcb-m6.bioreg.kyushu-u.ac.jp/M3/20110418/F50977/2254/1", 54.03)</f>
        <v>54.03</v>
      </c>
      <c r="E5305" s="2">
        <v>38.409999999999997</v>
      </c>
      <c r="F5305" s="2">
        <v>2</v>
      </c>
      <c r="G5305" s="2" t="s">
        <v>11</v>
      </c>
    </row>
    <row r="5306" spans="1:7" x14ac:dyDescent="0.2">
      <c r="A5306" s="2" t="s">
        <v>3267</v>
      </c>
      <c r="B5306" s="2" t="s">
        <v>491</v>
      </c>
      <c r="C5306" s="2">
        <v>766.31769999999995</v>
      </c>
      <c r="D5306" s="2">
        <f>HYPERLINK("http://mcb-m6.bioreg.kyushu-u.ac.jp/M3/20110418/F50976/2156/1", 54.11)</f>
        <v>54.11</v>
      </c>
      <c r="E5306" s="2">
        <v>35.799999999999997</v>
      </c>
      <c r="F5306" s="2">
        <v>2</v>
      </c>
      <c r="G5306" s="2" t="s">
        <v>11</v>
      </c>
    </row>
    <row r="5307" spans="1:7" x14ac:dyDescent="0.2">
      <c r="A5307" s="2" t="s">
        <v>3267</v>
      </c>
      <c r="B5307" s="2" t="s">
        <v>491</v>
      </c>
      <c r="C5307" s="2">
        <v>766.82619999999997</v>
      </c>
      <c r="D5307" s="2">
        <f>HYPERLINK("http://mcb-m6.bioreg.kyushu-u.ac.jp/M3/20110418/F50976/2168/1", 54.11)</f>
        <v>54.11</v>
      </c>
      <c r="E5307" s="2">
        <v>37.75</v>
      </c>
      <c r="F5307" s="2">
        <v>2</v>
      </c>
      <c r="G5307" s="2" t="s">
        <v>11</v>
      </c>
    </row>
    <row r="5308" spans="1:7" x14ac:dyDescent="0.2">
      <c r="A5308" s="2" t="s">
        <v>3267</v>
      </c>
      <c r="B5308" s="2" t="s">
        <v>562</v>
      </c>
      <c r="C5308" s="2">
        <v>964.92909999999995</v>
      </c>
      <c r="D5308" s="2">
        <f>HYPERLINK("http://mcb-m6.bioreg.kyushu-u.ac.jp/M3/20110418/F50977/4274/1", 54.11)</f>
        <v>54.11</v>
      </c>
      <c r="E5308" s="2">
        <v>48.05</v>
      </c>
      <c r="F5308" s="2">
        <v>3</v>
      </c>
      <c r="G5308" s="2" t="s">
        <v>11</v>
      </c>
    </row>
    <row r="5309" spans="1:7" x14ac:dyDescent="0.2">
      <c r="A5309" s="2" t="s">
        <v>3267</v>
      </c>
      <c r="B5309" s="2" t="s">
        <v>491</v>
      </c>
      <c r="C5309" s="2">
        <v>766.84670000000006</v>
      </c>
      <c r="D5309" s="2">
        <f>HYPERLINK("http://mcb-m6.bioreg.kyushu-u.ac.jp/M3/20110418/F50976/2169/1", 54.14)</f>
        <v>54.14</v>
      </c>
      <c r="E5309" s="2">
        <v>42.63</v>
      </c>
      <c r="F5309" s="2">
        <v>2</v>
      </c>
      <c r="G5309" s="2" t="s">
        <v>11</v>
      </c>
    </row>
    <row r="5310" spans="1:7" x14ac:dyDescent="0.2">
      <c r="A5310" s="2" t="s">
        <v>3267</v>
      </c>
      <c r="B5310" s="2" t="s">
        <v>97</v>
      </c>
      <c r="C5310" s="2">
        <v>668.77260000000001</v>
      </c>
      <c r="D5310" s="2">
        <f>HYPERLINK("http://mcb-m6.bioreg.kyushu-u.ac.jp/M3/20110418/F50976/1575/1", 55.15)</f>
        <v>55.15</v>
      </c>
      <c r="E5310" s="2">
        <v>33.17</v>
      </c>
      <c r="F5310" s="2">
        <v>2</v>
      </c>
      <c r="G5310" s="2" t="s">
        <v>11</v>
      </c>
    </row>
    <row r="5311" spans="1:7" x14ac:dyDescent="0.2">
      <c r="A5311" s="2" t="s">
        <v>3267</v>
      </c>
      <c r="B5311" s="2" t="s">
        <v>697</v>
      </c>
      <c r="C5311" s="2">
        <v>733.3152</v>
      </c>
      <c r="D5311" s="2">
        <f>HYPERLINK("http://mcb-m6.bioreg.kyushu-u.ac.jp/M3/20110418/F50979/2042/1", 55.95)</f>
        <v>55.95</v>
      </c>
      <c r="E5311" s="2">
        <v>38.57</v>
      </c>
      <c r="F5311" s="2">
        <v>2</v>
      </c>
      <c r="G5311" s="2" t="s">
        <v>11</v>
      </c>
    </row>
    <row r="5312" spans="1:7" x14ac:dyDescent="0.2">
      <c r="A5312" s="2" t="s">
        <v>3267</v>
      </c>
      <c r="B5312" s="2" t="s">
        <v>491</v>
      </c>
      <c r="C5312" s="2">
        <v>766.41269999999997</v>
      </c>
      <c r="D5312" s="2">
        <f>HYPERLINK("http://mcb-m6.bioreg.kyushu-u.ac.jp/M3/20110418/F50978/2216/1", 57.35)</f>
        <v>57.35</v>
      </c>
      <c r="E5312" s="2">
        <v>35.950000000000003</v>
      </c>
      <c r="F5312" s="2">
        <v>2</v>
      </c>
      <c r="G5312" s="2" t="s">
        <v>11</v>
      </c>
    </row>
    <row r="5313" spans="1:7" x14ac:dyDescent="0.2">
      <c r="A5313" s="2" t="s">
        <v>3267</v>
      </c>
      <c r="B5313" s="2" t="s">
        <v>491</v>
      </c>
      <c r="C5313" s="2">
        <v>766.87220000000002</v>
      </c>
      <c r="D5313" s="2">
        <f>HYPERLINK("http://mcb-m6.bioreg.kyushu-u.ac.jp/M3/20110418/F50976/2171/1", 57.64)</f>
        <v>57.64</v>
      </c>
      <c r="E5313" s="2">
        <v>37.729999999999997</v>
      </c>
      <c r="F5313" s="2">
        <v>2</v>
      </c>
      <c r="G5313" s="2" t="s">
        <v>11</v>
      </c>
    </row>
    <row r="5314" spans="1:7" x14ac:dyDescent="0.2">
      <c r="A5314" s="2" t="s">
        <v>3267</v>
      </c>
      <c r="B5314" s="2" t="s">
        <v>433</v>
      </c>
      <c r="C5314" s="2">
        <v>819.09010000000001</v>
      </c>
      <c r="D5314" s="2">
        <f>HYPERLINK("http://mcb-m6.bioreg.kyushu-u.ac.jp/M3/20110418/F50976/2491/1", 58.74)</f>
        <v>58.74</v>
      </c>
      <c r="E5314" s="2">
        <v>48.36</v>
      </c>
      <c r="F5314" s="2">
        <v>2</v>
      </c>
      <c r="G5314" s="2" t="s">
        <v>11</v>
      </c>
    </row>
    <row r="5315" spans="1:7" x14ac:dyDescent="0.2">
      <c r="A5315" s="2" t="s">
        <v>3267</v>
      </c>
      <c r="B5315" s="2" t="s">
        <v>491</v>
      </c>
      <c r="C5315" s="2">
        <v>766.88459999999998</v>
      </c>
      <c r="D5315" s="2">
        <f>HYPERLINK("http://mcb-m6.bioreg.kyushu-u.ac.jp/M3/20110418/F50999/2135/1", 58.79)</f>
        <v>58.79</v>
      </c>
      <c r="E5315" s="2">
        <v>44.36</v>
      </c>
      <c r="F5315" s="2">
        <v>2</v>
      </c>
      <c r="G5315" s="2" t="s">
        <v>11</v>
      </c>
    </row>
    <row r="5316" spans="1:7" x14ac:dyDescent="0.2">
      <c r="A5316" s="2" t="s">
        <v>3267</v>
      </c>
      <c r="B5316" s="2" t="s">
        <v>491</v>
      </c>
      <c r="C5316" s="2">
        <v>766.45010000000002</v>
      </c>
      <c r="D5316" s="2">
        <f>HYPERLINK("http://mcb-m6.bioreg.kyushu-u.ac.jp/M3/20110418/F50977/2248/1", 59.41)</f>
        <v>59.41</v>
      </c>
      <c r="E5316" s="2">
        <v>42.4</v>
      </c>
      <c r="F5316" s="2">
        <v>2</v>
      </c>
      <c r="G5316" s="2" t="s">
        <v>11</v>
      </c>
    </row>
    <row r="5317" spans="1:7" x14ac:dyDescent="0.2">
      <c r="A5317" s="2" t="s">
        <v>3267</v>
      </c>
      <c r="B5317" s="2" t="s">
        <v>491</v>
      </c>
      <c r="C5317" s="2">
        <v>766.43409999999994</v>
      </c>
      <c r="D5317" s="2">
        <f>HYPERLINK("http://mcb-m6.bioreg.kyushu-u.ac.jp/M3/20110418/F50975/2202/1", 60.02)</f>
        <v>60.02</v>
      </c>
      <c r="E5317" s="2">
        <v>45.32</v>
      </c>
      <c r="F5317" s="2">
        <v>2</v>
      </c>
      <c r="G5317" s="2" t="s">
        <v>11</v>
      </c>
    </row>
    <row r="5318" spans="1:7" x14ac:dyDescent="0.2">
      <c r="A5318" s="2" t="s">
        <v>3267</v>
      </c>
      <c r="B5318" s="2" t="s">
        <v>491</v>
      </c>
      <c r="C5318" s="2">
        <v>766.34770000000003</v>
      </c>
      <c r="D5318" s="2">
        <f>HYPERLINK("http://mcb-m6.bioreg.kyushu-u.ac.jp/M3/20110418/F50976/2159/1", 61.44)</f>
        <v>61.44</v>
      </c>
      <c r="E5318" s="2">
        <v>46.51</v>
      </c>
      <c r="F5318" s="2">
        <v>2</v>
      </c>
      <c r="G5318" s="2" t="s">
        <v>11</v>
      </c>
    </row>
    <row r="5319" spans="1:7" x14ac:dyDescent="0.2">
      <c r="A5319" s="2" t="s">
        <v>3267</v>
      </c>
      <c r="B5319" s="2" t="s">
        <v>491</v>
      </c>
      <c r="C5319" s="2">
        <v>766.3732</v>
      </c>
      <c r="D5319" s="2">
        <f>HYPERLINK("http://mcb-m6.bioreg.kyushu-u.ac.jp/M3/20110418/F50977/2244/1", 62.44)</f>
        <v>62.44</v>
      </c>
      <c r="E5319" s="2">
        <v>39.54</v>
      </c>
      <c r="F5319" s="2">
        <v>2</v>
      </c>
      <c r="G5319" s="2" t="s">
        <v>11</v>
      </c>
    </row>
    <row r="5320" spans="1:7" x14ac:dyDescent="0.2">
      <c r="A5320" s="2" t="s">
        <v>3267</v>
      </c>
      <c r="B5320" s="2" t="s">
        <v>491</v>
      </c>
      <c r="C5320" s="2">
        <v>766.30160000000001</v>
      </c>
      <c r="D5320" s="2">
        <f>HYPERLINK("http://mcb-m6.bioreg.kyushu-u.ac.jp/M3/20110418/F50976/2153/1", 66.6)</f>
        <v>66.599999999999994</v>
      </c>
      <c r="E5320" s="2">
        <v>53.82</v>
      </c>
      <c r="F5320" s="2">
        <v>2</v>
      </c>
      <c r="G5320" s="2" t="s">
        <v>11</v>
      </c>
    </row>
    <row r="5321" spans="1:7" x14ac:dyDescent="0.2">
      <c r="A5321" s="2" t="s">
        <v>3267</v>
      </c>
      <c r="B5321" s="2" t="s">
        <v>697</v>
      </c>
      <c r="C5321" s="2">
        <v>732.80820000000006</v>
      </c>
      <c r="D5321" s="2">
        <f>HYPERLINK("http://mcb-m6.bioreg.kyushu-u.ac.jp/M3/20110418/F50976/1942/1", 67.67)</f>
        <v>67.67</v>
      </c>
      <c r="E5321" s="2">
        <v>44.56</v>
      </c>
      <c r="F5321" s="2">
        <v>2</v>
      </c>
      <c r="G5321" s="2" t="s">
        <v>11</v>
      </c>
    </row>
    <row r="5322" spans="1:7" x14ac:dyDescent="0.2">
      <c r="A5322" s="2" t="s">
        <v>3267</v>
      </c>
      <c r="B5322" s="2" t="s">
        <v>491</v>
      </c>
      <c r="C5322" s="2">
        <v>766.34519999999998</v>
      </c>
      <c r="D5322" s="2">
        <f>HYPERLINK("http://mcb-m6.bioreg.kyushu-u.ac.jp/M3/20110418/F50976/2158/1", 67.94)</f>
        <v>67.94</v>
      </c>
      <c r="E5322" s="2">
        <v>48.34</v>
      </c>
      <c r="F5322" s="2">
        <v>2</v>
      </c>
      <c r="G5322" s="2" t="s">
        <v>11</v>
      </c>
    </row>
    <row r="5323" spans="1:7" x14ac:dyDescent="0.2">
      <c r="A5323" s="2" t="s">
        <v>3267</v>
      </c>
      <c r="B5323" s="2" t="s">
        <v>491</v>
      </c>
      <c r="C5323" s="2">
        <v>766.27970000000005</v>
      </c>
      <c r="D5323" s="2">
        <f>HYPERLINK("http://mcb-m6.bioreg.kyushu-u.ac.jp/M3/20110418/F50974/2205/1", 70.06)</f>
        <v>70.06</v>
      </c>
      <c r="E5323" s="2">
        <v>52.45</v>
      </c>
      <c r="F5323" s="2">
        <v>2</v>
      </c>
      <c r="G5323" s="2" t="s">
        <v>11</v>
      </c>
    </row>
    <row r="5324" spans="1:7" x14ac:dyDescent="0.2">
      <c r="A5324" s="2" t="s">
        <v>3267</v>
      </c>
      <c r="B5324" s="2" t="s">
        <v>2071</v>
      </c>
      <c r="C5324" s="2">
        <v>1164.3810000000001</v>
      </c>
      <c r="D5324" s="2">
        <f>HYPERLINK("http://mcb-m6.bioreg.kyushu-u.ac.jp/M3/20110418/F50977/3883/1", 70.51)</f>
        <v>70.510000000000005</v>
      </c>
      <c r="E5324" s="2">
        <v>56.65</v>
      </c>
      <c r="F5324" s="2">
        <v>2</v>
      </c>
      <c r="G5324" s="2" t="s">
        <v>11</v>
      </c>
    </row>
    <row r="5325" spans="1:7" x14ac:dyDescent="0.2">
      <c r="A5325" s="2" t="s">
        <v>3267</v>
      </c>
      <c r="B5325" s="2" t="s">
        <v>491</v>
      </c>
      <c r="C5325" s="2">
        <v>766.89070000000004</v>
      </c>
      <c r="D5325" s="2">
        <f>HYPERLINK("http://mcb-m6.bioreg.kyushu-u.ac.jp/M3/20110418/F50979/2194/1", 71.23)</f>
        <v>71.23</v>
      </c>
      <c r="E5325" s="2">
        <v>50.26</v>
      </c>
      <c r="F5325" s="2">
        <v>2</v>
      </c>
      <c r="G5325" s="2" t="s">
        <v>11</v>
      </c>
    </row>
    <row r="5326" spans="1:7" x14ac:dyDescent="0.2">
      <c r="A5326" s="2" t="s">
        <v>3267</v>
      </c>
      <c r="B5326" s="2" t="s">
        <v>491</v>
      </c>
      <c r="C5326" s="2">
        <v>766.37620000000004</v>
      </c>
      <c r="D5326" s="2">
        <f>HYPERLINK("http://mcb-m6.bioreg.kyushu-u.ac.jp/M3/20110418/F50979/2193/1", 71.35)</f>
        <v>71.349999999999994</v>
      </c>
      <c r="E5326" s="2">
        <v>56.34</v>
      </c>
      <c r="F5326" s="2">
        <v>2</v>
      </c>
      <c r="G5326" s="2" t="s">
        <v>11</v>
      </c>
    </row>
    <row r="5327" spans="1:7" x14ac:dyDescent="0.2">
      <c r="A5327" s="2" t="s">
        <v>3267</v>
      </c>
      <c r="B5327" s="2" t="s">
        <v>994</v>
      </c>
      <c r="C5327" s="2">
        <v>580.1472</v>
      </c>
      <c r="D5327" s="2">
        <f>HYPERLINK("http://mcb-m6.bioreg.kyushu-u.ac.jp/M3/20110418/F50976/1198/1", 73.36)</f>
        <v>73.36</v>
      </c>
      <c r="E5327" s="2">
        <v>49.8</v>
      </c>
      <c r="F5327" s="2">
        <v>2</v>
      </c>
      <c r="G5327" s="2" t="s">
        <v>11</v>
      </c>
    </row>
    <row r="5328" spans="1:7" x14ac:dyDescent="0.2">
      <c r="A5328" s="2" t="s">
        <v>3267</v>
      </c>
      <c r="B5328" s="2" t="s">
        <v>491</v>
      </c>
      <c r="C5328" s="2">
        <v>1531.6089999999999</v>
      </c>
      <c r="D5328" s="2">
        <f>HYPERLINK("http://mcb-m6.bioreg.kyushu-u.ac.jp/M3/20110418/F50976/2154/1", 73.76)</f>
        <v>73.760000000000005</v>
      </c>
      <c r="E5328" s="2">
        <v>61.71</v>
      </c>
      <c r="F5328" s="2">
        <v>1</v>
      </c>
      <c r="G5328" s="2" t="s">
        <v>11</v>
      </c>
    </row>
    <row r="5329" spans="1:7" x14ac:dyDescent="0.2">
      <c r="A5329" s="2" t="s">
        <v>3267</v>
      </c>
      <c r="B5329" s="2" t="s">
        <v>2071</v>
      </c>
      <c r="C5329" s="2">
        <v>1164.453</v>
      </c>
      <c r="D5329" s="2">
        <f>HYPERLINK("http://mcb-m6.bioreg.kyushu-u.ac.jp/M3/20110418/F50976/3800/1", 77.42)</f>
        <v>77.42</v>
      </c>
      <c r="E5329" s="2">
        <v>64.91</v>
      </c>
      <c r="F5329" s="2">
        <v>2</v>
      </c>
      <c r="G5329" s="2" t="s">
        <v>11</v>
      </c>
    </row>
    <row r="5330" spans="1:7" x14ac:dyDescent="0.2">
      <c r="A5330" s="2" t="s">
        <v>3267</v>
      </c>
      <c r="B5330" s="2" t="s">
        <v>491</v>
      </c>
      <c r="C5330" s="2">
        <v>766.3827</v>
      </c>
      <c r="D5330" s="2">
        <f>HYPERLINK("http://mcb-m6.bioreg.kyushu-u.ac.jp/M3/20110418/F50976/2162/1", 81.23)</f>
        <v>81.23</v>
      </c>
      <c r="E5330" s="2">
        <v>64.47</v>
      </c>
      <c r="F5330" s="2">
        <v>2</v>
      </c>
      <c r="G5330" s="2" t="s">
        <v>11</v>
      </c>
    </row>
    <row r="5331" spans="1:7" x14ac:dyDescent="0.2">
      <c r="A5331" s="2" t="s">
        <v>3267</v>
      </c>
      <c r="B5331" s="2" t="s">
        <v>602</v>
      </c>
      <c r="C5331" s="2">
        <v>742.48770000000002</v>
      </c>
      <c r="D5331" s="2">
        <f>HYPERLINK("http://mcb-m6.bioreg.kyushu-u.ac.jp/M3/20110418/F50976/2007/1", 84.58)</f>
        <v>84.58</v>
      </c>
      <c r="E5331" s="2">
        <v>74.599999999999994</v>
      </c>
      <c r="F5331" s="2">
        <v>2</v>
      </c>
      <c r="G5331" s="2" t="s">
        <v>11</v>
      </c>
    </row>
    <row r="5332" spans="1:7" x14ac:dyDescent="0.2">
      <c r="A5332" s="2" t="s">
        <v>3267</v>
      </c>
      <c r="B5332" s="2" t="s">
        <v>491</v>
      </c>
      <c r="C5332" s="2">
        <v>766.43769999999995</v>
      </c>
      <c r="D5332" s="2">
        <f>HYPERLINK("http://mcb-m6.bioreg.kyushu-u.ac.jp/M3/20110418/F50977/2247/1", 84.71)</f>
        <v>84.71</v>
      </c>
      <c r="E5332" s="2">
        <v>65.650000000000006</v>
      </c>
      <c r="F5332" s="2">
        <v>2</v>
      </c>
      <c r="G5332" s="2" t="s">
        <v>11</v>
      </c>
    </row>
    <row r="5333" spans="1:7" x14ac:dyDescent="0.2">
      <c r="A5333" s="2" t="s">
        <v>3267</v>
      </c>
      <c r="B5333" s="2" t="s">
        <v>480</v>
      </c>
      <c r="C5333" s="2">
        <v>1035.181</v>
      </c>
      <c r="D5333" s="2">
        <f>HYPERLINK("http://mcb-m6.bioreg.kyushu-u.ac.jp/M3/20110418/F50977/4335/1", 85.75)</f>
        <v>85.75</v>
      </c>
      <c r="E5333" s="2">
        <v>76.3</v>
      </c>
      <c r="F5333" s="2">
        <v>3</v>
      </c>
      <c r="G5333" s="2" t="s">
        <v>11</v>
      </c>
    </row>
    <row r="5334" spans="1:7" x14ac:dyDescent="0.2">
      <c r="A5334" s="2" t="s">
        <v>3267</v>
      </c>
      <c r="B5334" s="2" t="s">
        <v>480</v>
      </c>
      <c r="C5334" s="2">
        <v>1035.0129999999999</v>
      </c>
      <c r="D5334" s="2">
        <f>HYPERLINK("http://mcb-m6.bioreg.kyushu-u.ac.jp/M3/20110418/F50976/4305/1", 86.34)</f>
        <v>86.34</v>
      </c>
      <c r="E5334" s="2">
        <v>76.42</v>
      </c>
      <c r="F5334" s="2">
        <v>3</v>
      </c>
      <c r="G5334" s="2" t="s">
        <v>11</v>
      </c>
    </row>
    <row r="5335" spans="1:7" x14ac:dyDescent="0.2">
      <c r="A5335" s="2" t="s">
        <v>3267</v>
      </c>
      <c r="B5335" s="2" t="s">
        <v>1606</v>
      </c>
      <c r="C5335" s="2">
        <v>862.35170000000005</v>
      </c>
      <c r="D5335" s="2">
        <f>HYPERLINK("http://mcb-m6.bioreg.kyushu-u.ac.jp/M3/20110418/F50976/2726/1", 89.92)</f>
        <v>89.92</v>
      </c>
      <c r="E5335" s="2">
        <v>80.3</v>
      </c>
      <c r="F5335" s="2">
        <v>2</v>
      </c>
      <c r="G5335" s="2" t="s">
        <v>11</v>
      </c>
    </row>
    <row r="5336" spans="1:7" x14ac:dyDescent="0.2">
      <c r="A5336" s="2" t="s">
        <v>3267</v>
      </c>
      <c r="B5336" s="2" t="s">
        <v>2071</v>
      </c>
      <c r="C5336" s="2">
        <v>1163.8900000000001</v>
      </c>
      <c r="D5336" s="2">
        <f>HYPERLINK("http://mcb-m6.bioreg.kyushu-u.ac.jp/M3/20110418/F50976/3797/1", 90.37)</f>
        <v>90.37</v>
      </c>
      <c r="E5336" s="2">
        <v>78.099999999999994</v>
      </c>
      <c r="F5336" s="2">
        <v>2</v>
      </c>
      <c r="G5336" s="2" t="s">
        <v>11</v>
      </c>
    </row>
    <row r="5337" spans="1:7" x14ac:dyDescent="0.2">
      <c r="A5337" s="2" t="s">
        <v>3267</v>
      </c>
      <c r="B5337" s="2" t="s">
        <v>602</v>
      </c>
      <c r="C5337" s="2">
        <v>742.53219999999999</v>
      </c>
      <c r="D5337" s="2">
        <f>HYPERLINK("http://mcb-m6.bioreg.kyushu-u.ac.jp/M3/20110418/F50975/2058/1", 90.45)</f>
        <v>90.45</v>
      </c>
      <c r="E5337" s="2">
        <v>79.540000000000006</v>
      </c>
      <c r="F5337" s="2">
        <v>2</v>
      </c>
      <c r="G5337" s="2" t="s">
        <v>11</v>
      </c>
    </row>
    <row r="5338" spans="1:7" x14ac:dyDescent="0.2">
      <c r="A5338" s="2" t="s">
        <v>3267</v>
      </c>
      <c r="B5338" s="2" t="s">
        <v>1606</v>
      </c>
      <c r="C5338" s="2">
        <v>862.45920000000001</v>
      </c>
      <c r="D5338" s="2">
        <f>HYPERLINK("http://mcb-m6.bioreg.kyushu-u.ac.jp/M3/20110418/F50977/2798/1", 94.86)</f>
        <v>94.86</v>
      </c>
      <c r="E5338" s="2">
        <v>82.16</v>
      </c>
      <c r="F5338" s="2">
        <v>2</v>
      </c>
      <c r="G5338" s="2" t="s">
        <v>11</v>
      </c>
    </row>
    <row r="5339" spans="1:7" x14ac:dyDescent="0.2">
      <c r="A5339" s="2" t="s">
        <v>3267</v>
      </c>
      <c r="B5339" s="2" t="s">
        <v>1353</v>
      </c>
      <c r="C5339" s="2">
        <v>825.57709999999997</v>
      </c>
      <c r="D5339" s="2">
        <f>HYPERLINK("http://mcb-m6.bioreg.kyushu-u.ac.jp/M3/20110418/F50977/2611/1", 96.64)</f>
        <v>96.64</v>
      </c>
      <c r="E5339" s="2">
        <v>77.39</v>
      </c>
      <c r="F5339" s="2">
        <v>2</v>
      </c>
      <c r="G5339" s="2" t="s">
        <v>11</v>
      </c>
    </row>
    <row r="5340" spans="1:7" x14ac:dyDescent="0.2">
      <c r="A5340" s="2" t="s">
        <v>3267</v>
      </c>
      <c r="B5340" s="2" t="s">
        <v>602</v>
      </c>
      <c r="C5340" s="2">
        <v>742.61569999999995</v>
      </c>
      <c r="D5340" s="2">
        <f>HYPERLINK("http://mcb-m6.bioreg.kyushu-u.ac.jp/M3/20110418/F50972/2204/1", 97.6)</f>
        <v>97.6</v>
      </c>
      <c r="E5340" s="2">
        <v>87.03</v>
      </c>
      <c r="F5340" s="2">
        <v>2</v>
      </c>
      <c r="G5340" s="2" t="s">
        <v>11</v>
      </c>
    </row>
    <row r="5341" spans="1:7" x14ac:dyDescent="0.2">
      <c r="A5341" s="2" t="s">
        <v>3267</v>
      </c>
      <c r="B5341" s="2" t="s">
        <v>1353</v>
      </c>
      <c r="C5341" s="2">
        <v>825.89319999999998</v>
      </c>
      <c r="D5341" s="2">
        <f>HYPERLINK("http://mcb-m6.bioreg.kyushu-u.ac.jp/M3/20110418/F50976/2543/1", 100.94)</f>
        <v>100.94</v>
      </c>
      <c r="E5341" s="2">
        <v>80.02</v>
      </c>
      <c r="F5341" s="2">
        <v>2</v>
      </c>
      <c r="G5341" s="2" t="s">
        <v>11</v>
      </c>
    </row>
    <row r="5342" spans="1:7" x14ac:dyDescent="0.2">
      <c r="A5342" s="2" t="s">
        <v>3267</v>
      </c>
      <c r="B5342" s="2" t="s">
        <v>602</v>
      </c>
      <c r="C5342" s="2">
        <v>742.74220000000003</v>
      </c>
      <c r="D5342" s="2">
        <f>HYPERLINK("http://mcb-m6.bioreg.kyushu-u.ac.jp/M3/20110418/F50973/2144/1", 101.72)</f>
        <v>101.72</v>
      </c>
      <c r="E5342" s="2">
        <v>89.58</v>
      </c>
      <c r="F5342" s="2">
        <v>2</v>
      </c>
      <c r="G5342" s="2" t="s">
        <v>11</v>
      </c>
    </row>
    <row r="5343" spans="1:7" x14ac:dyDescent="0.2">
      <c r="A5343" s="2" t="s">
        <v>3267</v>
      </c>
      <c r="B5343" s="2" t="s">
        <v>602</v>
      </c>
      <c r="C5343" s="2">
        <v>742.6472</v>
      </c>
      <c r="D5343" s="2">
        <f>HYPERLINK("http://mcb-m6.bioreg.kyushu-u.ac.jp/M3/20110418/F50974/2084/1", 103.5)</f>
        <v>103.5</v>
      </c>
      <c r="E5343" s="2">
        <v>90.3</v>
      </c>
      <c r="F5343" s="2">
        <v>2</v>
      </c>
      <c r="G5343" s="2" t="s">
        <v>11</v>
      </c>
    </row>
    <row r="5344" spans="1:7" x14ac:dyDescent="0.2">
      <c r="A5344" s="2" t="s">
        <v>3267</v>
      </c>
      <c r="B5344" s="2" t="s">
        <v>602</v>
      </c>
      <c r="C5344" s="2">
        <v>742.36569999999995</v>
      </c>
      <c r="D5344" s="2">
        <f>HYPERLINK("http://mcb-m6.bioreg.kyushu-u.ac.jp/M3/20110418/F50977/2095/1", 104.13)</f>
        <v>104.13</v>
      </c>
      <c r="E5344" s="2">
        <v>93.22</v>
      </c>
      <c r="F5344" s="2">
        <v>2</v>
      </c>
      <c r="G5344" s="2" t="s">
        <v>11</v>
      </c>
    </row>
    <row r="5345" spans="1:8" x14ac:dyDescent="0.2">
      <c r="A5345" s="2" t="s">
        <v>3267</v>
      </c>
      <c r="B5345" s="2" t="s">
        <v>602</v>
      </c>
      <c r="C5345" s="2">
        <v>742.8972</v>
      </c>
      <c r="D5345" s="2">
        <f>HYPERLINK("http://mcb-m6.bioreg.kyushu-u.ac.jp/M3/20110418/F50996/2062/1", 109.89)</f>
        <v>109.89</v>
      </c>
      <c r="E5345" s="2">
        <v>94.16</v>
      </c>
      <c r="F5345" s="2">
        <v>2</v>
      </c>
      <c r="G5345" s="2" t="s">
        <v>11</v>
      </c>
    </row>
    <row r="5346" spans="1:8" x14ac:dyDescent="0.2">
      <c r="A5346" s="2" t="s">
        <v>3267</v>
      </c>
      <c r="B5346" s="2" t="s">
        <v>1666</v>
      </c>
      <c r="C5346" s="2">
        <v>1473.837</v>
      </c>
      <c r="D5346" s="2">
        <f>HYPERLINK("http://mcb-m6.bioreg.kyushu-u.ac.jp/M3/20110418/F50976/4253/1", 117.78)</f>
        <v>117.78</v>
      </c>
      <c r="E5346" s="2">
        <v>106.17</v>
      </c>
      <c r="F5346" s="2">
        <v>2</v>
      </c>
      <c r="G5346" s="2" t="s">
        <v>11</v>
      </c>
    </row>
    <row r="5347" spans="1:8" x14ac:dyDescent="0.2">
      <c r="A5347" s="2" t="s">
        <v>3267</v>
      </c>
      <c r="B5347" s="2" t="s">
        <v>602</v>
      </c>
      <c r="C5347" s="2">
        <v>742.35569999999996</v>
      </c>
      <c r="D5347" s="2">
        <f>HYPERLINK("http://mcb-m6.bioreg.kyushu-u.ac.jp/M3/20110418/F50978/2124/1", 125.42)</f>
        <v>125.42</v>
      </c>
      <c r="E5347" s="2">
        <v>113.56</v>
      </c>
      <c r="F5347" s="2">
        <v>2</v>
      </c>
      <c r="G5347" s="2" t="s">
        <v>11</v>
      </c>
    </row>
    <row r="5348" spans="1:8" x14ac:dyDescent="0.2">
      <c r="A5348" s="2" t="s">
        <v>3267</v>
      </c>
      <c r="B5348" s="2" t="s">
        <v>1353</v>
      </c>
      <c r="C5348" s="2">
        <v>825.28219999999999</v>
      </c>
      <c r="D5348" s="2">
        <f>HYPERLINK("http://mcb-m6.bioreg.kyushu-u.ac.jp/M3/20110418/F50976/2535/1", 126.2)</f>
        <v>126.2</v>
      </c>
      <c r="E5348" s="2">
        <v>96.91</v>
      </c>
      <c r="F5348" s="2">
        <v>2</v>
      </c>
      <c r="G5348" s="2" t="s">
        <v>11</v>
      </c>
    </row>
    <row r="5349" spans="1:8" x14ac:dyDescent="0.2">
      <c r="A5349" s="2" t="s">
        <v>3267</v>
      </c>
      <c r="B5349" s="2" t="s">
        <v>147</v>
      </c>
      <c r="C5349" s="2">
        <v>829.45899999999995</v>
      </c>
      <c r="D5349" s="2">
        <f>HYPERLINK("http://mcb-m6.bioreg.kyushu-u.ac.jp/M3/20110418/F50987/1357/1", 35.02)</f>
        <v>35.020000000000003</v>
      </c>
      <c r="E5349" s="2">
        <v>15.68</v>
      </c>
      <c r="F5349" s="2">
        <v>1</v>
      </c>
      <c r="G5349" s="2" t="s">
        <v>12</v>
      </c>
    </row>
    <row r="5350" spans="1:8" x14ac:dyDescent="0.2">
      <c r="A5350" s="2" t="s">
        <v>3267</v>
      </c>
      <c r="B5350" s="2" t="s">
        <v>47</v>
      </c>
      <c r="C5350" s="2">
        <v>1113.5419999999999</v>
      </c>
      <c r="D5350" s="2">
        <f>HYPERLINK("http://mcb-m6.bioreg.kyushu-u.ac.jp/M3/20110418/F50986/1563/1", 35.22)</f>
        <v>35.22</v>
      </c>
      <c r="E5350" s="2">
        <v>17.739999999999998</v>
      </c>
      <c r="F5350" s="2">
        <v>1</v>
      </c>
      <c r="G5350" s="2" t="s">
        <v>12</v>
      </c>
    </row>
    <row r="5351" spans="1:8" x14ac:dyDescent="0.2">
      <c r="A5351" s="2" t="s">
        <v>3267</v>
      </c>
      <c r="B5351" s="2" t="s">
        <v>433</v>
      </c>
      <c r="C5351" s="2">
        <v>819.35220000000004</v>
      </c>
      <c r="D5351" s="2">
        <f>HYPERLINK("http://mcb-m6.bioreg.kyushu-u.ac.jp/M3/20110418/F50986/2459/1", 36.21)</f>
        <v>36.21</v>
      </c>
      <c r="E5351" s="2">
        <v>21.09</v>
      </c>
      <c r="F5351" s="2">
        <v>2</v>
      </c>
      <c r="G5351" s="2" t="s">
        <v>12</v>
      </c>
    </row>
    <row r="5352" spans="1:8" x14ac:dyDescent="0.2">
      <c r="A5352" s="2" t="s">
        <v>3267</v>
      </c>
      <c r="B5352" s="2" t="s">
        <v>223</v>
      </c>
      <c r="C5352" s="2">
        <v>782.2731</v>
      </c>
      <c r="D5352" s="2">
        <f>HYPERLINK("http://mcb-m6.bioreg.kyushu-u.ac.jp/M3/20110418/F50986/2339/1", 37.26)</f>
        <v>37.26</v>
      </c>
      <c r="E5352" s="2">
        <v>24.88</v>
      </c>
      <c r="F5352" s="2">
        <v>2</v>
      </c>
      <c r="G5352" s="2" t="s">
        <v>12</v>
      </c>
    </row>
    <row r="5353" spans="1:8" x14ac:dyDescent="0.2">
      <c r="A5353" s="2" t="s">
        <v>3267</v>
      </c>
      <c r="B5353" s="2" t="s">
        <v>1526</v>
      </c>
      <c r="C5353" s="2">
        <v>619.63319999999999</v>
      </c>
      <c r="D5353" s="2">
        <f>HYPERLINK("http://mcb-m6.bioreg.kyushu-u.ac.jp/M3/20110418/F50986/1702/1", 37.52)</f>
        <v>37.520000000000003</v>
      </c>
      <c r="E5353" s="2">
        <v>20.67</v>
      </c>
      <c r="F5353" s="2">
        <v>2</v>
      </c>
      <c r="G5353" s="2" t="s">
        <v>12</v>
      </c>
    </row>
    <row r="5354" spans="1:8" x14ac:dyDescent="0.2">
      <c r="A5354" s="2" t="s">
        <v>3267</v>
      </c>
      <c r="B5354" s="2" t="s">
        <v>47</v>
      </c>
      <c r="C5354" s="2">
        <v>548.75160000000005</v>
      </c>
      <c r="D5354" s="2">
        <f>HYPERLINK("http://mcb-m6.bioreg.kyushu-u.ac.jp/M3/20110418/F50986/1540/1", 37.53)</f>
        <v>37.53</v>
      </c>
      <c r="E5354" s="2">
        <v>15.51</v>
      </c>
      <c r="F5354" s="2">
        <v>2</v>
      </c>
      <c r="G5354" s="2" t="s">
        <v>12</v>
      </c>
      <c r="H5354" s="2" t="s">
        <v>4904</v>
      </c>
    </row>
    <row r="5355" spans="1:8" x14ac:dyDescent="0.2">
      <c r="A5355" s="2" t="s">
        <v>3267</v>
      </c>
      <c r="B5355" s="2" t="s">
        <v>433</v>
      </c>
      <c r="C5355" s="2">
        <v>819.27809999999999</v>
      </c>
      <c r="D5355" s="2">
        <f>HYPERLINK("http://mcb-m6.bioreg.kyushu-u.ac.jp/M3/20110418/F50986/2457/1", 37.65)</f>
        <v>37.65</v>
      </c>
      <c r="E5355" s="2">
        <v>28.71</v>
      </c>
      <c r="F5355" s="2">
        <v>2</v>
      </c>
      <c r="G5355" s="2" t="s">
        <v>12</v>
      </c>
    </row>
    <row r="5356" spans="1:8" x14ac:dyDescent="0.2">
      <c r="A5356" s="2" t="s">
        <v>3267</v>
      </c>
      <c r="B5356" s="2" t="s">
        <v>1606</v>
      </c>
      <c r="C5356" s="2">
        <v>575.14620000000002</v>
      </c>
      <c r="D5356" s="2">
        <f>HYPERLINK("http://mcb-m6.bioreg.kyushu-u.ac.jp/M3/20110418/F50986/2581/1", 38.13)</f>
        <v>38.130000000000003</v>
      </c>
      <c r="E5356" s="2">
        <v>18.190000000000001</v>
      </c>
      <c r="F5356" s="2">
        <v>3</v>
      </c>
      <c r="G5356" s="2" t="s">
        <v>12</v>
      </c>
    </row>
    <row r="5357" spans="1:8" x14ac:dyDescent="0.2">
      <c r="A5357" s="2" t="s">
        <v>3267</v>
      </c>
      <c r="B5357" s="2" t="s">
        <v>855</v>
      </c>
      <c r="C5357" s="2">
        <v>498.30560000000003</v>
      </c>
      <c r="D5357" s="2">
        <f>HYPERLINK("http://mcb-m6.bioreg.kyushu-u.ac.jp/M3/20110418/F50987/1567/1", 38.45)</f>
        <v>38.450000000000003</v>
      </c>
      <c r="E5357" s="2">
        <v>11.53</v>
      </c>
      <c r="F5357" s="2">
        <v>2</v>
      </c>
      <c r="G5357" s="2" t="s">
        <v>12</v>
      </c>
    </row>
    <row r="5358" spans="1:8" x14ac:dyDescent="0.2">
      <c r="A5358" s="2" t="s">
        <v>3267</v>
      </c>
      <c r="B5358" s="2" t="s">
        <v>491</v>
      </c>
      <c r="C5358" s="2">
        <v>766.83759999999995</v>
      </c>
      <c r="D5358" s="2">
        <f>HYPERLINK("http://mcb-m6.bioreg.kyushu-u.ac.jp/M3/20110418/F50989/2146/1", 38.76)</f>
        <v>38.76</v>
      </c>
      <c r="E5358" s="2">
        <v>22.07</v>
      </c>
      <c r="F5358" s="2">
        <v>2</v>
      </c>
      <c r="G5358" s="2" t="s">
        <v>12</v>
      </c>
    </row>
    <row r="5359" spans="1:8" x14ac:dyDescent="0.2">
      <c r="A5359" s="2" t="s">
        <v>3267</v>
      </c>
      <c r="B5359" s="2" t="s">
        <v>433</v>
      </c>
      <c r="C5359" s="2">
        <v>819.8442</v>
      </c>
      <c r="D5359" s="2">
        <f>HYPERLINK("http://mcb-m6.bioreg.kyushu-u.ac.jp/M3/20110418/F50986/2463/1", 39.08)</f>
        <v>39.08</v>
      </c>
      <c r="E5359" s="2">
        <v>30.56</v>
      </c>
      <c r="F5359" s="2">
        <v>2</v>
      </c>
      <c r="G5359" s="2" t="s">
        <v>12</v>
      </c>
    </row>
    <row r="5360" spans="1:8" x14ac:dyDescent="0.2">
      <c r="A5360" s="2" t="s">
        <v>3267</v>
      </c>
      <c r="B5360" s="2" t="s">
        <v>433</v>
      </c>
      <c r="C5360" s="2">
        <v>819.27509999999995</v>
      </c>
      <c r="D5360" s="2">
        <f>HYPERLINK("http://mcb-m6.bioreg.kyushu-u.ac.jp/M3/20110418/F50987/2313/1", 39.33)</f>
        <v>39.33</v>
      </c>
      <c r="E5360" s="2">
        <v>31.5</v>
      </c>
      <c r="F5360" s="2">
        <v>2</v>
      </c>
      <c r="G5360" s="2" t="s">
        <v>12</v>
      </c>
    </row>
    <row r="5361" spans="1:7" x14ac:dyDescent="0.2">
      <c r="A5361" s="2" t="s">
        <v>3267</v>
      </c>
      <c r="B5361" s="2" t="s">
        <v>491</v>
      </c>
      <c r="C5361" s="2">
        <v>766.16669999999999</v>
      </c>
      <c r="D5361" s="2">
        <f>HYPERLINK("http://mcb-m6.bioreg.kyushu-u.ac.jp/M3/20110418/F50987/2178/1", 40.25)</f>
        <v>40.25</v>
      </c>
      <c r="E5361" s="2">
        <v>27.17</v>
      </c>
      <c r="F5361" s="2">
        <v>2</v>
      </c>
      <c r="G5361" s="2" t="s">
        <v>12</v>
      </c>
    </row>
    <row r="5362" spans="1:7" x14ac:dyDescent="0.2">
      <c r="A5362" s="2" t="s">
        <v>3267</v>
      </c>
      <c r="B5362" s="2" t="s">
        <v>433</v>
      </c>
      <c r="C5362" s="2">
        <v>819.89970000000005</v>
      </c>
      <c r="D5362" s="2">
        <f>HYPERLINK("http://mcb-m6.bioreg.kyushu-u.ac.jp/M3/20110418/F50986/2464/1", 40.82)</f>
        <v>40.82</v>
      </c>
      <c r="E5362" s="2">
        <v>31.13</v>
      </c>
      <c r="F5362" s="2">
        <v>2</v>
      </c>
      <c r="G5362" s="2" t="s">
        <v>12</v>
      </c>
    </row>
    <row r="5363" spans="1:7" x14ac:dyDescent="0.2">
      <c r="A5363" s="2" t="s">
        <v>3267</v>
      </c>
      <c r="B5363" s="2" t="s">
        <v>697</v>
      </c>
      <c r="C5363" s="2">
        <v>732.78560000000004</v>
      </c>
      <c r="D5363" s="2">
        <f>HYPERLINK("http://mcb-m6.bioreg.kyushu-u.ac.jp/M3/20110418/F50986/2014/1", 41.07)</f>
        <v>41.07</v>
      </c>
      <c r="E5363" s="2">
        <v>18.41</v>
      </c>
      <c r="F5363" s="2">
        <v>2</v>
      </c>
      <c r="G5363" s="2" t="s">
        <v>12</v>
      </c>
    </row>
    <row r="5364" spans="1:7" x14ac:dyDescent="0.2">
      <c r="A5364" s="2" t="s">
        <v>3267</v>
      </c>
      <c r="B5364" s="2" t="s">
        <v>491</v>
      </c>
      <c r="C5364" s="2">
        <v>766.49220000000003</v>
      </c>
      <c r="D5364" s="2">
        <f>HYPERLINK("http://mcb-m6.bioreg.kyushu-u.ac.jp/M3/20110418/F50984/2163/1", 41.75)</f>
        <v>41.75</v>
      </c>
      <c r="E5364" s="2">
        <v>29.29</v>
      </c>
      <c r="F5364" s="2">
        <v>2</v>
      </c>
      <c r="G5364" s="2" t="s">
        <v>12</v>
      </c>
    </row>
    <row r="5365" spans="1:7" x14ac:dyDescent="0.2">
      <c r="A5365" s="2" t="s">
        <v>3267</v>
      </c>
      <c r="B5365" s="2" t="s">
        <v>1606</v>
      </c>
      <c r="C5365" s="2">
        <v>862.85059999999999</v>
      </c>
      <c r="D5365" s="2">
        <f>HYPERLINK("http://mcb-m6.bioreg.kyushu-u.ac.jp/M3/20110418/F50985/2445/1", 41.98)</f>
        <v>41.98</v>
      </c>
      <c r="E5365" s="2">
        <v>28.59</v>
      </c>
      <c r="F5365" s="2">
        <v>2</v>
      </c>
      <c r="G5365" s="2" t="s">
        <v>12</v>
      </c>
    </row>
    <row r="5366" spans="1:7" x14ac:dyDescent="0.2">
      <c r="A5366" s="2" t="s">
        <v>3267</v>
      </c>
      <c r="B5366" s="2" t="s">
        <v>433</v>
      </c>
      <c r="C5366" s="2">
        <v>819.04909999999995</v>
      </c>
      <c r="D5366" s="2">
        <f>HYPERLINK("http://mcb-m6.bioreg.kyushu-u.ac.jp/M3/20110418/F50986/2456/1", 42.09)</f>
        <v>42.09</v>
      </c>
      <c r="E5366" s="2">
        <v>34.090000000000003</v>
      </c>
      <c r="F5366" s="2">
        <v>2</v>
      </c>
      <c r="G5366" s="2" t="s">
        <v>12</v>
      </c>
    </row>
    <row r="5367" spans="1:7" x14ac:dyDescent="0.2">
      <c r="A5367" s="2" t="s">
        <v>3267</v>
      </c>
      <c r="B5367" s="2" t="s">
        <v>491</v>
      </c>
      <c r="C5367" s="2">
        <v>766.80160000000001</v>
      </c>
      <c r="D5367" s="2">
        <f>HYPERLINK("http://mcb-m6.bioreg.kyushu-u.ac.jp/M3/20110418/F50988/2210/1", 42.1)</f>
        <v>42.1</v>
      </c>
      <c r="E5367" s="2">
        <v>25.16</v>
      </c>
      <c r="F5367" s="2">
        <v>2</v>
      </c>
      <c r="G5367" s="2" t="s">
        <v>12</v>
      </c>
    </row>
    <row r="5368" spans="1:7" x14ac:dyDescent="0.2">
      <c r="A5368" s="2" t="s">
        <v>3267</v>
      </c>
      <c r="B5368" s="2" t="s">
        <v>223</v>
      </c>
      <c r="C5368" s="2">
        <v>782.79219999999998</v>
      </c>
      <c r="D5368" s="2">
        <f>HYPERLINK("http://mcb-m6.bioreg.kyushu-u.ac.jp/M3/20110418/F50986/2344/1", 42.42)</f>
        <v>42.42</v>
      </c>
      <c r="E5368" s="2">
        <v>28.91</v>
      </c>
      <c r="F5368" s="2">
        <v>2</v>
      </c>
      <c r="G5368" s="2" t="s">
        <v>12</v>
      </c>
    </row>
    <row r="5369" spans="1:7" x14ac:dyDescent="0.2">
      <c r="A5369" s="2" t="s">
        <v>3267</v>
      </c>
      <c r="B5369" s="2" t="s">
        <v>223</v>
      </c>
      <c r="C5369" s="2">
        <v>782.86360000000002</v>
      </c>
      <c r="D5369" s="2">
        <f>HYPERLINK("http://mcb-m6.bioreg.kyushu-u.ac.jp/M3/20110418/F50987/2246/1", 42.8)</f>
        <v>42.8</v>
      </c>
      <c r="E5369" s="2">
        <v>25.92</v>
      </c>
      <c r="F5369" s="2">
        <v>2</v>
      </c>
      <c r="G5369" s="2" t="s">
        <v>12</v>
      </c>
    </row>
    <row r="5370" spans="1:7" x14ac:dyDescent="0.2">
      <c r="A5370" s="2" t="s">
        <v>3267</v>
      </c>
      <c r="B5370" s="2" t="s">
        <v>491</v>
      </c>
      <c r="C5370" s="2">
        <v>766.31269999999995</v>
      </c>
      <c r="D5370" s="2">
        <f>HYPERLINK("http://mcb-m6.bioreg.kyushu-u.ac.jp/M3/20110418/F50986/2215/1", 42.85)</f>
        <v>42.85</v>
      </c>
      <c r="E5370" s="2">
        <v>30.59</v>
      </c>
      <c r="F5370" s="2">
        <v>2</v>
      </c>
      <c r="G5370" s="2" t="s">
        <v>12</v>
      </c>
    </row>
    <row r="5371" spans="1:7" x14ac:dyDescent="0.2">
      <c r="A5371" s="2" t="s">
        <v>3267</v>
      </c>
      <c r="B5371" s="2" t="s">
        <v>433</v>
      </c>
      <c r="C5371" s="2">
        <v>819.66309999999999</v>
      </c>
      <c r="D5371" s="2">
        <f>HYPERLINK("http://mcb-m6.bioreg.kyushu-u.ac.jp/M3/20110418/F50986/2461/1", 43.12)</f>
        <v>43.12</v>
      </c>
      <c r="E5371" s="2">
        <v>32.68</v>
      </c>
      <c r="F5371" s="2">
        <v>2</v>
      </c>
      <c r="G5371" s="2" t="s">
        <v>12</v>
      </c>
    </row>
    <row r="5372" spans="1:7" x14ac:dyDescent="0.2">
      <c r="A5372" s="2" t="s">
        <v>3267</v>
      </c>
      <c r="B5372" s="2" t="s">
        <v>2889</v>
      </c>
      <c r="C5372" s="2">
        <v>574.13710000000003</v>
      </c>
      <c r="D5372" s="2">
        <f>HYPERLINK("http://mcb-m6.bioreg.kyushu-u.ac.jp/M3/20110418/F50986/1592/1", 44.11)</f>
        <v>44.11</v>
      </c>
      <c r="E5372" s="2">
        <v>19.670000000000002</v>
      </c>
      <c r="F5372" s="2">
        <v>2</v>
      </c>
      <c r="G5372" s="2" t="s">
        <v>12</v>
      </c>
    </row>
    <row r="5373" spans="1:7" x14ac:dyDescent="0.2">
      <c r="A5373" s="2" t="s">
        <v>3267</v>
      </c>
      <c r="B5373" s="2" t="s">
        <v>491</v>
      </c>
      <c r="C5373" s="2">
        <v>766.31370000000004</v>
      </c>
      <c r="D5373" s="2">
        <f>HYPERLINK("http://mcb-m6.bioreg.kyushu-u.ac.jp/M3/20110418/F50986/2216/1", 45)</f>
        <v>45</v>
      </c>
      <c r="E5373" s="2">
        <v>30.78</v>
      </c>
      <c r="F5373" s="2">
        <v>2</v>
      </c>
      <c r="G5373" s="2" t="s">
        <v>12</v>
      </c>
    </row>
    <row r="5374" spans="1:7" x14ac:dyDescent="0.2">
      <c r="A5374" s="2" t="s">
        <v>3267</v>
      </c>
      <c r="B5374" s="2" t="s">
        <v>491</v>
      </c>
      <c r="C5374" s="2">
        <v>766.28719999999998</v>
      </c>
      <c r="D5374" s="2">
        <f>HYPERLINK("http://mcb-m6.bioreg.kyushu-u.ac.jp/M3/20110418/F50986/2212/1", 45.53)</f>
        <v>45.53</v>
      </c>
      <c r="E5374" s="2">
        <v>31.06</v>
      </c>
      <c r="F5374" s="2">
        <v>2</v>
      </c>
      <c r="G5374" s="2" t="s">
        <v>12</v>
      </c>
    </row>
    <row r="5375" spans="1:7" x14ac:dyDescent="0.2">
      <c r="A5375" s="2" t="s">
        <v>3267</v>
      </c>
      <c r="B5375" s="2" t="s">
        <v>491</v>
      </c>
      <c r="C5375" s="2">
        <v>766.32759999999996</v>
      </c>
      <c r="D5375" s="2">
        <f>HYPERLINK("http://mcb-m6.bioreg.kyushu-u.ac.jp/M3/20110418/F50986/2219/1", 45.61)</f>
        <v>45.61</v>
      </c>
      <c r="E5375" s="2">
        <v>33</v>
      </c>
      <c r="F5375" s="2">
        <v>2</v>
      </c>
      <c r="G5375" s="2" t="s">
        <v>12</v>
      </c>
    </row>
    <row r="5376" spans="1:7" x14ac:dyDescent="0.2">
      <c r="A5376" s="2" t="s">
        <v>3267</v>
      </c>
      <c r="B5376" s="2" t="s">
        <v>568</v>
      </c>
      <c r="C5376" s="2">
        <v>836.22400000000005</v>
      </c>
      <c r="D5376" s="2">
        <f>HYPERLINK("http://mcb-m6.bioreg.kyushu-u.ac.jp/M3/20110418/F50987/1360/1", 45.87)</f>
        <v>45.87</v>
      </c>
      <c r="E5376" s="2">
        <v>20.84</v>
      </c>
      <c r="F5376" s="2">
        <v>1</v>
      </c>
      <c r="G5376" s="2" t="s">
        <v>12</v>
      </c>
    </row>
    <row r="5377" spans="1:8" x14ac:dyDescent="0.2">
      <c r="A5377" s="2" t="s">
        <v>3267</v>
      </c>
      <c r="B5377" s="2" t="s">
        <v>47</v>
      </c>
      <c r="C5377" s="2">
        <v>548.76819999999998</v>
      </c>
      <c r="D5377" s="2">
        <f>HYPERLINK("http://mcb-m6.bioreg.kyushu-u.ac.jp/M3/20110418/F50986/1541/1", 46.17)</f>
        <v>46.17</v>
      </c>
      <c r="E5377" s="2">
        <v>23.95</v>
      </c>
      <c r="F5377" s="2">
        <v>2</v>
      </c>
      <c r="G5377" s="2" t="s">
        <v>12</v>
      </c>
      <c r="H5377" s="2" t="s">
        <v>4904</v>
      </c>
    </row>
    <row r="5378" spans="1:8" x14ac:dyDescent="0.2">
      <c r="A5378" s="2" t="s">
        <v>3267</v>
      </c>
      <c r="B5378" s="2" t="s">
        <v>97</v>
      </c>
      <c r="C5378" s="2">
        <v>1337.575</v>
      </c>
      <c r="D5378" s="2">
        <f>HYPERLINK("http://mcb-m6.bioreg.kyushu-u.ac.jp/M3/20110418/F50986/1801/1", 46.55)</f>
        <v>46.55</v>
      </c>
      <c r="E5378" s="2">
        <v>34.869999999999997</v>
      </c>
      <c r="F5378" s="2">
        <v>1</v>
      </c>
      <c r="G5378" s="2" t="s">
        <v>12</v>
      </c>
    </row>
    <row r="5379" spans="1:8" x14ac:dyDescent="0.2">
      <c r="A5379" s="2" t="s">
        <v>3267</v>
      </c>
      <c r="B5379" s="2" t="s">
        <v>47</v>
      </c>
      <c r="C5379" s="2">
        <v>557.82870000000003</v>
      </c>
      <c r="D5379" s="2">
        <f>HYPERLINK("http://mcb-m6.bioreg.kyushu-u.ac.jp/M3/20110418/F50986/1564/1", 46.8)</f>
        <v>46.8</v>
      </c>
      <c r="E5379" s="2">
        <v>16.38</v>
      </c>
      <c r="F5379" s="2">
        <v>2</v>
      </c>
      <c r="G5379" s="2" t="s">
        <v>12</v>
      </c>
    </row>
    <row r="5380" spans="1:8" x14ac:dyDescent="0.2">
      <c r="A5380" s="2" t="s">
        <v>3267</v>
      </c>
      <c r="B5380" s="2" t="s">
        <v>433</v>
      </c>
      <c r="C5380" s="2">
        <v>819.37519999999995</v>
      </c>
      <c r="D5380" s="2">
        <f>HYPERLINK("http://mcb-m6.bioreg.kyushu-u.ac.jp/M3/20110418/F50988/2392/1", 47.17)</f>
        <v>47.17</v>
      </c>
      <c r="E5380" s="2">
        <v>36.950000000000003</v>
      </c>
      <c r="F5380" s="2">
        <v>2</v>
      </c>
      <c r="G5380" s="2" t="s">
        <v>12</v>
      </c>
    </row>
    <row r="5381" spans="1:8" x14ac:dyDescent="0.2">
      <c r="A5381" s="2" t="s">
        <v>3267</v>
      </c>
      <c r="B5381" s="2" t="s">
        <v>97</v>
      </c>
      <c r="C5381" s="2">
        <v>668.9357</v>
      </c>
      <c r="D5381" s="2">
        <f>HYPERLINK("http://mcb-m6.bioreg.kyushu-u.ac.jp/M3/20110418/F50987/1889/1", 48)</f>
        <v>48</v>
      </c>
      <c r="E5381" s="2">
        <v>28.28</v>
      </c>
      <c r="F5381" s="2">
        <v>2</v>
      </c>
      <c r="G5381" s="2" t="s">
        <v>12</v>
      </c>
    </row>
    <row r="5382" spans="1:8" x14ac:dyDescent="0.2">
      <c r="A5382" s="2" t="s">
        <v>3267</v>
      </c>
      <c r="B5382" s="2" t="s">
        <v>697</v>
      </c>
      <c r="C5382" s="2">
        <v>733.32619999999997</v>
      </c>
      <c r="D5382" s="2">
        <f>HYPERLINK("http://mcb-m6.bioreg.kyushu-u.ac.jp/M3/20110418/F50986/2024/1", 48.9)</f>
        <v>48.9</v>
      </c>
      <c r="E5382" s="2">
        <v>27.09</v>
      </c>
      <c r="F5382" s="2">
        <v>2</v>
      </c>
      <c r="G5382" s="2" t="s">
        <v>12</v>
      </c>
    </row>
    <row r="5383" spans="1:8" x14ac:dyDescent="0.2">
      <c r="A5383" s="2" t="s">
        <v>3267</v>
      </c>
      <c r="B5383" s="2" t="s">
        <v>433</v>
      </c>
      <c r="C5383" s="2">
        <v>819.78560000000004</v>
      </c>
      <c r="D5383" s="2">
        <f>HYPERLINK("http://mcb-m6.bioreg.kyushu-u.ac.jp/M3/20110418/F50986/2462/1", 49.12)</f>
        <v>49.12</v>
      </c>
      <c r="E5383" s="2">
        <v>37.880000000000003</v>
      </c>
      <c r="F5383" s="2">
        <v>2</v>
      </c>
      <c r="G5383" s="2" t="s">
        <v>12</v>
      </c>
    </row>
    <row r="5384" spans="1:8" x14ac:dyDescent="0.2">
      <c r="A5384" s="2" t="s">
        <v>3267</v>
      </c>
      <c r="B5384" s="2" t="s">
        <v>491</v>
      </c>
      <c r="C5384" s="2">
        <v>766.24019999999996</v>
      </c>
      <c r="D5384" s="2">
        <f>HYPERLINK("http://mcb-m6.bioreg.kyushu-u.ac.jp/M3/20110418/F50986/2209/1", 49.19)</f>
        <v>49.19</v>
      </c>
      <c r="E5384" s="2">
        <v>37.72</v>
      </c>
      <c r="F5384" s="2">
        <v>2</v>
      </c>
      <c r="G5384" s="2" t="s">
        <v>12</v>
      </c>
    </row>
    <row r="5385" spans="1:8" x14ac:dyDescent="0.2">
      <c r="A5385" s="2" t="s">
        <v>3267</v>
      </c>
      <c r="B5385" s="2" t="s">
        <v>697</v>
      </c>
      <c r="C5385" s="2">
        <v>732.83510000000001</v>
      </c>
      <c r="D5385" s="2">
        <f>HYPERLINK("http://mcb-m6.bioreg.kyushu-u.ac.jp/M3/20110418/F50986/2016/1", 49.55)</f>
        <v>49.55</v>
      </c>
      <c r="E5385" s="2">
        <v>28.12</v>
      </c>
      <c r="F5385" s="2">
        <v>2</v>
      </c>
      <c r="G5385" s="2" t="s">
        <v>12</v>
      </c>
    </row>
    <row r="5386" spans="1:8" x14ac:dyDescent="0.2">
      <c r="A5386" s="2" t="s">
        <v>3267</v>
      </c>
      <c r="B5386" s="2" t="s">
        <v>433</v>
      </c>
      <c r="C5386" s="2">
        <v>819.32510000000002</v>
      </c>
      <c r="D5386" s="2">
        <f>HYPERLINK("http://mcb-m6.bioreg.kyushu-u.ac.jp/M3/20110418/F50986/2458/1", 49.89)</f>
        <v>49.89</v>
      </c>
      <c r="E5386" s="2">
        <v>40.29</v>
      </c>
      <c r="F5386" s="2">
        <v>2</v>
      </c>
      <c r="G5386" s="2" t="s">
        <v>12</v>
      </c>
    </row>
    <row r="5387" spans="1:8" x14ac:dyDescent="0.2">
      <c r="A5387" s="2" t="s">
        <v>3267</v>
      </c>
      <c r="B5387" s="2" t="s">
        <v>697</v>
      </c>
      <c r="C5387" s="2">
        <v>733.48910000000001</v>
      </c>
      <c r="D5387" s="2">
        <f>HYPERLINK("http://mcb-m6.bioreg.kyushu-u.ac.jp/M3/20110418/F50988/2062/1", 49.96)</f>
        <v>49.96</v>
      </c>
      <c r="E5387" s="2">
        <v>31.78</v>
      </c>
      <c r="F5387" s="2">
        <v>2</v>
      </c>
      <c r="G5387" s="2" t="s">
        <v>12</v>
      </c>
    </row>
    <row r="5388" spans="1:8" x14ac:dyDescent="0.2">
      <c r="A5388" s="2" t="s">
        <v>3267</v>
      </c>
      <c r="B5388" s="2" t="s">
        <v>47</v>
      </c>
      <c r="C5388" s="2">
        <v>548.69420000000002</v>
      </c>
      <c r="D5388" s="2">
        <f>HYPERLINK("http://mcb-m6.bioreg.kyushu-u.ac.jp/M3/20110418/F50987/1682/1", 50.36)</f>
        <v>50.36</v>
      </c>
      <c r="E5388" s="2">
        <v>25.28</v>
      </c>
      <c r="F5388" s="2">
        <v>2</v>
      </c>
      <c r="G5388" s="2" t="s">
        <v>12</v>
      </c>
      <c r="H5388" s="2" t="s">
        <v>4904</v>
      </c>
    </row>
    <row r="5389" spans="1:8" x14ac:dyDescent="0.2">
      <c r="A5389" s="2" t="s">
        <v>3267</v>
      </c>
      <c r="B5389" s="2" t="s">
        <v>697</v>
      </c>
      <c r="C5389" s="2">
        <v>733.29319999999996</v>
      </c>
      <c r="D5389" s="2">
        <f>HYPERLINK("http://mcb-m6.bioreg.kyushu-u.ac.jp/M3/20110418/F51001/1997/1", 51.08)</f>
        <v>51.08</v>
      </c>
      <c r="E5389" s="2">
        <v>28.41</v>
      </c>
      <c r="F5389" s="2">
        <v>2</v>
      </c>
      <c r="G5389" s="2" t="s">
        <v>12</v>
      </c>
    </row>
    <row r="5390" spans="1:8" x14ac:dyDescent="0.2">
      <c r="A5390" s="2" t="s">
        <v>3267</v>
      </c>
      <c r="B5390" s="2" t="s">
        <v>602</v>
      </c>
      <c r="C5390" s="2">
        <v>742.07119999999998</v>
      </c>
      <c r="D5390" s="2">
        <f>HYPERLINK("http://mcb-m6.bioreg.kyushu-u.ac.jp/M3/20110418/F50986/2086/1", 51.12)</f>
        <v>51.12</v>
      </c>
      <c r="E5390" s="2">
        <v>36.51</v>
      </c>
      <c r="F5390" s="2">
        <v>2</v>
      </c>
      <c r="G5390" s="2" t="s">
        <v>12</v>
      </c>
    </row>
    <row r="5391" spans="1:8" x14ac:dyDescent="0.2">
      <c r="A5391" s="2" t="s">
        <v>3267</v>
      </c>
      <c r="B5391" s="2" t="s">
        <v>491</v>
      </c>
      <c r="C5391" s="2">
        <v>766.06709999999998</v>
      </c>
      <c r="D5391" s="2">
        <f>HYPERLINK("http://mcb-m6.bioreg.kyushu-u.ac.jp/M3/20110418/F50986/2205/1", 51.29)</f>
        <v>51.29</v>
      </c>
      <c r="E5391" s="2">
        <v>38.9</v>
      </c>
      <c r="F5391" s="2">
        <v>2</v>
      </c>
      <c r="G5391" s="2" t="s">
        <v>12</v>
      </c>
    </row>
    <row r="5392" spans="1:8" x14ac:dyDescent="0.2">
      <c r="A5392" s="2" t="s">
        <v>3267</v>
      </c>
      <c r="B5392" s="2" t="s">
        <v>47</v>
      </c>
      <c r="C5392" s="2">
        <v>557.21220000000005</v>
      </c>
      <c r="D5392" s="2">
        <f>HYPERLINK("http://mcb-m6.bioreg.kyushu-u.ac.jp/M3/20110418/F50986/1561/1", 52.61)</f>
        <v>52.61</v>
      </c>
      <c r="E5392" s="2">
        <v>23.96</v>
      </c>
      <c r="F5392" s="2">
        <v>2</v>
      </c>
      <c r="G5392" s="2" t="s">
        <v>12</v>
      </c>
    </row>
    <row r="5393" spans="1:7" x14ac:dyDescent="0.2">
      <c r="A5393" s="2" t="s">
        <v>3267</v>
      </c>
      <c r="B5393" s="2" t="s">
        <v>97</v>
      </c>
      <c r="C5393" s="2">
        <v>1336.577</v>
      </c>
      <c r="D5393" s="2">
        <f>HYPERLINK("http://mcb-m6.bioreg.kyushu-u.ac.jp/M3/20110418/F50986/1800/1", 52.72)</f>
        <v>52.72</v>
      </c>
      <c r="E5393" s="2">
        <v>24.2</v>
      </c>
      <c r="F5393" s="2">
        <v>1</v>
      </c>
      <c r="G5393" s="2" t="s">
        <v>12</v>
      </c>
    </row>
    <row r="5394" spans="1:7" x14ac:dyDescent="0.2">
      <c r="A5394" s="2" t="s">
        <v>3267</v>
      </c>
      <c r="B5394" s="2" t="s">
        <v>491</v>
      </c>
      <c r="C5394" s="2">
        <v>766.77260000000001</v>
      </c>
      <c r="D5394" s="2">
        <f>HYPERLINK("http://mcb-m6.bioreg.kyushu-u.ac.jp/M3/20110418/F50986/2223/1", 53.45)</f>
        <v>53.45</v>
      </c>
      <c r="E5394" s="2">
        <v>38.619999999999997</v>
      </c>
      <c r="F5394" s="2">
        <v>2</v>
      </c>
      <c r="G5394" s="2" t="s">
        <v>12</v>
      </c>
    </row>
    <row r="5395" spans="1:7" x14ac:dyDescent="0.2">
      <c r="A5395" s="2" t="s">
        <v>3267</v>
      </c>
      <c r="B5395" s="2" t="s">
        <v>602</v>
      </c>
      <c r="C5395" s="2">
        <v>742.58920000000001</v>
      </c>
      <c r="D5395" s="2">
        <f>HYPERLINK("http://mcb-m6.bioreg.kyushu-u.ac.jp/M3/20110418/F51002/2080/1", 54.95)</f>
        <v>54.95</v>
      </c>
      <c r="E5395" s="2">
        <v>45.49</v>
      </c>
      <c r="F5395" s="2">
        <v>2</v>
      </c>
      <c r="G5395" s="2" t="s">
        <v>12</v>
      </c>
    </row>
    <row r="5396" spans="1:7" x14ac:dyDescent="0.2">
      <c r="A5396" s="2" t="s">
        <v>3267</v>
      </c>
      <c r="B5396" s="2" t="s">
        <v>491</v>
      </c>
      <c r="C5396" s="2">
        <v>766.43119999999999</v>
      </c>
      <c r="D5396" s="2">
        <f>HYPERLINK("http://mcb-m6.bioreg.kyushu-u.ac.jp/M3/20110418/F50988/2208/1", 55.03)</f>
        <v>55.03</v>
      </c>
      <c r="E5396" s="2">
        <v>44.14</v>
      </c>
      <c r="F5396" s="2">
        <v>2</v>
      </c>
      <c r="G5396" s="2" t="s">
        <v>12</v>
      </c>
    </row>
    <row r="5397" spans="1:7" x14ac:dyDescent="0.2">
      <c r="A5397" s="2" t="s">
        <v>3267</v>
      </c>
      <c r="B5397" s="2" t="s">
        <v>697</v>
      </c>
      <c r="C5397" s="2">
        <v>732.71870000000001</v>
      </c>
      <c r="D5397" s="2">
        <f>HYPERLINK("http://mcb-m6.bioreg.kyushu-u.ac.jp/M3/20110418/F50986/2011/1", 55.38)</f>
        <v>55.38</v>
      </c>
      <c r="E5397" s="2">
        <v>35.1</v>
      </c>
      <c r="F5397" s="2">
        <v>2</v>
      </c>
      <c r="G5397" s="2" t="s">
        <v>12</v>
      </c>
    </row>
    <row r="5398" spans="1:7" x14ac:dyDescent="0.2">
      <c r="A5398" s="2" t="s">
        <v>3267</v>
      </c>
      <c r="B5398" s="2" t="s">
        <v>491</v>
      </c>
      <c r="C5398" s="2">
        <v>766.31209999999999</v>
      </c>
      <c r="D5398" s="2">
        <f>HYPERLINK("http://mcb-m6.bioreg.kyushu-u.ac.jp/M3/20110418/F50986/2214/1", 56.42)</f>
        <v>56.42</v>
      </c>
      <c r="E5398" s="2">
        <v>41.2</v>
      </c>
      <c r="F5398" s="2">
        <v>2</v>
      </c>
      <c r="G5398" s="2" t="s">
        <v>12</v>
      </c>
    </row>
    <row r="5399" spans="1:7" x14ac:dyDescent="0.2">
      <c r="A5399" s="2" t="s">
        <v>3267</v>
      </c>
      <c r="B5399" s="2" t="s">
        <v>994</v>
      </c>
      <c r="C5399" s="2">
        <v>580.14970000000005</v>
      </c>
      <c r="D5399" s="2">
        <f>HYPERLINK("http://mcb-m6.bioreg.kyushu-u.ac.jp/M3/20110418/F50986/1610/1", 58.27)</f>
        <v>58.27</v>
      </c>
      <c r="E5399" s="2">
        <v>34.24</v>
      </c>
      <c r="F5399" s="2">
        <v>2</v>
      </c>
      <c r="G5399" s="2" t="s">
        <v>12</v>
      </c>
    </row>
    <row r="5400" spans="1:7" x14ac:dyDescent="0.2">
      <c r="A5400" s="2" t="s">
        <v>3267</v>
      </c>
      <c r="B5400" s="2" t="s">
        <v>491</v>
      </c>
      <c r="C5400" s="2">
        <v>766.33219999999994</v>
      </c>
      <c r="D5400" s="2">
        <f>HYPERLINK("http://mcb-m6.bioreg.kyushu-u.ac.jp/M3/20110418/F50989/2141/1", 59.07)</f>
        <v>59.07</v>
      </c>
      <c r="E5400" s="2">
        <v>44.61</v>
      </c>
      <c r="F5400" s="2">
        <v>2</v>
      </c>
      <c r="G5400" s="2" t="s">
        <v>12</v>
      </c>
    </row>
    <row r="5401" spans="1:7" x14ac:dyDescent="0.2">
      <c r="A5401" s="2" t="s">
        <v>3267</v>
      </c>
      <c r="B5401" s="2" t="s">
        <v>491</v>
      </c>
      <c r="C5401" s="2">
        <v>766.86869999999999</v>
      </c>
      <c r="D5401" s="2">
        <f>HYPERLINK("http://mcb-m6.bioreg.kyushu-u.ac.jp/M3/20110418/F50987/2185/1", 59.42)</f>
        <v>59.42</v>
      </c>
      <c r="E5401" s="2">
        <v>30.92</v>
      </c>
      <c r="F5401" s="2">
        <v>2</v>
      </c>
      <c r="G5401" s="2" t="s">
        <v>12</v>
      </c>
    </row>
    <row r="5402" spans="1:7" x14ac:dyDescent="0.2">
      <c r="A5402" s="2" t="s">
        <v>3267</v>
      </c>
      <c r="B5402" s="2" t="s">
        <v>491</v>
      </c>
      <c r="C5402" s="2">
        <v>766.91669999999999</v>
      </c>
      <c r="D5402" s="2">
        <f>HYPERLINK("http://mcb-m6.bioreg.kyushu-u.ac.jp/M3/20110418/F50986/2224/1", 61.46)</f>
        <v>61.46</v>
      </c>
      <c r="E5402" s="2">
        <v>44.14</v>
      </c>
      <c r="F5402" s="2">
        <v>2</v>
      </c>
      <c r="G5402" s="2" t="s">
        <v>12</v>
      </c>
    </row>
    <row r="5403" spans="1:7" x14ac:dyDescent="0.2">
      <c r="A5403" s="2" t="s">
        <v>3267</v>
      </c>
      <c r="B5403" s="2" t="s">
        <v>2589</v>
      </c>
      <c r="C5403" s="2">
        <v>680.22270000000003</v>
      </c>
      <c r="D5403" s="2">
        <f>HYPERLINK("http://mcb-m6.bioreg.kyushu-u.ac.jp/M3/20110418/F50986/1823/1", 63.11)</f>
        <v>63.11</v>
      </c>
      <c r="E5403" s="2">
        <v>36.229999999999997</v>
      </c>
      <c r="F5403" s="2">
        <v>2</v>
      </c>
      <c r="G5403" s="2" t="s">
        <v>12</v>
      </c>
    </row>
    <row r="5404" spans="1:7" x14ac:dyDescent="0.2">
      <c r="A5404" s="2" t="s">
        <v>3267</v>
      </c>
      <c r="B5404" s="2" t="s">
        <v>491</v>
      </c>
      <c r="C5404" s="2">
        <v>766.29970000000003</v>
      </c>
      <c r="D5404" s="2">
        <f>HYPERLINK("http://mcb-m6.bioreg.kyushu-u.ac.jp/M3/20110418/F50987/2180/1", 65.55)</f>
        <v>65.55</v>
      </c>
      <c r="E5404" s="2">
        <v>48.13</v>
      </c>
      <c r="F5404" s="2">
        <v>2</v>
      </c>
      <c r="G5404" s="2" t="s">
        <v>12</v>
      </c>
    </row>
    <row r="5405" spans="1:7" x14ac:dyDescent="0.2">
      <c r="A5405" s="2" t="s">
        <v>3267</v>
      </c>
      <c r="B5405" s="2" t="s">
        <v>491</v>
      </c>
      <c r="C5405" s="2">
        <v>766.22059999999999</v>
      </c>
      <c r="D5405" s="2">
        <f>HYPERLINK("http://mcb-m6.bioreg.kyushu-u.ac.jp/M3/20110418/F51001/2138/1", 65.66)</f>
        <v>65.66</v>
      </c>
      <c r="E5405" s="2">
        <v>51.91</v>
      </c>
      <c r="F5405" s="2">
        <v>2</v>
      </c>
      <c r="G5405" s="2" t="s">
        <v>12</v>
      </c>
    </row>
    <row r="5406" spans="1:7" x14ac:dyDescent="0.2">
      <c r="A5406" s="2" t="s">
        <v>3267</v>
      </c>
      <c r="B5406" s="2" t="s">
        <v>491</v>
      </c>
      <c r="C5406" s="2">
        <v>766.30319999999995</v>
      </c>
      <c r="D5406" s="2">
        <f>HYPERLINK("http://mcb-m6.bioreg.kyushu-u.ac.jp/M3/20110418/F50986/2213/1", 65.71)</f>
        <v>65.709999999999994</v>
      </c>
      <c r="E5406" s="2">
        <v>53.85</v>
      </c>
      <c r="F5406" s="2">
        <v>2</v>
      </c>
      <c r="G5406" s="2" t="s">
        <v>12</v>
      </c>
    </row>
    <row r="5407" spans="1:7" x14ac:dyDescent="0.2">
      <c r="A5407" s="2" t="s">
        <v>3267</v>
      </c>
      <c r="B5407" s="2" t="s">
        <v>491</v>
      </c>
      <c r="C5407" s="2">
        <v>766.48519999999996</v>
      </c>
      <c r="D5407" s="2">
        <f>HYPERLINK("http://mcb-m6.bioreg.kyushu-u.ac.jp/M3/20110418/F50984/2162/1", 65.82)</f>
        <v>65.819999999999993</v>
      </c>
      <c r="E5407" s="2">
        <v>51.63</v>
      </c>
      <c r="F5407" s="2">
        <v>2</v>
      </c>
      <c r="G5407" s="2" t="s">
        <v>12</v>
      </c>
    </row>
    <row r="5408" spans="1:7" x14ac:dyDescent="0.2">
      <c r="A5408" s="2" t="s">
        <v>3267</v>
      </c>
      <c r="B5408" s="2" t="s">
        <v>491</v>
      </c>
      <c r="C5408" s="2">
        <v>766.90060000000005</v>
      </c>
      <c r="D5408" s="2">
        <f>HYPERLINK("http://mcb-m6.bioreg.kyushu-u.ac.jp/M3/20110418/F50997/2134/1", 67.83)</f>
        <v>67.83</v>
      </c>
      <c r="E5408" s="2">
        <v>53.45</v>
      </c>
      <c r="F5408" s="2">
        <v>2</v>
      </c>
      <c r="G5408" s="2" t="s">
        <v>12</v>
      </c>
    </row>
    <row r="5409" spans="1:7" x14ac:dyDescent="0.2">
      <c r="A5409" s="2" t="s">
        <v>3267</v>
      </c>
      <c r="B5409" s="2" t="s">
        <v>491</v>
      </c>
      <c r="C5409" s="2">
        <v>766.95010000000002</v>
      </c>
      <c r="D5409" s="2">
        <f>HYPERLINK("http://mcb-m6.bioreg.kyushu-u.ac.jp/M3/20110418/F50986/2226/1", 68.07)</f>
        <v>68.069999999999993</v>
      </c>
      <c r="E5409" s="2">
        <v>56.13</v>
      </c>
      <c r="F5409" s="2">
        <v>2</v>
      </c>
      <c r="G5409" s="2" t="s">
        <v>12</v>
      </c>
    </row>
    <row r="5410" spans="1:7" x14ac:dyDescent="0.2">
      <c r="A5410" s="2" t="s">
        <v>3267</v>
      </c>
      <c r="B5410" s="2" t="s">
        <v>491</v>
      </c>
      <c r="C5410" s="2">
        <v>766.3152</v>
      </c>
      <c r="D5410" s="2">
        <f>HYPERLINK("http://mcb-m6.bioreg.kyushu-u.ac.jp/M3/20110418/F50986/2217/1", 68.14)</f>
        <v>68.14</v>
      </c>
      <c r="E5410" s="2">
        <v>49.1</v>
      </c>
      <c r="F5410" s="2">
        <v>2</v>
      </c>
      <c r="G5410" s="2" t="s">
        <v>12</v>
      </c>
    </row>
    <row r="5411" spans="1:7" x14ac:dyDescent="0.2">
      <c r="A5411" s="2" t="s">
        <v>3267</v>
      </c>
      <c r="B5411" s="2" t="s">
        <v>1923</v>
      </c>
      <c r="C5411" s="2">
        <v>545.1952</v>
      </c>
      <c r="D5411" s="2">
        <f>HYPERLINK("http://mcb-m6.bioreg.kyushu-u.ac.jp/M3/20110418/F50986/1534/1", 68.16)</f>
        <v>68.16</v>
      </c>
      <c r="E5411" s="2">
        <v>32.17</v>
      </c>
      <c r="F5411" s="2">
        <v>2</v>
      </c>
      <c r="G5411" s="2" t="s">
        <v>12</v>
      </c>
    </row>
    <row r="5412" spans="1:7" x14ac:dyDescent="0.2">
      <c r="A5412" s="2" t="s">
        <v>3267</v>
      </c>
      <c r="B5412" s="2" t="s">
        <v>491</v>
      </c>
      <c r="C5412" s="2">
        <v>766.59770000000003</v>
      </c>
      <c r="D5412" s="2">
        <f>HYPERLINK("http://mcb-m6.bioreg.kyushu-u.ac.jp/M3/20110418/F50987/2182/1", 68.41)</f>
        <v>68.41</v>
      </c>
      <c r="E5412" s="2">
        <v>53.06</v>
      </c>
      <c r="F5412" s="2">
        <v>2</v>
      </c>
      <c r="G5412" s="2" t="s">
        <v>12</v>
      </c>
    </row>
    <row r="5413" spans="1:7" x14ac:dyDescent="0.2">
      <c r="A5413" s="2" t="s">
        <v>3267</v>
      </c>
      <c r="B5413" s="2" t="s">
        <v>491</v>
      </c>
      <c r="C5413" s="2">
        <v>766.26419999999996</v>
      </c>
      <c r="D5413" s="2">
        <f>HYPERLINK("http://mcb-m6.bioreg.kyushu-u.ac.jp/M3/20110418/F50986/2211/1", 68.82)</f>
        <v>68.819999999999993</v>
      </c>
      <c r="E5413" s="2">
        <v>55.7</v>
      </c>
      <c r="F5413" s="2">
        <v>2</v>
      </c>
      <c r="G5413" s="2" t="s">
        <v>12</v>
      </c>
    </row>
    <row r="5414" spans="1:7" x14ac:dyDescent="0.2">
      <c r="A5414" s="2" t="s">
        <v>3267</v>
      </c>
      <c r="B5414" s="2" t="s">
        <v>491</v>
      </c>
      <c r="C5414" s="2">
        <v>1531.6780000000001</v>
      </c>
      <c r="D5414" s="2">
        <f>HYPERLINK("http://mcb-m6.bioreg.kyushu-u.ac.jp/M3/20110418/F50986/2221/1", 70.36)</f>
        <v>70.36</v>
      </c>
      <c r="E5414" s="2">
        <v>57.15</v>
      </c>
      <c r="F5414" s="2">
        <v>1</v>
      </c>
      <c r="G5414" s="2" t="s">
        <v>12</v>
      </c>
    </row>
    <row r="5415" spans="1:7" x14ac:dyDescent="0.2">
      <c r="A5415" s="2" t="s">
        <v>3267</v>
      </c>
      <c r="B5415" s="2" t="s">
        <v>491</v>
      </c>
      <c r="C5415" s="2">
        <v>766.24369999999999</v>
      </c>
      <c r="D5415" s="2">
        <f>HYPERLINK("http://mcb-m6.bioreg.kyushu-u.ac.jp/M3/20110418/F50987/2179/1", 71.09)</f>
        <v>71.09</v>
      </c>
      <c r="E5415" s="2">
        <v>56.28</v>
      </c>
      <c r="F5415" s="2">
        <v>2</v>
      </c>
      <c r="G5415" s="2" t="s">
        <v>12</v>
      </c>
    </row>
    <row r="5416" spans="1:7" x14ac:dyDescent="0.2">
      <c r="A5416" s="2" t="s">
        <v>3267</v>
      </c>
      <c r="B5416" s="2" t="s">
        <v>491</v>
      </c>
      <c r="C5416" s="2">
        <v>766.25019999999995</v>
      </c>
      <c r="D5416" s="2">
        <f>HYPERLINK("http://mcb-m6.bioreg.kyushu-u.ac.jp/M3/20110418/F50986/2210/1", 71.25)</f>
        <v>71.25</v>
      </c>
      <c r="E5416" s="2">
        <v>48.83</v>
      </c>
      <c r="F5416" s="2">
        <v>2</v>
      </c>
      <c r="G5416" s="2" t="s">
        <v>12</v>
      </c>
    </row>
    <row r="5417" spans="1:7" x14ac:dyDescent="0.2">
      <c r="A5417" s="2" t="s">
        <v>3267</v>
      </c>
      <c r="B5417" s="2" t="s">
        <v>491</v>
      </c>
      <c r="C5417" s="2">
        <v>766.34119999999996</v>
      </c>
      <c r="D5417" s="2">
        <f>HYPERLINK("http://mcb-m6.bioreg.kyushu-u.ac.jp/M3/20110418/F50986/2220/1", 71.27)</f>
        <v>71.27</v>
      </c>
      <c r="E5417" s="2">
        <v>56.46</v>
      </c>
      <c r="F5417" s="2">
        <v>2</v>
      </c>
      <c r="G5417" s="2" t="s">
        <v>12</v>
      </c>
    </row>
    <row r="5418" spans="1:7" x14ac:dyDescent="0.2">
      <c r="A5418" s="2" t="s">
        <v>3267</v>
      </c>
      <c r="B5418" s="2" t="s">
        <v>697</v>
      </c>
      <c r="C5418" s="2">
        <v>732.82370000000003</v>
      </c>
      <c r="D5418" s="2">
        <f>HYPERLINK("http://mcb-m6.bioreg.kyushu-u.ac.jp/M3/20110418/F50987/2045/1", 71.83)</f>
        <v>71.83</v>
      </c>
      <c r="E5418" s="2">
        <v>49.36</v>
      </c>
      <c r="F5418" s="2">
        <v>2</v>
      </c>
      <c r="G5418" s="2" t="s">
        <v>12</v>
      </c>
    </row>
    <row r="5419" spans="1:7" x14ac:dyDescent="0.2">
      <c r="A5419" s="2" t="s">
        <v>3267</v>
      </c>
      <c r="B5419" s="2" t="s">
        <v>491</v>
      </c>
      <c r="C5419" s="2">
        <v>766.84770000000003</v>
      </c>
      <c r="D5419" s="2">
        <f>HYPERLINK("http://mcb-m6.bioreg.kyushu-u.ac.jp/M3/20110418/F50988/2211/1", 74.3)</f>
        <v>74.3</v>
      </c>
      <c r="E5419" s="2">
        <v>58</v>
      </c>
      <c r="F5419" s="2">
        <v>2</v>
      </c>
      <c r="G5419" s="2" t="s">
        <v>12</v>
      </c>
    </row>
    <row r="5420" spans="1:7" x14ac:dyDescent="0.2">
      <c r="A5420" s="2" t="s">
        <v>3267</v>
      </c>
      <c r="B5420" s="2" t="s">
        <v>491</v>
      </c>
      <c r="C5420" s="2">
        <v>766.35059999999999</v>
      </c>
      <c r="D5420" s="2">
        <f>HYPERLINK("http://mcb-m6.bioreg.kyushu-u.ac.jp/M3/20110418/F50986/2222/1", 76.14)</f>
        <v>76.14</v>
      </c>
      <c r="E5420" s="2">
        <v>59.81</v>
      </c>
      <c r="F5420" s="2">
        <v>2</v>
      </c>
      <c r="G5420" s="2" t="s">
        <v>12</v>
      </c>
    </row>
    <row r="5421" spans="1:7" x14ac:dyDescent="0.2">
      <c r="A5421" s="2" t="s">
        <v>3267</v>
      </c>
      <c r="B5421" s="2" t="s">
        <v>491</v>
      </c>
      <c r="C5421" s="2">
        <v>766.36019999999996</v>
      </c>
      <c r="D5421" s="2">
        <f>HYPERLINK("http://mcb-m6.bioreg.kyushu-u.ac.jp/M3/20110418/F50997/2132/1", 76.93)</f>
        <v>76.930000000000007</v>
      </c>
      <c r="E5421" s="2">
        <v>60.45</v>
      </c>
      <c r="F5421" s="2">
        <v>2</v>
      </c>
      <c r="G5421" s="2" t="s">
        <v>12</v>
      </c>
    </row>
    <row r="5422" spans="1:7" x14ac:dyDescent="0.2">
      <c r="A5422" s="2" t="s">
        <v>3267</v>
      </c>
      <c r="B5422" s="2" t="s">
        <v>491</v>
      </c>
      <c r="C5422" s="2">
        <v>766.87070000000006</v>
      </c>
      <c r="D5422" s="2">
        <f>HYPERLINK("http://mcb-m6.bioreg.kyushu-u.ac.jp/M3/20110418/F50987/2186/1", 78.24)</f>
        <v>78.239999999999995</v>
      </c>
      <c r="E5422" s="2">
        <v>63.6</v>
      </c>
      <c r="F5422" s="2">
        <v>2</v>
      </c>
      <c r="G5422" s="2" t="s">
        <v>12</v>
      </c>
    </row>
    <row r="5423" spans="1:7" x14ac:dyDescent="0.2">
      <c r="A5423" s="2" t="s">
        <v>3267</v>
      </c>
      <c r="B5423" s="2" t="s">
        <v>1606</v>
      </c>
      <c r="C5423" s="2">
        <v>862.29060000000004</v>
      </c>
      <c r="D5423" s="2">
        <f>HYPERLINK("http://mcb-m6.bioreg.kyushu-u.ac.jp/M3/20110418/F50986/2583/1", 78.51)</f>
        <v>78.510000000000005</v>
      </c>
      <c r="E5423" s="2">
        <v>69.25</v>
      </c>
      <c r="F5423" s="2">
        <v>2</v>
      </c>
      <c r="G5423" s="2" t="s">
        <v>12</v>
      </c>
    </row>
    <row r="5424" spans="1:7" x14ac:dyDescent="0.2">
      <c r="A5424" s="2" t="s">
        <v>3267</v>
      </c>
      <c r="B5424" s="2" t="s">
        <v>602</v>
      </c>
      <c r="C5424" s="2">
        <v>742.2491</v>
      </c>
      <c r="D5424" s="2">
        <f>HYPERLINK("http://mcb-m6.bioreg.kyushu-u.ac.jp/M3/20110418/F50986/2087/1", 83.54)</f>
        <v>83.54</v>
      </c>
      <c r="E5424" s="2">
        <v>69.92</v>
      </c>
      <c r="F5424" s="2">
        <v>2</v>
      </c>
      <c r="G5424" s="2" t="s">
        <v>12</v>
      </c>
    </row>
    <row r="5425" spans="1:9" x14ac:dyDescent="0.2">
      <c r="A5425" s="2" t="s">
        <v>3267</v>
      </c>
      <c r="B5425" s="2" t="s">
        <v>491</v>
      </c>
      <c r="C5425" s="2">
        <v>766.32370000000003</v>
      </c>
      <c r="D5425" s="2">
        <f>HYPERLINK("http://mcb-m6.bioreg.kyushu-u.ac.jp/M3/20110418/F50986/2218/1", 85.5)</f>
        <v>85.5</v>
      </c>
      <c r="E5425" s="2">
        <v>70.459999999999994</v>
      </c>
      <c r="F5425" s="2">
        <v>2</v>
      </c>
      <c r="G5425" s="2" t="s">
        <v>12</v>
      </c>
    </row>
    <row r="5426" spans="1:9" x14ac:dyDescent="0.2">
      <c r="A5426" s="2" t="s">
        <v>3267</v>
      </c>
      <c r="B5426" s="2" t="s">
        <v>1606</v>
      </c>
      <c r="C5426" s="2">
        <v>862.81209999999999</v>
      </c>
      <c r="D5426" s="2">
        <f>HYPERLINK("http://mcb-m6.bioreg.kyushu-u.ac.jp/M3/20110418/F50986/2587/1", 85.92)</f>
        <v>85.92</v>
      </c>
      <c r="E5426" s="2">
        <v>76.44</v>
      </c>
      <c r="F5426" s="2">
        <v>2</v>
      </c>
      <c r="G5426" s="2" t="s">
        <v>12</v>
      </c>
    </row>
    <row r="5427" spans="1:9" x14ac:dyDescent="0.2">
      <c r="A5427" s="2" t="s">
        <v>3267</v>
      </c>
      <c r="B5427" s="2" t="s">
        <v>1606</v>
      </c>
      <c r="C5427" s="2">
        <v>862.29819999999995</v>
      </c>
      <c r="D5427" s="2">
        <f>HYPERLINK("http://mcb-m6.bioreg.kyushu-u.ac.jp/M3/20110418/F50986/2584/1", 86.71)</f>
        <v>86.71</v>
      </c>
      <c r="E5427" s="2">
        <v>70.959999999999994</v>
      </c>
      <c r="F5427" s="2">
        <v>2</v>
      </c>
      <c r="G5427" s="2" t="s">
        <v>12</v>
      </c>
    </row>
    <row r="5428" spans="1:9" x14ac:dyDescent="0.2">
      <c r="A5428" s="2" t="s">
        <v>3267</v>
      </c>
      <c r="B5428" s="2" t="s">
        <v>491</v>
      </c>
      <c r="C5428" s="2">
        <v>766.28769999999997</v>
      </c>
      <c r="D5428" s="2">
        <f>HYPERLINK("http://mcb-m6.bioreg.kyushu-u.ac.jp/M3/20110418/F50988/2207/1", 90.05)</f>
        <v>90.05</v>
      </c>
      <c r="E5428" s="2">
        <v>73.8</v>
      </c>
      <c r="F5428" s="2">
        <v>2</v>
      </c>
      <c r="G5428" s="2" t="s">
        <v>12</v>
      </c>
    </row>
    <row r="5429" spans="1:9" x14ac:dyDescent="0.2">
      <c r="A5429" s="2" t="s">
        <v>3267</v>
      </c>
      <c r="B5429" s="2" t="s">
        <v>1606</v>
      </c>
      <c r="C5429" s="2">
        <v>862.28060000000005</v>
      </c>
      <c r="D5429" s="2">
        <f>HYPERLINK("http://mcb-m6.bioreg.kyushu-u.ac.jp/M3/20110418/F50987/2360/1", 94.56)</f>
        <v>94.56</v>
      </c>
      <c r="E5429" s="2">
        <v>79.06</v>
      </c>
      <c r="F5429" s="2">
        <v>2</v>
      </c>
      <c r="G5429" s="2" t="s">
        <v>12</v>
      </c>
    </row>
    <row r="5430" spans="1:9" x14ac:dyDescent="0.2">
      <c r="A5430" s="2" t="s">
        <v>3267</v>
      </c>
      <c r="B5430" s="2" t="s">
        <v>1606</v>
      </c>
      <c r="C5430" s="2">
        <v>862.22310000000004</v>
      </c>
      <c r="D5430" s="2">
        <f>HYPERLINK("http://mcb-m6.bioreg.kyushu-u.ac.jp/M3/20110418/F50986/2582/1", 94.72)</f>
        <v>94.72</v>
      </c>
      <c r="E5430" s="2">
        <v>85.4</v>
      </c>
      <c r="F5430" s="2">
        <v>2</v>
      </c>
      <c r="G5430" s="2" t="s">
        <v>12</v>
      </c>
    </row>
    <row r="5431" spans="1:9" x14ac:dyDescent="0.2">
      <c r="A5431" s="2" t="s">
        <v>3267</v>
      </c>
      <c r="B5431" s="2" t="s">
        <v>1606</v>
      </c>
      <c r="C5431" s="2">
        <v>862.69920000000002</v>
      </c>
      <c r="D5431" s="2">
        <f>HYPERLINK("http://mcb-m6.bioreg.kyushu-u.ac.jp/M3/20110418/F50986/2586/1", 96.22)</f>
        <v>96.22</v>
      </c>
      <c r="E5431" s="2">
        <v>86.24</v>
      </c>
      <c r="F5431" s="2">
        <v>2</v>
      </c>
      <c r="G5431" s="2" t="s">
        <v>12</v>
      </c>
    </row>
    <row r="5432" spans="1:9" x14ac:dyDescent="0.2">
      <c r="A5432" s="2" t="s">
        <v>3267</v>
      </c>
      <c r="B5432" s="2" t="s">
        <v>602</v>
      </c>
      <c r="C5432" s="2">
        <v>742.64620000000002</v>
      </c>
      <c r="D5432" s="2">
        <f>HYPERLINK("http://mcb-m6.bioreg.kyushu-u.ac.jp/M3/20110418/F50988/2110/1", 96.26)</f>
        <v>96.26</v>
      </c>
      <c r="E5432" s="2">
        <v>85.66</v>
      </c>
      <c r="F5432" s="2">
        <v>2</v>
      </c>
      <c r="G5432" s="2" t="s">
        <v>12</v>
      </c>
    </row>
    <row r="5433" spans="1:9" x14ac:dyDescent="0.2">
      <c r="A5433" s="2" t="s">
        <v>3267</v>
      </c>
      <c r="B5433" s="2" t="s">
        <v>1606</v>
      </c>
      <c r="C5433" s="2">
        <v>862.55020000000002</v>
      </c>
      <c r="D5433" s="2">
        <f>HYPERLINK("http://mcb-m6.bioreg.kyushu-u.ac.jp/M3/20110418/F50986/2585/1", 100.3)</f>
        <v>100.3</v>
      </c>
      <c r="E5433" s="2">
        <v>87.65</v>
      </c>
      <c r="F5433" s="2">
        <v>2</v>
      </c>
      <c r="G5433" s="2" t="s">
        <v>12</v>
      </c>
    </row>
    <row r="5434" spans="1:9" x14ac:dyDescent="0.2">
      <c r="A5434" s="2" t="s">
        <v>3267</v>
      </c>
      <c r="B5434" s="2" t="s">
        <v>2506</v>
      </c>
      <c r="C5434" s="2">
        <v>1045.423</v>
      </c>
      <c r="D5434" s="2">
        <f>HYPERLINK("http://mcb-m6.bioreg.kyushu-u.ac.jp/M3/20110418/F50986/2978/1", 118.39)</f>
        <v>118.39</v>
      </c>
      <c r="E5434" s="2">
        <v>90.08</v>
      </c>
      <c r="F5434" s="2">
        <v>2</v>
      </c>
      <c r="G5434" s="2" t="s">
        <v>12</v>
      </c>
      <c r="I5434" s="2" t="s">
        <v>4966</v>
      </c>
    </row>
    <row r="5435" spans="1:9" x14ac:dyDescent="0.2">
      <c r="A5435" s="2" t="s">
        <v>3267</v>
      </c>
      <c r="B5435" s="2" t="s">
        <v>602</v>
      </c>
      <c r="C5435" s="2">
        <v>742.21169999999995</v>
      </c>
      <c r="D5435" s="2">
        <f>HYPERLINK("http://mcb-m6.bioreg.kyushu-u.ac.jp/M3/20110418/F50987/2096/1", 128.87)</f>
        <v>128.87</v>
      </c>
      <c r="E5435" s="2">
        <v>114.01</v>
      </c>
      <c r="F5435" s="2">
        <v>2</v>
      </c>
      <c r="G5435" s="2" t="s">
        <v>12</v>
      </c>
    </row>
    <row r="5436" spans="1:9" x14ac:dyDescent="0.2">
      <c r="A5436" s="2" t="s">
        <v>3267</v>
      </c>
      <c r="B5436" s="2" t="s">
        <v>1353</v>
      </c>
      <c r="C5436" s="2">
        <v>825.14170000000001</v>
      </c>
      <c r="D5436" s="2">
        <f>HYPERLINK("http://mcb-m6.bioreg.kyushu-u.ac.jp/M3/20110418/F50986/2483/1", 136.8)</f>
        <v>136.80000000000001</v>
      </c>
      <c r="E5436" s="2">
        <v>116.45</v>
      </c>
      <c r="F5436" s="2">
        <v>2</v>
      </c>
      <c r="G5436" s="2" t="s">
        <v>12</v>
      </c>
    </row>
    <row r="5437" spans="1:9" x14ac:dyDescent="0.2">
      <c r="A5437" s="2" t="s">
        <v>3267</v>
      </c>
      <c r="B5437" s="2" t="s">
        <v>223</v>
      </c>
      <c r="C5437" s="2">
        <v>782.29020000000003</v>
      </c>
      <c r="D5437" s="2">
        <f>HYPERLINK("http://mcb-m6.bioreg.kyushu-u.ac.jp/M3/20110429/F51153/2313/1", 35.12)</f>
        <v>35.119999999999997</v>
      </c>
      <c r="E5437" s="2">
        <v>20.36</v>
      </c>
      <c r="F5437" s="2">
        <v>2</v>
      </c>
      <c r="G5437" s="2" t="s">
        <v>13</v>
      </c>
    </row>
    <row r="5438" spans="1:9" x14ac:dyDescent="0.2">
      <c r="A5438" s="2" t="s">
        <v>3267</v>
      </c>
      <c r="B5438" s="2" t="s">
        <v>47</v>
      </c>
      <c r="C5438" s="2">
        <v>548.80619999999999</v>
      </c>
      <c r="D5438" s="2">
        <f>HYPERLINK("http://mcb-m6.bioreg.kyushu-u.ac.jp/M3/20110429/F51153/873/1", 35.16)</f>
        <v>35.159999999999997</v>
      </c>
      <c r="E5438" s="2">
        <v>19.649999999999999</v>
      </c>
      <c r="F5438" s="2">
        <v>2</v>
      </c>
      <c r="G5438" s="2" t="s">
        <v>13</v>
      </c>
      <c r="H5438" s="2" t="s">
        <v>4904</v>
      </c>
    </row>
    <row r="5439" spans="1:9" x14ac:dyDescent="0.2">
      <c r="A5439" s="2" t="s">
        <v>3267</v>
      </c>
      <c r="B5439" s="2" t="s">
        <v>97</v>
      </c>
      <c r="C5439" s="2">
        <v>668.7577</v>
      </c>
      <c r="D5439" s="2">
        <f>HYPERLINK("http://mcb-m6.bioreg.kyushu-u.ac.jp/M3/20110429/F51149/1844/1", 35.21)</f>
        <v>35.21</v>
      </c>
      <c r="E5439" s="2">
        <v>17.239999999999998</v>
      </c>
      <c r="F5439" s="2">
        <v>2</v>
      </c>
      <c r="G5439" s="2" t="s">
        <v>13</v>
      </c>
    </row>
    <row r="5440" spans="1:9" x14ac:dyDescent="0.2">
      <c r="A5440" s="2" t="s">
        <v>3267</v>
      </c>
      <c r="B5440" s="2" t="s">
        <v>433</v>
      </c>
      <c r="C5440" s="2">
        <v>819.46559999999999</v>
      </c>
      <c r="D5440" s="2">
        <f>HYPERLINK("http://mcb-m6.bioreg.kyushu-u.ac.jp/M3/20110429/F51154/2466/1", 35.37)</f>
        <v>35.369999999999997</v>
      </c>
      <c r="E5440" s="2">
        <v>22.08</v>
      </c>
      <c r="F5440" s="2">
        <v>2</v>
      </c>
      <c r="G5440" s="2" t="s">
        <v>13</v>
      </c>
    </row>
    <row r="5441" spans="1:7" x14ac:dyDescent="0.2">
      <c r="A5441" s="2" t="s">
        <v>3267</v>
      </c>
      <c r="B5441" s="2" t="s">
        <v>2071</v>
      </c>
      <c r="C5441" s="2">
        <v>776.49519999999995</v>
      </c>
      <c r="D5441" s="2">
        <f>HYPERLINK("http://mcb-m6.bioreg.kyushu-u.ac.jp/M3/20110429/F51153/4090/1", 35.53)</f>
        <v>35.53</v>
      </c>
      <c r="E5441" s="2">
        <v>25.88</v>
      </c>
      <c r="F5441" s="2">
        <v>3</v>
      </c>
      <c r="G5441" s="2" t="s">
        <v>13</v>
      </c>
    </row>
    <row r="5442" spans="1:7" x14ac:dyDescent="0.2">
      <c r="A5442" s="2" t="s">
        <v>3267</v>
      </c>
      <c r="B5442" s="2" t="s">
        <v>2889</v>
      </c>
      <c r="C5442" s="2">
        <v>1146.433</v>
      </c>
      <c r="D5442" s="2">
        <f>HYPERLINK("http://mcb-m6.bioreg.kyushu-u.ac.jp/M3/20110429/F51153/1009/1", 35.97)</f>
        <v>35.97</v>
      </c>
      <c r="E5442" s="2">
        <v>15.43</v>
      </c>
      <c r="F5442" s="2">
        <v>1</v>
      </c>
      <c r="G5442" s="2" t="s">
        <v>13</v>
      </c>
    </row>
    <row r="5443" spans="1:7" x14ac:dyDescent="0.2">
      <c r="A5443" s="2" t="s">
        <v>3267</v>
      </c>
      <c r="B5443" s="2" t="s">
        <v>433</v>
      </c>
      <c r="C5443" s="2">
        <v>819.88210000000004</v>
      </c>
      <c r="D5443" s="2">
        <f>HYPERLINK("http://mcb-m6.bioreg.kyushu-u.ac.jp/M3/20110429/F51153/2586/1", 36.13)</f>
        <v>36.130000000000003</v>
      </c>
      <c r="E5443" s="2">
        <v>26.8</v>
      </c>
      <c r="F5443" s="2">
        <v>2</v>
      </c>
      <c r="G5443" s="2" t="s">
        <v>13</v>
      </c>
    </row>
    <row r="5444" spans="1:7" x14ac:dyDescent="0.2">
      <c r="A5444" s="2" t="s">
        <v>3267</v>
      </c>
      <c r="B5444" s="2" t="s">
        <v>433</v>
      </c>
      <c r="C5444" s="2">
        <v>819.62710000000004</v>
      </c>
      <c r="D5444" s="2">
        <f>HYPERLINK("http://mcb-m6.bioreg.kyushu-u.ac.jp/M3/20110502/F51164/2135/1", 36.14)</f>
        <v>36.14</v>
      </c>
      <c r="E5444" s="2">
        <v>22.56</v>
      </c>
      <c r="F5444" s="2">
        <v>2</v>
      </c>
      <c r="G5444" s="2" t="s">
        <v>13</v>
      </c>
    </row>
    <row r="5445" spans="1:7" x14ac:dyDescent="0.2">
      <c r="A5445" s="2" t="s">
        <v>3267</v>
      </c>
      <c r="B5445" s="2" t="s">
        <v>568</v>
      </c>
      <c r="C5445" s="2">
        <v>836.274</v>
      </c>
      <c r="D5445" s="2">
        <f>HYPERLINK("http://mcb-m6.bioreg.kyushu-u.ac.jp/M3/20110429/F51153/346/1", 36.43)</f>
        <v>36.43</v>
      </c>
      <c r="E5445" s="2">
        <v>21.83</v>
      </c>
      <c r="F5445" s="2">
        <v>1</v>
      </c>
      <c r="G5445" s="2" t="s">
        <v>13</v>
      </c>
    </row>
    <row r="5446" spans="1:7" x14ac:dyDescent="0.2">
      <c r="A5446" s="2" t="s">
        <v>3267</v>
      </c>
      <c r="B5446" s="2" t="s">
        <v>3018</v>
      </c>
      <c r="C5446" s="2">
        <v>521.18619999999999</v>
      </c>
      <c r="D5446" s="2">
        <f>HYPERLINK("http://mcb-m6.bioreg.kyushu-u.ac.jp/M3/20110429/F51153/722/1", 36.71)</f>
        <v>36.71</v>
      </c>
      <c r="E5446" s="2">
        <v>8.31</v>
      </c>
      <c r="F5446" s="2">
        <v>2</v>
      </c>
      <c r="G5446" s="2" t="s">
        <v>13</v>
      </c>
    </row>
    <row r="5447" spans="1:7" x14ac:dyDescent="0.2">
      <c r="A5447" s="2" t="s">
        <v>3267</v>
      </c>
      <c r="B5447" s="2" t="s">
        <v>1606</v>
      </c>
      <c r="C5447" s="2">
        <v>862.68769999999995</v>
      </c>
      <c r="D5447" s="2">
        <f>HYPERLINK("http://mcb-m6.bioreg.kyushu-u.ac.jp/M3/20110429/F51153/2876/1", 36.73)</f>
        <v>36.729999999999997</v>
      </c>
      <c r="E5447" s="2">
        <v>28.68</v>
      </c>
      <c r="F5447" s="2">
        <v>2</v>
      </c>
      <c r="G5447" s="2" t="s">
        <v>13</v>
      </c>
    </row>
    <row r="5448" spans="1:7" x14ac:dyDescent="0.2">
      <c r="A5448" s="2" t="s">
        <v>3267</v>
      </c>
      <c r="B5448" s="2" t="s">
        <v>2952</v>
      </c>
      <c r="C5448" s="2">
        <v>670.90419999999995</v>
      </c>
      <c r="D5448" s="2">
        <f>HYPERLINK("http://mcb-m6.bioreg.kyushu-u.ac.jp/M3/20110502/F51158/1512/1", 36.87)</f>
        <v>36.869999999999997</v>
      </c>
      <c r="E5448" s="2">
        <v>22.15</v>
      </c>
      <c r="F5448" s="2">
        <v>2</v>
      </c>
      <c r="G5448" s="2" t="s">
        <v>13</v>
      </c>
    </row>
    <row r="5449" spans="1:7" x14ac:dyDescent="0.2">
      <c r="A5449" s="2" t="s">
        <v>3267</v>
      </c>
      <c r="B5449" s="2" t="s">
        <v>433</v>
      </c>
      <c r="C5449" s="2">
        <v>819.41970000000003</v>
      </c>
      <c r="D5449" s="2">
        <f>HYPERLINK("http://mcb-m6.bioreg.kyushu-u.ac.jp/M3/20110429/F51153/2582/1", 36.9)</f>
        <v>36.9</v>
      </c>
      <c r="E5449" s="2">
        <v>20.84</v>
      </c>
      <c r="F5449" s="2">
        <v>2</v>
      </c>
      <c r="G5449" s="2" t="s">
        <v>13</v>
      </c>
    </row>
    <row r="5450" spans="1:7" x14ac:dyDescent="0.2">
      <c r="A5450" s="2" t="s">
        <v>3267</v>
      </c>
      <c r="B5450" s="2" t="s">
        <v>491</v>
      </c>
      <c r="C5450" s="2">
        <v>766.23910000000001</v>
      </c>
      <c r="D5450" s="2">
        <f>HYPERLINK("http://mcb-m6.bioreg.kyushu-u.ac.jp/M3/20110429/F51153/2165/1", 37.82)</f>
        <v>37.82</v>
      </c>
      <c r="E5450" s="2">
        <v>23.34</v>
      </c>
      <c r="F5450" s="2">
        <v>2</v>
      </c>
      <c r="G5450" s="2" t="s">
        <v>13</v>
      </c>
    </row>
    <row r="5451" spans="1:7" x14ac:dyDescent="0.2">
      <c r="A5451" s="2" t="s">
        <v>3267</v>
      </c>
      <c r="B5451" s="2" t="s">
        <v>223</v>
      </c>
      <c r="C5451" s="2">
        <v>782.80769999999995</v>
      </c>
      <c r="D5451" s="2">
        <f>HYPERLINK("http://mcb-m6.bioreg.kyushu-u.ac.jp/M3/20110429/F51153/2320/1", 37.92)</f>
        <v>37.92</v>
      </c>
      <c r="E5451" s="2">
        <v>15.54</v>
      </c>
      <c r="F5451" s="2">
        <v>2</v>
      </c>
      <c r="G5451" s="2" t="s">
        <v>13</v>
      </c>
    </row>
    <row r="5452" spans="1:7" x14ac:dyDescent="0.2">
      <c r="A5452" s="2" t="s">
        <v>3267</v>
      </c>
      <c r="B5452" s="2" t="s">
        <v>5482</v>
      </c>
      <c r="C5452" s="2">
        <v>629.85419999999999</v>
      </c>
      <c r="D5452" s="2">
        <f>HYPERLINK("http://mcb-m6.bioreg.kyushu-u.ac.jp/M3/20110429/F51153/1310/1", 38.19)</f>
        <v>38.19</v>
      </c>
      <c r="E5452" s="2">
        <v>25.83</v>
      </c>
      <c r="F5452" s="2">
        <v>2</v>
      </c>
      <c r="G5452" s="2" t="s">
        <v>13</v>
      </c>
    </row>
    <row r="5453" spans="1:7" x14ac:dyDescent="0.2">
      <c r="A5453" s="2" t="s">
        <v>3267</v>
      </c>
      <c r="B5453" s="2" t="s">
        <v>433</v>
      </c>
      <c r="C5453" s="2">
        <v>819.36469999999997</v>
      </c>
      <c r="D5453" s="2">
        <f>HYPERLINK("http://mcb-m6.bioreg.kyushu-u.ac.jp/M3/20110429/F51153/2576/1", 38.74)</f>
        <v>38.74</v>
      </c>
      <c r="E5453" s="2">
        <v>31.53</v>
      </c>
      <c r="F5453" s="2">
        <v>2</v>
      </c>
      <c r="G5453" s="2" t="s">
        <v>13</v>
      </c>
    </row>
    <row r="5454" spans="1:7" x14ac:dyDescent="0.2">
      <c r="A5454" s="2" t="s">
        <v>3267</v>
      </c>
      <c r="B5454" s="2" t="s">
        <v>1666</v>
      </c>
      <c r="C5454" s="2">
        <v>982.84310000000005</v>
      </c>
      <c r="D5454" s="2">
        <f>HYPERLINK("http://mcb-m6.bioreg.kyushu-u.ac.jp/M3/20110429/F51153/4596/1", 39.25)</f>
        <v>39.25</v>
      </c>
      <c r="E5454" s="2">
        <v>32.93</v>
      </c>
      <c r="F5454" s="2">
        <v>3</v>
      </c>
      <c r="G5454" s="2" t="s">
        <v>13</v>
      </c>
    </row>
    <row r="5455" spans="1:7" x14ac:dyDescent="0.2">
      <c r="A5455" s="2" t="s">
        <v>3267</v>
      </c>
      <c r="B5455" s="2" t="s">
        <v>697</v>
      </c>
      <c r="C5455" s="2">
        <v>733.3356</v>
      </c>
      <c r="D5455" s="2">
        <f>HYPERLINK("http://mcb-m6.bioreg.kyushu-u.ac.jp/M3/20110429/F51153/1904/1", 40.45)</f>
        <v>40.450000000000003</v>
      </c>
      <c r="E5455" s="2">
        <v>21.44</v>
      </c>
      <c r="F5455" s="2">
        <v>2</v>
      </c>
      <c r="G5455" s="2" t="s">
        <v>13</v>
      </c>
    </row>
    <row r="5456" spans="1:7" x14ac:dyDescent="0.2">
      <c r="A5456" s="2" t="s">
        <v>3267</v>
      </c>
      <c r="B5456" s="2" t="s">
        <v>2071</v>
      </c>
      <c r="C5456" s="2">
        <v>1164.432</v>
      </c>
      <c r="D5456" s="2">
        <f>HYPERLINK("http://mcb-m6.bioreg.kyushu-u.ac.jp/M3/20110429/F51153/4092/1", 41.41)</f>
        <v>41.41</v>
      </c>
      <c r="E5456" s="2">
        <v>36.93</v>
      </c>
      <c r="F5456" s="2">
        <v>2</v>
      </c>
      <c r="G5456" s="2" t="s">
        <v>13</v>
      </c>
    </row>
    <row r="5457" spans="1:8" x14ac:dyDescent="0.2">
      <c r="A5457" s="2" t="s">
        <v>3267</v>
      </c>
      <c r="B5457" s="2" t="s">
        <v>480</v>
      </c>
      <c r="C5457" s="2">
        <v>1552.127</v>
      </c>
      <c r="D5457" s="2">
        <f>HYPERLINK("http://mcb-m6.bioreg.kyushu-u.ac.jp/M3/20110429/F51153/4641/1", 41.69)</f>
        <v>41.69</v>
      </c>
      <c r="E5457" s="2">
        <v>29.85</v>
      </c>
      <c r="F5457" s="2">
        <v>2</v>
      </c>
      <c r="G5457" s="2" t="s">
        <v>13</v>
      </c>
    </row>
    <row r="5458" spans="1:8" x14ac:dyDescent="0.2">
      <c r="A5458" s="2" t="s">
        <v>3267</v>
      </c>
      <c r="B5458" s="2" t="s">
        <v>433</v>
      </c>
      <c r="C5458" s="2">
        <v>819.95209999999997</v>
      </c>
      <c r="D5458" s="2">
        <f>HYPERLINK("http://mcb-m6.bioreg.kyushu-u.ac.jp/M3/20110429/F51154/2469/1", 41.83)</f>
        <v>41.83</v>
      </c>
      <c r="E5458" s="2">
        <v>32.93</v>
      </c>
      <c r="F5458" s="2">
        <v>2</v>
      </c>
      <c r="G5458" s="2" t="s">
        <v>13</v>
      </c>
    </row>
    <row r="5459" spans="1:8" x14ac:dyDescent="0.2">
      <c r="A5459" s="2" t="s">
        <v>3267</v>
      </c>
      <c r="B5459" s="2" t="s">
        <v>1837</v>
      </c>
      <c r="C5459" s="2">
        <v>1204.431</v>
      </c>
      <c r="D5459" s="2">
        <f>HYPERLINK("http://mcb-m6.bioreg.kyushu-u.ac.jp/M3/20110429/F51153/1180/1", 41.84)</f>
        <v>41.84</v>
      </c>
      <c r="E5459" s="2">
        <v>28.06</v>
      </c>
      <c r="F5459" s="2">
        <v>1</v>
      </c>
      <c r="G5459" s="2" t="s">
        <v>13</v>
      </c>
    </row>
    <row r="5460" spans="1:8" x14ac:dyDescent="0.2">
      <c r="A5460" s="2" t="s">
        <v>3267</v>
      </c>
      <c r="B5460" s="2" t="s">
        <v>47</v>
      </c>
      <c r="C5460" s="2">
        <v>548.91470000000004</v>
      </c>
      <c r="D5460" s="2">
        <f>HYPERLINK("http://mcb-m6.bioreg.kyushu-u.ac.jp/M3/20110502/F51158/955/1", 42.64)</f>
        <v>42.64</v>
      </c>
      <c r="E5460" s="2">
        <v>17.29</v>
      </c>
      <c r="F5460" s="2">
        <v>2</v>
      </c>
      <c r="G5460" s="2" t="s">
        <v>13</v>
      </c>
      <c r="H5460" s="2" t="s">
        <v>4904</v>
      </c>
    </row>
    <row r="5461" spans="1:8" x14ac:dyDescent="0.2">
      <c r="A5461" s="2" t="s">
        <v>3267</v>
      </c>
      <c r="B5461" s="2" t="s">
        <v>433</v>
      </c>
      <c r="C5461" s="2">
        <v>819.40060000000005</v>
      </c>
      <c r="D5461" s="2">
        <f>HYPERLINK("http://mcb-m6.bioreg.kyushu-u.ac.jp/M3/20110429/F51154/2464/1", 42.78)</f>
        <v>42.78</v>
      </c>
      <c r="E5461" s="2">
        <v>35.700000000000003</v>
      </c>
      <c r="F5461" s="2">
        <v>2</v>
      </c>
      <c r="G5461" s="2" t="s">
        <v>13</v>
      </c>
    </row>
    <row r="5462" spans="1:8" x14ac:dyDescent="0.2">
      <c r="A5462" s="2" t="s">
        <v>3267</v>
      </c>
      <c r="B5462" s="2" t="s">
        <v>562</v>
      </c>
      <c r="C5462" s="2">
        <v>964.90660000000003</v>
      </c>
      <c r="D5462" s="2">
        <f>HYPERLINK("http://mcb-m6.bioreg.kyushu-u.ac.jp/M3/20110429/F51154/4054/1", 43.09)</f>
        <v>43.09</v>
      </c>
      <c r="E5462" s="2">
        <v>39.75</v>
      </c>
      <c r="F5462" s="2">
        <v>3</v>
      </c>
      <c r="G5462" s="2" t="s">
        <v>13</v>
      </c>
    </row>
    <row r="5463" spans="1:8" x14ac:dyDescent="0.2">
      <c r="A5463" s="2" t="s">
        <v>3267</v>
      </c>
      <c r="B5463" s="2" t="s">
        <v>697</v>
      </c>
      <c r="C5463" s="2">
        <v>732.75319999999999</v>
      </c>
      <c r="D5463" s="2">
        <f>HYPERLINK("http://mcb-m6.bioreg.kyushu-u.ac.jp/M3/20110429/F51153/1893/1", 43.41)</f>
        <v>43.41</v>
      </c>
      <c r="E5463" s="2">
        <v>26.92</v>
      </c>
      <c r="F5463" s="2">
        <v>2</v>
      </c>
      <c r="G5463" s="2" t="s">
        <v>13</v>
      </c>
    </row>
    <row r="5464" spans="1:8" x14ac:dyDescent="0.2">
      <c r="A5464" s="2" t="s">
        <v>3267</v>
      </c>
      <c r="B5464" s="2" t="s">
        <v>433</v>
      </c>
      <c r="C5464" s="2">
        <v>546.53920000000005</v>
      </c>
      <c r="D5464" s="2">
        <f>HYPERLINK("http://mcb-m6.bioreg.kyushu-u.ac.jp/M3/20110429/F51153/2573/1", 43.46)</f>
        <v>43.46</v>
      </c>
      <c r="E5464" s="2">
        <v>15.54</v>
      </c>
      <c r="F5464" s="2">
        <v>3</v>
      </c>
      <c r="G5464" s="2" t="s">
        <v>13</v>
      </c>
    </row>
    <row r="5465" spans="1:8" x14ac:dyDescent="0.2">
      <c r="A5465" s="2" t="s">
        <v>3267</v>
      </c>
      <c r="B5465" s="2" t="s">
        <v>697</v>
      </c>
      <c r="C5465" s="2">
        <v>733.26919999999996</v>
      </c>
      <c r="D5465" s="2">
        <f>HYPERLINK("http://mcb-m6.bioreg.kyushu-u.ac.jp/M3/20110429/F51153/1901/1", 43.82)</f>
        <v>43.82</v>
      </c>
      <c r="E5465" s="2">
        <v>21.08</v>
      </c>
      <c r="F5465" s="2">
        <v>2</v>
      </c>
      <c r="G5465" s="2" t="s">
        <v>13</v>
      </c>
    </row>
    <row r="5466" spans="1:8" x14ac:dyDescent="0.2">
      <c r="A5466" s="2" t="s">
        <v>3267</v>
      </c>
      <c r="B5466" s="2" t="s">
        <v>97</v>
      </c>
      <c r="C5466" s="2">
        <v>668.74620000000004</v>
      </c>
      <c r="D5466" s="2">
        <f>HYPERLINK("http://mcb-m6.bioreg.kyushu-u.ac.jp/M3/20110429/F51155/1904/1", 43.92)</f>
        <v>43.92</v>
      </c>
      <c r="E5466" s="2">
        <v>19.600000000000001</v>
      </c>
      <c r="F5466" s="2">
        <v>2</v>
      </c>
      <c r="G5466" s="2" t="s">
        <v>13</v>
      </c>
    </row>
    <row r="5467" spans="1:8" x14ac:dyDescent="0.2">
      <c r="A5467" s="2" t="s">
        <v>3267</v>
      </c>
      <c r="B5467" s="2" t="s">
        <v>697</v>
      </c>
      <c r="C5467" s="2">
        <v>488.9085</v>
      </c>
      <c r="D5467" s="2">
        <f>HYPERLINK("http://mcb-m6.bioreg.kyushu-u.ac.jp/M3/20110429/F51153/1897/1", 44.01)</f>
        <v>44.01</v>
      </c>
      <c r="E5467" s="2">
        <v>26.63</v>
      </c>
      <c r="F5467" s="2">
        <v>3</v>
      </c>
      <c r="G5467" s="2" t="s">
        <v>13</v>
      </c>
    </row>
    <row r="5468" spans="1:8" x14ac:dyDescent="0.2">
      <c r="A5468" s="2" t="s">
        <v>3267</v>
      </c>
      <c r="B5468" s="2" t="s">
        <v>433</v>
      </c>
      <c r="C5468" s="2">
        <v>819.41420000000005</v>
      </c>
      <c r="D5468" s="2">
        <f>HYPERLINK("http://mcb-m6.bioreg.kyushu-u.ac.jp/M3/20110429/F51153/2580/1", 44.09)</f>
        <v>44.09</v>
      </c>
      <c r="E5468" s="2">
        <v>36.76</v>
      </c>
      <c r="F5468" s="2">
        <v>2</v>
      </c>
      <c r="G5468" s="2" t="s">
        <v>13</v>
      </c>
    </row>
    <row r="5469" spans="1:8" x14ac:dyDescent="0.2">
      <c r="A5469" s="2" t="s">
        <v>3267</v>
      </c>
      <c r="B5469" s="2" t="s">
        <v>2906</v>
      </c>
      <c r="C5469" s="2">
        <v>999.50099999999998</v>
      </c>
      <c r="D5469" s="2">
        <f>HYPERLINK("http://mcb-m6.bioreg.kyushu-u.ac.jp/M3/20110429/F51153/601/1", 44.23)</f>
        <v>44.23</v>
      </c>
      <c r="E5469" s="2">
        <v>22.6</v>
      </c>
      <c r="F5469" s="2">
        <v>1</v>
      </c>
      <c r="G5469" s="2" t="s">
        <v>13</v>
      </c>
    </row>
    <row r="5470" spans="1:8" x14ac:dyDescent="0.2">
      <c r="A5470" s="2" t="s">
        <v>3267</v>
      </c>
      <c r="B5470" s="2" t="s">
        <v>223</v>
      </c>
      <c r="C5470" s="2">
        <v>782.54060000000004</v>
      </c>
      <c r="D5470" s="2">
        <f>HYPERLINK("http://mcb-m6.bioreg.kyushu-u.ac.jp/M3/20110429/F51154/2250/1", 44.32)</f>
        <v>44.32</v>
      </c>
      <c r="E5470" s="2">
        <v>27.63</v>
      </c>
      <c r="F5470" s="2">
        <v>2</v>
      </c>
      <c r="G5470" s="2" t="s">
        <v>13</v>
      </c>
    </row>
    <row r="5471" spans="1:8" x14ac:dyDescent="0.2">
      <c r="A5471" s="2" t="s">
        <v>3267</v>
      </c>
      <c r="B5471" s="2" t="s">
        <v>433</v>
      </c>
      <c r="C5471" s="2">
        <v>819.57709999999997</v>
      </c>
      <c r="D5471" s="2">
        <f>HYPERLINK("http://mcb-m6.bioreg.kyushu-u.ac.jp/M3/20110502/F51158/2325/1", 44.61)</f>
        <v>44.61</v>
      </c>
      <c r="E5471" s="2">
        <v>34.270000000000003</v>
      </c>
      <c r="F5471" s="2">
        <v>2</v>
      </c>
      <c r="G5471" s="2" t="s">
        <v>13</v>
      </c>
    </row>
    <row r="5472" spans="1:8" x14ac:dyDescent="0.2">
      <c r="A5472" s="2" t="s">
        <v>3267</v>
      </c>
      <c r="B5472" s="2" t="s">
        <v>433</v>
      </c>
      <c r="C5472" s="2">
        <v>819.41060000000004</v>
      </c>
      <c r="D5472" s="2">
        <f>HYPERLINK("http://mcb-m6.bioreg.kyushu-u.ac.jp/M3/20110429/F51153/2579/1", 44.65)</f>
        <v>44.65</v>
      </c>
      <c r="E5472" s="2">
        <v>33.47</v>
      </c>
      <c r="F5472" s="2">
        <v>2</v>
      </c>
      <c r="G5472" s="2" t="s">
        <v>13</v>
      </c>
    </row>
    <row r="5473" spans="1:9" x14ac:dyDescent="0.2">
      <c r="A5473" s="2" t="s">
        <v>3267</v>
      </c>
      <c r="B5473" s="2" t="s">
        <v>2506</v>
      </c>
      <c r="C5473" s="2">
        <v>1045.748</v>
      </c>
      <c r="D5473" s="2">
        <f>HYPERLINK("http://mcb-m6.bioreg.kyushu-u.ac.jp/M3/20110429/F51154/3435/1", 44.9)</f>
        <v>44.9</v>
      </c>
      <c r="E5473" s="2">
        <v>37.47</v>
      </c>
      <c r="F5473" s="2">
        <v>2</v>
      </c>
      <c r="G5473" s="2" t="s">
        <v>13</v>
      </c>
      <c r="I5473" s="2" t="s">
        <v>4966</v>
      </c>
    </row>
    <row r="5474" spans="1:9" x14ac:dyDescent="0.2">
      <c r="A5474" s="2" t="s">
        <v>3267</v>
      </c>
      <c r="B5474" s="2" t="s">
        <v>97</v>
      </c>
      <c r="C5474" s="2">
        <v>668.72609999999997</v>
      </c>
      <c r="D5474" s="2">
        <f>HYPERLINK("http://mcb-m6.bioreg.kyushu-u.ac.jp/M3/20110429/F51153/1472/1", 45.43)</f>
        <v>45.43</v>
      </c>
      <c r="E5474" s="2">
        <v>21.88</v>
      </c>
      <c r="F5474" s="2">
        <v>2</v>
      </c>
      <c r="G5474" s="2" t="s">
        <v>13</v>
      </c>
    </row>
    <row r="5475" spans="1:9" x14ac:dyDescent="0.2">
      <c r="A5475" s="2" t="s">
        <v>3267</v>
      </c>
      <c r="B5475" s="2" t="s">
        <v>491</v>
      </c>
      <c r="C5475" s="2">
        <v>766.35670000000005</v>
      </c>
      <c r="D5475" s="2">
        <f>HYPERLINK("http://mcb-m6.bioreg.kyushu-u.ac.jp/M3/20110429/F51153/2171/1", 46.3)</f>
        <v>46.3</v>
      </c>
      <c r="E5475" s="2">
        <v>34.9</v>
      </c>
      <c r="F5475" s="2">
        <v>2</v>
      </c>
      <c r="G5475" s="2" t="s">
        <v>13</v>
      </c>
    </row>
    <row r="5476" spans="1:9" x14ac:dyDescent="0.2">
      <c r="A5476" s="2" t="s">
        <v>3267</v>
      </c>
      <c r="B5476" s="2" t="s">
        <v>1606</v>
      </c>
      <c r="C5476" s="2">
        <v>575.20479999999998</v>
      </c>
      <c r="D5476" s="2">
        <f>HYPERLINK("http://mcb-m6.bioreg.kyushu-u.ac.jp/M3/20110429/F51153/2871/1", 47.1)</f>
        <v>47.1</v>
      </c>
      <c r="E5476" s="2">
        <v>32.869999999999997</v>
      </c>
      <c r="F5476" s="2">
        <v>3</v>
      </c>
      <c r="G5476" s="2" t="s">
        <v>13</v>
      </c>
    </row>
    <row r="5477" spans="1:9" x14ac:dyDescent="0.2">
      <c r="A5477" s="2" t="s">
        <v>3267</v>
      </c>
      <c r="B5477" s="2" t="s">
        <v>697</v>
      </c>
      <c r="C5477" s="2">
        <v>732.80319999999995</v>
      </c>
      <c r="D5477" s="2">
        <f>HYPERLINK("http://mcb-m6.bioreg.kyushu-u.ac.jp/M3/20110429/F51153/1895/1", 47.65)</f>
        <v>47.65</v>
      </c>
      <c r="E5477" s="2">
        <v>26.14</v>
      </c>
      <c r="F5477" s="2">
        <v>2</v>
      </c>
      <c r="G5477" s="2" t="s">
        <v>13</v>
      </c>
    </row>
    <row r="5478" spans="1:9" x14ac:dyDescent="0.2">
      <c r="A5478" s="2" t="s">
        <v>3267</v>
      </c>
      <c r="B5478" s="2" t="s">
        <v>2906</v>
      </c>
      <c r="C5478" s="2">
        <v>1000.476</v>
      </c>
      <c r="D5478" s="2">
        <f>HYPERLINK("http://mcb-m6.bioreg.kyushu-u.ac.jp/M3/20110429/F51153/604/1", 47.69)</f>
        <v>47.69</v>
      </c>
      <c r="E5478" s="2">
        <v>28.1</v>
      </c>
      <c r="F5478" s="2">
        <v>1</v>
      </c>
      <c r="G5478" s="2" t="s">
        <v>13</v>
      </c>
    </row>
    <row r="5479" spans="1:9" x14ac:dyDescent="0.2">
      <c r="A5479" s="2" t="s">
        <v>3267</v>
      </c>
      <c r="B5479" s="2" t="s">
        <v>433</v>
      </c>
      <c r="C5479" s="2">
        <v>819.39260000000002</v>
      </c>
      <c r="D5479" s="2">
        <f>HYPERLINK("http://mcb-m6.bioreg.kyushu-u.ac.jp/M3/20110429/F51153/2577/1", 48.81)</f>
        <v>48.81</v>
      </c>
      <c r="E5479" s="2">
        <v>38.75</v>
      </c>
      <c r="F5479" s="2">
        <v>2</v>
      </c>
      <c r="G5479" s="2" t="s">
        <v>13</v>
      </c>
    </row>
    <row r="5480" spans="1:9" x14ac:dyDescent="0.2">
      <c r="A5480" s="2" t="s">
        <v>3267</v>
      </c>
      <c r="B5480" s="2" t="s">
        <v>97</v>
      </c>
      <c r="C5480" s="2">
        <v>669.24369999999999</v>
      </c>
      <c r="D5480" s="2">
        <f>HYPERLINK("http://mcb-m6.bioreg.kyushu-u.ac.jp/M3/20110429/F51153/1476/1", 49.85)</f>
        <v>49.85</v>
      </c>
      <c r="E5480" s="2">
        <v>30.31</v>
      </c>
      <c r="F5480" s="2">
        <v>2</v>
      </c>
      <c r="G5480" s="2" t="s">
        <v>13</v>
      </c>
    </row>
    <row r="5481" spans="1:9" x14ac:dyDescent="0.2">
      <c r="A5481" s="2" t="s">
        <v>3267</v>
      </c>
      <c r="B5481" s="2" t="s">
        <v>97</v>
      </c>
      <c r="C5481" s="2">
        <v>668.90219999999999</v>
      </c>
      <c r="D5481" s="2">
        <f>HYPERLINK("http://mcb-m6.bioreg.kyushu-u.ac.jp/M3/20110502/F51158/1506/1", 52.39)</f>
        <v>52.39</v>
      </c>
      <c r="E5481" s="2">
        <v>32.520000000000003</v>
      </c>
      <c r="F5481" s="2">
        <v>2</v>
      </c>
      <c r="G5481" s="2" t="s">
        <v>13</v>
      </c>
    </row>
    <row r="5482" spans="1:9" x14ac:dyDescent="0.2">
      <c r="A5482" s="2" t="s">
        <v>3267</v>
      </c>
      <c r="B5482" s="2" t="s">
        <v>97</v>
      </c>
      <c r="C5482" s="2">
        <v>668.72220000000004</v>
      </c>
      <c r="D5482" s="2">
        <f>HYPERLINK("http://mcb-m6.bioreg.kyushu-u.ac.jp/M3/20110429/F51152/1534/1", 54.84)</f>
        <v>54.84</v>
      </c>
      <c r="E5482" s="2">
        <v>36.340000000000003</v>
      </c>
      <c r="F5482" s="2">
        <v>2</v>
      </c>
      <c r="G5482" s="2" t="s">
        <v>13</v>
      </c>
    </row>
    <row r="5483" spans="1:9" x14ac:dyDescent="0.2">
      <c r="A5483" s="2" t="s">
        <v>3267</v>
      </c>
      <c r="B5483" s="2" t="s">
        <v>491</v>
      </c>
      <c r="C5483" s="2">
        <v>511.56490000000002</v>
      </c>
      <c r="D5483" s="2">
        <f>HYPERLINK("http://mcb-m6.bioreg.kyushu-u.ac.jp/M3/20110429/F51153/2181/1", 55.56)</f>
        <v>55.56</v>
      </c>
      <c r="E5483" s="2">
        <v>41.24</v>
      </c>
      <c r="F5483" s="2">
        <v>3</v>
      </c>
      <c r="G5483" s="2" t="s">
        <v>13</v>
      </c>
    </row>
    <row r="5484" spans="1:9" x14ac:dyDescent="0.2">
      <c r="A5484" s="2" t="s">
        <v>3267</v>
      </c>
      <c r="B5484" s="2" t="s">
        <v>994</v>
      </c>
      <c r="C5484" s="2">
        <v>580.23770000000002</v>
      </c>
      <c r="D5484" s="2">
        <f>HYPERLINK("http://mcb-m6.bioreg.kyushu-u.ac.jp/M3/20110429/F51153/1071/1", 57.49)</f>
        <v>57.49</v>
      </c>
      <c r="E5484" s="2">
        <v>34.94</v>
      </c>
      <c r="F5484" s="2">
        <v>2</v>
      </c>
      <c r="G5484" s="2" t="s">
        <v>13</v>
      </c>
    </row>
    <row r="5485" spans="1:9" x14ac:dyDescent="0.2">
      <c r="A5485" s="2" t="s">
        <v>3267</v>
      </c>
      <c r="B5485" s="2" t="s">
        <v>491</v>
      </c>
      <c r="C5485" s="2">
        <v>766.96870000000001</v>
      </c>
      <c r="D5485" s="2">
        <f>HYPERLINK("http://mcb-m6.bioreg.kyushu-u.ac.jp/M3/20110502/F51163/1960/1", 57.57)</f>
        <v>57.57</v>
      </c>
      <c r="E5485" s="2">
        <v>35.21</v>
      </c>
      <c r="F5485" s="2">
        <v>2</v>
      </c>
      <c r="G5485" s="2" t="s">
        <v>13</v>
      </c>
    </row>
    <row r="5486" spans="1:9" x14ac:dyDescent="0.2">
      <c r="A5486" s="2" t="s">
        <v>3267</v>
      </c>
      <c r="B5486" s="2" t="s">
        <v>491</v>
      </c>
      <c r="C5486" s="2">
        <v>766.38210000000004</v>
      </c>
      <c r="D5486" s="2">
        <f>HYPERLINK("http://mcb-m6.bioreg.kyushu-u.ac.jp/M3/20110429/F51154/2159/1", 59.71)</f>
        <v>59.71</v>
      </c>
      <c r="E5486" s="2">
        <v>37.04</v>
      </c>
      <c r="F5486" s="2">
        <v>2</v>
      </c>
      <c r="G5486" s="2" t="s">
        <v>13</v>
      </c>
    </row>
    <row r="5487" spans="1:9" x14ac:dyDescent="0.2">
      <c r="A5487" s="2" t="s">
        <v>3267</v>
      </c>
      <c r="B5487" s="2" t="s">
        <v>855</v>
      </c>
      <c r="C5487" s="2">
        <v>498.81009999999998</v>
      </c>
      <c r="D5487" s="2">
        <f>HYPERLINK("http://mcb-m6.bioreg.kyushu-u.ac.jp/M3/20110429/F51153/596/1", 60.3)</f>
        <v>60.3</v>
      </c>
      <c r="E5487" s="2">
        <v>21.04</v>
      </c>
      <c r="F5487" s="2">
        <v>2</v>
      </c>
      <c r="G5487" s="2" t="s">
        <v>13</v>
      </c>
    </row>
    <row r="5488" spans="1:9" x14ac:dyDescent="0.2">
      <c r="A5488" s="2" t="s">
        <v>3267</v>
      </c>
      <c r="B5488" s="2" t="s">
        <v>491</v>
      </c>
      <c r="C5488" s="2">
        <v>766.31209999999999</v>
      </c>
      <c r="D5488" s="2">
        <f>HYPERLINK("http://mcb-m6.bioreg.kyushu-u.ac.jp/M3/20110429/F51153/2168/1", 61.59)</f>
        <v>61.59</v>
      </c>
      <c r="E5488" s="2">
        <v>47.92</v>
      </c>
      <c r="F5488" s="2">
        <v>2</v>
      </c>
      <c r="G5488" s="2" t="s">
        <v>13</v>
      </c>
    </row>
    <row r="5489" spans="1:7" x14ac:dyDescent="0.2">
      <c r="A5489" s="2" t="s">
        <v>3267</v>
      </c>
      <c r="B5489" s="2" t="s">
        <v>491</v>
      </c>
      <c r="C5489" s="2">
        <v>766.85019999999997</v>
      </c>
      <c r="D5489" s="2">
        <f>HYPERLINK("http://mcb-m6.bioreg.kyushu-u.ac.jp/M3/20110429/F51153/2182/1", 62.17)</f>
        <v>62.17</v>
      </c>
      <c r="E5489" s="2">
        <v>49.34</v>
      </c>
      <c r="F5489" s="2">
        <v>2</v>
      </c>
      <c r="G5489" s="2" t="s">
        <v>13</v>
      </c>
    </row>
    <row r="5490" spans="1:7" x14ac:dyDescent="0.2">
      <c r="A5490" s="2" t="s">
        <v>3267</v>
      </c>
      <c r="B5490" s="2" t="s">
        <v>491</v>
      </c>
      <c r="C5490" s="2">
        <v>766.60220000000004</v>
      </c>
      <c r="D5490" s="2">
        <f>HYPERLINK("http://mcb-m6.bioreg.kyushu-u.ac.jp/M3/20110429/F51153/2178/1", 62.73)</f>
        <v>62.73</v>
      </c>
      <c r="E5490" s="2">
        <v>42.18</v>
      </c>
      <c r="F5490" s="2">
        <v>2</v>
      </c>
      <c r="G5490" s="2" t="s">
        <v>13</v>
      </c>
    </row>
    <row r="5491" spans="1:7" x14ac:dyDescent="0.2">
      <c r="A5491" s="2" t="s">
        <v>3267</v>
      </c>
      <c r="B5491" s="2" t="s">
        <v>697</v>
      </c>
      <c r="C5491" s="2">
        <v>732.87519999999995</v>
      </c>
      <c r="D5491" s="2">
        <f>HYPERLINK("http://mcb-m6.bioreg.kyushu-u.ac.jp/M3/20110429/F51154/1956/1", 64.49)</f>
        <v>64.489999999999995</v>
      </c>
      <c r="E5491" s="2">
        <v>40.950000000000003</v>
      </c>
      <c r="F5491" s="2">
        <v>2</v>
      </c>
      <c r="G5491" s="2" t="s">
        <v>13</v>
      </c>
    </row>
    <row r="5492" spans="1:7" x14ac:dyDescent="0.2">
      <c r="A5492" s="2" t="s">
        <v>3267</v>
      </c>
      <c r="B5492" s="2" t="s">
        <v>562</v>
      </c>
      <c r="C5492" s="2">
        <v>964.68880000000001</v>
      </c>
      <c r="D5492" s="2">
        <f>HYPERLINK("http://mcb-m6.bioreg.kyushu-u.ac.jp/M3/20110429/F51153/4579/1", 65.2)</f>
        <v>65.2</v>
      </c>
      <c r="E5492" s="2">
        <v>58.29</v>
      </c>
      <c r="F5492" s="2">
        <v>3</v>
      </c>
      <c r="G5492" s="2" t="s">
        <v>13</v>
      </c>
    </row>
    <row r="5493" spans="1:7" x14ac:dyDescent="0.2">
      <c r="A5493" s="2" t="s">
        <v>3267</v>
      </c>
      <c r="B5493" s="2" t="s">
        <v>491</v>
      </c>
      <c r="C5493" s="2">
        <v>766.59270000000004</v>
      </c>
      <c r="D5493" s="2">
        <f>HYPERLINK("http://mcb-m6.bioreg.kyushu-u.ac.jp/M3/20110502/F51164/1852/1", 65.21)</f>
        <v>65.209999999999994</v>
      </c>
      <c r="E5493" s="2">
        <v>45.01</v>
      </c>
      <c r="F5493" s="2">
        <v>2</v>
      </c>
      <c r="G5493" s="2" t="s">
        <v>13</v>
      </c>
    </row>
    <row r="5494" spans="1:7" x14ac:dyDescent="0.2">
      <c r="A5494" s="2" t="s">
        <v>3267</v>
      </c>
      <c r="B5494" s="2" t="s">
        <v>491</v>
      </c>
      <c r="C5494" s="2">
        <v>766.86109999999996</v>
      </c>
      <c r="D5494" s="2">
        <f>HYPERLINK("http://mcb-m6.bioreg.kyushu-u.ac.jp/M3/20110429/F51153/2184/1", 65.52)</f>
        <v>65.52</v>
      </c>
      <c r="E5494" s="2">
        <v>51.13</v>
      </c>
      <c r="F5494" s="2">
        <v>2</v>
      </c>
      <c r="G5494" s="2" t="s">
        <v>13</v>
      </c>
    </row>
    <row r="5495" spans="1:7" x14ac:dyDescent="0.2">
      <c r="A5495" s="2" t="s">
        <v>3267</v>
      </c>
      <c r="B5495" s="2" t="s">
        <v>2906</v>
      </c>
      <c r="C5495" s="2">
        <v>500.24459999999999</v>
      </c>
      <c r="D5495" s="2">
        <f>HYPERLINK("http://mcb-m6.bioreg.kyushu-u.ac.jp/M3/20110429/F51153/599/1", 67.63)</f>
        <v>67.63</v>
      </c>
      <c r="E5495" s="2">
        <v>43.54</v>
      </c>
      <c r="F5495" s="2">
        <v>2</v>
      </c>
      <c r="G5495" s="2" t="s">
        <v>13</v>
      </c>
    </row>
    <row r="5496" spans="1:7" x14ac:dyDescent="0.2">
      <c r="A5496" s="2" t="s">
        <v>3267</v>
      </c>
      <c r="B5496" s="2" t="s">
        <v>1923</v>
      </c>
      <c r="C5496" s="2">
        <v>545.23360000000002</v>
      </c>
      <c r="D5496" s="2">
        <f>HYPERLINK("http://mcb-m6.bioreg.kyushu-u.ac.jp/M3/20110429/F51153/855/1", 68.09)</f>
        <v>68.09</v>
      </c>
      <c r="E5496" s="2">
        <v>36.880000000000003</v>
      </c>
      <c r="F5496" s="2">
        <v>2</v>
      </c>
      <c r="G5496" s="2" t="s">
        <v>13</v>
      </c>
    </row>
    <row r="5497" spans="1:7" x14ac:dyDescent="0.2">
      <c r="A5497" s="2" t="s">
        <v>3267</v>
      </c>
      <c r="B5497" s="2" t="s">
        <v>562</v>
      </c>
      <c r="C5497" s="2">
        <v>1447.0150000000001</v>
      </c>
      <c r="D5497" s="2">
        <f>HYPERLINK("http://mcb-m6.bioreg.kyushu-u.ac.jp/M3/20110429/F51153/4580/1", 73.36)</f>
        <v>73.36</v>
      </c>
      <c r="E5497" s="2">
        <v>67.900000000000006</v>
      </c>
      <c r="F5497" s="2">
        <v>2</v>
      </c>
      <c r="G5497" s="2" t="s">
        <v>13</v>
      </c>
    </row>
    <row r="5498" spans="1:7" x14ac:dyDescent="0.2">
      <c r="A5498" s="2" t="s">
        <v>3267</v>
      </c>
      <c r="B5498" s="2" t="s">
        <v>562</v>
      </c>
      <c r="C5498" s="2">
        <v>964.91290000000004</v>
      </c>
      <c r="D5498" s="2">
        <f>HYPERLINK("http://mcb-m6.bioreg.kyushu-u.ac.jp/M3/20110429/F51154/4055/1", 74.04)</f>
        <v>74.040000000000006</v>
      </c>
      <c r="E5498" s="2">
        <v>66.89</v>
      </c>
      <c r="F5498" s="2">
        <v>3</v>
      </c>
      <c r="G5498" s="2" t="s">
        <v>13</v>
      </c>
    </row>
    <row r="5499" spans="1:7" x14ac:dyDescent="0.2">
      <c r="A5499" s="2" t="s">
        <v>3267</v>
      </c>
      <c r="B5499" s="2" t="s">
        <v>2952</v>
      </c>
      <c r="C5499" s="2">
        <v>670.71510000000001</v>
      </c>
      <c r="D5499" s="2">
        <f>HYPERLINK("http://mcb-m6.bioreg.kyushu-u.ac.jp/M3/20110429/F51153/1484/1", 75.43)</f>
        <v>75.430000000000007</v>
      </c>
      <c r="E5499" s="2">
        <v>56.72</v>
      </c>
      <c r="F5499" s="2">
        <v>2</v>
      </c>
      <c r="G5499" s="2" t="s">
        <v>13</v>
      </c>
    </row>
    <row r="5500" spans="1:7" x14ac:dyDescent="0.2">
      <c r="A5500" s="2" t="s">
        <v>3267</v>
      </c>
      <c r="B5500" s="2" t="s">
        <v>491</v>
      </c>
      <c r="C5500" s="2">
        <v>1531.636</v>
      </c>
      <c r="D5500" s="2">
        <f>HYPERLINK("http://mcb-m6.bioreg.kyushu-u.ac.jp/M3/20110429/F51153/2169/1", 75.98)</f>
        <v>75.98</v>
      </c>
      <c r="E5500" s="2">
        <v>64.67</v>
      </c>
      <c r="F5500" s="2">
        <v>1</v>
      </c>
      <c r="G5500" s="2" t="s">
        <v>13</v>
      </c>
    </row>
    <row r="5501" spans="1:7" x14ac:dyDescent="0.2">
      <c r="A5501" s="2" t="s">
        <v>3267</v>
      </c>
      <c r="B5501" s="2" t="s">
        <v>1923</v>
      </c>
      <c r="C5501" s="2">
        <v>544.72059999999999</v>
      </c>
      <c r="D5501" s="2">
        <f>HYPERLINK("http://mcb-m6.bioreg.kyushu-u.ac.jp/M3/20110429/F51153/853/1", 76.63)</f>
        <v>76.63</v>
      </c>
      <c r="E5501" s="2">
        <v>39.130000000000003</v>
      </c>
      <c r="F5501" s="2">
        <v>2</v>
      </c>
      <c r="G5501" s="2" t="s">
        <v>13</v>
      </c>
    </row>
    <row r="5502" spans="1:7" x14ac:dyDescent="0.2">
      <c r="A5502" s="2" t="s">
        <v>3267</v>
      </c>
      <c r="B5502" s="2" t="s">
        <v>491</v>
      </c>
      <c r="C5502" s="2">
        <v>766.45119999999997</v>
      </c>
      <c r="D5502" s="2">
        <f>HYPERLINK("http://mcb-m6.bioreg.kyushu-u.ac.jp/M3/20110429/F51157/1877/1", 77.33)</f>
        <v>77.33</v>
      </c>
      <c r="E5502" s="2">
        <v>60.25</v>
      </c>
      <c r="F5502" s="2">
        <v>2</v>
      </c>
      <c r="G5502" s="2" t="s">
        <v>13</v>
      </c>
    </row>
    <row r="5503" spans="1:7" x14ac:dyDescent="0.2">
      <c r="A5503" s="2" t="s">
        <v>3267</v>
      </c>
      <c r="B5503" s="2" t="s">
        <v>602</v>
      </c>
      <c r="C5503" s="2">
        <v>742.32460000000003</v>
      </c>
      <c r="D5503" s="2">
        <f>HYPERLINK("http://mcb-m6.bioreg.kyushu-u.ac.jp/M3/20110429/F51155/2224/1", 77.91)</f>
        <v>77.91</v>
      </c>
      <c r="E5503" s="2">
        <v>62.3</v>
      </c>
      <c r="F5503" s="2">
        <v>2</v>
      </c>
      <c r="G5503" s="2" t="s">
        <v>13</v>
      </c>
    </row>
    <row r="5504" spans="1:7" x14ac:dyDescent="0.2">
      <c r="A5504" s="2" t="s">
        <v>3267</v>
      </c>
      <c r="B5504" s="2" t="s">
        <v>1640</v>
      </c>
      <c r="C5504" s="2">
        <v>864.43960000000004</v>
      </c>
      <c r="D5504" s="2">
        <f>HYPERLINK("http://mcb-m6.bioreg.kyushu-u.ac.jp/M3/20110429/F51153/2890/1", 78.18)</f>
        <v>78.180000000000007</v>
      </c>
      <c r="E5504" s="2">
        <v>63.06</v>
      </c>
      <c r="F5504" s="2">
        <v>2</v>
      </c>
      <c r="G5504" s="2" t="s">
        <v>13</v>
      </c>
    </row>
    <row r="5505" spans="1:9" x14ac:dyDescent="0.2">
      <c r="A5505" s="2" t="s">
        <v>3267</v>
      </c>
      <c r="B5505" s="2" t="s">
        <v>491</v>
      </c>
      <c r="C5505" s="2">
        <v>766.36109999999996</v>
      </c>
      <c r="D5505" s="2">
        <f>HYPERLINK("http://mcb-m6.bioreg.kyushu-u.ac.jp/M3/20110429/F51153/2172/1", 79.05)</f>
        <v>79.05</v>
      </c>
      <c r="E5505" s="2">
        <v>65.45</v>
      </c>
      <c r="F5505" s="2">
        <v>2</v>
      </c>
      <c r="G5505" s="2" t="s">
        <v>13</v>
      </c>
    </row>
    <row r="5506" spans="1:9" x14ac:dyDescent="0.2">
      <c r="A5506" s="2" t="s">
        <v>3267</v>
      </c>
      <c r="B5506" s="2" t="s">
        <v>491</v>
      </c>
      <c r="C5506" s="2">
        <v>766.60059999999999</v>
      </c>
      <c r="D5506" s="2">
        <f>HYPERLINK("http://mcb-m6.bioreg.kyushu-u.ac.jp/M3/20110502/F51158/2030/1", 85.17)</f>
        <v>85.17</v>
      </c>
      <c r="E5506" s="2">
        <v>59.93</v>
      </c>
      <c r="F5506" s="2">
        <v>2</v>
      </c>
      <c r="G5506" s="2" t="s">
        <v>13</v>
      </c>
    </row>
    <row r="5507" spans="1:9" x14ac:dyDescent="0.2">
      <c r="A5507" s="2" t="s">
        <v>3267</v>
      </c>
      <c r="B5507" s="2" t="s">
        <v>480</v>
      </c>
      <c r="C5507" s="2">
        <v>1035.0889999999999</v>
      </c>
      <c r="D5507" s="2">
        <f>HYPERLINK("http://mcb-m6.bioreg.kyushu-u.ac.jp/M3/20110429/F51154/4098/1", 86.76)</f>
        <v>86.76</v>
      </c>
      <c r="E5507" s="2">
        <v>81.23</v>
      </c>
      <c r="F5507" s="2">
        <v>3</v>
      </c>
      <c r="G5507" s="2" t="s">
        <v>13</v>
      </c>
    </row>
    <row r="5508" spans="1:9" x14ac:dyDescent="0.2">
      <c r="A5508" s="2" t="s">
        <v>3267</v>
      </c>
      <c r="B5508" s="2" t="s">
        <v>1606</v>
      </c>
      <c r="C5508" s="2">
        <v>862.35360000000003</v>
      </c>
      <c r="D5508" s="2">
        <f>HYPERLINK("http://mcb-m6.bioreg.kyushu-u.ac.jp/M3/20110429/F51153/2873/1", 87.86)</f>
        <v>87.86</v>
      </c>
      <c r="E5508" s="2">
        <v>79.599999999999994</v>
      </c>
      <c r="F5508" s="2">
        <v>2</v>
      </c>
      <c r="G5508" s="2" t="s">
        <v>13</v>
      </c>
    </row>
    <row r="5509" spans="1:9" x14ac:dyDescent="0.2">
      <c r="A5509" s="2" t="s">
        <v>3267</v>
      </c>
      <c r="B5509" s="2" t="s">
        <v>480</v>
      </c>
      <c r="C5509" s="2">
        <v>1034.94</v>
      </c>
      <c r="D5509" s="2">
        <f>HYPERLINK("http://mcb-m6.bioreg.kyushu-u.ac.jp/M3/20110429/F51153/4640/1", 94.48)</f>
        <v>94.48</v>
      </c>
      <c r="E5509" s="2">
        <v>87.41</v>
      </c>
      <c r="F5509" s="2">
        <v>3</v>
      </c>
      <c r="G5509" s="2" t="s">
        <v>13</v>
      </c>
    </row>
    <row r="5510" spans="1:9" x14ac:dyDescent="0.2">
      <c r="A5510" s="2" t="s">
        <v>3267</v>
      </c>
      <c r="B5510" s="2" t="s">
        <v>1353</v>
      </c>
      <c r="C5510" s="2">
        <v>825.94460000000004</v>
      </c>
      <c r="D5510" s="2">
        <f>HYPERLINK("http://mcb-m6.bioreg.kyushu-u.ac.jp/M3/20110429/F51157/2143/1", 94.7)</f>
        <v>94.7</v>
      </c>
      <c r="E5510" s="2">
        <v>75.349999999999994</v>
      </c>
      <c r="F5510" s="2">
        <v>2</v>
      </c>
      <c r="G5510" s="2" t="s">
        <v>13</v>
      </c>
    </row>
    <row r="5511" spans="1:9" x14ac:dyDescent="0.2">
      <c r="A5511" s="2" t="s">
        <v>3267</v>
      </c>
      <c r="B5511" s="2" t="s">
        <v>2506</v>
      </c>
      <c r="C5511" s="2">
        <v>1045.5920000000001</v>
      </c>
      <c r="D5511" s="2">
        <f>HYPERLINK("http://mcb-m6.bioreg.kyushu-u.ac.jp/M3/20110429/F51153/3650/1", 97.32)</f>
        <v>97.32</v>
      </c>
      <c r="E5511" s="2">
        <v>73.13</v>
      </c>
      <c r="F5511" s="2">
        <v>2</v>
      </c>
      <c r="G5511" s="2" t="s">
        <v>13</v>
      </c>
      <c r="I5511" s="2" t="s">
        <v>4966</v>
      </c>
    </row>
    <row r="5512" spans="1:9" x14ac:dyDescent="0.2">
      <c r="A5512" s="2" t="s">
        <v>3267</v>
      </c>
      <c r="B5512" s="2" t="s">
        <v>602</v>
      </c>
      <c r="C5512" s="2">
        <v>742.3116</v>
      </c>
      <c r="D5512" s="2">
        <f>HYPERLINK("http://mcb-m6.bioreg.kyushu-u.ac.jp/M3/20110429/F51154/2018/1", 100.02)</f>
        <v>100.02</v>
      </c>
      <c r="E5512" s="2">
        <v>84.75</v>
      </c>
      <c r="F5512" s="2">
        <v>2</v>
      </c>
      <c r="G5512" s="2" t="s">
        <v>13</v>
      </c>
    </row>
    <row r="5513" spans="1:9" x14ac:dyDescent="0.2">
      <c r="A5513" s="2" t="s">
        <v>3267</v>
      </c>
      <c r="B5513" s="2" t="s">
        <v>1353</v>
      </c>
      <c r="C5513" s="2">
        <v>825.31209999999999</v>
      </c>
      <c r="D5513" s="2">
        <f>HYPERLINK("http://mcb-m6.bioreg.kyushu-u.ac.jp/M3/20110429/F51153/2634/1", 101.11)</f>
        <v>101.11</v>
      </c>
      <c r="E5513" s="2">
        <v>69.13</v>
      </c>
      <c r="F5513" s="2">
        <v>2</v>
      </c>
      <c r="G5513" s="2" t="s">
        <v>13</v>
      </c>
    </row>
    <row r="5514" spans="1:9" x14ac:dyDescent="0.2">
      <c r="A5514" s="2" t="s">
        <v>3267</v>
      </c>
      <c r="B5514" s="2" t="s">
        <v>1606</v>
      </c>
      <c r="C5514" s="2">
        <v>862.31370000000004</v>
      </c>
      <c r="D5514" s="2">
        <f>HYPERLINK("http://mcb-m6.bioreg.kyushu-u.ac.jp/M3/20110429/F51153/2872/1", 102.79)</f>
        <v>102.79</v>
      </c>
      <c r="E5514" s="2">
        <v>93.8</v>
      </c>
      <c r="F5514" s="2">
        <v>2</v>
      </c>
      <c r="G5514" s="2" t="s">
        <v>13</v>
      </c>
    </row>
    <row r="5515" spans="1:9" x14ac:dyDescent="0.2">
      <c r="A5515" s="2" t="s">
        <v>3267</v>
      </c>
      <c r="B5515" s="2" t="s">
        <v>602</v>
      </c>
      <c r="C5515" s="2">
        <v>742.86320000000001</v>
      </c>
      <c r="D5515" s="2">
        <f>HYPERLINK("http://mcb-m6.bioreg.kyushu-u.ac.jp/M3/20110429/F51154/2023/1", 105.15)</f>
        <v>105.15</v>
      </c>
      <c r="E5515" s="2">
        <v>90.7</v>
      </c>
      <c r="F5515" s="2">
        <v>2</v>
      </c>
      <c r="G5515" s="2" t="s">
        <v>13</v>
      </c>
    </row>
    <row r="5516" spans="1:9" x14ac:dyDescent="0.2">
      <c r="A5516" s="2" t="s">
        <v>3267</v>
      </c>
      <c r="B5516" s="2" t="s">
        <v>1640</v>
      </c>
      <c r="C5516" s="2">
        <v>863.92520000000002</v>
      </c>
      <c r="D5516" s="2">
        <f>HYPERLINK("http://mcb-m6.bioreg.kyushu-u.ac.jp/M3/20110429/F51153/2888/1", 113.52)</f>
        <v>113.52</v>
      </c>
      <c r="E5516" s="2">
        <v>99.36</v>
      </c>
      <c r="F5516" s="2">
        <v>2</v>
      </c>
      <c r="G5516" s="2" t="s">
        <v>13</v>
      </c>
    </row>
    <row r="5517" spans="1:9" x14ac:dyDescent="0.2">
      <c r="A5517" s="2" t="s">
        <v>3267</v>
      </c>
      <c r="B5517" s="2" t="s">
        <v>1666</v>
      </c>
      <c r="C5517" s="2">
        <v>1473.4960000000001</v>
      </c>
      <c r="D5517" s="2">
        <f>HYPERLINK("http://mcb-m6.bioreg.kyushu-u.ac.jp/M3/20110429/F51153/4595/1", 115.22)</f>
        <v>115.22</v>
      </c>
      <c r="E5517" s="2">
        <v>99.25</v>
      </c>
      <c r="F5517" s="2">
        <v>2</v>
      </c>
      <c r="G5517" s="2" t="s">
        <v>13</v>
      </c>
    </row>
    <row r="5518" spans="1:9" x14ac:dyDescent="0.2">
      <c r="A5518" s="2" t="s">
        <v>3267</v>
      </c>
      <c r="B5518" s="2" t="s">
        <v>1666</v>
      </c>
      <c r="C5518" s="2">
        <v>1474.009</v>
      </c>
      <c r="D5518" s="2">
        <f>HYPERLINK("http://mcb-m6.bioreg.kyushu-u.ac.jp/M3/20110429/F51153/4598/1", 117.83)</f>
        <v>117.83</v>
      </c>
      <c r="E5518" s="2">
        <v>105.67</v>
      </c>
      <c r="F5518" s="2">
        <v>2</v>
      </c>
      <c r="G5518" s="2" t="s">
        <v>13</v>
      </c>
    </row>
    <row r="5519" spans="1:9" x14ac:dyDescent="0.2">
      <c r="A5519" s="2" t="s">
        <v>3267</v>
      </c>
      <c r="B5519" s="2" t="s">
        <v>602</v>
      </c>
      <c r="C5519" s="2">
        <v>742.30970000000002</v>
      </c>
      <c r="D5519" s="2">
        <f>HYPERLINK("http://mcb-m6.bioreg.kyushu-u.ac.jp/M3/20110429/F51153/1980/1", 151.76)</f>
        <v>151.76</v>
      </c>
      <c r="E5519" s="2">
        <v>138.77000000000001</v>
      </c>
      <c r="F5519" s="2">
        <v>2</v>
      </c>
      <c r="G5519" s="2" t="s">
        <v>13</v>
      </c>
    </row>
    <row r="5520" spans="1:9" x14ac:dyDescent="0.2">
      <c r="A5520" s="2" t="s">
        <v>3267</v>
      </c>
      <c r="B5520" s="2" t="s">
        <v>491</v>
      </c>
      <c r="C5520" s="2">
        <v>765.89869999999996</v>
      </c>
      <c r="D5520" s="2">
        <f>HYPERLINK("http://mcb-m6.bioreg.kyushu-u.ac.jp/M3/20110428/F51142/2213/1", 35)</f>
        <v>35</v>
      </c>
      <c r="E5520" s="2">
        <v>20.079999999999998</v>
      </c>
      <c r="F5520" s="2">
        <v>2</v>
      </c>
      <c r="G5520" s="2" t="s">
        <v>14</v>
      </c>
    </row>
    <row r="5521" spans="1:8" x14ac:dyDescent="0.2">
      <c r="A5521" s="2" t="s">
        <v>3267</v>
      </c>
      <c r="B5521" s="2" t="s">
        <v>223</v>
      </c>
      <c r="C5521" s="2">
        <v>783.01210000000003</v>
      </c>
      <c r="D5521" s="2">
        <f>HYPERLINK("http://mcb-m6.bioreg.kyushu-u.ac.jp/M3/20110428/F51143/2305/1", 35.06)</f>
        <v>35.06</v>
      </c>
      <c r="E5521" s="2">
        <v>16.91</v>
      </c>
      <c r="F5521" s="2">
        <v>2</v>
      </c>
      <c r="G5521" s="2" t="s">
        <v>14</v>
      </c>
    </row>
    <row r="5522" spans="1:8" x14ac:dyDescent="0.2">
      <c r="A5522" s="2" t="s">
        <v>3267</v>
      </c>
      <c r="B5522" s="2" t="s">
        <v>433</v>
      </c>
      <c r="C5522" s="2">
        <v>819.02970000000005</v>
      </c>
      <c r="D5522" s="2">
        <f>HYPERLINK("http://mcb-m6.bioreg.kyushu-u.ac.jp/M3/20110428/F51142/2600/1", 35.95)</f>
        <v>35.950000000000003</v>
      </c>
      <c r="E5522" s="2">
        <v>19.25</v>
      </c>
      <c r="F5522" s="2">
        <v>2</v>
      </c>
      <c r="G5522" s="2" t="s">
        <v>14</v>
      </c>
    </row>
    <row r="5523" spans="1:8" x14ac:dyDescent="0.2">
      <c r="A5523" s="2" t="s">
        <v>3267</v>
      </c>
      <c r="B5523" s="2" t="s">
        <v>568</v>
      </c>
      <c r="C5523" s="2">
        <v>836.48800000000006</v>
      </c>
      <c r="D5523" s="2">
        <f>HYPERLINK("http://mcb-m6.bioreg.kyushu-u.ac.jp/M3/20110428/F51142/549/1", 36.16)</f>
        <v>36.159999999999997</v>
      </c>
      <c r="E5523" s="2">
        <v>22.45</v>
      </c>
      <c r="F5523" s="2">
        <v>1</v>
      </c>
      <c r="G5523" s="2" t="s">
        <v>14</v>
      </c>
    </row>
    <row r="5524" spans="1:8" x14ac:dyDescent="0.2">
      <c r="A5524" s="2" t="s">
        <v>3267</v>
      </c>
      <c r="B5524" s="2" t="s">
        <v>433</v>
      </c>
      <c r="C5524" s="2">
        <v>819.4606</v>
      </c>
      <c r="D5524" s="2">
        <f>HYPERLINK("http://mcb-m6.bioreg.kyushu-u.ac.jp/M3/20110428/F51142/2603/1", 36.65)</f>
        <v>36.65</v>
      </c>
      <c r="E5524" s="2">
        <v>23.44</v>
      </c>
      <c r="F5524" s="2">
        <v>2</v>
      </c>
      <c r="G5524" s="2" t="s">
        <v>14</v>
      </c>
    </row>
    <row r="5525" spans="1:8" x14ac:dyDescent="0.2">
      <c r="A5525" s="2" t="s">
        <v>3267</v>
      </c>
      <c r="B5525" s="2" t="s">
        <v>491</v>
      </c>
      <c r="C5525" s="2">
        <v>766.43409999999994</v>
      </c>
      <c r="D5525" s="2">
        <f>HYPERLINK("http://mcb-m6.bioreg.kyushu-u.ac.jp/M3/20110428/F51144/2351/1", 37.26)</f>
        <v>37.26</v>
      </c>
      <c r="E5525" s="2">
        <v>16.86</v>
      </c>
      <c r="F5525" s="2">
        <v>2</v>
      </c>
      <c r="G5525" s="2" t="s">
        <v>14</v>
      </c>
    </row>
    <row r="5526" spans="1:8" x14ac:dyDescent="0.2">
      <c r="A5526" s="2" t="s">
        <v>3267</v>
      </c>
      <c r="B5526" s="2" t="s">
        <v>3018</v>
      </c>
      <c r="C5526" s="2">
        <v>520.95119999999997</v>
      </c>
      <c r="D5526" s="2">
        <f>HYPERLINK("http://mcb-m6.bioreg.kyushu-u.ac.jp/M3/20110428/F51143/1049/1", 37.73)</f>
        <v>37.729999999999997</v>
      </c>
      <c r="E5526" s="2">
        <v>10.46</v>
      </c>
      <c r="F5526" s="2">
        <v>2</v>
      </c>
      <c r="G5526" s="2" t="s">
        <v>14</v>
      </c>
    </row>
    <row r="5527" spans="1:8" x14ac:dyDescent="0.2">
      <c r="A5527" s="2" t="s">
        <v>3267</v>
      </c>
      <c r="B5527" s="2" t="s">
        <v>562</v>
      </c>
      <c r="C5527" s="2">
        <v>965.03679999999997</v>
      </c>
      <c r="D5527" s="2">
        <f>HYPERLINK("http://mcb-m6.bioreg.kyushu-u.ac.jp/M3/20110428/F51144/3907/1", 38.26)</f>
        <v>38.26</v>
      </c>
      <c r="E5527" s="2">
        <v>30.86</v>
      </c>
      <c r="F5527" s="2">
        <v>3</v>
      </c>
      <c r="G5527" s="2" t="s">
        <v>14</v>
      </c>
    </row>
    <row r="5528" spans="1:8" x14ac:dyDescent="0.2">
      <c r="A5528" s="2" t="s">
        <v>3267</v>
      </c>
      <c r="B5528" s="2" t="s">
        <v>697</v>
      </c>
      <c r="C5528" s="2">
        <v>733.27509999999995</v>
      </c>
      <c r="D5528" s="2">
        <f>HYPERLINK("http://mcb-m6.bioreg.kyushu-u.ac.jp/M3/20110428/F51142/1990/1", 38.31)</f>
        <v>38.31</v>
      </c>
      <c r="E5528" s="2">
        <v>21.31</v>
      </c>
      <c r="F5528" s="2">
        <v>2</v>
      </c>
      <c r="G5528" s="2" t="s">
        <v>14</v>
      </c>
    </row>
    <row r="5529" spans="1:8" x14ac:dyDescent="0.2">
      <c r="A5529" s="2" t="s">
        <v>3267</v>
      </c>
      <c r="B5529" s="2" t="s">
        <v>47</v>
      </c>
      <c r="C5529" s="2">
        <v>548.98360000000002</v>
      </c>
      <c r="D5529" s="2">
        <f>HYPERLINK("http://mcb-m6.bioreg.kyushu-u.ac.jp/M3/20110428/F51143/1201/1", 38.33)</f>
        <v>38.33</v>
      </c>
      <c r="E5529" s="2">
        <v>15.66</v>
      </c>
      <c r="F5529" s="2">
        <v>2</v>
      </c>
      <c r="G5529" s="2" t="s">
        <v>14</v>
      </c>
      <c r="H5529" s="2" t="s">
        <v>4904</v>
      </c>
    </row>
    <row r="5530" spans="1:8" x14ac:dyDescent="0.2">
      <c r="A5530" s="2" t="s">
        <v>3267</v>
      </c>
      <c r="B5530" s="2" t="s">
        <v>3018</v>
      </c>
      <c r="C5530" s="2">
        <v>521.4117</v>
      </c>
      <c r="D5530" s="2">
        <f>HYPERLINK("http://mcb-m6.bioreg.kyushu-u.ac.jp/M3/20110428/F51142/938/1", 38.45)</f>
        <v>38.450000000000003</v>
      </c>
      <c r="E5530" s="2">
        <v>12.58</v>
      </c>
      <c r="F5530" s="2">
        <v>2</v>
      </c>
      <c r="G5530" s="2" t="s">
        <v>14</v>
      </c>
    </row>
    <row r="5531" spans="1:8" x14ac:dyDescent="0.2">
      <c r="A5531" s="2" t="s">
        <v>3267</v>
      </c>
      <c r="B5531" s="2" t="s">
        <v>97</v>
      </c>
      <c r="C5531" s="2">
        <v>669.03309999999999</v>
      </c>
      <c r="D5531" s="2">
        <f>HYPERLINK("http://mcb-m6.bioreg.kyushu-u.ac.jp/M3/20110502/F51162/1541/1", 38.52)</f>
        <v>38.520000000000003</v>
      </c>
      <c r="E5531" s="2">
        <v>19.670000000000002</v>
      </c>
      <c r="F5531" s="2">
        <v>2</v>
      </c>
      <c r="G5531" s="2" t="s">
        <v>14</v>
      </c>
    </row>
    <row r="5532" spans="1:8" x14ac:dyDescent="0.2">
      <c r="A5532" s="2" t="s">
        <v>3267</v>
      </c>
      <c r="B5532" s="2" t="s">
        <v>433</v>
      </c>
      <c r="C5532" s="2">
        <v>819.76459999999997</v>
      </c>
      <c r="D5532" s="2">
        <f>HYPERLINK("http://mcb-m6.bioreg.kyushu-u.ac.jp/M3/20110428/F51143/2486/1", 39.97)</f>
        <v>39.97</v>
      </c>
      <c r="E5532" s="2">
        <v>27.39</v>
      </c>
      <c r="F5532" s="2">
        <v>2</v>
      </c>
      <c r="G5532" s="2" t="s">
        <v>14</v>
      </c>
    </row>
    <row r="5533" spans="1:8" x14ac:dyDescent="0.2">
      <c r="A5533" s="2" t="s">
        <v>3267</v>
      </c>
      <c r="B5533" s="2" t="s">
        <v>223</v>
      </c>
      <c r="C5533" s="2">
        <v>783.00160000000005</v>
      </c>
      <c r="D5533" s="2">
        <f>HYPERLINK("http://mcb-m6.bioreg.kyushu-u.ac.jp/M3/20110428/F51142/2354/1", 39.99)</f>
        <v>39.99</v>
      </c>
      <c r="E5533" s="2">
        <v>19.149999999999999</v>
      </c>
      <c r="F5533" s="2">
        <v>2</v>
      </c>
      <c r="G5533" s="2" t="s">
        <v>14</v>
      </c>
    </row>
    <row r="5534" spans="1:8" x14ac:dyDescent="0.2">
      <c r="A5534" s="2" t="s">
        <v>3267</v>
      </c>
      <c r="B5534" s="2" t="s">
        <v>147</v>
      </c>
      <c r="C5534" s="2">
        <v>829.67700000000002</v>
      </c>
      <c r="D5534" s="2">
        <f>HYPERLINK("http://mcb-m6.bioreg.kyushu-u.ac.jp/M3/20110428/F51142/546/1", 40.08)</f>
        <v>40.08</v>
      </c>
      <c r="E5534" s="2">
        <v>16.010000000000002</v>
      </c>
      <c r="F5534" s="2">
        <v>1</v>
      </c>
      <c r="G5534" s="2" t="s">
        <v>14</v>
      </c>
    </row>
    <row r="5535" spans="1:8" x14ac:dyDescent="0.2">
      <c r="A5535" s="2" t="s">
        <v>3267</v>
      </c>
      <c r="B5535" s="2" t="s">
        <v>97</v>
      </c>
      <c r="C5535" s="2">
        <v>668.86220000000003</v>
      </c>
      <c r="D5535" s="2">
        <f>HYPERLINK("http://mcb-m6.bioreg.kyushu-u.ac.jp/M3/20110428/F51142/1634/1", 41.13)</f>
        <v>41.13</v>
      </c>
      <c r="E5535" s="2">
        <v>19.649999999999999</v>
      </c>
      <c r="F5535" s="2">
        <v>2</v>
      </c>
      <c r="G5535" s="2" t="s">
        <v>14</v>
      </c>
    </row>
    <row r="5536" spans="1:8" x14ac:dyDescent="0.2">
      <c r="A5536" s="2" t="s">
        <v>3267</v>
      </c>
      <c r="B5536" s="2" t="s">
        <v>562</v>
      </c>
      <c r="C5536" s="2">
        <v>965.11490000000003</v>
      </c>
      <c r="D5536" s="2">
        <f>HYPERLINK("http://mcb-m6.bioreg.kyushu-u.ac.jp/M3/20110428/F51142/4198/1", 41.57)</f>
        <v>41.57</v>
      </c>
      <c r="E5536" s="2">
        <v>32.07</v>
      </c>
      <c r="F5536" s="2">
        <v>3</v>
      </c>
      <c r="G5536" s="2" t="s">
        <v>14</v>
      </c>
    </row>
    <row r="5537" spans="1:8" x14ac:dyDescent="0.2">
      <c r="A5537" s="2" t="s">
        <v>3267</v>
      </c>
      <c r="B5537" s="2" t="s">
        <v>433</v>
      </c>
      <c r="C5537" s="2">
        <v>546.70280000000002</v>
      </c>
      <c r="D5537" s="2">
        <f>HYPERLINK("http://mcb-m6.bioreg.kyushu-u.ac.jp/M3/20110428/F51142/2611/1", 41.73)</f>
        <v>41.73</v>
      </c>
      <c r="E5537" s="2">
        <v>11.2</v>
      </c>
      <c r="F5537" s="2">
        <v>3</v>
      </c>
      <c r="G5537" s="2" t="s">
        <v>14</v>
      </c>
    </row>
    <row r="5538" spans="1:8" x14ac:dyDescent="0.2">
      <c r="A5538" s="2" t="s">
        <v>3267</v>
      </c>
      <c r="B5538" s="2" t="s">
        <v>491</v>
      </c>
      <c r="C5538" s="2">
        <v>766.38120000000004</v>
      </c>
      <c r="D5538" s="2">
        <f>HYPERLINK("http://mcb-m6.bioreg.kyushu-u.ac.jp/M3/20110428/F51141/2084/1", 41.81)</f>
        <v>41.81</v>
      </c>
      <c r="E5538" s="2">
        <v>23.11</v>
      </c>
      <c r="F5538" s="2">
        <v>2</v>
      </c>
      <c r="G5538" s="2" t="s">
        <v>14</v>
      </c>
    </row>
    <row r="5539" spans="1:8" x14ac:dyDescent="0.2">
      <c r="A5539" s="2" t="s">
        <v>3267</v>
      </c>
      <c r="B5539" s="2" t="s">
        <v>697</v>
      </c>
      <c r="C5539" s="2">
        <v>732.90769999999998</v>
      </c>
      <c r="D5539" s="2">
        <f>HYPERLINK("http://mcb-m6.bioreg.kyushu-u.ac.jp/M3/20110428/F51141/1867/1", 42.32)</f>
        <v>42.32</v>
      </c>
      <c r="E5539" s="2">
        <v>21.05</v>
      </c>
      <c r="F5539" s="2">
        <v>2</v>
      </c>
      <c r="G5539" s="2" t="s">
        <v>14</v>
      </c>
    </row>
    <row r="5540" spans="1:8" x14ac:dyDescent="0.2">
      <c r="A5540" s="2" t="s">
        <v>3267</v>
      </c>
      <c r="B5540" s="2" t="s">
        <v>433</v>
      </c>
      <c r="C5540" s="2">
        <v>818.97810000000004</v>
      </c>
      <c r="D5540" s="2">
        <f>HYPERLINK("http://mcb-m6.bioreg.kyushu-u.ac.jp/M3/20110428/F51142/2598/1", 42.55)</f>
        <v>42.55</v>
      </c>
      <c r="E5540" s="2">
        <v>23.03</v>
      </c>
      <c r="F5540" s="2">
        <v>2</v>
      </c>
      <c r="G5540" s="2" t="s">
        <v>14</v>
      </c>
    </row>
    <row r="5541" spans="1:8" x14ac:dyDescent="0.2">
      <c r="A5541" s="2" t="s">
        <v>3267</v>
      </c>
      <c r="B5541" s="2" t="s">
        <v>47</v>
      </c>
      <c r="C5541" s="2">
        <v>557.39620000000002</v>
      </c>
      <c r="D5541" s="2">
        <f>HYPERLINK("http://mcb-m6.bioreg.kyushu-u.ac.jp/M3/20110428/F51142/1166/1", 42.7)</f>
        <v>42.7</v>
      </c>
      <c r="E5541" s="2">
        <v>20.89</v>
      </c>
      <c r="F5541" s="2">
        <v>2</v>
      </c>
      <c r="G5541" s="2" t="s">
        <v>14</v>
      </c>
    </row>
    <row r="5542" spans="1:8" x14ac:dyDescent="0.2">
      <c r="A5542" s="2" t="s">
        <v>3267</v>
      </c>
      <c r="B5542" s="2" t="s">
        <v>433</v>
      </c>
      <c r="C5542" s="2">
        <v>819.54269999999997</v>
      </c>
      <c r="D5542" s="2">
        <f>HYPERLINK("http://mcb-m6.bioreg.kyushu-u.ac.jp/M3/20110428/F51142/2609/1", 44.12)</f>
        <v>44.12</v>
      </c>
      <c r="E5542" s="2">
        <v>25.35</v>
      </c>
      <c r="F5542" s="2">
        <v>2</v>
      </c>
      <c r="G5542" s="2" t="s">
        <v>14</v>
      </c>
    </row>
    <row r="5543" spans="1:8" x14ac:dyDescent="0.2">
      <c r="A5543" s="2" t="s">
        <v>3267</v>
      </c>
      <c r="B5543" s="2" t="s">
        <v>433</v>
      </c>
      <c r="C5543" s="2">
        <v>819.7722</v>
      </c>
      <c r="D5543" s="2">
        <f>HYPERLINK("http://mcb-m6.bioreg.kyushu-u.ac.jp/M3/20110428/F51142/2616/1", 44.24)</f>
        <v>44.24</v>
      </c>
      <c r="E5543" s="2">
        <v>26.87</v>
      </c>
      <c r="F5543" s="2">
        <v>2</v>
      </c>
      <c r="G5543" s="2" t="s">
        <v>14</v>
      </c>
    </row>
    <row r="5544" spans="1:8" x14ac:dyDescent="0.2">
      <c r="A5544" s="2" t="s">
        <v>3267</v>
      </c>
      <c r="B5544" s="2" t="s">
        <v>491</v>
      </c>
      <c r="C5544" s="2">
        <v>766.5222</v>
      </c>
      <c r="D5544" s="2">
        <f>HYPERLINK("http://mcb-m6.bioreg.kyushu-u.ac.jp/M3/20110428/F51143/2217/1", 45.09)</f>
        <v>45.09</v>
      </c>
      <c r="E5544" s="2">
        <v>19.61</v>
      </c>
      <c r="F5544" s="2">
        <v>2</v>
      </c>
      <c r="G5544" s="2" t="s">
        <v>14</v>
      </c>
    </row>
    <row r="5545" spans="1:8" x14ac:dyDescent="0.2">
      <c r="A5545" s="2" t="s">
        <v>3267</v>
      </c>
      <c r="B5545" s="2" t="s">
        <v>697</v>
      </c>
      <c r="C5545" s="2">
        <v>733.43119999999999</v>
      </c>
      <c r="D5545" s="2">
        <f>HYPERLINK("http://mcb-m6.bioreg.kyushu-u.ac.jp/M3/20110428/F51143/2043/1", 45.22)</f>
        <v>45.22</v>
      </c>
      <c r="E5545" s="2">
        <v>21.27</v>
      </c>
      <c r="F5545" s="2">
        <v>2</v>
      </c>
      <c r="G5545" s="2" t="s">
        <v>14</v>
      </c>
    </row>
    <row r="5546" spans="1:8" x14ac:dyDescent="0.2">
      <c r="A5546" s="2" t="s">
        <v>3267</v>
      </c>
      <c r="B5546" s="2" t="s">
        <v>97</v>
      </c>
      <c r="C5546" s="2">
        <v>668.90869999999995</v>
      </c>
      <c r="D5546" s="2">
        <f>HYPERLINK("http://mcb-m6.bioreg.kyushu-u.ac.jp/M3/20110428/F51140/1562/1", 45.32)</f>
        <v>45.32</v>
      </c>
      <c r="E5546" s="2">
        <v>25.12</v>
      </c>
      <c r="F5546" s="2">
        <v>2</v>
      </c>
      <c r="G5546" s="2" t="s">
        <v>14</v>
      </c>
    </row>
    <row r="5547" spans="1:8" x14ac:dyDescent="0.2">
      <c r="A5547" s="2" t="s">
        <v>3267</v>
      </c>
      <c r="B5547" s="2" t="s">
        <v>697</v>
      </c>
      <c r="C5547" s="2">
        <v>733.43409999999994</v>
      </c>
      <c r="D5547" s="2">
        <f>HYPERLINK("http://mcb-m6.bioreg.kyushu-u.ac.jp/M3/20110428/F51142/1993/1", 45.63)</f>
        <v>45.63</v>
      </c>
      <c r="E5547" s="2">
        <v>25.71</v>
      </c>
      <c r="F5547" s="2">
        <v>2</v>
      </c>
      <c r="G5547" s="2" t="s">
        <v>14</v>
      </c>
    </row>
    <row r="5548" spans="1:8" x14ac:dyDescent="0.2">
      <c r="A5548" s="2" t="s">
        <v>3267</v>
      </c>
      <c r="B5548" s="2" t="s">
        <v>97</v>
      </c>
      <c r="C5548" s="2">
        <v>669.3492</v>
      </c>
      <c r="D5548" s="2">
        <f>HYPERLINK("http://mcb-m6.bioreg.kyushu-u.ac.jp/M3/20110428/F51143/1722/1", 45.71)</f>
        <v>45.71</v>
      </c>
      <c r="E5548" s="2">
        <v>26.79</v>
      </c>
      <c r="F5548" s="2">
        <v>2</v>
      </c>
      <c r="G5548" s="2" t="s">
        <v>14</v>
      </c>
    </row>
    <row r="5549" spans="1:8" x14ac:dyDescent="0.2">
      <c r="A5549" s="2" t="s">
        <v>3267</v>
      </c>
      <c r="B5549" s="2" t="s">
        <v>1606</v>
      </c>
      <c r="C5549" s="2">
        <v>575.4085</v>
      </c>
      <c r="D5549" s="2">
        <f>HYPERLINK("http://mcb-m6.bioreg.kyushu-u.ac.jp/M3/20110428/F51142/2878/1", 46.72)</f>
        <v>46.72</v>
      </c>
      <c r="E5549" s="2">
        <v>27.53</v>
      </c>
      <c r="F5549" s="2">
        <v>3</v>
      </c>
      <c r="G5549" s="2" t="s">
        <v>14</v>
      </c>
    </row>
    <row r="5550" spans="1:8" x14ac:dyDescent="0.2">
      <c r="A5550" s="2" t="s">
        <v>3267</v>
      </c>
      <c r="B5550" s="2" t="s">
        <v>47</v>
      </c>
      <c r="C5550" s="2">
        <v>548.99369999999999</v>
      </c>
      <c r="D5550" s="2">
        <f>HYPERLINK("http://mcb-m6.bioreg.kyushu-u.ac.jp/M3/20110502/F51162/1147/1", 46.85)</f>
        <v>46.85</v>
      </c>
      <c r="E5550" s="2">
        <v>26.69</v>
      </c>
      <c r="F5550" s="2">
        <v>2</v>
      </c>
      <c r="G5550" s="2" t="s">
        <v>14</v>
      </c>
      <c r="H5550" s="2" t="s">
        <v>4904</v>
      </c>
    </row>
    <row r="5551" spans="1:8" x14ac:dyDescent="0.2">
      <c r="A5551" s="2" t="s">
        <v>3267</v>
      </c>
      <c r="B5551" s="2" t="s">
        <v>480</v>
      </c>
      <c r="C5551" s="2">
        <v>1551.903</v>
      </c>
      <c r="D5551" s="2">
        <f>HYPERLINK("http://mcb-m6.bioreg.kyushu-u.ac.jp/M3/20110428/F51142/4242/1", 46.89)</f>
        <v>46.89</v>
      </c>
      <c r="E5551" s="2">
        <v>37.630000000000003</v>
      </c>
      <c r="F5551" s="2">
        <v>2</v>
      </c>
      <c r="G5551" s="2" t="s">
        <v>14</v>
      </c>
    </row>
    <row r="5552" spans="1:8" x14ac:dyDescent="0.2">
      <c r="A5552" s="2" t="s">
        <v>3267</v>
      </c>
      <c r="B5552" s="2" t="s">
        <v>433</v>
      </c>
      <c r="C5552" s="2">
        <v>546.92520000000002</v>
      </c>
      <c r="D5552" s="2">
        <f>HYPERLINK("http://mcb-m6.bioreg.kyushu-u.ac.jp/M3/20110428/F51142/2617/1", 47.95)</f>
        <v>47.95</v>
      </c>
      <c r="E5552" s="2">
        <v>28.55</v>
      </c>
      <c r="F5552" s="2">
        <v>3</v>
      </c>
      <c r="G5552" s="2" t="s">
        <v>14</v>
      </c>
    </row>
    <row r="5553" spans="1:9" x14ac:dyDescent="0.2">
      <c r="A5553" s="2" t="s">
        <v>3267</v>
      </c>
      <c r="B5553" s="2" t="s">
        <v>433</v>
      </c>
      <c r="C5553" s="2">
        <v>819.46969999999999</v>
      </c>
      <c r="D5553" s="2">
        <f>HYPERLINK("http://mcb-m6.bioreg.kyushu-u.ac.jp/M3/20110428/F51143/2484/1", 48.23)</f>
        <v>48.23</v>
      </c>
      <c r="E5553" s="2">
        <v>33.590000000000003</v>
      </c>
      <c r="F5553" s="2">
        <v>2</v>
      </c>
      <c r="G5553" s="2" t="s">
        <v>14</v>
      </c>
    </row>
    <row r="5554" spans="1:9" x14ac:dyDescent="0.2">
      <c r="A5554" s="2" t="s">
        <v>3267</v>
      </c>
      <c r="B5554" s="2" t="s">
        <v>433</v>
      </c>
      <c r="C5554" s="2">
        <v>819.54520000000002</v>
      </c>
      <c r="D5554" s="2">
        <f>HYPERLINK("http://mcb-m6.bioreg.kyushu-u.ac.jp/M3/20110428/F51142/2610/1", 49.15)</f>
        <v>49.15</v>
      </c>
      <c r="E5554" s="2">
        <v>36.909999999999997</v>
      </c>
      <c r="F5554" s="2">
        <v>2</v>
      </c>
      <c r="G5554" s="2" t="s">
        <v>14</v>
      </c>
    </row>
    <row r="5555" spans="1:9" x14ac:dyDescent="0.2">
      <c r="A5555" s="2" t="s">
        <v>3267</v>
      </c>
      <c r="B5555" s="2" t="s">
        <v>697</v>
      </c>
      <c r="C5555" s="2">
        <v>733.44320000000005</v>
      </c>
      <c r="D5555" s="2">
        <f>HYPERLINK("http://mcb-m6.bioreg.kyushu-u.ac.jp/M3/20110428/F51142/1994/1", 49.22)</f>
        <v>49.22</v>
      </c>
      <c r="E5555" s="2">
        <v>19.37</v>
      </c>
      <c r="F5555" s="2">
        <v>2</v>
      </c>
      <c r="G5555" s="2" t="s">
        <v>14</v>
      </c>
    </row>
    <row r="5556" spans="1:9" x14ac:dyDescent="0.2">
      <c r="A5556" s="2" t="s">
        <v>3267</v>
      </c>
      <c r="B5556" s="2" t="s">
        <v>697</v>
      </c>
      <c r="C5556" s="2">
        <v>732.95010000000002</v>
      </c>
      <c r="D5556" s="2">
        <f>HYPERLINK("http://mcb-m6.bioreg.kyushu-u.ac.jp/M3/20110428/F51142/1986/1", 49.25)</f>
        <v>49.25</v>
      </c>
      <c r="E5556" s="2">
        <v>22.18</v>
      </c>
      <c r="F5556" s="2">
        <v>2</v>
      </c>
      <c r="G5556" s="2" t="s">
        <v>14</v>
      </c>
    </row>
    <row r="5557" spans="1:9" x14ac:dyDescent="0.2">
      <c r="A5557" s="2" t="s">
        <v>3267</v>
      </c>
      <c r="B5557" s="2" t="s">
        <v>491</v>
      </c>
      <c r="C5557" s="2">
        <v>766.55160000000001</v>
      </c>
      <c r="D5557" s="2">
        <f>HYPERLINK("http://mcb-m6.bioreg.kyushu-u.ac.jp/M3/20110428/F51142/2229/1", 49.27)</f>
        <v>49.27</v>
      </c>
      <c r="E5557" s="2">
        <v>37.380000000000003</v>
      </c>
      <c r="F5557" s="2">
        <v>2</v>
      </c>
      <c r="G5557" s="2" t="s">
        <v>14</v>
      </c>
    </row>
    <row r="5558" spans="1:9" x14ac:dyDescent="0.2">
      <c r="A5558" s="2" t="s">
        <v>3267</v>
      </c>
      <c r="B5558" s="2" t="s">
        <v>433</v>
      </c>
      <c r="C5558" s="2">
        <v>546.92550000000006</v>
      </c>
      <c r="D5558" s="2">
        <f>HYPERLINK("http://mcb-m6.bioreg.kyushu-u.ac.jp/M3/20110428/F51143/2488/1", 49.89)</f>
        <v>49.89</v>
      </c>
      <c r="E5558" s="2">
        <v>25.7</v>
      </c>
      <c r="F5558" s="2">
        <v>3</v>
      </c>
      <c r="G5558" s="2" t="s">
        <v>14</v>
      </c>
    </row>
    <row r="5559" spans="1:9" x14ac:dyDescent="0.2">
      <c r="A5559" s="2" t="s">
        <v>3267</v>
      </c>
      <c r="B5559" s="2" t="s">
        <v>491</v>
      </c>
      <c r="C5559" s="2">
        <v>766.3116</v>
      </c>
      <c r="D5559" s="2">
        <f>HYPERLINK("http://mcb-m6.bioreg.kyushu-u.ac.jp/M3/20110428/F51143/2209/1", 50.1)</f>
        <v>50.1</v>
      </c>
      <c r="E5559" s="2">
        <v>35.65</v>
      </c>
      <c r="F5559" s="2">
        <v>2</v>
      </c>
      <c r="G5559" s="2" t="s">
        <v>14</v>
      </c>
    </row>
    <row r="5560" spans="1:9" x14ac:dyDescent="0.2">
      <c r="A5560" s="2" t="s">
        <v>3267</v>
      </c>
      <c r="B5560" s="2" t="s">
        <v>491</v>
      </c>
      <c r="C5560" s="2">
        <v>766.65920000000006</v>
      </c>
      <c r="D5560" s="2">
        <f>HYPERLINK("http://mcb-m6.bioreg.kyushu-u.ac.jp/M3/20110428/F51144/2357/1", 50.84)</f>
        <v>50.84</v>
      </c>
      <c r="E5560" s="2">
        <v>33.020000000000003</v>
      </c>
      <c r="F5560" s="2">
        <v>2</v>
      </c>
      <c r="G5560" s="2" t="s">
        <v>14</v>
      </c>
    </row>
    <row r="5561" spans="1:9" x14ac:dyDescent="0.2">
      <c r="A5561" s="2" t="s">
        <v>3267</v>
      </c>
      <c r="B5561" s="2" t="s">
        <v>491</v>
      </c>
      <c r="C5561" s="2">
        <v>766.4606</v>
      </c>
      <c r="D5561" s="2">
        <f>HYPERLINK("http://mcb-m6.bioreg.kyushu-u.ac.jp/M3/20110428/F51144/2354/1", 51.16)</f>
        <v>51.16</v>
      </c>
      <c r="E5561" s="2">
        <v>36.72</v>
      </c>
      <c r="F5561" s="2">
        <v>2</v>
      </c>
      <c r="G5561" s="2" t="s">
        <v>14</v>
      </c>
    </row>
    <row r="5562" spans="1:9" x14ac:dyDescent="0.2">
      <c r="A5562" s="2" t="s">
        <v>3267</v>
      </c>
      <c r="B5562" s="2" t="s">
        <v>433</v>
      </c>
      <c r="C5562" s="2">
        <v>819.56119999999999</v>
      </c>
      <c r="D5562" s="2">
        <f>HYPERLINK("http://mcb-m6.bioreg.kyushu-u.ac.jp/M3/20110428/F51142/2612/1", 51.41)</f>
        <v>51.41</v>
      </c>
      <c r="E5562" s="2">
        <v>39.21</v>
      </c>
      <c r="F5562" s="2">
        <v>2</v>
      </c>
      <c r="G5562" s="2" t="s">
        <v>14</v>
      </c>
    </row>
    <row r="5563" spans="1:9" x14ac:dyDescent="0.2">
      <c r="A5563" s="2" t="s">
        <v>3267</v>
      </c>
      <c r="B5563" s="2" t="s">
        <v>697</v>
      </c>
      <c r="C5563" s="2">
        <v>732.92070000000001</v>
      </c>
      <c r="D5563" s="2">
        <f>HYPERLINK("http://mcb-m6.bioreg.kyushu-u.ac.jp/M3/20110428/F51142/1985/1", 51.61)</f>
        <v>51.61</v>
      </c>
      <c r="E5563" s="2">
        <v>31.65</v>
      </c>
      <c r="F5563" s="2">
        <v>2</v>
      </c>
      <c r="G5563" s="2" t="s">
        <v>14</v>
      </c>
    </row>
    <row r="5564" spans="1:9" x14ac:dyDescent="0.2">
      <c r="A5564" s="2" t="s">
        <v>3267</v>
      </c>
      <c r="B5564" s="2" t="s">
        <v>602</v>
      </c>
      <c r="C5564" s="2">
        <v>1483.8309999999999</v>
      </c>
      <c r="D5564" s="2">
        <f>HYPERLINK("http://mcb-m6.bioreg.kyushu-u.ac.jp/M3/20110428/F51142/2056/1", 51.96)</f>
        <v>51.96</v>
      </c>
      <c r="E5564" s="2">
        <v>41.59</v>
      </c>
      <c r="F5564" s="2">
        <v>1</v>
      </c>
      <c r="G5564" s="2" t="s">
        <v>14</v>
      </c>
    </row>
    <row r="5565" spans="1:9" x14ac:dyDescent="0.2">
      <c r="A5565" s="2" t="s">
        <v>3267</v>
      </c>
      <c r="B5565" s="2" t="s">
        <v>433</v>
      </c>
      <c r="C5565" s="2">
        <v>819.52620000000002</v>
      </c>
      <c r="D5565" s="2">
        <f>HYPERLINK("http://mcb-m6.bioreg.kyushu-u.ac.jp/M3/20110428/F51142/2608/1", 52.68)</f>
        <v>52.68</v>
      </c>
      <c r="E5565" s="2">
        <v>41.18</v>
      </c>
      <c r="F5565" s="2">
        <v>2</v>
      </c>
      <c r="G5565" s="2" t="s">
        <v>14</v>
      </c>
    </row>
    <row r="5566" spans="1:9" x14ac:dyDescent="0.2">
      <c r="A5566" s="2" t="s">
        <v>3267</v>
      </c>
      <c r="B5566" s="2" t="s">
        <v>491</v>
      </c>
      <c r="C5566" s="2">
        <v>766.85360000000003</v>
      </c>
      <c r="D5566" s="2">
        <f>HYPERLINK("http://mcb-m6.bioreg.kyushu-u.ac.jp/M3/20110428/F51142/2234/1", 53.6)</f>
        <v>53.6</v>
      </c>
      <c r="E5566" s="2">
        <v>32.72</v>
      </c>
      <c r="F5566" s="2">
        <v>2</v>
      </c>
      <c r="G5566" s="2" t="s">
        <v>14</v>
      </c>
    </row>
    <row r="5567" spans="1:9" x14ac:dyDescent="0.2">
      <c r="A5567" s="2" t="s">
        <v>3267</v>
      </c>
      <c r="B5567" s="2" t="s">
        <v>491</v>
      </c>
      <c r="C5567" s="2">
        <v>766.44569999999999</v>
      </c>
      <c r="D5567" s="2">
        <f>HYPERLINK("http://mcb-m6.bioreg.kyushu-u.ac.jp/M3/20110428/F51142/2219/1", 54.02)</f>
        <v>54.02</v>
      </c>
      <c r="E5567" s="2">
        <v>41.63</v>
      </c>
      <c r="F5567" s="2">
        <v>2</v>
      </c>
      <c r="G5567" s="2" t="s">
        <v>14</v>
      </c>
    </row>
    <row r="5568" spans="1:9" x14ac:dyDescent="0.2">
      <c r="A5568" s="2" t="s">
        <v>3267</v>
      </c>
      <c r="B5568" s="2" t="s">
        <v>2506</v>
      </c>
      <c r="C5568" s="2">
        <v>1045.29</v>
      </c>
      <c r="D5568" s="2">
        <f>HYPERLINK("http://mcb-m6.bioreg.kyushu-u.ac.jp/M3/20110428/F51142/3489/1", 54.15)</f>
        <v>54.15</v>
      </c>
      <c r="E5568" s="2">
        <v>43.88</v>
      </c>
      <c r="F5568" s="2">
        <v>2</v>
      </c>
      <c r="G5568" s="2" t="s">
        <v>14</v>
      </c>
      <c r="I5568" s="2" t="s">
        <v>4966</v>
      </c>
    </row>
    <row r="5569" spans="1:9" x14ac:dyDescent="0.2">
      <c r="A5569" s="2" t="s">
        <v>3267</v>
      </c>
      <c r="B5569" s="2" t="s">
        <v>491</v>
      </c>
      <c r="C5569" s="2">
        <v>766.60770000000002</v>
      </c>
      <c r="D5569" s="2">
        <f>HYPERLINK("http://mcb-m6.bioreg.kyushu-u.ac.jp/M3/20110502/F51162/2025/1", 54.24)</f>
        <v>54.24</v>
      </c>
      <c r="E5569" s="2">
        <v>33.159999999999997</v>
      </c>
      <c r="F5569" s="2">
        <v>2</v>
      </c>
      <c r="G5569" s="2" t="s">
        <v>14</v>
      </c>
    </row>
    <row r="5570" spans="1:9" x14ac:dyDescent="0.2">
      <c r="A5570" s="2" t="s">
        <v>3267</v>
      </c>
      <c r="B5570" s="2" t="s">
        <v>491</v>
      </c>
      <c r="C5570" s="2">
        <v>766.47310000000004</v>
      </c>
      <c r="D5570" s="2">
        <f>HYPERLINK("http://mcb-m6.bioreg.kyushu-u.ac.jp/M3/20110428/F51142/2221/1", 54.79)</f>
        <v>54.79</v>
      </c>
      <c r="E5570" s="2">
        <v>34.479999999999997</v>
      </c>
      <c r="F5570" s="2">
        <v>2</v>
      </c>
      <c r="G5570" s="2" t="s">
        <v>14</v>
      </c>
    </row>
    <row r="5571" spans="1:9" x14ac:dyDescent="0.2">
      <c r="A5571" s="2" t="s">
        <v>3267</v>
      </c>
      <c r="B5571" s="2" t="s">
        <v>491</v>
      </c>
      <c r="C5571" s="2">
        <v>766.48820000000001</v>
      </c>
      <c r="D5571" s="2">
        <f>HYPERLINK("http://mcb-m6.bioreg.kyushu-u.ac.jp/M3/20110428/F51142/2224/1", 54.98)</f>
        <v>54.98</v>
      </c>
      <c r="E5571" s="2">
        <v>34.49</v>
      </c>
      <c r="F5571" s="2">
        <v>2</v>
      </c>
      <c r="G5571" s="2" t="s">
        <v>14</v>
      </c>
    </row>
    <row r="5572" spans="1:9" x14ac:dyDescent="0.2">
      <c r="A5572" s="2" t="s">
        <v>3267</v>
      </c>
      <c r="B5572" s="2" t="s">
        <v>1923</v>
      </c>
      <c r="C5572" s="2">
        <v>545.11519999999996</v>
      </c>
      <c r="D5572" s="2">
        <f>HYPERLINK("http://mcb-m6.bioreg.kyushu-u.ac.jp/M3/20110428/F51142/1090/1", 55.29)</f>
        <v>55.29</v>
      </c>
      <c r="E5572" s="2">
        <v>30.51</v>
      </c>
      <c r="F5572" s="2">
        <v>2</v>
      </c>
      <c r="G5572" s="2" t="s">
        <v>14</v>
      </c>
    </row>
    <row r="5573" spans="1:9" x14ac:dyDescent="0.2">
      <c r="A5573" s="2" t="s">
        <v>3267</v>
      </c>
      <c r="B5573" s="2" t="s">
        <v>491</v>
      </c>
      <c r="C5573" s="2">
        <v>766.57169999999996</v>
      </c>
      <c r="D5573" s="2">
        <f>HYPERLINK("http://mcb-m6.bioreg.kyushu-u.ac.jp/M3/20110428/F51143/2220/1", 55.43)</f>
        <v>55.43</v>
      </c>
      <c r="E5573" s="2">
        <v>37.18</v>
      </c>
      <c r="F5573" s="2">
        <v>2</v>
      </c>
      <c r="G5573" s="2" t="s">
        <v>14</v>
      </c>
    </row>
    <row r="5574" spans="1:9" x14ac:dyDescent="0.2">
      <c r="A5574" s="2" t="s">
        <v>3267</v>
      </c>
      <c r="B5574" s="2" t="s">
        <v>602</v>
      </c>
      <c r="C5574" s="2">
        <v>742.82759999999996</v>
      </c>
      <c r="D5574" s="2">
        <f>HYPERLINK("http://mcb-m6.bioreg.kyushu-u.ac.jp/M3/20110428/F51141/1937/1", 56.4)</f>
        <v>56.4</v>
      </c>
      <c r="E5574" s="2">
        <v>42.47</v>
      </c>
      <c r="F5574" s="2">
        <v>2</v>
      </c>
      <c r="G5574" s="2" t="s">
        <v>14</v>
      </c>
    </row>
    <row r="5575" spans="1:9" x14ac:dyDescent="0.2">
      <c r="A5575" s="2" t="s">
        <v>3267</v>
      </c>
      <c r="B5575" s="2" t="s">
        <v>433</v>
      </c>
      <c r="C5575" s="2">
        <v>819.5027</v>
      </c>
      <c r="D5575" s="2">
        <f>HYPERLINK("http://mcb-m6.bioreg.kyushu-u.ac.jp/M3/20110428/F51141/2419/1", 56.55)</f>
        <v>56.55</v>
      </c>
      <c r="E5575" s="2">
        <v>44.96</v>
      </c>
      <c r="F5575" s="2">
        <v>2</v>
      </c>
      <c r="G5575" s="2" t="s">
        <v>14</v>
      </c>
    </row>
    <row r="5576" spans="1:9" x14ac:dyDescent="0.2">
      <c r="A5576" s="2" t="s">
        <v>3267</v>
      </c>
      <c r="B5576" s="2" t="s">
        <v>1606</v>
      </c>
      <c r="C5576" s="2">
        <v>862.3202</v>
      </c>
      <c r="D5576" s="2">
        <f>HYPERLINK("http://mcb-m6.bioreg.kyushu-u.ac.jp/M3/20110428/F51142/2870/1", 57.3)</f>
        <v>57.3</v>
      </c>
      <c r="E5576" s="2">
        <v>51.65</v>
      </c>
      <c r="F5576" s="2">
        <v>2</v>
      </c>
      <c r="G5576" s="2" t="s">
        <v>14</v>
      </c>
    </row>
    <row r="5577" spans="1:9" x14ac:dyDescent="0.2">
      <c r="A5577" s="2" t="s">
        <v>3267</v>
      </c>
      <c r="B5577" s="2" t="s">
        <v>47</v>
      </c>
      <c r="C5577" s="2">
        <v>549.29269999999997</v>
      </c>
      <c r="D5577" s="2">
        <f>HYPERLINK("http://mcb-m6.bioreg.kyushu-u.ac.jp/M3/20110428/F51141/908/1", 57.44)</f>
        <v>57.44</v>
      </c>
      <c r="E5577" s="2">
        <v>34.229999999999997</v>
      </c>
      <c r="F5577" s="2">
        <v>2</v>
      </c>
      <c r="G5577" s="2" t="s">
        <v>14</v>
      </c>
      <c r="H5577" s="2" t="s">
        <v>4904</v>
      </c>
    </row>
    <row r="5578" spans="1:9" x14ac:dyDescent="0.2">
      <c r="A5578" s="2" t="s">
        <v>3267</v>
      </c>
      <c r="B5578" s="2" t="s">
        <v>491</v>
      </c>
      <c r="C5578" s="2">
        <v>766.74469999999997</v>
      </c>
      <c r="D5578" s="2">
        <f>HYPERLINK("http://mcb-m6.bioreg.kyushu-u.ac.jp/M3/20110428/F51142/2231/1", 58.42)</f>
        <v>58.42</v>
      </c>
      <c r="E5578" s="2">
        <v>36.79</v>
      </c>
      <c r="F5578" s="2">
        <v>2</v>
      </c>
      <c r="G5578" s="2" t="s">
        <v>14</v>
      </c>
    </row>
    <row r="5579" spans="1:9" x14ac:dyDescent="0.2">
      <c r="A5579" s="2" t="s">
        <v>3267</v>
      </c>
      <c r="B5579" s="2" t="s">
        <v>491</v>
      </c>
      <c r="C5579" s="2">
        <v>766.51760000000002</v>
      </c>
      <c r="D5579" s="2">
        <f>HYPERLINK("http://mcb-m6.bioreg.kyushu-u.ac.jp/M3/20110428/F51142/2226/1", 58.88)</f>
        <v>58.88</v>
      </c>
      <c r="E5579" s="2">
        <v>36.299999999999997</v>
      </c>
      <c r="F5579" s="2">
        <v>2</v>
      </c>
      <c r="G5579" s="2" t="s">
        <v>14</v>
      </c>
    </row>
    <row r="5580" spans="1:9" x14ac:dyDescent="0.2">
      <c r="A5580" s="2" t="s">
        <v>3267</v>
      </c>
      <c r="B5580" s="2" t="s">
        <v>491</v>
      </c>
      <c r="C5580" s="2">
        <v>766.47019999999998</v>
      </c>
      <c r="D5580" s="2">
        <f>HYPERLINK("http://mcb-m6.bioreg.kyushu-u.ac.jp/M3/20110428/F51142/2220/1", 58.91)</f>
        <v>58.91</v>
      </c>
      <c r="E5580" s="2">
        <v>36.71</v>
      </c>
      <c r="F5580" s="2">
        <v>2</v>
      </c>
      <c r="G5580" s="2" t="s">
        <v>14</v>
      </c>
    </row>
    <row r="5581" spans="1:9" x14ac:dyDescent="0.2">
      <c r="A5581" s="2" t="s">
        <v>3267</v>
      </c>
      <c r="B5581" s="2" t="s">
        <v>2506</v>
      </c>
      <c r="C5581" s="2">
        <v>1045.3030000000001</v>
      </c>
      <c r="D5581" s="2">
        <f>HYPERLINK("http://mcb-m6.bioreg.kyushu-u.ac.jp/M3/20110428/F51143/3246/1", 59.16)</f>
        <v>59.16</v>
      </c>
      <c r="E5581" s="2">
        <v>54.79</v>
      </c>
      <c r="F5581" s="2">
        <v>2</v>
      </c>
      <c r="G5581" s="2" t="s">
        <v>14</v>
      </c>
      <c r="I5581" s="2" t="s">
        <v>4966</v>
      </c>
    </row>
    <row r="5582" spans="1:9" x14ac:dyDescent="0.2">
      <c r="A5582" s="2" t="s">
        <v>3267</v>
      </c>
      <c r="B5582" s="2" t="s">
        <v>491</v>
      </c>
      <c r="C5582" s="2">
        <v>766.39419999999996</v>
      </c>
      <c r="D5582" s="2">
        <f>HYPERLINK("http://mcb-m6.bioreg.kyushu-u.ac.jp/M3/20110428/F51140/2144/1", 60.07)</f>
        <v>60.07</v>
      </c>
      <c r="E5582" s="2">
        <v>37.01</v>
      </c>
      <c r="F5582" s="2">
        <v>2</v>
      </c>
      <c r="G5582" s="2" t="s">
        <v>14</v>
      </c>
    </row>
    <row r="5583" spans="1:9" x14ac:dyDescent="0.2">
      <c r="A5583" s="2" t="s">
        <v>3267</v>
      </c>
      <c r="B5583" s="2" t="s">
        <v>97</v>
      </c>
      <c r="C5583" s="2">
        <v>668.82619999999997</v>
      </c>
      <c r="D5583" s="2">
        <f>HYPERLINK("http://mcb-m6.bioreg.kyushu-u.ac.jp/M3/20110428/F51143/1721/1", 60.49)</f>
        <v>60.49</v>
      </c>
      <c r="E5583" s="2">
        <v>42.07</v>
      </c>
      <c r="F5583" s="2">
        <v>2</v>
      </c>
      <c r="G5583" s="2" t="s">
        <v>14</v>
      </c>
    </row>
    <row r="5584" spans="1:9" x14ac:dyDescent="0.2">
      <c r="A5584" s="2" t="s">
        <v>3267</v>
      </c>
      <c r="B5584" s="2" t="s">
        <v>491</v>
      </c>
      <c r="C5584" s="2">
        <v>766.52470000000005</v>
      </c>
      <c r="D5584" s="2">
        <f>HYPERLINK("http://mcb-m6.bioreg.kyushu-u.ac.jp/M3/20110428/F51142/2227/1", 60.93)</f>
        <v>60.93</v>
      </c>
      <c r="E5584" s="2">
        <v>40.65</v>
      </c>
      <c r="F5584" s="2">
        <v>2</v>
      </c>
      <c r="G5584" s="2" t="s">
        <v>14</v>
      </c>
    </row>
    <row r="5585" spans="1:7" x14ac:dyDescent="0.2">
      <c r="A5585" s="2" t="s">
        <v>3267</v>
      </c>
      <c r="B5585" s="2" t="s">
        <v>2952</v>
      </c>
      <c r="C5585" s="2">
        <v>670.50570000000005</v>
      </c>
      <c r="D5585" s="2">
        <f>HYPERLINK("http://mcb-m6.bioreg.kyushu-u.ac.jp/M3/20110428/F51142/1643/1", 65.32)</f>
        <v>65.319999999999993</v>
      </c>
      <c r="E5585" s="2">
        <v>44.94</v>
      </c>
      <c r="F5585" s="2">
        <v>2</v>
      </c>
      <c r="G5585" s="2" t="s">
        <v>14</v>
      </c>
    </row>
    <row r="5586" spans="1:7" x14ac:dyDescent="0.2">
      <c r="A5586" s="2" t="s">
        <v>3267</v>
      </c>
      <c r="B5586" s="2" t="s">
        <v>491</v>
      </c>
      <c r="C5586" s="2">
        <v>766.59169999999995</v>
      </c>
      <c r="D5586" s="2">
        <f>HYPERLINK("http://mcb-m6.bioreg.kyushu-u.ac.jp/M3/20110502/F51159/2089/1", 65.56)</f>
        <v>65.56</v>
      </c>
      <c r="E5586" s="2">
        <v>42.97</v>
      </c>
      <c r="F5586" s="2">
        <v>2</v>
      </c>
      <c r="G5586" s="2" t="s">
        <v>14</v>
      </c>
    </row>
    <row r="5587" spans="1:7" x14ac:dyDescent="0.2">
      <c r="A5587" s="2" t="s">
        <v>3267</v>
      </c>
      <c r="B5587" s="2" t="s">
        <v>433</v>
      </c>
      <c r="C5587" s="2">
        <v>819.52620000000002</v>
      </c>
      <c r="D5587" s="2">
        <f>HYPERLINK("http://mcb-m6.bioreg.kyushu-u.ac.jp/M3/20110428/F51142/2607/1", 65.59)</f>
        <v>65.59</v>
      </c>
      <c r="E5587" s="2">
        <v>51.45</v>
      </c>
      <c r="F5587" s="2">
        <v>2</v>
      </c>
      <c r="G5587" s="2" t="s">
        <v>14</v>
      </c>
    </row>
    <row r="5588" spans="1:7" x14ac:dyDescent="0.2">
      <c r="A5588" s="2" t="s">
        <v>3267</v>
      </c>
      <c r="B5588" s="2" t="s">
        <v>491</v>
      </c>
      <c r="C5588" s="2">
        <v>767.01009999999997</v>
      </c>
      <c r="D5588" s="2">
        <f>HYPERLINK("http://mcb-m6.bioreg.kyushu-u.ac.jp/M3/20110428/F51141/2088/1", 66.35)</f>
        <v>66.349999999999994</v>
      </c>
      <c r="E5588" s="2">
        <v>53.49</v>
      </c>
      <c r="F5588" s="2">
        <v>2</v>
      </c>
      <c r="G5588" s="2" t="s">
        <v>14</v>
      </c>
    </row>
    <row r="5589" spans="1:7" x14ac:dyDescent="0.2">
      <c r="A5589" s="2" t="s">
        <v>3267</v>
      </c>
      <c r="B5589" s="2" t="s">
        <v>491</v>
      </c>
      <c r="C5589" s="2">
        <v>766.9316</v>
      </c>
      <c r="D5589" s="2">
        <f>HYPERLINK("http://mcb-m6.bioreg.kyushu-u.ac.jp/M3/20110428/F51142/2235/1", 66.41)</f>
        <v>66.41</v>
      </c>
      <c r="E5589" s="2">
        <v>47.18</v>
      </c>
      <c r="F5589" s="2">
        <v>2</v>
      </c>
      <c r="G5589" s="2" t="s">
        <v>14</v>
      </c>
    </row>
    <row r="5590" spans="1:7" x14ac:dyDescent="0.2">
      <c r="A5590" s="2" t="s">
        <v>3267</v>
      </c>
      <c r="B5590" s="2" t="s">
        <v>2906</v>
      </c>
      <c r="C5590" s="2">
        <v>500.15210000000002</v>
      </c>
      <c r="D5590" s="2">
        <f>HYPERLINK("http://mcb-m6.bioreg.kyushu-u.ac.jp/M3/20110428/F51142/829/1", 68.13)</f>
        <v>68.13</v>
      </c>
      <c r="E5590" s="2">
        <v>39.26</v>
      </c>
      <c r="F5590" s="2">
        <v>2</v>
      </c>
      <c r="G5590" s="2" t="s">
        <v>14</v>
      </c>
    </row>
    <row r="5591" spans="1:7" x14ac:dyDescent="0.2">
      <c r="A5591" s="2" t="s">
        <v>3267</v>
      </c>
      <c r="B5591" s="2" t="s">
        <v>491</v>
      </c>
      <c r="C5591" s="2">
        <v>766.98910000000001</v>
      </c>
      <c r="D5591" s="2">
        <f>HYPERLINK("http://mcb-m6.bioreg.kyushu-u.ac.jp/M3/20110428/F51142/2236/1", 71.4)</f>
        <v>71.400000000000006</v>
      </c>
      <c r="E5591" s="2">
        <v>56.45</v>
      </c>
      <c r="F5591" s="2">
        <v>2</v>
      </c>
      <c r="G5591" s="2" t="s">
        <v>14</v>
      </c>
    </row>
    <row r="5592" spans="1:7" x14ac:dyDescent="0.2">
      <c r="A5592" s="2" t="s">
        <v>3267</v>
      </c>
      <c r="B5592" s="2" t="s">
        <v>491</v>
      </c>
      <c r="C5592" s="2">
        <v>766.77070000000003</v>
      </c>
      <c r="D5592" s="2">
        <f>HYPERLINK("http://mcb-m6.bioreg.kyushu-u.ac.jp/M3/20110428/F51142/2233/1", 71.44)</f>
        <v>71.44</v>
      </c>
      <c r="E5592" s="2">
        <v>40.909999999999997</v>
      </c>
      <c r="F5592" s="2">
        <v>2</v>
      </c>
      <c r="G5592" s="2" t="s">
        <v>14</v>
      </c>
    </row>
    <row r="5593" spans="1:7" x14ac:dyDescent="0.2">
      <c r="A5593" s="2" t="s">
        <v>3267</v>
      </c>
      <c r="B5593" s="2" t="s">
        <v>562</v>
      </c>
      <c r="C5593" s="2">
        <v>964.89589999999998</v>
      </c>
      <c r="D5593" s="2">
        <f>HYPERLINK("http://mcb-m6.bioreg.kyushu-u.ac.jp/M3/20110428/F51142/4197/1", 72.54)</f>
        <v>72.540000000000006</v>
      </c>
      <c r="E5593" s="2">
        <v>65.23</v>
      </c>
      <c r="F5593" s="2">
        <v>3</v>
      </c>
      <c r="G5593" s="2" t="s">
        <v>14</v>
      </c>
    </row>
    <row r="5594" spans="1:7" x14ac:dyDescent="0.2">
      <c r="A5594" s="2" t="s">
        <v>3267</v>
      </c>
      <c r="B5594" s="2" t="s">
        <v>697</v>
      </c>
      <c r="C5594" s="2">
        <v>732.77560000000005</v>
      </c>
      <c r="D5594" s="2">
        <f>HYPERLINK("http://mcb-m6.bioreg.kyushu-u.ac.jp/M3/20110428/F51143/2039/1", 72.99)</f>
        <v>72.989999999999995</v>
      </c>
      <c r="E5594" s="2">
        <v>51.9</v>
      </c>
      <c r="F5594" s="2">
        <v>2</v>
      </c>
      <c r="G5594" s="2" t="s">
        <v>14</v>
      </c>
    </row>
    <row r="5595" spans="1:7" x14ac:dyDescent="0.2">
      <c r="A5595" s="2" t="s">
        <v>3267</v>
      </c>
      <c r="B5595" s="2" t="s">
        <v>491</v>
      </c>
      <c r="C5595" s="2">
        <v>766.45759999999996</v>
      </c>
      <c r="D5595" s="2">
        <f>HYPERLINK("http://mcb-m6.bioreg.kyushu-u.ac.jp/M3/20110428/F51141/2086/1", 74.78)</f>
        <v>74.78</v>
      </c>
      <c r="E5595" s="2">
        <v>53.31</v>
      </c>
      <c r="F5595" s="2">
        <v>2</v>
      </c>
      <c r="G5595" s="2" t="s">
        <v>14</v>
      </c>
    </row>
    <row r="5596" spans="1:7" x14ac:dyDescent="0.2">
      <c r="A5596" s="2" t="s">
        <v>3267</v>
      </c>
      <c r="B5596" s="2" t="s">
        <v>491</v>
      </c>
      <c r="C5596" s="2">
        <v>766.4742</v>
      </c>
      <c r="D5596" s="2">
        <f>HYPERLINK("http://mcb-m6.bioreg.kyushu-u.ac.jp/M3/20110428/F51143/2216/1", 75.25)</f>
        <v>75.25</v>
      </c>
      <c r="E5596" s="2">
        <v>53.56</v>
      </c>
      <c r="F5596" s="2">
        <v>2</v>
      </c>
      <c r="G5596" s="2" t="s">
        <v>14</v>
      </c>
    </row>
    <row r="5597" spans="1:7" x14ac:dyDescent="0.2">
      <c r="A5597" s="2" t="s">
        <v>3267</v>
      </c>
      <c r="B5597" s="2" t="s">
        <v>491</v>
      </c>
      <c r="C5597" s="2">
        <v>766.53520000000003</v>
      </c>
      <c r="D5597" s="2">
        <f>HYPERLINK("http://mcb-m6.bioreg.kyushu-u.ac.jp/M3/20110428/F51142/2228/1", 76.42)</f>
        <v>76.42</v>
      </c>
      <c r="E5597" s="2">
        <v>52.91</v>
      </c>
      <c r="F5597" s="2">
        <v>2</v>
      </c>
      <c r="G5597" s="2" t="s">
        <v>14</v>
      </c>
    </row>
    <row r="5598" spans="1:7" x14ac:dyDescent="0.2">
      <c r="A5598" s="2" t="s">
        <v>3267</v>
      </c>
      <c r="B5598" s="2" t="s">
        <v>491</v>
      </c>
      <c r="C5598" s="2">
        <v>766.75570000000005</v>
      </c>
      <c r="D5598" s="2">
        <f>HYPERLINK("http://mcb-m6.bioreg.kyushu-u.ac.jp/M3/20110428/F51142/2232/1", 77.54)</f>
        <v>77.540000000000006</v>
      </c>
      <c r="E5598" s="2">
        <v>57.96</v>
      </c>
      <c r="F5598" s="2">
        <v>2</v>
      </c>
      <c r="G5598" s="2" t="s">
        <v>14</v>
      </c>
    </row>
    <row r="5599" spans="1:7" x14ac:dyDescent="0.2">
      <c r="A5599" s="2" t="s">
        <v>3267</v>
      </c>
      <c r="B5599" s="2" t="s">
        <v>1606</v>
      </c>
      <c r="C5599" s="2">
        <v>862.47360000000003</v>
      </c>
      <c r="D5599" s="2">
        <f>HYPERLINK("http://mcb-m6.bioreg.kyushu-u.ac.jp/M3/20110428/F51142/2873/1", 80.05)</f>
        <v>80.05</v>
      </c>
      <c r="E5599" s="2">
        <v>70.930000000000007</v>
      </c>
      <c r="F5599" s="2">
        <v>2</v>
      </c>
      <c r="G5599" s="2" t="s">
        <v>14</v>
      </c>
    </row>
    <row r="5600" spans="1:7" x14ac:dyDescent="0.2">
      <c r="A5600" s="2" t="s">
        <v>3267</v>
      </c>
      <c r="B5600" s="2" t="s">
        <v>562</v>
      </c>
      <c r="C5600" s="2">
        <v>965.12149999999997</v>
      </c>
      <c r="D5600" s="2">
        <f>HYPERLINK("http://mcb-m6.bioreg.kyushu-u.ac.jp/M3/20110428/F51141/4413/1", 80.19)</f>
        <v>80.19</v>
      </c>
      <c r="E5600" s="2">
        <v>69.88</v>
      </c>
      <c r="F5600" s="2">
        <v>3</v>
      </c>
      <c r="G5600" s="2" t="s">
        <v>14</v>
      </c>
    </row>
    <row r="5601" spans="1:7" x14ac:dyDescent="0.2">
      <c r="A5601" s="2" t="s">
        <v>3267</v>
      </c>
      <c r="B5601" s="2" t="s">
        <v>491</v>
      </c>
      <c r="C5601" s="2">
        <v>766.66769999999997</v>
      </c>
      <c r="D5601" s="2">
        <f>HYPERLINK("http://mcb-m6.bioreg.kyushu-u.ac.jp/M3/20110502/F51161/2029/1", 80.61)</f>
        <v>80.61</v>
      </c>
      <c r="E5601" s="2">
        <v>64.83</v>
      </c>
      <c r="F5601" s="2">
        <v>2</v>
      </c>
      <c r="G5601" s="2" t="s">
        <v>14</v>
      </c>
    </row>
    <row r="5602" spans="1:7" x14ac:dyDescent="0.2">
      <c r="A5602" s="2" t="s">
        <v>3267</v>
      </c>
      <c r="B5602" s="2" t="s">
        <v>480</v>
      </c>
      <c r="C5602" s="2">
        <v>1035.05</v>
      </c>
      <c r="D5602" s="2">
        <f>HYPERLINK("http://mcb-m6.bioreg.kyushu-u.ac.jp/M3/20110428/F51141/4468/1", 80.94)</f>
        <v>80.94</v>
      </c>
      <c r="E5602" s="2">
        <v>69.08</v>
      </c>
      <c r="F5602" s="2">
        <v>3</v>
      </c>
      <c r="G5602" s="2" t="s">
        <v>14</v>
      </c>
    </row>
    <row r="5603" spans="1:7" x14ac:dyDescent="0.2">
      <c r="A5603" s="2" t="s">
        <v>3267</v>
      </c>
      <c r="B5603" s="2" t="s">
        <v>602</v>
      </c>
      <c r="C5603" s="2">
        <v>742.5652</v>
      </c>
      <c r="D5603" s="2">
        <f>HYPERLINK("http://mcb-m6.bioreg.kyushu-u.ac.jp/M3/20110428/F51145/2072/1", 82.57)</f>
        <v>82.57</v>
      </c>
      <c r="E5603" s="2">
        <v>67.510000000000005</v>
      </c>
      <c r="F5603" s="2">
        <v>2</v>
      </c>
      <c r="G5603" s="2" t="s">
        <v>14</v>
      </c>
    </row>
    <row r="5604" spans="1:7" x14ac:dyDescent="0.2">
      <c r="A5604" s="2" t="s">
        <v>3267</v>
      </c>
      <c r="B5604" s="2" t="s">
        <v>1606</v>
      </c>
      <c r="C5604" s="2">
        <v>862.45259999999996</v>
      </c>
      <c r="D5604" s="2">
        <f>HYPERLINK("http://mcb-m6.bioreg.kyushu-u.ac.jp/M3/20110428/F51142/2872/1", 83.15)</f>
        <v>83.15</v>
      </c>
      <c r="E5604" s="2">
        <v>68.86</v>
      </c>
      <c r="F5604" s="2">
        <v>2</v>
      </c>
      <c r="G5604" s="2" t="s">
        <v>14</v>
      </c>
    </row>
    <row r="5605" spans="1:7" x14ac:dyDescent="0.2">
      <c r="A5605" s="2" t="s">
        <v>3267</v>
      </c>
      <c r="B5605" s="2" t="s">
        <v>602</v>
      </c>
      <c r="C5605" s="2">
        <v>742.68709999999999</v>
      </c>
      <c r="D5605" s="2">
        <f>HYPERLINK("http://mcb-m6.bioreg.kyushu-u.ac.jp/M3/20110428/F51142/2062/1", 85.56)</f>
        <v>85.56</v>
      </c>
      <c r="E5605" s="2">
        <v>74.56</v>
      </c>
      <c r="F5605" s="2">
        <v>2</v>
      </c>
      <c r="G5605" s="2" t="s">
        <v>14</v>
      </c>
    </row>
    <row r="5606" spans="1:7" x14ac:dyDescent="0.2">
      <c r="A5606" s="2" t="s">
        <v>3267</v>
      </c>
      <c r="B5606" s="2" t="s">
        <v>1606</v>
      </c>
      <c r="C5606" s="2">
        <v>862.49659999999994</v>
      </c>
      <c r="D5606" s="2">
        <f>HYPERLINK("http://mcb-m6.bioreg.kyushu-u.ac.jp/M3/20110428/F51142/2876/1", 86.01)</f>
        <v>86.01</v>
      </c>
      <c r="E5606" s="2">
        <v>77.599999999999994</v>
      </c>
      <c r="F5606" s="2">
        <v>2</v>
      </c>
      <c r="G5606" s="2" t="s">
        <v>14</v>
      </c>
    </row>
    <row r="5607" spans="1:7" x14ac:dyDescent="0.2">
      <c r="A5607" s="2" t="s">
        <v>3267</v>
      </c>
      <c r="B5607" s="2" t="s">
        <v>2071</v>
      </c>
      <c r="C5607" s="2">
        <v>1164.6400000000001</v>
      </c>
      <c r="D5607" s="2">
        <f>HYPERLINK("http://mcb-m6.bioreg.kyushu-u.ac.jp/M3/20110428/F51142/3819/1", 86.32)</f>
        <v>86.32</v>
      </c>
      <c r="E5607" s="2">
        <v>72.510000000000005</v>
      </c>
      <c r="F5607" s="2">
        <v>2</v>
      </c>
      <c r="G5607" s="2" t="s">
        <v>14</v>
      </c>
    </row>
    <row r="5608" spans="1:7" x14ac:dyDescent="0.2">
      <c r="A5608" s="2" t="s">
        <v>3267</v>
      </c>
      <c r="B5608" s="2" t="s">
        <v>480</v>
      </c>
      <c r="C5608" s="2">
        <v>1034.873</v>
      </c>
      <c r="D5608" s="2">
        <f>HYPERLINK("http://mcb-m6.bioreg.kyushu-u.ac.jp/M3/20110428/F51143/3720/1", 87.07)</f>
        <v>87.07</v>
      </c>
      <c r="E5608" s="2">
        <v>76.41</v>
      </c>
      <c r="F5608" s="2">
        <v>3</v>
      </c>
      <c r="G5608" s="2" t="s">
        <v>14</v>
      </c>
    </row>
    <row r="5609" spans="1:7" x14ac:dyDescent="0.2">
      <c r="A5609" s="2" t="s">
        <v>3267</v>
      </c>
      <c r="B5609" s="2" t="s">
        <v>1666</v>
      </c>
      <c r="C5609" s="2">
        <v>983.1078</v>
      </c>
      <c r="D5609" s="2">
        <f>HYPERLINK("http://mcb-m6.bioreg.kyushu-u.ac.jp/M3/20110428/F51141/4437/1", 88.46)</f>
        <v>88.46</v>
      </c>
      <c r="E5609" s="2">
        <v>78.819999999999993</v>
      </c>
      <c r="F5609" s="2">
        <v>3</v>
      </c>
      <c r="G5609" s="2" t="s">
        <v>14</v>
      </c>
    </row>
    <row r="5610" spans="1:7" x14ac:dyDescent="0.2">
      <c r="A5610" s="2" t="s">
        <v>3267</v>
      </c>
      <c r="B5610" s="2" t="s">
        <v>1606</v>
      </c>
      <c r="C5610" s="2">
        <v>862.54610000000002</v>
      </c>
      <c r="D5610" s="2">
        <f>HYPERLINK("http://mcb-m6.bioreg.kyushu-u.ac.jp/M3/20110428/F51143/2663/1", 91.85)</f>
        <v>91.85</v>
      </c>
      <c r="E5610" s="2">
        <v>82.27</v>
      </c>
      <c r="F5610" s="2">
        <v>2</v>
      </c>
      <c r="G5610" s="2" t="s">
        <v>14</v>
      </c>
    </row>
    <row r="5611" spans="1:7" x14ac:dyDescent="0.2">
      <c r="A5611" s="2" t="s">
        <v>3267</v>
      </c>
      <c r="B5611" s="2" t="s">
        <v>1606</v>
      </c>
      <c r="C5611" s="2">
        <v>862.49369999999999</v>
      </c>
      <c r="D5611" s="2">
        <f>HYPERLINK("http://mcb-m6.bioreg.kyushu-u.ac.jp/M3/20110428/F51142/2875/1", 96.31)</f>
        <v>96.31</v>
      </c>
      <c r="E5611" s="2">
        <v>86.75</v>
      </c>
      <c r="F5611" s="2">
        <v>2</v>
      </c>
      <c r="G5611" s="2" t="s">
        <v>14</v>
      </c>
    </row>
    <row r="5612" spans="1:7" x14ac:dyDescent="0.2">
      <c r="A5612" s="2" t="s">
        <v>3267</v>
      </c>
      <c r="B5612" s="2" t="s">
        <v>2071</v>
      </c>
      <c r="C5612" s="2">
        <v>1164.0709999999999</v>
      </c>
      <c r="D5612" s="2">
        <f>HYPERLINK("http://mcb-m6.bioreg.kyushu-u.ac.jp/M3/20110428/F51142/3815/1", 97.72)</f>
        <v>97.72</v>
      </c>
      <c r="E5612" s="2">
        <v>82.58</v>
      </c>
      <c r="F5612" s="2">
        <v>2</v>
      </c>
      <c r="G5612" s="2" t="s">
        <v>14</v>
      </c>
    </row>
    <row r="5613" spans="1:7" x14ac:dyDescent="0.2">
      <c r="A5613" s="2" t="s">
        <v>3267</v>
      </c>
      <c r="B5613" s="2" t="s">
        <v>602</v>
      </c>
      <c r="C5613" s="2">
        <v>742.81410000000005</v>
      </c>
      <c r="D5613" s="2">
        <f>HYPERLINK("http://mcb-m6.bioreg.kyushu-u.ac.jp/M3/20110428/F51143/2096/1", 97.81)</f>
        <v>97.81</v>
      </c>
      <c r="E5613" s="2">
        <v>87.33</v>
      </c>
      <c r="F5613" s="2">
        <v>2</v>
      </c>
      <c r="G5613" s="2" t="s">
        <v>14</v>
      </c>
    </row>
    <row r="5614" spans="1:7" x14ac:dyDescent="0.2">
      <c r="A5614" s="2" t="s">
        <v>3267</v>
      </c>
      <c r="B5614" s="2" t="s">
        <v>1666</v>
      </c>
      <c r="C5614" s="2">
        <v>983.02449999999999</v>
      </c>
      <c r="D5614" s="2">
        <f>HYPERLINK("http://mcb-m6.bioreg.kyushu-u.ac.jp/M3/20110428/F51142/4210/1", 99.4)</f>
        <v>99.4</v>
      </c>
      <c r="E5614" s="2">
        <v>85.48</v>
      </c>
      <c r="F5614" s="2">
        <v>3</v>
      </c>
      <c r="G5614" s="2" t="s">
        <v>14</v>
      </c>
    </row>
    <row r="5615" spans="1:7" x14ac:dyDescent="0.2">
      <c r="A5615" s="2" t="s">
        <v>3267</v>
      </c>
      <c r="B5615" s="2" t="s">
        <v>1606</v>
      </c>
      <c r="C5615" s="2">
        <v>862.49019999999996</v>
      </c>
      <c r="D5615" s="2">
        <f>HYPERLINK("http://mcb-m6.bioreg.kyushu-u.ac.jp/M3/20110428/F51142/2874/1", 102.41)</f>
        <v>102.41</v>
      </c>
      <c r="E5615" s="2">
        <v>89.41</v>
      </c>
      <c r="F5615" s="2">
        <v>2</v>
      </c>
      <c r="G5615" s="2" t="s">
        <v>14</v>
      </c>
    </row>
    <row r="5616" spans="1:7" x14ac:dyDescent="0.2">
      <c r="A5616" s="2" t="s">
        <v>3267</v>
      </c>
      <c r="B5616" s="2" t="s">
        <v>562</v>
      </c>
      <c r="C5616" s="2">
        <v>1446.7760000000001</v>
      </c>
      <c r="D5616" s="2">
        <f>HYPERLINK("http://mcb-m6.bioreg.kyushu-u.ac.jp/M3/20110428/F51142/4196/1", 107.74)</f>
        <v>107.74</v>
      </c>
      <c r="E5616" s="2">
        <v>101.59</v>
      </c>
      <c r="F5616" s="2">
        <v>2</v>
      </c>
      <c r="G5616" s="2" t="s">
        <v>14</v>
      </c>
    </row>
    <row r="5617" spans="1:9" x14ac:dyDescent="0.2">
      <c r="A5617" s="2" t="s">
        <v>3267</v>
      </c>
      <c r="B5617" s="2" t="s">
        <v>1666</v>
      </c>
      <c r="C5617" s="2">
        <v>1473.739</v>
      </c>
      <c r="D5617" s="2">
        <f>HYPERLINK("http://mcb-m6.bioreg.kyushu-u.ac.jp/M3/20110428/F51142/4209/1", 108.16)</f>
        <v>108.16</v>
      </c>
      <c r="E5617" s="2">
        <v>96.56</v>
      </c>
      <c r="F5617" s="2">
        <v>2</v>
      </c>
      <c r="G5617" s="2" t="s">
        <v>14</v>
      </c>
    </row>
    <row r="5618" spans="1:9" x14ac:dyDescent="0.2">
      <c r="A5618" s="2" t="s">
        <v>3267</v>
      </c>
      <c r="B5618" s="2" t="s">
        <v>1353</v>
      </c>
      <c r="C5618" s="2">
        <v>825.47810000000004</v>
      </c>
      <c r="D5618" s="2">
        <f>HYPERLINK("http://mcb-m6.bioreg.kyushu-u.ac.jp/M3/20110428/F51142/2653/1", 121.34)</f>
        <v>121.34</v>
      </c>
      <c r="E5618" s="2">
        <v>96.16</v>
      </c>
      <c r="F5618" s="2">
        <v>2</v>
      </c>
      <c r="G5618" s="2" t="s">
        <v>14</v>
      </c>
    </row>
    <row r="5619" spans="1:9" x14ac:dyDescent="0.2">
      <c r="A5619" s="2" t="s">
        <v>3267</v>
      </c>
      <c r="B5619" s="2" t="s">
        <v>602</v>
      </c>
      <c r="C5619" s="2">
        <v>742.62660000000005</v>
      </c>
      <c r="D5619" s="2">
        <f>HYPERLINK("http://mcb-m6.bioreg.kyushu-u.ac.jp/M3/20110428/F51142/2060/1", 122.13)</f>
        <v>122.13</v>
      </c>
      <c r="E5619" s="2">
        <v>110.26</v>
      </c>
      <c r="F5619" s="2">
        <v>2</v>
      </c>
      <c r="G5619" s="2" t="s">
        <v>14</v>
      </c>
    </row>
    <row r="5620" spans="1:9" x14ac:dyDescent="0.2">
      <c r="A5620" s="2" t="s">
        <v>3267</v>
      </c>
      <c r="B5620" s="2" t="s">
        <v>602</v>
      </c>
      <c r="C5620" s="2">
        <v>742.59670000000006</v>
      </c>
      <c r="D5620" s="2">
        <f>HYPERLINK("http://mcb-m6.bioreg.kyushu-u.ac.jp/M3/20110502/F51162/1921/1", 125.49)</f>
        <v>125.49</v>
      </c>
      <c r="E5620" s="2">
        <v>115.16</v>
      </c>
      <c r="F5620" s="2">
        <v>2</v>
      </c>
      <c r="G5620" s="2" t="s">
        <v>14</v>
      </c>
    </row>
    <row r="5621" spans="1:9" x14ac:dyDescent="0.2">
      <c r="A5621" s="2" t="s">
        <v>5700</v>
      </c>
      <c r="B5621" s="2" t="s">
        <v>5236</v>
      </c>
      <c r="C5621" s="2">
        <v>935.42610000000002</v>
      </c>
      <c r="D5621" s="2">
        <f>HYPERLINK("http://mcb-m6.bioreg.kyushu-u.ac.jp/M3/20110318/F50612/2107/1", 38.83)</f>
        <v>38.83</v>
      </c>
      <c r="E5621" s="2">
        <v>20.92</v>
      </c>
      <c r="F5621" s="2">
        <v>2</v>
      </c>
      <c r="G5621" s="2" t="s">
        <v>10</v>
      </c>
    </row>
    <row r="5622" spans="1:9" x14ac:dyDescent="0.2">
      <c r="A5622" s="2" t="s">
        <v>5700</v>
      </c>
      <c r="B5622" s="2" t="s">
        <v>5395</v>
      </c>
      <c r="C5622" s="2">
        <v>740.35670000000005</v>
      </c>
      <c r="D5622" s="2">
        <f>HYPERLINK("http://mcb-m6.bioreg.kyushu-u.ac.jp/M3/20110418/F50977/2081/1", 45.94)</f>
        <v>45.94</v>
      </c>
      <c r="E5622" s="2">
        <v>30.36</v>
      </c>
      <c r="F5622" s="2">
        <v>2</v>
      </c>
      <c r="G5622" s="2" t="s">
        <v>11</v>
      </c>
    </row>
    <row r="5623" spans="1:9" x14ac:dyDescent="0.2">
      <c r="A5623" s="2" t="s">
        <v>4471</v>
      </c>
      <c r="B5623" s="2" t="s">
        <v>2439</v>
      </c>
      <c r="C5623" s="2">
        <v>642.54179999999997</v>
      </c>
      <c r="D5623" s="2">
        <f>HYPERLINK("http://mcb-m6.bioreg.kyushu-u.ac.jp/M3/20110318/F50619/2162/1", 40.12)</f>
        <v>40.119999999999997</v>
      </c>
      <c r="E5623" s="2">
        <v>22.62</v>
      </c>
      <c r="F5623" s="2">
        <v>3</v>
      </c>
      <c r="G5623" s="2" t="s">
        <v>9</v>
      </c>
    </row>
    <row r="5624" spans="1:9" x14ac:dyDescent="0.2">
      <c r="A5624" s="2" t="s">
        <v>4471</v>
      </c>
      <c r="B5624" s="2" t="s">
        <v>2410</v>
      </c>
      <c r="C5624" s="2">
        <v>971.8152</v>
      </c>
      <c r="D5624" s="2">
        <f>HYPERLINK("http://mcb-m6.bioreg.kyushu-u.ac.jp/M3/20110318/F50619/2219/1", 69.4)</f>
        <v>69.400000000000006</v>
      </c>
      <c r="E5624" s="2">
        <v>56.94</v>
      </c>
      <c r="F5624" s="2">
        <v>2</v>
      </c>
      <c r="G5624" s="2" t="s">
        <v>9</v>
      </c>
      <c r="I5624" s="2" t="s">
        <v>4895</v>
      </c>
    </row>
    <row r="5625" spans="1:9" x14ac:dyDescent="0.2">
      <c r="A5625" s="2" t="s">
        <v>4471</v>
      </c>
      <c r="B5625" s="2" t="s">
        <v>2439</v>
      </c>
      <c r="C5625" s="2">
        <v>962.71310000000005</v>
      </c>
      <c r="D5625" s="2">
        <f>HYPERLINK("http://mcb-m6.bioreg.kyushu-u.ac.jp/M3/20110318/F50619/2161/1", 95.11)</f>
        <v>95.11</v>
      </c>
      <c r="E5625" s="2">
        <v>76.150000000000006</v>
      </c>
      <c r="F5625" s="2">
        <v>2</v>
      </c>
      <c r="G5625" s="2" t="s">
        <v>9</v>
      </c>
    </row>
    <row r="5626" spans="1:9" x14ac:dyDescent="0.2">
      <c r="A5626" s="2" t="s">
        <v>4314</v>
      </c>
      <c r="B5626" s="2" t="s">
        <v>2079</v>
      </c>
      <c r="C5626" s="2">
        <v>801.42269999999996</v>
      </c>
      <c r="D5626" s="2">
        <f>HYPERLINK("http://mcb-m6.bioreg.kyushu-u.ac.jp/M3/20110318/F50597/1879/1", 57.07)</f>
        <v>57.07</v>
      </c>
      <c r="E5626" s="2">
        <v>47.09</v>
      </c>
      <c r="F5626" s="2">
        <v>2</v>
      </c>
      <c r="G5626" s="2" t="s">
        <v>10</v>
      </c>
    </row>
    <row r="5627" spans="1:9" x14ac:dyDescent="0.2">
      <c r="A5627" s="2" t="s">
        <v>4091</v>
      </c>
      <c r="B5627" s="2" t="s">
        <v>1534</v>
      </c>
      <c r="C5627" s="2">
        <v>694.46669999999995</v>
      </c>
      <c r="D5627" s="2">
        <f>HYPERLINK("http://mcb-m6.bioreg.kyushu-u.ac.jp/M3/20110318/F50597/1401/1", 60.72)</f>
        <v>60.72</v>
      </c>
      <c r="E5627" s="2">
        <v>33.549999999999997</v>
      </c>
      <c r="F5627" s="2">
        <v>2</v>
      </c>
      <c r="G5627" s="2" t="s">
        <v>10</v>
      </c>
    </row>
    <row r="5628" spans="1:9" x14ac:dyDescent="0.2">
      <c r="A5628" s="2" t="s">
        <v>3296</v>
      </c>
      <c r="B5628" s="2" t="s">
        <v>2001</v>
      </c>
      <c r="C5628" s="2">
        <v>701.21010000000001</v>
      </c>
      <c r="D5628" s="2">
        <f>HYPERLINK("http://mcb-m6.bioreg.kyushu-u.ac.jp/M3/20110318/F50616/1476/1", 41.46)</f>
        <v>41.46</v>
      </c>
      <c r="E5628" s="2">
        <v>29.21</v>
      </c>
      <c r="F5628" s="2">
        <v>2</v>
      </c>
      <c r="G5628" s="2" t="s">
        <v>10</v>
      </c>
    </row>
    <row r="5629" spans="1:9" x14ac:dyDescent="0.2">
      <c r="A5629" s="2" t="s">
        <v>3296</v>
      </c>
      <c r="B5629" s="2" t="s">
        <v>1460</v>
      </c>
      <c r="C5629" s="2">
        <v>752.95209999999997</v>
      </c>
      <c r="D5629" s="2">
        <f>HYPERLINK("http://mcb-m6.bioreg.kyushu-u.ac.jp/M3/20110318/F50597/1660/1", 57.42)</f>
        <v>57.42</v>
      </c>
      <c r="E5629" s="2">
        <v>34.85</v>
      </c>
      <c r="F5629" s="2">
        <v>2</v>
      </c>
      <c r="G5629" s="2" t="s">
        <v>10</v>
      </c>
    </row>
    <row r="5630" spans="1:9" x14ac:dyDescent="0.2">
      <c r="A5630" s="2" t="s">
        <v>3296</v>
      </c>
      <c r="B5630" s="2" t="s">
        <v>2001</v>
      </c>
      <c r="C5630" s="2">
        <v>701.21510000000001</v>
      </c>
      <c r="D5630" s="2">
        <f>HYPERLINK("http://mcb-m6.bioreg.kyushu-u.ac.jp/M3/20110418/F50974/1880/1", 65.14)</f>
        <v>65.14</v>
      </c>
      <c r="E5630" s="2">
        <v>46.58</v>
      </c>
      <c r="F5630" s="2">
        <v>2</v>
      </c>
      <c r="G5630" s="2" t="s">
        <v>11</v>
      </c>
    </row>
    <row r="5631" spans="1:9" x14ac:dyDescent="0.2">
      <c r="A5631" s="2" t="s">
        <v>3296</v>
      </c>
      <c r="B5631" s="2" t="s">
        <v>1460</v>
      </c>
      <c r="C5631" s="2">
        <v>752.3297</v>
      </c>
      <c r="D5631" s="2">
        <f>HYPERLINK("http://mcb-m6.bioreg.kyushu-u.ac.jp/M3/20110418/F50974/2132/1", 71.96)</f>
        <v>71.959999999999994</v>
      </c>
      <c r="E5631" s="2">
        <v>49.16</v>
      </c>
      <c r="F5631" s="2">
        <v>2</v>
      </c>
      <c r="G5631" s="2" t="s">
        <v>11</v>
      </c>
    </row>
    <row r="5632" spans="1:9" x14ac:dyDescent="0.2">
      <c r="A5632" s="2" t="s">
        <v>3296</v>
      </c>
      <c r="B5632" s="2" t="s">
        <v>2027</v>
      </c>
      <c r="C5632" s="2">
        <v>857.97770000000003</v>
      </c>
      <c r="D5632" s="2">
        <f>HYPERLINK("http://mcb-m6.bioreg.kyushu-u.ac.jp/M3/20110429/F51157/2321/1", 51.27)</f>
        <v>51.27</v>
      </c>
      <c r="E5632" s="2">
        <v>44.01</v>
      </c>
      <c r="F5632" s="2">
        <v>2</v>
      </c>
      <c r="G5632" s="2" t="s">
        <v>13</v>
      </c>
    </row>
    <row r="5633" spans="1:9" x14ac:dyDescent="0.2">
      <c r="A5633" s="2" t="s">
        <v>3296</v>
      </c>
      <c r="B5633" s="2" t="s">
        <v>5543</v>
      </c>
      <c r="C5633" s="2">
        <v>618.31209999999999</v>
      </c>
      <c r="D5633" s="2">
        <f>HYPERLINK("http://mcb-m6.bioreg.kyushu-u.ac.jp/M3/20110429/F51157/1157/1", 66.72)</f>
        <v>66.72</v>
      </c>
      <c r="E5633" s="2">
        <v>49.88</v>
      </c>
      <c r="F5633" s="2">
        <v>2</v>
      </c>
      <c r="G5633" s="2" t="s">
        <v>13</v>
      </c>
      <c r="I5633" s="2" t="s">
        <v>4923</v>
      </c>
    </row>
    <row r="5634" spans="1:9" x14ac:dyDescent="0.2">
      <c r="A5634" s="2" t="s">
        <v>3296</v>
      </c>
      <c r="B5634" s="2" t="s">
        <v>1460</v>
      </c>
      <c r="C5634" s="2">
        <v>752.39009999999996</v>
      </c>
      <c r="D5634" s="2">
        <f>HYPERLINK("http://mcb-m6.bioreg.kyushu-u.ac.jp/M3/20110429/F51157/1801/1", 71.21)</f>
        <v>71.209999999999994</v>
      </c>
      <c r="E5634" s="2">
        <v>42.07</v>
      </c>
      <c r="F5634" s="2">
        <v>2</v>
      </c>
      <c r="G5634" s="2" t="s">
        <v>13</v>
      </c>
    </row>
    <row r="5635" spans="1:9" x14ac:dyDescent="0.2">
      <c r="A5635" s="2" t="s">
        <v>3296</v>
      </c>
      <c r="B5635" s="2" t="s">
        <v>1460</v>
      </c>
      <c r="C5635" s="2">
        <v>752.90219999999999</v>
      </c>
      <c r="D5635" s="2">
        <f>HYPERLINK("http://mcb-m6.bioreg.kyushu-u.ac.jp/M3/20110429/F51157/1804/1", 79.26)</f>
        <v>79.260000000000005</v>
      </c>
      <c r="E5635" s="2">
        <v>46.57</v>
      </c>
      <c r="F5635" s="2">
        <v>2</v>
      </c>
      <c r="G5635" s="2" t="s">
        <v>13</v>
      </c>
    </row>
    <row r="5636" spans="1:9" x14ac:dyDescent="0.2">
      <c r="A5636" s="2" t="s">
        <v>3296</v>
      </c>
      <c r="B5636" s="2" t="s">
        <v>1460</v>
      </c>
      <c r="C5636" s="2">
        <v>752.73910000000001</v>
      </c>
      <c r="D5636" s="2">
        <f>HYPERLINK("http://mcb-m6.bioreg.kyushu-u.ac.jp/M3/20110502/F51159/2033/1", 82.91)</f>
        <v>82.91</v>
      </c>
      <c r="E5636" s="2">
        <v>42.05</v>
      </c>
      <c r="F5636" s="2">
        <v>2</v>
      </c>
      <c r="G5636" s="2" t="s">
        <v>14</v>
      </c>
    </row>
    <row r="5637" spans="1:9" x14ac:dyDescent="0.2">
      <c r="A5637" s="2" t="s">
        <v>3817</v>
      </c>
      <c r="B5637" s="2" t="s">
        <v>877</v>
      </c>
      <c r="C5637" s="2">
        <v>622.36360000000002</v>
      </c>
      <c r="D5637" s="2">
        <f>HYPERLINK("http://mcb-m6.bioreg.kyushu-u.ac.jp/M3/20110428/F51146/1652/1", 68.3)</f>
        <v>68.3</v>
      </c>
      <c r="E5637" s="2">
        <v>46.95</v>
      </c>
      <c r="F5637" s="2">
        <v>2</v>
      </c>
      <c r="G5637" s="2" t="s">
        <v>13</v>
      </c>
    </row>
    <row r="5638" spans="1:9" x14ac:dyDescent="0.2">
      <c r="A5638" s="2" t="s">
        <v>3621</v>
      </c>
      <c r="B5638" s="2" t="s">
        <v>530</v>
      </c>
      <c r="C5638" s="2">
        <v>647.9452</v>
      </c>
      <c r="D5638" s="2">
        <f>HYPERLINK("http://mcb-m6.bioreg.kyushu-u.ac.jp/M3/20110428/F51146/1709/1", 50.2)</f>
        <v>50.2</v>
      </c>
      <c r="E5638" s="2">
        <v>30.45</v>
      </c>
      <c r="F5638" s="2">
        <v>2</v>
      </c>
      <c r="G5638" s="2" t="s">
        <v>13</v>
      </c>
    </row>
    <row r="5639" spans="1:9" x14ac:dyDescent="0.2">
      <c r="A5639" s="2" t="s">
        <v>5656</v>
      </c>
      <c r="B5639" s="2" t="s">
        <v>5105</v>
      </c>
      <c r="C5639" s="2">
        <v>520.83619999999996</v>
      </c>
      <c r="D5639" s="2">
        <f>HYPERLINK("http://mcb-m6.bioreg.kyushu-u.ac.jp/M3/20110318/F50609/1190/1", 55.44)</f>
        <v>55.44</v>
      </c>
      <c r="E5639" s="2">
        <v>28.77</v>
      </c>
      <c r="F5639" s="2">
        <v>2</v>
      </c>
      <c r="G5639" s="2" t="s">
        <v>9</v>
      </c>
    </row>
    <row r="5640" spans="1:9" x14ac:dyDescent="0.2">
      <c r="A5640" s="2" t="s">
        <v>5781</v>
      </c>
      <c r="B5640" s="2" t="s">
        <v>5425</v>
      </c>
      <c r="C5640" s="2">
        <v>608.97450000000003</v>
      </c>
      <c r="D5640" s="2">
        <f>HYPERLINK("http://mcb-m6.bioreg.kyushu-u.ac.jp/M3/20110418/F50989/2466/1", 35.2)</f>
        <v>35.200000000000003</v>
      </c>
      <c r="E5640" s="2">
        <v>22.7</v>
      </c>
      <c r="F5640" s="2">
        <v>3</v>
      </c>
      <c r="G5640" s="2" t="s">
        <v>12</v>
      </c>
      <c r="I5640" s="2" t="s">
        <v>4890</v>
      </c>
    </row>
    <row r="5641" spans="1:9" x14ac:dyDescent="0.2">
      <c r="A5641" s="2" t="s">
        <v>3514</v>
      </c>
      <c r="B5641" s="2" t="s">
        <v>1213</v>
      </c>
      <c r="C5641" s="2">
        <v>627.37819999999999</v>
      </c>
      <c r="D5641" s="2">
        <f>HYPERLINK("http://mcb-m6.bioreg.kyushu-u.ac.jp/M3/20110318/F50614/1281/1", 66.31)</f>
        <v>66.31</v>
      </c>
      <c r="E5641" s="2">
        <v>52.53</v>
      </c>
      <c r="F5641" s="2">
        <v>2</v>
      </c>
      <c r="G5641" s="2" t="s">
        <v>10</v>
      </c>
    </row>
    <row r="5642" spans="1:9" x14ac:dyDescent="0.2">
      <c r="A5642" s="2" t="s">
        <v>3514</v>
      </c>
      <c r="B5642" s="2" t="s">
        <v>1852</v>
      </c>
      <c r="C5642" s="2">
        <v>493.7131</v>
      </c>
      <c r="D5642" s="2">
        <f>HYPERLINK("http://mcb-m6.bioreg.kyushu-u.ac.jp/M3/20110418/F50975/726/1", 37.73)</f>
        <v>37.729999999999997</v>
      </c>
      <c r="E5642" s="2">
        <v>17.47</v>
      </c>
      <c r="F5642" s="2">
        <v>2</v>
      </c>
      <c r="G5642" s="2" t="s">
        <v>11</v>
      </c>
    </row>
    <row r="5643" spans="1:9" x14ac:dyDescent="0.2">
      <c r="A5643" s="2" t="s">
        <v>5822</v>
      </c>
      <c r="B5643" s="2" t="s">
        <v>5501</v>
      </c>
      <c r="C5643" s="2">
        <v>504.20510000000002</v>
      </c>
      <c r="D5643" s="2">
        <f>HYPERLINK("http://mcb-m6.bioreg.kyushu-u.ac.jp/M3/20110429/F51153/629/1", 42.69)</f>
        <v>42.69</v>
      </c>
      <c r="E5643" s="2">
        <v>16.93</v>
      </c>
      <c r="F5643" s="2">
        <v>2</v>
      </c>
      <c r="G5643" s="2" t="s">
        <v>13</v>
      </c>
    </row>
    <row r="5644" spans="1:9" x14ac:dyDescent="0.2">
      <c r="A5644" s="2" t="s">
        <v>4006</v>
      </c>
      <c r="B5644" s="2" t="s">
        <v>5060</v>
      </c>
      <c r="C5644" s="2">
        <v>557.81920000000002</v>
      </c>
      <c r="D5644" s="2">
        <f>HYPERLINK("http://mcb-m6.bioreg.kyushu-u.ac.jp/M3/20110318/F50618/973/1", 44.51)</f>
        <v>44.51</v>
      </c>
      <c r="E5644" s="2">
        <v>15.41</v>
      </c>
      <c r="F5644" s="2">
        <v>2</v>
      </c>
      <c r="G5644" s="2" t="s">
        <v>9</v>
      </c>
    </row>
    <row r="5645" spans="1:9" x14ac:dyDescent="0.2">
      <c r="A5645" s="2" t="s">
        <v>4006</v>
      </c>
      <c r="B5645" s="2" t="s">
        <v>2407</v>
      </c>
      <c r="C5645" s="2">
        <v>788.45280000000002</v>
      </c>
      <c r="D5645" s="2">
        <f>HYPERLINK("http://mcb-m6.bioreg.kyushu-u.ac.jp/M3/20110318/F50618/3172/1", 59.44)</f>
        <v>59.44</v>
      </c>
      <c r="E5645" s="2">
        <v>41.73</v>
      </c>
      <c r="F5645" s="2">
        <v>3</v>
      </c>
      <c r="G5645" s="2" t="s">
        <v>9</v>
      </c>
    </row>
    <row r="5646" spans="1:9" x14ac:dyDescent="0.2">
      <c r="A5646" s="2" t="s">
        <v>4006</v>
      </c>
      <c r="B5646" s="2" t="s">
        <v>2407</v>
      </c>
      <c r="C5646" s="2">
        <v>788.72349999999994</v>
      </c>
      <c r="D5646" s="2">
        <f>HYPERLINK("http://mcb-m6.bioreg.kyushu-u.ac.jp/M3/20110502/F51163/3289/1", 59.86)</f>
        <v>59.86</v>
      </c>
      <c r="E5646" s="2">
        <v>46.98</v>
      </c>
      <c r="F5646" s="2">
        <v>3</v>
      </c>
      <c r="G5646" s="2" t="s">
        <v>13</v>
      </c>
    </row>
    <row r="5647" spans="1:9" x14ac:dyDescent="0.2">
      <c r="A5647" s="2" t="s">
        <v>3641</v>
      </c>
      <c r="B5647" s="2" t="s">
        <v>560</v>
      </c>
      <c r="C5647" s="2">
        <v>890.68020000000001</v>
      </c>
      <c r="D5647" s="2">
        <f>HYPERLINK("http://mcb-m6.bioreg.kyushu-u.ac.jp/M3/20110318/F50618/2311/1", 56.82)</f>
        <v>56.82</v>
      </c>
      <c r="E5647" s="2">
        <v>43.35</v>
      </c>
      <c r="F5647" s="2">
        <v>2</v>
      </c>
      <c r="G5647" s="2" t="s">
        <v>9</v>
      </c>
    </row>
    <row r="5648" spans="1:9" x14ac:dyDescent="0.2">
      <c r="A5648" s="2" t="s">
        <v>3641</v>
      </c>
      <c r="B5648" s="2" t="s">
        <v>560</v>
      </c>
      <c r="C5648" s="2">
        <v>891.21420000000001</v>
      </c>
      <c r="D5648" s="2">
        <f>HYPERLINK("http://mcb-m6.bioreg.kyushu-u.ac.jp/M3/20110318/F50618/2313/1", 76.91)</f>
        <v>76.91</v>
      </c>
      <c r="E5648" s="2">
        <v>61.4</v>
      </c>
      <c r="F5648" s="2">
        <v>2</v>
      </c>
      <c r="G5648" s="2" t="s">
        <v>9</v>
      </c>
    </row>
    <row r="5649" spans="1:9" x14ac:dyDescent="0.2">
      <c r="A5649" s="2" t="s">
        <v>3641</v>
      </c>
      <c r="B5649" s="2" t="s">
        <v>560</v>
      </c>
      <c r="C5649" s="2">
        <v>891.10609999999997</v>
      </c>
      <c r="D5649" s="2">
        <f>HYPERLINK("http://mcb-m6.bioreg.kyushu-u.ac.jp/M3/20110318/F50614/2283/1", 72.13)</f>
        <v>72.13</v>
      </c>
      <c r="E5649" s="2">
        <v>57.35</v>
      </c>
      <c r="F5649" s="2">
        <v>2</v>
      </c>
      <c r="G5649" s="2" t="s">
        <v>10</v>
      </c>
    </row>
    <row r="5650" spans="1:9" x14ac:dyDescent="0.2">
      <c r="A5650" s="2" t="s">
        <v>3641</v>
      </c>
      <c r="B5650" s="2" t="s">
        <v>560</v>
      </c>
      <c r="C5650" s="2">
        <v>890.77419999999995</v>
      </c>
      <c r="D5650" s="2">
        <f>HYPERLINK("http://mcb-m6.bioreg.kyushu-u.ac.jp/M3/20110418/F50975/2930/1", 106.19)</f>
        <v>106.19</v>
      </c>
      <c r="E5650" s="2">
        <v>90.17</v>
      </c>
      <c r="F5650" s="2">
        <v>2</v>
      </c>
      <c r="G5650" s="2" t="s">
        <v>11</v>
      </c>
    </row>
    <row r="5651" spans="1:9" x14ac:dyDescent="0.2">
      <c r="A5651" s="2" t="s">
        <v>3641</v>
      </c>
      <c r="B5651" s="2" t="s">
        <v>560</v>
      </c>
      <c r="C5651" s="2">
        <v>890.93370000000004</v>
      </c>
      <c r="D5651" s="2">
        <f>HYPERLINK("http://mcb-m6.bioreg.kyushu-u.ac.jp/M3/20110502/F51163/2526/1", 57.58)</f>
        <v>57.58</v>
      </c>
      <c r="E5651" s="2">
        <v>46.15</v>
      </c>
      <c r="F5651" s="2">
        <v>2</v>
      </c>
      <c r="G5651" s="2" t="s">
        <v>13</v>
      </c>
    </row>
    <row r="5652" spans="1:9" x14ac:dyDescent="0.2">
      <c r="A5652" s="2" t="s">
        <v>3641</v>
      </c>
      <c r="B5652" s="2" t="s">
        <v>560</v>
      </c>
      <c r="C5652" s="2">
        <v>891.45259999999996</v>
      </c>
      <c r="D5652" s="2">
        <f>HYPERLINK("http://mcb-m6.bioreg.kyushu-u.ac.jp/M3/20110502/F51163/2533/1", 76.15)</f>
        <v>76.150000000000006</v>
      </c>
      <c r="E5652" s="2">
        <v>60.46</v>
      </c>
      <c r="F5652" s="2">
        <v>2</v>
      </c>
      <c r="G5652" s="2" t="s">
        <v>13</v>
      </c>
    </row>
    <row r="5653" spans="1:9" x14ac:dyDescent="0.2">
      <c r="A5653" s="2" t="s">
        <v>3641</v>
      </c>
      <c r="B5653" s="2" t="s">
        <v>560</v>
      </c>
      <c r="C5653" s="2">
        <v>891.26919999999996</v>
      </c>
      <c r="D5653" s="2">
        <f>HYPERLINK("http://mcb-m6.bioreg.kyushu-u.ac.jp/M3/20110502/F51158/2711/1", 77.43)</f>
        <v>77.430000000000007</v>
      </c>
      <c r="E5653" s="2">
        <v>61.36</v>
      </c>
      <c r="F5653" s="2">
        <v>2</v>
      </c>
      <c r="G5653" s="2" t="s">
        <v>13</v>
      </c>
    </row>
    <row r="5654" spans="1:9" x14ac:dyDescent="0.2">
      <c r="A5654" s="2" t="s">
        <v>3641</v>
      </c>
      <c r="B5654" s="2" t="s">
        <v>560</v>
      </c>
      <c r="C5654" s="2">
        <v>890.92070000000001</v>
      </c>
      <c r="D5654" s="2">
        <f>HYPERLINK("http://mcb-m6.bioreg.kyushu-u.ac.jp/M3/20110428/F51141/2868/1", 94.79)</f>
        <v>94.79</v>
      </c>
      <c r="E5654" s="2">
        <v>73.48</v>
      </c>
      <c r="F5654" s="2">
        <v>2</v>
      </c>
      <c r="G5654" s="2" t="s">
        <v>14</v>
      </c>
    </row>
    <row r="5655" spans="1:9" x14ac:dyDescent="0.2">
      <c r="A5655" s="2" t="s">
        <v>3335</v>
      </c>
      <c r="B5655" s="2" t="s">
        <v>123</v>
      </c>
      <c r="C5655" s="2">
        <v>549.6617</v>
      </c>
      <c r="D5655" s="2">
        <f>HYPERLINK("http://mcb-m6.bioreg.kyushu-u.ac.jp/M3/20110318/F50618/954/1", 45.5)</f>
        <v>45.5</v>
      </c>
      <c r="E5655" s="2">
        <v>25.14</v>
      </c>
      <c r="F5655" s="2">
        <v>2</v>
      </c>
      <c r="G5655" s="2" t="s">
        <v>9</v>
      </c>
      <c r="I5655" s="2" t="s">
        <v>4903</v>
      </c>
    </row>
    <row r="5656" spans="1:9" x14ac:dyDescent="0.2">
      <c r="A5656" s="2" t="s">
        <v>3335</v>
      </c>
      <c r="B5656" s="2" t="s">
        <v>123</v>
      </c>
      <c r="C5656" s="2">
        <v>550.0942</v>
      </c>
      <c r="D5656" s="2">
        <f>HYPERLINK("http://mcb-m6.bioreg.kyushu-u.ac.jp/M3/20110502/F51158/959/1", 51.47)</f>
        <v>51.47</v>
      </c>
      <c r="E5656" s="2">
        <v>27.71</v>
      </c>
      <c r="F5656" s="2">
        <v>2</v>
      </c>
      <c r="G5656" s="2" t="s">
        <v>13</v>
      </c>
      <c r="I5656" s="2" t="s">
        <v>4903</v>
      </c>
    </row>
    <row r="5657" spans="1:9" x14ac:dyDescent="0.2">
      <c r="A5657" s="2" t="s">
        <v>4065</v>
      </c>
      <c r="B5657" s="2" t="s">
        <v>2668</v>
      </c>
      <c r="C5657" s="2">
        <v>527.3981</v>
      </c>
      <c r="D5657" s="2">
        <f>HYPERLINK("http://mcb-m6.bioreg.kyushu-u.ac.jp/M3/20110502/F51158/855/1", 41.7)</f>
        <v>41.7</v>
      </c>
      <c r="E5657" s="2">
        <v>8.5</v>
      </c>
      <c r="F5657" s="2">
        <v>2</v>
      </c>
      <c r="G5657" s="2" t="s">
        <v>13</v>
      </c>
    </row>
    <row r="5658" spans="1:9" x14ac:dyDescent="0.2">
      <c r="A5658" s="2" t="s">
        <v>3643</v>
      </c>
      <c r="B5658" s="2" t="s">
        <v>565</v>
      </c>
      <c r="C5658" s="2">
        <v>670.8691</v>
      </c>
      <c r="D5658" s="2">
        <f>HYPERLINK("http://mcb-m6.bioreg.kyushu-u.ac.jp/M3/20110318/F50619/1233/1", 74.49)</f>
        <v>74.489999999999995</v>
      </c>
      <c r="E5658" s="2">
        <v>40.090000000000003</v>
      </c>
      <c r="F5658" s="2">
        <v>2</v>
      </c>
      <c r="G5658" s="2" t="s">
        <v>9</v>
      </c>
    </row>
    <row r="5659" spans="1:9" x14ac:dyDescent="0.2">
      <c r="A5659" s="2" t="s">
        <v>3643</v>
      </c>
      <c r="B5659" s="2" t="s">
        <v>1335</v>
      </c>
      <c r="C5659" s="2">
        <v>958.85919999999999</v>
      </c>
      <c r="D5659" s="2">
        <f>HYPERLINK("http://mcb-m6.bioreg.kyushu-u.ac.jp/M3/20110318/F50618/2492/1", 94.11)</f>
        <v>94.11</v>
      </c>
      <c r="E5659" s="2">
        <v>65.17</v>
      </c>
      <c r="F5659" s="2">
        <v>2</v>
      </c>
      <c r="G5659" s="2" t="s">
        <v>9</v>
      </c>
    </row>
    <row r="5660" spans="1:9" x14ac:dyDescent="0.2">
      <c r="A5660" s="2" t="s">
        <v>3643</v>
      </c>
      <c r="B5660" s="2" t="s">
        <v>1335</v>
      </c>
      <c r="C5660" s="2">
        <v>959.47810000000004</v>
      </c>
      <c r="D5660" s="2">
        <f>HYPERLINK("http://mcb-m6.bioreg.kyushu-u.ac.jp/M3/20110318/F50614/2521/1", 94.14)</f>
        <v>94.14</v>
      </c>
      <c r="E5660" s="2">
        <v>77.209999999999994</v>
      </c>
      <c r="F5660" s="2">
        <v>2</v>
      </c>
      <c r="G5660" s="2" t="s">
        <v>10</v>
      </c>
    </row>
    <row r="5661" spans="1:9" x14ac:dyDescent="0.2">
      <c r="A5661" s="2" t="s">
        <v>3643</v>
      </c>
      <c r="B5661" s="2" t="s">
        <v>1335</v>
      </c>
      <c r="C5661" s="2">
        <v>958.83870000000002</v>
      </c>
      <c r="D5661" s="2">
        <f>HYPERLINK("http://mcb-m6.bioreg.kyushu-u.ac.jp/M3/20110418/F50975/3232/1", 89.9)</f>
        <v>89.9</v>
      </c>
      <c r="E5661" s="2">
        <v>64.31</v>
      </c>
      <c r="F5661" s="2">
        <v>2</v>
      </c>
      <c r="G5661" s="2" t="s">
        <v>11</v>
      </c>
    </row>
    <row r="5662" spans="1:9" x14ac:dyDescent="0.2">
      <c r="A5662" s="2" t="s">
        <v>3643</v>
      </c>
      <c r="B5662" s="2" t="s">
        <v>5432</v>
      </c>
      <c r="C5662" s="2">
        <v>873.26800000000003</v>
      </c>
      <c r="D5662" s="2">
        <f>HYPERLINK("http://mcb-m6.bioreg.kyushu-u.ac.jp/M3/20110418/F50985/1583/1", 38.23)</f>
        <v>38.229999999999997</v>
      </c>
      <c r="E5662" s="2">
        <v>17.100000000000001</v>
      </c>
      <c r="F5662" s="2">
        <v>1</v>
      </c>
      <c r="G5662" s="2" t="s">
        <v>12</v>
      </c>
    </row>
    <row r="5663" spans="1:9" x14ac:dyDescent="0.2">
      <c r="A5663" s="2" t="s">
        <v>3643</v>
      </c>
      <c r="B5663" s="2" t="s">
        <v>1335</v>
      </c>
      <c r="C5663" s="2">
        <v>959.17110000000002</v>
      </c>
      <c r="D5663" s="2">
        <f>HYPERLINK("http://mcb-m6.bioreg.kyushu-u.ac.jp/M3/20110502/F51158/2981/1", 68.23)</f>
        <v>68.23</v>
      </c>
      <c r="E5663" s="2">
        <v>50.9</v>
      </c>
      <c r="F5663" s="2">
        <v>2</v>
      </c>
      <c r="G5663" s="2" t="s">
        <v>13</v>
      </c>
    </row>
    <row r="5664" spans="1:9" x14ac:dyDescent="0.2">
      <c r="A5664" s="2" t="s">
        <v>3643</v>
      </c>
      <c r="B5664" s="2" t="s">
        <v>1335</v>
      </c>
      <c r="C5664" s="2">
        <v>959.06769999999995</v>
      </c>
      <c r="D5664" s="2">
        <f>HYPERLINK("http://mcb-m6.bioreg.kyushu-u.ac.jp/M3/20110502/F51163/2767/1", 90.23)</f>
        <v>90.23</v>
      </c>
      <c r="E5664" s="2">
        <v>79.3</v>
      </c>
      <c r="F5664" s="2">
        <v>2</v>
      </c>
      <c r="G5664" s="2" t="s">
        <v>13</v>
      </c>
    </row>
    <row r="5665" spans="1:8" x14ac:dyDescent="0.2">
      <c r="A5665" s="2" t="s">
        <v>3643</v>
      </c>
      <c r="B5665" s="2" t="s">
        <v>1335</v>
      </c>
      <c r="C5665" s="2">
        <v>959.0317</v>
      </c>
      <c r="D5665" s="2">
        <f>HYPERLINK("http://mcb-m6.bioreg.kyushu-u.ac.jp/M3/20110428/F51141/3227/1", 38.3)</f>
        <v>38.299999999999997</v>
      </c>
      <c r="E5665" s="2">
        <v>24.12</v>
      </c>
      <c r="F5665" s="2">
        <v>2</v>
      </c>
      <c r="G5665" s="2" t="s">
        <v>14</v>
      </c>
    </row>
    <row r="5666" spans="1:8" x14ac:dyDescent="0.2">
      <c r="A5666" s="2" t="s">
        <v>3643</v>
      </c>
      <c r="B5666" s="2" t="s">
        <v>5577</v>
      </c>
      <c r="C5666" s="2">
        <v>598.05319999999995</v>
      </c>
      <c r="D5666" s="2">
        <f>HYPERLINK("http://mcb-m6.bioreg.kyushu-u.ac.jp/M3/20110428/F51141/1159/1", 39.34)</f>
        <v>39.340000000000003</v>
      </c>
      <c r="E5666" s="2">
        <v>17.100000000000001</v>
      </c>
      <c r="F5666" s="2">
        <v>2</v>
      </c>
      <c r="G5666" s="2" t="s">
        <v>14</v>
      </c>
    </row>
    <row r="5667" spans="1:8" x14ac:dyDescent="0.2">
      <c r="A5667" s="2" t="s">
        <v>3643</v>
      </c>
      <c r="B5667" s="2" t="s">
        <v>565</v>
      </c>
      <c r="C5667" s="2">
        <v>671.19759999999997</v>
      </c>
      <c r="D5667" s="2">
        <f>HYPERLINK("http://mcb-m6.bioreg.kyushu-u.ac.jp/M3/20110428/F51141/1498/1", 61.36)</f>
        <v>61.36</v>
      </c>
      <c r="E5667" s="2">
        <v>38.229999999999997</v>
      </c>
      <c r="F5667" s="2">
        <v>2</v>
      </c>
      <c r="G5667" s="2" t="s">
        <v>14</v>
      </c>
    </row>
    <row r="5668" spans="1:8" x14ac:dyDescent="0.2">
      <c r="A5668" s="2" t="s">
        <v>3643</v>
      </c>
      <c r="B5668" s="2" t="s">
        <v>1335</v>
      </c>
      <c r="C5668" s="2">
        <v>959.54219999999998</v>
      </c>
      <c r="D5668" s="2">
        <f>HYPERLINK("http://mcb-m6.bioreg.kyushu-u.ac.jp/M3/20110428/F51141/3230/1", 62.9)</f>
        <v>62.9</v>
      </c>
      <c r="E5668" s="2">
        <v>49.51</v>
      </c>
      <c r="F5668" s="2">
        <v>2</v>
      </c>
      <c r="G5668" s="2" t="s">
        <v>14</v>
      </c>
    </row>
    <row r="5669" spans="1:8" x14ac:dyDescent="0.2">
      <c r="A5669" s="2" t="s">
        <v>4318</v>
      </c>
      <c r="B5669" s="2" t="s">
        <v>2411</v>
      </c>
      <c r="C5669" s="2">
        <v>864.05290000000002</v>
      </c>
      <c r="D5669" s="2">
        <f>HYPERLINK("http://mcb-m6.bioreg.kyushu-u.ac.jp/M3/20110502/F51158/3739/1", 46.86)</f>
        <v>46.86</v>
      </c>
      <c r="E5669" s="2">
        <v>30.4</v>
      </c>
      <c r="F5669" s="2">
        <v>3</v>
      </c>
      <c r="G5669" s="2" t="s">
        <v>13</v>
      </c>
    </row>
    <row r="5670" spans="1:8" x14ac:dyDescent="0.2">
      <c r="A5670" s="2" t="s">
        <v>4318</v>
      </c>
      <c r="B5670" s="2" t="s">
        <v>2411</v>
      </c>
      <c r="C5670" s="2">
        <v>1295.681</v>
      </c>
      <c r="D5670" s="2">
        <f>HYPERLINK("http://mcb-m6.bioreg.kyushu-u.ac.jp/M3/20110502/F51158/3740/1", 82.17)</f>
        <v>82.17</v>
      </c>
      <c r="E5670" s="2">
        <v>70.78</v>
      </c>
      <c r="F5670" s="2">
        <v>2</v>
      </c>
      <c r="G5670" s="2" t="s">
        <v>13</v>
      </c>
    </row>
    <row r="5671" spans="1:8" x14ac:dyDescent="0.2">
      <c r="A5671" s="2" t="s">
        <v>5628</v>
      </c>
      <c r="B5671" s="2" t="s">
        <v>5046</v>
      </c>
      <c r="C5671" s="2">
        <v>601.35609999999997</v>
      </c>
      <c r="D5671" s="2">
        <f>HYPERLINK("http://mcb-m6.bioreg.kyushu-u.ac.jp/M3/20110318/F50618/1109/1", 43.02)</f>
        <v>43.02</v>
      </c>
      <c r="E5671" s="2">
        <v>15.67</v>
      </c>
      <c r="F5671" s="2">
        <v>2</v>
      </c>
      <c r="G5671" s="2" t="s">
        <v>9</v>
      </c>
    </row>
    <row r="5672" spans="1:8" x14ac:dyDescent="0.2">
      <c r="A5672" s="2" t="s">
        <v>3479</v>
      </c>
      <c r="B5672" s="2" t="s">
        <v>299</v>
      </c>
      <c r="C5672" s="2">
        <v>615.15970000000004</v>
      </c>
      <c r="D5672" s="2">
        <f>HYPERLINK("http://mcb-m6.bioreg.kyushu-u.ac.jp/M3/20110429/F51151/1654/1", 37.94)</f>
        <v>37.94</v>
      </c>
      <c r="E5672" s="2">
        <v>16.25</v>
      </c>
      <c r="F5672" s="2">
        <v>2</v>
      </c>
      <c r="G5672" s="2" t="s">
        <v>13</v>
      </c>
    </row>
    <row r="5673" spans="1:8" x14ac:dyDescent="0.2">
      <c r="A5673" s="2" t="s">
        <v>3479</v>
      </c>
      <c r="B5673" s="2" t="s">
        <v>299</v>
      </c>
      <c r="C5673" s="2">
        <v>615.20719999999994</v>
      </c>
      <c r="D5673" s="2">
        <f>HYPERLINK("http://mcb-m6.bioreg.kyushu-u.ac.jp/M3/20110429/F51152/1367/1", 39.61)</f>
        <v>39.61</v>
      </c>
      <c r="E5673" s="2">
        <v>19.02</v>
      </c>
      <c r="F5673" s="2">
        <v>2</v>
      </c>
      <c r="G5673" s="2" t="s">
        <v>13</v>
      </c>
    </row>
    <row r="5674" spans="1:8" x14ac:dyDescent="0.2">
      <c r="A5674" s="2" t="s">
        <v>4106</v>
      </c>
      <c r="B5674" s="2" t="s">
        <v>1586</v>
      </c>
      <c r="C5674" s="2">
        <v>729.13570000000004</v>
      </c>
      <c r="D5674" s="2">
        <f>HYPERLINK("http://mcb-m6.bioreg.kyushu-u.ac.jp/M3/20110318/F50608/1458/1", 48.4)</f>
        <v>48.4</v>
      </c>
      <c r="E5674" s="2">
        <v>37.67</v>
      </c>
      <c r="F5674" s="2">
        <v>2</v>
      </c>
      <c r="G5674" s="2" t="s">
        <v>9</v>
      </c>
    </row>
    <row r="5675" spans="1:8" x14ac:dyDescent="0.2">
      <c r="A5675" s="2" t="s">
        <v>4106</v>
      </c>
      <c r="B5675" s="2" t="s">
        <v>5486</v>
      </c>
      <c r="C5675" s="2">
        <v>468.2731</v>
      </c>
      <c r="D5675" s="2">
        <f>HYPERLINK("http://mcb-m6.bioreg.kyushu-u.ac.jp/M3/20110429/F51151/1021/1", 38.52)</f>
        <v>38.520000000000003</v>
      </c>
      <c r="E5675" s="2">
        <v>8.9499999999999993</v>
      </c>
      <c r="F5675" s="2">
        <v>2</v>
      </c>
      <c r="G5675" s="2" t="s">
        <v>13</v>
      </c>
      <c r="H5675" s="2" t="s">
        <v>4891</v>
      </c>
    </row>
    <row r="5676" spans="1:8" x14ac:dyDescent="0.2">
      <c r="A5676" s="2" t="s">
        <v>3778</v>
      </c>
      <c r="B5676" s="2" t="s">
        <v>810</v>
      </c>
      <c r="C5676" s="2">
        <v>707.04110000000003</v>
      </c>
      <c r="D5676" s="2">
        <f>HYPERLINK("http://mcb-m6.bioreg.kyushu-u.ac.jp/M3/20110318/F50621/1408/1", 38.92)</f>
        <v>38.92</v>
      </c>
      <c r="E5676" s="2">
        <v>24.44</v>
      </c>
      <c r="F5676" s="2">
        <v>2</v>
      </c>
      <c r="G5676" s="2" t="s">
        <v>9</v>
      </c>
      <c r="H5676" s="2" t="s">
        <v>4919</v>
      </c>
    </row>
    <row r="5677" spans="1:8" x14ac:dyDescent="0.2">
      <c r="A5677" s="2" t="s">
        <v>3778</v>
      </c>
      <c r="B5677" s="2" t="s">
        <v>810</v>
      </c>
      <c r="C5677" s="2">
        <v>698.74469999999997</v>
      </c>
      <c r="D5677" s="2">
        <f>HYPERLINK("http://mcb-m6.bioreg.kyushu-u.ac.jp/M3/20110318/F50617/1395/1", 63.71)</f>
        <v>63.71</v>
      </c>
      <c r="E5677" s="2">
        <v>45.5</v>
      </c>
      <c r="F5677" s="2">
        <v>2</v>
      </c>
      <c r="G5677" s="2" t="s">
        <v>10</v>
      </c>
    </row>
    <row r="5678" spans="1:8" x14ac:dyDescent="0.2">
      <c r="A5678" s="2" t="s">
        <v>3778</v>
      </c>
      <c r="B5678" s="2" t="s">
        <v>810</v>
      </c>
      <c r="C5678" s="2">
        <v>699.2817</v>
      </c>
      <c r="D5678" s="2">
        <f>HYPERLINK("http://mcb-m6.bioreg.kyushu-u.ac.jp/M3/20110318/F50617/1396/1", 72.77)</f>
        <v>72.77</v>
      </c>
      <c r="E5678" s="2">
        <v>55.17</v>
      </c>
      <c r="F5678" s="2">
        <v>2</v>
      </c>
      <c r="G5678" s="2" t="s">
        <v>10</v>
      </c>
    </row>
    <row r="5679" spans="1:8" x14ac:dyDescent="0.2">
      <c r="A5679" s="2" t="s">
        <v>4483</v>
      </c>
      <c r="B5679" s="2" t="s">
        <v>2960</v>
      </c>
      <c r="C5679" s="2">
        <v>766.15219999999999</v>
      </c>
      <c r="D5679" s="2">
        <f>HYPERLINK("http://mcb-m6.bioreg.kyushu-u.ac.jp/M3/20110418/F50988/2204/1", 76.08)</f>
        <v>76.08</v>
      </c>
      <c r="E5679" s="2">
        <v>52.13</v>
      </c>
      <c r="F5679" s="2">
        <v>2</v>
      </c>
      <c r="G5679" s="2" t="s">
        <v>12</v>
      </c>
    </row>
    <row r="5680" spans="1:8" x14ac:dyDescent="0.2">
      <c r="A5680" s="2" t="s">
        <v>5610</v>
      </c>
      <c r="B5680" s="2" t="s">
        <v>5004</v>
      </c>
      <c r="C5680" s="2">
        <v>450.47859999999997</v>
      </c>
      <c r="D5680" s="2">
        <f>HYPERLINK("http://mcb-m6.bioreg.kyushu-u.ac.jp/M3/20110318/F50607/839/1", 37.4)</f>
        <v>37.4</v>
      </c>
      <c r="E5680" s="2">
        <v>8.4700000000000006</v>
      </c>
      <c r="F5680" s="2">
        <v>2</v>
      </c>
      <c r="G5680" s="2" t="s">
        <v>9</v>
      </c>
    </row>
    <row r="5681" spans="1:8" x14ac:dyDescent="0.2">
      <c r="A5681" s="2" t="s">
        <v>5610</v>
      </c>
      <c r="B5681" s="2" t="s">
        <v>5004</v>
      </c>
      <c r="C5681" s="2">
        <v>450.28559999999999</v>
      </c>
      <c r="D5681" s="2">
        <f>HYPERLINK("http://mcb-m6.bioreg.kyushu-u.ac.jp/M3/20110428/F51138/1200/1", 39.2)</f>
        <v>39.200000000000003</v>
      </c>
      <c r="E5681" s="2">
        <v>8.1</v>
      </c>
      <c r="F5681" s="2">
        <v>2</v>
      </c>
      <c r="G5681" s="2" t="s">
        <v>14</v>
      </c>
    </row>
    <row r="5682" spans="1:8" x14ac:dyDescent="0.2">
      <c r="A5682" s="2" t="s">
        <v>5610</v>
      </c>
      <c r="B5682" s="2" t="s">
        <v>5004</v>
      </c>
      <c r="C5682" s="2">
        <v>450.36009999999999</v>
      </c>
      <c r="D5682" s="2">
        <f>HYPERLINK("http://mcb-m6.bioreg.kyushu-u.ac.jp/M3/20110428/F51144/806/1", 41.08)</f>
        <v>41.08</v>
      </c>
      <c r="E5682" s="2">
        <v>12.82</v>
      </c>
      <c r="F5682" s="2">
        <v>2</v>
      </c>
      <c r="G5682" s="2" t="s">
        <v>14</v>
      </c>
    </row>
    <row r="5683" spans="1:8" x14ac:dyDescent="0.2">
      <c r="A5683" s="2" t="s">
        <v>5753</v>
      </c>
      <c r="B5683" s="2" t="s">
        <v>5370</v>
      </c>
      <c r="C5683" s="2">
        <v>633.29520000000002</v>
      </c>
      <c r="D5683" s="2">
        <f>HYPERLINK("http://mcb-m6.bioreg.kyushu-u.ac.jp/M3/20110418/F50977/1508/1", 38.68)</f>
        <v>38.68</v>
      </c>
      <c r="E5683" s="2">
        <v>17.54</v>
      </c>
      <c r="F5683" s="2">
        <v>2</v>
      </c>
      <c r="G5683" s="2" t="s">
        <v>11</v>
      </c>
    </row>
    <row r="5684" spans="1:8" x14ac:dyDescent="0.2">
      <c r="A5684" s="2" t="s">
        <v>5753</v>
      </c>
      <c r="B5684" s="2" t="s">
        <v>5491</v>
      </c>
      <c r="C5684" s="2">
        <v>491.30059999999997</v>
      </c>
      <c r="D5684" s="2">
        <f>HYPERLINK("http://mcb-m6.bioreg.kyushu-u.ac.jp/M3/20110429/F51153/560/1", 39.33)</f>
        <v>39.33</v>
      </c>
      <c r="E5684" s="2">
        <v>19.510000000000002</v>
      </c>
      <c r="F5684" s="2">
        <v>2</v>
      </c>
      <c r="G5684" s="2" t="s">
        <v>13</v>
      </c>
    </row>
    <row r="5685" spans="1:8" x14ac:dyDescent="0.2">
      <c r="A5685" s="2" t="s">
        <v>5749</v>
      </c>
      <c r="B5685" s="2" t="s">
        <v>5364</v>
      </c>
      <c r="C5685" s="2">
        <v>525.84720000000004</v>
      </c>
      <c r="D5685" s="2">
        <f>HYPERLINK("http://mcb-m6.bioreg.kyushu-u.ac.jp/M3/20110418/F50975/877/1", 36.82)</f>
        <v>36.82</v>
      </c>
      <c r="E5685" s="2">
        <v>13.25</v>
      </c>
      <c r="F5685" s="2">
        <v>2</v>
      </c>
      <c r="G5685" s="2" t="s">
        <v>11</v>
      </c>
      <c r="H5685" s="2" t="s">
        <v>4904</v>
      </c>
    </row>
    <row r="5686" spans="1:8" x14ac:dyDescent="0.2">
      <c r="A5686" s="2" t="s">
        <v>3525</v>
      </c>
      <c r="B5686" s="2" t="s">
        <v>2542</v>
      </c>
      <c r="C5686" s="2">
        <v>650.23019999999997</v>
      </c>
      <c r="D5686" s="2">
        <f>HYPERLINK("http://mcb-m6.bioreg.kyushu-u.ac.jp/M3/20110318/F50620/2440/1", 37.93)</f>
        <v>37.93</v>
      </c>
      <c r="E5686" s="2">
        <v>17.71</v>
      </c>
      <c r="F5686" s="2">
        <v>3</v>
      </c>
      <c r="G5686" s="2" t="s">
        <v>9</v>
      </c>
    </row>
    <row r="5687" spans="1:8" x14ac:dyDescent="0.2">
      <c r="A5687" s="2" t="s">
        <v>3525</v>
      </c>
      <c r="B5687" s="2" t="s">
        <v>370</v>
      </c>
      <c r="C5687" s="2">
        <v>560.3202</v>
      </c>
      <c r="D5687" s="2">
        <f>HYPERLINK("http://mcb-m6.bioreg.kyushu-u.ac.jp/M3/20110318/F50620/1119/1", 45.45)</f>
        <v>45.45</v>
      </c>
      <c r="E5687" s="2">
        <v>28.06</v>
      </c>
      <c r="F5687" s="2">
        <v>2</v>
      </c>
      <c r="G5687" s="2" t="s">
        <v>9</v>
      </c>
    </row>
    <row r="5688" spans="1:8" x14ac:dyDescent="0.2">
      <c r="A5688" s="2" t="s">
        <v>3525</v>
      </c>
      <c r="B5688" s="2" t="s">
        <v>1855</v>
      </c>
      <c r="C5688" s="2">
        <v>514.37070000000006</v>
      </c>
      <c r="D5688" s="2">
        <f>HYPERLINK("http://mcb-m6.bioreg.kyushu-u.ac.jp/M3/20110318/F50620/1027/1", 60.82)</f>
        <v>60.82</v>
      </c>
      <c r="E5688" s="2">
        <v>28.35</v>
      </c>
      <c r="F5688" s="2">
        <v>2</v>
      </c>
      <c r="G5688" s="2" t="s">
        <v>9</v>
      </c>
    </row>
    <row r="5689" spans="1:8" x14ac:dyDescent="0.2">
      <c r="A5689" s="2" t="s">
        <v>3525</v>
      </c>
      <c r="B5689" s="2" t="s">
        <v>437</v>
      </c>
      <c r="C5689" s="2">
        <v>586.22969999999998</v>
      </c>
      <c r="D5689" s="2">
        <f>HYPERLINK("http://mcb-m6.bioreg.kyushu-u.ac.jp/M3/20110318/F50620/1201/1", 63.21)</f>
        <v>63.21</v>
      </c>
      <c r="E5689" s="2">
        <v>38.01</v>
      </c>
      <c r="F5689" s="2">
        <v>2</v>
      </c>
      <c r="G5689" s="2" t="s">
        <v>9</v>
      </c>
    </row>
    <row r="5690" spans="1:8" x14ac:dyDescent="0.2">
      <c r="A5690" s="2" t="s">
        <v>3525</v>
      </c>
      <c r="B5690" s="2" t="s">
        <v>881</v>
      </c>
      <c r="C5690" s="2">
        <v>788.05970000000002</v>
      </c>
      <c r="D5690" s="2">
        <f>HYPERLINK("http://mcb-m6.bioreg.kyushu-u.ac.jp/M3/20110318/F50620/1940/1", 71.87)</f>
        <v>71.87</v>
      </c>
      <c r="E5690" s="2">
        <v>51.29</v>
      </c>
      <c r="F5690" s="2">
        <v>2</v>
      </c>
      <c r="G5690" s="2" t="s">
        <v>9</v>
      </c>
    </row>
    <row r="5691" spans="1:8" x14ac:dyDescent="0.2">
      <c r="A5691" s="2" t="s">
        <v>3525</v>
      </c>
      <c r="B5691" s="2" t="s">
        <v>5167</v>
      </c>
      <c r="C5691" s="2">
        <v>897.04060000000004</v>
      </c>
      <c r="D5691" s="2">
        <f>HYPERLINK("http://mcb-m6.bioreg.kyushu-u.ac.jp/M3/20110318/F50607/2015/1", 74.99)</f>
        <v>74.989999999999995</v>
      </c>
      <c r="E5691" s="2">
        <v>57.39</v>
      </c>
      <c r="F5691" s="2">
        <v>2</v>
      </c>
      <c r="G5691" s="2" t="s">
        <v>9</v>
      </c>
    </row>
    <row r="5692" spans="1:8" x14ac:dyDescent="0.2">
      <c r="A5692" s="2" t="s">
        <v>3525</v>
      </c>
      <c r="B5692" s="2" t="s">
        <v>881</v>
      </c>
      <c r="C5692" s="2">
        <v>779.37459999999999</v>
      </c>
      <c r="D5692" s="2">
        <f>HYPERLINK("http://mcb-m6.bioreg.kyushu-u.ac.jp/M3/20110318/F50620/1887/1", 77.96)</f>
        <v>77.959999999999994</v>
      </c>
      <c r="E5692" s="2">
        <v>67.19</v>
      </c>
      <c r="F5692" s="2">
        <v>2</v>
      </c>
      <c r="G5692" s="2" t="s">
        <v>9</v>
      </c>
      <c r="H5692" s="2" t="s">
        <v>4904</v>
      </c>
    </row>
    <row r="5693" spans="1:8" x14ac:dyDescent="0.2">
      <c r="A5693" s="2" t="s">
        <v>3525</v>
      </c>
      <c r="B5693" s="2" t="s">
        <v>5167</v>
      </c>
      <c r="C5693" s="2">
        <v>896.79719999999998</v>
      </c>
      <c r="D5693" s="2">
        <f>HYPERLINK("http://mcb-m6.bioreg.kyushu-u.ac.jp/M3/20110318/F50617/2089/1", 36.39)</f>
        <v>36.39</v>
      </c>
      <c r="E5693" s="2">
        <v>23.56</v>
      </c>
      <c r="F5693" s="2">
        <v>2</v>
      </c>
      <c r="G5693" s="2" t="s">
        <v>10</v>
      </c>
    </row>
    <row r="5694" spans="1:8" x14ac:dyDescent="0.2">
      <c r="A5694" s="2" t="s">
        <v>3525</v>
      </c>
      <c r="B5694" s="2" t="s">
        <v>370</v>
      </c>
      <c r="C5694" s="2">
        <v>560.40170000000001</v>
      </c>
      <c r="D5694" s="2">
        <f>HYPERLINK("http://mcb-m6.bioreg.kyushu-u.ac.jp/M3/20110318/F50616/1114/1", 45.13)</f>
        <v>45.13</v>
      </c>
      <c r="E5694" s="2">
        <v>29.66</v>
      </c>
      <c r="F5694" s="2">
        <v>2</v>
      </c>
      <c r="G5694" s="2" t="s">
        <v>10</v>
      </c>
    </row>
    <row r="5695" spans="1:8" x14ac:dyDescent="0.2">
      <c r="A5695" s="2" t="s">
        <v>3525</v>
      </c>
      <c r="B5695" s="2" t="s">
        <v>5167</v>
      </c>
      <c r="C5695" s="2">
        <v>896.81960000000004</v>
      </c>
      <c r="D5695" s="2">
        <f>HYPERLINK("http://mcb-m6.bioreg.kyushu-u.ac.jp/M3/20110318/F50598/2000/1", 48.89)</f>
        <v>48.89</v>
      </c>
      <c r="E5695" s="2">
        <v>37.51</v>
      </c>
      <c r="F5695" s="2">
        <v>2</v>
      </c>
      <c r="G5695" s="2" t="s">
        <v>10</v>
      </c>
    </row>
    <row r="5696" spans="1:8" x14ac:dyDescent="0.2">
      <c r="A5696" s="2" t="s">
        <v>3525</v>
      </c>
      <c r="B5696" s="2" t="s">
        <v>2542</v>
      </c>
      <c r="C5696" s="2">
        <v>650.4615</v>
      </c>
      <c r="D5696" s="2">
        <f>HYPERLINK("http://mcb-m6.bioreg.kyushu-u.ac.jp/M3/20110318/F50616/2488/1", 52.96)</f>
        <v>52.96</v>
      </c>
      <c r="E5696" s="2">
        <v>35.049999999999997</v>
      </c>
      <c r="F5696" s="2">
        <v>3</v>
      </c>
      <c r="G5696" s="2" t="s">
        <v>10</v>
      </c>
    </row>
    <row r="5697" spans="1:9" x14ac:dyDescent="0.2">
      <c r="A5697" s="2" t="s">
        <v>3525</v>
      </c>
      <c r="B5697" s="2" t="s">
        <v>1855</v>
      </c>
      <c r="C5697" s="2">
        <v>514.51760000000002</v>
      </c>
      <c r="D5697" s="2">
        <f>HYPERLINK("http://mcb-m6.bioreg.kyushu-u.ac.jp/M3/20110318/F50616/1023/1", 54.94)</f>
        <v>54.94</v>
      </c>
      <c r="E5697" s="2">
        <v>23.61</v>
      </c>
      <c r="F5697" s="2">
        <v>2</v>
      </c>
      <c r="G5697" s="2" t="s">
        <v>10</v>
      </c>
    </row>
    <row r="5698" spans="1:9" x14ac:dyDescent="0.2">
      <c r="A5698" s="2" t="s">
        <v>3525</v>
      </c>
      <c r="B5698" s="2" t="s">
        <v>881</v>
      </c>
      <c r="C5698" s="2">
        <v>788.01369999999997</v>
      </c>
      <c r="D5698" s="2">
        <f>HYPERLINK("http://mcb-m6.bioreg.kyushu-u.ac.jp/M3/20110318/F50616/1939/1", 63.6)</f>
        <v>63.6</v>
      </c>
      <c r="E5698" s="2">
        <v>52.82</v>
      </c>
      <c r="F5698" s="2">
        <v>2</v>
      </c>
      <c r="G5698" s="2" t="s">
        <v>10</v>
      </c>
    </row>
    <row r="5699" spans="1:9" x14ac:dyDescent="0.2">
      <c r="A5699" s="2" t="s">
        <v>3525</v>
      </c>
      <c r="B5699" s="2" t="s">
        <v>881</v>
      </c>
      <c r="C5699" s="2">
        <v>779.39369999999997</v>
      </c>
      <c r="D5699" s="2">
        <f>HYPERLINK("http://mcb-m6.bioreg.kyushu-u.ac.jp/M3/20110318/F50616/1878/1", 90.62)</f>
        <v>90.62</v>
      </c>
      <c r="E5699" s="2">
        <v>76.03</v>
      </c>
      <c r="F5699" s="2">
        <v>2</v>
      </c>
      <c r="G5699" s="2" t="s">
        <v>10</v>
      </c>
      <c r="H5699" s="2" t="s">
        <v>4904</v>
      </c>
    </row>
    <row r="5700" spans="1:9" x14ac:dyDescent="0.2">
      <c r="A5700" s="2" t="s">
        <v>3525</v>
      </c>
      <c r="B5700" s="2" t="s">
        <v>5377</v>
      </c>
      <c r="C5700" s="2">
        <v>717.46469999999999</v>
      </c>
      <c r="D5700" s="2">
        <f>HYPERLINK("http://mcb-m6.bioreg.kyushu-u.ac.jp/M3/20110418/F50996/1945/1", 39.87)</f>
        <v>39.869999999999997</v>
      </c>
      <c r="E5700" s="2">
        <v>28.63</v>
      </c>
      <c r="F5700" s="2">
        <v>2</v>
      </c>
      <c r="G5700" s="2" t="s">
        <v>11</v>
      </c>
    </row>
    <row r="5701" spans="1:9" x14ac:dyDescent="0.2">
      <c r="A5701" s="2" t="s">
        <v>3525</v>
      </c>
      <c r="B5701" s="2" t="s">
        <v>1855</v>
      </c>
      <c r="C5701" s="2">
        <v>514.79169999999999</v>
      </c>
      <c r="D5701" s="2">
        <f>HYPERLINK("http://mcb-m6.bioreg.kyushu-u.ac.jp/M3/20110418/F50996/1199/1", 54.88)</f>
        <v>54.88</v>
      </c>
      <c r="E5701" s="2">
        <v>27.31</v>
      </c>
      <c r="F5701" s="2">
        <v>2</v>
      </c>
      <c r="G5701" s="2" t="s">
        <v>11</v>
      </c>
    </row>
    <row r="5702" spans="1:9" x14ac:dyDescent="0.2">
      <c r="A5702" s="2" t="s">
        <v>3525</v>
      </c>
      <c r="B5702" s="2" t="s">
        <v>5167</v>
      </c>
      <c r="C5702" s="2">
        <v>897.5607</v>
      </c>
      <c r="D5702" s="2">
        <f>HYPERLINK("http://mcb-m6.bioreg.kyushu-u.ac.jp/M3/20110429/F51152/2752/1", 42.24)</f>
        <v>42.24</v>
      </c>
      <c r="E5702" s="2">
        <v>28.11</v>
      </c>
      <c r="F5702" s="2">
        <v>2</v>
      </c>
      <c r="G5702" s="2" t="s">
        <v>13</v>
      </c>
    </row>
    <row r="5703" spans="1:9" x14ac:dyDescent="0.2">
      <c r="A5703" s="2" t="s">
        <v>3525</v>
      </c>
      <c r="B5703" s="2" t="s">
        <v>881</v>
      </c>
      <c r="C5703" s="2">
        <v>779.1807</v>
      </c>
      <c r="D5703" s="2">
        <f>HYPERLINK("http://mcb-m6.bioreg.kyushu-u.ac.jp/M3/20110429/F51152/2216/1", 45.05)</f>
        <v>45.05</v>
      </c>
      <c r="E5703" s="2">
        <v>36.6</v>
      </c>
      <c r="F5703" s="2">
        <v>2</v>
      </c>
      <c r="G5703" s="2" t="s">
        <v>13</v>
      </c>
      <c r="H5703" s="2" t="s">
        <v>4904</v>
      </c>
    </row>
    <row r="5704" spans="1:9" x14ac:dyDescent="0.2">
      <c r="A5704" s="2" t="s">
        <v>3525</v>
      </c>
      <c r="B5704" s="2" t="s">
        <v>5167</v>
      </c>
      <c r="C5704" s="2">
        <v>896.76369999999997</v>
      </c>
      <c r="D5704" s="2">
        <f>HYPERLINK("http://mcb-m6.bioreg.kyushu-u.ac.jp/M3/20110429/F51152/2745/1", 46.73)</f>
        <v>46.73</v>
      </c>
      <c r="E5704" s="2">
        <v>34</v>
      </c>
      <c r="F5704" s="2">
        <v>2</v>
      </c>
      <c r="G5704" s="2" t="s">
        <v>13</v>
      </c>
    </row>
    <row r="5705" spans="1:9" x14ac:dyDescent="0.2">
      <c r="A5705" s="2" t="s">
        <v>3525</v>
      </c>
      <c r="B5705" s="2" t="s">
        <v>5377</v>
      </c>
      <c r="C5705" s="2">
        <v>717.26120000000003</v>
      </c>
      <c r="D5705" s="2">
        <f>HYPERLINK("http://mcb-m6.bioreg.kyushu-u.ac.jp/M3/20110429/F51152/1819/1", 64.39)</f>
        <v>64.39</v>
      </c>
      <c r="E5705" s="2">
        <v>49.91</v>
      </c>
      <c r="F5705" s="2">
        <v>2</v>
      </c>
      <c r="G5705" s="2" t="s">
        <v>13</v>
      </c>
    </row>
    <row r="5706" spans="1:9" x14ac:dyDescent="0.2">
      <c r="A5706" s="2" t="s">
        <v>3525</v>
      </c>
      <c r="B5706" s="2" t="s">
        <v>881</v>
      </c>
      <c r="C5706" s="2">
        <v>779.81569999999999</v>
      </c>
      <c r="D5706" s="2">
        <f>HYPERLINK("http://mcb-m6.bioreg.kyushu-u.ac.jp/M3/20110429/F51152/2220/1", 83.25)</f>
        <v>83.25</v>
      </c>
      <c r="E5706" s="2">
        <v>73.59</v>
      </c>
      <c r="F5706" s="2">
        <v>2</v>
      </c>
      <c r="G5706" s="2" t="s">
        <v>13</v>
      </c>
      <c r="H5706" s="2" t="s">
        <v>4904</v>
      </c>
    </row>
    <row r="5707" spans="1:9" x14ac:dyDescent="0.2">
      <c r="A5707" s="2" t="s">
        <v>3982</v>
      </c>
      <c r="B5707" s="2" t="s">
        <v>1939</v>
      </c>
      <c r="C5707" s="2">
        <v>767.23720000000003</v>
      </c>
      <c r="D5707" s="2">
        <f>HYPERLINK("http://mcb-m6.bioreg.kyushu-u.ac.jp/M3/20110318/F50620/1799/1", 63.89)</f>
        <v>63.89</v>
      </c>
      <c r="E5707" s="2">
        <v>32.08</v>
      </c>
      <c r="F5707" s="2">
        <v>2</v>
      </c>
      <c r="G5707" s="2" t="s">
        <v>9</v>
      </c>
      <c r="H5707" s="2" t="s">
        <v>4964</v>
      </c>
    </row>
    <row r="5708" spans="1:9" x14ac:dyDescent="0.2">
      <c r="A5708" s="2" t="s">
        <v>3982</v>
      </c>
      <c r="B5708" s="2" t="s">
        <v>5150</v>
      </c>
      <c r="C5708" s="2">
        <v>766.01149999999996</v>
      </c>
      <c r="D5708" s="2">
        <f>HYPERLINK("http://mcb-m6.bioreg.kyushu-u.ac.jp/M3/20110318/F50620/2871/1", 68.79)</f>
        <v>68.790000000000006</v>
      </c>
      <c r="E5708" s="2">
        <v>55.8</v>
      </c>
      <c r="F5708" s="2">
        <v>3</v>
      </c>
      <c r="G5708" s="2" t="s">
        <v>9</v>
      </c>
      <c r="H5708" s="2" t="s">
        <v>4908</v>
      </c>
    </row>
    <row r="5709" spans="1:9" x14ac:dyDescent="0.2">
      <c r="A5709" s="2" t="s">
        <v>3982</v>
      </c>
      <c r="B5709" s="2" t="s">
        <v>5180</v>
      </c>
      <c r="C5709" s="2">
        <v>1045.3630000000001</v>
      </c>
      <c r="D5709" s="2">
        <f>HYPERLINK("http://mcb-m6.bioreg.kyushu-u.ac.jp/M3/20110318/F50620/2593/1", 83.92)</f>
        <v>83.92</v>
      </c>
      <c r="E5709" s="2">
        <v>72.7</v>
      </c>
      <c r="F5709" s="2">
        <v>2</v>
      </c>
      <c r="G5709" s="2" t="s">
        <v>9</v>
      </c>
      <c r="I5709" s="2" t="s">
        <v>5890</v>
      </c>
    </row>
    <row r="5710" spans="1:9" x14ac:dyDescent="0.2">
      <c r="A5710" s="2" t="s">
        <v>3982</v>
      </c>
      <c r="B5710" s="2" t="s">
        <v>2109</v>
      </c>
      <c r="C5710" s="2">
        <v>808.29319999999996</v>
      </c>
      <c r="D5710" s="2">
        <f>HYPERLINK("http://mcb-m6.bioreg.kyushu-u.ac.jp/M3/20110318/F50620/1995/1", 89.07)</f>
        <v>89.07</v>
      </c>
      <c r="E5710" s="2">
        <v>74.64</v>
      </c>
      <c r="F5710" s="2">
        <v>2</v>
      </c>
      <c r="G5710" s="2" t="s">
        <v>9</v>
      </c>
      <c r="I5710" s="2" t="s">
        <v>4903</v>
      </c>
    </row>
    <row r="5711" spans="1:9" x14ac:dyDescent="0.2">
      <c r="A5711" s="2" t="s">
        <v>3982</v>
      </c>
      <c r="B5711" s="2" t="s">
        <v>1234</v>
      </c>
      <c r="C5711" s="2">
        <v>774.22360000000003</v>
      </c>
      <c r="D5711" s="2">
        <f>HYPERLINK("http://mcb-m6.bioreg.kyushu-u.ac.jp/M3/20110318/F50620/1857/1", 94.14)</f>
        <v>94.14</v>
      </c>
      <c r="E5711" s="2">
        <v>49.42</v>
      </c>
      <c r="F5711" s="2">
        <v>2</v>
      </c>
      <c r="G5711" s="2" t="s">
        <v>9</v>
      </c>
      <c r="I5711" s="2" t="s">
        <v>4893</v>
      </c>
    </row>
    <row r="5712" spans="1:9" x14ac:dyDescent="0.2">
      <c r="A5712" s="2" t="s">
        <v>3982</v>
      </c>
      <c r="B5712" s="2" t="s">
        <v>1939</v>
      </c>
      <c r="C5712" s="2">
        <v>767.3981</v>
      </c>
      <c r="D5712" s="2">
        <f>HYPERLINK("http://mcb-m6.bioreg.kyushu-u.ac.jp/M3/20110318/F50616/1797/1", 61.8)</f>
        <v>61.8</v>
      </c>
      <c r="E5712" s="2">
        <v>32.83</v>
      </c>
      <c r="F5712" s="2">
        <v>2</v>
      </c>
      <c r="G5712" s="2" t="s">
        <v>10</v>
      </c>
      <c r="H5712" s="2" t="s">
        <v>4964</v>
      </c>
    </row>
    <row r="5713" spans="1:9" x14ac:dyDescent="0.2">
      <c r="A5713" s="2" t="s">
        <v>3982</v>
      </c>
      <c r="B5713" s="2" t="s">
        <v>2109</v>
      </c>
      <c r="C5713" s="2">
        <v>816.3492</v>
      </c>
      <c r="D5713" s="2">
        <f>HYPERLINK("http://mcb-m6.bioreg.kyushu-u.ac.jp/M3/20110318/F50616/2022/1", 69.77)</f>
        <v>69.77</v>
      </c>
      <c r="E5713" s="2">
        <v>56.67</v>
      </c>
      <c r="F5713" s="2">
        <v>2</v>
      </c>
      <c r="G5713" s="2" t="s">
        <v>10</v>
      </c>
      <c r="H5713" s="2" t="s">
        <v>4901</v>
      </c>
      <c r="I5713" s="2" t="s">
        <v>4903</v>
      </c>
    </row>
    <row r="5714" spans="1:9" x14ac:dyDescent="0.2">
      <c r="A5714" s="2" t="s">
        <v>3982</v>
      </c>
      <c r="B5714" s="2" t="s">
        <v>1939</v>
      </c>
      <c r="C5714" s="2">
        <v>767.17570000000001</v>
      </c>
      <c r="D5714" s="2">
        <f>HYPERLINK("http://mcb-m6.bioreg.kyushu-u.ac.jp/M3/20110418/F50996/2190/1", 40.6)</f>
        <v>40.6</v>
      </c>
      <c r="E5714" s="2">
        <v>18.32</v>
      </c>
      <c r="F5714" s="2">
        <v>2</v>
      </c>
      <c r="G5714" s="2" t="s">
        <v>11</v>
      </c>
      <c r="H5714" s="2" t="s">
        <v>4964</v>
      </c>
    </row>
    <row r="5715" spans="1:9" x14ac:dyDescent="0.2">
      <c r="A5715" s="2" t="s">
        <v>3982</v>
      </c>
      <c r="B5715" s="2" t="s">
        <v>1939</v>
      </c>
      <c r="C5715" s="2">
        <v>767.77170000000001</v>
      </c>
      <c r="D5715" s="2">
        <f>HYPERLINK("http://mcb-m6.bioreg.kyushu-u.ac.jp/M3/20110418/F50996/2197/1", 55.96)</f>
        <v>55.96</v>
      </c>
      <c r="E5715" s="2">
        <v>28.52</v>
      </c>
      <c r="F5715" s="2">
        <v>2</v>
      </c>
      <c r="G5715" s="2" t="s">
        <v>11</v>
      </c>
      <c r="H5715" s="2" t="s">
        <v>4964</v>
      </c>
    </row>
    <row r="5716" spans="1:9" x14ac:dyDescent="0.2">
      <c r="A5716" s="2" t="s">
        <v>3982</v>
      </c>
      <c r="B5716" s="2" t="s">
        <v>1234</v>
      </c>
      <c r="C5716" s="2">
        <v>774.25519999999995</v>
      </c>
      <c r="D5716" s="2">
        <f>HYPERLINK("http://mcb-m6.bioreg.kyushu-u.ac.jp/M3/20110418/F50997/2170/1", 37.13)</f>
        <v>37.130000000000003</v>
      </c>
      <c r="E5716" s="2">
        <v>19.5</v>
      </c>
      <c r="F5716" s="2">
        <v>2</v>
      </c>
      <c r="G5716" s="2" t="s">
        <v>12</v>
      </c>
      <c r="I5716" s="2" t="s">
        <v>4893</v>
      </c>
    </row>
    <row r="5717" spans="1:9" x14ac:dyDescent="0.2">
      <c r="A5717" s="2" t="s">
        <v>3982</v>
      </c>
      <c r="B5717" s="2" t="s">
        <v>1939</v>
      </c>
      <c r="C5717" s="2">
        <v>751.25120000000004</v>
      </c>
      <c r="D5717" s="2">
        <f>HYPERLINK("http://mcb-m6.bioreg.kyushu-u.ac.jp/M3/20110418/F50997/2063/1", 42.38)</f>
        <v>42.38</v>
      </c>
      <c r="E5717" s="2">
        <v>18.510000000000002</v>
      </c>
      <c r="F5717" s="2">
        <v>2</v>
      </c>
      <c r="G5717" s="2" t="s">
        <v>12</v>
      </c>
    </row>
    <row r="5718" spans="1:9" x14ac:dyDescent="0.2">
      <c r="A5718" s="2" t="s">
        <v>3982</v>
      </c>
      <c r="B5718" s="2" t="s">
        <v>1939</v>
      </c>
      <c r="C5718" s="2">
        <v>767.77809999999999</v>
      </c>
      <c r="D5718" s="2">
        <f>HYPERLINK("http://mcb-m6.bioreg.kyushu-u.ac.jp/M3/20110418/F50997/2145/1", 61.4)</f>
        <v>61.4</v>
      </c>
      <c r="E5718" s="2">
        <v>34.630000000000003</v>
      </c>
      <c r="F5718" s="2">
        <v>2</v>
      </c>
      <c r="G5718" s="2" t="s">
        <v>12</v>
      </c>
      <c r="H5718" s="2" t="s">
        <v>4964</v>
      </c>
    </row>
    <row r="5719" spans="1:9" x14ac:dyDescent="0.2">
      <c r="A5719" s="2" t="s">
        <v>3982</v>
      </c>
      <c r="B5719" s="2" t="s">
        <v>1939</v>
      </c>
      <c r="C5719" s="2">
        <v>759.69709999999998</v>
      </c>
      <c r="D5719" s="2">
        <f>HYPERLINK("http://mcb-m6.bioreg.kyushu-u.ac.jp/M3/20110429/F51152/2077/1", 44.62)</f>
        <v>44.62</v>
      </c>
      <c r="E5719" s="2">
        <v>10.81</v>
      </c>
      <c r="F5719" s="2">
        <v>2</v>
      </c>
      <c r="G5719" s="2" t="s">
        <v>13</v>
      </c>
      <c r="H5719" s="2" t="s">
        <v>4910</v>
      </c>
    </row>
    <row r="5720" spans="1:9" x14ac:dyDescent="0.2">
      <c r="A5720" s="2" t="s">
        <v>3982</v>
      </c>
      <c r="B5720" s="2" t="s">
        <v>1939</v>
      </c>
      <c r="C5720" s="2">
        <v>751.20669999999996</v>
      </c>
      <c r="D5720" s="2">
        <f>HYPERLINK("http://mcb-m6.bioreg.kyushu-u.ac.jp/M3/20110429/F51152/2030/1", 52.38)</f>
        <v>52.38</v>
      </c>
      <c r="E5720" s="2">
        <v>28.95</v>
      </c>
      <c r="F5720" s="2">
        <v>2</v>
      </c>
      <c r="G5720" s="2" t="s">
        <v>13</v>
      </c>
    </row>
    <row r="5721" spans="1:9" x14ac:dyDescent="0.2">
      <c r="A5721" s="2" t="s">
        <v>3982</v>
      </c>
      <c r="B5721" s="2" t="s">
        <v>1234</v>
      </c>
      <c r="C5721" s="2">
        <v>774.90470000000005</v>
      </c>
      <c r="D5721" s="2">
        <f>HYPERLINK("http://mcb-m6.bioreg.kyushu-u.ac.jp/M3/20110429/F51157/1918/1", 53.2)</f>
        <v>53.2</v>
      </c>
      <c r="E5721" s="2">
        <v>33.770000000000003</v>
      </c>
      <c r="F5721" s="2">
        <v>2</v>
      </c>
      <c r="G5721" s="2" t="s">
        <v>13</v>
      </c>
      <c r="I5721" s="2" t="s">
        <v>4893</v>
      </c>
    </row>
    <row r="5722" spans="1:9" x14ac:dyDescent="0.2">
      <c r="A5722" s="2" t="s">
        <v>3982</v>
      </c>
      <c r="B5722" s="2" t="s">
        <v>1939</v>
      </c>
      <c r="C5722" s="2">
        <v>767.21469999999999</v>
      </c>
      <c r="D5722" s="2">
        <f>HYPERLINK("http://mcb-m6.bioreg.kyushu-u.ac.jp/M3/20110429/F51152/2134/1", 59.93)</f>
        <v>59.93</v>
      </c>
      <c r="E5722" s="2">
        <v>27.9</v>
      </c>
      <c r="F5722" s="2">
        <v>2</v>
      </c>
      <c r="G5722" s="2" t="s">
        <v>13</v>
      </c>
      <c r="H5722" s="2" t="s">
        <v>4964</v>
      </c>
    </row>
    <row r="5723" spans="1:9" x14ac:dyDescent="0.2">
      <c r="A5723" s="2" t="s">
        <v>3982</v>
      </c>
      <c r="B5723" s="2" t="s">
        <v>1234</v>
      </c>
      <c r="C5723" s="2">
        <v>774.82510000000002</v>
      </c>
      <c r="D5723" s="2">
        <f>HYPERLINK("http://mcb-m6.bioreg.kyushu-u.ac.jp/M3/20110429/F51152/2196/1", 60.78)</f>
        <v>60.78</v>
      </c>
      <c r="E5723" s="2">
        <v>26.72</v>
      </c>
      <c r="F5723" s="2">
        <v>2</v>
      </c>
      <c r="G5723" s="2" t="s">
        <v>13</v>
      </c>
      <c r="I5723" s="2" t="s">
        <v>4893</v>
      </c>
    </row>
    <row r="5724" spans="1:9" x14ac:dyDescent="0.2">
      <c r="A5724" s="2" t="s">
        <v>3982</v>
      </c>
      <c r="B5724" s="2" t="s">
        <v>2109</v>
      </c>
      <c r="C5724" s="2">
        <v>808.69759999999997</v>
      </c>
      <c r="D5724" s="2">
        <f>HYPERLINK("http://mcb-m6.bioreg.kyushu-u.ac.jp/M3/20110429/F51152/2360/1", 79.8)</f>
        <v>79.8</v>
      </c>
      <c r="E5724" s="2">
        <v>64.510000000000005</v>
      </c>
      <c r="F5724" s="2">
        <v>2</v>
      </c>
      <c r="G5724" s="2" t="s">
        <v>13</v>
      </c>
      <c r="I5724" s="2" t="s">
        <v>4903</v>
      </c>
    </row>
    <row r="5725" spans="1:9" x14ac:dyDescent="0.2">
      <c r="A5725" s="2" t="s">
        <v>3982</v>
      </c>
      <c r="B5725" s="2" t="s">
        <v>2109</v>
      </c>
      <c r="C5725" s="2">
        <v>816.23519999999996</v>
      </c>
      <c r="D5725" s="2">
        <f>HYPERLINK("http://mcb-m6.bioreg.kyushu-u.ac.jp/M3/20110429/F51152/2388/1", 112)</f>
        <v>112</v>
      </c>
      <c r="E5725" s="2">
        <v>94.16</v>
      </c>
      <c r="F5725" s="2">
        <v>2</v>
      </c>
      <c r="G5725" s="2" t="s">
        <v>13</v>
      </c>
      <c r="H5725" s="2" t="s">
        <v>4901</v>
      </c>
      <c r="I5725" s="2" t="s">
        <v>4903</v>
      </c>
    </row>
    <row r="5726" spans="1:9" x14ac:dyDescent="0.2">
      <c r="A5726" s="2" t="s">
        <v>3982</v>
      </c>
      <c r="B5726" s="2" t="s">
        <v>1939</v>
      </c>
      <c r="C5726" s="2">
        <v>767.89620000000002</v>
      </c>
      <c r="D5726" s="2">
        <f>HYPERLINK("http://mcb-m6.bioreg.kyushu-u.ac.jp/M3/20110428/F51140/2163/1", 50.25)</f>
        <v>50.25</v>
      </c>
      <c r="E5726" s="2">
        <v>18.89</v>
      </c>
      <c r="F5726" s="2">
        <v>2</v>
      </c>
      <c r="G5726" s="2" t="s">
        <v>14</v>
      </c>
      <c r="H5726" s="2" t="s">
        <v>4964</v>
      </c>
    </row>
    <row r="5727" spans="1:9" x14ac:dyDescent="0.2">
      <c r="A5727" s="2" t="s">
        <v>4401</v>
      </c>
      <c r="B5727" s="2" t="s">
        <v>2349</v>
      </c>
      <c r="C5727" s="2">
        <v>523.70870000000002</v>
      </c>
      <c r="D5727" s="2">
        <f>HYPERLINK("http://mcb-m6.bioreg.kyushu-u.ac.jp/M3/20110418/F50978/1076/1", 45.3)</f>
        <v>45.3</v>
      </c>
      <c r="E5727" s="2">
        <v>9.86</v>
      </c>
      <c r="F5727" s="2">
        <v>2</v>
      </c>
      <c r="G5727" s="2" t="s">
        <v>11</v>
      </c>
    </row>
    <row r="5728" spans="1:9" x14ac:dyDescent="0.2">
      <c r="A5728" s="2" t="s">
        <v>3513</v>
      </c>
      <c r="B5728" s="2" t="s">
        <v>1455</v>
      </c>
      <c r="C5728" s="2">
        <v>934.86019999999996</v>
      </c>
      <c r="D5728" s="2">
        <f>HYPERLINK("http://mcb-m6.bioreg.kyushu-u.ac.jp/M3/20110318/F50606/2137/1", 103.66)</f>
        <v>103.66</v>
      </c>
      <c r="E5728" s="2">
        <v>85.35</v>
      </c>
      <c r="F5728" s="2">
        <v>2</v>
      </c>
      <c r="G5728" s="2" t="s">
        <v>9</v>
      </c>
    </row>
    <row r="5729" spans="1:8" x14ac:dyDescent="0.2">
      <c r="A5729" s="2" t="s">
        <v>3513</v>
      </c>
      <c r="B5729" s="2" t="s">
        <v>1656</v>
      </c>
      <c r="C5729" s="2">
        <v>816.43709999999999</v>
      </c>
      <c r="D5729" s="2">
        <f>HYPERLINK("http://mcb-m6.bioreg.kyushu-u.ac.jp/M3/20110318/F50597/1907/1", 89.55)</f>
        <v>89.55</v>
      </c>
      <c r="E5729" s="2">
        <v>76.349999999999994</v>
      </c>
      <c r="F5729" s="2">
        <v>2</v>
      </c>
      <c r="G5729" s="2" t="s">
        <v>10</v>
      </c>
    </row>
    <row r="5730" spans="1:8" x14ac:dyDescent="0.2">
      <c r="A5730" s="2" t="s">
        <v>3513</v>
      </c>
      <c r="B5730" s="2" t="s">
        <v>1455</v>
      </c>
      <c r="C5730" s="2">
        <v>934.66309999999999</v>
      </c>
      <c r="D5730" s="2">
        <f>HYPERLINK("http://mcb-m6.bioreg.kyushu-u.ac.jp/M3/20110318/F50597/2304/1", 123.24)</f>
        <v>123.24</v>
      </c>
      <c r="E5730" s="2">
        <v>104.69</v>
      </c>
      <c r="F5730" s="2">
        <v>2</v>
      </c>
      <c r="G5730" s="2" t="s">
        <v>10</v>
      </c>
    </row>
    <row r="5731" spans="1:8" x14ac:dyDescent="0.2">
      <c r="A5731" s="2" t="s">
        <v>3513</v>
      </c>
      <c r="B5731" s="2" t="s">
        <v>1455</v>
      </c>
      <c r="C5731" s="2">
        <v>934.4982</v>
      </c>
      <c r="D5731" s="2">
        <f>HYPERLINK("http://mcb-m6.bioreg.kyushu-u.ac.jp/M3/20110418/F50974/2992/1", 114.46)</f>
        <v>114.46</v>
      </c>
      <c r="E5731" s="2">
        <v>88.32</v>
      </c>
      <c r="F5731" s="2">
        <v>2</v>
      </c>
      <c r="G5731" s="2" t="s">
        <v>11</v>
      </c>
    </row>
    <row r="5732" spans="1:8" x14ac:dyDescent="0.2">
      <c r="A5732" s="2" t="s">
        <v>3513</v>
      </c>
      <c r="B5732" s="2" t="s">
        <v>1455</v>
      </c>
      <c r="C5732" s="2">
        <v>934.48419999999999</v>
      </c>
      <c r="D5732" s="2">
        <f>HYPERLINK("http://mcb-m6.bioreg.kyushu-u.ac.jp/M3/20110429/F51157/2732/1", 93.86)</f>
        <v>93.86</v>
      </c>
      <c r="E5732" s="2">
        <v>76.319999999999993</v>
      </c>
      <c r="F5732" s="2">
        <v>2</v>
      </c>
      <c r="G5732" s="2" t="s">
        <v>13</v>
      </c>
    </row>
    <row r="5733" spans="1:8" x14ac:dyDescent="0.2">
      <c r="A5733" s="2" t="s">
        <v>3513</v>
      </c>
      <c r="B5733" s="2" t="s">
        <v>1455</v>
      </c>
      <c r="C5733" s="2">
        <v>935.01369999999997</v>
      </c>
      <c r="D5733" s="2">
        <f>HYPERLINK("http://mcb-m6.bioreg.kyushu-u.ac.jp/M3/20110502/F51160/2563/1", 61.1)</f>
        <v>61.1</v>
      </c>
      <c r="E5733" s="2">
        <v>44.93</v>
      </c>
      <c r="F5733" s="2">
        <v>2</v>
      </c>
      <c r="G5733" s="2" t="s">
        <v>14</v>
      </c>
    </row>
    <row r="5734" spans="1:8" x14ac:dyDescent="0.2">
      <c r="A5734" s="2" t="s">
        <v>3513</v>
      </c>
      <c r="B5734" s="2" t="s">
        <v>1455</v>
      </c>
      <c r="C5734" s="2">
        <v>934.4316</v>
      </c>
      <c r="D5734" s="2">
        <f>HYPERLINK("http://mcb-m6.bioreg.kyushu-u.ac.jp/M3/20110502/F51160/2561/1", 104.56)</f>
        <v>104.56</v>
      </c>
      <c r="E5734" s="2">
        <v>87</v>
      </c>
      <c r="F5734" s="2">
        <v>2</v>
      </c>
      <c r="G5734" s="2" t="s">
        <v>14</v>
      </c>
    </row>
    <row r="5735" spans="1:8" x14ac:dyDescent="0.2">
      <c r="A5735" s="2" t="s">
        <v>3513</v>
      </c>
      <c r="B5735" s="2" t="s">
        <v>1455</v>
      </c>
      <c r="C5735" s="2">
        <v>934.66309999999999</v>
      </c>
      <c r="D5735" s="2">
        <f>HYPERLINK("http://mcb-m6.bioreg.kyushu-u.ac.jp/M3/20110502/F51159/2800/1", 125.63)</f>
        <v>125.63</v>
      </c>
      <c r="E5735" s="2">
        <v>98.69</v>
      </c>
      <c r="F5735" s="2">
        <v>2</v>
      </c>
      <c r="G5735" s="2" t="s">
        <v>14</v>
      </c>
    </row>
    <row r="5736" spans="1:8" x14ac:dyDescent="0.2">
      <c r="A5736" s="2" t="s">
        <v>4051</v>
      </c>
      <c r="B5736" s="2" t="s">
        <v>1406</v>
      </c>
      <c r="C5736" s="2">
        <v>715.2527</v>
      </c>
      <c r="D5736" s="2">
        <f>HYPERLINK("http://mcb-m6.bioreg.kyushu-u.ac.jp/M3/20110318/F50596/1517/1", 69.09)</f>
        <v>69.09</v>
      </c>
      <c r="E5736" s="2">
        <v>47.68</v>
      </c>
      <c r="F5736" s="2">
        <v>2</v>
      </c>
      <c r="G5736" s="2" t="s">
        <v>10</v>
      </c>
    </row>
    <row r="5737" spans="1:8" x14ac:dyDescent="0.2">
      <c r="A5737" s="2" t="s">
        <v>3429</v>
      </c>
      <c r="B5737" s="2" t="s">
        <v>2330</v>
      </c>
      <c r="C5737" s="2">
        <v>668.6481</v>
      </c>
      <c r="D5737" s="2">
        <f>HYPERLINK("http://mcb-m6.bioreg.kyushu-u.ac.jp/M3/20110429/F51151/1823/1", 35.54)</f>
        <v>35.54</v>
      </c>
      <c r="E5737" s="2">
        <v>18.649999999999999</v>
      </c>
      <c r="F5737" s="2">
        <v>2</v>
      </c>
      <c r="G5737" s="2" t="s">
        <v>13</v>
      </c>
    </row>
    <row r="5738" spans="1:8" x14ac:dyDescent="0.2">
      <c r="A5738" s="2" t="s">
        <v>3444</v>
      </c>
      <c r="B5738" s="2" t="s">
        <v>253</v>
      </c>
      <c r="C5738" s="2">
        <v>790.27369999999996</v>
      </c>
      <c r="D5738" s="2">
        <f>HYPERLINK("http://mcb-m6.bioreg.kyushu-u.ac.jp/M3/20110318/F50618/1904/1", 47.29)</f>
        <v>47.29</v>
      </c>
      <c r="E5738" s="2">
        <v>18.57</v>
      </c>
      <c r="F5738" s="2">
        <v>2</v>
      </c>
      <c r="G5738" s="2" t="s">
        <v>9</v>
      </c>
      <c r="H5738" s="2" t="s">
        <v>4908</v>
      </c>
    </row>
    <row r="5739" spans="1:8" x14ac:dyDescent="0.2">
      <c r="A5739" s="2" t="s">
        <v>3444</v>
      </c>
      <c r="B5739" s="2" t="s">
        <v>253</v>
      </c>
      <c r="C5739" s="2">
        <v>790.73720000000003</v>
      </c>
      <c r="D5739" s="2">
        <f>HYPERLINK("http://mcb-m6.bioreg.kyushu-u.ac.jp/M3/20110318/F50614/1930/1", 38.9)</f>
        <v>38.9</v>
      </c>
      <c r="E5739" s="2">
        <v>21.94</v>
      </c>
      <c r="F5739" s="2">
        <v>2</v>
      </c>
      <c r="G5739" s="2" t="s">
        <v>10</v>
      </c>
      <c r="H5739" s="2" t="s">
        <v>4908</v>
      </c>
    </row>
    <row r="5740" spans="1:8" x14ac:dyDescent="0.2">
      <c r="A5740" s="2" t="s">
        <v>3444</v>
      </c>
      <c r="B5740" s="2" t="s">
        <v>5550</v>
      </c>
      <c r="C5740" s="2">
        <v>807.54060000000004</v>
      </c>
      <c r="D5740" s="2">
        <f>HYPERLINK("http://mcb-m6.bioreg.kyushu-u.ac.jp/M3/20110502/F51163/2172/1", 69.82)</f>
        <v>69.819999999999993</v>
      </c>
      <c r="E5740" s="2">
        <v>30.25</v>
      </c>
      <c r="F5740" s="2">
        <v>2</v>
      </c>
      <c r="G5740" s="2" t="s">
        <v>13</v>
      </c>
    </row>
    <row r="5741" spans="1:8" x14ac:dyDescent="0.2">
      <c r="A5741" s="2" t="s">
        <v>5763</v>
      </c>
      <c r="B5741" s="2" t="s">
        <v>5386</v>
      </c>
      <c r="C5741" s="2">
        <v>503.92610000000002</v>
      </c>
      <c r="D5741" s="2">
        <f>HYPERLINK("http://mcb-m6.bioreg.kyushu-u.ac.jp/M3/20110418/F50974/974/1", 43.2)</f>
        <v>43.2</v>
      </c>
      <c r="E5741" s="2">
        <v>28.58</v>
      </c>
      <c r="F5741" s="2">
        <v>2</v>
      </c>
      <c r="G5741" s="2" t="s">
        <v>11</v>
      </c>
    </row>
    <row r="5742" spans="1:8" x14ac:dyDescent="0.2">
      <c r="A5742" s="2" t="s">
        <v>4049</v>
      </c>
      <c r="B5742" s="2" t="s">
        <v>1398</v>
      </c>
      <c r="C5742" s="2">
        <v>681.35860000000002</v>
      </c>
      <c r="D5742" s="2">
        <f>HYPERLINK("http://mcb-m6.bioreg.kyushu-u.ac.jp/M3/20110318/F50597/1364/1", 68.96)</f>
        <v>68.959999999999994</v>
      </c>
      <c r="E5742" s="2">
        <v>58.65</v>
      </c>
      <c r="F5742" s="2">
        <v>2</v>
      </c>
      <c r="G5742" s="2" t="s">
        <v>10</v>
      </c>
    </row>
    <row r="5743" spans="1:8" x14ac:dyDescent="0.2">
      <c r="A5743" s="2" t="s">
        <v>4049</v>
      </c>
      <c r="B5743" s="2" t="s">
        <v>1398</v>
      </c>
      <c r="C5743" s="2">
        <v>681.24270000000001</v>
      </c>
      <c r="D5743" s="2">
        <f>HYPERLINK("http://mcb-m6.bioreg.kyushu-u.ac.jp/M3/20110418/F50975/1640/1", 45.54)</f>
        <v>45.54</v>
      </c>
      <c r="E5743" s="2">
        <v>34.71</v>
      </c>
      <c r="F5743" s="2">
        <v>2</v>
      </c>
      <c r="G5743" s="2" t="s">
        <v>11</v>
      </c>
    </row>
    <row r="5744" spans="1:8" x14ac:dyDescent="0.2">
      <c r="A5744" s="2" t="s">
        <v>4049</v>
      </c>
      <c r="B5744" s="2" t="s">
        <v>1398</v>
      </c>
      <c r="C5744" s="2">
        <v>681.31619999999998</v>
      </c>
      <c r="D5744" s="2">
        <f>HYPERLINK("http://mcb-m6.bioreg.kyushu-u.ac.jp/M3/20110429/F51157/1448/1", 62.24)</f>
        <v>62.24</v>
      </c>
      <c r="E5744" s="2">
        <v>50.42</v>
      </c>
      <c r="F5744" s="2">
        <v>2</v>
      </c>
      <c r="G5744" s="2" t="s">
        <v>13</v>
      </c>
    </row>
    <row r="5745" spans="1:9" x14ac:dyDescent="0.2">
      <c r="A5745" s="2" t="s">
        <v>4049</v>
      </c>
      <c r="B5745" s="2" t="s">
        <v>1398</v>
      </c>
      <c r="C5745" s="2">
        <v>681.86519999999996</v>
      </c>
      <c r="D5745" s="2">
        <f>HYPERLINK("http://mcb-m6.bioreg.kyushu-u.ac.jp/M3/20110428/F51141/1575/1", 52.98)</f>
        <v>52.98</v>
      </c>
      <c r="E5745" s="2">
        <v>36.65</v>
      </c>
      <c r="F5745" s="2">
        <v>2</v>
      </c>
      <c r="G5745" s="2" t="s">
        <v>14</v>
      </c>
    </row>
    <row r="5746" spans="1:9" x14ac:dyDescent="0.2">
      <c r="A5746" s="2" t="s">
        <v>5653</v>
      </c>
      <c r="B5746" s="2" t="s">
        <v>5099</v>
      </c>
      <c r="C5746" s="2">
        <v>545.33810000000005</v>
      </c>
      <c r="D5746" s="2">
        <f>HYPERLINK("http://mcb-m6.bioreg.kyushu-u.ac.jp/M3/20110318/F50619/941/1", 53.47)</f>
        <v>53.47</v>
      </c>
      <c r="E5746" s="2">
        <v>32.71</v>
      </c>
      <c r="F5746" s="2">
        <v>2</v>
      </c>
      <c r="G5746" s="2" t="s">
        <v>9</v>
      </c>
    </row>
    <row r="5747" spans="1:9" x14ac:dyDescent="0.2">
      <c r="A5747" s="2" t="s">
        <v>5653</v>
      </c>
      <c r="B5747" s="2" t="s">
        <v>5270</v>
      </c>
      <c r="C5747" s="2">
        <v>648.78520000000003</v>
      </c>
      <c r="D5747" s="2">
        <f>HYPERLINK("http://mcb-m6.bioreg.kyushu-u.ac.jp/M3/20110318/F50615/1212/1", 45.07)</f>
        <v>45.07</v>
      </c>
      <c r="E5747" s="2">
        <v>25.72</v>
      </c>
      <c r="F5747" s="2">
        <v>2</v>
      </c>
      <c r="G5747" s="2" t="s">
        <v>10</v>
      </c>
    </row>
    <row r="5748" spans="1:9" x14ac:dyDescent="0.2">
      <c r="A5748" s="2" t="s">
        <v>5653</v>
      </c>
      <c r="B5748" s="2" t="s">
        <v>5099</v>
      </c>
      <c r="C5748" s="2">
        <v>544.81370000000004</v>
      </c>
      <c r="D5748" s="2">
        <f>HYPERLINK("http://mcb-m6.bioreg.kyushu-u.ac.jp/M3/20110318/F50615/917/1", 49.62)</f>
        <v>49.62</v>
      </c>
      <c r="E5748" s="2">
        <v>24.86</v>
      </c>
      <c r="F5748" s="2">
        <v>2</v>
      </c>
      <c r="G5748" s="2" t="s">
        <v>10</v>
      </c>
    </row>
    <row r="5749" spans="1:9" x14ac:dyDescent="0.2">
      <c r="A5749" s="2" t="s">
        <v>5653</v>
      </c>
      <c r="B5749" s="2" t="s">
        <v>5375</v>
      </c>
      <c r="C5749" s="2">
        <v>842.23720000000003</v>
      </c>
      <c r="D5749" s="2">
        <f>HYPERLINK("http://mcb-m6.bioreg.kyushu-u.ac.jp/M3/20110418/F50975/2634/1", 39.25)</f>
        <v>39.25</v>
      </c>
      <c r="E5749" s="2">
        <v>22.98</v>
      </c>
      <c r="F5749" s="2">
        <v>2</v>
      </c>
      <c r="G5749" s="2" t="s">
        <v>11</v>
      </c>
    </row>
    <row r="5750" spans="1:9" x14ac:dyDescent="0.2">
      <c r="A5750" s="2" t="s">
        <v>5653</v>
      </c>
      <c r="B5750" s="2" t="s">
        <v>5398</v>
      </c>
      <c r="C5750" s="2">
        <v>547.15009999999995</v>
      </c>
      <c r="D5750" s="2">
        <f>HYPERLINK("http://mcb-m6.bioreg.kyushu-u.ac.jp/M3/20110418/F50975/971/1", 46.77)</f>
        <v>46.77</v>
      </c>
      <c r="E5750" s="2">
        <v>30.06</v>
      </c>
      <c r="F5750" s="2">
        <v>2</v>
      </c>
      <c r="G5750" s="2" t="s">
        <v>11</v>
      </c>
    </row>
    <row r="5751" spans="1:9" x14ac:dyDescent="0.2">
      <c r="A5751" s="2" t="s">
        <v>5653</v>
      </c>
      <c r="B5751" s="2" t="s">
        <v>5099</v>
      </c>
      <c r="C5751" s="2">
        <v>545.34810000000004</v>
      </c>
      <c r="D5751" s="2">
        <f>HYPERLINK("http://mcb-m6.bioreg.kyushu-u.ac.jp/M3/20110428/F51141/897/1", 52.68)</f>
        <v>52.68</v>
      </c>
      <c r="E5751" s="2">
        <v>29.57</v>
      </c>
      <c r="F5751" s="2">
        <v>2</v>
      </c>
      <c r="G5751" s="2" t="s">
        <v>14</v>
      </c>
    </row>
    <row r="5752" spans="1:9" x14ac:dyDescent="0.2">
      <c r="A5752" s="2" t="s">
        <v>5655</v>
      </c>
      <c r="B5752" s="2" t="s">
        <v>5103</v>
      </c>
      <c r="C5752" s="2">
        <v>723.22270000000003</v>
      </c>
      <c r="D5752" s="2">
        <f>HYPERLINK("http://mcb-m6.bioreg.kyushu-u.ac.jp/M3/20110318/F50619/1392/1", 54.44)</f>
        <v>54.44</v>
      </c>
      <c r="E5752" s="2">
        <v>31.9</v>
      </c>
      <c r="F5752" s="2">
        <v>2</v>
      </c>
      <c r="G5752" s="2" t="s">
        <v>9</v>
      </c>
    </row>
    <row r="5753" spans="1:9" x14ac:dyDescent="0.2">
      <c r="A5753" s="2" t="s">
        <v>5655</v>
      </c>
      <c r="B5753" s="2" t="s">
        <v>5103</v>
      </c>
      <c r="C5753" s="2">
        <v>723.22220000000004</v>
      </c>
      <c r="D5753" s="2">
        <f>HYPERLINK("http://mcb-m6.bioreg.kyushu-u.ac.jp/M3/20110418/F50975/1924/1", 58.95)</f>
        <v>58.95</v>
      </c>
      <c r="E5753" s="2">
        <v>41.6</v>
      </c>
      <c r="F5753" s="2">
        <v>2</v>
      </c>
      <c r="G5753" s="2" t="s">
        <v>11</v>
      </c>
    </row>
    <row r="5754" spans="1:9" x14ac:dyDescent="0.2">
      <c r="A5754" s="2" t="s">
        <v>5655</v>
      </c>
      <c r="B5754" s="2" t="s">
        <v>5103</v>
      </c>
      <c r="C5754" s="2">
        <v>722.85109999999997</v>
      </c>
      <c r="D5754" s="2">
        <f>HYPERLINK("http://mcb-m6.bioreg.kyushu-u.ac.jp/M3/20110428/F51141/1804/1", 60.61)</f>
        <v>60.61</v>
      </c>
      <c r="E5754" s="2">
        <v>41.21</v>
      </c>
      <c r="F5754" s="2">
        <v>2</v>
      </c>
      <c r="G5754" s="2" t="s">
        <v>14</v>
      </c>
    </row>
    <row r="5755" spans="1:9" x14ac:dyDescent="0.2">
      <c r="A5755" s="2" t="s">
        <v>3727</v>
      </c>
      <c r="B5755" s="2" t="s">
        <v>5023</v>
      </c>
      <c r="C5755" s="2">
        <v>1067.105</v>
      </c>
      <c r="D5755" s="2">
        <f>HYPERLINK("http://mcb-m6.bioreg.kyushu-u.ac.jp/M3/20110318/F50608/1076/1", 40.01)</f>
        <v>40.01</v>
      </c>
      <c r="E5755" s="2">
        <v>21.56</v>
      </c>
      <c r="F5755" s="2">
        <v>1</v>
      </c>
      <c r="G5755" s="2" t="s">
        <v>9</v>
      </c>
    </row>
    <row r="5756" spans="1:9" x14ac:dyDescent="0.2">
      <c r="A5756" s="2" t="s">
        <v>3727</v>
      </c>
      <c r="B5756" s="2" t="s">
        <v>1372</v>
      </c>
      <c r="C5756" s="2">
        <v>866.8442</v>
      </c>
      <c r="D5756" s="2">
        <f>HYPERLINK("http://mcb-m6.bioreg.kyushu-u.ac.jp/M3/20110318/F50608/1914/1", 76.25)</f>
        <v>76.25</v>
      </c>
      <c r="E5756" s="2">
        <v>58.37</v>
      </c>
      <c r="F5756" s="2">
        <v>2</v>
      </c>
      <c r="G5756" s="2" t="s">
        <v>9</v>
      </c>
      <c r="I5756" s="2" t="s">
        <v>4903</v>
      </c>
    </row>
    <row r="5757" spans="1:9" x14ac:dyDescent="0.2">
      <c r="A5757" s="2" t="s">
        <v>3727</v>
      </c>
      <c r="B5757" s="2" t="s">
        <v>1723</v>
      </c>
      <c r="C5757" s="2">
        <v>793.67070000000001</v>
      </c>
      <c r="D5757" s="2">
        <f>HYPERLINK("http://mcb-m6.bioreg.kyushu-u.ac.jp/M3/20110318/F50608/1758/1", 87.98)</f>
        <v>87.98</v>
      </c>
      <c r="E5757" s="2">
        <v>51.48</v>
      </c>
      <c r="F5757" s="2">
        <v>2</v>
      </c>
      <c r="G5757" s="2" t="s">
        <v>9</v>
      </c>
    </row>
    <row r="5758" spans="1:9" x14ac:dyDescent="0.2">
      <c r="A5758" s="2" t="s">
        <v>3727</v>
      </c>
      <c r="B5758" s="2" t="s">
        <v>1723</v>
      </c>
      <c r="C5758" s="2">
        <v>794.33010000000002</v>
      </c>
      <c r="D5758" s="2">
        <f>HYPERLINK("http://mcb-m6.bioreg.kyushu-u.ac.jp/M3/20110318/F50599/1916/1", 78.63)</f>
        <v>78.63</v>
      </c>
      <c r="E5758" s="2">
        <v>61.19</v>
      </c>
      <c r="F5758" s="2">
        <v>2</v>
      </c>
      <c r="G5758" s="2" t="s">
        <v>10</v>
      </c>
    </row>
    <row r="5759" spans="1:9" x14ac:dyDescent="0.2">
      <c r="A5759" s="2" t="s">
        <v>3727</v>
      </c>
      <c r="B5759" s="2" t="s">
        <v>1723</v>
      </c>
      <c r="C5759" s="2">
        <v>794.11519999999996</v>
      </c>
      <c r="D5759" s="2">
        <f>HYPERLINK("http://mcb-m6.bioreg.kyushu-u.ac.jp/M3/20110418/F50972/2379/1", 54.29)</f>
        <v>54.29</v>
      </c>
      <c r="E5759" s="2">
        <v>38.31</v>
      </c>
      <c r="F5759" s="2">
        <v>2</v>
      </c>
      <c r="G5759" s="2" t="s">
        <v>11</v>
      </c>
    </row>
    <row r="5760" spans="1:9" x14ac:dyDescent="0.2">
      <c r="A5760" s="2" t="s">
        <v>3647</v>
      </c>
      <c r="B5760" s="2" t="s">
        <v>573</v>
      </c>
      <c r="C5760" s="2">
        <v>903.34699999999998</v>
      </c>
      <c r="D5760" s="2">
        <f>HYPERLINK("http://mcb-m6.bioreg.kyushu-u.ac.jp/M3/20110429/F51150/1073/2", 37.86)</f>
        <v>37.86</v>
      </c>
      <c r="E5760" s="2">
        <v>10.55</v>
      </c>
      <c r="F5760" s="2">
        <v>1</v>
      </c>
      <c r="G5760" s="2" t="s">
        <v>13</v>
      </c>
    </row>
    <row r="5761" spans="1:9" x14ac:dyDescent="0.2">
      <c r="A5761" s="2" t="s">
        <v>5724</v>
      </c>
      <c r="B5761" s="2" t="s">
        <v>5301</v>
      </c>
      <c r="C5761" s="2">
        <v>694.78420000000006</v>
      </c>
      <c r="D5761" s="2">
        <f>HYPERLINK("http://mcb-m6.bioreg.kyushu-u.ac.jp/M3/20110318/F50616/1459/1", 53.17)</f>
        <v>53.17</v>
      </c>
      <c r="E5761" s="2">
        <v>38.630000000000003</v>
      </c>
      <c r="F5761" s="2">
        <v>2</v>
      </c>
      <c r="G5761" s="2" t="s">
        <v>10</v>
      </c>
    </row>
    <row r="5762" spans="1:9" x14ac:dyDescent="0.2">
      <c r="A5762" s="2" t="s">
        <v>3319</v>
      </c>
      <c r="B5762" s="2" t="s">
        <v>1753</v>
      </c>
      <c r="C5762" s="2">
        <v>564.96420000000001</v>
      </c>
      <c r="D5762" s="2">
        <f>HYPERLINK("http://mcb-m6.bioreg.kyushu-u.ac.jp/M3/20110318/F50603/1097/1", 36.13)</f>
        <v>36.130000000000003</v>
      </c>
      <c r="E5762" s="2">
        <v>11.55</v>
      </c>
      <c r="F5762" s="2">
        <v>2</v>
      </c>
      <c r="G5762" s="2" t="s">
        <v>9</v>
      </c>
      <c r="H5762" s="2" t="s">
        <v>4904</v>
      </c>
    </row>
    <row r="5763" spans="1:9" x14ac:dyDescent="0.2">
      <c r="A5763" s="2" t="s">
        <v>3319</v>
      </c>
      <c r="B5763" s="2" t="s">
        <v>1420</v>
      </c>
      <c r="C5763" s="2">
        <v>554.97860000000003</v>
      </c>
      <c r="D5763" s="2">
        <f>HYPERLINK("http://mcb-m6.bioreg.kyushu-u.ac.jp/M3/20110318/F50605/1070/1", 36.54)</f>
        <v>36.54</v>
      </c>
      <c r="E5763" s="2">
        <v>8.59</v>
      </c>
      <c r="F5763" s="2">
        <v>2</v>
      </c>
      <c r="G5763" s="2" t="s">
        <v>9</v>
      </c>
    </row>
    <row r="5764" spans="1:9" x14ac:dyDescent="0.2">
      <c r="A5764" s="2" t="s">
        <v>3319</v>
      </c>
      <c r="B5764" s="2" t="s">
        <v>5009</v>
      </c>
      <c r="C5764" s="2">
        <v>506.52859999999998</v>
      </c>
      <c r="D5764" s="2">
        <f>HYPERLINK("http://mcb-m6.bioreg.kyushu-u.ac.jp/M3/20110318/F50603/984/1", 37.85)</f>
        <v>37.85</v>
      </c>
      <c r="E5764" s="2">
        <v>16.73</v>
      </c>
      <c r="F5764" s="2">
        <v>2</v>
      </c>
      <c r="G5764" s="2" t="s">
        <v>9</v>
      </c>
    </row>
    <row r="5765" spans="1:9" x14ac:dyDescent="0.2">
      <c r="A5765" s="2" t="s">
        <v>3319</v>
      </c>
      <c r="B5765" s="2" t="s">
        <v>2544</v>
      </c>
      <c r="C5765" s="2">
        <v>696.21669999999995</v>
      </c>
      <c r="D5765" s="2">
        <f>HYPERLINK("http://mcb-m6.bioreg.kyushu-u.ac.jp/M3/20110318/F50619/1295/1", 39.51)</f>
        <v>39.51</v>
      </c>
      <c r="E5765" s="2">
        <v>20.5</v>
      </c>
      <c r="F5765" s="2">
        <v>2</v>
      </c>
      <c r="G5765" s="2" t="s">
        <v>9</v>
      </c>
      <c r="I5765" s="2" t="s">
        <v>4903</v>
      </c>
    </row>
    <row r="5766" spans="1:9" x14ac:dyDescent="0.2">
      <c r="A5766" s="2" t="s">
        <v>3319</v>
      </c>
      <c r="B5766" s="2" t="s">
        <v>2070</v>
      </c>
      <c r="C5766" s="2">
        <v>714.17269999999996</v>
      </c>
      <c r="D5766" s="2">
        <f>HYPERLINK("http://mcb-m6.bioreg.kyushu-u.ac.jp/M3/20110318/F50618/1453/1", 40.28)</f>
        <v>40.28</v>
      </c>
      <c r="E5766" s="2">
        <v>12.59</v>
      </c>
      <c r="F5766" s="2">
        <v>2</v>
      </c>
      <c r="G5766" s="2" t="s">
        <v>9</v>
      </c>
    </row>
    <row r="5767" spans="1:9" x14ac:dyDescent="0.2">
      <c r="A5767" s="2" t="s">
        <v>3319</v>
      </c>
      <c r="B5767" s="2" t="s">
        <v>2181</v>
      </c>
      <c r="C5767" s="2">
        <v>504.03109999999998</v>
      </c>
      <c r="D5767" s="2">
        <f>HYPERLINK("http://mcb-m6.bioreg.kyushu-u.ac.jp/M3/20110318/F50603/976/1", 41.75)</f>
        <v>41.75</v>
      </c>
      <c r="E5767" s="2">
        <v>14.2</v>
      </c>
      <c r="F5767" s="2">
        <v>2</v>
      </c>
      <c r="G5767" s="2" t="s">
        <v>9</v>
      </c>
      <c r="H5767" s="2" t="s">
        <v>4891</v>
      </c>
    </row>
    <row r="5768" spans="1:9" x14ac:dyDescent="0.2">
      <c r="A5768" s="2" t="s">
        <v>3319</v>
      </c>
      <c r="B5768" s="2" t="s">
        <v>2609</v>
      </c>
      <c r="C5768" s="2">
        <v>630.91920000000005</v>
      </c>
      <c r="D5768" s="2">
        <f>HYPERLINK("http://mcb-m6.bioreg.kyushu-u.ac.jp/M3/20110318/F50607/1234/1", 41.85)</f>
        <v>41.85</v>
      </c>
      <c r="E5768" s="2">
        <v>22.08</v>
      </c>
      <c r="F5768" s="2">
        <v>2</v>
      </c>
      <c r="G5768" s="2" t="s">
        <v>9</v>
      </c>
      <c r="I5768" s="2" t="s">
        <v>4892</v>
      </c>
    </row>
    <row r="5769" spans="1:9" x14ac:dyDescent="0.2">
      <c r="A5769" s="2" t="s">
        <v>3319</v>
      </c>
      <c r="B5769" s="2" t="s">
        <v>2544</v>
      </c>
      <c r="C5769" s="2">
        <v>695.79359999999997</v>
      </c>
      <c r="D5769" s="2">
        <f>HYPERLINK("http://mcb-m6.bioreg.kyushu-u.ac.jp/M3/20110318/F50609/1475/1", 42.95)</f>
        <v>42.95</v>
      </c>
      <c r="E5769" s="2">
        <v>25.11</v>
      </c>
      <c r="F5769" s="2">
        <v>2</v>
      </c>
      <c r="G5769" s="2" t="s">
        <v>9</v>
      </c>
      <c r="I5769" s="2" t="s">
        <v>4903</v>
      </c>
    </row>
    <row r="5770" spans="1:9" x14ac:dyDescent="0.2">
      <c r="A5770" s="2" t="s">
        <v>3319</v>
      </c>
      <c r="B5770" s="2" t="s">
        <v>566</v>
      </c>
      <c r="C5770" s="2">
        <v>1058.7239999999999</v>
      </c>
      <c r="D5770" s="2">
        <f>HYPERLINK("http://mcb-m6.bioreg.kyushu-u.ac.jp/M3/20110318/F50603/1034/1", 43.01)</f>
        <v>43.01</v>
      </c>
      <c r="E5770" s="2">
        <v>16.54</v>
      </c>
      <c r="F5770" s="2">
        <v>1</v>
      </c>
      <c r="G5770" s="2" t="s">
        <v>9</v>
      </c>
    </row>
    <row r="5771" spans="1:9" x14ac:dyDescent="0.2">
      <c r="A5771" s="2" t="s">
        <v>3319</v>
      </c>
      <c r="B5771" s="2" t="s">
        <v>1749</v>
      </c>
      <c r="C5771" s="2">
        <v>778.50160000000005</v>
      </c>
      <c r="D5771" s="2">
        <f>HYPERLINK("http://mcb-m6.bioreg.kyushu-u.ac.jp/M3/20110318/F50607/1716/1", 43.23)</f>
        <v>43.23</v>
      </c>
      <c r="E5771" s="2">
        <v>27.93</v>
      </c>
      <c r="F5771" s="2">
        <v>2</v>
      </c>
      <c r="G5771" s="2" t="s">
        <v>9</v>
      </c>
    </row>
    <row r="5772" spans="1:9" x14ac:dyDescent="0.2">
      <c r="A5772" s="2" t="s">
        <v>3319</v>
      </c>
      <c r="B5772" s="2" t="s">
        <v>638</v>
      </c>
      <c r="C5772" s="2">
        <v>557.04269999999997</v>
      </c>
      <c r="D5772" s="2">
        <f>HYPERLINK("http://mcb-m6.bioreg.kyushu-u.ac.jp/M3/20110318/F50604/1192/1", 44.93)</f>
        <v>44.93</v>
      </c>
      <c r="E5772" s="2">
        <v>18.2</v>
      </c>
      <c r="F5772" s="2">
        <v>2</v>
      </c>
      <c r="G5772" s="2" t="s">
        <v>9</v>
      </c>
    </row>
    <row r="5773" spans="1:9" x14ac:dyDescent="0.2">
      <c r="A5773" s="2" t="s">
        <v>3319</v>
      </c>
      <c r="B5773" s="2" t="s">
        <v>5070</v>
      </c>
      <c r="C5773" s="2">
        <v>460.0206</v>
      </c>
      <c r="D5773" s="2">
        <f>HYPERLINK("http://mcb-m6.bioreg.kyushu-u.ac.jp/M3/20110318/F50603/887/1", 46.29)</f>
        <v>46.29</v>
      </c>
      <c r="E5773" s="2">
        <v>11.57</v>
      </c>
      <c r="F5773" s="2">
        <v>2</v>
      </c>
      <c r="G5773" s="2" t="s">
        <v>9</v>
      </c>
    </row>
    <row r="5774" spans="1:9" x14ac:dyDescent="0.2">
      <c r="A5774" s="2" t="s">
        <v>3319</v>
      </c>
      <c r="B5774" s="2" t="s">
        <v>2609</v>
      </c>
      <c r="C5774" s="2">
        <v>631.17070000000001</v>
      </c>
      <c r="D5774" s="2">
        <f>HYPERLINK("http://mcb-m6.bioreg.kyushu-u.ac.jp/M3/20110318/F50602/1281/1", 46.31)</f>
        <v>46.31</v>
      </c>
      <c r="E5774" s="2">
        <v>27.72</v>
      </c>
      <c r="F5774" s="2">
        <v>2</v>
      </c>
      <c r="G5774" s="2" t="s">
        <v>9</v>
      </c>
      <c r="I5774" s="2" t="s">
        <v>4892</v>
      </c>
    </row>
    <row r="5775" spans="1:9" x14ac:dyDescent="0.2">
      <c r="A5775" s="2" t="s">
        <v>3319</v>
      </c>
      <c r="B5775" s="2" t="s">
        <v>2181</v>
      </c>
      <c r="C5775" s="2">
        <v>504.62310000000002</v>
      </c>
      <c r="D5775" s="2">
        <f>HYPERLINK("http://mcb-m6.bioreg.kyushu-u.ac.jp/M3/20110318/F50603/979/1", 46.95)</f>
        <v>46.95</v>
      </c>
      <c r="E5775" s="2">
        <v>21.57</v>
      </c>
      <c r="F5775" s="2">
        <v>2</v>
      </c>
      <c r="G5775" s="2" t="s">
        <v>9</v>
      </c>
      <c r="H5775" s="2" t="s">
        <v>4891</v>
      </c>
    </row>
    <row r="5776" spans="1:9" x14ac:dyDescent="0.2">
      <c r="A5776" s="2" t="s">
        <v>3319</v>
      </c>
      <c r="B5776" s="2" t="s">
        <v>638</v>
      </c>
      <c r="C5776" s="2">
        <v>557.00919999999996</v>
      </c>
      <c r="D5776" s="2">
        <f>HYPERLINK("http://mcb-m6.bioreg.kyushu-u.ac.jp/M3/20110318/F50607/1099/1", 47.54)</f>
        <v>47.54</v>
      </c>
      <c r="E5776" s="2">
        <v>24.8</v>
      </c>
      <c r="F5776" s="2">
        <v>2</v>
      </c>
      <c r="G5776" s="2" t="s">
        <v>9</v>
      </c>
    </row>
    <row r="5777" spans="1:9" x14ac:dyDescent="0.2">
      <c r="A5777" s="2" t="s">
        <v>3319</v>
      </c>
      <c r="B5777" s="2" t="s">
        <v>638</v>
      </c>
      <c r="C5777" s="2">
        <v>557.02369999999996</v>
      </c>
      <c r="D5777" s="2">
        <f>HYPERLINK("http://mcb-m6.bioreg.kyushu-u.ac.jp/M3/20110318/F50603/1079/1", 51.77)</f>
        <v>51.77</v>
      </c>
      <c r="E5777" s="2">
        <v>25.67</v>
      </c>
      <c r="F5777" s="2">
        <v>2</v>
      </c>
      <c r="G5777" s="2" t="s">
        <v>9</v>
      </c>
    </row>
    <row r="5778" spans="1:9" x14ac:dyDescent="0.2">
      <c r="A5778" s="2" t="s">
        <v>3319</v>
      </c>
      <c r="B5778" s="2" t="s">
        <v>566</v>
      </c>
      <c r="C5778" s="2">
        <v>530.0367</v>
      </c>
      <c r="D5778" s="2">
        <f>HYPERLINK("http://mcb-m6.bioreg.kyushu-u.ac.jp/M3/20110318/F50603/1035/1", 51.86)</f>
        <v>51.86</v>
      </c>
      <c r="E5778" s="2">
        <v>20.21</v>
      </c>
      <c r="F5778" s="2">
        <v>2</v>
      </c>
      <c r="G5778" s="2" t="s">
        <v>9</v>
      </c>
    </row>
    <row r="5779" spans="1:9" x14ac:dyDescent="0.2">
      <c r="A5779" s="2" t="s">
        <v>3319</v>
      </c>
      <c r="B5779" s="2" t="s">
        <v>638</v>
      </c>
      <c r="C5779" s="2">
        <v>556.77760000000001</v>
      </c>
      <c r="D5779" s="2">
        <f>HYPERLINK("http://mcb-m6.bioreg.kyushu-u.ac.jp/M3/20110318/F50619/968/1", 52.91)</f>
        <v>52.91</v>
      </c>
      <c r="E5779" s="2">
        <v>17.63</v>
      </c>
      <c r="F5779" s="2">
        <v>2</v>
      </c>
      <c r="G5779" s="2" t="s">
        <v>9</v>
      </c>
    </row>
    <row r="5780" spans="1:9" x14ac:dyDescent="0.2">
      <c r="A5780" s="2" t="s">
        <v>3319</v>
      </c>
      <c r="B5780" s="2" t="s">
        <v>524</v>
      </c>
      <c r="C5780" s="2">
        <v>586.54110000000003</v>
      </c>
      <c r="D5780" s="2">
        <f>HYPERLINK("http://mcb-m6.bioreg.kyushu-u.ac.jp/M3/20110318/F50603/1138/1", 53.86)</f>
        <v>53.86</v>
      </c>
      <c r="E5780" s="2">
        <v>31.18</v>
      </c>
      <c r="F5780" s="2">
        <v>2</v>
      </c>
      <c r="G5780" s="2" t="s">
        <v>9</v>
      </c>
    </row>
    <row r="5781" spans="1:9" x14ac:dyDescent="0.2">
      <c r="A5781" s="2" t="s">
        <v>3319</v>
      </c>
      <c r="B5781" s="2" t="s">
        <v>979</v>
      </c>
      <c r="C5781" s="2">
        <v>609.11969999999997</v>
      </c>
      <c r="D5781" s="2">
        <f>HYPERLINK("http://mcb-m6.bioreg.kyushu-u.ac.jp/M3/20110318/F50604/1270/1", 55.33)</f>
        <v>55.33</v>
      </c>
      <c r="E5781" s="2">
        <v>28.15</v>
      </c>
      <c r="F5781" s="2">
        <v>2</v>
      </c>
      <c r="G5781" s="2" t="s">
        <v>9</v>
      </c>
    </row>
    <row r="5782" spans="1:9" x14ac:dyDescent="0.2">
      <c r="A5782" s="2" t="s">
        <v>3319</v>
      </c>
      <c r="B5782" s="2" t="s">
        <v>5106</v>
      </c>
      <c r="C5782" s="2">
        <v>866.5222</v>
      </c>
      <c r="D5782" s="2">
        <f>HYPERLINK("http://mcb-m6.bioreg.kyushu-u.ac.jp/M3/20110318/F50603/2560/1", 56.32)</f>
        <v>56.32</v>
      </c>
      <c r="E5782" s="2">
        <v>42.47</v>
      </c>
      <c r="F5782" s="2">
        <v>3</v>
      </c>
      <c r="G5782" s="2" t="s">
        <v>9</v>
      </c>
    </row>
    <row r="5783" spans="1:9" x14ac:dyDescent="0.2">
      <c r="A5783" s="2" t="s">
        <v>3319</v>
      </c>
      <c r="B5783" s="2" t="s">
        <v>1280</v>
      </c>
      <c r="C5783" s="2">
        <v>623.29719999999998</v>
      </c>
      <c r="D5783" s="2">
        <f>HYPERLINK("http://mcb-m6.bioreg.kyushu-u.ac.jp/M3/20110318/F50602/1271/1", 57.41)</f>
        <v>57.41</v>
      </c>
      <c r="E5783" s="2">
        <v>34.909999999999997</v>
      </c>
      <c r="F5783" s="2">
        <v>2</v>
      </c>
      <c r="G5783" s="2" t="s">
        <v>9</v>
      </c>
    </row>
    <row r="5784" spans="1:9" x14ac:dyDescent="0.2">
      <c r="A5784" s="2" t="s">
        <v>3319</v>
      </c>
      <c r="B5784" s="2" t="s">
        <v>2181</v>
      </c>
      <c r="C5784" s="2">
        <v>496.4966</v>
      </c>
      <c r="D5784" s="2">
        <f>HYPERLINK("http://mcb-m6.bioreg.kyushu-u.ac.jp/M3/20110318/F50603/962/1", 58.75)</f>
        <v>58.75</v>
      </c>
      <c r="E5784" s="2">
        <v>38.07</v>
      </c>
      <c r="F5784" s="2">
        <v>2</v>
      </c>
      <c r="G5784" s="2" t="s">
        <v>9</v>
      </c>
    </row>
    <row r="5785" spans="1:9" x14ac:dyDescent="0.2">
      <c r="A5785" s="2" t="s">
        <v>3319</v>
      </c>
      <c r="B5785" s="2" t="s">
        <v>104</v>
      </c>
      <c r="C5785" s="2">
        <v>782.42660000000001</v>
      </c>
      <c r="D5785" s="2">
        <f>HYPERLINK("http://mcb-m6.bioreg.kyushu-u.ac.jp/M3/20110318/F50605/1804/1", 59.21)</f>
        <v>59.21</v>
      </c>
      <c r="E5785" s="2">
        <v>54.55</v>
      </c>
      <c r="F5785" s="2">
        <v>2</v>
      </c>
      <c r="G5785" s="2" t="s">
        <v>9</v>
      </c>
    </row>
    <row r="5786" spans="1:9" x14ac:dyDescent="0.2">
      <c r="A5786" s="2" t="s">
        <v>3319</v>
      </c>
      <c r="B5786" s="2" t="s">
        <v>2544</v>
      </c>
      <c r="C5786" s="2">
        <v>695.64970000000005</v>
      </c>
      <c r="D5786" s="2">
        <f>HYPERLINK("http://mcb-m6.bioreg.kyushu-u.ac.jp/M3/20110318/F50620/1451/1", 60.37)</f>
        <v>60.37</v>
      </c>
      <c r="E5786" s="2">
        <v>41.03</v>
      </c>
      <c r="F5786" s="2">
        <v>2</v>
      </c>
      <c r="G5786" s="2" t="s">
        <v>9</v>
      </c>
      <c r="I5786" s="2" t="s">
        <v>4903</v>
      </c>
    </row>
    <row r="5787" spans="1:9" x14ac:dyDescent="0.2">
      <c r="A5787" s="2" t="s">
        <v>3319</v>
      </c>
      <c r="B5787" s="2" t="s">
        <v>1909</v>
      </c>
      <c r="C5787" s="2">
        <v>870.48270000000002</v>
      </c>
      <c r="D5787" s="2">
        <f>HYPERLINK("http://mcb-m6.bioreg.kyushu-u.ac.jp/M3/20110318/F50606/1946/1", 60.48)</f>
        <v>60.48</v>
      </c>
      <c r="E5787" s="2">
        <v>29.3</v>
      </c>
      <c r="F5787" s="2">
        <v>2</v>
      </c>
      <c r="G5787" s="2" t="s">
        <v>9</v>
      </c>
    </row>
    <row r="5788" spans="1:9" x14ac:dyDescent="0.2">
      <c r="A5788" s="2" t="s">
        <v>3319</v>
      </c>
      <c r="B5788" s="2" t="s">
        <v>2204</v>
      </c>
      <c r="C5788" s="2">
        <v>483.95960000000002</v>
      </c>
      <c r="D5788" s="2">
        <f>HYPERLINK("http://mcb-m6.bioreg.kyushu-u.ac.jp/M3/20110318/F50603/940/1", 69.76)</f>
        <v>69.760000000000005</v>
      </c>
      <c r="E5788" s="2">
        <v>35.04</v>
      </c>
      <c r="F5788" s="2">
        <v>2</v>
      </c>
      <c r="G5788" s="2" t="s">
        <v>9</v>
      </c>
      <c r="I5788" s="2" t="s">
        <v>4903</v>
      </c>
    </row>
    <row r="5789" spans="1:9" x14ac:dyDescent="0.2">
      <c r="A5789" s="2" t="s">
        <v>3319</v>
      </c>
      <c r="B5789" s="2" t="s">
        <v>1812</v>
      </c>
      <c r="C5789" s="2">
        <v>581.56460000000004</v>
      </c>
      <c r="D5789" s="2">
        <f>HYPERLINK("http://mcb-m6.bioreg.kyushu-u.ac.jp/M3/20110318/F50603/1127/1", 71.96)</f>
        <v>71.959999999999994</v>
      </c>
      <c r="E5789" s="2">
        <v>50.72</v>
      </c>
      <c r="F5789" s="2">
        <v>2</v>
      </c>
      <c r="G5789" s="2" t="s">
        <v>9</v>
      </c>
    </row>
    <row r="5790" spans="1:9" x14ac:dyDescent="0.2">
      <c r="A5790" s="2" t="s">
        <v>3319</v>
      </c>
      <c r="B5790" s="2" t="s">
        <v>1324</v>
      </c>
      <c r="C5790" s="2">
        <v>581.6422</v>
      </c>
      <c r="D5790" s="2">
        <f>HYPERLINK("http://mcb-m6.bioreg.kyushu-u.ac.jp/M3/20110318/F50603/1128/1", 73.37)</f>
        <v>73.37</v>
      </c>
      <c r="E5790" s="2">
        <v>51.02</v>
      </c>
      <c r="F5790" s="2">
        <v>2</v>
      </c>
      <c r="G5790" s="2" t="s">
        <v>9</v>
      </c>
    </row>
    <row r="5791" spans="1:9" x14ac:dyDescent="0.2">
      <c r="A5791" s="2" t="s">
        <v>3319</v>
      </c>
      <c r="B5791" s="2" t="s">
        <v>2505</v>
      </c>
      <c r="C5791" s="2">
        <v>872.53769999999997</v>
      </c>
      <c r="D5791" s="2">
        <f>HYPERLINK("http://mcb-m6.bioreg.kyushu-u.ac.jp/M3/20110318/F50603/1836/1", 77.04)</f>
        <v>77.040000000000006</v>
      </c>
      <c r="E5791" s="2">
        <v>62.24</v>
      </c>
      <c r="F5791" s="2">
        <v>2</v>
      </c>
      <c r="G5791" s="2" t="s">
        <v>9</v>
      </c>
      <c r="H5791" s="2" t="s">
        <v>4912</v>
      </c>
      <c r="I5791" s="2" t="s">
        <v>4918</v>
      </c>
    </row>
    <row r="5792" spans="1:9" x14ac:dyDescent="0.2">
      <c r="A5792" s="2" t="s">
        <v>3319</v>
      </c>
      <c r="B5792" s="2" t="s">
        <v>1826</v>
      </c>
      <c r="C5792" s="2">
        <v>688.95370000000003</v>
      </c>
      <c r="D5792" s="2">
        <f>HYPERLINK("http://mcb-m6.bioreg.kyushu-u.ac.jp/M3/20110318/F50603/1315/1", 85.54)</f>
        <v>85.54</v>
      </c>
      <c r="E5792" s="2">
        <v>59.2</v>
      </c>
      <c r="F5792" s="2">
        <v>2</v>
      </c>
      <c r="G5792" s="2" t="s">
        <v>9</v>
      </c>
    </row>
    <row r="5793" spans="1:9" x14ac:dyDescent="0.2">
      <c r="A5793" s="2" t="s">
        <v>3319</v>
      </c>
      <c r="B5793" s="2" t="s">
        <v>1280</v>
      </c>
      <c r="C5793" s="2">
        <v>623.28060000000005</v>
      </c>
      <c r="D5793" s="2">
        <f>HYPERLINK("http://mcb-m6.bioreg.kyushu-u.ac.jp/M3/20110318/F50608/1202/1", 87.51)</f>
        <v>87.51</v>
      </c>
      <c r="E5793" s="2">
        <v>54.11</v>
      </c>
      <c r="F5793" s="2">
        <v>2</v>
      </c>
      <c r="G5793" s="2" t="s">
        <v>9</v>
      </c>
    </row>
    <row r="5794" spans="1:9" x14ac:dyDescent="0.2">
      <c r="A5794" s="2" t="s">
        <v>3319</v>
      </c>
      <c r="B5794" s="2" t="s">
        <v>2505</v>
      </c>
      <c r="C5794" s="2">
        <v>864.57209999999998</v>
      </c>
      <c r="D5794" s="2">
        <f>HYPERLINK("http://mcb-m6.bioreg.kyushu-u.ac.jp/M3/20110318/F50604/1867/1", 94.13)</f>
        <v>94.13</v>
      </c>
      <c r="E5794" s="2">
        <v>80.75</v>
      </c>
      <c r="F5794" s="2">
        <v>2</v>
      </c>
      <c r="G5794" s="2" t="s">
        <v>9</v>
      </c>
      <c r="I5794" s="2" t="s">
        <v>4918</v>
      </c>
    </row>
    <row r="5795" spans="1:9" x14ac:dyDescent="0.2">
      <c r="A5795" s="2" t="s">
        <v>3319</v>
      </c>
      <c r="B5795" s="2" t="s">
        <v>2505</v>
      </c>
      <c r="C5795" s="2">
        <v>864.53719999999998</v>
      </c>
      <c r="D5795" s="2">
        <f>HYPERLINK("http://mcb-m6.bioreg.kyushu-u.ac.jp/M3/20110318/F50603/1814/1", 106.14)</f>
        <v>106.14</v>
      </c>
      <c r="E5795" s="2">
        <v>93.77</v>
      </c>
      <c r="F5795" s="2">
        <v>2</v>
      </c>
      <c r="G5795" s="2" t="s">
        <v>9</v>
      </c>
      <c r="I5795" s="2" t="s">
        <v>4918</v>
      </c>
    </row>
    <row r="5796" spans="1:9" x14ac:dyDescent="0.2">
      <c r="A5796" s="2" t="s">
        <v>3319</v>
      </c>
      <c r="B5796" s="2" t="s">
        <v>2544</v>
      </c>
      <c r="C5796" s="2">
        <v>695.87070000000006</v>
      </c>
      <c r="D5796" s="2">
        <f>HYPERLINK("http://mcb-m6.bioreg.kyushu-u.ac.jp/M3/20110318/F50616/1461/1", 35.43)</f>
        <v>35.43</v>
      </c>
      <c r="E5796" s="2">
        <v>17.3</v>
      </c>
      <c r="F5796" s="2">
        <v>2</v>
      </c>
      <c r="G5796" s="2" t="s">
        <v>10</v>
      </c>
      <c r="I5796" s="2" t="s">
        <v>4903</v>
      </c>
    </row>
    <row r="5797" spans="1:9" x14ac:dyDescent="0.2">
      <c r="A5797" s="2" t="s">
        <v>3319</v>
      </c>
      <c r="B5797" s="2" t="s">
        <v>1671</v>
      </c>
      <c r="C5797" s="2">
        <v>871.3356</v>
      </c>
      <c r="D5797" s="2">
        <f>HYPERLINK("http://mcb-m6.bioreg.kyushu-u.ac.jp/M3/20110318/F50611/2096/1", 35.79)</f>
        <v>35.79</v>
      </c>
      <c r="E5797" s="2">
        <v>20.34</v>
      </c>
      <c r="F5797" s="2">
        <v>2</v>
      </c>
      <c r="G5797" s="2" t="s">
        <v>10</v>
      </c>
    </row>
    <row r="5798" spans="1:9" x14ac:dyDescent="0.2">
      <c r="A5798" s="2" t="s">
        <v>3319</v>
      </c>
      <c r="B5798" s="2" t="s">
        <v>5215</v>
      </c>
      <c r="C5798" s="2">
        <v>711.10550000000001</v>
      </c>
      <c r="D5798" s="2">
        <f>HYPERLINK("http://mcb-m6.bioreg.kyushu-u.ac.jp/M3/20110318/F50611/2554/1", 36.25)</f>
        <v>36.25</v>
      </c>
      <c r="E5798" s="2">
        <v>26.87</v>
      </c>
      <c r="F5798" s="2">
        <v>3</v>
      </c>
      <c r="G5798" s="2" t="s">
        <v>10</v>
      </c>
      <c r="H5798" s="2" t="s">
        <v>5885</v>
      </c>
    </row>
    <row r="5799" spans="1:9" x14ac:dyDescent="0.2">
      <c r="A5799" s="2" t="s">
        <v>3319</v>
      </c>
      <c r="B5799" s="2" t="s">
        <v>5009</v>
      </c>
      <c r="C5799" s="2">
        <v>506.42410000000001</v>
      </c>
      <c r="D5799" s="2">
        <f>HYPERLINK("http://mcb-m6.bioreg.kyushu-u.ac.jp/M3/20110318/F50596/1039/1", 36.92)</f>
        <v>36.92</v>
      </c>
      <c r="E5799" s="2">
        <v>21.27</v>
      </c>
      <c r="F5799" s="2">
        <v>2</v>
      </c>
      <c r="G5799" s="2" t="s">
        <v>10</v>
      </c>
    </row>
    <row r="5800" spans="1:9" x14ac:dyDescent="0.2">
      <c r="A5800" s="2" t="s">
        <v>3319</v>
      </c>
      <c r="B5800" s="2" t="s">
        <v>5227</v>
      </c>
      <c r="C5800" s="2">
        <v>757.97519999999997</v>
      </c>
      <c r="D5800" s="2">
        <f>HYPERLINK("http://mcb-m6.bioreg.kyushu-u.ac.jp/M3/20110318/F50611/2744/1", 37.15)</f>
        <v>37.15</v>
      </c>
      <c r="E5800" s="2">
        <v>23.05</v>
      </c>
      <c r="F5800" s="2">
        <v>3</v>
      </c>
      <c r="G5800" s="2" t="s">
        <v>10</v>
      </c>
      <c r="H5800" s="2" t="s">
        <v>5885</v>
      </c>
    </row>
    <row r="5801" spans="1:9" x14ac:dyDescent="0.2">
      <c r="A5801" s="2" t="s">
        <v>3319</v>
      </c>
      <c r="B5801" s="2" t="s">
        <v>2222</v>
      </c>
      <c r="C5801" s="2">
        <v>1049.3869999999999</v>
      </c>
      <c r="D5801" s="2">
        <f>HYPERLINK("http://mcb-m6.bioreg.kyushu-u.ac.jp/M3/20110318/F50611/1050/1", 37.33)</f>
        <v>37.33</v>
      </c>
      <c r="E5801" s="2">
        <v>25.05</v>
      </c>
      <c r="F5801" s="2">
        <v>1</v>
      </c>
      <c r="G5801" s="2" t="s">
        <v>10</v>
      </c>
    </row>
    <row r="5802" spans="1:9" x14ac:dyDescent="0.2">
      <c r="A5802" s="2" t="s">
        <v>3319</v>
      </c>
      <c r="B5802" s="2" t="s">
        <v>1909</v>
      </c>
      <c r="C5802" s="2">
        <v>870.52070000000003</v>
      </c>
      <c r="D5802" s="2">
        <f>HYPERLINK("http://mcb-m6.bioreg.kyushu-u.ac.jp/M3/20110318/F50596/2048/1", 38.69)</f>
        <v>38.69</v>
      </c>
      <c r="E5802" s="2">
        <v>17.809999999999999</v>
      </c>
      <c r="F5802" s="2">
        <v>2</v>
      </c>
      <c r="G5802" s="2" t="s">
        <v>10</v>
      </c>
    </row>
    <row r="5803" spans="1:9" x14ac:dyDescent="0.2">
      <c r="A5803" s="2" t="s">
        <v>3319</v>
      </c>
      <c r="B5803" s="2" t="s">
        <v>1749</v>
      </c>
      <c r="C5803" s="2">
        <v>778.91859999999997</v>
      </c>
      <c r="D5803" s="2">
        <f>HYPERLINK("http://mcb-m6.bioreg.kyushu-u.ac.jp/M3/20110318/F50598/1745/1", 38.85)</f>
        <v>38.85</v>
      </c>
      <c r="E5803" s="2">
        <v>24.16</v>
      </c>
      <c r="F5803" s="2">
        <v>2</v>
      </c>
      <c r="G5803" s="2" t="s">
        <v>10</v>
      </c>
    </row>
    <row r="5804" spans="1:9" x14ac:dyDescent="0.2">
      <c r="A5804" s="2" t="s">
        <v>3319</v>
      </c>
      <c r="B5804" s="2" t="s">
        <v>524</v>
      </c>
      <c r="C5804" s="2">
        <v>586.34270000000004</v>
      </c>
      <c r="D5804" s="2">
        <f>HYPERLINK("http://mcb-m6.bioreg.kyushu-u.ac.jp/M3/20110318/F50611/1190/1", 39.17)</f>
        <v>39.17</v>
      </c>
      <c r="E5804" s="2">
        <v>17.649999999999999</v>
      </c>
      <c r="F5804" s="2">
        <v>2</v>
      </c>
      <c r="G5804" s="2" t="s">
        <v>10</v>
      </c>
    </row>
    <row r="5805" spans="1:9" x14ac:dyDescent="0.2">
      <c r="A5805" s="2" t="s">
        <v>3319</v>
      </c>
      <c r="B5805" s="2" t="s">
        <v>1909</v>
      </c>
      <c r="C5805" s="2">
        <v>869.91110000000003</v>
      </c>
      <c r="D5805" s="2">
        <f>HYPERLINK("http://mcb-m6.bioreg.kyushu-u.ac.jp/M3/20110318/F50614/2207/1", 39.19)</f>
        <v>39.19</v>
      </c>
      <c r="E5805" s="2">
        <v>26.11</v>
      </c>
      <c r="F5805" s="2">
        <v>2</v>
      </c>
      <c r="G5805" s="2" t="s">
        <v>10</v>
      </c>
    </row>
    <row r="5806" spans="1:9" x14ac:dyDescent="0.2">
      <c r="A5806" s="2" t="s">
        <v>3319</v>
      </c>
      <c r="B5806" s="2" t="s">
        <v>1909</v>
      </c>
      <c r="C5806" s="2">
        <v>870.54909999999995</v>
      </c>
      <c r="D5806" s="2">
        <f>HYPERLINK("http://mcb-m6.bioreg.kyushu-u.ac.jp/M3/20110318/F50615/2004/1", 39.87)</f>
        <v>39.869999999999997</v>
      </c>
      <c r="E5806" s="2">
        <v>24.53</v>
      </c>
      <c r="F5806" s="2">
        <v>2</v>
      </c>
      <c r="G5806" s="2" t="s">
        <v>10</v>
      </c>
    </row>
    <row r="5807" spans="1:9" x14ac:dyDescent="0.2">
      <c r="A5807" s="2" t="s">
        <v>3319</v>
      </c>
      <c r="B5807" s="2" t="s">
        <v>1280</v>
      </c>
      <c r="C5807" s="2">
        <v>623.39319999999998</v>
      </c>
      <c r="D5807" s="2">
        <f>HYPERLINK("http://mcb-m6.bioreg.kyushu-u.ac.jp/M3/20110318/F50612/1247/1", 40.51)</f>
        <v>40.51</v>
      </c>
      <c r="E5807" s="2">
        <v>20.41</v>
      </c>
      <c r="F5807" s="2">
        <v>2</v>
      </c>
      <c r="G5807" s="2" t="s">
        <v>10</v>
      </c>
    </row>
    <row r="5808" spans="1:9" x14ac:dyDescent="0.2">
      <c r="A5808" s="2" t="s">
        <v>3319</v>
      </c>
      <c r="B5808" s="2" t="s">
        <v>2544</v>
      </c>
      <c r="C5808" s="2">
        <v>695.74159999999995</v>
      </c>
      <c r="D5808" s="2">
        <f>HYPERLINK("http://mcb-m6.bioreg.kyushu-u.ac.jp/M3/20110318/F50615/1351/1", 40.54)</f>
        <v>40.54</v>
      </c>
      <c r="E5808" s="2">
        <v>22.72</v>
      </c>
      <c r="F5808" s="2">
        <v>2</v>
      </c>
      <c r="G5808" s="2" t="s">
        <v>10</v>
      </c>
      <c r="I5808" s="2" t="s">
        <v>4903</v>
      </c>
    </row>
    <row r="5809" spans="1:9" x14ac:dyDescent="0.2">
      <c r="A5809" s="2" t="s">
        <v>3319</v>
      </c>
      <c r="B5809" s="2" t="s">
        <v>2222</v>
      </c>
      <c r="C5809" s="2">
        <v>525.89419999999996</v>
      </c>
      <c r="D5809" s="2">
        <f>HYPERLINK("http://mcb-m6.bioreg.kyushu-u.ac.jp/M3/20110318/F50611/1052/1", 41.3)</f>
        <v>41.3</v>
      </c>
      <c r="E5809" s="2">
        <v>24.53</v>
      </c>
      <c r="F5809" s="2">
        <v>2</v>
      </c>
      <c r="G5809" s="2" t="s">
        <v>10</v>
      </c>
    </row>
    <row r="5810" spans="1:9" x14ac:dyDescent="0.2">
      <c r="A5810" s="2" t="s">
        <v>3319</v>
      </c>
      <c r="B5810" s="2" t="s">
        <v>1671</v>
      </c>
      <c r="C5810" s="2">
        <v>871.35019999999997</v>
      </c>
      <c r="D5810" s="2">
        <f>HYPERLINK("http://mcb-m6.bioreg.kyushu-u.ac.jp/M3/20110318/F50612/1939/1", 41.42)</f>
        <v>41.42</v>
      </c>
      <c r="E5810" s="2">
        <v>31.05</v>
      </c>
      <c r="F5810" s="2">
        <v>2</v>
      </c>
      <c r="G5810" s="2" t="s">
        <v>10</v>
      </c>
    </row>
    <row r="5811" spans="1:9" x14ac:dyDescent="0.2">
      <c r="A5811" s="2" t="s">
        <v>3319</v>
      </c>
      <c r="B5811" s="2" t="s">
        <v>2181</v>
      </c>
      <c r="C5811" s="2">
        <v>496.3811</v>
      </c>
      <c r="D5811" s="2">
        <f>HYPERLINK("http://mcb-m6.bioreg.kyushu-u.ac.jp/M3/20110318/F50596/1018/1", 41.62)</f>
        <v>41.62</v>
      </c>
      <c r="E5811" s="2">
        <v>27.41</v>
      </c>
      <c r="F5811" s="2">
        <v>2</v>
      </c>
      <c r="G5811" s="2" t="s">
        <v>10</v>
      </c>
    </row>
    <row r="5812" spans="1:9" x14ac:dyDescent="0.2">
      <c r="A5812" s="2" t="s">
        <v>3319</v>
      </c>
      <c r="B5812" s="2" t="s">
        <v>1938</v>
      </c>
      <c r="C5812" s="2">
        <v>479.23059999999998</v>
      </c>
      <c r="D5812" s="2">
        <f>HYPERLINK("http://mcb-m6.bioreg.kyushu-u.ac.jp/M3/20110318/F50611/917/1", 41.67)</f>
        <v>41.67</v>
      </c>
      <c r="E5812" s="2">
        <v>19.62</v>
      </c>
      <c r="F5812" s="2">
        <v>2</v>
      </c>
      <c r="G5812" s="2" t="s">
        <v>10</v>
      </c>
    </row>
    <row r="5813" spans="1:9" x14ac:dyDescent="0.2">
      <c r="A5813" s="2" t="s">
        <v>3319</v>
      </c>
      <c r="B5813" s="2" t="s">
        <v>2505</v>
      </c>
      <c r="C5813" s="2">
        <v>872.54470000000003</v>
      </c>
      <c r="D5813" s="2">
        <f>HYPERLINK("http://mcb-m6.bioreg.kyushu-u.ac.jp/M3/20110318/F50612/1946/1", 42.02)</f>
        <v>42.02</v>
      </c>
      <c r="E5813" s="2">
        <v>38.04</v>
      </c>
      <c r="F5813" s="2">
        <v>2</v>
      </c>
      <c r="G5813" s="2" t="s">
        <v>10</v>
      </c>
      <c r="H5813" s="2" t="s">
        <v>4912</v>
      </c>
      <c r="I5813" s="2" t="s">
        <v>4918</v>
      </c>
    </row>
    <row r="5814" spans="1:9" x14ac:dyDescent="0.2">
      <c r="A5814" s="2" t="s">
        <v>3319</v>
      </c>
      <c r="B5814" s="2" t="s">
        <v>2204</v>
      </c>
      <c r="C5814" s="2">
        <v>966.48800000000006</v>
      </c>
      <c r="D5814" s="2">
        <f>HYPERLINK("http://mcb-m6.bioreg.kyushu-u.ac.jp/M3/20110318/F50611/937/1", 42.25)</f>
        <v>42.25</v>
      </c>
      <c r="E5814" s="2">
        <v>21.18</v>
      </c>
      <c r="F5814" s="2">
        <v>1</v>
      </c>
      <c r="G5814" s="2" t="s">
        <v>10</v>
      </c>
      <c r="I5814" s="2" t="s">
        <v>4903</v>
      </c>
    </row>
    <row r="5815" spans="1:9" x14ac:dyDescent="0.2">
      <c r="A5815" s="2" t="s">
        <v>3319</v>
      </c>
      <c r="B5815" s="2" t="s">
        <v>1929</v>
      </c>
      <c r="C5815" s="2">
        <v>696.4452</v>
      </c>
      <c r="D5815" s="2">
        <f>HYPERLINK("http://mcb-m6.bioreg.kyushu-u.ac.jp/M3/20110318/F50612/1398/1", 42.55)</f>
        <v>42.55</v>
      </c>
      <c r="E5815" s="2">
        <v>22.93</v>
      </c>
      <c r="F5815" s="2">
        <v>2</v>
      </c>
      <c r="G5815" s="2" t="s">
        <v>10</v>
      </c>
    </row>
    <row r="5816" spans="1:9" x14ac:dyDescent="0.2">
      <c r="A5816" s="2" t="s">
        <v>3319</v>
      </c>
      <c r="B5816" s="2" t="s">
        <v>2181</v>
      </c>
      <c r="C5816" s="2">
        <v>504.33859999999999</v>
      </c>
      <c r="D5816" s="2">
        <f>HYPERLINK("http://mcb-m6.bioreg.kyushu-u.ac.jp/M3/20110318/F50611/998/1", 42.91)</f>
        <v>42.91</v>
      </c>
      <c r="E5816" s="2">
        <v>19.37</v>
      </c>
      <c r="F5816" s="2">
        <v>2</v>
      </c>
      <c r="G5816" s="2" t="s">
        <v>10</v>
      </c>
      <c r="H5816" s="2" t="s">
        <v>4891</v>
      </c>
    </row>
    <row r="5817" spans="1:9" x14ac:dyDescent="0.2">
      <c r="A5817" s="2" t="s">
        <v>3319</v>
      </c>
      <c r="B5817" s="2" t="s">
        <v>5257</v>
      </c>
      <c r="C5817" s="2">
        <v>517.32209999999998</v>
      </c>
      <c r="D5817" s="2">
        <f>HYPERLINK("http://mcb-m6.bioreg.kyushu-u.ac.jp/M3/20110318/F50611/1025/1", 43.23)</f>
        <v>43.23</v>
      </c>
      <c r="E5817" s="2">
        <v>19.739999999999998</v>
      </c>
      <c r="F5817" s="2">
        <v>2</v>
      </c>
      <c r="G5817" s="2" t="s">
        <v>10</v>
      </c>
    </row>
    <row r="5818" spans="1:9" x14ac:dyDescent="0.2">
      <c r="A5818" s="2" t="s">
        <v>3319</v>
      </c>
      <c r="B5818" s="2" t="s">
        <v>5009</v>
      </c>
      <c r="C5818" s="2">
        <v>506.8211</v>
      </c>
      <c r="D5818" s="2">
        <f>HYPERLINK("http://mcb-m6.bioreg.kyushu-u.ac.jp/M3/20110318/F50611/1003/1", 43.36)</f>
        <v>43.36</v>
      </c>
      <c r="E5818" s="2">
        <v>20.32</v>
      </c>
      <c r="F5818" s="2">
        <v>2</v>
      </c>
      <c r="G5818" s="2" t="s">
        <v>10</v>
      </c>
    </row>
    <row r="5819" spans="1:9" x14ac:dyDescent="0.2">
      <c r="A5819" s="2" t="s">
        <v>3319</v>
      </c>
      <c r="B5819" s="2" t="s">
        <v>979</v>
      </c>
      <c r="C5819" s="2">
        <v>608.76210000000003</v>
      </c>
      <c r="D5819" s="2">
        <f>HYPERLINK("http://mcb-m6.bioreg.kyushu-u.ac.jp/M3/20110318/F50612/1211/1", 43.98)</f>
        <v>43.98</v>
      </c>
      <c r="E5819" s="2">
        <v>15.7</v>
      </c>
      <c r="F5819" s="2">
        <v>2</v>
      </c>
      <c r="G5819" s="2" t="s">
        <v>10</v>
      </c>
    </row>
    <row r="5820" spans="1:9" x14ac:dyDescent="0.2">
      <c r="A5820" s="2" t="s">
        <v>3319</v>
      </c>
      <c r="B5820" s="2" t="s">
        <v>987</v>
      </c>
      <c r="C5820" s="2">
        <v>752.87570000000005</v>
      </c>
      <c r="D5820" s="2">
        <f>HYPERLINK("http://mcb-m6.bioreg.kyushu-u.ac.jp/M3/20110318/F50611/1709/1", 44.4)</f>
        <v>44.4</v>
      </c>
      <c r="E5820" s="2">
        <v>19.38</v>
      </c>
      <c r="F5820" s="2">
        <v>2</v>
      </c>
      <c r="G5820" s="2" t="s">
        <v>10</v>
      </c>
    </row>
    <row r="5821" spans="1:9" x14ac:dyDescent="0.2">
      <c r="A5821" s="2" t="s">
        <v>3319</v>
      </c>
      <c r="B5821" s="2" t="s">
        <v>524</v>
      </c>
      <c r="C5821" s="2">
        <v>586.41269999999997</v>
      </c>
      <c r="D5821" s="2">
        <f>HYPERLINK("http://mcb-m6.bioreg.kyushu-u.ac.jp/M3/20110318/F50596/1209/1", 44.56)</f>
        <v>44.56</v>
      </c>
      <c r="E5821" s="2">
        <v>24.58</v>
      </c>
      <c r="F5821" s="2">
        <v>2</v>
      </c>
      <c r="G5821" s="2" t="s">
        <v>10</v>
      </c>
    </row>
    <row r="5822" spans="1:9" x14ac:dyDescent="0.2">
      <c r="A5822" s="2" t="s">
        <v>3319</v>
      </c>
      <c r="B5822" s="2" t="s">
        <v>2070</v>
      </c>
      <c r="C5822" s="2">
        <v>714.4316</v>
      </c>
      <c r="D5822" s="2">
        <f>HYPERLINK("http://mcb-m6.bioreg.kyushu-u.ac.jp/M3/20110318/F50596/1515/1", 45.04)</f>
        <v>45.04</v>
      </c>
      <c r="E5822" s="2">
        <v>29.84</v>
      </c>
      <c r="F5822" s="2">
        <v>2</v>
      </c>
      <c r="G5822" s="2" t="s">
        <v>10</v>
      </c>
    </row>
    <row r="5823" spans="1:9" x14ac:dyDescent="0.2">
      <c r="A5823" s="2" t="s">
        <v>3319</v>
      </c>
      <c r="B5823" s="2" t="s">
        <v>2070</v>
      </c>
      <c r="C5823" s="2">
        <v>1427.645</v>
      </c>
      <c r="D5823" s="2">
        <f>HYPERLINK("http://mcb-m6.bioreg.kyushu-u.ac.jp/M3/20110318/F50611/1522/1", 45.46)</f>
        <v>45.46</v>
      </c>
      <c r="E5823" s="2">
        <v>35.78</v>
      </c>
      <c r="F5823" s="2">
        <v>1</v>
      </c>
      <c r="G5823" s="2" t="s">
        <v>10</v>
      </c>
    </row>
    <row r="5824" spans="1:9" x14ac:dyDescent="0.2">
      <c r="A5824" s="2" t="s">
        <v>3319</v>
      </c>
      <c r="B5824" s="2" t="s">
        <v>2609</v>
      </c>
      <c r="C5824" s="2">
        <v>1260.5319999999999</v>
      </c>
      <c r="D5824" s="2">
        <f>HYPERLINK("http://mcb-m6.bioreg.kyushu-u.ac.jp/M3/20110318/F50612/1264/1", 45.65)</f>
        <v>45.65</v>
      </c>
      <c r="E5824" s="2">
        <v>23.73</v>
      </c>
      <c r="F5824" s="2">
        <v>1</v>
      </c>
      <c r="G5824" s="2" t="s">
        <v>10</v>
      </c>
      <c r="I5824" s="2" t="s">
        <v>4892</v>
      </c>
    </row>
    <row r="5825" spans="1:9" x14ac:dyDescent="0.2">
      <c r="A5825" s="2" t="s">
        <v>3319</v>
      </c>
      <c r="B5825" s="2" t="s">
        <v>979</v>
      </c>
      <c r="C5825" s="2">
        <v>609.2817</v>
      </c>
      <c r="D5825" s="2">
        <f>HYPERLINK("http://mcb-m6.bioreg.kyushu-u.ac.jp/M3/20110318/F50611/1248/1", 46.28)</f>
        <v>46.28</v>
      </c>
      <c r="E5825" s="2">
        <v>19.32</v>
      </c>
      <c r="F5825" s="2">
        <v>2</v>
      </c>
      <c r="G5825" s="2" t="s">
        <v>10</v>
      </c>
    </row>
    <row r="5826" spans="1:9" x14ac:dyDescent="0.2">
      <c r="A5826" s="2" t="s">
        <v>3319</v>
      </c>
      <c r="B5826" s="2" t="s">
        <v>1311</v>
      </c>
      <c r="C5826" s="2">
        <v>826.62120000000004</v>
      </c>
      <c r="D5826" s="2">
        <f>HYPERLINK("http://mcb-m6.bioreg.kyushu-u.ac.jp/M3/20110318/F50613/2040/1", 46.35)</f>
        <v>46.35</v>
      </c>
      <c r="E5826" s="2">
        <v>27.21</v>
      </c>
      <c r="F5826" s="2">
        <v>2</v>
      </c>
      <c r="G5826" s="2" t="s">
        <v>10</v>
      </c>
    </row>
    <row r="5827" spans="1:9" x14ac:dyDescent="0.2">
      <c r="A5827" s="2" t="s">
        <v>3319</v>
      </c>
      <c r="B5827" s="2" t="s">
        <v>1812</v>
      </c>
      <c r="C5827" s="2">
        <v>581.48569999999995</v>
      </c>
      <c r="D5827" s="2">
        <f>HYPERLINK("http://mcb-m6.bioreg.kyushu-u.ac.jp/M3/20110318/F50597/1098/1", 46.51)</f>
        <v>46.51</v>
      </c>
      <c r="E5827" s="2">
        <v>25.25</v>
      </c>
      <c r="F5827" s="2">
        <v>2</v>
      </c>
      <c r="G5827" s="2" t="s">
        <v>10</v>
      </c>
    </row>
    <row r="5828" spans="1:9" x14ac:dyDescent="0.2">
      <c r="A5828" s="2" t="s">
        <v>3319</v>
      </c>
      <c r="B5828" s="2" t="s">
        <v>638</v>
      </c>
      <c r="C5828" s="2">
        <v>556.84860000000003</v>
      </c>
      <c r="D5828" s="2">
        <f>HYPERLINK("http://mcb-m6.bioreg.kyushu-u.ac.jp/M3/20110318/F50615/950/1", 46.65)</f>
        <v>46.65</v>
      </c>
      <c r="E5828" s="2">
        <v>12.88</v>
      </c>
      <c r="F5828" s="2">
        <v>2</v>
      </c>
      <c r="G5828" s="2" t="s">
        <v>10</v>
      </c>
    </row>
    <row r="5829" spans="1:9" x14ac:dyDescent="0.2">
      <c r="A5829" s="2" t="s">
        <v>3319</v>
      </c>
      <c r="B5829" s="2" t="s">
        <v>104</v>
      </c>
      <c r="C5829" s="2">
        <v>781.82209999999998</v>
      </c>
      <c r="D5829" s="2">
        <f>HYPERLINK("http://mcb-m6.bioreg.kyushu-u.ac.jp/M3/20110318/F50612/1720/1", 46.85)</f>
        <v>46.85</v>
      </c>
      <c r="E5829" s="2">
        <v>39.799999999999997</v>
      </c>
      <c r="F5829" s="2">
        <v>2</v>
      </c>
      <c r="G5829" s="2" t="s">
        <v>10</v>
      </c>
    </row>
    <row r="5830" spans="1:9" x14ac:dyDescent="0.2">
      <c r="A5830" s="2" t="s">
        <v>3319</v>
      </c>
      <c r="B5830" s="2" t="s">
        <v>2609</v>
      </c>
      <c r="C5830" s="2">
        <v>1260.4059999999999</v>
      </c>
      <c r="D5830" s="2">
        <f>HYPERLINK("http://mcb-m6.bioreg.kyushu-u.ac.jp/M3/20110318/F50611/1292/1", 47.06)</f>
        <v>47.06</v>
      </c>
      <c r="E5830" s="2">
        <v>23.49</v>
      </c>
      <c r="F5830" s="2">
        <v>1</v>
      </c>
      <c r="G5830" s="2" t="s">
        <v>10</v>
      </c>
      <c r="I5830" s="2" t="s">
        <v>4892</v>
      </c>
    </row>
    <row r="5831" spans="1:9" x14ac:dyDescent="0.2">
      <c r="A5831" s="2" t="s">
        <v>3319</v>
      </c>
      <c r="B5831" s="2" t="s">
        <v>2544</v>
      </c>
      <c r="C5831" s="2">
        <v>695.84169999999995</v>
      </c>
      <c r="D5831" s="2">
        <f>HYPERLINK("http://mcb-m6.bioreg.kyushu-u.ac.jp/M3/20110318/F50598/1422/1", 47.14)</f>
        <v>47.14</v>
      </c>
      <c r="E5831" s="2">
        <v>27.66</v>
      </c>
      <c r="F5831" s="2">
        <v>2</v>
      </c>
      <c r="G5831" s="2" t="s">
        <v>10</v>
      </c>
      <c r="I5831" s="2" t="s">
        <v>4903</v>
      </c>
    </row>
    <row r="5832" spans="1:9" x14ac:dyDescent="0.2">
      <c r="A5832" s="2" t="s">
        <v>3319</v>
      </c>
      <c r="B5832" s="2" t="s">
        <v>524</v>
      </c>
      <c r="C5832" s="2">
        <v>586.45759999999996</v>
      </c>
      <c r="D5832" s="2">
        <f>HYPERLINK("http://mcb-m6.bioreg.kyushu-u.ac.jp/M3/20110318/F50612/1159/1", 47.71)</f>
        <v>47.71</v>
      </c>
      <c r="E5832" s="2">
        <v>16.760000000000002</v>
      </c>
      <c r="F5832" s="2">
        <v>2</v>
      </c>
      <c r="G5832" s="2" t="s">
        <v>10</v>
      </c>
    </row>
    <row r="5833" spans="1:9" x14ac:dyDescent="0.2">
      <c r="A5833" s="2" t="s">
        <v>3319</v>
      </c>
      <c r="B5833" s="2" t="s">
        <v>566</v>
      </c>
      <c r="C5833" s="2">
        <v>529.90219999999999</v>
      </c>
      <c r="D5833" s="2">
        <f>HYPERLINK("http://mcb-m6.bioreg.kyushu-u.ac.jp/M3/20110318/F50611/1060/1", 47.9)</f>
        <v>47.9</v>
      </c>
      <c r="E5833" s="2">
        <v>22.96</v>
      </c>
      <c r="F5833" s="2">
        <v>2</v>
      </c>
      <c r="G5833" s="2" t="s">
        <v>10</v>
      </c>
    </row>
    <row r="5834" spans="1:9" x14ac:dyDescent="0.2">
      <c r="A5834" s="2" t="s">
        <v>3319</v>
      </c>
      <c r="B5834" s="2" t="s">
        <v>638</v>
      </c>
      <c r="C5834" s="2">
        <v>556.92970000000003</v>
      </c>
      <c r="D5834" s="2">
        <f>HYPERLINK("http://mcb-m6.bioreg.kyushu-u.ac.jp/M3/20110318/F50598/1190/1", 48.36)</f>
        <v>48.36</v>
      </c>
      <c r="E5834" s="2">
        <v>11.34</v>
      </c>
      <c r="F5834" s="2">
        <v>2</v>
      </c>
      <c r="G5834" s="2" t="s">
        <v>10</v>
      </c>
    </row>
    <row r="5835" spans="1:9" x14ac:dyDescent="0.2">
      <c r="A5835" s="2" t="s">
        <v>3319</v>
      </c>
      <c r="B5835" s="2" t="s">
        <v>1749</v>
      </c>
      <c r="C5835" s="2">
        <v>778.40920000000006</v>
      </c>
      <c r="D5835" s="2">
        <f>HYPERLINK("http://mcb-m6.bioreg.kyushu-u.ac.jp/M3/20110318/F50596/1793/1", 48.84)</f>
        <v>48.84</v>
      </c>
      <c r="E5835" s="2">
        <v>36.14</v>
      </c>
      <c r="F5835" s="2">
        <v>2</v>
      </c>
      <c r="G5835" s="2" t="s">
        <v>10</v>
      </c>
    </row>
    <row r="5836" spans="1:9" x14ac:dyDescent="0.2">
      <c r="A5836" s="2" t="s">
        <v>3319</v>
      </c>
      <c r="B5836" s="2" t="s">
        <v>104</v>
      </c>
      <c r="C5836" s="2">
        <v>781.67859999999996</v>
      </c>
      <c r="D5836" s="2">
        <f>HYPERLINK("http://mcb-m6.bioreg.kyushu-u.ac.jp/M3/20110318/F50611/1841/1", 48.91)</f>
        <v>48.91</v>
      </c>
      <c r="E5836" s="2">
        <v>41.97</v>
      </c>
      <c r="F5836" s="2">
        <v>2</v>
      </c>
      <c r="G5836" s="2" t="s">
        <v>10</v>
      </c>
    </row>
    <row r="5837" spans="1:9" x14ac:dyDescent="0.2">
      <c r="A5837" s="2" t="s">
        <v>3319</v>
      </c>
      <c r="B5837" s="2" t="s">
        <v>1311</v>
      </c>
      <c r="C5837" s="2">
        <v>826.71370000000002</v>
      </c>
      <c r="D5837" s="2">
        <f>HYPERLINK("http://mcb-m6.bioreg.kyushu-u.ac.jp/M3/20110318/F50615/1865/1", 49.04)</f>
        <v>49.04</v>
      </c>
      <c r="E5837" s="2">
        <v>27.75</v>
      </c>
      <c r="F5837" s="2">
        <v>2</v>
      </c>
      <c r="G5837" s="2" t="s">
        <v>10</v>
      </c>
    </row>
    <row r="5838" spans="1:9" x14ac:dyDescent="0.2">
      <c r="A5838" s="2" t="s">
        <v>3319</v>
      </c>
      <c r="B5838" s="2" t="s">
        <v>1812</v>
      </c>
      <c r="C5838" s="2">
        <v>581.86109999999996</v>
      </c>
      <c r="D5838" s="2">
        <f>HYPERLINK("http://mcb-m6.bioreg.kyushu-u.ac.jp/M3/20110318/F50612/1144/1", 49.41)</f>
        <v>49.41</v>
      </c>
      <c r="E5838" s="2">
        <v>27.97</v>
      </c>
      <c r="F5838" s="2">
        <v>2</v>
      </c>
      <c r="G5838" s="2" t="s">
        <v>10</v>
      </c>
    </row>
    <row r="5839" spans="1:9" x14ac:dyDescent="0.2">
      <c r="A5839" s="2" t="s">
        <v>3319</v>
      </c>
      <c r="B5839" s="2" t="s">
        <v>2544</v>
      </c>
      <c r="C5839" s="2">
        <v>695.71720000000005</v>
      </c>
      <c r="D5839" s="2">
        <f>HYPERLINK("http://mcb-m6.bioreg.kyushu-u.ac.jp/M3/20110318/F50611/1447/1", 50.01)</f>
        <v>50.01</v>
      </c>
      <c r="E5839" s="2">
        <v>31.87</v>
      </c>
      <c r="F5839" s="2">
        <v>2</v>
      </c>
      <c r="G5839" s="2" t="s">
        <v>10</v>
      </c>
      <c r="I5839" s="2" t="s">
        <v>4903</v>
      </c>
    </row>
    <row r="5840" spans="1:9" x14ac:dyDescent="0.2">
      <c r="A5840" s="2" t="s">
        <v>3319</v>
      </c>
      <c r="B5840" s="2" t="s">
        <v>524</v>
      </c>
      <c r="C5840" s="2">
        <v>586.39170000000001</v>
      </c>
      <c r="D5840" s="2">
        <f>HYPERLINK("http://mcb-m6.bioreg.kyushu-u.ac.jp/M3/20110318/F50611/1193/1", 50.04)</f>
        <v>50.04</v>
      </c>
      <c r="E5840" s="2">
        <v>29.34</v>
      </c>
      <c r="F5840" s="2">
        <v>2</v>
      </c>
      <c r="G5840" s="2" t="s">
        <v>10</v>
      </c>
    </row>
    <row r="5841" spans="1:8" x14ac:dyDescent="0.2">
      <c r="A5841" s="2" t="s">
        <v>3319</v>
      </c>
      <c r="B5841" s="2" t="s">
        <v>2093</v>
      </c>
      <c r="C5841" s="2">
        <v>797.8356</v>
      </c>
      <c r="D5841" s="2">
        <f>HYPERLINK("http://mcb-m6.bioreg.kyushu-u.ac.jp/M3/20110318/F50613/1922/1", 50.09)</f>
        <v>50.09</v>
      </c>
      <c r="E5841" s="2">
        <v>26.75</v>
      </c>
      <c r="F5841" s="2">
        <v>2</v>
      </c>
      <c r="G5841" s="2" t="s">
        <v>10</v>
      </c>
    </row>
    <row r="5842" spans="1:8" x14ac:dyDescent="0.2">
      <c r="A5842" s="2" t="s">
        <v>3319</v>
      </c>
      <c r="B5842" s="2" t="s">
        <v>638</v>
      </c>
      <c r="C5842" s="2">
        <v>1112.4259999999999</v>
      </c>
      <c r="D5842" s="2">
        <f>HYPERLINK("http://mcb-m6.bioreg.kyushu-u.ac.jp/M3/20110318/F50611/1112/1", 50.51)</f>
        <v>50.51</v>
      </c>
      <c r="E5842" s="2">
        <v>31.54</v>
      </c>
      <c r="F5842" s="2">
        <v>1</v>
      </c>
      <c r="G5842" s="2" t="s">
        <v>10</v>
      </c>
    </row>
    <row r="5843" spans="1:8" x14ac:dyDescent="0.2">
      <c r="A5843" s="2" t="s">
        <v>3319</v>
      </c>
      <c r="B5843" s="2" t="s">
        <v>5009</v>
      </c>
      <c r="C5843" s="2">
        <v>506.07709999999997</v>
      </c>
      <c r="D5843" s="2">
        <f>HYPERLINK("http://mcb-m6.bioreg.kyushu-u.ac.jp/M3/20110318/F50611/1000/1", 51.35)</f>
        <v>51.35</v>
      </c>
      <c r="E5843" s="2">
        <v>27.43</v>
      </c>
      <c r="F5843" s="2">
        <v>2</v>
      </c>
      <c r="G5843" s="2" t="s">
        <v>10</v>
      </c>
    </row>
    <row r="5844" spans="1:8" x14ac:dyDescent="0.2">
      <c r="A5844" s="2" t="s">
        <v>3319</v>
      </c>
      <c r="B5844" s="2" t="s">
        <v>2017</v>
      </c>
      <c r="C5844" s="2">
        <v>1120.0160000000001</v>
      </c>
      <c r="D5844" s="2">
        <f>HYPERLINK("http://mcb-m6.bioreg.kyushu-u.ac.jp/M3/20110318/F50611/2715/1", 51.49)</f>
        <v>51.49</v>
      </c>
      <c r="E5844" s="2">
        <v>38.86</v>
      </c>
      <c r="F5844" s="2">
        <v>2</v>
      </c>
      <c r="G5844" s="2" t="s">
        <v>10</v>
      </c>
    </row>
    <row r="5845" spans="1:8" x14ac:dyDescent="0.2">
      <c r="A5845" s="2" t="s">
        <v>3319</v>
      </c>
      <c r="B5845" s="2" t="s">
        <v>104</v>
      </c>
      <c r="C5845" s="2">
        <v>781.68709999999999</v>
      </c>
      <c r="D5845" s="2">
        <f>HYPERLINK("http://mcb-m6.bioreg.kyushu-u.ac.jp/M3/20110318/F50611/1842/1", 51.59)</f>
        <v>51.59</v>
      </c>
      <c r="E5845" s="2">
        <v>32.83</v>
      </c>
      <c r="F5845" s="2">
        <v>2</v>
      </c>
      <c r="G5845" s="2" t="s">
        <v>10</v>
      </c>
    </row>
    <row r="5846" spans="1:8" x14ac:dyDescent="0.2">
      <c r="A5846" s="2" t="s">
        <v>3319</v>
      </c>
      <c r="B5846" s="2" t="s">
        <v>638</v>
      </c>
      <c r="C5846" s="2">
        <v>556.96810000000005</v>
      </c>
      <c r="D5846" s="2">
        <f>HYPERLINK("http://mcb-m6.bioreg.kyushu-u.ac.jp/M3/20110318/F50613/1079/1", 51.85)</f>
        <v>51.85</v>
      </c>
      <c r="E5846" s="2">
        <v>18.62</v>
      </c>
      <c r="F5846" s="2">
        <v>2</v>
      </c>
      <c r="G5846" s="2" t="s">
        <v>10</v>
      </c>
    </row>
    <row r="5847" spans="1:8" x14ac:dyDescent="0.2">
      <c r="A5847" s="2" t="s">
        <v>3319</v>
      </c>
      <c r="B5847" s="2" t="s">
        <v>3047</v>
      </c>
      <c r="C5847" s="2">
        <v>475.32810000000001</v>
      </c>
      <c r="D5847" s="2">
        <f>HYPERLINK("http://mcb-m6.bioreg.kyushu-u.ac.jp/M3/20110318/F50611/902/1", 51.91)</f>
        <v>51.91</v>
      </c>
      <c r="E5847" s="2">
        <v>28.13</v>
      </c>
      <c r="F5847" s="2">
        <v>2</v>
      </c>
      <c r="G5847" s="2" t="s">
        <v>10</v>
      </c>
      <c r="H5847" s="2" t="s">
        <v>4917</v>
      </c>
    </row>
    <row r="5848" spans="1:8" x14ac:dyDescent="0.2">
      <c r="A5848" s="2" t="s">
        <v>3319</v>
      </c>
      <c r="B5848" s="2" t="s">
        <v>1671</v>
      </c>
      <c r="C5848" s="2">
        <v>581.29549999999995</v>
      </c>
      <c r="D5848" s="2">
        <f>HYPERLINK("http://mcb-m6.bioreg.kyushu-u.ac.jp/M3/20110318/F50611/2098/1", 51.92)</f>
        <v>51.92</v>
      </c>
      <c r="E5848" s="2">
        <v>25.18</v>
      </c>
      <c r="F5848" s="2">
        <v>3</v>
      </c>
      <c r="G5848" s="2" t="s">
        <v>10</v>
      </c>
    </row>
    <row r="5849" spans="1:8" x14ac:dyDescent="0.2">
      <c r="A5849" s="2" t="s">
        <v>3319</v>
      </c>
      <c r="B5849" s="2" t="s">
        <v>638</v>
      </c>
      <c r="C5849" s="2">
        <v>556.84810000000004</v>
      </c>
      <c r="D5849" s="2">
        <f>HYPERLINK("http://mcb-m6.bioreg.kyushu-u.ac.jp/M3/20110318/F50611/1115/1", 52.51)</f>
        <v>52.51</v>
      </c>
      <c r="E5849" s="2">
        <v>19.82</v>
      </c>
      <c r="F5849" s="2">
        <v>2</v>
      </c>
      <c r="G5849" s="2" t="s">
        <v>10</v>
      </c>
    </row>
    <row r="5850" spans="1:8" x14ac:dyDescent="0.2">
      <c r="A5850" s="2" t="s">
        <v>3319</v>
      </c>
      <c r="B5850" s="2" t="s">
        <v>524</v>
      </c>
      <c r="C5850" s="2">
        <v>586.37710000000004</v>
      </c>
      <c r="D5850" s="2">
        <f>HYPERLINK("http://mcb-m6.bioreg.kyushu-u.ac.jp/M3/20110318/F50614/1142/1", 52.68)</f>
        <v>52.68</v>
      </c>
      <c r="E5850" s="2">
        <v>28.55</v>
      </c>
      <c r="F5850" s="2">
        <v>2</v>
      </c>
      <c r="G5850" s="2" t="s">
        <v>10</v>
      </c>
    </row>
    <row r="5851" spans="1:8" x14ac:dyDescent="0.2">
      <c r="A5851" s="2" t="s">
        <v>3319</v>
      </c>
      <c r="B5851" s="2" t="s">
        <v>1420</v>
      </c>
      <c r="C5851" s="2">
        <v>554.84469999999999</v>
      </c>
      <c r="D5851" s="2">
        <f>HYPERLINK("http://mcb-m6.bioreg.kyushu-u.ac.jp/M3/20110318/F50611/1108/1", 52.96)</f>
        <v>52.96</v>
      </c>
      <c r="E5851" s="2">
        <v>18.350000000000001</v>
      </c>
      <c r="F5851" s="2">
        <v>2</v>
      </c>
      <c r="G5851" s="2" t="s">
        <v>10</v>
      </c>
    </row>
    <row r="5852" spans="1:8" x14ac:dyDescent="0.2">
      <c r="A5852" s="2" t="s">
        <v>3319</v>
      </c>
      <c r="B5852" s="2" t="s">
        <v>1909</v>
      </c>
      <c r="C5852" s="2">
        <v>870.54020000000003</v>
      </c>
      <c r="D5852" s="2">
        <f>HYPERLINK("http://mcb-m6.bioreg.kyushu-u.ac.jp/M3/20110318/F50597/2103/1", 56.09)</f>
        <v>56.09</v>
      </c>
      <c r="E5852" s="2">
        <v>38.69</v>
      </c>
      <c r="F5852" s="2">
        <v>2</v>
      </c>
      <c r="G5852" s="2" t="s">
        <v>10</v>
      </c>
    </row>
    <row r="5853" spans="1:8" x14ac:dyDescent="0.2">
      <c r="A5853" s="2" t="s">
        <v>3319</v>
      </c>
      <c r="B5853" s="2" t="s">
        <v>524</v>
      </c>
      <c r="C5853" s="2">
        <v>586.34559999999999</v>
      </c>
      <c r="D5853" s="2">
        <f>HYPERLINK("http://mcb-m6.bioreg.kyushu-u.ac.jp/M3/20110318/F50615/1025/1", 56.48)</f>
        <v>56.48</v>
      </c>
      <c r="E5853" s="2">
        <v>30.02</v>
      </c>
      <c r="F5853" s="2">
        <v>2</v>
      </c>
      <c r="G5853" s="2" t="s">
        <v>10</v>
      </c>
    </row>
    <row r="5854" spans="1:8" x14ac:dyDescent="0.2">
      <c r="A5854" s="2" t="s">
        <v>3319</v>
      </c>
      <c r="B5854" s="2" t="s">
        <v>1909</v>
      </c>
      <c r="C5854" s="2">
        <v>869.95870000000002</v>
      </c>
      <c r="D5854" s="2">
        <f>HYPERLINK("http://mcb-m6.bioreg.kyushu-u.ac.jp/M3/20110318/F50596/2045/1", 56.98)</f>
        <v>56.98</v>
      </c>
      <c r="E5854" s="2">
        <v>19.63</v>
      </c>
      <c r="F5854" s="2">
        <v>2</v>
      </c>
      <c r="G5854" s="2" t="s">
        <v>10</v>
      </c>
    </row>
    <row r="5855" spans="1:8" x14ac:dyDescent="0.2">
      <c r="A5855" s="2" t="s">
        <v>3319</v>
      </c>
      <c r="B5855" s="2" t="s">
        <v>2017</v>
      </c>
      <c r="C5855" s="2">
        <v>1120.184</v>
      </c>
      <c r="D5855" s="2">
        <f>HYPERLINK("http://mcb-m6.bioreg.kyushu-u.ac.jp/M3/20110318/F50612/2459/1", 57.19)</f>
        <v>57.19</v>
      </c>
      <c r="E5855" s="2">
        <v>50.28</v>
      </c>
      <c r="F5855" s="2">
        <v>2</v>
      </c>
      <c r="G5855" s="2" t="s">
        <v>10</v>
      </c>
    </row>
    <row r="5856" spans="1:8" x14ac:dyDescent="0.2">
      <c r="A5856" s="2" t="s">
        <v>3319</v>
      </c>
      <c r="B5856" s="2" t="s">
        <v>1420</v>
      </c>
      <c r="C5856" s="2">
        <v>554.90470000000005</v>
      </c>
      <c r="D5856" s="2">
        <f>HYPERLINK("http://mcb-m6.bioreg.kyushu-u.ac.jp/M3/20110318/F50612/1096/1", 57.33)</f>
        <v>57.33</v>
      </c>
      <c r="E5856" s="2">
        <v>16.75</v>
      </c>
      <c r="F5856" s="2">
        <v>2</v>
      </c>
      <c r="G5856" s="2" t="s">
        <v>10</v>
      </c>
    </row>
    <row r="5857" spans="1:9" x14ac:dyDescent="0.2">
      <c r="A5857" s="2" t="s">
        <v>3319</v>
      </c>
      <c r="B5857" s="2" t="s">
        <v>2544</v>
      </c>
      <c r="C5857" s="2">
        <v>1390.5170000000001</v>
      </c>
      <c r="D5857" s="2">
        <f>HYPERLINK("http://mcb-m6.bioreg.kyushu-u.ac.jp/M3/20110318/F50611/1448/1", 57.43)</f>
        <v>57.43</v>
      </c>
      <c r="E5857" s="2">
        <v>40.340000000000003</v>
      </c>
      <c r="F5857" s="2">
        <v>1</v>
      </c>
      <c r="G5857" s="2" t="s">
        <v>10</v>
      </c>
      <c r="I5857" s="2" t="s">
        <v>4903</v>
      </c>
    </row>
    <row r="5858" spans="1:9" x14ac:dyDescent="0.2">
      <c r="A5858" s="2" t="s">
        <v>3319</v>
      </c>
      <c r="B5858" s="2" t="s">
        <v>5227</v>
      </c>
      <c r="C5858" s="2">
        <v>752.55619999999999</v>
      </c>
      <c r="D5858" s="2">
        <f>HYPERLINK("http://mcb-m6.bioreg.kyushu-u.ac.jp/M3/20110318/F50611/2727/1", 57.79)</f>
        <v>57.79</v>
      </c>
      <c r="E5858" s="2">
        <v>44.52</v>
      </c>
      <c r="F5858" s="2">
        <v>3</v>
      </c>
      <c r="G5858" s="2" t="s">
        <v>10</v>
      </c>
    </row>
    <row r="5859" spans="1:9" x14ac:dyDescent="0.2">
      <c r="A5859" s="2" t="s">
        <v>3319</v>
      </c>
      <c r="B5859" s="2" t="s">
        <v>566</v>
      </c>
      <c r="C5859" s="2">
        <v>1058.44</v>
      </c>
      <c r="D5859" s="2">
        <f>HYPERLINK("http://mcb-m6.bioreg.kyushu-u.ac.jp/M3/20110318/F50611/1058/1", 57.82)</f>
        <v>57.82</v>
      </c>
      <c r="E5859" s="2">
        <v>22.17</v>
      </c>
      <c r="F5859" s="2">
        <v>1</v>
      </c>
      <c r="G5859" s="2" t="s">
        <v>10</v>
      </c>
    </row>
    <row r="5860" spans="1:9" x14ac:dyDescent="0.2">
      <c r="A5860" s="2" t="s">
        <v>3319</v>
      </c>
      <c r="B5860" s="2" t="s">
        <v>5070</v>
      </c>
      <c r="C5860" s="2">
        <v>459.61509999999998</v>
      </c>
      <c r="D5860" s="2">
        <f>HYPERLINK("http://mcb-m6.bioreg.kyushu-u.ac.jp/M3/20110318/F50611/861/1", 58.9)</f>
        <v>58.9</v>
      </c>
      <c r="E5860" s="2">
        <v>20.239999999999998</v>
      </c>
      <c r="F5860" s="2">
        <v>2</v>
      </c>
      <c r="G5860" s="2" t="s">
        <v>10</v>
      </c>
    </row>
    <row r="5861" spans="1:9" x14ac:dyDescent="0.2">
      <c r="A5861" s="2" t="s">
        <v>3319</v>
      </c>
      <c r="B5861" s="2" t="s">
        <v>638</v>
      </c>
      <c r="C5861" s="2">
        <v>556.88120000000004</v>
      </c>
      <c r="D5861" s="2">
        <f>HYPERLINK("http://mcb-m6.bioreg.kyushu-u.ac.jp/M3/20110318/F50612/1101/1", 59)</f>
        <v>59</v>
      </c>
      <c r="E5861" s="2">
        <v>20.49</v>
      </c>
      <c r="F5861" s="2">
        <v>2</v>
      </c>
      <c r="G5861" s="2" t="s">
        <v>10</v>
      </c>
    </row>
    <row r="5862" spans="1:9" x14ac:dyDescent="0.2">
      <c r="A5862" s="2" t="s">
        <v>3319</v>
      </c>
      <c r="B5862" s="2" t="s">
        <v>524</v>
      </c>
      <c r="C5862" s="2">
        <v>586.36469999999997</v>
      </c>
      <c r="D5862" s="2">
        <f>HYPERLINK("http://mcb-m6.bioreg.kyushu-u.ac.jp/M3/20110318/F50611/1191/1", 59.08)</f>
        <v>59.08</v>
      </c>
      <c r="E5862" s="2">
        <v>38.19</v>
      </c>
      <c r="F5862" s="2">
        <v>2</v>
      </c>
      <c r="G5862" s="2" t="s">
        <v>10</v>
      </c>
    </row>
    <row r="5863" spans="1:9" x14ac:dyDescent="0.2">
      <c r="A5863" s="2" t="s">
        <v>3319</v>
      </c>
      <c r="B5863" s="2" t="s">
        <v>638</v>
      </c>
      <c r="C5863" s="2">
        <v>556.8057</v>
      </c>
      <c r="D5863" s="2">
        <f>HYPERLINK("http://mcb-m6.bioreg.kyushu-u.ac.jp/M3/20110318/F50596/1141/1", 59.65)</f>
        <v>59.65</v>
      </c>
      <c r="E5863" s="2">
        <v>33.950000000000003</v>
      </c>
      <c r="F5863" s="2">
        <v>2</v>
      </c>
      <c r="G5863" s="2" t="s">
        <v>10</v>
      </c>
    </row>
    <row r="5864" spans="1:9" x14ac:dyDescent="0.2">
      <c r="A5864" s="2" t="s">
        <v>3319</v>
      </c>
      <c r="B5864" s="2" t="s">
        <v>2609</v>
      </c>
      <c r="C5864" s="2">
        <v>630.8777</v>
      </c>
      <c r="D5864" s="2">
        <f>HYPERLINK("http://mcb-m6.bioreg.kyushu-u.ac.jp/M3/20110318/F50600/1299/1", 60.15)</f>
        <v>60.15</v>
      </c>
      <c r="E5864" s="2">
        <v>37.229999999999997</v>
      </c>
      <c r="F5864" s="2">
        <v>2</v>
      </c>
      <c r="G5864" s="2" t="s">
        <v>10</v>
      </c>
      <c r="I5864" s="2" t="s">
        <v>4892</v>
      </c>
    </row>
    <row r="5865" spans="1:9" x14ac:dyDescent="0.2">
      <c r="A5865" s="2" t="s">
        <v>3319</v>
      </c>
      <c r="B5865" s="2" t="s">
        <v>2392</v>
      </c>
      <c r="C5865" s="2">
        <v>897.32709999999997</v>
      </c>
      <c r="D5865" s="2">
        <f>HYPERLINK("http://mcb-m6.bioreg.kyushu-u.ac.jp/M3/20110318/F50611/2189/1", 61.13)</f>
        <v>61.13</v>
      </c>
      <c r="E5865" s="2">
        <v>35.130000000000003</v>
      </c>
      <c r="F5865" s="2">
        <v>2</v>
      </c>
      <c r="G5865" s="2" t="s">
        <v>10</v>
      </c>
      <c r="I5865" s="2" t="s">
        <v>4895</v>
      </c>
    </row>
    <row r="5866" spans="1:9" x14ac:dyDescent="0.2">
      <c r="A5866" s="2" t="s">
        <v>3319</v>
      </c>
      <c r="B5866" s="2" t="s">
        <v>987</v>
      </c>
      <c r="C5866" s="2">
        <v>752.85919999999999</v>
      </c>
      <c r="D5866" s="2">
        <f>HYPERLINK("http://mcb-m6.bioreg.kyushu-u.ac.jp/M3/20110318/F50613/1672/1", 61.14)</f>
        <v>61.14</v>
      </c>
      <c r="E5866" s="2">
        <v>41.69</v>
      </c>
      <c r="F5866" s="2">
        <v>2</v>
      </c>
      <c r="G5866" s="2" t="s">
        <v>10</v>
      </c>
    </row>
    <row r="5867" spans="1:9" x14ac:dyDescent="0.2">
      <c r="A5867" s="2" t="s">
        <v>3319</v>
      </c>
      <c r="B5867" s="2" t="s">
        <v>1812</v>
      </c>
      <c r="C5867" s="2">
        <v>581.40419999999995</v>
      </c>
      <c r="D5867" s="2">
        <f>HYPERLINK("http://mcb-m6.bioreg.kyushu-u.ac.jp/M3/20110318/F50596/1196/1", 61.21)</f>
        <v>61.21</v>
      </c>
      <c r="E5867" s="2">
        <v>37</v>
      </c>
      <c r="F5867" s="2">
        <v>2</v>
      </c>
      <c r="G5867" s="2" t="s">
        <v>10</v>
      </c>
    </row>
    <row r="5868" spans="1:9" x14ac:dyDescent="0.2">
      <c r="A5868" s="2" t="s">
        <v>3319</v>
      </c>
      <c r="B5868" s="2" t="s">
        <v>1051</v>
      </c>
      <c r="C5868" s="2">
        <v>775.97469999999998</v>
      </c>
      <c r="D5868" s="2">
        <f>HYPERLINK("http://mcb-m6.bioreg.kyushu-u.ac.jp/M3/20110318/F50611/1814/1", 61.8)</f>
        <v>61.8</v>
      </c>
      <c r="E5868" s="2">
        <v>40.35</v>
      </c>
      <c r="F5868" s="2">
        <v>2</v>
      </c>
      <c r="G5868" s="2" t="s">
        <v>10</v>
      </c>
      <c r="H5868" s="2" t="s">
        <v>4908</v>
      </c>
    </row>
    <row r="5869" spans="1:9" x14ac:dyDescent="0.2">
      <c r="A5869" s="2" t="s">
        <v>3319</v>
      </c>
      <c r="B5869" s="2" t="s">
        <v>5327</v>
      </c>
      <c r="C5869" s="2">
        <v>603.27009999999996</v>
      </c>
      <c r="D5869" s="2">
        <f>HYPERLINK("http://mcb-m6.bioreg.kyushu-u.ac.jp/M3/20110318/F50611/1232/1", 62.01)</f>
        <v>62.01</v>
      </c>
      <c r="E5869" s="2">
        <v>32.78</v>
      </c>
      <c r="F5869" s="2">
        <v>2</v>
      </c>
      <c r="G5869" s="2" t="s">
        <v>10</v>
      </c>
    </row>
    <row r="5870" spans="1:9" x14ac:dyDescent="0.2">
      <c r="A5870" s="2" t="s">
        <v>3319</v>
      </c>
      <c r="B5870" s="2" t="s">
        <v>2526</v>
      </c>
      <c r="C5870" s="2">
        <v>704.31769999999995</v>
      </c>
      <c r="D5870" s="2">
        <f>HYPERLINK("http://mcb-m6.bioreg.kyushu-u.ac.jp/M3/20110318/F50611/1485/1", 62.93)</f>
        <v>62.93</v>
      </c>
      <c r="E5870" s="2">
        <v>46.59</v>
      </c>
      <c r="F5870" s="2">
        <v>2</v>
      </c>
      <c r="G5870" s="2" t="s">
        <v>10</v>
      </c>
    </row>
    <row r="5871" spans="1:9" x14ac:dyDescent="0.2">
      <c r="A5871" s="2" t="s">
        <v>3319</v>
      </c>
      <c r="B5871" s="2" t="s">
        <v>979</v>
      </c>
      <c r="C5871" s="2">
        <v>1216.5350000000001</v>
      </c>
      <c r="D5871" s="2">
        <f>HYPERLINK("http://mcb-m6.bioreg.kyushu-u.ac.jp/M3/20110318/F50611/1246/1", 63.4)</f>
        <v>63.4</v>
      </c>
      <c r="E5871" s="2">
        <v>36.729999999999997</v>
      </c>
      <c r="F5871" s="2">
        <v>1</v>
      </c>
      <c r="G5871" s="2" t="s">
        <v>10</v>
      </c>
    </row>
    <row r="5872" spans="1:9" x14ac:dyDescent="0.2">
      <c r="A5872" s="2" t="s">
        <v>3319</v>
      </c>
      <c r="B5872" s="2" t="s">
        <v>1826</v>
      </c>
      <c r="C5872" s="2">
        <v>688.79060000000004</v>
      </c>
      <c r="D5872" s="2">
        <f>HYPERLINK("http://mcb-m6.bioreg.kyushu-u.ac.jp/M3/20110318/F50612/1386/1", 64.29)</f>
        <v>64.290000000000006</v>
      </c>
      <c r="E5872" s="2">
        <v>39.380000000000003</v>
      </c>
      <c r="F5872" s="2">
        <v>2</v>
      </c>
      <c r="G5872" s="2" t="s">
        <v>10</v>
      </c>
    </row>
    <row r="5873" spans="1:9" x14ac:dyDescent="0.2">
      <c r="A5873" s="2" t="s">
        <v>3319</v>
      </c>
      <c r="B5873" s="2" t="s">
        <v>987</v>
      </c>
      <c r="C5873" s="2">
        <v>752.80619999999999</v>
      </c>
      <c r="D5873" s="2">
        <f>HYPERLINK("http://mcb-m6.bioreg.kyushu-u.ac.jp/M3/20110318/F50612/1583/1", 64.45)</f>
        <v>64.45</v>
      </c>
      <c r="E5873" s="2">
        <v>42.83</v>
      </c>
      <c r="F5873" s="2">
        <v>2</v>
      </c>
      <c r="G5873" s="2" t="s">
        <v>10</v>
      </c>
    </row>
    <row r="5874" spans="1:9" x14ac:dyDescent="0.2">
      <c r="A5874" s="2" t="s">
        <v>3319</v>
      </c>
      <c r="B5874" s="2" t="s">
        <v>2070</v>
      </c>
      <c r="C5874" s="2">
        <v>714.41970000000003</v>
      </c>
      <c r="D5874" s="2">
        <f>HYPERLINK("http://mcb-m6.bioreg.kyushu-u.ac.jp/M3/20110318/F50611/1523/1", 65.1)</f>
        <v>65.099999999999994</v>
      </c>
      <c r="E5874" s="2">
        <v>46.94</v>
      </c>
      <c r="F5874" s="2">
        <v>2</v>
      </c>
      <c r="G5874" s="2" t="s">
        <v>10</v>
      </c>
    </row>
    <row r="5875" spans="1:9" x14ac:dyDescent="0.2">
      <c r="A5875" s="2" t="s">
        <v>3319</v>
      </c>
      <c r="B5875" s="2" t="s">
        <v>2392</v>
      </c>
      <c r="C5875" s="2">
        <v>897.61360000000002</v>
      </c>
      <c r="D5875" s="2">
        <f>HYPERLINK("http://mcb-m6.bioreg.kyushu-u.ac.jp/M3/20110318/F50612/2012/1", 66.46)</f>
        <v>66.459999999999994</v>
      </c>
      <c r="E5875" s="2">
        <v>49.37</v>
      </c>
      <c r="F5875" s="2">
        <v>2</v>
      </c>
      <c r="G5875" s="2" t="s">
        <v>10</v>
      </c>
      <c r="I5875" s="2" t="s">
        <v>4895</v>
      </c>
    </row>
    <row r="5876" spans="1:9" x14ac:dyDescent="0.2">
      <c r="A5876" s="2" t="s">
        <v>3319</v>
      </c>
      <c r="B5876" s="2" t="s">
        <v>2204</v>
      </c>
      <c r="C5876" s="2">
        <v>483.79259999999999</v>
      </c>
      <c r="D5876" s="2">
        <f>HYPERLINK("http://mcb-m6.bioreg.kyushu-u.ac.jp/M3/20110318/F50611/939/1", 67.1)</f>
        <v>67.099999999999994</v>
      </c>
      <c r="E5876" s="2">
        <v>40.01</v>
      </c>
      <c r="F5876" s="2">
        <v>2</v>
      </c>
      <c r="G5876" s="2" t="s">
        <v>10</v>
      </c>
      <c r="I5876" s="2" t="s">
        <v>4903</v>
      </c>
    </row>
    <row r="5877" spans="1:9" x14ac:dyDescent="0.2">
      <c r="A5877" s="2" t="s">
        <v>3319</v>
      </c>
      <c r="B5877" s="2" t="s">
        <v>2093</v>
      </c>
      <c r="C5877" s="2">
        <v>797.07420000000002</v>
      </c>
      <c r="D5877" s="2">
        <f>HYPERLINK("http://mcb-m6.bioreg.kyushu-u.ac.jp/M3/20110318/F50611/1889/1", 67.18)</f>
        <v>67.180000000000007</v>
      </c>
      <c r="E5877" s="2">
        <v>46.73</v>
      </c>
      <c r="F5877" s="2">
        <v>2</v>
      </c>
      <c r="G5877" s="2" t="s">
        <v>10</v>
      </c>
    </row>
    <row r="5878" spans="1:9" x14ac:dyDescent="0.2">
      <c r="A5878" s="2" t="s">
        <v>3319</v>
      </c>
      <c r="B5878" s="2" t="s">
        <v>1812</v>
      </c>
      <c r="C5878" s="2">
        <v>581.4597</v>
      </c>
      <c r="D5878" s="2">
        <f>HYPERLINK("http://mcb-m6.bioreg.kyushu-u.ac.jp/M3/20110318/F50613/1141/1", 67.3)</f>
        <v>67.3</v>
      </c>
      <c r="E5878" s="2">
        <v>44.41</v>
      </c>
      <c r="F5878" s="2">
        <v>2</v>
      </c>
      <c r="G5878" s="2" t="s">
        <v>10</v>
      </c>
    </row>
    <row r="5879" spans="1:9" x14ac:dyDescent="0.2">
      <c r="A5879" s="2" t="s">
        <v>3319</v>
      </c>
      <c r="B5879" s="2" t="s">
        <v>1280</v>
      </c>
      <c r="C5879" s="2">
        <v>623.74069999999995</v>
      </c>
      <c r="D5879" s="2">
        <f>HYPERLINK("http://mcb-m6.bioreg.kyushu-u.ac.jp/M3/20110318/F50611/1277/1", 67.62)</f>
        <v>67.62</v>
      </c>
      <c r="E5879" s="2">
        <v>38.93</v>
      </c>
      <c r="F5879" s="2">
        <v>2</v>
      </c>
      <c r="G5879" s="2" t="s">
        <v>10</v>
      </c>
    </row>
    <row r="5880" spans="1:9" x14ac:dyDescent="0.2">
      <c r="A5880" s="2" t="s">
        <v>3319</v>
      </c>
      <c r="B5880" s="2" t="s">
        <v>1909</v>
      </c>
      <c r="C5880" s="2">
        <v>870.34310000000005</v>
      </c>
      <c r="D5880" s="2">
        <f>HYPERLINK("http://mcb-m6.bioreg.kyushu-u.ac.jp/M3/20110318/F50611/2092/1", 67.95)</f>
        <v>67.95</v>
      </c>
      <c r="E5880" s="2">
        <v>47.3</v>
      </c>
      <c r="F5880" s="2">
        <v>2</v>
      </c>
      <c r="G5880" s="2" t="s">
        <v>10</v>
      </c>
    </row>
    <row r="5881" spans="1:9" x14ac:dyDescent="0.2">
      <c r="A5881" s="2" t="s">
        <v>3319</v>
      </c>
      <c r="B5881" s="2" t="s">
        <v>1812</v>
      </c>
      <c r="C5881" s="2">
        <v>581.42409999999995</v>
      </c>
      <c r="D5881" s="2">
        <f>HYPERLINK("http://mcb-m6.bioreg.kyushu-u.ac.jp/M3/20110318/F50612/1143/1", 68.11)</f>
        <v>68.11</v>
      </c>
      <c r="E5881" s="2">
        <v>44.16</v>
      </c>
      <c r="F5881" s="2">
        <v>2</v>
      </c>
      <c r="G5881" s="2" t="s">
        <v>10</v>
      </c>
    </row>
    <row r="5882" spans="1:9" x14ac:dyDescent="0.2">
      <c r="A5882" s="2" t="s">
        <v>3319</v>
      </c>
      <c r="B5882" s="2" t="s">
        <v>1812</v>
      </c>
      <c r="C5882" s="2">
        <v>581.38760000000002</v>
      </c>
      <c r="D5882" s="2">
        <f>HYPERLINK("http://mcb-m6.bioreg.kyushu-u.ac.jp/M3/20110318/F50611/1170/1", 68.26)</f>
        <v>68.260000000000005</v>
      </c>
      <c r="E5882" s="2">
        <v>46.62</v>
      </c>
      <c r="F5882" s="2">
        <v>2</v>
      </c>
      <c r="G5882" s="2" t="s">
        <v>10</v>
      </c>
    </row>
    <row r="5883" spans="1:9" x14ac:dyDescent="0.2">
      <c r="A5883" s="2" t="s">
        <v>3319</v>
      </c>
      <c r="B5883" s="2" t="s">
        <v>2070</v>
      </c>
      <c r="C5883" s="2">
        <v>714.48910000000001</v>
      </c>
      <c r="D5883" s="2">
        <f>HYPERLINK("http://mcb-m6.bioreg.kyushu-u.ac.jp/M3/20110318/F50612/1446/1", 68.35)</f>
        <v>68.349999999999994</v>
      </c>
      <c r="E5883" s="2">
        <v>48.25</v>
      </c>
      <c r="F5883" s="2">
        <v>2</v>
      </c>
      <c r="G5883" s="2" t="s">
        <v>10</v>
      </c>
    </row>
    <row r="5884" spans="1:9" x14ac:dyDescent="0.2">
      <c r="A5884" s="2" t="s">
        <v>3319</v>
      </c>
      <c r="B5884" s="2" t="s">
        <v>1280</v>
      </c>
      <c r="C5884" s="2">
        <v>623.25519999999995</v>
      </c>
      <c r="D5884" s="2">
        <f>HYPERLINK("http://mcb-m6.bioreg.kyushu-u.ac.jp/M3/20110318/F50611/1274/1", 69.22)</f>
        <v>69.22</v>
      </c>
      <c r="E5884" s="2">
        <v>46.46</v>
      </c>
      <c r="F5884" s="2">
        <v>2</v>
      </c>
      <c r="G5884" s="2" t="s">
        <v>10</v>
      </c>
    </row>
    <row r="5885" spans="1:9" x14ac:dyDescent="0.2">
      <c r="A5885" s="2" t="s">
        <v>3319</v>
      </c>
      <c r="B5885" s="2" t="s">
        <v>1671</v>
      </c>
      <c r="C5885" s="2">
        <v>870.93910000000005</v>
      </c>
      <c r="D5885" s="2">
        <f>HYPERLINK("http://mcb-m6.bioreg.kyushu-u.ac.jp/M3/20110318/F50596/2049/1", 69.36)</f>
        <v>69.36</v>
      </c>
      <c r="E5885" s="2">
        <v>46.19</v>
      </c>
      <c r="F5885" s="2">
        <v>2</v>
      </c>
      <c r="G5885" s="2" t="s">
        <v>10</v>
      </c>
    </row>
    <row r="5886" spans="1:9" x14ac:dyDescent="0.2">
      <c r="A5886" s="2" t="s">
        <v>3319</v>
      </c>
      <c r="B5886" s="2" t="s">
        <v>2609</v>
      </c>
      <c r="C5886" s="2">
        <v>631.38509999999997</v>
      </c>
      <c r="D5886" s="2">
        <f>HYPERLINK("http://mcb-m6.bioreg.kyushu-u.ac.jp/M3/20110318/F50613/1257/1", 69.8)</f>
        <v>69.8</v>
      </c>
      <c r="E5886" s="2">
        <v>46.39</v>
      </c>
      <c r="F5886" s="2">
        <v>2</v>
      </c>
      <c r="G5886" s="2" t="s">
        <v>10</v>
      </c>
      <c r="I5886" s="2" t="s">
        <v>4892</v>
      </c>
    </row>
    <row r="5887" spans="1:9" x14ac:dyDescent="0.2">
      <c r="A5887" s="2" t="s">
        <v>3319</v>
      </c>
      <c r="B5887" s="2" t="s">
        <v>5106</v>
      </c>
      <c r="C5887" s="2">
        <v>871.84609999999998</v>
      </c>
      <c r="D5887" s="2">
        <f>HYPERLINK("http://mcb-m6.bioreg.kyushu-u.ac.jp/M3/20110318/F50611/3015/1", 70.57)</f>
        <v>70.569999999999993</v>
      </c>
      <c r="E5887" s="2">
        <v>54.37</v>
      </c>
      <c r="F5887" s="2">
        <v>3</v>
      </c>
      <c r="G5887" s="2" t="s">
        <v>10</v>
      </c>
      <c r="H5887" s="2" t="s">
        <v>5885</v>
      </c>
    </row>
    <row r="5888" spans="1:9" x14ac:dyDescent="0.2">
      <c r="A5888" s="2" t="s">
        <v>3319</v>
      </c>
      <c r="B5888" s="2" t="s">
        <v>1909</v>
      </c>
      <c r="C5888" s="2">
        <v>870.46720000000005</v>
      </c>
      <c r="D5888" s="2">
        <f>HYPERLINK("http://mcb-m6.bioreg.kyushu-u.ac.jp/M3/20110318/F50612/1936/1", 72.25)</f>
        <v>72.25</v>
      </c>
      <c r="E5888" s="2">
        <v>49.74</v>
      </c>
      <c r="F5888" s="2">
        <v>2</v>
      </c>
      <c r="G5888" s="2" t="s">
        <v>10</v>
      </c>
    </row>
    <row r="5889" spans="1:9" x14ac:dyDescent="0.2">
      <c r="A5889" s="2" t="s">
        <v>3319</v>
      </c>
      <c r="B5889" s="2" t="s">
        <v>1909</v>
      </c>
      <c r="C5889" s="2">
        <v>870.08259999999996</v>
      </c>
      <c r="D5889" s="2">
        <f>HYPERLINK("http://mcb-m6.bioreg.kyushu-u.ac.jp/M3/20110318/F50598/1947/1", 72.32)</f>
        <v>72.319999999999993</v>
      </c>
      <c r="E5889" s="2">
        <v>49.84</v>
      </c>
      <c r="F5889" s="2">
        <v>2</v>
      </c>
      <c r="G5889" s="2" t="s">
        <v>10</v>
      </c>
    </row>
    <row r="5890" spans="1:9" x14ac:dyDescent="0.2">
      <c r="A5890" s="2" t="s">
        <v>3319</v>
      </c>
      <c r="B5890" s="2" t="s">
        <v>1909</v>
      </c>
      <c r="C5890" s="2">
        <v>870.55470000000003</v>
      </c>
      <c r="D5890" s="2">
        <f>HYPERLINK("http://mcb-m6.bioreg.kyushu-u.ac.jp/M3/20110318/F50611/2094/1", 72.69)</f>
        <v>72.69</v>
      </c>
      <c r="E5890" s="2">
        <v>49.76</v>
      </c>
      <c r="F5890" s="2">
        <v>2</v>
      </c>
      <c r="G5890" s="2" t="s">
        <v>10</v>
      </c>
    </row>
    <row r="5891" spans="1:9" x14ac:dyDescent="0.2">
      <c r="A5891" s="2" t="s">
        <v>3319</v>
      </c>
      <c r="B5891" s="2" t="s">
        <v>1324</v>
      </c>
      <c r="C5891" s="2">
        <v>581.80409999999995</v>
      </c>
      <c r="D5891" s="2">
        <f>HYPERLINK("http://mcb-m6.bioreg.kyushu-u.ac.jp/M3/20110318/F50611/1174/1", 72.95)</f>
        <v>72.95</v>
      </c>
      <c r="E5891" s="2">
        <v>43.05</v>
      </c>
      <c r="F5891" s="2">
        <v>2</v>
      </c>
      <c r="G5891" s="2" t="s">
        <v>10</v>
      </c>
    </row>
    <row r="5892" spans="1:9" x14ac:dyDescent="0.2">
      <c r="A5892" s="2" t="s">
        <v>3319</v>
      </c>
      <c r="B5892" s="2" t="s">
        <v>2609</v>
      </c>
      <c r="C5892" s="2">
        <v>630.81619999999998</v>
      </c>
      <c r="D5892" s="2">
        <f>HYPERLINK("http://mcb-m6.bioreg.kyushu-u.ac.jp/M3/20110318/F50597/1222/1", 73.35)</f>
        <v>73.349999999999994</v>
      </c>
      <c r="E5892" s="2">
        <v>49.37</v>
      </c>
      <c r="F5892" s="2">
        <v>2</v>
      </c>
      <c r="G5892" s="2" t="s">
        <v>10</v>
      </c>
      <c r="I5892" s="2" t="s">
        <v>4892</v>
      </c>
    </row>
    <row r="5893" spans="1:9" x14ac:dyDescent="0.2">
      <c r="A5893" s="2" t="s">
        <v>3319</v>
      </c>
      <c r="B5893" s="2" t="s">
        <v>104</v>
      </c>
      <c r="C5893" s="2">
        <v>1562.568</v>
      </c>
      <c r="D5893" s="2">
        <f>HYPERLINK("http://mcb-m6.bioreg.kyushu-u.ac.jp/M3/20110318/F50611/1843/1", 76.55)</f>
        <v>76.55</v>
      </c>
      <c r="E5893" s="2">
        <v>54.11</v>
      </c>
      <c r="F5893" s="2">
        <v>1</v>
      </c>
      <c r="G5893" s="2" t="s">
        <v>10</v>
      </c>
    </row>
    <row r="5894" spans="1:9" x14ac:dyDescent="0.2">
      <c r="A5894" s="2" t="s">
        <v>3319</v>
      </c>
      <c r="B5894" s="2" t="s">
        <v>1280</v>
      </c>
      <c r="C5894" s="2">
        <v>1245.4760000000001</v>
      </c>
      <c r="D5894" s="2">
        <f>HYPERLINK("http://mcb-m6.bioreg.kyushu-u.ac.jp/M3/20110318/F50611/1273/1", 77.47)</f>
        <v>77.47</v>
      </c>
      <c r="E5894" s="2">
        <v>55.05</v>
      </c>
      <c r="F5894" s="2">
        <v>1</v>
      </c>
      <c r="G5894" s="2" t="s">
        <v>10</v>
      </c>
    </row>
    <row r="5895" spans="1:9" x14ac:dyDescent="0.2">
      <c r="A5895" s="2" t="s">
        <v>3319</v>
      </c>
      <c r="B5895" s="2" t="s">
        <v>1909</v>
      </c>
      <c r="C5895" s="2">
        <v>869.78859999999997</v>
      </c>
      <c r="D5895" s="2">
        <f>HYPERLINK("http://mcb-m6.bioreg.kyushu-u.ac.jp/M3/20110318/F50611/2091/1", 78.37)</f>
        <v>78.37</v>
      </c>
      <c r="E5895" s="2">
        <v>49.85</v>
      </c>
      <c r="F5895" s="2">
        <v>2</v>
      </c>
      <c r="G5895" s="2" t="s">
        <v>10</v>
      </c>
    </row>
    <row r="5896" spans="1:9" x14ac:dyDescent="0.2">
      <c r="A5896" s="2" t="s">
        <v>3319</v>
      </c>
      <c r="B5896" s="2" t="s">
        <v>1280</v>
      </c>
      <c r="C5896" s="2">
        <v>623.28219999999999</v>
      </c>
      <c r="D5896" s="2">
        <f>HYPERLINK("http://mcb-m6.bioreg.kyushu-u.ac.jp/M3/20110318/F50596/1288/1", 79.16)</f>
        <v>79.16</v>
      </c>
      <c r="E5896" s="2">
        <v>52.79</v>
      </c>
      <c r="F5896" s="2">
        <v>2</v>
      </c>
      <c r="G5896" s="2" t="s">
        <v>10</v>
      </c>
    </row>
    <row r="5897" spans="1:9" x14ac:dyDescent="0.2">
      <c r="A5897" s="2" t="s">
        <v>3319</v>
      </c>
      <c r="B5897" s="2" t="s">
        <v>2505</v>
      </c>
      <c r="C5897" s="2">
        <v>872.28560000000004</v>
      </c>
      <c r="D5897" s="2">
        <f>HYPERLINK("http://mcb-m6.bioreg.kyushu-u.ac.jp/M3/20110318/F50611/2109/1", 80.26)</f>
        <v>80.260000000000005</v>
      </c>
      <c r="E5897" s="2">
        <v>61.01</v>
      </c>
      <c r="F5897" s="2">
        <v>2</v>
      </c>
      <c r="G5897" s="2" t="s">
        <v>10</v>
      </c>
      <c r="H5897" s="2" t="s">
        <v>4912</v>
      </c>
      <c r="I5897" s="2" t="s">
        <v>4918</v>
      </c>
    </row>
    <row r="5898" spans="1:9" x14ac:dyDescent="0.2">
      <c r="A5898" s="2" t="s">
        <v>3319</v>
      </c>
      <c r="B5898" s="2" t="s">
        <v>5106</v>
      </c>
      <c r="C5898" s="2">
        <v>866.48149999999998</v>
      </c>
      <c r="D5898" s="2">
        <f>HYPERLINK("http://mcb-m6.bioreg.kyushu-u.ac.jp/M3/20110318/F50612/2735/1", 81.32)</f>
        <v>81.319999999999993</v>
      </c>
      <c r="E5898" s="2">
        <v>66.319999999999993</v>
      </c>
      <c r="F5898" s="2">
        <v>3</v>
      </c>
      <c r="G5898" s="2" t="s">
        <v>10</v>
      </c>
    </row>
    <row r="5899" spans="1:9" x14ac:dyDescent="0.2">
      <c r="A5899" s="2" t="s">
        <v>3319</v>
      </c>
      <c r="B5899" s="2" t="s">
        <v>2609</v>
      </c>
      <c r="C5899" s="2">
        <v>630.87959999999998</v>
      </c>
      <c r="D5899" s="2">
        <f>HYPERLINK("http://mcb-m6.bioreg.kyushu-u.ac.jp/M3/20110318/F50613/1256/1", 82.01)</f>
        <v>82.01</v>
      </c>
      <c r="E5899" s="2">
        <v>53.68</v>
      </c>
      <c r="F5899" s="2">
        <v>2</v>
      </c>
      <c r="G5899" s="2" t="s">
        <v>10</v>
      </c>
      <c r="I5899" s="2" t="s">
        <v>4892</v>
      </c>
    </row>
    <row r="5900" spans="1:9" x14ac:dyDescent="0.2">
      <c r="A5900" s="2" t="s">
        <v>3319</v>
      </c>
      <c r="B5900" s="2" t="s">
        <v>1280</v>
      </c>
      <c r="C5900" s="2">
        <v>623.29859999999996</v>
      </c>
      <c r="D5900" s="2">
        <f>HYPERLINK("http://mcb-m6.bioreg.kyushu-u.ac.jp/M3/20110318/F50598/1294/1", 82.05)</f>
        <v>82.05</v>
      </c>
      <c r="E5900" s="2">
        <v>54.45</v>
      </c>
      <c r="F5900" s="2">
        <v>2</v>
      </c>
      <c r="G5900" s="2" t="s">
        <v>10</v>
      </c>
    </row>
    <row r="5901" spans="1:9" x14ac:dyDescent="0.2">
      <c r="A5901" s="2" t="s">
        <v>3319</v>
      </c>
      <c r="B5901" s="2" t="s">
        <v>1671</v>
      </c>
      <c r="C5901" s="2">
        <v>871.39670000000001</v>
      </c>
      <c r="D5901" s="2">
        <f>HYPERLINK("http://mcb-m6.bioreg.kyushu-u.ac.jp/M3/20110318/F50612/1940/1", 82.1)</f>
        <v>82.1</v>
      </c>
      <c r="E5901" s="2">
        <v>68.12</v>
      </c>
      <c r="F5901" s="2">
        <v>2</v>
      </c>
      <c r="G5901" s="2" t="s">
        <v>10</v>
      </c>
    </row>
    <row r="5902" spans="1:9" x14ac:dyDescent="0.2">
      <c r="A5902" s="2" t="s">
        <v>3319</v>
      </c>
      <c r="B5902" s="2" t="s">
        <v>1909</v>
      </c>
      <c r="C5902" s="2">
        <v>869.76760000000002</v>
      </c>
      <c r="D5902" s="2">
        <f>HYPERLINK("http://mcb-m6.bioreg.kyushu-u.ac.jp/M3/20110318/F50611/2090/1", 84.15)</f>
        <v>84.15</v>
      </c>
      <c r="E5902" s="2">
        <v>55.28</v>
      </c>
      <c r="F5902" s="2">
        <v>2</v>
      </c>
      <c r="G5902" s="2" t="s">
        <v>10</v>
      </c>
    </row>
    <row r="5903" spans="1:9" x14ac:dyDescent="0.2">
      <c r="A5903" s="2" t="s">
        <v>3319</v>
      </c>
      <c r="B5903" s="2" t="s">
        <v>5106</v>
      </c>
      <c r="C5903" s="2">
        <v>1307.4849999999999</v>
      </c>
      <c r="D5903" s="2">
        <f>HYPERLINK("http://mcb-m6.bioreg.kyushu-u.ac.jp/M3/20110318/F50611/3017/1", 84.32)</f>
        <v>84.32</v>
      </c>
      <c r="E5903" s="2">
        <v>76.41</v>
      </c>
      <c r="F5903" s="2">
        <v>2</v>
      </c>
      <c r="G5903" s="2" t="s">
        <v>10</v>
      </c>
      <c r="H5903" s="2" t="s">
        <v>5885</v>
      </c>
    </row>
    <row r="5904" spans="1:9" x14ac:dyDescent="0.2">
      <c r="A5904" s="2" t="s">
        <v>3319</v>
      </c>
      <c r="B5904" s="2" t="s">
        <v>104</v>
      </c>
      <c r="C5904" s="2">
        <v>782.42970000000003</v>
      </c>
      <c r="D5904" s="2">
        <f>HYPERLINK("http://mcb-m6.bioreg.kyushu-u.ac.jp/M3/20110318/F50613/1848/1", 86.82)</f>
        <v>86.82</v>
      </c>
      <c r="E5904" s="2">
        <v>73.5</v>
      </c>
      <c r="F5904" s="2">
        <v>2</v>
      </c>
      <c r="G5904" s="2" t="s">
        <v>10</v>
      </c>
    </row>
    <row r="5905" spans="1:9" x14ac:dyDescent="0.2">
      <c r="A5905" s="2" t="s">
        <v>3319</v>
      </c>
      <c r="B5905" s="2" t="s">
        <v>1909</v>
      </c>
      <c r="C5905" s="2">
        <v>870.19669999999996</v>
      </c>
      <c r="D5905" s="2">
        <f>HYPERLINK("http://mcb-m6.bioreg.kyushu-u.ac.jp/M3/20110318/F50616/2155/1", 86.86)</f>
        <v>86.86</v>
      </c>
      <c r="E5905" s="2">
        <v>52.74</v>
      </c>
      <c r="F5905" s="2">
        <v>2</v>
      </c>
      <c r="G5905" s="2" t="s">
        <v>10</v>
      </c>
    </row>
    <row r="5906" spans="1:9" x14ac:dyDescent="0.2">
      <c r="A5906" s="2" t="s">
        <v>3319</v>
      </c>
      <c r="B5906" s="2" t="s">
        <v>2505</v>
      </c>
      <c r="C5906" s="2">
        <v>864.85109999999997</v>
      </c>
      <c r="D5906" s="2">
        <f>HYPERLINK("http://mcb-m6.bioreg.kyushu-u.ac.jp/M3/20110318/F50612/1921/1", 88.82)</f>
        <v>88.82</v>
      </c>
      <c r="E5906" s="2">
        <v>67.67</v>
      </c>
      <c r="F5906" s="2">
        <v>2</v>
      </c>
      <c r="G5906" s="2" t="s">
        <v>10</v>
      </c>
      <c r="I5906" s="2" t="s">
        <v>4918</v>
      </c>
    </row>
    <row r="5907" spans="1:9" x14ac:dyDescent="0.2">
      <c r="A5907" s="2" t="s">
        <v>3319</v>
      </c>
      <c r="B5907" s="2" t="s">
        <v>1311</v>
      </c>
      <c r="C5907" s="2">
        <v>826.95870000000002</v>
      </c>
      <c r="D5907" s="2">
        <f>HYPERLINK("http://mcb-m6.bioreg.kyushu-u.ac.jp/M3/20110318/F50612/1822/1", 90.96)</f>
        <v>90.96</v>
      </c>
      <c r="E5907" s="2">
        <v>68.739999999999995</v>
      </c>
      <c r="F5907" s="2">
        <v>2</v>
      </c>
      <c r="G5907" s="2" t="s">
        <v>10</v>
      </c>
    </row>
    <row r="5908" spans="1:9" x14ac:dyDescent="0.2">
      <c r="A5908" s="2" t="s">
        <v>3319</v>
      </c>
      <c r="B5908" s="2" t="s">
        <v>1311</v>
      </c>
      <c r="C5908" s="2">
        <v>826.40009999999995</v>
      </c>
      <c r="D5908" s="2">
        <f>HYPERLINK("http://mcb-m6.bioreg.kyushu-u.ac.jp/M3/20110318/F50612/1820/1", 91.25)</f>
        <v>91.25</v>
      </c>
      <c r="E5908" s="2">
        <v>68.680000000000007</v>
      </c>
      <c r="F5908" s="2">
        <v>2</v>
      </c>
      <c r="G5908" s="2" t="s">
        <v>10</v>
      </c>
    </row>
    <row r="5909" spans="1:9" x14ac:dyDescent="0.2">
      <c r="A5909" s="2" t="s">
        <v>3319</v>
      </c>
      <c r="B5909" s="2" t="s">
        <v>2609</v>
      </c>
      <c r="C5909" s="2">
        <v>630.84119999999996</v>
      </c>
      <c r="D5909" s="2">
        <f>HYPERLINK("http://mcb-m6.bioreg.kyushu-u.ac.jp/M3/20110318/F50611/1293/1", 91.68)</f>
        <v>91.68</v>
      </c>
      <c r="E5909" s="2">
        <v>56.03</v>
      </c>
      <c r="F5909" s="2">
        <v>2</v>
      </c>
      <c r="G5909" s="2" t="s">
        <v>10</v>
      </c>
      <c r="I5909" s="2" t="s">
        <v>4892</v>
      </c>
    </row>
    <row r="5910" spans="1:9" x14ac:dyDescent="0.2">
      <c r="A5910" s="2" t="s">
        <v>3319</v>
      </c>
      <c r="B5910" s="2" t="s">
        <v>2505</v>
      </c>
      <c r="C5910" s="2">
        <v>864.29060000000004</v>
      </c>
      <c r="D5910" s="2">
        <f>HYPERLINK("http://mcb-m6.bioreg.kyushu-u.ac.jp/M3/20110318/F50611/2073/1", 92.1)</f>
        <v>92.1</v>
      </c>
      <c r="E5910" s="2">
        <v>75.180000000000007</v>
      </c>
      <c r="F5910" s="2">
        <v>2</v>
      </c>
      <c r="G5910" s="2" t="s">
        <v>10</v>
      </c>
      <c r="I5910" s="2" t="s">
        <v>4918</v>
      </c>
    </row>
    <row r="5911" spans="1:9" x14ac:dyDescent="0.2">
      <c r="A5911" s="2" t="s">
        <v>3319</v>
      </c>
      <c r="B5911" s="2" t="s">
        <v>1671</v>
      </c>
      <c r="C5911" s="2">
        <v>870.88459999999998</v>
      </c>
      <c r="D5911" s="2">
        <f>HYPERLINK("http://mcb-m6.bioreg.kyushu-u.ac.jp/M3/20110318/F50612/1938/1", 92.32)</f>
        <v>92.32</v>
      </c>
      <c r="E5911" s="2">
        <v>73.19</v>
      </c>
      <c r="F5911" s="2">
        <v>2</v>
      </c>
      <c r="G5911" s="2" t="s">
        <v>10</v>
      </c>
    </row>
    <row r="5912" spans="1:9" x14ac:dyDescent="0.2">
      <c r="A5912" s="2" t="s">
        <v>3319</v>
      </c>
      <c r="B5912" s="2" t="s">
        <v>1311</v>
      </c>
      <c r="C5912" s="2">
        <v>826.50710000000004</v>
      </c>
      <c r="D5912" s="2">
        <f>HYPERLINK("http://mcb-m6.bioreg.kyushu-u.ac.jp/M3/20110318/F50611/1960/1", 93.35)</f>
        <v>93.35</v>
      </c>
      <c r="E5912" s="2">
        <v>77.75</v>
      </c>
      <c r="F5912" s="2">
        <v>2</v>
      </c>
      <c r="G5912" s="2" t="s">
        <v>10</v>
      </c>
    </row>
    <row r="5913" spans="1:9" x14ac:dyDescent="0.2">
      <c r="A5913" s="2" t="s">
        <v>3319</v>
      </c>
      <c r="B5913" s="2" t="s">
        <v>2505</v>
      </c>
      <c r="C5913" s="2">
        <v>864.40369999999996</v>
      </c>
      <c r="D5913" s="2">
        <f>HYPERLINK("http://mcb-m6.bioreg.kyushu-u.ac.jp/M3/20110318/F50596/2037/1", 97.13)</f>
        <v>97.13</v>
      </c>
      <c r="E5913" s="2">
        <v>82.87</v>
      </c>
      <c r="F5913" s="2">
        <v>2</v>
      </c>
      <c r="G5913" s="2" t="s">
        <v>10</v>
      </c>
      <c r="I5913" s="2" t="s">
        <v>4918</v>
      </c>
    </row>
    <row r="5914" spans="1:9" x14ac:dyDescent="0.2">
      <c r="A5914" s="2" t="s">
        <v>3319</v>
      </c>
      <c r="B5914" s="2" t="s">
        <v>2505</v>
      </c>
      <c r="C5914" s="2">
        <v>864.33870000000002</v>
      </c>
      <c r="D5914" s="2">
        <f>HYPERLINK("http://mcb-m6.bioreg.kyushu-u.ac.jp/M3/20110318/F50612/1919/1", 98.79)</f>
        <v>98.79</v>
      </c>
      <c r="E5914" s="2">
        <v>78.86</v>
      </c>
      <c r="F5914" s="2">
        <v>2</v>
      </c>
      <c r="G5914" s="2" t="s">
        <v>10</v>
      </c>
      <c r="I5914" s="2" t="s">
        <v>4918</v>
      </c>
    </row>
    <row r="5915" spans="1:9" x14ac:dyDescent="0.2">
      <c r="A5915" s="2" t="s">
        <v>3319</v>
      </c>
      <c r="B5915" s="2" t="s">
        <v>1671</v>
      </c>
      <c r="C5915" s="2">
        <v>871.42359999999996</v>
      </c>
      <c r="D5915" s="2">
        <f>HYPERLINK("http://mcb-m6.bioreg.kyushu-u.ac.jp/M3/20110318/F50613/2204/1", 99.7)</f>
        <v>99.7</v>
      </c>
      <c r="E5915" s="2">
        <v>74.31</v>
      </c>
      <c r="F5915" s="2">
        <v>2</v>
      </c>
      <c r="G5915" s="2" t="s">
        <v>10</v>
      </c>
    </row>
    <row r="5916" spans="1:9" x14ac:dyDescent="0.2">
      <c r="A5916" s="2" t="s">
        <v>3319</v>
      </c>
      <c r="B5916" s="2" t="s">
        <v>1909</v>
      </c>
      <c r="C5916" s="2">
        <v>870.14469999999994</v>
      </c>
      <c r="D5916" s="2">
        <f>HYPERLINK("http://mcb-m6.bioreg.kyushu-u.ac.jp/M3/20110318/F50613/2198/1", 103.32)</f>
        <v>103.32</v>
      </c>
      <c r="E5916" s="2">
        <v>78.84</v>
      </c>
      <c r="F5916" s="2">
        <v>2</v>
      </c>
      <c r="G5916" s="2" t="s">
        <v>10</v>
      </c>
    </row>
    <row r="5917" spans="1:9" x14ac:dyDescent="0.2">
      <c r="A5917" s="2" t="s">
        <v>3319</v>
      </c>
      <c r="B5917" s="2" t="s">
        <v>1671</v>
      </c>
      <c r="C5917" s="2">
        <v>870.88959999999997</v>
      </c>
      <c r="D5917" s="2">
        <f>HYPERLINK("http://mcb-m6.bioreg.kyushu-u.ac.jp/M3/20110318/F50611/2095/1", 105.87)</f>
        <v>105.87</v>
      </c>
      <c r="E5917" s="2">
        <v>82.29</v>
      </c>
      <c r="F5917" s="2">
        <v>2</v>
      </c>
      <c r="G5917" s="2" t="s">
        <v>10</v>
      </c>
    </row>
    <row r="5918" spans="1:9" x14ac:dyDescent="0.2">
      <c r="A5918" s="2" t="s">
        <v>3319</v>
      </c>
      <c r="B5918" s="2" t="s">
        <v>5215</v>
      </c>
      <c r="C5918" s="2">
        <v>1066.317</v>
      </c>
      <c r="D5918" s="2">
        <f>HYPERLINK("http://mcb-m6.bioreg.kyushu-u.ac.jp/M3/20110318/F50611/2555/1", 108.39)</f>
        <v>108.39</v>
      </c>
      <c r="E5918" s="2">
        <v>97.89</v>
      </c>
      <c r="F5918" s="2">
        <v>2</v>
      </c>
      <c r="G5918" s="2" t="s">
        <v>10</v>
      </c>
      <c r="H5918" s="2" t="s">
        <v>5885</v>
      </c>
    </row>
    <row r="5919" spans="1:9" x14ac:dyDescent="0.2">
      <c r="A5919" s="2" t="s">
        <v>3319</v>
      </c>
      <c r="B5919" s="2" t="s">
        <v>104</v>
      </c>
      <c r="C5919" s="2">
        <v>781.82259999999997</v>
      </c>
      <c r="D5919" s="2">
        <f>HYPERLINK("http://mcb-m6.bioreg.kyushu-u.ac.jp/M3/20110318/F50613/1840/1", 112.53)</f>
        <v>112.53</v>
      </c>
      <c r="E5919" s="2">
        <v>90.81</v>
      </c>
      <c r="F5919" s="2">
        <v>2</v>
      </c>
      <c r="G5919" s="2" t="s">
        <v>10</v>
      </c>
    </row>
    <row r="5920" spans="1:9" x14ac:dyDescent="0.2">
      <c r="A5920" s="2" t="s">
        <v>3319</v>
      </c>
      <c r="B5920" s="2" t="s">
        <v>1749</v>
      </c>
      <c r="C5920" s="2">
        <v>778.80319999999995</v>
      </c>
      <c r="D5920" s="2">
        <f>HYPERLINK("http://mcb-m6.bioreg.kyushu-u.ac.jp/M3/20110318/F50611/1823/1", 113.51)</f>
        <v>113.51</v>
      </c>
      <c r="E5920" s="2">
        <v>98.75</v>
      </c>
      <c r="F5920" s="2">
        <v>2</v>
      </c>
      <c r="G5920" s="2" t="s">
        <v>10</v>
      </c>
    </row>
    <row r="5921" spans="1:9" x14ac:dyDescent="0.2">
      <c r="A5921" s="2" t="s">
        <v>3319</v>
      </c>
      <c r="B5921" s="2" t="s">
        <v>1909</v>
      </c>
      <c r="C5921" s="2">
        <v>870.19820000000004</v>
      </c>
      <c r="D5921" s="2">
        <f>HYPERLINK("http://mcb-m6.bioreg.kyushu-u.ac.jp/M3/20110318/F50612/1935/1", 115.23)</f>
        <v>115.23</v>
      </c>
      <c r="E5921" s="2">
        <v>91.27</v>
      </c>
      <c r="F5921" s="2">
        <v>2</v>
      </c>
      <c r="G5921" s="2" t="s">
        <v>10</v>
      </c>
    </row>
    <row r="5922" spans="1:9" x14ac:dyDescent="0.2">
      <c r="A5922" s="2" t="s">
        <v>3319</v>
      </c>
      <c r="B5922" s="2" t="s">
        <v>1749</v>
      </c>
      <c r="C5922" s="2">
        <v>778.06820000000005</v>
      </c>
      <c r="D5922" s="2">
        <f>HYPERLINK("http://mcb-m6.bioreg.kyushu-u.ac.jp/M3/20110318/F50611/1821/1", 117.91)</f>
        <v>117.91</v>
      </c>
      <c r="E5922" s="2">
        <v>98.64</v>
      </c>
      <c r="F5922" s="2">
        <v>2</v>
      </c>
      <c r="G5922" s="2" t="s">
        <v>10</v>
      </c>
    </row>
    <row r="5923" spans="1:9" x14ac:dyDescent="0.2">
      <c r="A5923" s="2" t="s">
        <v>3319</v>
      </c>
      <c r="B5923" s="2" t="s">
        <v>5227</v>
      </c>
      <c r="C5923" s="2">
        <v>1136.317</v>
      </c>
      <c r="D5923" s="2">
        <f>HYPERLINK("http://mcb-m6.bioreg.kyushu-u.ac.jp/M3/20110318/F50611/2743/1", 145.85)</f>
        <v>145.85</v>
      </c>
      <c r="E5923" s="2">
        <v>136.5</v>
      </c>
      <c r="F5923" s="2">
        <v>2</v>
      </c>
      <c r="G5923" s="2" t="s">
        <v>10</v>
      </c>
      <c r="H5923" s="2" t="s">
        <v>5885</v>
      </c>
    </row>
    <row r="5924" spans="1:9" x14ac:dyDescent="0.2">
      <c r="A5924" s="2" t="s">
        <v>3319</v>
      </c>
      <c r="B5924" s="2" t="s">
        <v>232</v>
      </c>
      <c r="C5924" s="2">
        <v>790.34900000000005</v>
      </c>
      <c r="D5924" s="2">
        <f>HYPERLINK("http://mcb-m6.bioreg.kyushu-u.ac.jp/M3/20110418/F51000/1140/1", 35.78)</f>
        <v>35.78</v>
      </c>
      <c r="E5924" s="2">
        <v>10.27</v>
      </c>
      <c r="F5924" s="2">
        <v>1</v>
      </c>
      <c r="G5924" s="2" t="s">
        <v>11</v>
      </c>
    </row>
    <row r="5925" spans="1:9" x14ac:dyDescent="0.2">
      <c r="A5925" s="2" t="s">
        <v>3319</v>
      </c>
      <c r="B5925" s="2" t="s">
        <v>104</v>
      </c>
      <c r="C5925" s="2">
        <v>782.13760000000002</v>
      </c>
      <c r="D5925" s="2">
        <f>HYPERLINK("http://mcb-m6.bioreg.kyushu-u.ac.jp/M3/20110418/F50977/2350/1", 39.63)</f>
        <v>39.630000000000003</v>
      </c>
      <c r="E5925" s="2">
        <v>25.61</v>
      </c>
      <c r="F5925" s="2">
        <v>2</v>
      </c>
      <c r="G5925" s="2" t="s">
        <v>11</v>
      </c>
    </row>
    <row r="5926" spans="1:9" x14ac:dyDescent="0.2">
      <c r="A5926" s="2" t="s">
        <v>3319</v>
      </c>
      <c r="B5926" s="2" t="s">
        <v>638</v>
      </c>
      <c r="C5926" s="2">
        <v>1112.5360000000001</v>
      </c>
      <c r="D5926" s="2">
        <f>HYPERLINK("http://mcb-m6.bioreg.kyushu-u.ac.jp/M3/20110418/F51000/1494/1", 39.66)</f>
        <v>39.659999999999997</v>
      </c>
      <c r="E5926" s="2">
        <v>21.59</v>
      </c>
      <c r="F5926" s="2">
        <v>1</v>
      </c>
      <c r="G5926" s="2" t="s">
        <v>11</v>
      </c>
    </row>
    <row r="5927" spans="1:9" x14ac:dyDescent="0.2">
      <c r="A5927" s="2" t="s">
        <v>3319</v>
      </c>
      <c r="B5927" s="2" t="s">
        <v>1938</v>
      </c>
      <c r="C5927" s="2">
        <v>479.20659999999998</v>
      </c>
      <c r="D5927" s="2">
        <f>HYPERLINK("http://mcb-m6.bioreg.kyushu-u.ac.jp/M3/20110418/F50975/691/1", 40.41)</f>
        <v>40.409999999999997</v>
      </c>
      <c r="E5927" s="2">
        <v>16.2</v>
      </c>
      <c r="F5927" s="2">
        <v>2</v>
      </c>
      <c r="G5927" s="2" t="s">
        <v>11</v>
      </c>
    </row>
    <row r="5928" spans="1:9" x14ac:dyDescent="0.2">
      <c r="A5928" s="2" t="s">
        <v>3319</v>
      </c>
      <c r="B5928" s="2" t="s">
        <v>1753</v>
      </c>
      <c r="C5928" s="2">
        <v>573.50210000000004</v>
      </c>
      <c r="D5928" s="2">
        <f>HYPERLINK("http://mcb-m6.bioreg.kyushu-u.ac.jp/M3/20110418/F51000/1514/1", 42.18)</f>
        <v>42.18</v>
      </c>
      <c r="E5928" s="2">
        <v>27.69</v>
      </c>
      <c r="F5928" s="2">
        <v>2</v>
      </c>
      <c r="G5928" s="2" t="s">
        <v>11</v>
      </c>
    </row>
    <row r="5929" spans="1:9" x14ac:dyDescent="0.2">
      <c r="A5929" s="2" t="s">
        <v>3319</v>
      </c>
      <c r="B5929" s="2" t="s">
        <v>1938</v>
      </c>
      <c r="C5929" s="2">
        <v>479.76310000000001</v>
      </c>
      <c r="D5929" s="2">
        <f>HYPERLINK("http://mcb-m6.bioreg.kyushu-u.ac.jp/M3/20110418/F50977/828/1", 43.71)</f>
        <v>43.71</v>
      </c>
      <c r="E5929" s="2">
        <v>9.01</v>
      </c>
      <c r="F5929" s="2">
        <v>2</v>
      </c>
      <c r="G5929" s="2" t="s">
        <v>11</v>
      </c>
    </row>
    <row r="5930" spans="1:9" x14ac:dyDescent="0.2">
      <c r="A5930" s="2" t="s">
        <v>3319</v>
      </c>
      <c r="B5930" s="2" t="s">
        <v>1420</v>
      </c>
      <c r="C5930" s="2">
        <v>1108.683</v>
      </c>
      <c r="D5930" s="2">
        <f>HYPERLINK("http://mcb-m6.bioreg.kyushu-u.ac.jp/M3/20110418/F51000/1489/1", 43.81)</f>
        <v>43.81</v>
      </c>
      <c r="E5930" s="2">
        <v>10.02</v>
      </c>
      <c r="F5930" s="2">
        <v>1</v>
      </c>
      <c r="G5930" s="2" t="s">
        <v>11</v>
      </c>
    </row>
    <row r="5931" spans="1:9" x14ac:dyDescent="0.2">
      <c r="A5931" s="2" t="s">
        <v>3319</v>
      </c>
      <c r="B5931" s="2" t="s">
        <v>2204</v>
      </c>
      <c r="C5931" s="2">
        <v>483.78059999999999</v>
      </c>
      <c r="D5931" s="2">
        <f>HYPERLINK("http://mcb-m6.bioreg.kyushu-u.ac.jp/M3/20110418/F50976/804/1", 44.77)</f>
        <v>44.77</v>
      </c>
      <c r="E5931" s="2">
        <v>15.79</v>
      </c>
      <c r="F5931" s="2">
        <v>2</v>
      </c>
      <c r="G5931" s="2" t="s">
        <v>11</v>
      </c>
      <c r="I5931" s="2" t="s">
        <v>4903</v>
      </c>
    </row>
    <row r="5932" spans="1:9" x14ac:dyDescent="0.2">
      <c r="A5932" s="2" t="s">
        <v>3319</v>
      </c>
      <c r="B5932" s="2" t="s">
        <v>104</v>
      </c>
      <c r="C5932" s="2">
        <v>781.62159999999994</v>
      </c>
      <c r="D5932" s="2">
        <f>HYPERLINK("http://mcb-m6.bioreg.kyushu-u.ac.jp/M3/20110418/F50978/2280/1", 45.31)</f>
        <v>45.31</v>
      </c>
      <c r="E5932" s="2">
        <v>35.409999999999997</v>
      </c>
      <c r="F5932" s="2">
        <v>2</v>
      </c>
      <c r="G5932" s="2" t="s">
        <v>11</v>
      </c>
    </row>
    <row r="5933" spans="1:9" x14ac:dyDescent="0.2">
      <c r="A5933" s="2" t="s">
        <v>3319</v>
      </c>
      <c r="B5933" s="2" t="s">
        <v>2544</v>
      </c>
      <c r="C5933" s="2">
        <v>695.85820000000001</v>
      </c>
      <c r="D5933" s="2">
        <f>HYPERLINK("http://mcb-m6.bioreg.kyushu-u.ac.jp/M3/20110418/F50979/1901/1", 45.57)</f>
        <v>45.57</v>
      </c>
      <c r="E5933" s="2">
        <v>6.15</v>
      </c>
      <c r="F5933" s="2">
        <v>2</v>
      </c>
      <c r="G5933" s="2" t="s">
        <v>11</v>
      </c>
      <c r="I5933" s="2" t="s">
        <v>4903</v>
      </c>
    </row>
    <row r="5934" spans="1:9" x14ac:dyDescent="0.2">
      <c r="A5934" s="2" t="s">
        <v>3319</v>
      </c>
      <c r="B5934" s="2" t="s">
        <v>987</v>
      </c>
      <c r="C5934" s="2">
        <v>753.38509999999997</v>
      </c>
      <c r="D5934" s="2">
        <f>HYPERLINK("http://mcb-m6.bioreg.kyushu-u.ac.jp/M3/20110418/F50977/2167/1", 45.74)</f>
        <v>45.74</v>
      </c>
      <c r="E5934" s="2">
        <v>27.56</v>
      </c>
      <c r="F5934" s="2">
        <v>2</v>
      </c>
      <c r="G5934" s="2" t="s">
        <v>11</v>
      </c>
    </row>
    <row r="5935" spans="1:9" x14ac:dyDescent="0.2">
      <c r="A5935" s="2" t="s">
        <v>3319</v>
      </c>
      <c r="B5935" s="2" t="s">
        <v>1420</v>
      </c>
      <c r="C5935" s="2">
        <v>555.23609999999996</v>
      </c>
      <c r="D5935" s="2">
        <f>HYPERLINK("http://mcb-m6.bioreg.kyushu-u.ac.jp/M3/20110418/F50975/1012/1", 45.94)</f>
        <v>45.94</v>
      </c>
      <c r="E5935" s="2">
        <v>10.5</v>
      </c>
      <c r="F5935" s="2">
        <v>2</v>
      </c>
      <c r="G5935" s="2" t="s">
        <v>11</v>
      </c>
    </row>
    <row r="5936" spans="1:9" x14ac:dyDescent="0.2">
      <c r="A5936" s="2" t="s">
        <v>3319</v>
      </c>
      <c r="B5936" s="2" t="s">
        <v>2204</v>
      </c>
      <c r="C5936" s="2">
        <v>966.51499999999999</v>
      </c>
      <c r="D5936" s="2">
        <f>HYPERLINK("http://mcb-m6.bioreg.kyushu-u.ac.jp/M3/20110418/F51000/1336/1", 46.66)</f>
        <v>46.66</v>
      </c>
      <c r="E5936" s="2">
        <v>22.48</v>
      </c>
      <c r="F5936" s="2">
        <v>1</v>
      </c>
      <c r="G5936" s="2" t="s">
        <v>11</v>
      </c>
      <c r="I5936" s="2" t="s">
        <v>4903</v>
      </c>
    </row>
    <row r="5937" spans="1:9" x14ac:dyDescent="0.2">
      <c r="A5937" s="2" t="s">
        <v>3319</v>
      </c>
      <c r="B5937" s="2" t="s">
        <v>2181</v>
      </c>
      <c r="C5937" s="2">
        <v>496.05059999999997</v>
      </c>
      <c r="D5937" s="2">
        <f>HYPERLINK("http://mcb-m6.bioreg.kyushu-u.ac.jp/M3/20110418/F50978/964/1", 47.59)</f>
        <v>47.59</v>
      </c>
      <c r="E5937" s="2">
        <v>30.1</v>
      </c>
      <c r="F5937" s="2">
        <v>2</v>
      </c>
      <c r="G5937" s="2" t="s">
        <v>11</v>
      </c>
    </row>
    <row r="5938" spans="1:9" x14ac:dyDescent="0.2">
      <c r="A5938" s="2" t="s">
        <v>3319</v>
      </c>
      <c r="B5938" s="2" t="s">
        <v>1938</v>
      </c>
      <c r="C5938" s="2">
        <v>479.22910000000002</v>
      </c>
      <c r="D5938" s="2">
        <f>HYPERLINK("http://mcb-m6.bioreg.kyushu-u.ac.jp/M3/20110418/F50976/785/1", 48.79)</f>
        <v>48.79</v>
      </c>
      <c r="E5938" s="2">
        <v>2.81</v>
      </c>
      <c r="F5938" s="2">
        <v>2</v>
      </c>
      <c r="G5938" s="2" t="s">
        <v>11</v>
      </c>
    </row>
    <row r="5939" spans="1:9" x14ac:dyDescent="0.2">
      <c r="A5939" s="2" t="s">
        <v>3319</v>
      </c>
      <c r="B5939" s="2" t="s">
        <v>2204</v>
      </c>
      <c r="C5939" s="2">
        <v>483.7946</v>
      </c>
      <c r="D5939" s="2">
        <f>HYPERLINK("http://mcb-m6.bioreg.kyushu-u.ac.jp/M3/20110418/F50978/921/1", 48.84)</f>
        <v>48.84</v>
      </c>
      <c r="E5939" s="2">
        <v>25.1</v>
      </c>
      <c r="F5939" s="2">
        <v>2</v>
      </c>
      <c r="G5939" s="2" t="s">
        <v>11</v>
      </c>
      <c r="I5939" s="2" t="s">
        <v>4903</v>
      </c>
    </row>
    <row r="5940" spans="1:9" x14ac:dyDescent="0.2">
      <c r="A5940" s="2" t="s">
        <v>3319</v>
      </c>
      <c r="B5940" s="2" t="s">
        <v>1420</v>
      </c>
      <c r="C5940" s="2">
        <v>555.18470000000002</v>
      </c>
      <c r="D5940" s="2">
        <f>HYPERLINK("http://mcb-m6.bioreg.kyushu-u.ac.jp/M3/20110418/F50977/1145/1", 50.05)</f>
        <v>50.05</v>
      </c>
      <c r="E5940" s="2">
        <v>16.91</v>
      </c>
      <c r="F5940" s="2">
        <v>2</v>
      </c>
      <c r="G5940" s="2" t="s">
        <v>11</v>
      </c>
    </row>
    <row r="5941" spans="1:9" x14ac:dyDescent="0.2">
      <c r="A5941" s="2" t="s">
        <v>3319</v>
      </c>
      <c r="B5941" s="2" t="s">
        <v>2204</v>
      </c>
      <c r="C5941" s="2">
        <v>483.63709999999998</v>
      </c>
      <c r="D5941" s="2">
        <f>HYPERLINK("http://mcb-m6.bioreg.kyushu-u.ac.jp/M3/20110418/F50977/836/1", 54.09)</f>
        <v>54.09</v>
      </c>
      <c r="E5941" s="2">
        <v>25.91</v>
      </c>
      <c r="F5941" s="2">
        <v>2</v>
      </c>
      <c r="G5941" s="2" t="s">
        <v>11</v>
      </c>
      <c r="I5941" s="2" t="s">
        <v>4903</v>
      </c>
    </row>
    <row r="5942" spans="1:9" x14ac:dyDescent="0.2">
      <c r="A5942" s="2" t="s">
        <v>3319</v>
      </c>
      <c r="B5942" s="2" t="s">
        <v>638</v>
      </c>
      <c r="C5942" s="2">
        <v>557.22059999999999</v>
      </c>
      <c r="D5942" s="2">
        <f>HYPERLINK("http://mcb-m6.bioreg.kyushu-u.ac.jp/M3/20110418/F50978/1213/1", 56.02)</f>
        <v>56.02</v>
      </c>
      <c r="E5942" s="2">
        <v>28.05</v>
      </c>
      <c r="F5942" s="2">
        <v>2</v>
      </c>
      <c r="G5942" s="2" t="s">
        <v>11</v>
      </c>
    </row>
    <row r="5943" spans="1:9" x14ac:dyDescent="0.2">
      <c r="A5943" s="2" t="s">
        <v>3319</v>
      </c>
      <c r="B5943" s="2" t="s">
        <v>979</v>
      </c>
      <c r="C5943" s="2">
        <v>1216.5170000000001</v>
      </c>
      <c r="D5943" s="2">
        <f>HYPERLINK("http://mcb-m6.bioreg.kyushu-u.ac.jp/M3/20110418/F51000/1593/1", 57.08)</f>
        <v>57.08</v>
      </c>
      <c r="E5943" s="2">
        <v>28.92</v>
      </c>
      <c r="F5943" s="2">
        <v>1</v>
      </c>
      <c r="G5943" s="2" t="s">
        <v>11</v>
      </c>
    </row>
    <row r="5944" spans="1:9" x14ac:dyDescent="0.2">
      <c r="A5944" s="2" t="s">
        <v>3319</v>
      </c>
      <c r="B5944" s="2" t="s">
        <v>1938</v>
      </c>
      <c r="C5944" s="2">
        <v>479.65809999999999</v>
      </c>
      <c r="D5944" s="2">
        <f>HYPERLINK("http://mcb-m6.bioreg.kyushu-u.ac.jp/M3/20110418/F51000/1309/1", 58.61)</f>
        <v>58.61</v>
      </c>
      <c r="E5944" s="2">
        <v>27.01</v>
      </c>
      <c r="F5944" s="2">
        <v>2</v>
      </c>
      <c r="G5944" s="2" t="s">
        <v>11</v>
      </c>
    </row>
    <row r="5945" spans="1:9" x14ac:dyDescent="0.2">
      <c r="A5945" s="2" t="s">
        <v>3319</v>
      </c>
      <c r="B5945" s="2" t="s">
        <v>1280</v>
      </c>
      <c r="C5945" s="2">
        <v>1245.54</v>
      </c>
      <c r="D5945" s="2">
        <f>HYPERLINK("http://mcb-m6.bioreg.kyushu-u.ac.jp/M3/20110418/F51000/1638/1", 61.82)</f>
        <v>61.82</v>
      </c>
      <c r="E5945" s="2">
        <v>44.31</v>
      </c>
      <c r="F5945" s="2">
        <v>1</v>
      </c>
      <c r="G5945" s="2" t="s">
        <v>11</v>
      </c>
    </row>
    <row r="5946" spans="1:9" x14ac:dyDescent="0.2">
      <c r="A5946" s="2" t="s">
        <v>3319</v>
      </c>
      <c r="B5946" s="2" t="s">
        <v>2544</v>
      </c>
      <c r="C5946" s="2">
        <v>696.22559999999999</v>
      </c>
      <c r="D5946" s="2">
        <f>HYPERLINK("http://mcb-m6.bioreg.kyushu-u.ac.jp/M3/20110418/F51000/1809/1", 62.5)</f>
        <v>62.5</v>
      </c>
      <c r="E5946" s="2">
        <v>38.93</v>
      </c>
      <c r="F5946" s="2">
        <v>2</v>
      </c>
      <c r="G5946" s="2" t="s">
        <v>11</v>
      </c>
      <c r="I5946" s="2" t="s">
        <v>4903</v>
      </c>
    </row>
    <row r="5947" spans="1:9" x14ac:dyDescent="0.2">
      <c r="A5947" s="2" t="s">
        <v>3319</v>
      </c>
      <c r="B5947" s="2" t="s">
        <v>1420</v>
      </c>
      <c r="C5947" s="2">
        <v>554.67660000000001</v>
      </c>
      <c r="D5947" s="2">
        <f>HYPERLINK("http://mcb-m6.bioreg.kyushu-u.ac.jp/M3/20110418/F51000/1488/1", 62.6)</f>
        <v>62.6</v>
      </c>
      <c r="E5947" s="2">
        <v>21.96</v>
      </c>
      <c r="F5947" s="2">
        <v>2</v>
      </c>
      <c r="G5947" s="2" t="s">
        <v>11</v>
      </c>
    </row>
    <row r="5948" spans="1:9" x14ac:dyDescent="0.2">
      <c r="A5948" s="2" t="s">
        <v>3319</v>
      </c>
      <c r="B5948" s="2" t="s">
        <v>2505</v>
      </c>
      <c r="C5948" s="2">
        <v>864.35310000000004</v>
      </c>
      <c r="D5948" s="2">
        <f>HYPERLINK("http://mcb-m6.bioreg.kyushu-u.ac.jp/M3/20110418/F50977/2809/1", 63.03)</f>
        <v>63.03</v>
      </c>
      <c r="E5948" s="2">
        <v>53.46</v>
      </c>
      <c r="F5948" s="2">
        <v>2</v>
      </c>
      <c r="G5948" s="2" t="s">
        <v>11</v>
      </c>
      <c r="I5948" s="2" t="s">
        <v>4918</v>
      </c>
    </row>
    <row r="5949" spans="1:9" x14ac:dyDescent="0.2">
      <c r="A5949" s="2" t="s">
        <v>3319</v>
      </c>
      <c r="B5949" s="2" t="s">
        <v>1938</v>
      </c>
      <c r="C5949" s="2">
        <v>479.11410000000001</v>
      </c>
      <c r="D5949" s="2">
        <f>HYPERLINK("http://mcb-m6.bioreg.kyushu-u.ac.jp/M3/20110418/F51000/1304/1", 63.04)</f>
        <v>63.04</v>
      </c>
      <c r="E5949" s="2">
        <v>30.83</v>
      </c>
      <c r="F5949" s="2">
        <v>2</v>
      </c>
      <c r="G5949" s="2" t="s">
        <v>11</v>
      </c>
    </row>
    <row r="5950" spans="1:9" x14ac:dyDescent="0.2">
      <c r="A5950" s="2" t="s">
        <v>3319</v>
      </c>
      <c r="B5950" s="2" t="s">
        <v>2070</v>
      </c>
      <c r="C5950" s="2">
        <v>714.35969999999998</v>
      </c>
      <c r="D5950" s="2">
        <f>HYPERLINK("http://mcb-m6.bioreg.kyushu-u.ac.jp/M3/20110418/F50977/1941/1", 63.38)</f>
        <v>63.38</v>
      </c>
      <c r="E5950" s="2">
        <v>43.55</v>
      </c>
      <c r="F5950" s="2">
        <v>2</v>
      </c>
      <c r="G5950" s="2" t="s">
        <v>11</v>
      </c>
    </row>
    <row r="5951" spans="1:9" x14ac:dyDescent="0.2">
      <c r="A5951" s="2" t="s">
        <v>3319</v>
      </c>
      <c r="B5951" s="2" t="s">
        <v>1280</v>
      </c>
      <c r="C5951" s="2">
        <v>623.25919999999996</v>
      </c>
      <c r="D5951" s="2">
        <f>HYPERLINK("http://mcb-m6.bioreg.kyushu-u.ac.jp/M3/20110418/F50978/1532/1", 63.48)</f>
        <v>63.48</v>
      </c>
      <c r="E5951" s="2">
        <v>40.450000000000003</v>
      </c>
      <c r="F5951" s="2">
        <v>2</v>
      </c>
      <c r="G5951" s="2" t="s">
        <v>11</v>
      </c>
    </row>
    <row r="5952" spans="1:9" x14ac:dyDescent="0.2">
      <c r="A5952" s="2" t="s">
        <v>3319</v>
      </c>
      <c r="B5952" s="2" t="s">
        <v>1753</v>
      </c>
      <c r="C5952" s="2">
        <v>565.21810000000005</v>
      </c>
      <c r="D5952" s="2">
        <f>HYPERLINK("http://mcb-m6.bioreg.kyushu-u.ac.jp/M3/20110418/F51000/1500/1", 65.69)</f>
        <v>65.69</v>
      </c>
      <c r="E5952" s="2">
        <v>41.91</v>
      </c>
      <c r="F5952" s="2">
        <v>2</v>
      </c>
      <c r="G5952" s="2" t="s">
        <v>11</v>
      </c>
      <c r="H5952" s="2" t="s">
        <v>4904</v>
      </c>
    </row>
    <row r="5953" spans="1:9" x14ac:dyDescent="0.2">
      <c r="A5953" s="2" t="s">
        <v>3319</v>
      </c>
      <c r="B5953" s="2" t="s">
        <v>987</v>
      </c>
      <c r="C5953" s="2">
        <v>752.8107</v>
      </c>
      <c r="D5953" s="2">
        <f>HYPERLINK("http://mcb-m6.bioreg.kyushu-u.ac.jp/M3/20110418/F51000/2039/1", 70.77)</f>
        <v>70.77</v>
      </c>
      <c r="E5953" s="2">
        <v>50.07</v>
      </c>
      <c r="F5953" s="2">
        <v>2</v>
      </c>
      <c r="G5953" s="2" t="s">
        <v>11</v>
      </c>
    </row>
    <row r="5954" spans="1:9" x14ac:dyDescent="0.2">
      <c r="A5954" s="2" t="s">
        <v>3319</v>
      </c>
      <c r="B5954" s="2" t="s">
        <v>1909</v>
      </c>
      <c r="C5954" s="2">
        <v>870.29669999999999</v>
      </c>
      <c r="D5954" s="2">
        <f>HYPERLINK("http://mcb-m6.bioreg.kyushu-u.ac.jp/M3/20110418/F50976/2769/1", 71.22)</f>
        <v>71.22</v>
      </c>
      <c r="E5954" s="2">
        <v>49.61</v>
      </c>
      <c r="F5954" s="2">
        <v>2</v>
      </c>
      <c r="G5954" s="2" t="s">
        <v>11</v>
      </c>
    </row>
    <row r="5955" spans="1:9" x14ac:dyDescent="0.2">
      <c r="A5955" s="2" t="s">
        <v>3319</v>
      </c>
      <c r="B5955" s="2" t="s">
        <v>1826</v>
      </c>
      <c r="C5955" s="2">
        <v>689.32569999999998</v>
      </c>
      <c r="D5955" s="2">
        <f>HYPERLINK("http://mcb-m6.bioreg.kyushu-u.ac.jp/M3/20110418/F51000/1787/1", 72.47)</f>
        <v>72.47</v>
      </c>
      <c r="E5955" s="2">
        <v>49.97</v>
      </c>
      <c r="F5955" s="2">
        <v>2</v>
      </c>
      <c r="G5955" s="2" t="s">
        <v>11</v>
      </c>
    </row>
    <row r="5956" spans="1:9" x14ac:dyDescent="0.2">
      <c r="A5956" s="2" t="s">
        <v>3319</v>
      </c>
      <c r="B5956" s="2" t="s">
        <v>2070</v>
      </c>
      <c r="C5956" s="2">
        <v>714.84810000000004</v>
      </c>
      <c r="D5956" s="2">
        <f>HYPERLINK("http://mcb-m6.bioreg.kyushu-u.ac.jp/M3/20110418/F50979/1950/1", 72.88)</f>
        <v>72.88</v>
      </c>
      <c r="E5956" s="2">
        <v>53.58</v>
      </c>
      <c r="F5956" s="2">
        <v>2</v>
      </c>
      <c r="G5956" s="2" t="s">
        <v>11</v>
      </c>
    </row>
    <row r="5957" spans="1:9" x14ac:dyDescent="0.2">
      <c r="A5957" s="2" t="s">
        <v>3319</v>
      </c>
      <c r="B5957" s="2" t="s">
        <v>2070</v>
      </c>
      <c r="C5957" s="2">
        <v>714.31020000000001</v>
      </c>
      <c r="D5957" s="2">
        <f>HYPERLINK("http://mcb-m6.bioreg.kyushu-u.ac.jp/M3/20110418/F50978/1952/1", 76.56)</f>
        <v>76.56</v>
      </c>
      <c r="E5957" s="2">
        <v>58.04</v>
      </c>
      <c r="F5957" s="2">
        <v>2</v>
      </c>
      <c r="G5957" s="2" t="s">
        <v>11</v>
      </c>
    </row>
    <row r="5958" spans="1:9" x14ac:dyDescent="0.2">
      <c r="A5958" s="2" t="s">
        <v>3319</v>
      </c>
      <c r="B5958" s="2" t="s">
        <v>2070</v>
      </c>
      <c r="C5958" s="2">
        <v>714.1481</v>
      </c>
      <c r="D5958" s="2">
        <f>HYPERLINK("http://mcb-m6.bioreg.kyushu-u.ac.jp/M3/20110418/F50979/1949/1", 82.95)</f>
        <v>82.95</v>
      </c>
      <c r="E5958" s="2">
        <v>64.180000000000007</v>
      </c>
      <c r="F5958" s="2">
        <v>2</v>
      </c>
      <c r="G5958" s="2" t="s">
        <v>11</v>
      </c>
    </row>
    <row r="5959" spans="1:9" x14ac:dyDescent="0.2">
      <c r="A5959" s="2" t="s">
        <v>3319</v>
      </c>
      <c r="B5959" s="2" t="s">
        <v>1280</v>
      </c>
      <c r="C5959" s="2">
        <v>623.71259999999995</v>
      </c>
      <c r="D5959" s="2">
        <f>HYPERLINK("http://mcb-m6.bioreg.kyushu-u.ac.jp/M3/20110418/F50977/1462/1", 84.52)</f>
        <v>84.52</v>
      </c>
      <c r="E5959" s="2">
        <v>58.05</v>
      </c>
      <c r="F5959" s="2">
        <v>2</v>
      </c>
      <c r="G5959" s="2" t="s">
        <v>11</v>
      </c>
    </row>
    <row r="5960" spans="1:9" x14ac:dyDescent="0.2">
      <c r="A5960" s="2" t="s">
        <v>3319</v>
      </c>
      <c r="B5960" s="2" t="s">
        <v>104</v>
      </c>
      <c r="C5960" s="2">
        <v>782.17359999999996</v>
      </c>
      <c r="D5960" s="2">
        <f>HYPERLINK("http://mcb-m6.bioreg.kyushu-u.ac.jp/M3/20110418/F50978/2285/1", 86.24)</f>
        <v>86.24</v>
      </c>
      <c r="E5960" s="2">
        <v>65.42</v>
      </c>
      <c r="F5960" s="2">
        <v>2</v>
      </c>
      <c r="G5960" s="2" t="s">
        <v>11</v>
      </c>
    </row>
    <row r="5961" spans="1:9" x14ac:dyDescent="0.2">
      <c r="A5961" s="2" t="s">
        <v>3319</v>
      </c>
      <c r="B5961" s="2" t="s">
        <v>2609</v>
      </c>
      <c r="C5961" s="2">
        <v>630.7242</v>
      </c>
      <c r="D5961" s="2">
        <f>HYPERLINK("http://mcb-m6.bioreg.kyushu-u.ac.jp/M3/20110418/F51000/1647/1", 86.6)</f>
        <v>86.6</v>
      </c>
      <c r="E5961" s="2">
        <v>52.51</v>
      </c>
      <c r="F5961" s="2">
        <v>2</v>
      </c>
      <c r="G5961" s="2" t="s">
        <v>11</v>
      </c>
      <c r="I5961" s="2" t="s">
        <v>4892</v>
      </c>
    </row>
    <row r="5962" spans="1:9" x14ac:dyDescent="0.2">
      <c r="A5962" s="2" t="s">
        <v>3319</v>
      </c>
      <c r="B5962" s="2" t="s">
        <v>2544</v>
      </c>
      <c r="C5962" s="2">
        <v>695.7192</v>
      </c>
      <c r="D5962" s="2">
        <f>HYPERLINK("http://mcb-m6.bioreg.kyushu-u.ac.jp/M3/20110418/F51000/1807/1", 87.68)</f>
        <v>87.68</v>
      </c>
      <c r="E5962" s="2">
        <v>61.68</v>
      </c>
      <c r="F5962" s="2">
        <v>2</v>
      </c>
      <c r="G5962" s="2" t="s">
        <v>11</v>
      </c>
      <c r="I5962" s="2" t="s">
        <v>4903</v>
      </c>
    </row>
    <row r="5963" spans="1:9" x14ac:dyDescent="0.2">
      <c r="A5963" s="2" t="s">
        <v>3319</v>
      </c>
      <c r="B5963" s="2" t="s">
        <v>2070</v>
      </c>
      <c r="C5963" s="2">
        <v>714.25819999999999</v>
      </c>
      <c r="D5963" s="2">
        <f>HYPERLINK("http://mcb-m6.bioreg.kyushu-u.ac.jp/M3/20110418/F51000/1860/1", 93.09)</f>
        <v>93.09</v>
      </c>
      <c r="E5963" s="2">
        <v>70.34</v>
      </c>
      <c r="F5963" s="2">
        <v>2</v>
      </c>
      <c r="G5963" s="2" t="s">
        <v>11</v>
      </c>
    </row>
    <row r="5964" spans="1:9" x14ac:dyDescent="0.2">
      <c r="A5964" s="2" t="s">
        <v>3319</v>
      </c>
      <c r="B5964" s="2" t="s">
        <v>104</v>
      </c>
      <c r="C5964" s="2">
        <v>781.83870000000002</v>
      </c>
      <c r="D5964" s="2">
        <f>HYPERLINK("http://mcb-m6.bioreg.kyushu-u.ac.jp/M3/20110418/F51000/2122/1", 99.17)</f>
        <v>99.17</v>
      </c>
      <c r="E5964" s="2">
        <v>82.97</v>
      </c>
      <c r="F5964" s="2">
        <v>2</v>
      </c>
      <c r="G5964" s="2" t="s">
        <v>11</v>
      </c>
    </row>
    <row r="5965" spans="1:9" x14ac:dyDescent="0.2">
      <c r="A5965" s="2" t="s">
        <v>3319</v>
      </c>
      <c r="B5965" s="2" t="s">
        <v>1826</v>
      </c>
      <c r="C5965" s="2">
        <v>688.65120000000002</v>
      </c>
      <c r="D5965" s="2">
        <f>HYPERLINK("http://mcb-m6.bioreg.kyushu-u.ac.jp/M3/20110418/F51000/1782/1", 100.15)</f>
        <v>100.15</v>
      </c>
      <c r="E5965" s="2">
        <v>78.03</v>
      </c>
      <c r="F5965" s="2">
        <v>2</v>
      </c>
      <c r="G5965" s="2" t="s">
        <v>11</v>
      </c>
    </row>
    <row r="5966" spans="1:9" x14ac:dyDescent="0.2">
      <c r="A5966" s="2" t="s">
        <v>3319</v>
      </c>
      <c r="B5966" s="2" t="s">
        <v>1909</v>
      </c>
      <c r="C5966" s="2">
        <v>869.91560000000004</v>
      </c>
      <c r="D5966" s="2">
        <f>HYPERLINK("http://mcb-m6.bioreg.kyushu-u.ac.jp/M3/20110418/F50978/2677/1", 102.91)</f>
        <v>102.91</v>
      </c>
      <c r="E5966" s="2">
        <v>78.52</v>
      </c>
      <c r="F5966" s="2">
        <v>2</v>
      </c>
      <c r="G5966" s="2" t="s">
        <v>11</v>
      </c>
    </row>
    <row r="5967" spans="1:9" x14ac:dyDescent="0.2">
      <c r="A5967" s="2" t="s">
        <v>3319</v>
      </c>
      <c r="B5967" s="2" t="s">
        <v>1280</v>
      </c>
      <c r="C5967" s="2">
        <v>623.24959999999999</v>
      </c>
      <c r="D5967" s="2">
        <f>HYPERLINK("http://mcb-m6.bioreg.kyushu-u.ac.jp/M3/20110418/F51000/1636/1", 104.66)</f>
        <v>104.66</v>
      </c>
      <c r="E5967" s="2">
        <v>75.03</v>
      </c>
      <c r="F5967" s="2">
        <v>2</v>
      </c>
      <c r="G5967" s="2" t="s">
        <v>11</v>
      </c>
    </row>
    <row r="5968" spans="1:9" x14ac:dyDescent="0.2">
      <c r="A5968" s="2" t="s">
        <v>3319</v>
      </c>
      <c r="B5968" s="2" t="s">
        <v>2526</v>
      </c>
      <c r="C5968" s="2">
        <v>704.14919999999995</v>
      </c>
      <c r="D5968" s="2">
        <f>HYPERLINK("http://mcb-m6.bioreg.kyushu-u.ac.jp/M3/20110418/F51005/1897/1", 35.71)</f>
        <v>35.71</v>
      </c>
      <c r="E5968" s="2">
        <v>24.66</v>
      </c>
      <c r="F5968" s="2">
        <v>2</v>
      </c>
      <c r="G5968" s="2" t="s">
        <v>12</v>
      </c>
    </row>
    <row r="5969" spans="1:9" x14ac:dyDescent="0.2">
      <c r="A5969" s="2" t="s">
        <v>3319</v>
      </c>
      <c r="B5969" s="2" t="s">
        <v>1324</v>
      </c>
      <c r="C5969" s="2">
        <v>1163.5029999999999</v>
      </c>
      <c r="D5969" s="2">
        <f>HYPERLINK("http://mcb-m6.bioreg.kyushu-u.ac.jp/M3/20110418/F51002/1574/1", 39.04)</f>
        <v>39.04</v>
      </c>
      <c r="E5969" s="2">
        <v>25.04</v>
      </c>
      <c r="F5969" s="2">
        <v>1</v>
      </c>
      <c r="G5969" s="2" t="s">
        <v>12</v>
      </c>
    </row>
    <row r="5970" spans="1:9" x14ac:dyDescent="0.2">
      <c r="A5970" s="2" t="s">
        <v>3319</v>
      </c>
      <c r="B5970" s="2" t="s">
        <v>2544</v>
      </c>
      <c r="C5970" s="2">
        <v>696.19320000000005</v>
      </c>
      <c r="D5970" s="2">
        <f>HYPERLINK("http://mcb-m6.bioreg.kyushu-u.ac.jp/M3/20110418/F51001/1845/1", 39.51)</f>
        <v>39.51</v>
      </c>
      <c r="E5970" s="2">
        <v>20.89</v>
      </c>
      <c r="F5970" s="2">
        <v>2</v>
      </c>
      <c r="G5970" s="2" t="s">
        <v>12</v>
      </c>
      <c r="I5970" s="2" t="s">
        <v>4903</v>
      </c>
    </row>
    <row r="5971" spans="1:9" x14ac:dyDescent="0.2">
      <c r="A5971" s="2" t="s">
        <v>3319</v>
      </c>
      <c r="B5971" s="2" t="s">
        <v>1938</v>
      </c>
      <c r="C5971" s="2">
        <v>479.67559999999997</v>
      </c>
      <c r="D5971" s="2">
        <f>HYPERLINK("http://mcb-m6.bioreg.kyushu-u.ac.jp/M3/20110418/F51002/1309/1", 39.53)</f>
        <v>39.53</v>
      </c>
      <c r="E5971" s="2">
        <v>11</v>
      </c>
      <c r="F5971" s="2">
        <v>2</v>
      </c>
      <c r="G5971" s="2" t="s">
        <v>12</v>
      </c>
    </row>
    <row r="5972" spans="1:9" x14ac:dyDescent="0.2">
      <c r="A5972" s="2" t="s">
        <v>3319</v>
      </c>
      <c r="B5972" s="2" t="s">
        <v>2093</v>
      </c>
      <c r="C5972" s="2">
        <v>797.58069999999998</v>
      </c>
      <c r="D5972" s="2">
        <f>HYPERLINK("http://mcb-m6.bioreg.kyushu-u.ac.jp/M3/20110418/F51005/2103/1", 44.79)</f>
        <v>44.79</v>
      </c>
      <c r="E5972" s="2">
        <v>18.23</v>
      </c>
      <c r="F5972" s="2">
        <v>2</v>
      </c>
      <c r="G5972" s="2" t="s">
        <v>12</v>
      </c>
    </row>
    <row r="5973" spans="1:9" x14ac:dyDescent="0.2">
      <c r="A5973" s="2" t="s">
        <v>3319</v>
      </c>
      <c r="B5973" s="2" t="s">
        <v>1420</v>
      </c>
      <c r="C5973" s="2">
        <v>554.67570000000001</v>
      </c>
      <c r="D5973" s="2">
        <f>HYPERLINK("http://mcb-m6.bioreg.kyushu-u.ac.jp/M3/20110418/F50988/1586/1", 45.49)</f>
        <v>45.49</v>
      </c>
      <c r="E5973" s="2">
        <v>13.76</v>
      </c>
      <c r="F5973" s="2">
        <v>2</v>
      </c>
      <c r="G5973" s="2" t="s">
        <v>12</v>
      </c>
    </row>
    <row r="5974" spans="1:9" x14ac:dyDescent="0.2">
      <c r="A5974" s="2" t="s">
        <v>3319</v>
      </c>
      <c r="B5974" s="2" t="s">
        <v>1749</v>
      </c>
      <c r="C5974" s="2">
        <v>778.77509999999995</v>
      </c>
      <c r="D5974" s="2">
        <f>HYPERLINK("http://mcb-m6.bioreg.kyushu-u.ac.jp/M3/20110418/F51002/2179/1", 45.6)</f>
        <v>45.6</v>
      </c>
      <c r="E5974" s="2">
        <v>25.96</v>
      </c>
      <c r="F5974" s="2">
        <v>2</v>
      </c>
      <c r="G5974" s="2" t="s">
        <v>12</v>
      </c>
    </row>
    <row r="5975" spans="1:9" x14ac:dyDescent="0.2">
      <c r="A5975" s="2" t="s">
        <v>3319</v>
      </c>
      <c r="B5975" s="2" t="s">
        <v>1324</v>
      </c>
      <c r="C5975" s="2">
        <v>582.14570000000003</v>
      </c>
      <c r="D5975" s="2">
        <f>HYPERLINK("http://mcb-m6.bioreg.kyushu-u.ac.jp/M3/20110418/F50986/1616/1", 46.26)</f>
        <v>46.26</v>
      </c>
      <c r="E5975" s="2">
        <v>19.21</v>
      </c>
      <c r="F5975" s="2">
        <v>2</v>
      </c>
      <c r="G5975" s="2" t="s">
        <v>12</v>
      </c>
    </row>
    <row r="5976" spans="1:9" x14ac:dyDescent="0.2">
      <c r="A5976" s="2" t="s">
        <v>3319</v>
      </c>
      <c r="B5976" s="2" t="s">
        <v>566</v>
      </c>
      <c r="C5976" s="2">
        <v>1058.5350000000001</v>
      </c>
      <c r="D5976" s="2">
        <f>HYPERLINK("http://mcb-m6.bioreg.kyushu-u.ac.jp/M3/20110418/F51002/1481/1", 47.1)</f>
        <v>47.1</v>
      </c>
      <c r="E5976" s="2">
        <v>15.06</v>
      </c>
      <c r="F5976" s="2">
        <v>1</v>
      </c>
      <c r="G5976" s="2" t="s">
        <v>12</v>
      </c>
    </row>
    <row r="5977" spans="1:9" x14ac:dyDescent="0.2">
      <c r="A5977" s="2" t="s">
        <v>3319</v>
      </c>
      <c r="B5977" s="2" t="s">
        <v>987</v>
      </c>
      <c r="C5977" s="2">
        <v>753.33720000000005</v>
      </c>
      <c r="D5977" s="2">
        <f>HYPERLINK("http://mcb-m6.bioreg.kyushu-u.ac.jp/M3/20110418/F50986/2151/1", 48.29)</f>
        <v>48.29</v>
      </c>
      <c r="E5977" s="2">
        <v>32.799999999999997</v>
      </c>
      <c r="F5977" s="2">
        <v>2</v>
      </c>
      <c r="G5977" s="2" t="s">
        <v>12</v>
      </c>
    </row>
    <row r="5978" spans="1:9" x14ac:dyDescent="0.2">
      <c r="A5978" s="2" t="s">
        <v>3319</v>
      </c>
      <c r="B5978" s="2" t="s">
        <v>1938</v>
      </c>
      <c r="C5978" s="2">
        <v>479.8331</v>
      </c>
      <c r="D5978" s="2">
        <f>HYPERLINK("http://mcb-m6.bioreg.kyushu-u.ac.jp/M3/20110418/F51001/1212/1", 48.99)</f>
        <v>48.99</v>
      </c>
      <c r="E5978" s="2">
        <v>17.78</v>
      </c>
      <c r="F5978" s="2">
        <v>2</v>
      </c>
      <c r="G5978" s="2" t="s">
        <v>12</v>
      </c>
    </row>
    <row r="5979" spans="1:9" x14ac:dyDescent="0.2">
      <c r="A5979" s="2" t="s">
        <v>3319</v>
      </c>
      <c r="B5979" s="2" t="s">
        <v>524</v>
      </c>
      <c r="C5979" s="2">
        <v>586.70119999999997</v>
      </c>
      <c r="D5979" s="2">
        <f>HYPERLINK("http://mcb-m6.bioreg.kyushu-u.ac.jp/M3/20110418/F50989/1654/1", 49.09)</f>
        <v>49.09</v>
      </c>
      <c r="E5979" s="2">
        <v>29.6</v>
      </c>
      <c r="F5979" s="2">
        <v>2</v>
      </c>
      <c r="G5979" s="2" t="s">
        <v>12</v>
      </c>
    </row>
    <row r="5980" spans="1:9" x14ac:dyDescent="0.2">
      <c r="A5980" s="2" t="s">
        <v>3319</v>
      </c>
      <c r="B5980" s="2" t="s">
        <v>979</v>
      </c>
      <c r="C5980" s="2">
        <v>609.23270000000002</v>
      </c>
      <c r="D5980" s="2">
        <f>HYPERLINK("http://mcb-m6.bioreg.kyushu-u.ac.jp/M3/20110418/F51002/1653/1", 49.1)</f>
        <v>49.1</v>
      </c>
      <c r="E5980" s="2">
        <v>4.88</v>
      </c>
      <c r="F5980" s="2">
        <v>2</v>
      </c>
      <c r="G5980" s="2" t="s">
        <v>12</v>
      </c>
    </row>
    <row r="5981" spans="1:9" x14ac:dyDescent="0.2">
      <c r="A5981" s="2" t="s">
        <v>3319</v>
      </c>
      <c r="B5981" s="2" t="s">
        <v>2204</v>
      </c>
      <c r="C5981" s="2">
        <v>483.70359999999999</v>
      </c>
      <c r="D5981" s="2">
        <f>HYPERLINK("http://mcb-m6.bioreg.kyushu-u.ac.jp/M3/20110418/F51002/1331/1", 53.2)</f>
        <v>53.2</v>
      </c>
      <c r="E5981" s="2">
        <v>31.6</v>
      </c>
      <c r="F5981" s="2">
        <v>2</v>
      </c>
      <c r="G5981" s="2" t="s">
        <v>12</v>
      </c>
      <c r="I5981" s="2" t="s">
        <v>4903</v>
      </c>
    </row>
    <row r="5982" spans="1:9" x14ac:dyDescent="0.2">
      <c r="A5982" s="2" t="s">
        <v>3319</v>
      </c>
      <c r="B5982" s="2" t="s">
        <v>987</v>
      </c>
      <c r="C5982" s="2">
        <v>752.58370000000002</v>
      </c>
      <c r="D5982" s="2">
        <f>HYPERLINK("http://mcb-m6.bioreg.kyushu-u.ac.jp/M3/20110418/F50988/2159/1", 55.75)</f>
        <v>55.75</v>
      </c>
      <c r="E5982" s="2">
        <v>37.08</v>
      </c>
      <c r="F5982" s="2">
        <v>2</v>
      </c>
      <c r="G5982" s="2" t="s">
        <v>12</v>
      </c>
    </row>
    <row r="5983" spans="1:9" x14ac:dyDescent="0.2">
      <c r="A5983" s="2" t="s">
        <v>3319</v>
      </c>
      <c r="B5983" s="2" t="s">
        <v>1812</v>
      </c>
      <c r="C5983" s="2">
        <v>581.73659999999995</v>
      </c>
      <c r="D5983" s="2">
        <f>HYPERLINK("http://mcb-m6.bioreg.kyushu-u.ac.jp/M3/20110418/F50986/1615/1", 56.97)</f>
        <v>56.97</v>
      </c>
      <c r="E5983" s="2">
        <v>30.3</v>
      </c>
      <c r="F5983" s="2">
        <v>2</v>
      </c>
      <c r="G5983" s="2" t="s">
        <v>12</v>
      </c>
    </row>
    <row r="5984" spans="1:9" x14ac:dyDescent="0.2">
      <c r="A5984" s="2" t="s">
        <v>3319</v>
      </c>
      <c r="B5984" s="2" t="s">
        <v>638</v>
      </c>
      <c r="C5984" s="2">
        <v>557.29219999999998</v>
      </c>
      <c r="D5984" s="2">
        <f>HYPERLINK("http://mcb-m6.bioreg.kyushu-u.ac.jp/M3/20110418/F50988/1590/1", 58.66)</f>
        <v>58.66</v>
      </c>
      <c r="E5984" s="2">
        <v>13.66</v>
      </c>
      <c r="F5984" s="2">
        <v>2</v>
      </c>
      <c r="G5984" s="2" t="s">
        <v>12</v>
      </c>
    </row>
    <row r="5985" spans="1:9" x14ac:dyDescent="0.2">
      <c r="A5985" s="2" t="s">
        <v>3319</v>
      </c>
      <c r="B5985" s="2" t="s">
        <v>1826</v>
      </c>
      <c r="C5985" s="2">
        <v>689.19269999999995</v>
      </c>
      <c r="D5985" s="2">
        <f>HYPERLINK("http://mcb-m6.bioreg.kyushu-u.ac.jp/M3/20110418/F51002/1874/1", 59.25)</f>
        <v>59.25</v>
      </c>
      <c r="E5985" s="2">
        <v>33.01</v>
      </c>
      <c r="F5985" s="2">
        <v>2</v>
      </c>
      <c r="G5985" s="2" t="s">
        <v>12</v>
      </c>
    </row>
    <row r="5986" spans="1:9" x14ac:dyDescent="0.2">
      <c r="A5986" s="2" t="s">
        <v>3319</v>
      </c>
      <c r="B5986" s="2" t="s">
        <v>638</v>
      </c>
      <c r="C5986" s="2">
        <v>556.83169999999996</v>
      </c>
      <c r="D5986" s="2">
        <f>HYPERLINK("http://mcb-m6.bioreg.kyushu-u.ac.jp/M3/20110418/F51002/1534/1", 59.94)</f>
        <v>59.94</v>
      </c>
      <c r="E5986" s="2">
        <v>31.42</v>
      </c>
      <c r="F5986" s="2">
        <v>2</v>
      </c>
      <c r="G5986" s="2" t="s">
        <v>12</v>
      </c>
    </row>
    <row r="5987" spans="1:9" x14ac:dyDescent="0.2">
      <c r="A5987" s="2" t="s">
        <v>3319</v>
      </c>
      <c r="B5987" s="2" t="s">
        <v>638</v>
      </c>
      <c r="C5987" s="2">
        <v>556.67520000000002</v>
      </c>
      <c r="D5987" s="2">
        <f>HYPERLINK("http://mcb-m6.bioreg.kyushu-u.ac.jp/M3/20110418/F50988/1589/1", 60.81)</f>
        <v>60.81</v>
      </c>
      <c r="E5987" s="2">
        <v>39.17</v>
      </c>
      <c r="F5987" s="2">
        <v>2</v>
      </c>
      <c r="G5987" s="2" t="s">
        <v>12</v>
      </c>
    </row>
    <row r="5988" spans="1:9" x14ac:dyDescent="0.2">
      <c r="A5988" s="2" t="s">
        <v>3319</v>
      </c>
      <c r="B5988" s="2" t="s">
        <v>566</v>
      </c>
      <c r="C5988" s="2">
        <v>1058.403</v>
      </c>
      <c r="D5988" s="2">
        <f>HYPERLINK("http://mcb-m6.bioreg.kyushu-u.ac.jp/M3/20110418/F50988/1540/1", 63.94)</f>
        <v>63.94</v>
      </c>
      <c r="E5988" s="2">
        <v>30.77</v>
      </c>
      <c r="F5988" s="2">
        <v>1</v>
      </c>
      <c r="G5988" s="2" t="s">
        <v>12</v>
      </c>
    </row>
    <row r="5989" spans="1:9" x14ac:dyDescent="0.2">
      <c r="A5989" s="2" t="s">
        <v>3319</v>
      </c>
      <c r="B5989" s="2" t="s">
        <v>1324</v>
      </c>
      <c r="C5989" s="2">
        <v>581.97609999999997</v>
      </c>
      <c r="D5989" s="2">
        <f>HYPERLINK("http://mcb-m6.bioreg.kyushu-u.ac.jp/M3/20110418/F51002/1573/1", 64.33)</f>
        <v>64.33</v>
      </c>
      <c r="E5989" s="2">
        <v>38.700000000000003</v>
      </c>
      <c r="F5989" s="2">
        <v>2</v>
      </c>
      <c r="G5989" s="2" t="s">
        <v>12</v>
      </c>
    </row>
    <row r="5990" spans="1:9" x14ac:dyDescent="0.2">
      <c r="A5990" s="2" t="s">
        <v>3319</v>
      </c>
      <c r="B5990" s="2" t="s">
        <v>2070</v>
      </c>
      <c r="C5990" s="2">
        <v>714.83119999999997</v>
      </c>
      <c r="D5990" s="2">
        <f>HYPERLINK("http://mcb-m6.bioreg.kyushu-u.ac.jp/M3/20110418/F50986/1946/1", 65.74)</f>
        <v>65.739999999999995</v>
      </c>
      <c r="E5990" s="2">
        <v>51.51</v>
      </c>
      <c r="F5990" s="2">
        <v>2</v>
      </c>
      <c r="G5990" s="2" t="s">
        <v>12</v>
      </c>
    </row>
    <row r="5991" spans="1:9" x14ac:dyDescent="0.2">
      <c r="A5991" s="2" t="s">
        <v>3319</v>
      </c>
      <c r="B5991" s="2" t="s">
        <v>1420</v>
      </c>
      <c r="C5991" s="2">
        <v>554.56269999999995</v>
      </c>
      <c r="D5991" s="2">
        <f>HYPERLINK("http://mcb-m6.bioreg.kyushu-u.ac.jp/M3/20110418/F51002/1530/1", 65.78)</f>
        <v>65.78</v>
      </c>
      <c r="E5991" s="2">
        <v>23.4</v>
      </c>
      <c r="F5991" s="2">
        <v>2</v>
      </c>
      <c r="G5991" s="2" t="s">
        <v>12</v>
      </c>
    </row>
    <row r="5992" spans="1:9" x14ac:dyDescent="0.2">
      <c r="A5992" s="2" t="s">
        <v>3319</v>
      </c>
      <c r="B5992" s="2" t="s">
        <v>1826</v>
      </c>
      <c r="C5992" s="2">
        <v>689.19569999999999</v>
      </c>
      <c r="D5992" s="2">
        <f>HYPERLINK("http://mcb-m6.bioreg.kyushu-u.ac.jp/M3/20110418/F50987/1939/1", 67.41)</f>
        <v>67.41</v>
      </c>
      <c r="E5992" s="2">
        <v>48.16</v>
      </c>
      <c r="F5992" s="2">
        <v>2</v>
      </c>
      <c r="G5992" s="2" t="s">
        <v>12</v>
      </c>
    </row>
    <row r="5993" spans="1:9" x14ac:dyDescent="0.2">
      <c r="A5993" s="2" t="s">
        <v>3319</v>
      </c>
      <c r="B5993" s="2" t="s">
        <v>987</v>
      </c>
      <c r="C5993" s="2">
        <v>752.76969999999994</v>
      </c>
      <c r="D5993" s="2">
        <f>HYPERLINK("http://mcb-m6.bioreg.kyushu-u.ac.jp/M3/20110418/F51002/2118/1", 74.08)</f>
        <v>74.08</v>
      </c>
      <c r="E5993" s="2">
        <v>57.89</v>
      </c>
      <c r="F5993" s="2">
        <v>2</v>
      </c>
      <c r="G5993" s="2" t="s">
        <v>12</v>
      </c>
    </row>
    <row r="5994" spans="1:9" x14ac:dyDescent="0.2">
      <c r="A5994" s="2" t="s">
        <v>3319</v>
      </c>
      <c r="B5994" s="2" t="s">
        <v>104</v>
      </c>
      <c r="C5994" s="2">
        <v>782.21010000000001</v>
      </c>
      <c r="D5994" s="2">
        <f>HYPERLINK("http://mcb-m6.bioreg.kyushu-u.ac.jp/M3/20110418/F50988/2297/1", 79.58)</f>
        <v>79.58</v>
      </c>
      <c r="E5994" s="2">
        <v>56.82</v>
      </c>
      <c r="F5994" s="2">
        <v>2</v>
      </c>
      <c r="G5994" s="2" t="s">
        <v>12</v>
      </c>
    </row>
    <row r="5995" spans="1:9" x14ac:dyDescent="0.2">
      <c r="A5995" s="2" t="s">
        <v>3319</v>
      </c>
      <c r="B5995" s="2" t="s">
        <v>2070</v>
      </c>
      <c r="C5995" s="2">
        <v>714.40719999999999</v>
      </c>
      <c r="D5995" s="2">
        <f>HYPERLINK("http://mcb-m6.bioreg.kyushu-u.ac.jp/M3/20110418/F51002/1968/1", 87.46)</f>
        <v>87.46</v>
      </c>
      <c r="E5995" s="2">
        <v>65.94</v>
      </c>
      <c r="F5995" s="2">
        <v>2</v>
      </c>
      <c r="G5995" s="2" t="s">
        <v>12</v>
      </c>
    </row>
    <row r="5996" spans="1:9" x14ac:dyDescent="0.2">
      <c r="A5996" s="2" t="s">
        <v>3319</v>
      </c>
      <c r="B5996" s="2" t="s">
        <v>2544</v>
      </c>
      <c r="C5996" s="2">
        <v>696.02120000000002</v>
      </c>
      <c r="D5996" s="2">
        <f>HYPERLINK("http://mcb-m6.bioreg.kyushu-u.ac.jp/M3/20110418/F51002/1902/1", 91.14)</f>
        <v>91.14</v>
      </c>
      <c r="E5996" s="2">
        <v>69.39</v>
      </c>
      <c r="F5996" s="2">
        <v>2</v>
      </c>
      <c r="G5996" s="2" t="s">
        <v>12</v>
      </c>
      <c r="I5996" s="2" t="s">
        <v>4903</v>
      </c>
    </row>
    <row r="5997" spans="1:9" x14ac:dyDescent="0.2">
      <c r="A5997" s="2" t="s">
        <v>3319</v>
      </c>
      <c r="B5997" s="2" t="s">
        <v>2609</v>
      </c>
      <c r="C5997" s="2">
        <v>630.67909999999995</v>
      </c>
      <c r="D5997" s="2">
        <f>HYPERLINK("http://mcb-m6.bioreg.kyushu-u.ac.jp/M3/20110418/F51002/1727/1", 96.25)</f>
        <v>96.25</v>
      </c>
      <c r="E5997" s="2">
        <v>63.57</v>
      </c>
      <c r="F5997" s="2">
        <v>2</v>
      </c>
      <c r="G5997" s="2" t="s">
        <v>12</v>
      </c>
      <c r="I5997" s="2" t="s">
        <v>4892</v>
      </c>
    </row>
    <row r="5998" spans="1:9" x14ac:dyDescent="0.2">
      <c r="A5998" s="2" t="s">
        <v>3319</v>
      </c>
      <c r="B5998" s="2" t="s">
        <v>2609</v>
      </c>
      <c r="C5998" s="2">
        <v>630.59720000000004</v>
      </c>
      <c r="D5998" s="2">
        <f>HYPERLINK("http://mcb-m6.bioreg.kyushu-u.ac.jp/M3/20110418/F51005/1752/1", 96.31)</f>
        <v>96.31</v>
      </c>
      <c r="E5998" s="2">
        <v>62.39</v>
      </c>
      <c r="F5998" s="2">
        <v>2</v>
      </c>
      <c r="G5998" s="2" t="s">
        <v>12</v>
      </c>
      <c r="I5998" s="2" t="s">
        <v>4892</v>
      </c>
    </row>
    <row r="5999" spans="1:9" x14ac:dyDescent="0.2">
      <c r="A5999" s="2" t="s">
        <v>3319</v>
      </c>
      <c r="B5999" s="2" t="s">
        <v>104</v>
      </c>
      <c r="C5999" s="2">
        <v>782.26509999999996</v>
      </c>
      <c r="D5999" s="2">
        <f>HYPERLINK("http://mcb-m6.bioreg.kyushu-u.ac.jp/M3/20110418/F51001/2184/1", 99.3)</f>
        <v>99.3</v>
      </c>
      <c r="E5999" s="2">
        <v>86.95</v>
      </c>
      <c r="F5999" s="2">
        <v>2</v>
      </c>
      <c r="G5999" s="2" t="s">
        <v>12</v>
      </c>
    </row>
    <row r="6000" spans="1:9" x14ac:dyDescent="0.2">
      <c r="A6000" s="2" t="s">
        <v>3319</v>
      </c>
      <c r="B6000" s="2" t="s">
        <v>104</v>
      </c>
      <c r="C6000" s="2">
        <v>782.18960000000004</v>
      </c>
      <c r="D6000" s="2">
        <f>HYPERLINK("http://mcb-m6.bioreg.kyushu-u.ac.jp/M3/20110418/F51005/2072/1", 100.73)</f>
        <v>100.73</v>
      </c>
      <c r="E6000" s="2">
        <v>77.680000000000007</v>
      </c>
      <c r="F6000" s="2">
        <v>2</v>
      </c>
      <c r="G6000" s="2" t="s">
        <v>12</v>
      </c>
    </row>
    <row r="6001" spans="1:9" x14ac:dyDescent="0.2">
      <c r="A6001" s="2" t="s">
        <v>3319</v>
      </c>
      <c r="B6001" s="2" t="s">
        <v>104</v>
      </c>
      <c r="C6001" s="2">
        <v>782.29060000000004</v>
      </c>
      <c r="D6001" s="2">
        <f>HYPERLINK("http://mcb-m6.bioreg.kyushu-u.ac.jp/M3/20110418/F51002/2189/1", 104.17)</f>
        <v>104.17</v>
      </c>
      <c r="E6001" s="2">
        <v>88.9</v>
      </c>
      <c r="F6001" s="2">
        <v>2</v>
      </c>
      <c r="G6001" s="2" t="s">
        <v>12</v>
      </c>
    </row>
    <row r="6002" spans="1:9" x14ac:dyDescent="0.2">
      <c r="A6002" s="2" t="s">
        <v>3319</v>
      </c>
      <c r="B6002" s="2" t="s">
        <v>2070</v>
      </c>
      <c r="C6002" s="2">
        <v>714.29020000000003</v>
      </c>
      <c r="D6002" s="2">
        <f>HYPERLINK("http://mcb-m6.bioreg.kyushu-u.ac.jp/M3/20110418/F50988/1977/1", 104.46)</f>
        <v>104.46</v>
      </c>
      <c r="E6002" s="2">
        <v>84.88</v>
      </c>
      <c r="F6002" s="2">
        <v>2</v>
      </c>
      <c r="G6002" s="2" t="s">
        <v>12</v>
      </c>
    </row>
    <row r="6003" spans="1:9" x14ac:dyDescent="0.2">
      <c r="A6003" s="2" t="s">
        <v>3319</v>
      </c>
      <c r="B6003" s="2" t="s">
        <v>2505</v>
      </c>
      <c r="C6003" s="2">
        <v>864.30319999999995</v>
      </c>
      <c r="D6003" s="2">
        <f>HYPERLINK("http://mcb-m6.bioreg.kyushu-u.ac.jp/M3/20110418/F51002/2329/1", 108.39)</f>
        <v>108.39</v>
      </c>
      <c r="E6003" s="2">
        <v>95.8</v>
      </c>
      <c r="F6003" s="2">
        <v>2</v>
      </c>
      <c r="G6003" s="2" t="s">
        <v>12</v>
      </c>
      <c r="I6003" s="2" t="s">
        <v>4918</v>
      </c>
    </row>
    <row r="6004" spans="1:9" x14ac:dyDescent="0.2">
      <c r="A6004" s="2" t="s">
        <v>3319</v>
      </c>
      <c r="B6004" s="2" t="s">
        <v>1280</v>
      </c>
      <c r="C6004" s="2">
        <v>623.17169999999999</v>
      </c>
      <c r="D6004" s="2">
        <f>HYPERLINK("http://mcb-m6.bioreg.kyushu-u.ac.jp/M3/20110418/F51002/1706/1", 108.52)</f>
        <v>108.52</v>
      </c>
      <c r="E6004" s="2">
        <v>75.849999999999994</v>
      </c>
      <c r="F6004" s="2">
        <v>2</v>
      </c>
      <c r="G6004" s="2" t="s">
        <v>12</v>
      </c>
    </row>
    <row r="6005" spans="1:9" x14ac:dyDescent="0.2">
      <c r="A6005" s="2" t="s">
        <v>3319</v>
      </c>
      <c r="B6005" s="2" t="s">
        <v>2181</v>
      </c>
      <c r="C6005" s="2">
        <v>496.77910000000003</v>
      </c>
      <c r="D6005" s="2">
        <f>HYPERLINK("http://mcb-m6.bioreg.kyushu-u.ac.jp/M3/20110429/F51152/820/1", 35.33)</f>
        <v>35.33</v>
      </c>
      <c r="E6005" s="2">
        <v>16.59</v>
      </c>
      <c r="F6005" s="2">
        <v>2</v>
      </c>
      <c r="G6005" s="2" t="s">
        <v>13</v>
      </c>
    </row>
    <row r="6006" spans="1:9" x14ac:dyDescent="0.2">
      <c r="A6006" s="2" t="s">
        <v>3319</v>
      </c>
      <c r="B6006" s="2" t="s">
        <v>1753</v>
      </c>
      <c r="C6006" s="2">
        <v>573.87159999999994</v>
      </c>
      <c r="D6006" s="2">
        <f>HYPERLINK("http://mcb-m6.bioreg.kyushu-u.ac.jp/M3/20110429/F51154/1074/1", 35.63)</f>
        <v>35.630000000000003</v>
      </c>
      <c r="E6006" s="2">
        <v>14.63</v>
      </c>
      <c r="F6006" s="2">
        <v>2</v>
      </c>
      <c r="G6006" s="2" t="s">
        <v>13</v>
      </c>
    </row>
    <row r="6007" spans="1:9" x14ac:dyDescent="0.2">
      <c r="A6007" s="2" t="s">
        <v>3319</v>
      </c>
      <c r="B6007" s="2" t="s">
        <v>104</v>
      </c>
      <c r="C6007" s="2">
        <v>782.28520000000003</v>
      </c>
      <c r="D6007" s="2">
        <f>HYPERLINK("http://mcb-m6.bioreg.kyushu-u.ac.jp/M3/20110429/F51155/2384/1", 35.94)</f>
        <v>35.94</v>
      </c>
      <c r="E6007" s="2">
        <v>26.81</v>
      </c>
      <c r="F6007" s="2">
        <v>2</v>
      </c>
      <c r="G6007" s="2" t="s">
        <v>13</v>
      </c>
    </row>
    <row r="6008" spans="1:9" x14ac:dyDescent="0.2">
      <c r="A6008" s="2" t="s">
        <v>3319</v>
      </c>
      <c r="B6008" s="2" t="s">
        <v>2544</v>
      </c>
      <c r="C6008" s="2">
        <v>696.33010000000002</v>
      </c>
      <c r="D6008" s="2">
        <f>HYPERLINK("http://mcb-m6.bioreg.kyushu-u.ac.jp/M3/20110429/F51155/2021/1", 39.65)</f>
        <v>39.65</v>
      </c>
      <c r="E6008" s="2">
        <v>21.96</v>
      </c>
      <c r="F6008" s="2">
        <v>2</v>
      </c>
      <c r="G6008" s="2" t="s">
        <v>13</v>
      </c>
      <c r="I6008" s="2" t="s">
        <v>4903</v>
      </c>
    </row>
    <row r="6009" spans="1:9" x14ac:dyDescent="0.2">
      <c r="A6009" s="2" t="s">
        <v>3319</v>
      </c>
      <c r="B6009" s="2" t="s">
        <v>1938</v>
      </c>
      <c r="C6009" s="2">
        <v>479.22859999999997</v>
      </c>
      <c r="D6009" s="2">
        <f>HYPERLINK("http://mcb-m6.bioreg.kyushu-u.ac.jp/M3/20110429/F51153/514/1", 41.68)</f>
        <v>41.68</v>
      </c>
      <c r="E6009" s="2">
        <v>14.83</v>
      </c>
      <c r="F6009" s="2">
        <v>2</v>
      </c>
      <c r="G6009" s="2" t="s">
        <v>13</v>
      </c>
    </row>
    <row r="6010" spans="1:9" x14ac:dyDescent="0.2">
      <c r="A6010" s="2" t="s">
        <v>3319</v>
      </c>
      <c r="B6010" s="2" t="s">
        <v>1938</v>
      </c>
      <c r="C6010" s="2">
        <v>479.35410000000002</v>
      </c>
      <c r="D6010" s="2">
        <f>HYPERLINK("http://mcb-m6.bioreg.kyushu-u.ac.jp/M3/20110502/F51164/551/1", 43.68)</f>
        <v>43.68</v>
      </c>
      <c r="E6010" s="2">
        <v>13.31</v>
      </c>
      <c r="F6010" s="2">
        <v>2</v>
      </c>
      <c r="G6010" s="2" t="s">
        <v>13</v>
      </c>
    </row>
    <row r="6011" spans="1:9" x14ac:dyDescent="0.2">
      <c r="A6011" s="2" t="s">
        <v>3319</v>
      </c>
      <c r="B6011" s="2" t="s">
        <v>2070</v>
      </c>
      <c r="C6011" s="2">
        <v>714.56209999999999</v>
      </c>
      <c r="D6011" s="2">
        <f>HYPERLINK("http://mcb-m6.bioreg.kyushu-u.ac.jp/M3/20110502/F51163/1631/1", 47.92)</f>
        <v>47.92</v>
      </c>
      <c r="E6011" s="2">
        <v>25.63</v>
      </c>
      <c r="F6011" s="2">
        <v>2</v>
      </c>
      <c r="G6011" s="2" t="s">
        <v>13</v>
      </c>
    </row>
    <row r="6012" spans="1:9" x14ac:dyDescent="0.2">
      <c r="A6012" s="2" t="s">
        <v>3319</v>
      </c>
      <c r="B6012" s="2" t="s">
        <v>2093</v>
      </c>
      <c r="C6012" s="2">
        <v>797.91769999999997</v>
      </c>
      <c r="D6012" s="2">
        <f>HYPERLINK("http://mcb-m6.bioreg.kyushu-u.ac.jp/M3/20110429/F51153/2441/1", 48.11)</f>
        <v>48.11</v>
      </c>
      <c r="E6012" s="2">
        <v>35.299999999999997</v>
      </c>
      <c r="F6012" s="2">
        <v>2</v>
      </c>
      <c r="G6012" s="2" t="s">
        <v>13</v>
      </c>
    </row>
    <row r="6013" spans="1:9" x14ac:dyDescent="0.2">
      <c r="A6013" s="2" t="s">
        <v>3319</v>
      </c>
      <c r="B6013" s="2" t="s">
        <v>104</v>
      </c>
      <c r="C6013" s="2">
        <v>782.31119999999999</v>
      </c>
      <c r="D6013" s="2">
        <f>HYPERLINK("http://mcb-m6.bioreg.kyushu-u.ac.jp/M3/20110429/F51154/2248/1", 49.31)</f>
        <v>49.31</v>
      </c>
      <c r="E6013" s="2">
        <v>37.5</v>
      </c>
      <c r="F6013" s="2">
        <v>2</v>
      </c>
      <c r="G6013" s="2" t="s">
        <v>13</v>
      </c>
    </row>
    <row r="6014" spans="1:9" x14ac:dyDescent="0.2">
      <c r="A6014" s="2" t="s">
        <v>3319</v>
      </c>
      <c r="B6014" s="2" t="s">
        <v>638</v>
      </c>
      <c r="C6014" s="2">
        <v>557.37019999999995</v>
      </c>
      <c r="D6014" s="2">
        <f>HYPERLINK("http://mcb-m6.bioreg.kyushu-u.ac.jp/M3/20110502/F51158/1003/1", 49.9)</f>
        <v>49.9</v>
      </c>
      <c r="E6014" s="2">
        <v>23.43</v>
      </c>
      <c r="F6014" s="2">
        <v>2</v>
      </c>
      <c r="G6014" s="2" t="s">
        <v>13</v>
      </c>
    </row>
    <row r="6015" spans="1:9" x14ac:dyDescent="0.2">
      <c r="A6015" s="2" t="s">
        <v>3319</v>
      </c>
      <c r="B6015" s="2" t="s">
        <v>987</v>
      </c>
      <c r="C6015" s="2">
        <v>752.98770000000002</v>
      </c>
      <c r="D6015" s="2">
        <f>HYPERLINK("http://mcb-m6.bioreg.kyushu-u.ac.jp/M3/20110502/F51164/1790/1", 50)</f>
        <v>50</v>
      </c>
      <c r="E6015" s="2">
        <v>28.09</v>
      </c>
      <c r="F6015" s="2">
        <v>2</v>
      </c>
      <c r="G6015" s="2" t="s">
        <v>13</v>
      </c>
    </row>
    <row r="6016" spans="1:9" x14ac:dyDescent="0.2">
      <c r="A6016" s="2" t="s">
        <v>3319</v>
      </c>
      <c r="B6016" s="2" t="s">
        <v>2204</v>
      </c>
      <c r="C6016" s="2">
        <v>483.86660000000001</v>
      </c>
      <c r="D6016" s="2">
        <f>HYPERLINK("http://mcb-m6.bioreg.kyushu-u.ac.jp/M3/20110429/F51154/676/1", 50.31)</f>
        <v>50.31</v>
      </c>
      <c r="E6016" s="2">
        <v>26.45</v>
      </c>
      <c r="F6016" s="2">
        <v>2</v>
      </c>
      <c r="G6016" s="2" t="s">
        <v>13</v>
      </c>
      <c r="I6016" s="2" t="s">
        <v>4903</v>
      </c>
    </row>
    <row r="6017" spans="1:9" x14ac:dyDescent="0.2">
      <c r="A6017" s="2" t="s">
        <v>3319</v>
      </c>
      <c r="B6017" s="2" t="s">
        <v>1909</v>
      </c>
      <c r="C6017" s="2">
        <v>869.82069999999999</v>
      </c>
      <c r="D6017" s="2">
        <f>HYPERLINK("http://mcb-m6.bioreg.kyushu-u.ac.jp/M3/20110429/F51153/2941/1", 50.54)</f>
        <v>50.54</v>
      </c>
      <c r="E6017" s="2">
        <v>30.09</v>
      </c>
      <c r="F6017" s="2">
        <v>2</v>
      </c>
      <c r="G6017" s="2" t="s">
        <v>13</v>
      </c>
    </row>
    <row r="6018" spans="1:9" x14ac:dyDescent="0.2">
      <c r="A6018" s="2" t="s">
        <v>3319</v>
      </c>
      <c r="B6018" s="2" t="s">
        <v>1812</v>
      </c>
      <c r="C6018" s="2">
        <v>581.83420000000001</v>
      </c>
      <c r="D6018" s="2">
        <f>HYPERLINK("http://mcb-m6.bioreg.kyushu-u.ac.jp/M3/20110429/F51153/1075/1", 51.41)</f>
        <v>51.41</v>
      </c>
      <c r="E6018" s="2">
        <v>22.59</v>
      </c>
      <c r="F6018" s="2">
        <v>2</v>
      </c>
      <c r="G6018" s="2" t="s">
        <v>13</v>
      </c>
    </row>
    <row r="6019" spans="1:9" x14ac:dyDescent="0.2">
      <c r="A6019" s="2" t="s">
        <v>3319</v>
      </c>
      <c r="B6019" s="2" t="s">
        <v>1420</v>
      </c>
      <c r="C6019" s="2">
        <v>1108.6110000000001</v>
      </c>
      <c r="D6019" s="2">
        <f>HYPERLINK("http://mcb-m6.bioreg.kyushu-u.ac.jp/M3/20110502/F51164/846/1", 52.22)</f>
        <v>52.22</v>
      </c>
      <c r="E6019" s="2">
        <v>2.8</v>
      </c>
      <c r="F6019" s="2">
        <v>1</v>
      </c>
      <c r="G6019" s="2" t="s">
        <v>13</v>
      </c>
    </row>
    <row r="6020" spans="1:9" x14ac:dyDescent="0.2">
      <c r="A6020" s="2" t="s">
        <v>3319</v>
      </c>
      <c r="B6020" s="2" t="s">
        <v>1938</v>
      </c>
      <c r="C6020" s="2">
        <v>479.71809999999999</v>
      </c>
      <c r="D6020" s="2">
        <f>HYPERLINK("http://mcb-m6.bioreg.kyushu-u.ac.jp/M3/20110429/F51154/661/1", 52.42)</f>
        <v>52.42</v>
      </c>
      <c r="E6020" s="2">
        <v>14.83</v>
      </c>
      <c r="F6020" s="2">
        <v>2</v>
      </c>
      <c r="G6020" s="2" t="s">
        <v>13</v>
      </c>
    </row>
    <row r="6021" spans="1:9" x14ac:dyDescent="0.2">
      <c r="A6021" s="2" t="s">
        <v>3319</v>
      </c>
      <c r="B6021" s="2" t="s">
        <v>566</v>
      </c>
      <c r="C6021" s="2">
        <v>529.91669999999999</v>
      </c>
      <c r="D6021" s="2">
        <f>HYPERLINK("http://mcb-m6.bioreg.kyushu-u.ac.jp/M3/20110502/F51164/751/1", 52.46)</f>
        <v>52.46</v>
      </c>
      <c r="E6021" s="2">
        <v>22.89</v>
      </c>
      <c r="F6021" s="2">
        <v>2</v>
      </c>
      <c r="G6021" s="2" t="s">
        <v>13</v>
      </c>
    </row>
    <row r="6022" spans="1:9" x14ac:dyDescent="0.2">
      <c r="A6022" s="2" t="s">
        <v>3319</v>
      </c>
      <c r="B6022" s="2" t="s">
        <v>2070</v>
      </c>
      <c r="C6022" s="2">
        <v>714.21720000000005</v>
      </c>
      <c r="D6022" s="2">
        <f>HYPERLINK("http://mcb-m6.bioreg.kyushu-u.ac.jp/M3/20110429/F51153/1774/1", 53.04)</f>
        <v>53.04</v>
      </c>
      <c r="E6022" s="2">
        <v>37.5</v>
      </c>
      <c r="F6022" s="2">
        <v>2</v>
      </c>
      <c r="G6022" s="2" t="s">
        <v>13</v>
      </c>
    </row>
    <row r="6023" spans="1:9" x14ac:dyDescent="0.2">
      <c r="A6023" s="2" t="s">
        <v>3319</v>
      </c>
      <c r="B6023" s="2" t="s">
        <v>1826</v>
      </c>
      <c r="C6023" s="2">
        <v>688.68769999999995</v>
      </c>
      <c r="D6023" s="2">
        <f>HYPERLINK("http://mcb-m6.bioreg.kyushu-u.ac.jp/M3/20110429/F51153/1622/1", 53.51)</f>
        <v>53.51</v>
      </c>
      <c r="E6023" s="2">
        <v>35.24</v>
      </c>
      <c r="F6023" s="2">
        <v>2</v>
      </c>
      <c r="G6023" s="2" t="s">
        <v>13</v>
      </c>
    </row>
    <row r="6024" spans="1:9" x14ac:dyDescent="0.2">
      <c r="A6024" s="2" t="s">
        <v>3319</v>
      </c>
      <c r="B6024" s="2" t="s">
        <v>5257</v>
      </c>
      <c r="C6024" s="2">
        <v>517.44420000000002</v>
      </c>
      <c r="D6024" s="2">
        <f>HYPERLINK("http://mcb-m6.bioreg.kyushu-u.ac.jp/M3/20110502/F51164/691/1", 53.56)</f>
        <v>53.56</v>
      </c>
      <c r="E6024" s="2">
        <v>30.78</v>
      </c>
      <c r="F6024" s="2">
        <v>2</v>
      </c>
      <c r="G6024" s="2" t="s">
        <v>13</v>
      </c>
    </row>
    <row r="6025" spans="1:9" x14ac:dyDescent="0.2">
      <c r="A6025" s="2" t="s">
        <v>3319</v>
      </c>
      <c r="B6025" s="2" t="s">
        <v>2609</v>
      </c>
      <c r="C6025" s="2">
        <v>1260.75</v>
      </c>
      <c r="D6025" s="2">
        <f>HYPERLINK("http://mcb-m6.bioreg.kyushu-u.ac.jp/M3/20110502/F51164/1142/1", 53.82)</f>
        <v>53.82</v>
      </c>
      <c r="E6025" s="2">
        <v>23.94</v>
      </c>
      <c r="F6025" s="2">
        <v>1</v>
      </c>
      <c r="G6025" s="2" t="s">
        <v>13</v>
      </c>
      <c r="I6025" s="2" t="s">
        <v>4892</v>
      </c>
    </row>
    <row r="6026" spans="1:9" x14ac:dyDescent="0.2">
      <c r="A6026" s="2" t="s">
        <v>3319</v>
      </c>
      <c r="B6026" s="2" t="s">
        <v>1909</v>
      </c>
      <c r="C6026" s="2">
        <v>870.46370000000002</v>
      </c>
      <c r="D6026" s="2">
        <f>HYPERLINK("http://mcb-m6.bioreg.kyushu-u.ac.jp/M3/20110429/F51157/2392/1", 53.84)</f>
        <v>53.84</v>
      </c>
      <c r="E6026" s="2">
        <v>40.75</v>
      </c>
      <c r="F6026" s="2">
        <v>2</v>
      </c>
      <c r="G6026" s="2" t="s">
        <v>13</v>
      </c>
    </row>
    <row r="6027" spans="1:9" x14ac:dyDescent="0.2">
      <c r="A6027" s="2" t="s">
        <v>3319</v>
      </c>
      <c r="B6027" s="2" t="s">
        <v>2544</v>
      </c>
      <c r="C6027" s="2">
        <v>696.15809999999999</v>
      </c>
      <c r="D6027" s="2">
        <f>HYPERLINK("http://mcb-m6.bioreg.kyushu-u.ac.jp/M3/20110429/F51150/1960/1", 54.52)</f>
        <v>54.52</v>
      </c>
      <c r="E6027" s="2">
        <v>18.79</v>
      </c>
      <c r="F6027" s="2">
        <v>2</v>
      </c>
      <c r="G6027" s="2" t="s">
        <v>13</v>
      </c>
      <c r="I6027" s="2" t="s">
        <v>4903</v>
      </c>
    </row>
    <row r="6028" spans="1:9" x14ac:dyDescent="0.2">
      <c r="A6028" s="2" t="s">
        <v>3319</v>
      </c>
      <c r="B6028" s="2" t="s">
        <v>2609</v>
      </c>
      <c r="C6028" s="2">
        <v>631.0942</v>
      </c>
      <c r="D6028" s="2">
        <f>HYPERLINK("http://mcb-m6.bioreg.kyushu-u.ac.jp/M3/20110429/F51153/1322/1", 55.74)</f>
        <v>55.74</v>
      </c>
      <c r="E6028" s="2">
        <v>26.45</v>
      </c>
      <c r="F6028" s="2">
        <v>2</v>
      </c>
      <c r="G6028" s="2" t="s">
        <v>13</v>
      </c>
      <c r="I6028" s="2" t="s">
        <v>4892</v>
      </c>
    </row>
    <row r="6029" spans="1:9" x14ac:dyDescent="0.2">
      <c r="A6029" s="2" t="s">
        <v>3319</v>
      </c>
      <c r="B6029" s="2" t="s">
        <v>104</v>
      </c>
      <c r="C6029" s="2">
        <v>781.92110000000002</v>
      </c>
      <c r="D6029" s="2">
        <f>HYPERLINK("http://mcb-m6.bioreg.kyushu-u.ac.jp/M3/20110502/F51164/1934/1", 56.79)</f>
        <v>56.79</v>
      </c>
      <c r="E6029" s="2">
        <v>47.82</v>
      </c>
      <c r="F6029" s="2">
        <v>2</v>
      </c>
      <c r="G6029" s="2" t="s">
        <v>13</v>
      </c>
    </row>
    <row r="6030" spans="1:9" x14ac:dyDescent="0.2">
      <c r="A6030" s="2" t="s">
        <v>3319</v>
      </c>
      <c r="B6030" s="2" t="s">
        <v>1280</v>
      </c>
      <c r="C6030" s="2">
        <v>623.89760000000001</v>
      </c>
      <c r="D6030" s="2">
        <f>HYPERLINK("http://mcb-m6.bioreg.kyushu-u.ac.jp/M3/20110502/F51164/1114/1", 57.8)</f>
        <v>57.8</v>
      </c>
      <c r="E6030" s="2">
        <v>38.47</v>
      </c>
      <c r="F6030" s="2">
        <v>2</v>
      </c>
      <c r="G6030" s="2" t="s">
        <v>13</v>
      </c>
    </row>
    <row r="6031" spans="1:9" x14ac:dyDescent="0.2">
      <c r="A6031" s="2" t="s">
        <v>3319</v>
      </c>
      <c r="B6031" s="2" t="s">
        <v>104</v>
      </c>
      <c r="C6031" s="2">
        <v>781.97220000000004</v>
      </c>
      <c r="D6031" s="2">
        <f>HYPERLINK("http://mcb-m6.bioreg.kyushu-u.ac.jp/M3/20110502/F51164/1936/1", 58.3)</f>
        <v>58.3</v>
      </c>
      <c r="E6031" s="2">
        <v>49.16</v>
      </c>
      <c r="F6031" s="2">
        <v>2</v>
      </c>
      <c r="G6031" s="2" t="s">
        <v>13</v>
      </c>
    </row>
    <row r="6032" spans="1:9" x14ac:dyDescent="0.2">
      <c r="A6032" s="2" t="s">
        <v>3319</v>
      </c>
      <c r="B6032" s="2" t="s">
        <v>638</v>
      </c>
      <c r="C6032" s="2">
        <v>557.39170000000001</v>
      </c>
      <c r="D6032" s="2">
        <f>HYPERLINK("http://mcb-m6.bioreg.kyushu-u.ac.jp/M3/20110502/F51164/858/1", 62.83)</f>
        <v>62.83</v>
      </c>
      <c r="E6032" s="2">
        <v>33.58</v>
      </c>
      <c r="F6032" s="2">
        <v>2</v>
      </c>
      <c r="G6032" s="2" t="s">
        <v>13</v>
      </c>
    </row>
    <row r="6033" spans="1:9" x14ac:dyDescent="0.2">
      <c r="A6033" s="2" t="s">
        <v>3319</v>
      </c>
      <c r="B6033" s="2" t="s">
        <v>2070</v>
      </c>
      <c r="C6033" s="2">
        <v>714.83219999999994</v>
      </c>
      <c r="D6033" s="2">
        <f>HYPERLINK("http://mcb-m6.bioreg.kyushu-u.ac.jp/M3/20110429/F51154/1849/1", 63.67)</f>
        <v>63.67</v>
      </c>
      <c r="E6033" s="2">
        <v>45.61</v>
      </c>
      <c r="F6033" s="2">
        <v>2</v>
      </c>
      <c r="G6033" s="2" t="s">
        <v>13</v>
      </c>
    </row>
    <row r="6034" spans="1:9" x14ac:dyDescent="0.2">
      <c r="A6034" s="2" t="s">
        <v>3319</v>
      </c>
      <c r="B6034" s="2" t="s">
        <v>1753</v>
      </c>
      <c r="C6034" s="2">
        <v>573.51419999999996</v>
      </c>
      <c r="D6034" s="2">
        <f>HYPERLINK("http://mcb-m6.bioreg.kyushu-u.ac.jp/M3/20110502/F51164/908/1", 63.96)</f>
        <v>63.96</v>
      </c>
      <c r="E6034" s="2">
        <v>46.68</v>
      </c>
      <c r="F6034" s="2">
        <v>2</v>
      </c>
      <c r="G6034" s="2" t="s">
        <v>13</v>
      </c>
    </row>
    <row r="6035" spans="1:9" x14ac:dyDescent="0.2">
      <c r="A6035" s="2" t="s">
        <v>3319</v>
      </c>
      <c r="B6035" s="2" t="s">
        <v>1749</v>
      </c>
      <c r="C6035" s="2">
        <v>778.85270000000003</v>
      </c>
      <c r="D6035" s="2">
        <f>HYPERLINK("http://mcb-m6.bioreg.kyushu-u.ac.jp/M3/20110502/F51164/1907/1", 64.13)</f>
        <v>64.13</v>
      </c>
      <c r="E6035" s="2">
        <v>42.05</v>
      </c>
      <c r="F6035" s="2">
        <v>2</v>
      </c>
      <c r="G6035" s="2" t="s">
        <v>13</v>
      </c>
    </row>
    <row r="6036" spans="1:9" x14ac:dyDescent="0.2">
      <c r="A6036" s="2" t="s">
        <v>3319</v>
      </c>
      <c r="B6036" s="2" t="s">
        <v>2544</v>
      </c>
      <c r="C6036" s="2">
        <v>696.27970000000005</v>
      </c>
      <c r="D6036" s="2">
        <f>HYPERLINK("http://mcb-m6.bioreg.kyushu-u.ac.jp/M3/20110429/F51154/1758/1", 64.47)</f>
        <v>64.47</v>
      </c>
      <c r="E6036" s="2">
        <v>50.9</v>
      </c>
      <c r="F6036" s="2">
        <v>2</v>
      </c>
      <c r="G6036" s="2" t="s">
        <v>13</v>
      </c>
      <c r="I6036" s="2" t="s">
        <v>4903</v>
      </c>
    </row>
    <row r="6037" spans="1:9" x14ac:dyDescent="0.2">
      <c r="A6037" s="2" t="s">
        <v>3319</v>
      </c>
      <c r="B6037" s="2" t="s">
        <v>1826</v>
      </c>
      <c r="C6037" s="2">
        <v>689.41269999999997</v>
      </c>
      <c r="D6037" s="2">
        <f>HYPERLINK("http://mcb-m6.bioreg.kyushu-u.ac.jp/M3/20110502/F51164/1429/1", 64.47)</f>
        <v>64.47</v>
      </c>
      <c r="E6037" s="2">
        <v>46.45</v>
      </c>
      <c r="F6037" s="2">
        <v>2</v>
      </c>
      <c r="G6037" s="2" t="s">
        <v>13</v>
      </c>
    </row>
    <row r="6038" spans="1:9" x14ac:dyDescent="0.2">
      <c r="A6038" s="2" t="s">
        <v>3319</v>
      </c>
      <c r="B6038" s="2" t="s">
        <v>1812</v>
      </c>
      <c r="C6038" s="2">
        <v>581.47770000000003</v>
      </c>
      <c r="D6038" s="2">
        <f>HYPERLINK("http://mcb-m6.bioreg.kyushu-u.ac.jp/M3/20110502/F51164/937/1", 65.11)</f>
        <v>65.11</v>
      </c>
      <c r="E6038" s="2">
        <v>42.54</v>
      </c>
      <c r="F6038" s="2">
        <v>2</v>
      </c>
      <c r="G6038" s="2" t="s">
        <v>13</v>
      </c>
    </row>
    <row r="6039" spans="1:9" x14ac:dyDescent="0.2">
      <c r="A6039" s="2" t="s">
        <v>3319</v>
      </c>
      <c r="B6039" s="2" t="s">
        <v>2204</v>
      </c>
      <c r="C6039" s="2">
        <v>484.04910000000001</v>
      </c>
      <c r="D6039" s="2">
        <f>HYPERLINK("http://mcb-m6.bioreg.kyushu-u.ac.jp/M3/20110502/F51164/565/1", 66.93)</f>
        <v>66.930000000000007</v>
      </c>
      <c r="E6039" s="2">
        <v>36.729999999999997</v>
      </c>
      <c r="F6039" s="2">
        <v>2</v>
      </c>
      <c r="G6039" s="2" t="s">
        <v>13</v>
      </c>
      <c r="I6039" s="2" t="s">
        <v>4903</v>
      </c>
    </row>
    <row r="6040" spans="1:9" x14ac:dyDescent="0.2">
      <c r="A6040" s="2" t="s">
        <v>3319</v>
      </c>
      <c r="B6040" s="2" t="s">
        <v>104</v>
      </c>
      <c r="C6040" s="2">
        <v>782.27869999999996</v>
      </c>
      <c r="D6040" s="2">
        <f>HYPERLINK("http://mcb-m6.bioreg.kyushu-u.ac.jp/M3/20110429/F51153/2312/1", 67.27)</f>
        <v>67.27</v>
      </c>
      <c r="E6040" s="2">
        <v>52.21</v>
      </c>
      <c r="F6040" s="2">
        <v>2</v>
      </c>
      <c r="G6040" s="2" t="s">
        <v>13</v>
      </c>
    </row>
    <row r="6041" spans="1:9" x14ac:dyDescent="0.2">
      <c r="A6041" s="2" t="s">
        <v>3319</v>
      </c>
      <c r="B6041" s="2" t="s">
        <v>2070</v>
      </c>
      <c r="C6041" s="2">
        <v>714.93520000000001</v>
      </c>
      <c r="D6041" s="2">
        <f>HYPERLINK("http://mcb-m6.bioreg.kyushu-u.ac.jp/M3/20110429/F51155/2091/1", 69.59)</f>
        <v>69.59</v>
      </c>
      <c r="E6041" s="2">
        <v>42.52</v>
      </c>
      <c r="F6041" s="2">
        <v>2</v>
      </c>
      <c r="G6041" s="2" t="s">
        <v>13</v>
      </c>
    </row>
    <row r="6042" spans="1:9" x14ac:dyDescent="0.2">
      <c r="A6042" s="2" t="s">
        <v>3319</v>
      </c>
      <c r="B6042" s="2" t="s">
        <v>638</v>
      </c>
      <c r="C6042" s="2">
        <v>556.79060000000004</v>
      </c>
      <c r="D6042" s="2">
        <f>HYPERLINK("http://mcb-m6.bioreg.kyushu-u.ac.jp/M3/20110429/F51154/1017/1", 69.79)</f>
        <v>69.790000000000006</v>
      </c>
      <c r="E6042" s="2">
        <v>36.19</v>
      </c>
      <c r="F6042" s="2">
        <v>2</v>
      </c>
      <c r="G6042" s="2" t="s">
        <v>13</v>
      </c>
    </row>
    <row r="6043" spans="1:9" x14ac:dyDescent="0.2">
      <c r="A6043" s="2" t="s">
        <v>3319</v>
      </c>
      <c r="B6043" s="2" t="s">
        <v>1280</v>
      </c>
      <c r="C6043" s="2">
        <v>1245.684</v>
      </c>
      <c r="D6043" s="2">
        <f>HYPERLINK("http://mcb-m6.bioreg.kyushu-u.ac.jp/M3/20110502/F51164/1111/1", 71.33)</f>
        <v>71.33</v>
      </c>
      <c r="E6043" s="2">
        <v>49.09</v>
      </c>
      <c r="F6043" s="2">
        <v>1</v>
      </c>
      <c r="G6043" s="2" t="s">
        <v>13</v>
      </c>
    </row>
    <row r="6044" spans="1:9" x14ac:dyDescent="0.2">
      <c r="A6044" s="2" t="s">
        <v>3319</v>
      </c>
      <c r="B6044" s="2" t="s">
        <v>2505</v>
      </c>
      <c r="C6044" s="2">
        <v>864.44820000000004</v>
      </c>
      <c r="D6044" s="2">
        <f>HYPERLINK("http://mcb-m6.bioreg.kyushu-u.ac.jp/M3/20110502/F51164/2346/1", 76.21)</f>
        <v>76.209999999999994</v>
      </c>
      <c r="E6044" s="2">
        <v>62.76</v>
      </c>
      <c r="F6044" s="2">
        <v>2</v>
      </c>
      <c r="G6044" s="2" t="s">
        <v>13</v>
      </c>
      <c r="I6044" s="2" t="s">
        <v>4918</v>
      </c>
    </row>
    <row r="6045" spans="1:9" x14ac:dyDescent="0.2">
      <c r="A6045" s="2" t="s">
        <v>3319</v>
      </c>
      <c r="B6045" s="2" t="s">
        <v>1909</v>
      </c>
      <c r="C6045" s="2">
        <v>870.03610000000003</v>
      </c>
      <c r="D6045" s="2">
        <f>HYPERLINK("http://mcb-m6.bioreg.kyushu-u.ac.jp/M3/20110502/F51164/2367/1", 76.37)</f>
        <v>76.37</v>
      </c>
      <c r="E6045" s="2">
        <v>53.14</v>
      </c>
      <c r="F6045" s="2">
        <v>2</v>
      </c>
      <c r="G6045" s="2" t="s">
        <v>13</v>
      </c>
    </row>
    <row r="6046" spans="1:9" x14ac:dyDescent="0.2">
      <c r="A6046" s="2" t="s">
        <v>3319</v>
      </c>
      <c r="B6046" s="2" t="s">
        <v>1420</v>
      </c>
      <c r="C6046" s="2">
        <v>554.90219999999999</v>
      </c>
      <c r="D6046" s="2">
        <f>HYPERLINK("http://mcb-m6.bioreg.kyushu-u.ac.jp/M3/20110502/F51164/848/1", 79.46)</f>
        <v>79.459999999999994</v>
      </c>
      <c r="E6046" s="2">
        <v>23.99</v>
      </c>
      <c r="F6046" s="2">
        <v>2</v>
      </c>
      <c r="G6046" s="2" t="s">
        <v>13</v>
      </c>
    </row>
    <row r="6047" spans="1:9" x14ac:dyDescent="0.2">
      <c r="A6047" s="2" t="s">
        <v>3319</v>
      </c>
      <c r="B6047" s="2" t="s">
        <v>1311</v>
      </c>
      <c r="C6047" s="2">
        <v>826.47559999999999</v>
      </c>
      <c r="D6047" s="2">
        <f>HYPERLINK("http://mcb-m6.bioreg.kyushu-u.ac.jp/M3/20110502/F51164/2171/1", 81.79)</f>
        <v>81.790000000000006</v>
      </c>
      <c r="E6047" s="2">
        <v>66.73</v>
      </c>
      <c r="F6047" s="2">
        <v>2</v>
      </c>
      <c r="G6047" s="2" t="s">
        <v>13</v>
      </c>
    </row>
    <row r="6048" spans="1:9" x14ac:dyDescent="0.2">
      <c r="A6048" s="2" t="s">
        <v>3319</v>
      </c>
      <c r="B6048" s="2" t="s">
        <v>2070</v>
      </c>
      <c r="C6048" s="2">
        <v>714.55359999999996</v>
      </c>
      <c r="D6048" s="2">
        <f>HYPERLINK("http://mcb-m6.bioreg.kyushu-u.ac.jp/M3/20110502/F51164/1577/1", 83.23)</f>
        <v>83.23</v>
      </c>
      <c r="E6048" s="2">
        <v>64.5</v>
      </c>
      <c r="F6048" s="2">
        <v>2</v>
      </c>
      <c r="G6048" s="2" t="s">
        <v>13</v>
      </c>
    </row>
    <row r="6049" spans="1:9" x14ac:dyDescent="0.2">
      <c r="A6049" s="2" t="s">
        <v>3319</v>
      </c>
      <c r="B6049" s="2" t="s">
        <v>104</v>
      </c>
      <c r="C6049" s="2">
        <v>782.28920000000005</v>
      </c>
      <c r="D6049" s="2">
        <f>HYPERLINK("http://mcb-m6.bioreg.kyushu-u.ac.jp/M3/20110502/F51164/1938/1", 88.31)</f>
        <v>88.31</v>
      </c>
      <c r="E6049" s="2">
        <v>76.540000000000006</v>
      </c>
      <c r="F6049" s="2">
        <v>2</v>
      </c>
      <c r="G6049" s="2" t="s">
        <v>13</v>
      </c>
    </row>
    <row r="6050" spans="1:9" x14ac:dyDescent="0.2">
      <c r="A6050" s="2" t="s">
        <v>3319</v>
      </c>
      <c r="B6050" s="2" t="s">
        <v>1909</v>
      </c>
      <c r="C6050" s="2">
        <v>870.03560000000004</v>
      </c>
      <c r="D6050" s="2">
        <f>HYPERLINK("http://mcb-m6.bioreg.kyushu-u.ac.jp/M3/20110429/F51154/2740/1", 88.46)</f>
        <v>88.46</v>
      </c>
      <c r="E6050" s="2">
        <v>62.71</v>
      </c>
      <c r="F6050" s="2">
        <v>2</v>
      </c>
      <c r="G6050" s="2" t="s">
        <v>13</v>
      </c>
    </row>
    <row r="6051" spans="1:9" x14ac:dyDescent="0.2">
      <c r="A6051" s="2" t="s">
        <v>3319</v>
      </c>
      <c r="B6051" s="2" t="s">
        <v>1749</v>
      </c>
      <c r="C6051" s="2">
        <v>778.96259999999995</v>
      </c>
      <c r="D6051" s="2">
        <f>HYPERLINK("http://mcb-m6.bioreg.kyushu-u.ac.jp/M3/20110429/F51154/2221/1", 92.43)</f>
        <v>92.43</v>
      </c>
      <c r="E6051" s="2">
        <v>78.650000000000006</v>
      </c>
      <c r="F6051" s="2">
        <v>2</v>
      </c>
      <c r="G6051" s="2" t="s">
        <v>13</v>
      </c>
    </row>
    <row r="6052" spans="1:9" x14ac:dyDescent="0.2">
      <c r="A6052" s="2" t="s">
        <v>3319</v>
      </c>
      <c r="B6052" s="2" t="s">
        <v>104</v>
      </c>
      <c r="C6052" s="2">
        <v>781.94420000000002</v>
      </c>
      <c r="D6052" s="2">
        <f>HYPERLINK("http://mcb-m6.bioreg.kyushu-u.ac.jp/M3/20110502/F51164/1935/1", 92.94)</f>
        <v>92.94</v>
      </c>
      <c r="E6052" s="2">
        <v>78.37</v>
      </c>
      <c r="F6052" s="2">
        <v>2</v>
      </c>
      <c r="G6052" s="2" t="s">
        <v>13</v>
      </c>
    </row>
    <row r="6053" spans="1:9" x14ac:dyDescent="0.2">
      <c r="A6053" s="2" t="s">
        <v>3319</v>
      </c>
      <c r="B6053" s="2" t="s">
        <v>104</v>
      </c>
      <c r="C6053" s="2">
        <v>782.42859999999996</v>
      </c>
      <c r="D6053" s="2">
        <f>HYPERLINK("http://mcb-m6.bioreg.kyushu-u.ac.jp/M3/20110502/F51164/1939/1", 93.12)</f>
        <v>93.12</v>
      </c>
      <c r="E6053" s="2">
        <v>79.09</v>
      </c>
      <c r="F6053" s="2">
        <v>2</v>
      </c>
      <c r="G6053" s="2" t="s">
        <v>13</v>
      </c>
    </row>
    <row r="6054" spans="1:9" x14ac:dyDescent="0.2">
      <c r="A6054" s="2" t="s">
        <v>3319</v>
      </c>
      <c r="B6054" s="2" t="s">
        <v>1826</v>
      </c>
      <c r="C6054" s="2">
        <v>688.90419999999995</v>
      </c>
      <c r="D6054" s="2">
        <f>HYPERLINK("http://mcb-m6.bioreg.kyushu-u.ac.jp/M3/20110502/F51164/1421/1", 100.19)</f>
        <v>100.19</v>
      </c>
      <c r="E6054" s="2">
        <v>71.89</v>
      </c>
      <c r="F6054" s="2">
        <v>2</v>
      </c>
      <c r="G6054" s="2" t="s">
        <v>13</v>
      </c>
    </row>
    <row r="6055" spans="1:9" x14ac:dyDescent="0.2">
      <c r="A6055" s="2" t="s">
        <v>3319</v>
      </c>
      <c r="B6055" s="2" t="s">
        <v>1671</v>
      </c>
      <c r="C6055" s="2">
        <v>871.10469999999998</v>
      </c>
      <c r="D6055" s="2">
        <f>HYPERLINK("http://mcb-m6.bioreg.kyushu-u.ac.jp/M3/20110502/F51164/2370/1", 100.55)</f>
        <v>100.55</v>
      </c>
      <c r="E6055" s="2">
        <v>79.430000000000007</v>
      </c>
      <c r="F6055" s="2">
        <v>2</v>
      </c>
      <c r="G6055" s="2" t="s">
        <v>13</v>
      </c>
    </row>
    <row r="6056" spans="1:9" x14ac:dyDescent="0.2">
      <c r="A6056" s="2" t="s">
        <v>3319</v>
      </c>
      <c r="B6056" s="2" t="s">
        <v>5215</v>
      </c>
      <c r="C6056" s="2">
        <v>1058.52</v>
      </c>
      <c r="D6056" s="2">
        <f>HYPERLINK("http://mcb-m6.bioreg.kyushu-u.ac.jp/M3/20110502/F51164/3031/1", 136.6)</f>
        <v>136.6</v>
      </c>
      <c r="E6056" s="2">
        <v>129.31</v>
      </c>
      <c r="F6056" s="2">
        <v>2</v>
      </c>
      <c r="G6056" s="2" t="s">
        <v>13</v>
      </c>
    </row>
    <row r="6057" spans="1:9" x14ac:dyDescent="0.2">
      <c r="A6057" s="2" t="s">
        <v>3319</v>
      </c>
      <c r="B6057" s="2" t="s">
        <v>1753</v>
      </c>
      <c r="C6057" s="2">
        <v>573.4402</v>
      </c>
      <c r="D6057" s="2">
        <f>HYPERLINK("http://mcb-m6.bioreg.kyushu-u.ac.jp/M3/20110502/F51162/1218/1", 35.15)</f>
        <v>35.15</v>
      </c>
      <c r="E6057" s="2">
        <v>10.95</v>
      </c>
      <c r="F6057" s="2">
        <v>2</v>
      </c>
      <c r="G6057" s="2" t="s">
        <v>14</v>
      </c>
    </row>
    <row r="6058" spans="1:9" x14ac:dyDescent="0.2">
      <c r="A6058" s="2" t="s">
        <v>3319</v>
      </c>
      <c r="B6058" s="2" t="s">
        <v>2544</v>
      </c>
      <c r="C6058" s="2">
        <v>695.80269999999996</v>
      </c>
      <c r="D6058" s="2">
        <f>HYPERLINK("http://mcb-m6.bioreg.kyushu-u.ac.jp/M3/20110428/F51143/1874/1", 38.75)</f>
        <v>38.75</v>
      </c>
      <c r="E6058" s="2">
        <v>22.38</v>
      </c>
      <c r="F6058" s="2">
        <v>2</v>
      </c>
      <c r="G6058" s="2" t="s">
        <v>14</v>
      </c>
      <c r="I6058" s="2" t="s">
        <v>4903</v>
      </c>
    </row>
    <row r="6059" spans="1:9" x14ac:dyDescent="0.2">
      <c r="A6059" s="2" t="s">
        <v>3319</v>
      </c>
      <c r="B6059" s="2" t="s">
        <v>1938</v>
      </c>
      <c r="C6059" s="2">
        <v>957.70399999999995</v>
      </c>
      <c r="D6059" s="2">
        <f>HYPERLINK("http://mcb-m6.bioreg.kyushu-u.ac.jp/M3/20110502/F51162/850/1", 39.97)</f>
        <v>39.97</v>
      </c>
      <c r="E6059" s="2">
        <v>18.03</v>
      </c>
      <c r="F6059" s="2">
        <v>1</v>
      </c>
      <c r="G6059" s="2" t="s">
        <v>14</v>
      </c>
    </row>
    <row r="6060" spans="1:9" x14ac:dyDescent="0.2">
      <c r="A6060" s="2" t="s">
        <v>3319</v>
      </c>
      <c r="B6060" s="2" t="s">
        <v>1938</v>
      </c>
      <c r="C6060" s="2">
        <v>479.2921</v>
      </c>
      <c r="D6060" s="2">
        <f>HYPERLINK("http://mcb-m6.bioreg.kyushu-u.ac.jp/M3/20110428/F51141/630/1", 40.34)</f>
        <v>40.340000000000003</v>
      </c>
      <c r="E6060" s="2">
        <v>11.88</v>
      </c>
      <c r="F6060" s="2">
        <v>2</v>
      </c>
      <c r="G6060" s="2" t="s">
        <v>14</v>
      </c>
    </row>
    <row r="6061" spans="1:9" x14ac:dyDescent="0.2">
      <c r="A6061" s="2" t="s">
        <v>3319</v>
      </c>
      <c r="B6061" s="2" t="s">
        <v>5257</v>
      </c>
      <c r="C6061" s="2">
        <v>517.2867</v>
      </c>
      <c r="D6061" s="2">
        <f>HYPERLINK("http://mcb-m6.bioreg.kyushu-u.ac.jp/M3/20110502/F51162/1021/1", 41.23)</f>
        <v>41.23</v>
      </c>
      <c r="E6061" s="2">
        <v>12.72</v>
      </c>
      <c r="F6061" s="2">
        <v>2</v>
      </c>
      <c r="G6061" s="2" t="s">
        <v>14</v>
      </c>
    </row>
    <row r="6062" spans="1:9" x14ac:dyDescent="0.2">
      <c r="A6062" s="2" t="s">
        <v>3319</v>
      </c>
      <c r="B6062" s="2" t="s">
        <v>566</v>
      </c>
      <c r="C6062" s="2">
        <v>1058.6579999999999</v>
      </c>
      <c r="D6062" s="2">
        <f>HYPERLINK("http://mcb-m6.bioreg.kyushu-u.ac.jp/M3/20110502/F51162/1080/1", 42.5)</f>
        <v>42.5</v>
      </c>
      <c r="E6062" s="2">
        <v>11.98</v>
      </c>
      <c r="F6062" s="2">
        <v>1</v>
      </c>
      <c r="G6062" s="2" t="s">
        <v>14</v>
      </c>
    </row>
    <row r="6063" spans="1:9" x14ac:dyDescent="0.2">
      <c r="A6063" s="2" t="s">
        <v>3319</v>
      </c>
      <c r="B6063" s="2" t="s">
        <v>1938</v>
      </c>
      <c r="C6063" s="2">
        <v>479.39060000000001</v>
      </c>
      <c r="D6063" s="2">
        <f>HYPERLINK("http://mcb-m6.bioreg.kyushu-u.ac.jp/M3/20110502/F51162/851/1", 47.77)</f>
        <v>47.77</v>
      </c>
      <c r="E6063" s="2">
        <v>12.28</v>
      </c>
      <c r="F6063" s="2">
        <v>2</v>
      </c>
      <c r="G6063" s="2" t="s">
        <v>14</v>
      </c>
    </row>
    <row r="6064" spans="1:9" x14ac:dyDescent="0.2">
      <c r="A6064" s="2" t="s">
        <v>3319</v>
      </c>
      <c r="B6064" s="2" t="s">
        <v>1826</v>
      </c>
      <c r="C6064" s="2">
        <v>688.82619999999997</v>
      </c>
      <c r="D6064" s="2">
        <f>HYPERLINK("http://mcb-m6.bioreg.kyushu-u.ac.jp/M3/20110428/F51143/1832/1", 51.37)</f>
        <v>51.37</v>
      </c>
      <c r="E6064" s="2">
        <v>32.950000000000003</v>
      </c>
      <c r="F6064" s="2">
        <v>2</v>
      </c>
      <c r="G6064" s="2" t="s">
        <v>14</v>
      </c>
    </row>
    <row r="6065" spans="1:9" x14ac:dyDescent="0.2">
      <c r="A6065" s="2" t="s">
        <v>3319</v>
      </c>
      <c r="B6065" s="2" t="s">
        <v>2609</v>
      </c>
      <c r="C6065" s="2">
        <v>631.01919999999996</v>
      </c>
      <c r="D6065" s="2">
        <f>HYPERLINK("http://mcb-m6.bioreg.kyushu-u.ac.jp/M3/20110502/F51162/1429/1", 52.7)</f>
        <v>52.7</v>
      </c>
      <c r="E6065" s="2">
        <v>33.93</v>
      </c>
      <c r="F6065" s="2">
        <v>2</v>
      </c>
      <c r="G6065" s="2" t="s">
        <v>14</v>
      </c>
      <c r="I6065" s="2" t="s">
        <v>4892</v>
      </c>
    </row>
    <row r="6066" spans="1:9" x14ac:dyDescent="0.2">
      <c r="A6066" s="2" t="s">
        <v>3319</v>
      </c>
      <c r="B6066" s="2" t="s">
        <v>1420</v>
      </c>
      <c r="C6066" s="2">
        <v>554.81960000000004</v>
      </c>
      <c r="D6066" s="2">
        <f>HYPERLINK("http://mcb-m6.bioreg.kyushu-u.ac.jp/M3/20110428/F51143/1234/1", 53.41)</f>
        <v>53.41</v>
      </c>
      <c r="E6066" s="2">
        <v>17.72</v>
      </c>
      <c r="F6066" s="2">
        <v>2</v>
      </c>
      <c r="G6066" s="2" t="s">
        <v>14</v>
      </c>
    </row>
    <row r="6067" spans="1:9" x14ac:dyDescent="0.2">
      <c r="A6067" s="2" t="s">
        <v>3319</v>
      </c>
      <c r="B6067" s="2" t="s">
        <v>979</v>
      </c>
      <c r="C6067" s="2">
        <v>1216.741</v>
      </c>
      <c r="D6067" s="2">
        <f>HYPERLINK("http://mcb-m6.bioreg.kyushu-u.ac.jp/M3/20110502/F51162/1350/1", 54.29)</f>
        <v>54.29</v>
      </c>
      <c r="E6067" s="2">
        <v>29.05</v>
      </c>
      <c r="F6067" s="2">
        <v>1</v>
      </c>
      <c r="G6067" s="2" t="s">
        <v>14</v>
      </c>
    </row>
    <row r="6068" spans="1:9" x14ac:dyDescent="0.2">
      <c r="A6068" s="2" t="s">
        <v>3319</v>
      </c>
      <c r="B6068" s="2" t="s">
        <v>1749</v>
      </c>
      <c r="C6068" s="2">
        <v>778.99720000000002</v>
      </c>
      <c r="D6068" s="2">
        <f>HYPERLINK("http://mcb-m6.bioreg.kyushu-u.ac.jp/M3/20110428/F51144/2416/1", 57.19)</f>
        <v>57.19</v>
      </c>
      <c r="E6068" s="2">
        <v>39.92</v>
      </c>
      <c r="F6068" s="2">
        <v>2</v>
      </c>
      <c r="G6068" s="2" t="s">
        <v>14</v>
      </c>
    </row>
    <row r="6069" spans="1:9" x14ac:dyDescent="0.2">
      <c r="A6069" s="2" t="s">
        <v>3319</v>
      </c>
      <c r="B6069" s="2" t="s">
        <v>1324</v>
      </c>
      <c r="C6069" s="2">
        <v>581.83320000000003</v>
      </c>
      <c r="D6069" s="2">
        <f>HYPERLINK("http://mcb-m6.bioreg.kyushu-u.ac.jp/M3/20110502/F51162/1245/1", 57.69)</f>
        <v>57.69</v>
      </c>
      <c r="E6069" s="2">
        <v>29.72</v>
      </c>
      <c r="F6069" s="2">
        <v>2</v>
      </c>
      <c r="G6069" s="2" t="s">
        <v>14</v>
      </c>
    </row>
    <row r="6070" spans="1:9" x14ac:dyDescent="0.2">
      <c r="A6070" s="2" t="s">
        <v>3319</v>
      </c>
      <c r="B6070" s="2" t="s">
        <v>1420</v>
      </c>
      <c r="C6070" s="2">
        <v>555.05319999999995</v>
      </c>
      <c r="D6070" s="2">
        <f>HYPERLINK("http://mcb-m6.bioreg.kyushu-u.ac.jp/M3/20110428/F51145/1417/1", 57.69)</f>
        <v>57.69</v>
      </c>
      <c r="E6070" s="2">
        <v>20</v>
      </c>
      <c r="F6070" s="2">
        <v>2</v>
      </c>
      <c r="G6070" s="2" t="s">
        <v>14</v>
      </c>
    </row>
    <row r="6071" spans="1:9" x14ac:dyDescent="0.2">
      <c r="A6071" s="2" t="s">
        <v>3319</v>
      </c>
      <c r="B6071" s="2" t="s">
        <v>638</v>
      </c>
      <c r="C6071" s="2">
        <v>557.22860000000003</v>
      </c>
      <c r="D6071" s="2">
        <f>HYPERLINK("http://mcb-m6.bioreg.kyushu-u.ac.jp/M3/20110428/F51141/941/1", 57.94)</f>
        <v>57.94</v>
      </c>
      <c r="E6071" s="2">
        <v>31.22</v>
      </c>
      <c r="F6071" s="2">
        <v>2</v>
      </c>
      <c r="G6071" s="2" t="s">
        <v>14</v>
      </c>
    </row>
    <row r="6072" spans="1:9" x14ac:dyDescent="0.2">
      <c r="A6072" s="2" t="s">
        <v>3319</v>
      </c>
      <c r="B6072" s="2" t="s">
        <v>987</v>
      </c>
      <c r="C6072" s="2">
        <v>753.03309999999999</v>
      </c>
      <c r="D6072" s="2">
        <f>HYPERLINK("http://mcb-m6.bioreg.kyushu-u.ac.jp/M3/20110502/F51162/1966/1", 58.49)</f>
        <v>58.49</v>
      </c>
      <c r="E6072" s="2">
        <v>33.47</v>
      </c>
      <c r="F6072" s="2">
        <v>2</v>
      </c>
      <c r="G6072" s="2" t="s">
        <v>14</v>
      </c>
    </row>
    <row r="6073" spans="1:9" x14ac:dyDescent="0.2">
      <c r="A6073" s="2" t="s">
        <v>3319</v>
      </c>
      <c r="B6073" s="2" t="s">
        <v>1749</v>
      </c>
      <c r="C6073" s="2">
        <v>778.93820000000005</v>
      </c>
      <c r="D6073" s="2">
        <f>HYPERLINK("http://mcb-m6.bioreg.kyushu-u.ac.jp/M3/20110428/F51142/2313/1", 58.9)</f>
        <v>58.9</v>
      </c>
      <c r="E6073" s="2">
        <v>48.05</v>
      </c>
      <c r="F6073" s="2">
        <v>2</v>
      </c>
      <c r="G6073" s="2" t="s">
        <v>14</v>
      </c>
    </row>
    <row r="6074" spans="1:9" x14ac:dyDescent="0.2">
      <c r="A6074" s="2" t="s">
        <v>3319</v>
      </c>
      <c r="B6074" s="2" t="s">
        <v>5591</v>
      </c>
      <c r="C6074" s="2">
        <v>867.58069999999998</v>
      </c>
      <c r="D6074" s="2">
        <f>HYPERLINK("http://mcb-m6.bioreg.kyushu-u.ac.jp/M3/20110502/F51162/2367/1", 59.57)</f>
        <v>59.57</v>
      </c>
      <c r="E6074" s="2">
        <v>40.82</v>
      </c>
      <c r="F6074" s="2">
        <v>2</v>
      </c>
      <c r="G6074" s="2" t="s">
        <v>14</v>
      </c>
      <c r="I6074" s="2" t="s">
        <v>4914</v>
      </c>
    </row>
    <row r="6075" spans="1:9" x14ac:dyDescent="0.2">
      <c r="A6075" s="2" t="s">
        <v>3319</v>
      </c>
      <c r="B6075" s="2" t="s">
        <v>2544</v>
      </c>
      <c r="C6075" s="2">
        <v>696.34010000000001</v>
      </c>
      <c r="D6075" s="2">
        <f>HYPERLINK("http://mcb-m6.bioreg.kyushu-u.ac.jp/M3/20110428/F51143/1877/1", 60.82)</f>
        <v>60.82</v>
      </c>
      <c r="E6075" s="2">
        <v>38.81</v>
      </c>
      <c r="F6075" s="2">
        <v>2</v>
      </c>
      <c r="G6075" s="2" t="s">
        <v>14</v>
      </c>
      <c r="I6075" s="2" t="s">
        <v>4903</v>
      </c>
    </row>
    <row r="6076" spans="1:9" x14ac:dyDescent="0.2">
      <c r="A6076" s="2" t="s">
        <v>3319</v>
      </c>
      <c r="B6076" s="2" t="s">
        <v>2609</v>
      </c>
      <c r="C6076" s="2">
        <v>631.31410000000005</v>
      </c>
      <c r="D6076" s="2">
        <f>HYPERLINK("http://mcb-m6.bioreg.kyushu-u.ac.jp/M3/20110428/F51145/1680/1", 61.46)</f>
        <v>61.46</v>
      </c>
      <c r="E6076" s="2">
        <v>40.04</v>
      </c>
      <c r="F6076" s="2">
        <v>2</v>
      </c>
      <c r="G6076" s="2" t="s">
        <v>14</v>
      </c>
      <c r="I6076" s="2" t="s">
        <v>4892</v>
      </c>
    </row>
    <row r="6077" spans="1:9" x14ac:dyDescent="0.2">
      <c r="A6077" s="2" t="s">
        <v>3319</v>
      </c>
      <c r="B6077" s="2" t="s">
        <v>638</v>
      </c>
      <c r="C6077" s="2">
        <v>556.96370000000002</v>
      </c>
      <c r="D6077" s="2">
        <f>HYPERLINK("http://mcb-m6.bioreg.kyushu-u.ac.jp/M3/20110502/F51162/1179/1", 63.55)</f>
        <v>63.55</v>
      </c>
      <c r="E6077" s="2">
        <v>31.47</v>
      </c>
      <c r="F6077" s="2">
        <v>2</v>
      </c>
      <c r="G6077" s="2" t="s">
        <v>14</v>
      </c>
    </row>
    <row r="6078" spans="1:9" x14ac:dyDescent="0.2">
      <c r="A6078" s="2" t="s">
        <v>3319</v>
      </c>
      <c r="B6078" s="2" t="s">
        <v>2505</v>
      </c>
      <c r="C6078" s="2">
        <v>864.51570000000004</v>
      </c>
      <c r="D6078" s="2">
        <f>HYPERLINK("http://mcb-m6.bioreg.kyushu-u.ac.jp/M3/20110502/F51162/2359/1", 66.15)</f>
        <v>66.150000000000006</v>
      </c>
      <c r="E6078" s="2">
        <v>55.38</v>
      </c>
      <c r="F6078" s="2">
        <v>2</v>
      </c>
      <c r="G6078" s="2" t="s">
        <v>14</v>
      </c>
      <c r="I6078" s="2" t="s">
        <v>4918</v>
      </c>
    </row>
    <row r="6079" spans="1:9" x14ac:dyDescent="0.2">
      <c r="A6079" s="2" t="s">
        <v>3319</v>
      </c>
      <c r="B6079" s="2" t="s">
        <v>104</v>
      </c>
      <c r="C6079" s="2">
        <v>782.37819999999999</v>
      </c>
      <c r="D6079" s="2">
        <f>HYPERLINK("http://mcb-m6.bioreg.kyushu-u.ac.jp/M3/20110502/F51162/2085/1", 67.5)</f>
        <v>67.5</v>
      </c>
      <c r="E6079" s="2">
        <v>54.27</v>
      </c>
      <c r="F6079" s="2">
        <v>2</v>
      </c>
      <c r="G6079" s="2" t="s">
        <v>14</v>
      </c>
    </row>
    <row r="6080" spans="1:9" x14ac:dyDescent="0.2">
      <c r="A6080" s="2" t="s">
        <v>3319</v>
      </c>
      <c r="B6080" s="2" t="s">
        <v>1909</v>
      </c>
      <c r="C6080" s="2">
        <v>869.98019999999997</v>
      </c>
      <c r="D6080" s="2">
        <f>HYPERLINK("http://mcb-m6.bioreg.kyushu-u.ac.jp/M3/20110502/F51162/2372/1", 67.73)</f>
        <v>67.73</v>
      </c>
      <c r="E6080" s="2">
        <v>48.99</v>
      </c>
      <c r="F6080" s="2">
        <v>2</v>
      </c>
      <c r="G6080" s="2" t="s">
        <v>14</v>
      </c>
    </row>
    <row r="6081" spans="1:9" x14ac:dyDescent="0.2">
      <c r="A6081" s="2" t="s">
        <v>3319</v>
      </c>
      <c r="B6081" s="2" t="s">
        <v>1420</v>
      </c>
      <c r="C6081" s="2">
        <v>554.93119999999999</v>
      </c>
      <c r="D6081" s="2">
        <f>HYPERLINK("http://mcb-m6.bioreg.kyushu-u.ac.jp/M3/20110502/F51162/1177/1", 70.75)</f>
        <v>70.75</v>
      </c>
      <c r="E6081" s="2">
        <v>23.64</v>
      </c>
      <c r="F6081" s="2">
        <v>2</v>
      </c>
      <c r="G6081" s="2" t="s">
        <v>14</v>
      </c>
    </row>
    <row r="6082" spans="1:9" x14ac:dyDescent="0.2">
      <c r="A6082" s="2" t="s">
        <v>3319</v>
      </c>
      <c r="B6082" s="2" t="s">
        <v>2544</v>
      </c>
      <c r="C6082" s="2">
        <v>695.87959999999998</v>
      </c>
      <c r="D6082" s="2">
        <f>HYPERLINK("http://mcb-m6.bioreg.kyushu-u.ac.jp/M3/20110502/F51162/1673/1", 73.8)</f>
        <v>73.8</v>
      </c>
      <c r="E6082" s="2">
        <v>52.36</v>
      </c>
      <c r="F6082" s="2">
        <v>2</v>
      </c>
      <c r="G6082" s="2" t="s">
        <v>14</v>
      </c>
      <c r="I6082" s="2" t="s">
        <v>4903</v>
      </c>
    </row>
    <row r="6083" spans="1:9" x14ac:dyDescent="0.2">
      <c r="A6083" s="2" t="s">
        <v>3319</v>
      </c>
      <c r="B6083" s="2" t="s">
        <v>2070</v>
      </c>
      <c r="C6083" s="2">
        <v>714.88319999999999</v>
      </c>
      <c r="D6083" s="2">
        <f>HYPERLINK("http://mcb-m6.bioreg.kyushu-u.ac.jp/M3/20110428/F51144/2078/1", 76.97)</f>
        <v>76.97</v>
      </c>
      <c r="E6083" s="2">
        <v>59.25</v>
      </c>
      <c r="F6083" s="2">
        <v>2</v>
      </c>
      <c r="G6083" s="2" t="s">
        <v>14</v>
      </c>
    </row>
    <row r="6084" spans="1:9" x14ac:dyDescent="0.2">
      <c r="A6084" s="2" t="s">
        <v>3319</v>
      </c>
      <c r="B6084" s="2" t="s">
        <v>1826</v>
      </c>
      <c r="C6084" s="2">
        <v>688.84220000000005</v>
      </c>
      <c r="D6084" s="2">
        <f>HYPERLINK("http://mcb-m6.bioreg.kyushu-u.ac.jp/M3/20110502/F51162/1639/1", 78.2)</f>
        <v>78.2</v>
      </c>
      <c r="E6084" s="2">
        <v>58.67</v>
      </c>
      <c r="F6084" s="2">
        <v>2</v>
      </c>
      <c r="G6084" s="2" t="s">
        <v>14</v>
      </c>
    </row>
    <row r="6085" spans="1:9" x14ac:dyDescent="0.2">
      <c r="A6085" s="2" t="s">
        <v>3319</v>
      </c>
      <c r="B6085" s="2" t="s">
        <v>1311</v>
      </c>
      <c r="C6085" s="2">
        <v>826.9452</v>
      </c>
      <c r="D6085" s="2">
        <f>HYPERLINK("http://mcb-m6.bioreg.kyushu-u.ac.jp/M3/20110428/F51143/2524/1", 82.79)</f>
        <v>82.79</v>
      </c>
      <c r="E6085" s="2">
        <v>68.680000000000007</v>
      </c>
      <c r="F6085" s="2">
        <v>2</v>
      </c>
      <c r="G6085" s="2" t="s">
        <v>14</v>
      </c>
    </row>
    <row r="6086" spans="1:9" x14ac:dyDescent="0.2">
      <c r="A6086" s="2" t="s">
        <v>3319</v>
      </c>
      <c r="B6086" s="2" t="s">
        <v>2070</v>
      </c>
      <c r="C6086" s="2">
        <v>714.49159999999995</v>
      </c>
      <c r="D6086" s="2">
        <f>HYPERLINK("http://mcb-m6.bioreg.kyushu-u.ac.jp/M3/20110428/F51143/1958/1", 83.06)</f>
        <v>83.06</v>
      </c>
      <c r="E6086" s="2">
        <v>64.150000000000006</v>
      </c>
      <c r="F6086" s="2">
        <v>2</v>
      </c>
      <c r="G6086" s="2" t="s">
        <v>14</v>
      </c>
    </row>
    <row r="6087" spans="1:9" x14ac:dyDescent="0.2">
      <c r="A6087" s="2" t="s">
        <v>3319</v>
      </c>
      <c r="B6087" s="2" t="s">
        <v>1749</v>
      </c>
      <c r="C6087" s="2">
        <v>778.94420000000002</v>
      </c>
      <c r="D6087" s="2">
        <f>HYPERLINK("http://mcb-m6.bioreg.kyushu-u.ac.jp/M3/20110428/F51143/2273/1", 84.48)</f>
        <v>84.48</v>
      </c>
      <c r="E6087" s="2">
        <v>70.7</v>
      </c>
      <c r="F6087" s="2">
        <v>2</v>
      </c>
      <c r="G6087" s="2" t="s">
        <v>14</v>
      </c>
    </row>
    <row r="6088" spans="1:9" x14ac:dyDescent="0.2">
      <c r="A6088" s="2" t="s">
        <v>3319</v>
      </c>
      <c r="B6088" s="2" t="s">
        <v>1909</v>
      </c>
      <c r="C6088" s="2">
        <v>870.46220000000005</v>
      </c>
      <c r="D6088" s="2">
        <f>HYPERLINK("http://mcb-m6.bioreg.kyushu-u.ac.jp/M3/20110428/F51143/2688/1", 91.34)</f>
        <v>91.34</v>
      </c>
      <c r="E6088" s="2">
        <v>68.930000000000007</v>
      </c>
      <c r="F6088" s="2">
        <v>2</v>
      </c>
      <c r="G6088" s="2" t="s">
        <v>14</v>
      </c>
    </row>
    <row r="6089" spans="1:9" x14ac:dyDescent="0.2">
      <c r="A6089" s="2" t="s">
        <v>3319</v>
      </c>
      <c r="B6089" s="2" t="s">
        <v>1311</v>
      </c>
      <c r="C6089" s="2">
        <v>826.64319999999998</v>
      </c>
      <c r="D6089" s="2">
        <f>HYPERLINK("http://mcb-m6.bioreg.kyushu-u.ac.jp/M3/20110502/F51162/2258/1", 92.92)</f>
        <v>92.92</v>
      </c>
      <c r="E6089" s="2">
        <v>70.680000000000007</v>
      </c>
      <c r="F6089" s="2">
        <v>2</v>
      </c>
      <c r="G6089" s="2" t="s">
        <v>14</v>
      </c>
    </row>
    <row r="6090" spans="1:9" x14ac:dyDescent="0.2">
      <c r="A6090" s="2" t="s">
        <v>3319</v>
      </c>
      <c r="B6090" s="2" t="s">
        <v>2070</v>
      </c>
      <c r="C6090" s="2">
        <v>714.45619999999997</v>
      </c>
      <c r="D6090" s="2">
        <f>HYPERLINK("http://mcb-m6.bioreg.kyushu-u.ac.jp/M3/20110502/F51162/1763/1", 94.31)</f>
        <v>94.31</v>
      </c>
      <c r="E6090" s="2">
        <v>74.8</v>
      </c>
      <c r="F6090" s="2">
        <v>2</v>
      </c>
      <c r="G6090" s="2" t="s">
        <v>14</v>
      </c>
    </row>
    <row r="6091" spans="1:9" x14ac:dyDescent="0.2">
      <c r="A6091" s="2" t="s">
        <v>3319</v>
      </c>
      <c r="B6091" s="2" t="s">
        <v>104</v>
      </c>
      <c r="C6091" s="2">
        <v>782.04269999999997</v>
      </c>
      <c r="D6091" s="2">
        <f>HYPERLINK("http://mcb-m6.bioreg.kyushu-u.ac.jp/M3/20110502/F51162/2084/1", 104.4)</f>
        <v>104.4</v>
      </c>
      <c r="E6091" s="2">
        <v>91.27</v>
      </c>
      <c r="F6091" s="2">
        <v>2</v>
      </c>
      <c r="G6091" s="2" t="s">
        <v>14</v>
      </c>
    </row>
    <row r="6092" spans="1:9" x14ac:dyDescent="0.2">
      <c r="A6092" s="2" t="s">
        <v>3319</v>
      </c>
      <c r="B6092" s="2" t="s">
        <v>1671</v>
      </c>
      <c r="C6092" s="2">
        <v>871.20010000000002</v>
      </c>
      <c r="D6092" s="2">
        <f>HYPERLINK("http://mcb-m6.bioreg.kyushu-u.ac.jp/M3/20110502/F51162/2376/1", 106)</f>
        <v>106</v>
      </c>
      <c r="E6092" s="2">
        <v>80.12</v>
      </c>
      <c r="F6092" s="2">
        <v>2</v>
      </c>
      <c r="G6092" s="2" t="s">
        <v>14</v>
      </c>
    </row>
    <row r="6093" spans="1:9" x14ac:dyDescent="0.2">
      <c r="A6093" s="2" t="s">
        <v>3319</v>
      </c>
      <c r="B6093" s="2" t="s">
        <v>1749</v>
      </c>
      <c r="C6093" s="2">
        <v>778.53859999999997</v>
      </c>
      <c r="D6093" s="2">
        <f>HYPERLINK("http://mcb-m6.bioreg.kyushu-u.ac.jp/M3/20110502/F51162/2064/1", 110.13)</f>
        <v>110.13</v>
      </c>
      <c r="E6093" s="2">
        <v>86.05</v>
      </c>
      <c r="F6093" s="2">
        <v>2</v>
      </c>
      <c r="G6093" s="2" t="s">
        <v>14</v>
      </c>
    </row>
    <row r="6094" spans="1:9" x14ac:dyDescent="0.2">
      <c r="A6094" s="2" t="s">
        <v>3747</v>
      </c>
      <c r="B6094" s="2" t="s">
        <v>1236</v>
      </c>
      <c r="C6094" s="2">
        <v>763.41060000000004</v>
      </c>
      <c r="D6094" s="2">
        <f>HYPERLINK("http://mcb-m6.bioreg.kyushu-u.ac.jp/M3/20110318/F50602/1598/1", 50.63)</f>
        <v>50.63</v>
      </c>
      <c r="E6094" s="2">
        <v>33.119999999999997</v>
      </c>
      <c r="F6094" s="2">
        <v>2</v>
      </c>
      <c r="G6094" s="2" t="s">
        <v>9</v>
      </c>
    </row>
    <row r="6095" spans="1:9" x14ac:dyDescent="0.2">
      <c r="A6095" s="2" t="s">
        <v>3747</v>
      </c>
      <c r="B6095" s="2" t="s">
        <v>1782</v>
      </c>
      <c r="C6095" s="2">
        <v>700.71310000000005</v>
      </c>
      <c r="D6095" s="2">
        <f>HYPERLINK("http://mcb-m6.bioreg.kyushu-u.ac.jp/M3/20110318/F50602/1407/1", 51.2)</f>
        <v>51.2</v>
      </c>
      <c r="E6095" s="2">
        <v>36.97</v>
      </c>
      <c r="F6095" s="2">
        <v>2</v>
      </c>
      <c r="G6095" s="2" t="s">
        <v>9</v>
      </c>
      <c r="H6095" s="2" t="s">
        <v>4904</v>
      </c>
    </row>
    <row r="6096" spans="1:9" x14ac:dyDescent="0.2">
      <c r="A6096" s="2" t="s">
        <v>3747</v>
      </c>
      <c r="B6096" s="2" t="s">
        <v>2461</v>
      </c>
      <c r="C6096" s="2">
        <v>590.19960000000003</v>
      </c>
      <c r="D6096" s="2">
        <f>HYPERLINK("http://mcb-m6.bioreg.kyushu-u.ac.jp/M3/20110318/F50602/1225/1", 87.93)</f>
        <v>87.93</v>
      </c>
      <c r="E6096" s="2">
        <v>59.29</v>
      </c>
      <c r="F6096" s="2">
        <v>2</v>
      </c>
      <c r="G6096" s="2" t="s">
        <v>9</v>
      </c>
    </row>
    <row r="6097" spans="1:9" x14ac:dyDescent="0.2">
      <c r="A6097" s="2" t="s">
        <v>3747</v>
      </c>
      <c r="B6097" s="2" t="s">
        <v>2281</v>
      </c>
      <c r="C6097" s="2">
        <v>693.32619999999997</v>
      </c>
      <c r="D6097" s="2">
        <f>HYPERLINK("http://mcb-m6.bioreg.kyushu-u.ac.jp/M3/20110318/F50596/1456/1", 42.31)</f>
        <v>42.31</v>
      </c>
      <c r="E6097" s="2">
        <v>27.23</v>
      </c>
      <c r="F6097" s="2">
        <v>2</v>
      </c>
      <c r="G6097" s="2" t="s">
        <v>10</v>
      </c>
    </row>
    <row r="6098" spans="1:9" x14ac:dyDescent="0.2">
      <c r="A6098" s="2" t="s">
        <v>3747</v>
      </c>
      <c r="B6098" s="2" t="s">
        <v>754</v>
      </c>
      <c r="C6098" s="2">
        <v>667.52809999999999</v>
      </c>
      <c r="D6098" s="2">
        <f>HYPERLINK("http://mcb-m6.bioreg.kyushu-u.ac.jp/M3/20110318/F50595/1537/1", 42.79)</f>
        <v>42.79</v>
      </c>
      <c r="E6098" s="2">
        <v>29.49</v>
      </c>
      <c r="F6098" s="2">
        <v>2</v>
      </c>
      <c r="G6098" s="2" t="s">
        <v>10</v>
      </c>
    </row>
    <row r="6099" spans="1:9" x14ac:dyDescent="0.2">
      <c r="A6099" s="2" t="s">
        <v>3747</v>
      </c>
      <c r="B6099" s="2" t="s">
        <v>5329</v>
      </c>
      <c r="C6099" s="2">
        <v>1003.198</v>
      </c>
      <c r="D6099" s="2">
        <f>HYPERLINK("http://mcb-m6.bioreg.kyushu-u.ac.jp/M3/20110318/F50596/2357/1", 64.22)</f>
        <v>64.22</v>
      </c>
      <c r="E6099" s="2">
        <v>52.23</v>
      </c>
      <c r="F6099" s="2">
        <v>2</v>
      </c>
      <c r="G6099" s="2" t="s">
        <v>10</v>
      </c>
    </row>
    <row r="6100" spans="1:9" x14ac:dyDescent="0.2">
      <c r="A6100" s="2" t="s">
        <v>3747</v>
      </c>
      <c r="B6100" s="2" t="s">
        <v>1236</v>
      </c>
      <c r="C6100" s="2">
        <v>762.85170000000005</v>
      </c>
      <c r="D6100" s="2">
        <f>HYPERLINK("http://mcb-m6.bioreg.kyushu-u.ac.jp/M3/20110318/F50596/1725/1", 68.14)</f>
        <v>68.14</v>
      </c>
      <c r="E6100" s="2">
        <v>46.17</v>
      </c>
      <c r="F6100" s="2">
        <v>2</v>
      </c>
      <c r="G6100" s="2" t="s">
        <v>10</v>
      </c>
    </row>
    <row r="6101" spans="1:9" x14ac:dyDescent="0.2">
      <c r="A6101" s="2" t="s">
        <v>3747</v>
      </c>
      <c r="B6101" s="2" t="s">
        <v>1236</v>
      </c>
      <c r="C6101" s="2">
        <v>763.45420000000001</v>
      </c>
      <c r="D6101" s="2">
        <f>HYPERLINK("http://mcb-m6.bioreg.kyushu-u.ac.jp/M3/20110429/F51155/2318/1", 50.29)</f>
        <v>50.29</v>
      </c>
      <c r="E6101" s="2">
        <v>35.049999999999997</v>
      </c>
      <c r="F6101" s="2">
        <v>2</v>
      </c>
      <c r="G6101" s="2" t="s">
        <v>13</v>
      </c>
    </row>
    <row r="6102" spans="1:9" x14ac:dyDescent="0.2">
      <c r="A6102" s="2" t="s">
        <v>3747</v>
      </c>
      <c r="B6102" s="2" t="s">
        <v>754</v>
      </c>
      <c r="C6102" s="2">
        <v>667.30719999999997</v>
      </c>
      <c r="D6102" s="2">
        <f>HYPERLINK("http://mcb-m6.bioreg.kyushu-u.ac.jp/M3/20110429/F51155/1896/1", 60.91)</f>
        <v>60.91</v>
      </c>
      <c r="E6102" s="2">
        <v>40.44</v>
      </c>
      <c r="F6102" s="2">
        <v>2</v>
      </c>
      <c r="G6102" s="2" t="s">
        <v>13</v>
      </c>
    </row>
    <row r="6103" spans="1:9" x14ac:dyDescent="0.2">
      <c r="A6103" s="2" t="s">
        <v>3747</v>
      </c>
      <c r="B6103" s="2" t="s">
        <v>2461</v>
      </c>
      <c r="C6103" s="2">
        <v>590.37220000000002</v>
      </c>
      <c r="D6103" s="2">
        <f>HYPERLINK("http://mcb-m6.bioreg.kyushu-u.ac.jp/M3/20110429/F51155/1617/1", 72.38)</f>
        <v>72.38</v>
      </c>
      <c r="E6103" s="2">
        <v>46.07</v>
      </c>
      <c r="F6103" s="2">
        <v>2</v>
      </c>
      <c r="G6103" s="2" t="s">
        <v>13</v>
      </c>
    </row>
    <row r="6104" spans="1:9" x14ac:dyDescent="0.2">
      <c r="A6104" s="2" t="s">
        <v>3747</v>
      </c>
      <c r="B6104" s="2" t="s">
        <v>1236</v>
      </c>
      <c r="C6104" s="2">
        <v>762.9402</v>
      </c>
      <c r="D6104" s="2">
        <f>HYPERLINK("http://mcb-m6.bioreg.kyushu-u.ac.jp/M3/20110429/F51155/2316/1", 74.92)</f>
        <v>74.92</v>
      </c>
      <c r="E6104" s="2">
        <v>47.83</v>
      </c>
      <c r="F6104" s="2">
        <v>2</v>
      </c>
      <c r="G6104" s="2" t="s">
        <v>13</v>
      </c>
    </row>
    <row r="6105" spans="1:9" x14ac:dyDescent="0.2">
      <c r="A6105" s="2" t="s">
        <v>3747</v>
      </c>
      <c r="B6105" s="2" t="s">
        <v>1236</v>
      </c>
      <c r="C6105" s="2">
        <v>762.92859999999996</v>
      </c>
      <c r="D6105" s="2">
        <f>HYPERLINK("http://mcb-m6.bioreg.kyushu-u.ac.jp/M3/20110428/F51144/2336/1", 40.77)</f>
        <v>40.770000000000003</v>
      </c>
      <c r="E6105" s="2">
        <v>25.67</v>
      </c>
      <c r="F6105" s="2">
        <v>2</v>
      </c>
      <c r="G6105" s="2" t="s">
        <v>14</v>
      </c>
    </row>
    <row r="6106" spans="1:9" x14ac:dyDescent="0.2">
      <c r="A6106" s="2" t="s">
        <v>3747</v>
      </c>
      <c r="B6106" s="2" t="s">
        <v>5593</v>
      </c>
      <c r="C6106" s="2">
        <v>734.36410000000001</v>
      </c>
      <c r="D6106" s="2">
        <f>HYPERLINK("http://mcb-m6.bioreg.kyushu-u.ac.jp/M3/20110428/F51144/2168/1", 61.76)</f>
        <v>61.76</v>
      </c>
      <c r="E6106" s="2">
        <v>39.92</v>
      </c>
      <c r="F6106" s="2">
        <v>2</v>
      </c>
      <c r="G6106" s="2" t="s">
        <v>14</v>
      </c>
    </row>
    <row r="6107" spans="1:9" x14ac:dyDescent="0.2">
      <c r="A6107" s="2" t="s">
        <v>3920</v>
      </c>
      <c r="B6107" s="2" t="s">
        <v>1095</v>
      </c>
      <c r="C6107" s="2">
        <v>709.55769999999995</v>
      </c>
      <c r="D6107" s="2">
        <f>HYPERLINK("http://mcb-m6.bioreg.kyushu-u.ac.jp/M3/20110418/F50975/1841/1", 36.6)</f>
        <v>36.6</v>
      </c>
      <c r="E6107" s="2">
        <v>23.63</v>
      </c>
      <c r="F6107" s="2">
        <v>2</v>
      </c>
      <c r="G6107" s="2" t="s">
        <v>11</v>
      </c>
      <c r="I6107" s="2" t="s">
        <v>4914</v>
      </c>
    </row>
    <row r="6108" spans="1:9" x14ac:dyDescent="0.2">
      <c r="A6108" s="2" t="s">
        <v>5751</v>
      </c>
      <c r="B6108" s="2" t="s">
        <v>5367</v>
      </c>
      <c r="C6108" s="2">
        <v>516.08069999999998</v>
      </c>
      <c r="D6108" s="2">
        <f>HYPERLINK("http://mcb-m6.bioreg.kyushu-u.ac.jp/M3/20110418/F50974/1029/1", 37.93)</f>
        <v>37.93</v>
      </c>
      <c r="E6108" s="2">
        <v>14.43</v>
      </c>
      <c r="F6108" s="2">
        <v>2</v>
      </c>
      <c r="G6108" s="2" t="s">
        <v>11</v>
      </c>
    </row>
    <row r="6109" spans="1:9" x14ac:dyDescent="0.2">
      <c r="A6109" s="2" t="s">
        <v>3871</v>
      </c>
      <c r="B6109" s="2" t="s">
        <v>5289</v>
      </c>
      <c r="C6109" s="2">
        <v>597.89319999999998</v>
      </c>
      <c r="D6109" s="2">
        <f>HYPERLINK("http://mcb-m6.bioreg.kyushu-u.ac.jp/M3/20110318/F50612/1185/1", 48.2)</f>
        <v>48.2</v>
      </c>
      <c r="E6109" s="2">
        <v>20.34</v>
      </c>
      <c r="F6109" s="2">
        <v>2</v>
      </c>
      <c r="G6109" s="2" t="s">
        <v>10</v>
      </c>
    </row>
    <row r="6110" spans="1:9" x14ac:dyDescent="0.2">
      <c r="A6110" s="2" t="s">
        <v>3871</v>
      </c>
      <c r="B6110" s="2" t="s">
        <v>990</v>
      </c>
      <c r="C6110" s="2">
        <v>625.27670000000001</v>
      </c>
      <c r="D6110" s="2">
        <f>HYPERLINK("http://mcb-m6.bioreg.kyushu-u.ac.jp/M3/20110318/F50612/1254/1", 55.25)</f>
        <v>55.25</v>
      </c>
      <c r="E6110" s="2">
        <v>38.99</v>
      </c>
      <c r="F6110" s="2">
        <v>2</v>
      </c>
      <c r="G6110" s="2" t="s">
        <v>10</v>
      </c>
    </row>
    <row r="6111" spans="1:9" x14ac:dyDescent="0.2">
      <c r="A6111" s="2" t="s">
        <v>3871</v>
      </c>
      <c r="B6111" s="2" t="s">
        <v>990</v>
      </c>
      <c r="C6111" s="2">
        <v>625.42660000000001</v>
      </c>
      <c r="D6111" s="2">
        <f>HYPERLINK("http://mcb-m6.bioreg.kyushu-u.ac.jp/M3/20110418/F50977/1468/1", 46.41)</f>
        <v>46.41</v>
      </c>
      <c r="E6111" s="2">
        <v>30.47</v>
      </c>
      <c r="F6111" s="2">
        <v>2</v>
      </c>
      <c r="G6111" s="2" t="s">
        <v>11</v>
      </c>
    </row>
    <row r="6112" spans="1:9" x14ac:dyDescent="0.2">
      <c r="A6112" s="2" t="s">
        <v>3871</v>
      </c>
      <c r="B6112" s="2" t="s">
        <v>990</v>
      </c>
      <c r="C6112" s="2">
        <v>625.63170000000002</v>
      </c>
      <c r="D6112" s="2">
        <f>HYPERLINK("http://mcb-m6.bioreg.kyushu-u.ac.jp/M3/20110418/F50987/1819/1", 57.24)</f>
        <v>57.24</v>
      </c>
      <c r="E6112" s="2">
        <v>39.369999999999997</v>
      </c>
      <c r="F6112" s="2">
        <v>2</v>
      </c>
      <c r="G6112" s="2" t="s">
        <v>12</v>
      </c>
    </row>
    <row r="6113" spans="1:7" x14ac:dyDescent="0.2">
      <c r="A6113" s="2" t="s">
        <v>3871</v>
      </c>
      <c r="B6113" s="2" t="s">
        <v>990</v>
      </c>
      <c r="C6113" s="2">
        <v>625.05319999999995</v>
      </c>
      <c r="D6113" s="2">
        <f>HYPERLINK("http://mcb-m6.bioreg.kyushu-u.ac.jp/M3/20110418/F50987/1817/1", 65.59)</f>
        <v>65.59</v>
      </c>
      <c r="E6113" s="2">
        <v>52.66</v>
      </c>
      <c r="F6113" s="2">
        <v>2</v>
      </c>
      <c r="G6113" s="2" t="s">
        <v>12</v>
      </c>
    </row>
    <row r="6114" spans="1:7" x14ac:dyDescent="0.2">
      <c r="A6114" s="2" t="s">
        <v>3871</v>
      </c>
      <c r="B6114" s="2" t="s">
        <v>990</v>
      </c>
      <c r="C6114" s="2">
        <v>625.84010000000001</v>
      </c>
      <c r="D6114" s="2">
        <f>HYPERLINK("http://mcb-m6.bioreg.kyushu-u.ac.jp/M3/20110502/F51162/1405/1", 53.07)</f>
        <v>53.07</v>
      </c>
      <c r="E6114" s="2">
        <v>24.16</v>
      </c>
      <c r="F6114" s="2">
        <v>2</v>
      </c>
      <c r="G6114" s="2" t="s">
        <v>14</v>
      </c>
    </row>
    <row r="6115" spans="1:7" x14ac:dyDescent="0.2">
      <c r="A6115" s="2" t="s">
        <v>4871</v>
      </c>
      <c r="B6115" s="2" t="s">
        <v>3175</v>
      </c>
      <c r="C6115" s="2">
        <v>656.67219999999998</v>
      </c>
      <c r="D6115" s="2">
        <f>HYPERLINK("http://mcb-m6.bioreg.kyushu-u.ac.jp/M3/20110318/F50604/1359/1", 52.12)</f>
        <v>52.12</v>
      </c>
      <c r="E6115" s="2">
        <v>34.22</v>
      </c>
      <c r="F6115" s="2">
        <v>2</v>
      </c>
      <c r="G6115" s="2" t="s">
        <v>9</v>
      </c>
    </row>
    <row r="6116" spans="1:7" x14ac:dyDescent="0.2">
      <c r="A6116" s="2" t="s">
        <v>4871</v>
      </c>
      <c r="B6116" s="2" t="s">
        <v>3175</v>
      </c>
      <c r="C6116" s="2">
        <v>656.3066</v>
      </c>
      <c r="D6116" s="2">
        <f>HYPERLINK("http://mcb-m6.bioreg.kyushu-u.ac.jp/M3/20110318/F50613/1309/1", 41.75)</f>
        <v>41.75</v>
      </c>
      <c r="E6116" s="2">
        <v>27.82</v>
      </c>
      <c r="F6116" s="2">
        <v>2</v>
      </c>
      <c r="G6116" s="2" t="s">
        <v>10</v>
      </c>
    </row>
    <row r="6117" spans="1:7" x14ac:dyDescent="0.2">
      <c r="A6117" s="2" t="s">
        <v>4871</v>
      </c>
      <c r="B6117" s="2" t="s">
        <v>3175</v>
      </c>
      <c r="C6117" s="2">
        <v>656.23019999999997</v>
      </c>
      <c r="D6117" s="2">
        <f>HYPERLINK("http://mcb-m6.bioreg.kyushu-u.ac.jp/M3/20110318/F50612/1320/1", 51.96)</f>
        <v>51.96</v>
      </c>
      <c r="E6117" s="2">
        <v>29.88</v>
      </c>
      <c r="F6117" s="2">
        <v>2</v>
      </c>
      <c r="G6117" s="2" t="s">
        <v>10</v>
      </c>
    </row>
    <row r="6118" spans="1:7" x14ac:dyDescent="0.2">
      <c r="A6118" s="2" t="s">
        <v>4871</v>
      </c>
      <c r="B6118" s="2" t="s">
        <v>5321</v>
      </c>
      <c r="C6118" s="2">
        <v>773.29110000000003</v>
      </c>
      <c r="D6118" s="2">
        <f>HYPERLINK("http://mcb-m6.bioreg.kyushu-u.ac.jp/M3/20110318/F50612/1689/1", 58.47)</f>
        <v>58.47</v>
      </c>
      <c r="E6118" s="2">
        <v>34.44</v>
      </c>
      <c r="F6118" s="2">
        <v>2</v>
      </c>
      <c r="G6118" s="2" t="s">
        <v>10</v>
      </c>
    </row>
    <row r="6119" spans="1:7" x14ac:dyDescent="0.2">
      <c r="A6119" s="2" t="s">
        <v>4871</v>
      </c>
      <c r="B6119" s="2" t="s">
        <v>5448</v>
      </c>
      <c r="C6119" s="2">
        <v>708.85969999999998</v>
      </c>
      <c r="D6119" s="2">
        <f>HYPERLINK("http://mcb-m6.bioreg.kyushu-u.ac.jp/M3/20110418/F50987/1974/1", 50.16)</f>
        <v>50.16</v>
      </c>
      <c r="E6119" s="2">
        <v>30.57</v>
      </c>
      <c r="F6119" s="2">
        <v>2</v>
      </c>
      <c r="G6119" s="2" t="s">
        <v>12</v>
      </c>
    </row>
    <row r="6120" spans="1:7" x14ac:dyDescent="0.2">
      <c r="A6120" s="2" t="s">
        <v>3810</v>
      </c>
      <c r="B6120" s="2" t="s">
        <v>870</v>
      </c>
      <c r="C6120" s="2">
        <v>576.3691</v>
      </c>
      <c r="D6120" s="2">
        <f>HYPERLINK("http://mcb-m6.bioreg.kyushu-u.ac.jp/M3/20110318/F50604/1215/1", 55.87)</f>
        <v>55.87</v>
      </c>
      <c r="E6120" s="2">
        <v>16.600000000000001</v>
      </c>
      <c r="F6120" s="2">
        <v>2</v>
      </c>
      <c r="G6120" s="2" t="s">
        <v>9</v>
      </c>
    </row>
    <row r="6121" spans="1:7" x14ac:dyDescent="0.2">
      <c r="A6121" s="2" t="s">
        <v>3810</v>
      </c>
      <c r="B6121" s="2" t="s">
        <v>1343</v>
      </c>
      <c r="C6121" s="2">
        <v>757.98220000000003</v>
      </c>
      <c r="D6121" s="2">
        <f>HYPERLINK("http://mcb-m6.bioreg.kyushu-u.ac.jp/M3/20110318/F50604/1600/2", 84.26)</f>
        <v>84.26</v>
      </c>
      <c r="E6121" s="2">
        <v>56.33</v>
      </c>
      <c r="F6121" s="2">
        <v>2</v>
      </c>
      <c r="G6121" s="2" t="s">
        <v>9</v>
      </c>
    </row>
    <row r="6122" spans="1:7" x14ac:dyDescent="0.2">
      <c r="A6122" s="2" t="s">
        <v>3810</v>
      </c>
      <c r="B6122" s="2" t="s">
        <v>1343</v>
      </c>
      <c r="C6122" s="2">
        <v>1513.692</v>
      </c>
      <c r="D6122" s="2">
        <f>HYPERLINK("http://mcb-m6.bioreg.kyushu-u.ac.jp/M3/20110318/F50612/1606/2", 49.39)</f>
        <v>49.39</v>
      </c>
      <c r="E6122" s="2">
        <v>35.93</v>
      </c>
      <c r="F6122" s="2">
        <v>1</v>
      </c>
      <c r="G6122" s="2" t="s">
        <v>10</v>
      </c>
    </row>
    <row r="6123" spans="1:7" x14ac:dyDescent="0.2">
      <c r="A6123" s="2" t="s">
        <v>3810</v>
      </c>
      <c r="B6123" s="2" t="s">
        <v>870</v>
      </c>
      <c r="C6123" s="2">
        <v>1151.4000000000001</v>
      </c>
      <c r="D6123" s="2">
        <f>HYPERLINK("http://mcb-m6.bioreg.kyushu-u.ac.jp/M3/20110318/F50612/1130/1", 50.15)</f>
        <v>50.15</v>
      </c>
      <c r="E6123" s="2">
        <v>12.93</v>
      </c>
      <c r="F6123" s="2">
        <v>1</v>
      </c>
      <c r="G6123" s="2" t="s">
        <v>10</v>
      </c>
    </row>
    <row r="6124" spans="1:7" x14ac:dyDescent="0.2">
      <c r="A6124" s="2" t="s">
        <v>3810</v>
      </c>
      <c r="B6124" s="2" t="s">
        <v>870</v>
      </c>
      <c r="C6124" s="2">
        <v>576.24659999999994</v>
      </c>
      <c r="D6124" s="2">
        <f>HYPERLINK("http://mcb-m6.bioreg.kyushu-u.ac.jp/M3/20110318/F50612/1131/1", 60.66)</f>
        <v>60.66</v>
      </c>
      <c r="E6124" s="2">
        <v>17.2</v>
      </c>
      <c r="F6124" s="2">
        <v>2</v>
      </c>
      <c r="G6124" s="2" t="s">
        <v>10</v>
      </c>
    </row>
    <row r="6125" spans="1:7" x14ac:dyDescent="0.2">
      <c r="A6125" s="2" t="s">
        <v>3810</v>
      </c>
      <c r="B6125" s="2" t="s">
        <v>1343</v>
      </c>
      <c r="C6125" s="2">
        <v>757.90170000000001</v>
      </c>
      <c r="D6125" s="2">
        <f>HYPERLINK("http://mcb-m6.bioreg.kyushu-u.ac.jp/M3/20110318/F50597/1680/2", 86.83)</f>
        <v>86.83</v>
      </c>
      <c r="E6125" s="2">
        <v>55.13</v>
      </c>
      <c r="F6125" s="2">
        <v>2</v>
      </c>
      <c r="G6125" s="2" t="s">
        <v>10</v>
      </c>
    </row>
    <row r="6126" spans="1:7" x14ac:dyDescent="0.2">
      <c r="A6126" s="2" t="s">
        <v>3810</v>
      </c>
      <c r="B6126" s="2" t="s">
        <v>1343</v>
      </c>
      <c r="C6126" s="2">
        <v>757.17110000000002</v>
      </c>
      <c r="D6126" s="2">
        <f>HYPERLINK("http://mcb-m6.bioreg.kyushu-u.ac.jp/M3/20110418/F50974/2154/2", 35.35)</f>
        <v>35.35</v>
      </c>
      <c r="E6126" s="2">
        <v>20.92</v>
      </c>
      <c r="F6126" s="2">
        <v>2</v>
      </c>
      <c r="G6126" s="2" t="s">
        <v>11</v>
      </c>
    </row>
    <row r="6127" spans="1:7" x14ac:dyDescent="0.2">
      <c r="A6127" s="2" t="s">
        <v>3810</v>
      </c>
      <c r="B6127" s="2" t="s">
        <v>870</v>
      </c>
      <c r="C6127" s="2">
        <v>1151.403</v>
      </c>
      <c r="D6127" s="2">
        <f>HYPERLINK("http://mcb-m6.bioreg.kyushu-u.ac.jp/M3/20110418/F50977/1229/1", 53.7)</f>
        <v>53.7</v>
      </c>
      <c r="E6127" s="2">
        <v>16.63</v>
      </c>
      <c r="F6127" s="2">
        <v>1</v>
      </c>
      <c r="G6127" s="2" t="s">
        <v>11</v>
      </c>
    </row>
    <row r="6128" spans="1:7" x14ac:dyDescent="0.2">
      <c r="A6128" s="2" t="s">
        <v>3810</v>
      </c>
      <c r="B6128" s="2" t="s">
        <v>1343</v>
      </c>
      <c r="C6128" s="2">
        <v>1513.6980000000001</v>
      </c>
      <c r="D6128" s="2">
        <f>HYPERLINK("http://mcb-m6.bioreg.kyushu-u.ac.jp/M3/20110418/F50977/2195/2", 75.07)</f>
        <v>75.069999999999993</v>
      </c>
      <c r="E6128" s="2">
        <v>59.08</v>
      </c>
      <c r="F6128" s="2">
        <v>1</v>
      </c>
      <c r="G6128" s="2" t="s">
        <v>11</v>
      </c>
    </row>
    <row r="6129" spans="1:7" x14ac:dyDescent="0.2">
      <c r="A6129" s="2" t="s">
        <v>3810</v>
      </c>
      <c r="B6129" s="2" t="s">
        <v>870</v>
      </c>
      <c r="C6129" s="2">
        <v>1151.472</v>
      </c>
      <c r="D6129" s="2">
        <f>HYPERLINK("http://mcb-m6.bioreg.kyushu-u.ac.jp/M3/20110418/F50987/1712/1", 50.56)</f>
        <v>50.56</v>
      </c>
      <c r="E6129" s="2">
        <v>10.199999999999999</v>
      </c>
      <c r="F6129" s="2">
        <v>1</v>
      </c>
      <c r="G6129" s="2" t="s">
        <v>12</v>
      </c>
    </row>
    <row r="6130" spans="1:7" x14ac:dyDescent="0.2">
      <c r="A6130" s="2" t="s">
        <v>3810</v>
      </c>
      <c r="B6130" s="2" t="s">
        <v>870</v>
      </c>
      <c r="C6130" s="2">
        <v>576.64260000000002</v>
      </c>
      <c r="D6130" s="2">
        <f>HYPERLINK("http://mcb-m6.bioreg.kyushu-u.ac.jp/M3/20110418/F50987/1713/1", 62.74)</f>
        <v>62.74</v>
      </c>
      <c r="E6130" s="2">
        <v>26.09</v>
      </c>
      <c r="F6130" s="2">
        <v>2</v>
      </c>
      <c r="G6130" s="2" t="s">
        <v>12</v>
      </c>
    </row>
    <row r="6131" spans="1:7" x14ac:dyDescent="0.2">
      <c r="A6131" s="2" t="s">
        <v>3810</v>
      </c>
      <c r="B6131" s="2" t="s">
        <v>1343</v>
      </c>
      <c r="C6131" s="2">
        <v>757.24959999999999</v>
      </c>
      <c r="D6131" s="2">
        <f>HYPERLINK("http://mcb-m6.bioreg.kyushu-u.ac.jp/M3/20110418/F50987/2165/2", 101.85)</f>
        <v>101.85</v>
      </c>
      <c r="E6131" s="2">
        <v>65.599999999999994</v>
      </c>
      <c r="F6131" s="2">
        <v>2</v>
      </c>
      <c r="G6131" s="2" t="s">
        <v>12</v>
      </c>
    </row>
    <row r="6132" spans="1:7" x14ac:dyDescent="0.2">
      <c r="A6132" s="2" t="s">
        <v>3810</v>
      </c>
      <c r="B6132" s="2" t="s">
        <v>1343</v>
      </c>
      <c r="C6132" s="2">
        <v>757.53610000000003</v>
      </c>
      <c r="D6132" s="2">
        <f>HYPERLINK("http://mcb-m6.bioreg.kyushu-u.ac.jp/M3/20110502/F51164/1821/2", 77.2)</f>
        <v>77.2</v>
      </c>
      <c r="E6132" s="2">
        <v>52.2</v>
      </c>
      <c r="F6132" s="2">
        <v>2</v>
      </c>
      <c r="G6132" s="2" t="s">
        <v>13</v>
      </c>
    </row>
    <row r="6133" spans="1:7" x14ac:dyDescent="0.2">
      <c r="A6133" s="2" t="s">
        <v>3810</v>
      </c>
      <c r="B6133" s="2" t="s">
        <v>1343</v>
      </c>
      <c r="C6133" s="2">
        <v>757.32709999999997</v>
      </c>
      <c r="D6133" s="2">
        <f>HYPERLINK("http://mcb-m6.bioreg.kyushu-u.ac.jp/M3/20110429/F51153/2094/2", 78.73)</f>
        <v>78.73</v>
      </c>
      <c r="E6133" s="2">
        <v>48.97</v>
      </c>
      <c r="F6133" s="2">
        <v>2</v>
      </c>
      <c r="G6133" s="2" t="s">
        <v>13</v>
      </c>
    </row>
    <row r="6134" spans="1:7" x14ac:dyDescent="0.2">
      <c r="A6134" s="2" t="s">
        <v>3810</v>
      </c>
      <c r="B6134" s="2" t="s">
        <v>1343</v>
      </c>
      <c r="C6134" s="2">
        <v>757.75210000000004</v>
      </c>
      <c r="D6134" s="2">
        <f>HYPERLINK("http://mcb-m6.bioreg.kyushu-u.ac.jp/M3/20110429/F51154/2107/2", 80.38)</f>
        <v>80.38</v>
      </c>
      <c r="E6134" s="2">
        <v>55.26</v>
      </c>
      <c r="F6134" s="2">
        <v>2</v>
      </c>
      <c r="G6134" s="2" t="s">
        <v>13</v>
      </c>
    </row>
    <row r="6135" spans="1:7" x14ac:dyDescent="0.2">
      <c r="A6135" s="2" t="s">
        <v>3810</v>
      </c>
      <c r="B6135" s="2" t="s">
        <v>1343</v>
      </c>
      <c r="C6135" s="2">
        <v>757.48320000000001</v>
      </c>
      <c r="D6135" s="2">
        <f>HYPERLINK("http://mcb-m6.bioreg.kyushu-u.ac.jp/M3/20110428/F51143/2165/2", 46.36)</f>
        <v>46.36</v>
      </c>
      <c r="E6135" s="2">
        <v>24.59</v>
      </c>
      <c r="F6135" s="2">
        <v>2</v>
      </c>
      <c r="G6135" s="2" t="s">
        <v>14</v>
      </c>
    </row>
    <row r="6136" spans="1:7" x14ac:dyDescent="0.2">
      <c r="A6136" s="2" t="s">
        <v>3810</v>
      </c>
      <c r="B6136" s="2" t="s">
        <v>870</v>
      </c>
      <c r="C6136" s="2">
        <v>576.87620000000004</v>
      </c>
      <c r="D6136" s="2">
        <f>HYPERLINK("http://mcb-m6.bioreg.kyushu-u.ac.jp/M3/20110502/F51162/1232/1", 54.51)</f>
        <v>54.51</v>
      </c>
      <c r="E6136" s="2">
        <v>28.2</v>
      </c>
      <c r="F6136" s="2">
        <v>2</v>
      </c>
      <c r="G6136" s="2" t="s">
        <v>14</v>
      </c>
    </row>
    <row r="6137" spans="1:7" x14ac:dyDescent="0.2">
      <c r="A6137" s="2" t="s">
        <v>3810</v>
      </c>
      <c r="B6137" s="2" t="s">
        <v>1343</v>
      </c>
      <c r="C6137" s="2">
        <v>757.43409999999994</v>
      </c>
      <c r="D6137" s="2">
        <f>HYPERLINK("http://mcb-m6.bioreg.kyushu-u.ac.jp/M3/20110502/F51162/1996/2", 61.33)</f>
        <v>61.33</v>
      </c>
      <c r="E6137" s="2">
        <v>34.74</v>
      </c>
      <c r="F6137" s="2">
        <v>2</v>
      </c>
      <c r="G6137" s="2" t="s">
        <v>14</v>
      </c>
    </row>
    <row r="6138" spans="1:7" x14ac:dyDescent="0.2">
      <c r="A6138" s="2" t="s">
        <v>3378</v>
      </c>
      <c r="B6138" s="2" t="s">
        <v>5021</v>
      </c>
      <c r="C6138" s="2">
        <v>520.5231</v>
      </c>
      <c r="D6138" s="2">
        <f>HYPERLINK("http://mcb-m6.bioreg.kyushu-u.ac.jp/M3/20110318/F50604/1125/1", 39.85)</f>
        <v>39.85</v>
      </c>
      <c r="E6138" s="2">
        <v>25.29</v>
      </c>
      <c r="F6138" s="2">
        <v>2</v>
      </c>
      <c r="G6138" s="2" t="s">
        <v>9</v>
      </c>
    </row>
    <row r="6139" spans="1:7" x14ac:dyDescent="0.2">
      <c r="A6139" s="2" t="s">
        <v>3378</v>
      </c>
      <c r="B6139" s="2" t="s">
        <v>1000</v>
      </c>
      <c r="C6139" s="2">
        <v>770.53060000000005</v>
      </c>
      <c r="D6139" s="2">
        <f>HYPERLINK("http://mcb-m6.bioreg.kyushu-u.ac.jp/M3/20110318/F50604/1653/1", 75.38)</f>
        <v>75.38</v>
      </c>
      <c r="E6139" s="2">
        <v>55.4</v>
      </c>
      <c r="F6139" s="2">
        <v>2</v>
      </c>
      <c r="G6139" s="2" t="s">
        <v>9</v>
      </c>
    </row>
    <row r="6140" spans="1:7" x14ac:dyDescent="0.2">
      <c r="A6140" s="2" t="s">
        <v>3378</v>
      </c>
      <c r="B6140" s="2" t="s">
        <v>170</v>
      </c>
      <c r="C6140" s="2">
        <v>621.88509999999997</v>
      </c>
      <c r="D6140" s="2">
        <f>HYPERLINK("http://mcb-m6.bioreg.kyushu-u.ac.jp/M3/20110318/F50598/1291/1", 38.21)</f>
        <v>38.21</v>
      </c>
      <c r="E6140" s="2">
        <v>20.059999999999999</v>
      </c>
      <c r="F6140" s="2">
        <v>2</v>
      </c>
      <c r="G6140" s="2" t="s">
        <v>10</v>
      </c>
    </row>
    <row r="6141" spans="1:7" x14ac:dyDescent="0.2">
      <c r="A6141" s="2" t="s">
        <v>3378</v>
      </c>
      <c r="B6141" s="2" t="s">
        <v>170</v>
      </c>
      <c r="C6141" s="2">
        <v>621.68820000000005</v>
      </c>
      <c r="D6141" s="2">
        <f>HYPERLINK("http://mcb-m6.bioreg.kyushu-u.ac.jp/M3/20110318/F50612/1237/1", 65.35)</f>
        <v>65.349999999999994</v>
      </c>
      <c r="E6141" s="2">
        <v>40.26</v>
      </c>
      <c r="F6141" s="2">
        <v>2</v>
      </c>
      <c r="G6141" s="2" t="s">
        <v>10</v>
      </c>
    </row>
    <row r="6142" spans="1:7" x14ac:dyDescent="0.2">
      <c r="A6142" s="2" t="s">
        <v>3378</v>
      </c>
      <c r="B6142" s="2" t="s">
        <v>1000</v>
      </c>
      <c r="C6142" s="2">
        <v>770.29970000000003</v>
      </c>
      <c r="D6142" s="2">
        <f>HYPERLINK("http://mcb-m6.bioreg.kyushu-u.ac.jp/M3/20110318/F50612/1678/1", 73.56)</f>
        <v>73.56</v>
      </c>
      <c r="E6142" s="2">
        <v>53.64</v>
      </c>
      <c r="F6142" s="2">
        <v>2</v>
      </c>
      <c r="G6142" s="2" t="s">
        <v>10</v>
      </c>
    </row>
    <row r="6143" spans="1:7" x14ac:dyDescent="0.2">
      <c r="A6143" s="2" t="s">
        <v>3378</v>
      </c>
      <c r="B6143" s="2" t="s">
        <v>1000</v>
      </c>
      <c r="C6143" s="2">
        <v>770.85860000000002</v>
      </c>
      <c r="D6143" s="2">
        <f>HYPERLINK("http://mcb-m6.bioreg.kyushu-u.ac.jp/M3/20110418/F50977/2290/1", 62.22)</f>
        <v>62.22</v>
      </c>
      <c r="E6143" s="2">
        <v>45.19</v>
      </c>
      <c r="F6143" s="2">
        <v>2</v>
      </c>
      <c r="G6143" s="2" t="s">
        <v>11</v>
      </c>
    </row>
    <row r="6144" spans="1:7" x14ac:dyDescent="0.2">
      <c r="A6144" s="2" t="s">
        <v>3378</v>
      </c>
      <c r="B6144" s="2" t="s">
        <v>1000</v>
      </c>
      <c r="C6144" s="2">
        <v>770.35720000000003</v>
      </c>
      <c r="D6144" s="2">
        <f>HYPERLINK("http://mcb-m6.bioreg.kyushu-u.ac.jp/M3/20110418/F50977/2283/1", 75)</f>
        <v>75</v>
      </c>
      <c r="E6144" s="2">
        <v>56.28</v>
      </c>
      <c r="F6144" s="2">
        <v>2</v>
      </c>
      <c r="G6144" s="2" t="s">
        <v>11</v>
      </c>
    </row>
    <row r="6145" spans="1:8" x14ac:dyDescent="0.2">
      <c r="A6145" s="2" t="s">
        <v>3378</v>
      </c>
      <c r="B6145" s="2" t="s">
        <v>5021</v>
      </c>
      <c r="C6145" s="2">
        <v>1039.3389999999999</v>
      </c>
      <c r="D6145" s="2">
        <f>HYPERLINK("http://mcb-m6.bioreg.kyushu-u.ac.jp/M3/20110418/F50987/1608/1", 39.14)</f>
        <v>39.14</v>
      </c>
      <c r="E6145" s="2">
        <v>11.92</v>
      </c>
      <c r="F6145" s="2">
        <v>1</v>
      </c>
      <c r="G6145" s="2" t="s">
        <v>12</v>
      </c>
    </row>
    <row r="6146" spans="1:8" x14ac:dyDescent="0.2">
      <c r="A6146" s="2" t="s">
        <v>3378</v>
      </c>
      <c r="B6146" s="2" t="s">
        <v>170</v>
      </c>
      <c r="C6146" s="2">
        <v>1242.471</v>
      </c>
      <c r="D6146" s="2">
        <f>HYPERLINK("http://mcb-m6.bioreg.kyushu-u.ac.jp/M3/20110418/F50987/1806/1", 44.37)</f>
        <v>44.37</v>
      </c>
      <c r="E6146" s="2">
        <v>36.03</v>
      </c>
      <c r="F6146" s="2">
        <v>1</v>
      </c>
      <c r="G6146" s="2" t="s">
        <v>12</v>
      </c>
    </row>
    <row r="6147" spans="1:8" x14ac:dyDescent="0.2">
      <c r="A6147" s="2" t="s">
        <v>3378</v>
      </c>
      <c r="B6147" s="2" t="s">
        <v>5021</v>
      </c>
      <c r="C6147" s="2">
        <v>520.73419999999999</v>
      </c>
      <c r="D6147" s="2">
        <f>HYPERLINK("http://mcb-m6.bioreg.kyushu-u.ac.jp/M3/20110418/F50987/1613/1", 48.55)</f>
        <v>48.55</v>
      </c>
      <c r="E6147" s="2">
        <v>30.4</v>
      </c>
      <c r="F6147" s="2">
        <v>2</v>
      </c>
      <c r="G6147" s="2" t="s">
        <v>12</v>
      </c>
    </row>
    <row r="6148" spans="1:8" x14ac:dyDescent="0.2">
      <c r="A6148" s="2" t="s">
        <v>3378</v>
      </c>
      <c r="B6148" s="2" t="s">
        <v>170</v>
      </c>
      <c r="C6148" s="2">
        <v>621.83420000000001</v>
      </c>
      <c r="D6148" s="2">
        <f>HYPERLINK("http://mcb-m6.bioreg.kyushu-u.ac.jp/M3/20110418/F50987/1807/1", 60.99)</f>
        <v>60.99</v>
      </c>
      <c r="E6148" s="2">
        <v>31.44</v>
      </c>
      <c r="F6148" s="2">
        <v>2</v>
      </c>
      <c r="G6148" s="2" t="s">
        <v>12</v>
      </c>
    </row>
    <row r="6149" spans="1:8" x14ac:dyDescent="0.2">
      <c r="A6149" s="2" t="s">
        <v>3378</v>
      </c>
      <c r="B6149" s="2" t="s">
        <v>1000</v>
      </c>
      <c r="C6149" s="2">
        <v>770.28719999999998</v>
      </c>
      <c r="D6149" s="2">
        <f>HYPERLINK("http://mcb-m6.bioreg.kyushu-u.ac.jp/M3/20110418/F50987/2211/1", 91.65)</f>
        <v>91.65</v>
      </c>
      <c r="E6149" s="2">
        <v>74.13</v>
      </c>
      <c r="F6149" s="2">
        <v>2</v>
      </c>
      <c r="G6149" s="2" t="s">
        <v>12</v>
      </c>
    </row>
    <row r="6150" spans="1:8" x14ac:dyDescent="0.2">
      <c r="A6150" s="2" t="s">
        <v>3378</v>
      </c>
      <c r="B6150" s="2" t="s">
        <v>170</v>
      </c>
      <c r="C6150" s="2">
        <v>621.86410000000001</v>
      </c>
      <c r="D6150" s="2">
        <f>HYPERLINK("http://mcb-m6.bioreg.kyushu-u.ac.jp/M3/20110429/F51153/1273/1", 42.61)</f>
        <v>42.61</v>
      </c>
      <c r="E6150" s="2">
        <v>20.93</v>
      </c>
      <c r="F6150" s="2">
        <v>2</v>
      </c>
      <c r="G6150" s="2" t="s">
        <v>13</v>
      </c>
    </row>
    <row r="6151" spans="1:8" x14ac:dyDescent="0.2">
      <c r="A6151" s="2" t="s">
        <v>3378</v>
      </c>
      <c r="B6151" s="2" t="s">
        <v>170</v>
      </c>
      <c r="C6151" s="2">
        <v>621.9742</v>
      </c>
      <c r="D6151" s="2">
        <f>HYPERLINK("http://mcb-m6.bioreg.kyushu-u.ac.jp/M3/20110502/F51164/1106/1", 64.38)</f>
        <v>64.38</v>
      </c>
      <c r="E6151" s="2">
        <v>43.08</v>
      </c>
      <c r="F6151" s="2">
        <v>2</v>
      </c>
      <c r="G6151" s="2" t="s">
        <v>13</v>
      </c>
    </row>
    <row r="6152" spans="1:8" x14ac:dyDescent="0.2">
      <c r="A6152" s="2" t="s">
        <v>3378</v>
      </c>
      <c r="B6152" s="2" t="s">
        <v>170</v>
      </c>
      <c r="C6152" s="2">
        <v>621.95820000000003</v>
      </c>
      <c r="D6152" s="2">
        <f>HYPERLINK("http://mcb-m6.bioreg.kyushu-u.ac.jp/M3/20110502/F51162/1394/1", 69.99)</f>
        <v>69.989999999999995</v>
      </c>
      <c r="E6152" s="2">
        <v>38.770000000000003</v>
      </c>
      <c r="F6152" s="2">
        <v>2</v>
      </c>
      <c r="G6152" s="2" t="s">
        <v>14</v>
      </c>
    </row>
    <row r="6153" spans="1:8" x14ac:dyDescent="0.2">
      <c r="A6153" s="2" t="s">
        <v>3268</v>
      </c>
      <c r="B6153" s="2" t="s">
        <v>1831</v>
      </c>
      <c r="C6153" s="2">
        <v>571.55520000000001</v>
      </c>
      <c r="D6153" s="2">
        <f>HYPERLINK("http://mcb-m6.bioreg.kyushu-u.ac.jp/M3/20110318/F50604/1207/1", 49.87)</f>
        <v>49.87</v>
      </c>
      <c r="E6153" s="2">
        <v>31.35</v>
      </c>
      <c r="F6153" s="2">
        <v>2</v>
      </c>
      <c r="G6153" s="2" t="s">
        <v>9</v>
      </c>
    </row>
    <row r="6154" spans="1:8" x14ac:dyDescent="0.2">
      <c r="A6154" s="2" t="s">
        <v>3268</v>
      </c>
      <c r="B6154" s="2" t="s">
        <v>513</v>
      </c>
      <c r="C6154" s="2">
        <v>595.08720000000005</v>
      </c>
      <c r="D6154" s="2">
        <f>HYPERLINK("http://mcb-m6.bioreg.kyushu-u.ac.jp/M3/20110318/F50612/1999/1", 35.14)</f>
        <v>35.14</v>
      </c>
      <c r="E6154" s="2">
        <v>23.75</v>
      </c>
      <c r="F6154" s="2">
        <v>3</v>
      </c>
      <c r="G6154" s="2" t="s">
        <v>10</v>
      </c>
    </row>
    <row r="6155" spans="1:8" x14ac:dyDescent="0.2">
      <c r="A6155" s="2" t="s">
        <v>3268</v>
      </c>
      <c r="B6155" s="2" t="s">
        <v>48</v>
      </c>
      <c r="C6155" s="2">
        <v>1160.3979999999999</v>
      </c>
      <c r="D6155" s="2">
        <f>HYPERLINK("http://mcb-m6.bioreg.kyushu-u.ac.jp/M3/20110318/F50612/1140/1", 35.7)</f>
        <v>35.700000000000003</v>
      </c>
      <c r="E6155" s="2">
        <v>23.32</v>
      </c>
      <c r="F6155" s="2">
        <v>1</v>
      </c>
      <c r="G6155" s="2" t="s">
        <v>10</v>
      </c>
    </row>
    <row r="6156" spans="1:8" x14ac:dyDescent="0.2">
      <c r="A6156" s="2" t="s">
        <v>3268</v>
      </c>
      <c r="B6156" s="2" t="s">
        <v>5245</v>
      </c>
      <c r="C6156" s="2">
        <v>648.73419999999999</v>
      </c>
      <c r="D6156" s="2">
        <f>HYPERLINK("http://mcb-m6.bioreg.kyushu-u.ac.jp/M3/20110318/F50612/1300/1", 40.44)</f>
        <v>40.44</v>
      </c>
      <c r="E6156" s="2">
        <v>11.71</v>
      </c>
      <c r="F6156" s="2">
        <v>2</v>
      </c>
      <c r="G6156" s="2" t="s">
        <v>10</v>
      </c>
      <c r="H6156" s="2" t="s">
        <v>5893</v>
      </c>
    </row>
    <row r="6157" spans="1:8" x14ac:dyDescent="0.2">
      <c r="A6157" s="2" t="s">
        <v>3268</v>
      </c>
      <c r="B6157" s="2" t="s">
        <v>5266</v>
      </c>
      <c r="C6157" s="2">
        <v>476.4171</v>
      </c>
      <c r="D6157" s="2">
        <f>HYPERLINK("http://mcb-m6.bioreg.kyushu-u.ac.jp/M3/20110318/F50612/925/1", 44.62)</f>
        <v>44.62</v>
      </c>
      <c r="E6157" s="2">
        <v>18.989999999999998</v>
      </c>
      <c r="F6157" s="2">
        <v>2</v>
      </c>
      <c r="G6157" s="2" t="s">
        <v>10</v>
      </c>
    </row>
    <row r="6158" spans="1:8" x14ac:dyDescent="0.2">
      <c r="A6158" s="2" t="s">
        <v>3268</v>
      </c>
      <c r="B6158" s="2" t="s">
        <v>922</v>
      </c>
      <c r="C6158" s="2">
        <v>905.37819999999999</v>
      </c>
      <c r="D6158" s="2">
        <f>HYPERLINK("http://mcb-m6.bioreg.kyushu-u.ac.jp/M3/20110318/F50612/2032/1", 50.31)</f>
        <v>50.31</v>
      </c>
      <c r="E6158" s="2">
        <v>35.9</v>
      </c>
      <c r="F6158" s="2">
        <v>2</v>
      </c>
      <c r="G6158" s="2" t="s">
        <v>10</v>
      </c>
    </row>
    <row r="6159" spans="1:8" x14ac:dyDescent="0.2">
      <c r="A6159" s="2" t="s">
        <v>3268</v>
      </c>
      <c r="B6159" s="2" t="s">
        <v>5245</v>
      </c>
      <c r="C6159" s="2">
        <v>641.2441</v>
      </c>
      <c r="D6159" s="2">
        <f>HYPERLINK("http://mcb-m6.bioreg.kyushu-u.ac.jp/M3/20110318/F50612/1289/1", 55.72)</f>
        <v>55.72</v>
      </c>
      <c r="E6159" s="2">
        <v>39.15</v>
      </c>
      <c r="F6159" s="2">
        <v>2</v>
      </c>
      <c r="G6159" s="2" t="s">
        <v>10</v>
      </c>
      <c r="H6159" s="2" t="s">
        <v>5892</v>
      </c>
    </row>
    <row r="6160" spans="1:8" x14ac:dyDescent="0.2">
      <c r="A6160" s="2" t="s">
        <v>3268</v>
      </c>
      <c r="B6160" s="2" t="s">
        <v>1831</v>
      </c>
      <c r="C6160" s="2">
        <v>571.39670000000001</v>
      </c>
      <c r="D6160" s="2">
        <f>HYPERLINK("http://mcb-m6.bioreg.kyushu-u.ac.jp/M3/20110318/F50612/1121/1", 57.04)</f>
        <v>57.04</v>
      </c>
      <c r="E6160" s="2">
        <v>37.43</v>
      </c>
      <c r="F6160" s="2">
        <v>2</v>
      </c>
      <c r="G6160" s="2" t="s">
        <v>10</v>
      </c>
    </row>
    <row r="6161" spans="1:8" x14ac:dyDescent="0.2">
      <c r="A6161" s="2" t="s">
        <v>3268</v>
      </c>
      <c r="B6161" s="2" t="s">
        <v>48</v>
      </c>
      <c r="C6161" s="2">
        <v>580.83759999999995</v>
      </c>
      <c r="D6161" s="2">
        <f>HYPERLINK("http://mcb-m6.bioreg.kyushu-u.ac.jp/M3/20110318/F50612/1141/1", 69.9)</f>
        <v>69.900000000000006</v>
      </c>
      <c r="E6161" s="2">
        <v>39.119999999999997</v>
      </c>
      <c r="F6161" s="2">
        <v>2</v>
      </c>
      <c r="G6161" s="2" t="s">
        <v>10</v>
      </c>
    </row>
    <row r="6162" spans="1:8" x14ac:dyDescent="0.2">
      <c r="A6162" s="2" t="s">
        <v>3268</v>
      </c>
      <c r="B6162" s="2" t="s">
        <v>1430</v>
      </c>
      <c r="C6162" s="2">
        <v>683.55269999999996</v>
      </c>
      <c r="D6162" s="2">
        <f>HYPERLINK("http://mcb-m6.bioreg.kyushu-u.ac.jp/M3/20110318/F50612/1374/2", 77.02)</f>
        <v>77.02</v>
      </c>
      <c r="E6162" s="2">
        <v>65.27</v>
      </c>
      <c r="F6162" s="2">
        <v>2</v>
      </c>
      <c r="G6162" s="2" t="s">
        <v>10</v>
      </c>
      <c r="H6162" s="2" t="s">
        <v>4927</v>
      </c>
    </row>
    <row r="6163" spans="1:8" x14ac:dyDescent="0.2">
      <c r="A6163" s="2" t="s">
        <v>3268</v>
      </c>
      <c r="B6163" s="2" t="s">
        <v>48</v>
      </c>
      <c r="C6163" s="2">
        <v>1160.5160000000001</v>
      </c>
      <c r="D6163" s="2">
        <f>HYPERLINK("http://mcb-m6.bioreg.kyushu-u.ac.jp/M3/20110418/F50977/1251/1", 35.54)</f>
        <v>35.54</v>
      </c>
      <c r="E6163" s="2">
        <v>24.96</v>
      </c>
      <c r="F6163" s="2">
        <v>1</v>
      </c>
      <c r="G6163" s="2" t="s">
        <v>11</v>
      </c>
    </row>
    <row r="6164" spans="1:8" x14ac:dyDescent="0.2">
      <c r="A6164" s="2" t="s">
        <v>3268</v>
      </c>
      <c r="B6164" s="2" t="s">
        <v>5266</v>
      </c>
      <c r="C6164" s="2">
        <v>475.74860000000001</v>
      </c>
      <c r="D6164" s="2">
        <f>HYPERLINK("http://mcb-m6.bioreg.kyushu-u.ac.jp/M3/20110418/F50977/810/1", 35.73)</f>
        <v>35.729999999999997</v>
      </c>
      <c r="E6164" s="2">
        <v>8.74</v>
      </c>
      <c r="F6164" s="2">
        <v>2</v>
      </c>
      <c r="G6164" s="2" t="s">
        <v>11</v>
      </c>
    </row>
    <row r="6165" spans="1:8" x14ac:dyDescent="0.2">
      <c r="A6165" s="2" t="s">
        <v>3268</v>
      </c>
      <c r="B6165" s="2" t="s">
        <v>1430</v>
      </c>
      <c r="C6165" s="2">
        <v>675.76419999999996</v>
      </c>
      <c r="D6165" s="2">
        <f>HYPERLINK("http://mcb-m6.bioreg.kyushu-u.ac.jp/M3/20110418/F50977/1688/2", 59.85)</f>
        <v>59.85</v>
      </c>
      <c r="E6165" s="2">
        <v>48</v>
      </c>
      <c r="F6165" s="2">
        <v>2</v>
      </c>
      <c r="G6165" s="2" t="s">
        <v>11</v>
      </c>
    </row>
    <row r="6166" spans="1:8" x14ac:dyDescent="0.2">
      <c r="A6166" s="2" t="s">
        <v>3268</v>
      </c>
      <c r="B6166" s="2" t="s">
        <v>1430</v>
      </c>
      <c r="C6166" s="2">
        <v>675.24469999999997</v>
      </c>
      <c r="D6166" s="2">
        <f>HYPERLINK("http://mcb-m6.bioreg.kyushu-u.ac.jp/M3/20110418/F50977/1683/2", 66.6)</f>
        <v>66.599999999999994</v>
      </c>
      <c r="E6166" s="2">
        <v>54.54</v>
      </c>
      <c r="F6166" s="2">
        <v>2</v>
      </c>
      <c r="G6166" s="2" t="s">
        <v>11</v>
      </c>
    </row>
    <row r="6167" spans="1:8" x14ac:dyDescent="0.2">
      <c r="A6167" s="2" t="s">
        <v>3268</v>
      </c>
      <c r="B6167" s="2" t="s">
        <v>1430</v>
      </c>
      <c r="C6167" s="2">
        <v>683.70510000000002</v>
      </c>
      <c r="D6167" s="2">
        <f>HYPERLINK("http://mcb-m6.bioreg.kyushu-u.ac.jp/M3/20110418/F50977/1744/2", 87.33)</f>
        <v>87.33</v>
      </c>
      <c r="E6167" s="2">
        <v>72.06</v>
      </c>
      <c r="F6167" s="2">
        <v>2</v>
      </c>
      <c r="G6167" s="2" t="s">
        <v>11</v>
      </c>
      <c r="H6167" s="2" t="s">
        <v>4927</v>
      </c>
    </row>
    <row r="6168" spans="1:8" x14ac:dyDescent="0.2">
      <c r="A6168" s="2" t="s">
        <v>3268</v>
      </c>
      <c r="B6168" s="2" t="s">
        <v>48</v>
      </c>
      <c r="C6168" s="2">
        <v>1160.8779999999999</v>
      </c>
      <c r="D6168" s="2">
        <f>HYPERLINK("http://mcb-m6.bioreg.kyushu-u.ac.jp/M3/20110418/F50987/1720/1", 38.58)</f>
        <v>38.58</v>
      </c>
      <c r="E6168" s="2">
        <v>23.84</v>
      </c>
      <c r="F6168" s="2">
        <v>1</v>
      </c>
      <c r="G6168" s="2" t="s">
        <v>12</v>
      </c>
    </row>
    <row r="6169" spans="1:8" x14ac:dyDescent="0.2">
      <c r="A6169" s="2" t="s">
        <v>3268</v>
      </c>
      <c r="B6169" s="2" t="s">
        <v>5245</v>
      </c>
      <c r="C6169" s="2">
        <v>624.55870000000004</v>
      </c>
      <c r="D6169" s="2">
        <f>HYPERLINK("http://mcb-m6.bioreg.kyushu-u.ac.jp/M3/20110418/F50987/1816/1", 41.51)</f>
        <v>41.51</v>
      </c>
      <c r="E6169" s="2">
        <v>28.9</v>
      </c>
      <c r="F6169" s="2">
        <v>2</v>
      </c>
      <c r="G6169" s="2" t="s">
        <v>12</v>
      </c>
    </row>
    <row r="6170" spans="1:8" x14ac:dyDescent="0.2">
      <c r="A6170" s="2" t="s">
        <v>3268</v>
      </c>
      <c r="B6170" s="2" t="s">
        <v>1430</v>
      </c>
      <c r="C6170" s="2">
        <v>683.07759999999996</v>
      </c>
      <c r="D6170" s="2">
        <f>HYPERLINK("http://mcb-m6.bioreg.kyushu-u.ac.jp/M3/20110418/F50987/1913/2", 47.07)</f>
        <v>47.07</v>
      </c>
      <c r="E6170" s="2">
        <v>35.49</v>
      </c>
      <c r="F6170" s="2">
        <v>2</v>
      </c>
      <c r="G6170" s="2" t="s">
        <v>12</v>
      </c>
      <c r="H6170" s="2" t="s">
        <v>4927</v>
      </c>
    </row>
    <row r="6171" spans="1:8" x14ac:dyDescent="0.2">
      <c r="A6171" s="2" t="s">
        <v>3268</v>
      </c>
      <c r="B6171" s="2" t="s">
        <v>1430</v>
      </c>
      <c r="C6171" s="2">
        <v>683.95669999999996</v>
      </c>
      <c r="D6171" s="2">
        <f>HYPERLINK("http://mcb-m6.bioreg.kyushu-u.ac.jp/M3/20110418/F50988/1873/2", 65.61)</f>
        <v>65.61</v>
      </c>
      <c r="E6171" s="2">
        <v>46.39</v>
      </c>
      <c r="F6171" s="2">
        <v>2</v>
      </c>
      <c r="G6171" s="2" t="s">
        <v>12</v>
      </c>
      <c r="H6171" s="2" t="s">
        <v>4927</v>
      </c>
    </row>
    <row r="6172" spans="1:8" x14ac:dyDescent="0.2">
      <c r="A6172" s="2" t="s">
        <v>3268</v>
      </c>
      <c r="B6172" s="2" t="s">
        <v>1430</v>
      </c>
      <c r="C6172" s="2">
        <v>675.30520000000001</v>
      </c>
      <c r="D6172" s="2">
        <f>HYPERLINK("http://mcb-m6.bioreg.kyushu-u.ac.jp/M3/20110418/F50987/1895/2", 70.34)</f>
        <v>70.34</v>
      </c>
      <c r="E6172" s="2">
        <v>49.46</v>
      </c>
      <c r="F6172" s="2">
        <v>2</v>
      </c>
      <c r="G6172" s="2" t="s">
        <v>12</v>
      </c>
    </row>
    <row r="6173" spans="1:8" x14ac:dyDescent="0.2">
      <c r="A6173" s="2" t="s">
        <v>3268</v>
      </c>
      <c r="B6173" s="2" t="s">
        <v>1430</v>
      </c>
      <c r="C6173" s="2">
        <v>683.72469999999998</v>
      </c>
      <c r="D6173" s="2">
        <f>HYPERLINK("http://mcb-m6.bioreg.kyushu-u.ac.jp/M3/20110418/F50987/1914/2", 84.21)</f>
        <v>84.21</v>
      </c>
      <c r="E6173" s="2">
        <v>64.930000000000007</v>
      </c>
      <c r="F6173" s="2">
        <v>2</v>
      </c>
      <c r="G6173" s="2" t="s">
        <v>12</v>
      </c>
      <c r="H6173" s="2" t="s">
        <v>4927</v>
      </c>
    </row>
    <row r="6174" spans="1:8" x14ac:dyDescent="0.2">
      <c r="A6174" s="2" t="s">
        <v>3268</v>
      </c>
      <c r="B6174" s="2" t="s">
        <v>48</v>
      </c>
      <c r="C6174" s="2">
        <v>580.97519999999997</v>
      </c>
      <c r="D6174" s="2">
        <f>HYPERLINK("http://mcb-m6.bioreg.kyushu-u.ac.jp/M3/20110502/F51164/934/1", 66.02)</f>
        <v>66.02</v>
      </c>
      <c r="E6174" s="2">
        <v>41.17</v>
      </c>
      <c r="F6174" s="2">
        <v>2</v>
      </c>
      <c r="G6174" s="2" t="s">
        <v>13</v>
      </c>
    </row>
    <row r="6175" spans="1:8" x14ac:dyDescent="0.2">
      <c r="A6175" s="2" t="s">
        <v>3268</v>
      </c>
      <c r="B6175" s="2" t="s">
        <v>1430</v>
      </c>
      <c r="C6175" s="2">
        <v>683.94069999999999</v>
      </c>
      <c r="D6175" s="2">
        <f>HYPERLINK("http://mcb-m6.bioreg.kyushu-u.ac.jp/M3/20110502/F51164/1389/2", 98.8)</f>
        <v>98.8</v>
      </c>
      <c r="E6175" s="2">
        <v>86.75</v>
      </c>
      <c r="F6175" s="2">
        <v>2</v>
      </c>
      <c r="G6175" s="2" t="s">
        <v>13</v>
      </c>
      <c r="H6175" s="2" t="s">
        <v>4927</v>
      </c>
    </row>
    <row r="6176" spans="1:8" x14ac:dyDescent="0.2">
      <c r="A6176" s="2" t="s">
        <v>3268</v>
      </c>
      <c r="B6176" s="2" t="s">
        <v>48</v>
      </c>
      <c r="C6176" s="2">
        <v>580.89760000000001</v>
      </c>
      <c r="D6176" s="2">
        <f>HYPERLINK("http://mcb-m6.bioreg.kyushu-u.ac.jp/M3/20110502/F51162/1243/1", 55.89)</f>
        <v>55.89</v>
      </c>
      <c r="E6176" s="2">
        <v>33.97</v>
      </c>
      <c r="F6176" s="2">
        <v>2</v>
      </c>
      <c r="G6176" s="2" t="s">
        <v>14</v>
      </c>
    </row>
    <row r="6177" spans="1:7" x14ac:dyDescent="0.2">
      <c r="A6177" s="2" t="s">
        <v>3483</v>
      </c>
      <c r="B6177" s="2" t="s">
        <v>584</v>
      </c>
      <c r="C6177" s="2">
        <v>924.80820000000006</v>
      </c>
      <c r="D6177" s="2">
        <f>HYPERLINK("http://mcb-m6.bioreg.kyushu-u.ac.jp/M3/20110318/F50604/1994/1", 71.72)</f>
        <v>71.72</v>
      </c>
      <c r="E6177" s="2">
        <v>56.86</v>
      </c>
      <c r="F6177" s="2">
        <v>2</v>
      </c>
      <c r="G6177" s="2" t="s">
        <v>9</v>
      </c>
    </row>
    <row r="6178" spans="1:7" x14ac:dyDescent="0.2">
      <c r="A6178" s="2" t="s">
        <v>3483</v>
      </c>
      <c r="B6178" s="2" t="s">
        <v>1296</v>
      </c>
      <c r="C6178" s="2">
        <v>764.54020000000003</v>
      </c>
      <c r="D6178" s="2">
        <f>HYPERLINK("http://mcb-m6.bioreg.kyushu-u.ac.jp/M3/20110318/F50604/1619/1", 76.07)</f>
        <v>76.069999999999993</v>
      </c>
      <c r="E6178" s="2">
        <v>49.49</v>
      </c>
      <c r="F6178" s="2">
        <v>2</v>
      </c>
      <c r="G6178" s="2" t="s">
        <v>9</v>
      </c>
    </row>
    <row r="6179" spans="1:7" x14ac:dyDescent="0.2">
      <c r="A6179" s="2" t="s">
        <v>3483</v>
      </c>
      <c r="B6179" s="2" t="s">
        <v>1296</v>
      </c>
      <c r="C6179" s="2">
        <v>764.49519999999995</v>
      </c>
      <c r="D6179" s="2">
        <f>HYPERLINK("http://mcb-m6.bioreg.kyushu-u.ac.jp/M3/20110318/F50613/1734/1", 46.14)</f>
        <v>46.14</v>
      </c>
      <c r="E6179" s="2">
        <v>26.06</v>
      </c>
      <c r="F6179" s="2">
        <v>2</v>
      </c>
      <c r="G6179" s="2" t="s">
        <v>10</v>
      </c>
    </row>
    <row r="6180" spans="1:7" x14ac:dyDescent="0.2">
      <c r="A6180" s="2" t="s">
        <v>3483</v>
      </c>
      <c r="B6180" s="2" t="s">
        <v>584</v>
      </c>
      <c r="C6180" s="2">
        <v>924.99620000000004</v>
      </c>
      <c r="D6180" s="2">
        <f>HYPERLINK("http://mcb-m6.bioreg.kyushu-u.ac.jp/M3/20110318/F50596/2169/1", 75.04)</f>
        <v>75.040000000000006</v>
      </c>
      <c r="E6180" s="2">
        <v>58.93</v>
      </c>
      <c r="F6180" s="2">
        <v>2</v>
      </c>
      <c r="G6180" s="2" t="s">
        <v>10</v>
      </c>
    </row>
    <row r="6181" spans="1:7" x14ac:dyDescent="0.2">
      <c r="A6181" s="2" t="s">
        <v>3483</v>
      </c>
      <c r="B6181" s="2" t="s">
        <v>1296</v>
      </c>
      <c r="C6181" s="2">
        <v>764.26869999999997</v>
      </c>
      <c r="D6181" s="2">
        <f>HYPERLINK("http://mcb-m6.bioreg.kyushu-u.ac.jp/M3/20110318/F50612/1637/1", 77.11)</f>
        <v>77.11</v>
      </c>
      <c r="E6181" s="2">
        <v>48.31</v>
      </c>
      <c r="F6181" s="2">
        <v>2</v>
      </c>
      <c r="G6181" s="2" t="s">
        <v>10</v>
      </c>
    </row>
    <row r="6182" spans="1:7" x14ac:dyDescent="0.2">
      <c r="A6182" s="2" t="s">
        <v>3483</v>
      </c>
      <c r="B6182" s="2" t="s">
        <v>584</v>
      </c>
      <c r="C6182" s="2">
        <v>924.28719999999998</v>
      </c>
      <c r="D6182" s="2">
        <f>HYPERLINK("http://mcb-m6.bioreg.kyushu-u.ac.jp/M3/20110318/F50613/2342/1", 77.88)</f>
        <v>77.88</v>
      </c>
      <c r="E6182" s="2">
        <v>53.34</v>
      </c>
      <c r="F6182" s="2">
        <v>2</v>
      </c>
      <c r="G6182" s="2" t="s">
        <v>10</v>
      </c>
    </row>
    <row r="6183" spans="1:7" x14ac:dyDescent="0.2">
      <c r="A6183" s="2" t="s">
        <v>3483</v>
      </c>
      <c r="B6183" s="2" t="s">
        <v>584</v>
      </c>
      <c r="C6183" s="2">
        <v>924.47360000000003</v>
      </c>
      <c r="D6183" s="2">
        <f>HYPERLINK("http://mcb-m6.bioreg.kyushu-u.ac.jp/M3/20110318/F50612/2080/1", 79.01)</f>
        <v>79.010000000000005</v>
      </c>
      <c r="E6183" s="2">
        <v>65.42</v>
      </c>
      <c r="F6183" s="2">
        <v>2</v>
      </c>
      <c r="G6183" s="2" t="s">
        <v>10</v>
      </c>
    </row>
    <row r="6184" spans="1:7" x14ac:dyDescent="0.2">
      <c r="A6184" s="2" t="s">
        <v>3483</v>
      </c>
      <c r="B6184" s="2" t="s">
        <v>1296</v>
      </c>
      <c r="C6184" s="2">
        <v>764.3066</v>
      </c>
      <c r="D6184" s="2">
        <f>HYPERLINK("http://mcb-m6.bioreg.kyushu-u.ac.jp/M3/20110418/F50977/2226/1", 72.26)</f>
        <v>72.260000000000005</v>
      </c>
      <c r="E6184" s="2">
        <v>48.5</v>
      </c>
      <c r="F6184" s="2">
        <v>2</v>
      </c>
      <c r="G6184" s="2" t="s">
        <v>11</v>
      </c>
    </row>
    <row r="6185" spans="1:7" x14ac:dyDescent="0.2">
      <c r="A6185" s="2" t="s">
        <v>3483</v>
      </c>
      <c r="B6185" s="2" t="s">
        <v>584</v>
      </c>
      <c r="C6185" s="2">
        <v>924.25570000000005</v>
      </c>
      <c r="D6185" s="2">
        <f>HYPERLINK("http://mcb-m6.bioreg.kyushu-u.ac.jp/M3/20110418/F50977/3090/1", 92.21)</f>
        <v>92.21</v>
      </c>
      <c r="E6185" s="2">
        <v>76.180000000000007</v>
      </c>
      <c r="F6185" s="2">
        <v>2</v>
      </c>
      <c r="G6185" s="2" t="s">
        <v>11</v>
      </c>
    </row>
    <row r="6186" spans="1:7" x14ac:dyDescent="0.2">
      <c r="A6186" s="2" t="s">
        <v>3483</v>
      </c>
      <c r="B6186" s="2" t="s">
        <v>1296</v>
      </c>
      <c r="C6186" s="2">
        <v>764.13570000000004</v>
      </c>
      <c r="D6186" s="2">
        <f>HYPERLINK("http://mcb-m6.bioreg.kyushu-u.ac.jp/M3/20110418/F50988/2199/1", 56.36)</f>
        <v>56.36</v>
      </c>
      <c r="E6186" s="2">
        <v>40.51</v>
      </c>
      <c r="F6186" s="2">
        <v>2</v>
      </c>
      <c r="G6186" s="2" t="s">
        <v>12</v>
      </c>
    </row>
    <row r="6187" spans="1:7" x14ac:dyDescent="0.2">
      <c r="A6187" s="2" t="s">
        <v>3483</v>
      </c>
      <c r="B6187" s="2" t="s">
        <v>584</v>
      </c>
      <c r="C6187" s="2">
        <v>924.17520000000002</v>
      </c>
      <c r="D6187" s="2">
        <f>HYPERLINK("http://mcb-m6.bioreg.kyushu-u.ac.jp/M3/20110418/F50987/2468/1", 89.98)</f>
        <v>89.98</v>
      </c>
      <c r="E6187" s="2">
        <v>71.8</v>
      </c>
      <c r="F6187" s="2">
        <v>2</v>
      </c>
      <c r="G6187" s="2" t="s">
        <v>12</v>
      </c>
    </row>
    <row r="6188" spans="1:7" x14ac:dyDescent="0.2">
      <c r="A6188" s="2" t="s">
        <v>3483</v>
      </c>
      <c r="B6188" s="2" t="s">
        <v>1296</v>
      </c>
      <c r="C6188" s="2">
        <v>764.29719999999998</v>
      </c>
      <c r="D6188" s="2">
        <f>HYPERLINK("http://mcb-m6.bioreg.kyushu-u.ac.jp/M3/20110429/F51153/2146/1", 60.05)</f>
        <v>60.05</v>
      </c>
      <c r="E6188" s="2">
        <v>40.36</v>
      </c>
      <c r="F6188" s="2">
        <v>2</v>
      </c>
      <c r="G6188" s="2" t="s">
        <v>13</v>
      </c>
    </row>
    <row r="6189" spans="1:7" x14ac:dyDescent="0.2">
      <c r="A6189" s="2" t="s">
        <v>3483</v>
      </c>
      <c r="B6189" s="2" t="s">
        <v>584</v>
      </c>
      <c r="C6189" s="2">
        <v>924.38319999999999</v>
      </c>
      <c r="D6189" s="2">
        <f>HYPERLINK("http://mcb-m6.bioreg.kyushu-u.ac.jp/M3/20110429/F51153/3216/1", 77.95)</f>
        <v>77.95</v>
      </c>
      <c r="E6189" s="2">
        <v>63.43</v>
      </c>
      <c r="F6189" s="2">
        <v>2</v>
      </c>
      <c r="G6189" s="2" t="s">
        <v>13</v>
      </c>
    </row>
    <row r="6190" spans="1:7" x14ac:dyDescent="0.2">
      <c r="A6190" s="2" t="s">
        <v>3483</v>
      </c>
      <c r="B6190" s="2" t="s">
        <v>584</v>
      </c>
      <c r="C6190" s="2">
        <v>924.97919999999999</v>
      </c>
      <c r="D6190" s="2">
        <f>HYPERLINK("http://mcb-m6.bioreg.kyushu-u.ac.jp/M3/20110502/F51164/2610/1", 88.1)</f>
        <v>88.1</v>
      </c>
      <c r="E6190" s="2">
        <v>77.599999999999994</v>
      </c>
      <c r="F6190" s="2">
        <v>2</v>
      </c>
      <c r="G6190" s="2" t="s">
        <v>13</v>
      </c>
    </row>
    <row r="6191" spans="1:7" x14ac:dyDescent="0.2">
      <c r="A6191" s="2" t="s">
        <v>3483</v>
      </c>
      <c r="B6191" s="2" t="s">
        <v>584</v>
      </c>
      <c r="C6191" s="2">
        <v>924.4316</v>
      </c>
      <c r="D6191" s="2">
        <f>HYPERLINK("http://mcb-m6.bioreg.kyushu-u.ac.jp/M3/20110502/F51164/2609/1", 98.34)</f>
        <v>98.34</v>
      </c>
      <c r="E6191" s="2">
        <v>87.48</v>
      </c>
      <c r="F6191" s="2">
        <v>2</v>
      </c>
      <c r="G6191" s="2" t="s">
        <v>13</v>
      </c>
    </row>
    <row r="6192" spans="1:7" x14ac:dyDescent="0.2">
      <c r="A6192" s="2" t="s">
        <v>3483</v>
      </c>
      <c r="B6192" s="2" t="s">
        <v>584</v>
      </c>
      <c r="C6192" s="2">
        <v>924.5557</v>
      </c>
      <c r="D6192" s="2">
        <f>HYPERLINK("http://mcb-m6.bioreg.kyushu-u.ac.jp/M3/20110502/F51162/2535/1", 81.01)</f>
        <v>81.010000000000005</v>
      </c>
      <c r="E6192" s="2">
        <v>68.08</v>
      </c>
      <c r="F6192" s="2">
        <v>2</v>
      </c>
      <c r="G6192" s="2" t="s">
        <v>14</v>
      </c>
    </row>
    <row r="6193" spans="1:9" x14ac:dyDescent="0.2">
      <c r="A6193" s="2" t="s">
        <v>4200</v>
      </c>
      <c r="B6193" s="2" t="s">
        <v>1788</v>
      </c>
      <c r="C6193" s="2">
        <v>600.44590000000005</v>
      </c>
      <c r="D6193" s="2">
        <f>HYPERLINK("http://mcb-m6.bioreg.kyushu-u.ac.jp/M3/20110318/F50616/2248/1", 42.66)</f>
        <v>42.66</v>
      </c>
      <c r="E6193" s="2">
        <v>35.119999999999997</v>
      </c>
      <c r="F6193" s="2">
        <v>3</v>
      </c>
      <c r="G6193" s="2" t="s">
        <v>10</v>
      </c>
    </row>
    <row r="6194" spans="1:9" x14ac:dyDescent="0.2">
      <c r="A6194" s="2" t="s">
        <v>4200</v>
      </c>
      <c r="B6194" s="2" t="s">
        <v>1788</v>
      </c>
      <c r="C6194" s="2">
        <v>600.17949999999996</v>
      </c>
      <c r="D6194" s="2">
        <f>HYPERLINK("http://mcb-m6.bioreg.kyushu-u.ac.jp/M3/20110418/F50997/2577/1", 36.99)</f>
        <v>36.99</v>
      </c>
      <c r="E6194" s="2">
        <v>25.12</v>
      </c>
      <c r="F6194" s="2">
        <v>3</v>
      </c>
      <c r="G6194" s="2" t="s">
        <v>12</v>
      </c>
    </row>
    <row r="6195" spans="1:9" x14ac:dyDescent="0.2">
      <c r="A6195" s="2" t="s">
        <v>5630</v>
      </c>
      <c r="B6195" s="2" t="s">
        <v>5048</v>
      </c>
      <c r="C6195" s="2">
        <v>608.95619999999997</v>
      </c>
      <c r="D6195" s="2">
        <f>HYPERLINK("http://mcb-m6.bioreg.kyushu-u.ac.jp/M3/20110318/F50606/1079/1", 43.12)</f>
        <v>43.12</v>
      </c>
      <c r="E6195" s="2">
        <v>10.24</v>
      </c>
      <c r="F6195" s="2">
        <v>2</v>
      </c>
      <c r="G6195" s="2" t="s">
        <v>9</v>
      </c>
    </row>
    <row r="6196" spans="1:9" x14ac:dyDescent="0.2">
      <c r="A6196" s="2" t="s">
        <v>5630</v>
      </c>
      <c r="B6196" s="2" t="s">
        <v>5048</v>
      </c>
      <c r="C6196" s="2">
        <v>608.93769999999995</v>
      </c>
      <c r="D6196" s="2">
        <f>HYPERLINK("http://mcb-m6.bioreg.kyushu-u.ac.jp/M3/20110318/F50597/1173/1", 38.66)</f>
        <v>38.659999999999997</v>
      </c>
      <c r="E6196" s="2">
        <v>8.42</v>
      </c>
      <c r="F6196" s="2">
        <v>2</v>
      </c>
      <c r="G6196" s="2" t="s">
        <v>10</v>
      </c>
    </row>
    <row r="6197" spans="1:9" x14ac:dyDescent="0.2">
      <c r="A6197" s="2" t="s">
        <v>5791</v>
      </c>
      <c r="B6197" s="2" t="s">
        <v>5441</v>
      </c>
      <c r="C6197" s="2">
        <v>624.88869999999997</v>
      </c>
      <c r="D6197" s="2">
        <f>HYPERLINK("http://mcb-m6.bioreg.kyushu-u.ac.jp/M3/20110418/F50983/1808/1", 43.1)</f>
        <v>43.1</v>
      </c>
      <c r="E6197" s="2">
        <v>29.37</v>
      </c>
      <c r="F6197" s="2">
        <v>2</v>
      </c>
      <c r="G6197" s="2" t="s">
        <v>12</v>
      </c>
      <c r="I6197" s="2" t="s">
        <v>4903</v>
      </c>
    </row>
    <row r="6198" spans="1:9" x14ac:dyDescent="0.2">
      <c r="A6198" s="2" t="s">
        <v>5791</v>
      </c>
      <c r="B6198" s="2" t="s">
        <v>5441</v>
      </c>
      <c r="C6198" s="2">
        <v>624.64760000000001</v>
      </c>
      <c r="D6198" s="2">
        <f>HYPERLINK("http://mcb-m6.bioreg.kyushu-u.ac.jp/M3/20110429/F51151/1686/1", 92.16)</f>
        <v>92.16</v>
      </c>
      <c r="E6198" s="2">
        <v>69.430000000000007</v>
      </c>
      <c r="F6198" s="2">
        <v>2</v>
      </c>
      <c r="G6198" s="2" t="s">
        <v>13</v>
      </c>
      <c r="I6198" s="2" t="s">
        <v>4903</v>
      </c>
    </row>
    <row r="6199" spans="1:9" x14ac:dyDescent="0.2">
      <c r="A6199" s="2" t="s">
        <v>5793</v>
      </c>
      <c r="B6199" s="2" t="s">
        <v>5443</v>
      </c>
      <c r="C6199" s="2">
        <v>508.2801</v>
      </c>
      <c r="D6199" s="2">
        <f>HYPERLINK("http://mcb-m6.bioreg.kyushu-u.ac.jp/M3/20110418/F51001/1335/2", 45.57)</f>
        <v>45.57</v>
      </c>
      <c r="E6199" s="2">
        <v>1.8</v>
      </c>
      <c r="F6199" s="2">
        <v>2</v>
      </c>
      <c r="G6199" s="2" t="s">
        <v>12</v>
      </c>
      <c r="I6199" s="2" t="s">
        <v>4890</v>
      </c>
    </row>
    <row r="6200" spans="1:9" x14ac:dyDescent="0.2">
      <c r="A6200" s="2" t="s">
        <v>5810</v>
      </c>
      <c r="B6200" s="2" t="s">
        <v>5475</v>
      </c>
      <c r="C6200" s="2">
        <v>947.92269999999996</v>
      </c>
      <c r="D6200" s="2">
        <f>HYPERLINK("http://mcb-m6.bioreg.kyushu-u.ac.jp/M3/20110429/F51155/2998/1", 37.49)</f>
        <v>37.49</v>
      </c>
      <c r="E6200" s="2">
        <v>30.87</v>
      </c>
      <c r="F6200" s="2">
        <v>2</v>
      </c>
      <c r="G6200" s="2" t="s">
        <v>13</v>
      </c>
    </row>
    <row r="6201" spans="1:9" x14ac:dyDescent="0.2">
      <c r="A6201" s="2" t="s">
        <v>3411</v>
      </c>
      <c r="B6201" s="2" t="s">
        <v>2705</v>
      </c>
      <c r="C6201" s="2">
        <v>636.9941</v>
      </c>
      <c r="D6201" s="2">
        <f>HYPERLINK("http://mcb-m6.bioreg.kyushu-u.ac.jp/M3/20110318/F50604/1324/1", 59.33)</f>
        <v>59.33</v>
      </c>
      <c r="E6201" s="2">
        <v>45.3</v>
      </c>
      <c r="F6201" s="2">
        <v>2</v>
      </c>
      <c r="G6201" s="2" t="s">
        <v>9</v>
      </c>
    </row>
    <row r="6202" spans="1:9" x14ac:dyDescent="0.2">
      <c r="A6202" s="2" t="s">
        <v>3336</v>
      </c>
      <c r="B6202" s="2" t="s">
        <v>222</v>
      </c>
      <c r="C6202" s="2">
        <v>554.54110000000003</v>
      </c>
      <c r="D6202" s="2">
        <f>HYPERLINK("http://mcb-m6.bioreg.kyushu-u.ac.jp/M3/20110418/F50999/1436/1", 41.13)</f>
        <v>41.13</v>
      </c>
      <c r="E6202" s="2">
        <v>23.93</v>
      </c>
      <c r="F6202" s="2">
        <v>2</v>
      </c>
      <c r="G6202" s="2" t="s">
        <v>11</v>
      </c>
    </row>
    <row r="6203" spans="1:9" x14ac:dyDescent="0.2">
      <c r="A6203" s="2" t="s">
        <v>3336</v>
      </c>
      <c r="B6203" s="2" t="s">
        <v>124</v>
      </c>
      <c r="C6203" s="2">
        <v>893.75869999999998</v>
      </c>
      <c r="D6203" s="2">
        <f>HYPERLINK("http://mcb-m6.bioreg.kyushu-u.ac.jp/M3/20110418/F50976/2877/1", 53.39)</f>
        <v>53.39</v>
      </c>
      <c r="E6203" s="2">
        <v>38.700000000000003</v>
      </c>
      <c r="F6203" s="2">
        <v>2</v>
      </c>
      <c r="G6203" s="2" t="s">
        <v>11</v>
      </c>
      <c r="I6203" s="2" t="s">
        <v>4898</v>
      </c>
    </row>
    <row r="6204" spans="1:9" x14ac:dyDescent="0.2">
      <c r="A6204" s="2" t="s">
        <v>3336</v>
      </c>
      <c r="B6204" s="2" t="s">
        <v>124</v>
      </c>
      <c r="C6204" s="2">
        <v>893.78020000000004</v>
      </c>
      <c r="D6204" s="2">
        <f>HYPERLINK("http://mcb-m6.bioreg.kyushu-u.ac.jp/M3/20110429/F51153/3055/1", 83.12)</f>
        <v>83.12</v>
      </c>
      <c r="E6204" s="2">
        <v>70.349999999999994</v>
      </c>
      <c r="F6204" s="2">
        <v>2</v>
      </c>
      <c r="G6204" s="2" t="s">
        <v>13</v>
      </c>
      <c r="I6204" s="2" t="s">
        <v>4898</v>
      </c>
    </row>
    <row r="6205" spans="1:9" x14ac:dyDescent="0.2">
      <c r="A6205" s="2" t="s">
        <v>3311</v>
      </c>
      <c r="B6205" s="2" t="s">
        <v>191</v>
      </c>
      <c r="C6205" s="2">
        <v>694.95169999999996</v>
      </c>
      <c r="D6205" s="2">
        <f>HYPERLINK("http://mcb-m6.bioreg.kyushu-u.ac.jp/M3/20110318/F50614/1482/1", 66.32)</f>
        <v>66.319999999999993</v>
      </c>
      <c r="E6205" s="2">
        <v>53.66</v>
      </c>
      <c r="F6205" s="2">
        <v>2</v>
      </c>
      <c r="G6205" s="2" t="s">
        <v>10</v>
      </c>
    </row>
    <row r="6206" spans="1:9" x14ac:dyDescent="0.2">
      <c r="A6206" s="2" t="s">
        <v>3311</v>
      </c>
      <c r="B6206" s="2" t="s">
        <v>191</v>
      </c>
      <c r="C6206" s="2">
        <v>695.31619999999998</v>
      </c>
      <c r="D6206" s="2">
        <f>HYPERLINK("http://mcb-m6.bioreg.kyushu-u.ac.jp/M3/20110418/F50976/1739/1", 40.1)</f>
        <v>40.1</v>
      </c>
      <c r="E6206" s="2">
        <v>29.69</v>
      </c>
      <c r="F6206" s="2">
        <v>2</v>
      </c>
      <c r="G6206" s="2" t="s">
        <v>11</v>
      </c>
    </row>
    <row r="6207" spans="1:9" x14ac:dyDescent="0.2">
      <c r="A6207" s="2" t="s">
        <v>3311</v>
      </c>
      <c r="B6207" s="2" t="s">
        <v>383</v>
      </c>
      <c r="C6207" s="2">
        <v>646.40970000000004</v>
      </c>
      <c r="D6207" s="2">
        <f>HYPERLINK("http://mcb-m6.bioreg.kyushu-u.ac.jp/M3/20110502/F51163/1301/1", 63.32)</f>
        <v>63.32</v>
      </c>
      <c r="E6207" s="2">
        <v>49.56</v>
      </c>
      <c r="F6207" s="2">
        <v>2</v>
      </c>
      <c r="G6207" s="2" t="s">
        <v>13</v>
      </c>
    </row>
    <row r="6208" spans="1:9" x14ac:dyDescent="0.2">
      <c r="A6208" s="2" t="s">
        <v>5880</v>
      </c>
      <c r="B6208" s="2" t="s">
        <v>5594</v>
      </c>
      <c r="C6208" s="2">
        <v>681.4932</v>
      </c>
      <c r="D6208" s="2">
        <f>HYPERLINK("http://mcb-m6.bioreg.kyushu-u.ac.jp/M3/20110428/F51142/1706/1", 75.25)</f>
        <v>75.25</v>
      </c>
      <c r="E6208" s="2">
        <v>59.84</v>
      </c>
      <c r="F6208" s="2">
        <v>2</v>
      </c>
      <c r="G6208" s="2" t="s">
        <v>14</v>
      </c>
    </row>
    <row r="6209" spans="1:9" x14ac:dyDescent="0.2">
      <c r="A6209" s="2" t="s">
        <v>3321</v>
      </c>
      <c r="B6209" s="2" t="s">
        <v>107</v>
      </c>
      <c r="C6209" s="2">
        <v>584.3741</v>
      </c>
      <c r="D6209" s="2">
        <f>HYPERLINK("http://mcb-m6.bioreg.kyushu-u.ac.jp/M3/20110318/F50620/1194/2", 44.47)</f>
        <v>44.47</v>
      </c>
      <c r="E6209" s="2">
        <v>26.77</v>
      </c>
      <c r="F6209" s="2">
        <v>2</v>
      </c>
      <c r="G6209" s="2" t="s">
        <v>9</v>
      </c>
      <c r="I6209" s="2" t="s">
        <v>4892</v>
      </c>
    </row>
    <row r="6210" spans="1:9" x14ac:dyDescent="0.2">
      <c r="A6210" s="2" t="s">
        <v>3321</v>
      </c>
      <c r="B6210" s="2" t="s">
        <v>107</v>
      </c>
      <c r="C6210" s="2">
        <v>584.48419999999999</v>
      </c>
      <c r="D6210" s="2">
        <f>HYPERLINK("http://mcb-m6.bioreg.kyushu-u.ac.jp/M3/20110318/F50607/1152/2", 63.37)</f>
        <v>63.37</v>
      </c>
      <c r="E6210" s="2">
        <v>44.14</v>
      </c>
      <c r="F6210" s="2">
        <v>2</v>
      </c>
      <c r="G6210" s="2" t="s">
        <v>9</v>
      </c>
      <c r="I6210" s="2" t="s">
        <v>4892</v>
      </c>
    </row>
    <row r="6211" spans="1:9" x14ac:dyDescent="0.2">
      <c r="A6211" s="2" t="s">
        <v>3321</v>
      </c>
      <c r="B6211" s="2" t="s">
        <v>2199</v>
      </c>
      <c r="C6211" s="2">
        <v>744.73170000000005</v>
      </c>
      <c r="D6211" s="2">
        <f>HYPERLINK("http://mcb-m6.bioreg.kyushu-u.ac.jp/M3/20110318/F50598/1602/1", 38.11)</f>
        <v>38.11</v>
      </c>
      <c r="E6211" s="2">
        <v>22.57</v>
      </c>
      <c r="F6211" s="2">
        <v>2</v>
      </c>
      <c r="G6211" s="2" t="s">
        <v>10</v>
      </c>
    </row>
    <row r="6212" spans="1:9" x14ac:dyDescent="0.2">
      <c r="A6212" s="2" t="s">
        <v>3321</v>
      </c>
      <c r="B6212" s="2" t="s">
        <v>107</v>
      </c>
      <c r="C6212" s="2">
        <v>584.31920000000002</v>
      </c>
      <c r="D6212" s="2">
        <f>HYPERLINK("http://mcb-m6.bioreg.kyushu-u.ac.jp/M3/20110318/F50598/1226/2", 55.49)</f>
        <v>55.49</v>
      </c>
      <c r="E6212" s="2">
        <v>35.72</v>
      </c>
      <c r="F6212" s="2">
        <v>2</v>
      </c>
      <c r="G6212" s="2" t="s">
        <v>10</v>
      </c>
      <c r="I6212" s="2" t="s">
        <v>4892</v>
      </c>
    </row>
    <row r="6213" spans="1:9" x14ac:dyDescent="0.2">
      <c r="A6213" s="2" t="s">
        <v>3381</v>
      </c>
      <c r="B6213" s="2" t="s">
        <v>613</v>
      </c>
      <c r="C6213" s="2">
        <v>691.9307</v>
      </c>
      <c r="D6213" s="2">
        <f>HYPERLINK("http://mcb-m6.bioreg.kyushu-u.ac.jp/M3/20110502/F51158/1644/1", 36.63)</f>
        <v>36.630000000000003</v>
      </c>
      <c r="E6213" s="2">
        <v>12.87</v>
      </c>
      <c r="F6213" s="2">
        <v>2</v>
      </c>
      <c r="G6213" s="2" t="s">
        <v>13</v>
      </c>
    </row>
    <row r="6214" spans="1:9" x14ac:dyDescent="0.2">
      <c r="A6214" s="2" t="s">
        <v>4011</v>
      </c>
      <c r="B6214" s="2" t="s">
        <v>1306</v>
      </c>
      <c r="C6214" s="2">
        <v>700.37819999999999</v>
      </c>
      <c r="D6214" s="2">
        <f>HYPERLINK("http://mcb-m6.bioreg.kyushu-u.ac.jp/M3/20110318/F50606/1320/1", 44.23)</f>
        <v>44.23</v>
      </c>
      <c r="E6214" s="2">
        <v>19.36</v>
      </c>
      <c r="F6214" s="2">
        <v>2</v>
      </c>
      <c r="G6214" s="2" t="s">
        <v>9</v>
      </c>
    </row>
    <row r="6215" spans="1:9" x14ac:dyDescent="0.2">
      <c r="A6215" s="2" t="s">
        <v>4011</v>
      </c>
      <c r="B6215" s="2" t="s">
        <v>1306</v>
      </c>
      <c r="C6215" s="2">
        <v>700.25959999999998</v>
      </c>
      <c r="D6215" s="2">
        <f>HYPERLINK("http://mcb-m6.bioreg.kyushu-u.ac.jp/M3/20110318/F50620/1461/1", 51.89)</f>
        <v>51.89</v>
      </c>
      <c r="E6215" s="2">
        <v>26.36</v>
      </c>
      <c r="F6215" s="2">
        <v>2</v>
      </c>
      <c r="G6215" s="2" t="s">
        <v>9</v>
      </c>
    </row>
    <row r="6216" spans="1:9" x14ac:dyDescent="0.2">
      <c r="A6216" s="2" t="s">
        <v>4011</v>
      </c>
      <c r="B6216" s="2" t="s">
        <v>1535</v>
      </c>
      <c r="C6216" s="2">
        <v>879.70870000000002</v>
      </c>
      <c r="D6216" s="2">
        <f>HYPERLINK("http://mcb-m6.bioreg.kyushu-u.ac.jp/M3/20110318/F50607/1973/1", 62.06)</f>
        <v>62.06</v>
      </c>
      <c r="E6216" s="2">
        <v>47.69</v>
      </c>
      <c r="F6216" s="2">
        <v>2</v>
      </c>
      <c r="G6216" s="2" t="s">
        <v>9</v>
      </c>
    </row>
    <row r="6217" spans="1:9" x14ac:dyDescent="0.2">
      <c r="A6217" s="2" t="s">
        <v>4011</v>
      </c>
      <c r="B6217" s="2" t="s">
        <v>1306</v>
      </c>
      <c r="C6217" s="2">
        <v>700.23659999999995</v>
      </c>
      <c r="D6217" s="2">
        <f>HYPERLINK("http://mcb-m6.bioreg.kyushu-u.ac.jp/M3/20110318/F50619/1307/1", 64.34)</f>
        <v>64.34</v>
      </c>
      <c r="E6217" s="2">
        <v>33.090000000000003</v>
      </c>
      <c r="F6217" s="2">
        <v>2</v>
      </c>
      <c r="G6217" s="2" t="s">
        <v>9</v>
      </c>
    </row>
    <row r="6218" spans="1:9" x14ac:dyDescent="0.2">
      <c r="A6218" s="2" t="s">
        <v>4011</v>
      </c>
      <c r="B6218" s="2" t="s">
        <v>1306</v>
      </c>
      <c r="C6218" s="2">
        <v>700.46370000000002</v>
      </c>
      <c r="D6218" s="2">
        <f>HYPERLINK("http://mcb-m6.bioreg.kyushu-u.ac.jp/M3/20110318/F50607/1384/1", 74.77)</f>
        <v>74.77</v>
      </c>
      <c r="E6218" s="2">
        <v>44.59</v>
      </c>
      <c r="F6218" s="2">
        <v>2</v>
      </c>
      <c r="G6218" s="2" t="s">
        <v>9</v>
      </c>
    </row>
    <row r="6219" spans="1:9" x14ac:dyDescent="0.2">
      <c r="A6219" s="2" t="s">
        <v>4011</v>
      </c>
      <c r="B6219" s="2" t="s">
        <v>1306</v>
      </c>
      <c r="C6219" s="2">
        <v>1399.3610000000001</v>
      </c>
      <c r="D6219" s="2">
        <f>HYPERLINK("http://mcb-m6.bioreg.kyushu-u.ac.jp/M3/20110318/F50619/1306/1", 81.42)</f>
        <v>81.42</v>
      </c>
      <c r="E6219" s="2">
        <v>45.62</v>
      </c>
      <c r="F6219" s="2">
        <v>1</v>
      </c>
      <c r="G6219" s="2" t="s">
        <v>9</v>
      </c>
    </row>
    <row r="6220" spans="1:9" x14ac:dyDescent="0.2">
      <c r="A6220" s="2" t="s">
        <v>4011</v>
      </c>
      <c r="B6220" s="2" t="s">
        <v>5188</v>
      </c>
      <c r="C6220" s="2">
        <v>898.49950000000001</v>
      </c>
      <c r="D6220" s="2">
        <f>HYPERLINK("http://mcb-m6.bioreg.kyushu-u.ac.jp/M3/20110318/F50619/3059/1", 90.14)</f>
        <v>90.14</v>
      </c>
      <c r="E6220" s="2">
        <v>73.36</v>
      </c>
      <c r="F6220" s="2">
        <v>3</v>
      </c>
      <c r="G6220" s="2" t="s">
        <v>9</v>
      </c>
      <c r="H6220" s="2" t="s">
        <v>4896</v>
      </c>
      <c r="I6220" s="2" t="s">
        <v>5889</v>
      </c>
    </row>
    <row r="6221" spans="1:9" x14ac:dyDescent="0.2">
      <c r="A6221" s="2" t="s">
        <v>4011</v>
      </c>
      <c r="B6221" s="2" t="s">
        <v>5188</v>
      </c>
      <c r="C6221" s="2">
        <v>892.93550000000005</v>
      </c>
      <c r="D6221" s="2">
        <f>HYPERLINK("http://mcb-m6.bioreg.kyushu-u.ac.jp/M3/20110318/F50619/3050/1", 99.96)</f>
        <v>99.96</v>
      </c>
      <c r="E6221" s="2">
        <v>83.98</v>
      </c>
      <c r="F6221" s="2">
        <v>3</v>
      </c>
      <c r="G6221" s="2" t="s">
        <v>9</v>
      </c>
      <c r="I6221" s="2" t="s">
        <v>5889</v>
      </c>
    </row>
    <row r="6222" spans="1:9" x14ac:dyDescent="0.2">
      <c r="A6222" s="2" t="s">
        <v>4011</v>
      </c>
      <c r="B6222" s="2" t="s">
        <v>1535</v>
      </c>
      <c r="C6222" s="2">
        <v>879.2722</v>
      </c>
      <c r="D6222" s="2">
        <f>HYPERLINK("http://mcb-m6.bioreg.kyushu-u.ac.jp/M3/20110318/F50619/1923/1", 103.84)</f>
        <v>103.84</v>
      </c>
      <c r="E6222" s="2">
        <v>78.260000000000005</v>
      </c>
      <c r="F6222" s="2">
        <v>2</v>
      </c>
      <c r="G6222" s="2" t="s">
        <v>9</v>
      </c>
    </row>
    <row r="6223" spans="1:9" x14ac:dyDescent="0.2">
      <c r="A6223" s="2" t="s">
        <v>4011</v>
      </c>
      <c r="B6223" s="2" t="s">
        <v>1535</v>
      </c>
      <c r="C6223" s="2">
        <v>879.86569999999995</v>
      </c>
      <c r="D6223" s="2">
        <f>HYPERLINK("http://mcb-m6.bioreg.kyushu-u.ac.jp/M3/20110418/F50975/2855/1", 76.12)</f>
        <v>76.12</v>
      </c>
      <c r="E6223" s="2">
        <v>58.82</v>
      </c>
      <c r="F6223" s="2">
        <v>2</v>
      </c>
      <c r="G6223" s="2" t="s">
        <v>11</v>
      </c>
    </row>
    <row r="6224" spans="1:9" x14ac:dyDescent="0.2">
      <c r="A6224" s="2" t="s">
        <v>4011</v>
      </c>
      <c r="B6224" s="2" t="s">
        <v>1306</v>
      </c>
      <c r="C6224" s="2">
        <v>1399.6420000000001</v>
      </c>
      <c r="D6224" s="2">
        <f>HYPERLINK("http://mcb-m6.bioreg.kyushu-u.ac.jp/M3/20110418/F50975/1780/1", 81.18)</f>
        <v>81.180000000000007</v>
      </c>
      <c r="E6224" s="2">
        <v>46.98</v>
      </c>
      <c r="F6224" s="2">
        <v>1</v>
      </c>
      <c r="G6224" s="2" t="s">
        <v>11</v>
      </c>
    </row>
    <row r="6225" spans="1:9" x14ac:dyDescent="0.2">
      <c r="A6225" s="2" t="s">
        <v>4011</v>
      </c>
      <c r="B6225" s="2" t="s">
        <v>1535</v>
      </c>
      <c r="C6225" s="2">
        <v>879.60109999999997</v>
      </c>
      <c r="D6225" s="2">
        <f>HYPERLINK("http://mcb-m6.bioreg.kyushu-u.ac.jp/M3/20110502/F51158/2653/1", 78.7)</f>
        <v>78.7</v>
      </c>
      <c r="E6225" s="2">
        <v>54.47</v>
      </c>
      <c r="F6225" s="2">
        <v>2</v>
      </c>
      <c r="G6225" s="2" t="s">
        <v>13</v>
      </c>
    </row>
    <row r="6226" spans="1:9" x14ac:dyDescent="0.2">
      <c r="A6226" s="2" t="s">
        <v>4011</v>
      </c>
      <c r="B6226" s="2" t="s">
        <v>1306</v>
      </c>
      <c r="C6226" s="2">
        <v>700.96310000000005</v>
      </c>
      <c r="D6226" s="2">
        <f>HYPERLINK("http://mcb-m6.bioreg.kyushu-u.ac.jp/M3/20110502/F51158/1699/1", 81.24)</f>
        <v>81.239999999999995</v>
      </c>
      <c r="E6226" s="2">
        <v>46.11</v>
      </c>
      <c r="F6226" s="2">
        <v>2</v>
      </c>
      <c r="G6226" s="2" t="s">
        <v>13</v>
      </c>
    </row>
    <row r="6227" spans="1:9" x14ac:dyDescent="0.2">
      <c r="A6227" s="2" t="s">
        <v>4111</v>
      </c>
      <c r="B6227" s="2" t="s">
        <v>5063</v>
      </c>
      <c r="C6227" s="2">
        <v>598.70510000000002</v>
      </c>
      <c r="D6227" s="2">
        <f>HYPERLINK("http://mcb-m6.bioreg.kyushu-u.ac.jp/M3/20110318/F50608/1162/1", 45.13)</f>
        <v>45.13</v>
      </c>
      <c r="E6227" s="2">
        <v>24.72</v>
      </c>
      <c r="F6227" s="2">
        <v>2</v>
      </c>
      <c r="G6227" s="2" t="s">
        <v>9</v>
      </c>
    </row>
    <row r="6228" spans="1:9" x14ac:dyDescent="0.2">
      <c r="A6228" s="2" t="s">
        <v>4111</v>
      </c>
      <c r="B6228" s="2" t="s">
        <v>1596</v>
      </c>
      <c r="C6228" s="2">
        <v>1080.201</v>
      </c>
      <c r="D6228" s="2">
        <f>HYPERLINK("http://mcb-m6.bioreg.kyushu-u.ac.jp/M3/20110318/F50617/2421/1", 92.25)</f>
        <v>92.25</v>
      </c>
      <c r="E6228" s="2">
        <v>79.739999999999995</v>
      </c>
      <c r="F6228" s="2">
        <v>2</v>
      </c>
      <c r="G6228" s="2" t="s">
        <v>10</v>
      </c>
    </row>
    <row r="6229" spans="1:9" x14ac:dyDescent="0.2">
      <c r="A6229" s="2" t="s">
        <v>3263</v>
      </c>
      <c r="B6229" s="2" t="s">
        <v>2015</v>
      </c>
      <c r="C6229" s="2">
        <v>746.00919999999996</v>
      </c>
      <c r="D6229" s="2">
        <f>HYPERLINK("http://mcb-m6.bioreg.kyushu-u.ac.jp/M3/20110318/F50608/2511/1", 41.35)</f>
        <v>41.35</v>
      </c>
      <c r="E6229" s="2">
        <v>21.64</v>
      </c>
      <c r="F6229" s="2">
        <v>3</v>
      </c>
      <c r="G6229" s="2" t="s">
        <v>9</v>
      </c>
      <c r="I6229" s="2" t="s">
        <v>4903</v>
      </c>
    </row>
    <row r="6230" spans="1:9" x14ac:dyDescent="0.2">
      <c r="A6230" s="2" t="s">
        <v>3263</v>
      </c>
      <c r="B6230" s="2" t="s">
        <v>1045</v>
      </c>
      <c r="C6230" s="2">
        <v>540.71310000000005</v>
      </c>
      <c r="D6230" s="2">
        <f>HYPERLINK("http://mcb-m6.bioreg.kyushu-u.ac.jp/M3/20110318/F50608/1082/1", 64.51)</f>
        <v>64.510000000000005</v>
      </c>
      <c r="E6230" s="2">
        <v>31.98</v>
      </c>
      <c r="F6230" s="2">
        <v>2</v>
      </c>
      <c r="G6230" s="2" t="s">
        <v>9</v>
      </c>
    </row>
    <row r="6231" spans="1:9" x14ac:dyDescent="0.2">
      <c r="A6231" s="2" t="s">
        <v>3263</v>
      </c>
      <c r="B6231" s="2" t="s">
        <v>1493</v>
      </c>
      <c r="C6231" s="2">
        <v>822.20569999999998</v>
      </c>
      <c r="D6231" s="2">
        <f>HYPERLINK("http://mcb-m6.bioreg.kyushu-u.ac.jp/M3/20110318/F50608/1812/1", 102.51)</f>
        <v>102.51</v>
      </c>
      <c r="E6231" s="2">
        <v>77.38</v>
      </c>
      <c r="F6231" s="2">
        <v>2</v>
      </c>
      <c r="G6231" s="2" t="s">
        <v>9</v>
      </c>
    </row>
    <row r="6232" spans="1:9" x14ac:dyDescent="0.2">
      <c r="A6232" s="2" t="s">
        <v>3263</v>
      </c>
      <c r="B6232" s="2" t="s">
        <v>1680</v>
      </c>
      <c r="C6232" s="2">
        <v>1065.769</v>
      </c>
      <c r="D6232" s="2">
        <f>HYPERLINK("http://mcb-m6.bioreg.kyushu-u.ac.jp/M3/20110318/F50608/2347/1", 110.19)</f>
        <v>110.19</v>
      </c>
      <c r="E6232" s="2">
        <v>88.77</v>
      </c>
      <c r="F6232" s="2">
        <v>2</v>
      </c>
      <c r="G6232" s="2" t="s">
        <v>9</v>
      </c>
    </row>
    <row r="6233" spans="1:9" x14ac:dyDescent="0.2">
      <c r="A6233" s="2" t="s">
        <v>3263</v>
      </c>
      <c r="B6233" s="2" t="s">
        <v>1680</v>
      </c>
      <c r="C6233" s="2">
        <v>1065.9739999999999</v>
      </c>
      <c r="D6233" s="2">
        <f>HYPERLINK("http://mcb-m6.bioreg.kyushu-u.ac.jp/M3/20110318/F50599/2437/1", 70.54)</f>
        <v>70.540000000000006</v>
      </c>
      <c r="E6233" s="2">
        <v>64.37</v>
      </c>
      <c r="F6233" s="2">
        <v>2</v>
      </c>
      <c r="G6233" s="2" t="s">
        <v>10</v>
      </c>
    </row>
    <row r="6234" spans="1:9" x14ac:dyDescent="0.2">
      <c r="A6234" s="2" t="s">
        <v>3263</v>
      </c>
      <c r="B6234" s="2" t="s">
        <v>1493</v>
      </c>
      <c r="C6234" s="2">
        <v>822.39869999999996</v>
      </c>
      <c r="D6234" s="2">
        <f>HYPERLINK("http://mcb-m6.bioreg.kyushu-u.ac.jp/M3/20110318/F50599/1964/1", 106.39)</f>
        <v>106.39</v>
      </c>
      <c r="E6234" s="2">
        <v>80.97</v>
      </c>
      <c r="F6234" s="2">
        <v>2</v>
      </c>
      <c r="G6234" s="2" t="s">
        <v>10</v>
      </c>
    </row>
    <row r="6235" spans="1:9" x14ac:dyDescent="0.2">
      <c r="A6235" s="2" t="s">
        <v>3263</v>
      </c>
      <c r="B6235" s="2" t="s">
        <v>1493</v>
      </c>
      <c r="C6235" s="2">
        <v>822.19420000000002</v>
      </c>
      <c r="D6235" s="2">
        <f>HYPERLINK("http://mcb-m6.bioreg.kyushu-u.ac.jp/M3/20110418/F50972/2441/1", 53.73)</f>
        <v>53.73</v>
      </c>
      <c r="E6235" s="2">
        <v>36.380000000000003</v>
      </c>
      <c r="F6235" s="2">
        <v>2</v>
      </c>
      <c r="G6235" s="2" t="s">
        <v>11</v>
      </c>
    </row>
    <row r="6236" spans="1:9" x14ac:dyDescent="0.2">
      <c r="A6236" s="2" t="s">
        <v>3263</v>
      </c>
      <c r="B6236" s="2" t="s">
        <v>1493</v>
      </c>
      <c r="C6236" s="2">
        <v>822.29470000000003</v>
      </c>
      <c r="D6236" s="2">
        <f>HYPERLINK("http://mcb-m6.bioreg.kyushu-u.ac.jp/M3/20110429/F51150/2421/1", 119.55)</f>
        <v>119.55</v>
      </c>
      <c r="E6236" s="2">
        <v>91.48</v>
      </c>
      <c r="F6236" s="2">
        <v>2</v>
      </c>
      <c r="G6236" s="2" t="s">
        <v>13</v>
      </c>
    </row>
    <row r="6237" spans="1:9" x14ac:dyDescent="0.2">
      <c r="A6237" s="2" t="s">
        <v>5817</v>
      </c>
      <c r="B6237" s="2" t="s">
        <v>5489</v>
      </c>
      <c r="C6237" s="2">
        <v>472.24759999999998</v>
      </c>
      <c r="D6237" s="2">
        <f>HYPERLINK("http://mcb-m6.bioreg.kyushu-u.ac.jp/M3/20110428/F51146/1101/1", 38.87)</f>
        <v>38.869999999999997</v>
      </c>
      <c r="E6237" s="2">
        <v>16.64</v>
      </c>
      <c r="F6237" s="2">
        <v>2</v>
      </c>
      <c r="G6237" s="2" t="s">
        <v>13</v>
      </c>
    </row>
    <row r="6238" spans="1:9" x14ac:dyDescent="0.2">
      <c r="A6238" s="2" t="s">
        <v>3972</v>
      </c>
      <c r="B6238" s="2" t="s">
        <v>1216</v>
      </c>
      <c r="C6238" s="2">
        <v>677.7242</v>
      </c>
      <c r="D6238" s="2">
        <f>HYPERLINK("http://mcb-m6.bioreg.kyushu-u.ac.jp/M3/20110418/F50969/1913/1", 36.02)</f>
        <v>36.020000000000003</v>
      </c>
      <c r="E6238" s="2">
        <v>21.28</v>
      </c>
      <c r="F6238" s="2">
        <v>2</v>
      </c>
      <c r="G6238" s="2" t="s">
        <v>11</v>
      </c>
    </row>
    <row r="6239" spans="1:9" x14ac:dyDescent="0.2">
      <c r="A6239" s="2" t="s">
        <v>3972</v>
      </c>
      <c r="B6239" s="2" t="s">
        <v>1216</v>
      </c>
      <c r="C6239" s="2">
        <v>677.75319999999999</v>
      </c>
      <c r="D6239" s="2">
        <f>HYPERLINK("http://mcb-m6.bioreg.kyushu-u.ac.jp/M3/20110418/F50980/1943/1", 52.04)</f>
        <v>52.04</v>
      </c>
      <c r="E6239" s="2">
        <v>24.15</v>
      </c>
      <c r="F6239" s="2">
        <v>2</v>
      </c>
      <c r="G6239" s="2" t="s">
        <v>12</v>
      </c>
    </row>
    <row r="6240" spans="1:9" x14ac:dyDescent="0.2">
      <c r="A6240" s="2" t="s">
        <v>3972</v>
      </c>
      <c r="B6240" s="2" t="s">
        <v>1216</v>
      </c>
      <c r="C6240" s="2">
        <v>678.07569999999998</v>
      </c>
      <c r="D6240" s="2">
        <f>HYPERLINK("http://mcb-m6.bioreg.kyushu-u.ac.jp/M3/20110428/F51146/1801/1", 72.32)</f>
        <v>72.319999999999993</v>
      </c>
      <c r="E6240" s="2">
        <v>41.22</v>
      </c>
      <c r="F6240" s="2">
        <v>2</v>
      </c>
      <c r="G6240" s="2" t="s">
        <v>13</v>
      </c>
    </row>
    <row r="6241" spans="1:8" x14ac:dyDescent="0.2">
      <c r="A6241" s="2" t="s">
        <v>5851</v>
      </c>
      <c r="B6241" s="2" t="s">
        <v>5545</v>
      </c>
      <c r="C6241" s="2">
        <v>820.73609999999996</v>
      </c>
      <c r="D6241" s="2">
        <f>HYPERLINK("http://mcb-m6.bioreg.kyushu-u.ac.jp/M3/20110429/F51152/2407/1", 66.92)</f>
        <v>66.92</v>
      </c>
      <c r="E6241" s="2">
        <v>54.58</v>
      </c>
      <c r="F6241" s="2">
        <v>2</v>
      </c>
      <c r="G6241" s="2" t="s">
        <v>13</v>
      </c>
    </row>
    <row r="6242" spans="1:8" x14ac:dyDescent="0.2">
      <c r="A6242" s="2" t="s">
        <v>4034</v>
      </c>
      <c r="B6242" s="2" t="s">
        <v>1544</v>
      </c>
      <c r="C6242" s="2">
        <v>673.42570000000001</v>
      </c>
      <c r="D6242" s="2">
        <f>HYPERLINK("http://mcb-m6.bioreg.kyushu-u.ac.jp/M3/20110318/F50599/1502/1", 64.85)</f>
        <v>64.849999999999994</v>
      </c>
      <c r="E6242" s="2">
        <v>45.88</v>
      </c>
      <c r="F6242" s="2">
        <v>2</v>
      </c>
      <c r="G6242" s="2" t="s">
        <v>10</v>
      </c>
    </row>
    <row r="6243" spans="1:8" x14ac:dyDescent="0.2">
      <c r="A6243" s="2" t="s">
        <v>3554</v>
      </c>
      <c r="B6243" s="2" t="s">
        <v>411</v>
      </c>
      <c r="C6243" s="2">
        <v>608.75419999999997</v>
      </c>
      <c r="D6243" s="2">
        <f>HYPERLINK("http://mcb-m6.bioreg.kyushu-u.ac.jp/M3/20110318/F50608/1179/1", 58.24)</f>
        <v>58.24</v>
      </c>
      <c r="E6243" s="2">
        <v>30.24</v>
      </c>
      <c r="F6243" s="2">
        <v>2</v>
      </c>
      <c r="G6243" s="2" t="s">
        <v>9</v>
      </c>
    </row>
    <row r="6244" spans="1:8" x14ac:dyDescent="0.2">
      <c r="A6244" s="2" t="s">
        <v>3554</v>
      </c>
      <c r="B6244" s="2" t="s">
        <v>411</v>
      </c>
      <c r="C6244" s="2">
        <v>608.86609999999996</v>
      </c>
      <c r="D6244" s="2">
        <f>HYPERLINK("http://mcb-m6.bioreg.kyushu-u.ac.jp/M3/20110318/F50599/1387/1", 64.58)</f>
        <v>64.58</v>
      </c>
      <c r="E6244" s="2">
        <v>39.020000000000003</v>
      </c>
      <c r="F6244" s="2">
        <v>2</v>
      </c>
      <c r="G6244" s="2" t="s">
        <v>10</v>
      </c>
    </row>
    <row r="6245" spans="1:8" x14ac:dyDescent="0.2">
      <c r="A6245" s="2" t="s">
        <v>4218</v>
      </c>
      <c r="B6245" s="2" t="s">
        <v>1820</v>
      </c>
      <c r="C6245" s="2">
        <v>589.46810000000005</v>
      </c>
      <c r="D6245" s="2">
        <f>HYPERLINK("http://mcb-m6.bioreg.kyushu-u.ac.jp/M3/20110418/F50975/1172/1", 37.35)</f>
        <v>37.35</v>
      </c>
      <c r="E6245" s="2">
        <v>11.62</v>
      </c>
      <c r="F6245" s="2">
        <v>2</v>
      </c>
      <c r="G6245" s="2" t="s">
        <v>11</v>
      </c>
      <c r="H6245" s="2" t="s">
        <v>4904</v>
      </c>
    </row>
    <row r="6246" spans="1:8" x14ac:dyDescent="0.2">
      <c r="A6246" s="2" t="s">
        <v>4218</v>
      </c>
      <c r="B6246" s="2" t="s">
        <v>1820</v>
      </c>
      <c r="C6246" s="2">
        <v>1178.575</v>
      </c>
      <c r="D6246" s="2">
        <f>HYPERLINK("http://mcb-m6.bioreg.kyushu-u.ac.jp/M3/20110428/F51141/1113/1", 40.21)</f>
        <v>40.21</v>
      </c>
      <c r="E6246" s="2">
        <v>25.5</v>
      </c>
      <c r="F6246" s="2">
        <v>1</v>
      </c>
      <c r="G6246" s="2" t="s">
        <v>14</v>
      </c>
      <c r="H6246" s="2" t="s">
        <v>4904</v>
      </c>
    </row>
    <row r="6247" spans="1:8" x14ac:dyDescent="0.2">
      <c r="A6247" s="2" t="s">
        <v>4706</v>
      </c>
      <c r="B6247" s="2" t="s">
        <v>2891</v>
      </c>
      <c r="C6247" s="2">
        <v>745.71169999999995</v>
      </c>
      <c r="D6247" s="2">
        <f>HYPERLINK("http://mcb-m6.bioreg.kyushu-u.ac.jp/M3/20110428/F51143/2117/1", 37.87)</f>
        <v>37.869999999999997</v>
      </c>
      <c r="E6247" s="2">
        <v>16.649999999999999</v>
      </c>
      <c r="F6247" s="2">
        <v>2</v>
      </c>
      <c r="G6247" s="2" t="s">
        <v>14</v>
      </c>
    </row>
    <row r="6248" spans="1:8" x14ac:dyDescent="0.2">
      <c r="A6248" s="2" t="s">
        <v>4007</v>
      </c>
      <c r="B6248" s="2" t="s">
        <v>1302</v>
      </c>
      <c r="C6248" s="2">
        <v>669.33069999999998</v>
      </c>
      <c r="D6248" s="2">
        <f>HYPERLINK("http://mcb-m6.bioreg.kyushu-u.ac.jp/M3/20110318/F50622/1187/1", 69.81)</f>
        <v>69.81</v>
      </c>
      <c r="E6248" s="2">
        <v>36.64</v>
      </c>
      <c r="F6248" s="2">
        <v>2</v>
      </c>
      <c r="G6248" s="2" t="s">
        <v>10</v>
      </c>
    </row>
    <row r="6249" spans="1:8" x14ac:dyDescent="0.2">
      <c r="A6249" s="2" t="s">
        <v>4007</v>
      </c>
      <c r="B6249" s="2" t="s">
        <v>1302</v>
      </c>
      <c r="C6249" s="2">
        <v>669.50869999999998</v>
      </c>
      <c r="D6249" s="2">
        <f>HYPERLINK("http://mcb-m6.bioreg.kyushu-u.ac.jp/M3/20110428/F51146/1775/1", 71.85)</f>
        <v>71.849999999999994</v>
      </c>
      <c r="E6249" s="2">
        <v>57.01</v>
      </c>
      <c r="F6249" s="2">
        <v>2</v>
      </c>
      <c r="G6249" s="2" t="s">
        <v>13</v>
      </c>
    </row>
    <row r="6250" spans="1:8" x14ac:dyDescent="0.2">
      <c r="A6250" s="2" t="s">
        <v>3427</v>
      </c>
      <c r="B6250" s="2" t="s">
        <v>757</v>
      </c>
      <c r="C6250" s="2">
        <v>601.36019999999996</v>
      </c>
      <c r="D6250" s="2">
        <f>HYPERLINK("http://mcb-m6.bioreg.kyushu-u.ac.jp/M3/20110318/F50618/1110/1", 44.84)</f>
        <v>44.84</v>
      </c>
      <c r="E6250" s="2">
        <v>10.77</v>
      </c>
      <c r="F6250" s="2">
        <v>2</v>
      </c>
      <c r="G6250" s="2" t="s">
        <v>9</v>
      </c>
    </row>
    <row r="6251" spans="1:8" x14ac:dyDescent="0.2">
      <c r="A6251" s="2" t="s">
        <v>3427</v>
      </c>
      <c r="B6251" s="2" t="s">
        <v>233</v>
      </c>
      <c r="C6251" s="2">
        <v>828.37620000000004</v>
      </c>
      <c r="D6251" s="2">
        <f>HYPERLINK("http://mcb-m6.bioreg.kyushu-u.ac.jp/M3/20110318/F50618/2047/1", 86.21)</f>
        <v>86.21</v>
      </c>
      <c r="E6251" s="2">
        <v>72.86</v>
      </c>
      <c r="F6251" s="2">
        <v>2</v>
      </c>
      <c r="G6251" s="2" t="s">
        <v>9</v>
      </c>
    </row>
    <row r="6252" spans="1:8" x14ac:dyDescent="0.2">
      <c r="A6252" s="2" t="s">
        <v>3427</v>
      </c>
      <c r="B6252" s="2" t="s">
        <v>1573</v>
      </c>
      <c r="C6252" s="2">
        <v>789.32119999999998</v>
      </c>
      <c r="D6252" s="2">
        <f>HYPERLINK("http://mcb-m6.bioreg.kyushu-u.ac.jp/M3/20110318/F50619/1676/1", 104)</f>
        <v>104</v>
      </c>
      <c r="E6252" s="2">
        <v>81.599999999999994</v>
      </c>
      <c r="F6252" s="2">
        <v>2</v>
      </c>
      <c r="G6252" s="2" t="s">
        <v>9</v>
      </c>
    </row>
    <row r="6253" spans="1:8" x14ac:dyDescent="0.2">
      <c r="A6253" s="2" t="s">
        <v>3427</v>
      </c>
      <c r="B6253" s="2" t="s">
        <v>5342</v>
      </c>
      <c r="C6253" s="2">
        <v>644.92859999999996</v>
      </c>
      <c r="D6253" s="2">
        <f>HYPERLINK("http://mcb-m6.bioreg.kyushu-u.ac.jp/M3/20110318/F50614/1339/1", 76.79)</f>
        <v>76.790000000000006</v>
      </c>
      <c r="E6253" s="2">
        <v>48.08</v>
      </c>
      <c r="F6253" s="2">
        <v>2</v>
      </c>
      <c r="G6253" s="2" t="s">
        <v>10</v>
      </c>
    </row>
    <row r="6254" spans="1:8" x14ac:dyDescent="0.2">
      <c r="A6254" s="2" t="s">
        <v>3427</v>
      </c>
      <c r="B6254" s="2" t="s">
        <v>1573</v>
      </c>
      <c r="C6254" s="2">
        <v>789.31320000000005</v>
      </c>
      <c r="D6254" s="2">
        <f>HYPERLINK("http://mcb-m6.bioreg.kyushu-u.ac.jp/M3/20110418/F50977/2397/1", 73.38)</f>
        <v>73.38</v>
      </c>
      <c r="E6254" s="2">
        <v>56.87</v>
      </c>
      <c r="F6254" s="2">
        <v>2</v>
      </c>
      <c r="G6254" s="2" t="s">
        <v>11</v>
      </c>
    </row>
    <row r="6255" spans="1:8" x14ac:dyDescent="0.2">
      <c r="A6255" s="2" t="s">
        <v>3427</v>
      </c>
      <c r="B6255" s="2" t="s">
        <v>5419</v>
      </c>
      <c r="C6255" s="2">
        <v>750.55470000000003</v>
      </c>
      <c r="D6255" s="2">
        <f>HYPERLINK("http://mcb-m6.bioreg.kyushu-u.ac.jp/M3/20110418/F50975/2122/1", 74.39)</f>
        <v>74.39</v>
      </c>
      <c r="E6255" s="2">
        <v>48.62</v>
      </c>
      <c r="F6255" s="2">
        <v>2</v>
      </c>
      <c r="G6255" s="2" t="s">
        <v>11</v>
      </c>
    </row>
    <row r="6256" spans="1:8" x14ac:dyDescent="0.2">
      <c r="A6256" s="2" t="s">
        <v>3427</v>
      </c>
      <c r="B6256" s="2" t="s">
        <v>233</v>
      </c>
      <c r="C6256" s="2">
        <v>828.41020000000003</v>
      </c>
      <c r="D6256" s="2">
        <f>HYPERLINK("http://mcb-m6.bioreg.kyushu-u.ac.jp/M3/20110418/F50975/2563/1", 88.35)</f>
        <v>88.35</v>
      </c>
      <c r="E6256" s="2">
        <v>65.95</v>
      </c>
      <c r="F6256" s="2">
        <v>2</v>
      </c>
      <c r="G6256" s="2" t="s">
        <v>11</v>
      </c>
    </row>
    <row r="6257" spans="1:7" x14ac:dyDescent="0.2">
      <c r="A6257" s="2" t="s">
        <v>3427</v>
      </c>
      <c r="B6257" s="2" t="s">
        <v>233</v>
      </c>
      <c r="C6257" s="2">
        <v>828.36569999999995</v>
      </c>
      <c r="D6257" s="2">
        <f>HYPERLINK("http://mcb-m6.bioreg.kyushu-u.ac.jp/M3/20110418/F50977/2625/1", 92.57)</f>
        <v>92.57</v>
      </c>
      <c r="E6257" s="2">
        <v>75.459999999999994</v>
      </c>
      <c r="F6257" s="2">
        <v>2</v>
      </c>
      <c r="G6257" s="2" t="s">
        <v>11</v>
      </c>
    </row>
    <row r="6258" spans="1:7" x14ac:dyDescent="0.2">
      <c r="A6258" s="2" t="s">
        <v>3427</v>
      </c>
      <c r="B6258" s="2" t="s">
        <v>1573</v>
      </c>
      <c r="C6258" s="2">
        <v>788.80820000000006</v>
      </c>
      <c r="D6258" s="2">
        <f>HYPERLINK("http://mcb-m6.bioreg.kyushu-u.ac.jp/M3/20110418/F50977/2395/1", 94.09)</f>
        <v>94.09</v>
      </c>
      <c r="E6258" s="2">
        <v>75.69</v>
      </c>
      <c r="F6258" s="2">
        <v>2</v>
      </c>
      <c r="G6258" s="2" t="s">
        <v>11</v>
      </c>
    </row>
    <row r="6259" spans="1:7" x14ac:dyDescent="0.2">
      <c r="A6259" s="2" t="s">
        <v>3427</v>
      </c>
      <c r="B6259" s="2" t="s">
        <v>1573</v>
      </c>
      <c r="C6259" s="2">
        <v>789.04219999999998</v>
      </c>
      <c r="D6259" s="2">
        <f>HYPERLINK("http://mcb-m6.bioreg.kyushu-u.ac.jp/M3/20110502/F51163/2096/1", 36.72)</f>
        <v>36.72</v>
      </c>
      <c r="E6259" s="2">
        <v>23.64</v>
      </c>
      <c r="F6259" s="2">
        <v>2</v>
      </c>
      <c r="G6259" s="2" t="s">
        <v>13</v>
      </c>
    </row>
    <row r="6260" spans="1:7" x14ac:dyDescent="0.2">
      <c r="A6260" s="2" t="s">
        <v>3427</v>
      </c>
      <c r="B6260" s="2" t="s">
        <v>1573</v>
      </c>
      <c r="C6260" s="2">
        <v>789.48419999999999</v>
      </c>
      <c r="D6260" s="2">
        <f>HYPERLINK("http://mcb-m6.bioreg.kyushu-u.ac.jp/M3/20110428/F51141/2256/1", 84.03)</f>
        <v>84.03</v>
      </c>
      <c r="E6260" s="2">
        <v>72.34</v>
      </c>
      <c r="F6260" s="2">
        <v>2</v>
      </c>
      <c r="G6260" s="2" t="s">
        <v>14</v>
      </c>
    </row>
    <row r="6261" spans="1:7" x14ac:dyDescent="0.2">
      <c r="A6261" s="2" t="s">
        <v>3427</v>
      </c>
      <c r="B6261" s="2" t="s">
        <v>233</v>
      </c>
      <c r="C6261" s="2">
        <v>828.49159999999995</v>
      </c>
      <c r="D6261" s="2">
        <f>HYPERLINK("http://mcb-m6.bioreg.kyushu-u.ac.jp/M3/20110428/F51141/2464/1", 96.57)</f>
        <v>96.57</v>
      </c>
      <c r="E6261" s="2">
        <v>77.739999999999995</v>
      </c>
      <c r="F6261" s="2">
        <v>2</v>
      </c>
      <c r="G6261" s="2" t="s">
        <v>14</v>
      </c>
    </row>
    <row r="6262" spans="1:7" x14ac:dyDescent="0.2">
      <c r="A6262" s="2" t="s">
        <v>4449</v>
      </c>
      <c r="B6262" s="2" t="s">
        <v>2355</v>
      </c>
      <c r="C6262" s="2">
        <v>661.57669999999996</v>
      </c>
      <c r="D6262" s="2">
        <f>HYPERLINK("http://mcb-m6.bioreg.kyushu-u.ac.jp/M3/20110418/F50969/1863/1", 36.84)</f>
        <v>36.840000000000003</v>
      </c>
      <c r="E6262" s="2">
        <v>16.38</v>
      </c>
      <c r="F6262" s="2">
        <v>2</v>
      </c>
      <c r="G6262" s="2" t="s">
        <v>11</v>
      </c>
    </row>
    <row r="6263" spans="1:7" x14ac:dyDescent="0.2">
      <c r="A6263" s="2" t="s">
        <v>4492</v>
      </c>
      <c r="B6263" s="2" t="s">
        <v>2468</v>
      </c>
      <c r="C6263" s="2">
        <v>623.83219999999994</v>
      </c>
      <c r="D6263" s="2">
        <f>HYPERLINK("http://mcb-m6.bioreg.kyushu-u.ac.jp/M3/20110418/F50969/1778/1", 38)</f>
        <v>38</v>
      </c>
      <c r="E6263" s="2">
        <v>14.83</v>
      </c>
      <c r="F6263" s="2">
        <v>2</v>
      </c>
      <c r="G6263" s="2" t="s">
        <v>11</v>
      </c>
    </row>
    <row r="6264" spans="1:7" x14ac:dyDescent="0.2">
      <c r="A6264" s="2" t="s">
        <v>4492</v>
      </c>
      <c r="B6264" s="2" t="s">
        <v>2468</v>
      </c>
      <c r="C6264" s="2">
        <v>624.45920000000001</v>
      </c>
      <c r="D6264" s="2">
        <f>HYPERLINK("http://mcb-m6.bioreg.kyushu-u.ac.jp/M3/20110428/F51146/1659/1", 82.82)</f>
        <v>82.82</v>
      </c>
      <c r="E6264" s="2">
        <v>51.03</v>
      </c>
      <c r="F6264" s="2">
        <v>2</v>
      </c>
      <c r="G6264" s="2" t="s">
        <v>13</v>
      </c>
    </row>
    <row r="6265" spans="1:7" x14ac:dyDescent="0.2">
      <c r="A6265" s="2" t="s">
        <v>3893</v>
      </c>
      <c r="B6265" s="2" t="s">
        <v>1038</v>
      </c>
      <c r="C6265" s="2">
        <v>586.44269999999995</v>
      </c>
      <c r="D6265" s="2">
        <f>HYPERLINK("http://mcb-m6.bioreg.kyushu-u.ac.jp/M3/20110318/F50599/1347/1", 46.66)</f>
        <v>46.66</v>
      </c>
      <c r="E6265" s="2">
        <v>27.74</v>
      </c>
      <c r="F6265" s="2">
        <v>2</v>
      </c>
      <c r="G6265" s="2" t="s">
        <v>10</v>
      </c>
    </row>
    <row r="6266" spans="1:7" x14ac:dyDescent="0.2">
      <c r="A6266" s="2" t="s">
        <v>5850</v>
      </c>
      <c r="B6266" s="2" t="s">
        <v>5544</v>
      </c>
      <c r="C6266" s="2">
        <v>638.65769999999998</v>
      </c>
      <c r="D6266" s="2">
        <f>HYPERLINK("http://mcb-m6.bioreg.kyushu-u.ac.jp/M3/20110429/F51152/1431/1", 66.81)</f>
        <v>66.81</v>
      </c>
      <c r="E6266" s="2">
        <v>55.15</v>
      </c>
      <c r="F6266" s="2">
        <v>2</v>
      </c>
      <c r="G6266" s="2" t="s">
        <v>13</v>
      </c>
    </row>
    <row r="6267" spans="1:7" x14ac:dyDescent="0.2">
      <c r="A6267" s="2" t="s">
        <v>3443</v>
      </c>
      <c r="B6267" s="2" t="s">
        <v>488</v>
      </c>
      <c r="C6267" s="2">
        <v>486.90210000000002</v>
      </c>
      <c r="D6267" s="2">
        <f>HYPERLINK("http://mcb-m6.bioreg.kyushu-u.ac.jp/M3/20110318/F50597/860/1", 38.26)</f>
        <v>38.26</v>
      </c>
      <c r="E6267" s="2">
        <v>10.44</v>
      </c>
      <c r="F6267" s="2">
        <v>2</v>
      </c>
      <c r="G6267" s="2" t="s">
        <v>10</v>
      </c>
    </row>
    <row r="6268" spans="1:7" x14ac:dyDescent="0.2">
      <c r="A6268" s="2" t="s">
        <v>3443</v>
      </c>
      <c r="B6268" s="2" t="s">
        <v>2139</v>
      </c>
      <c r="C6268" s="2">
        <v>690.35720000000003</v>
      </c>
      <c r="D6268" s="2">
        <f>HYPERLINK("http://mcb-m6.bioreg.kyushu-u.ac.jp/M3/20110318/F50597/1391/1", 91.37)</f>
        <v>91.37</v>
      </c>
      <c r="E6268" s="2">
        <v>66.14</v>
      </c>
      <c r="F6268" s="2">
        <v>2</v>
      </c>
      <c r="G6268" s="2" t="s">
        <v>10</v>
      </c>
    </row>
    <row r="6269" spans="1:7" x14ac:dyDescent="0.2">
      <c r="A6269" s="2" t="s">
        <v>3443</v>
      </c>
      <c r="B6269" s="2" t="s">
        <v>1074</v>
      </c>
      <c r="C6269" s="2">
        <v>579.87660000000005</v>
      </c>
      <c r="D6269" s="2">
        <f>HYPERLINK("http://mcb-m6.bioreg.kyushu-u.ac.jp/M3/20110429/F51157/954/1", 47.28)</f>
        <v>47.28</v>
      </c>
      <c r="E6269" s="2">
        <v>24.81</v>
      </c>
      <c r="F6269" s="2">
        <v>2</v>
      </c>
      <c r="G6269" s="2" t="s">
        <v>13</v>
      </c>
    </row>
    <row r="6270" spans="1:7" x14ac:dyDescent="0.2">
      <c r="A6270" s="2" t="s">
        <v>3818</v>
      </c>
      <c r="B6270" s="2" t="s">
        <v>880</v>
      </c>
      <c r="C6270" s="2">
        <v>814.90419999999995</v>
      </c>
      <c r="D6270" s="2">
        <f>HYPERLINK("http://mcb-m6.bioreg.kyushu-u.ac.jp/M3/20110318/F50599/1951/1", 41.27)</f>
        <v>41.27</v>
      </c>
      <c r="E6270" s="2">
        <v>22.45</v>
      </c>
      <c r="F6270" s="2">
        <v>2</v>
      </c>
      <c r="G6270" s="2" t="s">
        <v>10</v>
      </c>
    </row>
    <row r="6271" spans="1:7" x14ac:dyDescent="0.2">
      <c r="A6271" s="4" t="s">
        <v>3677</v>
      </c>
      <c r="B6271" s="2" t="s">
        <v>632</v>
      </c>
      <c r="C6271" s="2">
        <v>827.44619999999998</v>
      </c>
      <c r="D6271" s="2">
        <f>HYPERLINK("http://mcb-m6.bioreg.kyushu-u.ac.jp/M3/20110318/F50610/1873/1", 62.74)</f>
        <v>62.74</v>
      </c>
      <c r="E6271" s="2">
        <v>45.52</v>
      </c>
      <c r="F6271" s="2">
        <v>2</v>
      </c>
      <c r="G6271" s="2" t="s">
        <v>9</v>
      </c>
    </row>
    <row r="6272" spans="1:7" x14ac:dyDescent="0.2">
      <c r="A6272" s="2" t="s">
        <v>4128</v>
      </c>
      <c r="B6272" s="2" t="s">
        <v>1652</v>
      </c>
      <c r="C6272" s="2">
        <v>860.20259999999996</v>
      </c>
      <c r="D6272" s="2">
        <f>HYPERLINK("http://mcb-m6.bioreg.kyushu-u.ac.jp/M3/20110318/F50617/1963/1", 110.27)</f>
        <v>110.27</v>
      </c>
      <c r="E6272" s="2">
        <v>89.74</v>
      </c>
      <c r="F6272" s="2">
        <v>2</v>
      </c>
      <c r="G6272" s="2" t="s">
        <v>10</v>
      </c>
    </row>
    <row r="6273" spans="1:8" x14ac:dyDescent="0.2">
      <c r="A6273" s="2" t="s">
        <v>4128</v>
      </c>
      <c r="B6273" s="2" t="s">
        <v>1652</v>
      </c>
      <c r="C6273" s="2">
        <v>860.3777</v>
      </c>
      <c r="D6273" s="2">
        <f>HYPERLINK("http://mcb-m6.bioreg.kyushu-u.ac.jp/M3/20110429/F51150/2549/1", 71.84)</f>
        <v>71.84</v>
      </c>
      <c r="E6273" s="2">
        <v>56.56</v>
      </c>
      <c r="F6273" s="2">
        <v>2</v>
      </c>
      <c r="G6273" s="2" t="s">
        <v>13</v>
      </c>
    </row>
    <row r="6274" spans="1:8" x14ac:dyDescent="0.2">
      <c r="A6274" s="2" t="s">
        <v>3374</v>
      </c>
      <c r="B6274" s="2" t="s">
        <v>283</v>
      </c>
      <c r="C6274" s="2">
        <v>753.79110000000003</v>
      </c>
      <c r="D6274" s="2">
        <f>HYPERLINK("http://mcb-m6.bioreg.kyushu-u.ac.jp/M3/20110318/F50617/1622/1", 88.65)</f>
        <v>88.65</v>
      </c>
      <c r="E6274" s="2">
        <v>58.09</v>
      </c>
      <c r="F6274" s="2">
        <v>2</v>
      </c>
      <c r="G6274" s="2" t="s">
        <v>10</v>
      </c>
    </row>
    <row r="6275" spans="1:8" x14ac:dyDescent="0.2">
      <c r="A6275" s="2" t="s">
        <v>3956</v>
      </c>
      <c r="B6275" s="2" t="s">
        <v>2119</v>
      </c>
      <c r="C6275" s="2">
        <v>787.27419999999995</v>
      </c>
      <c r="D6275" s="2">
        <f>HYPERLINK("http://mcb-m6.bioreg.kyushu-u.ac.jp/M3/20110318/F50616/1934/1", 38.6)</f>
        <v>38.6</v>
      </c>
      <c r="E6275" s="2">
        <v>10.57</v>
      </c>
      <c r="F6275" s="2">
        <v>2</v>
      </c>
      <c r="G6275" s="2" t="s">
        <v>10</v>
      </c>
    </row>
    <row r="6276" spans="1:8" x14ac:dyDescent="0.2">
      <c r="A6276" s="2" t="s">
        <v>3956</v>
      </c>
      <c r="B6276" s="2" t="s">
        <v>2119</v>
      </c>
      <c r="C6276" s="2">
        <v>787.22559999999999</v>
      </c>
      <c r="D6276" s="2">
        <f>HYPERLINK("http://mcb-m6.bioreg.kyushu-u.ac.jp/M3/20110418/F50974/2315/1", 35.93)</f>
        <v>35.93</v>
      </c>
      <c r="E6276" s="2">
        <v>20.25</v>
      </c>
      <c r="F6276" s="2">
        <v>2</v>
      </c>
      <c r="G6276" s="2" t="s">
        <v>11</v>
      </c>
    </row>
    <row r="6277" spans="1:8" x14ac:dyDescent="0.2">
      <c r="A6277" s="2" t="s">
        <v>3956</v>
      </c>
      <c r="B6277" s="2" t="s">
        <v>5477</v>
      </c>
      <c r="C6277" s="2">
        <v>747.2672</v>
      </c>
      <c r="D6277" s="2">
        <f>HYPERLINK("http://mcb-m6.bioreg.kyushu-u.ac.jp/M3/20110429/F51157/1778/1", 37.72)</f>
        <v>37.72</v>
      </c>
      <c r="E6277" s="2">
        <v>25.43</v>
      </c>
      <c r="F6277" s="2">
        <v>2</v>
      </c>
      <c r="G6277" s="2" t="s">
        <v>13</v>
      </c>
    </row>
    <row r="6278" spans="1:8" x14ac:dyDescent="0.2">
      <c r="A6278" s="2" t="s">
        <v>3956</v>
      </c>
      <c r="B6278" s="2" t="s">
        <v>1551</v>
      </c>
      <c r="C6278" s="2">
        <v>593.08920000000001</v>
      </c>
      <c r="D6278" s="2">
        <f>HYPERLINK("http://mcb-m6.bioreg.kyushu-u.ac.jp/M3/20110429/F51157/1015/1", 44.12)</f>
        <v>44.12</v>
      </c>
      <c r="E6278" s="2">
        <v>25.04</v>
      </c>
      <c r="F6278" s="2">
        <v>2</v>
      </c>
      <c r="G6278" s="2" t="s">
        <v>13</v>
      </c>
    </row>
    <row r="6279" spans="1:8" x14ac:dyDescent="0.2">
      <c r="A6279" s="2" t="s">
        <v>3956</v>
      </c>
      <c r="B6279" s="2" t="s">
        <v>2119</v>
      </c>
      <c r="C6279" s="2">
        <v>787.47559999999999</v>
      </c>
      <c r="D6279" s="2">
        <f>HYPERLINK("http://mcb-m6.bioreg.kyushu-u.ac.jp/M3/20110429/F51157/1996/1", 56.62)</f>
        <v>56.62</v>
      </c>
      <c r="E6279" s="2">
        <v>43.2</v>
      </c>
      <c r="F6279" s="2">
        <v>2</v>
      </c>
      <c r="G6279" s="2" t="s">
        <v>13</v>
      </c>
    </row>
    <row r="6280" spans="1:8" x14ac:dyDescent="0.2">
      <c r="A6280" s="2" t="s">
        <v>3956</v>
      </c>
      <c r="B6280" s="2" t="s">
        <v>2119</v>
      </c>
      <c r="C6280" s="2">
        <v>787.1472</v>
      </c>
      <c r="D6280" s="2">
        <f>HYPERLINK("http://mcb-m6.bioreg.kyushu-u.ac.jp/M3/20110502/F51159/2193/1", 53.18)</f>
        <v>53.18</v>
      </c>
      <c r="E6280" s="2">
        <v>43.42</v>
      </c>
      <c r="F6280" s="2">
        <v>2</v>
      </c>
      <c r="G6280" s="2" t="s">
        <v>14</v>
      </c>
    </row>
    <row r="6281" spans="1:8" x14ac:dyDescent="0.2">
      <c r="A6281" s="2" t="s">
        <v>4489</v>
      </c>
      <c r="B6281" s="2" t="s">
        <v>2454</v>
      </c>
      <c r="C6281" s="2">
        <v>544.03719999999998</v>
      </c>
      <c r="D6281" s="2">
        <f>HYPERLINK("http://mcb-m6.bioreg.kyushu-u.ac.jp/M3/20110418/F50969/1592/1", 65.97)</f>
        <v>65.97</v>
      </c>
      <c r="E6281" s="2">
        <v>29.89</v>
      </c>
      <c r="F6281" s="2">
        <v>2</v>
      </c>
      <c r="G6281" s="2" t="s">
        <v>11</v>
      </c>
      <c r="H6281" s="2" t="s">
        <v>4896</v>
      </c>
    </row>
    <row r="6282" spans="1:8" x14ac:dyDescent="0.2">
      <c r="A6282" s="2" t="s">
        <v>4489</v>
      </c>
      <c r="B6282" s="2" t="s">
        <v>2454</v>
      </c>
      <c r="C6282" s="2">
        <v>544.25419999999997</v>
      </c>
      <c r="D6282" s="2">
        <f>HYPERLINK("http://mcb-m6.bioreg.kyushu-u.ac.jp/M3/20110418/F50980/1781/1", 55.57)</f>
        <v>55.57</v>
      </c>
      <c r="E6282" s="2">
        <v>14.62</v>
      </c>
      <c r="F6282" s="2">
        <v>2</v>
      </c>
      <c r="G6282" s="2" t="s">
        <v>12</v>
      </c>
      <c r="H6282" s="2" t="s">
        <v>4896</v>
      </c>
    </row>
    <row r="6283" spans="1:8" x14ac:dyDescent="0.2">
      <c r="A6283" s="2" t="s">
        <v>4489</v>
      </c>
      <c r="B6283" s="2" t="s">
        <v>2454</v>
      </c>
      <c r="C6283" s="2">
        <v>544.37120000000004</v>
      </c>
      <c r="D6283" s="2">
        <f>HYPERLINK("http://mcb-m6.bioreg.kyushu-u.ac.jp/M3/20110428/F51136/1943/1", 46.03)</f>
        <v>46.03</v>
      </c>
      <c r="E6283" s="2">
        <v>19.48</v>
      </c>
      <c r="F6283" s="2">
        <v>2</v>
      </c>
      <c r="G6283" s="2" t="s">
        <v>14</v>
      </c>
      <c r="H6283" s="2" t="s">
        <v>4896</v>
      </c>
    </row>
    <row r="6284" spans="1:8" x14ac:dyDescent="0.2">
      <c r="A6284" s="2" t="s">
        <v>4490</v>
      </c>
      <c r="B6284" s="2" t="s">
        <v>2455</v>
      </c>
      <c r="C6284" s="2">
        <v>501.38659999999999</v>
      </c>
      <c r="D6284" s="2">
        <f>HYPERLINK("http://mcb-m6.bioreg.kyushu-u.ac.jp/M3/20110428/F51146/1208/1", 61.3)</f>
        <v>61.3</v>
      </c>
      <c r="E6284" s="2">
        <v>1.84</v>
      </c>
      <c r="F6284" s="2">
        <v>2</v>
      </c>
      <c r="G6284" s="2" t="s">
        <v>13</v>
      </c>
    </row>
    <row r="6285" spans="1:8" x14ac:dyDescent="0.2">
      <c r="A6285" s="2" t="s">
        <v>4109</v>
      </c>
      <c r="B6285" s="2" t="s">
        <v>1593</v>
      </c>
      <c r="C6285" s="2">
        <v>706.9452</v>
      </c>
      <c r="D6285" s="2">
        <f>HYPERLINK("http://mcb-m6.bioreg.kyushu-u.ac.jp/M3/20110318/F50598/1451/1", 77.81)</f>
        <v>77.81</v>
      </c>
      <c r="E6285" s="2">
        <v>45.61</v>
      </c>
      <c r="F6285" s="2">
        <v>2</v>
      </c>
      <c r="G6285" s="2" t="s">
        <v>10</v>
      </c>
    </row>
    <row r="6286" spans="1:8" x14ac:dyDescent="0.2">
      <c r="A6286" s="2" t="s">
        <v>3805</v>
      </c>
      <c r="B6286" s="2" t="s">
        <v>862</v>
      </c>
      <c r="C6286" s="2">
        <v>739.93320000000006</v>
      </c>
      <c r="D6286" s="2">
        <f>HYPERLINK("http://mcb-m6.bioreg.kyushu-u.ac.jp/M3/20110318/F50598/1574/1", 59.4)</f>
        <v>59.4</v>
      </c>
      <c r="E6286" s="2">
        <v>42.49</v>
      </c>
      <c r="F6286" s="2">
        <v>2</v>
      </c>
      <c r="G6286" s="2" t="s">
        <v>10</v>
      </c>
    </row>
    <row r="6287" spans="1:8" x14ac:dyDescent="0.2">
      <c r="A6287" s="2" t="s">
        <v>3977</v>
      </c>
      <c r="B6287" s="2" t="s">
        <v>5218</v>
      </c>
      <c r="C6287" s="2">
        <v>452.36259999999999</v>
      </c>
      <c r="D6287" s="2">
        <f>HYPERLINK("http://mcb-m6.bioreg.kyushu-u.ac.jp/M3/20110318/F50599/1074/1", 36.33)</f>
        <v>36.33</v>
      </c>
      <c r="E6287" s="2">
        <v>15.47</v>
      </c>
      <c r="F6287" s="2">
        <v>2</v>
      </c>
      <c r="G6287" s="2" t="s">
        <v>10</v>
      </c>
    </row>
    <row r="6288" spans="1:8" x14ac:dyDescent="0.2">
      <c r="A6288" s="2" t="s">
        <v>5678</v>
      </c>
      <c r="B6288" s="2" t="s">
        <v>5187</v>
      </c>
      <c r="C6288" s="2">
        <v>719.19820000000004</v>
      </c>
      <c r="D6288" s="2">
        <f>HYPERLINK("http://mcb-m6.bioreg.kyushu-u.ac.jp/M3/20110318/F50608/1425/1", 88.83)</f>
        <v>88.83</v>
      </c>
      <c r="E6288" s="2">
        <v>51.39</v>
      </c>
      <c r="F6288" s="2">
        <v>2</v>
      </c>
      <c r="G6288" s="2" t="s">
        <v>9</v>
      </c>
      <c r="H6288" s="2" t="s">
        <v>4891</v>
      </c>
    </row>
    <row r="6289" spans="1:7" x14ac:dyDescent="0.2">
      <c r="A6289" s="2" t="s">
        <v>4399</v>
      </c>
      <c r="B6289" s="2" t="s">
        <v>2249</v>
      </c>
      <c r="C6289" s="2">
        <v>778.71559999999999</v>
      </c>
      <c r="D6289" s="2">
        <f>HYPERLINK("http://mcb-m6.bioreg.kyushu-u.ac.jp/M3/20110318/F50596/1794/1", 40.33)</f>
        <v>40.33</v>
      </c>
      <c r="E6289" s="2">
        <v>24.93</v>
      </c>
      <c r="F6289" s="2">
        <v>2</v>
      </c>
      <c r="G6289" s="2" t="s">
        <v>10</v>
      </c>
    </row>
    <row r="6290" spans="1:7" x14ac:dyDescent="0.2">
      <c r="A6290" s="2" t="s">
        <v>4399</v>
      </c>
      <c r="B6290" s="2" t="s">
        <v>2249</v>
      </c>
      <c r="C6290" s="2">
        <v>778.81020000000001</v>
      </c>
      <c r="D6290" s="2">
        <f>HYPERLINK("http://mcb-m6.bioreg.kyushu-u.ac.jp/M3/20110429/F51154/2220/1", 57.86)</f>
        <v>57.86</v>
      </c>
      <c r="E6290" s="2">
        <v>48.54</v>
      </c>
      <c r="F6290" s="2">
        <v>2</v>
      </c>
      <c r="G6290" s="2" t="s">
        <v>13</v>
      </c>
    </row>
    <row r="6291" spans="1:7" x14ac:dyDescent="0.2">
      <c r="A6291" s="2" t="s">
        <v>4399</v>
      </c>
      <c r="B6291" s="2" t="s">
        <v>2927</v>
      </c>
      <c r="C6291" s="2">
        <v>748.28809999999999</v>
      </c>
      <c r="D6291" s="2">
        <f>HYPERLINK("http://mcb-m6.bioreg.kyushu-u.ac.jp/M3/20110429/F51154/2060/1", 58.84)</f>
        <v>58.84</v>
      </c>
      <c r="E6291" s="2">
        <v>46.57</v>
      </c>
      <c r="F6291" s="2">
        <v>2</v>
      </c>
      <c r="G6291" s="2" t="s">
        <v>13</v>
      </c>
    </row>
    <row r="6292" spans="1:7" x14ac:dyDescent="0.2">
      <c r="A6292" s="2" t="s">
        <v>4399</v>
      </c>
      <c r="B6292" s="2" t="s">
        <v>5584</v>
      </c>
      <c r="C6292" s="2">
        <v>723.41060000000004</v>
      </c>
      <c r="D6292" s="2">
        <f>HYPERLINK("http://mcb-m6.bioreg.kyushu-u.ac.jp/M3/20110428/F51143/2004/1", 44.29)</f>
        <v>44.29</v>
      </c>
      <c r="E6292" s="2">
        <v>22.63</v>
      </c>
      <c r="F6292" s="2">
        <v>2</v>
      </c>
      <c r="G6292" s="2" t="s">
        <v>14</v>
      </c>
    </row>
    <row r="6293" spans="1:7" x14ac:dyDescent="0.2">
      <c r="A6293" s="2" t="s">
        <v>4399</v>
      </c>
      <c r="B6293" s="2" t="s">
        <v>2249</v>
      </c>
      <c r="C6293" s="2">
        <v>779.39419999999996</v>
      </c>
      <c r="D6293" s="2">
        <f>HYPERLINK("http://mcb-m6.bioreg.kyushu-u.ac.jp/M3/20110428/F51143/2274/1", 67.27)</f>
        <v>67.27</v>
      </c>
      <c r="E6293" s="2">
        <v>54.75</v>
      </c>
      <c r="F6293" s="2">
        <v>2</v>
      </c>
      <c r="G6293" s="2" t="s">
        <v>14</v>
      </c>
    </row>
    <row r="6294" spans="1:7" x14ac:dyDescent="0.2">
      <c r="A6294" s="2" t="s">
        <v>4399</v>
      </c>
      <c r="B6294" s="2" t="s">
        <v>2927</v>
      </c>
      <c r="C6294" s="2">
        <v>748.40719999999999</v>
      </c>
      <c r="D6294" s="2">
        <f>HYPERLINK("http://mcb-m6.bioreg.kyushu-u.ac.jp/M3/20110428/F51144/2260/1", 71.22)</f>
        <v>71.22</v>
      </c>
      <c r="E6294" s="2">
        <v>53.32</v>
      </c>
      <c r="F6294" s="2">
        <v>2</v>
      </c>
      <c r="G6294" s="2" t="s">
        <v>14</v>
      </c>
    </row>
    <row r="6295" spans="1:7" x14ac:dyDescent="0.2">
      <c r="A6295" s="2" t="s">
        <v>3689</v>
      </c>
      <c r="B6295" s="2" t="s">
        <v>2298</v>
      </c>
      <c r="C6295" s="2">
        <v>854.4606</v>
      </c>
      <c r="D6295" s="2">
        <f>HYPERLINK("http://mcb-m6.bioreg.kyushu-u.ac.jp/M3/20110318/F50602/1836/1", 54.64)</f>
        <v>54.64</v>
      </c>
      <c r="E6295" s="2">
        <v>38.93</v>
      </c>
      <c r="F6295" s="2">
        <v>2</v>
      </c>
      <c r="G6295" s="2" t="s">
        <v>9</v>
      </c>
    </row>
    <row r="6296" spans="1:7" x14ac:dyDescent="0.2">
      <c r="A6296" s="2" t="s">
        <v>3689</v>
      </c>
      <c r="B6296" s="2" t="s">
        <v>654</v>
      </c>
      <c r="C6296" s="2">
        <v>796.42359999999996</v>
      </c>
      <c r="D6296" s="2">
        <f>HYPERLINK("http://mcb-m6.bioreg.kyushu-u.ac.jp/M3/20110318/F50603/1671/1", 85.68)</f>
        <v>85.68</v>
      </c>
      <c r="E6296" s="2">
        <v>67.88</v>
      </c>
      <c r="F6296" s="2">
        <v>2</v>
      </c>
      <c r="G6296" s="2" t="s">
        <v>9</v>
      </c>
    </row>
    <row r="6297" spans="1:7" x14ac:dyDescent="0.2">
      <c r="A6297" s="2" t="s">
        <v>3689</v>
      </c>
      <c r="B6297" s="2" t="s">
        <v>5297</v>
      </c>
      <c r="C6297" s="2">
        <v>593.45320000000004</v>
      </c>
      <c r="D6297" s="2">
        <f>HYPERLINK("http://mcb-m6.bioreg.kyushu-u.ac.jp/M3/20110318/F50596/1227/1", 51.41)</f>
        <v>51.41</v>
      </c>
      <c r="E6297" s="2">
        <v>20.58</v>
      </c>
      <c r="F6297" s="2">
        <v>2</v>
      </c>
      <c r="G6297" s="2" t="s">
        <v>10</v>
      </c>
    </row>
    <row r="6298" spans="1:7" x14ac:dyDescent="0.2">
      <c r="A6298" s="2" t="s">
        <v>3689</v>
      </c>
      <c r="B6298" s="2" t="s">
        <v>2298</v>
      </c>
      <c r="C6298" s="2">
        <v>854.11770000000001</v>
      </c>
      <c r="D6298" s="2">
        <f>HYPERLINK("http://mcb-m6.bioreg.kyushu-u.ac.jp/M3/20110318/F50596/2009/1", 65.57)</f>
        <v>65.569999999999993</v>
      </c>
      <c r="E6298" s="2">
        <v>47.58</v>
      </c>
      <c r="F6298" s="2">
        <v>2</v>
      </c>
      <c r="G6298" s="2" t="s">
        <v>10</v>
      </c>
    </row>
    <row r="6299" spans="1:7" x14ac:dyDescent="0.2">
      <c r="A6299" s="2" t="s">
        <v>3689</v>
      </c>
      <c r="B6299" s="2" t="s">
        <v>2298</v>
      </c>
      <c r="C6299" s="2">
        <v>853.77009999999996</v>
      </c>
      <c r="D6299" s="2">
        <f>HYPERLINK("http://mcb-m6.bioreg.kyushu-u.ac.jp/M3/20110418/F50978/2608/1", 38.67)</f>
        <v>38.67</v>
      </c>
      <c r="E6299" s="2">
        <v>26.74</v>
      </c>
      <c r="F6299" s="2">
        <v>2</v>
      </c>
      <c r="G6299" s="2" t="s">
        <v>11</v>
      </c>
    </row>
    <row r="6300" spans="1:7" x14ac:dyDescent="0.2">
      <c r="A6300" s="2" t="s">
        <v>3689</v>
      </c>
      <c r="B6300" s="2" t="s">
        <v>654</v>
      </c>
      <c r="C6300" s="2">
        <v>795.80409999999995</v>
      </c>
      <c r="D6300" s="2">
        <f>HYPERLINK("http://mcb-m6.bioreg.kyushu-u.ac.jp/M3/20110418/F50978/2361/1", 59.57)</f>
        <v>59.57</v>
      </c>
      <c r="E6300" s="2">
        <v>45.91</v>
      </c>
      <c r="F6300" s="2">
        <v>2</v>
      </c>
      <c r="G6300" s="2" t="s">
        <v>11</v>
      </c>
    </row>
    <row r="6301" spans="1:7" x14ac:dyDescent="0.2">
      <c r="A6301" s="2" t="s">
        <v>3689</v>
      </c>
      <c r="B6301" s="2" t="s">
        <v>3176</v>
      </c>
      <c r="C6301" s="2">
        <v>609.86720000000003</v>
      </c>
      <c r="D6301" s="2">
        <f>HYPERLINK("http://mcb-m6.bioreg.kyushu-u.ac.jp/M3/20110418/F50988/1706/1", 40.2)</f>
        <v>40.200000000000003</v>
      </c>
      <c r="E6301" s="2">
        <v>23.83</v>
      </c>
      <c r="F6301" s="2">
        <v>2</v>
      </c>
      <c r="G6301" s="2" t="s">
        <v>12</v>
      </c>
    </row>
    <row r="6302" spans="1:7" x14ac:dyDescent="0.2">
      <c r="A6302" s="2" t="s">
        <v>3689</v>
      </c>
      <c r="B6302" s="2" t="s">
        <v>5297</v>
      </c>
      <c r="C6302" s="2">
        <v>593.81709999999998</v>
      </c>
      <c r="D6302" s="2">
        <f>HYPERLINK("http://mcb-m6.bioreg.kyushu-u.ac.jp/M3/20110428/F51143/1404/1", 52.89)</f>
        <v>52.89</v>
      </c>
      <c r="E6302" s="2">
        <v>32.19</v>
      </c>
      <c r="F6302" s="2">
        <v>2</v>
      </c>
      <c r="G6302" s="2" t="s">
        <v>14</v>
      </c>
    </row>
    <row r="6303" spans="1:7" x14ac:dyDescent="0.2">
      <c r="A6303" s="2" t="s">
        <v>5641</v>
      </c>
      <c r="B6303" s="2" t="s">
        <v>5071</v>
      </c>
      <c r="C6303" s="2">
        <v>623.47360000000003</v>
      </c>
      <c r="D6303" s="2">
        <f>HYPERLINK("http://mcb-m6.bioreg.kyushu-u.ac.jp/M3/20110318/F50602/1272/1", 46.3)</f>
        <v>46.3</v>
      </c>
      <c r="E6303" s="2">
        <v>24.84</v>
      </c>
      <c r="F6303" s="2">
        <v>2</v>
      </c>
      <c r="G6303" s="2" t="s">
        <v>9</v>
      </c>
    </row>
    <row r="6304" spans="1:7" x14ac:dyDescent="0.2">
      <c r="A6304" s="2" t="s">
        <v>5641</v>
      </c>
      <c r="B6304" s="2" t="s">
        <v>5071</v>
      </c>
      <c r="C6304" s="2">
        <v>623.84770000000003</v>
      </c>
      <c r="D6304" s="2">
        <f>HYPERLINK("http://mcb-m6.bioreg.kyushu-u.ac.jp/M3/20110318/F50596/1290/1", 43.11)</f>
        <v>43.11</v>
      </c>
      <c r="E6304" s="2">
        <v>23.87</v>
      </c>
      <c r="F6304" s="2">
        <v>2</v>
      </c>
      <c r="G6304" s="2" t="s">
        <v>10</v>
      </c>
    </row>
    <row r="6305" spans="1:8" x14ac:dyDescent="0.2">
      <c r="A6305" s="2" t="s">
        <v>3341</v>
      </c>
      <c r="B6305" s="2" t="s">
        <v>1197</v>
      </c>
      <c r="C6305" s="2">
        <v>890.38819999999998</v>
      </c>
      <c r="D6305" s="2">
        <f>HYPERLINK("http://mcb-m6.bioreg.kyushu-u.ac.jp/M3/20110318/F50599/2119/1", 79.54)</f>
        <v>79.540000000000006</v>
      </c>
      <c r="E6305" s="2">
        <v>69.739999999999995</v>
      </c>
      <c r="F6305" s="2">
        <v>2</v>
      </c>
      <c r="G6305" s="2" t="s">
        <v>10</v>
      </c>
    </row>
    <row r="6306" spans="1:8" x14ac:dyDescent="0.2">
      <c r="A6306" s="2" t="s">
        <v>3898</v>
      </c>
      <c r="B6306" s="2" t="s">
        <v>1046</v>
      </c>
      <c r="C6306" s="2">
        <v>703.16060000000004</v>
      </c>
      <c r="D6306" s="2">
        <f>HYPERLINK("http://mcb-m6.bioreg.kyushu-u.ac.jp/M3/20110318/F50597/1435/1", 60.74)</f>
        <v>60.74</v>
      </c>
      <c r="E6306" s="2">
        <v>52.45</v>
      </c>
      <c r="F6306" s="2">
        <v>2</v>
      </c>
      <c r="G6306" s="2" t="s">
        <v>10</v>
      </c>
    </row>
    <row r="6307" spans="1:8" x14ac:dyDescent="0.2">
      <c r="A6307" s="2" t="s">
        <v>3898</v>
      </c>
      <c r="B6307" s="2" t="s">
        <v>3149</v>
      </c>
      <c r="C6307" s="2">
        <v>641.79470000000003</v>
      </c>
      <c r="D6307" s="2">
        <f>HYPERLINK("http://mcb-m6.bioreg.kyushu-u.ac.jp/M3/20110429/F51157/1243/1", 45.84)</f>
        <v>45.84</v>
      </c>
      <c r="E6307" s="2">
        <v>27.4</v>
      </c>
      <c r="F6307" s="2">
        <v>2</v>
      </c>
      <c r="G6307" s="2" t="s">
        <v>13</v>
      </c>
    </row>
    <row r="6308" spans="1:8" x14ac:dyDescent="0.2">
      <c r="A6308" s="2" t="s">
        <v>3898</v>
      </c>
      <c r="B6308" s="2" t="s">
        <v>1046</v>
      </c>
      <c r="C6308" s="2">
        <v>703.15120000000002</v>
      </c>
      <c r="D6308" s="2">
        <f>HYPERLINK("http://mcb-m6.bioreg.kyushu-u.ac.jp/M3/20110429/F51157/1575/1", 59.85)</f>
        <v>59.85</v>
      </c>
      <c r="E6308" s="2">
        <v>45.6</v>
      </c>
      <c r="F6308" s="2">
        <v>2</v>
      </c>
      <c r="G6308" s="2" t="s">
        <v>13</v>
      </c>
    </row>
    <row r="6309" spans="1:8" x14ac:dyDescent="0.2">
      <c r="A6309" s="2" t="s">
        <v>5635</v>
      </c>
      <c r="B6309" s="2" t="s">
        <v>5061</v>
      </c>
      <c r="C6309" s="2">
        <v>505.80110000000002</v>
      </c>
      <c r="D6309" s="2">
        <f>HYPERLINK("http://mcb-m6.bioreg.kyushu-u.ac.jp/M3/20110318/F50619/855/1", 44.59)</f>
        <v>44.59</v>
      </c>
      <c r="E6309" s="2">
        <v>12.27</v>
      </c>
      <c r="F6309" s="2">
        <v>2</v>
      </c>
      <c r="G6309" s="2" t="s">
        <v>9</v>
      </c>
    </row>
    <row r="6310" spans="1:8" x14ac:dyDescent="0.2">
      <c r="A6310" s="2" t="s">
        <v>3681</v>
      </c>
      <c r="B6310" s="2" t="s">
        <v>912</v>
      </c>
      <c r="C6310" s="2">
        <v>622.92909999999995</v>
      </c>
      <c r="D6310" s="2">
        <f>HYPERLINK("http://mcb-m6.bioreg.kyushu-u.ac.jp/M3/20110318/F50619/1108/1", 35.82)</f>
        <v>35.82</v>
      </c>
      <c r="E6310" s="2">
        <v>15.32</v>
      </c>
      <c r="F6310" s="2">
        <v>2</v>
      </c>
      <c r="G6310" s="2" t="s">
        <v>9</v>
      </c>
    </row>
    <row r="6311" spans="1:8" x14ac:dyDescent="0.2">
      <c r="A6311" s="2" t="s">
        <v>3681</v>
      </c>
      <c r="B6311" s="2" t="s">
        <v>4999</v>
      </c>
      <c r="C6311" s="2">
        <v>949.25649999999996</v>
      </c>
      <c r="D6311" s="2">
        <f>HYPERLINK("http://mcb-m6.bioreg.kyushu-u.ac.jp/M3/20110318/F50602/2744/1", 36.44)</f>
        <v>36.44</v>
      </c>
      <c r="E6311" s="2">
        <v>28.22</v>
      </c>
      <c r="F6311" s="2">
        <v>3</v>
      </c>
      <c r="G6311" s="2" t="s">
        <v>9</v>
      </c>
    </row>
    <row r="6312" spans="1:8" x14ac:dyDescent="0.2">
      <c r="A6312" s="2" t="s">
        <v>3681</v>
      </c>
      <c r="B6312" s="2" t="s">
        <v>636</v>
      </c>
      <c r="C6312" s="2">
        <v>899.31569999999999</v>
      </c>
      <c r="D6312" s="2">
        <f>HYPERLINK("http://mcb-m6.bioreg.kyushu-u.ac.jp/M3/20110318/F50619/1983/1", 37.05)</f>
        <v>37.049999999999997</v>
      </c>
      <c r="E6312" s="2">
        <v>22.67</v>
      </c>
      <c r="F6312" s="2">
        <v>2</v>
      </c>
      <c r="G6312" s="2" t="s">
        <v>9</v>
      </c>
    </row>
    <row r="6313" spans="1:8" x14ac:dyDescent="0.2">
      <c r="A6313" s="2" t="s">
        <v>3681</v>
      </c>
      <c r="B6313" s="2" t="s">
        <v>636</v>
      </c>
      <c r="C6313" s="2">
        <v>600.3818</v>
      </c>
      <c r="D6313" s="2">
        <f>HYPERLINK("http://mcb-m6.bioreg.kyushu-u.ac.jp/M3/20110318/F50619/1986/1", 38.76)</f>
        <v>38.76</v>
      </c>
      <c r="E6313" s="2">
        <v>25.52</v>
      </c>
      <c r="F6313" s="2">
        <v>3</v>
      </c>
      <c r="G6313" s="2" t="s">
        <v>9</v>
      </c>
    </row>
    <row r="6314" spans="1:8" x14ac:dyDescent="0.2">
      <c r="A6314" s="2" t="s">
        <v>3681</v>
      </c>
      <c r="B6314" s="2" t="s">
        <v>912</v>
      </c>
      <c r="C6314" s="2">
        <v>622.25369999999998</v>
      </c>
      <c r="D6314" s="2">
        <f>HYPERLINK("http://mcb-m6.bioreg.kyushu-u.ac.jp/M3/20110318/F50619/1103/1", 39.14)</f>
        <v>39.14</v>
      </c>
      <c r="E6314" s="2">
        <v>21.27</v>
      </c>
      <c r="F6314" s="2">
        <v>2</v>
      </c>
      <c r="G6314" s="2" t="s">
        <v>9</v>
      </c>
    </row>
    <row r="6315" spans="1:8" x14ac:dyDescent="0.2">
      <c r="A6315" s="2" t="s">
        <v>3681</v>
      </c>
      <c r="B6315" s="2" t="s">
        <v>636</v>
      </c>
      <c r="C6315" s="2">
        <v>605.28579999999999</v>
      </c>
      <c r="D6315" s="2">
        <f>HYPERLINK("http://mcb-m6.bioreg.kyushu-u.ac.jp/M3/20110318/F50609/2046/1", 42.58)</f>
        <v>42.58</v>
      </c>
      <c r="E6315" s="2">
        <v>33.01</v>
      </c>
      <c r="F6315" s="2">
        <v>3</v>
      </c>
      <c r="G6315" s="2" t="s">
        <v>9</v>
      </c>
      <c r="H6315" s="2" t="s">
        <v>4907</v>
      </c>
    </row>
    <row r="6316" spans="1:8" x14ac:dyDescent="0.2">
      <c r="A6316" s="2" t="s">
        <v>3681</v>
      </c>
      <c r="B6316" s="2" t="s">
        <v>1904</v>
      </c>
      <c r="C6316" s="2">
        <v>1210.636</v>
      </c>
      <c r="D6316" s="2">
        <f>HYPERLINK("http://mcb-m6.bioreg.kyushu-u.ac.jp/M3/20110318/F50606/1069/1", 45)</f>
        <v>45</v>
      </c>
      <c r="E6316" s="2">
        <v>33.44</v>
      </c>
      <c r="F6316" s="2">
        <v>1</v>
      </c>
      <c r="G6316" s="2" t="s">
        <v>9</v>
      </c>
    </row>
    <row r="6317" spans="1:8" x14ac:dyDescent="0.2">
      <c r="A6317" s="2" t="s">
        <v>3681</v>
      </c>
      <c r="B6317" s="2" t="s">
        <v>636</v>
      </c>
      <c r="C6317" s="2">
        <v>908.02070000000003</v>
      </c>
      <c r="D6317" s="2">
        <f>HYPERLINK("http://mcb-m6.bioreg.kyushu-u.ac.jp/M3/20110318/F50606/2057/1", 45.19)</f>
        <v>45.19</v>
      </c>
      <c r="E6317" s="2">
        <v>26.86</v>
      </c>
      <c r="F6317" s="2">
        <v>2</v>
      </c>
      <c r="G6317" s="2" t="s">
        <v>9</v>
      </c>
      <c r="H6317" s="2" t="s">
        <v>4907</v>
      </c>
    </row>
    <row r="6318" spans="1:8" x14ac:dyDescent="0.2">
      <c r="A6318" s="2" t="s">
        <v>3681</v>
      </c>
      <c r="B6318" s="2" t="s">
        <v>4999</v>
      </c>
      <c r="C6318" s="2">
        <v>949.43389999999999</v>
      </c>
      <c r="D6318" s="2">
        <f>HYPERLINK("http://mcb-m6.bioreg.kyushu-u.ac.jp/M3/20110318/F50608/2942/1", 45.31)</f>
        <v>45.31</v>
      </c>
      <c r="E6318" s="2">
        <v>33.06</v>
      </c>
      <c r="F6318" s="2">
        <v>3</v>
      </c>
      <c r="G6318" s="2" t="s">
        <v>9</v>
      </c>
    </row>
    <row r="6319" spans="1:8" x14ac:dyDescent="0.2">
      <c r="A6319" s="2" t="s">
        <v>3681</v>
      </c>
      <c r="B6319" s="2" t="s">
        <v>1904</v>
      </c>
      <c r="C6319" s="2">
        <v>1210.404</v>
      </c>
      <c r="D6319" s="2">
        <f>HYPERLINK("http://mcb-m6.bioreg.kyushu-u.ac.jp/M3/20110318/F50619/1071/1", 46.03)</f>
        <v>46.03</v>
      </c>
      <c r="E6319" s="2">
        <v>33.42</v>
      </c>
      <c r="F6319" s="2">
        <v>1</v>
      </c>
      <c r="G6319" s="2" t="s">
        <v>9</v>
      </c>
    </row>
    <row r="6320" spans="1:8" x14ac:dyDescent="0.2">
      <c r="A6320" s="2" t="s">
        <v>3681</v>
      </c>
      <c r="B6320" s="2" t="s">
        <v>912</v>
      </c>
      <c r="C6320" s="2">
        <v>622.34720000000004</v>
      </c>
      <c r="D6320" s="2">
        <f>HYPERLINK("http://mcb-m6.bioreg.kyushu-u.ac.jp/M3/20110318/F50609/1331/1", 46.17)</f>
        <v>46.17</v>
      </c>
      <c r="E6320" s="2">
        <v>19.91</v>
      </c>
      <c r="F6320" s="2">
        <v>2</v>
      </c>
      <c r="G6320" s="2" t="s">
        <v>9</v>
      </c>
    </row>
    <row r="6321" spans="1:8" x14ac:dyDescent="0.2">
      <c r="A6321" s="2" t="s">
        <v>3681</v>
      </c>
      <c r="B6321" s="2" t="s">
        <v>1904</v>
      </c>
      <c r="C6321" s="2">
        <v>606.03970000000004</v>
      </c>
      <c r="D6321" s="2">
        <f>HYPERLINK("http://mcb-m6.bioreg.kyushu-u.ac.jp/M3/20110318/F50621/1202/1", 46.64)</f>
        <v>46.64</v>
      </c>
      <c r="E6321" s="2">
        <v>35.700000000000003</v>
      </c>
      <c r="F6321" s="2">
        <v>2</v>
      </c>
      <c r="G6321" s="2" t="s">
        <v>9</v>
      </c>
    </row>
    <row r="6322" spans="1:8" x14ac:dyDescent="0.2">
      <c r="A6322" s="2" t="s">
        <v>3681</v>
      </c>
      <c r="B6322" s="2" t="s">
        <v>636</v>
      </c>
      <c r="C6322" s="2">
        <v>605.26620000000003</v>
      </c>
      <c r="D6322" s="2">
        <f>HYPERLINK("http://mcb-m6.bioreg.kyushu-u.ac.jp/M3/20110318/F50619/2005/1", 47.42)</f>
        <v>47.42</v>
      </c>
      <c r="E6322" s="2">
        <v>34.61</v>
      </c>
      <c r="F6322" s="2">
        <v>3</v>
      </c>
      <c r="G6322" s="2" t="s">
        <v>9</v>
      </c>
      <c r="H6322" s="2" t="s">
        <v>4907</v>
      </c>
    </row>
    <row r="6323" spans="1:8" x14ac:dyDescent="0.2">
      <c r="A6323" s="2" t="s">
        <v>3681</v>
      </c>
      <c r="B6323" s="2" t="s">
        <v>1904</v>
      </c>
      <c r="C6323" s="2">
        <v>605.86469999999997</v>
      </c>
      <c r="D6323" s="2">
        <f>HYPERLINK("http://mcb-m6.bioreg.kyushu-u.ac.jp/M3/20110318/F50602/1251/1", 47.81)</f>
        <v>47.81</v>
      </c>
      <c r="E6323" s="2">
        <v>40.67</v>
      </c>
      <c r="F6323" s="2">
        <v>2</v>
      </c>
      <c r="G6323" s="2" t="s">
        <v>9</v>
      </c>
    </row>
    <row r="6324" spans="1:8" x14ac:dyDescent="0.2">
      <c r="A6324" s="2" t="s">
        <v>3681</v>
      </c>
      <c r="B6324" s="2" t="s">
        <v>1904</v>
      </c>
      <c r="C6324" s="2">
        <v>605.85469999999998</v>
      </c>
      <c r="D6324" s="2">
        <f>HYPERLINK("http://mcb-m6.bioreg.kyushu-u.ac.jp/M3/20110318/F50610/1441/1", 49.63)</f>
        <v>49.63</v>
      </c>
      <c r="E6324" s="2">
        <v>31.12</v>
      </c>
      <c r="F6324" s="2">
        <v>2</v>
      </c>
      <c r="G6324" s="2" t="s">
        <v>9</v>
      </c>
    </row>
    <row r="6325" spans="1:8" x14ac:dyDescent="0.2">
      <c r="A6325" s="2" t="s">
        <v>3681</v>
      </c>
      <c r="B6325" s="2" t="s">
        <v>912</v>
      </c>
      <c r="C6325" s="2">
        <v>1243.4179999999999</v>
      </c>
      <c r="D6325" s="2">
        <f>HYPERLINK("http://mcb-m6.bioreg.kyushu-u.ac.jp/M3/20110318/F50609/1329/1", 49.88)</f>
        <v>49.88</v>
      </c>
      <c r="E6325" s="2">
        <v>32.61</v>
      </c>
      <c r="F6325" s="2">
        <v>1</v>
      </c>
      <c r="G6325" s="2" t="s">
        <v>9</v>
      </c>
    </row>
    <row r="6326" spans="1:8" x14ac:dyDescent="0.2">
      <c r="A6326" s="2" t="s">
        <v>3681</v>
      </c>
      <c r="B6326" s="2" t="s">
        <v>1904</v>
      </c>
      <c r="C6326" s="2">
        <v>605.92219999999998</v>
      </c>
      <c r="D6326" s="2">
        <f>HYPERLINK("http://mcb-m6.bioreg.kyushu-u.ac.jp/M3/20110318/F50601/1351/1", 49.91)</f>
        <v>49.91</v>
      </c>
      <c r="E6326" s="2">
        <v>37.93</v>
      </c>
      <c r="F6326" s="2">
        <v>2</v>
      </c>
      <c r="G6326" s="2" t="s">
        <v>9</v>
      </c>
    </row>
    <row r="6327" spans="1:8" x14ac:dyDescent="0.2">
      <c r="A6327" s="2" t="s">
        <v>3681</v>
      </c>
      <c r="B6327" s="2" t="s">
        <v>1904</v>
      </c>
      <c r="C6327" s="2">
        <v>605.78470000000004</v>
      </c>
      <c r="D6327" s="2">
        <f>HYPERLINK("http://mcb-m6.bioreg.kyushu-u.ac.jp/M3/20110318/F50620/1253/1", 51.04)</f>
        <v>51.04</v>
      </c>
      <c r="E6327" s="2">
        <v>34.61</v>
      </c>
      <c r="F6327" s="2">
        <v>2</v>
      </c>
      <c r="G6327" s="2" t="s">
        <v>9</v>
      </c>
    </row>
    <row r="6328" spans="1:8" x14ac:dyDescent="0.2">
      <c r="A6328" s="2" t="s">
        <v>3681</v>
      </c>
      <c r="B6328" s="2" t="s">
        <v>636</v>
      </c>
      <c r="C6328" s="2">
        <v>605.56179999999995</v>
      </c>
      <c r="D6328" s="2">
        <f>HYPERLINK("http://mcb-m6.bioreg.kyushu-u.ac.jp/M3/20110318/F50606/2056/1", 51.7)</f>
        <v>51.7</v>
      </c>
      <c r="E6328" s="2">
        <v>38.369999999999997</v>
      </c>
      <c r="F6328" s="2">
        <v>3</v>
      </c>
      <c r="G6328" s="2" t="s">
        <v>9</v>
      </c>
      <c r="H6328" s="2" t="s">
        <v>4907</v>
      </c>
    </row>
    <row r="6329" spans="1:8" x14ac:dyDescent="0.2">
      <c r="A6329" s="2" t="s">
        <v>3681</v>
      </c>
      <c r="B6329" s="2" t="s">
        <v>912</v>
      </c>
      <c r="C6329" s="2">
        <v>622.31820000000005</v>
      </c>
      <c r="D6329" s="2">
        <f>HYPERLINK("http://mcb-m6.bioreg.kyushu-u.ac.jp/M3/20110318/F50619/1104/1", 53.14)</f>
        <v>53.14</v>
      </c>
      <c r="E6329" s="2">
        <v>28.64</v>
      </c>
      <c r="F6329" s="2">
        <v>2</v>
      </c>
      <c r="G6329" s="2" t="s">
        <v>9</v>
      </c>
    </row>
    <row r="6330" spans="1:8" x14ac:dyDescent="0.2">
      <c r="A6330" s="2" t="s">
        <v>3681</v>
      </c>
      <c r="B6330" s="2" t="s">
        <v>636</v>
      </c>
      <c r="C6330" s="2">
        <v>605.46590000000003</v>
      </c>
      <c r="D6330" s="2">
        <f>HYPERLINK("http://mcb-m6.bioreg.kyushu-u.ac.jp/M3/20110318/F50621/2014/1", 53.89)</f>
        <v>53.89</v>
      </c>
      <c r="E6330" s="2">
        <v>44.64</v>
      </c>
      <c r="F6330" s="2">
        <v>3</v>
      </c>
      <c r="G6330" s="2" t="s">
        <v>9</v>
      </c>
      <c r="H6330" s="2" t="s">
        <v>4907</v>
      </c>
    </row>
    <row r="6331" spans="1:8" x14ac:dyDescent="0.2">
      <c r="A6331" s="2" t="s">
        <v>3681</v>
      </c>
      <c r="B6331" s="2" t="s">
        <v>636</v>
      </c>
      <c r="C6331" s="2">
        <v>605.60019999999997</v>
      </c>
      <c r="D6331" s="2">
        <f>HYPERLINK("http://mcb-m6.bioreg.kyushu-u.ac.jp/M3/20110318/F50620/2260/1", 55.05)</f>
        <v>55.05</v>
      </c>
      <c r="E6331" s="2">
        <v>45.68</v>
      </c>
      <c r="F6331" s="2">
        <v>3</v>
      </c>
      <c r="G6331" s="2" t="s">
        <v>9</v>
      </c>
      <c r="H6331" s="2" t="s">
        <v>4907</v>
      </c>
    </row>
    <row r="6332" spans="1:8" x14ac:dyDescent="0.2">
      <c r="A6332" s="2" t="s">
        <v>3681</v>
      </c>
      <c r="B6332" s="2" t="s">
        <v>2393</v>
      </c>
      <c r="C6332" s="2">
        <v>935.78369999999995</v>
      </c>
      <c r="D6332" s="2">
        <f>HYPERLINK("http://mcb-m6.bioreg.kyushu-u.ac.jp/M3/20110318/F50619/2083/1", 55.07)</f>
        <v>55.07</v>
      </c>
      <c r="E6332" s="2">
        <v>42.41</v>
      </c>
      <c r="F6332" s="2">
        <v>2</v>
      </c>
      <c r="G6332" s="2" t="s">
        <v>9</v>
      </c>
      <c r="H6332" s="2" t="s">
        <v>4901</v>
      </c>
    </row>
    <row r="6333" spans="1:8" x14ac:dyDescent="0.2">
      <c r="A6333" s="2" t="s">
        <v>3681</v>
      </c>
      <c r="B6333" s="2" t="s">
        <v>1904</v>
      </c>
      <c r="C6333" s="2">
        <v>605.80909999999994</v>
      </c>
      <c r="D6333" s="2">
        <f>HYPERLINK("http://mcb-m6.bioreg.kyushu-u.ac.jp/M3/20110318/F50619/1074/1", 55.42)</f>
        <v>55.42</v>
      </c>
      <c r="E6333" s="2">
        <v>39.72</v>
      </c>
      <c r="F6333" s="2">
        <v>2</v>
      </c>
      <c r="G6333" s="2" t="s">
        <v>9</v>
      </c>
    </row>
    <row r="6334" spans="1:8" x14ac:dyDescent="0.2">
      <c r="A6334" s="2" t="s">
        <v>3681</v>
      </c>
      <c r="B6334" s="2" t="s">
        <v>1904</v>
      </c>
      <c r="C6334" s="2">
        <v>605.81820000000005</v>
      </c>
      <c r="D6334" s="2">
        <f>HYPERLINK("http://mcb-m6.bioreg.kyushu-u.ac.jp/M3/20110318/F50618/1114/1", 55.47)</f>
        <v>55.47</v>
      </c>
      <c r="E6334" s="2">
        <v>36.130000000000003</v>
      </c>
      <c r="F6334" s="2">
        <v>2</v>
      </c>
      <c r="G6334" s="2" t="s">
        <v>9</v>
      </c>
    </row>
    <row r="6335" spans="1:8" x14ac:dyDescent="0.2">
      <c r="A6335" s="2" t="s">
        <v>3681</v>
      </c>
      <c r="B6335" s="2" t="s">
        <v>912</v>
      </c>
      <c r="C6335" s="2">
        <v>622.75519999999995</v>
      </c>
      <c r="D6335" s="2">
        <f>HYPERLINK("http://mcb-m6.bioreg.kyushu-u.ac.jp/M3/20110318/F50619/1106/1", 57.72)</f>
        <v>57.72</v>
      </c>
      <c r="E6335" s="2">
        <v>35.35</v>
      </c>
      <c r="F6335" s="2">
        <v>2</v>
      </c>
      <c r="G6335" s="2" t="s">
        <v>9</v>
      </c>
    </row>
    <row r="6336" spans="1:8" x14ac:dyDescent="0.2">
      <c r="A6336" s="2" t="s">
        <v>3681</v>
      </c>
      <c r="B6336" s="2" t="s">
        <v>5111</v>
      </c>
      <c r="C6336" s="2">
        <v>550.69820000000004</v>
      </c>
      <c r="D6336" s="2">
        <f>HYPERLINK("http://mcb-m6.bioreg.kyushu-u.ac.jp/M3/20110318/F50619/953/1", 58.37)</f>
        <v>58.37</v>
      </c>
      <c r="E6336" s="2">
        <v>30.47</v>
      </c>
      <c r="F6336" s="2">
        <v>2</v>
      </c>
      <c r="G6336" s="2" t="s">
        <v>9</v>
      </c>
    </row>
    <row r="6337" spans="1:8" x14ac:dyDescent="0.2">
      <c r="A6337" s="2" t="s">
        <v>3681</v>
      </c>
      <c r="B6337" s="2" t="s">
        <v>912</v>
      </c>
      <c r="C6337" s="2">
        <v>1243.731</v>
      </c>
      <c r="D6337" s="2">
        <f>HYPERLINK("http://mcb-m6.bioreg.kyushu-u.ac.jp/M3/20110318/F50606/1107/1", 59.11)</f>
        <v>59.11</v>
      </c>
      <c r="E6337" s="2">
        <v>47.6</v>
      </c>
      <c r="F6337" s="2">
        <v>1</v>
      </c>
      <c r="G6337" s="2" t="s">
        <v>9</v>
      </c>
    </row>
    <row r="6338" spans="1:8" x14ac:dyDescent="0.2">
      <c r="A6338" s="2" t="s">
        <v>3681</v>
      </c>
      <c r="B6338" s="2" t="s">
        <v>1904</v>
      </c>
      <c r="C6338" s="2">
        <v>606.03120000000001</v>
      </c>
      <c r="D6338" s="2">
        <f>HYPERLINK("http://mcb-m6.bioreg.kyushu-u.ac.jp/M3/20110318/F50603/1183/1", 61.2)</f>
        <v>61.2</v>
      </c>
      <c r="E6338" s="2">
        <v>50.33</v>
      </c>
      <c r="F6338" s="2">
        <v>2</v>
      </c>
      <c r="G6338" s="2" t="s">
        <v>9</v>
      </c>
    </row>
    <row r="6339" spans="1:8" x14ac:dyDescent="0.2">
      <c r="A6339" s="2" t="s">
        <v>3681</v>
      </c>
      <c r="B6339" s="2" t="s">
        <v>912</v>
      </c>
      <c r="C6339" s="2">
        <v>1243.575</v>
      </c>
      <c r="D6339" s="2">
        <f>HYPERLINK("http://mcb-m6.bioreg.kyushu-u.ac.jp/M3/20110318/F50602/1269/1", 61.79)</f>
        <v>61.79</v>
      </c>
      <c r="E6339" s="2">
        <v>46.35</v>
      </c>
      <c r="F6339" s="2">
        <v>1</v>
      </c>
      <c r="G6339" s="2" t="s">
        <v>9</v>
      </c>
    </row>
    <row r="6340" spans="1:8" x14ac:dyDescent="0.2">
      <c r="A6340" s="2" t="s">
        <v>3681</v>
      </c>
      <c r="B6340" s="2" t="s">
        <v>636</v>
      </c>
      <c r="C6340" s="2">
        <v>907.7722</v>
      </c>
      <c r="D6340" s="2">
        <f>HYPERLINK("http://mcb-m6.bioreg.kyushu-u.ac.jp/M3/20110318/F50619/2007/1", 62.31)</f>
        <v>62.31</v>
      </c>
      <c r="E6340" s="2">
        <v>44.89</v>
      </c>
      <c r="F6340" s="2">
        <v>2</v>
      </c>
      <c r="G6340" s="2" t="s">
        <v>9</v>
      </c>
      <c r="H6340" s="2" t="s">
        <v>4907</v>
      </c>
    </row>
    <row r="6341" spans="1:8" x14ac:dyDescent="0.2">
      <c r="A6341" s="2" t="s">
        <v>3681</v>
      </c>
      <c r="B6341" s="2" t="s">
        <v>1904</v>
      </c>
      <c r="C6341" s="2">
        <v>605.8202</v>
      </c>
      <c r="D6341" s="2">
        <f>HYPERLINK("http://mcb-m6.bioreg.kyushu-u.ac.jp/M3/20110318/F50609/1302/1", 62.38)</f>
        <v>62.38</v>
      </c>
      <c r="E6341" s="2">
        <v>50.77</v>
      </c>
      <c r="F6341" s="2">
        <v>2</v>
      </c>
      <c r="G6341" s="2" t="s">
        <v>9</v>
      </c>
    </row>
    <row r="6342" spans="1:8" x14ac:dyDescent="0.2">
      <c r="A6342" s="2" t="s">
        <v>3681</v>
      </c>
      <c r="B6342" s="2" t="s">
        <v>1904</v>
      </c>
      <c r="C6342" s="2">
        <v>605.96810000000005</v>
      </c>
      <c r="D6342" s="2">
        <f>HYPERLINK("http://mcb-m6.bioreg.kyushu-u.ac.jp/M3/20110318/F50607/1192/1", 62.57)</f>
        <v>62.57</v>
      </c>
      <c r="E6342" s="2">
        <v>49.96</v>
      </c>
      <c r="F6342" s="2">
        <v>2</v>
      </c>
      <c r="G6342" s="2" t="s">
        <v>9</v>
      </c>
    </row>
    <row r="6343" spans="1:8" x14ac:dyDescent="0.2">
      <c r="A6343" s="2" t="s">
        <v>3681</v>
      </c>
      <c r="B6343" s="2" t="s">
        <v>912</v>
      </c>
      <c r="C6343" s="2">
        <v>1243.347</v>
      </c>
      <c r="D6343" s="2">
        <f>HYPERLINK("http://mcb-m6.bioreg.kyushu-u.ac.jp/M3/20110318/F50619/1102/1", 63.07)</f>
        <v>63.07</v>
      </c>
      <c r="E6343" s="2">
        <v>43.81</v>
      </c>
      <c r="F6343" s="2">
        <v>1</v>
      </c>
      <c r="G6343" s="2" t="s">
        <v>9</v>
      </c>
    </row>
    <row r="6344" spans="1:8" x14ac:dyDescent="0.2">
      <c r="A6344" s="2" t="s">
        <v>3681</v>
      </c>
      <c r="B6344" s="2" t="s">
        <v>1904</v>
      </c>
      <c r="C6344" s="2">
        <v>606.19370000000004</v>
      </c>
      <c r="D6344" s="2">
        <f>HYPERLINK("http://mcb-m6.bioreg.kyushu-u.ac.jp/M3/20110318/F50608/1172/1", 63.31)</f>
        <v>63.31</v>
      </c>
      <c r="E6344" s="2">
        <v>49.38</v>
      </c>
      <c r="F6344" s="2">
        <v>2</v>
      </c>
      <c r="G6344" s="2" t="s">
        <v>9</v>
      </c>
    </row>
    <row r="6345" spans="1:8" x14ac:dyDescent="0.2">
      <c r="A6345" s="2" t="s">
        <v>3681</v>
      </c>
      <c r="B6345" s="2" t="s">
        <v>1904</v>
      </c>
      <c r="C6345" s="2">
        <v>605.98419999999999</v>
      </c>
      <c r="D6345" s="2">
        <f>HYPERLINK("http://mcb-m6.bioreg.kyushu-u.ac.jp/M3/20110318/F50606/1070/1", 63.48)</f>
        <v>63.48</v>
      </c>
      <c r="E6345" s="2">
        <v>55.99</v>
      </c>
      <c r="F6345" s="2">
        <v>2</v>
      </c>
      <c r="G6345" s="2" t="s">
        <v>9</v>
      </c>
    </row>
    <row r="6346" spans="1:8" x14ac:dyDescent="0.2">
      <c r="A6346" s="2" t="s">
        <v>3681</v>
      </c>
      <c r="B6346" s="2" t="s">
        <v>1904</v>
      </c>
      <c r="C6346" s="2">
        <v>606.00670000000002</v>
      </c>
      <c r="D6346" s="2">
        <f>HYPERLINK("http://mcb-m6.bioreg.kyushu-u.ac.jp/M3/20110318/F50604/1264/1", 64.14)</f>
        <v>64.14</v>
      </c>
      <c r="E6346" s="2">
        <v>50.93</v>
      </c>
      <c r="F6346" s="2">
        <v>2</v>
      </c>
      <c r="G6346" s="2" t="s">
        <v>9</v>
      </c>
    </row>
    <row r="6347" spans="1:8" x14ac:dyDescent="0.2">
      <c r="A6347" s="2" t="s">
        <v>3681</v>
      </c>
      <c r="B6347" s="2" t="s">
        <v>636</v>
      </c>
      <c r="C6347" s="2">
        <v>907.26570000000004</v>
      </c>
      <c r="D6347" s="2">
        <f>HYPERLINK("http://mcb-m6.bioreg.kyushu-u.ac.jp/M3/20110318/F50619/2004/1", 66.99)</f>
        <v>66.989999999999995</v>
      </c>
      <c r="E6347" s="2">
        <v>51.36</v>
      </c>
      <c r="F6347" s="2">
        <v>2</v>
      </c>
      <c r="G6347" s="2" t="s">
        <v>9</v>
      </c>
      <c r="H6347" s="2" t="s">
        <v>4907</v>
      </c>
    </row>
    <row r="6348" spans="1:8" x14ac:dyDescent="0.2">
      <c r="A6348" s="2" t="s">
        <v>3681</v>
      </c>
      <c r="B6348" s="2" t="s">
        <v>912</v>
      </c>
      <c r="C6348" s="2">
        <v>622.54970000000003</v>
      </c>
      <c r="D6348" s="2">
        <f>HYPERLINK("http://mcb-m6.bioreg.kyushu-u.ac.jp/M3/20110318/F50601/1364/1", 68.2)</f>
        <v>68.2</v>
      </c>
      <c r="E6348" s="2">
        <v>46.1</v>
      </c>
      <c r="F6348" s="2">
        <v>2</v>
      </c>
      <c r="G6348" s="2" t="s">
        <v>9</v>
      </c>
    </row>
    <row r="6349" spans="1:8" x14ac:dyDescent="0.2">
      <c r="A6349" s="2" t="s">
        <v>3681</v>
      </c>
      <c r="B6349" s="2" t="s">
        <v>912</v>
      </c>
      <c r="C6349" s="2">
        <v>622.51969999999994</v>
      </c>
      <c r="D6349" s="2">
        <f>HYPERLINK("http://mcb-m6.bioreg.kyushu-u.ac.jp/M3/20110318/F50607/1223/1", 68.9)</f>
        <v>68.900000000000006</v>
      </c>
      <c r="E6349" s="2">
        <v>41.16</v>
      </c>
      <c r="F6349" s="2">
        <v>2</v>
      </c>
      <c r="G6349" s="2" t="s">
        <v>9</v>
      </c>
    </row>
    <row r="6350" spans="1:8" x14ac:dyDescent="0.2">
      <c r="A6350" s="2" t="s">
        <v>3681</v>
      </c>
      <c r="B6350" s="2" t="s">
        <v>912</v>
      </c>
      <c r="C6350" s="2">
        <v>622.45719999999994</v>
      </c>
      <c r="D6350" s="2">
        <f>HYPERLINK("http://mcb-m6.bioreg.kyushu-u.ac.jp/M3/20110318/F50604/1300/1", 70.71)</f>
        <v>70.709999999999994</v>
      </c>
      <c r="E6350" s="2">
        <v>48.71</v>
      </c>
      <c r="F6350" s="2">
        <v>2</v>
      </c>
      <c r="G6350" s="2" t="s">
        <v>9</v>
      </c>
    </row>
    <row r="6351" spans="1:8" x14ac:dyDescent="0.2">
      <c r="A6351" s="2" t="s">
        <v>3681</v>
      </c>
      <c r="B6351" s="2" t="s">
        <v>2393</v>
      </c>
      <c r="C6351" s="2">
        <v>935.36770000000001</v>
      </c>
      <c r="D6351" s="2">
        <f>HYPERLINK("http://mcb-m6.bioreg.kyushu-u.ac.jp/M3/20110318/F50620/2345/1", 75.81)</f>
        <v>75.81</v>
      </c>
      <c r="E6351" s="2">
        <v>58.95</v>
      </c>
      <c r="F6351" s="2">
        <v>2</v>
      </c>
      <c r="G6351" s="2" t="s">
        <v>9</v>
      </c>
      <c r="H6351" s="2" t="s">
        <v>4901</v>
      </c>
    </row>
    <row r="6352" spans="1:8" x14ac:dyDescent="0.2">
      <c r="A6352" s="2" t="s">
        <v>3681</v>
      </c>
      <c r="B6352" s="2" t="s">
        <v>4999</v>
      </c>
      <c r="C6352" s="2">
        <v>949.02419999999995</v>
      </c>
      <c r="D6352" s="2">
        <f>HYPERLINK("http://mcb-m6.bioreg.kyushu-u.ac.jp/M3/20110318/F50619/3132/1", 77.47)</f>
        <v>77.47</v>
      </c>
      <c r="E6352" s="2">
        <v>62.84</v>
      </c>
      <c r="F6352" s="2">
        <v>3</v>
      </c>
      <c r="G6352" s="2" t="s">
        <v>9</v>
      </c>
    </row>
    <row r="6353" spans="1:9" x14ac:dyDescent="0.2">
      <c r="A6353" s="2" t="s">
        <v>3681</v>
      </c>
      <c r="B6353" s="2" t="s">
        <v>912</v>
      </c>
      <c r="C6353" s="2">
        <v>622.37660000000005</v>
      </c>
      <c r="D6353" s="2">
        <f>HYPERLINK("http://mcb-m6.bioreg.kyushu-u.ac.jp/M3/20110318/F50602/1270/1", 77.87)</f>
        <v>77.87</v>
      </c>
      <c r="E6353" s="2">
        <v>59.45</v>
      </c>
      <c r="F6353" s="2">
        <v>2</v>
      </c>
      <c r="G6353" s="2" t="s">
        <v>9</v>
      </c>
    </row>
    <row r="6354" spans="1:9" x14ac:dyDescent="0.2">
      <c r="A6354" s="2" t="s">
        <v>3681</v>
      </c>
      <c r="B6354" s="2" t="s">
        <v>4999</v>
      </c>
      <c r="C6354" s="2">
        <v>949.2242</v>
      </c>
      <c r="D6354" s="2">
        <f>HYPERLINK("http://mcb-m6.bioreg.kyushu-u.ac.jp/M3/20110318/F50606/3234/1", 80.85)</f>
        <v>80.849999999999994</v>
      </c>
      <c r="E6354" s="2">
        <v>67.599999999999994</v>
      </c>
      <c r="F6354" s="2">
        <v>3</v>
      </c>
      <c r="G6354" s="2" t="s">
        <v>9</v>
      </c>
    </row>
    <row r="6355" spans="1:9" x14ac:dyDescent="0.2">
      <c r="A6355" s="2" t="s">
        <v>3681</v>
      </c>
      <c r="B6355" s="2" t="s">
        <v>5177</v>
      </c>
      <c r="C6355" s="2">
        <v>560.23220000000003</v>
      </c>
      <c r="D6355" s="2">
        <f>HYPERLINK("http://mcb-m6.bioreg.kyushu-u.ac.jp/M3/20110318/F50619/975/1", 81.61)</f>
        <v>81.61</v>
      </c>
      <c r="E6355" s="2">
        <v>49.34</v>
      </c>
      <c r="F6355" s="2">
        <v>2</v>
      </c>
      <c r="G6355" s="2" t="s">
        <v>9</v>
      </c>
      <c r="I6355" s="2" t="s">
        <v>4899</v>
      </c>
    </row>
    <row r="6356" spans="1:9" x14ac:dyDescent="0.2">
      <c r="A6356" s="2" t="s">
        <v>3681</v>
      </c>
      <c r="B6356" s="2" t="s">
        <v>2393</v>
      </c>
      <c r="C6356" s="2">
        <v>935.4117</v>
      </c>
      <c r="D6356" s="2">
        <f>HYPERLINK("http://mcb-m6.bioreg.kyushu-u.ac.jp/M3/20110318/F50606/2139/1", 82.3)</f>
        <v>82.3</v>
      </c>
      <c r="E6356" s="2">
        <v>72.180000000000007</v>
      </c>
      <c r="F6356" s="2">
        <v>2</v>
      </c>
      <c r="G6356" s="2" t="s">
        <v>9</v>
      </c>
      <c r="H6356" s="2" t="s">
        <v>4901</v>
      </c>
    </row>
    <row r="6357" spans="1:9" x14ac:dyDescent="0.2">
      <c r="A6357" s="2" t="s">
        <v>3681</v>
      </c>
      <c r="B6357" s="2" t="s">
        <v>2393</v>
      </c>
      <c r="C6357" s="2">
        <v>935.95010000000002</v>
      </c>
      <c r="D6357" s="2">
        <f>HYPERLINK("http://mcb-m6.bioreg.kyushu-u.ac.jp/M3/20110318/F50602/1984/1", 83.51)</f>
        <v>83.51</v>
      </c>
      <c r="E6357" s="2">
        <v>66.31</v>
      </c>
      <c r="F6357" s="2">
        <v>2</v>
      </c>
      <c r="G6357" s="2" t="s">
        <v>9</v>
      </c>
      <c r="H6357" s="2" t="s">
        <v>4901</v>
      </c>
    </row>
    <row r="6358" spans="1:9" x14ac:dyDescent="0.2">
      <c r="A6358" s="2" t="s">
        <v>3681</v>
      </c>
      <c r="B6358" s="2" t="s">
        <v>2393</v>
      </c>
      <c r="C6358" s="2">
        <v>935.3691</v>
      </c>
      <c r="D6358" s="2">
        <f>HYPERLINK("http://mcb-m6.bioreg.kyushu-u.ac.jp/M3/20110318/F50609/2092/1", 83.68)</f>
        <v>83.68</v>
      </c>
      <c r="E6358" s="2">
        <v>69.52</v>
      </c>
      <c r="F6358" s="2">
        <v>2</v>
      </c>
      <c r="G6358" s="2" t="s">
        <v>9</v>
      </c>
      <c r="H6358" s="2" t="s">
        <v>4901</v>
      </c>
    </row>
    <row r="6359" spans="1:9" x14ac:dyDescent="0.2">
      <c r="A6359" s="2" t="s">
        <v>3681</v>
      </c>
      <c r="B6359" s="2" t="s">
        <v>2393</v>
      </c>
      <c r="C6359" s="2">
        <v>935.30870000000004</v>
      </c>
      <c r="D6359" s="2">
        <f>HYPERLINK("http://mcb-m6.bioreg.kyushu-u.ac.jp/M3/20110318/F50621/2047/1", 84.42)</f>
        <v>84.42</v>
      </c>
      <c r="E6359" s="2">
        <v>69.47</v>
      </c>
      <c r="F6359" s="2">
        <v>2</v>
      </c>
      <c r="G6359" s="2" t="s">
        <v>9</v>
      </c>
      <c r="H6359" s="2" t="s">
        <v>4901</v>
      </c>
    </row>
    <row r="6360" spans="1:9" x14ac:dyDescent="0.2">
      <c r="A6360" s="2" t="s">
        <v>3681</v>
      </c>
      <c r="B6360" s="2" t="s">
        <v>2393</v>
      </c>
      <c r="C6360" s="2">
        <v>935.42219999999998</v>
      </c>
      <c r="D6360" s="2">
        <f>HYPERLINK("http://mcb-m6.bioreg.kyushu-u.ac.jp/M3/20110318/F50602/1981/1", 85.58)</f>
        <v>85.58</v>
      </c>
      <c r="E6360" s="2">
        <v>70.430000000000007</v>
      </c>
      <c r="F6360" s="2">
        <v>2</v>
      </c>
      <c r="G6360" s="2" t="s">
        <v>9</v>
      </c>
      <c r="H6360" s="2" t="s">
        <v>4901</v>
      </c>
    </row>
    <row r="6361" spans="1:9" x14ac:dyDescent="0.2">
      <c r="A6361" s="2" t="s">
        <v>3681</v>
      </c>
      <c r="B6361" s="2" t="s">
        <v>2393</v>
      </c>
      <c r="C6361" s="2">
        <v>935.74720000000002</v>
      </c>
      <c r="D6361" s="2">
        <f>HYPERLINK("http://mcb-m6.bioreg.kyushu-u.ac.jp/M3/20110318/F50608/2049/1", 87.05)</f>
        <v>87.05</v>
      </c>
      <c r="E6361" s="2">
        <v>66.400000000000006</v>
      </c>
      <c r="F6361" s="2">
        <v>2</v>
      </c>
      <c r="G6361" s="2" t="s">
        <v>9</v>
      </c>
      <c r="H6361" s="2" t="s">
        <v>4901</v>
      </c>
    </row>
    <row r="6362" spans="1:9" x14ac:dyDescent="0.2">
      <c r="A6362" s="2" t="s">
        <v>3681</v>
      </c>
      <c r="B6362" s="2" t="s">
        <v>2393</v>
      </c>
      <c r="C6362" s="2">
        <v>935.76969999999994</v>
      </c>
      <c r="D6362" s="2">
        <f>HYPERLINK("http://mcb-m6.bioreg.kyushu-u.ac.jp/M3/20110318/F50619/2082/1", 88.12)</f>
        <v>88.12</v>
      </c>
      <c r="E6362" s="2">
        <v>74.61</v>
      </c>
      <c r="F6362" s="2">
        <v>2</v>
      </c>
      <c r="G6362" s="2" t="s">
        <v>9</v>
      </c>
      <c r="H6362" s="2" t="s">
        <v>4901</v>
      </c>
    </row>
    <row r="6363" spans="1:9" x14ac:dyDescent="0.2">
      <c r="A6363" s="2" t="s">
        <v>3681</v>
      </c>
      <c r="B6363" s="2" t="s">
        <v>2393</v>
      </c>
      <c r="C6363" s="2">
        <v>935.26869999999997</v>
      </c>
      <c r="D6363" s="2">
        <f>HYPERLINK("http://mcb-m6.bioreg.kyushu-u.ac.jp/M3/20110318/F50619/2078/1", 99.52)</f>
        <v>99.52</v>
      </c>
      <c r="E6363" s="2">
        <v>85.03</v>
      </c>
      <c r="F6363" s="2">
        <v>2</v>
      </c>
      <c r="G6363" s="2" t="s">
        <v>9</v>
      </c>
      <c r="H6363" s="2" t="s">
        <v>4901</v>
      </c>
    </row>
    <row r="6364" spans="1:9" x14ac:dyDescent="0.2">
      <c r="A6364" s="2" t="s">
        <v>3681</v>
      </c>
      <c r="B6364" s="2" t="s">
        <v>5204</v>
      </c>
      <c r="C6364" s="2">
        <v>1316.1479999999999</v>
      </c>
      <c r="D6364" s="2">
        <f>HYPERLINK("http://mcb-m6.bioreg.kyushu-u.ac.jp/M3/20110318/F50619/3479/1", 144.23)</f>
        <v>144.22999999999999</v>
      </c>
      <c r="E6364" s="2">
        <v>127.36</v>
      </c>
      <c r="F6364" s="2">
        <v>3</v>
      </c>
      <c r="G6364" s="2" t="s">
        <v>4984</v>
      </c>
      <c r="I6364" s="2" t="s">
        <v>4899</v>
      </c>
    </row>
    <row r="6365" spans="1:9" x14ac:dyDescent="0.2">
      <c r="A6365" s="2" t="s">
        <v>3681</v>
      </c>
      <c r="B6365" s="2" t="s">
        <v>5244</v>
      </c>
      <c r="C6365" s="2">
        <v>579.36869999999999</v>
      </c>
      <c r="D6365" s="2">
        <f>HYPERLINK("http://mcb-m6.bioreg.kyushu-u.ac.jp/M3/20110318/F50615/1008/1", 39.8)</f>
        <v>39.799999999999997</v>
      </c>
      <c r="E6365" s="2">
        <v>17.93</v>
      </c>
      <c r="F6365" s="2">
        <v>2</v>
      </c>
      <c r="G6365" s="2" t="s">
        <v>10</v>
      </c>
    </row>
    <row r="6366" spans="1:9" x14ac:dyDescent="0.2">
      <c r="A6366" s="2" t="s">
        <v>3681</v>
      </c>
      <c r="B6366" s="2" t="s">
        <v>912</v>
      </c>
      <c r="C6366" s="2">
        <v>622.10220000000004</v>
      </c>
      <c r="D6366" s="2">
        <f>HYPERLINK("http://mcb-m6.bioreg.kyushu-u.ac.jp/M3/20110318/F50611/1271/1", 41.32)</f>
        <v>41.32</v>
      </c>
      <c r="E6366" s="2">
        <v>22.33</v>
      </c>
      <c r="F6366" s="2">
        <v>2</v>
      </c>
      <c r="G6366" s="2" t="s">
        <v>10</v>
      </c>
    </row>
    <row r="6367" spans="1:9" x14ac:dyDescent="0.2">
      <c r="A6367" s="2" t="s">
        <v>3681</v>
      </c>
      <c r="B6367" s="2" t="s">
        <v>1904</v>
      </c>
      <c r="C6367" s="2">
        <v>1210.442</v>
      </c>
      <c r="D6367" s="2">
        <f>HYPERLINK("http://mcb-m6.bioreg.kyushu-u.ac.jp/M3/20110318/F50615/1084/1", 42.92)</f>
        <v>42.92</v>
      </c>
      <c r="E6367" s="2">
        <v>30.24</v>
      </c>
      <c r="F6367" s="2">
        <v>1</v>
      </c>
      <c r="G6367" s="2" t="s">
        <v>10</v>
      </c>
    </row>
    <row r="6368" spans="1:9" x14ac:dyDescent="0.2">
      <c r="A6368" s="2" t="s">
        <v>3681</v>
      </c>
      <c r="B6368" s="2" t="s">
        <v>1904</v>
      </c>
      <c r="C6368" s="2">
        <v>605.9316</v>
      </c>
      <c r="D6368" s="2">
        <f>HYPERLINK("http://mcb-m6.bioreg.kyushu-u.ac.jp/M3/20110318/F50598/1262/1", 44.12)</f>
        <v>44.12</v>
      </c>
      <c r="E6368" s="2">
        <v>34.229999999999997</v>
      </c>
      <c r="F6368" s="2">
        <v>2</v>
      </c>
      <c r="G6368" s="2" t="s">
        <v>10</v>
      </c>
    </row>
    <row r="6369" spans="1:8" x14ac:dyDescent="0.2">
      <c r="A6369" s="2" t="s">
        <v>3681</v>
      </c>
      <c r="B6369" s="2" t="s">
        <v>1904</v>
      </c>
      <c r="C6369" s="2">
        <v>1210.509</v>
      </c>
      <c r="D6369" s="2">
        <f>HYPERLINK("http://mcb-m6.bioreg.kyushu-u.ac.jp/M3/20110318/F50596/1252/1", 45.99)</f>
        <v>45.99</v>
      </c>
      <c r="E6369" s="2">
        <v>34.869999999999997</v>
      </c>
      <c r="F6369" s="2">
        <v>1</v>
      </c>
      <c r="G6369" s="2" t="s">
        <v>10</v>
      </c>
    </row>
    <row r="6370" spans="1:8" x14ac:dyDescent="0.2">
      <c r="A6370" s="2" t="s">
        <v>3681</v>
      </c>
      <c r="B6370" s="2" t="s">
        <v>636</v>
      </c>
      <c r="C6370" s="2">
        <v>605.71320000000003</v>
      </c>
      <c r="D6370" s="2">
        <f>HYPERLINK("http://mcb-m6.bioreg.kyushu-u.ac.jp/M3/20110318/F50615/2126/1", 48.8)</f>
        <v>48.8</v>
      </c>
      <c r="E6370" s="2">
        <v>35.6</v>
      </c>
      <c r="F6370" s="2">
        <v>3</v>
      </c>
      <c r="G6370" s="2" t="s">
        <v>10</v>
      </c>
      <c r="H6370" s="2" t="s">
        <v>4907</v>
      </c>
    </row>
    <row r="6371" spans="1:8" x14ac:dyDescent="0.2">
      <c r="A6371" s="2" t="s">
        <v>3681</v>
      </c>
      <c r="B6371" s="2" t="s">
        <v>1904</v>
      </c>
      <c r="C6371" s="2">
        <v>605.93219999999997</v>
      </c>
      <c r="D6371" s="2">
        <f>HYPERLINK("http://mcb-m6.bioreg.kyushu-u.ac.jp/M3/20110318/F50614/1202/1", 49.48)</f>
        <v>49.48</v>
      </c>
      <c r="E6371" s="2">
        <v>40.67</v>
      </c>
      <c r="F6371" s="2">
        <v>2</v>
      </c>
      <c r="G6371" s="2" t="s">
        <v>10</v>
      </c>
    </row>
    <row r="6372" spans="1:8" x14ac:dyDescent="0.2">
      <c r="A6372" s="2" t="s">
        <v>3681</v>
      </c>
      <c r="B6372" s="2" t="s">
        <v>1904</v>
      </c>
      <c r="C6372" s="2">
        <v>605.87710000000004</v>
      </c>
      <c r="D6372" s="2">
        <f>HYPERLINK("http://mcb-m6.bioreg.kyushu-u.ac.jp/M3/20110318/F50612/1202/1", 49.98)</f>
        <v>49.98</v>
      </c>
      <c r="E6372" s="2">
        <v>36.46</v>
      </c>
      <c r="F6372" s="2">
        <v>2</v>
      </c>
      <c r="G6372" s="2" t="s">
        <v>10</v>
      </c>
    </row>
    <row r="6373" spans="1:8" x14ac:dyDescent="0.2">
      <c r="A6373" s="2" t="s">
        <v>3681</v>
      </c>
      <c r="B6373" s="2" t="s">
        <v>1904</v>
      </c>
      <c r="C6373" s="2">
        <v>605.99959999999999</v>
      </c>
      <c r="D6373" s="2">
        <f>HYPERLINK("http://mcb-m6.bioreg.kyushu-u.ac.jp/M3/20110318/F50595/1454/1", 50.01)</f>
        <v>50.01</v>
      </c>
      <c r="E6373" s="2">
        <v>36.799999999999997</v>
      </c>
      <c r="F6373" s="2">
        <v>2</v>
      </c>
      <c r="G6373" s="2" t="s">
        <v>10</v>
      </c>
    </row>
    <row r="6374" spans="1:8" x14ac:dyDescent="0.2">
      <c r="A6374" s="2" t="s">
        <v>3681</v>
      </c>
      <c r="B6374" s="2" t="s">
        <v>1904</v>
      </c>
      <c r="C6374" s="2">
        <v>605.83119999999997</v>
      </c>
      <c r="D6374" s="2">
        <f>HYPERLINK("http://mcb-m6.bioreg.kyushu-u.ac.jp/M3/20110318/F50611/1237/1", 50.05)</f>
        <v>50.05</v>
      </c>
      <c r="E6374" s="2">
        <v>38.1</v>
      </c>
      <c r="F6374" s="2">
        <v>2</v>
      </c>
      <c r="G6374" s="2" t="s">
        <v>10</v>
      </c>
    </row>
    <row r="6375" spans="1:8" x14ac:dyDescent="0.2">
      <c r="A6375" s="2" t="s">
        <v>3681</v>
      </c>
      <c r="B6375" s="2" t="s">
        <v>636</v>
      </c>
      <c r="C6375" s="2">
        <v>605.42049999999995</v>
      </c>
      <c r="D6375" s="2">
        <f>HYPERLINK("http://mcb-m6.bioreg.kyushu-u.ac.jp/M3/20110318/F50600/2076/1", 50.46)</f>
        <v>50.46</v>
      </c>
      <c r="E6375" s="2">
        <v>35.39</v>
      </c>
      <c r="F6375" s="2">
        <v>3</v>
      </c>
      <c r="G6375" s="2" t="s">
        <v>10</v>
      </c>
      <c r="H6375" s="2" t="s">
        <v>4907</v>
      </c>
    </row>
    <row r="6376" spans="1:8" x14ac:dyDescent="0.2">
      <c r="A6376" s="2" t="s">
        <v>3681</v>
      </c>
      <c r="B6376" s="2" t="s">
        <v>912</v>
      </c>
      <c r="C6376" s="2">
        <v>1243.623</v>
      </c>
      <c r="D6376" s="2">
        <f>HYPERLINK("http://mcb-m6.bioreg.kyushu-u.ac.jp/M3/20110318/F50600/1282/1", 55.74)</f>
        <v>55.74</v>
      </c>
      <c r="E6376" s="2">
        <v>43.73</v>
      </c>
      <c r="F6376" s="2">
        <v>1</v>
      </c>
      <c r="G6376" s="2" t="s">
        <v>10</v>
      </c>
    </row>
    <row r="6377" spans="1:8" x14ac:dyDescent="0.2">
      <c r="A6377" s="2" t="s">
        <v>3681</v>
      </c>
      <c r="B6377" s="2" t="s">
        <v>1904</v>
      </c>
      <c r="C6377" s="2">
        <v>606.38760000000002</v>
      </c>
      <c r="D6377" s="2">
        <f>HYPERLINK("http://mcb-m6.bioreg.kyushu-u.ac.jp/M3/20110318/F50612/1203/1", 57.45)</f>
        <v>57.45</v>
      </c>
      <c r="E6377" s="2">
        <v>38.75</v>
      </c>
      <c r="F6377" s="2">
        <v>2</v>
      </c>
      <c r="G6377" s="2" t="s">
        <v>10</v>
      </c>
    </row>
    <row r="6378" spans="1:8" x14ac:dyDescent="0.2">
      <c r="A6378" s="2" t="s">
        <v>3681</v>
      </c>
      <c r="B6378" s="2" t="s">
        <v>1904</v>
      </c>
      <c r="C6378" s="2">
        <v>605.86320000000001</v>
      </c>
      <c r="D6378" s="2">
        <f>HYPERLINK("http://mcb-m6.bioreg.kyushu-u.ac.jp/M3/20110318/F50615/1088/1", 57.52)</f>
        <v>57.52</v>
      </c>
      <c r="E6378" s="2">
        <v>48.21</v>
      </c>
      <c r="F6378" s="2">
        <v>2</v>
      </c>
      <c r="G6378" s="2" t="s">
        <v>10</v>
      </c>
    </row>
    <row r="6379" spans="1:8" x14ac:dyDescent="0.2">
      <c r="A6379" s="2" t="s">
        <v>3681</v>
      </c>
      <c r="B6379" s="2" t="s">
        <v>912</v>
      </c>
      <c r="C6379" s="2">
        <v>622.24959999999999</v>
      </c>
      <c r="D6379" s="2">
        <f>HYPERLINK("http://mcb-m6.bioreg.kyushu-u.ac.jp/M3/20110318/F50617/1225/1", 57.7)</f>
        <v>57.7</v>
      </c>
      <c r="E6379" s="2">
        <v>36.82</v>
      </c>
      <c r="F6379" s="2">
        <v>2</v>
      </c>
      <c r="G6379" s="2" t="s">
        <v>10</v>
      </c>
    </row>
    <row r="6380" spans="1:8" x14ac:dyDescent="0.2">
      <c r="A6380" s="2" t="s">
        <v>3681</v>
      </c>
      <c r="B6380" s="2" t="s">
        <v>912</v>
      </c>
      <c r="C6380" s="2">
        <v>1243.491</v>
      </c>
      <c r="D6380" s="2">
        <f>HYPERLINK("http://mcb-m6.bioreg.kyushu-u.ac.jp/M3/20110318/F50615/1134/1", 58.56)</f>
        <v>58.56</v>
      </c>
      <c r="E6380" s="2">
        <v>42.74</v>
      </c>
      <c r="F6380" s="2">
        <v>1</v>
      </c>
      <c r="G6380" s="2" t="s">
        <v>10</v>
      </c>
    </row>
    <row r="6381" spans="1:8" x14ac:dyDescent="0.2">
      <c r="A6381" s="2" t="s">
        <v>3681</v>
      </c>
      <c r="B6381" s="2" t="s">
        <v>1904</v>
      </c>
      <c r="C6381" s="2">
        <v>605.78719999999998</v>
      </c>
      <c r="D6381" s="2">
        <f>HYPERLINK("http://mcb-m6.bioreg.kyushu-u.ac.jp/M3/20110318/F50617/1208/1", 58.68)</f>
        <v>58.68</v>
      </c>
      <c r="E6381" s="2">
        <v>44.79</v>
      </c>
      <c r="F6381" s="2">
        <v>2</v>
      </c>
      <c r="G6381" s="2" t="s">
        <v>10</v>
      </c>
    </row>
    <row r="6382" spans="1:8" x14ac:dyDescent="0.2">
      <c r="A6382" s="2" t="s">
        <v>3681</v>
      </c>
      <c r="B6382" s="2" t="s">
        <v>2393</v>
      </c>
      <c r="C6382" s="2">
        <v>936.00419999999997</v>
      </c>
      <c r="D6382" s="2">
        <f>HYPERLINK("http://mcb-m6.bioreg.kyushu-u.ac.jp/M3/20110318/F50600/2125/1", 59.31)</f>
        <v>59.31</v>
      </c>
      <c r="E6382" s="2">
        <v>45.82</v>
      </c>
      <c r="F6382" s="2">
        <v>2</v>
      </c>
      <c r="G6382" s="2" t="s">
        <v>10</v>
      </c>
      <c r="H6382" s="2" t="s">
        <v>4901</v>
      </c>
    </row>
    <row r="6383" spans="1:8" x14ac:dyDescent="0.2">
      <c r="A6383" s="2" t="s">
        <v>3681</v>
      </c>
      <c r="B6383" s="2" t="s">
        <v>912</v>
      </c>
      <c r="C6383" s="2">
        <v>622.75869999999998</v>
      </c>
      <c r="D6383" s="2">
        <f>HYPERLINK("http://mcb-m6.bioreg.kyushu-u.ac.jp/M3/20110318/F50617/1226/1", 59.71)</f>
        <v>59.71</v>
      </c>
      <c r="E6383" s="2">
        <v>32.07</v>
      </c>
      <c r="F6383" s="2">
        <v>2</v>
      </c>
      <c r="G6383" s="2" t="s">
        <v>10</v>
      </c>
    </row>
    <row r="6384" spans="1:8" x14ac:dyDescent="0.2">
      <c r="A6384" s="2" t="s">
        <v>3681</v>
      </c>
      <c r="B6384" s="2" t="s">
        <v>2393</v>
      </c>
      <c r="C6384" s="2">
        <v>935.92319999999995</v>
      </c>
      <c r="D6384" s="2">
        <f>HYPERLINK("http://mcb-m6.bioreg.kyushu-u.ac.jp/M3/20110318/F50611/2286/1", 60.04)</f>
        <v>60.04</v>
      </c>
      <c r="E6384" s="2">
        <v>43.22</v>
      </c>
      <c r="F6384" s="2">
        <v>2</v>
      </c>
      <c r="G6384" s="2" t="s">
        <v>10</v>
      </c>
      <c r="H6384" s="2" t="s">
        <v>4901</v>
      </c>
    </row>
    <row r="6385" spans="1:8" x14ac:dyDescent="0.2">
      <c r="A6385" s="2" t="s">
        <v>3681</v>
      </c>
      <c r="B6385" s="2" t="s">
        <v>636</v>
      </c>
      <c r="C6385" s="2">
        <v>907.88959999999997</v>
      </c>
      <c r="D6385" s="2">
        <f>HYPERLINK("http://mcb-m6.bioreg.kyushu-u.ac.jp/M3/20110318/F50615/2125/1", 60.81)</f>
        <v>60.81</v>
      </c>
      <c r="E6385" s="2">
        <v>42.71</v>
      </c>
      <c r="F6385" s="2">
        <v>2</v>
      </c>
      <c r="G6385" s="2" t="s">
        <v>10</v>
      </c>
      <c r="H6385" s="2" t="s">
        <v>4907</v>
      </c>
    </row>
    <row r="6386" spans="1:8" x14ac:dyDescent="0.2">
      <c r="A6386" s="2" t="s">
        <v>3681</v>
      </c>
      <c r="B6386" s="2" t="s">
        <v>2393</v>
      </c>
      <c r="C6386" s="2">
        <v>935.91359999999997</v>
      </c>
      <c r="D6386" s="2">
        <f>HYPERLINK("http://mcb-m6.bioreg.kyushu-u.ac.jp/M3/20110318/F50599/2212/1", 60.89)</f>
        <v>60.89</v>
      </c>
      <c r="E6386" s="2">
        <v>46.91</v>
      </c>
      <c r="F6386" s="2">
        <v>2</v>
      </c>
      <c r="G6386" s="2" t="s">
        <v>10</v>
      </c>
      <c r="H6386" s="2" t="s">
        <v>4901</v>
      </c>
    </row>
    <row r="6387" spans="1:8" x14ac:dyDescent="0.2">
      <c r="A6387" s="2" t="s">
        <v>3681</v>
      </c>
      <c r="B6387" s="2" t="s">
        <v>1904</v>
      </c>
      <c r="C6387" s="2">
        <v>605.92409999999995</v>
      </c>
      <c r="D6387" s="2">
        <f>HYPERLINK("http://mcb-m6.bioreg.kyushu-u.ac.jp/M3/20110318/F50597/1165/1", 61.35)</f>
        <v>61.35</v>
      </c>
      <c r="E6387" s="2">
        <v>52.15</v>
      </c>
      <c r="F6387" s="2">
        <v>2</v>
      </c>
      <c r="G6387" s="2" t="s">
        <v>10</v>
      </c>
    </row>
    <row r="6388" spans="1:8" x14ac:dyDescent="0.2">
      <c r="A6388" s="2" t="s">
        <v>3681</v>
      </c>
      <c r="B6388" s="2" t="s">
        <v>1904</v>
      </c>
      <c r="C6388" s="2">
        <v>605.89670000000001</v>
      </c>
      <c r="D6388" s="2">
        <f>HYPERLINK("http://mcb-m6.bioreg.kyushu-u.ac.jp/M3/20110318/F50600/1254/1", 62.2)</f>
        <v>62.2</v>
      </c>
      <c r="E6388" s="2">
        <v>49.63</v>
      </c>
      <c r="F6388" s="2">
        <v>2</v>
      </c>
      <c r="G6388" s="2" t="s">
        <v>10</v>
      </c>
    </row>
    <row r="6389" spans="1:8" x14ac:dyDescent="0.2">
      <c r="A6389" s="2" t="s">
        <v>3681</v>
      </c>
      <c r="B6389" s="2" t="s">
        <v>912</v>
      </c>
      <c r="C6389" s="2">
        <v>622.31709999999998</v>
      </c>
      <c r="D6389" s="2">
        <f>HYPERLINK("http://mcb-m6.bioreg.kyushu-u.ac.jp/M3/20110318/F50615/1135/1", 62.79)</f>
        <v>62.79</v>
      </c>
      <c r="E6389" s="2">
        <v>41.69</v>
      </c>
      <c r="F6389" s="2">
        <v>2</v>
      </c>
      <c r="G6389" s="2" t="s">
        <v>10</v>
      </c>
    </row>
    <row r="6390" spans="1:8" x14ac:dyDescent="0.2">
      <c r="A6390" s="2" t="s">
        <v>3681</v>
      </c>
      <c r="B6390" s="2" t="s">
        <v>912</v>
      </c>
      <c r="C6390" s="2">
        <v>622.43709999999999</v>
      </c>
      <c r="D6390" s="2">
        <f>HYPERLINK("http://mcb-m6.bioreg.kyushu-u.ac.jp/M3/20110318/F50598/1292/1", 64.04)</f>
        <v>64.040000000000006</v>
      </c>
      <c r="E6390" s="2">
        <v>47.84</v>
      </c>
      <c r="F6390" s="2">
        <v>2</v>
      </c>
      <c r="G6390" s="2" t="s">
        <v>10</v>
      </c>
    </row>
    <row r="6391" spans="1:8" x14ac:dyDescent="0.2">
      <c r="A6391" s="2" t="s">
        <v>3681</v>
      </c>
      <c r="B6391" s="2" t="s">
        <v>1904</v>
      </c>
      <c r="C6391" s="2">
        <v>605.8827</v>
      </c>
      <c r="D6391" s="2">
        <f>HYPERLINK("http://mcb-m6.bioreg.kyushu-u.ac.jp/M3/20110318/F50599/1380/1", 64.44)</f>
        <v>64.44</v>
      </c>
      <c r="E6391" s="2">
        <v>52.08</v>
      </c>
      <c r="F6391" s="2">
        <v>2</v>
      </c>
      <c r="G6391" s="2" t="s">
        <v>10</v>
      </c>
    </row>
    <row r="6392" spans="1:8" x14ac:dyDescent="0.2">
      <c r="A6392" s="2" t="s">
        <v>3681</v>
      </c>
      <c r="B6392" s="2" t="s">
        <v>912</v>
      </c>
      <c r="C6392" s="2">
        <v>622.47220000000004</v>
      </c>
      <c r="D6392" s="2">
        <f>HYPERLINK("http://mcb-m6.bioreg.kyushu-u.ac.jp/M3/20110318/F50596/1285/1", 64.91)</f>
        <v>64.91</v>
      </c>
      <c r="E6392" s="2">
        <v>47.83</v>
      </c>
      <c r="F6392" s="2">
        <v>2</v>
      </c>
      <c r="G6392" s="2" t="s">
        <v>10</v>
      </c>
    </row>
    <row r="6393" spans="1:8" x14ac:dyDescent="0.2">
      <c r="A6393" s="2" t="s">
        <v>3681</v>
      </c>
      <c r="B6393" s="2" t="s">
        <v>1904</v>
      </c>
      <c r="C6393" s="2">
        <v>606.36969999999997</v>
      </c>
      <c r="D6393" s="2">
        <f>HYPERLINK("http://mcb-m6.bioreg.kyushu-u.ac.jp/M3/20110318/F50611/1239/1", 67.11)</f>
        <v>67.11</v>
      </c>
      <c r="E6393" s="2">
        <v>57.85</v>
      </c>
      <c r="F6393" s="2">
        <v>2</v>
      </c>
      <c r="G6393" s="2" t="s">
        <v>10</v>
      </c>
    </row>
    <row r="6394" spans="1:8" x14ac:dyDescent="0.2">
      <c r="A6394" s="2" t="s">
        <v>3681</v>
      </c>
      <c r="B6394" s="2" t="s">
        <v>5111</v>
      </c>
      <c r="C6394" s="2">
        <v>550.58219999999994</v>
      </c>
      <c r="D6394" s="2">
        <f>HYPERLINK("http://mcb-m6.bioreg.kyushu-u.ac.jp/M3/20110318/F50596/1128/1", 69.3)</f>
        <v>69.3</v>
      </c>
      <c r="E6394" s="2">
        <v>46.51</v>
      </c>
      <c r="F6394" s="2">
        <v>2</v>
      </c>
      <c r="G6394" s="2" t="s">
        <v>10</v>
      </c>
    </row>
    <row r="6395" spans="1:8" x14ac:dyDescent="0.2">
      <c r="A6395" s="2" t="s">
        <v>3681</v>
      </c>
      <c r="B6395" s="2" t="s">
        <v>2393</v>
      </c>
      <c r="C6395" s="2">
        <v>935.66560000000004</v>
      </c>
      <c r="D6395" s="2">
        <f>HYPERLINK("http://mcb-m6.bioreg.kyushu-u.ac.jp/M3/20110318/F50596/2188/1", 76.03)</f>
        <v>76.03</v>
      </c>
      <c r="E6395" s="2">
        <v>61.87</v>
      </c>
      <c r="F6395" s="2">
        <v>2</v>
      </c>
      <c r="G6395" s="2" t="s">
        <v>10</v>
      </c>
      <c r="H6395" s="2" t="s">
        <v>4901</v>
      </c>
    </row>
    <row r="6396" spans="1:8" x14ac:dyDescent="0.2">
      <c r="A6396" s="2" t="s">
        <v>3681</v>
      </c>
      <c r="B6396" s="2" t="s">
        <v>636</v>
      </c>
      <c r="C6396" s="2">
        <v>907.37710000000004</v>
      </c>
      <c r="D6396" s="2">
        <f>HYPERLINK("http://mcb-m6.bioreg.kyushu-u.ac.jp/M3/20110318/F50615/2123/1", 76.15)</f>
        <v>76.150000000000006</v>
      </c>
      <c r="E6396" s="2">
        <v>55.87</v>
      </c>
      <c r="F6396" s="2">
        <v>2</v>
      </c>
      <c r="G6396" s="2" t="s">
        <v>10</v>
      </c>
      <c r="H6396" s="2" t="s">
        <v>4907</v>
      </c>
    </row>
    <row r="6397" spans="1:8" x14ac:dyDescent="0.2">
      <c r="A6397" s="2" t="s">
        <v>3681</v>
      </c>
      <c r="B6397" s="2" t="s">
        <v>912</v>
      </c>
      <c r="C6397" s="2">
        <v>622.79719999999998</v>
      </c>
      <c r="D6397" s="2">
        <f>HYPERLINK("http://mcb-m6.bioreg.kyushu-u.ac.jp/M3/20110318/F50611/1272/1", 78.27)</f>
        <v>78.27</v>
      </c>
      <c r="E6397" s="2">
        <v>54.71</v>
      </c>
      <c r="F6397" s="2">
        <v>2</v>
      </c>
      <c r="G6397" s="2" t="s">
        <v>10</v>
      </c>
    </row>
    <row r="6398" spans="1:8" x14ac:dyDescent="0.2">
      <c r="A6398" s="2" t="s">
        <v>3681</v>
      </c>
      <c r="B6398" s="2" t="s">
        <v>2393</v>
      </c>
      <c r="C6398" s="2">
        <v>935.44569999999999</v>
      </c>
      <c r="D6398" s="2">
        <f>HYPERLINK("http://mcb-m6.bioreg.kyushu-u.ac.jp/M3/20110318/F50600/2120/1", 80.89)</f>
        <v>80.89</v>
      </c>
      <c r="E6398" s="2">
        <v>69.23</v>
      </c>
      <c r="F6398" s="2">
        <v>2</v>
      </c>
      <c r="G6398" s="2" t="s">
        <v>10</v>
      </c>
      <c r="H6398" s="2" t="s">
        <v>4901</v>
      </c>
    </row>
    <row r="6399" spans="1:8" x14ac:dyDescent="0.2">
      <c r="A6399" s="2" t="s">
        <v>3681</v>
      </c>
      <c r="B6399" s="2" t="s">
        <v>2393</v>
      </c>
      <c r="C6399" s="2">
        <v>935.49220000000003</v>
      </c>
      <c r="D6399" s="2">
        <f>HYPERLINK("http://mcb-m6.bioreg.kyushu-u.ac.jp/M3/20110318/F50597/2310/1", 85.89)</f>
        <v>85.89</v>
      </c>
      <c r="E6399" s="2">
        <v>74.22</v>
      </c>
      <c r="F6399" s="2">
        <v>2</v>
      </c>
      <c r="G6399" s="2" t="s">
        <v>10</v>
      </c>
      <c r="H6399" s="2" t="s">
        <v>4901</v>
      </c>
    </row>
    <row r="6400" spans="1:8" x14ac:dyDescent="0.2">
      <c r="A6400" s="2" t="s">
        <v>3681</v>
      </c>
      <c r="B6400" s="2" t="s">
        <v>2393</v>
      </c>
      <c r="C6400" s="2">
        <v>935.37270000000001</v>
      </c>
      <c r="D6400" s="2">
        <f>HYPERLINK("http://mcb-m6.bioreg.kyushu-u.ac.jp/M3/20110318/F50615/2223/1", 94.39)</f>
        <v>94.39</v>
      </c>
      <c r="E6400" s="2">
        <v>80.38</v>
      </c>
      <c r="F6400" s="2">
        <v>2</v>
      </c>
      <c r="G6400" s="2" t="s">
        <v>10</v>
      </c>
      <c r="H6400" s="2" t="s">
        <v>4901</v>
      </c>
    </row>
    <row r="6401" spans="1:8" x14ac:dyDescent="0.2">
      <c r="A6401" s="2" t="s">
        <v>3681</v>
      </c>
      <c r="B6401" s="2" t="s">
        <v>912</v>
      </c>
      <c r="C6401" s="2">
        <v>622.83169999999996</v>
      </c>
      <c r="D6401" s="2">
        <f>HYPERLINK("http://mcb-m6.bioreg.kyushu-u.ac.jp/M3/20110418/F50979/1687/1", 48)</f>
        <v>48</v>
      </c>
      <c r="E6401" s="2">
        <v>31.92</v>
      </c>
      <c r="F6401" s="2">
        <v>2</v>
      </c>
      <c r="G6401" s="2" t="s">
        <v>11</v>
      </c>
    </row>
    <row r="6402" spans="1:8" x14ac:dyDescent="0.2">
      <c r="A6402" s="2" t="s">
        <v>3681</v>
      </c>
      <c r="B6402" s="2" t="s">
        <v>636</v>
      </c>
      <c r="C6402" s="2">
        <v>907.46259999999995</v>
      </c>
      <c r="D6402" s="2">
        <f>HYPERLINK("http://mcb-m6.bioreg.kyushu-u.ac.jp/M3/20110418/F50975/3021/1", 51.04)</f>
        <v>51.04</v>
      </c>
      <c r="E6402" s="2">
        <v>42.44</v>
      </c>
      <c r="F6402" s="2">
        <v>2</v>
      </c>
      <c r="G6402" s="2" t="s">
        <v>11</v>
      </c>
      <c r="H6402" s="2" t="s">
        <v>4907</v>
      </c>
    </row>
    <row r="6403" spans="1:8" x14ac:dyDescent="0.2">
      <c r="A6403" s="2" t="s">
        <v>3681</v>
      </c>
      <c r="B6403" s="2" t="s">
        <v>912</v>
      </c>
      <c r="C6403" s="2">
        <v>622.72860000000003</v>
      </c>
      <c r="D6403" s="2">
        <f>HYPERLINK("http://mcb-m6.bioreg.kyushu-u.ac.jp/M3/20110418/F50982/1956/1", 40.9)</f>
        <v>40.9</v>
      </c>
      <c r="E6403" s="2">
        <v>27.82</v>
      </c>
      <c r="F6403" s="2">
        <v>2</v>
      </c>
      <c r="G6403" s="2" t="s">
        <v>12</v>
      </c>
    </row>
    <row r="6404" spans="1:8" x14ac:dyDescent="0.2">
      <c r="A6404" s="2" t="s">
        <v>3681</v>
      </c>
      <c r="B6404" s="2" t="s">
        <v>1904</v>
      </c>
      <c r="C6404" s="2">
        <v>606.09770000000003</v>
      </c>
      <c r="D6404" s="2">
        <f>HYPERLINK("http://mcb-m6.bioreg.kyushu-u.ac.jp/M3/20110418/F50985/1925/1", 44.53)</f>
        <v>44.53</v>
      </c>
      <c r="E6404" s="2">
        <v>26.86</v>
      </c>
      <c r="F6404" s="2">
        <v>2</v>
      </c>
      <c r="G6404" s="2" t="s">
        <v>12</v>
      </c>
    </row>
    <row r="6405" spans="1:8" x14ac:dyDescent="0.2">
      <c r="A6405" s="2" t="s">
        <v>3681</v>
      </c>
      <c r="B6405" s="2" t="s">
        <v>912</v>
      </c>
      <c r="C6405" s="2">
        <v>622.27009999999996</v>
      </c>
      <c r="D6405" s="2">
        <f>HYPERLINK("http://mcb-m6.bioreg.kyushu-u.ac.jp/M3/20110418/F50989/1739/1", 55.67)</f>
        <v>55.67</v>
      </c>
      <c r="E6405" s="2">
        <v>42.44</v>
      </c>
      <c r="F6405" s="2">
        <v>2</v>
      </c>
      <c r="G6405" s="2" t="s">
        <v>12</v>
      </c>
    </row>
    <row r="6406" spans="1:8" x14ac:dyDescent="0.2">
      <c r="A6406" s="2" t="s">
        <v>3681</v>
      </c>
      <c r="B6406" s="2" t="s">
        <v>912</v>
      </c>
      <c r="C6406" s="2">
        <v>622.16920000000005</v>
      </c>
      <c r="D6406" s="2">
        <f>HYPERLINK("http://mcb-m6.bioreg.kyushu-u.ac.jp/M3/20110418/F50985/1937/1", 68.01)</f>
        <v>68.010000000000005</v>
      </c>
      <c r="E6406" s="2">
        <v>49.63</v>
      </c>
      <c r="F6406" s="2">
        <v>2</v>
      </c>
      <c r="G6406" s="2" t="s">
        <v>12</v>
      </c>
    </row>
    <row r="6407" spans="1:8" x14ac:dyDescent="0.2">
      <c r="A6407" s="2" t="s">
        <v>3681</v>
      </c>
      <c r="B6407" s="2" t="s">
        <v>1904</v>
      </c>
      <c r="C6407" s="2">
        <v>605.81410000000005</v>
      </c>
      <c r="D6407" s="2">
        <f>HYPERLINK("http://mcb-m6.bioreg.kyushu-u.ac.jp/M3/20110429/F51155/1692/1", 39.07)</f>
        <v>39.07</v>
      </c>
      <c r="E6407" s="2">
        <v>24.5</v>
      </c>
      <c r="F6407" s="2">
        <v>2</v>
      </c>
      <c r="G6407" s="2" t="s">
        <v>13</v>
      </c>
    </row>
    <row r="6408" spans="1:8" x14ac:dyDescent="0.2">
      <c r="A6408" s="2" t="s">
        <v>3681</v>
      </c>
      <c r="B6408" s="2" t="s">
        <v>912</v>
      </c>
      <c r="C6408" s="2">
        <v>622.47170000000006</v>
      </c>
      <c r="D6408" s="2">
        <f>HYPERLINK("http://mcb-m6.bioreg.kyushu-u.ac.jp/M3/20110429/F51156/1430/1", 49.48)</f>
        <v>49.48</v>
      </c>
      <c r="E6408" s="2">
        <v>30.4</v>
      </c>
      <c r="F6408" s="2">
        <v>2</v>
      </c>
      <c r="G6408" s="2" t="s">
        <v>13</v>
      </c>
    </row>
    <row r="6409" spans="1:8" x14ac:dyDescent="0.2">
      <c r="A6409" s="2" t="s">
        <v>3681</v>
      </c>
      <c r="B6409" s="2" t="s">
        <v>636</v>
      </c>
      <c r="C6409" s="2">
        <v>907.71119999999996</v>
      </c>
      <c r="D6409" s="2">
        <f>HYPERLINK("http://mcb-m6.bioreg.kyushu-u.ac.jp/M3/20110502/F51158/2786/1", 55.94)</f>
        <v>55.94</v>
      </c>
      <c r="E6409" s="2">
        <v>38.97</v>
      </c>
      <c r="F6409" s="2">
        <v>2</v>
      </c>
      <c r="G6409" s="2" t="s">
        <v>13</v>
      </c>
      <c r="H6409" s="2" t="s">
        <v>4907</v>
      </c>
    </row>
    <row r="6410" spans="1:8" x14ac:dyDescent="0.2">
      <c r="A6410" s="2" t="s">
        <v>3681</v>
      </c>
      <c r="B6410" s="2" t="s">
        <v>912</v>
      </c>
      <c r="C6410" s="2">
        <v>622.42070000000001</v>
      </c>
      <c r="D6410" s="2">
        <f>HYPERLINK("http://mcb-m6.bioreg.kyushu-u.ac.jp/M3/20110502/F51158/1318/1", 60.7)</f>
        <v>60.7</v>
      </c>
      <c r="E6410" s="2">
        <v>38.18</v>
      </c>
      <c r="F6410" s="2">
        <v>2</v>
      </c>
      <c r="G6410" s="2" t="s">
        <v>13</v>
      </c>
    </row>
    <row r="6411" spans="1:8" x14ac:dyDescent="0.2">
      <c r="A6411" s="2" t="s">
        <v>3681</v>
      </c>
      <c r="B6411" s="2" t="s">
        <v>636</v>
      </c>
      <c r="C6411" s="2">
        <v>908.03769999999997</v>
      </c>
      <c r="D6411" s="2">
        <f>HYPERLINK("http://mcb-m6.bioreg.kyushu-u.ac.jp/M3/20110428/F51141/2963/1", 42.68)</f>
        <v>42.68</v>
      </c>
      <c r="E6411" s="2">
        <v>22.47</v>
      </c>
      <c r="F6411" s="2">
        <v>2</v>
      </c>
      <c r="G6411" s="2" t="s">
        <v>14</v>
      </c>
      <c r="H6411" s="2" t="s">
        <v>4907</v>
      </c>
    </row>
    <row r="6412" spans="1:8" x14ac:dyDescent="0.2">
      <c r="A6412" s="2" t="s">
        <v>3681</v>
      </c>
      <c r="B6412" s="2" t="s">
        <v>1904</v>
      </c>
      <c r="C6412" s="2">
        <v>605.98109999999997</v>
      </c>
      <c r="D6412" s="2">
        <f>HYPERLINK("http://mcb-m6.bioreg.kyushu-u.ac.jp/M3/20110428/F51144/1578/1", 43.55)</f>
        <v>43.55</v>
      </c>
      <c r="E6412" s="2">
        <v>34.42</v>
      </c>
      <c r="F6412" s="2">
        <v>2</v>
      </c>
      <c r="G6412" s="2" t="s">
        <v>14</v>
      </c>
    </row>
    <row r="6413" spans="1:8" x14ac:dyDescent="0.2">
      <c r="A6413" s="2" t="s">
        <v>3681</v>
      </c>
      <c r="B6413" s="2" t="s">
        <v>912</v>
      </c>
      <c r="C6413" s="2">
        <v>622.39760000000001</v>
      </c>
      <c r="D6413" s="2">
        <f>HYPERLINK("http://mcb-m6.bioreg.kyushu-u.ac.jp/M3/20110428/F51145/1649/1", 45.31)</f>
        <v>45.31</v>
      </c>
      <c r="E6413" s="2">
        <v>26.3</v>
      </c>
      <c r="F6413" s="2">
        <v>2</v>
      </c>
      <c r="G6413" s="2" t="s">
        <v>14</v>
      </c>
    </row>
    <row r="6414" spans="1:8" x14ac:dyDescent="0.2">
      <c r="A6414" s="2" t="s">
        <v>3681</v>
      </c>
      <c r="B6414" s="2" t="s">
        <v>1904</v>
      </c>
      <c r="C6414" s="2">
        <v>606.36609999999996</v>
      </c>
      <c r="D6414" s="2">
        <f>HYPERLINK("http://mcb-m6.bioreg.kyushu-u.ac.jp/M3/20110428/F51141/1196/1", 45.81)</f>
        <v>45.81</v>
      </c>
      <c r="E6414" s="2">
        <v>34.71</v>
      </c>
      <c r="F6414" s="2">
        <v>2</v>
      </c>
      <c r="G6414" s="2" t="s">
        <v>14</v>
      </c>
    </row>
    <row r="6415" spans="1:8" x14ac:dyDescent="0.2">
      <c r="A6415" s="2" t="s">
        <v>3681</v>
      </c>
      <c r="B6415" s="2" t="s">
        <v>636</v>
      </c>
      <c r="C6415" s="2">
        <v>907.53470000000004</v>
      </c>
      <c r="D6415" s="2">
        <f>HYPERLINK("http://mcb-m6.bioreg.kyushu-u.ac.jp/M3/20110428/F51141/2962/1", 56.65)</f>
        <v>56.65</v>
      </c>
      <c r="E6415" s="2">
        <v>43.07</v>
      </c>
      <c r="F6415" s="2">
        <v>2</v>
      </c>
      <c r="G6415" s="2" t="s">
        <v>14</v>
      </c>
      <c r="H6415" s="2" t="s">
        <v>4907</v>
      </c>
    </row>
    <row r="6416" spans="1:8" x14ac:dyDescent="0.2">
      <c r="A6416" s="2" t="s">
        <v>3681</v>
      </c>
      <c r="B6416" s="2" t="s">
        <v>912</v>
      </c>
      <c r="C6416" s="2">
        <v>622.44569999999999</v>
      </c>
      <c r="D6416" s="2">
        <f>HYPERLINK("http://mcb-m6.bioreg.kyushu-u.ac.jp/M3/20110428/F51141/1268/1", 56.69)</f>
        <v>56.69</v>
      </c>
      <c r="E6416" s="2">
        <v>37.67</v>
      </c>
      <c r="F6416" s="2">
        <v>2</v>
      </c>
      <c r="G6416" s="2" t="s">
        <v>14</v>
      </c>
    </row>
    <row r="6417" spans="1:9" x14ac:dyDescent="0.2">
      <c r="A6417" s="2" t="s">
        <v>5600</v>
      </c>
      <c r="B6417" s="2" t="s">
        <v>4990</v>
      </c>
      <c r="C6417" s="2">
        <v>954.22280000000001</v>
      </c>
      <c r="D6417" s="2">
        <f>HYPERLINK("http://mcb-m6.bioreg.kyushu-u.ac.jp/M3/20110318/F50619/3142/1", 35.47)</f>
        <v>35.47</v>
      </c>
      <c r="E6417" s="2">
        <v>26.72</v>
      </c>
      <c r="F6417" s="2">
        <v>3</v>
      </c>
      <c r="G6417" s="2" t="s">
        <v>9</v>
      </c>
      <c r="I6417" s="2" t="s">
        <v>5883</v>
      </c>
    </row>
    <row r="6418" spans="1:9" x14ac:dyDescent="0.2">
      <c r="A6418" s="2" t="s">
        <v>5600</v>
      </c>
      <c r="B6418" s="2" t="s">
        <v>4990</v>
      </c>
      <c r="C6418" s="2">
        <v>959.44740000000002</v>
      </c>
      <c r="D6418" s="2">
        <f>HYPERLINK("http://mcb-m6.bioreg.kyushu-u.ac.jp/M3/20110318/F50606/3245/1", 40.01)</f>
        <v>40.01</v>
      </c>
      <c r="E6418" s="2">
        <v>32.89</v>
      </c>
      <c r="F6418" s="2">
        <v>3</v>
      </c>
      <c r="G6418" s="2" t="s">
        <v>9</v>
      </c>
      <c r="H6418" s="2" t="s">
        <v>5885</v>
      </c>
      <c r="I6418" s="2" t="s">
        <v>5883</v>
      </c>
    </row>
    <row r="6419" spans="1:9" x14ac:dyDescent="0.2">
      <c r="A6419" s="2" t="s">
        <v>5600</v>
      </c>
      <c r="B6419" s="2" t="s">
        <v>4990</v>
      </c>
      <c r="C6419" s="2">
        <v>959.60490000000004</v>
      </c>
      <c r="D6419" s="2">
        <f>HYPERLINK("http://mcb-m6.bioreg.kyushu-u.ac.jp/M3/20110318/F50603/2655/1", 41.57)</f>
        <v>41.57</v>
      </c>
      <c r="E6419" s="2">
        <v>29.36</v>
      </c>
      <c r="F6419" s="2">
        <v>3</v>
      </c>
      <c r="G6419" s="2" t="s">
        <v>9</v>
      </c>
      <c r="H6419" s="2" t="s">
        <v>5885</v>
      </c>
      <c r="I6419" s="2" t="s">
        <v>5883</v>
      </c>
    </row>
    <row r="6420" spans="1:9" x14ac:dyDescent="0.2">
      <c r="A6420" s="2" t="s">
        <v>5600</v>
      </c>
      <c r="B6420" s="2" t="s">
        <v>4990</v>
      </c>
      <c r="C6420" s="2">
        <v>959.47180000000003</v>
      </c>
      <c r="D6420" s="2">
        <f>HYPERLINK("http://mcb-m6.bioreg.kyushu-u.ac.jp/M3/20110318/F50619/3154/1", 53.02)</f>
        <v>53.02</v>
      </c>
      <c r="E6420" s="2">
        <v>37.01</v>
      </c>
      <c r="F6420" s="2">
        <v>3</v>
      </c>
      <c r="G6420" s="2" t="s">
        <v>9</v>
      </c>
      <c r="H6420" s="2" t="s">
        <v>5885</v>
      </c>
      <c r="I6420" s="2" t="s">
        <v>5883</v>
      </c>
    </row>
    <row r="6421" spans="1:9" x14ac:dyDescent="0.2">
      <c r="A6421" s="2" t="s">
        <v>5600</v>
      </c>
      <c r="B6421" s="2" t="s">
        <v>4990</v>
      </c>
      <c r="C6421" s="2">
        <v>1439.1469999999999</v>
      </c>
      <c r="D6421" s="2">
        <f>HYPERLINK("http://mcb-m6.bioreg.kyushu-u.ac.jp/M3/20110318/F50606/3246/1", 63.69)</f>
        <v>63.69</v>
      </c>
      <c r="E6421" s="2">
        <v>52.47</v>
      </c>
      <c r="F6421" s="2">
        <v>2</v>
      </c>
      <c r="G6421" s="2" t="s">
        <v>9</v>
      </c>
      <c r="H6421" s="2" t="s">
        <v>5885</v>
      </c>
      <c r="I6421" s="2" t="s">
        <v>5883</v>
      </c>
    </row>
    <row r="6422" spans="1:9" x14ac:dyDescent="0.2">
      <c r="A6422" s="2" t="s">
        <v>5600</v>
      </c>
      <c r="B6422" s="2" t="s">
        <v>4990</v>
      </c>
      <c r="C6422" s="2">
        <v>1438.8409999999999</v>
      </c>
      <c r="D6422" s="2">
        <f>HYPERLINK("http://mcb-m6.bioreg.kyushu-u.ac.jp/M3/20110318/F50619/3155/1", 81.14)</f>
        <v>81.14</v>
      </c>
      <c r="E6422" s="2">
        <v>66.92</v>
      </c>
      <c r="F6422" s="2">
        <v>2</v>
      </c>
      <c r="G6422" s="2" t="s">
        <v>9</v>
      </c>
      <c r="H6422" s="2" t="s">
        <v>5885</v>
      </c>
      <c r="I6422" s="2" t="s">
        <v>5883</v>
      </c>
    </row>
    <row r="6423" spans="1:9" x14ac:dyDescent="0.2">
      <c r="A6423" s="2" t="s">
        <v>5600</v>
      </c>
      <c r="B6423" s="2" t="s">
        <v>4990</v>
      </c>
      <c r="C6423" s="2">
        <v>959.69949999999994</v>
      </c>
      <c r="D6423" s="2">
        <f>HYPERLINK("http://mcb-m6.bioreg.kyushu-u.ac.jp/M3/20110318/F50612/2839/1", 40.74)</f>
        <v>40.74</v>
      </c>
      <c r="E6423" s="2">
        <v>25.76</v>
      </c>
      <c r="F6423" s="2">
        <v>3</v>
      </c>
      <c r="G6423" s="2" t="s">
        <v>10</v>
      </c>
      <c r="H6423" s="2" t="s">
        <v>5885</v>
      </c>
      <c r="I6423" s="2" t="s">
        <v>5883</v>
      </c>
    </row>
    <row r="6424" spans="1:9" x14ac:dyDescent="0.2">
      <c r="A6424" s="2" t="s">
        <v>5600</v>
      </c>
      <c r="B6424" s="2" t="s">
        <v>4990</v>
      </c>
      <c r="C6424" s="2">
        <v>959.60249999999996</v>
      </c>
      <c r="D6424" s="2">
        <f>HYPERLINK("http://mcb-m6.bioreg.kyushu-u.ac.jp/M3/20110318/F50599/2948/1", 42.11)</f>
        <v>42.11</v>
      </c>
      <c r="E6424" s="2">
        <v>32.04</v>
      </c>
      <c r="F6424" s="2">
        <v>3</v>
      </c>
      <c r="G6424" s="2" t="s">
        <v>10</v>
      </c>
      <c r="H6424" s="2" t="s">
        <v>5885</v>
      </c>
      <c r="I6424" s="2" t="s">
        <v>5883</v>
      </c>
    </row>
    <row r="6425" spans="1:9" x14ac:dyDescent="0.2">
      <c r="A6425" s="2" t="s">
        <v>4092</v>
      </c>
      <c r="B6425" s="2" t="s">
        <v>2339</v>
      </c>
      <c r="C6425" s="2">
        <v>669.9742</v>
      </c>
      <c r="D6425" s="2">
        <f>HYPERLINK("http://mcb-m6.bioreg.kyushu-u.ac.jp/M3/20110318/F50598/1360/1", 55.47)</f>
        <v>55.47</v>
      </c>
      <c r="E6425" s="2">
        <v>25.47</v>
      </c>
      <c r="F6425" s="2">
        <v>2</v>
      </c>
      <c r="G6425" s="2" t="s">
        <v>10</v>
      </c>
    </row>
    <row r="6426" spans="1:9" x14ac:dyDescent="0.2">
      <c r="A6426" s="2" t="s">
        <v>4571</v>
      </c>
      <c r="B6426" s="2" t="s">
        <v>2616</v>
      </c>
      <c r="C6426" s="2">
        <v>824.93409999999994</v>
      </c>
      <c r="D6426" s="2">
        <f>HYPERLINK("http://mcb-m6.bioreg.kyushu-u.ac.jp/M3/20110502/F51163/2254/1", 56.95)</f>
        <v>56.95</v>
      </c>
      <c r="E6426" s="2">
        <v>33.11</v>
      </c>
      <c r="F6426" s="2">
        <v>2</v>
      </c>
      <c r="G6426" s="2" t="s">
        <v>13</v>
      </c>
    </row>
    <row r="6427" spans="1:9" x14ac:dyDescent="0.2">
      <c r="A6427" s="2" t="s">
        <v>5780</v>
      </c>
      <c r="B6427" s="2" t="s">
        <v>5424</v>
      </c>
      <c r="C6427" s="2">
        <v>1009.337</v>
      </c>
      <c r="D6427" s="2">
        <f>HYPERLINK("http://mcb-m6.bioreg.kyushu-u.ac.jp/M3/20110418/F50978/3214/1", 92.77)</f>
        <v>92.77</v>
      </c>
      <c r="E6427" s="2">
        <v>77.91</v>
      </c>
      <c r="F6427" s="2">
        <v>2</v>
      </c>
      <c r="G6427" s="2" t="s">
        <v>11</v>
      </c>
    </row>
    <row r="6428" spans="1:9" x14ac:dyDescent="0.2">
      <c r="A6428" s="2" t="s">
        <v>5780</v>
      </c>
      <c r="B6428" s="2" t="s">
        <v>5424</v>
      </c>
      <c r="C6428" s="2">
        <v>1008.828</v>
      </c>
      <c r="D6428" s="2">
        <f>HYPERLINK("http://mcb-m6.bioreg.kyushu-u.ac.jp/M3/20110429/F51154/3326/1", 104.34)</f>
        <v>104.34</v>
      </c>
      <c r="E6428" s="2">
        <v>92.01</v>
      </c>
      <c r="F6428" s="2">
        <v>2</v>
      </c>
      <c r="G6428" s="2" t="s">
        <v>13</v>
      </c>
    </row>
    <row r="6429" spans="1:9" x14ac:dyDescent="0.2">
      <c r="A6429" s="2" t="s">
        <v>5664</v>
      </c>
      <c r="B6429" s="2" t="s">
        <v>5131</v>
      </c>
      <c r="C6429" s="2">
        <v>736.65120000000002</v>
      </c>
      <c r="D6429" s="2">
        <f>HYPERLINK("http://mcb-m6.bioreg.kyushu-u.ac.jp/M3/20110318/F50618/2863/1", 64.27)</f>
        <v>64.27</v>
      </c>
      <c r="E6429" s="2">
        <v>46.62</v>
      </c>
      <c r="F6429" s="2">
        <v>3</v>
      </c>
      <c r="G6429" s="2" t="s">
        <v>9</v>
      </c>
    </row>
    <row r="6430" spans="1:9" x14ac:dyDescent="0.2">
      <c r="A6430" s="2" t="s">
        <v>3464</v>
      </c>
      <c r="B6430" s="2" t="s">
        <v>275</v>
      </c>
      <c r="C6430" s="2">
        <v>787.73220000000003</v>
      </c>
      <c r="D6430" s="2">
        <f>HYPERLINK("http://mcb-m6.bioreg.kyushu-u.ac.jp/M3/20110318/F50619/1667/1", 40.39)</f>
        <v>40.39</v>
      </c>
      <c r="E6430" s="2">
        <v>19.899999999999999</v>
      </c>
      <c r="F6430" s="2">
        <v>2</v>
      </c>
      <c r="G6430" s="2" t="s">
        <v>9</v>
      </c>
      <c r="H6430" s="2" t="s">
        <v>4896</v>
      </c>
      <c r="I6430" s="2" t="s">
        <v>4914</v>
      </c>
    </row>
    <row r="6431" spans="1:9" x14ac:dyDescent="0.2">
      <c r="A6431" s="2" t="s">
        <v>3464</v>
      </c>
      <c r="B6431" s="2" t="s">
        <v>5068</v>
      </c>
      <c r="C6431" s="2">
        <v>688.70320000000004</v>
      </c>
      <c r="D6431" s="2">
        <f>HYPERLINK("http://mcb-m6.bioreg.kyushu-u.ac.jp/M3/20110318/F50619/1280/1", 46.06)</f>
        <v>46.06</v>
      </c>
      <c r="E6431" s="2">
        <v>12.81</v>
      </c>
      <c r="F6431" s="2">
        <v>2</v>
      </c>
      <c r="G6431" s="2" t="s">
        <v>9</v>
      </c>
    </row>
    <row r="6432" spans="1:9" x14ac:dyDescent="0.2">
      <c r="A6432" s="2" t="s">
        <v>3464</v>
      </c>
      <c r="B6432" s="2" t="s">
        <v>5077</v>
      </c>
      <c r="C6432" s="2">
        <v>787.0942</v>
      </c>
      <c r="D6432" s="2">
        <f>HYPERLINK("http://mcb-m6.bioreg.kyushu-u.ac.jp/M3/20110318/F50619/1663/1", 48.08)</f>
        <v>48.08</v>
      </c>
      <c r="E6432" s="2">
        <v>36.21</v>
      </c>
      <c r="F6432" s="2">
        <v>2</v>
      </c>
      <c r="G6432" s="2" t="s">
        <v>9</v>
      </c>
      <c r="H6432" s="2" t="s">
        <v>4901</v>
      </c>
    </row>
    <row r="6433" spans="1:9" x14ac:dyDescent="0.2">
      <c r="A6433" s="2" t="s">
        <v>3464</v>
      </c>
      <c r="B6433" s="2" t="s">
        <v>5102</v>
      </c>
      <c r="C6433" s="2">
        <v>465.79559999999998</v>
      </c>
      <c r="D6433" s="2">
        <f>HYPERLINK("http://mcb-m6.bioreg.kyushu-u.ac.jp/M3/20110318/F50619/755/1", 54.2)</f>
        <v>54.2</v>
      </c>
      <c r="E6433" s="2">
        <v>23.55</v>
      </c>
      <c r="F6433" s="2">
        <v>2</v>
      </c>
      <c r="G6433" s="2" t="s">
        <v>9</v>
      </c>
    </row>
    <row r="6434" spans="1:9" x14ac:dyDescent="0.2">
      <c r="A6434" s="2" t="s">
        <v>3464</v>
      </c>
      <c r="B6434" s="2" t="s">
        <v>5171</v>
      </c>
      <c r="C6434" s="2">
        <v>523.26969999999994</v>
      </c>
      <c r="D6434" s="2">
        <f>HYPERLINK("http://mcb-m6.bioreg.kyushu-u.ac.jp/M3/20110318/F50619/900/1", 76.6)</f>
        <v>76.599999999999994</v>
      </c>
      <c r="E6434" s="2">
        <v>47.89</v>
      </c>
      <c r="F6434" s="2">
        <v>2</v>
      </c>
      <c r="G6434" s="2" t="s">
        <v>9</v>
      </c>
      <c r="H6434" s="2" t="s">
        <v>4908</v>
      </c>
    </row>
    <row r="6435" spans="1:9" x14ac:dyDescent="0.2">
      <c r="A6435" s="2" t="s">
        <v>3464</v>
      </c>
      <c r="B6435" s="2" t="s">
        <v>5174</v>
      </c>
      <c r="C6435" s="2">
        <v>555.29909999999995</v>
      </c>
      <c r="D6435" s="2">
        <f>HYPERLINK("http://mcb-m6.bioreg.kyushu-u.ac.jp/M3/20110318/F50619/967/1", 79.06)</f>
        <v>79.06</v>
      </c>
      <c r="E6435" s="2">
        <v>48.97</v>
      </c>
      <c r="F6435" s="2">
        <v>2</v>
      </c>
      <c r="G6435" s="2" t="s">
        <v>9</v>
      </c>
    </row>
    <row r="6436" spans="1:9" x14ac:dyDescent="0.2">
      <c r="A6436" s="2" t="s">
        <v>3464</v>
      </c>
      <c r="B6436" s="2" t="s">
        <v>5201</v>
      </c>
      <c r="C6436" s="2">
        <v>1069.1690000000001</v>
      </c>
      <c r="D6436" s="2">
        <f>HYPERLINK("http://mcb-m6.bioreg.kyushu-u.ac.jp/M3/20110318/F50619/2518/1", 108.21)</f>
        <v>108.21</v>
      </c>
      <c r="E6436" s="2">
        <v>90.06</v>
      </c>
      <c r="F6436" s="2">
        <v>2</v>
      </c>
      <c r="G6436" s="2" t="s">
        <v>9</v>
      </c>
    </row>
    <row r="6437" spans="1:9" x14ac:dyDescent="0.2">
      <c r="A6437" s="2" t="s">
        <v>3464</v>
      </c>
      <c r="B6437" s="2" t="s">
        <v>5201</v>
      </c>
      <c r="C6437" s="2">
        <v>1077.45</v>
      </c>
      <c r="D6437" s="2">
        <f>HYPERLINK("http://mcb-m6.bioreg.kyushu-u.ac.jp/M3/20110318/F50619/2538/1", 133.85)</f>
        <v>133.85</v>
      </c>
      <c r="E6437" s="2">
        <v>112.7</v>
      </c>
      <c r="F6437" s="2">
        <v>2</v>
      </c>
      <c r="G6437" s="2" t="s">
        <v>9</v>
      </c>
      <c r="H6437" s="2" t="s">
        <v>4910</v>
      </c>
    </row>
    <row r="6438" spans="1:9" x14ac:dyDescent="0.2">
      <c r="A6438" s="2" t="s">
        <v>3464</v>
      </c>
      <c r="B6438" s="2" t="s">
        <v>879</v>
      </c>
      <c r="C6438" s="2">
        <v>580.86519999999996</v>
      </c>
      <c r="D6438" s="2">
        <f>HYPERLINK("http://mcb-m6.bioreg.kyushu-u.ac.jp/M3/20110318/F50615/1012/1", 53.18)</f>
        <v>53.18</v>
      </c>
      <c r="E6438" s="2">
        <v>29.52</v>
      </c>
      <c r="F6438" s="2">
        <v>2</v>
      </c>
      <c r="G6438" s="2" t="s">
        <v>10</v>
      </c>
    </row>
    <row r="6439" spans="1:9" x14ac:dyDescent="0.2">
      <c r="A6439" s="2" t="s">
        <v>3464</v>
      </c>
      <c r="B6439" s="2" t="s">
        <v>1865</v>
      </c>
      <c r="C6439" s="2">
        <v>744.73419999999999</v>
      </c>
      <c r="D6439" s="2">
        <f>HYPERLINK("http://mcb-m6.bioreg.kyushu-u.ac.jp/M3/20110418/F50975/2072/1", 42.69)</f>
        <v>42.69</v>
      </c>
      <c r="E6439" s="2">
        <v>32.17</v>
      </c>
      <c r="F6439" s="2">
        <v>2</v>
      </c>
      <c r="G6439" s="2" t="s">
        <v>11</v>
      </c>
      <c r="H6439" s="2" t="s">
        <v>4891</v>
      </c>
    </row>
    <row r="6440" spans="1:9" x14ac:dyDescent="0.2">
      <c r="A6440" s="2" t="s">
        <v>3464</v>
      </c>
      <c r="B6440" s="2" t="s">
        <v>2299</v>
      </c>
      <c r="C6440" s="2">
        <v>731.98209999999995</v>
      </c>
      <c r="D6440" s="2">
        <f>HYPERLINK("http://mcb-m6.bioreg.kyushu-u.ac.jp/M3/20110418/F50975/3741/1", 64.63)</f>
        <v>64.63</v>
      </c>
      <c r="E6440" s="2">
        <v>53.03</v>
      </c>
      <c r="F6440" s="2">
        <v>3</v>
      </c>
      <c r="G6440" s="2" t="s">
        <v>11</v>
      </c>
    </row>
    <row r="6441" spans="1:9" x14ac:dyDescent="0.2">
      <c r="A6441" s="2" t="s">
        <v>3464</v>
      </c>
      <c r="B6441" s="2" t="s">
        <v>5174</v>
      </c>
      <c r="C6441" s="2">
        <v>555.19669999999996</v>
      </c>
      <c r="D6441" s="2">
        <f>HYPERLINK("http://mcb-m6.bioreg.kyushu-u.ac.jp/M3/20110428/F51141/935/1", 59.35)</f>
        <v>59.35</v>
      </c>
      <c r="E6441" s="2">
        <v>27.23</v>
      </c>
      <c r="F6441" s="2">
        <v>2</v>
      </c>
      <c r="G6441" s="2" t="s">
        <v>14</v>
      </c>
    </row>
    <row r="6442" spans="1:9" x14ac:dyDescent="0.2">
      <c r="A6442" s="2" t="s">
        <v>3464</v>
      </c>
      <c r="B6442" s="2" t="s">
        <v>5592</v>
      </c>
      <c r="C6442" s="2">
        <v>917.63750000000005</v>
      </c>
      <c r="D6442" s="2">
        <f>HYPERLINK("http://mcb-m6.bioreg.kyushu-u.ac.jp/M3/20110428/F51141/4333/1", 61.15)</f>
        <v>61.15</v>
      </c>
      <c r="E6442" s="2">
        <v>50.12</v>
      </c>
      <c r="F6442" s="2">
        <v>3</v>
      </c>
      <c r="G6442" s="2" t="s">
        <v>14</v>
      </c>
      <c r="I6442" s="2" t="s">
        <v>4922</v>
      </c>
    </row>
    <row r="6443" spans="1:9" x14ac:dyDescent="0.2">
      <c r="A6443" s="2" t="s">
        <v>3931</v>
      </c>
      <c r="B6443" s="2" t="s">
        <v>1118</v>
      </c>
      <c r="C6443" s="2">
        <v>931.08669999999995</v>
      </c>
      <c r="D6443" s="2">
        <f>HYPERLINK("http://mcb-m6.bioreg.kyushu-u.ac.jp/M3/20110502/F51158/2882/1", 63.53)</f>
        <v>63.53</v>
      </c>
      <c r="E6443" s="2">
        <v>47</v>
      </c>
      <c r="F6443" s="2">
        <v>2</v>
      </c>
      <c r="G6443" s="2" t="s">
        <v>13</v>
      </c>
    </row>
    <row r="6444" spans="1:9" x14ac:dyDescent="0.2">
      <c r="A6444" s="2" t="s">
        <v>3931</v>
      </c>
      <c r="B6444" s="2" t="s">
        <v>1118</v>
      </c>
      <c r="C6444" s="2">
        <v>931.10860000000002</v>
      </c>
      <c r="D6444" s="2">
        <f>HYPERLINK("http://mcb-m6.bioreg.kyushu-u.ac.jp/M3/20110502/F51159/2788/1", 70.61)</f>
        <v>70.61</v>
      </c>
      <c r="E6444" s="2">
        <v>50.72</v>
      </c>
      <c r="F6444" s="2">
        <v>2</v>
      </c>
      <c r="G6444" s="2" t="s">
        <v>14</v>
      </c>
    </row>
    <row r="6445" spans="1:9" x14ac:dyDescent="0.2">
      <c r="A6445" s="2" t="s">
        <v>3398</v>
      </c>
      <c r="B6445" s="2" t="s">
        <v>335</v>
      </c>
      <c r="C6445" s="2">
        <v>530.80909999999994</v>
      </c>
      <c r="D6445" s="2">
        <f>HYPERLINK("http://mcb-m6.bioreg.kyushu-u.ac.jp/M3/20110318/F50610/1375/1", 43.72)</f>
        <v>43.72</v>
      </c>
      <c r="E6445" s="2">
        <v>20.12</v>
      </c>
      <c r="F6445" s="2">
        <v>2</v>
      </c>
      <c r="G6445" s="2" t="s">
        <v>9</v>
      </c>
    </row>
    <row r="6446" spans="1:9" x14ac:dyDescent="0.2">
      <c r="A6446" s="2" t="s">
        <v>3398</v>
      </c>
      <c r="B6446" s="2" t="s">
        <v>335</v>
      </c>
      <c r="C6446" s="2">
        <v>530.73820000000001</v>
      </c>
      <c r="D6446" s="2">
        <f>HYPERLINK("http://mcb-m6.bioreg.kyushu-u.ac.jp/M3/20110318/F50609/1207/1", 50.56)</f>
        <v>50.56</v>
      </c>
      <c r="E6446" s="2">
        <v>30.39</v>
      </c>
      <c r="F6446" s="2">
        <v>2</v>
      </c>
      <c r="G6446" s="2" t="s">
        <v>9</v>
      </c>
    </row>
    <row r="6447" spans="1:9" x14ac:dyDescent="0.2">
      <c r="A6447" s="2" t="s">
        <v>3398</v>
      </c>
      <c r="B6447" s="2" t="s">
        <v>784</v>
      </c>
      <c r="C6447" s="2">
        <v>595.79909999999995</v>
      </c>
      <c r="D6447" s="2">
        <f>HYPERLINK("http://mcb-m6.bioreg.kyushu-u.ac.jp/M3/20110318/F50609/1282/1", 57.56)</f>
        <v>57.56</v>
      </c>
      <c r="E6447" s="2">
        <v>32.67</v>
      </c>
      <c r="F6447" s="2">
        <v>2</v>
      </c>
      <c r="G6447" s="2" t="s">
        <v>9</v>
      </c>
      <c r="H6447" s="2" t="s">
        <v>4901</v>
      </c>
    </row>
    <row r="6448" spans="1:9" x14ac:dyDescent="0.2">
      <c r="A6448" s="2" t="s">
        <v>3398</v>
      </c>
      <c r="B6448" s="2" t="s">
        <v>193</v>
      </c>
      <c r="C6448" s="2">
        <v>599.86569999999995</v>
      </c>
      <c r="D6448" s="2">
        <f>HYPERLINK("http://mcb-m6.bioreg.kyushu-u.ac.jp/M3/20110318/F50609/1291/1", 66.08)</f>
        <v>66.08</v>
      </c>
      <c r="E6448" s="2">
        <v>38.14</v>
      </c>
      <c r="F6448" s="2">
        <v>2</v>
      </c>
      <c r="G6448" s="2" t="s">
        <v>9</v>
      </c>
    </row>
    <row r="6449" spans="1:8" x14ac:dyDescent="0.2">
      <c r="A6449" s="2" t="s">
        <v>3398</v>
      </c>
      <c r="B6449" s="2" t="s">
        <v>193</v>
      </c>
      <c r="C6449" s="2">
        <v>599.86569999999995</v>
      </c>
      <c r="D6449" s="2">
        <f>HYPERLINK("http://mcb-m6.bioreg.kyushu-u.ac.jp/M3/20110318/F50610/1430/1", 66.14)</f>
        <v>66.14</v>
      </c>
      <c r="E6449" s="2">
        <v>36.9</v>
      </c>
      <c r="F6449" s="2">
        <v>2</v>
      </c>
      <c r="G6449" s="2" t="s">
        <v>9</v>
      </c>
    </row>
    <row r="6450" spans="1:8" x14ac:dyDescent="0.2">
      <c r="A6450" s="2" t="s">
        <v>3398</v>
      </c>
      <c r="B6450" s="2" t="s">
        <v>1675</v>
      </c>
      <c r="C6450" s="2">
        <v>1145.4059999999999</v>
      </c>
      <c r="D6450" s="2">
        <f>HYPERLINK("http://mcb-m6.bioreg.kyushu-u.ac.jp/M3/20110318/F50610/2359/1", 96.77)</f>
        <v>96.77</v>
      </c>
      <c r="E6450" s="2">
        <v>78.88</v>
      </c>
      <c r="F6450" s="2">
        <v>2</v>
      </c>
      <c r="G6450" s="2" t="s">
        <v>9</v>
      </c>
    </row>
    <row r="6451" spans="1:8" x14ac:dyDescent="0.2">
      <c r="A6451" s="2" t="s">
        <v>3398</v>
      </c>
      <c r="B6451" s="2" t="s">
        <v>1675</v>
      </c>
      <c r="C6451" s="2">
        <v>1145.068</v>
      </c>
      <c r="D6451" s="2">
        <f>HYPERLINK("http://mcb-m6.bioreg.kyushu-u.ac.jp/M3/20110318/F50609/2522/1", 125.99)</f>
        <v>125.99</v>
      </c>
      <c r="E6451" s="2">
        <v>110.49</v>
      </c>
      <c r="F6451" s="2">
        <v>2</v>
      </c>
      <c r="G6451" s="2" t="s">
        <v>9</v>
      </c>
    </row>
    <row r="6452" spans="1:8" x14ac:dyDescent="0.2">
      <c r="A6452" s="2" t="s">
        <v>3398</v>
      </c>
      <c r="B6452" s="2" t="s">
        <v>193</v>
      </c>
      <c r="C6452" s="2">
        <v>591.85670000000005</v>
      </c>
      <c r="D6452" s="2">
        <f>HYPERLINK("http://mcb-m6.bioreg.kyushu-u.ac.jp/M3/20110318/F50600/1228/1", 59.44)</f>
        <v>59.44</v>
      </c>
      <c r="E6452" s="2">
        <v>37.29</v>
      </c>
      <c r="F6452" s="2">
        <v>2</v>
      </c>
      <c r="G6452" s="2" t="s">
        <v>10</v>
      </c>
      <c r="H6452" s="2" t="s">
        <v>4904</v>
      </c>
    </row>
    <row r="6453" spans="1:8" x14ac:dyDescent="0.2">
      <c r="A6453" s="2" t="s">
        <v>3398</v>
      </c>
      <c r="B6453" s="2" t="s">
        <v>193</v>
      </c>
      <c r="C6453" s="2">
        <v>599.94119999999998</v>
      </c>
      <c r="D6453" s="2">
        <f>HYPERLINK("http://mcb-m6.bioreg.kyushu-u.ac.jp/M3/20110318/F50600/1244/1", 66.1)</f>
        <v>66.099999999999994</v>
      </c>
      <c r="E6453" s="2">
        <v>38.51</v>
      </c>
      <c r="F6453" s="2">
        <v>2</v>
      </c>
      <c r="G6453" s="2" t="s">
        <v>10</v>
      </c>
    </row>
    <row r="6454" spans="1:8" x14ac:dyDescent="0.2">
      <c r="A6454" s="2" t="s">
        <v>3398</v>
      </c>
      <c r="B6454" s="2" t="s">
        <v>193</v>
      </c>
      <c r="C6454" s="2">
        <v>1181.442</v>
      </c>
      <c r="D6454" s="2">
        <f>HYPERLINK("http://mcb-m6.bioreg.kyushu-u.ac.jp/M3/20110418/F50971/1856/1", 44.99)</f>
        <v>44.99</v>
      </c>
      <c r="E6454" s="2">
        <v>24.83</v>
      </c>
      <c r="F6454" s="2">
        <v>1</v>
      </c>
      <c r="G6454" s="2" t="s">
        <v>11</v>
      </c>
      <c r="H6454" s="2" t="s">
        <v>4904</v>
      </c>
    </row>
    <row r="6455" spans="1:8" x14ac:dyDescent="0.2">
      <c r="A6455" s="2" t="s">
        <v>3398</v>
      </c>
      <c r="B6455" s="2" t="s">
        <v>784</v>
      </c>
      <c r="C6455" s="2">
        <v>588.02809999999999</v>
      </c>
      <c r="D6455" s="2">
        <f>HYPERLINK("http://mcb-m6.bioreg.kyushu-u.ac.jp/M3/20110418/F50971/1852/1", 45.64)</f>
        <v>45.64</v>
      </c>
      <c r="E6455" s="2">
        <v>27.93</v>
      </c>
      <c r="F6455" s="2">
        <v>2</v>
      </c>
      <c r="G6455" s="2" t="s">
        <v>11</v>
      </c>
    </row>
    <row r="6456" spans="1:8" x14ac:dyDescent="0.2">
      <c r="A6456" s="2" t="s">
        <v>3398</v>
      </c>
      <c r="B6456" s="2" t="s">
        <v>784</v>
      </c>
      <c r="C6456" s="2">
        <v>595.8922</v>
      </c>
      <c r="D6456" s="2">
        <f>HYPERLINK("http://mcb-m6.bioreg.kyushu-u.ac.jp/M3/20110418/F50971/1870/1", 56.82)</f>
        <v>56.82</v>
      </c>
      <c r="E6456" s="2">
        <v>37</v>
      </c>
      <c r="F6456" s="2">
        <v>2</v>
      </c>
      <c r="G6456" s="2" t="s">
        <v>11</v>
      </c>
      <c r="H6456" s="2" t="s">
        <v>4901</v>
      </c>
    </row>
    <row r="6457" spans="1:8" x14ac:dyDescent="0.2">
      <c r="A6457" s="2" t="s">
        <v>3398</v>
      </c>
      <c r="B6457" s="2" t="s">
        <v>193</v>
      </c>
      <c r="C6457" s="2">
        <v>600.17269999999996</v>
      </c>
      <c r="D6457" s="2">
        <f>HYPERLINK("http://mcb-m6.bioreg.kyushu-u.ac.jp/M3/20110418/F50971/1882/1", 72.3)</f>
        <v>72.3</v>
      </c>
      <c r="E6457" s="2">
        <v>46.28</v>
      </c>
      <c r="F6457" s="2">
        <v>2</v>
      </c>
      <c r="G6457" s="2" t="s">
        <v>11</v>
      </c>
    </row>
    <row r="6458" spans="1:8" x14ac:dyDescent="0.2">
      <c r="A6458" s="2" t="s">
        <v>3398</v>
      </c>
      <c r="B6458" s="2" t="s">
        <v>193</v>
      </c>
      <c r="C6458" s="2">
        <v>599.58510000000001</v>
      </c>
      <c r="D6458" s="2">
        <f>HYPERLINK("http://mcb-m6.bioreg.kyushu-u.ac.jp/M3/20110418/F50971/1879/1", 78.64)</f>
        <v>78.64</v>
      </c>
      <c r="E6458" s="2">
        <v>50.38</v>
      </c>
      <c r="F6458" s="2">
        <v>2</v>
      </c>
      <c r="G6458" s="2" t="s">
        <v>11</v>
      </c>
    </row>
    <row r="6459" spans="1:8" x14ac:dyDescent="0.2">
      <c r="A6459" s="2" t="s">
        <v>3398</v>
      </c>
      <c r="B6459" s="2" t="s">
        <v>193</v>
      </c>
      <c r="C6459" s="2">
        <v>599.60519999999997</v>
      </c>
      <c r="D6459" s="2">
        <f>HYPERLINK("http://mcb-m6.bioreg.kyushu-u.ac.jp/M3/20110418/F50970/1779/1", 100.06)</f>
        <v>100.06</v>
      </c>
      <c r="E6459" s="2">
        <v>69.89</v>
      </c>
      <c r="F6459" s="2">
        <v>2</v>
      </c>
      <c r="G6459" s="2" t="s">
        <v>11</v>
      </c>
    </row>
    <row r="6460" spans="1:8" x14ac:dyDescent="0.2">
      <c r="A6460" s="2" t="s">
        <v>3398</v>
      </c>
      <c r="B6460" s="2" t="s">
        <v>1675</v>
      </c>
      <c r="C6460" s="2">
        <v>1144.7380000000001</v>
      </c>
      <c r="D6460" s="2">
        <f>HYPERLINK("http://mcb-m6.bioreg.kyushu-u.ac.jp/M3/20110418/F50971/2521/1", 128.21)</f>
        <v>128.21</v>
      </c>
      <c r="E6460" s="2">
        <v>113.36</v>
      </c>
      <c r="F6460" s="2">
        <v>2</v>
      </c>
      <c r="G6460" s="2" t="s">
        <v>11</v>
      </c>
    </row>
    <row r="6461" spans="1:8" x14ac:dyDescent="0.2">
      <c r="A6461" s="2" t="s">
        <v>3398</v>
      </c>
      <c r="B6461" s="2" t="s">
        <v>193</v>
      </c>
      <c r="C6461" s="2">
        <v>599.60109999999997</v>
      </c>
      <c r="D6461" s="2">
        <f>HYPERLINK("http://mcb-m6.bioreg.kyushu-u.ac.jp/M3/20110418/F50981/1907/1", 81.89)</f>
        <v>81.89</v>
      </c>
      <c r="E6461" s="2">
        <v>57.85</v>
      </c>
      <c r="F6461" s="2">
        <v>2</v>
      </c>
      <c r="G6461" s="2" t="s">
        <v>12</v>
      </c>
    </row>
    <row r="6462" spans="1:8" x14ac:dyDescent="0.2">
      <c r="A6462" s="2" t="s">
        <v>3398</v>
      </c>
      <c r="B6462" s="2" t="s">
        <v>335</v>
      </c>
      <c r="C6462" s="2">
        <v>1059.4970000000001</v>
      </c>
      <c r="D6462" s="2">
        <f>HYPERLINK("http://mcb-m6.bioreg.kyushu-u.ac.jp/M3/20110429/F51149/1523/1", 41.19)</f>
        <v>41.19</v>
      </c>
      <c r="E6462" s="2">
        <v>14.64</v>
      </c>
      <c r="F6462" s="2">
        <v>1</v>
      </c>
      <c r="G6462" s="2" t="s">
        <v>13</v>
      </c>
    </row>
    <row r="6463" spans="1:8" x14ac:dyDescent="0.2">
      <c r="A6463" s="2" t="s">
        <v>3398</v>
      </c>
      <c r="B6463" s="2" t="s">
        <v>193</v>
      </c>
      <c r="C6463" s="2">
        <v>1181.848</v>
      </c>
      <c r="D6463" s="2">
        <f>HYPERLINK("http://mcb-m6.bioreg.kyushu-u.ac.jp/M3/20110429/F51149/1677/1", 43.38)</f>
        <v>43.38</v>
      </c>
      <c r="E6463" s="2">
        <v>15.86</v>
      </c>
      <c r="F6463" s="2">
        <v>1</v>
      </c>
      <c r="G6463" s="2" t="s">
        <v>13</v>
      </c>
      <c r="H6463" s="2" t="s">
        <v>4904</v>
      </c>
    </row>
    <row r="6464" spans="1:8" x14ac:dyDescent="0.2">
      <c r="A6464" s="2" t="s">
        <v>3398</v>
      </c>
      <c r="B6464" s="2" t="s">
        <v>784</v>
      </c>
      <c r="C6464" s="2">
        <v>588.27560000000005</v>
      </c>
      <c r="D6464" s="2">
        <f>HYPERLINK("http://mcb-m6.bioreg.kyushu-u.ac.jp/M3/20110429/F51149/1668/1", 45.99)</f>
        <v>45.99</v>
      </c>
      <c r="E6464" s="2">
        <v>27.29</v>
      </c>
      <c r="F6464" s="2">
        <v>2</v>
      </c>
      <c r="G6464" s="2" t="s">
        <v>13</v>
      </c>
    </row>
    <row r="6465" spans="1:7" x14ac:dyDescent="0.2">
      <c r="A6465" s="2" t="s">
        <v>3398</v>
      </c>
      <c r="B6465" s="2" t="s">
        <v>193</v>
      </c>
      <c r="C6465" s="2">
        <v>599.98770000000002</v>
      </c>
      <c r="D6465" s="2">
        <f>HYPERLINK("http://mcb-m6.bioreg.kyushu-u.ac.jp/M3/20110428/F51147/1531/1", 79.25)</f>
        <v>79.25</v>
      </c>
      <c r="E6465" s="2">
        <v>49.36</v>
      </c>
      <c r="F6465" s="2">
        <v>2</v>
      </c>
      <c r="G6465" s="2" t="s">
        <v>13</v>
      </c>
    </row>
    <row r="6466" spans="1:7" x14ac:dyDescent="0.2">
      <c r="A6466" s="2" t="s">
        <v>3398</v>
      </c>
      <c r="B6466" s="2" t="s">
        <v>193</v>
      </c>
      <c r="C6466" s="2">
        <v>599.91020000000003</v>
      </c>
      <c r="D6466" s="2">
        <f>HYPERLINK("http://mcb-m6.bioreg.kyushu-u.ac.jp/M3/20110429/F51149/1712/1", 85.48)</f>
        <v>85.48</v>
      </c>
      <c r="E6466" s="2">
        <v>58</v>
      </c>
      <c r="F6466" s="2">
        <v>2</v>
      </c>
      <c r="G6466" s="2" t="s">
        <v>13</v>
      </c>
    </row>
    <row r="6467" spans="1:7" x14ac:dyDescent="0.2">
      <c r="A6467" s="2" t="s">
        <v>3398</v>
      </c>
      <c r="B6467" s="2" t="s">
        <v>1675</v>
      </c>
      <c r="C6467" s="2">
        <v>1145.633</v>
      </c>
      <c r="D6467" s="2">
        <f>HYPERLINK("http://mcb-m6.bioreg.kyushu-u.ac.jp/M3/20110429/F51149/2669/1", 93.74)</f>
        <v>93.74</v>
      </c>
      <c r="E6467" s="2">
        <v>84.33</v>
      </c>
      <c r="F6467" s="2">
        <v>2</v>
      </c>
      <c r="G6467" s="2" t="s">
        <v>13</v>
      </c>
    </row>
    <row r="6468" spans="1:7" x14ac:dyDescent="0.2">
      <c r="A6468" s="2" t="s">
        <v>3398</v>
      </c>
      <c r="B6468" s="2" t="s">
        <v>193</v>
      </c>
      <c r="C6468" s="2">
        <v>599.99109999999996</v>
      </c>
      <c r="D6468" s="2">
        <f>HYPERLINK("http://mcb-m6.bioreg.kyushu-u.ac.jp/M3/20110428/F51137/1883/1", 38.26)</f>
        <v>38.26</v>
      </c>
      <c r="E6468" s="2">
        <v>22.52</v>
      </c>
      <c r="F6468" s="2">
        <v>2</v>
      </c>
      <c r="G6468" s="2" t="s">
        <v>14</v>
      </c>
    </row>
    <row r="6469" spans="1:7" x14ac:dyDescent="0.2">
      <c r="A6469" s="2" t="s">
        <v>3445</v>
      </c>
      <c r="B6469" s="2" t="s">
        <v>1499</v>
      </c>
      <c r="C6469" s="2">
        <v>594.29359999999997</v>
      </c>
      <c r="D6469" s="2">
        <f>HYPERLINK("http://mcb-m6.bioreg.kyushu-u.ac.jp/M3/20110318/F50608/1156/1", 86.6)</f>
        <v>86.6</v>
      </c>
      <c r="E6469" s="2">
        <v>64.209999999999994</v>
      </c>
      <c r="F6469" s="2">
        <v>2</v>
      </c>
      <c r="G6469" s="2" t="s">
        <v>9</v>
      </c>
    </row>
    <row r="6470" spans="1:7" x14ac:dyDescent="0.2">
      <c r="A6470" s="2" t="s">
        <v>5860</v>
      </c>
      <c r="B6470" s="2" t="s">
        <v>5556</v>
      </c>
      <c r="C6470" s="2">
        <v>865.74659999999994</v>
      </c>
      <c r="D6470" s="2">
        <f>HYPERLINK("http://mcb-m6.bioreg.kyushu-u.ac.jp/M3/20110429/F51151/2633/1", 80.79)</f>
        <v>80.790000000000006</v>
      </c>
      <c r="E6470" s="2">
        <v>67.41</v>
      </c>
      <c r="F6470" s="2">
        <v>2</v>
      </c>
      <c r="G6470" s="2" t="s">
        <v>13</v>
      </c>
    </row>
    <row r="6471" spans="1:7" x14ac:dyDescent="0.2">
      <c r="A6471" s="2" t="s">
        <v>4364</v>
      </c>
      <c r="B6471" s="2" t="s">
        <v>2635</v>
      </c>
      <c r="C6471" s="2">
        <v>939.8922</v>
      </c>
      <c r="D6471" s="2">
        <f>HYPERLINK("http://mcb-m6.bioreg.kyushu-u.ac.jp/M3/20110318/F50602/1993/1", 55.01)</f>
        <v>55.01</v>
      </c>
      <c r="E6471" s="2">
        <v>44.07</v>
      </c>
      <c r="F6471" s="2">
        <v>2</v>
      </c>
      <c r="G6471" s="2" t="s">
        <v>9</v>
      </c>
    </row>
    <row r="6472" spans="1:7" x14ac:dyDescent="0.2">
      <c r="A6472" s="2" t="s">
        <v>4364</v>
      </c>
      <c r="B6472" s="2" t="s">
        <v>2635</v>
      </c>
      <c r="C6472" s="2">
        <v>939.33920000000001</v>
      </c>
      <c r="D6472" s="2">
        <f>HYPERLINK("http://mcb-m6.bioreg.kyushu-u.ac.jp/M3/20110318/F50596/2202/1", 73.99)</f>
        <v>73.989999999999995</v>
      </c>
      <c r="E6472" s="2">
        <v>63.61</v>
      </c>
      <c r="F6472" s="2">
        <v>2</v>
      </c>
      <c r="G6472" s="2" t="s">
        <v>10</v>
      </c>
    </row>
    <row r="6473" spans="1:7" x14ac:dyDescent="0.2">
      <c r="A6473" s="2" t="s">
        <v>4364</v>
      </c>
      <c r="B6473" s="2" t="s">
        <v>2635</v>
      </c>
      <c r="C6473" s="2">
        <v>939.87710000000004</v>
      </c>
      <c r="D6473" s="2">
        <f>HYPERLINK("http://mcb-m6.bioreg.kyushu-u.ac.jp/M3/20110318/F50596/2204/1", 75.7)</f>
        <v>75.7</v>
      </c>
      <c r="E6473" s="2">
        <v>58.56</v>
      </c>
      <c r="F6473" s="2">
        <v>2</v>
      </c>
      <c r="G6473" s="2" t="s">
        <v>10</v>
      </c>
    </row>
    <row r="6474" spans="1:7" x14ac:dyDescent="0.2">
      <c r="A6474" s="2" t="s">
        <v>4364</v>
      </c>
      <c r="B6474" s="2" t="s">
        <v>2190</v>
      </c>
      <c r="C6474" s="2">
        <v>838.50819999999999</v>
      </c>
      <c r="D6474" s="2">
        <f>HYPERLINK("http://mcb-m6.bioreg.kyushu-u.ac.jp/M3/20110418/F50978/2527/1", 60.75)</f>
        <v>60.75</v>
      </c>
      <c r="E6474" s="2">
        <v>45.22</v>
      </c>
      <c r="F6474" s="2">
        <v>2</v>
      </c>
      <c r="G6474" s="2" t="s">
        <v>11</v>
      </c>
    </row>
    <row r="6475" spans="1:7" x14ac:dyDescent="0.2">
      <c r="A6475" s="2" t="s">
        <v>4364</v>
      </c>
      <c r="B6475" s="2" t="s">
        <v>2635</v>
      </c>
      <c r="C6475" s="2">
        <v>939.60469999999998</v>
      </c>
      <c r="D6475" s="2">
        <f>HYPERLINK("http://mcb-m6.bioreg.kyushu-u.ac.jp/M3/20110418/F50978/2974/1", 65.82)</f>
        <v>65.819999999999993</v>
      </c>
      <c r="E6475" s="2">
        <v>53.95</v>
      </c>
      <c r="F6475" s="2">
        <v>2</v>
      </c>
      <c r="G6475" s="2" t="s">
        <v>11</v>
      </c>
    </row>
    <row r="6476" spans="1:7" x14ac:dyDescent="0.2">
      <c r="A6476" s="2" t="s">
        <v>4364</v>
      </c>
      <c r="B6476" s="2" t="s">
        <v>2190</v>
      </c>
      <c r="C6476" s="2">
        <v>838.30160000000001</v>
      </c>
      <c r="D6476" s="2">
        <f>HYPERLINK("http://mcb-m6.bioreg.kyushu-u.ac.jp/M3/20110429/F51154/2560/1", 66.72)</f>
        <v>66.72</v>
      </c>
      <c r="E6476" s="2">
        <v>49.68</v>
      </c>
      <c r="F6476" s="2">
        <v>2</v>
      </c>
      <c r="G6476" s="2" t="s">
        <v>13</v>
      </c>
    </row>
    <row r="6477" spans="1:7" x14ac:dyDescent="0.2">
      <c r="A6477" s="2" t="s">
        <v>4364</v>
      </c>
      <c r="B6477" s="2" t="s">
        <v>2635</v>
      </c>
      <c r="C6477" s="2">
        <v>939.4941</v>
      </c>
      <c r="D6477" s="2">
        <f>HYPERLINK("http://mcb-m6.bioreg.kyushu-u.ac.jp/M3/20110428/F51143/2984/1", 74.39)</f>
        <v>74.39</v>
      </c>
      <c r="E6477" s="2">
        <v>56.76</v>
      </c>
      <c r="F6477" s="2">
        <v>2</v>
      </c>
      <c r="G6477" s="2" t="s">
        <v>14</v>
      </c>
    </row>
    <row r="6478" spans="1:7" x14ac:dyDescent="0.2">
      <c r="A6478" s="2" t="s">
        <v>4364</v>
      </c>
      <c r="B6478" s="2" t="s">
        <v>2190</v>
      </c>
      <c r="C6478" s="2">
        <v>838.46010000000001</v>
      </c>
      <c r="D6478" s="2">
        <f>HYPERLINK("http://mcb-m6.bioreg.kyushu-u.ac.jp/M3/20110428/F51143/2565/1", 75.06)</f>
        <v>75.06</v>
      </c>
      <c r="E6478" s="2">
        <v>56.51</v>
      </c>
      <c r="F6478" s="2">
        <v>2</v>
      </c>
      <c r="G6478" s="2" t="s">
        <v>14</v>
      </c>
    </row>
    <row r="6479" spans="1:7" x14ac:dyDescent="0.2">
      <c r="A6479" s="2" t="s">
        <v>3522</v>
      </c>
      <c r="B6479" s="2" t="s">
        <v>570</v>
      </c>
      <c r="C6479" s="2">
        <v>692.83090000000004</v>
      </c>
      <c r="D6479" s="2">
        <f>HYPERLINK("http://mcb-m6.bioreg.kyushu-u.ac.jp/M3/20110318/F50618/2744/1", 36.96)</f>
        <v>36.96</v>
      </c>
      <c r="E6479" s="2">
        <v>27.1</v>
      </c>
      <c r="F6479" s="2">
        <v>3</v>
      </c>
      <c r="G6479" s="2" t="s">
        <v>9</v>
      </c>
    </row>
    <row r="6480" spans="1:7" x14ac:dyDescent="0.2">
      <c r="A6480" s="2" t="s">
        <v>3522</v>
      </c>
      <c r="B6480" s="2" t="s">
        <v>1199</v>
      </c>
      <c r="C6480" s="2">
        <v>711.75160000000005</v>
      </c>
      <c r="D6480" s="2">
        <f>HYPERLINK("http://mcb-m6.bioreg.kyushu-u.ac.jp/M3/20110318/F50618/1440/1", 40.04)</f>
        <v>40.04</v>
      </c>
      <c r="E6480" s="2">
        <v>27.28</v>
      </c>
      <c r="F6480" s="2">
        <v>2</v>
      </c>
      <c r="G6480" s="2" t="s">
        <v>9</v>
      </c>
    </row>
    <row r="6481" spans="1:8" x14ac:dyDescent="0.2">
      <c r="A6481" s="2" t="s">
        <v>3522</v>
      </c>
      <c r="B6481" s="2" t="s">
        <v>2036</v>
      </c>
      <c r="C6481" s="2">
        <v>491.35489999999999</v>
      </c>
      <c r="D6481" s="2">
        <f>HYPERLINK("http://mcb-m6.bioreg.kyushu-u.ac.jp/M3/20110318/F50619/1447/1", 42.69)</f>
        <v>42.69</v>
      </c>
      <c r="E6481" s="2">
        <v>15.39</v>
      </c>
      <c r="F6481" s="2">
        <v>3</v>
      </c>
      <c r="G6481" s="2" t="s">
        <v>9</v>
      </c>
    </row>
    <row r="6482" spans="1:8" x14ac:dyDescent="0.2">
      <c r="A6482" s="2" t="s">
        <v>3522</v>
      </c>
      <c r="B6482" s="2" t="s">
        <v>5054</v>
      </c>
      <c r="C6482" s="2">
        <v>876.8519</v>
      </c>
      <c r="D6482" s="2">
        <f>HYPERLINK("http://mcb-m6.bioreg.kyushu-u.ac.jp/M3/20110318/F50619/3009/1", 43.53)</f>
        <v>43.53</v>
      </c>
      <c r="E6482" s="2">
        <v>31.75</v>
      </c>
      <c r="F6482" s="2">
        <v>3</v>
      </c>
      <c r="G6482" s="2" t="s">
        <v>9</v>
      </c>
      <c r="H6482" s="2" t="s">
        <v>5886</v>
      </c>
    </row>
    <row r="6483" spans="1:8" x14ac:dyDescent="0.2">
      <c r="A6483" s="2" t="s">
        <v>3522</v>
      </c>
      <c r="B6483" s="2" t="s">
        <v>479</v>
      </c>
      <c r="C6483" s="2">
        <v>521.05550000000005</v>
      </c>
      <c r="D6483" s="2">
        <f>HYPERLINK("http://mcb-m6.bioreg.kyushu-u.ac.jp/M3/20110318/F50606/1655/1", 44.51)</f>
        <v>44.51</v>
      </c>
      <c r="E6483" s="2">
        <v>30.35</v>
      </c>
      <c r="F6483" s="2">
        <v>3</v>
      </c>
      <c r="G6483" s="2" t="s">
        <v>9</v>
      </c>
    </row>
    <row r="6484" spans="1:8" x14ac:dyDescent="0.2">
      <c r="A6484" s="2" t="s">
        <v>3522</v>
      </c>
      <c r="B6484" s="2" t="s">
        <v>570</v>
      </c>
      <c r="C6484" s="2">
        <v>703.42550000000006</v>
      </c>
      <c r="D6484" s="2">
        <f>HYPERLINK("http://mcb-m6.bioreg.kyushu-u.ac.jp/M3/20110318/F50619/2485/1", 44.95)</f>
        <v>44.95</v>
      </c>
      <c r="E6484" s="2">
        <v>32.85</v>
      </c>
      <c r="F6484" s="2">
        <v>3</v>
      </c>
      <c r="G6484" s="2" t="s">
        <v>9</v>
      </c>
      <c r="H6484" s="2" t="s">
        <v>5887</v>
      </c>
    </row>
    <row r="6485" spans="1:8" x14ac:dyDescent="0.2">
      <c r="A6485" s="2" t="s">
        <v>3522</v>
      </c>
      <c r="B6485" s="2" t="s">
        <v>5054</v>
      </c>
      <c r="C6485" s="2">
        <v>1314.3330000000001</v>
      </c>
      <c r="D6485" s="2">
        <f>HYPERLINK("http://mcb-m6.bioreg.kyushu-u.ac.jp/M3/20110318/F50619/3008/1", 48.05)</f>
        <v>48.05</v>
      </c>
      <c r="E6485" s="2">
        <v>42.22</v>
      </c>
      <c r="F6485" s="2">
        <v>2</v>
      </c>
      <c r="G6485" s="2" t="s">
        <v>9</v>
      </c>
      <c r="H6485" s="2" t="s">
        <v>5886</v>
      </c>
    </row>
    <row r="6486" spans="1:8" x14ac:dyDescent="0.2">
      <c r="A6486" s="2" t="s">
        <v>3522</v>
      </c>
      <c r="B6486" s="2" t="s">
        <v>1199</v>
      </c>
      <c r="C6486" s="2">
        <v>711.82460000000003</v>
      </c>
      <c r="D6486" s="2">
        <f>HYPERLINK("http://mcb-m6.bioreg.kyushu-u.ac.jp/M3/20110318/F50608/1400/1", 49.18)</f>
        <v>49.18</v>
      </c>
      <c r="E6486" s="2">
        <v>26.16</v>
      </c>
      <c r="F6486" s="2">
        <v>2</v>
      </c>
      <c r="G6486" s="2" t="s">
        <v>9</v>
      </c>
    </row>
    <row r="6487" spans="1:8" x14ac:dyDescent="0.2">
      <c r="A6487" s="2" t="s">
        <v>3522</v>
      </c>
      <c r="B6487" s="2" t="s">
        <v>5054</v>
      </c>
      <c r="C6487" s="2">
        <v>1315.1489999999999</v>
      </c>
      <c r="D6487" s="2">
        <f>HYPERLINK("http://mcb-m6.bioreg.kyushu-u.ac.jp/M3/20110318/F50619/3010/1", 49.25)</f>
        <v>49.25</v>
      </c>
      <c r="E6487" s="2">
        <v>40.200000000000003</v>
      </c>
      <c r="F6487" s="2">
        <v>2</v>
      </c>
      <c r="G6487" s="2" t="s">
        <v>9</v>
      </c>
      <c r="H6487" s="2" t="s">
        <v>5886</v>
      </c>
    </row>
    <row r="6488" spans="1:8" x14ac:dyDescent="0.2">
      <c r="A6488" s="2" t="s">
        <v>3522</v>
      </c>
      <c r="B6488" s="2" t="s">
        <v>479</v>
      </c>
      <c r="C6488" s="2">
        <v>521.00890000000004</v>
      </c>
      <c r="D6488" s="2">
        <f>HYPERLINK("http://mcb-m6.bioreg.kyushu-u.ac.jp/M3/20110318/F50618/1858/1", 50.16)</f>
        <v>50.16</v>
      </c>
      <c r="E6488" s="2">
        <v>32.96</v>
      </c>
      <c r="F6488" s="2">
        <v>3</v>
      </c>
      <c r="G6488" s="2" t="s">
        <v>9</v>
      </c>
    </row>
    <row r="6489" spans="1:8" x14ac:dyDescent="0.2">
      <c r="A6489" s="2" t="s">
        <v>3522</v>
      </c>
      <c r="B6489" s="2" t="s">
        <v>479</v>
      </c>
      <c r="C6489" s="2">
        <v>521.06349999999998</v>
      </c>
      <c r="D6489" s="2">
        <f>HYPERLINK("http://mcb-m6.bioreg.kyushu-u.ac.jp/M3/20110318/F50619/1630/1", 54.19)</f>
        <v>54.19</v>
      </c>
      <c r="E6489" s="2">
        <v>33.28</v>
      </c>
      <c r="F6489" s="2">
        <v>3</v>
      </c>
      <c r="G6489" s="2" t="s">
        <v>9</v>
      </c>
    </row>
    <row r="6490" spans="1:8" x14ac:dyDescent="0.2">
      <c r="A6490" s="2" t="s">
        <v>3522</v>
      </c>
      <c r="B6490" s="2" t="s">
        <v>1199</v>
      </c>
      <c r="C6490" s="2">
        <v>1423.354</v>
      </c>
      <c r="D6490" s="2">
        <f>HYPERLINK("http://mcb-m6.bioreg.kyushu-u.ac.jp/M3/20110318/F50619/1349/1", 54.67)</f>
        <v>54.67</v>
      </c>
      <c r="E6490" s="2">
        <v>35.520000000000003</v>
      </c>
      <c r="F6490" s="2">
        <v>1</v>
      </c>
      <c r="G6490" s="2" t="s">
        <v>9</v>
      </c>
    </row>
    <row r="6491" spans="1:8" x14ac:dyDescent="0.2">
      <c r="A6491" s="2" t="s">
        <v>3522</v>
      </c>
      <c r="B6491" s="2" t="s">
        <v>946</v>
      </c>
      <c r="C6491" s="2">
        <v>458.86660000000001</v>
      </c>
      <c r="D6491" s="2">
        <f>HYPERLINK("http://mcb-m6.bioreg.kyushu-u.ac.jp/M3/20110318/F50619/740/1", 56.4)</f>
        <v>56.4</v>
      </c>
      <c r="E6491" s="2">
        <v>18.489999999999998</v>
      </c>
      <c r="F6491" s="2">
        <v>2</v>
      </c>
      <c r="G6491" s="2" t="s">
        <v>9</v>
      </c>
    </row>
    <row r="6492" spans="1:8" x14ac:dyDescent="0.2">
      <c r="A6492" s="2" t="s">
        <v>3522</v>
      </c>
      <c r="B6492" s="2" t="s">
        <v>479</v>
      </c>
      <c r="C6492" s="2">
        <v>780.90970000000004</v>
      </c>
      <c r="D6492" s="2">
        <f>HYPERLINK("http://mcb-m6.bioreg.kyushu-u.ac.jp/M3/20110318/F50606/1650/1", 57.9)</f>
        <v>57.9</v>
      </c>
      <c r="E6492" s="2">
        <v>40.270000000000003</v>
      </c>
      <c r="F6492" s="2">
        <v>2</v>
      </c>
      <c r="G6492" s="2" t="s">
        <v>9</v>
      </c>
    </row>
    <row r="6493" spans="1:8" x14ac:dyDescent="0.2">
      <c r="A6493" s="2" t="s">
        <v>3522</v>
      </c>
      <c r="B6493" s="2" t="s">
        <v>1419</v>
      </c>
      <c r="C6493" s="2">
        <v>552.38170000000002</v>
      </c>
      <c r="D6493" s="2">
        <f>HYPERLINK("http://mcb-m6.bioreg.kyushu-u.ac.jp/M3/20110318/F50620/1099/1", 67.66)</f>
        <v>67.66</v>
      </c>
      <c r="E6493" s="2">
        <v>39.06</v>
      </c>
      <c r="F6493" s="2">
        <v>2</v>
      </c>
      <c r="G6493" s="2" t="s">
        <v>9</v>
      </c>
    </row>
    <row r="6494" spans="1:8" x14ac:dyDescent="0.2">
      <c r="A6494" s="2" t="s">
        <v>3522</v>
      </c>
      <c r="B6494" s="2" t="s">
        <v>1199</v>
      </c>
      <c r="C6494" s="2">
        <v>712.15620000000001</v>
      </c>
      <c r="D6494" s="2">
        <f>HYPERLINK("http://mcb-m6.bioreg.kyushu-u.ac.jp/M3/20110318/F50610/1612/1", 69.17)</f>
        <v>69.17</v>
      </c>
      <c r="E6494" s="2">
        <v>50.93</v>
      </c>
      <c r="F6494" s="2">
        <v>2</v>
      </c>
      <c r="G6494" s="2" t="s">
        <v>9</v>
      </c>
    </row>
    <row r="6495" spans="1:8" x14ac:dyDescent="0.2">
      <c r="A6495" s="2" t="s">
        <v>3522</v>
      </c>
      <c r="B6495" s="2" t="s">
        <v>1199</v>
      </c>
      <c r="C6495" s="2">
        <v>1422.72</v>
      </c>
      <c r="D6495" s="2">
        <f>HYPERLINK("http://mcb-m6.bioreg.kyushu-u.ac.jp/M3/20110318/F50606/1359/1", 69.45)</f>
        <v>69.45</v>
      </c>
      <c r="E6495" s="2">
        <v>52.3</v>
      </c>
      <c r="F6495" s="2">
        <v>1</v>
      </c>
      <c r="G6495" s="2" t="s">
        <v>9</v>
      </c>
    </row>
    <row r="6496" spans="1:8" x14ac:dyDescent="0.2">
      <c r="A6496" s="2" t="s">
        <v>3522</v>
      </c>
      <c r="B6496" s="2" t="s">
        <v>479</v>
      </c>
      <c r="C6496" s="2">
        <v>780.76570000000004</v>
      </c>
      <c r="D6496" s="2">
        <f>HYPERLINK("http://mcb-m6.bioreg.kyushu-u.ac.jp/M3/20110318/F50620/1891/1", 72.49)</f>
        <v>72.489999999999995</v>
      </c>
      <c r="E6496" s="2">
        <v>52.37</v>
      </c>
      <c r="F6496" s="2">
        <v>2</v>
      </c>
      <c r="G6496" s="2" t="s">
        <v>9</v>
      </c>
    </row>
    <row r="6497" spans="1:8" x14ac:dyDescent="0.2">
      <c r="A6497" s="2" t="s">
        <v>3522</v>
      </c>
      <c r="B6497" s="2" t="s">
        <v>479</v>
      </c>
      <c r="C6497" s="2">
        <v>780.90719999999999</v>
      </c>
      <c r="D6497" s="2">
        <f>HYPERLINK("http://mcb-m6.bioreg.kyushu-u.ac.jp/M3/20110318/F50618/1857/1", 73.42)</f>
        <v>73.42</v>
      </c>
      <c r="E6497" s="2">
        <v>53.25</v>
      </c>
      <c r="F6497" s="2">
        <v>2</v>
      </c>
      <c r="G6497" s="2" t="s">
        <v>9</v>
      </c>
    </row>
    <row r="6498" spans="1:8" x14ac:dyDescent="0.2">
      <c r="A6498" s="2" t="s">
        <v>3522</v>
      </c>
      <c r="B6498" s="2" t="s">
        <v>2036</v>
      </c>
      <c r="C6498" s="2">
        <v>736.47220000000004</v>
      </c>
      <c r="D6498" s="2">
        <f>HYPERLINK("http://mcb-m6.bioreg.kyushu-u.ac.jp/M3/20110318/F50606/1444/1", 74.09)</f>
        <v>74.09</v>
      </c>
      <c r="E6498" s="2">
        <v>46.84</v>
      </c>
      <c r="F6498" s="2">
        <v>2</v>
      </c>
      <c r="G6498" s="2" t="s">
        <v>9</v>
      </c>
    </row>
    <row r="6499" spans="1:8" x14ac:dyDescent="0.2">
      <c r="A6499" s="2" t="s">
        <v>3522</v>
      </c>
      <c r="B6499" s="2" t="s">
        <v>1419</v>
      </c>
      <c r="C6499" s="2">
        <v>551.7867</v>
      </c>
      <c r="D6499" s="2">
        <f>HYPERLINK("http://mcb-m6.bioreg.kyushu-u.ac.jp/M3/20110318/F50619/962/1", 74.64)</f>
        <v>74.64</v>
      </c>
      <c r="E6499" s="2">
        <v>30.73</v>
      </c>
      <c r="F6499" s="2">
        <v>2</v>
      </c>
      <c r="G6499" s="2" t="s">
        <v>9</v>
      </c>
    </row>
    <row r="6500" spans="1:8" x14ac:dyDescent="0.2">
      <c r="A6500" s="2" t="s">
        <v>3522</v>
      </c>
      <c r="B6500" s="2" t="s">
        <v>2036</v>
      </c>
      <c r="C6500" s="2">
        <v>736.80359999999996</v>
      </c>
      <c r="D6500" s="2">
        <f>HYPERLINK("http://mcb-m6.bioreg.kyushu-u.ac.jp/M3/20110318/F50620/1597/1", 77.38)</f>
        <v>77.38</v>
      </c>
      <c r="E6500" s="2">
        <v>53.61</v>
      </c>
      <c r="F6500" s="2">
        <v>2</v>
      </c>
      <c r="G6500" s="2" t="s">
        <v>9</v>
      </c>
    </row>
    <row r="6501" spans="1:8" x14ac:dyDescent="0.2">
      <c r="A6501" s="2" t="s">
        <v>3522</v>
      </c>
      <c r="B6501" s="2" t="s">
        <v>2036</v>
      </c>
      <c r="C6501" s="2">
        <v>736.62369999999999</v>
      </c>
      <c r="D6501" s="2">
        <f>HYPERLINK("http://mcb-m6.bioreg.kyushu-u.ac.jp/M3/20110318/F50619/1448/1", 80.18)</f>
        <v>80.180000000000007</v>
      </c>
      <c r="E6501" s="2">
        <v>51.7</v>
      </c>
      <c r="F6501" s="2">
        <v>2</v>
      </c>
      <c r="G6501" s="2" t="s">
        <v>9</v>
      </c>
    </row>
    <row r="6502" spans="1:8" x14ac:dyDescent="0.2">
      <c r="A6502" s="2" t="s">
        <v>3522</v>
      </c>
      <c r="B6502" s="2" t="s">
        <v>2036</v>
      </c>
      <c r="C6502" s="2">
        <v>736.38070000000005</v>
      </c>
      <c r="D6502" s="2">
        <f>HYPERLINK("http://mcb-m6.bioreg.kyushu-u.ac.jp/M3/20110318/F50618/1553/1", 83.76)</f>
        <v>83.76</v>
      </c>
      <c r="E6502" s="2">
        <v>55.97</v>
      </c>
      <c r="F6502" s="2">
        <v>2</v>
      </c>
      <c r="G6502" s="2" t="s">
        <v>9</v>
      </c>
    </row>
    <row r="6503" spans="1:8" x14ac:dyDescent="0.2">
      <c r="A6503" s="2" t="s">
        <v>3522</v>
      </c>
      <c r="B6503" s="2" t="s">
        <v>479</v>
      </c>
      <c r="C6503" s="2">
        <v>1560.6969999999999</v>
      </c>
      <c r="D6503" s="2">
        <f>HYPERLINK("http://mcb-m6.bioreg.kyushu-u.ac.jp/M3/20110318/F50606/1649/1", 88.47)</f>
        <v>88.47</v>
      </c>
      <c r="E6503" s="2">
        <v>70.23</v>
      </c>
      <c r="F6503" s="2">
        <v>1</v>
      </c>
      <c r="G6503" s="2" t="s">
        <v>9</v>
      </c>
    </row>
    <row r="6504" spans="1:8" x14ac:dyDescent="0.2">
      <c r="A6504" s="2" t="s">
        <v>3522</v>
      </c>
      <c r="B6504" s="2" t="s">
        <v>1199</v>
      </c>
      <c r="C6504" s="2">
        <v>711.78560000000004</v>
      </c>
      <c r="D6504" s="2">
        <f>HYPERLINK("http://mcb-m6.bioreg.kyushu-u.ac.jp/M3/20110318/F50619/1347/1", 93.39)</f>
        <v>93.39</v>
      </c>
      <c r="E6504" s="2">
        <v>67.239999999999995</v>
      </c>
      <c r="F6504" s="2">
        <v>2</v>
      </c>
      <c r="G6504" s="2" t="s">
        <v>9</v>
      </c>
    </row>
    <row r="6505" spans="1:8" x14ac:dyDescent="0.2">
      <c r="A6505" s="2" t="s">
        <v>3522</v>
      </c>
      <c r="B6505" s="2" t="s">
        <v>1199</v>
      </c>
      <c r="C6505" s="2">
        <v>712.44069999999999</v>
      </c>
      <c r="D6505" s="2">
        <f>HYPERLINK("http://mcb-m6.bioreg.kyushu-u.ac.jp/M3/20110318/F50606/1363/1", 93.51)</f>
        <v>93.51</v>
      </c>
      <c r="E6505" s="2">
        <v>68.680000000000007</v>
      </c>
      <c r="F6505" s="2">
        <v>2</v>
      </c>
      <c r="G6505" s="2" t="s">
        <v>9</v>
      </c>
    </row>
    <row r="6506" spans="1:8" x14ac:dyDescent="0.2">
      <c r="A6506" s="2" t="s">
        <v>3522</v>
      </c>
      <c r="B6506" s="2" t="s">
        <v>1199</v>
      </c>
      <c r="C6506" s="2">
        <v>711.93470000000002</v>
      </c>
      <c r="D6506" s="2">
        <f>HYPERLINK("http://mcb-m6.bioreg.kyushu-u.ac.jp/M3/20110318/F50606/1360/1", 96.48)</f>
        <v>96.48</v>
      </c>
      <c r="E6506" s="2">
        <v>74.040000000000006</v>
      </c>
      <c r="F6506" s="2">
        <v>2</v>
      </c>
      <c r="G6506" s="2" t="s">
        <v>9</v>
      </c>
    </row>
    <row r="6507" spans="1:8" x14ac:dyDescent="0.2">
      <c r="A6507" s="2" t="s">
        <v>3522</v>
      </c>
      <c r="B6507" s="2" t="s">
        <v>479</v>
      </c>
      <c r="C6507" s="2">
        <v>780.7577</v>
      </c>
      <c r="D6507" s="2">
        <f>HYPERLINK("http://mcb-m6.bioreg.kyushu-u.ac.jp/M3/20110318/F50619/1624/1", 99.89)</f>
        <v>99.89</v>
      </c>
      <c r="E6507" s="2">
        <v>79.400000000000006</v>
      </c>
      <c r="F6507" s="2">
        <v>2</v>
      </c>
      <c r="G6507" s="2" t="s">
        <v>9</v>
      </c>
    </row>
    <row r="6508" spans="1:8" x14ac:dyDescent="0.2">
      <c r="A6508" s="2" t="s">
        <v>3522</v>
      </c>
      <c r="B6508" s="2" t="s">
        <v>5229</v>
      </c>
      <c r="C6508" s="2">
        <v>1049.3409999999999</v>
      </c>
      <c r="D6508" s="2">
        <f>HYPERLINK("http://mcb-m6.bioreg.kyushu-u.ac.jp/M3/20110318/F50615/875/1", 37.5)</f>
        <v>37.5</v>
      </c>
      <c r="E6508" s="2">
        <v>15.52</v>
      </c>
      <c r="F6508" s="2">
        <v>1</v>
      </c>
      <c r="G6508" s="2" t="s">
        <v>10</v>
      </c>
    </row>
    <row r="6509" spans="1:8" x14ac:dyDescent="0.2">
      <c r="A6509" s="2" t="s">
        <v>3522</v>
      </c>
      <c r="B6509" s="2" t="s">
        <v>852</v>
      </c>
      <c r="C6509" s="2">
        <v>554.04169999999999</v>
      </c>
      <c r="D6509" s="2">
        <f>HYPERLINK("http://mcb-m6.bioreg.kyushu-u.ac.jp/M3/20110318/F50597/1023/1", 38.68)</f>
        <v>38.68</v>
      </c>
      <c r="E6509" s="2">
        <v>11.37</v>
      </c>
      <c r="F6509" s="2">
        <v>2</v>
      </c>
      <c r="G6509" s="2" t="s">
        <v>10</v>
      </c>
      <c r="H6509" s="2" t="s">
        <v>4908</v>
      </c>
    </row>
    <row r="6510" spans="1:8" x14ac:dyDescent="0.2">
      <c r="A6510" s="2" t="s">
        <v>3522</v>
      </c>
      <c r="B6510" s="2" t="s">
        <v>1199</v>
      </c>
      <c r="C6510" s="2">
        <v>711.86410000000001</v>
      </c>
      <c r="D6510" s="2">
        <f>HYPERLINK("http://mcb-m6.bioreg.kyushu-u.ac.jp/M3/20110318/F50616/1500/1", 48.31)</f>
        <v>48.31</v>
      </c>
      <c r="E6510" s="2">
        <v>34.450000000000003</v>
      </c>
      <c r="F6510" s="2">
        <v>2</v>
      </c>
      <c r="G6510" s="2" t="s">
        <v>10</v>
      </c>
    </row>
    <row r="6511" spans="1:8" x14ac:dyDescent="0.2">
      <c r="A6511" s="2" t="s">
        <v>3522</v>
      </c>
      <c r="B6511" s="2" t="s">
        <v>946</v>
      </c>
      <c r="C6511" s="2">
        <v>458.92910000000001</v>
      </c>
      <c r="D6511" s="2">
        <f>HYPERLINK("http://mcb-m6.bioreg.kyushu-u.ac.jp/M3/20110318/F50615/677/1", 51.42)</f>
        <v>51.42</v>
      </c>
      <c r="E6511" s="2">
        <v>16.98</v>
      </c>
      <c r="F6511" s="2">
        <v>2</v>
      </c>
      <c r="G6511" s="2" t="s">
        <v>10</v>
      </c>
    </row>
    <row r="6512" spans="1:8" x14ac:dyDescent="0.2">
      <c r="A6512" s="2" t="s">
        <v>3522</v>
      </c>
      <c r="B6512" s="2" t="s">
        <v>946</v>
      </c>
      <c r="C6512" s="2">
        <v>458.94409999999999</v>
      </c>
      <c r="D6512" s="2">
        <f>HYPERLINK("http://mcb-m6.bioreg.kyushu-u.ac.jp/M3/20110318/F50597/788/1", 53.57)</f>
        <v>53.57</v>
      </c>
      <c r="E6512" s="2">
        <v>17.71</v>
      </c>
      <c r="F6512" s="2">
        <v>2</v>
      </c>
      <c r="G6512" s="2" t="s">
        <v>10</v>
      </c>
    </row>
    <row r="6513" spans="1:8" x14ac:dyDescent="0.2">
      <c r="A6513" s="2" t="s">
        <v>3522</v>
      </c>
      <c r="B6513" s="2" t="s">
        <v>479</v>
      </c>
      <c r="C6513" s="2">
        <v>520.9855</v>
      </c>
      <c r="D6513" s="2">
        <f>HYPERLINK("http://mcb-m6.bioreg.kyushu-u.ac.jp/M3/20110318/F50615/1727/1", 55.07)</f>
        <v>55.07</v>
      </c>
      <c r="E6513" s="2">
        <v>40.42</v>
      </c>
      <c r="F6513" s="2">
        <v>3</v>
      </c>
      <c r="G6513" s="2" t="s">
        <v>10</v>
      </c>
    </row>
    <row r="6514" spans="1:8" x14ac:dyDescent="0.2">
      <c r="A6514" s="2" t="s">
        <v>3522</v>
      </c>
      <c r="B6514" s="2" t="s">
        <v>1199</v>
      </c>
      <c r="C6514" s="2">
        <v>711.90369999999996</v>
      </c>
      <c r="D6514" s="2">
        <f>HYPERLINK("http://mcb-m6.bioreg.kyushu-u.ac.jp/M3/20110318/F50613/1485/1", 56.49)</f>
        <v>56.49</v>
      </c>
      <c r="E6514" s="2">
        <v>32.520000000000003</v>
      </c>
      <c r="F6514" s="2">
        <v>2</v>
      </c>
      <c r="G6514" s="2" t="s">
        <v>10</v>
      </c>
    </row>
    <row r="6515" spans="1:8" x14ac:dyDescent="0.2">
      <c r="A6515" s="2" t="s">
        <v>3522</v>
      </c>
      <c r="B6515" s="2" t="s">
        <v>570</v>
      </c>
      <c r="C6515" s="2">
        <v>703.65350000000001</v>
      </c>
      <c r="D6515" s="2">
        <f>HYPERLINK("http://mcb-m6.bioreg.kyushu-u.ac.jp/M3/20110318/F50615/2561/1", 56.55)</f>
        <v>56.55</v>
      </c>
      <c r="E6515" s="2">
        <v>39.909999999999997</v>
      </c>
      <c r="F6515" s="2">
        <v>3</v>
      </c>
      <c r="G6515" s="2" t="s">
        <v>10</v>
      </c>
      <c r="H6515" s="2" t="s">
        <v>5887</v>
      </c>
    </row>
    <row r="6516" spans="1:8" x14ac:dyDescent="0.2">
      <c r="A6516" s="2" t="s">
        <v>3522</v>
      </c>
      <c r="B6516" s="2" t="s">
        <v>958</v>
      </c>
      <c r="C6516" s="2">
        <v>780.85770000000002</v>
      </c>
      <c r="D6516" s="2">
        <f>HYPERLINK("http://mcb-m6.bioreg.kyushu-u.ac.jp/M3/20110318/F50615/1724/1", 56.66)</f>
        <v>56.66</v>
      </c>
      <c r="E6516" s="2">
        <v>29.53</v>
      </c>
      <c r="F6516" s="2">
        <v>2</v>
      </c>
      <c r="G6516" s="2" t="s">
        <v>10</v>
      </c>
    </row>
    <row r="6517" spans="1:8" x14ac:dyDescent="0.2">
      <c r="A6517" s="2" t="s">
        <v>3522</v>
      </c>
      <c r="B6517" s="2" t="s">
        <v>570</v>
      </c>
      <c r="C6517" s="2">
        <v>692.94920000000002</v>
      </c>
      <c r="D6517" s="2">
        <f>HYPERLINK("http://mcb-m6.bioreg.kyushu-u.ac.jp/M3/20110318/F50597/2590/1", 57.58)</f>
        <v>57.58</v>
      </c>
      <c r="E6517" s="2">
        <v>46.22</v>
      </c>
      <c r="F6517" s="2">
        <v>3</v>
      </c>
      <c r="G6517" s="2" t="s">
        <v>10</v>
      </c>
    </row>
    <row r="6518" spans="1:8" x14ac:dyDescent="0.2">
      <c r="A6518" s="2" t="s">
        <v>3522</v>
      </c>
      <c r="B6518" s="2" t="s">
        <v>852</v>
      </c>
      <c r="C6518" s="2">
        <v>553.88210000000004</v>
      </c>
      <c r="D6518" s="2">
        <f>HYPERLINK("http://mcb-m6.bioreg.kyushu-u.ac.jp/M3/20110318/F50615/945/1", 59.55)</f>
        <v>59.55</v>
      </c>
      <c r="E6518" s="2">
        <v>6.85</v>
      </c>
      <c r="F6518" s="2">
        <v>2</v>
      </c>
      <c r="G6518" s="2" t="s">
        <v>10</v>
      </c>
      <c r="H6518" s="2" t="s">
        <v>4908</v>
      </c>
    </row>
    <row r="6519" spans="1:8" x14ac:dyDescent="0.2">
      <c r="A6519" s="2" t="s">
        <v>3522</v>
      </c>
      <c r="B6519" s="2" t="s">
        <v>570</v>
      </c>
      <c r="C6519" s="2">
        <v>703.72280000000001</v>
      </c>
      <c r="D6519" s="2">
        <f>HYPERLINK("http://mcb-m6.bioreg.kyushu-u.ac.jp/M3/20110318/F50597/2614/1", 64.7)</f>
        <v>64.7</v>
      </c>
      <c r="E6519" s="2">
        <v>46.73</v>
      </c>
      <c r="F6519" s="2">
        <v>3</v>
      </c>
      <c r="G6519" s="2" t="s">
        <v>10</v>
      </c>
      <c r="H6519" s="2" t="s">
        <v>5887</v>
      </c>
    </row>
    <row r="6520" spans="1:8" x14ac:dyDescent="0.2">
      <c r="A6520" s="2" t="s">
        <v>3522</v>
      </c>
      <c r="B6520" s="2" t="s">
        <v>3197</v>
      </c>
      <c r="C6520" s="2">
        <v>660.81020000000001</v>
      </c>
      <c r="D6520" s="2">
        <f>HYPERLINK("http://mcb-m6.bioreg.kyushu-u.ac.jp/M3/20110318/F50597/1301/1", 65.9)</f>
        <v>65.900000000000006</v>
      </c>
      <c r="E6520" s="2">
        <v>37.65</v>
      </c>
      <c r="F6520" s="2">
        <v>2</v>
      </c>
      <c r="G6520" s="2" t="s">
        <v>10</v>
      </c>
    </row>
    <row r="6521" spans="1:8" x14ac:dyDescent="0.2">
      <c r="A6521" s="2" t="s">
        <v>3522</v>
      </c>
      <c r="B6521" s="2" t="s">
        <v>1500</v>
      </c>
      <c r="C6521" s="2">
        <v>847.55909999999994</v>
      </c>
      <c r="D6521" s="2">
        <f>HYPERLINK("http://mcb-m6.bioreg.kyushu-u.ac.jp/M3/20110318/F50597/2015/1", 70.48)</f>
        <v>70.48</v>
      </c>
      <c r="E6521" s="2">
        <v>57.33</v>
      </c>
      <c r="F6521" s="2">
        <v>2</v>
      </c>
      <c r="G6521" s="2" t="s">
        <v>10</v>
      </c>
    </row>
    <row r="6522" spans="1:8" x14ac:dyDescent="0.2">
      <c r="A6522" s="2" t="s">
        <v>3522</v>
      </c>
      <c r="B6522" s="2" t="s">
        <v>958</v>
      </c>
      <c r="C6522" s="2">
        <v>780.9597</v>
      </c>
      <c r="D6522" s="2">
        <f>HYPERLINK("http://mcb-m6.bioreg.kyushu-u.ac.jp/M3/20110318/F50597/1795/1", 72.07)</f>
        <v>72.069999999999993</v>
      </c>
      <c r="E6522" s="2">
        <v>44.99</v>
      </c>
      <c r="F6522" s="2">
        <v>2</v>
      </c>
      <c r="G6522" s="2" t="s">
        <v>10</v>
      </c>
    </row>
    <row r="6523" spans="1:8" x14ac:dyDescent="0.2">
      <c r="A6523" s="2" t="s">
        <v>3522</v>
      </c>
      <c r="B6523" s="2" t="s">
        <v>2036</v>
      </c>
      <c r="C6523" s="2">
        <v>736.38319999999999</v>
      </c>
      <c r="D6523" s="2">
        <f>HYPERLINK("http://mcb-m6.bioreg.kyushu-u.ac.jp/M3/20110318/F50615/1492/1", 74.88)</f>
        <v>74.88</v>
      </c>
      <c r="E6523" s="2">
        <v>50.08</v>
      </c>
      <c r="F6523" s="2">
        <v>2</v>
      </c>
      <c r="G6523" s="2" t="s">
        <v>10</v>
      </c>
    </row>
    <row r="6524" spans="1:8" x14ac:dyDescent="0.2">
      <c r="A6524" s="2" t="s">
        <v>3522</v>
      </c>
      <c r="B6524" s="2" t="s">
        <v>2036</v>
      </c>
      <c r="C6524" s="2">
        <v>736.47310000000004</v>
      </c>
      <c r="D6524" s="2">
        <f>HYPERLINK("http://mcb-m6.bioreg.kyushu-u.ac.jp/M3/20110318/F50597/1557/1", 77.91)</f>
        <v>77.91</v>
      </c>
      <c r="E6524" s="2">
        <v>54.73</v>
      </c>
      <c r="F6524" s="2">
        <v>2</v>
      </c>
      <c r="G6524" s="2" t="s">
        <v>10</v>
      </c>
    </row>
    <row r="6525" spans="1:8" x14ac:dyDescent="0.2">
      <c r="A6525" s="2" t="s">
        <v>3522</v>
      </c>
      <c r="B6525" s="2" t="s">
        <v>1199</v>
      </c>
      <c r="C6525" s="2">
        <v>712.0077</v>
      </c>
      <c r="D6525" s="2">
        <f>HYPERLINK("http://mcb-m6.bioreg.kyushu-u.ac.jp/M3/20110318/F50596/1508/1", 78.73)</f>
        <v>78.73</v>
      </c>
      <c r="E6525" s="2">
        <v>57.3</v>
      </c>
      <c r="F6525" s="2">
        <v>2</v>
      </c>
      <c r="G6525" s="2" t="s">
        <v>10</v>
      </c>
    </row>
    <row r="6526" spans="1:8" x14ac:dyDescent="0.2">
      <c r="A6526" s="2" t="s">
        <v>3522</v>
      </c>
      <c r="B6526" s="2" t="s">
        <v>479</v>
      </c>
      <c r="C6526" s="2">
        <v>780.92359999999996</v>
      </c>
      <c r="D6526" s="2">
        <f>HYPERLINK("http://mcb-m6.bioreg.kyushu-u.ac.jp/M3/20110318/F50597/1790/1", 91.36)</f>
        <v>91.36</v>
      </c>
      <c r="E6526" s="2">
        <v>70.819999999999993</v>
      </c>
      <c r="F6526" s="2">
        <v>2</v>
      </c>
      <c r="G6526" s="2" t="s">
        <v>10</v>
      </c>
    </row>
    <row r="6527" spans="1:8" x14ac:dyDescent="0.2">
      <c r="A6527" s="2" t="s">
        <v>3522</v>
      </c>
      <c r="B6527" s="2" t="s">
        <v>1199</v>
      </c>
      <c r="C6527" s="2">
        <v>711.85969999999998</v>
      </c>
      <c r="D6527" s="2">
        <f>HYPERLINK("http://mcb-m6.bioreg.kyushu-u.ac.jp/M3/20110318/F50615/1405/1", 92.89)</f>
        <v>92.89</v>
      </c>
      <c r="E6527" s="2">
        <v>68.11</v>
      </c>
      <c r="F6527" s="2">
        <v>2</v>
      </c>
      <c r="G6527" s="2" t="s">
        <v>10</v>
      </c>
    </row>
    <row r="6528" spans="1:8" x14ac:dyDescent="0.2">
      <c r="A6528" s="2" t="s">
        <v>3522</v>
      </c>
      <c r="B6528" s="2" t="s">
        <v>1419</v>
      </c>
      <c r="C6528" s="2">
        <v>551.86869999999999</v>
      </c>
      <c r="D6528" s="2">
        <f>HYPERLINK("http://mcb-m6.bioreg.kyushu-u.ac.jp/M3/20110318/F50615/940/1", 93.04)</f>
        <v>93.04</v>
      </c>
      <c r="E6528" s="2">
        <v>47.22</v>
      </c>
      <c r="F6528" s="2">
        <v>2</v>
      </c>
      <c r="G6528" s="2" t="s">
        <v>10</v>
      </c>
    </row>
    <row r="6529" spans="1:7" x14ac:dyDescent="0.2">
      <c r="A6529" s="2" t="s">
        <v>3522</v>
      </c>
      <c r="B6529" s="2" t="s">
        <v>1199</v>
      </c>
      <c r="C6529" s="2">
        <v>711.88570000000004</v>
      </c>
      <c r="D6529" s="2">
        <f>HYPERLINK("http://mcb-m6.bioreg.kyushu-u.ac.jp/M3/20110318/F50597/1465/1", 100.41)</f>
        <v>100.41</v>
      </c>
      <c r="E6529" s="2">
        <v>76.56</v>
      </c>
      <c r="F6529" s="2">
        <v>2</v>
      </c>
      <c r="G6529" s="2" t="s">
        <v>10</v>
      </c>
    </row>
    <row r="6530" spans="1:7" x14ac:dyDescent="0.2">
      <c r="A6530" s="2" t="s">
        <v>3522</v>
      </c>
      <c r="B6530" s="2" t="s">
        <v>479</v>
      </c>
      <c r="C6530" s="2">
        <v>521.07420000000002</v>
      </c>
      <c r="D6530" s="2">
        <f>HYPERLINK("http://mcb-m6.bioreg.kyushu-u.ac.jp/M3/20110418/F50975/2289/1", 38.9)</f>
        <v>38.9</v>
      </c>
      <c r="E6530" s="2">
        <v>26.56</v>
      </c>
      <c r="F6530" s="2">
        <v>3</v>
      </c>
      <c r="G6530" s="2" t="s">
        <v>11</v>
      </c>
    </row>
    <row r="6531" spans="1:7" x14ac:dyDescent="0.2">
      <c r="A6531" s="2" t="s">
        <v>3522</v>
      </c>
      <c r="B6531" s="2" t="s">
        <v>946</v>
      </c>
      <c r="C6531" s="2">
        <v>458.75709999999998</v>
      </c>
      <c r="D6531" s="2">
        <f>HYPERLINK("http://mcb-m6.bioreg.kyushu-u.ac.jp/M3/20110418/F50975/593/1", 39.13)</f>
        <v>39.130000000000003</v>
      </c>
      <c r="E6531" s="2">
        <v>11.68</v>
      </c>
      <c r="F6531" s="2">
        <v>2</v>
      </c>
      <c r="G6531" s="2" t="s">
        <v>11</v>
      </c>
    </row>
    <row r="6532" spans="1:7" x14ac:dyDescent="0.2">
      <c r="A6532" s="2" t="s">
        <v>3522</v>
      </c>
      <c r="B6532" s="2" t="s">
        <v>1199</v>
      </c>
      <c r="C6532" s="2">
        <v>711.63459999999998</v>
      </c>
      <c r="D6532" s="2">
        <f>HYPERLINK("http://mcb-m6.bioreg.kyushu-u.ac.jp/M3/20110418/F50975/1849/1", 44.4)</f>
        <v>44.4</v>
      </c>
      <c r="E6532" s="2">
        <v>31.08</v>
      </c>
      <c r="F6532" s="2">
        <v>2</v>
      </c>
      <c r="G6532" s="2" t="s">
        <v>11</v>
      </c>
    </row>
    <row r="6533" spans="1:7" x14ac:dyDescent="0.2">
      <c r="A6533" s="2" t="s">
        <v>3522</v>
      </c>
      <c r="B6533" s="2" t="s">
        <v>1199</v>
      </c>
      <c r="C6533" s="2">
        <v>712.39570000000003</v>
      </c>
      <c r="D6533" s="2">
        <f>HYPERLINK("http://mcb-m6.bioreg.kyushu-u.ac.jp/M3/20110418/F50975/1859/1", 50.82)</f>
        <v>50.82</v>
      </c>
      <c r="E6533" s="2">
        <v>31.27</v>
      </c>
      <c r="F6533" s="2">
        <v>2</v>
      </c>
      <c r="G6533" s="2" t="s">
        <v>11</v>
      </c>
    </row>
    <row r="6534" spans="1:7" x14ac:dyDescent="0.2">
      <c r="A6534" s="2" t="s">
        <v>3522</v>
      </c>
      <c r="B6534" s="2" t="s">
        <v>479</v>
      </c>
      <c r="C6534" s="2">
        <v>781.27419999999995</v>
      </c>
      <c r="D6534" s="2">
        <f>HYPERLINK("http://mcb-m6.bioreg.kyushu-u.ac.jp/M3/20110418/F50974/2280/1", 64.27)</f>
        <v>64.27</v>
      </c>
      <c r="E6534" s="2">
        <v>45.24</v>
      </c>
      <c r="F6534" s="2">
        <v>2</v>
      </c>
      <c r="G6534" s="2" t="s">
        <v>11</v>
      </c>
    </row>
    <row r="6535" spans="1:7" x14ac:dyDescent="0.2">
      <c r="A6535" s="2" t="s">
        <v>3522</v>
      </c>
      <c r="B6535" s="2" t="s">
        <v>1199</v>
      </c>
      <c r="C6535" s="2">
        <v>712.39509999999996</v>
      </c>
      <c r="D6535" s="2">
        <f>HYPERLINK("http://mcb-m6.bioreg.kyushu-u.ac.jp/M3/20110418/F50976/1829/1", 73.62)</f>
        <v>73.62</v>
      </c>
      <c r="E6535" s="2">
        <v>52.97</v>
      </c>
      <c r="F6535" s="2">
        <v>2</v>
      </c>
      <c r="G6535" s="2" t="s">
        <v>11</v>
      </c>
    </row>
    <row r="6536" spans="1:7" x14ac:dyDescent="0.2">
      <c r="A6536" s="2" t="s">
        <v>3522</v>
      </c>
      <c r="B6536" s="2" t="s">
        <v>479</v>
      </c>
      <c r="C6536" s="2">
        <v>781.35109999999997</v>
      </c>
      <c r="D6536" s="2">
        <f>HYPERLINK("http://mcb-m6.bioreg.kyushu-u.ac.jp/M3/20110418/F50975/2295/1", 75.61)</f>
        <v>75.61</v>
      </c>
      <c r="E6536" s="2">
        <v>59.61</v>
      </c>
      <c r="F6536" s="2">
        <v>2</v>
      </c>
      <c r="G6536" s="2" t="s">
        <v>11</v>
      </c>
    </row>
    <row r="6537" spans="1:7" x14ac:dyDescent="0.2">
      <c r="A6537" s="2" t="s">
        <v>3522</v>
      </c>
      <c r="B6537" s="2" t="s">
        <v>1199</v>
      </c>
      <c r="C6537" s="2">
        <v>1422.575</v>
      </c>
      <c r="D6537" s="2">
        <f>HYPERLINK("http://mcb-m6.bioreg.kyushu-u.ac.jp/M3/20110418/F50975/1851/1", 76.69)</f>
        <v>76.69</v>
      </c>
      <c r="E6537" s="2">
        <v>58.22</v>
      </c>
      <c r="F6537" s="2">
        <v>1</v>
      </c>
      <c r="G6537" s="2" t="s">
        <v>11</v>
      </c>
    </row>
    <row r="6538" spans="1:7" x14ac:dyDescent="0.2">
      <c r="A6538" s="2" t="s">
        <v>3522</v>
      </c>
      <c r="B6538" s="2" t="s">
        <v>479</v>
      </c>
      <c r="C6538" s="2">
        <v>780.7577</v>
      </c>
      <c r="D6538" s="2">
        <f>HYPERLINK("http://mcb-m6.bioreg.kyushu-u.ac.jp/M3/20110418/F50974/2276/1", 76.99)</f>
        <v>76.989999999999995</v>
      </c>
      <c r="E6538" s="2">
        <v>59.88</v>
      </c>
      <c r="F6538" s="2">
        <v>2</v>
      </c>
      <c r="G6538" s="2" t="s">
        <v>11</v>
      </c>
    </row>
    <row r="6539" spans="1:7" x14ac:dyDescent="0.2">
      <c r="A6539" s="2" t="s">
        <v>3522</v>
      </c>
      <c r="B6539" s="2" t="s">
        <v>2036</v>
      </c>
      <c r="C6539" s="2">
        <v>736.20209999999997</v>
      </c>
      <c r="D6539" s="2">
        <f>HYPERLINK("http://mcb-m6.bioreg.kyushu-u.ac.jp/M3/20110418/F50975/2001/1", 84.86)</f>
        <v>84.86</v>
      </c>
      <c r="E6539" s="2">
        <v>55.59</v>
      </c>
      <c r="F6539" s="2">
        <v>2</v>
      </c>
      <c r="G6539" s="2" t="s">
        <v>11</v>
      </c>
    </row>
    <row r="6540" spans="1:7" x14ac:dyDescent="0.2">
      <c r="A6540" s="2" t="s">
        <v>3522</v>
      </c>
      <c r="B6540" s="2" t="s">
        <v>479</v>
      </c>
      <c r="C6540" s="2">
        <v>780.75459999999998</v>
      </c>
      <c r="D6540" s="2">
        <f>HYPERLINK("http://mcb-m6.bioreg.kyushu-u.ac.jp/M3/20110418/F50975/2283/1", 85.8)</f>
        <v>85.8</v>
      </c>
      <c r="E6540" s="2">
        <v>66.36</v>
      </c>
      <c r="F6540" s="2">
        <v>2</v>
      </c>
      <c r="G6540" s="2" t="s">
        <v>11</v>
      </c>
    </row>
    <row r="6541" spans="1:7" x14ac:dyDescent="0.2">
      <c r="A6541" s="2" t="s">
        <v>3522</v>
      </c>
      <c r="B6541" s="2" t="s">
        <v>479</v>
      </c>
      <c r="C6541" s="2">
        <v>781.28470000000004</v>
      </c>
      <c r="D6541" s="2">
        <f>HYPERLINK("http://mcb-m6.bioreg.kyushu-u.ac.jp/M3/20110418/F50975/2293/1", 87.19)</f>
        <v>87.19</v>
      </c>
      <c r="E6541" s="2">
        <v>70.31</v>
      </c>
      <c r="F6541" s="2">
        <v>2</v>
      </c>
      <c r="G6541" s="2" t="s">
        <v>11</v>
      </c>
    </row>
    <row r="6542" spans="1:7" x14ac:dyDescent="0.2">
      <c r="A6542" s="2" t="s">
        <v>3522</v>
      </c>
      <c r="B6542" s="2" t="s">
        <v>1199</v>
      </c>
      <c r="C6542" s="2">
        <v>711.8691</v>
      </c>
      <c r="D6542" s="2">
        <f>HYPERLINK("http://mcb-m6.bioreg.kyushu-u.ac.jp/M3/20110418/F50976/1825/1", 94.14)</f>
        <v>94.14</v>
      </c>
      <c r="E6542" s="2">
        <v>72.03</v>
      </c>
      <c r="F6542" s="2">
        <v>2</v>
      </c>
      <c r="G6542" s="2" t="s">
        <v>11</v>
      </c>
    </row>
    <row r="6543" spans="1:7" x14ac:dyDescent="0.2">
      <c r="A6543" s="2" t="s">
        <v>3522</v>
      </c>
      <c r="B6543" s="2" t="s">
        <v>1199</v>
      </c>
      <c r="C6543" s="2">
        <v>711.74869999999999</v>
      </c>
      <c r="D6543" s="2">
        <f>HYPERLINK("http://mcb-m6.bioreg.kyushu-u.ac.jp/M3/20110418/F50974/1944/1", 96.42)</f>
        <v>96.42</v>
      </c>
      <c r="E6543" s="2">
        <v>73.86</v>
      </c>
      <c r="F6543" s="2">
        <v>2</v>
      </c>
      <c r="G6543" s="2" t="s">
        <v>11</v>
      </c>
    </row>
    <row r="6544" spans="1:7" x14ac:dyDescent="0.2">
      <c r="A6544" s="2" t="s">
        <v>3522</v>
      </c>
      <c r="B6544" s="2" t="s">
        <v>1199</v>
      </c>
      <c r="C6544" s="2">
        <v>711.79169999999999</v>
      </c>
      <c r="D6544" s="2">
        <f>HYPERLINK("http://mcb-m6.bioreg.kyushu-u.ac.jp/M3/20110418/F50975/1852/1", 96.45)</f>
        <v>96.45</v>
      </c>
      <c r="E6544" s="2">
        <v>72.14</v>
      </c>
      <c r="F6544" s="2">
        <v>2</v>
      </c>
      <c r="G6544" s="2" t="s">
        <v>11</v>
      </c>
    </row>
    <row r="6545" spans="1:7" x14ac:dyDescent="0.2">
      <c r="A6545" s="2" t="s">
        <v>3522</v>
      </c>
      <c r="B6545" s="2" t="s">
        <v>852</v>
      </c>
      <c r="C6545" s="2">
        <v>546.21720000000005</v>
      </c>
      <c r="D6545" s="2">
        <f>HYPERLINK("http://mcb-m6.bioreg.kyushu-u.ac.jp/M3/20110418/F50986/1535/1", 40.28)</f>
        <v>40.28</v>
      </c>
      <c r="E6545" s="2">
        <v>11.15</v>
      </c>
      <c r="F6545" s="2">
        <v>2</v>
      </c>
      <c r="G6545" s="2" t="s">
        <v>12</v>
      </c>
    </row>
    <row r="6546" spans="1:7" x14ac:dyDescent="0.2">
      <c r="A6546" s="2" t="s">
        <v>3522</v>
      </c>
      <c r="B6546" s="2" t="s">
        <v>1199</v>
      </c>
      <c r="C6546" s="2">
        <v>712.42970000000003</v>
      </c>
      <c r="D6546" s="2">
        <f>HYPERLINK("http://mcb-m6.bioreg.kyushu-u.ac.jp/M3/20110418/F50985/2076/1", 47.77)</f>
        <v>47.77</v>
      </c>
      <c r="E6546" s="2">
        <v>32.590000000000003</v>
      </c>
      <c r="F6546" s="2">
        <v>2</v>
      </c>
      <c r="G6546" s="2" t="s">
        <v>12</v>
      </c>
    </row>
    <row r="6547" spans="1:7" x14ac:dyDescent="0.2">
      <c r="A6547" s="2" t="s">
        <v>3522</v>
      </c>
      <c r="B6547" s="2" t="s">
        <v>479</v>
      </c>
      <c r="C6547" s="2">
        <v>780.76969999999994</v>
      </c>
      <c r="D6547" s="2">
        <f>HYPERLINK("http://mcb-m6.bioreg.kyushu-u.ac.jp/M3/20110418/F50985/2312/1", 68.05)</f>
        <v>68.05</v>
      </c>
      <c r="E6547" s="2">
        <v>49.05</v>
      </c>
      <c r="F6547" s="2">
        <v>2</v>
      </c>
      <c r="G6547" s="2" t="s">
        <v>12</v>
      </c>
    </row>
    <row r="6548" spans="1:7" x14ac:dyDescent="0.2">
      <c r="A6548" s="2" t="s">
        <v>3522</v>
      </c>
      <c r="B6548" s="2" t="s">
        <v>1199</v>
      </c>
      <c r="C6548" s="2">
        <v>711.70569999999998</v>
      </c>
      <c r="D6548" s="2">
        <f>HYPERLINK("http://mcb-m6.bioreg.kyushu-u.ac.jp/M3/20110418/F50985/2072/1", 96.77)</f>
        <v>96.77</v>
      </c>
      <c r="E6548" s="2">
        <v>74.239999999999995</v>
      </c>
      <c r="F6548" s="2">
        <v>2</v>
      </c>
      <c r="G6548" s="2" t="s">
        <v>12</v>
      </c>
    </row>
    <row r="6549" spans="1:7" x14ac:dyDescent="0.2">
      <c r="A6549" s="2" t="s">
        <v>3522</v>
      </c>
      <c r="B6549" s="2" t="s">
        <v>479</v>
      </c>
      <c r="C6549" s="2">
        <v>781.34059999999999</v>
      </c>
      <c r="D6549" s="2">
        <f>HYPERLINK("http://mcb-m6.bioreg.kyushu-u.ac.jp/M3/20110429/F51157/1960/1", 72.07)</f>
        <v>72.069999999999993</v>
      </c>
      <c r="E6549" s="2">
        <v>52.54</v>
      </c>
      <c r="F6549" s="2">
        <v>2</v>
      </c>
      <c r="G6549" s="2" t="s">
        <v>13</v>
      </c>
    </row>
    <row r="6550" spans="1:7" x14ac:dyDescent="0.2">
      <c r="A6550" s="2" t="s">
        <v>3522</v>
      </c>
      <c r="B6550" s="2" t="s">
        <v>2036</v>
      </c>
      <c r="C6550" s="2">
        <v>736.47119999999995</v>
      </c>
      <c r="D6550" s="2">
        <f>HYPERLINK("http://mcb-m6.bioreg.kyushu-u.ac.jp/M3/20110502/F51158/1869/1", 85.53)</f>
        <v>85.53</v>
      </c>
      <c r="E6550" s="2">
        <v>45.57</v>
      </c>
      <c r="F6550" s="2">
        <v>2</v>
      </c>
      <c r="G6550" s="2" t="s">
        <v>13</v>
      </c>
    </row>
    <row r="6551" spans="1:7" x14ac:dyDescent="0.2">
      <c r="A6551" s="2" t="s">
        <v>3522</v>
      </c>
      <c r="B6551" s="2" t="s">
        <v>479</v>
      </c>
      <c r="C6551" s="2">
        <v>780.97360000000003</v>
      </c>
      <c r="D6551" s="2">
        <f>HYPERLINK("http://mcb-m6.bioreg.kyushu-u.ac.jp/M3/20110502/F51158/2101/1", 106.44)</f>
        <v>106.44</v>
      </c>
      <c r="E6551" s="2">
        <v>85.1</v>
      </c>
      <c r="F6551" s="2">
        <v>2</v>
      </c>
      <c r="G6551" s="2" t="s">
        <v>13</v>
      </c>
    </row>
    <row r="6552" spans="1:7" x14ac:dyDescent="0.2">
      <c r="A6552" s="2" t="s">
        <v>3522</v>
      </c>
      <c r="B6552" s="2" t="s">
        <v>479</v>
      </c>
      <c r="C6552" s="2">
        <v>781.44960000000003</v>
      </c>
      <c r="D6552" s="2">
        <f>HYPERLINK("http://mcb-m6.bioreg.kyushu-u.ac.jp/M3/20110428/F51142/2337/1", 43.67)</f>
        <v>43.67</v>
      </c>
      <c r="E6552" s="2">
        <v>21.79</v>
      </c>
      <c r="F6552" s="2">
        <v>2</v>
      </c>
      <c r="G6552" s="2" t="s">
        <v>14</v>
      </c>
    </row>
    <row r="6553" spans="1:7" x14ac:dyDescent="0.2">
      <c r="A6553" s="2" t="s">
        <v>3522</v>
      </c>
      <c r="B6553" s="2" t="s">
        <v>479</v>
      </c>
      <c r="C6553" s="2">
        <v>781.43619999999999</v>
      </c>
      <c r="D6553" s="2">
        <f>HYPERLINK("http://mcb-m6.bioreg.kyushu-u.ac.jp/M3/20110428/F51141/2197/1", 67.97)</f>
        <v>67.97</v>
      </c>
      <c r="E6553" s="2">
        <v>46.68</v>
      </c>
      <c r="F6553" s="2">
        <v>2</v>
      </c>
      <c r="G6553" s="2" t="s">
        <v>14</v>
      </c>
    </row>
    <row r="6554" spans="1:7" x14ac:dyDescent="0.2">
      <c r="A6554" s="2" t="s">
        <v>3522</v>
      </c>
      <c r="B6554" s="2" t="s">
        <v>1199</v>
      </c>
      <c r="C6554" s="2">
        <v>711.86519999999996</v>
      </c>
      <c r="D6554" s="2">
        <f>HYPERLINK("http://mcb-m6.bioreg.kyushu-u.ac.jp/M3/20110428/F51142/1886/1", 69.47)</f>
        <v>69.47</v>
      </c>
      <c r="E6554" s="2">
        <v>55.21</v>
      </c>
      <c r="F6554" s="2">
        <v>2</v>
      </c>
      <c r="G6554" s="2" t="s">
        <v>14</v>
      </c>
    </row>
    <row r="6555" spans="1:7" x14ac:dyDescent="0.2">
      <c r="A6555" s="2" t="s">
        <v>3522</v>
      </c>
      <c r="B6555" s="2" t="s">
        <v>1199</v>
      </c>
      <c r="C6555" s="2">
        <v>711.89120000000003</v>
      </c>
      <c r="D6555" s="2">
        <f>HYPERLINK("http://mcb-m6.bioreg.kyushu-u.ac.jp/M3/20110428/F51139/1972/1", 73.19)</f>
        <v>73.19</v>
      </c>
      <c r="E6555" s="2">
        <v>52.48</v>
      </c>
      <c r="F6555" s="2">
        <v>2</v>
      </c>
      <c r="G6555" s="2" t="s">
        <v>14</v>
      </c>
    </row>
    <row r="6556" spans="1:7" x14ac:dyDescent="0.2">
      <c r="A6556" s="2" t="s">
        <v>3522</v>
      </c>
      <c r="B6556" s="2" t="s">
        <v>479</v>
      </c>
      <c r="C6556" s="2">
        <v>1560.848</v>
      </c>
      <c r="D6556" s="2">
        <f>HYPERLINK("http://mcb-m6.bioreg.kyushu-u.ac.jp/M3/20110428/F51141/2186/1", 75.88)</f>
        <v>75.88</v>
      </c>
      <c r="E6556" s="2">
        <v>55.75</v>
      </c>
      <c r="F6556" s="2">
        <v>1</v>
      </c>
      <c r="G6556" s="2" t="s">
        <v>14</v>
      </c>
    </row>
    <row r="6557" spans="1:7" x14ac:dyDescent="0.2">
      <c r="A6557" s="2" t="s">
        <v>3522</v>
      </c>
      <c r="B6557" s="2" t="s">
        <v>479</v>
      </c>
      <c r="C6557" s="2">
        <v>780.8732</v>
      </c>
      <c r="D6557" s="2">
        <f>HYPERLINK("http://mcb-m6.bioreg.kyushu-u.ac.jp/M3/20110428/F51141/2183/1", 81.79)</f>
        <v>81.790000000000006</v>
      </c>
      <c r="E6557" s="2">
        <v>64.47</v>
      </c>
      <c r="F6557" s="2">
        <v>2</v>
      </c>
      <c r="G6557" s="2" t="s">
        <v>14</v>
      </c>
    </row>
    <row r="6558" spans="1:7" x14ac:dyDescent="0.2">
      <c r="A6558" s="2" t="s">
        <v>3522</v>
      </c>
      <c r="B6558" s="2" t="s">
        <v>1199</v>
      </c>
      <c r="C6558" s="2">
        <v>712.42219999999998</v>
      </c>
      <c r="D6558" s="2">
        <f>HYPERLINK("http://mcb-m6.bioreg.kyushu-u.ac.jp/M3/20110428/F51141/1752/1", 86.62)</f>
        <v>86.62</v>
      </c>
      <c r="E6558" s="2">
        <v>56.51</v>
      </c>
      <c r="F6558" s="2">
        <v>2</v>
      </c>
      <c r="G6558" s="2" t="s">
        <v>14</v>
      </c>
    </row>
    <row r="6559" spans="1:7" x14ac:dyDescent="0.2">
      <c r="A6559" s="2" t="s">
        <v>3522</v>
      </c>
      <c r="B6559" s="2" t="s">
        <v>1199</v>
      </c>
      <c r="C6559" s="2">
        <v>711.83669999999995</v>
      </c>
      <c r="D6559" s="2">
        <f>HYPERLINK("http://mcb-m6.bioreg.kyushu-u.ac.jp/M3/20110428/F51141/1745/1", 86.66)</f>
        <v>86.66</v>
      </c>
      <c r="E6559" s="2">
        <v>67.56</v>
      </c>
      <c r="F6559" s="2">
        <v>2</v>
      </c>
      <c r="G6559" s="2" t="s">
        <v>14</v>
      </c>
    </row>
    <row r="6560" spans="1:7" x14ac:dyDescent="0.2">
      <c r="A6560" s="2" t="s">
        <v>3522</v>
      </c>
      <c r="B6560" s="2" t="s">
        <v>479</v>
      </c>
      <c r="C6560" s="2">
        <v>781.37959999999998</v>
      </c>
      <c r="D6560" s="2">
        <f>HYPERLINK("http://mcb-m6.bioreg.kyushu-u.ac.jp/M3/20110428/F51141/2195/1", 87.76)</f>
        <v>87.76</v>
      </c>
      <c r="E6560" s="2">
        <v>66.78</v>
      </c>
      <c r="F6560" s="2">
        <v>2</v>
      </c>
      <c r="G6560" s="2" t="s">
        <v>14</v>
      </c>
    </row>
    <row r="6561" spans="1:8" x14ac:dyDescent="0.2">
      <c r="A6561" s="2" t="s">
        <v>3522</v>
      </c>
      <c r="B6561" s="2" t="s">
        <v>2036</v>
      </c>
      <c r="C6561" s="2">
        <v>736.45870000000002</v>
      </c>
      <c r="D6561" s="2">
        <f>HYPERLINK("http://mcb-m6.bioreg.kyushu-u.ac.jp/M3/20110428/F51141/1877/1", 92.63)</f>
        <v>92.63</v>
      </c>
      <c r="E6561" s="2">
        <v>62.86</v>
      </c>
      <c r="F6561" s="2">
        <v>2</v>
      </c>
      <c r="G6561" s="2" t="s">
        <v>14</v>
      </c>
    </row>
    <row r="6562" spans="1:8" x14ac:dyDescent="0.2">
      <c r="A6562" s="2" t="s">
        <v>3522</v>
      </c>
      <c r="B6562" s="2" t="s">
        <v>479</v>
      </c>
      <c r="C6562" s="2">
        <v>781.11410000000001</v>
      </c>
      <c r="D6562" s="2">
        <f>HYPERLINK("http://mcb-m6.bioreg.kyushu-u.ac.jp/M3/20110502/F51159/2156/1", 99.84)</f>
        <v>99.84</v>
      </c>
      <c r="E6562" s="2">
        <v>78.14</v>
      </c>
      <c r="F6562" s="2">
        <v>2</v>
      </c>
      <c r="G6562" s="2" t="s">
        <v>14</v>
      </c>
    </row>
    <row r="6563" spans="1:8" x14ac:dyDescent="0.2">
      <c r="A6563" s="2" t="s">
        <v>4887</v>
      </c>
      <c r="B6563" s="2" t="s">
        <v>3230</v>
      </c>
      <c r="C6563" s="2">
        <v>815.81569999999999</v>
      </c>
      <c r="D6563" s="2">
        <f>HYPERLINK("http://mcb-m6.bioreg.kyushu-u.ac.jp/M3/20110318/F50600/1851/1", 106.93)</f>
        <v>106.93</v>
      </c>
      <c r="E6563" s="2">
        <v>90.5</v>
      </c>
      <c r="F6563" s="2">
        <v>2</v>
      </c>
      <c r="G6563" s="2" t="s">
        <v>10</v>
      </c>
      <c r="H6563" s="2" t="s">
        <v>4915</v>
      </c>
    </row>
    <row r="6564" spans="1:8" x14ac:dyDescent="0.2">
      <c r="A6564" s="2" t="s">
        <v>3537</v>
      </c>
      <c r="B6564" s="2" t="s">
        <v>391</v>
      </c>
      <c r="C6564" s="2">
        <v>657.7097</v>
      </c>
      <c r="D6564" s="2">
        <f>HYPERLINK("http://mcb-m6.bioreg.kyushu-u.ac.jp/M3/20110318/F50607/1277/1", 45.75)</f>
        <v>45.75</v>
      </c>
      <c r="E6564" s="2">
        <v>35.14</v>
      </c>
      <c r="F6564" s="2">
        <v>2</v>
      </c>
      <c r="G6564" s="2" t="s">
        <v>9</v>
      </c>
    </row>
    <row r="6565" spans="1:8" x14ac:dyDescent="0.2">
      <c r="A6565" s="2" t="s">
        <v>3537</v>
      </c>
      <c r="B6565" s="2" t="s">
        <v>391</v>
      </c>
      <c r="C6565" s="2">
        <v>657.41769999999997</v>
      </c>
      <c r="D6565" s="2">
        <f>HYPERLINK("http://mcb-m6.bioreg.kyushu-u.ac.jp/M3/20110318/F50608/1266/1", 54.64)</f>
        <v>54.64</v>
      </c>
      <c r="E6565" s="2">
        <v>41</v>
      </c>
      <c r="F6565" s="2">
        <v>2</v>
      </c>
      <c r="G6565" s="2" t="s">
        <v>9</v>
      </c>
    </row>
    <row r="6566" spans="1:8" x14ac:dyDescent="0.2">
      <c r="A6566" s="2" t="s">
        <v>3537</v>
      </c>
      <c r="B6566" s="2" t="s">
        <v>1648</v>
      </c>
      <c r="C6566" s="2">
        <v>1348.71</v>
      </c>
      <c r="D6566" s="2">
        <f>HYPERLINK("http://mcb-m6.bioreg.kyushu-u.ac.jp/M3/20110318/F50607/2855/1", 105.22)</f>
        <v>105.22</v>
      </c>
      <c r="E6566" s="2">
        <v>100.43</v>
      </c>
      <c r="F6566" s="2">
        <v>2</v>
      </c>
      <c r="G6566" s="2" t="s">
        <v>9</v>
      </c>
    </row>
    <row r="6567" spans="1:8" x14ac:dyDescent="0.2">
      <c r="A6567" s="2" t="s">
        <v>3537</v>
      </c>
      <c r="B6567" s="2" t="s">
        <v>391</v>
      </c>
      <c r="C6567" s="2">
        <v>657.39369999999997</v>
      </c>
      <c r="D6567" s="2">
        <f>HYPERLINK("http://mcb-m6.bioreg.kyushu-u.ac.jp/M3/20110318/F50600/1340/1", 40.08)</f>
        <v>40.08</v>
      </c>
      <c r="E6567" s="2">
        <v>32.520000000000003</v>
      </c>
      <c r="F6567" s="2">
        <v>2</v>
      </c>
      <c r="G6567" s="2" t="s">
        <v>10</v>
      </c>
    </row>
    <row r="6568" spans="1:8" x14ac:dyDescent="0.2">
      <c r="A6568" s="2" t="s">
        <v>3537</v>
      </c>
      <c r="B6568" s="2" t="s">
        <v>391</v>
      </c>
      <c r="C6568" s="2">
        <v>657.45569999999998</v>
      </c>
      <c r="D6568" s="2">
        <f>HYPERLINK("http://mcb-m6.bioreg.kyushu-u.ac.jp/M3/20110318/F50599/1475/1", 70.34)</f>
        <v>70.34</v>
      </c>
      <c r="E6568" s="2">
        <v>48.61</v>
      </c>
      <c r="F6568" s="2">
        <v>2</v>
      </c>
      <c r="G6568" s="2" t="s">
        <v>10</v>
      </c>
    </row>
    <row r="6569" spans="1:8" x14ac:dyDescent="0.2">
      <c r="A6569" s="2" t="s">
        <v>3537</v>
      </c>
      <c r="B6569" s="2" t="s">
        <v>391</v>
      </c>
      <c r="C6569" s="2">
        <v>657.69820000000004</v>
      </c>
      <c r="D6569" s="2">
        <f>HYPERLINK("http://mcb-m6.bioreg.kyushu-u.ac.jp/M3/20110318/F50598/1340/1", 75.91)</f>
        <v>75.91</v>
      </c>
      <c r="E6569" s="2">
        <v>60.88</v>
      </c>
      <c r="F6569" s="2">
        <v>2</v>
      </c>
      <c r="G6569" s="2" t="s">
        <v>10</v>
      </c>
    </row>
    <row r="6570" spans="1:8" x14ac:dyDescent="0.2">
      <c r="A6570" s="2" t="s">
        <v>3537</v>
      </c>
      <c r="B6570" s="2" t="s">
        <v>1648</v>
      </c>
      <c r="C6570" s="2">
        <v>1348.5239999999999</v>
      </c>
      <c r="D6570" s="2">
        <f>HYPERLINK("http://mcb-m6.bioreg.kyushu-u.ac.jp/M3/20110318/F50598/2770/1", 84.64)</f>
        <v>84.64</v>
      </c>
      <c r="E6570" s="2">
        <v>73.010000000000005</v>
      </c>
      <c r="F6570" s="2">
        <v>2</v>
      </c>
      <c r="G6570" s="2" t="s">
        <v>10</v>
      </c>
    </row>
    <row r="6571" spans="1:8" x14ac:dyDescent="0.2">
      <c r="A6571" s="2" t="s">
        <v>3537</v>
      </c>
      <c r="B6571" s="2" t="s">
        <v>1648</v>
      </c>
      <c r="C6571" s="2">
        <v>1349.0630000000001</v>
      </c>
      <c r="D6571" s="2">
        <f>HYPERLINK("http://mcb-m6.bioreg.kyushu-u.ac.jp/M3/20110318/F50598/2773/1", 101.32)</f>
        <v>101.32</v>
      </c>
      <c r="E6571" s="2">
        <v>91.99</v>
      </c>
      <c r="F6571" s="2">
        <v>2</v>
      </c>
      <c r="G6571" s="2" t="s">
        <v>10</v>
      </c>
    </row>
    <row r="6572" spans="1:8" x14ac:dyDescent="0.2">
      <c r="A6572" s="2" t="s">
        <v>3537</v>
      </c>
      <c r="B6572" s="2" t="s">
        <v>391</v>
      </c>
      <c r="C6572" s="2">
        <v>657.15120000000002</v>
      </c>
      <c r="D6572" s="2">
        <f>HYPERLINK("http://mcb-m6.bioreg.kyushu-u.ac.jp/M3/20110418/F50973/1834/1", 106.81)</f>
        <v>106.81</v>
      </c>
      <c r="E6572" s="2">
        <v>89.47</v>
      </c>
      <c r="F6572" s="2">
        <v>2</v>
      </c>
      <c r="G6572" s="2" t="s">
        <v>11</v>
      </c>
    </row>
    <row r="6573" spans="1:8" x14ac:dyDescent="0.2">
      <c r="A6573" s="2" t="s">
        <v>3537</v>
      </c>
      <c r="B6573" s="2" t="s">
        <v>1648</v>
      </c>
      <c r="C6573" s="2">
        <v>899.74480000000005</v>
      </c>
      <c r="D6573" s="2">
        <f>HYPERLINK("http://mcb-m6.bioreg.kyushu-u.ac.jp/M3/20110429/F51151/3399/1", 39.22)</f>
        <v>39.22</v>
      </c>
      <c r="E6573" s="2">
        <v>27.29</v>
      </c>
      <c r="F6573" s="2">
        <v>3</v>
      </c>
      <c r="G6573" s="2" t="s">
        <v>13</v>
      </c>
    </row>
    <row r="6574" spans="1:8" x14ac:dyDescent="0.2">
      <c r="A6574" s="2" t="s">
        <v>3537</v>
      </c>
      <c r="B6574" s="2" t="s">
        <v>391</v>
      </c>
      <c r="C6574" s="2">
        <v>657.23220000000003</v>
      </c>
      <c r="D6574" s="2">
        <f>HYPERLINK("http://mcb-m6.bioreg.kyushu-u.ac.jp/M3/20110429/F51152/1482/1", 87.52)</f>
        <v>87.52</v>
      </c>
      <c r="E6574" s="2">
        <v>70.680000000000007</v>
      </c>
      <c r="F6574" s="2">
        <v>2</v>
      </c>
      <c r="G6574" s="2" t="s">
        <v>13</v>
      </c>
    </row>
    <row r="6575" spans="1:8" x14ac:dyDescent="0.2">
      <c r="A6575" s="2" t="s">
        <v>3537</v>
      </c>
      <c r="B6575" s="2" t="s">
        <v>1648</v>
      </c>
      <c r="C6575" s="2">
        <v>1348.9069999999999</v>
      </c>
      <c r="D6575" s="2">
        <f>HYPERLINK("http://mcb-m6.bioreg.kyushu-u.ac.jp/M3/20110429/F51152/3825/1", 125.87)</f>
        <v>125.87</v>
      </c>
      <c r="E6575" s="2">
        <v>113.05</v>
      </c>
      <c r="F6575" s="2">
        <v>2</v>
      </c>
      <c r="G6575" s="2" t="s">
        <v>13</v>
      </c>
    </row>
    <row r="6576" spans="1:8" x14ac:dyDescent="0.2">
      <c r="A6576" s="2" t="s">
        <v>3537</v>
      </c>
      <c r="B6576" s="2" t="s">
        <v>5581</v>
      </c>
      <c r="C6576" s="2">
        <v>1032.6289999999999</v>
      </c>
      <c r="D6576" s="2">
        <f>HYPERLINK("http://mcb-m6.bioreg.kyushu-u.ac.jp/M3/20110428/F51140/3884/1", 42.36)</f>
        <v>42.36</v>
      </c>
      <c r="E6576" s="2">
        <v>38.549999999999997</v>
      </c>
      <c r="F6576" s="2">
        <v>3</v>
      </c>
      <c r="G6576" s="2" t="s">
        <v>14</v>
      </c>
    </row>
    <row r="6577" spans="1:9" x14ac:dyDescent="0.2">
      <c r="A6577" s="2" t="s">
        <v>3537</v>
      </c>
      <c r="B6577" s="2" t="s">
        <v>1648</v>
      </c>
      <c r="C6577" s="2">
        <v>1349.163</v>
      </c>
      <c r="D6577" s="2">
        <f>HYPERLINK("http://mcb-m6.bioreg.kyushu-u.ac.jp/M3/20110428/F51140/3802/1", 108.06)</f>
        <v>108.06</v>
      </c>
      <c r="E6577" s="2">
        <v>91.5</v>
      </c>
      <c r="F6577" s="2">
        <v>2</v>
      </c>
      <c r="G6577" s="2" t="s">
        <v>14</v>
      </c>
    </row>
    <row r="6578" spans="1:9" x14ac:dyDescent="0.2">
      <c r="A6578" s="2" t="s">
        <v>3748</v>
      </c>
      <c r="B6578" s="2" t="s">
        <v>755</v>
      </c>
      <c r="C6578" s="2">
        <v>485.00209999999998</v>
      </c>
      <c r="D6578" s="2">
        <f>HYPERLINK("http://mcb-m6.bioreg.kyushu-u.ac.jp/M3/20110318/F50607/941/1", 54.28)</f>
        <v>54.28</v>
      </c>
      <c r="E6578" s="2">
        <v>31.45</v>
      </c>
      <c r="F6578" s="2">
        <v>2</v>
      </c>
      <c r="G6578" s="2" t="s">
        <v>9</v>
      </c>
    </row>
    <row r="6579" spans="1:9" x14ac:dyDescent="0.2">
      <c r="A6579" s="2" t="s">
        <v>3748</v>
      </c>
      <c r="B6579" s="2" t="s">
        <v>1082</v>
      </c>
      <c r="C6579" s="2">
        <v>633.5992</v>
      </c>
      <c r="D6579" s="2">
        <f>HYPERLINK("http://mcb-m6.bioreg.kyushu-u.ac.jp/M3/20110318/F50607/1238/1", 62.78)</f>
        <v>62.78</v>
      </c>
      <c r="E6579" s="2">
        <v>45.34</v>
      </c>
      <c r="F6579" s="2">
        <v>2</v>
      </c>
      <c r="G6579" s="2" t="s">
        <v>9</v>
      </c>
      <c r="I6579" s="2" t="s">
        <v>4893</v>
      </c>
    </row>
    <row r="6580" spans="1:9" x14ac:dyDescent="0.2">
      <c r="A6580" s="2" t="s">
        <v>3748</v>
      </c>
      <c r="B6580" s="2" t="s">
        <v>758</v>
      </c>
      <c r="C6580" s="2">
        <v>609.60170000000005</v>
      </c>
      <c r="D6580" s="2">
        <f>HYPERLINK("http://mcb-m6.bioreg.kyushu-u.ac.jp/M3/20110318/F50607/1199/1", 72.68)</f>
        <v>72.680000000000007</v>
      </c>
      <c r="E6580" s="2">
        <v>43.71</v>
      </c>
      <c r="F6580" s="2">
        <v>2</v>
      </c>
      <c r="G6580" s="2" t="s">
        <v>9</v>
      </c>
    </row>
    <row r="6581" spans="1:9" x14ac:dyDescent="0.2">
      <c r="A6581" s="2" t="s">
        <v>3748</v>
      </c>
      <c r="B6581" s="2" t="s">
        <v>758</v>
      </c>
      <c r="C6581" s="2">
        <v>1217.6679999999999</v>
      </c>
      <c r="D6581" s="2">
        <f>HYPERLINK("http://mcb-m6.bioreg.kyushu-u.ac.jp/M3/20110318/F50598/1267/1", 40.96)</f>
        <v>40.96</v>
      </c>
      <c r="E6581" s="2">
        <v>18.399999999999999</v>
      </c>
      <c r="F6581" s="2">
        <v>1</v>
      </c>
      <c r="G6581" s="2" t="s">
        <v>10</v>
      </c>
    </row>
    <row r="6582" spans="1:9" x14ac:dyDescent="0.2">
      <c r="A6582" s="2" t="s">
        <v>3748</v>
      </c>
      <c r="B6582" s="2" t="s">
        <v>755</v>
      </c>
      <c r="C6582" s="2">
        <v>484.90309999999999</v>
      </c>
      <c r="D6582" s="2">
        <f>HYPERLINK("http://mcb-m6.bioreg.kyushu-u.ac.jp/M3/20110318/F50598/1067/1", 58.66)</f>
        <v>58.66</v>
      </c>
      <c r="E6582" s="2">
        <v>33.35</v>
      </c>
      <c r="F6582" s="2">
        <v>2</v>
      </c>
      <c r="G6582" s="2" t="s">
        <v>10</v>
      </c>
    </row>
    <row r="6583" spans="1:9" x14ac:dyDescent="0.2">
      <c r="A6583" s="2" t="s">
        <v>3748</v>
      </c>
      <c r="B6583" s="2" t="s">
        <v>1082</v>
      </c>
      <c r="C6583" s="2">
        <v>633.88509999999997</v>
      </c>
      <c r="D6583" s="2">
        <f>HYPERLINK("http://mcb-m6.bioreg.kyushu-u.ac.jp/M3/20110318/F50598/1307/1", 60.77)</f>
        <v>60.77</v>
      </c>
      <c r="E6583" s="2">
        <v>37.630000000000003</v>
      </c>
      <c r="F6583" s="2">
        <v>2</v>
      </c>
      <c r="G6583" s="2" t="s">
        <v>10</v>
      </c>
      <c r="I6583" s="2" t="s">
        <v>4893</v>
      </c>
    </row>
    <row r="6584" spans="1:9" x14ac:dyDescent="0.2">
      <c r="A6584" s="2" t="s">
        <v>3748</v>
      </c>
      <c r="B6584" s="2" t="s">
        <v>1121</v>
      </c>
      <c r="C6584" s="2">
        <v>913.41560000000004</v>
      </c>
      <c r="D6584" s="2">
        <f>HYPERLINK("http://mcb-m6.bioreg.kyushu-u.ac.jp/M3/20110318/F50598/2036/1", 69.38)</f>
        <v>69.38</v>
      </c>
      <c r="E6584" s="2">
        <v>55.02</v>
      </c>
      <c r="F6584" s="2">
        <v>2</v>
      </c>
      <c r="G6584" s="2" t="s">
        <v>10</v>
      </c>
    </row>
    <row r="6585" spans="1:9" x14ac:dyDescent="0.2">
      <c r="A6585" s="2" t="s">
        <v>3748</v>
      </c>
      <c r="B6585" s="2" t="s">
        <v>758</v>
      </c>
      <c r="C6585" s="2">
        <v>609.42070000000001</v>
      </c>
      <c r="D6585" s="2">
        <f>HYPERLINK("http://mcb-m6.bioreg.kyushu-u.ac.jp/M3/20110318/F50598/1268/1", 72.17)</f>
        <v>72.17</v>
      </c>
      <c r="E6585" s="2">
        <v>31.16</v>
      </c>
      <c r="F6585" s="2">
        <v>2</v>
      </c>
      <c r="G6585" s="2" t="s">
        <v>10</v>
      </c>
    </row>
    <row r="6586" spans="1:9" x14ac:dyDescent="0.2">
      <c r="A6586" s="2" t="s">
        <v>3748</v>
      </c>
      <c r="B6586" s="2" t="s">
        <v>758</v>
      </c>
      <c r="C6586" s="2">
        <v>609.75710000000004</v>
      </c>
      <c r="D6586" s="2">
        <f>HYPERLINK("http://mcb-m6.bioreg.kyushu-u.ac.jp/M3/20110418/F50973/1729/1", 59.19)</f>
        <v>59.19</v>
      </c>
      <c r="E6586" s="2">
        <v>33.32</v>
      </c>
      <c r="F6586" s="2">
        <v>2</v>
      </c>
      <c r="G6586" s="2" t="s">
        <v>11</v>
      </c>
    </row>
    <row r="6587" spans="1:9" x14ac:dyDescent="0.2">
      <c r="A6587" s="2" t="s">
        <v>3748</v>
      </c>
      <c r="B6587" s="2" t="s">
        <v>1082</v>
      </c>
      <c r="C6587" s="2">
        <v>633.65809999999999</v>
      </c>
      <c r="D6587" s="2">
        <f>HYPERLINK("http://mcb-m6.bioreg.kyushu-u.ac.jp/M3/20110418/F50973/1781/1", 70.24)</f>
        <v>70.239999999999995</v>
      </c>
      <c r="E6587" s="2">
        <v>34.44</v>
      </c>
      <c r="F6587" s="2">
        <v>2</v>
      </c>
      <c r="G6587" s="2" t="s">
        <v>11</v>
      </c>
      <c r="I6587" s="2" t="s">
        <v>4893</v>
      </c>
    </row>
    <row r="6588" spans="1:9" x14ac:dyDescent="0.2">
      <c r="A6588" s="2" t="s">
        <v>3748</v>
      </c>
      <c r="B6588" s="2" t="s">
        <v>758</v>
      </c>
      <c r="C6588" s="2">
        <v>609.28920000000005</v>
      </c>
      <c r="D6588" s="2">
        <f>HYPERLINK("http://mcb-m6.bioreg.kyushu-u.ac.jp/M3/20110418/F50983/1788/1", 84.1)</f>
        <v>84.1</v>
      </c>
      <c r="E6588" s="2">
        <v>48.55</v>
      </c>
      <c r="F6588" s="2">
        <v>2</v>
      </c>
      <c r="G6588" s="2" t="s">
        <v>12</v>
      </c>
    </row>
    <row r="6589" spans="1:9" x14ac:dyDescent="0.2">
      <c r="A6589" s="2" t="s">
        <v>3748</v>
      </c>
      <c r="B6589" s="2" t="s">
        <v>1082</v>
      </c>
      <c r="C6589" s="2">
        <v>633.71510000000001</v>
      </c>
      <c r="D6589" s="2">
        <f>HYPERLINK("http://mcb-m6.bioreg.kyushu-u.ac.jp/M3/20110418/F50983/1811/1", 92.07)</f>
        <v>92.07</v>
      </c>
      <c r="E6589" s="2">
        <v>60.15</v>
      </c>
      <c r="F6589" s="2">
        <v>2</v>
      </c>
      <c r="G6589" s="2" t="s">
        <v>12</v>
      </c>
      <c r="I6589" s="2" t="s">
        <v>4893</v>
      </c>
    </row>
    <row r="6590" spans="1:9" x14ac:dyDescent="0.2">
      <c r="A6590" s="2" t="s">
        <v>3748</v>
      </c>
      <c r="B6590" s="2" t="s">
        <v>758</v>
      </c>
      <c r="C6590" s="2">
        <v>1217.4269999999999</v>
      </c>
      <c r="D6590" s="2">
        <f>HYPERLINK("http://mcb-m6.bioreg.kyushu-u.ac.jp/M3/20110429/F51152/1327/1", 50.77)</f>
        <v>50.77</v>
      </c>
      <c r="E6590" s="2">
        <v>29.05</v>
      </c>
      <c r="F6590" s="2">
        <v>1</v>
      </c>
      <c r="G6590" s="2" t="s">
        <v>13</v>
      </c>
    </row>
    <row r="6591" spans="1:9" x14ac:dyDescent="0.2">
      <c r="A6591" s="2" t="s">
        <v>3748</v>
      </c>
      <c r="B6591" s="2" t="s">
        <v>1082</v>
      </c>
      <c r="C6591" s="2">
        <v>633.64760000000001</v>
      </c>
      <c r="D6591" s="2">
        <f>HYPERLINK("http://mcb-m6.bioreg.kyushu-u.ac.jp/M3/20110429/F51151/1713/1", 61.09)</f>
        <v>61.09</v>
      </c>
      <c r="E6591" s="2">
        <v>32.590000000000003</v>
      </c>
      <c r="F6591" s="2">
        <v>2</v>
      </c>
      <c r="G6591" s="2" t="s">
        <v>13</v>
      </c>
      <c r="I6591" s="2" t="s">
        <v>4893</v>
      </c>
    </row>
    <row r="6592" spans="1:9" x14ac:dyDescent="0.2">
      <c r="A6592" s="2" t="s">
        <v>3748</v>
      </c>
      <c r="B6592" s="2" t="s">
        <v>1082</v>
      </c>
      <c r="C6592" s="2">
        <v>633.68960000000004</v>
      </c>
      <c r="D6592" s="2">
        <f>HYPERLINK("http://mcb-m6.bioreg.kyushu-u.ac.jp/M3/20110429/F51152/1425/1", 92.06)</f>
        <v>92.06</v>
      </c>
      <c r="E6592" s="2">
        <v>60.13</v>
      </c>
      <c r="F6592" s="2">
        <v>2</v>
      </c>
      <c r="G6592" s="2" t="s">
        <v>13</v>
      </c>
      <c r="I6592" s="2" t="s">
        <v>4893</v>
      </c>
    </row>
    <row r="6593" spans="1:9" x14ac:dyDescent="0.2">
      <c r="A6593" s="2" t="s">
        <v>3748</v>
      </c>
      <c r="B6593" s="2" t="s">
        <v>755</v>
      </c>
      <c r="C6593" s="2">
        <v>484.8186</v>
      </c>
      <c r="D6593" s="2">
        <f>HYPERLINK("http://mcb-m6.bioreg.kyushu-u.ac.jp/M3/20110428/F51140/838/1", 49.77)</f>
        <v>49.77</v>
      </c>
      <c r="E6593" s="2">
        <v>31.04</v>
      </c>
      <c r="F6593" s="2">
        <v>2</v>
      </c>
      <c r="G6593" s="2" t="s">
        <v>14</v>
      </c>
    </row>
    <row r="6594" spans="1:9" x14ac:dyDescent="0.2">
      <c r="A6594" s="2" t="s">
        <v>3753</v>
      </c>
      <c r="B6594" s="2" t="s">
        <v>1490</v>
      </c>
      <c r="C6594" s="2">
        <v>1091.124</v>
      </c>
      <c r="D6594" s="2">
        <f>HYPERLINK("http://mcb-m6.bioreg.kyushu-u.ac.jp/M3/20110318/F50607/2402/1", 79.84)</f>
        <v>79.84</v>
      </c>
      <c r="E6594" s="2">
        <v>63.68</v>
      </c>
      <c r="F6594" s="2">
        <v>2</v>
      </c>
      <c r="G6594" s="2" t="s">
        <v>9</v>
      </c>
      <c r="I6594" s="2" t="s">
        <v>4892</v>
      </c>
    </row>
    <row r="6595" spans="1:9" x14ac:dyDescent="0.2">
      <c r="A6595" s="2" t="s">
        <v>3753</v>
      </c>
      <c r="B6595" s="2" t="s">
        <v>1490</v>
      </c>
      <c r="C6595" s="2">
        <v>1090.944</v>
      </c>
      <c r="D6595" s="2">
        <f>HYPERLINK("http://mcb-m6.bioreg.kyushu-u.ac.jp/M3/20110318/F50598/2358/1", 76.39)</f>
        <v>76.39</v>
      </c>
      <c r="E6595" s="2">
        <v>60.92</v>
      </c>
      <c r="F6595" s="2">
        <v>2</v>
      </c>
      <c r="G6595" s="2" t="s">
        <v>10</v>
      </c>
      <c r="I6595" s="2" t="s">
        <v>4892</v>
      </c>
    </row>
    <row r="6596" spans="1:9" x14ac:dyDescent="0.2">
      <c r="A6596" s="2" t="s">
        <v>3753</v>
      </c>
      <c r="B6596" s="2" t="s">
        <v>1490</v>
      </c>
      <c r="C6596" s="2">
        <v>1090.6300000000001</v>
      </c>
      <c r="D6596" s="2">
        <f>HYPERLINK("http://mcb-m6.bioreg.kyushu-u.ac.jp/M3/20110418/F50973/2832/1", 78.73)</f>
        <v>78.73</v>
      </c>
      <c r="E6596" s="2">
        <v>64.3</v>
      </c>
      <c r="F6596" s="2">
        <v>2</v>
      </c>
      <c r="G6596" s="2" t="s">
        <v>11</v>
      </c>
      <c r="I6596" s="2" t="s">
        <v>4892</v>
      </c>
    </row>
    <row r="6597" spans="1:9" x14ac:dyDescent="0.2">
      <c r="A6597" s="2" t="s">
        <v>3753</v>
      </c>
      <c r="B6597" s="2" t="s">
        <v>1490</v>
      </c>
      <c r="C6597" s="2">
        <v>1090.8989999999999</v>
      </c>
      <c r="D6597" s="2">
        <f>HYPERLINK("http://mcb-m6.bioreg.kyushu-u.ac.jp/M3/20110418/F50983/2539/1", 70.86)</f>
        <v>70.86</v>
      </c>
      <c r="E6597" s="2">
        <v>58.49</v>
      </c>
      <c r="F6597" s="2">
        <v>2</v>
      </c>
      <c r="G6597" s="2" t="s">
        <v>12</v>
      </c>
      <c r="I6597" s="2" t="s">
        <v>4892</v>
      </c>
    </row>
    <row r="6598" spans="1:9" x14ac:dyDescent="0.2">
      <c r="A6598" s="2" t="s">
        <v>3753</v>
      </c>
      <c r="B6598" s="2" t="s">
        <v>1490</v>
      </c>
      <c r="C6598" s="2">
        <v>1090.3530000000001</v>
      </c>
      <c r="D6598" s="2">
        <f>HYPERLINK("http://mcb-m6.bioreg.kyushu-u.ac.jp/M3/20110429/F51152/3304/1", 91.59)</f>
        <v>91.59</v>
      </c>
      <c r="E6598" s="2">
        <v>76.55</v>
      </c>
      <c r="F6598" s="2">
        <v>2</v>
      </c>
      <c r="G6598" s="2" t="s">
        <v>13</v>
      </c>
      <c r="I6598" s="2" t="s">
        <v>4892</v>
      </c>
    </row>
    <row r="6599" spans="1:9" x14ac:dyDescent="0.2">
      <c r="A6599" s="2" t="s">
        <v>3753</v>
      </c>
      <c r="B6599" s="2" t="s">
        <v>1490</v>
      </c>
      <c r="C6599" s="2">
        <v>1090.866</v>
      </c>
      <c r="D6599" s="2">
        <f>HYPERLINK("http://mcb-m6.bioreg.kyushu-u.ac.jp/M3/20110429/F51152/3305/1", 93.12)</f>
        <v>93.12</v>
      </c>
      <c r="E6599" s="2">
        <v>78.37</v>
      </c>
      <c r="F6599" s="2">
        <v>2</v>
      </c>
      <c r="G6599" s="2" t="s">
        <v>13</v>
      </c>
      <c r="I6599" s="2" t="s">
        <v>4892</v>
      </c>
    </row>
    <row r="6600" spans="1:9" x14ac:dyDescent="0.2">
      <c r="A6600" s="2" t="s">
        <v>3753</v>
      </c>
      <c r="B6600" s="2" t="s">
        <v>1490</v>
      </c>
      <c r="C6600" s="2">
        <v>1090.4259999999999</v>
      </c>
      <c r="D6600" s="2">
        <f>HYPERLINK("http://mcb-m6.bioreg.kyushu-u.ac.jp/M3/20110429/F51151/3158/1", 97.91)</f>
        <v>97.91</v>
      </c>
      <c r="E6600" s="2">
        <v>81.61</v>
      </c>
      <c r="F6600" s="2">
        <v>2</v>
      </c>
      <c r="G6600" s="2" t="s">
        <v>13</v>
      </c>
      <c r="I6600" s="2" t="s">
        <v>4892</v>
      </c>
    </row>
    <row r="6601" spans="1:9" x14ac:dyDescent="0.2">
      <c r="A6601" s="2" t="s">
        <v>3753</v>
      </c>
      <c r="B6601" s="2" t="s">
        <v>1490</v>
      </c>
      <c r="C6601" s="2">
        <v>1090.943</v>
      </c>
      <c r="D6601" s="2">
        <f>HYPERLINK("http://mcb-m6.bioreg.kyushu-u.ac.jp/M3/20110428/F51140/3293/1", 82.75)</f>
        <v>82.75</v>
      </c>
      <c r="E6601" s="2">
        <v>68.78</v>
      </c>
      <c r="F6601" s="2">
        <v>2</v>
      </c>
      <c r="G6601" s="2" t="s">
        <v>14</v>
      </c>
      <c r="I6601" s="2" t="s">
        <v>4892</v>
      </c>
    </row>
    <row r="6602" spans="1:9" x14ac:dyDescent="0.2">
      <c r="A6602" s="2" t="s">
        <v>3649</v>
      </c>
      <c r="B6602" s="2" t="s">
        <v>575</v>
      </c>
      <c r="C6602" s="2">
        <v>715.1902</v>
      </c>
      <c r="D6602" s="2">
        <f>HYPERLINK("http://mcb-m6.bioreg.kyushu-u.ac.jp/M3/20110318/F50599/1607/1", 58.76)</f>
        <v>58.76</v>
      </c>
      <c r="E6602" s="2">
        <v>35.15</v>
      </c>
      <c r="F6602" s="2">
        <v>2</v>
      </c>
      <c r="G6602" s="2" t="s">
        <v>10</v>
      </c>
    </row>
    <row r="6603" spans="1:9" x14ac:dyDescent="0.2">
      <c r="A6603" s="2" t="s">
        <v>3649</v>
      </c>
      <c r="B6603" s="2" t="s">
        <v>575</v>
      </c>
      <c r="C6603" s="2">
        <v>715.34969999999998</v>
      </c>
      <c r="D6603" s="2">
        <f>HYPERLINK("http://mcb-m6.bioreg.kyushu-u.ac.jp/M3/20110429/F51151/2022/1", 55.31)</f>
        <v>55.31</v>
      </c>
      <c r="E6603" s="2">
        <v>21.79</v>
      </c>
      <c r="F6603" s="2">
        <v>2</v>
      </c>
      <c r="G6603" s="2" t="s">
        <v>13</v>
      </c>
    </row>
    <row r="6604" spans="1:9" x14ac:dyDescent="0.2">
      <c r="A6604" s="2" t="s">
        <v>3649</v>
      </c>
      <c r="B6604" s="2" t="s">
        <v>575</v>
      </c>
      <c r="C6604" s="2">
        <v>715.27970000000005</v>
      </c>
      <c r="D6604" s="2">
        <f>HYPERLINK("http://mcb-m6.bioreg.kyushu-u.ac.jp/M3/20110429/F51152/1792/1", 63.23)</f>
        <v>63.23</v>
      </c>
      <c r="E6604" s="2">
        <v>15.03</v>
      </c>
      <c r="F6604" s="2">
        <v>2</v>
      </c>
      <c r="G6604" s="2" t="s">
        <v>13</v>
      </c>
    </row>
    <row r="6605" spans="1:9" x14ac:dyDescent="0.2">
      <c r="A6605" s="2" t="s">
        <v>3923</v>
      </c>
      <c r="B6605" s="2" t="s">
        <v>2662</v>
      </c>
      <c r="C6605" s="2">
        <v>692.18219999999997</v>
      </c>
      <c r="D6605" s="2">
        <f>HYPERLINK("http://mcb-m6.bioreg.kyushu-u.ac.jp/M3/20110429/F51152/1687/1", 46.06)</f>
        <v>46.06</v>
      </c>
      <c r="E6605" s="2">
        <v>18.260000000000002</v>
      </c>
      <c r="F6605" s="2">
        <v>2</v>
      </c>
      <c r="G6605" s="2" t="s">
        <v>13</v>
      </c>
    </row>
    <row r="6606" spans="1:9" x14ac:dyDescent="0.2">
      <c r="A6606" s="2" t="s">
        <v>4068</v>
      </c>
      <c r="B6606" s="2" t="s">
        <v>2464</v>
      </c>
      <c r="C6606" s="2">
        <v>1041.2070000000001</v>
      </c>
      <c r="D6606" s="2">
        <f>HYPERLINK("http://mcb-m6.bioreg.kyushu-u.ac.jp/M3/20110429/F51152/3183/1", 72.81)</f>
        <v>72.81</v>
      </c>
      <c r="E6606" s="2">
        <v>22.96</v>
      </c>
      <c r="F6606" s="2">
        <v>2</v>
      </c>
      <c r="G6606" s="2" t="s">
        <v>13</v>
      </c>
    </row>
    <row r="6607" spans="1:9" x14ac:dyDescent="0.2">
      <c r="A6607" s="2" t="s">
        <v>5735</v>
      </c>
      <c r="B6607" s="2" t="s">
        <v>5324</v>
      </c>
      <c r="C6607" s="2">
        <v>628.44069999999999</v>
      </c>
      <c r="D6607" s="2">
        <f>HYPERLINK("http://mcb-m6.bioreg.kyushu-u.ac.jp/M3/20110318/F50598/1300/1", 59.35)</f>
        <v>59.35</v>
      </c>
      <c r="E6607" s="2">
        <v>37.39</v>
      </c>
      <c r="F6607" s="2">
        <v>2</v>
      </c>
      <c r="G6607" s="2" t="s">
        <v>10</v>
      </c>
    </row>
    <row r="6608" spans="1:9" x14ac:dyDescent="0.2">
      <c r="A6608" s="2" t="s">
        <v>3261</v>
      </c>
      <c r="B6608" s="2" t="s">
        <v>41</v>
      </c>
      <c r="C6608" s="2">
        <v>501.45010000000002</v>
      </c>
      <c r="D6608" s="2">
        <f>HYPERLINK("http://mcb-m6.bioreg.kyushu-u.ac.jp/M3/20110318/F50599/1203/1", 57.46)</f>
        <v>57.46</v>
      </c>
      <c r="E6608" s="2">
        <v>30.17</v>
      </c>
      <c r="F6608" s="2">
        <v>2</v>
      </c>
      <c r="G6608" s="2" t="s">
        <v>10</v>
      </c>
    </row>
    <row r="6609" spans="1:9" x14ac:dyDescent="0.2">
      <c r="A6609" s="2" t="s">
        <v>5818</v>
      </c>
      <c r="B6609" s="2" t="s">
        <v>5496</v>
      </c>
      <c r="C6609" s="2">
        <v>473.08659999999998</v>
      </c>
      <c r="D6609" s="2">
        <f>HYPERLINK("http://mcb-m6.bioreg.kyushu-u.ac.jp/M3/20110429/F51153/484/1", 41.38)</f>
        <v>41.38</v>
      </c>
      <c r="E6609" s="2">
        <v>13.67</v>
      </c>
      <c r="F6609" s="2">
        <v>2</v>
      </c>
      <c r="G6609" s="2" t="s">
        <v>13</v>
      </c>
      <c r="I6609" s="2" t="s">
        <v>4890</v>
      </c>
    </row>
    <row r="6610" spans="1:9" x14ac:dyDescent="0.2">
      <c r="A6610" s="2" t="s">
        <v>5772</v>
      </c>
      <c r="B6610" s="2" t="s">
        <v>5406</v>
      </c>
      <c r="C6610" s="2">
        <v>974.34969999999998</v>
      </c>
      <c r="D6610" s="2">
        <f>HYPERLINK("http://mcb-m6.bioreg.kyushu-u.ac.jp/M3/20110418/F50975/3310/1", 54.03)</f>
        <v>54.03</v>
      </c>
      <c r="E6610" s="2">
        <v>45.43</v>
      </c>
      <c r="F6610" s="2">
        <v>2</v>
      </c>
      <c r="G6610" s="2" t="s">
        <v>11</v>
      </c>
    </row>
    <row r="6611" spans="1:9" x14ac:dyDescent="0.2">
      <c r="A6611" s="2" t="s">
        <v>4015</v>
      </c>
      <c r="B6611" s="2" t="s">
        <v>1531</v>
      </c>
      <c r="C6611" s="2">
        <v>894.83119999999997</v>
      </c>
      <c r="D6611" s="2">
        <f>HYPERLINK("http://mcb-m6.bioreg.kyushu-u.ac.jp/M3/20110429/F51151/2741/1", 73.39)</f>
        <v>73.39</v>
      </c>
      <c r="E6611" s="2">
        <v>61.38</v>
      </c>
      <c r="F6611" s="2">
        <v>2</v>
      </c>
      <c r="G6611" s="2" t="s">
        <v>13</v>
      </c>
    </row>
    <row r="6612" spans="1:9" x14ac:dyDescent="0.2">
      <c r="A6612" s="2" t="s">
        <v>3851</v>
      </c>
      <c r="B6612" s="2" t="s">
        <v>2925</v>
      </c>
      <c r="C6612" s="2">
        <v>596.61159999999995</v>
      </c>
      <c r="D6612" s="2">
        <f>HYPERLINK("http://mcb-m6.bioreg.kyushu-u.ac.jp/M3/20110429/F51151/1564/1", 53.45)</f>
        <v>53.45</v>
      </c>
      <c r="E6612" s="2">
        <v>27.82</v>
      </c>
      <c r="F6612" s="2">
        <v>2</v>
      </c>
      <c r="G6612" s="2" t="s">
        <v>13</v>
      </c>
    </row>
    <row r="6613" spans="1:9" x14ac:dyDescent="0.2">
      <c r="A6613" s="2" t="s">
        <v>3851</v>
      </c>
      <c r="B6613" s="2" t="s">
        <v>5533</v>
      </c>
      <c r="C6613" s="2">
        <v>546.16819999999996</v>
      </c>
      <c r="D6613" s="2">
        <f>HYPERLINK("http://mcb-m6.bioreg.kyushu-u.ac.jp/M3/20110429/F51151/1337/1", 54.44)</f>
        <v>54.44</v>
      </c>
      <c r="E6613" s="2">
        <v>32.58</v>
      </c>
      <c r="F6613" s="2">
        <v>2</v>
      </c>
      <c r="G6613" s="2" t="s">
        <v>13</v>
      </c>
      <c r="I6613" s="2" t="s">
        <v>4923</v>
      </c>
    </row>
    <row r="6614" spans="1:9" x14ac:dyDescent="0.2">
      <c r="A6614" s="2" t="s">
        <v>3299</v>
      </c>
      <c r="B6614" s="2" t="s">
        <v>1572</v>
      </c>
      <c r="C6614" s="2">
        <v>1144.498</v>
      </c>
      <c r="D6614" s="2">
        <f>HYPERLINK("http://mcb-m6.bioreg.kyushu-u.ac.jp/M3/20110318/F50612/2502/1", 42.32)</f>
        <v>42.32</v>
      </c>
      <c r="E6614" s="2">
        <v>38.299999999999997</v>
      </c>
      <c r="F6614" s="2">
        <v>2</v>
      </c>
      <c r="G6614" s="2" t="s">
        <v>10</v>
      </c>
    </row>
    <row r="6615" spans="1:9" x14ac:dyDescent="0.2">
      <c r="A6615" s="2" t="s">
        <v>3299</v>
      </c>
      <c r="B6615" s="2" t="s">
        <v>1308</v>
      </c>
      <c r="C6615" s="2">
        <v>681.79219999999998</v>
      </c>
      <c r="D6615" s="2">
        <f>HYPERLINK("http://mcb-m6.bioreg.kyushu-u.ac.jp/M3/20110318/F50611/1406/1", 55.14)</f>
        <v>55.14</v>
      </c>
      <c r="E6615" s="2">
        <v>26.51</v>
      </c>
      <c r="F6615" s="2">
        <v>2</v>
      </c>
      <c r="G6615" s="2" t="s">
        <v>10</v>
      </c>
    </row>
    <row r="6616" spans="1:9" x14ac:dyDescent="0.2">
      <c r="A6616" s="2" t="s">
        <v>3299</v>
      </c>
      <c r="B6616" s="2" t="s">
        <v>1022</v>
      </c>
      <c r="C6616" s="2">
        <v>513.33920000000001</v>
      </c>
      <c r="D6616" s="2">
        <f>HYPERLINK("http://mcb-m6.bioreg.kyushu-u.ac.jp/M3/20110318/F50611/1019/1", 58.22)</f>
        <v>58.22</v>
      </c>
      <c r="E6616" s="2">
        <v>24.55</v>
      </c>
      <c r="F6616" s="2">
        <v>2</v>
      </c>
      <c r="G6616" s="2" t="s">
        <v>10</v>
      </c>
    </row>
    <row r="6617" spans="1:9" x14ac:dyDescent="0.2">
      <c r="A6617" s="2" t="s">
        <v>3299</v>
      </c>
      <c r="B6617" s="2" t="s">
        <v>516</v>
      </c>
      <c r="C6617" s="2">
        <v>698.83420000000001</v>
      </c>
      <c r="D6617" s="2">
        <f>HYPERLINK("http://mcb-m6.bioreg.kyushu-u.ac.jp/M3/20110318/F50611/1458/1", 86.35)</f>
        <v>86.35</v>
      </c>
      <c r="E6617" s="2">
        <v>64.16</v>
      </c>
      <c r="F6617" s="2">
        <v>2</v>
      </c>
      <c r="G6617" s="2" t="s">
        <v>10</v>
      </c>
    </row>
    <row r="6618" spans="1:9" x14ac:dyDescent="0.2">
      <c r="A6618" s="2" t="s">
        <v>3299</v>
      </c>
      <c r="B6618" s="2" t="s">
        <v>1433</v>
      </c>
      <c r="C6618" s="2">
        <v>781.69370000000004</v>
      </c>
      <c r="D6618" s="2">
        <f>HYPERLINK("http://mcb-m6.bioreg.kyushu-u.ac.jp/M3/20110318/F50612/1719/1", 90.82)</f>
        <v>90.82</v>
      </c>
      <c r="E6618" s="2">
        <v>73.19</v>
      </c>
      <c r="F6618" s="2">
        <v>2</v>
      </c>
      <c r="G6618" s="2" t="s">
        <v>10</v>
      </c>
    </row>
    <row r="6619" spans="1:9" x14ac:dyDescent="0.2">
      <c r="A6619" s="2" t="s">
        <v>3299</v>
      </c>
      <c r="B6619" s="2" t="s">
        <v>516</v>
      </c>
      <c r="C6619" s="2">
        <v>699.3116</v>
      </c>
      <c r="D6619" s="2">
        <f>HYPERLINK("http://mcb-m6.bioreg.kyushu-u.ac.jp/M3/20110318/F50612/1405/1", 92.81)</f>
        <v>92.81</v>
      </c>
      <c r="E6619" s="2">
        <v>76.400000000000006</v>
      </c>
      <c r="F6619" s="2">
        <v>2</v>
      </c>
      <c r="G6619" s="2" t="s">
        <v>10</v>
      </c>
    </row>
    <row r="6620" spans="1:9" x14ac:dyDescent="0.2">
      <c r="A6620" s="2" t="s">
        <v>3299</v>
      </c>
      <c r="B6620" s="2" t="s">
        <v>3162</v>
      </c>
      <c r="C6620" s="2">
        <v>502.80560000000003</v>
      </c>
      <c r="D6620" s="2">
        <f>HYPERLINK("http://mcb-m6.bioreg.kyushu-u.ac.jp/M3/20110418/F51000/1408/1", 35.57)</f>
        <v>35.57</v>
      </c>
      <c r="E6620" s="2">
        <v>9.4</v>
      </c>
      <c r="F6620" s="2">
        <v>2</v>
      </c>
      <c r="G6620" s="2" t="s">
        <v>11</v>
      </c>
    </row>
    <row r="6621" spans="1:9" x14ac:dyDescent="0.2">
      <c r="A6621" s="2" t="s">
        <v>3299</v>
      </c>
      <c r="B6621" s="2" t="s">
        <v>516</v>
      </c>
      <c r="C6621" s="2">
        <v>698.80619999999999</v>
      </c>
      <c r="D6621" s="2">
        <f>HYPERLINK("http://mcb-m6.bioreg.kyushu-u.ac.jp/M3/20110418/F50977/1859/1", 41.04)</f>
        <v>41.04</v>
      </c>
      <c r="E6621" s="2">
        <v>25.59</v>
      </c>
      <c r="F6621" s="2">
        <v>2</v>
      </c>
      <c r="G6621" s="2" t="s">
        <v>11</v>
      </c>
    </row>
    <row r="6622" spans="1:9" x14ac:dyDescent="0.2">
      <c r="A6622" s="2" t="s">
        <v>3299</v>
      </c>
      <c r="B6622" s="2" t="s">
        <v>1308</v>
      </c>
      <c r="C6622" s="2">
        <v>682.26509999999996</v>
      </c>
      <c r="D6622" s="2">
        <f>HYPERLINK("http://mcb-m6.bioreg.kyushu-u.ac.jp/M3/20110418/F50977/1739/1", 44.39)</f>
        <v>44.39</v>
      </c>
      <c r="E6622" s="2">
        <v>28.08</v>
      </c>
      <c r="F6622" s="2">
        <v>2</v>
      </c>
      <c r="G6622" s="2" t="s">
        <v>11</v>
      </c>
    </row>
    <row r="6623" spans="1:9" x14ac:dyDescent="0.2">
      <c r="A6623" s="2" t="s">
        <v>3299</v>
      </c>
      <c r="B6623" s="2" t="s">
        <v>80</v>
      </c>
      <c r="C6623" s="2">
        <v>574.20169999999996</v>
      </c>
      <c r="D6623" s="2">
        <f>HYPERLINK("http://mcb-m6.bioreg.kyushu-u.ac.jp/M3/20110418/F51002/1555/1", 51.15)</f>
        <v>51.15</v>
      </c>
      <c r="E6623" s="2">
        <v>24.57</v>
      </c>
      <c r="F6623" s="2">
        <v>2</v>
      </c>
      <c r="G6623" s="2" t="s">
        <v>12</v>
      </c>
    </row>
    <row r="6624" spans="1:9" x14ac:dyDescent="0.2">
      <c r="A6624" s="2" t="s">
        <v>3299</v>
      </c>
      <c r="B6624" s="2" t="s">
        <v>1022</v>
      </c>
      <c r="C6624" s="2">
        <v>513.6481</v>
      </c>
      <c r="D6624" s="2">
        <f>HYPERLINK("http://mcb-m6.bioreg.kyushu-u.ac.jp/M3/20110502/F51164/679/1", 64.91)</f>
        <v>64.91</v>
      </c>
      <c r="E6624" s="2">
        <v>15.93</v>
      </c>
      <c r="F6624" s="2">
        <v>2</v>
      </c>
      <c r="G6624" s="2" t="s">
        <v>13</v>
      </c>
    </row>
    <row r="6625" spans="1:9" x14ac:dyDescent="0.2">
      <c r="A6625" s="2" t="s">
        <v>3299</v>
      </c>
      <c r="B6625" s="2" t="s">
        <v>1572</v>
      </c>
      <c r="C6625" s="2">
        <v>1144.296</v>
      </c>
      <c r="D6625" s="2">
        <f>HYPERLINK("http://mcb-m6.bioreg.kyushu-u.ac.jp/M3/20110502/F51164/3250/1", 66.69)</f>
        <v>66.69</v>
      </c>
      <c r="E6625" s="2">
        <v>63.82</v>
      </c>
      <c r="F6625" s="2">
        <v>2</v>
      </c>
      <c r="G6625" s="2" t="s">
        <v>13</v>
      </c>
    </row>
    <row r="6626" spans="1:9" x14ac:dyDescent="0.2">
      <c r="A6626" s="2" t="s">
        <v>3299</v>
      </c>
      <c r="B6626" s="2" t="s">
        <v>1109</v>
      </c>
      <c r="C6626" s="2">
        <v>825.02509999999995</v>
      </c>
      <c r="D6626" s="2">
        <f>HYPERLINK("http://mcb-m6.bioreg.kyushu-u.ac.jp/M3/20110502/F51164/2163/1", 71.73)</f>
        <v>71.73</v>
      </c>
      <c r="E6626" s="2">
        <v>51.58</v>
      </c>
      <c r="F6626" s="2">
        <v>2</v>
      </c>
      <c r="G6626" s="2" t="s">
        <v>13</v>
      </c>
    </row>
    <row r="6627" spans="1:9" x14ac:dyDescent="0.2">
      <c r="A6627" s="2" t="s">
        <v>3299</v>
      </c>
      <c r="B6627" s="2" t="s">
        <v>516</v>
      </c>
      <c r="C6627" s="2">
        <v>699.44460000000004</v>
      </c>
      <c r="D6627" s="2">
        <f>HYPERLINK("http://mcb-m6.bioreg.kyushu-u.ac.jp/M3/20110502/F51164/1482/1", 101.35)</f>
        <v>101.35</v>
      </c>
      <c r="E6627" s="2">
        <v>84.24</v>
      </c>
      <c r="F6627" s="2">
        <v>2</v>
      </c>
      <c r="G6627" s="2" t="s">
        <v>13</v>
      </c>
    </row>
    <row r="6628" spans="1:9" x14ac:dyDescent="0.2">
      <c r="A6628" s="2" t="s">
        <v>3642</v>
      </c>
      <c r="B6628" s="2" t="s">
        <v>1231</v>
      </c>
      <c r="C6628" s="2">
        <v>642.97310000000004</v>
      </c>
      <c r="D6628" s="2">
        <f>HYPERLINK("http://mcb-m6.bioreg.kyushu-u.ac.jp/M3/20110318/F50600/1313/1", 55.8)</f>
        <v>55.8</v>
      </c>
      <c r="E6628" s="2">
        <v>21.35</v>
      </c>
      <c r="F6628" s="2">
        <v>2</v>
      </c>
      <c r="G6628" s="2" t="s">
        <v>10</v>
      </c>
    </row>
    <row r="6629" spans="1:9" x14ac:dyDescent="0.2">
      <c r="A6629" s="2" t="s">
        <v>3642</v>
      </c>
      <c r="B6629" s="2" t="s">
        <v>1374</v>
      </c>
      <c r="C6629" s="2">
        <v>761.45420000000001</v>
      </c>
      <c r="D6629" s="2">
        <f>HYPERLINK("http://mcb-m6.bioreg.kyushu-u.ac.jp/M3/20110318/F50600/1647/1", 73.55)</f>
        <v>73.55</v>
      </c>
      <c r="E6629" s="2">
        <v>49.91</v>
      </c>
      <c r="F6629" s="2">
        <v>2</v>
      </c>
      <c r="G6629" s="2" t="s">
        <v>10</v>
      </c>
    </row>
    <row r="6630" spans="1:9" x14ac:dyDescent="0.2">
      <c r="A6630" s="2" t="s">
        <v>3642</v>
      </c>
      <c r="B6630" s="2" t="s">
        <v>564</v>
      </c>
      <c r="C6630" s="2">
        <v>533.78309999999999</v>
      </c>
      <c r="D6630" s="2">
        <f>HYPERLINK("http://mcb-m6.bioreg.kyushu-u.ac.jp/M3/20110429/F51149/1538/1", 59.32)</f>
        <v>59.32</v>
      </c>
      <c r="E6630" s="2">
        <v>30.23</v>
      </c>
      <c r="F6630" s="2">
        <v>2</v>
      </c>
      <c r="G6630" s="2" t="s">
        <v>13</v>
      </c>
    </row>
    <row r="6631" spans="1:9" x14ac:dyDescent="0.2">
      <c r="A6631" s="2" t="s">
        <v>4082</v>
      </c>
      <c r="B6631" s="2" t="s">
        <v>3131</v>
      </c>
      <c r="C6631" s="2">
        <v>629.87270000000001</v>
      </c>
      <c r="D6631" s="2">
        <f>HYPERLINK("http://mcb-m6.bioreg.kyushu-u.ac.jp/M3/20110318/F50600/1296/1", 54.7)</f>
        <v>54.7</v>
      </c>
      <c r="E6631" s="2">
        <v>33.42</v>
      </c>
      <c r="F6631" s="2">
        <v>2</v>
      </c>
      <c r="G6631" s="2" t="s">
        <v>10</v>
      </c>
      <c r="H6631" s="2" t="s">
        <v>4896</v>
      </c>
    </row>
    <row r="6632" spans="1:9" x14ac:dyDescent="0.2">
      <c r="A6632" s="2" t="s">
        <v>3442</v>
      </c>
      <c r="B6632" s="2" t="s">
        <v>250</v>
      </c>
      <c r="C6632" s="2">
        <v>697.16610000000003</v>
      </c>
      <c r="D6632" s="2">
        <f>HYPERLINK("http://mcb-m6.bioreg.kyushu-u.ac.jp/M3/20110418/F50973/1972/1", 54.8)</f>
        <v>54.8</v>
      </c>
      <c r="E6632" s="2">
        <v>33.18</v>
      </c>
      <c r="F6632" s="2">
        <v>2</v>
      </c>
      <c r="G6632" s="2" t="s">
        <v>11</v>
      </c>
      <c r="I6632" s="2" t="s">
        <v>4892</v>
      </c>
    </row>
    <row r="6633" spans="1:9" x14ac:dyDescent="0.2">
      <c r="A6633" s="2" t="s">
        <v>4067</v>
      </c>
      <c r="B6633" s="2" t="s">
        <v>1510</v>
      </c>
      <c r="C6633" s="2">
        <v>901.60919999999999</v>
      </c>
      <c r="D6633" s="2">
        <f>HYPERLINK("http://mcb-m6.bioreg.kyushu-u.ac.jp/M3/20110318/F50598/2014/1", 111.99)</f>
        <v>111.99</v>
      </c>
      <c r="E6633" s="2">
        <v>99.81</v>
      </c>
      <c r="F6633" s="2">
        <v>2</v>
      </c>
      <c r="G6633" s="2" t="s">
        <v>10</v>
      </c>
    </row>
    <row r="6634" spans="1:9" x14ac:dyDescent="0.2">
      <c r="A6634" s="2" t="s">
        <v>3856</v>
      </c>
      <c r="B6634" s="2" t="s">
        <v>959</v>
      </c>
      <c r="C6634" s="2">
        <v>645.36159999999995</v>
      </c>
      <c r="D6634" s="2">
        <f>HYPERLINK("http://mcb-m6.bioreg.kyushu-u.ac.jp/M3/20110318/F50598/1320/1", 80.65)</f>
        <v>80.650000000000006</v>
      </c>
      <c r="E6634" s="2">
        <v>51.47</v>
      </c>
      <c r="F6634" s="2">
        <v>2</v>
      </c>
      <c r="G6634" s="2" t="s">
        <v>10</v>
      </c>
      <c r="I6634" s="2" t="s">
        <v>4890</v>
      </c>
    </row>
    <row r="6635" spans="1:9" x14ac:dyDescent="0.2">
      <c r="A6635" s="2" t="s">
        <v>3856</v>
      </c>
      <c r="B6635" s="2" t="s">
        <v>959</v>
      </c>
      <c r="C6635" s="2">
        <v>645.13419999999996</v>
      </c>
      <c r="D6635" s="2">
        <f>HYPERLINK("http://mcb-m6.bioreg.kyushu-u.ac.jp/M3/20110429/F51151/1737/1", 74.43)</f>
        <v>74.430000000000007</v>
      </c>
      <c r="E6635" s="2">
        <v>41.36</v>
      </c>
      <c r="F6635" s="2">
        <v>2</v>
      </c>
      <c r="G6635" s="2" t="s">
        <v>13</v>
      </c>
      <c r="I6635" s="2" t="s">
        <v>4890</v>
      </c>
    </row>
    <row r="6636" spans="1:9" x14ac:dyDescent="0.2">
      <c r="A6636" s="2" t="s">
        <v>3252</v>
      </c>
      <c r="B6636" s="2" t="s">
        <v>1422</v>
      </c>
      <c r="C6636" s="2">
        <v>717.50210000000004</v>
      </c>
      <c r="D6636" s="2">
        <f>HYPERLINK("http://mcb-m6.bioreg.kyushu-u.ac.jp/M3/20110318/F50598/1476/1", 71.55)</f>
        <v>71.55</v>
      </c>
      <c r="E6636" s="2">
        <v>41.62</v>
      </c>
      <c r="F6636" s="2">
        <v>2</v>
      </c>
      <c r="G6636" s="2" t="s">
        <v>10</v>
      </c>
    </row>
    <row r="6637" spans="1:9" x14ac:dyDescent="0.2">
      <c r="A6637" s="2" t="s">
        <v>4275</v>
      </c>
      <c r="B6637" s="2" t="s">
        <v>1951</v>
      </c>
      <c r="C6637" s="2">
        <v>513.63019999999995</v>
      </c>
      <c r="D6637" s="2">
        <f>HYPERLINK("http://mcb-m6.bioreg.kyushu-u.ac.jp/M3/20110429/F51150/1319/1", 43.13)</f>
        <v>43.13</v>
      </c>
      <c r="E6637" s="2">
        <v>25.84</v>
      </c>
      <c r="F6637" s="2">
        <v>2</v>
      </c>
      <c r="G6637" s="2" t="s">
        <v>13</v>
      </c>
    </row>
    <row r="6638" spans="1:9" x14ac:dyDescent="0.2">
      <c r="A6638" s="2" t="s">
        <v>3724</v>
      </c>
      <c r="B6638" s="2" t="s">
        <v>720</v>
      </c>
      <c r="C6638" s="2">
        <v>570.15309999999999</v>
      </c>
      <c r="D6638" s="2">
        <f>HYPERLINK("http://mcb-m6.bioreg.kyushu-u.ac.jp/M3/20110429/F51151/1448/1", 53.64)</f>
        <v>53.64</v>
      </c>
      <c r="E6638" s="2">
        <v>18.63</v>
      </c>
      <c r="F6638" s="2">
        <v>2</v>
      </c>
      <c r="G6638" s="2" t="s">
        <v>13</v>
      </c>
      <c r="I6638" s="2" t="s">
        <v>4890</v>
      </c>
    </row>
    <row r="6639" spans="1:9" x14ac:dyDescent="0.2">
      <c r="A6639" s="2" t="s">
        <v>3724</v>
      </c>
      <c r="B6639" s="2" t="s">
        <v>720</v>
      </c>
      <c r="C6639" s="2">
        <v>570.18409999999994</v>
      </c>
      <c r="D6639" s="2">
        <f>HYPERLINK("http://mcb-m6.bioreg.kyushu-u.ac.jp/M3/20110429/F51150/1523/1", 62.95)</f>
        <v>62.95</v>
      </c>
      <c r="E6639" s="2">
        <v>24.34</v>
      </c>
      <c r="F6639" s="2">
        <v>2</v>
      </c>
      <c r="G6639" s="2" t="s">
        <v>13</v>
      </c>
      <c r="I6639" s="2" t="s">
        <v>4890</v>
      </c>
    </row>
    <row r="6640" spans="1:9" x14ac:dyDescent="0.2">
      <c r="A6640" s="2" t="s">
        <v>4319</v>
      </c>
      <c r="B6640" s="2" t="s">
        <v>2087</v>
      </c>
      <c r="C6640" s="2">
        <v>786.95920000000001</v>
      </c>
      <c r="D6640" s="2">
        <f>HYPERLINK("http://mcb-m6.bioreg.kyushu-u.ac.jp/M3/20110318/F50597/1824/1", 70.62)</f>
        <v>70.62</v>
      </c>
      <c r="E6640" s="2">
        <v>50.66</v>
      </c>
      <c r="F6640" s="2">
        <v>2</v>
      </c>
      <c r="G6640" s="2" t="s">
        <v>10</v>
      </c>
    </row>
    <row r="6641" spans="1:8" x14ac:dyDescent="0.2">
      <c r="A6641" s="2" t="s">
        <v>4319</v>
      </c>
      <c r="B6641" s="2" t="s">
        <v>2087</v>
      </c>
      <c r="C6641" s="2">
        <v>787.32460000000003</v>
      </c>
      <c r="D6641" s="2">
        <f>HYPERLINK("http://mcb-m6.bioreg.kyushu-u.ac.jp/M3/20110418/F50974/2316/1", 70.06)</f>
        <v>70.06</v>
      </c>
      <c r="E6641" s="2">
        <v>46.56</v>
      </c>
      <c r="F6641" s="2">
        <v>2</v>
      </c>
      <c r="G6641" s="2" t="s">
        <v>11</v>
      </c>
    </row>
    <row r="6642" spans="1:8" x14ac:dyDescent="0.2">
      <c r="A6642" s="2" t="s">
        <v>4319</v>
      </c>
      <c r="B6642" s="2" t="s">
        <v>2954</v>
      </c>
      <c r="C6642" s="2">
        <v>722.73109999999997</v>
      </c>
      <c r="D6642" s="2">
        <f>HYPERLINK("http://mcb-m6.bioreg.kyushu-u.ac.jp/M3/20110418/F50984/2018/1", 79.71)</f>
        <v>79.709999999999994</v>
      </c>
      <c r="E6642" s="2">
        <v>56.14</v>
      </c>
      <c r="F6642" s="2">
        <v>2</v>
      </c>
      <c r="G6642" s="2" t="s">
        <v>12</v>
      </c>
    </row>
    <row r="6643" spans="1:8" x14ac:dyDescent="0.2">
      <c r="A6643" s="2" t="s">
        <v>4319</v>
      </c>
      <c r="B6643" s="2" t="s">
        <v>2087</v>
      </c>
      <c r="C6643" s="2">
        <v>787.03809999999999</v>
      </c>
      <c r="D6643" s="2">
        <f>HYPERLINK("http://mcb-m6.bioreg.kyushu-u.ac.jp/M3/20110429/F51157/1995/1", 55.41)</f>
        <v>55.41</v>
      </c>
      <c r="E6643" s="2">
        <v>34.03</v>
      </c>
      <c r="F6643" s="2">
        <v>2</v>
      </c>
      <c r="G6643" s="2" t="s">
        <v>13</v>
      </c>
    </row>
    <row r="6644" spans="1:8" x14ac:dyDescent="0.2">
      <c r="A6644" s="2" t="s">
        <v>4319</v>
      </c>
      <c r="B6644" s="2" t="s">
        <v>2954</v>
      </c>
      <c r="C6644" s="2">
        <v>723.10569999999996</v>
      </c>
      <c r="D6644" s="2">
        <f>HYPERLINK("http://mcb-m6.bioreg.kyushu-u.ac.jp/M3/20110502/F51159/1907/1", 63.68)</f>
        <v>63.68</v>
      </c>
      <c r="E6644" s="2">
        <v>44.27</v>
      </c>
      <c r="F6644" s="2">
        <v>2</v>
      </c>
      <c r="G6644" s="2" t="s">
        <v>14</v>
      </c>
    </row>
    <row r="6645" spans="1:8" x14ac:dyDescent="0.2">
      <c r="A6645" s="2" t="s">
        <v>3951</v>
      </c>
      <c r="B6645" s="2" t="s">
        <v>1155</v>
      </c>
      <c r="C6645" s="2">
        <v>561.91920000000005</v>
      </c>
      <c r="D6645" s="2">
        <f>HYPERLINK("http://mcb-m6.bioreg.kyushu-u.ac.jp/M3/20110318/F50597/1045/1", 57.98)</f>
        <v>57.98</v>
      </c>
      <c r="E6645" s="2">
        <v>22.22</v>
      </c>
      <c r="F6645" s="2">
        <v>2</v>
      </c>
      <c r="G6645" s="2" t="s">
        <v>10</v>
      </c>
    </row>
    <row r="6646" spans="1:8" x14ac:dyDescent="0.2">
      <c r="A6646" s="2" t="s">
        <v>3951</v>
      </c>
      <c r="B6646" s="2" t="s">
        <v>1155</v>
      </c>
      <c r="C6646" s="2">
        <v>561.85609999999997</v>
      </c>
      <c r="D6646" s="2">
        <f>HYPERLINK("http://mcb-m6.bioreg.kyushu-u.ac.jp/M3/20110429/F51157/849/1", 61.64)</f>
        <v>61.64</v>
      </c>
      <c r="E6646" s="2">
        <v>27.15</v>
      </c>
      <c r="F6646" s="2">
        <v>2</v>
      </c>
      <c r="G6646" s="2" t="s">
        <v>13</v>
      </c>
    </row>
    <row r="6647" spans="1:8" x14ac:dyDescent="0.2">
      <c r="A6647" s="2" t="s">
        <v>3498</v>
      </c>
      <c r="B6647" s="2" t="s">
        <v>332</v>
      </c>
      <c r="C6647" s="2">
        <v>621.51760000000002</v>
      </c>
      <c r="D6647" s="2">
        <f>HYPERLINK("http://mcb-m6.bioreg.kyushu-u.ac.jp/M3/20110318/F50606/1106/1", 35.78)</f>
        <v>35.78</v>
      </c>
      <c r="E6647" s="2">
        <v>16.71</v>
      </c>
      <c r="F6647" s="2">
        <v>2</v>
      </c>
      <c r="G6647" s="2" t="s">
        <v>9</v>
      </c>
    </row>
    <row r="6648" spans="1:8" x14ac:dyDescent="0.2">
      <c r="A6648" s="2" t="s">
        <v>3498</v>
      </c>
      <c r="B6648" s="2" t="s">
        <v>332</v>
      </c>
      <c r="C6648" s="2">
        <v>621.48969999999997</v>
      </c>
      <c r="D6648" s="2">
        <f>HYPERLINK("http://mcb-m6.bioreg.kyushu-u.ac.jp/M3/20110318/F50597/1202/1", 52.5)</f>
        <v>52.5</v>
      </c>
      <c r="E6648" s="2">
        <v>28.28</v>
      </c>
      <c r="F6648" s="2">
        <v>2</v>
      </c>
      <c r="G6648" s="2" t="s">
        <v>10</v>
      </c>
    </row>
    <row r="6649" spans="1:8" x14ac:dyDescent="0.2">
      <c r="A6649" s="2" t="s">
        <v>3498</v>
      </c>
      <c r="B6649" s="2" t="s">
        <v>1132</v>
      </c>
      <c r="C6649" s="2">
        <v>674.47469999999998</v>
      </c>
      <c r="D6649" s="2">
        <f>HYPERLINK("http://mcb-m6.bioreg.kyushu-u.ac.jp/M3/20110318/F50597/1337/1", 86.72)</f>
        <v>86.72</v>
      </c>
      <c r="E6649" s="2">
        <v>71.92</v>
      </c>
      <c r="F6649" s="2">
        <v>2</v>
      </c>
      <c r="G6649" s="2" t="s">
        <v>10</v>
      </c>
    </row>
    <row r="6650" spans="1:8" x14ac:dyDescent="0.2">
      <c r="A6650" s="2" t="s">
        <v>3498</v>
      </c>
      <c r="B6650" s="2" t="s">
        <v>1132</v>
      </c>
      <c r="C6650" s="2">
        <v>674.19169999999997</v>
      </c>
      <c r="D6650" s="2">
        <f>HYPERLINK("http://mcb-m6.bioreg.kyushu-u.ac.jp/M3/20110418/F50974/1718/1", 68.08)</f>
        <v>68.08</v>
      </c>
      <c r="E6650" s="2">
        <v>53.38</v>
      </c>
      <c r="F6650" s="2">
        <v>2</v>
      </c>
      <c r="G6650" s="2" t="s">
        <v>11</v>
      </c>
    </row>
    <row r="6651" spans="1:8" x14ac:dyDescent="0.2">
      <c r="A6651" s="2" t="s">
        <v>3498</v>
      </c>
      <c r="B6651" s="2" t="s">
        <v>332</v>
      </c>
      <c r="C6651" s="2">
        <v>621.43709999999999</v>
      </c>
      <c r="D6651" s="2">
        <f>HYPERLINK("http://mcb-m6.bioreg.kyushu-u.ac.jp/M3/20110429/F51157/1169/1", 41.5)</f>
        <v>41.5</v>
      </c>
      <c r="E6651" s="2">
        <v>18.850000000000001</v>
      </c>
      <c r="F6651" s="2">
        <v>2</v>
      </c>
      <c r="G6651" s="2" t="s">
        <v>13</v>
      </c>
    </row>
    <row r="6652" spans="1:8" x14ac:dyDescent="0.2">
      <c r="A6652" s="2" t="s">
        <v>3498</v>
      </c>
      <c r="B6652" s="2" t="s">
        <v>332</v>
      </c>
      <c r="C6652" s="2">
        <v>621.51969999999994</v>
      </c>
      <c r="D6652" s="2">
        <f>HYPERLINK("http://mcb-m6.bioreg.kyushu-u.ac.jp/M3/20110502/F51159/1519/1", 39.58)</f>
        <v>39.58</v>
      </c>
      <c r="E6652" s="2">
        <v>14.02</v>
      </c>
      <c r="F6652" s="2">
        <v>2</v>
      </c>
      <c r="G6652" s="2" t="s">
        <v>14</v>
      </c>
    </row>
    <row r="6653" spans="1:8" x14ac:dyDescent="0.2">
      <c r="A6653" s="2" t="s">
        <v>4551</v>
      </c>
      <c r="B6653" s="2" t="s">
        <v>5055</v>
      </c>
      <c r="C6653" s="2">
        <v>699.99620000000004</v>
      </c>
      <c r="D6653" s="2">
        <f>HYPERLINK("http://mcb-m6.bioreg.kyushu-u.ac.jp/M3/20110318/F50606/1316/1", 43.77)</f>
        <v>43.77</v>
      </c>
      <c r="E6653" s="2">
        <v>17.739999999999998</v>
      </c>
      <c r="F6653" s="2">
        <v>2</v>
      </c>
      <c r="G6653" s="2" t="s">
        <v>9</v>
      </c>
    </row>
    <row r="6654" spans="1:8" x14ac:dyDescent="0.2">
      <c r="A6654" s="2" t="s">
        <v>4551</v>
      </c>
      <c r="B6654" s="2" t="s">
        <v>5133</v>
      </c>
      <c r="C6654" s="2">
        <v>733.76170000000002</v>
      </c>
      <c r="D6654" s="2">
        <f>HYPERLINK("http://mcb-m6.bioreg.kyushu-u.ac.jp/M3/20110318/F50606/1429/1", 64.83)</f>
        <v>64.83</v>
      </c>
      <c r="E6654" s="2">
        <v>48.73</v>
      </c>
      <c r="F6654" s="2">
        <v>2</v>
      </c>
      <c r="G6654" s="2" t="s">
        <v>9</v>
      </c>
    </row>
    <row r="6655" spans="1:8" x14ac:dyDescent="0.2">
      <c r="A6655" s="2" t="s">
        <v>4551</v>
      </c>
      <c r="B6655" s="2" t="s">
        <v>5173</v>
      </c>
      <c r="C6655" s="2">
        <v>859.49959999999999</v>
      </c>
      <c r="D6655" s="2">
        <f>HYPERLINK("http://mcb-m6.bioreg.kyushu-u.ac.jp/M3/20110318/F50606/1901/1", 78.93)</f>
        <v>78.930000000000007</v>
      </c>
      <c r="E6655" s="2">
        <v>63.26</v>
      </c>
      <c r="F6655" s="2">
        <v>2</v>
      </c>
      <c r="G6655" s="2" t="s">
        <v>9</v>
      </c>
      <c r="H6655" s="2" t="s">
        <v>4927</v>
      </c>
    </row>
    <row r="6656" spans="1:8" x14ac:dyDescent="0.2">
      <c r="A6656" s="2" t="s">
        <v>4551</v>
      </c>
      <c r="B6656" s="2" t="s">
        <v>5055</v>
      </c>
      <c r="C6656" s="2">
        <v>699.96010000000001</v>
      </c>
      <c r="D6656" s="2">
        <f>HYPERLINK("http://mcb-m6.bioreg.kyushu-u.ac.jp/M3/20110318/F50615/1362/1", 36.08)</f>
        <v>36.08</v>
      </c>
      <c r="E6656" s="2">
        <v>21.2</v>
      </c>
      <c r="F6656" s="2">
        <v>2</v>
      </c>
      <c r="G6656" s="2" t="s">
        <v>10</v>
      </c>
    </row>
    <row r="6657" spans="1:8" x14ac:dyDescent="0.2">
      <c r="A6657" s="2" t="s">
        <v>4551</v>
      </c>
      <c r="B6657" s="2" t="s">
        <v>5300</v>
      </c>
      <c r="C6657" s="2">
        <v>641.46619999999996</v>
      </c>
      <c r="D6657" s="2">
        <f>HYPERLINK("http://mcb-m6.bioreg.kyushu-u.ac.jp/M3/20110318/F50597/1249/1", 52.49)</f>
        <v>52.49</v>
      </c>
      <c r="E6657" s="2">
        <v>34.86</v>
      </c>
      <c r="F6657" s="2">
        <v>2</v>
      </c>
      <c r="G6657" s="2" t="s">
        <v>10</v>
      </c>
    </row>
    <row r="6658" spans="1:8" x14ac:dyDescent="0.2">
      <c r="A6658" s="2" t="s">
        <v>4551</v>
      </c>
      <c r="B6658" s="2" t="s">
        <v>2582</v>
      </c>
      <c r="C6658" s="2">
        <v>681.44370000000004</v>
      </c>
      <c r="D6658" s="2">
        <f>HYPERLINK("http://mcb-m6.bioreg.kyushu-u.ac.jp/M3/20110318/F50615/1310/1", 75.62)</f>
        <v>75.62</v>
      </c>
      <c r="E6658" s="2">
        <v>56.44</v>
      </c>
      <c r="F6658" s="2">
        <v>2</v>
      </c>
      <c r="G6658" s="2" t="s">
        <v>10</v>
      </c>
    </row>
    <row r="6659" spans="1:8" x14ac:dyDescent="0.2">
      <c r="A6659" s="2" t="s">
        <v>4551</v>
      </c>
      <c r="B6659" s="2" t="s">
        <v>2582</v>
      </c>
      <c r="C6659" s="2">
        <v>680.92819999999995</v>
      </c>
      <c r="D6659" s="2">
        <f>HYPERLINK("http://mcb-m6.bioreg.kyushu-u.ac.jp/M3/20110318/F50615/1306/1", 84.71)</f>
        <v>84.71</v>
      </c>
      <c r="E6659" s="2">
        <v>55.81</v>
      </c>
      <c r="F6659" s="2">
        <v>2</v>
      </c>
      <c r="G6659" s="2" t="s">
        <v>10</v>
      </c>
    </row>
    <row r="6660" spans="1:8" x14ac:dyDescent="0.2">
      <c r="A6660" s="2" t="s">
        <v>4551</v>
      </c>
      <c r="B6660" s="2" t="s">
        <v>5173</v>
      </c>
      <c r="C6660" s="2">
        <v>851.99869999999999</v>
      </c>
      <c r="D6660" s="2">
        <f>HYPERLINK("http://mcb-m6.bioreg.kyushu-u.ac.jp/M3/20110318/F50597/2036/1", 84.91)</f>
        <v>84.91</v>
      </c>
      <c r="E6660" s="2">
        <v>69.75</v>
      </c>
      <c r="F6660" s="2">
        <v>2</v>
      </c>
      <c r="G6660" s="2" t="s">
        <v>10</v>
      </c>
    </row>
    <row r="6661" spans="1:8" x14ac:dyDescent="0.2">
      <c r="A6661" s="2" t="s">
        <v>4551</v>
      </c>
      <c r="B6661" s="2" t="s">
        <v>5055</v>
      </c>
      <c r="C6661" s="2">
        <v>700.37270000000001</v>
      </c>
      <c r="D6661" s="2">
        <f>HYPERLINK("http://mcb-m6.bioreg.kyushu-u.ac.jp/M3/20110418/F50975/1783/1", 44.08)</f>
        <v>44.08</v>
      </c>
      <c r="E6661" s="2">
        <v>18.98</v>
      </c>
      <c r="F6661" s="2">
        <v>2</v>
      </c>
      <c r="G6661" s="2" t="s">
        <v>11</v>
      </c>
    </row>
    <row r="6662" spans="1:8" x14ac:dyDescent="0.2">
      <c r="A6662" s="2" t="s">
        <v>4551</v>
      </c>
      <c r="B6662" s="2" t="s">
        <v>2582</v>
      </c>
      <c r="C6662" s="2">
        <v>680.98320000000001</v>
      </c>
      <c r="D6662" s="2">
        <f>HYPERLINK("http://mcb-m6.bioreg.kyushu-u.ac.jp/M3/20110418/F50975/1638/1", 73.73)</f>
        <v>73.73</v>
      </c>
      <c r="E6662" s="2">
        <v>55.16</v>
      </c>
      <c r="F6662" s="2">
        <v>2</v>
      </c>
      <c r="G6662" s="2" t="s">
        <v>11</v>
      </c>
    </row>
    <row r="6663" spans="1:8" x14ac:dyDescent="0.2">
      <c r="A6663" s="2" t="s">
        <v>4551</v>
      </c>
      <c r="B6663" s="2" t="s">
        <v>2582</v>
      </c>
      <c r="C6663" s="2">
        <v>681.13019999999995</v>
      </c>
      <c r="D6663" s="2">
        <f>HYPERLINK("http://mcb-m6.bioreg.kyushu-u.ac.jp/M3/20110429/F51157/1447/1", 57.62)</f>
        <v>57.62</v>
      </c>
      <c r="E6663" s="2">
        <v>35.85</v>
      </c>
      <c r="F6663" s="2">
        <v>2</v>
      </c>
      <c r="G6663" s="2" t="s">
        <v>13</v>
      </c>
    </row>
    <row r="6664" spans="1:8" x14ac:dyDescent="0.2">
      <c r="A6664" s="2" t="s">
        <v>3743</v>
      </c>
      <c r="B6664" s="2" t="s">
        <v>746</v>
      </c>
      <c r="C6664" s="2">
        <v>509.23860000000002</v>
      </c>
      <c r="D6664" s="2">
        <f>HYPERLINK("http://mcb-m6.bioreg.kyushu-u.ac.jp/M3/20110418/F50977/933/1", 52.77)</f>
        <v>52.77</v>
      </c>
      <c r="E6664" s="2">
        <v>12.53</v>
      </c>
      <c r="F6664" s="2">
        <v>2</v>
      </c>
      <c r="G6664" s="2" t="s">
        <v>11</v>
      </c>
    </row>
    <row r="6665" spans="1:8" x14ac:dyDescent="0.2">
      <c r="A6665" s="2" t="s">
        <v>3743</v>
      </c>
      <c r="B6665" s="2" t="s">
        <v>746</v>
      </c>
      <c r="C6665" s="2">
        <v>508.72710000000001</v>
      </c>
      <c r="D6665" s="2">
        <f>HYPERLINK("http://mcb-m6.bioreg.kyushu-u.ac.jp/M3/20110418/F50977/931/1", 56.63)</f>
        <v>56.63</v>
      </c>
      <c r="E6665" s="2">
        <v>13.23</v>
      </c>
      <c r="F6665" s="2">
        <v>2</v>
      </c>
      <c r="G6665" s="2" t="s">
        <v>11</v>
      </c>
    </row>
    <row r="6666" spans="1:8" x14ac:dyDescent="0.2">
      <c r="A6666" s="2" t="s">
        <v>5644</v>
      </c>
      <c r="B6666" s="2" t="s">
        <v>5078</v>
      </c>
      <c r="C6666" s="2">
        <v>819.31460000000004</v>
      </c>
      <c r="D6666" s="2">
        <f>HYPERLINK("http://mcb-m6.bioreg.kyushu-u.ac.jp/M3/20110318/F50605/1929/1", 48.12)</f>
        <v>48.12</v>
      </c>
      <c r="E6666" s="2">
        <v>39.56</v>
      </c>
      <c r="F6666" s="2">
        <v>2</v>
      </c>
      <c r="G6666" s="2" t="s">
        <v>9</v>
      </c>
      <c r="H6666" s="2" t="s">
        <v>4919</v>
      </c>
    </row>
    <row r="6667" spans="1:8" x14ac:dyDescent="0.2">
      <c r="A6667" s="2" t="s">
        <v>4455</v>
      </c>
      <c r="B6667" s="2" t="s">
        <v>2365</v>
      </c>
      <c r="C6667" s="2">
        <v>1023.62</v>
      </c>
      <c r="D6667" s="2">
        <f>HYPERLINK("http://mcb-m6.bioreg.kyushu-u.ac.jp/M3/20110318/F50607/2294/1", 60.36)</f>
        <v>60.36</v>
      </c>
      <c r="E6667" s="2">
        <v>53.66</v>
      </c>
      <c r="F6667" s="2">
        <v>2</v>
      </c>
      <c r="G6667" s="2" t="s">
        <v>9</v>
      </c>
    </row>
    <row r="6668" spans="1:8" x14ac:dyDescent="0.2">
      <c r="A6668" s="2" t="s">
        <v>3276</v>
      </c>
      <c r="B6668" s="2" t="s">
        <v>56</v>
      </c>
      <c r="C6668" s="2">
        <v>705.27260000000001</v>
      </c>
      <c r="D6668" s="2">
        <f>HYPERLINK("http://mcb-m6.bioreg.kyushu-u.ac.jp/M3/20110429/F51152/1748/1", 54.45)</f>
        <v>54.45</v>
      </c>
      <c r="E6668" s="2">
        <v>41.54</v>
      </c>
      <c r="F6668" s="2">
        <v>2</v>
      </c>
      <c r="G6668" s="2" t="s">
        <v>13</v>
      </c>
    </row>
    <row r="6669" spans="1:8" x14ac:dyDescent="0.2">
      <c r="A6669" s="2" t="s">
        <v>3487</v>
      </c>
      <c r="B6669" s="2" t="s">
        <v>1247</v>
      </c>
      <c r="C6669" s="2">
        <v>839.23860000000002</v>
      </c>
      <c r="D6669" s="2">
        <f>HYPERLINK("http://mcb-m6.bioreg.kyushu-u.ac.jp/M3/20110318/F50618/2090/1", 39.59)</f>
        <v>39.590000000000003</v>
      </c>
      <c r="E6669" s="2">
        <v>21.71</v>
      </c>
      <c r="F6669" s="2">
        <v>2</v>
      </c>
      <c r="G6669" s="2" t="s">
        <v>9</v>
      </c>
    </row>
    <row r="6670" spans="1:8" x14ac:dyDescent="0.2">
      <c r="A6670" s="2" t="s">
        <v>3487</v>
      </c>
      <c r="B6670" s="2" t="s">
        <v>1064</v>
      </c>
      <c r="C6670" s="2">
        <v>596.26260000000002</v>
      </c>
      <c r="D6670" s="2">
        <f>HYPERLINK("http://mcb-m6.bioreg.kyushu-u.ac.jp/M3/20110318/F50618/1094/1", 46.11)</f>
        <v>46.11</v>
      </c>
      <c r="E6670" s="2">
        <v>27.42</v>
      </c>
      <c r="F6670" s="2">
        <v>2</v>
      </c>
      <c r="G6670" s="2" t="s">
        <v>9</v>
      </c>
    </row>
    <row r="6671" spans="1:8" x14ac:dyDescent="0.2">
      <c r="A6671" s="2" t="s">
        <v>3487</v>
      </c>
      <c r="B6671" s="2" t="s">
        <v>1024</v>
      </c>
      <c r="C6671" s="2">
        <v>783.9941</v>
      </c>
      <c r="D6671" s="2">
        <f>HYPERLINK("http://mcb-m6.bioreg.kyushu-u.ac.jp/M3/20110318/F50605/1816/1", 53.62)</f>
        <v>53.62</v>
      </c>
      <c r="E6671" s="2">
        <v>38.75</v>
      </c>
      <c r="F6671" s="2">
        <v>2</v>
      </c>
      <c r="G6671" s="2" t="s">
        <v>9</v>
      </c>
    </row>
    <row r="6672" spans="1:8" x14ac:dyDescent="0.2">
      <c r="A6672" s="2" t="s">
        <v>3487</v>
      </c>
      <c r="B6672" s="2" t="s">
        <v>2098</v>
      </c>
      <c r="C6672" s="2">
        <v>715.80719999999997</v>
      </c>
      <c r="D6672" s="2">
        <f>HYPERLINK("http://mcb-m6.bioreg.kyushu-u.ac.jp/M3/20110318/F50618/1456/1", 86.45)</f>
        <v>86.45</v>
      </c>
      <c r="E6672" s="2">
        <v>45.4</v>
      </c>
      <c r="F6672" s="2">
        <v>2</v>
      </c>
      <c r="G6672" s="2" t="s">
        <v>9</v>
      </c>
    </row>
    <row r="6673" spans="1:7" x14ac:dyDescent="0.2">
      <c r="A6673" s="2" t="s">
        <v>3487</v>
      </c>
      <c r="B6673" s="2" t="s">
        <v>1247</v>
      </c>
      <c r="C6673" s="2">
        <v>839.56209999999999</v>
      </c>
      <c r="D6673" s="2">
        <f>HYPERLINK("http://mcb-m6.bioreg.kyushu-u.ac.jp/M3/20110318/F50605/2047/1", 87.91)</f>
        <v>87.91</v>
      </c>
      <c r="E6673" s="2">
        <v>58.84</v>
      </c>
      <c r="F6673" s="2">
        <v>2</v>
      </c>
      <c r="G6673" s="2" t="s">
        <v>9</v>
      </c>
    </row>
    <row r="6674" spans="1:7" x14ac:dyDescent="0.2">
      <c r="A6674" s="2" t="s">
        <v>3487</v>
      </c>
      <c r="B6674" s="2" t="s">
        <v>1402</v>
      </c>
      <c r="C6674" s="2">
        <v>1089.7739999999999</v>
      </c>
      <c r="D6674" s="2">
        <f>HYPERLINK("http://mcb-m6.bioreg.kyushu-u.ac.jp/M3/20110318/F50618/2825/1", 115.09)</f>
        <v>115.09</v>
      </c>
      <c r="E6674" s="2">
        <v>100.12</v>
      </c>
      <c r="F6674" s="2">
        <v>2</v>
      </c>
      <c r="G6674" s="2" t="s">
        <v>9</v>
      </c>
    </row>
    <row r="6675" spans="1:7" x14ac:dyDescent="0.2">
      <c r="A6675" s="2" t="s">
        <v>3487</v>
      </c>
      <c r="B6675" s="2" t="s">
        <v>1912</v>
      </c>
      <c r="C6675" s="2">
        <v>918.7731</v>
      </c>
      <c r="D6675" s="2">
        <f>HYPERLINK("http://mcb-m6.bioreg.kyushu-u.ac.jp/M3/20110318/F50618/2388/1", 124.51)</f>
        <v>124.51</v>
      </c>
      <c r="E6675" s="2">
        <v>94.51</v>
      </c>
      <c r="F6675" s="2">
        <v>2</v>
      </c>
      <c r="G6675" s="2" t="s">
        <v>9</v>
      </c>
    </row>
    <row r="6676" spans="1:7" x14ac:dyDescent="0.2">
      <c r="A6676" s="2" t="s">
        <v>3487</v>
      </c>
      <c r="B6676" s="2" t="s">
        <v>2095</v>
      </c>
      <c r="C6676" s="2">
        <v>645.67219999999998</v>
      </c>
      <c r="D6676" s="2">
        <f>HYPERLINK("http://mcb-m6.bioreg.kyushu-u.ac.jp/M3/20110318/F50614/2546/1", 35.3)</f>
        <v>35.299999999999997</v>
      </c>
      <c r="E6676" s="2">
        <v>24.63</v>
      </c>
      <c r="F6676" s="2">
        <v>3</v>
      </c>
      <c r="G6676" s="2" t="s">
        <v>10</v>
      </c>
    </row>
    <row r="6677" spans="1:7" x14ac:dyDescent="0.2">
      <c r="A6677" s="2" t="s">
        <v>3487</v>
      </c>
      <c r="B6677" s="2" t="s">
        <v>2012</v>
      </c>
      <c r="C6677" s="2">
        <v>659.21559999999999</v>
      </c>
      <c r="D6677" s="2">
        <f>HYPERLINK("http://mcb-m6.bioreg.kyushu-u.ac.jp/M3/20110318/F50613/1316/1", 40.5)</f>
        <v>40.5</v>
      </c>
      <c r="E6677" s="2">
        <v>23.28</v>
      </c>
      <c r="F6677" s="2">
        <v>2</v>
      </c>
      <c r="G6677" s="2" t="s">
        <v>10</v>
      </c>
    </row>
    <row r="6678" spans="1:7" x14ac:dyDescent="0.2">
      <c r="A6678" s="2" t="s">
        <v>3487</v>
      </c>
      <c r="B6678" s="2" t="s">
        <v>1064</v>
      </c>
      <c r="C6678" s="2">
        <v>596.85519999999997</v>
      </c>
      <c r="D6678" s="2">
        <f>HYPERLINK("http://mcb-m6.bioreg.kyushu-u.ac.jp/M3/20110318/F50613/1183/1", 47.57)</f>
        <v>47.57</v>
      </c>
      <c r="E6678" s="2">
        <v>34.54</v>
      </c>
      <c r="F6678" s="2">
        <v>2</v>
      </c>
      <c r="G6678" s="2" t="s">
        <v>10</v>
      </c>
    </row>
    <row r="6679" spans="1:7" x14ac:dyDescent="0.2">
      <c r="A6679" s="2" t="s">
        <v>3487</v>
      </c>
      <c r="B6679" s="2" t="s">
        <v>2098</v>
      </c>
      <c r="C6679" s="2">
        <v>716.37369999999999</v>
      </c>
      <c r="D6679" s="2">
        <f>HYPERLINK("http://mcb-m6.bioreg.kyushu-u.ac.jp/M3/20110318/F50614/1549/1", 51.2)</f>
        <v>51.2</v>
      </c>
      <c r="E6679" s="2">
        <v>26.66</v>
      </c>
      <c r="F6679" s="2">
        <v>2</v>
      </c>
      <c r="G6679" s="2" t="s">
        <v>10</v>
      </c>
    </row>
    <row r="6680" spans="1:7" x14ac:dyDescent="0.2">
      <c r="A6680" s="2" t="s">
        <v>3487</v>
      </c>
      <c r="B6680" s="2" t="s">
        <v>2762</v>
      </c>
      <c r="C6680" s="2">
        <v>908.44420000000002</v>
      </c>
      <c r="D6680" s="2">
        <f>HYPERLINK("http://mcb-m6.bioreg.kyushu-u.ac.jp/M3/20110318/F50613/2307/1", 54.11)</f>
        <v>54.11</v>
      </c>
      <c r="E6680" s="2">
        <v>38.32</v>
      </c>
      <c r="F6680" s="2">
        <v>2</v>
      </c>
      <c r="G6680" s="2" t="s">
        <v>10</v>
      </c>
    </row>
    <row r="6681" spans="1:7" x14ac:dyDescent="0.2">
      <c r="A6681" s="2" t="s">
        <v>3487</v>
      </c>
      <c r="B6681" s="2" t="s">
        <v>2012</v>
      </c>
      <c r="C6681" s="2">
        <v>658.62159999999994</v>
      </c>
      <c r="D6681" s="2">
        <f>HYPERLINK("http://mcb-m6.bioreg.kyushu-u.ac.jp/M3/20110318/F50614/1378/1", 56.98)</f>
        <v>56.98</v>
      </c>
      <c r="E6681" s="2">
        <v>31.73</v>
      </c>
      <c r="F6681" s="2">
        <v>2</v>
      </c>
      <c r="G6681" s="2" t="s">
        <v>10</v>
      </c>
    </row>
    <row r="6682" spans="1:7" x14ac:dyDescent="0.2">
      <c r="A6682" s="2" t="s">
        <v>3487</v>
      </c>
      <c r="B6682" s="2" t="s">
        <v>1024</v>
      </c>
      <c r="C6682" s="2">
        <v>783.83320000000003</v>
      </c>
      <c r="D6682" s="2">
        <f>HYPERLINK("http://mcb-m6.bioreg.kyushu-u.ac.jp/M3/20110318/F50613/1856/1", 69.17)</f>
        <v>69.17</v>
      </c>
      <c r="E6682" s="2">
        <v>54.66</v>
      </c>
      <c r="F6682" s="2">
        <v>2</v>
      </c>
      <c r="G6682" s="2" t="s">
        <v>10</v>
      </c>
    </row>
    <row r="6683" spans="1:7" x14ac:dyDescent="0.2">
      <c r="A6683" s="2" t="s">
        <v>3487</v>
      </c>
      <c r="B6683" s="2" t="s">
        <v>2149</v>
      </c>
      <c r="C6683" s="2">
        <v>795.03560000000004</v>
      </c>
      <c r="D6683" s="2">
        <f>HYPERLINK("http://mcb-m6.bioreg.kyushu-u.ac.jp/M3/20110318/F50613/1906/1", 69.45)</f>
        <v>69.45</v>
      </c>
      <c r="E6683" s="2">
        <v>53.26</v>
      </c>
      <c r="F6683" s="2">
        <v>2</v>
      </c>
      <c r="G6683" s="2" t="s">
        <v>10</v>
      </c>
    </row>
    <row r="6684" spans="1:7" x14ac:dyDescent="0.2">
      <c r="A6684" s="2" t="s">
        <v>3487</v>
      </c>
      <c r="B6684" s="2" t="s">
        <v>1912</v>
      </c>
      <c r="C6684" s="2">
        <v>919.33669999999995</v>
      </c>
      <c r="D6684" s="2">
        <f>HYPERLINK("http://mcb-m6.bioreg.kyushu-u.ac.jp/M3/20110318/F50613/2335/1", 81.11)</f>
        <v>81.11</v>
      </c>
      <c r="E6684" s="2">
        <v>66.34</v>
      </c>
      <c r="F6684" s="2">
        <v>2</v>
      </c>
      <c r="G6684" s="2" t="s">
        <v>10</v>
      </c>
    </row>
    <row r="6685" spans="1:7" x14ac:dyDescent="0.2">
      <c r="A6685" s="2" t="s">
        <v>3487</v>
      </c>
      <c r="B6685" s="2" t="s">
        <v>2762</v>
      </c>
      <c r="C6685" s="2">
        <v>908.50710000000004</v>
      </c>
      <c r="D6685" s="2">
        <f>HYPERLINK("http://mcb-m6.bioreg.kyushu-u.ac.jp/M3/20110318/F50614/2336/1", 86.35)</f>
        <v>86.35</v>
      </c>
      <c r="E6685" s="2">
        <v>74.17</v>
      </c>
      <c r="F6685" s="2">
        <v>2</v>
      </c>
      <c r="G6685" s="2" t="s">
        <v>10</v>
      </c>
    </row>
    <row r="6686" spans="1:7" x14ac:dyDescent="0.2">
      <c r="A6686" s="2" t="s">
        <v>3487</v>
      </c>
      <c r="B6686" s="2" t="s">
        <v>2110</v>
      </c>
      <c r="C6686" s="2">
        <v>944.90009999999995</v>
      </c>
      <c r="D6686" s="2">
        <f>HYPERLINK("http://mcb-m6.bioreg.kyushu-u.ac.jp/M3/20110318/F50614/2473/1", 87.75)</f>
        <v>87.75</v>
      </c>
      <c r="E6686" s="2">
        <v>68.27</v>
      </c>
      <c r="F6686" s="2">
        <v>2</v>
      </c>
      <c r="G6686" s="2" t="s">
        <v>10</v>
      </c>
    </row>
    <row r="6687" spans="1:7" x14ac:dyDescent="0.2">
      <c r="A6687" s="2" t="s">
        <v>3487</v>
      </c>
      <c r="B6687" s="2" t="s">
        <v>1912</v>
      </c>
      <c r="C6687" s="2">
        <v>919.3492</v>
      </c>
      <c r="D6687" s="2">
        <f>HYPERLINK("http://mcb-m6.bioreg.kyushu-u.ac.jp/M3/20110318/F50614/2357/1", 90.53)</f>
        <v>90.53</v>
      </c>
      <c r="E6687" s="2">
        <v>67.73</v>
      </c>
      <c r="F6687" s="2">
        <v>2</v>
      </c>
      <c r="G6687" s="2" t="s">
        <v>10</v>
      </c>
    </row>
    <row r="6688" spans="1:7" x14ac:dyDescent="0.2">
      <c r="A6688" s="2" t="s">
        <v>3487</v>
      </c>
      <c r="B6688" s="2" t="s">
        <v>1247</v>
      </c>
      <c r="C6688" s="2">
        <v>839.32870000000003</v>
      </c>
      <c r="D6688" s="2">
        <f>HYPERLINK("http://mcb-m6.bioreg.kyushu-u.ac.jp/M3/20110318/F50614/2099/1", 92.91)</f>
        <v>92.91</v>
      </c>
      <c r="E6688" s="2">
        <v>70.31</v>
      </c>
      <c r="F6688" s="2">
        <v>2</v>
      </c>
      <c r="G6688" s="2" t="s">
        <v>10</v>
      </c>
    </row>
    <row r="6689" spans="1:8" x14ac:dyDescent="0.2">
      <c r="A6689" s="2" t="s">
        <v>3487</v>
      </c>
      <c r="B6689" s="2" t="s">
        <v>1247</v>
      </c>
      <c r="C6689" s="2">
        <v>839.35059999999999</v>
      </c>
      <c r="D6689" s="2">
        <f>HYPERLINK("http://mcb-m6.bioreg.kyushu-u.ac.jp/M3/20110318/F50613/2095/1", 96.55)</f>
        <v>96.55</v>
      </c>
      <c r="E6689" s="2">
        <v>70.03</v>
      </c>
      <c r="F6689" s="2">
        <v>2</v>
      </c>
      <c r="G6689" s="2" t="s">
        <v>10</v>
      </c>
    </row>
    <row r="6690" spans="1:8" x14ac:dyDescent="0.2">
      <c r="A6690" s="2" t="s">
        <v>3487</v>
      </c>
      <c r="B6690" s="2" t="s">
        <v>5378</v>
      </c>
      <c r="C6690" s="2">
        <v>460.74459999999999</v>
      </c>
      <c r="D6690" s="2">
        <f>HYPERLINK("http://mcb-m6.bioreg.kyushu-u.ac.jp/M3/20110418/F50976/711/1", 40.17)</f>
        <v>40.17</v>
      </c>
      <c r="E6690" s="2">
        <v>10.14</v>
      </c>
      <c r="F6690" s="2">
        <v>2</v>
      </c>
      <c r="G6690" s="2" t="s">
        <v>11</v>
      </c>
      <c r="H6690" s="2" t="s">
        <v>4917</v>
      </c>
    </row>
    <row r="6691" spans="1:8" x14ac:dyDescent="0.2">
      <c r="A6691" s="2" t="s">
        <v>3487</v>
      </c>
      <c r="B6691" s="2" t="s">
        <v>1912</v>
      </c>
      <c r="C6691" s="2">
        <v>919.35770000000002</v>
      </c>
      <c r="D6691" s="2">
        <f>HYPERLINK("http://mcb-m6.bioreg.kyushu-u.ac.jp/M3/20110418/F50977/3071/1", 40.73)</f>
        <v>40.729999999999997</v>
      </c>
      <c r="E6691" s="2">
        <v>20.39</v>
      </c>
      <c r="F6691" s="2">
        <v>2</v>
      </c>
      <c r="G6691" s="2" t="s">
        <v>11</v>
      </c>
    </row>
    <row r="6692" spans="1:8" x14ac:dyDescent="0.2">
      <c r="A6692" s="2" t="s">
        <v>3487</v>
      </c>
      <c r="B6692" s="2" t="s">
        <v>2012</v>
      </c>
      <c r="C6692" s="2">
        <v>1316.414</v>
      </c>
      <c r="D6692" s="2">
        <f>HYPERLINK("http://mcb-m6.bioreg.kyushu-u.ac.jp/M3/20110418/F50976/1530/1", 41.61)</f>
        <v>41.61</v>
      </c>
      <c r="E6692" s="2">
        <v>23.73</v>
      </c>
      <c r="F6692" s="2">
        <v>1</v>
      </c>
      <c r="G6692" s="2" t="s">
        <v>11</v>
      </c>
    </row>
    <row r="6693" spans="1:8" x14ac:dyDescent="0.2">
      <c r="A6693" s="2" t="s">
        <v>3487</v>
      </c>
      <c r="B6693" s="2" t="s">
        <v>315</v>
      </c>
      <c r="C6693" s="2">
        <v>537.71810000000005</v>
      </c>
      <c r="D6693" s="2">
        <f>HYPERLINK("http://mcb-m6.bioreg.kyushu-u.ac.jp/M3/20110418/F50976/1025/1", 44.13)</f>
        <v>44.13</v>
      </c>
      <c r="E6693" s="2">
        <v>23.56</v>
      </c>
      <c r="F6693" s="2">
        <v>2</v>
      </c>
      <c r="G6693" s="2" t="s">
        <v>11</v>
      </c>
    </row>
    <row r="6694" spans="1:8" x14ac:dyDescent="0.2">
      <c r="A6694" s="2" t="s">
        <v>3487</v>
      </c>
      <c r="B6694" s="2" t="s">
        <v>2762</v>
      </c>
      <c r="C6694" s="2">
        <v>606.09280000000001</v>
      </c>
      <c r="D6694" s="2">
        <f>HYPERLINK("http://mcb-m6.bioreg.kyushu-u.ac.jp/M3/20110418/F50976/2951/1", 44.66)</f>
        <v>44.66</v>
      </c>
      <c r="E6694" s="2">
        <v>25.7</v>
      </c>
      <c r="F6694" s="2">
        <v>3</v>
      </c>
      <c r="G6694" s="2" t="s">
        <v>11</v>
      </c>
    </row>
    <row r="6695" spans="1:8" x14ac:dyDescent="0.2">
      <c r="A6695" s="2" t="s">
        <v>3487</v>
      </c>
      <c r="B6695" s="2" t="s">
        <v>1064</v>
      </c>
      <c r="C6695" s="2">
        <v>596.47770000000003</v>
      </c>
      <c r="D6695" s="2">
        <f>HYPERLINK("http://mcb-m6.bioreg.kyushu-u.ac.jp/M3/20110418/F50976/1279/1", 44.87)</f>
        <v>44.87</v>
      </c>
      <c r="E6695" s="2">
        <v>30.85</v>
      </c>
      <c r="F6695" s="2">
        <v>2</v>
      </c>
      <c r="G6695" s="2" t="s">
        <v>11</v>
      </c>
    </row>
    <row r="6696" spans="1:8" x14ac:dyDescent="0.2">
      <c r="A6696" s="2" t="s">
        <v>3487</v>
      </c>
      <c r="B6696" s="2" t="s">
        <v>5399</v>
      </c>
      <c r="C6696" s="2">
        <v>901.42719999999997</v>
      </c>
      <c r="D6696" s="2">
        <f>HYPERLINK("http://mcb-m6.bioreg.kyushu-u.ac.jp/M3/20110418/F50976/2924/1", 46.95)</f>
        <v>46.95</v>
      </c>
      <c r="E6696" s="2">
        <v>33.43</v>
      </c>
      <c r="F6696" s="2">
        <v>2</v>
      </c>
      <c r="G6696" s="2" t="s">
        <v>11</v>
      </c>
    </row>
    <row r="6697" spans="1:8" x14ac:dyDescent="0.2">
      <c r="A6697" s="2" t="s">
        <v>3487</v>
      </c>
      <c r="B6697" s="2" t="s">
        <v>5409</v>
      </c>
      <c r="C6697" s="2">
        <v>777.28859999999997</v>
      </c>
      <c r="D6697" s="2">
        <f>HYPERLINK("http://mcb-m6.bioreg.kyushu-u.ac.jp/M3/20110418/F50976/2226/1", 56.36)</f>
        <v>56.36</v>
      </c>
      <c r="E6697" s="2">
        <v>39.69</v>
      </c>
      <c r="F6697" s="2">
        <v>2</v>
      </c>
      <c r="G6697" s="2" t="s">
        <v>11</v>
      </c>
      <c r="H6697" s="2" t="s">
        <v>4919</v>
      </c>
    </row>
    <row r="6698" spans="1:8" x14ac:dyDescent="0.2">
      <c r="A6698" s="2" t="s">
        <v>3487</v>
      </c>
      <c r="B6698" s="2" t="s">
        <v>2762</v>
      </c>
      <c r="C6698" s="2">
        <v>908.88319999999999</v>
      </c>
      <c r="D6698" s="2">
        <f>HYPERLINK("http://mcb-m6.bioreg.kyushu-u.ac.jp/M3/20110418/F50976/2954/1", 56.6)</f>
        <v>56.6</v>
      </c>
      <c r="E6698" s="2">
        <v>42.06</v>
      </c>
      <c r="F6698" s="2">
        <v>2</v>
      </c>
      <c r="G6698" s="2" t="s">
        <v>11</v>
      </c>
    </row>
    <row r="6699" spans="1:8" x14ac:dyDescent="0.2">
      <c r="A6699" s="2" t="s">
        <v>3487</v>
      </c>
      <c r="B6699" s="2" t="s">
        <v>2098</v>
      </c>
      <c r="C6699" s="2">
        <v>715.80870000000004</v>
      </c>
      <c r="D6699" s="2">
        <f>HYPERLINK("http://mcb-m6.bioreg.kyushu-u.ac.jp/M3/20110418/F50976/1844/1", 59.86)</f>
        <v>59.86</v>
      </c>
      <c r="E6699" s="2">
        <v>28.35</v>
      </c>
      <c r="F6699" s="2">
        <v>2</v>
      </c>
      <c r="G6699" s="2" t="s">
        <v>11</v>
      </c>
    </row>
    <row r="6700" spans="1:8" x14ac:dyDescent="0.2">
      <c r="A6700" s="2" t="s">
        <v>3487</v>
      </c>
      <c r="B6700" s="2" t="s">
        <v>2149</v>
      </c>
      <c r="C6700" s="2">
        <v>795.10059999999999</v>
      </c>
      <c r="D6700" s="2">
        <f>HYPERLINK("http://mcb-m6.bioreg.kyushu-u.ac.jp/M3/20110418/F50976/2360/1", 61.82)</f>
        <v>61.82</v>
      </c>
      <c r="E6700" s="2">
        <v>51.75</v>
      </c>
      <c r="F6700" s="2">
        <v>2</v>
      </c>
      <c r="G6700" s="2" t="s">
        <v>11</v>
      </c>
    </row>
    <row r="6701" spans="1:8" x14ac:dyDescent="0.2">
      <c r="A6701" s="2" t="s">
        <v>3487</v>
      </c>
      <c r="B6701" s="2" t="s">
        <v>1024</v>
      </c>
      <c r="C6701" s="2">
        <v>784.23860000000002</v>
      </c>
      <c r="D6701" s="2">
        <f>HYPERLINK("http://mcb-m6.bioreg.kyushu-u.ac.jp/M3/20110418/F50976/2282/1", 62.84)</f>
        <v>62.84</v>
      </c>
      <c r="E6701" s="2">
        <v>47.08</v>
      </c>
      <c r="F6701" s="2">
        <v>2</v>
      </c>
      <c r="G6701" s="2" t="s">
        <v>11</v>
      </c>
    </row>
    <row r="6702" spans="1:8" x14ac:dyDescent="0.2">
      <c r="A6702" s="2" t="s">
        <v>3487</v>
      </c>
      <c r="B6702" s="2" t="s">
        <v>2098</v>
      </c>
      <c r="C6702" s="2">
        <v>715.79909999999995</v>
      </c>
      <c r="D6702" s="2">
        <f>HYPERLINK("http://mcb-m6.bioreg.kyushu-u.ac.jp/M3/20110418/F50977/1945/1", 63.27)</f>
        <v>63.27</v>
      </c>
      <c r="E6702" s="2">
        <v>31.51</v>
      </c>
      <c r="F6702" s="2">
        <v>2</v>
      </c>
      <c r="G6702" s="2" t="s">
        <v>11</v>
      </c>
    </row>
    <row r="6703" spans="1:8" x14ac:dyDescent="0.2">
      <c r="A6703" s="2" t="s">
        <v>3487</v>
      </c>
      <c r="B6703" s="2" t="s">
        <v>655</v>
      </c>
      <c r="C6703" s="2">
        <v>699.28920000000005</v>
      </c>
      <c r="D6703" s="2">
        <f>HYPERLINK("http://mcb-m6.bioreg.kyushu-u.ac.jp/M3/20110418/F50976/1769/1", 64.15)</f>
        <v>64.150000000000006</v>
      </c>
      <c r="E6703" s="2">
        <v>42.84</v>
      </c>
      <c r="F6703" s="2">
        <v>2</v>
      </c>
      <c r="G6703" s="2" t="s">
        <v>11</v>
      </c>
    </row>
    <row r="6704" spans="1:8" x14ac:dyDescent="0.2">
      <c r="A6704" s="2" t="s">
        <v>3487</v>
      </c>
      <c r="B6704" s="2" t="s">
        <v>1930</v>
      </c>
      <c r="C6704" s="2">
        <v>609.17409999999995</v>
      </c>
      <c r="D6704" s="2">
        <f>HYPERLINK("http://mcb-m6.bioreg.kyushu-u.ac.jp/M3/20110418/F50976/1341/1", 64.99)</f>
        <v>64.989999999999995</v>
      </c>
      <c r="E6704" s="2">
        <v>40.090000000000003</v>
      </c>
      <c r="F6704" s="2">
        <v>2</v>
      </c>
      <c r="G6704" s="2" t="s">
        <v>11</v>
      </c>
    </row>
    <row r="6705" spans="1:8" x14ac:dyDescent="0.2">
      <c r="A6705" s="2" t="s">
        <v>3487</v>
      </c>
      <c r="B6705" s="2" t="s">
        <v>2095</v>
      </c>
      <c r="C6705" s="2">
        <v>968.10310000000004</v>
      </c>
      <c r="D6705" s="2">
        <f>HYPERLINK("http://mcb-m6.bioreg.kyushu-u.ac.jp/M3/20110418/F50976/3156/1", 65.57)</f>
        <v>65.569999999999993</v>
      </c>
      <c r="E6705" s="2">
        <v>56.87</v>
      </c>
      <c r="F6705" s="2">
        <v>2</v>
      </c>
      <c r="G6705" s="2" t="s">
        <v>11</v>
      </c>
    </row>
    <row r="6706" spans="1:8" x14ac:dyDescent="0.2">
      <c r="A6706" s="2" t="s">
        <v>3487</v>
      </c>
      <c r="B6706" s="2" t="s">
        <v>2095</v>
      </c>
      <c r="C6706" s="2">
        <v>967.44709999999998</v>
      </c>
      <c r="D6706" s="2">
        <f>HYPERLINK("http://mcb-m6.bioreg.kyushu-u.ac.jp/M3/20110418/F50976/3152/1", 67.64)</f>
        <v>67.64</v>
      </c>
      <c r="E6706" s="2">
        <v>55.91</v>
      </c>
      <c r="F6706" s="2">
        <v>2</v>
      </c>
      <c r="G6706" s="2" t="s">
        <v>11</v>
      </c>
    </row>
    <row r="6707" spans="1:8" x14ac:dyDescent="0.2">
      <c r="A6707" s="2" t="s">
        <v>3487</v>
      </c>
      <c r="B6707" s="2" t="s">
        <v>2012</v>
      </c>
      <c r="C6707" s="2">
        <v>658.82619999999997</v>
      </c>
      <c r="D6707" s="2">
        <f>HYPERLINK("http://mcb-m6.bioreg.kyushu-u.ac.jp/M3/20110418/F50976/1533/1", 82.65)</f>
        <v>82.65</v>
      </c>
      <c r="E6707" s="2">
        <v>56.39</v>
      </c>
      <c r="F6707" s="2">
        <v>2</v>
      </c>
      <c r="G6707" s="2" t="s">
        <v>11</v>
      </c>
    </row>
    <row r="6708" spans="1:8" x14ac:dyDescent="0.2">
      <c r="A6708" s="2" t="s">
        <v>3487</v>
      </c>
      <c r="B6708" s="2" t="s">
        <v>971</v>
      </c>
      <c r="C6708" s="2">
        <v>917.30409999999995</v>
      </c>
      <c r="D6708" s="2">
        <f>HYPERLINK("http://mcb-m6.bioreg.kyushu-u.ac.jp/M3/20110418/F50976/2988/1", 94.17)</f>
        <v>94.17</v>
      </c>
      <c r="E6708" s="2">
        <v>77.7</v>
      </c>
      <c r="F6708" s="2">
        <v>2</v>
      </c>
      <c r="G6708" s="2" t="s">
        <v>11</v>
      </c>
    </row>
    <row r="6709" spans="1:8" x14ac:dyDescent="0.2">
      <c r="A6709" s="2" t="s">
        <v>3487</v>
      </c>
      <c r="B6709" s="2" t="s">
        <v>1912</v>
      </c>
      <c r="C6709" s="2">
        <v>919.34720000000004</v>
      </c>
      <c r="D6709" s="2">
        <f>HYPERLINK("http://mcb-m6.bioreg.kyushu-u.ac.jp/M3/20110418/F50976/2999/1", 94.72)</f>
        <v>94.72</v>
      </c>
      <c r="E6709" s="2">
        <v>77.489999999999995</v>
      </c>
      <c r="F6709" s="2">
        <v>2</v>
      </c>
      <c r="G6709" s="2" t="s">
        <v>11</v>
      </c>
    </row>
    <row r="6710" spans="1:8" x14ac:dyDescent="0.2">
      <c r="A6710" s="2" t="s">
        <v>3487</v>
      </c>
      <c r="B6710" s="2" t="s">
        <v>2110</v>
      </c>
      <c r="C6710" s="2">
        <v>944.91819999999996</v>
      </c>
      <c r="D6710" s="2">
        <f>HYPERLINK("http://mcb-m6.bioreg.kyushu-u.ac.jp/M3/20110418/F50976/3090/1", 97.03)</f>
        <v>97.03</v>
      </c>
      <c r="E6710" s="2">
        <v>79.489999999999995</v>
      </c>
      <c r="F6710" s="2">
        <v>2</v>
      </c>
      <c r="G6710" s="2" t="s">
        <v>11</v>
      </c>
    </row>
    <row r="6711" spans="1:8" x14ac:dyDescent="0.2">
      <c r="A6711" s="2" t="s">
        <v>3487</v>
      </c>
      <c r="B6711" s="2" t="s">
        <v>1247</v>
      </c>
      <c r="C6711" s="2">
        <v>839.16470000000004</v>
      </c>
      <c r="D6711" s="2">
        <f>HYPERLINK("http://mcb-m6.bioreg.kyushu-u.ac.jp/M3/20110418/F50976/2604/1", 108.7)</f>
        <v>108.7</v>
      </c>
      <c r="E6711" s="2">
        <v>83.14</v>
      </c>
      <c r="F6711" s="2">
        <v>2</v>
      </c>
      <c r="G6711" s="2" t="s">
        <v>11</v>
      </c>
    </row>
    <row r="6712" spans="1:8" x14ac:dyDescent="0.2">
      <c r="A6712" s="2" t="s">
        <v>3487</v>
      </c>
      <c r="B6712" s="2" t="s">
        <v>2762</v>
      </c>
      <c r="C6712" s="2">
        <v>908.35770000000002</v>
      </c>
      <c r="D6712" s="2">
        <f>HYPERLINK("http://mcb-m6.bioreg.kyushu-u.ac.jp/M3/20110418/F50976/2948/1", 113.35)</f>
        <v>113.35</v>
      </c>
      <c r="E6712" s="2">
        <v>101.41</v>
      </c>
      <c r="F6712" s="2">
        <v>2</v>
      </c>
      <c r="G6712" s="2" t="s">
        <v>11</v>
      </c>
    </row>
    <row r="6713" spans="1:8" x14ac:dyDescent="0.2">
      <c r="A6713" s="2" t="s">
        <v>3487</v>
      </c>
      <c r="B6713" s="2" t="s">
        <v>1402</v>
      </c>
      <c r="C6713" s="2">
        <v>1089.5509999999999</v>
      </c>
      <c r="D6713" s="2">
        <f>HYPERLINK("http://mcb-m6.bioreg.kyushu-u.ac.jp/M3/20110418/F50976/3537/1", 116.93)</f>
        <v>116.93</v>
      </c>
      <c r="E6713" s="2">
        <v>106.53</v>
      </c>
      <c r="F6713" s="2">
        <v>2</v>
      </c>
      <c r="G6713" s="2" t="s">
        <v>11</v>
      </c>
    </row>
    <row r="6714" spans="1:8" x14ac:dyDescent="0.2">
      <c r="A6714" s="2" t="s">
        <v>3487</v>
      </c>
      <c r="B6714" s="2" t="s">
        <v>2762</v>
      </c>
      <c r="C6714" s="2">
        <v>908.90219999999999</v>
      </c>
      <c r="D6714" s="2">
        <f>HYPERLINK("http://mcb-m6.bioreg.kyushu-u.ac.jp/M3/20110418/F50976/2955/1", 117.99)</f>
        <v>117.99</v>
      </c>
      <c r="E6714" s="2">
        <v>107.77</v>
      </c>
      <c r="F6714" s="2">
        <v>2</v>
      </c>
      <c r="G6714" s="2" t="s">
        <v>11</v>
      </c>
    </row>
    <row r="6715" spans="1:8" x14ac:dyDescent="0.2">
      <c r="A6715" s="2" t="s">
        <v>3487</v>
      </c>
      <c r="B6715" s="2" t="s">
        <v>1930</v>
      </c>
      <c r="C6715" s="2">
        <v>616.99220000000003</v>
      </c>
      <c r="D6715" s="2">
        <f>HYPERLINK("http://mcb-m6.bioreg.kyushu-u.ac.jp/M3/20110418/F50986/1698/1", 38.6)</f>
        <v>38.6</v>
      </c>
      <c r="E6715" s="2">
        <v>24.23</v>
      </c>
      <c r="F6715" s="2">
        <v>2</v>
      </c>
      <c r="G6715" s="2" t="s">
        <v>12</v>
      </c>
      <c r="H6715" s="2" t="s">
        <v>4927</v>
      </c>
    </row>
    <row r="6716" spans="1:8" x14ac:dyDescent="0.2">
      <c r="A6716" s="2" t="s">
        <v>3487</v>
      </c>
      <c r="B6716" s="2" t="s">
        <v>655</v>
      </c>
      <c r="C6716" s="2">
        <v>699.35569999999996</v>
      </c>
      <c r="D6716" s="2">
        <f>HYPERLINK("http://mcb-m6.bioreg.kyushu-u.ac.jp/M3/20110418/F50986/1906/1", 40.22)</f>
        <v>40.22</v>
      </c>
      <c r="E6716" s="2">
        <v>22.51</v>
      </c>
      <c r="F6716" s="2">
        <v>2</v>
      </c>
      <c r="G6716" s="2" t="s">
        <v>12</v>
      </c>
    </row>
    <row r="6717" spans="1:8" x14ac:dyDescent="0.2">
      <c r="A6717" s="2" t="s">
        <v>3487</v>
      </c>
      <c r="B6717" s="2" t="s">
        <v>1064</v>
      </c>
      <c r="C6717" s="2">
        <v>596.7491</v>
      </c>
      <c r="D6717" s="2">
        <f>HYPERLINK("http://mcb-m6.bioreg.kyushu-u.ac.jp/M3/20110418/F50986/1656/1", 44.16)</f>
        <v>44.16</v>
      </c>
      <c r="E6717" s="2">
        <v>23.8</v>
      </c>
      <c r="F6717" s="2">
        <v>2</v>
      </c>
      <c r="G6717" s="2" t="s">
        <v>12</v>
      </c>
    </row>
    <row r="6718" spans="1:8" x14ac:dyDescent="0.2">
      <c r="A6718" s="2" t="s">
        <v>3487</v>
      </c>
      <c r="B6718" s="2" t="s">
        <v>1024</v>
      </c>
      <c r="C6718" s="2">
        <v>783.66269999999997</v>
      </c>
      <c r="D6718" s="2">
        <f>HYPERLINK("http://mcb-m6.bioreg.kyushu-u.ac.jp/M3/20110418/F50986/2348/1", 45.72)</f>
        <v>45.72</v>
      </c>
      <c r="E6718" s="2">
        <v>33.840000000000003</v>
      </c>
      <c r="F6718" s="2">
        <v>2</v>
      </c>
      <c r="G6718" s="2" t="s">
        <v>12</v>
      </c>
    </row>
    <row r="6719" spans="1:8" x14ac:dyDescent="0.2">
      <c r="A6719" s="2" t="s">
        <v>3487</v>
      </c>
      <c r="B6719" s="2" t="s">
        <v>2098</v>
      </c>
      <c r="C6719" s="2">
        <v>715.63459999999998</v>
      </c>
      <c r="D6719" s="2">
        <f>HYPERLINK("http://mcb-m6.bioreg.kyushu-u.ac.jp/M3/20110418/F50986/1947/1", 46.29)</f>
        <v>46.29</v>
      </c>
      <c r="E6719" s="2">
        <v>17.190000000000001</v>
      </c>
      <c r="F6719" s="2">
        <v>2</v>
      </c>
      <c r="G6719" s="2" t="s">
        <v>12</v>
      </c>
    </row>
    <row r="6720" spans="1:8" x14ac:dyDescent="0.2">
      <c r="A6720" s="2" t="s">
        <v>3487</v>
      </c>
      <c r="B6720" s="2" t="s">
        <v>315</v>
      </c>
      <c r="C6720" s="2">
        <v>538.03769999999997</v>
      </c>
      <c r="D6720" s="2">
        <f>HYPERLINK("http://mcb-m6.bioreg.kyushu-u.ac.jp/M3/20110418/F50986/1522/1", 51.98)</f>
        <v>51.98</v>
      </c>
      <c r="E6720" s="2">
        <v>25.69</v>
      </c>
      <c r="F6720" s="2">
        <v>2</v>
      </c>
      <c r="G6720" s="2" t="s">
        <v>12</v>
      </c>
    </row>
    <row r="6721" spans="1:8" x14ac:dyDescent="0.2">
      <c r="A6721" s="2" t="s">
        <v>3487</v>
      </c>
      <c r="B6721" s="2" t="s">
        <v>1024</v>
      </c>
      <c r="C6721" s="2">
        <v>784.16520000000003</v>
      </c>
      <c r="D6721" s="2">
        <f>HYPERLINK("http://mcb-m6.bioreg.kyushu-u.ac.jp/M3/20110418/F50986/2357/1", 57.54)</f>
        <v>57.54</v>
      </c>
      <c r="E6721" s="2">
        <v>38.729999999999997</v>
      </c>
      <c r="F6721" s="2">
        <v>2</v>
      </c>
      <c r="G6721" s="2" t="s">
        <v>12</v>
      </c>
    </row>
    <row r="6722" spans="1:8" x14ac:dyDescent="0.2">
      <c r="A6722" s="2" t="s">
        <v>3487</v>
      </c>
      <c r="B6722" s="2" t="s">
        <v>2762</v>
      </c>
      <c r="C6722" s="2">
        <v>908.23659999999995</v>
      </c>
      <c r="D6722" s="2">
        <f>HYPERLINK("http://mcb-m6.bioreg.kyushu-u.ac.jp/M3/20110418/F50986/2710/1", 59.3)</f>
        <v>59.3</v>
      </c>
      <c r="E6722" s="2">
        <v>50.9</v>
      </c>
      <c r="F6722" s="2">
        <v>2</v>
      </c>
      <c r="G6722" s="2" t="s">
        <v>12</v>
      </c>
    </row>
    <row r="6723" spans="1:8" x14ac:dyDescent="0.2">
      <c r="A6723" s="2" t="s">
        <v>3487</v>
      </c>
      <c r="B6723" s="2" t="s">
        <v>5455</v>
      </c>
      <c r="C6723" s="2">
        <v>983.07119999999998</v>
      </c>
      <c r="D6723" s="2">
        <f>HYPERLINK("http://mcb-m6.bioreg.kyushu-u.ac.jp/M3/20110418/F50986/2888/1", 60.36)</f>
        <v>60.36</v>
      </c>
      <c r="E6723" s="2">
        <v>49.15</v>
      </c>
      <c r="F6723" s="2">
        <v>2</v>
      </c>
      <c r="G6723" s="2" t="s">
        <v>12</v>
      </c>
    </row>
    <row r="6724" spans="1:8" x14ac:dyDescent="0.2">
      <c r="A6724" s="2" t="s">
        <v>3487</v>
      </c>
      <c r="B6724" s="2" t="s">
        <v>2012</v>
      </c>
      <c r="C6724" s="2">
        <v>658.70619999999997</v>
      </c>
      <c r="D6724" s="2">
        <f>HYPERLINK("http://mcb-m6.bioreg.kyushu-u.ac.jp/M3/20110418/F50986/1781/1", 61.04)</f>
        <v>61.04</v>
      </c>
      <c r="E6724" s="2">
        <v>38.69</v>
      </c>
      <c r="F6724" s="2">
        <v>2</v>
      </c>
      <c r="G6724" s="2" t="s">
        <v>12</v>
      </c>
    </row>
    <row r="6725" spans="1:8" x14ac:dyDescent="0.2">
      <c r="A6725" s="2" t="s">
        <v>3487</v>
      </c>
      <c r="B6725" s="2" t="s">
        <v>2012</v>
      </c>
      <c r="C6725" s="2">
        <v>659.22670000000005</v>
      </c>
      <c r="D6725" s="2">
        <f>HYPERLINK("http://mcb-m6.bioreg.kyushu-u.ac.jp/M3/20110418/F50986/1782/1", 67.45)</f>
        <v>67.45</v>
      </c>
      <c r="E6725" s="2">
        <v>44.25</v>
      </c>
      <c r="F6725" s="2">
        <v>2</v>
      </c>
      <c r="G6725" s="2" t="s">
        <v>12</v>
      </c>
    </row>
    <row r="6726" spans="1:8" x14ac:dyDescent="0.2">
      <c r="A6726" s="2" t="s">
        <v>3487</v>
      </c>
      <c r="B6726" s="2" t="s">
        <v>5409</v>
      </c>
      <c r="C6726" s="2">
        <v>777.24159999999995</v>
      </c>
      <c r="D6726" s="2">
        <f>HYPERLINK("http://mcb-m6.bioreg.kyushu-u.ac.jp/M3/20110418/F50986/2304/1", 79.28)</f>
        <v>79.28</v>
      </c>
      <c r="E6726" s="2">
        <v>68.290000000000006</v>
      </c>
      <c r="F6726" s="2">
        <v>2</v>
      </c>
      <c r="G6726" s="2" t="s">
        <v>12</v>
      </c>
      <c r="H6726" s="2" t="s">
        <v>4919</v>
      </c>
    </row>
    <row r="6727" spans="1:8" x14ac:dyDescent="0.2">
      <c r="A6727" s="2" t="s">
        <v>3487</v>
      </c>
      <c r="B6727" s="2" t="s">
        <v>1930</v>
      </c>
      <c r="C6727" s="2">
        <v>609.12710000000004</v>
      </c>
      <c r="D6727" s="2">
        <f>HYPERLINK("http://mcb-m6.bioreg.kyushu-u.ac.jp/M3/20110418/F50986/1683/1", 86.44)</f>
        <v>86.44</v>
      </c>
      <c r="E6727" s="2">
        <v>54.53</v>
      </c>
      <c r="F6727" s="2">
        <v>2</v>
      </c>
      <c r="G6727" s="2" t="s">
        <v>12</v>
      </c>
    </row>
    <row r="6728" spans="1:8" x14ac:dyDescent="0.2">
      <c r="A6728" s="2" t="s">
        <v>3487</v>
      </c>
      <c r="B6728" s="2" t="s">
        <v>2762</v>
      </c>
      <c r="C6728" s="2">
        <v>908.78560000000004</v>
      </c>
      <c r="D6728" s="2">
        <f>HYPERLINK("http://mcb-m6.bioreg.kyushu-u.ac.jp/M3/20110418/F50986/2713/1", 105.51)</f>
        <v>105.51</v>
      </c>
      <c r="E6728" s="2">
        <v>93.31</v>
      </c>
      <c r="F6728" s="2">
        <v>2</v>
      </c>
      <c r="G6728" s="2" t="s">
        <v>12</v>
      </c>
    </row>
    <row r="6729" spans="1:8" x14ac:dyDescent="0.2">
      <c r="A6729" s="2" t="s">
        <v>3487</v>
      </c>
      <c r="B6729" s="2" t="s">
        <v>1912</v>
      </c>
      <c r="C6729" s="2">
        <v>918.75959999999998</v>
      </c>
      <c r="D6729" s="2">
        <f>HYPERLINK("http://mcb-m6.bioreg.kyushu-u.ac.jp/M3/20110418/F50986/2729/1", 107.25)</f>
        <v>107.25</v>
      </c>
      <c r="E6729" s="2">
        <v>84.17</v>
      </c>
      <c r="F6729" s="2">
        <v>2</v>
      </c>
      <c r="G6729" s="2" t="s">
        <v>12</v>
      </c>
    </row>
    <row r="6730" spans="1:8" x14ac:dyDescent="0.2">
      <c r="A6730" s="2" t="s">
        <v>3487</v>
      </c>
      <c r="B6730" s="2" t="s">
        <v>1402</v>
      </c>
      <c r="C6730" s="2">
        <v>1089.818</v>
      </c>
      <c r="D6730" s="2">
        <f>HYPERLINK("http://mcb-m6.bioreg.kyushu-u.ac.jp/M3/20110418/F50986/3029/1", 114.39)</f>
        <v>114.39</v>
      </c>
      <c r="E6730" s="2">
        <v>103.43</v>
      </c>
      <c r="F6730" s="2">
        <v>2</v>
      </c>
      <c r="G6730" s="2" t="s">
        <v>12</v>
      </c>
    </row>
    <row r="6731" spans="1:8" x14ac:dyDescent="0.2">
      <c r="A6731" s="2" t="s">
        <v>3487</v>
      </c>
      <c r="B6731" s="2" t="s">
        <v>1247</v>
      </c>
      <c r="C6731" s="2">
        <v>839.23109999999997</v>
      </c>
      <c r="D6731" s="2">
        <f>HYPERLINK("http://mcb-m6.bioreg.kyushu-u.ac.jp/M3/20110418/F50986/2530/1", 115.65)</f>
        <v>115.65</v>
      </c>
      <c r="E6731" s="2">
        <v>86.9</v>
      </c>
      <c r="F6731" s="2">
        <v>2</v>
      </c>
      <c r="G6731" s="2" t="s">
        <v>12</v>
      </c>
    </row>
    <row r="6732" spans="1:8" x14ac:dyDescent="0.2">
      <c r="A6732" s="2" t="s">
        <v>3487</v>
      </c>
      <c r="B6732" s="2" t="s">
        <v>1402</v>
      </c>
      <c r="C6732" s="2">
        <v>1089.2439999999999</v>
      </c>
      <c r="D6732" s="2">
        <f>HYPERLINK("http://mcb-m6.bioreg.kyushu-u.ac.jp/M3/20110418/F50986/3028/1", 124.98)</f>
        <v>124.98</v>
      </c>
      <c r="E6732" s="2">
        <v>103.13</v>
      </c>
      <c r="F6732" s="2">
        <v>2</v>
      </c>
      <c r="G6732" s="2" t="s">
        <v>12</v>
      </c>
    </row>
    <row r="6733" spans="1:8" x14ac:dyDescent="0.2">
      <c r="A6733" s="2" t="s">
        <v>3487</v>
      </c>
      <c r="B6733" s="2" t="s">
        <v>2110</v>
      </c>
      <c r="C6733" s="2">
        <v>630.26580000000001</v>
      </c>
      <c r="D6733" s="2">
        <f>HYPERLINK("http://mcb-m6.bioreg.kyushu-u.ac.jp/M3/20110429/F51153/3295/1", 39.38)</f>
        <v>39.380000000000003</v>
      </c>
      <c r="E6733" s="2">
        <v>22.94</v>
      </c>
      <c r="F6733" s="2">
        <v>3</v>
      </c>
      <c r="G6733" s="2" t="s">
        <v>13</v>
      </c>
    </row>
    <row r="6734" spans="1:8" x14ac:dyDescent="0.2">
      <c r="A6734" s="2" t="s">
        <v>3487</v>
      </c>
      <c r="B6734" s="2" t="s">
        <v>1064</v>
      </c>
      <c r="C6734" s="2">
        <v>596.28420000000006</v>
      </c>
      <c r="D6734" s="2">
        <f>HYPERLINK("http://mcb-m6.bioreg.kyushu-u.ac.jp/M3/20110429/F51153/1144/1", 45.87)</f>
        <v>45.87</v>
      </c>
      <c r="E6734" s="2">
        <v>26.02</v>
      </c>
      <c r="F6734" s="2">
        <v>2</v>
      </c>
      <c r="G6734" s="2" t="s">
        <v>13</v>
      </c>
    </row>
    <row r="6735" spans="1:8" x14ac:dyDescent="0.2">
      <c r="A6735" s="2" t="s">
        <v>3487</v>
      </c>
      <c r="B6735" s="2" t="s">
        <v>315</v>
      </c>
      <c r="C6735" s="2">
        <v>537.67269999999996</v>
      </c>
      <c r="D6735" s="2">
        <f>HYPERLINK("http://mcb-m6.bioreg.kyushu-u.ac.jp/M3/20110429/F51153/816/1", 53.31)</f>
        <v>53.31</v>
      </c>
      <c r="E6735" s="2">
        <v>29</v>
      </c>
      <c r="F6735" s="2">
        <v>2</v>
      </c>
      <c r="G6735" s="2" t="s">
        <v>13</v>
      </c>
    </row>
    <row r="6736" spans="1:8" x14ac:dyDescent="0.2">
      <c r="A6736" s="2" t="s">
        <v>3487</v>
      </c>
      <c r="B6736" s="2" t="s">
        <v>2012</v>
      </c>
      <c r="C6736" s="2">
        <v>658.74659999999994</v>
      </c>
      <c r="D6736" s="2">
        <f>HYPERLINK("http://mcb-m6.bioreg.kyushu-u.ac.jp/M3/20110429/F51153/1423/1", 64.62)</f>
        <v>64.62</v>
      </c>
      <c r="E6736" s="2">
        <v>39.06</v>
      </c>
      <c r="F6736" s="2">
        <v>2</v>
      </c>
      <c r="G6736" s="2" t="s">
        <v>13</v>
      </c>
    </row>
    <row r="6737" spans="1:8" x14ac:dyDescent="0.2">
      <c r="A6737" s="2" t="s">
        <v>3487</v>
      </c>
      <c r="B6737" s="2" t="s">
        <v>2098</v>
      </c>
      <c r="C6737" s="2">
        <v>715.79269999999997</v>
      </c>
      <c r="D6737" s="2">
        <f>HYPERLINK("http://mcb-m6.bioreg.kyushu-u.ac.jp/M3/20110429/F51153/1782/1", 72.59)</f>
        <v>72.59</v>
      </c>
      <c r="E6737" s="2">
        <v>41.56</v>
      </c>
      <c r="F6737" s="2">
        <v>2</v>
      </c>
      <c r="G6737" s="2" t="s">
        <v>13</v>
      </c>
    </row>
    <row r="6738" spans="1:8" x14ac:dyDescent="0.2">
      <c r="A6738" s="2" t="s">
        <v>3487</v>
      </c>
      <c r="B6738" s="2" t="s">
        <v>2149</v>
      </c>
      <c r="C6738" s="2">
        <v>794.85609999999997</v>
      </c>
      <c r="D6738" s="2">
        <f>HYPERLINK("http://mcb-m6.bioreg.kyushu-u.ac.jp/M3/20110429/F51153/2413/1", 73.14)</f>
        <v>73.14</v>
      </c>
      <c r="E6738" s="2">
        <v>60.9</v>
      </c>
      <c r="F6738" s="2">
        <v>2</v>
      </c>
      <c r="G6738" s="2" t="s">
        <v>13</v>
      </c>
    </row>
    <row r="6739" spans="1:8" x14ac:dyDescent="0.2">
      <c r="A6739" s="2" t="s">
        <v>3487</v>
      </c>
      <c r="B6739" s="2" t="s">
        <v>1912</v>
      </c>
      <c r="C6739" s="2">
        <v>919.03060000000005</v>
      </c>
      <c r="D6739" s="2">
        <f>HYPERLINK("http://mcb-m6.bioreg.kyushu-u.ac.jp/M3/20110429/F51153/3179/1", 82.81)</f>
        <v>82.81</v>
      </c>
      <c r="E6739" s="2">
        <v>69.37</v>
      </c>
      <c r="F6739" s="2">
        <v>2</v>
      </c>
      <c r="G6739" s="2" t="s">
        <v>13</v>
      </c>
    </row>
    <row r="6740" spans="1:8" x14ac:dyDescent="0.2">
      <c r="A6740" s="2" t="s">
        <v>3487</v>
      </c>
      <c r="B6740" s="2" t="s">
        <v>971</v>
      </c>
      <c r="C6740" s="2">
        <v>917.6327</v>
      </c>
      <c r="D6740" s="2">
        <f>HYPERLINK("http://mcb-m6.bioreg.kyushu-u.ac.jp/M3/20110429/F51153/3167/1", 85.45)</f>
        <v>85.45</v>
      </c>
      <c r="E6740" s="2">
        <v>67.42</v>
      </c>
      <c r="F6740" s="2">
        <v>2</v>
      </c>
      <c r="G6740" s="2" t="s">
        <v>13</v>
      </c>
    </row>
    <row r="6741" spans="1:8" x14ac:dyDescent="0.2">
      <c r="A6741" s="2" t="s">
        <v>3487</v>
      </c>
      <c r="B6741" s="2" t="s">
        <v>5558</v>
      </c>
      <c r="C6741" s="2">
        <v>731.24270000000001</v>
      </c>
      <c r="D6741" s="2">
        <f>HYPERLINK("http://mcb-m6.bioreg.kyushu-u.ac.jp/M3/20110429/F51153/1880/1", 92.54)</f>
        <v>92.54</v>
      </c>
      <c r="E6741" s="2">
        <v>55.75</v>
      </c>
      <c r="F6741" s="2">
        <v>2</v>
      </c>
      <c r="G6741" s="2" t="s">
        <v>13</v>
      </c>
    </row>
    <row r="6742" spans="1:8" x14ac:dyDescent="0.2">
      <c r="A6742" s="2" t="s">
        <v>3487</v>
      </c>
      <c r="B6742" s="2" t="s">
        <v>2149</v>
      </c>
      <c r="C6742" s="2">
        <v>795.5077</v>
      </c>
      <c r="D6742" s="2">
        <f>HYPERLINK("http://mcb-m6.bioreg.kyushu-u.ac.jp/M3/20110429/F51153/2421/1", 100.33)</f>
        <v>100.33</v>
      </c>
      <c r="E6742" s="2">
        <v>82.11</v>
      </c>
      <c r="F6742" s="2">
        <v>2</v>
      </c>
      <c r="G6742" s="2" t="s">
        <v>13</v>
      </c>
    </row>
    <row r="6743" spans="1:8" x14ac:dyDescent="0.2">
      <c r="A6743" s="2" t="s">
        <v>3487</v>
      </c>
      <c r="B6743" s="2" t="s">
        <v>1402</v>
      </c>
      <c r="C6743" s="2">
        <v>1089.4110000000001</v>
      </c>
      <c r="D6743" s="2">
        <f>HYPERLINK("http://mcb-m6.bioreg.kyushu-u.ac.jp/M3/20110429/F51153/3784/1", 102.84)</f>
        <v>102.84</v>
      </c>
      <c r="E6743" s="2">
        <v>89.72</v>
      </c>
      <c r="F6743" s="2">
        <v>2</v>
      </c>
      <c r="G6743" s="2" t="s">
        <v>13</v>
      </c>
    </row>
    <row r="6744" spans="1:8" x14ac:dyDescent="0.2">
      <c r="A6744" s="2" t="s">
        <v>3487</v>
      </c>
      <c r="B6744" s="2" t="s">
        <v>1247</v>
      </c>
      <c r="C6744" s="2">
        <v>839.31619999999998</v>
      </c>
      <c r="D6744" s="2">
        <f>HYPERLINK("http://mcb-m6.bioreg.kyushu-u.ac.jp/M3/20110429/F51153/2719/1", 103.14)</f>
        <v>103.14</v>
      </c>
      <c r="E6744" s="2">
        <v>81.760000000000005</v>
      </c>
      <c r="F6744" s="2">
        <v>2</v>
      </c>
      <c r="G6744" s="2" t="s">
        <v>13</v>
      </c>
    </row>
    <row r="6745" spans="1:8" x14ac:dyDescent="0.2">
      <c r="A6745" s="2" t="s">
        <v>3487</v>
      </c>
      <c r="B6745" s="2" t="s">
        <v>2148</v>
      </c>
      <c r="C6745" s="2">
        <v>1075.3610000000001</v>
      </c>
      <c r="D6745" s="2">
        <f>HYPERLINK("http://mcb-m6.bioreg.kyushu-u.ac.jp/M3/20110429/F51153/3743/1", 113.9)</f>
        <v>113.9</v>
      </c>
      <c r="E6745" s="2">
        <v>98.53</v>
      </c>
      <c r="F6745" s="2">
        <v>2</v>
      </c>
      <c r="G6745" s="2" t="s">
        <v>13</v>
      </c>
    </row>
    <row r="6746" spans="1:8" x14ac:dyDescent="0.2">
      <c r="A6746" s="2" t="s">
        <v>3487</v>
      </c>
      <c r="B6746" s="2" t="s">
        <v>2762</v>
      </c>
      <c r="C6746" s="2">
        <v>908.45169999999996</v>
      </c>
      <c r="D6746" s="2">
        <f>HYPERLINK("http://mcb-m6.bioreg.kyushu-u.ac.jp/M3/20110502/F51163/2607/1", 121.17)</f>
        <v>121.17</v>
      </c>
      <c r="E6746" s="2">
        <v>109.62</v>
      </c>
      <c r="F6746" s="2">
        <v>2</v>
      </c>
      <c r="G6746" s="2" t="s">
        <v>13</v>
      </c>
    </row>
    <row r="6747" spans="1:8" x14ac:dyDescent="0.2">
      <c r="A6747" s="2" t="s">
        <v>3487</v>
      </c>
      <c r="B6747" s="2" t="s">
        <v>1024</v>
      </c>
      <c r="C6747" s="2">
        <v>783.94569999999999</v>
      </c>
      <c r="D6747" s="2">
        <f>HYPERLINK("http://mcb-m6.bioreg.kyushu-u.ac.jp/M3/20110428/F51142/2364/1", 35.82)</f>
        <v>35.82</v>
      </c>
      <c r="E6747" s="2">
        <v>22.37</v>
      </c>
      <c r="F6747" s="2">
        <v>2</v>
      </c>
      <c r="G6747" s="2" t="s">
        <v>14</v>
      </c>
    </row>
    <row r="6748" spans="1:8" x14ac:dyDescent="0.2">
      <c r="A6748" s="2" t="s">
        <v>3487</v>
      </c>
      <c r="B6748" s="2" t="s">
        <v>5409</v>
      </c>
      <c r="C6748" s="2">
        <v>777.48360000000002</v>
      </c>
      <c r="D6748" s="2">
        <f>HYPERLINK("http://mcb-m6.bioreg.kyushu-u.ac.jp/M3/20110428/F51142/2306/1", 37.7)</f>
        <v>37.700000000000003</v>
      </c>
      <c r="E6748" s="2">
        <v>23.9</v>
      </c>
      <c r="F6748" s="2">
        <v>2</v>
      </c>
      <c r="G6748" s="2" t="s">
        <v>14</v>
      </c>
      <c r="H6748" s="2" t="s">
        <v>4919</v>
      </c>
    </row>
    <row r="6749" spans="1:8" x14ac:dyDescent="0.2">
      <c r="A6749" s="2" t="s">
        <v>3487</v>
      </c>
      <c r="B6749" s="2" t="s">
        <v>1912</v>
      </c>
      <c r="C6749" s="2">
        <v>918.89120000000003</v>
      </c>
      <c r="D6749" s="2">
        <f>HYPERLINK("http://mcb-m6.bioreg.kyushu-u.ac.jp/M3/20110428/F51142/3142/1", 46.88)</f>
        <v>46.88</v>
      </c>
      <c r="E6749" s="2">
        <v>35.83</v>
      </c>
      <c r="F6749" s="2">
        <v>2</v>
      </c>
      <c r="G6749" s="2" t="s">
        <v>14</v>
      </c>
    </row>
    <row r="6750" spans="1:8" x14ac:dyDescent="0.2">
      <c r="A6750" s="2" t="s">
        <v>3487</v>
      </c>
      <c r="B6750" s="2" t="s">
        <v>1064</v>
      </c>
      <c r="C6750" s="2">
        <v>596.67169999999999</v>
      </c>
      <c r="D6750" s="2">
        <f>HYPERLINK("http://mcb-m6.bioreg.kyushu-u.ac.jp/M3/20110428/F51142/1363/1", 52.53)</f>
        <v>52.53</v>
      </c>
      <c r="E6750" s="2">
        <v>35.06</v>
      </c>
      <c r="F6750" s="2">
        <v>2</v>
      </c>
      <c r="G6750" s="2" t="s">
        <v>14</v>
      </c>
    </row>
    <row r="6751" spans="1:8" x14ac:dyDescent="0.2">
      <c r="A6751" s="2" t="s">
        <v>3487</v>
      </c>
      <c r="B6751" s="2" t="s">
        <v>2012</v>
      </c>
      <c r="C6751" s="2">
        <v>658.86069999999995</v>
      </c>
      <c r="D6751" s="2">
        <f>HYPERLINK("http://mcb-m6.bioreg.kyushu-u.ac.jp/M3/20110428/F51142/1604/1", 73.41)</f>
        <v>73.41</v>
      </c>
      <c r="E6751" s="2">
        <v>47.13</v>
      </c>
      <c r="F6751" s="2">
        <v>2</v>
      </c>
      <c r="G6751" s="2" t="s">
        <v>14</v>
      </c>
    </row>
    <row r="6752" spans="1:8" x14ac:dyDescent="0.2">
      <c r="A6752" s="2" t="s">
        <v>3487</v>
      </c>
      <c r="B6752" s="2" t="s">
        <v>2098</v>
      </c>
      <c r="C6752" s="2">
        <v>715.9941</v>
      </c>
      <c r="D6752" s="2">
        <f>HYPERLINK("http://mcb-m6.bioreg.kyushu-u.ac.jp/M3/20110428/F51142/1900/1", 76.52)</f>
        <v>76.52</v>
      </c>
      <c r="E6752" s="2">
        <v>44.91</v>
      </c>
      <c r="F6752" s="2">
        <v>2</v>
      </c>
      <c r="G6752" s="2" t="s">
        <v>14</v>
      </c>
    </row>
    <row r="6753" spans="1:8" x14ac:dyDescent="0.2">
      <c r="A6753" s="2" t="s">
        <v>3487</v>
      </c>
      <c r="B6753" s="2" t="s">
        <v>2095</v>
      </c>
      <c r="C6753" s="2">
        <v>968.09169999999995</v>
      </c>
      <c r="D6753" s="2">
        <f>HYPERLINK("http://mcb-m6.bioreg.kyushu-u.ac.jp/M3/20110428/F51142/3297/1", 79.16)</f>
        <v>79.16</v>
      </c>
      <c r="E6753" s="2">
        <v>70.349999999999994</v>
      </c>
      <c r="F6753" s="2">
        <v>2</v>
      </c>
      <c r="G6753" s="2" t="s">
        <v>14</v>
      </c>
    </row>
    <row r="6754" spans="1:8" x14ac:dyDescent="0.2">
      <c r="A6754" s="2" t="s">
        <v>3487</v>
      </c>
      <c r="B6754" s="2" t="s">
        <v>1247</v>
      </c>
      <c r="C6754" s="2">
        <v>839.47310000000004</v>
      </c>
      <c r="D6754" s="2">
        <f>HYPERLINK("http://mcb-m6.bioreg.kyushu-u.ac.jp/M3/20110428/F51142/2734/1", 81.75)</f>
        <v>81.75</v>
      </c>
      <c r="E6754" s="2">
        <v>57.96</v>
      </c>
      <c r="F6754" s="2">
        <v>2</v>
      </c>
      <c r="G6754" s="2" t="s">
        <v>14</v>
      </c>
    </row>
    <row r="6755" spans="1:8" x14ac:dyDescent="0.2">
      <c r="A6755" s="2" t="s">
        <v>3744</v>
      </c>
      <c r="B6755" s="2" t="s">
        <v>748</v>
      </c>
      <c r="C6755" s="2">
        <v>625.87819999999999</v>
      </c>
      <c r="D6755" s="2">
        <f>HYPERLINK("http://mcb-m6.bioreg.kyushu-u.ac.jp/M3/20110318/F50598/1299/1", 43.08)</f>
        <v>43.08</v>
      </c>
      <c r="E6755" s="2">
        <v>28.24</v>
      </c>
      <c r="F6755" s="2">
        <v>2</v>
      </c>
      <c r="G6755" s="2" t="s">
        <v>10</v>
      </c>
    </row>
    <row r="6756" spans="1:8" x14ac:dyDescent="0.2">
      <c r="A6756" s="2" t="s">
        <v>3400</v>
      </c>
      <c r="B6756" s="2" t="s">
        <v>1857</v>
      </c>
      <c r="C6756" s="2">
        <v>616.41819999999996</v>
      </c>
      <c r="D6756" s="2">
        <f>HYPERLINK("http://mcb-m6.bioreg.kyushu-u.ac.jp/M3/20110318/F50615/1118/1", 45.51)</f>
        <v>45.51</v>
      </c>
      <c r="E6756" s="2">
        <v>24.62</v>
      </c>
      <c r="F6756" s="2">
        <v>2</v>
      </c>
      <c r="G6756" s="2" t="s">
        <v>10</v>
      </c>
    </row>
    <row r="6757" spans="1:8" x14ac:dyDescent="0.2">
      <c r="A6757" s="2" t="s">
        <v>3400</v>
      </c>
      <c r="B6757" s="2" t="s">
        <v>1857</v>
      </c>
      <c r="C6757" s="2">
        <v>616.35220000000004</v>
      </c>
      <c r="D6757" s="2">
        <f>HYPERLINK("http://mcb-m6.bioreg.kyushu-u.ac.jp/M3/20110418/F50975/1324/1", 53.75)</f>
        <v>53.75</v>
      </c>
      <c r="E6757" s="2">
        <v>37.619999999999997</v>
      </c>
      <c r="F6757" s="2">
        <v>2</v>
      </c>
      <c r="G6757" s="2" t="s">
        <v>11</v>
      </c>
    </row>
    <row r="6758" spans="1:8" x14ac:dyDescent="0.2">
      <c r="A6758" s="2" t="s">
        <v>3400</v>
      </c>
      <c r="B6758" s="2" t="s">
        <v>1857</v>
      </c>
      <c r="C6758" s="2">
        <v>616.51260000000002</v>
      </c>
      <c r="D6758" s="2">
        <f>HYPERLINK("http://mcb-m6.bioreg.kyushu-u.ac.jp/M3/20110502/F51158/1304/1", 36.46)</f>
        <v>36.46</v>
      </c>
      <c r="E6758" s="2">
        <v>20.72</v>
      </c>
      <c r="F6758" s="2">
        <v>2</v>
      </c>
      <c r="G6758" s="2" t="s">
        <v>13</v>
      </c>
    </row>
    <row r="6759" spans="1:8" x14ac:dyDescent="0.2">
      <c r="A6759" s="2" t="s">
        <v>3400</v>
      </c>
      <c r="B6759" s="2" t="s">
        <v>1857</v>
      </c>
      <c r="C6759" s="2">
        <v>616.40120000000002</v>
      </c>
      <c r="D6759" s="2">
        <f>HYPERLINK("http://mcb-m6.bioreg.kyushu-u.ac.jp/M3/20110428/F51141/1240/1", 48.55)</f>
        <v>48.55</v>
      </c>
      <c r="E6759" s="2">
        <v>27.29</v>
      </c>
      <c r="F6759" s="2">
        <v>2</v>
      </c>
      <c r="G6759" s="2" t="s">
        <v>14</v>
      </c>
    </row>
    <row r="6760" spans="1:8" x14ac:dyDescent="0.2">
      <c r="A6760" s="2" t="s">
        <v>3800</v>
      </c>
      <c r="B6760" s="2" t="s">
        <v>851</v>
      </c>
      <c r="C6760" s="2">
        <v>938.82619999999997</v>
      </c>
      <c r="D6760" s="2">
        <f>HYPERLINK("http://mcb-m6.bioreg.kyushu-u.ac.jp/M3/20110418/F50975/3146/1", 53.36)</f>
        <v>53.36</v>
      </c>
      <c r="E6760" s="2">
        <v>36.15</v>
      </c>
      <c r="F6760" s="2">
        <v>2</v>
      </c>
      <c r="G6760" s="2" t="s">
        <v>11</v>
      </c>
      <c r="H6760" s="2" t="s">
        <v>4938</v>
      </c>
    </row>
    <row r="6761" spans="1:8" x14ac:dyDescent="0.2">
      <c r="A6761" s="2" t="s">
        <v>3800</v>
      </c>
      <c r="B6761" s="2" t="s">
        <v>851</v>
      </c>
      <c r="C6761" s="2">
        <v>930.81269999999995</v>
      </c>
      <c r="D6761" s="2">
        <f>HYPERLINK("http://mcb-m6.bioreg.kyushu-u.ac.jp/M3/20110418/F50975/3119/1", 54.57)</f>
        <v>54.57</v>
      </c>
      <c r="E6761" s="2">
        <v>37.01</v>
      </c>
      <c r="F6761" s="2">
        <v>2</v>
      </c>
      <c r="G6761" s="2" t="s">
        <v>11</v>
      </c>
    </row>
    <row r="6762" spans="1:8" x14ac:dyDescent="0.2">
      <c r="A6762" s="2" t="s">
        <v>3876</v>
      </c>
      <c r="B6762" s="2" t="s">
        <v>1616</v>
      </c>
      <c r="C6762" s="2">
        <v>809.69709999999998</v>
      </c>
      <c r="D6762" s="2">
        <f>HYPERLINK("http://mcb-m6.bioreg.kyushu-u.ac.jp/M3/20110318/F50608/1790/1", 114.36)</f>
        <v>114.36</v>
      </c>
      <c r="E6762" s="2">
        <v>102.81</v>
      </c>
      <c r="F6762" s="2">
        <v>2</v>
      </c>
      <c r="G6762" s="2" t="s">
        <v>9</v>
      </c>
    </row>
    <row r="6763" spans="1:8" x14ac:dyDescent="0.2">
      <c r="A6763" s="2" t="s">
        <v>3876</v>
      </c>
      <c r="B6763" s="2" t="s">
        <v>1616</v>
      </c>
      <c r="C6763" s="2">
        <v>809.83169999999996</v>
      </c>
      <c r="D6763" s="2">
        <f>HYPERLINK("http://mcb-m6.bioreg.kyushu-u.ac.jp/M3/20110318/F50599/1938/1", 112.78)</f>
        <v>112.78</v>
      </c>
      <c r="E6763" s="2">
        <v>102.29</v>
      </c>
      <c r="F6763" s="2">
        <v>2</v>
      </c>
      <c r="G6763" s="2" t="s">
        <v>10</v>
      </c>
    </row>
    <row r="6764" spans="1:8" x14ac:dyDescent="0.2">
      <c r="A6764" s="2" t="s">
        <v>3876</v>
      </c>
      <c r="B6764" s="2" t="s">
        <v>1005</v>
      </c>
      <c r="C6764" s="2">
        <v>674.15219999999999</v>
      </c>
      <c r="D6764" s="2">
        <f>HYPERLINK("http://mcb-m6.bioreg.kyushu-u.ac.jp/M3/20110429/F51151/1834/1", 79.57)</f>
        <v>79.569999999999993</v>
      </c>
      <c r="E6764" s="2">
        <v>60.63</v>
      </c>
      <c r="F6764" s="2">
        <v>2</v>
      </c>
      <c r="G6764" s="2" t="s">
        <v>13</v>
      </c>
    </row>
    <row r="6765" spans="1:8" x14ac:dyDescent="0.2">
      <c r="A6765" s="2" t="s">
        <v>3876</v>
      </c>
      <c r="B6765" s="2" t="s">
        <v>2518</v>
      </c>
      <c r="C6765" s="2">
        <v>857.2432</v>
      </c>
      <c r="D6765" s="2">
        <f>HYPERLINK("http://mcb-m6.bioreg.kyushu-u.ac.jp/M3/20110429/F51151/2607/1", 109.53)</f>
        <v>109.53</v>
      </c>
      <c r="E6765" s="2">
        <v>92.01</v>
      </c>
      <c r="F6765" s="2">
        <v>2</v>
      </c>
      <c r="G6765" s="2" t="s">
        <v>13</v>
      </c>
    </row>
    <row r="6766" spans="1:8" x14ac:dyDescent="0.2">
      <c r="A6766" s="2" t="s">
        <v>3876</v>
      </c>
      <c r="B6766" s="2" t="s">
        <v>1005</v>
      </c>
      <c r="C6766" s="2">
        <v>674.27170000000001</v>
      </c>
      <c r="D6766" s="2">
        <f>HYPERLINK("http://mcb-m6.bioreg.kyushu-u.ac.jp/M3/20110428/F51139/1899/1", 58.26)</f>
        <v>58.26</v>
      </c>
      <c r="E6766" s="2">
        <v>23.26</v>
      </c>
      <c r="F6766" s="2">
        <v>2</v>
      </c>
      <c r="G6766" s="2" t="s">
        <v>14</v>
      </c>
    </row>
    <row r="6767" spans="1:8" x14ac:dyDescent="0.2">
      <c r="A6767" s="2" t="s">
        <v>4286</v>
      </c>
      <c r="B6767" s="2" t="s">
        <v>1973</v>
      </c>
      <c r="C6767" s="2">
        <v>665.90769999999998</v>
      </c>
      <c r="D6767" s="2">
        <f>HYPERLINK("http://mcb-m6.bioreg.kyushu-u.ac.jp/M3/20110318/F50597/1315/1", 72.6)</f>
        <v>72.599999999999994</v>
      </c>
      <c r="E6767" s="2">
        <v>54.04</v>
      </c>
      <c r="F6767" s="2">
        <v>2</v>
      </c>
      <c r="G6767" s="2" t="s">
        <v>10</v>
      </c>
    </row>
    <row r="6768" spans="1:8" x14ac:dyDescent="0.2">
      <c r="A6768" s="2" t="s">
        <v>4286</v>
      </c>
      <c r="B6768" s="2" t="s">
        <v>1973</v>
      </c>
      <c r="C6768" s="2">
        <v>665.85569999999996</v>
      </c>
      <c r="D6768" s="2">
        <f>HYPERLINK("http://mcb-m6.bioreg.kyushu-u.ac.jp/M3/20110502/F51158/1489/1", 72.77)</f>
        <v>72.77</v>
      </c>
      <c r="E6768" s="2">
        <v>51.26</v>
      </c>
      <c r="F6768" s="2">
        <v>2</v>
      </c>
      <c r="G6768" s="2" t="s">
        <v>13</v>
      </c>
    </row>
    <row r="6769" spans="1:9" x14ac:dyDescent="0.2">
      <c r="A6769" s="2" t="s">
        <v>3405</v>
      </c>
      <c r="B6769" s="2" t="s">
        <v>5282</v>
      </c>
      <c r="C6769" s="2">
        <v>681.23320000000001</v>
      </c>
      <c r="D6769" s="2">
        <f>HYPERLINK("http://mcb-m6.bioreg.kyushu-u.ac.jp/M3/20110318/F50597/2550/1", 46.91)</f>
        <v>46.91</v>
      </c>
      <c r="E6769" s="2">
        <v>21.62</v>
      </c>
      <c r="F6769" s="2">
        <v>3</v>
      </c>
      <c r="G6769" s="2" t="s">
        <v>10</v>
      </c>
    </row>
    <row r="6770" spans="1:9" x14ac:dyDescent="0.2">
      <c r="A6770" s="2" t="s">
        <v>3405</v>
      </c>
      <c r="B6770" s="2" t="s">
        <v>1466</v>
      </c>
      <c r="C6770" s="2">
        <v>828.97969999999998</v>
      </c>
      <c r="D6770" s="2">
        <f>HYPERLINK("http://mcb-m6.bioreg.kyushu-u.ac.jp/M3/20110318/F50597/1955/1", 71.29)</f>
        <v>71.290000000000006</v>
      </c>
      <c r="E6770" s="2">
        <v>58.25</v>
      </c>
      <c r="F6770" s="2">
        <v>2</v>
      </c>
      <c r="G6770" s="2" t="s">
        <v>10</v>
      </c>
    </row>
    <row r="6771" spans="1:9" x14ac:dyDescent="0.2">
      <c r="A6771" s="2" t="s">
        <v>3405</v>
      </c>
      <c r="B6771" s="2" t="s">
        <v>2124</v>
      </c>
      <c r="C6771" s="2">
        <v>752.47860000000003</v>
      </c>
      <c r="D6771" s="2">
        <f>HYPERLINK("http://mcb-m6.bioreg.kyushu-u.ac.jp/M3/20110318/F50597/1658/1", 85.67)</f>
        <v>85.67</v>
      </c>
      <c r="E6771" s="2">
        <v>67.17</v>
      </c>
      <c r="F6771" s="2">
        <v>2</v>
      </c>
      <c r="G6771" s="2" t="s">
        <v>10</v>
      </c>
    </row>
    <row r="6772" spans="1:9" x14ac:dyDescent="0.2">
      <c r="A6772" s="2" t="s">
        <v>4071</v>
      </c>
      <c r="B6772" s="2" t="s">
        <v>1457</v>
      </c>
      <c r="C6772" s="2">
        <v>829.27970000000005</v>
      </c>
      <c r="D6772" s="2">
        <f>HYPERLINK("http://mcb-m6.bioreg.kyushu-u.ac.jp/M3/20110429/F51153/2664/1", 77.89)</f>
        <v>77.89</v>
      </c>
      <c r="E6772" s="2">
        <v>58.96</v>
      </c>
      <c r="F6772" s="2">
        <v>2</v>
      </c>
      <c r="G6772" s="2" t="s">
        <v>13</v>
      </c>
      <c r="I6772" s="2" t="s">
        <v>4914</v>
      </c>
    </row>
    <row r="6773" spans="1:9" x14ac:dyDescent="0.2">
      <c r="A6773" s="2" t="s">
        <v>3865</v>
      </c>
      <c r="B6773" s="2" t="s">
        <v>1988</v>
      </c>
      <c r="C6773" s="2">
        <v>482.32010000000002</v>
      </c>
      <c r="D6773" s="2">
        <f>HYPERLINK("http://mcb-m6.bioreg.kyushu-u.ac.jp/M3/20110318/F50613/852/1", 36.82)</f>
        <v>36.82</v>
      </c>
      <c r="E6773" s="2">
        <v>8.02</v>
      </c>
      <c r="F6773" s="2">
        <v>2</v>
      </c>
      <c r="G6773" s="2" t="s">
        <v>10</v>
      </c>
    </row>
    <row r="6774" spans="1:9" x14ac:dyDescent="0.2">
      <c r="A6774" s="2" t="s">
        <v>3666</v>
      </c>
      <c r="B6774" s="2" t="s">
        <v>5119</v>
      </c>
      <c r="C6774" s="2">
        <v>488.47609999999997</v>
      </c>
      <c r="D6774" s="2">
        <f>HYPERLINK("http://mcb-m6.bioreg.kyushu-u.ac.jp/M3/20110318/F50603/951/1", 61.34)</f>
        <v>61.34</v>
      </c>
      <c r="E6774" s="2">
        <v>39.9</v>
      </c>
      <c r="F6774" s="2">
        <v>2</v>
      </c>
      <c r="G6774" s="2" t="s">
        <v>9</v>
      </c>
    </row>
    <row r="6775" spans="1:9" x14ac:dyDescent="0.2">
      <c r="A6775" s="2" t="s">
        <v>3666</v>
      </c>
      <c r="B6775" s="2" t="s">
        <v>5407</v>
      </c>
      <c r="C6775" s="2">
        <v>611.86220000000003</v>
      </c>
      <c r="D6775" s="2">
        <f>HYPERLINK("http://mcb-m6.bioreg.kyushu-u.ac.jp/M3/20110418/F50978/1487/1", 54.56)</f>
        <v>54.56</v>
      </c>
      <c r="E6775" s="2">
        <v>36.4</v>
      </c>
      <c r="F6775" s="2">
        <v>2</v>
      </c>
      <c r="G6775" s="2" t="s">
        <v>11</v>
      </c>
    </row>
    <row r="6776" spans="1:9" x14ac:dyDescent="0.2">
      <c r="A6776" s="2" t="s">
        <v>3692</v>
      </c>
      <c r="B6776" s="2" t="s">
        <v>2538</v>
      </c>
      <c r="C6776" s="2">
        <v>655.72810000000004</v>
      </c>
      <c r="D6776" s="2">
        <f>HYPERLINK("http://mcb-m6.bioreg.kyushu-u.ac.jp/M3/20110418/F50975/1498/1", 65.5)</f>
        <v>65.5</v>
      </c>
      <c r="E6776" s="2">
        <v>45.29</v>
      </c>
      <c r="F6776" s="2">
        <v>2</v>
      </c>
      <c r="G6776" s="2" t="s">
        <v>11</v>
      </c>
    </row>
    <row r="6777" spans="1:9" x14ac:dyDescent="0.2">
      <c r="A6777" s="2" t="s">
        <v>3709</v>
      </c>
      <c r="B6777" s="2" t="s">
        <v>1883</v>
      </c>
      <c r="C6777" s="2">
        <v>666.22860000000003</v>
      </c>
      <c r="D6777" s="2">
        <f>HYPERLINK("http://mcb-m6.bioreg.kyushu-u.ac.jp/M3/20110418/F50996/1718/1", 79.49)</f>
        <v>79.489999999999995</v>
      </c>
      <c r="E6777" s="2">
        <v>67.900000000000006</v>
      </c>
      <c r="F6777" s="2">
        <v>2</v>
      </c>
      <c r="G6777" s="2" t="s">
        <v>11</v>
      </c>
    </row>
    <row r="6778" spans="1:9" x14ac:dyDescent="0.2">
      <c r="A6778" s="2" t="s">
        <v>3709</v>
      </c>
      <c r="B6778" s="2" t="s">
        <v>693</v>
      </c>
      <c r="C6778" s="2">
        <v>622.24959999999999</v>
      </c>
      <c r="D6778" s="2">
        <f>HYPERLINK("http://mcb-m6.bioreg.kyushu-u.ac.jp/M3/20110429/F51157/1172/1", 63.2)</f>
        <v>63.2</v>
      </c>
      <c r="E6778" s="2">
        <v>38.81</v>
      </c>
      <c r="F6778" s="2">
        <v>2</v>
      </c>
      <c r="G6778" s="2" t="s">
        <v>13</v>
      </c>
    </row>
    <row r="6779" spans="1:9" x14ac:dyDescent="0.2">
      <c r="A6779" s="2" t="s">
        <v>4881</v>
      </c>
      <c r="B6779" s="2" t="s">
        <v>5291</v>
      </c>
      <c r="C6779" s="2">
        <v>741.86410000000001</v>
      </c>
      <c r="D6779" s="2">
        <f>HYPERLINK("http://mcb-m6.bioreg.kyushu-u.ac.jp/M3/20110318/F50611/1668/1", 48.99)</f>
        <v>48.99</v>
      </c>
      <c r="E6779" s="2">
        <v>13.55</v>
      </c>
      <c r="F6779" s="2">
        <v>2</v>
      </c>
      <c r="G6779" s="2" t="s">
        <v>10</v>
      </c>
      <c r="I6779" s="2" t="s">
        <v>4892</v>
      </c>
    </row>
    <row r="6780" spans="1:9" x14ac:dyDescent="0.2">
      <c r="A6780" s="2" t="s">
        <v>3273</v>
      </c>
      <c r="B6780" s="2" t="s">
        <v>53</v>
      </c>
      <c r="C6780" s="2">
        <v>692.27809999999999</v>
      </c>
      <c r="D6780" s="2">
        <f>HYPERLINK("http://mcb-m6.bioreg.kyushu-u.ac.jp/M3/20110318/F50619/1287/1", 63.95)</f>
        <v>63.95</v>
      </c>
      <c r="E6780" s="2">
        <v>16.760000000000002</v>
      </c>
      <c r="F6780" s="2">
        <v>2</v>
      </c>
      <c r="G6780" s="2" t="s">
        <v>9</v>
      </c>
    </row>
    <row r="6781" spans="1:9" x14ac:dyDescent="0.2">
      <c r="A6781" s="2" t="s">
        <v>3273</v>
      </c>
      <c r="B6781" s="2" t="s">
        <v>53</v>
      </c>
      <c r="C6781" s="2">
        <v>692.48659999999995</v>
      </c>
      <c r="D6781" s="2">
        <f>HYPERLINK("http://mcb-m6.bioreg.kyushu-u.ac.jp/M3/20110318/F50605/1379/1", 75.36)</f>
        <v>75.36</v>
      </c>
      <c r="E6781" s="2">
        <v>49.13</v>
      </c>
      <c r="F6781" s="2">
        <v>2</v>
      </c>
      <c r="G6781" s="2" t="s">
        <v>9</v>
      </c>
    </row>
    <row r="6782" spans="1:9" x14ac:dyDescent="0.2">
      <c r="A6782" s="2" t="s">
        <v>3273</v>
      </c>
      <c r="B6782" s="2" t="s">
        <v>53</v>
      </c>
      <c r="C6782" s="2">
        <v>692.32709999999997</v>
      </c>
      <c r="D6782" s="2">
        <f>HYPERLINK("http://mcb-m6.bioreg.kyushu-u.ac.jp/M3/20110318/F50618/1386/1", 81.42)</f>
        <v>81.42</v>
      </c>
      <c r="E6782" s="2">
        <v>36.82</v>
      </c>
      <c r="F6782" s="2">
        <v>2</v>
      </c>
      <c r="G6782" s="2" t="s">
        <v>9</v>
      </c>
    </row>
    <row r="6783" spans="1:9" x14ac:dyDescent="0.2">
      <c r="A6783" s="2" t="s">
        <v>3273</v>
      </c>
      <c r="B6783" s="2" t="s">
        <v>53</v>
      </c>
      <c r="C6783" s="2">
        <v>692.33510000000001</v>
      </c>
      <c r="D6783" s="2">
        <f>HYPERLINK("http://mcb-m6.bioreg.kyushu-u.ac.jp/M3/20110318/F50614/1481/1", 50.98)</f>
        <v>50.98</v>
      </c>
      <c r="E6783" s="2">
        <v>2.9</v>
      </c>
      <c r="F6783" s="2">
        <v>2</v>
      </c>
      <c r="G6783" s="2" t="s">
        <v>10</v>
      </c>
    </row>
    <row r="6784" spans="1:9" x14ac:dyDescent="0.2">
      <c r="A6784" s="2" t="s">
        <v>3273</v>
      </c>
      <c r="B6784" s="2" t="s">
        <v>53</v>
      </c>
      <c r="C6784" s="2">
        <v>692.36220000000003</v>
      </c>
      <c r="D6784" s="2">
        <f>HYPERLINK("http://mcb-m6.bioreg.kyushu-u.ac.jp/M3/20110318/F50611/1439/1", 53.78)</f>
        <v>53.78</v>
      </c>
      <c r="E6784" s="2">
        <v>7.41</v>
      </c>
      <c r="F6784" s="2">
        <v>2</v>
      </c>
      <c r="G6784" s="2" t="s">
        <v>10</v>
      </c>
    </row>
    <row r="6785" spans="1:7" x14ac:dyDescent="0.2">
      <c r="A6785" s="2" t="s">
        <v>3273</v>
      </c>
      <c r="B6785" s="2" t="s">
        <v>53</v>
      </c>
      <c r="C6785" s="2">
        <v>692.87459999999999</v>
      </c>
      <c r="D6785" s="2">
        <f>HYPERLINK("http://mcb-m6.bioreg.kyushu-u.ac.jp/M3/20110318/F50615/1347/1", 56.35)</f>
        <v>56.35</v>
      </c>
      <c r="E6785" s="2">
        <v>25.57</v>
      </c>
      <c r="F6785" s="2">
        <v>2</v>
      </c>
      <c r="G6785" s="2" t="s">
        <v>10</v>
      </c>
    </row>
    <row r="6786" spans="1:7" x14ac:dyDescent="0.2">
      <c r="A6786" s="2" t="s">
        <v>3273</v>
      </c>
      <c r="B6786" s="2" t="s">
        <v>53</v>
      </c>
      <c r="C6786" s="2">
        <v>692.65219999999999</v>
      </c>
      <c r="D6786" s="2">
        <f>HYPERLINK("http://mcb-m6.bioreg.kyushu-u.ac.jp/M3/20110318/F50595/1574/1", 62.63)</f>
        <v>62.63</v>
      </c>
      <c r="E6786" s="2">
        <v>37.6</v>
      </c>
      <c r="F6786" s="2">
        <v>2</v>
      </c>
      <c r="G6786" s="2" t="s">
        <v>10</v>
      </c>
    </row>
    <row r="6787" spans="1:7" x14ac:dyDescent="0.2">
      <c r="A6787" s="2" t="s">
        <v>3273</v>
      </c>
      <c r="B6787" s="2" t="s">
        <v>53</v>
      </c>
      <c r="C6787" s="2">
        <v>692.4357</v>
      </c>
      <c r="D6787" s="2">
        <f>HYPERLINK("http://mcb-m6.bioreg.kyushu-u.ac.jp/M3/20110318/F50597/1398/1", 69.15)</f>
        <v>69.150000000000006</v>
      </c>
      <c r="E6787" s="2">
        <v>27.98</v>
      </c>
      <c r="F6787" s="2">
        <v>2</v>
      </c>
      <c r="G6787" s="2" t="s">
        <v>10</v>
      </c>
    </row>
    <row r="6788" spans="1:7" x14ac:dyDescent="0.2">
      <c r="A6788" s="2" t="s">
        <v>3273</v>
      </c>
      <c r="B6788" s="2" t="s">
        <v>53</v>
      </c>
      <c r="C6788" s="2">
        <v>692.32209999999998</v>
      </c>
      <c r="D6788" s="2">
        <f>HYPERLINK("http://mcb-m6.bioreg.kyushu-u.ac.jp/M3/20110318/F50596/1454/1", 69.98)</f>
        <v>69.98</v>
      </c>
      <c r="E6788" s="2">
        <v>43.84</v>
      </c>
      <c r="F6788" s="2">
        <v>2</v>
      </c>
      <c r="G6788" s="2" t="s">
        <v>10</v>
      </c>
    </row>
    <row r="6789" spans="1:7" x14ac:dyDescent="0.2">
      <c r="A6789" s="2" t="s">
        <v>3273</v>
      </c>
      <c r="B6789" s="2" t="s">
        <v>53</v>
      </c>
      <c r="C6789" s="2">
        <v>692.42169999999999</v>
      </c>
      <c r="D6789" s="2">
        <f>HYPERLINK("http://mcb-m6.bioreg.kyushu-u.ac.jp/M3/20110318/F50600/1419/1", 78.51)</f>
        <v>78.510000000000005</v>
      </c>
      <c r="E6789" s="2">
        <v>44.68</v>
      </c>
      <c r="F6789" s="2">
        <v>2</v>
      </c>
      <c r="G6789" s="2" t="s">
        <v>10</v>
      </c>
    </row>
    <row r="6790" spans="1:7" x14ac:dyDescent="0.2">
      <c r="A6790" s="2" t="s">
        <v>3273</v>
      </c>
      <c r="B6790" s="2" t="s">
        <v>53</v>
      </c>
      <c r="C6790" s="2">
        <v>692.24570000000006</v>
      </c>
      <c r="D6790" s="2">
        <f>HYPERLINK("http://mcb-m6.bioreg.kyushu-u.ac.jp/M3/20110418/F50975/1729/1", 52.37)</f>
        <v>52.37</v>
      </c>
      <c r="E6790" s="2">
        <v>33.35</v>
      </c>
      <c r="F6790" s="2">
        <v>2</v>
      </c>
      <c r="G6790" s="2" t="s">
        <v>11</v>
      </c>
    </row>
    <row r="6791" spans="1:7" x14ac:dyDescent="0.2">
      <c r="A6791" s="2" t="s">
        <v>3273</v>
      </c>
      <c r="B6791" s="2" t="s">
        <v>53</v>
      </c>
      <c r="C6791" s="2">
        <v>692.53420000000006</v>
      </c>
      <c r="D6791" s="2">
        <f>HYPERLINK("http://mcb-m6.bioreg.kyushu-u.ac.jp/M3/20110418/F50970/1908/1", 63.47)</f>
        <v>63.47</v>
      </c>
      <c r="E6791" s="2">
        <v>25.72</v>
      </c>
      <c r="F6791" s="2">
        <v>2</v>
      </c>
      <c r="G6791" s="2" t="s">
        <v>11</v>
      </c>
    </row>
    <row r="6792" spans="1:7" x14ac:dyDescent="0.2">
      <c r="A6792" s="2" t="s">
        <v>3273</v>
      </c>
      <c r="B6792" s="2" t="s">
        <v>53</v>
      </c>
      <c r="C6792" s="2">
        <v>692.39919999999995</v>
      </c>
      <c r="D6792" s="2">
        <f>HYPERLINK("http://mcb-m6.bioreg.kyushu-u.ac.jp/M3/20110418/F50969/1957/1", 78.25)</f>
        <v>78.25</v>
      </c>
      <c r="E6792" s="2">
        <v>34.74</v>
      </c>
      <c r="F6792" s="2">
        <v>2</v>
      </c>
      <c r="G6792" s="2" t="s">
        <v>11</v>
      </c>
    </row>
    <row r="6793" spans="1:7" x14ac:dyDescent="0.2">
      <c r="A6793" s="2" t="s">
        <v>3273</v>
      </c>
      <c r="B6793" s="2" t="s">
        <v>53</v>
      </c>
      <c r="C6793" s="2">
        <v>692.15920000000006</v>
      </c>
      <c r="D6793" s="2">
        <f>HYPERLINK("http://mcb-m6.bioreg.kyushu-u.ac.jp/M3/20110418/F50987/1943/1", 41.46)</f>
        <v>41.46</v>
      </c>
      <c r="E6793" s="2">
        <v>26.63</v>
      </c>
      <c r="F6793" s="2">
        <v>2</v>
      </c>
      <c r="G6793" s="2" t="s">
        <v>12</v>
      </c>
    </row>
    <row r="6794" spans="1:7" x14ac:dyDescent="0.2">
      <c r="A6794" s="2" t="s">
        <v>3273</v>
      </c>
      <c r="B6794" s="2" t="s">
        <v>53</v>
      </c>
      <c r="C6794" s="2">
        <v>692.33420000000001</v>
      </c>
      <c r="D6794" s="2">
        <f>HYPERLINK("http://mcb-m6.bioreg.kyushu-u.ac.jp/M3/20110418/F50997/1807/1", 66.08)</f>
        <v>66.08</v>
      </c>
      <c r="E6794" s="2">
        <v>38.4</v>
      </c>
      <c r="F6794" s="2">
        <v>2</v>
      </c>
      <c r="G6794" s="2" t="s">
        <v>12</v>
      </c>
    </row>
    <row r="6795" spans="1:7" x14ac:dyDescent="0.2">
      <c r="A6795" s="2" t="s">
        <v>3273</v>
      </c>
      <c r="B6795" s="2" t="s">
        <v>53</v>
      </c>
      <c r="C6795" s="2">
        <v>692.15920000000006</v>
      </c>
      <c r="D6795" s="2">
        <f>HYPERLINK("http://mcb-m6.bioreg.kyushu-u.ac.jp/M3/20110429/F51152/1686/1", 62.72)</f>
        <v>62.72</v>
      </c>
      <c r="E6795" s="2">
        <v>46.71</v>
      </c>
      <c r="F6795" s="2">
        <v>2</v>
      </c>
      <c r="G6795" s="2" t="s">
        <v>13</v>
      </c>
    </row>
    <row r="6796" spans="1:7" x14ac:dyDescent="0.2">
      <c r="A6796" s="2" t="s">
        <v>3273</v>
      </c>
      <c r="B6796" s="2" t="s">
        <v>53</v>
      </c>
      <c r="C6796" s="2">
        <v>692.3152</v>
      </c>
      <c r="D6796" s="2">
        <f>HYPERLINK("http://mcb-m6.bioreg.kyushu-u.ac.jp/M3/20110429/F51157/1520/1", 72.12)</f>
        <v>72.12</v>
      </c>
      <c r="E6796" s="2">
        <v>43.42</v>
      </c>
      <c r="F6796" s="2">
        <v>2</v>
      </c>
      <c r="G6796" s="2" t="s">
        <v>13</v>
      </c>
    </row>
    <row r="6797" spans="1:7" x14ac:dyDescent="0.2">
      <c r="A6797" s="2" t="s">
        <v>3273</v>
      </c>
      <c r="B6797" s="2" t="s">
        <v>53</v>
      </c>
      <c r="C6797" s="2">
        <v>692.72770000000003</v>
      </c>
      <c r="D6797" s="2">
        <f>HYPERLINK("http://mcb-m6.bioreg.kyushu-u.ac.jp/M3/20110428/F51145/1874/1", 46.52)</f>
        <v>46.52</v>
      </c>
      <c r="E6797" s="2">
        <v>8.01</v>
      </c>
      <c r="F6797" s="2">
        <v>2</v>
      </c>
      <c r="G6797" s="2" t="s">
        <v>14</v>
      </c>
    </row>
    <row r="6798" spans="1:7" x14ac:dyDescent="0.2">
      <c r="A6798" s="2" t="s">
        <v>3273</v>
      </c>
      <c r="B6798" s="2" t="s">
        <v>53</v>
      </c>
      <c r="C6798" s="2">
        <v>692.48659999999995</v>
      </c>
      <c r="D6798" s="2">
        <f>HYPERLINK("http://mcb-m6.bioreg.kyushu-u.ac.jp/M3/20110502/F51162/1660/1", 50.05)</f>
        <v>50.05</v>
      </c>
      <c r="E6798" s="2">
        <v>30.47</v>
      </c>
      <c r="F6798" s="2">
        <v>2</v>
      </c>
      <c r="G6798" s="2" t="s">
        <v>14</v>
      </c>
    </row>
    <row r="6799" spans="1:7" x14ac:dyDescent="0.2">
      <c r="A6799" s="2" t="s">
        <v>3273</v>
      </c>
      <c r="B6799" s="2" t="s">
        <v>53</v>
      </c>
      <c r="C6799" s="2">
        <v>692.38019999999995</v>
      </c>
      <c r="D6799" s="2">
        <f>HYPERLINK("http://mcb-m6.bioreg.kyushu-u.ac.jp/M3/20110502/F51161/1672/1", 67.89)</f>
        <v>67.89</v>
      </c>
      <c r="E6799" s="2">
        <v>31.6</v>
      </c>
      <c r="F6799" s="2">
        <v>2</v>
      </c>
      <c r="G6799" s="2" t="s">
        <v>14</v>
      </c>
    </row>
    <row r="6800" spans="1:7" x14ac:dyDescent="0.2">
      <c r="A6800" s="2" t="s">
        <v>3273</v>
      </c>
      <c r="B6800" s="2" t="s">
        <v>53</v>
      </c>
      <c r="C6800" s="2">
        <v>692.29060000000004</v>
      </c>
      <c r="D6800" s="2">
        <f>HYPERLINK("http://mcb-m6.bioreg.kyushu-u.ac.jp/M3/20110428/F51140/1700/1", 81.86)</f>
        <v>81.86</v>
      </c>
      <c r="E6800" s="2">
        <v>50.03</v>
      </c>
      <c r="F6800" s="2">
        <v>2</v>
      </c>
      <c r="G6800" s="2" t="s">
        <v>14</v>
      </c>
    </row>
    <row r="6801" spans="1:9" x14ac:dyDescent="0.2">
      <c r="A6801" s="2" t="s">
        <v>3424</v>
      </c>
      <c r="B6801" s="2" t="s">
        <v>228</v>
      </c>
      <c r="C6801" s="2">
        <v>482.9126</v>
      </c>
      <c r="D6801" s="2">
        <f>HYPERLINK("http://mcb-m6.bioreg.kyushu-u.ac.jp/M3/20110318/F50606/852/1", 40)</f>
        <v>40</v>
      </c>
      <c r="E6801" s="2">
        <v>19.27</v>
      </c>
      <c r="F6801" s="2">
        <v>2</v>
      </c>
      <c r="G6801" s="2" t="s">
        <v>9</v>
      </c>
    </row>
    <row r="6802" spans="1:9" x14ac:dyDescent="0.2">
      <c r="A6802" s="2" t="s">
        <v>3424</v>
      </c>
      <c r="B6802" s="2" t="s">
        <v>228</v>
      </c>
      <c r="C6802" s="2">
        <v>482.7611</v>
      </c>
      <c r="D6802" s="2">
        <f>HYPERLINK("http://mcb-m6.bioreg.kyushu-u.ac.jp/M3/20110318/F50618/732/1", 62.99)</f>
        <v>62.99</v>
      </c>
      <c r="E6802" s="2">
        <v>36.299999999999997</v>
      </c>
      <c r="F6802" s="2">
        <v>2</v>
      </c>
      <c r="G6802" s="2" t="s">
        <v>9</v>
      </c>
    </row>
    <row r="6803" spans="1:9" x14ac:dyDescent="0.2">
      <c r="A6803" s="2" t="s">
        <v>3424</v>
      </c>
      <c r="B6803" s="2" t="s">
        <v>5164</v>
      </c>
      <c r="C6803" s="2">
        <v>584.65970000000004</v>
      </c>
      <c r="D6803" s="2">
        <f>HYPERLINK("http://mcb-m6.bioreg.kyushu-u.ac.jp/M3/20110318/F50618/1059/1", 74.26)</f>
        <v>74.260000000000005</v>
      </c>
      <c r="E6803" s="2">
        <v>57.54</v>
      </c>
      <c r="F6803" s="2">
        <v>2</v>
      </c>
      <c r="G6803" s="2" t="s">
        <v>9</v>
      </c>
    </row>
    <row r="6804" spans="1:9" x14ac:dyDescent="0.2">
      <c r="A6804" s="2" t="s">
        <v>3424</v>
      </c>
      <c r="B6804" s="2" t="s">
        <v>228</v>
      </c>
      <c r="C6804" s="2">
        <v>482.97059999999999</v>
      </c>
      <c r="D6804" s="2">
        <f>HYPERLINK("http://mcb-m6.bioreg.kyushu-u.ac.jp/M3/20110502/F51163/641/1", 55.3)</f>
        <v>55.3</v>
      </c>
      <c r="E6804" s="2">
        <v>30.88</v>
      </c>
      <c r="F6804" s="2">
        <v>2</v>
      </c>
      <c r="G6804" s="2" t="s">
        <v>13</v>
      </c>
    </row>
    <row r="6805" spans="1:9" x14ac:dyDescent="0.2">
      <c r="A6805" s="2" t="s">
        <v>5616</v>
      </c>
      <c r="B6805" s="2" t="s">
        <v>5018</v>
      </c>
      <c r="C6805" s="2">
        <v>721.12019999999995</v>
      </c>
      <c r="D6805" s="2">
        <f>HYPERLINK("http://mcb-m6.bioreg.kyushu-u.ac.jp/M3/20110318/F50618/1482/1", 39.75)</f>
        <v>39.75</v>
      </c>
      <c r="E6805" s="2">
        <v>19.21</v>
      </c>
      <c r="F6805" s="2">
        <v>2</v>
      </c>
      <c r="G6805" s="2" t="s">
        <v>9</v>
      </c>
      <c r="I6805" s="2" t="s">
        <v>4923</v>
      </c>
    </row>
    <row r="6806" spans="1:9" x14ac:dyDescent="0.2">
      <c r="A6806" s="2" t="s">
        <v>5616</v>
      </c>
      <c r="B6806" s="2" t="s">
        <v>5110</v>
      </c>
      <c r="C6806" s="2">
        <v>648.31920000000002</v>
      </c>
      <c r="D6806" s="2">
        <f>HYPERLINK("http://mcb-m6.bioreg.kyushu-u.ac.jp/M3/20110318/F50618/2540/1", 58.07)</f>
        <v>58.07</v>
      </c>
      <c r="E6806" s="2">
        <v>40.53</v>
      </c>
      <c r="F6806" s="2">
        <v>3</v>
      </c>
      <c r="G6806" s="2" t="s">
        <v>9</v>
      </c>
    </row>
    <row r="6807" spans="1:9" x14ac:dyDescent="0.2">
      <c r="A6807" s="2" t="s">
        <v>4280</v>
      </c>
      <c r="B6807" s="2" t="s">
        <v>5587</v>
      </c>
      <c r="C6807" s="2">
        <v>847.51070000000004</v>
      </c>
      <c r="D6807" s="2">
        <f>HYPERLINK("http://mcb-m6.bioreg.kyushu-u.ac.jp/M3/20110428/F51141/2564/1", 50.07)</f>
        <v>50.07</v>
      </c>
      <c r="E6807" s="2">
        <v>22.03</v>
      </c>
      <c r="F6807" s="2">
        <v>2</v>
      </c>
      <c r="G6807" s="2" t="s">
        <v>14</v>
      </c>
    </row>
    <row r="6808" spans="1:9" x14ac:dyDescent="0.2">
      <c r="A6808" s="2" t="s">
        <v>3385</v>
      </c>
      <c r="B6808" s="2" t="s">
        <v>178</v>
      </c>
      <c r="C6808" s="2">
        <v>991.08870000000002</v>
      </c>
      <c r="D6808" s="2">
        <f>HYPERLINK("http://mcb-m6.bioreg.kyushu-u.ac.jp/M3/20110318/F50618/2631/1", 63.29)</f>
        <v>63.29</v>
      </c>
      <c r="E6808" s="2">
        <v>42.08</v>
      </c>
      <c r="F6808" s="2">
        <v>2</v>
      </c>
      <c r="G6808" s="2" t="s">
        <v>9</v>
      </c>
    </row>
    <row r="6809" spans="1:9" x14ac:dyDescent="0.2">
      <c r="A6809" s="2" t="s">
        <v>3385</v>
      </c>
      <c r="B6809" s="2" t="s">
        <v>178</v>
      </c>
      <c r="C6809" s="2">
        <v>1983.0219999999999</v>
      </c>
      <c r="D6809" s="2">
        <f>HYPERLINK("http://mcb-m6.bioreg.kyushu-u.ac.jp/M3/20110318/F50614/2631/1", 41.47)</f>
        <v>41.47</v>
      </c>
      <c r="E6809" s="2">
        <v>39.200000000000003</v>
      </c>
      <c r="F6809" s="2">
        <v>1</v>
      </c>
      <c r="G6809" s="2" t="s">
        <v>10</v>
      </c>
    </row>
    <row r="6810" spans="1:9" x14ac:dyDescent="0.2">
      <c r="A6810" s="2" t="s">
        <v>3385</v>
      </c>
      <c r="B6810" s="2" t="s">
        <v>178</v>
      </c>
      <c r="C6810" s="2">
        <v>991.29269999999997</v>
      </c>
      <c r="D6810" s="2">
        <f>HYPERLINK("http://mcb-m6.bioreg.kyushu-u.ac.jp/M3/20110318/F50615/2422/1", 42.58)</f>
        <v>42.58</v>
      </c>
      <c r="E6810" s="2">
        <v>24.92</v>
      </c>
      <c r="F6810" s="2">
        <v>2</v>
      </c>
      <c r="G6810" s="2" t="s">
        <v>10</v>
      </c>
    </row>
    <row r="6811" spans="1:9" x14ac:dyDescent="0.2">
      <c r="A6811" s="2" t="s">
        <v>3385</v>
      </c>
      <c r="B6811" s="2" t="s">
        <v>178</v>
      </c>
      <c r="C6811" s="2">
        <v>1981.982</v>
      </c>
      <c r="D6811" s="2">
        <f>HYPERLINK("http://mcb-m6.bioreg.kyushu-u.ac.jp/M3/20110318/F50614/2626/1", 57.81)</f>
        <v>57.81</v>
      </c>
      <c r="E6811" s="2">
        <v>57.81</v>
      </c>
      <c r="F6811" s="2">
        <v>1</v>
      </c>
      <c r="G6811" s="2" t="s">
        <v>10</v>
      </c>
    </row>
    <row r="6812" spans="1:9" x14ac:dyDescent="0.2">
      <c r="A6812" s="2" t="s">
        <v>3385</v>
      </c>
      <c r="B6812" s="2" t="s">
        <v>178</v>
      </c>
      <c r="C6812" s="2">
        <v>991.75419999999997</v>
      </c>
      <c r="D6812" s="2">
        <f>HYPERLINK("http://mcb-m6.bioreg.kyushu-u.ac.jp/M3/20110318/F50614/2629/1", 99.52)</f>
        <v>99.52</v>
      </c>
      <c r="E6812" s="2">
        <v>84.37</v>
      </c>
      <c r="F6812" s="2">
        <v>2</v>
      </c>
      <c r="G6812" s="2" t="s">
        <v>10</v>
      </c>
    </row>
    <row r="6813" spans="1:9" x14ac:dyDescent="0.2">
      <c r="A6813" s="2" t="s">
        <v>3385</v>
      </c>
      <c r="B6813" s="2" t="s">
        <v>178</v>
      </c>
      <c r="C6813" s="2">
        <v>991.80319999999995</v>
      </c>
      <c r="D6813" s="2">
        <f>HYPERLINK("http://mcb-m6.bioreg.kyushu-u.ac.jp/M3/20110418/F50978/3157/1", 35.05)</f>
        <v>35.049999999999997</v>
      </c>
      <c r="E6813" s="2">
        <v>11.87</v>
      </c>
      <c r="F6813" s="2">
        <v>2</v>
      </c>
      <c r="G6813" s="2" t="s">
        <v>11</v>
      </c>
    </row>
    <row r="6814" spans="1:9" x14ac:dyDescent="0.2">
      <c r="A6814" s="2" t="s">
        <v>3385</v>
      </c>
      <c r="B6814" s="2" t="s">
        <v>178</v>
      </c>
      <c r="C6814" s="2">
        <v>991.79219999999998</v>
      </c>
      <c r="D6814" s="2">
        <f>HYPERLINK("http://mcb-m6.bioreg.kyushu-u.ac.jp/M3/20110418/F50975/3391/1", 43.32)</f>
        <v>43.32</v>
      </c>
      <c r="E6814" s="2">
        <v>33.33</v>
      </c>
      <c r="F6814" s="2">
        <v>2</v>
      </c>
      <c r="G6814" s="2" t="s">
        <v>11</v>
      </c>
    </row>
    <row r="6815" spans="1:9" x14ac:dyDescent="0.2">
      <c r="A6815" s="2" t="s">
        <v>3385</v>
      </c>
      <c r="B6815" s="2" t="s">
        <v>178</v>
      </c>
      <c r="C6815" s="2">
        <v>991.78269999999998</v>
      </c>
      <c r="D6815" s="2">
        <f>HYPERLINK("http://mcb-m6.bioreg.kyushu-u.ac.jp/M3/20110418/F50979/2900/1", 54.06)</f>
        <v>54.06</v>
      </c>
      <c r="E6815" s="2">
        <v>37.51</v>
      </c>
      <c r="F6815" s="2">
        <v>2</v>
      </c>
      <c r="G6815" s="2" t="s">
        <v>11</v>
      </c>
    </row>
    <row r="6816" spans="1:9" x14ac:dyDescent="0.2">
      <c r="A6816" s="2" t="s">
        <v>3385</v>
      </c>
      <c r="B6816" s="2" t="s">
        <v>178</v>
      </c>
      <c r="C6816" s="2">
        <v>991.87660000000005</v>
      </c>
      <c r="D6816" s="2">
        <f>HYPERLINK("http://mcb-m6.bioreg.kyushu-u.ac.jp/M3/20110418/F50999/2700/1", 66.84)</f>
        <v>66.84</v>
      </c>
      <c r="E6816" s="2">
        <v>54.32</v>
      </c>
      <c r="F6816" s="2">
        <v>2</v>
      </c>
      <c r="G6816" s="2" t="s">
        <v>11</v>
      </c>
    </row>
    <row r="6817" spans="1:7" x14ac:dyDescent="0.2">
      <c r="A6817" s="2" t="s">
        <v>3385</v>
      </c>
      <c r="B6817" s="2" t="s">
        <v>178</v>
      </c>
      <c r="C6817" s="2">
        <v>991.48609999999996</v>
      </c>
      <c r="D6817" s="2">
        <f>HYPERLINK("http://mcb-m6.bioreg.kyushu-u.ac.jp/M3/20110418/F50999/2697/1", 68.91)</f>
        <v>68.91</v>
      </c>
      <c r="E6817" s="2">
        <v>57.57</v>
      </c>
      <c r="F6817" s="2">
        <v>2</v>
      </c>
      <c r="G6817" s="2" t="s">
        <v>11</v>
      </c>
    </row>
    <row r="6818" spans="1:7" x14ac:dyDescent="0.2">
      <c r="A6818" s="2" t="s">
        <v>3385</v>
      </c>
      <c r="B6818" s="2" t="s">
        <v>178</v>
      </c>
      <c r="C6818" s="2">
        <v>991.28809999999999</v>
      </c>
      <c r="D6818" s="2">
        <f>HYPERLINK("http://mcb-m6.bioreg.kyushu-u.ac.jp/M3/20110418/F51001/2611/1", 72.7)</f>
        <v>72.7</v>
      </c>
      <c r="E6818" s="2">
        <v>64</v>
      </c>
      <c r="F6818" s="2">
        <v>2</v>
      </c>
      <c r="G6818" s="2" t="s">
        <v>12</v>
      </c>
    </row>
    <row r="6819" spans="1:7" x14ac:dyDescent="0.2">
      <c r="A6819" s="2" t="s">
        <v>3385</v>
      </c>
      <c r="B6819" s="2" t="s">
        <v>178</v>
      </c>
      <c r="C6819" s="2">
        <v>991.48659999999995</v>
      </c>
      <c r="D6819" s="2">
        <f>HYPERLINK("http://mcb-m6.bioreg.kyushu-u.ac.jp/M3/20110418/F50986/2902/1", 77)</f>
        <v>77</v>
      </c>
      <c r="E6819" s="2">
        <v>62.62</v>
      </c>
      <c r="F6819" s="2">
        <v>2</v>
      </c>
      <c r="G6819" s="2" t="s">
        <v>12</v>
      </c>
    </row>
    <row r="6820" spans="1:7" x14ac:dyDescent="0.2">
      <c r="A6820" s="2" t="s">
        <v>3385</v>
      </c>
      <c r="B6820" s="2" t="s">
        <v>178</v>
      </c>
      <c r="C6820" s="2">
        <v>991.36019999999996</v>
      </c>
      <c r="D6820" s="2">
        <f>HYPERLINK("http://mcb-m6.bioreg.kyushu-u.ac.jp/M3/20110429/F51152/3040/1", 44.4)</f>
        <v>44.4</v>
      </c>
      <c r="E6820" s="2">
        <v>32.950000000000003</v>
      </c>
      <c r="F6820" s="2">
        <v>2</v>
      </c>
      <c r="G6820" s="2" t="s">
        <v>13</v>
      </c>
    </row>
    <row r="6821" spans="1:7" x14ac:dyDescent="0.2">
      <c r="A6821" s="2" t="s">
        <v>3385</v>
      </c>
      <c r="B6821" s="2" t="s">
        <v>178</v>
      </c>
      <c r="C6821" s="2">
        <v>991.89970000000005</v>
      </c>
      <c r="D6821" s="2">
        <f>HYPERLINK("http://mcb-m6.bioreg.kyushu-u.ac.jp/M3/20110502/F51163/2855/1", 47.42)</f>
        <v>47.42</v>
      </c>
      <c r="E6821" s="2">
        <v>38.14</v>
      </c>
      <c r="F6821" s="2">
        <v>2</v>
      </c>
      <c r="G6821" s="2" t="s">
        <v>13</v>
      </c>
    </row>
    <row r="6822" spans="1:7" x14ac:dyDescent="0.2">
      <c r="A6822" s="2" t="s">
        <v>3385</v>
      </c>
      <c r="B6822" s="2" t="s">
        <v>178</v>
      </c>
      <c r="C6822" s="2">
        <v>991.78920000000005</v>
      </c>
      <c r="D6822" s="2">
        <f>HYPERLINK("http://mcb-m6.bioreg.kyushu-u.ac.jp/M3/20110429/F51153/3458/1", 53.4)</f>
        <v>53.4</v>
      </c>
      <c r="E6822" s="2">
        <v>44.57</v>
      </c>
      <c r="F6822" s="2">
        <v>2</v>
      </c>
      <c r="G6822" s="2" t="s">
        <v>13</v>
      </c>
    </row>
    <row r="6823" spans="1:7" x14ac:dyDescent="0.2">
      <c r="A6823" s="2" t="s">
        <v>3385</v>
      </c>
      <c r="B6823" s="2" t="s">
        <v>178</v>
      </c>
      <c r="C6823" s="2">
        <v>991.94209999999998</v>
      </c>
      <c r="D6823" s="2">
        <f>HYPERLINK("http://mcb-m6.bioreg.kyushu-u.ac.jp/M3/20110502/F51163/2857/1", 63.78)</f>
        <v>63.78</v>
      </c>
      <c r="E6823" s="2">
        <v>49.04</v>
      </c>
      <c r="F6823" s="2">
        <v>2</v>
      </c>
      <c r="G6823" s="2" t="s">
        <v>13</v>
      </c>
    </row>
    <row r="6824" spans="1:7" x14ac:dyDescent="0.2">
      <c r="A6824" s="2" t="s">
        <v>3385</v>
      </c>
      <c r="B6824" s="2" t="s">
        <v>178</v>
      </c>
      <c r="C6824" s="2">
        <v>992.02070000000003</v>
      </c>
      <c r="D6824" s="2">
        <f>HYPERLINK("http://mcb-m6.bioreg.kyushu-u.ac.jp/M3/20110502/F51161/2582/1", 64.56)</f>
        <v>64.56</v>
      </c>
      <c r="E6824" s="2">
        <v>45.23</v>
      </c>
      <c r="F6824" s="2">
        <v>2</v>
      </c>
      <c r="G6824" s="2" t="s">
        <v>14</v>
      </c>
    </row>
    <row r="6825" spans="1:7" x14ac:dyDescent="0.2">
      <c r="A6825" s="2" t="s">
        <v>3385</v>
      </c>
      <c r="B6825" s="2" t="s">
        <v>178</v>
      </c>
      <c r="C6825" s="2">
        <v>991.51120000000003</v>
      </c>
      <c r="D6825" s="2">
        <f>HYPERLINK("http://mcb-m6.bioreg.kyushu-u.ac.jp/M3/20110502/F51161/2579/1", 75.23)</f>
        <v>75.23</v>
      </c>
      <c r="E6825" s="2">
        <v>63.33</v>
      </c>
      <c r="F6825" s="2">
        <v>2</v>
      </c>
      <c r="G6825" s="2" t="s">
        <v>14</v>
      </c>
    </row>
    <row r="6826" spans="1:7" x14ac:dyDescent="0.2">
      <c r="A6826" s="2" t="s">
        <v>3360</v>
      </c>
      <c r="B6826" s="2" t="s">
        <v>911</v>
      </c>
      <c r="C6826" s="2">
        <v>627.20820000000003</v>
      </c>
      <c r="D6826" s="2">
        <f>HYPERLINK("http://mcb-m6.bioreg.kyushu-u.ac.jp/M3/20110318/F50618/1165/1", 48.77)</f>
        <v>48.77</v>
      </c>
      <c r="E6826" s="2">
        <v>26.6</v>
      </c>
      <c r="F6826" s="2">
        <v>2</v>
      </c>
      <c r="G6826" s="2" t="s">
        <v>9</v>
      </c>
    </row>
    <row r="6827" spans="1:7" x14ac:dyDescent="0.2">
      <c r="A6827" s="2" t="s">
        <v>3360</v>
      </c>
      <c r="B6827" s="2" t="s">
        <v>911</v>
      </c>
      <c r="C6827" s="2">
        <v>1253.395</v>
      </c>
      <c r="D6827" s="2">
        <f>HYPERLINK("http://mcb-m6.bioreg.kyushu-u.ac.jp/M3/20110318/F50618/1164/1", 49.57)</f>
        <v>49.57</v>
      </c>
      <c r="E6827" s="2">
        <v>28.24</v>
      </c>
      <c r="F6827" s="2">
        <v>1</v>
      </c>
      <c r="G6827" s="2" t="s">
        <v>9</v>
      </c>
    </row>
    <row r="6828" spans="1:7" x14ac:dyDescent="0.2">
      <c r="A6828" s="2" t="s">
        <v>3360</v>
      </c>
      <c r="B6828" s="2" t="s">
        <v>152</v>
      </c>
      <c r="C6828" s="2">
        <v>1081.299</v>
      </c>
      <c r="D6828" s="2">
        <f>HYPERLINK("http://mcb-m6.bioreg.kyushu-u.ac.jp/M3/20110318/F50618/930/1", 49.82)</f>
        <v>49.82</v>
      </c>
      <c r="E6828" s="2">
        <v>27.98</v>
      </c>
      <c r="F6828" s="2">
        <v>1</v>
      </c>
      <c r="G6828" s="2" t="s">
        <v>9</v>
      </c>
    </row>
    <row r="6829" spans="1:7" x14ac:dyDescent="0.2">
      <c r="A6829" s="2" t="s">
        <v>3360</v>
      </c>
      <c r="B6829" s="2" t="s">
        <v>327</v>
      </c>
      <c r="C6829" s="2">
        <v>741.33510000000001</v>
      </c>
      <c r="D6829" s="2">
        <f>HYPERLINK("http://mcb-m6.bioreg.kyushu-u.ac.jp/M3/20110318/F50618/1603/1", 55.48)</f>
        <v>55.48</v>
      </c>
      <c r="E6829" s="2">
        <v>39.78</v>
      </c>
      <c r="F6829" s="2">
        <v>2</v>
      </c>
      <c r="G6829" s="2" t="s">
        <v>9</v>
      </c>
    </row>
    <row r="6830" spans="1:7" x14ac:dyDescent="0.2">
      <c r="A6830" s="2" t="s">
        <v>3360</v>
      </c>
      <c r="B6830" s="2" t="s">
        <v>911</v>
      </c>
      <c r="C6830" s="2">
        <v>627.46469999999999</v>
      </c>
      <c r="D6830" s="2">
        <f>HYPERLINK("http://mcb-m6.bioreg.kyushu-u.ac.jp/M3/20110318/F50605/1222/1", 56.2)</f>
        <v>56.2</v>
      </c>
      <c r="E6830" s="2">
        <v>33.380000000000003</v>
      </c>
      <c r="F6830" s="2">
        <v>2</v>
      </c>
      <c r="G6830" s="2" t="s">
        <v>9</v>
      </c>
    </row>
    <row r="6831" spans="1:7" x14ac:dyDescent="0.2">
      <c r="A6831" s="2" t="s">
        <v>3360</v>
      </c>
      <c r="B6831" s="2" t="s">
        <v>152</v>
      </c>
      <c r="C6831" s="2">
        <v>541.60820000000001</v>
      </c>
      <c r="D6831" s="2">
        <f>HYPERLINK("http://mcb-m6.bioreg.kyushu-u.ac.jp/M3/20110318/F50607/1065/1", 59.02)</f>
        <v>59.02</v>
      </c>
      <c r="E6831" s="2">
        <v>30.86</v>
      </c>
      <c r="F6831" s="2">
        <v>2</v>
      </c>
      <c r="G6831" s="2" t="s">
        <v>9</v>
      </c>
    </row>
    <row r="6832" spans="1:7" x14ac:dyDescent="0.2">
      <c r="A6832" s="2" t="s">
        <v>3360</v>
      </c>
      <c r="B6832" s="2" t="s">
        <v>152</v>
      </c>
      <c r="C6832" s="2">
        <v>541.53610000000003</v>
      </c>
      <c r="D6832" s="2">
        <f>HYPERLINK("http://mcb-m6.bioreg.kyushu-u.ac.jp/M3/20110318/F50618/931/1", 59.87)</f>
        <v>59.87</v>
      </c>
      <c r="E6832" s="2">
        <v>32.17</v>
      </c>
      <c r="F6832" s="2">
        <v>2</v>
      </c>
      <c r="G6832" s="2" t="s">
        <v>9</v>
      </c>
    </row>
    <row r="6833" spans="1:7" x14ac:dyDescent="0.2">
      <c r="A6833" s="2" t="s">
        <v>3360</v>
      </c>
      <c r="B6833" s="2" t="s">
        <v>452</v>
      </c>
      <c r="C6833" s="2">
        <v>894.54719999999998</v>
      </c>
      <c r="D6833" s="2">
        <f>HYPERLINK("http://mcb-m6.bioreg.kyushu-u.ac.jp/M3/20110318/F50618/2326/1", 83.96)</f>
        <v>83.96</v>
      </c>
      <c r="E6833" s="2">
        <v>56.63</v>
      </c>
      <c r="F6833" s="2">
        <v>2</v>
      </c>
      <c r="G6833" s="2" t="s">
        <v>9</v>
      </c>
    </row>
    <row r="6834" spans="1:7" x14ac:dyDescent="0.2">
      <c r="A6834" s="2" t="s">
        <v>3360</v>
      </c>
      <c r="B6834" s="2" t="s">
        <v>152</v>
      </c>
      <c r="C6834" s="2">
        <v>541.38369999999998</v>
      </c>
      <c r="D6834" s="2">
        <f>HYPERLINK("http://mcb-m6.bioreg.kyushu-u.ac.jp/M3/20110318/F50598/1164/1", 40.17)</f>
        <v>40.17</v>
      </c>
      <c r="E6834" s="2">
        <v>16.02</v>
      </c>
      <c r="F6834" s="2">
        <v>2</v>
      </c>
      <c r="G6834" s="2" t="s">
        <v>10</v>
      </c>
    </row>
    <row r="6835" spans="1:7" x14ac:dyDescent="0.2">
      <c r="A6835" s="2" t="s">
        <v>3360</v>
      </c>
      <c r="B6835" s="2" t="s">
        <v>327</v>
      </c>
      <c r="C6835" s="2">
        <v>741.0557</v>
      </c>
      <c r="D6835" s="2">
        <f>HYPERLINK("http://mcb-m6.bioreg.kyushu-u.ac.jp/M3/20110318/F50595/1676/1", 41.15)</f>
        <v>41.15</v>
      </c>
      <c r="E6835" s="2">
        <v>19.079999999999998</v>
      </c>
      <c r="F6835" s="2">
        <v>2</v>
      </c>
      <c r="G6835" s="2" t="s">
        <v>10</v>
      </c>
    </row>
    <row r="6836" spans="1:7" x14ac:dyDescent="0.2">
      <c r="A6836" s="2" t="s">
        <v>3360</v>
      </c>
      <c r="B6836" s="2" t="s">
        <v>911</v>
      </c>
      <c r="C6836" s="2">
        <v>627.30820000000006</v>
      </c>
      <c r="D6836" s="2">
        <f>HYPERLINK("http://mcb-m6.bioreg.kyushu-u.ac.jp/M3/20110318/F50597/1216/1", 42.05)</f>
        <v>42.05</v>
      </c>
      <c r="E6836" s="2">
        <v>20.97</v>
      </c>
      <c r="F6836" s="2">
        <v>2</v>
      </c>
      <c r="G6836" s="2" t="s">
        <v>10</v>
      </c>
    </row>
    <row r="6837" spans="1:7" x14ac:dyDescent="0.2">
      <c r="A6837" s="2" t="s">
        <v>3360</v>
      </c>
      <c r="B6837" s="2" t="s">
        <v>327</v>
      </c>
      <c r="C6837" s="2">
        <v>740.99519999999995</v>
      </c>
      <c r="D6837" s="2">
        <f>HYPERLINK("http://mcb-m6.bioreg.kyushu-u.ac.jp/M3/20110318/F50611/1665/1", 43.95)</f>
        <v>43.95</v>
      </c>
      <c r="E6837" s="2">
        <v>30.45</v>
      </c>
      <c r="F6837" s="2">
        <v>2</v>
      </c>
      <c r="G6837" s="2" t="s">
        <v>10</v>
      </c>
    </row>
    <row r="6838" spans="1:7" x14ac:dyDescent="0.2">
      <c r="A6838" s="2" t="s">
        <v>3360</v>
      </c>
      <c r="B6838" s="2" t="s">
        <v>452</v>
      </c>
      <c r="C6838" s="2">
        <v>894.8347</v>
      </c>
      <c r="D6838" s="2">
        <f>HYPERLINK("http://mcb-m6.bioreg.kyushu-u.ac.jp/M3/20110318/F50615/2075/1", 44.12)</f>
        <v>44.12</v>
      </c>
      <c r="E6838" s="2">
        <v>11.21</v>
      </c>
      <c r="F6838" s="2">
        <v>2</v>
      </c>
      <c r="G6838" s="2" t="s">
        <v>10</v>
      </c>
    </row>
    <row r="6839" spans="1:7" x14ac:dyDescent="0.2">
      <c r="A6839" s="2" t="s">
        <v>3360</v>
      </c>
      <c r="B6839" s="2" t="s">
        <v>327</v>
      </c>
      <c r="C6839" s="2">
        <v>494.45549999999997</v>
      </c>
      <c r="D6839" s="2">
        <f>HYPERLINK("http://mcb-m6.bioreg.kyushu-u.ac.jp/M3/20110318/F50615/1528/1", 44.72)</f>
        <v>44.72</v>
      </c>
      <c r="E6839" s="2">
        <v>28.19</v>
      </c>
      <c r="F6839" s="2">
        <v>3</v>
      </c>
      <c r="G6839" s="2" t="s">
        <v>10</v>
      </c>
    </row>
    <row r="6840" spans="1:7" x14ac:dyDescent="0.2">
      <c r="A6840" s="2" t="s">
        <v>3360</v>
      </c>
      <c r="B6840" s="2" t="s">
        <v>911</v>
      </c>
      <c r="C6840" s="2">
        <v>627.40560000000005</v>
      </c>
      <c r="D6840" s="2">
        <f>HYPERLINK("http://mcb-m6.bioreg.kyushu-u.ac.jp/M3/20110318/F50614/1282/1", 45.73)</f>
        <v>45.73</v>
      </c>
      <c r="E6840" s="2">
        <v>21.1</v>
      </c>
      <c r="F6840" s="2">
        <v>2</v>
      </c>
      <c r="G6840" s="2" t="s">
        <v>10</v>
      </c>
    </row>
    <row r="6841" spans="1:7" x14ac:dyDescent="0.2">
      <c r="A6841" s="2" t="s">
        <v>3360</v>
      </c>
      <c r="B6841" s="2" t="s">
        <v>152</v>
      </c>
      <c r="C6841" s="2">
        <v>1081.481</v>
      </c>
      <c r="D6841" s="2">
        <f>HYPERLINK("http://mcb-m6.bioreg.kyushu-u.ac.jp/M3/20110318/F50614/1028/1", 46.43)</f>
        <v>46.43</v>
      </c>
      <c r="E6841" s="2">
        <v>25</v>
      </c>
      <c r="F6841" s="2">
        <v>1</v>
      </c>
      <c r="G6841" s="2" t="s">
        <v>10</v>
      </c>
    </row>
    <row r="6842" spans="1:7" x14ac:dyDescent="0.2">
      <c r="A6842" s="2" t="s">
        <v>3360</v>
      </c>
      <c r="B6842" s="2" t="s">
        <v>911</v>
      </c>
      <c r="C6842" s="2">
        <v>627.36659999999995</v>
      </c>
      <c r="D6842" s="2">
        <f>HYPERLINK("http://mcb-m6.bioreg.kyushu-u.ac.jp/M3/20110318/F50615/1157/1", 46.59)</f>
        <v>46.59</v>
      </c>
      <c r="E6842" s="2">
        <v>31.9</v>
      </c>
      <c r="F6842" s="2">
        <v>2</v>
      </c>
      <c r="G6842" s="2" t="s">
        <v>10</v>
      </c>
    </row>
    <row r="6843" spans="1:7" x14ac:dyDescent="0.2">
      <c r="A6843" s="2" t="s">
        <v>3360</v>
      </c>
      <c r="B6843" s="2" t="s">
        <v>504</v>
      </c>
      <c r="C6843" s="2">
        <v>773.39400000000001</v>
      </c>
      <c r="D6843" s="2">
        <f>HYPERLINK("http://mcb-m6.bioreg.kyushu-u.ac.jp/M3/20110318/F50614/695/1", 47.01)</f>
        <v>47.01</v>
      </c>
      <c r="E6843" s="2">
        <v>23.39</v>
      </c>
      <c r="F6843" s="2">
        <v>1</v>
      </c>
      <c r="G6843" s="2" t="s">
        <v>10</v>
      </c>
    </row>
    <row r="6844" spans="1:7" x14ac:dyDescent="0.2">
      <c r="A6844" s="2" t="s">
        <v>3360</v>
      </c>
      <c r="B6844" s="2" t="s">
        <v>327</v>
      </c>
      <c r="C6844" s="2">
        <v>741.00369999999998</v>
      </c>
      <c r="D6844" s="2">
        <f>HYPERLINK("http://mcb-m6.bioreg.kyushu-u.ac.jp/M3/20110318/F50613/1609/1", 48.55)</f>
        <v>48.55</v>
      </c>
      <c r="E6844" s="2">
        <v>31.85</v>
      </c>
      <c r="F6844" s="2">
        <v>2</v>
      </c>
      <c r="G6844" s="2" t="s">
        <v>10</v>
      </c>
    </row>
    <row r="6845" spans="1:7" x14ac:dyDescent="0.2">
      <c r="A6845" s="2" t="s">
        <v>3360</v>
      </c>
      <c r="B6845" s="2" t="s">
        <v>966</v>
      </c>
      <c r="C6845" s="2">
        <v>564.95979999999997</v>
      </c>
      <c r="D6845" s="2">
        <f>HYPERLINK("http://mcb-m6.bioreg.kyushu-u.ac.jp/M3/20110318/F50614/2124/1", 50.77)</f>
        <v>50.77</v>
      </c>
      <c r="E6845" s="2">
        <v>38.119999999999997</v>
      </c>
      <c r="F6845" s="2">
        <v>3</v>
      </c>
      <c r="G6845" s="2" t="s">
        <v>10</v>
      </c>
    </row>
    <row r="6846" spans="1:7" x14ac:dyDescent="0.2">
      <c r="A6846" s="2" t="s">
        <v>3360</v>
      </c>
      <c r="B6846" s="2" t="s">
        <v>966</v>
      </c>
      <c r="C6846" s="2">
        <v>846.43910000000005</v>
      </c>
      <c r="D6846" s="2">
        <f>HYPERLINK("http://mcb-m6.bioreg.kyushu-u.ac.jp/M3/20110318/F50615/1928/1", 51.42)</f>
        <v>51.42</v>
      </c>
      <c r="E6846" s="2">
        <v>34.25</v>
      </c>
      <c r="F6846" s="2">
        <v>2</v>
      </c>
      <c r="G6846" s="2" t="s">
        <v>10</v>
      </c>
    </row>
    <row r="6847" spans="1:7" x14ac:dyDescent="0.2">
      <c r="A6847" s="2" t="s">
        <v>3360</v>
      </c>
      <c r="B6847" s="2" t="s">
        <v>966</v>
      </c>
      <c r="C6847" s="2">
        <v>564.75850000000003</v>
      </c>
      <c r="D6847" s="2">
        <f>HYPERLINK("http://mcb-m6.bioreg.kyushu-u.ac.jp/M3/20110318/F50615/1929/1", 51.66)</f>
        <v>51.66</v>
      </c>
      <c r="E6847" s="2">
        <v>39.42</v>
      </c>
      <c r="F6847" s="2">
        <v>3</v>
      </c>
      <c r="G6847" s="2" t="s">
        <v>10</v>
      </c>
    </row>
    <row r="6848" spans="1:7" x14ac:dyDescent="0.2">
      <c r="A6848" s="2" t="s">
        <v>3360</v>
      </c>
      <c r="B6848" s="2" t="s">
        <v>966</v>
      </c>
      <c r="C6848" s="2">
        <v>846.38070000000005</v>
      </c>
      <c r="D6848" s="2">
        <f>HYPERLINK("http://mcb-m6.bioreg.kyushu-u.ac.jp/M3/20110318/F50614/2118/1", 52.11)</f>
        <v>52.11</v>
      </c>
      <c r="E6848" s="2">
        <v>36.92</v>
      </c>
      <c r="F6848" s="2">
        <v>2</v>
      </c>
      <c r="G6848" s="2" t="s">
        <v>10</v>
      </c>
    </row>
    <row r="6849" spans="1:7" x14ac:dyDescent="0.2">
      <c r="A6849" s="2" t="s">
        <v>3360</v>
      </c>
      <c r="B6849" s="2" t="s">
        <v>911</v>
      </c>
      <c r="C6849" s="2">
        <v>627.88319999999999</v>
      </c>
      <c r="D6849" s="2">
        <f>HYPERLINK("http://mcb-m6.bioreg.kyushu-u.ac.jp/M3/20110318/F50597/1217/1", 53.93)</f>
        <v>53.93</v>
      </c>
      <c r="E6849" s="2">
        <v>30.79</v>
      </c>
      <c r="F6849" s="2">
        <v>2</v>
      </c>
      <c r="G6849" s="2" t="s">
        <v>10</v>
      </c>
    </row>
    <row r="6850" spans="1:7" x14ac:dyDescent="0.2">
      <c r="A6850" s="2" t="s">
        <v>3360</v>
      </c>
      <c r="B6850" s="2" t="s">
        <v>327</v>
      </c>
      <c r="C6850" s="2">
        <v>741.44619999999998</v>
      </c>
      <c r="D6850" s="2">
        <f>HYPERLINK("http://mcb-m6.bioreg.kyushu-u.ac.jp/M3/20110318/F50616/1650/1", 55.77)</f>
        <v>55.77</v>
      </c>
      <c r="E6850" s="2">
        <v>32.21</v>
      </c>
      <c r="F6850" s="2">
        <v>2</v>
      </c>
      <c r="G6850" s="2" t="s">
        <v>10</v>
      </c>
    </row>
    <row r="6851" spans="1:7" x14ac:dyDescent="0.2">
      <c r="A6851" s="2" t="s">
        <v>3360</v>
      </c>
      <c r="B6851" s="2" t="s">
        <v>966</v>
      </c>
      <c r="C6851" s="2">
        <v>564.81410000000005</v>
      </c>
      <c r="D6851" s="2">
        <f>HYPERLINK("http://mcb-m6.bioreg.kyushu-u.ac.jp/M3/20110318/F50612/1877/1", 57.43)</f>
        <v>57.43</v>
      </c>
      <c r="E6851" s="2">
        <v>45.4</v>
      </c>
      <c r="F6851" s="2">
        <v>3</v>
      </c>
      <c r="G6851" s="2" t="s">
        <v>10</v>
      </c>
    </row>
    <row r="6852" spans="1:7" x14ac:dyDescent="0.2">
      <c r="A6852" s="2" t="s">
        <v>3360</v>
      </c>
      <c r="B6852" s="2" t="s">
        <v>152</v>
      </c>
      <c r="C6852" s="2">
        <v>541.35469999999998</v>
      </c>
      <c r="D6852" s="2">
        <f>HYPERLINK("http://mcb-m6.bioreg.kyushu-u.ac.jp/M3/20110318/F50614/1029/1", 57.82)</f>
        <v>57.82</v>
      </c>
      <c r="E6852" s="2">
        <v>33.619999999999997</v>
      </c>
      <c r="F6852" s="2">
        <v>2</v>
      </c>
      <c r="G6852" s="2" t="s">
        <v>10</v>
      </c>
    </row>
    <row r="6853" spans="1:7" x14ac:dyDescent="0.2">
      <c r="A6853" s="2" t="s">
        <v>3360</v>
      </c>
      <c r="B6853" s="2" t="s">
        <v>452</v>
      </c>
      <c r="C6853" s="2">
        <v>895.07460000000003</v>
      </c>
      <c r="D6853" s="2">
        <f>HYPERLINK("http://mcb-m6.bioreg.kyushu-u.ac.jp/M3/20110318/F50615/2077/1", 58.43)</f>
        <v>58.43</v>
      </c>
      <c r="E6853" s="2">
        <v>48.55</v>
      </c>
      <c r="F6853" s="2">
        <v>2</v>
      </c>
      <c r="G6853" s="2" t="s">
        <v>10</v>
      </c>
    </row>
    <row r="6854" spans="1:7" x14ac:dyDescent="0.2">
      <c r="A6854" s="2" t="s">
        <v>3360</v>
      </c>
      <c r="B6854" s="2" t="s">
        <v>152</v>
      </c>
      <c r="C6854" s="2">
        <v>541.38670000000002</v>
      </c>
      <c r="D6854" s="2">
        <f>HYPERLINK("http://mcb-m6.bioreg.kyushu-u.ac.jp/M3/20110318/F50615/910/1", 58.5)</f>
        <v>58.5</v>
      </c>
      <c r="E6854" s="2">
        <v>33.21</v>
      </c>
      <c r="F6854" s="2">
        <v>2</v>
      </c>
      <c r="G6854" s="2" t="s">
        <v>10</v>
      </c>
    </row>
    <row r="6855" spans="1:7" x14ac:dyDescent="0.2">
      <c r="A6855" s="2" t="s">
        <v>3360</v>
      </c>
      <c r="B6855" s="2" t="s">
        <v>911</v>
      </c>
      <c r="C6855" s="2">
        <v>1253.4670000000001</v>
      </c>
      <c r="D6855" s="2">
        <f>HYPERLINK("http://mcb-m6.bioreg.kyushu-u.ac.jp/M3/20110318/F50614/1279/1", 64.97)</f>
        <v>64.97</v>
      </c>
      <c r="E6855" s="2">
        <v>46.49</v>
      </c>
      <c r="F6855" s="2">
        <v>1</v>
      </c>
      <c r="G6855" s="2" t="s">
        <v>10</v>
      </c>
    </row>
    <row r="6856" spans="1:7" x14ac:dyDescent="0.2">
      <c r="A6856" s="2" t="s">
        <v>3360</v>
      </c>
      <c r="B6856" s="2" t="s">
        <v>911</v>
      </c>
      <c r="C6856" s="2">
        <v>627.83810000000005</v>
      </c>
      <c r="D6856" s="2">
        <f>HYPERLINK("http://mcb-m6.bioreg.kyushu-u.ac.jp/M3/20110318/F50614/1285/1", 67.63)</f>
        <v>67.63</v>
      </c>
      <c r="E6856" s="2">
        <v>49.79</v>
      </c>
      <c r="F6856" s="2">
        <v>2</v>
      </c>
      <c r="G6856" s="2" t="s">
        <v>10</v>
      </c>
    </row>
    <row r="6857" spans="1:7" x14ac:dyDescent="0.2">
      <c r="A6857" s="2" t="s">
        <v>3360</v>
      </c>
      <c r="B6857" s="2" t="s">
        <v>452</v>
      </c>
      <c r="C6857" s="2">
        <v>894.27260000000001</v>
      </c>
      <c r="D6857" s="2">
        <f>HYPERLINK("http://mcb-m6.bioreg.kyushu-u.ac.jp/M3/20110318/F50615/2072/1", 69.41)</f>
        <v>69.41</v>
      </c>
      <c r="E6857" s="2">
        <v>44.12</v>
      </c>
      <c r="F6857" s="2">
        <v>2</v>
      </c>
      <c r="G6857" s="2" t="s">
        <v>10</v>
      </c>
    </row>
    <row r="6858" spans="1:7" x14ac:dyDescent="0.2">
      <c r="A6858" s="2" t="s">
        <v>3360</v>
      </c>
      <c r="B6858" s="2" t="s">
        <v>911</v>
      </c>
      <c r="C6858" s="2">
        <v>627.31960000000004</v>
      </c>
      <c r="D6858" s="2">
        <f>HYPERLINK("http://mcb-m6.bioreg.kyushu-u.ac.jp/M3/20110318/F50614/1280/1", 73.39)</f>
        <v>73.39</v>
      </c>
      <c r="E6858" s="2">
        <v>44.83</v>
      </c>
      <c r="F6858" s="2">
        <v>2</v>
      </c>
      <c r="G6858" s="2" t="s">
        <v>10</v>
      </c>
    </row>
    <row r="6859" spans="1:7" x14ac:dyDescent="0.2">
      <c r="A6859" s="2" t="s">
        <v>3360</v>
      </c>
      <c r="B6859" s="2" t="s">
        <v>452</v>
      </c>
      <c r="C6859" s="2">
        <v>894.92110000000002</v>
      </c>
      <c r="D6859" s="2">
        <f>HYPERLINK("http://mcb-m6.bioreg.kyushu-u.ac.jp/M3/20110318/F50614/2292/1", 81.53)</f>
        <v>81.53</v>
      </c>
      <c r="E6859" s="2">
        <v>64.239999999999995</v>
      </c>
      <c r="F6859" s="2">
        <v>2</v>
      </c>
      <c r="G6859" s="2" t="s">
        <v>10</v>
      </c>
    </row>
    <row r="6860" spans="1:7" x14ac:dyDescent="0.2">
      <c r="A6860" s="2" t="s">
        <v>3360</v>
      </c>
      <c r="B6860" s="2" t="s">
        <v>452</v>
      </c>
      <c r="C6860" s="2">
        <v>894.41060000000004</v>
      </c>
      <c r="D6860" s="2">
        <f>HYPERLINK("http://mcb-m6.bioreg.kyushu-u.ac.jp/M3/20110318/F50614/2288/1", 99.72)</f>
        <v>99.72</v>
      </c>
      <c r="E6860" s="2">
        <v>72.92</v>
      </c>
      <c r="F6860" s="2">
        <v>2</v>
      </c>
      <c r="G6860" s="2" t="s">
        <v>10</v>
      </c>
    </row>
    <row r="6861" spans="1:7" x14ac:dyDescent="0.2">
      <c r="A6861" s="2" t="s">
        <v>3360</v>
      </c>
      <c r="B6861" s="2" t="s">
        <v>184</v>
      </c>
      <c r="C6861" s="2">
        <v>783.87270000000001</v>
      </c>
      <c r="D6861" s="2">
        <f>HYPERLINK("http://mcb-m6.bioreg.kyushu-u.ac.jp/M3/20110418/F50976/2275/1", 38.31)</f>
        <v>38.31</v>
      </c>
      <c r="E6861" s="2">
        <v>17.059999999999999</v>
      </c>
      <c r="F6861" s="2">
        <v>2</v>
      </c>
      <c r="G6861" s="2" t="s">
        <v>11</v>
      </c>
    </row>
    <row r="6862" spans="1:7" x14ac:dyDescent="0.2">
      <c r="A6862" s="2" t="s">
        <v>3360</v>
      </c>
      <c r="B6862" s="2" t="s">
        <v>452</v>
      </c>
      <c r="C6862" s="2">
        <v>895.08510000000001</v>
      </c>
      <c r="D6862" s="2">
        <f>HYPERLINK("http://mcb-m6.bioreg.kyushu-u.ac.jp/M3/20110418/F50977/2950/1", 38.74)</f>
        <v>38.74</v>
      </c>
      <c r="E6862" s="2">
        <v>24.2</v>
      </c>
      <c r="F6862" s="2">
        <v>2</v>
      </c>
      <c r="G6862" s="2" t="s">
        <v>11</v>
      </c>
    </row>
    <row r="6863" spans="1:7" x14ac:dyDescent="0.2">
      <c r="A6863" s="2" t="s">
        <v>3360</v>
      </c>
      <c r="B6863" s="2" t="s">
        <v>966</v>
      </c>
      <c r="C6863" s="2">
        <v>846.62459999999999</v>
      </c>
      <c r="D6863" s="2">
        <f>HYPERLINK("http://mcb-m6.bioreg.kyushu-u.ac.jp/M3/20110418/F50999/2349/1", 39.24)</f>
        <v>39.24</v>
      </c>
      <c r="E6863" s="2">
        <v>25.07</v>
      </c>
      <c r="F6863" s="2">
        <v>2</v>
      </c>
      <c r="G6863" s="2" t="s">
        <v>11</v>
      </c>
    </row>
    <row r="6864" spans="1:7" x14ac:dyDescent="0.2">
      <c r="A6864" s="2" t="s">
        <v>3360</v>
      </c>
      <c r="B6864" s="2" t="s">
        <v>452</v>
      </c>
      <c r="C6864" s="2">
        <v>894.86469999999997</v>
      </c>
      <c r="D6864" s="2">
        <f>HYPERLINK("http://mcb-m6.bioreg.kyushu-u.ac.jp/M3/20110418/F50977/2948/1", 40.89)</f>
        <v>40.89</v>
      </c>
      <c r="E6864" s="2">
        <v>32.340000000000003</v>
      </c>
      <c r="F6864" s="2">
        <v>2</v>
      </c>
      <c r="G6864" s="2" t="s">
        <v>11</v>
      </c>
    </row>
    <row r="6865" spans="1:7" x14ac:dyDescent="0.2">
      <c r="A6865" s="2" t="s">
        <v>3360</v>
      </c>
      <c r="B6865" s="2" t="s">
        <v>152</v>
      </c>
      <c r="C6865" s="2">
        <v>1081.462</v>
      </c>
      <c r="D6865" s="2">
        <f>HYPERLINK("http://mcb-m6.bioreg.kyushu-u.ac.jp/M3/20110418/F50999/1411/1", 41.24)</f>
        <v>41.24</v>
      </c>
      <c r="E6865" s="2">
        <v>19.850000000000001</v>
      </c>
      <c r="F6865" s="2">
        <v>1</v>
      </c>
      <c r="G6865" s="2" t="s">
        <v>11</v>
      </c>
    </row>
    <row r="6866" spans="1:7" x14ac:dyDescent="0.2">
      <c r="A6866" s="2" t="s">
        <v>3360</v>
      </c>
      <c r="B6866" s="2" t="s">
        <v>327</v>
      </c>
      <c r="C6866" s="2">
        <v>740.88710000000003</v>
      </c>
      <c r="D6866" s="2">
        <f>HYPERLINK("http://mcb-m6.bioreg.kyushu-u.ac.jp/M3/20110418/F50976/1996/1", 41.59)</f>
        <v>41.59</v>
      </c>
      <c r="E6866" s="2">
        <v>26.92</v>
      </c>
      <c r="F6866" s="2">
        <v>2</v>
      </c>
      <c r="G6866" s="2" t="s">
        <v>11</v>
      </c>
    </row>
    <row r="6867" spans="1:7" x14ac:dyDescent="0.2">
      <c r="A6867" s="2" t="s">
        <v>3360</v>
      </c>
      <c r="B6867" s="2" t="s">
        <v>966</v>
      </c>
      <c r="C6867" s="2">
        <v>846.15170000000001</v>
      </c>
      <c r="D6867" s="2">
        <f>HYPERLINK("http://mcb-m6.bioreg.kyushu-u.ac.jp/M3/20110418/F50974/2565/1", 42.46)</f>
        <v>42.46</v>
      </c>
      <c r="E6867" s="2">
        <v>29.89</v>
      </c>
      <c r="F6867" s="2">
        <v>2</v>
      </c>
      <c r="G6867" s="2" t="s">
        <v>11</v>
      </c>
    </row>
    <row r="6868" spans="1:7" x14ac:dyDescent="0.2">
      <c r="A6868" s="2" t="s">
        <v>3360</v>
      </c>
      <c r="B6868" s="2" t="s">
        <v>504</v>
      </c>
      <c r="C6868" s="2">
        <v>773.83500000000004</v>
      </c>
      <c r="D6868" s="2">
        <f>HYPERLINK("http://mcb-m6.bioreg.kyushu-u.ac.jp/M3/20110418/F50999/1004/1", 46.75)</f>
        <v>46.75</v>
      </c>
      <c r="E6868" s="2">
        <v>25.14</v>
      </c>
      <c r="F6868" s="2">
        <v>1</v>
      </c>
      <c r="G6868" s="2" t="s">
        <v>11</v>
      </c>
    </row>
    <row r="6869" spans="1:7" x14ac:dyDescent="0.2">
      <c r="A6869" s="2" t="s">
        <v>3360</v>
      </c>
      <c r="B6869" s="2" t="s">
        <v>452</v>
      </c>
      <c r="C6869" s="2">
        <v>894.90170000000001</v>
      </c>
      <c r="D6869" s="2">
        <f>HYPERLINK("http://mcb-m6.bioreg.kyushu-u.ac.jp/M3/20110418/F50976/2886/1", 46.87)</f>
        <v>46.87</v>
      </c>
      <c r="E6869" s="2">
        <v>35.61</v>
      </c>
      <c r="F6869" s="2">
        <v>2</v>
      </c>
      <c r="G6869" s="2" t="s">
        <v>11</v>
      </c>
    </row>
    <row r="6870" spans="1:7" x14ac:dyDescent="0.2">
      <c r="A6870" s="2" t="s">
        <v>3360</v>
      </c>
      <c r="B6870" s="2" t="s">
        <v>911</v>
      </c>
      <c r="C6870" s="2">
        <v>627.16359999999997</v>
      </c>
      <c r="D6870" s="2">
        <f>HYPERLINK("http://mcb-m6.bioreg.kyushu-u.ac.jp/M3/20110418/F50999/1622/1", 51.88)</f>
        <v>51.88</v>
      </c>
      <c r="E6870" s="2">
        <v>26.46</v>
      </c>
      <c r="F6870" s="2">
        <v>2</v>
      </c>
      <c r="G6870" s="2" t="s">
        <v>11</v>
      </c>
    </row>
    <row r="6871" spans="1:7" x14ac:dyDescent="0.2">
      <c r="A6871" s="2" t="s">
        <v>3360</v>
      </c>
      <c r="B6871" s="2" t="s">
        <v>452</v>
      </c>
      <c r="C6871" s="2">
        <v>894.39620000000002</v>
      </c>
      <c r="D6871" s="2">
        <f>HYPERLINK("http://mcb-m6.bioreg.kyushu-u.ac.jp/M3/20110418/F50976/2882/1", 53.32)</f>
        <v>53.32</v>
      </c>
      <c r="E6871" s="2">
        <v>34.75</v>
      </c>
      <c r="F6871" s="2">
        <v>2</v>
      </c>
      <c r="G6871" s="2" t="s">
        <v>11</v>
      </c>
    </row>
    <row r="6872" spans="1:7" x14ac:dyDescent="0.2">
      <c r="A6872" s="2" t="s">
        <v>3360</v>
      </c>
      <c r="B6872" s="2" t="s">
        <v>911</v>
      </c>
      <c r="C6872" s="2">
        <v>627.83370000000002</v>
      </c>
      <c r="D6872" s="2">
        <f>HYPERLINK("http://mcb-m6.bioreg.kyushu-u.ac.jp/M3/20110418/F50978/1547/1", 54.79)</f>
        <v>54.79</v>
      </c>
      <c r="E6872" s="2">
        <v>37.729999999999997</v>
      </c>
      <c r="F6872" s="2">
        <v>2</v>
      </c>
      <c r="G6872" s="2" t="s">
        <v>11</v>
      </c>
    </row>
    <row r="6873" spans="1:7" x14ac:dyDescent="0.2">
      <c r="A6873" s="2" t="s">
        <v>3360</v>
      </c>
      <c r="B6873" s="2" t="s">
        <v>152</v>
      </c>
      <c r="C6873" s="2">
        <v>541.17269999999996</v>
      </c>
      <c r="D6873" s="2">
        <f>HYPERLINK("http://mcb-m6.bioreg.kyushu-u.ac.jp/M3/20110418/F50999/1410/1", 57.96)</f>
        <v>57.96</v>
      </c>
      <c r="E6873" s="2">
        <v>33.65</v>
      </c>
      <c r="F6873" s="2">
        <v>2</v>
      </c>
      <c r="G6873" s="2" t="s">
        <v>11</v>
      </c>
    </row>
    <row r="6874" spans="1:7" x14ac:dyDescent="0.2">
      <c r="A6874" s="2" t="s">
        <v>3360</v>
      </c>
      <c r="B6874" s="2" t="s">
        <v>452</v>
      </c>
      <c r="C6874" s="2">
        <v>895.01070000000004</v>
      </c>
      <c r="D6874" s="2">
        <f>HYPERLINK("http://mcb-m6.bioreg.kyushu-u.ac.jp/M3/20110418/F51000/2292/1", 58.25)</f>
        <v>58.25</v>
      </c>
      <c r="E6874" s="2">
        <v>44.63</v>
      </c>
      <c r="F6874" s="2">
        <v>2</v>
      </c>
      <c r="G6874" s="2" t="s">
        <v>11</v>
      </c>
    </row>
    <row r="6875" spans="1:7" x14ac:dyDescent="0.2">
      <c r="A6875" s="2" t="s">
        <v>3360</v>
      </c>
      <c r="B6875" s="2" t="s">
        <v>452</v>
      </c>
      <c r="C6875" s="2">
        <v>894.39369999999997</v>
      </c>
      <c r="D6875" s="2">
        <f>HYPERLINK("http://mcb-m6.bioreg.kyushu-u.ac.jp/M3/20110418/F50999/2461/1", 58.83)</f>
        <v>58.83</v>
      </c>
      <c r="E6875" s="2">
        <v>46.89</v>
      </c>
      <c r="F6875" s="2">
        <v>2</v>
      </c>
      <c r="G6875" s="2" t="s">
        <v>11</v>
      </c>
    </row>
    <row r="6876" spans="1:7" x14ac:dyDescent="0.2">
      <c r="A6876" s="2" t="s">
        <v>3360</v>
      </c>
      <c r="B6876" s="2" t="s">
        <v>911</v>
      </c>
      <c r="C6876" s="2">
        <v>627.24570000000006</v>
      </c>
      <c r="D6876" s="2">
        <f>HYPERLINK("http://mcb-m6.bioreg.kyushu-u.ac.jp/M3/20110418/F50977/1479/1", 60.62)</f>
        <v>60.62</v>
      </c>
      <c r="E6876" s="2">
        <v>36.89</v>
      </c>
      <c r="F6876" s="2">
        <v>2</v>
      </c>
      <c r="G6876" s="2" t="s">
        <v>11</v>
      </c>
    </row>
    <row r="6877" spans="1:7" x14ac:dyDescent="0.2">
      <c r="A6877" s="2" t="s">
        <v>3360</v>
      </c>
      <c r="B6877" s="2" t="s">
        <v>452</v>
      </c>
      <c r="C6877" s="2">
        <v>894.82669999999996</v>
      </c>
      <c r="D6877" s="2">
        <f>HYPERLINK("http://mcb-m6.bioreg.kyushu-u.ac.jp/M3/20110418/F50978/2804/1", 63.11)</f>
        <v>63.11</v>
      </c>
      <c r="E6877" s="2">
        <v>41.25</v>
      </c>
      <c r="F6877" s="2">
        <v>2</v>
      </c>
      <c r="G6877" s="2" t="s">
        <v>11</v>
      </c>
    </row>
    <row r="6878" spans="1:7" x14ac:dyDescent="0.2">
      <c r="A6878" s="2" t="s">
        <v>3360</v>
      </c>
      <c r="B6878" s="2" t="s">
        <v>452</v>
      </c>
      <c r="C6878" s="2">
        <v>894.51170000000002</v>
      </c>
      <c r="D6878" s="2">
        <f>HYPERLINK("http://mcb-m6.bioreg.kyushu-u.ac.jp/M3/20110418/F50976/2883/1", 65.61)</f>
        <v>65.61</v>
      </c>
      <c r="E6878" s="2">
        <v>52.84</v>
      </c>
      <c r="F6878" s="2">
        <v>2</v>
      </c>
      <c r="G6878" s="2" t="s">
        <v>11</v>
      </c>
    </row>
    <row r="6879" spans="1:7" x14ac:dyDescent="0.2">
      <c r="A6879" s="2" t="s">
        <v>3360</v>
      </c>
      <c r="B6879" s="2" t="s">
        <v>966</v>
      </c>
      <c r="C6879" s="2">
        <v>846.29610000000002</v>
      </c>
      <c r="D6879" s="2">
        <f>HYPERLINK("http://mcb-m6.bioreg.kyushu-u.ac.jp/M3/20110418/F50975/2661/1", 66.67)</f>
        <v>66.67</v>
      </c>
      <c r="E6879" s="2">
        <v>52.59</v>
      </c>
      <c r="F6879" s="2">
        <v>2</v>
      </c>
      <c r="G6879" s="2" t="s">
        <v>11</v>
      </c>
    </row>
    <row r="6880" spans="1:7" x14ac:dyDescent="0.2">
      <c r="A6880" s="2" t="s">
        <v>3360</v>
      </c>
      <c r="B6880" s="2" t="s">
        <v>966</v>
      </c>
      <c r="C6880" s="2">
        <v>846.34169999999995</v>
      </c>
      <c r="D6880" s="2">
        <f>HYPERLINK("http://mcb-m6.bioreg.kyushu-u.ac.jp/M3/20110418/F50976/2634/1", 69.2)</f>
        <v>69.2</v>
      </c>
      <c r="E6880" s="2">
        <v>56.77</v>
      </c>
      <c r="F6880" s="2">
        <v>2</v>
      </c>
      <c r="G6880" s="2" t="s">
        <v>11</v>
      </c>
    </row>
    <row r="6881" spans="1:7" x14ac:dyDescent="0.2">
      <c r="A6881" s="2" t="s">
        <v>3360</v>
      </c>
      <c r="B6881" s="2" t="s">
        <v>911</v>
      </c>
      <c r="C6881" s="2">
        <v>627.18960000000004</v>
      </c>
      <c r="D6881" s="2">
        <f>HYPERLINK("http://mcb-m6.bioreg.kyushu-u.ac.jp/M3/20110418/F50976/1409/1", 72.33)</f>
        <v>72.33</v>
      </c>
      <c r="E6881" s="2">
        <v>48.24</v>
      </c>
      <c r="F6881" s="2">
        <v>2</v>
      </c>
      <c r="G6881" s="2" t="s">
        <v>11</v>
      </c>
    </row>
    <row r="6882" spans="1:7" x14ac:dyDescent="0.2">
      <c r="A6882" s="2" t="s">
        <v>3360</v>
      </c>
      <c r="B6882" s="2" t="s">
        <v>452</v>
      </c>
      <c r="C6882" s="2">
        <v>895.00319999999999</v>
      </c>
      <c r="D6882" s="2">
        <f>HYPERLINK("http://mcb-m6.bioreg.kyushu-u.ac.jp/M3/20110418/F50999/2468/1", 74.19)</f>
        <v>74.19</v>
      </c>
      <c r="E6882" s="2">
        <v>58.83</v>
      </c>
      <c r="F6882" s="2">
        <v>2</v>
      </c>
      <c r="G6882" s="2" t="s">
        <v>11</v>
      </c>
    </row>
    <row r="6883" spans="1:7" x14ac:dyDescent="0.2">
      <c r="A6883" s="2" t="s">
        <v>3360</v>
      </c>
      <c r="B6883" s="2" t="s">
        <v>966</v>
      </c>
      <c r="C6883" s="2">
        <v>846.28060000000005</v>
      </c>
      <c r="D6883" s="2">
        <f>HYPERLINK("http://mcb-m6.bioreg.kyushu-u.ac.jp/M3/20110418/F50977/2713/1", 74.86)</f>
        <v>74.86</v>
      </c>
      <c r="E6883" s="2">
        <v>60.89</v>
      </c>
      <c r="F6883" s="2">
        <v>2</v>
      </c>
      <c r="G6883" s="2" t="s">
        <v>11</v>
      </c>
    </row>
    <row r="6884" spans="1:7" x14ac:dyDescent="0.2">
      <c r="A6884" s="2" t="s">
        <v>3360</v>
      </c>
      <c r="B6884" s="2" t="s">
        <v>452</v>
      </c>
      <c r="C6884" s="2">
        <v>894.8691</v>
      </c>
      <c r="D6884" s="2">
        <f>HYPERLINK("http://mcb-m6.bioreg.kyushu-u.ac.jp/M3/20110418/F50999/2466/1", 75.09)</f>
        <v>75.09</v>
      </c>
      <c r="E6884" s="2">
        <v>58.48</v>
      </c>
      <c r="F6884" s="2">
        <v>2</v>
      </c>
      <c r="G6884" s="2" t="s">
        <v>11</v>
      </c>
    </row>
    <row r="6885" spans="1:7" x14ac:dyDescent="0.2">
      <c r="A6885" s="2" t="s">
        <v>3360</v>
      </c>
      <c r="B6885" s="2" t="s">
        <v>966</v>
      </c>
      <c r="C6885" s="2">
        <v>846.3107</v>
      </c>
      <c r="D6885" s="2">
        <f>HYPERLINK("http://mcb-m6.bioreg.kyushu-u.ac.jp/M3/20110418/F50999/2347/1", 77.18)</f>
        <v>77.180000000000007</v>
      </c>
      <c r="E6885" s="2">
        <v>60.48</v>
      </c>
      <c r="F6885" s="2">
        <v>2</v>
      </c>
      <c r="G6885" s="2" t="s">
        <v>11</v>
      </c>
    </row>
    <row r="6886" spans="1:7" x14ac:dyDescent="0.2">
      <c r="A6886" s="2" t="s">
        <v>3360</v>
      </c>
      <c r="B6886" s="2" t="s">
        <v>452</v>
      </c>
      <c r="C6886" s="2">
        <v>894.44669999999996</v>
      </c>
      <c r="D6886" s="2">
        <f>HYPERLINK("http://mcb-m6.bioreg.kyushu-u.ac.jp/M3/20110418/F50999/2462/1", 80.91)</f>
        <v>80.91</v>
      </c>
      <c r="E6886" s="2">
        <v>68.540000000000006</v>
      </c>
      <c r="F6886" s="2">
        <v>2</v>
      </c>
      <c r="G6886" s="2" t="s">
        <v>11</v>
      </c>
    </row>
    <row r="6887" spans="1:7" x14ac:dyDescent="0.2">
      <c r="A6887" s="2" t="s">
        <v>3360</v>
      </c>
      <c r="B6887" s="2" t="s">
        <v>452</v>
      </c>
      <c r="C6887" s="2">
        <v>894.36069999999995</v>
      </c>
      <c r="D6887" s="2">
        <f>HYPERLINK("http://mcb-m6.bioreg.kyushu-u.ac.jp/M3/20110418/F50999/2459/1", 88.6)</f>
        <v>88.6</v>
      </c>
      <c r="E6887" s="2">
        <v>73.819999999999993</v>
      </c>
      <c r="F6887" s="2">
        <v>2</v>
      </c>
      <c r="G6887" s="2" t="s">
        <v>11</v>
      </c>
    </row>
    <row r="6888" spans="1:7" x14ac:dyDescent="0.2">
      <c r="A6888" s="2" t="s">
        <v>3360</v>
      </c>
      <c r="B6888" s="2" t="s">
        <v>452</v>
      </c>
      <c r="C6888" s="2">
        <v>894.36720000000003</v>
      </c>
      <c r="D6888" s="2">
        <f>HYPERLINK("http://mcb-m6.bioreg.kyushu-u.ac.jp/M3/20110418/F50999/2460/1", 93.21)</f>
        <v>93.21</v>
      </c>
      <c r="E6888" s="2">
        <v>67.55</v>
      </c>
      <c r="F6888" s="2">
        <v>2</v>
      </c>
      <c r="G6888" s="2" t="s">
        <v>11</v>
      </c>
    </row>
    <row r="6889" spans="1:7" x14ac:dyDescent="0.2">
      <c r="A6889" s="2" t="s">
        <v>3360</v>
      </c>
      <c r="B6889" s="2" t="s">
        <v>452</v>
      </c>
      <c r="C6889" s="2">
        <v>894.93619999999999</v>
      </c>
      <c r="D6889" s="2">
        <f>HYPERLINK("http://mcb-m6.bioreg.kyushu-u.ac.jp/M3/20110418/F50999/2467/1", 100.41)</f>
        <v>100.41</v>
      </c>
      <c r="E6889" s="2">
        <v>79.010000000000005</v>
      </c>
      <c r="F6889" s="2">
        <v>2</v>
      </c>
      <c r="G6889" s="2" t="s">
        <v>11</v>
      </c>
    </row>
    <row r="6890" spans="1:7" x14ac:dyDescent="0.2">
      <c r="A6890" s="2" t="s">
        <v>3360</v>
      </c>
      <c r="B6890" s="2" t="s">
        <v>452</v>
      </c>
      <c r="C6890" s="2">
        <v>894.79769999999996</v>
      </c>
      <c r="D6890" s="2">
        <f>HYPERLINK("http://mcb-m6.bioreg.kyushu-u.ac.jp/M3/20110418/F50999/2465/1", 109.82)</f>
        <v>109.82</v>
      </c>
      <c r="E6890" s="2">
        <v>86.45</v>
      </c>
      <c r="F6890" s="2">
        <v>2</v>
      </c>
      <c r="G6890" s="2" t="s">
        <v>11</v>
      </c>
    </row>
    <row r="6891" spans="1:7" x14ac:dyDescent="0.2">
      <c r="A6891" s="2" t="s">
        <v>3360</v>
      </c>
      <c r="B6891" s="2" t="s">
        <v>327</v>
      </c>
      <c r="C6891" s="2">
        <v>740.8492</v>
      </c>
      <c r="D6891" s="2">
        <f>HYPERLINK("http://mcb-m6.bioreg.kyushu-u.ac.jp/M3/20110418/F51001/2027/1", 36.33)</f>
        <v>36.33</v>
      </c>
      <c r="E6891" s="2">
        <v>16.420000000000002</v>
      </c>
      <c r="F6891" s="2">
        <v>2</v>
      </c>
      <c r="G6891" s="2" t="s">
        <v>12</v>
      </c>
    </row>
    <row r="6892" spans="1:7" x14ac:dyDescent="0.2">
      <c r="A6892" s="2" t="s">
        <v>3360</v>
      </c>
      <c r="B6892" s="2" t="s">
        <v>452</v>
      </c>
      <c r="C6892" s="2">
        <v>894.99159999999995</v>
      </c>
      <c r="D6892" s="2">
        <f>HYPERLINK("http://mcb-m6.bioreg.kyushu-u.ac.jp/M3/20110418/F50987/2416/1", 41.65)</f>
        <v>41.65</v>
      </c>
      <c r="E6892" s="2">
        <v>28.86</v>
      </c>
      <c r="F6892" s="2">
        <v>2</v>
      </c>
      <c r="G6892" s="2" t="s">
        <v>12</v>
      </c>
    </row>
    <row r="6893" spans="1:7" x14ac:dyDescent="0.2">
      <c r="A6893" s="2" t="s">
        <v>3360</v>
      </c>
      <c r="B6893" s="2" t="s">
        <v>152</v>
      </c>
      <c r="C6893" s="2">
        <v>541.58920000000001</v>
      </c>
      <c r="D6893" s="2">
        <f>HYPERLINK("http://mcb-m6.bioreg.kyushu-u.ac.jp/M3/20110418/F50986/1528/1", 47.25)</f>
        <v>47.25</v>
      </c>
      <c r="E6893" s="2">
        <v>21.17</v>
      </c>
      <c r="F6893" s="2">
        <v>2</v>
      </c>
      <c r="G6893" s="2" t="s">
        <v>12</v>
      </c>
    </row>
    <row r="6894" spans="1:7" x14ac:dyDescent="0.2">
      <c r="A6894" s="2" t="s">
        <v>3360</v>
      </c>
      <c r="B6894" s="2" t="s">
        <v>911</v>
      </c>
      <c r="C6894" s="2">
        <v>627.66610000000003</v>
      </c>
      <c r="D6894" s="2">
        <f>HYPERLINK("http://mcb-m6.bioreg.kyushu-u.ac.jp/M3/20110418/F50986/1723/1", 53.68)</f>
        <v>53.68</v>
      </c>
      <c r="E6894" s="2">
        <v>21.34</v>
      </c>
      <c r="F6894" s="2">
        <v>2</v>
      </c>
      <c r="G6894" s="2" t="s">
        <v>12</v>
      </c>
    </row>
    <row r="6895" spans="1:7" x14ac:dyDescent="0.2">
      <c r="A6895" s="2" t="s">
        <v>3360</v>
      </c>
      <c r="B6895" s="2" t="s">
        <v>966</v>
      </c>
      <c r="C6895" s="2">
        <v>846.38959999999997</v>
      </c>
      <c r="D6895" s="2">
        <f>HYPERLINK("http://mcb-m6.bioreg.kyushu-u.ac.jp/M3/20110418/F51001/2324/1", 57.45)</f>
        <v>57.45</v>
      </c>
      <c r="E6895" s="2">
        <v>44.14</v>
      </c>
      <c r="F6895" s="2">
        <v>2</v>
      </c>
      <c r="G6895" s="2" t="s">
        <v>12</v>
      </c>
    </row>
    <row r="6896" spans="1:7" x14ac:dyDescent="0.2">
      <c r="A6896" s="2" t="s">
        <v>3360</v>
      </c>
      <c r="B6896" s="2" t="s">
        <v>452</v>
      </c>
      <c r="C6896" s="2">
        <v>895.0317</v>
      </c>
      <c r="D6896" s="2">
        <f>HYPERLINK("http://mcb-m6.bioreg.kyushu-u.ac.jp/M3/20110418/F50986/2677/1", 57.56)</f>
        <v>57.56</v>
      </c>
      <c r="E6896" s="2">
        <v>45.7</v>
      </c>
      <c r="F6896" s="2">
        <v>2</v>
      </c>
      <c r="G6896" s="2" t="s">
        <v>12</v>
      </c>
    </row>
    <row r="6897" spans="1:7" x14ac:dyDescent="0.2">
      <c r="A6897" s="2" t="s">
        <v>3360</v>
      </c>
      <c r="B6897" s="2" t="s">
        <v>452</v>
      </c>
      <c r="C6897" s="2">
        <v>894.31569999999999</v>
      </c>
      <c r="D6897" s="2">
        <f>HYPERLINK("http://mcb-m6.bioreg.kyushu-u.ac.jp/M3/20110418/F50986/2671/1", 64.42)</f>
        <v>64.42</v>
      </c>
      <c r="E6897" s="2">
        <v>52.46</v>
      </c>
      <c r="F6897" s="2">
        <v>2</v>
      </c>
      <c r="G6897" s="2" t="s">
        <v>12</v>
      </c>
    </row>
    <row r="6898" spans="1:7" x14ac:dyDescent="0.2">
      <c r="A6898" s="2" t="s">
        <v>3360</v>
      </c>
      <c r="B6898" s="2" t="s">
        <v>911</v>
      </c>
      <c r="C6898" s="2">
        <v>627.48659999999995</v>
      </c>
      <c r="D6898" s="2">
        <f>HYPERLINK("http://mcb-m6.bioreg.kyushu-u.ac.jp/M3/20110418/F51001/1656/1", 66.88)</f>
        <v>66.88</v>
      </c>
      <c r="E6898" s="2">
        <v>44.22</v>
      </c>
      <c r="F6898" s="2">
        <v>2</v>
      </c>
      <c r="G6898" s="2" t="s">
        <v>12</v>
      </c>
    </row>
    <row r="6899" spans="1:7" x14ac:dyDescent="0.2">
      <c r="A6899" s="2" t="s">
        <v>3360</v>
      </c>
      <c r="B6899" s="2" t="s">
        <v>966</v>
      </c>
      <c r="C6899" s="2">
        <v>846.27970000000005</v>
      </c>
      <c r="D6899" s="2">
        <f>HYPERLINK("http://mcb-m6.bioreg.kyushu-u.ac.jp/M3/20110418/F50986/2544/1", 74.71)</f>
        <v>74.709999999999994</v>
      </c>
      <c r="E6899" s="2">
        <v>61.5</v>
      </c>
      <c r="F6899" s="2">
        <v>2</v>
      </c>
      <c r="G6899" s="2" t="s">
        <v>12</v>
      </c>
    </row>
    <row r="6900" spans="1:7" x14ac:dyDescent="0.2">
      <c r="A6900" s="2" t="s">
        <v>3360</v>
      </c>
      <c r="B6900" s="2" t="s">
        <v>452</v>
      </c>
      <c r="C6900" s="2">
        <v>894.92610000000002</v>
      </c>
      <c r="D6900" s="2">
        <f>HYPERLINK("http://mcb-m6.bioreg.kyushu-u.ac.jp/M3/20110418/F50986/2675/1", 75.36)</f>
        <v>75.36</v>
      </c>
      <c r="E6900" s="2">
        <v>55.52</v>
      </c>
      <c r="F6900" s="2">
        <v>2</v>
      </c>
      <c r="G6900" s="2" t="s">
        <v>12</v>
      </c>
    </row>
    <row r="6901" spans="1:7" x14ac:dyDescent="0.2">
      <c r="A6901" s="2" t="s">
        <v>3360</v>
      </c>
      <c r="B6901" s="2" t="s">
        <v>452</v>
      </c>
      <c r="C6901" s="2">
        <v>894.34670000000006</v>
      </c>
      <c r="D6901" s="2">
        <f>HYPERLINK("http://mcb-m6.bioreg.kyushu-u.ac.jp/M3/20110418/F50987/2413/1", 79.09)</f>
        <v>79.09</v>
      </c>
      <c r="E6901" s="2">
        <v>71.400000000000006</v>
      </c>
      <c r="F6901" s="2">
        <v>2</v>
      </c>
      <c r="G6901" s="2" t="s">
        <v>12</v>
      </c>
    </row>
    <row r="6902" spans="1:7" x14ac:dyDescent="0.2">
      <c r="A6902" s="2" t="s">
        <v>3360</v>
      </c>
      <c r="B6902" s="2" t="s">
        <v>452</v>
      </c>
      <c r="C6902" s="2">
        <v>894.95870000000002</v>
      </c>
      <c r="D6902" s="2">
        <f>HYPERLINK("http://mcb-m6.bioreg.kyushu-u.ac.jp/M3/20110418/F50986/2676/1", 85.94)</f>
        <v>85.94</v>
      </c>
      <c r="E6902" s="2">
        <v>71.28</v>
      </c>
      <c r="F6902" s="2">
        <v>2</v>
      </c>
      <c r="G6902" s="2" t="s">
        <v>12</v>
      </c>
    </row>
    <row r="6903" spans="1:7" x14ac:dyDescent="0.2">
      <c r="A6903" s="2" t="s">
        <v>3360</v>
      </c>
      <c r="B6903" s="2" t="s">
        <v>452</v>
      </c>
      <c r="C6903" s="2">
        <v>894.94420000000002</v>
      </c>
      <c r="D6903" s="2">
        <f>HYPERLINK("http://mcb-m6.bioreg.kyushu-u.ac.jp/M3/20110418/F51001/2440/1", 90.35)</f>
        <v>90.35</v>
      </c>
      <c r="E6903" s="2">
        <v>68.010000000000005</v>
      </c>
      <c r="F6903" s="2">
        <v>2</v>
      </c>
      <c r="G6903" s="2" t="s">
        <v>12</v>
      </c>
    </row>
    <row r="6904" spans="1:7" x14ac:dyDescent="0.2">
      <c r="A6904" s="2" t="s">
        <v>3360</v>
      </c>
      <c r="B6904" s="2" t="s">
        <v>452</v>
      </c>
      <c r="C6904" s="2">
        <v>894.49069999999995</v>
      </c>
      <c r="D6904" s="2">
        <f>HYPERLINK("http://mcb-m6.bioreg.kyushu-u.ac.jp/M3/20110418/F51001/2439/1", 98.69)</f>
        <v>98.69</v>
      </c>
      <c r="E6904" s="2">
        <v>77.72</v>
      </c>
      <c r="F6904" s="2">
        <v>2</v>
      </c>
      <c r="G6904" s="2" t="s">
        <v>12</v>
      </c>
    </row>
    <row r="6905" spans="1:7" x14ac:dyDescent="0.2">
      <c r="A6905" s="2" t="s">
        <v>3360</v>
      </c>
      <c r="B6905" s="2" t="s">
        <v>452</v>
      </c>
      <c r="C6905" s="2">
        <v>894.40809999999999</v>
      </c>
      <c r="D6905" s="2">
        <f>HYPERLINK("http://mcb-m6.bioreg.kyushu-u.ac.jp/M3/20110418/F51001/2437/1", 106.37)</f>
        <v>106.37</v>
      </c>
      <c r="E6905" s="2">
        <v>78.94</v>
      </c>
      <c r="F6905" s="2">
        <v>2</v>
      </c>
      <c r="G6905" s="2" t="s">
        <v>12</v>
      </c>
    </row>
    <row r="6906" spans="1:7" x14ac:dyDescent="0.2">
      <c r="A6906" s="2" t="s">
        <v>3360</v>
      </c>
      <c r="B6906" s="2" t="s">
        <v>452</v>
      </c>
      <c r="C6906" s="2">
        <v>894.42269999999996</v>
      </c>
      <c r="D6906" s="2">
        <f>HYPERLINK("http://mcb-m6.bioreg.kyushu-u.ac.jp/M3/20110418/F51001/2438/1", 108.13)</f>
        <v>108.13</v>
      </c>
      <c r="E6906" s="2">
        <v>87.8</v>
      </c>
      <c r="F6906" s="2">
        <v>2</v>
      </c>
      <c r="G6906" s="2" t="s">
        <v>12</v>
      </c>
    </row>
    <row r="6907" spans="1:7" x14ac:dyDescent="0.2">
      <c r="A6907" s="2" t="s">
        <v>3360</v>
      </c>
      <c r="B6907" s="2" t="s">
        <v>184</v>
      </c>
      <c r="C6907" s="2">
        <v>783.82420000000002</v>
      </c>
      <c r="D6907" s="2">
        <f>HYPERLINK("http://mcb-m6.bioreg.kyushu-u.ac.jp/M3/20110429/F51153/2325/1", 36.39)</f>
        <v>36.39</v>
      </c>
      <c r="E6907" s="2">
        <v>20.14</v>
      </c>
      <c r="F6907" s="2">
        <v>2</v>
      </c>
      <c r="G6907" s="2" t="s">
        <v>13</v>
      </c>
    </row>
    <row r="6908" spans="1:7" x14ac:dyDescent="0.2">
      <c r="A6908" s="2" t="s">
        <v>3360</v>
      </c>
      <c r="B6908" s="2" t="s">
        <v>184</v>
      </c>
      <c r="C6908" s="2">
        <v>783.8107</v>
      </c>
      <c r="D6908" s="2">
        <f>HYPERLINK("http://mcb-m6.bioreg.kyushu-u.ac.jp/M3/20110429/F51154/2255/1", 39.86)</f>
        <v>39.86</v>
      </c>
      <c r="E6908" s="2">
        <v>21.06</v>
      </c>
      <c r="F6908" s="2">
        <v>2</v>
      </c>
      <c r="G6908" s="2" t="s">
        <v>13</v>
      </c>
    </row>
    <row r="6909" spans="1:7" x14ac:dyDescent="0.2">
      <c r="A6909" s="2" t="s">
        <v>3360</v>
      </c>
      <c r="B6909" s="2" t="s">
        <v>504</v>
      </c>
      <c r="C6909" s="2">
        <v>773.625</v>
      </c>
      <c r="D6909" s="2">
        <f>HYPERLINK("http://mcb-m6.bioreg.kyushu-u.ac.jp/M3/20110502/F51163/413/1", 43.41)</f>
        <v>43.41</v>
      </c>
      <c r="E6909" s="2">
        <v>24.11</v>
      </c>
      <c r="F6909" s="2">
        <v>1</v>
      </c>
      <c r="G6909" s="2" t="s">
        <v>13</v>
      </c>
    </row>
    <row r="6910" spans="1:7" x14ac:dyDescent="0.2">
      <c r="A6910" s="2" t="s">
        <v>3360</v>
      </c>
      <c r="B6910" s="2" t="s">
        <v>152</v>
      </c>
      <c r="C6910" s="2">
        <v>1081.5930000000001</v>
      </c>
      <c r="D6910" s="2">
        <f>HYPERLINK("http://mcb-m6.bioreg.kyushu-u.ac.jp/M3/20110502/F51163/906/1", 43.51)</f>
        <v>43.51</v>
      </c>
      <c r="E6910" s="2">
        <v>26.62</v>
      </c>
      <c r="F6910" s="2">
        <v>1</v>
      </c>
      <c r="G6910" s="2" t="s">
        <v>13</v>
      </c>
    </row>
    <row r="6911" spans="1:7" x14ac:dyDescent="0.2">
      <c r="A6911" s="2" t="s">
        <v>3360</v>
      </c>
      <c r="B6911" s="2" t="s">
        <v>966</v>
      </c>
      <c r="C6911" s="2">
        <v>564.70719999999994</v>
      </c>
      <c r="D6911" s="2">
        <f>HYPERLINK("http://mcb-m6.bioreg.kyushu-u.ac.jp/M3/20110502/F51163/2325/1", 43.65)</f>
        <v>43.65</v>
      </c>
      <c r="E6911" s="2">
        <v>30.51</v>
      </c>
      <c r="F6911" s="2">
        <v>3</v>
      </c>
      <c r="G6911" s="2" t="s">
        <v>13</v>
      </c>
    </row>
    <row r="6912" spans="1:7" x14ac:dyDescent="0.2">
      <c r="A6912" s="2" t="s">
        <v>3360</v>
      </c>
      <c r="B6912" s="2" t="s">
        <v>911</v>
      </c>
      <c r="C6912" s="2">
        <v>627.87270000000001</v>
      </c>
      <c r="D6912" s="2">
        <f>HYPERLINK("http://mcb-m6.bioreg.kyushu-u.ac.jp/M3/20110429/F51153/1304/1", 43.99)</f>
        <v>43.99</v>
      </c>
      <c r="E6912" s="2">
        <v>29.38</v>
      </c>
      <c r="F6912" s="2">
        <v>2</v>
      </c>
      <c r="G6912" s="2" t="s">
        <v>13</v>
      </c>
    </row>
    <row r="6913" spans="1:7" x14ac:dyDescent="0.2">
      <c r="A6913" s="2" t="s">
        <v>3360</v>
      </c>
      <c r="B6913" s="2" t="s">
        <v>911</v>
      </c>
      <c r="C6913" s="2">
        <v>627.64369999999997</v>
      </c>
      <c r="D6913" s="2">
        <f>HYPERLINK("http://mcb-m6.bioreg.kyushu-u.ac.jp/M3/20110502/F51163/1238/1", 44.32)</f>
        <v>44.32</v>
      </c>
      <c r="E6913" s="2">
        <v>28.16</v>
      </c>
      <c r="F6913" s="2">
        <v>2</v>
      </c>
      <c r="G6913" s="2" t="s">
        <v>13</v>
      </c>
    </row>
    <row r="6914" spans="1:7" x14ac:dyDescent="0.2">
      <c r="A6914" s="2" t="s">
        <v>3360</v>
      </c>
      <c r="B6914" s="2" t="s">
        <v>152</v>
      </c>
      <c r="C6914" s="2">
        <v>541.45119999999997</v>
      </c>
      <c r="D6914" s="2">
        <f>HYPERLINK("http://mcb-m6.bioreg.kyushu-u.ac.jp/M3/20110502/F51158/918/1", 44.58)</f>
        <v>44.58</v>
      </c>
      <c r="E6914" s="2">
        <v>15.04</v>
      </c>
      <c r="F6914" s="2">
        <v>2</v>
      </c>
      <c r="G6914" s="2" t="s">
        <v>13</v>
      </c>
    </row>
    <row r="6915" spans="1:7" x14ac:dyDescent="0.2">
      <c r="A6915" s="2" t="s">
        <v>3360</v>
      </c>
      <c r="B6915" s="2" t="s">
        <v>327</v>
      </c>
      <c r="C6915" s="2">
        <v>740.92769999999996</v>
      </c>
      <c r="D6915" s="2">
        <f>HYPERLINK("http://mcb-m6.bioreg.kyushu-u.ac.jp/M3/20110429/F51154/2008/1", 44.94)</f>
        <v>44.94</v>
      </c>
      <c r="E6915" s="2">
        <v>30.79</v>
      </c>
      <c r="F6915" s="2">
        <v>2</v>
      </c>
      <c r="G6915" s="2" t="s">
        <v>13</v>
      </c>
    </row>
    <row r="6916" spans="1:7" x14ac:dyDescent="0.2">
      <c r="A6916" s="2" t="s">
        <v>3360</v>
      </c>
      <c r="B6916" s="2" t="s">
        <v>911</v>
      </c>
      <c r="C6916" s="2">
        <v>627.83370000000002</v>
      </c>
      <c r="D6916" s="2">
        <f>HYPERLINK("http://mcb-m6.bioreg.kyushu-u.ac.jp/M3/20110502/F51163/1241/1", 46.14)</f>
        <v>46.14</v>
      </c>
      <c r="E6916" s="2">
        <v>29.07</v>
      </c>
      <c r="F6916" s="2">
        <v>2</v>
      </c>
      <c r="G6916" s="2" t="s">
        <v>13</v>
      </c>
    </row>
    <row r="6917" spans="1:7" x14ac:dyDescent="0.2">
      <c r="A6917" s="2" t="s">
        <v>3360</v>
      </c>
      <c r="B6917" s="2" t="s">
        <v>452</v>
      </c>
      <c r="C6917" s="2">
        <v>894.45320000000004</v>
      </c>
      <c r="D6917" s="2">
        <f>HYPERLINK("http://mcb-m6.bioreg.kyushu-u.ac.jp/M3/20110502/F51163/2550/1", 46.48)</f>
        <v>46.48</v>
      </c>
      <c r="E6917" s="2">
        <v>17.809999999999999</v>
      </c>
      <c r="F6917" s="2">
        <v>2</v>
      </c>
      <c r="G6917" s="2" t="s">
        <v>13</v>
      </c>
    </row>
    <row r="6918" spans="1:7" x14ac:dyDescent="0.2">
      <c r="A6918" s="2" t="s">
        <v>3360</v>
      </c>
      <c r="B6918" s="2" t="s">
        <v>452</v>
      </c>
      <c r="C6918" s="2">
        <v>597.03150000000005</v>
      </c>
      <c r="D6918" s="2">
        <f>HYPERLINK("http://mcb-m6.bioreg.kyushu-u.ac.jp/M3/20110502/F51163/2562/1", 48.38)</f>
        <v>48.38</v>
      </c>
      <c r="E6918" s="2">
        <v>28.19</v>
      </c>
      <c r="F6918" s="2">
        <v>3</v>
      </c>
      <c r="G6918" s="2" t="s">
        <v>13</v>
      </c>
    </row>
    <row r="6919" spans="1:7" x14ac:dyDescent="0.2">
      <c r="A6919" s="2" t="s">
        <v>3360</v>
      </c>
      <c r="B6919" s="2" t="s">
        <v>452</v>
      </c>
      <c r="C6919" s="2">
        <v>894.53020000000004</v>
      </c>
      <c r="D6919" s="2">
        <f>HYPERLINK("http://mcb-m6.bioreg.kyushu-u.ac.jp/M3/20110502/F51163/2552/1", 49.59)</f>
        <v>49.59</v>
      </c>
      <c r="E6919" s="2">
        <v>36.15</v>
      </c>
      <c r="F6919" s="2">
        <v>2</v>
      </c>
      <c r="G6919" s="2" t="s">
        <v>13</v>
      </c>
    </row>
    <row r="6920" spans="1:7" x14ac:dyDescent="0.2">
      <c r="A6920" s="2" t="s">
        <v>3360</v>
      </c>
      <c r="B6920" s="2" t="s">
        <v>327</v>
      </c>
      <c r="C6920" s="2">
        <v>740.92269999999996</v>
      </c>
      <c r="D6920" s="2">
        <f>HYPERLINK("http://mcb-m6.bioreg.kyushu-u.ac.jp/M3/20110429/F51153/1961/1", 51.51)</f>
        <v>51.51</v>
      </c>
      <c r="E6920" s="2">
        <v>22.22</v>
      </c>
      <c r="F6920" s="2">
        <v>2</v>
      </c>
      <c r="G6920" s="2" t="s">
        <v>13</v>
      </c>
    </row>
    <row r="6921" spans="1:7" x14ac:dyDescent="0.2">
      <c r="A6921" s="2" t="s">
        <v>3360</v>
      </c>
      <c r="B6921" s="2" t="s">
        <v>327</v>
      </c>
      <c r="C6921" s="2">
        <v>741.12819999999999</v>
      </c>
      <c r="D6921" s="2">
        <f>HYPERLINK("http://mcb-m6.bioreg.kyushu-u.ac.jp/M3/20110502/F51164/1734/1", 53.23)</f>
        <v>53.23</v>
      </c>
      <c r="E6921" s="2">
        <v>35.31</v>
      </c>
      <c r="F6921" s="2">
        <v>2</v>
      </c>
      <c r="G6921" s="2" t="s">
        <v>13</v>
      </c>
    </row>
    <row r="6922" spans="1:7" x14ac:dyDescent="0.2">
      <c r="A6922" s="2" t="s">
        <v>3360</v>
      </c>
      <c r="B6922" s="2" t="s">
        <v>152</v>
      </c>
      <c r="C6922" s="2">
        <v>541.36220000000003</v>
      </c>
      <c r="D6922" s="2">
        <f>HYPERLINK("http://mcb-m6.bioreg.kyushu-u.ac.jp/M3/20110502/F51163/908/1", 53.76)</f>
        <v>53.76</v>
      </c>
      <c r="E6922" s="2">
        <v>23.59</v>
      </c>
      <c r="F6922" s="2">
        <v>2</v>
      </c>
      <c r="G6922" s="2" t="s">
        <v>13</v>
      </c>
    </row>
    <row r="6923" spans="1:7" x14ac:dyDescent="0.2">
      <c r="A6923" s="2" t="s">
        <v>3360</v>
      </c>
      <c r="B6923" s="2" t="s">
        <v>452</v>
      </c>
      <c r="C6923" s="2">
        <v>894.51070000000004</v>
      </c>
      <c r="D6923" s="2">
        <f>HYPERLINK("http://mcb-m6.bioreg.kyushu-u.ac.jp/M3/20110502/F51163/2551/1", 54.33)</f>
        <v>54.33</v>
      </c>
      <c r="E6923" s="2">
        <v>37.04</v>
      </c>
      <c r="F6923" s="2">
        <v>2</v>
      </c>
      <c r="G6923" s="2" t="s">
        <v>13</v>
      </c>
    </row>
    <row r="6924" spans="1:7" x14ac:dyDescent="0.2">
      <c r="A6924" s="2" t="s">
        <v>3360</v>
      </c>
      <c r="B6924" s="2" t="s">
        <v>327</v>
      </c>
      <c r="C6924" s="2">
        <v>741.31669999999997</v>
      </c>
      <c r="D6924" s="2">
        <f>HYPERLINK("http://mcb-m6.bioreg.kyushu-u.ac.jp/M3/20110502/F51163/1798/1", 58.12)</f>
        <v>58.12</v>
      </c>
      <c r="E6924" s="2">
        <v>30.41</v>
      </c>
      <c r="F6924" s="2">
        <v>2</v>
      </c>
      <c r="G6924" s="2" t="s">
        <v>13</v>
      </c>
    </row>
    <row r="6925" spans="1:7" x14ac:dyDescent="0.2">
      <c r="A6925" s="2" t="s">
        <v>3360</v>
      </c>
      <c r="B6925" s="2" t="s">
        <v>452</v>
      </c>
      <c r="C6925" s="2">
        <v>895.03219999999999</v>
      </c>
      <c r="D6925" s="2">
        <f>HYPERLINK("http://mcb-m6.bioreg.kyushu-u.ac.jp/M3/20110502/F51163/2559/1", 58.39)</f>
        <v>58.39</v>
      </c>
      <c r="E6925" s="2">
        <v>47.05</v>
      </c>
      <c r="F6925" s="2">
        <v>2</v>
      </c>
      <c r="G6925" s="2" t="s">
        <v>13</v>
      </c>
    </row>
    <row r="6926" spans="1:7" x14ac:dyDescent="0.2">
      <c r="A6926" s="2" t="s">
        <v>3360</v>
      </c>
      <c r="B6926" s="2" t="s">
        <v>966</v>
      </c>
      <c r="C6926" s="2">
        <v>846.45169999999996</v>
      </c>
      <c r="D6926" s="2">
        <f>HYPERLINK("http://mcb-m6.bioreg.kyushu-u.ac.jp/M3/20110502/F51163/2324/1", 64.54)</f>
        <v>64.540000000000006</v>
      </c>
      <c r="E6926" s="2">
        <v>52.64</v>
      </c>
      <c r="F6926" s="2">
        <v>2</v>
      </c>
      <c r="G6926" s="2" t="s">
        <v>13</v>
      </c>
    </row>
    <row r="6927" spans="1:7" x14ac:dyDescent="0.2">
      <c r="A6927" s="2" t="s">
        <v>3360</v>
      </c>
      <c r="B6927" s="2" t="s">
        <v>452</v>
      </c>
      <c r="C6927" s="2">
        <v>894.67219999999998</v>
      </c>
      <c r="D6927" s="2">
        <f>HYPERLINK("http://mcb-m6.bioreg.kyushu-u.ac.jp/M3/20110502/F51163/2554/1", 68.02)</f>
        <v>68.02</v>
      </c>
      <c r="E6927" s="2">
        <v>56.02</v>
      </c>
      <c r="F6927" s="2">
        <v>2</v>
      </c>
      <c r="G6927" s="2" t="s">
        <v>13</v>
      </c>
    </row>
    <row r="6928" spans="1:7" x14ac:dyDescent="0.2">
      <c r="A6928" s="2" t="s">
        <v>3360</v>
      </c>
      <c r="B6928" s="2" t="s">
        <v>452</v>
      </c>
      <c r="C6928" s="2">
        <v>895.04219999999998</v>
      </c>
      <c r="D6928" s="2">
        <f>HYPERLINK("http://mcb-m6.bioreg.kyushu-u.ac.jp/M3/20110502/F51163/2561/1", 68.07)</f>
        <v>68.069999999999993</v>
      </c>
      <c r="E6928" s="2">
        <v>48.9</v>
      </c>
      <c r="F6928" s="2">
        <v>2</v>
      </c>
      <c r="G6928" s="2" t="s">
        <v>13</v>
      </c>
    </row>
    <row r="6929" spans="1:7" x14ac:dyDescent="0.2">
      <c r="A6929" s="2" t="s">
        <v>3360</v>
      </c>
      <c r="B6929" s="2" t="s">
        <v>184</v>
      </c>
      <c r="C6929" s="2">
        <v>783.99869999999999</v>
      </c>
      <c r="D6929" s="2">
        <f>HYPERLINK("http://mcb-m6.bioreg.kyushu-u.ac.jp/M3/20110502/F51163/2056/1", 70.18)</f>
        <v>70.180000000000007</v>
      </c>
      <c r="E6929" s="2">
        <v>44.58</v>
      </c>
      <c r="F6929" s="2">
        <v>2</v>
      </c>
      <c r="G6929" s="2" t="s">
        <v>13</v>
      </c>
    </row>
    <row r="6930" spans="1:7" x14ac:dyDescent="0.2">
      <c r="A6930" s="2" t="s">
        <v>3360</v>
      </c>
      <c r="B6930" s="2" t="s">
        <v>452</v>
      </c>
      <c r="C6930" s="2">
        <v>894.58969999999999</v>
      </c>
      <c r="D6930" s="2">
        <f>HYPERLINK("http://mcb-m6.bioreg.kyushu-u.ac.jp/M3/20110502/F51163/2553/1", 70.49)</f>
        <v>70.489999999999995</v>
      </c>
      <c r="E6930" s="2">
        <v>53.33</v>
      </c>
      <c r="F6930" s="2">
        <v>2</v>
      </c>
      <c r="G6930" s="2" t="s">
        <v>13</v>
      </c>
    </row>
    <row r="6931" spans="1:7" x14ac:dyDescent="0.2">
      <c r="A6931" s="2" t="s">
        <v>3360</v>
      </c>
      <c r="B6931" s="2" t="s">
        <v>452</v>
      </c>
      <c r="C6931" s="2">
        <v>894.4402</v>
      </c>
      <c r="D6931" s="2">
        <f>HYPERLINK("http://mcb-m6.bioreg.kyushu-u.ac.jp/M3/20110502/F51163/2549/1", 72.43)</f>
        <v>72.430000000000007</v>
      </c>
      <c r="E6931" s="2">
        <v>59.38</v>
      </c>
      <c r="F6931" s="2">
        <v>2</v>
      </c>
      <c r="G6931" s="2" t="s">
        <v>13</v>
      </c>
    </row>
    <row r="6932" spans="1:7" x14ac:dyDescent="0.2">
      <c r="A6932" s="2" t="s">
        <v>3360</v>
      </c>
      <c r="B6932" s="2" t="s">
        <v>966</v>
      </c>
      <c r="C6932" s="2">
        <v>846.57669999999996</v>
      </c>
      <c r="D6932" s="2">
        <f>HYPERLINK("http://mcb-m6.bioreg.kyushu-u.ac.jp/M3/20110429/F51153/2760/1", 76.33)</f>
        <v>76.33</v>
      </c>
      <c r="E6932" s="2">
        <v>62.83</v>
      </c>
      <c r="F6932" s="2">
        <v>2</v>
      </c>
      <c r="G6932" s="2" t="s">
        <v>13</v>
      </c>
    </row>
    <row r="6933" spans="1:7" x14ac:dyDescent="0.2">
      <c r="A6933" s="2" t="s">
        <v>3360</v>
      </c>
      <c r="B6933" s="2" t="s">
        <v>452</v>
      </c>
      <c r="C6933" s="2">
        <v>895.00019999999995</v>
      </c>
      <c r="D6933" s="2">
        <f>HYPERLINK("http://mcb-m6.bioreg.kyushu-u.ac.jp/M3/20110502/F51163/2558/1", 76.81)</f>
        <v>76.81</v>
      </c>
      <c r="E6933" s="2">
        <v>52.6</v>
      </c>
      <c r="F6933" s="2">
        <v>2</v>
      </c>
      <c r="G6933" s="2" t="s">
        <v>13</v>
      </c>
    </row>
    <row r="6934" spans="1:7" x14ac:dyDescent="0.2">
      <c r="A6934" s="2" t="s">
        <v>3360</v>
      </c>
      <c r="B6934" s="2" t="s">
        <v>452</v>
      </c>
      <c r="C6934" s="2">
        <v>894.55970000000002</v>
      </c>
      <c r="D6934" s="2">
        <f>HYPERLINK("http://mcb-m6.bioreg.kyushu-u.ac.jp/M3/20110502/F51164/2485/1", 87.01)</f>
        <v>87.01</v>
      </c>
      <c r="E6934" s="2">
        <v>57.89</v>
      </c>
      <c r="F6934" s="2">
        <v>2</v>
      </c>
      <c r="G6934" s="2" t="s">
        <v>13</v>
      </c>
    </row>
    <row r="6935" spans="1:7" x14ac:dyDescent="0.2">
      <c r="A6935" s="2" t="s">
        <v>3360</v>
      </c>
      <c r="B6935" s="2" t="s">
        <v>452</v>
      </c>
      <c r="C6935" s="2">
        <v>894.36360000000002</v>
      </c>
      <c r="D6935" s="2">
        <f>HYPERLINK("http://mcb-m6.bioreg.kyushu-u.ac.jp/M3/20110429/F51153/3063/1", 89.8)</f>
        <v>89.8</v>
      </c>
      <c r="E6935" s="2">
        <v>76.290000000000006</v>
      </c>
      <c r="F6935" s="2">
        <v>2</v>
      </c>
      <c r="G6935" s="2" t="s">
        <v>13</v>
      </c>
    </row>
    <row r="6936" spans="1:7" x14ac:dyDescent="0.2">
      <c r="A6936" s="2" t="s">
        <v>3360</v>
      </c>
      <c r="B6936" s="2" t="s">
        <v>152</v>
      </c>
      <c r="C6936" s="2">
        <v>541.46559999999999</v>
      </c>
      <c r="D6936" s="2">
        <f>HYPERLINK("http://mcb-m6.bioreg.kyushu-u.ac.jp/M3/20110502/F51161/1194/1", 39.73)</f>
        <v>39.729999999999997</v>
      </c>
      <c r="E6936" s="2">
        <v>22.49</v>
      </c>
      <c r="F6936" s="2">
        <v>2</v>
      </c>
      <c r="G6936" s="2" t="s">
        <v>14</v>
      </c>
    </row>
    <row r="6937" spans="1:7" x14ac:dyDescent="0.2">
      <c r="A6937" s="2" t="s">
        <v>3360</v>
      </c>
      <c r="B6937" s="2" t="s">
        <v>152</v>
      </c>
      <c r="C6937" s="2">
        <v>541.31709999999998</v>
      </c>
      <c r="D6937" s="2">
        <f>HYPERLINK("http://mcb-m6.bioreg.kyushu-u.ac.jp/M3/20110428/F51142/1073/1", 40.27)</f>
        <v>40.270000000000003</v>
      </c>
      <c r="E6937" s="2">
        <v>17.59</v>
      </c>
      <c r="F6937" s="2">
        <v>2</v>
      </c>
      <c r="G6937" s="2" t="s">
        <v>14</v>
      </c>
    </row>
    <row r="6938" spans="1:7" x14ac:dyDescent="0.2">
      <c r="A6938" s="2" t="s">
        <v>3360</v>
      </c>
      <c r="B6938" s="2" t="s">
        <v>452</v>
      </c>
      <c r="C6938" s="2">
        <v>894.5027</v>
      </c>
      <c r="D6938" s="2">
        <f>HYPERLINK("http://mcb-m6.bioreg.kyushu-u.ac.jp/M3/20110428/F51143/2810/1", 47.99)</f>
        <v>47.99</v>
      </c>
      <c r="E6938" s="2">
        <v>31.07</v>
      </c>
      <c r="F6938" s="2">
        <v>2</v>
      </c>
      <c r="G6938" s="2" t="s">
        <v>14</v>
      </c>
    </row>
    <row r="6939" spans="1:7" x14ac:dyDescent="0.2">
      <c r="A6939" s="2" t="s">
        <v>3360</v>
      </c>
      <c r="B6939" s="2" t="s">
        <v>327</v>
      </c>
      <c r="C6939" s="2">
        <v>741.14009999999996</v>
      </c>
      <c r="D6939" s="2">
        <f>HYPERLINK("http://mcb-m6.bioreg.kyushu-u.ac.jp/M3/20110502/F51161/1911/1", 50.06)</f>
        <v>50.06</v>
      </c>
      <c r="E6939" s="2">
        <v>16.68</v>
      </c>
      <c r="F6939" s="2">
        <v>2</v>
      </c>
      <c r="G6939" s="2" t="s">
        <v>14</v>
      </c>
    </row>
    <row r="6940" spans="1:7" x14ac:dyDescent="0.2">
      <c r="A6940" s="2" t="s">
        <v>3360</v>
      </c>
      <c r="B6940" s="2" t="s">
        <v>152</v>
      </c>
      <c r="C6940" s="2">
        <v>541.38019999999995</v>
      </c>
      <c r="D6940" s="2">
        <f>HYPERLINK("http://mcb-m6.bioreg.kyushu-u.ac.jp/M3/20110502/F51161/1193/1", 51.39)</f>
        <v>51.39</v>
      </c>
      <c r="E6940" s="2">
        <v>27.08</v>
      </c>
      <c r="F6940" s="2">
        <v>2</v>
      </c>
      <c r="G6940" s="2" t="s">
        <v>14</v>
      </c>
    </row>
    <row r="6941" spans="1:7" x14ac:dyDescent="0.2">
      <c r="A6941" s="2" t="s">
        <v>3360</v>
      </c>
      <c r="B6941" s="2" t="s">
        <v>452</v>
      </c>
      <c r="C6941" s="2">
        <v>894.51969999999994</v>
      </c>
      <c r="D6941" s="2">
        <f>HYPERLINK("http://mcb-m6.bioreg.kyushu-u.ac.jp/M3/20110502/F51162/2454/1", 53.05)</f>
        <v>53.05</v>
      </c>
      <c r="E6941" s="2">
        <v>41.31</v>
      </c>
      <c r="F6941" s="2">
        <v>2</v>
      </c>
      <c r="G6941" s="2" t="s">
        <v>14</v>
      </c>
    </row>
    <row r="6942" spans="1:7" x14ac:dyDescent="0.2">
      <c r="A6942" s="2" t="s">
        <v>3360</v>
      </c>
      <c r="B6942" s="2" t="s">
        <v>452</v>
      </c>
      <c r="C6942" s="2">
        <v>895.0557</v>
      </c>
      <c r="D6942" s="2">
        <f>HYPERLINK("http://mcb-m6.bioreg.kyushu-u.ac.jp/M3/20110502/F51162/2458/1", 55.06)</f>
        <v>55.06</v>
      </c>
      <c r="E6942" s="2">
        <v>21.08</v>
      </c>
      <c r="F6942" s="2">
        <v>2</v>
      </c>
      <c r="G6942" s="2" t="s">
        <v>14</v>
      </c>
    </row>
    <row r="6943" spans="1:7" x14ac:dyDescent="0.2">
      <c r="A6943" s="2" t="s">
        <v>3360</v>
      </c>
      <c r="B6943" s="2" t="s">
        <v>327</v>
      </c>
      <c r="C6943" s="2">
        <v>740.96169999999995</v>
      </c>
      <c r="D6943" s="2">
        <f>HYPERLINK("http://mcb-m6.bioreg.kyushu-u.ac.jp/M3/20110428/F51142/2045/1", 61.15)</f>
        <v>61.15</v>
      </c>
      <c r="E6943" s="2">
        <v>41.67</v>
      </c>
      <c r="F6943" s="2">
        <v>2</v>
      </c>
      <c r="G6943" s="2" t="s">
        <v>14</v>
      </c>
    </row>
    <row r="6944" spans="1:7" x14ac:dyDescent="0.2">
      <c r="A6944" s="2" t="s">
        <v>3360</v>
      </c>
      <c r="B6944" s="2" t="s">
        <v>327</v>
      </c>
      <c r="C6944" s="2">
        <v>740.97860000000003</v>
      </c>
      <c r="D6944" s="2">
        <f>HYPERLINK("http://mcb-m6.bioreg.kyushu-u.ac.jp/M3/20110428/F51143/2085/1", 62.75)</f>
        <v>62.75</v>
      </c>
      <c r="E6944" s="2">
        <v>38.39</v>
      </c>
      <c r="F6944" s="2">
        <v>2</v>
      </c>
      <c r="G6944" s="2" t="s">
        <v>14</v>
      </c>
    </row>
    <row r="6945" spans="1:8" x14ac:dyDescent="0.2">
      <c r="A6945" s="2" t="s">
        <v>3360</v>
      </c>
      <c r="B6945" s="2" t="s">
        <v>184</v>
      </c>
      <c r="C6945" s="2">
        <v>783.63419999999996</v>
      </c>
      <c r="D6945" s="2">
        <f>HYPERLINK("http://mcb-m6.bioreg.kyushu-u.ac.jp/M3/20110502/F51161/2076/1", 65.75)</f>
        <v>65.75</v>
      </c>
      <c r="E6945" s="2">
        <v>43.73</v>
      </c>
      <c r="F6945" s="2">
        <v>2</v>
      </c>
      <c r="G6945" s="2" t="s">
        <v>14</v>
      </c>
    </row>
    <row r="6946" spans="1:8" x14ac:dyDescent="0.2">
      <c r="A6946" s="2" t="s">
        <v>3360</v>
      </c>
      <c r="B6946" s="2" t="s">
        <v>911</v>
      </c>
      <c r="C6946" s="2">
        <v>627.32169999999996</v>
      </c>
      <c r="D6946" s="2">
        <f>HYPERLINK("http://mcb-m6.bioreg.kyushu-u.ac.jp/M3/20110428/F51142/1506/1", 66.02)</f>
        <v>66.02</v>
      </c>
      <c r="E6946" s="2">
        <v>40.229999999999997</v>
      </c>
      <c r="F6946" s="2">
        <v>2</v>
      </c>
      <c r="G6946" s="2" t="s">
        <v>14</v>
      </c>
    </row>
    <row r="6947" spans="1:8" x14ac:dyDescent="0.2">
      <c r="A6947" s="2" t="s">
        <v>3360</v>
      </c>
      <c r="B6947" s="2" t="s">
        <v>966</v>
      </c>
      <c r="C6947" s="2">
        <v>846.48469999999998</v>
      </c>
      <c r="D6947" s="2">
        <f>HYPERLINK("http://mcb-m6.bioreg.kyushu-u.ac.jp/M3/20110428/F51142/2765/1", 68.23)</f>
        <v>68.23</v>
      </c>
      <c r="E6947" s="2">
        <v>57.6</v>
      </c>
      <c r="F6947" s="2">
        <v>2</v>
      </c>
      <c r="G6947" s="2" t="s">
        <v>14</v>
      </c>
    </row>
    <row r="6948" spans="1:8" x14ac:dyDescent="0.2">
      <c r="A6948" s="2" t="s">
        <v>3360</v>
      </c>
      <c r="B6948" s="2" t="s">
        <v>452</v>
      </c>
      <c r="C6948" s="2">
        <v>894.46870000000001</v>
      </c>
      <c r="D6948" s="2">
        <f>HYPERLINK("http://mcb-m6.bioreg.kyushu-u.ac.jp/M3/20110428/F51142/3035/1", 69.47)</f>
        <v>69.47</v>
      </c>
      <c r="E6948" s="2">
        <v>56.49</v>
      </c>
      <c r="F6948" s="2">
        <v>2</v>
      </c>
      <c r="G6948" s="2" t="s">
        <v>14</v>
      </c>
    </row>
    <row r="6949" spans="1:8" x14ac:dyDescent="0.2">
      <c r="A6949" s="2" t="s">
        <v>3360</v>
      </c>
      <c r="B6949" s="2" t="s">
        <v>966</v>
      </c>
      <c r="C6949" s="2">
        <v>846.5566</v>
      </c>
      <c r="D6949" s="2">
        <f>HYPERLINK("http://mcb-m6.bioreg.kyushu-u.ac.jp/M3/20110502/F51161/2261/1", 73.52)</f>
        <v>73.52</v>
      </c>
      <c r="E6949" s="2">
        <v>58.14</v>
      </c>
      <c r="F6949" s="2">
        <v>2</v>
      </c>
      <c r="G6949" s="2" t="s">
        <v>14</v>
      </c>
    </row>
    <row r="6950" spans="1:8" x14ac:dyDescent="0.2">
      <c r="A6950" s="2" t="s">
        <v>3360</v>
      </c>
      <c r="B6950" s="2" t="s">
        <v>452</v>
      </c>
      <c r="C6950" s="2">
        <v>894.88019999999995</v>
      </c>
      <c r="D6950" s="2">
        <f>HYPERLINK("http://mcb-m6.bioreg.kyushu-u.ac.jp/M3/20110502/F51161/2405/1", 92.91)</f>
        <v>92.91</v>
      </c>
      <c r="E6950" s="2">
        <v>76.430000000000007</v>
      </c>
      <c r="F6950" s="2">
        <v>2</v>
      </c>
      <c r="G6950" s="2" t="s">
        <v>14</v>
      </c>
    </row>
    <row r="6951" spans="1:8" x14ac:dyDescent="0.2">
      <c r="A6951" s="2" t="s">
        <v>3256</v>
      </c>
      <c r="B6951" s="2" t="s">
        <v>36</v>
      </c>
      <c r="C6951" s="2">
        <v>925.49249999999995</v>
      </c>
      <c r="D6951" s="2">
        <f>HYPERLINK("http://mcb-m6.bioreg.kyushu-u.ac.jp/M3/20110318/F50619/3107/1", 37.39)</f>
        <v>37.39</v>
      </c>
      <c r="E6951" s="2">
        <v>28.24</v>
      </c>
      <c r="F6951" s="2">
        <v>3</v>
      </c>
      <c r="G6951" s="2" t="s">
        <v>9</v>
      </c>
    </row>
    <row r="6952" spans="1:8" x14ac:dyDescent="0.2">
      <c r="A6952" s="2" t="s">
        <v>3256</v>
      </c>
      <c r="B6952" s="2" t="s">
        <v>36</v>
      </c>
      <c r="C6952" s="2">
        <v>925.18759999999997</v>
      </c>
      <c r="D6952" s="2">
        <f>HYPERLINK("http://mcb-m6.bioreg.kyushu-u.ac.jp/M3/20110318/F50618/3488/1", 41.2)</f>
        <v>41.2</v>
      </c>
      <c r="E6952" s="2">
        <v>30.05</v>
      </c>
      <c r="F6952" s="2">
        <v>3</v>
      </c>
      <c r="G6952" s="2" t="s">
        <v>9</v>
      </c>
    </row>
    <row r="6953" spans="1:8" x14ac:dyDescent="0.2">
      <c r="A6953" s="2" t="s">
        <v>3256</v>
      </c>
      <c r="B6953" s="2" t="s">
        <v>36</v>
      </c>
      <c r="C6953" s="2">
        <v>925.70860000000005</v>
      </c>
      <c r="D6953" s="2">
        <f>HYPERLINK("http://mcb-m6.bioreg.kyushu-u.ac.jp/M3/20110318/F50618/3493/1", 45.53)</f>
        <v>45.53</v>
      </c>
      <c r="E6953" s="2">
        <v>37.89</v>
      </c>
      <c r="F6953" s="2">
        <v>3</v>
      </c>
      <c r="G6953" s="2" t="s">
        <v>9</v>
      </c>
    </row>
    <row r="6954" spans="1:8" x14ac:dyDescent="0.2">
      <c r="A6954" s="2" t="s">
        <v>3256</v>
      </c>
      <c r="B6954" s="2" t="s">
        <v>36</v>
      </c>
      <c r="C6954" s="2">
        <v>925.68010000000004</v>
      </c>
      <c r="D6954" s="2">
        <f>HYPERLINK("http://mcb-m6.bioreg.kyushu-u.ac.jp/M3/20110318/F50618/3492/1", 45.58)</f>
        <v>45.58</v>
      </c>
      <c r="E6954" s="2">
        <v>37.97</v>
      </c>
      <c r="F6954" s="2">
        <v>3</v>
      </c>
      <c r="G6954" s="2" t="s">
        <v>9</v>
      </c>
    </row>
    <row r="6955" spans="1:8" x14ac:dyDescent="0.2">
      <c r="A6955" s="2" t="s">
        <v>3256</v>
      </c>
      <c r="B6955" s="2" t="s">
        <v>36</v>
      </c>
      <c r="C6955" s="2">
        <v>1387.645</v>
      </c>
      <c r="D6955" s="2">
        <f>HYPERLINK("http://mcb-m6.bioreg.kyushu-u.ac.jp/M3/20110318/F50618/3489/1", 64.54)</f>
        <v>64.540000000000006</v>
      </c>
      <c r="E6955" s="2">
        <v>55.75</v>
      </c>
      <c r="F6955" s="2">
        <v>2</v>
      </c>
      <c r="G6955" s="2" t="s">
        <v>9</v>
      </c>
    </row>
    <row r="6956" spans="1:8" x14ac:dyDescent="0.2">
      <c r="A6956" s="2" t="s">
        <v>3256</v>
      </c>
      <c r="B6956" s="2" t="s">
        <v>36</v>
      </c>
      <c r="C6956" s="2">
        <v>1387.828</v>
      </c>
      <c r="D6956" s="2">
        <f>HYPERLINK("http://mcb-m6.bioreg.kyushu-u.ac.jp/M3/20110318/F50618/3490/1", 93.83)</f>
        <v>93.83</v>
      </c>
      <c r="E6956" s="2">
        <v>84.9</v>
      </c>
      <c r="F6956" s="2">
        <v>2</v>
      </c>
      <c r="G6956" s="2" t="s">
        <v>9</v>
      </c>
    </row>
    <row r="6957" spans="1:8" x14ac:dyDescent="0.2">
      <c r="A6957" s="2" t="s">
        <v>3256</v>
      </c>
      <c r="B6957" s="2" t="s">
        <v>36</v>
      </c>
      <c r="C6957" s="2">
        <v>1379.617</v>
      </c>
      <c r="D6957" s="2">
        <f>HYPERLINK("http://mcb-m6.bioreg.kyushu-u.ac.jp/M3/20110318/F50618/3483/1", 99.01)</f>
        <v>99.01</v>
      </c>
      <c r="E6957" s="2">
        <v>88.53</v>
      </c>
      <c r="F6957" s="2">
        <v>2</v>
      </c>
      <c r="G6957" s="2" t="s">
        <v>9</v>
      </c>
      <c r="H6957" s="2" t="s">
        <v>4904</v>
      </c>
    </row>
    <row r="6958" spans="1:8" x14ac:dyDescent="0.2">
      <c r="A6958" s="2" t="s">
        <v>3256</v>
      </c>
      <c r="B6958" s="2" t="s">
        <v>36</v>
      </c>
      <c r="C6958" s="2">
        <v>1379.2249999999999</v>
      </c>
      <c r="D6958" s="2">
        <f>HYPERLINK("http://mcb-m6.bioreg.kyushu-u.ac.jp/M3/20110318/F50614/3352/1", 51.89)</f>
        <v>51.89</v>
      </c>
      <c r="E6958" s="2">
        <v>44.63</v>
      </c>
      <c r="F6958" s="2">
        <v>2</v>
      </c>
      <c r="G6958" s="2" t="s">
        <v>10</v>
      </c>
      <c r="H6958" s="2" t="s">
        <v>4904</v>
      </c>
    </row>
    <row r="6959" spans="1:8" x14ac:dyDescent="0.2">
      <c r="A6959" s="2" t="s">
        <v>3256</v>
      </c>
      <c r="B6959" s="2" t="s">
        <v>36</v>
      </c>
      <c r="C6959" s="2">
        <v>925.84280000000001</v>
      </c>
      <c r="D6959" s="2">
        <f>HYPERLINK("http://mcb-m6.bioreg.kyushu-u.ac.jp/M3/20110318/F50614/3366/1", 52.94)</f>
        <v>52.94</v>
      </c>
      <c r="E6959" s="2">
        <v>42.53</v>
      </c>
      <c r="F6959" s="2">
        <v>3</v>
      </c>
      <c r="G6959" s="2" t="s">
        <v>10</v>
      </c>
    </row>
    <row r="6960" spans="1:8" x14ac:dyDescent="0.2">
      <c r="A6960" s="2" t="s">
        <v>3256</v>
      </c>
      <c r="B6960" s="2" t="s">
        <v>36</v>
      </c>
      <c r="C6960" s="2">
        <v>925.64179999999999</v>
      </c>
      <c r="D6960" s="2">
        <f>HYPERLINK("http://mcb-m6.bioreg.kyushu-u.ac.jp/M3/20110318/F50614/3365/1", 74.73)</f>
        <v>74.73</v>
      </c>
      <c r="E6960" s="2">
        <v>64.98</v>
      </c>
      <c r="F6960" s="2">
        <v>3</v>
      </c>
      <c r="G6960" s="2" t="s">
        <v>10</v>
      </c>
    </row>
    <row r="6961" spans="1:9" x14ac:dyDescent="0.2">
      <c r="A6961" s="2" t="s">
        <v>3256</v>
      </c>
      <c r="B6961" s="2" t="s">
        <v>36</v>
      </c>
      <c r="C6961" s="2">
        <v>1388.019</v>
      </c>
      <c r="D6961" s="2">
        <f>HYPERLINK("http://mcb-m6.bioreg.kyushu-u.ac.jp/M3/20110318/F50615/3081/1", 82.13)</f>
        <v>82.13</v>
      </c>
      <c r="E6961" s="2">
        <v>78.34</v>
      </c>
      <c r="F6961" s="2">
        <v>2</v>
      </c>
      <c r="G6961" s="2" t="s">
        <v>10</v>
      </c>
    </row>
    <row r="6962" spans="1:9" x14ac:dyDescent="0.2">
      <c r="A6962" s="2" t="s">
        <v>3256</v>
      </c>
      <c r="B6962" s="2" t="s">
        <v>36</v>
      </c>
      <c r="C6962" s="2">
        <v>1379.49</v>
      </c>
      <c r="D6962" s="2">
        <f>HYPERLINK("http://mcb-m6.bioreg.kyushu-u.ac.jp/M3/20110502/F51163/3535/1", 51.62)</f>
        <v>51.62</v>
      </c>
      <c r="E6962" s="2">
        <v>44.39</v>
      </c>
      <c r="F6962" s="2">
        <v>2</v>
      </c>
      <c r="G6962" s="2" t="s">
        <v>13</v>
      </c>
      <c r="H6962" s="2" t="s">
        <v>4904</v>
      </c>
    </row>
    <row r="6963" spans="1:9" x14ac:dyDescent="0.2">
      <c r="A6963" s="2" t="s">
        <v>3256</v>
      </c>
      <c r="B6963" s="2" t="s">
        <v>36</v>
      </c>
      <c r="C6963" s="2">
        <v>925.46190000000001</v>
      </c>
      <c r="D6963" s="2">
        <f>HYPERLINK("http://mcb-m6.bioreg.kyushu-u.ac.jp/M3/20110429/F51153/4553/1", 63.24)</f>
        <v>63.24</v>
      </c>
      <c r="E6963" s="2">
        <v>48.94</v>
      </c>
      <c r="F6963" s="2">
        <v>3</v>
      </c>
      <c r="G6963" s="2" t="s">
        <v>13</v>
      </c>
    </row>
    <row r="6964" spans="1:9" x14ac:dyDescent="0.2">
      <c r="A6964" s="2" t="s">
        <v>3256</v>
      </c>
      <c r="B6964" s="2" t="s">
        <v>36</v>
      </c>
      <c r="C6964" s="2">
        <v>925.83090000000004</v>
      </c>
      <c r="D6964" s="2">
        <f>HYPERLINK("http://mcb-m6.bioreg.kyushu-u.ac.jp/M3/20110502/F51163/3542/1", 84.85)</f>
        <v>84.85</v>
      </c>
      <c r="E6964" s="2">
        <v>71.12</v>
      </c>
      <c r="F6964" s="2">
        <v>3</v>
      </c>
      <c r="G6964" s="2" t="s">
        <v>13</v>
      </c>
    </row>
    <row r="6965" spans="1:9" x14ac:dyDescent="0.2">
      <c r="A6965" s="2" t="s">
        <v>3256</v>
      </c>
      <c r="B6965" s="2" t="s">
        <v>36</v>
      </c>
      <c r="C6965" s="2">
        <v>1388.0350000000001</v>
      </c>
      <c r="D6965" s="2">
        <f>HYPERLINK("http://mcb-m6.bioreg.kyushu-u.ac.jp/M3/20110502/F51163/3540/1", 92.99)</f>
        <v>92.99</v>
      </c>
      <c r="E6965" s="2">
        <v>85.57</v>
      </c>
      <c r="F6965" s="2">
        <v>2</v>
      </c>
      <c r="G6965" s="2" t="s">
        <v>13</v>
      </c>
    </row>
    <row r="6966" spans="1:9" x14ac:dyDescent="0.2">
      <c r="A6966" s="2" t="s">
        <v>3488</v>
      </c>
      <c r="B6966" s="2" t="s">
        <v>317</v>
      </c>
      <c r="C6966" s="2">
        <v>472.9511</v>
      </c>
      <c r="D6966" s="2">
        <f>HYPERLINK("http://mcb-m6.bioreg.kyushu-u.ac.jp/M3/20110318/F50607/904/1", 38.09)</f>
        <v>38.090000000000003</v>
      </c>
      <c r="E6966" s="2">
        <v>13.22</v>
      </c>
      <c r="F6966" s="2">
        <v>2</v>
      </c>
      <c r="G6966" s="2" t="s">
        <v>9</v>
      </c>
      <c r="I6966" s="2" t="s">
        <v>4890</v>
      </c>
    </row>
    <row r="6967" spans="1:9" x14ac:dyDescent="0.2">
      <c r="A6967" s="2" t="s">
        <v>3488</v>
      </c>
      <c r="B6967" s="2" t="s">
        <v>317</v>
      </c>
      <c r="C6967" s="2">
        <v>473.04109999999997</v>
      </c>
      <c r="D6967" s="2">
        <f>HYPERLINK("http://mcb-m6.bioreg.kyushu-u.ac.jp/M3/20110318/F50605/824/1", 41.85)</f>
        <v>41.85</v>
      </c>
      <c r="E6967" s="2">
        <v>15.57</v>
      </c>
      <c r="F6967" s="2">
        <v>2</v>
      </c>
      <c r="G6967" s="2" t="s">
        <v>9</v>
      </c>
      <c r="I6967" s="2" t="s">
        <v>4890</v>
      </c>
    </row>
    <row r="6968" spans="1:9" x14ac:dyDescent="0.2">
      <c r="A6968" s="2" t="s">
        <v>3488</v>
      </c>
      <c r="B6968" s="2" t="s">
        <v>317</v>
      </c>
      <c r="C6968" s="2">
        <v>472.79559999999998</v>
      </c>
      <c r="D6968" s="2">
        <f>HYPERLINK("http://mcb-m6.bioreg.kyushu-u.ac.jp/M3/20110318/F50618/702/1", 42.46)</f>
        <v>42.46</v>
      </c>
      <c r="E6968" s="2">
        <v>12.29</v>
      </c>
      <c r="F6968" s="2">
        <v>2</v>
      </c>
      <c r="G6968" s="2" t="s">
        <v>9</v>
      </c>
      <c r="I6968" s="2" t="s">
        <v>4890</v>
      </c>
    </row>
    <row r="6969" spans="1:9" x14ac:dyDescent="0.2">
      <c r="A6969" s="2" t="s">
        <v>3488</v>
      </c>
      <c r="B6969" s="2" t="s">
        <v>1175</v>
      </c>
      <c r="C6969" s="2">
        <v>1277.3510000000001</v>
      </c>
      <c r="D6969" s="2">
        <f>HYPERLINK("http://mcb-m6.bioreg.kyushu-u.ac.jp/M3/20110318/F50618/1198/1", 50.41)</f>
        <v>50.41</v>
      </c>
      <c r="E6969" s="2">
        <v>20.74</v>
      </c>
      <c r="F6969" s="2">
        <v>1</v>
      </c>
      <c r="G6969" s="2" t="s">
        <v>9</v>
      </c>
      <c r="I6969" s="2" t="s">
        <v>4893</v>
      </c>
    </row>
    <row r="6970" spans="1:9" x14ac:dyDescent="0.2">
      <c r="A6970" s="2" t="s">
        <v>3488</v>
      </c>
      <c r="B6970" s="2" t="s">
        <v>1181</v>
      </c>
      <c r="C6970" s="2">
        <v>873.26120000000003</v>
      </c>
      <c r="D6970" s="2">
        <f>HYPERLINK("http://mcb-m6.bioreg.kyushu-u.ac.jp/M3/20110318/F50618/2225/1", 72.71)</f>
        <v>72.709999999999994</v>
      </c>
      <c r="E6970" s="2">
        <v>44.71</v>
      </c>
      <c r="F6970" s="2">
        <v>2</v>
      </c>
      <c r="G6970" s="2" t="s">
        <v>9</v>
      </c>
    </row>
    <row r="6971" spans="1:9" x14ac:dyDescent="0.2">
      <c r="A6971" s="2" t="s">
        <v>3488</v>
      </c>
      <c r="B6971" s="2" t="s">
        <v>1175</v>
      </c>
      <c r="C6971" s="2">
        <v>639.32619999999997</v>
      </c>
      <c r="D6971" s="2">
        <f>HYPERLINK("http://mcb-m6.bioreg.kyushu-u.ac.jp/M3/20110318/F50618/1199/1", 77.8)</f>
        <v>77.8</v>
      </c>
      <c r="E6971" s="2">
        <v>43.51</v>
      </c>
      <c r="F6971" s="2">
        <v>2</v>
      </c>
      <c r="G6971" s="2" t="s">
        <v>9</v>
      </c>
      <c r="I6971" s="2" t="s">
        <v>4893</v>
      </c>
    </row>
    <row r="6972" spans="1:9" x14ac:dyDescent="0.2">
      <c r="A6972" s="2" t="s">
        <v>3488</v>
      </c>
      <c r="B6972" s="2" t="s">
        <v>1181</v>
      </c>
      <c r="C6972" s="2">
        <v>582.87919999999997</v>
      </c>
      <c r="D6972" s="2">
        <f>HYPERLINK("http://mcb-m6.bioreg.kyushu-u.ac.jp/M3/20110318/F50597/2117/1", 35.08)</f>
        <v>35.08</v>
      </c>
      <c r="E6972" s="2">
        <v>20.51</v>
      </c>
      <c r="F6972" s="2">
        <v>3</v>
      </c>
      <c r="G6972" s="2" t="s">
        <v>10</v>
      </c>
    </row>
    <row r="6973" spans="1:9" x14ac:dyDescent="0.2">
      <c r="A6973" s="2" t="s">
        <v>3488</v>
      </c>
      <c r="B6973" s="2" t="s">
        <v>317</v>
      </c>
      <c r="C6973" s="2">
        <v>472.8646</v>
      </c>
      <c r="D6973" s="2">
        <f>HYPERLINK("http://mcb-m6.bioreg.kyushu-u.ac.jp/M3/20110318/F50613/824/1", 40.14)</f>
        <v>40.14</v>
      </c>
      <c r="E6973" s="2">
        <v>11.31</v>
      </c>
      <c r="F6973" s="2">
        <v>2</v>
      </c>
      <c r="G6973" s="2" t="s">
        <v>10</v>
      </c>
      <c r="I6973" s="2" t="s">
        <v>4890</v>
      </c>
    </row>
    <row r="6974" spans="1:9" x14ac:dyDescent="0.2">
      <c r="A6974" s="2" t="s">
        <v>3488</v>
      </c>
      <c r="B6974" s="2" t="s">
        <v>317</v>
      </c>
      <c r="C6974" s="2">
        <v>472.94909999999999</v>
      </c>
      <c r="D6974" s="2">
        <f>HYPERLINK("http://mcb-m6.bioreg.kyushu-u.ac.jp/M3/20110318/F50614/849/1", 46.03)</f>
        <v>46.03</v>
      </c>
      <c r="E6974" s="2">
        <v>12.14</v>
      </c>
      <c r="F6974" s="2">
        <v>2</v>
      </c>
      <c r="G6974" s="2" t="s">
        <v>10</v>
      </c>
      <c r="I6974" s="2" t="s">
        <v>4890</v>
      </c>
    </row>
    <row r="6975" spans="1:9" x14ac:dyDescent="0.2">
      <c r="A6975" s="2" t="s">
        <v>3488</v>
      </c>
      <c r="B6975" s="2" t="s">
        <v>1175</v>
      </c>
      <c r="C6975" s="2">
        <v>639.42319999999995</v>
      </c>
      <c r="D6975" s="2">
        <f>HYPERLINK("http://mcb-m6.bioreg.kyushu-u.ac.jp/M3/20110318/F50613/1277/1", 46.35)</f>
        <v>46.35</v>
      </c>
      <c r="E6975" s="2">
        <v>23.81</v>
      </c>
      <c r="F6975" s="2">
        <v>2</v>
      </c>
      <c r="G6975" s="2" t="s">
        <v>10</v>
      </c>
      <c r="I6975" s="2" t="s">
        <v>4893</v>
      </c>
    </row>
    <row r="6976" spans="1:9" x14ac:dyDescent="0.2">
      <c r="A6976" s="2" t="s">
        <v>3488</v>
      </c>
      <c r="B6976" s="2" t="s">
        <v>1181</v>
      </c>
      <c r="C6976" s="2">
        <v>873.88120000000004</v>
      </c>
      <c r="D6976" s="2">
        <f>HYPERLINK("http://mcb-m6.bioreg.kyushu-u.ac.jp/M3/20110318/F50614/2223/1", 53.03)</f>
        <v>53.03</v>
      </c>
      <c r="E6976" s="2">
        <v>35.97</v>
      </c>
      <c r="F6976" s="2">
        <v>2</v>
      </c>
      <c r="G6976" s="2" t="s">
        <v>10</v>
      </c>
    </row>
    <row r="6977" spans="1:9" x14ac:dyDescent="0.2">
      <c r="A6977" s="2" t="s">
        <v>3488</v>
      </c>
      <c r="B6977" s="2" t="s">
        <v>1175</v>
      </c>
      <c r="C6977" s="2">
        <v>639.47720000000004</v>
      </c>
      <c r="D6977" s="2">
        <f>HYPERLINK("http://mcb-m6.bioreg.kyushu-u.ac.jp/M3/20110318/F50614/1324/1", 73.06)</f>
        <v>73.06</v>
      </c>
      <c r="E6977" s="2">
        <v>41.21</v>
      </c>
      <c r="F6977" s="2">
        <v>2</v>
      </c>
      <c r="G6977" s="2" t="s">
        <v>10</v>
      </c>
      <c r="I6977" s="2" t="s">
        <v>4893</v>
      </c>
    </row>
    <row r="6978" spans="1:9" x14ac:dyDescent="0.2">
      <c r="A6978" s="2" t="s">
        <v>3488</v>
      </c>
      <c r="B6978" s="2" t="s">
        <v>317</v>
      </c>
      <c r="C6978" s="2">
        <v>472.5856</v>
      </c>
      <c r="D6978" s="2">
        <f>HYPERLINK("http://mcb-m6.bioreg.kyushu-u.ac.jp/M3/20110418/F50977/801/1", 37.93)</f>
        <v>37.93</v>
      </c>
      <c r="E6978" s="2">
        <v>13.28</v>
      </c>
      <c r="F6978" s="2">
        <v>2</v>
      </c>
      <c r="G6978" s="2" t="s">
        <v>11</v>
      </c>
      <c r="I6978" s="2" t="s">
        <v>4890</v>
      </c>
    </row>
    <row r="6979" spans="1:9" x14ac:dyDescent="0.2">
      <c r="A6979" s="2" t="s">
        <v>3488</v>
      </c>
      <c r="B6979" s="2" t="s">
        <v>317</v>
      </c>
      <c r="C6979" s="2">
        <v>472.72059999999999</v>
      </c>
      <c r="D6979" s="2">
        <f>HYPERLINK("http://mcb-m6.bioreg.kyushu-u.ac.jp/M3/20110418/F50999/1145/1", 45.1)</f>
        <v>45.1</v>
      </c>
      <c r="E6979" s="2">
        <v>18.55</v>
      </c>
      <c r="F6979" s="2">
        <v>2</v>
      </c>
      <c r="G6979" s="2" t="s">
        <v>11</v>
      </c>
      <c r="I6979" s="2" t="s">
        <v>4890</v>
      </c>
    </row>
    <row r="6980" spans="1:9" x14ac:dyDescent="0.2">
      <c r="A6980" s="2" t="s">
        <v>3488</v>
      </c>
      <c r="B6980" s="2" t="s">
        <v>317</v>
      </c>
      <c r="C6980" s="2">
        <v>472.5881</v>
      </c>
      <c r="D6980" s="2">
        <f>HYPERLINK("http://mcb-m6.bioreg.kyushu-u.ac.jp/M3/20110418/F51001/1161/1", 39.36)</f>
        <v>39.36</v>
      </c>
      <c r="E6980" s="2">
        <v>10.09</v>
      </c>
      <c r="F6980" s="2">
        <v>2</v>
      </c>
      <c r="G6980" s="2" t="s">
        <v>12</v>
      </c>
      <c r="I6980" s="2" t="s">
        <v>4890</v>
      </c>
    </row>
    <row r="6981" spans="1:9" x14ac:dyDescent="0.2">
      <c r="A6981" s="2" t="s">
        <v>3488</v>
      </c>
      <c r="B6981" s="2" t="s">
        <v>1396</v>
      </c>
      <c r="C6981" s="2">
        <v>873.97519999999997</v>
      </c>
      <c r="D6981" s="2">
        <f>HYPERLINK("http://mcb-m6.bioreg.kyushu-u.ac.jp/M3/20110502/F51163/2453/1", 39.3)</f>
        <v>39.299999999999997</v>
      </c>
      <c r="E6981" s="2">
        <v>18.84</v>
      </c>
      <c r="F6981" s="2">
        <v>2</v>
      </c>
      <c r="G6981" s="2" t="s">
        <v>13</v>
      </c>
      <c r="I6981" s="2" t="s">
        <v>4905</v>
      </c>
    </row>
    <row r="6982" spans="1:9" x14ac:dyDescent="0.2">
      <c r="A6982" s="2" t="s">
        <v>3488</v>
      </c>
      <c r="B6982" s="2" t="s">
        <v>1175</v>
      </c>
      <c r="C6982" s="2">
        <v>639.43409999999994</v>
      </c>
      <c r="D6982" s="2">
        <f>HYPERLINK("http://mcb-m6.bioreg.kyushu-u.ac.jp/M3/20110502/F51163/1282/1", 65.84)</f>
        <v>65.84</v>
      </c>
      <c r="E6982" s="2">
        <v>37.25</v>
      </c>
      <c r="F6982" s="2">
        <v>2</v>
      </c>
      <c r="G6982" s="2" t="s">
        <v>13</v>
      </c>
      <c r="I6982" s="2" t="s">
        <v>4893</v>
      </c>
    </row>
    <row r="6983" spans="1:9" x14ac:dyDescent="0.2">
      <c r="A6983" s="2" t="s">
        <v>3488</v>
      </c>
      <c r="B6983" s="2" t="s">
        <v>317</v>
      </c>
      <c r="C6983" s="2">
        <v>472.80360000000002</v>
      </c>
      <c r="D6983" s="2">
        <f>HYPERLINK("http://mcb-m6.bioreg.kyushu-u.ac.jp/M3/20110428/F51142/723/1", 45.45)</f>
        <v>45.45</v>
      </c>
      <c r="E6983" s="2">
        <v>18.79</v>
      </c>
      <c r="F6983" s="2">
        <v>2</v>
      </c>
      <c r="G6983" s="2" t="s">
        <v>14</v>
      </c>
      <c r="I6983" s="2" t="s">
        <v>4890</v>
      </c>
    </row>
    <row r="6984" spans="1:9" x14ac:dyDescent="0.2">
      <c r="A6984" s="2" t="s">
        <v>3383</v>
      </c>
      <c r="B6984" s="2" t="s">
        <v>368</v>
      </c>
      <c r="C6984" s="2">
        <v>833.86410000000001</v>
      </c>
      <c r="D6984" s="2">
        <f>HYPERLINK("http://mcb-m6.bioreg.kyushu-u.ac.jp/M3/20110318/F50618/2069/1", 41.36)</f>
        <v>41.36</v>
      </c>
      <c r="E6984" s="2">
        <v>29.69</v>
      </c>
      <c r="F6984" s="2">
        <v>2</v>
      </c>
      <c r="G6984" s="2" t="s">
        <v>9</v>
      </c>
      <c r="H6984" s="2" t="s">
        <v>4896</v>
      </c>
    </row>
    <row r="6985" spans="1:9" x14ac:dyDescent="0.2">
      <c r="A6985" s="2" t="s">
        <v>3383</v>
      </c>
      <c r="B6985" s="2" t="s">
        <v>1067</v>
      </c>
      <c r="C6985" s="2">
        <v>627.75459999999998</v>
      </c>
      <c r="D6985" s="2">
        <f>HYPERLINK("http://mcb-m6.bioreg.kyushu-u.ac.jp/M3/20110318/F50605/1223/1", 47.14)</f>
        <v>47.14</v>
      </c>
      <c r="E6985" s="2">
        <v>33.96</v>
      </c>
      <c r="F6985" s="2">
        <v>2</v>
      </c>
      <c r="G6985" s="2" t="s">
        <v>9</v>
      </c>
    </row>
    <row r="6986" spans="1:9" x14ac:dyDescent="0.2">
      <c r="A6986" s="2" t="s">
        <v>3383</v>
      </c>
      <c r="B6986" s="2" t="s">
        <v>176</v>
      </c>
      <c r="C6986" s="2">
        <v>755.19420000000002</v>
      </c>
      <c r="D6986" s="2">
        <f>HYPERLINK("http://mcb-m6.bioreg.kyushu-u.ac.jp/M3/20110318/F50618/2990/1", 58.02)</f>
        <v>58.02</v>
      </c>
      <c r="E6986" s="2">
        <v>48.83</v>
      </c>
      <c r="F6986" s="2">
        <v>3</v>
      </c>
      <c r="G6986" s="2" t="s">
        <v>9</v>
      </c>
      <c r="I6986" s="2" t="s">
        <v>4909</v>
      </c>
    </row>
    <row r="6987" spans="1:9" x14ac:dyDescent="0.2">
      <c r="A6987" s="2" t="s">
        <v>3383</v>
      </c>
      <c r="B6987" s="2" t="s">
        <v>381</v>
      </c>
      <c r="C6987" s="2">
        <v>714.23569999999995</v>
      </c>
      <c r="D6987" s="2">
        <f>HYPERLINK("http://mcb-m6.bioreg.kyushu-u.ac.jp/M3/20110318/F50618/1454/1", 61.01)</f>
        <v>61.01</v>
      </c>
      <c r="E6987" s="2">
        <v>44.05</v>
      </c>
      <c r="F6987" s="2">
        <v>2</v>
      </c>
      <c r="G6987" s="2" t="s">
        <v>9</v>
      </c>
      <c r="H6987" s="2" t="s">
        <v>4927</v>
      </c>
    </row>
    <row r="6988" spans="1:9" x14ac:dyDescent="0.2">
      <c r="A6988" s="2" t="s">
        <v>3383</v>
      </c>
      <c r="B6988" s="2" t="s">
        <v>368</v>
      </c>
      <c r="C6988" s="2">
        <v>1649.385</v>
      </c>
      <c r="D6988" s="2">
        <f>HYPERLINK("http://mcb-m6.bioreg.kyushu-u.ac.jp/M3/20110318/F50618/2036/1", 62.53)</f>
        <v>62.53</v>
      </c>
      <c r="E6988" s="2">
        <v>32.4</v>
      </c>
      <c r="F6988" s="2">
        <v>1</v>
      </c>
      <c r="G6988" s="2" t="s">
        <v>9</v>
      </c>
    </row>
    <row r="6989" spans="1:9" x14ac:dyDescent="0.2">
      <c r="A6989" s="2" t="s">
        <v>3383</v>
      </c>
      <c r="B6989" s="2" t="s">
        <v>381</v>
      </c>
      <c r="C6989" s="2">
        <v>705.79570000000001</v>
      </c>
      <c r="D6989" s="2">
        <f>HYPERLINK("http://mcb-m6.bioreg.kyushu-u.ac.jp/M3/20110318/F50618/1421/1", 63.06)</f>
        <v>63.06</v>
      </c>
      <c r="E6989" s="2">
        <v>43.34</v>
      </c>
      <c r="F6989" s="2">
        <v>2</v>
      </c>
      <c r="G6989" s="2" t="s">
        <v>9</v>
      </c>
    </row>
    <row r="6990" spans="1:9" x14ac:dyDescent="0.2">
      <c r="A6990" s="2" t="s">
        <v>3383</v>
      </c>
      <c r="B6990" s="2" t="s">
        <v>368</v>
      </c>
      <c r="C6990" s="2">
        <v>825.62459999999999</v>
      </c>
      <c r="D6990" s="2">
        <f>HYPERLINK("http://mcb-m6.bioreg.kyushu-u.ac.jp/M3/20110318/F50605/1975/1", 81.99)</f>
        <v>81.99</v>
      </c>
      <c r="E6990" s="2">
        <v>65.09</v>
      </c>
      <c r="F6990" s="2">
        <v>2</v>
      </c>
      <c r="G6990" s="2" t="s">
        <v>9</v>
      </c>
    </row>
    <row r="6991" spans="1:9" x14ac:dyDescent="0.2">
      <c r="A6991" s="2" t="s">
        <v>3383</v>
      </c>
      <c r="B6991" s="2" t="s">
        <v>1067</v>
      </c>
      <c r="C6991" s="2">
        <v>635.75160000000005</v>
      </c>
      <c r="D6991" s="2">
        <f>HYPERLINK("http://mcb-m6.bioreg.kyushu-u.ac.jp/M3/20110318/F50618/1191/1", 85.28)</f>
        <v>85.28</v>
      </c>
      <c r="E6991" s="2">
        <v>59.65</v>
      </c>
      <c r="F6991" s="2">
        <v>2</v>
      </c>
      <c r="G6991" s="2" t="s">
        <v>9</v>
      </c>
      <c r="H6991" s="2" t="s">
        <v>4919</v>
      </c>
    </row>
    <row r="6992" spans="1:9" x14ac:dyDescent="0.2">
      <c r="A6992" s="2" t="s">
        <v>3383</v>
      </c>
      <c r="B6992" s="2" t="s">
        <v>368</v>
      </c>
      <c r="C6992" s="2">
        <v>833.97559999999999</v>
      </c>
      <c r="D6992" s="2">
        <f>HYPERLINK("http://mcb-m6.bioreg.kyushu-u.ac.jp/M3/20110318/F50604/1805/1", 86.64)</f>
        <v>86.64</v>
      </c>
      <c r="E6992" s="2">
        <v>70.98</v>
      </c>
      <c r="F6992" s="2">
        <v>2</v>
      </c>
      <c r="G6992" s="2" t="s">
        <v>9</v>
      </c>
      <c r="H6992" s="2" t="s">
        <v>4896</v>
      </c>
    </row>
    <row r="6993" spans="1:9" x14ac:dyDescent="0.2">
      <c r="A6993" s="2" t="s">
        <v>3383</v>
      </c>
      <c r="B6993" s="2" t="s">
        <v>368</v>
      </c>
      <c r="C6993" s="2">
        <v>825.72170000000006</v>
      </c>
      <c r="D6993" s="2">
        <f>HYPERLINK("http://mcb-m6.bioreg.kyushu-u.ac.jp/M3/20110318/F50604/1776/1", 93.63)</f>
        <v>93.63</v>
      </c>
      <c r="E6993" s="2">
        <v>75.099999999999994</v>
      </c>
      <c r="F6993" s="2">
        <v>2</v>
      </c>
      <c r="G6993" s="2" t="s">
        <v>9</v>
      </c>
    </row>
    <row r="6994" spans="1:9" x14ac:dyDescent="0.2">
      <c r="A6994" s="2" t="s">
        <v>3383</v>
      </c>
      <c r="B6994" s="2" t="s">
        <v>368</v>
      </c>
      <c r="C6994" s="2">
        <v>825.28809999999999</v>
      </c>
      <c r="D6994" s="2">
        <f>HYPERLINK("http://mcb-m6.bioreg.kyushu-u.ac.jp/M3/20110318/F50618/2038/1", 101.7)</f>
        <v>101.7</v>
      </c>
      <c r="E6994" s="2">
        <v>74.72</v>
      </c>
      <c r="F6994" s="2">
        <v>2</v>
      </c>
      <c r="G6994" s="2" t="s">
        <v>9</v>
      </c>
    </row>
    <row r="6995" spans="1:9" x14ac:dyDescent="0.2">
      <c r="A6995" s="2" t="s">
        <v>3383</v>
      </c>
      <c r="B6995" s="2" t="s">
        <v>368</v>
      </c>
      <c r="C6995" s="2">
        <v>833.71619999999996</v>
      </c>
      <c r="D6995" s="2">
        <f>HYPERLINK("http://mcb-m6.bioreg.kyushu-u.ac.jp/M3/20110318/F50618/2068/1", 102.49)</f>
        <v>102.49</v>
      </c>
      <c r="E6995" s="2">
        <v>87.26</v>
      </c>
      <c r="F6995" s="2">
        <v>2</v>
      </c>
      <c r="G6995" s="2" t="s">
        <v>9</v>
      </c>
      <c r="H6995" s="2" t="s">
        <v>4896</v>
      </c>
    </row>
    <row r="6996" spans="1:9" x14ac:dyDescent="0.2">
      <c r="A6996" s="2" t="s">
        <v>3383</v>
      </c>
      <c r="B6996" s="2" t="s">
        <v>368</v>
      </c>
      <c r="C6996" s="2">
        <v>833.28560000000004</v>
      </c>
      <c r="D6996" s="2">
        <f>HYPERLINK("http://mcb-m6.bioreg.kyushu-u.ac.jp/M3/20110318/F50609/1875/1", 114.61)</f>
        <v>114.61</v>
      </c>
      <c r="E6996" s="2">
        <v>93.88</v>
      </c>
      <c r="F6996" s="2">
        <v>2</v>
      </c>
      <c r="G6996" s="2" t="s">
        <v>9</v>
      </c>
      <c r="H6996" s="2" t="s">
        <v>4896</v>
      </c>
    </row>
    <row r="6997" spans="1:9" x14ac:dyDescent="0.2">
      <c r="A6997" s="2" t="s">
        <v>3383</v>
      </c>
      <c r="B6997" s="2" t="s">
        <v>368</v>
      </c>
      <c r="C6997" s="2">
        <v>833.21169999999995</v>
      </c>
      <c r="D6997" s="2">
        <f>HYPERLINK("http://mcb-m6.bioreg.kyushu-u.ac.jp/M3/20110318/F50618/2067/1", 118.15)</f>
        <v>118.15</v>
      </c>
      <c r="E6997" s="2">
        <v>95.73</v>
      </c>
      <c r="F6997" s="2">
        <v>2</v>
      </c>
      <c r="G6997" s="2" t="s">
        <v>9</v>
      </c>
      <c r="H6997" s="2" t="s">
        <v>4896</v>
      </c>
    </row>
    <row r="6998" spans="1:9" x14ac:dyDescent="0.2">
      <c r="A6998" s="2" t="s">
        <v>3383</v>
      </c>
      <c r="B6998" s="2" t="s">
        <v>176</v>
      </c>
      <c r="C6998" s="2">
        <v>755.12950000000001</v>
      </c>
      <c r="D6998" s="2">
        <f>HYPERLINK("http://mcb-m6.bioreg.kyushu-u.ac.jp/M3/20110318/F50615/2735/1", 36.75)</f>
        <v>36.75</v>
      </c>
      <c r="E6998" s="2">
        <v>23.81</v>
      </c>
      <c r="F6998" s="2">
        <v>3</v>
      </c>
      <c r="G6998" s="2" t="s">
        <v>10</v>
      </c>
      <c r="I6998" s="2" t="s">
        <v>4909</v>
      </c>
    </row>
    <row r="6999" spans="1:9" x14ac:dyDescent="0.2">
      <c r="A6999" s="2" t="s">
        <v>3383</v>
      </c>
      <c r="B6999" s="2" t="s">
        <v>176</v>
      </c>
      <c r="C6999" s="2">
        <v>755.21720000000005</v>
      </c>
      <c r="D6999" s="2">
        <f>HYPERLINK("http://mcb-m6.bioreg.kyushu-u.ac.jp/M3/20110318/F50616/2833/1", 41.42)</f>
        <v>41.42</v>
      </c>
      <c r="E6999" s="2">
        <v>35.39</v>
      </c>
      <c r="F6999" s="2">
        <v>3</v>
      </c>
      <c r="G6999" s="2" t="s">
        <v>10</v>
      </c>
      <c r="I6999" s="2" t="s">
        <v>4909</v>
      </c>
    </row>
    <row r="7000" spans="1:9" x14ac:dyDescent="0.2">
      <c r="A7000" s="2" t="s">
        <v>3383</v>
      </c>
      <c r="B7000" s="2" t="s">
        <v>381</v>
      </c>
      <c r="C7000" s="2">
        <v>705.90260000000001</v>
      </c>
      <c r="D7000" s="2">
        <f>HYPERLINK("http://mcb-m6.bioreg.kyushu-u.ac.jp/M3/20110318/F50614/1514/1", 49.58)</f>
        <v>49.58</v>
      </c>
      <c r="E7000" s="2">
        <v>30.78</v>
      </c>
      <c r="F7000" s="2">
        <v>2</v>
      </c>
      <c r="G7000" s="2" t="s">
        <v>10</v>
      </c>
    </row>
    <row r="7001" spans="1:9" x14ac:dyDescent="0.2">
      <c r="A7001" s="2" t="s">
        <v>3383</v>
      </c>
      <c r="B7001" s="2" t="s">
        <v>1067</v>
      </c>
      <c r="C7001" s="2">
        <v>635.90809999999999</v>
      </c>
      <c r="D7001" s="2">
        <f>HYPERLINK("http://mcb-m6.bioreg.kyushu-u.ac.jp/M3/20110318/F50613/1268/1", 50.04)</f>
        <v>50.04</v>
      </c>
      <c r="E7001" s="2">
        <v>32.42</v>
      </c>
      <c r="F7001" s="2">
        <v>2</v>
      </c>
      <c r="G7001" s="2" t="s">
        <v>10</v>
      </c>
      <c r="H7001" s="2" t="s">
        <v>4919</v>
      </c>
    </row>
    <row r="7002" spans="1:9" x14ac:dyDescent="0.2">
      <c r="A7002" s="2" t="s">
        <v>3383</v>
      </c>
      <c r="B7002" s="2" t="s">
        <v>368</v>
      </c>
      <c r="C7002" s="2">
        <v>1665.682</v>
      </c>
      <c r="D7002" s="2">
        <f>HYPERLINK("http://mcb-m6.bioreg.kyushu-u.ac.jp/M3/20110318/F50614/2073/1", 60.54)</f>
        <v>60.54</v>
      </c>
      <c r="E7002" s="2">
        <v>33.78</v>
      </c>
      <c r="F7002" s="2">
        <v>1</v>
      </c>
      <c r="G7002" s="2" t="s">
        <v>10</v>
      </c>
      <c r="H7002" s="2" t="s">
        <v>4896</v>
      </c>
    </row>
    <row r="7003" spans="1:9" x14ac:dyDescent="0.2">
      <c r="A7003" s="2" t="s">
        <v>3383</v>
      </c>
      <c r="B7003" s="2" t="s">
        <v>368</v>
      </c>
      <c r="C7003" s="2">
        <v>825.30470000000003</v>
      </c>
      <c r="D7003" s="2">
        <f>HYPERLINK("http://mcb-m6.bioreg.kyushu-u.ac.jp/M3/20110318/F50613/2028/1", 63.98)</f>
        <v>63.98</v>
      </c>
      <c r="E7003" s="2">
        <v>44.69</v>
      </c>
      <c r="F7003" s="2">
        <v>2</v>
      </c>
      <c r="G7003" s="2" t="s">
        <v>10</v>
      </c>
    </row>
    <row r="7004" spans="1:9" x14ac:dyDescent="0.2">
      <c r="A7004" s="2" t="s">
        <v>3383</v>
      </c>
      <c r="B7004" s="2" t="s">
        <v>368</v>
      </c>
      <c r="C7004" s="2">
        <v>833.77120000000002</v>
      </c>
      <c r="D7004" s="2">
        <f>HYPERLINK("http://mcb-m6.bioreg.kyushu-u.ac.jp/M3/20110318/F50614/2076/1", 65.86)</f>
        <v>65.86</v>
      </c>
      <c r="E7004" s="2">
        <v>50.03</v>
      </c>
      <c r="F7004" s="2">
        <v>2</v>
      </c>
      <c r="G7004" s="2" t="s">
        <v>10</v>
      </c>
      <c r="H7004" s="2" t="s">
        <v>4896</v>
      </c>
    </row>
    <row r="7005" spans="1:9" x14ac:dyDescent="0.2">
      <c r="A7005" s="2" t="s">
        <v>3383</v>
      </c>
      <c r="B7005" s="2" t="s">
        <v>381</v>
      </c>
      <c r="C7005" s="2">
        <v>713.89120000000003</v>
      </c>
      <c r="D7005" s="2">
        <f>HYPERLINK("http://mcb-m6.bioreg.kyushu-u.ac.jp/M3/20110318/F50614/1542/1", 71.62)</f>
        <v>71.62</v>
      </c>
      <c r="E7005" s="2">
        <v>55.64</v>
      </c>
      <c r="F7005" s="2">
        <v>2</v>
      </c>
      <c r="G7005" s="2" t="s">
        <v>10</v>
      </c>
      <c r="H7005" s="2" t="s">
        <v>4927</v>
      </c>
    </row>
    <row r="7006" spans="1:9" x14ac:dyDescent="0.2">
      <c r="A7006" s="2" t="s">
        <v>3383</v>
      </c>
      <c r="B7006" s="2" t="s">
        <v>2494</v>
      </c>
      <c r="C7006" s="2">
        <v>911.6327</v>
      </c>
      <c r="D7006" s="2">
        <f>HYPERLINK("http://mcb-m6.bioreg.kyushu-u.ac.jp/M3/20110318/F50614/2344/1", 77.09)</f>
        <v>77.09</v>
      </c>
      <c r="E7006" s="2">
        <v>59.56</v>
      </c>
      <c r="F7006" s="2">
        <v>2</v>
      </c>
      <c r="G7006" s="2" t="s">
        <v>10</v>
      </c>
      <c r="H7006" s="2" t="s">
        <v>4896</v>
      </c>
    </row>
    <row r="7007" spans="1:9" x14ac:dyDescent="0.2">
      <c r="A7007" s="2" t="s">
        <v>3383</v>
      </c>
      <c r="B7007" s="2" t="s">
        <v>368</v>
      </c>
      <c r="C7007" s="2">
        <v>825.75070000000005</v>
      </c>
      <c r="D7007" s="2">
        <f>HYPERLINK("http://mcb-m6.bioreg.kyushu-u.ac.jp/M3/20110318/F50614/2038/1", 84.65)</f>
        <v>84.65</v>
      </c>
      <c r="E7007" s="2">
        <v>64.67</v>
      </c>
      <c r="F7007" s="2">
        <v>2</v>
      </c>
      <c r="G7007" s="2" t="s">
        <v>10</v>
      </c>
    </row>
    <row r="7008" spans="1:9" x14ac:dyDescent="0.2">
      <c r="A7008" s="2" t="s">
        <v>3383</v>
      </c>
      <c r="B7008" s="2" t="s">
        <v>368</v>
      </c>
      <c r="C7008" s="2">
        <v>833.84310000000005</v>
      </c>
      <c r="D7008" s="2">
        <f>HYPERLINK("http://mcb-m6.bioreg.kyushu-u.ac.jp/M3/20110318/F50614/2077/1", 88.83)</f>
        <v>88.83</v>
      </c>
      <c r="E7008" s="2">
        <v>77.930000000000007</v>
      </c>
      <c r="F7008" s="2">
        <v>2</v>
      </c>
      <c r="G7008" s="2" t="s">
        <v>10</v>
      </c>
      <c r="H7008" s="2" t="s">
        <v>4896</v>
      </c>
    </row>
    <row r="7009" spans="1:8" x14ac:dyDescent="0.2">
      <c r="A7009" s="2" t="s">
        <v>3383</v>
      </c>
      <c r="B7009" s="2" t="s">
        <v>368</v>
      </c>
      <c r="C7009" s="2">
        <v>825.92660000000001</v>
      </c>
      <c r="D7009" s="2">
        <f>HYPERLINK("http://mcb-m6.bioreg.kyushu-u.ac.jp/M3/20110318/F50596/1921/1", 88.99)</f>
        <v>88.99</v>
      </c>
      <c r="E7009" s="2">
        <v>64.05</v>
      </c>
      <c r="F7009" s="2">
        <v>2</v>
      </c>
      <c r="G7009" s="2" t="s">
        <v>10</v>
      </c>
    </row>
    <row r="7010" spans="1:8" x14ac:dyDescent="0.2">
      <c r="A7010" s="2" t="s">
        <v>3383</v>
      </c>
      <c r="B7010" s="2" t="s">
        <v>368</v>
      </c>
      <c r="C7010" s="2">
        <v>833.76260000000002</v>
      </c>
      <c r="D7010" s="2">
        <f>HYPERLINK("http://mcb-m6.bioreg.kyushu-u.ac.jp/M3/20110318/F50615/1895/1", 91.47)</f>
        <v>91.47</v>
      </c>
      <c r="E7010" s="2">
        <v>80.41</v>
      </c>
      <c r="F7010" s="2">
        <v>2</v>
      </c>
      <c r="G7010" s="2" t="s">
        <v>10</v>
      </c>
      <c r="H7010" s="2" t="s">
        <v>4896</v>
      </c>
    </row>
    <row r="7011" spans="1:8" x14ac:dyDescent="0.2">
      <c r="A7011" s="2" t="s">
        <v>3383</v>
      </c>
      <c r="B7011" s="2" t="s">
        <v>1067</v>
      </c>
      <c r="C7011" s="2">
        <v>635.87459999999999</v>
      </c>
      <c r="D7011" s="2">
        <f>HYPERLINK("http://mcb-m6.bioreg.kyushu-u.ac.jp/M3/20110318/F50614/1316/1", 92.24)</f>
        <v>92.24</v>
      </c>
      <c r="E7011" s="2">
        <v>75.760000000000005</v>
      </c>
      <c r="F7011" s="2">
        <v>2</v>
      </c>
      <c r="G7011" s="2" t="s">
        <v>10</v>
      </c>
      <c r="H7011" s="2" t="s">
        <v>4919</v>
      </c>
    </row>
    <row r="7012" spans="1:8" x14ac:dyDescent="0.2">
      <c r="A7012" s="2" t="s">
        <v>3383</v>
      </c>
      <c r="B7012" s="2" t="s">
        <v>368</v>
      </c>
      <c r="C7012" s="2">
        <v>825.82920000000001</v>
      </c>
      <c r="D7012" s="2">
        <f>HYPERLINK("http://mcb-m6.bioreg.kyushu-u.ac.jp/M3/20110318/F50613/2034/1", 95.42)</f>
        <v>95.42</v>
      </c>
      <c r="E7012" s="2">
        <v>67.239999999999995</v>
      </c>
      <c r="F7012" s="2">
        <v>2</v>
      </c>
      <c r="G7012" s="2" t="s">
        <v>10</v>
      </c>
    </row>
    <row r="7013" spans="1:8" x14ac:dyDescent="0.2">
      <c r="A7013" s="2" t="s">
        <v>3383</v>
      </c>
      <c r="B7013" s="2" t="s">
        <v>368</v>
      </c>
      <c r="C7013" s="2">
        <v>833.3356</v>
      </c>
      <c r="D7013" s="2">
        <f>HYPERLINK("http://mcb-m6.bioreg.kyushu-u.ac.jp/M3/20110318/F50614/2072/1", 96.64)</f>
        <v>96.64</v>
      </c>
      <c r="E7013" s="2">
        <v>80.540000000000006</v>
      </c>
      <c r="F7013" s="2">
        <v>2</v>
      </c>
      <c r="G7013" s="2" t="s">
        <v>10</v>
      </c>
      <c r="H7013" s="2" t="s">
        <v>4896</v>
      </c>
    </row>
    <row r="7014" spans="1:8" x14ac:dyDescent="0.2">
      <c r="A7014" s="2" t="s">
        <v>3383</v>
      </c>
      <c r="B7014" s="2" t="s">
        <v>368</v>
      </c>
      <c r="C7014" s="2">
        <v>833.41560000000004</v>
      </c>
      <c r="D7014" s="2">
        <f>HYPERLINK("http://mcb-m6.bioreg.kyushu-u.ac.jp/M3/20110318/F50612/1843/1", 102.31)</f>
        <v>102.31</v>
      </c>
      <c r="E7014" s="2">
        <v>87.44</v>
      </c>
      <c r="F7014" s="2">
        <v>2</v>
      </c>
      <c r="G7014" s="2" t="s">
        <v>10</v>
      </c>
      <c r="H7014" s="2" t="s">
        <v>4896</v>
      </c>
    </row>
    <row r="7015" spans="1:8" x14ac:dyDescent="0.2">
      <c r="A7015" s="2" t="s">
        <v>3383</v>
      </c>
      <c r="B7015" s="2" t="s">
        <v>368</v>
      </c>
      <c r="C7015" s="2">
        <v>833.37070000000006</v>
      </c>
      <c r="D7015" s="2">
        <f>HYPERLINK("http://mcb-m6.bioreg.kyushu-u.ac.jp/M3/20110318/F50613/2070/1", 108.12)</f>
        <v>108.12</v>
      </c>
      <c r="E7015" s="2">
        <v>90.68</v>
      </c>
      <c r="F7015" s="2">
        <v>2</v>
      </c>
      <c r="G7015" s="2" t="s">
        <v>10</v>
      </c>
      <c r="H7015" s="2" t="s">
        <v>4896</v>
      </c>
    </row>
    <row r="7016" spans="1:8" x14ac:dyDescent="0.2">
      <c r="A7016" s="2" t="s">
        <v>3383</v>
      </c>
      <c r="B7016" s="2" t="s">
        <v>368</v>
      </c>
      <c r="C7016" s="2">
        <v>833.97860000000003</v>
      </c>
      <c r="D7016" s="2">
        <f>HYPERLINK("http://mcb-m6.bioreg.kyushu-u.ac.jp/M3/20110318/F50598/1885/1", 108.19)</f>
        <v>108.19</v>
      </c>
      <c r="E7016" s="2">
        <v>93.67</v>
      </c>
      <c r="F7016" s="2">
        <v>2</v>
      </c>
      <c r="G7016" s="2" t="s">
        <v>10</v>
      </c>
      <c r="H7016" s="2" t="s">
        <v>4896</v>
      </c>
    </row>
    <row r="7017" spans="1:8" x14ac:dyDescent="0.2">
      <c r="A7017" s="2" t="s">
        <v>3383</v>
      </c>
      <c r="B7017" s="2" t="s">
        <v>368</v>
      </c>
      <c r="C7017" s="2">
        <v>825.29420000000005</v>
      </c>
      <c r="D7017" s="2">
        <f>HYPERLINK("http://mcb-m6.bioreg.kyushu-u.ac.jp/M3/20110318/F50612/1815/1", 112.31)</f>
        <v>112.31</v>
      </c>
      <c r="E7017" s="2">
        <v>91.33</v>
      </c>
      <c r="F7017" s="2">
        <v>2</v>
      </c>
      <c r="G7017" s="2" t="s">
        <v>10</v>
      </c>
    </row>
    <row r="7018" spans="1:8" x14ac:dyDescent="0.2">
      <c r="A7018" s="2" t="s">
        <v>3383</v>
      </c>
      <c r="B7018" s="2" t="s">
        <v>368</v>
      </c>
      <c r="C7018" s="2">
        <v>833.25919999999996</v>
      </c>
      <c r="D7018" s="2">
        <f>HYPERLINK("http://mcb-m6.bioreg.kyushu-u.ac.jp/M3/20110318/F50615/1893/1", 118.22)</f>
        <v>118.22</v>
      </c>
      <c r="E7018" s="2">
        <v>102.57</v>
      </c>
      <c r="F7018" s="2">
        <v>2</v>
      </c>
      <c r="G7018" s="2" t="s">
        <v>10</v>
      </c>
      <c r="H7018" s="2" t="s">
        <v>4896</v>
      </c>
    </row>
    <row r="7019" spans="1:8" x14ac:dyDescent="0.2">
      <c r="A7019" s="2" t="s">
        <v>3383</v>
      </c>
      <c r="B7019" s="2" t="s">
        <v>381</v>
      </c>
      <c r="C7019" s="2">
        <v>706.3066</v>
      </c>
      <c r="D7019" s="2">
        <f>HYPERLINK("http://mcb-m6.bioreg.kyushu-u.ac.jp/M3/20110418/F50999/1856/1", 35.58)</f>
        <v>35.58</v>
      </c>
      <c r="E7019" s="2">
        <v>21.84</v>
      </c>
      <c r="F7019" s="2">
        <v>2</v>
      </c>
      <c r="G7019" s="2" t="s">
        <v>11</v>
      </c>
    </row>
    <row r="7020" spans="1:8" x14ac:dyDescent="0.2">
      <c r="A7020" s="2" t="s">
        <v>3383</v>
      </c>
      <c r="B7020" s="2" t="s">
        <v>368</v>
      </c>
      <c r="C7020" s="2">
        <v>825.20719999999994</v>
      </c>
      <c r="D7020" s="2">
        <f>HYPERLINK("http://mcb-m6.bioreg.kyushu-u.ac.jp/M3/20110418/F50976/2534/1", 53.14)</f>
        <v>53.14</v>
      </c>
      <c r="E7020" s="2">
        <v>41.43</v>
      </c>
      <c r="F7020" s="2">
        <v>2</v>
      </c>
      <c r="G7020" s="2" t="s">
        <v>11</v>
      </c>
    </row>
    <row r="7021" spans="1:8" x14ac:dyDescent="0.2">
      <c r="A7021" s="2" t="s">
        <v>3383</v>
      </c>
      <c r="B7021" s="2" t="s">
        <v>1067</v>
      </c>
      <c r="C7021" s="2">
        <v>627.58010000000002</v>
      </c>
      <c r="D7021" s="2">
        <f>HYPERLINK("http://mcb-m6.bioreg.kyushu-u.ac.jp/M3/20110418/F50976/1413/1", 58.82)</f>
        <v>58.82</v>
      </c>
      <c r="E7021" s="2">
        <v>37.35</v>
      </c>
      <c r="F7021" s="2">
        <v>2</v>
      </c>
      <c r="G7021" s="2" t="s">
        <v>11</v>
      </c>
    </row>
    <row r="7022" spans="1:8" x14ac:dyDescent="0.2">
      <c r="A7022" s="2" t="s">
        <v>3383</v>
      </c>
      <c r="B7022" s="2" t="s">
        <v>368</v>
      </c>
      <c r="C7022" s="2">
        <v>833.35059999999999</v>
      </c>
      <c r="D7022" s="2">
        <f>HYPERLINK("http://mcb-m6.bioreg.kyushu-u.ac.jp/M3/20110418/F50975/2601/1", 65.92)</f>
        <v>65.92</v>
      </c>
      <c r="E7022" s="2">
        <v>53.74</v>
      </c>
      <c r="F7022" s="2">
        <v>2</v>
      </c>
      <c r="G7022" s="2" t="s">
        <v>11</v>
      </c>
      <c r="H7022" s="2" t="s">
        <v>4896</v>
      </c>
    </row>
    <row r="7023" spans="1:8" x14ac:dyDescent="0.2">
      <c r="A7023" s="2" t="s">
        <v>3383</v>
      </c>
      <c r="B7023" s="2" t="s">
        <v>368</v>
      </c>
      <c r="C7023" s="2">
        <v>825.72059999999999</v>
      </c>
      <c r="D7023" s="2">
        <f>HYPERLINK("http://mcb-m6.bioreg.kyushu-u.ac.jp/M3/20110418/F50976/2538/1", 73.19)</f>
        <v>73.19</v>
      </c>
      <c r="E7023" s="2">
        <v>53.6</v>
      </c>
      <c r="F7023" s="2">
        <v>2</v>
      </c>
      <c r="G7023" s="2" t="s">
        <v>11</v>
      </c>
    </row>
    <row r="7024" spans="1:8" x14ac:dyDescent="0.2">
      <c r="A7024" s="2" t="s">
        <v>3383</v>
      </c>
      <c r="B7024" s="2" t="s">
        <v>368</v>
      </c>
      <c r="C7024" s="2">
        <v>825.72770000000003</v>
      </c>
      <c r="D7024" s="2">
        <f>HYPERLINK("http://mcb-m6.bioreg.kyushu-u.ac.jp/M3/20110418/F50977/2612/1", 73.94)</f>
        <v>73.94</v>
      </c>
      <c r="E7024" s="2">
        <v>64.22</v>
      </c>
      <c r="F7024" s="2">
        <v>2</v>
      </c>
      <c r="G7024" s="2" t="s">
        <v>11</v>
      </c>
    </row>
    <row r="7025" spans="1:8" x14ac:dyDescent="0.2">
      <c r="A7025" s="2" t="s">
        <v>3383</v>
      </c>
      <c r="B7025" s="2" t="s">
        <v>2494</v>
      </c>
      <c r="C7025" s="2">
        <v>911.80619999999999</v>
      </c>
      <c r="D7025" s="2">
        <f>HYPERLINK("http://mcb-m6.bioreg.kyushu-u.ac.jp/M3/20110418/F50999/2512/1", 75.11)</f>
        <v>75.11</v>
      </c>
      <c r="E7025" s="2">
        <v>58.23</v>
      </c>
      <c r="F7025" s="2">
        <v>2</v>
      </c>
      <c r="G7025" s="2" t="s">
        <v>11</v>
      </c>
      <c r="H7025" s="2" t="s">
        <v>4896</v>
      </c>
    </row>
    <row r="7026" spans="1:8" x14ac:dyDescent="0.2">
      <c r="A7026" s="2" t="s">
        <v>3383</v>
      </c>
      <c r="B7026" s="2" t="s">
        <v>368</v>
      </c>
      <c r="C7026" s="2">
        <v>833.71259999999995</v>
      </c>
      <c r="D7026" s="2">
        <f>HYPERLINK("http://mcb-m6.bioreg.kyushu-u.ac.jp/M3/20110418/F50979/2431/1", 75.41)</f>
        <v>75.41</v>
      </c>
      <c r="E7026" s="2">
        <v>57.34</v>
      </c>
      <c r="F7026" s="2">
        <v>2</v>
      </c>
      <c r="G7026" s="2" t="s">
        <v>11</v>
      </c>
      <c r="H7026" s="2" t="s">
        <v>4896</v>
      </c>
    </row>
    <row r="7027" spans="1:8" x14ac:dyDescent="0.2">
      <c r="A7027" s="2" t="s">
        <v>3383</v>
      </c>
      <c r="B7027" s="2" t="s">
        <v>2494</v>
      </c>
      <c r="C7027" s="2">
        <v>903.44669999999996</v>
      </c>
      <c r="D7027" s="2">
        <f>HYPERLINK("http://mcb-m6.bioreg.kyushu-u.ac.jp/M3/20110418/F50976/2935/1", 82.8)</f>
        <v>82.8</v>
      </c>
      <c r="E7027" s="2">
        <v>58.18</v>
      </c>
      <c r="F7027" s="2">
        <v>2</v>
      </c>
      <c r="G7027" s="2" t="s">
        <v>11</v>
      </c>
    </row>
    <row r="7028" spans="1:8" x14ac:dyDescent="0.2">
      <c r="A7028" s="2" t="s">
        <v>3383</v>
      </c>
      <c r="B7028" s="2" t="s">
        <v>368</v>
      </c>
      <c r="C7028" s="2">
        <v>825.43870000000004</v>
      </c>
      <c r="D7028" s="2">
        <f>HYPERLINK("http://mcb-m6.bioreg.kyushu-u.ac.jp/M3/20110418/F50979/2407/1", 83.53)</f>
        <v>83.53</v>
      </c>
      <c r="E7028" s="2">
        <v>74.37</v>
      </c>
      <c r="F7028" s="2">
        <v>2</v>
      </c>
      <c r="G7028" s="2" t="s">
        <v>11</v>
      </c>
    </row>
    <row r="7029" spans="1:8" x14ac:dyDescent="0.2">
      <c r="A7029" s="2" t="s">
        <v>3383</v>
      </c>
      <c r="B7029" s="2" t="s">
        <v>2494</v>
      </c>
      <c r="C7029" s="2">
        <v>911.43769999999995</v>
      </c>
      <c r="D7029" s="2">
        <f>HYPERLINK("http://mcb-m6.bioreg.kyushu-u.ac.jp/M3/20110418/F50976/2963/1", 85.34)</f>
        <v>85.34</v>
      </c>
      <c r="E7029" s="2">
        <v>65.23</v>
      </c>
      <c r="F7029" s="2">
        <v>2</v>
      </c>
      <c r="G7029" s="2" t="s">
        <v>11</v>
      </c>
      <c r="H7029" s="2" t="s">
        <v>4896</v>
      </c>
    </row>
    <row r="7030" spans="1:8" x14ac:dyDescent="0.2">
      <c r="A7030" s="2" t="s">
        <v>3383</v>
      </c>
      <c r="B7030" s="2" t="s">
        <v>1067</v>
      </c>
      <c r="C7030" s="2">
        <v>627.61320000000001</v>
      </c>
      <c r="D7030" s="2">
        <f>HYPERLINK("http://mcb-m6.bioreg.kyushu-u.ac.jp/M3/20110418/F50999/1624/1", 89.23)</f>
        <v>89.23</v>
      </c>
      <c r="E7030" s="2">
        <v>63.63</v>
      </c>
      <c r="F7030" s="2">
        <v>2</v>
      </c>
      <c r="G7030" s="2" t="s">
        <v>11</v>
      </c>
    </row>
    <row r="7031" spans="1:8" x14ac:dyDescent="0.2">
      <c r="A7031" s="2" t="s">
        <v>3383</v>
      </c>
      <c r="B7031" s="2" t="s">
        <v>368</v>
      </c>
      <c r="C7031" s="2">
        <v>833.33119999999997</v>
      </c>
      <c r="D7031" s="2">
        <f>HYPERLINK("http://mcb-m6.bioreg.kyushu-u.ac.jp/M3/20110418/F50976/2583/1", 91.58)</f>
        <v>91.58</v>
      </c>
      <c r="E7031" s="2">
        <v>77</v>
      </c>
      <c r="F7031" s="2">
        <v>2</v>
      </c>
      <c r="G7031" s="2" t="s">
        <v>11</v>
      </c>
      <c r="H7031" s="2" t="s">
        <v>4896</v>
      </c>
    </row>
    <row r="7032" spans="1:8" x14ac:dyDescent="0.2">
      <c r="A7032" s="2" t="s">
        <v>3383</v>
      </c>
      <c r="B7032" s="2" t="s">
        <v>368</v>
      </c>
      <c r="C7032" s="2">
        <v>825.40620000000001</v>
      </c>
      <c r="D7032" s="2">
        <f>HYPERLINK("http://mcb-m6.bioreg.kyushu-u.ac.jp/M3/20110418/F50978/2488/1", 99.26)</f>
        <v>99.26</v>
      </c>
      <c r="E7032" s="2">
        <v>85.5</v>
      </c>
      <c r="F7032" s="2">
        <v>2</v>
      </c>
      <c r="G7032" s="2" t="s">
        <v>11</v>
      </c>
    </row>
    <row r="7033" spans="1:8" x14ac:dyDescent="0.2">
      <c r="A7033" s="2" t="s">
        <v>3383</v>
      </c>
      <c r="B7033" s="2" t="s">
        <v>368</v>
      </c>
      <c r="C7033" s="2">
        <v>825.17909999999995</v>
      </c>
      <c r="D7033" s="2">
        <f>HYPERLINK("http://mcb-m6.bioreg.kyushu-u.ac.jp/M3/20110418/F50999/2309/1", 115.21)</f>
        <v>115.21</v>
      </c>
      <c r="E7033" s="2">
        <v>104.62</v>
      </c>
      <c r="F7033" s="2">
        <v>2</v>
      </c>
      <c r="G7033" s="2" t="s">
        <v>11</v>
      </c>
    </row>
    <row r="7034" spans="1:8" x14ac:dyDescent="0.2">
      <c r="A7034" s="2" t="s">
        <v>3383</v>
      </c>
      <c r="B7034" s="2" t="s">
        <v>368</v>
      </c>
      <c r="C7034" s="2">
        <v>833.28060000000005</v>
      </c>
      <c r="D7034" s="2">
        <f>HYPERLINK("http://mcb-m6.bioreg.kyushu-u.ac.jp/M3/20110418/F50999/2323/1", 115.21)</f>
        <v>115.21</v>
      </c>
      <c r="E7034" s="2">
        <v>98.31</v>
      </c>
      <c r="F7034" s="2">
        <v>2</v>
      </c>
      <c r="G7034" s="2" t="s">
        <v>11</v>
      </c>
      <c r="H7034" s="2" t="s">
        <v>4896</v>
      </c>
    </row>
    <row r="7035" spans="1:8" x14ac:dyDescent="0.2">
      <c r="A7035" s="2" t="s">
        <v>3383</v>
      </c>
      <c r="B7035" s="2" t="s">
        <v>381</v>
      </c>
      <c r="C7035" s="2">
        <v>706.3066</v>
      </c>
      <c r="D7035" s="2">
        <f>HYPERLINK("http://mcb-m6.bioreg.kyushu-u.ac.jp/M3/20110418/F50986/1919/1", 65.28)</f>
        <v>65.28</v>
      </c>
      <c r="E7035" s="2">
        <v>52.66</v>
      </c>
      <c r="F7035" s="2">
        <v>2</v>
      </c>
      <c r="G7035" s="2" t="s">
        <v>12</v>
      </c>
    </row>
    <row r="7036" spans="1:8" x14ac:dyDescent="0.2">
      <c r="A7036" s="2" t="s">
        <v>3383</v>
      </c>
      <c r="B7036" s="2" t="s">
        <v>368</v>
      </c>
      <c r="C7036" s="2">
        <v>825.81769999999995</v>
      </c>
      <c r="D7036" s="2">
        <f>HYPERLINK("http://mcb-m6.bioreg.kyushu-u.ac.jp/M3/20110418/F51001/2301/1", 81.4)</f>
        <v>81.400000000000006</v>
      </c>
      <c r="E7036" s="2">
        <v>62.42</v>
      </c>
      <c r="F7036" s="2">
        <v>2</v>
      </c>
      <c r="G7036" s="2" t="s">
        <v>12</v>
      </c>
    </row>
    <row r="7037" spans="1:8" x14ac:dyDescent="0.2">
      <c r="A7037" s="2" t="s">
        <v>3383</v>
      </c>
      <c r="B7037" s="2" t="s">
        <v>2494</v>
      </c>
      <c r="C7037" s="2">
        <v>903.42110000000002</v>
      </c>
      <c r="D7037" s="2">
        <f>HYPERLINK("http://mcb-m6.bioreg.kyushu-u.ac.jp/M3/20110418/F50986/2700/1", 87.2)</f>
        <v>87.2</v>
      </c>
      <c r="E7037" s="2">
        <v>69.650000000000006</v>
      </c>
      <c r="F7037" s="2">
        <v>2</v>
      </c>
      <c r="G7037" s="2" t="s">
        <v>12</v>
      </c>
    </row>
    <row r="7038" spans="1:8" x14ac:dyDescent="0.2">
      <c r="A7038" s="2" t="s">
        <v>3383</v>
      </c>
      <c r="B7038" s="2" t="s">
        <v>368</v>
      </c>
      <c r="C7038" s="2">
        <v>825.64369999999997</v>
      </c>
      <c r="D7038" s="2">
        <f>HYPERLINK("http://mcb-m6.bioreg.kyushu-u.ac.jp/M3/20110418/F50986/2486/1", 96.56)</f>
        <v>96.56</v>
      </c>
      <c r="E7038" s="2">
        <v>59.22</v>
      </c>
      <c r="F7038" s="2">
        <v>2</v>
      </c>
      <c r="G7038" s="2" t="s">
        <v>12</v>
      </c>
    </row>
    <row r="7039" spans="1:8" x14ac:dyDescent="0.2">
      <c r="A7039" s="2" t="s">
        <v>3383</v>
      </c>
      <c r="B7039" s="2" t="s">
        <v>368</v>
      </c>
      <c r="C7039" s="2">
        <v>833.34559999999999</v>
      </c>
      <c r="D7039" s="2">
        <f>HYPERLINK("http://mcb-m6.bioreg.kyushu-u.ac.jp/M3/20110418/F51001/2313/1", 112.16)</f>
        <v>112.16</v>
      </c>
      <c r="E7039" s="2">
        <v>100.11</v>
      </c>
      <c r="F7039" s="2">
        <v>2</v>
      </c>
      <c r="G7039" s="2" t="s">
        <v>12</v>
      </c>
      <c r="H7039" s="2" t="s">
        <v>4896</v>
      </c>
    </row>
    <row r="7040" spans="1:8" x14ac:dyDescent="0.2">
      <c r="A7040" s="2" t="s">
        <v>3383</v>
      </c>
      <c r="B7040" s="2" t="s">
        <v>368</v>
      </c>
      <c r="C7040" s="2">
        <v>825.21310000000005</v>
      </c>
      <c r="D7040" s="2">
        <f>HYPERLINK("http://mcb-m6.bioreg.kyushu-u.ac.jp/M3/20110418/F51001/2300/1", 115.3)</f>
        <v>115.3</v>
      </c>
      <c r="E7040" s="2">
        <v>101.61</v>
      </c>
      <c r="F7040" s="2">
        <v>2</v>
      </c>
      <c r="G7040" s="2" t="s">
        <v>12</v>
      </c>
    </row>
    <row r="7041" spans="1:8" x14ac:dyDescent="0.2">
      <c r="A7041" s="2" t="s">
        <v>3383</v>
      </c>
      <c r="B7041" s="2" t="s">
        <v>368</v>
      </c>
      <c r="C7041" s="2">
        <v>833.93320000000006</v>
      </c>
      <c r="D7041" s="2">
        <f>HYPERLINK("http://mcb-m6.bioreg.kyushu-u.ac.jp/M3/20110502/F51163/2290/1", 60.85)</f>
        <v>60.85</v>
      </c>
      <c r="E7041" s="2">
        <v>49.63</v>
      </c>
      <c r="F7041" s="2">
        <v>2</v>
      </c>
      <c r="G7041" s="2" t="s">
        <v>13</v>
      </c>
      <c r="H7041" s="2" t="s">
        <v>4896</v>
      </c>
    </row>
    <row r="7042" spans="1:8" x14ac:dyDescent="0.2">
      <c r="A7042" s="2" t="s">
        <v>3383</v>
      </c>
      <c r="B7042" s="2" t="s">
        <v>381</v>
      </c>
      <c r="C7042" s="2">
        <v>705.92660000000001</v>
      </c>
      <c r="D7042" s="2">
        <f>HYPERLINK("http://mcb-m6.bioreg.kyushu-u.ac.jp/M3/20110502/F51163/1584/1", 66.37)</f>
        <v>66.37</v>
      </c>
      <c r="E7042" s="2">
        <v>50.3</v>
      </c>
      <c r="F7042" s="2">
        <v>2</v>
      </c>
      <c r="G7042" s="2" t="s">
        <v>13</v>
      </c>
    </row>
    <row r="7043" spans="1:8" x14ac:dyDescent="0.2">
      <c r="A7043" s="2" t="s">
        <v>3383</v>
      </c>
      <c r="B7043" s="2" t="s">
        <v>368</v>
      </c>
      <c r="C7043" s="2">
        <v>825.34720000000004</v>
      </c>
      <c r="D7043" s="2">
        <f>HYPERLINK("http://mcb-m6.bioreg.kyushu-u.ac.jp/M3/20110502/F51163/2257/1", 70.19)</f>
        <v>70.19</v>
      </c>
      <c r="E7043" s="2">
        <v>60.01</v>
      </c>
      <c r="F7043" s="2">
        <v>2</v>
      </c>
      <c r="G7043" s="2" t="s">
        <v>13</v>
      </c>
    </row>
    <row r="7044" spans="1:8" x14ac:dyDescent="0.2">
      <c r="A7044" s="2" t="s">
        <v>3383</v>
      </c>
      <c r="B7044" s="2" t="s">
        <v>368</v>
      </c>
      <c r="C7044" s="2">
        <v>825.53769999999997</v>
      </c>
      <c r="D7044" s="2">
        <f>HYPERLINK("http://mcb-m6.bioreg.kyushu-u.ac.jp/M3/20110429/F51151/2470/1", 70.82)</f>
        <v>70.819999999999993</v>
      </c>
      <c r="E7044" s="2">
        <v>47.8</v>
      </c>
      <c r="F7044" s="2">
        <v>2</v>
      </c>
      <c r="G7044" s="2" t="s">
        <v>13</v>
      </c>
    </row>
    <row r="7045" spans="1:8" x14ac:dyDescent="0.2">
      <c r="A7045" s="2" t="s">
        <v>3383</v>
      </c>
      <c r="B7045" s="2" t="s">
        <v>1067</v>
      </c>
      <c r="C7045" s="2">
        <v>627.86659999999995</v>
      </c>
      <c r="D7045" s="2">
        <f>HYPERLINK("http://mcb-m6.bioreg.kyushu-u.ac.jp/M3/20110502/F51163/1242/1", 78.04)</f>
        <v>78.040000000000006</v>
      </c>
      <c r="E7045" s="2">
        <v>50.8</v>
      </c>
      <c r="F7045" s="2">
        <v>2</v>
      </c>
      <c r="G7045" s="2" t="s">
        <v>13</v>
      </c>
    </row>
    <row r="7046" spans="1:8" x14ac:dyDescent="0.2">
      <c r="A7046" s="2" t="s">
        <v>3383</v>
      </c>
      <c r="B7046" s="2" t="s">
        <v>368</v>
      </c>
      <c r="C7046" s="2">
        <v>833.94920000000002</v>
      </c>
      <c r="D7046" s="2">
        <f>HYPERLINK("http://mcb-m6.bioreg.kyushu-u.ac.jp/M3/20110502/F51163/2291/1", 84.6)</f>
        <v>84.6</v>
      </c>
      <c r="E7046" s="2">
        <v>70.92</v>
      </c>
      <c r="F7046" s="2">
        <v>2</v>
      </c>
      <c r="G7046" s="2" t="s">
        <v>13</v>
      </c>
      <c r="H7046" s="2" t="s">
        <v>4896</v>
      </c>
    </row>
    <row r="7047" spans="1:8" x14ac:dyDescent="0.2">
      <c r="A7047" s="2" t="s">
        <v>3383</v>
      </c>
      <c r="B7047" s="2" t="s">
        <v>368</v>
      </c>
      <c r="C7047" s="2">
        <v>825.91420000000005</v>
      </c>
      <c r="D7047" s="2">
        <f>HYPERLINK("http://mcb-m6.bioreg.kyushu-u.ac.jp/M3/20110502/F51163/2258/1", 91.92)</f>
        <v>91.92</v>
      </c>
      <c r="E7047" s="2">
        <v>78.11</v>
      </c>
      <c r="F7047" s="2">
        <v>2</v>
      </c>
      <c r="G7047" s="2" t="s">
        <v>13</v>
      </c>
    </row>
    <row r="7048" spans="1:8" x14ac:dyDescent="0.2">
      <c r="A7048" s="2" t="s">
        <v>3383</v>
      </c>
      <c r="B7048" s="2" t="s">
        <v>368</v>
      </c>
      <c r="C7048" s="2">
        <v>825.34059999999999</v>
      </c>
      <c r="D7048" s="2">
        <f>HYPERLINK("http://mcb-m6.bioreg.kyushu-u.ac.jp/M3/20110429/F51153/2635/1", 93.44)</f>
        <v>93.44</v>
      </c>
      <c r="E7048" s="2">
        <v>75.2</v>
      </c>
      <c r="F7048" s="2">
        <v>2</v>
      </c>
      <c r="G7048" s="2" t="s">
        <v>13</v>
      </c>
    </row>
    <row r="7049" spans="1:8" x14ac:dyDescent="0.2">
      <c r="A7049" s="2" t="s">
        <v>3383</v>
      </c>
      <c r="B7049" s="2" t="s">
        <v>2494</v>
      </c>
      <c r="C7049" s="2">
        <v>911.52170000000001</v>
      </c>
      <c r="D7049" s="2">
        <f>HYPERLINK("http://mcb-m6.bioreg.kyushu-u.ac.jp/M3/20110502/F51163/2620/1", 107.04)</f>
        <v>107.04</v>
      </c>
      <c r="E7049" s="2">
        <v>92.35</v>
      </c>
      <c r="F7049" s="2">
        <v>2</v>
      </c>
      <c r="G7049" s="2" t="s">
        <v>13</v>
      </c>
      <c r="H7049" s="2" t="s">
        <v>4896</v>
      </c>
    </row>
    <row r="7050" spans="1:8" x14ac:dyDescent="0.2">
      <c r="A7050" s="2" t="s">
        <v>3383</v>
      </c>
      <c r="B7050" s="2" t="s">
        <v>368</v>
      </c>
      <c r="C7050" s="2">
        <v>833.25070000000005</v>
      </c>
      <c r="D7050" s="2">
        <f>HYPERLINK("http://mcb-m6.bioreg.kyushu-u.ac.jp/M3/20110429/F51153/2691/1", 111.62)</f>
        <v>111.62</v>
      </c>
      <c r="E7050" s="2">
        <v>100.18</v>
      </c>
      <c r="F7050" s="2">
        <v>2</v>
      </c>
      <c r="G7050" s="2" t="s">
        <v>13</v>
      </c>
      <c r="H7050" s="2" t="s">
        <v>4896</v>
      </c>
    </row>
    <row r="7051" spans="1:8" x14ac:dyDescent="0.2">
      <c r="A7051" s="2" t="s">
        <v>3383</v>
      </c>
      <c r="B7051" s="2" t="s">
        <v>368</v>
      </c>
      <c r="C7051" s="2">
        <v>833.41610000000003</v>
      </c>
      <c r="D7051" s="2">
        <f>HYPERLINK("http://mcb-m6.bioreg.kyushu-u.ac.jp/M3/20110502/F51163/2289/1", 112)</f>
        <v>112</v>
      </c>
      <c r="E7051" s="2">
        <v>99.14</v>
      </c>
      <c r="F7051" s="2">
        <v>2</v>
      </c>
      <c r="G7051" s="2" t="s">
        <v>13</v>
      </c>
      <c r="H7051" s="2" t="s">
        <v>4896</v>
      </c>
    </row>
    <row r="7052" spans="1:8" x14ac:dyDescent="0.2">
      <c r="A7052" s="2" t="s">
        <v>3383</v>
      </c>
      <c r="B7052" s="2" t="s">
        <v>368</v>
      </c>
      <c r="C7052" s="2">
        <v>833.48910000000001</v>
      </c>
      <c r="D7052" s="2">
        <f>HYPERLINK("http://mcb-m6.bioreg.kyushu-u.ac.jp/M3/20110502/F51161/2231/1", 53.36)</f>
        <v>53.36</v>
      </c>
      <c r="E7052" s="2">
        <v>40.31</v>
      </c>
      <c r="F7052" s="2">
        <v>2</v>
      </c>
      <c r="G7052" s="2" t="s">
        <v>14</v>
      </c>
      <c r="H7052" s="2" t="s">
        <v>4896</v>
      </c>
    </row>
    <row r="7053" spans="1:8" x14ac:dyDescent="0.2">
      <c r="A7053" s="2" t="s">
        <v>3383</v>
      </c>
      <c r="B7053" s="2" t="s">
        <v>368</v>
      </c>
      <c r="C7053" s="2">
        <v>833.87070000000006</v>
      </c>
      <c r="D7053" s="2">
        <f>HYPERLINK("http://mcb-m6.bioreg.kyushu-u.ac.jp/M3/20110428/F51143/2549/1", 56.82)</f>
        <v>56.82</v>
      </c>
      <c r="E7053" s="2">
        <v>43.83</v>
      </c>
      <c r="F7053" s="2">
        <v>2</v>
      </c>
      <c r="G7053" s="2" t="s">
        <v>14</v>
      </c>
      <c r="H7053" s="2" t="s">
        <v>4896</v>
      </c>
    </row>
    <row r="7054" spans="1:8" x14ac:dyDescent="0.2">
      <c r="A7054" s="2" t="s">
        <v>3383</v>
      </c>
      <c r="B7054" s="2" t="s">
        <v>368</v>
      </c>
      <c r="C7054" s="2">
        <v>833.7047</v>
      </c>
      <c r="D7054" s="2">
        <f>HYPERLINK("http://mcb-m6.bioreg.kyushu-u.ac.jp/M3/20110428/F51142/2708/1", 89.18)</f>
        <v>89.18</v>
      </c>
      <c r="E7054" s="2">
        <v>77.75</v>
      </c>
      <c r="F7054" s="2">
        <v>2</v>
      </c>
      <c r="G7054" s="2" t="s">
        <v>14</v>
      </c>
      <c r="H7054" s="2" t="s">
        <v>4896</v>
      </c>
    </row>
    <row r="7055" spans="1:8" x14ac:dyDescent="0.2">
      <c r="A7055" s="2" t="s">
        <v>3383</v>
      </c>
      <c r="B7055" s="2" t="s">
        <v>368</v>
      </c>
      <c r="C7055" s="2">
        <v>825.91920000000005</v>
      </c>
      <c r="D7055" s="2">
        <f>HYPERLINK("http://mcb-m6.bioreg.kyushu-u.ac.jp/M3/20110428/F51142/2657/1", 99.03)</f>
        <v>99.03</v>
      </c>
      <c r="E7055" s="2">
        <v>78.67</v>
      </c>
      <c r="F7055" s="2">
        <v>2</v>
      </c>
      <c r="G7055" s="2" t="s">
        <v>14</v>
      </c>
    </row>
    <row r="7056" spans="1:8" x14ac:dyDescent="0.2">
      <c r="A7056" s="2" t="s">
        <v>3383</v>
      </c>
      <c r="B7056" s="2" t="s">
        <v>368</v>
      </c>
      <c r="C7056" s="2">
        <v>825.45209999999997</v>
      </c>
      <c r="D7056" s="2">
        <f>HYPERLINK("http://mcb-m6.bioreg.kyushu-u.ac.jp/M3/20110502/F51161/2215/1", 115.13)</f>
        <v>115.13</v>
      </c>
      <c r="E7056" s="2">
        <v>100.28</v>
      </c>
      <c r="F7056" s="2">
        <v>2</v>
      </c>
      <c r="G7056" s="2" t="s">
        <v>14</v>
      </c>
    </row>
    <row r="7057" spans="1:8" x14ac:dyDescent="0.2">
      <c r="A7057" s="2" t="s">
        <v>3325</v>
      </c>
      <c r="B7057" s="2" t="s">
        <v>1569</v>
      </c>
      <c r="C7057" s="2">
        <v>754.18650000000002</v>
      </c>
      <c r="D7057" s="2">
        <f>HYPERLINK("http://mcb-m6.bioreg.kyushu-u.ac.jp/M3/20110318/F50620/2805/1", 36.34)</f>
        <v>36.340000000000003</v>
      </c>
      <c r="E7057" s="2">
        <v>28.89</v>
      </c>
      <c r="F7057" s="2">
        <v>3</v>
      </c>
      <c r="G7057" s="2" t="s">
        <v>9</v>
      </c>
    </row>
    <row r="7058" spans="1:8" x14ac:dyDescent="0.2">
      <c r="A7058" s="2" t="s">
        <v>3325</v>
      </c>
      <c r="B7058" s="2" t="s">
        <v>1725</v>
      </c>
      <c r="C7058" s="2">
        <v>858.26</v>
      </c>
      <c r="D7058" s="2">
        <f>HYPERLINK("http://mcb-m6.bioreg.kyushu-u.ac.jp/M3/20110318/F50618/619/1", 37)</f>
        <v>37</v>
      </c>
      <c r="E7058" s="2">
        <v>13.95</v>
      </c>
      <c r="F7058" s="2">
        <v>1</v>
      </c>
      <c r="G7058" s="2" t="s">
        <v>9</v>
      </c>
    </row>
    <row r="7059" spans="1:8" x14ac:dyDescent="0.2">
      <c r="A7059" s="2" t="s">
        <v>3325</v>
      </c>
      <c r="B7059" s="2" t="s">
        <v>1569</v>
      </c>
      <c r="C7059" s="2">
        <v>754.37080000000003</v>
      </c>
      <c r="D7059" s="2">
        <f>HYPERLINK("http://mcb-m6.bioreg.kyushu-u.ac.jp/M3/20110318/F50606/2723/1", 37.19)</f>
        <v>37.19</v>
      </c>
      <c r="E7059" s="2">
        <v>25.16</v>
      </c>
      <c r="F7059" s="2">
        <v>3</v>
      </c>
      <c r="G7059" s="2" t="s">
        <v>9</v>
      </c>
    </row>
    <row r="7060" spans="1:8" x14ac:dyDescent="0.2">
      <c r="A7060" s="2" t="s">
        <v>3325</v>
      </c>
      <c r="B7060" s="2" t="s">
        <v>254</v>
      </c>
      <c r="C7060" s="2">
        <v>993.30700000000002</v>
      </c>
      <c r="D7060" s="2">
        <f>HYPERLINK("http://mcb-m6.bioreg.kyushu-u.ac.jp/M3/20110318/F50618/788/1", 43.36)</f>
        <v>43.36</v>
      </c>
      <c r="E7060" s="2">
        <v>9.0299999999999994</v>
      </c>
      <c r="F7060" s="2">
        <v>1</v>
      </c>
      <c r="G7060" s="2" t="s">
        <v>9</v>
      </c>
    </row>
    <row r="7061" spans="1:8" x14ac:dyDescent="0.2">
      <c r="A7061" s="2" t="s">
        <v>3325</v>
      </c>
      <c r="B7061" s="2" t="s">
        <v>1020</v>
      </c>
      <c r="C7061" s="2">
        <v>652.71669999999995</v>
      </c>
      <c r="D7061" s="2">
        <f>HYPERLINK("http://mcb-m6.bioreg.kyushu-u.ac.jp/M3/20110318/F50618/1249/1", 45.12)</f>
        <v>45.12</v>
      </c>
      <c r="E7061" s="2">
        <v>23.81</v>
      </c>
      <c r="F7061" s="2">
        <v>2</v>
      </c>
      <c r="G7061" s="2" t="s">
        <v>9</v>
      </c>
    </row>
    <row r="7062" spans="1:8" x14ac:dyDescent="0.2">
      <c r="A7062" s="2" t="s">
        <v>3325</v>
      </c>
      <c r="B7062" s="2" t="s">
        <v>1569</v>
      </c>
      <c r="C7062" s="2">
        <v>754.1739</v>
      </c>
      <c r="D7062" s="2">
        <f>HYPERLINK("http://mcb-m6.bioreg.kyushu-u.ac.jp/M3/20110318/F50619/2679/1", 45.95)</f>
        <v>45.95</v>
      </c>
      <c r="E7062" s="2">
        <v>34.770000000000003</v>
      </c>
      <c r="F7062" s="2">
        <v>3</v>
      </c>
      <c r="G7062" s="2" t="s">
        <v>9</v>
      </c>
    </row>
    <row r="7063" spans="1:8" x14ac:dyDescent="0.2">
      <c r="A7063" s="2" t="s">
        <v>3325</v>
      </c>
      <c r="B7063" s="2" t="s">
        <v>650</v>
      </c>
      <c r="C7063" s="2">
        <v>635.26570000000004</v>
      </c>
      <c r="D7063" s="2">
        <f>HYPERLINK("http://mcb-m6.bioreg.kyushu-u.ac.jp/M3/20110318/F50605/1238/1", 48.68)</f>
        <v>48.68</v>
      </c>
      <c r="E7063" s="2">
        <v>7.35</v>
      </c>
      <c r="F7063" s="2">
        <v>2</v>
      </c>
      <c r="G7063" s="2" t="s">
        <v>9</v>
      </c>
      <c r="H7063" s="2" t="s">
        <v>4908</v>
      </c>
    </row>
    <row r="7064" spans="1:8" x14ac:dyDescent="0.2">
      <c r="A7064" s="2" t="s">
        <v>3325</v>
      </c>
      <c r="B7064" s="2" t="s">
        <v>1020</v>
      </c>
      <c r="C7064" s="2">
        <v>1319.28</v>
      </c>
      <c r="D7064" s="2">
        <f>HYPERLINK("http://mcb-m6.bioreg.kyushu-u.ac.jp/M3/20110318/F50618/1279/1", 50.95)</f>
        <v>50.95</v>
      </c>
      <c r="E7064" s="2">
        <v>38.36</v>
      </c>
      <c r="F7064" s="2">
        <v>1</v>
      </c>
      <c r="G7064" s="2" t="s">
        <v>9</v>
      </c>
      <c r="H7064" s="2" t="s">
        <v>4919</v>
      </c>
    </row>
    <row r="7065" spans="1:8" x14ac:dyDescent="0.2">
      <c r="A7065" s="2" t="s">
        <v>3325</v>
      </c>
      <c r="B7065" s="2" t="s">
        <v>1569</v>
      </c>
      <c r="C7065" s="2">
        <v>754.30719999999997</v>
      </c>
      <c r="D7065" s="2">
        <f>HYPERLINK("http://mcb-m6.bioreg.kyushu-u.ac.jp/M3/20110318/F50618/2986/1", 51.97)</f>
        <v>51.97</v>
      </c>
      <c r="E7065" s="2">
        <v>44.09</v>
      </c>
      <c r="F7065" s="2">
        <v>3</v>
      </c>
      <c r="G7065" s="2" t="s">
        <v>9</v>
      </c>
    </row>
    <row r="7066" spans="1:8" x14ac:dyDescent="0.2">
      <c r="A7066" s="2" t="s">
        <v>3325</v>
      </c>
      <c r="B7066" s="2" t="s">
        <v>1020</v>
      </c>
      <c r="C7066" s="2">
        <v>660.20370000000003</v>
      </c>
      <c r="D7066" s="2">
        <f>HYPERLINK("http://mcb-m6.bioreg.kyushu-u.ac.jp/M3/20110318/F50619/1205/1", 52.23)</f>
        <v>52.23</v>
      </c>
      <c r="E7066" s="2">
        <v>24.22</v>
      </c>
      <c r="F7066" s="2">
        <v>2</v>
      </c>
      <c r="G7066" s="2" t="s">
        <v>9</v>
      </c>
      <c r="H7066" s="2" t="s">
        <v>4919</v>
      </c>
    </row>
    <row r="7067" spans="1:8" x14ac:dyDescent="0.2">
      <c r="A7067" s="2" t="s">
        <v>3325</v>
      </c>
      <c r="B7067" s="2" t="s">
        <v>1020</v>
      </c>
      <c r="C7067" s="2">
        <v>652.46619999999996</v>
      </c>
      <c r="D7067" s="2">
        <f>HYPERLINK("http://mcb-m6.bioreg.kyushu-u.ac.jp/M3/20110318/F50605/1271/1", 56.53)</f>
        <v>56.53</v>
      </c>
      <c r="E7067" s="2">
        <v>24.03</v>
      </c>
      <c r="F7067" s="2">
        <v>2</v>
      </c>
      <c r="G7067" s="2" t="s">
        <v>9</v>
      </c>
    </row>
    <row r="7068" spans="1:8" x14ac:dyDescent="0.2">
      <c r="A7068" s="2" t="s">
        <v>3325</v>
      </c>
      <c r="B7068" s="2" t="s">
        <v>1020</v>
      </c>
      <c r="C7068" s="2">
        <v>660.77009999999996</v>
      </c>
      <c r="D7068" s="2">
        <f>HYPERLINK("http://mcb-m6.bioreg.kyushu-u.ac.jp/M3/20110318/F50608/1275/1", 57.8)</f>
        <v>57.8</v>
      </c>
      <c r="E7068" s="2">
        <v>38.1</v>
      </c>
      <c r="F7068" s="2">
        <v>2</v>
      </c>
      <c r="G7068" s="2" t="s">
        <v>9</v>
      </c>
      <c r="H7068" s="2" t="s">
        <v>4919</v>
      </c>
    </row>
    <row r="7069" spans="1:8" x14ac:dyDescent="0.2">
      <c r="A7069" s="2" t="s">
        <v>3325</v>
      </c>
      <c r="B7069" s="2" t="s">
        <v>625</v>
      </c>
      <c r="C7069" s="2">
        <v>495.34609999999998</v>
      </c>
      <c r="D7069" s="2">
        <f>HYPERLINK("http://mcb-m6.bioreg.kyushu-u.ac.jp/M3/20110318/F50618/781/1", 61.46)</f>
        <v>61.46</v>
      </c>
      <c r="E7069" s="2">
        <v>30.95</v>
      </c>
      <c r="F7069" s="2">
        <v>2</v>
      </c>
      <c r="G7069" s="2" t="s">
        <v>9</v>
      </c>
    </row>
    <row r="7070" spans="1:8" x14ac:dyDescent="0.2">
      <c r="A7070" s="2" t="s">
        <v>3325</v>
      </c>
      <c r="B7070" s="2" t="s">
        <v>1020</v>
      </c>
      <c r="C7070" s="2">
        <v>1303.252</v>
      </c>
      <c r="D7070" s="2">
        <f>HYPERLINK("http://mcb-m6.bioreg.kyushu-u.ac.jp/M3/20110318/F50618/1243/1", 61.59)</f>
        <v>61.59</v>
      </c>
      <c r="E7070" s="2">
        <v>38.58</v>
      </c>
      <c r="F7070" s="2">
        <v>1</v>
      </c>
      <c r="G7070" s="2" t="s">
        <v>9</v>
      </c>
    </row>
    <row r="7071" spans="1:8" x14ac:dyDescent="0.2">
      <c r="A7071" s="2" t="s">
        <v>3325</v>
      </c>
      <c r="B7071" s="2" t="s">
        <v>650</v>
      </c>
      <c r="C7071" s="2">
        <v>626.78420000000006</v>
      </c>
      <c r="D7071" s="2">
        <f>HYPERLINK("http://mcb-m6.bioreg.kyushu-u.ac.jp/M3/20110318/F50618/1161/1", 65.35)</f>
        <v>65.349999999999994</v>
      </c>
      <c r="E7071" s="2">
        <v>33.159999999999997</v>
      </c>
      <c r="F7071" s="2">
        <v>2</v>
      </c>
      <c r="G7071" s="2" t="s">
        <v>9</v>
      </c>
    </row>
    <row r="7072" spans="1:8" x14ac:dyDescent="0.2">
      <c r="A7072" s="2" t="s">
        <v>3325</v>
      </c>
      <c r="B7072" s="2" t="s">
        <v>1043</v>
      </c>
      <c r="C7072" s="2">
        <v>741.68870000000004</v>
      </c>
      <c r="D7072" s="2">
        <f>HYPERLINK("http://mcb-m6.bioreg.kyushu-u.ac.jp/M3/20110318/F50606/1483/1", 67.07)</f>
        <v>67.069999999999993</v>
      </c>
      <c r="E7072" s="2">
        <v>56.18</v>
      </c>
      <c r="F7072" s="2">
        <v>2</v>
      </c>
      <c r="G7072" s="2" t="s">
        <v>9</v>
      </c>
    </row>
    <row r="7073" spans="1:8" x14ac:dyDescent="0.2">
      <c r="A7073" s="2" t="s">
        <v>3325</v>
      </c>
      <c r="B7073" s="2" t="s">
        <v>1043</v>
      </c>
      <c r="C7073" s="2">
        <v>741.32569999999998</v>
      </c>
      <c r="D7073" s="2">
        <f>HYPERLINK("http://mcb-m6.bioreg.kyushu-u.ac.jp/M3/20110318/F50618/1602/1", 74.1)</f>
        <v>74.099999999999994</v>
      </c>
      <c r="E7073" s="2">
        <v>60.77</v>
      </c>
      <c r="F7073" s="2">
        <v>2</v>
      </c>
      <c r="G7073" s="2" t="s">
        <v>9</v>
      </c>
    </row>
    <row r="7074" spans="1:8" x14ac:dyDescent="0.2">
      <c r="A7074" s="2" t="s">
        <v>3325</v>
      </c>
      <c r="B7074" s="2" t="s">
        <v>1043</v>
      </c>
      <c r="C7074" s="2">
        <v>741.60609999999997</v>
      </c>
      <c r="D7074" s="2">
        <f>HYPERLINK("http://mcb-m6.bioreg.kyushu-u.ac.jp/M3/20110318/F50605/1569/1", 74.49)</f>
        <v>74.489999999999995</v>
      </c>
      <c r="E7074" s="2">
        <v>55.3</v>
      </c>
      <c r="F7074" s="2">
        <v>2</v>
      </c>
      <c r="G7074" s="2" t="s">
        <v>9</v>
      </c>
    </row>
    <row r="7075" spans="1:8" x14ac:dyDescent="0.2">
      <c r="A7075" s="2" t="s">
        <v>3325</v>
      </c>
      <c r="B7075" s="2" t="s">
        <v>237</v>
      </c>
      <c r="C7075" s="2">
        <v>600.55769999999995</v>
      </c>
      <c r="D7075" s="2">
        <f>HYPERLINK("http://mcb-m6.bioreg.kyushu-u.ac.jp/M3/20110318/F50618/1107/1", 75.13)</f>
        <v>75.13</v>
      </c>
      <c r="E7075" s="2">
        <v>37.78</v>
      </c>
      <c r="F7075" s="2">
        <v>2</v>
      </c>
      <c r="G7075" s="2" t="s">
        <v>9</v>
      </c>
    </row>
    <row r="7076" spans="1:8" x14ac:dyDescent="0.2">
      <c r="A7076" s="2" t="s">
        <v>3325</v>
      </c>
      <c r="B7076" s="2" t="s">
        <v>1020</v>
      </c>
      <c r="C7076" s="2">
        <v>660.3691</v>
      </c>
      <c r="D7076" s="2">
        <f>HYPERLINK("http://mcb-m6.bioreg.kyushu-u.ac.jp/M3/20110318/F50606/1206/1", 78.61)</f>
        <v>78.61</v>
      </c>
      <c r="E7076" s="2">
        <v>59.03</v>
      </c>
      <c r="F7076" s="2">
        <v>2</v>
      </c>
      <c r="G7076" s="2" t="s">
        <v>9</v>
      </c>
      <c r="H7076" s="2" t="s">
        <v>4919</v>
      </c>
    </row>
    <row r="7077" spans="1:8" x14ac:dyDescent="0.2">
      <c r="A7077" s="2" t="s">
        <v>3325</v>
      </c>
      <c r="B7077" s="2" t="s">
        <v>1043</v>
      </c>
      <c r="C7077" s="2">
        <v>1481.463</v>
      </c>
      <c r="D7077" s="2">
        <f>HYPERLINK("http://mcb-m6.bioreg.kyushu-u.ac.jp/M3/20110318/F50618/1601/1", 80.03)</f>
        <v>80.03</v>
      </c>
      <c r="E7077" s="2">
        <v>68.58</v>
      </c>
      <c r="F7077" s="2">
        <v>1</v>
      </c>
      <c r="G7077" s="2" t="s">
        <v>9</v>
      </c>
    </row>
    <row r="7078" spans="1:8" x14ac:dyDescent="0.2">
      <c r="A7078" s="2" t="s">
        <v>3325</v>
      </c>
      <c r="B7078" s="2" t="s">
        <v>650</v>
      </c>
      <c r="C7078" s="2">
        <v>634.78060000000005</v>
      </c>
      <c r="D7078" s="2">
        <f>HYPERLINK("http://mcb-m6.bioreg.kyushu-u.ac.jp/M3/20110318/F50618/1188/1", 80.61)</f>
        <v>80.61</v>
      </c>
      <c r="E7078" s="2">
        <v>50.28</v>
      </c>
      <c r="F7078" s="2">
        <v>2</v>
      </c>
      <c r="G7078" s="2" t="s">
        <v>9</v>
      </c>
      <c r="H7078" s="2" t="s">
        <v>4908</v>
      </c>
    </row>
    <row r="7079" spans="1:8" x14ac:dyDescent="0.2">
      <c r="A7079" s="2" t="s">
        <v>3325</v>
      </c>
      <c r="B7079" s="2" t="s">
        <v>1043</v>
      </c>
      <c r="C7079" s="2">
        <v>741.40309999999999</v>
      </c>
      <c r="D7079" s="2">
        <f>HYPERLINK("http://mcb-m6.bioreg.kyushu-u.ac.jp/M3/20110318/F50620/1631/1", 82.93)</f>
        <v>82.93</v>
      </c>
      <c r="E7079" s="2">
        <v>70.81</v>
      </c>
      <c r="F7079" s="2">
        <v>2</v>
      </c>
      <c r="G7079" s="2" t="s">
        <v>9</v>
      </c>
    </row>
    <row r="7080" spans="1:8" x14ac:dyDescent="0.2">
      <c r="A7080" s="2" t="s">
        <v>3325</v>
      </c>
      <c r="B7080" s="2" t="s">
        <v>1043</v>
      </c>
      <c r="C7080" s="2">
        <v>741.31209999999999</v>
      </c>
      <c r="D7080" s="2">
        <f>HYPERLINK("http://mcb-m6.bioreg.kyushu-u.ac.jp/M3/20110318/F50619/1475/1", 83.14)</f>
        <v>83.14</v>
      </c>
      <c r="E7080" s="2">
        <v>68</v>
      </c>
      <c r="F7080" s="2">
        <v>2</v>
      </c>
      <c r="G7080" s="2" t="s">
        <v>9</v>
      </c>
    </row>
    <row r="7081" spans="1:8" x14ac:dyDescent="0.2">
      <c r="A7081" s="2" t="s">
        <v>3325</v>
      </c>
      <c r="B7081" s="2" t="s">
        <v>1020</v>
      </c>
      <c r="C7081" s="2">
        <v>660.30269999999996</v>
      </c>
      <c r="D7081" s="2">
        <f>HYPERLINK("http://mcb-m6.bioreg.kyushu-u.ac.jp/M3/20110318/F50618/1280/1", 85.68)</f>
        <v>85.68</v>
      </c>
      <c r="E7081" s="2">
        <v>53.31</v>
      </c>
      <c r="F7081" s="2">
        <v>2</v>
      </c>
      <c r="G7081" s="2" t="s">
        <v>9</v>
      </c>
      <c r="H7081" s="2" t="s">
        <v>4919</v>
      </c>
    </row>
    <row r="7082" spans="1:8" x14ac:dyDescent="0.2">
      <c r="A7082" s="2" t="s">
        <v>3325</v>
      </c>
      <c r="B7082" s="2" t="s">
        <v>1020</v>
      </c>
      <c r="C7082" s="2">
        <v>652.22059999999999</v>
      </c>
      <c r="D7082" s="2">
        <f>HYPERLINK("http://mcb-m6.bioreg.kyushu-u.ac.jp/M3/20110318/F50618/1246/1", 86.84)</f>
        <v>86.84</v>
      </c>
      <c r="E7082" s="2">
        <v>54.94</v>
      </c>
      <c r="F7082" s="2">
        <v>2</v>
      </c>
      <c r="G7082" s="2" t="s">
        <v>9</v>
      </c>
    </row>
    <row r="7083" spans="1:8" x14ac:dyDescent="0.2">
      <c r="A7083" s="2" t="s">
        <v>3325</v>
      </c>
      <c r="B7083" s="2" t="s">
        <v>1043</v>
      </c>
      <c r="C7083" s="2">
        <v>741.66309999999999</v>
      </c>
      <c r="D7083" s="2">
        <f>HYPERLINK("http://mcb-m6.bioreg.kyushu-u.ac.jp/M3/20110318/F50607/1523/1", 88.6)</f>
        <v>88.6</v>
      </c>
      <c r="E7083" s="2">
        <v>77.77</v>
      </c>
      <c r="F7083" s="2">
        <v>2</v>
      </c>
      <c r="G7083" s="2" t="s">
        <v>9</v>
      </c>
    </row>
    <row r="7084" spans="1:8" x14ac:dyDescent="0.2">
      <c r="A7084" s="2" t="s">
        <v>3325</v>
      </c>
      <c r="B7084" s="2" t="s">
        <v>1569</v>
      </c>
      <c r="C7084" s="2">
        <v>1130.971</v>
      </c>
      <c r="D7084" s="2">
        <f>HYPERLINK("http://mcb-m6.bioreg.kyushu-u.ac.jp/M3/20110318/F50606/2721/1", 89.54)</f>
        <v>89.54</v>
      </c>
      <c r="E7084" s="2">
        <v>84.62</v>
      </c>
      <c r="F7084" s="2">
        <v>2</v>
      </c>
      <c r="G7084" s="2" t="s">
        <v>9</v>
      </c>
    </row>
    <row r="7085" spans="1:8" x14ac:dyDescent="0.2">
      <c r="A7085" s="2" t="s">
        <v>3325</v>
      </c>
      <c r="B7085" s="2" t="s">
        <v>1569</v>
      </c>
      <c r="C7085" s="2">
        <v>1130.8240000000001</v>
      </c>
      <c r="D7085" s="2">
        <f>HYPERLINK("http://mcb-m6.bioreg.kyushu-u.ac.jp/M3/20110318/F50619/2680/1", 117.72)</f>
        <v>117.72</v>
      </c>
      <c r="E7085" s="2">
        <v>106.96</v>
      </c>
      <c r="F7085" s="2">
        <v>2</v>
      </c>
      <c r="G7085" s="2" t="s">
        <v>9</v>
      </c>
    </row>
    <row r="7086" spans="1:8" x14ac:dyDescent="0.2">
      <c r="A7086" s="2" t="s">
        <v>3325</v>
      </c>
      <c r="B7086" s="2" t="s">
        <v>1569</v>
      </c>
      <c r="C7086" s="2">
        <v>1130.5039999999999</v>
      </c>
      <c r="D7086" s="2">
        <f>HYPERLINK("http://mcb-m6.bioreg.kyushu-u.ac.jp/M3/20110318/F50618/2983/1", 131.18)</f>
        <v>131.18</v>
      </c>
      <c r="E7086" s="2">
        <v>116.93</v>
      </c>
      <c r="F7086" s="2">
        <v>2</v>
      </c>
      <c r="G7086" s="2" t="s">
        <v>9</v>
      </c>
    </row>
    <row r="7087" spans="1:8" x14ac:dyDescent="0.2">
      <c r="A7087" s="2" t="s">
        <v>3325</v>
      </c>
      <c r="B7087" s="2" t="s">
        <v>1725</v>
      </c>
      <c r="C7087" s="2">
        <v>858.34100000000001</v>
      </c>
      <c r="D7087" s="2">
        <f>HYPERLINK("http://mcb-m6.bioreg.kyushu-u.ac.jp/M3/20110318/F50597/746/1", 35.02)</f>
        <v>35.020000000000003</v>
      </c>
      <c r="E7087" s="2">
        <v>13.97</v>
      </c>
      <c r="F7087" s="2">
        <v>1</v>
      </c>
      <c r="G7087" s="2" t="s">
        <v>10</v>
      </c>
    </row>
    <row r="7088" spans="1:8" x14ac:dyDescent="0.2">
      <c r="A7088" s="2" t="s">
        <v>3325</v>
      </c>
      <c r="B7088" s="2" t="s">
        <v>1569</v>
      </c>
      <c r="C7088" s="2">
        <v>754.2405</v>
      </c>
      <c r="D7088" s="2">
        <f>HYPERLINK("http://mcb-m6.bioreg.kyushu-u.ac.jp/M3/20110318/F50598/2478/1", 35.99)</f>
        <v>35.99</v>
      </c>
      <c r="E7088" s="2">
        <v>30.56</v>
      </c>
      <c r="F7088" s="2">
        <v>3</v>
      </c>
      <c r="G7088" s="2" t="s">
        <v>10</v>
      </c>
    </row>
    <row r="7089" spans="1:8" x14ac:dyDescent="0.2">
      <c r="A7089" s="2" t="s">
        <v>3325</v>
      </c>
      <c r="B7089" s="2" t="s">
        <v>1569</v>
      </c>
      <c r="C7089" s="2">
        <v>754.20950000000005</v>
      </c>
      <c r="D7089" s="2">
        <f>HYPERLINK("http://mcb-m6.bioreg.kyushu-u.ac.jp/M3/20110318/F50611/2731/1", 36.23)</f>
        <v>36.229999999999997</v>
      </c>
      <c r="E7089" s="2">
        <v>26.09</v>
      </c>
      <c r="F7089" s="2">
        <v>3</v>
      </c>
      <c r="G7089" s="2" t="s">
        <v>10</v>
      </c>
    </row>
    <row r="7090" spans="1:8" x14ac:dyDescent="0.2">
      <c r="A7090" s="2" t="s">
        <v>3325</v>
      </c>
      <c r="B7090" s="2" t="s">
        <v>1569</v>
      </c>
      <c r="C7090" s="2">
        <v>753.93790000000001</v>
      </c>
      <c r="D7090" s="2">
        <f>HYPERLINK("http://mcb-m6.bioreg.kyushu-u.ac.jp/M3/20110318/F50613/2797/1", 37.19)</f>
        <v>37.19</v>
      </c>
      <c r="E7090" s="2">
        <v>20.59</v>
      </c>
      <c r="F7090" s="2">
        <v>3</v>
      </c>
      <c r="G7090" s="2" t="s">
        <v>10</v>
      </c>
    </row>
    <row r="7091" spans="1:8" x14ac:dyDescent="0.2">
      <c r="A7091" s="2" t="s">
        <v>3325</v>
      </c>
      <c r="B7091" s="2" t="s">
        <v>1569</v>
      </c>
      <c r="C7091" s="2">
        <v>754.15390000000002</v>
      </c>
      <c r="D7091" s="2">
        <f>HYPERLINK("http://mcb-m6.bioreg.kyushu-u.ac.jp/M3/20110318/F50597/2827/1", 37.86)</f>
        <v>37.86</v>
      </c>
      <c r="E7091" s="2">
        <v>25.4</v>
      </c>
      <c r="F7091" s="2">
        <v>3</v>
      </c>
      <c r="G7091" s="2" t="s">
        <v>10</v>
      </c>
    </row>
    <row r="7092" spans="1:8" x14ac:dyDescent="0.2">
      <c r="A7092" s="2" t="s">
        <v>3325</v>
      </c>
      <c r="B7092" s="2" t="s">
        <v>1569</v>
      </c>
      <c r="C7092" s="2">
        <v>1130.999</v>
      </c>
      <c r="D7092" s="2">
        <f>HYPERLINK("http://mcb-m6.bioreg.kyushu-u.ac.jp/M3/20110318/F50598/2479/1", 38.36)</f>
        <v>38.36</v>
      </c>
      <c r="E7092" s="2">
        <v>34.86</v>
      </c>
      <c r="F7092" s="2">
        <v>2</v>
      </c>
      <c r="G7092" s="2" t="s">
        <v>10</v>
      </c>
    </row>
    <row r="7093" spans="1:8" x14ac:dyDescent="0.2">
      <c r="A7093" s="2" t="s">
        <v>3325</v>
      </c>
      <c r="B7093" s="2" t="s">
        <v>650</v>
      </c>
      <c r="C7093" s="2">
        <v>635.06569999999999</v>
      </c>
      <c r="D7093" s="2">
        <f>HYPERLINK("http://mcb-m6.bioreg.kyushu-u.ac.jp/M3/20110318/F50614/1311/1", 39.22)</f>
        <v>39.22</v>
      </c>
      <c r="E7093" s="2">
        <v>9.83</v>
      </c>
      <c r="F7093" s="2">
        <v>2</v>
      </c>
      <c r="G7093" s="2" t="s">
        <v>10</v>
      </c>
      <c r="H7093" s="2" t="s">
        <v>4908</v>
      </c>
    </row>
    <row r="7094" spans="1:8" x14ac:dyDescent="0.2">
      <c r="A7094" s="2" t="s">
        <v>3325</v>
      </c>
      <c r="B7094" s="2" t="s">
        <v>237</v>
      </c>
      <c r="C7094" s="2">
        <v>1199.585</v>
      </c>
      <c r="D7094" s="2">
        <f>HYPERLINK("http://mcb-m6.bioreg.kyushu-u.ac.jp/M3/20110318/F50615/1070/1", 39.74)</f>
        <v>39.74</v>
      </c>
      <c r="E7094" s="2">
        <v>19.100000000000001</v>
      </c>
      <c r="F7094" s="2">
        <v>1</v>
      </c>
      <c r="G7094" s="2" t="s">
        <v>10</v>
      </c>
    </row>
    <row r="7095" spans="1:8" x14ac:dyDescent="0.2">
      <c r="A7095" s="2" t="s">
        <v>3325</v>
      </c>
      <c r="B7095" s="2" t="s">
        <v>1725</v>
      </c>
      <c r="C7095" s="2">
        <v>858.46799999999996</v>
      </c>
      <c r="D7095" s="2">
        <f>HYPERLINK("http://mcb-m6.bioreg.kyushu-u.ac.jp/M3/20110318/F50614/755/1", 40.51)</f>
        <v>40.51</v>
      </c>
      <c r="E7095" s="2">
        <v>16.66</v>
      </c>
      <c r="F7095" s="2">
        <v>1</v>
      </c>
      <c r="G7095" s="2" t="s">
        <v>10</v>
      </c>
    </row>
    <row r="7096" spans="1:8" x14ac:dyDescent="0.2">
      <c r="A7096" s="2" t="s">
        <v>3325</v>
      </c>
      <c r="B7096" s="2" t="s">
        <v>625</v>
      </c>
      <c r="C7096" s="2">
        <v>989.51300000000003</v>
      </c>
      <c r="D7096" s="2">
        <f>HYPERLINK("http://mcb-m6.bioreg.kyushu-u.ac.jp/M3/20110318/F50614/925/1", 42.28)</f>
        <v>42.28</v>
      </c>
      <c r="E7096" s="2">
        <v>13.79</v>
      </c>
      <c r="F7096" s="2">
        <v>1</v>
      </c>
      <c r="G7096" s="2" t="s">
        <v>10</v>
      </c>
    </row>
    <row r="7097" spans="1:8" x14ac:dyDescent="0.2">
      <c r="A7097" s="2" t="s">
        <v>3325</v>
      </c>
      <c r="B7097" s="2" t="s">
        <v>254</v>
      </c>
      <c r="C7097" s="2">
        <v>993.471</v>
      </c>
      <c r="D7097" s="2">
        <f>HYPERLINK("http://mcb-m6.bioreg.kyushu-u.ac.jp/M3/20110318/F50614/935/1", 44.64)</f>
        <v>44.64</v>
      </c>
      <c r="E7097" s="2">
        <v>16.809999999999999</v>
      </c>
      <c r="F7097" s="2">
        <v>1</v>
      </c>
      <c r="G7097" s="2" t="s">
        <v>10</v>
      </c>
    </row>
    <row r="7098" spans="1:8" x14ac:dyDescent="0.2">
      <c r="A7098" s="2" t="s">
        <v>3325</v>
      </c>
      <c r="B7098" s="2" t="s">
        <v>1569</v>
      </c>
      <c r="C7098" s="2">
        <v>753.95119999999997</v>
      </c>
      <c r="D7098" s="2">
        <f>HYPERLINK("http://mcb-m6.bioreg.kyushu-u.ac.jp/M3/20110318/F50614/2938/1", 46.86)</f>
        <v>46.86</v>
      </c>
      <c r="E7098" s="2">
        <v>31.63</v>
      </c>
      <c r="F7098" s="2">
        <v>3</v>
      </c>
      <c r="G7098" s="2" t="s">
        <v>10</v>
      </c>
    </row>
    <row r="7099" spans="1:8" x14ac:dyDescent="0.2">
      <c r="A7099" s="2" t="s">
        <v>3325</v>
      </c>
      <c r="B7099" s="2" t="s">
        <v>549</v>
      </c>
      <c r="C7099" s="2">
        <v>599.34010000000001</v>
      </c>
      <c r="D7099" s="2">
        <f>HYPERLINK("http://mcb-m6.bioreg.kyushu-u.ac.jp/M3/20110318/F50614/1179/1", 48.05)</f>
        <v>48.05</v>
      </c>
      <c r="E7099" s="2">
        <v>22.6</v>
      </c>
      <c r="F7099" s="2">
        <v>2</v>
      </c>
      <c r="G7099" s="2" t="s">
        <v>10</v>
      </c>
    </row>
    <row r="7100" spans="1:8" x14ac:dyDescent="0.2">
      <c r="A7100" s="2" t="s">
        <v>3325</v>
      </c>
      <c r="B7100" s="2" t="s">
        <v>1020</v>
      </c>
      <c r="C7100" s="2">
        <v>660.32119999999998</v>
      </c>
      <c r="D7100" s="2">
        <f>HYPERLINK("http://mcb-m6.bioreg.kyushu-u.ac.jp/M3/20110318/F50614/1384/1", 49.59)</f>
        <v>49.59</v>
      </c>
      <c r="E7100" s="2">
        <v>31.82</v>
      </c>
      <c r="F7100" s="2">
        <v>2</v>
      </c>
      <c r="G7100" s="2" t="s">
        <v>10</v>
      </c>
      <c r="H7100" s="2" t="s">
        <v>4919</v>
      </c>
    </row>
    <row r="7101" spans="1:8" x14ac:dyDescent="0.2">
      <c r="A7101" s="2" t="s">
        <v>3325</v>
      </c>
      <c r="B7101" s="2" t="s">
        <v>237</v>
      </c>
      <c r="C7101" s="2">
        <v>600.89670000000001</v>
      </c>
      <c r="D7101" s="2">
        <f>HYPERLINK("http://mcb-m6.bioreg.kyushu-u.ac.jp/M3/20110318/F50617/1205/1", 49.74)</f>
        <v>49.74</v>
      </c>
      <c r="E7101" s="2">
        <v>17.41</v>
      </c>
      <c r="F7101" s="2">
        <v>2</v>
      </c>
      <c r="G7101" s="2" t="s">
        <v>10</v>
      </c>
    </row>
    <row r="7102" spans="1:8" x14ac:dyDescent="0.2">
      <c r="A7102" s="2" t="s">
        <v>3325</v>
      </c>
      <c r="B7102" s="2" t="s">
        <v>1569</v>
      </c>
      <c r="C7102" s="2">
        <v>1130.875</v>
      </c>
      <c r="D7102" s="2">
        <f>HYPERLINK("http://mcb-m6.bioreg.kyushu-u.ac.jp/M3/20110318/F50597/2828/1", 51.35)</f>
        <v>51.35</v>
      </c>
      <c r="E7102" s="2">
        <v>40.479999999999997</v>
      </c>
      <c r="F7102" s="2">
        <v>2</v>
      </c>
      <c r="G7102" s="2" t="s">
        <v>10</v>
      </c>
    </row>
    <row r="7103" spans="1:8" x14ac:dyDescent="0.2">
      <c r="A7103" s="2" t="s">
        <v>3325</v>
      </c>
      <c r="B7103" s="2" t="s">
        <v>1020</v>
      </c>
      <c r="C7103" s="2">
        <v>652.24659999999994</v>
      </c>
      <c r="D7103" s="2">
        <f>HYPERLINK("http://mcb-m6.bioreg.kyushu-u.ac.jp/M3/20110318/F50615/1225/1", 52.24)</f>
        <v>52.24</v>
      </c>
      <c r="E7103" s="2">
        <v>34.51</v>
      </c>
      <c r="F7103" s="2">
        <v>2</v>
      </c>
      <c r="G7103" s="2" t="s">
        <v>10</v>
      </c>
    </row>
    <row r="7104" spans="1:8" x14ac:dyDescent="0.2">
      <c r="A7104" s="2" t="s">
        <v>3325</v>
      </c>
      <c r="B7104" s="2" t="s">
        <v>237</v>
      </c>
      <c r="C7104" s="2">
        <v>600.42470000000003</v>
      </c>
      <c r="D7104" s="2">
        <f>HYPERLINK("http://mcb-m6.bioreg.kyushu-u.ac.jp/M3/20110318/F50614/1184/1", 53.56)</f>
        <v>53.56</v>
      </c>
      <c r="E7104" s="2">
        <v>27.08</v>
      </c>
      <c r="F7104" s="2">
        <v>2</v>
      </c>
      <c r="G7104" s="2" t="s">
        <v>10</v>
      </c>
    </row>
    <row r="7105" spans="1:8" x14ac:dyDescent="0.2">
      <c r="A7105" s="2" t="s">
        <v>3325</v>
      </c>
      <c r="B7105" s="2" t="s">
        <v>625</v>
      </c>
      <c r="C7105" s="2">
        <v>495.35860000000002</v>
      </c>
      <c r="D7105" s="2">
        <f>HYPERLINK("http://mcb-m6.bioreg.kyushu-u.ac.jp/M3/20110318/F50615/786/1", 57.14)</f>
        <v>57.14</v>
      </c>
      <c r="E7105" s="2">
        <v>28.01</v>
      </c>
      <c r="F7105" s="2">
        <v>2</v>
      </c>
      <c r="G7105" s="2" t="s">
        <v>10</v>
      </c>
    </row>
    <row r="7106" spans="1:8" x14ac:dyDescent="0.2">
      <c r="A7106" s="2" t="s">
        <v>3325</v>
      </c>
      <c r="B7106" s="2" t="s">
        <v>650</v>
      </c>
      <c r="C7106" s="2">
        <v>635.40060000000005</v>
      </c>
      <c r="D7106" s="2">
        <f>HYPERLINK("http://mcb-m6.bioreg.kyushu-u.ac.jp/M3/20110318/F50613/1266/1", 57.29)</f>
        <v>57.29</v>
      </c>
      <c r="E7106" s="2">
        <v>31.38</v>
      </c>
      <c r="F7106" s="2">
        <v>2</v>
      </c>
      <c r="G7106" s="2" t="s">
        <v>10</v>
      </c>
      <c r="H7106" s="2" t="s">
        <v>4908</v>
      </c>
    </row>
    <row r="7107" spans="1:8" x14ac:dyDescent="0.2">
      <c r="A7107" s="2" t="s">
        <v>3325</v>
      </c>
      <c r="B7107" s="2" t="s">
        <v>650</v>
      </c>
      <c r="C7107" s="2">
        <v>1268.559</v>
      </c>
      <c r="D7107" s="2">
        <f>HYPERLINK("http://mcb-m6.bioreg.kyushu-u.ac.jp/M3/20110318/F50614/1308/1", 57.75)</f>
        <v>57.75</v>
      </c>
      <c r="E7107" s="2">
        <v>35.68</v>
      </c>
      <c r="F7107" s="2">
        <v>1</v>
      </c>
      <c r="G7107" s="2" t="s">
        <v>10</v>
      </c>
      <c r="H7107" s="2" t="s">
        <v>4908</v>
      </c>
    </row>
    <row r="7108" spans="1:8" x14ac:dyDescent="0.2">
      <c r="A7108" s="2" t="s">
        <v>3325</v>
      </c>
      <c r="B7108" s="2" t="s">
        <v>1020</v>
      </c>
      <c r="C7108" s="2">
        <v>1319.5360000000001</v>
      </c>
      <c r="D7108" s="2">
        <f>HYPERLINK("http://mcb-m6.bioreg.kyushu-u.ac.jp/M3/20110318/F50614/1383/1", 61.14)</f>
        <v>61.14</v>
      </c>
      <c r="E7108" s="2">
        <v>45.2</v>
      </c>
      <c r="F7108" s="2">
        <v>1</v>
      </c>
      <c r="G7108" s="2" t="s">
        <v>10</v>
      </c>
      <c r="H7108" s="2" t="s">
        <v>4919</v>
      </c>
    </row>
    <row r="7109" spans="1:8" x14ac:dyDescent="0.2">
      <c r="A7109" s="2" t="s">
        <v>3325</v>
      </c>
      <c r="B7109" s="2" t="s">
        <v>650</v>
      </c>
      <c r="C7109" s="2">
        <v>634.9547</v>
      </c>
      <c r="D7109" s="2">
        <f>HYPERLINK("http://mcb-m6.bioreg.kyushu-u.ac.jp/M3/20110318/F50614/1310/1", 64.37)</f>
        <v>64.37</v>
      </c>
      <c r="E7109" s="2">
        <v>35.299999999999997</v>
      </c>
      <c r="F7109" s="2">
        <v>2</v>
      </c>
      <c r="G7109" s="2" t="s">
        <v>10</v>
      </c>
      <c r="H7109" s="2" t="s">
        <v>4908</v>
      </c>
    </row>
    <row r="7110" spans="1:8" x14ac:dyDescent="0.2">
      <c r="A7110" s="2" t="s">
        <v>3325</v>
      </c>
      <c r="B7110" s="2" t="s">
        <v>625</v>
      </c>
      <c r="C7110" s="2">
        <v>495.38760000000002</v>
      </c>
      <c r="D7110" s="2">
        <f>HYPERLINK("http://mcb-m6.bioreg.kyushu-u.ac.jp/M3/20110318/F50614/928/1", 69.26)</f>
        <v>69.260000000000005</v>
      </c>
      <c r="E7110" s="2">
        <v>32.979999999999997</v>
      </c>
      <c r="F7110" s="2">
        <v>2</v>
      </c>
      <c r="G7110" s="2" t="s">
        <v>10</v>
      </c>
    </row>
    <row r="7111" spans="1:8" x14ac:dyDescent="0.2">
      <c r="A7111" s="2" t="s">
        <v>3325</v>
      </c>
      <c r="B7111" s="2" t="s">
        <v>1569</v>
      </c>
      <c r="C7111" s="2">
        <v>754.28650000000005</v>
      </c>
      <c r="D7111" s="2">
        <f>HYPERLINK("http://mcb-m6.bioreg.kyushu-u.ac.jp/M3/20110318/F50616/2830/1", 73.72)</f>
        <v>73.72</v>
      </c>
      <c r="E7111" s="2">
        <v>61.43</v>
      </c>
      <c r="F7111" s="2">
        <v>3</v>
      </c>
      <c r="G7111" s="2" t="s">
        <v>10</v>
      </c>
    </row>
    <row r="7112" spans="1:8" x14ac:dyDescent="0.2">
      <c r="A7112" s="2" t="s">
        <v>3325</v>
      </c>
      <c r="B7112" s="2" t="s">
        <v>1043</v>
      </c>
      <c r="C7112" s="2">
        <v>741.41359999999997</v>
      </c>
      <c r="D7112" s="2">
        <f>HYPERLINK("http://mcb-m6.bioreg.kyushu-u.ac.jp/M3/20110318/F50614/1692/1", 74.23)</f>
        <v>74.23</v>
      </c>
      <c r="E7112" s="2">
        <v>63.26</v>
      </c>
      <c r="F7112" s="2">
        <v>2</v>
      </c>
      <c r="G7112" s="2" t="s">
        <v>10</v>
      </c>
    </row>
    <row r="7113" spans="1:8" x14ac:dyDescent="0.2">
      <c r="A7113" s="2" t="s">
        <v>3325</v>
      </c>
      <c r="B7113" s="2" t="s">
        <v>1043</v>
      </c>
      <c r="C7113" s="2">
        <v>741.59720000000004</v>
      </c>
      <c r="D7113" s="2">
        <f>HYPERLINK("http://mcb-m6.bioreg.kyushu-u.ac.jp/M3/20110318/F50598/1583/1", 76.05)</f>
        <v>76.05</v>
      </c>
      <c r="E7113" s="2">
        <v>62.86</v>
      </c>
      <c r="F7113" s="2">
        <v>2</v>
      </c>
      <c r="G7113" s="2" t="s">
        <v>10</v>
      </c>
    </row>
    <row r="7114" spans="1:8" x14ac:dyDescent="0.2">
      <c r="A7114" s="2" t="s">
        <v>3325</v>
      </c>
      <c r="B7114" s="2" t="s">
        <v>1043</v>
      </c>
      <c r="C7114" s="2">
        <v>1482.221</v>
      </c>
      <c r="D7114" s="2">
        <f>HYPERLINK("http://mcb-m6.bioreg.kyushu-u.ac.jp/M3/20110318/F50614/1695/1", 76.53)</f>
        <v>76.53</v>
      </c>
      <c r="E7114" s="2">
        <v>68.040000000000006</v>
      </c>
      <c r="F7114" s="2">
        <v>1</v>
      </c>
      <c r="G7114" s="2" t="s">
        <v>10</v>
      </c>
    </row>
    <row r="7115" spans="1:8" x14ac:dyDescent="0.2">
      <c r="A7115" s="2" t="s">
        <v>3325</v>
      </c>
      <c r="B7115" s="2" t="s">
        <v>1043</v>
      </c>
      <c r="C7115" s="2">
        <v>741.37919999999997</v>
      </c>
      <c r="D7115" s="2">
        <f>HYPERLINK("http://mcb-m6.bioreg.kyushu-u.ac.jp/M3/20110318/F50615/1530/1", 79.99)</f>
        <v>79.989999999999995</v>
      </c>
      <c r="E7115" s="2">
        <v>69.06</v>
      </c>
      <c r="F7115" s="2">
        <v>2</v>
      </c>
      <c r="G7115" s="2" t="s">
        <v>10</v>
      </c>
    </row>
    <row r="7116" spans="1:8" x14ac:dyDescent="0.2">
      <c r="A7116" s="2" t="s">
        <v>3325</v>
      </c>
      <c r="B7116" s="2" t="s">
        <v>1043</v>
      </c>
      <c r="C7116" s="2">
        <v>741.44709999999998</v>
      </c>
      <c r="D7116" s="2">
        <f>HYPERLINK("http://mcb-m6.bioreg.kyushu-u.ac.jp/M3/20110318/F50597/1593/1", 80.01)</f>
        <v>80.010000000000005</v>
      </c>
      <c r="E7116" s="2">
        <v>67.510000000000005</v>
      </c>
      <c r="F7116" s="2">
        <v>2</v>
      </c>
      <c r="G7116" s="2" t="s">
        <v>10</v>
      </c>
    </row>
    <row r="7117" spans="1:8" x14ac:dyDescent="0.2">
      <c r="A7117" s="2" t="s">
        <v>3325</v>
      </c>
      <c r="B7117" s="2" t="s">
        <v>1020</v>
      </c>
      <c r="C7117" s="2">
        <v>652.36469999999997</v>
      </c>
      <c r="D7117" s="2">
        <f>HYPERLINK("http://mcb-m6.bioreg.kyushu-u.ac.jp/M3/20110318/F50597/1279/1", 82.43)</f>
        <v>82.43</v>
      </c>
      <c r="E7117" s="2">
        <v>52.52</v>
      </c>
      <c r="F7117" s="2">
        <v>2</v>
      </c>
      <c r="G7117" s="2" t="s">
        <v>10</v>
      </c>
    </row>
    <row r="7118" spans="1:8" x14ac:dyDescent="0.2">
      <c r="A7118" s="2" t="s">
        <v>3325</v>
      </c>
      <c r="B7118" s="2" t="s">
        <v>237</v>
      </c>
      <c r="C7118" s="2">
        <v>600.37519999999995</v>
      </c>
      <c r="D7118" s="2">
        <f>HYPERLINK("http://mcb-m6.bioreg.kyushu-u.ac.jp/M3/20110318/F50596/1244/1", 86.12)</f>
        <v>86.12</v>
      </c>
      <c r="E7118" s="2">
        <v>43.33</v>
      </c>
      <c r="F7118" s="2">
        <v>2</v>
      </c>
      <c r="G7118" s="2" t="s">
        <v>10</v>
      </c>
    </row>
    <row r="7119" spans="1:8" x14ac:dyDescent="0.2">
      <c r="A7119" s="2" t="s">
        <v>3325</v>
      </c>
      <c r="B7119" s="2" t="s">
        <v>1043</v>
      </c>
      <c r="C7119" s="2">
        <v>741.59770000000003</v>
      </c>
      <c r="D7119" s="2">
        <f>HYPERLINK("http://mcb-m6.bioreg.kyushu-u.ac.jp/M3/20110318/F50616/1651/1", 89.06)</f>
        <v>89.06</v>
      </c>
      <c r="E7119" s="2">
        <v>73.02</v>
      </c>
      <c r="F7119" s="2">
        <v>2</v>
      </c>
      <c r="G7119" s="2" t="s">
        <v>10</v>
      </c>
    </row>
    <row r="7120" spans="1:8" x14ac:dyDescent="0.2">
      <c r="A7120" s="2" t="s">
        <v>3325</v>
      </c>
      <c r="B7120" s="2" t="s">
        <v>1569</v>
      </c>
      <c r="C7120" s="2">
        <v>1130.4580000000001</v>
      </c>
      <c r="D7120" s="2">
        <f>HYPERLINK("http://mcb-m6.bioreg.kyushu-u.ac.jp/M3/20110318/F50598/2477/1", 90.89)</f>
        <v>90.89</v>
      </c>
      <c r="E7120" s="2">
        <v>80.53</v>
      </c>
      <c r="F7120" s="2">
        <v>2</v>
      </c>
      <c r="G7120" s="2" t="s">
        <v>10</v>
      </c>
    </row>
    <row r="7121" spans="1:7" x14ac:dyDescent="0.2">
      <c r="A7121" s="2" t="s">
        <v>3325</v>
      </c>
      <c r="B7121" s="2" t="s">
        <v>1043</v>
      </c>
      <c r="C7121" s="2">
        <v>741.41359999999997</v>
      </c>
      <c r="D7121" s="2">
        <f>HYPERLINK("http://mcb-m6.bioreg.kyushu-u.ac.jp/M3/20110318/F50613/1613/1", 91.9)</f>
        <v>91.9</v>
      </c>
      <c r="E7121" s="2">
        <v>83.72</v>
      </c>
      <c r="F7121" s="2">
        <v>2</v>
      </c>
      <c r="G7121" s="2" t="s">
        <v>10</v>
      </c>
    </row>
    <row r="7122" spans="1:7" x14ac:dyDescent="0.2">
      <c r="A7122" s="2" t="s">
        <v>3325</v>
      </c>
      <c r="B7122" s="2" t="s">
        <v>1569</v>
      </c>
      <c r="C7122" s="2">
        <v>1130.4169999999999</v>
      </c>
      <c r="D7122" s="2">
        <f>HYPERLINK("http://mcb-m6.bioreg.kyushu-u.ac.jp/M3/20110318/F50613/2798/1", 100.59)</f>
        <v>100.59</v>
      </c>
      <c r="E7122" s="2">
        <v>87.43</v>
      </c>
      <c r="F7122" s="2">
        <v>2</v>
      </c>
      <c r="G7122" s="2" t="s">
        <v>10</v>
      </c>
    </row>
    <row r="7123" spans="1:7" x14ac:dyDescent="0.2">
      <c r="A7123" s="2" t="s">
        <v>3325</v>
      </c>
      <c r="B7123" s="2" t="s">
        <v>1569</v>
      </c>
      <c r="C7123" s="2">
        <v>1130.9829999999999</v>
      </c>
      <c r="D7123" s="2">
        <f>HYPERLINK("http://mcb-m6.bioreg.kyushu-u.ac.jp/M3/20110318/F50615/2733/1", 105.63)</f>
        <v>105.63</v>
      </c>
      <c r="E7123" s="2">
        <v>99.92</v>
      </c>
      <c r="F7123" s="2">
        <v>2</v>
      </c>
      <c r="G7123" s="2" t="s">
        <v>10</v>
      </c>
    </row>
    <row r="7124" spans="1:7" x14ac:dyDescent="0.2">
      <c r="A7124" s="2" t="s">
        <v>3325</v>
      </c>
      <c r="B7124" s="2" t="s">
        <v>1569</v>
      </c>
      <c r="C7124" s="2">
        <v>1130.9110000000001</v>
      </c>
      <c r="D7124" s="2">
        <f>HYPERLINK("http://mcb-m6.bioreg.kyushu-u.ac.jp/M3/20110318/F50614/2940/1", 112.65)</f>
        <v>112.65</v>
      </c>
      <c r="E7124" s="2">
        <v>101.72</v>
      </c>
      <c r="F7124" s="2">
        <v>2</v>
      </c>
      <c r="G7124" s="2" t="s">
        <v>10</v>
      </c>
    </row>
    <row r="7125" spans="1:7" x14ac:dyDescent="0.2">
      <c r="A7125" s="2" t="s">
        <v>3325</v>
      </c>
      <c r="B7125" s="2" t="s">
        <v>1569</v>
      </c>
      <c r="C7125" s="2">
        <v>1130.838</v>
      </c>
      <c r="D7125" s="2">
        <f>HYPERLINK("http://mcb-m6.bioreg.kyushu-u.ac.jp/M3/20110318/F50616/2829/1", 117.56)</f>
        <v>117.56</v>
      </c>
      <c r="E7125" s="2">
        <v>109.03</v>
      </c>
      <c r="F7125" s="2">
        <v>2</v>
      </c>
      <c r="G7125" s="2" t="s">
        <v>10</v>
      </c>
    </row>
    <row r="7126" spans="1:7" x14ac:dyDescent="0.2">
      <c r="A7126" s="2" t="s">
        <v>3325</v>
      </c>
      <c r="B7126" s="2" t="s">
        <v>1569</v>
      </c>
      <c r="C7126" s="2">
        <v>1130.4090000000001</v>
      </c>
      <c r="D7126" s="2">
        <f>HYPERLINK("http://mcb-m6.bioreg.kyushu-u.ac.jp/M3/20110318/F50614/2937/1", 125.64)</f>
        <v>125.64</v>
      </c>
      <c r="E7126" s="2">
        <v>113.79</v>
      </c>
      <c r="F7126" s="2">
        <v>2</v>
      </c>
      <c r="G7126" s="2" t="s">
        <v>10</v>
      </c>
    </row>
    <row r="7127" spans="1:7" x14ac:dyDescent="0.2">
      <c r="A7127" s="2" t="s">
        <v>3325</v>
      </c>
      <c r="B7127" s="2" t="s">
        <v>1569</v>
      </c>
      <c r="C7127" s="2">
        <v>1130.9349999999999</v>
      </c>
      <c r="D7127" s="2">
        <f>HYPERLINK("http://mcb-m6.bioreg.kyushu-u.ac.jp/M3/20110318/F50613/2799/1", 126.41)</f>
        <v>126.41</v>
      </c>
      <c r="E7127" s="2">
        <v>115.96</v>
      </c>
      <c r="F7127" s="2">
        <v>2</v>
      </c>
      <c r="G7127" s="2" t="s">
        <v>10</v>
      </c>
    </row>
    <row r="7128" spans="1:7" x14ac:dyDescent="0.2">
      <c r="A7128" s="2" t="s">
        <v>3325</v>
      </c>
      <c r="B7128" s="2" t="s">
        <v>1569</v>
      </c>
      <c r="C7128" s="2">
        <v>1130.2349999999999</v>
      </c>
      <c r="D7128" s="2">
        <f>HYPERLINK("http://mcb-m6.bioreg.kyushu-u.ac.jp/M3/20110318/F50616/2827/1", 127.38)</f>
        <v>127.38</v>
      </c>
      <c r="E7128" s="2">
        <v>114.43</v>
      </c>
      <c r="F7128" s="2">
        <v>2</v>
      </c>
      <c r="G7128" s="2" t="s">
        <v>10</v>
      </c>
    </row>
    <row r="7129" spans="1:7" x14ac:dyDescent="0.2">
      <c r="A7129" s="2" t="s">
        <v>3325</v>
      </c>
      <c r="B7129" s="2" t="s">
        <v>1569</v>
      </c>
      <c r="C7129" s="2">
        <v>1130.4760000000001</v>
      </c>
      <c r="D7129" s="2">
        <f>HYPERLINK("http://mcb-m6.bioreg.kyushu-u.ac.jp/M3/20110318/F50615/2731/1", 145.83)</f>
        <v>145.83000000000001</v>
      </c>
      <c r="E7129" s="2">
        <v>136.54</v>
      </c>
      <c r="F7129" s="2">
        <v>2</v>
      </c>
      <c r="G7129" s="2" t="s">
        <v>10</v>
      </c>
    </row>
    <row r="7130" spans="1:7" x14ac:dyDescent="0.2">
      <c r="A7130" s="2" t="s">
        <v>3325</v>
      </c>
      <c r="B7130" s="2" t="s">
        <v>549</v>
      </c>
      <c r="C7130" s="2">
        <v>599.21010000000001</v>
      </c>
      <c r="D7130" s="2">
        <f>HYPERLINK("http://mcb-m6.bioreg.kyushu-u.ac.jp/M3/20110418/F50976/1298/1", 35)</f>
        <v>35</v>
      </c>
      <c r="E7130" s="2">
        <v>11.85</v>
      </c>
      <c r="F7130" s="2">
        <v>2</v>
      </c>
      <c r="G7130" s="2" t="s">
        <v>11</v>
      </c>
    </row>
    <row r="7131" spans="1:7" x14ac:dyDescent="0.2">
      <c r="A7131" s="2" t="s">
        <v>3325</v>
      </c>
      <c r="B7131" s="2" t="s">
        <v>1725</v>
      </c>
      <c r="C7131" s="2">
        <v>858.43100000000004</v>
      </c>
      <c r="D7131" s="2">
        <f>HYPERLINK("http://mcb-m6.bioreg.kyushu-u.ac.jp/M3/20110418/F50976/638/1", 35.14)</f>
        <v>35.14</v>
      </c>
      <c r="E7131" s="2">
        <v>12.4</v>
      </c>
      <c r="F7131" s="2">
        <v>1</v>
      </c>
      <c r="G7131" s="2" t="s">
        <v>11</v>
      </c>
    </row>
    <row r="7132" spans="1:7" x14ac:dyDescent="0.2">
      <c r="A7132" s="2" t="s">
        <v>3325</v>
      </c>
      <c r="B7132" s="2" t="s">
        <v>625</v>
      </c>
      <c r="C7132" s="2">
        <v>495.78609999999998</v>
      </c>
      <c r="D7132" s="2">
        <f>HYPERLINK("http://mcb-m6.bioreg.kyushu-u.ac.jp/M3/20110418/F50999/1263/1", 36.34)</f>
        <v>36.340000000000003</v>
      </c>
      <c r="E7132" s="2">
        <v>13.29</v>
      </c>
      <c r="F7132" s="2">
        <v>2</v>
      </c>
      <c r="G7132" s="2" t="s">
        <v>11</v>
      </c>
    </row>
    <row r="7133" spans="1:7" x14ac:dyDescent="0.2">
      <c r="A7133" s="2" t="s">
        <v>3325</v>
      </c>
      <c r="B7133" s="2" t="s">
        <v>1725</v>
      </c>
      <c r="C7133" s="2">
        <v>858.32500000000005</v>
      </c>
      <c r="D7133" s="2">
        <f>HYPERLINK("http://mcb-m6.bioreg.kyushu-u.ac.jp/M3/20110418/F50999/1040/1", 36.85)</f>
        <v>36.85</v>
      </c>
      <c r="E7133" s="2">
        <v>9.67</v>
      </c>
      <c r="F7133" s="2">
        <v>1</v>
      </c>
      <c r="G7133" s="2" t="s">
        <v>11</v>
      </c>
    </row>
    <row r="7134" spans="1:7" x14ac:dyDescent="0.2">
      <c r="A7134" s="2" t="s">
        <v>3325</v>
      </c>
      <c r="B7134" s="2" t="s">
        <v>237</v>
      </c>
      <c r="C7134" s="2">
        <v>1199.665</v>
      </c>
      <c r="D7134" s="2">
        <f>HYPERLINK("http://mcb-m6.bioreg.kyushu-u.ac.jp/M3/20110418/F50999/1544/1", 37.97)</f>
        <v>37.97</v>
      </c>
      <c r="E7134" s="2">
        <v>24.3</v>
      </c>
      <c r="F7134" s="2">
        <v>1</v>
      </c>
      <c r="G7134" s="2" t="s">
        <v>11</v>
      </c>
    </row>
    <row r="7135" spans="1:7" x14ac:dyDescent="0.2">
      <c r="A7135" s="2" t="s">
        <v>3325</v>
      </c>
      <c r="B7135" s="2" t="s">
        <v>1725</v>
      </c>
      <c r="C7135" s="2">
        <v>858.35900000000004</v>
      </c>
      <c r="D7135" s="2">
        <f>HYPERLINK("http://mcb-m6.bioreg.kyushu-u.ac.jp/M3/20110418/F50999/1041/1", 38.09)</f>
        <v>38.090000000000003</v>
      </c>
      <c r="E7135" s="2">
        <v>15.48</v>
      </c>
      <c r="F7135" s="2">
        <v>1</v>
      </c>
      <c r="G7135" s="2" t="s">
        <v>11</v>
      </c>
    </row>
    <row r="7136" spans="1:7" x14ac:dyDescent="0.2">
      <c r="A7136" s="2" t="s">
        <v>3325</v>
      </c>
      <c r="B7136" s="2" t="s">
        <v>549</v>
      </c>
      <c r="C7136" s="2">
        <v>599.76969999999994</v>
      </c>
      <c r="D7136" s="2">
        <f>HYPERLINK("http://mcb-m6.bioreg.kyushu-u.ac.jp/M3/20110418/F50999/1539/1", 38.18)</f>
        <v>38.18</v>
      </c>
      <c r="E7136" s="2">
        <v>16.95</v>
      </c>
      <c r="F7136" s="2">
        <v>2</v>
      </c>
      <c r="G7136" s="2" t="s">
        <v>11</v>
      </c>
    </row>
    <row r="7137" spans="1:7" x14ac:dyDescent="0.2">
      <c r="A7137" s="2" t="s">
        <v>3325</v>
      </c>
      <c r="B7137" s="2" t="s">
        <v>980</v>
      </c>
      <c r="C7137" s="2">
        <v>976.57259999999997</v>
      </c>
      <c r="D7137" s="2">
        <f>HYPERLINK("http://mcb-m6.bioreg.kyushu-u.ac.jp/M3/20110418/F50976/3191/1", 38.99)</f>
        <v>38.99</v>
      </c>
      <c r="E7137" s="2">
        <v>31.9</v>
      </c>
      <c r="F7137" s="2">
        <v>2</v>
      </c>
      <c r="G7137" s="2" t="s">
        <v>11</v>
      </c>
    </row>
    <row r="7138" spans="1:7" x14ac:dyDescent="0.2">
      <c r="A7138" s="2" t="s">
        <v>3325</v>
      </c>
      <c r="B7138" s="2" t="s">
        <v>1020</v>
      </c>
      <c r="C7138" s="2">
        <v>652.83969999999999</v>
      </c>
      <c r="D7138" s="2">
        <f>HYPERLINK("http://mcb-m6.bioreg.kyushu-u.ac.jp/M3/20110418/F50979/1770/1", 39.78)</f>
        <v>39.78</v>
      </c>
      <c r="E7138" s="2">
        <v>9.42</v>
      </c>
      <c r="F7138" s="2">
        <v>2</v>
      </c>
      <c r="G7138" s="2" t="s">
        <v>11</v>
      </c>
    </row>
    <row r="7139" spans="1:7" x14ac:dyDescent="0.2">
      <c r="A7139" s="2" t="s">
        <v>3325</v>
      </c>
      <c r="B7139" s="2" t="s">
        <v>237</v>
      </c>
      <c r="C7139" s="2">
        <v>600.79570000000001</v>
      </c>
      <c r="D7139" s="2">
        <f>HYPERLINK("http://mcb-m6.bioreg.kyushu-u.ac.jp/M3/20110418/F50974/1431/1", 40.39)</f>
        <v>40.39</v>
      </c>
      <c r="E7139" s="2">
        <v>8.74</v>
      </c>
      <c r="F7139" s="2">
        <v>2</v>
      </c>
      <c r="G7139" s="2" t="s">
        <v>11</v>
      </c>
    </row>
    <row r="7140" spans="1:7" x14ac:dyDescent="0.2">
      <c r="A7140" s="2" t="s">
        <v>3325</v>
      </c>
      <c r="B7140" s="2" t="s">
        <v>625</v>
      </c>
      <c r="C7140" s="2">
        <v>495.80360000000002</v>
      </c>
      <c r="D7140" s="2">
        <f>HYPERLINK("http://mcb-m6.bioreg.kyushu-u.ac.jp/M3/20110418/F50999/1264/1", 41.14)</f>
        <v>41.14</v>
      </c>
      <c r="E7140" s="2">
        <v>14.32</v>
      </c>
      <c r="F7140" s="2">
        <v>2</v>
      </c>
      <c r="G7140" s="2" t="s">
        <v>11</v>
      </c>
    </row>
    <row r="7141" spans="1:7" x14ac:dyDescent="0.2">
      <c r="A7141" s="2" t="s">
        <v>3325</v>
      </c>
      <c r="B7141" s="2" t="s">
        <v>254</v>
      </c>
      <c r="C7141" s="2">
        <v>993.33699999999999</v>
      </c>
      <c r="D7141" s="2">
        <f>HYPERLINK("http://mcb-m6.bioreg.kyushu-u.ac.jp/M3/20110418/F50976/846/1", 42.07)</f>
        <v>42.07</v>
      </c>
      <c r="E7141" s="2">
        <v>10.08</v>
      </c>
      <c r="F7141" s="2">
        <v>1</v>
      </c>
      <c r="G7141" s="2" t="s">
        <v>11</v>
      </c>
    </row>
    <row r="7142" spans="1:7" x14ac:dyDescent="0.2">
      <c r="A7142" s="2" t="s">
        <v>3325</v>
      </c>
      <c r="B7142" s="2" t="s">
        <v>237</v>
      </c>
      <c r="C7142" s="2">
        <v>1199.616</v>
      </c>
      <c r="D7142" s="2">
        <f>HYPERLINK("http://mcb-m6.bioreg.kyushu-u.ac.jp/M3/20110418/F50977/1353/1", 42.16)</f>
        <v>42.16</v>
      </c>
      <c r="E7142" s="2">
        <v>21.64</v>
      </c>
      <c r="F7142" s="2">
        <v>1</v>
      </c>
      <c r="G7142" s="2" t="s">
        <v>11</v>
      </c>
    </row>
    <row r="7143" spans="1:7" x14ac:dyDescent="0.2">
      <c r="A7143" s="2" t="s">
        <v>3325</v>
      </c>
      <c r="B7143" s="2" t="s">
        <v>625</v>
      </c>
      <c r="C7143" s="2">
        <v>495.2081</v>
      </c>
      <c r="D7143" s="2">
        <f>HYPERLINK("http://mcb-m6.bioreg.kyushu-u.ac.jp/M3/20110418/F50999/1260/1", 44.35)</f>
        <v>44.35</v>
      </c>
      <c r="E7143" s="2">
        <v>14.97</v>
      </c>
      <c r="F7143" s="2">
        <v>2</v>
      </c>
      <c r="G7143" s="2" t="s">
        <v>11</v>
      </c>
    </row>
    <row r="7144" spans="1:7" x14ac:dyDescent="0.2">
      <c r="A7144" s="2" t="s">
        <v>3325</v>
      </c>
      <c r="B7144" s="2" t="s">
        <v>254</v>
      </c>
      <c r="C7144" s="2">
        <v>497.23610000000002</v>
      </c>
      <c r="D7144" s="2">
        <f>HYPERLINK("http://mcb-m6.bioreg.kyushu-u.ac.jp/M3/20110418/F50976/847/1", 46.78)</f>
        <v>46.78</v>
      </c>
      <c r="E7144" s="2">
        <v>21.11</v>
      </c>
      <c r="F7144" s="2">
        <v>2</v>
      </c>
      <c r="G7144" s="2" t="s">
        <v>11</v>
      </c>
    </row>
    <row r="7145" spans="1:7" x14ac:dyDescent="0.2">
      <c r="A7145" s="2" t="s">
        <v>3325</v>
      </c>
      <c r="B7145" s="2" t="s">
        <v>1043</v>
      </c>
      <c r="C7145" s="2">
        <v>741.93960000000004</v>
      </c>
      <c r="D7145" s="2">
        <f>HYPERLINK("http://mcb-m6.bioreg.kyushu-u.ac.jp/M3/20110418/F50976/2002/1", 47.89)</f>
        <v>47.89</v>
      </c>
      <c r="E7145" s="2">
        <v>41.84</v>
      </c>
      <c r="F7145" s="2">
        <v>2</v>
      </c>
      <c r="G7145" s="2" t="s">
        <v>11</v>
      </c>
    </row>
    <row r="7146" spans="1:7" x14ac:dyDescent="0.2">
      <c r="A7146" s="2" t="s">
        <v>3325</v>
      </c>
      <c r="B7146" s="2" t="s">
        <v>625</v>
      </c>
      <c r="C7146" s="2">
        <v>495.8356</v>
      </c>
      <c r="D7146" s="2">
        <f>HYPERLINK("http://mcb-m6.bioreg.kyushu-u.ac.jp/M3/20110418/F50999/1266/1", 48.67)</f>
        <v>48.67</v>
      </c>
      <c r="E7146" s="2">
        <v>16.16</v>
      </c>
      <c r="F7146" s="2">
        <v>2</v>
      </c>
      <c r="G7146" s="2" t="s">
        <v>11</v>
      </c>
    </row>
    <row r="7147" spans="1:7" x14ac:dyDescent="0.2">
      <c r="A7147" s="2" t="s">
        <v>3325</v>
      </c>
      <c r="B7147" s="2" t="s">
        <v>625</v>
      </c>
      <c r="C7147" s="2">
        <v>494.94110000000001</v>
      </c>
      <c r="D7147" s="2">
        <f>HYPERLINK("http://mcb-m6.bioreg.kyushu-u.ac.jp/M3/20110418/F50979/1355/1", 49.01)</f>
        <v>49.01</v>
      </c>
      <c r="E7147" s="2">
        <v>18.41</v>
      </c>
      <c r="F7147" s="2">
        <v>2</v>
      </c>
      <c r="G7147" s="2" t="s">
        <v>11</v>
      </c>
    </row>
    <row r="7148" spans="1:7" x14ac:dyDescent="0.2">
      <c r="A7148" s="2" t="s">
        <v>3325</v>
      </c>
      <c r="B7148" s="2" t="s">
        <v>237</v>
      </c>
      <c r="C7148" s="2">
        <v>1199.614</v>
      </c>
      <c r="D7148" s="2">
        <f>HYPERLINK("http://mcb-m6.bioreg.kyushu-u.ac.jp/M3/20110418/F50976/1303/1", 49.73)</f>
        <v>49.73</v>
      </c>
      <c r="E7148" s="2">
        <v>31.21</v>
      </c>
      <c r="F7148" s="2">
        <v>1</v>
      </c>
      <c r="G7148" s="2" t="s">
        <v>11</v>
      </c>
    </row>
    <row r="7149" spans="1:7" x14ac:dyDescent="0.2">
      <c r="A7149" s="2" t="s">
        <v>3325</v>
      </c>
      <c r="B7149" s="2" t="s">
        <v>1020</v>
      </c>
      <c r="C7149" s="2">
        <v>1303.886</v>
      </c>
      <c r="D7149" s="2">
        <f>HYPERLINK("http://mcb-m6.bioreg.kyushu-u.ac.jp/M3/20110418/F50976/1507/1", 51.36)</f>
        <v>51.36</v>
      </c>
      <c r="E7149" s="2">
        <v>38.01</v>
      </c>
      <c r="F7149" s="2">
        <v>1</v>
      </c>
      <c r="G7149" s="2" t="s">
        <v>11</v>
      </c>
    </row>
    <row r="7150" spans="1:7" x14ac:dyDescent="0.2">
      <c r="A7150" s="2" t="s">
        <v>3325</v>
      </c>
      <c r="B7150" s="2" t="s">
        <v>625</v>
      </c>
      <c r="C7150" s="2">
        <v>494.92410000000001</v>
      </c>
      <c r="D7150" s="2">
        <f>HYPERLINK("http://mcb-m6.bioreg.kyushu-u.ac.jp/M3/20110418/F50977/865/1", 53.04)</f>
        <v>53.04</v>
      </c>
      <c r="E7150" s="2">
        <v>15.67</v>
      </c>
      <c r="F7150" s="2">
        <v>2</v>
      </c>
      <c r="G7150" s="2" t="s">
        <v>11</v>
      </c>
    </row>
    <row r="7151" spans="1:7" x14ac:dyDescent="0.2">
      <c r="A7151" s="2" t="s">
        <v>3325</v>
      </c>
      <c r="B7151" s="2" t="s">
        <v>650</v>
      </c>
      <c r="C7151" s="2">
        <v>626.98969999999997</v>
      </c>
      <c r="D7151" s="2">
        <f>HYPERLINK("http://mcb-m6.bioreg.kyushu-u.ac.jp/M3/20110418/F50999/1621/1", 54.34)</f>
        <v>54.34</v>
      </c>
      <c r="E7151" s="2">
        <v>23.16</v>
      </c>
      <c r="F7151" s="2">
        <v>2</v>
      </c>
      <c r="G7151" s="2" t="s">
        <v>11</v>
      </c>
    </row>
    <row r="7152" spans="1:7" x14ac:dyDescent="0.2">
      <c r="A7152" s="2" t="s">
        <v>3325</v>
      </c>
      <c r="B7152" s="2" t="s">
        <v>650</v>
      </c>
      <c r="C7152" s="2">
        <v>626.81769999999995</v>
      </c>
      <c r="D7152" s="2">
        <f>HYPERLINK("http://mcb-m6.bioreg.kyushu-u.ac.jp/M3/20110418/F50977/1473/1", 57.19)</f>
        <v>57.19</v>
      </c>
      <c r="E7152" s="2">
        <v>32.35</v>
      </c>
      <c r="F7152" s="2">
        <v>2</v>
      </c>
      <c r="G7152" s="2" t="s">
        <v>11</v>
      </c>
    </row>
    <row r="7153" spans="1:8" x14ac:dyDescent="0.2">
      <c r="A7153" s="2" t="s">
        <v>3325</v>
      </c>
      <c r="B7153" s="2" t="s">
        <v>625</v>
      </c>
      <c r="C7153" s="2">
        <v>495.19409999999999</v>
      </c>
      <c r="D7153" s="2">
        <f>HYPERLINK("http://mcb-m6.bioreg.kyushu-u.ac.jp/M3/20110418/F50999/1259/1", 58.83)</f>
        <v>58.83</v>
      </c>
      <c r="E7153" s="2">
        <v>23.03</v>
      </c>
      <c r="F7153" s="2">
        <v>2</v>
      </c>
      <c r="G7153" s="2" t="s">
        <v>11</v>
      </c>
    </row>
    <row r="7154" spans="1:8" x14ac:dyDescent="0.2">
      <c r="A7154" s="2" t="s">
        <v>3325</v>
      </c>
      <c r="B7154" s="2" t="s">
        <v>1020</v>
      </c>
      <c r="C7154" s="2">
        <v>652.63509999999997</v>
      </c>
      <c r="D7154" s="2">
        <f>HYPERLINK("http://mcb-m6.bioreg.kyushu-u.ac.jp/M3/20110418/F50999/1668/1", 59.16)</f>
        <v>59.16</v>
      </c>
      <c r="E7154" s="2">
        <v>42.83</v>
      </c>
      <c r="F7154" s="2">
        <v>2</v>
      </c>
      <c r="G7154" s="2" t="s">
        <v>11</v>
      </c>
    </row>
    <row r="7155" spans="1:8" x14ac:dyDescent="0.2">
      <c r="A7155" s="2" t="s">
        <v>3325</v>
      </c>
      <c r="B7155" s="2" t="s">
        <v>650</v>
      </c>
      <c r="C7155" s="2">
        <v>626.8347</v>
      </c>
      <c r="D7155" s="2">
        <f>HYPERLINK("http://mcb-m6.bioreg.kyushu-u.ac.jp/M3/20110418/F50976/1407/1", 59.44)</f>
        <v>59.44</v>
      </c>
      <c r="E7155" s="2">
        <v>30.44</v>
      </c>
      <c r="F7155" s="2">
        <v>2</v>
      </c>
      <c r="G7155" s="2" t="s">
        <v>11</v>
      </c>
    </row>
    <row r="7156" spans="1:8" x14ac:dyDescent="0.2">
      <c r="A7156" s="2" t="s">
        <v>3325</v>
      </c>
      <c r="B7156" s="2" t="s">
        <v>1020</v>
      </c>
      <c r="C7156" s="2">
        <v>652.23069999999996</v>
      </c>
      <c r="D7156" s="2">
        <f>HYPERLINK("http://mcb-m6.bioreg.kyushu-u.ac.jp/M3/20110418/F50999/1665/1", 62.96)</f>
        <v>62.96</v>
      </c>
      <c r="E7156" s="2">
        <v>40.07</v>
      </c>
      <c r="F7156" s="2">
        <v>2</v>
      </c>
      <c r="G7156" s="2" t="s">
        <v>11</v>
      </c>
    </row>
    <row r="7157" spans="1:8" x14ac:dyDescent="0.2">
      <c r="A7157" s="2" t="s">
        <v>3325</v>
      </c>
      <c r="B7157" s="2" t="s">
        <v>625</v>
      </c>
      <c r="C7157" s="2">
        <v>495.2586</v>
      </c>
      <c r="D7157" s="2">
        <f>HYPERLINK("http://mcb-m6.bioreg.kyushu-u.ac.jp/M3/20110418/F50976/839/1", 64.09)</f>
        <v>64.09</v>
      </c>
      <c r="E7157" s="2">
        <v>28.83</v>
      </c>
      <c r="F7157" s="2">
        <v>2</v>
      </c>
      <c r="G7157" s="2" t="s">
        <v>11</v>
      </c>
    </row>
    <row r="7158" spans="1:8" x14ac:dyDescent="0.2">
      <c r="A7158" s="2" t="s">
        <v>3325</v>
      </c>
      <c r="B7158" s="2" t="s">
        <v>1020</v>
      </c>
      <c r="C7158" s="2">
        <v>660.21169999999995</v>
      </c>
      <c r="D7158" s="2">
        <f>HYPERLINK("http://mcb-m6.bioreg.kyushu-u.ac.jp/M3/20110418/F50999/1690/1", 68.26)</f>
        <v>68.260000000000005</v>
      </c>
      <c r="E7158" s="2">
        <v>44.13</v>
      </c>
      <c r="F7158" s="2">
        <v>2</v>
      </c>
      <c r="G7158" s="2" t="s">
        <v>11</v>
      </c>
      <c r="H7158" s="2" t="s">
        <v>4919</v>
      </c>
    </row>
    <row r="7159" spans="1:8" x14ac:dyDescent="0.2">
      <c r="A7159" s="2" t="s">
        <v>3325</v>
      </c>
      <c r="B7159" s="2" t="s">
        <v>1043</v>
      </c>
      <c r="C7159" s="2">
        <v>741.96469999999999</v>
      </c>
      <c r="D7159" s="2">
        <f>HYPERLINK("http://mcb-m6.bioreg.kyushu-u.ac.jp/M3/20110418/F50977/2093/1", 71.95)</f>
        <v>71.95</v>
      </c>
      <c r="E7159" s="2">
        <v>59.5</v>
      </c>
      <c r="F7159" s="2">
        <v>2</v>
      </c>
      <c r="G7159" s="2" t="s">
        <v>11</v>
      </c>
    </row>
    <row r="7160" spans="1:8" x14ac:dyDescent="0.2">
      <c r="A7160" s="2" t="s">
        <v>3325</v>
      </c>
      <c r="B7160" s="2" t="s">
        <v>1020</v>
      </c>
      <c r="C7160" s="2">
        <v>652.66219999999998</v>
      </c>
      <c r="D7160" s="2">
        <f>HYPERLINK("http://mcb-m6.bioreg.kyushu-u.ac.jp/M3/20110418/F50977/1587/1", 72.48)</f>
        <v>72.48</v>
      </c>
      <c r="E7160" s="2">
        <v>39.78</v>
      </c>
      <c r="F7160" s="2">
        <v>2</v>
      </c>
      <c r="G7160" s="2" t="s">
        <v>11</v>
      </c>
    </row>
    <row r="7161" spans="1:8" x14ac:dyDescent="0.2">
      <c r="A7161" s="2" t="s">
        <v>3325</v>
      </c>
      <c r="B7161" s="2" t="s">
        <v>1020</v>
      </c>
      <c r="C7161" s="2">
        <v>1303.489</v>
      </c>
      <c r="D7161" s="2">
        <f>HYPERLINK("http://mcb-m6.bioreg.kyushu-u.ac.jp/M3/20110418/F50999/1666/1", 74.37)</f>
        <v>74.37</v>
      </c>
      <c r="E7161" s="2">
        <v>54.91</v>
      </c>
      <c r="F7161" s="2">
        <v>1</v>
      </c>
      <c r="G7161" s="2" t="s">
        <v>11</v>
      </c>
    </row>
    <row r="7162" spans="1:8" x14ac:dyDescent="0.2">
      <c r="A7162" s="2" t="s">
        <v>3325</v>
      </c>
      <c r="B7162" s="2" t="s">
        <v>237</v>
      </c>
      <c r="C7162" s="2">
        <v>600.77670000000001</v>
      </c>
      <c r="D7162" s="2">
        <f>HYPERLINK("http://mcb-m6.bioreg.kyushu-u.ac.jp/M3/20110418/F50977/1356/1", 75.02)</f>
        <v>75.02</v>
      </c>
      <c r="E7162" s="2">
        <v>38.119999999999997</v>
      </c>
      <c r="F7162" s="2">
        <v>2</v>
      </c>
      <c r="G7162" s="2" t="s">
        <v>11</v>
      </c>
    </row>
    <row r="7163" spans="1:8" x14ac:dyDescent="0.2">
      <c r="A7163" s="2" t="s">
        <v>3325</v>
      </c>
      <c r="B7163" s="2" t="s">
        <v>1020</v>
      </c>
      <c r="C7163" s="2">
        <v>652.79169999999999</v>
      </c>
      <c r="D7163" s="2">
        <f>HYPERLINK("http://mcb-m6.bioreg.kyushu-u.ac.jp/M3/20110418/F50999/1670/1", 77.32)</f>
        <v>77.319999999999993</v>
      </c>
      <c r="E7163" s="2">
        <v>52.63</v>
      </c>
      <c r="F7163" s="2">
        <v>2</v>
      </c>
      <c r="G7163" s="2" t="s">
        <v>11</v>
      </c>
    </row>
    <row r="7164" spans="1:8" x14ac:dyDescent="0.2">
      <c r="A7164" s="2" t="s">
        <v>3325</v>
      </c>
      <c r="B7164" s="2" t="s">
        <v>237</v>
      </c>
      <c r="C7164" s="2">
        <v>600.79769999999996</v>
      </c>
      <c r="D7164" s="2">
        <f>HYPERLINK("http://mcb-m6.bioreg.kyushu-u.ac.jp/M3/20110418/F50978/1437/1", 80.06)</f>
        <v>80.06</v>
      </c>
      <c r="E7164" s="2">
        <v>43.04</v>
      </c>
      <c r="F7164" s="2">
        <v>2</v>
      </c>
      <c r="G7164" s="2" t="s">
        <v>11</v>
      </c>
    </row>
    <row r="7165" spans="1:8" x14ac:dyDescent="0.2">
      <c r="A7165" s="2" t="s">
        <v>3325</v>
      </c>
      <c r="B7165" s="2" t="s">
        <v>237</v>
      </c>
      <c r="C7165" s="2">
        <v>600.31669999999997</v>
      </c>
      <c r="D7165" s="2">
        <f>HYPERLINK("http://mcb-m6.bioreg.kyushu-u.ac.jp/M3/20110418/F50999/1543/1", 81.15)</f>
        <v>81.150000000000006</v>
      </c>
      <c r="E7165" s="2">
        <v>37.78</v>
      </c>
      <c r="F7165" s="2">
        <v>2</v>
      </c>
      <c r="G7165" s="2" t="s">
        <v>11</v>
      </c>
    </row>
    <row r="7166" spans="1:8" x14ac:dyDescent="0.2">
      <c r="A7166" s="2" t="s">
        <v>3325</v>
      </c>
      <c r="B7166" s="2" t="s">
        <v>237</v>
      </c>
      <c r="C7166" s="2">
        <v>600.22220000000004</v>
      </c>
      <c r="D7166" s="2">
        <f>HYPERLINK("http://mcb-m6.bioreg.kyushu-u.ac.jp/M3/20110418/F50976/1302/1", 91.88)</f>
        <v>91.88</v>
      </c>
      <c r="E7166" s="2">
        <v>47.29</v>
      </c>
      <c r="F7166" s="2">
        <v>2</v>
      </c>
      <c r="G7166" s="2" t="s">
        <v>11</v>
      </c>
    </row>
    <row r="7167" spans="1:8" x14ac:dyDescent="0.2">
      <c r="A7167" s="2" t="s">
        <v>3325</v>
      </c>
      <c r="B7167" s="2" t="s">
        <v>237</v>
      </c>
      <c r="C7167" s="2">
        <v>600.26070000000004</v>
      </c>
      <c r="D7167" s="2">
        <f>HYPERLINK("http://mcb-m6.bioreg.kyushu-u.ac.jp/M3/20110418/F50977/1352/1", 94.2)</f>
        <v>94.2</v>
      </c>
      <c r="E7167" s="2">
        <v>33.159999999999997</v>
      </c>
      <c r="F7167" s="2">
        <v>2</v>
      </c>
      <c r="G7167" s="2" t="s">
        <v>11</v>
      </c>
    </row>
    <row r="7168" spans="1:8" x14ac:dyDescent="0.2">
      <c r="A7168" s="2" t="s">
        <v>3325</v>
      </c>
      <c r="B7168" s="2" t="s">
        <v>1043</v>
      </c>
      <c r="C7168" s="2">
        <v>741.30020000000002</v>
      </c>
      <c r="D7168" s="2">
        <f>HYPERLINK("http://mcb-m6.bioreg.kyushu-u.ac.jp/M3/20110418/F50977/2086/1", 95.35)</f>
        <v>95.35</v>
      </c>
      <c r="E7168" s="2">
        <v>84.5</v>
      </c>
      <c r="F7168" s="2">
        <v>2</v>
      </c>
      <c r="G7168" s="2" t="s">
        <v>11</v>
      </c>
    </row>
    <row r="7169" spans="1:8" x14ac:dyDescent="0.2">
      <c r="A7169" s="2" t="s">
        <v>3325</v>
      </c>
      <c r="B7169" s="2" t="s">
        <v>650</v>
      </c>
      <c r="C7169" s="2">
        <v>634.84670000000006</v>
      </c>
      <c r="D7169" s="2">
        <f>HYPERLINK("http://mcb-m6.bioreg.kyushu-u.ac.jp/M3/20110418/F50999/1640/1", 97.13)</f>
        <v>97.13</v>
      </c>
      <c r="E7169" s="2">
        <v>70.77</v>
      </c>
      <c r="F7169" s="2">
        <v>2</v>
      </c>
      <c r="G7169" s="2" t="s">
        <v>11</v>
      </c>
      <c r="H7169" s="2" t="s">
        <v>4908</v>
      </c>
    </row>
    <row r="7170" spans="1:8" x14ac:dyDescent="0.2">
      <c r="A7170" s="2" t="s">
        <v>3325</v>
      </c>
      <c r="B7170" s="2" t="s">
        <v>1569</v>
      </c>
      <c r="C7170" s="2">
        <v>1130.895</v>
      </c>
      <c r="D7170" s="2">
        <f>HYPERLINK("http://mcb-m6.bioreg.kyushu-u.ac.jp/M3/20110418/F50975/3870/1", 99.31)</f>
        <v>99.31</v>
      </c>
      <c r="E7170" s="2">
        <v>90.08</v>
      </c>
      <c r="F7170" s="2">
        <v>2</v>
      </c>
      <c r="G7170" s="2" t="s">
        <v>11</v>
      </c>
    </row>
    <row r="7171" spans="1:8" x14ac:dyDescent="0.2">
      <c r="A7171" s="2" t="s">
        <v>3325</v>
      </c>
      <c r="B7171" s="2" t="s">
        <v>1569</v>
      </c>
      <c r="C7171" s="2">
        <v>1130.3789999999999</v>
      </c>
      <c r="D7171" s="2">
        <f>HYPERLINK("http://mcb-m6.bioreg.kyushu-u.ac.jp/M3/20110418/F50999/2911/1", 120.69)</f>
        <v>120.69</v>
      </c>
      <c r="E7171" s="2">
        <v>109.35</v>
      </c>
      <c r="F7171" s="2">
        <v>2</v>
      </c>
      <c r="G7171" s="2" t="s">
        <v>11</v>
      </c>
    </row>
    <row r="7172" spans="1:8" x14ac:dyDescent="0.2">
      <c r="A7172" s="2" t="s">
        <v>3325</v>
      </c>
      <c r="B7172" s="2" t="s">
        <v>1569</v>
      </c>
      <c r="C7172" s="2">
        <v>1130.319</v>
      </c>
      <c r="D7172" s="2">
        <f>HYPERLINK("http://mcb-m6.bioreg.kyushu-u.ac.jp/M3/20110418/F50976/3678/1", 130.4)</f>
        <v>130.4</v>
      </c>
      <c r="E7172" s="2">
        <v>113.26</v>
      </c>
      <c r="F7172" s="2">
        <v>2</v>
      </c>
      <c r="G7172" s="2" t="s">
        <v>11</v>
      </c>
    </row>
    <row r="7173" spans="1:8" x14ac:dyDescent="0.2">
      <c r="A7173" s="2" t="s">
        <v>3325</v>
      </c>
      <c r="B7173" s="2" t="s">
        <v>1725</v>
      </c>
      <c r="C7173" s="2">
        <v>858.26199999999994</v>
      </c>
      <c r="D7173" s="2">
        <f>HYPERLINK("http://mcb-m6.bioreg.kyushu-u.ac.jp/M3/20110418/F50986/1183/1", 36.98)</f>
        <v>36.979999999999997</v>
      </c>
      <c r="E7173" s="2">
        <v>15.64</v>
      </c>
      <c r="F7173" s="2">
        <v>1</v>
      </c>
      <c r="G7173" s="2" t="s">
        <v>12</v>
      </c>
    </row>
    <row r="7174" spans="1:8" x14ac:dyDescent="0.2">
      <c r="A7174" s="2" t="s">
        <v>3325</v>
      </c>
      <c r="B7174" s="2" t="s">
        <v>1725</v>
      </c>
      <c r="C7174" s="2">
        <v>858.39499999999998</v>
      </c>
      <c r="D7174" s="2">
        <f>HYPERLINK("http://mcb-m6.bioreg.kyushu-u.ac.jp/M3/20110418/F51001/1052/1", 39.55)</f>
        <v>39.549999999999997</v>
      </c>
      <c r="E7174" s="2">
        <v>13.85</v>
      </c>
      <c r="F7174" s="2">
        <v>1</v>
      </c>
      <c r="G7174" s="2" t="s">
        <v>12</v>
      </c>
    </row>
    <row r="7175" spans="1:8" x14ac:dyDescent="0.2">
      <c r="A7175" s="2" t="s">
        <v>3325</v>
      </c>
      <c r="B7175" s="2" t="s">
        <v>254</v>
      </c>
      <c r="C7175" s="2">
        <v>993.42399999999998</v>
      </c>
      <c r="D7175" s="2">
        <f>HYPERLINK("http://mcb-m6.bioreg.kyushu-u.ac.jp/M3/20110418/F51001/1287/1", 43.45)</f>
        <v>43.45</v>
      </c>
      <c r="E7175" s="2">
        <v>11.36</v>
      </c>
      <c r="F7175" s="2">
        <v>1</v>
      </c>
      <c r="G7175" s="2" t="s">
        <v>12</v>
      </c>
    </row>
    <row r="7176" spans="1:8" x14ac:dyDescent="0.2">
      <c r="A7176" s="2" t="s">
        <v>3325</v>
      </c>
      <c r="B7176" s="2" t="s">
        <v>625</v>
      </c>
      <c r="C7176" s="2">
        <v>495.32159999999999</v>
      </c>
      <c r="D7176" s="2">
        <f>HYPERLINK("http://mcb-m6.bioreg.kyushu-u.ac.jp/M3/20110418/F51001/1273/1", 46.23)</f>
        <v>46.23</v>
      </c>
      <c r="E7176" s="2">
        <v>18.61</v>
      </c>
      <c r="F7176" s="2">
        <v>2</v>
      </c>
      <c r="G7176" s="2" t="s">
        <v>12</v>
      </c>
    </row>
    <row r="7177" spans="1:8" x14ac:dyDescent="0.2">
      <c r="A7177" s="2" t="s">
        <v>3325</v>
      </c>
      <c r="B7177" s="2" t="s">
        <v>650</v>
      </c>
      <c r="C7177" s="2">
        <v>626.73170000000005</v>
      </c>
      <c r="D7177" s="2">
        <f>HYPERLINK("http://mcb-m6.bioreg.kyushu-u.ac.jp/M3/20110418/F50986/1719/1", 46.3)</f>
        <v>46.3</v>
      </c>
      <c r="E7177" s="2">
        <v>24.28</v>
      </c>
      <c r="F7177" s="2">
        <v>2</v>
      </c>
      <c r="G7177" s="2" t="s">
        <v>12</v>
      </c>
    </row>
    <row r="7178" spans="1:8" x14ac:dyDescent="0.2">
      <c r="A7178" s="2" t="s">
        <v>3325</v>
      </c>
      <c r="B7178" s="2" t="s">
        <v>625</v>
      </c>
      <c r="C7178" s="2">
        <v>989.35</v>
      </c>
      <c r="D7178" s="2">
        <f>HYPERLINK("http://mcb-m6.bioreg.kyushu-u.ac.jp/M3/20110418/F50986/1370/1", 46.73)</f>
        <v>46.73</v>
      </c>
      <c r="E7178" s="2">
        <v>11.37</v>
      </c>
      <c r="F7178" s="2">
        <v>1</v>
      </c>
      <c r="G7178" s="2" t="s">
        <v>12</v>
      </c>
    </row>
    <row r="7179" spans="1:8" x14ac:dyDescent="0.2">
      <c r="A7179" s="2" t="s">
        <v>3325</v>
      </c>
      <c r="B7179" s="2" t="s">
        <v>237</v>
      </c>
      <c r="C7179" s="2">
        <v>1199.6400000000001</v>
      </c>
      <c r="D7179" s="2">
        <f>HYPERLINK("http://mcb-m6.bioreg.kyushu-u.ac.jp/M3/20110418/F51001/1580/1", 50.39)</f>
        <v>50.39</v>
      </c>
      <c r="E7179" s="2">
        <v>31.21</v>
      </c>
      <c r="F7179" s="2">
        <v>1</v>
      </c>
      <c r="G7179" s="2" t="s">
        <v>12</v>
      </c>
    </row>
    <row r="7180" spans="1:8" x14ac:dyDescent="0.2">
      <c r="A7180" s="2" t="s">
        <v>3325</v>
      </c>
      <c r="B7180" s="2" t="s">
        <v>1043</v>
      </c>
      <c r="C7180" s="2">
        <v>741.71559999999999</v>
      </c>
      <c r="D7180" s="2">
        <f>HYPERLINK("http://mcb-m6.bioreg.kyushu-u.ac.jp/M3/20110418/F51001/2033/1", 51.67)</f>
        <v>51.67</v>
      </c>
      <c r="E7180" s="2">
        <v>42.5</v>
      </c>
      <c r="F7180" s="2">
        <v>2</v>
      </c>
      <c r="G7180" s="2" t="s">
        <v>12</v>
      </c>
    </row>
    <row r="7181" spans="1:8" x14ac:dyDescent="0.2">
      <c r="A7181" s="2" t="s">
        <v>3325</v>
      </c>
      <c r="B7181" s="2" t="s">
        <v>650</v>
      </c>
      <c r="C7181" s="2">
        <v>635.26509999999996</v>
      </c>
      <c r="D7181" s="2">
        <f>HYPERLINK("http://mcb-m6.bioreg.kyushu-u.ac.jp/M3/20110418/F50986/1741/1", 60.47)</f>
        <v>60.47</v>
      </c>
      <c r="E7181" s="2">
        <v>35.24</v>
      </c>
      <c r="F7181" s="2">
        <v>2</v>
      </c>
      <c r="G7181" s="2" t="s">
        <v>12</v>
      </c>
      <c r="H7181" s="2" t="s">
        <v>4908</v>
      </c>
    </row>
    <row r="7182" spans="1:8" x14ac:dyDescent="0.2">
      <c r="A7182" s="2" t="s">
        <v>3325</v>
      </c>
      <c r="B7182" s="2" t="s">
        <v>625</v>
      </c>
      <c r="C7182" s="2">
        <v>495.65859999999998</v>
      </c>
      <c r="D7182" s="2">
        <f>HYPERLINK("http://mcb-m6.bioreg.kyushu-u.ac.jp/M3/20110418/F50986/1371/1", 63.84)</f>
        <v>63.84</v>
      </c>
      <c r="E7182" s="2">
        <v>31.9</v>
      </c>
      <c r="F7182" s="2">
        <v>2</v>
      </c>
      <c r="G7182" s="2" t="s">
        <v>12</v>
      </c>
    </row>
    <row r="7183" spans="1:8" x14ac:dyDescent="0.2">
      <c r="A7183" s="2" t="s">
        <v>3325</v>
      </c>
      <c r="B7183" s="2" t="s">
        <v>1043</v>
      </c>
      <c r="C7183" s="2">
        <v>741.66420000000005</v>
      </c>
      <c r="D7183" s="2">
        <f>HYPERLINK("http://mcb-m6.bioreg.kyushu-u.ac.jp/M3/20110418/F50986/2084/1", 66.03)</f>
        <v>66.03</v>
      </c>
      <c r="E7183" s="2">
        <v>56.56</v>
      </c>
      <c r="F7183" s="2">
        <v>2</v>
      </c>
      <c r="G7183" s="2" t="s">
        <v>12</v>
      </c>
    </row>
    <row r="7184" spans="1:8" x14ac:dyDescent="0.2">
      <c r="A7184" s="2" t="s">
        <v>3325</v>
      </c>
      <c r="B7184" s="2" t="s">
        <v>549</v>
      </c>
      <c r="C7184" s="2">
        <v>599.32460000000003</v>
      </c>
      <c r="D7184" s="2">
        <f>HYPERLINK("http://mcb-m6.bioreg.kyushu-u.ac.jp/M3/20110418/F51001/1578/1", 72.89)</f>
        <v>72.89</v>
      </c>
      <c r="E7184" s="2">
        <v>35.61</v>
      </c>
      <c r="F7184" s="2">
        <v>2</v>
      </c>
      <c r="G7184" s="2" t="s">
        <v>12</v>
      </c>
    </row>
    <row r="7185" spans="1:8" x14ac:dyDescent="0.2">
      <c r="A7185" s="2" t="s">
        <v>3325</v>
      </c>
      <c r="B7185" s="2" t="s">
        <v>237</v>
      </c>
      <c r="C7185" s="2">
        <v>600.77919999999995</v>
      </c>
      <c r="D7185" s="2">
        <f>HYPERLINK("http://mcb-m6.bioreg.kyushu-u.ac.jp/M3/20110418/F50985/1916/1", 77.63)</f>
        <v>77.63</v>
      </c>
      <c r="E7185" s="2">
        <v>33.83</v>
      </c>
      <c r="F7185" s="2">
        <v>2</v>
      </c>
      <c r="G7185" s="2" t="s">
        <v>12</v>
      </c>
    </row>
    <row r="7186" spans="1:8" x14ac:dyDescent="0.2">
      <c r="A7186" s="2" t="s">
        <v>3325</v>
      </c>
      <c r="B7186" s="2" t="s">
        <v>1020</v>
      </c>
      <c r="C7186" s="2">
        <v>660.0607</v>
      </c>
      <c r="D7186" s="2">
        <f>HYPERLINK("http://mcb-m6.bioreg.kyushu-u.ac.jp/M3/20110418/F50986/1785/1", 79.45)</f>
        <v>79.45</v>
      </c>
      <c r="E7186" s="2">
        <v>53.02</v>
      </c>
      <c r="F7186" s="2">
        <v>2</v>
      </c>
      <c r="G7186" s="2" t="s">
        <v>12</v>
      </c>
      <c r="H7186" s="2" t="s">
        <v>4919</v>
      </c>
    </row>
    <row r="7187" spans="1:8" x14ac:dyDescent="0.2">
      <c r="A7187" s="2" t="s">
        <v>3325</v>
      </c>
      <c r="B7187" s="2" t="s">
        <v>1020</v>
      </c>
      <c r="C7187" s="2">
        <v>660.19169999999997</v>
      </c>
      <c r="D7187" s="2">
        <f>HYPERLINK("http://mcb-m6.bioreg.kyushu-u.ac.jp/M3/20110418/F51001/1706/1", 80.77)</f>
        <v>80.77</v>
      </c>
      <c r="E7187" s="2">
        <v>56.44</v>
      </c>
      <c r="F7187" s="2">
        <v>2</v>
      </c>
      <c r="G7187" s="2" t="s">
        <v>12</v>
      </c>
      <c r="H7187" s="2" t="s">
        <v>4919</v>
      </c>
    </row>
    <row r="7188" spans="1:8" x14ac:dyDescent="0.2">
      <c r="A7188" s="2" t="s">
        <v>3325</v>
      </c>
      <c r="B7188" s="2" t="s">
        <v>1020</v>
      </c>
      <c r="C7188" s="2">
        <v>652.62660000000005</v>
      </c>
      <c r="D7188" s="2">
        <f>HYPERLINK("http://mcb-m6.bioreg.kyushu-u.ac.jp/M3/20110418/F51001/1689/1", 88.11)</f>
        <v>88.11</v>
      </c>
      <c r="E7188" s="2">
        <v>59.73</v>
      </c>
      <c r="F7188" s="2">
        <v>2</v>
      </c>
      <c r="G7188" s="2" t="s">
        <v>12</v>
      </c>
    </row>
    <row r="7189" spans="1:8" x14ac:dyDescent="0.2">
      <c r="A7189" s="2" t="s">
        <v>3325</v>
      </c>
      <c r="B7189" s="2" t="s">
        <v>237</v>
      </c>
      <c r="C7189" s="2">
        <v>600.71370000000002</v>
      </c>
      <c r="D7189" s="2">
        <f>HYPERLINK("http://mcb-m6.bioreg.kyushu-u.ac.jp/M3/20110418/F50989/1696/1", 88.89)</f>
        <v>88.89</v>
      </c>
      <c r="E7189" s="2">
        <v>40.11</v>
      </c>
      <c r="F7189" s="2">
        <v>2</v>
      </c>
      <c r="G7189" s="2" t="s">
        <v>12</v>
      </c>
    </row>
    <row r="7190" spans="1:8" x14ac:dyDescent="0.2">
      <c r="A7190" s="2" t="s">
        <v>3325</v>
      </c>
      <c r="B7190" s="2" t="s">
        <v>237</v>
      </c>
      <c r="C7190" s="2">
        <v>600.13019999999995</v>
      </c>
      <c r="D7190" s="2">
        <f>HYPERLINK("http://mcb-m6.bioreg.kyushu-u.ac.jp/M3/20110418/F50986/1662/1", 96.64)</f>
        <v>96.64</v>
      </c>
      <c r="E7190" s="2">
        <v>48.53</v>
      </c>
      <c r="F7190" s="2">
        <v>2</v>
      </c>
      <c r="G7190" s="2" t="s">
        <v>12</v>
      </c>
    </row>
    <row r="7191" spans="1:8" x14ac:dyDescent="0.2">
      <c r="A7191" s="2" t="s">
        <v>3325</v>
      </c>
      <c r="B7191" s="2" t="s">
        <v>1725</v>
      </c>
      <c r="C7191" s="2">
        <v>858.38499999999999</v>
      </c>
      <c r="D7191" s="2">
        <f>HYPERLINK("http://mcb-m6.bioreg.kyushu-u.ac.jp/M3/20110429/F51153/357/1", 35.21)</f>
        <v>35.21</v>
      </c>
      <c r="E7191" s="2">
        <v>14.01</v>
      </c>
      <c r="F7191" s="2">
        <v>1</v>
      </c>
      <c r="G7191" s="2" t="s">
        <v>13</v>
      </c>
    </row>
    <row r="7192" spans="1:8" x14ac:dyDescent="0.2">
      <c r="A7192" s="2" t="s">
        <v>3325</v>
      </c>
      <c r="B7192" s="2" t="s">
        <v>1043</v>
      </c>
      <c r="C7192" s="2">
        <v>741.53420000000006</v>
      </c>
      <c r="D7192" s="2">
        <f>HYPERLINK("http://mcb-m6.bioreg.kyushu-u.ac.jp/M3/20110429/F51157/1753/1", 35.97)</f>
        <v>35.97</v>
      </c>
      <c r="E7192" s="2">
        <v>30.16</v>
      </c>
      <c r="F7192" s="2">
        <v>2</v>
      </c>
      <c r="G7192" s="2" t="s">
        <v>13</v>
      </c>
    </row>
    <row r="7193" spans="1:8" x14ac:dyDescent="0.2">
      <c r="A7193" s="2" t="s">
        <v>3325</v>
      </c>
      <c r="B7193" s="2" t="s">
        <v>1725</v>
      </c>
      <c r="C7193" s="2">
        <v>858.58799999999997</v>
      </c>
      <c r="D7193" s="2">
        <f>HYPERLINK("http://mcb-m6.bioreg.kyushu-u.ac.jp/M3/20110502/F51163/453/1", 36.98)</f>
        <v>36.979999999999997</v>
      </c>
      <c r="E7193" s="2">
        <v>12.97</v>
      </c>
      <c r="F7193" s="2">
        <v>1</v>
      </c>
      <c r="G7193" s="2" t="s">
        <v>13</v>
      </c>
    </row>
    <row r="7194" spans="1:8" x14ac:dyDescent="0.2">
      <c r="A7194" s="2" t="s">
        <v>3325</v>
      </c>
      <c r="B7194" s="2" t="s">
        <v>625</v>
      </c>
      <c r="C7194" s="2">
        <v>989.77700000000004</v>
      </c>
      <c r="D7194" s="2">
        <f>HYPERLINK("http://mcb-m6.bioreg.kyushu-u.ac.jp/M3/20110502/F51163/697/1", 38.27)</f>
        <v>38.270000000000003</v>
      </c>
      <c r="E7194" s="2">
        <v>8.33</v>
      </c>
      <c r="F7194" s="2">
        <v>1</v>
      </c>
      <c r="G7194" s="2" t="s">
        <v>13</v>
      </c>
    </row>
    <row r="7195" spans="1:8" x14ac:dyDescent="0.2">
      <c r="A7195" s="2" t="s">
        <v>3325</v>
      </c>
      <c r="B7195" s="2" t="s">
        <v>254</v>
      </c>
      <c r="C7195" s="2">
        <v>993.52700000000004</v>
      </c>
      <c r="D7195" s="2">
        <f>HYPERLINK("http://mcb-m6.bioreg.kyushu-u.ac.jp/M3/20110502/F51163/709/1", 41.64)</f>
        <v>41.64</v>
      </c>
      <c r="E7195" s="2">
        <v>17.5</v>
      </c>
      <c r="F7195" s="2">
        <v>1</v>
      </c>
      <c r="G7195" s="2" t="s">
        <v>13</v>
      </c>
    </row>
    <row r="7196" spans="1:8" x14ac:dyDescent="0.2">
      <c r="A7196" s="2" t="s">
        <v>3325</v>
      </c>
      <c r="B7196" s="2" t="s">
        <v>237</v>
      </c>
      <c r="C7196" s="2">
        <v>1199.579</v>
      </c>
      <c r="D7196" s="2">
        <f>HYPERLINK("http://mcb-m6.bioreg.kyushu-u.ac.jp/M3/20110429/F51153/1167/1", 44.96)</f>
        <v>44.96</v>
      </c>
      <c r="E7196" s="2">
        <v>24.38</v>
      </c>
      <c r="F7196" s="2">
        <v>1</v>
      </c>
      <c r="G7196" s="2" t="s">
        <v>13</v>
      </c>
    </row>
    <row r="7197" spans="1:8" x14ac:dyDescent="0.2">
      <c r="A7197" s="2" t="s">
        <v>3325</v>
      </c>
      <c r="B7197" s="2" t="s">
        <v>237</v>
      </c>
      <c r="C7197" s="2">
        <v>600.39319999999998</v>
      </c>
      <c r="D7197" s="2">
        <f>HYPERLINK("http://mcb-m6.bioreg.kyushu-u.ac.jp/M3/20110502/F51164/1030/1", 45.13)</f>
        <v>45.13</v>
      </c>
      <c r="E7197" s="2">
        <v>24.84</v>
      </c>
      <c r="F7197" s="2">
        <v>2</v>
      </c>
      <c r="G7197" s="2" t="s">
        <v>13</v>
      </c>
    </row>
    <row r="7198" spans="1:8" x14ac:dyDescent="0.2">
      <c r="A7198" s="2" t="s">
        <v>3325</v>
      </c>
      <c r="B7198" s="2" t="s">
        <v>237</v>
      </c>
      <c r="C7198" s="2">
        <v>1200.2170000000001</v>
      </c>
      <c r="D7198" s="2">
        <f>HYPERLINK("http://mcb-m6.bioreg.kyushu-u.ac.jp/M3/20110502/F51163/1143/1", 47.21)</f>
        <v>47.21</v>
      </c>
      <c r="E7198" s="2">
        <v>23.91</v>
      </c>
      <c r="F7198" s="2">
        <v>1</v>
      </c>
      <c r="G7198" s="2" t="s">
        <v>13</v>
      </c>
    </row>
    <row r="7199" spans="1:8" x14ac:dyDescent="0.2">
      <c r="A7199" s="2" t="s">
        <v>3325</v>
      </c>
      <c r="B7199" s="2" t="s">
        <v>625</v>
      </c>
      <c r="C7199" s="2">
        <v>495.45659999999998</v>
      </c>
      <c r="D7199" s="2">
        <f>HYPERLINK("http://mcb-m6.bioreg.kyushu-u.ac.jp/M3/20110502/F51163/700/1", 47.47)</f>
        <v>47.47</v>
      </c>
      <c r="E7199" s="2">
        <v>17.3</v>
      </c>
      <c r="F7199" s="2">
        <v>2</v>
      </c>
      <c r="G7199" s="2" t="s">
        <v>13</v>
      </c>
    </row>
    <row r="7200" spans="1:8" x14ac:dyDescent="0.2">
      <c r="A7200" s="2" t="s">
        <v>3325</v>
      </c>
      <c r="B7200" s="2" t="s">
        <v>1569</v>
      </c>
      <c r="C7200" s="2">
        <v>1130.4559999999999</v>
      </c>
      <c r="D7200" s="2">
        <f>HYPERLINK("http://mcb-m6.bioreg.kyushu-u.ac.jp/M3/20110502/F51164/3227/1", 47.69)</f>
        <v>47.69</v>
      </c>
      <c r="E7200" s="2">
        <v>41.75</v>
      </c>
      <c r="F7200" s="2">
        <v>2</v>
      </c>
      <c r="G7200" s="2" t="s">
        <v>13</v>
      </c>
    </row>
    <row r="7201" spans="1:8" x14ac:dyDescent="0.2">
      <c r="A7201" s="2" t="s">
        <v>3325</v>
      </c>
      <c r="B7201" s="2" t="s">
        <v>1020</v>
      </c>
      <c r="C7201" s="2">
        <v>660.69960000000003</v>
      </c>
      <c r="D7201" s="2">
        <f>HYPERLINK("http://mcb-m6.bioreg.kyushu-u.ac.jp/M3/20110429/F51154/1520/1", 54.68)</f>
        <v>54.68</v>
      </c>
      <c r="E7201" s="2">
        <v>37.14</v>
      </c>
      <c r="F7201" s="2">
        <v>2</v>
      </c>
      <c r="G7201" s="2" t="s">
        <v>13</v>
      </c>
      <c r="H7201" s="2" t="s">
        <v>4919</v>
      </c>
    </row>
    <row r="7202" spans="1:8" x14ac:dyDescent="0.2">
      <c r="A7202" s="2" t="s">
        <v>3325</v>
      </c>
      <c r="B7202" s="2" t="s">
        <v>237</v>
      </c>
      <c r="C7202" s="2">
        <v>600.49069999999995</v>
      </c>
      <c r="D7202" s="2">
        <f>HYPERLINK("http://mcb-m6.bioreg.kyushu-u.ac.jp/M3/20110502/F51164/1032/1", 57.28)</f>
        <v>57.28</v>
      </c>
      <c r="E7202" s="2">
        <v>26.12</v>
      </c>
      <c r="F7202" s="2">
        <v>2</v>
      </c>
      <c r="G7202" s="2" t="s">
        <v>13</v>
      </c>
    </row>
    <row r="7203" spans="1:8" x14ac:dyDescent="0.2">
      <c r="A7203" s="2" t="s">
        <v>3325</v>
      </c>
      <c r="B7203" s="2" t="s">
        <v>237</v>
      </c>
      <c r="C7203" s="2">
        <v>600.28610000000003</v>
      </c>
      <c r="D7203" s="2">
        <f>HYPERLINK("http://mcb-m6.bioreg.kyushu-u.ac.jp/M3/20110502/F51163/1139/1", 60.19)</f>
        <v>60.19</v>
      </c>
      <c r="E7203" s="2">
        <v>26.65</v>
      </c>
      <c r="F7203" s="2">
        <v>2</v>
      </c>
      <c r="G7203" s="2" t="s">
        <v>13</v>
      </c>
    </row>
    <row r="7204" spans="1:8" x14ac:dyDescent="0.2">
      <c r="A7204" s="2" t="s">
        <v>3325</v>
      </c>
      <c r="B7204" s="2" t="s">
        <v>111</v>
      </c>
      <c r="C7204" s="2">
        <v>613.42679999999996</v>
      </c>
      <c r="D7204" s="2">
        <f>HYPERLINK("http://mcb-m6.bioreg.kyushu-u.ac.jp/M3/20110502/F51163/2655/1", 61.22)</f>
        <v>61.22</v>
      </c>
      <c r="E7204" s="2">
        <v>33.1</v>
      </c>
      <c r="F7204" s="2">
        <v>3</v>
      </c>
      <c r="G7204" s="2" t="s">
        <v>13</v>
      </c>
    </row>
    <row r="7205" spans="1:8" x14ac:dyDescent="0.2">
      <c r="A7205" s="2" t="s">
        <v>3325</v>
      </c>
      <c r="B7205" s="2" t="s">
        <v>980</v>
      </c>
      <c r="C7205" s="2">
        <v>977.08420000000001</v>
      </c>
      <c r="D7205" s="2">
        <f>HYPERLINK("http://mcb-m6.bioreg.kyushu-u.ac.jp/M3/20110502/F51163/2808/1", 69.14)</f>
        <v>69.14</v>
      </c>
      <c r="E7205" s="2">
        <v>61.19</v>
      </c>
      <c r="F7205" s="2">
        <v>2</v>
      </c>
      <c r="G7205" s="2" t="s">
        <v>13</v>
      </c>
    </row>
    <row r="7206" spans="1:8" x14ac:dyDescent="0.2">
      <c r="A7206" s="2" t="s">
        <v>3325</v>
      </c>
      <c r="B7206" s="2" t="s">
        <v>625</v>
      </c>
      <c r="C7206" s="2">
        <v>495.41410000000002</v>
      </c>
      <c r="D7206" s="2">
        <f>HYPERLINK("http://mcb-m6.bioreg.kyushu-u.ac.jp/M3/20110502/F51163/699/1", 69.54)</f>
        <v>69.540000000000006</v>
      </c>
      <c r="E7206" s="2">
        <v>27.42</v>
      </c>
      <c r="F7206" s="2">
        <v>2</v>
      </c>
      <c r="G7206" s="2" t="s">
        <v>13</v>
      </c>
    </row>
    <row r="7207" spans="1:8" x14ac:dyDescent="0.2">
      <c r="A7207" s="2" t="s">
        <v>3325</v>
      </c>
      <c r="B7207" s="2" t="s">
        <v>650</v>
      </c>
      <c r="C7207" s="2">
        <v>627.32759999999996</v>
      </c>
      <c r="D7207" s="2">
        <f>HYPERLINK("http://mcb-m6.bioreg.kyushu-u.ac.jp/M3/20110429/F51153/1295/1", 70.51)</f>
        <v>70.510000000000005</v>
      </c>
      <c r="E7207" s="2">
        <v>39.75</v>
      </c>
      <c r="F7207" s="2">
        <v>2</v>
      </c>
      <c r="G7207" s="2" t="s">
        <v>13</v>
      </c>
    </row>
    <row r="7208" spans="1:8" x14ac:dyDescent="0.2">
      <c r="A7208" s="2" t="s">
        <v>3325</v>
      </c>
      <c r="B7208" s="2" t="s">
        <v>1020</v>
      </c>
      <c r="C7208" s="2">
        <v>652.26369999999997</v>
      </c>
      <c r="D7208" s="2">
        <f>HYPERLINK("http://mcb-m6.bioreg.kyushu-u.ac.jp/M3/20110429/F51153/1400/1", 74.24)</f>
        <v>74.239999999999995</v>
      </c>
      <c r="E7208" s="2">
        <v>44.37</v>
      </c>
      <c r="F7208" s="2">
        <v>2</v>
      </c>
      <c r="G7208" s="2" t="s">
        <v>13</v>
      </c>
    </row>
    <row r="7209" spans="1:8" x14ac:dyDescent="0.2">
      <c r="A7209" s="2" t="s">
        <v>3325</v>
      </c>
      <c r="B7209" s="2" t="s">
        <v>1020</v>
      </c>
      <c r="C7209" s="2">
        <v>652.60969999999998</v>
      </c>
      <c r="D7209" s="2">
        <f>HYPERLINK("http://mcb-m6.bioreg.kyushu-u.ac.jp/M3/20110502/F51163/1314/1", 74.79)</f>
        <v>74.790000000000006</v>
      </c>
      <c r="E7209" s="2">
        <v>46.19</v>
      </c>
      <c r="F7209" s="2">
        <v>2</v>
      </c>
      <c r="G7209" s="2" t="s">
        <v>13</v>
      </c>
    </row>
    <row r="7210" spans="1:8" x14ac:dyDescent="0.2">
      <c r="A7210" s="2" t="s">
        <v>3325</v>
      </c>
      <c r="B7210" s="2" t="s">
        <v>1020</v>
      </c>
      <c r="C7210" s="2">
        <v>660.64760000000001</v>
      </c>
      <c r="D7210" s="2">
        <f>HYPERLINK("http://mcb-m6.bioreg.kyushu-u.ac.jp/M3/20110429/F51153/1434/1", 76.2)</f>
        <v>76.2</v>
      </c>
      <c r="E7210" s="2">
        <v>49.4</v>
      </c>
      <c r="F7210" s="2">
        <v>2</v>
      </c>
      <c r="G7210" s="2" t="s">
        <v>13</v>
      </c>
      <c r="H7210" s="2" t="s">
        <v>4919</v>
      </c>
    </row>
    <row r="7211" spans="1:8" x14ac:dyDescent="0.2">
      <c r="A7211" s="2" t="s">
        <v>3325</v>
      </c>
      <c r="B7211" s="2" t="s">
        <v>237</v>
      </c>
      <c r="C7211" s="2">
        <v>600.80870000000004</v>
      </c>
      <c r="D7211" s="2">
        <f>HYPERLINK("http://mcb-m6.bioreg.kyushu-u.ac.jp/M3/20110502/F51163/1144/1", 77.13)</f>
        <v>77.13</v>
      </c>
      <c r="E7211" s="2">
        <v>17.14</v>
      </c>
      <c r="F7211" s="2">
        <v>2</v>
      </c>
      <c r="G7211" s="2" t="s">
        <v>13</v>
      </c>
    </row>
    <row r="7212" spans="1:8" x14ac:dyDescent="0.2">
      <c r="A7212" s="2" t="s">
        <v>3325</v>
      </c>
      <c r="B7212" s="2" t="s">
        <v>1020</v>
      </c>
      <c r="C7212" s="2">
        <v>660.47019999999998</v>
      </c>
      <c r="D7212" s="2">
        <f>HYPERLINK("http://mcb-m6.bioreg.kyushu-u.ac.jp/M3/20110502/F51163/1348/1", 78.23)</f>
        <v>78.23</v>
      </c>
      <c r="E7212" s="2">
        <v>58.92</v>
      </c>
      <c r="F7212" s="2">
        <v>2</v>
      </c>
      <c r="G7212" s="2" t="s">
        <v>13</v>
      </c>
      <c r="H7212" s="2" t="s">
        <v>4919</v>
      </c>
    </row>
    <row r="7213" spans="1:8" x14ac:dyDescent="0.2">
      <c r="A7213" s="2" t="s">
        <v>3325</v>
      </c>
      <c r="B7213" s="2" t="s">
        <v>650</v>
      </c>
      <c r="C7213" s="2">
        <v>634.98419999999999</v>
      </c>
      <c r="D7213" s="2">
        <f>HYPERLINK("http://mcb-m6.bioreg.kyushu-u.ac.jp/M3/20110502/F51163/1268/1", 79.27)</f>
        <v>79.27</v>
      </c>
      <c r="E7213" s="2">
        <v>50.19</v>
      </c>
      <c r="F7213" s="2">
        <v>2</v>
      </c>
      <c r="G7213" s="2" t="s">
        <v>13</v>
      </c>
      <c r="H7213" s="2" t="s">
        <v>4908</v>
      </c>
    </row>
    <row r="7214" spans="1:8" x14ac:dyDescent="0.2">
      <c r="A7214" s="2" t="s">
        <v>3325</v>
      </c>
      <c r="B7214" s="2" t="s">
        <v>237</v>
      </c>
      <c r="C7214" s="2">
        <v>600.39319999999998</v>
      </c>
      <c r="D7214" s="2">
        <f>HYPERLINK("http://mcb-m6.bioreg.kyushu-u.ac.jp/M3/20110502/F51163/1141/1", 80.42)</f>
        <v>80.42</v>
      </c>
      <c r="E7214" s="2">
        <v>36.590000000000003</v>
      </c>
      <c r="F7214" s="2">
        <v>2</v>
      </c>
      <c r="G7214" s="2" t="s">
        <v>13</v>
      </c>
    </row>
    <row r="7215" spans="1:8" x14ac:dyDescent="0.2">
      <c r="A7215" s="2" t="s">
        <v>3325</v>
      </c>
      <c r="B7215" s="2" t="s">
        <v>1043</v>
      </c>
      <c r="C7215" s="2">
        <v>741.53920000000005</v>
      </c>
      <c r="D7215" s="2">
        <f>HYPERLINK("http://mcb-m6.bioreg.kyushu-u.ac.jp/M3/20110502/F51163/1799/1", 83.44)</f>
        <v>83.44</v>
      </c>
      <c r="E7215" s="2">
        <v>69.94</v>
      </c>
      <c r="F7215" s="2">
        <v>2</v>
      </c>
      <c r="G7215" s="2" t="s">
        <v>13</v>
      </c>
    </row>
    <row r="7216" spans="1:8" x14ac:dyDescent="0.2">
      <c r="A7216" s="2" t="s">
        <v>3325</v>
      </c>
      <c r="B7216" s="2" t="s">
        <v>237</v>
      </c>
      <c r="C7216" s="2">
        <v>600.83510000000001</v>
      </c>
      <c r="D7216" s="2">
        <f>HYPERLINK("http://mcb-m6.bioreg.kyushu-u.ac.jp/M3/20110502/F51163/1145/1", 86.15)</f>
        <v>86.15</v>
      </c>
      <c r="E7216" s="2">
        <v>40.56</v>
      </c>
      <c r="F7216" s="2">
        <v>2</v>
      </c>
      <c r="G7216" s="2" t="s">
        <v>13</v>
      </c>
    </row>
    <row r="7217" spans="1:8" x14ac:dyDescent="0.2">
      <c r="A7217" s="2" t="s">
        <v>3325</v>
      </c>
      <c r="B7217" s="2" t="s">
        <v>1043</v>
      </c>
      <c r="C7217" s="2">
        <v>741.37519999999995</v>
      </c>
      <c r="D7217" s="2">
        <f>HYPERLINK("http://mcb-m6.bioreg.kyushu-u.ac.jp/M3/20110429/F51153/1966/1", 87.11)</f>
        <v>87.11</v>
      </c>
      <c r="E7217" s="2">
        <v>75.58</v>
      </c>
      <c r="F7217" s="2">
        <v>2</v>
      </c>
      <c r="G7217" s="2" t="s">
        <v>13</v>
      </c>
    </row>
    <row r="7218" spans="1:8" x14ac:dyDescent="0.2">
      <c r="A7218" s="2" t="s">
        <v>3325</v>
      </c>
      <c r="B7218" s="2" t="s">
        <v>1569</v>
      </c>
      <c r="C7218" s="2">
        <v>754.32180000000005</v>
      </c>
      <c r="D7218" s="2">
        <f>HYPERLINK("http://mcb-m6.bioreg.kyushu-u.ac.jp/M3/20110502/F51164/3229/1", 87.46)</f>
        <v>87.46</v>
      </c>
      <c r="E7218" s="2">
        <v>74.150000000000006</v>
      </c>
      <c r="F7218" s="2">
        <v>3</v>
      </c>
      <c r="G7218" s="2" t="s">
        <v>13</v>
      </c>
    </row>
    <row r="7219" spans="1:8" x14ac:dyDescent="0.2">
      <c r="A7219" s="2" t="s">
        <v>3325</v>
      </c>
      <c r="B7219" s="2" t="s">
        <v>237</v>
      </c>
      <c r="C7219" s="2">
        <v>600.90809999999999</v>
      </c>
      <c r="D7219" s="2">
        <f>HYPERLINK("http://mcb-m6.bioreg.kyushu-u.ac.jp/M3/20110502/F51163/1146/1", 92.07)</f>
        <v>92.07</v>
      </c>
      <c r="E7219" s="2">
        <v>45.17</v>
      </c>
      <c r="F7219" s="2">
        <v>2</v>
      </c>
      <c r="G7219" s="2" t="s">
        <v>13</v>
      </c>
    </row>
    <row r="7220" spans="1:8" x14ac:dyDescent="0.2">
      <c r="A7220" s="2" t="s">
        <v>3325</v>
      </c>
      <c r="B7220" s="2" t="s">
        <v>111</v>
      </c>
      <c r="C7220" s="2">
        <v>919.57460000000003</v>
      </c>
      <c r="D7220" s="2">
        <f>HYPERLINK("http://mcb-m6.bioreg.kyushu-u.ac.jp/M3/20110502/F51163/2654/1", 101.01)</f>
        <v>101.01</v>
      </c>
      <c r="E7220" s="2">
        <v>84.3</v>
      </c>
      <c r="F7220" s="2">
        <v>2</v>
      </c>
      <c r="G7220" s="2" t="s">
        <v>13</v>
      </c>
    </row>
    <row r="7221" spans="1:8" x14ac:dyDescent="0.2">
      <c r="A7221" s="2" t="s">
        <v>3325</v>
      </c>
      <c r="B7221" s="2" t="s">
        <v>1569</v>
      </c>
      <c r="C7221" s="2">
        <v>1130.9639999999999</v>
      </c>
      <c r="D7221" s="2">
        <f>HYPERLINK("http://mcb-m6.bioreg.kyushu-u.ac.jp/M3/20110502/F51164/3228/1", 108.18)</f>
        <v>108.18</v>
      </c>
      <c r="E7221" s="2">
        <v>95.88</v>
      </c>
      <c r="F7221" s="2">
        <v>2</v>
      </c>
      <c r="G7221" s="2" t="s">
        <v>13</v>
      </c>
    </row>
    <row r="7222" spans="1:8" x14ac:dyDescent="0.2">
      <c r="A7222" s="2" t="s">
        <v>3325</v>
      </c>
      <c r="B7222" s="2" t="s">
        <v>1569</v>
      </c>
      <c r="C7222" s="2">
        <v>1130.8440000000001</v>
      </c>
      <c r="D7222" s="2">
        <f>HYPERLINK("http://mcb-m6.bioreg.kyushu-u.ac.jp/M3/20110429/F51153/3933/1", 119.87)</f>
        <v>119.87</v>
      </c>
      <c r="E7222" s="2">
        <v>109.78</v>
      </c>
      <c r="F7222" s="2">
        <v>2</v>
      </c>
      <c r="G7222" s="2" t="s">
        <v>13</v>
      </c>
    </row>
    <row r="7223" spans="1:8" x14ac:dyDescent="0.2">
      <c r="A7223" s="2" t="s">
        <v>3325</v>
      </c>
      <c r="B7223" s="2" t="s">
        <v>1569</v>
      </c>
      <c r="C7223" s="2">
        <v>1130.384</v>
      </c>
      <c r="D7223" s="2">
        <f>HYPERLINK("http://mcb-m6.bioreg.kyushu-u.ac.jp/M3/20110502/F51163/3181/1", 128.19)</f>
        <v>128.19</v>
      </c>
      <c r="E7223" s="2">
        <v>113.24</v>
      </c>
      <c r="F7223" s="2">
        <v>2</v>
      </c>
      <c r="G7223" s="2" t="s">
        <v>13</v>
      </c>
    </row>
    <row r="7224" spans="1:8" x14ac:dyDescent="0.2">
      <c r="A7224" s="2" t="s">
        <v>3325</v>
      </c>
      <c r="B7224" s="2" t="s">
        <v>1569</v>
      </c>
      <c r="C7224" s="2">
        <v>754.23820000000001</v>
      </c>
      <c r="D7224" s="2">
        <f>HYPERLINK("http://mcb-m6.bioreg.kyushu-u.ac.jp/M3/20110502/F51161/2815/1", 40.15)</f>
        <v>40.15</v>
      </c>
      <c r="E7224" s="2">
        <v>26.75</v>
      </c>
      <c r="F7224" s="2">
        <v>3</v>
      </c>
      <c r="G7224" s="2" t="s">
        <v>14</v>
      </c>
    </row>
    <row r="7225" spans="1:8" x14ac:dyDescent="0.2">
      <c r="A7225" s="2" t="s">
        <v>3325</v>
      </c>
      <c r="B7225" s="2" t="s">
        <v>254</v>
      </c>
      <c r="C7225" s="2">
        <v>993.59</v>
      </c>
      <c r="D7225" s="2">
        <f>HYPERLINK("http://mcb-m6.bioreg.kyushu-u.ac.jp/M3/20110502/F51161/1021/1", 41.84)</f>
        <v>41.84</v>
      </c>
      <c r="E7225" s="2">
        <v>18.27</v>
      </c>
      <c r="F7225" s="2">
        <v>1</v>
      </c>
      <c r="G7225" s="2" t="s">
        <v>14</v>
      </c>
    </row>
    <row r="7226" spans="1:8" x14ac:dyDescent="0.2">
      <c r="A7226" s="2" t="s">
        <v>3325</v>
      </c>
      <c r="B7226" s="2" t="s">
        <v>237</v>
      </c>
      <c r="C7226" s="2">
        <v>1199.893</v>
      </c>
      <c r="D7226" s="2">
        <f>HYPERLINK("http://mcb-m6.bioreg.kyushu-u.ac.jp/M3/20110502/F51161/1386/1", 47.54)</f>
        <v>47.54</v>
      </c>
      <c r="E7226" s="2">
        <v>23.61</v>
      </c>
      <c r="F7226" s="2">
        <v>1</v>
      </c>
      <c r="G7226" s="2" t="s">
        <v>14</v>
      </c>
    </row>
    <row r="7227" spans="1:8" x14ac:dyDescent="0.2">
      <c r="A7227" s="2" t="s">
        <v>3325</v>
      </c>
      <c r="B7227" s="2" t="s">
        <v>237</v>
      </c>
      <c r="C7227" s="2">
        <v>1199.7660000000001</v>
      </c>
      <c r="D7227" s="2">
        <f>HYPERLINK("http://mcb-m6.bioreg.kyushu-u.ac.jp/M3/20110428/F51142/1387/1", 50.77)</f>
        <v>50.77</v>
      </c>
      <c r="E7227" s="2">
        <v>31.71</v>
      </c>
      <c r="F7227" s="2">
        <v>1</v>
      </c>
      <c r="G7227" s="2" t="s">
        <v>14</v>
      </c>
    </row>
    <row r="7228" spans="1:8" x14ac:dyDescent="0.2">
      <c r="A7228" s="2" t="s">
        <v>3325</v>
      </c>
      <c r="B7228" s="2" t="s">
        <v>1569</v>
      </c>
      <c r="C7228" s="2">
        <v>1130.9469999999999</v>
      </c>
      <c r="D7228" s="2">
        <f>HYPERLINK("http://mcb-m6.bioreg.kyushu-u.ac.jp/M3/20110428/F51141/3764/1", 50.79)</f>
        <v>50.79</v>
      </c>
      <c r="E7228" s="2">
        <v>47.2</v>
      </c>
      <c r="F7228" s="2">
        <v>2</v>
      </c>
      <c r="G7228" s="2" t="s">
        <v>14</v>
      </c>
    </row>
    <row r="7229" spans="1:8" x14ac:dyDescent="0.2">
      <c r="A7229" s="2" t="s">
        <v>3325</v>
      </c>
      <c r="B7229" s="2" t="s">
        <v>625</v>
      </c>
      <c r="C7229" s="2">
        <v>495.5376</v>
      </c>
      <c r="D7229" s="2">
        <f>HYPERLINK("http://mcb-m6.bioreg.kyushu-u.ac.jp/M3/20110502/F51161/1011/1", 61.42)</f>
        <v>61.42</v>
      </c>
      <c r="E7229" s="2">
        <v>20.89</v>
      </c>
      <c r="F7229" s="2">
        <v>2</v>
      </c>
      <c r="G7229" s="2" t="s">
        <v>14</v>
      </c>
    </row>
    <row r="7230" spans="1:8" x14ac:dyDescent="0.2">
      <c r="A7230" s="2" t="s">
        <v>3325</v>
      </c>
      <c r="B7230" s="2" t="s">
        <v>625</v>
      </c>
      <c r="C7230" s="2">
        <v>495.31959999999998</v>
      </c>
      <c r="D7230" s="2">
        <f>HYPERLINK("http://mcb-m6.bioreg.kyushu-u.ac.jp/M3/20110428/F51142/803/1", 64.13)</f>
        <v>64.13</v>
      </c>
      <c r="E7230" s="2">
        <v>29.79</v>
      </c>
      <c r="F7230" s="2">
        <v>2</v>
      </c>
      <c r="G7230" s="2" t="s">
        <v>14</v>
      </c>
    </row>
    <row r="7231" spans="1:8" x14ac:dyDescent="0.2">
      <c r="A7231" s="2" t="s">
        <v>3325</v>
      </c>
      <c r="B7231" s="2" t="s">
        <v>1020</v>
      </c>
      <c r="C7231" s="2">
        <v>660.29359999999997</v>
      </c>
      <c r="D7231" s="2">
        <f>HYPERLINK("http://mcb-m6.bioreg.kyushu-u.ac.jp/M3/20110428/F51142/1608/1", 66.18)</f>
        <v>66.180000000000007</v>
      </c>
      <c r="E7231" s="2">
        <v>41.66</v>
      </c>
      <c r="F7231" s="2">
        <v>2</v>
      </c>
      <c r="G7231" s="2" t="s">
        <v>14</v>
      </c>
      <c r="H7231" s="2" t="s">
        <v>4919</v>
      </c>
    </row>
    <row r="7232" spans="1:8" x14ac:dyDescent="0.2">
      <c r="A7232" s="2" t="s">
        <v>3325</v>
      </c>
      <c r="B7232" s="2" t="s">
        <v>1043</v>
      </c>
      <c r="C7232" s="2">
        <v>741.52620000000002</v>
      </c>
      <c r="D7232" s="2">
        <f>HYPERLINK("http://mcb-m6.bioreg.kyushu-u.ac.jp/M3/20110428/F51142/2047/1", 95.95)</f>
        <v>95.95</v>
      </c>
      <c r="E7232" s="2">
        <v>81.66</v>
      </c>
      <c r="F7232" s="2">
        <v>2</v>
      </c>
      <c r="G7232" s="2" t="s">
        <v>14</v>
      </c>
    </row>
    <row r="7233" spans="1:8" x14ac:dyDescent="0.2">
      <c r="A7233" s="2" t="s">
        <v>3325</v>
      </c>
      <c r="B7233" s="2" t="s">
        <v>1569</v>
      </c>
      <c r="C7233" s="2">
        <v>1130.896</v>
      </c>
      <c r="D7233" s="2">
        <f>HYPERLINK("http://mcb-m6.bioreg.kyushu-u.ac.jp/M3/20110428/F51144/3611/1", 107.62)</f>
        <v>107.62</v>
      </c>
      <c r="E7233" s="2">
        <v>100.88</v>
      </c>
      <c r="F7233" s="2">
        <v>2</v>
      </c>
      <c r="G7233" s="2" t="s">
        <v>14</v>
      </c>
    </row>
    <row r="7234" spans="1:8" x14ac:dyDescent="0.2">
      <c r="A7234" s="2" t="s">
        <v>3325</v>
      </c>
      <c r="B7234" s="2" t="s">
        <v>1569</v>
      </c>
      <c r="C7234" s="2">
        <v>1130.809</v>
      </c>
      <c r="D7234" s="2">
        <f>HYPERLINK("http://mcb-m6.bioreg.kyushu-u.ac.jp/M3/20110428/F51142/3705/1", 108.62)</f>
        <v>108.62</v>
      </c>
      <c r="E7234" s="2">
        <v>99.69</v>
      </c>
      <c r="F7234" s="2">
        <v>2</v>
      </c>
      <c r="G7234" s="2" t="s">
        <v>14</v>
      </c>
    </row>
    <row r="7235" spans="1:8" x14ac:dyDescent="0.2">
      <c r="A7235" s="2" t="s">
        <v>3325</v>
      </c>
      <c r="B7235" s="2" t="s">
        <v>1569</v>
      </c>
      <c r="C7235" s="2">
        <v>1130.905</v>
      </c>
      <c r="D7235" s="2">
        <f>HYPERLINK("http://mcb-m6.bioreg.kyushu-u.ac.jp/M3/20110502/F51161/2816/1", 109.02)</f>
        <v>109.02</v>
      </c>
      <c r="E7235" s="2">
        <v>92.03</v>
      </c>
      <c r="F7235" s="2">
        <v>2</v>
      </c>
      <c r="G7235" s="2" t="s">
        <v>14</v>
      </c>
    </row>
    <row r="7236" spans="1:8" x14ac:dyDescent="0.2">
      <c r="A7236" s="2" t="s">
        <v>3633</v>
      </c>
      <c r="B7236" s="2" t="s">
        <v>548</v>
      </c>
      <c r="C7236" s="2">
        <v>590.8972</v>
      </c>
      <c r="D7236" s="2">
        <f>HYPERLINK("http://mcb-m6.bioreg.kyushu-u.ac.jp/M3/20110318/F50614/1155/1", 38.73)</f>
        <v>38.729999999999997</v>
      </c>
      <c r="E7236" s="2">
        <v>21.34</v>
      </c>
      <c r="F7236" s="2">
        <v>2</v>
      </c>
      <c r="G7236" s="2" t="s">
        <v>10</v>
      </c>
    </row>
    <row r="7237" spans="1:8" x14ac:dyDescent="0.2">
      <c r="A7237" s="2" t="s">
        <v>3633</v>
      </c>
      <c r="B7237" s="2" t="s">
        <v>548</v>
      </c>
      <c r="C7237" s="2">
        <v>590.87570000000005</v>
      </c>
      <c r="D7237" s="2">
        <f>HYPERLINK("http://mcb-m6.bioreg.kyushu-u.ac.jp/M3/20110318/F50615/1039/1", 46.33)</f>
        <v>46.33</v>
      </c>
      <c r="E7237" s="2">
        <v>25.57</v>
      </c>
      <c r="F7237" s="2">
        <v>2</v>
      </c>
      <c r="G7237" s="2" t="s">
        <v>10</v>
      </c>
    </row>
    <row r="7238" spans="1:8" x14ac:dyDescent="0.2">
      <c r="A7238" s="2" t="s">
        <v>3633</v>
      </c>
      <c r="B7238" s="2" t="s">
        <v>548</v>
      </c>
      <c r="C7238" s="2">
        <v>590.35770000000002</v>
      </c>
      <c r="D7238" s="2">
        <f>HYPERLINK("http://mcb-m6.bioreg.kyushu-u.ac.jp/M3/20110418/F50999/1500/1", 62.81)</f>
        <v>62.81</v>
      </c>
      <c r="E7238" s="2">
        <v>38.21</v>
      </c>
      <c r="F7238" s="2">
        <v>2</v>
      </c>
      <c r="G7238" s="2" t="s">
        <v>11</v>
      </c>
    </row>
    <row r="7239" spans="1:8" x14ac:dyDescent="0.2">
      <c r="A7239" s="2" t="s">
        <v>3633</v>
      </c>
      <c r="B7239" s="2" t="s">
        <v>548</v>
      </c>
      <c r="C7239" s="2">
        <v>590.98659999999995</v>
      </c>
      <c r="D7239" s="2">
        <f>HYPERLINK("http://mcb-m6.bioreg.kyushu-u.ac.jp/M3/20110502/F51163/1079/1", 61.05)</f>
        <v>61.05</v>
      </c>
      <c r="E7239" s="2">
        <v>36.85</v>
      </c>
      <c r="F7239" s="2">
        <v>2</v>
      </c>
      <c r="G7239" s="2" t="s">
        <v>13</v>
      </c>
    </row>
    <row r="7240" spans="1:8" x14ac:dyDescent="0.2">
      <c r="A7240" s="2" t="s">
        <v>3509</v>
      </c>
      <c r="B7240" s="2" t="s">
        <v>348</v>
      </c>
      <c r="C7240" s="2">
        <v>545.26179999999999</v>
      </c>
      <c r="D7240" s="2">
        <f>HYPERLINK("http://mcb-m6.bioreg.kyushu-u.ac.jp/M3/20110318/F50618/2005/1", 36.38)</f>
        <v>36.380000000000003</v>
      </c>
      <c r="E7240" s="2">
        <v>21.29</v>
      </c>
      <c r="F7240" s="2">
        <v>3</v>
      </c>
      <c r="G7240" s="2" t="s">
        <v>9</v>
      </c>
      <c r="H7240" s="2" t="s">
        <v>4919</v>
      </c>
    </row>
    <row r="7241" spans="1:8" x14ac:dyDescent="0.2">
      <c r="A7241" s="2" t="s">
        <v>3509</v>
      </c>
      <c r="B7241" s="2" t="s">
        <v>809</v>
      </c>
      <c r="C7241" s="2">
        <v>626.44619999999998</v>
      </c>
      <c r="D7241" s="2">
        <f>HYPERLINK("http://mcb-m6.bioreg.kyushu-u.ac.jp/M3/20110318/F50606/1115/1", 46.48)</f>
        <v>46.48</v>
      </c>
      <c r="E7241" s="2">
        <v>23.35</v>
      </c>
      <c r="F7241" s="2">
        <v>2</v>
      </c>
      <c r="G7241" s="2" t="s">
        <v>9</v>
      </c>
      <c r="H7241" s="2" t="s">
        <v>4908</v>
      </c>
    </row>
    <row r="7242" spans="1:8" x14ac:dyDescent="0.2">
      <c r="A7242" s="2" t="s">
        <v>3509</v>
      </c>
      <c r="B7242" s="2" t="s">
        <v>809</v>
      </c>
      <c r="C7242" s="2">
        <v>618.32870000000003</v>
      </c>
      <c r="D7242" s="2">
        <f>HYPERLINK("http://mcb-m6.bioreg.kyushu-u.ac.jp/M3/20110318/F50618/1143/1", 49.57)</f>
        <v>49.57</v>
      </c>
      <c r="E7242" s="2">
        <v>23.19</v>
      </c>
      <c r="F7242" s="2">
        <v>2</v>
      </c>
      <c r="G7242" s="2" t="s">
        <v>9</v>
      </c>
    </row>
    <row r="7243" spans="1:8" x14ac:dyDescent="0.2">
      <c r="A7243" s="2" t="s">
        <v>3509</v>
      </c>
      <c r="B7243" s="2" t="s">
        <v>809</v>
      </c>
      <c r="C7243" s="2">
        <v>626.23569999999995</v>
      </c>
      <c r="D7243" s="2">
        <f>HYPERLINK("http://mcb-m6.bioreg.kyushu-u.ac.jp/M3/20110318/F50618/1159/1", 52.62)</f>
        <v>52.62</v>
      </c>
      <c r="E7243" s="2">
        <v>28.98</v>
      </c>
      <c r="F7243" s="2">
        <v>2</v>
      </c>
      <c r="G7243" s="2" t="s">
        <v>9</v>
      </c>
      <c r="H7243" s="2" t="s">
        <v>4908</v>
      </c>
    </row>
    <row r="7244" spans="1:8" x14ac:dyDescent="0.2">
      <c r="A7244" s="2" t="s">
        <v>3509</v>
      </c>
      <c r="B7244" s="2" t="s">
        <v>348</v>
      </c>
      <c r="C7244" s="2">
        <v>1633.3679999999999</v>
      </c>
      <c r="D7244" s="2">
        <f>HYPERLINK("http://mcb-m6.bioreg.kyushu-u.ac.jp/M3/20110318/F50618/2003/1", 66)</f>
        <v>66</v>
      </c>
      <c r="E7244" s="2">
        <v>50.57</v>
      </c>
      <c r="F7244" s="2">
        <v>1</v>
      </c>
      <c r="G7244" s="2" t="s">
        <v>9</v>
      </c>
      <c r="H7244" s="2" t="s">
        <v>4919</v>
      </c>
    </row>
    <row r="7245" spans="1:8" x14ac:dyDescent="0.2">
      <c r="A7245" s="2" t="s">
        <v>3509</v>
      </c>
      <c r="B7245" s="2" t="s">
        <v>348</v>
      </c>
      <c r="C7245" s="2">
        <v>1617.412</v>
      </c>
      <c r="D7245" s="2">
        <f>HYPERLINK("http://mcb-m6.bioreg.kyushu-u.ac.jp/M3/20110318/F50618/1976/1", 67.96)</f>
        <v>67.959999999999994</v>
      </c>
      <c r="E7245" s="2">
        <v>56.58</v>
      </c>
      <c r="F7245" s="2">
        <v>1</v>
      </c>
      <c r="G7245" s="2" t="s">
        <v>9</v>
      </c>
    </row>
    <row r="7246" spans="1:8" x14ac:dyDescent="0.2">
      <c r="A7246" s="2" t="s">
        <v>3509</v>
      </c>
      <c r="B7246" s="2" t="s">
        <v>348</v>
      </c>
      <c r="C7246" s="2">
        <v>816.97360000000003</v>
      </c>
      <c r="D7246" s="2">
        <f>HYPERLINK("http://mcb-m6.bioreg.kyushu-u.ac.jp/M3/20110318/F50605/1914/1", 89.95)</f>
        <v>89.95</v>
      </c>
      <c r="E7246" s="2">
        <v>75.010000000000005</v>
      </c>
      <c r="F7246" s="2">
        <v>2</v>
      </c>
      <c r="G7246" s="2" t="s">
        <v>9</v>
      </c>
      <c r="H7246" s="2" t="s">
        <v>4919</v>
      </c>
    </row>
    <row r="7247" spans="1:8" x14ac:dyDescent="0.2">
      <c r="A7247" s="2" t="s">
        <v>3509</v>
      </c>
      <c r="B7247" s="2" t="s">
        <v>348</v>
      </c>
      <c r="C7247" s="2">
        <v>817.20719999999994</v>
      </c>
      <c r="D7247" s="2">
        <f>HYPERLINK("http://mcb-m6.bioreg.kyushu-u.ac.jp/M3/20110318/F50618/2004/1", 100.18)</f>
        <v>100.18</v>
      </c>
      <c r="E7247" s="2">
        <v>83.96</v>
      </c>
      <c r="F7247" s="2">
        <v>2</v>
      </c>
      <c r="G7247" s="2" t="s">
        <v>9</v>
      </c>
      <c r="H7247" s="2" t="s">
        <v>4919</v>
      </c>
    </row>
    <row r="7248" spans="1:8" x14ac:dyDescent="0.2">
      <c r="A7248" s="2" t="s">
        <v>3509</v>
      </c>
      <c r="B7248" s="2" t="s">
        <v>809</v>
      </c>
      <c r="C7248" s="2">
        <v>626.30070000000001</v>
      </c>
      <c r="D7248" s="2">
        <f>HYPERLINK("http://mcb-m6.bioreg.kyushu-u.ac.jp/M3/20110318/F50615/1153/1", 36.21)</f>
        <v>36.21</v>
      </c>
      <c r="E7248" s="2">
        <v>17.39</v>
      </c>
      <c r="F7248" s="2">
        <v>2</v>
      </c>
      <c r="G7248" s="2" t="s">
        <v>10</v>
      </c>
      <c r="H7248" s="2" t="s">
        <v>4908</v>
      </c>
    </row>
    <row r="7249" spans="1:8" x14ac:dyDescent="0.2">
      <c r="A7249" s="2" t="s">
        <v>3509</v>
      </c>
      <c r="B7249" s="2" t="s">
        <v>348</v>
      </c>
      <c r="C7249" s="2">
        <v>817.2432</v>
      </c>
      <c r="D7249" s="2">
        <f>HYPERLINK("http://mcb-m6.bioreg.kyushu-u.ac.jp/M3/20110318/F50612/1803/1", 41.44)</f>
        <v>41.44</v>
      </c>
      <c r="E7249" s="2">
        <v>33.270000000000003</v>
      </c>
      <c r="F7249" s="2">
        <v>2</v>
      </c>
      <c r="G7249" s="2" t="s">
        <v>10</v>
      </c>
      <c r="H7249" s="2" t="s">
        <v>4919</v>
      </c>
    </row>
    <row r="7250" spans="1:8" x14ac:dyDescent="0.2">
      <c r="A7250" s="2" t="s">
        <v>3509</v>
      </c>
      <c r="B7250" s="2" t="s">
        <v>809</v>
      </c>
      <c r="C7250" s="2">
        <v>626.38369999999998</v>
      </c>
      <c r="D7250" s="2">
        <f>HYPERLINK("http://mcb-m6.bioreg.kyushu-u.ac.jp/M3/20110318/F50614/1273/1", 48.51)</f>
        <v>48.51</v>
      </c>
      <c r="E7250" s="2">
        <v>24.96</v>
      </c>
      <c r="F7250" s="2">
        <v>2</v>
      </c>
      <c r="G7250" s="2" t="s">
        <v>10</v>
      </c>
      <c r="H7250" s="2" t="s">
        <v>4908</v>
      </c>
    </row>
    <row r="7251" spans="1:8" x14ac:dyDescent="0.2">
      <c r="A7251" s="2" t="s">
        <v>3509</v>
      </c>
      <c r="B7251" s="2" t="s">
        <v>348</v>
      </c>
      <c r="C7251" s="2">
        <v>816.67169999999999</v>
      </c>
      <c r="D7251" s="2">
        <f>HYPERLINK("http://mcb-m6.bioreg.kyushu-u.ac.jp/M3/20110318/F50613/1977/1", 48.58)</f>
        <v>48.58</v>
      </c>
      <c r="E7251" s="2">
        <v>37.950000000000003</v>
      </c>
      <c r="F7251" s="2">
        <v>2</v>
      </c>
      <c r="G7251" s="2" t="s">
        <v>10</v>
      </c>
      <c r="H7251" s="2" t="s">
        <v>4919</v>
      </c>
    </row>
    <row r="7252" spans="1:8" x14ac:dyDescent="0.2">
      <c r="A7252" s="2" t="s">
        <v>3509</v>
      </c>
      <c r="B7252" s="2" t="s">
        <v>348</v>
      </c>
      <c r="C7252" s="2">
        <v>1632.72</v>
      </c>
      <c r="D7252" s="2">
        <f>HYPERLINK("http://mcb-m6.bioreg.kyushu-u.ac.jp/M3/20110318/F50614/1999/1", 58.84)</f>
        <v>58.84</v>
      </c>
      <c r="E7252" s="2">
        <v>36.03</v>
      </c>
      <c r="F7252" s="2">
        <v>1</v>
      </c>
      <c r="G7252" s="2" t="s">
        <v>10</v>
      </c>
      <c r="H7252" s="2" t="s">
        <v>4919</v>
      </c>
    </row>
    <row r="7253" spans="1:8" x14ac:dyDescent="0.2">
      <c r="A7253" s="2" t="s">
        <v>3509</v>
      </c>
      <c r="B7253" s="2" t="s">
        <v>348</v>
      </c>
      <c r="C7253" s="2">
        <v>1633.6469999999999</v>
      </c>
      <c r="D7253" s="2">
        <f>HYPERLINK("http://mcb-m6.bioreg.kyushu-u.ac.jp/M3/20110318/F50614/2004/1", 62.43)</f>
        <v>62.43</v>
      </c>
      <c r="E7253" s="2">
        <v>49.17</v>
      </c>
      <c r="F7253" s="2">
        <v>1</v>
      </c>
      <c r="G7253" s="2" t="s">
        <v>10</v>
      </c>
      <c r="H7253" s="2" t="s">
        <v>4919</v>
      </c>
    </row>
    <row r="7254" spans="1:8" x14ac:dyDescent="0.2">
      <c r="A7254" s="2" t="s">
        <v>3509</v>
      </c>
      <c r="B7254" s="2" t="s">
        <v>348</v>
      </c>
      <c r="C7254" s="2">
        <v>809.40719999999999</v>
      </c>
      <c r="D7254" s="2">
        <f>HYPERLINK("http://mcb-m6.bioreg.kyushu-u.ac.jp/M3/20110318/F50614/1986/1", 92.02)</f>
        <v>92.02</v>
      </c>
      <c r="E7254" s="2">
        <v>69.489999999999995</v>
      </c>
      <c r="F7254" s="2">
        <v>2</v>
      </c>
      <c r="G7254" s="2" t="s">
        <v>10</v>
      </c>
    </row>
    <row r="7255" spans="1:8" x14ac:dyDescent="0.2">
      <c r="A7255" s="2" t="s">
        <v>3509</v>
      </c>
      <c r="B7255" s="2" t="s">
        <v>348</v>
      </c>
      <c r="C7255" s="2">
        <v>539.79880000000003</v>
      </c>
      <c r="D7255" s="2">
        <f>HYPERLINK("http://mcb-m6.bioreg.kyushu-u.ac.jp/M3/20110418/F50999/2270/1", 43.69)</f>
        <v>43.69</v>
      </c>
      <c r="E7255" s="2">
        <v>32.22</v>
      </c>
      <c r="F7255" s="2">
        <v>3</v>
      </c>
      <c r="G7255" s="2" t="s">
        <v>11</v>
      </c>
    </row>
    <row r="7256" spans="1:8" x14ac:dyDescent="0.2">
      <c r="A7256" s="2" t="s">
        <v>3509</v>
      </c>
      <c r="B7256" s="2" t="s">
        <v>348</v>
      </c>
      <c r="C7256" s="2">
        <v>816.6866</v>
      </c>
      <c r="D7256" s="2">
        <f>HYPERLINK("http://mcb-m6.bioreg.kyushu-u.ac.jp/M3/20110418/F50975/2497/1", 44.99)</f>
        <v>44.99</v>
      </c>
      <c r="E7256" s="2">
        <v>27.41</v>
      </c>
      <c r="F7256" s="2">
        <v>2</v>
      </c>
      <c r="G7256" s="2" t="s">
        <v>11</v>
      </c>
      <c r="H7256" s="2" t="s">
        <v>4919</v>
      </c>
    </row>
    <row r="7257" spans="1:8" x14ac:dyDescent="0.2">
      <c r="A7257" s="2" t="s">
        <v>3509</v>
      </c>
      <c r="B7257" s="2" t="s">
        <v>348</v>
      </c>
      <c r="C7257" s="2">
        <v>808.96870000000001</v>
      </c>
      <c r="D7257" s="2">
        <f>HYPERLINK("http://mcb-m6.bioreg.kyushu-u.ac.jp/M3/20110418/F50976/2435/1", 52.08)</f>
        <v>52.08</v>
      </c>
      <c r="E7257" s="2">
        <v>36.07</v>
      </c>
      <c r="F7257" s="2">
        <v>2</v>
      </c>
      <c r="G7257" s="2" t="s">
        <v>11</v>
      </c>
    </row>
    <row r="7258" spans="1:8" x14ac:dyDescent="0.2">
      <c r="A7258" s="2" t="s">
        <v>3509</v>
      </c>
      <c r="B7258" s="2" t="s">
        <v>348</v>
      </c>
      <c r="C7258" s="2">
        <v>816.69960000000003</v>
      </c>
      <c r="D7258" s="2">
        <f>HYPERLINK("http://mcb-m6.bioreg.kyushu-u.ac.jp/M3/20110418/F50976/2477/1", 76.52)</f>
        <v>76.52</v>
      </c>
      <c r="E7258" s="2">
        <v>61.65</v>
      </c>
      <c r="F7258" s="2">
        <v>2</v>
      </c>
      <c r="G7258" s="2" t="s">
        <v>11</v>
      </c>
      <c r="H7258" s="2" t="s">
        <v>4919</v>
      </c>
    </row>
    <row r="7259" spans="1:8" x14ac:dyDescent="0.2">
      <c r="A7259" s="2" t="s">
        <v>3509</v>
      </c>
      <c r="B7259" s="2" t="s">
        <v>348</v>
      </c>
      <c r="C7259" s="2">
        <v>808.75710000000004</v>
      </c>
      <c r="D7259" s="2">
        <f>HYPERLINK("http://mcb-m6.bioreg.kyushu-u.ac.jp/M3/20110418/F50999/2268/1", 95.01)</f>
        <v>95.01</v>
      </c>
      <c r="E7259" s="2">
        <v>75.430000000000007</v>
      </c>
      <c r="F7259" s="2">
        <v>2</v>
      </c>
      <c r="G7259" s="2" t="s">
        <v>11</v>
      </c>
    </row>
    <row r="7260" spans="1:8" x14ac:dyDescent="0.2">
      <c r="A7260" s="2" t="s">
        <v>3509</v>
      </c>
      <c r="B7260" s="2" t="s">
        <v>348</v>
      </c>
      <c r="C7260" s="2">
        <v>816.72270000000003</v>
      </c>
      <c r="D7260" s="2">
        <f>HYPERLINK("http://mcb-m6.bioreg.kyushu-u.ac.jp/M3/20110418/F50999/2287/1", 99.19)</f>
        <v>99.19</v>
      </c>
      <c r="E7260" s="2">
        <v>78.319999999999993</v>
      </c>
      <c r="F7260" s="2">
        <v>2</v>
      </c>
      <c r="G7260" s="2" t="s">
        <v>11</v>
      </c>
      <c r="H7260" s="2" t="s">
        <v>4919</v>
      </c>
    </row>
    <row r="7261" spans="1:8" x14ac:dyDescent="0.2">
      <c r="A7261" s="2" t="s">
        <v>3509</v>
      </c>
      <c r="B7261" s="2" t="s">
        <v>348</v>
      </c>
      <c r="C7261" s="2">
        <v>817.23820000000001</v>
      </c>
      <c r="D7261" s="2">
        <f>HYPERLINK("http://mcb-m6.bioreg.kyushu-u.ac.jp/M3/20110418/F50999/2288/1", 100.75)</f>
        <v>100.75</v>
      </c>
      <c r="E7261" s="2">
        <v>87.29</v>
      </c>
      <c r="F7261" s="2">
        <v>2</v>
      </c>
      <c r="G7261" s="2" t="s">
        <v>11</v>
      </c>
      <c r="H7261" s="2" t="s">
        <v>4919</v>
      </c>
    </row>
    <row r="7262" spans="1:8" x14ac:dyDescent="0.2">
      <c r="A7262" s="2" t="s">
        <v>3509</v>
      </c>
      <c r="B7262" s="2" t="s">
        <v>348</v>
      </c>
      <c r="C7262" s="2">
        <v>816.71469999999999</v>
      </c>
      <c r="D7262" s="2">
        <f>HYPERLINK("http://mcb-m6.bioreg.kyushu-u.ac.jp/M3/20110418/F50986/2450/1", 42.34)</f>
        <v>42.34</v>
      </c>
      <c r="E7262" s="2">
        <v>30.7</v>
      </c>
      <c r="F7262" s="2">
        <v>2</v>
      </c>
      <c r="G7262" s="2" t="s">
        <v>12</v>
      </c>
      <c r="H7262" s="2" t="s">
        <v>4919</v>
      </c>
    </row>
    <row r="7263" spans="1:8" x14ac:dyDescent="0.2">
      <c r="A7263" s="2" t="s">
        <v>3509</v>
      </c>
      <c r="B7263" s="2" t="s">
        <v>348</v>
      </c>
      <c r="C7263" s="2">
        <v>816.99159999999995</v>
      </c>
      <c r="D7263" s="2">
        <f>HYPERLINK("http://mcb-m6.bioreg.kyushu-u.ac.jp/M3/20110418/F50988/2385/1", 61.62)</f>
        <v>61.62</v>
      </c>
      <c r="E7263" s="2">
        <v>43.2</v>
      </c>
      <c r="F7263" s="2">
        <v>2</v>
      </c>
      <c r="G7263" s="2" t="s">
        <v>12</v>
      </c>
      <c r="H7263" s="2" t="s">
        <v>4919</v>
      </c>
    </row>
    <row r="7264" spans="1:8" x14ac:dyDescent="0.2">
      <c r="A7264" s="2" t="s">
        <v>3509</v>
      </c>
      <c r="B7264" s="2" t="s">
        <v>348</v>
      </c>
      <c r="C7264" s="2">
        <v>817.06410000000005</v>
      </c>
      <c r="D7264" s="2">
        <f>HYPERLINK("http://mcb-m6.bioreg.kyushu-u.ac.jp/M3/20110418/F51001/2278/1", 89.96)</f>
        <v>89.96</v>
      </c>
      <c r="E7264" s="2">
        <v>75.11</v>
      </c>
      <c r="F7264" s="2">
        <v>2</v>
      </c>
      <c r="G7264" s="2" t="s">
        <v>12</v>
      </c>
      <c r="H7264" s="2" t="s">
        <v>4919</v>
      </c>
    </row>
    <row r="7265" spans="1:8" x14ac:dyDescent="0.2">
      <c r="A7265" s="2" t="s">
        <v>3509</v>
      </c>
      <c r="B7265" s="2" t="s">
        <v>348</v>
      </c>
      <c r="C7265" s="2">
        <v>809.40560000000005</v>
      </c>
      <c r="D7265" s="2">
        <f>HYPERLINK("http://mcb-m6.bioreg.kyushu-u.ac.jp/M3/20110502/F51163/2179/1", 36.15)</f>
        <v>36.15</v>
      </c>
      <c r="E7265" s="2">
        <v>25.89</v>
      </c>
      <c r="F7265" s="2">
        <v>2</v>
      </c>
      <c r="G7265" s="2" t="s">
        <v>13</v>
      </c>
    </row>
    <row r="7266" spans="1:8" x14ac:dyDescent="0.2">
      <c r="A7266" s="2" t="s">
        <v>3509</v>
      </c>
      <c r="B7266" s="2" t="s">
        <v>809</v>
      </c>
      <c r="C7266" s="2">
        <v>618.46469999999999</v>
      </c>
      <c r="D7266" s="2">
        <f>HYPERLINK("http://mcb-m6.bioreg.kyushu-u.ac.jp/M3/20110502/F51163/1216/1", 42.13)</f>
        <v>42.13</v>
      </c>
      <c r="E7266" s="2">
        <v>17.73</v>
      </c>
      <c r="F7266" s="2">
        <v>2</v>
      </c>
      <c r="G7266" s="2" t="s">
        <v>13</v>
      </c>
    </row>
    <row r="7267" spans="1:8" x14ac:dyDescent="0.2">
      <c r="A7267" s="2" t="s">
        <v>3509</v>
      </c>
      <c r="B7267" s="2" t="s">
        <v>348</v>
      </c>
      <c r="C7267" s="2">
        <v>808.95010000000002</v>
      </c>
      <c r="D7267" s="2">
        <f>HYPERLINK("http://mcb-m6.bioreg.kyushu-u.ac.jp/M3/20110502/F51163/2178/1", 70.57)</f>
        <v>70.569999999999993</v>
      </c>
      <c r="E7267" s="2">
        <v>54.85</v>
      </c>
      <c r="F7267" s="2">
        <v>2</v>
      </c>
      <c r="G7267" s="2" t="s">
        <v>13</v>
      </c>
    </row>
    <row r="7268" spans="1:8" x14ac:dyDescent="0.2">
      <c r="A7268" s="2" t="s">
        <v>3509</v>
      </c>
      <c r="B7268" s="2" t="s">
        <v>348</v>
      </c>
      <c r="C7268" s="2">
        <v>816.71259999999995</v>
      </c>
      <c r="D7268" s="2">
        <f>HYPERLINK("http://mcb-m6.bioreg.kyushu-u.ac.jp/M3/20110429/F51153/2557/1", 86.98)</f>
        <v>86.98</v>
      </c>
      <c r="E7268" s="2">
        <v>74.099999999999994</v>
      </c>
      <c r="F7268" s="2">
        <v>2</v>
      </c>
      <c r="G7268" s="2" t="s">
        <v>13</v>
      </c>
      <c r="H7268" s="2" t="s">
        <v>4919</v>
      </c>
    </row>
    <row r="7269" spans="1:8" x14ac:dyDescent="0.2">
      <c r="A7269" s="2" t="s">
        <v>3509</v>
      </c>
      <c r="B7269" s="2" t="s">
        <v>348</v>
      </c>
      <c r="C7269" s="2">
        <v>817.15120000000002</v>
      </c>
      <c r="D7269" s="2">
        <f>HYPERLINK("http://mcb-m6.bioreg.kyushu-u.ac.jp/M3/20110502/F51163/2213/1", 89.79)</f>
        <v>89.79</v>
      </c>
      <c r="E7269" s="2">
        <v>75.709999999999994</v>
      </c>
      <c r="F7269" s="2">
        <v>2</v>
      </c>
      <c r="G7269" s="2" t="s">
        <v>13</v>
      </c>
      <c r="H7269" s="2" t="s">
        <v>4919</v>
      </c>
    </row>
    <row r="7270" spans="1:8" x14ac:dyDescent="0.2">
      <c r="A7270" s="2" t="s">
        <v>3509</v>
      </c>
      <c r="B7270" s="2" t="s">
        <v>348</v>
      </c>
      <c r="C7270" s="2">
        <v>808.93820000000005</v>
      </c>
      <c r="D7270" s="2">
        <f>HYPERLINK("http://mcb-m6.bioreg.kyushu-u.ac.jp/M3/20110502/F51161/2160/1", 68.89)</f>
        <v>68.89</v>
      </c>
      <c r="E7270" s="2">
        <v>55.74</v>
      </c>
      <c r="F7270" s="2">
        <v>2</v>
      </c>
      <c r="G7270" s="2" t="s">
        <v>14</v>
      </c>
    </row>
    <row r="7271" spans="1:8" x14ac:dyDescent="0.2">
      <c r="A7271" s="2" t="s">
        <v>3509</v>
      </c>
      <c r="B7271" s="2" t="s">
        <v>348</v>
      </c>
      <c r="C7271" s="2">
        <v>816.90219999999999</v>
      </c>
      <c r="D7271" s="2">
        <f>HYPERLINK("http://mcb-m6.bioreg.kyushu-u.ac.jp/M3/20110502/F51161/2184/1", 84.7)</f>
        <v>84.7</v>
      </c>
      <c r="E7271" s="2">
        <v>66.989999999999995</v>
      </c>
      <c r="F7271" s="2">
        <v>2</v>
      </c>
      <c r="G7271" s="2" t="s">
        <v>14</v>
      </c>
      <c r="H7271" s="2" t="s">
        <v>4919</v>
      </c>
    </row>
    <row r="7272" spans="1:8" x14ac:dyDescent="0.2">
      <c r="A7272" s="2" t="s">
        <v>5651</v>
      </c>
      <c r="B7272" s="2" t="s">
        <v>5096</v>
      </c>
      <c r="C7272" s="2">
        <v>1021.918</v>
      </c>
      <c r="D7272" s="2">
        <f>HYPERLINK("http://mcb-m6.bioreg.kyushu-u.ac.jp/M3/20110318/F50606/3366/1", 52.89)</f>
        <v>52.89</v>
      </c>
      <c r="E7272" s="2">
        <v>44.94</v>
      </c>
      <c r="F7272" s="2">
        <v>3</v>
      </c>
      <c r="G7272" s="2" t="s">
        <v>9</v>
      </c>
    </row>
    <row r="7273" spans="1:8" x14ac:dyDescent="0.2">
      <c r="A7273" s="2" t="s">
        <v>5651</v>
      </c>
      <c r="B7273" s="2" t="s">
        <v>5108</v>
      </c>
      <c r="C7273" s="2">
        <v>586.5317</v>
      </c>
      <c r="D7273" s="2">
        <f>HYPERLINK("http://mcb-m6.bioreg.kyushu-u.ac.jp/M3/20110318/F50606/1035/1", 56.76)</f>
        <v>56.76</v>
      </c>
      <c r="E7273" s="2">
        <v>33.549999999999997</v>
      </c>
      <c r="F7273" s="2">
        <v>2</v>
      </c>
      <c r="G7273" s="2" t="s">
        <v>9</v>
      </c>
    </row>
    <row r="7274" spans="1:8" x14ac:dyDescent="0.2">
      <c r="A7274" s="2" t="s">
        <v>5651</v>
      </c>
      <c r="B7274" s="2" t="s">
        <v>5125</v>
      </c>
      <c r="C7274" s="2">
        <v>1151.5260000000001</v>
      </c>
      <c r="D7274" s="2">
        <f>HYPERLINK("http://mcb-m6.bioreg.kyushu-u.ac.jp/M3/20110318/F50606/1011/1", 62.65)</f>
        <v>62.65</v>
      </c>
      <c r="E7274" s="2">
        <v>46.4</v>
      </c>
      <c r="F7274" s="2">
        <v>1</v>
      </c>
      <c r="G7274" s="2" t="s">
        <v>9</v>
      </c>
    </row>
    <row r="7275" spans="1:8" x14ac:dyDescent="0.2">
      <c r="A7275" s="2" t="s">
        <v>5651</v>
      </c>
      <c r="B7275" s="2" t="s">
        <v>5108</v>
      </c>
      <c r="C7275" s="2">
        <v>586.30520000000001</v>
      </c>
      <c r="D7275" s="2">
        <f>HYPERLINK("http://mcb-m6.bioreg.kyushu-u.ac.jp/M3/20110318/F50619/1031/1", 83.27)</f>
        <v>83.27</v>
      </c>
      <c r="E7275" s="2">
        <v>54.98</v>
      </c>
      <c r="F7275" s="2">
        <v>2</v>
      </c>
      <c r="G7275" s="2" t="s">
        <v>9</v>
      </c>
    </row>
    <row r="7276" spans="1:8" x14ac:dyDescent="0.2">
      <c r="A7276" s="2" t="s">
        <v>5651</v>
      </c>
      <c r="B7276" s="2" t="s">
        <v>5096</v>
      </c>
      <c r="C7276" s="2">
        <v>1021.921</v>
      </c>
      <c r="D7276" s="2">
        <f>HYPERLINK("http://mcb-m6.bioreg.kyushu-u.ac.jp/M3/20110318/F50597/3342/1", 45.78)</f>
        <v>45.78</v>
      </c>
      <c r="E7276" s="2">
        <v>36.71</v>
      </c>
      <c r="F7276" s="2">
        <v>3</v>
      </c>
      <c r="G7276" s="2" t="s">
        <v>10</v>
      </c>
    </row>
    <row r="7277" spans="1:8" x14ac:dyDescent="0.2">
      <c r="A7277" s="2" t="s">
        <v>5651</v>
      </c>
      <c r="B7277" s="2" t="s">
        <v>5108</v>
      </c>
      <c r="C7277" s="2">
        <v>586.63070000000005</v>
      </c>
      <c r="D7277" s="2">
        <f>HYPERLINK("http://mcb-m6.bioreg.kyushu-u.ac.jp/M3/20110318/F50597/1112/1", 61.32)</f>
        <v>61.32</v>
      </c>
      <c r="E7277" s="2">
        <v>38</v>
      </c>
      <c r="F7277" s="2">
        <v>2</v>
      </c>
      <c r="G7277" s="2" t="s">
        <v>10</v>
      </c>
    </row>
    <row r="7278" spans="1:8" x14ac:dyDescent="0.2">
      <c r="A7278" s="2" t="s">
        <v>5651</v>
      </c>
      <c r="B7278" s="2" t="s">
        <v>5108</v>
      </c>
      <c r="C7278" s="2">
        <v>586.16420000000005</v>
      </c>
      <c r="D7278" s="2">
        <f>HYPERLINK("http://mcb-m6.bioreg.kyushu-u.ac.jp/M3/20110418/F50974/1350/1", 64.76)</f>
        <v>64.760000000000005</v>
      </c>
      <c r="E7278" s="2">
        <v>42.63</v>
      </c>
      <c r="F7278" s="2">
        <v>2</v>
      </c>
      <c r="G7278" s="2" t="s">
        <v>11</v>
      </c>
    </row>
    <row r="7279" spans="1:8" x14ac:dyDescent="0.2">
      <c r="A7279" s="2" t="s">
        <v>5651</v>
      </c>
      <c r="B7279" s="2" t="s">
        <v>5108</v>
      </c>
      <c r="C7279" s="2">
        <v>586.19920000000002</v>
      </c>
      <c r="D7279" s="2">
        <f>HYPERLINK("http://mcb-m6.bioreg.kyushu-u.ac.jp/M3/20110418/F50975/1161/1", 69.9)</f>
        <v>69.900000000000006</v>
      </c>
      <c r="E7279" s="2">
        <v>46.15</v>
      </c>
      <c r="F7279" s="2">
        <v>2</v>
      </c>
      <c r="G7279" s="2" t="s">
        <v>11</v>
      </c>
    </row>
    <row r="7280" spans="1:8" x14ac:dyDescent="0.2">
      <c r="A7280" s="2" t="s">
        <v>5651</v>
      </c>
      <c r="B7280" s="2" t="s">
        <v>5108</v>
      </c>
      <c r="C7280" s="2">
        <v>586.2192</v>
      </c>
      <c r="D7280" s="2">
        <f>HYPERLINK("http://mcb-m6.bioreg.kyushu-u.ac.jp/M3/20110418/F50984/1826/1", 64.5)</f>
        <v>64.5</v>
      </c>
      <c r="E7280" s="2">
        <v>42.76</v>
      </c>
      <c r="F7280" s="2">
        <v>2</v>
      </c>
      <c r="G7280" s="2" t="s">
        <v>12</v>
      </c>
    </row>
    <row r="7281" spans="1:9" x14ac:dyDescent="0.2">
      <c r="A7281" s="2" t="s">
        <v>5651</v>
      </c>
      <c r="B7281" s="2" t="s">
        <v>5108</v>
      </c>
      <c r="C7281" s="2">
        <v>586.67570000000001</v>
      </c>
      <c r="D7281" s="2">
        <f>HYPERLINK("http://mcb-m6.bioreg.kyushu-u.ac.jp/M3/20110502/F51158/1150/1", 61.49)</f>
        <v>61.49</v>
      </c>
      <c r="E7281" s="2">
        <v>33.01</v>
      </c>
      <c r="F7281" s="2">
        <v>2</v>
      </c>
      <c r="G7281" s="2" t="s">
        <v>13</v>
      </c>
    </row>
    <row r="7282" spans="1:9" x14ac:dyDescent="0.2">
      <c r="A7282" s="2" t="s">
        <v>5651</v>
      </c>
      <c r="B7282" s="2" t="s">
        <v>5108</v>
      </c>
      <c r="C7282" s="2">
        <v>586.39319999999998</v>
      </c>
      <c r="D7282" s="2">
        <f>HYPERLINK("http://mcb-m6.bioreg.kyushu-u.ac.jp/M3/20110428/F51141/1097/1", 64.37)</f>
        <v>64.37</v>
      </c>
      <c r="E7282" s="2">
        <v>41.09</v>
      </c>
      <c r="F7282" s="2">
        <v>2</v>
      </c>
      <c r="G7282" s="2" t="s">
        <v>14</v>
      </c>
    </row>
    <row r="7283" spans="1:9" x14ac:dyDescent="0.2">
      <c r="A7283" s="2" t="s">
        <v>3254</v>
      </c>
      <c r="B7283" s="2" t="s">
        <v>1226</v>
      </c>
      <c r="C7283" s="2">
        <v>586.12660000000005</v>
      </c>
      <c r="D7283" s="2">
        <f>HYPERLINK("http://mcb-m6.bioreg.kyushu-u.ac.jp/M3/20110418/F50971/1847/1", 49.92)</f>
        <v>49.92</v>
      </c>
      <c r="E7283" s="2">
        <v>20.82</v>
      </c>
      <c r="F7283" s="2">
        <v>2</v>
      </c>
      <c r="G7283" s="2" t="s">
        <v>11</v>
      </c>
    </row>
    <row r="7284" spans="1:9" x14ac:dyDescent="0.2">
      <c r="A7284" s="2" t="s">
        <v>3269</v>
      </c>
      <c r="B7284" s="2" t="s">
        <v>49</v>
      </c>
      <c r="C7284" s="2">
        <v>781.29570000000001</v>
      </c>
      <c r="D7284" s="2">
        <f>HYPERLINK("http://mcb-m6.bioreg.kyushu-u.ac.jp/M3/20110418/F50973/2287/1", 37.05)</f>
        <v>37.049999999999997</v>
      </c>
      <c r="E7284" s="2">
        <v>20.170000000000002</v>
      </c>
      <c r="F7284" s="2">
        <v>2</v>
      </c>
      <c r="G7284" s="2" t="s">
        <v>11</v>
      </c>
    </row>
    <row r="7285" spans="1:9" x14ac:dyDescent="0.2">
      <c r="A7285" s="2" t="s">
        <v>3269</v>
      </c>
      <c r="B7285" s="2" t="s">
        <v>2587</v>
      </c>
      <c r="C7285" s="2">
        <v>745.68870000000004</v>
      </c>
      <c r="D7285" s="2">
        <f>HYPERLINK("http://mcb-m6.bioreg.kyushu-u.ac.jp/M3/20110429/F51152/1988/1", 42.91)</f>
        <v>42.91</v>
      </c>
      <c r="E7285" s="2">
        <v>25.14</v>
      </c>
      <c r="F7285" s="2">
        <v>2</v>
      </c>
      <c r="G7285" s="2" t="s">
        <v>13</v>
      </c>
      <c r="I7285" s="2" t="s">
        <v>4914</v>
      </c>
    </row>
    <row r="7286" spans="1:9" x14ac:dyDescent="0.2">
      <c r="A7286" s="2" t="s">
        <v>5737</v>
      </c>
      <c r="B7286" s="2" t="s">
        <v>5328</v>
      </c>
      <c r="C7286" s="2">
        <v>565.91859999999997</v>
      </c>
      <c r="D7286" s="2">
        <f>HYPERLINK("http://mcb-m6.bioreg.kyushu-u.ac.jp/M3/20110318/F50597/1054/1", 64.12)</f>
        <v>64.12</v>
      </c>
      <c r="E7286" s="2">
        <v>41.68</v>
      </c>
      <c r="F7286" s="2">
        <v>2</v>
      </c>
      <c r="G7286" s="2" t="s">
        <v>10</v>
      </c>
    </row>
    <row r="7287" spans="1:9" x14ac:dyDescent="0.2">
      <c r="A7287" s="2" t="s">
        <v>3970</v>
      </c>
      <c r="B7287" s="2" t="s">
        <v>1206</v>
      </c>
      <c r="C7287" s="2">
        <v>784.91859999999997</v>
      </c>
      <c r="D7287" s="2">
        <f>HYPERLINK("http://mcb-m6.bioreg.kyushu-u.ac.jp/M3/20110318/F50597/1819/1", 50.51)</f>
        <v>50.51</v>
      </c>
      <c r="E7287" s="2">
        <v>32.29</v>
      </c>
      <c r="F7287" s="2">
        <v>2</v>
      </c>
      <c r="G7287" s="2" t="s">
        <v>10</v>
      </c>
    </row>
    <row r="7288" spans="1:9" x14ac:dyDescent="0.2">
      <c r="A7288" s="2" t="s">
        <v>3970</v>
      </c>
      <c r="B7288" s="2" t="s">
        <v>1206</v>
      </c>
      <c r="C7288" s="2">
        <v>784.80820000000006</v>
      </c>
      <c r="D7288" s="2">
        <f>HYPERLINK("http://mcb-m6.bioreg.kyushu-u.ac.jp/M3/20110418/F50974/2301/1", 81.3)</f>
        <v>81.3</v>
      </c>
      <c r="E7288" s="2">
        <v>63.93</v>
      </c>
      <c r="F7288" s="2">
        <v>2</v>
      </c>
      <c r="G7288" s="2" t="s">
        <v>11</v>
      </c>
    </row>
    <row r="7289" spans="1:9" x14ac:dyDescent="0.2">
      <c r="A7289" s="2" t="s">
        <v>3369</v>
      </c>
      <c r="B7289" s="2" t="s">
        <v>2501</v>
      </c>
      <c r="C7289" s="2">
        <v>803.5607</v>
      </c>
      <c r="D7289" s="2">
        <f>HYPERLINK("http://mcb-m6.bioreg.kyushu-u.ac.jp/M3/20110318/F50607/1792/1", 35.86)</f>
        <v>35.86</v>
      </c>
      <c r="E7289" s="2">
        <v>21.41</v>
      </c>
      <c r="F7289" s="2">
        <v>2</v>
      </c>
      <c r="G7289" s="2" t="s">
        <v>9</v>
      </c>
    </row>
    <row r="7290" spans="1:9" x14ac:dyDescent="0.2">
      <c r="A7290" s="2" t="s">
        <v>3369</v>
      </c>
      <c r="B7290" s="2" t="s">
        <v>2273</v>
      </c>
      <c r="C7290" s="2">
        <v>940.14469999999994</v>
      </c>
      <c r="D7290" s="2">
        <f>HYPERLINK("http://mcb-m6.bioreg.kyushu-u.ac.jp/M3/20110318/F50604/2031/1", 37.62)</f>
        <v>37.619999999999997</v>
      </c>
      <c r="E7290" s="2">
        <v>25.74</v>
      </c>
      <c r="F7290" s="2">
        <v>2</v>
      </c>
      <c r="G7290" s="2" t="s">
        <v>9</v>
      </c>
    </row>
    <row r="7291" spans="1:9" x14ac:dyDescent="0.2">
      <c r="A7291" s="2" t="s">
        <v>3369</v>
      </c>
      <c r="B7291" s="2" t="s">
        <v>814</v>
      </c>
      <c r="C7291" s="2">
        <v>779.06709999999998</v>
      </c>
      <c r="D7291" s="2">
        <f>HYPERLINK("http://mcb-m6.bioreg.kyushu-u.ac.jp/M3/20110318/F50605/1787/1", 47.31)</f>
        <v>47.31</v>
      </c>
      <c r="E7291" s="2">
        <v>29.12</v>
      </c>
      <c r="F7291" s="2">
        <v>2</v>
      </c>
      <c r="G7291" s="2" t="s">
        <v>9</v>
      </c>
    </row>
    <row r="7292" spans="1:9" x14ac:dyDescent="0.2">
      <c r="A7292" s="2" t="s">
        <v>3369</v>
      </c>
      <c r="B7292" s="2" t="s">
        <v>814</v>
      </c>
      <c r="C7292" s="2">
        <v>779.11659999999995</v>
      </c>
      <c r="D7292" s="2">
        <f>HYPERLINK("http://mcb-m6.bioreg.kyushu-u.ac.jp/M3/20110318/F50604/1673/1", 50.34)</f>
        <v>50.34</v>
      </c>
      <c r="E7292" s="2">
        <v>29.02</v>
      </c>
      <c r="F7292" s="2">
        <v>2</v>
      </c>
      <c r="G7292" s="2" t="s">
        <v>9</v>
      </c>
    </row>
    <row r="7293" spans="1:9" x14ac:dyDescent="0.2">
      <c r="A7293" s="2" t="s">
        <v>3369</v>
      </c>
      <c r="B7293" s="2" t="s">
        <v>2331</v>
      </c>
      <c r="C7293" s="2">
        <v>478.46859999999998</v>
      </c>
      <c r="D7293" s="2">
        <f>HYPERLINK("http://mcb-m6.bioreg.kyushu-u.ac.jp/M3/20110318/F50605/840/1", 50.94)</f>
        <v>50.94</v>
      </c>
      <c r="E7293" s="2">
        <v>20.57</v>
      </c>
      <c r="F7293" s="2">
        <v>2</v>
      </c>
      <c r="G7293" s="2" t="s">
        <v>9</v>
      </c>
    </row>
    <row r="7294" spans="1:9" x14ac:dyDescent="0.2">
      <c r="A7294" s="2" t="s">
        <v>3369</v>
      </c>
      <c r="B7294" s="2" t="s">
        <v>2878</v>
      </c>
      <c r="C7294" s="2">
        <v>548.56870000000004</v>
      </c>
      <c r="D7294" s="2">
        <f>HYPERLINK("http://mcb-m6.bioreg.kyushu-u.ac.jp/M3/20110318/F50604/1176/1", 53.44)</f>
        <v>53.44</v>
      </c>
      <c r="E7294" s="2">
        <v>20.27</v>
      </c>
      <c r="F7294" s="2">
        <v>2</v>
      </c>
      <c r="G7294" s="2" t="s">
        <v>9</v>
      </c>
    </row>
    <row r="7295" spans="1:9" x14ac:dyDescent="0.2">
      <c r="A7295" s="2" t="s">
        <v>3369</v>
      </c>
      <c r="B7295" s="2" t="s">
        <v>2331</v>
      </c>
      <c r="C7295" s="2">
        <v>478.48759999999999</v>
      </c>
      <c r="D7295" s="2">
        <f>HYPERLINK("http://mcb-m6.bioreg.kyushu-u.ac.jp/M3/20110318/F50604/1022/1", 56.1)</f>
        <v>56.1</v>
      </c>
      <c r="E7295" s="2">
        <v>17.670000000000002</v>
      </c>
      <c r="F7295" s="2">
        <v>2</v>
      </c>
      <c r="G7295" s="2" t="s">
        <v>9</v>
      </c>
    </row>
    <row r="7296" spans="1:9" x14ac:dyDescent="0.2">
      <c r="A7296" s="2" t="s">
        <v>3369</v>
      </c>
      <c r="B7296" s="2" t="s">
        <v>5113</v>
      </c>
      <c r="C7296" s="2">
        <v>673.00480000000005</v>
      </c>
      <c r="D7296" s="2">
        <f>HYPERLINK("http://mcb-m6.bioreg.kyushu-u.ac.jp/M3/20110318/F50605/2465/1", 58.59)</f>
        <v>58.59</v>
      </c>
      <c r="E7296" s="2">
        <v>43.36</v>
      </c>
      <c r="F7296" s="2">
        <v>3</v>
      </c>
      <c r="G7296" s="2" t="s">
        <v>9</v>
      </c>
      <c r="H7296" s="2" t="s">
        <v>4915</v>
      </c>
    </row>
    <row r="7297" spans="1:9" x14ac:dyDescent="0.2">
      <c r="A7297" s="2" t="s">
        <v>3369</v>
      </c>
      <c r="B7297" s="2" t="s">
        <v>2200</v>
      </c>
      <c r="C7297" s="2">
        <v>503.9631</v>
      </c>
      <c r="D7297" s="2">
        <f>HYPERLINK("http://mcb-m6.bioreg.kyushu-u.ac.jp/M3/20110318/F50604/1092/1", 59.51)</f>
        <v>59.51</v>
      </c>
      <c r="E7297" s="2">
        <v>33.36</v>
      </c>
      <c r="F7297" s="2">
        <v>2</v>
      </c>
      <c r="G7297" s="2" t="s">
        <v>9</v>
      </c>
    </row>
    <row r="7298" spans="1:9" x14ac:dyDescent="0.2">
      <c r="A7298" s="2" t="s">
        <v>3369</v>
      </c>
      <c r="B7298" s="2" t="s">
        <v>1317</v>
      </c>
      <c r="C7298" s="2">
        <v>613.44619999999998</v>
      </c>
      <c r="D7298" s="2">
        <f>HYPERLINK("http://mcb-m6.bioreg.kyushu-u.ac.jp/M3/20110318/F50606/1090/1", 62.29)</f>
        <v>62.29</v>
      </c>
      <c r="E7298" s="2">
        <v>45.89</v>
      </c>
      <c r="F7298" s="2">
        <v>2</v>
      </c>
      <c r="G7298" s="2" t="s">
        <v>9</v>
      </c>
    </row>
    <row r="7299" spans="1:9" x14ac:dyDescent="0.2">
      <c r="A7299" s="2" t="s">
        <v>3369</v>
      </c>
      <c r="B7299" s="2" t="s">
        <v>1317</v>
      </c>
      <c r="C7299" s="2">
        <v>613.45669999999996</v>
      </c>
      <c r="D7299" s="2">
        <f>HYPERLINK("http://mcb-m6.bioreg.kyushu-u.ac.jp/M3/20110318/F50603/1196/1", 66.06)</f>
        <v>66.06</v>
      </c>
      <c r="E7299" s="2">
        <v>48.64</v>
      </c>
      <c r="F7299" s="2">
        <v>2</v>
      </c>
      <c r="G7299" s="2" t="s">
        <v>9</v>
      </c>
    </row>
    <row r="7300" spans="1:9" x14ac:dyDescent="0.2">
      <c r="A7300" s="2" t="s">
        <v>3369</v>
      </c>
      <c r="B7300" s="2" t="s">
        <v>5139</v>
      </c>
      <c r="C7300" s="2">
        <v>515.53520000000003</v>
      </c>
      <c r="D7300" s="2">
        <f>HYPERLINK("http://mcb-m6.bioreg.kyushu-u.ac.jp/M3/20110318/F50604/1119/1", 66.57)</f>
        <v>66.569999999999993</v>
      </c>
      <c r="E7300" s="2">
        <v>20.12</v>
      </c>
      <c r="F7300" s="2">
        <v>2</v>
      </c>
      <c r="G7300" s="2" t="s">
        <v>9</v>
      </c>
    </row>
    <row r="7301" spans="1:9" x14ac:dyDescent="0.2">
      <c r="A7301" s="2" t="s">
        <v>3369</v>
      </c>
      <c r="B7301" s="2" t="s">
        <v>1317</v>
      </c>
      <c r="C7301" s="2">
        <v>613.47469999999998</v>
      </c>
      <c r="D7301" s="2">
        <f>HYPERLINK("http://mcb-m6.bioreg.kyushu-u.ac.jp/M3/20110318/F50604/1281/1", 67.24)</f>
        <v>67.239999999999995</v>
      </c>
      <c r="E7301" s="2">
        <v>49.95</v>
      </c>
      <c r="F7301" s="2">
        <v>2</v>
      </c>
      <c r="G7301" s="2" t="s">
        <v>9</v>
      </c>
    </row>
    <row r="7302" spans="1:9" x14ac:dyDescent="0.2">
      <c r="A7302" s="2" t="s">
        <v>3369</v>
      </c>
      <c r="B7302" s="2" t="s">
        <v>161</v>
      </c>
      <c r="C7302" s="2">
        <v>829.7441</v>
      </c>
      <c r="D7302" s="2">
        <f>HYPERLINK("http://mcb-m6.bioreg.kyushu-u.ac.jp/M3/20110318/F50620/2036/1", 69.98)</f>
        <v>69.98</v>
      </c>
      <c r="E7302" s="2">
        <v>45.39</v>
      </c>
      <c r="F7302" s="2">
        <v>2</v>
      </c>
      <c r="G7302" s="2" t="s">
        <v>9</v>
      </c>
    </row>
    <row r="7303" spans="1:9" x14ac:dyDescent="0.2">
      <c r="A7303" s="2" t="s">
        <v>3369</v>
      </c>
      <c r="B7303" s="2" t="s">
        <v>161</v>
      </c>
      <c r="C7303" s="2">
        <v>830.41020000000003</v>
      </c>
      <c r="D7303" s="2">
        <f>HYPERLINK("http://mcb-m6.bioreg.kyushu-u.ac.jp/M3/20110318/F50605/2003/1", 76.5)</f>
        <v>76.5</v>
      </c>
      <c r="E7303" s="2">
        <v>56.98</v>
      </c>
      <c r="F7303" s="2">
        <v>2</v>
      </c>
      <c r="G7303" s="2" t="s">
        <v>9</v>
      </c>
    </row>
    <row r="7304" spans="1:9" x14ac:dyDescent="0.2">
      <c r="A7304" s="2" t="s">
        <v>3369</v>
      </c>
      <c r="B7304" s="2" t="s">
        <v>1317</v>
      </c>
      <c r="C7304" s="2">
        <v>613.2731</v>
      </c>
      <c r="D7304" s="2">
        <f>HYPERLINK("http://mcb-m6.bioreg.kyushu-u.ac.jp/M3/20110318/F50620/1275/1", 79.61)</f>
        <v>79.61</v>
      </c>
      <c r="E7304" s="2">
        <v>60.53</v>
      </c>
      <c r="F7304" s="2">
        <v>2</v>
      </c>
      <c r="G7304" s="2" t="s">
        <v>9</v>
      </c>
    </row>
    <row r="7305" spans="1:9" x14ac:dyDescent="0.2">
      <c r="A7305" s="2" t="s">
        <v>3369</v>
      </c>
      <c r="B7305" s="2" t="s">
        <v>5179</v>
      </c>
      <c r="C7305" s="2">
        <v>808.95119999999997</v>
      </c>
      <c r="D7305" s="2">
        <f>HYPERLINK("http://mcb-m6.bioreg.kyushu-u.ac.jp/M3/20110318/F50604/1746/1", 82.83)</f>
        <v>82.83</v>
      </c>
      <c r="E7305" s="2">
        <v>55.9</v>
      </c>
      <c r="F7305" s="2">
        <v>2</v>
      </c>
      <c r="G7305" s="2" t="s">
        <v>9</v>
      </c>
    </row>
    <row r="7306" spans="1:9" x14ac:dyDescent="0.2">
      <c r="A7306" s="2" t="s">
        <v>3369</v>
      </c>
      <c r="B7306" s="2" t="s">
        <v>5189</v>
      </c>
      <c r="C7306" s="2">
        <v>883.51369999999997</v>
      </c>
      <c r="D7306" s="2">
        <f>HYPERLINK("http://mcb-m6.bioreg.kyushu-u.ac.jp/M3/20110318/F50604/1906/1", 91.02)</f>
        <v>91.02</v>
      </c>
      <c r="E7306" s="2">
        <v>73.58</v>
      </c>
      <c r="F7306" s="2">
        <v>2</v>
      </c>
      <c r="G7306" s="2" t="s">
        <v>9</v>
      </c>
      <c r="I7306" s="2" t="s">
        <v>4906</v>
      </c>
    </row>
    <row r="7307" spans="1:9" x14ac:dyDescent="0.2">
      <c r="A7307" s="2" t="s">
        <v>3369</v>
      </c>
      <c r="B7307" s="2" t="s">
        <v>161</v>
      </c>
      <c r="C7307" s="2">
        <v>830.06709999999998</v>
      </c>
      <c r="D7307" s="2">
        <f>HYPERLINK("http://mcb-m6.bioreg.kyushu-u.ac.jp/M3/20110318/F50604/1790/1", 93.54)</f>
        <v>93.54</v>
      </c>
      <c r="E7307" s="2">
        <v>68.989999999999995</v>
      </c>
      <c r="F7307" s="2">
        <v>2</v>
      </c>
      <c r="G7307" s="2" t="s">
        <v>9</v>
      </c>
    </row>
    <row r="7308" spans="1:9" x14ac:dyDescent="0.2">
      <c r="A7308" s="2" t="s">
        <v>3369</v>
      </c>
      <c r="B7308" s="2" t="s">
        <v>1495</v>
      </c>
      <c r="C7308" s="2">
        <v>834.54909999999995</v>
      </c>
      <c r="D7308" s="2">
        <f>HYPERLINK("http://mcb-m6.bioreg.kyushu-u.ac.jp/M3/20110318/F50605/2025/1", 93.7)</f>
        <v>93.7</v>
      </c>
      <c r="E7308" s="2">
        <v>74.459999999999994</v>
      </c>
      <c r="F7308" s="2">
        <v>2</v>
      </c>
      <c r="G7308" s="2" t="s">
        <v>9</v>
      </c>
      <c r="I7308" s="2" t="s">
        <v>4899</v>
      </c>
    </row>
    <row r="7309" spans="1:9" x14ac:dyDescent="0.2">
      <c r="A7309" s="2" t="s">
        <v>3369</v>
      </c>
      <c r="B7309" s="2" t="s">
        <v>5194</v>
      </c>
      <c r="C7309" s="2">
        <v>1074.4100000000001</v>
      </c>
      <c r="D7309" s="2">
        <f>HYPERLINK("http://mcb-m6.bioreg.kyushu-u.ac.jp/M3/20110318/F50604/2235/1", 99.54)</f>
        <v>99.54</v>
      </c>
      <c r="E7309" s="2">
        <v>84.83</v>
      </c>
      <c r="F7309" s="2">
        <v>2</v>
      </c>
      <c r="G7309" s="2" t="s">
        <v>9</v>
      </c>
    </row>
    <row r="7310" spans="1:9" x14ac:dyDescent="0.2">
      <c r="A7310" s="2" t="s">
        <v>3369</v>
      </c>
      <c r="B7310" s="2" t="s">
        <v>2501</v>
      </c>
      <c r="C7310" s="2">
        <v>803.52560000000005</v>
      </c>
      <c r="D7310" s="2">
        <f>HYPERLINK("http://mcb-m6.bioreg.kyushu-u.ac.jp/M3/20110318/F50605/1875/1", 100.59)</f>
        <v>100.59</v>
      </c>
      <c r="E7310" s="2">
        <v>89.46</v>
      </c>
      <c r="F7310" s="2">
        <v>2</v>
      </c>
      <c r="G7310" s="2" t="s">
        <v>9</v>
      </c>
    </row>
    <row r="7311" spans="1:9" x14ac:dyDescent="0.2">
      <c r="A7311" s="2" t="s">
        <v>3369</v>
      </c>
      <c r="B7311" s="2" t="s">
        <v>5199</v>
      </c>
      <c r="C7311" s="2">
        <v>880.16020000000003</v>
      </c>
      <c r="D7311" s="2">
        <f>HYPERLINK("http://mcb-m6.bioreg.kyushu-u.ac.jp/M3/20110318/F50604/1898/1", 103.55)</f>
        <v>103.55</v>
      </c>
      <c r="E7311" s="2">
        <v>75.989999999999995</v>
      </c>
      <c r="F7311" s="2">
        <v>2</v>
      </c>
      <c r="G7311" s="2" t="s">
        <v>9</v>
      </c>
    </row>
    <row r="7312" spans="1:9" x14ac:dyDescent="0.2">
      <c r="A7312" s="2" t="s">
        <v>3369</v>
      </c>
      <c r="B7312" s="2" t="s">
        <v>1495</v>
      </c>
      <c r="C7312" s="2">
        <v>834.78719999999998</v>
      </c>
      <c r="D7312" s="2">
        <f>HYPERLINK("http://mcb-m6.bioreg.kyushu-u.ac.jp/M3/20110318/F50604/1807/1", 105.84)</f>
        <v>105.84</v>
      </c>
      <c r="E7312" s="2">
        <v>90.28</v>
      </c>
      <c r="F7312" s="2">
        <v>2</v>
      </c>
      <c r="G7312" s="2" t="s">
        <v>9</v>
      </c>
      <c r="I7312" s="2" t="s">
        <v>4899</v>
      </c>
    </row>
    <row r="7313" spans="1:8" x14ac:dyDescent="0.2">
      <c r="A7313" s="2" t="s">
        <v>3369</v>
      </c>
      <c r="B7313" s="2" t="s">
        <v>2501</v>
      </c>
      <c r="C7313" s="2">
        <v>803.59670000000006</v>
      </c>
      <c r="D7313" s="2">
        <f>HYPERLINK("http://mcb-m6.bioreg.kyushu-u.ac.jp/M3/20110318/F50604/1736/1", 108.79)</f>
        <v>108.79</v>
      </c>
      <c r="E7313" s="2">
        <v>86.93</v>
      </c>
      <c r="F7313" s="2">
        <v>2</v>
      </c>
      <c r="G7313" s="2" t="s">
        <v>9</v>
      </c>
    </row>
    <row r="7314" spans="1:8" x14ac:dyDescent="0.2">
      <c r="A7314" s="2" t="s">
        <v>3369</v>
      </c>
      <c r="B7314" s="2" t="s">
        <v>5113</v>
      </c>
      <c r="C7314" s="2">
        <v>1000.6849999999999</v>
      </c>
      <c r="D7314" s="2">
        <f>HYPERLINK("http://mcb-m6.bioreg.kyushu-u.ac.jp/M3/20110318/F50604/2147/1", 119.56)</f>
        <v>119.56</v>
      </c>
      <c r="E7314" s="2">
        <v>107.97</v>
      </c>
      <c r="F7314" s="2">
        <v>2</v>
      </c>
      <c r="G7314" s="2" t="s">
        <v>9</v>
      </c>
    </row>
    <row r="7315" spans="1:8" x14ac:dyDescent="0.2">
      <c r="A7315" s="2" t="s">
        <v>3369</v>
      </c>
      <c r="B7315" s="2" t="s">
        <v>2487</v>
      </c>
      <c r="C7315" s="2">
        <v>678.85860000000002</v>
      </c>
      <c r="D7315" s="2">
        <f>HYPERLINK("http://mcb-m6.bioreg.kyushu-u.ac.jp/M3/20110318/F50612/1364/1", 51.92)</f>
        <v>51.92</v>
      </c>
      <c r="E7315" s="2">
        <v>28.82</v>
      </c>
      <c r="F7315" s="2">
        <v>2</v>
      </c>
      <c r="G7315" s="2" t="s">
        <v>10</v>
      </c>
    </row>
    <row r="7316" spans="1:8" x14ac:dyDescent="0.2">
      <c r="A7316" s="2" t="s">
        <v>3369</v>
      </c>
      <c r="B7316" s="2" t="s">
        <v>1317</v>
      </c>
      <c r="C7316" s="2">
        <v>613.36720000000003</v>
      </c>
      <c r="D7316" s="2">
        <f>HYPERLINK("http://mcb-m6.bioreg.kyushu-u.ac.jp/M3/20110318/F50612/1221/1", 67.43)</f>
        <v>67.430000000000007</v>
      </c>
      <c r="E7316" s="2">
        <v>44.14</v>
      </c>
      <c r="F7316" s="2">
        <v>2</v>
      </c>
      <c r="G7316" s="2" t="s">
        <v>10</v>
      </c>
    </row>
    <row r="7317" spans="1:8" x14ac:dyDescent="0.2">
      <c r="A7317" s="2" t="s">
        <v>3369</v>
      </c>
      <c r="B7317" s="2" t="s">
        <v>5376</v>
      </c>
      <c r="C7317" s="2">
        <v>723.53369999999995</v>
      </c>
      <c r="D7317" s="2">
        <f>HYPERLINK("http://mcb-m6.bioreg.kyushu-u.ac.jp/M3/20110418/F50977/1990/1", 39.55)</f>
        <v>39.549999999999997</v>
      </c>
      <c r="E7317" s="2">
        <v>26.04</v>
      </c>
      <c r="F7317" s="2">
        <v>2</v>
      </c>
      <c r="G7317" s="2" t="s">
        <v>11</v>
      </c>
    </row>
    <row r="7318" spans="1:8" x14ac:dyDescent="0.2">
      <c r="A7318" s="2" t="s">
        <v>3369</v>
      </c>
      <c r="B7318" s="2" t="s">
        <v>5179</v>
      </c>
      <c r="C7318" s="2">
        <v>808.69960000000003</v>
      </c>
      <c r="D7318" s="2">
        <f>HYPERLINK("http://mcb-m6.bioreg.kyushu-u.ac.jp/M3/20110418/F50977/2505/1", 42.56)</f>
        <v>42.56</v>
      </c>
      <c r="E7318" s="2">
        <v>14.9</v>
      </c>
      <c r="F7318" s="2">
        <v>2</v>
      </c>
      <c r="G7318" s="2" t="s">
        <v>11</v>
      </c>
    </row>
    <row r="7319" spans="1:8" x14ac:dyDescent="0.2">
      <c r="A7319" s="2" t="s">
        <v>3369</v>
      </c>
      <c r="B7319" s="2" t="s">
        <v>5393</v>
      </c>
      <c r="C7319" s="2">
        <v>481.59710000000001</v>
      </c>
      <c r="D7319" s="2">
        <f>HYPERLINK("http://mcb-m6.bioreg.kyushu-u.ac.jp/M3/20110418/F50977/833/1", 45.43)</f>
        <v>45.43</v>
      </c>
      <c r="E7319" s="2">
        <v>24.83</v>
      </c>
      <c r="F7319" s="2">
        <v>2</v>
      </c>
      <c r="G7319" s="2" t="s">
        <v>11</v>
      </c>
    </row>
    <row r="7320" spans="1:8" x14ac:dyDescent="0.2">
      <c r="A7320" s="2" t="s">
        <v>3369</v>
      </c>
      <c r="B7320" s="2" t="s">
        <v>1317</v>
      </c>
      <c r="C7320" s="2">
        <v>613.62959999999998</v>
      </c>
      <c r="D7320" s="2">
        <f>HYPERLINK("http://mcb-m6.bioreg.kyushu-u.ac.jp/M3/20110418/F50969/1755/1", 46.4)</f>
        <v>46.4</v>
      </c>
      <c r="E7320" s="2">
        <v>25.48</v>
      </c>
      <c r="F7320" s="2">
        <v>2</v>
      </c>
      <c r="G7320" s="2" t="s">
        <v>11</v>
      </c>
    </row>
    <row r="7321" spans="1:8" x14ac:dyDescent="0.2">
      <c r="A7321" s="2" t="s">
        <v>3369</v>
      </c>
      <c r="B7321" s="2" t="s">
        <v>2200</v>
      </c>
      <c r="C7321" s="2">
        <v>504.0951</v>
      </c>
      <c r="D7321" s="2">
        <f>HYPERLINK("http://mcb-m6.bioreg.kyushu-u.ac.jp/M3/20110418/F50977/913/1", 46.41)</f>
        <v>46.41</v>
      </c>
      <c r="E7321" s="2">
        <v>25.77</v>
      </c>
      <c r="F7321" s="2">
        <v>2</v>
      </c>
      <c r="G7321" s="2" t="s">
        <v>11</v>
      </c>
    </row>
    <row r="7322" spans="1:8" x14ac:dyDescent="0.2">
      <c r="A7322" s="2" t="s">
        <v>3369</v>
      </c>
      <c r="B7322" s="2" t="s">
        <v>1317</v>
      </c>
      <c r="C7322" s="2">
        <v>613.1807</v>
      </c>
      <c r="D7322" s="2">
        <f>HYPERLINK("http://mcb-m6.bioreg.kyushu-u.ac.jp/M3/20110418/F50977/1410/1", 46.47)</f>
        <v>46.47</v>
      </c>
      <c r="E7322" s="2">
        <v>18.23</v>
      </c>
      <c r="F7322" s="2">
        <v>2</v>
      </c>
      <c r="G7322" s="2" t="s">
        <v>11</v>
      </c>
    </row>
    <row r="7323" spans="1:8" x14ac:dyDescent="0.2">
      <c r="A7323" s="2" t="s">
        <v>3369</v>
      </c>
      <c r="B7323" s="2" t="s">
        <v>2487</v>
      </c>
      <c r="C7323" s="2">
        <v>687.30909999999994</v>
      </c>
      <c r="D7323" s="2">
        <f>HYPERLINK("http://mcb-m6.bioreg.kyushu-u.ac.jp/M3/20110418/F50977/1771/1", 48.5)</f>
        <v>48.5</v>
      </c>
      <c r="E7323" s="2">
        <v>2.08</v>
      </c>
      <c r="F7323" s="2">
        <v>2</v>
      </c>
      <c r="G7323" s="2" t="s">
        <v>11</v>
      </c>
      <c r="H7323" s="2" t="s">
        <v>4901</v>
      </c>
    </row>
    <row r="7324" spans="1:8" x14ac:dyDescent="0.2">
      <c r="A7324" s="2" t="s">
        <v>3369</v>
      </c>
      <c r="B7324" s="2" t="s">
        <v>992</v>
      </c>
      <c r="C7324" s="2">
        <v>609.15120000000002</v>
      </c>
      <c r="D7324" s="2">
        <f>HYPERLINK("http://mcb-m6.bioreg.kyushu-u.ac.jp/M3/20110418/F50977/1385/1", 48.54)</f>
        <v>48.54</v>
      </c>
      <c r="E7324" s="2">
        <v>15.1</v>
      </c>
      <c r="F7324" s="2">
        <v>2</v>
      </c>
      <c r="G7324" s="2" t="s">
        <v>11</v>
      </c>
    </row>
    <row r="7325" spans="1:8" x14ac:dyDescent="0.2">
      <c r="A7325" s="2" t="s">
        <v>3369</v>
      </c>
      <c r="B7325" s="2" t="s">
        <v>161</v>
      </c>
      <c r="C7325" s="2">
        <v>829.97310000000004</v>
      </c>
      <c r="D7325" s="2">
        <f>HYPERLINK("http://mcb-m6.bioreg.kyushu-u.ac.jp/M3/20110418/F50977/2635/1", 49.18)</f>
        <v>49.18</v>
      </c>
      <c r="E7325" s="2">
        <v>36.06</v>
      </c>
      <c r="F7325" s="2">
        <v>2</v>
      </c>
      <c r="G7325" s="2" t="s">
        <v>11</v>
      </c>
    </row>
    <row r="7326" spans="1:8" x14ac:dyDescent="0.2">
      <c r="A7326" s="2" t="s">
        <v>3369</v>
      </c>
      <c r="B7326" s="2" t="s">
        <v>2487</v>
      </c>
      <c r="C7326" s="2">
        <v>679.33810000000005</v>
      </c>
      <c r="D7326" s="2">
        <f>HYPERLINK("http://mcb-m6.bioreg.kyushu-u.ac.jp/M3/20110418/F50977/1716/1", 51.41)</f>
        <v>51.41</v>
      </c>
      <c r="E7326" s="2">
        <v>35.409999999999997</v>
      </c>
      <c r="F7326" s="2">
        <v>2</v>
      </c>
      <c r="G7326" s="2" t="s">
        <v>11</v>
      </c>
    </row>
    <row r="7327" spans="1:8" x14ac:dyDescent="0.2">
      <c r="A7327" s="2" t="s">
        <v>3369</v>
      </c>
      <c r="B7327" s="2" t="s">
        <v>1317</v>
      </c>
      <c r="C7327" s="2">
        <v>613.88760000000002</v>
      </c>
      <c r="D7327" s="2">
        <f>HYPERLINK("http://mcb-m6.bioreg.kyushu-u.ac.jp/M3/20110418/F50996/1609/1", 56)</f>
        <v>56</v>
      </c>
      <c r="E7327" s="2">
        <v>40.49</v>
      </c>
      <c r="F7327" s="2">
        <v>2</v>
      </c>
      <c r="G7327" s="2" t="s">
        <v>11</v>
      </c>
    </row>
    <row r="7328" spans="1:8" x14ac:dyDescent="0.2">
      <c r="A7328" s="2" t="s">
        <v>3369</v>
      </c>
      <c r="B7328" s="2" t="s">
        <v>1317</v>
      </c>
      <c r="C7328" s="2">
        <v>613.87019999999995</v>
      </c>
      <c r="D7328" s="2">
        <f>HYPERLINK("http://mcb-m6.bioreg.kyushu-u.ac.jp/M3/20110418/F50979/1662/1", 60.97)</f>
        <v>60.97</v>
      </c>
      <c r="E7328" s="2">
        <v>43.76</v>
      </c>
      <c r="F7328" s="2">
        <v>2</v>
      </c>
      <c r="G7328" s="2" t="s">
        <v>11</v>
      </c>
    </row>
    <row r="7329" spans="1:9" x14ac:dyDescent="0.2">
      <c r="A7329" s="2" t="s">
        <v>3369</v>
      </c>
      <c r="B7329" s="2" t="s">
        <v>2487</v>
      </c>
      <c r="C7329" s="2">
        <v>686.72270000000003</v>
      </c>
      <c r="D7329" s="2">
        <f>HYPERLINK("http://mcb-m6.bioreg.kyushu-u.ac.jp/M3/20110418/F50977/1766/1", 62.84)</f>
        <v>62.84</v>
      </c>
      <c r="E7329" s="2">
        <v>19.149999999999999</v>
      </c>
      <c r="F7329" s="2">
        <v>2</v>
      </c>
      <c r="G7329" s="2" t="s">
        <v>11</v>
      </c>
      <c r="H7329" s="2" t="s">
        <v>4901</v>
      </c>
    </row>
    <row r="7330" spans="1:9" x14ac:dyDescent="0.2">
      <c r="A7330" s="2" t="s">
        <v>3369</v>
      </c>
      <c r="B7330" s="2" t="s">
        <v>814</v>
      </c>
      <c r="C7330" s="2">
        <v>778.86220000000003</v>
      </c>
      <c r="D7330" s="2">
        <f>HYPERLINK("http://mcb-m6.bioreg.kyushu-u.ac.jp/M3/20110418/F50977/2321/1", 63)</f>
        <v>63</v>
      </c>
      <c r="E7330" s="2">
        <v>41.93</v>
      </c>
      <c r="F7330" s="2">
        <v>2</v>
      </c>
      <c r="G7330" s="2" t="s">
        <v>11</v>
      </c>
    </row>
    <row r="7331" spans="1:9" x14ac:dyDescent="0.2">
      <c r="A7331" s="2" t="s">
        <v>3369</v>
      </c>
      <c r="B7331" s="2" t="s">
        <v>5199</v>
      </c>
      <c r="C7331" s="2">
        <v>880.01260000000002</v>
      </c>
      <c r="D7331" s="2">
        <f>HYPERLINK("http://mcb-m6.bioreg.kyushu-u.ac.jp/M3/20110418/F50977/2877/1", 70.79)</f>
        <v>70.790000000000006</v>
      </c>
      <c r="E7331" s="2">
        <v>47.14</v>
      </c>
      <c r="F7331" s="2">
        <v>2</v>
      </c>
      <c r="G7331" s="2" t="s">
        <v>11</v>
      </c>
    </row>
    <row r="7332" spans="1:9" x14ac:dyDescent="0.2">
      <c r="A7332" s="2" t="s">
        <v>3369</v>
      </c>
      <c r="B7332" s="2" t="s">
        <v>1317</v>
      </c>
      <c r="C7332" s="2">
        <v>613.64009999999996</v>
      </c>
      <c r="D7332" s="2">
        <f>HYPERLINK("http://mcb-m6.bioreg.kyushu-u.ac.jp/M3/20110418/F50974/1483/1", 71.97)</f>
        <v>71.97</v>
      </c>
      <c r="E7332" s="2">
        <v>51.41</v>
      </c>
      <c r="F7332" s="2">
        <v>2</v>
      </c>
      <c r="G7332" s="2" t="s">
        <v>11</v>
      </c>
    </row>
    <row r="7333" spans="1:9" x14ac:dyDescent="0.2">
      <c r="A7333" s="2" t="s">
        <v>3369</v>
      </c>
      <c r="B7333" s="2" t="s">
        <v>5421</v>
      </c>
      <c r="C7333" s="2">
        <v>917.33320000000003</v>
      </c>
      <c r="D7333" s="2">
        <f>HYPERLINK("http://mcb-m6.bioreg.kyushu-u.ac.jp/M3/20110418/F50977/3060/1", 77.28)</f>
        <v>77.28</v>
      </c>
      <c r="E7333" s="2">
        <v>69.23</v>
      </c>
      <c r="F7333" s="2">
        <v>2</v>
      </c>
      <c r="G7333" s="2" t="s">
        <v>11</v>
      </c>
    </row>
    <row r="7334" spans="1:9" x14ac:dyDescent="0.2">
      <c r="A7334" s="2" t="s">
        <v>3369</v>
      </c>
      <c r="B7334" s="2" t="s">
        <v>5376</v>
      </c>
      <c r="C7334" s="2">
        <v>731.74469999999997</v>
      </c>
      <c r="D7334" s="2">
        <f>HYPERLINK("http://mcb-m6.bioreg.kyushu-u.ac.jp/M3/20110418/F50977/2024/1", 79.83)</f>
        <v>79.83</v>
      </c>
      <c r="E7334" s="2">
        <v>59.26</v>
      </c>
      <c r="F7334" s="2">
        <v>2</v>
      </c>
      <c r="G7334" s="2" t="s">
        <v>11</v>
      </c>
      <c r="H7334" s="2" t="s">
        <v>4925</v>
      </c>
    </row>
    <row r="7335" spans="1:9" x14ac:dyDescent="0.2">
      <c r="A7335" s="2" t="s">
        <v>3369</v>
      </c>
      <c r="B7335" s="2" t="s">
        <v>2501</v>
      </c>
      <c r="C7335" s="2">
        <v>803.29219999999998</v>
      </c>
      <c r="D7335" s="2">
        <f>HYPERLINK("http://mcb-m6.bioreg.kyushu-u.ac.jp/M3/20110418/F50978/2391/1", 84.4)</f>
        <v>84.4</v>
      </c>
      <c r="E7335" s="2">
        <v>64.58</v>
      </c>
      <c r="F7335" s="2">
        <v>2</v>
      </c>
      <c r="G7335" s="2" t="s">
        <v>11</v>
      </c>
    </row>
    <row r="7336" spans="1:9" x14ac:dyDescent="0.2">
      <c r="A7336" s="2" t="s">
        <v>3369</v>
      </c>
      <c r="B7336" s="2" t="s">
        <v>1495</v>
      </c>
      <c r="C7336" s="2">
        <v>834.23419999999999</v>
      </c>
      <c r="D7336" s="2">
        <f>HYPERLINK("http://mcb-m6.bioreg.kyushu-u.ac.jp/M3/20110418/F50977/2663/1", 85.86)</f>
        <v>85.86</v>
      </c>
      <c r="E7336" s="2">
        <v>73.56</v>
      </c>
      <c r="F7336" s="2">
        <v>2</v>
      </c>
      <c r="G7336" s="2" t="s">
        <v>11</v>
      </c>
      <c r="I7336" s="2" t="s">
        <v>4899</v>
      </c>
    </row>
    <row r="7337" spans="1:9" x14ac:dyDescent="0.2">
      <c r="A7337" s="2" t="s">
        <v>3369</v>
      </c>
      <c r="B7337" s="2" t="s">
        <v>1317</v>
      </c>
      <c r="C7337" s="2">
        <v>613.78520000000003</v>
      </c>
      <c r="D7337" s="2">
        <f>HYPERLINK("http://mcb-m6.bioreg.kyushu-u.ac.jp/M3/20110418/F50987/1789/1", 75.35)</f>
        <v>75.349999999999994</v>
      </c>
      <c r="E7337" s="2">
        <v>56.55</v>
      </c>
      <c r="F7337" s="2">
        <v>2</v>
      </c>
      <c r="G7337" s="2" t="s">
        <v>12</v>
      </c>
    </row>
    <row r="7338" spans="1:9" x14ac:dyDescent="0.2">
      <c r="A7338" s="2" t="s">
        <v>3369</v>
      </c>
      <c r="B7338" s="2" t="s">
        <v>2331</v>
      </c>
      <c r="C7338" s="2">
        <v>478.34359999999998</v>
      </c>
      <c r="D7338" s="2">
        <f>HYPERLINK("http://mcb-m6.bioreg.kyushu-u.ac.jp/M3/20110502/F51164/548/1", 40.58)</f>
        <v>40.58</v>
      </c>
      <c r="E7338" s="2">
        <v>12.37</v>
      </c>
      <c r="F7338" s="2">
        <v>2</v>
      </c>
      <c r="G7338" s="2" t="s">
        <v>13</v>
      </c>
    </row>
    <row r="7339" spans="1:9" x14ac:dyDescent="0.2">
      <c r="A7339" s="2" t="s">
        <v>3369</v>
      </c>
      <c r="B7339" s="2" t="s">
        <v>2331</v>
      </c>
      <c r="C7339" s="2">
        <v>478.21660000000003</v>
      </c>
      <c r="D7339" s="2">
        <f>HYPERLINK("http://mcb-m6.bioreg.kyushu-u.ac.jp/M3/20110429/F51154/656/1", 43.07)</f>
        <v>43.07</v>
      </c>
      <c r="E7339" s="2">
        <v>12.62</v>
      </c>
      <c r="F7339" s="2">
        <v>2</v>
      </c>
      <c r="G7339" s="2" t="s">
        <v>13</v>
      </c>
    </row>
    <row r="7340" spans="1:9" x14ac:dyDescent="0.2">
      <c r="A7340" s="2" t="s">
        <v>3369</v>
      </c>
      <c r="B7340" s="2" t="s">
        <v>2501</v>
      </c>
      <c r="C7340" s="2">
        <v>803.4692</v>
      </c>
      <c r="D7340" s="2">
        <f>HYPERLINK("http://mcb-m6.bioreg.kyushu-u.ac.jp/M3/20110502/F51164/2059/1", 63.92)</f>
        <v>63.92</v>
      </c>
      <c r="E7340" s="2">
        <v>49.05</v>
      </c>
      <c r="F7340" s="2">
        <v>2</v>
      </c>
      <c r="G7340" s="2" t="s">
        <v>13</v>
      </c>
    </row>
    <row r="7341" spans="1:9" x14ac:dyDescent="0.2">
      <c r="A7341" s="2" t="s">
        <v>3369</v>
      </c>
      <c r="B7341" s="2" t="s">
        <v>5199</v>
      </c>
      <c r="C7341" s="2">
        <v>880.39120000000003</v>
      </c>
      <c r="D7341" s="2">
        <f>HYPERLINK("http://mcb-m6.bioreg.kyushu-u.ac.jp/M3/20110502/F51164/2409/1", 63.97)</f>
        <v>63.97</v>
      </c>
      <c r="E7341" s="2">
        <v>38.49</v>
      </c>
      <c r="F7341" s="2">
        <v>2</v>
      </c>
      <c r="G7341" s="2" t="s">
        <v>13</v>
      </c>
    </row>
    <row r="7342" spans="1:9" x14ac:dyDescent="0.2">
      <c r="A7342" s="2" t="s">
        <v>3369</v>
      </c>
      <c r="B7342" s="2" t="s">
        <v>161</v>
      </c>
      <c r="C7342" s="2">
        <v>830.37070000000006</v>
      </c>
      <c r="D7342" s="2">
        <f>HYPERLINK("http://mcb-m6.bioreg.kyushu-u.ac.jp/M3/20110429/F51154/2525/1", 72.09)</f>
        <v>72.09</v>
      </c>
      <c r="E7342" s="2">
        <v>56.37</v>
      </c>
      <c r="F7342" s="2">
        <v>2</v>
      </c>
      <c r="G7342" s="2" t="s">
        <v>13</v>
      </c>
    </row>
    <row r="7343" spans="1:9" x14ac:dyDescent="0.2">
      <c r="A7343" s="2" t="s">
        <v>3369</v>
      </c>
      <c r="B7343" s="2" t="s">
        <v>5376</v>
      </c>
      <c r="C7343" s="2">
        <v>723.88570000000004</v>
      </c>
      <c r="D7343" s="2">
        <f>HYPERLINK("http://mcb-m6.bioreg.kyushu-u.ac.jp/M3/20110502/F51164/1644/1", 82.3)</f>
        <v>82.3</v>
      </c>
      <c r="E7343" s="2">
        <v>58.28</v>
      </c>
      <c r="F7343" s="2">
        <v>2</v>
      </c>
      <c r="G7343" s="2" t="s">
        <v>13</v>
      </c>
    </row>
    <row r="7344" spans="1:9" x14ac:dyDescent="0.2">
      <c r="A7344" s="2" t="s">
        <v>3369</v>
      </c>
      <c r="B7344" s="2" t="s">
        <v>1495</v>
      </c>
      <c r="C7344" s="2">
        <v>834.91470000000004</v>
      </c>
      <c r="D7344" s="2">
        <f>HYPERLINK("http://mcb-m6.bioreg.kyushu-u.ac.jp/M3/20110502/F51164/2210/1", 89.57)</f>
        <v>89.57</v>
      </c>
      <c r="E7344" s="2">
        <v>74.930000000000007</v>
      </c>
      <c r="F7344" s="2">
        <v>2</v>
      </c>
      <c r="G7344" s="2" t="s">
        <v>13</v>
      </c>
      <c r="I7344" s="2" t="s">
        <v>4899</v>
      </c>
    </row>
    <row r="7345" spans="1:9" x14ac:dyDescent="0.2">
      <c r="A7345" s="2" t="s">
        <v>3369</v>
      </c>
      <c r="B7345" s="2" t="s">
        <v>161</v>
      </c>
      <c r="C7345" s="2">
        <v>830.19169999999997</v>
      </c>
      <c r="D7345" s="2">
        <f>HYPERLINK("http://mcb-m6.bioreg.kyushu-u.ac.jp/M3/20110502/F51164/2189/1", 93.5)</f>
        <v>93.5</v>
      </c>
      <c r="E7345" s="2">
        <v>76.319999999999993</v>
      </c>
      <c r="F7345" s="2">
        <v>2</v>
      </c>
      <c r="G7345" s="2" t="s">
        <v>13</v>
      </c>
    </row>
    <row r="7346" spans="1:9" x14ac:dyDescent="0.2">
      <c r="A7346" s="2" t="s">
        <v>3369</v>
      </c>
      <c r="B7346" s="2" t="s">
        <v>2501</v>
      </c>
      <c r="C7346" s="2">
        <v>803.97170000000006</v>
      </c>
      <c r="D7346" s="2">
        <f>HYPERLINK("http://mcb-m6.bioreg.kyushu-u.ac.jp/M3/20110502/F51164/2060/1", 104.38)</f>
        <v>104.38</v>
      </c>
      <c r="E7346" s="2">
        <v>89.64</v>
      </c>
      <c r="F7346" s="2">
        <v>2</v>
      </c>
      <c r="G7346" s="2" t="s">
        <v>13</v>
      </c>
    </row>
    <row r="7347" spans="1:9" x14ac:dyDescent="0.2">
      <c r="A7347" s="2" t="s">
        <v>3369</v>
      </c>
      <c r="B7347" s="2" t="s">
        <v>5194</v>
      </c>
      <c r="C7347" s="2">
        <v>1074.5530000000001</v>
      </c>
      <c r="D7347" s="2">
        <f>HYPERLINK("http://mcb-m6.bioreg.kyushu-u.ac.jp/M3/20110502/F51164/3075/1", 123.29)</f>
        <v>123.29</v>
      </c>
      <c r="E7347" s="2">
        <v>106.12</v>
      </c>
      <c r="F7347" s="2">
        <v>2</v>
      </c>
      <c r="G7347" s="2" t="s">
        <v>13</v>
      </c>
    </row>
    <row r="7348" spans="1:9" x14ac:dyDescent="0.2">
      <c r="A7348" s="2" t="s">
        <v>5698</v>
      </c>
      <c r="B7348" s="2" t="s">
        <v>5232</v>
      </c>
      <c r="C7348" s="2">
        <v>651.19590000000005</v>
      </c>
      <c r="D7348" s="2">
        <f>HYPERLINK("http://mcb-m6.bioreg.kyushu-u.ac.jp/M3/20110318/F50596/2298/1", 37.96)</f>
        <v>37.96</v>
      </c>
      <c r="E7348" s="2">
        <v>30.1</v>
      </c>
      <c r="F7348" s="2">
        <v>3</v>
      </c>
      <c r="G7348" s="2" t="s">
        <v>10</v>
      </c>
    </row>
    <row r="7349" spans="1:9" x14ac:dyDescent="0.2">
      <c r="A7349" s="2" t="s">
        <v>3675</v>
      </c>
      <c r="B7349" s="2" t="s">
        <v>2427</v>
      </c>
      <c r="C7349" s="2">
        <v>912.34559999999999</v>
      </c>
      <c r="D7349" s="2">
        <f>HYPERLINK("http://mcb-m6.bioreg.kyushu-u.ac.jp/M3/20110318/F50611/2231/1", 37.7)</f>
        <v>37.700000000000003</v>
      </c>
      <c r="E7349" s="2">
        <v>29.51</v>
      </c>
      <c r="F7349" s="2">
        <v>2</v>
      </c>
      <c r="G7349" s="2" t="s">
        <v>10</v>
      </c>
      <c r="I7349" s="2" t="s">
        <v>4909</v>
      </c>
    </row>
    <row r="7350" spans="1:9" x14ac:dyDescent="0.2">
      <c r="A7350" s="2" t="s">
        <v>3675</v>
      </c>
      <c r="B7350" s="2" t="s">
        <v>628</v>
      </c>
      <c r="C7350" s="2">
        <v>657.52760000000001</v>
      </c>
      <c r="D7350" s="2">
        <f>HYPERLINK("http://mcb-m6.bioreg.kyushu-u.ac.jp/M3/20110318/F50596/1365/1", 67.1)</f>
        <v>67.099999999999994</v>
      </c>
      <c r="E7350" s="2">
        <v>42.04</v>
      </c>
      <c r="F7350" s="2">
        <v>2</v>
      </c>
      <c r="G7350" s="2" t="s">
        <v>10</v>
      </c>
    </row>
    <row r="7351" spans="1:9" x14ac:dyDescent="0.2">
      <c r="A7351" s="2" t="s">
        <v>3675</v>
      </c>
      <c r="B7351" s="2" t="s">
        <v>2427</v>
      </c>
      <c r="C7351" s="2">
        <v>911.78809999999999</v>
      </c>
      <c r="D7351" s="2">
        <f>HYPERLINK("http://mcb-m6.bioreg.kyushu-u.ac.jp/M3/20110429/F51154/2942/1", 62.83)</f>
        <v>62.83</v>
      </c>
      <c r="E7351" s="2">
        <v>48.73</v>
      </c>
      <c r="F7351" s="2">
        <v>2</v>
      </c>
      <c r="G7351" s="2" t="s">
        <v>13</v>
      </c>
      <c r="I7351" s="2" t="s">
        <v>4909</v>
      </c>
    </row>
    <row r="7352" spans="1:9" x14ac:dyDescent="0.2">
      <c r="A7352" s="2" t="s">
        <v>3675</v>
      </c>
      <c r="B7352" s="2" t="s">
        <v>2427</v>
      </c>
      <c r="C7352" s="2">
        <v>912.31569999999999</v>
      </c>
      <c r="D7352" s="2">
        <f>HYPERLINK("http://mcb-m6.bioreg.kyushu-u.ac.jp/M3/20110429/F51154/2949/1", 63.86)</f>
        <v>63.86</v>
      </c>
      <c r="E7352" s="2">
        <v>50.76</v>
      </c>
      <c r="F7352" s="2">
        <v>2</v>
      </c>
      <c r="G7352" s="2" t="s">
        <v>13</v>
      </c>
      <c r="I7352" s="2" t="s">
        <v>4909</v>
      </c>
    </row>
    <row r="7353" spans="1:9" x14ac:dyDescent="0.2">
      <c r="A7353" s="2" t="s">
        <v>5688</v>
      </c>
      <c r="B7353" s="2" t="s">
        <v>5219</v>
      </c>
      <c r="C7353" s="2">
        <v>712.34010000000001</v>
      </c>
      <c r="D7353" s="2">
        <f>HYPERLINK("http://mcb-m6.bioreg.kyushu-u.ac.jp/M3/20110318/F50612/1438/1", 36.49)</f>
        <v>36.49</v>
      </c>
      <c r="E7353" s="2">
        <v>21.59</v>
      </c>
      <c r="F7353" s="2">
        <v>2</v>
      </c>
      <c r="G7353" s="2" t="s">
        <v>10</v>
      </c>
    </row>
    <row r="7354" spans="1:9" x14ac:dyDescent="0.2">
      <c r="A7354" s="2" t="s">
        <v>5688</v>
      </c>
      <c r="B7354" s="2" t="s">
        <v>5547</v>
      </c>
      <c r="C7354" s="2">
        <v>689.24770000000001</v>
      </c>
      <c r="D7354" s="2">
        <f>HYPERLINK("http://mcb-m6.bioreg.kyushu-u.ac.jp/M3/20110429/F51153/1627/1", 68.42)</f>
        <v>68.42</v>
      </c>
      <c r="E7354" s="2">
        <v>38.58</v>
      </c>
      <c r="F7354" s="2">
        <v>2</v>
      </c>
      <c r="G7354" s="2" t="s">
        <v>13</v>
      </c>
    </row>
    <row r="7355" spans="1:9" x14ac:dyDescent="0.2">
      <c r="A7355" s="2" t="s">
        <v>5827</v>
      </c>
      <c r="B7355" s="2" t="s">
        <v>5509</v>
      </c>
      <c r="C7355" s="2">
        <v>665.77869999999996</v>
      </c>
      <c r="D7355" s="2">
        <f>HYPERLINK("http://mcb-m6.bioreg.kyushu-u.ac.jp/M3/20110429/F51155/1888/1", 44.48)</f>
        <v>44.48</v>
      </c>
      <c r="E7355" s="2">
        <v>34.54</v>
      </c>
      <c r="F7355" s="2">
        <v>2</v>
      </c>
      <c r="G7355" s="2" t="s">
        <v>13</v>
      </c>
    </row>
    <row r="7356" spans="1:9" x14ac:dyDescent="0.2">
      <c r="A7356" s="2" t="s">
        <v>5827</v>
      </c>
      <c r="B7356" s="2" t="s">
        <v>5509</v>
      </c>
      <c r="C7356" s="2">
        <v>666.3066</v>
      </c>
      <c r="D7356" s="2">
        <f>HYPERLINK("http://mcb-m6.bioreg.kyushu-u.ac.jp/M3/20110429/F51155/1892/1", 57.02)</f>
        <v>57.02</v>
      </c>
      <c r="E7356" s="2">
        <v>43.95</v>
      </c>
      <c r="F7356" s="2">
        <v>2</v>
      </c>
      <c r="G7356" s="2" t="s">
        <v>13</v>
      </c>
    </row>
    <row r="7357" spans="1:9" x14ac:dyDescent="0.2">
      <c r="A7357" s="2" t="s">
        <v>5844</v>
      </c>
      <c r="B7357" s="2" t="s">
        <v>5536</v>
      </c>
      <c r="C7357" s="2">
        <v>564.46310000000005</v>
      </c>
      <c r="D7357" s="2">
        <f>HYPERLINK("http://mcb-m6.bioreg.kyushu-u.ac.jp/M3/20110429/F51156/1187/1", 58.19)</f>
        <v>58.19</v>
      </c>
      <c r="E7357" s="2">
        <v>37.25</v>
      </c>
      <c r="F7357" s="2">
        <v>2</v>
      </c>
      <c r="G7357" s="2" t="s">
        <v>13</v>
      </c>
    </row>
    <row r="7358" spans="1:9" x14ac:dyDescent="0.2">
      <c r="A7358" s="2" t="s">
        <v>5670</v>
      </c>
      <c r="B7358" s="2" t="s">
        <v>5156</v>
      </c>
      <c r="C7358" s="2">
        <v>881.43449999999996</v>
      </c>
      <c r="D7358" s="2">
        <f>HYPERLINK("http://mcb-m6.bioreg.kyushu-u.ac.jp/M3/20110318/F50607/2821/1", 70.44)</f>
        <v>70.44</v>
      </c>
      <c r="E7358" s="2">
        <v>61.18</v>
      </c>
      <c r="F7358" s="2">
        <v>3</v>
      </c>
      <c r="G7358" s="2" t="s">
        <v>9</v>
      </c>
    </row>
    <row r="7359" spans="1:9" x14ac:dyDescent="0.2">
      <c r="A7359" s="2" t="s">
        <v>5670</v>
      </c>
      <c r="B7359" s="2" t="s">
        <v>5156</v>
      </c>
      <c r="C7359" s="2">
        <v>881.40150000000006</v>
      </c>
      <c r="D7359" s="2">
        <f>HYPERLINK("http://mcb-m6.bioreg.kyushu-u.ac.jp/M3/20110318/F50600/2833/1", 71.13)</f>
        <v>71.13</v>
      </c>
      <c r="E7359" s="2">
        <v>56.92</v>
      </c>
      <c r="F7359" s="2">
        <v>3</v>
      </c>
      <c r="G7359" s="2" t="s">
        <v>10</v>
      </c>
    </row>
    <row r="7360" spans="1:9" x14ac:dyDescent="0.2">
      <c r="A7360" s="2" t="s">
        <v>5670</v>
      </c>
      <c r="B7360" s="2" t="s">
        <v>5537</v>
      </c>
      <c r="C7360" s="2">
        <v>623.11320000000001</v>
      </c>
      <c r="D7360" s="2">
        <f>HYPERLINK("http://mcb-m6.bioreg.kyushu-u.ac.jp/M3/20110429/F51151/1680/1", 59.51)</f>
        <v>59.51</v>
      </c>
      <c r="E7360" s="2">
        <v>44.02</v>
      </c>
      <c r="F7360" s="2">
        <v>2</v>
      </c>
      <c r="G7360" s="2" t="s">
        <v>13</v>
      </c>
      <c r="I7360" s="2" t="s">
        <v>5902</v>
      </c>
    </row>
    <row r="7361" spans="1:9" x14ac:dyDescent="0.2">
      <c r="A7361" s="2" t="s">
        <v>5670</v>
      </c>
      <c r="B7361" s="2" t="s">
        <v>5560</v>
      </c>
      <c r="C7361" s="2">
        <v>664.06460000000004</v>
      </c>
      <c r="D7361" s="2">
        <f>HYPERLINK("http://mcb-m6.bioreg.kyushu-u.ac.jp/M3/20110429/F51151/1800/1", 106.48)</f>
        <v>106.48</v>
      </c>
      <c r="E7361" s="2">
        <v>84.09</v>
      </c>
      <c r="F7361" s="2">
        <v>2</v>
      </c>
      <c r="G7361" s="2" t="s">
        <v>13</v>
      </c>
      <c r="I7361" s="2" t="s">
        <v>5903</v>
      </c>
    </row>
    <row r="7362" spans="1:9" x14ac:dyDescent="0.2">
      <c r="A7362" s="2" t="s">
        <v>3518</v>
      </c>
      <c r="B7362" s="2" t="s">
        <v>3051</v>
      </c>
      <c r="C7362" s="2">
        <v>669.28809999999999</v>
      </c>
      <c r="D7362" s="2">
        <f>HYPERLINK("http://mcb-m6.bioreg.kyushu-u.ac.jp/M3/20110418/F50997/1691/1", 35.86)</f>
        <v>35.86</v>
      </c>
      <c r="E7362" s="2">
        <v>16.079999999999998</v>
      </c>
      <c r="F7362" s="2">
        <v>2</v>
      </c>
      <c r="G7362" s="2" t="s">
        <v>12</v>
      </c>
    </row>
    <row r="7363" spans="1:9" x14ac:dyDescent="0.2">
      <c r="A7363" s="2" t="s">
        <v>3605</v>
      </c>
      <c r="B7363" s="2" t="s">
        <v>499</v>
      </c>
      <c r="C7363" s="2">
        <v>782.46370000000002</v>
      </c>
      <c r="D7363" s="2">
        <f>HYPERLINK("http://mcb-m6.bioreg.kyushu-u.ac.jp/M3/20110429/F51154/2249/1", 64.11)</f>
        <v>64.11</v>
      </c>
      <c r="E7363" s="2">
        <v>42.6</v>
      </c>
      <c r="F7363" s="2">
        <v>2</v>
      </c>
      <c r="G7363" s="2" t="s">
        <v>13</v>
      </c>
    </row>
    <row r="7364" spans="1:9" x14ac:dyDescent="0.2">
      <c r="A7364" s="2" t="s">
        <v>3605</v>
      </c>
      <c r="B7364" s="2" t="s">
        <v>499</v>
      </c>
      <c r="C7364" s="2">
        <v>781.87660000000005</v>
      </c>
      <c r="D7364" s="2">
        <f>HYPERLINK("http://mcb-m6.bioreg.kyushu-u.ac.jp/M3/20110429/F51154/2243/1", 70.49)</f>
        <v>70.489999999999995</v>
      </c>
      <c r="E7364" s="2">
        <v>57.09</v>
      </c>
      <c r="F7364" s="2">
        <v>2</v>
      </c>
      <c r="G7364" s="2" t="s">
        <v>13</v>
      </c>
    </row>
    <row r="7365" spans="1:9" x14ac:dyDescent="0.2">
      <c r="A7365" s="2" t="s">
        <v>3253</v>
      </c>
      <c r="B7365" s="2" t="s">
        <v>471</v>
      </c>
      <c r="C7365" s="2">
        <v>605.04819999999995</v>
      </c>
      <c r="D7365" s="2">
        <f>HYPERLINK("http://mcb-m6.bioreg.kyushu-u.ac.jp/M3/20110318/F50604/1263/1", 39.22)</f>
        <v>39.22</v>
      </c>
      <c r="E7365" s="2">
        <v>17.440000000000001</v>
      </c>
      <c r="F7365" s="2">
        <v>2</v>
      </c>
      <c r="G7365" s="2" t="s">
        <v>9</v>
      </c>
    </row>
    <row r="7366" spans="1:9" x14ac:dyDescent="0.2">
      <c r="A7366" s="2" t="s">
        <v>3253</v>
      </c>
      <c r="B7366" s="2" t="s">
        <v>2909</v>
      </c>
      <c r="C7366" s="2">
        <v>475.04809999999998</v>
      </c>
      <c r="D7366" s="2">
        <f>HYPERLINK("http://mcb-m6.bioreg.kyushu-u.ac.jp/M3/20110318/F50604/1005/1", 41.61)</f>
        <v>41.61</v>
      </c>
      <c r="E7366" s="2">
        <v>24.1</v>
      </c>
      <c r="F7366" s="2">
        <v>2</v>
      </c>
      <c r="G7366" s="2" t="s">
        <v>9</v>
      </c>
    </row>
    <row r="7367" spans="1:9" x14ac:dyDescent="0.2">
      <c r="A7367" s="2" t="s">
        <v>3253</v>
      </c>
      <c r="B7367" s="2" t="s">
        <v>33</v>
      </c>
      <c r="C7367" s="2">
        <v>584.98109999999997</v>
      </c>
      <c r="D7367" s="2">
        <f>HYPERLINK("http://mcb-m6.bioreg.kyushu-u.ac.jp/M3/20110318/F50604/1231/1", 51.48)</f>
        <v>51.48</v>
      </c>
      <c r="E7367" s="2">
        <v>36.17</v>
      </c>
      <c r="F7367" s="2">
        <v>2</v>
      </c>
      <c r="G7367" s="2" t="s">
        <v>9</v>
      </c>
    </row>
    <row r="7368" spans="1:9" x14ac:dyDescent="0.2">
      <c r="A7368" s="2" t="s">
        <v>3253</v>
      </c>
      <c r="B7368" s="2" t="s">
        <v>853</v>
      </c>
      <c r="C7368" s="2">
        <v>618.48659999999995</v>
      </c>
      <c r="D7368" s="2">
        <f>HYPERLINK("http://mcb-m6.bioreg.kyushu-u.ac.jp/M3/20110318/F50604/1292/1", 58.25)</f>
        <v>58.25</v>
      </c>
      <c r="E7368" s="2">
        <v>40.909999999999997</v>
      </c>
      <c r="F7368" s="2">
        <v>2</v>
      </c>
      <c r="G7368" s="2" t="s">
        <v>9</v>
      </c>
    </row>
    <row r="7369" spans="1:9" x14ac:dyDescent="0.2">
      <c r="A7369" s="2" t="s">
        <v>3253</v>
      </c>
      <c r="B7369" s="2" t="s">
        <v>5147</v>
      </c>
      <c r="C7369" s="2">
        <v>594.85770000000002</v>
      </c>
      <c r="D7369" s="2">
        <f>HYPERLINK("http://mcb-m6.bioreg.kyushu-u.ac.jp/M3/20110318/F50604/1248/1", 68.59)</f>
        <v>68.59</v>
      </c>
      <c r="E7369" s="2">
        <v>49.31</v>
      </c>
      <c r="F7369" s="2">
        <v>2</v>
      </c>
      <c r="G7369" s="2" t="s">
        <v>9</v>
      </c>
    </row>
    <row r="7370" spans="1:9" x14ac:dyDescent="0.2">
      <c r="A7370" s="2" t="s">
        <v>3253</v>
      </c>
      <c r="B7370" s="2" t="s">
        <v>1465</v>
      </c>
      <c r="C7370" s="2">
        <v>917.52919999999995</v>
      </c>
      <c r="D7370" s="2">
        <f>HYPERLINK("http://mcb-m6.bioreg.kyushu-u.ac.jp/M3/20110318/F50604/1976/1", 80.65)</f>
        <v>80.650000000000006</v>
      </c>
      <c r="E7370" s="2">
        <v>61.06</v>
      </c>
      <c r="F7370" s="2">
        <v>2</v>
      </c>
      <c r="G7370" s="2" t="s">
        <v>9</v>
      </c>
    </row>
    <row r="7371" spans="1:9" x14ac:dyDescent="0.2">
      <c r="A7371" s="2" t="s">
        <v>3253</v>
      </c>
      <c r="B7371" s="2" t="s">
        <v>1465</v>
      </c>
      <c r="C7371" s="2">
        <v>917.60820000000001</v>
      </c>
      <c r="D7371" s="2">
        <f>HYPERLINK("http://mcb-m6.bioreg.kyushu-u.ac.jp/M3/20110318/F50605/2256/1", 80.69)</f>
        <v>80.69</v>
      </c>
      <c r="E7371" s="2">
        <v>68.36</v>
      </c>
      <c r="F7371" s="2">
        <v>2</v>
      </c>
      <c r="G7371" s="2" t="s">
        <v>9</v>
      </c>
    </row>
    <row r="7372" spans="1:9" x14ac:dyDescent="0.2">
      <c r="A7372" s="2" t="s">
        <v>3253</v>
      </c>
      <c r="B7372" s="2" t="s">
        <v>1445</v>
      </c>
      <c r="C7372" s="2">
        <v>771.56269999999995</v>
      </c>
      <c r="D7372" s="2">
        <f>HYPERLINK("http://mcb-m6.bioreg.kyushu-u.ac.jp/M3/20110318/F50604/1657/1", 89.67)</f>
        <v>89.67</v>
      </c>
      <c r="E7372" s="2">
        <v>68.67</v>
      </c>
      <c r="F7372" s="2">
        <v>2</v>
      </c>
      <c r="G7372" s="2" t="s">
        <v>9</v>
      </c>
    </row>
    <row r="7373" spans="1:9" x14ac:dyDescent="0.2">
      <c r="A7373" s="2" t="s">
        <v>3253</v>
      </c>
      <c r="B7373" s="2" t="s">
        <v>2909</v>
      </c>
      <c r="C7373" s="2">
        <v>474.80509999999998</v>
      </c>
      <c r="D7373" s="2">
        <f>HYPERLINK("http://mcb-m6.bioreg.kyushu-u.ac.jp/M3/20110318/F50612/923/1", 41.78)</f>
        <v>41.78</v>
      </c>
      <c r="E7373" s="2">
        <v>17.510000000000002</v>
      </c>
      <c r="F7373" s="2">
        <v>2</v>
      </c>
      <c r="G7373" s="2" t="s">
        <v>10</v>
      </c>
    </row>
    <row r="7374" spans="1:9" x14ac:dyDescent="0.2">
      <c r="A7374" s="2" t="s">
        <v>3253</v>
      </c>
      <c r="B7374" s="2" t="s">
        <v>853</v>
      </c>
      <c r="C7374" s="2">
        <v>618.27970000000005</v>
      </c>
      <c r="D7374" s="2">
        <f>HYPERLINK("http://mcb-m6.bioreg.kyushu-u.ac.jp/M3/20110318/F50613/1230/1", 41.83)</f>
        <v>41.83</v>
      </c>
      <c r="E7374" s="2">
        <v>29.35</v>
      </c>
      <c r="F7374" s="2">
        <v>2</v>
      </c>
      <c r="G7374" s="2" t="s">
        <v>10</v>
      </c>
    </row>
    <row r="7375" spans="1:9" x14ac:dyDescent="0.2">
      <c r="A7375" s="2" t="s">
        <v>3253</v>
      </c>
      <c r="B7375" s="2" t="s">
        <v>5271</v>
      </c>
      <c r="C7375" s="2">
        <v>482.73009999999999</v>
      </c>
      <c r="D7375" s="2">
        <f>HYPERLINK("http://mcb-m6.bioreg.kyushu-u.ac.jp/M3/20110318/F50612/952/1", 45.32)</f>
        <v>45.32</v>
      </c>
      <c r="E7375" s="2">
        <v>23.61</v>
      </c>
      <c r="F7375" s="2">
        <v>2</v>
      </c>
      <c r="G7375" s="2" t="s">
        <v>10</v>
      </c>
    </row>
    <row r="7376" spans="1:9" x14ac:dyDescent="0.2">
      <c r="A7376" s="2" t="s">
        <v>3253</v>
      </c>
      <c r="B7376" s="2" t="s">
        <v>1445</v>
      </c>
      <c r="C7376" s="2">
        <v>771.90419999999995</v>
      </c>
      <c r="D7376" s="2">
        <f>HYPERLINK("http://mcb-m6.bioreg.kyushu-u.ac.jp/M3/20110318/F50613/1800/1", 45.49)</f>
        <v>45.49</v>
      </c>
      <c r="E7376" s="2">
        <v>21.55</v>
      </c>
      <c r="F7376" s="2">
        <v>2</v>
      </c>
      <c r="G7376" s="2" t="s">
        <v>10</v>
      </c>
    </row>
    <row r="7377" spans="1:8" x14ac:dyDescent="0.2">
      <c r="A7377" s="2" t="s">
        <v>3253</v>
      </c>
      <c r="B7377" s="2" t="s">
        <v>471</v>
      </c>
      <c r="C7377" s="2">
        <v>604.97019999999998</v>
      </c>
      <c r="D7377" s="2">
        <f>HYPERLINK("http://mcb-m6.bioreg.kyushu-u.ac.jp/M3/20110318/F50612/1201/1", 46.9)</f>
        <v>46.9</v>
      </c>
      <c r="E7377" s="2">
        <v>32.92</v>
      </c>
      <c r="F7377" s="2">
        <v>2</v>
      </c>
      <c r="G7377" s="2" t="s">
        <v>10</v>
      </c>
    </row>
    <row r="7378" spans="1:8" x14ac:dyDescent="0.2">
      <c r="A7378" s="2" t="s">
        <v>3253</v>
      </c>
      <c r="B7378" s="2" t="s">
        <v>33</v>
      </c>
      <c r="C7378" s="2">
        <v>584.84220000000005</v>
      </c>
      <c r="D7378" s="2">
        <f>HYPERLINK("http://mcb-m6.bioreg.kyushu-u.ac.jp/M3/20110318/F50612/1154/1", 49.54)</f>
        <v>49.54</v>
      </c>
      <c r="E7378" s="2">
        <v>31.88</v>
      </c>
      <c r="F7378" s="2">
        <v>2</v>
      </c>
      <c r="G7378" s="2" t="s">
        <v>10</v>
      </c>
    </row>
    <row r="7379" spans="1:8" x14ac:dyDescent="0.2">
      <c r="A7379" s="2" t="s">
        <v>3253</v>
      </c>
      <c r="B7379" s="2" t="s">
        <v>5292</v>
      </c>
      <c r="C7379" s="2">
        <v>784.22469999999998</v>
      </c>
      <c r="D7379" s="2">
        <f>HYPERLINK("http://mcb-m6.bioreg.kyushu-u.ac.jp/M3/20110318/F50612/1727/1", 49.77)</f>
        <v>49.77</v>
      </c>
      <c r="E7379" s="2">
        <v>31.88</v>
      </c>
      <c r="F7379" s="2">
        <v>2</v>
      </c>
      <c r="G7379" s="2" t="s">
        <v>10</v>
      </c>
      <c r="H7379" s="2" t="s">
        <v>4919</v>
      </c>
    </row>
    <row r="7380" spans="1:8" x14ac:dyDescent="0.2">
      <c r="A7380" s="2" t="s">
        <v>3253</v>
      </c>
      <c r="B7380" s="2" t="s">
        <v>593</v>
      </c>
      <c r="C7380" s="2">
        <v>890.35820000000001</v>
      </c>
      <c r="D7380" s="2">
        <f>HYPERLINK("http://mcb-m6.bioreg.kyushu-u.ac.jp/M3/20110318/F50612/1992/1", 50.54)</f>
        <v>50.54</v>
      </c>
      <c r="E7380" s="2">
        <v>41.01</v>
      </c>
      <c r="F7380" s="2">
        <v>2</v>
      </c>
      <c r="G7380" s="2" t="s">
        <v>10</v>
      </c>
    </row>
    <row r="7381" spans="1:8" x14ac:dyDescent="0.2">
      <c r="A7381" s="2" t="s">
        <v>3253</v>
      </c>
      <c r="B7381" s="2" t="s">
        <v>853</v>
      </c>
      <c r="C7381" s="2">
        <v>618.75620000000004</v>
      </c>
      <c r="D7381" s="2">
        <f>HYPERLINK("http://mcb-m6.bioreg.kyushu-u.ac.jp/M3/20110318/F50612/1232/1", 56.53)</f>
        <v>56.53</v>
      </c>
      <c r="E7381" s="2">
        <v>38.700000000000003</v>
      </c>
      <c r="F7381" s="2">
        <v>2</v>
      </c>
      <c r="G7381" s="2" t="s">
        <v>10</v>
      </c>
    </row>
    <row r="7382" spans="1:8" x14ac:dyDescent="0.2">
      <c r="A7382" s="2" t="s">
        <v>3253</v>
      </c>
      <c r="B7382" s="2" t="s">
        <v>5147</v>
      </c>
      <c r="C7382" s="2">
        <v>594.80719999999997</v>
      </c>
      <c r="D7382" s="2">
        <f>HYPERLINK("http://mcb-m6.bioreg.kyushu-u.ac.jp/M3/20110318/F50612/1175/1", 58)</f>
        <v>58</v>
      </c>
      <c r="E7382" s="2">
        <v>39.33</v>
      </c>
      <c r="F7382" s="2">
        <v>2</v>
      </c>
      <c r="G7382" s="2" t="s">
        <v>10</v>
      </c>
    </row>
    <row r="7383" spans="1:8" x14ac:dyDescent="0.2">
      <c r="A7383" s="2" t="s">
        <v>3253</v>
      </c>
      <c r="B7383" s="2" t="s">
        <v>5331</v>
      </c>
      <c r="C7383" s="2">
        <v>555.34720000000004</v>
      </c>
      <c r="D7383" s="2">
        <f>HYPERLINK("http://mcb-m6.bioreg.kyushu-u.ac.jp/M3/20110318/F50612/1097/1", 65.02)</f>
        <v>65.02</v>
      </c>
      <c r="E7383" s="2">
        <v>46.27</v>
      </c>
      <c r="F7383" s="2">
        <v>2</v>
      </c>
      <c r="G7383" s="2" t="s">
        <v>10</v>
      </c>
    </row>
    <row r="7384" spans="1:8" x14ac:dyDescent="0.2">
      <c r="A7384" s="2" t="s">
        <v>3253</v>
      </c>
      <c r="B7384" s="2" t="s">
        <v>853</v>
      </c>
      <c r="C7384" s="2">
        <v>617.95820000000003</v>
      </c>
      <c r="D7384" s="2">
        <f>HYPERLINK("http://mcb-m6.bioreg.kyushu-u.ac.jp/M3/20110318/F50612/1230/1", 72.83)</f>
        <v>72.83</v>
      </c>
      <c r="E7384" s="2">
        <v>53.7</v>
      </c>
      <c r="F7384" s="2">
        <v>2</v>
      </c>
      <c r="G7384" s="2" t="s">
        <v>10</v>
      </c>
    </row>
    <row r="7385" spans="1:8" x14ac:dyDescent="0.2">
      <c r="A7385" s="2" t="s">
        <v>3253</v>
      </c>
      <c r="B7385" s="2" t="s">
        <v>1465</v>
      </c>
      <c r="C7385" s="2">
        <v>917.32510000000002</v>
      </c>
      <c r="D7385" s="2">
        <f>HYPERLINK("http://mcb-m6.bioreg.kyushu-u.ac.jp/M3/20110318/F50612/2062/1", 74.11)</f>
        <v>74.11</v>
      </c>
      <c r="E7385" s="2">
        <v>57.54</v>
      </c>
      <c r="F7385" s="2">
        <v>2</v>
      </c>
      <c r="G7385" s="2" t="s">
        <v>10</v>
      </c>
    </row>
    <row r="7386" spans="1:8" x14ac:dyDescent="0.2">
      <c r="A7386" s="2" t="s">
        <v>3253</v>
      </c>
      <c r="B7386" s="2" t="s">
        <v>1465</v>
      </c>
      <c r="C7386" s="2">
        <v>917.37919999999997</v>
      </c>
      <c r="D7386" s="2">
        <f>HYPERLINK("http://mcb-m6.bioreg.kyushu-u.ac.jp/M3/20110318/F50613/2329/1", 87.64)</f>
        <v>87.64</v>
      </c>
      <c r="E7386" s="2">
        <v>68.87</v>
      </c>
      <c r="F7386" s="2">
        <v>2</v>
      </c>
      <c r="G7386" s="2" t="s">
        <v>10</v>
      </c>
    </row>
    <row r="7387" spans="1:8" x14ac:dyDescent="0.2">
      <c r="A7387" s="2" t="s">
        <v>3253</v>
      </c>
      <c r="B7387" s="2" t="s">
        <v>2909</v>
      </c>
      <c r="C7387" s="2">
        <v>475.16559999999998</v>
      </c>
      <c r="D7387" s="2">
        <f>HYPERLINK("http://mcb-m6.bioreg.kyushu-u.ac.jp/M3/20110418/F50977/808/1", 51.12)</f>
        <v>51.12</v>
      </c>
      <c r="E7387" s="2">
        <v>23.59</v>
      </c>
      <c r="F7387" s="2">
        <v>2</v>
      </c>
      <c r="G7387" s="2" t="s">
        <v>11</v>
      </c>
    </row>
    <row r="7388" spans="1:8" x14ac:dyDescent="0.2">
      <c r="A7388" s="2" t="s">
        <v>3253</v>
      </c>
      <c r="B7388" s="2" t="s">
        <v>1465</v>
      </c>
      <c r="C7388" s="2">
        <v>917.38210000000004</v>
      </c>
      <c r="D7388" s="2">
        <f>HYPERLINK("http://mcb-m6.bioreg.kyushu-u.ac.jp/M3/20110418/F50976/2989/1", 74.08)</f>
        <v>74.08</v>
      </c>
      <c r="E7388" s="2">
        <v>59.31</v>
      </c>
      <c r="F7388" s="2">
        <v>2</v>
      </c>
      <c r="G7388" s="2" t="s">
        <v>11</v>
      </c>
    </row>
    <row r="7389" spans="1:8" x14ac:dyDescent="0.2">
      <c r="A7389" s="2" t="s">
        <v>3253</v>
      </c>
      <c r="B7389" s="2" t="s">
        <v>1465</v>
      </c>
      <c r="C7389" s="2">
        <v>917.84619999999995</v>
      </c>
      <c r="D7389" s="2">
        <f>HYPERLINK("http://mcb-m6.bioreg.kyushu-u.ac.jp/M3/20110418/F50977/3064/1", 88.6)</f>
        <v>88.6</v>
      </c>
      <c r="E7389" s="2">
        <v>71</v>
      </c>
      <c r="F7389" s="2">
        <v>2</v>
      </c>
      <c r="G7389" s="2" t="s">
        <v>11</v>
      </c>
    </row>
    <row r="7390" spans="1:8" x14ac:dyDescent="0.2">
      <c r="A7390" s="2" t="s">
        <v>3253</v>
      </c>
      <c r="B7390" s="2" t="s">
        <v>1465</v>
      </c>
      <c r="C7390" s="2">
        <v>917.30909999999994</v>
      </c>
      <c r="D7390" s="2">
        <f>HYPERLINK("http://mcb-m6.bioreg.kyushu-u.ac.jp/M3/20110418/F50977/3058/1", 96.39)</f>
        <v>96.39</v>
      </c>
      <c r="E7390" s="2">
        <v>69.62</v>
      </c>
      <c r="F7390" s="2">
        <v>2</v>
      </c>
      <c r="G7390" s="2" t="s">
        <v>11</v>
      </c>
    </row>
    <row r="7391" spans="1:8" x14ac:dyDescent="0.2">
      <c r="A7391" s="2" t="s">
        <v>3253</v>
      </c>
      <c r="B7391" s="2" t="s">
        <v>2909</v>
      </c>
      <c r="C7391" s="2">
        <v>948.39099999999996</v>
      </c>
      <c r="D7391" s="2">
        <f>HYPERLINK("http://mcb-m6.bioreg.kyushu-u.ac.jp/M3/20110418/F50987/1466/1", 46.67)</f>
        <v>46.67</v>
      </c>
      <c r="E7391" s="2">
        <v>18.059999999999999</v>
      </c>
      <c r="F7391" s="2">
        <v>1</v>
      </c>
      <c r="G7391" s="2" t="s">
        <v>12</v>
      </c>
    </row>
    <row r="7392" spans="1:8" x14ac:dyDescent="0.2">
      <c r="A7392" s="2" t="s">
        <v>3253</v>
      </c>
      <c r="B7392" s="2" t="s">
        <v>853</v>
      </c>
      <c r="C7392" s="2">
        <v>618.81619999999998</v>
      </c>
      <c r="D7392" s="2">
        <f>HYPERLINK("http://mcb-m6.bioreg.kyushu-u.ac.jp/M3/20110418/F50987/1801/1", 56.56)</f>
        <v>56.56</v>
      </c>
      <c r="E7392" s="2">
        <v>38.090000000000003</v>
      </c>
      <c r="F7392" s="2">
        <v>2</v>
      </c>
      <c r="G7392" s="2" t="s">
        <v>12</v>
      </c>
    </row>
    <row r="7393" spans="1:8" x14ac:dyDescent="0.2">
      <c r="A7393" s="2" t="s">
        <v>3253</v>
      </c>
      <c r="B7393" s="2" t="s">
        <v>1465</v>
      </c>
      <c r="C7393" s="2">
        <v>917.86869999999999</v>
      </c>
      <c r="D7393" s="2">
        <f>HYPERLINK("http://mcb-m6.bioreg.kyushu-u.ac.jp/M3/20110429/F51153/3170/1", 58.92)</f>
        <v>58.92</v>
      </c>
      <c r="E7393" s="2">
        <v>33.78</v>
      </c>
      <c r="F7393" s="2">
        <v>2</v>
      </c>
      <c r="G7393" s="2" t="s">
        <v>13</v>
      </c>
    </row>
    <row r="7394" spans="1:8" x14ac:dyDescent="0.2">
      <c r="A7394" s="2" t="s">
        <v>3253</v>
      </c>
      <c r="B7394" s="2" t="s">
        <v>1465</v>
      </c>
      <c r="C7394" s="2">
        <v>917.43219999999997</v>
      </c>
      <c r="D7394" s="2">
        <f>HYPERLINK("http://mcb-m6.bioreg.kyushu-u.ac.jp/M3/20110502/F51164/2582/1", 97.65)</f>
        <v>97.65</v>
      </c>
      <c r="E7394" s="2">
        <v>75.8</v>
      </c>
      <c r="F7394" s="2">
        <v>2</v>
      </c>
      <c r="G7394" s="2" t="s">
        <v>13</v>
      </c>
    </row>
    <row r="7395" spans="1:8" x14ac:dyDescent="0.2">
      <c r="A7395" s="2" t="s">
        <v>3253</v>
      </c>
      <c r="B7395" s="2" t="s">
        <v>1465</v>
      </c>
      <c r="C7395" s="2">
        <v>917.58969999999999</v>
      </c>
      <c r="D7395" s="2">
        <f>HYPERLINK("http://mcb-m6.bioreg.kyushu-u.ac.jp/M3/20110502/F51162/2525/1", 99.97)</f>
        <v>99.97</v>
      </c>
      <c r="E7395" s="2">
        <v>82.59</v>
      </c>
      <c r="F7395" s="2">
        <v>2</v>
      </c>
      <c r="G7395" s="2" t="s">
        <v>14</v>
      </c>
    </row>
    <row r="7396" spans="1:8" x14ac:dyDescent="0.2">
      <c r="A7396" s="2" t="s">
        <v>3597</v>
      </c>
      <c r="B7396" s="2" t="s">
        <v>2548</v>
      </c>
      <c r="C7396" s="2">
        <v>646.45259999999996</v>
      </c>
      <c r="D7396" s="2">
        <f>HYPERLINK("http://mcb-m6.bioreg.kyushu-u.ac.jp/M3/20110318/F50604/1336/1", 65.44)</f>
        <v>65.44</v>
      </c>
      <c r="E7396" s="2">
        <v>35.79</v>
      </c>
      <c r="F7396" s="2">
        <v>2</v>
      </c>
      <c r="G7396" s="2" t="s">
        <v>9</v>
      </c>
    </row>
    <row r="7397" spans="1:8" x14ac:dyDescent="0.2">
      <c r="A7397" s="2" t="s">
        <v>3597</v>
      </c>
      <c r="B7397" s="2" t="s">
        <v>2548</v>
      </c>
      <c r="C7397" s="2">
        <v>646.3057</v>
      </c>
      <c r="D7397" s="2">
        <f>HYPERLINK("http://mcb-m6.bioreg.kyushu-u.ac.jp/M3/20110318/F50612/1298/1", 70.69)</f>
        <v>70.69</v>
      </c>
      <c r="E7397" s="2">
        <v>41</v>
      </c>
      <c r="F7397" s="2">
        <v>2</v>
      </c>
      <c r="G7397" s="2" t="s">
        <v>10</v>
      </c>
    </row>
    <row r="7398" spans="1:8" x14ac:dyDescent="0.2">
      <c r="A7398" s="2" t="s">
        <v>3597</v>
      </c>
      <c r="B7398" s="2" t="s">
        <v>1429</v>
      </c>
      <c r="C7398" s="2">
        <v>683.55269999999996</v>
      </c>
      <c r="D7398" s="2">
        <f>HYPERLINK("http://mcb-m6.bioreg.kyushu-u.ac.jp/M3/20110318/F50612/1374/1", 77.02)</f>
        <v>77.02</v>
      </c>
      <c r="E7398" s="2">
        <v>65.27</v>
      </c>
      <c r="F7398" s="2">
        <v>2</v>
      </c>
      <c r="G7398" s="2" t="s">
        <v>10</v>
      </c>
      <c r="H7398" s="2" t="s">
        <v>4927</v>
      </c>
    </row>
    <row r="7399" spans="1:8" x14ac:dyDescent="0.2">
      <c r="A7399" s="2" t="s">
        <v>3597</v>
      </c>
      <c r="B7399" s="2" t="s">
        <v>2482</v>
      </c>
      <c r="C7399" s="2">
        <v>780.93320000000006</v>
      </c>
      <c r="D7399" s="2">
        <f>HYPERLINK("http://mcb-m6.bioreg.kyushu-u.ac.jp/M3/20110318/F50612/1713/1", 104.8)</f>
        <v>104.8</v>
      </c>
      <c r="E7399" s="2">
        <v>78.97</v>
      </c>
      <c r="F7399" s="2">
        <v>2</v>
      </c>
      <c r="G7399" s="2" t="s">
        <v>10</v>
      </c>
    </row>
    <row r="7400" spans="1:8" x14ac:dyDescent="0.2">
      <c r="A7400" s="2" t="s">
        <v>3597</v>
      </c>
      <c r="B7400" s="2" t="s">
        <v>1429</v>
      </c>
      <c r="C7400" s="2">
        <v>675.76419999999996</v>
      </c>
      <c r="D7400" s="2">
        <f>HYPERLINK("http://mcb-m6.bioreg.kyushu-u.ac.jp/M3/20110418/F50977/1688/1", 59.85)</f>
        <v>59.85</v>
      </c>
      <c r="E7400" s="2">
        <v>48</v>
      </c>
      <c r="F7400" s="2">
        <v>2</v>
      </c>
      <c r="G7400" s="2" t="s">
        <v>11</v>
      </c>
    </row>
    <row r="7401" spans="1:8" x14ac:dyDescent="0.2">
      <c r="A7401" s="2" t="s">
        <v>3597</v>
      </c>
      <c r="B7401" s="2" t="s">
        <v>1429</v>
      </c>
      <c r="C7401" s="2">
        <v>675.24469999999997</v>
      </c>
      <c r="D7401" s="2">
        <f>HYPERLINK("http://mcb-m6.bioreg.kyushu-u.ac.jp/M3/20110418/F50977/1683/1", 66.6)</f>
        <v>66.599999999999994</v>
      </c>
      <c r="E7401" s="2">
        <v>54.54</v>
      </c>
      <c r="F7401" s="2">
        <v>2</v>
      </c>
      <c r="G7401" s="2" t="s">
        <v>11</v>
      </c>
    </row>
    <row r="7402" spans="1:8" x14ac:dyDescent="0.2">
      <c r="A7402" s="2" t="s">
        <v>3597</v>
      </c>
      <c r="B7402" s="2" t="s">
        <v>1429</v>
      </c>
      <c r="C7402" s="2">
        <v>683.70510000000002</v>
      </c>
      <c r="D7402" s="2">
        <f>HYPERLINK("http://mcb-m6.bioreg.kyushu-u.ac.jp/M3/20110418/F50977/1744/1", 87.33)</f>
        <v>87.33</v>
      </c>
      <c r="E7402" s="2">
        <v>72.06</v>
      </c>
      <c r="F7402" s="2">
        <v>2</v>
      </c>
      <c r="G7402" s="2" t="s">
        <v>11</v>
      </c>
      <c r="H7402" s="2" t="s">
        <v>4927</v>
      </c>
    </row>
    <row r="7403" spans="1:8" x14ac:dyDescent="0.2">
      <c r="A7403" s="2" t="s">
        <v>3597</v>
      </c>
      <c r="B7403" s="2" t="s">
        <v>2482</v>
      </c>
      <c r="C7403" s="2">
        <v>780.81820000000005</v>
      </c>
      <c r="D7403" s="2">
        <f>HYPERLINK("http://mcb-m6.bioreg.kyushu-u.ac.jp/M3/20110418/F50977/2336/1", 95.8)</f>
        <v>95.8</v>
      </c>
      <c r="E7403" s="2">
        <v>67.930000000000007</v>
      </c>
      <c r="F7403" s="2">
        <v>2</v>
      </c>
      <c r="G7403" s="2" t="s">
        <v>11</v>
      </c>
    </row>
    <row r="7404" spans="1:8" x14ac:dyDescent="0.2">
      <c r="A7404" s="2" t="s">
        <v>3597</v>
      </c>
      <c r="B7404" s="2" t="s">
        <v>1429</v>
      </c>
      <c r="C7404" s="2">
        <v>683.07759999999996</v>
      </c>
      <c r="D7404" s="2">
        <f>HYPERLINK("http://mcb-m6.bioreg.kyushu-u.ac.jp/M3/20110418/F50987/1913/1", 47.07)</f>
        <v>47.07</v>
      </c>
      <c r="E7404" s="2">
        <v>35.49</v>
      </c>
      <c r="F7404" s="2">
        <v>2</v>
      </c>
      <c r="G7404" s="2" t="s">
        <v>12</v>
      </c>
      <c r="H7404" s="2" t="s">
        <v>4927</v>
      </c>
    </row>
    <row r="7405" spans="1:8" x14ac:dyDescent="0.2">
      <c r="A7405" s="2" t="s">
        <v>3597</v>
      </c>
      <c r="B7405" s="2" t="s">
        <v>2548</v>
      </c>
      <c r="C7405" s="2">
        <v>646.64509999999996</v>
      </c>
      <c r="D7405" s="2">
        <f>HYPERLINK("http://mcb-m6.bioreg.kyushu-u.ac.jp/M3/20110418/F50987/1843/1", 58.2)</f>
        <v>58.2</v>
      </c>
      <c r="E7405" s="2">
        <v>30.74</v>
      </c>
      <c r="F7405" s="2">
        <v>2</v>
      </c>
      <c r="G7405" s="2" t="s">
        <v>12</v>
      </c>
    </row>
    <row r="7406" spans="1:8" x14ac:dyDescent="0.2">
      <c r="A7406" s="2" t="s">
        <v>3597</v>
      </c>
      <c r="B7406" s="2" t="s">
        <v>2548</v>
      </c>
      <c r="C7406" s="2">
        <v>646.11519999999996</v>
      </c>
      <c r="D7406" s="2">
        <f>HYPERLINK("http://mcb-m6.bioreg.kyushu-u.ac.jp/M3/20110418/F50987/1842/1", 65.41)</f>
        <v>65.41</v>
      </c>
      <c r="E7406" s="2">
        <v>35.54</v>
      </c>
      <c r="F7406" s="2">
        <v>2</v>
      </c>
      <c r="G7406" s="2" t="s">
        <v>12</v>
      </c>
    </row>
    <row r="7407" spans="1:8" x14ac:dyDescent="0.2">
      <c r="A7407" s="2" t="s">
        <v>3597</v>
      </c>
      <c r="B7407" s="2" t="s">
        <v>1429</v>
      </c>
      <c r="C7407" s="2">
        <v>683.95669999999996</v>
      </c>
      <c r="D7407" s="2">
        <f>HYPERLINK("http://mcb-m6.bioreg.kyushu-u.ac.jp/M3/20110418/F50988/1873/1", 65.61)</f>
        <v>65.61</v>
      </c>
      <c r="E7407" s="2">
        <v>46.39</v>
      </c>
      <c r="F7407" s="2">
        <v>2</v>
      </c>
      <c r="G7407" s="2" t="s">
        <v>12</v>
      </c>
      <c r="H7407" s="2" t="s">
        <v>4927</v>
      </c>
    </row>
    <row r="7408" spans="1:8" x14ac:dyDescent="0.2">
      <c r="A7408" s="2" t="s">
        <v>3597</v>
      </c>
      <c r="B7408" s="2" t="s">
        <v>1429</v>
      </c>
      <c r="C7408" s="2">
        <v>675.30520000000001</v>
      </c>
      <c r="D7408" s="2">
        <f>HYPERLINK("http://mcb-m6.bioreg.kyushu-u.ac.jp/M3/20110418/F50987/1895/1", 70.34)</f>
        <v>70.34</v>
      </c>
      <c r="E7408" s="2">
        <v>49.46</v>
      </c>
      <c r="F7408" s="2">
        <v>2</v>
      </c>
      <c r="G7408" s="2" t="s">
        <v>12</v>
      </c>
    </row>
    <row r="7409" spans="1:9" x14ac:dyDescent="0.2">
      <c r="A7409" s="2" t="s">
        <v>3597</v>
      </c>
      <c r="B7409" s="2" t="s">
        <v>1429</v>
      </c>
      <c r="C7409" s="2">
        <v>683.72469999999998</v>
      </c>
      <c r="D7409" s="2">
        <f>HYPERLINK("http://mcb-m6.bioreg.kyushu-u.ac.jp/M3/20110418/F50987/1914/1", 84.21)</f>
        <v>84.21</v>
      </c>
      <c r="E7409" s="2">
        <v>64.930000000000007</v>
      </c>
      <c r="F7409" s="2">
        <v>2</v>
      </c>
      <c r="G7409" s="2" t="s">
        <v>12</v>
      </c>
      <c r="H7409" s="2" t="s">
        <v>4927</v>
      </c>
    </row>
    <row r="7410" spans="1:9" x14ac:dyDescent="0.2">
      <c r="A7410" s="2" t="s">
        <v>3597</v>
      </c>
      <c r="B7410" s="2" t="s">
        <v>1429</v>
      </c>
      <c r="C7410" s="2">
        <v>683.94069999999999</v>
      </c>
      <c r="D7410" s="2">
        <f>HYPERLINK("http://mcb-m6.bioreg.kyushu-u.ac.jp/M3/20110502/F51164/1389/1", 98.8)</f>
        <v>98.8</v>
      </c>
      <c r="E7410" s="2">
        <v>86.75</v>
      </c>
      <c r="F7410" s="2">
        <v>2</v>
      </c>
      <c r="G7410" s="2" t="s">
        <v>13</v>
      </c>
      <c r="H7410" s="2" t="s">
        <v>4927</v>
      </c>
    </row>
    <row r="7411" spans="1:9" x14ac:dyDescent="0.2">
      <c r="A7411" s="2" t="s">
        <v>3304</v>
      </c>
      <c r="B7411" s="2" t="s">
        <v>85</v>
      </c>
      <c r="C7411" s="2">
        <v>527.03020000000004</v>
      </c>
      <c r="D7411" s="2">
        <f>HYPERLINK("http://mcb-m6.bioreg.kyushu-u.ac.jp/M3/20110429/F51150/1376/1", 68.17)</f>
        <v>68.17</v>
      </c>
      <c r="E7411" s="2">
        <v>51.17</v>
      </c>
      <c r="F7411" s="2">
        <v>2</v>
      </c>
      <c r="G7411" s="2" t="s">
        <v>13</v>
      </c>
    </row>
    <row r="7412" spans="1:9" x14ac:dyDescent="0.2">
      <c r="A7412" s="2" t="s">
        <v>3463</v>
      </c>
      <c r="B7412" s="2" t="s">
        <v>1549</v>
      </c>
      <c r="C7412" s="2">
        <v>900.45370000000003</v>
      </c>
      <c r="D7412" s="2">
        <f>HYPERLINK("http://mcb-m6.bioreg.kyushu-u.ac.jp/M3/20110318/F50599/2145/1", 70.32)</f>
        <v>70.319999999999993</v>
      </c>
      <c r="E7412" s="2">
        <v>53.47</v>
      </c>
      <c r="F7412" s="2">
        <v>2</v>
      </c>
      <c r="G7412" s="2" t="s">
        <v>10</v>
      </c>
      <c r="H7412" s="2" t="s">
        <v>4901</v>
      </c>
      <c r="I7412" s="2" t="s">
        <v>4892</v>
      </c>
    </row>
    <row r="7413" spans="1:9" x14ac:dyDescent="0.2">
      <c r="A7413" s="2" t="s">
        <v>3463</v>
      </c>
      <c r="B7413" s="2" t="s">
        <v>1549</v>
      </c>
      <c r="C7413" s="2">
        <v>899.89369999999997</v>
      </c>
      <c r="D7413" s="2">
        <f>HYPERLINK("http://mcb-m6.bioreg.kyushu-u.ac.jp/M3/20110318/F50599/2140/1", 72.98)</f>
        <v>72.98</v>
      </c>
      <c r="E7413" s="2">
        <v>58.85</v>
      </c>
      <c r="F7413" s="2">
        <v>2</v>
      </c>
      <c r="G7413" s="2" t="s">
        <v>10</v>
      </c>
      <c r="H7413" s="2" t="s">
        <v>4901</v>
      </c>
      <c r="I7413" s="2" t="s">
        <v>4892</v>
      </c>
    </row>
    <row r="7414" spans="1:9" x14ac:dyDescent="0.2">
      <c r="A7414" s="2" t="s">
        <v>3463</v>
      </c>
      <c r="B7414" s="2" t="s">
        <v>274</v>
      </c>
      <c r="C7414" s="2">
        <v>496.08010000000002</v>
      </c>
      <c r="D7414" s="2">
        <f>HYPERLINK("http://mcb-m6.bioreg.kyushu-u.ac.jp/M3/20110418/F50972/1444/1", 49.53)</f>
        <v>49.53</v>
      </c>
      <c r="E7414" s="2">
        <v>28.95</v>
      </c>
      <c r="F7414" s="2">
        <v>2</v>
      </c>
      <c r="G7414" s="2" t="s">
        <v>11</v>
      </c>
    </row>
    <row r="7415" spans="1:9" x14ac:dyDescent="0.2">
      <c r="A7415" s="2" t="s">
        <v>3463</v>
      </c>
      <c r="B7415" s="2" t="s">
        <v>274</v>
      </c>
      <c r="C7415" s="2">
        <v>495.94009999999997</v>
      </c>
      <c r="D7415" s="2">
        <f>HYPERLINK("http://mcb-m6.bioreg.kyushu-u.ac.jp/M3/20110418/F50972/1442/1", 52.82)</f>
        <v>52.82</v>
      </c>
      <c r="E7415" s="2">
        <v>25.87</v>
      </c>
      <c r="F7415" s="2">
        <v>2</v>
      </c>
      <c r="G7415" s="2" t="s">
        <v>11</v>
      </c>
    </row>
    <row r="7416" spans="1:9" x14ac:dyDescent="0.2">
      <c r="A7416" s="2" t="s">
        <v>3463</v>
      </c>
      <c r="B7416" s="2" t="s">
        <v>274</v>
      </c>
      <c r="C7416" s="2">
        <v>496.02159999999998</v>
      </c>
      <c r="D7416" s="2">
        <f>HYPERLINK("http://mcb-m6.bioreg.kyushu-u.ac.jp/M3/20110429/F51150/1245/1", 48.92)</f>
        <v>48.92</v>
      </c>
      <c r="E7416" s="2">
        <v>28.7</v>
      </c>
      <c r="F7416" s="2">
        <v>2</v>
      </c>
      <c r="G7416" s="2" t="s">
        <v>13</v>
      </c>
    </row>
    <row r="7417" spans="1:9" x14ac:dyDescent="0.2">
      <c r="A7417" s="2" t="s">
        <v>3463</v>
      </c>
      <c r="B7417" s="2" t="s">
        <v>1549</v>
      </c>
      <c r="C7417" s="2">
        <v>899.62869999999998</v>
      </c>
      <c r="D7417" s="2">
        <f>HYPERLINK("http://mcb-m6.bioreg.kyushu-u.ac.jp/M3/20110429/F51150/2694/1", 77.63)</f>
        <v>77.63</v>
      </c>
      <c r="E7417" s="2">
        <v>59.67</v>
      </c>
      <c r="F7417" s="2">
        <v>2</v>
      </c>
      <c r="G7417" s="2" t="s">
        <v>13</v>
      </c>
      <c r="H7417" s="2" t="s">
        <v>4901</v>
      </c>
      <c r="I7417" s="2" t="s">
        <v>4892</v>
      </c>
    </row>
    <row r="7418" spans="1:9" x14ac:dyDescent="0.2">
      <c r="A7418" s="2" t="s">
        <v>3463</v>
      </c>
      <c r="B7418" s="2" t="s">
        <v>274</v>
      </c>
      <c r="C7418" s="2">
        <v>496.2081</v>
      </c>
      <c r="D7418" s="2">
        <f>HYPERLINK("http://mcb-m6.bioreg.kyushu-u.ac.jp/M3/20110428/F51138/1385/1", 69.92)</f>
        <v>69.92</v>
      </c>
      <c r="E7418" s="2">
        <v>43.07</v>
      </c>
      <c r="F7418" s="2">
        <v>2</v>
      </c>
      <c r="G7418" s="2" t="s">
        <v>14</v>
      </c>
    </row>
    <row r="7419" spans="1:9" x14ac:dyDescent="0.2">
      <c r="A7419" s="2" t="s">
        <v>3312</v>
      </c>
      <c r="B7419" s="2" t="s">
        <v>1036</v>
      </c>
      <c r="C7419" s="2">
        <v>723.38120000000004</v>
      </c>
      <c r="D7419" s="2">
        <f>HYPERLINK("http://mcb-m6.bioreg.kyushu-u.ac.jp/M3/20110318/F50599/1636/1", 40.15)</f>
        <v>40.15</v>
      </c>
      <c r="E7419" s="2">
        <v>28.35</v>
      </c>
      <c r="F7419" s="2">
        <v>2</v>
      </c>
      <c r="G7419" s="2" t="s">
        <v>10</v>
      </c>
    </row>
    <row r="7420" spans="1:9" x14ac:dyDescent="0.2">
      <c r="A7420" s="2" t="s">
        <v>3312</v>
      </c>
      <c r="B7420" s="2" t="s">
        <v>95</v>
      </c>
      <c r="C7420" s="2">
        <v>951.68619999999999</v>
      </c>
      <c r="D7420" s="2">
        <f>HYPERLINK("http://mcb-m6.bioreg.kyushu-u.ac.jp/M3/20110429/F51150/2810/1", 49.95)</f>
        <v>49.95</v>
      </c>
      <c r="E7420" s="2">
        <v>32.07</v>
      </c>
      <c r="F7420" s="2">
        <v>2</v>
      </c>
      <c r="G7420" s="2" t="s">
        <v>13</v>
      </c>
      <c r="H7420" s="2" t="s">
        <v>4919</v>
      </c>
    </row>
    <row r="7421" spans="1:9" x14ac:dyDescent="0.2">
      <c r="A7421" s="2" t="s">
        <v>3312</v>
      </c>
      <c r="B7421" s="2" t="s">
        <v>95</v>
      </c>
      <c r="C7421" s="2">
        <v>951.15419999999995</v>
      </c>
      <c r="D7421" s="2">
        <f>HYPERLINK("http://mcb-m6.bioreg.kyushu-u.ac.jp/M3/20110429/F51150/2808/1", 54.55)</f>
        <v>54.55</v>
      </c>
      <c r="E7421" s="2">
        <v>32.729999999999997</v>
      </c>
      <c r="F7421" s="2">
        <v>2</v>
      </c>
      <c r="G7421" s="2" t="s">
        <v>13</v>
      </c>
      <c r="H7421" s="2" t="s">
        <v>4919</v>
      </c>
    </row>
    <row r="7422" spans="1:9" x14ac:dyDescent="0.2">
      <c r="A7422" s="2" t="s">
        <v>3829</v>
      </c>
      <c r="B7422" s="2" t="s">
        <v>901</v>
      </c>
      <c r="C7422" s="2">
        <v>762.7482</v>
      </c>
      <c r="D7422" s="2">
        <f>HYPERLINK("http://mcb-m6.bioreg.kyushu-u.ac.jp/M3/20110318/F50620/1760/1", 87.77)</f>
        <v>87.77</v>
      </c>
      <c r="E7422" s="2">
        <v>64.77</v>
      </c>
      <c r="F7422" s="2">
        <v>2</v>
      </c>
      <c r="G7422" s="2" t="s">
        <v>9</v>
      </c>
    </row>
    <row r="7423" spans="1:9" x14ac:dyDescent="0.2">
      <c r="A7423" s="2" t="s">
        <v>3829</v>
      </c>
      <c r="B7423" s="2" t="s">
        <v>901</v>
      </c>
      <c r="C7423" s="2">
        <v>762.12519999999995</v>
      </c>
      <c r="D7423" s="2">
        <f>HYPERLINK("http://mcb-m6.bioreg.kyushu-u.ac.jp/M3/20110318/F50620/1752/1", 106.89)</f>
        <v>106.89</v>
      </c>
      <c r="E7423" s="2">
        <v>86.43</v>
      </c>
      <c r="F7423" s="2">
        <v>2</v>
      </c>
      <c r="G7423" s="2" t="s">
        <v>9</v>
      </c>
    </row>
    <row r="7424" spans="1:9" x14ac:dyDescent="0.2">
      <c r="A7424" s="2" t="s">
        <v>3829</v>
      </c>
      <c r="B7424" s="2" t="s">
        <v>901</v>
      </c>
      <c r="C7424" s="2">
        <v>762.49220000000003</v>
      </c>
      <c r="D7424" s="2">
        <f>HYPERLINK("http://mcb-m6.bioreg.kyushu-u.ac.jp/M3/20110318/F50616/1761/1", 80.1)</f>
        <v>80.099999999999994</v>
      </c>
      <c r="E7424" s="2">
        <v>61.53</v>
      </c>
      <c r="F7424" s="2">
        <v>2</v>
      </c>
      <c r="G7424" s="2" t="s">
        <v>10</v>
      </c>
    </row>
    <row r="7425" spans="1:9" x14ac:dyDescent="0.2">
      <c r="A7425" s="2" t="s">
        <v>3519</v>
      </c>
      <c r="B7425" s="2" t="s">
        <v>1600</v>
      </c>
      <c r="C7425" s="2">
        <v>712.87189999999998</v>
      </c>
      <c r="D7425" s="2">
        <f>HYPERLINK("http://mcb-m6.bioreg.kyushu-u.ac.jp/M3/20110318/F50601/2102/1", 35.16)</f>
        <v>35.159999999999997</v>
      </c>
      <c r="E7425" s="2">
        <v>16.66</v>
      </c>
      <c r="F7425" s="2">
        <v>3</v>
      </c>
      <c r="G7425" s="2" t="s">
        <v>9</v>
      </c>
    </row>
    <row r="7426" spans="1:9" x14ac:dyDescent="0.2">
      <c r="A7426" s="2" t="s">
        <v>3519</v>
      </c>
      <c r="B7426" s="2" t="s">
        <v>1825</v>
      </c>
      <c r="C7426" s="2">
        <v>734.25869999999998</v>
      </c>
      <c r="D7426" s="2">
        <f>HYPERLINK("http://mcb-m6.bioreg.kyushu-u.ac.jp/M3/20110318/F50602/1483/1", 42.22)</f>
        <v>42.22</v>
      </c>
      <c r="E7426" s="2">
        <v>18.88</v>
      </c>
      <c r="F7426" s="2">
        <v>2</v>
      </c>
      <c r="G7426" s="2" t="s">
        <v>9</v>
      </c>
    </row>
    <row r="7427" spans="1:9" x14ac:dyDescent="0.2">
      <c r="A7427" s="2" t="s">
        <v>3519</v>
      </c>
      <c r="B7427" s="2" t="s">
        <v>1825</v>
      </c>
      <c r="C7427" s="2">
        <v>734.28520000000003</v>
      </c>
      <c r="D7427" s="2">
        <f>HYPERLINK("http://mcb-m6.bioreg.kyushu-u.ac.jp/M3/20110318/F50601/1536/1", 45.67)</f>
        <v>45.67</v>
      </c>
      <c r="E7427" s="2">
        <v>18.72</v>
      </c>
      <c r="F7427" s="2">
        <v>2</v>
      </c>
      <c r="G7427" s="2" t="s">
        <v>9</v>
      </c>
    </row>
    <row r="7428" spans="1:9" x14ac:dyDescent="0.2">
      <c r="A7428" s="2" t="s">
        <v>3519</v>
      </c>
      <c r="B7428" s="2" t="s">
        <v>361</v>
      </c>
      <c r="C7428" s="2">
        <v>803.58169999999996</v>
      </c>
      <c r="D7428" s="2">
        <f>HYPERLINK("http://mcb-m6.bioreg.kyushu-u.ac.jp/M3/20110318/F50601/1719/1", 68.72)</f>
        <v>68.72</v>
      </c>
      <c r="E7428" s="2">
        <v>50.98</v>
      </c>
      <c r="F7428" s="2">
        <v>2</v>
      </c>
      <c r="G7428" s="2" t="s">
        <v>9</v>
      </c>
    </row>
    <row r="7429" spans="1:9" x14ac:dyDescent="0.2">
      <c r="A7429" s="2" t="s">
        <v>3519</v>
      </c>
      <c r="B7429" s="2" t="s">
        <v>361</v>
      </c>
      <c r="C7429" s="2">
        <v>803.56410000000005</v>
      </c>
      <c r="D7429" s="2">
        <f>HYPERLINK("http://mcb-m6.bioreg.kyushu-u.ac.jp/M3/20110318/F50610/1845/1", 70.35)</f>
        <v>70.349999999999994</v>
      </c>
      <c r="E7429" s="2">
        <v>42.93</v>
      </c>
      <c r="F7429" s="2">
        <v>2</v>
      </c>
      <c r="G7429" s="2" t="s">
        <v>9</v>
      </c>
    </row>
    <row r="7430" spans="1:9" x14ac:dyDescent="0.2">
      <c r="A7430" s="2" t="s">
        <v>3519</v>
      </c>
      <c r="B7430" s="2" t="s">
        <v>384</v>
      </c>
      <c r="C7430" s="2">
        <v>452.7586</v>
      </c>
      <c r="D7430" s="2">
        <f>HYPERLINK("http://mcb-m6.bioreg.kyushu-u.ac.jp/M3/20110318/F50622/787/1", 35.13)</f>
        <v>35.130000000000003</v>
      </c>
      <c r="E7430" s="2">
        <v>11.88</v>
      </c>
      <c r="F7430" s="2">
        <v>2</v>
      </c>
      <c r="G7430" s="2" t="s">
        <v>10</v>
      </c>
      <c r="I7430" s="2" t="s">
        <v>4892</v>
      </c>
    </row>
    <row r="7431" spans="1:9" x14ac:dyDescent="0.2">
      <c r="A7431" s="2" t="s">
        <v>3519</v>
      </c>
      <c r="B7431" s="2" t="s">
        <v>1825</v>
      </c>
      <c r="C7431" s="2">
        <v>734.40419999999995</v>
      </c>
      <c r="D7431" s="2">
        <f>HYPERLINK("http://mcb-m6.bioreg.kyushu-u.ac.jp/M3/20110318/F50600/1529/1", 37.82)</f>
        <v>37.82</v>
      </c>
      <c r="E7431" s="2">
        <v>13.96</v>
      </c>
      <c r="F7431" s="2">
        <v>2</v>
      </c>
      <c r="G7431" s="2" t="s">
        <v>10</v>
      </c>
    </row>
    <row r="7432" spans="1:9" x14ac:dyDescent="0.2">
      <c r="A7432" s="2" t="s">
        <v>3519</v>
      </c>
      <c r="B7432" s="2" t="s">
        <v>384</v>
      </c>
      <c r="C7432" s="2">
        <v>905.29899999999998</v>
      </c>
      <c r="D7432" s="2">
        <f>HYPERLINK("http://mcb-m6.bioreg.kyushu-u.ac.jp/M3/20110318/F50622/794/1", 38.39)</f>
        <v>38.39</v>
      </c>
      <c r="E7432" s="2">
        <v>20.11</v>
      </c>
      <c r="F7432" s="2">
        <v>1</v>
      </c>
      <c r="G7432" s="2" t="s">
        <v>10</v>
      </c>
      <c r="I7432" s="2" t="s">
        <v>4892</v>
      </c>
    </row>
    <row r="7433" spans="1:9" x14ac:dyDescent="0.2">
      <c r="A7433" s="2" t="s">
        <v>3519</v>
      </c>
      <c r="B7433" s="2" t="s">
        <v>1772</v>
      </c>
      <c r="C7433" s="2">
        <v>604.79060000000004</v>
      </c>
      <c r="D7433" s="2">
        <f>HYPERLINK("http://mcb-m6.bioreg.kyushu-u.ac.jp/M3/20110318/F50622/1104/1", 38.65)</f>
        <v>38.65</v>
      </c>
      <c r="E7433" s="2">
        <v>17.61</v>
      </c>
      <c r="F7433" s="2">
        <v>2</v>
      </c>
      <c r="G7433" s="2" t="s">
        <v>10</v>
      </c>
      <c r="I7433" s="2" t="s">
        <v>4905</v>
      </c>
    </row>
    <row r="7434" spans="1:9" x14ac:dyDescent="0.2">
      <c r="A7434" s="2" t="s">
        <v>3519</v>
      </c>
      <c r="B7434" s="2" t="s">
        <v>2123</v>
      </c>
      <c r="C7434" s="2">
        <v>1010.811</v>
      </c>
      <c r="D7434" s="2">
        <f>HYPERLINK("http://mcb-m6.bioreg.kyushu-u.ac.jp/M3/20110318/F50600/2963/1", 39.43)</f>
        <v>39.43</v>
      </c>
      <c r="E7434" s="2">
        <v>33.700000000000003</v>
      </c>
      <c r="F7434" s="2">
        <v>3</v>
      </c>
      <c r="G7434" s="2" t="s">
        <v>10</v>
      </c>
      <c r="H7434" s="2" t="s">
        <v>4973</v>
      </c>
    </row>
    <row r="7435" spans="1:9" x14ac:dyDescent="0.2">
      <c r="A7435" s="2" t="s">
        <v>3519</v>
      </c>
      <c r="B7435" s="2" t="s">
        <v>1825</v>
      </c>
      <c r="C7435" s="2">
        <v>733.78219999999999</v>
      </c>
      <c r="D7435" s="2">
        <f>HYPERLINK("http://mcb-m6.bioreg.kyushu-u.ac.jp/M3/20110318/F50622/1415/1", 39.61)</f>
        <v>39.61</v>
      </c>
      <c r="E7435" s="2">
        <v>21.18</v>
      </c>
      <c r="F7435" s="2">
        <v>2</v>
      </c>
      <c r="G7435" s="2" t="s">
        <v>10</v>
      </c>
    </row>
    <row r="7436" spans="1:9" x14ac:dyDescent="0.2">
      <c r="A7436" s="2" t="s">
        <v>3519</v>
      </c>
      <c r="B7436" s="2" t="s">
        <v>384</v>
      </c>
      <c r="C7436" s="2">
        <v>453.0181</v>
      </c>
      <c r="D7436" s="2">
        <f>HYPERLINK("http://mcb-m6.bioreg.kyushu-u.ac.jp/M3/20110318/F50622/792/1", 40.37)</f>
        <v>40.369999999999997</v>
      </c>
      <c r="E7436" s="2">
        <v>21.37</v>
      </c>
      <c r="F7436" s="2">
        <v>2</v>
      </c>
      <c r="G7436" s="2" t="s">
        <v>10</v>
      </c>
      <c r="I7436" s="2" t="s">
        <v>4892</v>
      </c>
    </row>
    <row r="7437" spans="1:9" x14ac:dyDescent="0.2">
      <c r="A7437" s="2" t="s">
        <v>3519</v>
      </c>
      <c r="B7437" s="2" t="s">
        <v>1825</v>
      </c>
      <c r="C7437" s="2">
        <v>733.74659999999994</v>
      </c>
      <c r="D7437" s="2">
        <f>HYPERLINK("http://mcb-m6.bioreg.kyushu-u.ac.jp/M3/20110318/F50600/1523/1", 42.84)</f>
        <v>42.84</v>
      </c>
      <c r="E7437" s="2">
        <v>19.86</v>
      </c>
      <c r="F7437" s="2">
        <v>2</v>
      </c>
      <c r="G7437" s="2" t="s">
        <v>10</v>
      </c>
    </row>
    <row r="7438" spans="1:9" x14ac:dyDescent="0.2">
      <c r="A7438" s="2" t="s">
        <v>3519</v>
      </c>
      <c r="B7438" s="2" t="s">
        <v>1600</v>
      </c>
      <c r="C7438" s="2">
        <v>1068.779</v>
      </c>
      <c r="D7438" s="2">
        <f>HYPERLINK("http://mcb-m6.bioreg.kyushu-u.ac.jp/M3/20110318/F50622/2424/1", 42.94)</f>
        <v>42.94</v>
      </c>
      <c r="E7438" s="2">
        <v>22.58</v>
      </c>
      <c r="F7438" s="2">
        <v>2</v>
      </c>
      <c r="G7438" s="2" t="s">
        <v>10</v>
      </c>
    </row>
    <row r="7439" spans="1:9" x14ac:dyDescent="0.2">
      <c r="A7439" s="2" t="s">
        <v>3519</v>
      </c>
      <c r="B7439" s="2" t="s">
        <v>361</v>
      </c>
      <c r="C7439" s="2">
        <v>1605.4459999999999</v>
      </c>
      <c r="D7439" s="2">
        <f>HYPERLINK("http://mcb-m6.bioreg.kyushu-u.ac.jp/M3/20110318/F50622/1724/1", 44.5)</f>
        <v>44.5</v>
      </c>
      <c r="E7439" s="2">
        <v>19.440000000000001</v>
      </c>
      <c r="F7439" s="2">
        <v>1</v>
      </c>
      <c r="G7439" s="2" t="s">
        <v>10</v>
      </c>
    </row>
    <row r="7440" spans="1:9" x14ac:dyDescent="0.2">
      <c r="A7440" s="2" t="s">
        <v>3519</v>
      </c>
      <c r="B7440" s="2" t="s">
        <v>361</v>
      </c>
      <c r="C7440" s="2">
        <v>1605.6959999999999</v>
      </c>
      <c r="D7440" s="2">
        <f>HYPERLINK("http://mcb-m6.bioreg.kyushu-u.ac.jp/M3/20110318/F50600/1814/1", 45.33)</f>
        <v>45.33</v>
      </c>
      <c r="E7440" s="2">
        <v>27.15</v>
      </c>
      <c r="F7440" s="2">
        <v>1</v>
      </c>
      <c r="G7440" s="2" t="s">
        <v>10</v>
      </c>
    </row>
    <row r="7441" spans="1:9" x14ac:dyDescent="0.2">
      <c r="A7441" s="2" t="s">
        <v>3519</v>
      </c>
      <c r="B7441" s="2" t="s">
        <v>384</v>
      </c>
      <c r="C7441" s="2">
        <v>905.42899999999997</v>
      </c>
      <c r="D7441" s="2">
        <f>HYPERLINK("http://mcb-m6.bioreg.kyushu-u.ac.jp/M3/20110318/F50600/940/1", 45.63)</f>
        <v>45.63</v>
      </c>
      <c r="E7441" s="2">
        <v>30.74</v>
      </c>
      <c r="F7441" s="2">
        <v>1</v>
      </c>
      <c r="G7441" s="2" t="s">
        <v>10</v>
      </c>
      <c r="I7441" s="2" t="s">
        <v>4892</v>
      </c>
    </row>
    <row r="7442" spans="1:9" x14ac:dyDescent="0.2">
      <c r="A7442" s="2" t="s">
        <v>3519</v>
      </c>
      <c r="B7442" s="2" t="s">
        <v>384</v>
      </c>
      <c r="C7442" s="2">
        <v>905.29600000000005</v>
      </c>
      <c r="D7442" s="2">
        <f>HYPERLINK("http://mcb-m6.bioreg.kyushu-u.ac.jp/M3/20110318/F50622/793/1", 45.77)</f>
        <v>45.77</v>
      </c>
      <c r="E7442" s="2">
        <v>30.76</v>
      </c>
      <c r="F7442" s="2">
        <v>1</v>
      </c>
      <c r="G7442" s="2" t="s">
        <v>10</v>
      </c>
      <c r="I7442" s="2" t="s">
        <v>4892</v>
      </c>
    </row>
    <row r="7443" spans="1:9" x14ac:dyDescent="0.2">
      <c r="A7443" s="2" t="s">
        <v>3519</v>
      </c>
      <c r="B7443" s="2" t="s">
        <v>384</v>
      </c>
      <c r="C7443" s="2">
        <v>453.3621</v>
      </c>
      <c r="D7443" s="2">
        <f>HYPERLINK("http://mcb-m6.bioreg.kyushu-u.ac.jp/M3/20110318/F50622/798/1", 46.14)</f>
        <v>46.14</v>
      </c>
      <c r="E7443" s="2">
        <v>26.29</v>
      </c>
      <c r="F7443" s="2">
        <v>2</v>
      </c>
      <c r="G7443" s="2" t="s">
        <v>10</v>
      </c>
      <c r="I7443" s="2" t="s">
        <v>4892</v>
      </c>
    </row>
    <row r="7444" spans="1:9" x14ac:dyDescent="0.2">
      <c r="A7444" s="2" t="s">
        <v>3519</v>
      </c>
      <c r="B7444" s="2" t="s">
        <v>384</v>
      </c>
      <c r="C7444" s="2">
        <v>453.6841</v>
      </c>
      <c r="D7444" s="2">
        <f>HYPERLINK("http://mcb-m6.bioreg.kyushu-u.ac.jp/M3/20110318/F50622/801/1", 48.29)</f>
        <v>48.29</v>
      </c>
      <c r="E7444" s="2">
        <v>30.8</v>
      </c>
      <c r="F7444" s="2">
        <v>2</v>
      </c>
      <c r="G7444" s="2" t="s">
        <v>10</v>
      </c>
      <c r="I7444" s="2" t="s">
        <v>4892</v>
      </c>
    </row>
    <row r="7445" spans="1:9" x14ac:dyDescent="0.2">
      <c r="A7445" s="2" t="s">
        <v>3519</v>
      </c>
      <c r="B7445" s="2" t="s">
        <v>1818</v>
      </c>
      <c r="C7445" s="2">
        <v>532.43849999999998</v>
      </c>
      <c r="D7445" s="2">
        <f>HYPERLINK("http://mcb-m6.bioreg.kyushu-u.ac.jp/M3/20110318/F50622/1717/1", 49.31)</f>
        <v>49.31</v>
      </c>
      <c r="E7445" s="2">
        <v>35.06</v>
      </c>
      <c r="F7445" s="2">
        <v>3</v>
      </c>
      <c r="G7445" s="2" t="s">
        <v>10</v>
      </c>
    </row>
    <row r="7446" spans="1:9" x14ac:dyDescent="0.2">
      <c r="A7446" s="2" t="s">
        <v>3519</v>
      </c>
      <c r="B7446" s="2" t="s">
        <v>1763</v>
      </c>
      <c r="C7446" s="2">
        <v>625.78859999999997</v>
      </c>
      <c r="D7446" s="2">
        <f>HYPERLINK("http://mcb-m6.bioreg.kyushu-u.ac.jp/M3/20110318/F50622/1128/1", 52.44)</f>
        <v>52.44</v>
      </c>
      <c r="E7446" s="2">
        <v>27.77</v>
      </c>
      <c r="F7446" s="2">
        <v>2</v>
      </c>
      <c r="G7446" s="2" t="s">
        <v>10</v>
      </c>
      <c r="I7446" s="2" t="s">
        <v>4903</v>
      </c>
    </row>
    <row r="7447" spans="1:9" x14ac:dyDescent="0.2">
      <c r="A7447" s="2" t="s">
        <v>3519</v>
      </c>
      <c r="B7447" s="2" t="s">
        <v>361</v>
      </c>
      <c r="C7447" s="2">
        <v>803.83720000000005</v>
      </c>
      <c r="D7447" s="2">
        <f>HYPERLINK("http://mcb-m6.bioreg.kyushu-u.ac.jp/M3/20110318/F50600/1815/1", 54.7)</f>
        <v>54.7</v>
      </c>
      <c r="E7447" s="2">
        <v>33.44</v>
      </c>
      <c r="F7447" s="2">
        <v>2</v>
      </c>
      <c r="G7447" s="2" t="s">
        <v>10</v>
      </c>
    </row>
    <row r="7448" spans="1:9" x14ac:dyDescent="0.2">
      <c r="A7448" s="2" t="s">
        <v>3519</v>
      </c>
      <c r="B7448" s="2" t="s">
        <v>1709</v>
      </c>
      <c r="C7448" s="2">
        <v>1761.65</v>
      </c>
      <c r="D7448" s="2">
        <f>HYPERLINK("http://mcb-m6.bioreg.kyushu-u.ac.jp/M3/20110318/F50622/1934/1", 55.4)</f>
        <v>55.4</v>
      </c>
      <c r="E7448" s="2">
        <v>40.9</v>
      </c>
      <c r="F7448" s="2">
        <v>1</v>
      </c>
      <c r="G7448" s="2" t="s">
        <v>10</v>
      </c>
    </row>
    <row r="7449" spans="1:9" x14ac:dyDescent="0.2">
      <c r="A7449" s="2" t="s">
        <v>3519</v>
      </c>
      <c r="B7449" s="2" t="s">
        <v>1825</v>
      </c>
      <c r="C7449" s="2">
        <v>733.95320000000004</v>
      </c>
      <c r="D7449" s="2">
        <f>HYPERLINK("http://mcb-m6.bioreg.kyushu-u.ac.jp/M3/20110318/F50622/1418/1", 55.98)</f>
        <v>55.98</v>
      </c>
      <c r="E7449" s="2">
        <v>33.19</v>
      </c>
      <c r="F7449" s="2">
        <v>2</v>
      </c>
      <c r="G7449" s="2" t="s">
        <v>10</v>
      </c>
    </row>
    <row r="7450" spans="1:9" x14ac:dyDescent="0.2">
      <c r="A7450" s="2" t="s">
        <v>3519</v>
      </c>
      <c r="B7450" s="2" t="s">
        <v>1825</v>
      </c>
      <c r="C7450" s="2">
        <v>1466.6130000000001</v>
      </c>
      <c r="D7450" s="2">
        <f>HYPERLINK("http://mcb-m6.bioreg.kyushu-u.ac.jp/M3/20110318/F50622/1416/1", 56.84)</f>
        <v>56.84</v>
      </c>
      <c r="E7450" s="2">
        <v>39.380000000000003</v>
      </c>
      <c r="F7450" s="2">
        <v>1</v>
      </c>
      <c r="G7450" s="2" t="s">
        <v>10</v>
      </c>
    </row>
    <row r="7451" spans="1:9" x14ac:dyDescent="0.2">
      <c r="A7451" s="2" t="s">
        <v>3519</v>
      </c>
      <c r="B7451" s="2" t="s">
        <v>5320</v>
      </c>
      <c r="C7451" s="2">
        <v>853.17759999999998</v>
      </c>
      <c r="D7451" s="2">
        <f>HYPERLINK("http://mcb-m6.bioreg.kyushu-u.ac.jp/M3/20110318/F50622/2920/1", 58.19)</f>
        <v>58.19</v>
      </c>
      <c r="E7451" s="2">
        <v>39.04</v>
      </c>
      <c r="F7451" s="2">
        <v>3</v>
      </c>
      <c r="G7451" s="2" t="s">
        <v>10</v>
      </c>
      <c r="I7451" s="2" t="s">
        <v>4905</v>
      </c>
    </row>
    <row r="7452" spans="1:9" x14ac:dyDescent="0.2">
      <c r="A7452" s="2" t="s">
        <v>3519</v>
      </c>
      <c r="B7452" s="2" t="s">
        <v>1600</v>
      </c>
      <c r="C7452" s="2">
        <v>712.48479999999995</v>
      </c>
      <c r="D7452" s="2">
        <f>HYPERLINK("http://mcb-m6.bioreg.kyushu-u.ac.jp/M3/20110318/F50622/2422/1", 60.66)</f>
        <v>60.66</v>
      </c>
      <c r="E7452" s="2">
        <v>38.76</v>
      </c>
      <c r="F7452" s="2">
        <v>3</v>
      </c>
      <c r="G7452" s="2" t="s">
        <v>10</v>
      </c>
    </row>
    <row r="7453" spans="1:9" x14ac:dyDescent="0.2">
      <c r="A7453" s="2" t="s">
        <v>3519</v>
      </c>
      <c r="B7453" s="2" t="s">
        <v>1825</v>
      </c>
      <c r="C7453" s="2">
        <v>734.24220000000003</v>
      </c>
      <c r="D7453" s="2">
        <f>HYPERLINK("http://mcb-m6.bioreg.kyushu-u.ac.jp/M3/20110318/F50622/1421/1", 62.92)</f>
        <v>62.92</v>
      </c>
      <c r="E7453" s="2">
        <v>38.08</v>
      </c>
      <c r="F7453" s="2">
        <v>2</v>
      </c>
      <c r="G7453" s="2" t="s">
        <v>10</v>
      </c>
    </row>
    <row r="7454" spans="1:9" x14ac:dyDescent="0.2">
      <c r="A7454" s="2" t="s">
        <v>3519</v>
      </c>
      <c r="B7454" s="2" t="s">
        <v>1825</v>
      </c>
      <c r="C7454" s="2">
        <v>733.75369999999998</v>
      </c>
      <c r="D7454" s="2">
        <f>HYPERLINK("http://mcb-m6.bioreg.kyushu-u.ac.jp/M3/20110318/F50622/1411/1", 62.97)</f>
        <v>62.97</v>
      </c>
      <c r="E7454" s="2">
        <v>35.58</v>
      </c>
      <c r="F7454" s="2">
        <v>2</v>
      </c>
      <c r="G7454" s="2" t="s">
        <v>10</v>
      </c>
    </row>
    <row r="7455" spans="1:9" x14ac:dyDescent="0.2">
      <c r="A7455" s="2" t="s">
        <v>3519</v>
      </c>
      <c r="B7455" s="2" t="s">
        <v>1825</v>
      </c>
      <c r="C7455" s="2">
        <v>734.2192</v>
      </c>
      <c r="D7455" s="2">
        <f>HYPERLINK("http://mcb-m6.bioreg.kyushu-u.ac.jp/M3/20110318/F50622/1420/1", 64.15)</f>
        <v>64.150000000000006</v>
      </c>
      <c r="E7455" s="2">
        <v>38.270000000000003</v>
      </c>
      <c r="F7455" s="2">
        <v>2</v>
      </c>
      <c r="G7455" s="2" t="s">
        <v>10</v>
      </c>
    </row>
    <row r="7456" spans="1:9" x14ac:dyDescent="0.2">
      <c r="A7456" s="2" t="s">
        <v>3519</v>
      </c>
      <c r="B7456" s="2" t="s">
        <v>1825</v>
      </c>
      <c r="C7456" s="2">
        <v>733.71310000000005</v>
      </c>
      <c r="D7456" s="2">
        <f>HYPERLINK("http://mcb-m6.bioreg.kyushu-u.ac.jp/M3/20110318/F50622/1408/1", 70.34)</f>
        <v>70.34</v>
      </c>
      <c r="E7456" s="2">
        <v>35.15</v>
      </c>
      <c r="F7456" s="2">
        <v>2</v>
      </c>
      <c r="G7456" s="2" t="s">
        <v>10</v>
      </c>
    </row>
    <row r="7457" spans="1:8" x14ac:dyDescent="0.2">
      <c r="A7457" s="2" t="s">
        <v>3519</v>
      </c>
      <c r="B7457" s="2" t="s">
        <v>1600</v>
      </c>
      <c r="C7457" s="2">
        <v>1068.489</v>
      </c>
      <c r="D7457" s="2">
        <f>HYPERLINK("http://mcb-m6.bioreg.kyushu-u.ac.jp/M3/20110318/F50600/2334/1", 71.24)</f>
        <v>71.239999999999995</v>
      </c>
      <c r="E7457" s="2">
        <v>53.99</v>
      </c>
      <c r="F7457" s="2">
        <v>2</v>
      </c>
      <c r="G7457" s="2" t="s">
        <v>10</v>
      </c>
    </row>
    <row r="7458" spans="1:8" x14ac:dyDescent="0.2">
      <c r="A7458" s="2" t="s">
        <v>3519</v>
      </c>
      <c r="B7458" s="2" t="s">
        <v>1709</v>
      </c>
      <c r="C7458" s="2">
        <v>881.63369999999998</v>
      </c>
      <c r="D7458" s="2">
        <f>HYPERLINK("http://mcb-m6.bioreg.kyushu-u.ac.jp/M3/20110318/F50622/1937/1", 72.69)</f>
        <v>72.69</v>
      </c>
      <c r="E7458" s="2">
        <v>47.5</v>
      </c>
      <c r="F7458" s="2">
        <v>2</v>
      </c>
      <c r="G7458" s="2" t="s">
        <v>10</v>
      </c>
    </row>
    <row r="7459" spans="1:8" x14ac:dyDescent="0.2">
      <c r="A7459" s="2" t="s">
        <v>3519</v>
      </c>
      <c r="B7459" s="2" t="s">
        <v>1709</v>
      </c>
      <c r="C7459" s="2">
        <v>881.70370000000003</v>
      </c>
      <c r="D7459" s="2">
        <f>HYPERLINK("http://mcb-m6.bioreg.kyushu-u.ac.jp/M3/20110318/F50622/1938/1", 73.8)</f>
        <v>73.8</v>
      </c>
      <c r="E7459" s="2">
        <v>48.96</v>
      </c>
      <c r="F7459" s="2">
        <v>2</v>
      </c>
      <c r="G7459" s="2" t="s">
        <v>10</v>
      </c>
    </row>
    <row r="7460" spans="1:8" x14ac:dyDescent="0.2">
      <c r="A7460" s="2" t="s">
        <v>3519</v>
      </c>
      <c r="B7460" s="2" t="s">
        <v>1825</v>
      </c>
      <c r="C7460" s="2">
        <v>733.70669999999996</v>
      </c>
      <c r="D7460" s="2">
        <f>HYPERLINK("http://mcb-m6.bioreg.kyushu-u.ac.jp/M3/20110318/F50622/1407/1", 74.12)</f>
        <v>74.12</v>
      </c>
      <c r="E7460" s="2">
        <v>43.85</v>
      </c>
      <c r="F7460" s="2">
        <v>2</v>
      </c>
      <c r="G7460" s="2" t="s">
        <v>10</v>
      </c>
    </row>
    <row r="7461" spans="1:8" x14ac:dyDescent="0.2">
      <c r="A7461" s="2" t="s">
        <v>3519</v>
      </c>
      <c r="B7461" s="2" t="s">
        <v>1825</v>
      </c>
      <c r="C7461" s="2">
        <v>733.75369999999998</v>
      </c>
      <c r="D7461" s="2">
        <f>HYPERLINK("http://mcb-m6.bioreg.kyushu-u.ac.jp/M3/20110318/F50622/1412/1", 74.63)</f>
        <v>74.63</v>
      </c>
      <c r="E7461" s="2">
        <v>42.61</v>
      </c>
      <c r="F7461" s="2">
        <v>2</v>
      </c>
      <c r="G7461" s="2" t="s">
        <v>10</v>
      </c>
    </row>
    <row r="7462" spans="1:8" x14ac:dyDescent="0.2">
      <c r="A7462" s="2" t="s">
        <v>3519</v>
      </c>
      <c r="B7462" s="2" t="s">
        <v>1825</v>
      </c>
      <c r="C7462" s="2">
        <v>734.29719999999998</v>
      </c>
      <c r="D7462" s="2">
        <f>HYPERLINK("http://mcb-m6.bioreg.kyushu-u.ac.jp/M3/20110318/F50622/1423/1", 75.38)</f>
        <v>75.38</v>
      </c>
      <c r="E7462" s="2">
        <v>45.33</v>
      </c>
      <c r="F7462" s="2">
        <v>2</v>
      </c>
      <c r="G7462" s="2" t="s">
        <v>10</v>
      </c>
    </row>
    <row r="7463" spans="1:8" x14ac:dyDescent="0.2">
      <c r="A7463" s="2" t="s">
        <v>3519</v>
      </c>
      <c r="B7463" s="2" t="s">
        <v>1825</v>
      </c>
      <c r="C7463" s="2">
        <v>733.43769999999995</v>
      </c>
      <c r="D7463" s="2">
        <f>HYPERLINK("http://mcb-m6.bioreg.kyushu-u.ac.jp/M3/20110318/F50622/1404/1", 77.09)</f>
        <v>77.09</v>
      </c>
      <c r="E7463" s="2">
        <v>44.67</v>
      </c>
      <c r="F7463" s="2">
        <v>2</v>
      </c>
      <c r="G7463" s="2" t="s">
        <v>10</v>
      </c>
    </row>
    <row r="7464" spans="1:8" x14ac:dyDescent="0.2">
      <c r="A7464" s="2" t="s">
        <v>3519</v>
      </c>
      <c r="B7464" s="2" t="s">
        <v>1825</v>
      </c>
      <c r="C7464" s="2">
        <v>734.28060000000005</v>
      </c>
      <c r="D7464" s="2">
        <f>HYPERLINK("http://mcb-m6.bioreg.kyushu-u.ac.jp/M3/20110318/F50622/1422/1", 77.88)</f>
        <v>77.88</v>
      </c>
      <c r="E7464" s="2">
        <v>42.96</v>
      </c>
      <c r="F7464" s="2">
        <v>2</v>
      </c>
      <c r="G7464" s="2" t="s">
        <v>10</v>
      </c>
    </row>
    <row r="7465" spans="1:8" x14ac:dyDescent="0.2">
      <c r="A7465" s="2" t="s">
        <v>3519</v>
      </c>
      <c r="B7465" s="2" t="s">
        <v>1709</v>
      </c>
      <c r="C7465" s="2">
        <v>881.37120000000004</v>
      </c>
      <c r="D7465" s="2">
        <f>HYPERLINK("http://mcb-m6.bioreg.kyushu-u.ac.jp/M3/20110318/F50622/1935/1", 79.62)</f>
        <v>79.62</v>
      </c>
      <c r="E7465" s="2">
        <v>55.02</v>
      </c>
      <c r="F7465" s="2">
        <v>2</v>
      </c>
      <c r="G7465" s="2" t="s">
        <v>10</v>
      </c>
    </row>
    <row r="7466" spans="1:8" x14ac:dyDescent="0.2">
      <c r="A7466" s="2" t="s">
        <v>3519</v>
      </c>
      <c r="B7466" s="2" t="s">
        <v>1825</v>
      </c>
      <c r="C7466" s="2">
        <v>733.66719999999998</v>
      </c>
      <c r="D7466" s="2">
        <f>HYPERLINK("http://mcb-m6.bioreg.kyushu-u.ac.jp/M3/20110318/F50617/1520/1", 80.63)</f>
        <v>80.63</v>
      </c>
      <c r="E7466" s="2">
        <v>47.12</v>
      </c>
      <c r="F7466" s="2">
        <v>2</v>
      </c>
      <c r="G7466" s="2" t="s">
        <v>10</v>
      </c>
    </row>
    <row r="7467" spans="1:8" x14ac:dyDescent="0.2">
      <c r="A7467" s="2" t="s">
        <v>3519</v>
      </c>
      <c r="B7467" s="2" t="s">
        <v>1825</v>
      </c>
      <c r="C7467" s="2">
        <v>733.78060000000005</v>
      </c>
      <c r="D7467" s="2">
        <f>HYPERLINK("http://mcb-m6.bioreg.kyushu-u.ac.jp/M3/20110318/F50622/1414/1", 82.08)</f>
        <v>82.08</v>
      </c>
      <c r="E7467" s="2">
        <v>47.58</v>
      </c>
      <c r="F7467" s="2">
        <v>2</v>
      </c>
      <c r="G7467" s="2" t="s">
        <v>10</v>
      </c>
    </row>
    <row r="7468" spans="1:8" x14ac:dyDescent="0.2">
      <c r="A7468" s="2" t="s">
        <v>3519</v>
      </c>
      <c r="B7468" s="2" t="s">
        <v>1600</v>
      </c>
      <c r="C7468" s="2">
        <v>1068.1769999999999</v>
      </c>
      <c r="D7468" s="2">
        <f>HYPERLINK("http://mcb-m6.bioreg.kyushu-u.ac.jp/M3/20110318/F50622/2421/1", 82.27)</f>
        <v>82.27</v>
      </c>
      <c r="E7468" s="2">
        <v>60.85</v>
      </c>
      <c r="F7468" s="2">
        <v>2</v>
      </c>
      <c r="G7468" s="2" t="s">
        <v>10</v>
      </c>
    </row>
    <row r="7469" spans="1:8" x14ac:dyDescent="0.2">
      <c r="A7469" s="2" t="s">
        <v>3519</v>
      </c>
      <c r="B7469" s="2" t="s">
        <v>361</v>
      </c>
      <c r="C7469" s="2">
        <v>803.23360000000002</v>
      </c>
      <c r="D7469" s="2">
        <f>HYPERLINK("http://mcb-m6.bioreg.kyushu-u.ac.jp/M3/20110318/F50622/1725/1", 83.43)</f>
        <v>83.43</v>
      </c>
      <c r="E7469" s="2">
        <v>57.22</v>
      </c>
      <c r="F7469" s="2">
        <v>2</v>
      </c>
      <c r="G7469" s="2" t="s">
        <v>10</v>
      </c>
    </row>
    <row r="7470" spans="1:8" x14ac:dyDescent="0.2">
      <c r="A7470" s="2" t="s">
        <v>3519</v>
      </c>
      <c r="B7470" s="2" t="s">
        <v>1825</v>
      </c>
      <c r="C7470" s="2">
        <v>734.33810000000005</v>
      </c>
      <c r="D7470" s="2">
        <f>HYPERLINK("http://mcb-m6.bioreg.kyushu-u.ac.jp/M3/20110318/F50622/1424/1", 83.58)</f>
        <v>83.58</v>
      </c>
      <c r="E7470" s="2">
        <v>56.85</v>
      </c>
      <c r="F7470" s="2">
        <v>2</v>
      </c>
      <c r="G7470" s="2" t="s">
        <v>10</v>
      </c>
    </row>
    <row r="7471" spans="1:8" x14ac:dyDescent="0.2">
      <c r="A7471" s="2" t="s">
        <v>3519</v>
      </c>
      <c r="B7471" s="2" t="s">
        <v>1825</v>
      </c>
      <c r="C7471" s="2">
        <v>733.7527</v>
      </c>
      <c r="D7471" s="2">
        <f>HYPERLINK("http://mcb-m6.bioreg.kyushu-u.ac.jp/M3/20110318/F50622/1410/1", 83.84)</f>
        <v>83.84</v>
      </c>
      <c r="E7471" s="2">
        <v>53.78</v>
      </c>
      <c r="F7471" s="2">
        <v>2</v>
      </c>
      <c r="G7471" s="2" t="s">
        <v>10</v>
      </c>
    </row>
    <row r="7472" spans="1:8" x14ac:dyDescent="0.2">
      <c r="A7472" s="2" t="s">
        <v>3519</v>
      </c>
      <c r="B7472" s="2" t="s">
        <v>2123</v>
      </c>
      <c r="C7472" s="2">
        <v>1515.395</v>
      </c>
      <c r="D7472" s="2">
        <f>HYPERLINK("http://mcb-m6.bioreg.kyushu-u.ac.jp/M3/20110318/F50622/3219/1", 85.31)</f>
        <v>85.31</v>
      </c>
      <c r="E7472" s="2">
        <v>75.3</v>
      </c>
      <c r="F7472" s="2">
        <v>2</v>
      </c>
      <c r="G7472" s="2" t="s">
        <v>10</v>
      </c>
      <c r="H7472" s="2" t="s">
        <v>4973</v>
      </c>
    </row>
    <row r="7473" spans="1:9" x14ac:dyDescent="0.2">
      <c r="A7473" s="2" t="s">
        <v>3519</v>
      </c>
      <c r="B7473" s="2" t="s">
        <v>361</v>
      </c>
      <c r="C7473" s="2">
        <v>803.2672</v>
      </c>
      <c r="D7473" s="2">
        <f>HYPERLINK("http://mcb-m6.bioreg.kyushu-u.ac.jp/M3/20110318/F50622/1726/1", 85.38)</f>
        <v>85.38</v>
      </c>
      <c r="E7473" s="2">
        <v>55.8</v>
      </c>
      <c r="F7473" s="2">
        <v>2</v>
      </c>
      <c r="G7473" s="2" t="s">
        <v>10</v>
      </c>
    </row>
    <row r="7474" spans="1:9" x14ac:dyDescent="0.2">
      <c r="A7474" s="2" t="s">
        <v>3519</v>
      </c>
      <c r="B7474" s="2" t="s">
        <v>2056</v>
      </c>
      <c r="C7474" s="2">
        <v>1048.182</v>
      </c>
      <c r="D7474" s="2">
        <f>HYPERLINK("http://mcb-m6.bioreg.kyushu-u.ac.jp/M3/20110318/F50622/3327/1", 86.79)</f>
        <v>86.79</v>
      </c>
      <c r="E7474" s="2">
        <v>79.53</v>
      </c>
      <c r="F7474" s="2">
        <v>3</v>
      </c>
      <c r="G7474" s="2" t="s">
        <v>10</v>
      </c>
      <c r="H7474" s="2" t="s">
        <v>4917</v>
      </c>
    </row>
    <row r="7475" spans="1:9" x14ac:dyDescent="0.2">
      <c r="A7475" s="2" t="s">
        <v>3519</v>
      </c>
      <c r="B7475" s="2" t="s">
        <v>1825</v>
      </c>
      <c r="C7475" s="2">
        <v>734.34370000000001</v>
      </c>
      <c r="D7475" s="2">
        <f>HYPERLINK("http://mcb-m6.bioreg.kyushu-u.ac.jp/M3/20110318/F50622/1425/1", 87.62)</f>
        <v>87.62</v>
      </c>
      <c r="E7475" s="2">
        <v>57.85</v>
      </c>
      <c r="F7475" s="2">
        <v>2</v>
      </c>
      <c r="G7475" s="2" t="s">
        <v>10</v>
      </c>
    </row>
    <row r="7476" spans="1:9" x14ac:dyDescent="0.2">
      <c r="A7476" s="2" t="s">
        <v>3519</v>
      </c>
      <c r="B7476" s="2" t="s">
        <v>361</v>
      </c>
      <c r="C7476" s="2">
        <v>803.06920000000002</v>
      </c>
      <c r="D7476" s="2">
        <f>HYPERLINK("http://mcb-m6.bioreg.kyushu-u.ac.jp/M3/20110318/F50600/1813/1", 88.48)</f>
        <v>88.48</v>
      </c>
      <c r="E7476" s="2">
        <v>68.180000000000007</v>
      </c>
      <c r="F7476" s="2">
        <v>2</v>
      </c>
      <c r="G7476" s="2" t="s">
        <v>10</v>
      </c>
    </row>
    <row r="7477" spans="1:9" x14ac:dyDescent="0.2">
      <c r="A7477" s="2" t="s">
        <v>3519</v>
      </c>
      <c r="B7477" s="2" t="s">
        <v>1825</v>
      </c>
      <c r="C7477" s="2">
        <v>733.83219999999994</v>
      </c>
      <c r="D7477" s="2">
        <f>HYPERLINK("http://mcb-m6.bioreg.kyushu-u.ac.jp/M3/20110318/F50600/1525/1", 91.23)</f>
        <v>91.23</v>
      </c>
      <c r="E7477" s="2">
        <v>61.71</v>
      </c>
      <c r="F7477" s="2">
        <v>2</v>
      </c>
      <c r="G7477" s="2" t="s">
        <v>10</v>
      </c>
    </row>
    <row r="7478" spans="1:9" x14ac:dyDescent="0.2">
      <c r="A7478" s="2" t="s">
        <v>3519</v>
      </c>
      <c r="B7478" s="2" t="s">
        <v>2123</v>
      </c>
      <c r="C7478" s="2">
        <v>1499.4179999999999</v>
      </c>
      <c r="D7478" s="2">
        <f>HYPERLINK("http://mcb-m6.bioreg.kyushu-u.ac.jp/M3/20110318/F50622/3189/1", 95.37)</f>
        <v>95.37</v>
      </c>
      <c r="E7478" s="2">
        <v>86.66</v>
      </c>
      <c r="F7478" s="2">
        <v>2</v>
      </c>
      <c r="G7478" s="2" t="s">
        <v>10</v>
      </c>
    </row>
    <row r="7479" spans="1:9" x14ac:dyDescent="0.2">
      <c r="A7479" s="2" t="s">
        <v>3519</v>
      </c>
      <c r="B7479" s="2" t="s">
        <v>2123</v>
      </c>
      <c r="C7479" s="2">
        <v>1506.895</v>
      </c>
      <c r="D7479" s="2">
        <f>HYPERLINK("http://mcb-m6.bioreg.kyushu-u.ac.jp/M3/20110318/F50622/3196/1", 98.85)</f>
        <v>98.85</v>
      </c>
      <c r="E7479" s="2">
        <v>84.17</v>
      </c>
      <c r="F7479" s="2">
        <v>2</v>
      </c>
      <c r="G7479" s="2" t="s">
        <v>10</v>
      </c>
      <c r="H7479" s="2" t="s">
        <v>4917</v>
      </c>
    </row>
    <row r="7480" spans="1:9" x14ac:dyDescent="0.2">
      <c r="A7480" s="2" t="s">
        <v>3519</v>
      </c>
      <c r="B7480" s="2" t="s">
        <v>1825</v>
      </c>
      <c r="C7480" s="2">
        <v>733.64760000000001</v>
      </c>
      <c r="D7480" s="2">
        <f>HYPERLINK("http://mcb-m6.bioreg.kyushu-u.ac.jp/M3/20110318/F50622/1406/1", 100.8)</f>
        <v>100.8</v>
      </c>
      <c r="E7480" s="2">
        <v>69.569999999999993</v>
      </c>
      <c r="F7480" s="2">
        <v>2</v>
      </c>
      <c r="G7480" s="2" t="s">
        <v>10</v>
      </c>
    </row>
    <row r="7481" spans="1:9" x14ac:dyDescent="0.2">
      <c r="A7481" s="2" t="s">
        <v>3519</v>
      </c>
      <c r="B7481" s="2" t="s">
        <v>2123</v>
      </c>
      <c r="C7481" s="2">
        <v>1507.415</v>
      </c>
      <c r="D7481" s="2">
        <f>HYPERLINK("http://mcb-m6.bioreg.kyushu-u.ac.jp/M3/20110318/F50622/3199/1", 101.99)</f>
        <v>101.99</v>
      </c>
      <c r="E7481" s="2">
        <v>86.73</v>
      </c>
      <c r="F7481" s="2">
        <v>2</v>
      </c>
      <c r="G7481" s="2" t="s">
        <v>10</v>
      </c>
      <c r="H7481" s="2" t="s">
        <v>4917</v>
      </c>
    </row>
    <row r="7482" spans="1:9" x14ac:dyDescent="0.2">
      <c r="A7482" s="2" t="s">
        <v>3519</v>
      </c>
      <c r="B7482" s="2" t="s">
        <v>1825</v>
      </c>
      <c r="C7482" s="2">
        <v>734.19759999999997</v>
      </c>
      <c r="D7482" s="2">
        <f>HYPERLINK("http://mcb-m6.bioreg.kyushu-u.ac.jp/M3/20110418/F50971/2070/1", 45.96)</f>
        <v>45.96</v>
      </c>
      <c r="E7482" s="2">
        <v>16.8</v>
      </c>
      <c r="F7482" s="2">
        <v>2</v>
      </c>
      <c r="G7482" s="2" t="s">
        <v>11</v>
      </c>
    </row>
    <row r="7483" spans="1:9" x14ac:dyDescent="0.2">
      <c r="A7483" s="2" t="s">
        <v>3519</v>
      </c>
      <c r="B7483" s="2" t="s">
        <v>1825</v>
      </c>
      <c r="C7483" s="2">
        <v>733.97720000000004</v>
      </c>
      <c r="D7483" s="2">
        <f>HYPERLINK("http://mcb-m6.bioreg.kyushu-u.ac.jp/M3/20110418/F50969/2109/1", 46.23)</f>
        <v>46.23</v>
      </c>
      <c r="E7483" s="2">
        <v>26.84</v>
      </c>
      <c r="F7483" s="2">
        <v>2</v>
      </c>
      <c r="G7483" s="2" t="s">
        <v>11</v>
      </c>
    </row>
    <row r="7484" spans="1:9" x14ac:dyDescent="0.2">
      <c r="A7484" s="2" t="s">
        <v>3519</v>
      </c>
      <c r="B7484" s="2" t="s">
        <v>1825</v>
      </c>
      <c r="C7484" s="2">
        <v>734.16560000000004</v>
      </c>
      <c r="D7484" s="2">
        <f>HYPERLINK("http://mcb-m6.bioreg.kyushu-u.ac.jp/M3/20110418/F50969/2110/1", 70.76)</f>
        <v>70.760000000000005</v>
      </c>
      <c r="E7484" s="2">
        <v>40.5</v>
      </c>
      <c r="F7484" s="2">
        <v>2</v>
      </c>
      <c r="G7484" s="2" t="s">
        <v>11</v>
      </c>
    </row>
    <row r="7485" spans="1:9" x14ac:dyDescent="0.2">
      <c r="A7485" s="2" t="s">
        <v>3519</v>
      </c>
      <c r="B7485" s="2" t="s">
        <v>384</v>
      </c>
      <c r="C7485" s="2">
        <v>453.28059999999999</v>
      </c>
      <c r="D7485" s="2">
        <f>HYPERLINK("http://mcb-m6.bioreg.kyushu-u.ac.jp/M3/20110418/F50980/1576/1", 36.61)</f>
        <v>36.61</v>
      </c>
      <c r="E7485" s="2">
        <v>14.17</v>
      </c>
      <c r="F7485" s="2">
        <v>2</v>
      </c>
      <c r="G7485" s="2" t="s">
        <v>12</v>
      </c>
      <c r="I7485" s="2" t="s">
        <v>4892</v>
      </c>
    </row>
    <row r="7486" spans="1:9" x14ac:dyDescent="0.2">
      <c r="A7486" s="2" t="s">
        <v>3519</v>
      </c>
      <c r="B7486" s="2" t="s">
        <v>384</v>
      </c>
      <c r="C7486" s="2">
        <v>905.24199999999996</v>
      </c>
      <c r="D7486" s="2">
        <f>HYPERLINK("http://mcb-m6.bioreg.kyushu-u.ac.jp/M3/20110418/F50982/1610/1", 37.75)</f>
        <v>37.75</v>
      </c>
      <c r="E7486" s="2">
        <v>23.65</v>
      </c>
      <c r="F7486" s="2">
        <v>1</v>
      </c>
      <c r="G7486" s="2" t="s">
        <v>12</v>
      </c>
      <c r="I7486" s="2" t="s">
        <v>4892</v>
      </c>
    </row>
    <row r="7487" spans="1:9" x14ac:dyDescent="0.2">
      <c r="A7487" s="2" t="s">
        <v>3519</v>
      </c>
      <c r="B7487" s="2" t="s">
        <v>384</v>
      </c>
      <c r="C7487" s="2">
        <v>905.27200000000005</v>
      </c>
      <c r="D7487" s="2">
        <f>HYPERLINK("http://mcb-m6.bioreg.kyushu-u.ac.jp/M3/20110418/F51005/1416/1", 38.21)</f>
        <v>38.21</v>
      </c>
      <c r="E7487" s="2">
        <v>19.940000000000001</v>
      </c>
      <c r="F7487" s="2">
        <v>1</v>
      </c>
      <c r="G7487" s="2" t="s">
        <v>12</v>
      </c>
      <c r="I7487" s="2" t="s">
        <v>4892</v>
      </c>
    </row>
    <row r="7488" spans="1:9" x14ac:dyDescent="0.2">
      <c r="A7488" s="2" t="s">
        <v>3519</v>
      </c>
      <c r="B7488" s="2" t="s">
        <v>1825</v>
      </c>
      <c r="C7488" s="2">
        <v>734.24869999999999</v>
      </c>
      <c r="D7488" s="2">
        <f>HYPERLINK("http://mcb-m6.bioreg.kyushu-u.ac.jp/M3/20110418/F50980/2084/1", 38.96)</f>
        <v>38.96</v>
      </c>
      <c r="E7488" s="2">
        <v>18.63</v>
      </c>
      <c r="F7488" s="2">
        <v>2</v>
      </c>
      <c r="G7488" s="2" t="s">
        <v>12</v>
      </c>
    </row>
    <row r="7489" spans="1:9" x14ac:dyDescent="0.2">
      <c r="A7489" s="2" t="s">
        <v>3519</v>
      </c>
      <c r="B7489" s="2" t="s">
        <v>384</v>
      </c>
      <c r="C7489" s="2">
        <v>905.34500000000003</v>
      </c>
      <c r="D7489" s="2">
        <f>HYPERLINK("http://mcb-m6.bioreg.kyushu-u.ac.jp/M3/20110418/F51005/1418/1", 40.52)</f>
        <v>40.520000000000003</v>
      </c>
      <c r="E7489" s="2">
        <v>28.69</v>
      </c>
      <c r="F7489" s="2">
        <v>1</v>
      </c>
      <c r="G7489" s="2" t="s">
        <v>12</v>
      </c>
      <c r="I7489" s="2" t="s">
        <v>4892</v>
      </c>
    </row>
    <row r="7490" spans="1:9" x14ac:dyDescent="0.2">
      <c r="A7490" s="2" t="s">
        <v>3519</v>
      </c>
      <c r="B7490" s="2" t="s">
        <v>384</v>
      </c>
      <c r="C7490" s="2">
        <v>453.46109999999999</v>
      </c>
      <c r="D7490" s="2">
        <f>HYPERLINK("http://mcb-m6.bioreg.kyushu-u.ac.jp/M3/20110418/F51005/1421/1", 40.63)</f>
        <v>40.630000000000003</v>
      </c>
      <c r="E7490" s="2">
        <v>13.96</v>
      </c>
      <c r="F7490" s="2">
        <v>2</v>
      </c>
      <c r="G7490" s="2" t="s">
        <v>12</v>
      </c>
      <c r="I7490" s="2" t="s">
        <v>4892</v>
      </c>
    </row>
    <row r="7491" spans="1:9" x14ac:dyDescent="0.2">
      <c r="A7491" s="2" t="s">
        <v>3519</v>
      </c>
      <c r="B7491" s="2" t="s">
        <v>384</v>
      </c>
      <c r="C7491" s="2">
        <v>905.33900000000006</v>
      </c>
      <c r="D7491" s="2">
        <f>HYPERLINK("http://mcb-m6.bioreg.kyushu-u.ac.jp/M3/20110418/F50981/1747/1", 40.76)</f>
        <v>40.76</v>
      </c>
      <c r="E7491" s="2">
        <v>22.82</v>
      </c>
      <c r="F7491" s="2">
        <v>1</v>
      </c>
      <c r="G7491" s="2" t="s">
        <v>12</v>
      </c>
      <c r="I7491" s="2" t="s">
        <v>4892</v>
      </c>
    </row>
    <row r="7492" spans="1:9" x14ac:dyDescent="0.2">
      <c r="A7492" s="2" t="s">
        <v>3519</v>
      </c>
      <c r="B7492" s="2" t="s">
        <v>361</v>
      </c>
      <c r="C7492" s="2">
        <v>1605.5989999999999</v>
      </c>
      <c r="D7492" s="2">
        <f>HYPERLINK("http://mcb-m6.bioreg.kyushu-u.ac.jp/M3/20110418/F51005/2130/1", 41.1)</f>
        <v>41.1</v>
      </c>
      <c r="E7492" s="2">
        <v>24.73</v>
      </c>
      <c r="F7492" s="2">
        <v>1</v>
      </c>
      <c r="G7492" s="2" t="s">
        <v>12</v>
      </c>
    </row>
    <row r="7493" spans="1:9" x14ac:dyDescent="0.2">
      <c r="A7493" s="2" t="s">
        <v>3519</v>
      </c>
      <c r="B7493" s="2" t="s">
        <v>384</v>
      </c>
      <c r="C7493" s="2">
        <v>452.91410000000002</v>
      </c>
      <c r="D7493" s="2">
        <f>HYPERLINK("http://mcb-m6.bioreg.kyushu-u.ac.jp/M3/20110418/F51005/1413/1", 43.79)</f>
        <v>43.79</v>
      </c>
      <c r="E7493" s="2">
        <v>16.920000000000002</v>
      </c>
      <c r="F7493" s="2">
        <v>2</v>
      </c>
      <c r="G7493" s="2" t="s">
        <v>12</v>
      </c>
      <c r="I7493" s="2" t="s">
        <v>4892</v>
      </c>
    </row>
    <row r="7494" spans="1:9" x14ac:dyDescent="0.2">
      <c r="A7494" s="2" t="s">
        <v>3519</v>
      </c>
      <c r="B7494" s="2" t="s">
        <v>384</v>
      </c>
      <c r="C7494" s="2">
        <v>905.26199999999994</v>
      </c>
      <c r="D7494" s="2">
        <f>HYPERLINK("http://mcb-m6.bioreg.kyushu-u.ac.jp/M3/20110418/F50983/1551/1", 45.16)</f>
        <v>45.16</v>
      </c>
      <c r="E7494" s="2">
        <v>32.159999999999997</v>
      </c>
      <c r="F7494" s="2">
        <v>1</v>
      </c>
      <c r="G7494" s="2" t="s">
        <v>12</v>
      </c>
      <c r="I7494" s="2" t="s">
        <v>4892</v>
      </c>
    </row>
    <row r="7495" spans="1:9" x14ac:dyDescent="0.2">
      <c r="A7495" s="2" t="s">
        <v>3519</v>
      </c>
      <c r="B7495" s="2" t="s">
        <v>384</v>
      </c>
      <c r="C7495" s="2">
        <v>905.30499999999995</v>
      </c>
      <c r="D7495" s="2">
        <f>HYPERLINK("http://mcb-m6.bioreg.kyushu-u.ac.jp/M3/20110418/F50988/1290/1", 45.29)</f>
        <v>45.29</v>
      </c>
      <c r="E7495" s="2">
        <v>28.51</v>
      </c>
      <c r="F7495" s="2">
        <v>1</v>
      </c>
      <c r="G7495" s="2" t="s">
        <v>12</v>
      </c>
      <c r="I7495" s="2" t="s">
        <v>4892</v>
      </c>
    </row>
    <row r="7496" spans="1:9" x14ac:dyDescent="0.2">
      <c r="A7496" s="2" t="s">
        <v>3519</v>
      </c>
      <c r="B7496" s="2" t="s">
        <v>384</v>
      </c>
      <c r="C7496" s="2">
        <v>905.39400000000001</v>
      </c>
      <c r="D7496" s="2">
        <f>HYPERLINK("http://mcb-m6.bioreg.kyushu-u.ac.jp/M3/20110418/F50981/1748/1", 45.35)</f>
        <v>45.35</v>
      </c>
      <c r="E7496" s="2">
        <v>30.44</v>
      </c>
      <c r="F7496" s="2">
        <v>1</v>
      </c>
      <c r="G7496" s="2" t="s">
        <v>12</v>
      </c>
      <c r="I7496" s="2" t="s">
        <v>4892</v>
      </c>
    </row>
    <row r="7497" spans="1:9" x14ac:dyDescent="0.2">
      <c r="A7497" s="2" t="s">
        <v>3519</v>
      </c>
      <c r="B7497" s="2" t="s">
        <v>384</v>
      </c>
      <c r="C7497" s="2">
        <v>905.45399999999995</v>
      </c>
      <c r="D7497" s="2">
        <f>HYPERLINK("http://mcb-m6.bioreg.kyushu-u.ac.jp/M3/20110418/F50980/1575/1", 45.39)</f>
        <v>45.39</v>
      </c>
      <c r="E7497" s="2">
        <v>30.57</v>
      </c>
      <c r="F7497" s="2">
        <v>1</v>
      </c>
      <c r="G7497" s="2" t="s">
        <v>12</v>
      </c>
      <c r="I7497" s="2" t="s">
        <v>4892</v>
      </c>
    </row>
    <row r="7498" spans="1:9" x14ac:dyDescent="0.2">
      <c r="A7498" s="2" t="s">
        <v>3519</v>
      </c>
      <c r="B7498" s="2" t="s">
        <v>384</v>
      </c>
      <c r="C7498" s="2">
        <v>452.98509999999999</v>
      </c>
      <c r="D7498" s="2">
        <f>HYPERLINK("http://mcb-m6.bioreg.kyushu-u.ac.jp/M3/20110418/F51005/1414/1", 46.99)</f>
        <v>46.99</v>
      </c>
      <c r="E7498" s="2">
        <v>27.29</v>
      </c>
      <c r="F7498" s="2">
        <v>2</v>
      </c>
      <c r="G7498" s="2" t="s">
        <v>12</v>
      </c>
      <c r="I7498" s="2" t="s">
        <v>4892</v>
      </c>
    </row>
    <row r="7499" spans="1:9" x14ac:dyDescent="0.2">
      <c r="A7499" s="2" t="s">
        <v>3519</v>
      </c>
      <c r="B7499" s="2" t="s">
        <v>1825</v>
      </c>
      <c r="C7499" s="2">
        <v>734.20420000000001</v>
      </c>
      <c r="D7499" s="2">
        <f>HYPERLINK("http://mcb-m6.bioreg.kyushu-u.ac.jp/M3/20110418/F50980/2083/1", 47.65)</f>
        <v>47.65</v>
      </c>
      <c r="E7499" s="2">
        <v>28.47</v>
      </c>
      <c r="F7499" s="2">
        <v>2</v>
      </c>
      <c r="G7499" s="2" t="s">
        <v>12</v>
      </c>
    </row>
    <row r="7500" spans="1:9" x14ac:dyDescent="0.2">
      <c r="A7500" s="2" t="s">
        <v>3519</v>
      </c>
      <c r="B7500" s="2" t="s">
        <v>361</v>
      </c>
      <c r="C7500" s="2">
        <v>803.67359999999996</v>
      </c>
      <c r="D7500" s="2">
        <f>HYPERLINK("http://mcb-m6.bioreg.kyushu-u.ac.jp/M3/20110418/F51005/2132/1", 48.24)</f>
        <v>48.24</v>
      </c>
      <c r="E7500" s="2">
        <v>23.94</v>
      </c>
      <c r="F7500" s="2">
        <v>2</v>
      </c>
      <c r="G7500" s="2" t="s">
        <v>12</v>
      </c>
    </row>
    <row r="7501" spans="1:9" x14ac:dyDescent="0.2">
      <c r="A7501" s="2" t="s">
        <v>3519</v>
      </c>
      <c r="B7501" s="2" t="s">
        <v>1825</v>
      </c>
      <c r="C7501" s="2">
        <v>734.30909999999994</v>
      </c>
      <c r="D7501" s="2">
        <f>HYPERLINK("http://mcb-m6.bioreg.kyushu-u.ac.jp/M3/20110418/F50980/2086/1", 48.78)</f>
        <v>48.78</v>
      </c>
      <c r="E7501" s="2">
        <v>27.94</v>
      </c>
      <c r="F7501" s="2">
        <v>2</v>
      </c>
      <c r="G7501" s="2" t="s">
        <v>12</v>
      </c>
    </row>
    <row r="7502" spans="1:9" x14ac:dyDescent="0.2">
      <c r="A7502" s="2" t="s">
        <v>3519</v>
      </c>
      <c r="B7502" s="2" t="s">
        <v>384</v>
      </c>
      <c r="C7502" s="2">
        <v>453.07909999999998</v>
      </c>
      <c r="D7502" s="2">
        <f>HYPERLINK("http://mcb-m6.bioreg.kyushu-u.ac.jp/M3/20110418/F51005/1415/1", 50.65)</f>
        <v>50.65</v>
      </c>
      <c r="E7502" s="2">
        <v>33.43</v>
      </c>
      <c r="F7502" s="2">
        <v>2</v>
      </c>
      <c r="G7502" s="2" t="s">
        <v>12</v>
      </c>
      <c r="I7502" s="2" t="s">
        <v>4892</v>
      </c>
    </row>
    <row r="7503" spans="1:9" x14ac:dyDescent="0.2">
      <c r="A7503" s="2" t="s">
        <v>3519</v>
      </c>
      <c r="B7503" s="2" t="s">
        <v>1825</v>
      </c>
      <c r="C7503" s="2">
        <v>734.32169999999996</v>
      </c>
      <c r="D7503" s="2">
        <f>HYPERLINK("http://mcb-m6.bioreg.kyushu-u.ac.jp/M3/20110418/F50983/1994/1", 56.17)</f>
        <v>56.17</v>
      </c>
      <c r="E7503" s="2">
        <v>33.89</v>
      </c>
      <c r="F7503" s="2">
        <v>2</v>
      </c>
      <c r="G7503" s="2" t="s">
        <v>12</v>
      </c>
    </row>
    <row r="7504" spans="1:9" x14ac:dyDescent="0.2">
      <c r="A7504" s="2" t="s">
        <v>3519</v>
      </c>
      <c r="B7504" s="2" t="s">
        <v>1825</v>
      </c>
      <c r="C7504" s="2">
        <v>734.37120000000004</v>
      </c>
      <c r="D7504" s="2">
        <f>HYPERLINK("http://mcb-m6.bioreg.kyushu-u.ac.jp/M3/20110418/F50981/2021/1", 61.31)</f>
        <v>61.31</v>
      </c>
      <c r="E7504" s="2">
        <v>33.9</v>
      </c>
      <c r="F7504" s="2">
        <v>2</v>
      </c>
      <c r="G7504" s="2" t="s">
        <v>12</v>
      </c>
    </row>
    <row r="7505" spans="1:9" x14ac:dyDescent="0.2">
      <c r="A7505" s="2" t="s">
        <v>3519</v>
      </c>
      <c r="B7505" s="2" t="s">
        <v>361</v>
      </c>
      <c r="C7505" s="2">
        <v>803.64369999999997</v>
      </c>
      <c r="D7505" s="2">
        <f>HYPERLINK("http://mcb-m6.bioreg.kyushu-u.ac.jp/M3/20110418/F50997/2281/1", 61.34)</f>
        <v>61.34</v>
      </c>
      <c r="E7505" s="2">
        <v>44.86</v>
      </c>
      <c r="F7505" s="2">
        <v>2</v>
      </c>
      <c r="G7505" s="2" t="s">
        <v>12</v>
      </c>
    </row>
    <row r="7506" spans="1:9" x14ac:dyDescent="0.2">
      <c r="A7506" s="2" t="s">
        <v>3519</v>
      </c>
      <c r="B7506" s="2" t="s">
        <v>1825</v>
      </c>
      <c r="C7506" s="2">
        <v>734.37220000000002</v>
      </c>
      <c r="D7506" s="2">
        <f>HYPERLINK("http://mcb-m6.bioreg.kyushu-u.ac.jp/M3/20110418/F50983/1995/1", 63.67)</f>
        <v>63.67</v>
      </c>
      <c r="E7506" s="2">
        <v>38.229999999999997</v>
      </c>
      <c r="F7506" s="2">
        <v>2</v>
      </c>
      <c r="G7506" s="2" t="s">
        <v>12</v>
      </c>
    </row>
    <row r="7507" spans="1:9" x14ac:dyDescent="0.2">
      <c r="A7507" s="2" t="s">
        <v>3519</v>
      </c>
      <c r="B7507" s="2" t="s">
        <v>1825</v>
      </c>
      <c r="C7507" s="2">
        <v>734.36519999999996</v>
      </c>
      <c r="D7507" s="2">
        <f>HYPERLINK("http://mcb-m6.bioreg.kyushu-u.ac.jp/M3/20110418/F50981/2020/1", 64.68)</f>
        <v>64.680000000000007</v>
      </c>
      <c r="E7507" s="2">
        <v>39.04</v>
      </c>
      <c r="F7507" s="2">
        <v>2</v>
      </c>
      <c r="G7507" s="2" t="s">
        <v>12</v>
      </c>
    </row>
    <row r="7508" spans="1:9" x14ac:dyDescent="0.2">
      <c r="A7508" s="2" t="s">
        <v>3519</v>
      </c>
      <c r="B7508" s="2" t="s">
        <v>361</v>
      </c>
      <c r="C7508" s="2">
        <v>803.77719999999999</v>
      </c>
      <c r="D7508" s="2">
        <f>HYPERLINK("http://mcb-m6.bioreg.kyushu-u.ac.jp/M3/20110418/F50980/2290/1", 66.3)</f>
        <v>66.3</v>
      </c>
      <c r="E7508" s="2">
        <v>38.869999999999997</v>
      </c>
      <c r="F7508" s="2">
        <v>2</v>
      </c>
      <c r="G7508" s="2" t="s">
        <v>12</v>
      </c>
    </row>
    <row r="7509" spans="1:9" x14ac:dyDescent="0.2">
      <c r="A7509" s="2" t="s">
        <v>3519</v>
      </c>
      <c r="B7509" s="2" t="s">
        <v>1825</v>
      </c>
      <c r="C7509" s="2">
        <v>734.23860000000002</v>
      </c>
      <c r="D7509" s="2">
        <f>HYPERLINK("http://mcb-m6.bioreg.kyushu-u.ac.jp/M3/20110418/F51005/1971/1", 66.87)</f>
        <v>66.87</v>
      </c>
      <c r="E7509" s="2">
        <v>42.81</v>
      </c>
      <c r="F7509" s="2">
        <v>2</v>
      </c>
      <c r="G7509" s="2" t="s">
        <v>12</v>
      </c>
    </row>
    <row r="7510" spans="1:9" x14ac:dyDescent="0.2">
      <c r="A7510" s="2" t="s">
        <v>3519</v>
      </c>
      <c r="B7510" s="2" t="s">
        <v>1825</v>
      </c>
      <c r="C7510" s="2">
        <v>734.36720000000003</v>
      </c>
      <c r="D7510" s="2">
        <f>HYPERLINK("http://mcb-m6.bioreg.kyushu-u.ac.jp/M3/20110418/F51005/1974/1", 68.59)</f>
        <v>68.59</v>
      </c>
      <c r="E7510" s="2">
        <v>37.409999999999997</v>
      </c>
      <c r="F7510" s="2">
        <v>2</v>
      </c>
      <c r="G7510" s="2" t="s">
        <v>12</v>
      </c>
    </row>
    <row r="7511" spans="1:9" x14ac:dyDescent="0.2">
      <c r="A7511" s="2" t="s">
        <v>3519</v>
      </c>
      <c r="B7511" s="2" t="s">
        <v>1825</v>
      </c>
      <c r="C7511" s="2">
        <v>733.71169999999995</v>
      </c>
      <c r="D7511" s="2">
        <f>HYPERLINK("http://mcb-m6.bioreg.kyushu-u.ac.jp/M3/20110418/F50981/2017/1", 74.28)</f>
        <v>74.28</v>
      </c>
      <c r="E7511" s="2">
        <v>39.21</v>
      </c>
      <c r="F7511" s="2">
        <v>2</v>
      </c>
      <c r="G7511" s="2" t="s">
        <v>12</v>
      </c>
    </row>
    <row r="7512" spans="1:9" x14ac:dyDescent="0.2">
      <c r="A7512" s="2" t="s">
        <v>3519</v>
      </c>
      <c r="B7512" s="2" t="s">
        <v>361</v>
      </c>
      <c r="C7512" s="2">
        <v>803.71720000000005</v>
      </c>
      <c r="D7512" s="2">
        <f>HYPERLINK("http://mcb-m6.bioreg.kyushu-u.ac.jp/M3/20110418/F50981/2153/1", 74.5)</f>
        <v>74.5</v>
      </c>
      <c r="E7512" s="2">
        <v>49.62</v>
      </c>
      <c r="F7512" s="2">
        <v>2</v>
      </c>
      <c r="G7512" s="2" t="s">
        <v>12</v>
      </c>
    </row>
    <row r="7513" spans="1:9" x14ac:dyDescent="0.2">
      <c r="A7513" s="2" t="s">
        <v>3519</v>
      </c>
      <c r="B7513" s="2" t="s">
        <v>1825</v>
      </c>
      <c r="C7513" s="2">
        <v>734.26210000000003</v>
      </c>
      <c r="D7513" s="2">
        <f>HYPERLINK("http://mcb-m6.bioreg.kyushu-u.ac.jp/M3/20110418/F50980/2085/1", 74.52)</f>
        <v>74.52</v>
      </c>
      <c r="E7513" s="2">
        <v>52.98</v>
      </c>
      <c r="F7513" s="2">
        <v>2</v>
      </c>
      <c r="G7513" s="2" t="s">
        <v>12</v>
      </c>
    </row>
    <row r="7514" spans="1:9" x14ac:dyDescent="0.2">
      <c r="A7514" s="2" t="s">
        <v>3519</v>
      </c>
      <c r="B7514" s="2" t="s">
        <v>361</v>
      </c>
      <c r="C7514" s="2">
        <v>803.33259999999996</v>
      </c>
      <c r="D7514" s="2">
        <f>HYPERLINK("http://mcb-m6.bioreg.kyushu-u.ac.jp/M3/20110418/F50988/2357/1", 74.87)</f>
        <v>74.87</v>
      </c>
      <c r="E7514" s="2">
        <v>38.82</v>
      </c>
      <c r="F7514" s="2">
        <v>2</v>
      </c>
      <c r="G7514" s="2" t="s">
        <v>12</v>
      </c>
    </row>
    <row r="7515" spans="1:9" x14ac:dyDescent="0.2">
      <c r="A7515" s="2" t="s">
        <v>3519</v>
      </c>
      <c r="B7515" s="2" t="s">
        <v>361</v>
      </c>
      <c r="C7515" s="2">
        <v>803.15869999999995</v>
      </c>
      <c r="D7515" s="2">
        <f>HYPERLINK("http://mcb-m6.bioreg.kyushu-u.ac.jp/M3/20110418/F50981/2152/1", 76.21)</f>
        <v>76.209999999999994</v>
      </c>
      <c r="E7515" s="2">
        <v>52.31</v>
      </c>
      <c r="F7515" s="2">
        <v>2</v>
      </c>
      <c r="G7515" s="2" t="s">
        <v>12</v>
      </c>
    </row>
    <row r="7516" spans="1:9" x14ac:dyDescent="0.2">
      <c r="A7516" s="2" t="s">
        <v>3519</v>
      </c>
      <c r="B7516" s="2" t="s">
        <v>1825</v>
      </c>
      <c r="C7516" s="2">
        <v>733.70719999999994</v>
      </c>
      <c r="D7516" s="2">
        <f>HYPERLINK("http://mcb-m6.bioreg.kyushu-u.ac.jp/M3/20110418/F51005/1969/1", 79.59)</f>
        <v>79.59</v>
      </c>
      <c r="E7516" s="2">
        <v>45.46</v>
      </c>
      <c r="F7516" s="2">
        <v>2</v>
      </c>
      <c r="G7516" s="2" t="s">
        <v>12</v>
      </c>
    </row>
    <row r="7517" spans="1:9" x14ac:dyDescent="0.2">
      <c r="A7517" s="2" t="s">
        <v>3519</v>
      </c>
      <c r="B7517" s="2" t="s">
        <v>361</v>
      </c>
      <c r="C7517" s="2">
        <v>803.20069999999998</v>
      </c>
      <c r="D7517" s="2">
        <f>HYPERLINK("http://mcb-m6.bioreg.kyushu-u.ac.jp/M3/20110418/F51005/2129/1", 81.23)</f>
        <v>81.23</v>
      </c>
      <c r="E7517" s="2">
        <v>49.69</v>
      </c>
      <c r="F7517" s="2">
        <v>2</v>
      </c>
      <c r="G7517" s="2" t="s">
        <v>12</v>
      </c>
    </row>
    <row r="7518" spans="1:9" x14ac:dyDescent="0.2">
      <c r="A7518" s="2" t="s">
        <v>3519</v>
      </c>
      <c r="B7518" s="2" t="s">
        <v>361</v>
      </c>
      <c r="C7518" s="2">
        <v>803.49720000000002</v>
      </c>
      <c r="D7518" s="2">
        <f>HYPERLINK("http://mcb-m6.bioreg.kyushu-u.ac.jp/M3/20110418/F51005/2131/1", 85.68)</f>
        <v>85.68</v>
      </c>
      <c r="E7518" s="2">
        <v>64.09</v>
      </c>
      <c r="F7518" s="2">
        <v>2</v>
      </c>
      <c r="G7518" s="2" t="s">
        <v>12</v>
      </c>
    </row>
    <row r="7519" spans="1:9" x14ac:dyDescent="0.2">
      <c r="A7519" s="2" t="s">
        <v>3519</v>
      </c>
      <c r="B7519" s="2" t="s">
        <v>1600</v>
      </c>
      <c r="C7519" s="2">
        <v>1068.713</v>
      </c>
      <c r="D7519" s="2">
        <f>HYPERLINK("http://mcb-m6.bioreg.kyushu-u.ac.jp/M3/20110418/F51005/2405/1", 132.84)</f>
        <v>132.84</v>
      </c>
      <c r="E7519" s="2">
        <v>108.34</v>
      </c>
      <c r="F7519" s="2">
        <v>2</v>
      </c>
      <c r="G7519" s="2" t="s">
        <v>12</v>
      </c>
    </row>
    <row r="7520" spans="1:9" x14ac:dyDescent="0.2">
      <c r="A7520" s="2" t="s">
        <v>3519</v>
      </c>
      <c r="B7520" s="2" t="s">
        <v>384</v>
      </c>
      <c r="C7520" s="2">
        <v>905.69200000000001</v>
      </c>
      <c r="D7520" s="2">
        <f>HYPERLINK("http://mcb-m6.bioreg.kyushu-u.ac.jp/M3/20110428/F51147/992/1", 40.56)</f>
        <v>40.56</v>
      </c>
      <c r="E7520" s="2">
        <v>27.4</v>
      </c>
      <c r="F7520" s="2">
        <v>1</v>
      </c>
      <c r="G7520" s="2" t="s">
        <v>13</v>
      </c>
      <c r="I7520" s="2" t="s">
        <v>4892</v>
      </c>
    </row>
    <row r="7521" spans="1:9" x14ac:dyDescent="0.2">
      <c r="A7521" s="2" t="s">
        <v>3519</v>
      </c>
      <c r="B7521" s="2" t="s">
        <v>384</v>
      </c>
      <c r="C7521" s="2">
        <v>453.43759999999997</v>
      </c>
      <c r="D7521" s="2">
        <f>HYPERLINK("http://mcb-m6.bioreg.kyushu-u.ac.jp/M3/20110428/F51147/993/1", 40.95)</f>
        <v>40.950000000000003</v>
      </c>
      <c r="E7521" s="2">
        <v>20.57</v>
      </c>
      <c r="F7521" s="2">
        <v>2</v>
      </c>
      <c r="G7521" s="2" t="s">
        <v>13</v>
      </c>
      <c r="I7521" s="2" t="s">
        <v>4892</v>
      </c>
    </row>
    <row r="7522" spans="1:9" x14ac:dyDescent="0.2">
      <c r="A7522" s="2" t="s">
        <v>3519</v>
      </c>
      <c r="B7522" s="2" t="s">
        <v>1825</v>
      </c>
      <c r="C7522" s="2">
        <v>734.03920000000005</v>
      </c>
      <c r="D7522" s="2">
        <f>HYPERLINK("http://mcb-m6.bioreg.kyushu-u.ac.jp/M3/20110428/F51147/1995/1", 49.1)</f>
        <v>49.1</v>
      </c>
      <c r="E7522" s="2">
        <v>29.27</v>
      </c>
      <c r="F7522" s="2">
        <v>2</v>
      </c>
      <c r="G7522" s="2" t="s">
        <v>13</v>
      </c>
    </row>
    <row r="7523" spans="1:9" x14ac:dyDescent="0.2">
      <c r="A7523" s="2" t="s">
        <v>3519</v>
      </c>
      <c r="B7523" s="2" t="s">
        <v>1600</v>
      </c>
      <c r="C7523" s="2">
        <v>1068.982</v>
      </c>
      <c r="D7523" s="2">
        <f>HYPERLINK("http://mcb-m6.bioreg.kyushu-u.ac.jp/M3/20110502/F51163/3028/1", 98.76)</f>
        <v>98.76</v>
      </c>
      <c r="E7523" s="2">
        <v>77.02</v>
      </c>
      <c r="F7523" s="2">
        <v>2</v>
      </c>
      <c r="G7523" s="2" t="s">
        <v>13</v>
      </c>
    </row>
    <row r="7524" spans="1:9" x14ac:dyDescent="0.2">
      <c r="A7524" s="2" t="s">
        <v>3519</v>
      </c>
      <c r="B7524" s="2" t="s">
        <v>1709</v>
      </c>
      <c r="C7524" s="2">
        <v>880.96969999999999</v>
      </c>
      <c r="D7524" s="2">
        <f>HYPERLINK("http://mcb-m6.bioreg.kyushu-u.ac.jp/M3/20110502/F51160/2353/1", 36)</f>
        <v>36</v>
      </c>
      <c r="E7524" s="2">
        <v>12.45</v>
      </c>
      <c r="F7524" s="2">
        <v>2</v>
      </c>
      <c r="G7524" s="2" t="s">
        <v>14</v>
      </c>
    </row>
    <row r="7525" spans="1:9" x14ac:dyDescent="0.2">
      <c r="A7525" s="2" t="s">
        <v>3519</v>
      </c>
      <c r="B7525" s="2" t="s">
        <v>384</v>
      </c>
      <c r="C7525" s="2">
        <v>453.46559999999999</v>
      </c>
      <c r="D7525" s="2">
        <f>HYPERLINK("http://mcb-m6.bioreg.kyushu-u.ac.jp/M3/20110428/F51136/1811/1", 38.18)</f>
        <v>38.18</v>
      </c>
      <c r="E7525" s="2">
        <v>20.68</v>
      </c>
      <c r="F7525" s="2">
        <v>2</v>
      </c>
      <c r="G7525" s="2" t="s">
        <v>14</v>
      </c>
      <c r="I7525" s="2" t="s">
        <v>4892</v>
      </c>
    </row>
    <row r="7526" spans="1:9" x14ac:dyDescent="0.2">
      <c r="A7526" s="2" t="s">
        <v>3519</v>
      </c>
      <c r="B7526" s="2" t="s">
        <v>384</v>
      </c>
      <c r="C7526" s="2">
        <v>905.48</v>
      </c>
      <c r="D7526" s="2">
        <f>HYPERLINK("http://mcb-m6.bioreg.kyushu-u.ac.jp/M3/20110428/F51138/1212/1", 40.85)</f>
        <v>40.85</v>
      </c>
      <c r="E7526" s="2">
        <v>22.69</v>
      </c>
      <c r="F7526" s="2">
        <v>1</v>
      </c>
      <c r="G7526" s="2" t="s">
        <v>14</v>
      </c>
      <c r="I7526" s="2" t="s">
        <v>4892</v>
      </c>
    </row>
    <row r="7527" spans="1:9" x14ac:dyDescent="0.2">
      <c r="A7527" s="2" t="s">
        <v>3519</v>
      </c>
      <c r="B7527" s="2" t="s">
        <v>384</v>
      </c>
      <c r="C7527" s="2">
        <v>905.39</v>
      </c>
      <c r="D7527" s="2">
        <f>HYPERLINK("http://mcb-m6.bioreg.kyushu-u.ac.jp/M3/20110428/F51136/1809/1", 40.87)</f>
        <v>40.869999999999997</v>
      </c>
      <c r="E7527" s="2">
        <v>22.56</v>
      </c>
      <c r="F7527" s="2">
        <v>1</v>
      </c>
      <c r="G7527" s="2" t="s">
        <v>14</v>
      </c>
      <c r="I7527" s="2" t="s">
        <v>4892</v>
      </c>
    </row>
    <row r="7528" spans="1:9" x14ac:dyDescent="0.2">
      <c r="A7528" s="2" t="s">
        <v>3519</v>
      </c>
      <c r="B7528" s="2" t="s">
        <v>384</v>
      </c>
      <c r="C7528" s="2">
        <v>905.53899999999999</v>
      </c>
      <c r="D7528" s="2">
        <f>HYPERLINK("http://mcb-m6.bioreg.kyushu-u.ac.jp/M3/20110428/F51137/1571/1", 40.96)</f>
        <v>40.96</v>
      </c>
      <c r="E7528" s="2">
        <v>29.01</v>
      </c>
      <c r="F7528" s="2">
        <v>1</v>
      </c>
      <c r="G7528" s="2" t="s">
        <v>14</v>
      </c>
      <c r="I7528" s="2" t="s">
        <v>4892</v>
      </c>
    </row>
    <row r="7529" spans="1:9" x14ac:dyDescent="0.2">
      <c r="A7529" s="2" t="s">
        <v>3519</v>
      </c>
      <c r="B7529" s="2" t="s">
        <v>384</v>
      </c>
      <c r="C7529" s="2">
        <v>453.4126</v>
      </c>
      <c r="D7529" s="2">
        <f>HYPERLINK("http://mcb-m6.bioreg.kyushu-u.ac.jp/M3/20110502/F51160/485/1", 43)</f>
        <v>43</v>
      </c>
      <c r="E7529" s="2">
        <v>20.100000000000001</v>
      </c>
      <c r="F7529" s="2">
        <v>2</v>
      </c>
      <c r="G7529" s="2" t="s">
        <v>14</v>
      </c>
      <c r="I7529" s="2" t="s">
        <v>4892</v>
      </c>
    </row>
    <row r="7530" spans="1:9" x14ac:dyDescent="0.2">
      <c r="A7530" s="2" t="s">
        <v>3519</v>
      </c>
      <c r="B7530" s="2" t="s">
        <v>1600</v>
      </c>
      <c r="C7530" s="2">
        <v>1068.5989999999999</v>
      </c>
      <c r="D7530" s="2">
        <f>HYPERLINK("http://mcb-m6.bioreg.kyushu-u.ac.jp/M3/20110428/F51137/2607/1", 43.31)</f>
        <v>43.31</v>
      </c>
      <c r="E7530" s="2">
        <v>29.19</v>
      </c>
      <c r="F7530" s="2">
        <v>2</v>
      </c>
      <c r="G7530" s="2" t="s">
        <v>14</v>
      </c>
    </row>
    <row r="7531" spans="1:9" x14ac:dyDescent="0.2">
      <c r="A7531" s="2" t="s">
        <v>3519</v>
      </c>
      <c r="B7531" s="2" t="s">
        <v>361</v>
      </c>
      <c r="C7531" s="2">
        <v>1606.5889999999999</v>
      </c>
      <c r="D7531" s="2">
        <f>HYPERLINK("http://mcb-m6.bioreg.kyushu-u.ac.jp/M3/20110502/F51160/2089/1", 43.51)</f>
        <v>43.51</v>
      </c>
      <c r="E7531" s="2">
        <v>31.25</v>
      </c>
      <c r="F7531" s="2">
        <v>1</v>
      </c>
      <c r="G7531" s="2" t="s">
        <v>14</v>
      </c>
    </row>
    <row r="7532" spans="1:9" x14ac:dyDescent="0.2">
      <c r="A7532" s="2" t="s">
        <v>3519</v>
      </c>
      <c r="B7532" s="2" t="s">
        <v>1600</v>
      </c>
      <c r="C7532" s="2">
        <v>1068.5070000000001</v>
      </c>
      <c r="D7532" s="2">
        <f>HYPERLINK("http://mcb-m6.bioreg.kyushu-u.ac.jp/M3/20110428/F51136/2553/1", 43.63)</f>
        <v>43.63</v>
      </c>
      <c r="E7532" s="2">
        <v>23</v>
      </c>
      <c r="F7532" s="2">
        <v>2</v>
      </c>
      <c r="G7532" s="2" t="s">
        <v>14</v>
      </c>
    </row>
    <row r="7533" spans="1:9" x14ac:dyDescent="0.2">
      <c r="A7533" s="2" t="s">
        <v>3519</v>
      </c>
      <c r="B7533" s="2" t="s">
        <v>384</v>
      </c>
      <c r="C7533" s="2">
        <v>453.58460000000002</v>
      </c>
      <c r="D7533" s="2">
        <f>HYPERLINK("http://mcb-m6.bioreg.kyushu-u.ac.jp/M3/20110428/F51137/1573/1", 43.69)</f>
        <v>43.69</v>
      </c>
      <c r="E7533" s="2">
        <v>25.91</v>
      </c>
      <c r="F7533" s="2">
        <v>2</v>
      </c>
      <c r="G7533" s="2" t="s">
        <v>14</v>
      </c>
      <c r="I7533" s="2" t="s">
        <v>4892</v>
      </c>
    </row>
    <row r="7534" spans="1:9" x14ac:dyDescent="0.2">
      <c r="A7534" s="2" t="s">
        <v>3519</v>
      </c>
      <c r="B7534" s="2" t="s">
        <v>384</v>
      </c>
      <c r="C7534" s="2">
        <v>905.47699999999998</v>
      </c>
      <c r="D7534" s="2">
        <f>HYPERLINK("http://mcb-m6.bioreg.kyushu-u.ac.jp/M3/20110428/F51136/1810/1", 43.78)</f>
        <v>43.78</v>
      </c>
      <c r="E7534" s="2">
        <v>33.44</v>
      </c>
      <c r="F7534" s="2">
        <v>1</v>
      </c>
      <c r="G7534" s="2" t="s">
        <v>14</v>
      </c>
      <c r="I7534" s="2" t="s">
        <v>4892</v>
      </c>
    </row>
    <row r="7535" spans="1:9" x14ac:dyDescent="0.2">
      <c r="A7535" s="2" t="s">
        <v>3519</v>
      </c>
      <c r="B7535" s="2" t="s">
        <v>384</v>
      </c>
      <c r="C7535" s="2">
        <v>453.7826</v>
      </c>
      <c r="D7535" s="2">
        <f>HYPERLINK("http://mcb-m6.bioreg.kyushu-u.ac.jp/M3/20110502/F51160/490/1", 44.01)</f>
        <v>44.01</v>
      </c>
      <c r="E7535" s="2">
        <v>22.62</v>
      </c>
      <c r="F7535" s="2">
        <v>2</v>
      </c>
      <c r="G7535" s="2" t="s">
        <v>14</v>
      </c>
      <c r="I7535" s="2" t="s">
        <v>4892</v>
      </c>
    </row>
    <row r="7536" spans="1:9" x14ac:dyDescent="0.2">
      <c r="A7536" s="2" t="s">
        <v>3519</v>
      </c>
      <c r="B7536" s="2" t="s">
        <v>384</v>
      </c>
      <c r="C7536" s="2">
        <v>905.52</v>
      </c>
      <c r="D7536" s="2">
        <f>HYPERLINK("http://mcb-m6.bioreg.kyushu-u.ac.jp/M3/20110428/F51140/694/1", 45.14)</f>
        <v>45.14</v>
      </c>
      <c r="E7536" s="2">
        <v>31.18</v>
      </c>
      <c r="F7536" s="2">
        <v>1</v>
      </c>
      <c r="G7536" s="2" t="s">
        <v>14</v>
      </c>
      <c r="I7536" s="2" t="s">
        <v>4892</v>
      </c>
    </row>
    <row r="7537" spans="1:9" x14ac:dyDescent="0.2">
      <c r="A7537" s="2" t="s">
        <v>3519</v>
      </c>
      <c r="B7537" s="2" t="s">
        <v>384</v>
      </c>
      <c r="C7537" s="2">
        <v>905.63800000000003</v>
      </c>
      <c r="D7537" s="2">
        <f>HYPERLINK("http://mcb-m6.bioreg.kyushu-u.ac.jp/M3/20110502/F51160/484/1", 45.47)</f>
        <v>45.47</v>
      </c>
      <c r="E7537" s="2">
        <v>31.41</v>
      </c>
      <c r="F7537" s="2">
        <v>1</v>
      </c>
      <c r="G7537" s="2" t="s">
        <v>14</v>
      </c>
      <c r="I7537" s="2" t="s">
        <v>4892</v>
      </c>
    </row>
    <row r="7538" spans="1:9" x14ac:dyDescent="0.2">
      <c r="A7538" s="2" t="s">
        <v>3519</v>
      </c>
      <c r="B7538" s="2" t="s">
        <v>384</v>
      </c>
      <c r="C7538" s="2">
        <v>905.53899999999999</v>
      </c>
      <c r="D7538" s="2">
        <f>HYPERLINK("http://mcb-m6.bioreg.kyushu-u.ac.jp/M3/20110428/F51137/1570/1", 46.26)</f>
        <v>46.26</v>
      </c>
      <c r="E7538" s="2">
        <v>32.71</v>
      </c>
      <c r="F7538" s="2">
        <v>1</v>
      </c>
      <c r="G7538" s="2" t="s">
        <v>14</v>
      </c>
      <c r="I7538" s="2" t="s">
        <v>4892</v>
      </c>
    </row>
    <row r="7539" spans="1:9" x14ac:dyDescent="0.2">
      <c r="A7539" s="2" t="s">
        <v>3519</v>
      </c>
      <c r="B7539" s="2" t="s">
        <v>1709</v>
      </c>
      <c r="C7539" s="2">
        <v>881.45719999999994</v>
      </c>
      <c r="D7539" s="2">
        <f>HYPERLINK("http://mcb-m6.bioreg.kyushu-u.ac.jp/M3/20110502/F51160/2355/1", 46.49)</f>
        <v>46.49</v>
      </c>
      <c r="E7539" s="2">
        <v>27.52</v>
      </c>
      <c r="F7539" s="2">
        <v>2</v>
      </c>
      <c r="G7539" s="2" t="s">
        <v>14</v>
      </c>
    </row>
    <row r="7540" spans="1:9" x14ac:dyDescent="0.2">
      <c r="A7540" s="2" t="s">
        <v>3519</v>
      </c>
      <c r="B7540" s="2" t="s">
        <v>1709</v>
      </c>
      <c r="C7540" s="2">
        <v>588.13319999999999</v>
      </c>
      <c r="D7540" s="2">
        <f>HYPERLINK("http://mcb-m6.bioreg.kyushu-u.ac.jp/M3/20110502/F51160/2358/1", 48.56)</f>
        <v>48.56</v>
      </c>
      <c r="E7540" s="2">
        <v>22.09</v>
      </c>
      <c r="F7540" s="2">
        <v>3</v>
      </c>
      <c r="G7540" s="2" t="s">
        <v>14</v>
      </c>
    </row>
    <row r="7541" spans="1:9" x14ac:dyDescent="0.2">
      <c r="A7541" s="2" t="s">
        <v>3519</v>
      </c>
      <c r="B7541" s="2" t="s">
        <v>5586</v>
      </c>
      <c r="C7541" s="2">
        <v>684.2482</v>
      </c>
      <c r="D7541" s="2">
        <f>HYPERLINK("http://mcb-m6.bioreg.kyushu-u.ac.jp/M3/20110502/F51160/1449/1", 49.46)</f>
        <v>49.46</v>
      </c>
      <c r="E7541" s="2">
        <v>32.79</v>
      </c>
      <c r="F7541" s="2">
        <v>2</v>
      </c>
      <c r="G7541" s="2" t="s">
        <v>14</v>
      </c>
    </row>
    <row r="7542" spans="1:9" x14ac:dyDescent="0.2">
      <c r="A7542" s="2" t="s">
        <v>3519</v>
      </c>
      <c r="B7542" s="2" t="s">
        <v>2123</v>
      </c>
      <c r="C7542" s="2">
        <v>1499.008</v>
      </c>
      <c r="D7542" s="2">
        <f>HYPERLINK("http://mcb-m6.bioreg.kyushu-u.ac.jp/M3/20110502/F51160/3383/1", 52.21)</f>
        <v>52.21</v>
      </c>
      <c r="E7542" s="2">
        <v>44.73</v>
      </c>
      <c r="F7542" s="2">
        <v>2</v>
      </c>
      <c r="G7542" s="2" t="s">
        <v>14</v>
      </c>
    </row>
    <row r="7543" spans="1:9" x14ac:dyDescent="0.2">
      <c r="A7543" s="2" t="s">
        <v>3519</v>
      </c>
      <c r="B7543" s="2" t="s">
        <v>361</v>
      </c>
      <c r="C7543" s="2">
        <v>803.40060000000005</v>
      </c>
      <c r="D7543" s="2">
        <f>HYPERLINK("http://mcb-m6.bioreg.kyushu-u.ac.jp/M3/20110428/F51138/2519/1", 53.4)</f>
        <v>53.4</v>
      </c>
      <c r="E7543" s="2">
        <v>29.26</v>
      </c>
      <c r="F7543" s="2">
        <v>2</v>
      </c>
      <c r="G7543" s="2" t="s">
        <v>14</v>
      </c>
    </row>
    <row r="7544" spans="1:9" x14ac:dyDescent="0.2">
      <c r="A7544" s="2" t="s">
        <v>3519</v>
      </c>
      <c r="B7544" s="2" t="s">
        <v>361</v>
      </c>
      <c r="C7544" s="2">
        <v>1605.665</v>
      </c>
      <c r="D7544" s="2">
        <f>HYPERLINK("http://mcb-m6.bioreg.kyushu-u.ac.jp/M3/20110502/F51160/2084/1", 53.87)</f>
        <v>53.87</v>
      </c>
      <c r="E7544" s="2">
        <v>35.950000000000003</v>
      </c>
      <c r="F7544" s="2">
        <v>1</v>
      </c>
      <c r="G7544" s="2" t="s">
        <v>14</v>
      </c>
    </row>
    <row r="7545" spans="1:9" x14ac:dyDescent="0.2">
      <c r="A7545" s="2" t="s">
        <v>3519</v>
      </c>
      <c r="B7545" s="2" t="s">
        <v>1600</v>
      </c>
      <c r="C7545" s="2">
        <v>712.94090000000006</v>
      </c>
      <c r="D7545" s="2">
        <f>HYPERLINK("http://mcb-m6.bioreg.kyushu-u.ac.jp/M3/20110502/F51160/2880/1", 57.29)</f>
        <v>57.29</v>
      </c>
      <c r="E7545" s="2">
        <v>34.18</v>
      </c>
      <c r="F7545" s="2">
        <v>3</v>
      </c>
      <c r="G7545" s="2" t="s">
        <v>14</v>
      </c>
    </row>
    <row r="7546" spans="1:9" x14ac:dyDescent="0.2">
      <c r="A7546" s="2" t="s">
        <v>3519</v>
      </c>
      <c r="B7546" s="2" t="s">
        <v>361</v>
      </c>
      <c r="C7546" s="2">
        <v>803.81709999999998</v>
      </c>
      <c r="D7546" s="2">
        <f>HYPERLINK("http://mcb-m6.bioreg.kyushu-u.ac.jp/M3/20110428/F51136/2316/1", 58.51)</f>
        <v>58.51</v>
      </c>
      <c r="E7546" s="2">
        <v>33.619999999999997</v>
      </c>
      <c r="F7546" s="2">
        <v>2</v>
      </c>
      <c r="G7546" s="2" t="s">
        <v>14</v>
      </c>
    </row>
    <row r="7547" spans="1:9" x14ac:dyDescent="0.2">
      <c r="A7547" s="2" t="s">
        <v>3519</v>
      </c>
      <c r="B7547" s="2" t="s">
        <v>361</v>
      </c>
      <c r="C7547" s="2">
        <v>803.90060000000005</v>
      </c>
      <c r="D7547" s="2">
        <f>HYPERLINK("http://mcb-m6.bioreg.kyushu-u.ac.jp/M3/20110502/F51160/2090/1", 60.43)</f>
        <v>60.43</v>
      </c>
      <c r="E7547" s="2">
        <v>32.61</v>
      </c>
      <c r="F7547" s="2">
        <v>2</v>
      </c>
      <c r="G7547" s="2" t="s">
        <v>14</v>
      </c>
    </row>
    <row r="7548" spans="1:9" x14ac:dyDescent="0.2">
      <c r="A7548" s="2" t="s">
        <v>3519</v>
      </c>
      <c r="B7548" s="2" t="s">
        <v>361</v>
      </c>
      <c r="C7548" s="2">
        <v>803.35059999999999</v>
      </c>
      <c r="D7548" s="2">
        <f>HYPERLINK("http://mcb-m6.bioreg.kyushu-u.ac.jp/M3/20110502/F51160/2085/1", 62.14)</f>
        <v>62.14</v>
      </c>
      <c r="E7548" s="2">
        <v>37.020000000000003</v>
      </c>
      <c r="F7548" s="2">
        <v>2</v>
      </c>
      <c r="G7548" s="2" t="s">
        <v>14</v>
      </c>
    </row>
    <row r="7549" spans="1:9" x14ac:dyDescent="0.2">
      <c r="A7549" s="2" t="s">
        <v>3519</v>
      </c>
      <c r="B7549" s="2" t="s">
        <v>1825</v>
      </c>
      <c r="C7549" s="2">
        <v>733.9692</v>
      </c>
      <c r="D7549" s="2">
        <f>HYPERLINK("http://mcb-m6.bioreg.kyushu-u.ac.jp/M3/20110502/F51162/1876/1", 63.38)</f>
        <v>63.38</v>
      </c>
      <c r="E7549" s="2">
        <v>41.28</v>
      </c>
      <c r="F7549" s="2">
        <v>2</v>
      </c>
      <c r="G7549" s="2" t="s">
        <v>14</v>
      </c>
    </row>
    <row r="7550" spans="1:9" x14ac:dyDescent="0.2">
      <c r="A7550" s="2" t="s">
        <v>3519</v>
      </c>
      <c r="B7550" s="2" t="s">
        <v>361</v>
      </c>
      <c r="C7550" s="2">
        <v>803.75710000000004</v>
      </c>
      <c r="D7550" s="2">
        <f>HYPERLINK("http://mcb-m6.bioreg.kyushu-u.ac.jp/M3/20110502/F51160/2088/1", 65.3)</f>
        <v>65.3</v>
      </c>
      <c r="E7550" s="2">
        <v>46.29</v>
      </c>
      <c r="F7550" s="2">
        <v>2</v>
      </c>
      <c r="G7550" s="2" t="s">
        <v>14</v>
      </c>
    </row>
    <row r="7551" spans="1:9" x14ac:dyDescent="0.2">
      <c r="A7551" s="2" t="s">
        <v>3519</v>
      </c>
      <c r="B7551" s="2" t="s">
        <v>361</v>
      </c>
      <c r="C7551" s="2">
        <v>803.47720000000004</v>
      </c>
      <c r="D7551" s="2">
        <f>HYPERLINK("http://mcb-m6.bioreg.kyushu-u.ac.jp/M3/20110428/F51137/2271/1", 66.09)</f>
        <v>66.09</v>
      </c>
      <c r="E7551" s="2">
        <v>32.06</v>
      </c>
      <c r="F7551" s="2">
        <v>2</v>
      </c>
      <c r="G7551" s="2" t="s">
        <v>14</v>
      </c>
    </row>
    <row r="7552" spans="1:9" x14ac:dyDescent="0.2">
      <c r="A7552" s="2" t="s">
        <v>3519</v>
      </c>
      <c r="B7552" s="2" t="s">
        <v>361</v>
      </c>
      <c r="C7552" s="2">
        <v>803.61770000000001</v>
      </c>
      <c r="D7552" s="2">
        <f>HYPERLINK("http://mcb-m6.bioreg.kyushu-u.ac.jp/M3/20110502/F51160/2087/1", 66.95)</f>
        <v>66.95</v>
      </c>
      <c r="E7552" s="2">
        <v>43.45</v>
      </c>
      <c r="F7552" s="2">
        <v>2</v>
      </c>
      <c r="G7552" s="2" t="s">
        <v>14</v>
      </c>
    </row>
    <row r="7553" spans="1:8" x14ac:dyDescent="0.2">
      <c r="A7553" s="2" t="s">
        <v>3519</v>
      </c>
      <c r="B7553" s="2" t="s">
        <v>361</v>
      </c>
      <c r="C7553" s="2">
        <v>803.26459999999997</v>
      </c>
      <c r="D7553" s="2">
        <f>HYPERLINK("http://mcb-m6.bioreg.kyushu-u.ac.jp/M3/20110428/F51136/2314/1", 67.24)</f>
        <v>67.239999999999995</v>
      </c>
      <c r="E7553" s="2">
        <v>46.16</v>
      </c>
      <c r="F7553" s="2">
        <v>2</v>
      </c>
      <c r="G7553" s="2" t="s">
        <v>14</v>
      </c>
    </row>
    <row r="7554" spans="1:8" x14ac:dyDescent="0.2">
      <c r="A7554" s="2" t="s">
        <v>3519</v>
      </c>
      <c r="B7554" s="2" t="s">
        <v>361</v>
      </c>
      <c r="C7554" s="2">
        <v>803.79319999999996</v>
      </c>
      <c r="D7554" s="2">
        <f>HYPERLINK("http://mcb-m6.bioreg.kyushu-u.ac.jp/M3/20110428/F51136/2315/1", 67.61)</f>
        <v>67.61</v>
      </c>
      <c r="E7554" s="2">
        <v>42.84</v>
      </c>
      <c r="F7554" s="2">
        <v>2</v>
      </c>
      <c r="G7554" s="2" t="s">
        <v>14</v>
      </c>
    </row>
    <row r="7555" spans="1:8" x14ac:dyDescent="0.2">
      <c r="A7555" s="2" t="s">
        <v>3519</v>
      </c>
      <c r="B7555" s="2" t="s">
        <v>1709</v>
      </c>
      <c r="C7555" s="2">
        <v>881.59469999999999</v>
      </c>
      <c r="D7555" s="2">
        <f>HYPERLINK("http://mcb-m6.bioreg.kyushu-u.ac.jp/M3/20110428/F51136/2408/1", 70.93)</f>
        <v>70.930000000000007</v>
      </c>
      <c r="E7555" s="2">
        <v>55.08</v>
      </c>
      <c r="F7555" s="2">
        <v>2</v>
      </c>
      <c r="G7555" s="2" t="s">
        <v>14</v>
      </c>
    </row>
    <row r="7556" spans="1:8" x14ac:dyDescent="0.2">
      <c r="A7556" s="2" t="s">
        <v>3519</v>
      </c>
      <c r="B7556" s="2" t="s">
        <v>361</v>
      </c>
      <c r="C7556" s="2">
        <v>803.87869999999998</v>
      </c>
      <c r="D7556" s="2">
        <f>HYPERLINK("http://mcb-m6.bioreg.kyushu-u.ac.jp/M3/20110428/F51137/2272/1", 71.14)</f>
        <v>71.14</v>
      </c>
      <c r="E7556" s="2">
        <v>52.4</v>
      </c>
      <c r="F7556" s="2">
        <v>2</v>
      </c>
      <c r="G7556" s="2" t="s">
        <v>14</v>
      </c>
    </row>
    <row r="7557" spans="1:8" x14ac:dyDescent="0.2">
      <c r="A7557" s="2" t="s">
        <v>3519</v>
      </c>
      <c r="B7557" s="2" t="s">
        <v>361</v>
      </c>
      <c r="C7557" s="2">
        <v>803.57569999999998</v>
      </c>
      <c r="D7557" s="2">
        <f>HYPERLINK("http://mcb-m6.bioreg.kyushu-u.ac.jp/M3/20110502/F51160/2086/1", 71.98)</f>
        <v>71.98</v>
      </c>
      <c r="E7557" s="2">
        <v>49.64</v>
      </c>
      <c r="F7557" s="2">
        <v>2</v>
      </c>
      <c r="G7557" s="2" t="s">
        <v>14</v>
      </c>
    </row>
    <row r="7558" spans="1:8" x14ac:dyDescent="0.2">
      <c r="A7558" s="2" t="s">
        <v>3519</v>
      </c>
      <c r="B7558" s="2" t="s">
        <v>2123</v>
      </c>
      <c r="C7558" s="2">
        <v>1507.5709999999999</v>
      </c>
      <c r="D7558" s="2">
        <f>HYPERLINK("http://mcb-m6.bioreg.kyushu-u.ac.jp/M3/20110502/F51160/3387/1", 72.14)</f>
        <v>72.14</v>
      </c>
      <c r="E7558" s="2">
        <v>62.26</v>
      </c>
      <c r="F7558" s="2">
        <v>2</v>
      </c>
      <c r="G7558" s="2" t="s">
        <v>14</v>
      </c>
      <c r="H7558" s="2" t="s">
        <v>4901</v>
      </c>
    </row>
    <row r="7559" spans="1:8" x14ac:dyDescent="0.2">
      <c r="A7559" s="2" t="s">
        <v>3519</v>
      </c>
      <c r="B7559" s="2" t="s">
        <v>1825</v>
      </c>
      <c r="C7559" s="2">
        <v>733.9941</v>
      </c>
      <c r="D7559" s="2">
        <f>HYPERLINK("http://mcb-m6.bioreg.kyushu-u.ac.jp/M3/20110502/F51160/1748/1", 72.36)</f>
        <v>72.36</v>
      </c>
      <c r="E7559" s="2">
        <v>49.31</v>
      </c>
      <c r="F7559" s="2">
        <v>2</v>
      </c>
      <c r="G7559" s="2" t="s">
        <v>14</v>
      </c>
    </row>
    <row r="7560" spans="1:8" x14ac:dyDescent="0.2">
      <c r="A7560" s="2" t="s">
        <v>3519</v>
      </c>
      <c r="B7560" s="2" t="s">
        <v>2123</v>
      </c>
      <c r="C7560" s="2">
        <v>999.9538</v>
      </c>
      <c r="D7560" s="2">
        <f>HYPERLINK("http://mcb-m6.bioreg.kyushu-u.ac.jp/M3/20110502/F51160/3384/1", 73.03)</f>
        <v>73.03</v>
      </c>
      <c r="E7560" s="2">
        <v>60.95</v>
      </c>
      <c r="F7560" s="2">
        <v>3</v>
      </c>
      <c r="G7560" s="2" t="s">
        <v>14</v>
      </c>
    </row>
    <row r="7561" spans="1:8" x14ac:dyDescent="0.2">
      <c r="A7561" s="2" t="s">
        <v>3519</v>
      </c>
      <c r="B7561" s="2" t="s">
        <v>1825</v>
      </c>
      <c r="C7561" s="2">
        <v>734.32460000000003</v>
      </c>
      <c r="D7561" s="2">
        <f>HYPERLINK("http://mcb-m6.bioreg.kyushu-u.ac.jp/M3/20110428/F51136/2220/1", 75.06)</f>
        <v>75.06</v>
      </c>
      <c r="E7561" s="2">
        <v>44.13</v>
      </c>
      <c r="F7561" s="2">
        <v>2</v>
      </c>
      <c r="G7561" s="2" t="s">
        <v>14</v>
      </c>
    </row>
    <row r="7562" spans="1:8" x14ac:dyDescent="0.2">
      <c r="A7562" s="2" t="s">
        <v>3519</v>
      </c>
      <c r="B7562" s="2" t="s">
        <v>1825</v>
      </c>
      <c r="C7562" s="2">
        <v>733.8107</v>
      </c>
      <c r="D7562" s="2">
        <f>HYPERLINK("http://mcb-m6.bioreg.kyushu-u.ac.jp/M3/20110428/F51136/2219/1", 78.19)</f>
        <v>78.19</v>
      </c>
      <c r="E7562" s="2">
        <v>53.6</v>
      </c>
      <c r="F7562" s="2">
        <v>2</v>
      </c>
      <c r="G7562" s="2" t="s">
        <v>14</v>
      </c>
    </row>
    <row r="7563" spans="1:8" x14ac:dyDescent="0.2">
      <c r="A7563" s="2" t="s">
        <v>3519</v>
      </c>
      <c r="B7563" s="2" t="s">
        <v>1818</v>
      </c>
      <c r="C7563" s="2">
        <v>798.13210000000004</v>
      </c>
      <c r="D7563" s="2">
        <f>HYPERLINK("http://mcb-m6.bioreg.kyushu-u.ac.jp/M3/20110502/F51160/2052/1", 81.97)</f>
        <v>81.97</v>
      </c>
      <c r="E7563" s="2">
        <v>59.4</v>
      </c>
      <c r="F7563" s="2">
        <v>2</v>
      </c>
      <c r="G7563" s="2" t="s">
        <v>14</v>
      </c>
    </row>
    <row r="7564" spans="1:8" x14ac:dyDescent="0.2">
      <c r="A7564" s="2" t="s">
        <v>3519</v>
      </c>
      <c r="B7564" s="2" t="s">
        <v>1825</v>
      </c>
      <c r="C7564" s="2">
        <v>733.85360000000003</v>
      </c>
      <c r="D7564" s="2">
        <f>HYPERLINK("http://mcb-m6.bioreg.kyushu-u.ac.jp/M3/20110502/F51160/1746/1", 82.37)</f>
        <v>82.37</v>
      </c>
      <c r="E7564" s="2">
        <v>48.5</v>
      </c>
      <c r="F7564" s="2">
        <v>2</v>
      </c>
      <c r="G7564" s="2" t="s">
        <v>14</v>
      </c>
    </row>
    <row r="7565" spans="1:8" x14ac:dyDescent="0.2">
      <c r="A7565" s="2" t="s">
        <v>3519</v>
      </c>
      <c r="B7565" s="2" t="s">
        <v>1825</v>
      </c>
      <c r="C7565" s="2">
        <v>734.23109999999997</v>
      </c>
      <c r="D7565" s="2">
        <f>HYPERLINK("http://mcb-m6.bioreg.kyushu-u.ac.jp/M3/20110502/F51160/1751/1", 84.21)</f>
        <v>84.21</v>
      </c>
      <c r="E7565" s="2">
        <v>58.2</v>
      </c>
      <c r="F7565" s="2">
        <v>2</v>
      </c>
      <c r="G7565" s="2" t="s">
        <v>14</v>
      </c>
    </row>
    <row r="7566" spans="1:8" x14ac:dyDescent="0.2">
      <c r="A7566" s="2" t="s">
        <v>3519</v>
      </c>
      <c r="B7566" s="2" t="s">
        <v>1825</v>
      </c>
      <c r="C7566" s="2">
        <v>734.01509999999996</v>
      </c>
      <c r="D7566" s="2">
        <f>HYPERLINK("http://mcb-m6.bioreg.kyushu-u.ac.jp/M3/20110502/F51160/1749/1", 85.31)</f>
        <v>85.31</v>
      </c>
      <c r="E7566" s="2">
        <v>52.81</v>
      </c>
      <c r="F7566" s="2">
        <v>2</v>
      </c>
      <c r="G7566" s="2" t="s">
        <v>14</v>
      </c>
    </row>
    <row r="7567" spans="1:8" x14ac:dyDescent="0.2">
      <c r="A7567" s="2" t="s">
        <v>3519</v>
      </c>
      <c r="B7567" s="2" t="s">
        <v>1709</v>
      </c>
      <c r="C7567" s="2">
        <v>881.52809999999999</v>
      </c>
      <c r="D7567" s="2">
        <f>HYPERLINK("http://mcb-m6.bioreg.kyushu-u.ac.jp/M3/20110502/F51160/2357/1", 86.99)</f>
        <v>86.99</v>
      </c>
      <c r="E7567" s="2">
        <v>64.75</v>
      </c>
      <c r="F7567" s="2">
        <v>2</v>
      </c>
      <c r="G7567" s="2" t="s">
        <v>14</v>
      </c>
    </row>
    <row r="7568" spans="1:8" x14ac:dyDescent="0.2">
      <c r="A7568" s="2" t="s">
        <v>3519</v>
      </c>
      <c r="B7568" s="2" t="s">
        <v>2034</v>
      </c>
      <c r="C7568" s="2">
        <v>1035.9559999999999</v>
      </c>
      <c r="D7568" s="2">
        <f>HYPERLINK("http://mcb-m6.bioreg.kyushu-u.ac.jp/M3/20110502/F51160/2838/1", 87.24)</f>
        <v>87.24</v>
      </c>
      <c r="E7568" s="2">
        <v>71.45</v>
      </c>
      <c r="F7568" s="2">
        <v>2</v>
      </c>
      <c r="G7568" s="2" t="s">
        <v>14</v>
      </c>
    </row>
    <row r="7569" spans="1:7" x14ac:dyDescent="0.2">
      <c r="A7569" s="2" t="s">
        <v>3519</v>
      </c>
      <c r="B7569" s="2" t="s">
        <v>1709</v>
      </c>
      <c r="C7569" s="2">
        <v>881.51869999999997</v>
      </c>
      <c r="D7569" s="2">
        <f>HYPERLINK("http://mcb-m6.bioreg.kyushu-u.ac.jp/M3/20110502/F51160/2356/1", 87.58)</f>
        <v>87.58</v>
      </c>
      <c r="E7569" s="2">
        <v>69.55</v>
      </c>
      <c r="F7569" s="2">
        <v>2</v>
      </c>
      <c r="G7569" s="2" t="s">
        <v>14</v>
      </c>
    </row>
    <row r="7570" spans="1:7" x14ac:dyDescent="0.2">
      <c r="A7570" s="2" t="s">
        <v>3519</v>
      </c>
      <c r="B7570" s="2" t="s">
        <v>1600</v>
      </c>
      <c r="C7570" s="2">
        <v>1069.0329999999999</v>
      </c>
      <c r="D7570" s="2">
        <f>HYPERLINK("http://mcb-m6.bioreg.kyushu-u.ac.jp/M3/20110428/F51143/3277/1", 92.63)</f>
        <v>92.63</v>
      </c>
      <c r="E7570" s="2">
        <v>77.27</v>
      </c>
      <c r="F7570" s="2">
        <v>2</v>
      </c>
      <c r="G7570" s="2" t="s">
        <v>14</v>
      </c>
    </row>
    <row r="7571" spans="1:7" x14ac:dyDescent="0.2">
      <c r="A7571" s="2" t="s">
        <v>3519</v>
      </c>
      <c r="B7571" s="2" t="s">
        <v>1600</v>
      </c>
      <c r="C7571" s="2">
        <v>1069.171</v>
      </c>
      <c r="D7571" s="2">
        <f>HYPERLINK("http://mcb-m6.bioreg.kyushu-u.ac.jp/M3/20110428/F51140/3227/1", 96.23)</f>
        <v>96.23</v>
      </c>
      <c r="E7571" s="2">
        <v>79.75</v>
      </c>
      <c r="F7571" s="2">
        <v>2</v>
      </c>
      <c r="G7571" s="2" t="s">
        <v>14</v>
      </c>
    </row>
    <row r="7572" spans="1:7" x14ac:dyDescent="0.2">
      <c r="A7572" s="2" t="s">
        <v>3519</v>
      </c>
      <c r="B7572" s="2" t="s">
        <v>1600</v>
      </c>
      <c r="C7572" s="2">
        <v>1069.008</v>
      </c>
      <c r="D7572" s="2">
        <f>HYPERLINK("http://mcb-m6.bioreg.kyushu-u.ac.jp/M3/20110428/F51136/2554/1", 106.11)</f>
        <v>106.11</v>
      </c>
      <c r="E7572" s="2">
        <v>87.49</v>
      </c>
      <c r="F7572" s="2">
        <v>2</v>
      </c>
      <c r="G7572" s="2" t="s">
        <v>14</v>
      </c>
    </row>
    <row r="7573" spans="1:7" x14ac:dyDescent="0.2">
      <c r="A7573" s="2" t="s">
        <v>3519</v>
      </c>
      <c r="B7573" s="2" t="s">
        <v>1600</v>
      </c>
      <c r="C7573" s="2">
        <v>1069.1079999999999</v>
      </c>
      <c r="D7573" s="2">
        <f>HYPERLINK("http://mcb-m6.bioreg.kyushu-u.ac.jp/M3/20110428/F51142/3535/1", 114.39)</f>
        <v>114.39</v>
      </c>
      <c r="E7573" s="2">
        <v>93.85</v>
      </c>
      <c r="F7573" s="2">
        <v>2</v>
      </c>
      <c r="G7573" s="2" t="s">
        <v>14</v>
      </c>
    </row>
    <row r="7574" spans="1:7" x14ac:dyDescent="0.2">
      <c r="A7574" s="2" t="s">
        <v>3519</v>
      </c>
      <c r="B7574" s="2" t="s">
        <v>1600</v>
      </c>
      <c r="C7574" s="2">
        <v>1069.037</v>
      </c>
      <c r="D7574" s="2">
        <f>HYPERLINK("http://mcb-m6.bioreg.kyushu-u.ac.jp/M3/20110502/F51161/2720/1", 118.54)</f>
        <v>118.54</v>
      </c>
      <c r="E7574" s="2">
        <v>105.51</v>
      </c>
      <c r="F7574" s="2">
        <v>2</v>
      </c>
      <c r="G7574" s="2" t="s">
        <v>14</v>
      </c>
    </row>
    <row r="7575" spans="1:7" x14ac:dyDescent="0.2">
      <c r="A7575" s="2" t="s">
        <v>3519</v>
      </c>
      <c r="B7575" s="2" t="s">
        <v>1600</v>
      </c>
      <c r="C7575" s="2">
        <v>1069.1130000000001</v>
      </c>
      <c r="D7575" s="2">
        <f>HYPERLINK("http://mcb-m6.bioreg.kyushu-u.ac.jp/M3/20110428/F51137/2608/1", 119.97)</f>
        <v>119.97</v>
      </c>
      <c r="E7575" s="2">
        <v>105.1</v>
      </c>
      <c r="F7575" s="2">
        <v>2</v>
      </c>
      <c r="G7575" s="2" t="s">
        <v>14</v>
      </c>
    </row>
    <row r="7576" spans="1:7" x14ac:dyDescent="0.2">
      <c r="A7576" s="2" t="s">
        <v>3519</v>
      </c>
      <c r="B7576" s="2" t="s">
        <v>1600</v>
      </c>
      <c r="C7576" s="2">
        <v>1068.865</v>
      </c>
      <c r="D7576" s="2">
        <f>HYPERLINK("http://mcb-m6.bioreg.kyushu-u.ac.jp/M3/20110428/F51138/3096/1", 126.17)</f>
        <v>126.17</v>
      </c>
      <c r="E7576" s="2">
        <v>113.5</v>
      </c>
      <c r="F7576" s="2">
        <v>2</v>
      </c>
      <c r="G7576" s="2" t="s">
        <v>14</v>
      </c>
    </row>
    <row r="7577" spans="1:7" x14ac:dyDescent="0.2">
      <c r="A7577" s="2" t="s">
        <v>3519</v>
      </c>
      <c r="B7577" s="2" t="s">
        <v>1600</v>
      </c>
      <c r="C7577" s="2">
        <v>1069.1469999999999</v>
      </c>
      <c r="D7577" s="2">
        <f>HYPERLINK("http://mcb-m6.bioreg.kyushu-u.ac.jp/M3/20110502/F51162/2806/1", 130.63)</f>
        <v>130.63</v>
      </c>
      <c r="E7577" s="2">
        <v>105.73</v>
      </c>
      <c r="F7577" s="2">
        <v>2</v>
      </c>
      <c r="G7577" s="2" t="s">
        <v>14</v>
      </c>
    </row>
    <row r="7578" spans="1:7" x14ac:dyDescent="0.2">
      <c r="A7578" s="2" t="s">
        <v>3358</v>
      </c>
      <c r="B7578" s="2" t="s">
        <v>150</v>
      </c>
      <c r="C7578" s="2">
        <v>940.46370000000002</v>
      </c>
      <c r="D7578" s="2">
        <f>HYPERLINK("http://mcb-m6.bioreg.kyushu-u.ac.jp/M3/20110318/F50601/1920/1", 98.05)</f>
        <v>98.05</v>
      </c>
      <c r="E7578" s="2">
        <v>76.33</v>
      </c>
      <c r="F7578" s="2">
        <v>2</v>
      </c>
      <c r="G7578" s="2" t="s">
        <v>9</v>
      </c>
    </row>
    <row r="7579" spans="1:7" x14ac:dyDescent="0.2">
      <c r="A7579" s="2" t="s">
        <v>3358</v>
      </c>
      <c r="B7579" s="2" t="s">
        <v>150</v>
      </c>
      <c r="C7579" s="2">
        <v>940.53520000000003</v>
      </c>
      <c r="D7579" s="2">
        <f>HYPERLINK("http://mcb-m6.bioreg.kyushu-u.ac.jp/M3/20110318/F50603/1975/1", 103.54)</f>
        <v>103.54</v>
      </c>
      <c r="E7579" s="2">
        <v>80.87</v>
      </c>
      <c r="F7579" s="2">
        <v>2</v>
      </c>
      <c r="G7579" s="2" t="s">
        <v>9</v>
      </c>
    </row>
    <row r="7580" spans="1:7" x14ac:dyDescent="0.2">
      <c r="A7580" s="2" t="s">
        <v>3358</v>
      </c>
      <c r="B7580" s="2" t="s">
        <v>150</v>
      </c>
      <c r="C7580" s="2">
        <v>939.95259999999996</v>
      </c>
      <c r="D7580" s="2">
        <f>HYPERLINK("http://mcb-m6.bioreg.kyushu-u.ac.jp/M3/20110318/F50603/1972/1", 117.85)</f>
        <v>117.85</v>
      </c>
      <c r="E7580" s="2">
        <v>99.78</v>
      </c>
      <c r="F7580" s="2">
        <v>2</v>
      </c>
      <c r="G7580" s="2" t="s">
        <v>9</v>
      </c>
    </row>
    <row r="7581" spans="1:7" x14ac:dyDescent="0.2">
      <c r="A7581" s="2" t="s">
        <v>3358</v>
      </c>
      <c r="B7581" s="2" t="s">
        <v>150</v>
      </c>
      <c r="C7581" s="2">
        <v>939.77760000000001</v>
      </c>
      <c r="D7581" s="2">
        <f>HYPERLINK("http://mcb-m6.bioreg.kyushu-u.ac.jp/M3/20110318/F50622/2087/1", 35.74)</f>
        <v>35.74</v>
      </c>
      <c r="E7581" s="2">
        <v>20.04</v>
      </c>
      <c r="F7581" s="2">
        <v>2</v>
      </c>
      <c r="G7581" s="2" t="s">
        <v>10</v>
      </c>
    </row>
    <row r="7582" spans="1:7" x14ac:dyDescent="0.2">
      <c r="A7582" s="2" t="s">
        <v>3358</v>
      </c>
      <c r="B7582" s="2" t="s">
        <v>150</v>
      </c>
      <c r="C7582" s="2">
        <v>939.69069999999999</v>
      </c>
      <c r="D7582" s="2">
        <f>HYPERLINK("http://mcb-m6.bioreg.kyushu-u.ac.jp/M3/20110318/F50622/2085/1", 39.4)</f>
        <v>39.4</v>
      </c>
      <c r="E7582" s="2">
        <v>26.42</v>
      </c>
      <c r="F7582" s="2">
        <v>2</v>
      </c>
      <c r="G7582" s="2" t="s">
        <v>10</v>
      </c>
    </row>
    <row r="7583" spans="1:7" x14ac:dyDescent="0.2">
      <c r="A7583" s="2" t="s">
        <v>3358</v>
      </c>
      <c r="B7583" s="2" t="s">
        <v>150</v>
      </c>
      <c r="C7583" s="2">
        <v>1879.6289999999999</v>
      </c>
      <c r="D7583" s="2">
        <f>HYPERLINK("http://mcb-m6.bioreg.kyushu-u.ac.jp/M3/20110318/F50622/2095/1", 83.26)</f>
        <v>83.26</v>
      </c>
      <c r="E7583" s="2">
        <v>64.17</v>
      </c>
      <c r="F7583" s="2">
        <v>1</v>
      </c>
      <c r="G7583" s="2" t="s">
        <v>10</v>
      </c>
    </row>
    <row r="7584" spans="1:7" x14ac:dyDescent="0.2">
      <c r="A7584" s="2" t="s">
        <v>3358</v>
      </c>
      <c r="B7584" s="2" t="s">
        <v>150</v>
      </c>
      <c r="C7584" s="2">
        <v>940.35519999999997</v>
      </c>
      <c r="D7584" s="2">
        <f>HYPERLINK("http://mcb-m6.bioreg.kyushu-u.ac.jp/M3/20110318/F50622/2097/1", 90.27)</f>
        <v>90.27</v>
      </c>
      <c r="E7584" s="2">
        <v>66.209999999999994</v>
      </c>
      <c r="F7584" s="2">
        <v>2</v>
      </c>
      <c r="G7584" s="2" t="s">
        <v>10</v>
      </c>
    </row>
    <row r="7585" spans="1:7" x14ac:dyDescent="0.2">
      <c r="A7585" s="2" t="s">
        <v>3358</v>
      </c>
      <c r="B7585" s="2" t="s">
        <v>150</v>
      </c>
      <c r="C7585" s="2">
        <v>940.08759999999995</v>
      </c>
      <c r="D7585" s="2">
        <f>HYPERLINK("http://mcb-m6.bioreg.kyushu-u.ac.jp/M3/20110318/F50622/2092/1", 108.32)</f>
        <v>108.32</v>
      </c>
      <c r="E7585" s="2">
        <v>83.75</v>
      </c>
      <c r="F7585" s="2">
        <v>2</v>
      </c>
      <c r="G7585" s="2" t="s">
        <v>10</v>
      </c>
    </row>
    <row r="7586" spans="1:7" x14ac:dyDescent="0.2">
      <c r="A7586" s="2" t="s">
        <v>3358</v>
      </c>
      <c r="B7586" s="2" t="s">
        <v>150</v>
      </c>
      <c r="C7586" s="2">
        <v>939.8297</v>
      </c>
      <c r="D7586" s="2">
        <f>HYPERLINK("http://mcb-m6.bioreg.kyushu-u.ac.jp/M3/20110318/F50622/2088/1", 115.91)</f>
        <v>115.91</v>
      </c>
      <c r="E7586" s="2">
        <v>93.76</v>
      </c>
      <c r="F7586" s="2">
        <v>2</v>
      </c>
      <c r="G7586" s="2" t="s">
        <v>10</v>
      </c>
    </row>
    <row r="7587" spans="1:7" x14ac:dyDescent="0.2">
      <c r="A7587" s="2" t="s">
        <v>3358</v>
      </c>
      <c r="B7587" s="2" t="s">
        <v>150</v>
      </c>
      <c r="C7587" s="2">
        <v>939.83510000000001</v>
      </c>
      <c r="D7587" s="2">
        <f>HYPERLINK("http://mcb-m6.bioreg.kyushu-u.ac.jp/M3/20110318/F50622/2089/1", 118.82)</f>
        <v>118.82</v>
      </c>
      <c r="E7587" s="2">
        <v>96.32</v>
      </c>
      <c r="F7587" s="2">
        <v>2</v>
      </c>
      <c r="G7587" s="2" t="s">
        <v>10</v>
      </c>
    </row>
    <row r="7588" spans="1:7" x14ac:dyDescent="0.2">
      <c r="A7588" s="2" t="s">
        <v>3358</v>
      </c>
      <c r="B7588" s="2" t="s">
        <v>150</v>
      </c>
      <c r="C7588" s="2">
        <v>939.57569999999998</v>
      </c>
      <c r="D7588" s="2">
        <f>HYPERLINK("http://mcb-m6.bioreg.kyushu-u.ac.jp/M3/20110318/F50622/2083/1", 122.39)</f>
        <v>122.39</v>
      </c>
      <c r="E7588" s="2">
        <v>98.89</v>
      </c>
      <c r="F7588" s="2">
        <v>2</v>
      </c>
      <c r="G7588" s="2" t="s">
        <v>10</v>
      </c>
    </row>
    <row r="7589" spans="1:7" x14ac:dyDescent="0.2">
      <c r="A7589" s="2" t="s">
        <v>3358</v>
      </c>
      <c r="B7589" s="2" t="s">
        <v>150</v>
      </c>
      <c r="C7589" s="2">
        <v>940.40219999999999</v>
      </c>
      <c r="D7589" s="2">
        <f>HYPERLINK("http://mcb-m6.bioreg.kyushu-u.ac.jp/M3/20110318/F50600/2131/1", 124.47)</f>
        <v>124.47</v>
      </c>
      <c r="E7589" s="2">
        <v>103.08</v>
      </c>
      <c r="F7589" s="2">
        <v>2</v>
      </c>
      <c r="G7589" s="2" t="s">
        <v>10</v>
      </c>
    </row>
    <row r="7590" spans="1:7" x14ac:dyDescent="0.2">
      <c r="A7590" s="2" t="s">
        <v>3358</v>
      </c>
      <c r="B7590" s="2" t="s">
        <v>150</v>
      </c>
      <c r="C7590" s="2">
        <v>939.75419999999997</v>
      </c>
      <c r="D7590" s="2">
        <f>HYPERLINK("http://mcb-m6.bioreg.kyushu-u.ac.jp/M3/20110318/F50622/2086/1", 124.61)</f>
        <v>124.61</v>
      </c>
      <c r="E7590" s="2">
        <v>100.27</v>
      </c>
      <c r="F7590" s="2">
        <v>2</v>
      </c>
      <c r="G7590" s="2" t="s">
        <v>10</v>
      </c>
    </row>
    <row r="7591" spans="1:7" x14ac:dyDescent="0.2">
      <c r="A7591" s="2" t="s">
        <v>3358</v>
      </c>
      <c r="B7591" s="2" t="s">
        <v>150</v>
      </c>
      <c r="C7591" s="2">
        <v>940.17660000000001</v>
      </c>
      <c r="D7591" s="2">
        <f>HYPERLINK("http://mcb-m6.bioreg.kyushu-u.ac.jp/M3/20110318/F50622/2093/1", 127.8)</f>
        <v>127.8</v>
      </c>
      <c r="E7591" s="2">
        <v>96.56</v>
      </c>
      <c r="F7591" s="2">
        <v>2</v>
      </c>
      <c r="G7591" s="2" t="s">
        <v>10</v>
      </c>
    </row>
    <row r="7592" spans="1:7" x14ac:dyDescent="0.2">
      <c r="A7592" s="2" t="s">
        <v>3358</v>
      </c>
      <c r="B7592" s="2" t="s">
        <v>150</v>
      </c>
      <c r="C7592" s="2">
        <v>939.90470000000005</v>
      </c>
      <c r="D7592" s="2">
        <f>HYPERLINK("http://mcb-m6.bioreg.kyushu-u.ac.jp/M3/20110318/F50622/2091/1", 128.08)</f>
        <v>128.08000000000001</v>
      </c>
      <c r="E7592" s="2">
        <v>104.05</v>
      </c>
      <c r="F7592" s="2">
        <v>2</v>
      </c>
      <c r="G7592" s="2" t="s">
        <v>10</v>
      </c>
    </row>
    <row r="7593" spans="1:7" x14ac:dyDescent="0.2">
      <c r="A7593" s="2" t="s">
        <v>3358</v>
      </c>
      <c r="B7593" s="2" t="s">
        <v>150</v>
      </c>
      <c r="C7593" s="2">
        <v>940.23659999999995</v>
      </c>
      <c r="D7593" s="2">
        <f>HYPERLINK("http://mcb-m6.bioreg.kyushu-u.ac.jp/M3/20110318/F50622/2094/1", 131.48)</f>
        <v>131.47999999999999</v>
      </c>
      <c r="E7593" s="2">
        <v>105.09</v>
      </c>
      <c r="F7593" s="2">
        <v>2</v>
      </c>
      <c r="G7593" s="2" t="s">
        <v>10</v>
      </c>
    </row>
    <row r="7594" spans="1:7" x14ac:dyDescent="0.2">
      <c r="A7594" s="2" t="s">
        <v>3358</v>
      </c>
      <c r="B7594" s="2" t="s">
        <v>150</v>
      </c>
      <c r="C7594" s="2">
        <v>940.34670000000006</v>
      </c>
      <c r="D7594" s="2">
        <f>HYPERLINK("http://mcb-m6.bioreg.kyushu-u.ac.jp/M3/20110318/F50622/2096/1", 132.56)</f>
        <v>132.56</v>
      </c>
      <c r="E7594" s="2">
        <v>107.54</v>
      </c>
      <c r="F7594" s="2">
        <v>2</v>
      </c>
      <c r="G7594" s="2" t="s">
        <v>10</v>
      </c>
    </row>
    <row r="7595" spans="1:7" x14ac:dyDescent="0.2">
      <c r="A7595" s="2" t="s">
        <v>3358</v>
      </c>
      <c r="B7595" s="2" t="s">
        <v>150</v>
      </c>
      <c r="C7595" s="2">
        <v>940.38070000000005</v>
      </c>
      <c r="D7595" s="2">
        <f>HYPERLINK("http://mcb-m6.bioreg.kyushu-u.ac.jp/M3/20110418/F51005/2278/1", 107.33)</f>
        <v>107.33</v>
      </c>
      <c r="E7595" s="2">
        <v>87.82</v>
      </c>
      <c r="F7595" s="2">
        <v>2</v>
      </c>
      <c r="G7595" s="2" t="s">
        <v>12</v>
      </c>
    </row>
    <row r="7596" spans="1:7" x14ac:dyDescent="0.2">
      <c r="A7596" s="2" t="s">
        <v>3358</v>
      </c>
      <c r="B7596" s="2" t="s">
        <v>150</v>
      </c>
      <c r="C7596" s="2">
        <v>940.06320000000005</v>
      </c>
      <c r="D7596" s="2">
        <f>HYPERLINK("http://mcb-m6.bioreg.kyushu-u.ac.jp/M3/20110418/F51005/2277/1", 117.9)</f>
        <v>117.9</v>
      </c>
      <c r="E7596" s="2">
        <v>95.9</v>
      </c>
      <c r="F7596" s="2">
        <v>2</v>
      </c>
      <c r="G7596" s="2" t="s">
        <v>12</v>
      </c>
    </row>
    <row r="7597" spans="1:7" x14ac:dyDescent="0.2">
      <c r="A7597" s="2" t="s">
        <v>3358</v>
      </c>
      <c r="B7597" s="2" t="s">
        <v>150</v>
      </c>
      <c r="C7597" s="2">
        <v>939.82510000000002</v>
      </c>
      <c r="D7597" s="2">
        <f>HYPERLINK("http://mcb-m6.bioreg.kyushu-u.ac.jp/M3/20110418/F51005/2276/1", 133.79)</f>
        <v>133.79</v>
      </c>
      <c r="E7597" s="2">
        <v>110.33</v>
      </c>
      <c r="F7597" s="2">
        <v>2</v>
      </c>
      <c r="G7597" s="2" t="s">
        <v>12</v>
      </c>
    </row>
    <row r="7598" spans="1:7" x14ac:dyDescent="0.2">
      <c r="A7598" s="2" t="s">
        <v>3358</v>
      </c>
      <c r="B7598" s="2" t="s">
        <v>150</v>
      </c>
      <c r="C7598" s="2">
        <v>940.20169999999996</v>
      </c>
      <c r="D7598" s="2">
        <f>HYPERLINK("http://mcb-m6.bioreg.kyushu-u.ac.jp/M3/20110428/F51147/2656/1", 98.49)</f>
        <v>98.49</v>
      </c>
      <c r="E7598" s="2">
        <v>75.989999999999995</v>
      </c>
      <c r="F7598" s="2">
        <v>2</v>
      </c>
      <c r="G7598" s="2" t="s">
        <v>13</v>
      </c>
    </row>
    <row r="7599" spans="1:7" x14ac:dyDescent="0.2">
      <c r="A7599" s="2" t="s">
        <v>3358</v>
      </c>
      <c r="B7599" s="2" t="s">
        <v>150</v>
      </c>
      <c r="C7599" s="2">
        <v>940.47059999999999</v>
      </c>
      <c r="D7599" s="2">
        <f>HYPERLINK("http://mcb-m6.bioreg.kyushu-u.ac.jp/M3/20110502/F51163/2705/1", 101.23)</f>
        <v>101.23</v>
      </c>
      <c r="E7599" s="2">
        <v>84.11</v>
      </c>
      <c r="F7599" s="2">
        <v>2</v>
      </c>
      <c r="G7599" s="2" t="s">
        <v>13</v>
      </c>
    </row>
    <row r="7600" spans="1:7" x14ac:dyDescent="0.2">
      <c r="A7600" s="2" t="s">
        <v>3358</v>
      </c>
      <c r="B7600" s="2" t="s">
        <v>150</v>
      </c>
      <c r="C7600" s="2">
        <v>940.46259999999995</v>
      </c>
      <c r="D7600" s="2">
        <f>HYPERLINK("http://mcb-m6.bioreg.kyushu-u.ac.jp/M3/20110428/F51141/3121/1", 75.8)</f>
        <v>75.8</v>
      </c>
      <c r="E7600" s="2">
        <v>56.42</v>
      </c>
      <c r="F7600" s="2">
        <v>2</v>
      </c>
      <c r="G7600" s="2" t="s">
        <v>14</v>
      </c>
    </row>
    <row r="7601" spans="1:7" x14ac:dyDescent="0.2">
      <c r="A7601" s="2" t="s">
        <v>3358</v>
      </c>
      <c r="B7601" s="2" t="s">
        <v>150</v>
      </c>
      <c r="C7601" s="2">
        <v>940.36320000000001</v>
      </c>
      <c r="D7601" s="2">
        <f>HYPERLINK("http://mcb-m6.bioreg.kyushu-u.ac.jp/M3/20110428/F51136/2475/1", 92.43)</f>
        <v>92.43</v>
      </c>
      <c r="E7601" s="2">
        <v>72.260000000000005</v>
      </c>
      <c r="F7601" s="2">
        <v>2</v>
      </c>
      <c r="G7601" s="2" t="s">
        <v>14</v>
      </c>
    </row>
    <row r="7602" spans="1:7" x14ac:dyDescent="0.2">
      <c r="A7602" s="2" t="s">
        <v>3358</v>
      </c>
      <c r="B7602" s="2" t="s">
        <v>150</v>
      </c>
      <c r="C7602" s="2">
        <v>940.4742</v>
      </c>
      <c r="D7602" s="2">
        <f>HYPERLINK("http://mcb-m6.bioreg.kyushu-u.ac.jp/M3/20110502/F51160/2579/1", 95.07)</f>
        <v>95.07</v>
      </c>
      <c r="E7602" s="2">
        <v>80.98</v>
      </c>
      <c r="F7602" s="2">
        <v>2</v>
      </c>
      <c r="G7602" s="2" t="s">
        <v>14</v>
      </c>
    </row>
    <row r="7603" spans="1:7" x14ac:dyDescent="0.2">
      <c r="A7603" s="2" t="s">
        <v>3358</v>
      </c>
      <c r="B7603" s="2" t="s">
        <v>150</v>
      </c>
      <c r="C7603" s="2">
        <v>940.15009999999995</v>
      </c>
      <c r="D7603" s="2">
        <f>HYPERLINK("http://mcb-m6.bioreg.kyushu-u.ac.jp/M3/20110502/F51160/2577/1", 95.71)</f>
        <v>95.71</v>
      </c>
      <c r="E7603" s="2">
        <v>76.91</v>
      </c>
      <c r="F7603" s="2">
        <v>2</v>
      </c>
      <c r="G7603" s="2" t="s">
        <v>14</v>
      </c>
    </row>
    <row r="7604" spans="1:7" x14ac:dyDescent="0.2">
      <c r="A7604" s="2" t="s">
        <v>3358</v>
      </c>
      <c r="B7604" s="2" t="s">
        <v>150</v>
      </c>
      <c r="C7604" s="2">
        <v>940.42470000000003</v>
      </c>
      <c r="D7604" s="2">
        <f>HYPERLINK("http://mcb-m6.bioreg.kyushu-u.ac.jp/M3/20110502/F51160/2578/1", 104.88)</f>
        <v>104.88</v>
      </c>
      <c r="E7604" s="2">
        <v>83.23</v>
      </c>
      <c r="F7604" s="2">
        <v>2</v>
      </c>
      <c r="G7604" s="2" t="s">
        <v>14</v>
      </c>
    </row>
    <row r="7605" spans="1:7" x14ac:dyDescent="0.2">
      <c r="A7605" s="2" t="s">
        <v>3358</v>
      </c>
      <c r="B7605" s="2" t="s">
        <v>150</v>
      </c>
      <c r="C7605" s="2">
        <v>940.48820000000001</v>
      </c>
      <c r="D7605" s="2">
        <f>HYPERLINK("http://mcb-m6.bioreg.kyushu-u.ac.jp/M3/20110502/F51160/2580/1", 105.01)</f>
        <v>105.01</v>
      </c>
      <c r="E7605" s="2">
        <v>82.24</v>
      </c>
      <c r="F7605" s="2">
        <v>2</v>
      </c>
      <c r="G7605" s="2" t="s">
        <v>14</v>
      </c>
    </row>
    <row r="7606" spans="1:7" x14ac:dyDescent="0.2">
      <c r="A7606" s="2" t="s">
        <v>3358</v>
      </c>
      <c r="B7606" s="2" t="s">
        <v>150</v>
      </c>
      <c r="C7606" s="2">
        <v>939.85310000000004</v>
      </c>
      <c r="D7606" s="2">
        <f>HYPERLINK("http://mcb-m6.bioreg.kyushu-u.ac.jp/M3/20110502/F51160/2572/1", 107.12)</f>
        <v>107.12</v>
      </c>
      <c r="E7606" s="2">
        <v>91.45</v>
      </c>
      <c r="F7606" s="2">
        <v>2</v>
      </c>
      <c r="G7606" s="2" t="s">
        <v>14</v>
      </c>
    </row>
    <row r="7607" spans="1:7" x14ac:dyDescent="0.2">
      <c r="A7607" s="2" t="s">
        <v>3358</v>
      </c>
      <c r="B7607" s="2" t="s">
        <v>150</v>
      </c>
      <c r="C7607" s="2">
        <v>939.94920000000002</v>
      </c>
      <c r="D7607" s="2">
        <f>HYPERLINK("http://mcb-m6.bioreg.kyushu-u.ac.jp/M3/20110502/F51160/2573/1", 122.37)</f>
        <v>122.37</v>
      </c>
      <c r="E7607" s="2">
        <v>97.78</v>
      </c>
      <c r="F7607" s="2">
        <v>2</v>
      </c>
      <c r="G7607" s="2" t="s">
        <v>14</v>
      </c>
    </row>
    <row r="7608" spans="1:7" x14ac:dyDescent="0.2">
      <c r="A7608" s="2" t="s">
        <v>3358</v>
      </c>
      <c r="B7608" s="2" t="s">
        <v>150</v>
      </c>
      <c r="C7608" s="2">
        <v>939.96259999999995</v>
      </c>
      <c r="D7608" s="2">
        <f>HYPERLINK("http://mcb-m6.bioreg.kyushu-u.ac.jp/M3/20110502/F51160/2575/1", 124.19)</f>
        <v>124.19</v>
      </c>
      <c r="E7608" s="2">
        <v>101.75</v>
      </c>
      <c r="F7608" s="2">
        <v>2</v>
      </c>
      <c r="G7608" s="2" t="s">
        <v>14</v>
      </c>
    </row>
    <row r="7609" spans="1:7" x14ac:dyDescent="0.2">
      <c r="A7609" s="2" t="s">
        <v>3358</v>
      </c>
      <c r="B7609" s="2" t="s">
        <v>150</v>
      </c>
      <c r="C7609" s="2">
        <v>940.11159999999995</v>
      </c>
      <c r="D7609" s="2">
        <f>HYPERLINK("http://mcb-m6.bioreg.kyushu-u.ac.jp/M3/20110502/F51161/2504/1", 126.42)</f>
        <v>126.42</v>
      </c>
      <c r="E7609" s="2">
        <v>105.37</v>
      </c>
      <c r="F7609" s="2">
        <v>2</v>
      </c>
      <c r="G7609" s="2" t="s">
        <v>14</v>
      </c>
    </row>
    <row r="7610" spans="1:7" x14ac:dyDescent="0.2">
      <c r="A7610" s="2" t="s">
        <v>3358</v>
      </c>
      <c r="B7610" s="2" t="s">
        <v>150</v>
      </c>
      <c r="C7610" s="2">
        <v>939.94920000000002</v>
      </c>
      <c r="D7610" s="2">
        <f>HYPERLINK("http://mcb-m6.bioreg.kyushu-u.ac.jp/M3/20110502/F51160/2574/1", 133.58)</f>
        <v>133.58000000000001</v>
      </c>
      <c r="E7610" s="2">
        <v>111.38</v>
      </c>
      <c r="F7610" s="2">
        <v>2</v>
      </c>
      <c r="G7610" s="2" t="s">
        <v>14</v>
      </c>
    </row>
    <row r="7611" spans="1:7" x14ac:dyDescent="0.2">
      <c r="A7611" s="2" t="s">
        <v>3731</v>
      </c>
      <c r="B7611" s="2" t="s">
        <v>729</v>
      </c>
      <c r="C7611" s="2">
        <v>830.30600000000004</v>
      </c>
      <c r="D7611" s="2">
        <f>HYPERLINK("http://mcb-m6.bioreg.kyushu-u.ac.jp/M3/20110318/F50619/679/1", 53.86)</f>
        <v>53.86</v>
      </c>
      <c r="E7611" s="2">
        <v>13.21</v>
      </c>
      <c r="F7611" s="2">
        <v>1</v>
      </c>
      <c r="G7611" s="2" t="s">
        <v>9</v>
      </c>
    </row>
    <row r="7612" spans="1:7" x14ac:dyDescent="0.2">
      <c r="A7612" s="2" t="s">
        <v>3731</v>
      </c>
      <c r="B7612" s="2" t="s">
        <v>729</v>
      </c>
      <c r="C7612" s="2">
        <v>830.39800000000002</v>
      </c>
      <c r="D7612" s="2">
        <f>HYPERLINK("http://mcb-m6.bioreg.kyushu-u.ac.jp/M3/20110318/F50615/633/1", 49.93)</f>
        <v>49.93</v>
      </c>
      <c r="E7612" s="2">
        <v>14.04</v>
      </c>
      <c r="F7612" s="2">
        <v>1</v>
      </c>
      <c r="G7612" s="2" t="s">
        <v>10</v>
      </c>
    </row>
    <row r="7613" spans="1:7" x14ac:dyDescent="0.2">
      <c r="A7613" s="2" t="s">
        <v>3731</v>
      </c>
      <c r="B7613" s="2" t="s">
        <v>729</v>
      </c>
      <c r="C7613" s="2">
        <v>830.43299999999999</v>
      </c>
      <c r="D7613" s="2">
        <f>HYPERLINK("http://mcb-m6.bioreg.kyushu-u.ac.jp/M3/20110318/F50614/733/1", 53.93)</f>
        <v>53.93</v>
      </c>
      <c r="E7613" s="2">
        <v>13.21</v>
      </c>
      <c r="F7613" s="2">
        <v>1</v>
      </c>
      <c r="G7613" s="2" t="s">
        <v>10</v>
      </c>
    </row>
    <row r="7614" spans="1:7" x14ac:dyDescent="0.2">
      <c r="A7614" s="2" t="s">
        <v>3731</v>
      </c>
      <c r="B7614" s="2" t="s">
        <v>729</v>
      </c>
      <c r="C7614" s="2">
        <v>831.29399999999998</v>
      </c>
      <c r="D7614" s="2">
        <f>HYPERLINK("http://mcb-m6.bioreg.kyushu-u.ac.jp/M3/20110418/F50975/527/1", 53.18)</f>
        <v>53.18</v>
      </c>
      <c r="E7614" s="2">
        <v>13.2</v>
      </c>
      <c r="F7614" s="2">
        <v>1</v>
      </c>
      <c r="G7614" s="2" t="s">
        <v>11</v>
      </c>
    </row>
    <row r="7615" spans="1:7" x14ac:dyDescent="0.2">
      <c r="A7615" s="2" t="s">
        <v>3731</v>
      </c>
      <c r="B7615" s="2" t="s">
        <v>729</v>
      </c>
      <c r="C7615" s="2">
        <v>830.33199999999999</v>
      </c>
      <c r="D7615" s="2">
        <f>HYPERLINK("http://mcb-m6.bioreg.kyushu-u.ac.jp/M3/20110418/F50999/1030/1", 53.81)</f>
        <v>53.81</v>
      </c>
      <c r="E7615" s="2">
        <v>18.07</v>
      </c>
      <c r="F7615" s="2">
        <v>1</v>
      </c>
      <c r="G7615" s="2" t="s">
        <v>11</v>
      </c>
    </row>
    <row r="7616" spans="1:7" x14ac:dyDescent="0.2">
      <c r="A7616" s="2" t="s">
        <v>3731</v>
      </c>
      <c r="B7616" s="2" t="s">
        <v>729</v>
      </c>
      <c r="C7616" s="2">
        <v>830.26400000000001</v>
      </c>
      <c r="D7616" s="2">
        <f>HYPERLINK("http://mcb-m6.bioreg.kyushu-u.ac.jp/M3/20110418/F50985/1552/1", 49.75)</f>
        <v>49.75</v>
      </c>
      <c r="E7616" s="2">
        <v>14.04</v>
      </c>
      <c r="F7616" s="2">
        <v>1</v>
      </c>
      <c r="G7616" s="2" t="s">
        <v>12</v>
      </c>
    </row>
    <row r="7617" spans="1:7" x14ac:dyDescent="0.2">
      <c r="A7617" s="2" t="s">
        <v>3731</v>
      </c>
      <c r="B7617" s="2" t="s">
        <v>729</v>
      </c>
      <c r="C7617" s="2">
        <v>830.31799999999998</v>
      </c>
      <c r="D7617" s="2">
        <f>HYPERLINK("http://mcb-m6.bioreg.kyushu-u.ac.jp/M3/20110418/F51001/1041/1", 49.94)</f>
        <v>49.94</v>
      </c>
      <c r="E7617" s="2">
        <v>14</v>
      </c>
      <c r="F7617" s="2">
        <v>1</v>
      </c>
      <c r="G7617" s="2" t="s">
        <v>12</v>
      </c>
    </row>
    <row r="7618" spans="1:7" x14ac:dyDescent="0.2">
      <c r="A7618" s="2" t="s">
        <v>3731</v>
      </c>
      <c r="B7618" s="2" t="s">
        <v>729</v>
      </c>
      <c r="C7618" s="2">
        <v>830.50599999999997</v>
      </c>
      <c r="D7618" s="2">
        <f>HYPERLINK("http://mcb-m6.bioreg.kyushu-u.ac.jp/M3/20110502/F51163/439/1", 47.8)</f>
        <v>47.8</v>
      </c>
      <c r="E7618" s="2">
        <v>16.45</v>
      </c>
      <c r="F7618" s="2">
        <v>1</v>
      </c>
      <c r="G7618" s="2" t="s">
        <v>13</v>
      </c>
    </row>
    <row r="7619" spans="1:7" x14ac:dyDescent="0.2">
      <c r="A7619" s="2" t="s">
        <v>3731</v>
      </c>
      <c r="B7619" s="2" t="s">
        <v>729</v>
      </c>
      <c r="C7619" s="2">
        <v>830.38</v>
      </c>
      <c r="D7619" s="2">
        <f>HYPERLINK("http://mcb-m6.bioreg.kyushu-u.ac.jp/M3/20110429/F51152/599/1", 49.77)</f>
        <v>49.77</v>
      </c>
      <c r="E7619" s="2">
        <v>14.16</v>
      </c>
      <c r="F7619" s="2">
        <v>1</v>
      </c>
      <c r="G7619" s="2" t="s">
        <v>13</v>
      </c>
    </row>
    <row r="7620" spans="1:7" x14ac:dyDescent="0.2">
      <c r="A7620" s="2" t="s">
        <v>3731</v>
      </c>
      <c r="B7620" s="2" t="s">
        <v>729</v>
      </c>
      <c r="C7620" s="2">
        <v>830.48199999999997</v>
      </c>
      <c r="D7620" s="2">
        <f>HYPERLINK("http://mcb-m6.bioreg.kyushu-u.ac.jp/M3/20110428/F51141/454/1", 46.12)</f>
        <v>46.12</v>
      </c>
      <c r="E7620" s="2">
        <v>10.17</v>
      </c>
      <c r="F7620" s="2">
        <v>1</v>
      </c>
      <c r="G7620" s="2" t="s">
        <v>14</v>
      </c>
    </row>
    <row r="7621" spans="1:7" x14ac:dyDescent="0.2">
      <c r="A7621" s="2" t="s">
        <v>3731</v>
      </c>
      <c r="B7621" s="2" t="s">
        <v>729</v>
      </c>
      <c r="C7621" s="2">
        <v>830.50699999999995</v>
      </c>
      <c r="D7621" s="2">
        <f>HYPERLINK("http://mcb-m6.bioreg.kyushu-u.ac.jp/M3/20110502/F51161/760/1", 54.02)</f>
        <v>54.02</v>
      </c>
      <c r="E7621" s="2">
        <v>18.07</v>
      </c>
      <c r="F7621" s="2">
        <v>1</v>
      </c>
      <c r="G7621" s="2" t="s">
        <v>14</v>
      </c>
    </row>
    <row r="7622" spans="1:7" x14ac:dyDescent="0.2">
      <c r="A7622" s="2" t="s">
        <v>3282</v>
      </c>
      <c r="B7622" s="2" t="s">
        <v>62</v>
      </c>
      <c r="C7622" s="2">
        <v>724.64120000000003</v>
      </c>
      <c r="D7622" s="2">
        <f>HYPERLINK("http://mcb-m6.bioreg.kyushu-u.ac.jp/M3/20110418/F50974/2008/1", 46.32)</f>
        <v>46.32</v>
      </c>
      <c r="E7622" s="2">
        <v>19.239999999999998</v>
      </c>
      <c r="F7622" s="2">
        <v>2</v>
      </c>
      <c r="G7622" s="2" t="s">
        <v>11</v>
      </c>
    </row>
    <row r="7623" spans="1:7" x14ac:dyDescent="0.2">
      <c r="A7623" s="2" t="s">
        <v>3282</v>
      </c>
      <c r="B7623" s="2" t="s">
        <v>62</v>
      </c>
      <c r="C7623" s="2">
        <v>725.02869999999996</v>
      </c>
      <c r="D7623" s="2">
        <f>HYPERLINK("http://mcb-m6.bioreg.kyushu-u.ac.jp/M3/20110502/F51158/1819/1", 38.3)</f>
        <v>38.299999999999997</v>
      </c>
      <c r="E7623" s="2">
        <v>18.559999999999999</v>
      </c>
      <c r="F7623" s="2">
        <v>2</v>
      </c>
      <c r="G7623" s="2" t="s">
        <v>13</v>
      </c>
    </row>
    <row r="7624" spans="1:7" x14ac:dyDescent="0.2">
      <c r="A7624" s="2" t="s">
        <v>5823</v>
      </c>
      <c r="B7624" s="2" t="s">
        <v>5503</v>
      </c>
      <c r="C7624" s="2">
        <v>1010.572</v>
      </c>
      <c r="D7624" s="2">
        <f>HYPERLINK("http://mcb-m6.bioreg.kyushu-u.ac.jp/M3/20110429/F51150/2927/1", 42.88)</f>
        <v>42.88</v>
      </c>
      <c r="E7624" s="2">
        <v>18.54</v>
      </c>
      <c r="F7624" s="2">
        <v>2</v>
      </c>
      <c r="G7624" s="2" t="s">
        <v>13</v>
      </c>
    </row>
    <row r="7625" spans="1:7" x14ac:dyDescent="0.2">
      <c r="A7625" s="2" t="s">
        <v>5859</v>
      </c>
      <c r="B7625" s="2" t="s">
        <v>5555</v>
      </c>
      <c r="C7625" s="2">
        <v>904.74469999999997</v>
      </c>
      <c r="D7625" s="2">
        <f>HYPERLINK("http://mcb-m6.bioreg.kyushu-u.ac.jp/M3/20110429/F51150/2703/1", 76.35)</f>
        <v>76.349999999999994</v>
      </c>
      <c r="E7625" s="2">
        <v>63.04</v>
      </c>
      <c r="F7625" s="2">
        <v>2</v>
      </c>
      <c r="G7625" s="2" t="s">
        <v>13</v>
      </c>
    </row>
    <row r="7626" spans="1:7" x14ac:dyDescent="0.2">
      <c r="A7626" s="2" t="s">
        <v>5859</v>
      </c>
      <c r="B7626" s="2" t="s">
        <v>5555</v>
      </c>
      <c r="C7626" s="2">
        <v>904.22919999999999</v>
      </c>
      <c r="D7626" s="2">
        <f>HYPERLINK("http://mcb-m6.bioreg.kyushu-u.ac.jp/M3/20110429/F51150/2701/1", 80.18)</f>
        <v>80.180000000000007</v>
      </c>
      <c r="E7626" s="2">
        <v>63.66</v>
      </c>
      <c r="F7626" s="2">
        <v>2</v>
      </c>
      <c r="G7626" s="2" t="s">
        <v>13</v>
      </c>
    </row>
    <row r="7627" spans="1:7" x14ac:dyDescent="0.2">
      <c r="A7627" s="2" t="s">
        <v>5658</v>
      </c>
      <c r="B7627" s="2" t="s">
        <v>5116</v>
      </c>
      <c r="C7627" s="2">
        <v>754.08259999999996</v>
      </c>
      <c r="D7627" s="2">
        <f>HYPERLINK("http://mcb-m6.bioreg.kyushu-u.ac.jp/M3/20110318/F50605/1646/1", 59.49)</f>
        <v>59.49</v>
      </c>
      <c r="E7627" s="2">
        <v>46.13</v>
      </c>
      <c r="F7627" s="2">
        <v>2</v>
      </c>
      <c r="G7627" s="2" t="s">
        <v>9</v>
      </c>
    </row>
    <row r="7628" spans="1:7" x14ac:dyDescent="0.2">
      <c r="A7628" s="2" t="s">
        <v>5658</v>
      </c>
      <c r="B7628" s="2" t="s">
        <v>5417</v>
      </c>
      <c r="C7628" s="2">
        <v>707.19920000000002</v>
      </c>
      <c r="D7628" s="2">
        <f>HYPERLINK("http://mcb-m6.bioreg.kyushu-u.ac.jp/M3/20110418/F50977/1901/1", 65.93)</f>
        <v>65.930000000000007</v>
      </c>
      <c r="E7628" s="2">
        <v>41.59</v>
      </c>
      <c r="F7628" s="2">
        <v>2</v>
      </c>
      <c r="G7628" s="2" t="s">
        <v>11</v>
      </c>
    </row>
    <row r="7629" spans="1:7" x14ac:dyDescent="0.2">
      <c r="A7629" s="2" t="s">
        <v>5658</v>
      </c>
      <c r="B7629" s="2" t="s">
        <v>5116</v>
      </c>
      <c r="C7629" s="2">
        <v>754.22220000000004</v>
      </c>
      <c r="D7629" s="2">
        <f>HYPERLINK("http://mcb-m6.bioreg.kyushu-u.ac.jp/M3/20110418/F50977/2176/1", 84.56)</f>
        <v>84.56</v>
      </c>
      <c r="E7629" s="2">
        <v>65.510000000000005</v>
      </c>
      <c r="F7629" s="2">
        <v>2</v>
      </c>
      <c r="G7629" s="2" t="s">
        <v>11</v>
      </c>
    </row>
    <row r="7630" spans="1:7" x14ac:dyDescent="0.2">
      <c r="A7630" s="2" t="s">
        <v>3379</v>
      </c>
      <c r="B7630" s="2" t="s">
        <v>171</v>
      </c>
      <c r="C7630" s="2">
        <v>502.09859999999998</v>
      </c>
      <c r="D7630" s="2">
        <f>HYPERLINK("http://mcb-m6.bioreg.kyushu-u.ac.jp/M3/20110429/F51151/1146/1", 35.65)</f>
        <v>35.65</v>
      </c>
      <c r="E7630" s="2">
        <v>15.26</v>
      </c>
      <c r="F7630" s="2">
        <v>2</v>
      </c>
      <c r="G7630" s="2" t="s">
        <v>13</v>
      </c>
    </row>
    <row r="7631" spans="1:7" x14ac:dyDescent="0.2">
      <c r="A7631" s="2" t="s">
        <v>3300</v>
      </c>
      <c r="B7631" s="2" t="s">
        <v>5246</v>
      </c>
      <c r="C7631" s="2">
        <v>469.88310000000001</v>
      </c>
      <c r="D7631" s="2">
        <f>HYPERLINK("http://mcb-m6.bioreg.kyushu-u.ac.jp/M3/20110318/F50599/1130/1", 40.68)</f>
        <v>40.68</v>
      </c>
      <c r="E7631" s="2">
        <v>15.63</v>
      </c>
      <c r="F7631" s="2">
        <v>2</v>
      </c>
      <c r="G7631" s="2" t="s">
        <v>10</v>
      </c>
    </row>
    <row r="7632" spans="1:7" x14ac:dyDescent="0.2">
      <c r="A7632" s="2" t="s">
        <v>3300</v>
      </c>
      <c r="B7632" s="2" t="s">
        <v>764</v>
      </c>
      <c r="C7632" s="2">
        <v>460.33210000000003</v>
      </c>
      <c r="D7632" s="2">
        <f>HYPERLINK("http://mcb-m6.bioreg.kyushu-u.ac.jp/M3/20110318/F50599/1101/1", 45.26)</f>
        <v>45.26</v>
      </c>
      <c r="E7632" s="2">
        <v>18.34</v>
      </c>
      <c r="F7632" s="2">
        <v>2</v>
      </c>
      <c r="G7632" s="2" t="s">
        <v>10</v>
      </c>
    </row>
    <row r="7633" spans="1:9" x14ac:dyDescent="0.2">
      <c r="A7633" s="2" t="s">
        <v>3300</v>
      </c>
      <c r="B7633" s="2" t="s">
        <v>323</v>
      </c>
      <c r="C7633" s="2">
        <v>853.00710000000004</v>
      </c>
      <c r="D7633" s="2">
        <f>HYPERLINK("http://mcb-m6.bioreg.kyushu-u.ac.jp/M3/20110318/F50599/2030/1", 50.49)</f>
        <v>50.49</v>
      </c>
      <c r="E7633" s="2">
        <v>33.11</v>
      </c>
      <c r="F7633" s="2">
        <v>2</v>
      </c>
      <c r="G7633" s="2" t="s">
        <v>10</v>
      </c>
      <c r="I7633" s="2" t="s">
        <v>4890</v>
      </c>
    </row>
    <row r="7634" spans="1:9" x14ac:dyDescent="0.2">
      <c r="A7634" s="2" t="s">
        <v>3300</v>
      </c>
      <c r="B7634" s="2" t="s">
        <v>445</v>
      </c>
      <c r="C7634" s="2">
        <v>645.7491</v>
      </c>
      <c r="D7634" s="2">
        <f>HYPERLINK("http://mcb-m6.bioreg.kyushu-u.ac.jp/M3/20110418/F50972/1858/1", 38.58)</f>
        <v>38.58</v>
      </c>
      <c r="E7634" s="2">
        <v>21.08</v>
      </c>
      <c r="F7634" s="2">
        <v>2</v>
      </c>
      <c r="G7634" s="2" t="s">
        <v>11</v>
      </c>
    </row>
    <row r="7635" spans="1:9" x14ac:dyDescent="0.2">
      <c r="A7635" s="2" t="s">
        <v>3300</v>
      </c>
      <c r="B7635" s="2" t="s">
        <v>445</v>
      </c>
      <c r="C7635" s="2">
        <v>1290.29</v>
      </c>
      <c r="D7635" s="2">
        <f>HYPERLINK("http://mcb-m6.bioreg.kyushu-u.ac.jp/M3/20110418/F50972/1857/1", 40.65)</f>
        <v>40.65</v>
      </c>
      <c r="E7635" s="2">
        <v>30.5</v>
      </c>
      <c r="F7635" s="2">
        <v>1</v>
      </c>
      <c r="G7635" s="2" t="s">
        <v>11</v>
      </c>
    </row>
    <row r="7636" spans="1:9" x14ac:dyDescent="0.2">
      <c r="A7636" s="2" t="s">
        <v>3300</v>
      </c>
      <c r="B7636" s="2" t="s">
        <v>2053</v>
      </c>
      <c r="C7636" s="2">
        <v>758.16359999999997</v>
      </c>
      <c r="D7636" s="2">
        <f>HYPERLINK("http://mcb-m6.bioreg.kyushu-u.ac.jp/M3/20110418/F50973/2218/1", 40.67)</f>
        <v>40.67</v>
      </c>
      <c r="E7636" s="2">
        <v>18.88</v>
      </c>
      <c r="F7636" s="2">
        <v>2</v>
      </c>
      <c r="G7636" s="2" t="s">
        <v>11</v>
      </c>
    </row>
    <row r="7637" spans="1:9" x14ac:dyDescent="0.2">
      <c r="A7637" s="2" t="s">
        <v>3300</v>
      </c>
      <c r="B7637" s="2" t="s">
        <v>445</v>
      </c>
      <c r="C7637" s="2">
        <v>1290.2639999999999</v>
      </c>
      <c r="D7637" s="2">
        <f>HYPERLINK("http://mcb-m6.bioreg.kyushu-u.ac.jp/M3/20110429/F51151/1739/1", 46.26)</f>
        <v>46.26</v>
      </c>
      <c r="E7637" s="2">
        <v>35.93</v>
      </c>
      <c r="F7637" s="2">
        <v>1</v>
      </c>
      <c r="G7637" s="2" t="s">
        <v>13</v>
      </c>
    </row>
    <row r="7638" spans="1:9" x14ac:dyDescent="0.2">
      <c r="A7638" s="2" t="s">
        <v>3300</v>
      </c>
      <c r="B7638" s="2" t="s">
        <v>764</v>
      </c>
      <c r="C7638" s="2">
        <v>468.40010000000001</v>
      </c>
      <c r="D7638" s="2">
        <f>HYPERLINK("http://mcb-m6.bioreg.kyushu-u.ac.jp/M3/20110428/F51139/1499/1", 46.08)</f>
        <v>46.08</v>
      </c>
      <c r="E7638" s="2">
        <v>23.63</v>
      </c>
      <c r="F7638" s="2">
        <v>2</v>
      </c>
      <c r="G7638" s="2" t="s">
        <v>14</v>
      </c>
      <c r="H7638" s="2" t="s">
        <v>4891</v>
      </c>
    </row>
    <row r="7639" spans="1:9" x14ac:dyDescent="0.2">
      <c r="A7639" s="2" t="s">
        <v>4474</v>
      </c>
      <c r="B7639" s="2" t="s">
        <v>2463</v>
      </c>
      <c r="C7639" s="2">
        <v>738.37869999999998</v>
      </c>
      <c r="D7639" s="2">
        <f>HYPERLINK("http://mcb-m6.bioreg.kyushu-u.ac.jp/M3/20110418/F50978/2102/1", 54.16)</f>
        <v>54.16</v>
      </c>
      <c r="E7639" s="2">
        <v>40.770000000000003</v>
      </c>
      <c r="F7639" s="2">
        <v>2</v>
      </c>
      <c r="G7639" s="2" t="s">
        <v>11</v>
      </c>
    </row>
    <row r="7640" spans="1:9" x14ac:dyDescent="0.2">
      <c r="A7640" s="2" t="s">
        <v>4474</v>
      </c>
      <c r="B7640" s="2" t="s">
        <v>2416</v>
      </c>
      <c r="C7640" s="2">
        <v>776.33069999999998</v>
      </c>
      <c r="D7640" s="2">
        <f>HYPERLINK("http://mcb-m6.bioreg.kyushu-u.ac.jp/M3/20110429/F51154/2212/1", 55.49)</f>
        <v>55.49</v>
      </c>
      <c r="E7640" s="2">
        <v>47.24</v>
      </c>
      <c r="F7640" s="2">
        <v>2</v>
      </c>
      <c r="G7640" s="2" t="s">
        <v>13</v>
      </c>
    </row>
    <row r="7641" spans="1:9" x14ac:dyDescent="0.2">
      <c r="A7641" s="2" t="s">
        <v>4116</v>
      </c>
      <c r="B7641" s="2" t="s">
        <v>5144</v>
      </c>
      <c r="C7641" s="2">
        <v>1016.324</v>
      </c>
      <c r="D7641" s="2">
        <f>HYPERLINK("http://mcb-m6.bioreg.kyushu-u.ac.jp/M3/20110318/F50619/2399/1", 68.02)</f>
        <v>68.02</v>
      </c>
      <c r="E7641" s="2">
        <v>55.18</v>
      </c>
      <c r="F7641" s="2">
        <v>2</v>
      </c>
      <c r="G7641" s="2" t="s">
        <v>9</v>
      </c>
    </row>
    <row r="7642" spans="1:9" x14ac:dyDescent="0.2">
      <c r="A7642" s="2" t="s">
        <v>4116</v>
      </c>
      <c r="B7642" s="2" t="s">
        <v>5144</v>
      </c>
      <c r="C7642" s="2">
        <v>1016.639</v>
      </c>
      <c r="D7642" s="2">
        <f>HYPERLINK("http://mcb-m6.bioreg.kyushu-u.ac.jp/M3/20110428/F51141/3433/1", 59.78)</f>
        <v>59.78</v>
      </c>
      <c r="E7642" s="2">
        <v>46.01</v>
      </c>
      <c r="F7642" s="2">
        <v>2</v>
      </c>
      <c r="G7642" s="2" t="s">
        <v>14</v>
      </c>
    </row>
    <row r="7643" spans="1:9" x14ac:dyDescent="0.2">
      <c r="A7643" s="2" t="s">
        <v>4116</v>
      </c>
      <c r="B7643" s="2" t="s">
        <v>2321</v>
      </c>
      <c r="C7643" s="2">
        <v>938.54610000000002</v>
      </c>
      <c r="D7643" s="2">
        <f>HYPERLINK("http://mcb-m6.bioreg.kyushu-u.ac.jp/M3/20110428/F51141/3111/1", 83.3)</f>
        <v>83.3</v>
      </c>
      <c r="E7643" s="2">
        <v>72.47</v>
      </c>
      <c r="F7643" s="2">
        <v>2</v>
      </c>
      <c r="G7643" s="2" t="s">
        <v>14</v>
      </c>
    </row>
    <row r="7644" spans="1:9" x14ac:dyDescent="0.2">
      <c r="A7644" s="2" t="s">
        <v>3890</v>
      </c>
      <c r="B7644" s="2" t="s">
        <v>1033</v>
      </c>
      <c r="C7644" s="2">
        <v>529.82259999999997</v>
      </c>
      <c r="D7644" s="2">
        <f>HYPERLINK("http://mcb-m6.bioreg.kyushu-u.ac.jp/M3/20110318/F50615/886/1", 63.12)</f>
        <v>63.12</v>
      </c>
      <c r="E7644" s="2">
        <v>29.26</v>
      </c>
      <c r="F7644" s="2">
        <v>2</v>
      </c>
      <c r="G7644" s="2" t="s">
        <v>10</v>
      </c>
    </row>
    <row r="7645" spans="1:9" x14ac:dyDescent="0.2">
      <c r="A7645" s="2" t="s">
        <v>3890</v>
      </c>
      <c r="B7645" s="2" t="s">
        <v>5588</v>
      </c>
      <c r="C7645" s="2">
        <v>953.39919999999995</v>
      </c>
      <c r="D7645" s="2">
        <f>HYPERLINK("http://mcb-m6.bioreg.kyushu-u.ac.jp/M3/20110428/F51141/3193/1", 55.15)</f>
        <v>55.15</v>
      </c>
      <c r="E7645" s="2">
        <v>48.04</v>
      </c>
      <c r="F7645" s="2">
        <v>2</v>
      </c>
      <c r="G7645" s="2" t="s">
        <v>14</v>
      </c>
    </row>
    <row r="7646" spans="1:9" x14ac:dyDescent="0.2">
      <c r="A7646" s="2" t="s">
        <v>3529</v>
      </c>
      <c r="B7646" s="2" t="s">
        <v>2234</v>
      </c>
      <c r="C7646" s="2">
        <v>701.91610000000003</v>
      </c>
      <c r="D7646" s="2">
        <f>HYPERLINK("http://mcb-m6.bioreg.kyushu-u.ac.jp/M3/20110318/F50619/1315/1", 46.17)</f>
        <v>46.17</v>
      </c>
      <c r="E7646" s="2">
        <v>29.06</v>
      </c>
      <c r="F7646" s="2">
        <v>2</v>
      </c>
      <c r="G7646" s="2" t="s">
        <v>9</v>
      </c>
      <c r="H7646" s="2" t="s">
        <v>4904</v>
      </c>
    </row>
    <row r="7647" spans="1:9" x14ac:dyDescent="0.2">
      <c r="A7647" s="2" t="s">
        <v>3529</v>
      </c>
      <c r="B7647" s="2" t="s">
        <v>5076</v>
      </c>
      <c r="C7647" s="2">
        <v>897.11289999999997</v>
      </c>
      <c r="D7647" s="2">
        <f>HYPERLINK("http://mcb-m6.bioreg.kyushu-u.ac.jp/M3/20110318/F50619/3053/1", 47.64)</f>
        <v>47.64</v>
      </c>
      <c r="E7647" s="2">
        <v>36.17</v>
      </c>
      <c r="F7647" s="2">
        <v>3</v>
      </c>
      <c r="G7647" s="2" t="s">
        <v>9</v>
      </c>
      <c r="H7647" s="2" t="s">
        <v>4908</v>
      </c>
    </row>
    <row r="7648" spans="1:9" x14ac:dyDescent="0.2">
      <c r="A7648" s="2" t="s">
        <v>3529</v>
      </c>
      <c r="B7648" s="2" t="s">
        <v>3080</v>
      </c>
      <c r="C7648" s="2">
        <v>509.9151</v>
      </c>
      <c r="D7648" s="2">
        <f>HYPERLINK("http://mcb-m6.bioreg.kyushu-u.ac.jp/M3/20110318/F50619/861/1", 49.05)</f>
        <v>49.05</v>
      </c>
      <c r="E7648" s="2">
        <v>27.79</v>
      </c>
      <c r="F7648" s="2">
        <v>2</v>
      </c>
      <c r="G7648" s="2" t="s">
        <v>9</v>
      </c>
    </row>
    <row r="7649" spans="1:9" x14ac:dyDescent="0.2">
      <c r="A7649" s="2" t="s">
        <v>3529</v>
      </c>
      <c r="B7649" s="2" t="s">
        <v>1329</v>
      </c>
      <c r="C7649" s="2">
        <v>868.3202</v>
      </c>
      <c r="D7649" s="2">
        <f>HYPERLINK("http://mcb-m6.bioreg.kyushu-u.ac.jp/M3/20110318/F50619/2990/1", 55.7)</f>
        <v>55.7</v>
      </c>
      <c r="E7649" s="2">
        <v>43.44</v>
      </c>
      <c r="F7649" s="2">
        <v>3</v>
      </c>
      <c r="G7649" s="2" t="s">
        <v>9</v>
      </c>
    </row>
    <row r="7650" spans="1:9" x14ac:dyDescent="0.2">
      <c r="A7650" s="2" t="s">
        <v>3529</v>
      </c>
      <c r="B7650" s="2" t="s">
        <v>1513</v>
      </c>
      <c r="C7650" s="2">
        <v>737.70420000000001</v>
      </c>
      <c r="D7650" s="2">
        <f>HYPERLINK("http://mcb-m6.bioreg.kyushu-u.ac.jp/M3/20110318/F50619/1456/1", 71.82)</f>
        <v>71.819999999999993</v>
      </c>
      <c r="E7650" s="2">
        <v>53.25</v>
      </c>
      <c r="F7650" s="2">
        <v>2</v>
      </c>
      <c r="G7650" s="2" t="s">
        <v>9</v>
      </c>
      <c r="I7650" s="2" t="s">
        <v>4898</v>
      </c>
    </row>
    <row r="7651" spans="1:9" x14ac:dyDescent="0.2">
      <c r="A7651" s="2" t="s">
        <v>3529</v>
      </c>
      <c r="B7651" s="2" t="s">
        <v>2386</v>
      </c>
      <c r="C7651" s="2">
        <v>618.27419999999995</v>
      </c>
      <c r="D7651" s="2">
        <f>HYPERLINK("http://mcb-m6.bioreg.kyushu-u.ac.jp/M3/20110318/F50619/1094/1", 74.57)</f>
        <v>74.569999999999993</v>
      </c>
      <c r="E7651" s="2">
        <v>51.07</v>
      </c>
      <c r="F7651" s="2">
        <v>2</v>
      </c>
      <c r="G7651" s="2" t="s">
        <v>9</v>
      </c>
    </row>
    <row r="7652" spans="1:9" x14ac:dyDescent="0.2">
      <c r="A7652" s="2" t="s">
        <v>3529</v>
      </c>
      <c r="B7652" s="2" t="s">
        <v>2234</v>
      </c>
      <c r="C7652" s="2">
        <v>701.53769999999997</v>
      </c>
      <c r="D7652" s="2">
        <f>HYPERLINK("http://mcb-m6.bioreg.kyushu-u.ac.jp/M3/20110318/F50615/1373/1", 41.05)</f>
        <v>41.05</v>
      </c>
      <c r="E7652" s="2">
        <v>20.96</v>
      </c>
      <c r="F7652" s="2">
        <v>2</v>
      </c>
      <c r="G7652" s="2" t="s">
        <v>10</v>
      </c>
      <c r="H7652" s="2" t="s">
        <v>4904</v>
      </c>
    </row>
    <row r="7653" spans="1:9" x14ac:dyDescent="0.2">
      <c r="A7653" s="2" t="s">
        <v>3529</v>
      </c>
      <c r="B7653" s="2" t="s">
        <v>2386</v>
      </c>
      <c r="C7653" s="2">
        <v>618.46669999999995</v>
      </c>
      <c r="D7653" s="2">
        <f>HYPERLINK("http://mcb-m6.bioreg.kyushu-u.ac.jp/M3/20110318/F50597/1197/1", 49.3)</f>
        <v>49.3</v>
      </c>
      <c r="E7653" s="2">
        <v>29.48</v>
      </c>
      <c r="F7653" s="2">
        <v>2</v>
      </c>
      <c r="G7653" s="2" t="s">
        <v>10</v>
      </c>
    </row>
    <row r="7654" spans="1:9" x14ac:dyDescent="0.2">
      <c r="A7654" s="2" t="s">
        <v>3529</v>
      </c>
      <c r="B7654" s="2" t="s">
        <v>3080</v>
      </c>
      <c r="C7654" s="2">
        <v>509.88510000000002</v>
      </c>
      <c r="D7654" s="2">
        <f>HYPERLINK("http://mcb-m6.bioreg.kyushu-u.ac.jp/M3/20110318/F50615/834/1", 52.36)</f>
        <v>52.36</v>
      </c>
      <c r="E7654" s="2">
        <v>26.35</v>
      </c>
      <c r="F7654" s="2">
        <v>2</v>
      </c>
      <c r="G7654" s="2" t="s">
        <v>10</v>
      </c>
    </row>
    <row r="7655" spans="1:9" x14ac:dyDescent="0.2">
      <c r="A7655" s="2" t="s">
        <v>3529</v>
      </c>
      <c r="B7655" s="2" t="s">
        <v>2386</v>
      </c>
      <c r="C7655" s="2">
        <v>618.35170000000005</v>
      </c>
      <c r="D7655" s="2">
        <f>HYPERLINK("http://mcb-m6.bioreg.kyushu-u.ac.jp/M3/20110318/F50615/1126/1", 56.88)</f>
        <v>56.88</v>
      </c>
      <c r="E7655" s="2">
        <v>38.07</v>
      </c>
      <c r="F7655" s="2">
        <v>2</v>
      </c>
      <c r="G7655" s="2" t="s">
        <v>10</v>
      </c>
    </row>
    <row r="7656" spans="1:9" x14ac:dyDescent="0.2">
      <c r="A7656" s="2" t="s">
        <v>3529</v>
      </c>
      <c r="B7656" s="2" t="s">
        <v>1329</v>
      </c>
      <c r="C7656" s="2">
        <v>868.45860000000005</v>
      </c>
      <c r="D7656" s="2">
        <f>HYPERLINK("http://mcb-m6.bioreg.kyushu-u.ac.jp/M3/20110318/F50615/3002/1", 59.83)</f>
        <v>59.83</v>
      </c>
      <c r="E7656" s="2">
        <v>46.44</v>
      </c>
      <c r="F7656" s="2">
        <v>3</v>
      </c>
      <c r="G7656" s="2" t="s">
        <v>10</v>
      </c>
    </row>
    <row r="7657" spans="1:9" x14ac:dyDescent="0.2">
      <c r="A7657" s="2" t="s">
        <v>3529</v>
      </c>
      <c r="B7657" s="2" t="s">
        <v>1996</v>
      </c>
      <c r="C7657" s="2">
        <v>465.27859999999998</v>
      </c>
      <c r="D7657" s="2">
        <f>HYPERLINK("http://mcb-m6.bioreg.kyushu-u.ac.jp/M3/20110418/F50975/621/1", 48.74)</f>
        <v>48.74</v>
      </c>
      <c r="E7657" s="2">
        <v>15.04</v>
      </c>
      <c r="F7657" s="2">
        <v>2</v>
      </c>
      <c r="G7657" s="2" t="s">
        <v>11</v>
      </c>
    </row>
    <row r="7658" spans="1:9" x14ac:dyDescent="0.2">
      <c r="A7658" s="2" t="s">
        <v>3529</v>
      </c>
      <c r="B7658" s="2" t="s">
        <v>2234</v>
      </c>
      <c r="C7658" s="2">
        <v>701.28610000000003</v>
      </c>
      <c r="D7658" s="2">
        <f>HYPERLINK("http://mcb-m6.bioreg.kyushu-u.ac.jp/M3/20110418/F50975/1787/1", 49.69)</f>
        <v>49.69</v>
      </c>
      <c r="E7658" s="2">
        <v>31.85</v>
      </c>
      <c r="F7658" s="2">
        <v>2</v>
      </c>
      <c r="G7658" s="2" t="s">
        <v>11</v>
      </c>
      <c r="H7658" s="2" t="s">
        <v>4904</v>
      </c>
    </row>
    <row r="7659" spans="1:9" x14ac:dyDescent="0.2">
      <c r="A7659" s="2" t="s">
        <v>3529</v>
      </c>
      <c r="B7659" s="2" t="s">
        <v>1513</v>
      </c>
      <c r="C7659" s="2">
        <v>746.24519999999995</v>
      </c>
      <c r="D7659" s="2">
        <f>HYPERLINK("http://mcb-m6.bioreg.kyushu-u.ac.jp/M3/20110418/F50975/2087/1", 56.9)</f>
        <v>56.9</v>
      </c>
      <c r="E7659" s="2">
        <v>41.18</v>
      </c>
      <c r="F7659" s="2">
        <v>2</v>
      </c>
      <c r="G7659" s="2" t="s">
        <v>11</v>
      </c>
      <c r="H7659" s="2" t="s">
        <v>4915</v>
      </c>
      <c r="I7659" s="2" t="s">
        <v>4898</v>
      </c>
    </row>
    <row r="7660" spans="1:9" x14ac:dyDescent="0.2">
      <c r="A7660" s="2" t="s">
        <v>3529</v>
      </c>
      <c r="B7660" s="2" t="s">
        <v>1964</v>
      </c>
      <c r="C7660" s="2">
        <v>638.88570000000004</v>
      </c>
      <c r="D7660" s="2">
        <f>HYPERLINK("http://mcb-m6.bioreg.kyushu-u.ac.jp/M3/20110418/F50975/1421/1", 63.14)</f>
        <v>63.14</v>
      </c>
      <c r="E7660" s="2">
        <v>40.89</v>
      </c>
      <c r="F7660" s="2">
        <v>2</v>
      </c>
      <c r="G7660" s="2" t="s">
        <v>11</v>
      </c>
      <c r="H7660" s="2" t="s">
        <v>4917</v>
      </c>
    </row>
    <row r="7661" spans="1:9" x14ac:dyDescent="0.2">
      <c r="A7661" s="2" t="s">
        <v>3529</v>
      </c>
      <c r="B7661" s="2" t="s">
        <v>1964</v>
      </c>
      <c r="C7661" s="2">
        <v>630.79669999999999</v>
      </c>
      <c r="D7661" s="2">
        <f>HYPERLINK("http://mcb-m6.bioreg.kyushu-u.ac.jp/M3/20110418/F50975/1377/1", 68.8)</f>
        <v>68.8</v>
      </c>
      <c r="E7661" s="2">
        <v>51.76</v>
      </c>
      <c r="F7661" s="2">
        <v>2</v>
      </c>
      <c r="G7661" s="2" t="s">
        <v>11</v>
      </c>
    </row>
    <row r="7662" spans="1:9" x14ac:dyDescent="0.2">
      <c r="A7662" s="2" t="s">
        <v>3529</v>
      </c>
      <c r="B7662" s="2" t="s">
        <v>375</v>
      </c>
      <c r="C7662" s="2">
        <v>820.33100000000002</v>
      </c>
      <c r="D7662" s="2">
        <f>HYPERLINK("http://mcb-m6.bioreg.kyushu-u.ac.jp/M3/20110418/F50985/1543/1", 42.56)</f>
        <v>42.56</v>
      </c>
      <c r="E7662" s="2">
        <v>24.47</v>
      </c>
      <c r="F7662" s="2">
        <v>1</v>
      </c>
      <c r="G7662" s="2" t="s">
        <v>12</v>
      </c>
      <c r="H7662" s="2" t="s">
        <v>4904</v>
      </c>
    </row>
    <row r="7663" spans="1:9" x14ac:dyDescent="0.2">
      <c r="A7663" s="2" t="s">
        <v>3529</v>
      </c>
      <c r="B7663" s="2" t="s">
        <v>375</v>
      </c>
      <c r="C7663" s="2">
        <v>820.58900000000006</v>
      </c>
      <c r="D7663" s="2">
        <f>HYPERLINK("http://mcb-m6.bioreg.kyushu-u.ac.jp/M3/20110502/F51158/522/1", 49.6)</f>
        <v>49.6</v>
      </c>
      <c r="E7663" s="2">
        <v>26.19</v>
      </c>
      <c r="F7663" s="2">
        <v>1</v>
      </c>
      <c r="G7663" s="2" t="s">
        <v>13</v>
      </c>
      <c r="H7663" s="2" t="s">
        <v>4904</v>
      </c>
    </row>
    <row r="7664" spans="1:9" x14ac:dyDescent="0.2">
      <c r="A7664" s="2" t="s">
        <v>3529</v>
      </c>
      <c r="B7664" s="2" t="s">
        <v>3080</v>
      </c>
      <c r="C7664" s="2">
        <v>509.95659999999998</v>
      </c>
      <c r="D7664" s="2">
        <f>HYPERLINK("http://mcb-m6.bioreg.kyushu-u.ac.jp/M3/20110502/F51158/764/1", 57.49)</f>
        <v>57.49</v>
      </c>
      <c r="E7664" s="2">
        <v>37.39</v>
      </c>
      <c r="F7664" s="2">
        <v>2</v>
      </c>
      <c r="G7664" s="2" t="s">
        <v>13</v>
      </c>
    </row>
    <row r="7665" spans="1:9" x14ac:dyDescent="0.2">
      <c r="A7665" s="2" t="s">
        <v>3529</v>
      </c>
      <c r="B7665" s="2" t="s">
        <v>1964</v>
      </c>
      <c r="C7665" s="2">
        <v>631.03020000000004</v>
      </c>
      <c r="D7665" s="2">
        <f>HYPERLINK("http://mcb-m6.bioreg.kyushu-u.ac.jp/M3/20110502/F51158/1358/1", 79.95)</f>
        <v>79.95</v>
      </c>
      <c r="E7665" s="2">
        <v>49.18</v>
      </c>
      <c r="F7665" s="2">
        <v>2</v>
      </c>
      <c r="G7665" s="2" t="s">
        <v>13</v>
      </c>
    </row>
    <row r="7666" spans="1:9" x14ac:dyDescent="0.2">
      <c r="A7666" s="2" t="s">
        <v>3529</v>
      </c>
      <c r="B7666" s="2" t="s">
        <v>1964</v>
      </c>
      <c r="C7666" s="2">
        <v>639.31209999999999</v>
      </c>
      <c r="D7666" s="2">
        <f>HYPERLINK("http://mcb-m6.bioreg.kyushu-u.ac.jp/M3/20110428/F51141/1359/1", 64.49)</f>
        <v>64.489999999999995</v>
      </c>
      <c r="E7666" s="2">
        <v>34.979999999999997</v>
      </c>
      <c r="F7666" s="2">
        <v>2</v>
      </c>
      <c r="G7666" s="2" t="s">
        <v>14</v>
      </c>
      <c r="H7666" s="2" t="s">
        <v>4917</v>
      </c>
    </row>
    <row r="7667" spans="1:9" x14ac:dyDescent="0.2">
      <c r="A7667" s="2" t="s">
        <v>4019</v>
      </c>
      <c r="B7667" s="2" t="s">
        <v>1328</v>
      </c>
      <c r="C7667" s="2">
        <v>675.79719999999998</v>
      </c>
      <c r="D7667" s="2">
        <f>HYPERLINK("http://mcb-m6.bioreg.kyushu-u.ac.jp/M3/20110318/F50619/1245/1", 74.82)</f>
        <v>74.819999999999993</v>
      </c>
      <c r="E7667" s="2">
        <v>54.81</v>
      </c>
      <c r="F7667" s="2">
        <v>2</v>
      </c>
      <c r="G7667" s="2" t="s">
        <v>9</v>
      </c>
    </row>
    <row r="7668" spans="1:9" x14ac:dyDescent="0.2">
      <c r="A7668" s="2" t="s">
        <v>4019</v>
      </c>
      <c r="B7668" s="2" t="s">
        <v>1328</v>
      </c>
      <c r="C7668" s="2">
        <v>675.93409999999994</v>
      </c>
      <c r="D7668" s="2">
        <f>HYPERLINK("http://mcb-m6.bioreg.kyushu-u.ac.jp/M3/20110318/F50597/1342/1", 60.2)</f>
        <v>60.2</v>
      </c>
      <c r="E7668" s="2">
        <v>49.79</v>
      </c>
      <c r="F7668" s="2">
        <v>2</v>
      </c>
      <c r="G7668" s="2" t="s">
        <v>10</v>
      </c>
    </row>
    <row r="7669" spans="1:9" x14ac:dyDescent="0.2">
      <c r="A7669" s="2" t="s">
        <v>4019</v>
      </c>
      <c r="B7669" s="2" t="s">
        <v>1328</v>
      </c>
      <c r="C7669" s="2">
        <v>676.33969999999999</v>
      </c>
      <c r="D7669" s="2">
        <f>HYPERLINK("http://mcb-m6.bioreg.kyushu-u.ac.jp/M3/20110318/F50615/1292/1", 64.73)</f>
        <v>64.73</v>
      </c>
      <c r="E7669" s="2">
        <v>51.61</v>
      </c>
      <c r="F7669" s="2">
        <v>2</v>
      </c>
      <c r="G7669" s="2" t="s">
        <v>10</v>
      </c>
    </row>
    <row r="7670" spans="1:9" x14ac:dyDescent="0.2">
      <c r="A7670" s="2" t="s">
        <v>3998</v>
      </c>
      <c r="B7670" s="2" t="s">
        <v>1285</v>
      </c>
      <c r="C7670" s="2">
        <v>774.01260000000002</v>
      </c>
      <c r="D7670" s="2">
        <f>HYPERLINK("http://mcb-m6.bioreg.kyushu-u.ac.jp/M3/20110318/F50610/1781/1", 95.42)</f>
        <v>95.42</v>
      </c>
      <c r="E7670" s="2">
        <v>77.36</v>
      </c>
      <c r="F7670" s="2">
        <v>2</v>
      </c>
      <c r="G7670" s="2" t="s">
        <v>9</v>
      </c>
    </row>
    <row r="7671" spans="1:9" x14ac:dyDescent="0.2">
      <c r="A7671" s="2" t="s">
        <v>3998</v>
      </c>
      <c r="B7671" s="2" t="s">
        <v>1285</v>
      </c>
      <c r="C7671" s="2">
        <v>1547.0229999999999</v>
      </c>
      <c r="D7671" s="2">
        <f>HYPERLINK("http://mcb-m6.bioreg.kyushu-u.ac.jp/M3/20110318/F50622/1635/1", 54.85)</f>
        <v>54.85</v>
      </c>
      <c r="E7671" s="2">
        <v>35.06</v>
      </c>
      <c r="F7671" s="2">
        <v>1</v>
      </c>
      <c r="G7671" s="2" t="s">
        <v>10</v>
      </c>
    </row>
    <row r="7672" spans="1:9" x14ac:dyDescent="0.2">
      <c r="A7672" s="2" t="s">
        <v>3998</v>
      </c>
      <c r="B7672" s="2" t="s">
        <v>1285</v>
      </c>
      <c r="C7672" s="2">
        <v>774.02560000000005</v>
      </c>
      <c r="D7672" s="2">
        <f>HYPERLINK("http://mcb-m6.bioreg.kyushu-u.ac.jp/M3/20110318/F50622/1636/1", 74.01)</f>
        <v>74.010000000000005</v>
      </c>
      <c r="E7672" s="2">
        <v>52.61</v>
      </c>
      <c r="F7672" s="2">
        <v>2</v>
      </c>
      <c r="G7672" s="2" t="s">
        <v>10</v>
      </c>
    </row>
    <row r="7673" spans="1:9" x14ac:dyDescent="0.2">
      <c r="A7673" s="2" t="s">
        <v>3998</v>
      </c>
      <c r="B7673" s="2" t="s">
        <v>1285</v>
      </c>
      <c r="C7673" s="2">
        <v>773.60820000000001</v>
      </c>
      <c r="D7673" s="2">
        <f>HYPERLINK("http://mcb-m6.bioreg.kyushu-u.ac.jp/M3/20110418/F50970/2100/1", 98.36)</f>
        <v>98.36</v>
      </c>
      <c r="E7673" s="2">
        <v>79.37</v>
      </c>
      <c r="F7673" s="2">
        <v>2</v>
      </c>
      <c r="G7673" s="2" t="s">
        <v>11</v>
      </c>
    </row>
    <row r="7674" spans="1:9" x14ac:dyDescent="0.2">
      <c r="A7674" s="2" t="s">
        <v>3998</v>
      </c>
      <c r="B7674" s="2" t="s">
        <v>1285</v>
      </c>
      <c r="C7674" s="2">
        <v>774.39070000000004</v>
      </c>
      <c r="D7674" s="2">
        <f>HYPERLINK("http://mcb-m6.bioreg.kyushu-u.ac.jp/M3/20110428/F51147/2131/1", 92.02)</f>
        <v>92.02</v>
      </c>
      <c r="E7674" s="2">
        <v>63.02</v>
      </c>
      <c r="F7674" s="2">
        <v>2</v>
      </c>
      <c r="G7674" s="2" t="s">
        <v>13</v>
      </c>
    </row>
    <row r="7675" spans="1:9" x14ac:dyDescent="0.2">
      <c r="A7675" s="2" t="s">
        <v>3998</v>
      </c>
      <c r="B7675" s="2" t="s">
        <v>1285</v>
      </c>
      <c r="C7675" s="2">
        <v>774.00210000000004</v>
      </c>
      <c r="D7675" s="2">
        <f>HYPERLINK("http://mcb-m6.bioreg.kyushu-u.ac.jp/M3/20110502/F51160/1929/1", 78.13)</f>
        <v>78.13</v>
      </c>
      <c r="E7675" s="2">
        <v>58.68</v>
      </c>
      <c r="F7675" s="2">
        <v>2</v>
      </c>
      <c r="G7675" s="2" t="s">
        <v>14</v>
      </c>
    </row>
    <row r="7676" spans="1:9" x14ac:dyDescent="0.2">
      <c r="A7676" s="2" t="s">
        <v>5848</v>
      </c>
      <c r="B7676" s="2" t="s">
        <v>5541</v>
      </c>
      <c r="C7676" s="2">
        <v>747.1277</v>
      </c>
      <c r="D7676" s="2">
        <f>HYPERLINK("http://mcb-m6.bioreg.kyushu-u.ac.jp/M3/20110428/F51147/2050/1", 63.72)</f>
        <v>63.72</v>
      </c>
      <c r="E7676" s="2">
        <v>42.03</v>
      </c>
      <c r="F7676" s="2">
        <v>2</v>
      </c>
      <c r="G7676" s="2" t="s">
        <v>13</v>
      </c>
      <c r="I7676" s="2" t="s">
        <v>4942</v>
      </c>
    </row>
    <row r="7677" spans="1:9" x14ac:dyDescent="0.2">
      <c r="A7677" s="2" t="s">
        <v>3242</v>
      </c>
      <c r="B7677" s="2" t="s">
        <v>5306</v>
      </c>
      <c r="C7677" s="2">
        <v>661.89670000000001</v>
      </c>
      <c r="D7677" s="2">
        <f>HYPERLINK("http://mcb-m6.bioreg.kyushu-u.ac.jp/M3/20110318/F50611/1364/1", 53.95)</f>
        <v>53.95</v>
      </c>
      <c r="E7677" s="2">
        <v>35.46</v>
      </c>
      <c r="F7677" s="2">
        <v>2</v>
      </c>
      <c r="G7677" s="2" t="s">
        <v>10</v>
      </c>
    </row>
    <row r="7678" spans="1:9" x14ac:dyDescent="0.2">
      <c r="A7678" s="2" t="s">
        <v>3242</v>
      </c>
      <c r="B7678" s="2" t="s">
        <v>2466</v>
      </c>
      <c r="C7678" s="2">
        <v>748.39009999999996</v>
      </c>
      <c r="D7678" s="2">
        <f>HYPERLINK("http://mcb-m6.bioreg.kyushu-u.ac.jp/M3/20110429/F51154/2062/1", 51.6)</f>
        <v>51.6</v>
      </c>
      <c r="E7678" s="2">
        <v>37.71</v>
      </c>
      <c r="F7678" s="2">
        <v>2</v>
      </c>
      <c r="G7678" s="2" t="s">
        <v>13</v>
      </c>
    </row>
    <row r="7679" spans="1:9" x14ac:dyDescent="0.2">
      <c r="A7679" s="2" t="s">
        <v>4041</v>
      </c>
      <c r="B7679" s="2" t="s">
        <v>1384</v>
      </c>
      <c r="C7679" s="2">
        <v>609.47860000000003</v>
      </c>
      <c r="D7679" s="2">
        <f>HYPERLINK("http://mcb-m6.bioreg.kyushu-u.ac.jp/M3/20110318/F50599/1389/1", 81.56)</f>
        <v>81.56</v>
      </c>
      <c r="E7679" s="2">
        <v>46.67</v>
      </c>
      <c r="F7679" s="2">
        <v>2</v>
      </c>
      <c r="G7679" s="2" t="s">
        <v>10</v>
      </c>
    </row>
    <row r="7680" spans="1:9" x14ac:dyDescent="0.2">
      <c r="A7680" s="2" t="s">
        <v>4041</v>
      </c>
      <c r="B7680" s="2" t="s">
        <v>1384</v>
      </c>
      <c r="C7680" s="2">
        <v>609.83069999999998</v>
      </c>
      <c r="D7680" s="2">
        <f>HYPERLINK("http://mcb-m6.bioreg.kyushu-u.ac.jp/M3/20110418/F50972/1787/1", 50.37)</f>
        <v>50.37</v>
      </c>
      <c r="E7680" s="2">
        <v>18.98</v>
      </c>
      <c r="F7680" s="2">
        <v>2</v>
      </c>
      <c r="G7680" s="2" t="s">
        <v>11</v>
      </c>
    </row>
    <row r="7681" spans="1:8" x14ac:dyDescent="0.2">
      <c r="A7681" s="2" t="s">
        <v>4041</v>
      </c>
      <c r="B7681" s="2" t="s">
        <v>1384</v>
      </c>
      <c r="C7681" s="2">
        <v>609.86019999999996</v>
      </c>
      <c r="D7681" s="2">
        <f>HYPERLINK("http://mcb-m6.bioreg.kyushu-u.ac.jp/M3/20110418/F50983/1790/1", 35)</f>
        <v>35</v>
      </c>
      <c r="E7681" s="2">
        <v>14.74</v>
      </c>
      <c r="F7681" s="2">
        <v>2</v>
      </c>
      <c r="G7681" s="2" t="s">
        <v>12</v>
      </c>
    </row>
    <row r="7682" spans="1:8" x14ac:dyDescent="0.2">
      <c r="A7682" s="2" t="s">
        <v>3712</v>
      </c>
      <c r="B7682" s="2" t="s">
        <v>696</v>
      </c>
      <c r="C7682" s="2">
        <v>577.35419999999999</v>
      </c>
      <c r="D7682" s="2">
        <f>HYPERLINK("http://mcb-m6.bioreg.kyushu-u.ac.jp/M3/20110428/F51138/1693/1", 40)</f>
        <v>40</v>
      </c>
      <c r="E7682" s="2">
        <v>12.93</v>
      </c>
      <c r="F7682" s="2">
        <v>2</v>
      </c>
      <c r="G7682" s="2" t="s">
        <v>14</v>
      </c>
    </row>
    <row r="7683" spans="1:8" x14ac:dyDescent="0.2">
      <c r="A7683" s="2" t="s">
        <v>5684</v>
      </c>
      <c r="B7683" s="2" t="s">
        <v>5209</v>
      </c>
      <c r="C7683" s="2">
        <v>850.36770000000001</v>
      </c>
      <c r="D7683" s="2">
        <f>HYPERLINK("http://mcb-m6.bioreg.kyushu-u.ac.jp/M3/20110318/F50596/2000/1", 35.92)</f>
        <v>35.92</v>
      </c>
      <c r="E7683" s="2">
        <v>15.61</v>
      </c>
      <c r="F7683" s="2">
        <v>2</v>
      </c>
      <c r="G7683" s="2" t="s">
        <v>10</v>
      </c>
    </row>
    <row r="7684" spans="1:8" x14ac:dyDescent="0.2">
      <c r="A7684" s="2" t="s">
        <v>5684</v>
      </c>
      <c r="B7684" s="2" t="s">
        <v>5261</v>
      </c>
      <c r="C7684" s="2">
        <v>708.46669999999995</v>
      </c>
      <c r="D7684" s="2">
        <f>HYPERLINK("http://mcb-m6.bioreg.kyushu-u.ac.jp/M3/20110318/F50596/1494/1", 43.51)</f>
        <v>43.51</v>
      </c>
      <c r="E7684" s="2">
        <v>20.02</v>
      </c>
      <c r="F7684" s="2">
        <v>2</v>
      </c>
      <c r="G7684" s="2" t="s">
        <v>10</v>
      </c>
    </row>
    <row r="7685" spans="1:8" x14ac:dyDescent="0.2">
      <c r="A7685" s="2" t="s">
        <v>5684</v>
      </c>
      <c r="B7685" s="2" t="s">
        <v>5274</v>
      </c>
      <c r="C7685" s="2">
        <v>686.82820000000004</v>
      </c>
      <c r="D7685" s="2">
        <f>HYPERLINK("http://mcb-m6.bioreg.kyushu-u.ac.jp/M3/20110318/F50596/1437/1", 46.05)</f>
        <v>46.05</v>
      </c>
      <c r="E7685" s="2">
        <v>13.45</v>
      </c>
      <c r="F7685" s="2">
        <v>2</v>
      </c>
      <c r="G7685" s="2" t="s">
        <v>10</v>
      </c>
    </row>
    <row r="7686" spans="1:8" x14ac:dyDescent="0.2">
      <c r="A7686" s="2" t="s">
        <v>5684</v>
      </c>
      <c r="B7686" s="2" t="s">
        <v>5476</v>
      </c>
      <c r="C7686" s="2">
        <v>512.12789999999995</v>
      </c>
      <c r="D7686" s="2">
        <f>HYPERLINK("http://mcb-m6.bioreg.kyushu-u.ac.jp/M3/20110502/F51158/2037/1", 37.49)</f>
        <v>37.49</v>
      </c>
      <c r="E7686" s="2">
        <v>20.43</v>
      </c>
      <c r="F7686" s="2">
        <v>3</v>
      </c>
      <c r="G7686" s="2" t="s">
        <v>13</v>
      </c>
    </row>
    <row r="7687" spans="1:8" x14ac:dyDescent="0.2">
      <c r="A7687" s="2" t="s">
        <v>5646</v>
      </c>
      <c r="B7687" s="2" t="s">
        <v>5087</v>
      </c>
      <c r="C7687" s="2">
        <v>730.2731</v>
      </c>
      <c r="D7687" s="2">
        <f>HYPERLINK("http://mcb-m6.bioreg.kyushu-u.ac.jp/M3/20110318/F50621/1478/1", 50.72)</f>
        <v>50.72</v>
      </c>
      <c r="E7687" s="2">
        <v>32.03</v>
      </c>
      <c r="F7687" s="2">
        <v>2</v>
      </c>
      <c r="G7687" s="2" t="s">
        <v>9</v>
      </c>
      <c r="H7687" s="2" t="s">
        <v>4900</v>
      </c>
    </row>
    <row r="7688" spans="1:8" x14ac:dyDescent="0.2">
      <c r="A7688" s="2" t="s">
        <v>5646</v>
      </c>
      <c r="B7688" s="2" t="s">
        <v>5087</v>
      </c>
      <c r="C7688" s="2">
        <v>722.28920000000005</v>
      </c>
      <c r="D7688" s="2">
        <f>HYPERLINK("http://mcb-m6.bioreg.kyushu-u.ac.jp/M3/20110429/F51150/2054/1", 45.72)</f>
        <v>45.72</v>
      </c>
      <c r="E7688" s="2">
        <v>27.92</v>
      </c>
      <c r="F7688" s="2">
        <v>2</v>
      </c>
      <c r="G7688" s="2" t="s">
        <v>13</v>
      </c>
    </row>
    <row r="7689" spans="1:8" x14ac:dyDescent="0.2">
      <c r="A7689" s="2" t="s">
        <v>3983</v>
      </c>
      <c r="B7689" s="2" t="s">
        <v>5191</v>
      </c>
      <c r="C7689" s="2">
        <v>816.09469999999999</v>
      </c>
      <c r="D7689" s="2">
        <f>HYPERLINK("http://mcb-m6.bioreg.kyushu-u.ac.jp/M3/20110318/F50607/1815/1", 94.53)</f>
        <v>94.53</v>
      </c>
      <c r="E7689" s="2">
        <v>75.34</v>
      </c>
      <c r="F7689" s="2">
        <v>2</v>
      </c>
      <c r="G7689" s="2" t="s">
        <v>9</v>
      </c>
    </row>
    <row r="7690" spans="1:8" x14ac:dyDescent="0.2">
      <c r="A7690" s="2" t="s">
        <v>5668</v>
      </c>
      <c r="B7690" s="2" t="s">
        <v>5143</v>
      </c>
      <c r="C7690" s="2">
        <v>685.00570000000005</v>
      </c>
      <c r="D7690" s="2">
        <f>HYPERLINK("http://mcb-m6.bioreg.kyushu-u.ac.jp/M3/20110318/F50607/1345/1", 67.71)</f>
        <v>67.709999999999994</v>
      </c>
      <c r="E7690" s="2">
        <v>44.26</v>
      </c>
      <c r="F7690" s="2">
        <v>2</v>
      </c>
      <c r="G7690" s="2" t="s">
        <v>9</v>
      </c>
    </row>
    <row r="7691" spans="1:8" x14ac:dyDescent="0.2">
      <c r="A7691" s="2" t="s">
        <v>4152</v>
      </c>
      <c r="B7691" s="2" t="s">
        <v>1705</v>
      </c>
      <c r="C7691" s="2">
        <v>881.54200000000003</v>
      </c>
      <c r="D7691" s="2">
        <f>HYPERLINK("http://mcb-m6.bioreg.kyushu-u.ac.jp/M3/20110318/F50610/1198/1", 38.7)</f>
        <v>38.700000000000003</v>
      </c>
      <c r="E7691" s="2">
        <v>18.57</v>
      </c>
      <c r="F7691" s="2">
        <v>1</v>
      </c>
      <c r="G7691" s="2" t="s">
        <v>9</v>
      </c>
    </row>
    <row r="7692" spans="1:8" x14ac:dyDescent="0.2">
      <c r="A7692" s="2" t="s">
        <v>4152</v>
      </c>
      <c r="B7692" s="2" t="s">
        <v>1705</v>
      </c>
      <c r="C7692" s="2">
        <v>881.41700000000003</v>
      </c>
      <c r="D7692" s="2">
        <f>HYPERLINK("http://mcb-m6.bioreg.kyushu-u.ac.jp/M3/20110318/F50622/768/1", 38.51)</f>
        <v>38.51</v>
      </c>
      <c r="E7692" s="2">
        <v>19.36</v>
      </c>
      <c r="F7692" s="2">
        <v>1</v>
      </c>
      <c r="G7692" s="2" t="s">
        <v>10</v>
      </c>
    </row>
    <row r="7693" spans="1:8" x14ac:dyDescent="0.2">
      <c r="A7693" s="2" t="s">
        <v>3313</v>
      </c>
      <c r="B7693" s="2" t="s">
        <v>96</v>
      </c>
      <c r="C7693" s="2">
        <v>833.92520000000002</v>
      </c>
      <c r="D7693" s="2">
        <f>HYPERLINK("http://mcb-m6.bioreg.kyushu-u.ac.jp/M3/20110318/F50610/1884/1", 47.19)</f>
        <v>47.19</v>
      </c>
      <c r="E7693" s="2">
        <v>33.549999999999997</v>
      </c>
      <c r="F7693" s="2">
        <v>2</v>
      </c>
      <c r="G7693" s="2" t="s">
        <v>9</v>
      </c>
    </row>
    <row r="7694" spans="1:8" x14ac:dyDescent="0.2">
      <c r="A7694" s="2" t="s">
        <v>3313</v>
      </c>
      <c r="B7694" s="2" t="s">
        <v>96</v>
      </c>
      <c r="C7694" s="2">
        <v>834.39620000000002</v>
      </c>
      <c r="D7694" s="2">
        <f>HYPERLINK("http://mcb-m6.bioreg.kyushu-u.ac.jp/M3/20110318/F50612/1845/1", 43.72)</f>
        <v>43.72</v>
      </c>
      <c r="E7694" s="2">
        <v>27.52</v>
      </c>
      <c r="F7694" s="2">
        <v>2</v>
      </c>
      <c r="G7694" s="2" t="s">
        <v>10</v>
      </c>
    </row>
    <row r="7695" spans="1:8" x14ac:dyDescent="0.2">
      <c r="A7695" s="2" t="s">
        <v>3313</v>
      </c>
      <c r="B7695" s="2" t="s">
        <v>96</v>
      </c>
      <c r="C7695" s="2">
        <v>833.97609999999997</v>
      </c>
      <c r="D7695" s="2">
        <f>HYPERLINK("http://mcb-m6.bioreg.kyushu-u.ac.jp/M3/20110318/F50611/1985/1", 54.27)</f>
        <v>54.27</v>
      </c>
      <c r="E7695" s="2">
        <v>39.93</v>
      </c>
      <c r="F7695" s="2">
        <v>2</v>
      </c>
      <c r="G7695" s="2" t="s">
        <v>10</v>
      </c>
    </row>
    <row r="7696" spans="1:8" x14ac:dyDescent="0.2">
      <c r="A7696" s="2" t="s">
        <v>3313</v>
      </c>
      <c r="B7696" s="2" t="s">
        <v>96</v>
      </c>
      <c r="C7696" s="2">
        <v>834.3827</v>
      </c>
      <c r="D7696" s="2">
        <f>HYPERLINK("http://mcb-m6.bioreg.kyushu-u.ac.jp/M3/20110318/F50622/1821/1", 62.33)</f>
        <v>62.33</v>
      </c>
      <c r="E7696" s="2">
        <v>40.42</v>
      </c>
      <c r="F7696" s="2">
        <v>2</v>
      </c>
      <c r="G7696" s="2" t="s">
        <v>10</v>
      </c>
    </row>
    <row r="7697" spans="1:9" x14ac:dyDescent="0.2">
      <c r="A7697" s="2" t="s">
        <v>3313</v>
      </c>
      <c r="B7697" s="2" t="s">
        <v>96</v>
      </c>
      <c r="C7697" s="2">
        <v>833.87959999999998</v>
      </c>
      <c r="D7697" s="2">
        <f>HYPERLINK("http://mcb-m6.bioreg.kyushu-u.ac.jp/M3/20110318/F50622/1819/1", 66.15)</f>
        <v>66.150000000000006</v>
      </c>
      <c r="E7697" s="2">
        <v>49.59</v>
      </c>
      <c r="F7697" s="2">
        <v>2</v>
      </c>
      <c r="G7697" s="2" t="s">
        <v>10</v>
      </c>
    </row>
    <row r="7698" spans="1:9" x14ac:dyDescent="0.2">
      <c r="A7698" s="2" t="s">
        <v>3313</v>
      </c>
      <c r="B7698" s="2" t="s">
        <v>96</v>
      </c>
      <c r="C7698" s="2">
        <v>825.65560000000005</v>
      </c>
      <c r="D7698" s="2">
        <f>HYPERLINK("http://mcb-m6.bioreg.kyushu-u.ac.jp/M3/20110418/F50970/2160/1", 75.41)</f>
        <v>75.41</v>
      </c>
      <c r="E7698" s="2">
        <v>57.72</v>
      </c>
      <c r="F7698" s="2">
        <v>2</v>
      </c>
      <c r="G7698" s="2" t="s">
        <v>11</v>
      </c>
      <c r="H7698" s="2" t="s">
        <v>4904</v>
      </c>
    </row>
    <row r="7699" spans="1:9" x14ac:dyDescent="0.2">
      <c r="A7699" s="2" t="s">
        <v>3313</v>
      </c>
      <c r="B7699" s="2" t="s">
        <v>96</v>
      </c>
      <c r="C7699" s="2">
        <v>833.64170000000001</v>
      </c>
      <c r="D7699" s="2">
        <f>HYPERLINK("http://mcb-m6.bioreg.kyushu-u.ac.jp/M3/20110418/F50970/2167/1", 91.9)</f>
        <v>91.9</v>
      </c>
      <c r="E7699" s="2">
        <v>72.83</v>
      </c>
      <c r="F7699" s="2">
        <v>2</v>
      </c>
      <c r="G7699" s="2" t="s">
        <v>11</v>
      </c>
    </row>
    <row r="7700" spans="1:9" x14ac:dyDescent="0.2">
      <c r="A7700" s="2" t="s">
        <v>3313</v>
      </c>
      <c r="B7700" s="2" t="s">
        <v>96</v>
      </c>
      <c r="C7700" s="2">
        <v>833.88869999999997</v>
      </c>
      <c r="D7700" s="2">
        <f>HYPERLINK("http://mcb-m6.bioreg.kyushu-u.ac.jp/M3/20110428/F51146/2432/1", 37.67)</f>
        <v>37.67</v>
      </c>
      <c r="E7700" s="2">
        <v>27.11</v>
      </c>
      <c r="F7700" s="2">
        <v>2</v>
      </c>
      <c r="G7700" s="2" t="s">
        <v>13</v>
      </c>
    </row>
    <row r="7701" spans="1:9" x14ac:dyDescent="0.2">
      <c r="A7701" s="2" t="s">
        <v>3313</v>
      </c>
      <c r="B7701" s="2" t="s">
        <v>96</v>
      </c>
      <c r="C7701" s="2">
        <v>834.53020000000004</v>
      </c>
      <c r="D7701" s="2">
        <f>HYPERLINK("http://mcb-m6.bioreg.kyushu-u.ac.jp/M3/20110428/F51146/2435/1", 43.56)</f>
        <v>43.56</v>
      </c>
      <c r="E7701" s="2">
        <v>30.81</v>
      </c>
      <c r="F7701" s="2">
        <v>2</v>
      </c>
      <c r="G7701" s="2" t="s">
        <v>13</v>
      </c>
    </row>
    <row r="7702" spans="1:9" x14ac:dyDescent="0.2">
      <c r="A7702" s="2" t="s">
        <v>3313</v>
      </c>
      <c r="B7702" s="2" t="s">
        <v>96</v>
      </c>
      <c r="C7702" s="2">
        <v>1650.19</v>
      </c>
      <c r="D7702" s="2">
        <f>HYPERLINK("http://mcb-m6.bioreg.kyushu-u.ac.jp/M3/20110428/F51146/2400/1", 44.3)</f>
        <v>44.3</v>
      </c>
      <c r="E7702" s="2">
        <v>29.77</v>
      </c>
      <c r="F7702" s="2">
        <v>1</v>
      </c>
      <c r="G7702" s="2" t="s">
        <v>13</v>
      </c>
      <c r="H7702" s="2" t="s">
        <v>4904</v>
      </c>
    </row>
    <row r="7703" spans="1:9" x14ac:dyDescent="0.2">
      <c r="A7703" s="2" t="s">
        <v>3313</v>
      </c>
      <c r="B7703" s="2" t="s">
        <v>96</v>
      </c>
      <c r="C7703" s="2">
        <v>834.40560000000005</v>
      </c>
      <c r="D7703" s="2">
        <f>HYPERLINK("http://mcb-m6.bioreg.kyushu-u.ac.jp/M3/20110429/F51149/2277/1", 66.04)</f>
        <v>66.040000000000006</v>
      </c>
      <c r="E7703" s="2">
        <v>48.97</v>
      </c>
      <c r="F7703" s="2">
        <v>2</v>
      </c>
      <c r="G7703" s="2" t="s">
        <v>13</v>
      </c>
    </row>
    <row r="7704" spans="1:9" x14ac:dyDescent="0.2">
      <c r="A7704" s="2" t="s">
        <v>3313</v>
      </c>
      <c r="B7704" s="2" t="s">
        <v>96</v>
      </c>
      <c r="C7704" s="2">
        <v>834.17819999999995</v>
      </c>
      <c r="D7704" s="2">
        <f>HYPERLINK("http://mcb-m6.bioreg.kyushu-u.ac.jp/M3/20110428/F51147/2347/1", 84.11)</f>
        <v>84.11</v>
      </c>
      <c r="E7704" s="2">
        <v>64.39</v>
      </c>
      <c r="F7704" s="2">
        <v>2</v>
      </c>
      <c r="G7704" s="2" t="s">
        <v>13</v>
      </c>
    </row>
    <row r="7705" spans="1:9" x14ac:dyDescent="0.2">
      <c r="A7705" s="2" t="s">
        <v>3313</v>
      </c>
      <c r="B7705" s="2" t="s">
        <v>96</v>
      </c>
      <c r="C7705" s="2">
        <v>834.54669999999999</v>
      </c>
      <c r="D7705" s="2">
        <f>HYPERLINK("http://mcb-m6.bioreg.kyushu-u.ac.jp/M3/20110428/F51136/2350/1", 63.38)</f>
        <v>63.38</v>
      </c>
      <c r="E7705" s="2">
        <v>51.54</v>
      </c>
      <c r="F7705" s="2">
        <v>2</v>
      </c>
      <c r="G7705" s="2" t="s">
        <v>14</v>
      </c>
    </row>
    <row r="7706" spans="1:9" x14ac:dyDescent="0.2">
      <c r="A7706" s="2" t="s">
        <v>3313</v>
      </c>
      <c r="B7706" s="2" t="s">
        <v>96</v>
      </c>
      <c r="C7706" s="2">
        <v>833.96469999999999</v>
      </c>
      <c r="D7706" s="2">
        <f>HYPERLINK("http://mcb-m6.bioreg.kyushu-u.ac.jp/M3/20110428/F51136/2349/1", 82.41)</f>
        <v>82.41</v>
      </c>
      <c r="E7706" s="2">
        <v>70.53</v>
      </c>
      <c r="F7706" s="2">
        <v>2</v>
      </c>
      <c r="G7706" s="2" t="s">
        <v>14</v>
      </c>
    </row>
    <row r="7707" spans="1:9" x14ac:dyDescent="0.2">
      <c r="A7707" s="2" t="s">
        <v>3407</v>
      </c>
      <c r="B7707" s="2" t="s">
        <v>2297</v>
      </c>
      <c r="C7707" s="2">
        <v>558.23820000000001</v>
      </c>
      <c r="D7707" s="2">
        <f>HYPERLINK("http://mcb-m6.bioreg.kyushu-u.ac.jp/M3/20110429/F51154/1023/1", 37.63)</f>
        <v>37.630000000000003</v>
      </c>
      <c r="E7707" s="2">
        <v>16.55</v>
      </c>
      <c r="F7707" s="2">
        <v>2</v>
      </c>
      <c r="G7707" s="2" t="s">
        <v>13</v>
      </c>
    </row>
    <row r="7708" spans="1:9" x14ac:dyDescent="0.2">
      <c r="A7708" s="2" t="s">
        <v>4866</v>
      </c>
      <c r="B7708" s="2" t="s">
        <v>3163</v>
      </c>
      <c r="C7708" s="2">
        <v>594.85419999999999</v>
      </c>
      <c r="D7708" s="2">
        <f>HYPERLINK("http://mcb-m6.bioreg.kyushu-u.ac.jp/M3/20110318/F50609/1280/1", 61.8)</f>
        <v>61.8</v>
      </c>
      <c r="E7708" s="2">
        <v>32.04</v>
      </c>
      <c r="F7708" s="2">
        <v>2</v>
      </c>
      <c r="G7708" s="2" t="s">
        <v>9</v>
      </c>
    </row>
    <row r="7709" spans="1:9" x14ac:dyDescent="0.2">
      <c r="A7709" s="2" t="s">
        <v>4866</v>
      </c>
      <c r="B7709" s="2" t="s">
        <v>3163</v>
      </c>
      <c r="C7709" s="2">
        <v>595.00319999999999</v>
      </c>
      <c r="D7709" s="2">
        <f>HYPERLINK("http://mcb-m6.bioreg.kyushu-u.ac.jp/M3/20110318/F50600/1235/1", 63.54)</f>
        <v>63.54</v>
      </c>
      <c r="E7709" s="2">
        <v>30.98</v>
      </c>
      <c r="F7709" s="2">
        <v>2</v>
      </c>
      <c r="G7709" s="2" t="s">
        <v>10</v>
      </c>
    </row>
    <row r="7710" spans="1:9" x14ac:dyDescent="0.2">
      <c r="A7710" s="2" t="s">
        <v>4361</v>
      </c>
      <c r="B7710" s="2" t="s">
        <v>2184</v>
      </c>
      <c r="C7710" s="2">
        <v>499.0446</v>
      </c>
      <c r="D7710" s="2">
        <f>HYPERLINK("http://mcb-m6.bioreg.kyushu-u.ac.jp/M3/20110429/F51149/1394/1", 40.27)</f>
        <v>40.270000000000003</v>
      </c>
      <c r="E7710" s="2">
        <v>16.79</v>
      </c>
      <c r="F7710" s="2">
        <v>2</v>
      </c>
      <c r="G7710" s="2" t="s">
        <v>13</v>
      </c>
      <c r="H7710" s="2" t="s">
        <v>4908</v>
      </c>
      <c r="I7710" s="2" t="s">
        <v>4898</v>
      </c>
    </row>
    <row r="7711" spans="1:9" x14ac:dyDescent="0.2">
      <c r="A7711" s="2" t="s">
        <v>4361</v>
      </c>
      <c r="B7711" s="2" t="s">
        <v>2184</v>
      </c>
      <c r="C7711" s="2">
        <v>491.00209999999998</v>
      </c>
      <c r="D7711" s="2">
        <f>HYPERLINK("http://mcb-m6.bioreg.kyushu-u.ac.jp/M3/20110429/F51149/1373/1", 41.66)</f>
        <v>41.66</v>
      </c>
      <c r="E7711" s="2">
        <v>11.91</v>
      </c>
      <c r="F7711" s="2">
        <v>2</v>
      </c>
      <c r="G7711" s="2" t="s">
        <v>13</v>
      </c>
      <c r="I7711" s="2" t="s">
        <v>4898</v>
      </c>
    </row>
    <row r="7712" spans="1:9" x14ac:dyDescent="0.2">
      <c r="A7712" s="2" t="s">
        <v>5857</v>
      </c>
      <c r="B7712" s="2" t="s">
        <v>5553</v>
      </c>
      <c r="C7712" s="2">
        <v>861.93820000000005</v>
      </c>
      <c r="D7712" s="2">
        <f>HYPERLINK("http://mcb-m6.bioreg.kyushu-u.ac.jp/M3/20110429/F51157/2344/1", 74.17)</f>
        <v>74.17</v>
      </c>
      <c r="E7712" s="2">
        <v>63</v>
      </c>
      <c r="F7712" s="2">
        <v>2</v>
      </c>
      <c r="G7712" s="2" t="s">
        <v>13</v>
      </c>
    </row>
    <row r="7713" spans="1:8" x14ac:dyDescent="0.2">
      <c r="A7713" s="2" t="s">
        <v>5806</v>
      </c>
      <c r="B7713" s="2" t="s">
        <v>5471</v>
      </c>
      <c r="C7713" s="2">
        <v>802.1277</v>
      </c>
      <c r="D7713" s="2">
        <f>HYPERLINK("http://mcb-m6.bioreg.kyushu-u.ac.jp/M3/20110429/F51156/2290/1", 37.08)</f>
        <v>37.08</v>
      </c>
      <c r="E7713" s="2">
        <v>14.17</v>
      </c>
      <c r="F7713" s="2">
        <v>2</v>
      </c>
      <c r="G7713" s="2" t="s">
        <v>13</v>
      </c>
      <c r="H7713" s="2" t="s">
        <v>4896</v>
      </c>
    </row>
    <row r="7714" spans="1:8" x14ac:dyDescent="0.2">
      <c r="A7714" s="2" t="s">
        <v>5796</v>
      </c>
      <c r="B7714" s="2" t="s">
        <v>5451</v>
      </c>
      <c r="C7714" s="2">
        <v>666.82320000000004</v>
      </c>
      <c r="D7714" s="2">
        <f>HYPERLINK("http://mcb-m6.bioreg.kyushu-u.ac.jp/M3/20110418/F50988/1832/1", 54.87)</f>
        <v>54.87</v>
      </c>
      <c r="E7714" s="2">
        <v>26.14</v>
      </c>
      <c r="F7714" s="2">
        <v>2</v>
      </c>
      <c r="G7714" s="2" t="s">
        <v>12</v>
      </c>
    </row>
    <row r="7715" spans="1:8" x14ac:dyDescent="0.2">
      <c r="A7715" s="2" t="s">
        <v>4479</v>
      </c>
      <c r="B7715" s="2" t="s">
        <v>5088</v>
      </c>
      <c r="C7715" s="2">
        <v>532.89070000000004</v>
      </c>
      <c r="D7715" s="2">
        <f>HYPERLINK("http://mcb-m6.bioreg.kyushu-u.ac.jp/M3/20110318/F50610/1377/1", 51.17)</f>
        <v>51.17</v>
      </c>
      <c r="E7715" s="2">
        <v>30.88</v>
      </c>
      <c r="F7715" s="2">
        <v>2</v>
      </c>
      <c r="G7715" s="2" t="s">
        <v>9</v>
      </c>
    </row>
    <row r="7716" spans="1:8" x14ac:dyDescent="0.2">
      <c r="A7716" s="2" t="s">
        <v>3338</v>
      </c>
      <c r="B7716" s="2" t="s">
        <v>126</v>
      </c>
      <c r="C7716" s="2">
        <v>920.13120000000004</v>
      </c>
      <c r="D7716" s="2">
        <f>HYPERLINK("http://mcb-m6.bioreg.kyushu-u.ac.jp/M3/20110502/F51163/2658/1", 37.19)</f>
        <v>37.19</v>
      </c>
      <c r="E7716" s="2">
        <v>18.3</v>
      </c>
      <c r="F7716" s="2">
        <v>2</v>
      </c>
      <c r="G7716" s="2" t="s">
        <v>13</v>
      </c>
    </row>
    <row r="7717" spans="1:8" x14ac:dyDescent="0.2">
      <c r="A7717" s="2" t="s">
        <v>3338</v>
      </c>
      <c r="B7717" s="2" t="s">
        <v>126</v>
      </c>
      <c r="C7717" s="2">
        <v>613.98720000000003</v>
      </c>
      <c r="D7717" s="2">
        <f>HYPERLINK("http://mcb-m6.bioreg.kyushu-u.ac.jp/M3/20110502/F51164/2597/1", 51.01)</f>
        <v>51.01</v>
      </c>
      <c r="E7717" s="2">
        <v>26.15</v>
      </c>
      <c r="F7717" s="2">
        <v>3</v>
      </c>
      <c r="G7717" s="2" t="s">
        <v>13</v>
      </c>
    </row>
    <row r="7718" spans="1:8" x14ac:dyDescent="0.2">
      <c r="A7718" s="2" t="s">
        <v>3404</v>
      </c>
      <c r="B7718" s="2" t="s">
        <v>201</v>
      </c>
      <c r="C7718" s="2">
        <v>533.31870000000004</v>
      </c>
      <c r="D7718" s="2">
        <f>HYPERLINK("http://mcb-m6.bioreg.kyushu-u.ac.jp/M3/20110318/F50619/925/1", 40.55)</f>
        <v>40.549999999999997</v>
      </c>
      <c r="E7718" s="2">
        <v>22.76</v>
      </c>
      <c r="F7718" s="2">
        <v>2</v>
      </c>
      <c r="G7718" s="2" t="s">
        <v>9</v>
      </c>
    </row>
    <row r="7719" spans="1:8" x14ac:dyDescent="0.2">
      <c r="A7719" s="2" t="s">
        <v>3404</v>
      </c>
      <c r="B7719" s="2" t="s">
        <v>201</v>
      </c>
      <c r="C7719" s="2">
        <v>533.42409999999995</v>
      </c>
      <c r="D7719" s="2">
        <f>HYPERLINK("http://mcb-m6.bioreg.kyushu-u.ac.jp/M3/20110318/F50607/1052/1", 63.4)</f>
        <v>63.4</v>
      </c>
      <c r="E7719" s="2">
        <v>45.08</v>
      </c>
      <c r="F7719" s="2">
        <v>2</v>
      </c>
      <c r="G7719" s="2" t="s">
        <v>9</v>
      </c>
    </row>
    <row r="7720" spans="1:8" x14ac:dyDescent="0.2">
      <c r="A7720" s="2" t="s">
        <v>3404</v>
      </c>
      <c r="B7720" s="2" t="s">
        <v>201</v>
      </c>
      <c r="C7720" s="2">
        <v>533.35059999999999</v>
      </c>
      <c r="D7720" s="2">
        <f>HYPERLINK("http://mcb-m6.bioreg.kyushu-u.ac.jp/M3/20110318/F50615/895/1", 38.64)</f>
        <v>38.64</v>
      </c>
      <c r="E7720" s="2">
        <v>20.45</v>
      </c>
      <c r="F7720" s="2">
        <v>2</v>
      </c>
      <c r="G7720" s="2" t="s">
        <v>10</v>
      </c>
    </row>
    <row r="7721" spans="1:8" x14ac:dyDescent="0.2">
      <c r="A7721" s="2" t="s">
        <v>3404</v>
      </c>
      <c r="B7721" s="2" t="s">
        <v>201</v>
      </c>
      <c r="C7721" s="2">
        <v>533.42970000000003</v>
      </c>
      <c r="D7721" s="2">
        <f>HYPERLINK("http://mcb-m6.bioreg.kyushu-u.ac.jp/M3/20110318/F50595/1385/1", 39.39)</f>
        <v>39.39</v>
      </c>
      <c r="E7721" s="2">
        <v>16.07</v>
      </c>
      <c r="F7721" s="2">
        <v>2</v>
      </c>
      <c r="G7721" s="2" t="s">
        <v>10</v>
      </c>
    </row>
    <row r="7722" spans="1:8" x14ac:dyDescent="0.2">
      <c r="A7722" s="2" t="s">
        <v>3404</v>
      </c>
      <c r="B7722" s="2" t="s">
        <v>201</v>
      </c>
      <c r="C7722" s="2">
        <v>533.82209999999998</v>
      </c>
      <c r="D7722" s="2">
        <f>HYPERLINK("http://mcb-m6.bioreg.kyushu-u.ac.jp/M3/20110318/F50614/1017/1", 41.24)</f>
        <v>41.24</v>
      </c>
      <c r="E7722" s="2">
        <v>13.54</v>
      </c>
      <c r="F7722" s="2">
        <v>2</v>
      </c>
      <c r="G7722" s="2" t="s">
        <v>10</v>
      </c>
    </row>
    <row r="7723" spans="1:8" x14ac:dyDescent="0.2">
      <c r="A7723" s="2" t="s">
        <v>3404</v>
      </c>
      <c r="B7723" s="2" t="s">
        <v>201</v>
      </c>
      <c r="C7723" s="2">
        <v>1065.4649999999999</v>
      </c>
      <c r="D7723" s="2">
        <f>HYPERLINK("http://mcb-m6.bioreg.kyushu-u.ac.jp/M3/20110418/F50975/918/1", 41.94)</f>
        <v>41.94</v>
      </c>
      <c r="E7723" s="2">
        <v>12.93</v>
      </c>
      <c r="F7723" s="2">
        <v>1</v>
      </c>
      <c r="G7723" s="2" t="s">
        <v>11</v>
      </c>
    </row>
    <row r="7724" spans="1:8" x14ac:dyDescent="0.2">
      <c r="A7724" s="2" t="s">
        <v>3404</v>
      </c>
      <c r="B7724" s="2" t="s">
        <v>201</v>
      </c>
      <c r="C7724" s="2">
        <v>533.65920000000006</v>
      </c>
      <c r="D7724" s="2">
        <f>HYPERLINK("http://mcb-m6.bioreg.kyushu-u.ac.jp/M3/20110418/F50975/921/1", 42.27)</f>
        <v>42.27</v>
      </c>
      <c r="E7724" s="2">
        <v>15.31</v>
      </c>
      <c r="F7724" s="2">
        <v>2</v>
      </c>
      <c r="G7724" s="2" t="s">
        <v>11</v>
      </c>
    </row>
    <row r="7725" spans="1:8" x14ac:dyDescent="0.2">
      <c r="A7725" s="2" t="s">
        <v>3404</v>
      </c>
      <c r="B7725" s="2" t="s">
        <v>201</v>
      </c>
      <c r="C7725" s="2">
        <v>533.71370000000002</v>
      </c>
      <c r="D7725" s="2">
        <f>HYPERLINK("http://mcb-m6.bioreg.kyushu-u.ac.jp/M3/20110418/F50975/923/1", 43.91)</f>
        <v>43.91</v>
      </c>
      <c r="E7725" s="2">
        <v>19.649999999999999</v>
      </c>
      <c r="F7725" s="2">
        <v>2</v>
      </c>
      <c r="G7725" s="2" t="s">
        <v>11</v>
      </c>
    </row>
    <row r="7726" spans="1:8" x14ac:dyDescent="0.2">
      <c r="A7726" s="2" t="s">
        <v>3404</v>
      </c>
      <c r="B7726" s="2" t="s">
        <v>201</v>
      </c>
      <c r="C7726" s="2">
        <v>1065.4559999999999</v>
      </c>
      <c r="D7726" s="2">
        <f>HYPERLINK("http://mcb-m6.bioreg.kyushu-u.ac.jp/M3/20110418/F50977/1056/1", 46.23)</f>
        <v>46.23</v>
      </c>
      <c r="E7726" s="2">
        <v>24.55</v>
      </c>
      <c r="F7726" s="2">
        <v>1</v>
      </c>
      <c r="G7726" s="2" t="s">
        <v>11</v>
      </c>
    </row>
    <row r="7727" spans="1:8" x14ac:dyDescent="0.2">
      <c r="A7727" s="2" t="s">
        <v>3404</v>
      </c>
      <c r="B7727" s="2" t="s">
        <v>201</v>
      </c>
      <c r="C7727" s="2">
        <v>533.07709999999997</v>
      </c>
      <c r="D7727" s="2">
        <f>HYPERLINK("http://mcb-m6.bioreg.kyushu-u.ac.jp/M3/20110418/F50975/913/1", 55.48)</f>
        <v>55.48</v>
      </c>
      <c r="E7727" s="2">
        <v>30.13</v>
      </c>
      <c r="F7727" s="2">
        <v>2</v>
      </c>
      <c r="G7727" s="2" t="s">
        <v>11</v>
      </c>
    </row>
    <row r="7728" spans="1:8" x14ac:dyDescent="0.2">
      <c r="A7728" s="2" t="s">
        <v>3404</v>
      </c>
      <c r="B7728" s="2" t="s">
        <v>201</v>
      </c>
      <c r="C7728" s="2">
        <v>533.62519999999995</v>
      </c>
      <c r="D7728" s="2">
        <f>HYPERLINK("http://mcb-m6.bioreg.kyushu-u.ac.jp/M3/20110418/F50977/1059/1", 59.09)</f>
        <v>59.09</v>
      </c>
      <c r="E7728" s="2">
        <v>36.159999999999997</v>
      </c>
      <c r="F7728" s="2">
        <v>2</v>
      </c>
      <c r="G7728" s="2" t="s">
        <v>11</v>
      </c>
    </row>
    <row r="7729" spans="1:7" x14ac:dyDescent="0.2">
      <c r="A7729" s="2" t="s">
        <v>3404</v>
      </c>
      <c r="B7729" s="2" t="s">
        <v>201</v>
      </c>
      <c r="C7729" s="2">
        <v>533.73820000000001</v>
      </c>
      <c r="D7729" s="2">
        <f>HYPERLINK("http://mcb-m6.bioreg.kyushu-u.ac.jp/M3/20110428/F51141/856/1", 39.62)</f>
        <v>39.619999999999997</v>
      </c>
      <c r="E7729" s="2">
        <v>19.989999999999998</v>
      </c>
      <c r="F7729" s="2">
        <v>2</v>
      </c>
      <c r="G7729" s="2" t="s">
        <v>14</v>
      </c>
    </row>
    <row r="7730" spans="1:7" x14ac:dyDescent="0.2">
      <c r="A7730" s="2" t="s">
        <v>3404</v>
      </c>
      <c r="B7730" s="2" t="s">
        <v>201</v>
      </c>
      <c r="C7730" s="2">
        <v>533.72609999999997</v>
      </c>
      <c r="D7730" s="2">
        <f>HYPERLINK("http://mcb-m6.bioreg.kyushu-u.ac.jp/M3/20110428/F51139/1631/1", 41.48)</f>
        <v>41.48</v>
      </c>
      <c r="E7730" s="2">
        <v>20.25</v>
      </c>
      <c r="F7730" s="2">
        <v>2</v>
      </c>
      <c r="G7730" s="2" t="s">
        <v>14</v>
      </c>
    </row>
    <row r="7731" spans="1:7" x14ac:dyDescent="0.2">
      <c r="A7731" s="2" t="s">
        <v>3404</v>
      </c>
      <c r="B7731" s="2" t="s">
        <v>201</v>
      </c>
      <c r="C7731" s="2">
        <v>1066.0630000000001</v>
      </c>
      <c r="D7731" s="2">
        <f>HYPERLINK("http://mcb-m6.bioreg.kyushu-u.ac.jp/M3/20110428/F51141/855/1", 45.99)</f>
        <v>45.99</v>
      </c>
      <c r="E7731" s="2">
        <v>12.79</v>
      </c>
      <c r="F7731" s="2">
        <v>1</v>
      </c>
      <c r="G7731" s="2" t="s">
        <v>14</v>
      </c>
    </row>
    <row r="7732" spans="1:7" x14ac:dyDescent="0.2">
      <c r="A7732" s="2" t="s">
        <v>3404</v>
      </c>
      <c r="B7732" s="2" t="s">
        <v>201</v>
      </c>
      <c r="C7732" s="2">
        <v>533.19169999999997</v>
      </c>
      <c r="D7732" s="2">
        <f>HYPERLINK("http://mcb-m6.bioreg.kyushu-u.ac.jp/M3/20110428/F51141/853/1", 47.13)</f>
        <v>47.13</v>
      </c>
      <c r="E7732" s="2">
        <v>28.31</v>
      </c>
      <c r="F7732" s="2">
        <v>2</v>
      </c>
      <c r="G7732" s="2" t="s">
        <v>14</v>
      </c>
    </row>
    <row r="7733" spans="1:7" x14ac:dyDescent="0.2">
      <c r="A7733" s="2" t="s">
        <v>3404</v>
      </c>
      <c r="B7733" s="2" t="s">
        <v>201</v>
      </c>
      <c r="C7733" s="2">
        <v>533.81209999999999</v>
      </c>
      <c r="D7733" s="2">
        <f>HYPERLINK("http://mcb-m6.bioreg.kyushu-u.ac.jp/M3/20110428/F51142/1033/1", 50.93)</f>
        <v>50.93</v>
      </c>
      <c r="E7733" s="2">
        <v>26.57</v>
      </c>
      <c r="F7733" s="2">
        <v>2</v>
      </c>
      <c r="G7733" s="2" t="s">
        <v>14</v>
      </c>
    </row>
    <row r="7734" spans="1:7" x14ac:dyDescent="0.2">
      <c r="A7734" s="2" t="s">
        <v>3564</v>
      </c>
      <c r="B7734" s="2" t="s">
        <v>427</v>
      </c>
      <c r="C7734" s="2">
        <v>739.34810000000004</v>
      </c>
      <c r="D7734" s="2">
        <f>HYPERLINK("http://mcb-m6.bioreg.kyushu-u.ac.jp/M3/20110502/F51158/1889/2", 49.28)</f>
        <v>49.28</v>
      </c>
      <c r="E7734" s="2">
        <v>22.51</v>
      </c>
      <c r="F7734" s="2">
        <v>2</v>
      </c>
      <c r="G7734" s="2" t="s">
        <v>13</v>
      </c>
    </row>
    <row r="7735" spans="1:7" x14ac:dyDescent="0.2">
      <c r="A7735" s="2" t="s">
        <v>3564</v>
      </c>
      <c r="B7735" s="2" t="s">
        <v>427</v>
      </c>
      <c r="C7735" s="2">
        <v>739.46669999999995</v>
      </c>
      <c r="D7735" s="2">
        <f>HYPERLINK("http://mcb-m6.bioreg.kyushu-u.ac.jp/M3/20110502/F51164/1715/1", 62.21)</f>
        <v>62.21</v>
      </c>
      <c r="E7735" s="2">
        <v>6.06</v>
      </c>
      <c r="F7735" s="2">
        <v>2</v>
      </c>
      <c r="G7735" s="2" t="s">
        <v>13</v>
      </c>
    </row>
    <row r="7736" spans="1:7" x14ac:dyDescent="0.2">
      <c r="A7736" s="2" t="s">
        <v>3380</v>
      </c>
      <c r="B7736" s="2" t="s">
        <v>172</v>
      </c>
      <c r="C7736" s="2">
        <v>738.44119999999998</v>
      </c>
      <c r="D7736" s="2">
        <f>HYPERLINK("http://mcb-m6.bioreg.kyushu-u.ac.jp/M3/20110318/F50603/1427/1", 69.95)</f>
        <v>69.95</v>
      </c>
      <c r="E7736" s="2">
        <v>32.380000000000003</v>
      </c>
      <c r="F7736" s="2">
        <v>2</v>
      </c>
      <c r="G7736" s="2" t="s">
        <v>9</v>
      </c>
    </row>
    <row r="7737" spans="1:7" x14ac:dyDescent="0.2">
      <c r="A7737" s="2" t="s">
        <v>3380</v>
      </c>
      <c r="B7737" s="2" t="s">
        <v>172</v>
      </c>
      <c r="C7737" s="2">
        <v>738.4597</v>
      </c>
      <c r="D7737" s="2">
        <f>HYPERLINK("http://mcb-m6.bioreg.kyushu-u.ac.jp/M3/20110318/F50607/1509/1", 73.83)</f>
        <v>73.83</v>
      </c>
      <c r="E7737" s="2">
        <v>22.34</v>
      </c>
      <c r="F7737" s="2">
        <v>2</v>
      </c>
      <c r="G7737" s="2" t="s">
        <v>9</v>
      </c>
    </row>
    <row r="7738" spans="1:7" x14ac:dyDescent="0.2">
      <c r="A7738" s="2" t="s">
        <v>3380</v>
      </c>
      <c r="B7738" s="2" t="s">
        <v>172</v>
      </c>
      <c r="C7738" s="2">
        <v>738.50570000000005</v>
      </c>
      <c r="D7738" s="2">
        <f>HYPERLINK("http://mcb-m6.bioreg.kyushu-u.ac.jp/M3/20110318/F50618/1576/1", 85.27)</f>
        <v>85.27</v>
      </c>
      <c r="E7738" s="2">
        <v>34.69</v>
      </c>
      <c r="F7738" s="2">
        <v>2</v>
      </c>
      <c r="G7738" s="2" t="s">
        <v>9</v>
      </c>
    </row>
    <row r="7739" spans="1:7" x14ac:dyDescent="0.2">
      <c r="A7739" s="2" t="s">
        <v>3380</v>
      </c>
      <c r="B7739" s="2" t="s">
        <v>172</v>
      </c>
      <c r="C7739" s="2">
        <v>738.21119999999996</v>
      </c>
      <c r="D7739" s="2">
        <f>HYPERLINK("http://mcb-m6.bioreg.kyushu-u.ac.jp/M3/20110318/F50619/1464/1", 90.91)</f>
        <v>90.91</v>
      </c>
      <c r="E7739" s="2">
        <v>55.24</v>
      </c>
      <c r="F7739" s="2">
        <v>2</v>
      </c>
      <c r="G7739" s="2" t="s">
        <v>9</v>
      </c>
    </row>
    <row r="7740" spans="1:7" x14ac:dyDescent="0.2">
      <c r="A7740" s="2" t="s">
        <v>3380</v>
      </c>
      <c r="B7740" s="2" t="s">
        <v>172</v>
      </c>
      <c r="C7740" s="2">
        <v>738.44820000000004</v>
      </c>
      <c r="D7740" s="2">
        <f>HYPERLINK("http://mcb-m6.bioreg.kyushu-u.ac.jp/M3/20110318/F50606/1469/1", 91.49)</f>
        <v>91.49</v>
      </c>
      <c r="E7740" s="2">
        <v>61.75</v>
      </c>
      <c r="F7740" s="2">
        <v>2</v>
      </c>
      <c r="G7740" s="2" t="s">
        <v>9</v>
      </c>
    </row>
    <row r="7741" spans="1:7" x14ac:dyDescent="0.2">
      <c r="A7741" s="2" t="s">
        <v>3380</v>
      </c>
      <c r="B7741" s="2" t="s">
        <v>172</v>
      </c>
      <c r="C7741" s="2">
        <v>738.30160000000001</v>
      </c>
      <c r="D7741" s="2">
        <f>HYPERLINK("http://mcb-m6.bioreg.kyushu-u.ac.jp/M3/20110318/F50609/1579/1", 100.52)</f>
        <v>100.52</v>
      </c>
      <c r="E7741" s="2">
        <v>43.32</v>
      </c>
      <c r="F7741" s="2">
        <v>2</v>
      </c>
      <c r="G7741" s="2" t="s">
        <v>9</v>
      </c>
    </row>
    <row r="7742" spans="1:7" x14ac:dyDescent="0.2">
      <c r="A7742" s="2" t="s">
        <v>3380</v>
      </c>
      <c r="B7742" s="2" t="s">
        <v>172</v>
      </c>
      <c r="C7742" s="2">
        <v>738.88509999999997</v>
      </c>
      <c r="D7742" s="2">
        <f>HYPERLINK("http://mcb-m6.bioreg.kyushu-u.ac.jp/M3/20110318/F50616/1634/1", 63.71)</f>
        <v>63.71</v>
      </c>
      <c r="E7742" s="2">
        <v>24.56</v>
      </c>
      <c r="F7742" s="2">
        <v>2</v>
      </c>
      <c r="G7742" s="2" t="s">
        <v>10</v>
      </c>
    </row>
    <row r="7743" spans="1:7" x14ac:dyDescent="0.2">
      <c r="A7743" s="2" t="s">
        <v>3380</v>
      </c>
      <c r="B7743" s="2" t="s">
        <v>172</v>
      </c>
      <c r="C7743" s="2">
        <v>738.6902</v>
      </c>
      <c r="D7743" s="2">
        <f>HYPERLINK("http://mcb-m6.bioreg.kyushu-u.ac.jp/M3/20110318/F50595/1669/1", 68.45)</f>
        <v>68.45</v>
      </c>
      <c r="E7743" s="2">
        <v>12.98</v>
      </c>
      <c r="F7743" s="2">
        <v>2</v>
      </c>
      <c r="G7743" s="2" t="s">
        <v>10</v>
      </c>
    </row>
    <row r="7744" spans="1:7" x14ac:dyDescent="0.2">
      <c r="A7744" s="2" t="s">
        <v>3380</v>
      </c>
      <c r="B7744" s="2" t="s">
        <v>172</v>
      </c>
      <c r="C7744" s="2">
        <v>738.23569999999995</v>
      </c>
      <c r="D7744" s="2">
        <f>HYPERLINK("http://mcb-m6.bioreg.kyushu-u.ac.jp/M3/20110318/F50622/1468/1", 79.55)</f>
        <v>79.55</v>
      </c>
      <c r="E7744" s="2">
        <v>54.99</v>
      </c>
      <c r="F7744" s="2">
        <v>2</v>
      </c>
      <c r="G7744" s="2" t="s">
        <v>10</v>
      </c>
    </row>
    <row r="7745" spans="1:7" x14ac:dyDescent="0.2">
      <c r="A7745" s="2" t="s">
        <v>3380</v>
      </c>
      <c r="B7745" s="2" t="s">
        <v>172</v>
      </c>
      <c r="C7745" s="2">
        <v>738.66060000000004</v>
      </c>
      <c r="D7745" s="2">
        <f>HYPERLINK("http://mcb-m6.bioreg.kyushu-u.ac.jp/M3/20110318/F50597/1581/1", 80.21)</f>
        <v>80.209999999999994</v>
      </c>
      <c r="E7745" s="2">
        <v>23.71</v>
      </c>
      <c r="F7745" s="2">
        <v>2</v>
      </c>
      <c r="G7745" s="2" t="s">
        <v>10</v>
      </c>
    </row>
    <row r="7746" spans="1:7" x14ac:dyDescent="0.2">
      <c r="A7746" s="2" t="s">
        <v>3380</v>
      </c>
      <c r="B7746" s="2" t="s">
        <v>172</v>
      </c>
      <c r="C7746" s="2">
        <v>738.71870000000001</v>
      </c>
      <c r="D7746" s="2">
        <f>HYPERLINK("http://mcb-m6.bioreg.kyushu-u.ac.jp/M3/20110318/F50617/1546/1", 82.23)</f>
        <v>82.23</v>
      </c>
      <c r="E7746" s="2">
        <v>30.86</v>
      </c>
      <c r="F7746" s="2">
        <v>2</v>
      </c>
      <c r="G7746" s="2" t="s">
        <v>10</v>
      </c>
    </row>
    <row r="7747" spans="1:7" x14ac:dyDescent="0.2">
      <c r="A7747" s="2" t="s">
        <v>3380</v>
      </c>
      <c r="B7747" s="2" t="s">
        <v>172</v>
      </c>
      <c r="C7747" s="2">
        <v>738.34559999999999</v>
      </c>
      <c r="D7747" s="2">
        <f>HYPERLINK("http://mcb-m6.bioreg.kyushu-u.ac.jp/M3/20110318/F50611/1652/1", 83.38)</f>
        <v>83.38</v>
      </c>
      <c r="E7747" s="2">
        <v>36.700000000000003</v>
      </c>
      <c r="F7747" s="2">
        <v>2</v>
      </c>
      <c r="G7747" s="2" t="s">
        <v>10</v>
      </c>
    </row>
    <row r="7748" spans="1:7" x14ac:dyDescent="0.2">
      <c r="A7748" s="2" t="s">
        <v>3380</v>
      </c>
      <c r="B7748" s="2" t="s">
        <v>172</v>
      </c>
      <c r="C7748" s="2">
        <v>738.62710000000004</v>
      </c>
      <c r="D7748" s="2">
        <f>HYPERLINK("http://mcb-m6.bioreg.kyushu-u.ac.jp/M3/20110318/F50596/1623/1", 88.84)</f>
        <v>88.84</v>
      </c>
      <c r="E7748" s="2">
        <v>30.34</v>
      </c>
      <c r="F7748" s="2">
        <v>2</v>
      </c>
      <c r="G7748" s="2" t="s">
        <v>10</v>
      </c>
    </row>
    <row r="7749" spans="1:7" x14ac:dyDescent="0.2">
      <c r="A7749" s="2" t="s">
        <v>3380</v>
      </c>
      <c r="B7749" s="2" t="s">
        <v>172</v>
      </c>
      <c r="C7749" s="2">
        <v>738.35469999999998</v>
      </c>
      <c r="D7749" s="2">
        <f>HYPERLINK("http://mcb-m6.bioreg.kyushu-u.ac.jp/M3/20110318/F50614/1666/1", 92.23)</f>
        <v>92.23</v>
      </c>
      <c r="E7749" s="2">
        <v>38.49</v>
      </c>
      <c r="F7749" s="2">
        <v>2</v>
      </c>
      <c r="G7749" s="2" t="s">
        <v>10</v>
      </c>
    </row>
    <row r="7750" spans="1:7" x14ac:dyDescent="0.2">
      <c r="A7750" s="2" t="s">
        <v>3380</v>
      </c>
      <c r="B7750" s="2" t="s">
        <v>172</v>
      </c>
      <c r="C7750" s="2">
        <v>738.41560000000004</v>
      </c>
      <c r="D7750" s="2">
        <f>HYPERLINK("http://mcb-m6.bioreg.kyushu-u.ac.jp/M3/20110318/F50600/1555/1", 95.08)</f>
        <v>95.08</v>
      </c>
      <c r="E7750" s="2">
        <v>48.46</v>
      </c>
      <c r="F7750" s="2">
        <v>2</v>
      </c>
      <c r="G7750" s="2" t="s">
        <v>10</v>
      </c>
    </row>
    <row r="7751" spans="1:7" x14ac:dyDescent="0.2">
      <c r="A7751" s="2" t="s">
        <v>3380</v>
      </c>
      <c r="B7751" s="2" t="s">
        <v>172</v>
      </c>
      <c r="C7751" s="2">
        <v>738.36869999999999</v>
      </c>
      <c r="D7751" s="2">
        <f>HYPERLINK("http://mcb-m6.bioreg.kyushu-u.ac.jp/M3/20110318/F50612/1537/1", 95.45)</f>
        <v>95.45</v>
      </c>
      <c r="E7751" s="2">
        <v>46.45</v>
      </c>
      <c r="F7751" s="2">
        <v>2</v>
      </c>
      <c r="G7751" s="2" t="s">
        <v>10</v>
      </c>
    </row>
    <row r="7752" spans="1:7" x14ac:dyDescent="0.2">
      <c r="A7752" s="2" t="s">
        <v>3380</v>
      </c>
      <c r="B7752" s="2" t="s">
        <v>172</v>
      </c>
      <c r="C7752" s="2">
        <v>738.3066</v>
      </c>
      <c r="D7752" s="2">
        <f>HYPERLINK("http://mcb-m6.bioreg.kyushu-u.ac.jp/M3/20110318/F50615/1514/1", 95.5)</f>
        <v>95.5</v>
      </c>
      <c r="E7752" s="2">
        <v>61.93</v>
      </c>
      <c r="F7752" s="2">
        <v>2</v>
      </c>
      <c r="G7752" s="2" t="s">
        <v>10</v>
      </c>
    </row>
    <row r="7753" spans="1:7" x14ac:dyDescent="0.2">
      <c r="A7753" s="2" t="s">
        <v>3380</v>
      </c>
      <c r="B7753" s="2" t="s">
        <v>172</v>
      </c>
      <c r="C7753" s="2">
        <v>1475.645</v>
      </c>
      <c r="D7753" s="2">
        <f>HYPERLINK("http://mcb-m6.bioreg.kyushu-u.ac.jp/M3/20110418/F50977/2067/1", 35.43)</f>
        <v>35.43</v>
      </c>
      <c r="E7753" s="2">
        <v>24.11</v>
      </c>
      <c r="F7753" s="2">
        <v>1</v>
      </c>
      <c r="G7753" s="2" t="s">
        <v>11</v>
      </c>
    </row>
    <row r="7754" spans="1:7" x14ac:dyDescent="0.2">
      <c r="A7754" s="2" t="s">
        <v>3380</v>
      </c>
      <c r="B7754" s="2" t="s">
        <v>172</v>
      </c>
      <c r="C7754" s="2">
        <v>738.62919999999997</v>
      </c>
      <c r="D7754" s="2">
        <f>HYPERLINK("http://mcb-m6.bioreg.kyushu-u.ac.jp/M3/20110418/F50969/2124/1", 40.27)</f>
        <v>40.270000000000003</v>
      </c>
      <c r="E7754" s="2">
        <v>21.48</v>
      </c>
      <c r="F7754" s="2">
        <v>2</v>
      </c>
      <c r="G7754" s="2" t="s">
        <v>11</v>
      </c>
    </row>
    <row r="7755" spans="1:7" x14ac:dyDescent="0.2">
      <c r="A7755" s="2" t="s">
        <v>3380</v>
      </c>
      <c r="B7755" s="2" t="s">
        <v>172</v>
      </c>
      <c r="C7755" s="2">
        <v>738.33720000000005</v>
      </c>
      <c r="D7755" s="2">
        <f>HYPERLINK("http://mcb-m6.bioreg.kyushu-u.ac.jp/M3/20110418/F50975/2018/1", 43.08)</f>
        <v>43.08</v>
      </c>
      <c r="E7755" s="2">
        <v>26.89</v>
      </c>
      <c r="F7755" s="2">
        <v>2</v>
      </c>
      <c r="G7755" s="2" t="s">
        <v>11</v>
      </c>
    </row>
    <row r="7756" spans="1:7" x14ac:dyDescent="0.2">
      <c r="A7756" s="2" t="s">
        <v>3380</v>
      </c>
      <c r="B7756" s="2" t="s">
        <v>172</v>
      </c>
      <c r="C7756" s="2">
        <v>1475.614</v>
      </c>
      <c r="D7756" s="2">
        <f>HYPERLINK("http://mcb-m6.bioreg.kyushu-u.ac.jp/M3/20110418/F50975/2017/1", 46.24)</f>
        <v>46.24</v>
      </c>
      <c r="E7756" s="2">
        <v>25.36</v>
      </c>
      <c r="F7756" s="2">
        <v>1</v>
      </c>
      <c r="G7756" s="2" t="s">
        <v>11</v>
      </c>
    </row>
    <row r="7757" spans="1:7" x14ac:dyDescent="0.2">
      <c r="A7757" s="2" t="s">
        <v>3380</v>
      </c>
      <c r="B7757" s="2" t="s">
        <v>172</v>
      </c>
      <c r="C7757" s="2">
        <v>738.16970000000003</v>
      </c>
      <c r="D7757" s="2">
        <f>HYPERLINK("http://mcb-m6.bioreg.kyushu-u.ac.jp/M3/20110418/F50970/2030/1", 50.02)</f>
        <v>50.02</v>
      </c>
      <c r="E7757" s="2">
        <v>32.869999999999997</v>
      </c>
      <c r="F7757" s="2">
        <v>2</v>
      </c>
      <c r="G7757" s="2" t="s">
        <v>11</v>
      </c>
    </row>
    <row r="7758" spans="1:7" x14ac:dyDescent="0.2">
      <c r="A7758" s="2" t="s">
        <v>3380</v>
      </c>
      <c r="B7758" s="2" t="s">
        <v>172</v>
      </c>
      <c r="C7758" s="2">
        <v>738.85220000000004</v>
      </c>
      <c r="D7758" s="2">
        <f>HYPERLINK("http://mcb-m6.bioreg.kyushu-u.ac.jp/M3/20110418/F50975/2027/1", 55.59)</f>
        <v>55.59</v>
      </c>
      <c r="E7758" s="2">
        <v>21.69</v>
      </c>
      <c r="F7758" s="2">
        <v>2</v>
      </c>
      <c r="G7758" s="2" t="s">
        <v>11</v>
      </c>
    </row>
    <row r="7759" spans="1:7" x14ac:dyDescent="0.2">
      <c r="A7759" s="2" t="s">
        <v>3380</v>
      </c>
      <c r="B7759" s="2" t="s">
        <v>172</v>
      </c>
      <c r="C7759" s="2">
        <v>738.36320000000001</v>
      </c>
      <c r="D7759" s="2">
        <f>HYPERLINK("http://mcb-m6.bioreg.kyushu-u.ac.jp/M3/20110418/F50979/2064/1", 65.32)</f>
        <v>65.319999999999993</v>
      </c>
      <c r="E7759" s="2">
        <v>35.49</v>
      </c>
      <c r="F7759" s="2">
        <v>2</v>
      </c>
      <c r="G7759" s="2" t="s">
        <v>11</v>
      </c>
    </row>
    <row r="7760" spans="1:7" x14ac:dyDescent="0.2">
      <c r="A7760" s="2" t="s">
        <v>3380</v>
      </c>
      <c r="B7760" s="2" t="s">
        <v>172</v>
      </c>
      <c r="C7760" s="2">
        <v>738.69619999999998</v>
      </c>
      <c r="D7760" s="2">
        <f>HYPERLINK("http://mcb-m6.bioreg.kyushu-u.ac.jp/M3/20110418/F50977/2069/1", 66.77)</f>
        <v>66.77</v>
      </c>
      <c r="E7760" s="2">
        <v>30.47</v>
      </c>
      <c r="F7760" s="2">
        <v>2</v>
      </c>
      <c r="G7760" s="2" t="s">
        <v>11</v>
      </c>
    </row>
    <row r="7761" spans="1:7" x14ac:dyDescent="0.2">
      <c r="A7761" s="2" t="s">
        <v>3380</v>
      </c>
      <c r="B7761" s="2" t="s">
        <v>172</v>
      </c>
      <c r="C7761" s="2">
        <v>738.26459999999997</v>
      </c>
      <c r="D7761" s="2">
        <f>HYPERLINK("http://mcb-m6.bioreg.kyushu-u.ac.jp/M3/20110418/F50976/1973/1", 66.95)</f>
        <v>66.95</v>
      </c>
      <c r="E7761" s="2">
        <v>41.73</v>
      </c>
      <c r="F7761" s="2">
        <v>2</v>
      </c>
      <c r="G7761" s="2" t="s">
        <v>11</v>
      </c>
    </row>
    <row r="7762" spans="1:7" x14ac:dyDescent="0.2">
      <c r="A7762" s="2" t="s">
        <v>3380</v>
      </c>
      <c r="B7762" s="2" t="s">
        <v>172</v>
      </c>
      <c r="C7762" s="2">
        <v>738.40869999999995</v>
      </c>
      <c r="D7762" s="2">
        <f>HYPERLINK("http://mcb-m6.bioreg.kyushu-u.ac.jp/M3/20110418/F50975/2022/1", 70.33)</f>
        <v>70.33</v>
      </c>
      <c r="E7762" s="2">
        <v>45.39</v>
      </c>
      <c r="F7762" s="2">
        <v>2</v>
      </c>
      <c r="G7762" s="2" t="s">
        <v>11</v>
      </c>
    </row>
    <row r="7763" spans="1:7" x14ac:dyDescent="0.2">
      <c r="A7763" s="2" t="s">
        <v>3380</v>
      </c>
      <c r="B7763" s="2" t="s">
        <v>172</v>
      </c>
      <c r="C7763" s="2">
        <v>738.11109999999996</v>
      </c>
      <c r="D7763" s="2">
        <f>HYPERLINK("http://mcb-m6.bioreg.kyushu-u.ac.jp/M3/20110418/F50969/2119/1", 71.12)</f>
        <v>71.12</v>
      </c>
      <c r="E7763" s="2">
        <v>48.29</v>
      </c>
      <c r="F7763" s="2">
        <v>2</v>
      </c>
      <c r="G7763" s="2" t="s">
        <v>11</v>
      </c>
    </row>
    <row r="7764" spans="1:7" x14ac:dyDescent="0.2">
      <c r="A7764" s="2" t="s">
        <v>3380</v>
      </c>
      <c r="B7764" s="2" t="s">
        <v>172</v>
      </c>
      <c r="C7764" s="2">
        <v>738.40170000000001</v>
      </c>
      <c r="D7764" s="2">
        <f>HYPERLINK("http://mcb-m6.bioreg.kyushu-u.ac.jp/M3/20110418/F50996/2035/1", 71.26)</f>
        <v>71.260000000000005</v>
      </c>
      <c r="E7764" s="2">
        <v>45.09</v>
      </c>
      <c r="F7764" s="2">
        <v>2</v>
      </c>
      <c r="G7764" s="2" t="s">
        <v>11</v>
      </c>
    </row>
    <row r="7765" spans="1:7" x14ac:dyDescent="0.2">
      <c r="A7765" s="2" t="s">
        <v>3380</v>
      </c>
      <c r="B7765" s="2" t="s">
        <v>172</v>
      </c>
      <c r="C7765" s="2">
        <v>738.16060000000004</v>
      </c>
      <c r="D7765" s="2">
        <f>HYPERLINK("http://mcb-m6.bioreg.kyushu-u.ac.jp/M3/20110418/F50974/2061/1", 73.57)</f>
        <v>73.569999999999993</v>
      </c>
      <c r="E7765" s="2">
        <v>38.799999999999997</v>
      </c>
      <c r="F7765" s="2">
        <v>2</v>
      </c>
      <c r="G7765" s="2" t="s">
        <v>11</v>
      </c>
    </row>
    <row r="7766" spans="1:7" x14ac:dyDescent="0.2">
      <c r="A7766" s="2" t="s">
        <v>3380</v>
      </c>
      <c r="B7766" s="2" t="s">
        <v>172</v>
      </c>
      <c r="C7766" s="2">
        <v>738.28719999999998</v>
      </c>
      <c r="D7766" s="2">
        <f>HYPERLINK("http://mcb-m6.bioreg.kyushu-u.ac.jp/M3/20110418/F50975/2016/1", 77.84)</f>
        <v>77.84</v>
      </c>
      <c r="E7766" s="2">
        <v>54.69</v>
      </c>
      <c r="F7766" s="2">
        <v>2</v>
      </c>
      <c r="G7766" s="2" t="s">
        <v>11</v>
      </c>
    </row>
    <row r="7767" spans="1:7" x14ac:dyDescent="0.2">
      <c r="A7767" s="2" t="s">
        <v>3380</v>
      </c>
      <c r="B7767" s="2" t="s">
        <v>172</v>
      </c>
      <c r="C7767" s="2">
        <v>738.17219999999998</v>
      </c>
      <c r="D7767" s="2">
        <f>HYPERLINK("http://mcb-m6.bioreg.kyushu-u.ac.jp/M3/20110418/F50970/2031/1", 82.96)</f>
        <v>82.96</v>
      </c>
      <c r="E7767" s="2">
        <v>56.7</v>
      </c>
      <c r="F7767" s="2">
        <v>2</v>
      </c>
      <c r="G7767" s="2" t="s">
        <v>11</v>
      </c>
    </row>
    <row r="7768" spans="1:7" x14ac:dyDescent="0.2">
      <c r="A7768" s="2" t="s">
        <v>3380</v>
      </c>
      <c r="B7768" s="2" t="s">
        <v>172</v>
      </c>
      <c r="C7768" s="2">
        <v>738.1902</v>
      </c>
      <c r="D7768" s="2">
        <f>HYPERLINK("http://mcb-m6.bioreg.kyushu-u.ac.jp/M3/20110418/F50971/2080/1", 83.43)</f>
        <v>83.43</v>
      </c>
      <c r="E7768" s="2">
        <v>57.62</v>
      </c>
      <c r="F7768" s="2">
        <v>2</v>
      </c>
      <c r="G7768" s="2" t="s">
        <v>11</v>
      </c>
    </row>
    <row r="7769" spans="1:7" x14ac:dyDescent="0.2">
      <c r="A7769" s="2" t="s">
        <v>3380</v>
      </c>
      <c r="B7769" s="2" t="s">
        <v>172</v>
      </c>
      <c r="C7769" s="2">
        <v>738.35820000000001</v>
      </c>
      <c r="D7769" s="2">
        <f>HYPERLINK("http://mcb-m6.bioreg.kyushu-u.ac.jp/M3/20110418/F50978/2101/1", 84.71)</f>
        <v>84.71</v>
      </c>
      <c r="E7769" s="2">
        <v>59.44</v>
      </c>
      <c r="F7769" s="2">
        <v>2</v>
      </c>
      <c r="G7769" s="2" t="s">
        <v>11</v>
      </c>
    </row>
    <row r="7770" spans="1:7" x14ac:dyDescent="0.2">
      <c r="A7770" s="2" t="s">
        <v>3380</v>
      </c>
      <c r="B7770" s="2" t="s">
        <v>172</v>
      </c>
      <c r="C7770" s="2">
        <v>738.28420000000006</v>
      </c>
      <c r="D7770" s="2">
        <f>HYPERLINK("http://mcb-m6.bioreg.kyushu-u.ac.jp/M3/20110418/F51000/1983/1", 85.15)</f>
        <v>85.15</v>
      </c>
      <c r="E7770" s="2">
        <v>59.12</v>
      </c>
      <c r="F7770" s="2">
        <v>2</v>
      </c>
      <c r="G7770" s="2" t="s">
        <v>11</v>
      </c>
    </row>
    <row r="7771" spans="1:7" x14ac:dyDescent="0.2">
      <c r="A7771" s="2" t="s">
        <v>3380</v>
      </c>
      <c r="B7771" s="2" t="s">
        <v>172</v>
      </c>
      <c r="C7771" s="2">
        <v>738.78970000000004</v>
      </c>
      <c r="D7771" s="2">
        <f>HYPERLINK("http://mcb-m6.bioreg.kyushu-u.ac.jp/M3/20110418/F50976/1976/1", 88.23)</f>
        <v>88.23</v>
      </c>
      <c r="E7771" s="2">
        <v>40.4</v>
      </c>
      <c r="F7771" s="2">
        <v>2</v>
      </c>
      <c r="G7771" s="2" t="s">
        <v>11</v>
      </c>
    </row>
    <row r="7772" spans="1:7" x14ac:dyDescent="0.2">
      <c r="A7772" s="2" t="s">
        <v>3380</v>
      </c>
      <c r="B7772" s="2" t="s">
        <v>172</v>
      </c>
      <c r="C7772" s="2">
        <v>738.76260000000002</v>
      </c>
      <c r="D7772" s="2">
        <f>HYPERLINK("http://mcb-m6.bioreg.kyushu-u.ac.jp/M3/20110418/F50974/2064/1", 89.41)</f>
        <v>89.41</v>
      </c>
      <c r="E7772" s="2">
        <v>45.37</v>
      </c>
      <c r="F7772" s="2">
        <v>2</v>
      </c>
      <c r="G7772" s="2" t="s">
        <v>11</v>
      </c>
    </row>
    <row r="7773" spans="1:7" x14ac:dyDescent="0.2">
      <c r="A7773" s="2" t="s">
        <v>3380</v>
      </c>
      <c r="B7773" s="2" t="s">
        <v>172</v>
      </c>
      <c r="C7773" s="2">
        <v>738.81119999999999</v>
      </c>
      <c r="D7773" s="2">
        <f>HYPERLINK("http://mcb-m6.bioreg.kyushu-u.ac.jp/M3/20110418/F50999/1999/1", 91.36)</f>
        <v>91.36</v>
      </c>
      <c r="E7773" s="2">
        <v>41.86</v>
      </c>
      <c r="F7773" s="2">
        <v>2</v>
      </c>
      <c r="G7773" s="2" t="s">
        <v>11</v>
      </c>
    </row>
    <row r="7774" spans="1:7" x14ac:dyDescent="0.2">
      <c r="A7774" s="2" t="s">
        <v>3380</v>
      </c>
      <c r="B7774" s="2" t="s">
        <v>172</v>
      </c>
      <c r="C7774" s="2">
        <v>738.33720000000005</v>
      </c>
      <c r="D7774" s="2">
        <f>HYPERLINK("http://mcb-m6.bioreg.kyushu-u.ac.jp/M3/20110418/F50977/2068/1", 91.78)</f>
        <v>91.78</v>
      </c>
      <c r="E7774" s="2">
        <v>63.66</v>
      </c>
      <c r="F7774" s="2">
        <v>2</v>
      </c>
      <c r="G7774" s="2" t="s">
        <v>11</v>
      </c>
    </row>
    <row r="7775" spans="1:7" x14ac:dyDescent="0.2">
      <c r="A7775" s="2" t="s">
        <v>3380</v>
      </c>
      <c r="B7775" s="2" t="s">
        <v>172</v>
      </c>
      <c r="C7775" s="2">
        <v>738.24770000000001</v>
      </c>
      <c r="D7775" s="2">
        <f>HYPERLINK("http://mcb-m6.bioreg.kyushu-u.ac.jp/M3/20110418/F50973/2123/1", 95.23)</f>
        <v>95.23</v>
      </c>
      <c r="E7775" s="2">
        <v>70.3</v>
      </c>
      <c r="F7775" s="2">
        <v>2</v>
      </c>
      <c r="G7775" s="2" t="s">
        <v>11</v>
      </c>
    </row>
    <row r="7776" spans="1:7" x14ac:dyDescent="0.2">
      <c r="A7776" s="2" t="s">
        <v>3380</v>
      </c>
      <c r="B7776" s="2" t="s">
        <v>172</v>
      </c>
      <c r="C7776" s="2">
        <v>738.17409999999995</v>
      </c>
      <c r="D7776" s="2">
        <f>HYPERLINK("http://mcb-m6.bioreg.kyushu-u.ac.jp/M3/20110418/F50969/2120/1", 102.58)</f>
        <v>102.58</v>
      </c>
      <c r="E7776" s="2">
        <v>74.22</v>
      </c>
      <c r="F7776" s="2">
        <v>2</v>
      </c>
      <c r="G7776" s="2" t="s">
        <v>11</v>
      </c>
    </row>
    <row r="7777" spans="1:7" x14ac:dyDescent="0.2">
      <c r="A7777" s="2" t="s">
        <v>3380</v>
      </c>
      <c r="B7777" s="2" t="s">
        <v>172</v>
      </c>
      <c r="C7777" s="2">
        <v>738.76369999999997</v>
      </c>
      <c r="D7777" s="2">
        <f>HYPERLINK("http://mcb-m6.bioreg.kyushu-u.ac.jp/M3/20110418/F50973/2126/1", 105.32)</f>
        <v>105.32</v>
      </c>
      <c r="E7777" s="2">
        <v>51.52</v>
      </c>
      <c r="F7777" s="2">
        <v>2</v>
      </c>
      <c r="G7777" s="2" t="s">
        <v>11</v>
      </c>
    </row>
    <row r="7778" spans="1:7" x14ac:dyDescent="0.2">
      <c r="A7778" s="2" t="s">
        <v>3380</v>
      </c>
      <c r="B7778" s="2" t="s">
        <v>172</v>
      </c>
      <c r="C7778" s="2">
        <v>738.31410000000005</v>
      </c>
      <c r="D7778" s="2">
        <f>HYPERLINK("http://mcb-m6.bioreg.kyushu-u.ac.jp/M3/20110418/F51001/2012/1", 65.95)</f>
        <v>65.95</v>
      </c>
      <c r="E7778" s="2">
        <v>39.840000000000003</v>
      </c>
      <c r="F7778" s="2">
        <v>2</v>
      </c>
      <c r="G7778" s="2" t="s">
        <v>12</v>
      </c>
    </row>
    <row r="7779" spans="1:7" x14ac:dyDescent="0.2">
      <c r="A7779" s="2" t="s">
        <v>3380</v>
      </c>
      <c r="B7779" s="2" t="s">
        <v>172</v>
      </c>
      <c r="C7779" s="2">
        <v>738.13570000000004</v>
      </c>
      <c r="D7779" s="2">
        <f>HYPERLINK("http://mcb-m6.bioreg.kyushu-u.ac.jp/M3/20110418/F50986/2066/1", 66.81)</f>
        <v>66.81</v>
      </c>
      <c r="E7779" s="2">
        <v>34.81</v>
      </c>
      <c r="F7779" s="2">
        <v>2</v>
      </c>
      <c r="G7779" s="2" t="s">
        <v>12</v>
      </c>
    </row>
    <row r="7780" spans="1:7" x14ac:dyDescent="0.2">
      <c r="A7780" s="2" t="s">
        <v>3380</v>
      </c>
      <c r="B7780" s="2" t="s">
        <v>172</v>
      </c>
      <c r="C7780" s="2">
        <v>738.55909999999994</v>
      </c>
      <c r="D7780" s="2">
        <f>HYPERLINK("http://mcb-m6.bioreg.kyushu-u.ac.jp/M3/20110418/F50997/1992/1", 76.38)</f>
        <v>76.38</v>
      </c>
      <c r="E7780" s="2">
        <v>30.26</v>
      </c>
      <c r="F7780" s="2">
        <v>2</v>
      </c>
      <c r="G7780" s="2" t="s">
        <v>12</v>
      </c>
    </row>
    <row r="7781" spans="1:7" x14ac:dyDescent="0.2">
      <c r="A7781" s="2" t="s">
        <v>3380</v>
      </c>
      <c r="B7781" s="2" t="s">
        <v>172</v>
      </c>
      <c r="C7781" s="2">
        <v>738.34670000000006</v>
      </c>
      <c r="D7781" s="2">
        <f>HYPERLINK("http://mcb-m6.bioreg.kyushu-u.ac.jp/M3/20110418/F50980/2100/1", 79.1)</f>
        <v>79.099999999999994</v>
      </c>
      <c r="E7781" s="2">
        <v>57.24</v>
      </c>
      <c r="F7781" s="2">
        <v>2</v>
      </c>
      <c r="G7781" s="2" t="s">
        <v>12</v>
      </c>
    </row>
    <row r="7782" spans="1:7" x14ac:dyDescent="0.2">
      <c r="A7782" s="2" t="s">
        <v>3380</v>
      </c>
      <c r="B7782" s="2" t="s">
        <v>172</v>
      </c>
      <c r="C7782" s="2">
        <v>738.88319999999999</v>
      </c>
      <c r="D7782" s="2">
        <f>HYPERLINK("http://mcb-m6.bioreg.kyushu-u.ac.jp/M3/20110418/F50980/2107/1", 81.81)</f>
        <v>81.81</v>
      </c>
      <c r="E7782" s="2">
        <v>27.34</v>
      </c>
      <c r="F7782" s="2">
        <v>2</v>
      </c>
      <c r="G7782" s="2" t="s">
        <v>12</v>
      </c>
    </row>
    <row r="7783" spans="1:7" x14ac:dyDescent="0.2">
      <c r="A7783" s="2" t="s">
        <v>3380</v>
      </c>
      <c r="B7783" s="2" t="s">
        <v>172</v>
      </c>
      <c r="C7783" s="2">
        <v>738.49069999999995</v>
      </c>
      <c r="D7783" s="2">
        <f>HYPERLINK("http://mcb-m6.bioreg.kyushu-u.ac.jp/M3/20110418/F50987/2078/1", 91.68)</f>
        <v>91.68</v>
      </c>
      <c r="E7783" s="2">
        <v>29.07</v>
      </c>
      <c r="F7783" s="2">
        <v>2</v>
      </c>
      <c r="G7783" s="2" t="s">
        <v>12</v>
      </c>
    </row>
    <row r="7784" spans="1:7" x14ac:dyDescent="0.2">
      <c r="A7784" s="2" t="s">
        <v>3380</v>
      </c>
      <c r="B7784" s="2" t="s">
        <v>172</v>
      </c>
      <c r="C7784" s="2">
        <v>738.26869999999997</v>
      </c>
      <c r="D7784" s="2">
        <f>HYPERLINK("http://mcb-m6.bioreg.kyushu-u.ac.jp/M3/20110418/F50988/2091/1", 92.24)</f>
        <v>92.24</v>
      </c>
      <c r="E7784" s="2">
        <v>63.96</v>
      </c>
      <c r="F7784" s="2">
        <v>2</v>
      </c>
      <c r="G7784" s="2" t="s">
        <v>12</v>
      </c>
    </row>
    <row r="7785" spans="1:7" x14ac:dyDescent="0.2">
      <c r="A7785" s="2" t="s">
        <v>3380</v>
      </c>
      <c r="B7785" s="2" t="s">
        <v>172</v>
      </c>
      <c r="C7785" s="2">
        <v>738.25710000000004</v>
      </c>
      <c r="D7785" s="2">
        <f>HYPERLINK("http://mcb-m6.bioreg.kyushu-u.ac.jp/M3/20110418/F50984/2079/1", 95.18)</f>
        <v>95.18</v>
      </c>
      <c r="E7785" s="2">
        <v>68.78</v>
      </c>
      <c r="F7785" s="2">
        <v>2</v>
      </c>
      <c r="G7785" s="2" t="s">
        <v>12</v>
      </c>
    </row>
    <row r="7786" spans="1:7" x14ac:dyDescent="0.2">
      <c r="A7786" s="2" t="s">
        <v>3380</v>
      </c>
      <c r="B7786" s="2" t="s">
        <v>172</v>
      </c>
      <c r="C7786" s="2">
        <v>738.27620000000002</v>
      </c>
      <c r="D7786" s="2">
        <f>HYPERLINK("http://mcb-m6.bioreg.kyushu-u.ac.jp/M3/20110418/F50983/2012/1", 95.39)</f>
        <v>95.39</v>
      </c>
      <c r="E7786" s="2">
        <v>66.69</v>
      </c>
      <c r="F7786" s="2">
        <v>2</v>
      </c>
      <c r="G7786" s="2" t="s">
        <v>12</v>
      </c>
    </row>
    <row r="7787" spans="1:7" x14ac:dyDescent="0.2">
      <c r="A7787" s="2" t="s">
        <v>3380</v>
      </c>
      <c r="B7787" s="2" t="s">
        <v>172</v>
      </c>
      <c r="C7787" s="2">
        <v>738.24019999999996</v>
      </c>
      <c r="D7787" s="2">
        <f>HYPERLINK("http://mcb-m6.bioreg.kyushu-u.ac.jp/M3/20110418/F50989/2044/1", 98.56)</f>
        <v>98.56</v>
      </c>
      <c r="E7787" s="2">
        <v>64.760000000000005</v>
      </c>
      <c r="F7787" s="2">
        <v>2</v>
      </c>
      <c r="G7787" s="2" t="s">
        <v>12</v>
      </c>
    </row>
    <row r="7788" spans="1:7" x14ac:dyDescent="0.2">
      <c r="A7788" s="2" t="s">
        <v>3380</v>
      </c>
      <c r="B7788" s="2" t="s">
        <v>172</v>
      </c>
      <c r="C7788" s="2">
        <v>738.31370000000004</v>
      </c>
      <c r="D7788" s="2">
        <f>HYPERLINK("http://mcb-m6.bioreg.kyushu-u.ac.jp/M3/20110418/F50985/2159/1", 98.91)</f>
        <v>98.91</v>
      </c>
      <c r="E7788" s="2">
        <v>52.71</v>
      </c>
      <c r="F7788" s="2">
        <v>2</v>
      </c>
      <c r="G7788" s="2" t="s">
        <v>12</v>
      </c>
    </row>
    <row r="7789" spans="1:7" x14ac:dyDescent="0.2">
      <c r="A7789" s="2" t="s">
        <v>3380</v>
      </c>
      <c r="B7789" s="2" t="s">
        <v>172</v>
      </c>
      <c r="C7789" s="2">
        <v>738.28020000000004</v>
      </c>
      <c r="D7789" s="2">
        <f>HYPERLINK("http://mcb-m6.bioreg.kyushu-u.ac.jp/M3/20110418/F50981/2038/1", 102.51)</f>
        <v>102.51</v>
      </c>
      <c r="E7789" s="2">
        <v>72.62</v>
      </c>
      <c r="F7789" s="2">
        <v>2</v>
      </c>
      <c r="G7789" s="2" t="s">
        <v>12</v>
      </c>
    </row>
    <row r="7790" spans="1:7" x14ac:dyDescent="0.2">
      <c r="A7790" s="2" t="s">
        <v>3380</v>
      </c>
      <c r="B7790" s="2" t="s">
        <v>172</v>
      </c>
      <c r="C7790" s="2">
        <v>738.78520000000003</v>
      </c>
      <c r="D7790" s="2">
        <f>HYPERLINK("http://mcb-m6.bioreg.kyushu-u.ac.jp/M3/20110429/F51152/1930/1", 54.05)</f>
        <v>54.05</v>
      </c>
      <c r="E7790" s="2">
        <v>30.22</v>
      </c>
      <c r="F7790" s="2">
        <v>2</v>
      </c>
      <c r="G7790" s="2" t="s">
        <v>13</v>
      </c>
    </row>
    <row r="7791" spans="1:7" x14ac:dyDescent="0.2">
      <c r="A7791" s="2" t="s">
        <v>3380</v>
      </c>
      <c r="B7791" s="2" t="s">
        <v>172</v>
      </c>
      <c r="C7791" s="2">
        <v>738.18219999999997</v>
      </c>
      <c r="D7791" s="2">
        <f>HYPERLINK("http://mcb-m6.bioreg.kyushu-u.ac.jp/M3/20110429/F51152/1926/1", 67.23)</f>
        <v>67.23</v>
      </c>
      <c r="E7791" s="2">
        <v>37.869999999999997</v>
      </c>
      <c r="F7791" s="2">
        <v>2</v>
      </c>
      <c r="G7791" s="2" t="s">
        <v>13</v>
      </c>
    </row>
    <row r="7792" spans="1:7" x14ac:dyDescent="0.2">
      <c r="A7792" s="2" t="s">
        <v>3380</v>
      </c>
      <c r="B7792" s="2" t="s">
        <v>172</v>
      </c>
      <c r="C7792" s="2">
        <v>738.54110000000003</v>
      </c>
      <c r="D7792" s="2">
        <f>HYPERLINK("http://mcb-m6.bioreg.kyushu-u.ac.jp/M3/20110429/F51156/1959/1", 68.93)</f>
        <v>68.930000000000007</v>
      </c>
      <c r="E7792" s="2">
        <v>1.62</v>
      </c>
      <c r="F7792" s="2">
        <v>2</v>
      </c>
      <c r="G7792" s="2" t="s">
        <v>13</v>
      </c>
    </row>
    <row r="7793" spans="1:7" x14ac:dyDescent="0.2">
      <c r="A7793" s="2" t="s">
        <v>3380</v>
      </c>
      <c r="B7793" s="2" t="s">
        <v>172</v>
      </c>
      <c r="C7793" s="2">
        <v>738.90009999999995</v>
      </c>
      <c r="D7793" s="2">
        <f>HYPERLINK("http://mcb-m6.bioreg.kyushu-u.ac.jp/M3/20110502/F51163/1765/1", 71.98)</f>
        <v>71.98</v>
      </c>
      <c r="E7793" s="2">
        <v>23.32</v>
      </c>
      <c r="F7793" s="2">
        <v>2</v>
      </c>
      <c r="G7793" s="2" t="s">
        <v>13</v>
      </c>
    </row>
    <row r="7794" spans="1:7" x14ac:dyDescent="0.2">
      <c r="A7794" s="2" t="s">
        <v>3380</v>
      </c>
      <c r="B7794" s="2" t="s">
        <v>172</v>
      </c>
      <c r="C7794" s="2">
        <v>738.50070000000005</v>
      </c>
      <c r="D7794" s="2">
        <f>HYPERLINK("http://mcb-m6.bioreg.kyushu-u.ac.jp/M3/20110429/F51149/2012/1", 78.63)</f>
        <v>78.63</v>
      </c>
      <c r="E7794" s="2">
        <v>42.87</v>
      </c>
      <c r="F7794" s="2">
        <v>2</v>
      </c>
      <c r="G7794" s="2" t="s">
        <v>13</v>
      </c>
    </row>
    <row r="7795" spans="1:7" x14ac:dyDescent="0.2">
      <c r="A7795" s="2" t="s">
        <v>3380</v>
      </c>
      <c r="B7795" s="2" t="s">
        <v>172</v>
      </c>
      <c r="C7795" s="2">
        <v>738.85109999999997</v>
      </c>
      <c r="D7795" s="2">
        <f>HYPERLINK("http://mcb-m6.bioreg.kyushu-u.ac.jp/M3/20110429/F51150/2116/1", 80.43)</f>
        <v>80.430000000000007</v>
      </c>
      <c r="E7795" s="2">
        <v>26.98</v>
      </c>
      <c r="F7795" s="2">
        <v>2</v>
      </c>
      <c r="G7795" s="2" t="s">
        <v>13</v>
      </c>
    </row>
    <row r="7796" spans="1:7" x14ac:dyDescent="0.2">
      <c r="A7796" s="2" t="s">
        <v>3380</v>
      </c>
      <c r="B7796" s="2" t="s">
        <v>172</v>
      </c>
      <c r="C7796" s="2">
        <v>738.37959999999998</v>
      </c>
      <c r="D7796" s="2">
        <f>HYPERLINK("http://mcb-m6.bioreg.kyushu-u.ac.jp/M3/20110429/F51155/2200/1", 84.68)</f>
        <v>84.68</v>
      </c>
      <c r="E7796" s="2">
        <v>49.09</v>
      </c>
      <c r="F7796" s="2">
        <v>2</v>
      </c>
      <c r="G7796" s="2" t="s">
        <v>13</v>
      </c>
    </row>
    <row r="7797" spans="1:7" x14ac:dyDescent="0.2">
      <c r="A7797" s="2" t="s">
        <v>3380</v>
      </c>
      <c r="B7797" s="2" t="s">
        <v>172</v>
      </c>
      <c r="C7797" s="2">
        <v>738.5317</v>
      </c>
      <c r="D7797" s="2">
        <f>HYPERLINK("http://mcb-m6.bioreg.kyushu-u.ac.jp/M3/20110428/F51146/2061/1", 84.84)</f>
        <v>84.84</v>
      </c>
      <c r="E7797" s="2">
        <v>15.13</v>
      </c>
      <c r="F7797" s="2">
        <v>2</v>
      </c>
      <c r="G7797" s="2" t="s">
        <v>13</v>
      </c>
    </row>
    <row r="7798" spans="1:7" x14ac:dyDescent="0.2">
      <c r="A7798" s="2" t="s">
        <v>3380</v>
      </c>
      <c r="B7798" s="2" t="s">
        <v>172</v>
      </c>
      <c r="C7798" s="2">
        <v>738.60360000000003</v>
      </c>
      <c r="D7798" s="2">
        <f>HYPERLINK("http://mcb-m6.bioreg.kyushu-u.ac.jp/M3/20110428/F51147/2011/1", 86.76)</f>
        <v>86.76</v>
      </c>
      <c r="E7798" s="2">
        <v>19.260000000000002</v>
      </c>
      <c r="F7798" s="2">
        <v>2</v>
      </c>
      <c r="G7798" s="2" t="s">
        <v>13</v>
      </c>
    </row>
    <row r="7799" spans="1:7" x14ac:dyDescent="0.2">
      <c r="A7799" s="2" t="s">
        <v>3380</v>
      </c>
      <c r="B7799" s="2" t="s">
        <v>172</v>
      </c>
      <c r="C7799" s="2">
        <v>738.27509999999995</v>
      </c>
      <c r="D7799" s="2">
        <f>HYPERLINK("http://mcb-m6.bioreg.kyushu-u.ac.jp/M3/20110429/F51150/2113/1", 91.65)</f>
        <v>91.65</v>
      </c>
      <c r="E7799" s="2">
        <v>63.53</v>
      </c>
      <c r="F7799" s="2">
        <v>2</v>
      </c>
      <c r="G7799" s="2" t="s">
        <v>13</v>
      </c>
    </row>
    <row r="7800" spans="1:7" x14ac:dyDescent="0.2">
      <c r="A7800" s="2" t="s">
        <v>3380</v>
      </c>
      <c r="B7800" s="2" t="s">
        <v>172</v>
      </c>
      <c r="C7800" s="2">
        <v>738.49620000000004</v>
      </c>
      <c r="D7800" s="2">
        <f>HYPERLINK("http://mcb-m6.bioreg.kyushu-u.ac.jp/M3/20110429/F51151/2118/1", 92.21)</f>
        <v>92.21</v>
      </c>
      <c r="E7800" s="2">
        <v>36.630000000000003</v>
      </c>
      <c r="F7800" s="2">
        <v>2</v>
      </c>
      <c r="G7800" s="2" t="s">
        <v>13</v>
      </c>
    </row>
    <row r="7801" spans="1:7" x14ac:dyDescent="0.2">
      <c r="A7801" s="2" t="s">
        <v>3380</v>
      </c>
      <c r="B7801" s="2" t="s">
        <v>172</v>
      </c>
      <c r="C7801" s="2">
        <v>738.53520000000003</v>
      </c>
      <c r="D7801" s="2">
        <f>HYPERLINK("http://mcb-m6.bioreg.kyushu-u.ac.jp/M3/20110502/F51158/1884/1", 92.4)</f>
        <v>92.4</v>
      </c>
      <c r="E7801" s="2">
        <v>48.87</v>
      </c>
      <c r="F7801" s="2">
        <v>2</v>
      </c>
      <c r="G7801" s="2" t="s">
        <v>13</v>
      </c>
    </row>
    <row r="7802" spans="1:7" x14ac:dyDescent="0.2">
      <c r="A7802" s="2" t="s">
        <v>3380</v>
      </c>
      <c r="B7802" s="2" t="s">
        <v>172</v>
      </c>
      <c r="C7802" s="2">
        <v>738.31870000000004</v>
      </c>
      <c r="D7802" s="2">
        <f>HYPERLINK("http://mcb-m6.bioreg.kyushu-u.ac.jp/M3/20110429/F51153/1930/1", 95.33)</f>
        <v>95.33</v>
      </c>
      <c r="E7802" s="2">
        <v>56.67</v>
      </c>
      <c r="F7802" s="2">
        <v>2</v>
      </c>
      <c r="G7802" s="2" t="s">
        <v>13</v>
      </c>
    </row>
    <row r="7803" spans="1:7" x14ac:dyDescent="0.2">
      <c r="A7803" s="2" t="s">
        <v>3380</v>
      </c>
      <c r="B7803" s="2" t="s">
        <v>172</v>
      </c>
      <c r="C7803" s="2">
        <v>738.35820000000001</v>
      </c>
      <c r="D7803" s="2">
        <f>HYPERLINK("http://mcb-m6.bioreg.kyushu-u.ac.jp/M3/20110429/F51157/1730/1", 98.69)</f>
        <v>98.69</v>
      </c>
      <c r="E7803" s="2">
        <v>71.37</v>
      </c>
      <c r="F7803" s="2">
        <v>2</v>
      </c>
      <c r="G7803" s="2" t="s">
        <v>13</v>
      </c>
    </row>
    <row r="7804" spans="1:7" x14ac:dyDescent="0.2">
      <c r="A7804" s="2" t="s">
        <v>3380</v>
      </c>
      <c r="B7804" s="2" t="s">
        <v>172</v>
      </c>
      <c r="C7804" s="2">
        <v>738.32460000000003</v>
      </c>
      <c r="D7804" s="2">
        <f>HYPERLINK("http://mcb-m6.bioreg.kyushu-u.ac.jp/M3/20110429/F51154/1984/1", 98.72)</f>
        <v>98.72</v>
      </c>
      <c r="E7804" s="2">
        <v>67.56</v>
      </c>
      <c r="F7804" s="2">
        <v>2</v>
      </c>
      <c r="G7804" s="2" t="s">
        <v>13</v>
      </c>
    </row>
    <row r="7805" spans="1:7" x14ac:dyDescent="0.2">
      <c r="A7805" s="2" t="s">
        <v>3380</v>
      </c>
      <c r="B7805" s="2" t="s">
        <v>172</v>
      </c>
      <c r="C7805" s="2">
        <v>738.93020000000001</v>
      </c>
      <c r="D7805" s="2">
        <f>HYPERLINK("http://mcb-m6.bioreg.kyushu-u.ac.jp/M3/20110428/F51140/1963/1", 39.69)</f>
        <v>39.69</v>
      </c>
      <c r="E7805" s="2">
        <v>17.989999999999998</v>
      </c>
      <c r="F7805" s="2">
        <v>2</v>
      </c>
      <c r="G7805" s="2" t="s">
        <v>14</v>
      </c>
    </row>
    <row r="7806" spans="1:7" x14ac:dyDescent="0.2">
      <c r="A7806" s="2" t="s">
        <v>3380</v>
      </c>
      <c r="B7806" s="2" t="s">
        <v>172</v>
      </c>
      <c r="C7806" s="2">
        <v>738.8492</v>
      </c>
      <c r="D7806" s="2">
        <f>HYPERLINK("http://mcb-m6.bioreg.kyushu-u.ac.jp/M3/20110428/F51140/1960/1", 49.79)</f>
        <v>49.79</v>
      </c>
      <c r="E7806" s="2">
        <v>14.11</v>
      </c>
      <c r="F7806" s="2">
        <v>2</v>
      </c>
      <c r="G7806" s="2" t="s">
        <v>14</v>
      </c>
    </row>
    <row r="7807" spans="1:7" x14ac:dyDescent="0.2">
      <c r="A7807" s="2" t="s">
        <v>3380</v>
      </c>
      <c r="B7807" s="2" t="s">
        <v>172</v>
      </c>
      <c r="C7807" s="2">
        <v>738.95259999999996</v>
      </c>
      <c r="D7807" s="2">
        <f>HYPERLINK("http://mcb-m6.bioreg.kyushu-u.ac.jp/M3/20110428/F51141/1905/1", 60.54)</f>
        <v>60.54</v>
      </c>
      <c r="E7807" s="2">
        <v>13.03</v>
      </c>
      <c r="F7807" s="2">
        <v>2</v>
      </c>
      <c r="G7807" s="2" t="s">
        <v>14</v>
      </c>
    </row>
    <row r="7808" spans="1:7" x14ac:dyDescent="0.2">
      <c r="A7808" s="2" t="s">
        <v>3380</v>
      </c>
      <c r="B7808" s="2" t="s">
        <v>172</v>
      </c>
      <c r="C7808" s="2">
        <v>738.31669999999997</v>
      </c>
      <c r="D7808" s="2">
        <f>HYPERLINK("http://mcb-m6.bioreg.kyushu-u.ac.jp/M3/20110428/F51138/2258/1", 60.97)</f>
        <v>60.97</v>
      </c>
      <c r="E7808" s="2">
        <v>43.55</v>
      </c>
      <c r="F7808" s="2">
        <v>2</v>
      </c>
      <c r="G7808" s="2" t="s">
        <v>14</v>
      </c>
    </row>
    <row r="7809" spans="1:7" x14ac:dyDescent="0.2">
      <c r="A7809" s="2" t="s">
        <v>3380</v>
      </c>
      <c r="B7809" s="2" t="s">
        <v>172</v>
      </c>
      <c r="C7809" s="2">
        <v>738.92409999999995</v>
      </c>
      <c r="D7809" s="2">
        <f>HYPERLINK("http://mcb-m6.bioreg.kyushu-u.ac.jp/M3/20110428/F51138/2262/1", 61.65)</f>
        <v>61.65</v>
      </c>
      <c r="E7809" s="2">
        <v>10.25</v>
      </c>
      <c r="F7809" s="2">
        <v>2</v>
      </c>
      <c r="G7809" s="2" t="s">
        <v>14</v>
      </c>
    </row>
    <row r="7810" spans="1:7" x14ac:dyDescent="0.2">
      <c r="A7810" s="2" t="s">
        <v>3380</v>
      </c>
      <c r="B7810" s="2" t="s">
        <v>172</v>
      </c>
      <c r="C7810" s="2">
        <v>738.92169999999999</v>
      </c>
      <c r="D7810" s="2">
        <f>HYPERLINK("http://mcb-m6.bioreg.kyushu-u.ac.jp/M3/20110428/F51141/1904/1", 61.8)</f>
        <v>61.8</v>
      </c>
      <c r="E7810" s="2">
        <v>14.82</v>
      </c>
      <c r="F7810" s="2">
        <v>2</v>
      </c>
      <c r="G7810" s="2" t="s">
        <v>14</v>
      </c>
    </row>
    <row r="7811" spans="1:7" x14ac:dyDescent="0.2">
      <c r="A7811" s="2" t="s">
        <v>3380</v>
      </c>
      <c r="B7811" s="2" t="s">
        <v>172</v>
      </c>
      <c r="C7811" s="2">
        <v>738.42660000000001</v>
      </c>
      <c r="D7811" s="2">
        <f>HYPERLINK("http://mcb-m6.bioreg.kyushu-u.ac.jp/M3/20110428/F51140/1957/1", 63.99)</f>
        <v>63.99</v>
      </c>
      <c r="E7811" s="2">
        <v>28.25</v>
      </c>
      <c r="F7811" s="2">
        <v>2</v>
      </c>
      <c r="G7811" s="2" t="s">
        <v>14</v>
      </c>
    </row>
    <row r="7812" spans="1:7" x14ac:dyDescent="0.2">
      <c r="A7812" s="2" t="s">
        <v>3380</v>
      </c>
      <c r="B7812" s="2" t="s">
        <v>172</v>
      </c>
      <c r="C7812" s="2">
        <v>738.55769999999995</v>
      </c>
      <c r="D7812" s="2">
        <f>HYPERLINK("http://mcb-m6.bioreg.kyushu-u.ac.jp/M3/20110502/F51159/1962/1", 64.25)</f>
        <v>64.25</v>
      </c>
      <c r="E7812" s="2">
        <v>7.0000000000000007E-2</v>
      </c>
      <c r="F7812" s="2">
        <v>2</v>
      </c>
      <c r="G7812" s="2" t="s">
        <v>14</v>
      </c>
    </row>
    <row r="7813" spans="1:7" x14ac:dyDescent="0.2">
      <c r="A7813" s="2" t="s">
        <v>3380</v>
      </c>
      <c r="B7813" s="2" t="s">
        <v>172</v>
      </c>
      <c r="C7813" s="2">
        <v>738.40219999999999</v>
      </c>
      <c r="D7813" s="2">
        <f>HYPERLINK("http://mcb-m6.bioreg.kyushu-u.ac.jp/M3/20110428/F51136/2232/1", 73.03)</f>
        <v>73.03</v>
      </c>
      <c r="E7813" s="2">
        <v>51.72</v>
      </c>
      <c r="F7813" s="2">
        <v>2</v>
      </c>
      <c r="G7813" s="2" t="s">
        <v>14</v>
      </c>
    </row>
    <row r="7814" spans="1:7" x14ac:dyDescent="0.2">
      <c r="A7814" s="2" t="s">
        <v>3380</v>
      </c>
      <c r="B7814" s="2" t="s">
        <v>172</v>
      </c>
      <c r="C7814" s="2">
        <v>738.41669999999999</v>
      </c>
      <c r="D7814" s="2">
        <f>HYPERLINK("http://mcb-m6.bioreg.kyushu-u.ac.jp/M3/20110428/F51141/1900/1", 73.64)</f>
        <v>73.64</v>
      </c>
      <c r="E7814" s="2">
        <v>49.64</v>
      </c>
      <c r="F7814" s="2">
        <v>2</v>
      </c>
      <c r="G7814" s="2" t="s">
        <v>14</v>
      </c>
    </row>
    <row r="7815" spans="1:7" x14ac:dyDescent="0.2">
      <c r="A7815" s="2" t="s">
        <v>3380</v>
      </c>
      <c r="B7815" s="2" t="s">
        <v>172</v>
      </c>
      <c r="C7815" s="2">
        <v>738.90120000000002</v>
      </c>
      <c r="D7815" s="2">
        <f>HYPERLINK("http://mcb-m6.bioreg.kyushu-u.ac.jp/M3/20110428/F51138/2261/1", 73.84)</f>
        <v>73.84</v>
      </c>
      <c r="E7815" s="2">
        <v>22.57</v>
      </c>
      <c r="F7815" s="2">
        <v>2</v>
      </c>
      <c r="G7815" s="2" t="s">
        <v>14</v>
      </c>
    </row>
    <row r="7816" spans="1:7" x14ac:dyDescent="0.2">
      <c r="A7816" s="2" t="s">
        <v>3380</v>
      </c>
      <c r="B7816" s="2" t="s">
        <v>172</v>
      </c>
      <c r="C7816" s="2">
        <v>738.39509999999996</v>
      </c>
      <c r="D7816" s="2">
        <f>HYPERLINK("http://mcb-m6.bioreg.kyushu-u.ac.jp/M3/20110502/F51161/1884/1", 76.95)</f>
        <v>76.95</v>
      </c>
      <c r="E7816" s="2">
        <v>39.380000000000003</v>
      </c>
      <c r="F7816" s="2">
        <v>2</v>
      </c>
      <c r="G7816" s="2" t="s">
        <v>14</v>
      </c>
    </row>
    <row r="7817" spans="1:7" x14ac:dyDescent="0.2">
      <c r="A7817" s="2" t="s">
        <v>3380</v>
      </c>
      <c r="B7817" s="2" t="s">
        <v>172</v>
      </c>
      <c r="C7817" s="2">
        <v>738.46720000000005</v>
      </c>
      <c r="D7817" s="2">
        <f>HYPERLINK("http://mcb-m6.bioreg.kyushu-u.ac.jp/M3/20110428/F51137/2153/1", 79.02)</f>
        <v>79.02</v>
      </c>
      <c r="E7817" s="2">
        <v>40.22</v>
      </c>
      <c r="F7817" s="2">
        <v>2</v>
      </c>
      <c r="G7817" s="2" t="s">
        <v>14</v>
      </c>
    </row>
    <row r="7818" spans="1:7" x14ac:dyDescent="0.2">
      <c r="A7818" s="2" t="s">
        <v>3380</v>
      </c>
      <c r="B7818" s="2" t="s">
        <v>172</v>
      </c>
      <c r="C7818" s="2">
        <v>738.37120000000004</v>
      </c>
      <c r="D7818" s="2">
        <f>HYPERLINK("http://mcb-m6.bioreg.kyushu-u.ac.jp/M3/20110428/F51139/2003/1", 79.02)</f>
        <v>79.02</v>
      </c>
      <c r="E7818" s="2">
        <v>50.73</v>
      </c>
      <c r="F7818" s="2">
        <v>2</v>
      </c>
      <c r="G7818" s="2" t="s">
        <v>14</v>
      </c>
    </row>
    <row r="7819" spans="1:7" x14ac:dyDescent="0.2">
      <c r="A7819" s="2" t="s">
        <v>3380</v>
      </c>
      <c r="B7819" s="2" t="s">
        <v>172</v>
      </c>
      <c r="C7819" s="2">
        <v>738.37869999999998</v>
      </c>
      <c r="D7819" s="2">
        <f>HYPERLINK("http://mcb-m6.bioreg.kyushu-u.ac.jp/M3/20110428/F51138/2259/1", 80.55)</f>
        <v>80.55</v>
      </c>
      <c r="E7819" s="2">
        <v>35.770000000000003</v>
      </c>
      <c r="F7819" s="2">
        <v>2</v>
      </c>
      <c r="G7819" s="2" t="s">
        <v>14</v>
      </c>
    </row>
    <row r="7820" spans="1:7" x14ac:dyDescent="0.2">
      <c r="A7820" s="2" t="s">
        <v>3380</v>
      </c>
      <c r="B7820" s="2" t="s">
        <v>172</v>
      </c>
      <c r="C7820" s="2">
        <v>738.35270000000003</v>
      </c>
      <c r="D7820" s="2">
        <f>HYPERLINK("http://mcb-m6.bioreg.kyushu-u.ac.jp/M3/20110428/F51141/1899/1", 82.73)</f>
        <v>82.73</v>
      </c>
      <c r="E7820" s="2">
        <v>46.62</v>
      </c>
      <c r="F7820" s="2">
        <v>2</v>
      </c>
      <c r="G7820" s="2" t="s">
        <v>14</v>
      </c>
    </row>
    <row r="7821" spans="1:7" x14ac:dyDescent="0.2">
      <c r="A7821" s="2" t="s">
        <v>3380</v>
      </c>
      <c r="B7821" s="2" t="s">
        <v>172</v>
      </c>
      <c r="C7821" s="2">
        <v>738.59969999999998</v>
      </c>
      <c r="D7821" s="2">
        <f>HYPERLINK("http://mcb-m6.bioreg.kyushu-u.ac.jp/M3/20110428/F51144/2185/1", 83.06)</f>
        <v>83.06</v>
      </c>
      <c r="E7821" s="2">
        <v>46.04</v>
      </c>
      <c r="F7821" s="2">
        <v>2</v>
      </c>
      <c r="G7821" s="2" t="s">
        <v>14</v>
      </c>
    </row>
    <row r="7822" spans="1:7" x14ac:dyDescent="0.2">
      <c r="A7822" s="2" t="s">
        <v>3380</v>
      </c>
      <c r="B7822" s="2" t="s">
        <v>172</v>
      </c>
      <c r="C7822" s="2">
        <v>738.54719999999998</v>
      </c>
      <c r="D7822" s="2">
        <f>HYPERLINK("http://mcb-m6.bioreg.kyushu-u.ac.jp/M3/20110502/F51162/1892/1", 85.22)</f>
        <v>85.22</v>
      </c>
      <c r="E7822" s="2">
        <v>37.17</v>
      </c>
      <c r="F7822" s="2">
        <v>2</v>
      </c>
      <c r="G7822" s="2" t="s">
        <v>14</v>
      </c>
    </row>
    <row r="7823" spans="1:7" x14ac:dyDescent="0.2">
      <c r="A7823" s="2" t="s">
        <v>3380</v>
      </c>
      <c r="B7823" s="2" t="s">
        <v>172</v>
      </c>
      <c r="C7823" s="2">
        <v>738.45619999999997</v>
      </c>
      <c r="D7823" s="2">
        <f>HYPERLINK("http://mcb-m6.bioreg.kyushu-u.ac.jp/M3/20110428/F51145/2050/1", 85.25)</f>
        <v>85.25</v>
      </c>
      <c r="E7823" s="2">
        <v>33.39</v>
      </c>
      <c r="F7823" s="2">
        <v>2</v>
      </c>
      <c r="G7823" s="2" t="s">
        <v>14</v>
      </c>
    </row>
    <row r="7824" spans="1:7" x14ac:dyDescent="0.2">
      <c r="A7824" s="2" t="s">
        <v>3380</v>
      </c>
      <c r="B7824" s="2" t="s">
        <v>172</v>
      </c>
      <c r="C7824" s="2">
        <v>738.51319999999998</v>
      </c>
      <c r="D7824" s="2">
        <f>HYPERLINK("http://mcb-m6.bioreg.kyushu-u.ac.jp/M3/20110428/F51142/2029/1", 88.89)</f>
        <v>88.89</v>
      </c>
      <c r="E7824" s="2">
        <v>53.12</v>
      </c>
      <c r="F7824" s="2">
        <v>2</v>
      </c>
      <c r="G7824" s="2" t="s">
        <v>14</v>
      </c>
    </row>
    <row r="7825" spans="1:7" x14ac:dyDescent="0.2">
      <c r="A7825" s="2" t="s">
        <v>3274</v>
      </c>
      <c r="B7825" s="2" t="s">
        <v>54</v>
      </c>
      <c r="C7825" s="2">
        <v>692.27809999999999</v>
      </c>
      <c r="D7825" s="2">
        <f>HYPERLINK("http://mcb-m6.bioreg.kyushu-u.ac.jp/M3/20110318/F50619/1287/2", 63.95)</f>
        <v>63.95</v>
      </c>
      <c r="E7825" s="2">
        <v>16.760000000000002</v>
      </c>
      <c r="F7825" s="2">
        <v>2</v>
      </c>
      <c r="G7825" s="2" t="s">
        <v>9</v>
      </c>
    </row>
    <row r="7826" spans="1:7" x14ac:dyDescent="0.2">
      <c r="A7826" s="2" t="s">
        <v>3274</v>
      </c>
      <c r="B7826" s="2" t="s">
        <v>54</v>
      </c>
      <c r="C7826" s="2">
        <v>692.48659999999995</v>
      </c>
      <c r="D7826" s="2">
        <f>HYPERLINK("http://mcb-m6.bioreg.kyushu-u.ac.jp/M3/20110318/F50605/1379/2", 75.36)</f>
        <v>75.36</v>
      </c>
      <c r="E7826" s="2">
        <v>49.13</v>
      </c>
      <c r="F7826" s="2">
        <v>2</v>
      </c>
      <c r="G7826" s="2" t="s">
        <v>9</v>
      </c>
    </row>
    <row r="7827" spans="1:7" x14ac:dyDescent="0.2">
      <c r="A7827" s="2" t="s">
        <v>3274</v>
      </c>
      <c r="B7827" s="2" t="s">
        <v>54</v>
      </c>
      <c r="C7827" s="2">
        <v>692.32709999999997</v>
      </c>
      <c r="D7827" s="2">
        <f>HYPERLINK("http://mcb-m6.bioreg.kyushu-u.ac.jp/M3/20110318/F50618/1386/2", 81.42)</f>
        <v>81.42</v>
      </c>
      <c r="E7827" s="2">
        <v>36.82</v>
      </c>
      <c r="F7827" s="2">
        <v>2</v>
      </c>
      <c r="G7827" s="2" t="s">
        <v>9</v>
      </c>
    </row>
    <row r="7828" spans="1:7" x14ac:dyDescent="0.2">
      <c r="A7828" s="2" t="s">
        <v>3274</v>
      </c>
      <c r="B7828" s="2" t="s">
        <v>54</v>
      </c>
      <c r="C7828" s="2">
        <v>692.33510000000001</v>
      </c>
      <c r="D7828" s="2">
        <f>HYPERLINK("http://mcb-m6.bioreg.kyushu-u.ac.jp/M3/20110318/F50614/1481/2", 50.98)</f>
        <v>50.98</v>
      </c>
      <c r="E7828" s="2">
        <v>2.9</v>
      </c>
      <c r="F7828" s="2">
        <v>2</v>
      </c>
      <c r="G7828" s="2" t="s">
        <v>10</v>
      </c>
    </row>
    <row r="7829" spans="1:7" x14ac:dyDescent="0.2">
      <c r="A7829" s="2" t="s">
        <v>3274</v>
      </c>
      <c r="B7829" s="2" t="s">
        <v>54</v>
      </c>
      <c r="C7829" s="2">
        <v>692.36220000000003</v>
      </c>
      <c r="D7829" s="2">
        <f>HYPERLINK("http://mcb-m6.bioreg.kyushu-u.ac.jp/M3/20110318/F50611/1439/2", 53.78)</f>
        <v>53.78</v>
      </c>
      <c r="E7829" s="2">
        <v>7.41</v>
      </c>
      <c r="F7829" s="2">
        <v>2</v>
      </c>
      <c r="G7829" s="2" t="s">
        <v>10</v>
      </c>
    </row>
    <row r="7830" spans="1:7" x14ac:dyDescent="0.2">
      <c r="A7830" s="2" t="s">
        <v>3274</v>
      </c>
      <c r="B7830" s="2" t="s">
        <v>54</v>
      </c>
      <c r="C7830" s="2">
        <v>692.87459999999999</v>
      </c>
      <c r="D7830" s="2">
        <f>HYPERLINK("http://mcb-m6.bioreg.kyushu-u.ac.jp/M3/20110318/F50615/1347/2", 56.35)</f>
        <v>56.35</v>
      </c>
      <c r="E7830" s="2">
        <v>25.57</v>
      </c>
      <c r="F7830" s="2">
        <v>2</v>
      </c>
      <c r="G7830" s="2" t="s">
        <v>10</v>
      </c>
    </row>
    <row r="7831" spans="1:7" x14ac:dyDescent="0.2">
      <c r="A7831" s="2" t="s">
        <v>3274</v>
      </c>
      <c r="B7831" s="2" t="s">
        <v>54</v>
      </c>
      <c r="C7831" s="2">
        <v>692.65219999999999</v>
      </c>
      <c r="D7831" s="2">
        <f>HYPERLINK("http://mcb-m6.bioreg.kyushu-u.ac.jp/M3/20110318/F50595/1574/2", 62.63)</f>
        <v>62.63</v>
      </c>
      <c r="E7831" s="2">
        <v>37.6</v>
      </c>
      <c r="F7831" s="2">
        <v>2</v>
      </c>
      <c r="G7831" s="2" t="s">
        <v>10</v>
      </c>
    </row>
    <row r="7832" spans="1:7" x14ac:dyDescent="0.2">
      <c r="A7832" s="2" t="s">
        <v>3274</v>
      </c>
      <c r="B7832" s="2" t="s">
        <v>54</v>
      </c>
      <c r="C7832" s="2">
        <v>692.4357</v>
      </c>
      <c r="D7832" s="2">
        <f>HYPERLINK("http://mcb-m6.bioreg.kyushu-u.ac.jp/M3/20110318/F50597/1398/2", 69.15)</f>
        <v>69.150000000000006</v>
      </c>
      <c r="E7832" s="2">
        <v>27.98</v>
      </c>
      <c r="F7832" s="2">
        <v>2</v>
      </c>
      <c r="G7832" s="2" t="s">
        <v>10</v>
      </c>
    </row>
    <row r="7833" spans="1:7" x14ac:dyDescent="0.2">
      <c r="A7833" s="2" t="s">
        <v>3274</v>
      </c>
      <c r="B7833" s="2" t="s">
        <v>54</v>
      </c>
      <c r="C7833" s="2">
        <v>692.32209999999998</v>
      </c>
      <c r="D7833" s="2">
        <f>HYPERLINK("http://mcb-m6.bioreg.kyushu-u.ac.jp/M3/20110318/F50596/1454/2", 69.98)</f>
        <v>69.98</v>
      </c>
      <c r="E7833" s="2">
        <v>43.84</v>
      </c>
      <c r="F7833" s="2">
        <v>2</v>
      </c>
      <c r="G7833" s="2" t="s">
        <v>10</v>
      </c>
    </row>
    <row r="7834" spans="1:7" x14ac:dyDescent="0.2">
      <c r="A7834" s="2" t="s">
        <v>3274</v>
      </c>
      <c r="B7834" s="2" t="s">
        <v>54</v>
      </c>
      <c r="C7834" s="2">
        <v>692.42169999999999</v>
      </c>
      <c r="D7834" s="2">
        <f>HYPERLINK("http://mcb-m6.bioreg.kyushu-u.ac.jp/M3/20110318/F50600/1419/2", 78.51)</f>
        <v>78.510000000000005</v>
      </c>
      <c r="E7834" s="2">
        <v>44.68</v>
      </c>
      <c r="F7834" s="2">
        <v>2</v>
      </c>
      <c r="G7834" s="2" t="s">
        <v>10</v>
      </c>
    </row>
    <row r="7835" spans="1:7" x14ac:dyDescent="0.2">
      <c r="A7835" s="2" t="s">
        <v>3274</v>
      </c>
      <c r="B7835" s="2" t="s">
        <v>118</v>
      </c>
      <c r="C7835" s="2">
        <v>819.97360000000003</v>
      </c>
      <c r="D7835" s="2">
        <f>HYPERLINK("http://mcb-m6.bioreg.kyushu-u.ac.jp/M3/20110418/F50975/2525/1", 43.87)</f>
        <v>43.87</v>
      </c>
      <c r="E7835" s="2">
        <v>32.9</v>
      </c>
      <c r="F7835" s="2">
        <v>2</v>
      </c>
      <c r="G7835" s="2" t="s">
        <v>11</v>
      </c>
    </row>
    <row r="7836" spans="1:7" x14ac:dyDescent="0.2">
      <c r="A7836" s="2" t="s">
        <v>3274</v>
      </c>
      <c r="B7836" s="2" t="s">
        <v>54</v>
      </c>
      <c r="C7836" s="2">
        <v>692.24570000000006</v>
      </c>
      <c r="D7836" s="2">
        <f>HYPERLINK("http://mcb-m6.bioreg.kyushu-u.ac.jp/M3/20110418/F50975/1729/2", 52.37)</f>
        <v>52.37</v>
      </c>
      <c r="E7836" s="2">
        <v>33.35</v>
      </c>
      <c r="F7836" s="2">
        <v>2</v>
      </c>
      <c r="G7836" s="2" t="s">
        <v>11</v>
      </c>
    </row>
    <row r="7837" spans="1:7" x14ac:dyDescent="0.2">
      <c r="A7837" s="2" t="s">
        <v>3274</v>
      </c>
      <c r="B7837" s="2" t="s">
        <v>118</v>
      </c>
      <c r="C7837" s="2">
        <v>819.91110000000003</v>
      </c>
      <c r="D7837" s="2">
        <f>HYPERLINK("http://mcb-m6.bioreg.kyushu-u.ac.jp/M3/20110418/F50977/2578/1", 53.8)</f>
        <v>53.8</v>
      </c>
      <c r="E7837" s="2">
        <v>38.5</v>
      </c>
      <c r="F7837" s="2">
        <v>2</v>
      </c>
      <c r="G7837" s="2" t="s">
        <v>11</v>
      </c>
    </row>
    <row r="7838" spans="1:7" x14ac:dyDescent="0.2">
      <c r="A7838" s="2" t="s">
        <v>3274</v>
      </c>
      <c r="B7838" s="2" t="s">
        <v>118</v>
      </c>
      <c r="C7838" s="2">
        <v>820.38819999999998</v>
      </c>
      <c r="D7838" s="2">
        <f>HYPERLINK("http://mcb-m6.bioreg.kyushu-u.ac.jp/M3/20110418/F50975/2531/1", 62.44)</f>
        <v>62.44</v>
      </c>
      <c r="E7838" s="2">
        <v>51.55</v>
      </c>
      <c r="F7838" s="2">
        <v>2</v>
      </c>
      <c r="G7838" s="2" t="s">
        <v>11</v>
      </c>
    </row>
    <row r="7839" spans="1:7" x14ac:dyDescent="0.2">
      <c r="A7839" s="2" t="s">
        <v>3274</v>
      </c>
      <c r="B7839" s="2" t="s">
        <v>54</v>
      </c>
      <c r="C7839" s="2">
        <v>692.53420000000006</v>
      </c>
      <c r="D7839" s="2">
        <f>HYPERLINK("http://mcb-m6.bioreg.kyushu-u.ac.jp/M3/20110418/F50970/1908/2", 63.47)</f>
        <v>63.47</v>
      </c>
      <c r="E7839" s="2">
        <v>25.72</v>
      </c>
      <c r="F7839" s="2">
        <v>2</v>
      </c>
      <c r="G7839" s="2" t="s">
        <v>11</v>
      </c>
    </row>
    <row r="7840" spans="1:7" x14ac:dyDescent="0.2">
      <c r="A7840" s="2" t="s">
        <v>3274</v>
      </c>
      <c r="B7840" s="2" t="s">
        <v>54</v>
      </c>
      <c r="C7840" s="2">
        <v>692.39919999999995</v>
      </c>
      <c r="D7840" s="2">
        <f>HYPERLINK("http://mcb-m6.bioreg.kyushu-u.ac.jp/M3/20110418/F50969/1957/2", 78.25)</f>
        <v>78.25</v>
      </c>
      <c r="E7840" s="2">
        <v>34.74</v>
      </c>
      <c r="F7840" s="2">
        <v>2</v>
      </c>
      <c r="G7840" s="2" t="s">
        <v>11</v>
      </c>
    </row>
    <row r="7841" spans="1:8" x14ac:dyDescent="0.2">
      <c r="A7841" s="2" t="s">
        <v>3274</v>
      </c>
      <c r="B7841" s="2" t="s">
        <v>54</v>
      </c>
      <c r="C7841" s="2">
        <v>692.15920000000006</v>
      </c>
      <c r="D7841" s="2">
        <f>HYPERLINK("http://mcb-m6.bioreg.kyushu-u.ac.jp/M3/20110418/F50987/1943/2", 41.46)</f>
        <v>41.46</v>
      </c>
      <c r="E7841" s="2">
        <v>26.63</v>
      </c>
      <c r="F7841" s="2">
        <v>2</v>
      </c>
      <c r="G7841" s="2" t="s">
        <v>12</v>
      </c>
    </row>
    <row r="7842" spans="1:8" x14ac:dyDescent="0.2">
      <c r="A7842" s="2" t="s">
        <v>3274</v>
      </c>
      <c r="B7842" s="2" t="s">
        <v>54</v>
      </c>
      <c r="C7842" s="2">
        <v>692.33420000000001</v>
      </c>
      <c r="D7842" s="2">
        <f>HYPERLINK("http://mcb-m6.bioreg.kyushu-u.ac.jp/M3/20110418/F50997/1807/2", 66.08)</f>
        <v>66.08</v>
      </c>
      <c r="E7842" s="2">
        <v>38.4</v>
      </c>
      <c r="F7842" s="2">
        <v>2</v>
      </c>
      <c r="G7842" s="2" t="s">
        <v>12</v>
      </c>
    </row>
    <row r="7843" spans="1:8" x14ac:dyDescent="0.2">
      <c r="A7843" s="2" t="s">
        <v>3274</v>
      </c>
      <c r="B7843" s="2" t="s">
        <v>54</v>
      </c>
      <c r="C7843" s="2">
        <v>692.41269999999997</v>
      </c>
      <c r="D7843" s="2">
        <f>HYPERLINK("http://mcb-m6.bioreg.kyushu-u.ac.jp/M3/20110429/F51156/1748/1", 47.75)</f>
        <v>47.75</v>
      </c>
      <c r="E7843" s="2">
        <v>1.2</v>
      </c>
      <c r="F7843" s="2">
        <v>2</v>
      </c>
      <c r="G7843" s="2" t="s">
        <v>13</v>
      </c>
    </row>
    <row r="7844" spans="1:8" x14ac:dyDescent="0.2">
      <c r="A7844" s="2" t="s">
        <v>3274</v>
      </c>
      <c r="B7844" s="2" t="s">
        <v>54</v>
      </c>
      <c r="C7844" s="2">
        <v>692.15920000000006</v>
      </c>
      <c r="D7844" s="2">
        <f>HYPERLINK("http://mcb-m6.bioreg.kyushu-u.ac.jp/M3/20110429/F51152/1686/2", 62.72)</f>
        <v>62.72</v>
      </c>
      <c r="E7844" s="2">
        <v>46.71</v>
      </c>
      <c r="F7844" s="2">
        <v>2</v>
      </c>
      <c r="G7844" s="2" t="s">
        <v>13</v>
      </c>
    </row>
    <row r="7845" spans="1:8" x14ac:dyDescent="0.2">
      <c r="A7845" s="2" t="s">
        <v>3274</v>
      </c>
      <c r="B7845" s="2" t="s">
        <v>54</v>
      </c>
      <c r="C7845" s="2">
        <v>692.3152</v>
      </c>
      <c r="D7845" s="2">
        <f>HYPERLINK("http://mcb-m6.bioreg.kyushu-u.ac.jp/M3/20110429/F51157/1520/2", 72.12)</f>
        <v>72.12</v>
      </c>
      <c r="E7845" s="2">
        <v>43.42</v>
      </c>
      <c r="F7845" s="2">
        <v>2</v>
      </c>
      <c r="G7845" s="2" t="s">
        <v>13</v>
      </c>
    </row>
    <row r="7846" spans="1:8" x14ac:dyDescent="0.2">
      <c r="A7846" s="2" t="s">
        <v>3274</v>
      </c>
      <c r="B7846" s="2" t="s">
        <v>118</v>
      </c>
      <c r="C7846" s="2">
        <v>820.09469999999999</v>
      </c>
      <c r="D7846" s="2">
        <f>HYPERLINK("http://mcb-m6.bioreg.kyushu-u.ac.jp/M3/20110428/F51140/2392/1", 46.03)</f>
        <v>46.03</v>
      </c>
      <c r="E7846" s="2">
        <v>28.05</v>
      </c>
      <c r="F7846" s="2">
        <v>2</v>
      </c>
      <c r="G7846" s="2" t="s">
        <v>14</v>
      </c>
    </row>
    <row r="7847" spans="1:8" x14ac:dyDescent="0.2">
      <c r="A7847" s="2" t="s">
        <v>3274</v>
      </c>
      <c r="B7847" s="2" t="s">
        <v>54</v>
      </c>
      <c r="C7847" s="2">
        <v>692.72770000000003</v>
      </c>
      <c r="D7847" s="2">
        <f>HYPERLINK("http://mcb-m6.bioreg.kyushu-u.ac.jp/M3/20110428/F51145/1874/2", 46.52)</f>
        <v>46.52</v>
      </c>
      <c r="E7847" s="2">
        <v>8.01</v>
      </c>
      <c r="F7847" s="2">
        <v>2</v>
      </c>
      <c r="G7847" s="2" t="s">
        <v>14</v>
      </c>
    </row>
    <row r="7848" spans="1:8" x14ac:dyDescent="0.2">
      <c r="A7848" s="2" t="s">
        <v>3274</v>
      </c>
      <c r="B7848" s="2" t="s">
        <v>54</v>
      </c>
      <c r="C7848" s="2">
        <v>692.48659999999995</v>
      </c>
      <c r="D7848" s="2">
        <f>HYPERLINK("http://mcb-m6.bioreg.kyushu-u.ac.jp/M3/20110502/F51162/1660/2", 50.05)</f>
        <v>50.05</v>
      </c>
      <c r="E7848" s="2">
        <v>30.47</v>
      </c>
      <c r="F7848" s="2">
        <v>2</v>
      </c>
      <c r="G7848" s="2" t="s">
        <v>14</v>
      </c>
    </row>
    <row r="7849" spans="1:8" x14ac:dyDescent="0.2">
      <c r="A7849" s="2" t="s">
        <v>3274</v>
      </c>
      <c r="B7849" s="2" t="s">
        <v>54</v>
      </c>
      <c r="C7849" s="2">
        <v>692.38019999999995</v>
      </c>
      <c r="D7849" s="2">
        <f>HYPERLINK("http://mcb-m6.bioreg.kyushu-u.ac.jp/M3/20110502/F51161/1672/2", 67.89)</f>
        <v>67.89</v>
      </c>
      <c r="E7849" s="2">
        <v>31.6</v>
      </c>
      <c r="F7849" s="2">
        <v>2</v>
      </c>
      <c r="G7849" s="2" t="s">
        <v>14</v>
      </c>
    </row>
    <row r="7850" spans="1:8" x14ac:dyDescent="0.2">
      <c r="A7850" s="2" t="s">
        <v>3274</v>
      </c>
      <c r="B7850" s="2" t="s">
        <v>54</v>
      </c>
      <c r="C7850" s="2">
        <v>692.29060000000004</v>
      </c>
      <c r="D7850" s="2">
        <f>HYPERLINK("http://mcb-m6.bioreg.kyushu-u.ac.jp/M3/20110428/F51140/1700/2", 81.86)</f>
        <v>81.86</v>
      </c>
      <c r="E7850" s="2">
        <v>50.03</v>
      </c>
      <c r="F7850" s="2">
        <v>2</v>
      </c>
      <c r="G7850" s="2" t="s">
        <v>14</v>
      </c>
    </row>
    <row r="7851" spans="1:8" x14ac:dyDescent="0.2">
      <c r="A7851" s="2" t="s">
        <v>5634</v>
      </c>
      <c r="B7851" s="2" t="s">
        <v>5057</v>
      </c>
      <c r="C7851" s="2">
        <v>498.99360000000001</v>
      </c>
      <c r="D7851" s="2">
        <f>HYPERLINK("http://mcb-m6.bioreg.kyushu-u.ac.jp/M3/20110318/F50605/898/1", 43.8)</f>
        <v>43.8</v>
      </c>
      <c r="E7851" s="2">
        <v>16.3</v>
      </c>
      <c r="F7851" s="2">
        <v>2</v>
      </c>
      <c r="G7851" s="2" t="s">
        <v>9</v>
      </c>
      <c r="H7851" s="2" t="s">
        <v>4915</v>
      </c>
    </row>
    <row r="7852" spans="1:8" x14ac:dyDescent="0.2">
      <c r="A7852" s="2" t="s">
        <v>3967</v>
      </c>
      <c r="B7852" s="2" t="s">
        <v>1944</v>
      </c>
      <c r="C7852" s="2">
        <v>606.5607</v>
      </c>
      <c r="D7852" s="2">
        <f>HYPERLINK("http://mcb-m6.bioreg.kyushu-u.ac.jp/M3/20110318/F50596/1256/1", 42.7)</f>
        <v>42.7</v>
      </c>
      <c r="E7852" s="2">
        <v>30.48</v>
      </c>
      <c r="F7852" s="2">
        <v>2</v>
      </c>
      <c r="G7852" s="2" t="s">
        <v>10</v>
      </c>
    </row>
    <row r="7853" spans="1:8" x14ac:dyDescent="0.2">
      <c r="A7853" s="2" t="s">
        <v>3967</v>
      </c>
      <c r="B7853" s="2" t="s">
        <v>5263</v>
      </c>
      <c r="C7853" s="2">
        <v>566.81269999999995</v>
      </c>
      <c r="D7853" s="2">
        <f>HYPERLINK("http://mcb-m6.bioreg.kyushu-u.ac.jp/M3/20110318/F50596/1166/1", 43.73)</f>
        <v>43.73</v>
      </c>
      <c r="E7853" s="2">
        <v>28.82</v>
      </c>
      <c r="F7853" s="2">
        <v>2</v>
      </c>
      <c r="G7853" s="2" t="s">
        <v>10</v>
      </c>
    </row>
    <row r="7854" spans="1:8" x14ac:dyDescent="0.2">
      <c r="A7854" s="2" t="s">
        <v>3967</v>
      </c>
      <c r="B7854" s="2" t="s">
        <v>2303</v>
      </c>
      <c r="C7854" s="2">
        <v>565.53219999999999</v>
      </c>
      <c r="D7854" s="2">
        <f>HYPERLINK("http://mcb-m6.bioreg.kyushu-u.ac.jp/M3/20110318/F50596/1162/1", 57.05)</f>
        <v>57.05</v>
      </c>
      <c r="E7854" s="2">
        <v>32.08</v>
      </c>
      <c r="F7854" s="2">
        <v>2</v>
      </c>
      <c r="G7854" s="2" t="s">
        <v>10</v>
      </c>
    </row>
    <row r="7855" spans="1:8" x14ac:dyDescent="0.2">
      <c r="A7855" s="2" t="s">
        <v>3967</v>
      </c>
      <c r="B7855" s="2" t="s">
        <v>1198</v>
      </c>
      <c r="C7855" s="2">
        <v>657.82709999999997</v>
      </c>
      <c r="D7855" s="2">
        <f>HYPERLINK("http://mcb-m6.bioreg.kyushu-u.ac.jp/M3/20110318/F50596/1366/1", 67.06)</f>
        <v>67.06</v>
      </c>
      <c r="E7855" s="2">
        <v>50.42</v>
      </c>
      <c r="F7855" s="2">
        <v>2</v>
      </c>
      <c r="G7855" s="2" t="s">
        <v>10</v>
      </c>
    </row>
    <row r="7856" spans="1:8" x14ac:dyDescent="0.2">
      <c r="A7856" s="2" t="s">
        <v>3967</v>
      </c>
      <c r="B7856" s="2" t="s">
        <v>1944</v>
      </c>
      <c r="C7856" s="2">
        <v>606.77419999999995</v>
      </c>
      <c r="D7856" s="2">
        <f>HYPERLINK("http://mcb-m6.bioreg.kyushu-u.ac.jp/M3/20110418/F50988/1692/1", 36.41)</f>
        <v>36.409999999999997</v>
      </c>
      <c r="E7856" s="2">
        <v>16.149999999999999</v>
      </c>
      <c r="F7856" s="2">
        <v>2</v>
      </c>
      <c r="G7856" s="2" t="s">
        <v>12</v>
      </c>
    </row>
    <row r="7857" spans="1:9" x14ac:dyDescent="0.2">
      <c r="A7857" s="2" t="s">
        <v>3967</v>
      </c>
      <c r="B7857" s="2" t="s">
        <v>1198</v>
      </c>
      <c r="C7857" s="2">
        <v>658.21969999999999</v>
      </c>
      <c r="D7857" s="2">
        <f>HYPERLINK("http://mcb-m6.bioreg.kyushu-u.ac.jp/M3/20110418/F50988/1816/1", 66.93)</f>
        <v>66.930000000000007</v>
      </c>
      <c r="E7857" s="2">
        <v>51.85</v>
      </c>
      <c r="F7857" s="2">
        <v>2</v>
      </c>
      <c r="G7857" s="2" t="s">
        <v>12</v>
      </c>
    </row>
    <row r="7858" spans="1:9" x14ac:dyDescent="0.2">
      <c r="A7858" s="2" t="s">
        <v>5773</v>
      </c>
      <c r="B7858" s="2" t="s">
        <v>5408</v>
      </c>
      <c r="C7858" s="2">
        <v>733.3827</v>
      </c>
      <c r="D7858" s="2">
        <f>HYPERLINK("http://mcb-m6.bioreg.kyushu-u.ac.jp/M3/20110418/F50975/1994/1", 56)</f>
        <v>56</v>
      </c>
      <c r="E7858" s="2">
        <v>30.76</v>
      </c>
      <c r="F7858" s="2">
        <v>2</v>
      </c>
      <c r="G7858" s="2" t="s">
        <v>11</v>
      </c>
    </row>
    <row r="7859" spans="1:9" x14ac:dyDescent="0.2">
      <c r="A7859" s="2" t="s">
        <v>5769</v>
      </c>
      <c r="B7859" s="2" t="s">
        <v>5397</v>
      </c>
      <c r="C7859" s="2">
        <v>784.27560000000005</v>
      </c>
      <c r="D7859" s="2">
        <f>HYPERLINK("http://mcb-m6.bioreg.kyushu-u.ac.jp/M3/20110418/F50973/2300/1", 46.24)</f>
        <v>46.24</v>
      </c>
      <c r="E7859" s="2">
        <v>27.2</v>
      </c>
      <c r="F7859" s="2">
        <v>2</v>
      </c>
      <c r="G7859" s="2" t="s">
        <v>11</v>
      </c>
    </row>
    <row r="7860" spans="1:9" x14ac:dyDescent="0.2">
      <c r="A7860" s="2" t="s">
        <v>5875</v>
      </c>
      <c r="B7860" s="2" t="s">
        <v>5574</v>
      </c>
      <c r="C7860" s="2">
        <v>458.39460000000003</v>
      </c>
      <c r="D7860" s="2">
        <f>HYPERLINK("http://mcb-m6.bioreg.kyushu-u.ac.jp/M3/20110502/F51159/787/1", 38.92)</f>
        <v>38.92</v>
      </c>
      <c r="E7860" s="2">
        <v>11.32</v>
      </c>
      <c r="F7860" s="2">
        <v>2</v>
      </c>
      <c r="G7860" s="2" t="s">
        <v>14</v>
      </c>
    </row>
    <row r="7861" spans="1:9" x14ac:dyDescent="0.2">
      <c r="A7861" s="2" t="s">
        <v>3555</v>
      </c>
      <c r="B7861" s="2" t="s">
        <v>5059</v>
      </c>
      <c r="C7861" s="2">
        <v>675.71749999999997</v>
      </c>
      <c r="D7861" s="2">
        <f>HYPERLINK("http://mcb-m6.bioreg.kyushu-u.ac.jp/M3/20110318/F50621/2209/1", 44.09)</f>
        <v>44.09</v>
      </c>
      <c r="E7861" s="2">
        <v>21.16</v>
      </c>
      <c r="F7861" s="2">
        <v>3</v>
      </c>
      <c r="G7861" s="2" t="s">
        <v>9</v>
      </c>
      <c r="I7861" s="2" t="s">
        <v>4941</v>
      </c>
    </row>
    <row r="7862" spans="1:9" x14ac:dyDescent="0.2">
      <c r="A7862" s="2" t="s">
        <v>3555</v>
      </c>
      <c r="B7862" s="2" t="s">
        <v>412</v>
      </c>
      <c r="C7862" s="2">
        <v>621.25319999999999</v>
      </c>
      <c r="D7862" s="2">
        <f>HYPERLINK("http://mcb-m6.bioreg.kyushu-u.ac.jp/M3/20110318/F50621/1216/1", 63.73)</f>
        <v>63.73</v>
      </c>
      <c r="E7862" s="2">
        <v>38.68</v>
      </c>
      <c r="F7862" s="2">
        <v>2</v>
      </c>
      <c r="G7862" s="2" t="s">
        <v>9</v>
      </c>
      <c r="I7862" s="2" t="s">
        <v>4903</v>
      </c>
    </row>
    <row r="7863" spans="1:9" x14ac:dyDescent="0.2">
      <c r="A7863" s="2" t="s">
        <v>3555</v>
      </c>
      <c r="B7863" s="2" t="s">
        <v>412</v>
      </c>
      <c r="C7863" s="2">
        <v>621.2106</v>
      </c>
      <c r="D7863" s="2">
        <f>HYPERLINK("http://mcb-m6.bioreg.kyushu-u.ac.jp/M3/20110318/F50617/1224/1", 74.14)</f>
        <v>74.14</v>
      </c>
      <c r="E7863" s="2">
        <v>33.68</v>
      </c>
      <c r="F7863" s="2">
        <v>2</v>
      </c>
      <c r="G7863" s="2" t="s">
        <v>10</v>
      </c>
      <c r="I7863" s="2" t="s">
        <v>4903</v>
      </c>
    </row>
    <row r="7864" spans="1:9" x14ac:dyDescent="0.2">
      <c r="A7864" s="2" t="s">
        <v>3555</v>
      </c>
      <c r="B7864" s="2" t="s">
        <v>412</v>
      </c>
      <c r="C7864" s="2">
        <v>621.13760000000002</v>
      </c>
      <c r="D7864" s="2">
        <f>HYPERLINK("http://mcb-m6.bioreg.kyushu-u.ac.jp/M3/20110418/F50972/1822/1", 47.68)</f>
        <v>47.68</v>
      </c>
      <c r="E7864" s="2">
        <v>23.32</v>
      </c>
      <c r="F7864" s="2">
        <v>2</v>
      </c>
      <c r="G7864" s="2" t="s">
        <v>11</v>
      </c>
      <c r="I7864" s="2" t="s">
        <v>4903</v>
      </c>
    </row>
    <row r="7865" spans="1:9" x14ac:dyDescent="0.2">
      <c r="A7865" s="2" t="s">
        <v>5790</v>
      </c>
      <c r="B7865" s="2" t="s">
        <v>5440</v>
      </c>
      <c r="C7865" s="2">
        <v>488.93759999999997</v>
      </c>
      <c r="D7865" s="2">
        <f>HYPERLINK("http://mcb-m6.bioreg.kyushu-u.ac.jp/M3/20110418/F51002/1357/1", 42.25)</f>
        <v>42.25</v>
      </c>
      <c r="E7865" s="2">
        <v>12.53</v>
      </c>
      <c r="F7865" s="2">
        <v>2</v>
      </c>
      <c r="G7865" s="2" t="s">
        <v>12</v>
      </c>
    </row>
    <row r="7866" spans="1:9" x14ac:dyDescent="0.2">
      <c r="A7866" s="2" t="s">
        <v>5605</v>
      </c>
      <c r="B7866" s="2" t="s">
        <v>4996</v>
      </c>
      <c r="C7866" s="2">
        <v>668.0616</v>
      </c>
      <c r="D7866" s="2">
        <f>HYPERLINK("http://mcb-m6.bioreg.kyushu-u.ac.jp/M3/20110318/F50604/1376/1", 36.19)</f>
        <v>36.19</v>
      </c>
      <c r="E7866" s="2">
        <v>24.72</v>
      </c>
      <c r="F7866" s="2">
        <v>2</v>
      </c>
      <c r="G7866" s="2" t="s">
        <v>9</v>
      </c>
    </row>
    <row r="7867" spans="1:9" x14ac:dyDescent="0.2">
      <c r="A7867" s="2" t="s">
        <v>5605</v>
      </c>
      <c r="B7867" s="2" t="s">
        <v>5010</v>
      </c>
      <c r="C7867" s="2">
        <v>581.00120000000004</v>
      </c>
      <c r="D7867" s="2">
        <f>HYPERLINK("http://mcb-m6.bioreg.kyushu-u.ac.jp/M3/20110318/F50604/1221/1", 37.89)</f>
        <v>37.89</v>
      </c>
      <c r="E7867" s="2">
        <v>15.89</v>
      </c>
      <c r="F7867" s="2">
        <v>2</v>
      </c>
      <c r="G7867" s="2" t="s">
        <v>9</v>
      </c>
    </row>
    <row r="7868" spans="1:9" x14ac:dyDescent="0.2">
      <c r="A7868" s="2" t="s">
        <v>5828</v>
      </c>
      <c r="B7868" s="2" t="s">
        <v>5510</v>
      </c>
      <c r="C7868" s="2">
        <v>548.89469999999994</v>
      </c>
      <c r="D7868" s="2">
        <f>HYPERLINK("http://mcb-m6.bioreg.kyushu-u.ac.jp/M3/20110429/F51155/1420/1", 44.52)</f>
        <v>44.52</v>
      </c>
      <c r="E7868" s="2">
        <v>25.32</v>
      </c>
      <c r="F7868" s="2">
        <v>2</v>
      </c>
      <c r="G7868" s="2" t="s">
        <v>13</v>
      </c>
    </row>
    <row r="7869" spans="1:9" x14ac:dyDescent="0.2">
      <c r="A7869" s="2" t="s">
        <v>5608</v>
      </c>
      <c r="B7869" s="2" t="s">
        <v>5002</v>
      </c>
      <c r="C7869" s="2">
        <v>515.96010000000001</v>
      </c>
      <c r="D7869" s="2">
        <f>HYPERLINK("http://mcb-m6.bioreg.kyushu-u.ac.jp/M3/20110318/F50605/957/1", 36.63)</f>
        <v>36.630000000000003</v>
      </c>
      <c r="E7869" s="2">
        <v>9.91</v>
      </c>
      <c r="F7869" s="2">
        <v>2</v>
      </c>
      <c r="G7869" s="2" t="s">
        <v>9</v>
      </c>
    </row>
    <row r="7870" spans="1:9" x14ac:dyDescent="0.2">
      <c r="A7870" s="2" t="s">
        <v>5608</v>
      </c>
      <c r="B7870" s="2" t="s">
        <v>5007</v>
      </c>
      <c r="C7870" s="2">
        <v>506.62360000000001</v>
      </c>
      <c r="D7870" s="2">
        <f>HYPERLINK("http://mcb-m6.bioreg.kyushu-u.ac.jp/M3/20110318/F50605/929/1", 37.79)</f>
        <v>37.79</v>
      </c>
      <c r="E7870" s="2">
        <v>21.84</v>
      </c>
      <c r="F7870" s="2">
        <v>2</v>
      </c>
      <c r="G7870" s="2" t="s">
        <v>9</v>
      </c>
    </row>
    <row r="7871" spans="1:9" x14ac:dyDescent="0.2">
      <c r="A7871" s="2" t="s">
        <v>5608</v>
      </c>
      <c r="B7871" s="2" t="s">
        <v>5129</v>
      </c>
      <c r="C7871" s="2">
        <v>584.98659999999995</v>
      </c>
      <c r="D7871" s="2">
        <f>HYPERLINK("http://mcb-m6.bioreg.kyushu-u.ac.jp/M3/20110318/F50605/1144/1", 63.7)</f>
        <v>63.7</v>
      </c>
      <c r="E7871" s="2">
        <v>44.87</v>
      </c>
      <c r="F7871" s="2">
        <v>2</v>
      </c>
      <c r="G7871" s="2" t="s">
        <v>9</v>
      </c>
    </row>
    <row r="7872" spans="1:9" x14ac:dyDescent="0.2">
      <c r="A7872" s="2" t="s">
        <v>5608</v>
      </c>
      <c r="B7872" s="2" t="s">
        <v>5132</v>
      </c>
      <c r="C7872" s="2">
        <v>1007.466</v>
      </c>
      <c r="D7872" s="2">
        <f>HYPERLINK("http://mcb-m6.bioreg.kyushu-u.ac.jp/M3/20110318/F50605/2455/1", 64.32)</f>
        <v>64.319999999999993</v>
      </c>
      <c r="E7872" s="2">
        <v>43.88</v>
      </c>
      <c r="F7872" s="2">
        <v>2</v>
      </c>
      <c r="G7872" s="2" t="s">
        <v>9</v>
      </c>
    </row>
    <row r="7873" spans="1:8" x14ac:dyDescent="0.2">
      <c r="A7873" s="2" t="s">
        <v>5608</v>
      </c>
      <c r="B7873" s="2" t="s">
        <v>5129</v>
      </c>
      <c r="C7873" s="2">
        <v>592.9932</v>
      </c>
      <c r="D7873" s="2">
        <f>HYPERLINK("http://mcb-m6.bioreg.kyushu-u.ac.jp/M3/20110318/F50605/1158/1", 69.93)</f>
        <v>69.930000000000007</v>
      </c>
      <c r="E7873" s="2">
        <v>49.11</v>
      </c>
      <c r="F7873" s="2">
        <v>2</v>
      </c>
      <c r="G7873" s="2" t="s">
        <v>9</v>
      </c>
      <c r="H7873" s="2" t="s">
        <v>4908</v>
      </c>
    </row>
    <row r="7874" spans="1:8" x14ac:dyDescent="0.2">
      <c r="A7874" s="2" t="s">
        <v>5608</v>
      </c>
      <c r="B7874" s="2" t="s">
        <v>5178</v>
      </c>
      <c r="C7874" s="2">
        <v>1050.2639999999999</v>
      </c>
      <c r="D7874" s="2">
        <f>HYPERLINK("http://mcb-m6.bioreg.kyushu-u.ac.jp/M3/20110318/F50605/2548/1", 82.74)</f>
        <v>82.74</v>
      </c>
      <c r="E7874" s="2">
        <v>61.55</v>
      </c>
      <c r="F7874" s="2">
        <v>2</v>
      </c>
      <c r="G7874" s="2" t="s">
        <v>9</v>
      </c>
    </row>
    <row r="7875" spans="1:8" x14ac:dyDescent="0.2">
      <c r="A7875" s="2" t="s">
        <v>5608</v>
      </c>
      <c r="B7875" s="2" t="s">
        <v>5132</v>
      </c>
      <c r="C7875" s="2">
        <v>1007.992</v>
      </c>
      <c r="D7875" s="2">
        <f>HYPERLINK("http://mcb-m6.bioreg.kyushu-u.ac.jp/M3/20110318/F50605/2457/1", 92.8)</f>
        <v>92.8</v>
      </c>
      <c r="E7875" s="2">
        <v>70.08</v>
      </c>
      <c r="F7875" s="2">
        <v>2</v>
      </c>
      <c r="G7875" s="2" t="s">
        <v>9</v>
      </c>
    </row>
    <row r="7876" spans="1:8" x14ac:dyDescent="0.2">
      <c r="A7876" s="2" t="s">
        <v>5608</v>
      </c>
      <c r="B7876" s="2" t="s">
        <v>5202</v>
      </c>
      <c r="C7876" s="2">
        <v>1136.213</v>
      </c>
      <c r="D7876" s="2">
        <f>HYPERLINK("http://mcb-m6.bioreg.kyushu-u.ac.jp/M3/20110318/F50605/2787/1", 116.05)</f>
        <v>116.05</v>
      </c>
      <c r="E7876" s="2">
        <v>105.97</v>
      </c>
      <c r="F7876" s="2">
        <v>2</v>
      </c>
      <c r="G7876" s="2" t="s">
        <v>9</v>
      </c>
    </row>
    <row r="7877" spans="1:8" x14ac:dyDescent="0.2">
      <c r="A7877" s="2" t="s">
        <v>5608</v>
      </c>
      <c r="B7877" s="2" t="s">
        <v>5340</v>
      </c>
      <c r="C7877" s="2">
        <v>842.94169999999997</v>
      </c>
      <c r="D7877" s="2">
        <f>HYPERLINK("http://mcb-m6.bioreg.kyushu-u.ac.jp/M3/20110318/F50613/2099/1", 73.37)</f>
        <v>73.37</v>
      </c>
      <c r="E7877" s="2">
        <v>35.299999999999997</v>
      </c>
      <c r="F7877" s="2">
        <v>2</v>
      </c>
      <c r="G7877" s="2" t="s">
        <v>10</v>
      </c>
    </row>
    <row r="7878" spans="1:8" x14ac:dyDescent="0.2">
      <c r="A7878" s="2" t="s">
        <v>5608</v>
      </c>
      <c r="B7878" s="2" t="s">
        <v>5340</v>
      </c>
      <c r="C7878" s="2">
        <v>843.01819999999998</v>
      </c>
      <c r="D7878" s="2">
        <f>HYPERLINK("http://mcb-m6.bioreg.kyushu-u.ac.jp/M3/20110418/F50976/2621/1", 84.45)</f>
        <v>84.45</v>
      </c>
      <c r="E7878" s="2">
        <v>60.26</v>
      </c>
      <c r="F7878" s="2">
        <v>2</v>
      </c>
      <c r="G7878" s="2" t="s">
        <v>11</v>
      </c>
    </row>
    <row r="7879" spans="1:8" x14ac:dyDescent="0.2">
      <c r="A7879" s="2" t="s">
        <v>5608</v>
      </c>
      <c r="B7879" s="2" t="s">
        <v>5340</v>
      </c>
      <c r="C7879" s="2">
        <v>843.22720000000004</v>
      </c>
      <c r="D7879" s="2">
        <f>HYPERLINK("http://mcb-m6.bioreg.kyushu-u.ac.jp/M3/20110429/F51154/2580/1", 35.72)</f>
        <v>35.72</v>
      </c>
      <c r="E7879" s="2">
        <v>24.58</v>
      </c>
      <c r="F7879" s="2">
        <v>2</v>
      </c>
      <c r="G7879" s="2" t="s">
        <v>13</v>
      </c>
    </row>
    <row r="7880" spans="1:8" x14ac:dyDescent="0.2">
      <c r="A7880" s="2" t="s">
        <v>5608</v>
      </c>
      <c r="B7880" s="2" t="s">
        <v>5340</v>
      </c>
      <c r="C7880" s="2">
        <v>843.41920000000005</v>
      </c>
      <c r="D7880" s="2">
        <f>HYPERLINK("http://mcb-m6.bioreg.kyushu-u.ac.jp/M3/20110429/F51153/2741/1", 80.1)</f>
        <v>80.099999999999994</v>
      </c>
      <c r="E7880" s="2">
        <v>63.68</v>
      </c>
      <c r="F7880" s="2">
        <v>2</v>
      </c>
      <c r="G7880" s="2" t="s">
        <v>13</v>
      </c>
    </row>
    <row r="7881" spans="1:8" x14ac:dyDescent="0.2">
      <c r="A7881" s="2" t="s">
        <v>5608</v>
      </c>
      <c r="B7881" s="2" t="s">
        <v>5340</v>
      </c>
      <c r="C7881" s="2">
        <v>842.79610000000002</v>
      </c>
      <c r="D7881" s="2">
        <f>HYPERLINK("http://mcb-m6.bioreg.kyushu-u.ac.jp/M3/20110429/F51153/2740/1", 87.53)</f>
        <v>87.53</v>
      </c>
      <c r="E7881" s="2">
        <v>51.11</v>
      </c>
      <c r="F7881" s="2">
        <v>2</v>
      </c>
      <c r="G7881" s="2" t="s">
        <v>13</v>
      </c>
    </row>
    <row r="7882" spans="1:8" x14ac:dyDescent="0.2">
      <c r="A7882" s="2" t="s">
        <v>5608</v>
      </c>
      <c r="B7882" s="2" t="s">
        <v>5132</v>
      </c>
      <c r="C7882" s="2">
        <v>1007.4349999999999</v>
      </c>
      <c r="D7882" s="2">
        <f>HYPERLINK("http://mcb-m6.bioreg.kyushu-u.ac.jp/M3/20110429/F51153/3524/1", 103.34)</f>
        <v>103.34</v>
      </c>
      <c r="E7882" s="2">
        <v>62.51</v>
      </c>
      <c r="F7882" s="2">
        <v>2</v>
      </c>
      <c r="G7882" s="2" t="s">
        <v>13</v>
      </c>
    </row>
    <row r="7883" spans="1:8" x14ac:dyDescent="0.2">
      <c r="A7883" s="2" t="s">
        <v>5854</v>
      </c>
      <c r="B7883" s="2" t="s">
        <v>5549</v>
      </c>
      <c r="C7883" s="2">
        <v>694.73360000000002</v>
      </c>
      <c r="D7883" s="2">
        <f>HYPERLINK("http://mcb-m6.bioreg.kyushu-u.ac.jp/M3/20110429/F51153/1653/1", 69.04)</f>
        <v>69.040000000000006</v>
      </c>
      <c r="E7883" s="2">
        <v>59.61</v>
      </c>
      <c r="F7883" s="2">
        <v>2</v>
      </c>
      <c r="G7883" s="2" t="s">
        <v>13</v>
      </c>
    </row>
    <row r="7884" spans="1:8" x14ac:dyDescent="0.2">
      <c r="A7884" s="2" t="s">
        <v>5854</v>
      </c>
      <c r="B7884" s="2" t="s">
        <v>5549</v>
      </c>
      <c r="C7884" s="2">
        <v>694.88710000000003</v>
      </c>
      <c r="D7884" s="2">
        <f>HYPERLINK("http://mcb-m6.bioreg.kyushu-u.ac.jp/M3/20110428/F51142/1793/1", 49.5)</f>
        <v>49.5</v>
      </c>
      <c r="E7884" s="2">
        <v>34.380000000000003</v>
      </c>
      <c r="F7884" s="2">
        <v>2</v>
      </c>
      <c r="G7884" s="2" t="s">
        <v>14</v>
      </c>
    </row>
    <row r="7885" spans="1:8" x14ac:dyDescent="0.2">
      <c r="A7885" s="2" t="s">
        <v>3878</v>
      </c>
      <c r="B7885" s="2" t="s">
        <v>1010</v>
      </c>
      <c r="C7885" s="2">
        <v>588.83320000000003</v>
      </c>
      <c r="D7885" s="2">
        <f>HYPERLINK("http://mcb-m6.bioreg.kyushu-u.ac.jp/M3/20110318/F50621/1183/1", 55.53)</f>
        <v>55.53</v>
      </c>
      <c r="E7885" s="2">
        <v>17.03</v>
      </c>
      <c r="F7885" s="2">
        <v>2</v>
      </c>
      <c r="G7885" s="2" t="s">
        <v>9</v>
      </c>
    </row>
    <row r="7886" spans="1:8" x14ac:dyDescent="0.2">
      <c r="A7886" s="2" t="s">
        <v>3878</v>
      </c>
      <c r="B7886" s="2" t="s">
        <v>1010</v>
      </c>
      <c r="C7886" s="2">
        <v>588.32669999999996</v>
      </c>
      <c r="D7886" s="2">
        <f>HYPERLINK("http://mcb-m6.bioreg.kyushu-u.ac.jp/M3/20110318/F50621/1182/1", 60.41)</f>
        <v>60.41</v>
      </c>
      <c r="E7886" s="2">
        <v>10.83</v>
      </c>
      <c r="F7886" s="2">
        <v>2</v>
      </c>
      <c r="G7886" s="2" t="s">
        <v>9</v>
      </c>
    </row>
    <row r="7887" spans="1:8" x14ac:dyDescent="0.2">
      <c r="A7887" s="2" t="s">
        <v>3878</v>
      </c>
      <c r="B7887" s="2" t="s">
        <v>1010</v>
      </c>
      <c r="C7887" s="2">
        <v>588.57619999999997</v>
      </c>
      <c r="D7887" s="2">
        <f>HYPERLINK("http://mcb-m6.bioreg.kyushu-u.ac.jp/M3/20110318/F50604/1239/1", 66.73)</f>
        <v>66.73</v>
      </c>
      <c r="E7887" s="2">
        <v>34.15</v>
      </c>
      <c r="F7887" s="2">
        <v>2</v>
      </c>
      <c r="G7887" s="2" t="s">
        <v>9</v>
      </c>
    </row>
    <row r="7888" spans="1:8" x14ac:dyDescent="0.2">
      <c r="A7888" s="2" t="s">
        <v>3878</v>
      </c>
      <c r="B7888" s="2" t="s">
        <v>1010</v>
      </c>
      <c r="C7888" s="2">
        <v>588.78420000000006</v>
      </c>
      <c r="D7888" s="2">
        <f>HYPERLINK("http://mcb-m6.bioreg.kyushu-u.ac.jp/M3/20110318/F50622/1082/1", 44.09)</f>
        <v>44.09</v>
      </c>
      <c r="E7888" s="2">
        <v>10.93</v>
      </c>
      <c r="F7888" s="2">
        <v>2</v>
      </c>
      <c r="G7888" s="2" t="s">
        <v>10</v>
      </c>
    </row>
    <row r="7889" spans="1:9" x14ac:dyDescent="0.2">
      <c r="A7889" s="2" t="s">
        <v>3878</v>
      </c>
      <c r="B7889" s="2" t="s">
        <v>1010</v>
      </c>
      <c r="C7889" s="2">
        <v>588.07920000000001</v>
      </c>
      <c r="D7889" s="2">
        <f>HYPERLINK("http://mcb-m6.bioreg.kyushu-u.ac.jp/M3/20110418/F50971/1853/1", 47)</f>
        <v>47</v>
      </c>
      <c r="E7889" s="2">
        <v>4.04</v>
      </c>
      <c r="F7889" s="2">
        <v>2</v>
      </c>
      <c r="G7889" s="2" t="s">
        <v>11</v>
      </c>
    </row>
    <row r="7890" spans="1:9" x14ac:dyDescent="0.2">
      <c r="A7890" s="2" t="s">
        <v>3878</v>
      </c>
      <c r="B7890" s="2" t="s">
        <v>1010</v>
      </c>
      <c r="C7890" s="2">
        <v>588.22270000000003</v>
      </c>
      <c r="D7890" s="2">
        <f>HYPERLINK("http://mcb-m6.bioreg.kyushu-u.ac.jp/M3/20110418/F50983/1772/1", 36.51)</f>
        <v>36.51</v>
      </c>
      <c r="E7890" s="2">
        <v>9.24</v>
      </c>
      <c r="F7890" s="2">
        <v>2</v>
      </c>
      <c r="G7890" s="2" t="s">
        <v>12</v>
      </c>
    </row>
    <row r="7891" spans="1:9" x14ac:dyDescent="0.2">
      <c r="A7891" s="2" t="s">
        <v>3878</v>
      </c>
      <c r="B7891" s="2" t="s">
        <v>1010</v>
      </c>
      <c r="C7891" s="2">
        <v>588.68269999999995</v>
      </c>
      <c r="D7891" s="2">
        <f>HYPERLINK("http://mcb-m6.bioreg.kyushu-u.ac.jp/M3/20110418/F50989/1660/1", 65.2)</f>
        <v>65.2</v>
      </c>
      <c r="E7891" s="2">
        <v>28.74</v>
      </c>
      <c r="F7891" s="2">
        <v>2</v>
      </c>
      <c r="G7891" s="2" t="s">
        <v>12</v>
      </c>
    </row>
    <row r="7892" spans="1:9" x14ac:dyDescent="0.2">
      <c r="A7892" s="2" t="s">
        <v>3878</v>
      </c>
      <c r="B7892" s="2" t="s">
        <v>1010</v>
      </c>
      <c r="C7892" s="2">
        <v>588.48820000000001</v>
      </c>
      <c r="D7892" s="2">
        <f>HYPERLINK("http://mcb-m6.bioreg.kyushu-u.ac.jp/M3/20110418/F50997/1448/1", 66.48)</f>
        <v>66.48</v>
      </c>
      <c r="E7892" s="2">
        <v>29.63</v>
      </c>
      <c r="F7892" s="2">
        <v>2</v>
      </c>
      <c r="G7892" s="2" t="s">
        <v>12</v>
      </c>
    </row>
    <row r="7893" spans="1:9" x14ac:dyDescent="0.2">
      <c r="A7893" s="2" t="s">
        <v>3878</v>
      </c>
      <c r="B7893" s="2" t="s">
        <v>1010</v>
      </c>
      <c r="C7893" s="2">
        <v>588.34310000000005</v>
      </c>
      <c r="D7893" s="2">
        <f>HYPERLINK("http://mcb-m6.bioreg.kyushu-u.ac.jp/M3/20110429/F51149/1669/1", 41.74)</f>
        <v>41.74</v>
      </c>
      <c r="E7893" s="2">
        <v>20.27</v>
      </c>
      <c r="F7893" s="2">
        <v>2</v>
      </c>
      <c r="G7893" s="2" t="s">
        <v>13</v>
      </c>
    </row>
    <row r="7894" spans="1:9" x14ac:dyDescent="0.2">
      <c r="A7894" s="2" t="s">
        <v>3735</v>
      </c>
      <c r="B7894" s="2" t="s">
        <v>735</v>
      </c>
      <c r="C7894" s="2">
        <v>685.05070000000001</v>
      </c>
      <c r="D7894" s="2">
        <f>HYPERLINK("http://mcb-m6.bioreg.kyushu-u.ac.jp/M3/20110318/F50618/1367/1", 49.17)</f>
        <v>49.17</v>
      </c>
      <c r="E7894" s="2">
        <v>27.74</v>
      </c>
      <c r="F7894" s="2">
        <v>2</v>
      </c>
      <c r="G7894" s="2" t="s">
        <v>9</v>
      </c>
      <c r="I7894" s="2" t="s">
        <v>4903</v>
      </c>
    </row>
    <row r="7895" spans="1:9" x14ac:dyDescent="0.2">
      <c r="A7895" s="2" t="s">
        <v>3735</v>
      </c>
      <c r="B7895" s="2" t="s">
        <v>735</v>
      </c>
      <c r="C7895" s="2">
        <v>684.94169999999997</v>
      </c>
      <c r="D7895" s="2">
        <f>HYPERLINK("http://mcb-m6.bioreg.kyushu-u.ac.jp/M3/20110318/F50614/1460/1", 64.91)</f>
        <v>64.91</v>
      </c>
      <c r="E7895" s="2">
        <v>43.06</v>
      </c>
      <c r="F7895" s="2">
        <v>2</v>
      </c>
      <c r="G7895" s="2" t="s">
        <v>10</v>
      </c>
      <c r="I7895" s="2" t="s">
        <v>4903</v>
      </c>
    </row>
    <row r="7896" spans="1:9" x14ac:dyDescent="0.2">
      <c r="A7896" s="2" t="s">
        <v>4498</v>
      </c>
      <c r="B7896" s="2" t="s">
        <v>2480</v>
      </c>
      <c r="C7896" s="2">
        <v>613.79719999999998</v>
      </c>
      <c r="D7896" s="2">
        <f>HYPERLINK("http://mcb-m6.bioreg.kyushu-u.ac.jp/M3/20110318/F50618/1133/1", 74.04)</f>
        <v>74.040000000000006</v>
      </c>
      <c r="E7896" s="2">
        <v>54.16</v>
      </c>
      <c r="F7896" s="2">
        <v>2</v>
      </c>
      <c r="G7896" s="2" t="s">
        <v>9</v>
      </c>
    </row>
    <row r="7897" spans="1:9" x14ac:dyDescent="0.2">
      <c r="A7897" s="2" t="s">
        <v>4498</v>
      </c>
      <c r="B7897" s="2" t="s">
        <v>2480</v>
      </c>
      <c r="C7897" s="2">
        <v>613.94920000000002</v>
      </c>
      <c r="D7897" s="2">
        <f>HYPERLINK("http://mcb-m6.bioreg.kyushu-u.ac.jp/M3/20110318/F50614/1225/1", 52.64)</f>
        <v>52.64</v>
      </c>
      <c r="E7897" s="2">
        <v>29.41</v>
      </c>
      <c r="F7897" s="2">
        <v>2</v>
      </c>
      <c r="G7897" s="2" t="s">
        <v>10</v>
      </c>
    </row>
    <row r="7898" spans="1:9" x14ac:dyDescent="0.2">
      <c r="A7898" s="2" t="s">
        <v>4498</v>
      </c>
      <c r="B7898" s="2" t="s">
        <v>2480</v>
      </c>
      <c r="C7898" s="2">
        <v>614.27070000000003</v>
      </c>
      <c r="D7898" s="2">
        <f>HYPERLINK("http://mcb-m6.bioreg.kyushu-u.ac.jp/M3/20110418/F51001/1629/1", 59.25)</f>
        <v>59.25</v>
      </c>
      <c r="E7898" s="2">
        <v>39.520000000000003</v>
      </c>
      <c r="F7898" s="2">
        <v>2</v>
      </c>
      <c r="G7898" s="2" t="s">
        <v>12</v>
      </c>
    </row>
    <row r="7899" spans="1:9" x14ac:dyDescent="0.2">
      <c r="A7899" s="2" t="s">
        <v>5825</v>
      </c>
      <c r="B7899" s="2" t="s">
        <v>5505</v>
      </c>
      <c r="C7899" s="2">
        <v>637.20209999999997</v>
      </c>
      <c r="D7899" s="2">
        <f>HYPERLINK("http://mcb-m6.bioreg.kyushu-u.ac.jp/M3/20110429/F51154/1417/1", 43.22)</f>
        <v>43.22</v>
      </c>
      <c r="E7899" s="2">
        <v>28.56</v>
      </c>
      <c r="F7899" s="2">
        <v>2</v>
      </c>
      <c r="G7899" s="2" t="s">
        <v>13</v>
      </c>
    </row>
    <row r="7900" spans="1:9" x14ac:dyDescent="0.2">
      <c r="A7900" s="2" t="s">
        <v>5858</v>
      </c>
      <c r="B7900" s="2" t="s">
        <v>5554</v>
      </c>
      <c r="C7900" s="2">
        <v>539.76919999999996</v>
      </c>
      <c r="D7900" s="2">
        <f>HYPERLINK("http://mcb-m6.bioreg.kyushu-u.ac.jp/M3/20110429/F51154/937/1", 75.38)</f>
        <v>75.38</v>
      </c>
      <c r="E7900" s="2">
        <v>48.74</v>
      </c>
      <c r="F7900" s="2">
        <v>2</v>
      </c>
      <c r="G7900" s="2" t="s">
        <v>13</v>
      </c>
    </row>
    <row r="7901" spans="1:9" x14ac:dyDescent="0.2">
      <c r="A7901" s="2" t="s">
        <v>4378</v>
      </c>
      <c r="B7901" s="2" t="s">
        <v>2383</v>
      </c>
      <c r="C7901" s="2">
        <v>666.86609999999996</v>
      </c>
      <c r="D7901" s="2">
        <f>HYPERLINK("http://mcb-m6.bioreg.kyushu-u.ac.jp/M3/20110318/F50622/1184/1", 85.59)</f>
        <v>85.59</v>
      </c>
      <c r="E7901" s="2">
        <v>60.6</v>
      </c>
      <c r="F7901" s="2">
        <v>2</v>
      </c>
      <c r="G7901" s="2" t="s">
        <v>10</v>
      </c>
      <c r="H7901" s="2" t="s">
        <v>4891</v>
      </c>
    </row>
    <row r="7902" spans="1:9" x14ac:dyDescent="0.2">
      <c r="A7902" s="2" t="s">
        <v>4378</v>
      </c>
      <c r="B7902" s="2" t="s">
        <v>2236</v>
      </c>
      <c r="C7902" s="2">
        <v>535.55219999999997</v>
      </c>
      <c r="D7902" s="2">
        <f>HYPERLINK("http://mcb-m6.bioreg.kyushu-u.ac.jp/M3/20110418/F50969/1580/1", 80.99)</f>
        <v>80.989999999999995</v>
      </c>
      <c r="E7902" s="2">
        <v>51.28</v>
      </c>
      <c r="F7902" s="2">
        <v>2</v>
      </c>
      <c r="G7902" s="2" t="s">
        <v>11</v>
      </c>
    </row>
    <row r="7903" spans="1:9" x14ac:dyDescent="0.2">
      <c r="A7903" s="2" t="s">
        <v>4346</v>
      </c>
      <c r="B7903" s="2" t="s">
        <v>2161</v>
      </c>
      <c r="C7903" s="2">
        <v>576.33510000000001</v>
      </c>
      <c r="D7903" s="2">
        <f>HYPERLINK("http://mcb-m6.bioreg.kyushu-u.ac.jp/M3/20110428/F51143/1319/1", 42.68)</f>
        <v>42.68</v>
      </c>
      <c r="E7903" s="2">
        <v>25.4</v>
      </c>
      <c r="F7903" s="2">
        <v>2</v>
      </c>
      <c r="G7903" s="2" t="s">
        <v>14</v>
      </c>
    </row>
    <row r="7904" spans="1:9" x14ac:dyDescent="0.2">
      <c r="A7904" s="2" t="s">
        <v>4486</v>
      </c>
      <c r="B7904" s="2" t="s">
        <v>2450</v>
      </c>
      <c r="C7904" s="2">
        <v>849.75120000000004</v>
      </c>
      <c r="D7904" s="2">
        <f>HYPERLINK("http://mcb-m6.bioreg.kyushu-u.ac.jp/M3/20110428/F51146/2490/1", 83.91)</f>
        <v>83.91</v>
      </c>
      <c r="E7904" s="2">
        <v>65.849999999999994</v>
      </c>
      <c r="F7904" s="2">
        <v>2</v>
      </c>
      <c r="G7904" s="2" t="s">
        <v>13</v>
      </c>
      <c r="H7904" s="2" t="s">
        <v>4910</v>
      </c>
    </row>
    <row r="7905" spans="1:7" x14ac:dyDescent="0.2">
      <c r="A7905" s="2" t="s">
        <v>3631</v>
      </c>
      <c r="B7905" s="2" t="s">
        <v>545</v>
      </c>
      <c r="C7905" s="2">
        <v>665.27009999999996</v>
      </c>
      <c r="D7905" s="2">
        <f>HYPERLINK("http://mcb-m6.bioreg.kyushu-u.ac.jp/M3/20110318/F50620/1376/1", 41.35)</f>
        <v>41.35</v>
      </c>
      <c r="E7905" s="2">
        <v>21.28</v>
      </c>
      <c r="F7905" s="2">
        <v>2</v>
      </c>
      <c r="G7905" s="2" t="s">
        <v>9</v>
      </c>
    </row>
    <row r="7906" spans="1:7" x14ac:dyDescent="0.2">
      <c r="A7906" s="2" t="s">
        <v>3631</v>
      </c>
      <c r="B7906" s="2" t="s">
        <v>545</v>
      </c>
      <c r="C7906" s="2">
        <v>664.83870000000002</v>
      </c>
      <c r="D7906" s="2">
        <f>HYPERLINK("http://mcb-m6.bioreg.kyushu-u.ac.jp/M3/20110318/F50610/1521/1", 58.04)</f>
        <v>58.04</v>
      </c>
      <c r="E7906" s="2">
        <v>42.41</v>
      </c>
      <c r="F7906" s="2">
        <v>2</v>
      </c>
      <c r="G7906" s="2" t="s">
        <v>9</v>
      </c>
    </row>
    <row r="7907" spans="1:7" x14ac:dyDescent="0.2">
      <c r="A7907" s="2" t="s">
        <v>3631</v>
      </c>
      <c r="B7907" s="2" t="s">
        <v>545</v>
      </c>
      <c r="C7907" s="2">
        <v>664.65970000000004</v>
      </c>
      <c r="D7907" s="2">
        <f>HYPERLINK("http://mcb-m6.bioreg.kyushu-u.ac.jp/M3/20110318/F50620/1369/1", 58.32)</f>
        <v>58.32</v>
      </c>
      <c r="E7907" s="2">
        <v>45.34</v>
      </c>
      <c r="F7907" s="2">
        <v>2</v>
      </c>
      <c r="G7907" s="2" t="s">
        <v>9</v>
      </c>
    </row>
    <row r="7908" spans="1:7" x14ac:dyDescent="0.2">
      <c r="A7908" s="2" t="s">
        <v>3631</v>
      </c>
      <c r="B7908" s="2" t="s">
        <v>545</v>
      </c>
      <c r="C7908" s="2">
        <v>665.32259999999997</v>
      </c>
      <c r="D7908" s="2">
        <f>HYPERLINK("http://mcb-m6.bioreg.kyushu-u.ac.jp/M3/20110318/F50618/1303/1", 65.06)</f>
        <v>65.06</v>
      </c>
      <c r="E7908" s="2">
        <v>42.56</v>
      </c>
      <c r="F7908" s="2">
        <v>2</v>
      </c>
      <c r="G7908" s="2" t="s">
        <v>9</v>
      </c>
    </row>
    <row r="7909" spans="1:7" x14ac:dyDescent="0.2">
      <c r="A7909" s="2" t="s">
        <v>3631</v>
      </c>
      <c r="B7909" s="2" t="s">
        <v>545</v>
      </c>
      <c r="C7909" s="2">
        <v>664.9932</v>
      </c>
      <c r="D7909" s="2">
        <f>HYPERLINK("http://mcb-m6.bioreg.kyushu-u.ac.jp/M3/20110318/F50620/1374/1", 65.64)</f>
        <v>65.64</v>
      </c>
      <c r="E7909" s="2">
        <v>47.24</v>
      </c>
      <c r="F7909" s="2">
        <v>2</v>
      </c>
      <c r="G7909" s="2" t="s">
        <v>9</v>
      </c>
    </row>
    <row r="7910" spans="1:7" x14ac:dyDescent="0.2">
      <c r="A7910" s="2" t="s">
        <v>3631</v>
      </c>
      <c r="B7910" s="2" t="s">
        <v>545</v>
      </c>
      <c r="C7910" s="2">
        <v>665.25819999999999</v>
      </c>
      <c r="D7910" s="2">
        <f>HYPERLINK("http://mcb-m6.bioreg.kyushu-u.ac.jp/M3/20110318/F50620/1375/1", 67.45)</f>
        <v>67.45</v>
      </c>
      <c r="E7910" s="2">
        <v>47.78</v>
      </c>
      <c r="F7910" s="2">
        <v>2</v>
      </c>
      <c r="G7910" s="2" t="s">
        <v>9</v>
      </c>
    </row>
    <row r="7911" spans="1:7" x14ac:dyDescent="0.2">
      <c r="A7911" s="2" t="s">
        <v>3631</v>
      </c>
      <c r="B7911" s="2" t="s">
        <v>545</v>
      </c>
      <c r="C7911" s="2">
        <v>665.28309999999999</v>
      </c>
      <c r="D7911" s="2">
        <f>HYPERLINK("http://mcb-m6.bioreg.kyushu-u.ac.jp/M3/20110318/F50620/1377/1", 71.08)</f>
        <v>71.08</v>
      </c>
      <c r="E7911" s="2">
        <v>56.69</v>
      </c>
      <c r="F7911" s="2">
        <v>2</v>
      </c>
      <c r="G7911" s="2" t="s">
        <v>9</v>
      </c>
    </row>
    <row r="7912" spans="1:7" x14ac:dyDescent="0.2">
      <c r="A7912" s="2" t="s">
        <v>3631</v>
      </c>
      <c r="B7912" s="2" t="s">
        <v>545</v>
      </c>
      <c r="C7912" s="2">
        <v>664.67909999999995</v>
      </c>
      <c r="D7912" s="2">
        <f>HYPERLINK("http://mcb-m6.bioreg.kyushu-u.ac.jp/M3/20110318/F50608/1285/1", 71.62)</f>
        <v>71.62</v>
      </c>
      <c r="E7912" s="2">
        <v>56.83</v>
      </c>
      <c r="F7912" s="2">
        <v>2</v>
      </c>
      <c r="G7912" s="2" t="s">
        <v>9</v>
      </c>
    </row>
    <row r="7913" spans="1:7" x14ac:dyDescent="0.2">
      <c r="A7913" s="2" t="s">
        <v>3631</v>
      </c>
      <c r="B7913" s="2" t="s">
        <v>545</v>
      </c>
      <c r="C7913" s="2">
        <v>665.37159999999994</v>
      </c>
      <c r="D7913" s="2">
        <f>HYPERLINK("http://mcb-m6.bioreg.kyushu-u.ac.jp/M3/20110318/F50610/1522/1", 78.03)</f>
        <v>78.03</v>
      </c>
      <c r="E7913" s="2">
        <v>62.55</v>
      </c>
      <c r="F7913" s="2">
        <v>2</v>
      </c>
      <c r="G7913" s="2" t="s">
        <v>9</v>
      </c>
    </row>
    <row r="7914" spans="1:7" x14ac:dyDescent="0.2">
      <c r="A7914" s="2" t="s">
        <v>3631</v>
      </c>
      <c r="B7914" s="2" t="s">
        <v>545</v>
      </c>
      <c r="C7914" s="2">
        <v>664.70209999999997</v>
      </c>
      <c r="D7914" s="2">
        <f>HYPERLINK("http://mcb-m6.bioreg.kyushu-u.ac.jp/M3/20110318/F50620/1370/1", 78.92)</f>
        <v>78.92</v>
      </c>
      <c r="E7914" s="2">
        <v>58.73</v>
      </c>
      <c r="F7914" s="2">
        <v>2</v>
      </c>
      <c r="G7914" s="2" t="s">
        <v>9</v>
      </c>
    </row>
    <row r="7915" spans="1:7" x14ac:dyDescent="0.2">
      <c r="A7915" s="2" t="s">
        <v>3631</v>
      </c>
      <c r="B7915" s="2" t="s">
        <v>545</v>
      </c>
      <c r="C7915" s="2">
        <v>664.75419999999997</v>
      </c>
      <c r="D7915" s="2">
        <f>HYPERLINK("http://mcb-m6.bioreg.kyushu-u.ac.jp/M3/20110318/F50620/1372/1", 79.36)</f>
        <v>79.36</v>
      </c>
      <c r="E7915" s="2">
        <v>60.92</v>
      </c>
      <c r="F7915" s="2">
        <v>2</v>
      </c>
      <c r="G7915" s="2" t="s">
        <v>9</v>
      </c>
    </row>
    <row r="7916" spans="1:7" x14ac:dyDescent="0.2">
      <c r="A7916" s="2" t="s">
        <v>3631</v>
      </c>
      <c r="B7916" s="2" t="s">
        <v>545</v>
      </c>
      <c r="C7916" s="2">
        <v>664.99770000000001</v>
      </c>
      <c r="D7916" s="2">
        <f>HYPERLINK("http://mcb-m6.bioreg.kyushu-u.ac.jp/M3/20110318/F50607/1294/1", 82.27)</f>
        <v>82.27</v>
      </c>
      <c r="E7916" s="2">
        <v>65.8</v>
      </c>
      <c r="F7916" s="2">
        <v>2</v>
      </c>
      <c r="G7916" s="2" t="s">
        <v>9</v>
      </c>
    </row>
    <row r="7917" spans="1:7" x14ac:dyDescent="0.2">
      <c r="A7917" s="2" t="s">
        <v>3631</v>
      </c>
      <c r="B7917" s="2" t="s">
        <v>545</v>
      </c>
      <c r="C7917" s="2">
        <v>664.74620000000004</v>
      </c>
      <c r="D7917" s="2">
        <f>HYPERLINK("http://mcb-m6.bioreg.kyushu-u.ac.jp/M3/20110318/F50621/1288/1", 85)</f>
        <v>85</v>
      </c>
      <c r="E7917" s="2">
        <v>62.11</v>
      </c>
      <c r="F7917" s="2">
        <v>2</v>
      </c>
      <c r="G7917" s="2" t="s">
        <v>9</v>
      </c>
    </row>
    <row r="7918" spans="1:7" x14ac:dyDescent="0.2">
      <c r="A7918" s="2" t="s">
        <v>3631</v>
      </c>
      <c r="B7918" s="2" t="s">
        <v>545</v>
      </c>
      <c r="C7918" s="2">
        <v>664.70619999999997</v>
      </c>
      <c r="D7918" s="2">
        <f>HYPERLINK("http://mcb-m6.bioreg.kyushu-u.ac.jp/M3/20110318/F50617/1290/1", 53.76)</f>
        <v>53.76</v>
      </c>
      <c r="E7918" s="2">
        <v>42.45</v>
      </c>
      <c r="F7918" s="2">
        <v>2</v>
      </c>
      <c r="G7918" s="2" t="s">
        <v>10</v>
      </c>
    </row>
    <row r="7919" spans="1:7" x14ac:dyDescent="0.2">
      <c r="A7919" s="2" t="s">
        <v>3631</v>
      </c>
      <c r="B7919" s="2" t="s">
        <v>545</v>
      </c>
      <c r="C7919" s="2">
        <v>665.33619999999996</v>
      </c>
      <c r="D7919" s="2">
        <f>HYPERLINK("http://mcb-m6.bioreg.kyushu-u.ac.jp/M3/20110318/F50598/1354/1", 56.2)</f>
        <v>56.2</v>
      </c>
      <c r="E7919" s="2">
        <v>0.5</v>
      </c>
      <c r="F7919" s="2">
        <v>2</v>
      </c>
      <c r="G7919" s="2" t="s">
        <v>10</v>
      </c>
    </row>
    <row r="7920" spans="1:7" x14ac:dyDescent="0.2">
      <c r="A7920" s="2" t="s">
        <v>3631</v>
      </c>
      <c r="B7920" s="2" t="s">
        <v>545</v>
      </c>
      <c r="C7920" s="2">
        <v>664.80820000000006</v>
      </c>
      <c r="D7920" s="2">
        <f>HYPERLINK("http://mcb-m6.bioreg.kyushu-u.ac.jp/M3/20110318/F50614/1402/1", 61.27)</f>
        <v>61.27</v>
      </c>
      <c r="E7920" s="2">
        <v>43.46</v>
      </c>
      <c r="F7920" s="2">
        <v>2</v>
      </c>
      <c r="G7920" s="2" t="s">
        <v>10</v>
      </c>
    </row>
    <row r="7921" spans="1:7" x14ac:dyDescent="0.2">
      <c r="A7921" s="2" t="s">
        <v>3631</v>
      </c>
      <c r="B7921" s="2" t="s">
        <v>545</v>
      </c>
      <c r="C7921" s="2">
        <v>664.8972</v>
      </c>
      <c r="D7921" s="2">
        <f>HYPERLINK("http://mcb-m6.bioreg.kyushu-u.ac.jp/M3/20110318/F50616/1370/1", 67.69)</f>
        <v>67.69</v>
      </c>
      <c r="E7921" s="2">
        <v>52.41</v>
      </c>
      <c r="F7921" s="2">
        <v>2</v>
      </c>
      <c r="G7921" s="2" t="s">
        <v>10</v>
      </c>
    </row>
    <row r="7922" spans="1:7" x14ac:dyDescent="0.2">
      <c r="A7922" s="2" t="s">
        <v>3631</v>
      </c>
      <c r="B7922" s="2" t="s">
        <v>545</v>
      </c>
      <c r="C7922" s="2">
        <v>664.84469999999999</v>
      </c>
      <c r="D7922" s="2">
        <f>HYPERLINK("http://mcb-m6.bioreg.kyushu-u.ac.jp/M3/20110318/F50599/1489/1", 72.23)</f>
        <v>72.23</v>
      </c>
      <c r="E7922" s="2">
        <v>58.66</v>
      </c>
      <c r="F7922" s="2">
        <v>2</v>
      </c>
      <c r="G7922" s="2" t="s">
        <v>10</v>
      </c>
    </row>
    <row r="7923" spans="1:7" x14ac:dyDescent="0.2">
      <c r="A7923" s="2" t="s">
        <v>3631</v>
      </c>
      <c r="B7923" s="2" t="s">
        <v>545</v>
      </c>
      <c r="C7923" s="2">
        <v>664.85469999999998</v>
      </c>
      <c r="D7923" s="2">
        <f>HYPERLINK("http://mcb-m6.bioreg.kyushu-u.ac.jp/M3/20110318/F50622/1182/1", 77.95)</f>
        <v>77.95</v>
      </c>
      <c r="E7923" s="2">
        <v>55.92</v>
      </c>
      <c r="F7923" s="2">
        <v>2</v>
      </c>
      <c r="G7923" s="2" t="s">
        <v>10</v>
      </c>
    </row>
    <row r="7924" spans="1:7" x14ac:dyDescent="0.2">
      <c r="A7924" s="2" t="s">
        <v>3631</v>
      </c>
      <c r="B7924" s="2" t="s">
        <v>545</v>
      </c>
      <c r="C7924" s="2">
        <v>664.91110000000003</v>
      </c>
      <c r="D7924" s="2">
        <f>HYPERLINK("http://mcb-m6.bioreg.kyushu-u.ac.jp/M3/20110318/F50600/1354/1", 77.98)</f>
        <v>77.98</v>
      </c>
      <c r="E7924" s="2">
        <v>62.82</v>
      </c>
      <c r="F7924" s="2">
        <v>2</v>
      </c>
      <c r="G7924" s="2" t="s">
        <v>10</v>
      </c>
    </row>
    <row r="7925" spans="1:7" x14ac:dyDescent="0.2">
      <c r="A7925" s="2" t="s">
        <v>3631</v>
      </c>
      <c r="B7925" s="2" t="s">
        <v>545</v>
      </c>
      <c r="C7925" s="2">
        <v>1328.63</v>
      </c>
      <c r="D7925" s="2">
        <f>HYPERLINK("http://mcb-m6.bioreg.kyushu-u.ac.jp/M3/20110418/F50996/1709/1", 45.3)</f>
        <v>45.3</v>
      </c>
      <c r="E7925" s="2">
        <v>38.93</v>
      </c>
      <c r="F7925" s="2">
        <v>1</v>
      </c>
      <c r="G7925" s="2" t="s">
        <v>11</v>
      </c>
    </row>
    <row r="7926" spans="1:7" x14ac:dyDescent="0.2">
      <c r="A7926" s="2" t="s">
        <v>3631</v>
      </c>
      <c r="B7926" s="2" t="s">
        <v>545</v>
      </c>
      <c r="C7926" s="2">
        <v>664.88710000000003</v>
      </c>
      <c r="D7926" s="2">
        <f>HYPERLINK("http://mcb-m6.bioreg.kyushu-u.ac.jp/M3/20110418/F50976/1555/1", 53.28)</f>
        <v>53.28</v>
      </c>
      <c r="E7926" s="2">
        <v>37.46</v>
      </c>
      <c r="F7926" s="2">
        <v>2</v>
      </c>
      <c r="G7926" s="2" t="s">
        <v>11</v>
      </c>
    </row>
    <row r="7927" spans="1:7" x14ac:dyDescent="0.2">
      <c r="A7927" s="2" t="s">
        <v>3631</v>
      </c>
      <c r="B7927" s="2" t="s">
        <v>545</v>
      </c>
      <c r="C7927" s="2">
        <v>665.16020000000003</v>
      </c>
      <c r="D7927" s="2">
        <f>HYPERLINK("http://mcb-m6.bioreg.kyushu-u.ac.jp/M3/20110418/F50974/1686/1", 58.42)</f>
        <v>58.42</v>
      </c>
      <c r="E7927" s="2">
        <v>44.33</v>
      </c>
      <c r="F7927" s="2">
        <v>2</v>
      </c>
      <c r="G7927" s="2" t="s">
        <v>11</v>
      </c>
    </row>
    <row r="7928" spans="1:7" x14ac:dyDescent="0.2">
      <c r="A7928" s="2" t="s">
        <v>3631</v>
      </c>
      <c r="B7928" s="2" t="s">
        <v>545</v>
      </c>
      <c r="C7928" s="2">
        <v>664.76459999999997</v>
      </c>
      <c r="D7928" s="2">
        <f>HYPERLINK("http://mcb-m6.bioreg.kyushu-u.ac.jp/M3/20110418/F50996/1705/1", 58.48)</f>
        <v>58.48</v>
      </c>
      <c r="E7928" s="2">
        <v>43.66</v>
      </c>
      <c r="F7928" s="2">
        <v>2</v>
      </c>
      <c r="G7928" s="2" t="s">
        <v>11</v>
      </c>
    </row>
    <row r="7929" spans="1:7" x14ac:dyDescent="0.2">
      <c r="A7929" s="2" t="s">
        <v>3631</v>
      </c>
      <c r="B7929" s="2" t="s">
        <v>545</v>
      </c>
      <c r="C7929" s="2">
        <v>664.86109999999996</v>
      </c>
      <c r="D7929" s="2">
        <f>HYPERLINK("http://mcb-m6.bioreg.kyushu-u.ac.jp/M3/20110418/F50996/1711/1", 67.82)</f>
        <v>67.819999999999993</v>
      </c>
      <c r="E7929" s="2">
        <v>53.72</v>
      </c>
      <c r="F7929" s="2">
        <v>2</v>
      </c>
      <c r="G7929" s="2" t="s">
        <v>11</v>
      </c>
    </row>
    <row r="7930" spans="1:7" x14ac:dyDescent="0.2">
      <c r="A7930" s="2" t="s">
        <v>3631</v>
      </c>
      <c r="B7930" s="2" t="s">
        <v>545</v>
      </c>
      <c r="C7930" s="2">
        <v>665.32920000000001</v>
      </c>
      <c r="D7930" s="2">
        <f>HYPERLINK("http://mcb-m6.bioreg.kyushu-u.ac.jp/M3/20110418/F50996/1714/1", 67.92)</f>
        <v>67.92</v>
      </c>
      <c r="E7930" s="2">
        <v>53.5</v>
      </c>
      <c r="F7930" s="2">
        <v>2</v>
      </c>
      <c r="G7930" s="2" t="s">
        <v>11</v>
      </c>
    </row>
    <row r="7931" spans="1:7" x14ac:dyDescent="0.2">
      <c r="A7931" s="2" t="s">
        <v>3631</v>
      </c>
      <c r="B7931" s="2" t="s">
        <v>545</v>
      </c>
      <c r="C7931" s="2">
        <v>664.72019999999998</v>
      </c>
      <c r="D7931" s="2">
        <f>HYPERLINK("http://mcb-m6.bioreg.kyushu-u.ac.jp/M3/20110418/F50975/1530/1", 70.39)</f>
        <v>70.39</v>
      </c>
      <c r="E7931" s="2">
        <v>53.87</v>
      </c>
      <c r="F7931" s="2">
        <v>2</v>
      </c>
      <c r="G7931" s="2" t="s">
        <v>11</v>
      </c>
    </row>
    <row r="7932" spans="1:7" x14ac:dyDescent="0.2">
      <c r="A7932" s="2" t="s">
        <v>3631</v>
      </c>
      <c r="B7932" s="2" t="s">
        <v>545</v>
      </c>
      <c r="C7932" s="2">
        <v>664.97059999999999</v>
      </c>
      <c r="D7932" s="2">
        <f>HYPERLINK("http://mcb-m6.bioreg.kyushu-u.ac.jp/M3/20110418/F51000/1694/1", 71.16)</f>
        <v>71.16</v>
      </c>
      <c r="E7932" s="2">
        <v>55.5</v>
      </c>
      <c r="F7932" s="2">
        <v>2</v>
      </c>
      <c r="G7932" s="2" t="s">
        <v>11</v>
      </c>
    </row>
    <row r="7933" spans="1:7" x14ac:dyDescent="0.2">
      <c r="A7933" s="2" t="s">
        <v>3631</v>
      </c>
      <c r="B7933" s="2" t="s">
        <v>545</v>
      </c>
      <c r="C7933" s="2">
        <v>665.22519999999997</v>
      </c>
      <c r="D7933" s="2">
        <f>HYPERLINK("http://mcb-m6.bioreg.kyushu-u.ac.jp/M3/20110418/F50996/1712/1", 72.03)</f>
        <v>72.03</v>
      </c>
      <c r="E7933" s="2">
        <v>51.94</v>
      </c>
      <c r="F7933" s="2">
        <v>2</v>
      </c>
      <c r="G7933" s="2" t="s">
        <v>11</v>
      </c>
    </row>
    <row r="7934" spans="1:7" x14ac:dyDescent="0.2">
      <c r="A7934" s="2" t="s">
        <v>3631</v>
      </c>
      <c r="B7934" s="2" t="s">
        <v>545</v>
      </c>
      <c r="C7934" s="2">
        <v>664.85059999999999</v>
      </c>
      <c r="D7934" s="2">
        <f>HYPERLINK("http://mcb-m6.bioreg.kyushu-u.ac.jp/M3/20110418/F50996/1710/1", 77.7)</f>
        <v>77.7</v>
      </c>
      <c r="E7934" s="2">
        <v>60.57</v>
      </c>
      <c r="F7934" s="2">
        <v>2</v>
      </c>
      <c r="G7934" s="2" t="s">
        <v>11</v>
      </c>
    </row>
    <row r="7935" spans="1:7" x14ac:dyDescent="0.2">
      <c r="A7935" s="2" t="s">
        <v>3631</v>
      </c>
      <c r="B7935" s="2" t="s">
        <v>545</v>
      </c>
      <c r="C7935" s="2">
        <v>664.67660000000001</v>
      </c>
      <c r="D7935" s="2">
        <f>HYPERLINK("http://mcb-m6.bioreg.kyushu-u.ac.jp/M3/20110418/F50996/1703/1", 77.96)</f>
        <v>77.959999999999994</v>
      </c>
      <c r="E7935" s="2">
        <v>59.11</v>
      </c>
      <c r="F7935" s="2">
        <v>2</v>
      </c>
      <c r="G7935" s="2" t="s">
        <v>11</v>
      </c>
    </row>
    <row r="7936" spans="1:7" x14ac:dyDescent="0.2">
      <c r="A7936" s="2" t="s">
        <v>3631</v>
      </c>
      <c r="B7936" s="2" t="s">
        <v>545</v>
      </c>
      <c r="C7936" s="2">
        <v>664.66470000000004</v>
      </c>
      <c r="D7936" s="2">
        <f>HYPERLINK("http://mcb-m6.bioreg.kyushu-u.ac.jp/M3/20110418/F50974/1683/1", 77.97)</f>
        <v>77.97</v>
      </c>
      <c r="E7936" s="2">
        <v>62.42</v>
      </c>
      <c r="F7936" s="2">
        <v>2</v>
      </c>
      <c r="G7936" s="2" t="s">
        <v>11</v>
      </c>
    </row>
    <row r="7937" spans="1:7" x14ac:dyDescent="0.2">
      <c r="A7937" s="2" t="s">
        <v>3631</v>
      </c>
      <c r="B7937" s="2" t="s">
        <v>545</v>
      </c>
      <c r="C7937" s="2">
        <v>665.00869999999998</v>
      </c>
      <c r="D7937" s="2">
        <f>HYPERLINK("http://mcb-m6.bioreg.kyushu-u.ac.jp/M3/20110418/F50999/1696/1", 79.21)</f>
        <v>79.209999999999994</v>
      </c>
      <c r="E7937" s="2">
        <v>64.510000000000005</v>
      </c>
      <c r="F7937" s="2">
        <v>2</v>
      </c>
      <c r="G7937" s="2" t="s">
        <v>11</v>
      </c>
    </row>
    <row r="7938" spans="1:7" x14ac:dyDescent="0.2">
      <c r="A7938" s="2" t="s">
        <v>3631</v>
      </c>
      <c r="B7938" s="2" t="s">
        <v>545</v>
      </c>
      <c r="C7938" s="2">
        <v>664.80160000000001</v>
      </c>
      <c r="D7938" s="2">
        <f>HYPERLINK("http://mcb-m6.bioreg.kyushu-u.ac.jp/M3/20110418/F50996/1708/1", 79.73)</f>
        <v>79.73</v>
      </c>
      <c r="E7938" s="2">
        <v>63.95</v>
      </c>
      <c r="F7938" s="2">
        <v>2</v>
      </c>
      <c r="G7938" s="2" t="s">
        <v>11</v>
      </c>
    </row>
    <row r="7939" spans="1:7" x14ac:dyDescent="0.2">
      <c r="A7939" s="2" t="s">
        <v>3631</v>
      </c>
      <c r="B7939" s="2" t="s">
        <v>545</v>
      </c>
      <c r="C7939" s="2">
        <v>664.77560000000005</v>
      </c>
      <c r="D7939" s="2">
        <f>HYPERLINK("http://mcb-m6.bioreg.kyushu-u.ac.jp/M3/20110418/F50996/1707/1", 81.2)</f>
        <v>81.2</v>
      </c>
      <c r="E7939" s="2">
        <v>63.4</v>
      </c>
      <c r="F7939" s="2">
        <v>2</v>
      </c>
      <c r="G7939" s="2" t="s">
        <v>11</v>
      </c>
    </row>
    <row r="7940" spans="1:7" x14ac:dyDescent="0.2">
      <c r="A7940" s="2" t="s">
        <v>3631</v>
      </c>
      <c r="B7940" s="2" t="s">
        <v>545</v>
      </c>
      <c r="C7940" s="2">
        <v>664.77070000000003</v>
      </c>
      <c r="D7940" s="2">
        <f>HYPERLINK("http://mcb-m6.bioreg.kyushu-u.ac.jp/M3/20110418/F50996/1706/1", 82.44)</f>
        <v>82.44</v>
      </c>
      <c r="E7940" s="2">
        <v>66.2</v>
      </c>
      <c r="F7940" s="2">
        <v>2</v>
      </c>
      <c r="G7940" s="2" t="s">
        <v>11</v>
      </c>
    </row>
    <row r="7941" spans="1:7" x14ac:dyDescent="0.2">
      <c r="A7941" s="2" t="s">
        <v>3631</v>
      </c>
      <c r="B7941" s="2" t="s">
        <v>545</v>
      </c>
      <c r="C7941" s="2">
        <v>664.76459999999997</v>
      </c>
      <c r="D7941" s="2">
        <f>HYPERLINK("http://mcb-m6.bioreg.kyushu-u.ac.jp/M3/20110418/F50996/1704/1", 85.29)</f>
        <v>85.29</v>
      </c>
      <c r="E7941" s="2">
        <v>70.239999999999995</v>
      </c>
      <c r="F7941" s="2">
        <v>2</v>
      </c>
      <c r="G7941" s="2" t="s">
        <v>11</v>
      </c>
    </row>
    <row r="7942" spans="1:7" x14ac:dyDescent="0.2">
      <c r="A7942" s="2" t="s">
        <v>3631</v>
      </c>
      <c r="B7942" s="2" t="s">
        <v>545</v>
      </c>
      <c r="C7942" s="2">
        <v>664.60469999999998</v>
      </c>
      <c r="D7942" s="2">
        <f>HYPERLINK("http://mcb-m6.bioreg.kyushu-u.ac.jp/M3/20110418/F50996/1702/1", 91.45)</f>
        <v>91.45</v>
      </c>
      <c r="E7942" s="2">
        <v>71.75</v>
      </c>
      <c r="F7942" s="2">
        <v>2</v>
      </c>
      <c r="G7942" s="2" t="s">
        <v>11</v>
      </c>
    </row>
    <row r="7943" spans="1:7" x14ac:dyDescent="0.2">
      <c r="A7943" s="2" t="s">
        <v>3631</v>
      </c>
      <c r="B7943" s="2" t="s">
        <v>545</v>
      </c>
      <c r="C7943" s="2">
        <v>1328.5509999999999</v>
      </c>
      <c r="D7943" s="2">
        <f>HYPERLINK("http://mcb-m6.bioreg.kyushu-u.ac.jp/M3/20110418/F50997/1671/1", 38.59)</f>
        <v>38.590000000000003</v>
      </c>
      <c r="E7943" s="2">
        <v>30.39</v>
      </c>
      <c r="F7943" s="2">
        <v>1</v>
      </c>
      <c r="G7943" s="2" t="s">
        <v>12</v>
      </c>
    </row>
    <row r="7944" spans="1:7" x14ac:dyDescent="0.2">
      <c r="A7944" s="2" t="s">
        <v>3631</v>
      </c>
      <c r="B7944" s="2" t="s">
        <v>545</v>
      </c>
      <c r="C7944" s="2">
        <v>665.34720000000004</v>
      </c>
      <c r="D7944" s="2">
        <f>HYPERLINK("http://mcb-m6.bioreg.kyushu-u.ac.jp/M3/20110418/F50997/1676/1", 54.12)</f>
        <v>54.12</v>
      </c>
      <c r="E7944" s="2">
        <v>27.63</v>
      </c>
      <c r="F7944" s="2">
        <v>2</v>
      </c>
      <c r="G7944" s="2" t="s">
        <v>12</v>
      </c>
    </row>
    <row r="7945" spans="1:7" x14ac:dyDescent="0.2">
      <c r="A7945" s="2" t="s">
        <v>3631</v>
      </c>
      <c r="B7945" s="2" t="s">
        <v>545</v>
      </c>
      <c r="C7945" s="2">
        <v>664.74620000000004</v>
      </c>
      <c r="D7945" s="2">
        <f>HYPERLINK("http://mcb-m6.bioreg.kyushu-u.ac.jp/M3/20110418/F50997/1667/1", 59.5)</f>
        <v>59.5</v>
      </c>
      <c r="E7945" s="2">
        <v>44.36</v>
      </c>
      <c r="F7945" s="2">
        <v>2</v>
      </c>
      <c r="G7945" s="2" t="s">
        <v>12</v>
      </c>
    </row>
    <row r="7946" spans="1:7" x14ac:dyDescent="0.2">
      <c r="A7946" s="2" t="s">
        <v>3631</v>
      </c>
      <c r="B7946" s="2" t="s">
        <v>545</v>
      </c>
      <c r="C7946" s="2">
        <v>664.90520000000004</v>
      </c>
      <c r="D7946" s="2">
        <f>HYPERLINK("http://mcb-m6.bioreg.kyushu-u.ac.jp/M3/20110418/F50981/1956/1", 62.52)</f>
        <v>62.52</v>
      </c>
      <c r="E7946" s="2">
        <v>43.48</v>
      </c>
      <c r="F7946" s="2">
        <v>2</v>
      </c>
      <c r="G7946" s="2" t="s">
        <v>12</v>
      </c>
    </row>
    <row r="7947" spans="1:7" x14ac:dyDescent="0.2">
      <c r="A7947" s="2" t="s">
        <v>3631</v>
      </c>
      <c r="B7947" s="2" t="s">
        <v>545</v>
      </c>
      <c r="C7947" s="2">
        <v>664.82669999999996</v>
      </c>
      <c r="D7947" s="2">
        <f>HYPERLINK("http://mcb-m6.bioreg.kyushu-u.ac.jp/M3/20110418/F50997/1674/1", 65.4)</f>
        <v>65.400000000000006</v>
      </c>
      <c r="E7947" s="2">
        <v>49.49</v>
      </c>
      <c r="F7947" s="2">
        <v>2</v>
      </c>
      <c r="G7947" s="2" t="s">
        <v>12</v>
      </c>
    </row>
    <row r="7948" spans="1:7" x14ac:dyDescent="0.2">
      <c r="A7948" s="2" t="s">
        <v>3631</v>
      </c>
      <c r="B7948" s="2" t="s">
        <v>545</v>
      </c>
      <c r="C7948" s="2">
        <v>664.81370000000004</v>
      </c>
      <c r="D7948" s="2">
        <f>HYPERLINK("http://mcb-m6.bioreg.kyushu-u.ac.jp/M3/20110418/F50984/1918/1", 68.76)</f>
        <v>68.760000000000005</v>
      </c>
      <c r="E7948" s="2">
        <v>53.74</v>
      </c>
      <c r="F7948" s="2">
        <v>2</v>
      </c>
      <c r="G7948" s="2" t="s">
        <v>12</v>
      </c>
    </row>
    <row r="7949" spans="1:7" x14ac:dyDescent="0.2">
      <c r="A7949" s="2" t="s">
        <v>3631</v>
      </c>
      <c r="B7949" s="2" t="s">
        <v>545</v>
      </c>
      <c r="C7949" s="2">
        <v>664.7817</v>
      </c>
      <c r="D7949" s="2">
        <f>HYPERLINK("http://mcb-m6.bioreg.kyushu-u.ac.jp/M3/20110418/F50997/1672/1", 74.87)</f>
        <v>74.87</v>
      </c>
      <c r="E7949" s="2">
        <v>59.51</v>
      </c>
      <c r="F7949" s="2">
        <v>2</v>
      </c>
      <c r="G7949" s="2" t="s">
        <v>12</v>
      </c>
    </row>
    <row r="7950" spans="1:7" x14ac:dyDescent="0.2">
      <c r="A7950" s="2" t="s">
        <v>3631</v>
      </c>
      <c r="B7950" s="2" t="s">
        <v>545</v>
      </c>
      <c r="C7950" s="2">
        <v>664.76070000000004</v>
      </c>
      <c r="D7950" s="2">
        <f>HYPERLINK("http://mcb-m6.bioreg.kyushu-u.ac.jp/M3/20110418/F50997/1670/1", 75.46)</f>
        <v>75.459999999999994</v>
      </c>
      <c r="E7950" s="2">
        <v>57.47</v>
      </c>
      <c r="F7950" s="2">
        <v>2</v>
      </c>
      <c r="G7950" s="2" t="s">
        <v>12</v>
      </c>
    </row>
    <row r="7951" spans="1:7" x14ac:dyDescent="0.2">
      <c r="A7951" s="2" t="s">
        <v>3631</v>
      </c>
      <c r="B7951" s="2" t="s">
        <v>545</v>
      </c>
      <c r="C7951" s="2">
        <v>664.82510000000002</v>
      </c>
      <c r="D7951" s="2">
        <f>HYPERLINK("http://mcb-m6.bioreg.kyushu-u.ac.jp/M3/20110418/F50997/1673/1", 76.89)</f>
        <v>76.89</v>
      </c>
      <c r="E7951" s="2">
        <v>62.71</v>
      </c>
      <c r="F7951" s="2">
        <v>2</v>
      </c>
      <c r="G7951" s="2" t="s">
        <v>12</v>
      </c>
    </row>
    <row r="7952" spans="1:7" x14ac:dyDescent="0.2">
      <c r="A7952" s="2" t="s">
        <v>3631</v>
      </c>
      <c r="B7952" s="2" t="s">
        <v>545</v>
      </c>
      <c r="C7952" s="2">
        <v>664.72559999999999</v>
      </c>
      <c r="D7952" s="2">
        <f>HYPERLINK("http://mcb-m6.bioreg.kyushu-u.ac.jp/M3/20110418/F50997/1666/1", 78.19)</f>
        <v>78.19</v>
      </c>
      <c r="E7952" s="2">
        <v>54.9</v>
      </c>
      <c r="F7952" s="2">
        <v>2</v>
      </c>
      <c r="G7952" s="2" t="s">
        <v>12</v>
      </c>
    </row>
    <row r="7953" spans="1:7" x14ac:dyDescent="0.2">
      <c r="A7953" s="2" t="s">
        <v>3631</v>
      </c>
      <c r="B7953" s="2" t="s">
        <v>545</v>
      </c>
      <c r="C7953" s="2">
        <v>664.74770000000001</v>
      </c>
      <c r="D7953" s="2">
        <f>HYPERLINK("http://mcb-m6.bioreg.kyushu-u.ac.jp/M3/20110418/F50997/1668/1", 78.69)</f>
        <v>78.69</v>
      </c>
      <c r="E7953" s="2">
        <v>66.989999999999995</v>
      </c>
      <c r="F7953" s="2">
        <v>2</v>
      </c>
      <c r="G7953" s="2" t="s">
        <v>12</v>
      </c>
    </row>
    <row r="7954" spans="1:7" x14ac:dyDescent="0.2">
      <c r="A7954" s="2" t="s">
        <v>3631</v>
      </c>
      <c r="B7954" s="2" t="s">
        <v>545</v>
      </c>
      <c r="C7954" s="2">
        <v>664.75710000000004</v>
      </c>
      <c r="D7954" s="2">
        <f>HYPERLINK("http://mcb-m6.bioreg.kyushu-u.ac.jp/M3/20110418/F50997/1669/1", 82.37)</f>
        <v>82.37</v>
      </c>
      <c r="E7954" s="2">
        <v>66.75</v>
      </c>
      <c r="F7954" s="2">
        <v>2</v>
      </c>
      <c r="G7954" s="2" t="s">
        <v>12</v>
      </c>
    </row>
    <row r="7955" spans="1:7" x14ac:dyDescent="0.2">
      <c r="A7955" s="2" t="s">
        <v>3631</v>
      </c>
      <c r="B7955" s="2" t="s">
        <v>545</v>
      </c>
      <c r="C7955" s="2">
        <v>664.67570000000001</v>
      </c>
      <c r="D7955" s="2">
        <f>HYPERLINK("http://mcb-m6.bioreg.kyushu-u.ac.jp/M3/20110418/F50997/1665/1", 88.18)</f>
        <v>88.18</v>
      </c>
      <c r="E7955" s="2">
        <v>70.2</v>
      </c>
      <c r="F7955" s="2">
        <v>2</v>
      </c>
      <c r="G7955" s="2" t="s">
        <v>12</v>
      </c>
    </row>
    <row r="7956" spans="1:7" x14ac:dyDescent="0.2">
      <c r="A7956" s="2" t="s">
        <v>3631</v>
      </c>
      <c r="B7956" s="2" t="s">
        <v>545</v>
      </c>
      <c r="C7956" s="2">
        <v>1328.528</v>
      </c>
      <c r="D7956" s="2">
        <f>HYPERLINK("http://mcb-m6.bioreg.kyushu-u.ac.jp/M3/20110429/F51152/1504/1", 39.39)</f>
        <v>39.39</v>
      </c>
      <c r="E7956" s="2">
        <v>27.83</v>
      </c>
      <c r="F7956" s="2">
        <v>1</v>
      </c>
      <c r="G7956" s="2" t="s">
        <v>13</v>
      </c>
    </row>
    <row r="7957" spans="1:7" x14ac:dyDescent="0.2">
      <c r="A7957" s="2" t="s">
        <v>3631</v>
      </c>
      <c r="B7957" s="2" t="s">
        <v>545</v>
      </c>
      <c r="C7957" s="2">
        <v>665.27009999999996</v>
      </c>
      <c r="D7957" s="2">
        <f>HYPERLINK("http://mcb-m6.bioreg.kyushu-u.ac.jp/M3/20110429/F51153/1450/1", 44.85)</f>
        <v>44.85</v>
      </c>
      <c r="E7957" s="2">
        <v>31.48</v>
      </c>
      <c r="F7957" s="2">
        <v>2</v>
      </c>
      <c r="G7957" s="2" t="s">
        <v>13</v>
      </c>
    </row>
    <row r="7958" spans="1:7" x14ac:dyDescent="0.2">
      <c r="A7958" s="2" t="s">
        <v>3631</v>
      </c>
      <c r="B7958" s="2" t="s">
        <v>545</v>
      </c>
      <c r="C7958" s="2">
        <v>665.35419999999999</v>
      </c>
      <c r="D7958" s="2">
        <f>HYPERLINK("http://mcb-m6.bioreg.kyushu-u.ac.jp/M3/20110429/F51153/1453/1", 55.42)</f>
        <v>55.42</v>
      </c>
      <c r="E7958" s="2">
        <v>38.840000000000003</v>
      </c>
      <c r="F7958" s="2">
        <v>2</v>
      </c>
      <c r="G7958" s="2" t="s">
        <v>13</v>
      </c>
    </row>
    <row r="7959" spans="1:7" x14ac:dyDescent="0.2">
      <c r="A7959" s="2" t="s">
        <v>3631</v>
      </c>
      <c r="B7959" s="2" t="s">
        <v>545</v>
      </c>
      <c r="C7959" s="2">
        <v>664.73860000000002</v>
      </c>
      <c r="D7959" s="2">
        <f>HYPERLINK("http://mcb-m6.bioreg.kyushu-u.ac.jp/M3/20110429/F51152/1500/1", 57.5)</f>
        <v>57.5</v>
      </c>
      <c r="E7959" s="2">
        <v>43.36</v>
      </c>
      <c r="F7959" s="2">
        <v>2</v>
      </c>
      <c r="G7959" s="2" t="s">
        <v>13</v>
      </c>
    </row>
    <row r="7960" spans="1:7" x14ac:dyDescent="0.2">
      <c r="A7960" s="2" t="s">
        <v>3631</v>
      </c>
      <c r="B7960" s="2" t="s">
        <v>545</v>
      </c>
      <c r="C7960" s="2">
        <v>664.5992</v>
      </c>
      <c r="D7960" s="2">
        <f>HYPERLINK("http://mcb-m6.bioreg.kyushu-u.ac.jp/M3/20110429/F51152/1495/1", 65.41)</f>
        <v>65.41</v>
      </c>
      <c r="E7960" s="2">
        <v>49</v>
      </c>
      <c r="F7960" s="2">
        <v>2</v>
      </c>
      <c r="G7960" s="2" t="s">
        <v>13</v>
      </c>
    </row>
    <row r="7961" spans="1:7" x14ac:dyDescent="0.2">
      <c r="A7961" s="2" t="s">
        <v>3631</v>
      </c>
      <c r="B7961" s="2" t="s">
        <v>545</v>
      </c>
      <c r="C7961" s="2">
        <v>665.31269999999995</v>
      </c>
      <c r="D7961" s="2">
        <f>HYPERLINK("http://mcb-m6.bioreg.kyushu-u.ac.jp/M3/20110429/F51152/1512/1", 67.75)</f>
        <v>67.75</v>
      </c>
      <c r="E7961" s="2">
        <v>2.87</v>
      </c>
      <c r="F7961" s="2">
        <v>2</v>
      </c>
      <c r="G7961" s="2" t="s">
        <v>13</v>
      </c>
    </row>
    <row r="7962" spans="1:7" x14ac:dyDescent="0.2">
      <c r="A7962" s="2" t="s">
        <v>3631</v>
      </c>
      <c r="B7962" s="2" t="s">
        <v>545</v>
      </c>
      <c r="C7962" s="2">
        <v>665.24720000000002</v>
      </c>
      <c r="D7962" s="2">
        <f>HYPERLINK("http://mcb-m6.bioreg.kyushu-u.ac.jp/M3/20110429/F51152/1511/1", 67.78)</f>
        <v>67.78</v>
      </c>
      <c r="E7962" s="2">
        <v>48.17</v>
      </c>
      <c r="F7962" s="2">
        <v>2</v>
      </c>
      <c r="G7962" s="2" t="s">
        <v>13</v>
      </c>
    </row>
    <row r="7963" spans="1:7" x14ac:dyDescent="0.2">
      <c r="A7963" s="2" t="s">
        <v>3631</v>
      </c>
      <c r="B7963" s="2" t="s">
        <v>545</v>
      </c>
      <c r="C7963" s="2">
        <v>664.78610000000003</v>
      </c>
      <c r="D7963" s="2">
        <f>HYPERLINK("http://mcb-m6.bioreg.kyushu-u.ac.jp/M3/20110429/F51152/1507/1", 67.89)</f>
        <v>67.89</v>
      </c>
      <c r="E7963" s="2">
        <v>1.53</v>
      </c>
      <c r="F7963" s="2">
        <v>2</v>
      </c>
      <c r="G7963" s="2" t="s">
        <v>13</v>
      </c>
    </row>
    <row r="7964" spans="1:7" x14ac:dyDescent="0.2">
      <c r="A7964" s="2" t="s">
        <v>3631</v>
      </c>
      <c r="B7964" s="2" t="s">
        <v>545</v>
      </c>
      <c r="C7964" s="2">
        <v>664.80160000000001</v>
      </c>
      <c r="D7964" s="2">
        <f>HYPERLINK("http://mcb-m6.bioreg.kyushu-u.ac.jp/M3/20110429/F51157/1350/1", 68.15)</f>
        <v>68.150000000000006</v>
      </c>
      <c r="E7964" s="2">
        <v>53.37</v>
      </c>
      <c r="F7964" s="2">
        <v>2</v>
      </c>
      <c r="G7964" s="2" t="s">
        <v>13</v>
      </c>
    </row>
    <row r="7965" spans="1:7" x14ac:dyDescent="0.2">
      <c r="A7965" s="2" t="s">
        <v>3631</v>
      </c>
      <c r="B7965" s="2" t="s">
        <v>545</v>
      </c>
      <c r="C7965" s="2">
        <v>664.83810000000005</v>
      </c>
      <c r="D7965" s="2">
        <f>HYPERLINK("http://mcb-m6.bioreg.kyushu-u.ac.jp/M3/20110429/F51153/1449/1", 71.2)</f>
        <v>71.2</v>
      </c>
      <c r="E7965" s="2">
        <v>54.71</v>
      </c>
      <c r="F7965" s="2">
        <v>2</v>
      </c>
      <c r="G7965" s="2" t="s">
        <v>13</v>
      </c>
    </row>
    <row r="7966" spans="1:7" x14ac:dyDescent="0.2">
      <c r="A7966" s="2" t="s">
        <v>3631</v>
      </c>
      <c r="B7966" s="2" t="s">
        <v>545</v>
      </c>
      <c r="C7966" s="2">
        <v>664.76120000000003</v>
      </c>
      <c r="D7966" s="2">
        <f>HYPERLINK("http://mcb-m6.bioreg.kyushu-u.ac.jp/M3/20110429/F51153/1447/1", 71.45)</f>
        <v>71.45</v>
      </c>
      <c r="E7966" s="2">
        <v>51.96</v>
      </c>
      <c r="F7966" s="2">
        <v>2</v>
      </c>
      <c r="G7966" s="2" t="s">
        <v>13</v>
      </c>
    </row>
    <row r="7967" spans="1:7" x14ac:dyDescent="0.2">
      <c r="A7967" s="2" t="s">
        <v>3631</v>
      </c>
      <c r="B7967" s="2" t="s">
        <v>545</v>
      </c>
      <c r="C7967" s="2">
        <v>665.39009999999996</v>
      </c>
      <c r="D7967" s="2">
        <f>HYPERLINK("http://mcb-m6.bioreg.kyushu-u.ac.jp/M3/20110429/F51149/1832/1", 71.51)</f>
        <v>71.510000000000005</v>
      </c>
      <c r="E7967" s="2">
        <v>56.08</v>
      </c>
      <c r="F7967" s="2">
        <v>2</v>
      </c>
      <c r="G7967" s="2" t="s">
        <v>13</v>
      </c>
    </row>
    <row r="7968" spans="1:7" x14ac:dyDescent="0.2">
      <c r="A7968" s="2" t="s">
        <v>3631</v>
      </c>
      <c r="B7968" s="2" t="s">
        <v>545</v>
      </c>
      <c r="C7968" s="2">
        <v>664.74109999999996</v>
      </c>
      <c r="D7968" s="2">
        <f>HYPERLINK("http://mcb-m6.bioreg.kyushu-u.ac.jp/M3/20110429/F51152/1502/1", 76.39)</f>
        <v>76.39</v>
      </c>
      <c r="E7968" s="2">
        <v>60</v>
      </c>
      <c r="F7968" s="2">
        <v>2</v>
      </c>
      <c r="G7968" s="2" t="s">
        <v>13</v>
      </c>
    </row>
    <row r="7969" spans="1:7" x14ac:dyDescent="0.2">
      <c r="A7969" s="2" t="s">
        <v>3631</v>
      </c>
      <c r="B7969" s="2" t="s">
        <v>545</v>
      </c>
      <c r="C7969" s="2">
        <v>665.0077</v>
      </c>
      <c r="D7969" s="2">
        <f>HYPERLINK("http://mcb-m6.bioreg.kyushu-u.ac.jp/M3/20110429/F51152/1510/1", 78.17)</f>
        <v>78.17</v>
      </c>
      <c r="E7969" s="2">
        <v>65.930000000000007</v>
      </c>
      <c r="F7969" s="2">
        <v>2</v>
      </c>
      <c r="G7969" s="2" t="s">
        <v>13</v>
      </c>
    </row>
    <row r="7970" spans="1:7" x14ac:dyDescent="0.2">
      <c r="A7970" s="2" t="s">
        <v>3631</v>
      </c>
      <c r="B7970" s="2" t="s">
        <v>545</v>
      </c>
      <c r="C7970" s="2">
        <v>664.71220000000005</v>
      </c>
      <c r="D7970" s="2">
        <f>HYPERLINK("http://mcb-m6.bioreg.kyushu-u.ac.jp/M3/20110429/F51152/1498/1", 79.86)</f>
        <v>79.86</v>
      </c>
      <c r="E7970" s="2">
        <v>62.46</v>
      </c>
      <c r="F7970" s="2">
        <v>2</v>
      </c>
      <c r="G7970" s="2" t="s">
        <v>13</v>
      </c>
    </row>
    <row r="7971" spans="1:7" x14ac:dyDescent="0.2">
      <c r="A7971" s="2" t="s">
        <v>3631</v>
      </c>
      <c r="B7971" s="2" t="s">
        <v>545</v>
      </c>
      <c r="C7971" s="2">
        <v>664.63120000000004</v>
      </c>
      <c r="D7971" s="2">
        <f>HYPERLINK("http://mcb-m6.bioreg.kyushu-u.ac.jp/M3/20110429/F51152/1496/1", 80.9)</f>
        <v>80.900000000000006</v>
      </c>
      <c r="E7971" s="2">
        <v>63.05</v>
      </c>
      <c r="F7971" s="2">
        <v>2</v>
      </c>
      <c r="G7971" s="2" t="s">
        <v>13</v>
      </c>
    </row>
    <row r="7972" spans="1:7" x14ac:dyDescent="0.2">
      <c r="A7972" s="2" t="s">
        <v>3631</v>
      </c>
      <c r="B7972" s="2" t="s">
        <v>545</v>
      </c>
      <c r="C7972" s="2">
        <v>665.08669999999995</v>
      </c>
      <c r="D7972" s="2">
        <f>HYPERLINK("http://mcb-m6.bioreg.kyushu-u.ac.jp/M3/20110429/F51157/1352/1", 81.04)</f>
        <v>81.040000000000006</v>
      </c>
      <c r="E7972" s="2">
        <v>67.23</v>
      </c>
      <c r="F7972" s="2">
        <v>2</v>
      </c>
      <c r="G7972" s="2" t="s">
        <v>13</v>
      </c>
    </row>
    <row r="7973" spans="1:7" x14ac:dyDescent="0.2">
      <c r="A7973" s="2" t="s">
        <v>3631</v>
      </c>
      <c r="B7973" s="2" t="s">
        <v>545</v>
      </c>
      <c r="C7973" s="2">
        <v>664.74620000000004</v>
      </c>
      <c r="D7973" s="2">
        <f>HYPERLINK("http://mcb-m6.bioreg.kyushu-u.ac.jp/M3/20110429/F51152/1503/1", 82.37)</f>
        <v>82.37</v>
      </c>
      <c r="E7973" s="2">
        <v>66.37</v>
      </c>
      <c r="F7973" s="2">
        <v>2</v>
      </c>
      <c r="G7973" s="2" t="s">
        <v>13</v>
      </c>
    </row>
    <row r="7974" spans="1:7" x14ac:dyDescent="0.2">
      <c r="A7974" s="2" t="s">
        <v>3631</v>
      </c>
      <c r="B7974" s="2" t="s">
        <v>545</v>
      </c>
      <c r="C7974" s="2">
        <v>664.78369999999995</v>
      </c>
      <c r="D7974" s="2">
        <f>HYPERLINK("http://mcb-m6.bioreg.kyushu-u.ac.jp/M3/20110429/F51152/1506/1", 83.2)</f>
        <v>83.2</v>
      </c>
      <c r="E7974" s="2">
        <v>68.650000000000006</v>
      </c>
      <c r="F7974" s="2">
        <v>2</v>
      </c>
      <c r="G7974" s="2" t="s">
        <v>13</v>
      </c>
    </row>
    <row r="7975" spans="1:7" x14ac:dyDescent="0.2">
      <c r="A7975" s="2" t="s">
        <v>3631</v>
      </c>
      <c r="B7975" s="2" t="s">
        <v>545</v>
      </c>
      <c r="C7975" s="2">
        <v>664.87159999999994</v>
      </c>
      <c r="D7975" s="2">
        <f>HYPERLINK("http://mcb-m6.bioreg.kyushu-u.ac.jp/M3/20110429/F51152/1509/1", 84.62)</f>
        <v>84.62</v>
      </c>
      <c r="E7975" s="2">
        <v>67.55</v>
      </c>
      <c r="F7975" s="2">
        <v>2</v>
      </c>
      <c r="G7975" s="2" t="s">
        <v>13</v>
      </c>
    </row>
    <row r="7976" spans="1:7" x14ac:dyDescent="0.2">
      <c r="A7976" s="2" t="s">
        <v>3631</v>
      </c>
      <c r="B7976" s="2" t="s">
        <v>545</v>
      </c>
      <c r="C7976" s="2">
        <v>664.74109999999996</v>
      </c>
      <c r="D7976" s="2">
        <f>HYPERLINK("http://mcb-m6.bioreg.kyushu-u.ac.jp/M3/20110429/F51152/1501/1", 84.89)</f>
        <v>84.89</v>
      </c>
      <c r="E7976" s="2">
        <v>68.22</v>
      </c>
      <c r="F7976" s="2">
        <v>2</v>
      </c>
      <c r="G7976" s="2" t="s">
        <v>13</v>
      </c>
    </row>
    <row r="7977" spans="1:7" x14ac:dyDescent="0.2">
      <c r="A7977" s="2" t="s">
        <v>3631</v>
      </c>
      <c r="B7977" s="2" t="s">
        <v>545</v>
      </c>
      <c r="C7977" s="2">
        <v>664.71310000000005</v>
      </c>
      <c r="D7977" s="2">
        <f>HYPERLINK("http://mcb-m6.bioreg.kyushu-u.ac.jp/M3/20110429/F51152/1499/1", 85.88)</f>
        <v>85.88</v>
      </c>
      <c r="E7977" s="2">
        <v>71.099999999999994</v>
      </c>
      <c r="F7977" s="2">
        <v>2</v>
      </c>
      <c r="G7977" s="2" t="s">
        <v>13</v>
      </c>
    </row>
    <row r="7978" spans="1:7" x14ac:dyDescent="0.2">
      <c r="A7978" s="2" t="s">
        <v>3631</v>
      </c>
      <c r="B7978" s="2" t="s">
        <v>545</v>
      </c>
      <c r="C7978" s="2">
        <v>664.78020000000004</v>
      </c>
      <c r="D7978" s="2">
        <f>HYPERLINK("http://mcb-m6.bioreg.kyushu-u.ac.jp/M3/20110429/F51152/1505/1", 91.94)</f>
        <v>91.94</v>
      </c>
      <c r="E7978" s="2">
        <v>70.989999999999995</v>
      </c>
      <c r="F7978" s="2">
        <v>2</v>
      </c>
      <c r="G7978" s="2" t="s">
        <v>13</v>
      </c>
    </row>
    <row r="7979" spans="1:7" x14ac:dyDescent="0.2">
      <c r="A7979" s="2" t="s">
        <v>3631</v>
      </c>
      <c r="B7979" s="2" t="s">
        <v>545</v>
      </c>
      <c r="C7979" s="2">
        <v>664.83259999999996</v>
      </c>
      <c r="D7979" s="2">
        <f>HYPERLINK("http://mcb-m6.bioreg.kyushu-u.ac.jp/M3/20110428/F51141/1461/1", 35.38)</f>
        <v>35.380000000000003</v>
      </c>
      <c r="E7979" s="2">
        <v>22.96</v>
      </c>
      <c r="F7979" s="2">
        <v>2</v>
      </c>
      <c r="G7979" s="2" t="s">
        <v>14</v>
      </c>
    </row>
    <row r="7980" spans="1:7" x14ac:dyDescent="0.2">
      <c r="A7980" s="2" t="s">
        <v>3631</v>
      </c>
      <c r="B7980" s="2" t="s">
        <v>545</v>
      </c>
      <c r="C7980" s="2">
        <v>1328.711</v>
      </c>
      <c r="D7980" s="2">
        <f>HYPERLINK("http://mcb-m6.bioreg.kyushu-u.ac.jp/M3/20110428/F51140/1535/1", 42.2)</f>
        <v>42.2</v>
      </c>
      <c r="E7980" s="2">
        <v>34.479999999999997</v>
      </c>
      <c r="F7980" s="2">
        <v>1</v>
      </c>
      <c r="G7980" s="2" t="s">
        <v>14</v>
      </c>
    </row>
    <row r="7981" spans="1:7" x14ac:dyDescent="0.2">
      <c r="A7981" s="2" t="s">
        <v>3631</v>
      </c>
      <c r="B7981" s="2" t="s">
        <v>545</v>
      </c>
      <c r="C7981" s="2">
        <v>664.95370000000003</v>
      </c>
      <c r="D7981" s="2">
        <f>HYPERLINK("http://mcb-m6.bioreg.kyushu-u.ac.jp/M3/20110428/F51138/1964/1", 42.77)</f>
        <v>42.77</v>
      </c>
      <c r="E7981" s="2">
        <v>25.72</v>
      </c>
      <c r="F7981" s="2">
        <v>2</v>
      </c>
      <c r="G7981" s="2" t="s">
        <v>14</v>
      </c>
    </row>
    <row r="7982" spans="1:7" x14ac:dyDescent="0.2">
      <c r="A7982" s="2" t="s">
        <v>3631</v>
      </c>
      <c r="B7982" s="2" t="s">
        <v>545</v>
      </c>
      <c r="C7982" s="2">
        <v>665.39319999999998</v>
      </c>
      <c r="D7982" s="2">
        <f>HYPERLINK("http://mcb-m6.bioreg.kyushu-u.ac.jp/M3/20110428/F51141/1467/1", 49.63)</f>
        <v>49.63</v>
      </c>
      <c r="E7982" s="2">
        <v>34.119999999999997</v>
      </c>
      <c r="F7982" s="2">
        <v>2</v>
      </c>
      <c r="G7982" s="2" t="s">
        <v>14</v>
      </c>
    </row>
    <row r="7983" spans="1:7" x14ac:dyDescent="0.2">
      <c r="A7983" s="2" t="s">
        <v>3631</v>
      </c>
      <c r="B7983" s="2" t="s">
        <v>545</v>
      </c>
      <c r="C7983" s="2">
        <v>665.33810000000005</v>
      </c>
      <c r="D7983" s="2">
        <f>HYPERLINK("http://mcb-m6.bioreg.kyushu-u.ac.jp/M3/20110428/F51141/1465/1", 50.38)</f>
        <v>50.38</v>
      </c>
      <c r="E7983" s="2">
        <v>33.93</v>
      </c>
      <c r="F7983" s="2">
        <v>2</v>
      </c>
      <c r="G7983" s="2" t="s">
        <v>14</v>
      </c>
    </row>
    <row r="7984" spans="1:7" x14ac:dyDescent="0.2">
      <c r="A7984" s="2" t="s">
        <v>3631</v>
      </c>
      <c r="B7984" s="2" t="s">
        <v>545</v>
      </c>
      <c r="C7984" s="2">
        <v>665.3981</v>
      </c>
      <c r="D7984" s="2">
        <f>HYPERLINK("http://mcb-m6.bioreg.kyushu-u.ac.jp/M3/20110502/F51159/1643/1", 50.67)</f>
        <v>50.67</v>
      </c>
      <c r="E7984" s="2">
        <v>35.299999999999997</v>
      </c>
      <c r="F7984" s="2">
        <v>2</v>
      </c>
      <c r="G7984" s="2" t="s">
        <v>14</v>
      </c>
    </row>
    <row r="7985" spans="1:7" x14ac:dyDescent="0.2">
      <c r="A7985" s="2" t="s">
        <v>3631</v>
      </c>
      <c r="B7985" s="2" t="s">
        <v>545</v>
      </c>
      <c r="C7985" s="2">
        <v>665.42570000000001</v>
      </c>
      <c r="D7985" s="2">
        <f>HYPERLINK("http://mcb-m6.bioreg.kyushu-u.ac.jp/M3/20110428/F51140/1541/1", 55.76)</f>
        <v>55.76</v>
      </c>
      <c r="E7985" s="2">
        <v>39.340000000000003</v>
      </c>
      <c r="F7985" s="2">
        <v>2</v>
      </c>
      <c r="G7985" s="2" t="s">
        <v>14</v>
      </c>
    </row>
    <row r="7986" spans="1:7" x14ac:dyDescent="0.2">
      <c r="A7986" s="2" t="s">
        <v>3631</v>
      </c>
      <c r="B7986" s="2" t="s">
        <v>545</v>
      </c>
      <c r="C7986" s="2">
        <v>665.39319999999998</v>
      </c>
      <c r="D7986" s="2">
        <f>HYPERLINK("http://mcb-m6.bioreg.kyushu-u.ac.jp/M3/20110428/F51142/1616/1", 59.7)</f>
        <v>59.7</v>
      </c>
      <c r="E7986" s="2">
        <v>45.77</v>
      </c>
      <c r="F7986" s="2">
        <v>2</v>
      </c>
      <c r="G7986" s="2" t="s">
        <v>14</v>
      </c>
    </row>
    <row r="7987" spans="1:7" x14ac:dyDescent="0.2">
      <c r="A7987" s="2" t="s">
        <v>3631</v>
      </c>
      <c r="B7987" s="2" t="s">
        <v>545</v>
      </c>
      <c r="C7987" s="2">
        <v>664.94669999999996</v>
      </c>
      <c r="D7987" s="2">
        <f>HYPERLINK("http://mcb-m6.bioreg.kyushu-u.ac.jp/M3/20110428/F51141/1464/1", 65.01)</f>
        <v>65.010000000000005</v>
      </c>
      <c r="E7987" s="2">
        <v>51.47</v>
      </c>
      <c r="F7987" s="2">
        <v>2</v>
      </c>
      <c r="G7987" s="2" t="s">
        <v>14</v>
      </c>
    </row>
    <row r="7988" spans="1:7" x14ac:dyDescent="0.2">
      <c r="A7988" s="2" t="s">
        <v>3631</v>
      </c>
      <c r="B7988" s="2" t="s">
        <v>545</v>
      </c>
      <c r="C7988" s="2">
        <v>665.11220000000003</v>
      </c>
      <c r="D7988" s="2">
        <f>HYPERLINK("http://mcb-m6.bioreg.kyushu-u.ac.jp/M3/20110428/F51140/1539/1", 67.2)</f>
        <v>67.2</v>
      </c>
      <c r="E7988" s="2">
        <v>51.43</v>
      </c>
      <c r="F7988" s="2">
        <v>2</v>
      </c>
      <c r="G7988" s="2" t="s">
        <v>14</v>
      </c>
    </row>
    <row r="7989" spans="1:7" x14ac:dyDescent="0.2">
      <c r="A7989" s="2" t="s">
        <v>3631</v>
      </c>
      <c r="B7989" s="2" t="s">
        <v>545</v>
      </c>
      <c r="C7989" s="2">
        <v>665.15869999999995</v>
      </c>
      <c r="D7989" s="2">
        <f>HYPERLINK("http://mcb-m6.bioreg.kyushu-u.ac.jp/M3/20110502/F51160/1331/1", 69.55)</f>
        <v>69.55</v>
      </c>
      <c r="E7989" s="2">
        <v>46.58</v>
      </c>
      <c r="F7989" s="2">
        <v>2</v>
      </c>
      <c r="G7989" s="2" t="s">
        <v>14</v>
      </c>
    </row>
    <row r="7990" spans="1:7" x14ac:dyDescent="0.2">
      <c r="A7990" s="2" t="s">
        <v>3631</v>
      </c>
      <c r="B7990" s="2" t="s">
        <v>545</v>
      </c>
      <c r="C7990" s="2">
        <v>664.81410000000005</v>
      </c>
      <c r="D7990" s="2">
        <f>HYPERLINK("http://mcb-m6.bioreg.kyushu-u.ac.jp/M3/20110428/F51140/1530/1", 73.84)</f>
        <v>73.84</v>
      </c>
      <c r="E7990" s="2">
        <v>50.86</v>
      </c>
      <c r="F7990" s="2">
        <v>2</v>
      </c>
      <c r="G7990" s="2" t="s">
        <v>14</v>
      </c>
    </row>
    <row r="7991" spans="1:7" x14ac:dyDescent="0.2">
      <c r="A7991" s="2" t="s">
        <v>3631</v>
      </c>
      <c r="B7991" s="2" t="s">
        <v>545</v>
      </c>
      <c r="C7991" s="2">
        <v>664.80160000000001</v>
      </c>
      <c r="D7991" s="2">
        <f>HYPERLINK("http://mcb-m6.bioreg.kyushu-u.ac.jp/M3/20110428/F51140/1529/1", 74.69)</f>
        <v>74.69</v>
      </c>
      <c r="E7991" s="2">
        <v>53.96</v>
      </c>
      <c r="F7991" s="2">
        <v>2</v>
      </c>
      <c r="G7991" s="2" t="s">
        <v>14</v>
      </c>
    </row>
    <row r="7992" spans="1:7" x14ac:dyDescent="0.2">
      <c r="A7992" s="2" t="s">
        <v>3631</v>
      </c>
      <c r="B7992" s="2" t="s">
        <v>545</v>
      </c>
      <c r="C7992" s="2">
        <v>665.33219999999994</v>
      </c>
      <c r="D7992" s="2">
        <f>HYPERLINK("http://mcb-m6.bioreg.kyushu-u.ac.jp/M3/20110428/F51140/1540/1", 77.5)</f>
        <v>77.5</v>
      </c>
      <c r="E7992" s="2">
        <v>64.42</v>
      </c>
      <c r="F7992" s="2">
        <v>2</v>
      </c>
      <c r="G7992" s="2" t="s">
        <v>14</v>
      </c>
    </row>
    <row r="7993" spans="1:7" x14ac:dyDescent="0.2">
      <c r="A7993" s="2" t="s">
        <v>3631</v>
      </c>
      <c r="B7993" s="2" t="s">
        <v>545</v>
      </c>
      <c r="C7993" s="2">
        <v>664.92020000000002</v>
      </c>
      <c r="D7993" s="2">
        <f>HYPERLINK("http://mcb-m6.bioreg.kyushu-u.ac.jp/M3/20110428/F51140/1538/1", 80.85)</f>
        <v>80.849999999999994</v>
      </c>
      <c r="E7993" s="2">
        <v>58.42</v>
      </c>
      <c r="F7993" s="2">
        <v>2</v>
      </c>
      <c r="G7993" s="2" t="s">
        <v>14</v>
      </c>
    </row>
    <row r="7994" spans="1:7" x14ac:dyDescent="0.2">
      <c r="A7994" s="2" t="s">
        <v>3631</v>
      </c>
      <c r="B7994" s="2" t="s">
        <v>545</v>
      </c>
      <c r="C7994" s="2">
        <v>664.84169999999995</v>
      </c>
      <c r="D7994" s="2">
        <f>HYPERLINK("http://mcb-m6.bioreg.kyushu-u.ac.jp/M3/20110428/F51140/1533/1", 82.19)</f>
        <v>82.19</v>
      </c>
      <c r="E7994" s="2">
        <v>65.45</v>
      </c>
      <c r="F7994" s="2">
        <v>2</v>
      </c>
      <c r="G7994" s="2" t="s">
        <v>14</v>
      </c>
    </row>
    <row r="7995" spans="1:7" x14ac:dyDescent="0.2">
      <c r="A7995" s="2" t="s">
        <v>3631</v>
      </c>
      <c r="B7995" s="2" t="s">
        <v>545</v>
      </c>
      <c r="C7995" s="2">
        <v>665.10109999999997</v>
      </c>
      <c r="D7995" s="2">
        <f>HYPERLINK("http://mcb-m6.bioreg.kyushu-u.ac.jp/M3/20110502/F51159/1641/1", 83.7)</f>
        <v>83.7</v>
      </c>
      <c r="E7995" s="2">
        <v>59.56</v>
      </c>
      <c r="F7995" s="2">
        <v>2</v>
      </c>
      <c r="G7995" s="2" t="s">
        <v>14</v>
      </c>
    </row>
    <row r="7996" spans="1:7" x14ac:dyDescent="0.2">
      <c r="A7996" s="2" t="s">
        <v>3631</v>
      </c>
      <c r="B7996" s="2" t="s">
        <v>545</v>
      </c>
      <c r="C7996" s="2">
        <v>664.88459999999998</v>
      </c>
      <c r="D7996" s="2">
        <f>HYPERLINK("http://mcb-m6.bioreg.kyushu-u.ac.jp/M3/20110428/F51140/1537/1", 85.38)</f>
        <v>85.38</v>
      </c>
      <c r="E7996" s="2">
        <v>63.83</v>
      </c>
      <c r="F7996" s="2">
        <v>2</v>
      </c>
      <c r="G7996" s="2" t="s">
        <v>14</v>
      </c>
    </row>
    <row r="7997" spans="1:7" x14ac:dyDescent="0.2">
      <c r="A7997" s="2" t="s">
        <v>3631</v>
      </c>
      <c r="B7997" s="2" t="s">
        <v>545</v>
      </c>
      <c r="C7997" s="2">
        <v>664.83759999999995</v>
      </c>
      <c r="D7997" s="2">
        <f>HYPERLINK("http://mcb-m6.bioreg.kyushu-u.ac.jp/M3/20110428/F51140/1532/1", 86.04)</f>
        <v>86.04</v>
      </c>
      <c r="E7997" s="2">
        <v>68.61</v>
      </c>
      <c r="F7997" s="2">
        <v>2</v>
      </c>
      <c r="G7997" s="2" t="s">
        <v>14</v>
      </c>
    </row>
    <row r="7998" spans="1:7" x14ac:dyDescent="0.2">
      <c r="A7998" s="2" t="s">
        <v>3631</v>
      </c>
      <c r="B7998" s="2" t="s">
        <v>545</v>
      </c>
      <c r="C7998" s="2">
        <v>664.87660000000005</v>
      </c>
      <c r="D7998" s="2">
        <f>HYPERLINK("http://mcb-m6.bioreg.kyushu-u.ac.jp/M3/20110428/F51140/1536/1", 91.88)</f>
        <v>91.88</v>
      </c>
      <c r="E7998" s="2">
        <v>72.040000000000006</v>
      </c>
      <c r="F7998" s="2">
        <v>2</v>
      </c>
      <c r="G7998" s="2" t="s">
        <v>14</v>
      </c>
    </row>
    <row r="7999" spans="1:7" x14ac:dyDescent="0.2">
      <c r="A7999" s="2" t="s">
        <v>3671</v>
      </c>
      <c r="B7999" s="2" t="s">
        <v>5287</v>
      </c>
      <c r="C7999" s="2">
        <v>460.83359999999999</v>
      </c>
      <c r="D7999" s="2">
        <f>HYPERLINK("http://mcb-m6.bioreg.kyushu-u.ac.jp/M3/20110318/F50599/1105/1", 47.62)</f>
        <v>47.62</v>
      </c>
      <c r="E7999" s="2">
        <v>23.09</v>
      </c>
      <c r="F7999" s="2">
        <v>2</v>
      </c>
      <c r="G7999" s="2" t="s">
        <v>10</v>
      </c>
    </row>
    <row r="8000" spans="1:7" x14ac:dyDescent="0.2">
      <c r="A8000" s="2" t="s">
        <v>3671</v>
      </c>
      <c r="B8000" s="2" t="s">
        <v>1474</v>
      </c>
      <c r="C8000" s="2">
        <v>829.95920000000001</v>
      </c>
      <c r="D8000" s="2">
        <f>HYPERLINK("http://mcb-m6.bioreg.kyushu-u.ac.jp/M3/20110318/F50599/1977/1", 81.28)</f>
        <v>81.28</v>
      </c>
      <c r="E8000" s="2">
        <v>61.88</v>
      </c>
      <c r="F8000" s="2">
        <v>2</v>
      </c>
      <c r="G8000" s="2" t="s">
        <v>10</v>
      </c>
    </row>
    <row r="8001" spans="1:7" x14ac:dyDescent="0.2">
      <c r="A8001" s="2" t="s">
        <v>3627</v>
      </c>
      <c r="B8001" s="2" t="s">
        <v>540</v>
      </c>
      <c r="C8001" s="2">
        <v>1107.2329999999999</v>
      </c>
      <c r="D8001" s="2">
        <f>HYPERLINK("http://mcb-m6.bioreg.kyushu-u.ac.jp/M3/20110429/F51156/3239/1", 36.8)</f>
        <v>36.799999999999997</v>
      </c>
      <c r="E8001" s="2">
        <v>24.24</v>
      </c>
      <c r="F8001" s="2">
        <v>2</v>
      </c>
      <c r="G8001" s="2" t="s">
        <v>13</v>
      </c>
    </row>
    <row r="8002" spans="1:7" x14ac:dyDescent="0.2">
      <c r="A8002" s="2" t="s">
        <v>3627</v>
      </c>
      <c r="B8002" s="2" t="s">
        <v>540</v>
      </c>
      <c r="C8002" s="2">
        <v>1107.3969999999999</v>
      </c>
      <c r="D8002" s="2">
        <f>HYPERLINK("http://mcb-m6.bioreg.kyushu-u.ac.jp/M3/20110428/F51147/2908/1", 40.84)</f>
        <v>40.840000000000003</v>
      </c>
      <c r="E8002" s="2">
        <v>14</v>
      </c>
      <c r="F8002" s="2">
        <v>2</v>
      </c>
      <c r="G8002" s="2" t="s">
        <v>13</v>
      </c>
    </row>
    <row r="8003" spans="1:7" x14ac:dyDescent="0.2">
      <c r="A8003" s="2" t="s">
        <v>3627</v>
      </c>
      <c r="B8003" s="2" t="s">
        <v>540</v>
      </c>
      <c r="C8003" s="2">
        <v>1107.586</v>
      </c>
      <c r="D8003" s="2">
        <f>HYPERLINK("http://mcb-m6.bioreg.kyushu-u.ac.jp/M3/20110428/F51144/3556/1", 39.66)</f>
        <v>39.659999999999997</v>
      </c>
      <c r="E8003" s="2">
        <v>18.61</v>
      </c>
      <c r="F8003" s="2">
        <v>2</v>
      </c>
      <c r="G8003" s="2" t="s">
        <v>14</v>
      </c>
    </row>
    <row r="8004" spans="1:7" x14ac:dyDescent="0.2">
      <c r="A8004" s="2" t="s">
        <v>3528</v>
      </c>
      <c r="B8004" s="2" t="s">
        <v>626</v>
      </c>
      <c r="C8004" s="2">
        <v>689.47019999999998</v>
      </c>
      <c r="D8004" s="2">
        <f>HYPERLINK("http://mcb-m6.bioreg.kyushu-u.ac.jp/M3/20110318/F50607/1355/1", 57.16)</f>
        <v>57.16</v>
      </c>
      <c r="E8004" s="2">
        <v>45.59</v>
      </c>
      <c r="F8004" s="2">
        <v>2</v>
      </c>
      <c r="G8004" s="2" t="s">
        <v>9</v>
      </c>
    </row>
    <row r="8005" spans="1:7" x14ac:dyDescent="0.2">
      <c r="A8005" s="2" t="s">
        <v>3528</v>
      </c>
      <c r="B8005" s="2" t="s">
        <v>614</v>
      </c>
      <c r="C8005" s="2">
        <v>594.75869999999998</v>
      </c>
      <c r="D8005" s="2">
        <f>HYPERLINK("http://mcb-m6.bioreg.kyushu-u.ac.jp/M3/20110429/F51151/1552/1", 52.93)</f>
        <v>52.93</v>
      </c>
      <c r="E8005" s="2">
        <v>29.1</v>
      </c>
      <c r="F8005" s="2">
        <v>2</v>
      </c>
      <c r="G8005" s="2" t="s">
        <v>13</v>
      </c>
    </row>
    <row r="8006" spans="1:7" x14ac:dyDescent="0.2">
      <c r="A8006" s="2" t="s">
        <v>3528</v>
      </c>
      <c r="B8006" s="2" t="s">
        <v>614</v>
      </c>
      <c r="C8006" s="2">
        <v>594.75459999999998</v>
      </c>
      <c r="D8006" s="2">
        <f>HYPERLINK("http://mcb-m6.bioreg.kyushu-u.ac.jp/M3/20110429/F51152/1255/1", 68.94)</f>
        <v>68.94</v>
      </c>
      <c r="E8006" s="2">
        <v>42.35</v>
      </c>
      <c r="F8006" s="2">
        <v>2</v>
      </c>
      <c r="G8006" s="2" t="s">
        <v>13</v>
      </c>
    </row>
    <row r="8007" spans="1:7" x14ac:dyDescent="0.2">
      <c r="A8007" s="2" t="s">
        <v>3528</v>
      </c>
      <c r="B8007" s="2" t="s">
        <v>626</v>
      </c>
      <c r="C8007" s="2">
        <v>689.8347</v>
      </c>
      <c r="D8007" s="2">
        <f>HYPERLINK("http://mcb-m6.bioreg.kyushu-u.ac.jp/M3/20110428/F51140/1681/1", 42.55)</f>
        <v>42.55</v>
      </c>
      <c r="E8007" s="2">
        <v>27.83</v>
      </c>
      <c r="F8007" s="2">
        <v>2</v>
      </c>
      <c r="G8007" s="2" t="s">
        <v>14</v>
      </c>
    </row>
    <row r="8008" spans="1:7" x14ac:dyDescent="0.2">
      <c r="A8008" s="2" t="s">
        <v>3839</v>
      </c>
      <c r="B8008" s="2" t="s">
        <v>923</v>
      </c>
      <c r="C8008" s="2">
        <v>958.28520000000003</v>
      </c>
      <c r="D8008" s="2">
        <f>HYPERLINK("http://mcb-m6.bioreg.kyushu-u.ac.jp/M3/20110318/F50597/2374/1", 96.34)</f>
        <v>96.34</v>
      </c>
      <c r="E8008" s="2">
        <v>84.75</v>
      </c>
      <c r="F8008" s="2">
        <v>2</v>
      </c>
      <c r="G8008" s="2" t="s">
        <v>10</v>
      </c>
    </row>
    <row r="8009" spans="1:7" x14ac:dyDescent="0.2">
      <c r="A8009" s="2" t="s">
        <v>3839</v>
      </c>
      <c r="B8009" s="2" t="s">
        <v>923</v>
      </c>
      <c r="C8009" s="2">
        <v>958.34310000000005</v>
      </c>
      <c r="D8009" s="2">
        <f>HYPERLINK("http://mcb-m6.bioreg.kyushu-u.ac.jp/M3/20110418/F50974/3081/1", 50.92)</f>
        <v>50.92</v>
      </c>
      <c r="E8009" s="2">
        <v>39.42</v>
      </c>
      <c r="F8009" s="2">
        <v>2</v>
      </c>
      <c r="G8009" s="2" t="s">
        <v>11</v>
      </c>
    </row>
    <row r="8010" spans="1:7" x14ac:dyDescent="0.2">
      <c r="A8010" s="2" t="s">
        <v>3839</v>
      </c>
      <c r="B8010" s="2" t="s">
        <v>923</v>
      </c>
      <c r="C8010" s="2">
        <v>958.40620000000001</v>
      </c>
      <c r="D8010" s="2">
        <f>HYPERLINK("http://mcb-m6.bioreg.kyushu-u.ac.jp/M3/20110429/F51157/2841/1", 72.77)</f>
        <v>72.77</v>
      </c>
      <c r="E8010" s="2">
        <v>63.19</v>
      </c>
      <c r="F8010" s="2">
        <v>2</v>
      </c>
      <c r="G8010" s="2" t="s">
        <v>13</v>
      </c>
    </row>
    <row r="8011" spans="1:7" x14ac:dyDescent="0.2">
      <c r="A8011" s="2" t="s">
        <v>4124</v>
      </c>
      <c r="B8011" s="2" t="s">
        <v>1643</v>
      </c>
      <c r="C8011" s="2">
        <v>810.32069999999999</v>
      </c>
      <c r="D8011" s="2">
        <f>HYPERLINK("http://mcb-m6.bioreg.kyushu-u.ac.jp/M3/20110318/F50616/2011/1", 47.3)</f>
        <v>47.3</v>
      </c>
      <c r="E8011" s="2">
        <v>30.94</v>
      </c>
      <c r="F8011" s="2">
        <v>2</v>
      </c>
      <c r="G8011" s="2" t="s">
        <v>10</v>
      </c>
    </row>
    <row r="8012" spans="1:7" x14ac:dyDescent="0.2">
      <c r="A8012" s="2" t="s">
        <v>4124</v>
      </c>
      <c r="B8012" s="2" t="s">
        <v>1643</v>
      </c>
      <c r="C8012" s="2">
        <v>810.86569999999995</v>
      </c>
      <c r="D8012" s="2">
        <f>HYPERLINK("http://mcb-m6.bioreg.kyushu-u.ac.jp/M3/20110318/F50616/2012/1", 87.53)</f>
        <v>87.53</v>
      </c>
      <c r="E8012" s="2">
        <v>66.81</v>
      </c>
      <c r="F8012" s="2">
        <v>2</v>
      </c>
      <c r="G8012" s="2" t="s">
        <v>10</v>
      </c>
    </row>
    <row r="8013" spans="1:7" x14ac:dyDescent="0.2">
      <c r="A8013" s="2" t="s">
        <v>4124</v>
      </c>
      <c r="B8013" s="2" t="s">
        <v>1643</v>
      </c>
      <c r="C8013" s="2">
        <v>810.3442</v>
      </c>
      <c r="D8013" s="2">
        <f>HYPERLINK("http://mcb-m6.bioreg.kyushu-u.ac.jp/M3/20110318/F50598/1829/1", 106.06)</f>
        <v>106.06</v>
      </c>
      <c r="E8013" s="2">
        <v>83.55</v>
      </c>
      <c r="F8013" s="2">
        <v>2</v>
      </c>
      <c r="G8013" s="2" t="s">
        <v>10</v>
      </c>
    </row>
    <row r="8014" spans="1:7" x14ac:dyDescent="0.2">
      <c r="A8014" s="2" t="s">
        <v>4124</v>
      </c>
      <c r="B8014" s="2" t="s">
        <v>1643</v>
      </c>
      <c r="C8014" s="2">
        <v>810.75919999999996</v>
      </c>
      <c r="D8014" s="2">
        <f>HYPERLINK("http://mcb-m6.bioreg.kyushu-u.ac.jp/M3/20110418/F50997/2297/1", 106.04)</f>
        <v>106.04</v>
      </c>
      <c r="E8014" s="2">
        <v>87.54</v>
      </c>
      <c r="F8014" s="2">
        <v>2</v>
      </c>
      <c r="G8014" s="2" t="s">
        <v>12</v>
      </c>
    </row>
    <row r="8015" spans="1:7" x14ac:dyDescent="0.2">
      <c r="A8015" s="2" t="s">
        <v>4124</v>
      </c>
      <c r="B8015" s="2" t="s">
        <v>1643</v>
      </c>
      <c r="C8015" s="2">
        <v>810.78719999999998</v>
      </c>
      <c r="D8015" s="2">
        <f>HYPERLINK("http://mcb-m6.bioreg.kyushu-u.ac.jp/M3/20110429/F51152/2366/1", 104.42)</f>
        <v>104.42</v>
      </c>
      <c r="E8015" s="2">
        <v>82.95</v>
      </c>
      <c r="F8015" s="2">
        <v>2</v>
      </c>
      <c r="G8015" s="2" t="s">
        <v>13</v>
      </c>
    </row>
    <row r="8016" spans="1:7" x14ac:dyDescent="0.2">
      <c r="A8016" s="2" t="s">
        <v>4124</v>
      </c>
      <c r="B8016" s="2" t="s">
        <v>1643</v>
      </c>
      <c r="C8016" s="2">
        <v>810.49959999999999</v>
      </c>
      <c r="D8016" s="2">
        <f>HYPERLINK("http://mcb-m6.bioreg.kyushu-u.ac.jp/M3/20110428/F51140/2368/1", 75.35)</f>
        <v>75.349999999999994</v>
      </c>
      <c r="E8016" s="2">
        <v>57.46</v>
      </c>
      <c r="F8016" s="2">
        <v>2</v>
      </c>
      <c r="G8016" s="2" t="s">
        <v>14</v>
      </c>
    </row>
    <row r="8017" spans="1:9" x14ac:dyDescent="0.2">
      <c r="A8017" s="2" t="s">
        <v>3484</v>
      </c>
      <c r="B8017" s="2" t="s">
        <v>307</v>
      </c>
      <c r="C8017" s="2">
        <v>810.77970000000005</v>
      </c>
      <c r="D8017" s="2">
        <f>HYPERLINK("http://mcb-m6.bioreg.kyushu-u.ac.jp/M3/20110318/F50598/1831/1", 57.16)</f>
        <v>57.16</v>
      </c>
      <c r="E8017" s="2">
        <v>40.200000000000003</v>
      </c>
      <c r="F8017" s="2">
        <v>2</v>
      </c>
      <c r="G8017" s="2" t="s">
        <v>10</v>
      </c>
    </row>
    <row r="8018" spans="1:9" x14ac:dyDescent="0.2">
      <c r="A8018" s="2" t="s">
        <v>3484</v>
      </c>
      <c r="B8018" s="2" t="s">
        <v>1204</v>
      </c>
      <c r="C8018" s="2">
        <v>660.73659999999995</v>
      </c>
      <c r="D8018" s="2">
        <f>HYPERLINK("http://mcb-m6.bioreg.kyushu-u.ac.jp/M3/20110418/F50997/1662/1", 68.56)</f>
        <v>68.56</v>
      </c>
      <c r="E8018" s="2">
        <v>51.76</v>
      </c>
      <c r="F8018" s="2">
        <v>2</v>
      </c>
      <c r="G8018" s="2" t="s">
        <v>12</v>
      </c>
    </row>
    <row r="8019" spans="1:9" x14ac:dyDescent="0.2">
      <c r="A8019" s="2" t="s">
        <v>3484</v>
      </c>
      <c r="B8019" s="2" t="s">
        <v>534</v>
      </c>
      <c r="C8019" s="2">
        <v>730.48659999999995</v>
      </c>
      <c r="D8019" s="2">
        <f>HYPERLINK("http://mcb-m6.bioreg.kyushu-u.ac.jp/M3/20110428/F51140/1917/1", 45.63)</f>
        <v>45.63</v>
      </c>
      <c r="E8019" s="2">
        <v>23.03</v>
      </c>
      <c r="F8019" s="2">
        <v>2</v>
      </c>
      <c r="G8019" s="2" t="s">
        <v>14</v>
      </c>
    </row>
    <row r="8020" spans="1:9" x14ac:dyDescent="0.2">
      <c r="A8020" s="4" t="s">
        <v>3944</v>
      </c>
      <c r="B8020" s="2" t="s">
        <v>1611</v>
      </c>
      <c r="C8020" s="2">
        <v>748.53520000000003</v>
      </c>
      <c r="D8020" s="2">
        <f>HYPERLINK("http://mcb-m6.bioreg.kyushu-u.ac.jp/M3/20110318/F50618/2964/1", 40.98)</f>
        <v>40.98</v>
      </c>
      <c r="E8020" s="2">
        <v>28.1</v>
      </c>
      <c r="F8020" s="2">
        <v>3</v>
      </c>
      <c r="G8020" s="2" t="s">
        <v>9</v>
      </c>
      <c r="H8020" s="2" t="s">
        <v>4910</v>
      </c>
    </row>
    <row r="8021" spans="1:9" x14ac:dyDescent="0.2">
      <c r="A8021" s="4" t="s">
        <v>3944</v>
      </c>
      <c r="B8021" s="2" t="s">
        <v>2074</v>
      </c>
      <c r="C8021" s="2">
        <v>768.10419999999999</v>
      </c>
      <c r="D8021" s="2">
        <f>HYPERLINK("http://mcb-m6.bioreg.kyushu-u.ac.jp/M3/20110318/F50621/1641/1", 41.82)</f>
        <v>41.82</v>
      </c>
      <c r="E8021" s="2">
        <v>22.17</v>
      </c>
      <c r="F8021" s="2">
        <v>2</v>
      </c>
      <c r="G8021" s="2" t="s">
        <v>9</v>
      </c>
    </row>
    <row r="8022" spans="1:9" x14ac:dyDescent="0.2">
      <c r="A8022" s="4" t="s">
        <v>3944</v>
      </c>
      <c r="B8022" s="2" t="s">
        <v>1143</v>
      </c>
      <c r="C8022" s="2">
        <v>795.96559999999999</v>
      </c>
      <c r="D8022" s="2">
        <f>HYPERLINK("http://mcb-m6.bioreg.kyushu-u.ac.jp/M3/20110318/F50621/1740/1", 43.72)</f>
        <v>43.72</v>
      </c>
      <c r="E8022" s="2">
        <v>23.77</v>
      </c>
      <c r="F8022" s="2">
        <v>2</v>
      </c>
      <c r="G8022" s="2" t="s">
        <v>9</v>
      </c>
    </row>
    <row r="8023" spans="1:9" x14ac:dyDescent="0.2">
      <c r="A8023" s="4" t="s">
        <v>3944</v>
      </c>
      <c r="B8023" s="2" t="s">
        <v>1683</v>
      </c>
      <c r="C8023" s="2">
        <v>674.19460000000004</v>
      </c>
      <c r="D8023" s="2">
        <f>HYPERLINK("http://mcb-m6.bioreg.kyushu-u.ac.jp/M3/20110318/F50621/1303/1", 44.1)</f>
        <v>44.1</v>
      </c>
      <c r="E8023" s="2">
        <v>31</v>
      </c>
      <c r="F8023" s="2">
        <v>2</v>
      </c>
      <c r="G8023" s="2" t="s">
        <v>9</v>
      </c>
      <c r="I8023" s="2" t="s">
        <v>4903</v>
      </c>
    </row>
    <row r="8024" spans="1:9" x14ac:dyDescent="0.2">
      <c r="A8024" s="4" t="s">
        <v>3944</v>
      </c>
      <c r="B8024" s="2" t="s">
        <v>1143</v>
      </c>
      <c r="C8024" s="2">
        <v>787.66970000000003</v>
      </c>
      <c r="D8024" s="2">
        <f>HYPERLINK("http://mcb-m6.bioreg.kyushu-u.ac.jp/M3/20110318/F50621/1715/1", 44.12)</f>
        <v>44.12</v>
      </c>
      <c r="E8024" s="2">
        <v>36.01</v>
      </c>
      <c r="F8024" s="2">
        <v>2</v>
      </c>
      <c r="G8024" s="2" t="s">
        <v>9</v>
      </c>
      <c r="H8024" s="2" t="s">
        <v>4904</v>
      </c>
    </row>
    <row r="8025" spans="1:9" x14ac:dyDescent="0.2">
      <c r="A8025" s="4" t="s">
        <v>3944</v>
      </c>
      <c r="B8025" s="2" t="s">
        <v>1143</v>
      </c>
      <c r="C8025" s="2">
        <v>788.27369999999996</v>
      </c>
      <c r="D8025" s="2">
        <f>HYPERLINK("http://mcb-m6.bioreg.kyushu-u.ac.jp/M3/20110318/F50621/1719/1", 44.46)</f>
        <v>44.46</v>
      </c>
      <c r="E8025" s="2">
        <v>25.44</v>
      </c>
      <c r="F8025" s="2">
        <v>2</v>
      </c>
      <c r="G8025" s="2" t="s">
        <v>9</v>
      </c>
      <c r="H8025" s="2" t="s">
        <v>4904</v>
      </c>
    </row>
    <row r="8026" spans="1:9" x14ac:dyDescent="0.2">
      <c r="A8026" s="4" t="s">
        <v>3944</v>
      </c>
      <c r="B8026" s="2" t="s">
        <v>2074</v>
      </c>
      <c r="C8026" s="2">
        <v>767.63959999999997</v>
      </c>
      <c r="D8026" s="2">
        <f>HYPERLINK("http://mcb-m6.bioreg.kyushu-u.ac.jp/M3/20110318/F50621/1633/1", 46.71)</f>
        <v>46.71</v>
      </c>
      <c r="E8026" s="2">
        <v>19.14</v>
      </c>
      <c r="F8026" s="2">
        <v>2</v>
      </c>
      <c r="G8026" s="2" t="s">
        <v>9</v>
      </c>
    </row>
    <row r="8027" spans="1:9" x14ac:dyDescent="0.2">
      <c r="A8027" s="4" t="s">
        <v>3944</v>
      </c>
      <c r="B8027" s="2" t="s">
        <v>1683</v>
      </c>
      <c r="C8027" s="2">
        <v>674.39509999999996</v>
      </c>
      <c r="D8027" s="2">
        <f>HYPERLINK("http://mcb-m6.bioreg.kyushu-u.ac.jp/M3/20110318/F50621/1305/1", 47.25)</f>
        <v>47.25</v>
      </c>
      <c r="E8027" s="2">
        <v>31.79</v>
      </c>
      <c r="F8027" s="2">
        <v>2</v>
      </c>
      <c r="G8027" s="2" t="s">
        <v>9</v>
      </c>
      <c r="I8027" s="2" t="s">
        <v>4903</v>
      </c>
    </row>
    <row r="8028" spans="1:9" x14ac:dyDescent="0.2">
      <c r="A8028" s="4" t="s">
        <v>3944</v>
      </c>
      <c r="B8028" s="2" t="s">
        <v>2074</v>
      </c>
      <c r="C8028" s="2">
        <v>768.21510000000001</v>
      </c>
      <c r="D8028" s="2">
        <f>HYPERLINK("http://mcb-m6.bioreg.kyushu-u.ac.jp/M3/20110318/F50621/1642/1", 50.03)</f>
        <v>50.03</v>
      </c>
      <c r="E8028" s="2">
        <v>31.49</v>
      </c>
      <c r="F8028" s="2">
        <v>2</v>
      </c>
      <c r="G8028" s="2" t="s">
        <v>9</v>
      </c>
    </row>
    <row r="8029" spans="1:9" x14ac:dyDescent="0.2">
      <c r="A8029" s="4" t="s">
        <v>3944</v>
      </c>
      <c r="B8029" s="2" t="s">
        <v>1611</v>
      </c>
      <c r="C8029" s="2">
        <v>748.65150000000006</v>
      </c>
      <c r="D8029" s="2">
        <f>HYPERLINK("http://mcb-m6.bioreg.kyushu-u.ac.jp/M3/20110318/F50620/2790/1", 53.39)</f>
        <v>53.39</v>
      </c>
      <c r="E8029" s="2">
        <v>39.58</v>
      </c>
      <c r="F8029" s="2">
        <v>3</v>
      </c>
      <c r="G8029" s="2" t="s">
        <v>9</v>
      </c>
      <c r="H8029" s="2" t="s">
        <v>4910</v>
      </c>
    </row>
    <row r="8030" spans="1:9" x14ac:dyDescent="0.2">
      <c r="A8030" s="4" t="s">
        <v>3944</v>
      </c>
      <c r="B8030" s="2" t="s">
        <v>1143</v>
      </c>
      <c r="C8030" s="2">
        <v>796.20719999999994</v>
      </c>
      <c r="D8030" s="2">
        <f>HYPERLINK("http://mcb-m6.bioreg.kyushu-u.ac.jp/M3/20110318/F50621/1741/1", 55.18)</f>
        <v>55.18</v>
      </c>
      <c r="E8030" s="2">
        <v>30.21</v>
      </c>
      <c r="F8030" s="2">
        <v>2</v>
      </c>
      <c r="G8030" s="2" t="s">
        <v>9</v>
      </c>
    </row>
    <row r="8031" spans="1:9" x14ac:dyDescent="0.2">
      <c r="A8031" s="4" t="s">
        <v>3944</v>
      </c>
      <c r="B8031" s="2" t="s">
        <v>1977</v>
      </c>
      <c r="C8031" s="2">
        <v>1191.433</v>
      </c>
      <c r="D8031" s="2">
        <f>HYPERLINK("http://mcb-m6.bioreg.kyushu-u.ac.jp/M3/20110318/F50621/3081/1", 56.81)</f>
        <v>56.81</v>
      </c>
      <c r="E8031" s="2">
        <v>46.5</v>
      </c>
      <c r="F8031" s="2">
        <v>3</v>
      </c>
      <c r="G8031" s="2" t="s">
        <v>9</v>
      </c>
      <c r="I8031" s="2" t="s">
        <v>4954</v>
      </c>
    </row>
    <row r="8032" spans="1:9" x14ac:dyDescent="0.2">
      <c r="A8032" s="4" t="s">
        <v>3944</v>
      </c>
      <c r="B8032" s="2" t="s">
        <v>2074</v>
      </c>
      <c r="C8032" s="2">
        <v>776.15309999999999</v>
      </c>
      <c r="D8032" s="2">
        <f>HYPERLINK("http://mcb-m6.bioreg.kyushu-u.ac.jp/M3/20110318/F50618/1833/1", 59.07)</f>
        <v>59.07</v>
      </c>
      <c r="E8032" s="2">
        <v>31.08</v>
      </c>
      <c r="F8032" s="2">
        <v>2</v>
      </c>
      <c r="G8032" s="2" t="s">
        <v>9</v>
      </c>
      <c r="H8032" s="2" t="s">
        <v>4910</v>
      </c>
    </row>
    <row r="8033" spans="1:9" x14ac:dyDescent="0.2">
      <c r="A8033" s="4" t="s">
        <v>3944</v>
      </c>
      <c r="B8033" s="2" t="s">
        <v>1143</v>
      </c>
      <c r="C8033" s="2">
        <v>1575.48</v>
      </c>
      <c r="D8033" s="2">
        <f>HYPERLINK("http://mcb-m6.bioreg.kyushu-u.ac.jp/M3/20110318/F50621/1717/1", 59.71)</f>
        <v>59.71</v>
      </c>
      <c r="E8033" s="2">
        <v>39.020000000000003</v>
      </c>
      <c r="F8033" s="2">
        <v>1</v>
      </c>
      <c r="G8033" s="2" t="s">
        <v>9</v>
      </c>
      <c r="H8033" s="2" t="s">
        <v>4904</v>
      </c>
    </row>
    <row r="8034" spans="1:9" x14ac:dyDescent="0.2">
      <c r="A8034" s="4" t="s">
        <v>3944</v>
      </c>
      <c r="B8034" s="2" t="s">
        <v>1611</v>
      </c>
      <c r="C8034" s="2">
        <v>748.64250000000004</v>
      </c>
      <c r="D8034" s="2">
        <f>HYPERLINK("http://mcb-m6.bioreg.kyushu-u.ac.jp/M3/20110318/F50621/2456/1", 64.12)</f>
        <v>64.12</v>
      </c>
      <c r="E8034" s="2">
        <v>49.93</v>
      </c>
      <c r="F8034" s="2">
        <v>3</v>
      </c>
      <c r="G8034" s="2" t="s">
        <v>9</v>
      </c>
      <c r="H8034" s="2" t="s">
        <v>4910</v>
      </c>
    </row>
    <row r="8035" spans="1:9" x14ac:dyDescent="0.2">
      <c r="A8035" s="4" t="s">
        <v>3944</v>
      </c>
      <c r="B8035" s="2" t="s">
        <v>2074</v>
      </c>
      <c r="C8035" s="2">
        <v>776.27970000000005</v>
      </c>
      <c r="D8035" s="2">
        <f>HYPERLINK("http://mcb-m6.bioreg.kyushu-u.ac.jp/M3/20110318/F50621/1680/1", 66.98)</f>
        <v>66.98</v>
      </c>
      <c r="E8035" s="2">
        <v>37.049999999999997</v>
      </c>
      <c r="F8035" s="2">
        <v>2</v>
      </c>
      <c r="G8035" s="2" t="s">
        <v>9</v>
      </c>
      <c r="H8035" s="2" t="s">
        <v>4910</v>
      </c>
    </row>
    <row r="8036" spans="1:9" x14ac:dyDescent="0.2">
      <c r="A8036" s="4" t="s">
        <v>3944</v>
      </c>
      <c r="B8036" s="2" t="s">
        <v>2074</v>
      </c>
      <c r="C8036" s="2">
        <v>767.86410000000001</v>
      </c>
      <c r="D8036" s="2">
        <f>HYPERLINK("http://mcb-m6.bioreg.kyushu-u.ac.jp/M3/20110318/F50601/1634/1", 67.37)</f>
        <v>67.37</v>
      </c>
      <c r="E8036" s="2">
        <v>49.22</v>
      </c>
      <c r="F8036" s="2">
        <v>2</v>
      </c>
      <c r="G8036" s="2" t="s">
        <v>9</v>
      </c>
    </row>
    <row r="8037" spans="1:9" x14ac:dyDescent="0.2">
      <c r="A8037" s="4" t="s">
        <v>3944</v>
      </c>
      <c r="B8037" s="2" t="s">
        <v>1683</v>
      </c>
      <c r="C8037" s="2">
        <v>674.54819999999995</v>
      </c>
      <c r="D8037" s="2">
        <f>HYPERLINK("http://mcb-m6.bioreg.kyushu-u.ac.jp/M3/20110318/F50621/1306/1", 68.33)</f>
        <v>68.33</v>
      </c>
      <c r="E8037" s="2">
        <v>47.97</v>
      </c>
      <c r="F8037" s="2">
        <v>2</v>
      </c>
      <c r="G8037" s="2" t="s">
        <v>9</v>
      </c>
      <c r="I8037" s="2" t="s">
        <v>4903</v>
      </c>
    </row>
    <row r="8038" spans="1:9" x14ac:dyDescent="0.2">
      <c r="A8038" s="4" t="s">
        <v>3944</v>
      </c>
      <c r="B8038" s="2" t="s">
        <v>1143</v>
      </c>
      <c r="C8038" s="2">
        <v>1574.5319999999999</v>
      </c>
      <c r="D8038" s="2">
        <f>HYPERLINK("http://mcb-m6.bioreg.kyushu-u.ac.jp/M3/20110318/F50621/1716/1", 69.42)</f>
        <v>69.42</v>
      </c>
      <c r="E8038" s="2">
        <v>54.46</v>
      </c>
      <c r="F8038" s="2">
        <v>1</v>
      </c>
      <c r="G8038" s="2" t="s">
        <v>9</v>
      </c>
      <c r="H8038" s="2" t="s">
        <v>4904</v>
      </c>
    </row>
    <row r="8039" spans="1:9" x14ac:dyDescent="0.2">
      <c r="A8039" s="4" t="s">
        <v>3944</v>
      </c>
      <c r="B8039" s="2" t="s">
        <v>2074</v>
      </c>
      <c r="C8039" s="2">
        <v>775.75869999999998</v>
      </c>
      <c r="D8039" s="2">
        <f>HYPERLINK("http://mcb-m6.bioreg.kyushu-u.ac.jp/M3/20110318/F50621/1675/1", 78.07)</f>
        <v>78.069999999999993</v>
      </c>
      <c r="E8039" s="2">
        <v>55.57</v>
      </c>
      <c r="F8039" s="2">
        <v>2</v>
      </c>
      <c r="G8039" s="2" t="s">
        <v>9</v>
      </c>
      <c r="H8039" s="2" t="s">
        <v>4910</v>
      </c>
    </row>
    <row r="8040" spans="1:9" x14ac:dyDescent="0.2">
      <c r="A8040" s="4" t="s">
        <v>3944</v>
      </c>
      <c r="B8040" s="2" t="s">
        <v>2074</v>
      </c>
      <c r="C8040" s="2">
        <v>775.74770000000001</v>
      </c>
      <c r="D8040" s="2">
        <f>HYPERLINK("http://mcb-m6.bioreg.kyushu-u.ac.jp/M3/20110318/F50621/1674/1", 82.33)</f>
        <v>82.33</v>
      </c>
      <c r="E8040" s="2">
        <v>53.36</v>
      </c>
      <c r="F8040" s="2">
        <v>2</v>
      </c>
      <c r="G8040" s="2" t="s">
        <v>9</v>
      </c>
      <c r="H8040" s="2" t="s">
        <v>4910</v>
      </c>
    </row>
    <row r="8041" spans="1:9" x14ac:dyDescent="0.2">
      <c r="A8041" s="4" t="s">
        <v>3944</v>
      </c>
      <c r="B8041" s="2" t="s">
        <v>1143</v>
      </c>
      <c r="C8041" s="2">
        <v>796.79470000000003</v>
      </c>
      <c r="D8041" s="2">
        <f>HYPERLINK("http://mcb-m6.bioreg.kyushu-u.ac.jp/M3/20110318/F50621/1744/1", 84.32)</f>
        <v>84.32</v>
      </c>
      <c r="E8041" s="2">
        <v>51.22</v>
      </c>
      <c r="F8041" s="2">
        <v>2</v>
      </c>
      <c r="G8041" s="2" t="s">
        <v>9</v>
      </c>
    </row>
    <row r="8042" spans="1:9" x14ac:dyDescent="0.2">
      <c r="A8042" s="4" t="s">
        <v>3944</v>
      </c>
      <c r="B8042" s="2" t="s">
        <v>1143</v>
      </c>
      <c r="C8042" s="2">
        <v>788.24959999999999</v>
      </c>
      <c r="D8042" s="2">
        <f>HYPERLINK("http://mcb-m6.bioreg.kyushu-u.ac.jp/M3/20110318/F50621/1718/1", 85.46)</f>
        <v>85.46</v>
      </c>
      <c r="E8042" s="2">
        <v>65.39</v>
      </c>
      <c r="F8042" s="2">
        <v>2</v>
      </c>
      <c r="G8042" s="2" t="s">
        <v>9</v>
      </c>
      <c r="H8042" s="2" t="s">
        <v>4904</v>
      </c>
    </row>
    <row r="8043" spans="1:9" x14ac:dyDescent="0.2">
      <c r="A8043" s="4" t="s">
        <v>3944</v>
      </c>
      <c r="B8043" s="2" t="s">
        <v>1143</v>
      </c>
      <c r="C8043" s="2">
        <v>796.77120000000002</v>
      </c>
      <c r="D8043" s="2">
        <f>HYPERLINK("http://mcb-m6.bioreg.kyushu-u.ac.jp/M3/20110318/F50608/1764/1", 85.61)</f>
        <v>85.61</v>
      </c>
      <c r="E8043" s="2">
        <v>54.35</v>
      </c>
      <c r="F8043" s="2">
        <v>2</v>
      </c>
      <c r="G8043" s="2" t="s">
        <v>9</v>
      </c>
    </row>
    <row r="8044" spans="1:9" x14ac:dyDescent="0.2">
      <c r="A8044" s="4" t="s">
        <v>3944</v>
      </c>
      <c r="B8044" s="2" t="s">
        <v>1143</v>
      </c>
      <c r="C8044" s="2">
        <v>796.76369999999997</v>
      </c>
      <c r="D8044" s="2">
        <f>HYPERLINK("http://mcb-m6.bioreg.kyushu-u.ac.jp/M3/20110318/F50609/1801/1", 85.7)</f>
        <v>85.7</v>
      </c>
      <c r="E8044" s="2">
        <v>52.04</v>
      </c>
      <c r="F8044" s="2">
        <v>2</v>
      </c>
      <c r="G8044" s="2" t="s">
        <v>9</v>
      </c>
    </row>
    <row r="8045" spans="1:9" x14ac:dyDescent="0.2">
      <c r="A8045" s="4" t="s">
        <v>3944</v>
      </c>
      <c r="B8045" s="2" t="s">
        <v>2074</v>
      </c>
      <c r="C8045" s="2">
        <v>767.73019999999997</v>
      </c>
      <c r="D8045" s="2">
        <f>HYPERLINK("http://mcb-m6.bioreg.kyushu-u.ac.jp/M3/20110318/F50621/1635/1", 87.39)</f>
        <v>87.39</v>
      </c>
      <c r="E8045" s="2">
        <v>54.38</v>
      </c>
      <c r="F8045" s="2">
        <v>2</v>
      </c>
      <c r="G8045" s="2" t="s">
        <v>9</v>
      </c>
    </row>
    <row r="8046" spans="1:9" x14ac:dyDescent="0.2">
      <c r="A8046" s="4" t="s">
        <v>3944</v>
      </c>
      <c r="B8046" s="2" t="s">
        <v>2074</v>
      </c>
      <c r="C8046" s="2">
        <v>775.73320000000001</v>
      </c>
      <c r="D8046" s="2">
        <f>HYPERLINK("http://mcb-m6.bioreg.kyushu-u.ac.jp/M3/20110318/F50621/1673/1", 87.6)</f>
        <v>87.6</v>
      </c>
      <c r="E8046" s="2">
        <v>67.540000000000006</v>
      </c>
      <c r="F8046" s="2">
        <v>2</v>
      </c>
      <c r="G8046" s="2" t="s">
        <v>9</v>
      </c>
      <c r="H8046" s="2" t="s">
        <v>4910</v>
      </c>
    </row>
    <row r="8047" spans="1:9" x14ac:dyDescent="0.2">
      <c r="A8047" s="4" t="s">
        <v>3944</v>
      </c>
      <c r="B8047" s="2" t="s">
        <v>2074</v>
      </c>
      <c r="C8047" s="2">
        <v>775.85770000000002</v>
      </c>
      <c r="D8047" s="2">
        <f>HYPERLINK("http://mcb-m6.bioreg.kyushu-u.ac.jp/M3/20110318/F50621/1677/1", 97.63)</f>
        <v>97.63</v>
      </c>
      <c r="E8047" s="2">
        <v>71.400000000000006</v>
      </c>
      <c r="F8047" s="2">
        <v>2</v>
      </c>
      <c r="G8047" s="2" t="s">
        <v>9</v>
      </c>
      <c r="H8047" s="2" t="s">
        <v>4910</v>
      </c>
    </row>
    <row r="8048" spans="1:9" x14ac:dyDescent="0.2">
      <c r="A8048" s="4" t="s">
        <v>3944</v>
      </c>
      <c r="B8048" s="2" t="s">
        <v>1143</v>
      </c>
      <c r="C8048" s="2">
        <v>788.0231</v>
      </c>
      <c r="D8048" s="2">
        <f>HYPERLINK("http://mcb-m6.bioreg.kyushu-u.ac.jp/M3/20110318/F50609/1780/1", 100.9)</f>
        <v>100.9</v>
      </c>
      <c r="E8048" s="2">
        <v>78.55</v>
      </c>
      <c r="F8048" s="2">
        <v>2</v>
      </c>
      <c r="G8048" s="2" t="s">
        <v>9</v>
      </c>
      <c r="H8048" s="2" t="s">
        <v>4904</v>
      </c>
    </row>
    <row r="8049" spans="1:8" x14ac:dyDescent="0.2">
      <c r="A8049" s="4" t="s">
        <v>3944</v>
      </c>
      <c r="B8049" s="2" t="s">
        <v>2074</v>
      </c>
      <c r="C8049" s="2">
        <v>775.82619999999997</v>
      </c>
      <c r="D8049" s="2">
        <f>HYPERLINK("http://mcb-m6.bioreg.kyushu-u.ac.jp/M3/20110318/F50621/1676/1", 103.35)</f>
        <v>103.35</v>
      </c>
      <c r="E8049" s="2">
        <v>71.680000000000007</v>
      </c>
      <c r="F8049" s="2">
        <v>2</v>
      </c>
      <c r="G8049" s="2" t="s">
        <v>9</v>
      </c>
      <c r="H8049" s="2" t="s">
        <v>4910</v>
      </c>
    </row>
    <row r="8050" spans="1:8" x14ac:dyDescent="0.2">
      <c r="A8050" s="4" t="s">
        <v>3944</v>
      </c>
      <c r="B8050" s="2" t="s">
        <v>1611</v>
      </c>
      <c r="C8050" s="2">
        <v>1122.2750000000001</v>
      </c>
      <c r="D8050" s="2">
        <f>HYPERLINK("http://mcb-m6.bioreg.kyushu-u.ac.jp/M3/20110318/F50618/2963/1", 105.71)</f>
        <v>105.71</v>
      </c>
      <c r="E8050" s="2">
        <v>96.07</v>
      </c>
      <c r="F8050" s="2">
        <v>2</v>
      </c>
      <c r="G8050" s="2" t="s">
        <v>9</v>
      </c>
      <c r="H8050" s="2" t="s">
        <v>4910</v>
      </c>
    </row>
    <row r="8051" spans="1:8" x14ac:dyDescent="0.2">
      <c r="A8051" s="4" t="s">
        <v>3944</v>
      </c>
      <c r="B8051" s="2" t="s">
        <v>1611</v>
      </c>
      <c r="C8051" s="2">
        <v>1122.1420000000001</v>
      </c>
      <c r="D8051" s="2">
        <f>HYPERLINK("http://mcb-m6.bioreg.kyushu-u.ac.jp/M3/20110318/F50621/2454/1", 110.23)</f>
        <v>110.23</v>
      </c>
      <c r="E8051" s="2">
        <v>101.95</v>
      </c>
      <c r="F8051" s="2">
        <v>2</v>
      </c>
      <c r="G8051" s="2" t="s">
        <v>9</v>
      </c>
      <c r="H8051" s="2" t="s">
        <v>4910</v>
      </c>
    </row>
    <row r="8052" spans="1:8" x14ac:dyDescent="0.2">
      <c r="A8052" s="4" t="s">
        <v>3944</v>
      </c>
      <c r="B8052" s="2" t="s">
        <v>1611</v>
      </c>
      <c r="C8052" s="2">
        <v>1122.2840000000001</v>
      </c>
      <c r="D8052" s="2">
        <f>HYPERLINK("http://mcb-m6.bioreg.kyushu-u.ac.jp/M3/20110318/F50619/2669/1", 110.49)</f>
        <v>110.49</v>
      </c>
      <c r="E8052" s="2">
        <v>92.47</v>
      </c>
      <c r="F8052" s="2">
        <v>2</v>
      </c>
      <c r="G8052" s="2" t="s">
        <v>9</v>
      </c>
      <c r="H8052" s="2" t="s">
        <v>4910</v>
      </c>
    </row>
    <row r="8053" spans="1:8" x14ac:dyDescent="0.2">
      <c r="A8053" s="4" t="s">
        <v>3944</v>
      </c>
      <c r="B8053" s="2" t="s">
        <v>1611</v>
      </c>
      <c r="C8053" s="2">
        <v>1114.2329999999999</v>
      </c>
      <c r="D8053" s="2">
        <f>HYPERLINK("http://mcb-m6.bioreg.kyushu-u.ac.jp/M3/20110318/F50618/2924/1", 110.56)</f>
        <v>110.56</v>
      </c>
      <c r="E8053" s="2">
        <v>100.36</v>
      </c>
      <c r="F8053" s="2">
        <v>2</v>
      </c>
      <c r="G8053" s="2" t="s">
        <v>9</v>
      </c>
    </row>
    <row r="8054" spans="1:8" x14ac:dyDescent="0.2">
      <c r="A8054" s="4" t="s">
        <v>3944</v>
      </c>
      <c r="B8054" s="2" t="s">
        <v>1611</v>
      </c>
      <c r="C8054" s="2">
        <v>1121.7729999999999</v>
      </c>
      <c r="D8054" s="2">
        <f>HYPERLINK("http://mcb-m6.bioreg.kyushu-u.ac.jp/M3/20110318/F50618/2959/1", 116.33)</f>
        <v>116.33</v>
      </c>
      <c r="E8054" s="2">
        <v>101.15</v>
      </c>
      <c r="F8054" s="2">
        <v>2</v>
      </c>
      <c r="G8054" s="2" t="s">
        <v>9</v>
      </c>
      <c r="H8054" s="2" t="s">
        <v>4910</v>
      </c>
    </row>
    <row r="8055" spans="1:8" x14ac:dyDescent="0.2">
      <c r="A8055" s="4" t="s">
        <v>3944</v>
      </c>
      <c r="B8055" s="2" t="s">
        <v>1611</v>
      </c>
      <c r="C8055" s="2">
        <v>1114.0619999999999</v>
      </c>
      <c r="D8055" s="2">
        <f>HYPERLINK("http://mcb-m6.bioreg.kyushu-u.ac.jp/M3/20110318/F50621/2424/1", 117.41)</f>
        <v>117.41</v>
      </c>
      <c r="E8055" s="2">
        <v>111.01</v>
      </c>
      <c r="F8055" s="2">
        <v>2</v>
      </c>
      <c r="G8055" s="2" t="s">
        <v>9</v>
      </c>
    </row>
    <row r="8056" spans="1:8" x14ac:dyDescent="0.2">
      <c r="A8056" s="4" t="s">
        <v>3944</v>
      </c>
      <c r="B8056" s="2" t="s">
        <v>1143</v>
      </c>
      <c r="C8056" s="2">
        <v>787.57510000000002</v>
      </c>
      <c r="D8056" s="2">
        <f>HYPERLINK("http://mcb-m6.bioreg.kyushu-u.ac.jp/M3/20110318/F50617/1784/1", 36.54)</f>
        <v>36.54</v>
      </c>
      <c r="E8056" s="2">
        <v>13.01</v>
      </c>
      <c r="F8056" s="2">
        <v>2</v>
      </c>
      <c r="G8056" s="2" t="s">
        <v>10</v>
      </c>
      <c r="H8056" s="2" t="s">
        <v>4904</v>
      </c>
    </row>
    <row r="8057" spans="1:8" x14ac:dyDescent="0.2">
      <c r="A8057" s="4" t="s">
        <v>3944</v>
      </c>
      <c r="B8057" s="2" t="s">
        <v>1143</v>
      </c>
      <c r="C8057" s="2">
        <v>796.88509999999997</v>
      </c>
      <c r="D8057" s="2">
        <f>HYPERLINK("http://mcb-m6.bioreg.kyushu-u.ac.jp/M3/20110318/F50596/1855/1", 38.95)</f>
        <v>38.950000000000003</v>
      </c>
      <c r="E8057" s="2">
        <v>24.39</v>
      </c>
      <c r="F8057" s="2">
        <v>2</v>
      </c>
      <c r="G8057" s="2" t="s">
        <v>10</v>
      </c>
    </row>
    <row r="8058" spans="1:8" x14ac:dyDescent="0.2">
      <c r="A8058" s="4" t="s">
        <v>3944</v>
      </c>
      <c r="B8058" s="2" t="s">
        <v>1611</v>
      </c>
      <c r="C8058" s="2">
        <v>748.59249999999997</v>
      </c>
      <c r="D8058" s="2">
        <f>HYPERLINK("http://mcb-m6.bioreg.kyushu-u.ac.jp/M3/20110318/F50617/2549/1", 40.84)</f>
        <v>40.840000000000003</v>
      </c>
      <c r="E8058" s="2">
        <v>19.309999999999999</v>
      </c>
      <c r="F8058" s="2">
        <v>3</v>
      </c>
      <c r="G8058" s="2" t="s">
        <v>10</v>
      </c>
      <c r="H8058" s="2" t="s">
        <v>4910</v>
      </c>
    </row>
    <row r="8059" spans="1:8" x14ac:dyDescent="0.2">
      <c r="A8059" s="4" t="s">
        <v>3944</v>
      </c>
      <c r="B8059" s="2" t="s">
        <v>1143</v>
      </c>
      <c r="C8059" s="2">
        <v>796.91110000000003</v>
      </c>
      <c r="D8059" s="2">
        <f>HYPERLINK("http://mcb-m6.bioreg.kyushu-u.ac.jp/M3/20110318/F50600/1792/1", 40.88)</f>
        <v>40.880000000000003</v>
      </c>
      <c r="E8059" s="2">
        <v>20.99</v>
      </c>
      <c r="F8059" s="2">
        <v>2</v>
      </c>
      <c r="G8059" s="2" t="s">
        <v>10</v>
      </c>
    </row>
    <row r="8060" spans="1:8" x14ac:dyDescent="0.2">
      <c r="A8060" s="4" t="s">
        <v>3944</v>
      </c>
      <c r="B8060" s="2" t="s">
        <v>1143</v>
      </c>
      <c r="C8060" s="2">
        <v>787.72969999999998</v>
      </c>
      <c r="D8060" s="2">
        <f>HYPERLINK("http://mcb-m6.bioreg.kyushu-u.ac.jp/M3/20110318/F50617/1786/1", 44.07)</f>
        <v>44.07</v>
      </c>
      <c r="E8060" s="2">
        <v>26.46</v>
      </c>
      <c r="F8060" s="2">
        <v>2</v>
      </c>
      <c r="G8060" s="2" t="s">
        <v>10</v>
      </c>
      <c r="H8060" s="2" t="s">
        <v>4904</v>
      </c>
    </row>
    <row r="8061" spans="1:8" x14ac:dyDescent="0.2">
      <c r="A8061" s="4" t="s">
        <v>3944</v>
      </c>
      <c r="B8061" s="2" t="s">
        <v>1143</v>
      </c>
      <c r="C8061" s="2">
        <v>1591.4079999999999</v>
      </c>
      <c r="D8061" s="2">
        <f>HYPERLINK("http://mcb-m6.bioreg.kyushu-u.ac.jp/M3/20110318/F50617/1810/1", 45.12)</f>
        <v>45.12</v>
      </c>
      <c r="E8061" s="2">
        <v>24.54</v>
      </c>
      <c r="F8061" s="2">
        <v>1</v>
      </c>
      <c r="G8061" s="2" t="s">
        <v>10</v>
      </c>
    </row>
    <row r="8062" spans="1:8" x14ac:dyDescent="0.2">
      <c r="A8062" s="4" t="s">
        <v>3944</v>
      </c>
      <c r="B8062" s="2" t="s">
        <v>1143</v>
      </c>
      <c r="C8062" s="2">
        <v>796.74620000000004</v>
      </c>
      <c r="D8062" s="2">
        <f>HYPERLINK("http://mcb-m6.bioreg.kyushu-u.ac.jp/M3/20110318/F50611/1888/1", 46.05)</f>
        <v>46.05</v>
      </c>
      <c r="E8062" s="2">
        <v>26.41</v>
      </c>
      <c r="F8062" s="2">
        <v>2</v>
      </c>
      <c r="G8062" s="2" t="s">
        <v>10</v>
      </c>
    </row>
    <row r="8063" spans="1:8" x14ac:dyDescent="0.2">
      <c r="A8063" s="4" t="s">
        <v>3944</v>
      </c>
      <c r="B8063" s="2" t="s">
        <v>2074</v>
      </c>
      <c r="C8063" s="2">
        <v>776.20320000000004</v>
      </c>
      <c r="D8063" s="2">
        <f>HYPERLINK("http://mcb-m6.bioreg.kyushu-u.ac.jp/M3/20110318/F50617/1744/1", 48.1)</f>
        <v>48.1</v>
      </c>
      <c r="E8063" s="2">
        <v>6.6</v>
      </c>
      <c r="F8063" s="2">
        <v>2</v>
      </c>
      <c r="G8063" s="2" t="s">
        <v>10</v>
      </c>
      <c r="H8063" s="2" t="s">
        <v>4910</v>
      </c>
    </row>
    <row r="8064" spans="1:8" x14ac:dyDescent="0.2">
      <c r="A8064" s="4" t="s">
        <v>3944</v>
      </c>
      <c r="B8064" s="2" t="s">
        <v>1611</v>
      </c>
      <c r="C8064" s="2">
        <v>748.67880000000002</v>
      </c>
      <c r="D8064" s="2">
        <f>HYPERLINK("http://mcb-m6.bioreg.kyushu-u.ac.jp/M3/20110318/F50617/2551/1", 48.26)</f>
        <v>48.26</v>
      </c>
      <c r="E8064" s="2">
        <v>36.270000000000003</v>
      </c>
      <c r="F8064" s="2">
        <v>3</v>
      </c>
      <c r="G8064" s="2" t="s">
        <v>10</v>
      </c>
      <c r="H8064" s="2" t="s">
        <v>4910</v>
      </c>
    </row>
    <row r="8065" spans="1:9" x14ac:dyDescent="0.2">
      <c r="A8065" s="4" t="s">
        <v>3944</v>
      </c>
      <c r="B8065" s="2" t="s">
        <v>1143</v>
      </c>
      <c r="C8065" s="2">
        <v>796.24019999999996</v>
      </c>
      <c r="D8065" s="2">
        <f>HYPERLINK("http://mcb-m6.bioreg.kyushu-u.ac.jp/M3/20110318/F50622/1714/1", 49.52)</f>
        <v>49.52</v>
      </c>
      <c r="E8065" s="2">
        <v>30.87</v>
      </c>
      <c r="F8065" s="2">
        <v>2</v>
      </c>
      <c r="G8065" s="2" t="s">
        <v>10</v>
      </c>
    </row>
    <row r="8066" spans="1:9" x14ac:dyDescent="0.2">
      <c r="A8066" s="4" t="s">
        <v>3944</v>
      </c>
      <c r="B8066" s="2" t="s">
        <v>2074</v>
      </c>
      <c r="C8066" s="2">
        <v>767.38819999999998</v>
      </c>
      <c r="D8066" s="2">
        <f>HYPERLINK("http://mcb-m6.bioreg.kyushu-u.ac.jp/M3/20110318/F50617/1692/1", 49.96)</f>
        <v>49.96</v>
      </c>
      <c r="E8066" s="2">
        <v>28.4</v>
      </c>
      <c r="F8066" s="2">
        <v>2</v>
      </c>
      <c r="G8066" s="2" t="s">
        <v>10</v>
      </c>
    </row>
    <row r="8067" spans="1:9" x14ac:dyDescent="0.2">
      <c r="A8067" s="4" t="s">
        <v>3944</v>
      </c>
      <c r="B8067" s="2" t="s">
        <v>1683</v>
      </c>
      <c r="C8067" s="2">
        <v>674.19209999999998</v>
      </c>
      <c r="D8067" s="2">
        <f>HYPERLINK("http://mcb-m6.bioreg.kyushu-u.ac.jp/M3/20110318/F50617/1305/1", 52.33)</f>
        <v>52.33</v>
      </c>
      <c r="E8067" s="2">
        <v>36.46</v>
      </c>
      <c r="F8067" s="2">
        <v>2</v>
      </c>
      <c r="G8067" s="2" t="s">
        <v>10</v>
      </c>
      <c r="I8067" s="2" t="s">
        <v>4903</v>
      </c>
    </row>
    <row r="8068" spans="1:9" x14ac:dyDescent="0.2">
      <c r="A8068" s="4" t="s">
        <v>3944</v>
      </c>
      <c r="B8068" s="2" t="s">
        <v>2074</v>
      </c>
      <c r="C8068" s="2">
        <v>775.61770000000001</v>
      </c>
      <c r="D8068" s="2">
        <f>HYPERLINK("http://mcb-m6.bioreg.kyushu-u.ac.jp/M3/20110318/F50617/1732/1", 54.73)</f>
        <v>54.73</v>
      </c>
      <c r="E8068" s="2">
        <v>39.369999999999997</v>
      </c>
      <c r="F8068" s="2">
        <v>2</v>
      </c>
      <c r="G8068" s="2" t="s">
        <v>10</v>
      </c>
      <c r="H8068" s="2" t="s">
        <v>4910</v>
      </c>
    </row>
    <row r="8069" spans="1:9" x14ac:dyDescent="0.2">
      <c r="A8069" s="4" t="s">
        <v>3944</v>
      </c>
      <c r="B8069" s="2" t="s">
        <v>2074</v>
      </c>
      <c r="C8069" s="2">
        <v>775.63369999999998</v>
      </c>
      <c r="D8069" s="2">
        <f>HYPERLINK("http://mcb-m6.bioreg.kyushu-u.ac.jp/M3/20110318/F50617/1734/1", 58.71)</f>
        <v>58.71</v>
      </c>
      <c r="E8069" s="2">
        <v>36.96</v>
      </c>
      <c r="F8069" s="2">
        <v>2</v>
      </c>
      <c r="G8069" s="2" t="s">
        <v>10</v>
      </c>
      <c r="H8069" s="2" t="s">
        <v>4910</v>
      </c>
    </row>
    <row r="8070" spans="1:9" x14ac:dyDescent="0.2">
      <c r="A8070" s="4" t="s">
        <v>3944</v>
      </c>
      <c r="B8070" s="2" t="s">
        <v>1143</v>
      </c>
      <c r="C8070" s="2">
        <v>796.36969999999997</v>
      </c>
      <c r="D8070" s="2">
        <f>HYPERLINK("http://mcb-m6.bioreg.kyushu-u.ac.jp/M3/20110318/F50617/1811/1", 60.82)</f>
        <v>60.82</v>
      </c>
      <c r="E8070" s="2">
        <v>26.61</v>
      </c>
      <c r="F8070" s="2">
        <v>2</v>
      </c>
      <c r="G8070" s="2" t="s">
        <v>10</v>
      </c>
    </row>
    <row r="8071" spans="1:9" x14ac:dyDescent="0.2">
      <c r="A8071" s="4" t="s">
        <v>3944</v>
      </c>
      <c r="B8071" s="2" t="s">
        <v>1143</v>
      </c>
      <c r="C8071" s="2">
        <v>796.8981</v>
      </c>
      <c r="D8071" s="2">
        <f>HYPERLINK("http://mcb-m6.bioreg.kyushu-u.ac.jp/M3/20110318/F50600/1791/1", 62.34)</f>
        <v>62.34</v>
      </c>
      <c r="E8071" s="2">
        <v>43.31</v>
      </c>
      <c r="F8071" s="2">
        <v>2</v>
      </c>
      <c r="G8071" s="2" t="s">
        <v>10</v>
      </c>
    </row>
    <row r="8072" spans="1:9" x14ac:dyDescent="0.2">
      <c r="A8072" s="4" t="s">
        <v>3944</v>
      </c>
      <c r="B8072" s="2" t="s">
        <v>2074</v>
      </c>
      <c r="C8072" s="2">
        <v>775.68020000000001</v>
      </c>
      <c r="D8072" s="2">
        <f>HYPERLINK("http://mcb-m6.bioreg.kyushu-u.ac.jp/M3/20110318/F50617/1735/1", 63.32)</f>
        <v>63.32</v>
      </c>
      <c r="E8072" s="2">
        <v>41.52</v>
      </c>
      <c r="F8072" s="2">
        <v>2</v>
      </c>
      <c r="G8072" s="2" t="s">
        <v>10</v>
      </c>
      <c r="H8072" s="2" t="s">
        <v>4910</v>
      </c>
    </row>
    <row r="8073" spans="1:9" x14ac:dyDescent="0.2">
      <c r="A8073" s="4" t="s">
        <v>3944</v>
      </c>
      <c r="B8073" s="2" t="s">
        <v>2074</v>
      </c>
      <c r="C8073" s="2">
        <v>776.15719999999999</v>
      </c>
      <c r="D8073" s="2">
        <f>HYPERLINK("http://mcb-m6.bioreg.kyushu-u.ac.jp/M3/20110318/F50617/1742/1", 66.76)</f>
        <v>66.760000000000005</v>
      </c>
      <c r="E8073" s="2">
        <v>29.88</v>
      </c>
      <c r="F8073" s="2">
        <v>2</v>
      </c>
      <c r="G8073" s="2" t="s">
        <v>10</v>
      </c>
      <c r="H8073" s="2" t="s">
        <v>4910</v>
      </c>
    </row>
    <row r="8074" spans="1:9" x14ac:dyDescent="0.2">
      <c r="A8074" s="4" t="s">
        <v>3944</v>
      </c>
      <c r="B8074" s="2" t="s">
        <v>2074</v>
      </c>
      <c r="C8074" s="2">
        <v>775.6327</v>
      </c>
      <c r="D8074" s="2">
        <f>HYPERLINK("http://mcb-m6.bioreg.kyushu-u.ac.jp/M3/20110318/F50617/1733/1", 67.91)</f>
        <v>67.91</v>
      </c>
      <c r="E8074" s="2">
        <v>47.35</v>
      </c>
      <c r="F8074" s="2">
        <v>2</v>
      </c>
      <c r="G8074" s="2" t="s">
        <v>10</v>
      </c>
      <c r="H8074" s="2" t="s">
        <v>4910</v>
      </c>
    </row>
    <row r="8075" spans="1:9" x14ac:dyDescent="0.2">
      <c r="A8075" s="4" t="s">
        <v>3944</v>
      </c>
      <c r="B8075" s="2" t="s">
        <v>1143</v>
      </c>
      <c r="C8075" s="2">
        <v>1574.3530000000001</v>
      </c>
      <c r="D8075" s="2">
        <f>HYPERLINK("http://mcb-m6.bioreg.kyushu-u.ac.jp/M3/20110318/F50617/1785/1", 69.4)</f>
        <v>69.400000000000006</v>
      </c>
      <c r="E8075" s="2">
        <v>51.82</v>
      </c>
      <c r="F8075" s="2">
        <v>1</v>
      </c>
      <c r="G8075" s="2" t="s">
        <v>10</v>
      </c>
      <c r="H8075" s="2" t="s">
        <v>4904</v>
      </c>
    </row>
    <row r="8076" spans="1:9" x14ac:dyDescent="0.2">
      <c r="A8076" s="4" t="s">
        <v>3944</v>
      </c>
      <c r="B8076" s="2" t="s">
        <v>2074</v>
      </c>
      <c r="C8076" s="2">
        <v>775.79970000000003</v>
      </c>
      <c r="D8076" s="2">
        <f>HYPERLINK("http://mcb-m6.bioreg.kyushu-u.ac.jp/M3/20110318/F50600/1722/1", 70.45)</f>
        <v>70.45</v>
      </c>
      <c r="E8076" s="2">
        <v>46.73</v>
      </c>
      <c r="F8076" s="2">
        <v>2</v>
      </c>
      <c r="G8076" s="2" t="s">
        <v>10</v>
      </c>
      <c r="H8076" s="2" t="s">
        <v>4910</v>
      </c>
    </row>
    <row r="8077" spans="1:9" x14ac:dyDescent="0.2">
      <c r="A8077" s="4" t="s">
        <v>3944</v>
      </c>
      <c r="B8077" s="2" t="s">
        <v>1143</v>
      </c>
      <c r="C8077" s="2">
        <v>796.80219999999997</v>
      </c>
      <c r="D8077" s="2">
        <f>HYPERLINK("http://mcb-m6.bioreg.kyushu-u.ac.jp/M3/20110318/F50617/1814/1", 70.83)</f>
        <v>70.83</v>
      </c>
      <c r="E8077" s="2">
        <v>39.42</v>
      </c>
      <c r="F8077" s="2">
        <v>2</v>
      </c>
      <c r="G8077" s="2" t="s">
        <v>10</v>
      </c>
    </row>
    <row r="8078" spans="1:9" x14ac:dyDescent="0.2">
      <c r="A8078" s="4" t="s">
        <v>3944</v>
      </c>
      <c r="B8078" s="2" t="s">
        <v>1611</v>
      </c>
      <c r="C8078" s="2">
        <v>1122.528</v>
      </c>
      <c r="D8078" s="2">
        <f>HYPERLINK("http://mcb-m6.bioreg.kyushu-u.ac.jp/M3/20110318/F50600/2485/1", 74.58)</f>
        <v>74.58</v>
      </c>
      <c r="E8078" s="2">
        <v>66.06</v>
      </c>
      <c r="F8078" s="2">
        <v>2</v>
      </c>
      <c r="G8078" s="2" t="s">
        <v>10</v>
      </c>
      <c r="H8078" s="2" t="s">
        <v>4910</v>
      </c>
    </row>
    <row r="8079" spans="1:9" x14ac:dyDescent="0.2">
      <c r="A8079" s="4" t="s">
        <v>3944</v>
      </c>
      <c r="B8079" s="2" t="s">
        <v>2074</v>
      </c>
      <c r="C8079" s="2">
        <v>767.7242</v>
      </c>
      <c r="D8079" s="2">
        <f>HYPERLINK("http://mcb-m6.bioreg.kyushu-u.ac.jp/M3/20110318/F50622/1614/1", 79.03)</f>
        <v>79.03</v>
      </c>
      <c r="E8079" s="2">
        <v>45.33</v>
      </c>
      <c r="F8079" s="2">
        <v>2</v>
      </c>
      <c r="G8079" s="2" t="s">
        <v>10</v>
      </c>
    </row>
    <row r="8080" spans="1:9" x14ac:dyDescent="0.2">
      <c r="A8080" s="4" t="s">
        <v>3944</v>
      </c>
      <c r="B8080" s="2" t="s">
        <v>1683</v>
      </c>
      <c r="C8080" s="2">
        <v>674.35310000000004</v>
      </c>
      <c r="D8080" s="2">
        <f>HYPERLINK("http://mcb-m6.bioreg.kyushu-u.ac.jp/M3/20110318/F50617/1308/1", 81.01)</f>
        <v>81.010000000000005</v>
      </c>
      <c r="E8080" s="2">
        <v>66.849999999999994</v>
      </c>
      <c r="F8080" s="2">
        <v>2</v>
      </c>
      <c r="G8080" s="2" t="s">
        <v>10</v>
      </c>
      <c r="I8080" s="2" t="s">
        <v>4903</v>
      </c>
    </row>
    <row r="8081" spans="1:8" x14ac:dyDescent="0.2">
      <c r="A8081" s="4" t="s">
        <v>3944</v>
      </c>
      <c r="B8081" s="2" t="s">
        <v>1143</v>
      </c>
      <c r="C8081" s="2">
        <v>796.70619999999997</v>
      </c>
      <c r="D8081" s="2">
        <f>HYPERLINK("http://mcb-m6.bioreg.kyushu-u.ac.jp/M3/20110318/F50617/1812/1", 81.96)</f>
        <v>81.96</v>
      </c>
      <c r="E8081" s="2">
        <v>53.68</v>
      </c>
      <c r="F8081" s="2">
        <v>2</v>
      </c>
      <c r="G8081" s="2" t="s">
        <v>10</v>
      </c>
    </row>
    <row r="8082" spans="1:8" x14ac:dyDescent="0.2">
      <c r="A8082" s="4" t="s">
        <v>3944</v>
      </c>
      <c r="B8082" s="2" t="s">
        <v>1143</v>
      </c>
      <c r="C8082" s="2">
        <v>796.17970000000003</v>
      </c>
      <c r="D8082" s="2">
        <f>HYPERLINK("http://mcb-m6.bioreg.kyushu-u.ac.jp/M3/20110318/F50617/1809/1", 82.43)</f>
        <v>82.43</v>
      </c>
      <c r="E8082" s="2">
        <v>46.8</v>
      </c>
      <c r="F8082" s="2">
        <v>2</v>
      </c>
      <c r="G8082" s="2" t="s">
        <v>10</v>
      </c>
    </row>
    <row r="8083" spans="1:8" x14ac:dyDescent="0.2">
      <c r="A8083" s="4" t="s">
        <v>3944</v>
      </c>
      <c r="B8083" s="2" t="s">
        <v>1143</v>
      </c>
      <c r="C8083" s="2">
        <v>796.48720000000003</v>
      </c>
      <c r="D8083" s="2">
        <f>HYPERLINK("http://mcb-m6.bioreg.kyushu-u.ac.jp/M3/20110318/F50599/1921/1", 91.48)</f>
        <v>91.48</v>
      </c>
      <c r="E8083" s="2">
        <v>65.2</v>
      </c>
      <c r="F8083" s="2">
        <v>2</v>
      </c>
      <c r="G8083" s="2" t="s">
        <v>10</v>
      </c>
    </row>
    <row r="8084" spans="1:8" x14ac:dyDescent="0.2">
      <c r="A8084" s="4" t="s">
        <v>3944</v>
      </c>
      <c r="B8084" s="2" t="s">
        <v>1143</v>
      </c>
      <c r="C8084" s="2">
        <v>787.80619999999999</v>
      </c>
      <c r="D8084" s="2">
        <f>HYPERLINK("http://mcb-m6.bioreg.kyushu-u.ac.jp/M3/20110318/F50600/1765/1", 104.26)</f>
        <v>104.26</v>
      </c>
      <c r="E8084" s="2">
        <v>71.069999999999993</v>
      </c>
      <c r="F8084" s="2">
        <v>2</v>
      </c>
      <c r="G8084" s="2" t="s">
        <v>10</v>
      </c>
      <c r="H8084" s="2" t="s">
        <v>4904</v>
      </c>
    </row>
    <row r="8085" spans="1:8" x14ac:dyDescent="0.2">
      <c r="A8085" s="4" t="s">
        <v>3944</v>
      </c>
      <c r="B8085" s="2" t="s">
        <v>1143</v>
      </c>
      <c r="C8085" s="2">
        <v>796.33810000000005</v>
      </c>
      <c r="D8085" s="2">
        <f>HYPERLINK("http://mcb-m6.bioreg.kyushu-u.ac.jp/M3/20110318/F50600/1790/1", 106.89)</f>
        <v>106.89</v>
      </c>
      <c r="E8085" s="2">
        <v>70.39</v>
      </c>
      <c r="F8085" s="2">
        <v>2</v>
      </c>
      <c r="G8085" s="2" t="s">
        <v>10</v>
      </c>
    </row>
    <row r="8086" spans="1:8" x14ac:dyDescent="0.2">
      <c r="A8086" s="4" t="s">
        <v>3944</v>
      </c>
      <c r="B8086" s="2" t="s">
        <v>1611</v>
      </c>
      <c r="C8086" s="2">
        <v>1122.393</v>
      </c>
      <c r="D8086" s="2">
        <f>HYPERLINK("http://mcb-m6.bioreg.kyushu-u.ac.jp/M3/20110318/F50622/2630/1", 111.02)</f>
        <v>111.02</v>
      </c>
      <c r="E8086" s="2">
        <v>100.16</v>
      </c>
      <c r="F8086" s="2">
        <v>2</v>
      </c>
      <c r="G8086" s="2" t="s">
        <v>10</v>
      </c>
      <c r="H8086" s="2" t="s">
        <v>4910</v>
      </c>
    </row>
    <row r="8087" spans="1:8" x14ac:dyDescent="0.2">
      <c r="A8087" s="4" t="s">
        <v>3944</v>
      </c>
      <c r="B8087" s="2" t="s">
        <v>1611</v>
      </c>
      <c r="C8087" s="2">
        <v>1113.73</v>
      </c>
      <c r="D8087" s="2">
        <f>HYPERLINK("http://mcb-m6.bioreg.kyushu-u.ac.jp/M3/20110318/F50617/2512/1", 111.54)</f>
        <v>111.54</v>
      </c>
      <c r="E8087" s="2">
        <v>100.78</v>
      </c>
      <c r="F8087" s="2">
        <v>2</v>
      </c>
      <c r="G8087" s="2" t="s">
        <v>10</v>
      </c>
    </row>
    <row r="8088" spans="1:8" x14ac:dyDescent="0.2">
      <c r="A8088" s="4" t="s">
        <v>3944</v>
      </c>
      <c r="B8088" s="2" t="s">
        <v>1611</v>
      </c>
      <c r="C8088" s="2">
        <v>1114.3109999999999</v>
      </c>
      <c r="D8088" s="2">
        <f>HYPERLINK("http://mcb-m6.bioreg.kyushu-u.ac.jp/M3/20110318/F50622/2588/1", 116.34)</f>
        <v>116.34</v>
      </c>
      <c r="E8088" s="2">
        <v>111.8</v>
      </c>
      <c r="F8088" s="2">
        <v>2</v>
      </c>
      <c r="G8088" s="2" t="s">
        <v>10</v>
      </c>
    </row>
    <row r="8089" spans="1:8" x14ac:dyDescent="0.2">
      <c r="A8089" s="4" t="s">
        <v>3944</v>
      </c>
      <c r="B8089" s="2" t="s">
        <v>1611</v>
      </c>
      <c r="C8089" s="2">
        <v>1114.232</v>
      </c>
      <c r="D8089" s="2">
        <f>HYPERLINK("http://mcb-m6.bioreg.kyushu-u.ac.jp/M3/20110318/F50617/2513/1", 116.5)</f>
        <v>116.5</v>
      </c>
      <c r="E8089" s="2">
        <v>107.25</v>
      </c>
      <c r="F8089" s="2">
        <v>2</v>
      </c>
      <c r="G8089" s="2" t="s">
        <v>10</v>
      </c>
    </row>
    <row r="8090" spans="1:8" x14ac:dyDescent="0.2">
      <c r="A8090" s="4" t="s">
        <v>3944</v>
      </c>
      <c r="B8090" s="2" t="s">
        <v>1611</v>
      </c>
      <c r="C8090" s="2">
        <v>1113.8040000000001</v>
      </c>
      <c r="D8090" s="2">
        <f>HYPERLINK("http://mcb-m6.bioreg.kyushu-u.ac.jp/M3/20110318/F50622/2585/1", 117.28)</f>
        <v>117.28</v>
      </c>
      <c r="E8090" s="2">
        <v>105.07</v>
      </c>
      <c r="F8090" s="2">
        <v>2</v>
      </c>
      <c r="G8090" s="2" t="s">
        <v>10</v>
      </c>
    </row>
    <row r="8091" spans="1:8" x14ac:dyDescent="0.2">
      <c r="A8091" s="4" t="s">
        <v>3944</v>
      </c>
      <c r="B8091" s="2" t="s">
        <v>1611</v>
      </c>
      <c r="C8091" s="2">
        <v>1122.0329999999999</v>
      </c>
      <c r="D8091" s="2">
        <f>HYPERLINK("http://mcb-m6.bioreg.kyushu-u.ac.jp/M3/20110318/F50617/2548/1", 117.44)</f>
        <v>117.44</v>
      </c>
      <c r="E8091" s="2">
        <v>102.06</v>
      </c>
      <c r="F8091" s="2">
        <v>2</v>
      </c>
      <c r="G8091" s="2" t="s">
        <v>10</v>
      </c>
      <c r="H8091" s="2" t="s">
        <v>4910</v>
      </c>
    </row>
    <row r="8092" spans="1:8" x14ac:dyDescent="0.2">
      <c r="A8092" s="4" t="s">
        <v>3944</v>
      </c>
      <c r="B8092" s="2" t="s">
        <v>1143</v>
      </c>
      <c r="C8092" s="2">
        <v>1574.4010000000001</v>
      </c>
      <c r="D8092" s="2">
        <f>HYPERLINK("http://mcb-m6.bioreg.kyushu-u.ac.jp/M3/20110418/F50972/2350/1", 65.24)</f>
        <v>65.239999999999995</v>
      </c>
      <c r="E8092" s="2">
        <v>53.55</v>
      </c>
      <c r="F8092" s="2">
        <v>1</v>
      </c>
      <c r="G8092" s="2" t="s">
        <v>11</v>
      </c>
      <c r="H8092" s="2" t="s">
        <v>4904</v>
      </c>
    </row>
    <row r="8093" spans="1:8" x14ac:dyDescent="0.2">
      <c r="A8093" s="4" t="s">
        <v>3944</v>
      </c>
      <c r="B8093" s="2" t="s">
        <v>1143</v>
      </c>
      <c r="C8093" s="2">
        <v>796.62519999999995</v>
      </c>
      <c r="D8093" s="2">
        <f>HYPERLINK("http://mcb-m6.bioreg.kyushu-u.ac.jp/M3/20110418/F50972/2385/1", 71.2)</f>
        <v>71.2</v>
      </c>
      <c r="E8093" s="2">
        <v>39.89</v>
      </c>
      <c r="F8093" s="2">
        <v>2</v>
      </c>
      <c r="G8093" s="2" t="s">
        <v>11</v>
      </c>
    </row>
    <row r="8094" spans="1:8" x14ac:dyDescent="0.2">
      <c r="A8094" s="4" t="s">
        <v>3944</v>
      </c>
      <c r="B8094" s="2" t="s">
        <v>1143</v>
      </c>
      <c r="C8094" s="2">
        <v>787.76969999999994</v>
      </c>
      <c r="D8094" s="2">
        <f>HYPERLINK("http://mcb-m6.bioreg.kyushu-u.ac.jp/M3/20110418/F50972/2351/1", 82.71)</f>
        <v>82.71</v>
      </c>
      <c r="E8094" s="2">
        <v>56.14</v>
      </c>
      <c r="F8094" s="2">
        <v>2</v>
      </c>
      <c r="G8094" s="2" t="s">
        <v>11</v>
      </c>
      <c r="H8094" s="2" t="s">
        <v>4904</v>
      </c>
    </row>
    <row r="8095" spans="1:8" x14ac:dyDescent="0.2">
      <c r="A8095" s="4" t="s">
        <v>3944</v>
      </c>
      <c r="B8095" s="2" t="s">
        <v>1143</v>
      </c>
      <c r="C8095" s="2">
        <v>796.14170000000001</v>
      </c>
      <c r="D8095" s="2">
        <f>HYPERLINK("http://mcb-m6.bioreg.kyushu-u.ac.jp/M3/20110418/F50972/2383/1", 93.55)</f>
        <v>93.55</v>
      </c>
      <c r="E8095" s="2">
        <v>66.59</v>
      </c>
      <c r="F8095" s="2">
        <v>2</v>
      </c>
      <c r="G8095" s="2" t="s">
        <v>11</v>
      </c>
    </row>
    <row r="8096" spans="1:8" x14ac:dyDescent="0.2">
      <c r="A8096" s="4" t="s">
        <v>3944</v>
      </c>
      <c r="B8096" s="2" t="s">
        <v>1143</v>
      </c>
      <c r="C8096" s="2">
        <v>796.88509999999997</v>
      </c>
      <c r="D8096" s="2">
        <f>HYPERLINK("http://mcb-m6.bioreg.kyushu-u.ac.jp/M3/20110418/F50982/2321/1", 64.03)</f>
        <v>64.03</v>
      </c>
      <c r="E8096" s="2">
        <v>40.46</v>
      </c>
      <c r="F8096" s="2">
        <v>2</v>
      </c>
      <c r="G8096" s="2" t="s">
        <v>12</v>
      </c>
    </row>
    <row r="8097" spans="1:9" x14ac:dyDescent="0.2">
      <c r="A8097" s="4" t="s">
        <v>3944</v>
      </c>
      <c r="B8097" s="2" t="s">
        <v>1143</v>
      </c>
      <c r="C8097" s="2">
        <v>788.14760000000001</v>
      </c>
      <c r="D8097" s="2">
        <f>HYPERLINK("http://mcb-m6.bioreg.kyushu-u.ac.jp/M3/20110429/F51150/2311/1", 47.04)</f>
        <v>47.04</v>
      </c>
      <c r="E8097" s="2">
        <v>19.3</v>
      </c>
      <c r="F8097" s="2">
        <v>2</v>
      </c>
      <c r="G8097" s="2" t="s">
        <v>13</v>
      </c>
      <c r="H8097" s="2" t="s">
        <v>4904</v>
      </c>
    </row>
    <row r="8098" spans="1:9" x14ac:dyDescent="0.2">
      <c r="A8098" s="4" t="s">
        <v>3944</v>
      </c>
      <c r="B8098" s="2" t="s">
        <v>1143</v>
      </c>
      <c r="C8098" s="2">
        <v>1574.2639999999999</v>
      </c>
      <c r="D8098" s="2">
        <f>HYPERLINK("http://mcb-m6.bioreg.kyushu-u.ac.jp/M3/20110429/F51150/2308/1", 52.52)</f>
        <v>52.52</v>
      </c>
      <c r="E8098" s="2">
        <v>35.950000000000003</v>
      </c>
      <c r="F8098" s="2">
        <v>1</v>
      </c>
      <c r="G8098" s="2" t="s">
        <v>13</v>
      </c>
      <c r="H8098" s="2" t="s">
        <v>4904</v>
      </c>
    </row>
    <row r="8099" spans="1:9" x14ac:dyDescent="0.2">
      <c r="A8099" s="4" t="s">
        <v>3944</v>
      </c>
      <c r="B8099" s="2" t="s">
        <v>1143</v>
      </c>
      <c r="C8099" s="2">
        <v>796.91060000000004</v>
      </c>
      <c r="D8099" s="2">
        <f>HYPERLINK("http://mcb-m6.bioreg.kyushu-u.ac.jp/M3/20110429/F51150/2337/1", 52.87)</f>
        <v>52.87</v>
      </c>
      <c r="E8099" s="2">
        <v>31.11</v>
      </c>
      <c r="F8099" s="2">
        <v>2</v>
      </c>
      <c r="G8099" s="2" t="s">
        <v>13</v>
      </c>
    </row>
    <row r="8100" spans="1:9" x14ac:dyDescent="0.2">
      <c r="A8100" s="4" t="s">
        <v>3944</v>
      </c>
      <c r="B8100" s="2" t="s">
        <v>1143</v>
      </c>
      <c r="C8100" s="2">
        <v>796.6327</v>
      </c>
      <c r="D8100" s="2">
        <f>HYPERLINK("http://mcb-m6.bioreg.kyushu-u.ac.jp/M3/20110429/F51150/2335/1", 78.8)</f>
        <v>78.8</v>
      </c>
      <c r="E8100" s="2">
        <v>55.61</v>
      </c>
      <c r="F8100" s="2">
        <v>2</v>
      </c>
      <c r="G8100" s="2" t="s">
        <v>13</v>
      </c>
    </row>
    <row r="8101" spans="1:9" x14ac:dyDescent="0.2">
      <c r="A8101" s="4" t="s">
        <v>3944</v>
      </c>
      <c r="B8101" s="2" t="s">
        <v>1143</v>
      </c>
      <c r="C8101" s="2">
        <v>796.24959999999999</v>
      </c>
      <c r="D8101" s="2">
        <f>HYPERLINK("http://mcb-m6.bioreg.kyushu-u.ac.jp/M3/20110429/F51150/2334/1", 91.56)</f>
        <v>91.56</v>
      </c>
      <c r="E8101" s="2">
        <v>63.92</v>
      </c>
      <c r="F8101" s="2">
        <v>2</v>
      </c>
      <c r="G8101" s="2" t="s">
        <v>13</v>
      </c>
    </row>
    <row r="8102" spans="1:9" x14ac:dyDescent="0.2">
      <c r="A8102" s="4" t="s">
        <v>3944</v>
      </c>
      <c r="B8102" s="2" t="s">
        <v>1143</v>
      </c>
      <c r="C8102" s="2">
        <v>796.80619999999999</v>
      </c>
      <c r="D8102" s="2">
        <f>HYPERLINK("http://mcb-m6.bioreg.kyushu-u.ac.jp/M3/20110429/F51150/2336/1", 94.05)</f>
        <v>94.05</v>
      </c>
      <c r="E8102" s="2">
        <v>66.290000000000006</v>
      </c>
      <c r="F8102" s="2">
        <v>2</v>
      </c>
      <c r="G8102" s="2" t="s">
        <v>13</v>
      </c>
    </row>
    <row r="8103" spans="1:9" x14ac:dyDescent="0.2">
      <c r="A8103" s="4" t="s">
        <v>3944</v>
      </c>
      <c r="B8103" s="2" t="s">
        <v>1143</v>
      </c>
      <c r="C8103" s="2">
        <v>787.59220000000005</v>
      </c>
      <c r="D8103" s="2">
        <f>HYPERLINK("http://mcb-m6.bioreg.kyushu-u.ac.jp/M3/20110429/F51150/2307/1", 111.22)</f>
        <v>111.22</v>
      </c>
      <c r="E8103" s="2">
        <v>79.819999999999993</v>
      </c>
      <c r="F8103" s="2">
        <v>2</v>
      </c>
      <c r="G8103" s="2" t="s">
        <v>13</v>
      </c>
      <c r="H8103" s="2" t="s">
        <v>4904</v>
      </c>
    </row>
    <row r="8104" spans="1:9" x14ac:dyDescent="0.2">
      <c r="A8104" s="4" t="s">
        <v>3944</v>
      </c>
      <c r="B8104" s="2" t="s">
        <v>1143</v>
      </c>
      <c r="C8104" s="2">
        <v>796.91309999999999</v>
      </c>
      <c r="D8104" s="2">
        <f>HYPERLINK("http://mcb-m6.bioreg.kyushu-u.ac.jp/M3/20110428/F51138/2495/1", 52.79)</f>
        <v>52.79</v>
      </c>
      <c r="E8104" s="2">
        <v>32.96</v>
      </c>
      <c r="F8104" s="2">
        <v>2</v>
      </c>
      <c r="G8104" s="2" t="s">
        <v>14</v>
      </c>
    </row>
    <row r="8105" spans="1:9" x14ac:dyDescent="0.2">
      <c r="A8105" s="4" t="s">
        <v>3944</v>
      </c>
      <c r="B8105" s="2" t="s">
        <v>1143</v>
      </c>
      <c r="C8105" s="2">
        <v>796.88760000000002</v>
      </c>
      <c r="D8105" s="2">
        <f>HYPERLINK("http://mcb-m6.bioreg.kyushu-u.ac.jp/M3/20110428/F51138/2493/1", 77.65)</f>
        <v>77.650000000000006</v>
      </c>
      <c r="E8105" s="2">
        <v>53.84</v>
      </c>
      <c r="F8105" s="2">
        <v>2</v>
      </c>
      <c r="G8105" s="2" t="s">
        <v>14</v>
      </c>
    </row>
    <row r="8106" spans="1:9" x14ac:dyDescent="0.2">
      <c r="A8106" s="4" t="s">
        <v>3944</v>
      </c>
      <c r="B8106" s="2" t="s">
        <v>1143</v>
      </c>
      <c r="C8106" s="2">
        <v>787.81820000000005</v>
      </c>
      <c r="D8106" s="2">
        <f>HYPERLINK("http://mcb-m6.bioreg.kyushu-u.ac.jp/M3/20110428/F51138/2455/1", 96.48)</f>
        <v>96.48</v>
      </c>
      <c r="E8106" s="2">
        <v>64.959999999999994</v>
      </c>
      <c r="F8106" s="2">
        <v>2</v>
      </c>
      <c r="G8106" s="2" t="s">
        <v>14</v>
      </c>
      <c r="H8106" s="2" t="s">
        <v>4904</v>
      </c>
    </row>
    <row r="8107" spans="1:9" x14ac:dyDescent="0.2">
      <c r="A8107" s="4" t="s">
        <v>5701</v>
      </c>
      <c r="B8107" s="2" t="s">
        <v>5237</v>
      </c>
      <c r="C8107" s="2">
        <v>463.79160000000002</v>
      </c>
      <c r="D8107" s="2">
        <f>HYPERLINK("http://mcb-m6.bioreg.kyushu-u.ac.jp/M3/20110318/F50617/942/1", 39.05)</f>
        <v>39.049999999999997</v>
      </c>
      <c r="E8107" s="2">
        <v>24.48</v>
      </c>
      <c r="F8107" s="2">
        <v>2</v>
      </c>
      <c r="G8107" s="2" t="s">
        <v>10</v>
      </c>
      <c r="I8107" s="2" t="s">
        <v>4892</v>
      </c>
    </row>
    <row r="8108" spans="1:9" x14ac:dyDescent="0.2">
      <c r="A8108" s="4" t="s">
        <v>5701</v>
      </c>
      <c r="B8108" s="2" t="s">
        <v>5237</v>
      </c>
      <c r="C8108" s="2">
        <v>464.01609999999999</v>
      </c>
      <c r="D8108" s="2">
        <f>HYPERLINK("http://mcb-m6.bioreg.kyushu-u.ac.jp/M3/20110429/F51150/1132/1", 37.71)</f>
        <v>37.71</v>
      </c>
      <c r="E8108" s="2">
        <v>30.33</v>
      </c>
      <c r="F8108" s="2">
        <v>2</v>
      </c>
      <c r="G8108" s="2" t="s">
        <v>13</v>
      </c>
      <c r="I8108" s="2" t="s">
        <v>4892</v>
      </c>
    </row>
    <row r="8109" spans="1:9" x14ac:dyDescent="0.2">
      <c r="A8109" s="4" t="s">
        <v>5701</v>
      </c>
      <c r="B8109" s="2" t="s">
        <v>5237</v>
      </c>
      <c r="C8109" s="2">
        <v>464.00709999999998</v>
      </c>
      <c r="D8109" s="2">
        <f>HYPERLINK("http://mcb-m6.bioreg.kyushu-u.ac.jp/M3/20110429/F51150/1131/1", 42.75)</f>
        <v>42.75</v>
      </c>
      <c r="E8109" s="2">
        <v>32.22</v>
      </c>
      <c r="F8109" s="2">
        <v>2</v>
      </c>
      <c r="G8109" s="2" t="s">
        <v>13</v>
      </c>
      <c r="I8109" s="2" t="s">
        <v>4892</v>
      </c>
    </row>
    <row r="8110" spans="1:9" x14ac:dyDescent="0.2">
      <c r="A8110" s="4" t="s">
        <v>5701</v>
      </c>
      <c r="B8110" s="2" t="s">
        <v>5237</v>
      </c>
      <c r="C8110" s="2">
        <v>464.00459999999998</v>
      </c>
      <c r="D8110" s="2">
        <f>HYPERLINK("http://mcb-m6.bioreg.kyushu-u.ac.jp/M3/20110428/F51138/1254/1", 44.93)</f>
        <v>44.93</v>
      </c>
      <c r="E8110" s="2">
        <v>30.37</v>
      </c>
      <c r="F8110" s="2">
        <v>2</v>
      </c>
      <c r="G8110" s="2" t="s">
        <v>14</v>
      </c>
      <c r="I8110" s="2" t="s">
        <v>4892</v>
      </c>
    </row>
    <row r="8111" spans="1:9" x14ac:dyDescent="0.2">
      <c r="A8111" s="2" t="s">
        <v>3410</v>
      </c>
      <c r="B8111" s="2" t="s">
        <v>1519</v>
      </c>
      <c r="C8111" s="2">
        <v>862.97860000000003</v>
      </c>
      <c r="D8111" s="2">
        <f>HYPERLINK("http://mcb-m6.bioreg.kyushu-u.ac.jp/M3/20110428/F51140/2579/1", 86.79)</f>
        <v>86.79</v>
      </c>
      <c r="E8111" s="2">
        <v>61.7</v>
      </c>
      <c r="F8111" s="2">
        <v>2</v>
      </c>
      <c r="G8111" s="2" t="s">
        <v>14</v>
      </c>
      <c r="I8111" s="2" t="s">
        <v>4939</v>
      </c>
    </row>
    <row r="8112" spans="1:9" x14ac:dyDescent="0.2">
      <c r="A8112" s="2" t="s">
        <v>4339</v>
      </c>
      <c r="B8112" s="2" t="s">
        <v>2154</v>
      </c>
      <c r="C8112" s="2">
        <v>744.20569999999998</v>
      </c>
      <c r="D8112" s="2">
        <f>HYPERLINK("http://mcb-m6.bioreg.kyushu-u.ac.jp/M3/20110418/F50978/2134/1", 36.62)</f>
        <v>36.619999999999997</v>
      </c>
      <c r="E8112" s="2">
        <v>24.84</v>
      </c>
      <c r="F8112" s="2">
        <v>2</v>
      </c>
      <c r="G8112" s="2" t="s">
        <v>11</v>
      </c>
    </row>
    <row r="8113" spans="1:9" x14ac:dyDescent="0.2">
      <c r="A8113" s="2" t="s">
        <v>5758</v>
      </c>
      <c r="B8113" s="2" t="s">
        <v>5380</v>
      </c>
      <c r="C8113" s="2">
        <v>1057.623</v>
      </c>
      <c r="D8113" s="2">
        <f>HYPERLINK("http://mcb-m6.bioreg.kyushu-u.ac.jp/M3/20110418/F50978/3344/1", 40.6)</f>
        <v>40.6</v>
      </c>
      <c r="E8113" s="2">
        <v>37.4</v>
      </c>
      <c r="F8113" s="2">
        <v>2</v>
      </c>
      <c r="G8113" s="2" t="s">
        <v>11</v>
      </c>
      <c r="I8113" s="2" t="s">
        <v>4899</v>
      </c>
    </row>
    <row r="8114" spans="1:9" x14ac:dyDescent="0.2">
      <c r="A8114" s="2" t="s">
        <v>5758</v>
      </c>
      <c r="B8114" s="2" t="s">
        <v>5380</v>
      </c>
      <c r="C8114" s="2">
        <v>1057.0160000000001</v>
      </c>
      <c r="D8114" s="2">
        <f>HYPERLINK("http://mcb-m6.bioreg.kyushu-u.ac.jp/M3/20110418/F50978/3343/1", 60.56)</f>
        <v>60.56</v>
      </c>
      <c r="E8114" s="2">
        <v>50.56</v>
      </c>
      <c r="F8114" s="2">
        <v>2</v>
      </c>
      <c r="G8114" s="2" t="s">
        <v>11</v>
      </c>
      <c r="I8114" s="2" t="s">
        <v>4899</v>
      </c>
    </row>
    <row r="8115" spans="1:9" x14ac:dyDescent="0.2">
      <c r="A8115" s="2" t="s">
        <v>5758</v>
      </c>
      <c r="B8115" s="2" t="s">
        <v>5380</v>
      </c>
      <c r="C8115" s="2">
        <v>1057.0419999999999</v>
      </c>
      <c r="D8115" s="2">
        <f>HYPERLINK("http://mcb-m6.bioreg.kyushu-u.ac.jp/M3/20110429/F51154/3456/1", 95.34)</f>
        <v>95.34</v>
      </c>
      <c r="E8115" s="2">
        <v>87.63</v>
      </c>
      <c r="F8115" s="2">
        <v>2</v>
      </c>
      <c r="G8115" s="2" t="s">
        <v>13</v>
      </c>
      <c r="I8115" s="2" t="s">
        <v>4899</v>
      </c>
    </row>
    <row r="8116" spans="1:9" x14ac:dyDescent="0.2">
      <c r="A8116" s="2" t="s">
        <v>5739</v>
      </c>
      <c r="B8116" s="2" t="s">
        <v>5348</v>
      </c>
      <c r="C8116" s="2">
        <v>1046.4169999999999</v>
      </c>
      <c r="D8116" s="2">
        <f>HYPERLINK("http://mcb-m6.bioreg.kyushu-u.ac.jp/M3/20110318/F50596/2444/1", 81.29)</f>
        <v>81.290000000000006</v>
      </c>
      <c r="E8116" s="2">
        <v>65.42</v>
      </c>
      <c r="F8116" s="2">
        <v>2</v>
      </c>
      <c r="G8116" s="2" t="s">
        <v>10</v>
      </c>
      <c r="I8116" s="2" t="s">
        <v>4935</v>
      </c>
    </row>
    <row r="8117" spans="1:9" x14ac:dyDescent="0.2">
      <c r="A8117" s="2" t="s">
        <v>5632</v>
      </c>
      <c r="B8117" s="2" t="s">
        <v>5051</v>
      </c>
      <c r="C8117" s="2">
        <v>743.77070000000003</v>
      </c>
      <c r="D8117" s="2">
        <f>HYPERLINK("http://mcb-m6.bioreg.kyushu-u.ac.jp/M3/20110318/F50602/1529/1", 43.25)</f>
        <v>43.25</v>
      </c>
      <c r="E8117" s="2">
        <v>24.6</v>
      </c>
      <c r="F8117" s="2">
        <v>2</v>
      </c>
      <c r="G8117" s="2" t="s">
        <v>9</v>
      </c>
    </row>
    <row r="8118" spans="1:9" x14ac:dyDescent="0.2">
      <c r="A8118" s="2" t="s">
        <v>5632</v>
      </c>
      <c r="B8118" s="2" t="s">
        <v>5258</v>
      </c>
      <c r="C8118" s="2">
        <v>508.93459999999999</v>
      </c>
      <c r="D8118" s="2">
        <f>HYPERLINK("http://mcb-m6.bioreg.kyushu-u.ac.jp/M3/20110318/F50596/1044/1", 43.34)</f>
        <v>43.34</v>
      </c>
      <c r="E8118" s="2">
        <v>26.39</v>
      </c>
      <c r="F8118" s="2">
        <v>2</v>
      </c>
      <c r="G8118" s="2" t="s">
        <v>10</v>
      </c>
    </row>
    <row r="8119" spans="1:9" x14ac:dyDescent="0.2">
      <c r="A8119" s="2" t="s">
        <v>5632</v>
      </c>
      <c r="B8119" s="2" t="s">
        <v>5293</v>
      </c>
      <c r="C8119" s="2">
        <v>646.33969999999999</v>
      </c>
      <c r="D8119" s="2">
        <f>HYPERLINK("http://mcb-m6.bioreg.kyushu-u.ac.jp/M3/20110318/F50596/1345/1", 49.94)</f>
        <v>49.94</v>
      </c>
      <c r="E8119" s="2">
        <v>30.17</v>
      </c>
      <c r="F8119" s="2">
        <v>2</v>
      </c>
      <c r="G8119" s="2" t="s">
        <v>10</v>
      </c>
    </row>
    <row r="8120" spans="1:9" x14ac:dyDescent="0.2">
      <c r="A8120" s="2" t="s">
        <v>5632</v>
      </c>
      <c r="B8120" s="2" t="s">
        <v>5309</v>
      </c>
      <c r="C8120" s="2">
        <v>684.81709999999998</v>
      </c>
      <c r="D8120" s="2">
        <f>HYPERLINK("http://mcb-m6.bioreg.kyushu-u.ac.jp/M3/20110318/F50596/1430/1", 55.63)</f>
        <v>55.63</v>
      </c>
      <c r="E8120" s="2">
        <v>39.9</v>
      </c>
      <c r="F8120" s="2">
        <v>2</v>
      </c>
      <c r="G8120" s="2" t="s">
        <v>10</v>
      </c>
    </row>
    <row r="8121" spans="1:9" x14ac:dyDescent="0.2">
      <c r="A8121" s="2" t="s">
        <v>5632</v>
      </c>
      <c r="B8121" s="2" t="s">
        <v>5339</v>
      </c>
      <c r="C8121" s="2">
        <v>683.33920000000001</v>
      </c>
      <c r="D8121" s="2">
        <f>HYPERLINK("http://mcb-m6.bioreg.kyushu-u.ac.jp/M3/20110318/F50596/1426/1", 72.51)</f>
        <v>72.510000000000005</v>
      </c>
      <c r="E8121" s="2">
        <v>53.45</v>
      </c>
      <c r="F8121" s="2">
        <v>2</v>
      </c>
      <c r="G8121" s="2" t="s">
        <v>10</v>
      </c>
    </row>
    <row r="8122" spans="1:9" x14ac:dyDescent="0.2">
      <c r="A8122" s="2" t="s">
        <v>5632</v>
      </c>
      <c r="B8122" s="2" t="s">
        <v>5051</v>
      </c>
      <c r="C8122" s="2">
        <v>744.34670000000006</v>
      </c>
      <c r="D8122" s="2">
        <f>HYPERLINK("http://mcb-m6.bioreg.kyushu-u.ac.jp/M3/20110318/F50596/1662/1", 81.99)</f>
        <v>81.99</v>
      </c>
      <c r="E8122" s="2">
        <v>59.27</v>
      </c>
      <c r="F8122" s="2">
        <v>2</v>
      </c>
      <c r="G8122" s="2" t="s">
        <v>10</v>
      </c>
    </row>
    <row r="8123" spans="1:9" x14ac:dyDescent="0.2">
      <c r="A8123" s="2" t="s">
        <v>5632</v>
      </c>
      <c r="B8123" s="2" t="s">
        <v>5351</v>
      </c>
      <c r="C8123" s="2">
        <v>637.38570000000004</v>
      </c>
      <c r="D8123" s="2">
        <f>HYPERLINK("http://mcb-m6.bioreg.kyushu-u.ac.jp/M3/20110318/F50596/1323/1", 82.6)</f>
        <v>82.6</v>
      </c>
      <c r="E8123" s="2">
        <v>43.27</v>
      </c>
      <c r="F8123" s="2">
        <v>2</v>
      </c>
      <c r="G8123" s="2" t="s">
        <v>10</v>
      </c>
    </row>
    <row r="8124" spans="1:9" x14ac:dyDescent="0.2">
      <c r="A8124" s="2" t="s">
        <v>5632</v>
      </c>
      <c r="B8124" s="2" t="s">
        <v>5357</v>
      </c>
      <c r="C8124" s="2">
        <v>840.82460000000003</v>
      </c>
      <c r="D8124" s="2">
        <f>HYPERLINK("http://mcb-m6.bioreg.kyushu-u.ac.jp/M3/20110318/F50596/1967/1", 105.49)</f>
        <v>105.49</v>
      </c>
      <c r="E8124" s="2">
        <v>88.17</v>
      </c>
      <c r="F8124" s="2">
        <v>2</v>
      </c>
      <c r="G8124" s="2" t="s">
        <v>10</v>
      </c>
    </row>
    <row r="8125" spans="1:9" x14ac:dyDescent="0.2">
      <c r="A8125" s="2" t="s">
        <v>5632</v>
      </c>
      <c r="B8125" s="2" t="s">
        <v>5357</v>
      </c>
      <c r="C8125" s="2">
        <v>840.68370000000004</v>
      </c>
      <c r="D8125" s="2">
        <f>HYPERLINK("http://mcb-m6.bioreg.kyushu-u.ac.jp/M3/20110418/F50978/2531/1", 46.19)</f>
        <v>46.19</v>
      </c>
      <c r="E8125" s="2">
        <v>34.659999999999997</v>
      </c>
      <c r="F8125" s="2">
        <v>2</v>
      </c>
      <c r="G8125" s="2" t="s">
        <v>11</v>
      </c>
    </row>
    <row r="8126" spans="1:9" x14ac:dyDescent="0.2">
      <c r="A8126" s="2" t="s">
        <v>5632</v>
      </c>
      <c r="B8126" s="2" t="s">
        <v>5339</v>
      </c>
      <c r="C8126" s="2">
        <v>683.03859999999997</v>
      </c>
      <c r="D8126" s="2">
        <f>HYPERLINK("http://mcb-m6.bioreg.kyushu-u.ac.jp/M3/20110418/F50978/1765/1", 70.31)</f>
        <v>70.31</v>
      </c>
      <c r="E8126" s="2">
        <v>48.96</v>
      </c>
      <c r="F8126" s="2">
        <v>2</v>
      </c>
      <c r="G8126" s="2" t="s">
        <v>11</v>
      </c>
    </row>
    <row r="8127" spans="1:9" x14ac:dyDescent="0.2">
      <c r="A8127" s="2" t="s">
        <v>5632</v>
      </c>
      <c r="B8127" s="2" t="s">
        <v>5430</v>
      </c>
      <c r="C8127" s="2">
        <v>673.58320000000003</v>
      </c>
      <c r="D8127" s="2">
        <f>HYPERLINK("http://mcb-m6.bioreg.kyushu-u.ac.jp/M3/20110418/F50988/1844/1", 36.64)</f>
        <v>36.64</v>
      </c>
      <c r="E8127" s="2">
        <v>26.56</v>
      </c>
      <c r="F8127" s="2">
        <v>2</v>
      </c>
      <c r="G8127" s="2" t="s">
        <v>12</v>
      </c>
      <c r="I8127" s="2" t="s">
        <v>4895</v>
      </c>
    </row>
    <row r="8128" spans="1:9" x14ac:dyDescent="0.2">
      <c r="A8128" s="2" t="s">
        <v>5632</v>
      </c>
      <c r="B8128" s="2" t="s">
        <v>5351</v>
      </c>
      <c r="C8128" s="2">
        <v>637.04909999999995</v>
      </c>
      <c r="D8128" s="2">
        <f>HYPERLINK("http://mcb-m6.bioreg.kyushu-u.ac.jp/M3/20110418/F50988/1769/1", 52.32)</f>
        <v>52.32</v>
      </c>
      <c r="E8128" s="2">
        <v>26.88</v>
      </c>
      <c r="F8128" s="2">
        <v>2</v>
      </c>
      <c r="G8128" s="2" t="s">
        <v>12</v>
      </c>
    </row>
    <row r="8129" spans="1:7" x14ac:dyDescent="0.2">
      <c r="A8129" s="2" t="s">
        <v>5632</v>
      </c>
      <c r="B8129" s="2" t="s">
        <v>5357</v>
      </c>
      <c r="C8129" s="2">
        <v>840.73569999999995</v>
      </c>
      <c r="D8129" s="2">
        <f>HYPERLINK("http://mcb-m6.bioreg.kyushu-u.ac.jp/M3/20110418/F50988/2438/1", 56.12)</f>
        <v>56.12</v>
      </c>
      <c r="E8129" s="2">
        <v>43.83</v>
      </c>
      <c r="F8129" s="2">
        <v>2</v>
      </c>
      <c r="G8129" s="2" t="s">
        <v>12</v>
      </c>
    </row>
    <row r="8130" spans="1:7" x14ac:dyDescent="0.2">
      <c r="A8130" s="2" t="s">
        <v>5632</v>
      </c>
      <c r="B8130" s="2" t="s">
        <v>5339</v>
      </c>
      <c r="C8130" s="2">
        <v>682.66669999999999</v>
      </c>
      <c r="D8130" s="2">
        <f>HYPERLINK("http://mcb-m6.bioreg.kyushu-u.ac.jp/M3/20110418/F50988/1869/1", 94.45)</f>
        <v>94.45</v>
      </c>
      <c r="E8130" s="2">
        <v>68.94</v>
      </c>
      <c r="F8130" s="2">
        <v>2</v>
      </c>
      <c r="G8130" s="2" t="s">
        <v>12</v>
      </c>
    </row>
    <row r="8131" spans="1:7" x14ac:dyDescent="0.2">
      <c r="A8131" s="2" t="s">
        <v>5632</v>
      </c>
      <c r="B8131" s="2" t="s">
        <v>5506</v>
      </c>
      <c r="C8131" s="2">
        <v>538.0557</v>
      </c>
      <c r="D8131" s="2">
        <f>HYPERLINK("http://mcb-m6.bioreg.kyushu-u.ac.jp/M3/20110429/F51154/929/1", 43.23)</f>
        <v>43.23</v>
      </c>
      <c r="E8131" s="2">
        <v>21.1</v>
      </c>
      <c r="F8131" s="2">
        <v>2</v>
      </c>
      <c r="G8131" s="2" t="s">
        <v>13</v>
      </c>
    </row>
    <row r="8132" spans="1:7" x14ac:dyDescent="0.2">
      <c r="A8132" s="2" t="s">
        <v>5632</v>
      </c>
      <c r="B8132" s="2" t="s">
        <v>5530</v>
      </c>
      <c r="C8132" s="2">
        <v>623.83219999999994</v>
      </c>
      <c r="D8132" s="2">
        <f>HYPERLINK("http://mcb-m6.bioreg.kyushu-u.ac.jp/M3/20110429/F51154/1346/1", 53.2)</f>
        <v>53.2</v>
      </c>
      <c r="E8132" s="2">
        <v>36.19</v>
      </c>
      <c r="F8132" s="2">
        <v>2</v>
      </c>
      <c r="G8132" s="2" t="s">
        <v>13</v>
      </c>
    </row>
    <row r="8133" spans="1:7" x14ac:dyDescent="0.2">
      <c r="A8133" s="2" t="s">
        <v>5632</v>
      </c>
      <c r="B8133" s="2" t="s">
        <v>5339</v>
      </c>
      <c r="C8133" s="2">
        <v>682.81669999999997</v>
      </c>
      <c r="D8133" s="2">
        <f>HYPERLINK("http://mcb-m6.bioreg.kyushu-u.ac.jp/M3/20110429/F51154/1660/1", 89.55)</f>
        <v>89.55</v>
      </c>
      <c r="E8133" s="2">
        <v>70.25</v>
      </c>
      <c r="F8133" s="2">
        <v>2</v>
      </c>
      <c r="G8133" s="2" t="s">
        <v>13</v>
      </c>
    </row>
    <row r="8134" spans="1:7" x14ac:dyDescent="0.2">
      <c r="A8134" s="2" t="s">
        <v>5632</v>
      </c>
      <c r="B8134" s="2" t="s">
        <v>5357</v>
      </c>
      <c r="C8134" s="2">
        <v>840.85569999999996</v>
      </c>
      <c r="D8134" s="2">
        <f>HYPERLINK("http://mcb-m6.bioreg.kyushu-u.ac.jp/M3/20110429/F51154/2570/1", 95.41)</f>
        <v>95.41</v>
      </c>
      <c r="E8134" s="2">
        <v>78.89</v>
      </c>
      <c r="F8134" s="2">
        <v>2</v>
      </c>
      <c r="G8134" s="2" t="s">
        <v>13</v>
      </c>
    </row>
    <row r="8135" spans="1:7" x14ac:dyDescent="0.2">
      <c r="A8135" s="2" t="s">
        <v>5632</v>
      </c>
      <c r="B8135" s="2" t="s">
        <v>5585</v>
      </c>
      <c r="C8135" s="2">
        <v>796.62819999999999</v>
      </c>
      <c r="D8135" s="2">
        <f>HYPERLINK("http://mcb-m6.bioreg.kyushu-u.ac.jp/M3/20110428/F51143/2391/1", 45.36)</f>
        <v>45.36</v>
      </c>
      <c r="E8135" s="2">
        <v>19.72</v>
      </c>
      <c r="F8135" s="2">
        <v>2</v>
      </c>
      <c r="G8135" s="2" t="s">
        <v>14</v>
      </c>
    </row>
    <row r="8136" spans="1:7" x14ac:dyDescent="0.2">
      <c r="A8136" s="2" t="s">
        <v>5632</v>
      </c>
      <c r="B8136" s="2" t="s">
        <v>5339</v>
      </c>
      <c r="C8136" s="2">
        <v>682.89419999999996</v>
      </c>
      <c r="D8136" s="2">
        <f>HYPERLINK("http://mcb-m6.bioreg.kyushu-u.ac.jp/M3/20110428/F51143/1791/1", 58.35)</f>
        <v>58.35</v>
      </c>
      <c r="E8136" s="2">
        <v>40.06</v>
      </c>
      <c r="F8136" s="2">
        <v>2</v>
      </c>
      <c r="G8136" s="2" t="s">
        <v>14</v>
      </c>
    </row>
    <row r="8137" spans="1:7" x14ac:dyDescent="0.2">
      <c r="A8137" s="2" t="s">
        <v>4511</v>
      </c>
      <c r="B8137" s="2" t="s">
        <v>2520</v>
      </c>
      <c r="C8137" s="2">
        <v>582.25459999999998</v>
      </c>
      <c r="D8137" s="2">
        <f>HYPERLINK("http://mcb-m6.bioreg.kyushu-u.ac.jp/M3/20110418/F50972/1721/1", 38.69)</f>
        <v>38.69</v>
      </c>
      <c r="E8137" s="2">
        <v>15.71</v>
      </c>
      <c r="F8137" s="2">
        <v>2</v>
      </c>
      <c r="G8137" s="2" t="s">
        <v>11</v>
      </c>
    </row>
    <row r="8138" spans="1:7" x14ac:dyDescent="0.2">
      <c r="A8138" s="2" t="s">
        <v>4511</v>
      </c>
      <c r="B8138" s="2" t="s">
        <v>2520</v>
      </c>
      <c r="C8138" s="2">
        <v>582.80520000000001</v>
      </c>
      <c r="D8138" s="2">
        <f>HYPERLINK("http://mcb-m6.bioreg.kyushu-u.ac.jp/M3/20110418/F50975/1142/1", 39.14)</f>
        <v>39.14</v>
      </c>
      <c r="E8138" s="2">
        <v>18.53</v>
      </c>
      <c r="F8138" s="2">
        <v>2</v>
      </c>
      <c r="G8138" s="2" t="s">
        <v>11</v>
      </c>
    </row>
    <row r="8139" spans="1:7" x14ac:dyDescent="0.2">
      <c r="A8139" s="2" t="s">
        <v>4322</v>
      </c>
      <c r="B8139" s="2" t="s">
        <v>2094</v>
      </c>
      <c r="C8139" s="2">
        <v>660.86320000000001</v>
      </c>
      <c r="D8139" s="2">
        <f>HYPERLINK("http://mcb-m6.bioreg.kyushu-u.ac.jp/M3/20110318/F50599/1479/1", 44.52)</f>
        <v>44.52</v>
      </c>
      <c r="E8139" s="2">
        <v>15.98</v>
      </c>
      <c r="F8139" s="2">
        <v>2</v>
      </c>
      <c r="G8139" s="2" t="s">
        <v>10</v>
      </c>
    </row>
    <row r="8140" spans="1:7" x14ac:dyDescent="0.2">
      <c r="A8140" s="2" t="s">
        <v>3790</v>
      </c>
      <c r="B8140" s="2" t="s">
        <v>833</v>
      </c>
      <c r="C8140" s="2">
        <v>1072.9970000000001</v>
      </c>
      <c r="D8140" s="2">
        <f>HYPERLINK("http://mcb-m6.bioreg.kyushu-u.ac.jp/M3/20110318/F50608/2365/1", 118.91)</f>
        <v>118.91</v>
      </c>
      <c r="E8140" s="2">
        <v>105.36</v>
      </c>
      <c r="F8140" s="2">
        <v>2</v>
      </c>
      <c r="G8140" s="2" t="s">
        <v>9</v>
      </c>
    </row>
    <row r="8141" spans="1:7" x14ac:dyDescent="0.2">
      <c r="A8141" s="2" t="s">
        <v>3790</v>
      </c>
      <c r="B8141" s="2" t="s">
        <v>1560</v>
      </c>
      <c r="C8141" s="2">
        <v>767.03560000000004</v>
      </c>
      <c r="D8141" s="2">
        <f>HYPERLINK("http://mcb-m6.bioreg.kyushu-u.ac.jp/M3/20110418/F50972/2292/1", 49.6)</f>
        <v>49.6</v>
      </c>
      <c r="E8141" s="2">
        <v>29.82</v>
      </c>
      <c r="F8141" s="2">
        <v>2</v>
      </c>
      <c r="G8141" s="2" t="s">
        <v>11</v>
      </c>
    </row>
    <row r="8142" spans="1:7" x14ac:dyDescent="0.2">
      <c r="A8142" s="2" t="s">
        <v>3790</v>
      </c>
      <c r="B8142" s="2" t="s">
        <v>1560</v>
      </c>
      <c r="C8142" s="2">
        <v>766.86159999999995</v>
      </c>
      <c r="D8142" s="2">
        <f>HYPERLINK("http://mcb-m6.bioreg.kyushu-u.ac.jp/M3/20110418/F50972/2290/1", 56.63)</f>
        <v>56.63</v>
      </c>
      <c r="E8142" s="2">
        <v>42.02</v>
      </c>
      <c r="F8142" s="2">
        <v>2</v>
      </c>
      <c r="G8142" s="2" t="s">
        <v>11</v>
      </c>
    </row>
    <row r="8143" spans="1:7" x14ac:dyDescent="0.2">
      <c r="A8143" s="2" t="s">
        <v>3790</v>
      </c>
      <c r="B8143" s="2" t="s">
        <v>1560</v>
      </c>
      <c r="C8143" s="2">
        <v>766.88959999999997</v>
      </c>
      <c r="D8143" s="2">
        <f>HYPERLINK("http://mcb-m6.bioreg.kyushu-u.ac.jp/M3/20110429/F51150/2229/1", 109.45)</f>
        <v>109.45</v>
      </c>
      <c r="E8143" s="2">
        <v>85.92</v>
      </c>
      <c r="F8143" s="2">
        <v>2</v>
      </c>
      <c r="G8143" s="2" t="s">
        <v>13</v>
      </c>
    </row>
    <row r="8144" spans="1:7" x14ac:dyDescent="0.2">
      <c r="A8144" s="2" t="s">
        <v>5726</v>
      </c>
      <c r="B8144" s="2" t="s">
        <v>5307</v>
      </c>
      <c r="C8144" s="2">
        <v>726.97919999999999</v>
      </c>
      <c r="D8144" s="2">
        <f>HYPERLINK("http://mcb-m6.bioreg.kyushu-u.ac.jp/M3/20110318/F50596/1564/1", 54.78)</f>
        <v>54.78</v>
      </c>
      <c r="E8144" s="2">
        <v>30.66</v>
      </c>
      <c r="F8144" s="2">
        <v>2</v>
      </c>
      <c r="G8144" s="2" t="s">
        <v>10</v>
      </c>
    </row>
    <row r="8145" spans="1:9" x14ac:dyDescent="0.2">
      <c r="A8145" s="2" t="s">
        <v>4617</v>
      </c>
      <c r="B8145" s="2" t="s">
        <v>5155</v>
      </c>
      <c r="C8145" s="2">
        <v>719.82259999999997</v>
      </c>
      <c r="D8145" s="2">
        <f>HYPERLINK("http://mcb-m6.bioreg.kyushu-u.ac.jp/M3/20110318/F50602/1449/1", 69.8)</f>
        <v>69.8</v>
      </c>
      <c r="E8145" s="2">
        <v>55.1</v>
      </c>
      <c r="F8145" s="2">
        <v>2</v>
      </c>
      <c r="G8145" s="2" t="s">
        <v>9</v>
      </c>
    </row>
    <row r="8146" spans="1:9" x14ac:dyDescent="0.2">
      <c r="A8146" s="2" t="s">
        <v>4617</v>
      </c>
      <c r="B8146" s="2" t="s">
        <v>5155</v>
      </c>
      <c r="C8146" s="2">
        <v>719.81619999999998</v>
      </c>
      <c r="D8146" s="2">
        <f>HYPERLINK("http://mcb-m6.bioreg.kyushu-u.ac.jp/M3/20110429/F51155/2120/1", 80.71)</f>
        <v>80.709999999999994</v>
      </c>
      <c r="E8146" s="2">
        <v>68.2</v>
      </c>
      <c r="F8146" s="2">
        <v>2</v>
      </c>
      <c r="G8146" s="2" t="s">
        <v>13</v>
      </c>
    </row>
    <row r="8147" spans="1:9" x14ac:dyDescent="0.2">
      <c r="A8147" s="2" t="s">
        <v>3639</v>
      </c>
      <c r="B8147" s="2" t="s">
        <v>557</v>
      </c>
      <c r="C8147" s="2">
        <v>564.95870000000002</v>
      </c>
      <c r="D8147" s="2">
        <f>HYPERLINK("http://mcb-m6.bioreg.kyushu-u.ac.jp/M3/20110318/F50599/1305/1", 60.45)</f>
        <v>60.45</v>
      </c>
      <c r="E8147" s="2">
        <v>37.15</v>
      </c>
      <c r="F8147" s="2">
        <v>2</v>
      </c>
      <c r="G8147" s="2" t="s">
        <v>10</v>
      </c>
    </row>
    <row r="8148" spans="1:9" x14ac:dyDescent="0.2">
      <c r="A8148" s="2" t="s">
        <v>3995</v>
      </c>
      <c r="B8148" s="2" t="s">
        <v>1279</v>
      </c>
      <c r="C8148" s="2">
        <v>756.80269999999996</v>
      </c>
      <c r="D8148" s="2">
        <f>HYPERLINK("http://mcb-m6.bioreg.kyushu-u.ac.jp/M3/20110318/F50621/1582/1", 53.33)</f>
        <v>53.33</v>
      </c>
      <c r="E8148" s="2">
        <v>34.01</v>
      </c>
      <c r="F8148" s="2">
        <v>2</v>
      </c>
      <c r="G8148" s="2" t="s">
        <v>9</v>
      </c>
      <c r="H8148" s="2" t="s">
        <v>4908</v>
      </c>
      <c r="I8148" s="2" t="s">
        <v>4914</v>
      </c>
    </row>
    <row r="8149" spans="1:9" x14ac:dyDescent="0.2">
      <c r="A8149" s="2" t="s">
        <v>3995</v>
      </c>
      <c r="B8149" s="2" t="s">
        <v>1279</v>
      </c>
      <c r="C8149" s="2">
        <v>749.27620000000002</v>
      </c>
      <c r="D8149" s="2">
        <f>HYPERLINK("http://mcb-m6.bioreg.kyushu-u.ac.jp/M3/20110318/F50621/1560/1", 92.84)</f>
        <v>92.84</v>
      </c>
      <c r="E8149" s="2">
        <v>29.72</v>
      </c>
      <c r="F8149" s="2">
        <v>2</v>
      </c>
      <c r="G8149" s="2" t="s">
        <v>9</v>
      </c>
      <c r="I8149" s="2" t="s">
        <v>4914</v>
      </c>
    </row>
    <row r="8150" spans="1:9" x14ac:dyDescent="0.2">
      <c r="A8150" s="2" t="s">
        <v>3995</v>
      </c>
      <c r="B8150" s="2" t="s">
        <v>1279</v>
      </c>
      <c r="C8150" s="2">
        <v>757.33219999999994</v>
      </c>
      <c r="D8150" s="2">
        <f>HYPERLINK("http://mcb-m6.bioreg.kyushu-u.ac.jp/M3/20110318/F50621/1585/1", 94.92)</f>
        <v>94.92</v>
      </c>
      <c r="E8150" s="2">
        <v>81.42</v>
      </c>
      <c r="F8150" s="2">
        <v>2</v>
      </c>
      <c r="G8150" s="2" t="s">
        <v>9</v>
      </c>
      <c r="H8150" s="2" t="s">
        <v>4908</v>
      </c>
      <c r="I8150" s="2" t="s">
        <v>4914</v>
      </c>
    </row>
    <row r="8151" spans="1:9" x14ac:dyDescent="0.2">
      <c r="A8151" s="2" t="s">
        <v>3995</v>
      </c>
      <c r="B8151" s="2" t="s">
        <v>1279</v>
      </c>
      <c r="C8151" s="2">
        <v>757.17169999999999</v>
      </c>
      <c r="D8151" s="2">
        <f>HYPERLINK("http://mcb-m6.bioreg.kyushu-u.ac.jp/M3/20110318/F50608/1588/1", 106.49)</f>
        <v>106.49</v>
      </c>
      <c r="E8151" s="2">
        <v>91.12</v>
      </c>
      <c r="F8151" s="2">
        <v>2</v>
      </c>
      <c r="G8151" s="2" t="s">
        <v>9</v>
      </c>
      <c r="H8151" s="2" t="s">
        <v>4908</v>
      </c>
      <c r="I8151" s="2" t="s">
        <v>4914</v>
      </c>
    </row>
    <row r="8152" spans="1:9" x14ac:dyDescent="0.2">
      <c r="A8152" s="2" t="s">
        <v>3995</v>
      </c>
      <c r="B8152" s="2" t="s">
        <v>1279</v>
      </c>
      <c r="C8152" s="2">
        <v>749.31269999999995</v>
      </c>
      <c r="D8152" s="2">
        <f>HYPERLINK("http://mcb-m6.bioreg.kyushu-u.ac.jp/M3/20110318/F50622/1533/1", 57.01)</f>
        <v>57.01</v>
      </c>
      <c r="E8152" s="2">
        <v>12.99</v>
      </c>
      <c r="F8152" s="2">
        <v>2</v>
      </c>
      <c r="G8152" s="2" t="s">
        <v>10</v>
      </c>
      <c r="I8152" s="2" t="s">
        <v>4914</v>
      </c>
    </row>
    <row r="8153" spans="1:9" x14ac:dyDescent="0.2">
      <c r="A8153" s="2" t="s">
        <v>3995</v>
      </c>
      <c r="B8153" s="2" t="s">
        <v>1279</v>
      </c>
      <c r="C8153" s="2">
        <v>748.89319999999998</v>
      </c>
      <c r="D8153" s="2">
        <f>HYPERLINK("http://mcb-m6.bioreg.kyushu-u.ac.jp/M3/20110318/F50599/1749/1", 64.7)</f>
        <v>64.7</v>
      </c>
      <c r="E8153" s="2">
        <v>13.51</v>
      </c>
      <c r="F8153" s="2">
        <v>2</v>
      </c>
      <c r="G8153" s="2" t="s">
        <v>10</v>
      </c>
      <c r="I8153" s="2" t="s">
        <v>4914</v>
      </c>
    </row>
    <row r="8154" spans="1:9" x14ac:dyDescent="0.2">
      <c r="A8154" s="2" t="s">
        <v>3995</v>
      </c>
      <c r="B8154" s="2" t="s">
        <v>1279</v>
      </c>
      <c r="C8154" s="2">
        <v>756.75210000000004</v>
      </c>
      <c r="D8154" s="2">
        <f>HYPERLINK("http://mcb-m6.bioreg.kyushu-u.ac.jp/M3/20110318/F50617/1632/1", 75.92)</f>
        <v>75.92</v>
      </c>
      <c r="E8154" s="2">
        <v>50.19</v>
      </c>
      <c r="F8154" s="2">
        <v>2</v>
      </c>
      <c r="G8154" s="2" t="s">
        <v>10</v>
      </c>
      <c r="H8154" s="2" t="s">
        <v>4908</v>
      </c>
      <c r="I8154" s="2" t="s">
        <v>4914</v>
      </c>
    </row>
    <row r="8155" spans="1:9" x14ac:dyDescent="0.2">
      <c r="A8155" s="2" t="s">
        <v>3995</v>
      </c>
      <c r="B8155" s="2" t="s">
        <v>1279</v>
      </c>
      <c r="C8155" s="2">
        <v>756.92269999999996</v>
      </c>
      <c r="D8155" s="2">
        <f>HYPERLINK("http://mcb-m6.bioreg.kyushu-u.ac.jp/M3/20110318/F50599/1773/1", 98.25)</f>
        <v>98.25</v>
      </c>
      <c r="E8155" s="2">
        <v>84.08</v>
      </c>
      <c r="F8155" s="2">
        <v>2</v>
      </c>
      <c r="G8155" s="2" t="s">
        <v>10</v>
      </c>
      <c r="H8155" s="2" t="s">
        <v>4908</v>
      </c>
      <c r="I8155" s="2" t="s">
        <v>4914</v>
      </c>
    </row>
    <row r="8156" spans="1:9" x14ac:dyDescent="0.2">
      <c r="A8156" s="2" t="s">
        <v>3995</v>
      </c>
      <c r="B8156" s="2" t="s">
        <v>1279</v>
      </c>
      <c r="C8156" s="2">
        <v>757.15309999999999</v>
      </c>
      <c r="D8156" s="2">
        <f>HYPERLINK("http://mcb-m6.bioreg.kyushu-u.ac.jp/M3/20110418/F50982/2213/1", 36.05)</f>
        <v>36.049999999999997</v>
      </c>
      <c r="E8156" s="2">
        <v>27.17</v>
      </c>
      <c r="F8156" s="2">
        <v>2</v>
      </c>
      <c r="G8156" s="2" t="s">
        <v>12</v>
      </c>
      <c r="H8156" s="2" t="s">
        <v>4908</v>
      </c>
      <c r="I8156" s="2" t="s">
        <v>4914</v>
      </c>
    </row>
    <row r="8157" spans="1:9" x14ac:dyDescent="0.2">
      <c r="A8157" s="2" t="s">
        <v>3587</v>
      </c>
      <c r="B8157" s="2" t="s">
        <v>470</v>
      </c>
      <c r="C8157" s="2">
        <v>507.82549999999998</v>
      </c>
      <c r="D8157" s="2">
        <f>HYPERLINK("http://mcb-m6.bioreg.kyushu-u.ac.jp/M3/20110318/F50599/1784/1", 51.39)</f>
        <v>51.39</v>
      </c>
      <c r="E8157" s="2">
        <v>34.11</v>
      </c>
      <c r="F8157" s="2">
        <v>3</v>
      </c>
      <c r="G8157" s="2" t="s">
        <v>10</v>
      </c>
    </row>
    <row r="8158" spans="1:9" x14ac:dyDescent="0.2">
      <c r="A8158" s="2" t="s">
        <v>3587</v>
      </c>
      <c r="B8158" s="2" t="s">
        <v>470</v>
      </c>
      <c r="C8158" s="2">
        <v>760.9932</v>
      </c>
      <c r="D8158" s="2">
        <f>HYPERLINK("http://mcb-m6.bioreg.kyushu-u.ac.jp/M3/20110318/F50599/1783/1", 74.27)</f>
        <v>74.27</v>
      </c>
      <c r="E8158" s="2">
        <v>58.26</v>
      </c>
      <c r="F8158" s="2">
        <v>2</v>
      </c>
      <c r="G8158" s="2" t="s">
        <v>10</v>
      </c>
    </row>
    <row r="8159" spans="1:9" x14ac:dyDescent="0.2">
      <c r="A8159" s="2" t="s">
        <v>3774</v>
      </c>
      <c r="B8159" s="2" t="s">
        <v>799</v>
      </c>
      <c r="C8159" s="2">
        <v>487.97210000000001</v>
      </c>
      <c r="D8159" s="2">
        <f>HYPERLINK("http://mcb-m6.bioreg.kyushu-u.ac.jp/M3/20110318/F50609/1149/1", 42.53)</f>
        <v>42.53</v>
      </c>
      <c r="E8159" s="2">
        <v>8.1999999999999993</v>
      </c>
      <c r="F8159" s="2">
        <v>2</v>
      </c>
      <c r="G8159" s="2" t="s">
        <v>9</v>
      </c>
    </row>
    <row r="8160" spans="1:9" x14ac:dyDescent="0.2">
      <c r="A8160" s="2" t="s">
        <v>3774</v>
      </c>
      <c r="B8160" s="2" t="s">
        <v>799</v>
      </c>
      <c r="C8160" s="2">
        <v>487.46010000000001</v>
      </c>
      <c r="D8160" s="2">
        <f>HYPERLINK("http://mcb-m6.bioreg.kyushu-u.ac.jp/M3/20110318/F50607/949/1", 46.74)</f>
        <v>46.74</v>
      </c>
      <c r="E8160" s="2">
        <v>7.66</v>
      </c>
      <c r="F8160" s="2">
        <v>2</v>
      </c>
      <c r="G8160" s="2" t="s">
        <v>9</v>
      </c>
    </row>
    <row r="8161" spans="1:9" x14ac:dyDescent="0.2">
      <c r="A8161" s="2" t="s">
        <v>3774</v>
      </c>
      <c r="B8161" s="2" t="s">
        <v>799</v>
      </c>
      <c r="C8161" s="2">
        <v>487.48059999999998</v>
      </c>
      <c r="D8161" s="2">
        <f>HYPERLINK("http://mcb-m6.bioreg.kyushu-u.ac.jp/M3/20110318/F50595/1323/1", 44.52)</f>
        <v>44.52</v>
      </c>
      <c r="E8161" s="2">
        <v>8.4</v>
      </c>
      <c r="F8161" s="2">
        <v>2</v>
      </c>
      <c r="G8161" s="2" t="s">
        <v>10</v>
      </c>
    </row>
    <row r="8162" spans="1:9" x14ac:dyDescent="0.2">
      <c r="A8162" s="2" t="s">
        <v>3774</v>
      </c>
      <c r="B8162" s="2" t="s">
        <v>799</v>
      </c>
      <c r="C8162" s="2">
        <v>487.36959999999999</v>
      </c>
      <c r="D8162" s="2">
        <f>HYPERLINK("http://mcb-m6.bioreg.kyushu-u.ac.jp/M3/20110318/F50615/768/1", 54.66)</f>
        <v>54.66</v>
      </c>
      <c r="E8162" s="2">
        <v>19.32</v>
      </c>
      <c r="F8162" s="2">
        <v>2</v>
      </c>
      <c r="G8162" s="2" t="s">
        <v>10</v>
      </c>
    </row>
    <row r="8163" spans="1:9" x14ac:dyDescent="0.2">
      <c r="A8163" s="2" t="s">
        <v>3774</v>
      </c>
      <c r="B8163" s="2" t="s">
        <v>799</v>
      </c>
      <c r="C8163" s="2">
        <v>487.30860000000001</v>
      </c>
      <c r="D8163" s="2">
        <f>HYPERLINK("http://mcb-m6.bioreg.kyushu-u.ac.jp/M3/20110318/F50596/991/1", 54.89)</f>
        <v>54.89</v>
      </c>
      <c r="E8163" s="2">
        <v>17.12</v>
      </c>
      <c r="F8163" s="2">
        <v>2</v>
      </c>
      <c r="G8163" s="2" t="s">
        <v>10</v>
      </c>
    </row>
    <row r="8164" spans="1:9" x14ac:dyDescent="0.2">
      <c r="A8164" s="2" t="s">
        <v>3774</v>
      </c>
      <c r="B8164" s="2" t="s">
        <v>799</v>
      </c>
      <c r="C8164" s="2">
        <v>487.20409999999998</v>
      </c>
      <c r="D8164" s="2">
        <f>HYPERLINK("http://mcb-m6.bioreg.kyushu-u.ac.jp/M3/20110418/F50975/709/1", 36.14)</f>
        <v>36.14</v>
      </c>
      <c r="E8164" s="2">
        <v>10.56</v>
      </c>
      <c r="F8164" s="2">
        <v>2</v>
      </c>
      <c r="G8164" s="2" t="s">
        <v>11</v>
      </c>
    </row>
    <row r="8165" spans="1:9" x14ac:dyDescent="0.2">
      <c r="A8165" s="2" t="s">
        <v>3774</v>
      </c>
      <c r="B8165" s="2" t="s">
        <v>799</v>
      </c>
      <c r="C8165" s="2">
        <v>487.44060000000002</v>
      </c>
      <c r="D8165" s="2">
        <f>HYPERLINK("http://mcb-m6.bioreg.kyushu-u.ac.jp/M3/20110429/F51156/891/1", 41.92)</f>
        <v>41.92</v>
      </c>
      <c r="E8165" s="2">
        <v>9.42</v>
      </c>
      <c r="F8165" s="2">
        <v>2</v>
      </c>
      <c r="G8165" s="2" t="s">
        <v>13</v>
      </c>
    </row>
    <row r="8166" spans="1:9" x14ac:dyDescent="0.2">
      <c r="A8166" s="2" t="s">
        <v>4814</v>
      </c>
      <c r="B8166" s="2" t="s">
        <v>3065</v>
      </c>
      <c r="C8166" s="2">
        <v>586.83420000000001</v>
      </c>
      <c r="D8166" s="2">
        <f>HYPERLINK("http://mcb-m6.bioreg.kyushu-u.ac.jp/M3/20110318/F50616/1193/1", 38.57)</f>
        <v>38.57</v>
      </c>
      <c r="E8166" s="2">
        <v>17.25</v>
      </c>
      <c r="F8166" s="2">
        <v>2</v>
      </c>
      <c r="G8166" s="2" t="s">
        <v>10</v>
      </c>
    </row>
    <row r="8167" spans="1:9" x14ac:dyDescent="0.2">
      <c r="A8167" s="2" t="s">
        <v>3793</v>
      </c>
      <c r="B8167" s="2" t="s">
        <v>2712</v>
      </c>
      <c r="C8167" s="2">
        <v>648.21220000000005</v>
      </c>
      <c r="D8167" s="2">
        <f>HYPERLINK("http://mcb-m6.bioreg.kyushu-u.ac.jp/M3/20110318/F50618/1221/1", 64.27)</f>
        <v>64.27</v>
      </c>
      <c r="E8167" s="2">
        <v>39.51</v>
      </c>
      <c r="F8167" s="2">
        <v>2</v>
      </c>
      <c r="G8167" s="2" t="s">
        <v>9</v>
      </c>
    </row>
    <row r="8168" spans="1:9" x14ac:dyDescent="0.2">
      <c r="A8168" s="2" t="s">
        <v>3793</v>
      </c>
      <c r="B8168" s="2" t="s">
        <v>856</v>
      </c>
      <c r="C8168" s="2">
        <v>493.82810000000001</v>
      </c>
      <c r="D8168" s="2">
        <f>HYPERLINK("http://mcb-m6.bioreg.kyushu-u.ac.jp/M3/20110318/F50614/915/1", 37.26)</f>
        <v>37.26</v>
      </c>
      <c r="E8168" s="2">
        <v>8.4600000000000009</v>
      </c>
      <c r="F8168" s="2">
        <v>2</v>
      </c>
      <c r="G8168" s="2" t="s">
        <v>10</v>
      </c>
    </row>
    <row r="8169" spans="1:9" x14ac:dyDescent="0.2">
      <c r="A8169" s="2" t="s">
        <v>3925</v>
      </c>
      <c r="B8169" s="2" t="s">
        <v>2634</v>
      </c>
      <c r="C8169" s="2">
        <v>597.65769999999998</v>
      </c>
      <c r="D8169" s="2">
        <f>HYPERLINK("http://mcb-m6.bioreg.kyushu-u.ac.jp/M3/20110418/F50986/1658/1", 38.28)</f>
        <v>38.28</v>
      </c>
      <c r="E8169" s="2">
        <v>19.95</v>
      </c>
      <c r="F8169" s="2">
        <v>2</v>
      </c>
      <c r="G8169" s="2" t="s">
        <v>12</v>
      </c>
      <c r="I8169" s="2" t="s">
        <v>4890</v>
      </c>
    </row>
    <row r="8170" spans="1:9" x14ac:dyDescent="0.2">
      <c r="A8170" s="2" t="s">
        <v>3925</v>
      </c>
      <c r="B8170" s="2" t="s">
        <v>1102</v>
      </c>
      <c r="C8170" s="2">
        <v>698.66560000000004</v>
      </c>
      <c r="D8170" s="2">
        <f>HYPERLINK("http://mcb-m6.bioreg.kyushu-u.ac.jp/M3/20110418/F50986/1903/1", 72.79)</f>
        <v>72.790000000000006</v>
      </c>
      <c r="E8170" s="2">
        <v>43.67</v>
      </c>
      <c r="F8170" s="2">
        <v>2</v>
      </c>
      <c r="G8170" s="2" t="s">
        <v>12</v>
      </c>
    </row>
    <row r="8171" spans="1:9" x14ac:dyDescent="0.2">
      <c r="A8171" s="2" t="s">
        <v>3925</v>
      </c>
      <c r="B8171" s="2" t="s">
        <v>1102</v>
      </c>
      <c r="C8171" s="2">
        <v>699.25459999999998</v>
      </c>
      <c r="D8171" s="2">
        <f>HYPERLINK("http://mcb-m6.bioreg.kyushu-u.ac.jp/M3/20110418/F50986/1905/1", 84.29)</f>
        <v>84.29</v>
      </c>
      <c r="E8171" s="2">
        <v>61.29</v>
      </c>
      <c r="F8171" s="2">
        <v>2</v>
      </c>
      <c r="G8171" s="2" t="s">
        <v>12</v>
      </c>
    </row>
    <row r="8172" spans="1:9" x14ac:dyDescent="0.2">
      <c r="A8172" s="2" t="s">
        <v>3925</v>
      </c>
      <c r="B8172" s="2" t="s">
        <v>1102</v>
      </c>
      <c r="C8172" s="2">
        <v>699.23609999999996</v>
      </c>
      <c r="D8172" s="2">
        <f>HYPERLINK("http://mcb-m6.bioreg.kyushu-u.ac.jp/M3/20110429/F51153/1689/1", 67.89)</f>
        <v>67.89</v>
      </c>
      <c r="E8172" s="2">
        <v>34.979999999999997</v>
      </c>
      <c r="F8172" s="2">
        <v>2</v>
      </c>
      <c r="G8172" s="2" t="s">
        <v>13</v>
      </c>
    </row>
    <row r="8173" spans="1:9" x14ac:dyDescent="0.2">
      <c r="A8173" s="2" t="s">
        <v>3925</v>
      </c>
      <c r="B8173" s="2" t="s">
        <v>1102</v>
      </c>
      <c r="C8173" s="2">
        <v>698.72119999999995</v>
      </c>
      <c r="D8173" s="2">
        <f>HYPERLINK("http://mcb-m6.bioreg.kyushu-u.ac.jp/M3/20110428/F51142/1823/1", 62.11)</f>
        <v>62.11</v>
      </c>
      <c r="E8173" s="2">
        <v>39.24</v>
      </c>
      <c r="F8173" s="2">
        <v>2</v>
      </c>
      <c r="G8173" s="2" t="s">
        <v>14</v>
      </c>
    </row>
    <row r="8174" spans="1:9" x14ac:dyDescent="0.2">
      <c r="A8174" s="2" t="s">
        <v>4170</v>
      </c>
      <c r="B8174" s="2" t="s">
        <v>2116</v>
      </c>
      <c r="C8174" s="2">
        <v>628.86659999999995</v>
      </c>
      <c r="D8174" s="2">
        <f>HYPERLINK("http://mcb-m6.bioreg.kyushu-u.ac.jp/M3/20110318/F50611/1289/1", 80.12)</f>
        <v>80.12</v>
      </c>
      <c r="E8174" s="2">
        <v>53.14</v>
      </c>
      <c r="F8174" s="2">
        <v>2</v>
      </c>
      <c r="G8174" s="2" t="s">
        <v>10</v>
      </c>
    </row>
    <row r="8175" spans="1:9" x14ac:dyDescent="0.2">
      <c r="A8175" s="2" t="s">
        <v>5843</v>
      </c>
      <c r="B8175" s="2" t="s">
        <v>5535</v>
      </c>
      <c r="C8175" s="2">
        <v>787.84810000000004</v>
      </c>
      <c r="D8175" s="2">
        <f>HYPERLINK("http://mcb-m6.bioreg.kyushu-u.ac.jp/M3/20110429/F51152/2275/1", 54.86)</f>
        <v>54.86</v>
      </c>
      <c r="E8175" s="2">
        <v>37.89</v>
      </c>
      <c r="F8175" s="2">
        <v>2</v>
      </c>
      <c r="G8175" s="2" t="s">
        <v>13</v>
      </c>
    </row>
    <row r="8176" spans="1:9" x14ac:dyDescent="0.2">
      <c r="A8176" s="2" t="s">
        <v>4033</v>
      </c>
      <c r="B8176" s="2" t="s">
        <v>1854</v>
      </c>
      <c r="C8176" s="2">
        <v>734.76980000000003</v>
      </c>
      <c r="D8176" s="2">
        <f>HYPERLINK("http://mcb-m6.bioreg.kyushu-u.ac.jp/M3/20110318/F50609/2373/1", 35.6)</f>
        <v>35.6</v>
      </c>
      <c r="E8176" s="2">
        <v>23.35</v>
      </c>
      <c r="F8176" s="2">
        <v>3</v>
      </c>
      <c r="G8176" s="2" t="s">
        <v>9</v>
      </c>
    </row>
    <row r="8177" spans="1:9" x14ac:dyDescent="0.2">
      <c r="A8177" s="2" t="s">
        <v>4033</v>
      </c>
      <c r="B8177" s="2" t="s">
        <v>5214</v>
      </c>
      <c r="C8177" s="2">
        <v>486.4606</v>
      </c>
      <c r="D8177" s="2">
        <f>HYPERLINK("http://mcb-m6.bioreg.kyushu-u.ac.jp/M3/20110318/F50600/1042/1", 36.25)</f>
        <v>36.25</v>
      </c>
      <c r="E8177" s="2">
        <v>8.56</v>
      </c>
      <c r="F8177" s="2">
        <v>2</v>
      </c>
      <c r="G8177" s="2" t="s">
        <v>10</v>
      </c>
    </row>
    <row r="8178" spans="1:9" x14ac:dyDescent="0.2">
      <c r="A8178" s="2" t="s">
        <v>4033</v>
      </c>
      <c r="B8178" s="2" t="s">
        <v>1360</v>
      </c>
      <c r="C8178" s="2">
        <v>740.46169999999995</v>
      </c>
      <c r="D8178" s="2">
        <f>HYPERLINK("http://mcb-m6.bioreg.kyushu-u.ac.jp/M3/20110318/F50600/1566/1", 50.89)</f>
        <v>50.89</v>
      </c>
      <c r="E8178" s="2">
        <v>36.17</v>
      </c>
      <c r="F8178" s="2">
        <v>2</v>
      </c>
      <c r="G8178" s="2" t="s">
        <v>10</v>
      </c>
    </row>
    <row r="8179" spans="1:9" x14ac:dyDescent="0.2">
      <c r="A8179" s="2" t="s">
        <v>4033</v>
      </c>
      <c r="B8179" s="2" t="s">
        <v>5338</v>
      </c>
      <c r="C8179" s="2">
        <v>1261.4860000000001</v>
      </c>
      <c r="D8179" s="2">
        <f>HYPERLINK("http://mcb-m6.bioreg.kyushu-u.ac.jp/M3/20110318/F50600/2759/1", 69.86)</f>
        <v>69.86</v>
      </c>
      <c r="E8179" s="2">
        <v>63.91</v>
      </c>
      <c r="F8179" s="2">
        <v>2</v>
      </c>
      <c r="G8179" s="2" t="s">
        <v>10</v>
      </c>
    </row>
    <row r="8180" spans="1:9" x14ac:dyDescent="0.2">
      <c r="A8180" s="2" t="s">
        <v>3331</v>
      </c>
      <c r="B8180" s="2" t="s">
        <v>1771</v>
      </c>
      <c r="C8180" s="2">
        <v>498.30509999999998</v>
      </c>
      <c r="D8180" s="2">
        <f>HYPERLINK("http://mcb-m6.bioreg.kyushu-u.ac.jp/M3/20110318/F50615/793/1", 39.78)</f>
        <v>39.78</v>
      </c>
      <c r="E8180" s="2">
        <v>17.91</v>
      </c>
      <c r="F8180" s="2">
        <v>2</v>
      </c>
      <c r="G8180" s="2" t="s">
        <v>10</v>
      </c>
    </row>
    <row r="8181" spans="1:9" x14ac:dyDescent="0.2">
      <c r="A8181" s="2" t="s">
        <v>3331</v>
      </c>
      <c r="B8181" s="2" t="s">
        <v>119</v>
      </c>
      <c r="C8181" s="2">
        <v>872.43470000000002</v>
      </c>
      <c r="D8181" s="2">
        <f>HYPERLINK("http://mcb-m6.bioreg.kyushu-u.ac.jp/M3/20110418/F50975/2812/1", 47.35)</f>
        <v>47.35</v>
      </c>
      <c r="E8181" s="2">
        <v>37.53</v>
      </c>
      <c r="F8181" s="2">
        <v>2</v>
      </c>
      <c r="G8181" s="2" t="s">
        <v>11</v>
      </c>
      <c r="H8181" s="2" t="s">
        <v>4904</v>
      </c>
    </row>
    <row r="8182" spans="1:9" x14ac:dyDescent="0.2">
      <c r="A8182" s="2" t="s">
        <v>3331</v>
      </c>
      <c r="B8182" s="2" t="s">
        <v>2186</v>
      </c>
      <c r="C8182" s="2">
        <v>775.24659999999994</v>
      </c>
      <c r="D8182" s="2">
        <f>HYPERLINK("http://mcb-m6.bioreg.kyushu-u.ac.jp/M3/20110418/F50975/2245/1", 57.77)</f>
        <v>57.77</v>
      </c>
      <c r="E8182" s="2">
        <v>37</v>
      </c>
      <c r="F8182" s="2">
        <v>2</v>
      </c>
      <c r="G8182" s="2" t="s">
        <v>11</v>
      </c>
    </row>
    <row r="8183" spans="1:9" x14ac:dyDescent="0.2">
      <c r="A8183" s="2" t="s">
        <v>3331</v>
      </c>
      <c r="B8183" s="2" t="s">
        <v>1771</v>
      </c>
      <c r="C8183" s="2">
        <v>498.45060000000001</v>
      </c>
      <c r="D8183" s="2">
        <f>HYPERLINK("http://mcb-m6.bioreg.kyushu-u.ac.jp/M3/20110502/F51158/716/1", 37.31)</f>
        <v>37.31</v>
      </c>
      <c r="E8183" s="2">
        <v>19.34</v>
      </c>
      <c r="F8183" s="2">
        <v>2</v>
      </c>
      <c r="G8183" s="2" t="s">
        <v>13</v>
      </c>
    </row>
    <row r="8184" spans="1:9" x14ac:dyDescent="0.2">
      <c r="A8184" s="2" t="s">
        <v>3598</v>
      </c>
      <c r="B8184" s="2" t="s">
        <v>2092</v>
      </c>
      <c r="C8184" s="2">
        <v>655.43470000000002</v>
      </c>
      <c r="D8184" s="2">
        <f>HYPERLINK("http://mcb-m6.bioreg.kyushu-u.ac.jp/M3/20110502/F51163/1333/1", 35.27)</f>
        <v>35.270000000000003</v>
      </c>
      <c r="E8184" s="2">
        <v>23.71</v>
      </c>
      <c r="F8184" s="2">
        <v>2</v>
      </c>
      <c r="G8184" s="2" t="s">
        <v>13</v>
      </c>
    </row>
    <row r="8185" spans="1:9" x14ac:dyDescent="0.2">
      <c r="A8185" s="2" t="s">
        <v>3726</v>
      </c>
      <c r="B8185" s="2" t="s">
        <v>2223</v>
      </c>
      <c r="C8185" s="2">
        <v>703.35820000000001</v>
      </c>
      <c r="D8185" s="2">
        <f>HYPERLINK("http://mcb-m6.bioreg.kyushu-u.ac.jp/M3/20110318/F50595/1585/1", 54.12)</f>
        <v>54.12</v>
      </c>
      <c r="E8185" s="2">
        <v>36.619999999999997</v>
      </c>
      <c r="F8185" s="2">
        <v>2</v>
      </c>
      <c r="G8185" s="2" t="s">
        <v>10</v>
      </c>
    </row>
    <row r="8186" spans="1:9" x14ac:dyDescent="0.2">
      <c r="A8186" s="2" t="s">
        <v>3726</v>
      </c>
      <c r="B8186" s="2" t="s">
        <v>2223</v>
      </c>
      <c r="C8186" s="2">
        <v>703.89369999999997</v>
      </c>
      <c r="D8186" s="2">
        <f>HYPERLINK("http://mcb-m6.bioreg.kyushu-u.ac.jp/M3/20110429/F51154/1796/1", 47.69)</f>
        <v>47.69</v>
      </c>
      <c r="E8186" s="2">
        <v>27.4</v>
      </c>
      <c r="F8186" s="2">
        <v>2</v>
      </c>
      <c r="G8186" s="2" t="s">
        <v>13</v>
      </c>
    </row>
    <row r="8187" spans="1:9" x14ac:dyDescent="0.2">
      <c r="A8187" s="2" t="s">
        <v>5719</v>
      </c>
      <c r="B8187" s="2" t="s">
        <v>5280</v>
      </c>
      <c r="C8187" s="2">
        <v>768.48069999999996</v>
      </c>
      <c r="D8187" s="2">
        <f>HYPERLINK("http://mcb-m6.bioreg.kyushu-u.ac.jp/M3/20110318/F50611/1786/1", 46.61)</f>
        <v>46.61</v>
      </c>
      <c r="E8187" s="2">
        <v>24.72</v>
      </c>
      <c r="F8187" s="2">
        <v>2</v>
      </c>
      <c r="G8187" s="2" t="s">
        <v>10</v>
      </c>
    </row>
    <row r="8188" spans="1:9" x14ac:dyDescent="0.2">
      <c r="A8188" s="2" t="s">
        <v>5602</v>
      </c>
      <c r="B8188" s="2" t="s">
        <v>4993</v>
      </c>
      <c r="C8188" s="2">
        <v>713.62159999999994</v>
      </c>
      <c r="D8188" s="2">
        <f>HYPERLINK("http://mcb-m6.bioreg.kyushu-u.ac.jp/M3/20110318/F50605/1447/1", 35.68)</f>
        <v>35.68</v>
      </c>
      <c r="E8188" s="2">
        <v>14.39</v>
      </c>
      <c r="F8188" s="2">
        <v>2</v>
      </c>
      <c r="G8188" s="2" t="s">
        <v>9</v>
      </c>
      <c r="I8188" s="2" t="s">
        <v>4905</v>
      </c>
    </row>
    <row r="8189" spans="1:9" x14ac:dyDescent="0.2">
      <c r="A8189" s="2" t="s">
        <v>5602</v>
      </c>
      <c r="B8189" s="2" t="s">
        <v>5024</v>
      </c>
      <c r="C8189" s="2">
        <v>600.97810000000004</v>
      </c>
      <c r="D8189" s="2">
        <f>HYPERLINK("http://mcb-m6.bioreg.kyushu-u.ac.jp/M3/20110318/F50605/1176/1", 40.04)</f>
        <v>40.04</v>
      </c>
      <c r="E8189" s="2">
        <v>16.850000000000001</v>
      </c>
      <c r="F8189" s="2">
        <v>2</v>
      </c>
      <c r="G8189" s="2" t="s">
        <v>9</v>
      </c>
      <c r="H8189" s="2" t="s">
        <v>4915</v>
      </c>
    </row>
    <row r="8190" spans="1:9" x14ac:dyDescent="0.2">
      <c r="A8190" s="2" t="s">
        <v>5602</v>
      </c>
      <c r="B8190" s="2" t="s">
        <v>5041</v>
      </c>
      <c r="C8190" s="2">
        <v>922.59169999999995</v>
      </c>
      <c r="D8190" s="2">
        <f>HYPERLINK("http://mcb-m6.bioreg.kyushu-u.ac.jp/M3/20110318/F50605/2267/1", 41.9)</f>
        <v>41.9</v>
      </c>
      <c r="E8190" s="2">
        <v>30.89</v>
      </c>
      <c r="F8190" s="2">
        <v>2</v>
      </c>
      <c r="G8190" s="2" t="s">
        <v>9</v>
      </c>
      <c r="I8190" s="2" t="s">
        <v>4899</v>
      </c>
    </row>
    <row r="8191" spans="1:9" x14ac:dyDescent="0.2">
      <c r="A8191" s="2" t="s">
        <v>5602</v>
      </c>
      <c r="B8191" s="2" t="s">
        <v>5092</v>
      </c>
      <c r="C8191" s="2">
        <v>710.48469999999998</v>
      </c>
      <c r="D8191" s="2">
        <f>HYPERLINK("http://mcb-m6.bioreg.kyushu-u.ac.jp/M3/20110318/F50605/1431/1", 52.46)</f>
        <v>52.46</v>
      </c>
      <c r="E8191" s="2">
        <v>29.63</v>
      </c>
      <c r="F8191" s="2">
        <v>2</v>
      </c>
      <c r="G8191" s="2" t="s">
        <v>9</v>
      </c>
      <c r="H8191" s="2" t="s">
        <v>4901</v>
      </c>
    </row>
    <row r="8192" spans="1:9" x14ac:dyDescent="0.2">
      <c r="A8192" s="2" t="s">
        <v>5602</v>
      </c>
      <c r="B8192" s="2" t="s">
        <v>5094</v>
      </c>
      <c r="C8192" s="2">
        <v>593.78920000000005</v>
      </c>
      <c r="D8192" s="2">
        <f>HYPERLINK("http://mcb-m6.bioreg.kyushu-u.ac.jp/M3/20110318/F50619/1048/1", 52.67)</f>
        <v>52.67</v>
      </c>
      <c r="E8192" s="2">
        <v>23.74</v>
      </c>
      <c r="F8192" s="2">
        <v>2</v>
      </c>
      <c r="G8192" s="2" t="s">
        <v>9</v>
      </c>
      <c r="I8192" s="2" t="s">
        <v>4892</v>
      </c>
    </row>
    <row r="8193" spans="1:9" x14ac:dyDescent="0.2">
      <c r="A8193" s="2" t="s">
        <v>5602</v>
      </c>
      <c r="B8193" s="2" t="s">
        <v>5104</v>
      </c>
      <c r="C8193" s="2">
        <v>688.01120000000003</v>
      </c>
      <c r="D8193" s="2">
        <f>HYPERLINK("http://mcb-m6.bioreg.kyushu-u.ac.jp/M3/20110318/F50605/1368/1", 55.39)</f>
        <v>55.39</v>
      </c>
      <c r="E8193" s="2">
        <v>38.56</v>
      </c>
      <c r="F8193" s="2">
        <v>2</v>
      </c>
      <c r="G8193" s="2" t="s">
        <v>9</v>
      </c>
      <c r="I8193" s="2" t="s">
        <v>4926</v>
      </c>
    </row>
    <row r="8194" spans="1:9" x14ac:dyDescent="0.2">
      <c r="A8194" s="2" t="s">
        <v>5602</v>
      </c>
      <c r="B8194" s="2" t="s">
        <v>5109</v>
      </c>
      <c r="C8194" s="2">
        <v>865.72670000000005</v>
      </c>
      <c r="D8194" s="2">
        <f>HYPERLINK("http://mcb-m6.bioreg.kyushu-u.ac.jp/M3/20110318/F50605/2132/1", 57.5)</f>
        <v>57.5</v>
      </c>
      <c r="E8194" s="2">
        <v>40.79</v>
      </c>
      <c r="F8194" s="2">
        <v>2</v>
      </c>
      <c r="G8194" s="2" t="s">
        <v>9</v>
      </c>
    </row>
    <row r="8195" spans="1:9" x14ac:dyDescent="0.2">
      <c r="A8195" s="2" t="s">
        <v>5602</v>
      </c>
      <c r="B8195" s="2" t="s">
        <v>5109</v>
      </c>
      <c r="C8195" s="2">
        <v>577.70280000000002</v>
      </c>
      <c r="D8195" s="2">
        <f>HYPERLINK("http://mcb-m6.bioreg.kyushu-u.ac.jp/M3/20110318/F50605/2135/1", 57.98)</f>
        <v>57.98</v>
      </c>
      <c r="E8195" s="2">
        <v>20.84</v>
      </c>
      <c r="F8195" s="2">
        <v>3</v>
      </c>
      <c r="G8195" s="2" t="s">
        <v>9</v>
      </c>
    </row>
    <row r="8196" spans="1:9" x14ac:dyDescent="0.2">
      <c r="A8196" s="2" t="s">
        <v>5602</v>
      </c>
      <c r="B8196" s="2" t="s">
        <v>5141</v>
      </c>
      <c r="C8196" s="2">
        <v>1050.6199999999999</v>
      </c>
      <c r="D8196" s="2">
        <f>HYPERLINK("http://mcb-m6.bioreg.kyushu-u.ac.jp/M3/20110318/F50605/2550/1", 66.71)</f>
        <v>66.709999999999994</v>
      </c>
      <c r="E8196" s="2">
        <v>53.6</v>
      </c>
      <c r="F8196" s="2">
        <v>2</v>
      </c>
      <c r="G8196" s="2" t="s">
        <v>9</v>
      </c>
      <c r="H8196" s="2" t="s">
        <v>4919</v>
      </c>
    </row>
    <row r="8197" spans="1:9" x14ac:dyDescent="0.2">
      <c r="A8197" s="2" t="s">
        <v>5602</v>
      </c>
      <c r="B8197" s="2" t="s">
        <v>5148</v>
      </c>
      <c r="C8197" s="2">
        <v>516.44920000000002</v>
      </c>
      <c r="D8197" s="2">
        <f>HYPERLINK("http://mcb-m6.bioreg.kyushu-u.ac.jp/M3/20110318/F50605/959/1", 68.73)</f>
        <v>68.73</v>
      </c>
      <c r="E8197" s="2">
        <v>42.84</v>
      </c>
      <c r="F8197" s="2">
        <v>2</v>
      </c>
      <c r="G8197" s="2" t="s">
        <v>9</v>
      </c>
      <c r="I8197" s="2" t="s">
        <v>4892</v>
      </c>
    </row>
    <row r="8198" spans="1:9" x14ac:dyDescent="0.2">
      <c r="A8198" s="2" t="s">
        <v>5602</v>
      </c>
      <c r="B8198" s="2" t="s">
        <v>5152</v>
      </c>
      <c r="C8198" s="2">
        <v>743.00519999999995</v>
      </c>
      <c r="D8198" s="2">
        <f>HYPERLINK("http://mcb-m6.bioreg.kyushu-u.ac.jp/M3/20110318/F50605/1581/1", 69.13)</f>
        <v>69.13</v>
      </c>
      <c r="E8198" s="2">
        <v>54.56</v>
      </c>
      <c r="F8198" s="2">
        <v>2</v>
      </c>
      <c r="G8198" s="2" t="s">
        <v>9</v>
      </c>
    </row>
    <row r="8199" spans="1:9" x14ac:dyDescent="0.2">
      <c r="A8199" s="2" t="s">
        <v>5602</v>
      </c>
      <c r="B8199" s="2" t="s">
        <v>5153</v>
      </c>
      <c r="C8199" s="2">
        <v>494.0521</v>
      </c>
      <c r="D8199" s="2">
        <f>HYPERLINK("http://mcb-m6.bioreg.kyushu-u.ac.jp/M3/20110318/F50605/878/1", 69.27)</f>
        <v>69.27</v>
      </c>
      <c r="E8199" s="2">
        <v>30.4</v>
      </c>
      <c r="F8199" s="2">
        <v>2</v>
      </c>
      <c r="G8199" s="2" t="s">
        <v>9</v>
      </c>
    </row>
    <row r="8200" spans="1:9" x14ac:dyDescent="0.2">
      <c r="A8200" s="2" t="s">
        <v>5602</v>
      </c>
      <c r="B8200" s="2" t="s">
        <v>5154</v>
      </c>
      <c r="C8200" s="2">
        <v>892.09270000000004</v>
      </c>
      <c r="D8200" s="2">
        <f>HYPERLINK("http://mcb-m6.bioreg.kyushu-u.ac.jp/M3/20110318/F50605/2200/1", 69.67)</f>
        <v>69.67</v>
      </c>
      <c r="E8200" s="2">
        <v>49.65</v>
      </c>
      <c r="F8200" s="2">
        <v>2</v>
      </c>
      <c r="G8200" s="2" t="s">
        <v>9</v>
      </c>
      <c r="I8200" s="2" t="s">
        <v>4905</v>
      </c>
    </row>
    <row r="8201" spans="1:9" x14ac:dyDescent="0.2">
      <c r="A8201" s="2" t="s">
        <v>5602</v>
      </c>
      <c r="B8201" s="2" t="s">
        <v>5141</v>
      </c>
      <c r="C8201" s="2">
        <v>1043.06</v>
      </c>
      <c r="D8201" s="2">
        <f>HYPERLINK("http://mcb-m6.bioreg.kyushu-u.ac.jp/M3/20110318/F50605/2537/1", 71.89)</f>
        <v>71.89</v>
      </c>
      <c r="E8201" s="2">
        <v>51.3</v>
      </c>
      <c r="F8201" s="2">
        <v>2</v>
      </c>
      <c r="G8201" s="2" t="s">
        <v>9</v>
      </c>
    </row>
    <row r="8202" spans="1:9" x14ac:dyDescent="0.2">
      <c r="A8202" s="2" t="s">
        <v>5602</v>
      </c>
      <c r="B8202" s="2" t="s">
        <v>5169</v>
      </c>
      <c r="C8202" s="2">
        <v>860.29470000000003</v>
      </c>
      <c r="D8202" s="2">
        <f>HYPERLINK("http://mcb-m6.bioreg.kyushu-u.ac.jp/M3/20110318/F50619/1862/1", 75.3)</f>
        <v>75.3</v>
      </c>
      <c r="E8202" s="2">
        <v>54.53</v>
      </c>
      <c r="F8202" s="2">
        <v>2</v>
      </c>
      <c r="G8202" s="2" t="s">
        <v>9</v>
      </c>
      <c r="I8202" s="2" t="s">
        <v>4906</v>
      </c>
    </row>
    <row r="8203" spans="1:9" x14ac:dyDescent="0.2">
      <c r="A8203" s="2" t="s">
        <v>5602</v>
      </c>
      <c r="B8203" s="2" t="s">
        <v>5141</v>
      </c>
      <c r="C8203" s="2">
        <v>1051.134</v>
      </c>
      <c r="D8203" s="2">
        <f>HYPERLINK("http://mcb-m6.bioreg.kyushu-u.ac.jp/M3/20110318/F50605/2553/1", 88.18)</f>
        <v>88.18</v>
      </c>
      <c r="E8203" s="2">
        <v>74.78</v>
      </c>
      <c r="F8203" s="2">
        <v>2</v>
      </c>
      <c r="G8203" s="2" t="s">
        <v>9</v>
      </c>
      <c r="H8203" s="2" t="s">
        <v>4919</v>
      </c>
    </row>
    <row r="8204" spans="1:9" x14ac:dyDescent="0.2">
      <c r="A8204" s="2" t="s">
        <v>5602</v>
      </c>
      <c r="B8204" s="2" t="s">
        <v>5154</v>
      </c>
      <c r="C8204" s="2">
        <v>900.06920000000002</v>
      </c>
      <c r="D8204" s="2">
        <f>HYPERLINK("http://mcb-m6.bioreg.kyushu-u.ac.jp/M3/20110318/F50605/2221/1", 90.82)</f>
        <v>90.82</v>
      </c>
      <c r="E8204" s="2">
        <v>62.46</v>
      </c>
      <c r="F8204" s="2">
        <v>2</v>
      </c>
      <c r="G8204" s="2" t="s">
        <v>9</v>
      </c>
      <c r="H8204" s="2" t="s">
        <v>4907</v>
      </c>
      <c r="I8204" s="2" t="s">
        <v>4905</v>
      </c>
    </row>
    <row r="8205" spans="1:9" x14ac:dyDescent="0.2">
      <c r="A8205" s="2" t="s">
        <v>5602</v>
      </c>
      <c r="B8205" s="2" t="s">
        <v>5192</v>
      </c>
      <c r="C8205" s="2">
        <v>1232.6869999999999</v>
      </c>
      <c r="D8205" s="2">
        <f>HYPERLINK("http://mcb-m6.bioreg.kyushu-u.ac.jp/M3/20110318/F50605/3012/1", 94.82)</f>
        <v>94.82</v>
      </c>
      <c r="E8205" s="2">
        <v>85.87</v>
      </c>
      <c r="F8205" s="2">
        <v>2</v>
      </c>
      <c r="G8205" s="2" t="s">
        <v>9</v>
      </c>
    </row>
    <row r="8206" spans="1:9" x14ac:dyDescent="0.2">
      <c r="A8206" s="2" t="s">
        <v>5602</v>
      </c>
      <c r="B8206" s="2" t="s">
        <v>5169</v>
      </c>
      <c r="C8206" s="2">
        <v>860.81020000000001</v>
      </c>
      <c r="D8206" s="2">
        <f>HYPERLINK("http://mcb-m6.bioreg.kyushu-u.ac.jp/M3/20110318/F50605/2109/1", 103.31)</f>
        <v>103.31</v>
      </c>
      <c r="E8206" s="2">
        <v>91.35</v>
      </c>
      <c r="F8206" s="2">
        <v>2</v>
      </c>
      <c r="G8206" s="2" t="s">
        <v>9</v>
      </c>
      <c r="I8206" s="2" t="s">
        <v>4906</v>
      </c>
    </row>
    <row r="8207" spans="1:9" x14ac:dyDescent="0.2">
      <c r="A8207" s="2" t="s">
        <v>5602</v>
      </c>
      <c r="B8207" s="2" t="s">
        <v>5153</v>
      </c>
      <c r="C8207" s="2">
        <v>493.85660000000001</v>
      </c>
      <c r="D8207" s="2">
        <f>HYPERLINK("http://mcb-m6.bioreg.kyushu-u.ac.jp/M3/20110318/F50613/884/1", 42.16)</f>
        <v>42.16</v>
      </c>
      <c r="E8207" s="2">
        <v>23.14</v>
      </c>
      <c r="F8207" s="2">
        <v>2</v>
      </c>
      <c r="G8207" s="2" t="s">
        <v>10</v>
      </c>
    </row>
    <row r="8208" spans="1:9" x14ac:dyDescent="0.2">
      <c r="A8208" s="2" t="s">
        <v>5602</v>
      </c>
      <c r="B8208" s="2" t="s">
        <v>5153</v>
      </c>
      <c r="C8208" s="2">
        <v>493.69659999999999</v>
      </c>
      <c r="D8208" s="2">
        <f>HYPERLINK("http://mcb-m6.bioreg.kyushu-u.ac.jp/M3/20110418/F50976/833/1", 39.96)</f>
        <v>39.96</v>
      </c>
      <c r="E8208" s="2">
        <v>17</v>
      </c>
      <c r="F8208" s="2">
        <v>2</v>
      </c>
      <c r="G8208" s="2" t="s">
        <v>11</v>
      </c>
    </row>
    <row r="8209" spans="1:9" x14ac:dyDescent="0.2">
      <c r="A8209" s="2" t="s">
        <v>5602</v>
      </c>
      <c r="B8209" s="2" t="s">
        <v>5109</v>
      </c>
      <c r="C8209" s="2">
        <v>865.52170000000001</v>
      </c>
      <c r="D8209" s="2">
        <f>HYPERLINK("http://mcb-m6.bioreg.kyushu-u.ac.jp/M3/20110418/F50976/2748/1", 47.02)</f>
        <v>47.02</v>
      </c>
      <c r="E8209" s="2">
        <v>33.15</v>
      </c>
      <c r="F8209" s="2">
        <v>2</v>
      </c>
      <c r="G8209" s="2" t="s">
        <v>11</v>
      </c>
    </row>
    <row r="8210" spans="1:9" x14ac:dyDescent="0.2">
      <c r="A8210" s="2" t="s">
        <v>5602</v>
      </c>
      <c r="B8210" s="2" t="s">
        <v>5109</v>
      </c>
      <c r="C8210" s="2">
        <v>866.03520000000003</v>
      </c>
      <c r="D8210" s="2">
        <f>HYPERLINK("http://mcb-m6.bioreg.kyushu-u.ac.jp/M3/20110418/F50976/2753/1", 47.94)</f>
        <v>47.94</v>
      </c>
      <c r="E8210" s="2">
        <v>33.49</v>
      </c>
      <c r="F8210" s="2">
        <v>2</v>
      </c>
      <c r="G8210" s="2" t="s">
        <v>11</v>
      </c>
    </row>
    <row r="8211" spans="1:9" x14ac:dyDescent="0.2">
      <c r="A8211" s="2" t="s">
        <v>5602</v>
      </c>
      <c r="B8211" s="2" t="s">
        <v>5404</v>
      </c>
      <c r="C8211" s="2">
        <v>551.25459999999998</v>
      </c>
      <c r="D8211" s="2">
        <f>HYPERLINK("http://mcb-m6.bioreg.kyushu-u.ac.jp/M3/20110418/F50977/1128/1", 51.77)</f>
        <v>51.77</v>
      </c>
      <c r="E8211" s="2">
        <v>13.03</v>
      </c>
      <c r="F8211" s="2">
        <v>2</v>
      </c>
      <c r="G8211" s="2" t="s">
        <v>11</v>
      </c>
    </row>
    <row r="8212" spans="1:9" x14ac:dyDescent="0.2">
      <c r="A8212" s="2" t="s">
        <v>5602</v>
      </c>
      <c r="B8212" s="2" t="s">
        <v>5041</v>
      </c>
      <c r="C8212" s="2">
        <v>922.44069999999999</v>
      </c>
      <c r="D8212" s="2">
        <f>HYPERLINK("http://mcb-m6.bioreg.kyushu-u.ac.jp/M3/20110418/F50976/3016/1", 57.88)</f>
        <v>57.88</v>
      </c>
      <c r="E8212" s="2">
        <v>40.06</v>
      </c>
      <c r="F8212" s="2">
        <v>2</v>
      </c>
      <c r="G8212" s="2" t="s">
        <v>11</v>
      </c>
      <c r="I8212" s="2" t="s">
        <v>4899</v>
      </c>
    </row>
    <row r="8213" spans="1:9" x14ac:dyDescent="0.2">
      <c r="A8213" s="2" t="s">
        <v>5602</v>
      </c>
      <c r="B8213" s="2" t="s">
        <v>5413</v>
      </c>
      <c r="C8213" s="2">
        <v>486.70409999999998</v>
      </c>
      <c r="D8213" s="2">
        <f>HYPERLINK("http://mcb-m6.bioreg.kyushu-u.ac.jp/M3/20110418/F50976/811/1", 58.48)</f>
        <v>58.48</v>
      </c>
      <c r="E8213" s="2">
        <v>4.63</v>
      </c>
      <c r="F8213" s="2">
        <v>2</v>
      </c>
      <c r="G8213" s="2" t="s">
        <v>11</v>
      </c>
    </row>
    <row r="8214" spans="1:9" x14ac:dyDescent="0.2">
      <c r="A8214" s="2" t="s">
        <v>5602</v>
      </c>
      <c r="B8214" s="2" t="s">
        <v>5141</v>
      </c>
      <c r="C8214" s="2">
        <v>1050.3800000000001</v>
      </c>
      <c r="D8214" s="2">
        <f>HYPERLINK("http://mcb-m6.bioreg.kyushu-u.ac.jp/M3/20110418/F50976/3449/1", 61.79)</f>
        <v>61.79</v>
      </c>
      <c r="E8214" s="2">
        <v>48.7</v>
      </c>
      <c r="F8214" s="2">
        <v>2</v>
      </c>
      <c r="G8214" s="2" t="s">
        <v>11</v>
      </c>
      <c r="H8214" s="2" t="s">
        <v>4919</v>
      </c>
    </row>
    <row r="8215" spans="1:9" x14ac:dyDescent="0.2">
      <c r="A8215" s="2" t="s">
        <v>5602</v>
      </c>
      <c r="B8215" s="2" t="s">
        <v>5141</v>
      </c>
      <c r="C8215" s="2">
        <v>1042.9380000000001</v>
      </c>
      <c r="D8215" s="2">
        <f>HYPERLINK("http://mcb-m6.bioreg.kyushu-u.ac.jp/M3/20110418/F50976/3429/1", 71.06)</f>
        <v>71.06</v>
      </c>
      <c r="E8215" s="2">
        <v>52.67</v>
      </c>
      <c r="F8215" s="2">
        <v>2</v>
      </c>
      <c r="G8215" s="2" t="s">
        <v>11</v>
      </c>
    </row>
    <row r="8216" spans="1:9" x14ac:dyDescent="0.2">
      <c r="A8216" s="2" t="s">
        <v>5602</v>
      </c>
      <c r="B8216" s="2" t="s">
        <v>5169</v>
      </c>
      <c r="C8216" s="2">
        <v>860.33759999999995</v>
      </c>
      <c r="D8216" s="2">
        <f>HYPERLINK("http://mcb-m6.bioreg.kyushu-u.ac.jp/M3/20110418/F50976/2716/1", 91.07)</f>
        <v>91.07</v>
      </c>
      <c r="E8216" s="2">
        <v>78.64</v>
      </c>
      <c r="F8216" s="2">
        <v>2</v>
      </c>
      <c r="G8216" s="2" t="s">
        <v>11</v>
      </c>
      <c r="I8216" s="2" t="s">
        <v>4906</v>
      </c>
    </row>
    <row r="8217" spans="1:9" x14ac:dyDescent="0.2">
      <c r="A8217" s="2" t="s">
        <v>5602</v>
      </c>
      <c r="B8217" s="2" t="s">
        <v>5192</v>
      </c>
      <c r="C8217" s="2">
        <v>1232.42</v>
      </c>
      <c r="D8217" s="2">
        <f>HYPERLINK("http://mcb-m6.bioreg.kyushu-u.ac.jp/M3/20110418/F50976/3972/1", 146.83)</f>
        <v>146.83000000000001</v>
      </c>
      <c r="E8217" s="2">
        <v>132.91999999999999</v>
      </c>
      <c r="F8217" s="2">
        <v>2</v>
      </c>
      <c r="G8217" s="2" t="s">
        <v>11</v>
      </c>
    </row>
    <row r="8218" spans="1:9" x14ac:dyDescent="0.2">
      <c r="A8218" s="2" t="s">
        <v>5602</v>
      </c>
      <c r="B8218" s="2" t="s">
        <v>5109</v>
      </c>
      <c r="C8218" s="2">
        <v>577.21010000000001</v>
      </c>
      <c r="D8218" s="2">
        <f>HYPERLINK("http://mcb-m6.bioreg.kyushu-u.ac.jp/M3/20110429/F51153/2898/1", 37.42)</f>
        <v>37.42</v>
      </c>
      <c r="E8218" s="2">
        <v>17.77</v>
      </c>
      <c r="F8218" s="2">
        <v>3</v>
      </c>
      <c r="G8218" s="2" t="s">
        <v>13</v>
      </c>
    </row>
    <row r="8219" spans="1:9" x14ac:dyDescent="0.2">
      <c r="A8219" s="2" t="s">
        <v>5602</v>
      </c>
      <c r="B8219" s="2" t="s">
        <v>5520</v>
      </c>
      <c r="C8219" s="2">
        <v>466.24610000000001</v>
      </c>
      <c r="D8219" s="2">
        <f>HYPERLINK("http://mcb-m6.bioreg.kyushu-u.ac.jp/M3/20110429/F51153/464/1", 48.36)</f>
        <v>48.36</v>
      </c>
      <c r="E8219" s="2">
        <v>11.35</v>
      </c>
      <c r="F8219" s="2">
        <v>2</v>
      </c>
      <c r="G8219" s="2" t="s">
        <v>13</v>
      </c>
      <c r="I8219" s="2" t="s">
        <v>4893</v>
      </c>
    </row>
    <row r="8220" spans="1:9" x14ac:dyDescent="0.2">
      <c r="A8220" s="2" t="s">
        <v>5602</v>
      </c>
      <c r="B8220" s="2" t="s">
        <v>5094</v>
      </c>
      <c r="C8220" s="2">
        <v>594.2722</v>
      </c>
      <c r="D8220" s="2">
        <f>HYPERLINK("http://mcb-m6.bioreg.kyushu-u.ac.jp/M3/20110429/F51153/1134/1", 50.63)</f>
        <v>50.63</v>
      </c>
      <c r="E8220" s="2">
        <v>36.25</v>
      </c>
      <c r="F8220" s="2">
        <v>2</v>
      </c>
      <c r="G8220" s="2" t="s">
        <v>13</v>
      </c>
      <c r="I8220" s="2" t="s">
        <v>4892</v>
      </c>
    </row>
    <row r="8221" spans="1:9" x14ac:dyDescent="0.2">
      <c r="A8221" s="2" t="s">
        <v>5602</v>
      </c>
      <c r="B8221" s="2" t="s">
        <v>5109</v>
      </c>
      <c r="C8221" s="2">
        <v>866.01670000000001</v>
      </c>
      <c r="D8221" s="2">
        <f>HYPERLINK("http://mcb-m6.bioreg.kyushu-u.ac.jp/M3/20110429/F51153/2904/1", 53.6)</f>
        <v>53.6</v>
      </c>
      <c r="E8221" s="2">
        <v>39.090000000000003</v>
      </c>
      <c r="F8221" s="2">
        <v>2</v>
      </c>
      <c r="G8221" s="2" t="s">
        <v>13</v>
      </c>
    </row>
    <row r="8222" spans="1:9" x14ac:dyDescent="0.2">
      <c r="A8222" s="2" t="s">
        <v>5602</v>
      </c>
      <c r="B8222" s="2" t="s">
        <v>5153</v>
      </c>
      <c r="C8222" s="2">
        <v>493.65460000000002</v>
      </c>
      <c r="D8222" s="2">
        <f>HYPERLINK("http://mcb-m6.bioreg.kyushu-u.ac.jp/M3/20110429/F51153/565/1", 54.61)</f>
        <v>54.61</v>
      </c>
      <c r="E8222" s="2">
        <v>28.32</v>
      </c>
      <c r="F8222" s="2">
        <v>2</v>
      </c>
      <c r="G8222" s="2" t="s">
        <v>13</v>
      </c>
    </row>
    <row r="8223" spans="1:9" x14ac:dyDescent="0.2">
      <c r="A8223" s="2" t="s">
        <v>5602</v>
      </c>
      <c r="B8223" s="2" t="s">
        <v>5152</v>
      </c>
      <c r="C8223" s="2">
        <v>742.83069999999998</v>
      </c>
      <c r="D8223" s="2">
        <f>HYPERLINK("http://mcb-m6.bioreg.kyushu-u.ac.jp/M3/20110429/F51153/1986/1", 69.68)</f>
        <v>69.680000000000007</v>
      </c>
      <c r="E8223" s="2">
        <v>55.41</v>
      </c>
      <c r="F8223" s="2">
        <v>2</v>
      </c>
      <c r="G8223" s="2" t="s">
        <v>13</v>
      </c>
    </row>
    <row r="8224" spans="1:9" x14ac:dyDescent="0.2">
      <c r="A8224" s="2" t="s">
        <v>5602</v>
      </c>
      <c r="B8224" s="2" t="s">
        <v>5192</v>
      </c>
      <c r="C8224" s="2">
        <v>1232.502</v>
      </c>
      <c r="D8224" s="2">
        <f>HYPERLINK("http://mcb-m6.bioreg.kyushu-u.ac.jp/M3/20110429/F51153/4290/1", 95.33)</f>
        <v>95.33</v>
      </c>
      <c r="E8224" s="2">
        <v>86.01</v>
      </c>
      <c r="F8224" s="2">
        <v>2</v>
      </c>
      <c r="G8224" s="2" t="s">
        <v>13</v>
      </c>
    </row>
    <row r="8225" spans="1:9" x14ac:dyDescent="0.2">
      <c r="A8225" s="4" t="s">
        <v>3831</v>
      </c>
      <c r="B8225" s="2" t="s">
        <v>903</v>
      </c>
      <c r="C8225" s="2">
        <v>890.48109999999997</v>
      </c>
      <c r="D8225" s="2">
        <f>HYPERLINK("http://mcb-m6.bioreg.kyushu-u.ac.jp/M3/20110318/F50609/2006/1", 66.13)</f>
        <v>66.13</v>
      </c>
      <c r="E8225" s="2">
        <v>45.31</v>
      </c>
      <c r="F8225" s="2">
        <v>2</v>
      </c>
      <c r="G8225" s="2" t="s">
        <v>9</v>
      </c>
    </row>
    <row r="8226" spans="1:9" x14ac:dyDescent="0.2">
      <c r="A8226" s="2" t="s">
        <v>4708</v>
      </c>
      <c r="B8226" s="2" t="s">
        <v>2895</v>
      </c>
      <c r="C8226" s="2">
        <v>487.42809999999997</v>
      </c>
      <c r="D8226" s="2">
        <f>HYPERLINK("http://mcb-m6.bioreg.kyushu-u.ac.jp/M3/20110502/F51158/693/1", 53.72)</f>
        <v>53.72</v>
      </c>
      <c r="E8226" s="2">
        <v>24.63</v>
      </c>
      <c r="F8226" s="2">
        <v>2</v>
      </c>
      <c r="G8226" s="2" t="s">
        <v>13</v>
      </c>
    </row>
    <row r="8227" spans="1:9" x14ac:dyDescent="0.2">
      <c r="A8227" s="2" t="s">
        <v>5876</v>
      </c>
      <c r="B8227" s="2" t="s">
        <v>5575</v>
      </c>
      <c r="C8227" s="2">
        <v>486.38560000000001</v>
      </c>
      <c r="D8227" s="2">
        <f>HYPERLINK("http://mcb-m6.bioreg.kyushu-u.ac.jp/M3/20110428/F51142/768/1", 39.09)</f>
        <v>39.090000000000003</v>
      </c>
      <c r="E8227" s="2">
        <v>11.14</v>
      </c>
      <c r="F8227" s="2">
        <v>2</v>
      </c>
      <c r="G8227" s="2" t="s">
        <v>14</v>
      </c>
    </row>
    <row r="8228" spans="1:9" x14ac:dyDescent="0.2">
      <c r="A8228" s="2" t="s">
        <v>4024</v>
      </c>
      <c r="B8228" s="2" t="s">
        <v>1401</v>
      </c>
      <c r="C8228" s="2">
        <v>645.23109999999997</v>
      </c>
      <c r="D8228" s="2">
        <f>HYPERLINK("http://mcb-m6.bioreg.kyushu-u.ac.jp/M3/20110318/F50617/1247/1", 56.75)</f>
        <v>56.75</v>
      </c>
      <c r="E8228" s="2">
        <v>34.299999999999997</v>
      </c>
      <c r="F8228" s="2">
        <v>2</v>
      </c>
      <c r="G8228" s="2" t="s">
        <v>10</v>
      </c>
      <c r="I8228" s="2" t="s">
        <v>4923</v>
      </c>
    </row>
    <row r="8229" spans="1:9" x14ac:dyDescent="0.2">
      <c r="A8229" s="2" t="s">
        <v>5721</v>
      </c>
      <c r="B8229" s="2" t="s">
        <v>5286</v>
      </c>
      <c r="C8229" s="2">
        <v>920.7441</v>
      </c>
      <c r="D8229" s="2">
        <f>HYPERLINK("http://mcb-m6.bioreg.kyushu-u.ac.jp/M3/20110318/F50596/2159/1", 47.3)</f>
        <v>47.3</v>
      </c>
      <c r="E8229" s="2">
        <v>27.76</v>
      </c>
      <c r="F8229" s="2">
        <v>2</v>
      </c>
      <c r="G8229" s="2" t="s">
        <v>10</v>
      </c>
    </row>
    <row r="8230" spans="1:9" x14ac:dyDescent="0.2">
      <c r="A8230" s="2" t="s">
        <v>5786</v>
      </c>
      <c r="B8230" s="2" t="s">
        <v>5431</v>
      </c>
      <c r="C8230" s="2">
        <v>824.13120000000004</v>
      </c>
      <c r="D8230" s="2">
        <f>HYPERLINK("http://mcb-m6.bioreg.kyushu-u.ac.jp/M3/20110418/F50982/2351/1", 36.77)</f>
        <v>36.770000000000003</v>
      </c>
      <c r="E8230" s="2">
        <v>23.01</v>
      </c>
      <c r="F8230" s="2">
        <v>2</v>
      </c>
      <c r="G8230" s="2" t="s">
        <v>12</v>
      </c>
      <c r="H8230" s="2" t="s">
        <v>4920</v>
      </c>
    </row>
    <row r="8231" spans="1:9" x14ac:dyDescent="0.2">
      <c r="A8231" s="2" t="s">
        <v>4888</v>
      </c>
      <c r="B8231" s="2" t="s">
        <v>3232</v>
      </c>
      <c r="C8231" s="2">
        <v>1049.854</v>
      </c>
      <c r="D8231" s="2">
        <f>HYPERLINK("http://mcb-m6.bioreg.kyushu-u.ac.jp/M3/20110418/F50974/3390/1", 60.96)</f>
        <v>60.96</v>
      </c>
      <c r="E8231" s="2">
        <v>50.66</v>
      </c>
      <c r="F8231" s="2">
        <v>2</v>
      </c>
      <c r="G8231" s="2" t="s">
        <v>11</v>
      </c>
    </row>
    <row r="8232" spans="1:9" x14ac:dyDescent="0.2">
      <c r="A8232" s="2" t="s">
        <v>3510</v>
      </c>
      <c r="B8232" s="2" t="s">
        <v>349</v>
      </c>
      <c r="C8232" s="2">
        <v>824.36360000000002</v>
      </c>
      <c r="D8232" s="2">
        <f>HYPERLINK("http://mcb-m6.bioreg.kyushu-u.ac.jp/M3/20110429/F51154/2491/1", 112.07)</f>
        <v>112.07</v>
      </c>
      <c r="E8232" s="2">
        <v>85.91</v>
      </c>
      <c r="F8232" s="2">
        <v>2</v>
      </c>
      <c r="G8232" s="2" t="s">
        <v>13</v>
      </c>
    </row>
    <row r="8233" spans="1:9" x14ac:dyDescent="0.2">
      <c r="A8233" s="2" t="s">
        <v>4707</v>
      </c>
      <c r="B8233" s="2" t="s">
        <v>5039</v>
      </c>
      <c r="C8233" s="2">
        <v>754.31050000000005</v>
      </c>
      <c r="D8233" s="2">
        <f>HYPERLINK("http://mcb-m6.bioreg.kyushu-u.ac.jp/M3/20110318/F50618/2987/1", 41.47)</f>
        <v>41.47</v>
      </c>
      <c r="E8233" s="2">
        <v>20.92</v>
      </c>
      <c r="F8233" s="2">
        <v>3</v>
      </c>
      <c r="G8233" s="2" t="s">
        <v>9</v>
      </c>
    </row>
    <row r="8234" spans="1:9" x14ac:dyDescent="0.2">
      <c r="A8234" s="2" t="s">
        <v>4707</v>
      </c>
      <c r="B8234" s="2" t="s">
        <v>5043</v>
      </c>
      <c r="C8234" s="2">
        <v>520.8442</v>
      </c>
      <c r="D8234" s="2">
        <f>HYPERLINK("http://mcb-m6.bioreg.kyushu-u.ac.jp/M3/20110318/F50618/866/1", 42.23)</f>
        <v>42.23</v>
      </c>
      <c r="E8234" s="2">
        <v>14.56</v>
      </c>
      <c r="F8234" s="2">
        <v>2</v>
      </c>
      <c r="G8234" s="2" t="s">
        <v>9</v>
      </c>
    </row>
    <row r="8235" spans="1:9" x14ac:dyDescent="0.2">
      <c r="A8235" s="2" t="s">
        <v>4707</v>
      </c>
      <c r="B8235" s="2" t="s">
        <v>5165</v>
      </c>
      <c r="C8235" s="2">
        <v>511.86759999999998</v>
      </c>
      <c r="D8235" s="2">
        <f>HYPERLINK("http://mcb-m6.bioreg.kyushu-u.ac.jp/M3/20110318/F50618/838/1", 74.47)</f>
        <v>74.47</v>
      </c>
      <c r="E8235" s="2">
        <v>52.09</v>
      </c>
      <c r="F8235" s="2">
        <v>2</v>
      </c>
      <c r="G8235" s="2" t="s">
        <v>9</v>
      </c>
    </row>
    <row r="8236" spans="1:9" x14ac:dyDescent="0.2">
      <c r="A8236" s="2" t="s">
        <v>4382</v>
      </c>
      <c r="B8236" s="2" t="s">
        <v>2217</v>
      </c>
      <c r="C8236" s="2">
        <v>469.20859999999999</v>
      </c>
      <c r="D8236" s="2">
        <f>HYPERLINK("http://mcb-m6.bioreg.kyushu-u.ac.jp/M3/20110418/F50976/747/1", 36.53)</f>
        <v>36.53</v>
      </c>
      <c r="E8236" s="2">
        <v>12.67</v>
      </c>
      <c r="F8236" s="2">
        <v>2</v>
      </c>
      <c r="G8236" s="2" t="s">
        <v>11</v>
      </c>
    </row>
    <row r="8237" spans="1:9" x14ac:dyDescent="0.2">
      <c r="A8237" s="2" t="s">
        <v>4382</v>
      </c>
      <c r="B8237" s="2" t="s">
        <v>5394</v>
      </c>
      <c r="C8237" s="2">
        <v>630.10720000000003</v>
      </c>
      <c r="D8237" s="2">
        <f>HYPERLINK("http://mcb-m6.bioreg.kyushu-u.ac.jp/M3/20110418/F50976/1425/1", 45.85)</f>
        <v>45.85</v>
      </c>
      <c r="E8237" s="2">
        <v>34.93</v>
      </c>
      <c r="F8237" s="2">
        <v>2</v>
      </c>
      <c r="G8237" s="2" t="s">
        <v>11</v>
      </c>
      <c r="I8237" s="2" t="s">
        <v>4926</v>
      </c>
    </row>
    <row r="8238" spans="1:9" x14ac:dyDescent="0.2">
      <c r="A8238" s="2" t="s">
        <v>4869</v>
      </c>
      <c r="B8238" s="2" t="s">
        <v>3167</v>
      </c>
      <c r="C8238" s="2">
        <v>866.37019999999995</v>
      </c>
      <c r="D8238" s="2">
        <f>HYPERLINK("http://mcb-m6.bioreg.kyushu-u.ac.jp/M3/20110429/F51156/2555/1", 40.05)</f>
        <v>40.049999999999997</v>
      </c>
      <c r="E8238" s="2">
        <v>24.87</v>
      </c>
      <c r="F8238" s="2">
        <v>2</v>
      </c>
      <c r="G8238" s="2" t="s">
        <v>13</v>
      </c>
      <c r="I8238" s="2" t="s">
        <v>4923</v>
      </c>
    </row>
    <row r="8239" spans="1:9" x14ac:dyDescent="0.2">
      <c r="A8239" s="2" t="s">
        <v>3650</v>
      </c>
      <c r="B8239" s="2" t="s">
        <v>576</v>
      </c>
      <c r="C8239" s="2">
        <v>703.33320000000003</v>
      </c>
      <c r="D8239" s="2">
        <f>HYPERLINK("http://mcb-m6.bioreg.kyushu-u.ac.jp/M3/20110318/F50609/1485/1", 49.1)</f>
        <v>49.1</v>
      </c>
      <c r="E8239" s="2">
        <v>32.549999999999997</v>
      </c>
      <c r="F8239" s="2">
        <v>2</v>
      </c>
      <c r="G8239" s="2" t="s">
        <v>9</v>
      </c>
    </row>
    <row r="8240" spans="1:9" x14ac:dyDescent="0.2">
      <c r="A8240" s="2" t="s">
        <v>3650</v>
      </c>
      <c r="B8240" s="2" t="s">
        <v>576</v>
      </c>
      <c r="C8240" s="2">
        <v>703.1617</v>
      </c>
      <c r="D8240" s="2">
        <f>HYPERLINK("http://mcb-m6.bioreg.kyushu-u.ac.jp/M3/20110418/F50970/1928/1", 50.55)</f>
        <v>50.55</v>
      </c>
      <c r="E8240" s="2">
        <v>32.479999999999997</v>
      </c>
      <c r="F8240" s="2">
        <v>2</v>
      </c>
      <c r="G8240" s="2" t="s">
        <v>11</v>
      </c>
    </row>
    <row r="8241" spans="1:9" x14ac:dyDescent="0.2">
      <c r="A8241" s="2" t="s">
        <v>3650</v>
      </c>
      <c r="B8241" s="2" t="s">
        <v>576</v>
      </c>
      <c r="C8241" s="2">
        <v>702.89570000000003</v>
      </c>
      <c r="D8241" s="2">
        <f>HYPERLINK("http://mcb-m6.bioreg.kyushu-u.ac.jp/M3/20110428/F51147/1862/1", 56.68)</f>
        <v>56.68</v>
      </c>
      <c r="E8241" s="2">
        <v>33.94</v>
      </c>
      <c r="F8241" s="2">
        <v>2</v>
      </c>
      <c r="G8241" s="2" t="s">
        <v>13</v>
      </c>
    </row>
    <row r="8242" spans="1:9" x14ac:dyDescent="0.2">
      <c r="A8242" s="2" t="s">
        <v>4300</v>
      </c>
      <c r="B8242" s="2" t="s">
        <v>2025</v>
      </c>
      <c r="C8242" s="2">
        <v>570.69960000000003</v>
      </c>
      <c r="D8242" s="2">
        <f>HYPERLINK("http://mcb-m6.bioreg.kyushu-u.ac.jp/M3/20110418/F50969/1651/1", 46.44)</f>
        <v>46.44</v>
      </c>
      <c r="E8242" s="2">
        <v>14.37</v>
      </c>
      <c r="F8242" s="2">
        <v>2</v>
      </c>
      <c r="G8242" s="2" t="s">
        <v>11</v>
      </c>
    </row>
    <row r="8243" spans="1:9" x14ac:dyDescent="0.2">
      <c r="A8243" s="2" t="s">
        <v>3833</v>
      </c>
      <c r="B8243" s="2" t="s">
        <v>906</v>
      </c>
      <c r="C8243" s="2">
        <v>564.86360000000002</v>
      </c>
      <c r="D8243" s="2">
        <f>HYPERLINK("http://mcb-m6.bioreg.kyushu-u.ac.jp/M3/20110318/F50606/989/1", 42.92)</f>
        <v>42.92</v>
      </c>
      <c r="E8243" s="2">
        <v>21.32</v>
      </c>
      <c r="F8243" s="2">
        <v>2</v>
      </c>
      <c r="G8243" s="2" t="s">
        <v>9</v>
      </c>
    </row>
    <row r="8244" spans="1:9" x14ac:dyDescent="0.2">
      <c r="A8244" s="2" t="s">
        <v>3833</v>
      </c>
      <c r="B8244" s="2" t="s">
        <v>5052</v>
      </c>
      <c r="C8244" s="2">
        <v>560.83669999999995</v>
      </c>
      <c r="D8244" s="2">
        <f>HYPERLINK("http://mcb-m6.bioreg.kyushu-u.ac.jp/M3/20110318/F50606/983/1", 43.43)</f>
        <v>43.43</v>
      </c>
      <c r="E8244" s="2">
        <v>30.36</v>
      </c>
      <c r="F8244" s="2">
        <v>2</v>
      </c>
      <c r="G8244" s="2" t="s">
        <v>9</v>
      </c>
    </row>
    <row r="8245" spans="1:9" x14ac:dyDescent="0.2">
      <c r="A8245" s="2" t="s">
        <v>3833</v>
      </c>
      <c r="B8245" s="2" t="s">
        <v>1427</v>
      </c>
      <c r="C8245" s="2">
        <v>627.10720000000003</v>
      </c>
      <c r="D8245" s="2">
        <f>HYPERLINK("http://mcb-m6.bioreg.kyushu-u.ac.jp/M3/20110318/F50606/1116/1", 52.23)</f>
        <v>52.23</v>
      </c>
      <c r="E8245" s="2">
        <v>34.549999999999997</v>
      </c>
      <c r="F8245" s="2">
        <v>2</v>
      </c>
      <c r="G8245" s="2" t="s">
        <v>9</v>
      </c>
      <c r="I8245" s="2" t="s">
        <v>4890</v>
      </c>
    </row>
    <row r="8246" spans="1:9" x14ac:dyDescent="0.2">
      <c r="A8246" s="2" t="s">
        <v>3833</v>
      </c>
      <c r="B8246" s="2" t="s">
        <v>5052</v>
      </c>
      <c r="C8246" s="2">
        <v>560.7817</v>
      </c>
      <c r="D8246" s="2">
        <f>HYPERLINK("http://mcb-m6.bioreg.kyushu-u.ac.jp/M3/20110318/F50597/1041/1", 39.62)</f>
        <v>39.619999999999997</v>
      </c>
      <c r="E8246" s="2">
        <v>14.45</v>
      </c>
      <c r="F8246" s="2">
        <v>2</v>
      </c>
      <c r="G8246" s="2" t="s">
        <v>10</v>
      </c>
    </row>
    <row r="8247" spans="1:9" x14ac:dyDescent="0.2">
      <c r="A8247" s="2" t="s">
        <v>3833</v>
      </c>
      <c r="B8247" s="2" t="s">
        <v>906</v>
      </c>
      <c r="C8247" s="2">
        <v>564.67020000000002</v>
      </c>
      <c r="D8247" s="2">
        <f>HYPERLINK("http://mcb-m6.bioreg.kyushu-u.ac.jp/M3/20110418/F50975/1054/1", 39.08)</f>
        <v>39.08</v>
      </c>
      <c r="E8247" s="2">
        <v>14.49</v>
      </c>
      <c r="F8247" s="2">
        <v>2</v>
      </c>
      <c r="G8247" s="2" t="s">
        <v>11</v>
      </c>
    </row>
    <row r="8248" spans="1:9" x14ac:dyDescent="0.2">
      <c r="A8248" s="2" t="s">
        <v>3833</v>
      </c>
      <c r="B8248" s="2" t="s">
        <v>906</v>
      </c>
      <c r="C8248" s="2">
        <v>565.1866</v>
      </c>
      <c r="D8248" s="2">
        <f>HYPERLINK("http://mcb-m6.bioreg.kyushu-u.ac.jp/M3/20110418/F50975/1057/1", 61.27)</f>
        <v>61.27</v>
      </c>
      <c r="E8248" s="2">
        <v>30.54</v>
      </c>
      <c r="F8248" s="2">
        <v>2</v>
      </c>
      <c r="G8248" s="2" t="s">
        <v>11</v>
      </c>
    </row>
    <row r="8249" spans="1:9" x14ac:dyDescent="0.2">
      <c r="A8249" s="2" t="s">
        <v>3718</v>
      </c>
      <c r="B8249" s="2" t="s">
        <v>707</v>
      </c>
      <c r="C8249" s="2">
        <v>591.36109999999996</v>
      </c>
      <c r="D8249" s="2">
        <f>HYPERLINK("http://mcb-m6.bioreg.kyushu-u.ac.jp/M3/20110429/F51157/1000/1", 60.79)</f>
        <v>60.79</v>
      </c>
      <c r="E8249" s="2">
        <v>35.21</v>
      </c>
      <c r="F8249" s="2">
        <v>2</v>
      </c>
      <c r="G8249" s="2" t="s">
        <v>13</v>
      </c>
    </row>
    <row r="8250" spans="1:9" x14ac:dyDescent="0.2">
      <c r="A8250" s="2" t="s">
        <v>4334</v>
      </c>
      <c r="B8250" s="2" t="s">
        <v>5216</v>
      </c>
      <c r="C8250" s="2">
        <v>720.43020000000001</v>
      </c>
      <c r="D8250" s="2">
        <f>HYPERLINK("http://mcb-m6.bioreg.kyushu-u.ac.jp/M3/20110318/F50597/1492/1", 36.3)</f>
        <v>36.299999999999997</v>
      </c>
      <c r="E8250" s="2">
        <v>15.8</v>
      </c>
      <c r="F8250" s="2">
        <v>2</v>
      </c>
      <c r="G8250" s="2" t="s">
        <v>10</v>
      </c>
    </row>
    <row r="8251" spans="1:9" x14ac:dyDescent="0.2">
      <c r="A8251" s="2" t="s">
        <v>4334</v>
      </c>
      <c r="B8251" s="2" t="s">
        <v>5216</v>
      </c>
      <c r="C8251" s="2">
        <v>720.28769999999997</v>
      </c>
      <c r="D8251" s="2">
        <f>HYPERLINK("http://mcb-m6.bioreg.kyushu-u.ac.jp/M3/20110429/F51157/1663/1", 57.33)</f>
        <v>57.33</v>
      </c>
      <c r="E8251" s="2">
        <v>41.45</v>
      </c>
      <c r="F8251" s="2">
        <v>2</v>
      </c>
      <c r="G8251" s="2" t="s">
        <v>13</v>
      </c>
    </row>
    <row r="8252" spans="1:9" x14ac:dyDescent="0.2">
      <c r="A8252" s="2" t="s">
        <v>5731</v>
      </c>
      <c r="B8252" s="2" t="s">
        <v>5314</v>
      </c>
      <c r="C8252" s="2">
        <v>531.36159999999995</v>
      </c>
      <c r="D8252" s="2">
        <f>HYPERLINK("http://mcb-m6.bioreg.kyushu-u.ac.jp/M3/20110318/F50615/890/2", 56.43)</f>
        <v>56.43</v>
      </c>
      <c r="E8252" s="2">
        <v>16.86</v>
      </c>
      <c r="F8252" s="2">
        <v>2</v>
      </c>
      <c r="G8252" s="2" t="s">
        <v>10</v>
      </c>
    </row>
    <row r="8253" spans="1:9" x14ac:dyDescent="0.2">
      <c r="A8253" s="2" t="s">
        <v>3849</v>
      </c>
      <c r="B8253" s="2" t="s">
        <v>948</v>
      </c>
      <c r="C8253" s="2">
        <v>669.82569999999998</v>
      </c>
      <c r="D8253" s="2">
        <f>HYPERLINK("http://mcb-m6.bioreg.kyushu-u.ac.jp/M3/20110318/F50621/1301/1", 56.77)</f>
        <v>56.77</v>
      </c>
      <c r="E8253" s="2">
        <v>31.46</v>
      </c>
      <c r="F8253" s="2">
        <v>2</v>
      </c>
      <c r="G8253" s="2" t="s">
        <v>9</v>
      </c>
    </row>
    <row r="8254" spans="1:9" x14ac:dyDescent="0.2">
      <c r="A8254" s="2" t="s">
        <v>3849</v>
      </c>
      <c r="B8254" s="2" t="s">
        <v>1215</v>
      </c>
      <c r="C8254" s="2">
        <v>789.90620000000001</v>
      </c>
      <c r="D8254" s="2">
        <f>HYPERLINK("http://mcb-m6.bioreg.kyushu-u.ac.jp/M3/20110318/F50621/1725/1", 81.22)</f>
        <v>81.22</v>
      </c>
      <c r="E8254" s="2">
        <v>63.75</v>
      </c>
      <c r="F8254" s="2">
        <v>2</v>
      </c>
      <c r="G8254" s="2" t="s">
        <v>9</v>
      </c>
    </row>
    <row r="8255" spans="1:9" x14ac:dyDescent="0.2">
      <c r="A8255" s="2" t="s">
        <v>3849</v>
      </c>
      <c r="B8255" s="2" t="s">
        <v>5326</v>
      </c>
      <c r="C8255" s="2">
        <v>633.23109999999997</v>
      </c>
      <c r="D8255" s="2">
        <f>HYPERLINK("http://mcb-m6.bioreg.kyushu-u.ac.jp/M3/20110318/F50617/1234/1", 61.98)</f>
        <v>61.98</v>
      </c>
      <c r="E8255" s="2">
        <v>42.44</v>
      </c>
      <c r="F8255" s="2">
        <v>2</v>
      </c>
      <c r="G8255" s="2" t="s">
        <v>10</v>
      </c>
    </row>
    <row r="8256" spans="1:9" x14ac:dyDescent="0.2">
      <c r="A8256" s="2" t="s">
        <v>3849</v>
      </c>
      <c r="B8256" s="2" t="s">
        <v>948</v>
      </c>
      <c r="C8256" s="2">
        <v>669.28560000000004</v>
      </c>
      <c r="D8256" s="2">
        <f>HYPERLINK("http://mcb-m6.bioreg.kyushu-u.ac.jp/M3/20110318/F50617/1299/1", 74.28)</f>
        <v>74.28</v>
      </c>
      <c r="E8256" s="2">
        <v>47.04</v>
      </c>
      <c r="F8256" s="2">
        <v>2</v>
      </c>
      <c r="G8256" s="2" t="s">
        <v>10</v>
      </c>
    </row>
    <row r="8257" spans="1:9" x14ac:dyDescent="0.2">
      <c r="A8257" s="2" t="s">
        <v>3849</v>
      </c>
      <c r="B8257" s="2" t="s">
        <v>1215</v>
      </c>
      <c r="C8257" s="2">
        <v>790.03520000000003</v>
      </c>
      <c r="D8257" s="2">
        <f>HYPERLINK("http://mcb-m6.bioreg.kyushu-u.ac.jp/M3/20110318/F50599/1903/1", 75.92)</f>
        <v>75.92</v>
      </c>
      <c r="E8257" s="2">
        <v>55.37</v>
      </c>
      <c r="F8257" s="2">
        <v>2</v>
      </c>
      <c r="G8257" s="2" t="s">
        <v>10</v>
      </c>
    </row>
    <row r="8258" spans="1:9" x14ac:dyDescent="0.2">
      <c r="A8258" s="2" t="s">
        <v>3937</v>
      </c>
      <c r="B8258" s="2" t="s">
        <v>1356</v>
      </c>
      <c r="C8258" s="2">
        <v>733.35569999999996</v>
      </c>
      <c r="D8258" s="2">
        <f>HYPERLINK("http://mcb-m6.bioreg.kyushu-u.ac.jp/M3/20110318/F50621/1487/1", 57.57)</f>
        <v>57.57</v>
      </c>
      <c r="E8258" s="2">
        <v>30.96</v>
      </c>
      <c r="F8258" s="2">
        <v>2</v>
      </c>
      <c r="G8258" s="2" t="s">
        <v>9</v>
      </c>
    </row>
    <row r="8259" spans="1:9" x14ac:dyDescent="0.2">
      <c r="A8259" s="2" t="s">
        <v>3937</v>
      </c>
      <c r="B8259" s="2" t="s">
        <v>3104</v>
      </c>
      <c r="C8259" s="2">
        <v>469.81459999999998</v>
      </c>
      <c r="D8259" s="2">
        <f>HYPERLINK("http://mcb-m6.bioreg.kyushu-u.ac.jp/M3/20110318/F50617/968/1", 42.45)</f>
        <v>42.45</v>
      </c>
      <c r="E8259" s="2">
        <v>16.670000000000002</v>
      </c>
      <c r="F8259" s="2">
        <v>2</v>
      </c>
      <c r="G8259" s="2" t="s">
        <v>10</v>
      </c>
    </row>
    <row r="8260" spans="1:9" x14ac:dyDescent="0.2">
      <c r="A8260" s="2" t="s">
        <v>3937</v>
      </c>
      <c r="B8260" s="2" t="s">
        <v>1356</v>
      </c>
      <c r="C8260" s="2">
        <v>732.99369999999999</v>
      </c>
      <c r="D8260" s="2">
        <f>HYPERLINK("http://mcb-m6.bioreg.kyushu-u.ac.jp/M3/20110318/F50599/1670/1", 47.93)</f>
        <v>47.93</v>
      </c>
      <c r="E8260" s="2">
        <v>21.81</v>
      </c>
      <c r="F8260" s="2">
        <v>2</v>
      </c>
      <c r="G8260" s="2" t="s">
        <v>10</v>
      </c>
    </row>
    <row r="8261" spans="1:9" x14ac:dyDescent="0.2">
      <c r="A8261" s="2" t="s">
        <v>3611</v>
      </c>
      <c r="B8261" s="2" t="s">
        <v>514</v>
      </c>
      <c r="C8261" s="2">
        <v>492.32709999999997</v>
      </c>
      <c r="D8261" s="2">
        <f>HYPERLINK("http://mcb-m6.bioreg.kyushu-u.ac.jp/M3/20110318/F50614/906/1", 38.7)</f>
        <v>38.700000000000003</v>
      </c>
      <c r="E8261" s="2">
        <v>9.42</v>
      </c>
      <c r="F8261" s="2">
        <v>2</v>
      </c>
      <c r="G8261" s="2" t="s">
        <v>10</v>
      </c>
    </row>
    <row r="8262" spans="1:9" x14ac:dyDescent="0.2">
      <c r="A8262" s="2" t="s">
        <v>5717</v>
      </c>
      <c r="B8262" s="2" t="s">
        <v>5277</v>
      </c>
      <c r="C8262" s="2">
        <v>629.79859999999996</v>
      </c>
      <c r="D8262" s="2">
        <f>HYPERLINK("http://mcb-m6.bioreg.kyushu-u.ac.jp/M3/20110318/F50622/1132/2", 46.24)</f>
        <v>46.24</v>
      </c>
      <c r="E8262" s="2">
        <v>1.89</v>
      </c>
      <c r="F8262" s="2">
        <v>2</v>
      </c>
      <c r="G8262" s="2" t="s">
        <v>10</v>
      </c>
    </row>
    <row r="8263" spans="1:9" x14ac:dyDescent="0.2">
      <c r="A8263" s="2" t="s">
        <v>3711</v>
      </c>
      <c r="B8263" s="2" t="s">
        <v>847</v>
      </c>
      <c r="C8263" s="2">
        <v>579.33119999999997</v>
      </c>
      <c r="D8263" s="2">
        <f>HYPERLINK("http://mcb-m6.bioreg.kyushu-u.ac.jp/M3/20110318/F50603/1120/1", 49.37)</f>
        <v>49.37</v>
      </c>
      <c r="E8263" s="2">
        <v>15.36</v>
      </c>
      <c r="F8263" s="2">
        <v>2</v>
      </c>
      <c r="G8263" s="2" t="s">
        <v>9</v>
      </c>
      <c r="H8263" s="2" t="s">
        <v>4910</v>
      </c>
    </row>
    <row r="8264" spans="1:9" x14ac:dyDescent="0.2">
      <c r="A8264" s="2" t="s">
        <v>3711</v>
      </c>
      <c r="B8264" s="2" t="s">
        <v>695</v>
      </c>
      <c r="C8264" s="2">
        <v>762.99570000000006</v>
      </c>
      <c r="D8264" s="2">
        <f>HYPERLINK("http://mcb-m6.bioreg.kyushu-u.ac.jp/M3/20110418/F50976/2134/1", 40.05)</f>
        <v>40.049999999999997</v>
      </c>
      <c r="E8264" s="2">
        <v>24.15</v>
      </c>
      <c r="F8264" s="2">
        <v>2</v>
      </c>
      <c r="G8264" s="2" t="s">
        <v>11</v>
      </c>
    </row>
    <row r="8265" spans="1:9" x14ac:dyDescent="0.2">
      <c r="A8265" s="2" t="s">
        <v>3711</v>
      </c>
      <c r="B8265" s="2" t="s">
        <v>695</v>
      </c>
      <c r="C8265" s="2">
        <v>762.36770000000001</v>
      </c>
      <c r="D8265" s="2">
        <f>HYPERLINK("http://mcb-m6.bioreg.kyushu-u.ac.jp/M3/20110418/F50977/2218/1", 48.24)</f>
        <v>48.24</v>
      </c>
      <c r="E8265" s="2">
        <v>27.63</v>
      </c>
      <c r="F8265" s="2">
        <v>2</v>
      </c>
      <c r="G8265" s="2" t="s">
        <v>11</v>
      </c>
    </row>
    <row r="8266" spans="1:9" x14ac:dyDescent="0.2">
      <c r="A8266" s="2" t="s">
        <v>5677</v>
      </c>
      <c r="B8266" s="2" t="s">
        <v>5186</v>
      </c>
      <c r="C8266" s="2">
        <v>811.1182</v>
      </c>
      <c r="D8266" s="2">
        <f>HYPERLINK("http://mcb-m6.bioreg.kyushu-u.ac.jp/M3/20110318/F50619/1729/1", 88.48)</f>
        <v>88.48</v>
      </c>
      <c r="E8266" s="2">
        <v>65.87</v>
      </c>
      <c r="F8266" s="2">
        <v>2</v>
      </c>
      <c r="G8266" s="2" t="s">
        <v>9</v>
      </c>
      <c r="I8266" s="2" t="s">
        <v>4918</v>
      </c>
    </row>
    <row r="8267" spans="1:9" x14ac:dyDescent="0.2">
      <c r="A8267" s="2" t="s">
        <v>5677</v>
      </c>
      <c r="B8267" s="2" t="s">
        <v>5186</v>
      </c>
      <c r="C8267" s="2">
        <v>811.16520000000003</v>
      </c>
      <c r="D8267" s="2">
        <f>HYPERLINK("http://mcb-m6.bioreg.kyushu-u.ac.jp/M3/20110318/F50608/1794/1", 96.35)</f>
        <v>96.35</v>
      </c>
      <c r="E8267" s="2">
        <v>70.36</v>
      </c>
      <c r="F8267" s="2">
        <v>2</v>
      </c>
      <c r="G8267" s="2" t="s">
        <v>9</v>
      </c>
      <c r="I8267" s="2" t="s">
        <v>4918</v>
      </c>
    </row>
    <row r="8268" spans="1:9" x14ac:dyDescent="0.2">
      <c r="A8268" s="2" t="s">
        <v>5677</v>
      </c>
      <c r="B8268" s="2" t="s">
        <v>5186</v>
      </c>
      <c r="C8268" s="2">
        <v>811.26210000000003</v>
      </c>
      <c r="D8268" s="2">
        <f>HYPERLINK("http://mcb-m6.bioreg.kyushu-u.ac.jp/M3/20110318/F50615/1817/1", 80)</f>
        <v>80</v>
      </c>
      <c r="E8268" s="2">
        <v>61.95</v>
      </c>
      <c r="F8268" s="2">
        <v>2</v>
      </c>
      <c r="G8268" s="2" t="s">
        <v>10</v>
      </c>
      <c r="I8268" s="2" t="s">
        <v>4918</v>
      </c>
    </row>
    <row r="8269" spans="1:9" x14ac:dyDescent="0.2">
      <c r="A8269" s="2" t="s">
        <v>5677</v>
      </c>
      <c r="B8269" s="2" t="s">
        <v>5186</v>
      </c>
      <c r="C8269" s="2">
        <v>811.90809999999999</v>
      </c>
      <c r="D8269" s="2">
        <f>HYPERLINK("http://mcb-m6.bioreg.kyushu-u.ac.jp/M3/20110318/F50599/1942/1", 82.33)</f>
        <v>82.33</v>
      </c>
      <c r="E8269" s="2">
        <v>63.43</v>
      </c>
      <c r="F8269" s="2">
        <v>2</v>
      </c>
      <c r="G8269" s="2" t="s">
        <v>10</v>
      </c>
      <c r="I8269" s="2" t="s">
        <v>4918</v>
      </c>
    </row>
    <row r="8270" spans="1:9" x14ac:dyDescent="0.2">
      <c r="A8270" s="2" t="s">
        <v>5677</v>
      </c>
      <c r="B8270" s="2" t="s">
        <v>5186</v>
      </c>
      <c r="C8270" s="2">
        <v>811.22270000000003</v>
      </c>
      <c r="D8270" s="2">
        <f>HYPERLINK("http://mcb-m6.bioreg.kyushu-u.ac.jp/M3/20110318/F50596/1886/1", 93.65)</f>
        <v>93.65</v>
      </c>
      <c r="E8270" s="2">
        <v>68.64</v>
      </c>
      <c r="F8270" s="2">
        <v>2</v>
      </c>
      <c r="G8270" s="2" t="s">
        <v>10</v>
      </c>
      <c r="I8270" s="2" t="s">
        <v>4918</v>
      </c>
    </row>
    <row r="8271" spans="1:9" x14ac:dyDescent="0.2">
      <c r="A8271" s="2" t="s">
        <v>4328</v>
      </c>
      <c r="B8271" s="2" t="s">
        <v>2121</v>
      </c>
      <c r="C8271" s="2">
        <v>709.91219999999998</v>
      </c>
      <c r="D8271" s="2">
        <f>HYPERLINK("http://mcb-m6.bioreg.kyushu-u.ac.jp/M3/20110318/F50610/1605/1", 100.15)</f>
        <v>100.15</v>
      </c>
      <c r="E8271" s="2">
        <v>71.09</v>
      </c>
      <c r="F8271" s="2">
        <v>2</v>
      </c>
      <c r="G8271" s="2" t="s">
        <v>9</v>
      </c>
      <c r="I8271" s="2" t="s">
        <v>4893</v>
      </c>
    </row>
    <row r="8272" spans="1:9" x14ac:dyDescent="0.2">
      <c r="A8272" s="2" t="s">
        <v>4328</v>
      </c>
      <c r="B8272" s="2" t="s">
        <v>2121</v>
      </c>
      <c r="C8272" s="2">
        <v>709.81669999999997</v>
      </c>
      <c r="D8272" s="2">
        <f>HYPERLINK("http://mcb-m6.bioreg.kyushu-u.ac.jp/M3/20110318/F50622/1318/1", 68.95)</f>
        <v>68.95</v>
      </c>
      <c r="E8272" s="2">
        <v>44.53</v>
      </c>
      <c r="F8272" s="2">
        <v>2</v>
      </c>
      <c r="G8272" s="2" t="s">
        <v>10</v>
      </c>
      <c r="I8272" s="2" t="s">
        <v>4893</v>
      </c>
    </row>
    <row r="8273" spans="1:9" x14ac:dyDescent="0.2">
      <c r="A8273" s="2" t="s">
        <v>4328</v>
      </c>
      <c r="B8273" s="2" t="s">
        <v>2121</v>
      </c>
      <c r="C8273" s="2">
        <v>710.02760000000001</v>
      </c>
      <c r="D8273" s="2">
        <f>HYPERLINK("http://mcb-m6.bioreg.kyushu-u.ac.jp/M3/20110428/F51146/1947/1", 101.73)</f>
        <v>101.73</v>
      </c>
      <c r="E8273" s="2">
        <v>69.959999999999994</v>
      </c>
      <c r="F8273" s="2">
        <v>2</v>
      </c>
      <c r="G8273" s="2" t="s">
        <v>13</v>
      </c>
      <c r="I8273" s="2" t="s">
        <v>4893</v>
      </c>
    </row>
    <row r="8274" spans="1:9" x14ac:dyDescent="0.2">
      <c r="A8274" s="2" t="s">
        <v>4328</v>
      </c>
      <c r="B8274" s="2" t="s">
        <v>2121</v>
      </c>
      <c r="C8274" s="2">
        <v>710.00459999999998</v>
      </c>
      <c r="D8274" s="2">
        <f>HYPERLINK("http://mcb-m6.bioreg.kyushu-u.ac.jp/M3/20110428/F51147/1894/1", 112.75)</f>
        <v>112.75</v>
      </c>
      <c r="E8274" s="2">
        <v>83.28</v>
      </c>
      <c r="F8274" s="2">
        <v>2</v>
      </c>
      <c r="G8274" s="2" t="s">
        <v>13</v>
      </c>
      <c r="I8274" s="2" t="s">
        <v>4893</v>
      </c>
    </row>
    <row r="8275" spans="1:9" x14ac:dyDescent="0.2">
      <c r="A8275" s="2" t="s">
        <v>3521</v>
      </c>
      <c r="B8275" s="2" t="s">
        <v>364</v>
      </c>
      <c r="C8275" s="2">
        <v>1303.3589999999999</v>
      </c>
      <c r="D8275" s="2">
        <f>HYPERLINK("http://mcb-m6.bioreg.kyushu-u.ac.jp/M3/20110318/F50621/1246/1", 35.75)</f>
        <v>35.75</v>
      </c>
      <c r="E8275" s="2">
        <v>20.350000000000001</v>
      </c>
      <c r="F8275" s="2">
        <v>1</v>
      </c>
      <c r="G8275" s="2" t="s">
        <v>9</v>
      </c>
    </row>
    <row r="8276" spans="1:9" x14ac:dyDescent="0.2">
      <c r="A8276" s="2" t="s">
        <v>3521</v>
      </c>
      <c r="B8276" s="2" t="s">
        <v>364</v>
      </c>
      <c r="C8276" s="2">
        <v>652.65560000000005</v>
      </c>
      <c r="D8276" s="2">
        <f>HYPERLINK("http://mcb-m6.bioreg.kyushu-u.ac.jp/M3/20110318/F50610/1500/1", 36.43)</f>
        <v>36.43</v>
      </c>
      <c r="E8276" s="2">
        <v>21.73</v>
      </c>
      <c r="F8276" s="2">
        <v>2</v>
      </c>
      <c r="G8276" s="2" t="s">
        <v>9</v>
      </c>
    </row>
    <row r="8277" spans="1:9" x14ac:dyDescent="0.2">
      <c r="A8277" s="2" t="s">
        <v>3521</v>
      </c>
      <c r="B8277" s="2" t="s">
        <v>364</v>
      </c>
      <c r="C8277" s="2">
        <v>652.31569999999999</v>
      </c>
      <c r="D8277" s="2">
        <f>HYPERLINK("http://mcb-m6.bioreg.kyushu-u.ac.jp/M3/20110318/F50619/1187/1", 38.56)</f>
        <v>38.56</v>
      </c>
      <c r="E8277" s="2">
        <v>21.08</v>
      </c>
      <c r="F8277" s="2">
        <v>2</v>
      </c>
      <c r="G8277" s="2" t="s">
        <v>9</v>
      </c>
    </row>
    <row r="8278" spans="1:9" x14ac:dyDescent="0.2">
      <c r="A8278" s="2" t="s">
        <v>3521</v>
      </c>
      <c r="B8278" s="2" t="s">
        <v>364</v>
      </c>
      <c r="C8278" s="2">
        <v>652.31709999999998</v>
      </c>
      <c r="D8278" s="2">
        <f>HYPERLINK("http://mcb-m6.bioreg.kyushu-u.ac.jp/M3/20110318/F50621/1254/1", 39.51)</f>
        <v>39.51</v>
      </c>
      <c r="E8278" s="2">
        <v>29.15</v>
      </c>
      <c r="F8278" s="2">
        <v>2</v>
      </c>
      <c r="G8278" s="2" t="s">
        <v>9</v>
      </c>
    </row>
    <row r="8279" spans="1:9" x14ac:dyDescent="0.2">
      <c r="A8279" s="2" t="s">
        <v>3521</v>
      </c>
      <c r="B8279" s="2" t="s">
        <v>364</v>
      </c>
      <c r="C8279" s="2">
        <v>652.61360000000002</v>
      </c>
      <c r="D8279" s="2">
        <f>HYPERLINK("http://mcb-m6.bioreg.kyushu-u.ac.jp/M3/20110318/F50618/1248/1", 40.66)</f>
        <v>40.659999999999997</v>
      </c>
      <c r="E8279" s="2">
        <v>29.1</v>
      </c>
      <c r="F8279" s="2">
        <v>2</v>
      </c>
      <c r="G8279" s="2" t="s">
        <v>9</v>
      </c>
    </row>
    <row r="8280" spans="1:9" x14ac:dyDescent="0.2">
      <c r="A8280" s="2" t="s">
        <v>3521</v>
      </c>
      <c r="B8280" s="2" t="s">
        <v>364</v>
      </c>
      <c r="C8280" s="2">
        <v>652.04420000000005</v>
      </c>
      <c r="D8280" s="2">
        <f>HYPERLINK("http://mcb-m6.bioreg.kyushu-u.ac.jp/M3/20110318/F50609/1381/1", 46.76)</f>
        <v>46.76</v>
      </c>
      <c r="E8280" s="2">
        <v>25.07</v>
      </c>
      <c r="F8280" s="2">
        <v>2</v>
      </c>
      <c r="G8280" s="2" t="s">
        <v>9</v>
      </c>
    </row>
    <row r="8281" spans="1:9" x14ac:dyDescent="0.2">
      <c r="A8281" s="2" t="s">
        <v>3521</v>
      </c>
      <c r="B8281" s="2" t="s">
        <v>364</v>
      </c>
      <c r="C8281" s="2">
        <v>652.51009999999997</v>
      </c>
      <c r="D8281" s="2">
        <f>HYPERLINK("http://mcb-m6.bioreg.kyushu-u.ac.jp/M3/20110318/F50605/1272/1", 48.12)</f>
        <v>48.12</v>
      </c>
      <c r="E8281" s="2">
        <v>36.06</v>
      </c>
      <c r="F8281" s="2">
        <v>2</v>
      </c>
      <c r="G8281" s="2" t="s">
        <v>9</v>
      </c>
    </row>
    <row r="8282" spans="1:9" x14ac:dyDescent="0.2">
      <c r="A8282" s="2" t="s">
        <v>3521</v>
      </c>
      <c r="B8282" s="2" t="s">
        <v>364</v>
      </c>
      <c r="C8282" s="2">
        <v>1303.26</v>
      </c>
      <c r="D8282" s="2">
        <f>HYPERLINK("http://mcb-m6.bioreg.kyushu-u.ac.jp/M3/20110318/F50618/1244/1", 48.3)</f>
        <v>48.3</v>
      </c>
      <c r="E8282" s="2">
        <v>29.82</v>
      </c>
      <c r="F8282" s="2">
        <v>1</v>
      </c>
      <c r="G8282" s="2" t="s">
        <v>9</v>
      </c>
    </row>
    <row r="8283" spans="1:9" x14ac:dyDescent="0.2">
      <c r="A8283" s="2" t="s">
        <v>3521</v>
      </c>
      <c r="B8283" s="2" t="s">
        <v>364</v>
      </c>
      <c r="C8283" s="2">
        <v>1303.4059999999999</v>
      </c>
      <c r="D8283" s="2">
        <f>HYPERLINK("http://mcb-m6.bioreg.kyushu-u.ac.jp/M3/20110318/F50609/1383/1", 49.59)</f>
        <v>49.59</v>
      </c>
      <c r="E8283" s="2">
        <v>34.770000000000003</v>
      </c>
      <c r="F8283" s="2">
        <v>1</v>
      </c>
      <c r="G8283" s="2" t="s">
        <v>9</v>
      </c>
    </row>
    <row r="8284" spans="1:9" x14ac:dyDescent="0.2">
      <c r="A8284" s="2" t="s">
        <v>3521</v>
      </c>
      <c r="B8284" s="2" t="s">
        <v>364</v>
      </c>
      <c r="C8284" s="2">
        <v>1303.366</v>
      </c>
      <c r="D8284" s="2">
        <f>HYPERLINK("http://mcb-m6.bioreg.kyushu-u.ac.jp/M3/20110318/F50621/1247/1", 53.84)</f>
        <v>53.84</v>
      </c>
      <c r="E8284" s="2">
        <v>36.79</v>
      </c>
      <c r="F8284" s="2">
        <v>1</v>
      </c>
      <c r="G8284" s="2" t="s">
        <v>9</v>
      </c>
    </row>
    <row r="8285" spans="1:9" x14ac:dyDescent="0.2">
      <c r="A8285" s="2" t="s">
        <v>3521</v>
      </c>
      <c r="B8285" s="2" t="s">
        <v>364</v>
      </c>
      <c r="C8285" s="2">
        <v>652.15120000000002</v>
      </c>
      <c r="D8285" s="2">
        <f>HYPERLINK("http://mcb-m6.bioreg.kyushu-u.ac.jp/M3/20110318/F50608/1251/1", 55.78)</f>
        <v>55.78</v>
      </c>
      <c r="E8285" s="2">
        <v>22.49</v>
      </c>
      <c r="F8285" s="2">
        <v>2</v>
      </c>
      <c r="G8285" s="2" t="s">
        <v>9</v>
      </c>
    </row>
    <row r="8286" spans="1:9" x14ac:dyDescent="0.2">
      <c r="A8286" s="2" t="s">
        <v>3521</v>
      </c>
      <c r="B8286" s="2" t="s">
        <v>364</v>
      </c>
      <c r="C8286" s="2">
        <v>652.31769999999995</v>
      </c>
      <c r="D8286" s="2">
        <f>HYPERLINK("http://mcb-m6.bioreg.kyushu-u.ac.jp/M3/20110318/F50621/1255/1", 57.18)</f>
        <v>57.18</v>
      </c>
      <c r="E8286" s="2">
        <v>37.08</v>
      </c>
      <c r="F8286" s="2">
        <v>2</v>
      </c>
      <c r="G8286" s="2" t="s">
        <v>9</v>
      </c>
    </row>
    <row r="8287" spans="1:9" x14ac:dyDescent="0.2">
      <c r="A8287" s="2" t="s">
        <v>3521</v>
      </c>
      <c r="B8287" s="2" t="s">
        <v>364</v>
      </c>
      <c r="C8287" s="2">
        <v>652.19920000000002</v>
      </c>
      <c r="D8287" s="2">
        <f>HYPERLINK("http://mcb-m6.bioreg.kyushu-u.ac.jp/M3/20110318/F50621/1248/1", 63.24)</f>
        <v>63.24</v>
      </c>
      <c r="E8287" s="2">
        <v>34.35</v>
      </c>
      <c r="F8287" s="2">
        <v>2</v>
      </c>
      <c r="G8287" s="2" t="s">
        <v>9</v>
      </c>
    </row>
    <row r="8288" spans="1:9" x14ac:dyDescent="0.2">
      <c r="A8288" s="2" t="s">
        <v>3521</v>
      </c>
      <c r="B8288" s="2" t="s">
        <v>364</v>
      </c>
      <c r="C8288" s="2">
        <v>652.45370000000003</v>
      </c>
      <c r="D8288" s="2">
        <f>HYPERLINK("http://mcb-m6.bioreg.kyushu-u.ac.jp/M3/20110318/F50621/1259/1", 67.93)</f>
        <v>67.930000000000007</v>
      </c>
      <c r="E8288" s="2">
        <v>47.62</v>
      </c>
      <c r="F8288" s="2">
        <v>2</v>
      </c>
      <c r="G8288" s="2" t="s">
        <v>9</v>
      </c>
    </row>
    <row r="8289" spans="1:7" x14ac:dyDescent="0.2">
      <c r="A8289" s="2" t="s">
        <v>3521</v>
      </c>
      <c r="B8289" s="2" t="s">
        <v>364</v>
      </c>
      <c r="C8289" s="2">
        <v>652.31960000000004</v>
      </c>
      <c r="D8289" s="2">
        <f>HYPERLINK("http://mcb-m6.bioreg.kyushu-u.ac.jp/M3/20110318/F50610/1499/1", 69.97)</f>
        <v>69.97</v>
      </c>
      <c r="E8289" s="2">
        <v>43.45</v>
      </c>
      <c r="F8289" s="2">
        <v>2</v>
      </c>
      <c r="G8289" s="2" t="s">
        <v>9</v>
      </c>
    </row>
    <row r="8290" spans="1:7" x14ac:dyDescent="0.2">
      <c r="A8290" s="2" t="s">
        <v>3521</v>
      </c>
      <c r="B8290" s="2" t="s">
        <v>364</v>
      </c>
      <c r="C8290" s="2">
        <v>652.84810000000004</v>
      </c>
      <c r="D8290" s="2">
        <f>HYPERLINK("http://mcb-m6.bioreg.kyushu-u.ac.jp/M3/20110318/F50621/1260/1", 74.26)</f>
        <v>74.260000000000005</v>
      </c>
      <c r="E8290" s="2">
        <v>54.66</v>
      </c>
      <c r="F8290" s="2">
        <v>2</v>
      </c>
      <c r="G8290" s="2" t="s">
        <v>9</v>
      </c>
    </row>
    <row r="8291" spans="1:7" x14ac:dyDescent="0.2">
      <c r="A8291" s="2" t="s">
        <v>3521</v>
      </c>
      <c r="B8291" s="2" t="s">
        <v>364</v>
      </c>
      <c r="C8291" s="2">
        <v>652.54020000000003</v>
      </c>
      <c r="D8291" s="2">
        <f>HYPERLINK("http://mcb-m6.bioreg.kyushu-u.ac.jp/M3/20110318/F50601/1404/1", 76.02)</f>
        <v>76.02</v>
      </c>
      <c r="E8291" s="2">
        <v>55.84</v>
      </c>
      <c r="F8291" s="2">
        <v>2</v>
      </c>
      <c r="G8291" s="2" t="s">
        <v>9</v>
      </c>
    </row>
    <row r="8292" spans="1:7" x14ac:dyDescent="0.2">
      <c r="A8292" s="2" t="s">
        <v>3521</v>
      </c>
      <c r="B8292" s="2" t="s">
        <v>364</v>
      </c>
      <c r="C8292" s="2">
        <v>652.28470000000004</v>
      </c>
      <c r="D8292" s="2">
        <f>HYPERLINK("http://mcb-m6.bioreg.kyushu-u.ac.jp/M3/20110318/F50621/1252/1", 76.82)</f>
        <v>76.819999999999993</v>
      </c>
      <c r="E8292" s="2">
        <v>57.99</v>
      </c>
      <c r="F8292" s="2">
        <v>2</v>
      </c>
      <c r="G8292" s="2" t="s">
        <v>9</v>
      </c>
    </row>
    <row r="8293" spans="1:7" x14ac:dyDescent="0.2">
      <c r="A8293" s="2" t="s">
        <v>3521</v>
      </c>
      <c r="B8293" s="2" t="s">
        <v>364</v>
      </c>
      <c r="C8293" s="2">
        <v>652.56709999999998</v>
      </c>
      <c r="D8293" s="2">
        <f>HYPERLINK("http://mcb-m6.bioreg.kyushu-u.ac.jp/M3/20110318/F50603/1255/1", 78.12)</f>
        <v>78.12</v>
      </c>
      <c r="E8293" s="2">
        <v>60.13</v>
      </c>
      <c r="F8293" s="2">
        <v>2</v>
      </c>
      <c r="G8293" s="2" t="s">
        <v>9</v>
      </c>
    </row>
    <row r="8294" spans="1:7" x14ac:dyDescent="0.2">
      <c r="A8294" s="2" t="s">
        <v>3521</v>
      </c>
      <c r="B8294" s="2" t="s">
        <v>364</v>
      </c>
      <c r="C8294" s="2">
        <v>652.31619999999998</v>
      </c>
      <c r="D8294" s="2">
        <f>HYPERLINK("http://mcb-m6.bioreg.kyushu-u.ac.jp/M3/20110318/F50621/1253/1", 80.04)</f>
        <v>80.040000000000006</v>
      </c>
      <c r="E8294" s="2">
        <v>51.07</v>
      </c>
      <c r="F8294" s="2">
        <v>2</v>
      </c>
      <c r="G8294" s="2" t="s">
        <v>9</v>
      </c>
    </row>
    <row r="8295" spans="1:7" x14ac:dyDescent="0.2">
      <c r="A8295" s="2" t="s">
        <v>3521</v>
      </c>
      <c r="B8295" s="2" t="s">
        <v>364</v>
      </c>
      <c r="C8295" s="2">
        <v>652.34770000000003</v>
      </c>
      <c r="D8295" s="2">
        <f>HYPERLINK("http://mcb-m6.bioreg.kyushu-u.ac.jp/M3/20110318/F50621/1257/1", 81.09)</f>
        <v>81.09</v>
      </c>
      <c r="E8295" s="2">
        <v>43.84</v>
      </c>
      <c r="F8295" s="2">
        <v>2</v>
      </c>
      <c r="G8295" s="2" t="s">
        <v>9</v>
      </c>
    </row>
    <row r="8296" spans="1:7" x14ac:dyDescent="0.2">
      <c r="A8296" s="2" t="s">
        <v>3521</v>
      </c>
      <c r="B8296" s="2" t="s">
        <v>364</v>
      </c>
      <c r="C8296" s="2">
        <v>652.45069999999998</v>
      </c>
      <c r="D8296" s="2">
        <f>HYPERLINK("http://mcb-m6.bioreg.kyushu-u.ac.jp/M3/20110318/F50621/1258/1", 82.12)</f>
        <v>82.12</v>
      </c>
      <c r="E8296" s="2">
        <v>64.489999999999995</v>
      </c>
      <c r="F8296" s="2">
        <v>2</v>
      </c>
      <c r="G8296" s="2" t="s">
        <v>9</v>
      </c>
    </row>
    <row r="8297" spans="1:7" x14ac:dyDescent="0.2">
      <c r="A8297" s="2" t="s">
        <v>3521</v>
      </c>
      <c r="B8297" s="2" t="s">
        <v>364</v>
      </c>
      <c r="C8297" s="2">
        <v>652.8202</v>
      </c>
      <c r="D8297" s="2">
        <f>HYPERLINK("http://mcb-m6.bioreg.kyushu-u.ac.jp/M3/20110318/F50618/1250/1", 83.33)</f>
        <v>83.33</v>
      </c>
      <c r="E8297" s="2">
        <v>62.39</v>
      </c>
      <c r="F8297" s="2">
        <v>2</v>
      </c>
      <c r="G8297" s="2" t="s">
        <v>9</v>
      </c>
    </row>
    <row r="8298" spans="1:7" x14ac:dyDescent="0.2">
      <c r="A8298" s="2" t="s">
        <v>3521</v>
      </c>
      <c r="B8298" s="2" t="s">
        <v>364</v>
      </c>
      <c r="C8298" s="2">
        <v>652.33069999999998</v>
      </c>
      <c r="D8298" s="2">
        <f>HYPERLINK("http://mcb-m6.bioreg.kyushu-u.ac.jp/M3/20110318/F50621/1256/1", 84.56)</f>
        <v>84.56</v>
      </c>
      <c r="E8298" s="2">
        <v>59.07</v>
      </c>
      <c r="F8298" s="2">
        <v>2</v>
      </c>
      <c r="G8298" s="2" t="s">
        <v>9</v>
      </c>
    </row>
    <row r="8299" spans="1:7" x14ac:dyDescent="0.2">
      <c r="A8299" s="2" t="s">
        <v>3521</v>
      </c>
      <c r="B8299" s="2" t="s">
        <v>364</v>
      </c>
      <c r="C8299" s="2">
        <v>652.75919999999996</v>
      </c>
      <c r="D8299" s="2">
        <f>HYPERLINK("http://mcb-m6.bioreg.kyushu-u.ac.jp/M3/20110318/F50609/1384/1", 84.9)</f>
        <v>84.9</v>
      </c>
      <c r="E8299" s="2">
        <v>63.5</v>
      </c>
      <c r="F8299" s="2">
        <v>2</v>
      </c>
      <c r="G8299" s="2" t="s">
        <v>9</v>
      </c>
    </row>
    <row r="8300" spans="1:7" x14ac:dyDescent="0.2">
      <c r="A8300" s="2" t="s">
        <v>3521</v>
      </c>
      <c r="B8300" s="2" t="s">
        <v>364</v>
      </c>
      <c r="C8300" s="2">
        <v>652.25459999999998</v>
      </c>
      <c r="D8300" s="2">
        <f>HYPERLINK("http://mcb-m6.bioreg.kyushu-u.ac.jp/M3/20110318/F50621/1249/1", 86.46)</f>
        <v>86.46</v>
      </c>
      <c r="E8300" s="2">
        <v>55.31</v>
      </c>
      <c r="F8300" s="2">
        <v>2</v>
      </c>
      <c r="G8300" s="2" t="s">
        <v>9</v>
      </c>
    </row>
    <row r="8301" spans="1:7" x14ac:dyDescent="0.2">
      <c r="A8301" s="2" t="s">
        <v>3521</v>
      </c>
      <c r="B8301" s="2" t="s">
        <v>364</v>
      </c>
      <c r="C8301" s="2">
        <v>652.25519999999995</v>
      </c>
      <c r="D8301" s="2">
        <f>HYPERLINK("http://mcb-m6.bioreg.kyushu-u.ac.jp/M3/20110318/F50621/1250/1", 91.41)</f>
        <v>91.41</v>
      </c>
      <c r="E8301" s="2">
        <v>63.77</v>
      </c>
      <c r="F8301" s="2">
        <v>2</v>
      </c>
      <c r="G8301" s="2" t="s">
        <v>9</v>
      </c>
    </row>
    <row r="8302" spans="1:7" x14ac:dyDescent="0.2">
      <c r="A8302" s="2" t="s">
        <v>3521</v>
      </c>
      <c r="B8302" s="2" t="s">
        <v>364</v>
      </c>
      <c r="C8302" s="2">
        <v>1303.3810000000001</v>
      </c>
      <c r="D8302" s="2">
        <f>HYPERLINK("http://mcb-m6.bioreg.kyushu-u.ac.jp/M3/20110318/F50622/1169/1", 40.77)</f>
        <v>40.770000000000003</v>
      </c>
      <c r="E8302" s="2">
        <v>24.06</v>
      </c>
      <c r="F8302" s="2">
        <v>1</v>
      </c>
      <c r="G8302" s="2" t="s">
        <v>10</v>
      </c>
    </row>
    <row r="8303" spans="1:7" x14ac:dyDescent="0.2">
      <c r="A8303" s="2" t="s">
        <v>3521</v>
      </c>
      <c r="B8303" s="2" t="s">
        <v>364</v>
      </c>
      <c r="C8303" s="2">
        <v>652.31769999999995</v>
      </c>
      <c r="D8303" s="2">
        <f>HYPERLINK("http://mcb-m6.bioreg.kyushu-u.ac.jp/M3/20110318/F50617/1265/1", 41.77)</f>
        <v>41.77</v>
      </c>
      <c r="E8303" s="2">
        <v>22.31</v>
      </c>
      <c r="F8303" s="2">
        <v>2</v>
      </c>
      <c r="G8303" s="2" t="s">
        <v>10</v>
      </c>
    </row>
    <row r="8304" spans="1:7" x14ac:dyDescent="0.2">
      <c r="A8304" s="2" t="s">
        <v>3521</v>
      </c>
      <c r="B8304" s="2" t="s">
        <v>364</v>
      </c>
      <c r="C8304" s="2">
        <v>1303.597</v>
      </c>
      <c r="D8304" s="2">
        <f>HYPERLINK("http://mcb-m6.bioreg.kyushu-u.ac.jp/M3/20110318/F50600/1329/1", 45.76)</f>
        <v>45.76</v>
      </c>
      <c r="E8304" s="2">
        <v>31.44</v>
      </c>
      <c r="F8304" s="2">
        <v>1</v>
      </c>
      <c r="G8304" s="2" t="s">
        <v>10</v>
      </c>
    </row>
    <row r="8305" spans="1:7" x14ac:dyDescent="0.2">
      <c r="A8305" s="2" t="s">
        <v>3521</v>
      </c>
      <c r="B8305" s="2" t="s">
        <v>364</v>
      </c>
      <c r="C8305" s="2">
        <v>652.34559999999999</v>
      </c>
      <c r="D8305" s="2">
        <f>HYPERLINK("http://mcb-m6.bioreg.kyushu-u.ac.jp/M3/20110318/F50617/1266/1", 45.86)</f>
        <v>45.86</v>
      </c>
      <c r="E8305" s="2">
        <v>28.51</v>
      </c>
      <c r="F8305" s="2">
        <v>2</v>
      </c>
      <c r="G8305" s="2" t="s">
        <v>10</v>
      </c>
    </row>
    <row r="8306" spans="1:7" x14ac:dyDescent="0.2">
      <c r="A8306" s="2" t="s">
        <v>3521</v>
      </c>
      <c r="B8306" s="2" t="s">
        <v>364</v>
      </c>
      <c r="C8306" s="2">
        <v>1303.3499999999999</v>
      </c>
      <c r="D8306" s="2">
        <f>HYPERLINK("http://mcb-m6.bioreg.kyushu-u.ac.jp/M3/20110318/F50617/1259/1", 46.96)</f>
        <v>46.96</v>
      </c>
      <c r="E8306" s="2">
        <v>34.64</v>
      </c>
      <c r="F8306" s="2">
        <v>1</v>
      </c>
      <c r="G8306" s="2" t="s">
        <v>10</v>
      </c>
    </row>
    <row r="8307" spans="1:7" x14ac:dyDescent="0.2">
      <c r="A8307" s="2" t="s">
        <v>3521</v>
      </c>
      <c r="B8307" s="2" t="s">
        <v>364</v>
      </c>
      <c r="C8307" s="2">
        <v>1303.489</v>
      </c>
      <c r="D8307" s="2">
        <f>HYPERLINK("http://mcb-m6.bioreg.kyushu-u.ac.jp/M3/20110318/F50599/1462/1", 55.38)</f>
        <v>55.38</v>
      </c>
      <c r="E8307" s="2">
        <v>45.69</v>
      </c>
      <c r="F8307" s="2">
        <v>1</v>
      </c>
      <c r="G8307" s="2" t="s">
        <v>10</v>
      </c>
    </row>
    <row r="8308" spans="1:7" x14ac:dyDescent="0.2">
      <c r="A8308" s="2" t="s">
        <v>3521</v>
      </c>
      <c r="B8308" s="2" t="s">
        <v>364</v>
      </c>
      <c r="C8308" s="2">
        <v>652.38419999999996</v>
      </c>
      <c r="D8308" s="2">
        <f>HYPERLINK("http://mcb-m6.bioreg.kyushu-u.ac.jp/M3/20110318/F50600/1331/1", 56.94)</f>
        <v>56.94</v>
      </c>
      <c r="E8308" s="2">
        <v>37.29</v>
      </c>
      <c r="F8308" s="2">
        <v>2</v>
      </c>
      <c r="G8308" s="2" t="s">
        <v>10</v>
      </c>
    </row>
    <row r="8309" spans="1:7" x14ac:dyDescent="0.2">
      <c r="A8309" s="2" t="s">
        <v>3521</v>
      </c>
      <c r="B8309" s="2" t="s">
        <v>364</v>
      </c>
      <c r="C8309" s="2">
        <v>652.31669999999997</v>
      </c>
      <c r="D8309" s="2">
        <f>HYPERLINK("http://mcb-m6.bioreg.kyushu-u.ac.jp/M3/20110318/F50617/1264/1", 57.61)</f>
        <v>57.61</v>
      </c>
      <c r="E8309" s="2">
        <v>33.200000000000003</v>
      </c>
      <c r="F8309" s="2">
        <v>2</v>
      </c>
      <c r="G8309" s="2" t="s">
        <v>10</v>
      </c>
    </row>
    <row r="8310" spans="1:7" x14ac:dyDescent="0.2">
      <c r="A8310" s="2" t="s">
        <v>3521</v>
      </c>
      <c r="B8310" s="2" t="s">
        <v>364</v>
      </c>
      <c r="C8310" s="2">
        <v>652.16859999999997</v>
      </c>
      <c r="D8310" s="2">
        <f>HYPERLINK("http://mcb-m6.bioreg.kyushu-u.ac.jp/M3/20110318/F50617/1257/1", 61.47)</f>
        <v>61.47</v>
      </c>
      <c r="E8310" s="2">
        <v>24.09</v>
      </c>
      <c r="F8310" s="2">
        <v>2</v>
      </c>
      <c r="G8310" s="2" t="s">
        <v>10</v>
      </c>
    </row>
    <row r="8311" spans="1:7" x14ac:dyDescent="0.2">
      <c r="A8311" s="2" t="s">
        <v>3521</v>
      </c>
      <c r="B8311" s="2" t="s">
        <v>364</v>
      </c>
      <c r="C8311" s="2">
        <v>651.96259999999995</v>
      </c>
      <c r="D8311" s="2">
        <f>HYPERLINK("http://mcb-m6.bioreg.kyushu-u.ac.jp/M3/20110318/F50617/1254/1", 62.85)</f>
        <v>62.85</v>
      </c>
      <c r="E8311" s="2">
        <v>17.760000000000002</v>
      </c>
      <c r="F8311" s="2">
        <v>2</v>
      </c>
      <c r="G8311" s="2" t="s">
        <v>10</v>
      </c>
    </row>
    <row r="8312" spans="1:7" x14ac:dyDescent="0.2">
      <c r="A8312" s="2" t="s">
        <v>3521</v>
      </c>
      <c r="B8312" s="2" t="s">
        <v>364</v>
      </c>
      <c r="C8312" s="2">
        <v>652.08720000000005</v>
      </c>
      <c r="D8312" s="2">
        <f>HYPERLINK("http://mcb-m6.bioreg.kyushu-u.ac.jp/M3/20110318/F50622/1168/1", 64.38)</f>
        <v>64.38</v>
      </c>
      <c r="E8312" s="2">
        <v>45.4</v>
      </c>
      <c r="F8312" s="2">
        <v>2</v>
      </c>
      <c r="G8312" s="2" t="s">
        <v>10</v>
      </c>
    </row>
    <row r="8313" spans="1:7" x14ac:dyDescent="0.2">
      <c r="A8313" s="2" t="s">
        <v>3521</v>
      </c>
      <c r="B8313" s="2" t="s">
        <v>364</v>
      </c>
      <c r="C8313" s="2">
        <v>652.19420000000002</v>
      </c>
      <c r="D8313" s="2">
        <f>HYPERLINK("http://mcb-m6.bioreg.kyushu-u.ac.jp/M3/20110318/F50617/1261/1", 65.41)</f>
        <v>65.41</v>
      </c>
      <c r="E8313" s="2">
        <v>17.87</v>
      </c>
      <c r="F8313" s="2">
        <v>2</v>
      </c>
      <c r="G8313" s="2" t="s">
        <v>10</v>
      </c>
    </row>
    <row r="8314" spans="1:7" x14ac:dyDescent="0.2">
      <c r="A8314" s="2" t="s">
        <v>3521</v>
      </c>
      <c r="B8314" s="2" t="s">
        <v>364</v>
      </c>
      <c r="C8314" s="2">
        <v>652.17169999999999</v>
      </c>
      <c r="D8314" s="2">
        <f>HYPERLINK("http://mcb-m6.bioreg.kyushu-u.ac.jp/M3/20110318/F50617/1258/1", 72.14)</f>
        <v>72.14</v>
      </c>
      <c r="E8314" s="2">
        <v>30.34</v>
      </c>
      <c r="F8314" s="2">
        <v>2</v>
      </c>
      <c r="G8314" s="2" t="s">
        <v>10</v>
      </c>
    </row>
    <row r="8315" spans="1:7" x14ac:dyDescent="0.2">
      <c r="A8315" s="2" t="s">
        <v>3521</v>
      </c>
      <c r="B8315" s="2" t="s">
        <v>364</v>
      </c>
      <c r="C8315" s="2">
        <v>652.24519999999995</v>
      </c>
      <c r="D8315" s="2">
        <f>HYPERLINK("http://mcb-m6.bioreg.kyushu-u.ac.jp/M3/20110318/F50617/1262/1", 82.48)</f>
        <v>82.48</v>
      </c>
      <c r="E8315" s="2">
        <v>46.17</v>
      </c>
      <c r="F8315" s="2">
        <v>2</v>
      </c>
      <c r="G8315" s="2" t="s">
        <v>10</v>
      </c>
    </row>
    <row r="8316" spans="1:7" x14ac:dyDescent="0.2">
      <c r="A8316" s="2" t="s">
        <v>3521</v>
      </c>
      <c r="B8316" s="2" t="s">
        <v>364</v>
      </c>
      <c r="C8316" s="2">
        <v>652.14009999999996</v>
      </c>
      <c r="D8316" s="2">
        <f>HYPERLINK("http://mcb-m6.bioreg.kyushu-u.ac.jp/M3/20110318/F50617/1256/1", 82.49)</f>
        <v>82.49</v>
      </c>
      <c r="E8316" s="2">
        <v>56.94</v>
      </c>
      <c r="F8316" s="2">
        <v>2</v>
      </c>
      <c r="G8316" s="2" t="s">
        <v>10</v>
      </c>
    </row>
    <row r="8317" spans="1:7" x14ac:dyDescent="0.2">
      <c r="A8317" s="2" t="s">
        <v>3521</v>
      </c>
      <c r="B8317" s="2" t="s">
        <v>364</v>
      </c>
      <c r="C8317" s="2">
        <v>652.85270000000003</v>
      </c>
      <c r="D8317" s="2">
        <f>HYPERLINK("http://mcb-m6.bioreg.kyushu-u.ac.jp/M3/20110318/F50600/1333/1", 85.51)</f>
        <v>85.51</v>
      </c>
      <c r="E8317" s="2">
        <v>63.04</v>
      </c>
      <c r="F8317" s="2">
        <v>2</v>
      </c>
      <c r="G8317" s="2" t="s">
        <v>10</v>
      </c>
    </row>
    <row r="8318" spans="1:7" x14ac:dyDescent="0.2">
      <c r="A8318" s="2" t="s">
        <v>3521</v>
      </c>
      <c r="B8318" s="2" t="s">
        <v>364</v>
      </c>
      <c r="C8318" s="2">
        <v>652.88959999999997</v>
      </c>
      <c r="D8318" s="2">
        <f>HYPERLINK("http://mcb-m6.bioreg.kyushu-u.ac.jp/M3/20110318/F50596/1357/1", 88.05)</f>
        <v>88.05</v>
      </c>
      <c r="E8318" s="2">
        <v>68.64</v>
      </c>
      <c r="F8318" s="2">
        <v>2</v>
      </c>
      <c r="G8318" s="2" t="s">
        <v>10</v>
      </c>
    </row>
    <row r="8319" spans="1:7" x14ac:dyDescent="0.2">
      <c r="A8319" s="2" t="s">
        <v>3521</v>
      </c>
      <c r="B8319" s="2" t="s">
        <v>364</v>
      </c>
      <c r="C8319" s="2">
        <v>651.96810000000005</v>
      </c>
      <c r="D8319" s="2">
        <f>HYPERLINK("http://mcb-m6.bioreg.kyushu-u.ac.jp/M3/20110318/F50617/1255/1", 88.3)</f>
        <v>88.3</v>
      </c>
      <c r="E8319" s="2">
        <v>58.47</v>
      </c>
      <c r="F8319" s="2">
        <v>2</v>
      </c>
      <c r="G8319" s="2" t="s">
        <v>10</v>
      </c>
    </row>
    <row r="8320" spans="1:7" x14ac:dyDescent="0.2">
      <c r="A8320" s="2" t="s">
        <v>3521</v>
      </c>
      <c r="B8320" s="2" t="s">
        <v>364</v>
      </c>
      <c r="C8320" s="2">
        <v>652.85860000000002</v>
      </c>
      <c r="D8320" s="2">
        <f>HYPERLINK("http://mcb-m6.bioreg.kyushu-u.ac.jp/M3/20110318/F50597/1281/1", 89.6)</f>
        <v>89.6</v>
      </c>
      <c r="E8320" s="2">
        <v>67.62</v>
      </c>
      <c r="F8320" s="2">
        <v>2</v>
      </c>
      <c r="G8320" s="2" t="s">
        <v>10</v>
      </c>
    </row>
    <row r="8321" spans="1:7" x14ac:dyDescent="0.2">
      <c r="A8321" s="2" t="s">
        <v>3521</v>
      </c>
      <c r="B8321" s="2" t="s">
        <v>364</v>
      </c>
      <c r="C8321" s="2">
        <v>652.80269999999996</v>
      </c>
      <c r="D8321" s="2">
        <f>HYPERLINK("http://mcb-m6.bioreg.kyushu-u.ac.jp/M3/20110318/F50622/1171/1", 91.65)</f>
        <v>91.65</v>
      </c>
      <c r="E8321" s="2">
        <v>70.3</v>
      </c>
      <c r="F8321" s="2">
        <v>2</v>
      </c>
      <c r="G8321" s="2" t="s">
        <v>10</v>
      </c>
    </row>
    <row r="8322" spans="1:7" x14ac:dyDescent="0.2">
      <c r="A8322" s="2" t="s">
        <v>3521</v>
      </c>
      <c r="B8322" s="2" t="s">
        <v>364</v>
      </c>
      <c r="C8322" s="2">
        <v>652.42319999999995</v>
      </c>
      <c r="D8322" s="2">
        <f>HYPERLINK("http://mcb-m6.bioreg.kyushu-u.ac.jp/M3/20110318/F50612/1310/1", 91.83)</f>
        <v>91.83</v>
      </c>
      <c r="E8322" s="2">
        <v>76.67</v>
      </c>
      <c r="F8322" s="2">
        <v>2</v>
      </c>
      <c r="G8322" s="2" t="s">
        <v>10</v>
      </c>
    </row>
    <row r="8323" spans="1:7" x14ac:dyDescent="0.2">
      <c r="A8323" s="2" t="s">
        <v>3521</v>
      </c>
      <c r="B8323" s="2" t="s">
        <v>364</v>
      </c>
      <c r="C8323" s="2">
        <v>652.40060000000005</v>
      </c>
      <c r="D8323" s="2">
        <f>HYPERLINK("http://mcb-m6.bioreg.kyushu-u.ac.jp/M3/20110318/F50600/1332/1", 92)</f>
        <v>92</v>
      </c>
      <c r="E8323" s="2">
        <v>71.05</v>
      </c>
      <c r="F8323" s="2">
        <v>2</v>
      </c>
      <c r="G8323" s="2" t="s">
        <v>10</v>
      </c>
    </row>
    <row r="8324" spans="1:7" x14ac:dyDescent="0.2">
      <c r="A8324" s="2" t="s">
        <v>3521</v>
      </c>
      <c r="B8324" s="2" t="s">
        <v>364</v>
      </c>
      <c r="C8324" s="2">
        <v>652.28020000000004</v>
      </c>
      <c r="D8324" s="2">
        <f>HYPERLINK("http://mcb-m6.bioreg.kyushu-u.ac.jp/M3/20110318/F50617/1263/1", 93.73)</f>
        <v>93.73</v>
      </c>
      <c r="E8324" s="2">
        <v>47.54</v>
      </c>
      <c r="F8324" s="2">
        <v>2</v>
      </c>
      <c r="G8324" s="2" t="s">
        <v>10</v>
      </c>
    </row>
    <row r="8325" spans="1:7" x14ac:dyDescent="0.2">
      <c r="A8325" s="2" t="s">
        <v>3521</v>
      </c>
      <c r="B8325" s="2" t="s">
        <v>364</v>
      </c>
      <c r="C8325" s="2">
        <v>652.76760000000002</v>
      </c>
      <c r="D8325" s="2">
        <f>HYPERLINK("http://mcb-m6.bioreg.kyushu-u.ac.jp/M3/20110318/F50617/1267/1", 93.98)</f>
        <v>93.98</v>
      </c>
      <c r="E8325" s="2">
        <v>73.44</v>
      </c>
      <c r="F8325" s="2">
        <v>2</v>
      </c>
      <c r="G8325" s="2" t="s">
        <v>10</v>
      </c>
    </row>
    <row r="8326" spans="1:7" x14ac:dyDescent="0.2">
      <c r="A8326" s="2" t="s">
        <v>3521</v>
      </c>
      <c r="B8326" s="2" t="s">
        <v>364</v>
      </c>
      <c r="C8326" s="2">
        <v>652.82069999999999</v>
      </c>
      <c r="D8326" s="2">
        <f>HYPERLINK("http://mcb-m6.bioreg.kyushu-u.ac.jp/M3/20110418/F50979/1769/1", 41.84)</f>
        <v>41.84</v>
      </c>
      <c r="E8326" s="2">
        <v>25.9</v>
      </c>
      <c r="F8326" s="2">
        <v>2</v>
      </c>
      <c r="G8326" s="2" t="s">
        <v>11</v>
      </c>
    </row>
    <row r="8327" spans="1:7" x14ac:dyDescent="0.2">
      <c r="A8327" s="2" t="s">
        <v>3521</v>
      </c>
      <c r="B8327" s="2" t="s">
        <v>364</v>
      </c>
      <c r="C8327" s="2">
        <v>1303.51</v>
      </c>
      <c r="D8327" s="2">
        <f>HYPERLINK("http://mcb-m6.bioreg.kyushu-u.ac.jp/M3/20110418/F50972/1879/1", 44.01)</f>
        <v>44.01</v>
      </c>
      <c r="E8327" s="2">
        <v>26.33</v>
      </c>
      <c r="F8327" s="2">
        <v>1</v>
      </c>
      <c r="G8327" s="2" t="s">
        <v>11</v>
      </c>
    </row>
    <row r="8328" spans="1:7" x14ac:dyDescent="0.2">
      <c r="A8328" s="2" t="s">
        <v>3521</v>
      </c>
      <c r="B8328" s="2" t="s">
        <v>364</v>
      </c>
      <c r="C8328" s="2">
        <v>652.9067</v>
      </c>
      <c r="D8328" s="2">
        <f>HYPERLINK("http://mcb-m6.bioreg.kyushu-u.ac.jp/M3/20110418/F50973/1823/1", 54.28)</f>
        <v>54.28</v>
      </c>
      <c r="E8328" s="2">
        <v>26.75</v>
      </c>
      <c r="F8328" s="2">
        <v>2</v>
      </c>
      <c r="G8328" s="2" t="s">
        <v>11</v>
      </c>
    </row>
    <row r="8329" spans="1:7" x14ac:dyDescent="0.2">
      <c r="A8329" s="2" t="s">
        <v>3521</v>
      </c>
      <c r="B8329" s="2" t="s">
        <v>364</v>
      </c>
      <c r="C8329" s="2">
        <v>652.08119999999997</v>
      </c>
      <c r="D8329" s="2">
        <f>HYPERLINK("http://mcb-m6.bioreg.kyushu-u.ac.jp/M3/20110418/F50972/1875/1", 59.61)</f>
        <v>59.61</v>
      </c>
      <c r="E8329" s="2">
        <v>35.93</v>
      </c>
      <c r="F8329" s="2">
        <v>2</v>
      </c>
      <c r="G8329" s="2" t="s">
        <v>11</v>
      </c>
    </row>
    <row r="8330" spans="1:7" x14ac:dyDescent="0.2">
      <c r="A8330" s="2" t="s">
        <v>3521</v>
      </c>
      <c r="B8330" s="2" t="s">
        <v>364</v>
      </c>
      <c r="C8330" s="2">
        <v>652.79060000000004</v>
      </c>
      <c r="D8330" s="2">
        <f>HYPERLINK("http://mcb-m6.bioreg.kyushu-u.ac.jp/M3/20110418/F50975/1484/1", 63.43)</f>
        <v>63.43</v>
      </c>
      <c r="E8330" s="2">
        <v>48.53</v>
      </c>
      <c r="F8330" s="2">
        <v>2</v>
      </c>
      <c r="G8330" s="2" t="s">
        <v>11</v>
      </c>
    </row>
    <row r="8331" spans="1:7" x14ac:dyDescent="0.2">
      <c r="A8331" s="2" t="s">
        <v>3521</v>
      </c>
      <c r="B8331" s="2" t="s">
        <v>364</v>
      </c>
      <c r="C8331" s="2">
        <v>652.01620000000003</v>
      </c>
      <c r="D8331" s="2">
        <f>HYPERLINK("http://mcb-m6.bioreg.kyushu-u.ac.jp/M3/20110418/F50969/1836/1", 67.47)</f>
        <v>67.47</v>
      </c>
      <c r="E8331" s="2">
        <v>38.07</v>
      </c>
      <c r="F8331" s="2">
        <v>2</v>
      </c>
      <c r="G8331" s="2" t="s">
        <v>11</v>
      </c>
    </row>
    <row r="8332" spans="1:7" x14ac:dyDescent="0.2">
      <c r="A8332" s="2" t="s">
        <v>3521</v>
      </c>
      <c r="B8332" s="2" t="s">
        <v>364</v>
      </c>
      <c r="C8332" s="2">
        <v>652.12919999999997</v>
      </c>
      <c r="D8332" s="2">
        <f>HYPERLINK("http://mcb-m6.bioreg.kyushu-u.ac.jp/M3/20110418/F50972/1877/1", 82.56)</f>
        <v>82.56</v>
      </c>
      <c r="E8332" s="2">
        <v>62.81</v>
      </c>
      <c r="F8332" s="2">
        <v>2</v>
      </c>
      <c r="G8332" s="2" t="s">
        <v>11</v>
      </c>
    </row>
    <row r="8333" spans="1:7" x14ac:dyDescent="0.2">
      <c r="A8333" s="2" t="s">
        <v>3521</v>
      </c>
      <c r="B8333" s="2" t="s">
        <v>364</v>
      </c>
      <c r="C8333" s="2">
        <v>652.54610000000002</v>
      </c>
      <c r="D8333" s="2">
        <f>HYPERLINK("http://mcb-m6.bioreg.kyushu-u.ac.jp/M3/20110418/F50969/1838/1", 82.71)</f>
        <v>82.71</v>
      </c>
      <c r="E8333" s="2">
        <v>57.59</v>
      </c>
      <c r="F8333" s="2">
        <v>2</v>
      </c>
      <c r="G8333" s="2" t="s">
        <v>11</v>
      </c>
    </row>
    <row r="8334" spans="1:7" x14ac:dyDescent="0.2">
      <c r="A8334" s="2" t="s">
        <v>3521</v>
      </c>
      <c r="B8334" s="2" t="s">
        <v>364</v>
      </c>
      <c r="C8334" s="2">
        <v>652.7731</v>
      </c>
      <c r="D8334" s="2">
        <f>HYPERLINK("http://mcb-m6.bioreg.kyushu-u.ac.jp/M3/20110418/F50972/1880/1", 84.82)</f>
        <v>84.82</v>
      </c>
      <c r="E8334" s="2">
        <v>63.6</v>
      </c>
      <c r="F8334" s="2">
        <v>2</v>
      </c>
      <c r="G8334" s="2" t="s">
        <v>11</v>
      </c>
    </row>
    <row r="8335" spans="1:7" x14ac:dyDescent="0.2">
      <c r="A8335" s="2" t="s">
        <v>3521</v>
      </c>
      <c r="B8335" s="2" t="s">
        <v>364</v>
      </c>
      <c r="C8335" s="2">
        <v>652.17269999999996</v>
      </c>
      <c r="D8335" s="2">
        <f>HYPERLINK("http://mcb-m6.bioreg.kyushu-u.ac.jp/M3/20110418/F50972/1878/1", 86.47)</f>
        <v>86.47</v>
      </c>
      <c r="E8335" s="2">
        <v>63.04</v>
      </c>
      <c r="F8335" s="2">
        <v>2</v>
      </c>
      <c r="G8335" s="2" t="s">
        <v>11</v>
      </c>
    </row>
    <row r="8336" spans="1:7" x14ac:dyDescent="0.2">
      <c r="A8336" s="2" t="s">
        <v>3521</v>
      </c>
      <c r="B8336" s="2" t="s">
        <v>364</v>
      </c>
      <c r="C8336" s="2">
        <v>652.73910000000001</v>
      </c>
      <c r="D8336" s="2">
        <f>HYPERLINK("http://mcb-m6.bioreg.kyushu-u.ac.jp/M3/20110418/F50999/1669/1", 88.12)</f>
        <v>88.12</v>
      </c>
      <c r="E8336" s="2">
        <v>66.95</v>
      </c>
      <c r="F8336" s="2">
        <v>2</v>
      </c>
      <c r="G8336" s="2" t="s">
        <v>11</v>
      </c>
    </row>
    <row r="8337" spans="1:7" x14ac:dyDescent="0.2">
      <c r="A8337" s="2" t="s">
        <v>3521</v>
      </c>
      <c r="B8337" s="2" t="s">
        <v>364</v>
      </c>
      <c r="C8337" s="2">
        <v>652.09220000000005</v>
      </c>
      <c r="D8337" s="2">
        <f>HYPERLINK("http://mcb-m6.bioreg.kyushu-u.ac.jp/M3/20110418/F50972/1876/1", 102.59)</f>
        <v>102.59</v>
      </c>
      <c r="E8337" s="2">
        <v>82.63</v>
      </c>
      <c r="F8337" s="2">
        <v>2</v>
      </c>
      <c r="G8337" s="2" t="s">
        <v>11</v>
      </c>
    </row>
    <row r="8338" spans="1:7" x14ac:dyDescent="0.2">
      <c r="A8338" s="2" t="s">
        <v>3521</v>
      </c>
      <c r="B8338" s="2" t="s">
        <v>364</v>
      </c>
      <c r="C8338" s="2">
        <v>652.10519999999997</v>
      </c>
      <c r="D8338" s="2">
        <f>HYPERLINK("http://mcb-m6.bioreg.kyushu-u.ac.jp/M3/20110418/F50973/1821/1", 103.48)</f>
        <v>103.48</v>
      </c>
      <c r="E8338" s="2">
        <v>77.88</v>
      </c>
      <c r="F8338" s="2">
        <v>2</v>
      </c>
      <c r="G8338" s="2" t="s">
        <v>11</v>
      </c>
    </row>
    <row r="8339" spans="1:7" x14ac:dyDescent="0.2">
      <c r="A8339" s="2" t="s">
        <v>3521</v>
      </c>
      <c r="B8339" s="2" t="s">
        <v>364</v>
      </c>
      <c r="C8339" s="2">
        <v>652.73569999999995</v>
      </c>
      <c r="D8339" s="2">
        <f>HYPERLINK("http://mcb-m6.bioreg.kyushu-u.ac.jp/M3/20110418/F50982/1991/1", 38.95)</f>
        <v>38.950000000000003</v>
      </c>
      <c r="E8339" s="2">
        <v>16.04</v>
      </c>
      <c r="F8339" s="2">
        <v>2</v>
      </c>
      <c r="G8339" s="2" t="s">
        <v>12</v>
      </c>
    </row>
    <row r="8340" spans="1:7" x14ac:dyDescent="0.2">
      <c r="A8340" s="2" t="s">
        <v>3521</v>
      </c>
      <c r="B8340" s="2" t="s">
        <v>364</v>
      </c>
      <c r="C8340" s="2">
        <v>1303.5160000000001</v>
      </c>
      <c r="D8340" s="2">
        <f>HYPERLINK("http://mcb-m6.bioreg.kyushu-u.ac.jp/M3/20110418/F50982/1988/1", 48.34)</f>
        <v>48.34</v>
      </c>
      <c r="E8340" s="2">
        <v>39.99</v>
      </c>
      <c r="F8340" s="2">
        <v>1</v>
      </c>
      <c r="G8340" s="2" t="s">
        <v>12</v>
      </c>
    </row>
    <row r="8341" spans="1:7" x14ac:dyDescent="0.2">
      <c r="A8341" s="2" t="s">
        <v>3521</v>
      </c>
      <c r="B8341" s="2" t="s">
        <v>364</v>
      </c>
      <c r="C8341" s="2">
        <v>652.79060000000004</v>
      </c>
      <c r="D8341" s="2">
        <f>HYPERLINK("http://mcb-m6.bioreg.kyushu-u.ac.jp/M3/20110418/F50988/1805/1", 49.45)</f>
        <v>49.45</v>
      </c>
      <c r="E8341" s="2">
        <v>32.840000000000003</v>
      </c>
      <c r="F8341" s="2">
        <v>2</v>
      </c>
      <c r="G8341" s="2" t="s">
        <v>12</v>
      </c>
    </row>
    <row r="8342" spans="1:7" x14ac:dyDescent="0.2">
      <c r="A8342" s="2" t="s">
        <v>3521</v>
      </c>
      <c r="B8342" s="2" t="s">
        <v>364</v>
      </c>
      <c r="C8342" s="2">
        <v>652.87019999999995</v>
      </c>
      <c r="D8342" s="2">
        <f>HYPERLINK("http://mcb-m6.bioreg.kyushu-u.ac.jp/M3/20110418/F50981/1950/1", 50.51)</f>
        <v>50.51</v>
      </c>
      <c r="E8342" s="2">
        <v>32.04</v>
      </c>
      <c r="F8342" s="2">
        <v>2</v>
      </c>
      <c r="G8342" s="2" t="s">
        <v>12</v>
      </c>
    </row>
    <row r="8343" spans="1:7" x14ac:dyDescent="0.2">
      <c r="A8343" s="2" t="s">
        <v>3521</v>
      </c>
      <c r="B8343" s="2" t="s">
        <v>364</v>
      </c>
      <c r="C8343" s="2">
        <v>652.84559999999999</v>
      </c>
      <c r="D8343" s="2">
        <f>HYPERLINK("http://mcb-m6.bioreg.kyushu-u.ac.jp/M3/20110418/F50982/1993/1", 55.88)</f>
        <v>55.88</v>
      </c>
      <c r="E8343" s="2">
        <v>41.8</v>
      </c>
      <c r="F8343" s="2">
        <v>2</v>
      </c>
      <c r="G8343" s="2" t="s">
        <v>12</v>
      </c>
    </row>
    <row r="8344" spans="1:7" x14ac:dyDescent="0.2">
      <c r="A8344" s="2" t="s">
        <v>3521</v>
      </c>
      <c r="B8344" s="2" t="s">
        <v>364</v>
      </c>
      <c r="C8344" s="2">
        <v>652.90719999999999</v>
      </c>
      <c r="D8344" s="2">
        <f>HYPERLINK("http://mcb-m6.bioreg.kyushu-u.ac.jp/M3/20110418/F50982/1994/1", 61.28)</f>
        <v>61.28</v>
      </c>
      <c r="E8344" s="2">
        <v>41.82</v>
      </c>
      <c r="F8344" s="2">
        <v>2</v>
      </c>
      <c r="G8344" s="2" t="s">
        <v>12</v>
      </c>
    </row>
    <row r="8345" spans="1:7" x14ac:dyDescent="0.2">
      <c r="A8345" s="2" t="s">
        <v>3521</v>
      </c>
      <c r="B8345" s="2" t="s">
        <v>364</v>
      </c>
      <c r="C8345" s="2">
        <v>652.54909999999995</v>
      </c>
      <c r="D8345" s="2">
        <f>HYPERLINK("http://mcb-m6.bioreg.kyushu-u.ac.jp/M3/20110418/F50983/1842/1", 63)</f>
        <v>63</v>
      </c>
      <c r="E8345" s="2">
        <v>39.159999999999997</v>
      </c>
      <c r="F8345" s="2">
        <v>2</v>
      </c>
      <c r="G8345" s="2" t="s">
        <v>12</v>
      </c>
    </row>
    <row r="8346" spans="1:7" x14ac:dyDescent="0.2">
      <c r="A8346" s="2" t="s">
        <v>3521</v>
      </c>
      <c r="B8346" s="2" t="s">
        <v>364</v>
      </c>
      <c r="C8346" s="2">
        <v>651.99620000000004</v>
      </c>
      <c r="D8346" s="2">
        <f>HYPERLINK("http://mcb-m6.bioreg.kyushu-u.ac.jp/M3/20110418/F50982/1985/1", 80)</f>
        <v>80</v>
      </c>
      <c r="E8346" s="2">
        <v>61.11</v>
      </c>
      <c r="F8346" s="2">
        <v>2</v>
      </c>
      <c r="G8346" s="2" t="s">
        <v>12</v>
      </c>
    </row>
    <row r="8347" spans="1:7" x14ac:dyDescent="0.2">
      <c r="A8347" s="2" t="s">
        <v>3521</v>
      </c>
      <c r="B8347" s="2" t="s">
        <v>364</v>
      </c>
      <c r="C8347" s="2">
        <v>652.65060000000005</v>
      </c>
      <c r="D8347" s="2">
        <f>HYPERLINK("http://mcb-m6.bioreg.kyushu-u.ac.jp/M3/20110418/F50982/1990/1", 83.4)</f>
        <v>83.4</v>
      </c>
      <c r="E8347" s="2">
        <v>63.54</v>
      </c>
      <c r="F8347" s="2">
        <v>2</v>
      </c>
      <c r="G8347" s="2" t="s">
        <v>12</v>
      </c>
    </row>
    <row r="8348" spans="1:7" x14ac:dyDescent="0.2">
      <c r="A8348" s="2" t="s">
        <v>3521</v>
      </c>
      <c r="B8348" s="2" t="s">
        <v>364</v>
      </c>
      <c r="C8348" s="2">
        <v>652.73659999999995</v>
      </c>
      <c r="D8348" s="2">
        <f>HYPERLINK("http://mcb-m6.bioreg.kyushu-u.ac.jp/M3/20110418/F50982/1992/1", 83.69)</f>
        <v>83.69</v>
      </c>
      <c r="E8348" s="2">
        <v>62.16</v>
      </c>
      <c r="F8348" s="2">
        <v>2</v>
      </c>
      <c r="G8348" s="2" t="s">
        <v>12</v>
      </c>
    </row>
    <row r="8349" spans="1:7" x14ac:dyDescent="0.2">
      <c r="A8349" s="2" t="s">
        <v>3521</v>
      </c>
      <c r="B8349" s="2" t="s">
        <v>364</v>
      </c>
      <c r="C8349" s="2">
        <v>652.09010000000001</v>
      </c>
      <c r="D8349" s="2">
        <f>HYPERLINK("http://mcb-m6.bioreg.kyushu-u.ac.jp/M3/20110429/F51150/1791/1", 39.17)</f>
        <v>39.17</v>
      </c>
      <c r="E8349" s="2">
        <v>19.11</v>
      </c>
      <c r="F8349" s="2">
        <v>2</v>
      </c>
      <c r="G8349" s="2" t="s">
        <v>13</v>
      </c>
    </row>
    <row r="8350" spans="1:7" x14ac:dyDescent="0.2">
      <c r="A8350" s="2" t="s">
        <v>3521</v>
      </c>
      <c r="B8350" s="2" t="s">
        <v>364</v>
      </c>
      <c r="C8350" s="2">
        <v>1303.354</v>
      </c>
      <c r="D8350" s="2">
        <f>HYPERLINK("http://mcb-m6.bioreg.kyushu-u.ac.jp/M3/20110429/F51150/1795/1", 42.74)</f>
        <v>42.74</v>
      </c>
      <c r="E8350" s="2">
        <v>23.87</v>
      </c>
      <c r="F8350" s="2">
        <v>1</v>
      </c>
      <c r="G8350" s="2" t="s">
        <v>13</v>
      </c>
    </row>
    <row r="8351" spans="1:7" x14ac:dyDescent="0.2">
      <c r="A8351" s="2" t="s">
        <v>3521</v>
      </c>
      <c r="B8351" s="2" t="s">
        <v>364</v>
      </c>
      <c r="C8351" s="2">
        <v>652.17769999999996</v>
      </c>
      <c r="D8351" s="2">
        <f>HYPERLINK("http://mcb-m6.bioreg.kyushu-u.ac.jp/M3/20110429/F51151/1765/1", 47.22)</f>
        <v>47.22</v>
      </c>
      <c r="E8351" s="2">
        <v>25.25</v>
      </c>
      <c r="F8351" s="2">
        <v>2</v>
      </c>
      <c r="G8351" s="2" t="s">
        <v>13</v>
      </c>
    </row>
    <row r="8352" spans="1:7" x14ac:dyDescent="0.2">
      <c r="A8352" s="2" t="s">
        <v>3521</v>
      </c>
      <c r="B8352" s="2" t="s">
        <v>364</v>
      </c>
      <c r="C8352" s="2">
        <v>652.42819999999995</v>
      </c>
      <c r="D8352" s="2">
        <f>HYPERLINK("http://mcb-m6.bioreg.kyushu-u.ac.jp/M3/20110429/F51149/1815/1", 55.85)</f>
        <v>55.85</v>
      </c>
      <c r="E8352" s="2">
        <v>32.82</v>
      </c>
      <c r="F8352" s="2">
        <v>2</v>
      </c>
      <c r="G8352" s="2" t="s">
        <v>13</v>
      </c>
    </row>
    <row r="8353" spans="1:7" x14ac:dyDescent="0.2">
      <c r="A8353" s="2" t="s">
        <v>3521</v>
      </c>
      <c r="B8353" s="2" t="s">
        <v>364</v>
      </c>
      <c r="C8353" s="2">
        <v>652.61969999999997</v>
      </c>
      <c r="D8353" s="2">
        <f>HYPERLINK("http://mcb-m6.bioreg.kyushu-u.ac.jp/M3/20110429/F51151/1769/1", 62.99)</f>
        <v>62.99</v>
      </c>
      <c r="E8353" s="2">
        <v>40.130000000000003</v>
      </c>
      <c r="F8353" s="2">
        <v>2</v>
      </c>
      <c r="G8353" s="2" t="s">
        <v>13</v>
      </c>
    </row>
    <row r="8354" spans="1:7" x14ac:dyDescent="0.2">
      <c r="A8354" s="2" t="s">
        <v>3521</v>
      </c>
      <c r="B8354" s="2" t="s">
        <v>364</v>
      </c>
      <c r="C8354" s="2">
        <v>652.04420000000005</v>
      </c>
      <c r="D8354" s="2">
        <f>HYPERLINK("http://mcb-m6.bioreg.kyushu-u.ac.jp/M3/20110429/F51150/1788/1", 70.95)</f>
        <v>70.95</v>
      </c>
      <c r="E8354" s="2">
        <v>52.75</v>
      </c>
      <c r="F8354" s="2">
        <v>2</v>
      </c>
      <c r="G8354" s="2" t="s">
        <v>13</v>
      </c>
    </row>
    <row r="8355" spans="1:7" x14ac:dyDescent="0.2">
      <c r="A8355" s="2" t="s">
        <v>3521</v>
      </c>
      <c r="B8355" s="2" t="s">
        <v>364</v>
      </c>
      <c r="C8355" s="2">
        <v>652.59270000000004</v>
      </c>
      <c r="D8355" s="2">
        <f>HYPERLINK("http://mcb-m6.bioreg.kyushu-u.ac.jp/M3/20110429/F51150/1796/1", 75.36)</f>
        <v>75.36</v>
      </c>
      <c r="E8355" s="2">
        <v>58.74</v>
      </c>
      <c r="F8355" s="2">
        <v>2</v>
      </c>
      <c r="G8355" s="2" t="s">
        <v>13</v>
      </c>
    </row>
    <row r="8356" spans="1:7" x14ac:dyDescent="0.2">
      <c r="A8356" s="2" t="s">
        <v>3521</v>
      </c>
      <c r="B8356" s="2" t="s">
        <v>364</v>
      </c>
      <c r="C8356" s="2">
        <v>652.09169999999995</v>
      </c>
      <c r="D8356" s="2">
        <f>HYPERLINK("http://mcb-m6.bioreg.kyushu-u.ac.jp/M3/20110429/F51150/1792/1", 81.08)</f>
        <v>81.08</v>
      </c>
      <c r="E8356" s="2">
        <v>64.75</v>
      </c>
      <c r="F8356" s="2">
        <v>2</v>
      </c>
      <c r="G8356" s="2" t="s">
        <v>13</v>
      </c>
    </row>
    <row r="8357" spans="1:7" x14ac:dyDescent="0.2">
      <c r="A8357" s="2" t="s">
        <v>3521</v>
      </c>
      <c r="B8357" s="2" t="s">
        <v>364</v>
      </c>
      <c r="C8357" s="2">
        <v>652.73770000000002</v>
      </c>
      <c r="D8357" s="2">
        <f>HYPERLINK("http://mcb-m6.bioreg.kyushu-u.ac.jp/M3/20110428/F51146/1729/1", 81.3)</f>
        <v>81.3</v>
      </c>
      <c r="E8357" s="2">
        <v>54.76</v>
      </c>
      <c r="F8357" s="2">
        <v>2</v>
      </c>
      <c r="G8357" s="2" t="s">
        <v>13</v>
      </c>
    </row>
    <row r="8358" spans="1:7" x14ac:dyDescent="0.2">
      <c r="A8358" s="2" t="s">
        <v>3521</v>
      </c>
      <c r="B8358" s="2" t="s">
        <v>364</v>
      </c>
      <c r="C8358" s="2">
        <v>652.00620000000004</v>
      </c>
      <c r="D8358" s="2">
        <f>HYPERLINK("http://mcb-m6.bioreg.kyushu-u.ac.jp/M3/20110429/F51151/1763/1", 82.8)</f>
        <v>82.8</v>
      </c>
      <c r="E8358" s="2">
        <v>59.9</v>
      </c>
      <c r="F8358" s="2">
        <v>2</v>
      </c>
      <c r="G8358" s="2" t="s">
        <v>13</v>
      </c>
    </row>
    <row r="8359" spans="1:7" x14ac:dyDescent="0.2">
      <c r="A8359" s="2" t="s">
        <v>3521</v>
      </c>
      <c r="B8359" s="2" t="s">
        <v>364</v>
      </c>
      <c r="C8359" s="2">
        <v>652.40560000000005</v>
      </c>
      <c r="D8359" s="2">
        <f>HYPERLINK("http://mcb-m6.bioreg.kyushu-u.ac.jp/M3/20110429/F51149/1814/1", 84.47)</f>
        <v>84.47</v>
      </c>
      <c r="E8359" s="2">
        <v>64.92</v>
      </c>
      <c r="F8359" s="2">
        <v>2</v>
      </c>
      <c r="G8359" s="2" t="s">
        <v>13</v>
      </c>
    </row>
    <row r="8360" spans="1:7" x14ac:dyDescent="0.2">
      <c r="A8360" s="2" t="s">
        <v>3521</v>
      </c>
      <c r="B8360" s="2" t="s">
        <v>364</v>
      </c>
      <c r="C8360" s="2">
        <v>652.06820000000005</v>
      </c>
      <c r="D8360" s="2">
        <f>HYPERLINK("http://mcb-m6.bioreg.kyushu-u.ac.jp/M3/20110429/F51150/1790/1", 86.84)</f>
        <v>86.84</v>
      </c>
      <c r="E8360" s="2">
        <v>56.86</v>
      </c>
      <c r="F8360" s="2">
        <v>2</v>
      </c>
      <c r="G8360" s="2" t="s">
        <v>13</v>
      </c>
    </row>
    <row r="8361" spans="1:7" x14ac:dyDescent="0.2">
      <c r="A8361" s="2" t="s">
        <v>3521</v>
      </c>
      <c r="B8361" s="2" t="s">
        <v>364</v>
      </c>
      <c r="C8361" s="2">
        <v>652.03920000000005</v>
      </c>
      <c r="D8361" s="2">
        <f>HYPERLINK("http://mcb-m6.bioreg.kyushu-u.ac.jp/M3/20110429/F51150/1787/1", 86.95)</f>
        <v>86.95</v>
      </c>
      <c r="E8361" s="2">
        <v>61.61</v>
      </c>
      <c r="F8361" s="2">
        <v>2</v>
      </c>
      <c r="G8361" s="2" t="s">
        <v>13</v>
      </c>
    </row>
    <row r="8362" spans="1:7" x14ac:dyDescent="0.2">
      <c r="A8362" s="2" t="s">
        <v>3521</v>
      </c>
      <c r="B8362" s="2" t="s">
        <v>364</v>
      </c>
      <c r="C8362" s="2">
        <v>652.61519999999996</v>
      </c>
      <c r="D8362" s="2">
        <f>HYPERLINK("http://mcb-m6.bioreg.kyushu-u.ac.jp/M3/20110429/F51150/1798/1", 88.62)</f>
        <v>88.62</v>
      </c>
      <c r="E8362" s="2">
        <v>67</v>
      </c>
      <c r="F8362" s="2">
        <v>2</v>
      </c>
      <c r="G8362" s="2" t="s">
        <v>13</v>
      </c>
    </row>
    <row r="8363" spans="1:7" x14ac:dyDescent="0.2">
      <c r="A8363" s="2" t="s">
        <v>3521</v>
      </c>
      <c r="B8363" s="2" t="s">
        <v>364</v>
      </c>
      <c r="C8363" s="2">
        <v>652.76869999999997</v>
      </c>
      <c r="D8363" s="2">
        <f>HYPERLINK("http://mcb-m6.bioreg.kyushu-u.ac.jp/M3/20110429/F51150/1800/1", 91.87)</f>
        <v>91.87</v>
      </c>
      <c r="E8363" s="2">
        <v>67.92</v>
      </c>
      <c r="F8363" s="2">
        <v>2</v>
      </c>
      <c r="G8363" s="2" t="s">
        <v>13</v>
      </c>
    </row>
    <row r="8364" spans="1:7" x14ac:dyDescent="0.2">
      <c r="A8364" s="2" t="s">
        <v>3521</v>
      </c>
      <c r="B8364" s="2" t="s">
        <v>364</v>
      </c>
      <c r="C8364" s="2">
        <v>652.88670000000002</v>
      </c>
      <c r="D8364" s="2">
        <f>HYPERLINK("http://mcb-m6.bioreg.kyushu-u.ac.jp/M3/20110429/F51150/1801/1", 92.96)</f>
        <v>92.96</v>
      </c>
      <c r="E8364" s="2">
        <v>68.56</v>
      </c>
      <c r="F8364" s="2">
        <v>2</v>
      </c>
      <c r="G8364" s="2" t="s">
        <v>13</v>
      </c>
    </row>
    <row r="8365" spans="1:7" x14ac:dyDescent="0.2">
      <c r="A8365" s="2" t="s">
        <v>3521</v>
      </c>
      <c r="B8365" s="2" t="s">
        <v>364</v>
      </c>
      <c r="C8365" s="2">
        <v>652.10360000000003</v>
      </c>
      <c r="D8365" s="2">
        <f>HYPERLINK("http://mcb-m6.bioreg.kyushu-u.ac.jp/M3/20110429/F51150/1793/1", 93.71)</f>
        <v>93.71</v>
      </c>
      <c r="E8365" s="2">
        <v>63.74</v>
      </c>
      <c r="F8365" s="2">
        <v>2</v>
      </c>
      <c r="G8365" s="2" t="s">
        <v>13</v>
      </c>
    </row>
    <row r="8366" spans="1:7" x14ac:dyDescent="0.2">
      <c r="A8366" s="2" t="s">
        <v>3521</v>
      </c>
      <c r="B8366" s="2" t="s">
        <v>364</v>
      </c>
      <c r="C8366" s="2">
        <v>652.61220000000003</v>
      </c>
      <c r="D8366" s="2">
        <f>HYPERLINK("http://mcb-m6.bioreg.kyushu-u.ac.jp/M3/20110429/F51150/1797/1", 95.12)</f>
        <v>95.12</v>
      </c>
      <c r="E8366" s="2">
        <v>74.64</v>
      </c>
      <c r="F8366" s="2">
        <v>2</v>
      </c>
      <c r="G8366" s="2" t="s">
        <v>13</v>
      </c>
    </row>
    <row r="8367" spans="1:7" x14ac:dyDescent="0.2">
      <c r="A8367" s="2" t="s">
        <v>3521</v>
      </c>
      <c r="B8367" s="2" t="s">
        <v>364</v>
      </c>
      <c r="C8367" s="2">
        <v>652.12660000000005</v>
      </c>
      <c r="D8367" s="2">
        <f>HYPERLINK("http://mcb-m6.bioreg.kyushu-u.ac.jp/M3/20110429/F51150/1794/1", 95.61)</f>
        <v>95.61</v>
      </c>
      <c r="E8367" s="2">
        <v>58.96</v>
      </c>
      <c r="F8367" s="2">
        <v>2</v>
      </c>
      <c r="G8367" s="2" t="s">
        <v>13</v>
      </c>
    </row>
    <row r="8368" spans="1:7" x14ac:dyDescent="0.2">
      <c r="A8368" s="2" t="s">
        <v>3521</v>
      </c>
      <c r="B8368" s="2" t="s">
        <v>364</v>
      </c>
      <c r="C8368" s="2">
        <v>652.42769999999996</v>
      </c>
      <c r="D8368" s="2">
        <f>HYPERLINK("http://mcb-m6.bioreg.kyushu-u.ac.jp/M3/20110428/F51137/1976/1", 41.46)</f>
        <v>41.46</v>
      </c>
      <c r="E8368" s="2">
        <v>29.54</v>
      </c>
      <c r="F8368" s="2">
        <v>2</v>
      </c>
      <c r="G8368" s="2" t="s">
        <v>14</v>
      </c>
    </row>
    <row r="8369" spans="1:7" x14ac:dyDescent="0.2">
      <c r="A8369" s="2" t="s">
        <v>3521</v>
      </c>
      <c r="B8369" s="2" t="s">
        <v>364</v>
      </c>
      <c r="C8369" s="2">
        <v>1303.625</v>
      </c>
      <c r="D8369" s="2">
        <f>HYPERLINK("http://mcb-m6.bioreg.kyushu-u.ac.jp/M3/20110428/F51138/1937/1", 42.63)</f>
        <v>42.63</v>
      </c>
      <c r="E8369" s="2">
        <v>29.03</v>
      </c>
      <c r="F8369" s="2">
        <v>1</v>
      </c>
      <c r="G8369" s="2" t="s">
        <v>14</v>
      </c>
    </row>
    <row r="8370" spans="1:7" x14ac:dyDescent="0.2">
      <c r="A8370" s="2" t="s">
        <v>3521</v>
      </c>
      <c r="B8370" s="2" t="s">
        <v>364</v>
      </c>
      <c r="C8370" s="2">
        <v>652.23220000000003</v>
      </c>
      <c r="D8370" s="2">
        <f>HYPERLINK("http://mcb-m6.bioreg.kyushu-u.ac.jp/M3/20110428/F51138/1934/1", 44.66)</f>
        <v>44.66</v>
      </c>
      <c r="E8370" s="2">
        <v>26.08</v>
      </c>
      <c r="F8370" s="2">
        <v>2</v>
      </c>
      <c r="G8370" s="2" t="s">
        <v>14</v>
      </c>
    </row>
    <row r="8371" spans="1:7" x14ac:dyDescent="0.2">
      <c r="A8371" s="2" t="s">
        <v>3521</v>
      </c>
      <c r="B8371" s="2" t="s">
        <v>364</v>
      </c>
      <c r="C8371" s="2">
        <v>652.19619999999998</v>
      </c>
      <c r="D8371" s="2">
        <f>HYPERLINK("http://mcb-m6.bioreg.kyushu-u.ac.jp/M3/20110428/F51138/1933/1", 47.75)</f>
        <v>47.75</v>
      </c>
      <c r="E8371" s="2">
        <v>29.5</v>
      </c>
      <c r="F8371" s="2">
        <v>2</v>
      </c>
      <c r="G8371" s="2" t="s">
        <v>14</v>
      </c>
    </row>
    <row r="8372" spans="1:7" x14ac:dyDescent="0.2">
      <c r="A8372" s="2" t="s">
        <v>3521</v>
      </c>
      <c r="B8372" s="2" t="s">
        <v>364</v>
      </c>
      <c r="C8372" s="2">
        <v>652.25319999999999</v>
      </c>
      <c r="D8372" s="2">
        <f>HYPERLINK("http://mcb-m6.bioreg.kyushu-u.ac.jp/M3/20110428/F51138/1935/1", 49.53)</f>
        <v>49.53</v>
      </c>
      <c r="E8372" s="2">
        <v>35.11</v>
      </c>
      <c r="F8372" s="2">
        <v>2</v>
      </c>
      <c r="G8372" s="2" t="s">
        <v>14</v>
      </c>
    </row>
    <row r="8373" spans="1:7" x14ac:dyDescent="0.2">
      <c r="A8373" s="2" t="s">
        <v>3521</v>
      </c>
      <c r="B8373" s="2" t="s">
        <v>364</v>
      </c>
      <c r="C8373" s="2">
        <v>652.84469999999999</v>
      </c>
      <c r="D8373" s="2">
        <f>HYPERLINK("http://mcb-m6.bioreg.kyushu-u.ac.jp/M3/20110428/F51138/1940/1", 69.39)</f>
        <v>69.39</v>
      </c>
      <c r="E8373" s="2">
        <v>52.33</v>
      </c>
      <c r="F8373" s="2">
        <v>2</v>
      </c>
      <c r="G8373" s="2" t="s">
        <v>14</v>
      </c>
    </row>
    <row r="8374" spans="1:7" x14ac:dyDescent="0.2">
      <c r="A8374" s="2" t="s">
        <v>3521</v>
      </c>
      <c r="B8374" s="2" t="s">
        <v>364</v>
      </c>
      <c r="C8374" s="2">
        <v>652.79110000000003</v>
      </c>
      <c r="D8374" s="2">
        <f>HYPERLINK("http://mcb-m6.bioreg.kyushu-u.ac.jp/M3/20110428/F51138/1939/1", 80.74)</f>
        <v>80.739999999999995</v>
      </c>
      <c r="E8374" s="2">
        <v>63.64</v>
      </c>
      <c r="F8374" s="2">
        <v>2</v>
      </c>
      <c r="G8374" s="2" t="s">
        <v>14</v>
      </c>
    </row>
    <row r="8375" spans="1:7" x14ac:dyDescent="0.2">
      <c r="A8375" s="2" t="s">
        <v>3521</v>
      </c>
      <c r="B8375" s="2" t="s">
        <v>364</v>
      </c>
      <c r="C8375" s="2">
        <v>652.32420000000002</v>
      </c>
      <c r="D8375" s="2">
        <f>HYPERLINK("http://mcb-m6.bioreg.kyushu-u.ac.jp/M3/20110428/F51138/1938/1", 90.2)</f>
        <v>90.2</v>
      </c>
      <c r="E8375" s="2">
        <v>73.75</v>
      </c>
      <c r="F8375" s="2">
        <v>2</v>
      </c>
      <c r="G8375" s="2" t="s">
        <v>14</v>
      </c>
    </row>
    <row r="8376" spans="1:7" x14ac:dyDescent="0.2">
      <c r="A8376" s="2" t="s">
        <v>3521</v>
      </c>
      <c r="B8376" s="2" t="s">
        <v>364</v>
      </c>
      <c r="C8376" s="2">
        <v>652.28809999999999</v>
      </c>
      <c r="D8376" s="2">
        <f>HYPERLINK("http://mcb-m6.bioreg.kyushu-u.ac.jp/M3/20110428/F51138/1936/1", 90.29)</f>
        <v>90.29</v>
      </c>
      <c r="E8376" s="2">
        <v>70.489999999999995</v>
      </c>
      <c r="F8376" s="2">
        <v>2</v>
      </c>
      <c r="G8376" s="2" t="s">
        <v>14</v>
      </c>
    </row>
    <row r="8377" spans="1:7" x14ac:dyDescent="0.2">
      <c r="A8377" s="2" t="s">
        <v>3521</v>
      </c>
      <c r="B8377" s="2" t="s">
        <v>364</v>
      </c>
      <c r="C8377" s="2">
        <v>652.09969999999998</v>
      </c>
      <c r="D8377" s="2">
        <f>HYPERLINK("http://mcb-m6.bioreg.kyushu-u.ac.jp/M3/20110428/F51138/1931/1", 97.12)</f>
        <v>97.12</v>
      </c>
      <c r="E8377" s="2">
        <v>78.5</v>
      </c>
      <c r="F8377" s="2">
        <v>2</v>
      </c>
      <c r="G8377" s="2" t="s">
        <v>14</v>
      </c>
    </row>
    <row r="8378" spans="1:7" x14ac:dyDescent="0.2">
      <c r="A8378" s="2" t="s">
        <v>3270</v>
      </c>
      <c r="B8378" s="2" t="s">
        <v>2499</v>
      </c>
      <c r="C8378" s="2">
        <v>829.49369999999999</v>
      </c>
      <c r="D8378" s="2">
        <f>HYPERLINK("http://mcb-m6.bioreg.kyushu-u.ac.jp/M3/20110318/F50597/1956/1", 37.94)</f>
        <v>37.94</v>
      </c>
      <c r="E8378" s="2">
        <v>30.01</v>
      </c>
      <c r="F8378" s="2">
        <v>2</v>
      </c>
      <c r="G8378" s="2" t="s">
        <v>10</v>
      </c>
    </row>
    <row r="8379" spans="1:7" x14ac:dyDescent="0.2">
      <c r="A8379" s="2" t="s">
        <v>3270</v>
      </c>
      <c r="B8379" s="2" t="s">
        <v>2415</v>
      </c>
      <c r="C8379" s="2">
        <v>546.79020000000003</v>
      </c>
      <c r="D8379" s="2">
        <f>HYPERLINK("http://mcb-m6.bioreg.kyushu-u.ac.jp/M3/20110318/F50596/1122/1", 58.05)</f>
        <v>58.05</v>
      </c>
      <c r="E8379" s="2">
        <v>33.68</v>
      </c>
      <c r="F8379" s="2">
        <v>2</v>
      </c>
      <c r="G8379" s="2" t="s">
        <v>10</v>
      </c>
    </row>
    <row r="8380" spans="1:7" x14ac:dyDescent="0.2">
      <c r="A8380" s="2" t="s">
        <v>3270</v>
      </c>
      <c r="B8380" s="2" t="s">
        <v>289</v>
      </c>
      <c r="C8380" s="2">
        <v>809.68709999999999</v>
      </c>
      <c r="D8380" s="2">
        <f>HYPERLINK("http://mcb-m6.bioreg.kyushu-u.ac.jp/M3/20110318/F50596/1884/1", 63.41)</f>
        <v>63.41</v>
      </c>
      <c r="E8380" s="2">
        <v>43.36</v>
      </c>
      <c r="F8380" s="2">
        <v>2</v>
      </c>
      <c r="G8380" s="2" t="s">
        <v>10</v>
      </c>
    </row>
    <row r="8381" spans="1:7" x14ac:dyDescent="0.2">
      <c r="A8381" s="2" t="s">
        <v>3270</v>
      </c>
      <c r="B8381" s="2" t="s">
        <v>380</v>
      </c>
      <c r="C8381" s="2">
        <v>529.72519999999997</v>
      </c>
      <c r="D8381" s="2">
        <f>HYPERLINK("http://mcb-m6.bioreg.kyushu-u.ac.jp/M3/20110418/F50978/1109/1", 41.83)</f>
        <v>41.83</v>
      </c>
      <c r="E8381" s="2">
        <v>16.13</v>
      </c>
      <c r="F8381" s="2">
        <v>2</v>
      </c>
      <c r="G8381" s="2" t="s">
        <v>11</v>
      </c>
    </row>
    <row r="8382" spans="1:7" x14ac:dyDescent="0.2">
      <c r="A8382" s="2" t="s">
        <v>3270</v>
      </c>
      <c r="B8382" s="2" t="s">
        <v>289</v>
      </c>
      <c r="C8382" s="2">
        <v>809.45420000000001</v>
      </c>
      <c r="D8382" s="2">
        <f>HYPERLINK("http://mcb-m6.bioreg.kyushu-u.ac.jp/M3/20110418/F50978/2421/1", 43.22)</f>
        <v>43.22</v>
      </c>
      <c r="E8382" s="2">
        <v>29.85</v>
      </c>
      <c r="F8382" s="2">
        <v>2</v>
      </c>
      <c r="G8382" s="2" t="s">
        <v>11</v>
      </c>
    </row>
    <row r="8383" spans="1:7" x14ac:dyDescent="0.2">
      <c r="A8383" s="2" t="s">
        <v>3270</v>
      </c>
      <c r="B8383" s="2" t="s">
        <v>2007</v>
      </c>
      <c r="C8383" s="2">
        <v>888.84270000000004</v>
      </c>
      <c r="D8383" s="2">
        <f>HYPERLINK("http://mcb-m6.bioreg.kyushu-u.ac.jp/M3/20110418/F50978/2766/1", 48.82)</f>
        <v>48.82</v>
      </c>
      <c r="E8383" s="2">
        <v>35.35</v>
      </c>
      <c r="F8383" s="2">
        <v>2</v>
      </c>
      <c r="G8383" s="2" t="s">
        <v>11</v>
      </c>
    </row>
    <row r="8384" spans="1:7" x14ac:dyDescent="0.2">
      <c r="A8384" s="2" t="s">
        <v>3270</v>
      </c>
      <c r="B8384" s="2" t="s">
        <v>2007</v>
      </c>
      <c r="C8384" s="2">
        <v>889.42470000000003</v>
      </c>
      <c r="D8384" s="2">
        <f>HYPERLINK("http://mcb-m6.bioreg.kyushu-u.ac.jp/M3/20110418/F50978/2768/1", 62.78)</f>
        <v>62.78</v>
      </c>
      <c r="E8384" s="2">
        <v>54.41</v>
      </c>
      <c r="F8384" s="2">
        <v>2</v>
      </c>
      <c r="G8384" s="2" t="s">
        <v>11</v>
      </c>
    </row>
    <row r="8385" spans="1:9" x14ac:dyDescent="0.2">
      <c r="A8385" s="2" t="s">
        <v>3270</v>
      </c>
      <c r="B8385" s="2" t="s">
        <v>2243</v>
      </c>
      <c r="C8385" s="2">
        <v>490.81810000000002</v>
      </c>
      <c r="D8385" s="2">
        <f>HYPERLINK("http://mcb-m6.bioreg.kyushu-u.ac.jp/M3/20110418/F50988/1422/1", 47.93)</f>
        <v>47.93</v>
      </c>
      <c r="E8385" s="2">
        <v>26.61</v>
      </c>
      <c r="F8385" s="2">
        <v>2</v>
      </c>
      <c r="G8385" s="2" t="s">
        <v>12</v>
      </c>
      <c r="I8385" s="2" t="s">
        <v>4892</v>
      </c>
    </row>
    <row r="8386" spans="1:9" x14ac:dyDescent="0.2">
      <c r="A8386" s="2" t="s">
        <v>3270</v>
      </c>
      <c r="B8386" s="2" t="s">
        <v>1925</v>
      </c>
      <c r="C8386" s="2">
        <v>724.27369999999996</v>
      </c>
      <c r="D8386" s="2">
        <f>HYPERLINK("http://mcb-m6.bioreg.kyushu-u.ac.jp/M3/20110418/F50988/2026/1", 53.97)</f>
        <v>53.97</v>
      </c>
      <c r="E8386" s="2">
        <v>39.14</v>
      </c>
      <c r="F8386" s="2">
        <v>2</v>
      </c>
      <c r="G8386" s="2" t="s">
        <v>12</v>
      </c>
      <c r="I8386" s="2" t="s">
        <v>4898</v>
      </c>
    </row>
    <row r="8387" spans="1:9" x14ac:dyDescent="0.2">
      <c r="A8387" s="2" t="s">
        <v>3270</v>
      </c>
      <c r="B8387" s="2" t="s">
        <v>909</v>
      </c>
      <c r="C8387" s="2">
        <v>605.12620000000004</v>
      </c>
      <c r="D8387" s="2">
        <f>HYPERLINK("http://mcb-m6.bioreg.kyushu-u.ac.jp/M3/20110418/F50988/1687/1", 58.51)</f>
        <v>58.51</v>
      </c>
      <c r="E8387" s="2">
        <v>35.86</v>
      </c>
      <c r="F8387" s="2">
        <v>2</v>
      </c>
      <c r="G8387" s="2" t="s">
        <v>12</v>
      </c>
    </row>
    <row r="8388" spans="1:9" x14ac:dyDescent="0.2">
      <c r="A8388" s="2" t="s">
        <v>3270</v>
      </c>
      <c r="B8388" s="2" t="s">
        <v>519</v>
      </c>
      <c r="C8388" s="2">
        <v>853.72519999999997</v>
      </c>
      <c r="D8388" s="2">
        <f>HYPERLINK("http://mcb-m6.bioreg.kyushu-u.ac.jp/M3/20110418/F50988/2475/1", 63.13)</f>
        <v>63.13</v>
      </c>
      <c r="E8388" s="2">
        <v>46.08</v>
      </c>
      <c r="F8388" s="2">
        <v>2</v>
      </c>
      <c r="G8388" s="2" t="s">
        <v>12</v>
      </c>
      <c r="I8388" s="2" t="s">
        <v>4898</v>
      </c>
    </row>
    <row r="8389" spans="1:9" x14ac:dyDescent="0.2">
      <c r="A8389" s="2" t="s">
        <v>3270</v>
      </c>
      <c r="B8389" s="2" t="s">
        <v>289</v>
      </c>
      <c r="C8389" s="2">
        <v>809.85609999999997</v>
      </c>
      <c r="D8389" s="2">
        <f>HYPERLINK("http://mcb-m6.bioreg.kyushu-u.ac.jp/M3/20110418/F50988/2371/1", 69.99)</f>
        <v>69.989999999999995</v>
      </c>
      <c r="E8389" s="2">
        <v>48.86</v>
      </c>
      <c r="F8389" s="2">
        <v>2</v>
      </c>
      <c r="G8389" s="2" t="s">
        <v>12</v>
      </c>
    </row>
    <row r="8390" spans="1:9" x14ac:dyDescent="0.2">
      <c r="A8390" s="2" t="s">
        <v>3270</v>
      </c>
      <c r="B8390" s="2" t="s">
        <v>1208</v>
      </c>
      <c r="C8390" s="2">
        <v>909.38869999999997</v>
      </c>
      <c r="D8390" s="2">
        <f>HYPERLINK("http://mcb-m6.bioreg.kyushu-u.ac.jp/M3/20110429/F51154/2932/1", 36.29)</f>
        <v>36.29</v>
      </c>
      <c r="E8390" s="2">
        <v>22.07</v>
      </c>
      <c r="F8390" s="2">
        <v>2</v>
      </c>
      <c r="G8390" s="2" t="s">
        <v>13</v>
      </c>
    </row>
    <row r="8391" spans="1:9" x14ac:dyDescent="0.2">
      <c r="A8391" s="2" t="s">
        <v>3270</v>
      </c>
      <c r="B8391" s="2" t="s">
        <v>2888</v>
      </c>
      <c r="C8391" s="2">
        <v>803.35059999999999</v>
      </c>
      <c r="D8391" s="2">
        <f>HYPERLINK("http://mcb-m6.bioreg.kyushu-u.ac.jp/M3/20110429/F51154/2379/1", 40.44)</f>
        <v>40.44</v>
      </c>
      <c r="E8391" s="2">
        <v>28</v>
      </c>
      <c r="F8391" s="2">
        <v>2</v>
      </c>
      <c r="G8391" s="2" t="s">
        <v>13</v>
      </c>
      <c r="H8391" s="2" t="s">
        <v>4904</v>
      </c>
    </row>
    <row r="8392" spans="1:9" x14ac:dyDescent="0.2">
      <c r="A8392" s="2" t="s">
        <v>3270</v>
      </c>
      <c r="B8392" s="2" t="s">
        <v>519</v>
      </c>
      <c r="C8392" s="2">
        <v>853.71469999999999</v>
      </c>
      <c r="D8392" s="2">
        <f>HYPERLINK("http://mcb-m6.bioreg.kyushu-u.ac.jp/M3/20110429/F51154/2652/1", 43.28)</f>
        <v>43.28</v>
      </c>
      <c r="E8392" s="2">
        <v>26.98</v>
      </c>
      <c r="F8392" s="2">
        <v>2</v>
      </c>
      <c r="G8392" s="2" t="s">
        <v>13</v>
      </c>
      <c r="I8392" s="2" t="s">
        <v>4898</v>
      </c>
    </row>
    <row r="8393" spans="1:9" x14ac:dyDescent="0.2">
      <c r="A8393" s="2" t="s">
        <v>3270</v>
      </c>
      <c r="B8393" s="2" t="s">
        <v>289</v>
      </c>
      <c r="C8393" s="2">
        <v>809.32209999999998</v>
      </c>
      <c r="D8393" s="2">
        <f>HYPERLINK("http://mcb-m6.bioreg.kyushu-u.ac.jp/M3/20110429/F51154/2411/1", 46.7)</f>
        <v>46.7</v>
      </c>
      <c r="E8393" s="2">
        <v>36.43</v>
      </c>
      <c r="F8393" s="2">
        <v>2</v>
      </c>
      <c r="G8393" s="2" t="s">
        <v>13</v>
      </c>
    </row>
    <row r="8394" spans="1:9" x14ac:dyDescent="0.2">
      <c r="A8394" s="2" t="s">
        <v>3270</v>
      </c>
      <c r="B8394" s="2" t="s">
        <v>380</v>
      </c>
      <c r="C8394" s="2">
        <v>530.23659999999995</v>
      </c>
      <c r="D8394" s="2">
        <f>HYPERLINK("http://mcb-m6.bioreg.kyushu-u.ac.jp/M3/20110429/F51154/890/1", 48.46)</f>
        <v>48.46</v>
      </c>
      <c r="E8394" s="2">
        <v>27.52</v>
      </c>
      <c r="F8394" s="2">
        <v>2</v>
      </c>
      <c r="G8394" s="2" t="s">
        <v>13</v>
      </c>
    </row>
    <row r="8395" spans="1:9" x14ac:dyDescent="0.2">
      <c r="A8395" s="2" t="s">
        <v>3270</v>
      </c>
      <c r="B8395" s="2" t="s">
        <v>2243</v>
      </c>
      <c r="C8395" s="2">
        <v>490.7681</v>
      </c>
      <c r="D8395" s="2">
        <f>HYPERLINK("http://mcb-m6.bioreg.kyushu-u.ac.jp/M3/20110429/F51154/700/1", 53.92)</f>
        <v>53.92</v>
      </c>
      <c r="E8395" s="2">
        <v>29.29</v>
      </c>
      <c r="F8395" s="2">
        <v>2</v>
      </c>
      <c r="G8395" s="2" t="s">
        <v>13</v>
      </c>
      <c r="I8395" s="2" t="s">
        <v>4892</v>
      </c>
    </row>
    <row r="8396" spans="1:9" x14ac:dyDescent="0.2">
      <c r="A8396" s="2" t="s">
        <v>3270</v>
      </c>
      <c r="B8396" s="2" t="s">
        <v>2007</v>
      </c>
      <c r="C8396" s="2">
        <v>889.44960000000003</v>
      </c>
      <c r="D8396" s="2">
        <f>HYPERLINK("http://mcb-m6.bioreg.kyushu-u.ac.jp/M3/20110429/F51154/2826/1", 58.85)</f>
        <v>58.85</v>
      </c>
      <c r="E8396" s="2">
        <v>53.61</v>
      </c>
      <c r="F8396" s="2">
        <v>2</v>
      </c>
      <c r="G8396" s="2" t="s">
        <v>13</v>
      </c>
    </row>
    <row r="8397" spans="1:9" x14ac:dyDescent="0.2">
      <c r="A8397" s="2" t="s">
        <v>3270</v>
      </c>
      <c r="B8397" s="2" t="s">
        <v>1299</v>
      </c>
      <c r="C8397" s="2">
        <v>606.2817</v>
      </c>
      <c r="D8397" s="2">
        <f>HYPERLINK("http://mcb-m6.bioreg.kyushu-u.ac.jp/M3/20110429/F51154/1262/1", 60.23)</f>
        <v>60.23</v>
      </c>
      <c r="E8397" s="2">
        <v>40.549999999999997</v>
      </c>
      <c r="F8397" s="2">
        <v>2</v>
      </c>
      <c r="G8397" s="2" t="s">
        <v>13</v>
      </c>
      <c r="I8397" s="2" t="s">
        <v>4890</v>
      </c>
    </row>
    <row r="8398" spans="1:9" x14ac:dyDescent="0.2">
      <c r="A8398" s="2" t="s">
        <v>3270</v>
      </c>
      <c r="B8398" s="2" t="s">
        <v>2007</v>
      </c>
      <c r="C8398" s="2">
        <v>889.42219999999998</v>
      </c>
      <c r="D8398" s="2">
        <f>HYPERLINK("http://mcb-m6.bioreg.kyushu-u.ac.jp/M3/20110429/F51154/2825/1", 61.91)</f>
        <v>61.91</v>
      </c>
      <c r="E8398" s="2">
        <v>50.59</v>
      </c>
      <c r="F8398" s="2">
        <v>2</v>
      </c>
      <c r="G8398" s="2" t="s">
        <v>13</v>
      </c>
    </row>
    <row r="8399" spans="1:9" x14ac:dyDescent="0.2">
      <c r="A8399" s="2" t="s">
        <v>3270</v>
      </c>
      <c r="B8399" s="2" t="s">
        <v>1925</v>
      </c>
      <c r="C8399" s="2">
        <v>724.3827</v>
      </c>
      <c r="D8399" s="2">
        <f>HYPERLINK("http://mcb-m6.bioreg.kyushu-u.ac.jp/M3/20110429/F51154/1915/1", 62.95)</f>
        <v>62.95</v>
      </c>
      <c r="E8399" s="2">
        <v>37.130000000000003</v>
      </c>
      <c r="F8399" s="2">
        <v>2</v>
      </c>
      <c r="G8399" s="2" t="s">
        <v>13</v>
      </c>
      <c r="I8399" s="2" t="s">
        <v>4898</v>
      </c>
    </row>
    <row r="8400" spans="1:9" x14ac:dyDescent="0.2">
      <c r="A8400" s="2" t="s">
        <v>3270</v>
      </c>
      <c r="B8400" s="2" t="s">
        <v>289</v>
      </c>
      <c r="C8400" s="2">
        <v>809.87459999999999</v>
      </c>
      <c r="D8400" s="2">
        <f>HYPERLINK("http://mcb-m6.bioreg.kyushu-u.ac.jp/M3/20110429/F51154/2415/1", 66.95)</f>
        <v>66.95</v>
      </c>
      <c r="E8400" s="2">
        <v>47.67</v>
      </c>
      <c r="F8400" s="2">
        <v>2</v>
      </c>
      <c r="G8400" s="2" t="s">
        <v>13</v>
      </c>
    </row>
    <row r="8401" spans="1:9" x14ac:dyDescent="0.2">
      <c r="A8401" s="2" t="s">
        <v>3270</v>
      </c>
      <c r="B8401" s="2" t="s">
        <v>2007</v>
      </c>
      <c r="C8401" s="2">
        <v>888.88760000000002</v>
      </c>
      <c r="D8401" s="2">
        <f>HYPERLINK("http://mcb-m6.bioreg.kyushu-u.ac.jp/M3/20110429/F51154/2824/1", 90.93)</f>
        <v>90.93</v>
      </c>
      <c r="E8401" s="2">
        <v>77.709999999999994</v>
      </c>
      <c r="F8401" s="2">
        <v>2</v>
      </c>
      <c r="G8401" s="2" t="s">
        <v>13</v>
      </c>
    </row>
    <row r="8402" spans="1:9" x14ac:dyDescent="0.2">
      <c r="A8402" s="2" t="s">
        <v>3270</v>
      </c>
      <c r="B8402" s="2" t="s">
        <v>2047</v>
      </c>
      <c r="C8402" s="2">
        <v>686.39260000000002</v>
      </c>
      <c r="D8402" s="2">
        <f>HYPERLINK("http://mcb-m6.bioreg.kyushu-u.ac.jp/M3/20110429/F51154/1685/1", 92.66)</f>
        <v>92.66</v>
      </c>
      <c r="E8402" s="2">
        <v>71.33</v>
      </c>
      <c r="F8402" s="2">
        <v>2</v>
      </c>
      <c r="G8402" s="2" t="s">
        <v>13</v>
      </c>
    </row>
    <row r="8403" spans="1:9" x14ac:dyDescent="0.2">
      <c r="A8403" s="2" t="s">
        <v>3270</v>
      </c>
      <c r="B8403" s="2" t="s">
        <v>2357</v>
      </c>
      <c r="C8403" s="2">
        <v>666.43520000000001</v>
      </c>
      <c r="D8403" s="2">
        <f>HYPERLINK("http://mcb-m6.bioreg.kyushu-u.ac.jp/M3/20110428/F51143/1710/1", 50.28)</f>
        <v>50.28</v>
      </c>
      <c r="E8403" s="2">
        <v>31.28</v>
      </c>
      <c r="F8403" s="2">
        <v>2</v>
      </c>
      <c r="G8403" s="2" t="s">
        <v>14</v>
      </c>
      <c r="I8403" s="2" t="s">
        <v>4914</v>
      </c>
    </row>
    <row r="8404" spans="1:9" x14ac:dyDescent="0.2">
      <c r="A8404" s="2" t="s">
        <v>3270</v>
      </c>
      <c r="B8404" s="2" t="s">
        <v>1925</v>
      </c>
      <c r="C8404" s="2">
        <v>724.42269999999996</v>
      </c>
      <c r="D8404" s="2">
        <f>HYPERLINK("http://mcb-m6.bioreg.kyushu-u.ac.jp/M3/20110428/F51143/2009/1", 68.19)</f>
        <v>68.19</v>
      </c>
      <c r="E8404" s="2">
        <v>51.73</v>
      </c>
      <c r="F8404" s="2">
        <v>2</v>
      </c>
      <c r="G8404" s="2" t="s">
        <v>14</v>
      </c>
      <c r="I8404" s="2" t="s">
        <v>4898</v>
      </c>
    </row>
    <row r="8405" spans="1:9" x14ac:dyDescent="0.2">
      <c r="A8405" s="2" t="s">
        <v>3270</v>
      </c>
      <c r="B8405" s="2" t="s">
        <v>2007</v>
      </c>
      <c r="C8405" s="2">
        <v>889.00070000000005</v>
      </c>
      <c r="D8405" s="2">
        <f>HYPERLINK("http://mcb-m6.bioreg.kyushu-u.ac.jp/M3/20110428/F51143/2771/1", 79.31)</f>
        <v>79.31</v>
      </c>
      <c r="E8405" s="2">
        <v>68.61</v>
      </c>
      <c r="F8405" s="2">
        <v>2</v>
      </c>
      <c r="G8405" s="2" t="s">
        <v>14</v>
      </c>
    </row>
    <row r="8406" spans="1:9" x14ac:dyDescent="0.2">
      <c r="A8406" s="2" t="s">
        <v>3270</v>
      </c>
      <c r="B8406" s="2" t="s">
        <v>289</v>
      </c>
      <c r="C8406" s="2">
        <v>809.35969999999998</v>
      </c>
      <c r="D8406" s="2">
        <f>HYPERLINK("http://mcb-m6.bioreg.kyushu-u.ac.jp/M3/20110428/F51143/2444/1", 91.67)</f>
        <v>91.67</v>
      </c>
      <c r="E8406" s="2">
        <v>70.599999999999994</v>
      </c>
      <c r="F8406" s="2">
        <v>2</v>
      </c>
      <c r="G8406" s="2" t="s">
        <v>14</v>
      </c>
    </row>
    <row r="8407" spans="1:9" x14ac:dyDescent="0.2">
      <c r="A8407" s="2" t="s">
        <v>3270</v>
      </c>
      <c r="B8407" s="2" t="s">
        <v>2047</v>
      </c>
      <c r="C8407" s="2">
        <v>686.62159999999994</v>
      </c>
      <c r="D8407" s="2">
        <f>HYPERLINK("http://mcb-m6.bioreg.kyushu-u.ac.jp/M3/20110428/F51143/1812/1", 104.54)</f>
        <v>104.54</v>
      </c>
      <c r="E8407" s="2">
        <v>78.36</v>
      </c>
      <c r="F8407" s="2">
        <v>2</v>
      </c>
      <c r="G8407" s="2" t="s">
        <v>14</v>
      </c>
    </row>
    <row r="8408" spans="1:9" x14ac:dyDescent="0.2">
      <c r="A8408" s="2" t="s">
        <v>3669</v>
      </c>
      <c r="B8408" s="2" t="s">
        <v>2108</v>
      </c>
      <c r="C8408" s="2">
        <v>624.77919999999995</v>
      </c>
      <c r="D8408" s="2">
        <f>HYPERLINK("http://mcb-m6.bioreg.kyushu-u.ac.jp/M3/20110418/F50972/1827/1", 44.25)</f>
        <v>44.25</v>
      </c>
      <c r="E8408" s="2">
        <v>24.8</v>
      </c>
      <c r="F8408" s="2">
        <v>2</v>
      </c>
      <c r="G8408" s="2" t="s">
        <v>11</v>
      </c>
    </row>
    <row r="8409" spans="1:9" x14ac:dyDescent="0.2">
      <c r="A8409" s="2" t="s">
        <v>3746</v>
      </c>
      <c r="B8409" s="2" t="s">
        <v>1514</v>
      </c>
      <c r="C8409" s="2">
        <v>994.48220000000003</v>
      </c>
      <c r="D8409" s="2">
        <f>HYPERLINK("http://mcb-m6.bioreg.kyushu-u.ac.jp/M3/20110502/F51158/3115/1", 41.36)</f>
        <v>41.36</v>
      </c>
      <c r="E8409" s="2">
        <v>30.2</v>
      </c>
      <c r="F8409" s="2">
        <v>2</v>
      </c>
      <c r="G8409" s="2" t="s">
        <v>13</v>
      </c>
    </row>
    <row r="8410" spans="1:9" x14ac:dyDescent="0.2">
      <c r="A8410" s="2" t="s">
        <v>3746</v>
      </c>
      <c r="B8410" s="2" t="s">
        <v>1514</v>
      </c>
      <c r="C8410" s="2">
        <v>995.03219999999999</v>
      </c>
      <c r="D8410" s="2">
        <f>HYPERLINK("http://mcb-m6.bioreg.kyushu-u.ac.jp/M3/20110502/F51158/3116/1", 46.67)</f>
        <v>46.67</v>
      </c>
      <c r="E8410" s="2">
        <v>36.08</v>
      </c>
      <c r="F8410" s="2">
        <v>2</v>
      </c>
      <c r="G8410" s="2" t="s">
        <v>13</v>
      </c>
    </row>
    <row r="8411" spans="1:9" x14ac:dyDescent="0.2">
      <c r="A8411" s="2" t="s">
        <v>4616</v>
      </c>
      <c r="B8411" s="2" t="s">
        <v>2739</v>
      </c>
      <c r="C8411" s="2">
        <v>776.4991</v>
      </c>
      <c r="D8411" s="2">
        <f>HYPERLINK("http://mcb-m6.bioreg.kyushu-u.ac.jp/M3/20110502/F51163/2013/1", 107.61)</f>
        <v>107.61</v>
      </c>
      <c r="E8411" s="2">
        <v>91.27</v>
      </c>
      <c r="F8411" s="2">
        <v>2</v>
      </c>
      <c r="G8411" s="2" t="s">
        <v>13</v>
      </c>
    </row>
    <row r="8412" spans="1:9" x14ac:dyDescent="0.2">
      <c r="A8412" s="2" t="s">
        <v>3303</v>
      </c>
      <c r="B8412" s="2" t="s">
        <v>5207</v>
      </c>
      <c r="C8412" s="2">
        <v>561.43119999999999</v>
      </c>
      <c r="D8412" s="2">
        <f>HYPERLINK("http://mcb-m6.bioreg.kyushu-u.ac.jp/M3/20110318/F50615/964/1", 35.43)</f>
        <v>35.43</v>
      </c>
      <c r="E8412" s="2">
        <v>8.7200000000000006</v>
      </c>
      <c r="F8412" s="2">
        <v>2</v>
      </c>
      <c r="G8412" s="2" t="s">
        <v>10</v>
      </c>
    </row>
    <row r="8413" spans="1:9" x14ac:dyDescent="0.2">
      <c r="A8413" s="2" t="s">
        <v>3428</v>
      </c>
      <c r="B8413" s="2" t="s">
        <v>2475</v>
      </c>
      <c r="C8413" s="2">
        <v>782.92219999999998</v>
      </c>
      <c r="D8413" s="2">
        <f>HYPERLINK("http://mcb-m6.bioreg.kyushu-u.ac.jp/M3/20110429/F51152/2236/1", 78.22)</f>
        <v>78.22</v>
      </c>
      <c r="E8413" s="2">
        <v>60.14</v>
      </c>
      <c r="F8413" s="2">
        <v>2</v>
      </c>
      <c r="G8413" s="2" t="s">
        <v>13</v>
      </c>
    </row>
    <row r="8414" spans="1:9" x14ac:dyDescent="0.2">
      <c r="A8414" s="2" t="s">
        <v>3428</v>
      </c>
      <c r="B8414" s="2" t="s">
        <v>2475</v>
      </c>
      <c r="C8414" s="2">
        <v>782.96469999999999</v>
      </c>
      <c r="D8414" s="2">
        <f>HYPERLINK("http://mcb-m6.bioreg.kyushu-u.ac.jp/M3/20110428/F51140/2249/1", 78.84)</f>
        <v>78.84</v>
      </c>
      <c r="E8414" s="2">
        <v>58.43</v>
      </c>
      <c r="F8414" s="2">
        <v>2</v>
      </c>
      <c r="G8414" s="2" t="s">
        <v>14</v>
      </c>
    </row>
    <row r="8415" spans="1:9" x14ac:dyDescent="0.2">
      <c r="A8415" s="2" t="s">
        <v>3988</v>
      </c>
      <c r="B8415" s="2" t="s">
        <v>2319</v>
      </c>
      <c r="C8415" s="2">
        <v>972.72720000000004</v>
      </c>
      <c r="D8415" s="2">
        <f>HYPERLINK("http://mcb-m6.bioreg.kyushu-u.ac.jp/M3/20110318/F50606/2236/1", 97.73)</f>
        <v>97.73</v>
      </c>
      <c r="E8415" s="2">
        <v>75.28</v>
      </c>
      <c r="F8415" s="2">
        <v>2</v>
      </c>
      <c r="G8415" s="2" t="s">
        <v>9</v>
      </c>
    </row>
    <row r="8416" spans="1:9" x14ac:dyDescent="0.2">
      <c r="A8416" s="2" t="s">
        <v>3988</v>
      </c>
      <c r="B8416" s="2" t="s">
        <v>1256</v>
      </c>
      <c r="C8416" s="2">
        <v>507.3621</v>
      </c>
      <c r="D8416" s="2">
        <f>HYPERLINK("http://mcb-m6.bioreg.kyushu-u.ac.jp/M3/20110318/F50597/903/1", 44.53)</f>
        <v>44.53</v>
      </c>
      <c r="E8416" s="2">
        <v>31.97</v>
      </c>
      <c r="F8416" s="2">
        <v>2</v>
      </c>
      <c r="G8416" s="2" t="s">
        <v>10</v>
      </c>
    </row>
    <row r="8417" spans="1:9" x14ac:dyDescent="0.2">
      <c r="A8417" s="2" t="s">
        <v>3988</v>
      </c>
      <c r="B8417" s="2" t="s">
        <v>1256</v>
      </c>
      <c r="C8417" s="2">
        <v>507.46010000000001</v>
      </c>
      <c r="D8417" s="2">
        <f>HYPERLINK("http://mcb-m6.bioreg.kyushu-u.ac.jp/M3/20110318/F50615/826/1", 73.68)</f>
        <v>73.680000000000007</v>
      </c>
      <c r="E8417" s="2">
        <v>56.16</v>
      </c>
      <c r="F8417" s="2">
        <v>2</v>
      </c>
      <c r="G8417" s="2" t="s">
        <v>10</v>
      </c>
    </row>
    <row r="8418" spans="1:9" x14ac:dyDescent="0.2">
      <c r="A8418" s="2" t="s">
        <v>3988</v>
      </c>
      <c r="B8418" s="2" t="s">
        <v>1651</v>
      </c>
      <c r="C8418" s="2">
        <v>730.87869999999998</v>
      </c>
      <c r="D8418" s="2">
        <f>HYPERLINK("http://mcb-m6.bioreg.kyushu-u.ac.jp/M3/20110318/F50615/1470/1", 84.96)</f>
        <v>84.96</v>
      </c>
      <c r="E8418" s="2">
        <v>67.95</v>
      </c>
      <c r="F8418" s="2">
        <v>2</v>
      </c>
      <c r="G8418" s="2" t="s">
        <v>10</v>
      </c>
    </row>
    <row r="8419" spans="1:9" x14ac:dyDescent="0.2">
      <c r="A8419" s="2" t="s">
        <v>3988</v>
      </c>
      <c r="B8419" s="2" t="s">
        <v>2319</v>
      </c>
      <c r="C8419" s="2">
        <v>972.7867</v>
      </c>
      <c r="D8419" s="2">
        <f>HYPERLINK("http://mcb-m6.bioreg.kyushu-u.ac.jp/M3/20110318/F50597/2423/1", 100.55)</f>
        <v>100.55</v>
      </c>
      <c r="E8419" s="2">
        <v>74.12</v>
      </c>
      <c r="F8419" s="2">
        <v>2</v>
      </c>
      <c r="G8419" s="2" t="s">
        <v>10</v>
      </c>
    </row>
    <row r="8420" spans="1:9" x14ac:dyDescent="0.2">
      <c r="A8420" s="2" t="s">
        <v>3988</v>
      </c>
      <c r="B8420" s="2" t="s">
        <v>2319</v>
      </c>
      <c r="C8420" s="2">
        <v>972.33720000000005</v>
      </c>
      <c r="D8420" s="2">
        <f>HYPERLINK("http://mcb-m6.bioreg.kyushu-u.ac.jp/M3/20110418/F50975/3297/1", 71.8)</f>
        <v>71.8</v>
      </c>
      <c r="E8420" s="2">
        <v>53.37</v>
      </c>
      <c r="F8420" s="2">
        <v>2</v>
      </c>
      <c r="G8420" s="2" t="s">
        <v>11</v>
      </c>
    </row>
    <row r="8421" spans="1:9" x14ac:dyDescent="0.2">
      <c r="A8421" s="2" t="s">
        <v>3988</v>
      </c>
      <c r="B8421" s="2" t="s">
        <v>2319</v>
      </c>
      <c r="C8421" s="2">
        <v>972.84169999999995</v>
      </c>
      <c r="D8421" s="2">
        <f>HYPERLINK("http://mcb-m6.bioreg.kyushu-u.ac.jp/M3/20110418/F50975/3300/1", 96.93)</f>
        <v>96.93</v>
      </c>
      <c r="E8421" s="2">
        <v>78.290000000000006</v>
      </c>
      <c r="F8421" s="2">
        <v>2</v>
      </c>
      <c r="G8421" s="2" t="s">
        <v>11</v>
      </c>
    </row>
    <row r="8422" spans="1:9" x14ac:dyDescent="0.2">
      <c r="A8422" s="2" t="s">
        <v>3988</v>
      </c>
      <c r="B8422" s="2" t="s">
        <v>2319</v>
      </c>
      <c r="C8422" s="2">
        <v>972.73820000000001</v>
      </c>
      <c r="D8422" s="2">
        <f>HYPERLINK("http://mcb-m6.bioreg.kyushu-u.ac.jp/M3/20110502/F51158/3041/1", 97)</f>
        <v>97</v>
      </c>
      <c r="E8422" s="2">
        <v>77.98</v>
      </c>
      <c r="F8422" s="2">
        <v>2</v>
      </c>
      <c r="G8422" s="2" t="s">
        <v>13</v>
      </c>
    </row>
    <row r="8423" spans="1:9" x14ac:dyDescent="0.2">
      <c r="A8423" s="2" t="s">
        <v>3988</v>
      </c>
      <c r="B8423" s="2" t="s">
        <v>1651</v>
      </c>
      <c r="C8423" s="2">
        <v>730.8732</v>
      </c>
      <c r="D8423" s="2">
        <f>HYPERLINK("http://mcb-m6.bioreg.kyushu-u.ac.jp/M3/20110428/F51141/1851/1", 60.31)</f>
        <v>60.31</v>
      </c>
      <c r="E8423" s="2">
        <v>40.9</v>
      </c>
      <c r="F8423" s="2">
        <v>2</v>
      </c>
      <c r="G8423" s="2" t="s">
        <v>14</v>
      </c>
    </row>
    <row r="8424" spans="1:9" x14ac:dyDescent="0.2">
      <c r="A8424" s="2" t="s">
        <v>3988</v>
      </c>
      <c r="B8424" s="2" t="s">
        <v>2319</v>
      </c>
      <c r="C8424" s="2">
        <v>972.42769999999996</v>
      </c>
      <c r="D8424" s="2">
        <f>HYPERLINK("http://mcb-m6.bioreg.kyushu-u.ac.jp/M3/20110428/F51141/3274/1", 92.23)</f>
        <v>92.23</v>
      </c>
      <c r="E8424" s="2">
        <v>74.540000000000006</v>
      </c>
      <c r="F8424" s="2">
        <v>2</v>
      </c>
      <c r="G8424" s="2" t="s">
        <v>14</v>
      </c>
    </row>
    <row r="8425" spans="1:9" x14ac:dyDescent="0.2">
      <c r="A8425" s="2" t="s">
        <v>3281</v>
      </c>
      <c r="B8425" s="2" t="s">
        <v>415</v>
      </c>
      <c r="C8425" s="2">
        <v>1053.021</v>
      </c>
      <c r="D8425" s="2">
        <f>HYPERLINK("http://mcb-m6.bioreg.kyushu-u.ac.jp/M3/20110428/F51141/3537/1", 42.17)</f>
        <v>42.17</v>
      </c>
      <c r="E8425" s="2">
        <v>40.369999999999997</v>
      </c>
      <c r="F8425" s="2">
        <v>2</v>
      </c>
      <c r="G8425" s="2" t="s">
        <v>14</v>
      </c>
    </row>
    <row r="8426" spans="1:9" x14ac:dyDescent="0.2">
      <c r="A8426" s="2" t="s">
        <v>5663</v>
      </c>
      <c r="B8426" s="2" t="s">
        <v>5130</v>
      </c>
      <c r="C8426" s="2">
        <v>773.23109999999997</v>
      </c>
      <c r="D8426" s="2">
        <f>HYPERLINK("http://mcb-m6.bioreg.kyushu-u.ac.jp/M3/20110318/F50618/1820/1", 63.84)</f>
        <v>63.84</v>
      </c>
      <c r="E8426" s="2">
        <v>38.89</v>
      </c>
      <c r="F8426" s="2">
        <v>2</v>
      </c>
      <c r="G8426" s="2" t="s">
        <v>9</v>
      </c>
    </row>
    <row r="8427" spans="1:9" x14ac:dyDescent="0.2">
      <c r="A8427" s="2" t="s">
        <v>3431</v>
      </c>
      <c r="B8427" s="2" t="s">
        <v>1661</v>
      </c>
      <c r="C8427" s="2">
        <v>892.96969999999999</v>
      </c>
      <c r="D8427" s="2">
        <f>HYPERLINK("http://mcb-m6.bioreg.kyushu-u.ac.jp/M3/20110318/F50599/2124/1", 68.94)</f>
        <v>68.94</v>
      </c>
      <c r="E8427" s="2">
        <v>48.49</v>
      </c>
      <c r="F8427" s="2">
        <v>2</v>
      </c>
      <c r="G8427" s="2" t="s">
        <v>10</v>
      </c>
    </row>
    <row r="8428" spans="1:9" x14ac:dyDescent="0.2">
      <c r="A8428" s="2" t="s">
        <v>3431</v>
      </c>
      <c r="B8428" s="2" t="s">
        <v>1676</v>
      </c>
      <c r="C8428" s="2">
        <v>848.18870000000004</v>
      </c>
      <c r="D8428" s="2">
        <f>HYPERLINK("http://mcb-m6.bioreg.kyushu-u.ac.jp/M3/20110429/F51151/2565/1", 107.33)</f>
        <v>107.33</v>
      </c>
      <c r="E8428" s="2">
        <v>99.36</v>
      </c>
      <c r="F8428" s="2">
        <v>2</v>
      </c>
      <c r="G8428" s="2" t="s">
        <v>13</v>
      </c>
    </row>
    <row r="8429" spans="1:9" x14ac:dyDescent="0.2">
      <c r="A8429" s="2" t="s">
        <v>3431</v>
      </c>
      <c r="B8429" s="2" t="s">
        <v>1676</v>
      </c>
      <c r="C8429" s="2">
        <v>847.66719999999998</v>
      </c>
      <c r="D8429" s="2">
        <f>HYPERLINK("http://mcb-m6.bioreg.kyushu-u.ac.jp/M3/20110429/F51151/2563/1", 128.24)</f>
        <v>128.24</v>
      </c>
      <c r="E8429" s="2">
        <v>100.58</v>
      </c>
      <c r="F8429" s="2">
        <v>2</v>
      </c>
      <c r="G8429" s="2" t="s">
        <v>13</v>
      </c>
    </row>
    <row r="8430" spans="1:9" x14ac:dyDescent="0.2">
      <c r="A8430" s="2" t="s">
        <v>5722</v>
      </c>
      <c r="B8430" s="2" t="s">
        <v>5290</v>
      </c>
      <c r="C8430" s="2">
        <v>597.89319999999998</v>
      </c>
      <c r="D8430" s="2">
        <f>HYPERLINK("http://mcb-m6.bioreg.kyushu-u.ac.jp/M3/20110318/F50612/1185/2", 48.2)</f>
        <v>48.2</v>
      </c>
      <c r="E8430" s="2">
        <v>20.34</v>
      </c>
      <c r="F8430" s="2">
        <v>2</v>
      </c>
      <c r="G8430" s="2" t="s">
        <v>10</v>
      </c>
    </row>
    <row r="8431" spans="1:9" x14ac:dyDescent="0.2">
      <c r="A8431" s="2" t="s">
        <v>4123</v>
      </c>
      <c r="B8431" s="2" t="s">
        <v>1637</v>
      </c>
      <c r="C8431" s="2">
        <v>1003.6559999999999</v>
      </c>
      <c r="D8431" s="2">
        <f>HYPERLINK("http://mcb-m6.bioreg.kyushu-u.ac.jp/M3/20110428/F51146/2890/1", 102.11)</f>
        <v>102.11</v>
      </c>
      <c r="E8431" s="2">
        <v>86.35</v>
      </c>
      <c r="F8431" s="2">
        <v>2</v>
      </c>
      <c r="G8431" s="2" t="s">
        <v>13</v>
      </c>
    </row>
    <row r="8432" spans="1:9" x14ac:dyDescent="0.2">
      <c r="A8432" s="2" t="s">
        <v>3736</v>
      </c>
      <c r="B8432" s="2" t="s">
        <v>859</v>
      </c>
      <c r="C8432" s="2">
        <v>800.04570000000001</v>
      </c>
      <c r="D8432" s="2">
        <f>HYPERLINK("http://mcb-m6.bioreg.kyushu-u.ac.jp/M3/20110428/F51146/2318/1", 46.18)</f>
        <v>46.18</v>
      </c>
      <c r="E8432" s="2">
        <v>28.49</v>
      </c>
      <c r="F8432" s="2">
        <v>2</v>
      </c>
      <c r="G8432" s="2" t="s">
        <v>13</v>
      </c>
      <c r="I8432" s="2" t="s">
        <v>4892</v>
      </c>
    </row>
    <row r="8433" spans="1:9" x14ac:dyDescent="0.2">
      <c r="A8433" s="2" t="s">
        <v>3736</v>
      </c>
      <c r="B8433" s="2" t="s">
        <v>859</v>
      </c>
      <c r="C8433" s="2">
        <v>808.10220000000004</v>
      </c>
      <c r="D8433" s="2">
        <f>HYPERLINK("http://mcb-m6.bioreg.kyushu-u.ac.jp/M3/20110428/F51146/2343/1", 61.16)</f>
        <v>61.16</v>
      </c>
      <c r="E8433" s="2">
        <v>42.7</v>
      </c>
      <c r="F8433" s="2">
        <v>2</v>
      </c>
      <c r="G8433" s="2" t="s">
        <v>13</v>
      </c>
      <c r="H8433" s="2" t="s">
        <v>4910</v>
      </c>
      <c r="I8433" s="2" t="s">
        <v>4892</v>
      </c>
    </row>
    <row r="8434" spans="1:9" x14ac:dyDescent="0.2">
      <c r="A8434" s="2" t="s">
        <v>3736</v>
      </c>
      <c r="B8434" s="2" t="s">
        <v>738</v>
      </c>
      <c r="C8434" s="2">
        <v>577.95510000000002</v>
      </c>
      <c r="D8434" s="2">
        <f>HYPERLINK("http://mcb-m6.bioreg.kyushu-u.ac.jp/M3/20110428/F51146/1508/1", 63.55)</f>
        <v>63.55</v>
      </c>
      <c r="E8434" s="2">
        <v>33.01</v>
      </c>
      <c r="F8434" s="2">
        <v>2</v>
      </c>
      <c r="G8434" s="2" t="s">
        <v>13</v>
      </c>
    </row>
    <row r="8435" spans="1:9" x14ac:dyDescent="0.2">
      <c r="A8435" s="2" t="s">
        <v>4596</v>
      </c>
      <c r="B8435" s="2" t="s">
        <v>2686</v>
      </c>
      <c r="C8435" s="2">
        <v>726.84010000000001</v>
      </c>
      <c r="D8435" s="2">
        <f>HYPERLINK("http://mcb-m6.bioreg.kyushu-u.ac.jp/M3/20110428/F51138/2213/1", 53.4)</f>
        <v>53.4</v>
      </c>
      <c r="E8435" s="2">
        <v>34.340000000000003</v>
      </c>
      <c r="F8435" s="2">
        <v>2</v>
      </c>
      <c r="G8435" s="2" t="s">
        <v>14</v>
      </c>
    </row>
    <row r="8436" spans="1:9" x14ac:dyDescent="0.2">
      <c r="A8436" s="2" t="s">
        <v>3802</v>
      </c>
      <c r="B8436" s="2" t="s">
        <v>1259</v>
      </c>
      <c r="C8436" s="2">
        <v>625.88369999999998</v>
      </c>
      <c r="D8436" s="2">
        <f>HYPERLINK("http://mcb-m6.bioreg.kyushu-u.ac.jp/M3/20110318/F50600/1290/1", 48.92)</f>
        <v>48.92</v>
      </c>
      <c r="E8436" s="2">
        <v>26.22</v>
      </c>
      <c r="F8436" s="2">
        <v>2</v>
      </c>
      <c r="G8436" s="2" t="s">
        <v>10</v>
      </c>
    </row>
    <row r="8437" spans="1:9" x14ac:dyDescent="0.2">
      <c r="A8437" s="2" t="s">
        <v>3802</v>
      </c>
      <c r="B8437" s="2" t="s">
        <v>857</v>
      </c>
      <c r="C8437" s="2">
        <v>738.36770000000001</v>
      </c>
      <c r="D8437" s="2">
        <f>HYPERLINK("http://mcb-m6.bioreg.kyushu-u.ac.jp/M3/20110429/F51149/2011/1", 46.8)</f>
        <v>46.8</v>
      </c>
      <c r="E8437" s="2">
        <v>28.5</v>
      </c>
      <c r="F8437" s="2">
        <v>2</v>
      </c>
      <c r="G8437" s="2" t="s">
        <v>13</v>
      </c>
    </row>
    <row r="8438" spans="1:9" x14ac:dyDescent="0.2">
      <c r="A8438" s="2" t="s">
        <v>3802</v>
      </c>
      <c r="B8438" s="2" t="s">
        <v>1259</v>
      </c>
      <c r="C8438" s="2">
        <v>625.93219999999997</v>
      </c>
      <c r="D8438" s="2">
        <f>HYPERLINK("http://mcb-m6.bioreg.kyushu-u.ac.jp/M3/20110429/F51149/1769/1", 57.88)</f>
        <v>57.88</v>
      </c>
      <c r="E8438" s="2">
        <v>39.15</v>
      </c>
      <c r="F8438" s="2">
        <v>2</v>
      </c>
      <c r="G8438" s="2" t="s">
        <v>13</v>
      </c>
    </row>
    <row r="8439" spans="1:9" x14ac:dyDescent="0.2">
      <c r="A8439" s="2" t="s">
        <v>4654</v>
      </c>
      <c r="B8439" s="2" t="s">
        <v>2812</v>
      </c>
      <c r="C8439" s="2">
        <v>489.3621</v>
      </c>
      <c r="D8439" s="2">
        <f>HYPERLINK("http://mcb-m6.bioreg.kyushu-u.ac.jp/M3/20110502/F51159/928/1", 36.17)</f>
        <v>36.17</v>
      </c>
      <c r="E8439" s="2">
        <v>8.93</v>
      </c>
      <c r="F8439" s="2">
        <v>2</v>
      </c>
      <c r="G8439" s="2" t="s">
        <v>14</v>
      </c>
    </row>
    <row r="8440" spans="1:9" x14ac:dyDescent="0.2">
      <c r="A8440" s="2" t="s">
        <v>5603</v>
      </c>
      <c r="B8440" s="2" t="s">
        <v>4994</v>
      </c>
      <c r="C8440" s="2">
        <v>693.49620000000004</v>
      </c>
      <c r="D8440" s="2">
        <f>HYPERLINK("http://mcb-m6.bioreg.kyushu-u.ac.jp/M3/20110318/F50609/1472/1", 35.97)</f>
        <v>35.97</v>
      </c>
      <c r="E8440" s="2">
        <v>14.52</v>
      </c>
      <c r="F8440" s="2">
        <v>2</v>
      </c>
      <c r="G8440" s="2" t="s">
        <v>9</v>
      </c>
    </row>
    <row r="8441" spans="1:9" x14ac:dyDescent="0.2">
      <c r="A8441" s="2" t="s">
        <v>3453</v>
      </c>
      <c r="B8441" s="2" t="s">
        <v>4986</v>
      </c>
      <c r="C8441" s="2">
        <v>538.36469999999997</v>
      </c>
      <c r="D8441" s="2">
        <f>HYPERLINK("http://mcb-m6.bioreg.kyushu-u.ac.jp/M3/20110318/F50604/1162/1", 35.05)</f>
        <v>35.049999999999997</v>
      </c>
      <c r="E8441" s="2">
        <v>18.7</v>
      </c>
      <c r="F8441" s="2">
        <v>2</v>
      </c>
      <c r="G8441" s="2" t="s">
        <v>4984</v>
      </c>
    </row>
    <row r="8442" spans="1:9" x14ac:dyDescent="0.2">
      <c r="A8442" s="2" t="s">
        <v>3453</v>
      </c>
      <c r="B8442" s="2" t="s">
        <v>1177</v>
      </c>
      <c r="C8442" s="2">
        <v>790.02260000000001</v>
      </c>
      <c r="D8442" s="2">
        <f>HYPERLINK("http://mcb-m6.bioreg.kyushu-u.ac.jp/M3/20110318/F50604/1711/1", 73.18)</f>
        <v>73.180000000000007</v>
      </c>
      <c r="E8442" s="2">
        <v>58.38</v>
      </c>
      <c r="F8442" s="2">
        <v>2</v>
      </c>
      <c r="G8442" s="2" t="s">
        <v>9</v>
      </c>
      <c r="I8442" s="2" t="s">
        <v>4903</v>
      </c>
    </row>
    <row r="8443" spans="1:9" x14ac:dyDescent="0.2">
      <c r="A8443" s="2" t="s">
        <v>3453</v>
      </c>
      <c r="B8443" s="2" t="s">
        <v>5260</v>
      </c>
      <c r="C8443" s="2">
        <v>621.92610000000002</v>
      </c>
      <c r="D8443" s="2">
        <f>HYPERLINK("http://mcb-m6.bioreg.kyushu-u.ac.jp/M3/20110318/F50612/1240/1", 43.45)</f>
        <v>43.45</v>
      </c>
      <c r="E8443" s="2">
        <v>24.66</v>
      </c>
      <c r="F8443" s="2">
        <v>2</v>
      </c>
      <c r="G8443" s="2" t="s">
        <v>10</v>
      </c>
    </row>
    <row r="8444" spans="1:9" x14ac:dyDescent="0.2">
      <c r="A8444" s="2" t="s">
        <v>3453</v>
      </c>
      <c r="B8444" s="2" t="s">
        <v>2529</v>
      </c>
      <c r="C8444" s="2">
        <v>771.37220000000002</v>
      </c>
      <c r="D8444" s="2">
        <f>HYPERLINK("http://mcb-m6.bioreg.kyushu-u.ac.jp/M3/20110318/F50612/1681/1", 51.58)</f>
        <v>51.58</v>
      </c>
      <c r="E8444" s="2">
        <v>35.229999999999997</v>
      </c>
      <c r="F8444" s="2">
        <v>2</v>
      </c>
      <c r="G8444" s="2" t="s">
        <v>10</v>
      </c>
      <c r="I8444" s="2" t="s">
        <v>4926</v>
      </c>
    </row>
    <row r="8445" spans="1:9" x14ac:dyDescent="0.2">
      <c r="A8445" s="2" t="s">
        <v>3453</v>
      </c>
      <c r="B8445" s="2" t="s">
        <v>5303</v>
      </c>
      <c r="C8445" s="2">
        <v>558.95510000000002</v>
      </c>
      <c r="D8445" s="2">
        <f>HYPERLINK("http://mcb-m6.bioreg.kyushu-u.ac.jp/M3/20110318/F50612/1105/1", 53.58)</f>
        <v>53.58</v>
      </c>
      <c r="E8445" s="2">
        <v>21.6</v>
      </c>
      <c r="F8445" s="2">
        <v>2</v>
      </c>
      <c r="G8445" s="2" t="s">
        <v>10</v>
      </c>
    </row>
    <row r="8446" spans="1:9" x14ac:dyDescent="0.2">
      <c r="A8446" s="2" t="s">
        <v>3453</v>
      </c>
      <c r="B8446" s="2" t="s">
        <v>1177</v>
      </c>
      <c r="C8446" s="2">
        <v>789.8066</v>
      </c>
      <c r="D8446" s="2">
        <f>HYPERLINK("http://mcb-m6.bioreg.kyushu-u.ac.jp/M3/20110318/F50612/1746/1", 74.75)</f>
        <v>74.75</v>
      </c>
      <c r="E8446" s="2">
        <v>54.84</v>
      </c>
      <c r="F8446" s="2">
        <v>2</v>
      </c>
      <c r="G8446" s="2" t="s">
        <v>10</v>
      </c>
      <c r="I8446" s="2" t="s">
        <v>4903</v>
      </c>
    </row>
    <row r="8447" spans="1:9" x14ac:dyDescent="0.2">
      <c r="A8447" s="2" t="s">
        <v>3453</v>
      </c>
      <c r="B8447" s="2" t="s">
        <v>264</v>
      </c>
      <c r="C8447" s="2">
        <v>587.3152</v>
      </c>
      <c r="D8447" s="2">
        <f>HYPERLINK("http://mcb-m6.bioreg.kyushu-u.ac.jp/M3/20110418/F50977/1285/1", 39.07)</f>
        <v>39.07</v>
      </c>
      <c r="E8447" s="2">
        <v>25.36</v>
      </c>
      <c r="F8447" s="2">
        <v>2</v>
      </c>
      <c r="G8447" s="2" t="s">
        <v>11</v>
      </c>
    </row>
    <row r="8448" spans="1:9" x14ac:dyDescent="0.2">
      <c r="A8448" s="2" t="s">
        <v>3453</v>
      </c>
      <c r="B8448" s="2" t="s">
        <v>1494</v>
      </c>
      <c r="C8448" s="2">
        <v>779.35770000000002</v>
      </c>
      <c r="D8448" s="2">
        <f>HYPERLINK("http://mcb-m6.bioreg.kyushu-u.ac.jp/M3/20110418/F50977/2323/1", 51.21)</f>
        <v>51.21</v>
      </c>
      <c r="E8448" s="2">
        <v>22.86</v>
      </c>
      <c r="F8448" s="2">
        <v>2</v>
      </c>
      <c r="G8448" s="2" t="s">
        <v>11</v>
      </c>
    </row>
    <row r="8449" spans="1:9" x14ac:dyDescent="0.2">
      <c r="A8449" s="2" t="s">
        <v>3453</v>
      </c>
      <c r="B8449" s="2" t="s">
        <v>1258</v>
      </c>
      <c r="C8449" s="2">
        <v>665.39260000000002</v>
      </c>
      <c r="D8449" s="2">
        <f>HYPERLINK("http://mcb-m6.bioreg.kyushu-u.ac.jp/M3/20110418/F50977/1637/1", 69.51)</f>
        <v>69.510000000000005</v>
      </c>
      <c r="E8449" s="2">
        <v>42.26</v>
      </c>
      <c r="F8449" s="2">
        <v>2</v>
      </c>
      <c r="G8449" s="2" t="s">
        <v>11</v>
      </c>
    </row>
    <row r="8450" spans="1:9" x14ac:dyDescent="0.2">
      <c r="A8450" s="2" t="s">
        <v>3453</v>
      </c>
      <c r="B8450" s="2" t="s">
        <v>2529</v>
      </c>
      <c r="C8450" s="2">
        <v>770.8202</v>
      </c>
      <c r="D8450" s="2">
        <f>HYPERLINK("http://mcb-m6.bioreg.kyushu-u.ac.jp/M3/20110418/F50977/2288/1", 77.46)</f>
        <v>77.459999999999994</v>
      </c>
      <c r="E8450" s="2">
        <v>57.75</v>
      </c>
      <c r="F8450" s="2">
        <v>2</v>
      </c>
      <c r="G8450" s="2" t="s">
        <v>11</v>
      </c>
      <c r="I8450" s="2" t="s">
        <v>4926</v>
      </c>
    </row>
    <row r="8451" spans="1:9" x14ac:dyDescent="0.2">
      <c r="A8451" s="2" t="s">
        <v>4121</v>
      </c>
      <c r="B8451" s="2" t="s">
        <v>1629</v>
      </c>
      <c r="C8451" s="2">
        <v>628.33320000000003</v>
      </c>
      <c r="D8451" s="2">
        <f>HYPERLINK("http://mcb-m6.bioreg.kyushu-u.ac.jp/M3/20110418/F50977/1486/1", 39.22)</f>
        <v>39.22</v>
      </c>
      <c r="E8451" s="2">
        <v>14.15</v>
      </c>
      <c r="F8451" s="2">
        <v>2</v>
      </c>
      <c r="G8451" s="2" t="s">
        <v>11</v>
      </c>
    </row>
    <row r="8452" spans="1:9" x14ac:dyDescent="0.2">
      <c r="A8452" s="2" t="s">
        <v>4121</v>
      </c>
      <c r="B8452" s="2" t="s">
        <v>1629</v>
      </c>
      <c r="C8452" s="2">
        <v>627.78610000000003</v>
      </c>
      <c r="D8452" s="2">
        <f>HYPERLINK("http://mcb-m6.bioreg.kyushu-u.ac.jp/M3/20110418/F50976/1416/1", 44.36)</f>
        <v>44.36</v>
      </c>
      <c r="E8452" s="2">
        <v>27.24</v>
      </c>
      <c r="F8452" s="2">
        <v>2</v>
      </c>
      <c r="G8452" s="2" t="s">
        <v>11</v>
      </c>
    </row>
    <row r="8453" spans="1:9" x14ac:dyDescent="0.2">
      <c r="A8453" s="2" t="s">
        <v>4121</v>
      </c>
      <c r="B8453" s="2" t="s">
        <v>1629</v>
      </c>
      <c r="C8453" s="2">
        <v>628.25710000000004</v>
      </c>
      <c r="D8453" s="2">
        <f>HYPERLINK("http://mcb-m6.bioreg.kyushu-u.ac.jp/M3/20110418/F50979/1701/1", 83.5)</f>
        <v>83.5</v>
      </c>
      <c r="E8453" s="2">
        <v>48.21</v>
      </c>
      <c r="F8453" s="2">
        <v>2</v>
      </c>
      <c r="G8453" s="2" t="s">
        <v>11</v>
      </c>
    </row>
    <row r="8454" spans="1:9" x14ac:dyDescent="0.2">
      <c r="A8454" s="2" t="s">
        <v>4121</v>
      </c>
      <c r="B8454" s="2" t="s">
        <v>1629</v>
      </c>
      <c r="C8454" s="2">
        <v>627.99220000000003</v>
      </c>
      <c r="D8454" s="2">
        <f>HYPERLINK("http://mcb-m6.bioreg.kyushu-u.ac.jp/M3/20110418/F50975/1370/1", 92.16)</f>
        <v>92.16</v>
      </c>
      <c r="E8454" s="2">
        <v>53.62</v>
      </c>
      <c r="F8454" s="2">
        <v>2</v>
      </c>
      <c r="G8454" s="2" t="s">
        <v>11</v>
      </c>
    </row>
    <row r="8455" spans="1:9" x14ac:dyDescent="0.2">
      <c r="A8455" s="2" t="s">
        <v>4121</v>
      </c>
      <c r="B8455" s="2" t="s">
        <v>1629</v>
      </c>
      <c r="C8455" s="2">
        <v>627.71969999999999</v>
      </c>
      <c r="D8455" s="2">
        <f>HYPERLINK("http://mcb-m6.bioreg.kyushu-u.ac.jp/M3/20110418/F50979/1698/1", 96.68)</f>
        <v>96.68</v>
      </c>
      <c r="E8455" s="2">
        <v>63.91</v>
      </c>
      <c r="F8455" s="2">
        <v>2</v>
      </c>
      <c r="G8455" s="2" t="s">
        <v>11</v>
      </c>
    </row>
    <row r="8456" spans="1:9" x14ac:dyDescent="0.2">
      <c r="A8456" s="2" t="s">
        <v>4121</v>
      </c>
      <c r="B8456" s="2" t="s">
        <v>1629</v>
      </c>
      <c r="C8456" s="2">
        <v>627.71510000000001</v>
      </c>
      <c r="D8456" s="2">
        <f>HYPERLINK("http://mcb-m6.bioreg.kyushu-u.ac.jp/M3/20110418/F50997/1603/1", 69.61)</f>
        <v>69.61</v>
      </c>
      <c r="E8456" s="2">
        <v>53.02</v>
      </c>
      <c r="F8456" s="2">
        <v>2</v>
      </c>
      <c r="G8456" s="2" t="s">
        <v>12</v>
      </c>
    </row>
    <row r="8457" spans="1:9" x14ac:dyDescent="0.2">
      <c r="A8457" s="2" t="s">
        <v>4121</v>
      </c>
      <c r="B8457" s="2" t="s">
        <v>1629</v>
      </c>
      <c r="C8457" s="2">
        <v>627.69569999999999</v>
      </c>
      <c r="D8457" s="2">
        <f>HYPERLINK("http://mcb-m6.bioreg.kyushu-u.ac.jp/M3/20110429/F51151/1696/1", 41.43)</f>
        <v>41.43</v>
      </c>
      <c r="E8457" s="2">
        <v>27.86</v>
      </c>
      <c r="F8457" s="2">
        <v>2</v>
      </c>
      <c r="G8457" s="2" t="s">
        <v>13</v>
      </c>
    </row>
    <row r="8458" spans="1:9" x14ac:dyDescent="0.2">
      <c r="A8458" s="2" t="s">
        <v>4121</v>
      </c>
      <c r="B8458" s="2" t="s">
        <v>1629</v>
      </c>
      <c r="C8458" s="2">
        <v>627.62819999999999</v>
      </c>
      <c r="D8458" s="2">
        <f>HYPERLINK("http://mcb-m6.bioreg.kyushu-u.ac.jp/M3/20110429/F51152/1404/1", 96.19)</f>
        <v>96.19</v>
      </c>
      <c r="E8458" s="2">
        <v>57.43</v>
      </c>
      <c r="F8458" s="2">
        <v>2</v>
      </c>
      <c r="G8458" s="2" t="s">
        <v>13</v>
      </c>
    </row>
    <row r="8459" spans="1:9" x14ac:dyDescent="0.2">
      <c r="A8459" s="2" t="s">
        <v>4121</v>
      </c>
      <c r="B8459" s="2" t="s">
        <v>1629</v>
      </c>
      <c r="C8459" s="2">
        <v>627.79719999999998</v>
      </c>
      <c r="D8459" s="2">
        <f>HYPERLINK("http://mcb-m6.bioreg.kyushu-u.ac.jp/M3/20110428/F51138/1870/1", 45.85)</f>
        <v>45.85</v>
      </c>
      <c r="E8459" s="2">
        <v>27.97</v>
      </c>
      <c r="F8459" s="2">
        <v>2</v>
      </c>
      <c r="G8459" s="2" t="s">
        <v>14</v>
      </c>
    </row>
    <row r="8460" spans="1:9" x14ac:dyDescent="0.2">
      <c r="A8460" s="2" t="s">
        <v>5776</v>
      </c>
      <c r="B8460" s="2" t="s">
        <v>5418</v>
      </c>
      <c r="C8460" s="2">
        <v>733.71669999999995</v>
      </c>
      <c r="D8460" s="2">
        <f>HYPERLINK("http://mcb-m6.bioreg.kyushu-u.ac.jp/M3/20110418/F50974/2045/1", 73.58)</f>
        <v>73.58</v>
      </c>
      <c r="E8460" s="2">
        <v>58.19</v>
      </c>
      <c r="F8460" s="2">
        <v>2</v>
      </c>
      <c r="G8460" s="2" t="s">
        <v>11</v>
      </c>
    </row>
    <row r="8461" spans="1:9" x14ac:dyDescent="0.2">
      <c r="A8461" s="2" t="s">
        <v>5770</v>
      </c>
      <c r="B8461" s="2" t="s">
        <v>5401</v>
      </c>
      <c r="C8461" s="2">
        <v>738.89570000000003</v>
      </c>
      <c r="D8461" s="2">
        <f>HYPERLINK("http://mcb-m6.bioreg.kyushu-u.ac.jp/M3/20110418/F50978/2106/1", 47.61)</f>
        <v>47.61</v>
      </c>
      <c r="E8461" s="2">
        <v>32.630000000000003</v>
      </c>
      <c r="F8461" s="2">
        <v>2</v>
      </c>
      <c r="G8461" s="2" t="s">
        <v>11</v>
      </c>
    </row>
    <row r="8462" spans="1:9" x14ac:dyDescent="0.2">
      <c r="A8462" s="2" t="s">
        <v>5762</v>
      </c>
      <c r="B8462" s="2" t="s">
        <v>5384</v>
      </c>
      <c r="C8462" s="2">
        <v>835.91269999999997</v>
      </c>
      <c r="D8462" s="2">
        <f>HYPERLINK("http://mcb-m6.bioreg.kyushu-u.ac.jp/M3/20110418/F50978/2517/1", 41.99)</f>
        <v>41.99</v>
      </c>
      <c r="E8462" s="2">
        <v>27.98</v>
      </c>
      <c r="F8462" s="2">
        <v>2</v>
      </c>
      <c r="G8462" s="2" t="s">
        <v>11</v>
      </c>
    </row>
    <row r="8463" spans="1:9" x14ac:dyDescent="0.2">
      <c r="A8463" s="2" t="s">
        <v>5762</v>
      </c>
      <c r="B8463" s="2" t="s">
        <v>5384</v>
      </c>
      <c r="C8463" s="2">
        <v>835.74069999999995</v>
      </c>
      <c r="D8463" s="2">
        <f>HYPERLINK("http://mcb-m6.bioreg.kyushu-u.ac.jp/M3/20110429/F51154/2547/1", 74.79)</f>
        <v>74.790000000000006</v>
      </c>
      <c r="E8463" s="2">
        <v>60.51</v>
      </c>
      <c r="F8463" s="2">
        <v>2</v>
      </c>
      <c r="G8463" s="2" t="s">
        <v>13</v>
      </c>
    </row>
    <row r="8464" spans="1:9" x14ac:dyDescent="0.2">
      <c r="A8464" s="2" t="s">
        <v>5761</v>
      </c>
      <c r="B8464" s="2" t="s">
        <v>5383</v>
      </c>
      <c r="C8464" s="2">
        <v>558.97670000000005</v>
      </c>
      <c r="D8464" s="2">
        <f>HYPERLINK("http://mcb-m6.bioreg.kyushu-u.ac.jp/M3/20110418/F50979/1506/1", 40.96)</f>
        <v>40.96</v>
      </c>
      <c r="E8464" s="2">
        <v>19.13</v>
      </c>
      <c r="F8464" s="2">
        <v>2</v>
      </c>
      <c r="G8464" s="2" t="s">
        <v>11</v>
      </c>
    </row>
    <row r="8465" spans="1:8" x14ac:dyDescent="0.2">
      <c r="A8465" s="2" t="s">
        <v>3588</v>
      </c>
      <c r="B8465" s="2" t="s">
        <v>4991</v>
      </c>
      <c r="C8465" s="2">
        <v>668.80909999999994</v>
      </c>
      <c r="D8465" s="2">
        <f>HYPERLINK("http://mcb-m6.bioreg.kyushu-u.ac.jp/M3/20110318/F50618/1308/1", 35.51)</f>
        <v>35.51</v>
      </c>
      <c r="E8465" s="2">
        <v>16.100000000000001</v>
      </c>
      <c r="F8465" s="2">
        <v>2</v>
      </c>
      <c r="G8465" s="2" t="s">
        <v>9</v>
      </c>
      <c r="H8465" s="2" t="s">
        <v>4920</v>
      </c>
    </row>
    <row r="8466" spans="1:8" x14ac:dyDescent="0.2">
      <c r="A8466" s="2" t="s">
        <v>3588</v>
      </c>
      <c r="B8466" s="2" t="s">
        <v>473</v>
      </c>
      <c r="C8466" s="2">
        <v>633.43370000000004</v>
      </c>
      <c r="D8466" s="2">
        <f>HYPERLINK("http://mcb-m6.bioreg.kyushu-u.ac.jp/M3/20110318/F50603/1225/1", 62.02)</f>
        <v>62.02</v>
      </c>
      <c r="E8466" s="2">
        <v>43.43</v>
      </c>
      <c r="F8466" s="2">
        <v>2</v>
      </c>
      <c r="G8466" s="2" t="s">
        <v>9</v>
      </c>
    </row>
    <row r="8467" spans="1:8" x14ac:dyDescent="0.2">
      <c r="A8467" s="2" t="s">
        <v>3588</v>
      </c>
      <c r="B8467" s="2" t="s">
        <v>473</v>
      </c>
      <c r="C8467" s="2">
        <v>633.34670000000006</v>
      </c>
      <c r="D8467" s="2">
        <f>HYPERLINK("http://mcb-m6.bioreg.kyushu-u.ac.jp/M3/20110318/F50596/1309/1", 58.2)</f>
        <v>58.2</v>
      </c>
      <c r="E8467" s="2">
        <v>32.74</v>
      </c>
      <c r="F8467" s="2">
        <v>2</v>
      </c>
      <c r="G8467" s="2" t="s">
        <v>10</v>
      </c>
    </row>
    <row r="8468" spans="1:8" x14ac:dyDescent="0.2">
      <c r="A8468" s="2" t="s">
        <v>3588</v>
      </c>
      <c r="B8468" s="2" t="s">
        <v>712</v>
      </c>
      <c r="C8468" s="2">
        <v>697.35019999999997</v>
      </c>
      <c r="D8468" s="2">
        <f>HYPERLINK("http://mcb-m6.bioreg.kyushu-u.ac.jp/M3/20110318/F50614/1491/1", 59.02)</f>
        <v>59.02</v>
      </c>
      <c r="E8468" s="2">
        <v>34.65</v>
      </c>
      <c r="F8468" s="2">
        <v>2</v>
      </c>
      <c r="G8468" s="2" t="s">
        <v>10</v>
      </c>
    </row>
    <row r="8469" spans="1:8" x14ac:dyDescent="0.2">
      <c r="A8469" s="2" t="s">
        <v>3588</v>
      </c>
      <c r="B8469" s="2" t="s">
        <v>712</v>
      </c>
      <c r="C8469" s="2">
        <v>697.54970000000003</v>
      </c>
      <c r="D8469" s="2">
        <f>HYPERLINK("http://mcb-m6.bioreg.kyushu-u.ac.jp/M3/20110318/F50595/1580/1", 63.61)</f>
        <v>63.61</v>
      </c>
      <c r="E8469" s="2">
        <v>44.99</v>
      </c>
      <c r="F8469" s="2">
        <v>2</v>
      </c>
      <c r="G8469" s="2" t="s">
        <v>10</v>
      </c>
    </row>
    <row r="8470" spans="1:8" x14ac:dyDescent="0.2">
      <c r="A8470" s="2" t="s">
        <v>3588</v>
      </c>
      <c r="B8470" s="2" t="s">
        <v>712</v>
      </c>
      <c r="C8470" s="2">
        <v>697.39009999999996</v>
      </c>
      <c r="D8470" s="2">
        <f>HYPERLINK("http://mcb-m6.bioreg.kyushu-u.ac.jp/M3/20110318/F50611/1456/1", 64.17)</f>
        <v>64.17</v>
      </c>
      <c r="E8470" s="2">
        <v>46.88</v>
      </c>
      <c r="F8470" s="2">
        <v>2</v>
      </c>
      <c r="G8470" s="2" t="s">
        <v>10</v>
      </c>
    </row>
    <row r="8471" spans="1:8" x14ac:dyDescent="0.2">
      <c r="A8471" s="2" t="s">
        <v>3588</v>
      </c>
      <c r="B8471" s="2" t="s">
        <v>712</v>
      </c>
      <c r="C8471" s="2">
        <v>697.42610000000002</v>
      </c>
      <c r="D8471" s="2">
        <f>HYPERLINK("http://mcb-m6.bioreg.kyushu-u.ac.jp/M3/20110318/F50597/1408/1", 70.82)</f>
        <v>70.819999999999993</v>
      </c>
      <c r="E8471" s="2">
        <v>47.54</v>
      </c>
      <c r="F8471" s="2">
        <v>2</v>
      </c>
      <c r="G8471" s="2" t="s">
        <v>10</v>
      </c>
    </row>
    <row r="8472" spans="1:8" x14ac:dyDescent="0.2">
      <c r="A8472" s="2" t="s">
        <v>3588</v>
      </c>
      <c r="B8472" s="2" t="s">
        <v>712</v>
      </c>
      <c r="C8472" s="2">
        <v>697.28520000000003</v>
      </c>
      <c r="D8472" s="2">
        <f>HYPERLINK("http://mcb-m6.bioreg.kyushu-u.ac.jp/M3/20110418/F50969/1968/1", 40.98)</f>
        <v>40.98</v>
      </c>
      <c r="E8472" s="2">
        <v>22.25</v>
      </c>
      <c r="F8472" s="2">
        <v>2</v>
      </c>
      <c r="G8472" s="2" t="s">
        <v>11</v>
      </c>
    </row>
    <row r="8473" spans="1:8" x14ac:dyDescent="0.2">
      <c r="A8473" s="2" t="s">
        <v>3588</v>
      </c>
      <c r="B8473" s="2" t="s">
        <v>473</v>
      </c>
      <c r="C8473" s="2">
        <v>633.79169999999999</v>
      </c>
      <c r="D8473" s="2">
        <f>HYPERLINK("http://mcb-m6.bioreg.kyushu-u.ac.jp/M3/20110418/F50976/1436/1", 41.51)</f>
        <v>41.51</v>
      </c>
      <c r="E8473" s="2">
        <v>26.5</v>
      </c>
      <c r="F8473" s="2">
        <v>2</v>
      </c>
      <c r="G8473" s="2" t="s">
        <v>11</v>
      </c>
    </row>
    <row r="8474" spans="1:8" x14ac:dyDescent="0.2">
      <c r="A8474" s="2" t="s">
        <v>3588</v>
      </c>
      <c r="B8474" s="2" t="s">
        <v>712</v>
      </c>
      <c r="C8474" s="2">
        <v>697.78369999999995</v>
      </c>
      <c r="D8474" s="2">
        <f>HYPERLINK("http://mcb-m6.bioreg.kyushu-u.ac.jp/M3/20110418/F50979/1906/1", 45.42)</f>
        <v>45.42</v>
      </c>
      <c r="E8474" s="2">
        <v>26.16</v>
      </c>
      <c r="F8474" s="2">
        <v>2</v>
      </c>
      <c r="G8474" s="2" t="s">
        <v>11</v>
      </c>
    </row>
    <row r="8475" spans="1:8" x14ac:dyDescent="0.2">
      <c r="A8475" s="2" t="s">
        <v>3588</v>
      </c>
      <c r="B8475" s="2" t="s">
        <v>473</v>
      </c>
      <c r="C8475" s="2">
        <v>633.15620000000001</v>
      </c>
      <c r="D8475" s="2">
        <f>HYPERLINK("http://mcb-m6.bioreg.kyushu-u.ac.jp/M3/20110418/F50977/1506/1", 57.93)</f>
        <v>57.93</v>
      </c>
      <c r="E8475" s="2">
        <v>32.19</v>
      </c>
      <c r="F8475" s="2">
        <v>2</v>
      </c>
      <c r="G8475" s="2" t="s">
        <v>11</v>
      </c>
    </row>
    <row r="8476" spans="1:8" x14ac:dyDescent="0.2">
      <c r="A8476" s="2" t="s">
        <v>3588</v>
      </c>
      <c r="B8476" s="2" t="s">
        <v>473</v>
      </c>
      <c r="C8476" s="2">
        <v>633.06769999999995</v>
      </c>
      <c r="D8476" s="2">
        <f>HYPERLINK("http://mcb-m6.bioreg.kyushu-u.ac.jp/M3/20110418/F50969/1793/1", 63.44)</f>
        <v>63.44</v>
      </c>
      <c r="E8476" s="2">
        <v>35.35</v>
      </c>
      <c r="F8476" s="2">
        <v>2</v>
      </c>
      <c r="G8476" s="2" t="s">
        <v>11</v>
      </c>
    </row>
    <row r="8477" spans="1:8" x14ac:dyDescent="0.2">
      <c r="A8477" s="2" t="s">
        <v>3588</v>
      </c>
      <c r="B8477" s="2" t="s">
        <v>712</v>
      </c>
      <c r="C8477" s="2">
        <v>697.58219999999994</v>
      </c>
      <c r="D8477" s="2">
        <f>HYPERLINK("http://mcb-m6.bioreg.kyushu-u.ac.jp/M3/20110418/F50975/1760/1", 63.49)</f>
        <v>63.49</v>
      </c>
      <c r="E8477" s="2">
        <v>43.92</v>
      </c>
      <c r="F8477" s="2">
        <v>2</v>
      </c>
      <c r="G8477" s="2" t="s">
        <v>11</v>
      </c>
    </row>
    <row r="8478" spans="1:8" x14ac:dyDescent="0.2">
      <c r="A8478" s="2" t="s">
        <v>3588</v>
      </c>
      <c r="B8478" s="2" t="s">
        <v>712</v>
      </c>
      <c r="C8478" s="2">
        <v>697.83969999999999</v>
      </c>
      <c r="D8478" s="2">
        <f>HYPERLINK("http://mcb-m6.bioreg.kyushu-u.ac.jp/M3/20110418/F50979/1907/1", 64.69)</f>
        <v>64.69</v>
      </c>
      <c r="E8478" s="2">
        <v>45.21</v>
      </c>
      <c r="F8478" s="2">
        <v>2</v>
      </c>
      <c r="G8478" s="2" t="s">
        <v>11</v>
      </c>
    </row>
    <row r="8479" spans="1:8" x14ac:dyDescent="0.2">
      <c r="A8479" s="2" t="s">
        <v>3588</v>
      </c>
      <c r="B8479" s="2" t="s">
        <v>712</v>
      </c>
      <c r="C8479" s="2">
        <v>697.33259999999996</v>
      </c>
      <c r="D8479" s="2">
        <f>HYPERLINK("http://mcb-m6.bioreg.kyushu-u.ac.jp/M3/20110418/F50977/1851/1", 75.43)</f>
        <v>75.430000000000007</v>
      </c>
      <c r="E8479" s="2">
        <v>57.65</v>
      </c>
      <c r="F8479" s="2">
        <v>2</v>
      </c>
      <c r="G8479" s="2" t="s">
        <v>11</v>
      </c>
    </row>
    <row r="8480" spans="1:8" x14ac:dyDescent="0.2">
      <c r="A8480" s="2" t="s">
        <v>3588</v>
      </c>
      <c r="B8480" s="2" t="s">
        <v>712</v>
      </c>
      <c r="C8480" s="2">
        <v>697.29669999999999</v>
      </c>
      <c r="D8480" s="2">
        <f>HYPERLINK("http://mcb-m6.bioreg.kyushu-u.ac.jp/M3/20110418/F50976/1754/1", 75.87)</f>
        <v>75.87</v>
      </c>
      <c r="E8480" s="2">
        <v>59.31</v>
      </c>
      <c r="F8480" s="2">
        <v>2</v>
      </c>
      <c r="G8480" s="2" t="s">
        <v>11</v>
      </c>
    </row>
    <row r="8481" spans="1:7" x14ac:dyDescent="0.2">
      <c r="A8481" s="2" t="s">
        <v>3588</v>
      </c>
      <c r="B8481" s="2" t="s">
        <v>712</v>
      </c>
      <c r="C8481" s="2">
        <v>697.27919999999995</v>
      </c>
      <c r="D8481" s="2">
        <f>HYPERLINK("http://mcb-m6.bioreg.kyushu-u.ac.jp/M3/20110418/F50979/1905/1", 78.12)</f>
        <v>78.12</v>
      </c>
      <c r="E8481" s="2">
        <v>58.25</v>
      </c>
      <c r="F8481" s="2">
        <v>2</v>
      </c>
      <c r="G8481" s="2" t="s">
        <v>11</v>
      </c>
    </row>
    <row r="8482" spans="1:7" x14ac:dyDescent="0.2">
      <c r="A8482" s="2" t="s">
        <v>3588</v>
      </c>
      <c r="B8482" s="2" t="s">
        <v>712</v>
      </c>
      <c r="C8482" s="2">
        <v>697.13570000000004</v>
      </c>
      <c r="D8482" s="2">
        <f>HYPERLINK("http://mcb-m6.bioreg.kyushu-u.ac.jp/M3/20110418/F50969/1967/1", 78.78)</f>
        <v>78.78</v>
      </c>
      <c r="E8482" s="2">
        <v>63.49</v>
      </c>
      <c r="F8482" s="2">
        <v>2</v>
      </c>
      <c r="G8482" s="2" t="s">
        <v>11</v>
      </c>
    </row>
    <row r="8483" spans="1:7" x14ac:dyDescent="0.2">
      <c r="A8483" s="2" t="s">
        <v>3588</v>
      </c>
      <c r="B8483" s="2" t="s">
        <v>712</v>
      </c>
      <c r="C8483" s="2">
        <v>697.33010000000002</v>
      </c>
      <c r="D8483" s="2">
        <f>HYPERLINK("http://mcb-m6.bioreg.kyushu-u.ac.jp/M3/20110418/F50997/1826/1", 43.46)</f>
        <v>43.46</v>
      </c>
      <c r="E8483" s="2">
        <v>27.28</v>
      </c>
      <c r="F8483" s="2">
        <v>2</v>
      </c>
      <c r="G8483" s="2" t="s">
        <v>12</v>
      </c>
    </row>
    <row r="8484" spans="1:7" x14ac:dyDescent="0.2">
      <c r="A8484" s="2" t="s">
        <v>3588</v>
      </c>
      <c r="B8484" s="2" t="s">
        <v>712</v>
      </c>
      <c r="C8484" s="2">
        <v>697.36659999999995</v>
      </c>
      <c r="D8484" s="2">
        <f>HYPERLINK("http://mcb-m6.bioreg.kyushu-u.ac.jp/M3/20110418/F50980/1976/1", 54.22)</f>
        <v>54.22</v>
      </c>
      <c r="E8484" s="2">
        <v>35.97</v>
      </c>
      <c r="F8484" s="2">
        <v>2</v>
      </c>
      <c r="G8484" s="2" t="s">
        <v>12</v>
      </c>
    </row>
    <row r="8485" spans="1:7" x14ac:dyDescent="0.2">
      <c r="A8485" s="2" t="s">
        <v>3588</v>
      </c>
      <c r="B8485" s="2" t="s">
        <v>712</v>
      </c>
      <c r="C8485" s="2">
        <v>697.27260000000001</v>
      </c>
      <c r="D8485" s="2">
        <f>HYPERLINK("http://mcb-m6.bioreg.kyushu-u.ac.jp/M3/20110418/F50988/1922/1", 58.73)</f>
        <v>58.73</v>
      </c>
      <c r="E8485" s="2">
        <v>37.840000000000003</v>
      </c>
      <c r="F8485" s="2">
        <v>2</v>
      </c>
      <c r="G8485" s="2" t="s">
        <v>12</v>
      </c>
    </row>
    <row r="8486" spans="1:7" x14ac:dyDescent="0.2">
      <c r="A8486" s="2" t="s">
        <v>3588</v>
      </c>
      <c r="B8486" s="2" t="s">
        <v>712</v>
      </c>
      <c r="C8486" s="2">
        <v>697.77919999999995</v>
      </c>
      <c r="D8486" s="2">
        <f>HYPERLINK("http://mcb-m6.bioreg.kyushu-u.ac.jp/M3/20110418/F50988/1923/1", 69.95)</f>
        <v>69.95</v>
      </c>
      <c r="E8486" s="2">
        <v>50.06</v>
      </c>
      <c r="F8486" s="2">
        <v>2</v>
      </c>
      <c r="G8486" s="2" t="s">
        <v>12</v>
      </c>
    </row>
    <row r="8487" spans="1:7" x14ac:dyDescent="0.2">
      <c r="A8487" s="2" t="s">
        <v>3588</v>
      </c>
      <c r="B8487" s="2" t="s">
        <v>712</v>
      </c>
      <c r="C8487" s="2">
        <v>697.3356</v>
      </c>
      <c r="D8487" s="2">
        <f>HYPERLINK("http://mcb-m6.bioreg.kyushu-u.ac.jp/M3/20110429/F51153/1674/1", 41.24)</f>
        <v>41.24</v>
      </c>
      <c r="E8487" s="2">
        <v>25.02</v>
      </c>
      <c r="F8487" s="2">
        <v>2</v>
      </c>
      <c r="G8487" s="2" t="s">
        <v>13</v>
      </c>
    </row>
    <row r="8488" spans="1:7" x14ac:dyDescent="0.2">
      <c r="A8488" s="2" t="s">
        <v>3588</v>
      </c>
      <c r="B8488" s="2" t="s">
        <v>553</v>
      </c>
      <c r="C8488" s="2">
        <v>692.97469999999998</v>
      </c>
      <c r="D8488" s="2">
        <f>HYPERLINK("http://mcb-m6.bioreg.kyushu-u.ac.jp/M3/20110428/F51147/1829/1", 58.53)</f>
        <v>58.53</v>
      </c>
      <c r="E8488" s="2">
        <v>40.479999999999997</v>
      </c>
      <c r="F8488" s="2">
        <v>2</v>
      </c>
      <c r="G8488" s="2" t="s">
        <v>13</v>
      </c>
    </row>
    <row r="8489" spans="1:7" x14ac:dyDescent="0.2">
      <c r="A8489" s="2" t="s">
        <v>3588</v>
      </c>
      <c r="B8489" s="2" t="s">
        <v>712</v>
      </c>
      <c r="C8489" s="2">
        <v>697.31960000000004</v>
      </c>
      <c r="D8489" s="2">
        <f>HYPERLINK("http://mcb-m6.bioreg.kyushu-u.ac.jp/M3/20110429/F51152/1718/1", 59.65)</f>
        <v>59.65</v>
      </c>
      <c r="E8489" s="2">
        <v>40.479999999999997</v>
      </c>
      <c r="F8489" s="2">
        <v>2</v>
      </c>
      <c r="G8489" s="2" t="s">
        <v>13</v>
      </c>
    </row>
    <row r="8490" spans="1:7" x14ac:dyDescent="0.2">
      <c r="A8490" s="2" t="s">
        <v>3588</v>
      </c>
      <c r="B8490" s="2" t="s">
        <v>553</v>
      </c>
      <c r="C8490" s="2">
        <v>693.03309999999999</v>
      </c>
      <c r="D8490" s="2">
        <f>HYPERLINK("http://mcb-m6.bioreg.kyushu-u.ac.jp/M3/20110428/F51146/1876/1", 59.68)</f>
        <v>59.68</v>
      </c>
      <c r="E8490" s="2">
        <v>37.51</v>
      </c>
      <c r="F8490" s="2">
        <v>2</v>
      </c>
      <c r="G8490" s="2" t="s">
        <v>13</v>
      </c>
    </row>
    <row r="8491" spans="1:7" x14ac:dyDescent="0.2">
      <c r="A8491" s="2" t="s">
        <v>3588</v>
      </c>
      <c r="B8491" s="2" t="s">
        <v>712</v>
      </c>
      <c r="C8491" s="2">
        <v>697.45370000000003</v>
      </c>
      <c r="D8491" s="2">
        <f>HYPERLINK("http://mcb-m6.bioreg.kyushu-u.ac.jp/M3/20110502/F51158/1671/1", 63.41)</f>
        <v>63.41</v>
      </c>
      <c r="E8491" s="2">
        <v>44.07</v>
      </c>
      <c r="F8491" s="2">
        <v>2</v>
      </c>
      <c r="G8491" s="2" t="s">
        <v>13</v>
      </c>
    </row>
    <row r="8492" spans="1:7" x14ac:dyDescent="0.2">
      <c r="A8492" s="2" t="s">
        <v>3588</v>
      </c>
      <c r="B8492" s="2" t="s">
        <v>712</v>
      </c>
      <c r="C8492" s="2">
        <v>697.44320000000005</v>
      </c>
      <c r="D8492" s="2">
        <f>HYPERLINK("http://mcb-m6.bioreg.kyushu-u.ac.jp/M3/20110502/F51163/1543/1", 69.26)</f>
        <v>69.260000000000005</v>
      </c>
      <c r="E8492" s="2">
        <v>48.76</v>
      </c>
      <c r="F8492" s="2">
        <v>2</v>
      </c>
      <c r="G8492" s="2" t="s">
        <v>13</v>
      </c>
    </row>
    <row r="8493" spans="1:7" x14ac:dyDescent="0.2">
      <c r="A8493" s="2" t="s">
        <v>3588</v>
      </c>
      <c r="B8493" s="2" t="s">
        <v>712</v>
      </c>
      <c r="C8493" s="2">
        <v>697.57709999999997</v>
      </c>
      <c r="D8493" s="2">
        <f>HYPERLINK("http://mcb-m6.bioreg.kyushu-u.ac.jp/M3/20110428/F51147/1846/1", 75.7)</f>
        <v>75.7</v>
      </c>
      <c r="E8493" s="2">
        <v>51.44</v>
      </c>
      <c r="F8493" s="2">
        <v>2</v>
      </c>
      <c r="G8493" s="2" t="s">
        <v>13</v>
      </c>
    </row>
    <row r="8494" spans="1:7" x14ac:dyDescent="0.2">
      <c r="A8494" s="2" t="s">
        <v>3588</v>
      </c>
      <c r="B8494" s="2" t="s">
        <v>553</v>
      </c>
      <c r="C8494" s="2">
        <v>693.19420000000002</v>
      </c>
      <c r="D8494" s="2">
        <f>HYPERLINK("http://mcb-m6.bioreg.kyushu-u.ac.jp/M3/20110428/F51138/2082/1", 41.42)</f>
        <v>41.42</v>
      </c>
      <c r="E8494" s="2">
        <v>22.25</v>
      </c>
      <c r="F8494" s="2">
        <v>2</v>
      </c>
      <c r="G8494" s="2" t="s">
        <v>14</v>
      </c>
    </row>
    <row r="8495" spans="1:7" x14ac:dyDescent="0.2">
      <c r="A8495" s="2" t="s">
        <v>3588</v>
      </c>
      <c r="B8495" s="2" t="s">
        <v>473</v>
      </c>
      <c r="C8495" s="2">
        <v>633.38419999999996</v>
      </c>
      <c r="D8495" s="2">
        <f>HYPERLINK("http://mcb-m6.bioreg.kyushu-u.ac.jp/M3/20110428/F51142/1527/1", 48.6)</f>
        <v>48.6</v>
      </c>
      <c r="E8495" s="2">
        <v>29.38</v>
      </c>
      <c r="F8495" s="2">
        <v>2</v>
      </c>
      <c r="G8495" s="2" t="s">
        <v>14</v>
      </c>
    </row>
    <row r="8496" spans="1:7" x14ac:dyDescent="0.2">
      <c r="A8496" s="2" t="s">
        <v>3588</v>
      </c>
      <c r="B8496" s="2" t="s">
        <v>553</v>
      </c>
      <c r="C8496" s="2">
        <v>693.41970000000003</v>
      </c>
      <c r="D8496" s="2">
        <f>HYPERLINK("http://mcb-m6.bioreg.kyushu-u.ac.jp/M3/20110428/F51141/1653/1", 48.79)</f>
        <v>48.79</v>
      </c>
      <c r="E8496" s="2">
        <v>31.46</v>
      </c>
      <c r="F8496" s="2">
        <v>2</v>
      </c>
      <c r="G8496" s="2" t="s">
        <v>14</v>
      </c>
    </row>
    <row r="8497" spans="1:7" x14ac:dyDescent="0.2">
      <c r="A8497" s="2" t="s">
        <v>3588</v>
      </c>
      <c r="B8497" s="2" t="s">
        <v>553</v>
      </c>
      <c r="C8497" s="2">
        <v>693.09770000000003</v>
      </c>
      <c r="D8497" s="2">
        <f>HYPERLINK("http://mcb-m6.bioreg.kyushu-u.ac.jp/M3/20110428/F51139/1940/1", 52.87)</f>
        <v>52.87</v>
      </c>
      <c r="E8497" s="2">
        <v>37.409999999999997</v>
      </c>
      <c r="F8497" s="2">
        <v>2</v>
      </c>
      <c r="G8497" s="2" t="s">
        <v>14</v>
      </c>
    </row>
    <row r="8498" spans="1:7" x14ac:dyDescent="0.2">
      <c r="A8498" s="2" t="s">
        <v>3588</v>
      </c>
      <c r="B8498" s="2" t="s">
        <v>712</v>
      </c>
      <c r="C8498" s="2">
        <v>697.95169999999996</v>
      </c>
      <c r="D8498" s="2">
        <f>HYPERLINK("http://mcb-m6.bioreg.kyushu-u.ac.jp/M3/20110428/F51142/1820/1", 61.4)</f>
        <v>61.4</v>
      </c>
      <c r="E8498" s="2">
        <v>46.5</v>
      </c>
      <c r="F8498" s="2">
        <v>2</v>
      </c>
      <c r="G8498" s="2" t="s">
        <v>14</v>
      </c>
    </row>
    <row r="8499" spans="1:7" x14ac:dyDescent="0.2">
      <c r="A8499" s="2" t="s">
        <v>3588</v>
      </c>
      <c r="B8499" s="2" t="s">
        <v>712</v>
      </c>
      <c r="C8499" s="2">
        <v>697.42169999999999</v>
      </c>
      <c r="D8499" s="2">
        <f>HYPERLINK("http://mcb-m6.bioreg.kyushu-u.ac.jp/M3/20110428/F51141/1672/1", 65.79)</f>
        <v>65.790000000000006</v>
      </c>
      <c r="E8499" s="2">
        <v>48.83</v>
      </c>
      <c r="F8499" s="2">
        <v>2</v>
      </c>
      <c r="G8499" s="2" t="s">
        <v>14</v>
      </c>
    </row>
    <row r="8500" spans="1:7" x14ac:dyDescent="0.2">
      <c r="A8500" s="2" t="s">
        <v>3588</v>
      </c>
      <c r="B8500" s="2" t="s">
        <v>712</v>
      </c>
      <c r="C8500" s="2">
        <v>697.91769999999997</v>
      </c>
      <c r="D8500" s="2">
        <f>HYPERLINK("http://mcb-m6.bioreg.kyushu-u.ac.jp/M3/20110428/F51140/1732/1", 69.67)</f>
        <v>69.67</v>
      </c>
      <c r="E8500" s="2">
        <v>50.4</v>
      </c>
      <c r="F8500" s="2">
        <v>2</v>
      </c>
      <c r="G8500" s="2" t="s">
        <v>14</v>
      </c>
    </row>
    <row r="8501" spans="1:7" x14ac:dyDescent="0.2">
      <c r="A8501" s="2" t="s">
        <v>3588</v>
      </c>
      <c r="B8501" s="2" t="s">
        <v>712</v>
      </c>
      <c r="C8501" s="2">
        <v>697.41309999999999</v>
      </c>
      <c r="D8501" s="2">
        <f>HYPERLINK("http://mcb-m6.bioreg.kyushu-u.ac.jp/M3/20110428/F51139/1950/1", 72.24)</f>
        <v>72.239999999999995</v>
      </c>
      <c r="E8501" s="2">
        <v>54.39</v>
      </c>
      <c r="F8501" s="2">
        <v>2</v>
      </c>
      <c r="G8501" s="2" t="s">
        <v>14</v>
      </c>
    </row>
    <row r="8502" spans="1:7" x14ac:dyDescent="0.2">
      <c r="A8502" s="2" t="s">
        <v>3588</v>
      </c>
      <c r="B8502" s="2" t="s">
        <v>712</v>
      </c>
      <c r="C8502" s="2">
        <v>697.38959999999997</v>
      </c>
      <c r="D8502" s="2">
        <f>HYPERLINK("http://mcb-m6.bioreg.kyushu-u.ac.jp/M3/20110428/F51140/1730/1", 78.76)</f>
        <v>78.760000000000005</v>
      </c>
      <c r="E8502" s="2">
        <v>55.78</v>
      </c>
      <c r="F8502" s="2">
        <v>2</v>
      </c>
      <c r="G8502" s="2" t="s">
        <v>14</v>
      </c>
    </row>
    <row r="8503" spans="1:7" x14ac:dyDescent="0.2">
      <c r="A8503" s="2" t="s">
        <v>5665</v>
      </c>
      <c r="B8503" s="2" t="s">
        <v>5134</v>
      </c>
      <c r="C8503" s="2">
        <v>955.47519999999997</v>
      </c>
      <c r="D8503" s="2">
        <f>HYPERLINK("http://mcb-m6.bioreg.kyushu-u.ac.jp/M3/20110318/F50607/2133/1", 65.92)</f>
        <v>65.92</v>
      </c>
      <c r="E8503" s="2">
        <v>57.9</v>
      </c>
      <c r="F8503" s="2">
        <v>2</v>
      </c>
      <c r="G8503" s="2" t="s">
        <v>9</v>
      </c>
    </row>
    <row r="8504" spans="1:7" x14ac:dyDescent="0.2">
      <c r="A8504" s="2" t="s">
        <v>5665</v>
      </c>
      <c r="B8504" s="2" t="s">
        <v>5134</v>
      </c>
      <c r="C8504" s="2">
        <v>955.69119999999998</v>
      </c>
      <c r="D8504" s="2">
        <f>HYPERLINK("http://mcb-m6.bioreg.kyushu-u.ac.jp/M3/20110429/F51152/2962/1", 71.93)</f>
        <v>71.930000000000007</v>
      </c>
      <c r="E8504" s="2">
        <v>64.34</v>
      </c>
      <c r="F8504" s="2">
        <v>2</v>
      </c>
      <c r="G8504" s="2" t="s">
        <v>13</v>
      </c>
    </row>
    <row r="8505" spans="1:7" x14ac:dyDescent="0.2">
      <c r="A8505" s="2" t="s">
        <v>5746</v>
      </c>
      <c r="B8505" s="2" t="s">
        <v>5361</v>
      </c>
      <c r="C8505" s="2">
        <v>625.74469999999997</v>
      </c>
      <c r="D8505" s="2">
        <f>HYPERLINK("http://mcb-m6.bioreg.kyushu-u.ac.jp/M3/20110418/F50974/1519/1", 36.42)</f>
        <v>36.42</v>
      </c>
      <c r="E8505" s="2">
        <v>12.68</v>
      </c>
      <c r="F8505" s="2">
        <v>2</v>
      </c>
      <c r="G8505" s="2" t="s">
        <v>11</v>
      </c>
    </row>
    <row r="8506" spans="1:7" x14ac:dyDescent="0.2">
      <c r="A8506" s="2" t="s">
        <v>5803</v>
      </c>
      <c r="B8506" s="2" t="s">
        <v>5467</v>
      </c>
      <c r="C8506" s="2">
        <v>473.0641</v>
      </c>
      <c r="D8506" s="2">
        <f>HYPERLINK("http://mcb-m6.bioreg.kyushu-u.ac.jp/M3/20110428/F51146/1106/1", 36.54)</f>
        <v>36.54</v>
      </c>
      <c r="E8506" s="2">
        <v>12.84</v>
      </c>
      <c r="F8506" s="2">
        <v>2</v>
      </c>
      <c r="G8506" s="2" t="s">
        <v>13</v>
      </c>
    </row>
    <row r="8507" spans="1:7" x14ac:dyDescent="0.2">
      <c r="A8507" s="2" t="s">
        <v>4060</v>
      </c>
      <c r="B8507" s="2" t="s">
        <v>1423</v>
      </c>
      <c r="C8507" s="2">
        <v>717.50210000000004</v>
      </c>
      <c r="D8507" s="2">
        <f>HYPERLINK("http://mcb-m6.bioreg.kyushu-u.ac.jp/M3/20110318/F50598/1476/2", 71.55)</f>
        <v>71.55</v>
      </c>
      <c r="E8507" s="2">
        <v>41.62</v>
      </c>
      <c r="F8507" s="2">
        <v>2</v>
      </c>
      <c r="G8507" s="2" t="s">
        <v>10</v>
      </c>
    </row>
    <row r="8508" spans="1:7" x14ac:dyDescent="0.2">
      <c r="A8508" s="2" t="s">
        <v>3725</v>
      </c>
      <c r="B8508" s="2" t="s">
        <v>830</v>
      </c>
      <c r="C8508" s="2">
        <v>710.30070000000001</v>
      </c>
      <c r="D8508" s="2">
        <f>HYPERLINK("http://mcb-m6.bioreg.kyushu-u.ac.jp/M3/20110318/F50619/1339/1", 63.84)</f>
        <v>63.84</v>
      </c>
      <c r="E8508" s="2">
        <v>42.98</v>
      </c>
      <c r="F8508" s="2">
        <v>2</v>
      </c>
      <c r="G8508" s="2" t="s">
        <v>9</v>
      </c>
    </row>
    <row r="8509" spans="1:7" x14ac:dyDescent="0.2">
      <c r="A8509" s="2" t="s">
        <v>3725</v>
      </c>
      <c r="B8509" s="2" t="s">
        <v>830</v>
      </c>
      <c r="C8509" s="2">
        <v>710.42909999999995</v>
      </c>
      <c r="D8509" s="2">
        <f>HYPERLINK("http://mcb-m6.bioreg.kyushu-u.ac.jp/M3/20110318/F50615/1400/1", 42.79)</f>
        <v>42.79</v>
      </c>
      <c r="E8509" s="2">
        <v>25.98</v>
      </c>
      <c r="F8509" s="2">
        <v>2</v>
      </c>
      <c r="G8509" s="2" t="s">
        <v>10</v>
      </c>
    </row>
    <row r="8510" spans="1:7" x14ac:dyDescent="0.2">
      <c r="A8510" s="2" t="s">
        <v>3725</v>
      </c>
      <c r="B8510" s="2" t="s">
        <v>721</v>
      </c>
      <c r="C8510" s="2">
        <v>534.76210000000003</v>
      </c>
      <c r="D8510" s="2">
        <f>HYPERLINK("http://mcb-m6.bioreg.kyushu-u.ac.jp/M3/20110318/F50615/898/1", 50.05)</f>
        <v>50.05</v>
      </c>
      <c r="E8510" s="2">
        <v>12.72</v>
      </c>
      <c r="F8510" s="2">
        <v>2</v>
      </c>
      <c r="G8510" s="2" t="s">
        <v>10</v>
      </c>
    </row>
    <row r="8511" spans="1:7" x14ac:dyDescent="0.2">
      <c r="A8511" s="2" t="s">
        <v>3725</v>
      </c>
      <c r="B8511" s="2" t="s">
        <v>830</v>
      </c>
      <c r="C8511" s="2">
        <v>710.48910000000001</v>
      </c>
      <c r="D8511" s="2">
        <f>HYPERLINK("http://mcb-m6.bioreg.kyushu-u.ac.jp/M3/20110318/F50597/1458/1", 54.39)</f>
        <v>54.39</v>
      </c>
      <c r="E8511" s="2">
        <v>30.23</v>
      </c>
      <c r="F8511" s="2">
        <v>2</v>
      </c>
      <c r="G8511" s="2" t="s">
        <v>10</v>
      </c>
    </row>
    <row r="8512" spans="1:7" x14ac:dyDescent="0.2">
      <c r="A8512" s="2" t="s">
        <v>3725</v>
      </c>
      <c r="B8512" s="2" t="s">
        <v>970</v>
      </c>
      <c r="C8512" s="2">
        <v>725.66610000000003</v>
      </c>
      <c r="D8512" s="2">
        <f>HYPERLINK("http://mcb-m6.bioreg.kyushu-u.ac.jp/M3/20110418/F50975/1936/1", 64.8)</f>
        <v>64.8</v>
      </c>
      <c r="E8512" s="2">
        <v>51.91</v>
      </c>
      <c r="F8512" s="2">
        <v>2</v>
      </c>
      <c r="G8512" s="2" t="s">
        <v>11</v>
      </c>
    </row>
    <row r="8513" spans="1:9" x14ac:dyDescent="0.2">
      <c r="A8513" s="2" t="s">
        <v>3725</v>
      </c>
      <c r="B8513" s="2" t="s">
        <v>721</v>
      </c>
      <c r="C8513" s="2">
        <v>534.76670000000001</v>
      </c>
      <c r="D8513" s="2">
        <f>HYPERLINK("http://mcb-m6.bioreg.kyushu-u.ac.jp/M3/20110418/F50985/1829/1", 40.68)</f>
        <v>40.68</v>
      </c>
      <c r="E8513" s="2">
        <v>15.15</v>
      </c>
      <c r="F8513" s="2">
        <v>2</v>
      </c>
      <c r="G8513" s="2" t="s">
        <v>12</v>
      </c>
    </row>
    <row r="8514" spans="1:9" x14ac:dyDescent="0.2">
      <c r="A8514" s="2" t="s">
        <v>3725</v>
      </c>
      <c r="B8514" s="2" t="s">
        <v>830</v>
      </c>
      <c r="C8514" s="2">
        <v>710.92409999999995</v>
      </c>
      <c r="D8514" s="2">
        <f>HYPERLINK("http://mcb-m6.bioreg.kyushu-u.ac.jp/M3/20110418/F50986/1931/1", 48.22)</f>
        <v>48.22</v>
      </c>
      <c r="E8514" s="2">
        <v>26.73</v>
      </c>
      <c r="F8514" s="2">
        <v>2</v>
      </c>
      <c r="G8514" s="2" t="s">
        <v>12</v>
      </c>
    </row>
    <row r="8515" spans="1:9" x14ac:dyDescent="0.2">
      <c r="A8515" s="2" t="s">
        <v>3725</v>
      </c>
      <c r="B8515" s="2" t="s">
        <v>830</v>
      </c>
      <c r="C8515" s="2">
        <v>710.57460000000003</v>
      </c>
      <c r="D8515" s="2">
        <f>HYPERLINK("http://mcb-m6.bioreg.kyushu-u.ac.jp/M3/20110502/F51158/1746/1", 42.46)</f>
        <v>42.46</v>
      </c>
      <c r="E8515" s="2">
        <v>16.89</v>
      </c>
      <c r="F8515" s="2">
        <v>2</v>
      </c>
      <c r="G8515" s="2" t="s">
        <v>13</v>
      </c>
    </row>
    <row r="8516" spans="1:9" x14ac:dyDescent="0.2">
      <c r="A8516" s="2" t="s">
        <v>3725</v>
      </c>
      <c r="B8516" s="2" t="s">
        <v>970</v>
      </c>
      <c r="C8516" s="2">
        <v>725.42359999999996</v>
      </c>
      <c r="D8516" s="2">
        <f>HYPERLINK("http://mcb-m6.bioreg.kyushu-u.ac.jp/M3/20110428/F51141/1817/1", 75.85)</f>
        <v>75.849999999999994</v>
      </c>
      <c r="E8516" s="2">
        <v>59.07</v>
      </c>
      <c r="F8516" s="2">
        <v>2</v>
      </c>
      <c r="G8516" s="2" t="s">
        <v>14</v>
      </c>
    </row>
    <row r="8517" spans="1:9" x14ac:dyDescent="0.2">
      <c r="A8517" s="2" t="s">
        <v>3886</v>
      </c>
      <c r="B8517" s="2" t="s">
        <v>5196</v>
      </c>
      <c r="C8517" s="2">
        <v>782.06209999999999</v>
      </c>
      <c r="D8517" s="2">
        <f>HYPERLINK("http://mcb-m6.bioreg.kyushu-u.ac.jp/M3/20110318/F50607/1735/1", 100.67)</f>
        <v>100.67</v>
      </c>
      <c r="E8517" s="2">
        <v>84.72</v>
      </c>
      <c r="F8517" s="2">
        <v>2</v>
      </c>
      <c r="G8517" s="2" t="s">
        <v>9</v>
      </c>
    </row>
    <row r="8518" spans="1:9" x14ac:dyDescent="0.2">
      <c r="A8518" s="2" t="s">
        <v>3886</v>
      </c>
      <c r="B8518" s="2" t="s">
        <v>1027</v>
      </c>
      <c r="C8518" s="2">
        <v>772.06960000000004</v>
      </c>
      <c r="D8518" s="2">
        <f>HYPERLINK("http://mcb-m6.bioreg.kyushu-u.ac.jp/M3/20110429/F51152/2177/1", 59.66)</f>
        <v>59.66</v>
      </c>
      <c r="E8518" s="2">
        <v>44.07</v>
      </c>
      <c r="F8518" s="2">
        <v>2</v>
      </c>
      <c r="G8518" s="2" t="s">
        <v>13</v>
      </c>
    </row>
    <row r="8519" spans="1:9" x14ac:dyDescent="0.2">
      <c r="A8519" s="2" t="s">
        <v>4557</v>
      </c>
      <c r="B8519" s="2" t="s">
        <v>5461</v>
      </c>
      <c r="C8519" s="2">
        <v>802.3972</v>
      </c>
      <c r="D8519" s="2">
        <f>HYPERLINK("http://mcb-m6.bioreg.kyushu-u.ac.jp/M3/20110429/F51155/2477/1", 35.85)</f>
        <v>35.85</v>
      </c>
      <c r="E8519" s="2">
        <v>27.58</v>
      </c>
      <c r="F8519" s="2">
        <v>2</v>
      </c>
      <c r="G8519" s="2" t="s">
        <v>13</v>
      </c>
    </row>
    <row r="8520" spans="1:9" x14ac:dyDescent="0.2">
      <c r="A8520" s="2" t="s">
        <v>4074</v>
      </c>
      <c r="B8520" s="2" t="s">
        <v>1467</v>
      </c>
      <c r="C8520" s="2">
        <v>843.60860000000002</v>
      </c>
      <c r="D8520" s="2">
        <f>HYPERLINK("http://mcb-m6.bioreg.kyushu-u.ac.jp/M3/20110318/F50610/1894/1", 109.14)</f>
        <v>109.14</v>
      </c>
      <c r="E8520" s="2">
        <v>90.15</v>
      </c>
      <c r="F8520" s="2">
        <v>2</v>
      </c>
      <c r="G8520" s="2" t="s">
        <v>9</v>
      </c>
    </row>
    <row r="8521" spans="1:9" x14ac:dyDescent="0.2">
      <c r="A8521" s="2" t="s">
        <v>4074</v>
      </c>
      <c r="B8521" s="2" t="s">
        <v>1467</v>
      </c>
      <c r="C8521" s="2">
        <v>843.32920000000001</v>
      </c>
      <c r="D8521" s="2">
        <f>HYPERLINK("http://mcb-m6.bioreg.kyushu-u.ac.jp/M3/20110428/F51147/2372/1", 41.21)</f>
        <v>41.21</v>
      </c>
      <c r="E8521" s="2">
        <v>20.23</v>
      </c>
      <c r="F8521" s="2">
        <v>2</v>
      </c>
      <c r="G8521" s="2" t="s">
        <v>13</v>
      </c>
    </row>
    <row r="8522" spans="1:9" x14ac:dyDescent="0.2">
      <c r="A8522" s="2" t="s">
        <v>5833</v>
      </c>
      <c r="B8522" s="2" t="s">
        <v>5517</v>
      </c>
      <c r="C8522" s="2">
        <v>622.17169999999999</v>
      </c>
      <c r="D8522" s="2">
        <f>HYPERLINK("http://mcb-m6.bioreg.kyushu-u.ac.jp/M3/20110429/F51151/1675/2", 46.7)</f>
        <v>46.7</v>
      </c>
      <c r="E8522" s="2">
        <v>28.3</v>
      </c>
      <c r="F8522" s="2">
        <v>2</v>
      </c>
      <c r="G8522" s="2" t="s">
        <v>13</v>
      </c>
    </row>
    <row r="8523" spans="1:9" x14ac:dyDescent="0.2">
      <c r="A8523" s="2" t="s">
        <v>4628</v>
      </c>
      <c r="B8523" s="2" t="s">
        <v>2777</v>
      </c>
      <c r="C8523" s="2">
        <v>854.23969999999997</v>
      </c>
      <c r="D8523" s="2">
        <f>HYPERLINK("http://mcb-m6.bioreg.kyushu-u.ac.jp/M3/20110418/F50979/2491/1", 73.49)</f>
        <v>73.489999999999995</v>
      </c>
      <c r="E8523" s="2">
        <v>53.19</v>
      </c>
      <c r="F8523" s="2">
        <v>2</v>
      </c>
      <c r="G8523" s="2" t="s">
        <v>11</v>
      </c>
    </row>
    <row r="8524" spans="1:9" x14ac:dyDescent="0.2">
      <c r="A8524" s="2" t="s">
        <v>4628</v>
      </c>
      <c r="B8524" s="2" t="s">
        <v>2777</v>
      </c>
      <c r="C8524" s="2">
        <v>853.7432</v>
      </c>
      <c r="D8524" s="2">
        <f>HYPERLINK("http://mcb-m6.bioreg.kyushu-u.ac.jp/M3/20110418/F50989/2359/1", 64.1)</f>
        <v>64.099999999999994</v>
      </c>
      <c r="E8524" s="2">
        <v>53.64</v>
      </c>
      <c r="F8524" s="2">
        <v>2</v>
      </c>
      <c r="G8524" s="2" t="s">
        <v>12</v>
      </c>
    </row>
    <row r="8525" spans="1:9" x14ac:dyDescent="0.2">
      <c r="A8525" s="2" t="s">
        <v>4628</v>
      </c>
      <c r="B8525" s="2" t="s">
        <v>5494</v>
      </c>
      <c r="C8525" s="2">
        <v>748.82320000000004</v>
      </c>
      <c r="D8525" s="2">
        <f>HYPERLINK("http://mcb-m6.bioreg.kyushu-u.ac.jp/M3/20110429/F51155/2264/1", 40.74)</f>
        <v>40.74</v>
      </c>
      <c r="E8525" s="2">
        <v>26.37</v>
      </c>
      <c r="F8525" s="2">
        <v>2</v>
      </c>
      <c r="G8525" s="2" t="s">
        <v>13</v>
      </c>
      <c r="I8525" s="2" t="s">
        <v>5901</v>
      </c>
    </row>
    <row r="8526" spans="1:9" x14ac:dyDescent="0.2">
      <c r="A8526" s="2" t="s">
        <v>5862</v>
      </c>
      <c r="B8526" s="2" t="s">
        <v>5561</v>
      </c>
      <c r="C8526" s="2">
        <v>521.48609999999996</v>
      </c>
      <c r="D8526" s="2">
        <f>HYPERLINK("http://mcb-m6.bioreg.kyushu-u.ac.jp/M3/20110428/F51144/1122/1", 35.07)</f>
        <v>35.07</v>
      </c>
      <c r="E8526" s="2">
        <v>10.67</v>
      </c>
      <c r="F8526" s="2">
        <v>2</v>
      </c>
      <c r="G8526" s="2" t="s">
        <v>14</v>
      </c>
    </row>
    <row r="8527" spans="1:9" x14ac:dyDescent="0.2">
      <c r="A8527" s="2" t="s">
        <v>5869</v>
      </c>
      <c r="B8527" s="2" t="s">
        <v>5568</v>
      </c>
      <c r="C8527" s="2">
        <v>602.95349999999996</v>
      </c>
      <c r="D8527" s="2">
        <f>HYPERLINK("http://mcb-m6.bioreg.kyushu-u.ac.jp/M3/20110502/F51161/2429/1", 36.28)</f>
        <v>36.28</v>
      </c>
      <c r="E8527" s="2">
        <v>19.190000000000001</v>
      </c>
      <c r="F8527" s="2">
        <v>3</v>
      </c>
      <c r="G8527" s="2" t="s">
        <v>14</v>
      </c>
    </row>
    <row r="8528" spans="1:9" x14ac:dyDescent="0.2">
      <c r="A8528" s="2" t="s">
        <v>3646</v>
      </c>
      <c r="B8528" s="2" t="s">
        <v>572</v>
      </c>
      <c r="C8528" s="2">
        <v>903.34699999999998</v>
      </c>
      <c r="D8528" s="2">
        <f>HYPERLINK("http://mcb-m6.bioreg.kyushu-u.ac.jp/M3/20110429/F51150/1073/1", 37.86)</f>
        <v>37.86</v>
      </c>
      <c r="E8528" s="2">
        <v>10.55</v>
      </c>
      <c r="F8528" s="2">
        <v>1</v>
      </c>
      <c r="G8528" s="2" t="s">
        <v>13</v>
      </c>
    </row>
    <row r="8529" spans="1:7" x14ac:dyDescent="0.2">
      <c r="A8529" s="2" t="s">
        <v>4020</v>
      </c>
      <c r="B8529" s="2" t="s">
        <v>1352</v>
      </c>
      <c r="C8529" s="2">
        <v>697.43219999999997</v>
      </c>
      <c r="D8529" s="2">
        <f>HYPERLINK("http://mcb-m6.bioreg.kyushu-u.ac.jp/M3/20110318/F50595/1579/1", 36.87)</f>
        <v>36.869999999999997</v>
      </c>
      <c r="E8529" s="2">
        <v>21.58</v>
      </c>
      <c r="F8529" s="2">
        <v>2</v>
      </c>
      <c r="G8529" s="2" t="s">
        <v>10</v>
      </c>
    </row>
    <row r="8530" spans="1:7" x14ac:dyDescent="0.2">
      <c r="A8530" s="2" t="s">
        <v>4020</v>
      </c>
      <c r="B8530" s="2" t="s">
        <v>5439</v>
      </c>
      <c r="C8530" s="2">
        <v>537.84619999999995</v>
      </c>
      <c r="D8530" s="2">
        <f>HYPERLINK("http://mcb-m6.bioreg.kyushu-u.ac.jp/M3/20110418/F50989/1581/1", 41.76)</f>
        <v>41.76</v>
      </c>
      <c r="E8530" s="2">
        <v>11.8</v>
      </c>
      <c r="F8530" s="2">
        <v>2</v>
      </c>
      <c r="G8530" s="2" t="s">
        <v>12</v>
      </c>
    </row>
    <row r="8531" spans="1:7" x14ac:dyDescent="0.2">
      <c r="A8531" s="2" t="s">
        <v>4020</v>
      </c>
      <c r="B8531" s="2" t="s">
        <v>1352</v>
      </c>
      <c r="C8531" s="2">
        <v>697.32669999999996</v>
      </c>
      <c r="D8531" s="2">
        <f>HYPERLINK("http://mcb-m6.bioreg.kyushu-u.ac.jp/M3/20110429/F51155/2026/1", 43.81)</f>
        <v>43.81</v>
      </c>
      <c r="E8531" s="2">
        <v>18.260000000000002</v>
      </c>
      <c r="F8531" s="2">
        <v>2</v>
      </c>
      <c r="G8531" s="2" t="s">
        <v>13</v>
      </c>
    </row>
    <row r="8532" spans="1:7" x14ac:dyDescent="0.2">
      <c r="A8532" s="2" t="s">
        <v>4020</v>
      </c>
      <c r="B8532" s="2" t="s">
        <v>5583</v>
      </c>
      <c r="C8532" s="2">
        <v>587.18769999999995</v>
      </c>
      <c r="D8532" s="2">
        <f>HYPERLINK("http://mcb-m6.bioreg.kyushu-u.ac.jp/M3/20110428/F51144/1461/1", 43.34)</f>
        <v>43.34</v>
      </c>
      <c r="E8532" s="2">
        <v>30.46</v>
      </c>
      <c r="F8532" s="2">
        <v>2</v>
      </c>
      <c r="G8532" s="2" t="s">
        <v>14</v>
      </c>
    </row>
    <row r="8533" spans="1:7" x14ac:dyDescent="0.2">
      <c r="A8533" s="2" t="s">
        <v>4377</v>
      </c>
      <c r="B8533" s="2" t="s">
        <v>5262</v>
      </c>
      <c r="C8533" s="2">
        <v>677.00120000000004</v>
      </c>
      <c r="D8533" s="2">
        <f>HYPERLINK("http://mcb-m6.bioreg.kyushu-u.ac.jp/M3/20110318/F50596/1407/1", 43.58)</f>
        <v>43.58</v>
      </c>
      <c r="E8533" s="2">
        <v>27.1</v>
      </c>
      <c r="F8533" s="2">
        <v>2</v>
      </c>
      <c r="G8533" s="2" t="s">
        <v>10</v>
      </c>
    </row>
    <row r="8534" spans="1:7" x14ac:dyDescent="0.2">
      <c r="A8534" s="2" t="s">
        <v>4377</v>
      </c>
      <c r="B8534" s="2" t="s">
        <v>2209</v>
      </c>
      <c r="C8534" s="2">
        <v>944.3691</v>
      </c>
      <c r="D8534" s="2">
        <f>HYPERLINK("http://mcb-m6.bioreg.kyushu-u.ac.jp/M3/20110318/F50596/2210/1", 74.32)</f>
        <v>74.319999999999993</v>
      </c>
      <c r="E8534" s="2">
        <v>23.98</v>
      </c>
      <c r="F8534" s="2">
        <v>2</v>
      </c>
      <c r="G8534" s="2" t="s">
        <v>10</v>
      </c>
    </row>
    <row r="8535" spans="1:7" x14ac:dyDescent="0.2">
      <c r="A8535" s="2" t="s">
        <v>4377</v>
      </c>
      <c r="B8535" s="2" t="s">
        <v>5341</v>
      </c>
      <c r="C8535" s="2">
        <v>608.62120000000004</v>
      </c>
      <c r="D8535" s="2">
        <f>HYPERLINK("http://mcb-m6.bioreg.kyushu-u.ac.jp/M3/20110318/F50596/1259/1", 75.43)</f>
        <v>75.430000000000007</v>
      </c>
      <c r="E8535" s="2">
        <v>50.68</v>
      </c>
      <c r="F8535" s="2">
        <v>2</v>
      </c>
      <c r="G8535" s="2" t="s">
        <v>10</v>
      </c>
    </row>
    <row r="8536" spans="1:7" x14ac:dyDescent="0.2">
      <c r="A8536" s="2" t="s">
        <v>3540</v>
      </c>
      <c r="B8536" s="2" t="s">
        <v>645</v>
      </c>
      <c r="C8536" s="2">
        <v>583.39319999999998</v>
      </c>
      <c r="D8536" s="2">
        <f>HYPERLINK("http://mcb-m6.bioreg.kyushu-u.ac.jp/M3/20110318/F50607/1151/1", 56.84)</f>
        <v>56.84</v>
      </c>
      <c r="E8536" s="2">
        <v>29.5</v>
      </c>
      <c r="F8536" s="2">
        <v>2</v>
      </c>
      <c r="G8536" s="2" t="s">
        <v>9</v>
      </c>
    </row>
    <row r="8537" spans="1:7" x14ac:dyDescent="0.2">
      <c r="A8537" s="2" t="s">
        <v>3540</v>
      </c>
      <c r="B8537" s="2" t="s">
        <v>645</v>
      </c>
      <c r="C8537" s="2">
        <v>583.3442</v>
      </c>
      <c r="D8537" s="2">
        <f>HYPERLINK("http://mcb-m6.bioreg.kyushu-u.ac.jp/M3/20110318/F50609/1262/1", 57.24)</f>
        <v>57.24</v>
      </c>
      <c r="E8537" s="2">
        <v>26.14</v>
      </c>
      <c r="F8537" s="2">
        <v>2</v>
      </c>
      <c r="G8537" s="2" t="s">
        <v>9</v>
      </c>
    </row>
    <row r="8538" spans="1:7" x14ac:dyDescent="0.2">
      <c r="A8538" s="2" t="s">
        <v>3540</v>
      </c>
      <c r="B8538" s="2" t="s">
        <v>645</v>
      </c>
      <c r="C8538" s="2">
        <v>583.41859999999997</v>
      </c>
      <c r="D8538" s="2">
        <f>HYPERLINK("http://mcb-m6.bioreg.kyushu-u.ac.jp/M3/20110318/F50603/1130/1", 61.66)</f>
        <v>61.66</v>
      </c>
      <c r="E8538" s="2">
        <v>38.89</v>
      </c>
      <c r="F8538" s="2">
        <v>2</v>
      </c>
      <c r="G8538" s="2" t="s">
        <v>9</v>
      </c>
    </row>
    <row r="8539" spans="1:7" x14ac:dyDescent="0.2">
      <c r="A8539" s="2" t="s">
        <v>3540</v>
      </c>
      <c r="B8539" s="2" t="s">
        <v>737</v>
      </c>
      <c r="C8539" s="2">
        <v>691.52369999999996</v>
      </c>
      <c r="D8539" s="2">
        <f>HYPERLINK("http://mcb-m6.bioreg.kyushu-u.ac.jp/M3/20110318/F50603/1319/1", 74.04)</f>
        <v>74.040000000000006</v>
      </c>
      <c r="E8539" s="2">
        <v>56.57</v>
      </c>
      <c r="F8539" s="2">
        <v>2</v>
      </c>
      <c r="G8539" s="2" t="s">
        <v>9</v>
      </c>
    </row>
    <row r="8540" spans="1:7" x14ac:dyDescent="0.2">
      <c r="A8540" s="2" t="s">
        <v>3540</v>
      </c>
      <c r="B8540" s="2" t="s">
        <v>645</v>
      </c>
      <c r="C8540" s="2">
        <v>583.47609999999997</v>
      </c>
      <c r="D8540" s="2">
        <f>HYPERLINK("http://mcb-m6.bioreg.kyushu-u.ac.jp/M3/20110318/F50612/1151/1", 47.57)</f>
        <v>47.57</v>
      </c>
      <c r="E8540" s="2">
        <v>20.399999999999999</v>
      </c>
      <c r="F8540" s="2">
        <v>2</v>
      </c>
      <c r="G8540" s="2" t="s">
        <v>10</v>
      </c>
    </row>
    <row r="8541" spans="1:7" x14ac:dyDescent="0.2">
      <c r="A8541" s="2" t="s">
        <v>3540</v>
      </c>
      <c r="B8541" s="2" t="s">
        <v>645</v>
      </c>
      <c r="C8541" s="2">
        <v>583.30359999999996</v>
      </c>
      <c r="D8541" s="2">
        <f>HYPERLINK("http://mcb-m6.bioreg.kyushu-u.ac.jp/M3/20110318/F50615/1018/1", 50.33)</f>
        <v>50.33</v>
      </c>
      <c r="E8541" s="2">
        <v>25.05</v>
      </c>
      <c r="F8541" s="2">
        <v>2</v>
      </c>
      <c r="G8541" s="2" t="s">
        <v>10</v>
      </c>
    </row>
    <row r="8542" spans="1:7" x14ac:dyDescent="0.2">
      <c r="A8542" s="2" t="s">
        <v>3540</v>
      </c>
      <c r="B8542" s="2" t="s">
        <v>645</v>
      </c>
      <c r="C8542" s="2">
        <v>583.39919999999995</v>
      </c>
      <c r="D8542" s="2">
        <f>HYPERLINK("http://mcb-m6.bioreg.kyushu-u.ac.jp/M3/20110318/F50597/1106/1", 53.39)</f>
        <v>53.39</v>
      </c>
      <c r="E8542" s="2">
        <v>30.28</v>
      </c>
      <c r="F8542" s="2">
        <v>2</v>
      </c>
      <c r="G8542" s="2" t="s">
        <v>10</v>
      </c>
    </row>
    <row r="8543" spans="1:7" x14ac:dyDescent="0.2">
      <c r="A8543" s="2" t="s">
        <v>3540</v>
      </c>
      <c r="B8543" s="2" t="s">
        <v>645</v>
      </c>
      <c r="C8543" s="2">
        <v>583.34469999999999</v>
      </c>
      <c r="D8543" s="2">
        <f>HYPERLINK("http://mcb-m6.bioreg.kyushu-u.ac.jp/M3/20110318/F50600/1212/1", 60)</f>
        <v>60</v>
      </c>
      <c r="E8543" s="2">
        <v>34.96</v>
      </c>
      <c r="F8543" s="2">
        <v>2</v>
      </c>
      <c r="G8543" s="2" t="s">
        <v>10</v>
      </c>
    </row>
    <row r="8544" spans="1:7" x14ac:dyDescent="0.2">
      <c r="A8544" s="2" t="s">
        <v>3540</v>
      </c>
      <c r="B8544" s="2" t="s">
        <v>737</v>
      </c>
      <c r="C8544" s="2">
        <v>691.25919999999996</v>
      </c>
      <c r="D8544" s="2">
        <f>HYPERLINK("http://mcb-m6.bioreg.kyushu-u.ac.jp/M3/20110318/F50612/1391/1", 70.34)</f>
        <v>70.34</v>
      </c>
      <c r="E8544" s="2">
        <v>50.52</v>
      </c>
      <c r="F8544" s="2">
        <v>2</v>
      </c>
      <c r="G8544" s="2" t="s">
        <v>10</v>
      </c>
    </row>
    <row r="8545" spans="1:8" x14ac:dyDescent="0.2">
      <c r="A8545" s="2" t="s">
        <v>3540</v>
      </c>
      <c r="B8545" s="2" t="s">
        <v>737</v>
      </c>
      <c r="C8545" s="2">
        <v>691.32370000000003</v>
      </c>
      <c r="D8545" s="2">
        <f>HYPERLINK("http://mcb-m6.bioreg.kyushu-u.ac.jp/M3/20110318/F50615/1343/1", 70.79)</f>
        <v>70.790000000000006</v>
      </c>
      <c r="E8545" s="2">
        <v>49.64</v>
      </c>
      <c r="F8545" s="2">
        <v>2</v>
      </c>
      <c r="G8545" s="2" t="s">
        <v>10</v>
      </c>
    </row>
    <row r="8546" spans="1:8" x14ac:dyDescent="0.2">
      <c r="A8546" s="2" t="s">
        <v>3540</v>
      </c>
      <c r="B8546" s="2" t="s">
        <v>737</v>
      </c>
      <c r="C8546" s="2">
        <v>691.37710000000004</v>
      </c>
      <c r="D8546" s="2">
        <f>HYPERLINK("http://mcb-m6.bioreg.kyushu-u.ac.jp/M3/20110318/F50597/1395/1", 73.96)</f>
        <v>73.959999999999994</v>
      </c>
      <c r="E8546" s="2">
        <v>54.68</v>
      </c>
      <c r="F8546" s="2">
        <v>2</v>
      </c>
      <c r="G8546" s="2" t="s">
        <v>10</v>
      </c>
    </row>
    <row r="8547" spans="1:8" x14ac:dyDescent="0.2">
      <c r="A8547" s="2" t="s">
        <v>3540</v>
      </c>
      <c r="B8547" s="2" t="s">
        <v>737</v>
      </c>
      <c r="C8547" s="2">
        <v>691.34169999999995</v>
      </c>
      <c r="D8547" s="2">
        <f>HYPERLINK("http://mcb-m6.bioreg.kyushu-u.ac.jp/M3/20110318/F50596/1450/1", 77.35)</f>
        <v>77.349999999999994</v>
      </c>
      <c r="E8547" s="2">
        <v>55.34</v>
      </c>
      <c r="F8547" s="2">
        <v>2</v>
      </c>
      <c r="G8547" s="2" t="s">
        <v>10</v>
      </c>
    </row>
    <row r="8548" spans="1:8" x14ac:dyDescent="0.2">
      <c r="A8548" s="2" t="s">
        <v>3540</v>
      </c>
      <c r="B8548" s="2" t="s">
        <v>727</v>
      </c>
      <c r="C8548" s="2">
        <v>695.88459999999998</v>
      </c>
      <c r="D8548" s="2">
        <f>HYPERLINK("http://mcb-m6.bioreg.kyushu-u.ac.jp/M3/20110318/F50595/1577/1", 81.56)</f>
        <v>81.56</v>
      </c>
      <c r="E8548" s="2">
        <v>62.46</v>
      </c>
      <c r="F8548" s="2">
        <v>2</v>
      </c>
      <c r="G8548" s="2" t="s">
        <v>10</v>
      </c>
    </row>
    <row r="8549" spans="1:8" x14ac:dyDescent="0.2">
      <c r="A8549" s="2" t="s">
        <v>3540</v>
      </c>
      <c r="B8549" s="2" t="s">
        <v>727</v>
      </c>
      <c r="C8549" s="2">
        <v>695.81619999999998</v>
      </c>
      <c r="D8549" s="2">
        <f>HYPERLINK("http://mcb-m6.bioreg.kyushu-u.ac.jp/M3/20110318/F50600/1427/1", 91.16)</f>
        <v>91.16</v>
      </c>
      <c r="E8549" s="2">
        <v>73.37</v>
      </c>
      <c r="F8549" s="2">
        <v>2</v>
      </c>
      <c r="G8549" s="2" t="s">
        <v>10</v>
      </c>
    </row>
    <row r="8550" spans="1:8" x14ac:dyDescent="0.2">
      <c r="A8550" s="2" t="s">
        <v>3540</v>
      </c>
      <c r="B8550" s="2" t="s">
        <v>727</v>
      </c>
      <c r="C8550" s="2">
        <v>687.70820000000003</v>
      </c>
      <c r="D8550" s="2">
        <f>HYPERLINK("http://mcb-m6.bioreg.kyushu-u.ac.jp/M3/20110418/F50975/1686/1", 35.47)</f>
        <v>35.47</v>
      </c>
      <c r="E8550" s="2">
        <v>12.3</v>
      </c>
      <c r="F8550" s="2">
        <v>2</v>
      </c>
      <c r="G8550" s="2" t="s">
        <v>11</v>
      </c>
      <c r="H8550" s="2" t="s">
        <v>4904</v>
      </c>
    </row>
    <row r="8551" spans="1:8" x14ac:dyDescent="0.2">
      <c r="A8551" s="2" t="s">
        <v>3540</v>
      </c>
      <c r="B8551" s="2" t="s">
        <v>727</v>
      </c>
      <c r="C8551" s="2">
        <v>696.15869999999995</v>
      </c>
      <c r="D8551" s="2">
        <f>HYPERLINK("http://mcb-m6.bioreg.kyushu-u.ac.jp/M3/20110418/F50975/1750/1", 35.94)</f>
        <v>35.94</v>
      </c>
      <c r="E8551" s="2">
        <v>20.88</v>
      </c>
      <c r="F8551" s="2">
        <v>2</v>
      </c>
      <c r="G8551" s="2" t="s">
        <v>11</v>
      </c>
    </row>
    <row r="8552" spans="1:8" x14ac:dyDescent="0.2">
      <c r="A8552" s="2" t="s">
        <v>3540</v>
      </c>
      <c r="B8552" s="2" t="s">
        <v>737</v>
      </c>
      <c r="C8552" s="2">
        <v>691.13919999999996</v>
      </c>
      <c r="D8552" s="2">
        <f>HYPERLINK("http://mcb-m6.bioreg.kyushu-u.ac.jp/M3/20110418/F50976/1716/1", 39.52)</f>
        <v>39.520000000000003</v>
      </c>
      <c r="E8552" s="2">
        <v>27.27</v>
      </c>
      <c r="F8552" s="2">
        <v>2</v>
      </c>
      <c r="G8552" s="2" t="s">
        <v>11</v>
      </c>
    </row>
    <row r="8553" spans="1:8" x14ac:dyDescent="0.2">
      <c r="A8553" s="2" t="s">
        <v>3540</v>
      </c>
      <c r="B8553" s="2" t="s">
        <v>727</v>
      </c>
      <c r="C8553" s="2">
        <v>696.1232</v>
      </c>
      <c r="D8553" s="2">
        <f>HYPERLINK("http://mcb-m6.bioreg.kyushu-u.ac.jp/M3/20110418/F50971/2007/1", 42.88)</f>
        <v>42.88</v>
      </c>
      <c r="E8553" s="2">
        <v>29.99</v>
      </c>
      <c r="F8553" s="2">
        <v>2</v>
      </c>
      <c r="G8553" s="2" t="s">
        <v>11</v>
      </c>
    </row>
    <row r="8554" spans="1:8" x14ac:dyDescent="0.2">
      <c r="A8554" s="2" t="s">
        <v>3540</v>
      </c>
      <c r="B8554" s="2" t="s">
        <v>727</v>
      </c>
      <c r="C8554" s="2">
        <v>696.43370000000004</v>
      </c>
      <c r="D8554" s="2">
        <f>HYPERLINK("http://mcb-m6.bioreg.kyushu-u.ac.jp/M3/20110418/F50977/1842/1", 43.56)</f>
        <v>43.56</v>
      </c>
      <c r="E8554" s="2">
        <v>25.73</v>
      </c>
      <c r="F8554" s="2">
        <v>2</v>
      </c>
      <c r="G8554" s="2" t="s">
        <v>11</v>
      </c>
    </row>
    <row r="8555" spans="1:8" x14ac:dyDescent="0.2">
      <c r="A8555" s="2" t="s">
        <v>3540</v>
      </c>
      <c r="B8555" s="2" t="s">
        <v>737</v>
      </c>
      <c r="C8555" s="2">
        <v>691.75019999999995</v>
      </c>
      <c r="D8555" s="2">
        <f>HYPERLINK("http://mcb-m6.bioreg.kyushu-u.ac.jp/M3/20110418/F50979/1887/1", 45.48)</f>
        <v>45.48</v>
      </c>
      <c r="E8555" s="2">
        <v>9.1199999999999992</v>
      </c>
      <c r="F8555" s="2">
        <v>2</v>
      </c>
      <c r="G8555" s="2" t="s">
        <v>11</v>
      </c>
    </row>
    <row r="8556" spans="1:8" x14ac:dyDescent="0.2">
      <c r="A8556" s="2" t="s">
        <v>3540</v>
      </c>
      <c r="B8556" s="2" t="s">
        <v>737</v>
      </c>
      <c r="C8556" s="2">
        <v>691.66520000000003</v>
      </c>
      <c r="D8556" s="2">
        <f>HYPERLINK("http://mcb-m6.bioreg.kyushu-u.ac.jp/M3/20110418/F50978/1826/1", 45.54)</f>
        <v>45.54</v>
      </c>
      <c r="E8556" s="2">
        <v>9.4600000000000009</v>
      </c>
      <c r="F8556" s="2">
        <v>2</v>
      </c>
      <c r="G8556" s="2" t="s">
        <v>11</v>
      </c>
    </row>
    <row r="8557" spans="1:8" x14ac:dyDescent="0.2">
      <c r="A8557" s="2" t="s">
        <v>3540</v>
      </c>
      <c r="B8557" s="2" t="s">
        <v>737</v>
      </c>
      <c r="C8557" s="2">
        <v>691.69169999999997</v>
      </c>
      <c r="D8557" s="2">
        <f>HYPERLINK("http://mcb-m6.bioreg.kyushu-u.ac.jp/M3/20110418/F50976/1725/1", 47.28)</f>
        <v>47.28</v>
      </c>
      <c r="E8557" s="2">
        <v>40.119999999999997</v>
      </c>
      <c r="F8557" s="2">
        <v>2</v>
      </c>
      <c r="G8557" s="2" t="s">
        <v>11</v>
      </c>
    </row>
    <row r="8558" spans="1:8" x14ac:dyDescent="0.2">
      <c r="A8558" s="2" t="s">
        <v>3540</v>
      </c>
      <c r="B8558" s="2" t="s">
        <v>737</v>
      </c>
      <c r="C8558" s="2">
        <v>691.73519999999996</v>
      </c>
      <c r="D8558" s="2">
        <f>HYPERLINK("http://mcb-m6.bioreg.kyushu-u.ac.jp/M3/20110418/F50979/1886/1", 51.13)</f>
        <v>51.13</v>
      </c>
      <c r="E8558" s="2">
        <v>15.14</v>
      </c>
      <c r="F8558" s="2">
        <v>2</v>
      </c>
      <c r="G8558" s="2" t="s">
        <v>11</v>
      </c>
    </row>
    <row r="8559" spans="1:8" x14ac:dyDescent="0.2">
      <c r="A8559" s="2" t="s">
        <v>3540</v>
      </c>
      <c r="B8559" s="2" t="s">
        <v>645</v>
      </c>
      <c r="C8559" s="2">
        <v>1165.5260000000001</v>
      </c>
      <c r="D8559" s="2">
        <f>HYPERLINK("http://mcb-m6.bioreg.kyushu-u.ac.jp/M3/20110418/F50975/1147/1", 52.75)</f>
        <v>52.75</v>
      </c>
      <c r="E8559" s="2">
        <v>27.19</v>
      </c>
      <c r="F8559" s="2">
        <v>1</v>
      </c>
      <c r="G8559" s="2" t="s">
        <v>11</v>
      </c>
    </row>
    <row r="8560" spans="1:8" x14ac:dyDescent="0.2">
      <c r="A8560" s="2" t="s">
        <v>3540</v>
      </c>
      <c r="B8560" s="2" t="s">
        <v>727</v>
      </c>
      <c r="C8560" s="2">
        <v>696.28859999999997</v>
      </c>
      <c r="D8560" s="2">
        <f>HYPERLINK("http://mcb-m6.bioreg.kyushu-u.ac.jp/M3/20110418/F50975/1753/1", 54.26)</f>
        <v>54.26</v>
      </c>
      <c r="E8560" s="2">
        <v>38.979999999999997</v>
      </c>
      <c r="F8560" s="2">
        <v>2</v>
      </c>
      <c r="G8560" s="2" t="s">
        <v>11</v>
      </c>
    </row>
    <row r="8561" spans="1:7" x14ac:dyDescent="0.2">
      <c r="A8561" s="2" t="s">
        <v>3540</v>
      </c>
      <c r="B8561" s="2" t="s">
        <v>645</v>
      </c>
      <c r="C8561" s="2">
        <v>583.21619999999996</v>
      </c>
      <c r="D8561" s="2">
        <f>HYPERLINK("http://mcb-m6.bioreg.kyushu-u.ac.jp/M3/20110418/F50975/1146/1", 55.45)</f>
        <v>55.45</v>
      </c>
      <c r="E8561" s="2">
        <v>28</v>
      </c>
      <c r="F8561" s="2">
        <v>2</v>
      </c>
      <c r="G8561" s="2" t="s">
        <v>11</v>
      </c>
    </row>
    <row r="8562" spans="1:7" x14ac:dyDescent="0.2">
      <c r="A8562" s="2" t="s">
        <v>3540</v>
      </c>
      <c r="B8562" s="2" t="s">
        <v>645</v>
      </c>
      <c r="C8562" s="2">
        <v>583.72170000000006</v>
      </c>
      <c r="D8562" s="2">
        <f>HYPERLINK("http://mcb-m6.bioreg.kyushu-u.ac.jp/M3/20110418/F50979/1566/1", 55.75)</f>
        <v>55.75</v>
      </c>
      <c r="E8562" s="2">
        <v>30.22</v>
      </c>
      <c r="F8562" s="2">
        <v>2</v>
      </c>
      <c r="G8562" s="2" t="s">
        <v>11</v>
      </c>
    </row>
    <row r="8563" spans="1:7" x14ac:dyDescent="0.2">
      <c r="A8563" s="2" t="s">
        <v>3540</v>
      </c>
      <c r="B8563" s="2" t="s">
        <v>727</v>
      </c>
      <c r="C8563" s="2">
        <v>696.08010000000002</v>
      </c>
      <c r="D8563" s="2">
        <f>HYPERLINK("http://mcb-m6.bioreg.kyushu-u.ac.jp/M3/20110418/F50977/1841/1", 58.76)</f>
        <v>58.76</v>
      </c>
      <c r="E8563" s="2">
        <v>37.17</v>
      </c>
      <c r="F8563" s="2">
        <v>2</v>
      </c>
      <c r="G8563" s="2" t="s">
        <v>11</v>
      </c>
    </row>
    <row r="8564" spans="1:7" x14ac:dyDescent="0.2">
      <c r="A8564" s="2" t="s">
        <v>3540</v>
      </c>
      <c r="B8564" s="2" t="s">
        <v>737</v>
      </c>
      <c r="C8564" s="2">
        <v>691.4547</v>
      </c>
      <c r="D8564" s="2">
        <f>HYPERLINK("http://mcb-m6.bioreg.kyushu-u.ac.jp/M3/20110418/F50975/1719/1", 58.84)</f>
        <v>58.84</v>
      </c>
      <c r="E8564" s="2">
        <v>47.86</v>
      </c>
      <c r="F8564" s="2">
        <v>2</v>
      </c>
      <c r="G8564" s="2" t="s">
        <v>11</v>
      </c>
    </row>
    <row r="8565" spans="1:7" x14ac:dyDescent="0.2">
      <c r="A8565" s="2" t="s">
        <v>3540</v>
      </c>
      <c r="B8565" s="2" t="s">
        <v>737</v>
      </c>
      <c r="C8565" s="2">
        <v>1381.6020000000001</v>
      </c>
      <c r="D8565" s="2">
        <f>HYPERLINK("http://mcb-m6.bioreg.kyushu-u.ac.jp/M3/20110418/F50975/1718/1", 59.35)</f>
        <v>59.35</v>
      </c>
      <c r="E8565" s="2">
        <v>42.03</v>
      </c>
      <c r="F8565" s="2">
        <v>1</v>
      </c>
      <c r="G8565" s="2" t="s">
        <v>11</v>
      </c>
    </row>
    <row r="8566" spans="1:7" x14ac:dyDescent="0.2">
      <c r="A8566" s="2" t="s">
        <v>3540</v>
      </c>
      <c r="B8566" s="2" t="s">
        <v>727</v>
      </c>
      <c r="C8566" s="2">
        <v>696.11109999999996</v>
      </c>
      <c r="D8566" s="2">
        <f>HYPERLINK("http://mcb-m6.bioreg.kyushu-u.ac.jp/M3/20110418/F50969/1965/1", 59.77)</f>
        <v>59.77</v>
      </c>
      <c r="E8566" s="2">
        <v>46.7</v>
      </c>
      <c r="F8566" s="2">
        <v>2</v>
      </c>
      <c r="G8566" s="2" t="s">
        <v>11</v>
      </c>
    </row>
    <row r="8567" spans="1:7" x14ac:dyDescent="0.2">
      <c r="A8567" s="2" t="s">
        <v>3540</v>
      </c>
      <c r="B8567" s="2" t="s">
        <v>727</v>
      </c>
      <c r="C8567" s="2">
        <v>696.37959999999998</v>
      </c>
      <c r="D8567" s="2">
        <f>HYPERLINK("http://mcb-m6.bioreg.kyushu-u.ac.jp/M3/20110418/F50978/1853/1", 60.28)</f>
        <v>60.28</v>
      </c>
      <c r="E8567" s="2">
        <v>39.01</v>
      </c>
      <c r="F8567" s="2">
        <v>2</v>
      </c>
      <c r="G8567" s="2" t="s">
        <v>11</v>
      </c>
    </row>
    <row r="8568" spans="1:7" x14ac:dyDescent="0.2">
      <c r="A8568" s="2" t="s">
        <v>3540</v>
      </c>
      <c r="B8568" s="2" t="s">
        <v>737</v>
      </c>
      <c r="C8568" s="2">
        <v>1381.509</v>
      </c>
      <c r="D8568" s="2">
        <f>HYPERLINK("http://mcb-m6.bioreg.kyushu-u.ac.jp/M3/20110418/F50977/1807/1", 60.36)</f>
        <v>60.36</v>
      </c>
      <c r="E8568" s="2">
        <v>37.79</v>
      </c>
      <c r="F8568" s="2">
        <v>1</v>
      </c>
      <c r="G8568" s="2" t="s">
        <v>11</v>
      </c>
    </row>
    <row r="8569" spans="1:7" x14ac:dyDescent="0.2">
      <c r="A8569" s="2" t="s">
        <v>3540</v>
      </c>
      <c r="B8569" s="2" t="s">
        <v>737</v>
      </c>
      <c r="C8569" s="2">
        <v>691.66769999999997</v>
      </c>
      <c r="D8569" s="2">
        <f>HYPERLINK("http://mcb-m6.bioreg.kyushu-u.ac.jp/M3/20110418/F50977/1811/1", 60.86)</f>
        <v>60.86</v>
      </c>
      <c r="E8569" s="2">
        <v>39.380000000000003</v>
      </c>
      <c r="F8569" s="2">
        <v>2</v>
      </c>
      <c r="G8569" s="2" t="s">
        <v>11</v>
      </c>
    </row>
    <row r="8570" spans="1:7" x14ac:dyDescent="0.2">
      <c r="A8570" s="2" t="s">
        <v>3540</v>
      </c>
      <c r="B8570" s="2" t="s">
        <v>737</v>
      </c>
      <c r="C8570" s="2">
        <v>691.75019999999995</v>
      </c>
      <c r="D8570" s="2">
        <f>HYPERLINK("http://mcb-m6.bioreg.kyushu-u.ac.jp/M3/20110418/F50975/1725/1", 62)</f>
        <v>62</v>
      </c>
      <c r="E8570" s="2">
        <v>40.97</v>
      </c>
      <c r="F8570" s="2">
        <v>2</v>
      </c>
      <c r="G8570" s="2" t="s">
        <v>11</v>
      </c>
    </row>
    <row r="8571" spans="1:7" x14ac:dyDescent="0.2">
      <c r="A8571" s="2" t="s">
        <v>3540</v>
      </c>
      <c r="B8571" s="2" t="s">
        <v>727</v>
      </c>
      <c r="C8571" s="2">
        <v>696.04819999999995</v>
      </c>
      <c r="D8571" s="2">
        <f>HYPERLINK("http://mcb-m6.bioreg.kyushu-u.ac.jp/M3/20110418/F50970/1912/1", 64.98)</f>
        <v>64.98</v>
      </c>
      <c r="E8571" s="2">
        <v>51.56</v>
      </c>
      <c r="F8571" s="2">
        <v>2</v>
      </c>
      <c r="G8571" s="2" t="s">
        <v>11</v>
      </c>
    </row>
    <row r="8572" spans="1:7" x14ac:dyDescent="0.2">
      <c r="A8572" s="2" t="s">
        <v>3540</v>
      </c>
      <c r="B8572" s="2" t="s">
        <v>737</v>
      </c>
      <c r="C8572" s="2">
        <v>691.5942</v>
      </c>
      <c r="D8572" s="2">
        <f>HYPERLINK("http://mcb-m6.bioreg.kyushu-u.ac.jp/M3/20110418/F50975/1720/1", 69.51)</f>
        <v>69.510000000000005</v>
      </c>
      <c r="E8572" s="2">
        <v>50.82</v>
      </c>
      <c r="F8572" s="2">
        <v>2</v>
      </c>
      <c r="G8572" s="2" t="s">
        <v>11</v>
      </c>
    </row>
    <row r="8573" spans="1:7" x14ac:dyDescent="0.2">
      <c r="A8573" s="2" t="s">
        <v>3540</v>
      </c>
      <c r="B8573" s="2" t="s">
        <v>737</v>
      </c>
      <c r="C8573" s="2">
        <v>691.6241</v>
      </c>
      <c r="D8573" s="2">
        <f>HYPERLINK("http://mcb-m6.bioreg.kyushu-u.ac.jp/M3/20110418/F50975/1721/1", 71.23)</f>
        <v>71.23</v>
      </c>
      <c r="E8573" s="2">
        <v>54.04</v>
      </c>
      <c r="F8573" s="2">
        <v>2</v>
      </c>
      <c r="G8573" s="2" t="s">
        <v>11</v>
      </c>
    </row>
    <row r="8574" spans="1:7" x14ac:dyDescent="0.2">
      <c r="A8574" s="2" t="s">
        <v>3540</v>
      </c>
      <c r="B8574" s="2" t="s">
        <v>737</v>
      </c>
      <c r="C8574" s="2">
        <v>691.70420000000001</v>
      </c>
      <c r="D8574" s="2">
        <f>HYPERLINK("http://mcb-m6.bioreg.kyushu-u.ac.jp/M3/20110418/F50977/1813/1", 71.79)</f>
        <v>71.790000000000006</v>
      </c>
      <c r="E8574" s="2">
        <v>57.48</v>
      </c>
      <c r="F8574" s="2">
        <v>2</v>
      </c>
      <c r="G8574" s="2" t="s">
        <v>11</v>
      </c>
    </row>
    <row r="8575" spans="1:7" x14ac:dyDescent="0.2">
      <c r="A8575" s="2" t="s">
        <v>3540</v>
      </c>
      <c r="B8575" s="2" t="s">
        <v>737</v>
      </c>
      <c r="C8575" s="2">
        <v>691.71220000000005</v>
      </c>
      <c r="D8575" s="2">
        <f>HYPERLINK("http://mcb-m6.bioreg.kyushu-u.ac.jp/M3/20110418/F50975/1723/1", 72.44)</f>
        <v>72.44</v>
      </c>
      <c r="E8575" s="2">
        <v>39.14</v>
      </c>
      <c r="F8575" s="2">
        <v>2</v>
      </c>
      <c r="G8575" s="2" t="s">
        <v>11</v>
      </c>
    </row>
    <row r="8576" spans="1:7" x14ac:dyDescent="0.2">
      <c r="A8576" s="2" t="s">
        <v>3540</v>
      </c>
      <c r="B8576" s="2" t="s">
        <v>737</v>
      </c>
      <c r="C8576" s="2">
        <v>691.18520000000001</v>
      </c>
      <c r="D8576" s="2">
        <f>HYPERLINK("http://mcb-m6.bioreg.kyushu-u.ac.jp/M3/20110418/F50975/1711/1", 75.32)</f>
        <v>75.319999999999993</v>
      </c>
      <c r="E8576" s="2">
        <v>50.23</v>
      </c>
      <c r="F8576" s="2">
        <v>2</v>
      </c>
      <c r="G8576" s="2" t="s">
        <v>11</v>
      </c>
    </row>
    <row r="8577" spans="1:7" x14ac:dyDescent="0.2">
      <c r="A8577" s="2" t="s">
        <v>3540</v>
      </c>
      <c r="B8577" s="2" t="s">
        <v>737</v>
      </c>
      <c r="C8577" s="2">
        <v>691.14509999999996</v>
      </c>
      <c r="D8577" s="2">
        <f>HYPERLINK("http://mcb-m6.bioreg.kyushu-u.ac.jp/M3/20110418/F50976/1718/1", 75.86)</f>
        <v>75.86</v>
      </c>
      <c r="E8577" s="2">
        <v>54.78</v>
      </c>
      <c r="F8577" s="2">
        <v>2</v>
      </c>
      <c r="G8577" s="2" t="s">
        <v>11</v>
      </c>
    </row>
    <row r="8578" spans="1:7" x14ac:dyDescent="0.2">
      <c r="A8578" s="2" t="s">
        <v>3540</v>
      </c>
      <c r="B8578" s="2" t="s">
        <v>737</v>
      </c>
      <c r="C8578" s="2">
        <v>691.24659999999994</v>
      </c>
      <c r="D8578" s="2">
        <f>HYPERLINK("http://mcb-m6.bioreg.kyushu-u.ac.jp/M3/20110418/F50977/1805/1", 77.39)</f>
        <v>77.39</v>
      </c>
      <c r="E8578" s="2">
        <v>55.29</v>
      </c>
      <c r="F8578" s="2">
        <v>2</v>
      </c>
      <c r="G8578" s="2" t="s">
        <v>11</v>
      </c>
    </row>
    <row r="8579" spans="1:7" x14ac:dyDescent="0.2">
      <c r="A8579" s="2" t="s">
        <v>3540</v>
      </c>
      <c r="B8579" s="2" t="s">
        <v>737</v>
      </c>
      <c r="C8579" s="2">
        <v>691.63210000000004</v>
      </c>
      <c r="D8579" s="2">
        <f>HYPERLINK("http://mcb-m6.bioreg.kyushu-u.ac.jp/M3/20110418/F50969/1954/1", 79.04)</f>
        <v>79.040000000000006</v>
      </c>
      <c r="E8579" s="2">
        <v>59.26</v>
      </c>
      <c r="F8579" s="2">
        <v>2</v>
      </c>
      <c r="G8579" s="2" t="s">
        <v>11</v>
      </c>
    </row>
    <row r="8580" spans="1:7" x14ac:dyDescent="0.2">
      <c r="A8580" s="2" t="s">
        <v>3540</v>
      </c>
      <c r="B8580" s="2" t="s">
        <v>737</v>
      </c>
      <c r="C8580" s="2">
        <v>691.21220000000005</v>
      </c>
      <c r="D8580" s="2">
        <f>HYPERLINK("http://mcb-m6.bioreg.kyushu-u.ac.jp/M3/20110418/F50975/1713/1", 81.88)</f>
        <v>81.88</v>
      </c>
      <c r="E8580" s="2">
        <v>65.73</v>
      </c>
      <c r="F8580" s="2">
        <v>2</v>
      </c>
      <c r="G8580" s="2" t="s">
        <v>11</v>
      </c>
    </row>
    <row r="8581" spans="1:7" x14ac:dyDescent="0.2">
      <c r="A8581" s="2" t="s">
        <v>3540</v>
      </c>
      <c r="B8581" s="2" t="s">
        <v>737</v>
      </c>
      <c r="C8581" s="2">
        <v>691.74570000000006</v>
      </c>
      <c r="D8581" s="2">
        <f>HYPERLINK("http://mcb-m6.bioreg.kyushu-u.ac.jp/M3/20110418/F50975/1724/1", 81.91)</f>
        <v>81.91</v>
      </c>
      <c r="E8581" s="2">
        <v>62.48</v>
      </c>
      <c r="F8581" s="2">
        <v>2</v>
      </c>
      <c r="G8581" s="2" t="s">
        <v>11</v>
      </c>
    </row>
    <row r="8582" spans="1:7" x14ac:dyDescent="0.2">
      <c r="A8582" s="2" t="s">
        <v>3540</v>
      </c>
      <c r="B8582" s="2" t="s">
        <v>737</v>
      </c>
      <c r="C8582" s="2">
        <v>691.67020000000002</v>
      </c>
      <c r="D8582" s="2">
        <f>HYPERLINK("http://mcb-m6.bioreg.kyushu-u.ac.jp/M3/20110418/F50976/1724/1", 82.22)</f>
        <v>82.22</v>
      </c>
      <c r="E8582" s="2">
        <v>65.430000000000007</v>
      </c>
      <c r="F8582" s="2">
        <v>2</v>
      </c>
      <c r="G8582" s="2" t="s">
        <v>11</v>
      </c>
    </row>
    <row r="8583" spans="1:7" x14ac:dyDescent="0.2">
      <c r="A8583" s="2" t="s">
        <v>3540</v>
      </c>
      <c r="B8583" s="2" t="s">
        <v>737</v>
      </c>
      <c r="C8583" s="2">
        <v>691.25670000000002</v>
      </c>
      <c r="D8583" s="2">
        <f>HYPERLINK("http://mcb-m6.bioreg.kyushu-u.ac.jp/M3/20110418/F50975/1716/1", 85.08)</f>
        <v>85.08</v>
      </c>
      <c r="E8583" s="2">
        <v>64.42</v>
      </c>
      <c r="F8583" s="2">
        <v>2</v>
      </c>
      <c r="G8583" s="2" t="s">
        <v>11</v>
      </c>
    </row>
    <row r="8584" spans="1:7" x14ac:dyDescent="0.2">
      <c r="A8584" s="2" t="s">
        <v>3540</v>
      </c>
      <c r="B8584" s="2" t="s">
        <v>727</v>
      </c>
      <c r="C8584" s="2">
        <v>696.01570000000004</v>
      </c>
      <c r="D8584" s="2">
        <f>HYPERLINK("http://mcb-m6.bioreg.kyushu-u.ac.jp/M3/20110418/F50975/1749/1", 94.52)</f>
        <v>94.52</v>
      </c>
      <c r="E8584" s="2">
        <v>75.38</v>
      </c>
      <c r="F8584" s="2">
        <v>2</v>
      </c>
      <c r="G8584" s="2" t="s">
        <v>11</v>
      </c>
    </row>
    <row r="8585" spans="1:7" x14ac:dyDescent="0.2">
      <c r="A8585" s="2" t="s">
        <v>3540</v>
      </c>
      <c r="B8585" s="2" t="s">
        <v>727</v>
      </c>
      <c r="C8585" s="2">
        <v>696.29570000000001</v>
      </c>
      <c r="D8585" s="2">
        <f>HYPERLINK("http://mcb-m6.bioreg.kyushu-u.ac.jp/M3/20110418/F50978/1851/1", 97.64)</f>
        <v>97.64</v>
      </c>
      <c r="E8585" s="2">
        <v>73.900000000000006</v>
      </c>
      <c r="F8585" s="2">
        <v>2</v>
      </c>
      <c r="G8585" s="2" t="s">
        <v>11</v>
      </c>
    </row>
    <row r="8586" spans="1:7" x14ac:dyDescent="0.2">
      <c r="A8586" s="2" t="s">
        <v>3540</v>
      </c>
      <c r="B8586" s="2" t="s">
        <v>727</v>
      </c>
      <c r="C8586" s="2">
        <v>695.84059999999999</v>
      </c>
      <c r="D8586" s="2">
        <f>HYPERLINK("http://mcb-m6.bioreg.kyushu-u.ac.jp/M3/20110418/F50977/1840/1", 109.14)</f>
        <v>109.14</v>
      </c>
      <c r="E8586" s="2">
        <v>87.69</v>
      </c>
      <c r="F8586" s="2">
        <v>2</v>
      </c>
      <c r="G8586" s="2" t="s">
        <v>11</v>
      </c>
    </row>
    <row r="8587" spans="1:7" x14ac:dyDescent="0.2">
      <c r="A8587" s="2" t="s">
        <v>3540</v>
      </c>
      <c r="B8587" s="2" t="s">
        <v>737</v>
      </c>
      <c r="C8587" s="2">
        <v>691.12459999999999</v>
      </c>
      <c r="D8587" s="2">
        <f>HYPERLINK("http://mcb-m6.bioreg.kyushu-u.ac.jp/M3/20110418/F50983/1900/1", 37.54)</f>
        <v>37.54</v>
      </c>
      <c r="E8587" s="2">
        <v>20.83</v>
      </c>
      <c r="F8587" s="2">
        <v>2</v>
      </c>
      <c r="G8587" s="2" t="s">
        <v>12</v>
      </c>
    </row>
    <row r="8588" spans="1:7" x14ac:dyDescent="0.2">
      <c r="A8588" s="2" t="s">
        <v>3540</v>
      </c>
      <c r="B8588" s="2" t="s">
        <v>645</v>
      </c>
      <c r="C8588" s="2">
        <v>583.25570000000005</v>
      </c>
      <c r="D8588" s="2">
        <f>HYPERLINK("http://mcb-m6.bioreg.kyushu-u.ac.jp/M3/20110418/F50997/1431/1", 51.2)</f>
        <v>51.2</v>
      </c>
      <c r="E8588" s="2">
        <v>34</v>
      </c>
      <c r="F8588" s="2">
        <v>2</v>
      </c>
      <c r="G8588" s="2" t="s">
        <v>12</v>
      </c>
    </row>
    <row r="8589" spans="1:7" x14ac:dyDescent="0.2">
      <c r="A8589" s="2" t="s">
        <v>3540</v>
      </c>
      <c r="B8589" s="2" t="s">
        <v>727</v>
      </c>
      <c r="C8589" s="2">
        <v>696.18910000000005</v>
      </c>
      <c r="D8589" s="2">
        <f>HYPERLINK("http://mcb-m6.bioreg.kyushu-u.ac.jp/M3/20110418/F50983/1910/1", 55.24)</f>
        <v>55.24</v>
      </c>
      <c r="E8589" s="2">
        <v>39.6</v>
      </c>
      <c r="F8589" s="2">
        <v>2</v>
      </c>
      <c r="G8589" s="2" t="s">
        <v>12</v>
      </c>
    </row>
    <row r="8590" spans="1:7" x14ac:dyDescent="0.2">
      <c r="A8590" s="2" t="s">
        <v>3540</v>
      </c>
      <c r="B8590" s="2" t="s">
        <v>727</v>
      </c>
      <c r="C8590" s="2">
        <v>696.26819999999998</v>
      </c>
      <c r="D8590" s="2">
        <f>HYPERLINK("http://mcb-m6.bioreg.kyushu-u.ac.jp/M3/20110418/F51005/1872/1", 61.04)</f>
        <v>61.04</v>
      </c>
      <c r="E8590" s="2">
        <v>35.53</v>
      </c>
      <c r="F8590" s="2">
        <v>2</v>
      </c>
      <c r="G8590" s="2" t="s">
        <v>12</v>
      </c>
    </row>
    <row r="8591" spans="1:7" x14ac:dyDescent="0.2">
      <c r="A8591" s="2" t="s">
        <v>3540</v>
      </c>
      <c r="B8591" s="2" t="s">
        <v>645</v>
      </c>
      <c r="C8591" s="2">
        <v>583.65219999999999</v>
      </c>
      <c r="D8591" s="2">
        <f>HYPERLINK("http://mcb-m6.bioreg.kyushu-u.ac.jp/M3/20110418/F50985/1889/1", 61.49)</f>
        <v>61.49</v>
      </c>
      <c r="E8591" s="2">
        <v>36.14</v>
      </c>
      <c r="F8591" s="2">
        <v>2</v>
      </c>
      <c r="G8591" s="2" t="s">
        <v>12</v>
      </c>
    </row>
    <row r="8592" spans="1:7" x14ac:dyDescent="0.2">
      <c r="A8592" s="2" t="s">
        <v>3540</v>
      </c>
      <c r="B8592" s="2" t="s">
        <v>727</v>
      </c>
      <c r="C8592" s="2">
        <v>696.09720000000004</v>
      </c>
      <c r="D8592" s="2">
        <f>HYPERLINK("http://mcb-m6.bioreg.kyushu-u.ac.jp/M3/20110418/F50985/2047/1", 76.62)</f>
        <v>76.62</v>
      </c>
      <c r="E8592" s="2">
        <v>53.47</v>
      </c>
      <c r="F8592" s="2">
        <v>2</v>
      </c>
      <c r="G8592" s="2" t="s">
        <v>12</v>
      </c>
    </row>
    <row r="8593" spans="1:7" x14ac:dyDescent="0.2">
      <c r="A8593" s="2" t="s">
        <v>3540</v>
      </c>
      <c r="B8593" s="2" t="s">
        <v>727</v>
      </c>
      <c r="C8593" s="2">
        <v>696.27719999999999</v>
      </c>
      <c r="D8593" s="2">
        <f>HYPERLINK("http://mcb-m6.bioreg.kyushu-u.ac.jp/M3/20110418/F50980/1975/1", 77.65)</f>
        <v>77.650000000000006</v>
      </c>
      <c r="E8593" s="2">
        <v>61.18</v>
      </c>
      <c r="F8593" s="2">
        <v>2</v>
      </c>
      <c r="G8593" s="2" t="s">
        <v>12</v>
      </c>
    </row>
    <row r="8594" spans="1:7" x14ac:dyDescent="0.2">
      <c r="A8594" s="2" t="s">
        <v>3540</v>
      </c>
      <c r="B8594" s="2" t="s">
        <v>727</v>
      </c>
      <c r="C8594" s="2">
        <v>696.2432</v>
      </c>
      <c r="D8594" s="2">
        <f>HYPERLINK("http://mcb-m6.bioreg.kyushu-u.ac.jp/M3/20110418/F50981/1980/1", 79.18)</f>
        <v>79.180000000000007</v>
      </c>
      <c r="E8594" s="2">
        <v>62.64</v>
      </c>
      <c r="F8594" s="2">
        <v>2</v>
      </c>
      <c r="G8594" s="2" t="s">
        <v>12</v>
      </c>
    </row>
    <row r="8595" spans="1:7" x14ac:dyDescent="0.2">
      <c r="A8595" s="2" t="s">
        <v>3540</v>
      </c>
      <c r="B8595" s="2" t="s">
        <v>737</v>
      </c>
      <c r="C8595" s="2">
        <v>691.43619999999999</v>
      </c>
      <c r="D8595" s="2">
        <f>HYPERLINK("http://mcb-m6.bioreg.kyushu-u.ac.jp/M3/20110418/F50997/1804/1", 79.49)</f>
        <v>79.489999999999995</v>
      </c>
      <c r="E8595" s="2">
        <v>64.260000000000005</v>
      </c>
      <c r="F8595" s="2">
        <v>2</v>
      </c>
      <c r="G8595" s="2" t="s">
        <v>12</v>
      </c>
    </row>
    <row r="8596" spans="1:7" x14ac:dyDescent="0.2">
      <c r="A8596" s="2" t="s">
        <v>3540</v>
      </c>
      <c r="B8596" s="2" t="s">
        <v>727</v>
      </c>
      <c r="C8596" s="2">
        <v>696.07709999999997</v>
      </c>
      <c r="D8596" s="2">
        <f>HYPERLINK("http://mcb-m6.bioreg.kyushu-u.ac.jp/M3/20110418/F50987/1949/1", 82.51)</f>
        <v>82.51</v>
      </c>
      <c r="E8596" s="2">
        <v>64.010000000000005</v>
      </c>
      <c r="F8596" s="2">
        <v>2</v>
      </c>
      <c r="G8596" s="2" t="s">
        <v>12</v>
      </c>
    </row>
    <row r="8597" spans="1:7" x14ac:dyDescent="0.2">
      <c r="A8597" s="2" t="s">
        <v>3540</v>
      </c>
      <c r="B8597" s="2" t="s">
        <v>737</v>
      </c>
      <c r="C8597" s="2">
        <v>691.07209999999998</v>
      </c>
      <c r="D8597" s="2">
        <f>HYPERLINK("http://mcb-m6.bioreg.kyushu-u.ac.jp/M3/20110418/F50985/2037/1", 100.72)</f>
        <v>100.72</v>
      </c>
      <c r="E8597" s="2">
        <v>80.680000000000007</v>
      </c>
      <c r="F8597" s="2">
        <v>2</v>
      </c>
      <c r="G8597" s="2" t="s">
        <v>12</v>
      </c>
    </row>
    <row r="8598" spans="1:7" x14ac:dyDescent="0.2">
      <c r="A8598" s="2" t="s">
        <v>3540</v>
      </c>
      <c r="B8598" s="2" t="s">
        <v>727</v>
      </c>
      <c r="C8598" s="2">
        <v>696.22220000000004</v>
      </c>
      <c r="D8598" s="2">
        <f>HYPERLINK("http://mcb-m6.bioreg.kyushu-u.ac.jp/M3/20110418/F50989/1892/1", 112.41)</f>
        <v>112.41</v>
      </c>
      <c r="E8598" s="2">
        <v>94.34</v>
      </c>
      <c r="F8598" s="2">
        <v>2</v>
      </c>
      <c r="G8598" s="2" t="s">
        <v>12</v>
      </c>
    </row>
    <row r="8599" spans="1:7" x14ac:dyDescent="0.2">
      <c r="A8599" s="2" t="s">
        <v>3540</v>
      </c>
      <c r="B8599" s="2" t="s">
        <v>737</v>
      </c>
      <c r="C8599" s="2">
        <v>691.2106</v>
      </c>
      <c r="D8599" s="2">
        <f>HYPERLINK("http://mcb-m6.bioreg.kyushu-u.ac.jp/M3/20110429/F51152/1680/1", 37.26)</f>
        <v>37.26</v>
      </c>
      <c r="E8599" s="2">
        <v>26.91</v>
      </c>
      <c r="F8599" s="2">
        <v>2</v>
      </c>
      <c r="G8599" s="2" t="s">
        <v>13</v>
      </c>
    </row>
    <row r="8600" spans="1:7" x14ac:dyDescent="0.2">
      <c r="A8600" s="2" t="s">
        <v>3540</v>
      </c>
      <c r="B8600" s="2" t="s">
        <v>645</v>
      </c>
      <c r="C8600" s="2">
        <v>583.15769999999998</v>
      </c>
      <c r="D8600" s="2">
        <f>HYPERLINK("http://mcb-m6.bioreg.kyushu-u.ac.jp/M3/20110429/F51150/1576/1", 42.42)</f>
        <v>42.42</v>
      </c>
      <c r="E8600" s="2">
        <v>21.1</v>
      </c>
      <c r="F8600" s="2">
        <v>2</v>
      </c>
      <c r="G8600" s="2" t="s">
        <v>13</v>
      </c>
    </row>
    <row r="8601" spans="1:7" x14ac:dyDescent="0.2">
      <c r="A8601" s="2" t="s">
        <v>3540</v>
      </c>
      <c r="B8601" s="2" t="s">
        <v>737</v>
      </c>
      <c r="C8601" s="2">
        <v>691.10919999999999</v>
      </c>
      <c r="D8601" s="2">
        <f>HYPERLINK("http://mcb-m6.bioreg.kyushu-u.ac.jp/M3/20110429/F51151/1915/1", 52.05)</f>
        <v>52.05</v>
      </c>
      <c r="E8601" s="2">
        <v>40.799999999999997</v>
      </c>
      <c r="F8601" s="2">
        <v>2</v>
      </c>
      <c r="G8601" s="2" t="s">
        <v>13</v>
      </c>
    </row>
    <row r="8602" spans="1:7" x14ac:dyDescent="0.2">
      <c r="A8602" s="2" t="s">
        <v>3540</v>
      </c>
      <c r="B8602" s="2" t="s">
        <v>645</v>
      </c>
      <c r="C8602" s="2">
        <v>583.4547</v>
      </c>
      <c r="D8602" s="2">
        <f>HYPERLINK("http://mcb-m6.bioreg.kyushu-u.ac.jp/M3/20110502/F51158/1127/1", 55.82)</f>
        <v>55.82</v>
      </c>
      <c r="E8602" s="2">
        <v>24.92</v>
      </c>
      <c r="F8602" s="2">
        <v>2</v>
      </c>
      <c r="G8602" s="2" t="s">
        <v>13</v>
      </c>
    </row>
    <row r="8603" spans="1:7" x14ac:dyDescent="0.2">
      <c r="A8603" s="2" t="s">
        <v>3540</v>
      </c>
      <c r="B8603" s="2" t="s">
        <v>645</v>
      </c>
      <c r="C8603" s="2">
        <v>583.13210000000004</v>
      </c>
      <c r="D8603" s="2">
        <f>HYPERLINK("http://mcb-m6.bioreg.kyushu-u.ac.jp/M3/20110429/F51151/1500/1", 57.93)</f>
        <v>57.93</v>
      </c>
      <c r="E8603" s="2">
        <v>33.42</v>
      </c>
      <c r="F8603" s="2">
        <v>2</v>
      </c>
      <c r="G8603" s="2" t="s">
        <v>13</v>
      </c>
    </row>
    <row r="8604" spans="1:7" x14ac:dyDescent="0.2">
      <c r="A8604" s="2" t="s">
        <v>3540</v>
      </c>
      <c r="B8604" s="2" t="s">
        <v>737</v>
      </c>
      <c r="C8604" s="2">
        <v>691.29970000000003</v>
      </c>
      <c r="D8604" s="2">
        <f>HYPERLINK("http://mcb-m6.bioreg.kyushu-u.ac.jp/M3/20110502/F51163/1513/1", 62.55)</f>
        <v>62.55</v>
      </c>
      <c r="E8604" s="2">
        <v>40.85</v>
      </c>
      <c r="F8604" s="2">
        <v>2</v>
      </c>
      <c r="G8604" s="2" t="s">
        <v>13</v>
      </c>
    </row>
    <row r="8605" spans="1:7" x14ac:dyDescent="0.2">
      <c r="A8605" s="2" t="s">
        <v>3540</v>
      </c>
      <c r="B8605" s="2" t="s">
        <v>645</v>
      </c>
      <c r="C8605" s="2">
        <v>583.75570000000005</v>
      </c>
      <c r="D8605" s="2">
        <f>HYPERLINK("http://mcb-m6.bioreg.kyushu-u.ac.jp/M3/20110429/F51157/973/1", 62.84)</f>
        <v>62.84</v>
      </c>
      <c r="E8605" s="2">
        <v>40.229999999999997</v>
      </c>
      <c r="F8605" s="2">
        <v>2</v>
      </c>
      <c r="G8605" s="2" t="s">
        <v>13</v>
      </c>
    </row>
    <row r="8606" spans="1:7" x14ac:dyDescent="0.2">
      <c r="A8606" s="2" t="s">
        <v>3540</v>
      </c>
      <c r="B8606" s="2" t="s">
        <v>737</v>
      </c>
      <c r="C8606" s="2">
        <v>691.14469999999994</v>
      </c>
      <c r="D8606" s="2">
        <f>HYPERLINK("http://mcb-m6.bioreg.kyushu-u.ac.jp/M3/20110429/F51150/1937/1", 74.28)</f>
        <v>74.28</v>
      </c>
      <c r="E8606" s="2">
        <v>54.01</v>
      </c>
      <c r="F8606" s="2">
        <v>2</v>
      </c>
      <c r="G8606" s="2" t="s">
        <v>13</v>
      </c>
    </row>
    <row r="8607" spans="1:7" x14ac:dyDescent="0.2">
      <c r="A8607" s="2" t="s">
        <v>3540</v>
      </c>
      <c r="B8607" s="2" t="s">
        <v>645</v>
      </c>
      <c r="C8607" s="2">
        <v>583.17570000000001</v>
      </c>
      <c r="D8607" s="2">
        <f>HYPERLINK("http://mcb-m6.bioreg.kyushu-u.ac.jp/M3/20110429/F51152/1213/1", 74.96)</f>
        <v>74.959999999999994</v>
      </c>
      <c r="E8607" s="2">
        <v>46.88</v>
      </c>
      <c r="F8607" s="2">
        <v>2</v>
      </c>
      <c r="G8607" s="2" t="s">
        <v>13</v>
      </c>
    </row>
    <row r="8608" spans="1:7" x14ac:dyDescent="0.2">
      <c r="A8608" s="2" t="s">
        <v>3540</v>
      </c>
      <c r="B8608" s="2" t="s">
        <v>737</v>
      </c>
      <c r="C8608" s="2">
        <v>691.65809999999999</v>
      </c>
      <c r="D8608" s="2">
        <f>HYPERLINK("http://mcb-m6.bioreg.kyushu-u.ac.jp/M3/20110429/F51150/1940/1", 75.98)</f>
        <v>75.98</v>
      </c>
      <c r="E8608" s="2">
        <v>58.71</v>
      </c>
      <c r="F8608" s="2">
        <v>2</v>
      </c>
      <c r="G8608" s="2" t="s">
        <v>13</v>
      </c>
    </row>
    <row r="8609" spans="1:7" x14ac:dyDescent="0.2">
      <c r="A8609" s="2" t="s">
        <v>3540</v>
      </c>
      <c r="B8609" s="2" t="s">
        <v>737</v>
      </c>
      <c r="C8609" s="2">
        <v>691.54769999999996</v>
      </c>
      <c r="D8609" s="2">
        <f>HYPERLINK("http://mcb-m6.bioreg.kyushu-u.ac.jp/M3/20110428/F51147/1824/1", 77.79)</f>
        <v>77.790000000000006</v>
      </c>
      <c r="E8609" s="2">
        <v>58.81</v>
      </c>
      <c r="F8609" s="2">
        <v>2</v>
      </c>
      <c r="G8609" s="2" t="s">
        <v>13</v>
      </c>
    </row>
    <row r="8610" spans="1:7" x14ac:dyDescent="0.2">
      <c r="A8610" s="2" t="s">
        <v>3540</v>
      </c>
      <c r="B8610" s="2" t="s">
        <v>737</v>
      </c>
      <c r="C8610" s="2">
        <v>691.46119999999996</v>
      </c>
      <c r="D8610" s="2">
        <f>HYPERLINK("http://mcb-m6.bioreg.kyushu-u.ac.jp/M3/20110429/F51153/1636/1", 78.66)</f>
        <v>78.66</v>
      </c>
      <c r="E8610" s="2">
        <v>63.44</v>
      </c>
      <c r="F8610" s="2">
        <v>2</v>
      </c>
      <c r="G8610" s="2" t="s">
        <v>13</v>
      </c>
    </row>
    <row r="8611" spans="1:7" x14ac:dyDescent="0.2">
      <c r="A8611" s="2" t="s">
        <v>3540</v>
      </c>
      <c r="B8611" s="2" t="s">
        <v>737</v>
      </c>
      <c r="C8611" s="2">
        <v>691.4067</v>
      </c>
      <c r="D8611" s="2">
        <f>HYPERLINK("http://mcb-m6.bioreg.kyushu-u.ac.jp/M3/20110502/F51158/1642/1", 78.98)</f>
        <v>78.98</v>
      </c>
      <c r="E8611" s="2">
        <v>61.73</v>
      </c>
      <c r="F8611" s="2">
        <v>2</v>
      </c>
      <c r="G8611" s="2" t="s">
        <v>13</v>
      </c>
    </row>
    <row r="8612" spans="1:7" x14ac:dyDescent="0.2">
      <c r="A8612" s="2" t="s">
        <v>3540</v>
      </c>
      <c r="B8612" s="2" t="s">
        <v>737</v>
      </c>
      <c r="C8612" s="2">
        <v>691.45259999999996</v>
      </c>
      <c r="D8612" s="2">
        <f>HYPERLINK("http://mcb-m6.bioreg.kyushu-u.ac.jp/M3/20110428/F51146/1869/1", 81.6)</f>
        <v>81.599999999999994</v>
      </c>
      <c r="E8612" s="2">
        <v>54.47</v>
      </c>
      <c r="F8612" s="2">
        <v>2</v>
      </c>
      <c r="G8612" s="2" t="s">
        <v>13</v>
      </c>
    </row>
    <row r="8613" spans="1:7" x14ac:dyDescent="0.2">
      <c r="A8613" s="2" t="s">
        <v>3540</v>
      </c>
      <c r="B8613" s="2" t="s">
        <v>737</v>
      </c>
      <c r="C8613" s="2">
        <v>691.28610000000003</v>
      </c>
      <c r="D8613" s="2">
        <f>HYPERLINK("http://mcb-m6.bioreg.kyushu-u.ac.jp/M3/20110429/F51157/1509/1", 90.05)</f>
        <v>90.05</v>
      </c>
      <c r="E8613" s="2">
        <v>72.33</v>
      </c>
      <c r="F8613" s="2">
        <v>2</v>
      </c>
      <c r="G8613" s="2" t="s">
        <v>13</v>
      </c>
    </row>
    <row r="8614" spans="1:7" x14ac:dyDescent="0.2">
      <c r="A8614" s="2" t="s">
        <v>3540</v>
      </c>
      <c r="B8614" s="2" t="s">
        <v>727</v>
      </c>
      <c r="C8614" s="2">
        <v>696.40170000000001</v>
      </c>
      <c r="D8614" s="2">
        <f>HYPERLINK("http://mcb-m6.bioreg.kyushu-u.ac.jp/M3/20110502/F51158/1669/1", 92.12)</f>
        <v>92.12</v>
      </c>
      <c r="E8614" s="2">
        <v>71.849999999999994</v>
      </c>
      <c r="F8614" s="2">
        <v>2</v>
      </c>
      <c r="G8614" s="2" t="s">
        <v>13</v>
      </c>
    </row>
    <row r="8615" spans="1:7" x14ac:dyDescent="0.2">
      <c r="A8615" s="2" t="s">
        <v>3540</v>
      </c>
      <c r="B8615" s="2" t="s">
        <v>727</v>
      </c>
      <c r="C8615" s="2">
        <v>695.75919999999996</v>
      </c>
      <c r="D8615" s="2">
        <f>HYPERLINK("http://mcb-m6.bioreg.kyushu-u.ac.jp/M3/20110429/F51151/1943/1", 99.35)</f>
        <v>99.35</v>
      </c>
      <c r="E8615" s="2">
        <v>77.290000000000006</v>
      </c>
      <c r="F8615" s="2">
        <v>2</v>
      </c>
      <c r="G8615" s="2" t="s">
        <v>13</v>
      </c>
    </row>
    <row r="8616" spans="1:7" x14ac:dyDescent="0.2">
      <c r="A8616" s="2" t="s">
        <v>3540</v>
      </c>
      <c r="B8616" s="2" t="s">
        <v>737</v>
      </c>
      <c r="C8616" s="2">
        <v>691.88869999999997</v>
      </c>
      <c r="D8616" s="2">
        <f>HYPERLINK("http://mcb-m6.bioreg.kyushu-u.ac.jp/M3/20110428/F51140/1694/1", 35.62)</f>
        <v>35.619999999999997</v>
      </c>
      <c r="E8616" s="2">
        <v>28.13</v>
      </c>
      <c r="F8616" s="2">
        <v>2</v>
      </c>
      <c r="G8616" s="2" t="s">
        <v>14</v>
      </c>
    </row>
    <row r="8617" spans="1:7" x14ac:dyDescent="0.2">
      <c r="A8617" s="2" t="s">
        <v>3540</v>
      </c>
      <c r="B8617" s="2" t="s">
        <v>727</v>
      </c>
      <c r="C8617" s="2">
        <v>696.40120000000002</v>
      </c>
      <c r="D8617" s="2">
        <f>HYPERLINK("http://mcb-m6.bioreg.kyushu-u.ac.jp/M3/20110502/F51161/1689/1", 50.22)</f>
        <v>50.22</v>
      </c>
      <c r="E8617" s="2">
        <v>35</v>
      </c>
      <c r="F8617" s="2">
        <v>2</v>
      </c>
      <c r="G8617" s="2" t="s">
        <v>14</v>
      </c>
    </row>
    <row r="8618" spans="1:7" x14ac:dyDescent="0.2">
      <c r="A8618" s="2" t="s">
        <v>3540</v>
      </c>
      <c r="B8618" s="2" t="s">
        <v>645</v>
      </c>
      <c r="C8618" s="2">
        <v>583.30020000000002</v>
      </c>
      <c r="D8618" s="2">
        <f>HYPERLINK("http://mcb-m6.bioreg.kyushu-u.ac.jp/M3/20110428/F51141/1075/1", 57.89)</f>
        <v>57.89</v>
      </c>
      <c r="E8618" s="2">
        <v>27.98</v>
      </c>
      <c r="F8618" s="2">
        <v>2</v>
      </c>
      <c r="G8618" s="2" t="s">
        <v>14</v>
      </c>
    </row>
    <row r="8619" spans="1:7" x14ac:dyDescent="0.2">
      <c r="A8619" s="2" t="s">
        <v>3540</v>
      </c>
      <c r="B8619" s="2" t="s">
        <v>645</v>
      </c>
      <c r="C8619" s="2">
        <v>583.36569999999995</v>
      </c>
      <c r="D8619" s="2">
        <f>HYPERLINK("http://mcb-m6.bioreg.kyushu-u.ac.jp/M3/20110428/F51140/1233/1", 65.27)</f>
        <v>65.27</v>
      </c>
      <c r="E8619" s="2">
        <v>38.340000000000003</v>
      </c>
      <c r="F8619" s="2">
        <v>2</v>
      </c>
      <c r="G8619" s="2" t="s">
        <v>14</v>
      </c>
    </row>
    <row r="8620" spans="1:7" x14ac:dyDescent="0.2">
      <c r="A8620" s="2" t="s">
        <v>3540</v>
      </c>
      <c r="B8620" s="2" t="s">
        <v>737</v>
      </c>
      <c r="C8620" s="2">
        <v>691.75519999999995</v>
      </c>
      <c r="D8620" s="2">
        <f>HYPERLINK("http://mcb-m6.bioreg.kyushu-u.ac.jp/M3/20110428/F51141/1641/1", 66.36)</f>
        <v>66.36</v>
      </c>
      <c r="E8620" s="2">
        <v>50.48</v>
      </c>
      <c r="F8620" s="2">
        <v>2</v>
      </c>
      <c r="G8620" s="2" t="s">
        <v>14</v>
      </c>
    </row>
    <row r="8621" spans="1:7" x14ac:dyDescent="0.2">
      <c r="A8621" s="2" t="s">
        <v>3540</v>
      </c>
      <c r="B8621" s="2" t="s">
        <v>737</v>
      </c>
      <c r="C8621" s="2">
        <v>691.37819999999999</v>
      </c>
      <c r="D8621" s="2">
        <f>HYPERLINK("http://mcb-m6.bioreg.kyushu-u.ac.jp/M3/20110502/F51161/1666/1", 76.62)</f>
        <v>76.62</v>
      </c>
      <c r="E8621" s="2">
        <v>58.4</v>
      </c>
      <c r="F8621" s="2">
        <v>2</v>
      </c>
      <c r="G8621" s="2" t="s">
        <v>14</v>
      </c>
    </row>
    <row r="8622" spans="1:7" x14ac:dyDescent="0.2">
      <c r="A8622" s="2" t="s">
        <v>3540</v>
      </c>
      <c r="B8622" s="2" t="s">
        <v>737</v>
      </c>
      <c r="C8622" s="2">
        <v>691.41420000000005</v>
      </c>
      <c r="D8622" s="2">
        <f>HYPERLINK("http://mcb-m6.bioreg.kyushu-u.ac.jp/M3/20110428/F51138/2077/1", 81.02)</f>
        <v>81.02</v>
      </c>
      <c r="E8622" s="2">
        <v>63.11</v>
      </c>
      <c r="F8622" s="2">
        <v>2</v>
      </c>
      <c r="G8622" s="2" t="s">
        <v>14</v>
      </c>
    </row>
    <row r="8623" spans="1:7" x14ac:dyDescent="0.2">
      <c r="A8623" s="2" t="s">
        <v>3540</v>
      </c>
      <c r="B8623" s="2" t="s">
        <v>727</v>
      </c>
      <c r="C8623" s="2">
        <v>695.81820000000005</v>
      </c>
      <c r="D8623" s="2">
        <f>HYPERLINK("http://mcb-m6.bioreg.kyushu-u.ac.jp/M3/20110428/F51141/1665/1", 85.98)</f>
        <v>85.98</v>
      </c>
      <c r="E8623" s="2">
        <v>66.86</v>
      </c>
      <c r="F8623" s="2">
        <v>2</v>
      </c>
      <c r="G8623" s="2" t="s">
        <v>14</v>
      </c>
    </row>
    <row r="8624" spans="1:7" x14ac:dyDescent="0.2">
      <c r="A8624" s="2" t="s">
        <v>3540</v>
      </c>
      <c r="B8624" s="2" t="s">
        <v>727</v>
      </c>
      <c r="C8624" s="2">
        <v>696.41819999999996</v>
      </c>
      <c r="D8624" s="2">
        <f>HYPERLINK("http://mcb-m6.bioreg.kyushu-u.ac.jp/M3/20110428/F51141/1668/1", 92.3)</f>
        <v>92.3</v>
      </c>
      <c r="E8624" s="2">
        <v>71.88</v>
      </c>
      <c r="F8624" s="2">
        <v>2</v>
      </c>
      <c r="G8624" s="2" t="s">
        <v>14</v>
      </c>
    </row>
    <row r="8625" spans="1:9" x14ac:dyDescent="0.2">
      <c r="A8625" s="2" t="s">
        <v>5785</v>
      </c>
      <c r="B8625" s="2" t="s">
        <v>5429</v>
      </c>
      <c r="C8625" s="2">
        <v>629.34670000000006</v>
      </c>
      <c r="D8625" s="2">
        <f>HYPERLINK("http://mcb-m6.bioreg.kyushu-u.ac.jp/M3/20110418/F50985/1941/1", 36.52)</f>
        <v>36.520000000000003</v>
      </c>
      <c r="E8625" s="2">
        <v>17.54</v>
      </c>
      <c r="F8625" s="2">
        <v>2</v>
      </c>
      <c r="G8625" s="2" t="s">
        <v>12</v>
      </c>
    </row>
    <row r="8626" spans="1:9" x14ac:dyDescent="0.2">
      <c r="A8626" s="2" t="s">
        <v>5732</v>
      </c>
      <c r="B8626" s="2" t="s">
        <v>5315</v>
      </c>
      <c r="C8626" s="2">
        <v>1302.077</v>
      </c>
      <c r="D8626" s="2">
        <f>HYPERLINK("http://mcb-m6.bioreg.kyushu-u.ac.jp/M3/20110318/F50600/2802/1", 56.61)</f>
        <v>56.61</v>
      </c>
      <c r="E8626" s="2">
        <v>43.54</v>
      </c>
      <c r="F8626" s="2">
        <v>2</v>
      </c>
      <c r="G8626" s="2" t="s">
        <v>10</v>
      </c>
      <c r="H8626" s="2" t="s">
        <v>4891</v>
      </c>
      <c r="I8626" s="2" t="s">
        <v>5898</v>
      </c>
    </row>
    <row r="8627" spans="1:9" x14ac:dyDescent="0.2">
      <c r="A8627" s="2" t="s">
        <v>3240</v>
      </c>
      <c r="B8627" s="2" t="s">
        <v>1392</v>
      </c>
      <c r="C8627" s="2">
        <v>798.56209999999999</v>
      </c>
      <c r="D8627" s="2">
        <f>HYPERLINK("http://mcb-m6.bioreg.kyushu-u.ac.jp/M3/20110318/F50608/1766/1", 36.12)</f>
        <v>36.119999999999997</v>
      </c>
      <c r="E8627" s="2">
        <v>26.12</v>
      </c>
      <c r="F8627" s="2">
        <v>2</v>
      </c>
      <c r="G8627" s="2" t="s">
        <v>9</v>
      </c>
      <c r="H8627" s="2" t="s">
        <v>4912</v>
      </c>
    </row>
    <row r="8628" spans="1:9" x14ac:dyDescent="0.2">
      <c r="A8628" s="2" t="s">
        <v>3240</v>
      </c>
      <c r="B8628" s="2" t="s">
        <v>20</v>
      </c>
      <c r="C8628" s="2">
        <v>1298.377</v>
      </c>
      <c r="D8628" s="2">
        <f>HYPERLINK("http://mcb-m6.bioreg.kyushu-u.ac.jp/M3/20110318/F50618/1230/1", 38.36)</f>
        <v>38.36</v>
      </c>
      <c r="E8628" s="2">
        <v>19.54</v>
      </c>
      <c r="F8628" s="2">
        <v>1</v>
      </c>
      <c r="G8628" s="2" t="s">
        <v>9</v>
      </c>
    </row>
    <row r="8629" spans="1:9" x14ac:dyDescent="0.2">
      <c r="A8629" s="2" t="s">
        <v>3240</v>
      </c>
      <c r="B8629" s="2" t="s">
        <v>2367</v>
      </c>
      <c r="C8629" s="2">
        <v>1017.817</v>
      </c>
      <c r="D8629" s="2">
        <f>HYPERLINK("http://mcb-m6.bioreg.kyushu-u.ac.jp/M3/20110318/F50608/3024/1", 38.91)</f>
        <v>38.909999999999997</v>
      </c>
      <c r="E8629" s="2">
        <v>26.72</v>
      </c>
      <c r="F8629" s="2">
        <v>3</v>
      </c>
      <c r="G8629" s="2" t="s">
        <v>9</v>
      </c>
    </row>
    <row r="8630" spans="1:9" x14ac:dyDescent="0.2">
      <c r="A8630" s="2" t="s">
        <v>3240</v>
      </c>
      <c r="B8630" s="2" t="s">
        <v>20</v>
      </c>
      <c r="C8630" s="2">
        <v>1298.365</v>
      </c>
      <c r="D8630" s="2">
        <f>HYPERLINK("http://mcb-m6.bioreg.kyushu-u.ac.jp/M3/20110318/F50620/1326/1", 40.28)</f>
        <v>40.28</v>
      </c>
      <c r="E8630" s="2">
        <v>19.8</v>
      </c>
      <c r="F8630" s="2">
        <v>1</v>
      </c>
      <c r="G8630" s="2" t="s">
        <v>9</v>
      </c>
    </row>
    <row r="8631" spans="1:9" x14ac:dyDescent="0.2">
      <c r="A8631" s="2" t="s">
        <v>3240</v>
      </c>
      <c r="B8631" s="2" t="s">
        <v>1392</v>
      </c>
      <c r="C8631" s="2">
        <v>798.39509999999996</v>
      </c>
      <c r="D8631" s="2">
        <f>HYPERLINK("http://mcb-m6.bioreg.kyushu-u.ac.jp/M3/20110318/F50609/1805/1", 42.63)</f>
        <v>42.63</v>
      </c>
      <c r="E8631" s="2">
        <v>28.28</v>
      </c>
      <c r="F8631" s="2">
        <v>2</v>
      </c>
      <c r="G8631" s="2" t="s">
        <v>9</v>
      </c>
      <c r="H8631" s="2" t="s">
        <v>4912</v>
      </c>
    </row>
    <row r="8632" spans="1:9" x14ac:dyDescent="0.2">
      <c r="A8632" s="2" t="s">
        <v>3240</v>
      </c>
      <c r="B8632" s="2" t="s">
        <v>2367</v>
      </c>
      <c r="C8632" s="2">
        <v>1525.895</v>
      </c>
      <c r="D8632" s="2">
        <f>HYPERLINK("http://mcb-m6.bioreg.kyushu-u.ac.jp/M3/20110318/F50619/3312/1", 44.21)</f>
        <v>44.21</v>
      </c>
      <c r="E8632" s="2">
        <v>33.659999999999997</v>
      </c>
      <c r="F8632" s="2">
        <v>2</v>
      </c>
      <c r="G8632" s="2" t="s">
        <v>9</v>
      </c>
    </row>
    <row r="8633" spans="1:9" x14ac:dyDescent="0.2">
      <c r="A8633" s="2" t="s">
        <v>3240</v>
      </c>
      <c r="B8633" s="2" t="s">
        <v>20</v>
      </c>
      <c r="C8633" s="2">
        <v>649.70569999999998</v>
      </c>
      <c r="D8633" s="2">
        <f>HYPERLINK("http://mcb-m6.bioreg.kyushu-u.ac.jp/M3/20110318/F50608/1237/1", 45.16)</f>
        <v>45.16</v>
      </c>
      <c r="E8633" s="2">
        <v>22.04</v>
      </c>
      <c r="F8633" s="2">
        <v>2</v>
      </c>
      <c r="G8633" s="2" t="s">
        <v>9</v>
      </c>
    </row>
    <row r="8634" spans="1:9" x14ac:dyDescent="0.2">
      <c r="A8634" s="2" t="s">
        <v>3240</v>
      </c>
      <c r="B8634" s="2" t="s">
        <v>20</v>
      </c>
      <c r="C8634" s="2">
        <v>1298.4190000000001</v>
      </c>
      <c r="D8634" s="2">
        <f>HYPERLINK("http://mcb-m6.bioreg.kyushu-u.ac.jp/M3/20110318/F50619/1174/1", 45.76)</f>
        <v>45.76</v>
      </c>
      <c r="E8634" s="2">
        <v>26.18</v>
      </c>
      <c r="F8634" s="2">
        <v>1</v>
      </c>
      <c r="G8634" s="2" t="s">
        <v>9</v>
      </c>
    </row>
    <row r="8635" spans="1:9" x14ac:dyDescent="0.2">
      <c r="A8635" s="2" t="s">
        <v>3240</v>
      </c>
      <c r="B8635" s="2" t="s">
        <v>1392</v>
      </c>
      <c r="C8635" s="2">
        <v>798.01070000000004</v>
      </c>
      <c r="D8635" s="2">
        <f>HYPERLINK("http://mcb-m6.bioreg.kyushu-u.ac.jp/M3/20110318/F50618/1941/1", 47.9)</f>
        <v>47.9</v>
      </c>
      <c r="E8635" s="2">
        <v>26.48</v>
      </c>
      <c r="F8635" s="2">
        <v>2</v>
      </c>
      <c r="G8635" s="2" t="s">
        <v>9</v>
      </c>
      <c r="H8635" s="2" t="s">
        <v>4912</v>
      </c>
    </row>
    <row r="8636" spans="1:9" x14ac:dyDescent="0.2">
      <c r="A8636" s="2" t="s">
        <v>3240</v>
      </c>
      <c r="B8636" s="2" t="s">
        <v>20</v>
      </c>
      <c r="C8636" s="2">
        <v>650.00670000000002</v>
      </c>
      <c r="D8636" s="2">
        <f>HYPERLINK("http://mcb-m6.bioreg.kyushu-u.ac.jp/M3/20110318/F50606/1170/1", 48.09)</f>
        <v>48.09</v>
      </c>
      <c r="E8636" s="2">
        <v>34.880000000000003</v>
      </c>
      <c r="F8636" s="2">
        <v>2</v>
      </c>
      <c r="G8636" s="2" t="s">
        <v>9</v>
      </c>
    </row>
    <row r="8637" spans="1:9" x14ac:dyDescent="0.2">
      <c r="A8637" s="2" t="s">
        <v>3240</v>
      </c>
      <c r="B8637" s="2" t="s">
        <v>20</v>
      </c>
      <c r="C8637" s="2">
        <v>649.86019999999996</v>
      </c>
      <c r="D8637" s="2">
        <f>HYPERLINK("http://mcb-m6.bioreg.kyushu-u.ac.jp/M3/20110318/F50606/1163/1", 48.93)</f>
        <v>48.93</v>
      </c>
      <c r="E8637" s="2">
        <v>33.31</v>
      </c>
      <c r="F8637" s="2">
        <v>2</v>
      </c>
      <c r="G8637" s="2" t="s">
        <v>9</v>
      </c>
    </row>
    <row r="8638" spans="1:9" x14ac:dyDescent="0.2">
      <c r="A8638" s="2" t="s">
        <v>3240</v>
      </c>
      <c r="B8638" s="2" t="s">
        <v>20</v>
      </c>
      <c r="C8638" s="2">
        <v>649.83259999999996</v>
      </c>
      <c r="D8638" s="2">
        <f>HYPERLINK("http://mcb-m6.bioreg.kyushu-u.ac.jp/M3/20110318/F50606/1160/1", 49.22)</f>
        <v>49.22</v>
      </c>
      <c r="E8638" s="2">
        <v>35.659999999999997</v>
      </c>
      <c r="F8638" s="2">
        <v>2</v>
      </c>
      <c r="G8638" s="2" t="s">
        <v>9</v>
      </c>
    </row>
    <row r="8639" spans="1:9" x14ac:dyDescent="0.2">
      <c r="A8639" s="2" t="s">
        <v>3240</v>
      </c>
      <c r="B8639" s="2" t="s">
        <v>20</v>
      </c>
      <c r="C8639" s="2">
        <v>650.13509999999997</v>
      </c>
      <c r="D8639" s="2">
        <f>HYPERLINK("http://mcb-m6.bioreg.kyushu-u.ac.jp/M3/20110318/F50607/1257/1", 53.19)</f>
        <v>53.19</v>
      </c>
      <c r="E8639" s="2">
        <v>27.64</v>
      </c>
      <c r="F8639" s="2">
        <v>2</v>
      </c>
      <c r="G8639" s="2" t="s">
        <v>9</v>
      </c>
    </row>
    <row r="8640" spans="1:9" x14ac:dyDescent="0.2">
      <c r="A8640" s="2" t="s">
        <v>3240</v>
      </c>
      <c r="B8640" s="2" t="s">
        <v>20</v>
      </c>
      <c r="C8640" s="2">
        <v>650.27719999999999</v>
      </c>
      <c r="D8640" s="2">
        <f>HYPERLINK("http://mcb-m6.bioreg.kyushu-u.ac.jp/M3/20110318/F50608/1241/1", 54.45)</f>
        <v>54.45</v>
      </c>
      <c r="E8640" s="2">
        <v>20.96</v>
      </c>
      <c r="F8640" s="2">
        <v>2</v>
      </c>
      <c r="G8640" s="2" t="s">
        <v>9</v>
      </c>
    </row>
    <row r="8641" spans="1:8" x14ac:dyDescent="0.2">
      <c r="A8641" s="2" t="s">
        <v>3240</v>
      </c>
      <c r="B8641" s="2" t="s">
        <v>1392</v>
      </c>
      <c r="C8641" s="2">
        <v>798.51869999999997</v>
      </c>
      <c r="D8641" s="2">
        <f>HYPERLINK("http://mcb-m6.bioreg.kyushu-u.ac.jp/M3/20110318/F50601/1706/1", 56.7)</f>
        <v>56.7</v>
      </c>
      <c r="E8641" s="2">
        <v>39.729999999999997</v>
      </c>
      <c r="F8641" s="2">
        <v>2</v>
      </c>
      <c r="G8641" s="2" t="s">
        <v>9</v>
      </c>
      <c r="H8641" s="2" t="s">
        <v>4912</v>
      </c>
    </row>
    <row r="8642" spans="1:8" x14ac:dyDescent="0.2">
      <c r="A8642" s="2" t="s">
        <v>3240</v>
      </c>
      <c r="B8642" s="2" t="s">
        <v>1392</v>
      </c>
      <c r="C8642" s="2">
        <v>527.22190000000001</v>
      </c>
      <c r="D8642" s="2">
        <f>HYPERLINK("http://mcb-m6.bioreg.kyushu-u.ac.jp/M3/20110318/F50618/1906/1", 57.06)</f>
        <v>57.06</v>
      </c>
      <c r="E8642" s="2">
        <v>39</v>
      </c>
      <c r="F8642" s="2">
        <v>3</v>
      </c>
      <c r="G8642" s="2" t="s">
        <v>9</v>
      </c>
    </row>
    <row r="8643" spans="1:8" x14ac:dyDescent="0.2">
      <c r="A8643" s="2" t="s">
        <v>3240</v>
      </c>
      <c r="B8643" s="2" t="s">
        <v>20</v>
      </c>
      <c r="C8643" s="2">
        <v>650.35609999999997</v>
      </c>
      <c r="D8643" s="2">
        <f>HYPERLINK("http://mcb-m6.bioreg.kyushu-u.ac.jp/M3/20110318/F50602/1313/1", 57.9)</f>
        <v>57.9</v>
      </c>
      <c r="E8643" s="2">
        <v>37.42</v>
      </c>
      <c r="F8643" s="2">
        <v>2</v>
      </c>
      <c r="G8643" s="2" t="s">
        <v>9</v>
      </c>
    </row>
    <row r="8644" spans="1:8" x14ac:dyDescent="0.2">
      <c r="A8644" s="2" t="s">
        <v>3240</v>
      </c>
      <c r="B8644" s="2" t="s">
        <v>20</v>
      </c>
      <c r="C8644" s="2">
        <v>649.71310000000005</v>
      </c>
      <c r="D8644" s="2">
        <f>HYPERLINK("http://mcb-m6.bioreg.kyushu-u.ac.jp/M3/20110318/F50608/1238/1", 59.27)</f>
        <v>59.27</v>
      </c>
      <c r="E8644" s="2">
        <v>32.909999999999997</v>
      </c>
      <c r="F8644" s="2">
        <v>2</v>
      </c>
      <c r="G8644" s="2" t="s">
        <v>9</v>
      </c>
    </row>
    <row r="8645" spans="1:8" x14ac:dyDescent="0.2">
      <c r="A8645" s="2" t="s">
        <v>3240</v>
      </c>
      <c r="B8645" s="2" t="s">
        <v>20</v>
      </c>
      <c r="C8645" s="2">
        <v>649.67859999999996</v>
      </c>
      <c r="D8645" s="2">
        <f>HYPERLINK("http://mcb-m6.bioreg.kyushu-u.ac.jp/M3/20110318/F50609/1366/1", 60.75)</f>
        <v>60.75</v>
      </c>
      <c r="E8645" s="2">
        <v>41.32</v>
      </c>
      <c r="F8645" s="2">
        <v>2</v>
      </c>
      <c r="G8645" s="2" t="s">
        <v>9</v>
      </c>
    </row>
    <row r="8646" spans="1:8" x14ac:dyDescent="0.2">
      <c r="A8646" s="2" t="s">
        <v>3240</v>
      </c>
      <c r="B8646" s="2" t="s">
        <v>2367</v>
      </c>
      <c r="C8646" s="2">
        <v>1017.808</v>
      </c>
      <c r="D8646" s="2">
        <f>HYPERLINK("http://mcb-m6.bioreg.kyushu-u.ac.jp/M3/20110318/F50606/3344/1", 62.49)</f>
        <v>62.49</v>
      </c>
      <c r="E8646" s="2">
        <v>49.57</v>
      </c>
      <c r="F8646" s="2">
        <v>3</v>
      </c>
      <c r="G8646" s="2" t="s">
        <v>9</v>
      </c>
    </row>
    <row r="8647" spans="1:8" x14ac:dyDescent="0.2">
      <c r="A8647" s="2" t="s">
        <v>3240</v>
      </c>
      <c r="B8647" s="2" t="s">
        <v>1392</v>
      </c>
      <c r="C8647" s="2">
        <v>790.08169999999996</v>
      </c>
      <c r="D8647" s="2">
        <f>HYPERLINK("http://mcb-m6.bioreg.kyushu-u.ac.jp/M3/20110318/F50618/1902/1", 63.56)</f>
        <v>63.56</v>
      </c>
      <c r="E8647" s="2">
        <v>39.6</v>
      </c>
      <c r="F8647" s="2">
        <v>2</v>
      </c>
      <c r="G8647" s="2" t="s">
        <v>9</v>
      </c>
    </row>
    <row r="8648" spans="1:8" x14ac:dyDescent="0.2">
      <c r="A8648" s="2" t="s">
        <v>3240</v>
      </c>
      <c r="B8648" s="2" t="s">
        <v>20</v>
      </c>
      <c r="C8648" s="2">
        <v>649.81669999999997</v>
      </c>
      <c r="D8648" s="2">
        <f>HYPERLINK("http://mcb-m6.bioreg.kyushu-u.ac.jp/M3/20110318/F50610/1483/1", 64.35)</f>
        <v>64.349999999999994</v>
      </c>
      <c r="E8648" s="2">
        <v>37.909999999999997</v>
      </c>
      <c r="F8648" s="2">
        <v>2</v>
      </c>
      <c r="G8648" s="2" t="s">
        <v>9</v>
      </c>
    </row>
    <row r="8649" spans="1:8" x14ac:dyDescent="0.2">
      <c r="A8649" s="2" t="s">
        <v>3240</v>
      </c>
      <c r="B8649" s="2" t="s">
        <v>20</v>
      </c>
      <c r="C8649" s="2">
        <v>649.94169999999997</v>
      </c>
      <c r="D8649" s="2">
        <f>HYPERLINK("http://mcb-m6.bioreg.kyushu-u.ac.jp/M3/20110318/F50601/1396/1", 64.62)</f>
        <v>64.62</v>
      </c>
      <c r="E8649" s="2">
        <v>46.28</v>
      </c>
      <c r="F8649" s="2">
        <v>2</v>
      </c>
      <c r="G8649" s="2" t="s">
        <v>9</v>
      </c>
    </row>
    <row r="8650" spans="1:8" x14ac:dyDescent="0.2">
      <c r="A8650" s="2" t="s">
        <v>3240</v>
      </c>
      <c r="B8650" s="2" t="s">
        <v>2367</v>
      </c>
      <c r="C8650" s="2">
        <v>1017.603</v>
      </c>
      <c r="D8650" s="2">
        <f>HYPERLINK("http://mcb-m6.bioreg.kyushu-u.ac.jp/M3/20110318/F50618/3607/1", 65.39)</f>
        <v>65.39</v>
      </c>
      <c r="E8650" s="2">
        <v>53.52</v>
      </c>
      <c r="F8650" s="2">
        <v>3</v>
      </c>
      <c r="G8650" s="2" t="s">
        <v>9</v>
      </c>
    </row>
    <row r="8651" spans="1:8" x14ac:dyDescent="0.2">
      <c r="A8651" s="2" t="s">
        <v>3240</v>
      </c>
      <c r="B8651" s="2" t="s">
        <v>20</v>
      </c>
      <c r="C8651" s="2">
        <v>650.06769999999995</v>
      </c>
      <c r="D8651" s="2">
        <f>HYPERLINK("http://mcb-m6.bioreg.kyushu-u.ac.jp/M3/20110318/F50604/1341/1", 65.99)</f>
        <v>65.989999999999995</v>
      </c>
      <c r="E8651" s="2">
        <v>42.81</v>
      </c>
      <c r="F8651" s="2">
        <v>2</v>
      </c>
      <c r="G8651" s="2" t="s">
        <v>9</v>
      </c>
    </row>
    <row r="8652" spans="1:8" x14ac:dyDescent="0.2">
      <c r="A8652" s="2" t="s">
        <v>3240</v>
      </c>
      <c r="B8652" s="2" t="s">
        <v>20</v>
      </c>
      <c r="C8652" s="2">
        <v>650.33320000000003</v>
      </c>
      <c r="D8652" s="2">
        <f>HYPERLINK("http://mcb-m6.bioreg.kyushu-u.ac.jp/M3/20110318/F50619/1176/1", 67.62)</f>
        <v>67.62</v>
      </c>
      <c r="E8652" s="2">
        <v>26.88</v>
      </c>
      <c r="F8652" s="2">
        <v>2</v>
      </c>
      <c r="G8652" s="2" t="s">
        <v>9</v>
      </c>
    </row>
    <row r="8653" spans="1:8" x14ac:dyDescent="0.2">
      <c r="A8653" s="2" t="s">
        <v>3240</v>
      </c>
      <c r="B8653" s="2" t="s">
        <v>1392</v>
      </c>
      <c r="C8653" s="2">
        <v>1579.374</v>
      </c>
      <c r="D8653" s="2">
        <f>HYPERLINK("http://mcb-m6.bioreg.kyushu-u.ac.jp/M3/20110318/F50618/1903/1", 67.74)</f>
        <v>67.739999999999995</v>
      </c>
      <c r="E8653" s="2">
        <v>54.76</v>
      </c>
      <c r="F8653" s="2">
        <v>1</v>
      </c>
      <c r="G8653" s="2" t="s">
        <v>9</v>
      </c>
    </row>
    <row r="8654" spans="1:8" x14ac:dyDescent="0.2">
      <c r="A8654" s="2" t="s">
        <v>3240</v>
      </c>
      <c r="B8654" s="2" t="s">
        <v>20</v>
      </c>
      <c r="C8654" s="2">
        <v>649.87869999999998</v>
      </c>
      <c r="D8654" s="2">
        <f>HYPERLINK("http://mcb-m6.bioreg.kyushu-u.ac.jp/M3/20110318/F50606/1165/1", 69.17)</f>
        <v>69.17</v>
      </c>
      <c r="E8654" s="2">
        <v>48.85</v>
      </c>
      <c r="F8654" s="2">
        <v>2</v>
      </c>
      <c r="G8654" s="2" t="s">
        <v>9</v>
      </c>
    </row>
    <row r="8655" spans="1:8" x14ac:dyDescent="0.2">
      <c r="A8655" s="2" t="s">
        <v>3240</v>
      </c>
      <c r="B8655" s="2" t="s">
        <v>2367</v>
      </c>
      <c r="C8655" s="2">
        <v>1017.76</v>
      </c>
      <c r="D8655" s="2">
        <f>HYPERLINK("http://mcb-m6.bioreg.kyushu-u.ac.jp/M3/20110318/F50608/3023/1", 70.54)</f>
        <v>70.540000000000006</v>
      </c>
      <c r="E8655" s="2">
        <v>53.38</v>
      </c>
      <c r="F8655" s="2">
        <v>3</v>
      </c>
      <c r="G8655" s="2" t="s">
        <v>9</v>
      </c>
    </row>
    <row r="8656" spans="1:8" x14ac:dyDescent="0.2">
      <c r="A8656" s="2" t="s">
        <v>3240</v>
      </c>
      <c r="B8656" s="2" t="s">
        <v>20</v>
      </c>
      <c r="C8656" s="2">
        <v>649.85519999999997</v>
      </c>
      <c r="D8656" s="2">
        <f>HYPERLINK("http://mcb-m6.bioreg.kyushu-u.ac.jp/M3/20110318/F50602/1312/1", 71.13)</f>
        <v>71.13</v>
      </c>
      <c r="E8656" s="2">
        <v>37.08</v>
      </c>
      <c r="F8656" s="2">
        <v>2</v>
      </c>
      <c r="G8656" s="2" t="s">
        <v>9</v>
      </c>
    </row>
    <row r="8657" spans="1:8" x14ac:dyDescent="0.2">
      <c r="A8657" s="2" t="s">
        <v>3240</v>
      </c>
      <c r="B8657" s="2" t="s">
        <v>20</v>
      </c>
      <c r="C8657" s="2">
        <v>649.88710000000003</v>
      </c>
      <c r="D8657" s="2">
        <f>HYPERLINK("http://mcb-m6.bioreg.kyushu-u.ac.jp/M3/20110318/F50601/1395/1", 72.99)</f>
        <v>72.989999999999995</v>
      </c>
      <c r="E8657" s="2">
        <v>38.21</v>
      </c>
      <c r="F8657" s="2">
        <v>2</v>
      </c>
      <c r="G8657" s="2" t="s">
        <v>9</v>
      </c>
    </row>
    <row r="8658" spans="1:8" x14ac:dyDescent="0.2">
      <c r="A8658" s="2" t="s">
        <v>3240</v>
      </c>
      <c r="B8658" s="2" t="s">
        <v>20</v>
      </c>
      <c r="C8658" s="2">
        <v>649.96310000000005</v>
      </c>
      <c r="D8658" s="2">
        <f>HYPERLINK("http://mcb-m6.bioreg.kyushu-u.ac.jp/M3/20110318/F50603/1250/1", 73.09)</f>
        <v>73.09</v>
      </c>
      <c r="E8658" s="2">
        <v>38.22</v>
      </c>
      <c r="F8658" s="2">
        <v>2</v>
      </c>
      <c r="G8658" s="2" t="s">
        <v>9</v>
      </c>
    </row>
    <row r="8659" spans="1:8" x14ac:dyDescent="0.2">
      <c r="A8659" s="2" t="s">
        <v>3240</v>
      </c>
      <c r="B8659" s="2" t="s">
        <v>20</v>
      </c>
      <c r="C8659" s="2">
        <v>649.78309999999999</v>
      </c>
      <c r="D8659" s="2">
        <f>HYPERLINK("http://mcb-m6.bioreg.kyushu-u.ac.jp/M3/20110318/F50608/1239/1", 74.45)</f>
        <v>74.45</v>
      </c>
      <c r="E8659" s="2">
        <v>34.729999999999997</v>
      </c>
      <c r="F8659" s="2">
        <v>2</v>
      </c>
      <c r="G8659" s="2" t="s">
        <v>9</v>
      </c>
    </row>
    <row r="8660" spans="1:8" x14ac:dyDescent="0.2">
      <c r="A8660" s="2" t="s">
        <v>3240</v>
      </c>
      <c r="B8660" s="2" t="s">
        <v>20</v>
      </c>
      <c r="C8660" s="2">
        <v>649.86519999999996</v>
      </c>
      <c r="D8660" s="2">
        <f>HYPERLINK("http://mcb-m6.bioreg.kyushu-u.ac.jp/M3/20110318/F50606/1164/1", 74.69)</f>
        <v>74.69</v>
      </c>
      <c r="E8660" s="2">
        <v>46.2</v>
      </c>
      <c r="F8660" s="2">
        <v>2</v>
      </c>
      <c r="G8660" s="2" t="s">
        <v>9</v>
      </c>
    </row>
    <row r="8661" spans="1:8" x14ac:dyDescent="0.2">
      <c r="A8661" s="2" t="s">
        <v>3240</v>
      </c>
      <c r="B8661" s="2" t="s">
        <v>20</v>
      </c>
      <c r="C8661" s="2">
        <v>649.78920000000005</v>
      </c>
      <c r="D8661" s="2">
        <f>HYPERLINK("http://mcb-m6.bioreg.kyushu-u.ac.jp/M3/20110318/F50610/1482/1", 77.45)</f>
        <v>77.45</v>
      </c>
      <c r="E8661" s="2">
        <v>50.11</v>
      </c>
      <c r="F8661" s="2">
        <v>2</v>
      </c>
      <c r="G8661" s="2" t="s">
        <v>9</v>
      </c>
    </row>
    <row r="8662" spans="1:8" x14ac:dyDescent="0.2">
      <c r="A8662" s="2" t="s">
        <v>3240</v>
      </c>
      <c r="B8662" s="2" t="s">
        <v>20</v>
      </c>
      <c r="C8662" s="2">
        <v>650.19420000000002</v>
      </c>
      <c r="D8662" s="2">
        <f>HYPERLINK("http://mcb-m6.bioreg.kyushu-u.ac.jp/M3/20110318/F50605/1264/1", 78.05)</f>
        <v>78.05</v>
      </c>
      <c r="E8662" s="2">
        <v>50.23</v>
      </c>
      <c r="F8662" s="2">
        <v>2</v>
      </c>
      <c r="G8662" s="2" t="s">
        <v>9</v>
      </c>
    </row>
    <row r="8663" spans="1:8" x14ac:dyDescent="0.2">
      <c r="A8663" s="2" t="s">
        <v>3240</v>
      </c>
      <c r="B8663" s="2" t="s">
        <v>20</v>
      </c>
      <c r="C8663" s="2">
        <v>650.03769999999997</v>
      </c>
      <c r="D8663" s="2">
        <f>HYPERLINK("http://mcb-m6.bioreg.kyushu-u.ac.jp/M3/20110318/F50607/1256/1", 78.16)</f>
        <v>78.16</v>
      </c>
      <c r="E8663" s="2">
        <v>52.39</v>
      </c>
      <c r="F8663" s="2">
        <v>2</v>
      </c>
      <c r="G8663" s="2" t="s">
        <v>9</v>
      </c>
    </row>
    <row r="8664" spans="1:8" x14ac:dyDescent="0.2">
      <c r="A8664" s="2" t="s">
        <v>3240</v>
      </c>
      <c r="B8664" s="2" t="s">
        <v>20</v>
      </c>
      <c r="C8664" s="2">
        <v>649.8981</v>
      </c>
      <c r="D8664" s="2">
        <f>HYPERLINK("http://mcb-m6.bioreg.kyushu-u.ac.jp/M3/20110318/F50606/1168/1", 78.25)</f>
        <v>78.25</v>
      </c>
      <c r="E8664" s="2">
        <v>43.08</v>
      </c>
      <c r="F8664" s="2">
        <v>2</v>
      </c>
      <c r="G8664" s="2" t="s">
        <v>9</v>
      </c>
    </row>
    <row r="8665" spans="1:8" x14ac:dyDescent="0.2">
      <c r="A8665" s="2" t="s">
        <v>3240</v>
      </c>
      <c r="B8665" s="2" t="s">
        <v>20</v>
      </c>
      <c r="C8665" s="2">
        <v>649.74270000000001</v>
      </c>
      <c r="D8665" s="2">
        <f>HYPERLINK("http://mcb-m6.bioreg.kyushu-u.ac.jp/M3/20110318/F50609/1368/1", 78.25)</f>
        <v>78.25</v>
      </c>
      <c r="E8665" s="2">
        <v>40.5</v>
      </c>
      <c r="F8665" s="2">
        <v>2</v>
      </c>
      <c r="G8665" s="2" t="s">
        <v>9</v>
      </c>
    </row>
    <row r="8666" spans="1:8" x14ac:dyDescent="0.2">
      <c r="A8666" s="2" t="s">
        <v>3240</v>
      </c>
      <c r="B8666" s="2" t="s">
        <v>20</v>
      </c>
      <c r="C8666" s="2">
        <v>649.76459999999997</v>
      </c>
      <c r="D8666" s="2">
        <f>HYPERLINK("http://mcb-m6.bioreg.kyushu-u.ac.jp/M3/20110318/F50619/1175/1", 78.4)</f>
        <v>78.400000000000006</v>
      </c>
      <c r="E8666" s="2">
        <v>48.23</v>
      </c>
      <c r="F8666" s="2">
        <v>2</v>
      </c>
      <c r="G8666" s="2" t="s">
        <v>9</v>
      </c>
    </row>
    <row r="8667" spans="1:8" x14ac:dyDescent="0.2">
      <c r="A8667" s="2" t="s">
        <v>3240</v>
      </c>
      <c r="B8667" s="2" t="s">
        <v>20</v>
      </c>
      <c r="C8667" s="2">
        <v>649.68619999999999</v>
      </c>
      <c r="D8667" s="2">
        <f>HYPERLINK("http://mcb-m6.bioreg.kyushu-u.ac.jp/M3/20110318/F50618/1229/1", 78.42)</f>
        <v>78.42</v>
      </c>
      <c r="E8667" s="2">
        <v>47.32</v>
      </c>
      <c r="F8667" s="2">
        <v>2</v>
      </c>
      <c r="G8667" s="2" t="s">
        <v>9</v>
      </c>
    </row>
    <row r="8668" spans="1:8" x14ac:dyDescent="0.2">
      <c r="A8668" s="2" t="s">
        <v>3240</v>
      </c>
      <c r="B8668" s="2" t="s">
        <v>1392</v>
      </c>
      <c r="C8668" s="2">
        <v>790.66819999999996</v>
      </c>
      <c r="D8668" s="2">
        <f>HYPERLINK("http://mcb-m6.bioreg.kyushu-u.ac.jp/M3/20110318/F50608/1747/1", 81.65)</f>
        <v>81.650000000000006</v>
      </c>
      <c r="E8668" s="2">
        <v>65.73</v>
      </c>
      <c r="F8668" s="2">
        <v>2</v>
      </c>
      <c r="G8668" s="2" t="s">
        <v>9</v>
      </c>
    </row>
    <row r="8669" spans="1:8" x14ac:dyDescent="0.2">
      <c r="A8669" s="2" t="s">
        <v>3240</v>
      </c>
      <c r="B8669" s="2" t="s">
        <v>1392</v>
      </c>
      <c r="C8669" s="2">
        <v>790.91269999999997</v>
      </c>
      <c r="D8669" s="2">
        <f>HYPERLINK("http://mcb-m6.bioreg.kyushu-u.ac.jp/M3/20110318/F50606/1691/1", 81.72)</f>
        <v>81.72</v>
      </c>
      <c r="E8669" s="2">
        <v>68.040000000000006</v>
      </c>
      <c r="F8669" s="2">
        <v>2</v>
      </c>
      <c r="G8669" s="2" t="s">
        <v>9</v>
      </c>
    </row>
    <row r="8670" spans="1:8" x14ac:dyDescent="0.2">
      <c r="A8670" s="2" t="s">
        <v>3240</v>
      </c>
      <c r="B8670" s="2" t="s">
        <v>20</v>
      </c>
      <c r="C8670" s="2">
        <v>649.75419999999997</v>
      </c>
      <c r="D8670" s="2">
        <f>HYPERLINK("http://mcb-m6.bioreg.kyushu-u.ac.jp/M3/20110318/F50621/1241/1", 83.09)</f>
        <v>83.09</v>
      </c>
      <c r="E8670" s="2">
        <v>55.25</v>
      </c>
      <c r="F8670" s="2">
        <v>2</v>
      </c>
      <c r="G8670" s="2" t="s">
        <v>9</v>
      </c>
    </row>
    <row r="8671" spans="1:8" x14ac:dyDescent="0.2">
      <c r="A8671" s="2" t="s">
        <v>3240</v>
      </c>
      <c r="B8671" s="2" t="s">
        <v>20</v>
      </c>
      <c r="C8671" s="2">
        <v>649.68960000000004</v>
      </c>
      <c r="D8671" s="2">
        <f>HYPERLINK("http://mcb-m6.bioreg.kyushu-u.ac.jp/M3/20110318/F50620/1327/1", 83.34)</f>
        <v>83.34</v>
      </c>
      <c r="E8671" s="2">
        <v>54.84</v>
      </c>
      <c r="F8671" s="2">
        <v>2</v>
      </c>
      <c r="G8671" s="2" t="s">
        <v>9</v>
      </c>
    </row>
    <row r="8672" spans="1:8" x14ac:dyDescent="0.2">
      <c r="A8672" s="2" t="s">
        <v>3240</v>
      </c>
      <c r="B8672" s="2" t="s">
        <v>1392</v>
      </c>
      <c r="C8672" s="2">
        <v>798.88570000000004</v>
      </c>
      <c r="D8672" s="2">
        <f>HYPERLINK("http://mcb-m6.bioreg.kyushu-u.ac.jp/M3/20110318/F50607/1781/1", 83.87)</f>
        <v>83.87</v>
      </c>
      <c r="E8672" s="2">
        <v>67.88</v>
      </c>
      <c r="F8672" s="2">
        <v>2</v>
      </c>
      <c r="G8672" s="2" t="s">
        <v>9</v>
      </c>
      <c r="H8672" s="2" t="s">
        <v>4912</v>
      </c>
    </row>
    <row r="8673" spans="1:8" x14ac:dyDescent="0.2">
      <c r="A8673" s="2" t="s">
        <v>3240</v>
      </c>
      <c r="B8673" s="2" t="s">
        <v>1392</v>
      </c>
      <c r="C8673" s="2">
        <v>798.5317</v>
      </c>
      <c r="D8673" s="2">
        <f>HYPERLINK("http://mcb-m6.bioreg.kyushu-u.ac.jp/M3/20110318/F50621/1754/1", 88.81)</f>
        <v>88.81</v>
      </c>
      <c r="E8673" s="2">
        <v>67.739999999999995</v>
      </c>
      <c r="F8673" s="2">
        <v>2</v>
      </c>
      <c r="G8673" s="2" t="s">
        <v>9</v>
      </c>
      <c r="H8673" s="2" t="s">
        <v>4912</v>
      </c>
    </row>
    <row r="8674" spans="1:8" x14ac:dyDescent="0.2">
      <c r="A8674" s="2" t="s">
        <v>3240</v>
      </c>
      <c r="B8674" s="2" t="s">
        <v>1392</v>
      </c>
      <c r="C8674" s="2">
        <v>790.62959999999998</v>
      </c>
      <c r="D8674" s="2">
        <f>HYPERLINK("http://mcb-m6.bioreg.kyushu-u.ac.jp/M3/20110318/F50620/1948/1", 89.97)</f>
        <v>89.97</v>
      </c>
      <c r="E8674" s="2">
        <v>67.86</v>
      </c>
      <c r="F8674" s="2">
        <v>2</v>
      </c>
      <c r="G8674" s="2" t="s">
        <v>9</v>
      </c>
    </row>
    <row r="8675" spans="1:8" x14ac:dyDescent="0.2">
      <c r="A8675" s="2" t="s">
        <v>3240</v>
      </c>
      <c r="B8675" s="2" t="s">
        <v>1392</v>
      </c>
      <c r="C8675" s="2">
        <v>798.67359999999996</v>
      </c>
      <c r="D8675" s="2">
        <f>HYPERLINK("http://mcb-m6.bioreg.kyushu-u.ac.jp/M3/20110318/F50604/1725/1", 92.17)</f>
        <v>92.17</v>
      </c>
      <c r="E8675" s="2">
        <v>79.08</v>
      </c>
      <c r="F8675" s="2">
        <v>2</v>
      </c>
      <c r="G8675" s="2" t="s">
        <v>9</v>
      </c>
      <c r="H8675" s="2" t="s">
        <v>4912</v>
      </c>
    </row>
    <row r="8676" spans="1:8" x14ac:dyDescent="0.2">
      <c r="A8676" s="2" t="s">
        <v>3240</v>
      </c>
      <c r="B8676" s="2" t="s">
        <v>1392</v>
      </c>
      <c r="C8676" s="2">
        <v>798.27260000000001</v>
      </c>
      <c r="D8676" s="2">
        <f>HYPERLINK("http://mcb-m6.bioreg.kyushu-u.ac.jp/M3/20110318/F50618/1942/1", 94.14)</f>
        <v>94.14</v>
      </c>
      <c r="E8676" s="2">
        <v>63.5</v>
      </c>
      <c r="F8676" s="2">
        <v>2</v>
      </c>
      <c r="G8676" s="2" t="s">
        <v>9</v>
      </c>
      <c r="H8676" s="2" t="s">
        <v>4912</v>
      </c>
    </row>
    <row r="8677" spans="1:8" x14ac:dyDescent="0.2">
      <c r="A8677" s="2" t="s">
        <v>3240</v>
      </c>
      <c r="B8677" s="2" t="s">
        <v>1392</v>
      </c>
      <c r="C8677" s="2">
        <v>798.57920000000001</v>
      </c>
      <c r="D8677" s="2">
        <f>HYPERLINK("http://mcb-m6.bioreg.kyushu-u.ac.jp/M3/20110318/F50605/1866/1", 94.15)</f>
        <v>94.15</v>
      </c>
      <c r="E8677" s="2">
        <v>77.260000000000005</v>
      </c>
      <c r="F8677" s="2">
        <v>2</v>
      </c>
      <c r="G8677" s="2" t="s">
        <v>9</v>
      </c>
      <c r="H8677" s="2" t="s">
        <v>4912</v>
      </c>
    </row>
    <row r="8678" spans="1:8" x14ac:dyDescent="0.2">
      <c r="A8678" s="2" t="s">
        <v>3240</v>
      </c>
      <c r="B8678" s="2" t="s">
        <v>1392</v>
      </c>
      <c r="C8678" s="2">
        <v>798.45719999999994</v>
      </c>
      <c r="D8678" s="2">
        <f>HYPERLINK("http://mcb-m6.bioreg.kyushu-u.ac.jp/M3/20110318/F50606/1709/1", 94.21)</f>
        <v>94.21</v>
      </c>
      <c r="E8678" s="2">
        <v>81.28</v>
      </c>
      <c r="F8678" s="2">
        <v>2</v>
      </c>
      <c r="G8678" s="2" t="s">
        <v>9</v>
      </c>
      <c r="H8678" s="2" t="s">
        <v>4912</v>
      </c>
    </row>
    <row r="8679" spans="1:8" x14ac:dyDescent="0.2">
      <c r="A8679" s="2" t="s">
        <v>3240</v>
      </c>
      <c r="B8679" s="2" t="s">
        <v>1392</v>
      </c>
      <c r="C8679" s="2">
        <v>798.5607</v>
      </c>
      <c r="D8679" s="2">
        <f>HYPERLINK("http://mcb-m6.bioreg.kyushu-u.ac.jp/M3/20110318/F50603/1678/1", 97.33)</f>
        <v>97.33</v>
      </c>
      <c r="E8679" s="2">
        <v>83.48</v>
      </c>
      <c r="F8679" s="2">
        <v>2</v>
      </c>
      <c r="G8679" s="2" t="s">
        <v>9</v>
      </c>
      <c r="H8679" s="2" t="s">
        <v>4912</v>
      </c>
    </row>
    <row r="8680" spans="1:8" x14ac:dyDescent="0.2">
      <c r="A8680" s="2" t="s">
        <v>3240</v>
      </c>
      <c r="B8680" s="2" t="s">
        <v>1392</v>
      </c>
      <c r="C8680" s="2">
        <v>790.4117</v>
      </c>
      <c r="D8680" s="2">
        <f>HYPERLINK("http://mcb-m6.bioreg.kyushu-u.ac.jp/M3/20110318/F50608/1746/1", 100.71)</f>
        <v>100.71</v>
      </c>
      <c r="E8680" s="2">
        <v>86.6</v>
      </c>
      <c r="F8680" s="2">
        <v>2</v>
      </c>
      <c r="G8680" s="2" t="s">
        <v>9</v>
      </c>
    </row>
    <row r="8681" spans="1:8" x14ac:dyDescent="0.2">
      <c r="A8681" s="2" t="s">
        <v>3240</v>
      </c>
      <c r="B8681" s="2" t="s">
        <v>1392</v>
      </c>
      <c r="C8681" s="2">
        <v>790.23569999999995</v>
      </c>
      <c r="D8681" s="2">
        <f>HYPERLINK("http://mcb-m6.bioreg.kyushu-u.ac.jp/M3/20110318/F50609/1787/1", 100.72)</f>
        <v>100.72</v>
      </c>
      <c r="E8681" s="2">
        <v>82.9</v>
      </c>
      <c r="F8681" s="2">
        <v>2</v>
      </c>
      <c r="G8681" s="2" t="s">
        <v>9</v>
      </c>
    </row>
    <row r="8682" spans="1:8" x14ac:dyDescent="0.2">
      <c r="A8682" s="2" t="s">
        <v>3240</v>
      </c>
      <c r="B8682" s="2" t="s">
        <v>1392</v>
      </c>
      <c r="C8682" s="2">
        <v>790.71169999999995</v>
      </c>
      <c r="D8682" s="2">
        <f>HYPERLINK("http://mcb-m6.bioreg.kyushu-u.ac.jp/M3/20110318/F50605/1843/1", 100.8)</f>
        <v>100.8</v>
      </c>
      <c r="E8682" s="2">
        <v>90.75</v>
      </c>
      <c r="F8682" s="2">
        <v>2</v>
      </c>
      <c r="G8682" s="2" t="s">
        <v>9</v>
      </c>
    </row>
    <row r="8683" spans="1:8" x14ac:dyDescent="0.2">
      <c r="A8683" s="2" t="s">
        <v>3240</v>
      </c>
      <c r="B8683" s="2" t="s">
        <v>1392</v>
      </c>
      <c r="C8683" s="2">
        <v>798.2432</v>
      </c>
      <c r="D8683" s="2">
        <f>HYPERLINK("http://mcb-m6.bioreg.kyushu-u.ac.jp/M3/20110318/F50620/1972/1", 100.82)</f>
        <v>100.82</v>
      </c>
      <c r="E8683" s="2">
        <v>70.09</v>
      </c>
      <c r="F8683" s="2">
        <v>2</v>
      </c>
      <c r="G8683" s="2" t="s">
        <v>9</v>
      </c>
      <c r="H8683" s="2" t="s">
        <v>4912</v>
      </c>
    </row>
    <row r="8684" spans="1:8" x14ac:dyDescent="0.2">
      <c r="A8684" s="2" t="s">
        <v>3240</v>
      </c>
      <c r="B8684" s="2" t="s">
        <v>1392</v>
      </c>
      <c r="C8684" s="2">
        <v>790.4991</v>
      </c>
      <c r="D8684" s="2">
        <f>HYPERLINK("http://mcb-m6.bioreg.kyushu-u.ac.jp/M3/20110318/F50603/1658/1", 103.25)</f>
        <v>103.25</v>
      </c>
      <c r="E8684" s="2">
        <v>89.14</v>
      </c>
      <c r="F8684" s="2">
        <v>2</v>
      </c>
      <c r="G8684" s="2" t="s">
        <v>9</v>
      </c>
    </row>
    <row r="8685" spans="1:8" x14ac:dyDescent="0.2">
      <c r="A8685" s="2" t="s">
        <v>3240</v>
      </c>
      <c r="B8685" s="2" t="s">
        <v>1392</v>
      </c>
      <c r="C8685" s="2">
        <v>790.15419999999995</v>
      </c>
      <c r="D8685" s="2">
        <f>HYPERLINK("http://mcb-m6.bioreg.kyushu-u.ac.jp/M3/20110318/F50608/1744/1", 103.32)</f>
        <v>103.32</v>
      </c>
      <c r="E8685" s="2">
        <v>85.85</v>
      </c>
      <c r="F8685" s="2">
        <v>2</v>
      </c>
      <c r="G8685" s="2" t="s">
        <v>9</v>
      </c>
    </row>
    <row r="8686" spans="1:8" x14ac:dyDescent="0.2">
      <c r="A8686" s="2" t="s">
        <v>3240</v>
      </c>
      <c r="B8686" s="2" t="s">
        <v>1392</v>
      </c>
      <c r="C8686" s="2">
        <v>798.32370000000003</v>
      </c>
      <c r="D8686" s="2">
        <f>HYPERLINK("http://mcb-m6.bioreg.kyushu-u.ac.jp/M3/20110318/F50619/1705/1", 104.04)</f>
        <v>104.04</v>
      </c>
      <c r="E8686" s="2">
        <v>73.52</v>
      </c>
      <c r="F8686" s="2">
        <v>2</v>
      </c>
      <c r="G8686" s="2" t="s">
        <v>9</v>
      </c>
      <c r="H8686" s="2" t="s">
        <v>4912</v>
      </c>
    </row>
    <row r="8687" spans="1:8" x14ac:dyDescent="0.2">
      <c r="A8687" s="2" t="s">
        <v>3240</v>
      </c>
      <c r="B8687" s="2" t="s">
        <v>1392</v>
      </c>
      <c r="C8687" s="2">
        <v>790.27560000000005</v>
      </c>
      <c r="D8687" s="2">
        <f>HYPERLINK("http://mcb-m6.bioreg.kyushu-u.ac.jp/M3/20110318/F50621/1728/1", 104.2)</f>
        <v>104.2</v>
      </c>
      <c r="E8687" s="2">
        <v>90.53</v>
      </c>
      <c r="F8687" s="2">
        <v>2</v>
      </c>
      <c r="G8687" s="2" t="s">
        <v>9</v>
      </c>
    </row>
    <row r="8688" spans="1:8" x14ac:dyDescent="0.2">
      <c r="A8688" s="2" t="s">
        <v>3240</v>
      </c>
      <c r="B8688" s="2" t="s">
        <v>1392</v>
      </c>
      <c r="C8688" s="2">
        <v>790.52620000000002</v>
      </c>
      <c r="D8688" s="2">
        <f>HYPERLINK("http://mcb-m6.bioreg.kyushu-u.ac.jp/M3/20110318/F50604/1712/1", 104.22)</f>
        <v>104.22</v>
      </c>
      <c r="E8688" s="2">
        <v>90.28</v>
      </c>
      <c r="F8688" s="2">
        <v>2</v>
      </c>
      <c r="G8688" s="2" t="s">
        <v>9</v>
      </c>
    </row>
    <row r="8689" spans="1:8" x14ac:dyDescent="0.2">
      <c r="A8689" s="2" t="s">
        <v>3240</v>
      </c>
      <c r="B8689" s="2" t="s">
        <v>1392</v>
      </c>
      <c r="C8689" s="2">
        <v>790.39919999999995</v>
      </c>
      <c r="D8689" s="2">
        <f>HYPERLINK("http://mcb-m6.bioreg.kyushu-u.ac.jp/M3/20110318/F50602/1694/1", 107.95)</f>
        <v>107.95</v>
      </c>
      <c r="E8689" s="2">
        <v>91.38</v>
      </c>
      <c r="F8689" s="2">
        <v>2</v>
      </c>
      <c r="G8689" s="2" t="s">
        <v>9</v>
      </c>
    </row>
    <row r="8690" spans="1:8" x14ac:dyDescent="0.2">
      <c r="A8690" s="2" t="s">
        <v>3240</v>
      </c>
      <c r="B8690" s="2" t="s">
        <v>1392</v>
      </c>
      <c r="C8690" s="2">
        <v>790.31669999999997</v>
      </c>
      <c r="D8690" s="2">
        <f>HYPERLINK("http://mcb-m6.bioreg.kyushu-u.ac.jp/M3/20110318/F50609/1788/1", 108.1)</f>
        <v>108.1</v>
      </c>
      <c r="E8690" s="2">
        <v>92.6</v>
      </c>
      <c r="F8690" s="2">
        <v>2</v>
      </c>
      <c r="G8690" s="2" t="s">
        <v>9</v>
      </c>
    </row>
    <row r="8691" spans="1:8" x14ac:dyDescent="0.2">
      <c r="A8691" s="2" t="s">
        <v>3240</v>
      </c>
      <c r="B8691" s="2" t="s">
        <v>1392</v>
      </c>
      <c r="C8691" s="2">
        <v>790.47770000000003</v>
      </c>
      <c r="D8691" s="2">
        <f>HYPERLINK("http://mcb-m6.bioreg.kyushu-u.ac.jp/M3/20110318/F50607/1768/1", 108.22)</f>
        <v>108.22</v>
      </c>
      <c r="E8691" s="2">
        <v>95.67</v>
      </c>
      <c r="F8691" s="2">
        <v>2</v>
      </c>
      <c r="G8691" s="2" t="s">
        <v>9</v>
      </c>
    </row>
    <row r="8692" spans="1:8" x14ac:dyDescent="0.2">
      <c r="A8692" s="2" t="s">
        <v>3240</v>
      </c>
      <c r="B8692" s="2" t="s">
        <v>1392</v>
      </c>
      <c r="C8692" s="2">
        <v>798.34559999999999</v>
      </c>
      <c r="D8692" s="2">
        <f>HYPERLINK("http://mcb-m6.bioreg.kyushu-u.ac.jp/M3/20110318/F50609/1804/1", 111.08)</f>
        <v>111.08</v>
      </c>
      <c r="E8692" s="2">
        <v>80.53</v>
      </c>
      <c r="F8692" s="2">
        <v>2</v>
      </c>
      <c r="G8692" s="2" t="s">
        <v>9</v>
      </c>
      <c r="H8692" s="2" t="s">
        <v>4912</v>
      </c>
    </row>
    <row r="8693" spans="1:8" x14ac:dyDescent="0.2">
      <c r="A8693" s="2" t="s">
        <v>3240</v>
      </c>
      <c r="B8693" s="2" t="s">
        <v>1392</v>
      </c>
      <c r="C8693" s="2">
        <v>790.42570000000001</v>
      </c>
      <c r="D8693" s="2">
        <f>HYPERLINK("http://mcb-m6.bioreg.kyushu-u.ac.jp/M3/20110318/F50606/1689/1", 111.15)</f>
        <v>111.15</v>
      </c>
      <c r="E8693" s="2">
        <v>99.25</v>
      </c>
      <c r="F8693" s="2">
        <v>2</v>
      </c>
      <c r="G8693" s="2" t="s">
        <v>9</v>
      </c>
    </row>
    <row r="8694" spans="1:8" x14ac:dyDescent="0.2">
      <c r="A8694" s="2" t="s">
        <v>3240</v>
      </c>
      <c r="B8694" s="2" t="s">
        <v>1392</v>
      </c>
      <c r="C8694" s="2">
        <v>798.32569999999998</v>
      </c>
      <c r="D8694" s="2">
        <f>HYPERLINK("http://mcb-m6.bioreg.kyushu-u.ac.jp/M3/20110318/F50608/1765/1", 117.47)</f>
        <v>117.47</v>
      </c>
      <c r="E8694" s="2">
        <v>104.62</v>
      </c>
      <c r="F8694" s="2">
        <v>2</v>
      </c>
      <c r="G8694" s="2" t="s">
        <v>9</v>
      </c>
      <c r="H8694" s="2" t="s">
        <v>4912</v>
      </c>
    </row>
    <row r="8695" spans="1:8" x14ac:dyDescent="0.2">
      <c r="A8695" s="2" t="s">
        <v>3240</v>
      </c>
      <c r="B8695" s="2" t="s">
        <v>20</v>
      </c>
      <c r="C8695" s="2">
        <v>1298.606</v>
      </c>
      <c r="D8695" s="2">
        <f>HYPERLINK("http://mcb-m6.bioreg.kyushu-u.ac.jp/M3/20110318/F50597/1268/1", 36.57)</f>
        <v>36.57</v>
      </c>
      <c r="E8695" s="2">
        <v>21.77</v>
      </c>
      <c r="F8695" s="2">
        <v>1</v>
      </c>
      <c r="G8695" s="2" t="s">
        <v>10</v>
      </c>
    </row>
    <row r="8696" spans="1:8" x14ac:dyDescent="0.2">
      <c r="A8696" s="2" t="s">
        <v>3240</v>
      </c>
      <c r="B8696" s="2" t="s">
        <v>2367</v>
      </c>
      <c r="C8696" s="2">
        <v>1017.861</v>
      </c>
      <c r="D8696" s="2">
        <f>HYPERLINK("http://mcb-m6.bioreg.kyushu-u.ac.jp/M3/20110318/F50612/2877/1", 43.62)</f>
        <v>43.62</v>
      </c>
      <c r="E8696" s="2">
        <v>36.229999999999997</v>
      </c>
      <c r="F8696" s="2">
        <v>3</v>
      </c>
      <c r="G8696" s="2" t="s">
        <v>10</v>
      </c>
    </row>
    <row r="8697" spans="1:8" x14ac:dyDescent="0.2">
      <c r="A8697" s="2" t="s">
        <v>3240</v>
      </c>
      <c r="B8697" s="2" t="s">
        <v>5267</v>
      </c>
      <c r="C8697" s="2">
        <v>569.02719999999999</v>
      </c>
      <c r="D8697" s="2">
        <f>HYPERLINK("http://mcb-m6.bioreg.kyushu-u.ac.jp/M3/20110318/F50597/1065/1", 44.71)</f>
        <v>44.71</v>
      </c>
      <c r="E8697" s="2">
        <v>29.65</v>
      </c>
      <c r="F8697" s="2">
        <v>2</v>
      </c>
      <c r="G8697" s="2" t="s">
        <v>10</v>
      </c>
    </row>
    <row r="8698" spans="1:8" x14ac:dyDescent="0.2">
      <c r="A8698" s="2" t="s">
        <v>3240</v>
      </c>
      <c r="B8698" s="2" t="s">
        <v>20</v>
      </c>
      <c r="C8698" s="2">
        <v>1298.6010000000001</v>
      </c>
      <c r="D8698" s="2">
        <f>HYPERLINK("http://mcb-m6.bioreg.kyushu-u.ac.jp/M3/20110318/F50613/1293/1", 49.76)</f>
        <v>49.76</v>
      </c>
      <c r="E8698" s="2">
        <v>31.98</v>
      </c>
      <c r="F8698" s="2">
        <v>1</v>
      </c>
      <c r="G8698" s="2" t="s">
        <v>10</v>
      </c>
    </row>
    <row r="8699" spans="1:8" x14ac:dyDescent="0.2">
      <c r="A8699" s="2" t="s">
        <v>3240</v>
      </c>
      <c r="B8699" s="2" t="s">
        <v>2367</v>
      </c>
      <c r="C8699" s="2">
        <v>1017.724</v>
      </c>
      <c r="D8699" s="2">
        <f>HYPERLINK("http://mcb-m6.bioreg.kyushu-u.ac.jp/M3/20110318/F50613/3335/1", 51.5)</f>
        <v>51.5</v>
      </c>
      <c r="E8699" s="2">
        <v>41.72</v>
      </c>
      <c r="F8699" s="2">
        <v>3</v>
      </c>
      <c r="G8699" s="2" t="s">
        <v>10</v>
      </c>
    </row>
    <row r="8700" spans="1:8" x14ac:dyDescent="0.2">
      <c r="A8700" s="2" t="s">
        <v>3240</v>
      </c>
      <c r="B8700" s="2" t="s">
        <v>20</v>
      </c>
      <c r="C8700" s="2">
        <v>649.95069999999998</v>
      </c>
      <c r="D8700" s="2">
        <f>HYPERLINK("http://mcb-m6.bioreg.kyushu-u.ac.jp/M3/20110318/F50616/1336/1", 56.97)</f>
        <v>56.97</v>
      </c>
      <c r="E8700" s="2">
        <v>32.46</v>
      </c>
      <c r="F8700" s="2">
        <v>2</v>
      </c>
      <c r="G8700" s="2" t="s">
        <v>10</v>
      </c>
    </row>
    <row r="8701" spans="1:8" x14ac:dyDescent="0.2">
      <c r="A8701" s="2" t="s">
        <v>3240</v>
      </c>
      <c r="B8701" s="2" t="s">
        <v>20</v>
      </c>
      <c r="C8701" s="2">
        <v>650.32119999999998</v>
      </c>
      <c r="D8701" s="2">
        <f>HYPERLINK("http://mcb-m6.bioreg.kyushu-u.ac.jp/M3/20110318/F50614/1350/1", 57.11)</f>
        <v>57.11</v>
      </c>
      <c r="E8701" s="2">
        <v>33.32</v>
      </c>
      <c r="F8701" s="2">
        <v>2</v>
      </c>
      <c r="G8701" s="2" t="s">
        <v>10</v>
      </c>
    </row>
    <row r="8702" spans="1:8" x14ac:dyDescent="0.2">
      <c r="A8702" s="2" t="s">
        <v>3240</v>
      </c>
      <c r="B8702" s="2" t="s">
        <v>20</v>
      </c>
      <c r="C8702" s="2">
        <v>649.96559999999999</v>
      </c>
      <c r="D8702" s="2">
        <f>HYPERLINK("http://mcb-m6.bioreg.kyushu-u.ac.jp/M3/20110318/F50598/1326/1", 59.94)</f>
        <v>59.94</v>
      </c>
      <c r="E8702" s="2">
        <v>38.65</v>
      </c>
      <c r="F8702" s="2">
        <v>2</v>
      </c>
      <c r="G8702" s="2" t="s">
        <v>10</v>
      </c>
    </row>
    <row r="8703" spans="1:8" x14ac:dyDescent="0.2">
      <c r="A8703" s="2" t="s">
        <v>3240</v>
      </c>
      <c r="B8703" s="2" t="s">
        <v>1392</v>
      </c>
      <c r="C8703" s="2">
        <v>798.59220000000005</v>
      </c>
      <c r="D8703" s="2">
        <f>HYPERLINK("http://mcb-m6.bioreg.kyushu-u.ac.jp/M3/20110318/F50598/1809/1", 60.28)</f>
        <v>60.28</v>
      </c>
      <c r="E8703" s="2">
        <v>35.42</v>
      </c>
      <c r="F8703" s="2">
        <v>2</v>
      </c>
      <c r="G8703" s="2" t="s">
        <v>10</v>
      </c>
      <c r="H8703" s="2" t="s">
        <v>4912</v>
      </c>
    </row>
    <row r="8704" spans="1:8" x14ac:dyDescent="0.2">
      <c r="A8704" s="2" t="s">
        <v>3240</v>
      </c>
      <c r="B8704" s="2" t="s">
        <v>20</v>
      </c>
      <c r="C8704" s="2">
        <v>649.86869999999999</v>
      </c>
      <c r="D8704" s="2">
        <f>HYPERLINK("http://mcb-m6.bioreg.kyushu-u.ac.jp/M3/20110318/F50597/1269/1", 61.8)</f>
        <v>61.8</v>
      </c>
      <c r="E8704" s="2">
        <v>32.549999999999997</v>
      </c>
      <c r="F8704" s="2">
        <v>2</v>
      </c>
      <c r="G8704" s="2" t="s">
        <v>10</v>
      </c>
    </row>
    <row r="8705" spans="1:8" x14ac:dyDescent="0.2">
      <c r="A8705" s="2" t="s">
        <v>3240</v>
      </c>
      <c r="B8705" s="2" t="s">
        <v>20</v>
      </c>
      <c r="C8705" s="2">
        <v>650.30359999999996</v>
      </c>
      <c r="D8705" s="2">
        <f>HYPERLINK("http://mcb-m6.bioreg.kyushu-u.ac.jp/M3/20110318/F50612/1304/1", 64.86)</f>
        <v>64.86</v>
      </c>
      <c r="E8705" s="2">
        <v>27.21</v>
      </c>
      <c r="F8705" s="2">
        <v>2</v>
      </c>
      <c r="G8705" s="2" t="s">
        <v>10</v>
      </c>
    </row>
    <row r="8706" spans="1:8" x14ac:dyDescent="0.2">
      <c r="A8706" s="2" t="s">
        <v>3240</v>
      </c>
      <c r="B8706" s="2" t="s">
        <v>20</v>
      </c>
      <c r="C8706" s="2">
        <v>650.14319999999998</v>
      </c>
      <c r="D8706" s="2">
        <f>HYPERLINK("http://mcb-m6.bioreg.kyushu-u.ac.jp/M3/20110318/F50622/1162/1", 64.9)</f>
        <v>64.900000000000006</v>
      </c>
      <c r="E8706" s="2">
        <v>36.5</v>
      </c>
      <c r="F8706" s="2">
        <v>2</v>
      </c>
      <c r="G8706" s="2" t="s">
        <v>10</v>
      </c>
    </row>
    <row r="8707" spans="1:8" x14ac:dyDescent="0.2">
      <c r="A8707" s="2" t="s">
        <v>3240</v>
      </c>
      <c r="B8707" s="2" t="s">
        <v>20</v>
      </c>
      <c r="C8707" s="2">
        <v>650.10569999999996</v>
      </c>
      <c r="D8707" s="2">
        <f>HYPERLINK("http://mcb-m6.bioreg.kyushu-u.ac.jp/M3/20110318/F50600/1322/1", 66.39)</f>
        <v>66.39</v>
      </c>
      <c r="E8707" s="2">
        <v>32.86</v>
      </c>
      <c r="F8707" s="2">
        <v>2</v>
      </c>
      <c r="G8707" s="2" t="s">
        <v>10</v>
      </c>
    </row>
    <row r="8708" spans="1:8" x14ac:dyDescent="0.2">
      <c r="A8708" s="2" t="s">
        <v>3240</v>
      </c>
      <c r="B8708" s="2" t="s">
        <v>20</v>
      </c>
      <c r="C8708" s="2">
        <v>649.91110000000003</v>
      </c>
      <c r="D8708" s="2">
        <f>HYPERLINK("http://mcb-m6.bioreg.kyushu-u.ac.jp/M3/20110318/F50598/1325/1", 67.16)</f>
        <v>67.16</v>
      </c>
      <c r="E8708" s="2">
        <v>40.1</v>
      </c>
      <c r="F8708" s="2">
        <v>2</v>
      </c>
      <c r="G8708" s="2" t="s">
        <v>10</v>
      </c>
    </row>
    <row r="8709" spans="1:8" x14ac:dyDescent="0.2">
      <c r="A8709" s="2" t="s">
        <v>3240</v>
      </c>
      <c r="B8709" s="2" t="s">
        <v>20</v>
      </c>
      <c r="C8709" s="2">
        <v>649.80219999999997</v>
      </c>
      <c r="D8709" s="2">
        <f>HYPERLINK("http://mcb-m6.bioreg.kyushu-u.ac.jp/M3/20110318/F50611/1331/1", 67.74)</f>
        <v>67.739999999999995</v>
      </c>
      <c r="E8709" s="2">
        <v>46.42</v>
      </c>
      <c r="F8709" s="2">
        <v>2</v>
      </c>
      <c r="G8709" s="2" t="s">
        <v>10</v>
      </c>
    </row>
    <row r="8710" spans="1:8" x14ac:dyDescent="0.2">
      <c r="A8710" s="2" t="s">
        <v>3240</v>
      </c>
      <c r="B8710" s="2" t="s">
        <v>1392</v>
      </c>
      <c r="C8710" s="2">
        <v>532.65779999999995</v>
      </c>
      <c r="D8710" s="2">
        <f>HYPERLINK("http://mcb-m6.bioreg.kyushu-u.ac.jp/M3/20110318/F50615/1786/1", 68.4)</f>
        <v>68.400000000000006</v>
      </c>
      <c r="E8710" s="2">
        <v>43.88</v>
      </c>
      <c r="F8710" s="2">
        <v>3</v>
      </c>
      <c r="G8710" s="2" t="s">
        <v>10</v>
      </c>
      <c r="H8710" s="2" t="s">
        <v>4912</v>
      </c>
    </row>
    <row r="8711" spans="1:8" x14ac:dyDescent="0.2">
      <c r="A8711" s="2" t="s">
        <v>3240</v>
      </c>
      <c r="B8711" s="2" t="s">
        <v>20</v>
      </c>
      <c r="C8711" s="2">
        <v>649.92610000000002</v>
      </c>
      <c r="D8711" s="2">
        <f>HYPERLINK("http://mcb-m6.bioreg.kyushu-u.ac.jp/M3/20110318/F50595/1510/1", 68.92)</f>
        <v>68.92</v>
      </c>
      <c r="E8711" s="2">
        <v>47.83</v>
      </c>
      <c r="F8711" s="2">
        <v>2</v>
      </c>
      <c r="G8711" s="2" t="s">
        <v>10</v>
      </c>
    </row>
    <row r="8712" spans="1:8" x14ac:dyDescent="0.2">
      <c r="A8712" s="2" t="s">
        <v>3240</v>
      </c>
      <c r="B8712" s="2" t="s">
        <v>20</v>
      </c>
      <c r="C8712" s="2">
        <v>649.84720000000004</v>
      </c>
      <c r="D8712" s="2">
        <f>HYPERLINK("http://mcb-m6.bioreg.kyushu-u.ac.jp/M3/20110318/F50599/1451/1", 69.03)</f>
        <v>69.03</v>
      </c>
      <c r="E8712" s="2">
        <v>49.29</v>
      </c>
      <c r="F8712" s="2">
        <v>2</v>
      </c>
      <c r="G8712" s="2" t="s">
        <v>10</v>
      </c>
    </row>
    <row r="8713" spans="1:8" x14ac:dyDescent="0.2">
      <c r="A8713" s="2" t="s">
        <v>3240</v>
      </c>
      <c r="B8713" s="2" t="s">
        <v>2367</v>
      </c>
      <c r="C8713" s="2">
        <v>1017.696</v>
      </c>
      <c r="D8713" s="2">
        <f>HYPERLINK("http://mcb-m6.bioreg.kyushu-u.ac.jp/M3/20110318/F50614/3494/1", 69.1)</f>
        <v>69.099999999999994</v>
      </c>
      <c r="E8713" s="2">
        <v>59.33</v>
      </c>
      <c r="F8713" s="2">
        <v>3</v>
      </c>
      <c r="G8713" s="2" t="s">
        <v>10</v>
      </c>
    </row>
    <row r="8714" spans="1:8" x14ac:dyDescent="0.2">
      <c r="A8714" s="2" t="s">
        <v>3240</v>
      </c>
      <c r="B8714" s="2" t="s">
        <v>20</v>
      </c>
      <c r="C8714" s="2">
        <v>649.80970000000002</v>
      </c>
      <c r="D8714" s="2">
        <f>HYPERLINK("http://mcb-m6.bioreg.kyushu-u.ac.jp/M3/20110318/F50613/1294/1", 69.76)</f>
        <v>69.760000000000005</v>
      </c>
      <c r="E8714" s="2">
        <v>49.72</v>
      </c>
      <c r="F8714" s="2">
        <v>2</v>
      </c>
      <c r="G8714" s="2" t="s">
        <v>10</v>
      </c>
    </row>
    <row r="8715" spans="1:8" x14ac:dyDescent="0.2">
      <c r="A8715" s="2" t="s">
        <v>3240</v>
      </c>
      <c r="B8715" s="2" t="s">
        <v>2367</v>
      </c>
      <c r="C8715" s="2">
        <v>1017.744</v>
      </c>
      <c r="D8715" s="2">
        <f>HYPERLINK("http://mcb-m6.bioreg.kyushu-u.ac.jp/M3/20110318/F50599/3004/1", 69.99)</f>
        <v>69.989999999999995</v>
      </c>
      <c r="E8715" s="2">
        <v>46</v>
      </c>
      <c r="F8715" s="2">
        <v>3</v>
      </c>
      <c r="G8715" s="2" t="s">
        <v>10</v>
      </c>
    </row>
    <row r="8716" spans="1:8" x14ac:dyDescent="0.2">
      <c r="A8716" s="2" t="s">
        <v>3240</v>
      </c>
      <c r="B8716" s="2" t="s">
        <v>1392</v>
      </c>
      <c r="C8716" s="2">
        <v>1579.5830000000001</v>
      </c>
      <c r="D8716" s="2">
        <f>HYPERLINK("http://mcb-m6.bioreg.kyushu-u.ac.jp/M3/20110318/F50597/1839/1", 70.23)</f>
        <v>70.23</v>
      </c>
      <c r="E8716" s="2">
        <v>55.94</v>
      </c>
      <c r="F8716" s="2">
        <v>1</v>
      </c>
      <c r="G8716" s="2" t="s">
        <v>10</v>
      </c>
    </row>
    <row r="8717" spans="1:8" x14ac:dyDescent="0.2">
      <c r="A8717" s="2" t="s">
        <v>3240</v>
      </c>
      <c r="B8717" s="2" t="s">
        <v>20</v>
      </c>
      <c r="C8717" s="2">
        <v>650.2817</v>
      </c>
      <c r="D8717" s="2">
        <f>HYPERLINK("http://mcb-m6.bioreg.kyushu-u.ac.jp/M3/20110318/F50615/1216/1", 70.96)</f>
        <v>70.959999999999994</v>
      </c>
      <c r="E8717" s="2">
        <v>44.87</v>
      </c>
      <c r="F8717" s="2">
        <v>2</v>
      </c>
      <c r="G8717" s="2" t="s">
        <v>10</v>
      </c>
    </row>
    <row r="8718" spans="1:8" x14ac:dyDescent="0.2">
      <c r="A8718" s="2" t="s">
        <v>3240</v>
      </c>
      <c r="B8718" s="2" t="s">
        <v>1392</v>
      </c>
      <c r="C8718" s="2">
        <v>798.03369999999995</v>
      </c>
      <c r="D8718" s="2">
        <f>HYPERLINK("http://mcb-m6.bioreg.kyushu-u.ac.jp/M3/20110318/F50611/1894/1", 74.33)</f>
        <v>74.33</v>
      </c>
      <c r="E8718" s="2">
        <v>58.82</v>
      </c>
      <c r="F8718" s="2">
        <v>2</v>
      </c>
      <c r="G8718" s="2" t="s">
        <v>10</v>
      </c>
      <c r="H8718" s="2" t="s">
        <v>4912</v>
      </c>
    </row>
    <row r="8719" spans="1:8" x14ac:dyDescent="0.2">
      <c r="A8719" s="2" t="s">
        <v>3240</v>
      </c>
      <c r="B8719" s="2" t="s">
        <v>2367</v>
      </c>
      <c r="C8719" s="2">
        <v>1017.673</v>
      </c>
      <c r="D8719" s="2">
        <f>HYPERLINK("http://mcb-m6.bioreg.kyushu-u.ac.jp/M3/20110318/F50615/3239/1", 74.65)</f>
        <v>74.650000000000006</v>
      </c>
      <c r="E8719" s="2">
        <v>65.3</v>
      </c>
      <c r="F8719" s="2">
        <v>3</v>
      </c>
      <c r="G8719" s="2" t="s">
        <v>10</v>
      </c>
    </row>
    <row r="8720" spans="1:8" x14ac:dyDescent="0.2">
      <c r="A8720" s="2" t="s">
        <v>3240</v>
      </c>
      <c r="B8720" s="2" t="s">
        <v>1392</v>
      </c>
      <c r="C8720" s="2">
        <v>790.29909999999995</v>
      </c>
      <c r="D8720" s="2">
        <f>HYPERLINK("http://mcb-m6.bioreg.kyushu-u.ac.jp/M3/20110318/F50614/1928/1", 74.72)</f>
        <v>74.72</v>
      </c>
      <c r="E8720" s="2">
        <v>57.58</v>
      </c>
      <c r="F8720" s="2">
        <v>2</v>
      </c>
      <c r="G8720" s="2" t="s">
        <v>10</v>
      </c>
    </row>
    <row r="8721" spans="1:8" x14ac:dyDescent="0.2">
      <c r="A8721" s="2" t="s">
        <v>3240</v>
      </c>
      <c r="B8721" s="2" t="s">
        <v>20</v>
      </c>
      <c r="C8721" s="2">
        <v>649.75670000000002</v>
      </c>
      <c r="D8721" s="2">
        <f>HYPERLINK("http://mcb-m6.bioreg.kyushu-u.ac.jp/M3/20110318/F50614/1346/1", 78.17)</f>
        <v>78.17</v>
      </c>
      <c r="E8721" s="2">
        <v>49.59</v>
      </c>
      <c r="F8721" s="2">
        <v>2</v>
      </c>
      <c r="G8721" s="2" t="s">
        <v>10</v>
      </c>
    </row>
    <row r="8722" spans="1:8" x14ac:dyDescent="0.2">
      <c r="A8722" s="2" t="s">
        <v>3240</v>
      </c>
      <c r="B8722" s="2" t="s">
        <v>20</v>
      </c>
      <c r="C8722" s="2">
        <v>649.81960000000004</v>
      </c>
      <c r="D8722" s="2">
        <f>HYPERLINK("http://mcb-m6.bioreg.kyushu-u.ac.jp/M3/20110318/F50614/1348/1", 78.19)</f>
        <v>78.19</v>
      </c>
      <c r="E8722" s="2">
        <v>43.11</v>
      </c>
      <c r="F8722" s="2">
        <v>2</v>
      </c>
      <c r="G8722" s="2" t="s">
        <v>10</v>
      </c>
    </row>
    <row r="8723" spans="1:8" x14ac:dyDescent="0.2">
      <c r="A8723" s="2" t="s">
        <v>3240</v>
      </c>
      <c r="B8723" s="2" t="s">
        <v>1392</v>
      </c>
      <c r="C8723" s="2">
        <v>797.83420000000001</v>
      </c>
      <c r="D8723" s="2">
        <f>HYPERLINK("http://mcb-m6.bioreg.kyushu-u.ac.jp/M3/20110318/F50599/1924/1", 79.1)</f>
        <v>79.099999999999994</v>
      </c>
      <c r="E8723" s="2">
        <v>66.040000000000006</v>
      </c>
      <c r="F8723" s="2">
        <v>2</v>
      </c>
      <c r="G8723" s="2" t="s">
        <v>10</v>
      </c>
      <c r="H8723" s="2" t="s">
        <v>4912</v>
      </c>
    </row>
    <row r="8724" spans="1:8" x14ac:dyDescent="0.2">
      <c r="A8724" s="2" t="s">
        <v>3240</v>
      </c>
      <c r="B8724" s="2" t="s">
        <v>1392</v>
      </c>
      <c r="C8724" s="2">
        <v>798.49469999999997</v>
      </c>
      <c r="D8724" s="2">
        <f>HYPERLINK("http://mcb-m6.bioreg.kyushu-u.ac.jp/M3/20110318/F50615/1787/1", 79.98)</f>
        <v>79.98</v>
      </c>
      <c r="E8724" s="2">
        <v>66.33</v>
      </c>
      <c r="F8724" s="2">
        <v>2</v>
      </c>
      <c r="G8724" s="2" t="s">
        <v>10</v>
      </c>
      <c r="H8724" s="2" t="s">
        <v>4912</v>
      </c>
    </row>
    <row r="8725" spans="1:8" x14ac:dyDescent="0.2">
      <c r="A8725" s="2" t="s">
        <v>3240</v>
      </c>
      <c r="B8725" s="2" t="s">
        <v>20</v>
      </c>
      <c r="C8725" s="2">
        <v>649.74159999999995</v>
      </c>
      <c r="D8725" s="2">
        <f>HYPERLINK("http://mcb-m6.bioreg.kyushu-u.ac.jp/M3/20110318/F50617/1252/1", 83.74)</f>
        <v>83.74</v>
      </c>
      <c r="E8725" s="2">
        <v>46.13</v>
      </c>
      <c r="F8725" s="2">
        <v>2</v>
      </c>
      <c r="G8725" s="2" t="s">
        <v>10</v>
      </c>
    </row>
    <row r="8726" spans="1:8" x14ac:dyDescent="0.2">
      <c r="A8726" s="2" t="s">
        <v>3240</v>
      </c>
      <c r="B8726" s="2" t="s">
        <v>1392</v>
      </c>
      <c r="C8726" s="2">
        <v>798.62660000000005</v>
      </c>
      <c r="D8726" s="2">
        <f>HYPERLINK("http://mcb-m6.bioreg.kyushu-u.ac.jp/M3/20110318/F50600/1797/1", 84.52)</f>
        <v>84.52</v>
      </c>
      <c r="E8726" s="2">
        <v>59.17</v>
      </c>
      <c r="F8726" s="2">
        <v>2</v>
      </c>
      <c r="G8726" s="2" t="s">
        <v>10</v>
      </c>
      <c r="H8726" s="2" t="s">
        <v>4912</v>
      </c>
    </row>
    <row r="8727" spans="1:8" x14ac:dyDescent="0.2">
      <c r="A8727" s="2" t="s">
        <v>3240</v>
      </c>
      <c r="B8727" s="2" t="s">
        <v>1392</v>
      </c>
      <c r="C8727" s="2">
        <v>798.3981</v>
      </c>
      <c r="D8727" s="2">
        <f>HYPERLINK("http://mcb-m6.bioreg.kyushu-u.ac.jp/M3/20110318/F50613/1923/1", 87.2)</f>
        <v>87.2</v>
      </c>
      <c r="E8727" s="2">
        <v>70.92</v>
      </c>
      <c r="F8727" s="2">
        <v>2</v>
      </c>
      <c r="G8727" s="2" t="s">
        <v>10</v>
      </c>
      <c r="H8727" s="2" t="s">
        <v>4912</v>
      </c>
    </row>
    <row r="8728" spans="1:8" x14ac:dyDescent="0.2">
      <c r="A8728" s="2" t="s">
        <v>3240</v>
      </c>
      <c r="B8728" s="2" t="s">
        <v>2367</v>
      </c>
      <c r="C8728" s="2">
        <v>1017.745</v>
      </c>
      <c r="D8728" s="2">
        <f>HYPERLINK("http://mcb-m6.bioreg.kyushu-u.ac.jp/M3/20110318/F50597/3331/1", 89.96)</f>
        <v>89.96</v>
      </c>
      <c r="E8728" s="2">
        <v>83.53</v>
      </c>
      <c r="F8728" s="2">
        <v>3</v>
      </c>
      <c r="G8728" s="2" t="s">
        <v>10</v>
      </c>
    </row>
    <row r="8729" spans="1:8" x14ac:dyDescent="0.2">
      <c r="A8729" s="2" t="s">
        <v>3240</v>
      </c>
      <c r="B8729" s="2" t="s">
        <v>1392</v>
      </c>
      <c r="C8729" s="2">
        <v>798.71119999999996</v>
      </c>
      <c r="D8729" s="2">
        <f>HYPERLINK("http://mcb-m6.bioreg.kyushu-u.ac.jp/M3/20110318/F50614/1954/1", 92.13)</f>
        <v>92.13</v>
      </c>
      <c r="E8729" s="2">
        <v>75.91</v>
      </c>
      <c r="F8729" s="2">
        <v>2</v>
      </c>
      <c r="G8729" s="2" t="s">
        <v>10</v>
      </c>
      <c r="H8729" s="2" t="s">
        <v>4912</v>
      </c>
    </row>
    <row r="8730" spans="1:8" x14ac:dyDescent="0.2">
      <c r="A8730" s="2" t="s">
        <v>3240</v>
      </c>
      <c r="B8730" s="2" t="s">
        <v>1392</v>
      </c>
      <c r="C8730" s="2">
        <v>798.32569999999998</v>
      </c>
      <c r="D8730" s="2">
        <f>HYPERLINK("http://mcb-m6.bioreg.kyushu-u.ac.jp/M3/20110318/F50612/1760/1", 92.28)</f>
        <v>92.28</v>
      </c>
      <c r="E8730" s="2">
        <v>70.72</v>
      </c>
      <c r="F8730" s="2">
        <v>2</v>
      </c>
      <c r="G8730" s="2" t="s">
        <v>10</v>
      </c>
      <c r="H8730" s="2" t="s">
        <v>4912</v>
      </c>
    </row>
    <row r="8731" spans="1:8" x14ac:dyDescent="0.2">
      <c r="A8731" s="2" t="s">
        <v>3240</v>
      </c>
      <c r="B8731" s="2" t="s">
        <v>1392</v>
      </c>
      <c r="C8731" s="2">
        <v>790.66920000000005</v>
      </c>
      <c r="D8731" s="2">
        <f>HYPERLINK("http://mcb-m6.bioreg.kyushu-u.ac.jp/M3/20110318/F50600/1777/1", 94.1)</f>
        <v>94.1</v>
      </c>
      <c r="E8731" s="2">
        <v>80.03</v>
      </c>
      <c r="F8731" s="2">
        <v>2</v>
      </c>
      <c r="G8731" s="2" t="s">
        <v>10</v>
      </c>
    </row>
    <row r="8732" spans="1:8" x14ac:dyDescent="0.2">
      <c r="A8732" s="2" t="s">
        <v>3240</v>
      </c>
      <c r="B8732" s="2" t="s">
        <v>1392</v>
      </c>
      <c r="C8732" s="2">
        <v>790.38620000000003</v>
      </c>
      <c r="D8732" s="2">
        <f>HYPERLINK("http://mcb-m6.bioreg.kyushu-u.ac.jp/M3/20110318/F50615/1766/1", 94.71)</f>
        <v>94.71</v>
      </c>
      <c r="E8732" s="2">
        <v>78.849999999999994</v>
      </c>
      <c r="F8732" s="2">
        <v>2</v>
      </c>
      <c r="G8732" s="2" t="s">
        <v>10</v>
      </c>
    </row>
    <row r="8733" spans="1:8" x14ac:dyDescent="0.2">
      <c r="A8733" s="2" t="s">
        <v>3240</v>
      </c>
      <c r="B8733" s="2" t="s">
        <v>1392</v>
      </c>
      <c r="C8733" s="2">
        <v>790.28219999999999</v>
      </c>
      <c r="D8733" s="2">
        <f>HYPERLINK("http://mcb-m6.bioreg.kyushu-u.ac.jp/M3/20110318/F50613/1885/1", 95.29)</f>
        <v>95.29</v>
      </c>
      <c r="E8733" s="2">
        <v>82.08</v>
      </c>
      <c r="F8733" s="2">
        <v>2</v>
      </c>
      <c r="G8733" s="2" t="s">
        <v>10</v>
      </c>
    </row>
    <row r="8734" spans="1:8" x14ac:dyDescent="0.2">
      <c r="A8734" s="2" t="s">
        <v>3240</v>
      </c>
      <c r="B8734" s="2" t="s">
        <v>1392</v>
      </c>
      <c r="C8734" s="2">
        <v>798.3922</v>
      </c>
      <c r="D8734" s="2">
        <f>HYPERLINK("http://mcb-m6.bioreg.kyushu-u.ac.jp/M3/20110318/F50597/1862/1", 97.42)</f>
        <v>97.42</v>
      </c>
      <c r="E8734" s="2">
        <v>76.19</v>
      </c>
      <c r="F8734" s="2">
        <v>2</v>
      </c>
      <c r="G8734" s="2" t="s">
        <v>10</v>
      </c>
      <c r="H8734" s="2" t="s">
        <v>4912</v>
      </c>
    </row>
    <row r="8735" spans="1:8" x14ac:dyDescent="0.2">
      <c r="A8735" s="2" t="s">
        <v>3240</v>
      </c>
      <c r="B8735" s="2" t="s">
        <v>1392</v>
      </c>
      <c r="C8735" s="2">
        <v>790.65719999999999</v>
      </c>
      <c r="D8735" s="2">
        <f>HYPERLINK("http://mcb-m6.bioreg.kyushu-u.ac.jp/M3/20110318/F50612/1748/1", 100.21)</f>
        <v>100.21</v>
      </c>
      <c r="E8735" s="2">
        <v>86.07</v>
      </c>
      <c r="F8735" s="2">
        <v>2</v>
      </c>
      <c r="G8735" s="2" t="s">
        <v>10</v>
      </c>
    </row>
    <row r="8736" spans="1:8" x14ac:dyDescent="0.2">
      <c r="A8736" s="2" t="s">
        <v>3240</v>
      </c>
      <c r="B8736" s="2" t="s">
        <v>1392</v>
      </c>
      <c r="C8736" s="2">
        <v>790.55520000000001</v>
      </c>
      <c r="D8736" s="2">
        <f>HYPERLINK("http://mcb-m6.bioreg.kyushu-u.ac.jp/M3/20110318/F50596/1839/1", 100.68)</f>
        <v>100.68</v>
      </c>
      <c r="E8736" s="2">
        <v>88.41</v>
      </c>
      <c r="F8736" s="2">
        <v>2</v>
      </c>
      <c r="G8736" s="2" t="s">
        <v>10</v>
      </c>
    </row>
    <row r="8737" spans="1:8" x14ac:dyDescent="0.2">
      <c r="A8737" s="2" t="s">
        <v>3240</v>
      </c>
      <c r="B8737" s="2" t="s">
        <v>1392</v>
      </c>
      <c r="C8737" s="2">
        <v>790.30319999999995</v>
      </c>
      <c r="D8737" s="2">
        <f>HYPERLINK("http://mcb-m6.bioreg.kyushu-u.ac.jp/M3/20110318/F50611/1875/1", 100.81)</f>
        <v>100.81</v>
      </c>
      <c r="E8737" s="2">
        <v>87.41</v>
      </c>
      <c r="F8737" s="2">
        <v>2</v>
      </c>
      <c r="G8737" s="2" t="s">
        <v>10</v>
      </c>
    </row>
    <row r="8738" spans="1:8" x14ac:dyDescent="0.2">
      <c r="A8738" s="2" t="s">
        <v>3240</v>
      </c>
      <c r="B8738" s="2" t="s">
        <v>1392</v>
      </c>
      <c r="C8738" s="2">
        <v>790.45870000000002</v>
      </c>
      <c r="D8738" s="2">
        <f>HYPERLINK("http://mcb-m6.bioreg.kyushu-u.ac.jp/M3/20110318/F50595/1813/1", 100.96)</f>
        <v>100.96</v>
      </c>
      <c r="E8738" s="2">
        <v>83.73</v>
      </c>
      <c r="F8738" s="2">
        <v>2</v>
      </c>
      <c r="G8738" s="2" t="s">
        <v>10</v>
      </c>
    </row>
    <row r="8739" spans="1:8" x14ac:dyDescent="0.2">
      <c r="A8739" s="2" t="s">
        <v>3240</v>
      </c>
      <c r="B8739" s="2" t="s">
        <v>1392</v>
      </c>
      <c r="C8739" s="2">
        <v>790.44960000000003</v>
      </c>
      <c r="D8739" s="2">
        <f>HYPERLINK("http://mcb-m6.bioreg.kyushu-u.ac.jp/M3/20110318/F50598/1791/1", 104.28)</f>
        <v>104.28</v>
      </c>
      <c r="E8739" s="2">
        <v>89.34</v>
      </c>
      <c r="F8739" s="2">
        <v>2</v>
      </c>
      <c r="G8739" s="2" t="s">
        <v>10</v>
      </c>
    </row>
    <row r="8740" spans="1:8" x14ac:dyDescent="0.2">
      <c r="A8740" s="2" t="s">
        <v>3240</v>
      </c>
      <c r="B8740" s="2" t="s">
        <v>1392</v>
      </c>
      <c r="C8740" s="2">
        <v>790.24469999999997</v>
      </c>
      <c r="D8740" s="2">
        <f>HYPERLINK("http://mcb-m6.bioreg.kyushu-u.ac.jp/M3/20110318/F50599/1904/1", 104.63)</f>
        <v>104.63</v>
      </c>
      <c r="E8740" s="2">
        <v>91.22</v>
      </c>
      <c r="F8740" s="2">
        <v>2</v>
      </c>
      <c r="G8740" s="2" t="s">
        <v>10</v>
      </c>
    </row>
    <row r="8741" spans="1:8" x14ac:dyDescent="0.2">
      <c r="A8741" s="2" t="s">
        <v>3240</v>
      </c>
      <c r="B8741" s="2" t="s">
        <v>1392</v>
      </c>
      <c r="C8741" s="2">
        <v>790.24159999999995</v>
      </c>
      <c r="D8741" s="2">
        <f>HYPERLINK("http://mcb-m6.bioreg.kyushu-u.ac.jp/M3/20110318/F50622/1695/1", 106.41)</f>
        <v>106.41</v>
      </c>
      <c r="E8741" s="2">
        <v>85.26</v>
      </c>
      <c r="F8741" s="2">
        <v>2</v>
      </c>
      <c r="G8741" s="2" t="s">
        <v>10</v>
      </c>
    </row>
    <row r="8742" spans="1:8" x14ac:dyDescent="0.2">
      <c r="A8742" s="2" t="s">
        <v>3240</v>
      </c>
      <c r="B8742" s="2" t="s">
        <v>1392</v>
      </c>
      <c r="C8742" s="2">
        <v>790.22559999999999</v>
      </c>
      <c r="D8742" s="2">
        <f>HYPERLINK("http://mcb-m6.bioreg.kyushu-u.ac.jp/M3/20110318/F50617/1795/1", 112.3)</f>
        <v>112.3</v>
      </c>
      <c r="E8742" s="2">
        <v>90.31</v>
      </c>
      <c r="F8742" s="2">
        <v>2</v>
      </c>
      <c r="G8742" s="2" t="s">
        <v>10</v>
      </c>
    </row>
    <row r="8743" spans="1:8" x14ac:dyDescent="0.2">
      <c r="A8743" s="2" t="s">
        <v>3240</v>
      </c>
      <c r="B8743" s="2" t="s">
        <v>1392</v>
      </c>
      <c r="C8743" s="2">
        <v>797.86659999999995</v>
      </c>
      <c r="D8743" s="2">
        <f>HYPERLINK("http://mcb-m6.bioreg.kyushu-u.ac.jp/M3/20110318/F50617/1822/1", 112.56)</f>
        <v>112.56</v>
      </c>
      <c r="E8743" s="2">
        <v>83.49</v>
      </c>
      <c r="F8743" s="2">
        <v>2</v>
      </c>
      <c r="G8743" s="2" t="s">
        <v>10</v>
      </c>
      <c r="H8743" s="2" t="s">
        <v>4912</v>
      </c>
    </row>
    <row r="8744" spans="1:8" x14ac:dyDescent="0.2">
      <c r="A8744" s="2" t="s">
        <v>3240</v>
      </c>
      <c r="B8744" s="2" t="s">
        <v>20</v>
      </c>
      <c r="C8744" s="2">
        <v>1298.2660000000001</v>
      </c>
      <c r="D8744" s="2">
        <f>HYPERLINK("http://mcb-m6.bioreg.kyushu-u.ac.jp/M3/20110418/F50974/1618/1", 37.54)</f>
        <v>37.54</v>
      </c>
      <c r="E8744" s="2">
        <v>27.12</v>
      </c>
      <c r="F8744" s="2">
        <v>1</v>
      </c>
      <c r="G8744" s="2" t="s">
        <v>11</v>
      </c>
    </row>
    <row r="8745" spans="1:8" x14ac:dyDescent="0.2">
      <c r="A8745" s="2" t="s">
        <v>3240</v>
      </c>
      <c r="B8745" s="2" t="s">
        <v>20</v>
      </c>
      <c r="C8745" s="2">
        <v>650.17219999999998</v>
      </c>
      <c r="D8745" s="2">
        <f>HYPERLINK("http://mcb-m6.bioreg.kyushu-u.ac.jp/M3/20110418/F50974/1625/1", 39.89)</f>
        <v>39.89</v>
      </c>
      <c r="E8745" s="2">
        <v>25.43</v>
      </c>
      <c r="F8745" s="2">
        <v>2</v>
      </c>
      <c r="G8745" s="2" t="s">
        <v>11</v>
      </c>
    </row>
    <row r="8746" spans="1:8" x14ac:dyDescent="0.2">
      <c r="A8746" s="2" t="s">
        <v>3240</v>
      </c>
      <c r="B8746" s="2" t="s">
        <v>3218</v>
      </c>
      <c r="C8746" s="2">
        <v>717.72619999999995</v>
      </c>
      <c r="D8746" s="2">
        <f>HYPERLINK("http://mcb-m6.bioreg.kyushu-u.ac.jp/M3/20110418/F50971/2474/1", 39.97)</f>
        <v>39.97</v>
      </c>
      <c r="E8746" s="2">
        <v>28.24</v>
      </c>
      <c r="F8746" s="2">
        <v>3</v>
      </c>
      <c r="G8746" s="2" t="s">
        <v>11</v>
      </c>
    </row>
    <row r="8747" spans="1:8" x14ac:dyDescent="0.2">
      <c r="A8747" s="2" t="s">
        <v>3240</v>
      </c>
      <c r="B8747" s="2" t="s">
        <v>20</v>
      </c>
      <c r="C8747" s="2">
        <v>650.13419999999996</v>
      </c>
      <c r="D8747" s="2">
        <f>HYPERLINK("http://mcb-m6.bioreg.kyushu-u.ac.jp/M3/20110418/F50973/1806/1", 42.33)</f>
        <v>42.33</v>
      </c>
      <c r="E8747" s="2">
        <v>16.91</v>
      </c>
      <c r="F8747" s="2">
        <v>2</v>
      </c>
      <c r="G8747" s="2" t="s">
        <v>11</v>
      </c>
    </row>
    <row r="8748" spans="1:8" x14ac:dyDescent="0.2">
      <c r="A8748" s="2" t="s">
        <v>3240</v>
      </c>
      <c r="B8748" s="2" t="s">
        <v>20</v>
      </c>
      <c r="C8748" s="2">
        <v>1298.72</v>
      </c>
      <c r="D8748" s="2">
        <f>HYPERLINK("http://mcb-m6.bioreg.kyushu-u.ac.jp/M3/20110418/F51000/1677/1", 44.06)</f>
        <v>44.06</v>
      </c>
      <c r="E8748" s="2">
        <v>26.45</v>
      </c>
      <c r="F8748" s="2">
        <v>1</v>
      </c>
      <c r="G8748" s="2" t="s">
        <v>11</v>
      </c>
    </row>
    <row r="8749" spans="1:8" x14ac:dyDescent="0.2">
      <c r="A8749" s="2" t="s">
        <v>3240</v>
      </c>
      <c r="B8749" s="2" t="s">
        <v>1392</v>
      </c>
      <c r="C8749" s="2">
        <v>790.87570000000005</v>
      </c>
      <c r="D8749" s="2">
        <f>HYPERLINK("http://mcb-m6.bioreg.kyushu-u.ac.jp/M3/20110418/F50976/2339/1", 44.41)</f>
        <v>44.41</v>
      </c>
      <c r="E8749" s="2">
        <v>33.869999999999997</v>
      </c>
      <c r="F8749" s="2">
        <v>2</v>
      </c>
      <c r="G8749" s="2" t="s">
        <v>11</v>
      </c>
    </row>
    <row r="8750" spans="1:8" x14ac:dyDescent="0.2">
      <c r="A8750" s="2" t="s">
        <v>3240</v>
      </c>
      <c r="B8750" s="2" t="s">
        <v>20</v>
      </c>
      <c r="C8750" s="2">
        <v>650.15369999999996</v>
      </c>
      <c r="D8750" s="2">
        <f>HYPERLINK("http://mcb-m6.bioreg.kyushu-u.ac.jp/M3/20110418/F50976/1489/1", 49.05)</f>
        <v>49.05</v>
      </c>
      <c r="E8750" s="2">
        <v>22.42</v>
      </c>
      <c r="F8750" s="2">
        <v>2</v>
      </c>
      <c r="G8750" s="2" t="s">
        <v>11</v>
      </c>
    </row>
    <row r="8751" spans="1:8" x14ac:dyDescent="0.2">
      <c r="A8751" s="2" t="s">
        <v>3240</v>
      </c>
      <c r="B8751" s="2" t="s">
        <v>3218</v>
      </c>
      <c r="C8751" s="2">
        <v>717.81150000000002</v>
      </c>
      <c r="D8751" s="2">
        <f>HYPERLINK("http://mcb-m6.bioreg.kyushu-u.ac.jp/M3/20110418/F50973/2815/1", 53.63)</f>
        <v>53.63</v>
      </c>
      <c r="E8751" s="2">
        <v>39.299999999999997</v>
      </c>
      <c r="F8751" s="2">
        <v>3</v>
      </c>
      <c r="G8751" s="2" t="s">
        <v>11</v>
      </c>
    </row>
    <row r="8752" spans="1:8" x14ac:dyDescent="0.2">
      <c r="A8752" s="2" t="s">
        <v>3240</v>
      </c>
      <c r="B8752" s="2" t="s">
        <v>20</v>
      </c>
      <c r="C8752" s="2">
        <v>649.81709999999998</v>
      </c>
      <c r="D8752" s="2">
        <f>HYPERLINK("http://mcb-m6.bioreg.kyushu-u.ac.jp/M3/20110418/F50974/1620/1", 55.67)</f>
        <v>55.67</v>
      </c>
      <c r="E8752" s="2">
        <v>29.79</v>
      </c>
      <c r="F8752" s="2">
        <v>2</v>
      </c>
      <c r="G8752" s="2" t="s">
        <v>11</v>
      </c>
    </row>
    <row r="8753" spans="1:7" x14ac:dyDescent="0.2">
      <c r="A8753" s="2" t="s">
        <v>3240</v>
      </c>
      <c r="B8753" s="2" t="s">
        <v>20</v>
      </c>
      <c r="C8753" s="2">
        <v>650.04319999999996</v>
      </c>
      <c r="D8753" s="2">
        <f>HYPERLINK("http://mcb-m6.bioreg.kyushu-u.ac.jp/M3/20110418/F50971/1933/1", 56.25)</f>
        <v>56.25</v>
      </c>
      <c r="E8753" s="2">
        <v>30.68</v>
      </c>
      <c r="F8753" s="2">
        <v>2</v>
      </c>
      <c r="G8753" s="2" t="s">
        <v>11</v>
      </c>
    </row>
    <row r="8754" spans="1:7" x14ac:dyDescent="0.2">
      <c r="A8754" s="2" t="s">
        <v>3240</v>
      </c>
      <c r="B8754" s="2" t="s">
        <v>20</v>
      </c>
      <c r="C8754" s="2">
        <v>650.32259999999997</v>
      </c>
      <c r="D8754" s="2">
        <f>HYPERLINK("http://mcb-m6.bioreg.kyushu-u.ac.jp/M3/20110418/F50976/1490/1", 56.8)</f>
        <v>56.8</v>
      </c>
      <c r="E8754" s="2">
        <v>25.69</v>
      </c>
      <c r="F8754" s="2">
        <v>2</v>
      </c>
      <c r="G8754" s="2" t="s">
        <v>11</v>
      </c>
    </row>
    <row r="8755" spans="1:7" x14ac:dyDescent="0.2">
      <c r="A8755" s="2" t="s">
        <v>3240</v>
      </c>
      <c r="B8755" s="2" t="s">
        <v>20</v>
      </c>
      <c r="C8755" s="2">
        <v>650.22969999999998</v>
      </c>
      <c r="D8755" s="2">
        <f>HYPERLINK("http://mcb-m6.bioreg.kyushu-u.ac.jp/M3/20110418/F50975/1462/1", 59.99)</f>
        <v>59.99</v>
      </c>
      <c r="E8755" s="2">
        <v>37.119999999999997</v>
      </c>
      <c r="F8755" s="2">
        <v>2</v>
      </c>
      <c r="G8755" s="2" t="s">
        <v>11</v>
      </c>
    </row>
    <row r="8756" spans="1:7" x14ac:dyDescent="0.2">
      <c r="A8756" s="2" t="s">
        <v>3240</v>
      </c>
      <c r="B8756" s="2" t="s">
        <v>20</v>
      </c>
      <c r="C8756" s="2">
        <v>649.65369999999996</v>
      </c>
      <c r="D8756" s="2">
        <f>HYPERLINK("http://mcb-m6.bioreg.kyushu-u.ac.jp/M3/20110418/F50977/1563/1", 60.29)</f>
        <v>60.29</v>
      </c>
      <c r="E8756" s="2">
        <v>46.4</v>
      </c>
      <c r="F8756" s="2">
        <v>2</v>
      </c>
      <c r="G8756" s="2" t="s">
        <v>11</v>
      </c>
    </row>
    <row r="8757" spans="1:7" x14ac:dyDescent="0.2">
      <c r="A8757" s="2" t="s">
        <v>3240</v>
      </c>
      <c r="B8757" s="2" t="s">
        <v>20</v>
      </c>
      <c r="C8757" s="2">
        <v>649.92909999999995</v>
      </c>
      <c r="D8757" s="2">
        <f>HYPERLINK("http://mcb-m6.bioreg.kyushu-u.ac.jp/M3/20110418/F50973/1805/1", 60.82)</f>
        <v>60.82</v>
      </c>
      <c r="E8757" s="2">
        <v>34.04</v>
      </c>
      <c r="F8757" s="2">
        <v>2</v>
      </c>
      <c r="G8757" s="2" t="s">
        <v>11</v>
      </c>
    </row>
    <row r="8758" spans="1:7" x14ac:dyDescent="0.2">
      <c r="A8758" s="2" t="s">
        <v>3240</v>
      </c>
      <c r="B8758" s="2" t="s">
        <v>1392</v>
      </c>
      <c r="C8758" s="2">
        <v>790.42719999999997</v>
      </c>
      <c r="D8758" s="2">
        <f>HYPERLINK("http://mcb-m6.bioreg.kyushu-u.ac.jp/M3/20110418/F50979/2302/1", 62.4)</f>
        <v>62.4</v>
      </c>
      <c r="E8758" s="2">
        <v>48.61</v>
      </c>
      <c r="F8758" s="2">
        <v>2</v>
      </c>
      <c r="G8758" s="2" t="s">
        <v>11</v>
      </c>
    </row>
    <row r="8759" spans="1:7" x14ac:dyDescent="0.2">
      <c r="A8759" s="2" t="s">
        <v>3240</v>
      </c>
      <c r="B8759" s="2" t="s">
        <v>20</v>
      </c>
      <c r="C8759" s="2">
        <v>650.14919999999995</v>
      </c>
      <c r="D8759" s="2">
        <f>HYPERLINK("http://mcb-m6.bioreg.kyushu-u.ac.jp/M3/20110418/F50973/1807/1", 63.48)</f>
        <v>63.48</v>
      </c>
      <c r="E8759" s="2">
        <v>43.81</v>
      </c>
      <c r="F8759" s="2">
        <v>2</v>
      </c>
      <c r="G8759" s="2" t="s">
        <v>11</v>
      </c>
    </row>
    <row r="8760" spans="1:7" x14ac:dyDescent="0.2">
      <c r="A8760" s="2" t="s">
        <v>3240</v>
      </c>
      <c r="B8760" s="2" t="s">
        <v>20</v>
      </c>
      <c r="C8760" s="2">
        <v>650.26419999999996</v>
      </c>
      <c r="D8760" s="2">
        <f>HYPERLINK("http://mcb-m6.bioreg.kyushu-u.ac.jp/M3/20110418/F50977/1567/1", 64.8)</f>
        <v>64.8</v>
      </c>
      <c r="E8760" s="2">
        <v>31.6</v>
      </c>
      <c r="F8760" s="2">
        <v>2</v>
      </c>
      <c r="G8760" s="2" t="s">
        <v>11</v>
      </c>
    </row>
    <row r="8761" spans="1:7" x14ac:dyDescent="0.2">
      <c r="A8761" s="2" t="s">
        <v>3240</v>
      </c>
      <c r="B8761" s="2" t="s">
        <v>20</v>
      </c>
      <c r="C8761" s="2">
        <v>649.70510000000002</v>
      </c>
      <c r="D8761" s="2">
        <f>HYPERLINK("http://mcb-m6.bioreg.kyushu-u.ac.jp/M3/20110418/F50975/1460/1", 64.9)</f>
        <v>64.900000000000006</v>
      </c>
      <c r="E8761" s="2">
        <v>45.26</v>
      </c>
      <c r="F8761" s="2">
        <v>2</v>
      </c>
      <c r="G8761" s="2" t="s">
        <v>11</v>
      </c>
    </row>
    <row r="8762" spans="1:7" x14ac:dyDescent="0.2">
      <c r="A8762" s="2" t="s">
        <v>3240</v>
      </c>
      <c r="B8762" s="2" t="s">
        <v>20</v>
      </c>
      <c r="C8762" s="2">
        <v>649.55520000000001</v>
      </c>
      <c r="D8762" s="2">
        <f>HYPERLINK("http://mcb-m6.bioreg.kyushu-u.ac.jp/M3/20110418/F50974/1615/1", 64.98)</f>
        <v>64.98</v>
      </c>
      <c r="E8762" s="2">
        <v>46.44</v>
      </c>
      <c r="F8762" s="2">
        <v>2</v>
      </c>
      <c r="G8762" s="2" t="s">
        <v>11</v>
      </c>
    </row>
    <row r="8763" spans="1:7" x14ac:dyDescent="0.2">
      <c r="A8763" s="2" t="s">
        <v>3240</v>
      </c>
      <c r="B8763" s="2" t="s">
        <v>20</v>
      </c>
      <c r="C8763" s="2">
        <v>649.87710000000004</v>
      </c>
      <c r="D8763" s="2">
        <f>HYPERLINK("http://mcb-m6.bioreg.kyushu-u.ac.jp/M3/20110418/F50974/1621/1", 65.36)</f>
        <v>65.36</v>
      </c>
      <c r="E8763" s="2">
        <v>45.49</v>
      </c>
      <c r="F8763" s="2">
        <v>2</v>
      </c>
      <c r="G8763" s="2" t="s">
        <v>11</v>
      </c>
    </row>
    <row r="8764" spans="1:7" x14ac:dyDescent="0.2">
      <c r="A8764" s="2" t="s">
        <v>3240</v>
      </c>
      <c r="B8764" s="2" t="s">
        <v>20</v>
      </c>
      <c r="C8764" s="2">
        <v>650.3152</v>
      </c>
      <c r="D8764" s="2">
        <f>HYPERLINK("http://mcb-m6.bioreg.kyushu-u.ac.jp/M3/20110418/F50977/1568/1", 65.84)</f>
        <v>65.84</v>
      </c>
      <c r="E8764" s="2">
        <v>30.46</v>
      </c>
      <c r="F8764" s="2">
        <v>2</v>
      </c>
      <c r="G8764" s="2" t="s">
        <v>11</v>
      </c>
    </row>
    <row r="8765" spans="1:7" x14ac:dyDescent="0.2">
      <c r="A8765" s="2" t="s">
        <v>3240</v>
      </c>
      <c r="B8765" s="2" t="s">
        <v>20</v>
      </c>
      <c r="C8765" s="2">
        <v>650.13869999999997</v>
      </c>
      <c r="D8765" s="2">
        <f>HYPERLINK("http://mcb-m6.bioreg.kyushu-u.ac.jp/M3/20110418/F50974/1623/1", 67.74)</f>
        <v>67.739999999999995</v>
      </c>
      <c r="E8765" s="2">
        <v>40.92</v>
      </c>
      <c r="F8765" s="2">
        <v>2</v>
      </c>
      <c r="G8765" s="2" t="s">
        <v>11</v>
      </c>
    </row>
    <row r="8766" spans="1:7" x14ac:dyDescent="0.2">
      <c r="A8766" s="2" t="s">
        <v>3240</v>
      </c>
      <c r="B8766" s="2" t="s">
        <v>20</v>
      </c>
      <c r="C8766" s="2">
        <v>649.54110000000003</v>
      </c>
      <c r="D8766" s="2">
        <f>HYPERLINK("http://mcb-m6.bioreg.kyushu-u.ac.jp/M3/20110418/F50971/1931/1", 69.04)</f>
        <v>69.040000000000006</v>
      </c>
      <c r="E8766" s="2">
        <v>48.51</v>
      </c>
      <c r="F8766" s="2">
        <v>2</v>
      </c>
      <c r="G8766" s="2" t="s">
        <v>11</v>
      </c>
    </row>
    <row r="8767" spans="1:7" x14ac:dyDescent="0.2">
      <c r="A8767" s="2" t="s">
        <v>3240</v>
      </c>
      <c r="B8767" s="2" t="s">
        <v>20</v>
      </c>
      <c r="C8767" s="2">
        <v>649.54060000000004</v>
      </c>
      <c r="D8767" s="2">
        <f>HYPERLINK("http://mcb-m6.bioreg.kyushu-u.ac.jp/M3/20110418/F50973/1799/1", 70.1)</f>
        <v>70.099999999999994</v>
      </c>
      <c r="E8767" s="2">
        <v>49.19</v>
      </c>
      <c r="F8767" s="2">
        <v>2</v>
      </c>
      <c r="G8767" s="2" t="s">
        <v>11</v>
      </c>
    </row>
    <row r="8768" spans="1:7" x14ac:dyDescent="0.2">
      <c r="A8768" s="2" t="s">
        <v>3240</v>
      </c>
      <c r="B8768" s="2" t="s">
        <v>20</v>
      </c>
      <c r="C8768" s="2">
        <v>649.87120000000004</v>
      </c>
      <c r="D8768" s="2">
        <f>HYPERLINK("http://mcb-m6.bioreg.kyushu-u.ac.jp/M3/20110418/F50971/1932/1", 70.83)</f>
        <v>70.83</v>
      </c>
      <c r="E8768" s="2">
        <v>52.92</v>
      </c>
      <c r="F8768" s="2">
        <v>2</v>
      </c>
      <c r="G8768" s="2" t="s">
        <v>11</v>
      </c>
    </row>
    <row r="8769" spans="1:8" x14ac:dyDescent="0.2">
      <c r="A8769" s="2" t="s">
        <v>3240</v>
      </c>
      <c r="B8769" s="2" t="s">
        <v>20</v>
      </c>
      <c r="C8769" s="2">
        <v>649.58720000000005</v>
      </c>
      <c r="D8769" s="2">
        <f>HYPERLINK("http://mcb-m6.bioreg.kyushu-u.ac.jp/M3/20110418/F50973/1800/1", 71.95)</f>
        <v>71.95</v>
      </c>
      <c r="E8769" s="2">
        <v>50.12</v>
      </c>
      <c r="F8769" s="2">
        <v>2</v>
      </c>
      <c r="G8769" s="2" t="s">
        <v>11</v>
      </c>
    </row>
    <row r="8770" spans="1:8" x14ac:dyDescent="0.2">
      <c r="A8770" s="2" t="s">
        <v>3240</v>
      </c>
      <c r="B8770" s="2" t="s">
        <v>20</v>
      </c>
      <c r="C8770" s="2">
        <v>650.16020000000003</v>
      </c>
      <c r="D8770" s="2">
        <f>HYPERLINK("http://mcb-m6.bioreg.kyushu-u.ac.jp/M3/20110418/F50974/1624/1", 74.2)</f>
        <v>74.2</v>
      </c>
      <c r="E8770" s="2">
        <v>38.61</v>
      </c>
      <c r="F8770" s="2">
        <v>2</v>
      </c>
      <c r="G8770" s="2" t="s">
        <v>11</v>
      </c>
    </row>
    <row r="8771" spans="1:8" x14ac:dyDescent="0.2">
      <c r="A8771" s="2" t="s">
        <v>3240</v>
      </c>
      <c r="B8771" s="2" t="s">
        <v>20</v>
      </c>
      <c r="C8771" s="2">
        <v>649.62070000000006</v>
      </c>
      <c r="D8771" s="2">
        <f>HYPERLINK("http://mcb-m6.bioreg.kyushu-u.ac.jp/M3/20110418/F50973/1801/1", 74.37)</f>
        <v>74.37</v>
      </c>
      <c r="E8771" s="2">
        <v>51.41</v>
      </c>
      <c r="F8771" s="2">
        <v>2</v>
      </c>
      <c r="G8771" s="2" t="s">
        <v>11</v>
      </c>
    </row>
    <row r="8772" spans="1:8" x14ac:dyDescent="0.2">
      <c r="A8772" s="2" t="s">
        <v>3240</v>
      </c>
      <c r="B8772" s="2" t="s">
        <v>1392</v>
      </c>
      <c r="C8772" s="2">
        <v>790.55070000000001</v>
      </c>
      <c r="D8772" s="2">
        <f>HYPERLINK("http://mcb-m6.bioreg.kyushu-u.ac.jp/M3/20110418/F50974/2338/1", 74.84)</f>
        <v>74.84</v>
      </c>
      <c r="E8772" s="2">
        <v>60.85</v>
      </c>
      <c r="F8772" s="2">
        <v>2</v>
      </c>
      <c r="G8772" s="2" t="s">
        <v>11</v>
      </c>
    </row>
    <row r="8773" spans="1:8" x14ac:dyDescent="0.2">
      <c r="A8773" s="2" t="s">
        <v>3240</v>
      </c>
      <c r="B8773" s="2" t="s">
        <v>1392</v>
      </c>
      <c r="C8773" s="2">
        <v>798.19709999999998</v>
      </c>
      <c r="D8773" s="2">
        <f>HYPERLINK("http://mcb-m6.bioreg.kyushu-u.ac.jp/M3/20110418/F50974/2372/1", 75.53)</f>
        <v>75.53</v>
      </c>
      <c r="E8773" s="2">
        <v>65.36</v>
      </c>
      <c r="F8773" s="2">
        <v>2</v>
      </c>
      <c r="G8773" s="2" t="s">
        <v>11</v>
      </c>
      <c r="H8773" s="2" t="s">
        <v>4912</v>
      </c>
    </row>
    <row r="8774" spans="1:8" x14ac:dyDescent="0.2">
      <c r="A8774" s="2" t="s">
        <v>3240</v>
      </c>
      <c r="B8774" s="2" t="s">
        <v>20</v>
      </c>
      <c r="C8774" s="2">
        <v>649.75070000000005</v>
      </c>
      <c r="D8774" s="2">
        <f>HYPERLINK("http://mcb-m6.bioreg.kyushu-u.ac.jp/M3/20110418/F50979/1751/1", 78.34)</f>
        <v>78.34</v>
      </c>
      <c r="E8774" s="2">
        <v>51.35</v>
      </c>
      <c r="F8774" s="2">
        <v>2</v>
      </c>
      <c r="G8774" s="2" t="s">
        <v>11</v>
      </c>
    </row>
    <row r="8775" spans="1:8" x14ac:dyDescent="0.2">
      <c r="A8775" s="2" t="s">
        <v>3240</v>
      </c>
      <c r="B8775" s="2" t="s">
        <v>20</v>
      </c>
      <c r="C8775" s="2">
        <v>649.76319999999998</v>
      </c>
      <c r="D8775" s="2">
        <f>HYPERLINK("http://mcb-m6.bioreg.kyushu-u.ac.jp/M3/20110418/F50977/1564/1", 78.39)</f>
        <v>78.39</v>
      </c>
      <c r="E8775" s="2">
        <v>53.74</v>
      </c>
      <c r="F8775" s="2">
        <v>2</v>
      </c>
      <c r="G8775" s="2" t="s">
        <v>11</v>
      </c>
    </row>
    <row r="8776" spans="1:8" x14ac:dyDescent="0.2">
      <c r="A8776" s="2" t="s">
        <v>3240</v>
      </c>
      <c r="B8776" s="2" t="s">
        <v>20</v>
      </c>
      <c r="C8776" s="2">
        <v>649.69709999999998</v>
      </c>
      <c r="D8776" s="2">
        <f>HYPERLINK("http://mcb-m6.bioreg.kyushu-u.ac.jp/M3/20110418/F50973/1803/1", 78.83)</f>
        <v>78.83</v>
      </c>
      <c r="E8776" s="2">
        <v>56.75</v>
      </c>
      <c r="F8776" s="2">
        <v>2</v>
      </c>
      <c r="G8776" s="2" t="s">
        <v>11</v>
      </c>
    </row>
    <row r="8777" spans="1:8" x14ac:dyDescent="0.2">
      <c r="A8777" s="2" t="s">
        <v>3240</v>
      </c>
      <c r="B8777" s="2" t="s">
        <v>20</v>
      </c>
      <c r="C8777" s="2">
        <v>649.83370000000002</v>
      </c>
      <c r="D8777" s="2">
        <f>HYPERLINK("http://mcb-m6.bioreg.kyushu-u.ac.jp/M3/20110418/F50978/1618/1", 79.05)</f>
        <v>79.05</v>
      </c>
      <c r="E8777" s="2">
        <v>54.47</v>
      </c>
      <c r="F8777" s="2">
        <v>2</v>
      </c>
      <c r="G8777" s="2" t="s">
        <v>11</v>
      </c>
    </row>
    <row r="8778" spans="1:8" x14ac:dyDescent="0.2">
      <c r="A8778" s="2" t="s">
        <v>3240</v>
      </c>
      <c r="B8778" s="2" t="s">
        <v>20</v>
      </c>
      <c r="C8778" s="2">
        <v>649.88319999999999</v>
      </c>
      <c r="D8778" s="2">
        <f>HYPERLINK("http://mcb-m6.bioreg.kyushu-u.ac.jp/M3/20110418/F50978/1619/1", 79.53)</f>
        <v>79.53</v>
      </c>
      <c r="E8778" s="2">
        <v>50.73</v>
      </c>
      <c r="F8778" s="2">
        <v>2</v>
      </c>
      <c r="G8778" s="2" t="s">
        <v>11</v>
      </c>
    </row>
    <row r="8779" spans="1:8" x14ac:dyDescent="0.2">
      <c r="A8779" s="2" t="s">
        <v>3240</v>
      </c>
      <c r="B8779" s="2" t="s">
        <v>20</v>
      </c>
      <c r="C8779" s="2">
        <v>649.80269999999996</v>
      </c>
      <c r="D8779" s="2">
        <f>HYPERLINK("http://mcb-m6.bioreg.kyushu-u.ac.jp/M3/20110418/F51000/1676/1", 79.97)</f>
        <v>79.97</v>
      </c>
      <c r="E8779" s="2">
        <v>55.9</v>
      </c>
      <c r="F8779" s="2">
        <v>2</v>
      </c>
      <c r="G8779" s="2" t="s">
        <v>11</v>
      </c>
    </row>
    <row r="8780" spans="1:8" x14ac:dyDescent="0.2">
      <c r="A8780" s="2" t="s">
        <v>3240</v>
      </c>
      <c r="B8780" s="2" t="s">
        <v>20</v>
      </c>
      <c r="C8780" s="2">
        <v>649.73910000000001</v>
      </c>
      <c r="D8780" s="2">
        <f>HYPERLINK("http://mcb-m6.bioreg.kyushu-u.ac.jp/M3/20110418/F50999/1658/1", 81.14)</f>
        <v>81.14</v>
      </c>
      <c r="E8780" s="2">
        <v>56.82</v>
      </c>
      <c r="F8780" s="2">
        <v>2</v>
      </c>
      <c r="G8780" s="2" t="s">
        <v>11</v>
      </c>
    </row>
    <row r="8781" spans="1:8" x14ac:dyDescent="0.2">
      <c r="A8781" s="2" t="s">
        <v>3240</v>
      </c>
      <c r="B8781" s="2" t="s">
        <v>20</v>
      </c>
      <c r="C8781" s="2">
        <v>649.61220000000003</v>
      </c>
      <c r="D8781" s="2">
        <f>HYPERLINK("http://mcb-m6.bioreg.kyushu-u.ac.jp/M3/20110418/F50974/1617/1", 81.45)</f>
        <v>81.45</v>
      </c>
      <c r="E8781" s="2">
        <v>51.06</v>
      </c>
      <c r="F8781" s="2">
        <v>2</v>
      </c>
      <c r="G8781" s="2" t="s">
        <v>11</v>
      </c>
    </row>
    <row r="8782" spans="1:8" x14ac:dyDescent="0.2">
      <c r="A8782" s="2" t="s">
        <v>3240</v>
      </c>
      <c r="B8782" s="2" t="s">
        <v>20</v>
      </c>
      <c r="C8782" s="2">
        <v>649.41859999999997</v>
      </c>
      <c r="D8782" s="2">
        <f>HYPERLINK("http://mcb-m6.bioreg.kyushu-u.ac.jp/M3/20110418/F50975/1457/1", 83.18)</f>
        <v>83.18</v>
      </c>
      <c r="E8782" s="2">
        <v>54.46</v>
      </c>
      <c r="F8782" s="2">
        <v>2</v>
      </c>
      <c r="G8782" s="2" t="s">
        <v>11</v>
      </c>
    </row>
    <row r="8783" spans="1:8" x14ac:dyDescent="0.2">
      <c r="A8783" s="2" t="s">
        <v>3240</v>
      </c>
      <c r="B8783" s="2" t="s">
        <v>20</v>
      </c>
      <c r="C8783" s="2">
        <v>649.75019999999995</v>
      </c>
      <c r="D8783" s="2">
        <f>HYPERLINK("http://mcb-m6.bioreg.kyushu-u.ac.jp/M3/20110418/F50976/1487/1", 83.22)</f>
        <v>83.22</v>
      </c>
      <c r="E8783" s="2">
        <v>57.06</v>
      </c>
      <c r="F8783" s="2">
        <v>2</v>
      </c>
      <c r="G8783" s="2" t="s">
        <v>11</v>
      </c>
    </row>
    <row r="8784" spans="1:8" x14ac:dyDescent="0.2">
      <c r="A8784" s="2" t="s">
        <v>3240</v>
      </c>
      <c r="B8784" s="2" t="s">
        <v>20</v>
      </c>
      <c r="C8784" s="2">
        <v>649.66769999999997</v>
      </c>
      <c r="D8784" s="2">
        <f>HYPERLINK("http://mcb-m6.bioreg.kyushu-u.ac.jp/M3/20110418/F50975/1459/1", 83.29)</f>
        <v>83.29</v>
      </c>
      <c r="E8784" s="2">
        <v>57.12</v>
      </c>
      <c r="F8784" s="2">
        <v>2</v>
      </c>
      <c r="G8784" s="2" t="s">
        <v>11</v>
      </c>
    </row>
    <row r="8785" spans="1:8" x14ac:dyDescent="0.2">
      <c r="A8785" s="2" t="s">
        <v>3240</v>
      </c>
      <c r="B8785" s="2" t="s">
        <v>20</v>
      </c>
      <c r="C8785" s="2">
        <v>649.75070000000005</v>
      </c>
      <c r="D8785" s="2">
        <f>HYPERLINK("http://mcb-m6.bioreg.kyushu-u.ac.jp/M3/20110418/F50979/1752/1", 83.29)</f>
        <v>83.29</v>
      </c>
      <c r="E8785" s="2">
        <v>61.15</v>
      </c>
      <c r="F8785" s="2">
        <v>2</v>
      </c>
      <c r="G8785" s="2" t="s">
        <v>11</v>
      </c>
    </row>
    <row r="8786" spans="1:8" x14ac:dyDescent="0.2">
      <c r="A8786" s="2" t="s">
        <v>3240</v>
      </c>
      <c r="B8786" s="2" t="s">
        <v>20</v>
      </c>
      <c r="C8786" s="2">
        <v>649.31669999999997</v>
      </c>
      <c r="D8786" s="2">
        <f>HYPERLINK("http://mcb-m6.bioreg.kyushu-u.ac.jp/M3/20110418/F50974/1613/1", 83.93)</f>
        <v>83.93</v>
      </c>
      <c r="E8786" s="2">
        <v>59.52</v>
      </c>
      <c r="F8786" s="2">
        <v>2</v>
      </c>
      <c r="G8786" s="2" t="s">
        <v>11</v>
      </c>
    </row>
    <row r="8787" spans="1:8" x14ac:dyDescent="0.2">
      <c r="A8787" s="2" t="s">
        <v>3240</v>
      </c>
      <c r="B8787" s="2" t="s">
        <v>20</v>
      </c>
      <c r="C8787" s="2">
        <v>649.6191</v>
      </c>
      <c r="D8787" s="2">
        <f>HYPERLINK("http://mcb-m6.bioreg.kyushu-u.ac.jp/M3/20110418/F50972/1863/1", 83.96)</f>
        <v>83.96</v>
      </c>
      <c r="E8787" s="2">
        <v>59.47</v>
      </c>
      <c r="F8787" s="2">
        <v>2</v>
      </c>
      <c r="G8787" s="2" t="s">
        <v>11</v>
      </c>
    </row>
    <row r="8788" spans="1:8" x14ac:dyDescent="0.2">
      <c r="A8788" s="2" t="s">
        <v>3240</v>
      </c>
      <c r="B8788" s="2" t="s">
        <v>1392</v>
      </c>
      <c r="C8788" s="2">
        <v>798.72810000000004</v>
      </c>
      <c r="D8788" s="2">
        <f>HYPERLINK("http://mcb-m6.bioreg.kyushu-u.ac.jp/M3/20110418/F50974/2375/1", 87.56)</f>
        <v>87.56</v>
      </c>
      <c r="E8788" s="2">
        <v>71.06</v>
      </c>
      <c r="F8788" s="2">
        <v>2</v>
      </c>
      <c r="G8788" s="2" t="s">
        <v>11</v>
      </c>
      <c r="H8788" s="2" t="s">
        <v>4912</v>
      </c>
    </row>
    <row r="8789" spans="1:8" x14ac:dyDescent="0.2">
      <c r="A8789" s="2" t="s">
        <v>3240</v>
      </c>
      <c r="B8789" s="2" t="s">
        <v>1392</v>
      </c>
      <c r="C8789" s="2">
        <v>790.75019999999995</v>
      </c>
      <c r="D8789" s="2">
        <f>HYPERLINK("http://mcb-m6.bioreg.kyushu-u.ac.jp/M3/20110418/F50975/2372/1", 90.13)</f>
        <v>90.13</v>
      </c>
      <c r="E8789" s="2">
        <v>67.19</v>
      </c>
      <c r="F8789" s="2">
        <v>2</v>
      </c>
      <c r="G8789" s="2" t="s">
        <v>11</v>
      </c>
    </row>
    <row r="8790" spans="1:8" x14ac:dyDescent="0.2">
      <c r="A8790" s="2" t="s">
        <v>3240</v>
      </c>
      <c r="B8790" s="2" t="s">
        <v>1392</v>
      </c>
      <c r="C8790" s="2">
        <v>790.36969999999997</v>
      </c>
      <c r="D8790" s="2">
        <f>HYPERLINK("http://mcb-m6.bioreg.kyushu-u.ac.jp/M3/20110418/F50978/2332/1", 90.84)</f>
        <v>90.84</v>
      </c>
      <c r="E8790" s="2">
        <v>78.209999999999994</v>
      </c>
      <c r="F8790" s="2">
        <v>2</v>
      </c>
      <c r="G8790" s="2" t="s">
        <v>11</v>
      </c>
    </row>
    <row r="8791" spans="1:8" x14ac:dyDescent="0.2">
      <c r="A8791" s="2" t="s">
        <v>3240</v>
      </c>
      <c r="B8791" s="2" t="s">
        <v>1392</v>
      </c>
      <c r="C8791" s="2">
        <v>798.1617</v>
      </c>
      <c r="D8791" s="2">
        <f>HYPERLINK("http://mcb-m6.bioreg.kyushu-u.ac.jp/M3/20110418/F50974/2371/1", 91.06)</f>
        <v>91.06</v>
      </c>
      <c r="E8791" s="2">
        <v>75.5</v>
      </c>
      <c r="F8791" s="2">
        <v>2</v>
      </c>
      <c r="G8791" s="2" t="s">
        <v>11</v>
      </c>
      <c r="H8791" s="2" t="s">
        <v>4912</v>
      </c>
    </row>
    <row r="8792" spans="1:8" x14ac:dyDescent="0.2">
      <c r="A8792" s="2" t="s">
        <v>3240</v>
      </c>
      <c r="B8792" s="2" t="s">
        <v>1392</v>
      </c>
      <c r="C8792" s="2">
        <v>790.26170000000002</v>
      </c>
      <c r="D8792" s="2">
        <f>HYPERLINK("http://mcb-m6.bioreg.kyushu-u.ac.jp/M3/20110418/F50976/2333/1", 97.82)</f>
        <v>97.82</v>
      </c>
      <c r="E8792" s="2">
        <v>82.54</v>
      </c>
      <c r="F8792" s="2">
        <v>2</v>
      </c>
      <c r="G8792" s="2" t="s">
        <v>11</v>
      </c>
    </row>
    <row r="8793" spans="1:8" x14ac:dyDescent="0.2">
      <c r="A8793" s="2" t="s">
        <v>3240</v>
      </c>
      <c r="B8793" s="2" t="s">
        <v>1392</v>
      </c>
      <c r="C8793" s="2">
        <v>790.66219999999998</v>
      </c>
      <c r="D8793" s="2">
        <f>HYPERLINK("http://mcb-m6.bioreg.kyushu-u.ac.jp/M3/20110418/F50973/2325/1", 100.33)</f>
        <v>100.33</v>
      </c>
      <c r="E8793" s="2">
        <v>86.89</v>
      </c>
      <c r="F8793" s="2">
        <v>2</v>
      </c>
      <c r="G8793" s="2" t="s">
        <v>11</v>
      </c>
    </row>
    <row r="8794" spans="1:8" x14ac:dyDescent="0.2">
      <c r="A8794" s="2" t="s">
        <v>3240</v>
      </c>
      <c r="B8794" s="2" t="s">
        <v>1392</v>
      </c>
      <c r="C8794" s="2">
        <v>790.84559999999999</v>
      </c>
      <c r="D8794" s="2">
        <f>HYPERLINK("http://mcb-m6.bioreg.kyushu-u.ac.jp/M3/20110418/F50979/2305/1", 103.72)</f>
        <v>103.72</v>
      </c>
      <c r="E8794" s="2">
        <v>93.74</v>
      </c>
      <c r="F8794" s="2">
        <v>2</v>
      </c>
      <c r="G8794" s="2" t="s">
        <v>11</v>
      </c>
    </row>
    <row r="8795" spans="1:8" x14ac:dyDescent="0.2">
      <c r="A8795" s="2" t="s">
        <v>3240</v>
      </c>
      <c r="B8795" s="2" t="s">
        <v>1392</v>
      </c>
      <c r="C8795" s="2">
        <v>790.10019999999997</v>
      </c>
      <c r="D8795" s="2">
        <f>HYPERLINK("http://mcb-m6.bioreg.kyushu-u.ac.jp/M3/20110418/F50978/2329/1", 104.36)</f>
        <v>104.36</v>
      </c>
      <c r="E8795" s="2">
        <v>88.69</v>
      </c>
      <c r="F8795" s="2">
        <v>2</v>
      </c>
      <c r="G8795" s="2" t="s">
        <v>11</v>
      </c>
    </row>
    <row r="8796" spans="1:8" x14ac:dyDescent="0.2">
      <c r="A8796" s="2" t="s">
        <v>3240</v>
      </c>
      <c r="B8796" s="2" t="s">
        <v>1392</v>
      </c>
      <c r="C8796" s="2">
        <v>790.24770000000001</v>
      </c>
      <c r="D8796" s="2">
        <f>HYPERLINK("http://mcb-m6.bioreg.kyushu-u.ac.jp/M3/20110418/F50975/2362/1", 112.6)</f>
        <v>112.6</v>
      </c>
      <c r="E8796" s="2">
        <v>90.23</v>
      </c>
      <c r="F8796" s="2">
        <v>2</v>
      </c>
      <c r="G8796" s="2" t="s">
        <v>11</v>
      </c>
    </row>
    <row r="8797" spans="1:8" x14ac:dyDescent="0.2">
      <c r="A8797" s="2" t="s">
        <v>3240</v>
      </c>
      <c r="B8797" s="2" t="s">
        <v>20</v>
      </c>
      <c r="C8797" s="2">
        <v>1298.57</v>
      </c>
      <c r="D8797" s="2">
        <f>HYPERLINK("http://mcb-m6.bioreg.kyushu-u.ac.jp/M3/20110418/F50988/1791/1", 40.64)</f>
        <v>40.64</v>
      </c>
      <c r="E8797" s="2">
        <v>23.19</v>
      </c>
      <c r="F8797" s="2">
        <v>1</v>
      </c>
      <c r="G8797" s="2" t="s">
        <v>12</v>
      </c>
    </row>
    <row r="8798" spans="1:8" x14ac:dyDescent="0.2">
      <c r="A8798" s="2" t="s">
        <v>3240</v>
      </c>
      <c r="B8798" s="2" t="s">
        <v>20</v>
      </c>
      <c r="C8798" s="2">
        <v>650.1422</v>
      </c>
      <c r="D8798" s="2">
        <f>HYPERLINK("http://mcb-m6.bioreg.kyushu-u.ac.jp/M3/20110418/F50989/1781/1", 59.31)</f>
        <v>59.31</v>
      </c>
      <c r="E8798" s="2">
        <v>43.87</v>
      </c>
      <c r="F8798" s="2">
        <v>2</v>
      </c>
      <c r="G8798" s="2" t="s">
        <v>12</v>
      </c>
    </row>
    <row r="8799" spans="1:8" x14ac:dyDescent="0.2">
      <c r="A8799" s="2" t="s">
        <v>3240</v>
      </c>
      <c r="B8799" s="2" t="s">
        <v>20</v>
      </c>
      <c r="C8799" s="2">
        <v>649.7106</v>
      </c>
      <c r="D8799" s="2">
        <f>HYPERLINK("http://mcb-m6.bioreg.kyushu-u.ac.jp/M3/20110418/F50984/1882/1", 60.73)</f>
        <v>60.73</v>
      </c>
      <c r="E8799" s="2">
        <v>40.85</v>
      </c>
      <c r="F8799" s="2">
        <v>2</v>
      </c>
      <c r="G8799" s="2" t="s">
        <v>12</v>
      </c>
    </row>
    <row r="8800" spans="1:8" x14ac:dyDescent="0.2">
      <c r="A8800" s="2" t="s">
        <v>3240</v>
      </c>
      <c r="B8800" s="2" t="s">
        <v>20</v>
      </c>
      <c r="C8800" s="2">
        <v>649.79470000000003</v>
      </c>
      <c r="D8800" s="2">
        <f>HYPERLINK("http://mcb-m6.bioreg.kyushu-u.ac.jp/M3/20110418/F51002/1749/1", 62.89)</f>
        <v>62.89</v>
      </c>
      <c r="E8800" s="2">
        <v>40.75</v>
      </c>
      <c r="F8800" s="2">
        <v>2</v>
      </c>
      <c r="G8800" s="2" t="s">
        <v>12</v>
      </c>
    </row>
    <row r="8801" spans="1:8" x14ac:dyDescent="0.2">
      <c r="A8801" s="2" t="s">
        <v>3240</v>
      </c>
      <c r="B8801" s="2" t="s">
        <v>20</v>
      </c>
      <c r="C8801" s="2">
        <v>649.61869999999999</v>
      </c>
      <c r="D8801" s="2">
        <f>HYPERLINK("http://mcb-m6.bioreg.kyushu-u.ac.jp/M3/20110418/F50989/1778/1", 65.53)</f>
        <v>65.53</v>
      </c>
      <c r="E8801" s="2">
        <v>44.21</v>
      </c>
      <c r="F8801" s="2">
        <v>2</v>
      </c>
      <c r="G8801" s="2" t="s">
        <v>12</v>
      </c>
    </row>
    <row r="8802" spans="1:8" x14ac:dyDescent="0.2">
      <c r="A8802" s="2" t="s">
        <v>3240</v>
      </c>
      <c r="B8802" s="2" t="s">
        <v>1392</v>
      </c>
      <c r="C8802" s="2">
        <v>790.67909999999995</v>
      </c>
      <c r="D8802" s="2">
        <f>HYPERLINK("http://mcb-m6.bioreg.kyushu-u.ac.jp/M3/20110418/F50982/2300/1", 66.06)</f>
        <v>66.06</v>
      </c>
      <c r="E8802" s="2">
        <v>54.03</v>
      </c>
      <c r="F8802" s="2">
        <v>2</v>
      </c>
      <c r="G8802" s="2" t="s">
        <v>12</v>
      </c>
    </row>
    <row r="8803" spans="1:8" x14ac:dyDescent="0.2">
      <c r="A8803" s="2" t="s">
        <v>3240</v>
      </c>
      <c r="B8803" s="2" t="s">
        <v>20</v>
      </c>
      <c r="C8803" s="2">
        <v>649.68709999999999</v>
      </c>
      <c r="D8803" s="2">
        <f>HYPERLINK("http://mcb-m6.bioreg.kyushu-u.ac.jp/M3/20110418/F50988/1790/1", 69.33)</f>
        <v>69.33</v>
      </c>
      <c r="E8803" s="2">
        <v>44.85</v>
      </c>
      <c r="F8803" s="2">
        <v>2</v>
      </c>
      <c r="G8803" s="2" t="s">
        <v>12</v>
      </c>
    </row>
    <row r="8804" spans="1:8" x14ac:dyDescent="0.2">
      <c r="A8804" s="2" t="s">
        <v>3240</v>
      </c>
      <c r="B8804" s="2" t="s">
        <v>20</v>
      </c>
      <c r="C8804" s="2">
        <v>649.76969999999994</v>
      </c>
      <c r="D8804" s="2">
        <f>HYPERLINK("http://mcb-m6.bioreg.kyushu-u.ac.jp/M3/20110418/F50984/1883/1", 69.89)</f>
        <v>69.89</v>
      </c>
      <c r="E8804" s="2">
        <v>50.07</v>
      </c>
      <c r="F8804" s="2">
        <v>2</v>
      </c>
      <c r="G8804" s="2" t="s">
        <v>12</v>
      </c>
    </row>
    <row r="8805" spans="1:8" x14ac:dyDescent="0.2">
      <c r="A8805" s="2" t="s">
        <v>3240</v>
      </c>
      <c r="B8805" s="2" t="s">
        <v>20</v>
      </c>
      <c r="C8805" s="2">
        <v>649.67020000000002</v>
      </c>
      <c r="D8805" s="2">
        <f>HYPERLINK("http://mcb-m6.bioreg.kyushu-u.ac.jp/M3/20110418/F50985/1958/1", 72.68)</f>
        <v>72.680000000000007</v>
      </c>
      <c r="E8805" s="2">
        <v>50.49</v>
      </c>
      <c r="F8805" s="2">
        <v>2</v>
      </c>
      <c r="G8805" s="2" t="s">
        <v>12</v>
      </c>
    </row>
    <row r="8806" spans="1:8" x14ac:dyDescent="0.2">
      <c r="A8806" s="2" t="s">
        <v>3240</v>
      </c>
      <c r="B8806" s="2" t="s">
        <v>20</v>
      </c>
      <c r="C8806" s="2">
        <v>650.14260000000002</v>
      </c>
      <c r="D8806" s="2">
        <f>HYPERLINK("http://mcb-m6.bioreg.kyushu-u.ac.jp/M3/20110418/F51001/1679/1", 74.29)</f>
        <v>74.290000000000006</v>
      </c>
      <c r="E8806" s="2">
        <v>41</v>
      </c>
      <c r="F8806" s="2">
        <v>2</v>
      </c>
      <c r="G8806" s="2" t="s">
        <v>12</v>
      </c>
    </row>
    <row r="8807" spans="1:8" x14ac:dyDescent="0.2">
      <c r="A8807" s="2" t="s">
        <v>3240</v>
      </c>
      <c r="B8807" s="2" t="s">
        <v>20</v>
      </c>
      <c r="C8807" s="2">
        <v>649.71420000000001</v>
      </c>
      <c r="D8807" s="2">
        <f>HYPERLINK("http://mcb-m6.bioreg.kyushu-u.ac.jp/M3/20110418/F50983/1826/1", 78.36)</f>
        <v>78.36</v>
      </c>
      <c r="E8807" s="2">
        <v>49.86</v>
      </c>
      <c r="F8807" s="2">
        <v>2</v>
      </c>
      <c r="G8807" s="2" t="s">
        <v>12</v>
      </c>
    </row>
    <row r="8808" spans="1:8" x14ac:dyDescent="0.2">
      <c r="A8808" s="2" t="s">
        <v>3240</v>
      </c>
      <c r="B8808" s="2" t="s">
        <v>20</v>
      </c>
      <c r="C8808" s="2">
        <v>649.64919999999995</v>
      </c>
      <c r="D8808" s="2">
        <f>HYPERLINK("http://mcb-m6.bioreg.kyushu-u.ac.jp/M3/20110418/F50984/1881/1", 78.46)</f>
        <v>78.459999999999994</v>
      </c>
      <c r="E8808" s="2">
        <v>57.59</v>
      </c>
      <c r="F8808" s="2">
        <v>2</v>
      </c>
      <c r="G8808" s="2" t="s">
        <v>12</v>
      </c>
    </row>
    <row r="8809" spans="1:8" x14ac:dyDescent="0.2">
      <c r="A8809" s="2" t="s">
        <v>3240</v>
      </c>
      <c r="B8809" s="2" t="s">
        <v>1392</v>
      </c>
      <c r="C8809" s="2">
        <v>790.59670000000006</v>
      </c>
      <c r="D8809" s="2">
        <f>HYPERLINK("http://mcb-m6.bioreg.kyushu-u.ac.jp/M3/20110418/F50988/2321/1", 78.91)</f>
        <v>78.91</v>
      </c>
      <c r="E8809" s="2">
        <v>65.959999999999994</v>
      </c>
      <c r="F8809" s="2">
        <v>2</v>
      </c>
      <c r="G8809" s="2" t="s">
        <v>12</v>
      </c>
    </row>
    <row r="8810" spans="1:8" x14ac:dyDescent="0.2">
      <c r="A8810" s="2" t="s">
        <v>3240</v>
      </c>
      <c r="B8810" s="2" t="s">
        <v>20</v>
      </c>
      <c r="C8810" s="2">
        <v>649.60519999999997</v>
      </c>
      <c r="D8810" s="2">
        <f>HYPERLINK("http://mcb-m6.bioreg.kyushu-u.ac.jp/M3/20110418/F50987/1847/1", 79.93)</f>
        <v>79.930000000000007</v>
      </c>
      <c r="E8810" s="2">
        <v>60.82</v>
      </c>
      <c r="F8810" s="2">
        <v>2</v>
      </c>
      <c r="G8810" s="2" t="s">
        <v>12</v>
      </c>
    </row>
    <row r="8811" spans="1:8" x14ac:dyDescent="0.2">
      <c r="A8811" s="2" t="s">
        <v>3240</v>
      </c>
      <c r="B8811" s="2" t="s">
        <v>1392</v>
      </c>
      <c r="C8811" s="2">
        <v>798.21720000000005</v>
      </c>
      <c r="D8811" s="2">
        <f>HYPERLINK("http://mcb-m6.bioreg.kyushu-u.ac.jp/M3/20110418/F50986/2402/1", 85.42)</f>
        <v>85.42</v>
      </c>
      <c r="E8811" s="2">
        <v>70.83</v>
      </c>
      <c r="F8811" s="2">
        <v>2</v>
      </c>
      <c r="G8811" s="2" t="s">
        <v>12</v>
      </c>
      <c r="H8811" s="2" t="s">
        <v>4912</v>
      </c>
    </row>
    <row r="8812" spans="1:8" x14ac:dyDescent="0.2">
      <c r="A8812" s="2" t="s">
        <v>3240</v>
      </c>
      <c r="B8812" s="2" t="s">
        <v>1392</v>
      </c>
      <c r="C8812" s="2">
        <v>790.21310000000005</v>
      </c>
      <c r="D8812" s="2">
        <f>HYPERLINK("http://mcb-m6.bioreg.kyushu-u.ac.jp/M3/20110418/F50984/2250/1", 94.83)</f>
        <v>94.83</v>
      </c>
      <c r="E8812" s="2">
        <v>72.22</v>
      </c>
      <c r="F8812" s="2">
        <v>2</v>
      </c>
      <c r="G8812" s="2" t="s">
        <v>12</v>
      </c>
    </row>
    <row r="8813" spans="1:8" x14ac:dyDescent="0.2">
      <c r="A8813" s="2" t="s">
        <v>3240</v>
      </c>
      <c r="B8813" s="2" t="s">
        <v>1392</v>
      </c>
      <c r="C8813" s="2">
        <v>790.31320000000005</v>
      </c>
      <c r="D8813" s="2">
        <f>HYPERLINK("http://mcb-m6.bioreg.kyushu-u.ac.jp/M3/20110418/F50986/2376/1", 94.86)</f>
        <v>94.86</v>
      </c>
      <c r="E8813" s="2">
        <v>81.319999999999993</v>
      </c>
      <c r="F8813" s="2">
        <v>2</v>
      </c>
      <c r="G8813" s="2" t="s">
        <v>12</v>
      </c>
    </row>
    <row r="8814" spans="1:8" x14ac:dyDescent="0.2">
      <c r="A8814" s="2" t="s">
        <v>3240</v>
      </c>
      <c r="B8814" s="2" t="s">
        <v>1392</v>
      </c>
      <c r="C8814" s="2">
        <v>790.44870000000003</v>
      </c>
      <c r="D8814" s="2">
        <f>HYPERLINK("http://mcb-m6.bioreg.kyushu-u.ac.jp/M3/20110418/F50985/2347/1", 100.28)</f>
        <v>100.28</v>
      </c>
      <c r="E8814" s="2">
        <v>85.42</v>
      </c>
      <c r="F8814" s="2">
        <v>2</v>
      </c>
      <c r="G8814" s="2" t="s">
        <v>12</v>
      </c>
    </row>
    <row r="8815" spans="1:8" x14ac:dyDescent="0.2">
      <c r="A8815" s="2" t="s">
        <v>3240</v>
      </c>
      <c r="B8815" s="2" t="s">
        <v>1392</v>
      </c>
      <c r="C8815" s="2">
        <v>790.2491</v>
      </c>
      <c r="D8815" s="2">
        <f>HYPERLINK("http://mcb-m6.bioreg.kyushu-u.ac.jp/M3/20110418/F50989/2235/1", 103.37)</f>
        <v>103.37</v>
      </c>
      <c r="E8815" s="2">
        <v>82.53</v>
      </c>
      <c r="F8815" s="2">
        <v>2</v>
      </c>
      <c r="G8815" s="2" t="s">
        <v>12</v>
      </c>
    </row>
    <row r="8816" spans="1:8" x14ac:dyDescent="0.2">
      <c r="A8816" s="2" t="s">
        <v>3240</v>
      </c>
      <c r="B8816" s="2" t="s">
        <v>1392</v>
      </c>
      <c r="C8816" s="2">
        <v>790.3777</v>
      </c>
      <c r="D8816" s="2">
        <f>HYPERLINK("http://mcb-m6.bioreg.kyushu-u.ac.jp/M3/20110418/F51002/2205/1", 108.18)</f>
        <v>108.18</v>
      </c>
      <c r="E8816" s="2">
        <v>94.15</v>
      </c>
      <c r="F8816" s="2">
        <v>2</v>
      </c>
      <c r="G8816" s="2" t="s">
        <v>12</v>
      </c>
    </row>
    <row r="8817" spans="1:7" x14ac:dyDescent="0.2">
      <c r="A8817" s="2" t="s">
        <v>3240</v>
      </c>
      <c r="B8817" s="2" t="s">
        <v>20</v>
      </c>
      <c r="C8817" s="2">
        <v>650.41610000000003</v>
      </c>
      <c r="D8817" s="2">
        <f>HYPERLINK("http://mcb-m6.bioreg.kyushu-u.ac.jp/M3/20110429/F51154/1468/1", 35.41)</f>
        <v>35.409999999999997</v>
      </c>
      <c r="E8817" s="2">
        <v>19.84</v>
      </c>
      <c r="F8817" s="2">
        <v>2</v>
      </c>
      <c r="G8817" s="2" t="s">
        <v>13</v>
      </c>
    </row>
    <row r="8818" spans="1:7" x14ac:dyDescent="0.2">
      <c r="A8818" s="2" t="s">
        <v>3240</v>
      </c>
      <c r="B8818" s="2" t="s">
        <v>20</v>
      </c>
      <c r="C8818" s="2">
        <v>1298.6590000000001</v>
      </c>
      <c r="D8818" s="2">
        <f>HYPERLINK("http://mcb-m6.bioreg.kyushu-u.ac.jp/M3/20110429/F51157/1274/1", 35.75)</f>
        <v>35.75</v>
      </c>
      <c r="E8818" s="2">
        <v>17.8</v>
      </c>
      <c r="F8818" s="2">
        <v>1</v>
      </c>
      <c r="G8818" s="2" t="s">
        <v>13</v>
      </c>
    </row>
    <row r="8819" spans="1:7" x14ac:dyDescent="0.2">
      <c r="A8819" s="2" t="s">
        <v>3240</v>
      </c>
      <c r="B8819" s="2" t="s">
        <v>20</v>
      </c>
      <c r="C8819" s="2">
        <v>650.35059999999999</v>
      </c>
      <c r="D8819" s="2">
        <f>HYPERLINK("http://mcb-m6.bioreg.kyushu-u.ac.jp/M3/20110502/F51158/1432/1", 35.93)</f>
        <v>35.93</v>
      </c>
      <c r="E8819" s="2">
        <v>14.28</v>
      </c>
      <c r="F8819" s="2">
        <v>2</v>
      </c>
      <c r="G8819" s="2" t="s">
        <v>13</v>
      </c>
    </row>
    <row r="8820" spans="1:7" x14ac:dyDescent="0.2">
      <c r="A8820" s="2" t="s">
        <v>3240</v>
      </c>
      <c r="B8820" s="2" t="s">
        <v>20</v>
      </c>
      <c r="C8820" s="2">
        <v>650.31820000000005</v>
      </c>
      <c r="D8820" s="2">
        <f>HYPERLINK("http://mcb-m6.bioreg.kyushu-u.ac.jp/M3/20110429/F51157/1277/1", 38.01)</f>
        <v>38.01</v>
      </c>
      <c r="E8820" s="2">
        <v>21.51</v>
      </c>
      <c r="F8820" s="2">
        <v>2</v>
      </c>
      <c r="G8820" s="2" t="s">
        <v>13</v>
      </c>
    </row>
    <row r="8821" spans="1:7" x14ac:dyDescent="0.2">
      <c r="A8821" s="2" t="s">
        <v>3240</v>
      </c>
      <c r="B8821" s="2" t="s">
        <v>20</v>
      </c>
      <c r="C8821" s="2">
        <v>1299.175</v>
      </c>
      <c r="D8821" s="2">
        <f>HYPERLINK("http://mcb-m6.bioreg.kyushu-u.ac.jp/M3/20110502/F51164/1210/1", 41.92)</f>
        <v>41.92</v>
      </c>
      <c r="E8821" s="2">
        <v>26.15</v>
      </c>
      <c r="F8821" s="2">
        <v>1</v>
      </c>
      <c r="G8821" s="2" t="s">
        <v>13</v>
      </c>
    </row>
    <row r="8822" spans="1:7" x14ac:dyDescent="0.2">
      <c r="A8822" s="2" t="s">
        <v>3240</v>
      </c>
      <c r="B8822" s="2" t="s">
        <v>20</v>
      </c>
      <c r="C8822" s="2">
        <v>650.32259999999997</v>
      </c>
      <c r="D8822" s="2">
        <f>HYPERLINK("http://mcb-m6.bioreg.kyushu-u.ac.jp/M3/20110429/F51156/1539/1", 57.32)</f>
        <v>57.32</v>
      </c>
      <c r="E8822" s="2">
        <v>30.06</v>
      </c>
      <c r="F8822" s="2">
        <v>2</v>
      </c>
      <c r="G8822" s="2" t="s">
        <v>13</v>
      </c>
    </row>
    <row r="8823" spans="1:7" x14ac:dyDescent="0.2">
      <c r="A8823" s="2" t="s">
        <v>3240</v>
      </c>
      <c r="B8823" s="2" t="s">
        <v>1392</v>
      </c>
      <c r="C8823" s="2">
        <v>790.79719999999998</v>
      </c>
      <c r="D8823" s="2">
        <f>HYPERLINK("http://mcb-m6.bioreg.kyushu-u.ac.jp/M3/20110429/F51157/2009/1", 59.65)</f>
        <v>59.65</v>
      </c>
      <c r="E8823" s="2">
        <v>50.63</v>
      </c>
      <c r="F8823" s="2">
        <v>2</v>
      </c>
      <c r="G8823" s="2" t="s">
        <v>13</v>
      </c>
    </row>
    <row r="8824" spans="1:7" x14ac:dyDescent="0.2">
      <c r="A8824" s="2" t="s">
        <v>3240</v>
      </c>
      <c r="B8824" s="2" t="s">
        <v>20</v>
      </c>
      <c r="C8824" s="2">
        <v>650.21619999999996</v>
      </c>
      <c r="D8824" s="2">
        <f>HYPERLINK("http://mcb-m6.bioreg.kyushu-u.ac.jp/M3/20110429/F51155/1843/1", 62.84)</f>
        <v>62.84</v>
      </c>
      <c r="E8824" s="2">
        <v>32.49</v>
      </c>
      <c r="F8824" s="2">
        <v>2</v>
      </c>
      <c r="G8824" s="2" t="s">
        <v>13</v>
      </c>
    </row>
    <row r="8825" spans="1:7" x14ac:dyDescent="0.2">
      <c r="A8825" s="2" t="s">
        <v>3240</v>
      </c>
      <c r="B8825" s="2" t="s">
        <v>20</v>
      </c>
      <c r="C8825" s="2">
        <v>650.32820000000004</v>
      </c>
      <c r="D8825" s="2">
        <f>HYPERLINK("http://mcb-m6.bioreg.kyushu-u.ac.jp/M3/20110429/F51149/1809/1", 62.91)</f>
        <v>62.91</v>
      </c>
      <c r="E8825" s="2">
        <v>33.82</v>
      </c>
      <c r="F8825" s="2">
        <v>2</v>
      </c>
      <c r="G8825" s="2" t="s">
        <v>13</v>
      </c>
    </row>
    <row r="8826" spans="1:7" x14ac:dyDescent="0.2">
      <c r="A8826" s="2" t="s">
        <v>3240</v>
      </c>
      <c r="B8826" s="2" t="s">
        <v>20</v>
      </c>
      <c r="C8826" s="2">
        <v>650.24570000000006</v>
      </c>
      <c r="D8826" s="2">
        <f>HYPERLINK("http://mcb-m6.bioreg.kyushu-u.ac.jp/M3/20110429/F51153/1391/1", 62.92)</f>
        <v>62.92</v>
      </c>
      <c r="E8826" s="2">
        <v>30.93</v>
      </c>
      <c r="F8826" s="2">
        <v>2</v>
      </c>
      <c r="G8826" s="2" t="s">
        <v>13</v>
      </c>
    </row>
    <row r="8827" spans="1:7" x14ac:dyDescent="0.2">
      <c r="A8827" s="2" t="s">
        <v>3240</v>
      </c>
      <c r="B8827" s="2" t="s">
        <v>20</v>
      </c>
      <c r="C8827" s="2">
        <v>650.07209999999998</v>
      </c>
      <c r="D8827" s="2">
        <f>HYPERLINK("http://mcb-m6.bioreg.kyushu-u.ac.jp/M3/20110429/F51151/1753/1", 65.68)</f>
        <v>65.680000000000007</v>
      </c>
      <c r="E8827" s="2">
        <v>33.39</v>
      </c>
      <c r="F8827" s="2">
        <v>2</v>
      </c>
      <c r="G8827" s="2" t="s">
        <v>13</v>
      </c>
    </row>
    <row r="8828" spans="1:7" x14ac:dyDescent="0.2">
      <c r="A8828" s="2" t="s">
        <v>3240</v>
      </c>
      <c r="B8828" s="2" t="s">
        <v>20</v>
      </c>
      <c r="C8828" s="2">
        <v>650.13319999999999</v>
      </c>
      <c r="D8828" s="2">
        <f>HYPERLINK("http://mcb-m6.bioreg.kyushu-u.ac.jp/M3/20110429/F51152/1460/1", 67.21)</f>
        <v>67.209999999999994</v>
      </c>
      <c r="E8828" s="2">
        <v>39.71</v>
      </c>
      <c r="F8828" s="2">
        <v>2</v>
      </c>
      <c r="G8828" s="2" t="s">
        <v>13</v>
      </c>
    </row>
    <row r="8829" spans="1:7" x14ac:dyDescent="0.2">
      <c r="A8829" s="2" t="s">
        <v>3240</v>
      </c>
      <c r="B8829" s="2" t="s">
        <v>20</v>
      </c>
      <c r="C8829" s="2">
        <v>650.2527</v>
      </c>
      <c r="D8829" s="2">
        <f>HYPERLINK("http://mcb-m6.bioreg.kyushu-u.ac.jp/M3/20110429/F51155/1844/1", 67.51)</f>
        <v>67.510000000000005</v>
      </c>
      <c r="E8829" s="2">
        <v>34.21</v>
      </c>
      <c r="F8829" s="2">
        <v>2</v>
      </c>
      <c r="G8829" s="2" t="s">
        <v>13</v>
      </c>
    </row>
    <row r="8830" spans="1:7" x14ac:dyDescent="0.2">
      <c r="A8830" s="2" t="s">
        <v>3240</v>
      </c>
      <c r="B8830" s="2" t="s">
        <v>20</v>
      </c>
      <c r="C8830" s="2">
        <v>650.1191</v>
      </c>
      <c r="D8830" s="2">
        <f>HYPERLINK("http://mcb-m6.bioreg.kyushu-u.ac.jp/M3/20110429/F51149/1807/1", 68.06)</f>
        <v>68.06</v>
      </c>
      <c r="E8830" s="2">
        <v>34.82</v>
      </c>
      <c r="F8830" s="2">
        <v>2</v>
      </c>
      <c r="G8830" s="2" t="s">
        <v>13</v>
      </c>
    </row>
    <row r="8831" spans="1:7" x14ac:dyDescent="0.2">
      <c r="A8831" s="2" t="s">
        <v>3240</v>
      </c>
      <c r="B8831" s="2" t="s">
        <v>20</v>
      </c>
      <c r="C8831" s="2">
        <v>650.18370000000004</v>
      </c>
      <c r="D8831" s="2">
        <f>HYPERLINK("http://mcb-m6.bioreg.kyushu-u.ac.jp/M3/20110429/F51154/1467/1", 69.45)</f>
        <v>69.45</v>
      </c>
      <c r="E8831" s="2">
        <v>36.14</v>
      </c>
      <c r="F8831" s="2">
        <v>2</v>
      </c>
      <c r="G8831" s="2" t="s">
        <v>13</v>
      </c>
    </row>
    <row r="8832" spans="1:7" x14ac:dyDescent="0.2">
      <c r="A8832" s="2" t="s">
        <v>3240</v>
      </c>
      <c r="B8832" s="2" t="s">
        <v>20</v>
      </c>
      <c r="C8832" s="2">
        <v>649.99109999999996</v>
      </c>
      <c r="D8832" s="2">
        <f>HYPERLINK("http://mcb-m6.bioreg.kyushu-u.ac.jp/M3/20110428/F51147/1665/1", 70.91)</f>
        <v>70.91</v>
      </c>
      <c r="E8832" s="2">
        <v>43.51</v>
      </c>
      <c r="F8832" s="2">
        <v>2</v>
      </c>
      <c r="G8832" s="2" t="s">
        <v>13</v>
      </c>
    </row>
    <row r="8833" spans="1:8" x14ac:dyDescent="0.2">
      <c r="A8833" s="2" t="s">
        <v>3240</v>
      </c>
      <c r="B8833" s="2" t="s">
        <v>1392</v>
      </c>
      <c r="C8833" s="2">
        <v>798.30359999999996</v>
      </c>
      <c r="D8833" s="2">
        <f>HYPERLINK("http://mcb-m6.bioreg.kyushu-u.ac.jp/M3/20110429/F51154/2355/1", 72.65)</f>
        <v>72.650000000000006</v>
      </c>
      <c r="E8833" s="2">
        <v>57.8</v>
      </c>
      <c r="F8833" s="2">
        <v>2</v>
      </c>
      <c r="G8833" s="2" t="s">
        <v>13</v>
      </c>
      <c r="H8833" s="2" t="s">
        <v>4912</v>
      </c>
    </row>
    <row r="8834" spans="1:8" x14ac:dyDescent="0.2">
      <c r="A8834" s="2" t="s">
        <v>3240</v>
      </c>
      <c r="B8834" s="2" t="s">
        <v>20</v>
      </c>
      <c r="C8834" s="2">
        <v>650.21010000000001</v>
      </c>
      <c r="D8834" s="2">
        <f>HYPERLINK("http://mcb-m6.bioreg.kyushu-u.ac.jp/M3/20110502/F51158/1431/1", 72.73)</f>
        <v>72.73</v>
      </c>
      <c r="E8834" s="2">
        <v>49.5</v>
      </c>
      <c r="F8834" s="2">
        <v>2</v>
      </c>
      <c r="G8834" s="2" t="s">
        <v>13</v>
      </c>
    </row>
    <row r="8835" spans="1:8" x14ac:dyDescent="0.2">
      <c r="A8835" s="2" t="s">
        <v>3240</v>
      </c>
      <c r="B8835" s="2" t="s">
        <v>20</v>
      </c>
      <c r="C8835" s="2">
        <v>649.76170000000002</v>
      </c>
      <c r="D8835" s="2">
        <f>HYPERLINK("http://mcb-m6.bioreg.kyushu-u.ac.jp/M3/20110429/F51157/1271/1", 73.82)</f>
        <v>73.819999999999993</v>
      </c>
      <c r="E8835" s="2">
        <v>45.06</v>
      </c>
      <c r="F8835" s="2">
        <v>2</v>
      </c>
      <c r="G8835" s="2" t="s">
        <v>13</v>
      </c>
    </row>
    <row r="8836" spans="1:8" x14ac:dyDescent="0.2">
      <c r="A8836" s="2" t="s">
        <v>3240</v>
      </c>
      <c r="B8836" s="2" t="s">
        <v>20</v>
      </c>
      <c r="C8836" s="2">
        <v>650.13670000000002</v>
      </c>
      <c r="D8836" s="2">
        <f>HYPERLINK("http://mcb-m6.bioreg.kyushu-u.ac.jp/M3/20110429/F51156/1538/1", 78.13)</f>
        <v>78.13</v>
      </c>
      <c r="E8836" s="2">
        <v>49.41</v>
      </c>
      <c r="F8836" s="2">
        <v>2</v>
      </c>
      <c r="G8836" s="2" t="s">
        <v>13</v>
      </c>
    </row>
    <row r="8837" spans="1:8" x14ac:dyDescent="0.2">
      <c r="A8837" s="2" t="s">
        <v>3240</v>
      </c>
      <c r="B8837" s="2" t="s">
        <v>20</v>
      </c>
      <c r="C8837" s="2">
        <v>649.88369999999998</v>
      </c>
      <c r="D8837" s="2">
        <f>HYPERLINK("http://mcb-m6.bioreg.kyushu-u.ac.jp/M3/20110502/F51158/1429/1", 78.99)</f>
        <v>78.989999999999995</v>
      </c>
      <c r="E8837" s="2">
        <v>39.65</v>
      </c>
      <c r="F8837" s="2">
        <v>2</v>
      </c>
      <c r="G8837" s="2" t="s">
        <v>13</v>
      </c>
    </row>
    <row r="8838" spans="1:8" x14ac:dyDescent="0.2">
      <c r="A8838" s="2" t="s">
        <v>3240</v>
      </c>
      <c r="B8838" s="2" t="s">
        <v>20</v>
      </c>
      <c r="C8838" s="2">
        <v>649.75710000000004</v>
      </c>
      <c r="D8838" s="2">
        <f>HYPERLINK("http://mcb-m6.bioreg.kyushu-u.ac.jp/M3/20110429/F51156/1534/1", 81.42)</f>
        <v>81.42</v>
      </c>
      <c r="E8838" s="2">
        <v>56.42</v>
      </c>
      <c r="F8838" s="2">
        <v>2</v>
      </c>
      <c r="G8838" s="2" t="s">
        <v>13</v>
      </c>
    </row>
    <row r="8839" spans="1:8" x14ac:dyDescent="0.2">
      <c r="A8839" s="2" t="s">
        <v>3240</v>
      </c>
      <c r="B8839" s="2" t="s">
        <v>20</v>
      </c>
      <c r="C8839" s="2">
        <v>649.74519999999995</v>
      </c>
      <c r="D8839" s="2">
        <f>HYPERLINK("http://mcb-m6.bioreg.kyushu-u.ac.jp/M3/20110429/F51157/1270/1", 82.86)</f>
        <v>82.86</v>
      </c>
      <c r="E8839" s="2">
        <v>60.22</v>
      </c>
      <c r="F8839" s="2">
        <v>2</v>
      </c>
      <c r="G8839" s="2" t="s">
        <v>13</v>
      </c>
    </row>
    <row r="8840" spans="1:8" x14ac:dyDescent="0.2">
      <c r="A8840" s="2" t="s">
        <v>3240</v>
      </c>
      <c r="B8840" s="2" t="s">
        <v>20</v>
      </c>
      <c r="C8840" s="2">
        <v>649.56119999999999</v>
      </c>
      <c r="D8840" s="2">
        <f>HYPERLINK("http://mcb-m6.bioreg.kyushu-u.ac.jp/M3/20110429/F51151/1752/1", 82.88)</f>
        <v>82.88</v>
      </c>
      <c r="E8840" s="2">
        <v>56.63</v>
      </c>
      <c r="F8840" s="2">
        <v>2</v>
      </c>
      <c r="G8840" s="2" t="s">
        <v>13</v>
      </c>
    </row>
    <row r="8841" spans="1:8" x14ac:dyDescent="0.2">
      <c r="A8841" s="2" t="s">
        <v>3240</v>
      </c>
      <c r="B8841" s="2" t="s">
        <v>20</v>
      </c>
      <c r="C8841" s="2">
        <v>649.61019999999996</v>
      </c>
      <c r="D8841" s="2">
        <f>HYPERLINK("http://mcb-m6.bioreg.kyushu-u.ac.jp/M3/20110429/F51150/1782/1", 83.08)</f>
        <v>83.08</v>
      </c>
      <c r="E8841" s="2">
        <v>57.21</v>
      </c>
      <c r="F8841" s="2">
        <v>2</v>
      </c>
      <c r="G8841" s="2" t="s">
        <v>13</v>
      </c>
    </row>
    <row r="8842" spans="1:8" x14ac:dyDescent="0.2">
      <c r="A8842" s="2" t="s">
        <v>3240</v>
      </c>
      <c r="B8842" s="2" t="s">
        <v>20</v>
      </c>
      <c r="C8842" s="2">
        <v>649.72270000000003</v>
      </c>
      <c r="D8842" s="2">
        <f>HYPERLINK("http://mcb-m6.bioreg.kyushu-u.ac.jp/M3/20110429/F51155/1841/1", 83.28)</f>
        <v>83.28</v>
      </c>
      <c r="E8842" s="2">
        <v>57.05</v>
      </c>
      <c r="F8842" s="2">
        <v>2</v>
      </c>
      <c r="G8842" s="2" t="s">
        <v>13</v>
      </c>
    </row>
    <row r="8843" spans="1:8" x14ac:dyDescent="0.2">
      <c r="A8843" s="2" t="s">
        <v>3240</v>
      </c>
      <c r="B8843" s="2" t="s">
        <v>20</v>
      </c>
      <c r="C8843" s="2">
        <v>649.92470000000003</v>
      </c>
      <c r="D8843" s="2">
        <f>HYPERLINK("http://mcb-m6.bioreg.kyushu-u.ac.jp/M3/20110502/F51164/1209/1", 83.98)</f>
        <v>83.98</v>
      </c>
      <c r="E8843" s="2">
        <v>54.24</v>
      </c>
      <c r="F8843" s="2">
        <v>2</v>
      </c>
      <c r="G8843" s="2" t="s">
        <v>13</v>
      </c>
    </row>
    <row r="8844" spans="1:8" x14ac:dyDescent="0.2">
      <c r="A8844" s="2" t="s">
        <v>3240</v>
      </c>
      <c r="B8844" s="2" t="s">
        <v>1392</v>
      </c>
      <c r="C8844" s="2">
        <v>790.71469999999999</v>
      </c>
      <c r="D8844" s="2">
        <f>HYPERLINK("http://mcb-m6.bioreg.kyushu-u.ac.jp/M3/20110429/F51152/2293/1", 84.7)</f>
        <v>84.7</v>
      </c>
      <c r="E8844" s="2">
        <v>67.069999999999993</v>
      </c>
      <c r="F8844" s="2">
        <v>2</v>
      </c>
      <c r="G8844" s="2" t="s">
        <v>13</v>
      </c>
    </row>
    <row r="8845" spans="1:8" x14ac:dyDescent="0.2">
      <c r="A8845" s="2" t="s">
        <v>3240</v>
      </c>
      <c r="B8845" s="2" t="s">
        <v>1392</v>
      </c>
      <c r="C8845" s="2">
        <v>798.71669999999995</v>
      </c>
      <c r="D8845" s="2">
        <f>HYPERLINK("http://mcb-m6.bioreg.kyushu-u.ac.jp/M3/20110429/F51151/2378/1", 85.62)</f>
        <v>85.62</v>
      </c>
      <c r="E8845" s="2">
        <v>68.56</v>
      </c>
      <c r="F8845" s="2">
        <v>2</v>
      </c>
      <c r="G8845" s="2" t="s">
        <v>13</v>
      </c>
      <c r="H8845" s="2" t="s">
        <v>4912</v>
      </c>
    </row>
    <row r="8846" spans="1:8" x14ac:dyDescent="0.2">
      <c r="A8846" s="2" t="s">
        <v>3240</v>
      </c>
      <c r="B8846" s="2" t="s">
        <v>1392</v>
      </c>
      <c r="C8846" s="2">
        <v>790.60019999999997</v>
      </c>
      <c r="D8846" s="2">
        <f>HYPERLINK("http://mcb-m6.bioreg.kyushu-u.ac.jp/M3/20110429/F51156/2224/1", 92.65)</f>
        <v>92.65</v>
      </c>
      <c r="E8846" s="2">
        <v>77.900000000000006</v>
      </c>
      <c r="F8846" s="2">
        <v>2</v>
      </c>
      <c r="G8846" s="2" t="s">
        <v>13</v>
      </c>
    </row>
    <row r="8847" spans="1:8" x14ac:dyDescent="0.2">
      <c r="A8847" s="2" t="s">
        <v>3240</v>
      </c>
      <c r="B8847" s="2" t="s">
        <v>1392</v>
      </c>
      <c r="C8847" s="2">
        <v>790.23220000000003</v>
      </c>
      <c r="D8847" s="2">
        <f>HYPERLINK("http://mcb-m6.bioreg.kyushu-u.ac.jp/M3/20110429/F51154/2308/1", 94.61)</f>
        <v>94.61</v>
      </c>
      <c r="E8847" s="2">
        <v>71.58</v>
      </c>
      <c r="F8847" s="2">
        <v>2</v>
      </c>
      <c r="G8847" s="2" t="s">
        <v>13</v>
      </c>
    </row>
    <row r="8848" spans="1:8" x14ac:dyDescent="0.2">
      <c r="A8848" s="2" t="s">
        <v>3240</v>
      </c>
      <c r="B8848" s="2" t="s">
        <v>1392</v>
      </c>
      <c r="C8848" s="2">
        <v>790.22059999999999</v>
      </c>
      <c r="D8848" s="2">
        <f>HYPERLINK("http://mcb-m6.bioreg.kyushu-u.ac.jp/M3/20110429/F51153/2383/1", 94.85)</f>
        <v>94.85</v>
      </c>
      <c r="E8848" s="2">
        <v>86.32</v>
      </c>
      <c r="F8848" s="2">
        <v>2</v>
      </c>
      <c r="G8848" s="2" t="s">
        <v>13</v>
      </c>
    </row>
    <row r="8849" spans="1:8" x14ac:dyDescent="0.2">
      <c r="A8849" s="2" t="s">
        <v>3240</v>
      </c>
      <c r="B8849" s="2" t="s">
        <v>1392</v>
      </c>
      <c r="C8849" s="2">
        <v>790.28309999999999</v>
      </c>
      <c r="D8849" s="2">
        <f>HYPERLINK("http://mcb-m6.bioreg.kyushu-u.ac.jp/M3/20110429/F51157/2008/1", 97.13)</f>
        <v>97.13</v>
      </c>
      <c r="E8849" s="2">
        <v>83.14</v>
      </c>
      <c r="F8849" s="2">
        <v>2</v>
      </c>
      <c r="G8849" s="2" t="s">
        <v>13</v>
      </c>
    </row>
    <row r="8850" spans="1:8" x14ac:dyDescent="0.2">
      <c r="A8850" s="2" t="s">
        <v>3240</v>
      </c>
      <c r="B8850" s="2" t="s">
        <v>1392</v>
      </c>
      <c r="C8850" s="2">
        <v>790.18020000000001</v>
      </c>
      <c r="D8850" s="2">
        <f>HYPERLINK("http://mcb-m6.bioreg.kyushu-u.ac.jp/M3/20110429/F51150/2321/1", 103.35)</f>
        <v>103.35</v>
      </c>
      <c r="E8850" s="2">
        <v>83.39</v>
      </c>
      <c r="F8850" s="2">
        <v>2</v>
      </c>
      <c r="G8850" s="2" t="s">
        <v>13</v>
      </c>
    </row>
    <row r="8851" spans="1:8" x14ac:dyDescent="0.2">
      <c r="A8851" s="2" t="s">
        <v>3240</v>
      </c>
      <c r="B8851" s="2" t="s">
        <v>1392</v>
      </c>
      <c r="C8851" s="2">
        <v>790.20920000000001</v>
      </c>
      <c r="D8851" s="2">
        <f>HYPERLINK("http://mcb-m6.bioreg.kyushu-u.ac.jp/M3/20110429/F51152/2290/1", 103.41)</f>
        <v>103.41</v>
      </c>
      <c r="E8851" s="2">
        <v>88.38</v>
      </c>
      <c r="F8851" s="2">
        <v>2</v>
      </c>
      <c r="G8851" s="2" t="s">
        <v>13</v>
      </c>
    </row>
    <row r="8852" spans="1:8" x14ac:dyDescent="0.2">
      <c r="A8852" s="2" t="s">
        <v>3240</v>
      </c>
      <c r="B8852" s="2" t="s">
        <v>1392</v>
      </c>
      <c r="C8852" s="2">
        <v>790.74620000000004</v>
      </c>
      <c r="D8852" s="2">
        <f>HYPERLINK("http://mcb-m6.bioreg.kyushu-u.ac.jp/M3/20110429/F51153/2386/1", 104.02)</f>
        <v>104.02</v>
      </c>
      <c r="E8852" s="2">
        <v>91.85</v>
      </c>
      <c r="F8852" s="2">
        <v>2</v>
      </c>
      <c r="G8852" s="2" t="s">
        <v>13</v>
      </c>
    </row>
    <row r="8853" spans="1:8" x14ac:dyDescent="0.2">
      <c r="A8853" s="2" t="s">
        <v>3240</v>
      </c>
      <c r="B8853" s="2" t="s">
        <v>1392</v>
      </c>
      <c r="C8853" s="2">
        <v>790.15009999999995</v>
      </c>
      <c r="D8853" s="2">
        <f>HYPERLINK("http://mcb-m6.bioreg.kyushu-u.ac.jp/M3/20110429/F51151/2337/1", 104.22)</f>
        <v>104.22</v>
      </c>
      <c r="E8853" s="2">
        <v>89.52</v>
      </c>
      <c r="F8853" s="2">
        <v>2</v>
      </c>
      <c r="G8853" s="2" t="s">
        <v>13</v>
      </c>
    </row>
    <row r="8854" spans="1:8" x14ac:dyDescent="0.2">
      <c r="A8854" s="2" t="s">
        <v>3240</v>
      </c>
      <c r="B8854" s="2" t="s">
        <v>1392</v>
      </c>
      <c r="C8854" s="2">
        <v>798.44069999999999</v>
      </c>
      <c r="D8854" s="2">
        <f>HYPERLINK("http://mcb-m6.bioreg.kyushu-u.ac.jp/M3/20110429/F51150/2347/1", 104.3)</f>
        <v>104.3</v>
      </c>
      <c r="E8854" s="2">
        <v>88.18</v>
      </c>
      <c r="F8854" s="2">
        <v>2</v>
      </c>
      <c r="G8854" s="2" t="s">
        <v>13</v>
      </c>
      <c r="H8854" s="2" t="s">
        <v>4912</v>
      </c>
    </row>
    <row r="8855" spans="1:8" x14ac:dyDescent="0.2">
      <c r="A8855" s="2" t="s">
        <v>3240</v>
      </c>
      <c r="B8855" s="2" t="s">
        <v>1392</v>
      </c>
      <c r="C8855" s="2">
        <v>798.55769999999995</v>
      </c>
      <c r="D8855" s="2">
        <f>HYPERLINK("http://mcb-m6.bioreg.kyushu-u.ac.jp/M3/20110429/F51157/2047/1", 104.43)</f>
        <v>104.43</v>
      </c>
      <c r="E8855" s="2">
        <v>91.97</v>
      </c>
      <c r="F8855" s="2">
        <v>2</v>
      </c>
      <c r="G8855" s="2" t="s">
        <v>13</v>
      </c>
      <c r="H8855" s="2" t="s">
        <v>4912</v>
      </c>
    </row>
    <row r="8856" spans="1:8" x14ac:dyDescent="0.2">
      <c r="A8856" s="2" t="s">
        <v>3240</v>
      </c>
      <c r="B8856" s="2" t="s">
        <v>1392</v>
      </c>
      <c r="C8856" s="2">
        <v>798.43960000000004</v>
      </c>
      <c r="D8856" s="2">
        <f>HYPERLINK("http://mcb-m6.bioreg.kyushu-u.ac.jp/M3/20110429/F51157/2045/1", 104.63)</f>
        <v>104.63</v>
      </c>
      <c r="E8856" s="2">
        <v>83.26</v>
      </c>
      <c r="F8856" s="2">
        <v>2</v>
      </c>
      <c r="G8856" s="2" t="s">
        <v>13</v>
      </c>
      <c r="H8856" s="2" t="s">
        <v>4912</v>
      </c>
    </row>
    <row r="8857" spans="1:8" x14ac:dyDescent="0.2">
      <c r="A8857" s="2" t="s">
        <v>3240</v>
      </c>
      <c r="B8857" s="2" t="s">
        <v>1392</v>
      </c>
      <c r="C8857" s="2">
        <v>798.40809999999999</v>
      </c>
      <c r="D8857" s="2">
        <f>HYPERLINK("http://mcb-m6.bioreg.kyushu-u.ac.jp/M3/20110502/F51164/2028/1", 108.76)</f>
        <v>108.76</v>
      </c>
      <c r="E8857" s="2">
        <v>92.94</v>
      </c>
      <c r="F8857" s="2">
        <v>2</v>
      </c>
      <c r="G8857" s="2" t="s">
        <v>13</v>
      </c>
      <c r="H8857" s="2" t="s">
        <v>4912</v>
      </c>
    </row>
    <row r="8858" spans="1:8" x14ac:dyDescent="0.2">
      <c r="A8858" s="2" t="s">
        <v>3240</v>
      </c>
      <c r="B8858" s="2" t="s">
        <v>1392</v>
      </c>
      <c r="C8858" s="2">
        <v>798.36720000000003</v>
      </c>
      <c r="D8858" s="2">
        <f>HYPERLINK("http://mcb-m6.bioreg.kyushu-u.ac.jp/M3/20110429/F51149/2201/1", 112.6)</f>
        <v>112.6</v>
      </c>
      <c r="E8858" s="2">
        <v>102.02</v>
      </c>
      <c r="F8858" s="2">
        <v>2</v>
      </c>
      <c r="G8858" s="2" t="s">
        <v>13</v>
      </c>
      <c r="H8858" s="2" t="s">
        <v>4912</v>
      </c>
    </row>
    <row r="8859" spans="1:8" x14ac:dyDescent="0.2">
      <c r="A8859" s="2" t="s">
        <v>3240</v>
      </c>
      <c r="B8859" s="2" t="s">
        <v>1392</v>
      </c>
      <c r="C8859" s="2">
        <v>798.53610000000003</v>
      </c>
      <c r="D8859" s="2">
        <f>HYPERLINK("http://mcb-m6.bioreg.kyushu-u.ac.jp/M3/20110502/F51158/2219/1", 112.69)</f>
        <v>112.69</v>
      </c>
      <c r="E8859" s="2">
        <v>96.25</v>
      </c>
      <c r="F8859" s="2">
        <v>2</v>
      </c>
      <c r="G8859" s="2" t="s">
        <v>13</v>
      </c>
      <c r="H8859" s="2" t="s">
        <v>4912</v>
      </c>
    </row>
    <row r="8860" spans="1:8" x14ac:dyDescent="0.2">
      <c r="A8860" s="2" t="s">
        <v>3240</v>
      </c>
      <c r="B8860" s="2" t="s">
        <v>1392</v>
      </c>
      <c r="C8860" s="2">
        <v>790.44119999999998</v>
      </c>
      <c r="D8860" s="2">
        <f>HYPERLINK("http://mcb-m6.bioreg.kyushu-u.ac.jp/M3/20110429/F51149/2174/1", 112.79)</f>
        <v>112.79</v>
      </c>
      <c r="E8860" s="2">
        <v>93.52</v>
      </c>
      <c r="F8860" s="2">
        <v>2</v>
      </c>
      <c r="G8860" s="2" t="s">
        <v>13</v>
      </c>
    </row>
    <row r="8861" spans="1:8" x14ac:dyDescent="0.2">
      <c r="A8861" s="2" t="s">
        <v>3240</v>
      </c>
      <c r="B8861" s="2" t="s">
        <v>1392</v>
      </c>
      <c r="C8861" s="2">
        <v>798.40219999999999</v>
      </c>
      <c r="D8861" s="2">
        <f>HYPERLINK("http://mcb-m6.bioreg.kyushu-u.ac.jp/M3/20110429/F51153/2445/1", 112.82)</f>
        <v>112.82</v>
      </c>
      <c r="E8861" s="2">
        <v>98.89</v>
      </c>
      <c r="F8861" s="2">
        <v>2</v>
      </c>
      <c r="G8861" s="2" t="s">
        <v>13</v>
      </c>
      <c r="H8861" s="2" t="s">
        <v>4912</v>
      </c>
    </row>
    <row r="8862" spans="1:8" x14ac:dyDescent="0.2">
      <c r="A8862" s="2" t="s">
        <v>3240</v>
      </c>
      <c r="B8862" s="2" t="s">
        <v>1392</v>
      </c>
      <c r="C8862" s="2">
        <v>790.51260000000002</v>
      </c>
      <c r="D8862" s="2">
        <f>HYPERLINK("http://mcb-m6.bioreg.kyushu-u.ac.jp/M3/20110428/F51146/2279/1", 117.43)</f>
        <v>117.43</v>
      </c>
      <c r="E8862" s="2">
        <v>98.87</v>
      </c>
      <c r="F8862" s="2">
        <v>2</v>
      </c>
      <c r="G8862" s="2" t="s">
        <v>13</v>
      </c>
    </row>
    <row r="8863" spans="1:8" x14ac:dyDescent="0.2">
      <c r="A8863" s="2" t="s">
        <v>3240</v>
      </c>
      <c r="B8863" s="2" t="s">
        <v>1392</v>
      </c>
      <c r="C8863" s="2">
        <v>798.11720000000003</v>
      </c>
      <c r="D8863" s="2">
        <f>HYPERLINK("http://mcb-m6.bioreg.kyushu-u.ac.jp/M3/20110429/F51151/2373/1", 117.55)</f>
        <v>117.55</v>
      </c>
      <c r="E8863" s="2">
        <v>96.62</v>
      </c>
      <c r="F8863" s="2">
        <v>2</v>
      </c>
      <c r="G8863" s="2" t="s">
        <v>13</v>
      </c>
      <c r="H8863" s="2" t="s">
        <v>4912</v>
      </c>
    </row>
    <row r="8864" spans="1:8" x14ac:dyDescent="0.2">
      <c r="A8864" s="2" t="s">
        <v>3240</v>
      </c>
      <c r="B8864" s="2" t="s">
        <v>1392</v>
      </c>
      <c r="C8864" s="2">
        <v>798.20259999999996</v>
      </c>
      <c r="D8864" s="2">
        <f>HYPERLINK("http://mcb-m6.bioreg.kyushu-u.ac.jp/M3/20110429/F51152/2324/1", 117.67)</f>
        <v>117.67</v>
      </c>
      <c r="E8864" s="2">
        <v>99.71</v>
      </c>
      <c r="F8864" s="2">
        <v>2</v>
      </c>
      <c r="G8864" s="2" t="s">
        <v>13</v>
      </c>
      <c r="H8864" s="2" t="s">
        <v>4912</v>
      </c>
    </row>
    <row r="8865" spans="1:7" x14ac:dyDescent="0.2">
      <c r="A8865" s="2" t="s">
        <v>3240</v>
      </c>
      <c r="B8865" s="2" t="s">
        <v>1392</v>
      </c>
      <c r="C8865" s="2">
        <v>790.49659999999994</v>
      </c>
      <c r="D8865" s="2">
        <f>HYPERLINK("http://mcb-m6.bioreg.kyushu-u.ac.jp/M3/20110502/F51158/2177/1", 123.72)</f>
        <v>123.72</v>
      </c>
      <c r="E8865" s="2">
        <v>104.64</v>
      </c>
      <c r="F8865" s="2">
        <v>2</v>
      </c>
      <c r="G8865" s="2" t="s">
        <v>13</v>
      </c>
    </row>
    <row r="8866" spans="1:7" x14ac:dyDescent="0.2">
      <c r="A8866" s="2" t="s">
        <v>3240</v>
      </c>
      <c r="B8866" s="2" t="s">
        <v>20</v>
      </c>
      <c r="C8866" s="2">
        <v>1298.7239999999999</v>
      </c>
      <c r="D8866" s="2">
        <f>HYPERLINK("http://mcb-m6.bioreg.kyushu-u.ac.jp/M3/20110428/F51141/1397/1", 38.73)</f>
        <v>38.729999999999997</v>
      </c>
      <c r="E8866" s="2">
        <v>24.07</v>
      </c>
      <c r="F8866" s="2">
        <v>1</v>
      </c>
      <c r="G8866" s="2" t="s">
        <v>14</v>
      </c>
    </row>
    <row r="8867" spans="1:7" x14ac:dyDescent="0.2">
      <c r="A8867" s="2" t="s">
        <v>3240</v>
      </c>
      <c r="B8867" s="2" t="s">
        <v>20</v>
      </c>
      <c r="C8867" s="2">
        <v>649.99570000000006</v>
      </c>
      <c r="D8867" s="2">
        <f>HYPERLINK("http://mcb-m6.bioreg.kyushu-u.ac.jp/M3/20110502/F51160/1301/1", 52.64)</f>
        <v>52.64</v>
      </c>
      <c r="E8867" s="2">
        <v>31.82</v>
      </c>
      <c r="F8867" s="2">
        <v>2</v>
      </c>
      <c r="G8867" s="2" t="s">
        <v>14</v>
      </c>
    </row>
    <row r="8868" spans="1:7" x14ac:dyDescent="0.2">
      <c r="A8868" s="2" t="s">
        <v>3240</v>
      </c>
      <c r="B8868" s="2" t="s">
        <v>20</v>
      </c>
      <c r="C8868" s="2">
        <v>650.3442</v>
      </c>
      <c r="D8868" s="2">
        <f>HYPERLINK("http://mcb-m6.bioreg.kyushu-u.ac.jp/M3/20110428/F51139/1854/1", 63.31)</f>
        <v>63.31</v>
      </c>
      <c r="E8868" s="2">
        <v>38.26</v>
      </c>
      <c r="F8868" s="2">
        <v>2</v>
      </c>
      <c r="G8868" s="2" t="s">
        <v>14</v>
      </c>
    </row>
    <row r="8869" spans="1:7" x14ac:dyDescent="0.2">
      <c r="A8869" s="2" t="s">
        <v>3240</v>
      </c>
      <c r="B8869" s="2" t="s">
        <v>20</v>
      </c>
      <c r="C8869" s="2">
        <v>649.81269999999995</v>
      </c>
      <c r="D8869" s="2">
        <f>HYPERLINK("http://mcb-m6.bioreg.kyushu-u.ac.jp/M3/20110428/F51140/1492/1", 65.32)</f>
        <v>65.319999999999993</v>
      </c>
      <c r="E8869" s="2">
        <v>37.72</v>
      </c>
      <c r="F8869" s="2">
        <v>2</v>
      </c>
      <c r="G8869" s="2" t="s">
        <v>14</v>
      </c>
    </row>
    <row r="8870" spans="1:7" x14ac:dyDescent="0.2">
      <c r="A8870" s="2" t="s">
        <v>3240</v>
      </c>
      <c r="B8870" s="2" t="s">
        <v>20</v>
      </c>
      <c r="C8870" s="2">
        <v>649.80359999999996</v>
      </c>
      <c r="D8870" s="2">
        <f>HYPERLINK("http://mcb-m6.bioreg.kyushu-u.ac.jp/M3/20110428/F51144/1767/1", 65.9)</f>
        <v>65.900000000000006</v>
      </c>
      <c r="E8870" s="2">
        <v>47.97</v>
      </c>
      <c r="F8870" s="2">
        <v>2</v>
      </c>
      <c r="G8870" s="2" t="s">
        <v>14</v>
      </c>
    </row>
    <row r="8871" spans="1:7" x14ac:dyDescent="0.2">
      <c r="A8871" s="2" t="s">
        <v>3240</v>
      </c>
      <c r="B8871" s="2" t="s">
        <v>20</v>
      </c>
      <c r="C8871" s="2">
        <v>649.84519999999998</v>
      </c>
      <c r="D8871" s="2">
        <f>HYPERLINK("http://mcb-m6.bioreg.kyushu-u.ac.jp/M3/20110428/F51137/1968/1", 66.06)</f>
        <v>66.06</v>
      </c>
      <c r="E8871" s="2">
        <v>39.520000000000003</v>
      </c>
      <c r="F8871" s="2">
        <v>2</v>
      </c>
      <c r="G8871" s="2" t="s">
        <v>14</v>
      </c>
    </row>
    <row r="8872" spans="1:7" x14ac:dyDescent="0.2">
      <c r="A8872" s="2" t="s">
        <v>3240</v>
      </c>
      <c r="B8872" s="2" t="s">
        <v>20</v>
      </c>
      <c r="C8872" s="2">
        <v>650.36569999999995</v>
      </c>
      <c r="D8872" s="2">
        <f>HYPERLINK("http://mcb-m6.bioreg.kyushu-u.ac.jp/M3/20110428/F51145/1719/1", 67.73)</f>
        <v>67.73</v>
      </c>
      <c r="E8872" s="2">
        <v>31.36</v>
      </c>
      <c r="F8872" s="2">
        <v>2</v>
      </c>
      <c r="G8872" s="2" t="s">
        <v>14</v>
      </c>
    </row>
    <row r="8873" spans="1:7" x14ac:dyDescent="0.2">
      <c r="A8873" s="2" t="s">
        <v>3240</v>
      </c>
      <c r="B8873" s="2" t="s">
        <v>20</v>
      </c>
      <c r="C8873" s="2">
        <v>649.88210000000004</v>
      </c>
      <c r="D8873" s="2">
        <f>HYPERLINK("http://mcb-m6.bioreg.kyushu-u.ac.jp/M3/20110428/F51143/1649/1", 67.98)</f>
        <v>67.98</v>
      </c>
      <c r="E8873" s="2">
        <v>44.08</v>
      </c>
      <c r="F8873" s="2">
        <v>2</v>
      </c>
      <c r="G8873" s="2" t="s">
        <v>14</v>
      </c>
    </row>
    <row r="8874" spans="1:7" x14ac:dyDescent="0.2">
      <c r="A8874" s="2" t="s">
        <v>3240</v>
      </c>
      <c r="B8874" s="2" t="s">
        <v>20</v>
      </c>
      <c r="C8874" s="2">
        <v>650.40419999999995</v>
      </c>
      <c r="D8874" s="2">
        <f>HYPERLINK("http://mcb-m6.bioreg.kyushu-u.ac.jp/M3/20110502/F51159/1603/1", 68.55)</f>
        <v>68.55</v>
      </c>
      <c r="E8874" s="2">
        <v>32.28</v>
      </c>
      <c r="F8874" s="2">
        <v>2</v>
      </c>
      <c r="G8874" s="2" t="s">
        <v>14</v>
      </c>
    </row>
    <row r="8875" spans="1:7" x14ac:dyDescent="0.2">
      <c r="A8875" s="2" t="s">
        <v>3240</v>
      </c>
      <c r="B8875" s="2" t="s">
        <v>20</v>
      </c>
      <c r="C8875" s="2">
        <v>649.80970000000002</v>
      </c>
      <c r="D8875" s="2">
        <f>HYPERLINK("http://mcb-m6.bioreg.kyushu-u.ac.jp/M3/20110428/F51141/1395/1", 69.06)</f>
        <v>69.06</v>
      </c>
      <c r="E8875" s="2">
        <v>49.85</v>
      </c>
      <c r="F8875" s="2">
        <v>2</v>
      </c>
      <c r="G8875" s="2" t="s">
        <v>14</v>
      </c>
    </row>
    <row r="8876" spans="1:7" x14ac:dyDescent="0.2">
      <c r="A8876" s="2" t="s">
        <v>3240</v>
      </c>
      <c r="B8876" s="2" t="s">
        <v>20</v>
      </c>
      <c r="C8876" s="2">
        <v>650.36410000000001</v>
      </c>
      <c r="D8876" s="2">
        <f>HYPERLINK("http://mcb-m6.bioreg.kyushu-u.ac.jp/M3/20110428/F51141/1399/1", 69.45)</f>
        <v>69.45</v>
      </c>
      <c r="E8876" s="2">
        <v>46.17</v>
      </c>
      <c r="F8876" s="2">
        <v>2</v>
      </c>
      <c r="G8876" s="2" t="s">
        <v>14</v>
      </c>
    </row>
    <row r="8877" spans="1:7" x14ac:dyDescent="0.2">
      <c r="A8877" s="2" t="s">
        <v>3240</v>
      </c>
      <c r="B8877" s="2" t="s">
        <v>20</v>
      </c>
      <c r="C8877" s="2">
        <v>650.35170000000005</v>
      </c>
      <c r="D8877" s="2">
        <f>HYPERLINK("http://mcb-m6.bioreg.kyushu-u.ac.jp/M3/20110428/F51142/1577/1", 72.47)</f>
        <v>72.47</v>
      </c>
      <c r="E8877" s="2">
        <v>44.47</v>
      </c>
      <c r="F8877" s="2">
        <v>2</v>
      </c>
      <c r="G8877" s="2" t="s">
        <v>14</v>
      </c>
    </row>
    <row r="8878" spans="1:7" x14ac:dyDescent="0.2">
      <c r="A8878" s="2" t="s">
        <v>3240</v>
      </c>
      <c r="B8878" s="2" t="s">
        <v>20</v>
      </c>
      <c r="C8878" s="2">
        <v>649.88459999999998</v>
      </c>
      <c r="D8878" s="2">
        <f>HYPERLINK("http://mcb-m6.bioreg.kyushu-u.ac.jp/M3/20110428/F51136/2088/1", 75.32)</f>
        <v>75.319999999999993</v>
      </c>
      <c r="E8878" s="2">
        <v>51.83</v>
      </c>
      <c r="F8878" s="2">
        <v>2</v>
      </c>
      <c r="G8878" s="2" t="s">
        <v>14</v>
      </c>
    </row>
    <row r="8879" spans="1:7" x14ac:dyDescent="0.2">
      <c r="A8879" s="2" t="s">
        <v>3240</v>
      </c>
      <c r="B8879" s="2" t="s">
        <v>20</v>
      </c>
      <c r="C8879" s="2">
        <v>649.8057</v>
      </c>
      <c r="D8879" s="2">
        <f>HYPERLINK("http://mcb-m6.bioreg.kyushu-u.ac.jp/M3/20110428/F51139/1852/1", 77.17)</f>
        <v>77.17</v>
      </c>
      <c r="E8879" s="2">
        <v>57.25</v>
      </c>
      <c r="F8879" s="2">
        <v>2</v>
      </c>
      <c r="G8879" s="2" t="s">
        <v>14</v>
      </c>
    </row>
    <row r="8880" spans="1:7" x14ac:dyDescent="0.2">
      <c r="A8880" s="2" t="s">
        <v>3240</v>
      </c>
      <c r="B8880" s="2" t="s">
        <v>20</v>
      </c>
      <c r="C8880" s="2">
        <v>649.89670000000001</v>
      </c>
      <c r="D8880" s="2">
        <f>HYPERLINK("http://mcb-m6.bioreg.kyushu-u.ac.jp/M3/20110428/F51141/1398/1", 78.11)</f>
        <v>78.11</v>
      </c>
      <c r="E8880" s="2">
        <v>51.3</v>
      </c>
      <c r="F8880" s="2">
        <v>2</v>
      </c>
      <c r="G8880" s="2" t="s">
        <v>14</v>
      </c>
    </row>
    <row r="8881" spans="1:9" x14ac:dyDescent="0.2">
      <c r="A8881" s="2" t="s">
        <v>3240</v>
      </c>
      <c r="B8881" s="2" t="s">
        <v>20</v>
      </c>
      <c r="C8881" s="2">
        <v>649.7817</v>
      </c>
      <c r="D8881" s="2">
        <f>HYPERLINK("http://mcb-m6.bioreg.kyushu-u.ac.jp/M3/20110428/F51139/1851/1", 81.31)</f>
        <v>81.31</v>
      </c>
      <c r="E8881" s="2">
        <v>58.07</v>
      </c>
      <c r="F8881" s="2">
        <v>2</v>
      </c>
      <c r="G8881" s="2" t="s">
        <v>14</v>
      </c>
    </row>
    <row r="8882" spans="1:9" x14ac:dyDescent="0.2">
      <c r="A8882" s="2" t="s">
        <v>3240</v>
      </c>
      <c r="B8882" s="2" t="s">
        <v>20</v>
      </c>
      <c r="C8882" s="2">
        <v>650.08169999999996</v>
      </c>
      <c r="D8882" s="2">
        <f>HYPERLINK("http://mcb-m6.bioreg.kyushu-u.ac.jp/M3/20110502/F51162/1465/1", 81.42)</f>
        <v>81.42</v>
      </c>
      <c r="E8882" s="2">
        <v>37.99</v>
      </c>
      <c r="F8882" s="2">
        <v>2</v>
      </c>
      <c r="G8882" s="2" t="s">
        <v>14</v>
      </c>
    </row>
    <row r="8883" spans="1:9" x14ac:dyDescent="0.2">
      <c r="A8883" s="2" t="s">
        <v>3240</v>
      </c>
      <c r="B8883" s="2" t="s">
        <v>20</v>
      </c>
      <c r="C8883" s="2">
        <v>649.97609999999997</v>
      </c>
      <c r="D8883" s="2">
        <f>HYPERLINK("http://mcb-m6.bioreg.kyushu-u.ac.jp/M3/20110502/F51161/1496/1", 81.56)</f>
        <v>81.56</v>
      </c>
      <c r="E8883" s="2">
        <v>44.97</v>
      </c>
      <c r="F8883" s="2">
        <v>2</v>
      </c>
      <c r="G8883" s="2" t="s">
        <v>14</v>
      </c>
    </row>
    <row r="8884" spans="1:9" x14ac:dyDescent="0.2">
      <c r="A8884" s="2" t="s">
        <v>3240</v>
      </c>
      <c r="B8884" s="2" t="s">
        <v>20</v>
      </c>
      <c r="C8884" s="2">
        <v>649.84969999999998</v>
      </c>
      <c r="D8884" s="2">
        <f>HYPERLINK("http://mcb-m6.bioreg.kyushu-u.ac.jp/M3/20110428/F51145/1718/1", 83.26)</f>
        <v>83.26</v>
      </c>
      <c r="E8884" s="2">
        <v>49.97</v>
      </c>
      <c r="F8884" s="2">
        <v>2</v>
      </c>
      <c r="G8884" s="2" t="s">
        <v>14</v>
      </c>
    </row>
    <row r="8885" spans="1:9" x14ac:dyDescent="0.2">
      <c r="A8885" s="2" t="s">
        <v>3240</v>
      </c>
      <c r="B8885" s="2" t="s">
        <v>20</v>
      </c>
      <c r="C8885" s="2">
        <v>649.78369999999995</v>
      </c>
      <c r="D8885" s="2">
        <f>HYPERLINK("http://mcb-m6.bioreg.kyushu-u.ac.jp/M3/20110428/F51138/1920/1", 83.36)</f>
        <v>83.36</v>
      </c>
      <c r="E8885" s="2">
        <v>44.77</v>
      </c>
      <c r="F8885" s="2">
        <v>2</v>
      </c>
      <c r="G8885" s="2" t="s">
        <v>14</v>
      </c>
    </row>
    <row r="8886" spans="1:9" x14ac:dyDescent="0.2">
      <c r="A8886" s="2" t="s">
        <v>3240</v>
      </c>
      <c r="B8886" s="2" t="s">
        <v>20</v>
      </c>
      <c r="C8886" s="2">
        <v>649.83669999999995</v>
      </c>
      <c r="D8886" s="2">
        <f>HYPERLINK("http://mcb-m6.bioreg.kyushu-u.ac.jp/M3/20110428/F51142/1573/1", 83.36)</f>
        <v>83.36</v>
      </c>
      <c r="E8886" s="2">
        <v>53</v>
      </c>
      <c r="F8886" s="2">
        <v>2</v>
      </c>
      <c r="G8886" s="2" t="s">
        <v>14</v>
      </c>
    </row>
    <row r="8887" spans="1:9" x14ac:dyDescent="0.2">
      <c r="A8887" s="2" t="s">
        <v>3240</v>
      </c>
      <c r="B8887" s="2" t="s">
        <v>1392</v>
      </c>
      <c r="C8887" s="2">
        <v>790.85109999999997</v>
      </c>
      <c r="D8887" s="2">
        <f>HYPERLINK("http://mcb-m6.bioreg.kyushu-u.ac.jp/M3/20110428/F51142/2424/1", 83.73)</f>
        <v>83.73</v>
      </c>
      <c r="E8887" s="2">
        <v>74.790000000000006</v>
      </c>
      <c r="F8887" s="2">
        <v>2</v>
      </c>
      <c r="G8887" s="2" t="s">
        <v>14</v>
      </c>
    </row>
    <row r="8888" spans="1:9" x14ac:dyDescent="0.2">
      <c r="A8888" s="2" t="s">
        <v>3240</v>
      </c>
      <c r="B8888" s="2" t="s">
        <v>20</v>
      </c>
      <c r="C8888" s="2">
        <v>649.95870000000002</v>
      </c>
      <c r="D8888" s="2">
        <f>HYPERLINK("http://mcb-m6.bioreg.kyushu-u.ac.jp/M3/20110502/F51159/1600/1", 84.07)</f>
        <v>84.07</v>
      </c>
      <c r="E8888" s="2">
        <v>47.4</v>
      </c>
      <c r="F8888" s="2">
        <v>2</v>
      </c>
      <c r="G8888" s="2" t="s">
        <v>14</v>
      </c>
    </row>
    <row r="8889" spans="1:9" x14ac:dyDescent="0.2">
      <c r="A8889" s="2" t="s">
        <v>3240</v>
      </c>
      <c r="B8889" s="2" t="s">
        <v>1392</v>
      </c>
      <c r="C8889" s="2">
        <v>790.77809999999999</v>
      </c>
      <c r="D8889" s="2">
        <f>HYPERLINK("http://mcb-m6.bioreg.kyushu-u.ac.jp/M3/20110428/F51140/2288/1", 90.35)</f>
        <v>90.35</v>
      </c>
      <c r="E8889" s="2">
        <v>79.680000000000007</v>
      </c>
      <c r="F8889" s="2">
        <v>2</v>
      </c>
      <c r="G8889" s="2" t="s">
        <v>14</v>
      </c>
    </row>
    <row r="8890" spans="1:9" x14ac:dyDescent="0.2">
      <c r="A8890" s="2" t="s">
        <v>3240</v>
      </c>
      <c r="B8890" s="2" t="s">
        <v>1392</v>
      </c>
      <c r="C8890" s="2">
        <v>790.35220000000004</v>
      </c>
      <c r="D8890" s="2">
        <f>HYPERLINK("http://mcb-m6.bioreg.kyushu-u.ac.jp/M3/20110428/F51141/2270/1", 112.74)</f>
        <v>112.74</v>
      </c>
      <c r="E8890" s="2">
        <v>99.28</v>
      </c>
      <c r="F8890" s="2">
        <v>2</v>
      </c>
      <c r="G8890" s="2" t="s">
        <v>14</v>
      </c>
    </row>
    <row r="8891" spans="1:9" x14ac:dyDescent="0.2">
      <c r="A8891" s="2" t="s">
        <v>3240</v>
      </c>
      <c r="B8891" s="2" t="s">
        <v>1392</v>
      </c>
      <c r="C8891" s="2">
        <v>790.29520000000002</v>
      </c>
      <c r="D8891" s="2">
        <f>HYPERLINK("http://mcb-m6.bioreg.kyushu-u.ac.jp/M3/20110428/F51143/2356/1", 112.94)</f>
        <v>112.94</v>
      </c>
      <c r="E8891" s="2">
        <v>98.73</v>
      </c>
      <c r="F8891" s="2">
        <v>2</v>
      </c>
      <c r="G8891" s="2" t="s">
        <v>14</v>
      </c>
    </row>
    <row r="8892" spans="1:9" x14ac:dyDescent="0.2">
      <c r="A8892" s="2" t="s">
        <v>5733</v>
      </c>
      <c r="B8892" s="2" t="s">
        <v>5316</v>
      </c>
      <c r="C8892" s="2">
        <v>1302.077</v>
      </c>
      <c r="D8892" s="2">
        <f>HYPERLINK("http://mcb-m6.bioreg.kyushu-u.ac.jp/M3/20110318/F50600/2802/2", 56.61)</f>
        <v>56.61</v>
      </c>
      <c r="E8892" s="2">
        <v>43.54</v>
      </c>
      <c r="F8892" s="2">
        <v>2</v>
      </c>
      <c r="G8892" s="2" t="s">
        <v>10</v>
      </c>
      <c r="H8892" s="2" t="s">
        <v>4891</v>
      </c>
      <c r="I8892" s="2" t="s">
        <v>5898</v>
      </c>
    </row>
    <row r="8893" spans="1:9" x14ac:dyDescent="0.2">
      <c r="A8893" s="2" t="s">
        <v>4594</v>
      </c>
      <c r="B8893" s="2" t="s">
        <v>2679</v>
      </c>
      <c r="C8893" s="2">
        <v>555.12959999999998</v>
      </c>
      <c r="D8893" s="2">
        <f>HYPERLINK("http://mcb-m6.bioreg.kyushu-u.ac.jp/M3/20110418/F50997/1321/1", 45.84)</f>
        <v>45.84</v>
      </c>
      <c r="E8893" s="2">
        <v>12.83</v>
      </c>
      <c r="F8893" s="2">
        <v>2</v>
      </c>
      <c r="G8893" s="2" t="s">
        <v>12</v>
      </c>
    </row>
    <row r="8894" spans="1:9" x14ac:dyDescent="0.2">
      <c r="A8894" s="2" t="s">
        <v>4594</v>
      </c>
      <c r="B8894" s="2" t="s">
        <v>2679</v>
      </c>
      <c r="C8894" s="2">
        <v>555.31709999999998</v>
      </c>
      <c r="D8894" s="2">
        <f>HYPERLINK("http://mcb-m6.bioreg.kyushu-u.ac.jp/M3/20110502/F51158/994/1", 41.36)</f>
        <v>41.36</v>
      </c>
      <c r="E8894" s="2">
        <v>12.5</v>
      </c>
      <c r="F8894" s="2">
        <v>2</v>
      </c>
      <c r="G8894" s="2" t="s">
        <v>13</v>
      </c>
    </row>
    <row r="8895" spans="1:9" x14ac:dyDescent="0.2">
      <c r="A8895" s="2" t="s">
        <v>5832</v>
      </c>
      <c r="B8895" s="2" t="s">
        <v>5516</v>
      </c>
      <c r="C8895" s="2">
        <v>622.17169999999999</v>
      </c>
      <c r="D8895" s="2">
        <f>HYPERLINK("http://mcb-m6.bioreg.kyushu-u.ac.jp/M3/20110429/F51151/1675/1", 46.7)</f>
        <v>46.7</v>
      </c>
      <c r="E8895" s="2">
        <v>28.3</v>
      </c>
      <c r="F8895" s="2">
        <v>2</v>
      </c>
      <c r="G8895" s="2" t="s">
        <v>13</v>
      </c>
    </row>
    <row r="8896" spans="1:9" x14ac:dyDescent="0.2">
      <c r="A8896" s="2" t="s">
        <v>5801</v>
      </c>
      <c r="B8896" s="2" t="s">
        <v>5464</v>
      </c>
      <c r="C8896" s="2">
        <v>542.8895</v>
      </c>
      <c r="D8896" s="2">
        <f>HYPERLINK("http://mcb-m6.bioreg.kyushu-u.ac.jp/M3/20110502/F51163/2197/1", 36.1)</f>
        <v>36.1</v>
      </c>
      <c r="E8896" s="2">
        <v>20.36</v>
      </c>
      <c r="F8896" s="2">
        <v>3</v>
      </c>
      <c r="G8896" s="2" t="s">
        <v>13</v>
      </c>
      <c r="H8896" s="2" t="s">
        <v>4910</v>
      </c>
    </row>
    <row r="8897" spans="1:9" x14ac:dyDescent="0.2">
      <c r="A8897" s="2" t="s">
        <v>4554</v>
      </c>
      <c r="B8897" s="2" t="s">
        <v>2585</v>
      </c>
      <c r="C8897" s="2">
        <v>810.38019999999995</v>
      </c>
      <c r="D8897" s="2">
        <f>HYPERLINK("http://mcb-m6.bioreg.kyushu-u.ac.jp/M3/20110318/F50622/1750/1", 35.37)</f>
        <v>35.369999999999997</v>
      </c>
      <c r="E8897" s="2">
        <v>8.6300000000000008</v>
      </c>
      <c r="F8897" s="2">
        <v>2</v>
      </c>
      <c r="G8897" s="2" t="s">
        <v>10</v>
      </c>
      <c r="H8897" s="2" t="s">
        <v>4904</v>
      </c>
    </row>
    <row r="8898" spans="1:9" x14ac:dyDescent="0.2">
      <c r="A8898" s="2" t="s">
        <v>5685</v>
      </c>
      <c r="B8898" s="2" t="s">
        <v>5211</v>
      </c>
      <c r="C8898" s="2">
        <v>662.10609999999997</v>
      </c>
      <c r="D8898" s="2">
        <f>HYPERLINK("http://mcb-m6.bioreg.kyushu-u.ac.jp/M3/20110318/F50615/1251/1", 36.01)</f>
        <v>36.01</v>
      </c>
      <c r="E8898" s="2">
        <v>24.06</v>
      </c>
      <c r="F8898" s="2">
        <v>2</v>
      </c>
      <c r="G8898" s="2" t="s">
        <v>10</v>
      </c>
    </row>
    <row r="8899" spans="1:9" x14ac:dyDescent="0.2">
      <c r="A8899" s="2" t="s">
        <v>4089</v>
      </c>
      <c r="B8899" s="2" t="s">
        <v>1602</v>
      </c>
      <c r="C8899" s="2">
        <v>1023.89</v>
      </c>
      <c r="D8899" s="2">
        <f>HYPERLINK("http://mcb-m6.bioreg.kyushu-u.ac.jp/M3/20110318/F50610/2178/1", 36.23)</f>
        <v>36.229999999999997</v>
      </c>
      <c r="E8899" s="2">
        <v>25.96</v>
      </c>
      <c r="F8899" s="2">
        <v>2</v>
      </c>
      <c r="G8899" s="2" t="s">
        <v>9</v>
      </c>
      <c r="I8899" s="2" t="s">
        <v>4941</v>
      </c>
    </row>
    <row r="8900" spans="1:9" x14ac:dyDescent="0.2">
      <c r="A8900" s="2" t="s">
        <v>4089</v>
      </c>
      <c r="B8900" s="2" t="s">
        <v>1532</v>
      </c>
      <c r="C8900" s="2">
        <v>838.36159999999995</v>
      </c>
      <c r="D8900" s="2">
        <f>HYPERLINK("http://mcb-m6.bioreg.kyushu-u.ac.jp/M3/20110318/F50610/1889/1", 105.13)</f>
        <v>105.13</v>
      </c>
      <c r="E8900" s="2">
        <v>95.09</v>
      </c>
      <c r="F8900" s="2">
        <v>2</v>
      </c>
      <c r="G8900" s="2" t="s">
        <v>9</v>
      </c>
      <c r="I8900" s="2" t="s">
        <v>4914</v>
      </c>
    </row>
    <row r="8901" spans="1:9" x14ac:dyDescent="0.2">
      <c r="A8901" s="2" t="s">
        <v>4089</v>
      </c>
      <c r="B8901" s="2" t="s">
        <v>1602</v>
      </c>
      <c r="C8901" s="2">
        <v>1024.3009999999999</v>
      </c>
      <c r="D8901" s="2">
        <f>HYPERLINK("http://mcb-m6.bioreg.kyushu-u.ac.jp/M3/20110318/F50622/2305/1", 96.78)</f>
        <v>96.78</v>
      </c>
      <c r="E8901" s="2">
        <v>82.83</v>
      </c>
      <c r="F8901" s="2">
        <v>2</v>
      </c>
      <c r="G8901" s="2" t="s">
        <v>10</v>
      </c>
      <c r="I8901" s="2" t="s">
        <v>4941</v>
      </c>
    </row>
    <row r="8902" spans="1:9" x14ac:dyDescent="0.2">
      <c r="A8902" s="2" t="s">
        <v>4089</v>
      </c>
      <c r="B8902" s="2" t="s">
        <v>1532</v>
      </c>
      <c r="C8902" s="2">
        <v>838.59059999999999</v>
      </c>
      <c r="D8902" s="2">
        <f>HYPERLINK("http://mcb-m6.bioreg.kyushu-u.ac.jp/M3/20110428/F51146/2445/1", 102.04)</f>
        <v>102.04</v>
      </c>
      <c r="E8902" s="2">
        <v>88.86</v>
      </c>
      <c r="F8902" s="2">
        <v>2</v>
      </c>
      <c r="G8902" s="2" t="s">
        <v>13</v>
      </c>
      <c r="I8902" s="2" t="s">
        <v>4914</v>
      </c>
    </row>
    <row r="8903" spans="1:9" x14ac:dyDescent="0.2">
      <c r="A8903" s="2" t="s">
        <v>3914</v>
      </c>
      <c r="B8903" s="2" t="s">
        <v>1088</v>
      </c>
      <c r="C8903" s="2">
        <v>816.28219999999999</v>
      </c>
      <c r="D8903" s="2">
        <f>HYPERLINK("http://mcb-m6.bioreg.kyushu-u.ac.jp/M3/20110318/F50609/1834/1", 60.29)</f>
        <v>60.29</v>
      </c>
      <c r="E8903" s="2">
        <v>39.979999999999997</v>
      </c>
      <c r="F8903" s="2">
        <v>2</v>
      </c>
      <c r="G8903" s="2" t="s">
        <v>9</v>
      </c>
      <c r="I8903" s="2" t="s">
        <v>4905</v>
      </c>
    </row>
    <row r="8904" spans="1:9" x14ac:dyDescent="0.2">
      <c r="A8904" s="2" t="s">
        <v>3914</v>
      </c>
      <c r="B8904" s="2" t="s">
        <v>1088</v>
      </c>
      <c r="C8904" s="2">
        <v>816.44669999999996</v>
      </c>
      <c r="D8904" s="2">
        <f>HYPERLINK("http://mcb-m6.bioreg.kyushu-u.ac.jp/M3/20110318/F50600/1854/1", 88.6)</f>
        <v>88.6</v>
      </c>
      <c r="E8904" s="2">
        <v>73.489999999999995</v>
      </c>
      <c r="F8904" s="2">
        <v>2</v>
      </c>
      <c r="G8904" s="2" t="s">
        <v>10</v>
      </c>
      <c r="I8904" s="2" t="s">
        <v>4905</v>
      </c>
    </row>
    <row r="8905" spans="1:9" x14ac:dyDescent="0.2">
      <c r="A8905" s="2" t="s">
        <v>3914</v>
      </c>
      <c r="B8905" s="2" t="s">
        <v>1088</v>
      </c>
      <c r="C8905" s="2">
        <v>816.64419999999996</v>
      </c>
      <c r="D8905" s="2">
        <f>HYPERLINK("http://mcb-m6.bioreg.kyushu-u.ac.jp/M3/20110429/F51149/2232/1", 52.19)</f>
        <v>52.19</v>
      </c>
      <c r="E8905" s="2">
        <v>39.35</v>
      </c>
      <c r="F8905" s="2">
        <v>2</v>
      </c>
      <c r="G8905" s="2" t="s">
        <v>13</v>
      </c>
      <c r="I8905" s="2" t="s">
        <v>4905</v>
      </c>
    </row>
    <row r="8906" spans="1:9" x14ac:dyDescent="0.2">
      <c r="A8906" s="2" t="s">
        <v>3914</v>
      </c>
      <c r="B8906" s="2" t="s">
        <v>1088</v>
      </c>
      <c r="C8906" s="2">
        <v>816.34169999999995</v>
      </c>
      <c r="D8906" s="2">
        <f>HYPERLINK("http://mcb-m6.bioreg.kyushu-u.ac.jp/M3/20110429/F51149/2230/1", 63.62)</f>
        <v>63.62</v>
      </c>
      <c r="E8906" s="2">
        <v>48.06</v>
      </c>
      <c r="F8906" s="2">
        <v>2</v>
      </c>
      <c r="G8906" s="2" t="s">
        <v>13</v>
      </c>
      <c r="I8906" s="2" t="s">
        <v>4905</v>
      </c>
    </row>
    <row r="8907" spans="1:9" x14ac:dyDescent="0.2">
      <c r="A8907" s="2" t="s">
        <v>3914</v>
      </c>
      <c r="B8907" s="2" t="s">
        <v>1088</v>
      </c>
      <c r="C8907" s="2">
        <v>816.89260000000002</v>
      </c>
      <c r="D8907" s="2">
        <f>HYPERLINK("http://mcb-m6.bioreg.kyushu-u.ac.jp/M3/20110429/F51149/2233/1", 105.82)</f>
        <v>105.82</v>
      </c>
      <c r="E8907" s="2">
        <v>89.37</v>
      </c>
      <c r="F8907" s="2">
        <v>2</v>
      </c>
      <c r="G8907" s="2" t="s">
        <v>13</v>
      </c>
      <c r="I8907" s="2" t="s">
        <v>4905</v>
      </c>
    </row>
    <row r="8908" spans="1:9" x14ac:dyDescent="0.2">
      <c r="A8908" s="2" t="s">
        <v>3592</v>
      </c>
      <c r="B8908" s="2" t="s">
        <v>951</v>
      </c>
      <c r="C8908" s="2">
        <v>807.94209999999998</v>
      </c>
      <c r="D8908" s="2">
        <f>HYPERLINK("http://mcb-m6.bioreg.kyushu-u.ac.jp/M3/20110318/F50620/1994/1", 39.97)</f>
        <v>39.97</v>
      </c>
      <c r="E8908" s="2">
        <v>21.07</v>
      </c>
      <c r="F8908" s="2">
        <v>2</v>
      </c>
      <c r="G8908" s="2" t="s">
        <v>9</v>
      </c>
    </row>
    <row r="8909" spans="1:9" x14ac:dyDescent="0.2">
      <c r="A8909" s="2" t="s">
        <v>3592</v>
      </c>
      <c r="B8909" s="2" t="s">
        <v>951</v>
      </c>
      <c r="C8909" s="2">
        <v>808.00919999999996</v>
      </c>
      <c r="D8909" s="2">
        <f>HYPERLINK("http://mcb-m6.bioreg.kyushu-u.ac.jp/M3/20110318/F50603/1694/1", 41.77)</f>
        <v>41.77</v>
      </c>
      <c r="E8909" s="2">
        <v>31.24</v>
      </c>
      <c r="F8909" s="2">
        <v>2</v>
      </c>
      <c r="G8909" s="2" t="s">
        <v>9</v>
      </c>
    </row>
    <row r="8910" spans="1:9" x14ac:dyDescent="0.2">
      <c r="A8910" s="2" t="s">
        <v>3592</v>
      </c>
      <c r="B8910" s="2" t="s">
        <v>482</v>
      </c>
      <c r="C8910" s="2">
        <v>825.93219999999997</v>
      </c>
      <c r="D8910" s="2">
        <f>HYPERLINK("http://mcb-m6.bioreg.kyushu-u.ac.jp/M3/20110318/F50619/1773/1", 42.45)</f>
        <v>42.45</v>
      </c>
      <c r="E8910" s="2">
        <v>27.76</v>
      </c>
      <c r="F8910" s="2">
        <v>2</v>
      </c>
      <c r="G8910" s="2" t="s">
        <v>9</v>
      </c>
    </row>
    <row r="8911" spans="1:9" x14ac:dyDescent="0.2">
      <c r="A8911" s="2" t="s">
        <v>3592</v>
      </c>
      <c r="B8911" s="2" t="s">
        <v>951</v>
      </c>
      <c r="C8911" s="2">
        <v>808.51760000000002</v>
      </c>
      <c r="D8911" s="2">
        <f>HYPERLINK("http://mcb-m6.bioreg.kyushu-u.ac.jp/M3/20110318/F50605/1888/1", 43.91)</f>
        <v>43.91</v>
      </c>
      <c r="E8911" s="2">
        <v>35.340000000000003</v>
      </c>
      <c r="F8911" s="2">
        <v>2</v>
      </c>
      <c r="G8911" s="2" t="s">
        <v>9</v>
      </c>
    </row>
    <row r="8912" spans="1:9" x14ac:dyDescent="0.2">
      <c r="A8912" s="2" t="s">
        <v>3592</v>
      </c>
      <c r="B8912" s="2" t="s">
        <v>951</v>
      </c>
      <c r="C8912" s="2">
        <v>807.86720000000003</v>
      </c>
      <c r="D8912" s="2">
        <f>HYPERLINK("http://mcb-m6.bioreg.kyushu-u.ac.jp/M3/20110318/F50618/1972/1", 48.43)</f>
        <v>48.43</v>
      </c>
      <c r="E8912" s="2">
        <v>21.36</v>
      </c>
      <c r="F8912" s="2">
        <v>2</v>
      </c>
      <c r="G8912" s="2" t="s">
        <v>9</v>
      </c>
    </row>
    <row r="8913" spans="1:9" x14ac:dyDescent="0.2">
      <c r="A8913" s="2" t="s">
        <v>3592</v>
      </c>
      <c r="B8913" s="2" t="s">
        <v>482</v>
      </c>
      <c r="C8913" s="2">
        <v>825.85469999999998</v>
      </c>
      <c r="D8913" s="2">
        <f>HYPERLINK("http://mcb-m6.bioreg.kyushu-u.ac.jp/M3/20110318/F50601/1755/1", 55.36)</f>
        <v>55.36</v>
      </c>
      <c r="E8913" s="2">
        <v>38.93</v>
      </c>
      <c r="F8913" s="2">
        <v>2</v>
      </c>
      <c r="G8913" s="2" t="s">
        <v>9</v>
      </c>
    </row>
    <row r="8914" spans="1:9" x14ac:dyDescent="0.2">
      <c r="A8914" s="2" t="s">
        <v>3592</v>
      </c>
      <c r="B8914" s="2" t="s">
        <v>951</v>
      </c>
      <c r="C8914" s="2">
        <v>808.03020000000004</v>
      </c>
      <c r="D8914" s="2">
        <f>HYPERLINK("http://mcb-m6.bioreg.kyushu-u.ac.jp/M3/20110318/F50604/1744/1", 61.34)</f>
        <v>61.34</v>
      </c>
      <c r="E8914" s="2">
        <v>45.37</v>
      </c>
      <c r="F8914" s="2">
        <v>2</v>
      </c>
      <c r="G8914" s="2" t="s">
        <v>9</v>
      </c>
    </row>
    <row r="8915" spans="1:9" x14ac:dyDescent="0.2">
      <c r="A8915" s="2" t="s">
        <v>3592</v>
      </c>
      <c r="B8915" s="2" t="s">
        <v>951</v>
      </c>
      <c r="C8915" s="2">
        <v>808.54359999999997</v>
      </c>
      <c r="D8915" s="2">
        <f>HYPERLINK("http://mcb-m6.bioreg.kyushu-u.ac.jp/M3/20110318/F50602/1723/1", 63.41)</f>
        <v>63.41</v>
      </c>
      <c r="E8915" s="2">
        <v>51.32</v>
      </c>
      <c r="F8915" s="2">
        <v>2</v>
      </c>
      <c r="G8915" s="2" t="s">
        <v>9</v>
      </c>
    </row>
    <row r="8916" spans="1:9" x14ac:dyDescent="0.2">
      <c r="A8916" s="2" t="s">
        <v>3592</v>
      </c>
      <c r="B8916" s="2" t="s">
        <v>482</v>
      </c>
      <c r="C8916" s="2">
        <v>826.0607</v>
      </c>
      <c r="D8916" s="2">
        <f>HYPERLINK("http://mcb-m6.bioreg.kyushu-u.ac.jp/M3/20110318/F50620/2025/1", 67.18)</f>
        <v>67.180000000000007</v>
      </c>
      <c r="E8916" s="2">
        <v>48.8</v>
      </c>
      <c r="F8916" s="2">
        <v>2</v>
      </c>
      <c r="G8916" s="2" t="s">
        <v>9</v>
      </c>
    </row>
    <row r="8917" spans="1:9" x14ac:dyDescent="0.2">
      <c r="A8917" s="2" t="s">
        <v>3592</v>
      </c>
      <c r="B8917" s="2" t="s">
        <v>482</v>
      </c>
      <c r="C8917" s="2">
        <v>826.01869999999997</v>
      </c>
      <c r="D8917" s="2">
        <f>HYPERLINK("http://mcb-m6.bioreg.kyushu-u.ac.jp/M3/20110318/F50604/1778/1", 74.39)</f>
        <v>74.39</v>
      </c>
      <c r="E8917" s="2">
        <v>57.28</v>
      </c>
      <c r="F8917" s="2">
        <v>2</v>
      </c>
      <c r="G8917" s="2" t="s">
        <v>9</v>
      </c>
    </row>
    <row r="8918" spans="1:9" x14ac:dyDescent="0.2">
      <c r="A8918" s="2" t="s">
        <v>3592</v>
      </c>
      <c r="B8918" s="2" t="s">
        <v>482</v>
      </c>
      <c r="C8918" s="2">
        <v>826.07759999999996</v>
      </c>
      <c r="D8918" s="2">
        <f>HYPERLINK("http://mcb-m6.bioreg.kyushu-u.ac.jp/M3/20110318/F50603/1724/1", 90.05)</f>
        <v>90.05</v>
      </c>
      <c r="E8918" s="2">
        <v>74.3</v>
      </c>
      <c r="F8918" s="2">
        <v>2</v>
      </c>
      <c r="G8918" s="2" t="s">
        <v>9</v>
      </c>
    </row>
    <row r="8919" spans="1:9" x14ac:dyDescent="0.2">
      <c r="A8919" s="2" t="s">
        <v>3592</v>
      </c>
      <c r="B8919" s="2" t="s">
        <v>951</v>
      </c>
      <c r="C8919" s="2">
        <v>807.80470000000003</v>
      </c>
      <c r="D8919" s="2">
        <f>HYPERLINK("http://mcb-m6.bioreg.kyushu-u.ac.jp/M3/20110318/F50619/1722/1", 92.4)</f>
        <v>92.4</v>
      </c>
      <c r="E8919" s="2">
        <v>59.36</v>
      </c>
      <c r="F8919" s="2">
        <v>2</v>
      </c>
      <c r="G8919" s="2" t="s">
        <v>9</v>
      </c>
    </row>
    <row r="8920" spans="1:9" x14ac:dyDescent="0.2">
      <c r="A8920" s="2" t="s">
        <v>3592</v>
      </c>
      <c r="B8920" s="2" t="s">
        <v>951</v>
      </c>
      <c r="C8920" s="2">
        <v>808.32069999999999</v>
      </c>
      <c r="D8920" s="2">
        <f>HYPERLINK("http://mcb-m6.bioreg.kyushu-u.ac.jp/M3/20110318/F50619/1723/1", 92.6)</f>
        <v>92.6</v>
      </c>
      <c r="E8920" s="2">
        <v>69.069999999999993</v>
      </c>
      <c r="F8920" s="2">
        <v>2</v>
      </c>
      <c r="G8920" s="2" t="s">
        <v>9</v>
      </c>
    </row>
    <row r="8921" spans="1:9" x14ac:dyDescent="0.2">
      <c r="A8921" s="2" t="s">
        <v>3592</v>
      </c>
      <c r="B8921" s="2" t="s">
        <v>482</v>
      </c>
      <c r="C8921" s="2">
        <v>826.06269999999995</v>
      </c>
      <c r="D8921" s="2">
        <f>HYPERLINK("http://mcb-m6.bioreg.kyushu-u.ac.jp/M3/20110318/F50611/1957/1", 36.57)</f>
        <v>36.57</v>
      </c>
      <c r="E8921" s="2">
        <v>18.38</v>
      </c>
      <c r="F8921" s="2">
        <v>2</v>
      </c>
      <c r="G8921" s="2" t="s">
        <v>10</v>
      </c>
    </row>
    <row r="8922" spans="1:9" x14ac:dyDescent="0.2">
      <c r="A8922" s="2" t="s">
        <v>3592</v>
      </c>
      <c r="B8922" s="2" t="s">
        <v>951</v>
      </c>
      <c r="C8922" s="2">
        <v>807.88509999999997</v>
      </c>
      <c r="D8922" s="2">
        <f>HYPERLINK("http://mcb-m6.bioreg.kyushu-u.ac.jp/M3/20110318/F50611/1920/1", 41.38)</f>
        <v>41.38</v>
      </c>
      <c r="E8922" s="2">
        <v>27.8</v>
      </c>
      <c r="F8922" s="2">
        <v>2</v>
      </c>
      <c r="G8922" s="2" t="s">
        <v>10</v>
      </c>
    </row>
    <row r="8923" spans="1:9" x14ac:dyDescent="0.2">
      <c r="A8923" s="2" t="s">
        <v>3592</v>
      </c>
      <c r="B8923" s="2" t="s">
        <v>5264</v>
      </c>
      <c r="C8923" s="2">
        <v>964.96109999999999</v>
      </c>
      <c r="D8923" s="2">
        <f>HYPERLINK("http://mcb-m6.bioreg.kyushu-u.ac.jp/M3/20110318/F50615/3153/1", 43.75)</f>
        <v>43.75</v>
      </c>
      <c r="E8923" s="2">
        <v>30.62</v>
      </c>
      <c r="F8923" s="2">
        <v>3</v>
      </c>
      <c r="G8923" s="2" t="s">
        <v>10</v>
      </c>
      <c r="I8923" s="2" t="s">
        <v>4926</v>
      </c>
    </row>
    <row r="8924" spans="1:9" x14ac:dyDescent="0.2">
      <c r="A8924" s="2" t="s">
        <v>3592</v>
      </c>
      <c r="B8924" s="2" t="s">
        <v>5275</v>
      </c>
      <c r="C8924" s="2">
        <v>959.99019999999996</v>
      </c>
      <c r="D8924" s="2">
        <f>HYPERLINK("http://mcb-m6.bioreg.kyushu-u.ac.jp/M3/20110318/F50613/3285/1", 46.19)</f>
        <v>46.19</v>
      </c>
      <c r="E8924" s="2">
        <v>37.520000000000003</v>
      </c>
      <c r="F8924" s="2">
        <v>3</v>
      </c>
      <c r="G8924" s="2" t="s">
        <v>10</v>
      </c>
      <c r="H8924" s="2" t="s">
        <v>5895</v>
      </c>
    </row>
    <row r="8925" spans="1:9" x14ac:dyDescent="0.2">
      <c r="A8925" s="2" t="s">
        <v>3592</v>
      </c>
      <c r="B8925" s="2" t="s">
        <v>482</v>
      </c>
      <c r="C8925" s="2">
        <v>1651.259</v>
      </c>
      <c r="D8925" s="2">
        <f>HYPERLINK("http://mcb-m6.bioreg.kyushu-u.ac.jp/M3/20110318/F50611/1958/1", 49.73)</f>
        <v>49.73</v>
      </c>
      <c r="E8925" s="2">
        <v>41.22</v>
      </c>
      <c r="F8925" s="2">
        <v>1</v>
      </c>
      <c r="G8925" s="2" t="s">
        <v>10</v>
      </c>
    </row>
    <row r="8926" spans="1:9" x14ac:dyDescent="0.2">
      <c r="A8926" s="2" t="s">
        <v>3592</v>
      </c>
      <c r="B8926" s="2" t="s">
        <v>482</v>
      </c>
      <c r="C8926" s="2">
        <v>825.80970000000002</v>
      </c>
      <c r="D8926" s="2">
        <f>HYPERLINK("http://mcb-m6.bioreg.kyushu-u.ac.jp/M3/20110318/F50615/1862/1", 50.22)</f>
        <v>50.22</v>
      </c>
      <c r="E8926" s="2">
        <v>39.94</v>
      </c>
      <c r="F8926" s="2">
        <v>2</v>
      </c>
      <c r="G8926" s="2" t="s">
        <v>10</v>
      </c>
    </row>
    <row r="8927" spans="1:9" x14ac:dyDescent="0.2">
      <c r="A8927" s="2" t="s">
        <v>3592</v>
      </c>
      <c r="B8927" s="2" t="s">
        <v>482</v>
      </c>
      <c r="C8927" s="2">
        <v>825.88819999999998</v>
      </c>
      <c r="D8927" s="2">
        <f>HYPERLINK("http://mcb-m6.bioreg.kyushu-u.ac.jp/M3/20110318/F50614/2039/1", 60.34)</f>
        <v>60.34</v>
      </c>
      <c r="E8927" s="2">
        <v>47.23</v>
      </c>
      <c r="F8927" s="2">
        <v>2</v>
      </c>
      <c r="G8927" s="2" t="s">
        <v>10</v>
      </c>
    </row>
    <row r="8928" spans="1:9" x14ac:dyDescent="0.2">
      <c r="A8928" s="2" t="s">
        <v>3592</v>
      </c>
      <c r="B8928" s="2" t="s">
        <v>482</v>
      </c>
      <c r="C8928" s="2">
        <v>826.13070000000005</v>
      </c>
      <c r="D8928" s="2">
        <f>HYPERLINK("http://mcb-m6.bioreg.kyushu-u.ac.jp/M3/20110318/F50596/1922/1", 63.8)</f>
        <v>63.8</v>
      </c>
      <c r="E8928" s="2">
        <v>51.59</v>
      </c>
      <c r="F8928" s="2">
        <v>2</v>
      </c>
      <c r="G8928" s="2" t="s">
        <v>10</v>
      </c>
    </row>
    <row r="8929" spans="1:8" x14ac:dyDescent="0.2">
      <c r="A8929" s="2" t="s">
        <v>3592</v>
      </c>
      <c r="B8929" s="2" t="s">
        <v>482</v>
      </c>
      <c r="C8929" s="2">
        <v>826.37070000000006</v>
      </c>
      <c r="D8929" s="2">
        <f>HYPERLINK("http://mcb-m6.bioreg.kyushu-u.ac.jp/M3/20110318/F50613/2036/1", 67.18)</f>
        <v>67.180000000000007</v>
      </c>
      <c r="E8929" s="2">
        <v>54.63</v>
      </c>
      <c r="F8929" s="2">
        <v>2</v>
      </c>
      <c r="G8929" s="2" t="s">
        <v>10</v>
      </c>
    </row>
    <row r="8930" spans="1:8" x14ac:dyDescent="0.2">
      <c r="A8930" s="2" t="s">
        <v>3592</v>
      </c>
      <c r="B8930" s="2" t="s">
        <v>482</v>
      </c>
      <c r="C8930" s="2">
        <v>825.86969999999997</v>
      </c>
      <c r="D8930" s="2">
        <f>HYPERLINK("http://mcb-m6.bioreg.kyushu-u.ac.jp/M3/20110318/F50613/2035/1", 68.33)</f>
        <v>68.33</v>
      </c>
      <c r="E8930" s="2">
        <v>49.25</v>
      </c>
      <c r="F8930" s="2">
        <v>2</v>
      </c>
      <c r="G8930" s="2" t="s">
        <v>10</v>
      </c>
    </row>
    <row r="8931" spans="1:8" x14ac:dyDescent="0.2">
      <c r="A8931" s="2" t="s">
        <v>3592</v>
      </c>
      <c r="B8931" s="2" t="s">
        <v>482</v>
      </c>
      <c r="C8931" s="2">
        <v>825.86410000000001</v>
      </c>
      <c r="D8931" s="2">
        <f>HYPERLINK("http://mcb-m6.bioreg.kyushu-u.ac.jp/M3/20110318/F50611/1955/1", 71.68)</f>
        <v>71.680000000000007</v>
      </c>
      <c r="E8931" s="2">
        <v>56.27</v>
      </c>
      <c r="F8931" s="2">
        <v>2</v>
      </c>
      <c r="G8931" s="2" t="s">
        <v>10</v>
      </c>
    </row>
    <row r="8932" spans="1:8" x14ac:dyDescent="0.2">
      <c r="A8932" s="2" t="s">
        <v>3592</v>
      </c>
      <c r="B8932" s="2" t="s">
        <v>482</v>
      </c>
      <c r="C8932" s="2">
        <v>825.76319999999998</v>
      </c>
      <c r="D8932" s="2">
        <f>HYPERLINK("http://mcb-m6.bioreg.kyushu-u.ac.jp/M3/20110318/F50612/1817/1", 71.99)</f>
        <v>71.989999999999995</v>
      </c>
      <c r="E8932" s="2">
        <v>55.02</v>
      </c>
      <c r="F8932" s="2">
        <v>2</v>
      </c>
      <c r="G8932" s="2" t="s">
        <v>10</v>
      </c>
    </row>
    <row r="8933" spans="1:8" x14ac:dyDescent="0.2">
      <c r="A8933" s="2" t="s">
        <v>3592</v>
      </c>
      <c r="B8933" s="2" t="s">
        <v>5275</v>
      </c>
      <c r="C8933" s="2">
        <v>959.96590000000003</v>
      </c>
      <c r="D8933" s="2">
        <f>HYPERLINK("http://mcb-m6.bioreg.kyushu-u.ac.jp/M3/20110318/F50612/2840/1", 75.86)</f>
        <v>75.86</v>
      </c>
      <c r="E8933" s="2">
        <v>62.4</v>
      </c>
      <c r="F8933" s="2">
        <v>3</v>
      </c>
      <c r="G8933" s="2" t="s">
        <v>10</v>
      </c>
      <c r="H8933" s="2" t="s">
        <v>5895</v>
      </c>
    </row>
    <row r="8934" spans="1:8" x14ac:dyDescent="0.2">
      <c r="A8934" s="2" t="s">
        <v>3592</v>
      </c>
      <c r="B8934" s="2" t="s">
        <v>951</v>
      </c>
      <c r="C8934" s="2">
        <v>808.30359999999996</v>
      </c>
      <c r="D8934" s="2">
        <f>HYPERLINK("http://mcb-m6.bioreg.kyushu-u.ac.jp/M3/20110318/F50611/1922/1", 78.22)</f>
        <v>78.22</v>
      </c>
      <c r="E8934" s="2">
        <v>63.24</v>
      </c>
      <c r="F8934" s="2">
        <v>2</v>
      </c>
      <c r="G8934" s="2" t="s">
        <v>10</v>
      </c>
    </row>
    <row r="8935" spans="1:8" x14ac:dyDescent="0.2">
      <c r="A8935" s="2" t="s">
        <v>3592</v>
      </c>
      <c r="B8935" s="2" t="s">
        <v>951</v>
      </c>
      <c r="C8935" s="2">
        <v>808.14170000000001</v>
      </c>
      <c r="D8935" s="2">
        <f>HYPERLINK("http://mcb-m6.bioreg.kyushu-u.ac.jp/M3/20110318/F50615/1811/1", 82.72)</f>
        <v>82.72</v>
      </c>
      <c r="E8935" s="2">
        <v>68.55</v>
      </c>
      <c r="F8935" s="2">
        <v>2</v>
      </c>
      <c r="G8935" s="2" t="s">
        <v>10</v>
      </c>
    </row>
    <row r="8936" spans="1:8" x14ac:dyDescent="0.2">
      <c r="A8936" s="2" t="s">
        <v>3592</v>
      </c>
      <c r="B8936" s="2" t="s">
        <v>951</v>
      </c>
      <c r="C8936" s="2">
        <v>808.11869999999999</v>
      </c>
      <c r="D8936" s="2">
        <f>HYPERLINK("http://mcb-m6.bioreg.kyushu-u.ac.jp/M3/20110318/F50613/1952/1", 84.15)</f>
        <v>84.15</v>
      </c>
      <c r="E8936" s="2">
        <v>67.12</v>
      </c>
      <c r="F8936" s="2">
        <v>2</v>
      </c>
      <c r="G8936" s="2" t="s">
        <v>10</v>
      </c>
    </row>
    <row r="8937" spans="1:8" x14ac:dyDescent="0.2">
      <c r="A8937" s="2" t="s">
        <v>3592</v>
      </c>
      <c r="B8937" s="2" t="s">
        <v>951</v>
      </c>
      <c r="C8937" s="2">
        <v>1614.75</v>
      </c>
      <c r="D8937" s="2">
        <f>HYPERLINK("http://mcb-m6.bioreg.kyushu-u.ac.jp/M3/20110318/F50611/1919/1", 84.43)</f>
        <v>84.43</v>
      </c>
      <c r="E8937" s="2">
        <v>67.900000000000006</v>
      </c>
      <c r="F8937" s="2">
        <v>1</v>
      </c>
      <c r="G8937" s="2" t="s">
        <v>10</v>
      </c>
    </row>
    <row r="8938" spans="1:8" x14ac:dyDescent="0.2">
      <c r="A8938" s="2" t="s">
        <v>3592</v>
      </c>
      <c r="B8938" s="2" t="s">
        <v>5275</v>
      </c>
      <c r="C8938" s="2">
        <v>959.93849999999998</v>
      </c>
      <c r="D8938" s="2">
        <f>HYPERLINK("http://mcb-m6.bioreg.kyushu-u.ac.jp/M3/20110318/F50611/3127/1", 87.01)</f>
        <v>87.01</v>
      </c>
      <c r="E8938" s="2">
        <v>69.63</v>
      </c>
      <c r="F8938" s="2">
        <v>3</v>
      </c>
      <c r="G8938" s="2" t="s">
        <v>10</v>
      </c>
      <c r="H8938" s="2" t="s">
        <v>5895</v>
      </c>
    </row>
    <row r="8939" spans="1:8" x14ac:dyDescent="0.2">
      <c r="A8939" s="2" t="s">
        <v>3592</v>
      </c>
      <c r="B8939" s="2" t="s">
        <v>951</v>
      </c>
      <c r="C8939" s="2">
        <v>808.33920000000001</v>
      </c>
      <c r="D8939" s="2">
        <f>HYPERLINK("http://mcb-m6.bioreg.kyushu-u.ac.jp/M3/20110318/F50611/1923/1", 87.02)</f>
        <v>87.02</v>
      </c>
      <c r="E8939" s="2">
        <v>67.92</v>
      </c>
      <c r="F8939" s="2">
        <v>2</v>
      </c>
      <c r="G8939" s="2" t="s">
        <v>10</v>
      </c>
    </row>
    <row r="8940" spans="1:8" x14ac:dyDescent="0.2">
      <c r="A8940" s="2" t="s">
        <v>3592</v>
      </c>
      <c r="B8940" s="2" t="s">
        <v>951</v>
      </c>
      <c r="C8940" s="2">
        <v>808.43370000000004</v>
      </c>
      <c r="D8940" s="2">
        <f>HYPERLINK("http://mcb-m6.bioreg.kyushu-u.ac.jp/M3/20110318/F50596/1881/1", 87.09)</f>
        <v>87.09</v>
      </c>
      <c r="E8940" s="2">
        <v>70.400000000000006</v>
      </c>
      <c r="F8940" s="2">
        <v>2</v>
      </c>
      <c r="G8940" s="2" t="s">
        <v>10</v>
      </c>
    </row>
    <row r="8941" spans="1:8" x14ac:dyDescent="0.2">
      <c r="A8941" s="2" t="s">
        <v>3592</v>
      </c>
      <c r="B8941" s="2" t="s">
        <v>951</v>
      </c>
      <c r="C8941" s="2">
        <v>808.25919999999996</v>
      </c>
      <c r="D8941" s="2">
        <f>HYPERLINK("http://mcb-m6.bioreg.kyushu-u.ac.jp/M3/20110318/F50612/1784/1", 88.29)</f>
        <v>88.29</v>
      </c>
      <c r="E8941" s="2">
        <v>67.33</v>
      </c>
      <c r="F8941" s="2">
        <v>2</v>
      </c>
      <c r="G8941" s="2" t="s">
        <v>10</v>
      </c>
    </row>
    <row r="8942" spans="1:8" x14ac:dyDescent="0.2">
      <c r="A8942" s="2" t="s">
        <v>3592</v>
      </c>
      <c r="B8942" s="2" t="s">
        <v>5275</v>
      </c>
      <c r="C8942" s="2">
        <v>949.49879999999996</v>
      </c>
      <c r="D8942" s="2">
        <f>HYPERLINK("http://mcb-m6.bioreg.kyushu-u.ac.jp/M3/20110318/F50612/2828/1", 89.9)</f>
        <v>89.9</v>
      </c>
      <c r="E8942" s="2">
        <v>81.459999999999994</v>
      </c>
      <c r="F8942" s="2">
        <v>3</v>
      </c>
      <c r="G8942" s="2" t="s">
        <v>10</v>
      </c>
    </row>
    <row r="8943" spans="1:8" x14ac:dyDescent="0.2">
      <c r="A8943" s="2" t="s">
        <v>3592</v>
      </c>
      <c r="B8943" s="2" t="s">
        <v>951</v>
      </c>
      <c r="C8943" s="2">
        <v>807.89009999999996</v>
      </c>
      <c r="D8943" s="2">
        <f>HYPERLINK("http://mcb-m6.bioreg.kyushu-u.ac.jp/M3/20110318/F50596/1879/1", 102.03)</f>
        <v>102.03</v>
      </c>
      <c r="E8943" s="2">
        <v>72.72</v>
      </c>
      <c r="F8943" s="2">
        <v>2</v>
      </c>
      <c r="G8943" s="2" t="s">
        <v>10</v>
      </c>
    </row>
    <row r="8944" spans="1:8" x14ac:dyDescent="0.2">
      <c r="A8944" s="2" t="s">
        <v>3592</v>
      </c>
      <c r="B8944" s="2" t="s">
        <v>951</v>
      </c>
      <c r="C8944" s="2">
        <v>807.56209999999999</v>
      </c>
      <c r="D8944" s="2">
        <f>HYPERLINK("http://mcb-m6.bioreg.kyushu-u.ac.jp/M3/20110318/F50611/1917/1", 105.13)</f>
        <v>105.13</v>
      </c>
      <c r="E8944" s="2">
        <v>68.38</v>
      </c>
      <c r="F8944" s="2">
        <v>2</v>
      </c>
      <c r="G8944" s="2" t="s">
        <v>10</v>
      </c>
    </row>
    <row r="8945" spans="1:7" x14ac:dyDescent="0.2">
      <c r="A8945" s="2" t="s">
        <v>3592</v>
      </c>
      <c r="B8945" s="2" t="s">
        <v>482</v>
      </c>
      <c r="C8945" s="2">
        <v>825.68219999999997</v>
      </c>
      <c r="D8945" s="2">
        <f>HYPERLINK("http://mcb-m6.bioreg.kyushu-u.ac.jp/M3/20110418/F50974/2493/1", 36.25)</f>
        <v>36.25</v>
      </c>
      <c r="E8945" s="2">
        <v>29.31</v>
      </c>
      <c r="F8945" s="2">
        <v>2</v>
      </c>
      <c r="G8945" s="2" t="s">
        <v>11</v>
      </c>
    </row>
    <row r="8946" spans="1:7" x14ac:dyDescent="0.2">
      <c r="A8946" s="2" t="s">
        <v>3592</v>
      </c>
      <c r="B8946" s="2" t="s">
        <v>482</v>
      </c>
      <c r="C8946" s="2">
        <v>825.77369999999996</v>
      </c>
      <c r="D8946" s="2">
        <f>HYPERLINK("http://mcb-m6.bioreg.kyushu-u.ac.jp/M3/20110418/F50976/2540/1", 46.55)</f>
        <v>46.55</v>
      </c>
      <c r="E8946" s="2">
        <v>34.549999999999997</v>
      </c>
      <c r="F8946" s="2">
        <v>2</v>
      </c>
      <c r="G8946" s="2" t="s">
        <v>11</v>
      </c>
    </row>
    <row r="8947" spans="1:7" x14ac:dyDescent="0.2">
      <c r="A8947" s="2" t="s">
        <v>3592</v>
      </c>
      <c r="B8947" s="2" t="s">
        <v>482</v>
      </c>
      <c r="C8947" s="2">
        <v>826.26070000000004</v>
      </c>
      <c r="D8947" s="2">
        <f>HYPERLINK("http://mcb-m6.bioreg.kyushu-u.ac.jp/M3/20110418/F50975/2556/1", 50.71)</f>
        <v>50.71</v>
      </c>
      <c r="E8947" s="2">
        <v>37.18</v>
      </c>
      <c r="F8947" s="2">
        <v>2</v>
      </c>
      <c r="G8947" s="2" t="s">
        <v>11</v>
      </c>
    </row>
    <row r="8948" spans="1:7" x14ac:dyDescent="0.2">
      <c r="A8948" s="2" t="s">
        <v>3592</v>
      </c>
      <c r="B8948" s="2" t="s">
        <v>482</v>
      </c>
      <c r="C8948" s="2">
        <v>825.85270000000003</v>
      </c>
      <c r="D8948" s="2">
        <f>HYPERLINK("http://mcb-m6.bioreg.kyushu-u.ac.jp/M3/20110418/F50977/2613/1", 55.43)</f>
        <v>55.43</v>
      </c>
      <c r="E8948" s="2">
        <v>42.33</v>
      </c>
      <c r="F8948" s="2">
        <v>2</v>
      </c>
      <c r="G8948" s="2" t="s">
        <v>11</v>
      </c>
    </row>
    <row r="8949" spans="1:7" x14ac:dyDescent="0.2">
      <c r="A8949" s="2" t="s">
        <v>3592</v>
      </c>
      <c r="B8949" s="2" t="s">
        <v>482</v>
      </c>
      <c r="C8949" s="2">
        <v>826.27970000000005</v>
      </c>
      <c r="D8949" s="2">
        <f>HYPERLINK("http://mcb-m6.bioreg.kyushu-u.ac.jp/M3/20110418/F50974/2495/1", 58.8)</f>
        <v>58.8</v>
      </c>
      <c r="E8949" s="2">
        <v>47.05</v>
      </c>
      <c r="F8949" s="2">
        <v>2</v>
      </c>
      <c r="G8949" s="2" t="s">
        <v>11</v>
      </c>
    </row>
    <row r="8950" spans="1:7" x14ac:dyDescent="0.2">
      <c r="A8950" s="2" t="s">
        <v>3592</v>
      </c>
      <c r="B8950" s="2" t="s">
        <v>951</v>
      </c>
      <c r="C8950" s="2">
        <v>807.77970000000005</v>
      </c>
      <c r="D8950" s="2">
        <f>HYPERLINK("http://mcb-m6.bioreg.kyushu-u.ac.jp/M3/20110418/F50976/2430/1", 59.74)</f>
        <v>59.74</v>
      </c>
      <c r="E8950" s="2">
        <v>47.47</v>
      </c>
      <c r="F8950" s="2">
        <v>2</v>
      </c>
      <c r="G8950" s="2" t="s">
        <v>11</v>
      </c>
    </row>
    <row r="8951" spans="1:7" x14ac:dyDescent="0.2">
      <c r="A8951" s="2" t="s">
        <v>3592</v>
      </c>
      <c r="B8951" s="2" t="s">
        <v>482</v>
      </c>
      <c r="C8951" s="2">
        <v>826.26459999999997</v>
      </c>
      <c r="D8951" s="2">
        <f>HYPERLINK("http://mcb-m6.bioreg.kyushu-u.ac.jp/M3/20110418/F50978/2492/1", 63.18)</f>
        <v>63.18</v>
      </c>
      <c r="E8951" s="2">
        <v>45.05</v>
      </c>
      <c r="F8951" s="2">
        <v>2</v>
      </c>
      <c r="G8951" s="2" t="s">
        <v>11</v>
      </c>
    </row>
    <row r="8952" spans="1:7" x14ac:dyDescent="0.2">
      <c r="A8952" s="2" t="s">
        <v>3592</v>
      </c>
      <c r="B8952" s="2" t="s">
        <v>482</v>
      </c>
      <c r="C8952" s="2">
        <v>826.28060000000005</v>
      </c>
      <c r="D8952" s="2">
        <f>HYPERLINK("http://mcb-m6.bioreg.kyushu-u.ac.jp/M3/20110418/F51000/2188/1", 70.51)</f>
        <v>70.510000000000005</v>
      </c>
      <c r="E8952" s="2">
        <v>55.75</v>
      </c>
      <c r="F8952" s="2">
        <v>2</v>
      </c>
      <c r="G8952" s="2" t="s">
        <v>11</v>
      </c>
    </row>
    <row r="8953" spans="1:7" x14ac:dyDescent="0.2">
      <c r="A8953" s="2" t="s">
        <v>3592</v>
      </c>
      <c r="B8953" s="2" t="s">
        <v>951</v>
      </c>
      <c r="C8953" s="2">
        <v>808.23720000000003</v>
      </c>
      <c r="D8953" s="2">
        <f>HYPERLINK("http://mcb-m6.bioreg.kyushu-u.ac.jp/M3/20110418/F50978/2412/1", 74.26)</f>
        <v>74.260000000000005</v>
      </c>
      <c r="E8953" s="2">
        <v>40.25</v>
      </c>
      <c r="F8953" s="2">
        <v>2</v>
      </c>
      <c r="G8953" s="2" t="s">
        <v>11</v>
      </c>
    </row>
    <row r="8954" spans="1:7" x14ac:dyDescent="0.2">
      <c r="A8954" s="2" t="s">
        <v>3592</v>
      </c>
      <c r="B8954" s="2" t="s">
        <v>951</v>
      </c>
      <c r="C8954" s="2">
        <v>808.54269999999997</v>
      </c>
      <c r="D8954" s="2">
        <f>HYPERLINK("http://mcb-m6.bioreg.kyushu-u.ac.jp/M3/20110418/F50975/2462/1", 77.67)</f>
        <v>77.67</v>
      </c>
      <c r="E8954" s="2">
        <v>61.59</v>
      </c>
      <c r="F8954" s="2">
        <v>2</v>
      </c>
      <c r="G8954" s="2" t="s">
        <v>11</v>
      </c>
    </row>
    <row r="8955" spans="1:7" x14ac:dyDescent="0.2">
      <c r="A8955" s="2" t="s">
        <v>3592</v>
      </c>
      <c r="B8955" s="2" t="s">
        <v>951</v>
      </c>
      <c r="C8955" s="2">
        <v>807.8732</v>
      </c>
      <c r="D8955" s="2">
        <f>HYPERLINK("http://mcb-m6.bioreg.kyushu-u.ac.jp/M3/20110418/F51000/2164/1", 87.95)</f>
        <v>87.95</v>
      </c>
      <c r="E8955" s="2">
        <v>61.11</v>
      </c>
      <c r="F8955" s="2">
        <v>2</v>
      </c>
      <c r="G8955" s="2" t="s">
        <v>11</v>
      </c>
    </row>
    <row r="8956" spans="1:7" x14ac:dyDescent="0.2">
      <c r="A8956" s="2" t="s">
        <v>3592</v>
      </c>
      <c r="B8956" s="2" t="s">
        <v>951</v>
      </c>
      <c r="C8956" s="2">
        <v>808.27970000000005</v>
      </c>
      <c r="D8956" s="2">
        <f>HYPERLINK("http://mcb-m6.bioreg.kyushu-u.ac.jp/M3/20110418/F51000/2165/1", 88.19)</f>
        <v>88.19</v>
      </c>
      <c r="E8956" s="2">
        <v>71.069999999999993</v>
      </c>
      <c r="F8956" s="2">
        <v>2</v>
      </c>
      <c r="G8956" s="2" t="s">
        <v>11</v>
      </c>
    </row>
    <row r="8957" spans="1:7" x14ac:dyDescent="0.2">
      <c r="A8957" s="2" t="s">
        <v>3592</v>
      </c>
      <c r="B8957" s="2" t="s">
        <v>482</v>
      </c>
      <c r="C8957" s="2">
        <v>825.77670000000001</v>
      </c>
      <c r="D8957" s="2">
        <f>HYPERLINK("http://mcb-m6.bioreg.kyushu-u.ac.jp/M3/20110418/F51000/2186/1", 92.37)</f>
        <v>92.37</v>
      </c>
      <c r="E8957" s="2">
        <v>73.510000000000005</v>
      </c>
      <c r="F8957" s="2">
        <v>2</v>
      </c>
      <c r="G8957" s="2" t="s">
        <v>11</v>
      </c>
    </row>
    <row r="8958" spans="1:7" x14ac:dyDescent="0.2">
      <c r="A8958" s="2" t="s">
        <v>3592</v>
      </c>
      <c r="B8958" s="2" t="s">
        <v>951</v>
      </c>
      <c r="C8958" s="2">
        <v>807.75570000000005</v>
      </c>
      <c r="D8958" s="2">
        <f>HYPERLINK("http://mcb-m6.bioreg.kyushu-u.ac.jp/M3/20110418/F51000/2163/1", 104.25)</f>
        <v>104.25</v>
      </c>
      <c r="E8958" s="2">
        <v>84.41</v>
      </c>
      <c r="F8958" s="2">
        <v>2</v>
      </c>
      <c r="G8958" s="2" t="s">
        <v>11</v>
      </c>
    </row>
    <row r="8959" spans="1:7" x14ac:dyDescent="0.2">
      <c r="A8959" s="2" t="s">
        <v>3592</v>
      </c>
      <c r="B8959" s="2" t="s">
        <v>951</v>
      </c>
      <c r="C8959" s="2">
        <v>807.8777</v>
      </c>
      <c r="D8959" s="2">
        <f>HYPERLINK("http://mcb-m6.bioreg.kyushu-u.ac.jp/M3/20110418/F51001/2263/1", 36.2)</f>
        <v>36.200000000000003</v>
      </c>
      <c r="E8959" s="2">
        <v>16.989999999999998</v>
      </c>
      <c r="F8959" s="2">
        <v>2</v>
      </c>
      <c r="G8959" s="2" t="s">
        <v>12</v>
      </c>
    </row>
    <row r="8960" spans="1:7" x14ac:dyDescent="0.2">
      <c r="A8960" s="2" t="s">
        <v>3592</v>
      </c>
      <c r="B8960" s="2" t="s">
        <v>482</v>
      </c>
      <c r="C8960" s="2">
        <v>826.26919999999996</v>
      </c>
      <c r="D8960" s="2">
        <f>HYPERLINK("http://mcb-m6.bioreg.kyushu-u.ac.jp/M3/20110418/F51001/2302/1", 45.2)</f>
        <v>45.2</v>
      </c>
      <c r="E8960" s="2">
        <v>33.08</v>
      </c>
      <c r="F8960" s="2">
        <v>2</v>
      </c>
      <c r="G8960" s="2" t="s">
        <v>12</v>
      </c>
    </row>
    <row r="8961" spans="1:7" x14ac:dyDescent="0.2">
      <c r="A8961" s="2" t="s">
        <v>3592</v>
      </c>
      <c r="B8961" s="2" t="s">
        <v>482</v>
      </c>
      <c r="C8961" s="2">
        <v>826.30219999999997</v>
      </c>
      <c r="D8961" s="2">
        <f>HYPERLINK("http://mcb-m6.bioreg.kyushu-u.ac.jp/M3/20110418/F50986/2489/1", 55.15)</f>
        <v>55.15</v>
      </c>
      <c r="E8961" s="2">
        <v>39.049999999999997</v>
      </c>
      <c r="F8961" s="2">
        <v>2</v>
      </c>
      <c r="G8961" s="2" t="s">
        <v>12</v>
      </c>
    </row>
    <row r="8962" spans="1:7" x14ac:dyDescent="0.2">
      <c r="A8962" s="2" t="s">
        <v>3592</v>
      </c>
      <c r="B8962" s="2" t="s">
        <v>482</v>
      </c>
      <c r="C8962" s="2">
        <v>826.27070000000003</v>
      </c>
      <c r="D8962" s="2">
        <f>HYPERLINK("http://mcb-m6.bioreg.kyushu-u.ac.jp/M3/20110418/F50989/2306/1", 59.07)</f>
        <v>59.07</v>
      </c>
      <c r="E8962" s="2">
        <v>47.19</v>
      </c>
      <c r="F8962" s="2">
        <v>2</v>
      </c>
      <c r="G8962" s="2" t="s">
        <v>12</v>
      </c>
    </row>
    <row r="8963" spans="1:7" x14ac:dyDescent="0.2">
      <c r="A8963" s="2" t="s">
        <v>3592</v>
      </c>
      <c r="B8963" s="2" t="s">
        <v>482</v>
      </c>
      <c r="C8963" s="2">
        <v>826.31370000000004</v>
      </c>
      <c r="D8963" s="2">
        <f>HYPERLINK("http://mcb-m6.bioreg.kyushu-u.ac.jp/M3/20110418/F50988/2408/1", 63.15)</f>
        <v>63.15</v>
      </c>
      <c r="E8963" s="2">
        <v>48.08</v>
      </c>
      <c r="F8963" s="2">
        <v>2</v>
      </c>
      <c r="G8963" s="2" t="s">
        <v>12</v>
      </c>
    </row>
    <row r="8964" spans="1:7" x14ac:dyDescent="0.2">
      <c r="A8964" s="2" t="s">
        <v>3592</v>
      </c>
      <c r="B8964" s="2" t="s">
        <v>482</v>
      </c>
      <c r="C8964" s="2">
        <v>826.02919999999995</v>
      </c>
      <c r="D8964" s="2">
        <f>HYPERLINK("http://mcb-m6.bioreg.kyushu-u.ac.jp/M3/20110418/F50987/2325/1", 63.33)</f>
        <v>63.33</v>
      </c>
      <c r="E8964" s="2">
        <v>50.37</v>
      </c>
      <c r="F8964" s="2">
        <v>2</v>
      </c>
      <c r="G8964" s="2" t="s">
        <v>12</v>
      </c>
    </row>
    <row r="8965" spans="1:7" x14ac:dyDescent="0.2">
      <c r="A8965" s="2" t="s">
        <v>3592</v>
      </c>
      <c r="B8965" s="2" t="s">
        <v>951</v>
      </c>
      <c r="C8965" s="2">
        <v>807.76319999999998</v>
      </c>
      <c r="D8965" s="2">
        <f>HYPERLINK("http://mcb-m6.bioreg.kyushu-u.ac.jp/M3/20110418/F51005/2136/1", 68.23)</f>
        <v>68.23</v>
      </c>
      <c r="E8965" s="2">
        <v>53.65</v>
      </c>
      <c r="F8965" s="2">
        <v>2</v>
      </c>
      <c r="G8965" s="2" t="s">
        <v>12</v>
      </c>
    </row>
    <row r="8966" spans="1:7" x14ac:dyDescent="0.2">
      <c r="A8966" s="2" t="s">
        <v>3592</v>
      </c>
      <c r="B8966" s="2" t="s">
        <v>951</v>
      </c>
      <c r="C8966" s="2">
        <v>807.81709999999998</v>
      </c>
      <c r="D8966" s="2">
        <f>HYPERLINK("http://mcb-m6.bioreg.kyushu-u.ac.jp/M3/20110418/F50986/2431/1", 77.25)</f>
        <v>77.25</v>
      </c>
      <c r="E8966" s="2">
        <v>55.47</v>
      </c>
      <c r="F8966" s="2">
        <v>2</v>
      </c>
      <c r="G8966" s="2" t="s">
        <v>12</v>
      </c>
    </row>
    <row r="8967" spans="1:7" x14ac:dyDescent="0.2">
      <c r="A8967" s="2" t="s">
        <v>3592</v>
      </c>
      <c r="B8967" s="2" t="s">
        <v>951</v>
      </c>
      <c r="C8967" s="2">
        <v>808.38620000000003</v>
      </c>
      <c r="D8967" s="2">
        <f>HYPERLINK("http://mcb-m6.bioreg.kyushu-u.ac.jp/M3/20110418/F50989/2266/1", 77.95)</f>
        <v>77.95</v>
      </c>
      <c r="E8967" s="2">
        <v>58.6</v>
      </c>
      <c r="F8967" s="2">
        <v>2</v>
      </c>
      <c r="G8967" s="2" t="s">
        <v>12</v>
      </c>
    </row>
    <row r="8968" spans="1:7" x14ac:dyDescent="0.2">
      <c r="A8968" s="2" t="s">
        <v>3592</v>
      </c>
      <c r="B8968" s="2" t="s">
        <v>951</v>
      </c>
      <c r="C8968" s="2">
        <v>807.99570000000006</v>
      </c>
      <c r="D8968" s="2">
        <f>HYPERLINK("http://mcb-m6.bioreg.kyushu-u.ac.jp/M3/20110418/F51001/2264/1", 78.86)</f>
        <v>78.86</v>
      </c>
      <c r="E8968" s="2">
        <v>64.73</v>
      </c>
      <c r="F8968" s="2">
        <v>2</v>
      </c>
      <c r="G8968" s="2" t="s">
        <v>12</v>
      </c>
    </row>
    <row r="8969" spans="1:7" x14ac:dyDescent="0.2">
      <c r="A8969" s="2" t="s">
        <v>3592</v>
      </c>
      <c r="B8969" s="2" t="s">
        <v>482</v>
      </c>
      <c r="C8969" s="2">
        <v>825.84469999999999</v>
      </c>
      <c r="D8969" s="2">
        <f>HYPERLINK("http://mcb-m6.bioreg.kyushu-u.ac.jp/M3/20110418/F51002/2273/1", 90.27)</f>
        <v>90.27</v>
      </c>
      <c r="E8969" s="2">
        <v>73.12</v>
      </c>
      <c r="F8969" s="2">
        <v>2</v>
      </c>
      <c r="G8969" s="2" t="s">
        <v>12</v>
      </c>
    </row>
    <row r="8970" spans="1:7" x14ac:dyDescent="0.2">
      <c r="A8970" s="2" t="s">
        <v>3592</v>
      </c>
      <c r="B8970" s="2" t="s">
        <v>951</v>
      </c>
      <c r="C8970" s="2">
        <v>807.82759999999996</v>
      </c>
      <c r="D8970" s="2">
        <f>HYPERLINK("http://mcb-m6.bioreg.kyushu-u.ac.jp/M3/20110418/F51002/2245/1", 102.79)</f>
        <v>102.79</v>
      </c>
      <c r="E8970" s="2">
        <v>85.84</v>
      </c>
      <c r="F8970" s="2">
        <v>2</v>
      </c>
      <c r="G8970" s="2" t="s">
        <v>12</v>
      </c>
    </row>
    <row r="8971" spans="1:7" x14ac:dyDescent="0.2">
      <c r="A8971" s="2" t="s">
        <v>3592</v>
      </c>
      <c r="B8971" s="2" t="s">
        <v>951</v>
      </c>
      <c r="C8971" s="2">
        <v>807.7097</v>
      </c>
      <c r="D8971" s="2">
        <f>HYPERLINK("http://mcb-m6.bioreg.kyushu-u.ac.jp/M3/20110418/F50988/2363/1", 102.86)</f>
        <v>102.86</v>
      </c>
      <c r="E8971" s="2">
        <v>74.58</v>
      </c>
      <c r="F8971" s="2">
        <v>2</v>
      </c>
      <c r="G8971" s="2" t="s">
        <v>12</v>
      </c>
    </row>
    <row r="8972" spans="1:7" x14ac:dyDescent="0.2">
      <c r="A8972" s="2" t="s">
        <v>3592</v>
      </c>
      <c r="B8972" s="2" t="s">
        <v>951</v>
      </c>
      <c r="C8972" s="2">
        <v>807.92110000000002</v>
      </c>
      <c r="D8972" s="2">
        <f>HYPERLINK("http://mcb-m6.bioreg.kyushu-u.ac.jp/M3/20110418/F51002/2246/1", 106.86)</f>
        <v>106.86</v>
      </c>
      <c r="E8972" s="2">
        <v>82.55</v>
      </c>
      <c r="F8972" s="2">
        <v>2</v>
      </c>
      <c r="G8972" s="2" t="s">
        <v>12</v>
      </c>
    </row>
    <row r="8973" spans="1:7" x14ac:dyDescent="0.2">
      <c r="A8973" s="2" t="s">
        <v>3592</v>
      </c>
      <c r="B8973" s="2" t="s">
        <v>482</v>
      </c>
      <c r="C8973" s="2">
        <v>826.29859999999996</v>
      </c>
      <c r="D8973" s="2">
        <f>HYPERLINK("http://mcb-m6.bioreg.kyushu-u.ac.jp/M3/20110429/F51154/2502/1", 43.33)</f>
        <v>43.33</v>
      </c>
      <c r="E8973" s="2">
        <v>30.63</v>
      </c>
      <c r="F8973" s="2">
        <v>2</v>
      </c>
      <c r="G8973" s="2" t="s">
        <v>13</v>
      </c>
    </row>
    <row r="8974" spans="1:7" x14ac:dyDescent="0.2">
      <c r="A8974" s="2" t="s">
        <v>3592</v>
      </c>
      <c r="B8974" s="2" t="s">
        <v>482</v>
      </c>
      <c r="C8974" s="2">
        <v>825.83320000000003</v>
      </c>
      <c r="D8974" s="2">
        <f>HYPERLINK("http://mcb-m6.bioreg.kyushu-u.ac.jp/M3/20110429/F51155/2560/1", 54.46)</f>
        <v>54.46</v>
      </c>
      <c r="E8974" s="2">
        <v>39.08</v>
      </c>
      <c r="F8974" s="2">
        <v>2</v>
      </c>
      <c r="G8974" s="2" t="s">
        <v>13</v>
      </c>
    </row>
    <row r="8975" spans="1:7" x14ac:dyDescent="0.2">
      <c r="A8975" s="2" t="s">
        <v>3592</v>
      </c>
      <c r="B8975" s="2" t="s">
        <v>482</v>
      </c>
      <c r="C8975" s="2">
        <v>826.23659999999995</v>
      </c>
      <c r="D8975" s="2">
        <f>HYPERLINK("http://mcb-m6.bioreg.kyushu-u.ac.jp/M3/20110502/F51163/2261/1", 55.16)</f>
        <v>55.16</v>
      </c>
      <c r="E8975" s="2">
        <v>40.72</v>
      </c>
      <c r="F8975" s="2">
        <v>2</v>
      </c>
      <c r="G8975" s="2" t="s">
        <v>13</v>
      </c>
    </row>
    <row r="8976" spans="1:7" x14ac:dyDescent="0.2">
      <c r="A8976" s="2" t="s">
        <v>3592</v>
      </c>
      <c r="B8976" s="2" t="s">
        <v>482</v>
      </c>
      <c r="C8976" s="2">
        <v>826.01319999999998</v>
      </c>
      <c r="D8976" s="2">
        <f>HYPERLINK("http://mcb-m6.bioreg.kyushu-u.ac.jp/M3/20110502/F51158/2357/1", 57.22)</f>
        <v>57.22</v>
      </c>
      <c r="E8976" s="2">
        <v>42.28</v>
      </c>
      <c r="F8976" s="2">
        <v>2</v>
      </c>
      <c r="G8976" s="2" t="s">
        <v>13</v>
      </c>
    </row>
    <row r="8977" spans="1:7" x14ac:dyDescent="0.2">
      <c r="A8977" s="2" t="s">
        <v>3592</v>
      </c>
      <c r="B8977" s="2" t="s">
        <v>951</v>
      </c>
      <c r="C8977" s="2">
        <v>808.04420000000005</v>
      </c>
      <c r="D8977" s="2">
        <f>HYPERLINK("http://mcb-m6.bioreg.kyushu-u.ac.jp/M3/20110429/F51156/2313/1", 63.29)</f>
        <v>63.29</v>
      </c>
      <c r="E8977" s="2">
        <v>43.01</v>
      </c>
      <c r="F8977" s="2">
        <v>2</v>
      </c>
      <c r="G8977" s="2" t="s">
        <v>13</v>
      </c>
    </row>
    <row r="8978" spans="1:7" x14ac:dyDescent="0.2">
      <c r="A8978" s="2" t="s">
        <v>3592</v>
      </c>
      <c r="B8978" s="2" t="s">
        <v>482</v>
      </c>
      <c r="C8978" s="2">
        <v>826.09770000000003</v>
      </c>
      <c r="D8978" s="2">
        <f>HYPERLINK("http://mcb-m6.bioreg.kyushu-u.ac.jp/M3/20110429/F51153/2640/1", 69.38)</f>
        <v>69.38</v>
      </c>
      <c r="E8978" s="2">
        <v>61.86</v>
      </c>
      <c r="F8978" s="2">
        <v>2</v>
      </c>
      <c r="G8978" s="2" t="s">
        <v>13</v>
      </c>
    </row>
    <row r="8979" spans="1:7" x14ac:dyDescent="0.2">
      <c r="A8979" s="2" t="s">
        <v>3592</v>
      </c>
      <c r="B8979" s="2" t="s">
        <v>951</v>
      </c>
      <c r="C8979" s="2">
        <v>807.88210000000004</v>
      </c>
      <c r="D8979" s="2">
        <f>HYPERLINK("http://mcb-m6.bioreg.kyushu-u.ac.jp/M3/20110429/F51153/2500/1", 71.06)</f>
        <v>71.06</v>
      </c>
      <c r="E8979" s="2">
        <v>47</v>
      </c>
      <c r="F8979" s="2">
        <v>2</v>
      </c>
      <c r="G8979" s="2" t="s">
        <v>13</v>
      </c>
    </row>
    <row r="8980" spans="1:7" x14ac:dyDescent="0.2">
      <c r="A8980" s="2" t="s">
        <v>3592</v>
      </c>
      <c r="B8980" s="2" t="s">
        <v>951</v>
      </c>
      <c r="C8980" s="2">
        <v>808.43409999999994</v>
      </c>
      <c r="D8980" s="2">
        <f>HYPERLINK("http://mcb-m6.bioreg.kyushu-u.ac.jp/M3/20110502/F51163/2174/1", 74.18)</f>
        <v>74.180000000000007</v>
      </c>
      <c r="E8980" s="2">
        <v>58.37</v>
      </c>
      <c r="F8980" s="2">
        <v>2</v>
      </c>
      <c r="G8980" s="2" t="s">
        <v>13</v>
      </c>
    </row>
    <row r="8981" spans="1:7" x14ac:dyDescent="0.2">
      <c r="A8981" s="2" t="s">
        <v>3592</v>
      </c>
      <c r="B8981" s="2" t="s">
        <v>951</v>
      </c>
      <c r="C8981" s="2">
        <v>808.33510000000001</v>
      </c>
      <c r="D8981" s="2">
        <f>HYPERLINK("http://mcb-m6.bioreg.kyushu-u.ac.jp/M3/20110429/F51154/2405/1", 80.12)</f>
        <v>80.12</v>
      </c>
      <c r="E8981" s="2">
        <v>62.95</v>
      </c>
      <c r="F8981" s="2">
        <v>2</v>
      </c>
      <c r="G8981" s="2" t="s">
        <v>13</v>
      </c>
    </row>
    <row r="8982" spans="1:7" x14ac:dyDescent="0.2">
      <c r="A8982" s="2" t="s">
        <v>3592</v>
      </c>
      <c r="B8982" s="2" t="s">
        <v>951</v>
      </c>
      <c r="C8982" s="2">
        <v>808.02809999999999</v>
      </c>
      <c r="D8982" s="2">
        <f>HYPERLINK("http://mcb-m6.bioreg.kyushu-u.ac.jp/M3/20110502/F51164/2073/1", 91.66)</f>
        <v>91.66</v>
      </c>
      <c r="E8982" s="2">
        <v>70.45</v>
      </c>
      <c r="F8982" s="2">
        <v>2</v>
      </c>
      <c r="G8982" s="2" t="s">
        <v>13</v>
      </c>
    </row>
    <row r="8983" spans="1:7" x14ac:dyDescent="0.2">
      <c r="A8983" s="2" t="s">
        <v>3592</v>
      </c>
      <c r="B8983" s="2" t="s">
        <v>951</v>
      </c>
      <c r="C8983" s="2">
        <v>808.52760000000001</v>
      </c>
      <c r="D8983" s="2">
        <f>HYPERLINK("http://mcb-m6.bioreg.kyushu-u.ac.jp/M3/20110502/F51158/2266/1", 97.4)</f>
        <v>97.4</v>
      </c>
      <c r="E8983" s="2">
        <v>82.82</v>
      </c>
      <c r="F8983" s="2">
        <v>2</v>
      </c>
      <c r="G8983" s="2" t="s">
        <v>13</v>
      </c>
    </row>
    <row r="8984" spans="1:7" x14ac:dyDescent="0.2">
      <c r="A8984" s="2" t="s">
        <v>3592</v>
      </c>
      <c r="B8984" s="2" t="s">
        <v>482</v>
      </c>
      <c r="C8984" s="2">
        <v>825.95870000000002</v>
      </c>
      <c r="D8984" s="2">
        <f>HYPERLINK("http://mcb-m6.bioreg.kyushu-u.ac.jp/M3/20110428/F51142/2658/1", 35.9)</f>
        <v>35.9</v>
      </c>
      <c r="E8984" s="2">
        <v>13.49</v>
      </c>
      <c r="F8984" s="2">
        <v>2</v>
      </c>
      <c r="G8984" s="2" t="s">
        <v>14</v>
      </c>
    </row>
    <row r="8985" spans="1:7" x14ac:dyDescent="0.2">
      <c r="A8985" s="2" t="s">
        <v>3592</v>
      </c>
      <c r="B8985" s="2" t="s">
        <v>482</v>
      </c>
      <c r="C8985" s="2">
        <v>826.40060000000005</v>
      </c>
      <c r="D8985" s="2">
        <f>HYPERLINK("http://mcb-m6.bioreg.kyushu-u.ac.jp/M3/20110428/F51143/2522/1", 46.35)</f>
        <v>46.35</v>
      </c>
      <c r="E8985" s="2">
        <v>26.89</v>
      </c>
      <c r="F8985" s="2">
        <v>2</v>
      </c>
      <c r="G8985" s="2" t="s">
        <v>14</v>
      </c>
    </row>
    <row r="8986" spans="1:7" x14ac:dyDescent="0.2">
      <c r="A8986" s="2" t="s">
        <v>3592</v>
      </c>
      <c r="B8986" s="2" t="s">
        <v>482</v>
      </c>
      <c r="C8986" s="2">
        <v>825.97220000000004</v>
      </c>
      <c r="D8986" s="2">
        <f>HYPERLINK("http://mcb-m6.bioreg.kyushu-u.ac.jp/M3/20110428/F51141/2449/1", 49.44)</f>
        <v>49.44</v>
      </c>
      <c r="E8986" s="2">
        <v>33.18</v>
      </c>
      <c r="F8986" s="2">
        <v>2</v>
      </c>
      <c r="G8986" s="2" t="s">
        <v>14</v>
      </c>
    </row>
    <row r="8987" spans="1:7" x14ac:dyDescent="0.2">
      <c r="A8987" s="2" t="s">
        <v>3592</v>
      </c>
      <c r="B8987" s="2" t="s">
        <v>482</v>
      </c>
      <c r="C8987" s="2">
        <v>826.01459999999997</v>
      </c>
      <c r="D8987" s="2">
        <f>HYPERLINK("http://mcb-m6.bioreg.kyushu-u.ac.jp/M3/20110502/F51161/2217/1", 53.84)</f>
        <v>53.84</v>
      </c>
      <c r="E8987" s="2">
        <v>41.38</v>
      </c>
      <c r="F8987" s="2">
        <v>2</v>
      </c>
      <c r="G8987" s="2" t="s">
        <v>14</v>
      </c>
    </row>
    <row r="8988" spans="1:7" x14ac:dyDescent="0.2">
      <c r="A8988" s="2" t="s">
        <v>3592</v>
      </c>
      <c r="B8988" s="2" t="s">
        <v>951</v>
      </c>
      <c r="C8988" s="2">
        <v>808.01319999999998</v>
      </c>
      <c r="D8988" s="2">
        <f>HYPERLINK("http://mcb-m6.bioreg.kyushu-u.ac.jp/M3/20110428/F51145/2306/1", 55.44)</f>
        <v>55.44</v>
      </c>
      <c r="E8988" s="2">
        <v>39.869999999999997</v>
      </c>
      <c r="F8988" s="2">
        <v>2</v>
      </c>
      <c r="G8988" s="2" t="s">
        <v>14</v>
      </c>
    </row>
    <row r="8989" spans="1:7" x14ac:dyDescent="0.2">
      <c r="A8989" s="2" t="s">
        <v>3592</v>
      </c>
      <c r="B8989" s="2" t="s">
        <v>482</v>
      </c>
      <c r="C8989" s="2">
        <v>826.02970000000005</v>
      </c>
      <c r="D8989" s="2">
        <f>HYPERLINK("http://mcb-m6.bioreg.kyushu-u.ac.jp/M3/20110502/F51162/2256/1", 55.99)</f>
        <v>55.99</v>
      </c>
      <c r="E8989" s="2">
        <v>44.83</v>
      </c>
      <c r="F8989" s="2">
        <v>2</v>
      </c>
      <c r="G8989" s="2" t="s">
        <v>14</v>
      </c>
    </row>
    <row r="8990" spans="1:7" x14ac:dyDescent="0.2">
      <c r="A8990" s="2" t="s">
        <v>3592</v>
      </c>
      <c r="B8990" s="2" t="s">
        <v>951</v>
      </c>
      <c r="C8990" s="2">
        <v>807.98910000000001</v>
      </c>
      <c r="D8990" s="2">
        <f>HYPERLINK("http://mcb-m6.bioreg.kyushu-u.ac.jp/M3/20110428/F51144/2594/1", 56.37)</f>
        <v>56.37</v>
      </c>
      <c r="E8990" s="2">
        <v>40.04</v>
      </c>
      <c r="F8990" s="2">
        <v>2</v>
      </c>
      <c r="G8990" s="2" t="s">
        <v>14</v>
      </c>
    </row>
    <row r="8991" spans="1:7" x14ac:dyDescent="0.2">
      <c r="A8991" s="2" t="s">
        <v>3592</v>
      </c>
      <c r="B8991" s="2" t="s">
        <v>482</v>
      </c>
      <c r="C8991" s="2">
        <v>826.04420000000005</v>
      </c>
      <c r="D8991" s="2">
        <f>HYPERLINK("http://mcb-m6.bioreg.kyushu-u.ac.jp/M3/20110428/F51145/2358/1", 61.51)</f>
        <v>61.51</v>
      </c>
      <c r="E8991" s="2">
        <v>45.94</v>
      </c>
      <c r="F8991" s="2">
        <v>2</v>
      </c>
      <c r="G8991" s="2" t="s">
        <v>14</v>
      </c>
    </row>
    <row r="8992" spans="1:7" x14ac:dyDescent="0.2">
      <c r="A8992" s="2" t="s">
        <v>3592</v>
      </c>
      <c r="B8992" s="2" t="s">
        <v>482</v>
      </c>
      <c r="C8992" s="2">
        <v>825.91769999999997</v>
      </c>
      <c r="D8992" s="2">
        <f>HYPERLINK("http://mcb-m6.bioreg.kyushu-u.ac.jp/M3/20110428/F51144/2670/1", 72.4)</f>
        <v>72.400000000000006</v>
      </c>
      <c r="E8992" s="2">
        <v>56.57</v>
      </c>
      <c r="F8992" s="2">
        <v>2</v>
      </c>
      <c r="G8992" s="2" t="s">
        <v>14</v>
      </c>
    </row>
    <row r="8993" spans="1:7" x14ac:dyDescent="0.2">
      <c r="A8993" s="2" t="s">
        <v>3592</v>
      </c>
      <c r="B8993" s="2" t="s">
        <v>951</v>
      </c>
      <c r="C8993" s="2">
        <v>808.48320000000001</v>
      </c>
      <c r="D8993" s="2">
        <f>HYPERLINK("http://mcb-m6.bioreg.kyushu-u.ac.jp/M3/20110428/F51142/2535/1", 77.61)</f>
        <v>77.61</v>
      </c>
      <c r="E8993" s="2">
        <v>62.59</v>
      </c>
      <c r="F8993" s="2">
        <v>2</v>
      </c>
      <c r="G8993" s="2" t="s">
        <v>14</v>
      </c>
    </row>
    <row r="8994" spans="1:7" x14ac:dyDescent="0.2">
      <c r="A8994" s="2" t="s">
        <v>3592</v>
      </c>
      <c r="B8994" s="2" t="s">
        <v>951</v>
      </c>
      <c r="C8994" s="2">
        <v>807.98820000000001</v>
      </c>
      <c r="D8994" s="2">
        <f>HYPERLINK("http://mcb-m6.bioreg.kyushu-u.ac.jp/M3/20110502/F51162/2192/1", 78.91)</f>
        <v>78.91</v>
      </c>
      <c r="E8994" s="2">
        <v>60.56</v>
      </c>
      <c r="F8994" s="2">
        <v>2</v>
      </c>
      <c r="G8994" s="2" t="s">
        <v>14</v>
      </c>
    </row>
    <row r="8995" spans="1:7" x14ac:dyDescent="0.2">
      <c r="A8995" s="2" t="s">
        <v>3592</v>
      </c>
      <c r="B8995" s="2" t="s">
        <v>951</v>
      </c>
      <c r="C8995" s="2">
        <v>808.52419999999995</v>
      </c>
      <c r="D8995" s="2">
        <f>HYPERLINK("http://mcb-m6.bioreg.kyushu-u.ac.jp/M3/20110502/F51162/2195/1", 88.54)</f>
        <v>88.54</v>
      </c>
      <c r="E8995" s="2">
        <v>68.25</v>
      </c>
      <c r="F8995" s="2">
        <v>2</v>
      </c>
      <c r="G8995" s="2" t="s">
        <v>14</v>
      </c>
    </row>
    <row r="8996" spans="1:7" x14ac:dyDescent="0.2">
      <c r="A8996" s="2" t="s">
        <v>3592</v>
      </c>
      <c r="B8996" s="2" t="s">
        <v>951</v>
      </c>
      <c r="C8996" s="2">
        <v>808.50319999999999</v>
      </c>
      <c r="D8996" s="2">
        <f>HYPERLINK("http://mcb-m6.bioreg.kyushu-u.ac.jp/M3/20110428/F51144/2597/1", 91.73)</f>
        <v>91.73</v>
      </c>
      <c r="E8996" s="2">
        <v>77.55</v>
      </c>
      <c r="F8996" s="2">
        <v>2</v>
      </c>
      <c r="G8996" s="2" t="s">
        <v>14</v>
      </c>
    </row>
    <row r="8997" spans="1:7" x14ac:dyDescent="0.2">
      <c r="A8997" s="2" t="s">
        <v>3592</v>
      </c>
      <c r="B8997" s="2" t="s">
        <v>951</v>
      </c>
      <c r="C8997" s="2">
        <v>807.97860000000003</v>
      </c>
      <c r="D8997" s="2">
        <f>HYPERLINK("http://mcb-m6.bioreg.kyushu-u.ac.jp/M3/20110428/F51142/2531/1", 95.13)</f>
        <v>95.13</v>
      </c>
      <c r="E8997" s="2">
        <v>70.14</v>
      </c>
      <c r="F8997" s="2">
        <v>2</v>
      </c>
      <c r="G8997" s="2" t="s">
        <v>14</v>
      </c>
    </row>
    <row r="8998" spans="1:7" x14ac:dyDescent="0.2">
      <c r="A8998" s="2" t="s">
        <v>3592</v>
      </c>
      <c r="B8998" s="2" t="s">
        <v>951</v>
      </c>
      <c r="C8998" s="2">
        <v>807.90470000000005</v>
      </c>
      <c r="D8998" s="2">
        <f>HYPERLINK("http://mcb-m6.bioreg.kyushu-u.ac.jp/M3/20110428/F51143/2437/1", 101.6)</f>
        <v>101.6</v>
      </c>
      <c r="E8998" s="2">
        <v>81.58</v>
      </c>
      <c r="F8998" s="2">
        <v>2</v>
      </c>
      <c r="G8998" s="2" t="s">
        <v>14</v>
      </c>
    </row>
    <row r="8999" spans="1:7" x14ac:dyDescent="0.2">
      <c r="A8999" s="2" t="s">
        <v>5779</v>
      </c>
      <c r="B8999" s="2" t="s">
        <v>5423</v>
      </c>
      <c r="C8999" s="2">
        <v>787.35969999999998</v>
      </c>
      <c r="D8999" s="2">
        <f>HYPERLINK("http://mcb-m6.bioreg.kyushu-u.ac.jp/M3/20110418/F50976/2308/1", 85.38)</f>
        <v>85.38</v>
      </c>
      <c r="E8999" s="2">
        <v>75.11</v>
      </c>
      <c r="F8999" s="2">
        <v>2</v>
      </c>
      <c r="G8999" s="2" t="s">
        <v>11</v>
      </c>
    </row>
    <row r="9000" spans="1:7" x14ac:dyDescent="0.2">
      <c r="A9000" s="2" t="s">
        <v>5759</v>
      </c>
      <c r="B9000" s="2" t="s">
        <v>5381</v>
      </c>
      <c r="C9000" s="2">
        <v>723.36320000000001</v>
      </c>
      <c r="D9000" s="2">
        <f>HYPERLINK("http://mcb-m6.bioreg.kyushu-u.ac.jp/M3/20110418/F50996/1965/1", 40.64)</f>
        <v>40.64</v>
      </c>
      <c r="E9000" s="2">
        <v>18.64</v>
      </c>
      <c r="F9000" s="2">
        <v>2</v>
      </c>
      <c r="G9000" s="2" t="s">
        <v>11</v>
      </c>
    </row>
    <row r="9001" spans="1:7" x14ac:dyDescent="0.2">
      <c r="A9001" s="2" t="s">
        <v>5759</v>
      </c>
      <c r="B9001" s="2" t="s">
        <v>5381</v>
      </c>
      <c r="C9001" s="2">
        <v>723.77620000000002</v>
      </c>
      <c r="D9001" s="2">
        <f>HYPERLINK("http://mcb-m6.bioreg.kyushu-u.ac.jp/M3/20110418/F50997/1922/1", 36.79)</f>
        <v>36.79</v>
      </c>
      <c r="E9001" s="2">
        <v>20.68</v>
      </c>
      <c r="F9001" s="2">
        <v>2</v>
      </c>
      <c r="G9001" s="2" t="s">
        <v>12</v>
      </c>
    </row>
    <row r="9003" spans="1:7" ht="15" customHeight="1" x14ac:dyDescent="0.2">
      <c r="A9003" s="5" t="s">
        <v>8160</v>
      </c>
      <c r="B9003" s="5"/>
    </row>
    <row r="9004" spans="1:7" ht="15" customHeight="1" x14ac:dyDescent="0.2">
      <c r="A9004" s="5" t="s">
        <v>8161</v>
      </c>
      <c r="B9004" s="5"/>
    </row>
    <row r="9005" spans="1:7" ht="15" customHeight="1" x14ac:dyDescent="0.2">
      <c r="A9005" s="5" t="s">
        <v>8162</v>
      </c>
      <c r="B9005" s="5"/>
    </row>
    <row r="9006" spans="1:7" ht="15" customHeight="1" x14ac:dyDescent="0.2">
      <c r="A9006" s="2" t="s">
        <v>8158</v>
      </c>
    </row>
    <row r="9007" spans="1:7" ht="15" customHeight="1" x14ac:dyDescent="0.2">
      <c r="A9007" s="2" t="s">
        <v>8159</v>
      </c>
    </row>
  </sheetData>
  <sortState ref="A2:I9002">
    <sortCondition ref="A2:A9002"/>
  </sortState>
  <mergeCells count="3">
    <mergeCell ref="A9003:B9003"/>
    <mergeCell ref="A9004:B9004"/>
    <mergeCell ref="A9005:B9005"/>
  </mergeCells>
  <phoneticPr fontId="2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700"/>
  <sheetViews>
    <sheetView workbookViewId="0">
      <selection sqref="A1:XFD2"/>
    </sheetView>
  </sheetViews>
  <sheetFormatPr defaultColWidth="9" defaultRowHeight="13.2" x14ac:dyDescent="0.2"/>
  <cols>
    <col min="1" max="16384" width="9" style="2"/>
  </cols>
  <sheetData>
    <row r="1" spans="1:9" ht="15" customHeight="1" x14ac:dyDescent="0.2">
      <c r="A1" s="1" t="s">
        <v>8166</v>
      </c>
    </row>
    <row r="3" spans="1:9" ht="15" customHeight="1" x14ac:dyDescent="0.2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</row>
    <row r="4" spans="1:9" x14ac:dyDescent="0.2">
      <c r="A4" s="2" t="s">
        <v>7655</v>
      </c>
      <c r="B4" s="2" t="s">
        <v>6235</v>
      </c>
      <c r="C4" s="2">
        <v>806.27599999999995</v>
      </c>
      <c r="D4" s="2">
        <f>HYPERLINK("http://mcb-m6.bioreg.kyushu-u.ac.jp/M3/20110404/F50755/774/1", 47.96)</f>
        <v>47.96</v>
      </c>
      <c r="E4" s="2">
        <v>5.09</v>
      </c>
      <c r="F4" s="2">
        <v>1</v>
      </c>
      <c r="G4" s="2" t="s">
        <v>9</v>
      </c>
    </row>
    <row r="5" spans="1:9" x14ac:dyDescent="0.2">
      <c r="A5" s="2" t="s">
        <v>7551</v>
      </c>
      <c r="B5" s="2" t="s">
        <v>5966</v>
      </c>
      <c r="C5" s="2">
        <v>747.32150000000001</v>
      </c>
      <c r="D5" s="2">
        <f>HYPERLINK("http://mcb-m6.bioreg.kyushu-u.ac.jp/M3/20110404/F50764/3020/1", 37.17)</f>
        <v>37.17</v>
      </c>
      <c r="E5" s="2">
        <v>21.21</v>
      </c>
      <c r="F5" s="2">
        <v>3</v>
      </c>
      <c r="G5" s="2" t="s">
        <v>9</v>
      </c>
      <c r="H5" s="2" t="s">
        <v>5900</v>
      </c>
    </row>
    <row r="6" spans="1:9" x14ac:dyDescent="0.2">
      <c r="A6" s="2" t="s">
        <v>7917</v>
      </c>
      <c r="B6" s="2" t="s">
        <v>7083</v>
      </c>
      <c r="C6" s="2">
        <v>919.39800000000002</v>
      </c>
      <c r="D6" s="2">
        <f>HYPERLINK("http://mcb-m6.bioreg.kyushu-u.ac.jp/M3/20110421/F51037/526/1", 37.74)</f>
        <v>37.74</v>
      </c>
      <c r="E6" s="2">
        <v>17.98</v>
      </c>
      <c r="F6" s="2">
        <v>1</v>
      </c>
      <c r="G6" s="2" t="s">
        <v>11</v>
      </c>
      <c r="I6" s="2" t="s">
        <v>4890</v>
      </c>
    </row>
    <row r="7" spans="1:9" x14ac:dyDescent="0.2">
      <c r="A7" s="2" t="s">
        <v>7525</v>
      </c>
      <c r="B7" s="2" t="s">
        <v>5916</v>
      </c>
      <c r="C7" s="2">
        <v>924.73820000000001</v>
      </c>
      <c r="D7" s="2">
        <f>HYPERLINK("http://mcb-m6.bioreg.kyushu-u.ac.jp/M3/20110404/F50766/2594/1", 35.44)</f>
        <v>35.44</v>
      </c>
      <c r="E7" s="2">
        <v>16.02</v>
      </c>
      <c r="F7" s="2">
        <v>2</v>
      </c>
      <c r="G7" s="2" t="s">
        <v>9</v>
      </c>
    </row>
    <row r="8" spans="1:9" x14ac:dyDescent="0.2">
      <c r="A8" s="2" t="s">
        <v>7525</v>
      </c>
      <c r="B8" s="2" t="s">
        <v>5916</v>
      </c>
      <c r="C8" s="2">
        <v>924.79769999999996</v>
      </c>
      <c r="D8" s="2">
        <f>HYPERLINK("http://mcb-m6.bioreg.kyushu-u.ac.jp/M3/20110404/F50766/2598/1", 45.95)</f>
        <v>45.95</v>
      </c>
      <c r="E8" s="2">
        <v>29.65</v>
      </c>
      <c r="F8" s="2">
        <v>2</v>
      </c>
      <c r="G8" s="2" t="s">
        <v>9</v>
      </c>
    </row>
    <row r="9" spans="1:9" x14ac:dyDescent="0.2">
      <c r="A9" s="2" t="s">
        <v>7525</v>
      </c>
      <c r="B9" s="2" t="s">
        <v>5916</v>
      </c>
      <c r="C9" s="2">
        <v>925.30409999999995</v>
      </c>
      <c r="D9" s="2">
        <f>HYPERLINK("http://mcb-m6.bioreg.kyushu-u.ac.jp/M3/20110404/F50766/2602/1", 50.31)</f>
        <v>50.31</v>
      </c>
      <c r="E9" s="2">
        <v>29.74</v>
      </c>
      <c r="F9" s="2">
        <v>2</v>
      </c>
      <c r="G9" s="2" t="s">
        <v>9</v>
      </c>
    </row>
    <row r="10" spans="1:9" x14ac:dyDescent="0.2">
      <c r="A10" s="2" t="s">
        <v>5757</v>
      </c>
      <c r="B10" s="2" t="s">
        <v>5379</v>
      </c>
      <c r="C10" s="2">
        <v>640.22170000000006</v>
      </c>
      <c r="D10" s="2">
        <f>HYPERLINK("http://mcb-m6.bioreg.kyushu-u.ac.jp/M3/20110421/F51021/1509/1", 38.57)</f>
        <v>38.57</v>
      </c>
      <c r="E10" s="2">
        <v>22.7</v>
      </c>
      <c r="F10" s="2">
        <v>2</v>
      </c>
      <c r="G10" s="2" t="s">
        <v>12</v>
      </c>
    </row>
    <row r="11" spans="1:9" x14ac:dyDescent="0.2">
      <c r="A11" s="2" t="s">
        <v>7972</v>
      </c>
      <c r="B11" s="2" t="s">
        <v>7183</v>
      </c>
      <c r="C11" s="2">
        <v>746.30160000000001</v>
      </c>
      <c r="D11" s="2">
        <f>HYPERLINK("http://mcb-m6.bioreg.kyushu-u.ac.jp/M3/20110421/F51050/2162/1", 38.98)</f>
        <v>38.979999999999997</v>
      </c>
      <c r="E11" s="2">
        <v>24.13</v>
      </c>
      <c r="F11" s="2">
        <v>2</v>
      </c>
      <c r="G11" s="2" t="s">
        <v>12</v>
      </c>
    </row>
    <row r="12" spans="1:9" x14ac:dyDescent="0.2">
      <c r="A12" s="2" t="s">
        <v>7991</v>
      </c>
      <c r="B12" s="2" t="s">
        <v>7210</v>
      </c>
      <c r="C12" s="2">
        <v>749.33619999999996</v>
      </c>
      <c r="D12" s="2">
        <f>HYPERLINK("http://mcb-m6.bioreg.kyushu-u.ac.jp/M3/20110421/F51048/2247/1", 46.29)</f>
        <v>46.29</v>
      </c>
      <c r="E12" s="2">
        <v>13.73</v>
      </c>
      <c r="F12" s="2">
        <v>2</v>
      </c>
      <c r="G12" s="2" t="s">
        <v>12</v>
      </c>
      <c r="H12" s="2" t="s">
        <v>4917</v>
      </c>
    </row>
    <row r="13" spans="1:9" x14ac:dyDescent="0.2">
      <c r="A13" s="2" t="s">
        <v>8005</v>
      </c>
      <c r="B13" s="2" t="s">
        <v>7229</v>
      </c>
      <c r="C13" s="2">
        <v>819.60500000000002</v>
      </c>
      <c r="D13" s="2">
        <f>HYPERLINK("http://mcb-m6.bioreg.kyushu-u.ac.jp/M3/20110421/F51061/638/1", 52.85)</f>
        <v>52.85</v>
      </c>
      <c r="E13" s="2">
        <v>18.809999999999999</v>
      </c>
      <c r="F13" s="2">
        <v>1</v>
      </c>
      <c r="G13" s="2" t="s">
        <v>12</v>
      </c>
    </row>
    <row r="14" spans="1:9" x14ac:dyDescent="0.2">
      <c r="A14" s="2" t="s">
        <v>8059</v>
      </c>
      <c r="B14" s="2" t="s">
        <v>7352</v>
      </c>
      <c r="C14" s="2">
        <v>698.77719999999999</v>
      </c>
      <c r="D14" s="2">
        <f>HYPERLINK("http://mcb-m6.bioreg.kyushu-u.ac.jp/M3/20110427/F51117/1785/1", 45.28)</f>
        <v>45.28</v>
      </c>
      <c r="E14" s="2">
        <v>20.54</v>
      </c>
      <c r="F14" s="2">
        <v>2</v>
      </c>
      <c r="G14" s="2" t="s">
        <v>13</v>
      </c>
    </row>
    <row r="15" spans="1:9" x14ac:dyDescent="0.2">
      <c r="A15" s="2" t="s">
        <v>8048</v>
      </c>
      <c r="B15" s="2" t="s">
        <v>7335</v>
      </c>
      <c r="C15" s="2">
        <v>566.40890000000002</v>
      </c>
      <c r="D15" s="2">
        <f>HYPERLINK("http://mcb-m6.bioreg.kyushu-u.ac.jp/M3/20110428/F51133/2432/1", 42.7)</f>
        <v>42.7</v>
      </c>
      <c r="E15" s="2">
        <v>19.93</v>
      </c>
      <c r="F15" s="2">
        <v>3</v>
      </c>
      <c r="G15" s="2" t="s">
        <v>13</v>
      </c>
      <c r="H15" s="2" t="s">
        <v>4904</v>
      </c>
      <c r="I15" s="2" t="s">
        <v>4926</v>
      </c>
    </row>
    <row r="16" spans="1:9" x14ac:dyDescent="0.2">
      <c r="A16" s="2" t="s">
        <v>7931</v>
      </c>
      <c r="B16" s="2" t="s">
        <v>7101</v>
      </c>
      <c r="C16" s="2">
        <v>636.78309999999999</v>
      </c>
      <c r="D16" s="2">
        <f>HYPERLINK("http://mcb-m6.bioreg.kyushu-u.ac.jp/M3/20110421/F51014/1703/1", 42.08)</f>
        <v>42.08</v>
      </c>
      <c r="E16" s="2">
        <v>8.35</v>
      </c>
      <c r="F16" s="2">
        <v>2</v>
      </c>
      <c r="G16" s="2" t="s">
        <v>11</v>
      </c>
      <c r="I16" s="2" t="s">
        <v>4893</v>
      </c>
    </row>
    <row r="17" spans="1:9" x14ac:dyDescent="0.2">
      <c r="A17" s="2" t="s">
        <v>7928</v>
      </c>
      <c r="B17" s="2" t="s">
        <v>7095</v>
      </c>
      <c r="C17" s="2">
        <v>949.66250000000002</v>
      </c>
      <c r="D17" s="2">
        <f>HYPERLINK("http://mcb-m6.bioreg.kyushu-u.ac.jp/M3/20110421/F51014/3311/1", 39.98)</f>
        <v>39.979999999999997</v>
      </c>
      <c r="E17" s="2">
        <v>21.78</v>
      </c>
      <c r="F17" s="2">
        <v>3</v>
      </c>
      <c r="G17" s="2" t="s">
        <v>11</v>
      </c>
      <c r="H17" s="2" t="s">
        <v>8142</v>
      </c>
      <c r="I17" s="2" t="s">
        <v>4909</v>
      </c>
    </row>
    <row r="18" spans="1:9" x14ac:dyDescent="0.2">
      <c r="A18" s="2" t="s">
        <v>8117</v>
      </c>
      <c r="B18" s="2" t="s">
        <v>7478</v>
      </c>
      <c r="C18" s="2">
        <v>644.21559999999999</v>
      </c>
      <c r="D18" s="2">
        <f>HYPERLINK("http://mcb-m6.bioreg.kyushu-u.ac.jp/M3/20110427/F51120/1750/1", 39.78)</f>
        <v>39.78</v>
      </c>
      <c r="E18" s="2">
        <v>9.9</v>
      </c>
      <c r="F18" s="2">
        <v>2</v>
      </c>
      <c r="G18" s="2" t="s">
        <v>14</v>
      </c>
      <c r="I18" s="2" t="s">
        <v>4890</v>
      </c>
    </row>
    <row r="19" spans="1:9" x14ac:dyDescent="0.2">
      <c r="A19" s="2" t="s">
        <v>7827</v>
      </c>
      <c r="B19" s="2" t="s">
        <v>6773</v>
      </c>
      <c r="C19" s="2">
        <v>535.59270000000004</v>
      </c>
      <c r="D19" s="2">
        <f>HYPERLINK("http://mcb-m6.bioreg.kyushu-u.ac.jp/M3/20110404/F50771/1153/2", 41.55)</f>
        <v>41.55</v>
      </c>
      <c r="E19" s="2">
        <v>12.7</v>
      </c>
      <c r="F19" s="2">
        <v>2</v>
      </c>
      <c r="G19" s="2" t="s">
        <v>10</v>
      </c>
    </row>
    <row r="20" spans="1:9" x14ac:dyDescent="0.2">
      <c r="A20" s="2" t="s">
        <v>7597</v>
      </c>
      <c r="B20" s="2" t="s">
        <v>6075</v>
      </c>
      <c r="C20" s="2">
        <v>561.26210000000003</v>
      </c>
      <c r="D20" s="2">
        <f>HYPERLINK("http://mcb-m6.bioreg.kyushu-u.ac.jp/M3/20110404/F50756/1195/1", 41.21)</f>
        <v>41.21</v>
      </c>
      <c r="E20" s="2">
        <v>13.13</v>
      </c>
      <c r="F20" s="2">
        <v>2</v>
      </c>
      <c r="G20" s="2" t="s">
        <v>9</v>
      </c>
      <c r="H20" s="2" t="s">
        <v>4917</v>
      </c>
    </row>
    <row r="21" spans="1:9" x14ac:dyDescent="0.2">
      <c r="A21" s="2" t="s">
        <v>7960</v>
      </c>
      <c r="B21" s="2" t="s">
        <v>7168</v>
      </c>
      <c r="C21" s="2">
        <v>1146.373</v>
      </c>
      <c r="D21" s="2">
        <f>HYPERLINK("http://mcb-m6.bioreg.kyushu-u.ac.jp/M3/20110421/F51026/1522/1", 37.17)</f>
        <v>37.17</v>
      </c>
      <c r="E21" s="2">
        <v>9.91</v>
      </c>
      <c r="F21" s="2">
        <v>1</v>
      </c>
      <c r="G21" s="2" t="s">
        <v>12</v>
      </c>
      <c r="H21" s="2" t="s">
        <v>4896</v>
      </c>
    </row>
    <row r="22" spans="1:9" x14ac:dyDescent="0.2">
      <c r="A22" s="2" t="s">
        <v>8103</v>
      </c>
      <c r="B22" s="2" t="s">
        <v>7456</v>
      </c>
      <c r="C22" s="2">
        <v>595.84090000000003</v>
      </c>
      <c r="D22" s="2">
        <f>HYPERLINK("http://mcb-m6.bioreg.kyushu-u.ac.jp/M3/20110428/F51135/2360/1", 35.97)</f>
        <v>35.97</v>
      </c>
      <c r="E22" s="2">
        <v>13</v>
      </c>
      <c r="F22" s="2">
        <v>3</v>
      </c>
      <c r="G22" s="2" t="s">
        <v>14</v>
      </c>
      <c r="H22" s="2" t="s">
        <v>4901</v>
      </c>
    </row>
    <row r="23" spans="1:9" x14ac:dyDescent="0.2">
      <c r="A23" s="2" t="s">
        <v>8026</v>
      </c>
      <c r="B23" s="2" t="s">
        <v>7288</v>
      </c>
      <c r="C23" s="2">
        <v>470.54360000000003</v>
      </c>
      <c r="D23" s="2">
        <f>HYPERLINK("http://mcb-m6.bioreg.kyushu-u.ac.jp/M3/20110428/F51131/642/1", 35.73)</f>
        <v>35.729999999999997</v>
      </c>
      <c r="E23" s="2">
        <v>11.02</v>
      </c>
      <c r="F23" s="2">
        <v>2</v>
      </c>
      <c r="G23" s="2" t="s">
        <v>13</v>
      </c>
    </row>
    <row r="24" spans="1:9" x14ac:dyDescent="0.2">
      <c r="A24" s="2" t="s">
        <v>4777</v>
      </c>
      <c r="B24" s="2" t="s">
        <v>3006</v>
      </c>
      <c r="C24" s="2">
        <v>453.06009999999998</v>
      </c>
      <c r="D24" s="2">
        <f>HYPERLINK("http://mcb-m6.bioreg.kyushu-u.ac.jp/M3/20110404/F50752/1178/1", 40.74)</f>
        <v>40.74</v>
      </c>
      <c r="E24" s="2">
        <v>14.67</v>
      </c>
      <c r="F24" s="2">
        <v>2</v>
      </c>
      <c r="G24" s="2" t="s">
        <v>9</v>
      </c>
    </row>
    <row r="25" spans="1:9" x14ac:dyDescent="0.2">
      <c r="A25" s="2" t="s">
        <v>4777</v>
      </c>
      <c r="B25" s="2" t="s">
        <v>3006</v>
      </c>
      <c r="C25" s="2">
        <v>453.2226</v>
      </c>
      <c r="D25" s="2">
        <f>HYPERLINK("http://mcb-m6.bioreg.kyushu-u.ac.jp/M3/20110421/F51035/512/1", 47.2)</f>
        <v>47.2</v>
      </c>
      <c r="E25" s="2">
        <v>17.12</v>
      </c>
      <c r="F25" s="2">
        <v>2</v>
      </c>
      <c r="G25" s="2" t="s">
        <v>11</v>
      </c>
    </row>
    <row r="26" spans="1:9" x14ac:dyDescent="0.2">
      <c r="A26" s="2" t="s">
        <v>7969</v>
      </c>
      <c r="B26" s="2" t="s">
        <v>7180</v>
      </c>
      <c r="C26" s="2">
        <v>578.86019999999996</v>
      </c>
      <c r="D26" s="2">
        <f>HYPERLINK("http://mcb-m6.bioreg.kyushu-u.ac.jp/M3/20110421/F51023/1537/1", 38.74)</f>
        <v>38.74</v>
      </c>
      <c r="E26" s="2">
        <v>14.4</v>
      </c>
      <c r="F26" s="2">
        <v>2</v>
      </c>
      <c r="G26" s="2" t="s">
        <v>12</v>
      </c>
    </row>
    <row r="27" spans="1:9" x14ac:dyDescent="0.2">
      <c r="A27" s="2" t="s">
        <v>7673</v>
      </c>
      <c r="B27" s="2" t="s">
        <v>6292</v>
      </c>
      <c r="C27" s="2">
        <v>702.41600000000005</v>
      </c>
      <c r="D27" s="2">
        <f>HYPERLINK("http://mcb-m6.bioreg.kyushu-u.ac.jp/M3/20110404/F50765/584/1", 51.15)</f>
        <v>51.15</v>
      </c>
      <c r="E27" s="2">
        <v>9.93</v>
      </c>
      <c r="F27" s="2">
        <v>1</v>
      </c>
      <c r="G27" s="2" t="s">
        <v>9</v>
      </c>
    </row>
    <row r="28" spans="1:9" x14ac:dyDescent="0.2">
      <c r="A28" s="2" t="s">
        <v>7673</v>
      </c>
      <c r="B28" s="2" t="s">
        <v>6292</v>
      </c>
      <c r="C28" s="2">
        <v>701.34799999999996</v>
      </c>
      <c r="D28" s="2">
        <f>HYPERLINK("http://mcb-m6.bioreg.kyushu-u.ac.jp/M3/20110404/F50771/677/1", 50.7)</f>
        <v>50.7</v>
      </c>
      <c r="E28" s="2">
        <v>9.64</v>
      </c>
      <c r="F28" s="2">
        <v>1</v>
      </c>
      <c r="G28" s="2" t="s">
        <v>10</v>
      </c>
    </row>
    <row r="29" spans="1:9" x14ac:dyDescent="0.2">
      <c r="A29" s="2" t="s">
        <v>7673</v>
      </c>
      <c r="B29" s="2" t="s">
        <v>6292</v>
      </c>
      <c r="C29" s="2">
        <v>702.34699999999998</v>
      </c>
      <c r="D29" s="2">
        <f>HYPERLINK("http://mcb-m6.bioreg.kyushu-u.ac.jp/M3/20110421/F51025/1124/1", 50.8)</f>
        <v>50.8</v>
      </c>
      <c r="E29" s="2">
        <v>9.65</v>
      </c>
      <c r="F29" s="2">
        <v>1</v>
      </c>
      <c r="G29" s="2" t="s">
        <v>12</v>
      </c>
    </row>
    <row r="30" spans="1:9" x14ac:dyDescent="0.2">
      <c r="A30" s="2" t="s">
        <v>7657</v>
      </c>
      <c r="B30" s="2" t="s">
        <v>6239</v>
      </c>
      <c r="C30" s="2">
        <v>507.6671</v>
      </c>
      <c r="D30" s="2">
        <f>HYPERLINK("http://mcb-m6.bioreg.kyushu-u.ac.jp/M3/20110404/F50776/1063/1", 48.26)</f>
        <v>48.26</v>
      </c>
      <c r="E30" s="2">
        <v>18.54</v>
      </c>
      <c r="F30" s="2">
        <v>2</v>
      </c>
      <c r="G30" s="2" t="s">
        <v>9</v>
      </c>
    </row>
    <row r="31" spans="1:9" x14ac:dyDescent="0.2">
      <c r="A31" s="2" t="s">
        <v>4195</v>
      </c>
      <c r="B31" s="2" t="s">
        <v>1780</v>
      </c>
      <c r="C31" s="2">
        <v>769.71770000000004</v>
      </c>
      <c r="D31" s="2">
        <f>HYPERLINK("http://mcb-m6.bioreg.kyushu-u.ac.jp/M3/20110421/F51047/2300/1", 42.9)</f>
        <v>42.9</v>
      </c>
      <c r="E31" s="2">
        <v>19.05</v>
      </c>
      <c r="F31" s="2">
        <v>2</v>
      </c>
      <c r="G31" s="2" t="s">
        <v>12</v>
      </c>
      <c r="H31" s="2" t="s">
        <v>4949</v>
      </c>
    </row>
    <row r="32" spans="1:9" x14ac:dyDescent="0.2">
      <c r="A32" s="2" t="s">
        <v>7920</v>
      </c>
      <c r="B32" s="2" t="s">
        <v>7086</v>
      </c>
      <c r="C32" s="2">
        <v>811.97220000000004</v>
      </c>
      <c r="D32" s="2">
        <f>HYPERLINK("http://mcb-m6.bioreg.kyushu-u.ac.jp/M3/20110421/F51037/2463/1", 38.58)</f>
        <v>38.58</v>
      </c>
      <c r="E32" s="2">
        <v>10.27</v>
      </c>
      <c r="F32" s="2">
        <v>2</v>
      </c>
      <c r="G32" s="2" t="s">
        <v>11</v>
      </c>
    </row>
    <row r="33" spans="1:9" x14ac:dyDescent="0.2">
      <c r="A33" s="2" t="s">
        <v>8100</v>
      </c>
      <c r="B33" s="2" t="s">
        <v>7452</v>
      </c>
      <c r="C33" s="2">
        <v>509.17009999999999</v>
      </c>
      <c r="D33" s="2">
        <f>HYPERLINK("http://mcb-m6.bioreg.kyushu-u.ac.jp/M3/20110428/F51128/953/1", 35.84)</f>
        <v>35.840000000000003</v>
      </c>
      <c r="E33" s="2">
        <v>13.07</v>
      </c>
      <c r="F33" s="2">
        <v>2</v>
      </c>
      <c r="G33" s="2" t="s">
        <v>14</v>
      </c>
      <c r="I33" s="2" t="s">
        <v>4893</v>
      </c>
    </row>
    <row r="34" spans="1:9" x14ac:dyDescent="0.2">
      <c r="A34" s="2" t="s">
        <v>5706</v>
      </c>
      <c r="B34" s="2" t="s">
        <v>5248</v>
      </c>
      <c r="C34" s="2">
        <v>525.17269999999996</v>
      </c>
      <c r="D34" s="2">
        <f>HYPERLINK("http://mcb-m6.bioreg.kyushu-u.ac.jp/M3/20110421/F51023/1369/1", 40.84)</f>
        <v>40.840000000000003</v>
      </c>
      <c r="E34" s="2">
        <v>24.03</v>
      </c>
      <c r="F34" s="2">
        <v>2</v>
      </c>
      <c r="G34" s="2" t="s">
        <v>12</v>
      </c>
    </row>
    <row r="35" spans="1:9" x14ac:dyDescent="0.2">
      <c r="A35" s="2" t="s">
        <v>4427</v>
      </c>
      <c r="B35" s="2" t="s">
        <v>2301</v>
      </c>
      <c r="C35" s="2">
        <v>603.19269999999995</v>
      </c>
      <c r="D35" s="2">
        <f>HYPERLINK("http://mcb-m6.bioreg.kyushu-u.ac.jp/M3/20110428/F51133/1251/1", 36.92)</f>
        <v>36.92</v>
      </c>
      <c r="E35" s="2">
        <v>11.25</v>
      </c>
      <c r="F35" s="2">
        <v>2</v>
      </c>
      <c r="G35" s="2" t="s">
        <v>13</v>
      </c>
    </row>
    <row r="36" spans="1:9" x14ac:dyDescent="0.2">
      <c r="A36" s="2" t="s">
        <v>7910</v>
      </c>
      <c r="B36" s="2" t="s">
        <v>7074</v>
      </c>
      <c r="C36" s="2">
        <v>597.96669999999995</v>
      </c>
      <c r="D36" s="2">
        <f>HYPERLINK("http://mcb-m6.bioreg.kyushu-u.ac.jp/M3/20110421/F51034/1325/1", 35.89)</f>
        <v>35.89</v>
      </c>
      <c r="E36" s="2">
        <v>11.37</v>
      </c>
      <c r="F36" s="2">
        <v>2</v>
      </c>
      <c r="G36" s="2" t="s">
        <v>11</v>
      </c>
      <c r="H36" s="2" t="s">
        <v>4920</v>
      </c>
    </row>
    <row r="37" spans="1:9" x14ac:dyDescent="0.2">
      <c r="A37" s="2" t="s">
        <v>7967</v>
      </c>
      <c r="B37" s="2" t="s">
        <v>7176</v>
      </c>
      <c r="C37" s="2">
        <v>652.50319999999999</v>
      </c>
      <c r="D37" s="2">
        <f>HYPERLINK("http://mcb-m6.bioreg.kyushu-u.ac.jp/M3/20110421/F51048/1726/1", 38.06)</f>
        <v>38.06</v>
      </c>
      <c r="E37" s="2">
        <v>14.47</v>
      </c>
      <c r="F37" s="2">
        <v>2</v>
      </c>
      <c r="G37" s="2" t="s">
        <v>12</v>
      </c>
      <c r="H37" s="2" t="s">
        <v>4896</v>
      </c>
    </row>
    <row r="38" spans="1:9" x14ac:dyDescent="0.2">
      <c r="A38" s="2" t="s">
        <v>7527</v>
      </c>
      <c r="B38" s="2" t="s">
        <v>5919</v>
      </c>
      <c r="C38" s="2">
        <v>722.17899999999997</v>
      </c>
      <c r="D38" s="2">
        <f>HYPERLINK("http://mcb-m6.bioreg.kyushu-u.ac.jp/M3/20110404/F50753/850/1", 35.72)</f>
        <v>35.72</v>
      </c>
      <c r="E38" s="2">
        <v>35.72</v>
      </c>
      <c r="F38" s="2">
        <v>1</v>
      </c>
      <c r="G38" s="2" t="s">
        <v>9</v>
      </c>
    </row>
    <row r="39" spans="1:9" x14ac:dyDescent="0.2">
      <c r="A39" s="2" t="s">
        <v>7809</v>
      </c>
      <c r="B39" s="2" t="s">
        <v>6743</v>
      </c>
      <c r="C39" s="2">
        <v>773.38699999999994</v>
      </c>
      <c r="D39" s="2">
        <f>HYPERLINK("http://mcb-m6.bioreg.kyushu-u.ac.jp/M3/20110404/F50758/931/7", 39.37)</f>
        <v>39.369999999999997</v>
      </c>
      <c r="E39" s="2">
        <v>39.369999999999997</v>
      </c>
      <c r="F39" s="2">
        <v>1</v>
      </c>
      <c r="G39" s="2" t="s">
        <v>10</v>
      </c>
    </row>
    <row r="40" spans="1:9" x14ac:dyDescent="0.2">
      <c r="A40" s="2" t="s">
        <v>3635</v>
      </c>
      <c r="B40" s="2" t="s">
        <v>552</v>
      </c>
      <c r="C40" s="2">
        <v>706.75419999999997</v>
      </c>
      <c r="D40" s="2">
        <f>HYPERLINK("http://mcb-m6.bioreg.kyushu-u.ac.jp/M3/20110421/F51021/1893/1", 42.97)</f>
        <v>42.97</v>
      </c>
      <c r="E40" s="2">
        <v>25.35</v>
      </c>
      <c r="F40" s="2">
        <v>2</v>
      </c>
      <c r="G40" s="2" t="s">
        <v>12</v>
      </c>
      <c r="H40" s="2" t="s">
        <v>4919</v>
      </c>
    </row>
    <row r="41" spans="1:9" x14ac:dyDescent="0.2">
      <c r="A41" s="2" t="s">
        <v>7569</v>
      </c>
      <c r="B41" s="2" t="s">
        <v>6004</v>
      </c>
      <c r="C41" s="2">
        <v>931.38419999999996</v>
      </c>
      <c r="D41" s="2">
        <f>HYPERLINK("http://mcb-m6.bioreg.kyushu-u.ac.jp/M3/20110404/F50763/2587/1", 38.51)</f>
        <v>38.51</v>
      </c>
      <c r="E41" s="2">
        <v>21.76</v>
      </c>
      <c r="F41" s="2">
        <v>2</v>
      </c>
      <c r="G41" s="2" t="s">
        <v>9</v>
      </c>
      <c r="I41" s="2" t="s">
        <v>4906</v>
      </c>
    </row>
    <row r="42" spans="1:9" x14ac:dyDescent="0.2">
      <c r="A42" s="2" t="s">
        <v>7569</v>
      </c>
      <c r="B42" s="2" t="s">
        <v>6004</v>
      </c>
      <c r="C42" s="2">
        <v>932.01070000000004</v>
      </c>
      <c r="D42" s="2">
        <f>HYPERLINK("http://mcb-m6.bioreg.kyushu-u.ac.jp/M3/20110404/F50763/2589/1", 40.6)</f>
        <v>40.6</v>
      </c>
      <c r="E42" s="2">
        <v>31.56</v>
      </c>
      <c r="F42" s="2">
        <v>2</v>
      </c>
      <c r="G42" s="2" t="s">
        <v>9</v>
      </c>
      <c r="I42" s="2" t="s">
        <v>4906</v>
      </c>
    </row>
    <row r="43" spans="1:9" x14ac:dyDescent="0.2">
      <c r="A43" s="2" t="s">
        <v>4775</v>
      </c>
      <c r="B43" s="2" t="s">
        <v>3004</v>
      </c>
      <c r="C43" s="2">
        <v>950.24109999999996</v>
      </c>
      <c r="D43" s="2">
        <f>HYPERLINK("http://mcb-m6.bioreg.kyushu-u.ac.jp/M3/20110428/F51128/2943/1", 41)</f>
        <v>41</v>
      </c>
      <c r="E43" s="2">
        <v>13.83</v>
      </c>
      <c r="F43" s="2">
        <v>2</v>
      </c>
      <c r="G43" s="2" t="s">
        <v>14</v>
      </c>
      <c r="H43" s="2" t="s">
        <v>4938</v>
      </c>
    </row>
    <row r="44" spans="1:9" x14ac:dyDescent="0.2">
      <c r="A44" s="2" t="s">
        <v>4827</v>
      </c>
      <c r="B44" s="2" t="s">
        <v>3086</v>
      </c>
      <c r="C44" s="2">
        <v>523.30470000000003</v>
      </c>
      <c r="D44" s="2">
        <f>HYPERLINK("http://mcb-m6.bioreg.kyushu-u.ac.jp/M3/20110404/F50772/1106/1", 36.23)</f>
        <v>36.229999999999997</v>
      </c>
      <c r="E44" s="2">
        <v>8.4</v>
      </c>
      <c r="F44" s="2">
        <v>2</v>
      </c>
      <c r="G44" s="2" t="s">
        <v>10</v>
      </c>
    </row>
    <row r="45" spans="1:9" x14ac:dyDescent="0.2">
      <c r="A45" s="2" t="s">
        <v>4827</v>
      </c>
      <c r="B45" s="2" t="s">
        <v>3086</v>
      </c>
      <c r="C45" s="2">
        <v>523.14469999999994</v>
      </c>
      <c r="D45" s="2">
        <f>HYPERLINK("http://mcb-m6.bioreg.kyushu-u.ac.jp/M3/20110404/F50769/1343/1", 48.16)</f>
        <v>48.16</v>
      </c>
      <c r="E45" s="2">
        <v>21.06</v>
      </c>
      <c r="F45" s="2">
        <v>2</v>
      </c>
      <c r="G45" s="2" t="s">
        <v>10</v>
      </c>
    </row>
    <row r="46" spans="1:9" x14ac:dyDescent="0.2">
      <c r="A46" s="2" t="s">
        <v>4827</v>
      </c>
      <c r="B46" s="2" t="s">
        <v>3086</v>
      </c>
      <c r="C46" s="2">
        <v>523.30520000000001</v>
      </c>
      <c r="D46" s="2">
        <f>HYPERLINK("http://mcb-m6.bioreg.kyushu-u.ac.jp/M3/20110421/F51059/818/1", 35.89)</f>
        <v>35.89</v>
      </c>
      <c r="E46" s="2">
        <v>9.89</v>
      </c>
      <c r="F46" s="2">
        <v>2</v>
      </c>
      <c r="G46" s="2" t="s">
        <v>12</v>
      </c>
    </row>
    <row r="47" spans="1:9" x14ac:dyDescent="0.2">
      <c r="A47" s="2" t="s">
        <v>4827</v>
      </c>
      <c r="B47" s="2" t="s">
        <v>3086</v>
      </c>
      <c r="C47" s="2">
        <v>523.09810000000004</v>
      </c>
      <c r="D47" s="2">
        <f>HYPERLINK("http://mcb-m6.bioreg.kyushu-u.ac.jp/M3/20110421/F51024/1271/1", 36.03)</f>
        <v>36.03</v>
      </c>
      <c r="E47" s="2">
        <v>15.28</v>
      </c>
      <c r="F47" s="2">
        <v>2</v>
      </c>
      <c r="G47" s="2" t="s">
        <v>12</v>
      </c>
    </row>
    <row r="48" spans="1:9" x14ac:dyDescent="0.2">
      <c r="A48" s="2" t="s">
        <v>4827</v>
      </c>
      <c r="B48" s="2" t="s">
        <v>3086</v>
      </c>
      <c r="C48" s="2">
        <v>523.72360000000003</v>
      </c>
      <c r="D48" s="2">
        <f>HYPERLINK("http://mcb-m6.bioreg.kyushu-u.ac.jp/M3/20110421/F51025/1417/1", 36.03)</f>
        <v>36.03</v>
      </c>
      <c r="E48" s="2">
        <v>9.92</v>
      </c>
      <c r="F48" s="2">
        <v>2</v>
      </c>
      <c r="G48" s="2" t="s">
        <v>12</v>
      </c>
    </row>
    <row r="49" spans="1:8" x14ac:dyDescent="0.2">
      <c r="A49" s="2" t="s">
        <v>3386</v>
      </c>
      <c r="B49" s="2" t="s">
        <v>179</v>
      </c>
      <c r="C49" s="2">
        <v>530.97559999999999</v>
      </c>
      <c r="D49" s="2">
        <f>HYPERLINK("http://mcb-m6.bioreg.kyushu-u.ac.jp/M3/20110404/F50763/1183/1", 36.09)</f>
        <v>36.090000000000003</v>
      </c>
      <c r="E49" s="2">
        <v>10.38</v>
      </c>
      <c r="F49" s="2">
        <v>2</v>
      </c>
      <c r="G49" s="2" t="s">
        <v>9</v>
      </c>
    </row>
    <row r="50" spans="1:8" x14ac:dyDescent="0.2">
      <c r="A50" s="2" t="s">
        <v>8109</v>
      </c>
      <c r="B50" s="2" t="s">
        <v>7462</v>
      </c>
      <c r="C50" s="2">
        <v>540.99959999999999</v>
      </c>
      <c r="D50" s="2">
        <f>HYPERLINK("http://mcb-m6.bioreg.kyushu-u.ac.jp/M3/20110427/F51124/1248/1", 36.79)</f>
        <v>36.79</v>
      </c>
      <c r="E50" s="2">
        <v>11.58</v>
      </c>
      <c r="F50" s="2">
        <v>2</v>
      </c>
      <c r="G50" s="2" t="s">
        <v>14</v>
      </c>
      <c r="H50" s="2" t="s">
        <v>4896</v>
      </c>
    </row>
    <row r="51" spans="1:8" x14ac:dyDescent="0.2">
      <c r="A51" s="2" t="s">
        <v>7976</v>
      </c>
      <c r="B51" s="2" t="s">
        <v>7188</v>
      </c>
      <c r="C51" s="2">
        <v>791.47109999999998</v>
      </c>
      <c r="D51" s="2">
        <f>HYPERLINK("http://mcb-m6.bioreg.kyushu-u.ac.jp/M3/20110421/F51023/3095/1", 40.16)</f>
        <v>40.159999999999997</v>
      </c>
      <c r="E51" s="2">
        <v>33.9</v>
      </c>
      <c r="F51" s="2">
        <v>3</v>
      </c>
      <c r="G51" s="2" t="s">
        <v>12</v>
      </c>
    </row>
    <row r="52" spans="1:8" x14ac:dyDescent="0.2">
      <c r="A52" s="2" t="s">
        <v>8123</v>
      </c>
      <c r="B52" s="2" t="s">
        <v>7496</v>
      </c>
      <c r="C52" s="2">
        <v>467.77210000000002</v>
      </c>
      <c r="D52" s="2">
        <f>HYPERLINK("http://mcb-m6.bioreg.kyushu-u.ac.jp/M3/20110428/F51128/803/1", 52.38)</f>
        <v>52.38</v>
      </c>
      <c r="E52" s="2">
        <v>16.46</v>
      </c>
      <c r="F52" s="2">
        <v>2</v>
      </c>
      <c r="G52" s="2" t="s">
        <v>14</v>
      </c>
      <c r="H52" s="2" t="s">
        <v>4891</v>
      </c>
    </row>
    <row r="53" spans="1:8" x14ac:dyDescent="0.2">
      <c r="A53" s="2" t="s">
        <v>3732</v>
      </c>
      <c r="B53" s="2" t="s">
        <v>730</v>
      </c>
      <c r="C53" s="2">
        <v>830.21500000000003</v>
      </c>
      <c r="D53" s="2">
        <f>HYPERLINK("http://mcb-m6.bioreg.kyushu-u.ac.jp/M3/20110404/F50769/1013/2", 49.73)</f>
        <v>49.73</v>
      </c>
      <c r="E53" s="2">
        <v>14.06</v>
      </c>
      <c r="F53" s="2">
        <v>1</v>
      </c>
      <c r="G53" s="2" t="s">
        <v>10</v>
      </c>
    </row>
    <row r="54" spans="1:8" x14ac:dyDescent="0.2">
      <c r="A54" s="2" t="s">
        <v>3732</v>
      </c>
      <c r="B54" s="2" t="s">
        <v>730</v>
      </c>
      <c r="C54" s="2">
        <v>831.41200000000003</v>
      </c>
      <c r="D54" s="2">
        <f>HYPERLINK("http://mcb-m6.bioreg.kyushu-u.ac.jp/M3/20110421/F51035/473/2", 49.62)</f>
        <v>49.62</v>
      </c>
      <c r="E54" s="2">
        <v>15.89</v>
      </c>
      <c r="F54" s="2">
        <v>1</v>
      </c>
      <c r="G54" s="2" t="s">
        <v>11</v>
      </c>
    </row>
    <row r="55" spans="1:8" x14ac:dyDescent="0.2">
      <c r="A55" s="2" t="s">
        <v>3732</v>
      </c>
      <c r="B55" s="2" t="s">
        <v>730</v>
      </c>
      <c r="C55" s="2">
        <v>830.42</v>
      </c>
      <c r="D55" s="2">
        <f>HYPERLINK("http://mcb-m6.bioreg.kyushu-u.ac.jp/M3/20110421/F51037/460/2", 49.92)</f>
        <v>49.92</v>
      </c>
      <c r="E55" s="2">
        <v>15.72</v>
      </c>
      <c r="F55" s="2">
        <v>1</v>
      </c>
      <c r="G55" s="2" t="s">
        <v>11</v>
      </c>
    </row>
    <row r="56" spans="1:8" x14ac:dyDescent="0.2">
      <c r="A56" s="2" t="s">
        <v>3732</v>
      </c>
      <c r="B56" s="2" t="s">
        <v>730</v>
      </c>
      <c r="C56" s="2">
        <v>830.447</v>
      </c>
      <c r="D56" s="2">
        <f>HYPERLINK("http://mcb-m6.bioreg.kyushu-u.ac.jp/M3/20110421/F51045/870/2", 49.94)</f>
        <v>49.94</v>
      </c>
      <c r="E56" s="2">
        <v>14.02</v>
      </c>
      <c r="F56" s="2">
        <v>1</v>
      </c>
      <c r="G56" s="2" t="s">
        <v>12</v>
      </c>
    </row>
    <row r="57" spans="1:8" x14ac:dyDescent="0.2">
      <c r="A57" s="2" t="s">
        <v>3732</v>
      </c>
      <c r="B57" s="2" t="s">
        <v>730</v>
      </c>
      <c r="C57" s="2">
        <v>830.98</v>
      </c>
      <c r="D57" s="2">
        <f>HYPERLINK("http://mcb-m6.bioreg.kyushu-u.ac.jp/M3/20110421/F51043/633/2", 53.72)</f>
        <v>53.72</v>
      </c>
      <c r="E57" s="2">
        <v>18.07</v>
      </c>
      <c r="F57" s="2">
        <v>1</v>
      </c>
      <c r="G57" s="2" t="s">
        <v>12</v>
      </c>
    </row>
    <row r="58" spans="1:8" x14ac:dyDescent="0.2">
      <c r="A58" s="2" t="s">
        <v>3732</v>
      </c>
      <c r="B58" s="2" t="s">
        <v>730</v>
      </c>
      <c r="C58" s="2">
        <v>830.226</v>
      </c>
      <c r="D58" s="2">
        <f>HYPERLINK("http://mcb-m6.bioreg.kyushu-u.ac.jp/M3/20110428/F51132/571/2", 49.94)</f>
        <v>49.94</v>
      </c>
      <c r="E58" s="2">
        <v>14</v>
      </c>
      <c r="F58" s="2">
        <v>1</v>
      </c>
      <c r="G58" s="2" t="s">
        <v>13</v>
      </c>
    </row>
    <row r="59" spans="1:8" x14ac:dyDescent="0.2">
      <c r="A59" s="2" t="s">
        <v>3732</v>
      </c>
      <c r="B59" s="2" t="s">
        <v>730</v>
      </c>
      <c r="C59" s="2">
        <v>831.07100000000003</v>
      </c>
      <c r="D59" s="2">
        <f>HYPERLINK("http://mcb-m6.bioreg.kyushu-u.ac.jp/M3/20110428/F51132/572/1", 53.49)</f>
        <v>53.49</v>
      </c>
      <c r="E59" s="2">
        <v>3.88</v>
      </c>
      <c r="F59" s="2">
        <v>1</v>
      </c>
      <c r="G59" s="2" t="s">
        <v>13</v>
      </c>
    </row>
    <row r="60" spans="1:8" x14ac:dyDescent="0.2">
      <c r="A60" s="2" t="s">
        <v>3732</v>
      </c>
      <c r="B60" s="2" t="s">
        <v>730</v>
      </c>
      <c r="C60" s="2">
        <v>831.22900000000004</v>
      </c>
      <c r="D60" s="2">
        <f>HYPERLINK("http://mcb-m6.bioreg.kyushu-u.ac.jp/M3/20110428/F51127/548/2", 53.5)</f>
        <v>53.5</v>
      </c>
      <c r="E60" s="2">
        <v>13.21</v>
      </c>
      <c r="F60" s="2">
        <v>1</v>
      </c>
      <c r="G60" s="2" t="s">
        <v>13</v>
      </c>
    </row>
    <row r="61" spans="1:8" x14ac:dyDescent="0.2">
      <c r="A61" s="2" t="s">
        <v>3732</v>
      </c>
      <c r="B61" s="2" t="s">
        <v>730</v>
      </c>
      <c r="C61" s="2">
        <v>830.29600000000005</v>
      </c>
      <c r="D61" s="2">
        <f>HYPERLINK("http://mcb-m6.bioreg.kyushu-u.ac.jp/M3/20110428/F51128/684/2", 54.09)</f>
        <v>54.09</v>
      </c>
      <c r="E61" s="2">
        <v>13.2</v>
      </c>
      <c r="F61" s="2">
        <v>1</v>
      </c>
      <c r="G61" s="2" t="s">
        <v>14</v>
      </c>
    </row>
    <row r="62" spans="1:8" x14ac:dyDescent="0.2">
      <c r="A62" s="2" t="s">
        <v>3732</v>
      </c>
      <c r="B62" s="2" t="s">
        <v>730</v>
      </c>
      <c r="C62" s="2">
        <v>830.25699999999995</v>
      </c>
      <c r="D62" s="2">
        <f>HYPERLINK("http://mcb-m6.bioreg.kyushu-u.ac.jp/M3/20110427/F51123/805/2", 54.11)</f>
        <v>54.11</v>
      </c>
      <c r="E62" s="2">
        <v>13.2</v>
      </c>
      <c r="F62" s="2">
        <v>1</v>
      </c>
      <c r="G62" s="2" t="s">
        <v>14</v>
      </c>
    </row>
    <row r="63" spans="1:8" x14ac:dyDescent="0.2">
      <c r="A63" s="2" t="s">
        <v>7959</v>
      </c>
      <c r="B63" s="2" t="s">
        <v>7166</v>
      </c>
      <c r="C63" s="2">
        <v>471.2285</v>
      </c>
      <c r="D63" s="2">
        <f>HYPERLINK("http://mcb-m6.bioreg.kyushu-u.ac.jp/M3/20110421/F51043/1883/1", 36.72)</f>
        <v>36.72</v>
      </c>
      <c r="E63" s="2">
        <v>13.24</v>
      </c>
      <c r="F63" s="2">
        <v>3</v>
      </c>
      <c r="G63" s="2" t="s">
        <v>12</v>
      </c>
    </row>
    <row r="64" spans="1:8" x14ac:dyDescent="0.2">
      <c r="A64" s="2" t="s">
        <v>8032</v>
      </c>
      <c r="B64" s="2" t="s">
        <v>7301</v>
      </c>
      <c r="C64" s="2">
        <v>515.59860000000003</v>
      </c>
      <c r="D64" s="2">
        <f>HYPERLINK("http://mcb-m6.bioreg.kyushu-u.ac.jp/M3/20110428/F51127/817/1", 36.74)</f>
        <v>36.74</v>
      </c>
      <c r="E64" s="2">
        <v>11.75</v>
      </c>
      <c r="F64" s="2">
        <v>2</v>
      </c>
      <c r="G64" s="2" t="s">
        <v>13</v>
      </c>
    </row>
    <row r="65" spans="1:8" x14ac:dyDescent="0.2">
      <c r="A65" s="2" t="s">
        <v>7817</v>
      </c>
      <c r="B65" s="2" t="s">
        <v>6753</v>
      </c>
      <c r="C65" s="2">
        <v>794.11599999999999</v>
      </c>
      <c r="D65" s="2">
        <f>HYPERLINK("http://mcb-m6.bioreg.kyushu-u.ac.jp/M3/20110404/F50760/699/1", 40.37)</f>
        <v>40.369999999999997</v>
      </c>
      <c r="E65" s="2">
        <v>25.39</v>
      </c>
      <c r="F65" s="2">
        <v>1</v>
      </c>
      <c r="G65" s="2" t="s">
        <v>10</v>
      </c>
    </row>
    <row r="66" spans="1:8" x14ac:dyDescent="0.2">
      <c r="A66" s="2" t="s">
        <v>8000</v>
      </c>
      <c r="B66" s="2" t="s">
        <v>7221</v>
      </c>
      <c r="C66" s="2">
        <v>480.55410000000001</v>
      </c>
      <c r="D66" s="2">
        <f>HYPERLINK("http://mcb-m6.bioreg.kyushu-u.ac.jp/M3/20110421/F51021/753/1", 49.97)</f>
        <v>49.97</v>
      </c>
      <c r="E66" s="2">
        <v>16.95</v>
      </c>
      <c r="F66" s="2">
        <v>2</v>
      </c>
      <c r="G66" s="2" t="s">
        <v>12</v>
      </c>
      <c r="H66" s="2" t="s">
        <v>4908</v>
      </c>
    </row>
    <row r="67" spans="1:8" x14ac:dyDescent="0.2">
      <c r="A67" s="2" t="s">
        <v>7786</v>
      </c>
      <c r="B67" s="2" t="s">
        <v>6684</v>
      </c>
      <c r="C67" s="2">
        <v>586.16520000000003</v>
      </c>
      <c r="D67" s="2">
        <f>HYPERLINK("http://mcb-m6.bioreg.kyushu-u.ac.jp/M3/20110404/F50770/1370/1", 35.62)</f>
        <v>35.619999999999997</v>
      </c>
      <c r="E67" s="2">
        <v>11.35</v>
      </c>
      <c r="F67" s="2">
        <v>2</v>
      </c>
      <c r="G67" s="2" t="s">
        <v>10</v>
      </c>
    </row>
    <row r="68" spans="1:8" x14ac:dyDescent="0.2">
      <c r="A68" s="2" t="s">
        <v>7823</v>
      </c>
      <c r="B68" s="2" t="s">
        <v>6768</v>
      </c>
      <c r="C68" s="2">
        <v>1104.954</v>
      </c>
      <c r="D68" s="2">
        <f>HYPERLINK("http://mcb-m6.bioreg.kyushu-u.ac.jp/M3/20110404/F50769/1415/1", 41.1)</f>
        <v>41.1</v>
      </c>
      <c r="E68" s="2">
        <v>14.13</v>
      </c>
      <c r="F68" s="2">
        <v>1</v>
      </c>
      <c r="G68" s="2" t="s">
        <v>10</v>
      </c>
      <c r="H68" s="2" t="s">
        <v>4917</v>
      </c>
    </row>
    <row r="69" spans="1:8" x14ac:dyDescent="0.2">
      <c r="A69" s="2" t="s">
        <v>4347</v>
      </c>
      <c r="B69" s="2" t="s">
        <v>2162</v>
      </c>
      <c r="C69" s="2">
        <v>964.41269999999997</v>
      </c>
      <c r="D69" s="2">
        <f>HYPERLINK("http://mcb-m6.bioreg.kyushu-u.ac.jp/M3/20110404/F50753/2809/1", 36.57)</f>
        <v>36.57</v>
      </c>
      <c r="E69" s="2">
        <v>24.13</v>
      </c>
      <c r="F69" s="2">
        <v>2</v>
      </c>
      <c r="G69" s="2" t="s">
        <v>9</v>
      </c>
      <c r="H69" s="2" t="s">
        <v>4915</v>
      </c>
    </row>
    <row r="70" spans="1:8" x14ac:dyDescent="0.2">
      <c r="A70" s="2" t="s">
        <v>4347</v>
      </c>
      <c r="B70" s="2" t="s">
        <v>2162</v>
      </c>
      <c r="C70" s="2">
        <v>964.78769999999997</v>
      </c>
      <c r="D70" s="2">
        <f>HYPERLINK("http://mcb-m6.bioreg.kyushu-u.ac.jp/M3/20110404/F50766/2819/1", 45.64)</f>
        <v>45.64</v>
      </c>
      <c r="E70" s="2">
        <v>32.58</v>
      </c>
      <c r="F70" s="2">
        <v>2</v>
      </c>
      <c r="G70" s="2" t="s">
        <v>9</v>
      </c>
      <c r="H70" s="2" t="s">
        <v>4915</v>
      </c>
    </row>
    <row r="71" spans="1:8" x14ac:dyDescent="0.2">
      <c r="A71" s="2" t="s">
        <v>4347</v>
      </c>
      <c r="B71" s="2" t="s">
        <v>2162</v>
      </c>
      <c r="C71" s="2">
        <v>964.83810000000005</v>
      </c>
      <c r="D71" s="2">
        <f>HYPERLINK("http://mcb-m6.bioreg.kyushu-u.ac.jp/M3/20110421/F51034/2985/1", 36.73)</f>
        <v>36.729999999999997</v>
      </c>
      <c r="E71" s="2">
        <v>25.23</v>
      </c>
      <c r="F71" s="2">
        <v>2</v>
      </c>
      <c r="G71" s="2" t="s">
        <v>11</v>
      </c>
      <c r="H71" s="2" t="s">
        <v>4915</v>
      </c>
    </row>
    <row r="72" spans="1:8" x14ac:dyDescent="0.2">
      <c r="A72" s="2" t="s">
        <v>4347</v>
      </c>
      <c r="B72" s="2" t="s">
        <v>2162</v>
      </c>
      <c r="C72" s="2">
        <v>964.81960000000004</v>
      </c>
      <c r="D72" s="2">
        <f>HYPERLINK("http://mcb-m6.bioreg.kyushu-u.ac.jp/M3/20110421/F51039/3071/1", 38.89)</f>
        <v>38.89</v>
      </c>
      <c r="E72" s="2">
        <v>29.19</v>
      </c>
      <c r="F72" s="2">
        <v>2</v>
      </c>
      <c r="G72" s="2" t="s">
        <v>11</v>
      </c>
      <c r="H72" s="2" t="s">
        <v>4915</v>
      </c>
    </row>
    <row r="73" spans="1:8" x14ac:dyDescent="0.2">
      <c r="A73" s="2" t="s">
        <v>4347</v>
      </c>
      <c r="B73" s="2" t="s">
        <v>2162</v>
      </c>
      <c r="C73" s="2">
        <v>964.79819999999995</v>
      </c>
      <c r="D73" s="2">
        <f>HYPERLINK("http://mcb-m6.bioreg.kyushu-u.ac.jp/M3/20110421/F51020/2855/1", 40.47)</f>
        <v>40.47</v>
      </c>
      <c r="E73" s="2">
        <v>28.77</v>
      </c>
      <c r="F73" s="2">
        <v>2</v>
      </c>
      <c r="G73" s="2" t="s">
        <v>11</v>
      </c>
      <c r="H73" s="2" t="s">
        <v>4915</v>
      </c>
    </row>
    <row r="74" spans="1:8" x14ac:dyDescent="0.2">
      <c r="A74" s="2" t="s">
        <v>4347</v>
      </c>
      <c r="B74" s="2" t="s">
        <v>2162</v>
      </c>
      <c r="C74" s="2">
        <v>964.72670000000005</v>
      </c>
      <c r="D74" s="2">
        <f>HYPERLINK("http://mcb-m6.bioreg.kyushu-u.ac.jp/M3/20110427/F51113/2810/1", 38.77)</f>
        <v>38.770000000000003</v>
      </c>
      <c r="E74" s="2">
        <v>26.73</v>
      </c>
      <c r="F74" s="2">
        <v>2</v>
      </c>
      <c r="G74" s="2" t="s">
        <v>13</v>
      </c>
      <c r="H74" s="2" t="s">
        <v>4915</v>
      </c>
    </row>
    <row r="75" spans="1:8" x14ac:dyDescent="0.2">
      <c r="A75" s="2" t="s">
        <v>4347</v>
      </c>
      <c r="B75" s="2" t="s">
        <v>2162</v>
      </c>
      <c r="C75" s="2">
        <v>964.21559999999999</v>
      </c>
      <c r="D75" s="2">
        <f>HYPERLINK("http://mcb-m6.bioreg.kyushu-u.ac.jp/M3/20110427/F51115/2809/1", 38.96)</f>
        <v>38.96</v>
      </c>
      <c r="E75" s="2">
        <v>24.51</v>
      </c>
      <c r="F75" s="2">
        <v>2</v>
      </c>
      <c r="G75" s="2" t="s">
        <v>13</v>
      </c>
      <c r="H75" s="2" t="s">
        <v>4915</v>
      </c>
    </row>
    <row r="76" spans="1:8" x14ac:dyDescent="0.2">
      <c r="A76" s="2" t="s">
        <v>4347</v>
      </c>
      <c r="B76" s="2" t="s">
        <v>2162</v>
      </c>
      <c r="C76" s="2">
        <v>964.72469999999998</v>
      </c>
      <c r="D76" s="2">
        <f>HYPERLINK("http://mcb-m6.bioreg.kyushu-u.ac.jp/M3/20110428/F51127/3049/1", 42.17)</f>
        <v>42.17</v>
      </c>
      <c r="E76" s="2">
        <v>28.22</v>
      </c>
      <c r="F76" s="2">
        <v>2</v>
      </c>
      <c r="G76" s="2" t="s">
        <v>13</v>
      </c>
      <c r="H76" s="2" t="s">
        <v>4915</v>
      </c>
    </row>
    <row r="77" spans="1:8" x14ac:dyDescent="0.2">
      <c r="A77" s="2" t="s">
        <v>4347</v>
      </c>
      <c r="B77" s="2" t="s">
        <v>2162</v>
      </c>
      <c r="C77" s="2">
        <v>964.76969999999994</v>
      </c>
      <c r="D77" s="2">
        <f>HYPERLINK("http://mcb-m6.bioreg.kyushu-u.ac.jp/M3/20110428/F51128/2998/1", 40.52)</f>
        <v>40.520000000000003</v>
      </c>
      <c r="E77" s="2">
        <v>24.4</v>
      </c>
      <c r="F77" s="2">
        <v>2</v>
      </c>
      <c r="G77" s="2" t="s">
        <v>14</v>
      </c>
      <c r="H77" s="2" t="s">
        <v>4915</v>
      </c>
    </row>
    <row r="78" spans="1:8" x14ac:dyDescent="0.2">
      <c r="A78" s="2" t="s">
        <v>4820</v>
      </c>
      <c r="B78" s="2" t="s">
        <v>3072</v>
      </c>
      <c r="C78" s="2">
        <v>522.85670000000005</v>
      </c>
      <c r="D78" s="2">
        <f>HYPERLINK("http://mcb-m6.bioreg.kyushu-u.ac.jp/M3/20110428/F51135/1052/1", 40.75)</f>
        <v>40.75</v>
      </c>
      <c r="E78" s="2">
        <v>8.2799999999999994</v>
      </c>
      <c r="F78" s="2">
        <v>2</v>
      </c>
      <c r="G78" s="2" t="s">
        <v>14</v>
      </c>
    </row>
    <row r="79" spans="1:8" x14ac:dyDescent="0.2">
      <c r="A79" s="2" t="s">
        <v>5645</v>
      </c>
      <c r="B79" s="2" t="s">
        <v>5082</v>
      </c>
      <c r="C79" s="2">
        <v>555.40869999999995</v>
      </c>
      <c r="D79" s="2">
        <f>HYPERLINK("http://mcb-m6.bioreg.kyushu-u.ac.jp/M3/20110421/F51040/1182/1", 55.21)</f>
        <v>55.21</v>
      </c>
      <c r="E79" s="2">
        <v>23.59</v>
      </c>
      <c r="F79" s="2">
        <v>2</v>
      </c>
      <c r="G79" s="2" t="s">
        <v>11</v>
      </c>
    </row>
    <row r="80" spans="1:8" x14ac:dyDescent="0.2">
      <c r="A80" s="2" t="s">
        <v>8116</v>
      </c>
      <c r="B80" s="2" t="s">
        <v>7476</v>
      </c>
      <c r="C80" s="2">
        <v>457.8501</v>
      </c>
      <c r="D80" s="2">
        <f>HYPERLINK("http://mcb-m6.bioreg.kyushu-u.ac.jp/M3/20110427/F51125/980/1", 39.44)</f>
        <v>39.44</v>
      </c>
      <c r="E80" s="2">
        <v>14.9</v>
      </c>
      <c r="F80" s="2">
        <v>2</v>
      </c>
      <c r="G80" s="2" t="s">
        <v>14</v>
      </c>
    </row>
    <row r="81" spans="1:8" x14ac:dyDescent="0.2">
      <c r="A81" s="2" t="s">
        <v>3465</v>
      </c>
      <c r="B81" s="2" t="s">
        <v>276</v>
      </c>
      <c r="C81" s="2">
        <v>517.13419999999996</v>
      </c>
      <c r="D81" s="2">
        <f>HYPERLINK("http://mcb-m6.bioreg.kyushu-u.ac.jp/M3/20110404/F50763/1141/1", 37.51)</f>
        <v>37.51</v>
      </c>
      <c r="E81" s="2">
        <v>8.81</v>
      </c>
      <c r="F81" s="2">
        <v>2</v>
      </c>
      <c r="G81" s="2" t="s">
        <v>9</v>
      </c>
    </row>
    <row r="82" spans="1:8" x14ac:dyDescent="0.2">
      <c r="A82" s="2" t="s">
        <v>3465</v>
      </c>
      <c r="B82" s="2" t="s">
        <v>276</v>
      </c>
      <c r="C82" s="2">
        <v>517.17660000000001</v>
      </c>
      <c r="D82" s="2">
        <f>HYPERLINK("http://mcb-m6.bioreg.kyushu-u.ac.jp/M3/20110404/F50773/1008/1", 37.47)</f>
        <v>37.47</v>
      </c>
      <c r="E82" s="2">
        <v>8.83</v>
      </c>
      <c r="F82" s="2">
        <v>2</v>
      </c>
      <c r="G82" s="2" t="s">
        <v>10</v>
      </c>
    </row>
    <row r="83" spans="1:8" x14ac:dyDescent="0.2">
      <c r="A83" s="2" t="s">
        <v>3465</v>
      </c>
      <c r="B83" s="2" t="s">
        <v>276</v>
      </c>
      <c r="C83" s="2">
        <v>517.30970000000002</v>
      </c>
      <c r="D83" s="2">
        <f>HYPERLINK("http://mcb-m6.bioreg.kyushu-u.ac.jp/M3/20110421/F51035/844/1", 38.29)</f>
        <v>38.29</v>
      </c>
      <c r="E83" s="2">
        <v>9.67</v>
      </c>
      <c r="F83" s="2">
        <v>2</v>
      </c>
      <c r="G83" s="2" t="s">
        <v>11</v>
      </c>
    </row>
    <row r="84" spans="1:8" x14ac:dyDescent="0.2">
      <c r="A84" s="2" t="s">
        <v>3465</v>
      </c>
      <c r="B84" s="2" t="s">
        <v>276</v>
      </c>
      <c r="C84" s="2">
        <v>517.17020000000002</v>
      </c>
      <c r="D84" s="2">
        <f>HYPERLINK("http://mcb-m6.bioreg.kyushu-u.ac.jp/M3/20110421/F51021/900/1", 37.56)</f>
        <v>37.56</v>
      </c>
      <c r="E84" s="2">
        <v>8.84</v>
      </c>
      <c r="F84" s="2">
        <v>2</v>
      </c>
      <c r="G84" s="2" t="s">
        <v>12</v>
      </c>
    </row>
    <row r="85" spans="1:8" x14ac:dyDescent="0.2">
      <c r="A85" s="2" t="s">
        <v>3465</v>
      </c>
      <c r="B85" s="2" t="s">
        <v>276</v>
      </c>
      <c r="C85" s="2">
        <v>517.37019999999995</v>
      </c>
      <c r="D85" s="2">
        <f>HYPERLINK("http://mcb-m6.bioreg.kyushu-u.ac.jp/M3/20110421/F51043/1012/1", 38.03)</f>
        <v>38.03</v>
      </c>
      <c r="E85" s="2">
        <v>11.7</v>
      </c>
      <c r="F85" s="2">
        <v>2</v>
      </c>
      <c r="G85" s="2" t="s">
        <v>12</v>
      </c>
    </row>
    <row r="86" spans="1:8" x14ac:dyDescent="0.2">
      <c r="A86" s="2" t="s">
        <v>3465</v>
      </c>
      <c r="B86" s="2" t="s">
        <v>276</v>
      </c>
      <c r="C86" s="2">
        <v>517.21169999999995</v>
      </c>
      <c r="D86" s="2">
        <f>HYPERLINK("http://mcb-m6.bioreg.kyushu-u.ac.jp/M3/20110427/F51113/1084/1", 38.84)</f>
        <v>38.840000000000003</v>
      </c>
      <c r="E86" s="2">
        <v>10.09</v>
      </c>
      <c r="F86" s="2">
        <v>2</v>
      </c>
      <c r="G86" s="2" t="s">
        <v>13</v>
      </c>
    </row>
    <row r="87" spans="1:8" x14ac:dyDescent="0.2">
      <c r="A87" s="2" t="s">
        <v>3465</v>
      </c>
      <c r="B87" s="2" t="s">
        <v>276</v>
      </c>
      <c r="C87" s="2">
        <v>517.40060000000005</v>
      </c>
      <c r="D87" s="2">
        <f>HYPERLINK("http://mcb-m6.bioreg.kyushu-u.ac.jp/M3/20110427/F51122/1341/1", 35.33)</f>
        <v>35.33</v>
      </c>
      <c r="E87" s="2">
        <v>14.82</v>
      </c>
      <c r="F87" s="2">
        <v>2</v>
      </c>
      <c r="G87" s="2" t="s">
        <v>14</v>
      </c>
    </row>
    <row r="88" spans="1:8" x14ac:dyDescent="0.2">
      <c r="A88" s="2" t="s">
        <v>3465</v>
      </c>
      <c r="B88" s="2" t="s">
        <v>276</v>
      </c>
      <c r="C88" s="2">
        <v>517.07259999999997</v>
      </c>
      <c r="D88" s="2">
        <f>HYPERLINK("http://mcb-m6.bioreg.kyushu-u.ac.jp/M3/20110428/F51128/983/1", 35.63)</f>
        <v>35.630000000000003</v>
      </c>
      <c r="E88" s="2">
        <v>8.4</v>
      </c>
      <c r="F88" s="2">
        <v>2</v>
      </c>
      <c r="G88" s="2" t="s">
        <v>14</v>
      </c>
    </row>
    <row r="89" spans="1:8" x14ac:dyDescent="0.2">
      <c r="A89" s="2" t="s">
        <v>7795</v>
      </c>
      <c r="B89" s="2" t="s">
        <v>6706</v>
      </c>
      <c r="C89" s="2">
        <v>644.3682</v>
      </c>
      <c r="D89" s="2">
        <f>HYPERLINK("http://mcb-m6.bioreg.kyushu-u.ac.jp/M3/20110404/F50781/1478/1", 37.06)</f>
        <v>37.06</v>
      </c>
      <c r="E89" s="2">
        <v>13.79</v>
      </c>
      <c r="F89" s="2">
        <v>2</v>
      </c>
      <c r="G89" s="2" t="s">
        <v>10</v>
      </c>
    </row>
    <row r="90" spans="1:8" x14ac:dyDescent="0.2">
      <c r="A90" s="2" t="s">
        <v>7965</v>
      </c>
      <c r="B90" s="2" t="s">
        <v>7173</v>
      </c>
      <c r="C90" s="2">
        <v>885.01969999999994</v>
      </c>
      <c r="D90" s="2">
        <f>HYPERLINK("http://mcb-m6.bioreg.kyushu-u.ac.jp/M3/20110421/F51043/2687/1", 37.85)</f>
        <v>37.85</v>
      </c>
      <c r="E90" s="2">
        <v>25.06</v>
      </c>
      <c r="F90" s="2">
        <v>2</v>
      </c>
      <c r="G90" s="2" t="s">
        <v>12</v>
      </c>
      <c r="H90" s="2" t="s">
        <v>4949</v>
      </c>
    </row>
    <row r="91" spans="1:8" x14ac:dyDescent="0.2">
      <c r="A91" s="2" t="s">
        <v>8024</v>
      </c>
      <c r="B91" s="2" t="s">
        <v>7285</v>
      </c>
      <c r="C91" s="2">
        <v>450.95460000000003</v>
      </c>
      <c r="D91" s="2">
        <f>HYPERLINK("http://mcb-m6.bioreg.kyushu-u.ac.jp/M3/20110427/F51116/831/1", 35.48)</f>
        <v>35.479999999999997</v>
      </c>
      <c r="E91" s="2">
        <v>9.4700000000000006</v>
      </c>
      <c r="F91" s="2">
        <v>2</v>
      </c>
      <c r="G91" s="2" t="s">
        <v>13</v>
      </c>
    </row>
    <row r="92" spans="1:8" x14ac:dyDescent="0.2">
      <c r="A92" s="2" t="s">
        <v>7814</v>
      </c>
      <c r="B92" s="2" t="s">
        <v>6749</v>
      </c>
      <c r="C92" s="2">
        <v>490.05459999999999</v>
      </c>
      <c r="D92" s="2">
        <f>HYPERLINK("http://mcb-m6.bioreg.kyushu-u.ac.jp/M3/20110404/F50757/1461/1", 40.11)</f>
        <v>40.11</v>
      </c>
      <c r="E92" s="2">
        <v>16.59</v>
      </c>
      <c r="F92" s="2">
        <v>2</v>
      </c>
      <c r="G92" s="2" t="s">
        <v>10</v>
      </c>
      <c r="H92" s="2" t="s">
        <v>4908</v>
      </c>
    </row>
    <row r="93" spans="1:8" x14ac:dyDescent="0.2">
      <c r="A93" s="2" t="s">
        <v>8098</v>
      </c>
      <c r="B93" s="2" t="s">
        <v>7449</v>
      </c>
      <c r="C93" s="2">
        <v>453.93009999999998</v>
      </c>
      <c r="D93" s="2">
        <f>HYPERLINK("http://mcb-m6.bioreg.kyushu-u.ac.jp/M3/20110427/F51124/855/1", 35.55)</f>
        <v>35.549999999999997</v>
      </c>
      <c r="E93" s="2">
        <v>17.95</v>
      </c>
      <c r="F93" s="2">
        <v>2</v>
      </c>
      <c r="G93" s="2" t="s">
        <v>14</v>
      </c>
    </row>
    <row r="94" spans="1:8" x14ac:dyDescent="0.2">
      <c r="A94" s="2" t="s">
        <v>7961</v>
      </c>
      <c r="B94" s="2" t="s">
        <v>7169</v>
      </c>
      <c r="C94" s="2">
        <v>477.90109999999999</v>
      </c>
      <c r="D94" s="2">
        <f>HYPERLINK("http://mcb-m6.bioreg.kyushu-u.ac.jp/M3/20110421/F51044/772/1", 37.25)</f>
        <v>37.25</v>
      </c>
      <c r="E94" s="2">
        <v>18.170000000000002</v>
      </c>
      <c r="F94" s="2">
        <v>2</v>
      </c>
      <c r="G94" s="2" t="s">
        <v>12</v>
      </c>
    </row>
    <row r="95" spans="1:8" x14ac:dyDescent="0.2">
      <c r="A95" s="2" t="s">
        <v>7990</v>
      </c>
      <c r="B95" s="2" t="s">
        <v>7209</v>
      </c>
      <c r="C95" s="2">
        <v>514.18820000000005</v>
      </c>
      <c r="D95" s="2">
        <f>HYPERLINK("http://mcb-m6.bioreg.kyushu-u.ac.jp/M3/20110421/F51021/886/1", 46.15)</f>
        <v>46.15</v>
      </c>
      <c r="E95" s="2">
        <v>23.07</v>
      </c>
      <c r="F95" s="2">
        <v>2</v>
      </c>
      <c r="G95" s="2" t="s">
        <v>12</v>
      </c>
    </row>
    <row r="96" spans="1:8" x14ac:dyDescent="0.2">
      <c r="A96" s="2" t="s">
        <v>7528</v>
      </c>
      <c r="B96" s="2" t="s">
        <v>5920</v>
      </c>
      <c r="C96" s="2">
        <v>599.76919999999996</v>
      </c>
      <c r="D96" s="2">
        <f>HYPERLINK("http://mcb-m6.bioreg.kyushu-u.ac.jp/M3/20110404/F50765/1240/1", 35.75)</f>
        <v>35.75</v>
      </c>
      <c r="E96" s="2">
        <v>17.2</v>
      </c>
      <c r="F96" s="2">
        <v>2</v>
      </c>
      <c r="G96" s="2" t="s">
        <v>9</v>
      </c>
    </row>
    <row r="97" spans="1:9" x14ac:dyDescent="0.2">
      <c r="A97" s="2" t="s">
        <v>7813</v>
      </c>
      <c r="B97" s="2" t="s">
        <v>6748</v>
      </c>
      <c r="C97" s="2">
        <v>675.30700000000002</v>
      </c>
      <c r="D97" s="2">
        <f>HYPERLINK("http://mcb-m6.bioreg.kyushu-u.ac.jp/M3/20110404/F50771/647/2", 39.86)</f>
        <v>39.86</v>
      </c>
      <c r="E97" s="2">
        <v>16.18</v>
      </c>
      <c r="F97" s="2">
        <v>1</v>
      </c>
      <c r="G97" s="2" t="s">
        <v>10</v>
      </c>
    </row>
    <row r="98" spans="1:9" x14ac:dyDescent="0.2">
      <c r="A98" s="2" t="s">
        <v>7533</v>
      </c>
      <c r="B98" s="2" t="s">
        <v>5934</v>
      </c>
      <c r="C98" s="2">
        <v>504.56110000000001</v>
      </c>
      <c r="D98" s="2">
        <f>HYPERLINK("http://mcb-m6.bioreg.kyushu-u.ac.jp/M3/20110404/F50756/1015/1", 36.28)</f>
        <v>36.28</v>
      </c>
      <c r="E98" s="2">
        <v>13.11</v>
      </c>
      <c r="F98" s="2">
        <v>2</v>
      </c>
      <c r="G98" s="2" t="s">
        <v>9</v>
      </c>
    </row>
    <row r="99" spans="1:9" x14ac:dyDescent="0.2">
      <c r="A99" s="2" t="s">
        <v>7808</v>
      </c>
      <c r="B99" s="2" t="s">
        <v>6742</v>
      </c>
      <c r="C99" s="2">
        <v>773.38699999999994</v>
      </c>
      <c r="D99" s="2">
        <f>HYPERLINK("http://mcb-m6.bioreg.kyushu-u.ac.jp/M3/20110404/F50758/931/5", 39.37)</f>
        <v>39.369999999999997</v>
      </c>
      <c r="E99" s="2">
        <v>39.369999999999997</v>
      </c>
      <c r="F99" s="2">
        <v>1</v>
      </c>
      <c r="G99" s="2" t="s">
        <v>10</v>
      </c>
    </row>
    <row r="100" spans="1:9" x14ac:dyDescent="0.2">
      <c r="A100" s="2" t="s">
        <v>7839</v>
      </c>
      <c r="B100" s="2" t="s">
        <v>6797</v>
      </c>
      <c r="C100" s="2">
        <v>460.78210000000001</v>
      </c>
      <c r="D100" s="2">
        <f>HYPERLINK("http://mcb-m6.bioreg.kyushu-u.ac.jp/M3/20110404/F50781/915/1", 43.78)</f>
        <v>43.78</v>
      </c>
      <c r="E100" s="2">
        <v>16.010000000000002</v>
      </c>
      <c r="F100" s="2">
        <v>2</v>
      </c>
      <c r="G100" s="2" t="s">
        <v>10</v>
      </c>
    </row>
    <row r="101" spans="1:9" x14ac:dyDescent="0.2">
      <c r="A101" s="2" t="s">
        <v>7531</v>
      </c>
      <c r="B101" s="2" t="s">
        <v>5928</v>
      </c>
      <c r="C101" s="2">
        <v>476.44110000000001</v>
      </c>
      <c r="D101" s="2">
        <f>HYPERLINK("http://mcb-m6.bioreg.kyushu-u.ac.jp/M3/20110404/F50753/1142/1", 36.05)</f>
        <v>36.049999999999997</v>
      </c>
      <c r="E101" s="2">
        <v>14.94</v>
      </c>
      <c r="F101" s="2">
        <v>2</v>
      </c>
      <c r="G101" s="2" t="s">
        <v>9</v>
      </c>
    </row>
    <row r="102" spans="1:9" x14ac:dyDescent="0.2">
      <c r="A102" s="2" t="s">
        <v>4148</v>
      </c>
      <c r="B102" s="2" t="s">
        <v>1700</v>
      </c>
      <c r="C102" s="2">
        <v>485.99160000000001</v>
      </c>
      <c r="D102" s="2">
        <f>HYPERLINK("http://mcb-m6.bioreg.kyushu-u.ac.jp/M3/20110427/F51120/1252/1", 37.37)</f>
        <v>37.369999999999997</v>
      </c>
      <c r="E102" s="2">
        <v>12.2</v>
      </c>
      <c r="F102" s="2">
        <v>2</v>
      </c>
      <c r="G102" s="2" t="s">
        <v>14</v>
      </c>
    </row>
    <row r="103" spans="1:9" x14ac:dyDescent="0.2">
      <c r="A103" s="2" t="s">
        <v>7966</v>
      </c>
      <c r="B103" s="2" t="s">
        <v>7175</v>
      </c>
      <c r="C103" s="2">
        <v>458.79610000000002</v>
      </c>
      <c r="D103" s="2">
        <f>HYPERLINK("http://mcb-m6.bioreg.kyushu-u.ac.jp/M3/20110421/F51023/1083/1", 37.99)</f>
        <v>37.99</v>
      </c>
      <c r="E103" s="2">
        <v>8.27</v>
      </c>
      <c r="F103" s="2">
        <v>2</v>
      </c>
      <c r="G103" s="2" t="s">
        <v>12</v>
      </c>
    </row>
    <row r="104" spans="1:9" x14ac:dyDescent="0.2">
      <c r="A104" s="2" t="s">
        <v>4770</v>
      </c>
      <c r="B104" s="2" t="s">
        <v>7075</v>
      </c>
      <c r="C104" s="2">
        <v>685.32650000000001</v>
      </c>
      <c r="D104" s="2">
        <f>HYPERLINK("http://mcb-m6.bioreg.kyushu-u.ac.jp/M3/20110421/F51042/3410/1", 35.96)</f>
        <v>35.96</v>
      </c>
      <c r="E104" s="2">
        <v>17.350000000000001</v>
      </c>
      <c r="F104" s="2">
        <v>3</v>
      </c>
      <c r="G104" s="2" t="s">
        <v>11</v>
      </c>
      <c r="I104" s="2" t="s">
        <v>8141</v>
      </c>
    </row>
    <row r="105" spans="1:9" x14ac:dyDescent="0.2">
      <c r="A105" s="2" t="s">
        <v>7971</v>
      </c>
      <c r="B105" s="2" t="s">
        <v>7182</v>
      </c>
      <c r="C105" s="2">
        <v>475.99209999999999</v>
      </c>
      <c r="D105" s="2">
        <f>HYPERLINK("http://mcb-m6.bioreg.kyushu-u.ac.jp/M3/20110421/F51047/825/1", 38.82)</f>
        <v>38.82</v>
      </c>
      <c r="E105" s="2">
        <v>21.27</v>
      </c>
      <c r="F105" s="2">
        <v>2</v>
      </c>
      <c r="G105" s="2" t="s">
        <v>12</v>
      </c>
      <c r="I105" s="2" t="s">
        <v>4898</v>
      </c>
    </row>
    <row r="106" spans="1:9" x14ac:dyDescent="0.2">
      <c r="A106" s="2" t="s">
        <v>4519</v>
      </c>
      <c r="B106" s="2" t="s">
        <v>2533</v>
      </c>
      <c r="C106" s="2">
        <v>930.7731</v>
      </c>
      <c r="D106" s="2">
        <f>HYPERLINK("http://mcb-m6.bioreg.kyushu-u.ac.jp/M3/20110404/F50755/2773/1", 37.65)</f>
        <v>37.65</v>
      </c>
      <c r="E106" s="2">
        <v>16.489999999999998</v>
      </c>
      <c r="F106" s="2">
        <v>2</v>
      </c>
      <c r="G106" s="2" t="s">
        <v>9</v>
      </c>
    </row>
    <row r="107" spans="1:9" x14ac:dyDescent="0.2">
      <c r="A107" s="2" t="s">
        <v>7799</v>
      </c>
      <c r="B107" s="2" t="s">
        <v>6717</v>
      </c>
      <c r="C107" s="2">
        <v>453.01060000000001</v>
      </c>
      <c r="D107" s="2">
        <f>HYPERLINK("http://mcb-m6.bioreg.kyushu-u.ac.jp/M3/20110404/F50781/877/1", 37.61)</f>
        <v>37.61</v>
      </c>
      <c r="E107" s="2">
        <v>8.2200000000000006</v>
      </c>
      <c r="F107" s="2">
        <v>2</v>
      </c>
      <c r="G107" s="2" t="s">
        <v>10</v>
      </c>
      <c r="H107" s="2" t="s">
        <v>4891</v>
      </c>
    </row>
    <row r="108" spans="1:9" x14ac:dyDescent="0.2">
      <c r="A108" s="2" t="s">
        <v>3668</v>
      </c>
      <c r="B108" s="2" t="s">
        <v>608</v>
      </c>
      <c r="C108" s="2">
        <v>729.37300000000005</v>
      </c>
      <c r="D108" s="2">
        <f>HYPERLINK("http://mcb-m6.bioreg.kyushu-u.ac.jp/M3/20110404/F50776/736/2", 46.52)</f>
        <v>46.52</v>
      </c>
      <c r="E108" s="2">
        <v>7.25</v>
      </c>
      <c r="F108" s="2">
        <v>1</v>
      </c>
      <c r="G108" s="2" t="s">
        <v>9</v>
      </c>
    </row>
    <row r="109" spans="1:9" x14ac:dyDescent="0.2">
      <c r="A109" s="2" t="s">
        <v>3668</v>
      </c>
      <c r="B109" s="2" t="s">
        <v>608</v>
      </c>
      <c r="C109" s="2">
        <v>729.52800000000002</v>
      </c>
      <c r="D109" s="2">
        <f>HYPERLINK("http://mcb-m6.bioreg.kyushu-u.ac.jp/M3/20110404/F50772/670/2", 46.53)</f>
        <v>46.53</v>
      </c>
      <c r="E109" s="2">
        <v>7.24</v>
      </c>
      <c r="F109" s="2">
        <v>1</v>
      </c>
      <c r="G109" s="2" t="s">
        <v>10</v>
      </c>
    </row>
    <row r="110" spans="1:9" x14ac:dyDescent="0.2">
      <c r="A110" s="2" t="s">
        <v>3668</v>
      </c>
      <c r="B110" s="2" t="s">
        <v>608</v>
      </c>
      <c r="C110" s="2">
        <v>729.40099999999995</v>
      </c>
      <c r="D110" s="2">
        <f>HYPERLINK("http://mcb-m6.bioreg.kyushu-u.ac.jp/M3/20110404/F50773/654/2", 46.62)</f>
        <v>46.62</v>
      </c>
      <c r="E110" s="2">
        <v>7.24</v>
      </c>
      <c r="F110" s="2">
        <v>1</v>
      </c>
      <c r="G110" s="2" t="s">
        <v>10</v>
      </c>
    </row>
    <row r="111" spans="1:9" x14ac:dyDescent="0.2">
      <c r="A111" s="2" t="s">
        <v>3668</v>
      </c>
      <c r="B111" s="2" t="s">
        <v>608</v>
      </c>
      <c r="C111" s="2">
        <v>729.33799999999997</v>
      </c>
      <c r="D111" s="2">
        <f>HYPERLINK("http://mcb-m6.bioreg.kyushu-u.ac.jp/M3/20110404/F50775/670/2", 46.83)</f>
        <v>46.83</v>
      </c>
      <c r="E111" s="2">
        <v>7.23</v>
      </c>
      <c r="F111" s="2">
        <v>1</v>
      </c>
      <c r="G111" s="2" t="s">
        <v>10</v>
      </c>
    </row>
    <row r="112" spans="1:9" x14ac:dyDescent="0.2">
      <c r="A112" s="2" t="s">
        <v>3668</v>
      </c>
      <c r="B112" s="2" t="s">
        <v>608</v>
      </c>
      <c r="C112" s="2">
        <v>729.22699999999998</v>
      </c>
      <c r="D112" s="2">
        <f>HYPERLINK("http://mcb-m6.bioreg.kyushu-u.ac.jp/M3/20110428/F51127/484/2", 46.49)</f>
        <v>46.49</v>
      </c>
      <c r="E112" s="2">
        <v>7.24</v>
      </c>
      <c r="F112" s="2">
        <v>1</v>
      </c>
      <c r="G112" s="2" t="s">
        <v>13</v>
      </c>
    </row>
    <row r="113" spans="1:9" x14ac:dyDescent="0.2">
      <c r="A113" s="2" t="s">
        <v>3668</v>
      </c>
      <c r="B113" s="2" t="s">
        <v>608</v>
      </c>
      <c r="C113" s="2">
        <v>729.22900000000004</v>
      </c>
      <c r="D113" s="2">
        <f>HYPERLINK("http://mcb-m6.bioreg.kyushu-u.ac.jp/M3/20110427/F51114/607/2", 46.76)</f>
        <v>46.76</v>
      </c>
      <c r="E113" s="2">
        <v>7.24</v>
      </c>
      <c r="F113" s="2">
        <v>1</v>
      </c>
      <c r="G113" s="2" t="s">
        <v>13</v>
      </c>
    </row>
    <row r="114" spans="1:9" x14ac:dyDescent="0.2">
      <c r="A114" s="2" t="s">
        <v>3668</v>
      </c>
      <c r="B114" s="2" t="s">
        <v>608</v>
      </c>
      <c r="C114" s="2">
        <v>729.18399999999997</v>
      </c>
      <c r="D114" s="2">
        <f>HYPERLINK("http://mcb-m6.bioreg.kyushu-u.ac.jp/M3/20110428/F51132/530/2", 46.77)</f>
        <v>46.77</v>
      </c>
      <c r="E114" s="2">
        <v>7.24</v>
      </c>
      <c r="F114" s="2">
        <v>1</v>
      </c>
      <c r="G114" s="2" t="s">
        <v>13</v>
      </c>
    </row>
    <row r="115" spans="1:9" x14ac:dyDescent="0.2">
      <c r="A115" s="2" t="s">
        <v>4190</v>
      </c>
      <c r="B115" s="2" t="s">
        <v>1774</v>
      </c>
      <c r="C115" s="2">
        <v>955.79219999999998</v>
      </c>
      <c r="D115" s="2">
        <f>HYPERLINK("http://mcb-m6.bioreg.kyushu-u.ac.jp/M3/20110421/F51019/2813/1", 35.8)</f>
        <v>35.799999999999997</v>
      </c>
      <c r="E115" s="2">
        <v>10.62</v>
      </c>
      <c r="F115" s="2">
        <v>2</v>
      </c>
      <c r="G115" s="2" t="s">
        <v>11</v>
      </c>
      <c r="H115" s="2" t="s">
        <v>4948</v>
      </c>
    </row>
    <row r="116" spans="1:9" x14ac:dyDescent="0.2">
      <c r="A116" s="2" t="s">
        <v>4190</v>
      </c>
      <c r="B116" s="2" t="s">
        <v>1774</v>
      </c>
      <c r="C116" s="2">
        <v>955.77760000000001</v>
      </c>
      <c r="D116" s="2">
        <f>HYPERLINK("http://mcb-m6.bioreg.kyushu-u.ac.jp/M3/20110421/F51023/2761/1", 40.26)</f>
        <v>40.26</v>
      </c>
      <c r="E116" s="2">
        <v>14.71</v>
      </c>
      <c r="F116" s="2">
        <v>2</v>
      </c>
      <c r="G116" s="2" t="s">
        <v>12</v>
      </c>
      <c r="H116" s="2" t="s">
        <v>4948</v>
      </c>
    </row>
    <row r="117" spans="1:9" x14ac:dyDescent="0.2">
      <c r="A117" s="2" t="s">
        <v>4190</v>
      </c>
      <c r="B117" s="2" t="s">
        <v>1774</v>
      </c>
      <c r="C117" s="2">
        <v>955.6422</v>
      </c>
      <c r="D117" s="2">
        <f>HYPERLINK("http://mcb-m6.bioreg.kyushu-u.ac.jp/M3/20110427/F51125/2882/1", 38.06)</f>
        <v>38.06</v>
      </c>
      <c r="E117" s="2">
        <v>10.35</v>
      </c>
      <c r="F117" s="2">
        <v>2</v>
      </c>
      <c r="G117" s="2" t="s">
        <v>14</v>
      </c>
      <c r="H117" s="2" t="s">
        <v>4948</v>
      </c>
    </row>
    <row r="118" spans="1:9" x14ac:dyDescent="0.2">
      <c r="A118" s="2" t="s">
        <v>3767</v>
      </c>
      <c r="B118" s="2" t="s">
        <v>788</v>
      </c>
      <c r="C118" s="2">
        <v>704.25369999999998</v>
      </c>
      <c r="D118" s="2">
        <f>HYPERLINK("http://mcb-m6.bioreg.kyushu-u.ac.jp/M3/20110404/F50768/1750/1", 50.27)</f>
        <v>50.27</v>
      </c>
      <c r="E118" s="2">
        <v>2.0099999999999998</v>
      </c>
      <c r="F118" s="2">
        <v>2</v>
      </c>
      <c r="G118" s="2" t="s">
        <v>10</v>
      </c>
      <c r="H118" s="2" t="s">
        <v>4930</v>
      </c>
    </row>
    <row r="119" spans="1:9" x14ac:dyDescent="0.2">
      <c r="A119" s="2" t="s">
        <v>3767</v>
      </c>
      <c r="B119" s="2" t="s">
        <v>788</v>
      </c>
      <c r="C119" s="2">
        <v>704.82169999999996</v>
      </c>
      <c r="D119" s="2">
        <f>HYPERLINK("http://mcb-m6.bioreg.kyushu-u.ac.jp/M3/20110428/F51128/1794/1", 52.82)</f>
        <v>52.82</v>
      </c>
      <c r="E119" s="2">
        <v>0.63</v>
      </c>
      <c r="F119" s="2">
        <v>2</v>
      </c>
      <c r="G119" s="2" t="s">
        <v>14</v>
      </c>
      <c r="H119" s="2" t="s">
        <v>4930</v>
      </c>
    </row>
    <row r="120" spans="1:9" x14ac:dyDescent="0.2">
      <c r="A120" s="2" t="s">
        <v>8035</v>
      </c>
      <c r="B120" s="2" t="s">
        <v>7306</v>
      </c>
      <c r="C120" s="2">
        <v>559.10749999999996</v>
      </c>
      <c r="D120" s="2">
        <f>HYPERLINK("http://mcb-m6.bioreg.kyushu-u.ac.jp/M3/20110427/F51115/2398/1", 37.66)</f>
        <v>37.659999999999997</v>
      </c>
      <c r="E120" s="2">
        <v>13.21</v>
      </c>
      <c r="F120" s="2">
        <v>3</v>
      </c>
      <c r="G120" s="2" t="s">
        <v>13</v>
      </c>
    </row>
    <row r="121" spans="1:9" x14ac:dyDescent="0.2">
      <c r="A121" s="2" t="s">
        <v>7783</v>
      </c>
      <c r="B121" s="2" t="s">
        <v>6677</v>
      </c>
      <c r="C121" s="2">
        <v>701.46969999999999</v>
      </c>
      <c r="D121" s="2">
        <f>HYPERLINK("http://mcb-m6.bioreg.kyushu-u.ac.jp/M3/20110404/F50782/1555/1", 35.21)</f>
        <v>35.21</v>
      </c>
      <c r="E121" s="2">
        <v>21.5</v>
      </c>
      <c r="F121" s="2">
        <v>2</v>
      </c>
      <c r="G121" s="2" t="s">
        <v>10</v>
      </c>
      <c r="I121" s="2" t="s">
        <v>4899</v>
      </c>
    </row>
    <row r="122" spans="1:9" x14ac:dyDescent="0.2">
      <c r="A122" s="2" t="s">
        <v>8114</v>
      </c>
      <c r="B122" s="2" t="s">
        <v>7473</v>
      </c>
      <c r="C122" s="2">
        <v>474.19560000000001</v>
      </c>
      <c r="D122" s="2">
        <f>HYPERLINK("http://mcb-m6.bioreg.kyushu-u.ac.jp/M3/20110427/F51123/948/1", 39.14)</f>
        <v>39.14</v>
      </c>
      <c r="E122" s="2">
        <v>11.33</v>
      </c>
      <c r="F122" s="2">
        <v>2</v>
      </c>
      <c r="G122" s="2" t="s">
        <v>14</v>
      </c>
      <c r="H122" s="2" t="s">
        <v>4917</v>
      </c>
    </row>
    <row r="123" spans="1:9" x14ac:dyDescent="0.2">
      <c r="A123" s="2" t="s">
        <v>8021</v>
      </c>
      <c r="B123" s="2" t="s">
        <v>7282</v>
      </c>
      <c r="C123" s="2">
        <v>649.75019999999995</v>
      </c>
      <c r="D123" s="2">
        <f>HYPERLINK("http://mcb-m6.bioreg.kyushu-u.ac.jp/M3/20110428/F51131/1338/1", 35.21)</f>
        <v>35.21</v>
      </c>
      <c r="E123" s="2">
        <v>17.29</v>
      </c>
      <c r="F123" s="2">
        <v>2</v>
      </c>
      <c r="G123" s="2" t="s">
        <v>13</v>
      </c>
    </row>
    <row r="124" spans="1:9" x14ac:dyDescent="0.2">
      <c r="A124" s="2" t="s">
        <v>4677</v>
      </c>
      <c r="B124" s="2" t="s">
        <v>6144</v>
      </c>
      <c r="C124" s="2">
        <v>471.10559999999998</v>
      </c>
      <c r="D124" s="2">
        <f>HYPERLINK("http://mcb-m6.bioreg.kyushu-u.ac.jp/M3/20110404/F50766/419/1", 44.24)</f>
        <v>44.24</v>
      </c>
      <c r="E124" s="2">
        <v>8.7899999999999991</v>
      </c>
      <c r="F124" s="2">
        <v>2</v>
      </c>
      <c r="G124" s="2" t="s">
        <v>9</v>
      </c>
    </row>
    <row r="125" spans="1:9" x14ac:dyDescent="0.2">
      <c r="A125" s="2" t="s">
        <v>7562</v>
      </c>
      <c r="B125" s="2" t="s">
        <v>5990</v>
      </c>
      <c r="C125" s="2">
        <v>520.86720000000003</v>
      </c>
      <c r="D125" s="2">
        <f>HYPERLINK("http://mcb-m6.bioreg.kyushu-u.ac.jp/M3/20110404/F50776/1099/1", 37.95)</f>
        <v>37.950000000000003</v>
      </c>
      <c r="E125" s="2">
        <v>10.88</v>
      </c>
      <c r="F125" s="2">
        <v>2</v>
      </c>
      <c r="G125" s="2" t="s">
        <v>9</v>
      </c>
      <c r="H125" s="2" t="s">
        <v>4891</v>
      </c>
    </row>
    <row r="126" spans="1:9" x14ac:dyDescent="0.2">
      <c r="A126" s="2" t="s">
        <v>7975</v>
      </c>
      <c r="B126" s="2" t="s">
        <v>7187</v>
      </c>
      <c r="C126" s="2">
        <v>728.26459999999997</v>
      </c>
      <c r="D126" s="2">
        <f>HYPERLINK("http://mcb-m6.bioreg.kyushu-u.ac.jp/M3/20110421/F51021/2001/1", 40.07)</f>
        <v>40.07</v>
      </c>
      <c r="E126" s="2">
        <v>18.420000000000002</v>
      </c>
      <c r="F126" s="2">
        <v>2</v>
      </c>
      <c r="G126" s="2" t="s">
        <v>12</v>
      </c>
    </row>
    <row r="127" spans="1:9" x14ac:dyDescent="0.2">
      <c r="A127" s="2" t="s">
        <v>7854</v>
      </c>
      <c r="B127" s="2" t="s">
        <v>6833</v>
      </c>
      <c r="C127" s="2">
        <v>560.08389999999997</v>
      </c>
      <c r="D127" s="2">
        <f>HYPERLINK("http://mcb-m6.bioreg.kyushu-u.ac.jp/M3/20110404/F50771/2296/1", 48.09)</f>
        <v>48.09</v>
      </c>
      <c r="E127" s="2">
        <v>29.86</v>
      </c>
      <c r="F127" s="2">
        <v>3</v>
      </c>
      <c r="G127" s="2" t="s">
        <v>10</v>
      </c>
      <c r="H127" s="2" t="s">
        <v>4896</v>
      </c>
    </row>
    <row r="128" spans="1:9" x14ac:dyDescent="0.2">
      <c r="A128" s="2" t="s">
        <v>7812</v>
      </c>
      <c r="B128" s="2" t="s">
        <v>6747</v>
      </c>
      <c r="C128" s="2">
        <v>675.30700000000002</v>
      </c>
      <c r="D128" s="2">
        <f>HYPERLINK("http://mcb-m6.bioreg.kyushu-u.ac.jp/M3/20110404/F50771/647/1", 39.86)</f>
        <v>39.86</v>
      </c>
      <c r="E128" s="2">
        <v>16.18</v>
      </c>
      <c r="F128" s="2">
        <v>1</v>
      </c>
      <c r="G128" s="2" t="s">
        <v>10</v>
      </c>
    </row>
    <row r="129" spans="1:9" x14ac:dyDescent="0.2">
      <c r="A129" s="2" t="s">
        <v>4785</v>
      </c>
      <c r="B129" s="2" t="s">
        <v>3017</v>
      </c>
      <c r="C129" s="2">
        <v>520.79819999999995</v>
      </c>
      <c r="D129" s="2">
        <f>HYPERLINK("http://mcb-m6.bioreg.kyushu-u.ac.jp/M3/20110404/F50778/894/1", 45.66)</f>
        <v>45.66</v>
      </c>
      <c r="E129" s="2">
        <v>5.4</v>
      </c>
      <c r="F129" s="2">
        <v>2</v>
      </c>
      <c r="G129" s="2" t="s">
        <v>9</v>
      </c>
    </row>
    <row r="130" spans="1:9" x14ac:dyDescent="0.2">
      <c r="A130" s="2" t="s">
        <v>4785</v>
      </c>
      <c r="B130" s="2" t="s">
        <v>3017</v>
      </c>
      <c r="C130" s="2">
        <v>520.80160000000001</v>
      </c>
      <c r="D130" s="2">
        <f>HYPERLINK("http://mcb-m6.bioreg.kyushu-u.ac.jp/M3/20110404/F50782/825/1", 46.52)</f>
        <v>46.52</v>
      </c>
      <c r="E130" s="2">
        <v>1.56</v>
      </c>
      <c r="F130" s="2">
        <v>2</v>
      </c>
      <c r="G130" s="2" t="s">
        <v>10</v>
      </c>
    </row>
    <row r="131" spans="1:9" x14ac:dyDescent="0.2">
      <c r="A131" s="2" t="s">
        <v>4785</v>
      </c>
      <c r="B131" s="2" t="s">
        <v>3017</v>
      </c>
      <c r="C131" s="2">
        <v>520.85919999999999</v>
      </c>
      <c r="D131" s="2">
        <f>HYPERLINK("http://mcb-m6.bioreg.kyushu-u.ac.jp/M3/20110404/F50782/828/1", 46.53)</f>
        <v>46.53</v>
      </c>
      <c r="E131" s="2">
        <v>0.53</v>
      </c>
      <c r="F131" s="2">
        <v>2</v>
      </c>
      <c r="G131" s="2" t="s">
        <v>10</v>
      </c>
    </row>
    <row r="132" spans="1:9" x14ac:dyDescent="0.2">
      <c r="A132" s="2" t="s">
        <v>8039</v>
      </c>
      <c r="B132" s="2" t="s">
        <v>7315</v>
      </c>
      <c r="C132" s="2">
        <v>490.59660000000002</v>
      </c>
      <c r="D132" s="2">
        <f>HYPERLINK("http://mcb-m6.bioreg.kyushu-u.ac.jp/M3/20110428/F51131/729/1", 38.74)</f>
        <v>38.74</v>
      </c>
      <c r="E132" s="2">
        <v>15.98</v>
      </c>
      <c r="F132" s="2">
        <v>2</v>
      </c>
      <c r="G132" s="2" t="s">
        <v>13</v>
      </c>
    </row>
    <row r="133" spans="1:9" x14ac:dyDescent="0.2">
      <c r="A133" s="2" t="s">
        <v>8033</v>
      </c>
      <c r="B133" s="2" t="s">
        <v>7303</v>
      </c>
      <c r="C133" s="2">
        <v>524.07759999999996</v>
      </c>
      <c r="D133" s="2">
        <f>HYPERLINK("http://mcb-m6.bioreg.kyushu-u.ac.jp/M3/20110427/F51108/1307/1", 37.21)</f>
        <v>37.21</v>
      </c>
      <c r="E133" s="2">
        <v>12.78</v>
      </c>
      <c r="F133" s="2">
        <v>2</v>
      </c>
      <c r="G133" s="2" t="s">
        <v>13</v>
      </c>
    </row>
    <row r="134" spans="1:9" x14ac:dyDescent="0.2">
      <c r="A134" s="2" t="s">
        <v>7807</v>
      </c>
      <c r="B134" s="2" t="s">
        <v>6741</v>
      </c>
      <c r="C134" s="2">
        <v>773.38699999999994</v>
      </c>
      <c r="D134" s="2">
        <f>HYPERLINK("http://mcb-m6.bioreg.kyushu-u.ac.jp/M3/20110404/F50758/931/2", 39.37)</f>
        <v>39.369999999999997</v>
      </c>
      <c r="E134" s="2">
        <v>39.369999999999997</v>
      </c>
      <c r="F134" s="2">
        <v>1</v>
      </c>
      <c r="G134" s="2" t="s">
        <v>10</v>
      </c>
    </row>
    <row r="135" spans="1:9" x14ac:dyDescent="0.2">
      <c r="A135" s="2" t="s">
        <v>4238</v>
      </c>
      <c r="B135" s="2" t="s">
        <v>6698</v>
      </c>
      <c r="C135" s="2">
        <v>814.49900000000002</v>
      </c>
      <c r="D135" s="2">
        <f>HYPERLINK("http://mcb-m6.bioreg.kyushu-u.ac.jp/M3/20110404/F50782/488/1", 36.66)</f>
        <v>36.659999999999997</v>
      </c>
      <c r="E135" s="2">
        <v>14.96</v>
      </c>
      <c r="F135" s="2">
        <v>1</v>
      </c>
      <c r="G135" s="2" t="s">
        <v>10</v>
      </c>
    </row>
    <row r="136" spans="1:9" x14ac:dyDescent="0.2">
      <c r="A136" s="2" t="s">
        <v>4238</v>
      </c>
      <c r="B136" s="2" t="s">
        <v>1861</v>
      </c>
      <c r="C136" s="2">
        <v>907.46100000000001</v>
      </c>
      <c r="D136" s="2">
        <f>HYPERLINK("http://mcb-m6.bioreg.kyushu-u.ac.jp/M3/20110404/F50781/886/1", 45.7)</f>
        <v>45.7</v>
      </c>
      <c r="E136" s="2">
        <v>13.55</v>
      </c>
      <c r="F136" s="2">
        <v>1</v>
      </c>
      <c r="G136" s="2" t="s">
        <v>10</v>
      </c>
    </row>
    <row r="137" spans="1:9" x14ac:dyDescent="0.2">
      <c r="A137" s="2" t="s">
        <v>4748</v>
      </c>
      <c r="B137" s="2" t="s">
        <v>2973</v>
      </c>
      <c r="C137" s="2">
        <v>635.78920000000005</v>
      </c>
      <c r="D137" s="2">
        <f>HYPERLINK("http://mcb-m6.bioreg.kyushu-u.ac.jp/M3/20110404/F50763/1524/1", 37.57)</f>
        <v>37.57</v>
      </c>
      <c r="E137" s="2">
        <v>13.82</v>
      </c>
      <c r="F137" s="2">
        <v>2</v>
      </c>
      <c r="G137" s="2" t="s">
        <v>9</v>
      </c>
    </row>
    <row r="138" spans="1:9" x14ac:dyDescent="0.2">
      <c r="A138" s="2" t="s">
        <v>8027</v>
      </c>
      <c r="B138" s="2" t="s">
        <v>7292</v>
      </c>
      <c r="C138" s="2">
        <v>955.72220000000004</v>
      </c>
      <c r="D138" s="2">
        <f>HYPERLINK("http://mcb-m6.bioreg.kyushu-u.ac.jp/M3/20110428/F51132/2941/1", 35.95)</f>
        <v>35.950000000000003</v>
      </c>
      <c r="E138" s="2">
        <v>14.95</v>
      </c>
      <c r="F138" s="2">
        <v>2</v>
      </c>
      <c r="G138" s="2" t="s">
        <v>13</v>
      </c>
    </row>
    <row r="139" spans="1:9" x14ac:dyDescent="0.2">
      <c r="A139" s="2" t="s">
        <v>7925</v>
      </c>
      <c r="B139" s="2" t="s">
        <v>7091</v>
      </c>
      <c r="C139" s="2">
        <v>502.40859999999998</v>
      </c>
      <c r="D139" s="2">
        <f>HYPERLINK("http://mcb-m6.bioreg.kyushu-u.ac.jp/M3/20110421/F51037/737/1", 39.68)</f>
        <v>39.68</v>
      </c>
      <c r="E139" s="2">
        <v>17.36</v>
      </c>
      <c r="F139" s="2">
        <v>2</v>
      </c>
      <c r="G139" s="2" t="s">
        <v>11</v>
      </c>
    </row>
    <row r="140" spans="1:9" x14ac:dyDescent="0.2">
      <c r="A140" s="2" t="s">
        <v>7957</v>
      </c>
      <c r="B140" s="2" t="s">
        <v>7161</v>
      </c>
      <c r="C140" s="2">
        <v>489.28609999999998</v>
      </c>
      <c r="D140" s="2">
        <f>HYPERLINK("http://mcb-m6.bioreg.kyushu-u.ac.jp/M3/20110421/F51043/881/1", 36.15)</f>
        <v>36.15</v>
      </c>
      <c r="E140" s="2">
        <v>14.8</v>
      </c>
      <c r="F140" s="2">
        <v>2</v>
      </c>
      <c r="G140" s="2" t="s">
        <v>12</v>
      </c>
    </row>
    <row r="141" spans="1:9" x14ac:dyDescent="0.2">
      <c r="A141" s="2" t="s">
        <v>8051</v>
      </c>
      <c r="B141" s="2" t="s">
        <v>7339</v>
      </c>
      <c r="C141" s="2">
        <v>669.15769999999998</v>
      </c>
      <c r="D141" s="2">
        <f>HYPERLINK("http://mcb-m6.bioreg.kyushu-u.ac.jp/M3/20110427/F51114/1667/1", 43.26)</f>
        <v>43.26</v>
      </c>
      <c r="E141" s="2">
        <v>19.899999999999999</v>
      </c>
      <c r="F141" s="2">
        <v>2</v>
      </c>
      <c r="G141" s="2" t="s">
        <v>13</v>
      </c>
      <c r="H141" s="2" t="s">
        <v>4900</v>
      </c>
    </row>
    <row r="142" spans="1:9" x14ac:dyDescent="0.2">
      <c r="A142" s="2" t="s">
        <v>7519</v>
      </c>
      <c r="B142" s="2" t="s">
        <v>5906</v>
      </c>
      <c r="C142" s="2">
        <v>934.51919999999996</v>
      </c>
      <c r="D142" s="2">
        <f>HYPERLINK("http://mcb-m6.bioreg.kyushu-u.ac.jp/M3/20110404/F50763/2593/1", 35.08)</f>
        <v>35.08</v>
      </c>
      <c r="E142" s="2">
        <v>11.7</v>
      </c>
      <c r="F142" s="2">
        <v>2</v>
      </c>
      <c r="G142" s="2" t="s">
        <v>9</v>
      </c>
      <c r="H142" s="2" t="s">
        <v>4925</v>
      </c>
    </row>
    <row r="143" spans="1:9" x14ac:dyDescent="0.2">
      <c r="A143" s="2" t="s">
        <v>8115</v>
      </c>
      <c r="B143" s="2" t="s">
        <v>7475</v>
      </c>
      <c r="C143" s="2">
        <v>495.78160000000003</v>
      </c>
      <c r="D143" s="2">
        <f>HYPERLINK("http://mcb-m6.bioreg.kyushu-u.ac.jp/M3/20110428/F51135/943/1", 39.28)</f>
        <v>39.28</v>
      </c>
      <c r="E143" s="2">
        <v>10.09</v>
      </c>
      <c r="F143" s="2">
        <v>2</v>
      </c>
      <c r="G143" s="2" t="s">
        <v>14</v>
      </c>
      <c r="H143" s="2" t="s">
        <v>8154</v>
      </c>
    </row>
    <row r="144" spans="1:9" x14ac:dyDescent="0.2">
      <c r="A144" s="2" t="s">
        <v>3490</v>
      </c>
      <c r="B144" s="2" t="s">
        <v>320</v>
      </c>
      <c r="C144" s="2">
        <v>693.27890000000002</v>
      </c>
      <c r="D144" s="2">
        <f>HYPERLINK("http://mcb-m6.bioreg.kyushu-u.ac.jp/M3/20110404/F50781/2633/1", 40.3)</f>
        <v>40.299999999999997</v>
      </c>
      <c r="E144" s="2">
        <v>24.98</v>
      </c>
      <c r="F144" s="2">
        <v>3</v>
      </c>
      <c r="G144" s="2" t="s">
        <v>10</v>
      </c>
      <c r="H144" s="2" t="s">
        <v>4917</v>
      </c>
      <c r="I144" s="2" t="s">
        <v>4918</v>
      </c>
    </row>
    <row r="145" spans="1:9" x14ac:dyDescent="0.2">
      <c r="A145" s="2" t="s">
        <v>7651</v>
      </c>
      <c r="B145" s="2" t="s">
        <v>6224</v>
      </c>
      <c r="C145" s="2">
        <v>997.56299999999999</v>
      </c>
      <c r="D145" s="2">
        <f>HYPERLINK("http://mcb-m6.bioreg.kyushu-u.ac.jp/M3/20110404/F50777/989/2", 47.29)</f>
        <v>47.29</v>
      </c>
      <c r="E145" s="2">
        <v>13.7</v>
      </c>
      <c r="F145" s="2">
        <v>1</v>
      </c>
      <c r="G145" s="2" t="s">
        <v>9</v>
      </c>
      <c r="H145" s="2" t="s">
        <v>4904</v>
      </c>
    </row>
    <row r="146" spans="1:9" x14ac:dyDescent="0.2">
      <c r="A146" s="2" t="s">
        <v>7651</v>
      </c>
      <c r="B146" s="2" t="s">
        <v>6224</v>
      </c>
      <c r="C146" s="2">
        <v>998.26800000000003</v>
      </c>
      <c r="D146" s="2">
        <f>HYPERLINK("http://mcb-m6.bioreg.kyushu-u.ac.jp/M3/20110421/F51047/964/2", 42.96)</f>
        <v>42.96</v>
      </c>
      <c r="E146" s="2">
        <v>14.84</v>
      </c>
      <c r="F146" s="2">
        <v>1</v>
      </c>
      <c r="G146" s="2" t="s">
        <v>12</v>
      </c>
      <c r="H146" s="2" t="s">
        <v>4904</v>
      </c>
    </row>
    <row r="147" spans="1:9" x14ac:dyDescent="0.2">
      <c r="A147" s="2" t="s">
        <v>4841</v>
      </c>
      <c r="B147" s="2" t="s">
        <v>3108</v>
      </c>
      <c r="C147" s="2">
        <v>532.17769999999996</v>
      </c>
      <c r="D147" s="2">
        <f>HYPERLINK("http://mcb-m6.bioreg.kyushu-u.ac.jp/M3/20110404/F50761/1093/1", 46.25)</f>
        <v>46.25</v>
      </c>
      <c r="E147" s="2">
        <v>12.22</v>
      </c>
      <c r="F147" s="2">
        <v>2</v>
      </c>
      <c r="G147" s="2" t="s">
        <v>10</v>
      </c>
      <c r="H147" s="2" t="s">
        <v>4908</v>
      </c>
    </row>
    <row r="148" spans="1:9" x14ac:dyDescent="0.2">
      <c r="A148" s="2" t="s">
        <v>7985</v>
      </c>
      <c r="B148" s="2" t="s">
        <v>7204</v>
      </c>
      <c r="C148" s="2">
        <v>640.84619999999995</v>
      </c>
      <c r="D148" s="2">
        <f>HYPERLINK("http://mcb-m6.bioreg.kyushu-u.ac.jp/M3/20110421/F51059/1308/1", 43.9)</f>
        <v>43.9</v>
      </c>
      <c r="E148" s="2">
        <v>17.02</v>
      </c>
      <c r="F148" s="2">
        <v>2</v>
      </c>
      <c r="G148" s="2" t="s">
        <v>12</v>
      </c>
      <c r="H148" s="2" t="s">
        <v>4919</v>
      </c>
    </row>
    <row r="149" spans="1:9" x14ac:dyDescent="0.2">
      <c r="A149" s="2" t="s">
        <v>5642</v>
      </c>
      <c r="B149" s="2" t="s">
        <v>5072</v>
      </c>
      <c r="C149" s="2">
        <v>625.35360000000003</v>
      </c>
      <c r="D149" s="2">
        <f>HYPERLINK("http://mcb-m6.bioreg.kyushu-u.ac.jp/M3/20110421/F51018/1600/1", 39.92)</f>
        <v>39.92</v>
      </c>
      <c r="E149" s="2">
        <v>11.11</v>
      </c>
      <c r="F149" s="2">
        <v>2</v>
      </c>
      <c r="G149" s="2" t="s">
        <v>11</v>
      </c>
      <c r="H149" s="2" t="s">
        <v>4904</v>
      </c>
    </row>
    <row r="150" spans="1:9" x14ac:dyDescent="0.2">
      <c r="A150" s="2" t="s">
        <v>4441</v>
      </c>
      <c r="B150" s="2" t="s">
        <v>2334</v>
      </c>
      <c r="C150" s="2">
        <v>997.56299999999999</v>
      </c>
      <c r="D150" s="2">
        <f>HYPERLINK("http://mcb-m6.bioreg.kyushu-u.ac.jp/M3/20110404/F50777/989/1", 47.29)</f>
        <v>47.29</v>
      </c>
      <c r="E150" s="2">
        <v>13.7</v>
      </c>
      <c r="F150" s="2">
        <v>1</v>
      </c>
      <c r="G150" s="2" t="s">
        <v>9</v>
      </c>
      <c r="I150" s="2" t="s">
        <v>4893</v>
      </c>
    </row>
    <row r="151" spans="1:9" x14ac:dyDescent="0.2">
      <c r="A151" s="2" t="s">
        <v>4441</v>
      </c>
      <c r="B151" s="2" t="s">
        <v>2334</v>
      </c>
      <c r="C151" s="2">
        <v>998.26800000000003</v>
      </c>
      <c r="D151" s="2">
        <f>HYPERLINK("http://mcb-m6.bioreg.kyushu-u.ac.jp/M3/20110421/F51047/964/1", 42.96)</f>
        <v>42.96</v>
      </c>
      <c r="E151" s="2">
        <v>14.84</v>
      </c>
      <c r="F151" s="2">
        <v>1</v>
      </c>
      <c r="G151" s="2" t="s">
        <v>12</v>
      </c>
      <c r="I151" s="2" t="s">
        <v>4893</v>
      </c>
    </row>
    <row r="152" spans="1:9" x14ac:dyDescent="0.2">
      <c r="A152" s="2" t="s">
        <v>7921</v>
      </c>
      <c r="B152" s="2" t="s">
        <v>7087</v>
      </c>
      <c r="C152" s="2">
        <v>549.78719999999998</v>
      </c>
      <c r="D152" s="2">
        <f>HYPERLINK("http://mcb-m6.bioreg.kyushu-u.ac.jp/M3/20110421/F51042/875/1", 38.86)</f>
        <v>38.86</v>
      </c>
      <c r="E152" s="2">
        <v>10.36</v>
      </c>
      <c r="F152" s="2">
        <v>2</v>
      </c>
      <c r="G152" s="2" t="s">
        <v>11</v>
      </c>
      <c r="I152" s="2" t="s">
        <v>4899</v>
      </c>
    </row>
    <row r="153" spans="1:9" x14ac:dyDescent="0.2">
      <c r="A153" s="2" t="s">
        <v>7680</v>
      </c>
      <c r="B153" s="2" t="s">
        <v>6310</v>
      </c>
      <c r="C153" s="2">
        <v>886.45100000000002</v>
      </c>
      <c r="D153" s="2">
        <f>HYPERLINK("http://mcb-m6.bioreg.kyushu-u.ac.jp/M3/20110404/F50752/1152/1", 52.17)</f>
        <v>52.17</v>
      </c>
      <c r="E153" s="2">
        <v>27.65</v>
      </c>
      <c r="F153" s="2">
        <v>1</v>
      </c>
      <c r="G153" s="2" t="s">
        <v>9</v>
      </c>
      <c r="H153" s="2" t="s">
        <v>4891</v>
      </c>
    </row>
    <row r="154" spans="1:9" x14ac:dyDescent="0.2">
      <c r="A154" s="2" t="s">
        <v>7999</v>
      </c>
      <c r="B154" s="2" t="s">
        <v>7220</v>
      </c>
      <c r="C154" s="2">
        <v>787.50599999999997</v>
      </c>
      <c r="D154" s="2">
        <f>HYPERLINK("http://mcb-m6.bioreg.kyushu-u.ac.jp/M3/20110421/F51043/610/1", 49.33)</f>
        <v>49.33</v>
      </c>
      <c r="E154" s="2">
        <v>18.36</v>
      </c>
      <c r="F154" s="2">
        <v>1</v>
      </c>
      <c r="G154" s="2" t="s">
        <v>12</v>
      </c>
    </row>
    <row r="155" spans="1:9" x14ac:dyDescent="0.2">
      <c r="A155" s="2" t="s">
        <v>8052</v>
      </c>
      <c r="B155" s="2" t="s">
        <v>7341</v>
      </c>
      <c r="C155" s="2">
        <v>483.09460000000001</v>
      </c>
      <c r="D155" s="2">
        <f>HYPERLINK("http://mcb-m6.bioreg.kyushu-u.ac.jp/M3/20110427/F51109/1361/1", 43.78)</f>
        <v>43.78</v>
      </c>
      <c r="E155" s="2">
        <v>9.82</v>
      </c>
      <c r="F155" s="2">
        <v>2</v>
      </c>
      <c r="G155" s="2" t="s">
        <v>13</v>
      </c>
    </row>
    <row r="156" spans="1:9" x14ac:dyDescent="0.2">
      <c r="A156" s="2" t="s">
        <v>7974</v>
      </c>
      <c r="B156" s="2" t="s">
        <v>7186</v>
      </c>
      <c r="C156" s="2">
        <v>665.38459999999998</v>
      </c>
      <c r="D156" s="2">
        <f>HYPERLINK("http://mcb-m6.bioreg.kyushu-u.ac.jp/M3/20110421/F51043/1619/1", 39.92)</f>
        <v>39.92</v>
      </c>
      <c r="E156" s="2">
        <v>13.65</v>
      </c>
      <c r="F156" s="2">
        <v>2</v>
      </c>
      <c r="G156" s="2" t="s">
        <v>12</v>
      </c>
    </row>
    <row r="157" spans="1:9" x14ac:dyDescent="0.2">
      <c r="A157" s="2" t="s">
        <v>3690</v>
      </c>
      <c r="B157" s="2" t="s">
        <v>658</v>
      </c>
      <c r="C157" s="2">
        <v>982.69920000000002</v>
      </c>
      <c r="D157" s="2">
        <f>HYPERLINK("http://mcb-m6.bioreg.kyushu-u.ac.jp/M3/20110421/F51021/3274/1", 49.95)</f>
        <v>49.95</v>
      </c>
      <c r="E157" s="2">
        <v>34.08</v>
      </c>
      <c r="F157" s="2">
        <v>2</v>
      </c>
      <c r="G157" s="2" t="s">
        <v>12</v>
      </c>
    </row>
    <row r="158" spans="1:9" x14ac:dyDescent="0.2">
      <c r="A158" s="2" t="s">
        <v>3690</v>
      </c>
      <c r="B158" s="2" t="s">
        <v>658</v>
      </c>
      <c r="C158" s="2">
        <v>982.79319999999996</v>
      </c>
      <c r="D158" s="2">
        <f>HYPERLINK("http://mcb-m6.bioreg.kyushu-u.ac.jp/M3/20110427/F51122/2852/1", 47.79)</f>
        <v>47.79</v>
      </c>
      <c r="E158" s="2">
        <v>29.36</v>
      </c>
      <c r="F158" s="2">
        <v>2</v>
      </c>
      <c r="G158" s="2" t="s">
        <v>14</v>
      </c>
    </row>
    <row r="159" spans="1:9" x14ac:dyDescent="0.2">
      <c r="A159" s="2" t="s">
        <v>7982</v>
      </c>
      <c r="B159" s="2" t="s">
        <v>7198</v>
      </c>
      <c r="C159" s="2">
        <v>523.17359999999996</v>
      </c>
      <c r="D159" s="2">
        <f>HYPERLINK("http://mcb-m6.bioreg.kyushu-u.ac.jp/M3/20110421/F51045/1224/1", 42.68)</f>
        <v>42.68</v>
      </c>
      <c r="E159" s="2">
        <v>16.22</v>
      </c>
      <c r="F159" s="2">
        <v>2</v>
      </c>
      <c r="G159" s="2" t="s">
        <v>12</v>
      </c>
    </row>
    <row r="160" spans="1:9" x14ac:dyDescent="0.2">
      <c r="A160" s="2" t="s">
        <v>8101</v>
      </c>
      <c r="B160" s="2" t="s">
        <v>7454</v>
      </c>
      <c r="C160" s="2">
        <v>457.36559999999997</v>
      </c>
      <c r="D160" s="2">
        <f>HYPERLINK("http://mcb-m6.bioreg.kyushu-u.ac.jp/M3/20110427/F51125/978/1", 35.94)</f>
        <v>35.94</v>
      </c>
      <c r="E160" s="2">
        <v>14.21</v>
      </c>
      <c r="F160" s="2">
        <v>2</v>
      </c>
      <c r="G160" s="2" t="s">
        <v>14</v>
      </c>
    </row>
    <row r="161" spans="1:9" x14ac:dyDescent="0.2">
      <c r="A161" s="2" t="s">
        <v>7964</v>
      </c>
      <c r="B161" s="2" t="s">
        <v>7172</v>
      </c>
      <c r="C161" s="2">
        <v>562.45259999999996</v>
      </c>
      <c r="D161" s="2">
        <f>HYPERLINK("http://mcb-m6.bioreg.kyushu-u.ac.jp/M3/20110421/F51043/1202/1", 37.84)</f>
        <v>37.840000000000003</v>
      </c>
      <c r="E161" s="2">
        <v>18.100000000000001</v>
      </c>
      <c r="F161" s="2">
        <v>2</v>
      </c>
      <c r="G161" s="2" t="s">
        <v>12</v>
      </c>
    </row>
    <row r="162" spans="1:9" x14ac:dyDescent="0.2">
      <c r="A162" s="2" t="s">
        <v>4751</v>
      </c>
      <c r="B162" s="2" t="s">
        <v>3021</v>
      </c>
      <c r="C162" s="2">
        <v>644.13919999999996</v>
      </c>
      <c r="D162" s="2">
        <f>HYPERLINK("http://mcb-m6.bioreg.kyushu-u.ac.jp/M3/20110404/F50777/1491/1", 46.26)</f>
        <v>46.26</v>
      </c>
      <c r="E162" s="2">
        <v>22.76</v>
      </c>
      <c r="F162" s="2">
        <v>2</v>
      </c>
      <c r="G162" s="2" t="s">
        <v>9</v>
      </c>
    </row>
    <row r="163" spans="1:9" x14ac:dyDescent="0.2">
      <c r="A163" s="2" t="s">
        <v>7538</v>
      </c>
      <c r="B163" s="2" t="s">
        <v>5941</v>
      </c>
      <c r="C163" s="2">
        <v>483.11810000000003</v>
      </c>
      <c r="D163" s="2">
        <f>HYPERLINK("http://mcb-m6.bioreg.kyushu-u.ac.jp/M3/20110404/F50763/1027/1", 36.44)</f>
        <v>36.44</v>
      </c>
      <c r="E163" s="2">
        <v>12.07</v>
      </c>
      <c r="F163" s="2">
        <v>2</v>
      </c>
      <c r="G163" s="2" t="s">
        <v>9</v>
      </c>
    </row>
    <row r="164" spans="1:9" x14ac:dyDescent="0.2">
      <c r="A164" s="2" t="s">
        <v>7573</v>
      </c>
      <c r="B164" s="2" t="s">
        <v>6016</v>
      </c>
      <c r="C164" s="2">
        <v>1179.5609999999999</v>
      </c>
      <c r="D164" s="2">
        <f>HYPERLINK("http://mcb-m6.bioreg.kyushu-u.ac.jp/M3/20110404/F50767/3469/1", 38.89)</f>
        <v>38.89</v>
      </c>
      <c r="E164" s="2">
        <v>29.16</v>
      </c>
      <c r="F164" s="2">
        <v>2</v>
      </c>
      <c r="G164" s="2" t="s">
        <v>9</v>
      </c>
    </row>
    <row r="165" spans="1:9" x14ac:dyDescent="0.2">
      <c r="A165" s="2" t="s">
        <v>7573</v>
      </c>
      <c r="B165" s="2" t="s">
        <v>6016</v>
      </c>
      <c r="C165" s="2">
        <v>1179.4680000000001</v>
      </c>
      <c r="D165" s="2">
        <f>HYPERLINK("http://mcb-m6.bioreg.kyushu-u.ac.jp/M3/20110404/F50766/3853/1", 47.95)</f>
        <v>47.95</v>
      </c>
      <c r="E165" s="2">
        <v>23.96</v>
      </c>
      <c r="F165" s="2">
        <v>2</v>
      </c>
      <c r="G165" s="2" t="s">
        <v>9</v>
      </c>
    </row>
    <row r="166" spans="1:9" x14ac:dyDescent="0.2">
      <c r="A166" s="2" t="s">
        <v>4197</v>
      </c>
      <c r="B166" s="2" t="s">
        <v>1783</v>
      </c>
      <c r="C166" s="2">
        <v>568.38319999999999</v>
      </c>
      <c r="D166" s="2">
        <f>HYPERLINK("http://mcb-m6.bioreg.kyushu-u.ac.jp/M3/20110404/F50755/1230/1", 36.7)</f>
        <v>36.700000000000003</v>
      </c>
      <c r="E166" s="2">
        <v>12.55</v>
      </c>
      <c r="F166" s="2">
        <v>2</v>
      </c>
      <c r="G166" s="2" t="s">
        <v>9</v>
      </c>
    </row>
    <row r="167" spans="1:9" x14ac:dyDescent="0.2">
      <c r="A167" s="2" t="s">
        <v>4197</v>
      </c>
      <c r="B167" s="2" t="s">
        <v>1783</v>
      </c>
      <c r="C167" s="2">
        <v>568.52170000000001</v>
      </c>
      <c r="D167" s="2">
        <f>HYPERLINK("http://mcb-m6.bioreg.kyushu-u.ac.jp/M3/20110421/F51058/1047/1", 38.06)</f>
        <v>38.06</v>
      </c>
      <c r="E167" s="2">
        <v>10.83</v>
      </c>
      <c r="F167" s="2">
        <v>2</v>
      </c>
      <c r="G167" s="2" t="s">
        <v>11</v>
      </c>
    </row>
    <row r="168" spans="1:9" x14ac:dyDescent="0.2">
      <c r="A168" s="2" t="s">
        <v>7919</v>
      </c>
      <c r="B168" s="2" t="s">
        <v>7085</v>
      </c>
      <c r="C168" s="2">
        <v>490.8725</v>
      </c>
      <c r="D168" s="2">
        <f>HYPERLINK("http://mcb-m6.bioreg.kyushu-u.ac.jp/M3/20110421/F51016/2060/1", 38.36)</f>
        <v>38.36</v>
      </c>
      <c r="E168" s="2">
        <v>23.67</v>
      </c>
      <c r="F168" s="2">
        <v>3</v>
      </c>
      <c r="G168" s="2" t="s">
        <v>11</v>
      </c>
      <c r="H168" s="2" t="s">
        <v>4919</v>
      </c>
    </row>
    <row r="169" spans="1:9" x14ac:dyDescent="0.2">
      <c r="A169" s="2" t="s">
        <v>8102</v>
      </c>
      <c r="B169" s="2" t="s">
        <v>7455</v>
      </c>
      <c r="C169" s="2">
        <v>555.63369999999998</v>
      </c>
      <c r="D169" s="2">
        <f>HYPERLINK("http://mcb-m6.bioreg.kyushu-u.ac.jp/M3/20110427/F51124/1297/1", 35.95)</f>
        <v>35.950000000000003</v>
      </c>
      <c r="E169" s="2">
        <v>12.55</v>
      </c>
      <c r="F169" s="2">
        <v>2</v>
      </c>
      <c r="G169" s="2" t="s">
        <v>14</v>
      </c>
    </row>
    <row r="170" spans="1:9" x14ac:dyDescent="0.2">
      <c r="A170" s="2" t="s">
        <v>7804</v>
      </c>
      <c r="B170" s="2" t="s">
        <v>6732</v>
      </c>
      <c r="C170" s="2">
        <v>529.30769999999995</v>
      </c>
      <c r="D170" s="2">
        <f>HYPERLINK("http://mcb-m6.bioreg.kyushu-u.ac.jp/M3/20110404/F50758/1292/1", 38.38)</f>
        <v>38.380000000000003</v>
      </c>
      <c r="E170" s="2">
        <v>11.07</v>
      </c>
      <c r="F170" s="2">
        <v>2</v>
      </c>
      <c r="G170" s="2" t="s">
        <v>10</v>
      </c>
    </row>
    <row r="171" spans="1:9" x14ac:dyDescent="0.2">
      <c r="A171" s="2" t="s">
        <v>7908</v>
      </c>
      <c r="B171" s="2" t="s">
        <v>7071</v>
      </c>
      <c r="C171" s="2">
        <v>756.81349999999998</v>
      </c>
      <c r="D171" s="2">
        <f>HYPERLINK("http://mcb-m6.bioreg.kyushu-u.ac.jp/M3/20110421/F51017/3539/1", 35.52)</f>
        <v>35.520000000000003</v>
      </c>
      <c r="E171" s="2">
        <v>12.7</v>
      </c>
      <c r="F171" s="2">
        <v>3</v>
      </c>
      <c r="G171" s="2" t="s">
        <v>11</v>
      </c>
      <c r="H171" s="2" t="s">
        <v>4938</v>
      </c>
      <c r="I171" s="2" t="s">
        <v>4895</v>
      </c>
    </row>
    <row r="172" spans="1:9" x14ac:dyDescent="0.2">
      <c r="A172" s="2" t="s">
        <v>8107</v>
      </c>
      <c r="B172" s="2" t="s">
        <v>7460</v>
      </c>
      <c r="C172" s="2">
        <v>495.26510000000002</v>
      </c>
      <c r="D172" s="2">
        <f>HYPERLINK("http://mcb-m6.bioreg.kyushu-u.ac.jp/M3/20110427/F51123/1007/1", 36.45)</f>
        <v>36.450000000000003</v>
      </c>
      <c r="E172" s="2">
        <v>9.01</v>
      </c>
      <c r="F172" s="2">
        <v>2</v>
      </c>
      <c r="G172" s="2" t="s">
        <v>14</v>
      </c>
      <c r="I172" s="2" t="s">
        <v>4898</v>
      </c>
    </row>
    <row r="173" spans="1:9" x14ac:dyDescent="0.2">
      <c r="A173" s="2" t="s">
        <v>7788</v>
      </c>
      <c r="B173" s="2" t="s">
        <v>6690</v>
      </c>
      <c r="C173" s="2">
        <v>691.22220000000004</v>
      </c>
      <c r="D173" s="2">
        <f>HYPERLINK("http://mcb-m6.bioreg.kyushu-u.ac.jp/M3/20110404/F50772/2973/1", 36.13)</f>
        <v>36.130000000000003</v>
      </c>
      <c r="E173" s="2">
        <v>27.44</v>
      </c>
      <c r="F173" s="2">
        <v>3</v>
      </c>
      <c r="G173" s="2" t="s">
        <v>10</v>
      </c>
      <c r="I173" s="2" t="s">
        <v>4892</v>
      </c>
    </row>
    <row r="174" spans="1:9" x14ac:dyDescent="0.2">
      <c r="A174" s="2" t="s">
        <v>3836</v>
      </c>
      <c r="B174" s="2" t="s">
        <v>915</v>
      </c>
      <c r="C174" s="2">
        <v>846.4452</v>
      </c>
      <c r="D174" s="2">
        <f>HYPERLINK("http://mcb-m6.bioreg.kyushu-u.ac.jp/M3/20110421/F51050/2506/1", 40.12)</f>
        <v>40.119999999999997</v>
      </c>
      <c r="E174" s="2">
        <v>16.690000000000001</v>
      </c>
      <c r="F174" s="2">
        <v>2</v>
      </c>
      <c r="G174" s="2" t="s">
        <v>12</v>
      </c>
    </row>
    <row r="175" spans="1:9" x14ac:dyDescent="0.2">
      <c r="A175" s="2" t="s">
        <v>7529</v>
      </c>
      <c r="B175" s="2" t="s">
        <v>5921</v>
      </c>
      <c r="C175" s="2">
        <v>814.60419999999999</v>
      </c>
      <c r="D175" s="2">
        <f>HYPERLINK("http://mcb-m6.bioreg.kyushu-u.ac.jp/M3/20110404/F50754/2352/1", 35.8)</f>
        <v>35.799999999999997</v>
      </c>
      <c r="E175" s="2">
        <v>20.98</v>
      </c>
      <c r="F175" s="2">
        <v>2</v>
      </c>
      <c r="G175" s="2" t="s">
        <v>9</v>
      </c>
    </row>
    <row r="176" spans="1:9" x14ac:dyDescent="0.2">
      <c r="A176" s="2" t="s">
        <v>7796</v>
      </c>
      <c r="B176" s="2" t="s">
        <v>6709</v>
      </c>
      <c r="C176" s="2">
        <v>463.8836</v>
      </c>
      <c r="D176" s="2">
        <f>HYPERLINK("http://mcb-m6.bioreg.kyushu-u.ac.jp/M3/20110404/F50770/1024/1", 37.13)</f>
        <v>37.130000000000003</v>
      </c>
      <c r="E176" s="2">
        <v>10.5</v>
      </c>
      <c r="F176" s="2">
        <v>2</v>
      </c>
      <c r="G176" s="2" t="s">
        <v>10</v>
      </c>
    </row>
    <row r="177" spans="1:8" x14ac:dyDescent="0.2">
      <c r="A177" s="2" t="s">
        <v>7555</v>
      </c>
      <c r="B177" s="2" t="s">
        <v>5976</v>
      </c>
      <c r="C177" s="2">
        <v>566.57370000000003</v>
      </c>
      <c r="D177" s="2">
        <f>HYPERLINK("http://mcb-m6.bioreg.kyushu-u.ac.jp/M3/20110404/F50766/727/1", 37.45)</f>
        <v>37.450000000000003</v>
      </c>
      <c r="E177" s="2">
        <v>14.05</v>
      </c>
      <c r="F177" s="2">
        <v>2</v>
      </c>
      <c r="G177" s="2" t="s">
        <v>9</v>
      </c>
    </row>
    <row r="178" spans="1:8" x14ac:dyDescent="0.2">
      <c r="A178" s="2" t="s">
        <v>7862</v>
      </c>
      <c r="B178" s="2" t="s">
        <v>6855</v>
      </c>
      <c r="C178" s="2">
        <v>944.38800000000003</v>
      </c>
      <c r="D178" s="2">
        <f>HYPERLINK("http://mcb-m6.bioreg.kyushu-u.ac.jp/M3/20110404/F50782/657/1", 50.27)</f>
        <v>50.27</v>
      </c>
      <c r="E178" s="2">
        <v>16.38</v>
      </c>
      <c r="F178" s="2">
        <v>1</v>
      </c>
      <c r="G178" s="2" t="s">
        <v>10</v>
      </c>
    </row>
    <row r="179" spans="1:8" x14ac:dyDescent="0.2">
      <c r="A179" s="2" t="s">
        <v>3448</v>
      </c>
      <c r="B179" s="2" t="s">
        <v>258</v>
      </c>
      <c r="C179" s="2">
        <v>485.59109999999998</v>
      </c>
      <c r="D179" s="2">
        <f>HYPERLINK("http://mcb-m6.bioreg.kyushu-u.ac.jp/M3/20110404/F50751/1436/1", 35.44)</f>
        <v>35.44</v>
      </c>
      <c r="E179" s="2">
        <v>15.74</v>
      </c>
      <c r="F179" s="2">
        <v>2</v>
      </c>
      <c r="G179" s="2" t="s">
        <v>9</v>
      </c>
    </row>
    <row r="180" spans="1:8" x14ac:dyDescent="0.2">
      <c r="A180" s="2" t="s">
        <v>4644</v>
      </c>
      <c r="B180" s="2" t="s">
        <v>2801</v>
      </c>
      <c r="C180" s="2">
        <v>459.07409999999999</v>
      </c>
      <c r="D180" s="2">
        <f>HYPERLINK("http://mcb-m6.bioreg.kyushu-u.ac.jp/M3/20110404/F50760/920/1", 35.72)</f>
        <v>35.72</v>
      </c>
      <c r="E180" s="2">
        <v>9.81</v>
      </c>
      <c r="F180" s="2">
        <v>2</v>
      </c>
      <c r="G180" s="2" t="s">
        <v>10</v>
      </c>
    </row>
    <row r="181" spans="1:8" x14ac:dyDescent="0.2">
      <c r="A181" s="2" t="s">
        <v>5748</v>
      </c>
      <c r="B181" s="2" t="s">
        <v>5363</v>
      </c>
      <c r="C181" s="2">
        <v>766.56410000000005</v>
      </c>
      <c r="D181" s="2">
        <f>HYPERLINK("http://mcb-m6.bioreg.kyushu-u.ac.jp/M3/20110428/F51127/2023/1", 36.48)</f>
        <v>36.479999999999997</v>
      </c>
      <c r="E181" s="2">
        <v>8.75</v>
      </c>
      <c r="F181" s="2">
        <v>2</v>
      </c>
      <c r="G181" s="2" t="s">
        <v>13</v>
      </c>
    </row>
    <row r="182" spans="1:8" x14ac:dyDescent="0.2">
      <c r="A182" s="2" t="s">
        <v>3684</v>
      </c>
      <c r="B182" s="2" t="s">
        <v>644</v>
      </c>
      <c r="C182" s="2">
        <v>907.46100000000001</v>
      </c>
      <c r="D182" s="2">
        <f>HYPERLINK("http://mcb-m6.bioreg.kyushu-u.ac.jp/M3/20110404/F50781/886/2", 45.7)</f>
        <v>45.7</v>
      </c>
      <c r="E182" s="2">
        <v>13.55</v>
      </c>
      <c r="F182" s="2">
        <v>1</v>
      </c>
      <c r="G182" s="2" t="s">
        <v>10</v>
      </c>
    </row>
    <row r="183" spans="1:8" x14ac:dyDescent="0.2">
      <c r="A183" s="2" t="s">
        <v>7962</v>
      </c>
      <c r="B183" s="2" t="s">
        <v>7170</v>
      </c>
      <c r="C183" s="2">
        <v>653.44669999999996</v>
      </c>
      <c r="D183" s="2">
        <f>HYPERLINK("http://mcb-m6.bioreg.kyushu-u.ac.jp/M3/20110421/F51050/1709/1", 37.34)</f>
        <v>37.340000000000003</v>
      </c>
      <c r="E183" s="2">
        <v>10.93</v>
      </c>
      <c r="F183" s="2">
        <v>2</v>
      </c>
      <c r="G183" s="2" t="s">
        <v>12</v>
      </c>
    </row>
    <row r="184" spans="1:8" x14ac:dyDescent="0.2">
      <c r="A184" s="2" t="s">
        <v>7858</v>
      </c>
      <c r="B184" s="2" t="s">
        <v>6839</v>
      </c>
      <c r="C184" s="2">
        <v>826.21400000000006</v>
      </c>
      <c r="D184" s="2">
        <f>HYPERLINK("http://mcb-m6.bioreg.kyushu-u.ac.jp/M3/20110404/F50771/806/1", 48.69)</f>
        <v>48.69</v>
      </c>
      <c r="E184" s="2">
        <v>14.18</v>
      </c>
      <c r="F184" s="2">
        <v>1</v>
      </c>
      <c r="G184" s="2" t="s">
        <v>10</v>
      </c>
    </row>
    <row r="185" spans="1:8" x14ac:dyDescent="0.2">
      <c r="A185" s="2" t="s">
        <v>8010</v>
      </c>
      <c r="B185" s="2" t="s">
        <v>7244</v>
      </c>
      <c r="C185" s="2">
        <v>800.22310000000004</v>
      </c>
      <c r="D185" s="2">
        <f>HYPERLINK("http://mcb-m6.bioreg.kyushu-u.ac.jp/M3/20110421/F51021/2415/1", 58.21)</f>
        <v>58.21</v>
      </c>
      <c r="E185" s="2">
        <v>30.83</v>
      </c>
      <c r="F185" s="2">
        <v>2</v>
      </c>
      <c r="G185" s="2" t="s">
        <v>12</v>
      </c>
    </row>
    <row r="186" spans="1:8" x14ac:dyDescent="0.2">
      <c r="A186" s="2" t="s">
        <v>5800</v>
      </c>
      <c r="B186" s="2" t="s">
        <v>5463</v>
      </c>
      <c r="C186" s="2">
        <v>637.43619999999999</v>
      </c>
      <c r="D186" s="2">
        <f>HYPERLINK("http://mcb-m6.bioreg.kyushu-u.ac.jp/M3/20110421/F51043/1525/1", 39.15)</f>
        <v>39.15</v>
      </c>
      <c r="E186" s="2">
        <v>16.260000000000002</v>
      </c>
      <c r="F186" s="2">
        <v>2</v>
      </c>
      <c r="G186" s="2" t="s">
        <v>12</v>
      </c>
    </row>
    <row r="187" spans="1:8" x14ac:dyDescent="0.2">
      <c r="A187" s="2" t="s">
        <v>5800</v>
      </c>
      <c r="B187" s="2" t="s">
        <v>5463</v>
      </c>
      <c r="C187" s="2">
        <v>637.20619999999997</v>
      </c>
      <c r="D187" s="2">
        <f>HYPERLINK("http://mcb-m6.bioreg.kyushu-u.ac.jp/M3/20110427/F51122/1776/1", 41.6)</f>
        <v>41.6</v>
      </c>
      <c r="E187" s="2">
        <v>16.739999999999998</v>
      </c>
      <c r="F187" s="2">
        <v>2</v>
      </c>
      <c r="G187" s="2" t="s">
        <v>14</v>
      </c>
    </row>
    <row r="188" spans="1:8" x14ac:dyDescent="0.2">
      <c r="A188" s="2" t="s">
        <v>3333</v>
      </c>
      <c r="B188" s="2" t="s">
        <v>121</v>
      </c>
      <c r="C188" s="2">
        <v>795.2242</v>
      </c>
      <c r="D188" s="2">
        <f>HYPERLINK("http://mcb-m6.bioreg.kyushu-u.ac.jp/M3/20110428/F51132/2327/1", 35.13)</f>
        <v>35.130000000000003</v>
      </c>
      <c r="E188" s="2">
        <v>14.23</v>
      </c>
      <c r="F188" s="2">
        <v>2</v>
      </c>
      <c r="G188" s="2" t="s">
        <v>13</v>
      </c>
    </row>
    <row r="189" spans="1:8" x14ac:dyDescent="0.2">
      <c r="A189" s="2" t="s">
        <v>7940</v>
      </c>
      <c r="B189" s="2" t="s">
        <v>7126</v>
      </c>
      <c r="C189" s="2">
        <v>453.98509999999999</v>
      </c>
      <c r="D189" s="2">
        <f>HYPERLINK("http://mcb-m6.bioreg.kyushu-u.ac.jp/M3/20110421/F51039/685/1", 56.32)</f>
        <v>56.32</v>
      </c>
      <c r="E189" s="2">
        <v>33.21</v>
      </c>
      <c r="F189" s="2">
        <v>2</v>
      </c>
      <c r="G189" s="2" t="s">
        <v>11</v>
      </c>
    </row>
    <row r="190" spans="1:8" x14ac:dyDescent="0.2">
      <c r="A190" s="2" t="s">
        <v>4793</v>
      </c>
      <c r="B190" s="2" t="s">
        <v>3030</v>
      </c>
      <c r="C190" s="2">
        <v>784.47559999999999</v>
      </c>
      <c r="D190" s="2">
        <f>HYPERLINK("http://mcb-m6.bioreg.kyushu-u.ac.jp/M3/20110404/F50777/2111/1", 35.46)</f>
        <v>35.46</v>
      </c>
      <c r="E190" s="2">
        <v>10.08</v>
      </c>
      <c r="F190" s="2">
        <v>2</v>
      </c>
      <c r="G190" s="2" t="s">
        <v>9</v>
      </c>
      <c r="H190" s="2" t="s">
        <v>4908</v>
      </c>
    </row>
    <row r="191" spans="1:8" x14ac:dyDescent="0.2">
      <c r="A191" s="2" t="s">
        <v>8094</v>
      </c>
      <c r="B191" s="2" t="s">
        <v>7445</v>
      </c>
      <c r="C191" s="2">
        <v>502.81310000000002</v>
      </c>
      <c r="D191" s="2">
        <f>HYPERLINK("http://mcb-m6.bioreg.kyushu-u.ac.jp/M3/20110428/F51126/1158/1", 35.02)</f>
        <v>35.020000000000003</v>
      </c>
      <c r="E191" s="2">
        <v>10.71</v>
      </c>
      <c r="F191" s="2">
        <v>2</v>
      </c>
      <c r="G191" s="2" t="s">
        <v>14</v>
      </c>
    </row>
    <row r="192" spans="1:8" x14ac:dyDescent="0.2">
      <c r="A192" s="2" t="s">
        <v>3391</v>
      </c>
      <c r="B192" s="2" t="s">
        <v>185</v>
      </c>
      <c r="C192" s="2">
        <v>652.95510000000002</v>
      </c>
      <c r="D192" s="2">
        <f>HYPERLINK("http://mcb-m6.bioreg.kyushu-u.ac.jp/M3/20110421/F51018/1673/1", 38.36)</f>
        <v>38.36</v>
      </c>
      <c r="E192" s="2">
        <v>17.559999999999999</v>
      </c>
      <c r="F192" s="2">
        <v>2</v>
      </c>
      <c r="G192" s="2" t="s">
        <v>11</v>
      </c>
    </row>
    <row r="193" spans="1:9" x14ac:dyDescent="0.2">
      <c r="A193" s="2" t="s">
        <v>7980</v>
      </c>
      <c r="B193" s="2" t="s">
        <v>7194</v>
      </c>
      <c r="C193" s="2">
        <v>606.78809999999999</v>
      </c>
      <c r="D193" s="2">
        <f>HYPERLINK("http://mcb-m6.bioreg.kyushu-u.ac.jp/M3/20110421/F51061/1371/1", 42.41)</f>
        <v>42.41</v>
      </c>
      <c r="E193" s="2">
        <v>13.45</v>
      </c>
      <c r="F193" s="2">
        <v>2</v>
      </c>
      <c r="G193" s="2" t="s">
        <v>12</v>
      </c>
      <c r="H193" s="2" t="s">
        <v>4896</v>
      </c>
    </row>
    <row r="194" spans="1:9" x14ac:dyDescent="0.2">
      <c r="A194" s="2" t="s">
        <v>5787</v>
      </c>
      <c r="B194" s="2" t="s">
        <v>5433</v>
      </c>
      <c r="C194" s="2">
        <v>486.71960000000001</v>
      </c>
      <c r="D194" s="2">
        <f>HYPERLINK("http://mcb-m6.bioreg.kyushu-u.ac.jp/M3/20110427/F51116/980/1", 35.64)</f>
        <v>35.64</v>
      </c>
      <c r="E194" s="2">
        <v>11.43</v>
      </c>
      <c r="F194" s="2">
        <v>2</v>
      </c>
      <c r="G194" s="2" t="s">
        <v>13</v>
      </c>
    </row>
    <row r="195" spans="1:9" x14ac:dyDescent="0.2">
      <c r="A195" s="2" t="s">
        <v>3772</v>
      </c>
      <c r="B195" s="2" t="s">
        <v>796</v>
      </c>
      <c r="C195" s="2">
        <v>760.21699999999998</v>
      </c>
      <c r="D195" s="2">
        <f>HYPERLINK("http://mcb-m6.bioreg.kyushu-u.ac.jp/M3/20110404/F50756/699/1", 47.47)</f>
        <v>47.47</v>
      </c>
      <c r="E195" s="2">
        <v>18.559999999999999</v>
      </c>
      <c r="F195" s="2">
        <v>1</v>
      </c>
      <c r="G195" s="2" t="s">
        <v>9</v>
      </c>
    </row>
    <row r="196" spans="1:9" x14ac:dyDescent="0.2">
      <c r="A196" s="2" t="s">
        <v>3772</v>
      </c>
      <c r="B196" s="2" t="s">
        <v>796</v>
      </c>
      <c r="C196" s="2">
        <v>760.28599999999994</v>
      </c>
      <c r="D196" s="2">
        <f>HYPERLINK("http://mcb-m6.bioreg.kyushu-u.ac.jp/M3/20110421/F51034/596/1", 47.82)</f>
        <v>47.82</v>
      </c>
      <c r="E196" s="2">
        <v>18.600000000000001</v>
      </c>
      <c r="F196" s="2">
        <v>1</v>
      </c>
      <c r="G196" s="2" t="s">
        <v>11</v>
      </c>
    </row>
    <row r="197" spans="1:9" x14ac:dyDescent="0.2">
      <c r="A197" s="2" t="s">
        <v>3772</v>
      </c>
      <c r="B197" s="2" t="s">
        <v>796</v>
      </c>
      <c r="C197" s="2">
        <v>760.36699999999996</v>
      </c>
      <c r="D197" s="2">
        <f>HYPERLINK("http://mcb-m6.bioreg.kyushu-u.ac.jp/M3/20110421/F51044/544/1", 51.22)</f>
        <v>51.22</v>
      </c>
      <c r="E197" s="2">
        <v>19.18</v>
      </c>
      <c r="F197" s="2">
        <v>1</v>
      </c>
      <c r="G197" s="2" t="s">
        <v>12</v>
      </c>
    </row>
    <row r="198" spans="1:9" x14ac:dyDescent="0.2">
      <c r="A198" s="2" t="s">
        <v>3772</v>
      </c>
      <c r="B198" s="2" t="s">
        <v>796</v>
      </c>
      <c r="C198" s="2">
        <v>760.19200000000001</v>
      </c>
      <c r="D198" s="2">
        <f>HYPERLINK("http://mcb-m6.bioreg.kyushu-u.ac.jp/M3/20110427/F51114/636/1", 50.28)</f>
        <v>50.28</v>
      </c>
      <c r="E198" s="2">
        <v>19.43</v>
      </c>
      <c r="F198" s="2">
        <v>1</v>
      </c>
      <c r="G198" s="2" t="s">
        <v>13</v>
      </c>
    </row>
    <row r="199" spans="1:9" x14ac:dyDescent="0.2">
      <c r="A199" s="2" t="s">
        <v>3772</v>
      </c>
      <c r="B199" s="2" t="s">
        <v>796</v>
      </c>
      <c r="C199" s="2">
        <v>760.22799999999995</v>
      </c>
      <c r="D199" s="2">
        <f>HYPERLINK("http://mcb-m6.bioreg.kyushu-u.ac.jp/M3/20110427/F51123/747/1", 50.27)</f>
        <v>50.27</v>
      </c>
      <c r="E199" s="2">
        <v>18.27</v>
      </c>
      <c r="F199" s="2">
        <v>1</v>
      </c>
      <c r="G199" s="2" t="s">
        <v>14</v>
      </c>
    </row>
    <row r="200" spans="1:9" x14ac:dyDescent="0.2">
      <c r="A200" s="2" t="s">
        <v>8046</v>
      </c>
      <c r="B200" s="2" t="s">
        <v>7329</v>
      </c>
      <c r="C200" s="2">
        <v>529.16560000000004</v>
      </c>
      <c r="D200" s="2">
        <f>HYPERLINK("http://mcb-m6.bioreg.kyushu-u.ac.jp/M3/20110427/F51109/1511/1", 41.61)</f>
        <v>41.61</v>
      </c>
      <c r="E200" s="2">
        <v>9.89</v>
      </c>
      <c r="F200" s="2">
        <v>2</v>
      </c>
      <c r="G200" s="2" t="s">
        <v>13</v>
      </c>
    </row>
    <row r="201" spans="1:9" x14ac:dyDescent="0.2">
      <c r="A201" s="2" t="s">
        <v>7916</v>
      </c>
      <c r="B201" s="2" t="s">
        <v>7082</v>
      </c>
      <c r="C201" s="2">
        <v>453.01560000000001</v>
      </c>
      <c r="D201" s="2">
        <f>HYPERLINK("http://mcb-m6.bioreg.kyushu-u.ac.jp/M3/20110421/F51019/907/1", 37.72)</f>
        <v>37.72</v>
      </c>
      <c r="E201" s="2">
        <v>13.41</v>
      </c>
      <c r="F201" s="2">
        <v>2</v>
      </c>
      <c r="G201" s="2" t="s">
        <v>11</v>
      </c>
      <c r="H201" s="2" t="s">
        <v>4910</v>
      </c>
    </row>
    <row r="202" spans="1:9" x14ac:dyDescent="0.2">
      <c r="A202" s="2" t="s">
        <v>7802</v>
      </c>
      <c r="B202" s="2" t="s">
        <v>6727</v>
      </c>
      <c r="C202" s="2">
        <v>695.27809999999999</v>
      </c>
      <c r="D202" s="2">
        <f>HYPERLINK("http://mcb-m6.bioreg.kyushu-u.ac.jp/M3/20110404/F50781/1660/1", 38.1)</f>
        <v>38.1</v>
      </c>
      <c r="E202" s="2">
        <v>12.1</v>
      </c>
      <c r="F202" s="2">
        <v>2</v>
      </c>
      <c r="G202" s="2" t="s">
        <v>10</v>
      </c>
      <c r="H202" s="2" t="s">
        <v>4900</v>
      </c>
    </row>
    <row r="203" spans="1:9" x14ac:dyDescent="0.2">
      <c r="A203" s="2" t="s">
        <v>7627</v>
      </c>
      <c r="B203" s="2" t="s">
        <v>6157</v>
      </c>
      <c r="C203" s="2">
        <v>565.33169999999996</v>
      </c>
      <c r="D203" s="2">
        <f>HYPERLINK("http://mcb-m6.bioreg.kyushu-u.ac.jp/M3/20110404/F50766/724/1", 44.68)</f>
        <v>44.68</v>
      </c>
      <c r="E203" s="2">
        <v>14.64</v>
      </c>
      <c r="F203" s="2">
        <v>2</v>
      </c>
      <c r="G203" s="2" t="s">
        <v>9</v>
      </c>
    </row>
    <row r="204" spans="1:9" x14ac:dyDescent="0.2">
      <c r="A204" s="2" t="s">
        <v>4445</v>
      </c>
      <c r="B204" s="2" t="s">
        <v>2344</v>
      </c>
      <c r="C204" s="2">
        <v>688.11699999999996</v>
      </c>
      <c r="D204" s="2">
        <f>HYPERLINK("http://mcb-m6.bioreg.kyushu-u.ac.jp/M3/20110427/F51109/1080/1", 49.04)</f>
        <v>49.04</v>
      </c>
      <c r="E204" s="2">
        <v>7.4</v>
      </c>
      <c r="F204" s="2">
        <v>1</v>
      </c>
      <c r="G204" s="2" t="s">
        <v>13</v>
      </c>
    </row>
    <row r="205" spans="1:9" x14ac:dyDescent="0.2">
      <c r="A205" s="2" t="s">
        <v>7560</v>
      </c>
      <c r="B205" s="2" t="s">
        <v>5986</v>
      </c>
      <c r="C205" s="2">
        <v>601.76819999999998</v>
      </c>
      <c r="D205" s="2">
        <f>HYPERLINK("http://mcb-m6.bioreg.kyushu-u.ac.jp/M3/20110404/F50755/1389/1", 37.79)</f>
        <v>37.79</v>
      </c>
      <c r="E205" s="2">
        <v>11.52</v>
      </c>
      <c r="F205" s="2">
        <v>2</v>
      </c>
      <c r="G205" s="2" t="s">
        <v>9</v>
      </c>
      <c r="I205" s="2" t="s">
        <v>4890</v>
      </c>
    </row>
    <row r="206" spans="1:9" x14ac:dyDescent="0.2">
      <c r="A206" s="2" t="s">
        <v>7546</v>
      </c>
      <c r="B206" s="2" t="s">
        <v>5955</v>
      </c>
      <c r="C206" s="2">
        <v>511.29309999999998</v>
      </c>
      <c r="D206" s="2">
        <f>HYPERLINK("http://mcb-m6.bioreg.kyushu-u.ac.jp/M3/20110404/F50765/973/1", 36.84)</f>
        <v>36.840000000000003</v>
      </c>
      <c r="E206" s="2">
        <v>10.4</v>
      </c>
      <c r="F206" s="2">
        <v>2</v>
      </c>
      <c r="G206" s="2" t="s">
        <v>9</v>
      </c>
    </row>
    <row r="207" spans="1:9" x14ac:dyDescent="0.2">
      <c r="A207" s="2" t="s">
        <v>8060</v>
      </c>
      <c r="B207" s="2" t="s">
        <v>7354</v>
      </c>
      <c r="C207" s="2">
        <v>573.18020000000001</v>
      </c>
      <c r="D207" s="2">
        <f>HYPERLINK("http://mcb-m6.bioreg.kyushu-u.ac.jp/M3/20110427/F51114/1241/1", 45.79)</f>
        <v>45.79</v>
      </c>
      <c r="E207" s="2">
        <v>22.76</v>
      </c>
      <c r="F207" s="2">
        <v>2</v>
      </c>
      <c r="G207" s="2" t="s">
        <v>13</v>
      </c>
    </row>
    <row r="208" spans="1:9" x14ac:dyDescent="0.2">
      <c r="A208" s="2" t="s">
        <v>7922</v>
      </c>
      <c r="B208" s="2" t="s">
        <v>7088</v>
      </c>
      <c r="C208" s="2">
        <v>459.22109999999998</v>
      </c>
      <c r="D208" s="2">
        <f>HYPERLINK("http://mcb-m6.bioreg.kyushu-u.ac.jp/M3/20110421/F51040/662/1", 39.01)</f>
        <v>39.01</v>
      </c>
      <c r="E208" s="2">
        <v>14.01</v>
      </c>
      <c r="F208" s="2">
        <v>2</v>
      </c>
      <c r="G208" s="2" t="s">
        <v>11</v>
      </c>
    </row>
    <row r="209" spans="1:8" x14ac:dyDescent="0.2">
      <c r="A209" s="2" t="s">
        <v>7912</v>
      </c>
      <c r="B209" s="2" t="s">
        <v>7077</v>
      </c>
      <c r="C209" s="2">
        <v>515.41470000000004</v>
      </c>
      <c r="D209" s="2">
        <f>HYPERLINK("http://mcb-m6.bioreg.kyushu-u.ac.jp/M3/20110421/F51034/980/1", 36.53)</f>
        <v>36.53</v>
      </c>
      <c r="E209" s="2">
        <v>12.01</v>
      </c>
      <c r="F209" s="2">
        <v>2</v>
      </c>
      <c r="G209" s="2" t="s">
        <v>11</v>
      </c>
    </row>
    <row r="210" spans="1:8" x14ac:dyDescent="0.2">
      <c r="A210" s="2" t="s">
        <v>7987</v>
      </c>
      <c r="B210" s="2" t="s">
        <v>7206</v>
      </c>
      <c r="C210" s="2">
        <v>471.22809999999998</v>
      </c>
      <c r="D210" s="2">
        <f>HYPERLINK("http://mcb-m6.bioreg.kyushu-u.ac.jp/M3/20110421/F51043/777/1", 45.67)</f>
        <v>45.67</v>
      </c>
      <c r="E210" s="2">
        <v>4.6100000000000003</v>
      </c>
      <c r="F210" s="2">
        <v>2</v>
      </c>
      <c r="G210" s="2" t="s">
        <v>12</v>
      </c>
    </row>
    <row r="211" spans="1:8" x14ac:dyDescent="0.2">
      <c r="A211" s="2" t="s">
        <v>8122</v>
      </c>
      <c r="B211" s="2" t="s">
        <v>7492</v>
      </c>
      <c r="C211" s="2">
        <v>532.93409999999994</v>
      </c>
      <c r="D211" s="2">
        <f>HYPERLINK("http://mcb-m6.bioreg.kyushu-u.ac.jp/M3/20110427/F51122/1425/1", 50.19)</f>
        <v>50.19</v>
      </c>
      <c r="E211" s="2">
        <v>23.91</v>
      </c>
      <c r="F211" s="2">
        <v>2</v>
      </c>
      <c r="G211" s="2" t="s">
        <v>14</v>
      </c>
      <c r="H211" s="2" t="s">
        <v>4920</v>
      </c>
    </row>
    <row r="212" spans="1:8" x14ac:dyDescent="0.2">
      <c r="A212" s="2" t="s">
        <v>7914</v>
      </c>
      <c r="B212" s="2" t="s">
        <v>7079</v>
      </c>
      <c r="C212" s="2">
        <v>741.12819999999999</v>
      </c>
      <c r="D212" s="2">
        <f>HYPERLINK("http://mcb-m6.bioreg.kyushu-u.ac.jp/M3/20110421/F51014/2126/1", 36.9)</f>
        <v>36.9</v>
      </c>
      <c r="E212" s="2">
        <v>12.44</v>
      </c>
      <c r="F212" s="2">
        <v>2</v>
      </c>
      <c r="G212" s="2" t="s">
        <v>11</v>
      </c>
      <c r="H212" s="2" t="s">
        <v>4908</v>
      </c>
    </row>
    <row r="213" spans="1:8" x14ac:dyDescent="0.2">
      <c r="A213" s="2" t="s">
        <v>8025</v>
      </c>
      <c r="B213" s="2" t="s">
        <v>7286</v>
      </c>
      <c r="C213" s="2">
        <v>450.95460000000003</v>
      </c>
      <c r="D213" s="2">
        <f>HYPERLINK("http://mcb-m6.bioreg.kyushu-u.ac.jp/M3/20110427/F51116/831/2", 35.48)</f>
        <v>35.479999999999997</v>
      </c>
      <c r="E213" s="2">
        <v>9.4700000000000006</v>
      </c>
      <c r="F213" s="2">
        <v>2</v>
      </c>
      <c r="G213" s="2" t="s">
        <v>13</v>
      </c>
    </row>
    <row r="214" spans="1:8" x14ac:dyDescent="0.2">
      <c r="A214" s="2" t="s">
        <v>7567</v>
      </c>
      <c r="B214" s="2" t="s">
        <v>5998</v>
      </c>
      <c r="C214" s="2">
        <v>861.36699999999996</v>
      </c>
      <c r="D214" s="2">
        <f>HYPERLINK("http://mcb-m6.bioreg.kyushu-u.ac.jp/M3/20110404/F50765/727/2", 38.2)</f>
        <v>38.200000000000003</v>
      </c>
      <c r="E214" s="2">
        <v>10.27</v>
      </c>
      <c r="F214" s="2">
        <v>1</v>
      </c>
      <c r="G214" s="2" t="s">
        <v>9</v>
      </c>
    </row>
    <row r="215" spans="1:8" x14ac:dyDescent="0.2">
      <c r="A215" s="2" t="s">
        <v>7567</v>
      </c>
      <c r="B215" s="2" t="s">
        <v>5998</v>
      </c>
      <c r="C215" s="2">
        <v>861.28300000000002</v>
      </c>
      <c r="D215" s="2">
        <f>HYPERLINK("http://mcb-m6.bioreg.kyushu-u.ac.jp/M3/20110404/F50771/831/2", 39.85)</f>
        <v>39.85</v>
      </c>
      <c r="E215" s="2">
        <v>11.87</v>
      </c>
      <c r="F215" s="2">
        <v>1</v>
      </c>
      <c r="G215" s="2" t="s">
        <v>10</v>
      </c>
    </row>
    <row r="216" spans="1:8" x14ac:dyDescent="0.2">
      <c r="A216" s="2" t="s">
        <v>7918</v>
      </c>
      <c r="B216" s="2" t="s">
        <v>7084</v>
      </c>
      <c r="C216" s="2">
        <v>500.37209999999999</v>
      </c>
      <c r="D216" s="2">
        <f>HYPERLINK("http://mcb-m6.bioreg.kyushu-u.ac.jp/M3/20110421/F51039/912/1", 37.87)</f>
        <v>37.869999999999997</v>
      </c>
      <c r="E216" s="2">
        <v>8.7100000000000009</v>
      </c>
      <c r="F216" s="2">
        <v>2</v>
      </c>
      <c r="G216" s="2" t="s">
        <v>11</v>
      </c>
    </row>
    <row r="217" spans="1:8" x14ac:dyDescent="0.2">
      <c r="A217" s="2" t="s">
        <v>7524</v>
      </c>
      <c r="B217" s="2" t="s">
        <v>5914</v>
      </c>
      <c r="C217" s="2">
        <v>864.84310000000005</v>
      </c>
      <c r="D217" s="2">
        <f>HYPERLINK("http://mcb-m6.bioreg.kyushu-u.ac.jp/M3/20110404/F50778/2448/1", 35.42)</f>
        <v>35.42</v>
      </c>
      <c r="E217" s="2">
        <v>12.04</v>
      </c>
      <c r="F217" s="2">
        <v>2</v>
      </c>
      <c r="G217" s="2" t="s">
        <v>9</v>
      </c>
    </row>
    <row r="218" spans="1:8" x14ac:dyDescent="0.2">
      <c r="A218" s="2" t="s">
        <v>4446</v>
      </c>
      <c r="B218" s="2" t="s">
        <v>2345</v>
      </c>
      <c r="C218" s="2">
        <v>688.11699999999996</v>
      </c>
      <c r="D218" s="2">
        <f>HYPERLINK("http://mcb-m6.bioreg.kyushu-u.ac.jp/M3/20110427/F51109/1080/2", 49.04)</f>
        <v>49.04</v>
      </c>
      <c r="E218" s="2">
        <v>7.4</v>
      </c>
      <c r="F218" s="2">
        <v>1</v>
      </c>
      <c r="G218" s="2" t="s">
        <v>13</v>
      </c>
    </row>
    <row r="219" spans="1:8" x14ac:dyDescent="0.2">
      <c r="A219" s="2" t="s">
        <v>8072</v>
      </c>
      <c r="B219" s="2" t="s">
        <v>7386</v>
      </c>
      <c r="C219" s="2">
        <v>552.04719999999998</v>
      </c>
      <c r="D219" s="2">
        <f>HYPERLINK("http://mcb-m6.bioreg.kyushu-u.ac.jp/M3/20110428/F51132/1162/1", 53.74)</f>
        <v>53.74</v>
      </c>
      <c r="E219" s="2">
        <v>30.12</v>
      </c>
      <c r="F219" s="2">
        <v>2</v>
      </c>
      <c r="G219" s="2" t="s">
        <v>13</v>
      </c>
    </row>
    <row r="220" spans="1:8" x14ac:dyDescent="0.2">
      <c r="A220" s="2" t="s">
        <v>7588</v>
      </c>
      <c r="B220" s="2" t="s">
        <v>6053</v>
      </c>
      <c r="C220" s="2">
        <v>1131.4659999999999</v>
      </c>
      <c r="D220" s="2">
        <f>HYPERLINK("http://mcb-m6.bioreg.kyushu-u.ac.jp/M3/20110404/F50778/1045/1", 40.36)</f>
        <v>40.36</v>
      </c>
      <c r="E220" s="2">
        <v>15</v>
      </c>
      <c r="F220" s="2">
        <v>1</v>
      </c>
      <c r="G220" s="2" t="s">
        <v>9</v>
      </c>
    </row>
    <row r="221" spans="1:8" x14ac:dyDescent="0.2">
      <c r="A221" s="2" t="s">
        <v>8063</v>
      </c>
      <c r="B221" s="2" t="s">
        <v>7365</v>
      </c>
      <c r="C221" s="2">
        <v>515.64970000000005</v>
      </c>
      <c r="D221" s="2">
        <f>HYPERLINK("http://mcb-m6.bioreg.kyushu-u.ac.jp/M3/20110428/F51133/894/1", 47.13)</f>
        <v>47.13</v>
      </c>
      <c r="E221" s="2">
        <v>2.92</v>
      </c>
      <c r="F221" s="2">
        <v>2</v>
      </c>
      <c r="G221" s="2" t="s">
        <v>13</v>
      </c>
    </row>
    <row r="222" spans="1:8" x14ac:dyDescent="0.2">
      <c r="A222" s="2" t="s">
        <v>3686</v>
      </c>
      <c r="B222" s="2" t="s">
        <v>648</v>
      </c>
      <c r="C222" s="2">
        <v>524.13919999999996</v>
      </c>
      <c r="D222" s="2">
        <f>HYPERLINK("http://mcb-m6.bioreg.kyushu-u.ac.jp/M3/20110404/F50761/1066/1", 41.38)</f>
        <v>41.38</v>
      </c>
      <c r="E222" s="2">
        <v>16.68</v>
      </c>
      <c r="F222" s="2">
        <v>2</v>
      </c>
      <c r="G222" s="2" t="s">
        <v>10</v>
      </c>
      <c r="H222" s="2" t="s">
        <v>4910</v>
      </c>
    </row>
    <row r="223" spans="1:8" x14ac:dyDescent="0.2">
      <c r="A223" s="2" t="s">
        <v>3686</v>
      </c>
      <c r="B223" s="2" t="s">
        <v>648</v>
      </c>
      <c r="C223" s="2">
        <v>523.56209999999999</v>
      </c>
      <c r="D223" s="2">
        <f>HYPERLINK("http://mcb-m6.bioreg.kyushu-u.ac.jp/M3/20110421/F51050/1247/1", 39.54)</f>
        <v>39.54</v>
      </c>
      <c r="E223" s="2">
        <v>14.11</v>
      </c>
      <c r="F223" s="2">
        <v>2</v>
      </c>
      <c r="G223" s="2" t="s">
        <v>12</v>
      </c>
      <c r="H223" s="2" t="s">
        <v>4910</v>
      </c>
    </row>
    <row r="224" spans="1:8" x14ac:dyDescent="0.2">
      <c r="A224" s="2" t="s">
        <v>3686</v>
      </c>
      <c r="B224" s="2" t="s">
        <v>648</v>
      </c>
      <c r="C224" s="2">
        <v>523.39670000000001</v>
      </c>
      <c r="D224" s="2">
        <f>HYPERLINK("http://mcb-m6.bioreg.kyushu-u.ac.jp/M3/20110428/F51134/1457/1", 43.09)</f>
        <v>43.09</v>
      </c>
      <c r="E224" s="2">
        <v>15.81</v>
      </c>
      <c r="F224" s="2">
        <v>2</v>
      </c>
      <c r="G224" s="2" t="s">
        <v>14</v>
      </c>
      <c r="H224" s="2" t="s">
        <v>4910</v>
      </c>
    </row>
    <row r="225" spans="1:9" x14ac:dyDescent="0.2">
      <c r="A225" s="2" t="s">
        <v>3538</v>
      </c>
      <c r="B225" s="2" t="s">
        <v>392</v>
      </c>
      <c r="C225" s="2">
        <v>683.77070000000003</v>
      </c>
      <c r="D225" s="2">
        <f>HYPERLINK("http://mcb-m6.bioreg.kyushu-u.ac.jp/M3/20110427/F51122/1908/1", 40.56)</f>
        <v>40.56</v>
      </c>
      <c r="E225" s="2">
        <v>19.78</v>
      </c>
      <c r="F225" s="2">
        <v>2</v>
      </c>
      <c r="G225" s="2" t="s">
        <v>14</v>
      </c>
      <c r="H225" s="2" t="s">
        <v>4901</v>
      </c>
    </row>
    <row r="226" spans="1:9" x14ac:dyDescent="0.2">
      <c r="A226" s="2" t="s">
        <v>4127</v>
      </c>
      <c r="B226" s="2" t="s">
        <v>1647</v>
      </c>
      <c r="C226" s="2">
        <v>1313.7940000000001</v>
      </c>
      <c r="D226" s="2">
        <f>HYPERLINK("http://mcb-m6.bioreg.kyushu-u.ac.jp/M3/20110421/F51014/3244/1", 89.98)</f>
        <v>89.98</v>
      </c>
      <c r="E226" s="2">
        <v>80.790000000000006</v>
      </c>
      <c r="F226" s="2">
        <v>2</v>
      </c>
      <c r="G226" s="2" t="s">
        <v>11</v>
      </c>
      <c r="I226" s="2" t="s">
        <v>4899</v>
      </c>
    </row>
    <row r="227" spans="1:9" x14ac:dyDescent="0.2">
      <c r="A227" s="2" t="s">
        <v>4127</v>
      </c>
      <c r="B227" s="2" t="s">
        <v>1647</v>
      </c>
      <c r="C227" s="2">
        <v>876.36149999999998</v>
      </c>
      <c r="D227" s="2">
        <f>HYPERLINK("http://mcb-m6.bioreg.kyushu-u.ac.jp/M3/20110427/F51118/2902/1", 55.29)</f>
        <v>55.29</v>
      </c>
      <c r="E227" s="2">
        <v>39.78</v>
      </c>
      <c r="F227" s="2">
        <v>3</v>
      </c>
      <c r="G227" s="2" t="s">
        <v>14</v>
      </c>
      <c r="I227" s="2" t="s">
        <v>4899</v>
      </c>
    </row>
    <row r="228" spans="1:9" x14ac:dyDescent="0.2">
      <c r="A228" s="2" t="s">
        <v>3863</v>
      </c>
      <c r="B228" s="2" t="s">
        <v>976</v>
      </c>
      <c r="C228" s="2">
        <v>649.94269999999995</v>
      </c>
      <c r="D228" s="2">
        <f>HYPERLINK("http://mcb-m6.bioreg.kyushu-u.ac.jp/M3/20110404/F50753/1655/1", 63.09)</f>
        <v>63.09</v>
      </c>
      <c r="E228" s="2">
        <v>45.25</v>
      </c>
      <c r="F228" s="2">
        <v>2</v>
      </c>
      <c r="G228" s="2" t="s">
        <v>9</v>
      </c>
    </row>
    <row r="229" spans="1:9" x14ac:dyDescent="0.2">
      <c r="A229" s="2" t="s">
        <v>3863</v>
      </c>
      <c r="B229" s="2" t="s">
        <v>976</v>
      </c>
      <c r="C229" s="2">
        <v>650.30160000000001</v>
      </c>
      <c r="D229" s="2">
        <f>HYPERLINK("http://mcb-m6.bioreg.kyushu-u.ac.jp/M3/20110404/F50752/1814/1", 67.39)</f>
        <v>67.39</v>
      </c>
      <c r="E229" s="2">
        <v>56.55</v>
      </c>
      <c r="F229" s="2">
        <v>2</v>
      </c>
      <c r="G229" s="2" t="s">
        <v>9</v>
      </c>
    </row>
    <row r="230" spans="1:9" x14ac:dyDescent="0.2">
      <c r="A230" s="2" t="s">
        <v>3863</v>
      </c>
      <c r="B230" s="2" t="s">
        <v>976</v>
      </c>
      <c r="C230" s="2">
        <v>649.7242</v>
      </c>
      <c r="D230" s="2">
        <f>HYPERLINK("http://mcb-m6.bioreg.kyushu-u.ac.jp/M3/20110404/F50752/1809/1", 73.84)</f>
        <v>73.84</v>
      </c>
      <c r="E230" s="2">
        <v>62.92</v>
      </c>
      <c r="F230" s="2">
        <v>2</v>
      </c>
      <c r="G230" s="2" t="s">
        <v>9</v>
      </c>
    </row>
    <row r="231" spans="1:9" x14ac:dyDescent="0.2">
      <c r="A231" s="2" t="s">
        <v>3863</v>
      </c>
      <c r="B231" s="2" t="s">
        <v>976</v>
      </c>
      <c r="C231" s="2">
        <v>1298.7819999999999</v>
      </c>
      <c r="D231" s="2">
        <f>HYPERLINK("http://mcb-m6.bioreg.kyushu-u.ac.jp/M3/20110404/F50751/1803/1", 75.62)</f>
        <v>75.62</v>
      </c>
      <c r="E231" s="2">
        <v>53.21</v>
      </c>
      <c r="F231" s="2">
        <v>1</v>
      </c>
      <c r="G231" s="2" t="s">
        <v>9</v>
      </c>
    </row>
    <row r="232" spans="1:9" x14ac:dyDescent="0.2">
      <c r="A232" s="2" t="s">
        <v>3863</v>
      </c>
      <c r="B232" s="2" t="s">
        <v>976</v>
      </c>
      <c r="C232" s="2">
        <v>650.04219999999998</v>
      </c>
      <c r="D232" s="2">
        <f>HYPERLINK("http://mcb-m6.bioreg.kyushu-u.ac.jp/M3/20110404/F50751/1805/1", 90.32)</f>
        <v>90.32</v>
      </c>
      <c r="E232" s="2">
        <v>65.13</v>
      </c>
      <c r="F232" s="2">
        <v>2</v>
      </c>
      <c r="G232" s="2" t="s">
        <v>9</v>
      </c>
    </row>
    <row r="233" spans="1:9" x14ac:dyDescent="0.2">
      <c r="A233" s="2" t="s">
        <v>3863</v>
      </c>
      <c r="B233" s="2" t="s">
        <v>976</v>
      </c>
      <c r="C233" s="2">
        <v>649.70759999999996</v>
      </c>
      <c r="D233" s="2">
        <f>HYPERLINK("http://mcb-m6.bioreg.kyushu-u.ac.jp/M3/20110421/F51016/1820/1", 38.03)</f>
        <v>38.03</v>
      </c>
      <c r="E233" s="2">
        <v>24.96</v>
      </c>
      <c r="F233" s="2">
        <v>2</v>
      </c>
      <c r="G233" s="2" t="s">
        <v>11</v>
      </c>
    </row>
    <row r="234" spans="1:9" x14ac:dyDescent="0.2">
      <c r="A234" s="2" t="s">
        <v>3863</v>
      </c>
      <c r="B234" s="2" t="s">
        <v>976</v>
      </c>
      <c r="C234" s="2">
        <v>649.63419999999996</v>
      </c>
      <c r="D234" s="2">
        <f>HYPERLINK("http://mcb-m6.bioreg.kyushu-u.ac.jp/M3/20110421/F51017/1531/1", 47.91)</f>
        <v>47.91</v>
      </c>
      <c r="E234" s="2">
        <v>36.58</v>
      </c>
      <c r="F234" s="2">
        <v>2</v>
      </c>
      <c r="G234" s="2" t="s">
        <v>11</v>
      </c>
    </row>
    <row r="235" spans="1:9" x14ac:dyDescent="0.2">
      <c r="A235" s="2" t="s">
        <v>3863</v>
      </c>
      <c r="B235" s="2" t="s">
        <v>976</v>
      </c>
      <c r="C235" s="2">
        <v>649.70069999999998</v>
      </c>
      <c r="D235" s="2">
        <f>HYPERLINK("http://mcb-m6.bioreg.kyushu-u.ac.jp/M3/20110421/F51014/1735/1", 67.72)</f>
        <v>67.72</v>
      </c>
      <c r="E235" s="2">
        <v>53.19</v>
      </c>
      <c r="F235" s="2">
        <v>2</v>
      </c>
      <c r="G235" s="2" t="s">
        <v>11</v>
      </c>
    </row>
    <row r="236" spans="1:9" x14ac:dyDescent="0.2">
      <c r="A236" s="2" t="s">
        <v>3863</v>
      </c>
      <c r="B236" s="2" t="s">
        <v>976</v>
      </c>
      <c r="C236" s="2">
        <v>650.27170000000001</v>
      </c>
      <c r="D236" s="2">
        <f>HYPERLINK("http://mcb-m6.bioreg.kyushu-u.ac.jp/M3/20110421/F51014/1739/1", 68.22)</f>
        <v>68.22</v>
      </c>
      <c r="E236" s="2">
        <v>52.11</v>
      </c>
      <c r="F236" s="2">
        <v>2</v>
      </c>
      <c r="G236" s="2" t="s">
        <v>11</v>
      </c>
    </row>
    <row r="237" spans="1:9" x14ac:dyDescent="0.2">
      <c r="A237" s="2" t="s">
        <v>3863</v>
      </c>
      <c r="B237" s="2" t="s">
        <v>976</v>
      </c>
      <c r="C237" s="2">
        <v>649.75019999999995</v>
      </c>
      <c r="D237" s="2">
        <f>HYPERLINK("http://mcb-m6.bioreg.kyushu-u.ac.jp/M3/20110421/F51014/1736/1", 74.15)</f>
        <v>74.150000000000006</v>
      </c>
      <c r="E237" s="2">
        <v>62.71</v>
      </c>
      <c r="F237" s="2">
        <v>2</v>
      </c>
      <c r="G237" s="2" t="s">
        <v>11</v>
      </c>
    </row>
    <row r="238" spans="1:9" x14ac:dyDescent="0.2">
      <c r="A238" s="2" t="s">
        <v>3863</v>
      </c>
      <c r="B238" s="2" t="s">
        <v>976</v>
      </c>
      <c r="C238" s="2">
        <v>649.77719999999999</v>
      </c>
      <c r="D238" s="2">
        <f>HYPERLINK("http://mcb-m6.bioreg.kyushu-u.ac.jp/M3/20110421/F51015/1751/1", 85.39)</f>
        <v>85.39</v>
      </c>
      <c r="E238" s="2">
        <v>68.900000000000006</v>
      </c>
      <c r="F238" s="2">
        <v>2</v>
      </c>
      <c r="G238" s="2" t="s">
        <v>11</v>
      </c>
    </row>
    <row r="239" spans="1:9" x14ac:dyDescent="0.2">
      <c r="A239" s="2" t="s">
        <v>3863</v>
      </c>
      <c r="B239" s="2" t="s">
        <v>976</v>
      </c>
      <c r="C239" s="2">
        <v>650.00419999999997</v>
      </c>
      <c r="D239" s="2">
        <f>HYPERLINK("http://mcb-m6.bioreg.kyushu-u.ac.jp/M3/20110421/F51021/1534/1", 79.7)</f>
        <v>79.7</v>
      </c>
      <c r="E239" s="2">
        <v>50.67</v>
      </c>
      <c r="F239" s="2">
        <v>2</v>
      </c>
      <c r="G239" s="2" t="s">
        <v>12</v>
      </c>
    </row>
    <row r="240" spans="1:9" x14ac:dyDescent="0.2">
      <c r="A240" s="2" t="s">
        <v>3863</v>
      </c>
      <c r="B240" s="2" t="s">
        <v>976</v>
      </c>
      <c r="C240" s="2">
        <v>650.17020000000002</v>
      </c>
      <c r="D240" s="2">
        <f>HYPERLINK("http://mcb-m6.bioreg.kyushu-u.ac.jp/M3/20110427/F51108/1691/1", 40.19)</f>
        <v>40.19</v>
      </c>
      <c r="E240" s="2">
        <v>29.49</v>
      </c>
      <c r="F240" s="2">
        <v>2</v>
      </c>
      <c r="G240" s="2" t="s">
        <v>13</v>
      </c>
    </row>
    <row r="241" spans="1:9" x14ac:dyDescent="0.2">
      <c r="A241" s="2" t="s">
        <v>3863</v>
      </c>
      <c r="B241" s="2" t="s">
        <v>976</v>
      </c>
      <c r="C241" s="2">
        <v>650.20510000000002</v>
      </c>
      <c r="D241" s="2">
        <f>HYPERLINK("http://mcb-m6.bioreg.kyushu-u.ac.jp/M3/20110427/F51109/1830/1", 70.05)</f>
        <v>70.05</v>
      </c>
      <c r="E241" s="2">
        <v>58.11</v>
      </c>
      <c r="F241" s="2">
        <v>2</v>
      </c>
      <c r="G241" s="2" t="s">
        <v>13</v>
      </c>
    </row>
    <row r="242" spans="1:9" x14ac:dyDescent="0.2">
      <c r="A242" s="2" t="s">
        <v>3863</v>
      </c>
      <c r="B242" s="2" t="s">
        <v>976</v>
      </c>
      <c r="C242" s="2">
        <v>1298.481</v>
      </c>
      <c r="D242" s="2">
        <f>HYPERLINK("http://mcb-m6.bioreg.kyushu-u.ac.jp/M3/20110427/F51108/1689/1", 75.9)</f>
        <v>75.900000000000006</v>
      </c>
      <c r="E242" s="2">
        <v>54.12</v>
      </c>
      <c r="F242" s="2">
        <v>1</v>
      </c>
      <c r="G242" s="2" t="s">
        <v>13</v>
      </c>
    </row>
    <row r="243" spans="1:9" x14ac:dyDescent="0.2">
      <c r="A243" s="2" t="s">
        <v>3863</v>
      </c>
      <c r="B243" s="2" t="s">
        <v>976</v>
      </c>
      <c r="C243" s="2">
        <v>649.73360000000002</v>
      </c>
      <c r="D243" s="2">
        <f>HYPERLINK("http://mcb-m6.bioreg.kyushu-u.ac.jp/M3/20110427/F51108/1688/1", 81.37)</f>
        <v>81.37</v>
      </c>
      <c r="E243" s="2">
        <v>65.099999999999994</v>
      </c>
      <c r="F243" s="2">
        <v>2</v>
      </c>
      <c r="G243" s="2" t="s">
        <v>13</v>
      </c>
    </row>
    <row r="244" spans="1:9" x14ac:dyDescent="0.2">
      <c r="A244" s="2" t="s">
        <v>3863</v>
      </c>
      <c r="B244" s="2" t="s">
        <v>976</v>
      </c>
      <c r="C244" s="2">
        <v>649.70259999999996</v>
      </c>
      <c r="D244" s="2">
        <f>HYPERLINK("http://mcb-m6.bioreg.kyushu-u.ac.jp/M3/20110427/F51109/1828/1", 89.96)</f>
        <v>89.96</v>
      </c>
      <c r="E244" s="2">
        <v>74.650000000000006</v>
      </c>
      <c r="F244" s="2">
        <v>2</v>
      </c>
      <c r="G244" s="2" t="s">
        <v>13</v>
      </c>
    </row>
    <row r="245" spans="1:9" x14ac:dyDescent="0.2">
      <c r="A245" s="2" t="s">
        <v>3863</v>
      </c>
      <c r="B245" s="2" t="s">
        <v>976</v>
      </c>
      <c r="C245" s="2">
        <v>649.7097</v>
      </c>
      <c r="D245" s="2">
        <f>HYPERLINK("http://mcb-m6.bioreg.kyushu-u.ac.jp/M3/20110427/F51118/1777/1", 74.58)</f>
        <v>74.58</v>
      </c>
      <c r="E245" s="2">
        <v>61.01</v>
      </c>
      <c r="F245" s="2">
        <v>2</v>
      </c>
      <c r="G245" s="2" t="s">
        <v>14</v>
      </c>
    </row>
    <row r="246" spans="1:9" x14ac:dyDescent="0.2">
      <c r="A246" s="2" t="s">
        <v>3863</v>
      </c>
      <c r="B246" s="2" t="s">
        <v>976</v>
      </c>
      <c r="C246" s="2">
        <v>649.79610000000002</v>
      </c>
      <c r="D246" s="2">
        <f>HYPERLINK("http://mcb-m6.bioreg.kyushu-u.ac.jp/M3/20110427/F51118/1778/1", 79.84)</f>
        <v>79.84</v>
      </c>
      <c r="E246" s="2">
        <v>60.94</v>
      </c>
      <c r="F246" s="2">
        <v>2</v>
      </c>
      <c r="G246" s="2" t="s">
        <v>14</v>
      </c>
    </row>
    <row r="247" spans="1:9" x14ac:dyDescent="0.2">
      <c r="A247" s="2" t="s">
        <v>4423</v>
      </c>
      <c r="B247" s="2" t="s">
        <v>2293</v>
      </c>
      <c r="C247" s="2">
        <v>456.29910000000001</v>
      </c>
      <c r="D247" s="2">
        <f>HYPERLINK("http://mcb-m6.bioreg.kyushu-u.ac.jp/M3/20110404/F50751/1316/1", 56.17)</f>
        <v>56.17</v>
      </c>
      <c r="E247" s="2">
        <v>24.09</v>
      </c>
      <c r="F247" s="2">
        <v>2</v>
      </c>
      <c r="G247" s="2" t="s">
        <v>9</v>
      </c>
      <c r="H247" s="2" t="s">
        <v>4891</v>
      </c>
    </row>
    <row r="248" spans="1:9" x14ac:dyDescent="0.2">
      <c r="A248" s="2" t="s">
        <v>4423</v>
      </c>
      <c r="B248" s="2" t="s">
        <v>2293</v>
      </c>
      <c r="C248" s="2">
        <v>455.70010000000002</v>
      </c>
      <c r="D248" s="2">
        <f>HYPERLINK("http://mcb-m6.bioreg.kyushu-u.ac.jp/M3/20110427/F51118/1229/1", 41.82)</f>
        <v>41.82</v>
      </c>
      <c r="E248" s="2">
        <v>18.75</v>
      </c>
      <c r="F248" s="2">
        <v>2</v>
      </c>
      <c r="G248" s="2" t="s">
        <v>14</v>
      </c>
      <c r="H248" s="2" t="s">
        <v>4891</v>
      </c>
    </row>
    <row r="249" spans="1:9" x14ac:dyDescent="0.2">
      <c r="A249" s="2" t="s">
        <v>4025</v>
      </c>
      <c r="B249" s="2" t="s">
        <v>1339</v>
      </c>
      <c r="C249" s="2">
        <v>1025.049</v>
      </c>
      <c r="D249" s="2">
        <f>HYPERLINK("http://mcb-m6.bioreg.kyushu-u.ac.jp/M3/20110404/F50751/2650/1", 61.77)</f>
        <v>61.77</v>
      </c>
      <c r="E249" s="2">
        <v>48.04</v>
      </c>
      <c r="F249" s="2">
        <v>2</v>
      </c>
      <c r="G249" s="2" t="s">
        <v>9</v>
      </c>
      <c r="H249" s="2" t="s">
        <v>4927</v>
      </c>
      <c r="I249" s="2" t="s">
        <v>4905</v>
      </c>
    </row>
    <row r="250" spans="1:9" x14ac:dyDescent="0.2">
      <c r="A250" s="2" t="s">
        <v>4025</v>
      </c>
      <c r="B250" s="2" t="s">
        <v>1339</v>
      </c>
      <c r="C250" s="2">
        <v>1017.309</v>
      </c>
      <c r="D250" s="2">
        <f>HYPERLINK("http://mcb-m6.bioreg.kyushu-u.ac.jp/M3/20110404/F50751/2641/1", 76.16)</f>
        <v>76.16</v>
      </c>
      <c r="E250" s="2">
        <v>61.25</v>
      </c>
      <c r="F250" s="2">
        <v>2</v>
      </c>
      <c r="G250" s="2" t="s">
        <v>9</v>
      </c>
      <c r="I250" s="2" t="s">
        <v>4905</v>
      </c>
    </row>
    <row r="251" spans="1:9" x14ac:dyDescent="0.2">
      <c r="A251" s="2" t="s">
        <v>4025</v>
      </c>
      <c r="B251" s="2" t="s">
        <v>1516</v>
      </c>
      <c r="C251" s="2">
        <v>720.83019999999999</v>
      </c>
      <c r="D251" s="2">
        <f>HYPERLINK("http://mcb-m6.bioreg.kyushu-u.ac.jp/M3/20110427/F51108/2966/1", 71.87)</f>
        <v>71.87</v>
      </c>
      <c r="E251" s="2">
        <v>59.28</v>
      </c>
      <c r="F251" s="2">
        <v>3</v>
      </c>
      <c r="G251" s="2" t="s">
        <v>13</v>
      </c>
      <c r="I251" s="2" t="s">
        <v>4903</v>
      </c>
    </row>
    <row r="252" spans="1:9" x14ac:dyDescent="0.2">
      <c r="A252" s="2" t="s">
        <v>4025</v>
      </c>
      <c r="B252" s="2" t="s">
        <v>1339</v>
      </c>
      <c r="C252" s="2">
        <v>1016.812</v>
      </c>
      <c r="D252" s="2">
        <f>HYPERLINK("http://mcb-m6.bioreg.kyushu-u.ac.jp/M3/20110427/F51108/2878/1", 80.41)</f>
        <v>80.41</v>
      </c>
      <c r="E252" s="2">
        <v>63.53</v>
      </c>
      <c r="F252" s="2">
        <v>2</v>
      </c>
      <c r="G252" s="2" t="s">
        <v>13</v>
      </c>
      <c r="I252" s="2" t="s">
        <v>4905</v>
      </c>
    </row>
    <row r="253" spans="1:9" x14ac:dyDescent="0.2">
      <c r="A253" s="2" t="s">
        <v>3505</v>
      </c>
      <c r="B253" s="2" t="s">
        <v>342</v>
      </c>
      <c r="C253" s="2">
        <v>1290.7360000000001</v>
      </c>
      <c r="D253" s="2">
        <f>HYPERLINK("http://mcb-m6.bioreg.kyushu-u.ac.jp/M3/20110421/F51017/3809/1", 110.46)</f>
        <v>110.46</v>
      </c>
      <c r="E253" s="2">
        <v>88.73</v>
      </c>
      <c r="F253" s="2">
        <v>2</v>
      </c>
      <c r="G253" s="2" t="s">
        <v>11</v>
      </c>
    </row>
    <row r="254" spans="1:9" x14ac:dyDescent="0.2">
      <c r="A254" s="2" t="s">
        <v>3505</v>
      </c>
      <c r="B254" s="2" t="s">
        <v>342</v>
      </c>
      <c r="C254" s="2">
        <v>1291.059</v>
      </c>
      <c r="D254" s="2">
        <f>HYPERLINK("http://mcb-m6.bioreg.kyushu-u.ac.jp/M3/20110421/F51014/3231/1", 114.34)</f>
        <v>114.34</v>
      </c>
      <c r="E254" s="2">
        <v>98.98</v>
      </c>
      <c r="F254" s="2">
        <v>2</v>
      </c>
      <c r="G254" s="2" t="s">
        <v>11</v>
      </c>
    </row>
    <row r="255" spans="1:9" x14ac:dyDescent="0.2">
      <c r="A255" s="2" t="s">
        <v>3505</v>
      </c>
      <c r="B255" s="2" t="s">
        <v>342</v>
      </c>
      <c r="C255" s="2">
        <v>1290.739</v>
      </c>
      <c r="D255" s="2">
        <f>HYPERLINK("http://mcb-m6.bioreg.kyushu-u.ac.jp/M3/20110421/F51015/2823/1", 130.51)</f>
        <v>130.51</v>
      </c>
      <c r="E255" s="2">
        <v>111.19</v>
      </c>
      <c r="F255" s="2">
        <v>2</v>
      </c>
      <c r="G255" s="2" t="s">
        <v>11</v>
      </c>
    </row>
    <row r="256" spans="1:9" x14ac:dyDescent="0.2">
      <c r="A256" s="2" t="s">
        <v>3505</v>
      </c>
      <c r="B256" s="2" t="s">
        <v>342</v>
      </c>
      <c r="C256" s="2">
        <v>1290.252</v>
      </c>
      <c r="D256" s="2">
        <f>HYPERLINK("http://mcb-m6.bioreg.kyushu-u.ac.jp/M3/20110421/F51021/4031/1", 56.81)</f>
        <v>56.81</v>
      </c>
      <c r="E256" s="2">
        <v>48.23</v>
      </c>
      <c r="F256" s="2">
        <v>2</v>
      </c>
      <c r="G256" s="2" t="s">
        <v>12</v>
      </c>
    </row>
    <row r="257" spans="1:7" x14ac:dyDescent="0.2">
      <c r="A257" s="2" t="s">
        <v>3505</v>
      </c>
      <c r="B257" s="2" t="s">
        <v>342</v>
      </c>
      <c r="C257" s="2">
        <v>1290.5519999999999</v>
      </c>
      <c r="D257" s="2">
        <f>HYPERLINK("http://mcb-m6.bioreg.kyushu-u.ac.jp/M3/20110427/F51118/2896/1", 120.04)</f>
        <v>120.04</v>
      </c>
      <c r="E257" s="2">
        <v>101.65</v>
      </c>
      <c r="F257" s="2">
        <v>2</v>
      </c>
      <c r="G257" s="2" t="s">
        <v>14</v>
      </c>
    </row>
    <row r="258" spans="1:7" x14ac:dyDescent="0.2">
      <c r="A258" s="2" t="s">
        <v>3295</v>
      </c>
      <c r="B258" s="2" t="s">
        <v>75</v>
      </c>
      <c r="C258" s="2">
        <v>671.58010000000002</v>
      </c>
      <c r="D258" s="2">
        <f>HYPERLINK("http://mcb-m6.bioreg.kyushu-u.ac.jp/M3/20110404/F50751/1867/1", 42.35)</f>
        <v>42.35</v>
      </c>
      <c r="E258" s="2">
        <v>24.89</v>
      </c>
      <c r="F258" s="2">
        <v>2</v>
      </c>
      <c r="G258" s="2" t="s">
        <v>9</v>
      </c>
    </row>
    <row r="259" spans="1:7" x14ac:dyDescent="0.2">
      <c r="A259" s="2" t="s">
        <v>3295</v>
      </c>
      <c r="B259" s="2" t="s">
        <v>75</v>
      </c>
      <c r="C259" s="2">
        <v>671.41420000000005</v>
      </c>
      <c r="D259" s="2">
        <f>HYPERLINK("http://mcb-m6.bioreg.kyushu-u.ac.jp/M3/20110404/F50752/1880/1", 44.16)</f>
        <v>44.16</v>
      </c>
      <c r="E259" s="2">
        <v>19.690000000000001</v>
      </c>
      <c r="F259" s="2">
        <v>2</v>
      </c>
      <c r="G259" s="2" t="s">
        <v>9</v>
      </c>
    </row>
    <row r="260" spans="1:7" x14ac:dyDescent="0.2">
      <c r="A260" s="2" t="s">
        <v>3295</v>
      </c>
      <c r="B260" s="2" t="s">
        <v>75</v>
      </c>
      <c r="C260" s="2">
        <v>1341.8340000000001</v>
      </c>
      <c r="D260" s="2">
        <f>HYPERLINK("http://mcb-m6.bioreg.kyushu-u.ac.jp/M3/20110404/F50751/1866/1", 47.65)</f>
        <v>47.65</v>
      </c>
      <c r="E260" s="2">
        <v>23.18</v>
      </c>
      <c r="F260" s="2">
        <v>1</v>
      </c>
      <c r="G260" s="2" t="s">
        <v>9</v>
      </c>
    </row>
    <row r="261" spans="1:7" x14ac:dyDescent="0.2">
      <c r="A261" s="2" t="s">
        <v>3295</v>
      </c>
      <c r="B261" s="2" t="s">
        <v>208</v>
      </c>
      <c r="C261" s="2">
        <v>728.40170000000001</v>
      </c>
      <c r="D261" s="2">
        <f>HYPERLINK("http://mcb-m6.bioreg.kyushu-u.ac.jp/M3/20110404/F50752/2066/1", 64.65)</f>
        <v>64.650000000000006</v>
      </c>
      <c r="E261" s="2">
        <v>44.07</v>
      </c>
      <c r="F261" s="2">
        <v>2</v>
      </c>
      <c r="G261" s="2" t="s">
        <v>9</v>
      </c>
    </row>
    <row r="262" spans="1:7" x14ac:dyDescent="0.2">
      <c r="A262" s="2" t="s">
        <v>3295</v>
      </c>
      <c r="B262" s="2" t="s">
        <v>208</v>
      </c>
      <c r="C262" s="2">
        <v>728.59720000000004</v>
      </c>
      <c r="D262" s="2">
        <f>HYPERLINK("http://mcb-m6.bioreg.kyushu-u.ac.jp/M3/20110404/F50751/2080/1", 70.04)</f>
        <v>70.040000000000006</v>
      </c>
      <c r="E262" s="2">
        <v>51.44</v>
      </c>
      <c r="F262" s="2">
        <v>2</v>
      </c>
      <c r="G262" s="2" t="s">
        <v>9</v>
      </c>
    </row>
    <row r="263" spans="1:7" x14ac:dyDescent="0.2">
      <c r="A263" s="2" t="s">
        <v>3295</v>
      </c>
      <c r="B263" s="2" t="s">
        <v>208</v>
      </c>
      <c r="C263" s="2">
        <v>728.22810000000004</v>
      </c>
      <c r="D263" s="2">
        <f>HYPERLINK("http://mcb-m6.bioreg.kyushu-u.ac.jp/M3/20110421/F51014/2076/1", 48.35)</f>
        <v>48.35</v>
      </c>
      <c r="E263" s="2">
        <v>21.89</v>
      </c>
      <c r="F263" s="2">
        <v>2</v>
      </c>
      <c r="G263" s="2" t="s">
        <v>11</v>
      </c>
    </row>
    <row r="264" spans="1:7" x14ac:dyDescent="0.2">
      <c r="A264" s="2" t="s">
        <v>3295</v>
      </c>
      <c r="B264" s="2" t="s">
        <v>75</v>
      </c>
      <c r="C264" s="2">
        <v>671.15419999999995</v>
      </c>
      <c r="D264" s="2">
        <f>HYPERLINK("http://mcb-m6.bioreg.kyushu-u.ac.jp/M3/20110421/F51014/1797/1", 51.34)</f>
        <v>51.34</v>
      </c>
      <c r="E264" s="2">
        <v>30.32</v>
      </c>
      <c r="F264" s="2">
        <v>2</v>
      </c>
      <c r="G264" s="2" t="s">
        <v>11</v>
      </c>
    </row>
    <row r="265" spans="1:7" x14ac:dyDescent="0.2">
      <c r="A265" s="2" t="s">
        <v>3295</v>
      </c>
      <c r="B265" s="2" t="s">
        <v>208</v>
      </c>
      <c r="C265" s="2">
        <v>728.22119999999995</v>
      </c>
      <c r="D265" s="2">
        <f>HYPERLINK("http://mcb-m6.bioreg.kyushu-u.ac.jp/M3/20110421/F51015/2017/1", 71.39)</f>
        <v>71.39</v>
      </c>
      <c r="E265" s="2">
        <v>50.66</v>
      </c>
      <c r="F265" s="2">
        <v>2</v>
      </c>
      <c r="G265" s="2" t="s">
        <v>11</v>
      </c>
    </row>
    <row r="266" spans="1:7" x14ac:dyDescent="0.2">
      <c r="A266" s="2" t="s">
        <v>3295</v>
      </c>
      <c r="B266" s="2" t="s">
        <v>208</v>
      </c>
      <c r="C266" s="2">
        <v>728.19069999999999</v>
      </c>
      <c r="D266" s="2">
        <f>HYPERLINK("http://mcb-m6.bioreg.kyushu-u.ac.jp/M3/20110421/F51014/2074/1", 78.03)</f>
        <v>78.03</v>
      </c>
      <c r="E266" s="2">
        <v>57.37</v>
      </c>
      <c r="F266" s="2">
        <v>2</v>
      </c>
      <c r="G266" s="2" t="s">
        <v>11</v>
      </c>
    </row>
    <row r="267" spans="1:7" x14ac:dyDescent="0.2">
      <c r="A267" s="2" t="s">
        <v>3295</v>
      </c>
      <c r="B267" s="2" t="s">
        <v>208</v>
      </c>
      <c r="C267" s="2">
        <v>728.37120000000004</v>
      </c>
      <c r="D267" s="2">
        <f>HYPERLINK("http://mcb-m6.bioreg.kyushu-u.ac.jp/M3/20110421/F51021/2005/1", 73.47)</f>
        <v>73.47</v>
      </c>
      <c r="E267" s="2">
        <v>54.31</v>
      </c>
      <c r="F267" s="2">
        <v>2</v>
      </c>
      <c r="G267" s="2" t="s">
        <v>12</v>
      </c>
    </row>
    <row r="268" spans="1:7" x14ac:dyDescent="0.2">
      <c r="A268" s="2" t="s">
        <v>3295</v>
      </c>
      <c r="B268" s="2" t="s">
        <v>2228</v>
      </c>
      <c r="C268" s="2">
        <v>828.11699999999996</v>
      </c>
      <c r="D268" s="2">
        <f>HYPERLINK("http://mcb-m6.bioreg.kyushu-u.ac.jp/M3/20110427/F51109/1215/1", 46.23)</f>
        <v>46.23</v>
      </c>
      <c r="E268" s="2">
        <v>14.12</v>
      </c>
      <c r="F268" s="2">
        <v>1</v>
      </c>
      <c r="G268" s="2" t="s">
        <v>13</v>
      </c>
    </row>
    <row r="269" spans="1:7" x14ac:dyDescent="0.2">
      <c r="A269" s="2" t="s">
        <v>3295</v>
      </c>
      <c r="B269" s="2" t="s">
        <v>208</v>
      </c>
      <c r="C269" s="2">
        <v>728.28560000000004</v>
      </c>
      <c r="D269" s="2">
        <f>HYPERLINK("http://mcb-m6.bioreg.kyushu-u.ac.jp/M3/20110427/F51109/2065/1", 52.56)</f>
        <v>52.56</v>
      </c>
      <c r="E269" s="2">
        <v>30.73</v>
      </c>
      <c r="F269" s="2">
        <v>2</v>
      </c>
      <c r="G269" s="2" t="s">
        <v>13</v>
      </c>
    </row>
    <row r="270" spans="1:7" x14ac:dyDescent="0.2">
      <c r="A270" s="2" t="s">
        <v>3295</v>
      </c>
      <c r="B270" s="2" t="s">
        <v>75</v>
      </c>
      <c r="C270" s="2">
        <v>671.20669999999996</v>
      </c>
      <c r="D270" s="2">
        <f>HYPERLINK("http://mcb-m6.bioreg.kyushu-u.ac.jp/M3/20110427/F51109/1876/1", 54.47)</f>
        <v>54.47</v>
      </c>
      <c r="E270" s="2">
        <v>29.79</v>
      </c>
      <c r="F270" s="2">
        <v>2</v>
      </c>
      <c r="G270" s="2" t="s">
        <v>13</v>
      </c>
    </row>
    <row r="271" spans="1:7" x14ac:dyDescent="0.2">
      <c r="A271" s="2" t="s">
        <v>3295</v>
      </c>
      <c r="B271" s="2" t="s">
        <v>208</v>
      </c>
      <c r="C271" s="2">
        <v>728.17719999999997</v>
      </c>
      <c r="D271" s="2">
        <f>HYPERLINK("http://mcb-m6.bioreg.kyushu-u.ac.jp/M3/20110427/F51108/2006/1", 74.99)</f>
        <v>74.989999999999995</v>
      </c>
      <c r="E271" s="2">
        <v>51.26</v>
      </c>
      <c r="F271" s="2">
        <v>2</v>
      </c>
      <c r="G271" s="2" t="s">
        <v>13</v>
      </c>
    </row>
    <row r="272" spans="1:7" x14ac:dyDescent="0.2">
      <c r="A272" s="2" t="s">
        <v>3295</v>
      </c>
      <c r="B272" s="2" t="s">
        <v>75</v>
      </c>
      <c r="C272" s="2">
        <v>671.16520000000003</v>
      </c>
      <c r="D272" s="2">
        <f>HYPERLINK("http://mcb-m6.bioreg.kyushu-u.ac.jp/M3/20110427/F51118/1824/1", 52.03)</f>
        <v>52.03</v>
      </c>
      <c r="E272" s="2">
        <v>29.76</v>
      </c>
      <c r="F272" s="2">
        <v>2</v>
      </c>
      <c r="G272" s="2" t="s">
        <v>14</v>
      </c>
    </row>
    <row r="273" spans="1:9" x14ac:dyDescent="0.2">
      <c r="A273" s="2" t="s">
        <v>3295</v>
      </c>
      <c r="B273" s="2" t="s">
        <v>208</v>
      </c>
      <c r="C273" s="2">
        <v>728.27560000000005</v>
      </c>
      <c r="D273" s="2">
        <f>HYPERLINK("http://mcb-m6.bioreg.kyushu-u.ac.jp/M3/20110427/F51118/2009/1", 63.34)</f>
        <v>63.34</v>
      </c>
      <c r="E273" s="2">
        <v>42.55</v>
      </c>
      <c r="F273" s="2">
        <v>2</v>
      </c>
      <c r="G273" s="2" t="s">
        <v>14</v>
      </c>
    </row>
    <row r="274" spans="1:9" x14ac:dyDescent="0.2">
      <c r="A274" s="2" t="s">
        <v>3868</v>
      </c>
      <c r="B274" s="2" t="s">
        <v>984</v>
      </c>
      <c r="C274" s="2">
        <v>761.11360000000002</v>
      </c>
      <c r="D274" s="2">
        <f>HYPERLINK("http://mcb-m6.bioreg.kyushu-u.ac.jp/M3/20110427/F51114/2167/1", 66.84)</f>
        <v>66.84</v>
      </c>
      <c r="E274" s="2">
        <v>55.91</v>
      </c>
      <c r="F274" s="2">
        <v>2</v>
      </c>
      <c r="G274" s="2" t="s">
        <v>13</v>
      </c>
      <c r="I274" s="2" t="s">
        <v>4903</v>
      </c>
    </row>
    <row r="275" spans="1:9" x14ac:dyDescent="0.2">
      <c r="A275" s="2" t="s">
        <v>3377</v>
      </c>
      <c r="B275" s="2" t="s">
        <v>1129</v>
      </c>
      <c r="C275" s="2">
        <v>801.34059999999999</v>
      </c>
      <c r="D275" s="2">
        <f>HYPERLINK("http://mcb-m6.bioreg.kyushu-u.ac.jp/M3/20110404/F50756/2270/1", 39.86)</f>
        <v>39.86</v>
      </c>
      <c r="E275" s="2">
        <v>20.85</v>
      </c>
      <c r="F275" s="2">
        <v>2</v>
      </c>
      <c r="G275" s="2" t="s">
        <v>9</v>
      </c>
      <c r="I275" s="2" t="s">
        <v>4905</v>
      </c>
    </row>
    <row r="276" spans="1:9" x14ac:dyDescent="0.2">
      <c r="A276" s="2" t="s">
        <v>3377</v>
      </c>
      <c r="B276" s="2" t="s">
        <v>169</v>
      </c>
      <c r="C276" s="2">
        <v>921.84770000000003</v>
      </c>
      <c r="D276" s="2">
        <f>HYPERLINK("http://mcb-m6.bioreg.kyushu-u.ac.jp/M3/20110404/F50762/2390/1", 72.71)</f>
        <v>72.709999999999994</v>
      </c>
      <c r="E276" s="2">
        <v>60.05</v>
      </c>
      <c r="F276" s="2">
        <v>2</v>
      </c>
      <c r="G276" s="2" t="s">
        <v>9</v>
      </c>
    </row>
    <row r="277" spans="1:9" x14ac:dyDescent="0.2">
      <c r="A277" s="2" t="s">
        <v>3377</v>
      </c>
      <c r="B277" s="2" t="s">
        <v>1576</v>
      </c>
      <c r="C277" s="2">
        <v>842.84559999999999</v>
      </c>
      <c r="D277" s="2">
        <f>HYPERLINK("http://mcb-m6.bioreg.kyushu-u.ac.jp/M3/20110404/F50756/2417/1", 94.49)</f>
        <v>94.49</v>
      </c>
      <c r="E277" s="2">
        <v>82.75</v>
      </c>
      <c r="F277" s="2">
        <v>2</v>
      </c>
      <c r="G277" s="2" t="s">
        <v>9</v>
      </c>
    </row>
    <row r="278" spans="1:9" x14ac:dyDescent="0.2">
      <c r="A278" s="2" t="s">
        <v>3377</v>
      </c>
      <c r="B278" s="2" t="s">
        <v>169</v>
      </c>
      <c r="C278" s="2">
        <v>921.74019999999996</v>
      </c>
      <c r="D278" s="2">
        <f>HYPERLINK("http://mcb-m6.bioreg.kyushu-u.ac.jp/M3/20110404/F50756/2801/1", 101.02)</f>
        <v>101.02</v>
      </c>
      <c r="E278" s="2">
        <v>78.98</v>
      </c>
      <c r="F278" s="2">
        <v>2</v>
      </c>
      <c r="G278" s="2" t="s">
        <v>9</v>
      </c>
    </row>
    <row r="279" spans="1:9" x14ac:dyDescent="0.2">
      <c r="A279" s="2" t="s">
        <v>3377</v>
      </c>
      <c r="B279" s="2" t="s">
        <v>169</v>
      </c>
      <c r="C279" s="2">
        <v>921.35019999999997</v>
      </c>
      <c r="D279" s="2">
        <f>HYPERLINK("http://mcb-m6.bioreg.kyushu-u.ac.jp/M3/20110404/F50761/2586/1", 71.68)</f>
        <v>71.680000000000007</v>
      </c>
      <c r="E279" s="2">
        <v>54.11</v>
      </c>
      <c r="F279" s="2">
        <v>2</v>
      </c>
      <c r="G279" s="2" t="s">
        <v>10</v>
      </c>
    </row>
    <row r="280" spans="1:9" x14ac:dyDescent="0.2">
      <c r="A280" s="2" t="s">
        <v>3377</v>
      </c>
      <c r="B280" s="2" t="s">
        <v>169</v>
      </c>
      <c r="C280" s="2">
        <v>921.7817</v>
      </c>
      <c r="D280" s="2">
        <f>HYPERLINK("http://mcb-m6.bioreg.kyushu-u.ac.jp/M3/20110404/F50768/2509/1", 82.19)</f>
        <v>82.19</v>
      </c>
      <c r="E280" s="2">
        <v>64.64</v>
      </c>
      <c r="F280" s="2">
        <v>2</v>
      </c>
      <c r="G280" s="2" t="s">
        <v>10</v>
      </c>
    </row>
    <row r="281" spans="1:9" x14ac:dyDescent="0.2">
      <c r="A281" s="2" t="s">
        <v>3377</v>
      </c>
      <c r="B281" s="2" t="s">
        <v>169</v>
      </c>
      <c r="C281" s="2">
        <v>921.35019999999997</v>
      </c>
      <c r="D281" s="2">
        <f>HYPERLINK("http://mcb-m6.bioreg.kyushu-u.ac.jp/M3/20110421/F51034/2853/1", 80.17)</f>
        <v>80.17</v>
      </c>
      <c r="E281" s="2">
        <v>63.37</v>
      </c>
      <c r="F281" s="2">
        <v>2</v>
      </c>
      <c r="G281" s="2" t="s">
        <v>11</v>
      </c>
    </row>
    <row r="282" spans="1:9" x14ac:dyDescent="0.2">
      <c r="A282" s="2" t="s">
        <v>3377</v>
      </c>
      <c r="B282" s="2" t="s">
        <v>169</v>
      </c>
      <c r="C282" s="2">
        <v>921.16520000000003</v>
      </c>
      <c r="D282" s="2">
        <f>HYPERLINK("http://mcb-m6.bioreg.kyushu-u.ac.jp/M3/20110421/F51035/2874/1", 90.97)</f>
        <v>90.97</v>
      </c>
      <c r="E282" s="2">
        <v>73.489999999999995</v>
      </c>
      <c r="F282" s="2">
        <v>2</v>
      </c>
      <c r="G282" s="2" t="s">
        <v>11</v>
      </c>
    </row>
    <row r="283" spans="1:9" x14ac:dyDescent="0.2">
      <c r="A283" s="2" t="s">
        <v>3377</v>
      </c>
      <c r="B283" s="2" t="s">
        <v>169</v>
      </c>
      <c r="C283" s="2">
        <v>921.82320000000004</v>
      </c>
      <c r="D283" s="2">
        <f>HYPERLINK("http://mcb-m6.bioreg.kyushu-u.ac.jp/M3/20110421/F51035/2876/1", 105.2)</f>
        <v>105.2</v>
      </c>
      <c r="E283" s="2">
        <v>88.44</v>
      </c>
      <c r="F283" s="2">
        <v>2</v>
      </c>
      <c r="G283" s="2" t="s">
        <v>11</v>
      </c>
    </row>
    <row r="284" spans="1:9" x14ac:dyDescent="0.2">
      <c r="A284" s="2" t="s">
        <v>3377</v>
      </c>
      <c r="B284" s="2" t="s">
        <v>169</v>
      </c>
      <c r="C284" s="2">
        <v>921.74959999999999</v>
      </c>
      <c r="D284" s="2">
        <f>HYPERLINK("http://mcb-m6.bioreg.kyushu-u.ac.jp/M3/20110421/F51043/2846/1", 72.96)</f>
        <v>72.959999999999994</v>
      </c>
      <c r="E284" s="2">
        <v>57.67</v>
      </c>
      <c r="F284" s="2">
        <v>2</v>
      </c>
      <c r="G284" s="2" t="s">
        <v>12</v>
      </c>
    </row>
    <row r="285" spans="1:9" x14ac:dyDescent="0.2">
      <c r="A285" s="2" t="s">
        <v>3377</v>
      </c>
      <c r="B285" s="2" t="s">
        <v>169</v>
      </c>
      <c r="C285" s="2">
        <v>921.49519999999995</v>
      </c>
      <c r="D285" s="2">
        <f>HYPERLINK("http://mcb-m6.bioreg.kyushu-u.ac.jp/M3/20110427/F51114/2962/1", 94.75)</f>
        <v>94.75</v>
      </c>
      <c r="E285" s="2">
        <v>73.459999999999994</v>
      </c>
      <c r="F285" s="2">
        <v>2</v>
      </c>
      <c r="G285" s="2" t="s">
        <v>13</v>
      </c>
    </row>
    <row r="286" spans="1:9" x14ac:dyDescent="0.2">
      <c r="A286" s="2" t="s">
        <v>3377</v>
      </c>
      <c r="B286" s="2" t="s">
        <v>1576</v>
      </c>
      <c r="C286" s="2">
        <v>843.2192</v>
      </c>
      <c r="D286" s="2">
        <f>HYPERLINK("http://mcb-m6.bioreg.kyushu-u.ac.jp/M3/20110427/F51114/2579/1", 98.46)</f>
        <v>98.46</v>
      </c>
      <c r="E286" s="2">
        <v>86.85</v>
      </c>
      <c r="F286" s="2">
        <v>2</v>
      </c>
      <c r="G286" s="2" t="s">
        <v>13</v>
      </c>
    </row>
    <row r="287" spans="1:9" x14ac:dyDescent="0.2">
      <c r="A287" s="2" t="s">
        <v>3377</v>
      </c>
      <c r="B287" s="2" t="s">
        <v>169</v>
      </c>
      <c r="C287" s="2">
        <v>921.76509999999996</v>
      </c>
      <c r="D287" s="2">
        <f>HYPERLINK("http://mcb-m6.bioreg.kyushu-u.ac.jp/M3/20110427/F51123/2843/1", 67.48)</f>
        <v>67.48</v>
      </c>
      <c r="E287" s="2">
        <v>45.37</v>
      </c>
      <c r="F287" s="2">
        <v>2</v>
      </c>
      <c r="G287" s="2" t="s">
        <v>14</v>
      </c>
    </row>
    <row r="288" spans="1:9" x14ac:dyDescent="0.2">
      <c r="A288" s="2" t="s">
        <v>3613</v>
      </c>
      <c r="B288" s="2" t="s">
        <v>517</v>
      </c>
      <c r="C288" s="2">
        <v>546.69960000000003</v>
      </c>
      <c r="D288" s="2">
        <f>HYPERLINK("http://mcb-m6.bioreg.kyushu-u.ac.jp/M3/20110404/F50756/1160/1", 57.63)</f>
        <v>57.63</v>
      </c>
      <c r="E288" s="2">
        <v>36.630000000000003</v>
      </c>
      <c r="F288" s="2">
        <v>2</v>
      </c>
      <c r="G288" s="2" t="s">
        <v>9</v>
      </c>
    </row>
    <row r="289" spans="1:9" x14ac:dyDescent="0.2">
      <c r="A289" s="2" t="s">
        <v>3613</v>
      </c>
      <c r="B289" s="2" t="s">
        <v>517</v>
      </c>
      <c r="C289" s="2">
        <v>546.76170000000002</v>
      </c>
      <c r="D289" s="2">
        <f>HYPERLINK("http://mcb-m6.bioreg.kyushu-u.ac.jp/M3/20110404/F50761/1130/1", 56.65)</f>
        <v>56.65</v>
      </c>
      <c r="E289" s="2">
        <v>36.39</v>
      </c>
      <c r="F289" s="2">
        <v>2</v>
      </c>
      <c r="G289" s="2" t="s">
        <v>10</v>
      </c>
    </row>
    <row r="290" spans="1:9" x14ac:dyDescent="0.2">
      <c r="A290" s="2" t="s">
        <v>7872</v>
      </c>
      <c r="B290" s="2" t="s">
        <v>6884</v>
      </c>
      <c r="C290" s="2">
        <v>685.83420000000001</v>
      </c>
      <c r="D290" s="2">
        <f>HYPERLINK("http://mcb-m6.bioreg.kyushu-u.ac.jp/M3/20110404/F50771/1623/1", 53.42)</f>
        <v>53.42</v>
      </c>
      <c r="E290" s="2">
        <v>35.229999999999997</v>
      </c>
      <c r="F290" s="2">
        <v>2</v>
      </c>
      <c r="G290" s="2" t="s">
        <v>10</v>
      </c>
    </row>
    <row r="291" spans="1:9" x14ac:dyDescent="0.2">
      <c r="A291" s="2" t="s">
        <v>7872</v>
      </c>
      <c r="B291" s="2" t="s">
        <v>6904</v>
      </c>
      <c r="C291" s="2">
        <v>772.32370000000003</v>
      </c>
      <c r="D291" s="2">
        <f>HYPERLINK("http://mcb-m6.bioreg.kyushu-u.ac.jp/M3/20110404/F50771/2013/1", 55.62)</f>
        <v>55.62</v>
      </c>
      <c r="E291" s="2">
        <v>12.22</v>
      </c>
      <c r="F291" s="2">
        <v>2</v>
      </c>
      <c r="G291" s="2" t="s">
        <v>10</v>
      </c>
    </row>
    <row r="292" spans="1:9" x14ac:dyDescent="0.2">
      <c r="A292" s="2" t="s">
        <v>7872</v>
      </c>
      <c r="B292" s="2" t="s">
        <v>6993</v>
      </c>
      <c r="C292" s="2">
        <v>725.19920000000002</v>
      </c>
      <c r="D292" s="2">
        <f>HYPERLINK("http://mcb-m6.bioreg.kyushu-u.ac.jp/M3/20110404/F50771/1831/1", 75.3)</f>
        <v>75.3</v>
      </c>
      <c r="E292" s="2">
        <v>61.46</v>
      </c>
      <c r="F292" s="2">
        <v>2</v>
      </c>
      <c r="G292" s="2" t="s">
        <v>10</v>
      </c>
    </row>
    <row r="293" spans="1:9" x14ac:dyDescent="0.2">
      <c r="A293" s="2" t="s">
        <v>4052</v>
      </c>
      <c r="B293" s="2" t="s">
        <v>1408</v>
      </c>
      <c r="C293" s="2">
        <v>677.71119999999996</v>
      </c>
      <c r="D293" s="2">
        <f>HYPERLINK("http://mcb-m6.bioreg.kyushu-u.ac.jp/M3/20110427/F51112/1758/1", 69.63)</f>
        <v>69.63</v>
      </c>
      <c r="E293" s="2">
        <v>46.91</v>
      </c>
      <c r="F293" s="2">
        <v>2</v>
      </c>
      <c r="G293" s="2" t="s">
        <v>13</v>
      </c>
    </row>
    <row r="294" spans="1:9" x14ac:dyDescent="0.2">
      <c r="A294" s="4" t="s">
        <v>3545</v>
      </c>
      <c r="B294" s="2" t="s">
        <v>402</v>
      </c>
      <c r="C294" s="2">
        <v>582.2867</v>
      </c>
      <c r="D294" s="2">
        <f>HYPERLINK("http://mcb-m6.bioreg.kyushu-u.ac.jp/M3/20110404/F50752/1580/1", 49.06)</f>
        <v>49.06</v>
      </c>
      <c r="E294" s="2">
        <v>32.51</v>
      </c>
      <c r="F294" s="2">
        <v>2</v>
      </c>
      <c r="G294" s="2" t="s">
        <v>9</v>
      </c>
    </row>
    <row r="295" spans="1:9" x14ac:dyDescent="0.2">
      <c r="A295" s="4" t="s">
        <v>3545</v>
      </c>
      <c r="B295" s="2" t="s">
        <v>402</v>
      </c>
      <c r="C295" s="2">
        <v>1163.548</v>
      </c>
      <c r="D295" s="2">
        <f>HYPERLINK("http://mcb-m6.bioreg.kyushu-u.ac.jp/M3/20110404/F50752/1579/1", 50.35)</f>
        <v>50.35</v>
      </c>
      <c r="E295" s="2">
        <v>32.79</v>
      </c>
      <c r="F295" s="2">
        <v>1</v>
      </c>
      <c r="G295" s="2" t="s">
        <v>9</v>
      </c>
    </row>
    <row r="296" spans="1:9" x14ac:dyDescent="0.2">
      <c r="A296" s="4" t="s">
        <v>3545</v>
      </c>
      <c r="B296" s="2" t="s">
        <v>402</v>
      </c>
      <c r="C296" s="2">
        <v>582.19759999999997</v>
      </c>
      <c r="D296" s="2">
        <f>HYPERLINK("http://mcb-m6.bioreg.kyushu-u.ac.jp/M3/20110404/F50757/1683/1", 45.27)</f>
        <v>45.27</v>
      </c>
      <c r="E296" s="2">
        <v>27.41</v>
      </c>
      <c r="F296" s="2">
        <v>2</v>
      </c>
      <c r="G296" s="2" t="s">
        <v>10</v>
      </c>
    </row>
    <row r="297" spans="1:9" x14ac:dyDescent="0.2">
      <c r="A297" s="2" t="s">
        <v>4131</v>
      </c>
      <c r="B297" s="2" t="s">
        <v>1660</v>
      </c>
      <c r="C297" s="2">
        <v>810.66970000000003</v>
      </c>
      <c r="D297" s="2">
        <f>HYPERLINK("http://mcb-m6.bioreg.kyushu-u.ac.jp/M3/20110404/F50754/2340/1", 96.18)</f>
        <v>96.18</v>
      </c>
      <c r="E297" s="2">
        <v>69.02</v>
      </c>
      <c r="F297" s="2">
        <v>2</v>
      </c>
      <c r="G297" s="2" t="s">
        <v>9</v>
      </c>
    </row>
    <row r="298" spans="1:9" x14ac:dyDescent="0.2">
      <c r="A298" s="2" t="s">
        <v>4131</v>
      </c>
      <c r="B298" s="2" t="s">
        <v>1660</v>
      </c>
      <c r="C298" s="2">
        <v>818.69169999999997</v>
      </c>
      <c r="D298" s="2">
        <f>HYPERLINK("http://mcb-m6.bioreg.kyushu-u.ac.jp/M3/20110404/F50754/2365/1", 112.2)</f>
        <v>112.2</v>
      </c>
      <c r="E298" s="2">
        <v>89.87</v>
      </c>
      <c r="F298" s="2">
        <v>2</v>
      </c>
      <c r="G298" s="2" t="s">
        <v>9</v>
      </c>
      <c r="H298" s="2" t="s">
        <v>4908</v>
      </c>
    </row>
    <row r="299" spans="1:9" x14ac:dyDescent="0.2">
      <c r="A299" s="2" t="s">
        <v>7589</v>
      </c>
      <c r="B299" s="2" t="s">
        <v>6055</v>
      </c>
      <c r="C299" s="2">
        <v>1284.51</v>
      </c>
      <c r="D299" s="2">
        <f>HYPERLINK("http://mcb-m6.bioreg.kyushu-u.ac.jp/M3/20110404/F50754/1772/1", 40.41)</f>
        <v>40.409999999999997</v>
      </c>
      <c r="E299" s="2">
        <v>26.18</v>
      </c>
      <c r="F299" s="2">
        <v>1</v>
      </c>
      <c r="G299" s="2" t="s">
        <v>9</v>
      </c>
    </row>
    <row r="300" spans="1:9" x14ac:dyDescent="0.2">
      <c r="A300" s="2" t="s">
        <v>7589</v>
      </c>
      <c r="B300" s="2" t="s">
        <v>6401</v>
      </c>
      <c r="C300" s="2">
        <v>668.21370000000002</v>
      </c>
      <c r="D300" s="2">
        <f>HYPERLINK("http://mcb-m6.bioreg.kyushu-u.ac.jp/M3/20110404/F50754/1840/1", 60.13)</f>
        <v>60.13</v>
      </c>
      <c r="E300" s="2">
        <v>16.02</v>
      </c>
      <c r="F300" s="2">
        <v>2</v>
      </c>
      <c r="G300" s="2" t="s">
        <v>9</v>
      </c>
      <c r="I300" s="2" t="s">
        <v>4926</v>
      </c>
    </row>
    <row r="301" spans="1:9" x14ac:dyDescent="0.2">
      <c r="A301" s="2" t="s">
        <v>7589</v>
      </c>
      <c r="B301" s="2" t="s">
        <v>6401</v>
      </c>
      <c r="C301" s="2">
        <v>1335.511</v>
      </c>
      <c r="D301" s="2">
        <f>HYPERLINK("http://mcb-m6.bioreg.kyushu-u.ac.jp/M3/20110404/F50754/1841/1", 60.96)</f>
        <v>60.96</v>
      </c>
      <c r="E301" s="2">
        <v>38.33</v>
      </c>
      <c r="F301" s="2">
        <v>1</v>
      </c>
      <c r="G301" s="2" t="s">
        <v>9</v>
      </c>
      <c r="I301" s="2" t="s">
        <v>4926</v>
      </c>
    </row>
    <row r="302" spans="1:9" x14ac:dyDescent="0.2">
      <c r="A302" s="2" t="s">
        <v>4284</v>
      </c>
      <c r="B302" s="2" t="s">
        <v>1969</v>
      </c>
      <c r="C302" s="2">
        <v>988.39499999999998</v>
      </c>
      <c r="D302" s="2">
        <f>HYPERLINK("http://mcb-m6.bioreg.kyushu-u.ac.jp/M3/20110404/F50754/1300/1", 58.52)</f>
        <v>58.52</v>
      </c>
      <c r="E302" s="2">
        <v>32.06</v>
      </c>
      <c r="F302" s="2">
        <v>1</v>
      </c>
      <c r="G302" s="2" t="s">
        <v>9</v>
      </c>
    </row>
    <row r="303" spans="1:9" x14ac:dyDescent="0.2">
      <c r="A303" s="2" t="s">
        <v>7599</v>
      </c>
      <c r="B303" s="2" t="s">
        <v>6080</v>
      </c>
      <c r="C303" s="2">
        <v>1197.3989999999999</v>
      </c>
      <c r="D303" s="2">
        <f>HYPERLINK("http://mcb-m6.bioreg.kyushu-u.ac.jp/M3/20110404/F50766/866/1", 41.46)</f>
        <v>41.46</v>
      </c>
      <c r="E303" s="2">
        <v>26.29</v>
      </c>
      <c r="F303" s="2">
        <v>1</v>
      </c>
      <c r="G303" s="2" t="s">
        <v>9</v>
      </c>
      <c r="I303" s="2" t="s">
        <v>4899</v>
      </c>
    </row>
    <row r="304" spans="1:9" x14ac:dyDescent="0.2">
      <c r="A304" s="2" t="s">
        <v>7599</v>
      </c>
      <c r="B304" s="2" t="s">
        <v>6080</v>
      </c>
      <c r="C304" s="2">
        <v>599.15920000000006</v>
      </c>
      <c r="D304" s="2">
        <f>HYPERLINK("http://mcb-m6.bioreg.kyushu-u.ac.jp/M3/20110404/F50767/1060/1", 60.67)</f>
        <v>60.67</v>
      </c>
      <c r="E304" s="2">
        <v>38.81</v>
      </c>
      <c r="F304" s="2">
        <v>2</v>
      </c>
      <c r="G304" s="2" t="s">
        <v>9</v>
      </c>
      <c r="I304" s="2" t="s">
        <v>4899</v>
      </c>
    </row>
    <row r="305" spans="1:9" x14ac:dyDescent="0.2">
      <c r="A305" s="2" t="s">
        <v>7599</v>
      </c>
      <c r="B305" s="2" t="s">
        <v>6080</v>
      </c>
      <c r="C305" s="2">
        <v>599.09559999999999</v>
      </c>
      <c r="D305" s="2">
        <f>HYPERLINK("http://mcb-m6.bioreg.kyushu-u.ac.jp/M3/20110404/F50766/863/1", 68.36)</f>
        <v>68.36</v>
      </c>
      <c r="E305" s="2">
        <v>32.03</v>
      </c>
      <c r="F305" s="2">
        <v>2</v>
      </c>
      <c r="G305" s="2" t="s">
        <v>9</v>
      </c>
      <c r="I305" s="2" t="s">
        <v>4899</v>
      </c>
    </row>
    <row r="306" spans="1:9" x14ac:dyDescent="0.2">
      <c r="A306" s="2" t="s">
        <v>5840</v>
      </c>
      <c r="B306" s="2" t="s">
        <v>5529</v>
      </c>
      <c r="C306" s="2">
        <v>999.33299999999997</v>
      </c>
      <c r="D306" s="2">
        <f>HYPERLINK("http://mcb-m6.bioreg.kyushu-u.ac.jp/M3/20110404/F50766/512/1", 52.17)</f>
        <v>52.17</v>
      </c>
      <c r="E306" s="2">
        <v>28.46</v>
      </c>
      <c r="F306" s="2">
        <v>1</v>
      </c>
      <c r="G306" s="2" t="s">
        <v>9</v>
      </c>
    </row>
    <row r="307" spans="1:9" x14ac:dyDescent="0.2">
      <c r="A307" s="2" t="s">
        <v>5840</v>
      </c>
      <c r="B307" s="2" t="s">
        <v>5529</v>
      </c>
      <c r="C307" s="2">
        <v>500.25060000000002</v>
      </c>
      <c r="D307" s="2">
        <f>HYPERLINK("http://mcb-m6.bioreg.kyushu-u.ac.jp/M3/20110404/F50767/794/1", 54.43)</f>
        <v>54.43</v>
      </c>
      <c r="E307" s="2">
        <v>30.26</v>
      </c>
      <c r="F307" s="2">
        <v>2</v>
      </c>
      <c r="G307" s="2" t="s">
        <v>9</v>
      </c>
    </row>
    <row r="308" spans="1:9" x14ac:dyDescent="0.2">
      <c r="A308" s="2" t="s">
        <v>5840</v>
      </c>
      <c r="B308" s="2" t="s">
        <v>5529</v>
      </c>
      <c r="C308" s="2">
        <v>500.09609999999998</v>
      </c>
      <c r="D308" s="2">
        <f>HYPERLINK("http://mcb-m6.bioreg.kyushu-u.ac.jp/M3/20110404/F50766/511/1", 66.58)</f>
        <v>66.58</v>
      </c>
      <c r="E308" s="2">
        <v>45.06</v>
      </c>
      <c r="F308" s="2">
        <v>2</v>
      </c>
      <c r="G308" s="2" t="s">
        <v>9</v>
      </c>
    </row>
    <row r="309" spans="1:9" x14ac:dyDescent="0.2">
      <c r="A309" s="2" t="s">
        <v>7619</v>
      </c>
      <c r="B309" s="2" t="s">
        <v>6130</v>
      </c>
      <c r="C309" s="2">
        <v>712.75369999999998</v>
      </c>
      <c r="D309" s="2">
        <f>HYPERLINK("http://mcb-m6.bioreg.kyushu-u.ac.jp/M3/20110404/F50766/1370/1", 43.87)</f>
        <v>43.87</v>
      </c>
      <c r="E309" s="2">
        <v>19.34</v>
      </c>
      <c r="F309" s="2">
        <v>2</v>
      </c>
      <c r="G309" s="2" t="s">
        <v>9</v>
      </c>
      <c r="I309" s="2" t="s">
        <v>4905</v>
      </c>
    </row>
    <row r="310" spans="1:9" x14ac:dyDescent="0.2">
      <c r="A310" s="2" t="s">
        <v>7619</v>
      </c>
      <c r="B310" s="2" t="s">
        <v>6130</v>
      </c>
      <c r="C310" s="2">
        <v>712.79669999999999</v>
      </c>
      <c r="D310" s="2">
        <f>HYPERLINK("http://mcb-m6.bioreg.kyushu-u.ac.jp/M3/20110404/F50767/1557/1", 58.33)</f>
        <v>58.33</v>
      </c>
      <c r="E310" s="2">
        <v>24.83</v>
      </c>
      <c r="F310" s="2">
        <v>2</v>
      </c>
      <c r="G310" s="2" t="s">
        <v>9</v>
      </c>
      <c r="I310" s="2" t="s">
        <v>4905</v>
      </c>
    </row>
    <row r="311" spans="1:9" x14ac:dyDescent="0.2">
      <c r="A311" s="2" t="s">
        <v>7536</v>
      </c>
      <c r="B311" s="2" t="s">
        <v>5938</v>
      </c>
      <c r="C311" s="2">
        <v>1153.405</v>
      </c>
      <c r="D311" s="2">
        <f>HYPERLINK("http://mcb-m6.bioreg.kyushu-u.ac.jp/M3/20110404/F50766/769/1", 36.39)</f>
        <v>36.39</v>
      </c>
      <c r="E311" s="2">
        <v>19.690000000000001</v>
      </c>
      <c r="F311" s="2">
        <v>1</v>
      </c>
      <c r="G311" s="2" t="s">
        <v>9</v>
      </c>
    </row>
    <row r="312" spans="1:9" x14ac:dyDescent="0.2">
      <c r="A312" s="2" t="s">
        <v>7536</v>
      </c>
      <c r="B312" s="2" t="s">
        <v>5938</v>
      </c>
      <c r="C312" s="2">
        <v>577.60170000000005</v>
      </c>
      <c r="D312" s="2">
        <f>HYPERLINK("http://mcb-m6.bioreg.kyushu-u.ac.jp/M3/20110404/F50766/771/1", 43.22)</f>
        <v>43.22</v>
      </c>
      <c r="E312" s="2">
        <v>13.62</v>
      </c>
      <c r="F312" s="2">
        <v>2</v>
      </c>
      <c r="G312" s="2" t="s">
        <v>9</v>
      </c>
    </row>
    <row r="313" spans="1:9" x14ac:dyDescent="0.2">
      <c r="A313" s="2" t="s">
        <v>7536</v>
      </c>
      <c r="B313" s="2" t="s">
        <v>5938</v>
      </c>
      <c r="C313" s="2">
        <v>577.76819999999998</v>
      </c>
      <c r="D313" s="2">
        <f>HYPERLINK("http://mcb-m6.bioreg.kyushu-u.ac.jp/M3/20110404/F50767/989/1", 44.66)</f>
        <v>44.66</v>
      </c>
      <c r="E313" s="2">
        <v>23.48</v>
      </c>
      <c r="F313" s="2">
        <v>2</v>
      </c>
      <c r="G313" s="2" t="s">
        <v>9</v>
      </c>
    </row>
    <row r="314" spans="1:9" x14ac:dyDescent="0.2">
      <c r="A314" s="2" t="s">
        <v>7725</v>
      </c>
      <c r="B314" s="2" t="s">
        <v>6445</v>
      </c>
      <c r="C314" s="2">
        <v>553.14970000000005</v>
      </c>
      <c r="D314" s="2">
        <f>HYPERLINK("http://mcb-m6.bioreg.kyushu-u.ac.jp/M3/20110404/F50766/678/1", 65.41)</f>
        <v>65.41</v>
      </c>
      <c r="E314" s="2">
        <v>41.95</v>
      </c>
      <c r="F314" s="2">
        <v>2</v>
      </c>
      <c r="G314" s="2" t="s">
        <v>9</v>
      </c>
      <c r="I314" s="2" t="s">
        <v>4923</v>
      </c>
    </row>
    <row r="315" spans="1:9" x14ac:dyDescent="0.2">
      <c r="A315" s="2" t="s">
        <v>7725</v>
      </c>
      <c r="B315" s="2" t="s">
        <v>6445</v>
      </c>
      <c r="C315" s="2">
        <v>552.63459999999998</v>
      </c>
      <c r="D315" s="2">
        <f>HYPERLINK("http://mcb-m6.bioreg.kyushu-u.ac.jp/M3/20110404/F50766/675/1", 77.24)</f>
        <v>77.239999999999995</v>
      </c>
      <c r="E315" s="2">
        <v>45.42</v>
      </c>
      <c r="F315" s="2">
        <v>2</v>
      </c>
      <c r="G315" s="2" t="s">
        <v>9</v>
      </c>
      <c r="I315" s="2" t="s">
        <v>4923</v>
      </c>
    </row>
    <row r="316" spans="1:9" x14ac:dyDescent="0.2">
      <c r="A316" s="2" t="s">
        <v>5702</v>
      </c>
      <c r="B316" s="2" t="s">
        <v>6158</v>
      </c>
      <c r="C316" s="2">
        <v>1152.4670000000001</v>
      </c>
      <c r="D316" s="2">
        <f>HYPERLINK("http://mcb-m6.bioreg.kyushu-u.ac.jp/M3/20110404/F50766/3711/1", 44.78)</f>
        <v>44.78</v>
      </c>
      <c r="E316" s="2">
        <v>39.03</v>
      </c>
      <c r="F316" s="2">
        <v>2</v>
      </c>
      <c r="G316" s="2" t="s">
        <v>9</v>
      </c>
      <c r="I316" s="2" t="s">
        <v>4918</v>
      </c>
    </row>
    <row r="317" spans="1:9" x14ac:dyDescent="0.2">
      <c r="A317" s="2" t="s">
        <v>5702</v>
      </c>
      <c r="B317" s="2" t="s">
        <v>6428</v>
      </c>
      <c r="C317" s="2">
        <v>821.08849999999995</v>
      </c>
      <c r="D317" s="2">
        <f>HYPERLINK("http://mcb-m6.bioreg.kyushu-u.ac.jp/M3/20110404/F50766/4019/1", 63.22)</f>
        <v>63.22</v>
      </c>
      <c r="E317" s="2">
        <v>47.66</v>
      </c>
      <c r="F317" s="2">
        <v>3</v>
      </c>
      <c r="G317" s="2" t="s">
        <v>9</v>
      </c>
      <c r="I317" s="2" t="s">
        <v>4918</v>
      </c>
    </row>
    <row r="318" spans="1:9" x14ac:dyDescent="0.2">
      <c r="A318" s="2" t="s">
        <v>5702</v>
      </c>
      <c r="B318" s="2" t="s">
        <v>5240</v>
      </c>
      <c r="C318" s="2">
        <v>1625.6079999999999</v>
      </c>
      <c r="D318" s="2">
        <f>HYPERLINK("http://mcb-m6.bioreg.kyushu-u.ac.jp/M3/20110404/F50766/1988/1", 67.15)</f>
        <v>67.150000000000006</v>
      </c>
      <c r="E318" s="2">
        <v>53.41</v>
      </c>
      <c r="F318" s="2">
        <v>1</v>
      </c>
      <c r="G318" s="2" t="s">
        <v>9</v>
      </c>
    </row>
    <row r="319" spans="1:9" x14ac:dyDescent="0.2">
      <c r="A319" s="2" t="s">
        <v>5702</v>
      </c>
      <c r="B319" s="2" t="s">
        <v>6486</v>
      </c>
      <c r="C319" s="2">
        <v>494.41410000000002</v>
      </c>
      <c r="D319" s="2">
        <f>HYPERLINK("http://mcb-m6.bioreg.kyushu-u.ac.jp/M3/20110404/F50766/492/1", 69.45)</f>
        <v>69.45</v>
      </c>
      <c r="E319" s="2">
        <v>34.21</v>
      </c>
      <c r="F319" s="2">
        <v>2</v>
      </c>
      <c r="G319" s="2" t="s">
        <v>9</v>
      </c>
    </row>
    <row r="320" spans="1:9" x14ac:dyDescent="0.2">
      <c r="A320" s="2" t="s">
        <v>5702</v>
      </c>
      <c r="B320" s="2" t="s">
        <v>5240</v>
      </c>
      <c r="C320" s="2">
        <v>813.75710000000004</v>
      </c>
      <c r="D320" s="2">
        <f>HYPERLINK("http://mcb-m6.bioreg.kyushu-u.ac.jp/M3/20110404/F50767/2081/1", 73.89)</f>
        <v>73.89</v>
      </c>
      <c r="E320" s="2">
        <v>60.65</v>
      </c>
      <c r="F320" s="2">
        <v>2</v>
      </c>
      <c r="G320" s="2" t="s">
        <v>9</v>
      </c>
    </row>
    <row r="321" spans="1:9" x14ac:dyDescent="0.2">
      <c r="A321" s="2" t="s">
        <v>5702</v>
      </c>
      <c r="B321" s="2" t="s">
        <v>5240</v>
      </c>
      <c r="C321" s="2">
        <v>813.71169999999995</v>
      </c>
      <c r="D321" s="2">
        <f>HYPERLINK("http://mcb-m6.bioreg.kyushu-u.ac.jp/M3/20110404/F50766/1991/1", 80.14)</f>
        <v>80.14</v>
      </c>
      <c r="E321" s="2">
        <v>62.18</v>
      </c>
      <c r="F321" s="2">
        <v>2</v>
      </c>
      <c r="G321" s="2" t="s">
        <v>9</v>
      </c>
    </row>
    <row r="322" spans="1:9" x14ac:dyDescent="0.2">
      <c r="A322" s="2" t="s">
        <v>5702</v>
      </c>
      <c r="B322" s="2" t="s">
        <v>6158</v>
      </c>
      <c r="C322" s="2">
        <v>1152.8</v>
      </c>
      <c r="D322" s="2">
        <f>HYPERLINK("http://mcb-m6.bioreg.kyushu-u.ac.jp/M3/20110404/F50766/3714/1", 89.08)</f>
        <v>89.08</v>
      </c>
      <c r="E322" s="2">
        <v>78.58</v>
      </c>
      <c r="F322" s="2">
        <v>2</v>
      </c>
      <c r="G322" s="2" t="s">
        <v>9</v>
      </c>
      <c r="I322" s="2" t="s">
        <v>4918</v>
      </c>
    </row>
    <row r="323" spans="1:9" x14ac:dyDescent="0.2">
      <c r="A323" s="2" t="s">
        <v>5702</v>
      </c>
      <c r="B323" s="2" t="s">
        <v>5240</v>
      </c>
      <c r="C323" s="2">
        <v>813.71510000000001</v>
      </c>
      <c r="D323" s="2">
        <f>HYPERLINK("http://mcb-m6.bioreg.kyushu-u.ac.jp/M3/20110404/F50768/2158/1", 46.52)</f>
        <v>46.52</v>
      </c>
      <c r="E323" s="2">
        <v>38.18</v>
      </c>
      <c r="F323" s="2">
        <v>2</v>
      </c>
      <c r="G323" s="2" t="s">
        <v>10</v>
      </c>
    </row>
    <row r="324" spans="1:9" x14ac:dyDescent="0.2">
      <c r="A324" s="2" t="s">
        <v>7704</v>
      </c>
      <c r="B324" s="2" t="s">
        <v>6377</v>
      </c>
      <c r="C324" s="2">
        <v>1177.884</v>
      </c>
      <c r="D324" s="2">
        <f>HYPERLINK("http://mcb-m6.bioreg.kyushu-u.ac.jp/M3/20110404/F50766/3839/1", 57.46)</f>
        <v>57.46</v>
      </c>
      <c r="E324" s="2">
        <v>42.86</v>
      </c>
      <c r="F324" s="2">
        <v>2</v>
      </c>
      <c r="G324" s="2" t="s">
        <v>9</v>
      </c>
      <c r="I324" s="2" t="s">
        <v>4893</v>
      </c>
    </row>
    <row r="325" spans="1:9" x14ac:dyDescent="0.2">
      <c r="A325" s="2" t="s">
        <v>7704</v>
      </c>
      <c r="B325" s="2" t="s">
        <v>6377</v>
      </c>
      <c r="C325" s="2">
        <v>1178.482</v>
      </c>
      <c r="D325" s="2">
        <f>HYPERLINK("http://mcb-m6.bioreg.kyushu-u.ac.jp/M3/20110404/F50766/3845/1", 60.45)</f>
        <v>60.45</v>
      </c>
      <c r="E325" s="2">
        <v>47.94</v>
      </c>
      <c r="F325" s="2">
        <v>2</v>
      </c>
      <c r="G325" s="2" t="s">
        <v>9</v>
      </c>
      <c r="I325" s="2" t="s">
        <v>4893</v>
      </c>
    </row>
    <row r="326" spans="1:9" x14ac:dyDescent="0.2">
      <c r="A326" s="2" t="s">
        <v>7758</v>
      </c>
      <c r="B326" s="2" t="s">
        <v>6571</v>
      </c>
      <c r="C326" s="2">
        <v>732.70169999999996</v>
      </c>
      <c r="D326" s="2">
        <f>HYPERLINK("http://mcb-m6.bioreg.kyushu-u.ac.jp/M3/20110404/F50766/1504/1", 82.59)</f>
        <v>82.59</v>
      </c>
      <c r="E326" s="2">
        <v>60.36</v>
      </c>
      <c r="F326" s="2">
        <v>2</v>
      </c>
      <c r="G326" s="2" t="s">
        <v>9</v>
      </c>
    </row>
    <row r="327" spans="1:9" x14ac:dyDescent="0.2">
      <c r="A327" s="2" t="s">
        <v>7758</v>
      </c>
      <c r="B327" s="2" t="s">
        <v>6571</v>
      </c>
      <c r="C327" s="2">
        <v>732.72720000000004</v>
      </c>
      <c r="D327" s="2">
        <f>HYPERLINK("http://mcb-m6.bioreg.kyushu-u.ac.jp/M3/20110404/F50768/1867/1", 67.97)</f>
        <v>67.97</v>
      </c>
      <c r="E327" s="2">
        <v>45.72</v>
      </c>
      <c r="F327" s="2">
        <v>2</v>
      </c>
      <c r="G327" s="2" t="s">
        <v>10</v>
      </c>
    </row>
    <row r="328" spans="1:9" x14ac:dyDescent="0.2">
      <c r="A328" s="2" t="s">
        <v>7701</v>
      </c>
      <c r="B328" s="2" t="s">
        <v>6368</v>
      </c>
      <c r="C328" s="2">
        <v>1240.559</v>
      </c>
      <c r="D328" s="2">
        <f>HYPERLINK("http://mcb-m6.bioreg.kyushu-u.ac.jp/M3/20110404/F50766/958/1", 56.84)</f>
        <v>56.84</v>
      </c>
      <c r="E328" s="2">
        <v>43.7</v>
      </c>
      <c r="F328" s="2">
        <v>1</v>
      </c>
      <c r="G328" s="2" t="s">
        <v>9</v>
      </c>
    </row>
    <row r="329" spans="1:9" x14ac:dyDescent="0.2">
      <c r="A329" s="2" t="s">
        <v>5861</v>
      </c>
      <c r="B329" s="2" t="s">
        <v>5557</v>
      </c>
      <c r="C329" s="2">
        <v>1487.43</v>
      </c>
      <c r="D329" s="2">
        <f>HYPERLINK("http://mcb-m6.bioreg.kyushu-u.ac.jp/M3/20110404/F50766/1579/1", 50.51)</f>
        <v>50.51</v>
      </c>
      <c r="E329" s="2">
        <v>27.58</v>
      </c>
      <c r="F329" s="2">
        <v>1</v>
      </c>
      <c r="G329" s="2" t="s">
        <v>9</v>
      </c>
      <c r="H329" s="2" t="s">
        <v>4904</v>
      </c>
    </row>
    <row r="330" spans="1:9" x14ac:dyDescent="0.2">
      <c r="A330" s="2" t="s">
        <v>5861</v>
      </c>
      <c r="B330" s="2" t="s">
        <v>5557</v>
      </c>
      <c r="C330" s="2">
        <v>753.20510000000002</v>
      </c>
      <c r="D330" s="2">
        <f>HYPERLINK("http://mcb-m6.bioreg.kyushu-u.ac.jp/M3/20110404/F50766/1626/1", 54.64)</f>
        <v>54.64</v>
      </c>
      <c r="E330" s="2">
        <v>21.89</v>
      </c>
      <c r="F330" s="2">
        <v>2</v>
      </c>
      <c r="G330" s="2" t="s">
        <v>9</v>
      </c>
    </row>
    <row r="331" spans="1:9" x14ac:dyDescent="0.2">
      <c r="A331" s="2" t="s">
        <v>5861</v>
      </c>
      <c r="B331" s="2" t="s">
        <v>5557</v>
      </c>
      <c r="C331" s="2">
        <v>753.17110000000002</v>
      </c>
      <c r="D331" s="2">
        <f>HYPERLINK("http://mcb-m6.bioreg.kyushu-u.ac.jp/M3/20110404/F50766/1625/1", 96.04)</f>
        <v>96.04</v>
      </c>
      <c r="E331" s="2">
        <v>63.23</v>
      </c>
      <c r="F331" s="2">
        <v>2</v>
      </c>
      <c r="G331" s="2" t="s">
        <v>9</v>
      </c>
    </row>
    <row r="332" spans="1:9" x14ac:dyDescent="0.2">
      <c r="A332" s="2" t="s">
        <v>5861</v>
      </c>
      <c r="B332" s="2" t="s">
        <v>5557</v>
      </c>
      <c r="C332" s="2">
        <v>752.83370000000002</v>
      </c>
      <c r="D332" s="2">
        <f>HYPERLINK("http://mcb-m6.bioreg.kyushu-u.ac.jp/M3/20110404/F50768/1930/1", 35.62)</f>
        <v>35.619999999999997</v>
      </c>
      <c r="E332" s="2">
        <v>16.899999999999999</v>
      </c>
      <c r="F332" s="2">
        <v>2</v>
      </c>
      <c r="G332" s="2" t="s">
        <v>10</v>
      </c>
    </row>
    <row r="333" spans="1:9" x14ac:dyDescent="0.2">
      <c r="A333" s="2" t="s">
        <v>3682</v>
      </c>
      <c r="B333" s="2" t="s">
        <v>2741</v>
      </c>
      <c r="C333" s="2">
        <v>972.68520000000001</v>
      </c>
      <c r="D333" s="2">
        <f>HYPERLINK("http://mcb-m6.bioreg.kyushu-u.ac.jp/M3/20110404/F50756/2969/1", 97.55)</f>
        <v>97.55</v>
      </c>
      <c r="E333" s="2">
        <v>84.47</v>
      </c>
      <c r="F333" s="2">
        <v>2</v>
      </c>
      <c r="G333" s="2" t="s">
        <v>9</v>
      </c>
    </row>
    <row r="334" spans="1:9" x14ac:dyDescent="0.2">
      <c r="A334" s="2" t="s">
        <v>3682</v>
      </c>
      <c r="B334" s="2" t="s">
        <v>7359</v>
      </c>
      <c r="C334" s="2">
        <v>568.69119999999998</v>
      </c>
      <c r="D334" s="2">
        <f>HYPERLINK("http://mcb-m6.bioreg.kyushu-u.ac.jp/M3/20110427/F51114/1226/1", 46.5)</f>
        <v>46.5</v>
      </c>
      <c r="E334" s="2">
        <v>11.42</v>
      </c>
      <c r="F334" s="2">
        <v>2</v>
      </c>
      <c r="G334" s="2" t="s">
        <v>13</v>
      </c>
    </row>
    <row r="335" spans="1:9" x14ac:dyDescent="0.2">
      <c r="A335" s="4" t="s">
        <v>4126</v>
      </c>
      <c r="B335" s="2" t="s">
        <v>1646</v>
      </c>
      <c r="C335" s="2">
        <v>778.8492</v>
      </c>
      <c r="D335" s="2">
        <f>HYPERLINK("http://mcb-m6.bioreg.kyushu-u.ac.jp/M3/20110404/F50755/2167/1", 95.71)</f>
        <v>95.71</v>
      </c>
      <c r="E335" s="2">
        <v>63.16</v>
      </c>
      <c r="F335" s="2">
        <v>2</v>
      </c>
      <c r="G335" s="2" t="s">
        <v>9</v>
      </c>
      <c r="I335" s="2" t="s">
        <v>4906</v>
      </c>
    </row>
    <row r="336" spans="1:9" x14ac:dyDescent="0.2">
      <c r="A336" s="4" t="s">
        <v>4126</v>
      </c>
      <c r="B336" s="2" t="s">
        <v>1646</v>
      </c>
      <c r="C336" s="2">
        <v>779.29970000000003</v>
      </c>
      <c r="D336" s="2">
        <f>HYPERLINK("http://mcb-m6.bioreg.kyushu-u.ac.jp/M3/20110404/F50760/2000/1", 65.6)</f>
        <v>65.599999999999994</v>
      </c>
      <c r="E336" s="2">
        <v>45.07</v>
      </c>
      <c r="F336" s="2">
        <v>2</v>
      </c>
      <c r="G336" s="2" t="s">
        <v>10</v>
      </c>
      <c r="I336" s="2" t="s">
        <v>4906</v>
      </c>
    </row>
    <row r="337" spans="1:9" x14ac:dyDescent="0.2">
      <c r="A337" s="4" t="s">
        <v>4126</v>
      </c>
      <c r="B337" s="2" t="s">
        <v>1646</v>
      </c>
      <c r="C337" s="2">
        <v>779.33169999999996</v>
      </c>
      <c r="D337" s="2">
        <f>HYPERLINK("http://mcb-m6.bioreg.kyushu-u.ac.jp/M3/20110404/F50760/2001/1", 71.85)</f>
        <v>71.849999999999994</v>
      </c>
      <c r="E337" s="2">
        <v>54.17</v>
      </c>
      <c r="F337" s="2">
        <v>2</v>
      </c>
      <c r="G337" s="2" t="s">
        <v>10</v>
      </c>
      <c r="I337" s="2" t="s">
        <v>4906</v>
      </c>
    </row>
    <row r="338" spans="1:9" x14ac:dyDescent="0.2">
      <c r="A338" s="4" t="s">
        <v>4126</v>
      </c>
      <c r="B338" s="2" t="s">
        <v>7147</v>
      </c>
      <c r="C338" s="2">
        <v>778.80409999999995</v>
      </c>
      <c r="D338" s="2">
        <f>HYPERLINK("http://mcb-m6.bioreg.kyushu-u.ac.jp/M3/20110421/F51018/3300/1", 84.89)</f>
        <v>84.89</v>
      </c>
      <c r="E338" s="2">
        <v>70.599999999999994</v>
      </c>
      <c r="F338" s="2">
        <v>3</v>
      </c>
      <c r="G338" s="2" t="s">
        <v>11</v>
      </c>
      <c r="I338" s="2" t="s">
        <v>5889</v>
      </c>
    </row>
    <row r="339" spans="1:9" x14ac:dyDescent="0.2">
      <c r="A339" s="4" t="s">
        <v>4126</v>
      </c>
      <c r="B339" s="2" t="s">
        <v>1646</v>
      </c>
      <c r="C339" s="2">
        <v>778.80409999999995</v>
      </c>
      <c r="D339" s="2">
        <f>HYPERLINK("http://mcb-m6.bioreg.kyushu-u.ac.jp/M3/20110421/F51018/2290/1", 95.65)</f>
        <v>95.65</v>
      </c>
      <c r="E339" s="2">
        <v>60.27</v>
      </c>
      <c r="F339" s="2">
        <v>2</v>
      </c>
      <c r="G339" s="2" t="s">
        <v>11</v>
      </c>
      <c r="I339" s="2" t="s">
        <v>4906</v>
      </c>
    </row>
    <row r="340" spans="1:9" x14ac:dyDescent="0.2">
      <c r="A340" s="4" t="s">
        <v>4126</v>
      </c>
      <c r="B340" s="2" t="s">
        <v>1646</v>
      </c>
      <c r="C340" s="2">
        <v>779.01570000000004</v>
      </c>
      <c r="D340" s="2">
        <f>HYPERLINK("http://mcb-m6.bioreg.kyushu-u.ac.jp/M3/20110427/F51113/2161/1", 97.85)</f>
        <v>97.85</v>
      </c>
      <c r="E340" s="2">
        <v>64.989999999999995</v>
      </c>
      <c r="F340" s="2">
        <v>2</v>
      </c>
      <c r="G340" s="2" t="s">
        <v>13</v>
      </c>
      <c r="I340" s="2" t="s">
        <v>4906</v>
      </c>
    </row>
    <row r="341" spans="1:9" x14ac:dyDescent="0.2">
      <c r="A341" s="2" t="s">
        <v>7653</v>
      </c>
      <c r="B341" s="2" t="s">
        <v>6231</v>
      </c>
      <c r="C341" s="2">
        <v>1237.6289999999999</v>
      </c>
      <c r="D341" s="2">
        <f>HYPERLINK("http://mcb-m6.bioreg.kyushu-u.ac.jp/M3/20110404/F50751/1745/1", 47.76)</f>
        <v>47.76</v>
      </c>
      <c r="E341" s="2">
        <v>24.65</v>
      </c>
      <c r="F341" s="2">
        <v>1</v>
      </c>
      <c r="G341" s="2" t="s">
        <v>9</v>
      </c>
    </row>
    <row r="342" spans="1:9" x14ac:dyDescent="0.2">
      <c r="A342" s="2" t="s">
        <v>7653</v>
      </c>
      <c r="B342" s="2" t="s">
        <v>6231</v>
      </c>
      <c r="C342" s="2">
        <v>627.23469999999998</v>
      </c>
      <c r="D342" s="2">
        <f>HYPERLINK("http://mcb-m6.bioreg.kyushu-u.ac.jp/M3/20110404/F50752/1756/1", 55.46)</f>
        <v>55.46</v>
      </c>
      <c r="E342" s="2">
        <v>34.67</v>
      </c>
      <c r="F342" s="2">
        <v>2</v>
      </c>
      <c r="G342" s="2" t="s">
        <v>9</v>
      </c>
      <c r="H342" s="2" t="s">
        <v>4896</v>
      </c>
    </row>
    <row r="343" spans="1:9" x14ac:dyDescent="0.2">
      <c r="A343" s="2" t="s">
        <v>7653</v>
      </c>
      <c r="B343" s="2" t="s">
        <v>6231</v>
      </c>
      <c r="C343" s="2">
        <v>619.4316</v>
      </c>
      <c r="D343" s="2">
        <f>HYPERLINK("http://mcb-m6.bioreg.kyushu-u.ac.jp/M3/20110404/F50751/1746/1", 57.16)</f>
        <v>57.16</v>
      </c>
      <c r="E343" s="2">
        <v>33.159999999999997</v>
      </c>
      <c r="F343" s="2">
        <v>2</v>
      </c>
      <c r="G343" s="2" t="s">
        <v>9</v>
      </c>
    </row>
    <row r="344" spans="1:9" x14ac:dyDescent="0.2">
      <c r="A344" s="2" t="s">
        <v>7653</v>
      </c>
      <c r="B344" s="2" t="s">
        <v>6231</v>
      </c>
      <c r="C344" s="2">
        <v>619.28719999999998</v>
      </c>
      <c r="D344" s="2">
        <f>HYPERLINK("http://mcb-m6.bioreg.kyushu-u.ac.jp/M3/20110404/F50752/1733/1", 58.31)</f>
        <v>58.31</v>
      </c>
      <c r="E344" s="2">
        <v>37.159999999999997</v>
      </c>
      <c r="F344" s="2">
        <v>2</v>
      </c>
      <c r="G344" s="2" t="s">
        <v>9</v>
      </c>
    </row>
    <row r="345" spans="1:9" x14ac:dyDescent="0.2">
      <c r="A345" s="2" t="s">
        <v>7653</v>
      </c>
      <c r="B345" s="2" t="s">
        <v>6231</v>
      </c>
      <c r="C345" s="2">
        <v>619.14869999999996</v>
      </c>
      <c r="D345" s="2">
        <f>HYPERLINK("http://mcb-m6.bioreg.kyushu-u.ac.jp/M3/20110404/F50757/1799/1", 60.26)</f>
        <v>60.26</v>
      </c>
      <c r="E345" s="2">
        <v>36.869999999999997</v>
      </c>
      <c r="F345" s="2">
        <v>2</v>
      </c>
      <c r="G345" s="2" t="s">
        <v>10</v>
      </c>
    </row>
    <row r="346" spans="1:9" x14ac:dyDescent="0.2">
      <c r="A346" s="2" t="s">
        <v>7653</v>
      </c>
      <c r="B346" s="2" t="s">
        <v>6231</v>
      </c>
      <c r="C346" s="2">
        <v>618.93619999999999</v>
      </c>
      <c r="D346" s="2">
        <f>HYPERLINK("http://mcb-m6.bioreg.kyushu-u.ac.jp/M3/20110421/F51015/1705/1", 61.18)</f>
        <v>61.18</v>
      </c>
      <c r="E346" s="2">
        <v>37.81</v>
      </c>
      <c r="F346" s="2">
        <v>2</v>
      </c>
      <c r="G346" s="2" t="s">
        <v>11</v>
      </c>
    </row>
    <row r="347" spans="1:9" x14ac:dyDescent="0.2">
      <c r="A347" s="2" t="s">
        <v>7653</v>
      </c>
      <c r="B347" s="2" t="s">
        <v>6231</v>
      </c>
      <c r="C347" s="2">
        <v>627.22119999999995</v>
      </c>
      <c r="D347" s="2">
        <f>HYPERLINK("http://mcb-m6.bioreg.kyushu-u.ac.jp/M3/20110421/F51022/1821/1", 52.6)</f>
        <v>52.6</v>
      </c>
      <c r="E347" s="2">
        <v>32.659999999999997</v>
      </c>
      <c r="F347" s="2">
        <v>2</v>
      </c>
      <c r="G347" s="2" t="s">
        <v>12</v>
      </c>
      <c r="H347" s="2" t="s">
        <v>4896</v>
      </c>
    </row>
    <row r="348" spans="1:9" x14ac:dyDescent="0.2">
      <c r="A348" s="2" t="s">
        <v>7653</v>
      </c>
      <c r="B348" s="2" t="s">
        <v>6231</v>
      </c>
      <c r="C348" s="2">
        <v>619.60919999999999</v>
      </c>
      <c r="D348" s="2">
        <f>HYPERLINK("http://mcb-m6.bioreg.kyushu-u.ac.jp/M3/20110427/F51109/1769/1", 57.84)</f>
        <v>57.84</v>
      </c>
      <c r="E348" s="2">
        <v>30.98</v>
      </c>
      <c r="F348" s="2">
        <v>2</v>
      </c>
      <c r="G348" s="2" t="s">
        <v>13</v>
      </c>
    </row>
    <row r="349" spans="1:9" x14ac:dyDescent="0.2">
      <c r="A349" s="2" t="s">
        <v>7653</v>
      </c>
      <c r="B349" s="2" t="s">
        <v>6231</v>
      </c>
      <c r="C349" s="2">
        <v>619.07510000000002</v>
      </c>
      <c r="D349" s="2">
        <f>HYPERLINK("http://mcb-m6.bioreg.kyushu-u.ac.jp/M3/20110427/F51109/1767/1", 67.44)</f>
        <v>67.44</v>
      </c>
      <c r="E349" s="2">
        <v>44.1</v>
      </c>
      <c r="F349" s="2">
        <v>2</v>
      </c>
      <c r="G349" s="2" t="s">
        <v>13</v>
      </c>
    </row>
    <row r="350" spans="1:9" x14ac:dyDescent="0.2">
      <c r="A350" s="2" t="s">
        <v>7653</v>
      </c>
      <c r="B350" s="2" t="s">
        <v>6231</v>
      </c>
      <c r="C350" s="2">
        <v>627.78769999999997</v>
      </c>
      <c r="D350" s="2">
        <f>HYPERLINK("http://mcb-m6.bioreg.kyushu-u.ac.jp/M3/20110427/F51119/1867/1", 41.11)</f>
        <v>41.11</v>
      </c>
      <c r="E350" s="2">
        <v>19.36</v>
      </c>
      <c r="F350" s="2">
        <v>2</v>
      </c>
      <c r="G350" s="2" t="s">
        <v>14</v>
      </c>
      <c r="H350" s="2" t="s">
        <v>4896</v>
      </c>
    </row>
    <row r="351" spans="1:9" x14ac:dyDescent="0.2">
      <c r="A351" s="2" t="s">
        <v>7653</v>
      </c>
      <c r="B351" s="2" t="s">
        <v>6231</v>
      </c>
      <c r="C351" s="2">
        <v>619.12819999999999</v>
      </c>
      <c r="D351" s="2">
        <f>HYPERLINK("http://mcb-m6.bioreg.kyushu-u.ac.jp/M3/20110428/F51134/1655/1", 59.18)</f>
        <v>59.18</v>
      </c>
      <c r="E351" s="2">
        <v>35.42</v>
      </c>
      <c r="F351" s="2">
        <v>2</v>
      </c>
      <c r="G351" s="2" t="s">
        <v>14</v>
      </c>
    </row>
    <row r="352" spans="1:9" x14ac:dyDescent="0.2">
      <c r="A352" s="2" t="s">
        <v>7548</v>
      </c>
      <c r="B352" s="2" t="s">
        <v>5959</v>
      </c>
      <c r="C352" s="2">
        <v>1035.5309999999999</v>
      </c>
      <c r="D352" s="2">
        <f>HYPERLINK("http://mcb-m6.bioreg.kyushu-u.ac.jp/M3/20110404/F50752/1408/1", 37)</f>
        <v>37</v>
      </c>
      <c r="E352" s="2">
        <v>9.7799999999999994</v>
      </c>
      <c r="F352" s="2">
        <v>1</v>
      </c>
      <c r="G352" s="2" t="s">
        <v>9</v>
      </c>
    </row>
    <row r="353" spans="1:8" x14ac:dyDescent="0.2">
      <c r="A353" s="2" t="s">
        <v>7548</v>
      </c>
      <c r="B353" s="2" t="s">
        <v>5959</v>
      </c>
      <c r="C353" s="2">
        <v>526.76120000000003</v>
      </c>
      <c r="D353" s="2">
        <f>HYPERLINK("http://mcb-m6.bioreg.kyushu-u.ac.jp/M3/20110404/F50752/1446/1", 46.73)</f>
        <v>46.73</v>
      </c>
      <c r="E353" s="2">
        <v>25.46</v>
      </c>
      <c r="F353" s="2">
        <v>2</v>
      </c>
      <c r="G353" s="2" t="s">
        <v>9</v>
      </c>
      <c r="H353" s="2" t="s">
        <v>4910</v>
      </c>
    </row>
    <row r="354" spans="1:8" x14ac:dyDescent="0.2">
      <c r="A354" s="2" t="s">
        <v>7548</v>
      </c>
      <c r="B354" s="2" t="s">
        <v>6279</v>
      </c>
      <c r="C354" s="2">
        <v>1053.7909999999999</v>
      </c>
      <c r="D354" s="2">
        <f>HYPERLINK("http://mcb-m6.bioreg.kyushu-u.ac.jp/M3/20110404/F50753/3026/1", 50.64)</f>
        <v>50.64</v>
      </c>
      <c r="E354" s="2">
        <v>5.04</v>
      </c>
      <c r="F354" s="2">
        <v>2</v>
      </c>
      <c r="G354" s="2" t="s">
        <v>9</v>
      </c>
      <c r="H354" s="2" t="s">
        <v>4901</v>
      </c>
    </row>
    <row r="355" spans="1:8" x14ac:dyDescent="0.2">
      <c r="A355" s="2" t="s">
        <v>7548</v>
      </c>
      <c r="B355" s="2" t="s">
        <v>6279</v>
      </c>
      <c r="C355" s="2">
        <v>1045.828</v>
      </c>
      <c r="D355" s="2">
        <f>HYPERLINK("http://mcb-m6.bioreg.kyushu-u.ac.jp/M3/20110404/F50752/2883/1", 104.84)</f>
        <v>104.84</v>
      </c>
      <c r="E355" s="2">
        <v>86</v>
      </c>
      <c r="F355" s="2">
        <v>2</v>
      </c>
      <c r="G355" s="2" t="s">
        <v>9</v>
      </c>
    </row>
    <row r="356" spans="1:8" x14ac:dyDescent="0.2">
      <c r="A356" s="2" t="s">
        <v>7548</v>
      </c>
      <c r="B356" s="2" t="s">
        <v>6279</v>
      </c>
      <c r="C356" s="2">
        <v>1053.9269999999999</v>
      </c>
      <c r="D356" s="2">
        <f>HYPERLINK("http://mcb-m6.bioreg.kyushu-u.ac.jp/M3/20110404/F50752/2895/1", 116)</f>
        <v>116</v>
      </c>
      <c r="E356" s="2">
        <v>106.94</v>
      </c>
      <c r="F356" s="2">
        <v>2</v>
      </c>
      <c r="G356" s="2" t="s">
        <v>9</v>
      </c>
      <c r="H356" s="2" t="s">
        <v>4901</v>
      </c>
    </row>
    <row r="357" spans="1:8" x14ac:dyDescent="0.2">
      <c r="A357" s="2" t="s">
        <v>7548</v>
      </c>
      <c r="B357" s="2" t="s">
        <v>5959</v>
      </c>
      <c r="C357" s="2">
        <v>526.77809999999999</v>
      </c>
      <c r="D357" s="2">
        <f>HYPERLINK("http://mcb-m6.bioreg.kyushu-u.ac.jp/M3/20110404/F50757/1577/1", 42.87)</f>
        <v>42.87</v>
      </c>
      <c r="E357" s="2">
        <v>19.52</v>
      </c>
      <c r="F357" s="2">
        <v>2</v>
      </c>
      <c r="G357" s="2" t="s">
        <v>10</v>
      </c>
      <c r="H357" s="2" t="s">
        <v>4910</v>
      </c>
    </row>
    <row r="358" spans="1:8" x14ac:dyDescent="0.2">
      <c r="A358" s="2" t="s">
        <v>7548</v>
      </c>
      <c r="B358" s="2" t="s">
        <v>6279</v>
      </c>
      <c r="C358" s="2">
        <v>1054.1610000000001</v>
      </c>
      <c r="D358" s="2">
        <f>HYPERLINK("http://mcb-m6.bioreg.kyushu-u.ac.jp/M3/20110404/F50757/2661/1", 73.71)</f>
        <v>73.709999999999994</v>
      </c>
      <c r="E358" s="2">
        <v>64.97</v>
      </c>
      <c r="F358" s="2">
        <v>2</v>
      </c>
      <c r="G358" s="2" t="s">
        <v>10</v>
      </c>
      <c r="H358" s="2" t="s">
        <v>4901</v>
      </c>
    </row>
    <row r="359" spans="1:8" x14ac:dyDescent="0.2">
      <c r="A359" s="2" t="s">
        <v>7548</v>
      </c>
      <c r="B359" s="2" t="s">
        <v>6279</v>
      </c>
      <c r="C359" s="2">
        <v>1046.086</v>
      </c>
      <c r="D359" s="2">
        <f>HYPERLINK("http://mcb-m6.bioreg.kyushu-u.ac.jp/M3/20110421/F51015/2664/1", 110.98)</f>
        <v>110.98</v>
      </c>
      <c r="E359" s="2">
        <v>93.89</v>
      </c>
      <c r="F359" s="2">
        <v>2</v>
      </c>
      <c r="G359" s="2" t="s">
        <v>11</v>
      </c>
    </row>
    <row r="360" spans="1:8" x14ac:dyDescent="0.2">
      <c r="A360" s="2" t="s">
        <v>7548</v>
      </c>
      <c r="B360" s="2" t="s">
        <v>5959</v>
      </c>
      <c r="C360" s="2">
        <v>526.07119999999998</v>
      </c>
      <c r="D360" s="2">
        <f>HYPERLINK("http://mcb-m6.bioreg.kyushu-u.ac.jp/M3/20110427/F51109/1500/1", 40.44)</f>
        <v>40.44</v>
      </c>
      <c r="E360" s="2">
        <v>23.7</v>
      </c>
      <c r="F360" s="2">
        <v>2</v>
      </c>
      <c r="G360" s="2" t="s">
        <v>13</v>
      </c>
      <c r="H360" s="2" t="s">
        <v>4910</v>
      </c>
    </row>
    <row r="361" spans="1:8" x14ac:dyDescent="0.2">
      <c r="A361" s="2" t="s">
        <v>4491</v>
      </c>
      <c r="B361" s="2" t="s">
        <v>2458</v>
      </c>
      <c r="C361" s="2">
        <v>1228.569</v>
      </c>
      <c r="D361" s="2">
        <f>HYPERLINK("http://mcb-m6.bioreg.kyushu-u.ac.jp/M3/20110404/F50752/1719/1", 50.34)</f>
        <v>50.34</v>
      </c>
      <c r="E361" s="2">
        <v>30.15</v>
      </c>
      <c r="F361" s="2">
        <v>1</v>
      </c>
      <c r="G361" s="2" t="s">
        <v>9</v>
      </c>
    </row>
    <row r="362" spans="1:8" x14ac:dyDescent="0.2">
      <c r="A362" s="2" t="s">
        <v>4491</v>
      </c>
      <c r="B362" s="2" t="s">
        <v>2458</v>
      </c>
      <c r="C362" s="2">
        <v>615.07259999999997</v>
      </c>
      <c r="D362" s="2">
        <f>HYPERLINK("http://mcb-m6.bioreg.kyushu-u.ac.jp/M3/20110404/F50751/1736/1", 68.34)</f>
        <v>68.34</v>
      </c>
      <c r="E362" s="2">
        <v>39.97</v>
      </c>
      <c r="F362" s="2">
        <v>2</v>
      </c>
      <c r="G362" s="2" t="s">
        <v>9</v>
      </c>
    </row>
    <row r="363" spans="1:8" x14ac:dyDescent="0.2">
      <c r="A363" s="2" t="s">
        <v>4491</v>
      </c>
      <c r="B363" s="2" t="s">
        <v>2458</v>
      </c>
      <c r="C363" s="2">
        <v>614.8682</v>
      </c>
      <c r="D363" s="2">
        <f>HYPERLINK("http://mcb-m6.bioreg.kyushu-u.ac.jp/M3/20110404/F50757/1791/1", 58.92)</f>
        <v>58.92</v>
      </c>
      <c r="E363" s="2">
        <v>28.88</v>
      </c>
      <c r="F363" s="2">
        <v>2</v>
      </c>
      <c r="G363" s="2" t="s">
        <v>10</v>
      </c>
    </row>
    <row r="364" spans="1:8" x14ac:dyDescent="0.2">
      <c r="A364" s="2" t="s">
        <v>4491</v>
      </c>
      <c r="B364" s="2" t="s">
        <v>2458</v>
      </c>
      <c r="C364" s="2">
        <v>614.78920000000005</v>
      </c>
      <c r="D364" s="2">
        <f>HYPERLINK("http://mcb-m6.bioreg.kyushu-u.ac.jp/M3/20110421/F51016/1777/1", 55.11)</f>
        <v>55.11</v>
      </c>
      <c r="E364" s="2">
        <v>32.119999999999997</v>
      </c>
      <c r="F364" s="2">
        <v>2</v>
      </c>
      <c r="G364" s="2" t="s">
        <v>11</v>
      </c>
    </row>
    <row r="365" spans="1:8" x14ac:dyDescent="0.2">
      <c r="A365" s="2" t="s">
        <v>4491</v>
      </c>
      <c r="B365" s="2" t="s">
        <v>2458</v>
      </c>
      <c r="C365" s="2">
        <v>615.1191</v>
      </c>
      <c r="D365" s="2">
        <f>HYPERLINK("http://mcb-m6.bioreg.kyushu-u.ac.jp/M3/20110421/F51015/1697/1", 66.28)</f>
        <v>66.28</v>
      </c>
      <c r="E365" s="2">
        <v>39.39</v>
      </c>
      <c r="F365" s="2">
        <v>2</v>
      </c>
      <c r="G365" s="2" t="s">
        <v>11</v>
      </c>
    </row>
    <row r="366" spans="1:8" x14ac:dyDescent="0.2">
      <c r="A366" s="2" t="s">
        <v>4491</v>
      </c>
      <c r="B366" s="2" t="s">
        <v>2458</v>
      </c>
      <c r="C366" s="2">
        <v>614.95870000000002</v>
      </c>
      <c r="D366" s="2">
        <f>HYPERLINK("http://mcb-m6.bioreg.kyushu-u.ac.jp/M3/20110421/F51014/1652/1", 72.37)</f>
        <v>72.37</v>
      </c>
      <c r="E366" s="2">
        <v>38.700000000000003</v>
      </c>
      <c r="F366" s="2">
        <v>2</v>
      </c>
      <c r="G366" s="2" t="s">
        <v>11</v>
      </c>
    </row>
    <row r="367" spans="1:8" x14ac:dyDescent="0.2">
      <c r="A367" s="2" t="s">
        <v>4491</v>
      </c>
      <c r="B367" s="2" t="s">
        <v>2458</v>
      </c>
      <c r="C367" s="2">
        <v>614.87519999999995</v>
      </c>
      <c r="D367" s="2">
        <f>HYPERLINK("http://mcb-m6.bioreg.kyushu-u.ac.jp/M3/20110421/F51022/1810/1", 40.55)</f>
        <v>40.549999999999997</v>
      </c>
      <c r="E367" s="2">
        <v>25.53</v>
      </c>
      <c r="F367" s="2">
        <v>2</v>
      </c>
      <c r="G367" s="2" t="s">
        <v>12</v>
      </c>
    </row>
    <row r="368" spans="1:8" x14ac:dyDescent="0.2">
      <c r="A368" s="2" t="s">
        <v>4491</v>
      </c>
      <c r="B368" s="2" t="s">
        <v>2458</v>
      </c>
      <c r="C368" s="2">
        <v>615.19920000000002</v>
      </c>
      <c r="D368" s="2">
        <f>HYPERLINK("http://mcb-m6.bioreg.kyushu-u.ac.jp/M3/20110421/F51021/1407/1", 51.72)</f>
        <v>51.72</v>
      </c>
      <c r="E368" s="2">
        <v>24.42</v>
      </c>
      <c r="F368" s="2">
        <v>2</v>
      </c>
      <c r="G368" s="2" t="s">
        <v>12</v>
      </c>
    </row>
    <row r="369" spans="1:7" x14ac:dyDescent="0.2">
      <c r="A369" s="2" t="s">
        <v>4491</v>
      </c>
      <c r="B369" s="2" t="s">
        <v>2458</v>
      </c>
      <c r="C369" s="2">
        <v>614.76009999999997</v>
      </c>
      <c r="D369" s="2">
        <f>HYPERLINK("http://mcb-m6.bioreg.kyushu-u.ac.jp/M3/20110421/F51022/1809/1", 65.76)</f>
        <v>65.760000000000005</v>
      </c>
      <c r="E369" s="2">
        <v>38.46</v>
      </c>
      <c r="F369" s="2">
        <v>2</v>
      </c>
      <c r="G369" s="2" t="s">
        <v>12</v>
      </c>
    </row>
    <row r="370" spans="1:7" x14ac:dyDescent="0.2">
      <c r="A370" s="2" t="s">
        <v>4491</v>
      </c>
      <c r="B370" s="2" t="s">
        <v>2458</v>
      </c>
      <c r="C370" s="2">
        <v>615.26459999999997</v>
      </c>
      <c r="D370" s="2">
        <f>HYPERLINK("http://mcb-m6.bioreg.kyushu-u.ac.jp/M3/20110421/F51022/1813/1", 68.74)</f>
        <v>68.739999999999995</v>
      </c>
      <c r="E370" s="2">
        <v>37.08</v>
      </c>
      <c r="F370" s="2">
        <v>2</v>
      </c>
      <c r="G370" s="2" t="s">
        <v>12</v>
      </c>
    </row>
    <row r="371" spans="1:7" x14ac:dyDescent="0.2">
      <c r="A371" s="2" t="s">
        <v>4491</v>
      </c>
      <c r="B371" s="2" t="s">
        <v>2458</v>
      </c>
      <c r="C371" s="2">
        <v>614.81370000000004</v>
      </c>
      <c r="D371" s="2">
        <f>HYPERLINK("http://mcb-m6.bioreg.kyushu-u.ac.jp/M3/20110421/F51061/1412/1", 84.8)</f>
        <v>84.8</v>
      </c>
      <c r="E371" s="2">
        <v>57.14</v>
      </c>
      <c r="F371" s="2">
        <v>2</v>
      </c>
      <c r="G371" s="2" t="s">
        <v>12</v>
      </c>
    </row>
    <row r="372" spans="1:7" x14ac:dyDescent="0.2">
      <c r="A372" s="2" t="s">
        <v>4491</v>
      </c>
      <c r="B372" s="2" t="s">
        <v>2458</v>
      </c>
      <c r="C372" s="2">
        <v>614.67660000000001</v>
      </c>
      <c r="D372" s="2">
        <f>HYPERLINK("http://mcb-m6.bioreg.kyushu-u.ac.jp/M3/20110427/F51110/1759/1", 58.84)</f>
        <v>58.84</v>
      </c>
      <c r="E372" s="2">
        <v>36.869999999999997</v>
      </c>
      <c r="F372" s="2">
        <v>2</v>
      </c>
      <c r="G372" s="2" t="s">
        <v>13</v>
      </c>
    </row>
    <row r="373" spans="1:7" x14ac:dyDescent="0.2">
      <c r="A373" s="2" t="s">
        <v>4491</v>
      </c>
      <c r="B373" s="2" t="s">
        <v>2458</v>
      </c>
      <c r="C373" s="2">
        <v>615.03120000000001</v>
      </c>
      <c r="D373" s="2">
        <f>HYPERLINK("http://mcb-m6.bioreg.kyushu-u.ac.jp/M3/20110427/F51109/1759/1", 76.09)</f>
        <v>76.09</v>
      </c>
      <c r="E373" s="2">
        <v>45.83</v>
      </c>
      <c r="F373" s="2">
        <v>2</v>
      </c>
      <c r="G373" s="2" t="s">
        <v>13</v>
      </c>
    </row>
    <row r="374" spans="1:7" x14ac:dyDescent="0.2">
      <c r="A374" s="2" t="s">
        <v>4491</v>
      </c>
      <c r="B374" s="2" t="s">
        <v>2458</v>
      </c>
      <c r="C374" s="2">
        <v>615.16110000000003</v>
      </c>
      <c r="D374" s="2">
        <f>HYPERLINK("http://mcb-m6.bioreg.kyushu-u.ac.jp/M3/20110427/F51119/1837/1", 54.28)</f>
        <v>54.28</v>
      </c>
      <c r="E374" s="2">
        <v>20.46</v>
      </c>
      <c r="F374" s="2">
        <v>2</v>
      </c>
      <c r="G374" s="2" t="s">
        <v>14</v>
      </c>
    </row>
    <row r="375" spans="1:7" x14ac:dyDescent="0.2">
      <c r="A375" s="2" t="s">
        <v>4491</v>
      </c>
      <c r="B375" s="2" t="s">
        <v>2458</v>
      </c>
      <c r="C375" s="2">
        <v>615.02009999999996</v>
      </c>
      <c r="D375" s="2">
        <f>HYPERLINK("http://mcb-m6.bioreg.kyushu-u.ac.jp/M3/20110428/F51134/1644/1", 69.04)</f>
        <v>69.040000000000006</v>
      </c>
      <c r="E375" s="2">
        <v>34.26</v>
      </c>
      <c r="F375" s="2">
        <v>2</v>
      </c>
      <c r="G375" s="2" t="s">
        <v>14</v>
      </c>
    </row>
    <row r="376" spans="1:7" x14ac:dyDescent="0.2">
      <c r="A376" s="2" t="s">
        <v>4491</v>
      </c>
      <c r="B376" s="2" t="s">
        <v>2458</v>
      </c>
      <c r="C376" s="2">
        <v>614.67219999999998</v>
      </c>
      <c r="D376" s="2">
        <f>HYPERLINK("http://mcb-m6.bioreg.kyushu-u.ac.jp/M3/20110427/F51119/1835/1", 73.55)</f>
        <v>73.55</v>
      </c>
      <c r="E376" s="2">
        <v>41.23</v>
      </c>
      <c r="F376" s="2">
        <v>2</v>
      </c>
      <c r="G376" s="2" t="s">
        <v>14</v>
      </c>
    </row>
    <row r="377" spans="1:7" x14ac:dyDescent="0.2">
      <c r="A377" s="2" t="s">
        <v>4077</v>
      </c>
      <c r="B377" s="2" t="s">
        <v>1482</v>
      </c>
      <c r="C377" s="2">
        <v>1415.549</v>
      </c>
      <c r="D377" s="2">
        <f>HYPERLINK("http://mcb-m6.bioreg.kyushu-u.ac.jp/M3/20110404/F50752/2004/1", 79.35)</f>
        <v>79.349999999999994</v>
      </c>
      <c r="E377" s="2">
        <v>52.56</v>
      </c>
      <c r="F377" s="2">
        <v>1</v>
      </c>
      <c r="G377" s="2" t="s">
        <v>9</v>
      </c>
    </row>
    <row r="378" spans="1:7" x14ac:dyDescent="0.2">
      <c r="A378" s="2" t="s">
        <v>4077</v>
      </c>
      <c r="B378" s="2" t="s">
        <v>1482</v>
      </c>
      <c r="C378" s="2">
        <v>708.40769999999998</v>
      </c>
      <c r="D378" s="2">
        <f>HYPERLINK("http://mcb-m6.bioreg.kyushu-u.ac.jp/M3/20110404/F50751/1998/1", 87.37)</f>
        <v>87.37</v>
      </c>
      <c r="E378" s="2">
        <v>70.83</v>
      </c>
      <c r="F378" s="2">
        <v>2</v>
      </c>
      <c r="G378" s="2" t="s">
        <v>9</v>
      </c>
    </row>
    <row r="379" spans="1:7" x14ac:dyDescent="0.2">
      <c r="A379" s="2" t="s">
        <v>4077</v>
      </c>
      <c r="B379" s="2" t="s">
        <v>1482</v>
      </c>
      <c r="C379" s="2">
        <v>708.30110000000002</v>
      </c>
      <c r="D379" s="2">
        <f>HYPERLINK("http://mcb-m6.bioreg.kyushu-u.ac.jp/M3/20110404/F50752/2005/1", 94.32)</f>
        <v>94.32</v>
      </c>
      <c r="E379" s="2">
        <v>78.59</v>
      </c>
      <c r="F379" s="2">
        <v>2</v>
      </c>
      <c r="G379" s="2" t="s">
        <v>9</v>
      </c>
    </row>
    <row r="380" spans="1:7" x14ac:dyDescent="0.2">
      <c r="A380" s="2" t="s">
        <v>4077</v>
      </c>
      <c r="B380" s="2" t="s">
        <v>1482</v>
      </c>
      <c r="C380" s="2">
        <v>708.79819999999995</v>
      </c>
      <c r="D380" s="2">
        <f>HYPERLINK("http://mcb-m6.bioreg.kyushu-u.ac.jp/M3/20110404/F50758/1775/1", 69.6)</f>
        <v>69.599999999999994</v>
      </c>
      <c r="E380" s="2">
        <v>57.16</v>
      </c>
      <c r="F380" s="2">
        <v>2</v>
      </c>
      <c r="G380" s="2" t="s">
        <v>10</v>
      </c>
    </row>
    <row r="381" spans="1:7" x14ac:dyDescent="0.2">
      <c r="A381" s="2" t="s">
        <v>4077</v>
      </c>
      <c r="B381" s="2" t="s">
        <v>1482</v>
      </c>
      <c r="C381" s="2">
        <v>708.4402</v>
      </c>
      <c r="D381" s="2">
        <f>HYPERLINK("http://mcb-m6.bioreg.kyushu-u.ac.jp/M3/20110404/F50757/2005/1", 71.69)</f>
        <v>71.69</v>
      </c>
      <c r="E381" s="2">
        <v>57.45</v>
      </c>
      <c r="F381" s="2">
        <v>2</v>
      </c>
      <c r="G381" s="2" t="s">
        <v>10</v>
      </c>
    </row>
    <row r="382" spans="1:7" x14ac:dyDescent="0.2">
      <c r="A382" s="2" t="s">
        <v>4077</v>
      </c>
      <c r="B382" s="2" t="s">
        <v>1482</v>
      </c>
      <c r="C382" s="2">
        <v>1415.548</v>
      </c>
      <c r="D382" s="2">
        <f>HYPERLINK("http://mcb-m6.bioreg.kyushu-u.ac.jp/M3/20110404/F50757/2004/1", 76.56)</f>
        <v>76.56</v>
      </c>
      <c r="E382" s="2">
        <v>54.31</v>
      </c>
      <c r="F382" s="2">
        <v>1</v>
      </c>
      <c r="G382" s="2" t="s">
        <v>10</v>
      </c>
    </row>
    <row r="383" spans="1:7" x14ac:dyDescent="0.2">
      <c r="A383" s="2" t="s">
        <v>4077</v>
      </c>
      <c r="B383" s="2" t="s">
        <v>1482</v>
      </c>
      <c r="C383" s="2">
        <v>708.18020000000001</v>
      </c>
      <c r="D383" s="2">
        <f>HYPERLINK("http://mcb-m6.bioreg.kyushu-u.ac.jp/M3/20110421/F51016/1985/1", 72.36)</f>
        <v>72.36</v>
      </c>
      <c r="E383" s="2">
        <v>60.24</v>
      </c>
      <c r="F383" s="2">
        <v>2</v>
      </c>
      <c r="G383" s="2" t="s">
        <v>11</v>
      </c>
    </row>
    <row r="384" spans="1:7" x14ac:dyDescent="0.2">
      <c r="A384" s="2" t="s">
        <v>4077</v>
      </c>
      <c r="B384" s="2" t="s">
        <v>1482</v>
      </c>
      <c r="C384" s="2">
        <v>707.99159999999995</v>
      </c>
      <c r="D384" s="2">
        <f>HYPERLINK("http://mcb-m6.bioreg.kyushu-u.ac.jp/M3/20110421/F51014/1981/1", 79.45)</f>
        <v>79.45</v>
      </c>
      <c r="E384" s="2">
        <v>63.05</v>
      </c>
      <c r="F384" s="2">
        <v>2</v>
      </c>
      <c r="G384" s="2" t="s">
        <v>11</v>
      </c>
    </row>
    <row r="385" spans="1:7" x14ac:dyDescent="0.2">
      <c r="A385" s="2" t="s">
        <v>4077</v>
      </c>
      <c r="B385" s="2" t="s">
        <v>1482</v>
      </c>
      <c r="C385" s="2">
        <v>708.07119999999998</v>
      </c>
      <c r="D385" s="2">
        <f>HYPERLINK("http://mcb-m6.bioreg.kyushu-u.ac.jp/M3/20110421/F51015/1934/1", 94.49)</f>
        <v>94.49</v>
      </c>
      <c r="E385" s="2">
        <v>78.38</v>
      </c>
      <c r="F385" s="2">
        <v>2</v>
      </c>
      <c r="G385" s="2" t="s">
        <v>11</v>
      </c>
    </row>
    <row r="386" spans="1:7" x14ac:dyDescent="0.2">
      <c r="A386" s="2" t="s">
        <v>4077</v>
      </c>
      <c r="B386" s="2" t="s">
        <v>1482</v>
      </c>
      <c r="C386" s="2">
        <v>708.05820000000006</v>
      </c>
      <c r="D386" s="2">
        <f>HYPERLINK("http://mcb-m6.bioreg.kyushu-u.ac.jp/M3/20110421/F51021/1900/1", 70.02)</f>
        <v>70.02</v>
      </c>
      <c r="E386" s="2">
        <v>54</v>
      </c>
      <c r="F386" s="2">
        <v>2</v>
      </c>
      <c r="G386" s="2" t="s">
        <v>12</v>
      </c>
    </row>
    <row r="387" spans="1:7" x14ac:dyDescent="0.2">
      <c r="A387" s="2" t="s">
        <v>4077</v>
      </c>
      <c r="B387" s="2" t="s">
        <v>1482</v>
      </c>
      <c r="C387" s="2">
        <v>708.76319999999998</v>
      </c>
      <c r="D387" s="2">
        <f>HYPERLINK("http://mcb-m6.bioreg.kyushu-u.ac.jp/M3/20110421/F51022/1956/1", 71.38)</f>
        <v>71.38</v>
      </c>
      <c r="E387" s="2">
        <v>53.18</v>
      </c>
      <c r="F387" s="2">
        <v>2</v>
      </c>
      <c r="G387" s="2" t="s">
        <v>12</v>
      </c>
    </row>
    <row r="388" spans="1:7" x14ac:dyDescent="0.2">
      <c r="A388" s="2" t="s">
        <v>4077</v>
      </c>
      <c r="B388" s="2" t="s">
        <v>1482</v>
      </c>
      <c r="C388" s="2">
        <v>708.57259999999997</v>
      </c>
      <c r="D388" s="2">
        <f>HYPERLINK("http://mcb-m6.bioreg.kyushu-u.ac.jp/M3/20110421/F51061/1779/1", 74.08)</f>
        <v>74.08</v>
      </c>
      <c r="E388" s="2">
        <v>61.11</v>
      </c>
      <c r="F388" s="2">
        <v>2</v>
      </c>
      <c r="G388" s="2" t="s">
        <v>12</v>
      </c>
    </row>
    <row r="389" spans="1:7" x14ac:dyDescent="0.2">
      <c r="A389" s="2" t="s">
        <v>4077</v>
      </c>
      <c r="B389" s="2" t="s">
        <v>1482</v>
      </c>
      <c r="C389" s="2">
        <v>708.24019999999996</v>
      </c>
      <c r="D389" s="2">
        <f>HYPERLINK("http://mcb-m6.bioreg.kyushu-u.ac.jp/M3/20110421/F51022/1955/1", 89.93)</f>
        <v>89.93</v>
      </c>
      <c r="E389" s="2">
        <v>76.83</v>
      </c>
      <c r="F389" s="2">
        <v>2</v>
      </c>
      <c r="G389" s="2" t="s">
        <v>12</v>
      </c>
    </row>
    <row r="390" spans="1:7" x14ac:dyDescent="0.2">
      <c r="A390" s="2" t="s">
        <v>4077</v>
      </c>
      <c r="B390" s="2" t="s">
        <v>1482</v>
      </c>
      <c r="C390" s="2">
        <v>708.02719999999999</v>
      </c>
      <c r="D390" s="2">
        <f>HYPERLINK("http://mcb-m6.bioreg.kyushu-u.ac.jp/M3/20110427/F51110/2041/1", 69.23)</f>
        <v>69.23</v>
      </c>
      <c r="E390" s="2">
        <v>53.93</v>
      </c>
      <c r="F390" s="2">
        <v>2</v>
      </c>
      <c r="G390" s="2" t="s">
        <v>13</v>
      </c>
    </row>
    <row r="391" spans="1:7" x14ac:dyDescent="0.2">
      <c r="A391" s="2" t="s">
        <v>4077</v>
      </c>
      <c r="B391" s="2" t="s">
        <v>1482</v>
      </c>
      <c r="C391" s="2">
        <v>708.65970000000004</v>
      </c>
      <c r="D391" s="2">
        <f>HYPERLINK("http://mcb-m6.bioreg.kyushu-u.ac.jp/M3/20110427/F51109/1986/1", 76.07)</f>
        <v>76.069999999999993</v>
      </c>
      <c r="E391" s="2">
        <v>57.58</v>
      </c>
      <c r="F391" s="2">
        <v>2</v>
      </c>
      <c r="G391" s="2" t="s">
        <v>13</v>
      </c>
    </row>
    <row r="392" spans="1:7" x14ac:dyDescent="0.2">
      <c r="A392" s="2" t="s">
        <v>4077</v>
      </c>
      <c r="B392" s="2" t="s">
        <v>1482</v>
      </c>
      <c r="C392" s="2">
        <v>708.02419999999995</v>
      </c>
      <c r="D392" s="2">
        <f>HYPERLINK("http://mcb-m6.bioreg.kyushu-u.ac.jp/M3/20110427/F51108/1928/1", 83.97)</f>
        <v>83.97</v>
      </c>
      <c r="E392" s="2">
        <v>60.63</v>
      </c>
      <c r="F392" s="2">
        <v>2</v>
      </c>
      <c r="G392" s="2" t="s">
        <v>13</v>
      </c>
    </row>
    <row r="393" spans="1:7" x14ac:dyDescent="0.2">
      <c r="A393" s="2" t="s">
        <v>4077</v>
      </c>
      <c r="B393" s="2" t="s">
        <v>1482</v>
      </c>
      <c r="C393" s="2">
        <v>708.14919999999995</v>
      </c>
      <c r="D393" s="2">
        <f>HYPERLINK("http://mcb-m6.bioreg.kyushu-u.ac.jp/M3/20110427/F51109/1985/1", 84.5)</f>
        <v>84.5</v>
      </c>
      <c r="E393" s="2">
        <v>69.61</v>
      </c>
      <c r="F393" s="2">
        <v>2</v>
      </c>
      <c r="G393" s="2" t="s">
        <v>13</v>
      </c>
    </row>
    <row r="394" spans="1:7" x14ac:dyDescent="0.2">
      <c r="A394" s="2" t="s">
        <v>4077</v>
      </c>
      <c r="B394" s="2" t="s">
        <v>1482</v>
      </c>
      <c r="C394" s="2">
        <v>708.68470000000002</v>
      </c>
      <c r="D394" s="2">
        <f>HYPERLINK("http://mcb-m6.bioreg.kyushu-u.ac.jp/M3/20110428/F51134/1863/1", 73.94)</f>
        <v>73.94</v>
      </c>
      <c r="E394" s="2">
        <v>61.74</v>
      </c>
      <c r="F394" s="2">
        <v>2</v>
      </c>
      <c r="G394" s="2" t="s">
        <v>14</v>
      </c>
    </row>
    <row r="395" spans="1:7" x14ac:dyDescent="0.2">
      <c r="A395" s="2" t="s">
        <v>4077</v>
      </c>
      <c r="B395" s="2" t="s">
        <v>1482</v>
      </c>
      <c r="C395" s="2">
        <v>708.16060000000004</v>
      </c>
      <c r="D395" s="2">
        <f>HYPERLINK("http://mcb-m6.bioreg.kyushu-u.ac.jp/M3/20110427/F51119/2027/1", 79.27)</f>
        <v>79.27</v>
      </c>
      <c r="E395" s="2">
        <v>66.62</v>
      </c>
      <c r="F395" s="2">
        <v>2</v>
      </c>
      <c r="G395" s="2" t="s">
        <v>14</v>
      </c>
    </row>
    <row r="396" spans="1:7" x14ac:dyDescent="0.2">
      <c r="A396" s="2" t="s">
        <v>3902</v>
      </c>
      <c r="B396" s="2" t="s">
        <v>1059</v>
      </c>
      <c r="C396" s="2">
        <v>1260.521</v>
      </c>
      <c r="D396" s="2">
        <f>HYPERLINK("http://mcb-m6.bioreg.kyushu-u.ac.jp/M3/20110404/F50752/1766/1", 35.51)</f>
        <v>35.51</v>
      </c>
      <c r="E396" s="2">
        <v>23.97</v>
      </c>
      <c r="F396" s="2">
        <v>1</v>
      </c>
      <c r="G396" s="2" t="s">
        <v>9</v>
      </c>
    </row>
    <row r="397" spans="1:7" x14ac:dyDescent="0.2">
      <c r="A397" s="2" t="s">
        <v>3902</v>
      </c>
      <c r="B397" s="2" t="s">
        <v>1059</v>
      </c>
      <c r="C397" s="2">
        <v>630.8972</v>
      </c>
      <c r="D397" s="2">
        <f>HYPERLINK("http://mcb-m6.bioreg.kyushu-u.ac.jp/M3/20110404/F50752/1770/1", 69.15)</f>
        <v>69.150000000000006</v>
      </c>
      <c r="E397" s="2">
        <v>55.87</v>
      </c>
      <c r="F397" s="2">
        <v>2</v>
      </c>
      <c r="G397" s="2" t="s">
        <v>9</v>
      </c>
    </row>
    <row r="398" spans="1:7" x14ac:dyDescent="0.2">
      <c r="A398" s="2" t="s">
        <v>3902</v>
      </c>
      <c r="B398" s="2" t="s">
        <v>1059</v>
      </c>
      <c r="C398" s="2">
        <v>630.9117</v>
      </c>
      <c r="D398" s="2">
        <f>HYPERLINK("http://mcb-m6.bioreg.kyushu-u.ac.jp/M3/20110404/F50751/1769/1", 69.34)</f>
        <v>69.34</v>
      </c>
      <c r="E398" s="2">
        <v>49.96</v>
      </c>
      <c r="F398" s="2">
        <v>2</v>
      </c>
      <c r="G398" s="2" t="s">
        <v>9</v>
      </c>
    </row>
    <row r="399" spans="1:7" x14ac:dyDescent="0.2">
      <c r="A399" s="2" t="s">
        <v>3902</v>
      </c>
      <c r="B399" s="2" t="s">
        <v>1059</v>
      </c>
      <c r="C399" s="2">
        <v>1260.5070000000001</v>
      </c>
      <c r="D399" s="2">
        <f>HYPERLINK("http://mcb-m6.bioreg.kyushu-u.ac.jp/M3/20110404/F50757/1822/1", 38.66)</f>
        <v>38.659999999999997</v>
      </c>
      <c r="E399" s="2">
        <v>29.02</v>
      </c>
      <c r="F399" s="2">
        <v>1</v>
      </c>
      <c r="G399" s="2" t="s">
        <v>10</v>
      </c>
    </row>
    <row r="400" spans="1:7" x14ac:dyDescent="0.2">
      <c r="A400" s="2" t="s">
        <v>3902</v>
      </c>
      <c r="B400" s="2" t="s">
        <v>1059</v>
      </c>
      <c r="C400" s="2">
        <v>630.73860000000002</v>
      </c>
      <c r="D400" s="2">
        <f>HYPERLINK("http://mcb-m6.bioreg.kyushu-u.ac.jp/M3/20110404/F50757/1821/1", 69.12)</f>
        <v>69.12</v>
      </c>
      <c r="E400" s="2">
        <v>54.27</v>
      </c>
      <c r="F400" s="2">
        <v>2</v>
      </c>
      <c r="G400" s="2" t="s">
        <v>10</v>
      </c>
    </row>
    <row r="401" spans="1:9" x14ac:dyDescent="0.2">
      <c r="A401" s="2" t="s">
        <v>3902</v>
      </c>
      <c r="B401" s="2" t="s">
        <v>1059</v>
      </c>
      <c r="C401" s="2">
        <v>630.60109999999997</v>
      </c>
      <c r="D401" s="2">
        <f>HYPERLINK("http://mcb-m6.bioreg.kyushu-u.ac.jp/M3/20110421/F51014/1690/1", 58.22)</f>
        <v>58.22</v>
      </c>
      <c r="E401" s="2">
        <v>37.17</v>
      </c>
      <c r="F401" s="2">
        <v>2</v>
      </c>
      <c r="G401" s="2" t="s">
        <v>11</v>
      </c>
    </row>
    <row r="402" spans="1:9" x14ac:dyDescent="0.2">
      <c r="A402" s="2" t="s">
        <v>3902</v>
      </c>
      <c r="B402" s="2" t="s">
        <v>1059</v>
      </c>
      <c r="C402" s="2">
        <v>630.63670000000002</v>
      </c>
      <c r="D402" s="2">
        <f>HYPERLINK("http://mcb-m6.bioreg.kyushu-u.ac.jp/M3/20110421/F51021/1468/1", 42.32)</f>
        <v>42.32</v>
      </c>
      <c r="E402" s="2">
        <v>23.16</v>
      </c>
      <c r="F402" s="2">
        <v>2</v>
      </c>
      <c r="G402" s="2" t="s">
        <v>12</v>
      </c>
    </row>
    <row r="403" spans="1:9" x14ac:dyDescent="0.2">
      <c r="A403" s="2" t="s">
        <v>3902</v>
      </c>
      <c r="B403" s="2" t="s">
        <v>1059</v>
      </c>
      <c r="C403" s="2">
        <v>630.71770000000004</v>
      </c>
      <c r="D403" s="2">
        <f>HYPERLINK("http://mcb-m6.bioreg.kyushu-u.ac.jp/M3/20110421/F51022/1824/1", 69.15)</f>
        <v>69.150000000000006</v>
      </c>
      <c r="E403" s="2">
        <v>53.39</v>
      </c>
      <c r="F403" s="2">
        <v>2</v>
      </c>
      <c r="G403" s="2" t="s">
        <v>12</v>
      </c>
    </row>
    <row r="404" spans="1:9" x14ac:dyDescent="0.2">
      <c r="A404" s="2" t="s">
        <v>3902</v>
      </c>
      <c r="B404" s="2" t="s">
        <v>1059</v>
      </c>
      <c r="C404" s="2">
        <v>630.88319999999999</v>
      </c>
      <c r="D404" s="2">
        <f>HYPERLINK("http://mcb-m6.bioreg.kyushu-u.ac.jp/M3/20110421/F51061/1455/1", 69.22)</f>
        <v>69.22</v>
      </c>
      <c r="E404" s="2">
        <v>52.48</v>
      </c>
      <c r="F404" s="2">
        <v>2</v>
      </c>
      <c r="G404" s="2" t="s">
        <v>12</v>
      </c>
    </row>
    <row r="405" spans="1:9" x14ac:dyDescent="0.2">
      <c r="A405" s="2" t="s">
        <v>3902</v>
      </c>
      <c r="B405" s="2" t="s">
        <v>1059</v>
      </c>
      <c r="C405" s="2">
        <v>630.70069999999998</v>
      </c>
      <c r="D405" s="2">
        <f>HYPERLINK("http://mcb-m6.bioreg.kyushu-u.ac.jp/M3/20110427/F51110/1804/1", 52.57)</f>
        <v>52.57</v>
      </c>
      <c r="E405" s="2">
        <v>35.590000000000003</v>
      </c>
      <c r="F405" s="2">
        <v>2</v>
      </c>
      <c r="G405" s="2" t="s">
        <v>13</v>
      </c>
    </row>
    <row r="406" spans="1:9" x14ac:dyDescent="0.2">
      <c r="A406" s="2" t="s">
        <v>3902</v>
      </c>
      <c r="B406" s="2" t="s">
        <v>1059</v>
      </c>
      <c r="C406" s="2">
        <v>631.11270000000002</v>
      </c>
      <c r="D406" s="2">
        <f>HYPERLINK("http://mcb-m6.bioreg.kyushu-u.ac.jp/M3/20110427/F51110/1805/1", 54.2)</f>
        <v>54.2</v>
      </c>
      <c r="E406" s="2">
        <v>36.82</v>
      </c>
      <c r="F406" s="2">
        <v>2</v>
      </c>
      <c r="G406" s="2" t="s">
        <v>13</v>
      </c>
    </row>
    <row r="407" spans="1:9" x14ac:dyDescent="0.2">
      <c r="A407" s="2" t="s">
        <v>3902</v>
      </c>
      <c r="B407" s="2" t="s">
        <v>1059</v>
      </c>
      <c r="C407" s="2">
        <v>631.26869999999997</v>
      </c>
      <c r="D407" s="2">
        <f>HYPERLINK("http://mcb-m6.bioreg.kyushu-u.ac.jp/M3/20110427/F51110/1807/1", 59.62)</f>
        <v>59.62</v>
      </c>
      <c r="E407" s="2">
        <v>44.74</v>
      </c>
      <c r="F407" s="2">
        <v>2</v>
      </c>
      <c r="G407" s="2" t="s">
        <v>13</v>
      </c>
    </row>
    <row r="408" spans="1:9" x14ac:dyDescent="0.2">
      <c r="A408" s="2" t="s">
        <v>3902</v>
      </c>
      <c r="B408" s="2" t="s">
        <v>1059</v>
      </c>
      <c r="C408" s="2">
        <v>630.57169999999996</v>
      </c>
      <c r="D408" s="2">
        <f>HYPERLINK("http://mcb-m6.bioreg.kyushu-u.ac.jp/M3/20110427/F51118/1744/1", 52.7)</f>
        <v>52.7</v>
      </c>
      <c r="E408" s="2">
        <v>38.86</v>
      </c>
      <c r="F408" s="2">
        <v>2</v>
      </c>
      <c r="G408" s="2" t="s">
        <v>14</v>
      </c>
    </row>
    <row r="409" spans="1:9" x14ac:dyDescent="0.2">
      <c r="A409" s="2" t="s">
        <v>3902</v>
      </c>
      <c r="B409" s="2" t="s">
        <v>1059</v>
      </c>
      <c r="C409" s="2">
        <v>631.17970000000003</v>
      </c>
      <c r="D409" s="2">
        <f>HYPERLINK("http://mcb-m6.bioreg.kyushu-u.ac.jp/M3/20110428/F51134/1674/1", 61)</f>
        <v>61</v>
      </c>
      <c r="E409" s="2">
        <v>46.92</v>
      </c>
      <c r="F409" s="2">
        <v>2</v>
      </c>
      <c r="G409" s="2" t="s">
        <v>14</v>
      </c>
    </row>
    <row r="410" spans="1:9" x14ac:dyDescent="0.2">
      <c r="A410" s="2" t="s">
        <v>3902</v>
      </c>
      <c r="B410" s="2" t="s">
        <v>1059</v>
      </c>
      <c r="C410" s="2">
        <v>631.05769999999995</v>
      </c>
      <c r="D410" s="2">
        <f>HYPERLINK("http://mcb-m6.bioreg.kyushu-u.ac.jp/M3/20110427/F51119/1875/1", 64.6)</f>
        <v>64.599999999999994</v>
      </c>
      <c r="E410" s="2">
        <v>50.62</v>
      </c>
      <c r="F410" s="2">
        <v>2</v>
      </c>
      <c r="G410" s="2" t="s">
        <v>14</v>
      </c>
    </row>
    <row r="411" spans="1:9" x14ac:dyDescent="0.2">
      <c r="A411" s="2" t="s">
        <v>8087</v>
      </c>
      <c r="B411" s="2" t="s">
        <v>7422</v>
      </c>
      <c r="C411" s="2">
        <v>788.10879999999997</v>
      </c>
      <c r="D411" s="2">
        <f>HYPERLINK("http://mcb-m6.bioreg.kyushu-u.ac.jp/M3/20110427/F51110/3200/1", 68.8)</f>
        <v>68.8</v>
      </c>
      <c r="E411" s="2">
        <v>48.29</v>
      </c>
      <c r="F411" s="2">
        <v>3</v>
      </c>
      <c r="G411" s="2" t="s">
        <v>13</v>
      </c>
      <c r="I411" s="2" t="s">
        <v>4905</v>
      </c>
    </row>
    <row r="412" spans="1:9" x14ac:dyDescent="0.2">
      <c r="A412" s="2" t="s">
        <v>8087</v>
      </c>
      <c r="B412" s="2" t="s">
        <v>7422</v>
      </c>
      <c r="C412" s="2">
        <v>1181.7460000000001</v>
      </c>
      <c r="D412" s="2">
        <f>HYPERLINK("http://mcb-m6.bioreg.kyushu-u.ac.jp/M3/20110427/F51109/2868/1", 101.46)</f>
        <v>101.46</v>
      </c>
      <c r="E412" s="2">
        <v>84.76</v>
      </c>
      <c r="F412" s="2">
        <v>2</v>
      </c>
      <c r="G412" s="2" t="s">
        <v>13</v>
      </c>
      <c r="I412" s="2" t="s">
        <v>4905</v>
      </c>
    </row>
    <row r="413" spans="1:9" x14ac:dyDescent="0.2">
      <c r="A413" s="2" t="s">
        <v>8087</v>
      </c>
      <c r="B413" s="2" t="s">
        <v>7422</v>
      </c>
      <c r="C413" s="2">
        <v>1181.425</v>
      </c>
      <c r="D413" s="2">
        <f>HYPERLINK("http://mcb-m6.bioreg.kyushu-u.ac.jp/M3/20110427/F51110/3199/1", 117.88)</f>
        <v>117.88</v>
      </c>
      <c r="E413" s="2">
        <v>101.65</v>
      </c>
      <c r="F413" s="2">
        <v>2</v>
      </c>
      <c r="G413" s="2" t="s">
        <v>13</v>
      </c>
      <c r="I413" s="2" t="s">
        <v>4905</v>
      </c>
    </row>
    <row r="414" spans="1:9" x14ac:dyDescent="0.2">
      <c r="A414" s="2" t="s">
        <v>8087</v>
      </c>
      <c r="B414" s="2" t="s">
        <v>7422</v>
      </c>
      <c r="C414" s="2">
        <v>1181.691</v>
      </c>
      <c r="D414" s="2">
        <f>HYPERLINK("http://mcb-m6.bioreg.kyushu-u.ac.jp/M3/20110427/F51119/2740/1", 110.21)</f>
        <v>110.21</v>
      </c>
      <c r="E414" s="2">
        <v>92.16</v>
      </c>
      <c r="F414" s="2">
        <v>2</v>
      </c>
      <c r="G414" s="2" t="s">
        <v>14</v>
      </c>
      <c r="I414" s="2" t="s">
        <v>4905</v>
      </c>
    </row>
    <row r="415" spans="1:9" x14ac:dyDescent="0.2">
      <c r="A415" s="2" t="s">
        <v>3603</v>
      </c>
      <c r="B415" s="2" t="s">
        <v>495</v>
      </c>
      <c r="C415" s="2">
        <v>566.26170000000002</v>
      </c>
      <c r="D415" s="2">
        <f>HYPERLINK("http://mcb-m6.bioreg.kyushu-u.ac.jp/M3/20110404/F50756/1210/1", 43.76)</f>
        <v>43.76</v>
      </c>
      <c r="E415" s="2">
        <v>25.3</v>
      </c>
      <c r="F415" s="2">
        <v>2</v>
      </c>
      <c r="G415" s="2" t="s">
        <v>9</v>
      </c>
    </row>
    <row r="416" spans="1:9" x14ac:dyDescent="0.2">
      <c r="A416" s="2" t="s">
        <v>3603</v>
      </c>
      <c r="B416" s="2" t="s">
        <v>3109</v>
      </c>
      <c r="C416" s="2">
        <v>572.29719999999998</v>
      </c>
      <c r="D416" s="2">
        <f>HYPERLINK("http://mcb-m6.bioreg.kyushu-u.ac.jp/M3/20110404/F50762/1228/1", 48.81)</f>
        <v>48.81</v>
      </c>
      <c r="E416" s="2">
        <v>34.78</v>
      </c>
      <c r="F416" s="2">
        <v>2</v>
      </c>
      <c r="G416" s="2" t="s">
        <v>9</v>
      </c>
    </row>
    <row r="417" spans="1:7" x14ac:dyDescent="0.2">
      <c r="A417" s="2" t="s">
        <v>3603</v>
      </c>
      <c r="B417" s="2" t="s">
        <v>495</v>
      </c>
      <c r="C417" s="2">
        <v>565.83219999999994</v>
      </c>
      <c r="D417" s="2">
        <f>HYPERLINK("http://mcb-m6.bioreg.kyushu-u.ac.jp/M3/20110404/F50762/1194/1", 50.74)</f>
        <v>50.74</v>
      </c>
      <c r="E417" s="2">
        <v>27.57</v>
      </c>
      <c r="F417" s="2">
        <v>2</v>
      </c>
      <c r="G417" s="2" t="s">
        <v>9</v>
      </c>
    </row>
    <row r="418" spans="1:7" x14ac:dyDescent="0.2">
      <c r="A418" s="2" t="s">
        <v>3603</v>
      </c>
      <c r="B418" s="2" t="s">
        <v>495</v>
      </c>
      <c r="C418" s="2">
        <v>565.83119999999997</v>
      </c>
      <c r="D418" s="2">
        <f>HYPERLINK("http://mcb-m6.bioreg.kyushu-u.ac.jp/M3/20110404/F50768/1275/1", 42.76)</f>
        <v>42.76</v>
      </c>
      <c r="E418" s="2">
        <v>17.350000000000001</v>
      </c>
      <c r="F418" s="2">
        <v>2</v>
      </c>
      <c r="G418" s="2" t="s">
        <v>10</v>
      </c>
    </row>
    <row r="419" spans="1:7" x14ac:dyDescent="0.2">
      <c r="A419" s="2" t="s">
        <v>3603</v>
      </c>
      <c r="B419" s="2" t="s">
        <v>495</v>
      </c>
      <c r="C419" s="2">
        <v>566.26760000000002</v>
      </c>
      <c r="D419" s="2">
        <f>HYPERLINK("http://mcb-m6.bioreg.kyushu-u.ac.jp/M3/20110404/F50761/1180/1", 51.08)</f>
        <v>51.08</v>
      </c>
      <c r="E419" s="2">
        <v>25.83</v>
      </c>
      <c r="F419" s="2">
        <v>2</v>
      </c>
      <c r="G419" s="2" t="s">
        <v>10</v>
      </c>
    </row>
    <row r="420" spans="1:7" x14ac:dyDescent="0.2">
      <c r="A420" s="2" t="s">
        <v>3603</v>
      </c>
      <c r="B420" s="2" t="s">
        <v>495</v>
      </c>
      <c r="C420" s="2">
        <v>565.80719999999997</v>
      </c>
      <c r="D420" s="2">
        <f>HYPERLINK("http://mcb-m6.bioreg.kyushu-u.ac.jp/M3/20110404/F50768/1274/1", 61.14)</f>
        <v>61.14</v>
      </c>
      <c r="E420" s="2">
        <v>38.85</v>
      </c>
      <c r="F420" s="2">
        <v>2</v>
      </c>
      <c r="G420" s="2" t="s">
        <v>10</v>
      </c>
    </row>
    <row r="421" spans="1:7" x14ac:dyDescent="0.2">
      <c r="A421" s="2" t="s">
        <v>3603</v>
      </c>
      <c r="B421" s="2" t="s">
        <v>3109</v>
      </c>
      <c r="C421" s="2">
        <v>572.26459999999997</v>
      </c>
      <c r="D421" s="2">
        <f>HYPERLINK("http://mcb-m6.bioreg.kyushu-u.ac.jp/M3/20110404/F50768/1290/1", 79.5)</f>
        <v>79.5</v>
      </c>
      <c r="E421" s="2">
        <v>61.74</v>
      </c>
      <c r="F421" s="2">
        <v>2</v>
      </c>
      <c r="G421" s="2" t="s">
        <v>10</v>
      </c>
    </row>
    <row r="422" spans="1:7" x14ac:dyDescent="0.2">
      <c r="A422" s="2" t="s">
        <v>3603</v>
      </c>
      <c r="B422" s="2" t="s">
        <v>495</v>
      </c>
      <c r="C422" s="2">
        <v>566.31119999999999</v>
      </c>
      <c r="D422" s="2">
        <f>HYPERLINK("http://mcb-m6.bioreg.kyushu-u.ac.jp/M3/20110421/F51035/1063/1", 38.33)</f>
        <v>38.33</v>
      </c>
      <c r="E422" s="2">
        <v>21.04</v>
      </c>
      <c r="F422" s="2">
        <v>2</v>
      </c>
      <c r="G422" s="2" t="s">
        <v>11</v>
      </c>
    </row>
    <row r="423" spans="1:7" x14ac:dyDescent="0.2">
      <c r="A423" s="2" t="s">
        <v>3603</v>
      </c>
      <c r="B423" s="2" t="s">
        <v>495</v>
      </c>
      <c r="C423" s="2">
        <v>566.0231</v>
      </c>
      <c r="D423" s="2">
        <f>HYPERLINK("http://mcb-m6.bioreg.kyushu-u.ac.jp/M3/20110421/F51034/1178/1", 55.2)</f>
        <v>55.2</v>
      </c>
      <c r="E423" s="2">
        <v>33.14</v>
      </c>
      <c r="F423" s="2">
        <v>2</v>
      </c>
      <c r="G423" s="2" t="s">
        <v>11</v>
      </c>
    </row>
    <row r="424" spans="1:7" x14ac:dyDescent="0.2">
      <c r="A424" s="2" t="s">
        <v>3603</v>
      </c>
      <c r="B424" s="2" t="s">
        <v>495</v>
      </c>
      <c r="C424" s="2">
        <v>566.04970000000003</v>
      </c>
      <c r="D424" s="2">
        <f>HYPERLINK("http://mcb-m6.bioreg.kyushu-u.ac.jp/M3/20110428/F51127/1035/1", 38.98)</f>
        <v>38.979999999999997</v>
      </c>
      <c r="E424" s="2">
        <v>11.72</v>
      </c>
      <c r="F424" s="2">
        <v>2</v>
      </c>
      <c r="G424" s="2" t="s">
        <v>13</v>
      </c>
    </row>
    <row r="425" spans="1:7" x14ac:dyDescent="0.2">
      <c r="A425" s="2" t="s">
        <v>3603</v>
      </c>
      <c r="B425" s="2" t="s">
        <v>495</v>
      </c>
      <c r="C425" s="2">
        <v>565.67319999999995</v>
      </c>
      <c r="D425" s="2">
        <f>HYPERLINK("http://mcb-m6.bioreg.kyushu-u.ac.jp/M3/20110427/F51114/1212/1", 41.87)</f>
        <v>41.87</v>
      </c>
      <c r="E425" s="2">
        <v>14.5</v>
      </c>
      <c r="F425" s="2">
        <v>2</v>
      </c>
      <c r="G425" s="2" t="s">
        <v>13</v>
      </c>
    </row>
    <row r="426" spans="1:7" x14ac:dyDescent="0.2">
      <c r="A426" s="2" t="s">
        <v>3603</v>
      </c>
      <c r="B426" s="2" t="s">
        <v>495</v>
      </c>
      <c r="C426" s="2">
        <v>566.20669999999996</v>
      </c>
      <c r="D426" s="2">
        <f>HYPERLINK("http://mcb-m6.bioreg.kyushu-u.ac.jp/M3/20110427/F51114/1215/1", 56.63)</f>
        <v>56.63</v>
      </c>
      <c r="E426" s="2">
        <v>34.04</v>
      </c>
      <c r="F426" s="2">
        <v>2</v>
      </c>
      <c r="G426" s="2" t="s">
        <v>13</v>
      </c>
    </row>
    <row r="427" spans="1:7" x14ac:dyDescent="0.2">
      <c r="A427" s="2" t="s">
        <v>3603</v>
      </c>
      <c r="B427" s="2" t="s">
        <v>495</v>
      </c>
      <c r="C427" s="2">
        <v>566.17070000000001</v>
      </c>
      <c r="D427" s="2">
        <f>HYPERLINK("http://mcb-m6.bioreg.kyushu-u.ac.jp/M3/20110427/F51123/1284/1", 43.82)</f>
        <v>43.82</v>
      </c>
      <c r="E427" s="2">
        <v>26.18</v>
      </c>
      <c r="F427" s="2">
        <v>2</v>
      </c>
      <c r="G427" s="2" t="s">
        <v>14</v>
      </c>
    </row>
    <row r="428" spans="1:7" x14ac:dyDescent="0.2">
      <c r="A428" s="2" t="s">
        <v>3603</v>
      </c>
      <c r="B428" s="2" t="s">
        <v>3109</v>
      </c>
      <c r="C428" s="2">
        <v>572.10419999999999</v>
      </c>
      <c r="D428" s="2">
        <f>HYPERLINK("http://mcb-m6.bioreg.kyushu-u.ac.jp/M3/20110427/F51123/1312/1", 64.64)</f>
        <v>64.64</v>
      </c>
      <c r="E428" s="2">
        <v>43.96</v>
      </c>
      <c r="F428" s="2">
        <v>2</v>
      </c>
      <c r="G428" s="2" t="s">
        <v>14</v>
      </c>
    </row>
    <row r="429" spans="1:7" x14ac:dyDescent="0.2">
      <c r="A429" s="2" t="s">
        <v>3603</v>
      </c>
      <c r="B429" s="2" t="s">
        <v>495</v>
      </c>
      <c r="C429" s="2">
        <v>565.66420000000005</v>
      </c>
      <c r="D429" s="2">
        <f>HYPERLINK("http://mcb-m6.bioreg.kyushu-u.ac.jp/M3/20110427/F51123/1281/1", 71.39)</f>
        <v>71.39</v>
      </c>
      <c r="E429" s="2">
        <v>39.869999999999997</v>
      </c>
      <c r="F429" s="2">
        <v>2</v>
      </c>
      <c r="G429" s="2" t="s">
        <v>14</v>
      </c>
    </row>
    <row r="430" spans="1:7" x14ac:dyDescent="0.2">
      <c r="A430" s="2" t="s">
        <v>5711</v>
      </c>
      <c r="B430" s="2" t="s">
        <v>5255</v>
      </c>
      <c r="C430" s="2">
        <v>615.14369999999997</v>
      </c>
      <c r="D430" s="2">
        <f>HYPERLINK("http://mcb-m6.bioreg.kyushu-u.ac.jp/M3/20110404/F50762/1381/1", 56.55)</f>
        <v>56.55</v>
      </c>
      <c r="E430" s="2">
        <v>41.05</v>
      </c>
      <c r="F430" s="2">
        <v>2</v>
      </c>
      <c r="G430" s="2" t="s">
        <v>9</v>
      </c>
    </row>
    <row r="431" spans="1:7" x14ac:dyDescent="0.2">
      <c r="A431" s="2" t="s">
        <v>5711</v>
      </c>
      <c r="B431" s="2" t="s">
        <v>5255</v>
      </c>
      <c r="C431" s="2">
        <v>615.2441</v>
      </c>
      <c r="D431" s="2">
        <f>HYPERLINK("http://mcb-m6.bioreg.kyushu-u.ac.jp/M3/20110404/F50768/1442/1", 67.58)</f>
        <v>67.58</v>
      </c>
      <c r="E431" s="2">
        <v>48.21</v>
      </c>
      <c r="F431" s="2">
        <v>2</v>
      </c>
      <c r="G431" s="2" t="s">
        <v>10</v>
      </c>
    </row>
    <row r="432" spans="1:7" x14ac:dyDescent="0.2">
      <c r="A432" s="2" t="s">
        <v>5711</v>
      </c>
      <c r="B432" s="2" t="s">
        <v>5255</v>
      </c>
      <c r="C432" s="2">
        <v>615.17909999999995</v>
      </c>
      <c r="D432" s="2">
        <f>HYPERLINK("http://mcb-m6.bioreg.kyushu-u.ac.jp/M3/20110427/F51114/1442/1", 56.58)</f>
        <v>56.58</v>
      </c>
      <c r="E432" s="2">
        <v>40.56</v>
      </c>
      <c r="F432" s="2">
        <v>2</v>
      </c>
      <c r="G432" s="2" t="s">
        <v>13</v>
      </c>
    </row>
    <row r="433" spans="1:9" x14ac:dyDescent="0.2">
      <c r="A433" s="2" t="s">
        <v>3425</v>
      </c>
      <c r="B433" s="2" t="s">
        <v>230</v>
      </c>
      <c r="C433" s="2">
        <v>514.79359999999997</v>
      </c>
      <c r="D433" s="2">
        <f>HYPERLINK("http://mcb-m6.bioreg.kyushu-u.ac.jp/M3/20110421/F51034/975/1", 44.92)</f>
        <v>44.92</v>
      </c>
      <c r="E433" s="2">
        <v>21.03</v>
      </c>
      <c r="F433" s="2">
        <v>2</v>
      </c>
      <c r="G433" s="2" t="s">
        <v>11</v>
      </c>
      <c r="I433" s="2" t="s">
        <v>4898</v>
      </c>
    </row>
    <row r="434" spans="1:9" x14ac:dyDescent="0.2">
      <c r="A434" s="2" t="s">
        <v>3425</v>
      </c>
      <c r="B434" s="2" t="s">
        <v>230</v>
      </c>
      <c r="C434" s="2">
        <v>515.1481</v>
      </c>
      <c r="D434" s="2">
        <f>HYPERLINK("http://mcb-m6.bioreg.kyushu-u.ac.jp/M3/20110427/F51114/987/1", 41.47)</f>
        <v>41.47</v>
      </c>
      <c r="E434" s="2">
        <v>10.83</v>
      </c>
      <c r="F434" s="2">
        <v>2</v>
      </c>
      <c r="G434" s="2" t="s">
        <v>13</v>
      </c>
      <c r="I434" s="2" t="s">
        <v>4898</v>
      </c>
    </row>
    <row r="435" spans="1:9" x14ac:dyDescent="0.2">
      <c r="A435" s="2" t="s">
        <v>3425</v>
      </c>
      <c r="B435" s="2" t="s">
        <v>230</v>
      </c>
      <c r="C435" s="2">
        <v>514.64620000000002</v>
      </c>
      <c r="D435" s="2">
        <f>HYPERLINK("http://mcb-m6.bioreg.kyushu-u.ac.jp/M3/20110427/F51114/980/1", 57.32)</f>
        <v>57.32</v>
      </c>
      <c r="E435" s="2">
        <v>33.17</v>
      </c>
      <c r="F435" s="2">
        <v>2</v>
      </c>
      <c r="G435" s="2" t="s">
        <v>13</v>
      </c>
      <c r="I435" s="2" t="s">
        <v>4898</v>
      </c>
    </row>
    <row r="436" spans="1:9" x14ac:dyDescent="0.2">
      <c r="A436" s="2" t="s">
        <v>5674</v>
      </c>
      <c r="B436" s="2" t="s">
        <v>5163</v>
      </c>
      <c r="C436" s="2">
        <v>980.30520000000001</v>
      </c>
      <c r="D436" s="2">
        <f>HYPERLINK("http://mcb-m6.bioreg.kyushu-u.ac.jp/M3/20110404/F50762/2530/1", 42.77)</f>
        <v>42.77</v>
      </c>
      <c r="E436" s="2">
        <v>22.63</v>
      </c>
      <c r="F436" s="2">
        <v>2</v>
      </c>
      <c r="G436" s="2" t="s">
        <v>9</v>
      </c>
    </row>
    <row r="437" spans="1:9" x14ac:dyDescent="0.2">
      <c r="A437" s="2" t="s">
        <v>3965</v>
      </c>
      <c r="B437" s="2" t="s">
        <v>1188</v>
      </c>
      <c r="C437" s="2">
        <v>816.55359999999996</v>
      </c>
      <c r="D437" s="2">
        <f>HYPERLINK("http://mcb-m6.bioreg.kyushu-u.ac.jp/M3/20110404/F50762/2053/1", 53.51)</f>
        <v>53.51</v>
      </c>
      <c r="E437" s="2">
        <v>39.520000000000003</v>
      </c>
      <c r="F437" s="2">
        <v>2</v>
      </c>
      <c r="G437" s="2" t="s">
        <v>9</v>
      </c>
      <c r="H437" s="2" t="s">
        <v>4927</v>
      </c>
    </row>
    <row r="438" spans="1:9" x14ac:dyDescent="0.2">
      <c r="A438" s="2" t="s">
        <v>3965</v>
      </c>
      <c r="B438" s="2" t="s">
        <v>1188</v>
      </c>
      <c r="C438" s="2">
        <v>816.77620000000002</v>
      </c>
      <c r="D438" s="2">
        <f>HYPERLINK("http://mcb-m6.bioreg.kyushu-u.ac.jp/M3/20110404/F50768/2169/1", 73.78)</f>
        <v>73.78</v>
      </c>
      <c r="E438" s="2">
        <v>58.59</v>
      </c>
      <c r="F438" s="2">
        <v>2</v>
      </c>
      <c r="G438" s="2" t="s">
        <v>10</v>
      </c>
      <c r="H438" s="2" t="s">
        <v>4927</v>
      </c>
    </row>
    <row r="439" spans="1:9" x14ac:dyDescent="0.2">
      <c r="A439" s="2" t="s">
        <v>3965</v>
      </c>
      <c r="B439" s="2" t="s">
        <v>1188</v>
      </c>
      <c r="C439" s="2">
        <v>808.19460000000004</v>
      </c>
      <c r="D439" s="2">
        <f>HYPERLINK("http://mcb-m6.bioreg.kyushu-u.ac.jp/M3/20110404/F50768/2139/1", 90.24)</f>
        <v>90.24</v>
      </c>
      <c r="E439" s="2">
        <v>77.42</v>
      </c>
      <c r="F439" s="2">
        <v>2</v>
      </c>
      <c r="G439" s="2" t="s">
        <v>10</v>
      </c>
    </row>
    <row r="440" spans="1:9" x14ac:dyDescent="0.2">
      <c r="A440" s="2" t="s">
        <v>3965</v>
      </c>
      <c r="B440" s="2" t="s">
        <v>1188</v>
      </c>
      <c r="C440" s="2">
        <v>816.7817</v>
      </c>
      <c r="D440" s="2">
        <f>HYPERLINK("http://mcb-m6.bioreg.kyushu-u.ac.jp/M3/20110421/F51034/2402/1", 37.75)</f>
        <v>37.75</v>
      </c>
      <c r="E440" s="2">
        <v>22.87</v>
      </c>
      <c r="F440" s="2">
        <v>2</v>
      </c>
      <c r="G440" s="2" t="s">
        <v>11</v>
      </c>
      <c r="H440" s="2" t="s">
        <v>4927</v>
      </c>
    </row>
    <row r="441" spans="1:9" x14ac:dyDescent="0.2">
      <c r="A441" s="2" t="s">
        <v>3965</v>
      </c>
      <c r="B441" s="2" t="s">
        <v>1188</v>
      </c>
      <c r="C441" s="2">
        <v>808.69669999999996</v>
      </c>
      <c r="D441" s="2">
        <f>HYPERLINK("http://mcb-m6.bioreg.kyushu-u.ac.jp/M3/20110421/F51034/2367/1", 60.99)</f>
        <v>60.99</v>
      </c>
      <c r="E441" s="2">
        <v>47.1</v>
      </c>
      <c r="F441" s="2">
        <v>2</v>
      </c>
      <c r="G441" s="2" t="s">
        <v>11</v>
      </c>
    </row>
    <row r="442" spans="1:9" x14ac:dyDescent="0.2">
      <c r="A442" s="2" t="s">
        <v>3965</v>
      </c>
      <c r="B442" s="2" t="s">
        <v>1188</v>
      </c>
      <c r="C442" s="2">
        <v>816.12959999999998</v>
      </c>
      <c r="D442" s="2">
        <f>HYPERLINK("http://mcb-m6.bioreg.kyushu-u.ac.jp/M3/20110421/F51034/2397/1", 73.06)</f>
        <v>73.06</v>
      </c>
      <c r="E442" s="2">
        <v>54.9</v>
      </c>
      <c r="F442" s="2">
        <v>2</v>
      </c>
      <c r="G442" s="2" t="s">
        <v>11</v>
      </c>
      <c r="H442" s="2" t="s">
        <v>4927</v>
      </c>
    </row>
    <row r="443" spans="1:9" x14ac:dyDescent="0.2">
      <c r="A443" s="2" t="s">
        <v>3965</v>
      </c>
      <c r="B443" s="2" t="s">
        <v>1188</v>
      </c>
      <c r="C443" s="2">
        <v>816.2527</v>
      </c>
      <c r="D443" s="2">
        <f>HYPERLINK("http://mcb-m6.bioreg.kyushu-u.ac.jp/M3/20110421/F51044/2409/1", 91.53)</f>
        <v>91.53</v>
      </c>
      <c r="E443" s="2">
        <v>73.040000000000006</v>
      </c>
      <c r="F443" s="2">
        <v>2</v>
      </c>
      <c r="G443" s="2" t="s">
        <v>12</v>
      </c>
      <c r="H443" s="2" t="s">
        <v>4927</v>
      </c>
    </row>
    <row r="444" spans="1:9" x14ac:dyDescent="0.2">
      <c r="A444" s="2" t="s">
        <v>3965</v>
      </c>
      <c r="B444" s="2" t="s">
        <v>1188</v>
      </c>
      <c r="C444" s="2">
        <v>808.19619999999998</v>
      </c>
      <c r="D444" s="2">
        <f>HYPERLINK("http://mcb-m6.bioreg.kyushu-u.ac.jp/M3/20110427/F51114/2434/1", 92.8)</f>
        <v>92.8</v>
      </c>
      <c r="E444" s="2">
        <v>79.34</v>
      </c>
      <c r="F444" s="2">
        <v>2</v>
      </c>
      <c r="G444" s="2" t="s">
        <v>13</v>
      </c>
    </row>
    <row r="445" spans="1:9" x14ac:dyDescent="0.2">
      <c r="A445" s="2" t="s">
        <v>3965</v>
      </c>
      <c r="B445" s="2" t="s">
        <v>1188</v>
      </c>
      <c r="C445" s="2">
        <v>816.28560000000004</v>
      </c>
      <c r="D445" s="2">
        <f>HYPERLINK("http://mcb-m6.bioreg.kyushu-u.ac.jp/M3/20110427/F51123/2406/1", 58.8)</f>
        <v>58.8</v>
      </c>
      <c r="E445" s="2">
        <v>42.09</v>
      </c>
      <c r="F445" s="2">
        <v>2</v>
      </c>
      <c r="G445" s="2" t="s">
        <v>14</v>
      </c>
      <c r="H445" s="2" t="s">
        <v>4927</v>
      </c>
    </row>
    <row r="446" spans="1:9" x14ac:dyDescent="0.2">
      <c r="A446" s="2" t="s">
        <v>3965</v>
      </c>
      <c r="B446" s="2" t="s">
        <v>1188</v>
      </c>
      <c r="C446" s="2">
        <v>808.43820000000005</v>
      </c>
      <c r="D446" s="2">
        <f>HYPERLINK("http://mcb-m6.bioreg.kyushu-u.ac.jp/M3/20110427/F51123/2366/1", 75.55)</f>
        <v>75.55</v>
      </c>
      <c r="E446" s="2">
        <v>59.75</v>
      </c>
      <c r="F446" s="2">
        <v>2</v>
      </c>
      <c r="G446" s="2" t="s">
        <v>14</v>
      </c>
    </row>
    <row r="447" spans="1:9" x14ac:dyDescent="0.2">
      <c r="A447" s="2" t="s">
        <v>5740</v>
      </c>
      <c r="B447" s="2" t="s">
        <v>5352</v>
      </c>
      <c r="C447" s="2">
        <v>912.33870000000002</v>
      </c>
      <c r="D447" s="2">
        <f>HYPERLINK("http://mcb-m6.bioreg.kyushu-u.ac.jp/M3/20110404/F50768/2470/1", 75.82)</f>
        <v>75.819999999999993</v>
      </c>
      <c r="E447" s="2">
        <v>40.1</v>
      </c>
      <c r="F447" s="2">
        <v>2</v>
      </c>
      <c r="G447" s="2" t="s">
        <v>10</v>
      </c>
      <c r="I447" s="2" t="s">
        <v>4926</v>
      </c>
    </row>
    <row r="448" spans="1:9" x14ac:dyDescent="0.2">
      <c r="A448" s="2" t="s">
        <v>4497</v>
      </c>
      <c r="B448" s="2" t="s">
        <v>2478</v>
      </c>
      <c r="C448" s="2">
        <v>1446.5640000000001</v>
      </c>
      <c r="D448" s="2">
        <f>HYPERLINK("http://mcb-m6.bioreg.kyushu-u.ac.jp/M3/20110404/F50762/1763/1", 65.02)</f>
        <v>65.02</v>
      </c>
      <c r="E448" s="2">
        <v>48.92</v>
      </c>
      <c r="F448" s="2">
        <v>1</v>
      </c>
      <c r="G448" s="2" t="s">
        <v>9</v>
      </c>
    </row>
    <row r="449" spans="1:9" x14ac:dyDescent="0.2">
      <c r="A449" s="2" t="s">
        <v>4497</v>
      </c>
      <c r="B449" s="2" t="s">
        <v>2478</v>
      </c>
      <c r="C449" s="2">
        <v>724.28020000000004</v>
      </c>
      <c r="D449" s="2">
        <f>HYPERLINK("http://mcb-m6.bioreg.kyushu-u.ac.jp/M3/20110404/F50762/1767/1", 82.9)</f>
        <v>82.9</v>
      </c>
      <c r="E449" s="2">
        <v>58.19</v>
      </c>
      <c r="F449" s="2">
        <v>2</v>
      </c>
      <c r="G449" s="2" t="s">
        <v>9</v>
      </c>
    </row>
    <row r="450" spans="1:9" x14ac:dyDescent="0.2">
      <c r="A450" s="2" t="s">
        <v>4497</v>
      </c>
      <c r="B450" s="2" t="s">
        <v>2478</v>
      </c>
      <c r="C450" s="2">
        <v>724.38819999999998</v>
      </c>
      <c r="D450" s="2">
        <f>HYPERLINK("http://mcb-m6.bioreg.kyushu-u.ac.jp/M3/20110404/F50768/1844/1", 82.13)</f>
        <v>82.13</v>
      </c>
      <c r="E450" s="2">
        <v>47.87</v>
      </c>
      <c r="F450" s="2">
        <v>2</v>
      </c>
      <c r="G450" s="2" t="s">
        <v>10</v>
      </c>
    </row>
    <row r="451" spans="1:9" x14ac:dyDescent="0.2">
      <c r="A451" s="2" t="s">
        <v>4497</v>
      </c>
      <c r="B451" s="2" t="s">
        <v>2478</v>
      </c>
      <c r="C451" s="2">
        <v>731.89319999999998</v>
      </c>
      <c r="D451" s="2">
        <f>HYPERLINK("http://mcb-m6.bioreg.kyushu-u.ac.jp/M3/20110421/F51034/2009/1", 67.16)</f>
        <v>67.16</v>
      </c>
      <c r="E451" s="2">
        <v>36.53</v>
      </c>
      <c r="F451" s="2">
        <v>2</v>
      </c>
      <c r="G451" s="2" t="s">
        <v>11</v>
      </c>
      <c r="H451" s="2" t="s">
        <v>4910</v>
      </c>
    </row>
    <row r="452" spans="1:9" x14ac:dyDescent="0.2">
      <c r="A452" s="2" t="s">
        <v>4497</v>
      </c>
      <c r="B452" s="2" t="s">
        <v>2478</v>
      </c>
      <c r="C452" s="2">
        <v>731.78970000000004</v>
      </c>
      <c r="D452" s="2">
        <f>HYPERLINK("http://mcb-m6.bioreg.kyushu-u.ac.jp/M3/20110421/F51044/1998/1", 67.09)</f>
        <v>67.09</v>
      </c>
      <c r="E452" s="2">
        <v>41.81</v>
      </c>
      <c r="F452" s="2">
        <v>2</v>
      </c>
      <c r="G452" s="2" t="s">
        <v>12</v>
      </c>
      <c r="H452" s="2" t="s">
        <v>4910</v>
      </c>
    </row>
    <row r="453" spans="1:9" x14ac:dyDescent="0.2">
      <c r="A453" s="2" t="s">
        <v>4497</v>
      </c>
      <c r="B453" s="2" t="s">
        <v>2478</v>
      </c>
      <c r="C453" s="2">
        <v>731.6422</v>
      </c>
      <c r="D453" s="2">
        <f>HYPERLINK("http://mcb-m6.bioreg.kyushu-u.ac.jp/M3/20110427/F51114/2007/1", 48.09)</f>
        <v>48.09</v>
      </c>
      <c r="E453" s="2">
        <v>26.34</v>
      </c>
      <c r="F453" s="2">
        <v>2</v>
      </c>
      <c r="G453" s="2" t="s">
        <v>13</v>
      </c>
      <c r="H453" s="2" t="s">
        <v>4910</v>
      </c>
    </row>
    <row r="454" spans="1:9" x14ac:dyDescent="0.2">
      <c r="A454" s="2" t="s">
        <v>7904</v>
      </c>
      <c r="B454" s="2" t="s">
        <v>7063</v>
      </c>
      <c r="C454" s="2">
        <v>937.83759999999995</v>
      </c>
      <c r="D454" s="2">
        <f>HYPERLINK("http://mcb-m6.bioreg.kyushu-u.ac.jp/M3/20110404/F50768/2562/1", 128.63)</f>
        <v>128.63</v>
      </c>
      <c r="E454" s="2">
        <v>5.0999999999999996</v>
      </c>
      <c r="F454" s="2">
        <v>2</v>
      </c>
      <c r="G454" s="2" t="s">
        <v>10</v>
      </c>
      <c r="H454" s="2" t="s">
        <v>4908</v>
      </c>
    </row>
    <row r="455" spans="1:9" x14ac:dyDescent="0.2">
      <c r="A455" s="2" t="s">
        <v>7660</v>
      </c>
      <c r="B455" s="2" t="s">
        <v>6252</v>
      </c>
      <c r="C455" s="2">
        <v>1110.2249999999999</v>
      </c>
      <c r="D455" s="2">
        <f>HYPERLINK("http://mcb-m6.bioreg.kyushu-u.ac.jp/M3/20110404/F50766/4875/1", 49.28)</f>
        <v>49.28</v>
      </c>
      <c r="E455" s="2">
        <v>42.48</v>
      </c>
      <c r="F455" s="2">
        <v>3</v>
      </c>
      <c r="G455" s="2" t="s">
        <v>9</v>
      </c>
      <c r="I455" s="2" t="s">
        <v>8129</v>
      </c>
    </row>
    <row r="456" spans="1:9" x14ac:dyDescent="0.2">
      <c r="A456" s="2" t="s">
        <v>7660</v>
      </c>
      <c r="B456" s="2" t="s">
        <v>6901</v>
      </c>
      <c r="C456" s="2">
        <v>862.86869999999999</v>
      </c>
      <c r="D456" s="2">
        <f>HYPERLINK("http://mcb-m6.bioreg.kyushu-u.ac.jp/M3/20110404/F50768/2302/1", 55.44)</f>
        <v>55.44</v>
      </c>
      <c r="E456" s="2">
        <v>42.98</v>
      </c>
      <c r="F456" s="2">
        <v>2</v>
      </c>
      <c r="G456" s="2" t="s">
        <v>10</v>
      </c>
      <c r="H456" s="2" t="s">
        <v>4927</v>
      </c>
    </row>
    <row r="457" spans="1:9" x14ac:dyDescent="0.2">
      <c r="A457" s="2" t="s">
        <v>7902</v>
      </c>
      <c r="B457" s="2" t="s">
        <v>7057</v>
      </c>
      <c r="C457" s="2">
        <v>929.36659999999995</v>
      </c>
      <c r="D457" s="2">
        <f>HYPERLINK("http://mcb-m6.bioreg.kyushu-u.ac.jp/M3/20110404/F50768/2537/1", 113.91)</f>
        <v>113.91</v>
      </c>
      <c r="E457" s="2">
        <v>12.94</v>
      </c>
      <c r="F457" s="2">
        <v>2</v>
      </c>
      <c r="G457" s="2" t="s">
        <v>10</v>
      </c>
      <c r="H457" s="2" t="s">
        <v>4908</v>
      </c>
    </row>
    <row r="458" spans="1:9" x14ac:dyDescent="0.2">
      <c r="A458" s="2" t="s">
        <v>4310</v>
      </c>
      <c r="B458" s="2" t="s">
        <v>2060</v>
      </c>
      <c r="C458" s="2">
        <v>668.24069999999995</v>
      </c>
      <c r="D458" s="2">
        <f>HYPERLINK("http://mcb-m6.bioreg.kyushu-u.ac.jp/M3/20110404/F50762/1506/1", 57.9)</f>
        <v>57.9</v>
      </c>
      <c r="E458" s="2">
        <v>37.909999999999997</v>
      </c>
      <c r="F458" s="2">
        <v>2</v>
      </c>
      <c r="G458" s="2" t="s">
        <v>9</v>
      </c>
      <c r="H458" s="2" t="s">
        <v>4917</v>
      </c>
    </row>
    <row r="459" spans="1:9" x14ac:dyDescent="0.2">
      <c r="A459" s="2" t="s">
        <v>4310</v>
      </c>
      <c r="B459" s="2" t="s">
        <v>2060</v>
      </c>
      <c r="C459" s="2">
        <v>660.25210000000004</v>
      </c>
      <c r="D459" s="2">
        <f>HYPERLINK("http://mcb-m6.bioreg.kyushu-u.ac.jp/M3/20110404/F50762/1487/1", 64.81)</f>
        <v>64.81</v>
      </c>
      <c r="E459" s="2">
        <v>46.08</v>
      </c>
      <c r="F459" s="2">
        <v>2</v>
      </c>
      <c r="G459" s="2" t="s">
        <v>9</v>
      </c>
    </row>
    <row r="460" spans="1:9" x14ac:dyDescent="0.2">
      <c r="A460" s="2" t="s">
        <v>4310</v>
      </c>
      <c r="B460" s="2" t="s">
        <v>2060</v>
      </c>
      <c r="C460" s="2">
        <v>660.76819999999998</v>
      </c>
      <c r="D460" s="2">
        <f>HYPERLINK("http://mcb-m6.bioreg.kyushu-u.ac.jp/M3/20110404/F50762/1491/1", 76.23)</f>
        <v>76.23</v>
      </c>
      <c r="E460" s="2">
        <v>41.45</v>
      </c>
      <c r="F460" s="2">
        <v>2</v>
      </c>
      <c r="G460" s="2" t="s">
        <v>9</v>
      </c>
    </row>
    <row r="461" spans="1:9" x14ac:dyDescent="0.2">
      <c r="A461" s="2" t="s">
        <v>4310</v>
      </c>
      <c r="B461" s="2" t="s">
        <v>2060</v>
      </c>
      <c r="C461" s="2">
        <v>660.60019999999997</v>
      </c>
      <c r="D461" s="2">
        <f>HYPERLINK("http://mcb-m6.bioreg.kyushu-u.ac.jp/M3/20110404/F50768/1556/1", 75.03)</f>
        <v>75.03</v>
      </c>
      <c r="E461" s="2">
        <v>45.64</v>
      </c>
      <c r="F461" s="2">
        <v>2</v>
      </c>
      <c r="G461" s="2" t="s">
        <v>10</v>
      </c>
    </row>
    <row r="462" spans="1:9" x14ac:dyDescent="0.2">
      <c r="A462" s="2" t="s">
        <v>4310</v>
      </c>
      <c r="B462" s="2" t="s">
        <v>2060</v>
      </c>
      <c r="C462" s="2">
        <v>668.17020000000002</v>
      </c>
      <c r="D462" s="2">
        <f>HYPERLINK("http://mcb-m6.bioreg.kyushu-u.ac.jp/M3/20110427/F51114/1659/1", 66.2)</f>
        <v>66.2</v>
      </c>
      <c r="E462" s="2">
        <v>46.63</v>
      </c>
      <c r="F462" s="2">
        <v>2</v>
      </c>
      <c r="G462" s="2" t="s">
        <v>13</v>
      </c>
      <c r="H462" s="2" t="s">
        <v>4917</v>
      </c>
    </row>
    <row r="463" spans="1:9" x14ac:dyDescent="0.2">
      <c r="A463" s="2" t="s">
        <v>4310</v>
      </c>
      <c r="B463" s="2" t="s">
        <v>2060</v>
      </c>
      <c r="C463" s="2">
        <v>660.2491</v>
      </c>
      <c r="D463" s="2">
        <f>HYPERLINK("http://mcb-m6.bioreg.kyushu-u.ac.jp/M3/20110427/F51114/1616/1", 88.11)</f>
        <v>88.11</v>
      </c>
      <c r="E463" s="2">
        <v>62</v>
      </c>
      <c r="F463" s="2">
        <v>2</v>
      </c>
      <c r="G463" s="2" t="s">
        <v>13</v>
      </c>
    </row>
    <row r="464" spans="1:9" x14ac:dyDescent="0.2">
      <c r="A464" s="2" t="s">
        <v>4310</v>
      </c>
      <c r="B464" s="2" t="s">
        <v>2060</v>
      </c>
      <c r="C464" s="2">
        <v>660.1866</v>
      </c>
      <c r="D464" s="2">
        <f>HYPERLINK("http://mcb-m6.bioreg.kyushu-u.ac.jp/M3/20110427/F51123/1635/1", 82.41)</f>
        <v>82.41</v>
      </c>
      <c r="E464" s="2">
        <v>51.15</v>
      </c>
      <c r="F464" s="2">
        <v>2</v>
      </c>
      <c r="G464" s="2" t="s">
        <v>14</v>
      </c>
    </row>
    <row r="465" spans="1:9" x14ac:dyDescent="0.2">
      <c r="A465" s="2" t="s">
        <v>3824</v>
      </c>
      <c r="B465" s="2" t="s">
        <v>895</v>
      </c>
      <c r="C465" s="2">
        <v>846.54610000000002</v>
      </c>
      <c r="D465" s="2">
        <f>HYPERLINK("http://mcb-m6.bioreg.kyushu-u.ac.jp/M3/20110427/F51114/2596/1", 114.13)</f>
        <v>114.13</v>
      </c>
      <c r="E465" s="2">
        <v>96.77</v>
      </c>
      <c r="F465" s="2">
        <v>2</v>
      </c>
      <c r="G465" s="2" t="s">
        <v>13</v>
      </c>
    </row>
    <row r="466" spans="1:9" x14ac:dyDescent="0.2">
      <c r="A466" s="2" t="s">
        <v>3824</v>
      </c>
      <c r="B466" s="2" t="s">
        <v>895</v>
      </c>
      <c r="C466" s="2">
        <v>846.26969999999994</v>
      </c>
      <c r="D466" s="2">
        <f>HYPERLINK("http://mcb-m6.bioreg.kyushu-u.ac.jp/M3/20110427/F51123/2501/1", 43.87)</f>
        <v>43.87</v>
      </c>
      <c r="E466" s="2">
        <v>34.78</v>
      </c>
      <c r="F466" s="2">
        <v>2</v>
      </c>
      <c r="G466" s="2" t="s">
        <v>14</v>
      </c>
    </row>
    <row r="467" spans="1:9" x14ac:dyDescent="0.2">
      <c r="A467" s="2" t="s">
        <v>7943</v>
      </c>
      <c r="B467" s="2" t="s">
        <v>7137</v>
      </c>
      <c r="C467" s="2">
        <v>809.82619999999997</v>
      </c>
      <c r="D467" s="2">
        <f>HYPERLINK("http://mcb-m6.bioreg.kyushu-u.ac.jp/M3/20110421/F51034/2372/1", 64.31)</f>
        <v>64.31</v>
      </c>
      <c r="E467" s="2">
        <v>40.36</v>
      </c>
      <c r="F467" s="2">
        <v>2</v>
      </c>
      <c r="G467" s="2" t="s">
        <v>11</v>
      </c>
      <c r="H467" s="2" t="s">
        <v>4927</v>
      </c>
    </row>
    <row r="468" spans="1:9" x14ac:dyDescent="0.2">
      <c r="A468" s="2" t="s">
        <v>7943</v>
      </c>
      <c r="B468" s="2" t="s">
        <v>7137</v>
      </c>
      <c r="C468" s="2">
        <v>801.18709999999999</v>
      </c>
      <c r="D468" s="2">
        <f>HYPERLINK("http://mcb-m6.bioreg.kyushu-u.ac.jp/M3/20110427/F51114/2404/1", 44.38)</f>
        <v>44.38</v>
      </c>
      <c r="E468" s="2">
        <v>29.96</v>
      </c>
      <c r="F468" s="2">
        <v>2</v>
      </c>
      <c r="G468" s="2" t="s">
        <v>13</v>
      </c>
    </row>
    <row r="469" spans="1:9" x14ac:dyDescent="0.2">
      <c r="A469" s="2" t="s">
        <v>7943</v>
      </c>
      <c r="B469" s="2" t="s">
        <v>7137</v>
      </c>
      <c r="C469" s="2">
        <v>801.69619999999998</v>
      </c>
      <c r="D469" s="2">
        <f>HYPERLINK("http://mcb-m6.bioreg.kyushu-u.ac.jp/M3/20110427/F51114/2408/1", 62.25)</f>
        <v>62.25</v>
      </c>
      <c r="E469" s="2">
        <v>39.799999999999997</v>
      </c>
      <c r="F469" s="2">
        <v>2</v>
      </c>
      <c r="G469" s="2" t="s">
        <v>13</v>
      </c>
    </row>
    <row r="470" spans="1:9" x14ac:dyDescent="0.2">
      <c r="A470" s="2" t="s">
        <v>5741</v>
      </c>
      <c r="B470" s="2" t="s">
        <v>5353</v>
      </c>
      <c r="C470" s="2">
        <v>912.33870000000002</v>
      </c>
      <c r="D470" s="2">
        <f>HYPERLINK("http://mcb-m6.bioreg.kyushu-u.ac.jp/M3/20110404/F50768/2470/2", 75.82)</f>
        <v>75.819999999999993</v>
      </c>
      <c r="E470" s="2">
        <v>40.1</v>
      </c>
      <c r="F470" s="2">
        <v>2</v>
      </c>
      <c r="G470" s="2" t="s">
        <v>10</v>
      </c>
      <c r="I470" s="2" t="s">
        <v>4926</v>
      </c>
    </row>
    <row r="471" spans="1:9" x14ac:dyDescent="0.2">
      <c r="A471" s="2" t="s">
        <v>3664</v>
      </c>
      <c r="B471" s="2" t="s">
        <v>2145</v>
      </c>
      <c r="C471" s="2">
        <v>817.60670000000005</v>
      </c>
      <c r="D471" s="2">
        <f>HYPERLINK("http://mcb-m6.bioreg.kyushu-u.ac.jp/M3/20110404/F50753/2309/1", 35.42)</f>
        <v>35.42</v>
      </c>
      <c r="E471" s="2">
        <v>25.72</v>
      </c>
      <c r="F471" s="2">
        <v>2</v>
      </c>
      <c r="G471" s="2" t="s">
        <v>9</v>
      </c>
    </row>
    <row r="472" spans="1:9" x14ac:dyDescent="0.2">
      <c r="A472" s="2" t="s">
        <v>3664</v>
      </c>
      <c r="B472" s="2" t="s">
        <v>1047</v>
      </c>
      <c r="C472" s="2">
        <v>1100.2860000000001</v>
      </c>
      <c r="D472" s="2">
        <f>HYPERLINK("http://mcb-m6.bioreg.kyushu-u.ac.jp/M3/20110404/F50753/1343/1", 65.26)</f>
        <v>65.260000000000005</v>
      </c>
      <c r="E472" s="2">
        <v>38.54</v>
      </c>
      <c r="F472" s="2">
        <v>1</v>
      </c>
      <c r="G472" s="2" t="s">
        <v>9</v>
      </c>
    </row>
    <row r="473" spans="1:9" x14ac:dyDescent="0.2">
      <c r="A473" s="2" t="s">
        <v>3664</v>
      </c>
      <c r="B473" s="2" t="s">
        <v>1047</v>
      </c>
      <c r="C473" s="2">
        <v>550.62369999999999</v>
      </c>
      <c r="D473" s="2">
        <f>HYPERLINK("http://mcb-m6.bioreg.kyushu-u.ac.jp/M3/20110404/F50758/1336/1", 63.62)</f>
        <v>63.62</v>
      </c>
      <c r="E473" s="2">
        <v>48.22</v>
      </c>
      <c r="F473" s="2">
        <v>2</v>
      </c>
      <c r="G473" s="2" t="s">
        <v>10</v>
      </c>
    </row>
    <row r="474" spans="1:9" x14ac:dyDescent="0.2">
      <c r="A474" s="2" t="s">
        <v>3664</v>
      </c>
      <c r="B474" s="2" t="s">
        <v>1047</v>
      </c>
      <c r="C474" s="2">
        <v>1100.415</v>
      </c>
      <c r="D474" s="2">
        <f>HYPERLINK("http://mcb-m6.bioreg.kyushu-u.ac.jp/M3/20110404/F50758/1337/1", 65.47)</f>
        <v>65.47</v>
      </c>
      <c r="E474" s="2">
        <v>44.17</v>
      </c>
      <c r="F474" s="2">
        <v>1</v>
      </c>
      <c r="G474" s="2" t="s">
        <v>10</v>
      </c>
    </row>
    <row r="475" spans="1:9" x14ac:dyDescent="0.2">
      <c r="A475" s="2" t="s">
        <v>3664</v>
      </c>
      <c r="B475" s="2" t="s">
        <v>1047</v>
      </c>
      <c r="C475" s="2">
        <v>550.95759999999996</v>
      </c>
      <c r="D475" s="2">
        <f>HYPERLINK("http://mcb-m6.bioreg.kyushu-u.ac.jp/M3/20110421/F51017/1143/1", 49.67)</f>
        <v>49.67</v>
      </c>
      <c r="E475" s="2">
        <v>30.23</v>
      </c>
      <c r="F475" s="2">
        <v>2</v>
      </c>
      <c r="G475" s="2" t="s">
        <v>11</v>
      </c>
    </row>
    <row r="476" spans="1:9" x14ac:dyDescent="0.2">
      <c r="A476" s="2" t="s">
        <v>3857</v>
      </c>
      <c r="B476" s="2" t="s">
        <v>6388</v>
      </c>
      <c r="C476" s="2">
        <v>713.21969999999999</v>
      </c>
      <c r="D476" s="2">
        <f>HYPERLINK("http://mcb-m6.bioreg.kyushu-u.ac.jp/M3/20110404/F50754/2011/1", 58.44)</f>
        <v>58.44</v>
      </c>
      <c r="E476" s="2">
        <v>42.78</v>
      </c>
      <c r="F476" s="2">
        <v>2</v>
      </c>
      <c r="G476" s="2" t="s">
        <v>9</v>
      </c>
    </row>
    <row r="477" spans="1:9" x14ac:dyDescent="0.2">
      <c r="A477" s="2" t="s">
        <v>3857</v>
      </c>
      <c r="B477" s="2" t="s">
        <v>962</v>
      </c>
      <c r="C477" s="2">
        <v>1056.78</v>
      </c>
      <c r="D477" s="2">
        <f>HYPERLINK("http://mcb-m6.bioreg.kyushu-u.ac.jp/M3/20110404/F50754/2939/1", 85.84)</f>
        <v>85.84</v>
      </c>
      <c r="E477" s="2">
        <v>72.55</v>
      </c>
      <c r="F477" s="2">
        <v>2</v>
      </c>
      <c r="G477" s="2" t="s">
        <v>9</v>
      </c>
    </row>
    <row r="478" spans="1:9" x14ac:dyDescent="0.2">
      <c r="A478" s="2" t="s">
        <v>3857</v>
      </c>
      <c r="B478" s="2" t="s">
        <v>962</v>
      </c>
      <c r="C478" s="2">
        <v>1056.8820000000001</v>
      </c>
      <c r="D478" s="2">
        <f>HYPERLINK("http://mcb-m6.bioreg.kyushu-u.ac.jp/M3/20110427/F51112/3181/1", 60.29)</f>
        <v>60.29</v>
      </c>
      <c r="E478" s="2">
        <v>42.87</v>
      </c>
      <c r="F478" s="2">
        <v>2</v>
      </c>
      <c r="G478" s="2" t="s">
        <v>13</v>
      </c>
    </row>
    <row r="479" spans="1:9" x14ac:dyDescent="0.2">
      <c r="A479" s="2" t="s">
        <v>8096</v>
      </c>
      <c r="B479" s="2" t="s">
        <v>7447</v>
      </c>
      <c r="C479" s="2">
        <v>626.94569999999999</v>
      </c>
      <c r="D479" s="2">
        <f>HYPERLINK("http://mcb-m6.bioreg.kyushu-u.ac.jp/M3/20110427/F51119/1862/1", 35.3)</f>
        <v>35.299999999999997</v>
      </c>
      <c r="E479" s="2">
        <v>12.64</v>
      </c>
      <c r="F479" s="2">
        <v>2</v>
      </c>
      <c r="G479" s="2" t="s">
        <v>14</v>
      </c>
    </row>
    <row r="480" spans="1:9" x14ac:dyDescent="0.2">
      <c r="A480" s="2" t="s">
        <v>7911</v>
      </c>
      <c r="B480" s="2" t="s">
        <v>7076</v>
      </c>
      <c r="C480" s="2">
        <v>784.21420000000001</v>
      </c>
      <c r="D480" s="2">
        <f>HYPERLINK("http://mcb-m6.bioreg.kyushu-u.ac.jp/M3/20110421/F51016/2205/1", 36.38)</f>
        <v>36.380000000000003</v>
      </c>
      <c r="E480" s="2">
        <v>25.81</v>
      </c>
      <c r="F480" s="2">
        <v>2</v>
      </c>
      <c r="G480" s="2" t="s">
        <v>11</v>
      </c>
    </row>
    <row r="481" spans="1:9" x14ac:dyDescent="0.2">
      <c r="A481" s="2" t="s">
        <v>3934</v>
      </c>
      <c r="B481" s="2" t="s">
        <v>1124</v>
      </c>
      <c r="C481" s="2">
        <v>902.83510000000001</v>
      </c>
      <c r="D481" s="2">
        <f>HYPERLINK("http://mcb-m6.bioreg.kyushu-u.ac.jp/M3/20110427/F51113/2651/1", 67.12)</f>
        <v>67.12</v>
      </c>
      <c r="E481" s="2">
        <v>54.89</v>
      </c>
      <c r="F481" s="2">
        <v>2</v>
      </c>
      <c r="G481" s="2" t="s">
        <v>13</v>
      </c>
    </row>
    <row r="482" spans="1:9" x14ac:dyDescent="0.2">
      <c r="A482" s="2" t="s">
        <v>8044</v>
      </c>
      <c r="B482" s="2" t="s">
        <v>7323</v>
      </c>
      <c r="C482" s="2">
        <v>886.92520000000002</v>
      </c>
      <c r="D482" s="2">
        <f>HYPERLINK("http://mcb-m6.bioreg.kyushu-u.ac.jp/M3/20110427/F51113/2565/1", 40.02)</f>
        <v>40.020000000000003</v>
      </c>
      <c r="E482" s="2">
        <v>22.74</v>
      </c>
      <c r="F482" s="2">
        <v>2</v>
      </c>
      <c r="G482" s="2" t="s">
        <v>13</v>
      </c>
      <c r="I482" s="2" t="s">
        <v>4906</v>
      </c>
    </row>
    <row r="483" spans="1:9" x14ac:dyDescent="0.2">
      <c r="A483" s="2" t="s">
        <v>7937</v>
      </c>
      <c r="B483" s="2" t="s">
        <v>7120</v>
      </c>
      <c r="C483" s="2">
        <v>593.22559999999999</v>
      </c>
      <c r="D483" s="2">
        <f>HYPERLINK("http://mcb-m6.bioreg.kyushu-u.ac.jp/M3/20110421/F51017/1318/1", 51.24)</f>
        <v>51.24</v>
      </c>
      <c r="E483" s="2">
        <v>24.47</v>
      </c>
      <c r="F483" s="2">
        <v>2</v>
      </c>
      <c r="G483" s="2" t="s">
        <v>11</v>
      </c>
    </row>
    <row r="484" spans="1:9" x14ac:dyDescent="0.2">
      <c r="A484" s="2" t="s">
        <v>3911</v>
      </c>
      <c r="B484" s="2" t="s">
        <v>1080</v>
      </c>
      <c r="C484" s="2">
        <v>845.73170000000005</v>
      </c>
      <c r="D484" s="2">
        <f>HYPERLINK("http://mcb-m6.bioreg.kyushu-u.ac.jp/M3/20110404/F50754/2431/1", 64.33)</f>
        <v>64.33</v>
      </c>
      <c r="E484" s="2">
        <v>44.86</v>
      </c>
      <c r="F484" s="2">
        <v>2</v>
      </c>
      <c r="G484" s="2" t="s">
        <v>9</v>
      </c>
    </row>
    <row r="485" spans="1:9" x14ac:dyDescent="0.2">
      <c r="A485" s="2" t="s">
        <v>3911</v>
      </c>
      <c r="B485" s="2" t="s">
        <v>1080</v>
      </c>
      <c r="C485" s="2">
        <v>846.26260000000002</v>
      </c>
      <c r="D485" s="2">
        <f>HYPERLINK("http://mcb-m6.bioreg.kyushu-u.ac.jp/M3/20110427/F51112/2578/1", 107.36)</f>
        <v>107.36</v>
      </c>
      <c r="E485" s="2">
        <v>88.15</v>
      </c>
      <c r="F485" s="2">
        <v>2</v>
      </c>
      <c r="G485" s="2" t="s">
        <v>13</v>
      </c>
    </row>
    <row r="486" spans="1:9" x14ac:dyDescent="0.2">
      <c r="A486" s="2" t="s">
        <v>3911</v>
      </c>
      <c r="B486" s="2" t="s">
        <v>1080</v>
      </c>
      <c r="C486" s="2">
        <v>845.67970000000003</v>
      </c>
      <c r="D486" s="2">
        <f>HYPERLINK("http://mcb-m6.bioreg.kyushu-u.ac.jp/M3/20110427/F51112/2576/1", 122.67)</f>
        <v>122.67</v>
      </c>
      <c r="E486" s="2">
        <v>100.47</v>
      </c>
      <c r="F486" s="2">
        <v>2</v>
      </c>
      <c r="G486" s="2" t="s">
        <v>13</v>
      </c>
    </row>
    <row r="487" spans="1:9" x14ac:dyDescent="0.2">
      <c r="A487" s="2" t="s">
        <v>7892</v>
      </c>
      <c r="B487" s="2" t="s">
        <v>6967</v>
      </c>
      <c r="C487" s="2">
        <v>854.78470000000004</v>
      </c>
      <c r="D487" s="2">
        <f>HYPERLINK("http://mcb-m6.bioreg.kyushu-u.ac.jp/M3/20110404/F50768/2274/1", 68.51)</f>
        <v>68.510000000000005</v>
      </c>
      <c r="E487" s="2">
        <v>58.85</v>
      </c>
      <c r="F487" s="2">
        <v>2</v>
      </c>
      <c r="G487" s="2" t="s">
        <v>10</v>
      </c>
    </row>
    <row r="488" spans="1:9" x14ac:dyDescent="0.2">
      <c r="A488" s="2" t="s">
        <v>7958</v>
      </c>
      <c r="B488" s="2" t="s">
        <v>7163</v>
      </c>
      <c r="C488" s="2">
        <v>740.08069999999998</v>
      </c>
      <c r="D488" s="2">
        <f>HYPERLINK("http://mcb-m6.bioreg.kyushu-u.ac.jp/M3/20110421/F51021/2074/1", 36.48)</f>
        <v>36.479999999999997</v>
      </c>
      <c r="E488" s="2">
        <v>13.86</v>
      </c>
      <c r="F488" s="2">
        <v>2</v>
      </c>
      <c r="G488" s="2" t="s">
        <v>12</v>
      </c>
      <c r="I488" s="2" t="s">
        <v>4899</v>
      </c>
    </row>
    <row r="489" spans="1:9" x14ac:dyDescent="0.2">
      <c r="A489" s="2" t="s">
        <v>3926</v>
      </c>
      <c r="B489" s="2" t="s">
        <v>2022</v>
      </c>
      <c r="C489" s="2">
        <v>735.89760000000001</v>
      </c>
      <c r="D489" s="2">
        <f>HYPERLINK("http://mcb-m6.bioreg.kyushu-u.ac.jp/M3/20110404/F50758/1893/1", 50.2)</f>
        <v>50.2</v>
      </c>
      <c r="E489" s="2">
        <v>32.380000000000003</v>
      </c>
      <c r="F489" s="2">
        <v>2</v>
      </c>
      <c r="G489" s="2" t="s">
        <v>10</v>
      </c>
    </row>
    <row r="490" spans="1:9" x14ac:dyDescent="0.2">
      <c r="A490" s="2" t="s">
        <v>3926</v>
      </c>
      <c r="B490" s="2" t="s">
        <v>1173</v>
      </c>
      <c r="C490" s="2">
        <v>960.6241</v>
      </c>
      <c r="D490" s="2">
        <f>HYPERLINK("http://mcb-m6.bioreg.kyushu-u.ac.jp/M3/20110421/F51017/3065/1", 81.21)</f>
        <v>81.209999999999994</v>
      </c>
      <c r="E490" s="2">
        <v>57.11</v>
      </c>
      <c r="F490" s="2">
        <v>2</v>
      </c>
      <c r="G490" s="2" t="s">
        <v>11</v>
      </c>
    </row>
    <row r="491" spans="1:9" x14ac:dyDescent="0.2">
      <c r="A491" s="2" t="s">
        <v>7750</v>
      </c>
      <c r="B491" s="2" t="s">
        <v>6531</v>
      </c>
      <c r="C491" s="2">
        <v>829.75319999999999</v>
      </c>
      <c r="D491" s="2">
        <f>HYPERLINK("http://mcb-m6.bioreg.kyushu-u.ac.jp/M3/20110404/F50754/2400/1", 76.02)</f>
        <v>76.02</v>
      </c>
      <c r="E491" s="2">
        <v>64.010000000000005</v>
      </c>
      <c r="F491" s="2">
        <v>2</v>
      </c>
      <c r="G491" s="2" t="s">
        <v>9</v>
      </c>
      <c r="I491" s="2" t="s">
        <v>4898</v>
      </c>
    </row>
    <row r="492" spans="1:9" x14ac:dyDescent="0.2">
      <c r="A492" s="2" t="s">
        <v>8056</v>
      </c>
      <c r="B492" s="2" t="s">
        <v>7348</v>
      </c>
      <c r="C492" s="2">
        <v>460.73020000000002</v>
      </c>
      <c r="D492" s="2">
        <f>HYPERLINK("http://mcb-m6.bioreg.kyushu-u.ac.jp/M3/20110427/F51114/1779/1", 44.76)</f>
        <v>44.76</v>
      </c>
      <c r="E492" s="2">
        <v>19.100000000000001</v>
      </c>
      <c r="F492" s="2">
        <v>3</v>
      </c>
      <c r="G492" s="2" t="s">
        <v>13</v>
      </c>
    </row>
    <row r="493" spans="1:9" x14ac:dyDescent="0.2">
      <c r="A493" s="2" t="s">
        <v>4235</v>
      </c>
      <c r="B493" s="2" t="s">
        <v>1911</v>
      </c>
      <c r="C493" s="2">
        <v>912.95069999999998</v>
      </c>
      <c r="D493" s="2">
        <f>HYPERLINK("http://mcb-m6.bioreg.kyushu-u.ac.jp/M3/20110404/F50756/2753/1", 55.94)</f>
        <v>55.94</v>
      </c>
      <c r="E493" s="2">
        <v>45.55</v>
      </c>
      <c r="F493" s="2">
        <v>2</v>
      </c>
      <c r="G493" s="2" t="s">
        <v>9</v>
      </c>
    </row>
    <row r="494" spans="1:9" x14ac:dyDescent="0.2">
      <c r="A494" s="2" t="s">
        <v>4235</v>
      </c>
      <c r="B494" s="2" t="s">
        <v>1911</v>
      </c>
      <c r="C494" s="2">
        <v>913.45510000000002</v>
      </c>
      <c r="D494" s="2">
        <f>HYPERLINK("http://mcb-m6.bioreg.kyushu-u.ac.jp/M3/20110404/F50763/2522/1", 60.51)</f>
        <v>60.51</v>
      </c>
      <c r="E494" s="2">
        <v>49.05</v>
      </c>
      <c r="F494" s="2">
        <v>2</v>
      </c>
      <c r="G494" s="2" t="s">
        <v>9</v>
      </c>
    </row>
    <row r="495" spans="1:9" x14ac:dyDescent="0.2">
      <c r="A495" s="2" t="s">
        <v>4235</v>
      </c>
      <c r="B495" s="2" t="s">
        <v>1911</v>
      </c>
      <c r="C495" s="2">
        <v>912.59220000000005</v>
      </c>
      <c r="D495" s="2">
        <f>HYPERLINK("http://mcb-m6.bioreg.kyushu-u.ac.jp/M3/20110404/F50762/2349/1", 66.03)</f>
        <v>66.03</v>
      </c>
      <c r="E495" s="2">
        <v>48.28</v>
      </c>
      <c r="F495" s="2">
        <v>2</v>
      </c>
      <c r="G495" s="2" t="s">
        <v>9</v>
      </c>
    </row>
    <row r="496" spans="1:9" x14ac:dyDescent="0.2">
      <c r="A496" s="2" t="s">
        <v>4235</v>
      </c>
      <c r="B496" s="2" t="s">
        <v>1911</v>
      </c>
      <c r="C496" s="2">
        <v>913.37270000000001</v>
      </c>
      <c r="D496" s="2">
        <f>HYPERLINK("http://mcb-m6.bioreg.kyushu-u.ac.jp/M3/20110404/F50762/2351/1", 73.98)</f>
        <v>73.98</v>
      </c>
      <c r="E496" s="2">
        <v>61.76</v>
      </c>
      <c r="F496" s="2">
        <v>2</v>
      </c>
      <c r="G496" s="2" t="s">
        <v>9</v>
      </c>
    </row>
    <row r="497" spans="1:8" x14ac:dyDescent="0.2">
      <c r="A497" s="2" t="s">
        <v>4235</v>
      </c>
      <c r="B497" s="2" t="s">
        <v>1911</v>
      </c>
      <c r="C497" s="2">
        <v>913.47469999999998</v>
      </c>
      <c r="D497" s="2">
        <f>HYPERLINK("http://mcb-m6.bioreg.kyushu-u.ac.jp/M3/20110404/F50761/2549/1", 60.07)</f>
        <v>60.07</v>
      </c>
      <c r="E497" s="2">
        <v>48.57</v>
      </c>
      <c r="F497" s="2">
        <v>2</v>
      </c>
      <c r="G497" s="2" t="s">
        <v>10</v>
      </c>
    </row>
    <row r="498" spans="1:8" x14ac:dyDescent="0.2">
      <c r="A498" s="2" t="s">
        <v>4235</v>
      </c>
      <c r="B498" s="2" t="s">
        <v>1911</v>
      </c>
      <c r="C498" s="2">
        <v>912.87959999999998</v>
      </c>
      <c r="D498" s="2">
        <f>HYPERLINK("http://mcb-m6.bioreg.kyushu-u.ac.jp/M3/20110404/F50768/2473/1", 84.74)</f>
        <v>84.74</v>
      </c>
      <c r="E498" s="2">
        <v>69.959999999999994</v>
      </c>
      <c r="F498" s="2">
        <v>2</v>
      </c>
      <c r="G498" s="2" t="s">
        <v>10</v>
      </c>
    </row>
    <row r="499" spans="1:8" x14ac:dyDescent="0.2">
      <c r="A499" s="2" t="s">
        <v>4235</v>
      </c>
      <c r="B499" s="2" t="s">
        <v>1911</v>
      </c>
      <c r="C499" s="2">
        <v>913.0317</v>
      </c>
      <c r="D499" s="2">
        <f>HYPERLINK("http://mcb-m6.bioreg.kyushu-u.ac.jp/M3/20110421/F51035/2822/1", 72)</f>
        <v>72</v>
      </c>
      <c r="E499" s="2">
        <v>56.39</v>
      </c>
      <c r="F499" s="2">
        <v>2</v>
      </c>
      <c r="G499" s="2" t="s">
        <v>11</v>
      </c>
    </row>
    <row r="500" spans="1:8" x14ac:dyDescent="0.2">
      <c r="A500" s="2" t="s">
        <v>4235</v>
      </c>
      <c r="B500" s="2" t="s">
        <v>1911</v>
      </c>
      <c r="C500" s="2">
        <v>912.86019999999996</v>
      </c>
      <c r="D500" s="2">
        <f>HYPERLINK("http://mcb-m6.bioreg.kyushu-u.ac.jp/M3/20110421/F51034/2789/1", 88.24)</f>
        <v>88.24</v>
      </c>
      <c r="E500" s="2">
        <v>75.180000000000007</v>
      </c>
      <c r="F500" s="2">
        <v>2</v>
      </c>
      <c r="G500" s="2" t="s">
        <v>11</v>
      </c>
    </row>
    <row r="501" spans="1:8" x14ac:dyDescent="0.2">
      <c r="A501" s="2" t="s">
        <v>4235</v>
      </c>
      <c r="B501" s="2" t="s">
        <v>1911</v>
      </c>
      <c r="C501" s="2">
        <v>912.93470000000002</v>
      </c>
      <c r="D501" s="2">
        <f>HYPERLINK("http://mcb-m6.bioreg.kyushu-u.ac.jp/M3/20110421/F51043/2804/1", 41.7)</f>
        <v>41.7</v>
      </c>
      <c r="E501" s="2">
        <v>25.52</v>
      </c>
      <c r="F501" s="2">
        <v>2</v>
      </c>
      <c r="G501" s="2" t="s">
        <v>12</v>
      </c>
    </row>
    <row r="502" spans="1:8" x14ac:dyDescent="0.2">
      <c r="A502" s="2" t="s">
        <v>4235</v>
      </c>
      <c r="B502" s="2" t="s">
        <v>1911</v>
      </c>
      <c r="C502" s="2">
        <v>913.53060000000005</v>
      </c>
      <c r="D502" s="2">
        <f>HYPERLINK("http://mcb-m6.bioreg.kyushu-u.ac.jp/M3/20110421/F51045/2850/1", 48.77)</f>
        <v>48.77</v>
      </c>
      <c r="E502" s="2">
        <v>37.9</v>
      </c>
      <c r="F502" s="2">
        <v>2</v>
      </c>
      <c r="G502" s="2" t="s">
        <v>12</v>
      </c>
    </row>
    <row r="503" spans="1:8" x14ac:dyDescent="0.2">
      <c r="A503" s="2" t="s">
        <v>4235</v>
      </c>
      <c r="B503" s="2" t="s">
        <v>1911</v>
      </c>
      <c r="C503" s="2">
        <v>913.45320000000004</v>
      </c>
      <c r="D503" s="2">
        <f>HYPERLINK("http://mcb-m6.bioreg.kyushu-u.ac.jp/M3/20110421/F51043/2807/1", 64.85)</f>
        <v>64.849999999999994</v>
      </c>
      <c r="E503" s="2">
        <v>50.8</v>
      </c>
      <c r="F503" s="2">
        <v>2</v>
      </c>
      <c r="G503" s="2" t="s">
        <v>12</v>
      </c>
    </row>
    <row r="504" spans="1:8" x14ac:dyDescent="0.2">
      <c r="A504" s="2" t="s">
        <v>4235</v>
      </c>
      <c r="B504" s="2" t="s">
        <v>1911</v>
      </c>
      <c r="C504" s="2">
        <v>912.75959999999998</v>
      </c>
      <c r="D504" s="2">
        <f>HYPERLINK("http://mcb-m6.bioreg.kyushu-u.ac.jp/M3/20110421/F51044/2776/1", 66.72)</f>
        <v>66.72</v>
      </c>
      <c r="E504" s="2">
        <v>53.52</v>
      </c>
      <c r="F504" s="2">
        <v>2</v>
      </c>
      <c r="G504" s="2" t="s">
        <v>12</v>
      </c>
    </row>
    <row r="505" spans="1:8" x14ac:dyDescent="0.2">
      <c r="A505" s="2" t="s">
        <v>4235</v>
      </c>
      <c r="B505" s="2" t="s">
        <v>1911</v>
      </c>
      <c r="C505" s="2">
        <v>913.26570000000004</v>
      </c>
      <c r="D505" s="2">
        <f>HYPERLINK("http://mcb-m6.bioreg.kyushu-u.ac.jp/M3/20110427/F51115/2672/1", 38.08)</f>
        <v>38.08</v>
      </c>
      <c r="E505" s="2">
        <v>27.4</v>
      </c>
      <c r="F505" s="2">
        <v>2</v>
      </c>
      <c r="G505" s="2" t="s">
        <v>13</v>
      </c>
    </row>
    <row r="506" spans="1:8" x14ac:dyDescent="0.2">
      <c r="A506" s="2" t="s">
        <v>4235</v>
      </c>
      <c r="B506" s="2" t="s">
        <v>1911</v>
      </c>
      <c r="C506" s="2">
        <v>913.26620000000003</v>
      </c>
      <c r="D506" s="2">
        <f>HYPERLINK("http://mcb-m6.bioreg.kyushu-u.ac.jp/M3/20110427/F51108/2635/1", 38.79)</f>
        <v>38.79</v>
      </c>
      <c r="E506" s="2">
        <v>24.87</v>
      </c>
      <c r="F506" s="2">
        <v>2</v>
      </c>
      <c r="G506" s="2" t="s">
        <v>13</v>
      </c>
    </row>
    <row r="507" spans="1:8" x14ac:dyDescent="0.2">
      <c r="A507" s="2" t="s">
        <v>4235</v>
      </c>
      <c r="B507" s="2" t="s">
        <v>1911</v>
      </c>
      <c r="C507" s="2">
        <v>913.28060000000005</v>
      </c>
      <c r="D507" s="2">
        <f>HYPERLINK("http://mcb-m6.bioreg.kyushu-u.ac.jp/M3/20110427/F51112/2864/1", 46.03)</f>
        <v>46.03</v>
      </c>
      <c r="E507" s="2">
        <v>31.27</v>
      </c>
      <c r="F507" s="2">
        <v>2</v>
      </c>
      <c r="G507" s="2" t="s">
        <v>13</v>
      </c>
    </row>
    <row r="508" spans="1:8" x14ac:dyDescent="0.2">
      <c r="A508" s="2" t="s">
        <v>4235</v>
      </c>
      <c r="B508" s="2" t="s">
        <v>1911</v>
      </c>
      <c r="C508" s="2">
        <v>913.44209999999998</v>
      </c>
      <c r="D508" s="2">
        <f>HYPERLINK("http://mcb-m6.bioreg.kyushu-u.ac.jp/M3/20110427/F51114/2909/1", 60.47)</f>
        <v>60.47</v>
      </c>
      <c r="E508" s="2">
        <v>42.51</v>
      </c>
      <c r="F508" s="2">
        <v>2</v>
      </c>
      <c r="G508" s="2" t="s">
        <v>13</v>
      </c>
    </row>
    <row r="509" spans="1:8" x14ac:dyDescent="0.2">
      <c r="A509" s="2" t="s">
        <v>4235</v>
      </c>
      <c r="B509" s="2" t="s">
        <v>1911</v>
      </c>
      <c r="C509" s="2">
        <v>912.85360000000003</v>
      </c>
      <c r="D509" s="2">
        <f>HYPERLINK("http://mcb-m6.bioreg.kyushu-u.ac.jp/M3/20110427/F51114/2906/1", 84.42)</f>
        <v>84.42</v>
      </c>
      <c r="E509" s="2">
        <v>70.069999999999993</v>
      </c>
      <c r="F509" s="2">
        <v>2</v>
      </c>
      <c r="G509" s="2" t="s">
        <v>13</v>
      </c>
    </row>
    <row r="510" spans="1:8" x14ac:dyDescent="0.2">
      <c r="A510" s="2" t="s">
        <v>4235</v>
      </c>
      <c r="B510" s="2" t="s">
        <v>1911</v>
      </c>
      <c r="C510" s="2">
        <v>913.19619999999998</v>
      </c>
      <c r="D510" s="2">
        <f>HYPERLINK("http://mcb-m6.bioreg.kyushu-u.ac.jp/M3/20110428/F51128/2802/1", 53.85)</f>
        <v>53.85</v>
      </c>
      <c r="E510" s="2">
        <v>27.8</v>
      </c>
      <c r="F510" s="2">
        <v>2</v>
      </c>
      <c r="G510" s="2" t="s">
        <v>14</v>
      </c>
    </row>
    <row r="511" spans="1:8" x14ac:dyDescent="0.2">
      <c r="A511" s="2" t="s">
        <v>4235</v>
      </c>
      <c r="B511" s="2" t="s">
        <v>1911</v>
      </c>
      <c r="C511" s="2">
        <v>912.80520000000001</v>
      </c>
      <c r="D511" s="2">
        <f>HYPERLINK("http://mcb-m6.bioreg.kyushu-u.ac.jp/M3/20110427/F51123/2790/1", 63.29)</f>
        <v>63.29</v>
      </c>
      <c r="E511" s="2">
        <v>49.99</v>
      </c>
      <c r="F511" s="2">
        <v>2</v>
      </c>
      <c r="G511" s="2" t="s">
        <v>14</v>
      </c>
    </row>
    <row r="512" spans="1:8" x14ac:dyDescent="0.2">
      <c r="A512" s="2" t="s">
        <v>4183</v>
      </c>
      <c r="B512" s="2" t="s">
        <v>1761</v>
      </c>
      <c r="C512" s="2">
        <v>697.84119999999996</v>
      </c>
      <c r="D512" s="2">
        <f>HYPERLINK("http://mcb-m6.bioreg.kyushu-u.ac.jp/M3/20110421/F51034/1781/1", 40.98)</f>
        <v>40.98</v>
      </c>
      <c r="E512" s="2">
        <v>21.07</v>
      </c>
      <c r="F512" s="2">
        <v>2</v>
      </c>
      <c r="G512" s="2" t="s">
        <v>11</v>
      </c>
      <c r="H512" s="2" t="s">
        <v>4904</v>
      </c>
    </row>
    <row r="513" spans="1:8" x14ac:dyDescent="0.2">
      <c r="A513" s="2" t="s">
        <v>4183</v>
      </c>
      <c r="B513" s="2" t="s">
        <v>1761</v>
      </c>
      <c r="C513" s="2">
        <v>697.33010000000002</v>
      </c>
      <c r="D513" s="2">
        <f>HYPERLINK("http://mcb-m6.bioreg.kyushu-u.ac.jp/M3/20110427/F51114/1816/1", 37.19)</f>
        <v>37.19</v>
      </c>
      <c r="E513" s="2">
        <v>19.98</v>
      </c>
      <c r="F513" s="2">
        <v>2</v>
      </c>
      <c r="G513" s="2" t="s">
        <v>13</v>
      </c>
      <c r="H513" s="2" t="s">
        <v>4904</v>
      </c>
    </row>
    <row r="514" spans="1:8" x14ac:dyDescent="0.2">
      <c r="A514" s="2" t="s">
        <v>4183</v>
      </c>
      <c r="B514" s="2" t="s">
        <v>7340</v>
      </c>
      <c r="C514" s="2">
        <v>800.2269</v>
      </c>
      <c r="D514" s="2">
        <f>HYPERLINK("http://mcb-m6.bioreg.kyushu-u.ac.jp/M3/20110427/F51114/3730/1", 43.51)</f>
        <v>43.51</v>
      </c>
      <c r="E514" s="2">
        <v>33.380000000000003</v>
      </c>
      <c r="F514" s="2">
        <v>3</v>
      </c>
      <c r="G514" s="2" t="s">
        <v>13</v>
      </c>
      <c r="H514" s="2" t="s">
        <v>4904</v>
      </c>
    </row>
    <row r="515" spans="1:8" x14ac:dyDescent="0.2">
      <c r="A515" s="2" t="s">
        <v>4264</v>
      </c>
      <c r="B515" s="2" t="s">
        <v>1921</v>
      </c>
      <c r="C515" s="2">
        <v>879.06619999999998</v>
      </c>
      <c r="D515" s="2">
        <f>HYPERLINK("http://mcb-m6.bioreg.kyushu-u.ac.jp/M3/20110404/F50762/2242/1", 61.79)</f>
        <v>61.79</v>
      </c>
      <c r="E515" s="2">
        <v>50.2</v>
      </c>
      <c r="F515" s="2">
        <v>2</v>
      </c>
      <c r="G515" s="2" t="s">
        <v>9</v>
      </c>
    </row>
    <row r="516" spans="1:8" x14ac:dyDescent="0.2">
      <c r="A516" s="2" t="s">
        <v>4264</v>
      </c>
      <c r="B516" s="2" t="s">
        <v>1921</v>
      </c>
      <c r="C516" s="2">
        <v>879.21810000000005</v>
      </c>
      <c r="D516" s="2">
        <f>HYPERLINK("http://mcb-m6.bioreg.kyushu-u.ac.jp/M3/20110404/F50768/2357/1", 56.31)</f>
        <v>56.31</v>
      </c>
      <c r="E516" s="2">
        <v>45.06</v>
      </c>
      <c r="F516" s="2">
        <v>2</v>
      </c>
      <c r="G516" s="2" t="s">
        <v>10</v>
      </c>
    </row>
    <row r="517" spans="1:8" x14ac:dyDescent="0.2">
      <c r="A517" s="2" t="s">
        <v>3788</v>
      </c>
      <c r="B517" s="2" t="s">
        <v>828</v>
      </c>
      <c r="C517" s="2">
        <v>860.31820000000005</v>
      </c>
      <c r="D517" s="2">
        <f>HYPERLINK("http://mcb-m6.bioreg.kyushu-u.ac.jp/M3/20110404/F50756/2504/1", 35.37)</f>
        <v>35.369999999999997</v>
      </c>
      <c r="E517" s="2">
        <v>16.510000000000002</v>
      </c>
      <c r="F517" s="2">
        <v>2</v>
      </c>
      <c r="G517" s="2" t="s">
        <v>9</v>
      </c>
    </row>
    <row r="518" spans="1:8" x14ac:dyDescent="0.2">
      <c r="A518" s="2" t="s">
        <v>3788</v>
      </c>
      <c r="B518" s="2" t="s">
        <v>828</v>
      </c>
      <c r="C518" s="2">
        <v>859.97670000000005</v>
      </c>
      <c r="D518" s="2">
        <f>HYPERLINK("http://mcb-m6.bioreg.kyushu-u.ac.jp/M3/20110404/F50762/2185/1", 57.48)</f>
        <v>57.48</v>
      </c>
      <c r="E518" s="2">
        <v>40.85</v>
      </c>
      <c r="F518" s="2">
        <v>2</v>
      </c>
      <c r="G518" s="2" t="s">
        <v>9</v>
      </c>
    </row>
    <row r="519" spans="1:8" x14ac:dyDescent="0.2">
      <c r="A519" s="2" t="s">
        <v>3788</v>
      </c>
      <c r="B519" s="2" t="s">
        <v>828</v>
      </c>
      <c r="C519" s="2">
        <v>859.92470000000003</v>
      </c>
      <c r="D519" s="2">
        <f>HYPERLINK("http://mcb-m6.bioreg.kyushu-u.ac.jp/M3/20110404/F50768/2292/1", 54.79)</f>
        <v>54.79</v>
      </c>
      <c r="E519" s="2">
        <v>30.16</v>
      </c>
      <c r="F519" s="2">
        <v>2</v>
      </c>
      <c r="G519" s="2" t="s">
        <v>10</v>
      </c>
    </row>
    <row r="520" spans="1:8" x14ac:dyDescent="0.2">
      <c r="A520" s="2" t="s">
        <v>3788</v>
      </c>
      <c r="B520" s="2" t="s">
        <v>828</v>
      </c>
      <c r="C520" s="2">
        <v>859.88509999999997</v>
      </c>
      <c r="D520" s="2">
        <f>HYPERLINK("http://mcb-m6.bioreg.kyushu-u.ac.jp/M3/20110421/F51035/2562/1", 39.12)</f>
        <v>39.119999999999997</v>
      </c>
      <c r="E520" s="2">
        <v>22.16</v>
      </c>
      <c r="F520" s="2">
        <v>2</v>
      </c>
      <c r="G520" s="2" t="s">
        <v>11</v>
      </c>
    </row>
    <row r="521" spans="1:8" x14ac:dyDescent="0.2">
      <c r="A521" s="2" t="s">
        <v>3788</v>
      </c>
      <c r="B521" s="2" t="s">
        <v>828</v>
      </c>
      <c r="C521" s="2">
        <v>860.47810000000004</v>
      </c>
      <c r="D521" s="2">
        <f>HYPERLINK("http://mcb-m6.bioreg.kyushu-u.ac.jp/M3/20110421/F51044/2571/1", 44.27)</f>
        <v>44.27</v>
      </c>
      <c r="E521" s="2">
        <v>26.48</v>
      </c>
      <c r="F521" s="2">
        <v>2</v>
      </c>
      <c r="G521" s="2" t="s">
        <v>12</v>
      </c>
    </row>
    <row r="522" spans="1:8" x14ac:dyDescent="0.2">
      <c r="A522" s="2" t="s">
        <v>3788</v>
      </c>
      <c r="B522" s="2" t="s">
        <v>828</v>
      </c>
      <c r="C522" s="2">
        <v>573.70450000000005</v>
      </c>
      <c r="D522" s="2">
        <f>HYPERLINK("http://mcb-m6.bioreg.kyushu-u.ac.jp/M3/20110427/F51114/2669/1", 41.49)</f>
        <v>41.49</v>
      </c>
      <c r="E522" s="2">
        <v>10.98</v>
      </c>
      <c r="F522" s="2">
        <v>3</v>
      </c>
      <c r="G522" s="2" t="s">
        <v>13</v>
      </c>
    </row>
    <row r="523" spans="1:8" x14ac:dyDescent="0.2">
      <c r="A523" s="2" t="s">
        <v>3788</v>
      </c>
      <c r="B523" s="2" t="s">
        <v>828</v>
      </c>
      <c r="C523" s="2">
        <v>860.30020000000002</v>
      </c>
      <c r="D523" s="2">
        <f>HYPERLINK("http://mcb-m6.bioreg.kyushu-u.ac.jp/M3/20110427/F51114/2671/1", 59.7)</f>
        <v>59.7</v>
      </c>
      <c r="E523" s="2">
        <v>47.2</v>
      </c>
      <c r="F523" s="2">
        <v>2</v>
      </c>
      <c r="G523" s="2" t="s">
        <v>13</v>
      </c>
    </row>
    <row r="524" spans="1:8" x14ac:dyDescent="0.2">
      <c r="A524" s="2" t="s">
        <v>3788</v>
      </c>
      <c r="B524" s="2" t="s">
        <v>828</v>
      </c>
      <c r="C524" s="2">
        <v>859.83119999999997</v>
      </c>
      <c r="D524" s="2">
        <f>HYPERLINK("http://mcb-m6.bioreg.kyushu-u.ac.jp/M3/20110427/F51123/2574/1", 57.8)</f>
        <v>57.8</v>
      </c>
      <c r="E524" s="2">
        <v>38.6</v>
      </c>
      <c r="F524" s="2">
        <v>2</v>
      </c>
      <c r="G524" s="2" t="s">
        <v>14</v>
      </c>
    </row>
    <row r="525" spans="1:8" x14ac:dyDescent="0.2">
      <c r="A525" s="2" t="s">
        <v>4636</v>
      </c>
      <c r="B525" s="2" t="s">
        <v>2791</v>
      </c>
      <c r="C525" s="2">
        <v>1015.9349999999999</v>
      </c>
      <c r="D525" s="2">
        <f>HYPERLINK("http://mcb-m6.bioreg.kyushu-u.ac.jp/M3/20110404/F50768/1115/1", 38.2)</f>
        <v>38.200000000000003</v>
      </c>
      <c r="E525" s="2">
        <v>20.56</v>
      </c>
      <c r="F525" s="2">
        <v>1</v>
      </c>
      <c r="G525" s="2" t="s">
        <v>10</v>
      </c>
    </row>
    <row r="526" spans="1:8" x14ac:dyDescent="0.2">
      <c r="A526" s="2" t="s">
        <v>4110</v>
      </c>
      <c r="B526" s="2" t="s">
        <v>1594</v>
      </c>
      <c r="C526" s="2">
        <v>851.5317</v>
      </c>
      <c r="D526" s="2">
        <f>HYPERLINK("http://mcb-m6.bioreg.kyushu-u.ac.jp/M3/20110404/F50768/2266/1", 81.58)</f>
        <v>81.58</v>
      </c>
      <c r="E526" s="2">
        <v>68.680000000000007</v>
      </c>
      <c r="F526" s="2">
        <v>2</v>
      </c>
      <c r="G526" s="2" t="s">
        <v>10</v>
      </c>
    </row>
    <row r="527" spans="1:8" x14ac:dyDescent="0.2">
      <c r="A527" s="2" t="s">
        <v>4110</v>
      </c>
      <c r="B527" s="2" t="s">
        <v>1594</v>
      </c>
      <c r="C527" s="2">
        <v>851.43820000000005</v>
      </c>
      <c r="D527" s="2">
        <f>HYPERLINK("http://mcb-m6.bioreg.kyushu-u.ac.jp/M3/20110421/F51034/2534/1", 56.97)</f>
        <v>56.97</v>
      </c>
      <c r="E527" s="2">
        <v>43.73</v>
      </c>
      <c r="F527" s="2">
        <v>2</v>
      </c>
      <c r="G527" s="2" t="s">
        <v>11</v>
      </c>
    </row>
    <row r="528" spans="1:8" x14ac:dyDescent="0.2">
      <c r="A528" s="2" t="s">
        <v>4110</v>
      </c>
      <c r="B528" s="2" t="s">
        <v>1594</v>
      </c>
      <c r="C528" s="2">
        <v>851.59469999999999</v>
      </c>
      <c r="D528" s="2">
        <f>HYPERLINK("http://mcb-m6.bioreg.kyushu-u.ac.jp/M3/20110421/F51035/2524/1", 78.57)</f>
        <v>78.569999999999993</v>
      </c>
      <c r="E528" s="2">
        <v>65.22</v>
      </c>
      <c r="F528" s="2">
        <v>2</v>
      </c>
      <c r="G528" s="2" t="s">
        <v>11</v>
      </c>
    </row>
    <row r="529" spans="1:7" x14ac:dyDescent="0.2">
      <c r="A529" s="2" t="s">
        <v>4110</v>
      </c>
      <c r="B529" s="2" t="s">
        <v>1594</v>
      </c>
      <c r="C529" s="2">
        <v>851.98609999999996</v>
      </c>
      <c r="D529" s="2">
        <f>HYPERLINK("http://mcb-m6.bioreg.kyushu-u.ac.jp/M3/20110421/F51045/2607/1", 62.62)</f>
        <v>62.62</v>
      </c>
      <c r="E529" s="2">
        <v>47.13</v>
      </c>
      <c r="F529" s="2">
        <v>2</v>
      </c>
      <c r="G529" s="2" t="s">
        <v>12</v>
      </c>
    </row>
    <row r="530" spans="1:7" x14ac:dyDescent="0.2">
      <c r="A530" s="2" t="s">
        <v>4110</v>
      </c>
      <c r="B530" s="2" t="s">
        <v>1594</v>
      </c>
      <c r="C530" s="2">
        <v>851.28309999999999</v>
      </c>
      <c r="D530" s="2">
        <f>HYPERLINK("http://mcb-m6.bioreg.kyushu-u.ac.jp/M3/20110421/F51044/2543/1", 75.22)</f>
        <v>75.22</v>
      </c>
      <c r="E530" s="2">
        <v>57.95</v>
      </c>
      <c r="F530" s="2">
        <v>2</v>
      </c>
      <c r="G530" s="2" t="s">
        <v>12</v>
      </c>
    </row>
    <row r="531" spans="1:7" x14ac:dyDescent="0.2">
      <c r="A531" s="2" t="s">
        <v>4110</v>
      </c>
      <c r="B531" s="2" t="s">
        <v>1594</v>
      </c>
      <c r="C531" s="2">
        <v>851.42909999999995</v>
      </c>
      <c r="D531" s="2">
        <f>HYPERLINK("http://mcb-m6.bioreg.kyushu-u.ac.jp/M3/20110421/F51043/2560/1", 100.31)</f>
        <v>100.31</v>
      </c>
      <c r="E531" s="2">
        <v>83.5</v>
      </c>
      <c r="F531" s="2">
        <v>2</v>
      </c>
      <c r="G531" s="2" t="s">
        <v>12</v>
      </c>
    </row>
    <row r="532" spans="1:7" x14ac:dyDescent="0.2">
      <c r="A532" s="2" t="s">
        <v>4110</v>
      </c>
      <c r="B532" s="2" t="s">
        <v>1594</v>
      </c>
      <c r="C532" s="2">
        <v>851.95669999999996</v>
      </c>
      <c r="D532" s="2">
        <f>HYPERLINK("http://mcb-m6.bioreg.kyushu-u.ac.jp/M3/20110428/F51127/2529/1", 75.85)</f>
        <v>75.849999999999994</v>
      </c>
      <c r="E532" s="2">
        <v>60.42</v>
      </c>
      <c r="F532" s="2">
        <v>2</v>
      </c>
      <c r="G532" s="2" t="s">
        <v>13</v>
      </c>
    </row>
    <row r="533" spans="1:7" x14ac:dyDescent="0.2">
      <c r="A533" s="2" t="s">
        <v>4110</v>
      </c>
      <c r="B533" s="2" t="s">
        <v>1594</v>
      </c>
      <c r="C533" s="2">
        <v>851.38120000000004</v>
      </c>
      <c r="D533" s="2">
        <f>HYPERLINK("http://mcb-m6.bioreg.kyushu-u.ac.jp/M3/20110427/F51114/2631/1", 97.06)</f>
        <v>97.06</v>
      </c>
      <c r="E533" s="2">
        <v>73.2</v>
      </c>
      <c r="F533" s="2">
        <v>2</v>
      </c>
      <c r="G533" s="2" t="s">
        <v>13</v>
      </c>
    </row>
    <row r="534" spans="1:7" x14ac:dyDescent="0.2">
      <c r="A534" s="2" t="s">
        <v>4110</v>
      </c>
      <c r="B534" s="2" t="s">
        <v>1594</v>
      </c>
      <c r="C534" s="2">
        <v>851.2192</v>
      </c>
      <c r="D534" s="2">
        <f>HYPERLINK("http://mcb-m6.bioreg.kyushu-u.ac.jp/M3/20110427/F51123/2530/1", 81.62)</f>
        <v>81.62</v>
      </c>
      <c r="E534" s="2">
        <v>65.55</v>
      </c>
      <c r="F534" s="2">
        <v>2</v>
      </c>
      <c r="G534" s="2" t="s">
        <v>14</v>
      </c>
    </row>
    <row r="535" spans="1:7" x14ac:dyDescent="0.2">
      <c r="A535" s="2" t="s">
        <v>4110</v>
      </c>
      <c r="B535" s="2" t="s">
        <v>1594</v>
      </c>
      <c r="C535" s="2">
        <v>851.82619999999997</v>
      </c>
      <c r="D535" s="2">
        <f>HYPERLINK("http://mcb-m6.bioreg.kyushu-u.ac.jp/M3/20110428/F51128/2507/1", 83.66)</f>
        <v>83.66</v>
      </c>
      <c r="E535" s="2">
        <v>64.17</v>
      </c>
      <c r="F535" s="2">
        <v>2</v>
      </c>
      <c r="G535" s="2" t="s">
        <v>14</v>
      </c>
    </row>
    <row r="536" spans="1:7" x14ac:dyDescent="0.2">
      <c r="A536" s="2" t="s">
        <v>5755</v>
      </c>
      <c r="B536" s="2" t="s">
        <v>5373</v>
      </c>
      <c r="C536" s="2">
        <v>543.21469999999999</v>
      </c>
      <c r="D536" s="2">
        <f>HYPERLINK("http://mcb-m6.bioreg.kyushu-u.ac.jp/M3/20110404/F50762/1136/1", 42.27)</f>
        <v>42.27</v>
      </c>
      <c r="E536" s="2">
        <v>21.46</v>
      </c>
      <c r="F536" s="2">
        <v>2</v>
      </c>
      <c r="G536" s="2" t="s">
        <v>9</v>
      </c>
    </row>
    <row r="537" spans="1:7" x14ac:dyDescent="0.2">
      <c r="A537" s="2" t="s">
        <v>5755</v>
      </c>
      <c r="B537" s="2" t="s">
        <v>5373</v>
      </c>
      <c r="C537" s="2">
        <v>1086.6379999999999</v>
      </c>
      <c r="D537" s="2">
        <f>HYPERLINK("http://mcb-m6.bioreg.kyushu-u.ac.jp/M3/20110404/F50762/1139/1", 45.52)</f>
        <v>45.52</v>
      </c>
      <c r="E537" s="2">
        <v>18.350000000000001</v>
      </c>
      <c r="F537" s="2">
        <v>1</v>
      </c>
      <c r="G537" s="2" t="s">
        <v>9</v>
      </c>
    </row>
    <row r="538" spans="1:7" x14ac:dyDescent="0.2">
      <c r="A538" s="2" t="s">
        <v>5755</v>
      </c>
      <c r="B538" s="2" t="s">
        <v>5373</v>
      </c>
      <c r="C538" s="2">
        <v>543.24959999999999</v>
      </c>
      <c r="D538" s="2">
        <f>HYPERLINK("http://mcb-m6.bioreg.kyushu-u.ac.jp/M3/20110404/F50768/1222/1", 55.25)</f>
        <v>55.25</v>
      </c>
      <c r="E538" s="2">
        <v>34.1</v>
      </c>
      <c r="F538" s="2">
        <v>2</v>
      </c>
      <c r="G538" s="2" t="s">
        <v>10</v>
      </c>
    </row>
    <row r="539" spans="1:7" x14ac:dyDescent="0.2">
      <c r="A539" s="2" t="s">
        <v>5755</v>
      </c>
      <c r="B539" s="2" t="s">
        <v>5373</v>
      </c>
      <c r="C539" s="2">
        <v>543.7482</v>
      </c>
      <c r="D539" s="2">
        <f>HYPERLINK("http://mcb-m6.bioreg.kyushu-u.ac.jp/M3/20110421/F51045/1311/1", 57.16)</f>
        <v>57.16</v>
      </c>
      <c r="E539" s="2">
        <v>33.090000000000003</v>
      </c>
      <c r="F539" s="2">
        <v>2</v>
      </c>
      <c r="G539" s="2" t="s">
        <v>12</v>
      </c>
    </row>
    <row r="540" spans="1:7" x14ac:dyDescent="0.2">
      <c r="A540" s="2" t="s">
        <v>4107</v>
      </c>
      <c r="B540" s="2" t="s">
        <v>1587</v>
      </c>
      <c r="C540" s="2">
        <v>1004.87</v>
      </c>
      <c r="D540" s="2">
        <f>HYPERLINK("http://mcb-m6.bioreg.kyushu-u.ac.jp/M3/20110404/F50762/2597/1", 85.73)</f>
        <v>85.73</v>
      </c>
      <c r="E540" s="2">
        <v>77.16</v>
      </c>
      <c r="F540" s="2">
        <v>2</v>
      </c>
      <c r="G540" s="2" t="s">
        <v>9</v>
      </c>
    </row>
    <row r="541" spans="1:7" x14ac:dyDescent="0.2">
      <c r="A541" s="2" t="s">
        <v>4107</v>
      </c>
      <c r="B541" s="2" t="s">
        <v>1587</v>
      </c>
      <c r="C541" s="2">
        <v>1004.362</v>
      </c>
      <c r="D541" s="2">
        <f>HYPERLINK("http://mcb-m6.bioreg.kyushu-u.ac.jp/M3/20110404/F50762/2596/1", 103.85)</f>
        <v>103.85</v>
      </c>
      <c r="E541" s="2">
        <v>92.59</v>
      </c>
      <c r="F541" s="2">
        <v>2</v>
      </c>
      <c r="G541" s="2" t="s">
        <v>9</v>
      </c>
    </row>
    <row r="542" spans="1:7" x14ac:dyDescent="0.2">
      <c r="A542" s="2" t="s">
        <v>4107</v>
      </c>
      <c r="B542" s="2" t="s">
        <v>1587</v>
      </c>
      <c r="C542" s="2">
        <v>1004.825</v>
      </c>
      <c r="D542" s="2">
        <f>HYPERLINK("http://mcb-m6.bioreg.kyushu-u.ac.jp/M3/20110404/F50768/2741/1", 99.88)</f>
        <v>99.88</v>
      </c>
      <c r="E542" s="2">
        <v>93.02</v>
      </c>
      <c r="F542" s="2">
        <v>2</v>
      </c>
      <c r="G542" s="2" t="s">
        <v>10</v>
      </c>
    </row>
    <row r="543" spans="1:7" x14ac:dyDescent="0.2">
      <c r="A543" s="2" t="s">
        <v>4107</v>
      </c>
      <c r="B543" s="2" t="s">
        <v>1587</v>
      </c>
      <c r="C543" s="2">
        <v>1004.306</v>
      </c>
      <c r="D543" s="2">
        <f>HYPERLINK("http://mcb-m6.bioreg.kyushu-u.ac.jp/M3/20110404/F50768/2738/1", 110.95)</f>
        <v>110.95</v>
      </c>
      <c r="E543" s="2">
        <v>102.54</v>
      </c>
      <c r="F543" s="2">
        <v>2</v>
      </c>
      <c r="G543" s="2" t="s">
        <v>10</v>
      </c>
    </row>
    <row r="544" spans="1:7" x14ac:dyDescent="0.2">
      <c r="A544" s="2" t="s">
        <v>4107</v>
      </c>
      <c r="B544" s="2" t="s">
        <v>1587</v>
      </c>
      <c r="C544" s="2">
        <v>1004.42</v>
      </c>
      <c r="D544" s="2">
        <f>HYPERLINK("http://mcb-m6.bioreg.kyushu-u.ac.jp/M3/20110421/F51035/3159/1", 105.6)</f>
        <v>105.6</v>
      </c>
      <c r="E544" s="2">
        <v>85.96</v>
      </c>
      <c r="F544" s="2">
        <v>2</v>
      </c>
      <c r="G544" s="2" t="s">
        <v>11</v>
      </c>
    </row>
    <row r="545" spans="1:9" x14ac:dyDescent="0.2">
      <c r="A545" s="2" t="s">
        <v>4107</v>
      </c>
      <c r="B545" s="2" t="s">
        <v>1587</v>
      </c>
      <c r="C545" s="2">
        <v>1004.273</v>
      </c>
      <c r="D545" s="2">
        <f>HYPERLINK("http://mcb-m6.bioreg.kyushu-u.ac.jp/M3/20110421/F51034/3124/1", 117.31)</f>
        <v>117.31</v>
      </c>
      <c r="E545" s="2">
        <v>104.39</v>
      </c>
      <c r="F545" s="2">
        <v>2</v>
      </c>
      <c r="G545" s="2" t="s">
        <v>11</v>
      </c>
    </row>
    <row r="546" spans="1:9" x14ac:dyDescent="0.2">
      <c r="A546" s="2" t="s">
        <v>4107</v>
      </c>
      <c r="B546" s="2" t="s">
        <v>1587</v>
      </c>
      <c r="C546" s="2">
        <v>1004.1420000000001</v>
      </c>
      <c r="D546" s="2">
        <f>HYPERLINK("http://mcb-m6.bioreg.kyushu-u.ac.jp/M3/20110421/F51021/3342/1", 81.03)</f>
        <v>81.03</v>
      </c>
      <c r="E546" s="2">
        <v>72.91</v>
      </c>
      <c r="F546" s="2">
        <v>2</v>
      </c>
      <c r="G546" s="2" t="s">
        <v>12</v>
      </c>
    </row>
    <row r="547" spans="1:9" x14ac:dyDescent="0.2">
      <c r="A547" s="2" t="s">
        <v>4107</v>
      </c>
      <c r="B547" s="2" t="s">
        <v>1587</v>
      </c>
      <c r="C547" s="2">
        <v>1004.92</v>
      </c>
      <c r="D547" s="2">
        <f>HYPERLINK("http://mcb-m6.bioreg.kyushu-u.ac.jp/M3/20110421/F51043/3092/1", 108.86)</f>
        <v>108.86</v>
      </c>
      <c r="E547" s="2">
        <v>102.6</v>
      </c>
      <c r="F547" s="2">
        <v>2</v>
      </c>
      <c r="G547" s="2" t="s">
        <v>12</v>
      </c>
    </row>
    <row r="548" spans="1:9" x14ac:dyDescent="0.2">
      <c r="A548" s="2" t="s">
        <v>4107</v>
      </c>
      <c r="B548" s="2" t="s">
        <v>1587</v>
      </c>
      <c r="C548" s="2">
        <v>1004.3630000000001</v>
      </c>
      <c r="D548" s="2">
        <f>HYPERLINK("http://mcb-m6.bioreg.kyushu-u.ac.jp/M3/20110421/F51044/3102/1", 110.16)</f>
        <v>110.16</v>
      </c>
      <c r="E548" s="2">
        <v>93.75</v>
      </c>
      <c r="F548" s="2">
        <v>2</v>
      </c>
      <c r="G548" s="2" t="s">
        <v>12</v>
      </c>
    </row>
    <row r="549" spans="1:9" x14ac:dyDescent="0.2">
      <c r="A549" s="2" t="s">
        <v>4107</v>
      </c>
      <c r="B549" s="2" t="s">
        <v>1587</v>
      </c>
      <c r="C549" s="2">
        <v>1004.143</v>
      </c>
      <c r="D549" s="2">
        <f>HYPERLINK("http://mcb-m6.bioreg.kyushu-u.ac.jp/M3/20110428/F51127/3205/1", 91.86)</f>
        <v>91.86</v>
      </c>
      <c r="E549" s="2">
        <v>74.599999999999994</v>
      </c>
      <c r="F549" s="2">
        <v>2</v>
      </c>
      <c r="G549" s="2" t="s">
        <v>13</v>
      </c>
    </row>
    <row r="550" spans="1:9" x14ac:dyDescent="0.2">
      <c r="A550" s="2" t="s">
        <v>4107</v>
      </c>
      <c r="B550" s="2" t="s">
        <v>1587</v>
      </c>
      <c r="C550" s="2">
        <v>1004.694</v>
      </c>
      <c r="D550" s="2">
        <f>HYPERLINK("http://mcb-m6.bioreg.kyushu-u.ac.jp/M3/20110428/F51127/3209/1", 99.97)</f>
        <v>99.97</v>
      </c>
      <c r="E550" s="2">
        <v>90.93</v>
      </c>
      <c r="F550" s="2">
        <v>2</v>
      </c>
      <c r="G550" s="2" t="s">
        <v>13</v>
      </c>
    </row>
    <row r="551" spans="1:9" x14ac:dyDescent="0.2">
      <c r="A551" s="2" t="s">
        <v>4107</v>
      </c>
      <c r="B551" s="2" t="s">
        <v>1587</v>
      </c>
      <c r="C551" s="2">
        <v>1004.76</v>
      </c>
      <c r="D551" s="2">
        <f>HYPERLINK("http://mcb-m6.bioreg.kyushu-u.ac.jp/M3/20110427/F51114/3277/1", 100.09)</f>
        <v>100.09</v>
      </c>
      <c r="E551" s="2">
        <v>84.92</v>
      </c>
      <c r="F551" s="2">
        <v>2</v>
      </c>
      <c r="G551" s="2" t="s">
        <v>13</v>
      </c>
    </row>
    <row r="552" spans="1:9" x14ac:dyDescent="0.2">
      <c r="A552" s="2" t="s">
        <v>4107</v>
      </c>
      <c r="B552" s="2" t="s">
        <v>1587</v>
      </c>
      <c r="C552" s="2">
        <v>1004.252</v>
      </c>
      <c r="D552" s="2">
        <f>HYPERLINK("http://mcb-m6.bioreg.kyushu-u.ac.jp/M3/20110427/F51114/3276/1", 118.8)</f>
        <v>118.8</v>
      </c>
      <c r="E552" s="2">
        <v>103.6</v>
      </c>
      <c r="F552" s="2">
        <v>2</v>
      </c>
      <c r="G552" s="2" t="s">
        <v>13</v>
      </c>
    </row>
    <row r="553" spans="1:9" x14ac:dyDescent="0.2">
      <c r="A553" s="2" t="s">
        <v>4107</v>
      </c>
      <c r="B553" s="2" t="s">
        <v>1587</v>
      </c>
      <c r="C553" s="2">
        <v>1004.779</v>
      </c>
      <c r="D553" s="2">
        <f>HYPERLINK("http://mcb-m6.bioreg.kyushu-u.ac.jp/M3/20110427/F51123/3108/1", 99.79)</f>
        <v>99.79</v>
      </c>
      <c r="E553" s="2">
        <v>89.16</v>
      </c>
      <c r="F553" s="2">
        <v>2</v>
      </c>
      <c r="G553" s="2" t="s">
        <v>14</v>
      </c>
    </row>
    <row r="554" spans="1:9" x14ac:dyDescent="0.2">
      <c r="A554" s="2" t="s">
        <v>4107</v>
      </c>
      <c r="B554" s="2" t="s">
        <v>1587</v>
      </c>
      <c r="C554" s="2">
        <v>1004.173</v>
      </c>
      <c r="D554" s="2">
        <f>HYPERLINK("http://mcb-m6.bioreg.kyushu-u.ac.jp/M3/20110428/F51128/3118/1", 105.86)</f>
        <v>105.86</v>
      </c>
      <c r="E554" s="2">
        <v>87.93</v>
      </c>
      <c r="F554" s="2">
        <v>2</v>
      </c>
      <c r="G554" s="2" t="s">
        <v>14</v>
      </c>
    </row>
    <row r="555" spans="1:9" x14ac:dyDescent="0.2">
      <c r="A555" s="2" t="s">
        <v>4107</v>
      </c>
      <c r="B555" s="2" t="s">
        <v>1587</v>
      </c>
      <c r="C555" s="2">
        <v>1004.224</v>
      </c>
      <c r="D555" s="2">
        <f>HYPERLINK("http://mcb-m6.bioreg.kyushu-u.ac.jp/M3/20110427/F51123/3105/1", 107.66)</f>
        <v>107.66</v>
      </c>
      <c r="E555" s="2">
        <v>93.92</v>
      </c>
      <c r="F555" s="2">
        <v>2</v>
      </c>
      <c r="G555" s="2" t="s">
        <v>14</v>
      </c>
    </row>
    <row r="556" spans="1:9" x14ac:dyDescent="0.2">
      <c r="A556" s="2" t="s">
        <v>3632</v>
      </c>
      <c r="B556" s="2" t="s">
        <v>547</v>
      </c>
      <c r="C556" s="2">
        <v>800.20669999999996</v>
      </c>
      <c r="D556" s="2">
        <f>HYPERLINK("http://mcb-m6.bioreg.kyushu-u.ac.jp/M3/20110404/F50768/2116/1", 67.66)</f>
        <v>67.66</v>
      </c>
      <c r="E556" s="2">
        <v>54.11</v>
      </c>
      <c r="F556" s="2">
        <v>2</v>
      </c>
      <c r="G556" s="2" t="s">
        <v>10</v>
      </c>
      <c r="I556" s="2" t="s">
        <v>4923</v>
      </c>
    </row>
    <row r="557" spans="1:9" x14ac:dyDescent="0.2">
      <c r="A557" s="2" t="s">
        <v>3632</v>
      </c>
      <c r="B557" s="2" t="s">
        <v>547</v>
      </c>
      <c r="C557" s="2">
        <v>800.44619999999998</v>
      </c>
      <c r="D557" s="2">
        <f>HYPERLINK("http://mcb-m6.bioreg.kyushu-u.ac.jp/M3/20110421/F51035/2298/1", 43.14)</f>
        <v>43.14</v>
      </c>
      <c r="E557" s="2">
        <v>34.76</v>
      </c>
      <c r="F557" s="2">
        <v>2</v>
      </c>
      <c r="G557" s="2" t="s">
        <v>11</v>
      </c>
      <c r="I557" s="2" t="s">
        <v>4923</v>
      </c>
    </row>
    <row r="558" spans="1:9" x14ac:dyDescent="0.2">
      <c r="A558" s="2" t="s">
        <v>3632</v>
      </c>
      <c r="B558" s="2" t="s">
        <v>547</v>
      </c>
      <c r="C558" s="2">
        <v>800.34860000000003</v>
      </c>
      <c r="D558" s="2">
        <f>HYPERLINK("http://mcb-m6.bioreg.kyushu-u.ac.jp/M3/20110421/F51034/2332/1", 83.84)</f>
        <v>83.84</v>
      </c>
      <c r="E558" s="2">
        <v>69.540000000000006</v>
      </c>
      <c r="F558" s="2">
        <v>2</v>
      </c>
      <c r="G558" s="2" t="s">
        <v>11</v>
      </c>
      <c r="I558" s="2" t="s">
        <v>4923</v>
      </c>
    </row>
    <row r="559" spans="1:9" x14ac:dyDescent="0.2">
      <c r="A559" s="2" t="s">
        <v>3632</v>
      </c>
      <c r="B559" s="2" t="s">
        <v>547</v>
      </c>
      <c r="C559" s="2">
        <v>799.85310000000004</v>
      </c>
      <c r="D559" s="2">
        <f>HYPERLINK("http://mcb-m6.bioreg.kyushu-u.ac.jp/M3/20110421/F51044/2347/1", 68.61)</f>
        <v>68.61</v>
      </c>
      <c r="E559" s="2">
        <v>56.14</v>
      </c>
      <c r="F559" s="2">
        <v>2</v>
      </c>
      <c r="G559" s="2" t="s">
        <v>12</v>
      </c>
      <c r="I559" s="2" t="s">
        <v>4923</v>
      </c>
    </row>
    <row r="560" spans="1:9" x14ac:dyDescent="0.2">
      <c r="A560" s="2" t="s">
        <v>3632</v>
      </c>
      <c r="B560" s="2" t="s">
        <v>547</v>
      </c>
      <c r="C560" s="2">
        <v>799.85419999999999</v>
      </c>
      <c r="D560" s="2">
        <f>HYPERLINK("http://mcb-m6.bioreg.kyushu-u.ac.jp/M3/20110427/F51114/2392/1", 54)</f>
        <v>54</v>
      </c>
      <c r="E560" s="2">
        <v>35.01</v>
      </c>
      <c r="F560" s="2">
        <v>2</v>
      </c>
      <c r="G560" s="2" t="s">
        <v>13</v>
      </c>
      <c r="I560" s="2" t="s">
        <v>4923</v>
      </c>
    </row>
    <row r="561" spans="1:9" x14ac:dyDescent="0.2">
      <c r="A561" s="2" t="s">
        <v>3632</v>
      </c>
      <c r="B561" s="2" t="s">
        <v>547</v>
      </c>
      <c r="C561" s="2">
        <v>799.98469999999998</v>
      </c>
      <c r="D561" s="2">
        <f>HYPERLINK("http://mcb-m6.bioreg.kyushu-u.ac.jp/M3/20110427/F51123/2331/1", 51.75)</f>
        <v>51.75</v>
      </c>
      <c r="E561" s="2">
        <v>33.49</v>
      </c>
      <c r="F561" s="2">
        <v>2</v>
      </c>
      <c r="G561" s="2" t="s">
        <v>14</v>
      </c>
      <c r="I561" s="2" t="s">
        <v>4923</v>
      </c>
    </row>
    <row r="562" spans="1:9" x14ac:dyDescent="0.2">
      <c r="A562" s="2" t="s">
        <v>8111</v>
      </c>
      <c r="B562" s="2" t="s">
        <v>7465</v>
      </c>
      <c r="C562" s="2">
        <v>749.19680000000005</v>
      </c>
      <c r="D562" s="2">
        <f>HYPERLINK("http://mcb-m6.bioreg.kyushu-u.ac.jp/M3/20110428/F51135/2945/1", 37.1)</f>
        <v>37.1</v>
      </c>
      <c r="E562" s="2">
        <v>26.79</v>
      </c>
      <c r="F562" s="2">
        <v>3</v>
      </c>
      <c r="G562" s="2" t="s">
        <v>14</v>
      </c>
    </row>
    <row r="563" spans="1:9" x14ac:dyDescent="0.2">
      <c r="A563" s="2" t="s">
        <v>3539</v>
      </c>
      <c r="B563" s="2" t="s">
        <v>393</v>
      </c>
      <c r="C563" s="2">
        <v>895.97969999999998</v>
      </c>
      <c r="D563" s="2">
        <f>HYPERLINK("http://mcb-m6.bioreg.kyushu-u.ac.jp/M3/20110404/F50776/2208/1", 45.72)</f>
        <v>45.72</v>
      </c>
      <c r="E563" s="2">
        <v>36.96</v>
      </c>
      <c r="F563" s="2">
        <v>2</v>
      </c>
      <c r="G563" s="2" t="s">
        <v>9</v>
      </c>
    </row>
    <row r="564" spans="1:9" x14ac:dyDescent="0.2">
      <c r="A564" s="2" t="s">
        <v>3539</v>
      </c>
      <c r="B564" s="2" t="s">
        <v>393</v>
      </c>
      <c r="C564" s="2">
        <v>597.7672</v>
      </c>
      <c r="D564" s="2">
        <f>HYPERLINK("http://mcb-m6.bioreg.kyushu-u.ac.jp/M3/20110404/F50776/2209/1", 55.67)</f>
        <v>55.67</v>
      </c>
      <c r="E564" s="2">
        <v>39.25</v>
      </c>
      <c r="F564" s="2">
        <v>3</v>
      </c>
      <c r="G564" s="2" t="s">
        <v>9</v>
      </c>
    </row>
    <row r="565" spans="1:9" x14ac:dyDescent="0.2">
      <c r="A565" s="2" t="s">
        <v>3539</v>
      </c>
      <c r="B565" s="2" t="s">
        <v>393</v>
      </c>
      <c r="C565" s="2">
        <v>1791.3869999999999</v>
      </c>
      <c r="D565" s="2">
        <f>HYPERLINK("http://mcb-m6.bioreg.kyushu-u.ac.jp/M3/20110404/F50776/2211/1", 64.25)</f>
        <v>64.25</v>
      </c>
      <c r="E565" s="2">
        <v>50.8</v>
      </c>
      <c r="F565" s="2">
        <v>1</v>
      </c>
      <c r="G565" s="2" t="s">
        <v>9</v>
      </c>
    </row>
    <row r="566" spans="1:9" x14ac:dyDescent="0.2">
      <c r="A566" s="2" t="s">
        <v>3539</v>
      </c>
      <c r="B566" s="2" t="s">
        <v>393</v>
      </c>
      <c r="C566" s="2">
        <v>896.48969999999997</v>
      </c>
      <c r="D566" s="2">
        <f>HYPERLINK("http://mcb-m6.bioreg.kyushu-u.ac.jp/M3/20110404/F50756/2667/1", 68.29)</f>
        <v>68.290000000000006</v>
      </c>
      <c r="E566" s="2">
        <v>44.82</v>
      </c>
      <c r="F566" s="2">
        <v>2</v>
      </c>
      <c r="G566" s="2" t="s">
        <v>9</v>
      </c>
    </row>
    <row r="567" spans="1:9" x14ac:dyDescent="0.2">
      <c r="A567" s="2" t="s">
        <v>3539</v>
      </c>
      <c r="B567" s="2" t="s">
        <v>393</v>
      </c>
      <c r="C567" s="2">
        <v>895.92520000000002</v>
      </c>
      <c r="D567" s="2">
        <f>HYPERLINK("http://mcb-m6.bioreg.kyushu-u.ac.jp/M3/20110404/F50776/2207/1", 81.03)</f>
        <v>81.03</v>
      </c>
      <c r="E567" s="2">
        <v>60.53</v>
      </c>
      <c r="F567" s="2">
        <v>2</v>
      </c>
      <c r="G567" s="2" t="s">
        <v>9</v>
      </c>
    </row>
    <row r="568" spans="1:9" x14ac:dyDescent="0.2">
      <c r="A568" s="2" t="s">
        <v>3539</v>
      </c>
      <c r="B568" s="2" t="s">
        <v>393</v>
      </c>
      <c r="C568" s="2">
        <v>896.19619999999998</v>
      </c>
      <c r="D568" s="2">
        <f>HYPERLINK("http://mcb-m6.bioreg.kyushu-u.ac.jp/M3/20110404/F50776/2210/1", 94.12)</f>
        <v>94.12</v>
      </c>
      <c r="E568" s="2">
        <v>65.83</v>
      </c>
      <c r="F568" s="2">
        <v>2</v>
      </c>
      <c r="G568" s="2" t="s">
        <v>9</v>
      </c>
    </row>
    <row r="569" spans="1:9" x14ac:dyDescent="0.2">
      <c r="A569" s="2" t="s">
        <v>3539</v>
      </c>
      <c r="B569" s="2" t="s">
        <v>393</v>
      </c>
      <c r="C569" s="2">
        <v>895.80110000000002</v>
      </c>
      <c r="D569" s="2">
        <f>HYPERLINK("http://mcb-m6.bioreg.kyushu-u.ac.jp/M3/20110404/F50771/2497/1", 52.04)</f>
        <v>52.04</v>
      </c>
      <c r="E569" s="2">
        <v>32.04</v>
      </c>
      <c r="F569" s="2">
        <v>2</v>
      </c>
      <c r="G569" s="2" t="s">
        <v>10</v>
      </c>
    </row>
    <row r="570" spans="1:9" x14ac:dyDescent="0.2">
      <c r="A570" s="2" t="s">
        <v>3539</v>
      </c>
      <c r="B570" s="2" t="s">
        <v>393</v>
      </c>
      <c r="C570" s="2">
        <v>597.62710000000004</v>
      </c>
      <c r="D570" s="2">
        <f>HYPERLINK("http://mcb-m6.bioreg.kyushu-u.ac.jp/M3/20110404/F50781/2188/1", 62.38)</f>
        <v>62.38</v>
      </c>
      <c r="E570" s="2">
        <v>41.91</v>
      </c>
      <c r="F570" s="2">
        <v>3</v>
      </c>
      <c r="G570" s="2" t="s">
        <v>10</v>
      </c>
    </row>
    <row r="571" spans="1:9" x14ac:dyDescent="0.2">
      <c r="A571" s="2" t="s">
        <v>3539</v>
      </c>
      <c r="B571" s="2" t="s">
        <v>393</v>
      </c>
      <c r="C571" s="2">
        <v>1791.269</v>
      </c>
      <c r="D571" s="2">
        <f>HYPERLINK("http://mcb-m6.bioreg.kyushu-u.ac.jp/M3/20110404/F50781/2195/1", 64.4)</f>
        <v>64.400000000000006</v>
      </c>
      <c r="E571" s="2">
        <v>49.43</v>
      </c>
      <c r="F571" s="2">
        <v>1</v>
      </c>
      <c r="G571" s="2" t="s">
        <v>10</v>
      </c>
    </row>
    <row r="572" spans="1:9" x14ac:dyDescent="0.2">
      <c r="A572" s="2" t="s">
        <v>3539</v>
      </c>
      <c r="B572" s="2" t="s">
        <v>393</v>
      </c>
      <c r="C572" s="2">
        <v>896.06460000000004</v>
      </c>
      <c r="D572" s="2">
        <f>HYPERLINK("http://mcb-m6.bioreg.kyushu-u.ac.jp/M3/20110404/F50781/2193/1", 72.36)</f>
        <v>72.36</v>
      </c>
      <c r="E572" s="2">
        <v>47.48</v>
      </c>
      <c r="F572" s="2">
        <v>2</v>
      </c>
      <c r="G572" s="2" t="s">
        <v>10</v>
      </c>
    </row>
    <row r="573" spans="1:9" x14ac:dyDescent="0.2">
      <c r="A573" s="2" t="s">
        <v>3539</v>
      </c>
      <c r="B573" s="2" t="s">
        <v>393</v>
      </c>
      <c r="C573" s="2">
        <v>895.82320000000004</v>
      </c>
      <c r="D573" s="2">
        <f>HYPERLINK("http://mcb-m6.bioreg.kyushu-u.ac.jp/M3/20110404/F50761/2464/1", 76.39)</f>
        <v>76.39</v>
      </c>
      <c r="E573" s="2">
        <v>54.39</v>
      </c>
      <c r="F573" s="2">
        <v>2</v>
      </c>
      <c r="G573" s="2" t="s">
        <v>10</v>
      </c>
    </row>
    <row r="574" spans="1:9" x14ac:dyDescent="0.2">
      <c r="A574" s="2" t="s">
        <v>3539</v>
      </c>
      <c r="B574" s="2" t="s">
        <v>393</v>
      </c>
      <c r="C574" s="2">
        <v>895.97770000000003</v>
      </c>
      <c r="D574" s="2">
        <f>HYPERLINK("http://mcb-m6.bioreg.kyushu-u.ac.jp/M3/20110404/F50781/2191/1", 76.52)</f>
        <v>76.52</v>
      </c>
      <c r="E574" s="2">
        <v>45.67</v>
      </c>
      <c r="F574" s="2">
        <v>2</v>
      </c>
      <c r="G574" s="2" t="s">
        <v>10</v>
      </c>
    </row>
    <row r="575" spans="1:9" x14ac:dyDescent="0.2">
      <c r="A575" s="2" t="s">
        <v>3539</v>
      </c>
      <c r="B575" s="2" t="s">
        <v>393</v>
      </c>
      <c r="C575" s="2">
        <v>895.96559999999999</v>
      </c>
      <c r="D575" s="2">
        <f>HYPERLINK("http://mcb-m6.bioreg.kyushu-u.ac.jp/M3/20110404/F50781/2190/1", 97.89)</f>
        <v>97.89</v>
      </c>
      <c r="E575" s="2">
        <v>77.83</v>
      </c>
      <c r="F575" s="2">
        <v>2</v>
      </c>
      <c r="G575" s="2" t="s">
        <v>10</v>
      </c>
    </row>
    <row r="576" spans="1:9" x14ac:dyDescent="0.2">
      <c r="A576" s="2" t="s">
        <v>3539</v>
      </c>
      <c r="B576" s="2" t="s">
        <v>393</v>
      </c>
      <c r="C576" s="2">
        <v>895.95010000000002</v>
      </c>
      <c r="D576" s="2">
        <f>HYPERLINK("http://mcb-m6.bioreg.kyushu-u.ac.jp/M3/20110404/F50782/2536/1", 106.49)</f>
        <v>106.49</v>
      </c>
      <c r="E576" s="2">
        <v>84.23</v>
      </c>
      <c r="F576" s="2">
        <v>2</v>
      </c>
      <c r="G576" s="2" t="s">
        <v>10</v>
      </c>
    </row>
    <row r="577" spans="1:7" x14ac:dyDescent="0.2">
      <c r="A577" s="2" t="s">
        <v>3539</v>
      </c>
      <c r="B577" s="2" t="s">
        <v>393</v>
      </c>
      <c r="C577" s="2">
        <v>896.00019999999995</v>
      </c>
      <c r="D577" s="2">
        <f>HYPERLINK("http://mcb-m6.bioreg.kyushu-u.ac.jp/M3/20110404/F50781/2192/1", 116.24)</f>
        <v>116.24</v>
      </c>
      <c r="E577" s="2">
        <v>91.25</v>
      </c>
      <c r="F577" s="2">
        <v>2</v>
      </c>
      <c r="G577" s="2" t="s">
        <v>10</v>
      </c>
    </row>
    <row r="578" spans="1:7" x14ac:dyDescent="0.2">
      <c r="A578" s="2" t="s">
        <v>3539</v>
      </c>
      <c r="B578" s="2" t="s">
        <v>393</v>
      </c>
      <c r="C578" s="2">
        <v>896.28719999999998</v>
      </c>
      <c r="D578" s="2">
        <f>HYPERLINK("http://mcb-m6.bioreg.kyushu-u.ac.jp/M3/20110421/F51019/2647/1", 37.06)</f>
        <v>37.06</v>
      </c>
      <c r="E578" s="2">
        <v>14.04</v>
      </c>
      <c r="F578" s="2">
        <v>2</v>
      </c>
      <c r="G578" s="2" t="s">
        <v>11</v>
      </c>
    </row>
    <row r="579" spans="1:7" x14ac:dyDescent="0.2">
      <c r="A579" s="2" t="s">
        <v>3539</v>
      </c>
      <c r="B579" s="2" t="s">
        <v>393</v>
      </c>
      <c r="C579" s="2">
        <v>896.03369999999995</v>
      </c>
      <c r="D579" s="2">
        <f>HYPERLINK("http://mcb-m6.bioreg.kyushu-u.ac.jp/M3/20110421/F51014/2668/1", 50.53)</f>
        <v>50.53</v>
      </c>
      <c r="E579" s="2">
        <v>25.3</v>
      </c>
      <c r="F579" s="2">
        <v>2</v>
      </c>
      <c r="G579" s="2" t="s">
        <v>11</v>
      </c>
    </row>
    <row r="580" spans="1:7" x14ac:dyDescent="0.2">
      <c r="A580" s="2" t="s">
        <v>3539</v>
      </c>
      <c r="B580" s="2" t="s">
        <v>393</v>
      </c>
      <c r="C580" s="2">
        <v>896.48969999999997</v>
      </c>
      <c r="D580" s="2">
        <f>HYPERLINK("http://mcb-m6.bioreg.kyushu-u.ac.jp/M3/20110421/F51035/2754/1", 51.79)</f>
        <v>51.79</v>
      </c>
      <c r="E580" s="2">
        <v>34.700000000000003</v>
      </c>
      <c r="F580" s="2">
        <v>2</v>
      </c>
      <c r="G580" s="2" t="s">
        <v>11</v>
      </c>
    </row>
    <row r="581" spans="1:7" x14ac:dyDescent="0.2">
      <c r="A581" s="2" t="s">
        <v>3539</v>
      </c>
      <c r="B581" s="2" t="s">
        <v>393</v>
      </c>
      <c r="C581" s="2">
        <v>896.19759999999997</v>
      </c>
      <c r="D581" s="2">
        <f>HYPERLINK("http://mcb-m6.bioreg.kyushu-u.ac.jp/M3/20110421/F51018/2734/1", 60.7)</f>
        <v>60.7</v>
      </c>
      <c r="E581" s="2">
        <v>35</v>
      </c>
      <c r="F581" s="2">
        <v>2</v>
      </c>
      <c r="G581" s="2" t="s">
        <v>11</v>
      </c>
    </row>
    <row r="582" spans="1:7" x14ac:dyDescent="0.2">
      <c r="A582" s="2" t="s">
        <v>3539</v>
      </c>
      <c r="B582" s="2" t="s">
        <v>393</v>
      </c>
      <c r="C582" s="2">
        <v>896.36969999999997</v>
      </c>
      <c r="D582" s="2">
        <f>HYPERLINK("http://mcb-m6.bioreg.kyushu-u.ac.jp/M3/20110421/F51058/2519/1", 65.31)</f>
        <v>65.31</v>
      </c>
      <c r="E582" s="2">
        <v>44.83</v>
      </c>
      <c r="F582" s="2">
        <v>2</v>
      </c>
      <c r="G582" s="2" t="s">
        <v>11</v>
      </c>
    </row>
    <row r="583" spans="1:7" x14ac:dyDescent="0.2">
      <c r="A583" s="2" t="s">
        <v>3539</v>
      </c>
      <c r="B583" s="2" t="s">
        <v>393</v>
      </c>
      <c r="C583" s="2">
        <v>597.98080000000004</v>
      </c>
      <c r="D583" s="2">
        <f>HYPERLINK("http://mcb-m6.bioreg.kyushu-u.ac.jp/M3/20110421/F51058/2520/1", 67.17)</f>
        <v>67.17</v>
      </c>
      <c r="E583" s="2">
        <v>47.78</v>
      </c>
      <c r="F583" s="2">
        <v>3</v>
      </c>
      <c r="G583" s="2" t="s">
        <v>11</v>
      </c>
    </row>
    <row r="584" spans="1:7" x14ac:dyDescent="0.2">
      <c r="A584" s="2" t="s">
        <v>3539</v>
      </c>
      <c r="B584" s="2" t="s">
        <v>393</v>
      </c>
      <c r="C584" s="2">
        <v>895.99270000000001</v>
      </c>
      <c r="D584" s="2">
        <f>HYPERLINK("http://mcb-m6.bioreg.kyushu-u.ac.jp/M3/20110421/F51058/2517/1", 67.7)</f>
        <v>67.7</v>
      </c>
      <c r="E584" s="2">
        <v>47.75</v>
      </c>
      <c r="F584" s="2">
        <v>2</v>
      </c>
      <c r="G584" s="2" t="s">
        <v>11</v>
      </c>
    </row>
    <row r="585" spans="1:7" x14ac:dyDescent="0.2">
      <c r="A585" s="2" t="s">
        <v>3539</v>
      </c>
      <c r="B585" s="2" t="s">
        <v>393</v>
      </c>
      <c r="C585" s="2">
        <v>895.87620000000004</v>
      </c>
      <c r="D585" s="2">
        <f>HYPERLINK("http://mcb-m6.bioreg.kyushu-u.ac.jp/M3/20110421/F51058/2516/1", 68.38)</f>
        <v>68.38</v>
      </c>
      <c r="E585" s="2">
        <v>48.21</v>
      </c>
      <c r="F585" s="2">
        <v>2</v>
      </c>
      <c r="G585" s="2" t="s">
        <v>11</v>
      </c>
    </row>
    <row r="586" spans="1:7" x14ac:dyDescent="0.2">
      <c r="A586" s="2" t="s">
        <v>3539</v>
      </c>
      <c r="B586" s="2" t="s">
        <v>393</v>
      </c>
      <c r="C586" s="2">
        <v>896.15809999999999</v>
      </c>
      <c r="D586" s="2">
        <f>HYPERLINK("http://mcb-m6.bioreg.kyushu-u.ac.jp/M3/20110421/F51058/2518/1", 77.13)</f>
        <v>77.13</v>
      </c>
      <c r="E586" s="2">
        <v>43.61</v>
      </c>
      <c r="F586" s="2">
        <v>2</v>
      </c>
      <c r="G586" s="2" t="s">
        <v>11</v>
      </c>
    </row>
    <row r="587" spans="1:7" x14ac:dyDescent="0.2">
      <c r="A587" s="2" t="s">
        <v>3539</v>
      </c>
      <c r="B587" s="2" t="s">
        <v>393</v>
      </c>
      <c r="C587" s="2">
        <v>896.47609999999997</v>
      </c>
      <c r="D587" s="2">
        <f>HYPERLINK("http://mcb-m6.bioreg.kyushu-u.ac.jp/M3/20110421/F51044/2715/1", 40.9)</f>
        <v>40.9</v>
      </c>
      <c r="E587" s="2">
        <v>22.29</v>
      </c>
      <c r="F587" s="2">
        <v>2</v>
      </c>
      <c r="G587" s="2" t="s">
        <v>12</v>
      </c>
    </row>
    <row r="588" spans="1:7" x14ac:dyDescent="0.2">
      <c r="A588" s="2" t="s">
        <v>3539</v>
      </c>
      <c r="B588" s="2" t="s">
        <v>393</v>
      </c>
      <c r="C588" s="2">
        <v>895.82169999999996</v>
      </c>
      <c r="D588" s="2">
        <f>HYPERLINK("http://mcb-m6.bioreg.kyushu-u.ac.jp/M3/20110421/F51024/2737/1", 47.54)</f>
        <v>47.54</v>
      </c>
      <c r="E588" s="2">
        <v>33.200000000000003</v>
      </c>
      <c r="F588" s="2">
        <v>2</v>
      </c>
      <c r="G588" s="2" t="s">
        <v>12</v>
      </c>
    </row>
    <row r="589" spans="1:7" x14ac:dyDescent="0.2">
      <c r="A589" s="2" t="s">
        <v>3539</v>
      </c>
      <c r="B589" s="2" t="s">
        <v>393</v>
      </c>
      <c r="C589" s="2">
        <v>896.4307</v>
      </c>
      <c r="D589" s="2">
        <f>HYPERLINK("http://mcb-m6.bioreg.kyushu-u.ac.jp/M3/20110421/F51050/2677/1", 47.59)</f>
        <v>47.59</v>
      </c>
      <c r="E589" s="2">
        <v>28.32</v>
      </c>
      <c r="F589" s="2">
        <v>2</v>
      </c>
      <c r="G589" s="2" t="s">
        <v>12</v>
      </c>
    </row>
    <row r="590" spans="1:7" x14ac:dyDescent="0.2">
      <c r="A590" s="2" t="s">
        <v>3539</v>
      </c>
      <c r="B590" s="2" t="s">
        <v>393</v>
      </c>
      <c r="C590" s="2">
        <v>895.83259999999996</v>
      </c>
      <c r="D590" s="2">
        <f>HYPERLINK("http://mcb-m6.bioreg.kyushu-u.ac.jp/M3/20110421/F51059/2462/1", 48.55)</f>
        <v>48.55</v>
      </c>
      <c r="E590" s="2">
        <v>37.18</v>
      </c>
      <c r="F590" s="2">
        <v>2</v>
      </c>
      <c r="G590" s="2" t="s">
        <v>12</v>
      </c>
    </row>
    <row r="591" spans="1:7" x14ac:dyDescent="0.2">
      <c r="A591" s="2" t="s">
        <v>3539</v>
      </c>
      <c r="B591" s="2" t="s">
        <v>393</v>
      </c>
      <c r="C591" s="2">
        <v>896.47969999999998</v>
      </c>
      <c r="D591" s="2">
        <f>HYPERLINK("http://mcb-m6.bioreg.kyushu-u.ac.jp/M3/20110421/F51059/2473/1", 48.95)</f>
        <v>48.95</v>
      </c>
      <c r="E591" s="2">
        <v>27.68</v>
      </c>
      <c r="F591" s="2">
        <v>2</v>
      </c>
      <c r="G591" s="2" t="s">
        <v>12</v>
      </c>
    </row>
    <row r="592" spans="1:7" x14ac:dyDescent="0.2">
      <c r="A592" s="2" t="s">
        <v>3539</v>
      </c>
      <c r="B592" s="2" t="s">
        <v>393</v>
      </c>
      <c r="C592" s="2">
        <v>895.85519999999997</v>
      </c>
      <c r="D592" s="2">
        <f>HYPERLINK("http://mcb-m6.bioreg.kyushu-u.ac.jp/M3/20110421/F51026/2585/1", 49.87)</f>
        <v>49.87</v>
      </c>
      <c r="E592" s="2">
        <v>32.21</v>
      </c>
      <c r="F592" s="2">
        <v>2</v>
      </c>
      <c r="G592" s="2" t="s">
        <v>12</v>
      </c>
    </row>
    <row r="593" spans="1:7" x14ac:dyDescent="0.2">
      <c r="A593" s="2" t="s">
        <v>3539</v>
      </c>
      <c r="B593" s="2" t="s">
        <v>393</v>
      </c>
      <c r="C593" s="2">
        <v>895.8741</v>
      </c>
      <c r="D593" s="2">
        <f>HYPERLINK("http://mcb-m6.bioreg.kyushu-u.ac.jp/M3/20110421/F51059/2463/1", 51.78)</f>
        <v>51.78</v>
      </c>
      <c r="E593" s="2">
        <v>38.29</v>
      </c>
      <c r="F593" s="2">
        <v>2</v>
      </c>
      <c r="G593" s="2" t="s">
        <v>12</v>
      </c>
    </row>
    <row r="594" spans="1:7" x14ac:dyDescent="0.2">
      <c r="A594" s="2" t="s">
        <v>3539</v>
      </c>
      <c r="B594" s="2" t="s">
        <v>393</v>
      </c>
      <c r="C594" s="2">
        <v>896.26120000000003</v>
      </c>
      <c r="D594" s="2">
        <f>HYPERLINK("http://mcb-m6.bioreg.kyushu-u.ac.jp/M3/20110421/F51024/2739/1", 56.24)</f>
        <v>56.24</v>
      </c>
      <c r="E594" s="2">
        <v>37.14</v>
      </c>
      <c r="F594" s="2">
        <v>2</v>
      </c>
      <c r="G594" s="2" t="s">
        <v>12</v>
      </c>
    </row>
    <row r="595" spans="1:7" x14ac:dyDescent="0.2">
      <c r="A595" s="2" t="s">
        <v>3539</v>
      </c>
      <c r="B595" s="2" t="s">
        <v>393</v>
      </c>
      <c r="C595" s="2">
        <v>895.92269999999996</v>
      </c>
      <c r="D595" s="2">
        <f>HYPERLINK("http://mcb-m6.bioreg.kyushu-u.ac.jp/M3/20110421/F51059/2467/1", 58.66)</f>
        <v>58.66</v>
      </c>
      <c r="E595" s="2">
        <v>40.450000000000003</v>
      </c>
      <c r="F595" s="2">
        <v>2</v>
      </c>
      <c r="G595" s="2" t="s">
        <v>12</v>
      </c>
    </row>
    <row r="596" spans="1:7" x14ac:dyDescent="0.2">
      <c r="A596" s="2" t="s">
        <v>3539</v>
      </c>
      <c r="B596" s="2" t="s">
        <v>393</v>
      </c>
      <c r="C596" s="2">
        <v>896.20370000000003</v>
      </c>
      <c r="D596" s="2">
        <f>HYPERLINK("http://mcb-m6.bioreg.kyushu-u.ac.jp/M3/20110421/F51024/2738/1", 58.76)</f>
        <v>58.76</v>
      </c>
      <c r="E596" s="2">
        <v>32.28</v>
      </c>
      <c r="F596" s="2">
        <v>2</v>
      </c>
      <c r="G596" s="2" t="s">
        <v>12</v>
      </c>
    </row>
    <row r="597" spans="1:7" x14ac:dyDescent="0.2">
      <c r="A597" s="2" t="s">
        <v>3539</v>
      </c>
      <c r="B597" s="2" t="s">
        <v>393</v>
      </c>
      <c r="C597" s="2">
        <v>1790.836</v>
      </c>
      <c r="D597" s="2">
        <f>HYPERLINK("http://mcb-m6.bioreg.kyushu-u.ac.jp/M3/20110421/F51059/2466/1", 60.76)</f>
        <v>60.76</v>
      </c>
      <c r="E597" s="2">
        <v>43.82</v>
      </c>
      <c r="F597" s="2">
        <v>1</v>
      </c>
      <c r="G597" s="2" t="s">
        <v>12</v>
      </c>
    </row>
    <row r="598" spans="1:7" x14ac:dyDescent="0.2">
      <c r="A598" s="2" t="s">
        <v>3539</v>
      </c>
      <c r="B598" s="2" t="s">
        <v>393</v>
      </c>
      <c r="C598" s="2">
        <v>895.90719999999999</v>
      </c>
      <c r="D598" s="2">
        <f>HYPERLINK("http://mcb-m6.bioreg.kyushu-u.ac.jp/M3/20110421/F51059/2465/1", 60.89)</f>
        <v>60.89</v>
      </c>
      <c r="E598" s="2">
        <v>38.07</v>
      </c>
      <c r="F598" s="2">
        <v>2</v>
      </c>
      <c r="G598" s="2" t="s">
        <v>12</v>
      </c>
    </row>
    <row r="599" spans="1:7" x14ac:dyDescent="0.2">
      <c r="A599" s="2" t="s">
        <v>3539</v>
      </c>
      <c r="B599" s="2" t="s">
        <v>393</v>
      </c>
      <c r="C599" s="2">
        <v>895.81209999999999</v>
      </c>
      <c r="D599" s="2">
        <f>HYPERLINK("http://mcb-m6.bioreg.kyushu-u.ac.jp/M3/20110421/F51059/2461/1", 61.22)</f>
        <v>61.22</v>
      </c>
      <c r="E599" s="2">
        <v>40.67</v>
      </c>
      <c r="F599" s="2">
        <v>2</v>
      </c>
      <c r="G599" s="2" t="s">
        <v>12</v>
      </c>
    </row>
    <row r="600" spans="1:7" x14ac:dyDescent="0.2">
      <c r="A600" s="2" t="s">
        <v>3539</v>
      </c>
      <c r="B600" s="2" t="s">
        <v>393</v>
      </c>
      <c r="C600" s="2">
        <v>597.99980000000005</v>
      </c>
      <c r="D600" s="2">
        <f>HYPERLINK("http://mcb-m6.bioreg.kyushu-u.ac.jp/M3/20110421/F51059/2474/1", 64.58)</f>
        <v>64.58</v>
      </c>
      <c r="E600" s="2">
        <v>46.49</v>
      </c>
      <c r="F600" s="2">
        <v>3</v>
      </c>
      <c r="G600" s="2" t="s">
        <v>12</v>
      </c>
    </row>
    <row r="601" spans="1:7" x14ac:dyDescent="0.2">
      <c r="A601" s="2" t="s">
        <v>3539</v>
      </c>
      <c r="B601" s="2" t="s">
        <v>393</v>
      </c>
      <c r="C601" s="2">
        <v>597.75620000000004</v>
      </c>
      <c r="D601" s="2">
        <f>HYPERLINK("http://mcb-m6.bioreg.kyushu-u.ac.jp/M3/20110421/F51044/2713/1", 67.27)</f>
        <v>67.27</v>
      </c>
      <c r="E601" s="2">
        <v>51.8</v>
      </c>
      <c r="F601" s="2">
        <v>3</v>
      </c>
      <c r="G601" s="2" t="s">
        <v>12</v>
      </c>
    </row>
    <row r="602" spans="1:7" x14ac:dyDescent="0.2">
      <c r="A602" s="2" t="s">
        <v>3539</v>
      </c>
      <c r="B602" s="2" t="s">
        <v>393</v>
      </c>
      <c r="C602" s="2">
        <v>896.35059999999999</v>
      </c>
      <c r="D602" s="2">
        <f>HYPERLINK("http://mcb-m6.bioreg.kyushu-u.ac.jp/M3/20110421/F51025/2538/1", 67.92)</f>
        <v>67.92</v>
      </c>
      <c r="E602" s="2">
        <v>35.869999999999997</v>
      </c>
      <c r="F602" s="2">
        <v>2</v>
      </c>
      <c r="G602" s="2" t="s">
        <v>12</v>
      </c>
    </row>
    <row r="603" spans="1:7" x14ac:dyDescent="0.2">
      <c r="A603" s="2" t="s">
        <v>3539</v>
      </c>
      <c r="B603" s="2" t="s">
        <v>393</v>
      </c>
      <c r="C603" s="2">
        <v>1791.8440000000001</v>
      </c>
      <c r="D603" s="2">
        <f>HYPERLINK("http://mcb-m6.bioreg.kyushu-u.ac.jp/M3/20110421/F51059/2471/1", 72.77)</f>
        <v>72.77</v>
      </c>
      <c r="E603" s="2">
        <v>60.03</v>
      </c>
      <c r="F603" s="2">
        <v>1</v>
      </c>
      <c r="G603" s="2" t="s">
        <v>12</v>
      </c>
    </row>
    <row r="604" spans="1:7" x14ac:dyDescent="0.2">
      <c r="A604" s="2" t="s">
        <v>3539</v>
      </c>
      <c r="B604" s="2" t="s">
        <v>393</v>
      </c>
      <c r="C604" s="2">
        <v>895.79470000000003</v>
      </c>
      <c r="D604" s="2">
        <f>HYPERLINK("http://mcb-m6.bioreg.kyushu-u.ac.jp/M3/20110421/F51059/2460/1", 73.66)</f>
        <v>73.66</v>
      </c>
      <c r="E604" s="2">
        <v>53.62</v>
      </c>
      <c r="F604" s="2">
        <v>2</v>
      </c>
      <c r="G604" s="2" t="s">
        <v>12</v>
      </c>
    </row>
    <row r="605" spans="1:7" x14ac:dyDescent="0.2">
      <c r="A605" s="2" t="s">
        <v>3539</v>
      </c>
      <c r="B605" s="2" t="s">
        <v>393</v>
      </c>
      <c r="C605" s="2">
        <v>895.93119999999999</v>
      </c>
      <c r="D605" s="2">
        <f>HYPERLINK("http://mcb-m6.bioreg.kyushu-u.ac.jp/M3/20110421/F51059/2468/1", 73.67)</f>
        <v>73.67</v>
      </c>
      <c r="E605" s="2">
        <v>54.3</v>
      </c>
      <c r="F605" s="2">
        <v>2</v>
      </c>
      <c r="G605" s="2" t="s">
        <v>12</v>
      </c>
    </row>
    <row r="606" spans="1:7" x14ac:dyDescent="0.2">
      <c r="A606" s="2" t="s">
        <v>3539</v>
      </c>
      <c r="B606" s="2" t="s">
        <v>393</v>
      </c>
      <c r="C606" s="2">
        <v>895.7817</v>
      </c>
      <c r="D606" s="2">
        <f>HYPERLINK("http://mcb-m6.bioreg.kyushu-u.ac.jp/M3/20110421/F51021/2911/1", 76.55)</f>
        <v>76.55</v>
      </c>
      <c r="E606" s="2">
        <v>44.58</v>
      </c>
      <c r="F606" s="2">
        <v>2</v>
      </c>
      <c r="G606" s="2" t="s">
        <v>12</v>
      </c>
    </row>
    <row r="607" spans="1:7" x14ac:dyDescent="0.2">
      <c r="A607" s="2" t="s">
        <v>3539</v>
      </c>
      <c r="B607" s="2" t="s">
        <v>393</v>
      </c>
      <c r="C607" s="2">
        <v>896.38120000000004</v>
      </c>
      <c r="D607" s="2">
        <f>HYPERLINK("http://mcb-m6.bioreg.kyushu-u.ac.jp/M3/20110421/F51059/2470/1", 79.01)</f>
        <v>79.010000000000005</v>
      </c>
      <c r="E607" s="2">
        <v>57.97</v>
      </c>
      <c r="F607" s="2">
        <v>2</v>
      </c>
      <c r="G607" s="2" t="s">
        <v>12</v>
      </c>
    </row>
    <row r="608" spans="1:7" x14ac:dyDescent="0.2">
      <c r="A608" s="2" t="s">
        <v>3539</v>
      </c>
      <c r="B608" s="2" t="s">
        <v>393</v>
      </c>
      <c r="C608" s="2">
        <v>896.43470000000002</v>
      </c>
      <c r="D608" s="2">
        <f>HYPERLINK("http://mcb-m6.bioreg.kyushu-u.ac.jp/M3/20110421/F51059/2472/1", 80.1)</f>
        <v>80.099999999999994</v>
      </c>
      <c r="E608" s="2">
        <v>50.12</v>
      </c>
      <c r="F608" s="2">
        <v>2</v>
      </c>
      <c r="G608" s="2" t="s">
        <v>12</v>
      </c>
    </row>
    <row r="609" spans="1:7" x14ac:dyDescent="0.2">
      <c r="A609" s="2" t="s">
        <v>3539</v>
      </c>
      <c r="B609" s="2" t="s">
        <v>393</v>
      </c>
      <c r="C609" s="2">
        <v>895.81820000000005</v>
      </c>
      <c r="D609" s="2">
        <f>HYPERLINK("http://mcb-m6.bioreg.kyushu-u.ac.jp/M3/20110421/F51044/2712/1", 80.24)</f>
        <v>80.239999999999995</v>
      </c>
      <c r="E609" s="2">
        <v>61.5</v>
      </c>
      <c r="F609" s="2">
        <v>2</v>
      </c>
      <c r="G609" s="2" t="s">
        <v>12</v>
      </c>
    </row>
    <row r="610" spans="1:7" x14ac:dyDescent="0.2">
      <c r="A610" s="2" t="s">
        <v>3539</v>
      </c>
      <c r="B610" s="2" t="s">
        <v>393</v>
      </c>
      <c r="C610" s="2">
        <v>896.37959999999998</v>
      </c>
      <c r="D610" s="2">
        <f>HYPERLINK("http://mcb-m6.bioreg.kyushu-u.ac.jp/M3/20110421/F51044/2714/1", 81.57)</f>
        <v>81.569999999999993</v>
      </c>
      <c r="E610" s="2">
        <v>48.93</v>
      </c>
      <c r="F610" s="2">
        <v>2</v>
      </c>
      <c r="G610" s="2" t="s">
        <v>12</v>
      </c>
    </row>
    <row r="611" spans="1:7" x14ac:dyDescent="0.2">
      <c r="A611" s="2" t="s">
        <v>3539</v>
      </c>
      <c r="B611" s="2" t="s">
        <v>393</v>
      </c>
      <c r="C611" s="2">
        <v>896.47519999999997</v>
      </c>
      <c r="D611" s="2">
        <f>HYPERLINK("http://mcb-m6.bioreg.kyushu-u.ac.jp/M3/20110421/F51021/2918/1", 87.24)</f>
        <v>87.24</v>
      </c>
      <c r="E611" s="2">
        <v>53.49</v>
      </c>
      <c r="F611" s="2">
        <v>2</v>
      </c>
      <c r="G611" s="2" t="s">
        <v>12</v>
      </c>
    </row>
    <row r="612" spans="1:7" x14ac:dyDescent="0.2">
      <c r="A612" s="2" t="s">
        <v>3539</v>
      </c>
      <c r="B612" s="2" t="s">
        <v>393</v>
      </c>
      <c r="C612" s="2">
        <v>895.80470000000003</v>
      </c>
      <c r="D612" s="2">
        <f>HYPERLINK("http://mcb-m6.bioreg.kyushu-u.ac.jp/M3/20110421/F51025/2534/1", 88.89)</f>
        <v>88.89</v>
      </c>
      <c r="E612" s="2">
        <v>64.88</v>
      </c>
      <c r="F612" s="2">
        <v>2</v>
      </c>
      <c r="G612" s="2" t="s">
        <v>12</v>
      </c>
    </row>
    <row r="613" spans="1:7" x14ac:dyDescent="0.2">
      <c r="A613" s="2" t="s">
        <v>3539</v>
      </c>
      <c r="B613" s="2" t="s">
        <v>393</v>
      </c>
      <c r="C613" s="2">
        <v>895.89469999999994</v>
      </c>
      <c r="D613" s="2">
        <f>HYPERLINK("http://mcb-m6.bioreg.kyushu-u.ac.jp/M3/20110421/F51061/2490/1", 116.16)</f>
        <v>116.16</v>
      </c>
      <c r="E613" s="2">
        <v>93.78</v>
      </c>
      <c r="F613" s="2">
        <v>2</v>
      </c>
      <c r="G613" s="2" t="s">
        <v>12</v>
      </c>
    </row>
    <row r="614" spans="1:7" x14ac:dyDescent="0.2">
      <c r="A614" s="2" t="s">
        <v>3539</v>
      </c>
      <c r="B614" s="2" t="s">
        <v>393</v>
      </c>
      <c r="C614" s="2">
        <v>896.15219999999999</v>
      </c>
      <c r="D614" s="2">
        <f>HYPERLINK("http://mcb-m6.bioreg.kyushu-u.ac.jp/M3/20110428/F51131/2552/1", 45.51)</f>
        <v>45.51</v>
      </c>
      <c r="E614" s="2">
        <v>26.08</v>
      </c>
      <c r="F614" s="2">
        <v>2</v>
      </c>
      <c r="G614" s="2" t="s">
        <v>13</v>
      </c>
    </row>
    <row r="615" spans="1:7" x14ac:dyDescent="0.2">
      <c r="A615" s="2" t="s">
        <v>3539</v>
      </c>
      <c r="B615" s="2" t="s">
        <v>393</v>
      </c>
      <c r="C615" s="2">
        <v>896.18619999999999</v>
      </c>
      <c r="D615" s="2">
        <f>HYPERLINK("http://mcb-m6.bioreg.kyushu-u.ac.jp/M3/20110428/F51131/2553/1", 52.15)</f>
        <v>52.15</v>
      </c>
      <c r="E615" s="2">
        <v>25.92</v>
      </c>
      <c r="F615" s="2">
        <v>2</v>
      </c>
      <c r="G615" s="2" t="s">
        <v>13</v>
      </c>
    </row>
    <row r="616" spans="1:7" x14ac:dyDescent="0.2">
      <c r="A616" s="2" t="s">
        <v>3539</v>
      </c>
      <c r="B616" s="2" t="s">
        <v>393</v>
      </c>
      <c r="C616" s="2">
        <v>896.21420000000001</v>
      </c>
      <c r="D616" s="2">
        <f>HYPERLINK("http://mcb-m6.bioreg.kyushu-u.ac.jp/M3/20110428/F51131/2555/1", 60.46)</f>
        <v>60.46</v>
      </c>
      <c r="E616" s="2">
        <v>46.16</v>
      </c>
      <c r="F616" s="2">
        <v>2</v>
      </c>
      <c r="G616" s="2" t="s">
        <v>13</v>
      </c>
    </row>
    <row r="617" spans="1:7" x14ac:dyDescent="0.2">
      <c r="A617" s="2" t="s">
        <v>3539</v>
      </c>
      <c r="B617" s="2" t="s">
        <v>393</v>
      </c>
      <c r="C617" s="2">
        <v>896.23609999999996</v>
      </c>
      <c r="D617" s="2">
        <f>HYPERLINK("http://mcb-m6.bioreg.kyushu-u.ac.jp/M3/20110428/F51131/2556/1", 74.84)</f>
        <v>74.84</v>
      </c>
      <c r="E617" s="2">
        <v>36.64</v>
      </c>
      <c r="F617" s="2">
        <v>2</v>
      </c>
      <c r="G617" s="2" t="s">
        <v>13</v>
      </c>
    </row>
    <row r="618" spans="1:7" x14ac:dyDescent="0.2">
      <c r="A618" s="2" t="s">
        <v>3539</v>
      </c>
      <c r="B618" s="2" t="s">
        <v>393</v>
      </c>
      <c r="C618" s="2">
        <v>895.69669999999996</v>
      </c>
      <c r="D618" s="2">
        <f>HYPERLINK("http://mcb-m6.bioreg.kyushu-u.ac.jp/M3/20110428/F51131/2551/1", 91.19)</f>
        <v>91.19</v>
      </c>
      <c r="E618" s="2">
        <v>71.709999999999994</v>
      </c>
      <c r="F618" s="2">
        <v>2</v>
      </c>
      <c r="G618" s="2" t="s">
        <v>13</v>
      </c>
    </row>
    <row r="619" spans="1:7" x14ac:dyDescent="0.2">
      <c r="A619" s="2" t="s">
        <v>3539</v>
      </c>
      <c r="B619" s="2" t="s">
        <v>393</v>
      </c>
      <c r="C619" s="2">
        <v>896.21310000000005</v>
      </c>
      <c r="D619" s="2">
        <f>HYPERLINK("http://mcb-m6.bioreg.kyushu-u.ac.jp/M3/20110427/F51124/2679/1", 40.71)</f>
        <v>40.71</v>
      </c>
      <c r="E619" s="2">
        <v>24.21</v>
      </c>
      <c r="F619" s="2">
        <v>2</v>
      </c>
      <c r="G619" s="2" t="s">
        <v>14</v>
      </c>
    </row>
    <row r="620" spans="1:7" x14ac:dyDescent="0.2">
      <c r="A620" s="2" t="s">
        <v>3539</v>
      </c>
      <c r="B620" s="2" t="s">
        <v>393</v>
      </c>
      <c r="C620" s="2">
        <v>896.24270000000001</v>
      </c>
      <c r="D620" s="2">
        <f>HYPERLINK("http://mcb-m6.bioreg.kyushu-u.ac.jp/M3/20110428/F51126/2717/1", 44.28)</f>
        <v>44.28</v>
      </c>
      <c r="E620" s="2">
        <v>28.74</v>
      </c>
      <c r="F620" s="2">
        <v>2</v>
      </c>
      <c r="G620" s="2" t="s">
        <v>14</v>
      </c>
    </row>
    <row r="621" spans="1:7" x14ac:dyDescent="0.2">
      <c r="A621" s="2" t="s">
        <v>3539</v>
      </c>
      <c r="B621" s="2" t="s">
        <v>393</v>
      </c>
      <c r="C621" s="2">
        <v>1790.8019999999999</v>
      </c>
      <c r="D621" s="2">
        <f>HYPERLINK("http://mcb-m6.bioreg.kyushu-u.ac.jp/M3/20110427/F51123/2718/1", 44.6)</f>
        <v>44.6</v>
      </c>
      <c r="E621" s="2">
        <v>29.69</v>
      </c>
      <c r="F621" s="2">
        <v>1</v>
      </c>
      <c r="G621" s="2" t="s">
        <v>14</v>
      </c>
    </row>
    <row r="622" spans="1:7" x14ac:dyDescent="0.2">
      <c r="A622" s="2" t="s">
        <v>3539</v>
      </c>
      <c r="B622" s="2" t="s">
        <v>393</v>
      </c>
      <c r="C622" s="2">
        <v>896.26570000000004</v>
      </c>
      <c r="D622" s="2">
        <f>HYPERLINK("http://mcb-m6.bioreg.kyushu-u.ac.jp/M3/20110427/F51119/2442/1", 56.44)</f>
        <v>56.44</v>
      </c>
      <c r="E622" s="2">
        <v>35.32</v>
      </c>
      <c r="F622" s="2">
        <v>2</v>
      </c>
      <c r="G622" s="2" t="s">
        <v>14</v>
      </c>
    </row>
    <row r="623" spans="1:7" x14ac:dyDescent="0.2">
      <c r="A623" s="2" t="s">
        <v>3539</v>
      </c>
      <c r="B623" s="2" t="s">
        <v>393</v>
      </c>
      <c r="C623" s="2">
        <v>895.70259999999996</v>
      </c>
      <c r="D623" s="2">
        <f>HYPERLINK("http://mcb-m6.bioreg.kyushu-u.ac.jp/M3/20110427/F51120/2624/1", 59.02)</f>
        <v>59.02</v>
      </c>
      <c r="E623" s="2">
        <v>43.44</v>
      </c>
      <c r="F623" s="2">
        <v>2</v>
      </c>
      <c r="G623" s="2" t="s">
        <v>14</v>
      </c>
    </row>
    <row r="624" spans="1:7" x14ac:dyDescent="0.2">
      <c r="A624" s="2" t="s">
        <v>3539</v>
      </c>
      <c r="B624" s="2" t="s">
        <v>393</v>
      </c>
      <c r="C624" s="2">
        <v>895.66470000000004</v>
      </c>
      <c r="D624" s="2">
        <f>HYPERLINK("http://mcb-m6.bioreg.kyushu-u.ac.jp/M3/20110427/F51119/2439/1", 60.08)</f>
        <v>60.08</v>
      </c>
      <c r="E624" s="2">
        <v>37.159999999999997</v>
      </c>
      <c r="F624" s="2">
        <v>2</v>
      </c>
      <c r="G624" s="2" t="s">
        <v>14</v>
      </c>
    </row>
    <row r="625" spans="1:8" x14ac:dyDescent="0.2">
      <c r="A625" s="2" t="s">
        <v>3539</v>
      </c>
      <c r="B625" s="2" t="s">
        <v>393</v>
      </c>
      <c r="C625" s="2">
        <v>896.27009999999996</v>
      </c>
      <c r="D625" s="2">
        <f>HYPERLINK("http://mcb-m6.bioreg.kyushu-u.ac.jp/M3/20110427/F51120/2628/1", 64.96)</f>
        <v>64.959999999999994</v>
      </c>
      <c r="E625" s="2">
        <v>42.94</v>
      </c>
      <c r="F625" s="2">
        <v>2</v>
      </c>
      <c r="G625" s="2" t="s">
        <v>14</v>
      </c>
    </row>
    <row r="626" spans="1:8" x14ac:dyDescent="0.2">
      <c r="A626" s="2" t="s">
        <v>3539</v>
      </c>
      <c r="B626" s="2" t="s">
        <v>393</v>
      </c>
      <c r="C626" s="2">
        <v>896.37120000000004</v>
      </c>
      <c r="D626" s="2">
        <f>HYPERLINK("http://mcb-m6.bioreg.kyushu-u.ac.jp/M3/20110428/F51134/2238/1", 66.46)</f>
        <v>66.459999999999994</v>
      </c>
      <c r="E626" s="2">
        <v>28.01</v>
      </c>
      <c r="F626" s="2">
        <v>2</v>
      </c>
      <c r="G626" s="2" t="s">
        <v>14</v>
      </c>
    </row>
    <row r="627" spans="1:8" x14ac:dyDescent="0.2">
      <c r="A627" s="2" t="s">
        <v>3539</v>
      </c>
      <c r="B627" s="2" t="s">
        <v>393</v>
      </c>
      <c r="C627" s="2">
        <v>896.37220000000002</v>
      </c>
      <c r="D627" s="2">
        <f>HYPERLINK("http://mcb-m6.bioreg.kyushu-u.ac.jp/M3/20110428/F51135/2375/1", 67.48)</f>
        <v>67.48</v>
      </c>
      <c r="E627" s="2">
        <v>39.86</v>
      </c>
      <c r="F627" s="2">
        <v>2</v>
      </c>
      <c r="G627" s="2" t="s">
        <v>14</v>
      </c>
    </row>
    <row r="628" spans="1:8" x14ac:dyDescent="0.2">
      <c r="A628" s="2" t="s">
        <v>3539</v>
      </c>
      <c r="B628" s="2" t="s">
        <v>393</v>
      </c>
      <c r="C628" s="2">
        <v>896.32209999999998</v>
      </c>
      <c r="D628" s="2">
        <f>HYPERLINK("http://mcb-m6.bioreg.kyushu-u.ac.jp/M3/20110427/F51123/2719/1", 68.04)</f>
        <v>68.040000000000006</v>
      </c>
      <c r="E628" s="2">
        <v>37.03</v>
      </c>
      <c r="F628" s="2">
        <v>2</v>
      </c>
      <c r="G628" s="2" t="s">
        <v>14</v>
      </c>
    </row>
    <row r="629" spans="1:8" x14ac:dyDescent="0.2">
      <c r="A629" s="2" t="s">
        <v>3539</v>
      </c>
      <c r="B629" s="2" t="s">
        <v>393</v>
      </c>
      <c r="C629" s="2">
        <v>896.19269999999995</v>
      </c>
      <c r="D629" s="2">
        <f>HYPERLINK("http://mcb-m6.bioreg.kyushu-u.ac.jp/M3/20110427/F51121/2492/1", 70.11)</f>
        <v>70.11</v>
      </c>
      <c r="E629" s="2">
        <v>39.31</v>
      </c>
      <c r="F629" s="2">
        <v>2</v>
      </c>
      <c r="G629" s="2" t="s">
        <v>14</v>
      </c>
    </row>
    <row r="630" spans="1:8" x14ac:dyDescent="0.2">
      <c r="A630" s="2" t="s">
        <v>3539</v>
      </c>
      <c r="B630" s="2" t="s">
        <v>393</v>
      </c>
      <c r="C630" s="2">
        <v>895.65970000000004</v>
      </c>
      <c r="D630" s="2">
        <f>HYPERLINK("http://mcb-m6.bioreg.kyushu-u.ac.jp/M3/20110427/F51121/2488/1", 74.1)</f>
        <v>74.099999999999994</v>
      </c>
      <c r="E630" s="2">
        <v>45.48</v>
      </c>
      <c r="F630" s="2">
        <v>2</v>
      </c>
      <c r="G630" s="2" t="s">
        <v>14</v>
      </c>
    </row>
    <row r="631" spans="1:8" x14ac:dyDescent="0.2">
      <c r="A631" s="2" t="s">
        <v>3539</v>
      </c>
      <c r="B631" s="2" t="s">
        <v>393</v>
      </c>
      <c r="C631" s="2">
        <v>895.68960000000004</v>
      </c>
      <c r="D631" s="2">
        <f>HYPERLINK("http://mcb-m6.bioreg.kyushu-u.ac.jp/M3/20110427/F51120/2623/1", 82.65)</f>
        <v>82.65</v>
      </c>
      <c r="E631" s="2">
        <v>63.27</v>
      </c>
      <c r="F631" s="2">
        <v>2</v>
      </c>
      <c r="G631" s="2" t="s">
        <v>14</v>
      </c>
    </row>
    <row r="632" spans="1:8" x14ac:dyDescent="0.2">
      <c r="A632" s="2" t="s">
        <v>3539</v>
      </c>
      <c r="B632" s="2" t="s">
        <v>393</v>
      </c>
      <c r="C632" s="2">
        <v>896.34469999999999</v>
      </c>
      <c r="D632" s="2">
        <f>HYPERLINK("http://mcb-m6.bioreg.kyushu-u.ac.jp/M3/20110427/F51123/2720/1", 83.48)</f>
        <v>83.48</v>
      </c>
      <c r="E632" s="2">
        <v>56.21</v>
      </c>
      <c r="F632" s="2">
        <v>2</v>
      </c>
      <c r="G632" s="2" t="s">
        <v>14</v>
      </c>
    </row>
    <row r="633" spans="1:8" x14ac:dyDescent="0.2">
      <c r="A633" s="2" t="s">
        <v>3539</v>
      </c>
      <c r="B633" s="2" t="s">
        <v>393</v>
      </c>
      <c r="C633" s="2">
        <v>895.96310000000005</v>
      </c>
      <c r="D633" s="2">
        <f>HYPERLINK("http://mcb-m6.bioreg.kyushu-u.ac.jp/M3/20110427/F51121/2490/1", 83.62)</f>
        <v>83.62</v>
      </c>
      <c r="E633" s="2">
        <v>60.3</v>
      </c>
      <c r="F633" s="2">
        <v>2</v>
      </c>
      <c r="G633" s="2" t="s">
        <v>14</v>
      </c>
    </row>
    <row r="634" spans="1:8" x14ac:dyDescent="0.2">
      <c r="A634" s="2" t="s">
        <v>3539</v>
      </c>
      <c r="B634" s="2" t="s">
        <v>393</v>
      </c>
      <c r="C634" s="2">
        <v>896.46669999999995</v>
      </c>
      <c r="D634" s="2">
        <f>HYPERLINK("http://mcb-m6.bioreg.kyushu-u.ac.jp/M3/20110428/F51135/2376/1", 85.75)</f>
        <v>85.75</v>
      </c>
      <c r="E634" s="2">
        <v>55.85</v>
      </c>
      <c r="F634" s="2">
        <v>2</v>
      </c>
      <c r="G634" s="2" t="s">
        <v>14</v>
      </c>
    </row>
    <row r="635" spans="1:8" x14ac:dyDescent="0.2">
      <c r="A635" s="2" t="s">
        <v>3539</v>
      </c>
      <c r="B635" s="2" t="s">
        <v>393</v>
      </c>
      <c r="C635" s="2">
        <v>896.21220000000005</v>
      </c>
      <c r="D635" s="2">
        <f>HYPERLINK("http://mcb-m6.bioreg.kyushu-u.ac.jp/M3/20110427/F51122/2692/1", 86.35)</f>
        <v>86.35</v>
      </c>
      <c r="E635" s="2">
        <v>52.49</v>
      </c>
      <c r="F635" s="2">
        <v>2</v>
      </c>
      <c r="G635" s="2" t="s">
        <v>14</v>
      </c>
    </row>
    <row r="636" spans="1:8" x14ac:dyDescent="0.2">
      <c r="A636" s="2" t="s">
        <v>3539</v>
      </c>
      <c r="B636" s="2" t="s">
        <v>393</v>
      </c>
      <c r="C636" s="2">
        <v>895.77120000000002</v>
      </c>
      <c r="D636" s="2">
        <f>HYPERLINK("http://mcb-m6.bioreg.kyushu-u.ac.jp/M3/20110427/F51123/2717/1", 101.45)</f>
        <v>101.45</v>
      </c>
      <c r="E636" s="2">
        <v>78.88</v>
      </c>
      <c r="F636" s="2">
        <v>2</v>
      </c>
      <c r="G636" s="2" t="s">
        <v>14</v>
      </c>
    </row>
    <row r="637" spans="1:8" x14ac:dyDescent="0.2">
      <c r="A637" s="2" t="s">
        <v>3539</v>
      </c>
      <c r="B637" s="2" t="s">
        <v>393</v>
      </c>
      <c r="C637" s="2">
        <v>895.86569999999995</v>
      </c>
      <c r="D637" s="2">
        <f>HYPERLINK("http://mcb-m6.bioreg.kyushu-u.ac.jp/M3/20110428/F51135/2374/1", 104.03)</f>
        <v>104.03</v>
      </c>
      <c r="E637" s="2">
        <v>81.44</v>
      </c>
      <c r="F637" s="2">
        <v>2</v>
      </c>
      <c r="G637" s="2" t="s">
        <v>14</v>
      </c>
    </row>
    <row r="638" spans="1:8" x14ac:dyDescent="0.2">
      <c r="A638" s="2" t="s">
        <v>3467</v>
      </c>
      <c r="B638" s="2" t="s">
        <v>278</v>
      </c>
      <c r="C638" s="2">
        <v>499.61959999999999</v>
      </c>
      <c r="D638" s="2">
        <f>HYPERLINK("http://mcb-m6.bioreg.kyushu-u.ac.jp/M3/20110404/F50756/994/1", 37.42)</f>
        <v>37.42</v>
      </c>
      <c r="E638" s="2">
        <v>12.95</v>
      </c>
      <c r="F638" s="2">
        <v>2</v>
      </c>
      <c r="G638" s="2" t="s">
        <v>9</v>
      </c>
    </row>
    <row r="639" spans="1:8" x14ac:dyDescent="0.2">
      <c r="A639" s="2" t="s">
        <v>3467</v>
      </c>
      <c r="B639" s="2" t="s">
        <v>278</v>
      </c>
      <c r="C639" s="2">
        <v>1014.17</v>
      </c>
      <c r="D639" s="2">
        <f>HYPERLINK("http://mcb-m6.bioreg.kyushu-u.ac.jp/M3/20110404/F50753/1217/1", 39.13)</f>
        <v>39.130000000000003</v>
      </c>
      <c r="E639" s="2">
        <v>23.52</v>
      </c>
      <c r="F639" s="2">
        <v>1</v>
      </c>
      <c r="G639" s="2" t="s">
        <v>9</v>
      </c>
      <c r="H639" s="2" t="s">
        <v>4915</v>
      </c>
    </row>
    <row r="640" spans="1:8" x14ac:dyDescent="0.2">
      <c r="A640" s="2" t="s">
        <v>3467</v>
      </c>
      <c r="B640" s="2" t="s">
        <v>278</v>
      </c>
      <c r="C640" s="2">
        <v>499.7346</v>
      </c>
      <c r="D640" s="2">
        <f>HYPERLINK("http://mcb-m6.bioreg.kyushu-u.ac.jp/M3/20110404/F50776/1034/1", 42.83)</f>
        <v>42.83</v>
      </c>
      <c r="E640" s="2">
        <v>24.75</v>
      </c>
      <c r="F640" s="2">
        <v>2</v>
      </c>
      <c r="G640" s="2" t="s">
        <v>9</v>
      </c>
    </row>
    <row r="641" spans="1:8" x14ac:dyDescent="0.2">
      <c r="A641" s="2" t="s">
        <v>3467</v>
      </c>
      <c r="B641" s="2" t="s">
        <v>278</v>
      </c>
      <c r="C641" s="2">
        <v>499.65359999999998</v>
      </c>
      <c r="D641" s="2">
        <f>HYPERLINK("http://mcb-m6.bioreg.kyushu-u.ac.jp/M3/20110404/F50767/792/1", 43.5)</f>
        <v>43.5</v>
      </c>
      <c r="E641" s="2">
        <v>21.32</v>
      </c>
      <c r="F641" s="2">
        <v>2</v>
      </c>
      <c r="G641" s="2" t="s">
        <v>9</v>
      </c>
    </row>
    <row r="642" spans="1:8" x14ac:dyDescent="0.2">
      <c r="A642" s="2" t="s">
        <v>3467</v>
      </c>
      <c r="B642" s="2" t="s">
        <v>278</v>
      </c>
      <c r="C642" s="2">
        <v>499.70260000000002</v>
      </c>
      <c r="D642" s="2">
        <f>HYPERLINK("http://mcb-m6.bioreg.kyushu-u.ac.jp/M3/20110404/F50755/1040/1", 45.39)</f>
        <v>45.39</v>
      </c>
      <c r="E642" s="2">
        <v>24.09</v>
      </c>
      <c r="F642" s="2">
        <v>2</v>
      </c>
      <c r="G642" s="2" t="s">
        <v>9</v>
      </c>
    </row>
    <row r="643" spans="1:8" x14ac:dyDescent="0.2">
      <c r="A643" s="2" t="s">
        <v>3467</v>
      </c>
      <c r="B643" s="2" t="s">
        <v>278</v>
      </c>
      <c r="C643" s="2">
        <v>1014.232</v>
      </c>
      <c r="D643" s="2">
        <f>HYPERLINK("http://mcb-m6.bioreg.kyushu-u.ac.jp/M3/20110404/F50754/1349/1", 47.39)</f>
        <v>47.39</v>
      </c>
      <c r="E643" s="2">
        <v>23.9</v>
      </c>
      <c r="F643" s="2">
        <v>1</v>
      </c>
      <c r="G643" s="2" t="s">
        <v>9</v>
      </c>
      <c r="H643" s="2" t="s">
        <v>4915</v>
      </c>
    </row>
    <row r="644" spans="1:8" x14ac:dyDescent="0.2">
      <c r="A644" s="2" t="s">
        <v>3467</v>
      </c>
      <c r="B644" s="2" t="s">
        <v>278</v>
      </c>
      <c r="C644" s="2">
        <v>1014.399</v>
      </c>
      <c r="D644" s="2">
        <f>HYPERLINK("http://mcb-m6.bioreg.kyushu-u.ac.jp/M3/20110404/F50756/1027/1", 49.59)</f>
        <v>49.59</v>
      </c>
      <c r="E644" s="2">
        <v>32.24</v>
      </c>
      <c r="F644" s="2">
        <v>1</v>
      </c>
      <c r="G644" s="2" t="s">
        <v>9</v>
      </c>
      <c r="H644" s="2" t="s">
        <v>4915</v>
      </c>
    </row>
    <row r="645" spans="1:8" x14ac:dyDescent="0.2">
      <c r="A645" s="2" t="s">
        <v>3467</v>
      </c>
      <c r="B645" s="2" t="s">
        <v>278</v>
      </c>
      <c r="C645" s="2">
        <v>1014.222</v>
      </c>
      <c r="D645" s="2">
        <f>HYPERLINK("http://mcb-m6.bioreg.kyushu-u.ac.jp/M3/20110404/F50755/1067/1", 52.97)</f>
        <v>52.97</v>
      </c>
      <c r="E645" s="2">
        <v>29.47</v>
      </c>
      <c r="F645" s="2">
        <v>1</v>
      </c>
      <c r="G645" s="2" t="s">
        <v>9</v>
      </c>
      <c r="H645" s="2" t="s">
        <v>4915</v>
      </c>
    </row>
    <row r="646" spans="1:8" x14ac:dyDescent="0.2">
      <c r="A646" s="2" t="s">
        <v>3467</v>
      </c>
      <c r="B646" s="2" t="s">
        <v>278</v>
      </c>
      <c r="C646" s="2">
        <v>499.95260000000002</v>
      </c>
      <c r="D646" s="2">
        <f>HYPERLINK("http://mcb-m6.bioreg.kyushu-u.ac.jp/M3/20110404/F50765/930/1", 59.06)</f>
        <v>59.06</v>
      </c>
      <c r="E646" s="2">
        <v>37.96</v>
      </c>
      <c r="F646" s="2">
        <v>2</v>
      </c>
      <c r="G646" s="2" t="s">
        <v>9</v>
      </c>
    </row>
    <row r="647" spans="1:8" x14ac:dyDescent="0.2">
      <c r="A647" s="2" t="s">
        <v>3467</v>
      </c>
      <c r="B647" s="2" t="s">
        <v>278</v>
      </c>
      <c r="C647" s="2">
        <v>1014.454</v>
      </c>
      <c r="D647" s="2">
        <f>HYPERLINK("http://mcb-m6.bioreg.kyushu-u.ac.jp/M3/20110404/F50776/1065/1", 60.23)</f>
        <v>60.23</v>
      </c>
      <c r="E647" s="2">
        <v>41.64</v>
      </c>
      <c r="F647" s="2">
        <v>1</v>
      </c>
      <c r="G647" s="2" t="s">
        <v>9</v>
      </c>
      <c r="H647" s="2" t="s">
        <v>4915</v>
      </c>
    </row>
    <row r="648" spans="1:8" x14ac:dyDescent="0.2">
      <c r="A648" s="2" t="s">
        <v>3467</v>
      </c>
      <c r="B648" s="2" t="s">
        <v>278</v>
      </c>
      <c r="C648" s="2">
        <v>499.7251</v>
      </c>
      <c r="D648" s="2">
        <f>HYPERLINK("http://mcb-m6.bioreg.kyushu-u.ac.jp/M3/20110404/F50782/762/1", 35.15)</f>
        <v>35.15</v>
      </c>
      <c r="E648" s="2">
        <v>17.420000000000002</v>
      </c>
      <c r="F648" s="2">
        <v>2</v>
      </c>
      <c r="G648" s="2" t="s">
        <v>10</v>
      </c>
    </row>
    <row r="649" spans="1:8" x14ac:dyDescent="0.2">
      <c r="A649" s="2" t="s">
        <v>3467</v>
      </c>
      <c r="B649" s="2" t="s">
        <v>278</v>
      </c>
      <c r="C649" s="2">
        <v>499.75360000000001</v>
      </c>
      <c r="D649" s="2">
        <f>HYPERLINK("http://mcb-m6.bioreg.kyushu-u.ac.jp/M3/20110404/F50773/955/1", 43.44)</f>
        <v>43.44</v>
      </c>
      <c r="E649" s="2">
        <v>26.91</v>
      </c>
      <c r="F649" s="2">
        <v>2</v>
      </c>
      <c r="G649" s="2" t="s">
        <v>10</v>
      </c>
    </row>
    <row r="650" spans="1:8" x14ac:dyDescent="0.2">
      <c r="A650" s="2" t="s">
        <v>3467</v>
      </c>
      <c r="B650" s="2" t="s">
        <v>278</v>
      </c>
      <c r="C650" s="2">
        <v>508.17910000000001</v>
      </c>
      <c r="D650" s="2">
        <f>HYPERLINK("http://mcb-m6.bioreg.kyushu-u.ac.jp/M3/20110404/F50781/1086/1", 45.47)</f>
        <v>45.47</v>
      </c>
      <c r="E650" s="2">
        <v>17</v>
      </c>
      <c r="F650" s="2">
        <v>2</v>
      </c>
      <c r="G650" s="2" t="s">
        <v>10</v>
      </c>
      <c r="H650" s="2" t="s">
        <v>4915</v>
      </c>
    </row>
    <row r="651" spans="1:8" x14ac:dyDescent="0.2">
      <c r="A651" s="2" t="s">
        <v>3467</v>
      </c>
      <c r="B651" s="2" t="s">
        <v>278</v>
      </c>
      <c r="C651" s="2">
        <v>1014.484</v>
      </c>
      <c r="D651" s="2">
        <f>HYPERLINK("http://mcb-m6.bioreg.kyushu-u.ac.jp/M3/20110404/F50781/1085/1", 56.44)</f>
        <v>56.44</v>
      </c>
      <c r="E651" s="2">
        <v>37.67</v>
      </c>
      <c r="F651" s="2">
        <v>1</v>
      </c>
      <c r="G651" s="2" t="s">
        <v>10</v>
      </c>
      <c r="H651" s="2" t="s">
        <v>4915</v>
      </c>
    </row>
    <row r="652" spans="1:8" x14ac:dyDescent="0.2">
      <c r="A652" s="2" t="s">
        <v>3467</v>
      </c>
      <c r="B652" s="2" t="s">
        <v>278</v>
      </c>
      <c r="C652" s="2">
        <v>500.14760000000001</v>
      </c>
      <c r="D652" s="2">
        <f>HYPERLINK("http://mcb-m6.bioreg.kyushu-u.ac.jp/M3/20110404/F50758/1224/1", 58.42)</f>
        <v>58.42</v>
      </c>
      <c r="E652" s="2">
        <v>35.54</v>
      </c>
      <c r="F652" s="2">
        <v>2</v>
      </c>
      <c r="G652" s="2" t="s">
        <v>10</v>
      </c>
    </row>
    <row r="653" spans="1:8" x14ac:dyDescent="0.2">
      <c r="A653" s="2" t="s">
        <v>3467</v>
      </c>
      <c r="B653" s="2" t="s">
        <v>278</v>
      </c>
      <c r="C653" s="2">
        <v>1014.3</v>
      </c>
      <c r="D653" s="2">
        <f>HYPERLINK("http://mcb-m6.bioreg.kyushu-u.ac.jp/M3/20110404/F50761/999/1", 59.94)</f>
        <v>59.94</v>
      </c>
      <c r="E653" s="2">
        <v>44.04</v>
      </c>
      <c r="F653" s="2">
        <v>1</v>
      </c>
      <c r="G653" s="2" t="s">
        <v>10</v>
      </c>
      <c r="H653" s="2" t="s">
        <v>4915</v>
      </c>
    </row>
    <row r="654" spans="1:8" x14ac:dyDescent="0.2">
      <c r="A654" s="2" t="s">
        <v>3467</v>
      </c>
      <c r="B654" s="2" t="s">
        <v>278</v>
      </c>
      <c r="C654" s="2">
        <v>507.68110000000001</v>
      </c>
      <c r="D654" s="2">
        <f>HYPERLINK("http://mcb-m6.bioreg.kyushu-u.ac.jp/M3/20110421/F51018/1117/1", 36.59)</f>
        <v>36.590000000000003</v>
      </c>
      <c r="E654" s="2">
        <v>12.6</v>
      </c>
      <c r="F654" s="2">
        <v>2</v>
      </c>
      <c r="G654" s="2" t="s">
        <v>11</v>
      </c>
      <c r="H654" s="2" t="s">
        <v>4915</v>
      </c>
    </row>
    <row r="655" spans="1:8" x14ac:dyDescent="0.2">
      <c r="A655" s="2" t="s">
        <v>3467</v>
      </c>
      <c r="B655" s="2" t="s">
        <v>278</v>
      </c>
      <c r="C655" s="2">
        <v>998.41300000000001</v>
      </c>
      <c r="D655" s="2">
        <f>HYPERLINK("http://mcb-m6.bioreg.kyushu-u.ac.jp/M3/20110421/F51034/899/1", 44.22)</f>
        <v>44.22</v>
      </c>
      <c r="E655" s="2">
        <v>25.25</v>
      </c>
      <c r="F655" s="2">
        <v>1</v>
      </c>
      <c r="G655" s="2" t="s">
        <v>11</v>
      </c>
    </row>
    <row r="656" spans="1:8" x14ac:dyDescent="0.2">
      <c r="A656" s="2" t="s">
        <v>3467</v>
      </c>
      <c r="B656" s="2" t="s">
        <v>278</v>
      </c>
      <c r="C656" s="2">
        <v>1015.3150000000001</v>
      </c>
      <c r="D656" s="2">
        <f>HYPERLINK("http://mcb-m6.bioreg.kyushu-u.ac.jp/M3/20110421/F51018/1123/1", 46.48)</f>
        <v>46.48</v>
      </c>
      <c r="E656" s="2">
        <v>20.18</v>
      </c>
      <c r="F656" s="2">
        <v>1</v>
      </c>
      <c r="G656" s="2" t="s">
        <v>11</v>
      </c>
      <c r="H656" s="2" t="s">
        <v>4915</v>
      </c>
    </row>
    <row r="657" spans="1:8" x14ac:dyDescent="0.2">
      <c r="A657" s="2" t="s">
        <v>3467</v>
      </c>
      <c r="B657" s="2" t="s">
        <v>278</v>
      </c>
      <c r="C657" s="2">
        <v>1014.273</v>
      </c>
      <c r="D657" s="2">
        <f>HYPERLINK("http://mcb-m6.bioreg.kyushu-u.ac.jp/M3/20110421/F51018/1116/1", 60.15)</f>
        <v>60.15</v>
      </c>
      <c r="E657" s="2">
        <v>36.450000000000003</v>
      </c>
      <c r="F657" s="2">
        <v>1</v>
      </c>
      <c r="G657" s="2" t="s">
        <v>11</v>
      </c>
      <c r="H657" s="2" t="s">
        <v>4915</v>
      </c>
    </row>
    <row r="658" spans="1:8" x14ac:dyDescent="0.2">
      <c r="A658" s="2" t="s">
        <v>3467</v>
      </c>
      <c r="B658" s="2" t="s">
        <v>278</v>
      </c>
      <c r="C658" s="2">
        <v>1014.538</v>
      </c>
      <c r="D658" s="2">
        <f>HYPERLINK("http://mcb-m6.bioreg.kyushu-u.ac.jp/M3/20110421/F51058/816/1", 60.2)</f>
        <v>60.2</v>
      </c>
      <c r="E658" s="2">
        <v>41.91</v>
      </c>
      <c r="F658" s="2">
        <v>1</v>
      </c>
      <c r="G658" s="2" t="s">
        <v>11</v>
      </c>
      <c r="H658" s="2" t="s">
        <v>4915</v>
      </c>
    </row>
    <row r="659" spans="1:8" x14ac:dyDescent="0.2">
      <c r="A659" s="2" t="s">
        <v>3467</v>
      </c>
      <c r="B659" s="2" t="s">
        <v>278</v>
      </c>
      <c r="C659" s="2">
        <v>998.30799999999999</v>
      </c>
      <c r="D659" s="2">
        <f>HYPERLINK("http://mcb-m6.bioreg.kyushu-u.ac.jp/M3/20110421/F51024/1164/1", 38.62)</f>
        <v>38.619999999999997</v>
      </c>
      <c r="E659" s="2">
        <v>22.48</v>
      </c>
      <c r="F659" s="2">
        <v>1</v>
      </c>
      <c r="G659" s="2" t="s">
        <v>12</v>
      </c>
    </row>
    <row r="660" spans="1:8" x14ac:dyDescent="0.2">
      <c r="A660" s="2" t="s">
        <v>3467</v>
      </c>
      <c r="B660" s="2" t="s">
        <v>278</v>
      </c>
      <c r="C660" s="2">
        <v>507.8356</v>
      </c>
      <c r="D660" s="2">
        <f>HYPERLINK("http://mcb-m6.bioreg.kyushu-u.ac.jp/M3/20110421/F51059/760/1", 38.72)</f>
        <v>38.72</v>
      </c>
      <c r="E660" s="2">
        <v>16.7</v>
      </c>
      <c r="F660" s="2">
        <v>2</v>
      </c>
      <c r="G660" s="2" t="s">
        <v>12</v>
      </c>
      <c r="H660" s="2" t="s">
        <v>4915</v>
      </c>
    </row>
    <row r="661" spans="1:8" x14ac:dyDescent="0.2">
      <c r="A661" s="2" t="s">
        <v>3467</v>
      </c>
      <c r="B661" s="2" t="s">
        <v>278</v>
      </c>
      <c r="C661" s="2">
        <v>500.08760000000001</v>
      </c>
      <c r="D661" s="2">
        <f>HYPERLINK("http://mcb-m6.bioreg.kyushu-u.ac.jp/M3/20110421/F51048/1090/1", 43.13)</f>
        <v>43.13</v>
      </c>
      <c r="E661" s="2">
        <v>26.47</v>
      </c>
      <c r="F661" s="2">
        <v>2</v>
      </c>
      <c r="G661" s="2" t="s">
        <v>12</v>
      </c>
    </row>
    <row r="662" spans="1:8" x14ac:dyDescent="0.2">
      <c r="A662" s="2" t="s">
        <v>3467</v>
      </c>
      <c r="B662" s="2" t="s">
        <v>278</v>
      </c>
      <c r="C662" s="2">
        <v>1015.417</v>
      </c>
      <c r="D662" s="2">
        <f>HYPERLINK("http://mcb-m6.bioreg.kyushu-u.ac.jp/M3/20110421/F51059/762/1", 44.43)</f>
        <v>44.43</v>
      </c>
      <c r="E662" s="2">
        <v>21.12</v>
      </c>
      <c r="F662" s="2">
        <v>1</v>
      </c>
      <c r="G662" s="2" t="s">
        <v>12</v>
      </c>
      <c r="H662" s="2" t="s">
        <v>4915</v>
      </c>
    </row>
    <row r="663" spans="1:8" x14ac:dyDescent="0.2">
      <c r="A663" s="2" t="s">
        <v>3467</v>
      </c>
      <c r="B663" s="2" t="s">
        <v>278</v>
      </c>
      <c r="C663" s="2">
        <v>998.42600000000004</v>
      </c>
      <c r="D663" s="2">
        <f>HYPERLINK("http://mcb-m6.bioreg.kyushu-u.ac.jp/M3/20110421/F51044/885/1", 45.71)</f>
        <v>45.71</v>
      </c>
      <c r="E663" s="2">
        <v>30.48</v>
      </c>
      <c r="F663" s="2">
        <v>1</v>
      </c>
      <c r="G663" s="2" t="s">
        <v>12</v>
      </c>
    </row>
    <row r="664" spans="1:8" x14ac:dyDescent="0.2">
      <c r="A664" s="2" t="s">
        <v>3467</v>
      </c>
      <c r="B664" s="2" t="s">
        <v>278</v>
      </c>
      <c r="C664" s="2">
        <v>1014.409</v>
      </c>
      <c r="D664" s="2">
        <f>HYPERLINK("http://mcb-m6.bioreg.kyushu-u.ac.jp/M3/20110421/F51045/1170/1", 47.18)</f>
        <v>47.18</v>
      </c>
      <c r="E664" s="2">
        <v>23.9</v>
      </c>
      <c r="F664" s="2">
        <v>1</v>
      </c>
      <c r="G664" s="2" t="s">
        <v>12</v>
      </c>
      <c r="H664" s="2" t="s">
        <v>4915</v>
      </c>
    </row>
    <row r="665" spans="1:8" x14ac:dyDescent="0.2">
      <c r="A665" s="2" t="s">
        <v>3467</v>
      </c>
      <c r="B665" s="2" t="s">
        <v>278</v>
      </c>
      <c r="C665" s="2">
        <v>1014.322</v>
      </c>
      <c r="D665" s="2">
        <f>HYPERLINK("http://mcb-m6.bioreg.kyushu-u.ac.jp/M3/20110421/F51024/1211/1", 47.44)</f>
        <v>47.44</v>
      </c>
      <c r="E665" s="2">
        <v>28.65</v>
      </c>
      <c r="F665" s="2">
        <v>1</v>
      </c>
      <c r="G665" s="2" t="s">
        <v>12</v>
      </c>
      <c r="H665" s="2" t="s">
        <v>4915</v>
      </c>
    </row>
    <row r="666" spans="1:8" x14ac:dyDescent="0.2">
      <c r="A666" s="2" t="s">
        <v>3467</v>
      </c>
      <c r="B666" s="2" t="s">
        <v>278</v>
      </c>
      <c r="C666" s="2">
        <v>508.33909999999997</v>
      </c>
      <c r="D666" s="2">
        <f>HYPERLINK("http://mcb-m6.bioreg.kyushu-u.ac.jp/M3/20110421/F51045/1173/1", 47.59)</f>
        <v>47.59</v>
      </c>
      <c r="E666" s="2">
        <v>15.75</v>
      </c>
      <c r="F666" s="2">
        <v>2</v>
      </c>
      <c r="G666" s="2" t="s">
        <v>12</v>
      </c>
      <c r="H666" s="2" t="s">
        <v>4915</v>
      </c>
    </row>
    <row r="667" spans="1:8" x14ac:dyDescent="0.2">
      <c r="A667" s="2" t="s">
        <v>3467</v>
      </c>
      <c r="B667" s="2" t="s">
        <v>278</v>
      </c>
      <c r="C667" s="2">
        <v>1015.449</v>
      </c>
      <c r="D667" s="2">
        <f>HYPERLINK("http://mcb-m6.bioreg.kyushu-u.ac.jp/M3/20110421/F51044/938/1", 48.38)</f>
        <v>48.38</v>
      </c>
      <c r="E667" s="2">
        <v>30.43</v>
      </c>
      <c r="F667" s="2">
        <v>1</v>
      </c>
      <c r="G667" s="2" t="s">
        <v>12</v>
      </c>
      <c r="H667" s="2" t="s">
        <v>4915</v>
      </c>
    </row>
    <row r="668" spans="1:8" x14ac:dyDescent="0.2">
      <c r="A668" s="2" t="s">
        <v>3467</v>
      </c>
      <c r="B668" s="2" t="s">
        <v>278</v>
      </c>
      <c r="C668" s="2">
        <v>507.64909999999998</v>
      </c>
      <c r="D668" s="2">
        <f>HYPERLINK("http://mcb-m6.bioreg.kyushu-u.ac.jp/M3/20110421/F51024/1210/1", 49.71)</f>
        <v>49.71</v>
      </c>
      <c r="E668" s="2">
        <v>22.33</v>
      </c>
      <c r="F668" s="2">
        <v>2</v>
      </c>
      <c r="G668" s="2" t="s">
        <v>12</v>
      </c>
      <c r="H668" s="2" t="s">
        <v>4915</v>
      </c>
    </row>
    <row r="669" spans="1:8" x14ac:dyDescent="0.2">
      <c r="A669" s="2" t="s">
        <v>3467</v>
      </c>
      <c r="B669" s="2" t="s">
        <v>278</v>
      </c>
      <c r="C669" s="2">
        <v>1014.443</v>
      </c>
      <c r="D669" s="2">
        <f>HYPERLINK("http://mcb-m6.bioreg.kyushu-u.ac.jp/M3/20110421/F51050/1176/1", 56.57)</f>
        <v>56.57</v>
      </c>
      <c r="E669" s="2">
        <v>40.229999999999997</v>
      </c>
      <c r="F669" s="2">
        <v>1</v>
      </c>
      <c r="G669" s="2" t="s">
        <v>12</v>
      </c>
      <c r="H669" s="2" t="s">
        <v>4915</v>
      </c>
    </row>
    <row r="670" spans="1:8" x14ac:dyDescent="0.2">
      <c r="A670" s="2" t="s">
        <v>3467</v>
      </c>
      <c r="B670" s="2" t="s">
        <v>278</v>
      </c>
      <c r="C670" s="2">
        <v>1014.379</v>
      </c>
      <c r="D670" s="2">
        <f>HYPERLINK("http://mcb-m6.bioreg.kyushu-u.ac.jp/M3/20110421/F51044/935/1", 60.28)</f>
        <v>60.28</v>
      </c>
      <c r="E670" s="2">
        <v>41.21</v>
      </c>
      <c r="F670" s="2">
        <v>1</v>
      </c>
      <c r="G670" s="2" t="s">
        <v>12</v>
      </c>
      <c r="H670" s="2" t="s">
        <v>4915</v>
      </c>
    </row>
    <row r="671" spans="1:8" x14ac:dyDescent="0.2">
      <c r="A671" s="2" t="s">
        <v>3467</v>
      </c>
      <c r="B671" s="2" t="s">
        <v>278</v>
      </c>
      <c r="C671" s="2">
        <v>1014.504</v>
      </c>
      <c r="D671" s="2">
        <f>HYPERLINK("http://mcb-m6.bioreg.kyushu-u.ac.jp/M3/20110421/F51059/759/1", 60.3)</f>
        <v>60.3</v>
      </c>
      <c r="E671" s="2">
        <v>41.57</v>
      </c>
      <c r="F671" s="2">
        <v>1</v>
      </c>
      <c r="G671" s="2" t="s">
        <v>12</v>
      </c>
      <c r="H671" s="2" t="s">
        <v>4915</v>
      </c>
    </row>
    <row r="672" spans="1:8" x14ac:dyDescent="0.2">
      <c r="A672" s="2" t="s">
        <v>3467</v>
      </c>
      <c r="B672" s="2" t="s">
        <v>278</v>
      </c>
      <c r="C672" s="2">
        <v>1014.348</v>
      </c>
      <c r="D672" s="2">
        <f>HYPERLINK("http://mcb-m6.bioreg.kyushu-u.ac.jp/M3/20110421/F51023/1303/1", 65.04)</f>
        <v>65.040000000000006</v>
      </c>
      <c r="E672" s="2">
        <v>41.43</v>
      </c>
      <c r="F672" s="2">
        <v>1</v>
      </c>
      <c r="G672" s="2" t="s">
        <v>12</v>
      </c>
      <c r="H672" s="2" t="s">
        <v>4915</v>
      </c>
    </row>
    <row r="673" spans="1:8" x14ac:dyDescent="0.2">
      <c r="A673" s="2" t="s">
        <v>3467</v>
      </c>
      <c r="B673" s="2" t="s">
        <v>278</v>
      </c>
      <c r="C673" s="2">
        <v>508.18459999999999</v>
      </c>
      <c r="D673" s="2">
        <f>HYPERLINK("http://mcb-m6.bioreg.kyushu-u.ac.jp/M3/20110427/F51111/1132/1", 35.12)</f>
        <v>35.119999999999997</v>
      </c>
      <c r="E673" s="2">
        <v>12.04</v>
      </c>
      <c r="F673" s="2">
        <v>2</v>
      </c>
      <c r="G673" s="2" t="s">
        <v>13</v>
      </c>
      <c r="H673" s="2" t="s">
        <v>4915</v>
      </c>
    </row>
    <row r="674" spans="1:8" x14ac:dyDescent="0.2">
      <c r="A674" s="2" t="s">
        <v>3467</v>
      </c>
      <c r="B674" s="2" t="s">
        <v>278</v>
      </c>
      <c r="C674" s="2">
        <v>998.34799999999996</v>
      </c>
      <c r="D674" s="2">
        <f>HYPERLINK("http://mcb-m6.bioreg.kyushu-u.ac.jp/M3/20110427/F51112/1035/1", 45.81)</f>
        <v>45.81</v>
      </c>
      <c r="E674" s="2">
        <v>24.08</v>
      </c>
      <c r="F674" s="2">
        <v>1</v>
      </c>
      <c r="G674" s="2" t="s">
        <v>13</v>
      </c>
    </row>
    <row r="675" spans="1:8" x14ac:dyDescent="0.2">
      <c r="A675" s="2" t="s">
        <v>3467</v>
      </c>
      <c r="B675" s="2" t="s">
        <v>278</v>
      </c>
      <c r="C675" s="2">
        <v>500.06060000000002</v>
      </c>
      <c r="D675" s="2">
        <f>HYPERLINK("http://mcb-m6.bioreg.kyushu-u.ac.jp/M3/20110428/F51131/756/1", 48.73)</f>
        <v>48.73</v>
      </c>
      <c r="E675" s="2">
        <v>25.77</v>
      </c>
      <c r="F675" s="2">
        <v>2</v>
      </c>
      <c r="G675" s="2" t="s">
        <v>13</v>
      </c>
    </row>
    <row r="676" spans="1:8" x14ac:dyDescent="0.2">
      <c r="A676" s="2" t="s">
        <v>3467</v>
      </c>
      <c r="B676" s="2" t="s">
        <v>5446</v>
      </c>
      <c r="C676" s="2">
        <v>812.3057</v>
      </c>
      <c r="D676" s="2">
        <f>HYPERLINK("http://mcb-m6.bioreg.kyushu-u.ac.jp/M3/20110427/F51123/2387/1", 35.68)</f>
        <v>35.68</v>
      </c>
      <c r="E676" s="2">
        <v>19.23</v>
      </c>
      <c r="F676" s="2">
        <v>2</v>
      </c>
      <c r="G676" s="2" t="s">
        <v>14</v>
      </c>
    </row>
    <row r="677" spans="1:8" x14ac:dyDescent="0.2">
      <c r="A677" s="2" t="s">
        <v>3467</v>
      </c>
      <c r="B677" s="2" t="s">
        <v>5446</v>
      </c>
      <c r="C677" s="2">
        <v>820.20719999999994</v>
      </c>
      <c r="D677" s="2">
        <f>HYPERLINK("http://mcb-m6.bioreg.kyushu-u.ac.jp/M3/20110427/F51121/2269/1", 38.06)</f>
        <v>38.06</v>
      </c>
      <c r="E677" s="2">
        <v>24.78</v>
      </c>
      <c r="F677" s="2">
        <v>2</v>
      </c>
      <c r="G677" s="2" t="s">
        <v>14</v>
      </c>
      <c r="H677" s="2" t="s">
        <v>4912</v>
      </c>
    </row>
    <row r="678" spans="1:8" x14ac:dyDescent="0.2">
      <c r="A678" s="2" t="s">
        <v>3467</v>
      </c>
      <c r="B678" s="2" t="s">
        <v>278</v>
      </c>
      <c r="C678" s="2">
        <v>998.73099999999999</v>
      </c>
      <c r="D678" s="2">
        <f>HYPERLINK("http://mcb-m6.bioreg.kyushu-u.ac.jp/M3/20110427/F51121/1252/1", 39.34)</f>
        <v>39.340000000000003</v>
      </c>
      <c r="E678" s="2">
        <v>19.13</v>
      </c>
      <c r="F678" s="2">
        <v>1</v>
      </c>
      <c r="G678" s="2" t="s">
        <v>14</v>
      </c>
    </row>
    <row r="679" spans="1:8" x14ac:dyDescent="0.2">
      <c r="A679" s="2" t="s">
        <v>3467</v>
      </c>
      <c r="B679" s="2" t="s">
        <v>278</v>
      </c>
      <c r="C679" s="2">
        <v>998.27099999999996</v>
      </c>
      <c r="D679" s="2">
        <f>HYPERLINK("http://mcb-m6.bioreg.kyushu-u.ac.jp/M3/20110428/F51130/1018/1", 42.33)</f>
        <v>42.33</v>
      </c>
      <c r="E679" s="2">
        <v>27.84</v>
      </c>
      <c r="F679" s="2">
        <v>1</v>
      </c>
      <c r="G679" s="2" t="s">
        <v>14</v>
      </c>
    </row>
    <row r="680" spans="1:8" x14ac:dyDescent="0.2">
      <c r="A680" s="2" t="s">
        <v>3467</v>
      </c>
      <c r="B680" s="2" t="s">
        <v>278</v>
      </c>
      <c r="C680" s="2">
        <v>998.26400000000001</v>
      </c>
      <c r="D680" s="2">
        <f>HYPERLINK("http://mcb-m6.bioreg.kyushu-u.ac.jp/M3/20110428/F51128/908/1", 44.36)</f>
        <v>44.36</v>
      </c>
      <c r="E680" s="2">
        <v>28.62</v>
      </c>
      <c r="F680" s="2">
        <v>1</v>
      </c>
      <c r="G680" s="2" t="s">
        <v>14</v>
      </c>
    </row>
    <row r="681" spans="1:8" x14ac:dyDescent="0.2">
      <c r="A681" s="2" t="s">
        <v>3467</v>
      </c>
      <c r="B681" s="2" t="s">
        <v>278</v>
      </c>
      <c r="C681" s="2">
        <v>500.31009999999998</v>
      </c>
      <c r="D681" s="2">
        <f>HYPERLINK("http://mcb-m6.bioreg.kyushu-u.ac.jp/M3/20110428/F51128/912/1", 44.97)</f>
        <v>44.97</v>
      </c>
      <c r="E681" s="2">
        <v>20.13</v>
      </c>
      <c r="F681" s="2">
        <v>2</v>
      </c>
      <c r="G681" s="2" t="s">
        <v>14</v>
      </c>
    </row>
    <row r="682" spans="1:8" x14ac:dyDescent="0.2">
      <c r="A682" s="2" t="s">
        <v>3467</v>
      </c>
      <c r="B682" s="2" t="s">
        <v>278</v>
      </c>
      <c r="C682" s="2">
        <v>998.25</v>
      </c>
      <c r="D682" s="2">
        <f>HYPERLINK("http://mcb-m6.bioreg.kyushu-u.ac.jp/M3/20110427/F51125/1143/1", 45.6)</f>
        <v>45.6</v>
      </c>
      <c r="E682" s="2">
        <v>21.5</v>
      </c>
      <c r="F682" s="2">
        <v>1</v>
      </c>
      <c r="G682" s="2" t="s">
        <v>14</v>
      </c>
    </row>
    <row r="683" spans="1:8" x14ac:dyDescent="0.2">
      <c r="A683" s="2" t="s">
        <v>3467</v>
      </c>
      <c r="B683" s="2" t="s">
        <v>278</v>
      </c>
      <c r="C683" s="2">
        <v>998.61500000000001</v>
      </c>
      <c r="D683" s="2">
        <f>HYPERLINK("http://mcb-m6.bioreg.kyushu-u.ac.jp/M3/20110428/F51135/954/1", 45.79)</f>
        <v>45.79</v>
      </c>
      <c r="E683" s="2">
        <v>30.39</v>
      </c>
      <c r="F683" s="2">
        <v>1</v>
      </c>
      <c r="G683" s="2" t="s">
        <v>14</v>
      </c>
    </row>
    <row r="684" spans="1:8" x14ac:dyDescent="0.2">
      <c r="A684" s="2" t="s">
        <v>3467</v>
      </c>
      <c r="B684" s="2" t="s">
        <v>278</v>
      </c>
      <c r="C684" s="2">
        <v>507.6146</v>
      </c>
      <c r="D684" s="2">
        <f>HYPERLINK("http://mcb-m6.bioreg.kyushu-u.ac.jp/M3/20110427/F51121/1289/1", 47.67)</f>
        <v>47.67</v>
      </c>
      <c r="E684" s="2">
        <v>19.920000000000002</v>
      </c>
      <c r="F684" s="2">
        <v>2</v>
      </c>
      <c r="G684" s="2" t="s">
        <v>14</v>
      </c>
      <c r="H684" s="2" t="s">
        <v>4915</v>
      </c>
    </row>
    <row r="685" spans="1:8" x14ac:dyDescent="0.2">
      <c r="A685" s="2" t="s">
        <v>3467</v>
      </c>
      <c r="B685" s="2" t="s">
        <v>278</v>
      </c>
      <c r="C685" s="2">
        <v>500.16460000000001</v>
      </c>
      <c r="D685" s="2">
        <f>HYPERLINK("http://mcb-m6.bioreg.kyushu-u.ac.jp/M3/20110428/F51130/1024/1", 48.3)</f>
        <v>48.3</v>
      </c>
      <c r="E685" s="2">
        <v>26.3</v>
      </c>
      <c r="F685" s="2">
        <v>2</v>
      </c>
      <c r="G685" s="2" t="s">
        <v>14</v>
      </c>
    </row>
    <row r="686" spans="1:8" x14ac:dyDescent="0.2">
      <c r="A686" s="2" t="s">
        <v>3467</v>
      </c>
      <c r="B686" s="2" t="s">
        <v>278</v>
      </c>
      <c r="C686" s="2">
        <v>508.1696</v>
      </c>
      <c r="D686" s="2">
        <f>HYPERLINK("http://mcb-m6.bioreg.kyushu-u.ac.jp/M3/20110428/F51130/1057/1", 49.49)</f>
        <v>49.49</v>
      </c>
      <c r="E686" s="2">
        <v>17.66</v>
      </c>
      <c r="F686" s="2">
        <v>2</v>
      </c>
      <c r="G686" s="2" t="s">
        <v>14</v>
      </c>
      <c r="H686" s="2" t="s">
        <v>4915</v>
      </c>
    </row>
    <row r="687" spans="1:8" x14ac:dyDescent="0.2">
      <c r="A687" s="2" t="s">
        <v>3467</v>
      </c>
      <c r="B687" s="2" t="s">
        <v>278</v>
      </c>
      <c r="C687" s="2">
        <v>1014.313</v>
      </c>
      <c r="D687" s="2">
        <f>HYPERLINK("http://mcb-m6.bioreg.kyushu-u.ac.jp/M3/20110427/F51123/1054/1", 49.65)</f>
        <v>49.65</v>
      </c>
      <c r="E687" s="2">
        <v>25.87</v>
      </c>
      <c r="F687" s="2">
        <v>1</v>
      </c>
      <c r="G687" s="2" t="s">
        <v>14</v>
      </c>
      <c r="H687" s="2" t="s">
        <v>4915</v>
      </c>
    </row>
    <row r="688" spans="1:8" x14ac:dyDescent="0.2">
      <c r="A688" s="2" t="s">
        <v>3467</v>
      </c>
      <c r="B688" s="2" t="s">
        <v>5446</v>
      </c>
      <c r="C688" s="2">
        <v>820.35360000000003</v>
      </c>
      <c r="D688" s="2">
        <f>HYPERLINK("http://mcb-m6.bioreg.kyushu-u.ac.jp/M3/20110427/F51123/2428/1", 50.27)</f>
        <v>50.27</v>
      </c>
      <c r="E688" s="2">
        <v>30.68</v>
      </c>
      <c r="F688" s="2">
        <v>2</v>
      </c>
      <c r="G688" s="2" t="s">
        <v>14</v>
      </c>
      <c r="H688" s="2" t="s">
        <v>4912</v>
      </c>
    </row>
    <row r="689" spans="1:8" x14ac:dyDescent="0.2">
      <c r="A689" s="2" t="s">
        <v>3467</v>
      </c>
      <c r="B689" s="2" t="s">
        <v>278</v>
      </c>
      <c r="C689" s="2">
        <v>499.78109999999998</v>
      </c>
      <c r="D689" s="2">
        <f>HYPERLINK("http://mcb-m6.bioreg.kyushu-u.ac.jp/M3/20110428/F51135/953/1", 50.29)</f>
        <v>50.29</v>
      </c>
      <c r="E689" s="2">
        <v>26.98</v>
      </c>
      <c r="F689" s="2">
        <v>2</v>
      </c>
      <c r="G689" s="2" t="s">
        <v>14</v>
      </c>
    </row>
    <row r="690" spans="1:8" x14ac:dyDescent="0.2">
      <c r="A690" s="2" t="s">
        <v>3467</v>
      </c>
      <c r="B690" s="2" t="s">
        <v>278</v>
      </c>
      <c r="C690" s="2">
        <v>507.78809999999999</v>
      </c>
      <c r="D690" s="2">
        <f>HYPERLINK("http://mcb-m6.bioreg.kyushu-u.ac.jp/M3/20110428/F51135/996/1", 50.95)</f>
        <v>50.95</v>
      </c>
      <c r="E690" s="2">
        <v>21.57</v>
      </c>
      <c r="F690" s="2">
        <v>2</v>
      </c>
      <c r="G690" s="2" t="s">
        <v>14</v>
      </c>
      <c r="H690" s="2" t="s">
        <v>4915</v>
      </c>
    </row>
    <row r="691" spans="1:8" x14ac:dyDescent="0.2">
      <c r="A691" s="2" t="s">
        <v>3467</v>
      </c>
      <c r="B691" s="2" t="s">
        <v>278</v>
      </c>
      <c r="C691" s="2">
        <v>500.0136</v>
      </c>
      <c r="D691" s="2">
        <f>HYPERLINK("http://mcb-m6.bioreg.kyushu-u.ac.jp/M3/20110427/F51124/1049/1", 56.25)</f>
        <v>56.25</v>
      </c>
      <c r="E691" s="2">
        <v>34.04</v>
      </c>
      <c r="F691" s="2">
        <v>2</v>
      </c>
      <c r="G691" s="2" t="s">
        <v>14</v>
      </c>
    </row>
    <row r="692" spans="1:8" x14ac:dyDescent="0.2">
      <c r="A692" s="2" t="s">
        <v>3467</v>
      </c>
      <c r="B692" s="2" t="s">
        <v>278</v>
      </c>
      <c r="C692" s="2">
        <v>1014.168</v>
      </c>
      <c r="D692" s="2">
        <f>HYPERLINK("http://mcb-m6.bioreg.kyushu-u.ac.jp/M3/20110427/F51121/1288/1", 60.19)</f>
        <v>60.19</v>
      </c>
      <c r="E692" s="2">
        <v>44</v>
      </c>
      <c r="F692" s="2">
        <v>1</v>
      </c>
      <c r="G692" s="2" t="s">
        <v>14</v>
      </c>
      <c r="H692" s="2" t="s">
        <v>4915</v>
      </c>
    </row>
    <row r="693" spans="1:8" x14ac:dyDescent="0.2">
      <c r="A693" s="2" t="s">
        <v>8108</v>
      </c>
      <c r="B693" s="2" t="s">
        <v>7461</v>
      </c>
      <c r="C693" s="2">
        <v>518.45259999999996</v>
      </c>
      <c r="D693" s="2">
        <f>HYPERLINK("http://mcb-m6.bioreg.kyushu-u.ac.jp/M3/20110427/F51123/1103/1", 36.55)</f>
        <v>36.549999999999997</v>
      </c>
      <c r="E693" s="2">
        <v>19.05</v>
      </c>
      <c r="F693" s="2">
        <v>2</v>
      </c>
      <c r="G693" s="2" t="s">
        <v>14</v>
      </c>
    </row>
    <row r="694" spans="1:8" x14ac:dyDescent="0.2">
      <c r="A694" s="2" t="s">
        <v>3892</v>
      </c>
      <c r="B694" s="2" t="s">
        <v>1035</v>
      </c>
      <c r="C694" s="2">
        <v>600.12459999999999</v>
      </c>
      <c r="D694" s="2">
        <f>HYPERLINK("http://mcb-m6.bioreg.kyushu-u.ac.jp/M3/20110404/F50776/1319/1", 59.02)</f>
        <v>59.02</v>
      </c>
      <c r="E694" s="2">
        <v>41.4</v>
      </c>
      <c r="F694" s="2">
        <v>2</v>
      </c>
      <c r="G694" s="2" t="s">
        <v>9</v>
      </c>
    </row>
    <row r="695" spans="1:8" x14ac:dyDescent="0.2">
      <c r="A695" s="2" t="s">
        <v>3892</v>
      </c>
      <c r="B695" s="2" t="s">
        <v>1035</v>
      </c>
      <c r="C695" s="2">
        <v>1198.9069999999999</v>
      </c>
      <c r="D695" s="2">
        <f>HYPERLINK("http://mcb-m6.bioreg.kyushu-u.ac.jp/M3/20110404/F50754/1649/1", 62.54)</f>
        <v>62.54</v>
      </c>
      <c r="E695" s="2">
        <v>47.82</v>
      </c>
      <c r="F695" s="2">
        <v>1</v>
      </c>
      <c r="G695" s="2" t="s">
        <v>9</v>
      </c>
    </row>
    <row r="696" spans="1:8" x14ac:dyDescent="0.2">
      <c r="A696" s="2" t="s">
        <v>3892</v>
      </c>
      <c r="B696" s="2" t="s">
        <v>1035</v>
      </c>
      <c r="C696" s="2">
        <v>1198.404</v>
      </c>
      <c r="D696" s="2">
        <f>HYPERLINK("http://mcb-m6.bioreg.kyushu-u.ac.jp/M3/20110404/F50776/1314/1", 63.57)</f>
        <v>63.57</v>
      </c>
      <c r="E696" s="2">
        <v>49.88</v>
      </c>
      <c r="F696" s="2">
        <v>1</v>
      </c>
      <c r="G696" s="2" t="s">
        <v>9</v>
      </c>
    </row>
    <row r="697" spans="1:8" x14ac:dyDescent="0.2">
      <c r="A697" s="2" t="s">
        <v>3892</v>
      </c>
      <c r="B697" s="2" t="s">
        <v>1035</v>
      </c>
      <c r="C697" s="2">
        <v>1198.94</v>
      </c>
      <c r="D697" s="2">
        <f>HYPERLINK("http://mcb-m6.bioreg.kyushu-u.ac.jp/M3/20110404/F50756/1355/1", 64.79)</f>
        <v>64.790000000000006</v>
      </c>
      <c r="E697" s="2">
        <v>51.32</v>
      </c>
      <c r="F697" s="2">
        <v>1</v>
      </c>
      <c r="G697" s="2" t="s">
        <v>9</v>
      </c>
    </row>
    <row r="698" spans="1:8" x14ac:dyDescent="0.2">
      <c r="A698" s="2" t="s">
        <v>3892</v>
      </c>
      <c r="B698" s="2" t="s">
        <v>1035</v>
      </c>
      <c r="C698" s="2">
        <v>1198.33</v>
      </c>
      <c r="D698" s="2">
        <f>HYPERLINK("http://mcb-m6.bioreg.kyushu-u.ac.jp/M3/20110404/F50755/1379/1", 72.38)</f>
        <v>72.38</v>
      </c>
      <c r="E698" s="2">
        <v>54.39</v>
      </c>
      <c r="F698" s="2">
        <v>1</v>
      </c>
      <c r="G698" s="2" t="s">
        <v>9</v>
      </c>
    </row>
    <row r="699" spans="1:8" x14ac:dyDescent="0.2">
      <c r="A699" s="2" t="s">
        <v>3892</v>
      </c>
      <c r="B699" s="2" t="s">
        <v>1035</v>
      </c>
      <c r="C699" s="2">
        <v>599.65809999999999</v>
      </c>
      <c r="D699" s="2">
        <f>HYPERLINK("http://mcb-m6.bioreg.kyushu-u.ac.jp/M3/20110404/F50755/1378/1", 73.95)</f>
        <v>73.95</v>
      </c>
      <c r="E699" s="2">
        <v>53.73</v>
      </c>
      <c r="F699" s="2">
        <v>2</v>
      </c>
      <c r="G699" s="2" t="s">
        <v>9</v>
      </c>
    </row>
    <row r="700" spans="1:8" x14ac:dyDescent="0.2">
      <c r="A700" s="2" t="s">
        <v>3892</v>
      </c>
      <c r="B700" s="2" t="s">
        <v>1035</v>
      </c>
      <c r="C700" s="2">
        <v>600.13760000000002</v>
      </c>
      <c r="D700" s="2">
        <f>HYPERLINK("http://mcb-m6.bioreg.kyushu-u.ac.jp/M3/20110404/F50760/1326/1", 50.03)</f>
        <v>50.03</v>
      </c>
      <c r="E700" s="2">
        <v>33.659999999999997</v>
      </c>
      <c r="F700" s="2">
        <v>2</v>
      </c>
      <c r="G700" s="2" t="s">
        <v>10</v>
      </c>
    </row>
    <row r="701" spans="1:8" x14ac:dyDescent="0.2">
      <c r="A701" s="2" t="s">
        <v>3892</v>
      </c>
      <c r="B701" s="2" t="s">
        <v>1035</v>
      </c>
      <c r="C701" s="2">
        <v>599.7482</v>
      </c>
      <c r="D701" s="2">
        <f>HYPERLINK("http://mcb-m6.bioreg.kyushu-u.ac.jp/M3/20110404/F50781/1347/1", 66.19)</f>
        <v>66.19</v>
      </c>
      <c r="E701" s="2">
        <v>49.6</v>
      </c>
      <c r="F701" s="2">
        <v>2</v>
      </c>
      <c r="G701" s="2" t="s">
        <v>10</v>
      </c>
    </row>
    <row r="702" spans="1:8" x14ac:dyDescent="0.2">
      <c r="A702" s="2" t="s">
        <v>3892</v>
      </c>
      <c r="B702" s="2" t="s">
        <v>1035</v>
      </c>
      <c r="C702" s="2">
        <v>1198.6759999999999</v>
      </c>
      <c r="D702" s="2">
        <f>HYPERLINK("http://mcb-m6.bioreg.kyushu-u.ac.jp/M3/20110404/F50772/1352/1", 67.2)</f>
        <v>67.2</v>
      </c>
      <c r="E702" s="2">
        <v>45.44</v>
      </c>
      <c r="F702" s="2">
        <v>1</v>
      </c>
      <c r="G702" s="2" t="s">
        <v>10</v>
      </c>
    </row>
    <row r="703" spans="1:8" x14ac:dyDescent="0.2">
      <c r="A703" s="2" t="s">
        <v>3892</v>
      </c>
      <c r="B703" s="2" t="s">
        <v>1035</v>
      </c>
      <c r="C703" s="2">
        <v>1198.471</v>
      </c>
      <c r="D703" s="2">
        <f>HYPERLINK("http://mcb-m6.bioreg.kyushu-u.ac.jp/M3/20110404/F50781/1346/1", 67.47)</f>
        <v>67.47</v>
      </c>
      <c r="E703" s="2">
        <v>50.94</v>
      </c>
      <c r="F703" s="2">
        <v>1</v>
      </c>
      <c r="G703" s="2" t="s">
        <v>10</v>
      </c>
    </row>
    <row r="704" spans="1:8" x14ac:dyDescent="0.2">
      <c r="A704" s="2" t="s">
        <v>3892</v>
      </c>
      <c r="B704" s="2" t="s">
        <v>1035</v>
      </c>
      <c r="C704" s="2">
        <v>599.95069999999998</v>
      </c>
      <c r="D704" s="2">
        <f>HYPERLINK("http://mcb-m6.bioreg.kyushu-u.ac.jp/M3/20110404/F50761/1320/1", 71.64)</f>
        <v>71.64</v>
      </c>
      <c r="E704" s="2">
        <v>46.21</v>
      </c>
      <c r="F704" s="2">
        <v>2</v>
      </c>
      <c r="G704" s="2" t="s">
        <v>10</v>
      </c>
    </row>
    <row r="705" spans="1:7" x14ac:dyDescent="0.2">
      <c r="A705" s="2" t="s">
        <v>3892</v>
      </c>
      <c r="B705" s="2" t="s">
        <v>1035</v>
      </c>
      <c r="C705" s="2">
        <v>1198.3800000000001</v>
      </c>
      <c r="D705" s="2">
        <f>HYPERLINK("http://mcb-m6.bioreg.kyushu-u.ac.jp/M3/20110404/F50761/1316/1", 72.45)</f>
        <v>72.45</v>
      </c>
      <c r="E705" s="2">
        <v>55.86</v>
      </c>
      <c r="F705" s="2">
        <v>1</v>
      </c>
      <c r="G705" s="2" t="s">
        <v>10</v>
      </c>
    </row>
    <row r="706" spans="1:7" x14ac:dyDescent="0.2">
      <c r="A706" s="2" t="s">
        <v>3892</v>
      </c>
      <c r="B706" s="2" t="s">
        <v>1035</v>
      </c>
      <c r="C706" s="2">
        <v>1198.442</v>
      </c>
      <c r="D706" s="2">
        <f>HYPERLINK("http://mcb-m6.bioreg.kyushu-u.ac.jp/M3/20110404/F50760/1322/1", 76.58)</f>
        <v>76.58</v>
      </c>
      <c r="E706" s="2">
        <v>60.03</v>
      </c>
      <c r="F706" s="2">
        <v>1</v>
      </c>
      <c r="G706" s="2" t="s">
        <v>10</v>
      </c>
    </row>
    <row r="707" spans="1:7" x14ac:dyDescent="0.2">
      <c r="A707" s="2" t="s">
        <v>3892</v>
      </c>
      <c r="B707" s="2" t="s">
        <v>1035</v>
      </c>
      <c r="C707" s="2">
        <v>600.27970000000005</v>
      </c>
      <c r="D707" s="2">
        <f>HYPERLINK("http://mcb-m6.bioreg.kyushu-u.ac.jp/M3/20110404/F50781/1353/1", 80.25)</f>
        <v>80.25</v>
      </c>
      <c r="E707" s="2">
        <v>64.510000000000005</v>
      </c>
      <c r="F707" s="2">
        <v>2</v>
      </c>
      <c r="G707" s="2" t="s">
        <v>10</v>
      </c>
    </row>
    <row r="708" spans="1:7" x14ac:dyDescent="0.2">
      <c r="A708" s="2" t="s">
        <v>3892</v>
      </c>
      <c r="B708" s="2" t="s">
        <v>1035</v>
      </c>
      <c r="C708" s="2">
        <v>599.8347</v>
      </c>
      <c r="D708" s="2">
        <f>HYPERLINK("http://mcb-m6.bioreg.kyushu-u.ac.jp/M3/20110421/F51058/1179/1", 53.86)</f>
        <v>53.86</v>
      </c>
      <c r="E708" s="2">
        <v>38.659999999999997</v>
      </c>
      <c r="F708" s="2">
        <v>2</v>
      </c>
      <c r="G708" s="2" t="s">
        <v>11</v>
      </c>
    </row>
    <row r="709" spans="1:7" x14ac:dyDescent="0.2">
      <c r="A709" s="2" t="s">
        <v>3892</v>
      </c>
      <c r="B709" s="2" t="s">
        <v>1035</v>
      </c>
      <c r="C709" s="2">
        <v>599.62710000000004</v>
      </c>
      <c r="D709" s="2">
        <f>HYPERLINK("http://mcb-m6.bioreg.kyushu-u.ac.jp/M3/20110421/F51042/1108/1", 58.75)</f>
        <v>58.75</v>
      </c>
      <c r="E709" s="2">
        <v>44.8</v>
      </c>
      <c r="F709" s="2">
        <v>2</v>
      </c>
      <c r="G709" s="2" t="s">
        <v>11</v>
      </c>
    </row>
    <row r="710" spans="1:7" x14ac:dyDescent="0.2">
      <c r="A710" s="2" t="s">
        <v>3892</v>
      </c>
      <c r="B710" s="2" t="s">
        <v>1035</v>
      </c>
      <c r="C710" s="2">
        <v>1199.135</v>
      </c>
      <c r="D710" s="2">
        <f>HYPERLINK("http://mcb-m6.bioreg.kyushu-u.ac.jp/M3/20110421/F51058/1185/1", 64.92)</f>
        <v>64.92</v>
      </c>
      <c r="E710" s="2">
        <v>50.36</v>
      </c>
      <c r="F710" s="2">
        <v>1</v>
      </c>
      <c r="G710" s="2" t="s">
        <v>11</v>
      </c>
    </row>
    <row r="711" spans="1:7" x14ac:dyDescent="0.2">
      <c r="A711" s="2" t="s">
        <v>3892</v>
      </c>
      <c r="B711" s="2" t="s">
        <v>1035</v>
      </c>
      <c r="C711" s="2">
        <v>599.71169999999995</v>
      </c>
      <c r="D711" s="2">
        <f>HYPERLINK("http://mcb-m6.bioreg.kyushu-u.ac.jp/M3/20110421/F51018/1496/1", 75.62)</f>
        <v>75.62</v>
      </c>
      <c r="E711" s="2">
        <v>58.37</v>
      </c>
      <c r="F711" s="2">
        <v>2</v>
      </c>
      <c r="G711" s="2" t="s">
        <v>11</v>
      </c>
    </row>
    <row r="712" spans="1:7" x14ac:dyDescent="0.2">
      <c r="A712" s="2" t="s">
        <v>3892</v>
      </c>
      <c r="B712" s="2" t="s">
        <v>1035</v>
      </c>
      <c r="C712" s="2">
        <v>1198.425</v>
      </c>
      <c r="D712" s="2">
        <f>HYPERLINK("http://mcb-m6.bioreg.kyushu-u.ac.jp/M3/20110421/F51044/1329/1", 66.54)</f>
        <v>66.540000000000006</v>
      </c>
      <c r="E712" s="2">
        <v>45.25</v>
      </c>
      <c r="F712" s="2">
        <v>1</v>
      </c>
      <c r="G712" s="2" t="s">
        <v>12</v>
      </c>
    </row>
    <row r="713" spans="1:7" x14ac:dyDescent="0.2">
      <c r="A713" s="2" t="s">
        <v>3892</v>
      </c>
      <c r="B713" s="2" t="s">
        <v>1035</v>
      </c>
      <c r="C713" s="2">
        <v>1198.501</v>
      </c>
      <c r="D713" s="2">
        <f>HYPERLINK("http://mcb-m6.bioreg.kyushu-u.ac.jp/M3/20110421/F51059/1101/1", 70.67)</f>
        <v>70.67</v>
      </c>
      <c r="E713" s="2">
        <v>55.8</v>
      </c>
      <c r="F713" s="2">
        <v>1</v>
      </c>
      <c r="G713" s="2" t="s">
        <v>12</v>
      </c>
    </row>
    <row r="714" spans="1:7" x14ac:dyDescent="0.2">
      <c r="A714" s="2" t="s">
        <v>3892</v>
      </c>
      <c r="B714" s="2" t="s">
        <v>1035</v>
      </c>
      <c r="C714" s="2">
        <v>599.73360000000002</v>
      </c>
      <c r="D714" s="2">
        <f>HYPERLINK("http://mcb-m6.bioreg.kyushu-u.ac.jp/M3/20110421/F51048/1560/1", 77.13)</f>
        <v>77.13</v>
      </c>
      <c r="E714" s="2">
        <v>60.35</v>
      </c>
      <c r="F714" s="2">
        <v>2</v>
      </c>
      <c r="G714" s="2" t="s">
        <v>12</v>
      </c>
    </row>
    <row r="715" spans="1:7" x14ac:dyDescent="0.2">
      <c r="A715" s="2" t="s">
        <v>3892</v>
      </c>
      <c r="B715" s="2" t="s">
        <v>1035</v>
      </c>
      <c r="C715" s="2">
        <v>599.75160000000005</v>
      </c>
      <c r="D715" s="2">
        <f>HYPERLINK("http://mcb-m6.bioreg.kyushu-u.ac.jp/M3/20110421/F51023/1613/1", 77.36)</f>
        <v>77.36</v>
      </c>
      <c r="E715" s="2">
        <v>59.91</v>
      </c>
      <c r="F715" s="2">
        <v>2</v>
      </c>
      <c r="G715" s="2" t="s">
        <v>12</v>
      </c>
    </row>
    <row r="716" spans="1:7" x14ac:dyDescent="0.2">
      <c r="A716" s="2" t="s">
        <v>3892</v>
      </c>
      <c r="B716" s="2" t="s">
        <v>1035</v>
      </c>
      <c r="C716" s="2">
        <v>599.84559999999999</v>
      </c>
      <c r="D716" s="2">
        <f>HYPERLINK("http://mcb-m6.bioreg.kyushu-u.ac.jp/M3/20110421/F51059/1102/1", 84.17)</f>
        <v>84.17</v>
      </c>
      <c r="E716" s="2">
        <v>62.79</v>
      </c>
      <c r="F716" s="2">
        <v>2</v>
      </c>
      <c r="G716" s="2" t="s">
        <v>12</v>
      </c>
    </row>
    <row r="717" spans="1:7" x14ac:dyDescent="0.2">
      <c r="A717" s="2" t="s">
        <v>3892</v>
      </c>
      <c r="B717" s="2" t="s">
        <v>1035</v>
      </c>
      <c r="C717" s="2">
        <v>599.81020000000001</v>
      </c>
      <c r="D717" s="2">
        <f>HYPERLINK("http://mcb-m6.bioreg.kyushu-u.ac.jp/M3/20110421/F51044/1330/1", 84.43)</f>
        <v>84.43</v>
      </c>
      <c r="E717" s="2">
        <v>67.09</v>
      </c>
      <c r="F717" s="2">
        <v>2</v>
      </c>
      <c r="G717" s="2" t="s">
        <v>12</v>
      </c>
    </row>
    <row r="718" spans="1:7" x14ac:dyDescent="0.2">
      <c r="A718" s="2" t="s">
        <v>3892</v>
      </c>
      <c r="B718" s="2" t="s">
        <v>1035</v>
      </c>
      <c r="C718" s="2">
        <v>599.73320000000001</v>
      </c>
      <c r="D718" s="2">
        <f>HYPERLINK("http://mcb-m6.bioreg.kyushu-u.ac.jp/M3/20110421/F51045/1575/1", 89.64)</f>
        <v>89.64</v>
      </c>
      <c r="E718" s="2">
        <v>69.709999999999994</v>
      </c>
      <c r="F718" s="2">
        <v>2</v>
      </c>
      <c r="G718" s="2" t="s">
        <v>12</v>
      </c>
    </row>
    <row r="719" spans="1:7" x14ac:dyDescent="0.2">
      <c r="A719" s="2" t="s">
        <v>3892</v>
      </c>
      <c r="B719" s="2" t="s">
        <v>1035</v>
      </c>
      <c r="C719" s="2">
        <v>599.59559999999999</v>
      </c>
      <c r="D719" s="2">
        <f>HYPERLINK("http://mcb-m6.bioreg.kyushu-u.ac.jp/M3/20110427/F51117/1382/1", 65.35)</f>
        <v>65.349999999999994</v>
      </c>
      <c r="E719" s="2">
        <v>45.43</v>
      </c>
      <c r="F719" s="2">
        <v>2</v>
      </c>
      <c r="G719" s="2" t="s">
        <v>13</v>
      </c>
    </row>
    <row r="720" spans="1:7" x14ac:dyDescent="0.2">
      <c r="A720" s="2" t="s">
        <v>3892</v>
      </c>
      <c r="B720" s="2" t="s">
        <v>1035</v>
      </c>
      <c r="C720" s="2">
        <v>599.56920000000002</v>
      </c>
      <c r="D720" s="2">
        <f>HYPERLINK("http://mcb-m6.bioreg.kyushu-u.ac.jp/M3/20110427/F51112/1513/1", 68.07)</f>
        <v>68.069999999999993</v>
      </c>
      <c r="E720" s="2">
        <v>48.73</v>
      </c>
      <c r="F720" s="2">
        <v>2</v>
      </c>
      <c r="G720" s="2" t="s">
        <v>13</v>
      </c>
    </row>
    <row r="721" spans="1:7" x14ac:dyDescent="0.2">
      <c r="A721" s="2" t="s">
        <v>3892</v>
      </c>
      <c r="B721" s="2" t="s">
        <v>1035</v>
      </c>
      <c r="C721" s="2">
        <v>599.80409999999995</v>
      </c>
      <c r="D721" s="2">
        <f>HYPERLINK("http://mcb-m6.bioreg.kyushu-u.ac.jp/M3/20110427/F51114/1370/1", 78.83)</f>
        <v>78.83</v>
      </c>
      <c r="E721" s="2">
        <v>53.32</v>
      </c>
      <c r="F721" s="2">
        <v>2</v>
      </c>
      <c r="G721" s="2" t="s">
        <v>13</v>
      </c>
    </row>
    <row r="722" spans="1:7" x14ac:dyDescent="0.2">
      <c r="A722" s="2" t="s">
        <v>3892</v>
      </c>
      <c r="B722" s="2" t="s">
        <v>1035</v>
      </c>
      <c r="C722" s="2">
        <v>1198.309</v>
      </c>
      <c r="D722" s="2">
        <f>HYPERLINK("http://mcb-m6.bioreg.kyushu-u.ac.jp/M3/20110428/F51131/1161/1", 80.59)</f>
        <v>80.59</v>
      </c>
      <c r="E722" s="2">
        <v>55.51</v>
      </c>
      <c r="F722" s="2">
        <v>1</v>
      </c>
      <c r="G722" s="2" t="s">
        <v>13</v>
      </c>
    </row>
    <row r="723" spans="1:7" x14ac:dyDescent="0.2">
      <c r="A723" s="2" t="s">
        <v>3892</v>
      </c>
      <c r="B723" s="2" t="s">
        <v>1035</v>
      </c>
      <c r="C723" s="2">
        <v>599.58370000000002</v>
      </c>
      <c r="D723" s="2">
        <f>HYPERLINK("http://mcb-m6.bioreg.kyushu-u.ac.jp/M3/20110428/F51131/1159/1", 81.28)</f>
        <v>81.28</v>
      </c>
      <c r="E723" s="2">
        <v>63.77</v>
      </c>
      <c r="F723" s="2">
        <v>2</v>
      </c>
      <c r="G723" s="2" t="s">
        <v>13</v>
      </c>
    </row>
    <row r="724" spans="1:7" x14ac:dyDescent="0.2">
      <c r="A724" s="2" t="s">
        <v>3892</v>
      </c>
      <c r="B724" s="2" t="s">
        <v>1035</v>
      </c>
      <c r="C724" s="2">
        <v>1198.299</v>
      </c>
      <c r="D724" s="2">
        <f>HYPERLINK("http://mcb-m6.bioreg.kyushu-u.ac.jp/M3/20110427/F51124/1475/1", 51.21)</f>
        <v>51.21</v>
      </c>
      <c r="E724" s="2">
        <v>37.67</v>
      </c>
      <c r="F724" s="2">
        <v>1</v>
      </c>
      <c r="G724" s="2" t="s">
        <v>14</v>
      </c>
    </row>
    <row r="725" spans="1:7" x14ac:dyDescent="0.2">
      <c r="A725" s="2" t="s">
        <v>3892</v>
      </c>
      <c r="B725" s="2" t="s">
        <v>1035</v>
      </c>
      <c r="C725" s="2">
        <v>1198.27</v>
      </c>
      <c r="D725" s="2">
        <f>HYPERLINK("http://mcb-m6.bioreg.kyushu-u.ac.jp/M3/20110427/F51122/1673/1", 60.2)</f>
        <v>60.2</v>
      </c>
      <c r="E725" s="2">
        <v>45.48</v>
      </c>
      <c r="F725" s="2">
        <v>1</v>
      </c>
      <c r="G725" s="2" t="s">
        <v>14</v>
      </c>
    </row>
    <row r="726" spans="1:7" x14ac:dyDescent="0.2">
      <c r="A726" s="2" t="s">
        <v>3892</v>
      </c>
      <c r="B726" s="2" t="s">
        <v>1035</v>
      </c>
      <c r="C726" s="2">
        <v>599.73469999999998</v>
      </c>
      <c r="D726" s="2">
        <f>HYPERLINK("http://mcb-m6.bioreg.kyushu-u.ac.jp/M3/20110428/F51135/1291/1", 62.65)</f>
        <v>62.65</v>
      </c>
      <c r="E726" s="2">
        <v>39.83</v>
      </c>
      <c r="F726" s="2">
        <v>2</v>
      </c>
      <c r="G726" s="2" t="s">
        <v>14</v>
      </c>
    </row>
    <row r="727" spans="1:7" x14ac:dyDescent="0.2">
      <c r="A727" s="2" t="s">
        <v>3892</v>
      </c>
      <c r="B727" s="2" t="s">
        <v>1035</v>
      </c>
      <c r="C727" s="2">
        <v>599.80769999999995</v>
      </c>
      <c r="D727" s="2">
        <f>HYPERLINK("http://mcb-m6.bioreg.kyushu-u.ac.jp/M3/20110428/F51135/1292/1", 64.98)</f>
        <v>64.98</v>
      </c>
      <c r="E727" s="2">
        <v>41.39</v>
      </c>
      <c r="F727" s="2">
        <v>2</v>
      </c>
      <c r="G727" s="2" t="s">
        <v>14</v>
      </c>
    </row>
    <row r="728" spans="1:7" x14ac:dyDescent="0.2">
      <c r="A728" s="2" t="s">
        <v>3892</v>
      </c>
      <c r="B728" s="2" t="s">
        <v>1035</v>
      </c>
      <c r="C728" s="2">
        <v>1199.3389999999999</v>
      </c>
      <c r="D728" s="2">
        <f>HYPERLINK("http://mcb-m6.bioreg.kyushu-u.ac.jp/M3/20110428/F51128/1358/1", 66.56)</f>
        <v>66.56</v>
      </c>
      <c r="E728" s="2">
        <v>50.38</v>
      </c>
      <c r="F728" s="2">
        <v>1</v>
      </c>
      <c r="G728" s="2" t="s">
        <v>14</v>
      </c>
    </row>
    <row r="729" spans="1:7" x14ac:dyDescent="0.2">
      <c r="A729" s="2" t="s">
        <v>3892</v>
      </c>
      <c r="B729" s="2" t="s">
        <v>1035</v>
      </c>
      <c r="C729" s="2">
        <v>599.50869999999998</v>
      </c>
      <c r="D729" s="2">
        <f>HYPERLINK("http://mcb-m6.bioreg.kyushu-u.ac.jp/M3/20110428/F51129/1424/1", 67.47)</f>
        <v>67.47</v>
      </c>
      <c r="E729" s="2">
        <v>51.73</v>
      </c>
      <c r="F729" s="2">
        <v>2</v>
      </c>
      <c r="G729" s="2" t="s">
        <v>14</v>
      </c>
    </row>
    <row r="730" spans="1:7" x14ac:dyDescent="0.2">
      <c r="A730" s="2" t="s">
        <v>3892</v>
      </c>
      <c r="B730" s="2" t="s">
        <v>1035</v>
      </c>
      <c r="C730" s="2">
        <v>600.06769999999995</v>
      </c>
      <c r="D730" s="2">
        <f>HYPERLINK("http://mcb-m6.bioreg.kyushu-u.ac.jp/M3/20110427/F51123/1439/1", 71.97)</f>
        <v>71.97</v>
      </c>
      <c r="E730" s="2">
        <v>54.7</v>
      </c>
      <c r="F730" s="2">
        <v>2</v>
      </c>
      <c r="G730" s="2" t="s">
        <v>14</v>
      </c>
    </row>
    <row r="731" spans="1:7" x14ac:dyDescent="0.2">
      <c r="A731" s="2" t="s">
        <v>3892</v>
      </c>
      <c r="B731" s="2" t="s">
        <v>1035</v>
      </c>
      <c r="C731" s="2">
        <v>599.80319999999995</v>
      </c>
      <c r="D731" s="2">
        <f>HYPERLINK("http://mcb-m6.bioreg.kyushu-u.ac.jp/M3/20110428/F51130/1476/1", 72.12)</f>
        <v>72.12</v>
      </c>
      <c r="E731" s="2">
        <v>51.16</v>
      </c>
      <c r="F731" s="2">
        <v>2</v>
      </c>
      <c r="G731" s="2" t="s">
        <v>14</v>
      </c>
    </row>
    <row r="732" spans="1:7" x14ac:dyDescent="0.2">
      <c r="A732" s="2" t="s">
        <v>3892</v>
      </c>
      <c r="B732" s="2" t="s">
        <v>1035</v>
      </c>
      <c r="C732" s="2">
        <v>599.83370000000002</v>
      </c>
      <c r="D732" s="2">
        <f>HYPERLINK("http://mcb-m6.bioreg.kyushu-u.ac.jp/M3/20110427/F51121/1594/1", 73.63)</f>
        <v>73.63</v>
      </c>
      <c r="E732" s="2">
        <v>52.45</v>
      </c>
      <c r="F732" s="2">
        <v>2</v>
      </c>
      <c r="G732" s="2" t="s">
        <v>14</v>
      </c>
    </row>
    <row r="733" spans="1:7" x14ac:dyDescent="0.2">
      <c r="A733" s="2" t="s">
        <v>3892</v>
      </c>
      <c r="B733" s="2" t="s">
        <v>1035</v>
      </c>
      <c r="C733" s="2">
        <v>600.05319999999995</v>
      </c>
      <c r="D733" s="2">
        <f>HYPERLINK("http://mcb-m6.bioreg.kyushu-u.ac.jp/M3/20110428/F51126/1554/1", 74.58)</f>
        <v>74.58</v>
      </c>
      <c r="E733" s="2">
        <v>55.53</v>
      </c>
      <c r="F733" s="2">
        <v>2</v>
      </c>
      <c r="G733" s="2" t="s">
        <v>14</v>
      </c>
    </row>
    <row r="734" spans="1:7" x14ac:dyDescent="0.2">
      <c r="A734" s="2" t="s">
        <v>3892</v>
      </c>
      <c r="B734" s="2" t="s">
        <v>1035</v>
      </c>
      <c r="C734" s="2">
        <v>599.52260000000001</v>
      </c>
      <c r="D734" s="2">
        <f>HYPERLINK("http://mcb-m6.bioreg.kyushu-u.ac.jp/M3/20110427/F51123/1432/1", 75.24)</f>
        <v>75.239999999999995</v>
      </c>
      <c r="E734" s="2">
        <v>54.99</v>
      </c>
      <c r="F734" s="2">
        <v>2</v>
      </c>
      <c r="G734" s="2" t="s">
        <v>14</v>
      </c>
    </row>
    <row r="735" spans="1:7" x14ac:dyDescent="0.2">
      <c r="A735" s="2" t="s">
        <v>3892</v>
      </c>
      <c r="B735" s="2" t="s">
        <v>1035</v>
      </c>
      <c r="C735" s="2">
        <v>1198.4000000000001</v>
      </c>
      <c r="D735" s="2">
        <f>HYPERLINK("http://mcb-m6.bioreg.kyushu-u.ac.jp/M3/20110427/F51123/1435/1", 76.74)</f>
        <v>76.739999999999995</v>
      </c>
      <c r="E735" s="2">
        <v>51.8</v>
      </c>
      <c r="F735" s="2">
        <v>1</v>
      </c>
      <c r="G735" s="2" t="s">
        <v>14</v>
      </c>
    </row>
    <row r="736" spans="1:7" x14ac:dyDescent="0.2">
      <c r="A736" s="2" t="s">
        <v>3892</v>
      </c>
      <c r="B736" s="2" t="s">
        <v>1035</v>
      </c>
      <c r="C736" s="2">
        <v>600.27670000000001</v>
      </c>
      <c r="D736" s="2">
        <f>HYPERLINK("http://mcb-m6.bioreg.kyushu-u.ac.jp/M3/20110428/F51135/1298/1", 78.54)</f>
        <v>78.540000000000006</v>
      </c>
      <c r="E736" s="2">
        <v>61.56</v>
      </c>
      <c r="F736" s="2">
        <v>2</v>
      </c>
      <c r="G736" s="2" t="s">
        <v>14</v>
      </c>
    </row>
    <row r="737" spans="1:7" x14ac:dyDescent="0.2">
      <c r="A737" s="2" t="s">
        <v>3892</v>
      </c>
      <c r="B737" s="2" t="s">
        <v>1035</v>
      </c>
      <c r="C737" s="2">
        <v>1198.7080000000001</v>
      </c>
      <c r="D737" s="2">
        <f>HYPERLINK("http://mcb-m6.bioreg.kyushu-u.ac.jp/M3/20110428/F51135/1293/1", 80.6)</f>
        <v>80.599999999999994</v>
      </c>
      <c r="E737" s="2">
        <v>63.69</v>
      </c>
      <c r="F737" s="2">
        <v>1</v>
      </c>
      <c r="G737" s="2" t="s">
        <v>14</v>
      </c>
    </row>
    <row r="738" spans="1:7" x14ac:dyDescent="0.2">
      <c r="A738" s="2" t="s">
        <v>3892</v>
      </c>
      <c r="B738" s="2" t="s">
        <v>1035</v>
      </c>
      <c r="C738" s="2">
        <v>600.05520000000001</v>
      </c>
      <c r="D738" s="2">
        <f>HYPERLINK("http://mcb-m6.bioreg.kyushu-u.ac.jp/M3/20110427/F51125/1588/1", 81.12)</f>
        <v>81.12</v>
      </c>
      <c r="E738" s="2">
        <v>57.33</v>
      </c>
      <c r="F738" s="2">
        <v>2</v>
      </c>
      <c r="G738" s="2" t="s">
        <v>14</v>
      </c>
    </row>
    <row r="739" spans="1:7" x14ac:dyDescent="0.2">
      <c r="A739" s="2" t="s">
        <v>3892</v>
      </c>
      <c r="B739" s="2" t="s">
        <v>1035</v>
      </c>
      <c r="C739" s="2">
        <v>599.51620000000003</v>
      </c>
      <c r="D739" s="2">
        <f>HYPERLINK("http://mcb-m6.bioreg.kyushu-u.ac.jp/M3/20110427/F51124/1473/1", 81.22)</f>
        <v>81.22</v>
      </c>
      <c r="E739" s="2">
        <v>54.75</v>
      </c>
      <c r="F739" s="2">
        <v>2</v>
      </c>
      <c r="G739" s="2" t="s">
        <v>14</v>
      </c>
    </row>
    <row r="740" spans="1:7" x14ac:dyDescent="0.2">
      <c r="A740" s="2" t="s">
        <v>3892</v>
      </c>
      <c r="B740" s="2" t="s">
        <v>1035</v>
      </c>
      <c r="C740" s="2">
        <v>599.55110000000002</v>
      </c>
      <c r="D740" s="2">
        <f>HYPERLINK("http://mcb-m6.bioreg.kyushu-u.ac.jp/M3/20110428/F51126/1548/1", 85.68)</f>
        <v>85.68</v>
      </c>
      <c r="E740" s="2">
        <v>67.7</v>
      </c>
      <c r="F740" s="2">
        <v>2</v>
      </c>
      <c r="G740" s="2" t="s">
        <v>14</v>
      </c>
    </row>
    <row r="741" spans="1:7" x14ac:dyDescent="0.2">
      <c r="A741" s="2" t="s">
        <v>3892</v>
      </c>
      <c r="B741" s="2" t="s">
        <v>1035</v>
      </c>
      <c r="C741" s="2">
        <v>599.47220000000004</v>
      </c>
      <c r="D741" s="2">
        <f>HYPERLINK("http://mcb-m6.bioreg.kyushu-u.ac.jp/M3/20110427/F51125/1584/1", 88.24)</f>
        <v>88.24</v>
      </c>
      <c r="E741" s="2">
        <v>64.95</v>
      </c>
      <c r="F741" s="2">
        <v>2</v>
      </c>
      <c r="G741" s="2" t="s">
        <v>14</v>
      </c>
    </row>
    <row r="742" spans="1:7" x14ac:dyDescent="0.2">
      <c r="A742" s="2" t="s">
        <v>3892</v>
      </c>
      <c r="B742" s="2" t="s">
        <v>1035</v>
      </c>
      <c r="C742" s="2">
        <v>599.51120000000003</v>
      </c>
      <c r="D742" s="2">
        <f>HYPERLINK("http://mcb-m6.bioreg.kyushu-u.ac.jp/M3/20110428/F51128/1353/1", 89.74)</f>
        <v>89.74</v>
      </c>
      <c r="E742" s="2">
        <v>65.36</v>
      </c>
      <c r="F742" s="2">
        <v>2</v>
      </c>
      <c r="G742" s="2" t="s">
        <v>14</v>
      </c>
    </row>
    <row r="743" spans="1:7" x14ac:dyDescent="0.2">
      <c r="A743" s="2" t="s">
        <v>3557</v>
      </c>
      <c r="B743" s="2" t="s">
        <v>414</v>
      </c>
      <c r="C743" s="2">
        <v>1354.6189999999999</v>
      </c>
      <c r="D743" s="2">
        <f>HYPERLINK("http://mcb-m6.bioreg.kyushu-u.ac.jp/M3/20110404/F50776/1547/1", 49.94)</f>
        <v>49.94</v>
      </c>
      <c r="E743" s="2">
        <v>32.29</v>
      </c>
      <c r="F743" s="2">
        <v>1</v>
      </c>
      <c r="G743" s="2" t="s">
        <v>9</v>
      </c>
    </row>
    <row r="744" spans="1:7" x14ac:dyDescent="0.2">
      <c r="A744" s="2" t="s">
        <v>3557</v>
      </c>
      <c r="B744" s="2" t="s">
        <v>414</v>
      </c>
      <c r="C744" s="2">
        <v>678.27470000000005</v>
      </c>
      <c r="D744" s="2">
        <f>HYPERLINK("http://mcb-m6.bioreg.kyushu-u.ac.jp/M3/20110404/F50756/1631/1", 58.01)</f>
        <v>58.01</v>
      </c>
      <c r="E744" s="2">
        <v>40.64</v>
      </c>
      <c r="F744" s="2">
        <v>2</v>
      </c>
      <c r="G744" s="2" t="s">
        <v>9</v>
      </c>
    </row>
    <row r="745" spans="1:7" x14ac:dyDescent="0.2">
      <c r="A745" s="2" t="s">
        <v>3557</v>
      </c>
      <c r="B745" s="2" t="s">
        <v>414</v>
      </c>
      <c r="C745" s="2">
        <v>677.89009999999996</v>
      </c>
      <c r="D745" s="2">
        <f>HYPERLINK("http://mcb-m6.bioreg.kyushu-u.ac.jp/M3/20110404/F50755/1641/1", 64.57)</f>
        <v>64.569999999999993</v>
      </c>
      <c r="E745" s="2">
        <v>49.27</v>
      </c>
      <c r="F745" s="2">
        <v>2</v>
      </c>
      <c r="G745" s="2" t="s">
        <v>9</v>
      </c>
    </row>
    <row r="746" spans="1:7" x14ac:dyDescent="0.2">
      <c r="A746" s="2" t="s">
        <v>3557</v>
      </c>
      <c r="B746" s="2" t="s">
        <v>414</v>
      </c>
      <c r="C746" s="2">
        <v>677.81370000000004</v>
      </c>
      <c r="D746" s="2">
        <f>HYPERLINK("http://mcb-m6.bioreg.kyushu-u.ac.jp/M3/20110404/F50776/1548/1", 68.78)</f>
        <v>68.78</v>
      </c>
      <c r="E746" s="2">
        <v>52.74</v>
      </c>
      <c r="F746" s="2">
        <v>2</v>
      </c>
      <c r="G746" s="2" t="s">
        <v>9</v>
      </c>
    </row>
    <row r="747" spans="1:7" x14ac:dyDescent="0.2">
      <c r="A747" s="2" t="s">
        <v>3557</v>
      </c>
      <c r="B747" s="2" t="s">
        <v>414</v>
      </c>
      <c r="C747" s="2">
        <v>677.97310000000004</v>
      </c>
      <c r="D747" s="2">
        <f>HYPERLINK("http://mcb-m6.bioreg.kyushu-u.ac.jp/M3/20110404/F50760/1555/1", 51.61)</f>
        <v>51.61</v>
      </c>
      <c r="E747" s="2">
        <v>33.81</v>
      </c>
      <c r="F747" s="2">
        <v>2</v>
      </c>
      <c r="G747" s="2" t="s">
        <v>10</v>
      </c>
    </row>
    <row r="748" spans="1:7" x14ac:dyDescent="0.2">
      <c r="A748" s="2" t="s">
        <v>3557</v>
      </c>
      <c r="B748" s="2" t="s">
        <v>414</v>
      </c>
      <c r="C748" s="2">
        <v>678.3347</v>
      </c>
      <c r="D748" s="2">
        <f>HYPERLINK("http://mcb-m6.bioreg.kyushu-u.ac.jp/M3/20110404/F50773/1540/1", 58.28)</f>
        <v>58.28</v>
      </c>
      <c r="E748" s="2">
        <v>41.01</v>
      </c>
      <c r="F748" s="2">
        <v>2</v>
      </c>
      <c r="G748" s="2" t="s">
        <v>10</v>
      </c>
    </row>
    <row r="749" spans="1:7" x14ac:dyDescent="0.2">
      <c r="A749" s="2" t="s">
        <v>3557</v>
      </c>
      <c r="B749" s="2" t="s">
        <v>414</v>
      </c>
      <c r="C749" s="2">
        <v>678.30769999999995</v>
      </c>
      <c r="D749" s="2">
        <f>HYPERLINK("http://mcb-m6.bioreg.kyushu-u.ac.jp/M3/20110404/F50761/1562/1", 60.02)</f>
        <v>60.02</v>
      </c>
      <c r="E749" s="2">
        <v>40.99</v>
      </c>
      <c r="F749" s="2">
        <v>2</v>
      </c>
      <c r="G749" s="2" t="s">
        <v>10</v>
      </c>
    </row>
    <row r="750" spans="1:7" x14ac:dyDescent="0.2">
      <c r="A750" s="2" t="s">
        <v>3557</v>
      </c>
      <c r="B750" s="2" t="s">
        <v>414</v>
      </c>
      <c r="C750" s="2">
        <v>677.86410000000001</v>
      </c>
      <c r="D750" s="2">
        <f>HYPERLINK("http://mcb-m6.bioreg.kyushu-u.ac.jp/M3/20110404/F50781/1578/1", 61.18)</f>
        <v>61.18</v>
      </c>
      <c r="E750" s="2">
        <v>44.94</v>
      </c>
      <c r="F750" s="2">
        <v>2</v>
      </c>
      <c r="G750" s="2" t="s">
        <v>10</v>
      </c>
    </row>
    <row r="751" spans="1:7" x14ac:dyDescent="0.2">
      <c r="A751" s="2" t="s">
        <v>3557</v>
      </c>
      <c r="B751" s="2" t="s">
        <v>414</v>
      </c>
      <c r="C751" s="2">
        <v>1354.817</v>
      </c>
      <c r="D751" s="2">
        <f>HYPERLINK("http://mcb-m6.bioreg.kyushu-u.ac.jp/M3/20110404/F50781/1579/1", 64.02)</f>
        <v>64.02</v>
      </c>
      <c r="E751" s="2">
        <v>45.72</v>
      </c>
      <c r="F751" s="2">
        <v>1</v>
      </c>
      <c r="G751" s="2" t="s">
        <v>10</v>
      </c>
    </row>
    <row r="752" spans="1:7" x14ac:dyDescent="0.2">
      <c r="A752" s="2" t="s">
        <v>3557</v>
      </c>
      <c r="B752" s="2" t="s">
        <v>414</v>
      </c>
      <c r="C752" s="2">
        <v>677.92570000000001</v>
      </c>
      <c r="D752" s="2">
        <f>HYPERLINK("http://mcb-m6.bioreg.kyushu-u.ac.jp/M3/20110421/F51040/1650/1", 40.7)</f>
        <v>40.700000000000003</v>
      </c>
      <c r="E752" s="2">
        <v>21</v>
      </c>
      <c r="F752" s="2">
        <v>2</v>
      </c>
      <c r="G752" s="2" t="s">
        <v>11</v>
      </c>
    </row>
    <row r="753" spans="1:7" x14ac:dyDescent="0.2">
      <c r="A753" s="2" t="s">
        <v>3557</v>
      </c>
      <c r="B753" s="2" t="s">
        <v>414</v>
      </c>
      <c r="C753" s="2">
        <v>677.80520000000001</v>
      </c>
      <c r="D753" s="2">
        <f>HYPERLINK("http://mcb-m6.bioreg.kyushu-u.ac.jp/M3/20110421/F51034/1649/1", 58.39)</f>
        <v>58.39</v>
      </c>
      <c r="E753" s="2">
        <v>44.59</v>
      </c>
      <c r="F753" s="2">
        <v>2</v>
      </c>
      <c r="G753" s="2" t="s">
        <v>11</v>
      </c>
    </row>
    <row r="754" spans="1:7" x14ac:dyDescent="0.2">
      <c r="A754" s="2" t="s">
        <v>3557</v>
      </c>
      <c r="B754" s="2" t="s">
        <v>414</v>
      </c>
      <c r="C754" s="2">
        <v>677.91309999999999</v>
      </c>
      <c r="D754" s="2">
        <f>HYPERLINK("http://mcb-m6.bioreg.kyushu-u.ac.jp/M3/20110421/F51058/1484/1", 59.49)</f>
        <v>59.49</v>
      </c>
      <c r="E754" s="2">
        <v>38.81</v>
      </c>
      <c r="F754" s="2">
        <v>2</v>
      </c>
      <c r="G754" s="2" t="s">
        <v>11</v>
      </c>
    </row>
    <row r="755" spans="1:7" x14ac:dyDescent="0.2">
      <c r="A755" s="2" t="s">
        <v>3557</v>
      </c>
      <c r="B755" s="2" t="s">
        <v>414</v>
      </c>
      <c r="C755" s="2">
        <v>677.91420000000005</v>
      </c>
      <c r="D755" s="2">
        <f>HYPERLINK("http://mcb-m6.bioreg.kyushu-u.ac.jp/M3/20110421/F51039/1702/1", 63.75)</f>
        <v>63.75</v>
      </c>
      <c r="E755" s="2">
        <v>46.3</v>
      </c>
      <c r="F755" s="2">
        <v>2</v>
      </c>
      <c r="G755" s="2" t="s">
        <v>11</v>
      </c>
    </row>
    <row r="756" spans="1:7" x14ac:dyDescent="0.2">
      <c r="A756" s="2" t="s">
        <v>3557</v>
      </c>
      <c r="B756" s="2" t="s">
        <v>414</v>
      </c>
      <c r="C756" s="2">
        <v>678.00369999999998</v>
      </c>
      <c r="D756" s="2">
        <f>HYPERLINK("http://mcb-m6.bioreg.kyushu-u.ac.jp/M3/20110421/F51058/1485/1", 68.81)</f>
        <v>68.81</v>
      </c>
      <c r="E756" s="2">
        <v>48.68</v>
      </c>
      <c r="F756" s="2">
        <v>2</v>
      </c>
      <c r="G756" s="2" t="s">
        <v>11</v>
      </c>
    </row>
    <row r="757" spans="1:7" x14ac:dyDescent="0.2">
      <c r="A757" s="2" t="s">
        <v>3557</v>
      </c>
      <c r="B757" s="2" t="s">
        <v>414</v>
      </c>
      <c r="C757" s="2">
        <v>678.36159999999995</v>
      </c>
      <c r="D757" s="2">
        <f>HYPERLINK("http://mcb-m6.bioreg.kyushu-u.ac.jp/M3/20110421/F51059/1463/1", 46.59)</f>
        <v>46.59</v>
      </c>
      <c r="E757" s="2">
        <v>22.31</v>
      </c>
      <c r="F757" s="2">
        <v>2</v>
      </c>
      <c r="G757" s="2" t="s">
        <v>12</v>
      </c>
    </row>
    <row r="758" spans="1:7" x14ac:dyDescent="0.2">
      <c r="A758" s="2" t="s">
        <v>3557</v>
      </c>
      <c r="B758" s="2" t="s">
        <v>414</v>
      </c>
      <c r="C758" s="2">
        <v>677.83510000000001</v>
      </c>
      <c r="D758" s="2">
        <f>HYPERLINK("http://mcb-m6.bioreg.kyushu-u.ac.jp/M3/20110421/F51059/1457/1", 57.94)</f>
        <v>57.94</v>
      </c>
      <c r="E758" s="2">
        <v>45.88</v>
      </c>
      <c r="F758" s="2">
        <v>2</v>
      </c>
      <c r="G758" s="2" t="s">
        <v>12</v>
      </c>
    </row>
    <row r="759" spans="1:7" x14ac:dyDescent="0.2">
      <c r="A759" s="2" t="s">
        <v>3557</v>
      </c>
      <c r="B759" s="2" t="s">
        <v>414</v>
      </c>
      <c r="C759" s="2">
        <v>678.16719999999998</v>
      </c>
      <c r="D759" s="2">
        <f>HYPERLINK("http://mcb-m6.bioreg.kyushu-u.ac.jp/M3/20110421/F51048/1818/1", 59.67)</f>
        <v>59.67</v>
      </c>
      <c r="E759" s="2">
        <v>36.909999999999997</v>
      </c>
      <c r="F759" s="2">
        <v>2</v>
      </c>
      <c r="G759" s="2" t="s">
        <v>12</v>
      </c>
    </row>
    <row r="760" spans="1:7" x14ac:dyDescent="0.2">
      <c r="A760" s="2" t="s">
        <v>3557</v>
      </c>
      <c r="B760" s="2" t="s">
        <v>414</v>
      </c>
      <c r="C760" s="2">
        <v>677.90719999999999</v>
      </c>
      <c r="D760" s="2">
        <f>HYPERLINK("http://mcb-m6.bioreg.kyushu-u.ac.jp/M3/20110421/F51050/1812/1", 74.36)</f>
        <v>74.36</v>
      </c>
      <c r="E760" s="2">
        <v>55.73</v>
      </c>
      <c r="F760" s="2">
        <v>2</v>
      </c>
      <c r="G760" s="2" t="s">
        <v>12</v>
      </c>
    </row>
    <row r="761" spans="1:7" x14ac:dyDescent="0.2">
      <c r="A761" s="2" t="s">
        <v>3557</v>
      </c>
      <c r="B761" s="2" t="s">
        <v>414</v>
      </c>
      <c r="C761" s="2">
        <v>678.0942</v>
      </c>
      <c r="D761" s="2">
        <f>HYPERLINK("http://mcb-m6.bioreg.kyushu-u.ac.jp/M3/20110421/F51021/1679/1", 79.38)</f>
        <v>79.38</v>
      </c>
      <c r="E761" s="2">
        <v>55.96</v>
      </c>
      <c r="F761" s="2">
        <v>2</v>
      </c>
      <c r="G761" s="2" t="s">
        <v>12</v>
      </c>
    </row>
    <row r="762" spans="1:7" x14ac:dyDescent="0.2">
      <c r="A762" s="2" t="s">
        <v>3557</v>
      </c>
      <c r="B762" s="2" t="s">
        <v>414</v>
      </c>
      <c r="C762" s="2">
        <v>452.52719999999999</v>
      </c>
      <c r="D762" s="2">
        <f>HYPERLINK("http://mcb-m6.bioreg.kyushu-u.ac.jp/M3/20110428/F51131/1460/1", 36.91)</f>
        <v>36.909999999999997</v>
      </c>
      <c r="E762" s="2">
        <v>10.1</v>
      </c>
      <c r="F762" s="2">
        <v>3</v>
      </c>
      <c r="G762" s="2" t="s">
        <v>13</v>
      </c>
    </row>
    <row r="763" spans="1:7" x14ac:dyDescent="0.2">
      <c r="A763" s="2" t="s">
        <v>3557</v>
      </c>
      <c r="B763" s="2" t="s">
        <v>414</v>
      </c>
      <c r="C763" s="2">
        <v>677.66610000000003</v>
      </c>
      <c r="D763" s="2">
        <f>HYPERLINK("http://mcb-m6.bioreg.kyushu-u.ac.jp/M3/20110428/F51131/1458/1", 37.37)</f>
        <v>37.369999999999997</v>
      </c>
      <c r="E763" s="2">
        <v>23.68</v>
      </c>
      <c r="F763" s="2">
        <v>2</v>
      </c>
      <c r="G763" s="2" t="s">
        <v>13</v>
      </c>
    </row>
    <row r="764" spans="1:7" x14ac:dyDescent="0.2">
      <c r="A764" s="2" t="s">
        <v>3557</v>
      </c>
      <c r="B764" s="2" t="s">
        <v>414</v>
      </c>
      <c r="C764" s="2">
        <v>677.65769999999998</v>
      </c>
      <c r="D764" s="2">
        <f>HYPERLINK("http://mcb-m6.bioreg.kyushu-u.ac.jp/M3/20110427/F51116/1697/1", 56.95)</f>
        <v>56.95</v>
      </c>
      <c r="E764" s="2">
        <v>40.22</v>
      </c>
      <c r="F764" s="2">
        <v>2</v>
      </c>
      <c r="G764" s="2" t="s">
        <v>13</v>
      </c>
    </row>
    <row r="765" spans="1:7" x14ac:dyDescent="0.2">
      <c r="A765" s="2" t="s">
        <v>3557</v>
      </c>
      <c r="B765" s="2" t="s">
        <v>414</v>
      </c>
      <c r="C765" s="2">
        <v>677.75710000000004</v>
      </c>
      <c r="D765" s="2">
        <f>HYPERLINK("http://mcb-m6.bioreg.kyushu-u.ac.jp/M3/20110427/F51113/1673/1", 62.37)</f>
        <v>62.37</v>
      </c>
      <c r="E765" s="2">
        <v>42.44</v>
      </c>
      <c r="F765" s="2">
        <v>2</v>
      </c>
      <c r="G765" s="2" t="s">
        <v>13</v>
      </c>
    </row>
    <row r="766" spans="1:7" x14ac:dyDescent="0.2">
      <c r="A766" s="2" t="s">
        <v>3557</v>
      </c>
      <c r="B766" s="2" t="s">
        <v>414</v>
      </c>
      <c r="C766" s="2">
        <v>677.71619999999996</v>
      </c>
      <c r="D766" s="2">
        <f>HYPERLINK("http://mcb-m6.bioreg.kyushu-u.ac.jp/M3/20110427/F51112/1759/1", 63.82)</f>
        <v>63.82</v>
      </c>
      <c r="E766" s="2">
        <v>43.45</v>
      </c>
      <c r="F766" s="2">
        <v>2</v>
      </c>
      <c r="G766" s="2" t="s">
        <v>13</v>
      </c>
    </row>
    <row r="767" spans="1:7" x14ac:dyDescent="0.2">
      <c r="A767" s="2" t="s">
        <v>3557</v>
      </c>
      <c r="B767" s="2" t="s">
        <v>414</v>
      </c>
      <c r="C767" s="2">
        <v>677.63319999999999</v>
      </c>
      <c r="D767" s="2">
        <f>HYPERLINK("http://mcb-m6.bioreg.kyushu-u.ac.jp/M3/20110427/F51115/1670/1", 70.58)</f>
        <v>70.58</v>
      </c>
      <c r="E767" s="2">
        <v>50.31</v>
      </c>
      <c r="F767" s="2">
        <v>2</v>
      </c>
      <c r="G767" s="2" t="s">
        <v>13</v>
      </c>
    </row>
    <row r="768" spans="1:7" x14ac:dyDescent="0.2">
      <c r="A768" s="2" t="s">
        <v>3557</v>
      </c>
      <c r="B768" s="2" t="s">
        <v>414</v>
      </c>
      <c r="C768" s="2">
        <v>678.13120000000004</v>
      </c>
      <c r="D768" s="2">
        <f>HYPERLINK("http://mcb-m6.bioreg.kyushu-u.ac.jp/M3/20110427/F51124/1717/1", 46.95)</f>
        <v>46.95</v>
      </c>
      <c r="E768" s="2">
        <v>29.8</v>
      </c>
      <c r="F768" s="2">
        <v>2</v>
      </c>
      <c r="G768" s="2" t="s">
        <v>14</v>
      </c>
    </row>
    <row r="769" spans="1:8" x14ac:dyDescent="0.2">
      <c r="A769" s="2" t="s">
        <v>3557</v>
      </c>
      <c r="B769" s="2" t="s">
        <v>414</v>
      </c>
      <c r="C769" s="2">
        <v>677.70719999999994</v>
      </c>
      <c r="D769" s="2">
        <f>HYPERLINK("http://mcb-m6.bioreg.kyushu-u.ac.jp/M3/20110428/F51128/1636/1", 54.51)</f>
        <v>54.51</v>
      </c>
      <c r="E769" s="2">
        <v>36.770000000000003</v>
      </c>
      <c r="F769" s="2">
        <v>2</v>
      </c>
      <c r="G769" s="2" t="s">
        <v>14</v>
      </c>
    </row>
    <row r="770" spans="1:8" x14ac:dyDescent="0.2">
      <c r="A770" s="2" t="s">
        <v>3557</v>
      </c>
      <c r="B770" s="2" t="s">
        <v>414</v>
      </c>
      <c r="C770" s="2">
        <v>677.92319999999995</v>
      </c>
      <c r="D770" s="2">
        <f>HYPERLINK("http://mcb-m6.bioreg.kyushu-u.ac.jp/M3/20110427/F51123/1715/1", 55.14)</f>
        <v>55.14</v>
      </c>
      <c r="E770" s="2">
        <v>43.62</v>
      </c>
      <c r="F770" s="2">
        <v>2</v>
      </c>
      <c r="G770" s="2" t="s">
        <v>14</v>
      </c>
    </row>
    <row r="771" spans="1:8" x14ac:dyDescent="0.2">
      <c r="A771" s="2" t="s">
        <v>3557</v>
      </c>
      <c r="B771" s="2" t="s">
        <v>414</v>
      </c>
      <c r="C771" s="2">
        <v>678.37869999999998</v>
      </c>
      <c r="D771" s="2">
        <f>HYPERLINK("http://mcb-m6.bioreg.kyushu-u.ac.jp/M3/20110428/F51135/1542/1", 56.11)</f>
        <v>56.11</v>
      </c>
      <c r="E771" s="2">
        <v>30.78</v>
      </c>
      <c r="F771" s="2">
        <v>2</v>
      </c>
      <c r="G771" s="2" t="s">
        <v>14</v>
      </c>
    </row>
    <row r="772" spans="1:8" x14ac:dyDescent="0.2">
      <c r="A772" s="2" t="s">
        <v>3557</v>
      </c>
      <c r="B772" s="2" t="s">
        <v>414</v>
      </c>
      <c r="C772" s="2">
        <v>677.59220000000005</v>
      </c>
      <c r="D772" s="2">
        <f>HYPERLINK("http://mcb-m6.bioreg.kyushu-u.ac.jp/M3/20110427/F51124/1716/1", 58.83)</f>
        <v>58.83</v>
      </c>
      <c r="E772" s="2">
        <v>43.4</v>
      </c>
      <c r="F772" s="2">
        <v>2</v>
      </c>
      <c r="G772" s="2" t="s">
        <v>14</v>
      </c>
    </row>
    <row r="773" spans="1:8" x14ac:dyDescent="0.2">
      <c r="A773" s="2" t="s">
        <v>3557</v>
      </c>
      <c r="B773" s="2" t="s">
        <v>414</v>
      </c>
      <c r="C773" s="2">
        <v>677.57119999999998</v>
      </c>
      <c r="D773" s="2">
        <f>HYPERLINK("http://mcb-m6.bioreg.kyushu-u.ac.jp/M3/20110427/F51121/1753/1", 66.55)</f>
        <v>66.55</v>
      </c>
      <c r="E773" s="2">
        <v>46.37</v>
      </c>
      <c r="F773" s="2">
        <v>2</v>
      </c>
      <c r="G773" s="2" t="s">
        <v>14</v>
      </c>
    </row>
    <row r="774" spans="1:8" x14ac:dyDescent="0.2">
      <c r="A774" s="2" t="s">
        <v>3557</v>
      </c>
      <c r="B774" s="2" t="s">
        <v>414</v>
      </c>
      <c r="C774" s="2">
        <v>677.86360000000002</v>
      </c>
      <c r="D774" s="2">
        <f>HYPERLINK("http://mcb-m6.bioreg.kyushu-u.ac.jp/M3/20110428/F51135/1540/1", 67.42)</f>
        <v>67.42</v>
      </c>
      <c r="E774" s="2">
        <v>49.14</v>
      </c>
      <c r="F774" s="2">
        <v>2</v>
      </c>
      <c r="G774" s="2" t="s">
        <v>14</v>
      </c>
    </row>
    <row r="775" spans="1:8" x14ac:dyDescent="0.2">
      <c r="A775" s="2" t="s">
        <v>3557</v>
      </c>
      <c r="B775" s="2" t="s">
        <v>414</v>
      </c>
      <c r="C775" s="2">
        <v>677.68520000000001</v>
      </c>
      <c r="D775" s="2">
        <f>HYPERLINK("http://mcb-m6.bioreg.kyushu-u.ac.jp/M3/20110428/F51129/1667/1", 70.61)</f>
        <v>70.61</v>
      </c>
      <c r="E775" s="2">
        <v>50.63</v>
      </c>
      <c r="F775" s="2">
        <v>2</v>
      </c>
      <c r="G775" s="2" t="s">
        <v>14</v>
      </c>
    </row>
    <row r="776" spans="1:8" x14ac:dyDescent="0.2">
      <c r="A776" s="2" t="s">
        <v>3557</v>
      </c>
      <c r="B776" s="2" t="s">
        <v>414</v>
      </c>
      <c r="C776" s="2">
        <v>677.68870000000004</v>
      </c>
      <c r="D776" s="2">
        <f>HYPERLINK("http://mcb-m6.bioreg.kyushu-u.ac.jp/M3/20110427/F51122/1876/1", 77.97)</f>
        <v>77.97</v>
      </c>
      <c r="E776" s="2">
        <v>49.51</v>
      </c>
      <c r="F776" s="2">
        <v>2</v>
      </c>
      <c r="G776" s="2" t="s">
        <v>14</v>
      </c>
    </row>
    <row r="777" spans="1:8" x14ac:dyDescent="0.2">
      <c r="A777" s="2" t="s">
        <v>3575</v>
      </c>
      <c r="B777" s="2" t="s">
        <v>444</v>
      </c>
      <c r="C777" s="2">
        <v>1161.5440000000001</v>
      </c>
      <c r="D777" s="2">
        <f>HYPERLINK("http://mcb-m6.bioreg.kyushu-u.ac.jp/M3/20110404/F50765/1186/1", 37.52)</f>
        <v>37.520000000000003</v>
      </c>
      <c r="E777" s="2">
        <v>21.69</v>
      </c>
      <c r="F777" s="2">
        <v>1</v>
      </c>
      <c r="G777" s="2" t="s">
        <v>9</v>
      </c>
    </row>
    <row r="778" spans="1:8" x14ac:dyDescent="0.2">
      <c r="A778" s="2" t="s">
        <v>3575</v>
      </c>
      <c r="B778" s="2" t="s">
        <v>444</v>
      </c>
      <c r="C778" s="2">
        <v>581.26009999999997</v>
      </c>
      <c r="D778" s="2">
        <f>HYPERLINK("http://mcb-m6.bioreg.kyushu-u.ac.jp/M3/20110404/F50767/996/1", 37.96)</f>
        <v>37.96</v>
      </c>
      <c r="E778" s="2">
        <v>21.44</v>
      </c>
      <c r="F778" s="2">
        <v>2</v>
      </c>
      <c r="G778" s="2" t="s">
        <v>9</v>
      </c>
    </row>
    <row r="779" spans="1:8" x14ac:dyDescent="0.2">
      <c r="A779" s="2" t="s">
        <v>3575</v>
      </c>
      <c r="B779" s="2" t="s">
        <v>444</v>
      </c>
      <c r="C779" s="2">
        <v>1177.4880000000001</v>
      </c>
      <c r="D779" s="2">
        <f>HYPERLINK("http://mcb-m6.bioreg.kyushu-u.ac.jp/M3/20110404/F50756/1305/1", 44.59)</f>
        <v>44.59</v>
      </c>
      <c r="E779" s="2">
        <v>32.97</v>
      </c>
      <c r="F779" s="2">
        <v>1</v>
      </c>
      <c r="G779" s="2" t="s">
        <v>9</v>
      </c>
      <c r="H779" s="2" t="s">
        <v>4919</v>
      </c>
    </row>
    <row r="780" spans="1:8" x14ac:dyDescent="0.2">
      <c r="A780" s="2" t="s">
        <v>3575</v>
      </c>
      <c r="B780" s="2" t="s">
        <v>444</v>
      </c>
      <c r="C780" s="2">
        <v>1177.3989999999999</v>
      </c>
      <c r="D780" s="2">
        <f>HYPERLINK("http://mcb-m6.bioreg.kyushu-u.ac.jp/M3/20110404/F50755/1330/1", 45.46)</f>
        <v>45.46</v>
      </c>
      <c r="E780" s="2">
        <v>26.29</v>
      </c>
      <c r="F780" s="2">
        <v>1</v>
      </c>
      <c r="G780" s="2" t="s">
        <v>9</v>
      </c>
      <c r="H780" s="2" t="s">
        <v>4919</v>
      </c>
    </row>
    <row r="781" spans="1:8" x14ac:dyDescent="0.2">
      <c r="A781" s="2" t="s">
        <v>3575</v>
      </c>
      <c r="B781" s="2" t="s">
        <v>444</v>
      </c>
      <c r="C781" s="2">
        <v>1161.404</v>
      </c>
      <c r="D781" s="2">
        <f>HYPERLINK("http://mcb-m6.bioreg.kyushu-u.ac.jp/M3/20110404/F50756/1279/1", 47.06)</f>
        <v>47.06</v>
      </c>
      <c r="E781" s="2">
        <v>31.08</v>
      </c>
      <c r="F781" s="2">
        <v>1</v>
      </c>
      <c r="G781" s="2" t="s">
        <v>9</v>
      </c>
    </row>
    <row r="782" spans="1:8" x14ac:dyDescent="0.2">
      <c r="A782" s="2" t="s">
        <v>3575</v>
      </c>
      <c r="B782" s="2" t="s">
        <v>444</v>
      </c>
      <c r="C782" s="2">
        <v>1161.57</v>
      </c>
      <c r="D782" s="2">
        <f>HYPERLINK("http://mcb-m6.bioreg.kyushu-u.ac.jp/M3/20110404/F50754/1572/1", 47.59)</f>
        <v>47.59</v>
      </c>
      <c r="E782" s="2">
        <v>28.58</v>
      </c>
      <c r="F782" s="2">
        <v>1</v>
      </c>
      <c r="G782" s="2" t="s">
        <v>9</v>
      </c>
    </row>
    <row r="783" spans="1:8" x14ac:dyDescent="0.2">
      <c r="A783" s="2" t="s">
        <v>3575</v>
      </c>
      <c r="B783" s="2" t="s">
        <v>444</v>
      </c>
      <c r="C783" s="2">
        <v>1161.866</v>
      </c>
      <c r="D783" s="2">
        <f>HYPERLINK("http://mcb-m6.bioreg.kyushu-u.ac.jp/M3/20110404/F50755/1298/1", 48.17)</f>
        <v>48.17</v>
      </c>
      <c r="E783" s="2">
        <v>35.119999999999997</v>
      </c>
      <c r="F783" s="2">
        <v>1</v>
      </c>
      <c r="G783" s="2" t="s">
        <v>9</v>
      </c>
    </row>
    <row r="784" spans="1:8" x14ac:dyDescent="0.2">
      <c r="A784" s="2" t="s">
        <v>3575</v>
      </c>
      <c r="B784" s="2" t="s">
        <v>444</v>
      </c>
      <c r="C784" s="2">
        <v>581.30160000000001</v>
      </c>
      <c r="D784" s="2">
        <f>HYPERLINK("http://mcb-m6.bioreg.kyushu-u.ac.jp/M3/20110404/F50765/1187/1", 49.63)</f>
        <v>49.63</v>
      </c>
      <c r="E784" s="2">
        <v>31</v>
      </c>
      <c r="F784" s="2">
        <v>2</v>
      </c>
      <c r="G784" s="2" t="s">
        <v>9</v>
      </c>
    </row>
    <row r="785" spans="1:8" x14ac:dyDescent="0.2">
      <c r="A785" s="2" t="s">
        <v>3575</v>
      </c>
      <c r="B785" s="2" t="s">
        <v>444</v>
      </c>
      <c r="C785" s="2">
        <v>589.15970000000004</v>
      </c>
      <c r="D785" s="2">
        <f>HYPERLINK("http://mcb-m6.bioreg.kyushu-u.ac.jp/M3/20110404/F50756/1304/1", 51.23)</f>
        <v>51.23</v>
      </c>
      <c r="E785" s="2">
        <v>31.7</v>
      </c>
      <c r="F785" s="2">
        <v>2</v>
      </c>
      <c r="G785" s="2" t="s">
        <v>9</v>
      </c>
      <c r="H785" s="2" t="s">
        <v>4919</v>
      </c>
    </row>
    <row r="786" spans="1:8" x14ac:dyDescent="0.2">
      <c r="A786" s="2" t="s">
        <v>3575</v>
      </c>
      <c r="B786" s="2" t="s">
        <v>444</v>
      </c>
      <c r="C786" s="2">
        <v>589.67070000000001</v>
      </c>
      <c r="D786" s="2">
        <f>HYPERLINK("http://mcb-m6.bioreg.kyushu-u.ac.jp/M3/20110404/F50756/1306/1", 51.33)</f>
        <v>51.33</v>
      </c>
      <c r="E786" s="2">
        <v>28.56</v>
      </c>
      <c r="F786" s="2">
        <v>2</v>
      </c>
      <c r="G786" s="2" t="s">
        <v>9</v>
      </c>
      <c r="H786" s="2" t="s">
        <v>4919</v>
      </c>
    </row>
    <row r="787" spans="1:8" x14ac:dyDescent="0.2">
      <c r="A787" s="2" t="s">
        <v>3575</v>
      </c>
      <c r="B787" s="2" t="s">
        <v>444</v>
      </c>
      <c r="C787" s="2">
        <v>1177.423</v>
      </c>
      <c r="D787" s="2">
        <f>HYPERLINK("http://mcb-m6.bioreg.kyushu-u.ac.jp/M3/20110404/F50776/1261/1", 52.67)</f>
        <v>52.67</v>
      </c>
      <c r="E787" s="2">
        <v>33.49</v>
      </c>
      <c r="F787" s="2">
        <v>1</v>
      </c>
      <c r="G787" s="2" t="s">
        <v>9</v>
      </c>
      <c r="H787" s="2" t="s">
        <v>4919</v>
      </c>
    </row>
    <row r="788" spans="1:8" x14ac:dyDescent="0.2">
      <c r="A788" s="2" t="s">
        <v>3575</v>
      </c>
      <c r="B788" s="2" t="s">
        <v>444</v>
      </c>
      <c r="C788" s="2">
        <v>589.81320000000005</v>
      </c>
      <c r="D788" s="2">
        <f>HYPERLINK("http://mcb-m6.bioreg.kyushu-u.ac.jp/M3/20110404/F50776/1263/1", 54.16)</f>
        <v>54.16</v>
      </c>
      <c r="E788" s="2">
        <v>20.399999999999999</v>
      </c>
      <c r="F788" s="2">
        <v>2</v>
      </c>
      <c r="G788" s="2" t="s">
        <v>9</v>
      </c>
      <c r="H788" s="2" t="s">
        <v>4919</v>
      </c>
    </row>
    <row r="789" spans="1:8" x14ac:dyDescent="0.2">
      <c r="A789" s="2" t="s">
        <v>3575</v>
      </c>
      <c r="B789" s="2" t="s">
        <v>444</v>
      </c>
      <c r="C789" s="2">
        <v>1161.4770000000001</v>
      </c>
      <c r="D789" s="2">
        <f>HYPERLINK("http://mcb-m6.bioreg.kyushu-u.ac.jp/M3/20110404/F50776/1235/1", 55.08)</f>
        <v>55.08</v>
      </c>
      <c r="E789" s="2">
        <v>27.58</v>
      </c>
      <c r="F789" s="2">
        <v>1</v>
      </c>
      <c r="G789" s="2" t="s">
        <v>9</v>
      </c>
    </row>
    <row r="790" spans="1:8" x14ac:dyDescent="0.2">
      <c r="A790" s="2" t="s">
        <v>3575</v>
      </c>
      <c r="B790" s="2" t="s">
        <v>444</v>
      </c>
      <c r="C790" s="2">
        <v>581.25019999999995</v>
      </c>
      <c r="D790" s="2">
        <f>HYPERLINK("http://mcb-m6.bioreg.kyushu-u.ac.jp/M3/20110404/F50776/1236/1", 56.12)</f>
        <v>56.12</v>
      </c>
      <c r="E790" s="2">
        <v>26.67</v>
      </c>
      <c r="F790" s="2">
        <v>2</v>
      </c>
      <c r="G790" s="2" t="s">
        <v>9</v>
      </c>
    </row>
    <row r="791" spans="1:8" x14ac:dyDescent="0.2">
      <c r="A791" s="2" t="s">
        <v>3575</v>
      </c>
      <c r="B791" s="2" t="s">
        <v>444</v>
      </c>
      <c r="C791" s="2">
        <v>581.12070000000006</v>
      </c>
      <c r="D791" s="2">
        <f>HYPERLINK("http://mcb-m6.bioreg.kyushu-u.ac.jp/M3/20110404/F50754/1571/1", 57.97)</f>
        <v>57.97</v>
      </c>
      <c r="E791" s="2">
        <v>39.71</v>
      </c>
      <c r="F791" s="2">
        <v>2</v>
      </c>
      <c r="G791" s="2" t="s">
        <v>9</v>
      </c>
    </row>
    <row r="792" spans="1:8" x14ac:dyDescent="0.2">
      <c r="A792" s="2" t="s">
        <v>3575</v>
      </c>
      <c r="B792" s="2" t="s">
        <v>444</v>
      </c>
      <c r="C792" s="2">
        <v>1177.326</v>
      </c>
      <c r="D792" s="2">
        <f>HYPERLINK("http://mcb-m6.bioreg.kyushu-u.ac.jp/M3/20110404/F50754/1597/1", 63.09)</f>
        <v>63.09</v>
      </c>
      <c r="E792" s="2">
        <v>44.18</v>
      </c>
      <c r="F792" s="2">
        <v>1</v>
      </c>
      <c r="G792" s="2" t="s">
        <v>9</v>
      </c>
      <c r="H792" s="2" t="s">
        <v>4919</v>
      </c>
    </row>
    <row r="793" spans="1:8" x14ac:dyDescent="0.2">
      <c r="A793" s="2" t="s">
        <v>3575</v>
      </c>
      <c r="B793" s="2" t="s">
        <v>444</v>
      </c>
      <c r="C793" s="2">
        <v>581.33320000000003</v>
      </c>
      <c r="D793" s="2">
        <f>HYPERLINK("http://mcb-m6.bioreg.kyushu-u.ac.jp/M3/20110404/F50776/1237/1", 63.24)</f>
        <v>63.24</v>
      </c>
      <c r="E793" s="2">
        <v>35.14</v>
      </c>
      <c r="F793" s="2">
        <v>2</v>
      </c>
      <c r="G793" s="2" t="s">
        <v>9</v>
      </c>
    </row>
    <row r="794" spans="1:8" x14ac:dyDescent="0.2">
      <c r="A794" s="2" t="s">
        <v>3575</v>
      </c>
      <c r="B794" s="2" t="s">
        <v>444</v>
      </c>
      <c r="C794" s="2">
        <v>581.66020000000003</v>
      </c>
      <c r="D794" s="2">
        <f>HYPERLINK("http://mcb-m6.bioreg.kyushu-u.ac.jp/M3/20110404/F50758/1410/1", 42.22)</f>
        <v>42.22</v>
      </c>
      <c r="E794" s="2">
        <v>24.14</v>
      </c>
      <c r="F794" s="2">
        <v>2</v>
      </c>
      <c r="G794" s="2" t="s">
        <v>10</v>
      </c>
    </row>
    <row r="795" spans="1:8" x14ac:dyDescent="0.2">
      <c r="A795" s="2" t="s">
        <v>3575</v>
      </c>
      <c r="B795" s="2" t="s">
        <v>444</v>
      </c>
      <c r="C795" s="2">
        <v>1161.396</v>
      </c>
      <c r="D795" s="2">
        <f>HYPERLINK("http://mcb-m6.bioreg.kyushu-u.ac.jp/M3/20110404/F50760/1255/1", 43.49)</f>
        <v>43.49</v>
      </c>
      <c r="E795" s="2">
        <v>25.67</v>
      </c>
      <c r="F795" s="2">
        <v>1</v>
      </c>
      <c r="G795" s="2" t="s">
        <v>10</v>
      </c>
    </row>
    <row r="796" spans="1:8" x14ac:dyDescent="0.2">
      <c r="A796" s="2" t="s">
        <v>3575</v>
      </c>
      <c r="B796" s="2" t="s">
        <v>444</v>
      </c>
      <c r="C796" s="2">
        <v>581.68470000000002</v>
      </c>
      <c r="D796" s="2">
        <f>HYPERLINK("http://mcb-m6.bioreg.kyushu-u.ac.jp/M3/20110404/F50771/1273/1", 44.39)</f>
        <v>44.39</v>
      </c>
      <c r="E796" s="2">
        <v>22.52</v>
      </c>
      <c r="F796" s="2">
        <v>2</v>
      </c>
      <c r="G796" s="2" t="s">
        <v>10</v>
      </c>
    </row>
    <row r="797" spans="1:8" x14ac:dyDescent="0.2">
      <c r="A797" s="2" t="s">
        <v>3575</v>
      </c>
      <c r="B797" s="2" t="s">
        <v>444</v>
      </c>
      <c r="C797" s="2">
        <v>1161.5989999999999</v>
      </c>
      <c r="D797" s="2">
        <f>HYPERLINK("http://mcb-m6.bioreg.kyushu-u.ac.jp/M3/20110404/F50781/1267/1", 44.43)</f>
        <v>44.43</v>
      </c>
      <c r="E797" s="2">
        <v>17.03</v>
      </c>
      <c r="F797" s="2">
        <v>1</v>
      </c>
      <c r="G797" s="2" t="s">
        <v>10</v>
      </c>
    </row>
    <row r="798" spans="1:8" x14ac:dyDescent="0.2">
      <c r="A798" s="2" t="s">
        <v>3575</v>
      </c>
      <c r="B798" s="2" t="s">
        <v>444</v>
      </c>
      <c r="C798" s="2">
        <v>581.2192</v>
      </c>
      <c r="D798" s="2">
        <f>HYPERLINK("http://mcb-m6.bioreg.kyushu-u.ac.jp/M3/20110404/F50760/1257/1", 46.84)</f>
        <v>46.84</v>
      </c>
      <c r="E798" s="2">
        <v>25.5</v>
      </c>
      <c r="F798" s="2">
        <v>2</v>
      </c>
      <c r="G798" s="2" t="s">
        <v>10</v>
      </c>
    </row>
    <row r="799" spans="1:8" x14ac:dyDescent="0.2">
      <c r="A799" s="2" t="s">
        <v>3575</v>
      </c>
      <c r="B799" s="2" t="s">
        <v>444</v>
      </c>
      <c r="C799" s="2">
        <v>1161.5899999999999</v>
      </c>
      <c r="D799" s="2">
        <f>HYPERLINK("http://mcb-m6.bioreg.kyushu-u.ac.jp/M3/20110404/F50769/1469/1", 48.33)</f>
        <v>48.33</v>
      </c>
      <c r="E799" s="2">
        <v>29.38</v>
      </c>
      <c r="F799" s="2">
        <v>1</v>
      </c>
      <c r="G799" s="2" t="s">
        <v>10</v>
      </c>
    </row>
    <row r="800" spans="1:8" x14ac:dyDescent="0.2">
      <c r="A800" s="2" t="s">
        <v>3575</v>
      </c>
      <c r="B800" s="2" t="s">
        <v>444</v>
      </c>
      <c r="C800" s="2">
        <v>581.13170000000002</v>
      </c>
      <c r="D800" s="2">
        <f>HYPERLINK("http://mcb-m6.bioreg.kyushu-u.ac.jp/M3/20110404/F50758/1405/1", 48.88)</f>
        <v>48.88</v>
      </c>
      <c r="E800" s="2">
        <v>28.05</v>
      </c>
      <c r="F800" s="2">
        <v>2</v>
      </c>
      <c r="G800" s="2" t="s">
        <v>10</v>
      </c>
    </row>
    <row r="801" spans="1:8" x14ac:dyDescent="0.2">
      <c r="A801" s="2" t="s">
        <v>3575</v>
      </c>
      <c r="B801" s="2" t="s">
        <v>444</v>
      </c>
      <c r="C801" s="2">
        <v>589.34969999999998</v>
      </c>
      <c r="D801" s="2">
        <f>HYPERLINK("http://mcb-m6.bioreg.kyushu-u.ac.jp/M3/20110404/F50781/1294/1", 49.23)</f>
        <v>49.23</v>
      </c>
      <c r="E801" s="2">
        <v>25.43</v>
      </c>
      <c r="F801" s="2">
        <v>2</v>
      </c>
      <c r="G801" s="2" t="s">
        <v>10</v>
      </c>
      <c r="H801" s="2" t="s">
        <v>4919</v>
      </c>
    </row>
    <row r="802" spans="1:8" x14ac:dyDescent="0.2">
      <c r="A802" s="2" t="s">
        <v>3575</v>
      </c>
      <c r="B802" s="2" t="s">
        <v>444</v>
      </c>
      <c r="C802" s="2">
        <v>1177.529</v>
      </c>
      <c r="D802" s="2">
        <f>HYPERLINK("http://mcb-m6.bioreg.kyushu-u.ac.jp/M3/20110404/F50781/1293/1", 51.34)</f>
        <v>51.34</v>
      </c>
      <c r="E802" s="2">
        <v>32.08</v>
      </c>
      <c r="F802" s="2">
        <v>1</v>
      </c>
      <c r="G802" s="2" t="s">
        <v>10</v>
      </c>
      <c r="H802" s="2" t="s">
        <v>4919</v>
      </c>
    </row>
    <row r="803" spans="1:8" x14ac:dyDescent="0.2">
      <c r="A803" s="2" t="s">
        <v>3575</v>
      </c>
      <c r="B803" s="2" t="s">
        <v>444</v>
      </c>
      <c r="C803" s="2">
        <v>1161.4449999999999</v>
      </c>
      <c r="D803" s="2">
        <f>HYPERLINK("http://mcb-m6.bioreg.kyushu-u.ac.jp/M3/20110404/F50761/1242/1", 55.08)</f>
        <v>55.08</v>
      </c>
      <c r="E803" s="2">
        <v>36.39</v>
      </c>
      <c r="F803" s="2">
        <v>1</v>
      </c>
      <c r="G803" s="2" t="s">
        <v>10</v>
      </c>
    </row>
    <row r="804" spans="1:8" x14ac:dyDescent="0.2">
      <c r="A804" s="2" t="s">
        <v>3575</v>
      </c>
      <c r="B804" s="2" t="s">
        <v>444</v>
      </c>
      <c r="C804" s="2">
        <v>1161.4059999999999</v>
      </c>
      <c r="D804" s="2">
        <f>HYPERLINK("http://mcb-m6.bioreg.kyushu-u.ac.jp/M3/20110404/F50758/1407/1", 56.5)</f>
        <v>56.5</v>
      </c>
      <c r="E804" s="2">
        <v>41.02</v>
      </c>
      <c r="F804" s="2">
        <v>1</v>
      </c>
      <c r="G804" s="2" t="s">
        <v>10</v>
      </c>
    </row>
    <row r="805" spans="1:8" x14ac:dyDescent="0.2">
      <c r="A805" s="2" t="s">
        <v>3575</v>
      </c>
      <c r="B805" s="2" t="s">
        <v>444</v>
      </c>
      <c r="C805" s="2">
        <v>1177.461</v>
      </c>
      <c r="D805" s="2">
        <f>HYPERLINK("http://mcb-m6.bioreg.kyushu-u.ac.jp/M3/20110404/F50761/1274/1", 56.59)</f>
        <v>56.59</v>
      </c>
      <c r="E805" s="2">
        <v>38.19</v>
      </c>
      <c r="F805" s="2">
        <v>1</v>
      </c>
      <c r="G805" s="2" t="s">
        <v>10</v>
      </c>
      <c r="H805" s="2" t="s">
        <v>4919</v>
      </c>
    </row>
    <row r="806" spans="1:8" x14ac:dyDescent="0.2">
      <c r="A806" s="2" t="s">
        <v>3575</v>
      </c>
      <c r="B806" s="2" t="s">
        <v>444</v>
      </c>
      <c r="C806" s="2">
        <v>1177.414</v>
      </c>
      <c r="D806" s="2">
        <f>HYPERLINK("http://mcb-m6.bioreg.kyushu-u.ac.jp/M3/20110404/F50760/1287/1", 59.24)</f>
        <v>59.24</v>
      </c>
      <c r="E806" s="2">
        <v>40.22</v>
      </c>
      <c r="F806" s="2">
        <v>1</v>
      </c>
      <c r="G806" s="2" t="s">
        <v>10</v>
      </c>
      <c r="H806" s="2" t="s">
        <v>4919</v>
      </c>
    </row>
    <row r="807" spans="1:8" x14ac:dyDescent="0.2">
      <c r="A807" s="2" t="s">
        <v>3575</v>
      </c>
      <c r="B807" s="2" t="s">
        <v>444</v>
      </c>
      <c r="C807" s="2">
        <v>581.23469999999998</v>
      </c>
      <c r="D807" s="2">
        <f>HYPERLINK("http://mcb-m6.bioreg.kyushu-u.ac.jp/M3/20110404/F50781/1266/1", 60.62)</f>
        <v>60.62</v>
      </c>
      <c r="E807" s="2">
        <v>23.88</v>
      </c>
      <c r="F807" s="2">
        <v>2</v>
      </c>
      <c r="G807" s="2" t="s">
        <v>10</v>
      </c>
    </row>
    <row r="808" spans="1:8" x14ac:dyDescent="0.2">
      <c r="A808" s="2" t="s">
        <v>3575</v>
      </c>
      <c r="B808" s="2" t="s">
        <v>444</v>
      </c>
      <c r="C808" s="2">
        <v>589.13760000000002</v>
      </c>
      <c r="D808" s="2">
        <f>HYPERLINK("http://mcb-m6.bioreg.kyushu-u.ac.jp/M3/20110404/F50760/1284/1", 63.81)</f>
        <v>63.81</v>
      </c>
      <c r="E808" s="2">
        <v>42.61</v>
      </c>
      <c r="F808" s="2">
        <v>2</v>
      </c>
      <c r="G808" s="2" t="s">
        <v>10</v>
      </c>
      <c r="H808" s="2" t="s">
        <v>4919</v>
      </c>
    </row>
    <row r="809" spans="1:8" x14ac:dyDescent="0.2">
      <c r="A809" s="2" t="s">
        <v>3575</v>
      </c>
      <c r="B809" s="2" t="s">
        <v>444</v>
      </c>
      <c r="C809" s="2">
        <v>1161.5039999999999</v>
      </c>
      <c r="D809" s="2">
        <f>HYPERLINK("http://mcb-m6.bioreg.kyushu-u.ac.jp/M3/20110421/F51034/1244/1", 39.42)</f>
        <v>39.42</v>
      </c>
      <c r="E809" s="2">
        <v>16.899999999999999</v>
      </c>
      <c r="F809" s="2">
        <v>1</v>
      </c>
      <c r="G809" s="2" t="s">
        <v>11</v>
      </c>
    </row>
    <row r="810" spans="1:8" x14ac:dyDescent="0.2">
      <c r="A810" s="2" t="s">
        <v>3575</v>
      </c>
      <c r="B810" s="2" t="s">
        <v>444</v>
      </c>
      <c r="C810" s="2">
        <v>589.67719999999997</v>
      </c>
      <c r="D810" s="2">
        <f>HYPERLINK("http://mcb-m6.bioreg.kyushu-u.ac.jp/M3/20110421/F51017/1297/1", 42.94)</f>
        <v>42.94</v>
      </c>
      <c r="E810" s="2">
        <v>21.07</v>
      </c>
      <c r="F810" s="2">
        <v>2</v>
      </c>
      <c r="G810" s="2" t="s">
        <v>11</v>
      </c>
      <c r="H810" s="2" t="s">
        <v>4919</v>
      </c>
    </row>
    <row r="811" spans="1:8" x14ac:dyDescent="0.2">
      <c r="A811" s="2" t="s">
        <v>3575</v>
      </c>
      <c r="B811" s="2" t="s">
        <v>444</v>
      </c>
      <c r="C811" s="2">
        <v>581.24869999999999</v>
      </c>
      <c r="D811" s="2">
        <f>HYPERLINK("http://mcb-m6.bioreg.kyushu-u.ac.jp/M3/20110421/F51018/1403/1", 45.25)</f>
        <v>45.25</v>
      </c>
      <c r="E811" s="2">
        <v>26.51</v>
      </c>
      <c r="F811" s="2">
        <v>2</v>
      </c>
      <c r="G811" s="2" t="s">
        <v>11</v>
      </c>
    </row>
    <row r="812" spans="1:8" x14ac:dyDescent="0.2">
      <c r="A812" s="2" t="s">
        <v>3575</v>
      </c>
      <c r="B812" s="2" t="s">
        <v>444</v>
      </c>
      <c r="C812" s="2">
        <v>1178.095</v>
      </c>
      <c r="D812" s="2">
        <f>HYPERLINK("http://mcb-m6.bioreg.kyushu-u.ac.jp/M3/20110421/F51058/1119/1", 51.41)</f>
        <v>51.41</v>
      </c>
      <c r="E812" s="2">
        <v>38.340000000000003</v>
      </c>
      <c r="F812" s="2">
        <v>1</v>
      </c>
      <c r="G812" s="2" t="s">
        <v>11</v>
      </c>
      <c r="H812" s="2" t="s">
        <v>4919</v>
      </c>
    </row>
    <row r="813" spans="1:8" x14ac:dyDescent="0.2">
      <c r="A813" s="2" t="s">
        <v>3575</v>
      </c>
      <c r="B813" s="2" t="s">
        <v>444</v>
      </c>
      <c r="C813" s="2">
        <v>1161.567</v>
      </c>
      <c r="D813" s="2">
        <f>HYPERLINK("http://mcb-m6.bioreg.kyushu-u.ac.jp/M3/20110421/F51058/1102/1", 58.3)</f>
        <v>58.3</v>
      </c>
      <c r="E813" s="2">
        <v>30.83</v>
      </c>
      <c r="F813" s="2">
        <v>1</v>
      </c>
      <c r="G813" s="2" t="s">
        <v>11</v>
      </c>
    </row>
    <row r="814" spans="1:8" x14ac:dyDescent="0.2">
      <c r="A814" s="2" t="s">
        <v>3575</v>
      </c>
      <c r="B814" s="2" t="s">
        <v>444</v>
      </c>
      <c r="C814" s="2">
        <v>589.36019999999996</v>
      </c>
      <c r="D814" s="2">
        <f>HYPERLINK("http://mcb-m6.bioreg.kyushu-u.ac.jp/M3/20110421/F51034/1268/1", 61.52)</f>
        <v>61.52</v>
      </c>
      <c r="E814" s="2">
        <v>43.27</v>
      </c>
      <c r="F814" s="2">
        <v>2</v>
      </c>
      <c r="G814" s="2" t="s">
        <v>11</v>
      </c>
      <c r="H814" s="2" t="s">
        <v>4919</v>
      </c>
    </row>
    <row r="815" spans="1:8" x14ac:dyDescent="0.2">
      <c r="A815" s="2" t="s">
        <v>3575</v>
      </c>
      <c r="B815" s="2" t="s">
        <v>444</v>
      </c>
      <c r="C815" s="2">
        <v>581.69169999999997</v>
      </c>
      <c r="D815" s="2">
        <f>HYPERLINK("http://mcb-m6.bioreg.kyushu-u.ac.jp/M3/20110421/F51024/1489/1", 41.73)</f>
        <v>41.73</v>
      </c>
      <c r="E815" s="2">
        <v>23.01</v>
      </c>
      <c r="F815" s="2">
        <v>2</v>
      </c>
      <c r="G815" s="2" t="s">
        <v>12</v>
      </c>
    </row>
    <row r="816" spans="1:8" x14ac:dyDescent="0.2">
      <c r="A816" s="2" t="s">
        <v>3575</v>
      </c>
      <c r="B816" s="2" t="s">
        <v>444</v>
      </c>
      <c r="C816" s="2">
        <v>1161.6600000000001</v>
      </c>
      <c r="D816" s="2">
        <f>HYPERLINK("http://mcb-m6.bioreg.kyushu-u.ac.jp/M3/20110421/F51045/1474/1", 44.14)</f>
        <v>44.14</v>
      </c>
      <c r="E816" s="2">
        <v>25.62</v>
      </c>
      <c r="F816" s="2">
        <v>1</v>
      </c>
      <c r="G816" s="2" t="s">
        <v>12</v>
      </c>
    </row>
    <row r="817" spans="1:8" x14ac:dyDescent="0.2">
      <c r="A817" s="2" t="s">
        <v>3575</v>
      </c>
      <c r="B817" s="2" t="s">
        <v>444</v>
      </c>
      <c r="C817" s="2">
        <v>1161.5450000000001</v>
      </c>
      <c r="D817" s="2">
        <f>HYPERLINK("http://mcb-m6.bioreg.kyushu-u.ac.jp/M3/20110421/F51044/1239/1", 44.28)</f>
        <v>44.28</v>
      </c>
      <c r="E817" s="2">
        <v>25.89</v>
      </c>
      <c r="F817" s="2">
        <v>1</v>
      </c>
      <c r="G817" s="2" t="s">
        <v>12</v>
      </c>
    </row>
    <row r="818" spans="1:8" x14ac:dyDescent="0.2">
      <c r="A818" s="2" t="s">
        <v>3575</v>
      </c>
      <c r="B818" s="2" t="s">
        <v>444</v>
      </c>
      <c r="C818" s="2">
        <v>1161.32</v>
      </c>
      <c r="D818" s="2">
        <f>HYPERLINK("http://mcb-m6.bioreg.kyushu-u.ac.jp/M3/20110421/F51024/1487/1", 49.36)</f>
        <v>49.36</v>
      </c>
      <c r="E818" s="2">
        <v>29.69</v>
      </c>
      <c r="F818" s="2">
        <v>1</v>
      </c>
      <c r="G818" s="2" t="s">
        <v>12</v>
      </c>
    </row>
    <row r="819" spans="1:8" x14ac:dyDescent="0.2">
      <c r="A819" s="2" t="s">
        <v>3575</v>
      </c>
      <c r="B819" s="2" t="s">
        <v>444</v>
      </c>
      <c r="C819" s="2">
        <v>1162.675</v>
      </c>
      <c r="D819" s="2">
        <f>HYPERLINK("http://mcb-m6.bioreg.kyushu-u.ac.jp/M3/20110421/F51043/1286/1", 50.64)</f>
        <v>50.64</v>
      </c>
      <c r="E819" s="2">
        <v>28.82</v>
      </c>
      <c r="F819" s="2">
        <v>1</v>
      </c>
      <c r="G819" s="2" t="s">
        <v>12</v>
      </c>
    </row>
    <row r="820" spans="1:8" x14ac:dyDescent="0.2">
      <c r="A820" s="2" t="s">
        <v>3575</v>
      </c>
      <c r="B820" s="2" t="s">
        <v>444</v>
      </c>
      <c r="C820" s="2">
        <v>1161.55</v>
      </c>
      <c r="D820" s="2">
        <f>HYPERLINK("http://mcb-m6.bioreg.kyushu-u.ac.jp/M3/20110421/F51047/1333/1", 50.91)</f>
        <v>50.91</v>
      </c>
      <c r="E820" s="2">
        <v>24.52</v>
      </c>
      <c r="F820" s="2">
        <v>1</v>
      </c>
      <c r="G820" s="2" t="s">
        <v>12</v>
      </c>
    </row>
    <row r="821" spans="1:8" x14ac:dyDescent="0.2">
      <c r="A821" s="2" t="s">
        <v>3575</v>
      </c>
      <c r="B821" s="2" t="s">
        <v>444</v>
      </c>
      <c r="C821" s="2">
        <v>1161.5730000000001</v>
      </c>
      <c r="D821" s="2">
        <f>HYPERLINK("http://mcb-m6.bioreg.kyushu-u.ac.jp/M3/20110421/F51059/1012/1", 51.15)</f>
        <v>51.15</v>
      </c>
      <c r="E821" s="2">
        <v>29.99</v>
      </c>
      <c r="F821" s="2">
        <v>1</v>
      </c>
      <c r="G821" s="2" t="s">
        <v>12</v>
      </c>
    </row>
    <row r="822" spans="1:8" x14ac:dyDescent="0.2">
      <c r="A822" s="2" t="s">
        <v>3575</v>
      </c>
      <c r="B822" s="2" t="s">
        <v>444</v>
      </c>
      <c r="C822" s="2">
        <v>1161.623</v>
      </c>
      <c r="D822" s="2">
        <f>HYPERLINK("http://mcb-m6.bioreg.kyushu-u.ac.jp/M3/20110421/F51050/1445/1", 51.26)</f>
        <v>51.26</v>
      </c>
      <c r="E822" s="2">
        <v>25.83</v>
      </c>
      <c r="F822" s="2">
        <v>1</v>
      </c>
      <c r="G822" s="2" t="s">
        <v>12</v>
      </c>
    </row>
    <row r="823" spans="1:8" x14ac:dyDescent="0.2">
      <c r="A823" s="2" t="s">
        <v>3575</v>
      </c>
      <c r="B823" s="2" t="s">
        <v>444</v>
      </c>
      <c r="C823" s="2">
        <v>1177.393</v>
      </c>
      <c r="D823" s="2">
        <f>HYPERLINK("http://mcb-m6.bioreg.kyushu-u.ac.jp/M3/20110421/F51044/1271/1", 54.35)</f>
        <v>54.35</v>
      </c>
      <c r="E823" s="2">
        <v>43.29</v>
      </c>
      <c r="F823" s="2">
        <v>1</v>
      </c>
      <c r="G823" s="2" t="s">
        <v>12</v>
      </c>
      <c r="H823" s="2" t="s">
        <v>4919</v>
      </c>
    </row>
    <row r="824" spans="1:8" x14ac:dyDescent="0.2">
      <c r="A824" s="2" t="s">
        <v>3575</v>
      </c>
      <c r="B824" s="2" t="s">
        <v>444</v>
      </c>
      <c r="C824" s="2">
        <v>1162.595</v>
      </c>
      <c r="D824" s="2">
        <f>HYPERLINK("http://mcb-m6.bioreg.kyushu-u.ac.jp/M3/20110421/F51045/1476/1", 57.21)</f>
        <v>57.21</v>
      </c>
      <c r="E824" s="2">
        <v>34.630000000000003</v>
      </c>
      <c r="F824" s="2">
        <v>1</v>
      </c>
      <c r="G824" s="2" t="s">
        <v>12</v>
      </c>
    </row>
    <row r="825" spans="1:8" x14ac:dyDescent="0.2">
      <c r="A825" s="2" t="s">
        <v>3575</v>
      </c>
      <c r="B825" s="2" t="s">
        <v>444</v>
      </c>
      <c r="C825" s="2">
        <v>1177.567</v>
      </c>
      <c r="D825" s="2">
        <f>HYPERLINK("http://mcb-m6.bioreg.kyushu-u.ac.jp/M3/20110421/F51059/1038/1", 59.36)</f>
        <v>59.36</v>
      </c>
      <c r="E825" s="2">
        <v>40.22</v>
      </c>
      <c r="F825" s="2">
        <v>1</v>
      </c>
      <c r="G825" s="2" t="s">
        <v>12</v>
      </c>
      <c r="H825" s="2" t="s">
        <v>4919</v>
      </c>
    </row>
    <row r="826" spans="1:8" x14ac:dyDescent="0.2">
      <c r="A826" s="2" t="s">
        <v>3575</v>
      </c>
      <c r="B826" s="2" t="s">
        <v>444</v>
      </c>
      <c r="C826" s="2">
        <v>589.80020000000002</v>
      </c>
      <c r="D826" s="2">
        <f>HYPERLINK("http://mcb-m6.bioreg.kyushu-u.ac.jp/M3/20110421/F51044/1273/1", 59.67)</f>
        <v>59.67</v>
      </c>
      <c r="E826" s="2">
        <v>37.979999999999997</v>
      </c>
      <c r="F826" s="2">
        <v>2</v>
      </c>
      <c r="G826" s="2" t="s">
        <v>12</v>
      </c>
      <c r="H826" s="2" t="s">
        <v>4919</v>
      </c>
    </row>
    <row r="827" spans="1:8" x14ac:dyDescent="0.2">
      <c r="A827" s="2" t="s">
        <v>3575</v>
      </c>
      <c r="B827" s="2" t="s">
        <v>444</v>
      </c>
      <c r="C827" s="2">
        <v>589.76509999999996</v>
      </c>
      <c r="D827" s="2">
        <f>HYPERLINK("http://mcb-m6.bioreg.kyushu-u.ac.jp/M3/20110421/F51024/1531/1", 59.97)</f>
        <v>59.97</v>
      </c>
      <c r="E827" s="2">
        <v>42.56</v>
      </c>
      <c r="F827" s="2">
        <v>2</v>
      </c>
      <c r="G827" s="2" t="s">
        <v>12</v>
      </c>
      <c r="H827" s="2" t="s">
        <v>4919</v>
      </c>
    </row>
    <row r="828" spans="1:8" x14ac:dyDescent="0.2">
      <c r="A828" s="2" t="s">
        <v>3575</v>
      </c>
      <c r="B828" s="2" t="s">
        <v>444</v>
      </c>
      <c r="C828" s="2">
        <v>589.34310000000005</v>
      </c>
      <c r="D828" s="2">
        <f>HYPERLINK("http://mcb-m6.bioreg.kyushu-u.ac.jp/M3/20110421/F51059/1039/1", 62.77)</f>
        <v>62.77</v>
      </c>
      <c r="E828" s="2">
        <v>37.54</v>
      </c>
      <c r="F828" s="2">
        <v>2</v>
      </c>
      <c r="G828" s="2" t="s">
        <v>12</v>
      </c>
      <c r="H828" s="2" t="s">
        <v>4919</v>
      </c>
    </row>
    <row r="829" spans="1:8" x14ac:dyDescent="0.2">
      <c r="A829" s="2" t="s">
        <v>3575</v>
      </c>
      <c r="B829" s="2" t="s">
        <v>444</v>
      </c>
      <c r="C829" s="2">
        <v>589.28769999999997</v>
      </c>
      <c r="D829" s="2">
        <f>HYPERLINK("http://mcb-m6.bioreg.kyushu-u.ac.jp/M3/20110421/F51050/1486/1", 64.85)</f>
        <v>64.849999999999994</v>
      </c>
      <c r="E829" s="2">
        <v>46.88</v>
      </c>
      <c r="F829" s="2">
        <v>2</v>
      </c>
      <c r="G829" s="2" t="s">
        <v>12</v>
      </c>
      <c r="H829" s="2" t="s">
        <v>4919</v>
      </c>
    </row>
    <row r="830" spans="1:8" x14ac:dyDescent="0.2">
      <c r="A830" s="2" t="s">
        <v>3575</v>
      </c>
      <c r="B830" s="2" t="s">
        <v>444</v>
      </c>
      <c r="C830" s="2">
        <v>589.26570000000004</v>
      </c>
      <c r="D830" s="2">
        <f>HYPERLINK("http://mcb-m6.bioreg.kyushu-u.ac.jp/M3/20110421/F51044/1272/1", 71.57)</f>
        <v>71.569999999999993</v>
      </c>
      <c r="E830" s="2">
        <v>50.11</v>
      </c>
      <c r="F830" s="2">
        <v>2</v>
      </c>
      <c r="G830" s="2" t="s">
        <v>12</v>
      </c>
      <c r="H830" s="2" t="s">
        <v>4919</v>
      </c>
    </row>
    <row r="831" spans="1:8" x14ac:dyDescent="0.2">
      <c r="A831" s="2" t="s">
        <v>3575</v>
      </c>
      <c r="B831" s="2" t="s">
        <v>444</v>
      </c>
      <c r="C831" s="2">
        <v>581.31209999999999</v>
      </c>
      <c r="D831" s="2">
        <f>HYPERLINK("http://mcb-m6.bioreg.kyushu-u.ac.jp/M3/20110427/F51113/1313/1", 37.83)</f>
        <v>37.83</v>
      </c>
      <c r="E831" s="2">
        <v>19.12</v>
      </c>
      <c r="F831" s="2">
        <v>2</v>
      </c>
      <c r="G831" s="2" t="s">
        <v>13</v>
      </c>
    </row>
    <row r="832" spans="1:8" x14ac:dyDescent="0.2">
      <c r="A832" s="2" t="s">
        <v>3575</v>
      </c>
      <c r="B832" s="2" t="s">
        <v>444</v>
      </c>
      <c r="C832" s="2">
        <v>581.67610000000002</v>
      </c>
      <c r="D832" s="2">
        <f>HYPERLINK("http://mcb-m6.bioreg.kyushu-u.ac.jp/M3/20110427/F51112/1409/1", 45.57)</f>
        <v>45.57</v>
      </c>
      <c r="E832" s="2">
        <v>27.48</v>
      </c>
      <c r="F832" s="2">
        <v>2</v>
      </c>
      <c r="G832" s="2" t="s">
        <v>13</v>
      </c>
    </row>
    <row r="833" spans="1:8" x14ac:dyDescent="0.2">
      <c r="A833" s="2" t="s">
        <v>3575</v>
      </c>
      <c r="B833" s="2" t="s">
        <v>444</v>
      </c>
      <c r="C833" s="2">
        <v>581.73019999999997</v>
      </c>
      <c r="D833" s="2">
        <f>HYPERLINK("http://mcb-m6.bioreg.kyushu-u.ac.jp/M3/20110427/F51111/1471/1", 46.28)</f>
        <v>46.28</v>
      </c>
      <c r="E833" s="2">
        <v>25.48</v>
      </c>
      <c r="F833" s="2">
        <v>2</v>
      </c>
      <c r="G833" s="2" t="s">
        <v>13</v>
      </c>
    </row>
    <row r="834" spans="1:8" x14ac:dyDescent="0.2">
      <c r="A834" s="2" t="s">
        <v>3575</v>
      </c>
      <c r="B834" s="2" t="s">
        <v>444</v>
      </c>
      <c r="C834" s="2">
        <v>1177.347</v>
      </c>
      <c r="D834" s="2">
        <f>HYPERLINK("http://mcb-m6.bioreg.kyushu-u.ac.jp/M3/20110427/F51114/1314/1", 50.96)</f>
        <v>50.96</v>
      </c>
      <c r="E834" s="2">
        <v>28.48</v>
      </c>
      <c r="F834" s="2">
        <v>1</v>
      </c>
      <c r="G834" s="2" t="s">
        <v>13</v>
      </c>
      <c r="H834" s="2" t="s">
        <v>4919</v>
      </c>
    </row>
    <row r="835" spans="1:8" x14ac:dyDescent="0.2">
      <c r="A835" s="2" t="s">
        <v>3575</v>
      </c>
      <c r="B835" s="2" t="s">
        <v>444</v>
      </c>
      <c r="C835" s="2">
        <v>1177.326</v>
      </c>
      <c r="D835" s="2">
        <f>HYPERLINK("http://mcb-m6.bioreg.kyushu-u.ac.jp/M3/20110428/F51131/1108/1", 52.27)</f>
        <v>52.27</v>
      </c>
      <c r="E835" s="2">
        <v>41.47</v>
      </c>
      <c r="F835" s="2">
        <v>1</v>
      </c>
      <c r="G835" s="2" t="s">
        <v>13</v>
      </c>
      <c r="H835" s="2" t="s">
        <v>4919</v>
      </c>
    </row>
    <row r="836" spans="1:8" x14ac:dyDescent="0.2">
      <c r="A836" s="2" t="s">
        <v>3575</v>
      </c>
      <c r="B836" s="2" t="s">
        <v>444</v>
      </c>
      <c r="C836" s="2">
        <v>1161.3869999999999</v>
      </c>
      <c r="D836" s="2">
        <f>HYPERLINK("http://mcb-m6.bioreg.kyushu-u.ac.jp/M3/20110427/F51114/1281/1", 60.44)</f>
        <v>60.44</v>
      </c>
      <c r="E836" s="2">
        <v>37.25</v>
      </c>
      <c r="F836" s="2">
        <v>1</v>
      </c>
      <c r="G836" s="2" t="s">
        <v>13</v>
      </c>
    </row>
    <row r="837" spans="1:8" x14ac:dyDescent="0.2">
      <c r="A837" s="2" t="s">
        <v>3575</v>
      </c>
      <c r="B837" s="2" t="s">
        <v>444</v>
      </c>
      <c r="C837" s="2">
        <v>589.75819999999999</v>
      </c>
      <c r="D837" s="2">
        <f>HYPERLINK("http://mcb-m6.bioreg.kyushu-u.ac.jp/M3/20110428/F51131/1110/1", 60.71)</f>
        <v>60.71</v>
      </c>
      <c r="E837" s="2">
        <v>41.33</v>
      </c>
      <c r="F837" s="2">
        <v>2</v>
      </c>
      <c r="G837" s="2" t="s">
        <v>13</v>
      </c>
      <c r="H837" s="2" t="s">
        <v>4919</v>
      </c>
    </row>
    <row r="838" spans="1:8" x14ac:dyDescent="0.2">
      <c r="A838" s="2" t="s">
        <v>3575</v>
      </c>
      <c r="B838" s="2" t="s">
        <v>444</v>
      </c>
      <c r="C838" s="2">
        <v>1161.347</v>
      </c>
      <c r="D838" s="2">
        <f>HYPERLINK("http://mcb-m6.bioreg.kyushu-u.ac.jp/M3/20110428/F51131/1076/1", 63.62)</f>
        <v>63.62</v>
      </c>
      <c r="E838" s="2">
        <v>38.450000000000003</v>
      </c>
      <c r="F838" s="2">
        <v>1</v>
      </c>
      <c r="G838" s="2" t="s">
        <v>13</v>
      </c>
    </row>
    <row r="839" spans="1:8" x14ac:dyDescent="0.2">
      <c r="A839" s="2" t="s">
        <v>3575</v>
      </c>
      <c r="B839" s="2" t="s">
        <v>444</v>
      </c>
      <c r="C839" s="2">
        <v>589.10310000000004</v>
      </c>
      <c r="D839" s="2">
        <f>HYPERLINK("http://mcb-m6.bioreg.kyushu-u.ac.jp/M3/20110428/F51131/1106/1", 72.87)</f>
        <v>72.87</v>
      </c>
      <c r="E839" s="2">
        <v>50.22</v>
      </c>
      <c r="F839" s="2">
        <v>2</v>
      </c>
      <c r="G839" s="2" t="s">
        <v>13</v>
      </c>
      <c r="H839" s="2" t="s">
        <v>4919</v>
      </c>
    </row>
    <row r="840" spans="1:8" x14ac:dyDescent="0.2">
      <c r="A840" s="2" t="s">
        <v>3575</v>
      </c>
      <c r="B840" s="2" t="s">
        <v>444</v>
      </c>
      <c r="C840" s="2">
        <v>588.96469999999999</v>
      </c>
      <c r="D840" s="2">
        <f>HYPERLINK("http://mcb-m6.bioreg.kyushu-u.ac.jp/M3/20110428/F51126/1497/1", 36.22)</f>
        <v>36.22</v>
      </c>
      <c r="E840" s="2">
        <v>18.27</v>
      </c>
      <c r="F840" s="2">
        <v>2</v>
      </c>
      <c r="G840" s="2" t="s">
        <v>14</v>
      </c>
      <c r="H840" s="2" t="s">
        <v>4919</v>
      </c>
    </row>
    <row r="841" spans="1:8" x14ac:dyDescent="0.2">
      <c r="A841" s="2" t="s">
        <v>3575</v>
      </c>
      <c r="B841" s="2" t="s">
        <v>444</v>
      </c>
      <c r="C841" s="2">
        <v>1177.711</v>
      </c>
      <c r="D841" s="2">
        <f>HYPERLINK("http://mcb-m6.bioreg.kyushu-u.ac.jp/M3/20110428/F51135/1239/1", 37.07)</f>
        <v>37.07</v>
      </c>
      <c r="E841" s="2">
        <v>21.23</v>
      </c>
      <c r="F841" s="2">
        <v>1</v>
      </c>
      <c r="G841" s="2" t="s">
        <v>14</v>
      </c>
      <c r="H841" s="2" t="s">
        <v>4919</v>
      </c>
    </row>
    <row r="842" spans="1:8" x14ac:dyDescent="0.2">
      <c r="A842" s="2" t="s">
        <v>3575</v>
      </c>
      <c r="B842" s="2" t="s">
        <v>444</v>
      </c>
      <c r="C842" s="2">
        <v>588.98270000000002</v>
      </c>
      <c r="D842" s="2">
        <f>HYPERLINK("http://mcb-m6.bioreg.kyushu-u.ac.jp/M3/20110427/F51122/1619/1", 37.96)</f>
        <v>37.96</v>
      </c>
      <c r="E842" s="2">
        <v>18.61</v>
      </c>
      <c r="F842" s="2">
        <v>2</v>
      </c>
      <c r="G842" s="2" t="s">
        <v>14</v>
      </c>
      <c r="H842" s="2" t="s">
        <v>4919</v>
      </c>
    </row>
    <row r="843" spans="1:8" x14ac:dyDescent="0.2">
      <c r="A843" s="2" t="s">
        <v>3575</v>
      </c>
      <c r="B843" s="2" t="s">
        <v>444</v>
      </c>
      <c r="C843" s="2">
        <v>589.02919999999995</v>
      </c>
      <c r="D843" s="2">
        <f>HYPERLINK("http://mcb-m6.bioreg.kyushu-u.ac.jp/M3/20110427/F51124/1422/1", 43.98)</f>
        <v>43.98</v>
      </c>
      <c r="E843" s="2">
        <v>26.15</v>
      </c>
      <c r="F843" s="2">
        <v>2</v>
      </c>
      <c r="G843" s="2" t="s">
        <v>14</v>
      </c>
      <c r="H843" s="2" t="s">
        <v>4919</v>
      </c>
    </row>
    <row r="844" spans="1:8" x14ac:dyDescent="0.2">
      <c r="A844" s="2" t="s">
        <v>3575</v>
      </c>
      <c r="B844" s="2" t="s">
        <v>444</v>
      </c>
      <c r="C844" s="2">
        <v>1161.6600000000001</v>
      </c>
      <c r="D844" s="2">
        <f>HYPERLINK("http://mcb-m6.bioreg.kyushu-u.ac.jp/M3/20110428/F51135/1221/1", 44.33)</f>
        <v>44.33</v>
      </c>
      <c r="E844" s="2">
        <v>17.04</v>
      </c>
      <c r="F844" s="2">
        <v>1</v>
      </c>
      <c r="G844" s="2" t="s">
        <v>14</v>
      </c>
    </row>
    <row r="845" spans="1:8" x14ac:dyDescent="0.2">
      <c r="A845" s="2" t="s">
        <v>3575</v>
      </c>
      <c r="B845" s="2" t="s">
        <v>444</v>
      </c>
      <c r="C845" s="2">
        <v>581.64070000000004</v>
      </c>
      <c r="D845" s="2">
        <f>HYPERLINK("http://mcb-m6.bioreg.kyushu-u.ac.jp/M3/20110427/F51120/1607/1", 45.14)</f>
        <v>45.14</v>
      </c>
      <c r="E845" s="2">
        <v>26.55</v>
      </c>
      <c r="F845" s="2">
        <v>2</v>
      </c>
      <c r="G845" s="2" t="s">
        <v>14</v>
      </c>
    </row>
    <row r="846" spans="1:8" x14ac:dyDescent="0.2">
      <c r="A846" s="2" t="s">
        <v>3575</v>
      </c>
      <c r="B846" s="2" t="s">
        <v>444</v>
      </c>
      <c r="C846" s="2">
        <v>1178.3699999999999</v>
      </c>
      <c r="D846" s="2">
        <f>HYPERLINK("http://mcb-m6.bioreg.kyushu-u.ac.jp/M3/20110427/F51123/1389/1", 47.11)</f>
        <v>47.11</v>
      </c>
      <c r="E846" s="2">
        <v>31.15</v>
      </c>
      <c r="F846" s="2">
        <v>1</v>
      </c>
      <c r="G846" s="2" t="s">
        <v>14</v>
      </c>
      <c r="H846" s="2" t="s">
        <v>4919</v>
      </c>
    </row>
    <row r="847" spans="1:8" x14ac:dyDescent="0.2">
      <c r="A847" s="2" t="s">
        <v>3575</v>
      </c>
      <c r="B847" s="2" t="s">
        <v>444</v>
      </c>
      <c r="C847" s="2">
        <v>1161.3050000000001</v>
      </c>
      <c r="D847" s="2">
        <f>HYPERLINK("http://mcb-m6.bioreg.kyushu-u.ac.jp/M3/20110427/F51121/1516/1", 51.04)</f>
        <v>51.04</v>
      </c>
      <c r="E847" s="2">
        <v>34.49</v>
      </c>
      <c r="F847" s="2">
        <v>1</v>
      </c>
      <c r="G847" s="2" t="s">
        <v>14</v>
      </c>
    </row>
    <row r="848" spans="1:8" x14ac:dyDescent="0.2">
      <c r="A848" s="2" t="s">
        <v>3575</v>
      </c>
      <c r="B848" s="2" t="s">
        <v>444</v>
      </c>
      <c r="C848" s="2">
        <v>1161.3209999999999</v>
      </c>
      <c r="D848" s="2">
        <f>HYPERLINK("http://mcb-m6.bioreg.kyushu-u.ac.jp/M3/20110428/F51128/1244/1", 55.07)</f>
        <v>55.07</v>
      </c>
      <c r="E848" s="2">
        <v>34.67</v>
      </c>
      <c r="F848" s="2">
        <v>1</v>
      </c>
      <c r="G848" s="2" t="s">
        <v>14</v>
      </c>
    </row>
    <row r="849" spans="1:8" x14ac:dyDescent="0.2">
      <c r="A849" s="2" t="s">
        <v>3575</v>
      </c>
      <c r="B849" s="2" t="s">
        <v>444</v>
      </c>
      <c r="C849" s="2">
        <v>1177.3779999999999</v>
      </c>
      <c r="D849" s="2">
        <f>HYPERLINK("http://mcb-m6.bioreg.kyushu-u.ac.jp/M3/20110427/F51123/1387/1", 56.63)</f>
        <v>56.63</v>
      </c>
      <c r="E849" s="2">
        <v>44.82</v>
      </c>
      <c r="F849" s="2">
        <v>1</v>
      </c>
      <c r="G849" s="2" t="s">
        <v>14</v>
      </c>
      <c r="H849" s="2" t="s">
        <v>4919</v>
      </c>
    </row>
    <row r="850" spans="1:8" x14ac:dyDescent="0.2">
      <c r="A850" s="2" t="s">
        <v>3575</v>
      </c>
      <c r="B850" s="2" t="s">
        <v>444</v>
      </c>
      <c r="C850" s="2">
        <v>589.51419999999996</v>
      </c>
      <c r="D850" s="2">
        <f>HYPERLINK("http://mcb-m6.bioreg.kyushu-u.ac.jp/M3/20110428/F51130/1420/1", 56.81)</f>
        <v>56.81</v>
      </c>
      <c r="E850" s="2">
        <v>37.479999999999997</v>
      </c>
      <c r="F850" s="2">
        <v>2</v>
      </c>
      <c r="G850" s="2" t="s">
        <v>14</v>
      </c>
      <c r="H850" s="2" t="s">
        <v>4919</v>
      </c>
    </row>
    <row r="851" spans="1:8" x14ac:dyDescent="0.2">
      <c r="A851" s="2" t="s">
        <v>3575</v>
      </c>
      <c r="B851" s="2" t="s">
        <v>444</v>
      </c>
      <c r="C851" s="2">
        <v>581.07169999999996</v>
      </c>
      <c r="D851" s="2">
        <f>HYPERLINK("http://mcb-m6.bioreg.kyushu-u.ac.jp/M3/20110427/F51121/1515/1", 59.66)</f>
        <v>59.66</v>
      </c>
      <c r="E851" s="2">
        <v>40.659999999999997</v>
      </c>
      <c r="F851" s="2">
        <v>2</v>
      </c>
      <c r="G851" s="2" t="s">
        <v>14</v>
      </c>
    </row>
    <row r="852" spans="1:8" x14ac:dyDescent="0.2">
      <c r="A852" s="2" t="s">
        <v>3575</v>
      </c>
      <c r="B852" s="2" t="s">
        <v>444</v>
      </c>
      <c r="C852" s="2">
        <v>1161.386</v>
      </c>
      <c r="D852" s="2">
        <f>HYPERLINK("http://mcb-m6.bioreg.kyushu-u.ac.jp/M3/20110427/F51123/1351/1", 59.77)</f>
        <v>59.77</v>
      </c>
      <c r="E852" s="2">
        <v>39.4</v>
      </c>
      <c r="F852" s="2">
        <v>1</v>
      </c>
      <c r="G852" s="2" t="s">
        <v>14</v>
      </c>
    </row>
    <row r="853" spans="1:8" x14ac:dyDescent="0.2">
      <c r="A853" s="2" t="s">
        <v>3575</v>
      </c>
      <c r="B853" s="2" t="s">
        <v>444</v>
      </c>
      <c r="C853" s="2">
        <v>589.08759999999995</v>
      </c>
      <c r="D853" s="2">
        <f>HYPERLINK("http://mcb-m6.bioreg.kyushu-u.ac.jp/M3/20110427/F51121/1545/1", 60.02)</f>
        <v>60.02</v>
      </c>
      <c r="E853" s="2">
        <v>37.6</v>
      </c>
      <c r="F853" s="2">
        <v>2</v>
      </c>
      <c r="G853" s="2" t="s">
        <v>14</v>
      </c>
      <c r="H853" s="2" t="s">
        <v>4919</v>
      </c>
    </row>
    <row r="854" spans="1:8" x14ac:dyDescent="0.2">
      <c r="A854" s="2" t="s">
        <v>3575</v>
      </c>
      <c r="B854" s="2" t="s">
        <v>444</v>
      </c>
      <c r="C854" s="2">
        <v>589.10109999999997</v>
      </c>
      <c r="D854" s="2">
        <f>HYPERLINK("http://mcb-m6.bioreg.kyushu-u.ac.jp/M3/20110428/F51128/1293/1", 61.95)</f>
        <v>61.95</v>
      </c>
      <c r="E854" s="2">
        <v>41.99</v>
      </c>
      <c r="F854" s="2">
        <v>2</v>
      </c>
      <c r="G854" s="2" t="s">
        <v>14</v>
      </c>
      <c r="H854" s="2" t="s">
        <v>4919</v>
      </c>
    </row>
    <row r="855" spans="1:8" x14ac:dyDescent="0.2">
      <c r="A855" s="2" t="s">
        <v>3575</v>
      </c>
      <c r="B855" s="2" t="s">
        <v>444</v>
      </c>
      <c r="C855" s="2">
        <v>581.5566</v>
      </c>
      <c r="D855" s="2">
        <f>HYPERLINK("http://mcb-m6.bioreg.kyushu-u.ac.jp/M3/20110427/F51124/1387/1", 62.59)</f>
        <v>62.59</v>
      </c>
      <c r="E855" s="2">
        <v>42.5</v>
      </c>
      <c r="F855" s="2">
        <v>2</v>
      </c>
      <c r="G855" s="2" t="s">
        <v>14</v>
      </c>
    </row>
    <row r="856" spans="1:8" x14ac:dyDescent="0.2">
      <c r="A856" s="2" t="s">
        <v>3575</v>
      </c>
      <c r="B856" s="2" t="s">
        <v>444</v>
      </c>
      <c r="C856" s="2">
        <v>589.2722</v>
      </c>
      <c r="D856" s="2">
        <f>HYPERLINK("http://mcb-m6.bioreg.kyushu-u.ac.jp/M3/20110428/F51135/1238/1", 64.85)</f>
        <v>64.849999999999994</v>
      </c>
      <c r="E856" s="2">
        <v>45.1</v>
      </c>
      <c r="F856" s="2">
        <v>2</v>
      </c>
      <c r="G856" s="2" t="s">
        <v>14</v>
      </c>
      <c r="H856" s="2" t="s">
        <v>4919</v>
      </c>
    </row>
    <row r="857" spans="1:8" x14ac:dyDescent="0.2">
      <c r="A857" s="2" t="s">
        <v>3575</v>
      </c>
      <c r="B857" s="2" t="s">
        <v>2497</v>
      </c>
      <c r="C857" s="2">
        <v>783.26869999999997</v>
      </c>
      <c r="D857" s="2">
        <f>HYPERLINK("http://mcb-m6.bioreg.kyushu-u.ac.jp/M3/20110427/F51123/2250/1", 66.96)</f>
        <v>66.959999999999994</v>
      </c>
      <c r="E857" s="2">
        <v>46.97</v>
      </c>
      <c r="F857" s="2">
        <v>2</v>
      </c>
      <c r="G857" s="2" t="s">
        <v>14</v>
      </c>
      <c r="H857" s="2" t="s">
        <v>4912</v>
      </c>
    </row>
    <row r="858" spans="1:8" x14ac:dyDescent="0.2">
      <c r="A858" s="2" t="s">
        <v>3707</v>
      </c>
      <c r="B858" s="2" t="s">
        <v>689</v>
      </c>
      <c r="C858" s="2">
        <v>594.6807</v>
      </c>
      <c r="D858" s="2">
        <f>HYPERLINK("http://mcb-m6.bioreg.kyushu-u.ac.jp/M3/20110404/F50765/1219/1", 37.85)</f>
        <v>37.85</v>
      </c>
      <c r="E858" s="2">
        <v>24.11</v>
      </c>
      <c r="F858" s="2">
        <v>2</v>
      </c>
      <c r="G858" s="2" t="s">
        <v>9</v>
      </c>
      <c r="H858" s="2" t="s">
        <v>4896</v>
      </c>
    </row>
    <row r="859" spans="1:8" x14ac:dyDescent="0.2">
      <c r="A859" s="2" t="s">
        <v>3707</v>
      </c>
      <c r="B859" s="2" t="s">
        <v>689</v>
      </c>
      <c r="C859" s="2">
        <v>1187.355</v>
      </c>
      <c r="D859" s="2">
        <f>HYPERLINK("http://mcb-m6.bioreg.kyushu-u.ac.jp/M3/20110404/F50776/1288/1", 43.27)</f>
        <v>43.27</v>
      </c>
      <c r="E859" s="2">
        <v>28.62</v>
      </c>
      <c r="F859" s="2">
        <v>1</v>
      </c>
      <c r="G859" s="2" t="s">
        <v>9</v>
      </c>
      <c r="H859" s="2" t="s">
        <v>4901</v>
      </c>
    </row>
    <row r="860" spans="1:8" x14ac:dyDescent="0.2">
      <c r="A860" s="2" t="s">
        <v>3707</v>
      </c>
      <c r="B860" s="2" t="s">
        <v>689</v>
      </c>
      <c r="C860" s="2">
        <v>586.8741</v>
      </c>
      <c r="D860" s="2">
        <f>HYPERLINK("http://mcb-m6.bioreg.kyushu-u.ac.jp/M3/20110404/F50776/1253/1", 53.53)</f>
        <v>53.53</v>
      </c>
      <c r="E860" s="2">
        <v>32.82</v>
      </c>
      <c r="F860" s="2">
        <v>2</v>
      </c>
      <c r="G860" s="2" t="s">
        <v>9</v>
      </c>
    </row>
    <row r="861" spans="1:8" x14ac:dyDescent="0.2">
      <c r="A861" s="2" t="s">
        <v>3707</v>
      </c>
      <c r="B861" s="2" t="s">
        <v>689</v>
      </c>
      <c r="C861" s="2">
        <v>586.5992</v>
      </c>
      <c r="D861" s="2">
        <f>HYPERLINK("http://mcb-m6.bioreg.kyushu-u.ac.jp/M3/20110404/F50776/1252/1", 53.62)</f>
        <v>53.62</v>
      </c>
      <c r="E861" s="2">
        <v>30.66</v>
      </c>
      <c r="F861" s="2">
        <v>2</v>
      </c>
      <c r="G861" s="2" t="s">
        <v>9</v>
      </c>
    </row>
    <row r="862" spans="1:8" x14ac:dyDescent="0.2">
      <c r="A862" s="2" t="s">
        <v>3707</v>
      </c>
      <c r="B862" s="2" t="s">
        <v>689</v>
      </c>
      <c r="C862" s="2">
        <v>1171.528</v>
      </c>
      <c r="D862" s="2">
        <f>HYPERLINK("http://mcb-m6.bioreg.kyushu-u.ac.jp/M3/20110404/F50776/1250/1", 55.2)</f>
        <v>55.2</v>
      </c>
      <c r="E862" s="2">
        <v>38.229999999999997</v>
      </c>
      <c r="F862" s="2">
        <v>1</v>
      </c>
      <c r="G862" s="2" t="s">
        <v>9</v>
      </c>
    </row>
    <row r="863" spans="1:8" x14ac:dyDescent="0.2">
      <c r="A863" s="2" t="s">
        <v>3707</v>
      </c>
      <c r="B863" s="2" t="s">
        <v>689</v>
      </c>
      <c r="C863" s="2">
        <v>594.19669999999996</v>
      </c>
      <c r="D863" s="2">
        <f>HYPERLINK("http://mcb-m6.bioreg.kyushu-u.ac.jp/M3/20110404/F50756/1324/1", 56.1)</f>
        <v>56.1</v>
      </c>
      <c r="E863" s="2">
        <v>41</v>
      </c>
      <c r="F863" s="2">
        <v>2</v>
      </c>
      <c r="G863" s="2" t="s">
        <v>9</v>
      </c>
      <c r="H863" s="2" t="s">
        <v>4896</v>
      </c>
    </row>
    <row r="864" spans="1:8" x14ac:dyDescent="0.2">
      <c r="A864" s="2" t="s">
        <v>3707</v>
      </c>
      <c r="B864" s="2" t="s">
        <v>689</v>
      </c>
      <c r="C864" s="2">
        <v>594.48220000000003</v>
      </c>
      <c r="D864" s="2">
        <f>HYPERLINK("http://mcb-m6.bioreg.kyushu-u.ac.jp/M3/20110404/F50776/1289/1", 60.15)</f>
        <v>60.15</v>
      </c>
      <c r="E864" s="2">
        <v>45.37</v>
      </c>
      <c r="F864" s="2">
        <v>2</v>
      </c>
      <c r="G864" s="2" t="s">
        <v>9</v>
      </c>
      <c r="H864" s="2" t="s">
        <v>4896</v>
      </c>
    </row>
    <row r="865" spans="1:8" x14ac:dyDescent="0.2">
      <c r="A865" s="2" t="s">
        <v>3707</v>
      </c>
      <c r="B865" s="2" t="s">
        <v>689</v>
      </c>
      <c r="C865" s="2">
        <v>586.33259999999996</v>
      </c>
      <c r="D865" s="2">
        <f>HYPERLINK("http://mcb-m6.bioreg.kyushu-u.ac.jp/M3/20110404/F50776/1251/1", 61.03)</f>
        <v>61.03</v>
      </c>
      <c r="E865" s="2">
        <v>39.29</v>
      </c>
      <c r="F865" s="2">
        <v>2</v>
      </c>
      <c r="G865" s="2" t="s">
        <v>9</v>
      </c>
    </row>
    <row r="866" spans="1:8" x14ac:dyDescent="0.2">
      <c r="A866" s="2" t="s">
        <v>3707</v>
      </c>
      <c r="B866" s="2" t="s">
        <v>689</v>
      </c>
      <c r="C866" s="2">
        <v>586.79219999999998</v>
      </c>
      <c r="D866" s="2">
        <f>HYPERLINK("http://mcb-m6.bioreg.kyushu-u.ac.jp/M3/20110404/F50756/1297/1", 61.76)</f>
        <v>61.76</v>
      </c>
      <c r="E866" s="2">
        <v>40.229999999999997</v>
      </c>
      <c r="F866" s="2">
        <v>2</v>
      </c>
      <c r="G866" s="2" t="s">
        <v>9</v>
      </c>
    </row>
    <row r="867" spans="1:8" x14ac:dyDescent="0.2">
      <c r="A867" s="2" t="s">
        <v>3707</v>
      </c>
      <c r="B867" s="2" t="s">
        <v>689</v>
      </c>
      <c r="C867" s="2">
        <v>586.38459999999998</v>
      </c>
      <c r="D867" s="2">
        <f>HYPERLINK("http://mcb-m6.bioreg.kyushu-u.ac.jp/M3/20110404/F50781/1282/1", 36.69)</f>
        <v>36.69</v>
      </c>
      <c r="E867" s="2">
        <v>24.43</v>
      </c>
      <c r="F867" s="2">
        <v>2</v>
      </c>
      <c r="G867" s="2" t="s">
        <v>10</v>
      </c>
    </row>
    <row r="868" spans="1:8" x14ac:dyDescent="0.2">
      <c r="A868" s="2" t="s">
        <v>3707</v>
      </c>
      <c r="B868" s="2" t="s">
        <v>689</v>
      </c>
      <c r="C868" s="2">
        <v>594.67169999999999</v>
      </c>
      <c r="D868" s="2">
        <f>HYPERLINK("http://mcb-m6.bioreg.kyushu-u.ac.jp/M3/20110404/F50769/1517/1", 40.22)</f>
        <v>40.22</v>
      </c>
      <c r="E868" s="2">
        <v>25.19</v>
      </c>
      <c r="F868" s="2">
        <v>2</v>
      </c>
      <c r="G868" s="2" t="s">
        <v>10</v>
      </c>
      <c r="H868" s="2" t="s">
        <v>4896</v>
      </c>
    </row>
    <row r="869" spans="1:8" x14ac:dyDescent="0.2">
      <c r="A869" s="2" t="s">
        <v>3707</v>
      </c>
      <c r="B869" s="2" t="s">
        <v>689</v>
      </c>
      <c r="C869" s="2">
        <v>594.60419999999999</v>
      </c>
      <c r="D869" s="2">
        <f>HYPERLINK("http://mcb-m6.bioreg.kyushu-u.ac.jp/M3/20110404/F50781/1322/1", 48.74)</f>
        <v>48.74</v>
      </c>
      <c r="E869" s="2">
        <v>34.18</v>
      </c>
      <c r="F869" s="2">
        <v>2</v>
      </c>
      <c r="G869" s="2" t="s">
        <v>10</v>
      </c>
      <c r="H869" s="2" t="s">
        <v>4901</v>
      </c>
    </row>
    <row r="870" spans="1:8" x14ac:dyDescent="0.2">
      <c r="A870" s="2" t="s">
        <v>3707</v>
      </c>
      <c r="B870" s="2" t="s">
        <v>689</v>
      </c>
      <c r="C870" s="2">
        <v>1187.577</v>
      </c>
      <c r="D870" s="2">
        <f>HYPERLINK("http://mcb-m6.bioreg.kyushu-u.ac.jp/M3/20110404/F50781/1320/1", 48.87)</f>
        <v>48.87</v>
      </c>
      <c r="E870" s="2">
        <v>35.229999999999997</v>
      </c>
      <c r="F870" s="2">
        <v>1</v>
      </c>
      <c r="G870" s="2" t="s">
        <v>10</v>
      </c>
      <c r="H870" s="2" t="s">
        <v>4901</v>
      </c>
    </row>
    <row r="871" spans="1:8" x14ac:dyDescent="0.2">
      <c r="A871" s="2" t="s">
        <v>3707</v>
      </c>
      <c r="B871" s="2" t="s">
        <v>689</v>
      </c>
      <c r="C871" s="2">
        <v>586.78269999999998</v>
      </c>
      <c r="D871" s="2">
        <f>HYPERLINK("http://mcb-m6.bioreg.kyushu-u.ac.jp/M3/20110404/F50760/1282/1", 53.48)</f>
        <v>53.48</v>
      </c>
      <c r="E871" s="2">
        <v>34.42</v>
      </c>
      <c r="F871" s="2">
        <v>2</v>
      </c>
      <c r="G871" s="2" t="s">
        <v>10</v>
      </c>
    </row>
    <row r="872" spans="1:8" x14ac:dyDescent="0.2">
      <c r="A872" s="2" t="s">
        <v>3707</v>
      </c>
      <c r="B872" s="2" t="s">
        <v>689</v>
      </c>
      <c r="C872" s="2">
        <v>1171.557</v>
      </c>
      <c r="D872" s="2">
        <f>HYPERLINK("http://mcb-m6.bioreg.kyushu-u.ac.jp/M3/20110404/F50781/1281/1", 55.3)</f>
        <v>55.3</v>
      </c>
      <c r="E872" s="2">
        <v>38.14</v>
      </c>
      <c r="F872" s="2">
        <v>1</v>
      </c>
      <c r="G872" s="2" t="s">
        <v>10</v>
      </c>
    </row>
    <row r="873" spans="1:8" x14ac:dyDescent="0.2">
      <c r="A873" s="2" t="s">
        <v>3707</v>
      </c>
      <c r="B873" s="2" t="s">
        <v>689</v>
      </c>
      <c r="C873" s="2">
        <v>1171.6420000000001</v>
      </c>
      <c r="D873" s="2">
        <f>HYPERLINK("http://mcb-m6.bioreg.kyushu-u.ac.jp/M3/20110404/F50761/1263/1", 57.71)</f>
        <v>57.71</v>
      </c>
      <c r="E873" s="2">
        <v>40.630000000000003</v>
      </c>
      <c r="F873" s="2">
        <v>1</v>
      </c>
      <c r="G873" s="2" t="s">
        <v>10</v>
      </c>
    </row>
    <row r="874" spans="1:8" x14ac:dyDescent="0.2">
      <c r="A874" s="2" t="s">
        <v>3707</v>
      </c>
      <c r="B874" s="2" t="s">
        <v>689</v>
      </c>
      <c r="C874" s="2">
        <v>594.32259999999997</v>
      </c>
      <c r="D874" s="2">
        <f>HYPERLINK("http://mcb-m6.bioreg.kyushu-u.ac.jp/M3/20110404/F50781/1321/1", 64.33)</f>
        <v>64.33</v>
      </c>
      <c r="E874" s="2">
        <v>47.11</v>
      </c>
      <c r="F874" s="2">
        <v>2</v>
      </c>
      <c r="G874" s="2" t="s">
        <v>10</v>
      </c>
      <c r="H874" s="2" t="s">
        <v>4896</v>
      </c>
    </row>
    <row r="875" spans="1:8" x14ac:dyDescent="0.2">
      <c r="A875" s="2" t="s">
        <v>3707</v>
      </c>
      <c r="B875" s="2" t="s">
        <v>689</v>
      </c>
      <c r="C875" s="2">
        <v>586.39670000000001</v>
      </c>
      <c r="D875" s="2">
        <f>HYPERLINK("http://mcb-m6.bioreg.kyushu-u.ac.jp/M3/20110404/F50781/1283/1", 66.9)</f>
        <v>66.900000000000006</v>
      </c>
      <c r="E875" s="2">
        <v>44.96</v>
      </c>
      <c r="F875" s="2">
        <v>2</v>
      </c>
      <c r="G875" s="2" t="s">
        <v>10</v>
      </c>
    </row>
    <row r="876" spans="1:8" x14ac:dyDescent="0.2">
      <c r="A876" s="2" t="s">
        <v>3707</v>
      </c>
      <c r="B876" s="2" t="s">
        <v>689</v>
      </c>
      <c r="C876" s="2">
        <v>594.15009999999995</v>
      </c>
      <c r="D876" s="2">
        <f>HYPERLINK("http://mcb-m6.bioreg.kyushu-u.ac.jp/M3/20110404/F50761/1292/1", 67.83)</f>
        <v>67.83</v>
      </c>
      <c r="E876" s="2">
        <v>49.43</v>
      </c>
      <c r="F876" s="2">
        <v>2</v>
      </c>
      <c r="G876" s="2" t="s">
        <v>10</v>
      </c>
      <c r="H876" s="2" t="s">
        <v>4901</v>
      </c>
    </row>
    <row r="877" spans="1:8" x14ac:dyDescent="0.2">
      <c r="A877" s="2" t="s">
        <v>3707</v>
      </c>
      <c r="B877" s="2" t="s">
        <v>689</v>
      </c>
      <c r="C877" s="2">
        <v>594.53020000000004</v>
      </c>
      <c r="D877" s="2">
        <f>HYPERLINK("http://mcb-m6.bioreg.kyushu-u.ac.jp/M3/20110421/F51058/1150/1", 36.92)</f>
        <v>36.92</v>
      </c>
      <c r="E877" s="2">
        <v>13.05</v>
      </c>
      <c r="F877" s="2">
        <v>2</v>
      </c>
      <c r="G877" s="2" t="s">
        <v>11</v>
      </c>
      <c r="H877" s="2" t="s">
        <v>4896</v>
      </c>
    </row>
    <row r="878" spans="1:8" x14ac:dyDescent="0.2">
      <c r="A878" s="2" t="s">
        <v>3707</v>
      </c>
      <c r="B878" s="2" t="s">
        <v>689</v>
      </c>
      <c r="C878" s="2">
        <v>594.8827</v>
      </c>
      <c r="D878" s="2">
        <f>HYPERLINK("http://mcb-m6.bioreg.kyushu-u.ac.jp/M3/20110421/F51058/1158/1", 44.53)</f>
        <v>44.53</v>
      </c>
      <c r="E878" s="2">
        <v>27.72</v>
      </c>
      <c r="F878" s="2">
        <v>2</v>
      </c>
      <c r="G878" s="2" t="s">
        <v>11</v>
      </c>
      <c r="H878" s="2" t="s">
        <v>4901</v>
      </c>
    </row>
    <row r="879" spans="1:8" x14ac:dyDescent="0.2">
      <c r="A879" s="2" t="s">
        <v>3707</v>
      </c>
      <c r="B879" s="2" t="s">
        <v>689</v>
      </c>
      <c r="C879" s="2">
        <v>586.47919999999999</v>
      </c>
      <c r="D879" s="2">
        <f>HYPERLINK("http://mcb-m6.bioreg.kyushu-u.ac.jp/M3/20110421/F51058/1115/1", 63.84)</f>
        <v>63.84</v>
      </c>
      <c r="E879" s="2">
        <v>40.24</v>
      </c>
      <c r="F879" s="2">
        <v>2</v>
      </c>
      <c r="G879" s="2" t="s">
        <v>11</v>
      </c>
    </row>
    <row r="880" spans="1:8" x14ac:dyDescent="0.2">
      <c r="A880" s="2" t="s">
        <v>3707</v>
      </c>
      <c r="B880" s="2" t="s">
        <v>689</v>
      </c>
      <c r="C880" s="2">
        <v>594.32759999999996</v>
      </c>
      <c r="D880" s="2">
        <f>HYPERLINK("http://mcb-m6.bioreg.kyushu-u.ac.jp/M3/20110421/F51059/1068/1", 41.17)</f>
        <v>41.17</v>
      </c>
      <c r="E880" s="2">
        <v>26.73</v>
      </c>
      <c r="F880" s="2">
        <v>2</v>
      </c>
      <c r="G880" s="2" t="s">
        <v>12</v>
      </c>
      <c r="H880" s="2" t="s">
        <v>4896</v>
      </c>
    </row>
    <row r="881" spans="1:8" x14ac:dyDescent="0.2">
      <c r="A881" s="2" t="s">
        <v>3707</v>
      </c>
      <c r="B881" s="2" t="s">
        <v>689</v>
      </c>
      <c r="C881" s="2">
        <v>1171.598</v>
      </c>
      <c r="D881" s="2">
        <f>HYPERLINK("http://mcb-m6.bioreg.kyushu-u.ac.jp/M3/20110421/F51059/1032/1", 51.27)</f>
        <v>51.27</v>
      </c>
      <c r="E881" s="2">
        <v>34.909999999999997</v>
      </c>
      <c r="F881" s="2">
        <v>1</v>
      </c>
      <c r="G881" s="2" t="s">
        <v>12</v>
      </c>
    </row>
    <row r="882" spans="1:8" x14ac:dyDescent="0.2">
      <c r="A882" s="2" t="s">
        <v>3707</v>
      </c>
      <c r="B882" s="2" t="s">
        <v>689</v>
      </c>
      <c r="C882" s="2">
        <v>594.3741</v>
      </c>
      <c r="D882" s="2">
        <f>HYPERLINK("http://mcb-m6.bioreg.kyushu-u.ac.jp/M3/20110421/F51059/1070/1", 53.53)</f>
        <v>53.53</v>
      </c>
      <c r="E882" s="2">
        <v>26.18</v>
      </c>
      <c r="F882" s="2">
        <v>2</v>
      </c>
      <c r="G882" s="2" t="s">
        <v>12</v>
      </c>
      <c r="H882" s="2" t="s">
        <v>4901</v>
      </c>
    </row>
    <row r="883" spans="1:8" x14ac:dyDescent="0.2">
      <c r="A883" s="2" t="s">
        <v>3707</v>
      </c>
      <c r="B883" s="2" t="s">
        <v>689</v>
      </c>
      <c r="C883" s="2">
        <v>586.4067</v>
      </c>
      <c r="D883" s="2">
        <f>HYPERLINK("http://mcb-m6.bioreg.kyushu-u.ac.jp/M3/20110421/F51059/1033/1", 70.65)</f>
        <v>70.650000000000006</v>
      </c>
      <c r="E883" s="2">
        <v>48.54</v>
      </c>
      <c r="F883" s="2">
        <v>2</v>
      </c>
      <c r="G883" s="2" t="s">
        <v>12</v>
      </c>
    </row>
    <row r="884" spans="1:8" x14ac:dyDescent="0.2">
      <c r="A884" s="2" t="s">
        <v>3707</v>
      </c>
      <c r="B884" s="2" t="s">
        <v>689</v>
      </c>
      <c r="C884" s="2">
        <v>602.23360000000002</v>
      </c>
      <c r="D884" s="2">
        <f>HYPERLINK("http://mcb-m6.bioreg.kyushu-u.ac.jp/M3/20110427/F51114/1381/1", 44.49)</f>
        <v>44.49</v>
      </c>
      <c r="E884" s="2">
        <v>28.35</v>
      </c>
      <c r="F884" s="2">
        <v>2</v>
      </c>
      <c r="G884" s="2" t="s">
        <v>13</v>
      </c>
      <c r="H884" s="2" t="s">
        <v>4928</v>
      </c>
    </row>
    <row r="885" spans="1:8" x14ac:dyDescent="0.2">
      <c r="A885" s="2" t="s">
        <v>3707</v>
      </c>
      <c r="B885" s="2" t="s">
        <v>689</v>
      </c>
      <c r="C885" s="2">
        <v>594.63319999999999</v>
      </c>
      <c r="D885" s="2">
        <f>HYPERLINK("http://mcb-m6.bioreg.kyushu-u.ac.jp/M3/20110427/F51114/1347/1", 46.64)</f>
        <v>46.64</v>
      </c>
      <c r="E885" s="2">
        <v>28.27</v>
      </c>
      <c r="F885" s="2">
        <v>2</v>
      </c>
      <c r="G885" s="2" t="s">
        <v>13</v>
      </c>
      <c r="H885" s="2" t="s">
        <v>4896</v>
      </c>
    </row>
    <row r="886" spans="1:8" x14ac:dyDescent="0.2">
      <c r="A886" s="2" t="s">
        <v>3707</v>
      </c>
      <c r="B886" s="2" t="s">
        <v>689</v>
      </c>
      <c r="C886" s="2">
        <v>594.1182</v>
      </c>
      <c r="D886" s="2">
        <f>HYPERLINK("http://mcb-m6.bioreg.kyushu-u.ac.jp/M3/20110427/F51114/1340/1", 52.64)</f>
        <v>52.64</v>
      </c>
      <c r="E886" s="2">
        <v>34.81</v>
      </c>
      <c r="F886" s="2">
        <v>2</v>
      </c>
      <c r="G886" s="2" t="s">
        <v>13</v>
      </c>
      <c r="H886" s="2" t="s">
        <v>4896</v>
      </c>
    </row>
    <row r="887" spans="1:8" x14ac:dyDescent="0.2">
      <c r="A887" s="2" t="s">
        <v>3707</v>
      </c>
      <c r="B887" s="2" t="s">
        <v>689</v>
      </c>
      <c r="C887" s="2">
        <v>594.14260000000002</v>
      </c>
      <c r="D887" s="2">
        <f>HYPERLINK("http://mcb-m6.bioreg.kyushu-u.ac.jp/M3/20110428/F51131/1136/1", 61.54)</f>
        <v>61.54</v>
      </c>
      <c r="E887" s="2">
        <v>39.68</v>
      </c>
      <c r="F887" s="2">
        <v>2</v>
      </c>
      <c r="G887" s="2" t="s">
        <v>13</v>
      </c>
      <c r="H887" s="2" t="s">
        <v>4896</v>
      </c>
    </row>
    <row r="888" spans="1:8" x14ac:dyDescent="0.2">
      <c r="A888" s="2" t="s">
        <v>3707</v>
      </c>
      <c r="B888" s="2" t="s">
        <v>689</v>
      </c>
      <c r="C888" s="2">
        <v>586.13670000000002</v>
      </c>
      <c r="D888" s="2">
        <f>HYPERLINK("http://mcb-m6.bioreg.kyushu-u.ac.jp/M3/20110427/F51114/1302/1", 62.86)</f>
        <v>62.86</v>
      </c>
      <c r="E888" s="2">
        <v>39.74</v>
      </c>
      <c r="F888" s="2">
        <v>2</v>
      </c>
      <c r="G888" s="2" t="s">
        <v>13</v>
      </c>
    </row>
    <row r="889" spans="1:8" x14ac:dyDescent="0.2">
      <c r="A889" s="2" t="s">
        <v>3707</v>
      </c>
      <c r="B889" s="2" t="s">
        <v>689</v>
      </c>
      <c r="C889" s="2">
        <v>586.13509999999997</v>
      </c>
      <c r="D889" s="2">
        <f>HYPERLINK("http://mcb-m6.bioreg.kyushu-u.ac.jp/M3/20110428/F51131/1099/1", 72.53)</f>
        <v>72.53</v>
      </c>
      <c r="E889" s="2">
        <v>50.36</v>
      </c>
      <c r="F889" s="2">
        <v>2</v>
      </c>
      <c r="G889" s="2" t="s">
        <v>13</v>
      </c>
    </row>
    <row r="890" spans="1:8" x14ac:dyDescent="0.2">
      <c r="A890" s="2" t="s">
        <v>3707</v>
      </c>
      <c r="B890" s="2" t="s">
        <v>689</v>
      </c>
      <c r="C890" s="2">
        <v>602.16819999999996</v>
      </c>
      <c r="D890" s="2">
        <f>HYPERLINK("http://mcb-m6.bioreg.kyushu-u.ac.jp/M3/20110427/F51123/1448/1", 44.94)</f>
        <v>44.94</v>
      </c>
      <c r="E890" s="2">
        <v>29.42</v>
      </c>
      <c r="F890" s="2">
        <v>2</v>
      </c>
      <c r="G890" s="2" t="s">
        <v>14</v>
      </c>
      <c r="H890" s="2" t="s">
        <v>4928</v>
      </c>
    </row>
    <row r="891" spans="1:8" x14ac:dyDescent="0.2">
      <c r="A891" s="2" t="s">
        <v>3707</v>
      </c>
      <c r="B891" s="2" t="s">
        <v>689</v>
      </c>
      <c r="C891" s="2">
        <v>602.35919999999999</v>
      </c>
      <c r="D891" s="2">
        <f>HYPERLINK("http://mcb-m6.bioreg.kyushu-u.ac.jp/M3/20110428/F51135/1308/1", 47.42)</f>
        <v>47.42</v>
      </c>
      <c r="E891" s="2">
        <v>34.58</v>
      </c>
      <c r="F891" s="2">
        <v>2</v>
      </c>
      <c r="G891" s="2" t="s">
        <v>14</v>
      </c>
      <c r="H891" s="2" t="s">
        <v>4928</v>
      </c>
    </row>
    <row r="892" spans="1:8" x14ac:dyDescent="0.2">
      <c r="A892" s="2" t="s">
        <v>3707</v>
      </c>
      <c r="B892" s="2" t="s">
        <v>689</v>
      </c>
      <c r="C892" s="2">
        <v>594.26419999999996</v>
      </c>
      <c r="D892" s="2">
        <f>HYPERLINK("http://mcb-m6.bioreg.kyushu-u.ac.jp/M3/20110428/F51128/1324/1", 52.12)</f>
        <v>52.12</v>
      </c>
      <c r="E892" s="2">
        <v>34.46</v>
      </c>
      <c r="F892" s="2">
        <v>2</v>
      </c>
      <c r="G892" s="2" t="s">
        <v>14</v>
      </c>
      <c r="H892" s="2" t="s">
        <v>4896</v>
      </c>
    </row>
    <row r="893" spans="1:8" x14ac:dyDescent="0.2">
      <c r="A893" s="2" t="s">
        <v>3707</v>
      </c>
      <c r="B893" s="2" t="s">
        <v>689</v>
      </c>
      <c r="C893" s="2">
        <v>594.64760000000001</v>
      </c>
      <c r="D893" s="2">
        <f>HYPERLINK("http://mcb-m6.bioreg.kyushu-u.ac.jp/M3/20110428/F51129/1403/1", 53.05)</f>
        <v>53.05</v>
      </c>
      <c r="E893" s="2">
        <v>40.049999999999997</v>
      </c>
      <c r="F893" s="2">
        <v>2</v>
      </c>
      <c r="G893" s="2" t="s">
        <v>14</v>
      </c>
      <c r="H893" s="2" t="s">
        <v>4901</v>
      </c>
    </row>
    <row r="894" spans="1:8" x14ac:dyDescent="0.2">
      <c r="A894" s="2" t="s">
        <v>3707</v>
      </c>
      <c r="B894" s="2" t="s">
        <v>689</v>
      </c>
      <c r="C894" s="2">
        <v>586.40309999999999</v>
      </c>
      <c r="D894" s="2">
        <f>HYPERLINK("http://mcb-m6.bioreg.kyushu-u.ac.jp/M3/20110428/F51135/1233/1", 63.71)</f>
        <v>63.71</v>
      </c>
      <c r="E894" s="2">
        <v>44.02</v>
      </c>
      <c r="F894" s="2">
        <v>2</v>
      </c>
      <c r="G894" s="2" t="s">
        <v>14</v>
      </c>
    </row>
    <row r="895" spans="1:8" x14ac:dyDescent="0.2">
      <c r="A895" s="2" t="s">
        <v>3565</v>
      </c>
      <c r="B895" s="2" t="s">
        <v>429</v>
      </c>
      <c r="C895" s="2">
        <v>600.38369999999998</v>
      </c>
      <c r="D895" s="2">
        <f>HYPERLINK("http://mcb-m6.bioreg.kyushu-u.ac.jp/M3/20110404/F50764/1311/1", 35.41)</f>
        <v>35.409999999999997</v>
      </c>
      <c r="E895" s="2">
        <v>20.91</v>
      </c>
      <c r="F895" s="2">
        <v>2</v>
      </c>
      <c r="G895" s="2" t="s">
        <v>9</v>
      </c>
    </row>
    <row r="896" spans="1:8" x14ac:dyDescent="0.2">
      <c r="A896" s="2" t="s">
        <v>3565</v>
      </c>
      <c r="B896" s="2" t="s">
        <v>429</v>
      </c>
      <c r="C896" s="2">
        <v>599.82169999999996</v>
      </c>
      <c r="D896" s="2">
        <f>HYPERLINK("http://mcb-m6.bioreg.kyushu-u.ac.jp/M3/20110404/F50767/1064/1", 38.91)</f>
        <v>38.909999999999997</v>
      </c>
      <c r="E896" s="2">
        <v>20.22</v>
      </c>
      <c r="F896" s="2">
        <v>2</v>
      </c>
      <c r="G896" s="2" t="s">
        <v>9</v>
      </c>
    </row>
    <row r="897" spans="1:7" x14ac:dyDescent="0.2">
      <c r="A897" s="2" t="s">
        <v>3565</v>
      </c>
      <c r="B897" s="2" t="s">
        <v>429</v>
      </c>
      <c r="C897" s="2">
        <v>599.89919999999995</v>
      </c>
      <c r="D897" s="2">
        <f>HYPERLINK("http://mcb-m6.bioreg.kyushu-u.ac.jp/M3/20110404/F50776/1317/1", 41.97)</f>
        <v>41.97</v>
      </c>
      <c r="E897" s="2">
        <v>27.76</v>
      </c>
      <c r="F897" s="2">
        <v>2</v>
      </c>
      <c r="G897" s="2" t="s">
        <v>9</v>
      </c>
    </row>
    <row r="898" spans="1:7" x14ac:dyDescent="0.2">
      <c r="A898" s="2" t="s">
        <v>3565</v>
      </c>
      <c r="B898" s="2" t="s">
        <v>429</v>
      </c>
      <c r="C898" s="2">
        <v>599.87270000000001</v>
      </c>
      <c r="D898" s="2">
        <f>HYPERLINK("http://mcb-m6.bioreg.kyushu-u.ac.jp/M3/20110404/F50764/1309/1", 45.51)</f>
        <v>45.51</v>
      </c>
      <c r="E898" s="2">
        <v>31.68</v>
      </c>
      <c r="F898" s="2">
        <v>2</v>
      </c>
      <c r="G898" s="2" t="s">
        <v>9</v>
      </c>
    </row>
    <row r="899" spans="1:7" x14ac:dyDescent="0.2">
      <c r="A899" s="2" t="s">
        <v>3565</v>
      </c>
      <c r="B899" s="2" t="s">
        <v>429</v>
      </c>
      <c r="C899" s="2">
        <v>600.38319999999999</v>
      </c>
      <c r="D899" s="2">
        <f>HYPERLINK("http://mcb-m6.bioreg.kyushu-u.ac.jp/M3/20110404/F50756/1358/1", 49.19)</f>
        <v>49.19</v>
      </c>
      <c r="E899" s="2">
        <v>35.32</v>
      </c>
      <c r="F899" s="2">
        <v>2</v>
      </c>
      <c r="G899" s="2" t="s">
        <v>9</v>
      </c>
    </row>
    <row r="900" spans="1:7" x14ac:dyDescent="0.2">
      <c r="A900" s="2" t="s">
        <v>3565</v>
      </c>
      <c r="B900" s="2" t="s">
        <v>429</v>
      </c>
      <c r="C900" s="2">
        <v>600.24570000000006</v>
      </c>
      <c r="D900" s="2">
        <f>HYPERLINK("http://mcb-m6.bioreg.kyushu-u.ac.jp/M3/20110404/F50763/1406/1", 53.36)</f>
        <v>53.36</v>
      </c>
      <c r="E900" s="2">
        <v>29.36</v>
      </c>
      <c r="F900" s="2">
        <v>2</v>
      </c>
      <c r="G900" s="2" t="s">
        <v>9</v>
      </c>
    </row>
    <row r="901" spans="1:7" x14ac:dyDescent="0.2">
      <c r="A901" s="2" t="s">
        <v>3565</v>
      </c>
      <c r="B901" s="2" t="s">
        <v>429</v>
      </c>
      <c r="C901" s="2">
        <v>599.80359999999996</v>
      </c>
      <c r="D901" s="2">
        <f>HYPERLINK("http://mcb-m6.bioreg.kyushu-u.ac.jp/M3/20110404/F50756/1353/1", 53.86)</f>
        <v>53.86</v>
      </c>
      <c r="E901" s="2">
        <v>38.270000000000003</v>
      </c>
      <c r="F901" s="2">
        <v>2</v>
      </c>
      <c r="G901" s="2" t="s">
        <v>9</v>
      </c>
    </row>
    <row r="902" spans="1:7" x14ac:dyDescent="0.2">
      <c r="A902" s="2" t="s">
        <v>3565</v>
      </c>
      <c r="B902" s="2" t="s">
        <v>429</v>
      </c>
      <c r="C902" s="2">
        <v>599.82569999999998</v>
      </c>
      <c r="D902" s="2">
        <f>HYPERLINK("http://mcb-m6.bioreg.kyushu-u.ac.jp/M3/20110404/F50760/1323/1", 40.01)</f>
        <v>40.01</v>
      </c>
      <c r="E902" s="2">
        <v>21.48</v>
      </c>
      <c r="F902" s="2">
        <v>2</v>
      </c>
      <c r="G902" s="2" t="s">
        <v>10</v>
      </c>
    </row>
    <row r="903" spans="1:7" x14ac:dyDescent="0.2">
      <c r="A903" s="2" t="s">
        <v>3565</v>
      </c>
      <c r="B903" s="2" t="s">
        <v>429</v>
      </c>
      <c r="C903" s="2">
        <v>600.11609999999996</v>
      </c>
      <c r="D903" s="2">
        <f>HYPERLINK("http://mcb-m6.bioreg.kyushu-u.ac.jp/M3/20110404/F50772/1353/1", 44.12)</f>
        <v>44.12</v>
      </c>
      <c r="E903" s="2">
        <v>25.96</v>
      </c>
      <c r="F903" s="2">
        <v>2</v>
      </c>
      <c r="G903" s="2" t="s">
        <v>10</v>
      </c>
    </row>
    <row r="904" spans="1:7" x14ac:dyDescent="0.2">
      <c r="A904" s="2" t="s">
        <v>3565</v>
      </c>
      <c r="B904" s="2" t="s">
        <v>429</v>
      </c>
      <c r="C904" s="2">
        <v>600.10360000000003</v>
      </c>
      <c r="D904" s="2">
        <f>HYPERLINK("http://mcb-m6.bioreg.kyushu-u.ac.jp/M3/20110404/F50781/1351/1", 45.77)</f>
        <v>45.77</v>
      </c>
      <c r="E904" s="2">
        <v>27.2</v>
      </c>
      <c r="F904" s="2">
        <v>2</v>
      </c>
      <c r="G904" s="2" t="s">
        <v>10</v>
      </c>
    </row>
    <row r="905" spans="1:7" x14ac:dyDescent="0.2">
      <c r="A905" s="2" t="s">
        <v>3565</v>
      </c>
      <c r="B905" s="2" t="s">
        <v>429</v>
      </c>
      <c r="C905" s="2">
        <v>599.95870000000002</v>
      </c>
      <c r="D905" s="2">
        <f>HYPERLINK("http://mcb-m6.bioreg.kyushu-u.ac.jp/M3/20110404/F50781/1350/1", 48.03)</f>
        <v>48.03</v>
      </c>
      <c r="E905" s="2">
        <v>34.19</v>
      </c>
      <c r="F905" s="2">
        <v>2</v>
      </c>
      <c r="G905" s="2" t="s">
        <v>10</v>
      </c>
    </row>
    <row r="906" spans="1:7" x14ac:dyDescent="0.2">
      <c r="A906" s="2" t="s">
        <v>3565</v>
      </c>
      <c r="B906" s="2" t="s">
        <v>429</v>
      </c>
      <c r="C906" s="2">
        <v>599.90560000000005</v>
      </c>
      <c r="D906" s="2">
        <f>HYPERLINK("http://mcb-m6.bioreg.kyushu-u.ac.jp/M3/20110404/F50781/1349/1", 50.21)</f>
        <v>50.21</v>
      </c>
      <c r="E906" s="2">
        <v>31.46</v>
      </c>
      <c r="F906" s="2">
        <v>2</v>
      </c>
      <c r="G906" s="2" t="s">
        <v>10</v>
      </c>
    </row>
    <row r="907" spans="1:7" x14ac:dyDescent="0.2">
      <c r="A907" s="2" t="s">
        <v>3565</v>
      </c>
      <c r="B907" s="2" t="s">
        <v>429</v>
      </c>
      <c r="C907" s="2">
        <v>599.83720000000005</v>
      </c>
      <c r="D907" s="2">
        <f>HYPERLINK("http://mcb-m6.bioreg.kyushu-u.ac.jp/M3/20110404/F50768/1389/1", 63.33)</f>
        <v>63.33</v>
      </c>
      <c r="E907" s="2">
        <v>50.84</v>
      </c>
      <c r="F907" s="2">
        <v>2</v>
      </c>
      <c r="G907" s="2" t="s">
        <v>10</v>
      </c>
    </row>
    <row r="908" spans="1:7" x14ac:dyDescent="0.2">
      <c r="A908" s="2" t="s">
        <v>3565</v>
      </c>
      <c r="B908" s="2" t="s">
        <v>429</v>
      </c>
      <c r="C908" s="2">
        <v>600.20820000000003</v>
      </c>
      <c r="D908" s="2">
        <f>HYPERLINK("http://mcb-m6.bioreg.kyushu-u.ac.jp/M3/20110404/F50781/1352/1", 71.37)</f>
        <v>71.37</v>
      </c>
      <c r="E908" s="2">
        <v>47.26</v>
      </c>
      <c r="F908" s="2">
        <v>2</v>
      </c>
      <c r="G908" s="2" t="s">
        <v>10</v>
      </c>
    </row>
    <row r="909" spans="1:7" x14ac:dyDescent="0.2">
      <c r="A909" s="2" t="s">
        <v>3565</v>
      </c>
      <c r="B909" s="2" t="s">
        <v>429</v>
      </c>
      <c r="C909" s="2">
        <v>600.39009999999996</v>
      </c>
      <c r="D909" s="2">
        <f>HYPERLINK("http://mcb-m6.bioreg.kyushu-u.ac.jp/M3/20110421/F51058/1188/1", 39.45)</f>
        <v>39.450000000000003</v>
      </c>
      <c r="E909" s="2">
        <v>13.5</v>
      </c>
      <c r="F909" s="2">
        <v>2</v>
      </c>
      <c r="G909" s="2" t="s">
        <v>11</v>
      </c>
    </row>
    <row r="910" spans="1:7" x14ac:dyDescent="0.2">
      <c r="A910" s="2" t="s">
        <v>3565</v>
      </c>
      <c r="B910" s="2" t="s">
        <v>429</v>
      </c>
      <c r="C910" s="2">
        <v>600.03610000000003</v>
      </c>
      <c r="D910" s="2">
        <f>HYPERLINK("http://mcb-m6.bioreg.kyushu-u.ac.jp/M3/20110421/F51058/1184/1", 47.19)</f>
        <v>47.19</v>
      </c>
      <c r="E910" s="2">
        <v>26.04</v>
      </c>
      <c r="F910" s="2">
        <v>2</v>
      </c>
      <c r="G910" s="2" t="s">
        <v>11</v>
      </c>
    </row>
    <row r="911" spans="1:7" x14ac:dyDescent="0.2">
      <c r="A911" s="2" t="s">
        <v>3565</v>
      </c>
      <c r="B911" s="2" t="s">
        <v>429</v>
      </c>
      <c r="C911" s="2">
        <v>599.99069999999995</v>
      </c>
      <c r="D911" s="2">
        <f>HYPERLINK("http://mcb-m6.bioreg.kyushu-u.ac.jp/M3/20110421/F51058/1181/1", 50.54)</f>
        <v>50.54</v>
      </c>
      <c r="E911" s="2">
        <v>32.14</v>
      </c>
      <c r="F911" s="2">
        <v>2</v>
      </c>
      <c r="G911" s="2" t="s">
        <v>11</v>
      </c>
    </row>
    <row r="912" spans="1:7" x14ac:dyDescent="0.2">
      <c r="A912" s="2" t="s">
        <v>3565</v>
      </c>
      <c r="B912" s="2" t="s">
        <v>429</v>
      </c>
      <c r="C912" s="2">
        <v>600.03369999999995</v>
      </c>
      <c r="D912" s="2">
        <f>HYPERLINK("http://mcb-m6.bioreg.kyushu-u.ac.jp/M3/20110421/F51058/1183/1", 52.48)</f>
        <v>52.48</v>
      </c>
      <c r="E912" s="2">
        <v>37.83</v>
      </c>
      <c r="F912" s="2">
        <v>2</v>
      </c>
      <c r="G912" s="2" t="s">
        <v>11</v>
      </c>
    </row>
    <row r="913" spans="1:7" x14ac:dyDescent="0.2">
      <c r="A913" s="2" t="s">
        <v>3565</v>
      </c>
      <c r="B913" s="2" t="s">
        <v>429</v>
      </c>
      <c r="C913" s="2">
        <v>600.40920000000006</v>
      </c>
      <c r="D913" s="2">
        <f>HYPERLINK("http://mcb-m6.bioreg.kyushu-u.ac.jp/M3/20110421/F51042/1112/1", 54.66)</f>
        <v>54.66</v>
      </c>
      <c r="E913" s="2">
        <v>35.979999999999997</v>
      </c>
      <c r="F913" s="2">
        <v>2</v>
      </c>
      <c r="G913" s="2" t="s">
        <v>11</v>
      </c>
    </row>
    <row r="914" spans="1:7" x14ac:dyDescent="0.2">
      <c r="A914" s="2" t="s">
        <v>3565</v>
      </c>
      <c r="B914" s="2" t="s">
        <v>429</v>
      </c>
      <c r="C914" s="2">
        <v>600.22360000000003</v>
      </c>
      <c r="D914" s="2">
        <f>HYPERLINK("http://mcb-m6.bioreg.kyushu-u.ac.jp/M3/20110421/F51061/1351/1", 36.09)</f>
        <v>36.090000000000003</v>
      </c>
      <c r="E914" s="2">
        <v>22.31</v>
      </c>
      <c r="F914" s="2">
        <v>2</v>
      </c>
      <c r="G914" s="2" t="s">
        <v>12</v>
      </c>
    </row>
    <row r="915" spans="1:7" x14ac:dyDescent="0.2">
      <c r="A915" s="2" t="s">
        <v>3565</v>
      </c>
      <c r="B915" s="2" t="s">
        <v>429</v>
      </c>
      <c r="C915" s="2">
        <v>599.97810000000004</v>
      </c>
      <c r="D915" s="2">
        <f>HYPERLINK("http://mcb-m6.bioreg.kyushu-u.ac.jp/M3/20110421/F51045/1576/1", 36.16)</f>
        <v>36.159999999999997</v>
      </c>
      <c r="E915" s="2">
        <v>18.309999999999999</v>
      </c>
      <c r="F915" s="2">
        <v>2</v>
      </c>
      <c r="G915" s="2" t="s">
        <v>12</v>
      </c>
    </row>
    <row r="916" spans="1:7" x14ac:dyDescent="0.2">
      <c r="A916" s="2" t="s">
        <v>3565</v>
      </c>
      <c r="B916" s="2" t="s">
        <v>429</v>
      </c>
      <c r="C916" s="2">
        <v>599.98969999999997</v>
      </c>
      <c r="D916" s="2">
        <f>HYPERLINK("http://mcb-m6.bioreg.kyushu-u.ac.jp/M3/20110421/F51059/1111/1", 38.32)</f>
        <v>38.32</v>
      </c>
      <c r="E916" s="2">
        <v>17.23</v>
      </c>
      <c r="F916" s="2">
        <v>2</v>
      </c>
      <c r="G916" s="2" t="s">
        <v>12</v>
      </c>
    </row>
    <row r="917" spans="1:7" x14ac:dyDescent="0.2">
      <c r="A917" s="2" t="s">
        <v>3565</v>
      </c>
      <c r="B917" s="2" t="s">
        <v>429</v>
      </c>
      <c r="C917" s="2">
        <v>600.32069999999999</v>
      </c>
      <c r="D917" s="2">
        <f>HYPERLINK("http://mcb-m6.bioreg.kyushu-u.ac.jp/M3/20110421/F51048/1562/1", 42.64)</f>
        <v>42.64</v>
      </c>
      <c r="E917" s="2">
        <v>20.71</v>
      </c>
      <c r="F917" s="2">
        <v>2</v>
      </c>
      <c r="G917" s="2" t="s">
        <v>12</v>
      </c>
    </row>
    <row r="918" spans="1:7" x14ac:dyDescent="0.2">
      <c r="A918" s="2" t="s">
        <v>3565</v>
      </c>
      <c r="B918" s="2" t="s">
        <v>429</v>
      </c>
      <c r="C918" s="2">
        <v>599.95619999999997</v>
      </c>
      <c r="D918" s="2">
        <f>HYPERLINK("http://mcb-m6.bioreg.kyushu-u.ac.jp/M3/20110421/F51044/1331/1", 45.05)</f>
        <v>45.05</v>
      </c>
      <c r="E918" s="2">
        <v>34.380000000000003</v>
      </c>
      <c r="F918" s="2">
        <v>2</v>
      </c>
      <c r="G918" s="2" t="s">
        <v>12</v>
      </c>
    </row>
    <row r="919" spans="1:7" x14ac:dyDescent="0.2">
      <c r="A919" s="2" t="s">
        <v>3565</v>
      </c>
      <c r="B919" s="2" t="s">
        <v>429</v>
      </c>
      <c r="C919" s="2">
        <v>599.99519999999995</v>
      </c>
      <c r="D919" s="2">
        <f>HYPERLINK("http://mcb-m6.bioreg.kyushu-u.ac.jp/M3/20110421/F51061/1350/1", 46.54)</f>
        <v>46.54</v>
      </c>
      <c r="E919" s="2">
        <v>26.11</v>
      </c>
      <c r="F919" s="2">
        <v>2</v>
      </c>
      <c r="G919" s="2" t="s">
        <v>12</v>
      </c>
    </row>
    <row r="920" spans="1:7" x14ac:dyDescent="0.2">
      <c r="A920" s="2" t="s">
        <v>3565</v>
      </c>
      <c r="B920" s="2" t="s">
        <v>429</v>
      </c>
      <c r="C920" s="2">
        <v>599.95119999999997</v>
      </c>
      <c r="D920" s="2">
        <f>HYPERLINK("http://mcb-m6.bioreg.kyushu-u.ac.jp/M3/20110421/F51059/1107/1", 46.58)</f>
        <v>46.58</v>
      </c>
      <c r="E920" s="2">
        <v>33.340000000000003</v>
      </c>
      <c r="F920" s="2">
        <v>2</v>
      </c>
      <c r="G920" s="2" t="s">
        <v>12</v>
      </c>
    </row>
    <row r="921" spans="1:7" x14ac:dyDescent="0.2">
      <c r="A921" s="2" t="s">
        <v>3565</v>
      </c>
      <c r="B921" s="2" t="s">
        <v>429</v>
      </c>
      <c r="C921" s="2">
        <v>600.03809999999999</v>
      </c>
      <c r="D921" s="2">
        <f>HYPERLINK("http://mcb-m6.bioreg.kyushu-u.ac.jp/M3/20110421/F51059/1112/1", 48.25)</f>
        <v>48.25</v>
      </c>
      <c r="E921" s="2">
        <v>32.950000000000003</v>
      </c>
      <c r="F921" s="2">
        <v>2</v>
      </c>
      <c r="G921" s="2" t="s">
        <v>12</v>
      </c>
    </row>
    <row r="922" spans="1:7" x14ac:dyDescent="0.2">
      <c r="A922" s="2" t="s">
        <v>3565</v>
      </c>
      <c r="B922" s="2" t="s">
        <v>429</v>
      </c>
      <c r="C922" s="2">
        <v>599.97770000000003</v>
      </c>
      <c r="D922" s="2">
        <f>HYPERLINK("http://mcb-m6.bioreg.kyushu-u.ac.jp/M3/20110421/F51059/1110/1", 51.77)</f>
        <v>51.77</v>
      </c>
      <c r="E922" s="2">
        <v>35.11</v>
      </c>
      <c r="F922" s="2">
        <v>2</v>
      </c>
      <c r="G922" s="2" t="s">
        <v>12</v>
      </c>
    </row>
    <row r="923" spans="1:7" x14ac:dyDescent="0.2">
      <c r="A923" s="2" t="s">
        <v>3565</v>
      </c>
      <c r="B923" s="2" t="s">
        <v>429</v>
      </c>
      <c r="C923" s="2">
        <v>599.89760000000001</v>
      </c>
      <c r="D923" s="2">
        <f>HYPERLINK("http://mcb-m6.bioreg.kyushu-u.ac.jp/M3/20110421/F51059/1104/1", 54.79)</f>
        <v>54.79</v>
      </c>
      <c r="E923" s="2">
        <v>34.729999999999997</v>
      </c>
      <c r="F923" s="2">
        <v>2</v>
      </c>
      <c r="G923" s="2" t="s">
        <v>12</v>
      </c>
    </row>
    <row r="924" spans="1:7" x14ac:dyDescent="0.2">
      <c r="A924" s="2" t="s">
        <v>3565</v>
      </c>
      <c r="B924" s="2" t="s">
        <v>429</v>
      </c>
      <c r="C924" s="2">
        <v>600.01210000000003</v>
      </c>
      <c r="D924" s="2">
        <f>HYPERLINK("http://mcb-m6.bioreg.kyushu-u.ac.jp/M3/20110421/F51047/1443/1", 57.7)</f>
        <v>57.7</v>
      </c>
      <c r="E924" s="2">
        <v>42.04</v>
      </c>
      <c r="F924" s="2">
        <v>2</v>
      </c>
      <c r="G924" s="2" t="s">
        <v>12</v>
      </c>
    </row>
    <row r="925" spans="1:7" x14ac:dyDescent="0.2">
      <c r="A925" s="2" t="s">
        <v>3565</v>
      </c>
      <c r="B925" s="2" t="s">
        <v>429</v>
      </c>
      <c r="C925" s="2">
        <v>600.03970000000004</v>
      </c>
      <c r="D925" s="2">
        <f>HYPERLINK("http://mcb-m6.bioreg.kyushu-u.ac.jp/M3/20110421/F51059/1113/1", 67.28)</f>
        <v>67.28</v>
      </c>
      <c r="E925" s="2">
        <v>39.64</v>
      </c>
      <c r="F925" s="2">
        <v>2</v>
      </c>
      <c r="G925" s="2" t="s">
        <v>12</v>
      </c>
    </row>
    <row r="926" spans="1:7" x14ac:dyDescent="0.2">
      <c r="A926" s="2" t="s">
        <v>3565</v>
      </c>
      <c r="B926" s="2" t="s">
        <v>429</v>
      </c>
      <c r="C926" s="2">
        <v>599.66269999999997</v>
      </c>
      <c r="D926" s="2">
        <f>HYPERLINK("http://mcb-m6.bioreg.kyushu-u.ac.jp/M3/20110427/F51115/1431/1", 37.7)</f>
        <v>37.700000000000003</v>
      </c>
      <c r="E926" s="2">
        <v>18.68</v>
      </c>
      <c r="F926" s="2">
        <v>2</v>
      </c>
      <c r="G926" s="2" t="s">
        <v>13</v>
      </c>
    </row>
    <row r="927" spans="1:7" x14ac:dyDescent="0.2">
      <c r="A927" s="2" t="s">
        <v>3565</v>
      </c>
      <c r="B927" s="2" t="s">
        <v>429</v>
      </c>
      <c r="C927" s="2">
        <v>599.73569999999995</v>
      </c>
      <c r="D927" s="2">
        <f>HYPERLINK("http://mcb-m6.bioreg.kyushu-u.ac.jp/M3/20110427/F51110/1701/1", 39.25)</f>
        <v>39.25</v>
      </c>
      <c r="E927" s="2">
        <v>24.27</v>
      </c>
      <c r="F927" s="2">
        <v>2</v>
      </c>
      <c r="G927" s="2" t="s">
        <v>13</v>
      </c>
    </row>
    <row r="928" spans="1:7" x14ac:dyDescent="0.2">
      <c r="A928" s="2" t="s">
        <v>3565</v>
      </c>
      <c r="B928" s="2" t="s">
        <v>429</v>
      </c>
      <c r="C928" s="2">
        <v>600.21010000000001</v>
      </c>
      <c r="D928" s="2">
        <f>HYPERLINK("http://mcb-m6.bioreg.kyushu-u.ac.jp/M3/20110428/F51131/1166/1", 43.56)</f>
        <v>43.56</v>
      </c>
      <c r="E928" s="2">
        <v>31.47</v>
      </c>
      <c r="F928" s="2">
        <v>2</v>
      </c>
      <c r="G928" s="2" t="s">
        <v>13</v>
      </c>
    </row>
    <row r="929" spans="1:7" x14ac:dyDescent="0.2">
      <c r="A929" s="2" t="s">
        <v>3565</v>
      </c>
      <c r="B929" s="2" t="s">
        <v>429</v>
      </c>
      <c r="C929" s="2">
        <v>599.77369999999996</v>
      </c>
      <c r="D929" s="2">
        <f>HYPERLINK("http://mcb-m6.bioreg.kyushu-u.ac.jp/M3/20110428/F51131/1163/1", 44.65)</f>
        <v>44.65</v>
      </c>
      <c r="E929" s="2">
        <v>32.83</v>
      </c>
      <c r="F929" s="2">
        <v>2</v>
      </c>
      <c r="G929" s="2" t="s">
        <v>13</v>
      </c>
    </row>
    <row r="930" spans="1:7" x14ac:dyDescent="0.2">
      <c r="A930" s="2" t="s">
        <v>3565</v>
      </c>
      <c r="B930" s="2" t="s">
        <v>429</v>
      </c>
      <c r="C930" s="2">
        <v>599.62570000000005</v>
      </c>
      <c r="D930" s="2">
        <f>HYPERLINK("http://mcb-m6.bioreg.kyushu-u.ac.jp/M3/20110428/F51131/1160/1", 46.04)</f>
        <v>46.04</v>
      </c>
      <c r="E930" s="2">
        <v>33.68</v>
      </c>
      <c r="F930" s="2">
        <v>2</v>
      </c>
      <c r="G930" s="2" t="s">
        <v>13</v>
      </c>
    </row>
    <row r="931" spans="1:7" x14ac:dyDescent="0.2">
      <c r="A931" s="2" t="s">
        <v>3565</v>
      </c>
      <c r="B931" s="2" t="s">
        <v>429</v>
      </c>
      <c r="C931" s="2">
        <v>599.83370000000002</v>
      </c>
      <c r="D931" s="2">
        <f>HYPERLINK("http://mcb-m6.bioreg.kyushu-u.ac.jp/M3/20110428/F51130/1477/1", 38.57)</f>
        <v>38.57</v>
      </c>
      <c r="E931" s="2">
        <v>25.59</v>
      </c>
      <c r="F931" s="2">
        <v>2</v>
      </c>
      <c r="G931" s="2" t="s">
        <v>14</v>
      </c>
    </row>
    <row r="932" spans="1:7" x14ac:dyDescent="0.2">
      <c r="A932" s="2" t="s">
        <v>3565</v>
      </c>
      <c r="B932" s="2" t="s">
        <v>429</v>
      </c>
      <c r="C932" s="2">
        <v>599.97969999999998</v>
      </c>
      <c r="D932" s="2">
        <f>HYPERLINK("http://mcb-m6.bioreg.kyushu-u.ac.jp/M3/20110428/F51135/1297/1", 39.79)</f>
        <v>39.79</v>
      </c>
      <c r="E932" s="2">
        <v>25.75</v>
      </c>
      <c r="F932" s="2">
        <v>2</v>
      </c>
      <c r="G932" s="2" t="s">
        <v>14</v>
      </c>
    </row>
    <row r="933" spans="1:7" x14ac:dyDescent="0.2">
      <c r="A933" s="2" t="s">
        <v>3565</v>
      </c>
      <c r="B933" s="2" t="s">
        <v>429</v>
      </c>
      <c r="C933" s="2">
        <v>600.23659999999995</v>
      </c>
      <c r="D933" s="2">
        <f>HYPERLINK("http://mcb-m6.bioreg.kyushu-u.ac.jp/M3/20110428/F51129/1430/1", 40.34)</f>
        <v>40.340000000000003</v>
      </c>
      <c r="E933" s="2">
        <v>16.28</v>
      </c>
      <c r="F933" s="2">
        <v>2</v>
      </c>
      <c r="G933" s="2" t="s">
        <v>14</v>
      </c>
    </row>
    <row r="934" spans="1:7" x14ac:dyDescent="0.2">
      <c r="A934" s="2" t="s">
        <v>3565</v>
      </c>
      <c r="B934" s="2" t="s">
        <v>429</v>
      </c>
      <c r="C934" s="2">
        <v>599.68320000000006</v>
      </c>
      <c r="D934" s="2">
        <f>HYPERLINK("http://mcb-m6.bioreg.kyushu-u.ac.jp/M3/20110427/F51124/1476/1", 43.1)</f>
        <v>43.1</v>
      </c>
      <c r="E934" s="2">
        <v>23.02</v>
      </c>
      <c r="F934" s="2">
        <v>2</v>
      </c>
      <c r="G934" s="2" t="s">
        <v>14</v>
      </c>
    </row>
    <row r="935" spans="1:7" x14ac:dyDescent="0.2">
      <c r="A935" s="2" t="s">
        <v>3565</v>
      </c>
      <c r="B935" s="2" t="s">
        <v>429</v>
      </c>
      <c r="C935" s="2">
        <v>599.92070000000001</v>
      </c>
      <c r="D935" s="2">
        <f>HYPERLINK("http://mcb-m6.bioreg.kyushu-u.ac.jp/M3/20110428/F51135/1294/1", 48.49)</f>
        <v>48.49</v>
      </c>
      <c r="E935" s="2">
        <v>27.85</v>
      </c>
      <c r="F935" s="2">
        <v>2</v>
      </c>
      <c r="G935" s="2" t="s">
        <v>14</v>
      </c>
    </row>
    <row r="936" spans="1:7" x14ac:dyDescent="0.2">
      <c r="A936" s="2" t="s">
        <v>3565</v>
      </c>
      <c r="B936" s="2" t="s">
        <v>429</v>
      </c>
      <c r="C936" s="2">
        <v>600.34619999999995</v>
      </c>
      <c r="D936" s="2">
        <f>HYPERLINK("http://mcb-m6.bioreg.kyushu-u.ac.jp/M3/20110428/F51135/1299/1", 48.51)</f>
        <v>48.51</v>
      </c>
      <c r="E936" s="2">
        <v>33.54</v>
      </c>
      <c r="F936" s="2">
        <v>2</v>
      </c>
      <c r="G936" s="2" t="s">
        <v>14</v>
      </c>
    </row>
    <row r="937" spans="1:7" x14ac:dyDescent="0.2">
      <c r="A937" s="2" t="s">
        <v>3565</v>
      </c>
      <c r="B937" s="2" t="s">
        <v>429</v>
      </c>
      <c r="C937" s="2">
        <v>599.80619999999999</v>
      </c>
      <c r="D937" s="2">
        <f>HYPERLINK("http://mcb-m6.bioreg.kyushu-u.ac.jp/M3/20110427/F51123/1437/1", 52.8)</f>
        <v>52.8</v>
      </c>
      <c r="E937" s="2">
        <v>31.53</v>
      </c>
      <c r="F937" s="2">
        <v>2</v>
      </c>
      <c r="G937" s="2" t="s">
        <v>14</v>
      </c>
    </row>
    <row r="938" spans="1:7" x14ac:dyDescent="0.2">
      <c r="A938" s="2" t="s">
        <v>3565</v>
      </c>
      <c r="B938" s="2" t="s">
        <v>429</v>
      </c>
      <c r="C938" s="2">
        <v>600.38670000000002</v>
      </c>
      <c r="D938" s="2">
        <f>HYPERLINK("http://mcb-m6.bioreg.kyushu-u.ac.jp/M3/20110428/F51135/1300/1", 63.12)</f>
        <v>63.12</v>
      </c>
      <c r="E938" s="2">
        <v>41.7</v>
      </c>
      <c r="F938" s="2">
        <v>2</v>
      </c>
      <c r="G938" s="2" t="s">
        <v>14</v>
      </c>
    </row>
    <row r="939" spans="1:7" x14ac:dyDescent="0.2">
      <c r="A939" s="2" t="s">
        <v>3288</v>
      </c>
      <c r="B939" s="2" t="s">
        <v>68</v>
      </c>
      <c r="C939" s="2">
        <v>976.5</v>
      </c>
      <c r="D939" s="2">
        <f>HYPERLINK("http://mcb-m6.bioreg.kyushu-u.ac.jp/M3/20110404/F50776/1001/1", 36.83)</f>
        <v>36.83</v>
      </c>
      <c r="E939" s="2">
        <v>18.68</v>
      </c>
      <c r="F939" s="2">
        <v>1</v>
      </c>
      <c r="G939" s="2" t="s">
        <v>9</v>
      </c>
    </row>
    <row r="940" spans="1:7" x14ac:dyDescent="0.2">
      <c r="A940" s="2" t="s">
        <v>3288</v>
      </c>
      <c r="B940" s="2" t="s">
        <v>68</v>
      </c>
      <c r="C940" s="2">
        <v>488.98610000000002</v>
      </c>
      <c r="D940" s="2">
        <f>HYPERLINK("http://mcb-m6.bioreg.kyushu-u.ac.jp/M3/20110404/F50776/1003/1", 54.1)</f>
        <v>54.1</v>
      </c>
      <c r="E940" s="2">
        <v>35.01</v>
      </c>
      <c r="F940" s="2">
        <v>2</v>
      </c>
      <c r="G940" s="2" t="s">
        <v>9</v>
      </c>
    </row>
    <row r="941" spans="1:7" x14ac:dyDescent="0.2">
      <c r="A941" s="2" t="s">
        <v>3288</v>
      </c>
      <c r="B941" s="2" t="s">
        <v>68</v>
      </c>
      <c r="C941" s="2">
        <v>489.29860000000002</v>
      </c>
      <c r="D941" s="2">
        <f>HYPERLINK("http://mcb-m6.bioreg.kyushu-u.ac.jp/M3/20110404/F50776/1006/1", 57.28)</f>
        <v>57.28</v>
      </c>
      <c r="E941" s="2">
        <v>38.9</v>
      </c>
      <c r="F941" s="2">
        <v>2</v>
      </c>
      <c r="G941" s="2" t="s">
        <v>9</v>
      </c>
    </row>
    <row r="942" spans="1:7" x14ac:dyDescent="0.2">
      <c r="A942" s="2" t="s">
        <v>3288</v>
      </c>
      <c r="B942" s="2" t="s">
        <v>68</v>
      </c>
      <c r="C942" s="2">
        <v>489.14109999999999</v>
      </c>
      <c r="D942" s="2">
        <f>HYPERLINK("http://mcb-m6.bioreg.kyushu-u.ac.jp/M3/20110404/F50776/1004/1", 57.74)</f>
        <v>57.74</v>
      </c>
      <c r="E942" s="2">
        <v>30.58</v>
      </c>
      <c r="F942" s="2">
        <v>2</v>
      </c>
      <c r="G942" s="2" t="s">
        <v>9</v>
      </c>
    </row>
    <row r="943" spans="1:7" x14ac:dyDescent="0.2">
      <c r="A943" s="2" t="s">
        <v>3288</v>
      </c>
      <c r="B943" s="2" t="s">
        <v>68</v>
      </c>
      <c r="C943" s="2">
        <v>488.66210000000001</v>
      </c>
      <c r="D943" s="2">
        <f>HYPERLINK("http://mcb-m6.bioreg.kyushu-u.ac.jp/M3/20110404/F50776/1000/1", 69.16)</f>
        <v>69.16</v>
      </c>
      <c r="E943" s="2">
        <v>46.55</v>
      </c>
      <c r="F943" s="2">
        <v>2</v>
      </c>
      <c r="G943" s="2" t="s">
        <v>9</v>
      </c>
    </row>
    <row r="944" spans="1:7" x14ac:dyDescent="0.2">
      <c r="A944" s="2" t="s">
        <v>3288</v>
      </c>
      <c r="B944" s="2" t="s">
        <v>68</v>
      </c>
      <c r="C944" s="2">
        <v>488.9221</v>
      </c>
      <c r="D944" s="2">
        <f>HYPERLINK("http://mcb-m6.bioreg.kyushu-u.ac.jp/M3/20110404/F50776/1002/1", 76.04)</f>
        <v>76.040000000000006</v>
      </c>
      <c r="E944" s="2">
        <v>39.979999999999997</v>
      </c>
      <c r="F944" s="2">
        <v>2</v>
      </c>
      <c r="G944" s="2" t="s">
        <v>9</v>
      </c>
    </row>
    <row r="945" spans="1:7" x14ac:dyDescent="0.2">
      <c r="A945" s="2" t="s">
        <v>3288</v>
      </c>
      <c r="B945" s="2" t="s">
        <v>68</v>
      </c>
      <c r="C945" s="2">
        <v>488.66559999999998</v>
      </c>
      <c r="D945" s="2">
        <f>HYPERLINK("http://mcb-m6.bioreg.kyushu-u.ac.jp/M3/20110404/F50754/1283/1", 76.91)</f>
        <v>76.91</v>
      </c>
      <c r="E945" s="2">
        <v>47.05</v>
      </c>
      <c r="F945" s="2">
        <v>2</v>
      </c>
      <c r="G945" s="2" t="s">
        <v>9</v>
      </c>
    </row>
    <row r="946" spans="1:7" x14ac:dyDescent="0.2">
      <c r="A946" s="2" t="s">
        <v>3288</v>
      </c>
      <c r="B946" s="2" t="s">
        <v>68</v>
      </c>
      <c r="C946" s="2">
        <v>488.62009999999998</v>
      </c>
      <c r="D946" s="2">
        <f>HYPERLINK("http://mcb-m6.bioreg.kyushu-u.ac.jp/M3/20110404/F50755/1013/1", 80.67)</f>
        <v>80.67</v>
      </c>
      <c r="E946" s="2">
        <v>46.23</v>
      </c>
      <c r="F946" s="2">
        <v>2</v>
      </c>
      <c r="G946" s="2" t="s">
        <v>9</v>
      </c>
    </row>
    <row r="947" spans="1:7" x14ac:dyDescent="0.2">
      <c r="A947" s="2" t="s">
        <v>3288</v>
      </c>
      <c r="B947" s="2" t="s">
        <v>68</v>
      </c>
      <c r="C947" s="2">
        <v>976.83199999999999</v>
      </c>
      <c r="D947" s="2">
        <f>HYPERLINK("http://mcb-m6.bioreg.kyushu-u.ac.jp/M3/20110404/F50760/1010/1", 35.42)</f>
        <v>35.42</v>
      </c>
      <c r="E947" s="2">
        <v>14.19</v>
      </c>
      <c r="F947" s="2">
        <v>1</v>
      </c>
      <c r="G947" s="2" t="s">
        <v>10</v>
      </c>
    </row>
    <row r="948" spans="1:7" x14ac:dyDescent="0.2">
      <c r="A948" s="2" t="s">
        <v>3288</v>
      </c>
      <c r="B948" s="2" t="s">
        <v>68</v>
      </c>
      <c r="C948" s="2">
        <v>976.47299999999996</v>
      </c>
      <c r="D948" s="2">
        <f>HYPERLINK("http://mcb-m6.bioreg.kyushu-u.ac.jp/M3/20110404/F50781/1019/1", 37.29)</f>
        <v>37.29</v>
      </c>
      <c r="E948" s="2">
        <v>14.15</v>
      </c>
      <c r="F948" s="2">
        <v>1</v>
      </c>
      <c r="G948" s="2" t="s">
        <v>10</v>
      </c>
    </row>
    <row r="949" spans="1:7" x14ac:dyDescent="0.2">
      <c r="A949" s="2" t="s">
        <v>3288</v>
      </c>
      <c r="B949" s="2" t="s">
        <v>68</v>
      </c>
      <c r="C949" s="2">
        <v>976.37099999999998</v>
      </c>
      <c r="D949" s="2">
        <f>HYPERLINK("http://mcb-m6.bioreg.kyushu-u.ac.jp/M3/20110404/F50761/945/1", 37.38)</f>
        <v>37.380000000000003</v>
      </c>
      <c r="E949" s="2">
        <v>19.649999999999999</v>
      </c>
      <c r="F949" s="2">
        <v>1</v>
      </c>
      <c r="G949" s="2" t="s">
        <v>10</v>
      </c>
    </row>
    <row r="950" spans="1:7" x14ac:dyDescent="0.2">
      <c r="A950" s="2" t="s">
        <v>3288</v>
      </c>
      <c r="B950" s="2" t="s">
        <v>68</v>
      </c>
      <c r="C950" s="2">
        <v>488.64159999999998</v>
      </c>
      <c r="D950" s="2">
        <f>HYPERLINK("http://mcb-m6.bioreg.kyushu-u.ac.jp/M3/20110404/F50760/1009/1", 68.72)</f>
        <v>68.72</v>
      </c>
      <c r="E950" s="2">
        <v>36.93</v>
      </c>
      <c r="F950" s="2">
        <v>2</v>
      </c>
      <c r="G950" s="2" t="s">
        <v>10</v>
      </c>
    </row>
    <row r="951" spans="1:7" x14ac:dyDescent="0.2">
      <c r="A951" s="2" t="s">
        <v>3288</v>
      </c>
      <c r="B951" s="2" t="s">
        <v>68</v>
      </c>
      <c r="C951" s="2">
        <v>489.1456</v>
      </c>
      <c r="D951" s="2">
        <f>HYPERLINK("http://mcb-m6.bioreg.kyushu-u.ac.jp/M3/20110404/F50781/1022/1", 71.84)</f>
        <v>71.84</v>
      </c>
      <c r="E951" s="2">
        <v>46.47</v>
      </c>
      <c r="F951" s="2">
        <v>2</v>
      </c>
      <c r="G951" s="2" t="s">
        <v>10</v>
      </c>
    </row>
    <row r="952" spans="1:7" x14ac:dyDescent="0.2">
      <c r="A952" s="2" t="s">
        <v>3288</v>
      </c>
      <c r="B952" s="2" t="s">
        <v>68</v>
      </c>
      <c r="C952" s="2">
        <v>488.69459999999998</v>
      </c>
      <c r="D952" s="2">
        <f>HYPERLINK("http://mcb-m6.bioreg.kyushu-u.ac.jp/M3/20110404/F50781/1018/1", 83.71)</f>
        <v>83.71</v>
      </c>
      <c r="E952" s="2">
        <v>46.53</v>
      </c>
      <c r="F952" s="2">
        <v>2</v>
      </c>
      <c r="G952" s="2" t="s">
        <v>10</v>
      </c>
    </row>
    <row r="953" spans="1:7" x14ac:dyDescent="0.2">
      <c r="A953" s="2" t="s">
        <v>3288</v>
      </c>
      <c r="B953" s="2" t="s">
        <v>68</v>
      </c>
      <c r="C953" s="2">
        <v>489.04360000000003</v>
      </c>
      <c r="D953" s="2">
        <f>HYPERLINK("http://mcb-m6.bioreg.kyushu-u.ac.jp/M3/20110421/F51058/729/1", 37.17)</f>
        <v>37.17</v>
      </c>
      <c r="E953" s="2">
        <v>13</v>
      </c>
      <c r="F953" s="2">
        <v>2</v>
      </c>
      <c r="G953" s="2" t="s">
        <v>11</v>
      </c>
    </row>
    <row r="954" spans="1:7" x14ac:dyDescent="0.2">
      <c r="A954" s="2" t="s">
        <v>3288</v>
      </c>
      <c r="B954" s="2" t="s">
        <v>68</v>
      </c>
      <c r="C954" s="2">
        <v>489.14609999999999</v>
      </c>
      <c r="D954" s="2">
        <f>HYPERLINK("http://mcb-m6.bioreg.kyushu-u.ac.jp/M3/20110421/F51034/859/1", 39.38)</f>
        <v>39.380000000000003</v>
      </c>
      <c r="E954" s="2">
        <v>13.43</v>
      </c>
      <c r="F954" s="2">
        <v>2</v>
      </c>
      <c r="G954" s="2" t="s">
        <v>11</v>
      </c>
    </row>
    <row r="955" spans="1:7" x14ac:dyDescent="0.2">
      <c r="A955" s="2" t="s">
        <v>3288</v>
      </c>
      <c r="B955" s="2" t="s">
        <v>68</v>
      </c>
      <c r="C955" s="2">
        <v>489.06560000000002</v>
      </c>
      <c r="D955" s="2">
        <f>HYPERLINK("http://mcb-m6.bioreg.kyushu-u.ac.jp/M3/20110421/F51058/730/1", 39.71)</f>
        <v>39.71</v>
      </c>
      <c r="E955" s="2">
        <v>17.940000000000001</v>
      </c>
      <c r="F955" s="2">
        <v>2</v>
      </c>
      <c r="G955" s="2" t="s">
        <v>11</v>
      </c>
    </row>
    <row r="956" spans="1:7" x14ac:dyDescent="0.2">
      <c r="A956" s="2" t="s">
        <v>3288</v>
      </c>
      <c r="B956" s="2" t="s">
        <v>68</v>
      </c>
      <c r="C956" s="2">
        <v>488.8811</v>
      </c>
      <c r="D956" s="2">
        <f>HYPERLINK("http://mcb-m6.bioreg.kyushu-u.ac.jp/M3/20110421/F51058/726/1", 40.92)</f>
        <v>40.92</v>
      </c>
      <c r="E956" s="2">
        <v>17.39</v>
      </c>
      <c r="F956" s="2">
        <v>2</v>
      </c>
      <c r="G956" s="2" t="s">
        <v>11</v>
      </c>
    </row>
    <row r="957" spans="1:7" x14ac:dyDescent="0.2">
      <c r="A957" s="2" t="s">
        <v>3288</v>
      </c>
      <c r="B957" s="2" t="s">
        <v>68</v>
      </c>
      <c r="C957" s="2">
        <v>489.18310000000002</v>
      </c>
      <c r="D957" s="2">
        <f>HYPERLINK("http://mcb-m6.bioreg.kyushu-u.ac.jp/M3/20110421/F51017/860/1", 43.83)</f>
        <v>43.83</v>
      </c>
      <c r="E957" s="2">
        <v>15.45</v>
      </c>
      <c r="F957" s="2">
        <v>2</v>
      </c>
      <c r="G957" s="2" t="s">
        <v>11</v>
      </c>
    </row>
    <row r="958" spans="1:7" x14ac:dyDescent="0.2">
      <c r="A958" s="2" t="s">
        <v>3288</v>
      </c>
      <c r="B958" s="2" t="s">
        <v>68</v>
      </c>
      <c r="C958" s="2">
        <v>488.36660000000001</v>
      </c>
      <c r="D958" s="2">
        <f>HYPERLINK("http://mcb-m6.bioreg.kyushu-u.ac.jp/M3/20110421/F51018/1023/1", 51.29)</f>
        <v>51.29</v>
      </c>
      <c r="E958" s="2">
        <v>17.82</v>
      </c>
      <c r="F958" s="2">
        <v>2</v>
      </c>
      <c r="G958" s="2" t="s">
        <v>11</v>
      </c>
    </row>
    <row r="959" spans="1:7" x14ac:dyDescent="0.2">
      <c r="A959" s="2" t="s">
        <v>3288</v>
      </c>
      <c r="B959" s="2" t="s">
        <v>68</v>
      </c>
      <c r="C959" s="2">
        <v>488.92160000000001</v>
      </c>
      <c r="D959" s="2">
        <f>HYPERLINK("http://mcb-m6.bioreg.kyushu-u.ac.jp/M3/20110421/F51040/856/1", 53.54)</f>
        <v>53.54</v>
      </c>
      <c r="E959" s="2">
        <v>21.26</v>
      </c>
      <c r="F959" s="2">
        <v>2</v>
      </c>
      <c r="G959" s="2" t="s">
        <v>11</v>
      </c>
    </row>
    <row r="960" spans="1:7" x14ac:dyDescent="0.2">
      <c r="A960" s="2" t="s">
        <v>3288</v>
      </c>
      <c r="B960" s="2" t="s">
        <v>68</v>
      </c>
      <c r="C960" s="2">
        <v>488.85910000000001</v>
      </c>
      <c r="D960" s="2">
        <f>HYPERLINK("http://mcb-m6.bioreg.kyushu-u.ac.jp/M3/20110421/F51058/725/1", 78.61)</f>
        <v>78.61</v>
      </c>
      <c r="E960" s="2">
        <v>44.1</v>
      </c>
      <c r="F960" s="2">
        <v>2</v>
      </c>
      <c r="G960" s="2" t="s">
        <v>11</v>
      </c>
    </row>
    <row r="961" spans="1:7" x14ac:dyDescent="0.2">
      <c r="A961" s="2" t="s">
        <v>3288</v>
      </c>
      <c r="B961" s="2" t="s">
        <v>68</v>
      </c>
      <c r="C961" s="2">
        <v>489.22359999999998</v>
      </c>
      <c r="D961" s="2">
        <f>HYPERLINK("http://mcb-m6.bioreg.kyushu-u.ac.jp/M3/20110421/F51035/722/1", 80.33)</f>
        <v>80.33</v>
      </c>
      <c r="E961" s="2">
        <v>43.84</v>
      </c>
      <c r="F961" s="2">
        <v>2</v>
      </c>
      <c r="G961" s="2" t="s">
        <v>11</v>
      </c>
    </row>
    <row r="962" spans="1:7" x14ac:dyDescent="0.2">
      <c r="A962" s="2" t="s">
        <v>3288</v>
      </c>
      <c r="B962" s="2" t="s">
        <v>68</v>
      </c>
      <c r="C962" s="2">
        <v>488.83159999999998</v>
      </c>
      <c r="D962" s="2">
        <f>HYPERLINK("http://mcb-m6.bioreg.kyushu-u.ac.jp/M3/20110421/F51034/856/1", 92.31)</f>
        <v>92.31</v>
      </c>
      <c r="E962" s="2">
        <v>57.41</v>
      </c>
      <c r="F962" s="2">
        <v>2</v>
      </c>
      <c r="G962" s="2" t="s">
        <v>11</v>
      </c>
    </row>
    <row r="963" spans="1:7" x14ac:dyDescent="0.2">
      <c r="A963" s="2" t="s">
        <v>3288</v>
      </c>
      <c r="B963" s="2" t="s">
        <v>68</v>
      </c>
      <c r="C963" s="2">
        <v>489.2491</v>
      </c>
      <c r="D963" s="2">
        <f>HYPERLINK("http://mcb-m6.bioreg.kyushu-u.ac.jp/M3/20110421/F51044/841/1", 36.93)</f>
        <v>36.93</v>
      </c>
      <c r="E963" s="2">
        <v>9.0399999999999991</v>
      </c>
      <c r="F963" s="2">
        <v>2</v>
      </c>
      <c r="G963" s="2" t="s">
        <v>12</v>
      </c>
    </row>
    <row r="964" spans="1:7" x14ac:dyDescent="0.2">
      <c r="A964" s="2" t="s">
        <v>3288</v>
      </c>
      <c r="B964" s="2" t="s">
        <v>68</v>
      </c>
      <c r="C964" s="2">
        <v>976.39</v>
      </c>
      <c r="D964" s="2">
        <f>HYPERLINK("http://mcb-m6.bioreg.kyushu-u.ac.jp/M3/20110421/F51044/834/1", 37.34)</f>
        <v>37.340000000000003</v>
      </c>
      <c r="E964" s="2">
        <v>19.440000000000001</v>
      </c>
      <c r="F964" s="2">
        <v>1</v>
      </c>
      <c r="G964" s="2" t="s">
        <v>12</v>
      </c>
    </row>
    <row r="965" spans="1:7" x14ac:dyDescent="0.2">
      <c r="A965" s="2" t="s">
        <v>3288</v>
      </c>
      <c r="B965" s="2" t="s">
        <v>68</v>
      </c>
      <c r="C965" s="2">
        <v>488.87259999999998</v>
      </c>
      <c r="D965" s="2">
        <f>HYPERLINK("http://mcb-m6.bioreg.kyushu-u.ac.jp/M3/20110421/F51024/1119/1", 37.8)</f>
        <v>37.799999999999997</v>
      </c>
      <c r="E965" s="2">
        <v>14.41</v>
      </c>
      <c r="F965" s="2">
        <v>2</v>
      </c>
      <c r="G965" s="2" t="s">
        <v>12</v>
      </c>
    </row>
    <row r="966" spans="1:7" x14ac:dyDescent="0.2">
      <c r="A966" s="2" t="s">
        <v>3288</v>
      </c>
      <c r="B966" s="2" t="s">
        <v>68</v>
      </c>
      <c r="C966" s="2">
        <v>976.42399999999998</v>
      </c>
      <c r="D966" s="2">
        <f>HYPERLINK("http://mcb-m6.bioreg.kyushu-u.ac.jp/M3/20110421/F51059/680/1", 39.48)</f>
        <v>39.479999999999997</v>
      </c>
      <c r="E966" s="2">
        <v>13.72</v>
      </c>
      <c r="F966" s="2">
        <v>1</v>
      </c>
      <c r="G966" s="2" t="s">
        <v>12</v>
      </c>
    </row>
    <row r="967" spans="1:7" x14ac:dyDescent="0.2">
      <c r="A967" s="2" t="s">
        <v>3288</v>
      </c>
      <c r="B967" s="2" t="s">
        <v>68</v>
      </c>
      <c r="C967" s="2">
        <v>488.78910000000002</v>
      </c>
      <c r="D967" s="2">
        <f>HYPERLINK("http://mcb-m6.bioreg.kyushu-u.ac.jp/M3/20110421/F51059/682/1", 40.72)</f>
        <v>40.72</v>
      </c>
      <c r="E967" s="2">
        <v>20.65</v>
      </c>
      <c r="F967" s="2">
        <v>2</v>
      </c>
      <c r="G967" s="2" t="s">
        <v>12</v>
      </c>
    </row>
    <row r="968" spans="1:7" x14ac:dyDescent="0.2">
      <c r="A968" s="2" t="s">
        <v>3288</v>
      </c>
      <c r="B968" s="2" t="s">
        <v>68</v>
      </c>
      <c r="C968" s="2">
        <v>489.27760000000001</v>
      </c>
      <c r="D968" s="2">
        <f>HYPERLINK("http://mcb-m6.bioreg.kyushu-u.ac.jp/M3/20110421/F51048/1025/1", 42.61)</f>
        <v>42.61</v>
      </c>
      <c r="E968" s="2">
        <v>15.76</v>
      </c>
      <c r="F968" s="2">
        <v>2</v>
      </c>
      <c r="G968" s="2" t="s">
        <v>12</v>
      </c>
    </row>
    <row r="969" spans="1:7" x14ac:dyDescent="0.2">
      <c r="A969" s="2" t="s">
        <v>3288</v>
      </c>
      <c r="B969" s="2" t="s">
        <v>68</v>
      </c>
      <c r="C969" s="2">
        <v>489.30410000000001</v>
      </c>
      <c r="D969" s="2">
        <f>HYPERLINK("http://mcb-m6.bioreg.kyushu-u.ac.jp/M3/20110421/F51061/932/1", 49.52)</f>
        <v>49.52</v>
      </c>
      <c r="E969" s="2">
        <v>24.27</v>
      </c>
      <c r="F969" s="2">
        <v>2</v>
      </c>
      <c r="G969" s="2" t="s">
        <v>12</v>
      </c>
    </row>
    <row r="970" spans="1:7" x14ac:dyDescent="0.2">
      <c r="A970" s="2" t="s">
        <v>3288</v>
      </c>
      <c r="B970" s="2" t="s">
        <v>68</v>
      </c>
      <c r="C970" s="2">
        <v>489.1506</v>
      </c>
      <c r="D970" s="2">
        <f>HYPERLINK("http://mcb-m6.bioreg.kyushu-u.ac.jp/M3/20110421/F51024/1121/1", 61.52)</f>
        <v>61.52</v>
      </c>
      <c r="E970" s="2">
        <v>35.32</v>
      </c>
      <c r="F970" s="2">
        <v>2</v>
      </c>
      <c r="G970" s="2" t="s">
        <v>12</v>
      </c>
    </row>
    <row r="971" spans="1:7" x14ac:dyDescent="0.2">
      <c r="A971" s="2" t="s">
        <v>3288</v>
      </c>
      <c r="B971" s="2" t="s">
        <v>68</v>
      </c>
      <c r="C971" s="2">
        <v>489.25459999999998</v>
      </c>
      <c r="D971" s="2">
        <f>HYPERLINK("http://mcb-m6.bioreg.kyushu-u.ac.jp/M3/20110421/F51061/931/1", 62.82)</f>
        <v>62.82</v>
      </c>
      <c r="E971" s="2">
        <v>33</v>
      </c>
      <c r="F971" s="2">
        <v>2</v>
      </c>
      <c r="G971" s="2" t="s">
        <v>12</v>
      </c>
    </row>
    <row r="972" spans="1:7" x14ac:dyDescent="0.2">
      <c r="A972" s="2" t="s">
        <v>3288</v>
      </c>
      <c r="B972" s="2" t="s">
        <v>68</v>
      </c>
      <c r="C972" s="2">
        <v>488.77159999999998</v>
      </c>
      <c r="D972" s="2">
        <f>HYPERLINK("http://mcb-m6.bioreg.kyushu-u.ac.jp/M3/20110421/F51048/1023/1", 63.26)</f>
        <v>63.26</v>
      </c>
      <c r="E972" s="2">
        <v>38.9</v>
      </c>
      <c r="F972" s="2">
        <v>2</v>
      </c>
      <c r="G972" s="2" t="s">
        <v>12</v>
      </c>
    </row>
    <row r="973" spans="1:7" x14ac:dyDescent="0.2">
      <c r="A973" s="2" t="s">
        <v>3288</v>
      </c>
      <c r="B973" s="2" t="s">
        <v>68</v>
      </c>
      <c r="C973" s="2">
        <v>488.7611</v>
      </c>
      <c r="D973" s="2">
        <f>HYPERLINK("http://mcb-m6.bioreg.kyushu-u.ac.jp/M3/20110421/F51059/681/1", 71.74)</f>
        <v>71.739999999999995</v>
      </c>
      <c r="E973" s="2">
        <v>40.270000000000003</v>
      </c>
      <c r="F973" s="2">
        <v>2</v>
      </c>
      <c r="G973" s="2" t="s">
        <v>12</v>
      </c>
    </row>
    <row r="974" spans="1:7" x14ac:dyDescent="0.2">
      <c r="A974" s="2" t="s">
        <v>3288</v>
      </c>
      <c r="B974" s="2" t="s">
        <v>68</v>
      </c>
      <c r="C974" s="2">
        <v>489.05959999999999</v>
      </c>
      <c r="D974" s="2">
        <f>HYPERLINK("http://mcb-m6.bioreg.kyushu-u.ac.jp/M3/20110421/F51044/838/1", 72.32)</f>
        <v>72.319999999999993</v>
      </c>
      <c r="E974" s="2">
        <v>40.090000000000003</v>
      </c>
      <c r="F974" s="2">
        <v>2</v>
      </c>
      <c r="G974" s="2" t="s">
        <v>12</v>
      </c>
    </row>
    <row r="975" spans="1:7" x14ac:dyDescent="0.2">
      <c r="A975" s="2" t="s">
        <v>3288</v>
      </c>
      <c r="B975" s="2" t="s">
        <v>68</v>
      </c>
      <c r="C975" s="2">
        <v>488.62009999999998</v>
      </c>
      <c r="D975" s="2">
        <f>HYPERLINK("http://mcb-m6.bioreg.kyushu-u.ac.jp/M3/20110421/F51024/1116/1", 72.8)</f>
        <v>72.8</v>
      </c>
      <c r="E975" s="2">
        <v>42.15</v>
      </c>
      <c r="F975" s="2">
        <v>2</v>
      </c>
      <c r="G975" s="2" t="s">
        <v>12</v>
      </c>
    </row>
    <row r="976" spans="1:7" x14ac:dyDescent="0.2">
      <c r="A976" s="2" t="s">
        <v>3288</v>
      </c>
      <c r="B976" s="2" t="s">
        <v>68</v>
      </c>
      <c r="C976" s="2">
        <v>489.3116</v>
      </c>
      <c r="D976" s="2">
        <f>HYPERLINK("http://mcb-m6.bioreg.kyushu-u.ac.jp/M3/20110421/F51043/882/1", 77.7)</f>
        <v>77.7</v>
      </c>
      <c r="E976" s="2">
        <v>46.66</v>
      </c>
      <c r="F976" s="2">
        <v>2</v>
      </c>
      <c r="G976" s="2" t="s">
        <v>12</v>
      </c>
    </row>
    <row r="977" spans="1:7" x14ac:dyDescent="0.2">
      <c r="A977" s="2" t="s">
        <v>3288</v>
      </c>
      <c r="B977" s="2" t="s">
        <v>68</v>
      </c>
      <c r="C977" s="2">
        <v>489.32760000000002</v>
      </c>
      <c r="D977" s="2">
        <f>HYPERLINK("http://mcb-m6.bioreg.kyushu-u.ac.jp/M3/20110421/F51059/686/1", 80.21)</f>
        <v>80.209999999999994</v>
      </c>
      <c r="E977" s="2">
        <v>53.22</v>
      </c>
      <c r="F977" s="2">
        <v>2</v>
      </c>
      <c r="G977" s="2" t="s">
        <v>12</v>
      </c>
    </row>
    <row r="978" spans="1:7" x14ac:dyDescent="0.2">
      <c r="A978" s="2" t="s">
        <v>3288</v>
      </c>
      <c r="B978" s="2" t="s">
        <v>68</v>
      </c>
      <c r="C978" s="2">
        <v>489.13409999999999</v>
      </c>
      <c r="D978" s="2">
        <f>HYPERLINK("http://mcb-m6.bioreg.kyushu-u.ac.jp/M3/20110421/F51021/783/1", 80.46)</f>
        <v>80.459999999999994</v>
      </c>
      <c r="E978" s="2">
        <v>50.25</v>
      </c>
      <c r="F978" s="2">
        <v>2</v>
      </c>
      <c r="G978" s="2" t="s">
        <v>12</v>
      </c>
    </row>
    <row r="979" spans="1:7" x14ac:dyDescent="0.2">
      <c r="A979" s="2" t="s">
        <v>3288</v>
      </c>
      <c r="B979" s="2" t="s">
        <v>68</v>
      </c>
      <c r="C979" s="2">
        <v>489.20260000000002</v>
      </c>
      <c r="D979" s="2">
        <f>HYPERLINK("http://mcb-m6.bioreg.kyushu-u.ac.jp/M3/20110421/F51023/1217/1", 82.97)</f>
        <v>82.97</v>
      </c>
      <c r="E979" s="2">
        <v>54.37</v>
      </c>
      <c r="F979" s="2">
        <v>2</v>
      </c>
      <c r="G979" s="2" t="s">
        <v>12</v>
      </c>
    </row>
    <row r="980" spans="1:7" x14ac:dyDescent="0.2">
      <c r="A980" s="2" t="s">
        <v>3288</v>
      </c>
      <c r="B980" s="2" t="s">
        <v>68</v>
      </c>
      <c r="C980" s="2">
        <v>488.61360000000002</v>
      </c>
      <c r="D980" s="2">
        <f>HYPERLINK("http://mcb-m6.bioreg.kyushu-u.ac.jp/M3/20110421/F51023/1214/1", 86.41)</f>
        <v>86.41</v>
      </c>
      <c r="E980" s="2">
        <v>53.85</v>
      </c>
      <c r="F980" s="2">
        <v>2</v>
      </c>
      <c r="G980" s="2" t="s">
        <v>12</v>
      </c>
    </row>
    <row r="981" spans="1:7" x14ac:dyDescent="0.2">
      <c r="A981" s="2" t="s">
        <v>3288</v>
      </c>
      <c r="B981" s="2" t="s">
        <v>68</v>
      </c>
      <c r="C981" s="2">
        <v>976.23</v>
      </c>
      <c r="D981" s="2">
        <f>HYPERLINK("http://mcb-m6.bioreg.kyushu-u.ac.jp/M3/20110428/F51131/720/1", 35.24)</f>
        <v>35.24</v>
      </c>
      <c r="E981" s="2">
        <v>10.42</v>
      </c>
      <c r="F981" s="2">
        <v>1</v>
      </c>
      <c r="G981" s="2" t="s">
        <v>13</v>
      </c>
    </row>
    <row r="982" spans="1:7" x14ac:dyDescent="0.2">
      <c r="A982" s="2" t="s">
        <v>3288</v>
      </c>
      <c r="B982" s="2" t="s">
        <v>68</v>
      </c>
      <c r="C982" s="2">
        <v>488.8116</v>
      </c>
      <c r="D982" s="2">
        <f>HYPERLINK("http://mcb-m6.bioreg.kyushu-u.ac.jp/M3/20110428/F51131/724/1", 36.34)</f>
        <v>36.340000000000003</v>
      </c>
      <c r="E982" s="2">
        <v>12.05</v>
      </c>
      <c r="F982" s="2">
        <v>2</v>
      </c>
      <c r="G982" s="2" t="s">
        <v>13</v>
      </c>
    </row>
    <row r="983" spans="1:7" x14ac:dyDescent="0.2">
      <c r="A983" s="2" t="s">
        <v>3288</v>
      </c>
      <c r="B983" s="2" t="s">
        <v>68</v>
      </c>
      <c r="C983" s="2">
        <v>976.31500000000005</v>
      </c>
      <c r="D983" s="2">
        <f>HYPERLINK("http://mcb-m6.bioreg.kyushu-u.ac.jp/M3/20110427/F51114/874/1", 38.94)</f>
        <v>38.94</v>
      </c>
      <c r="E983" s="2">
        <v>13.95</v>
      </c>
      <c r="F983" s="2">
        <v>1</v>
      </c>
      <c r="G983" s="2" t="s">
        <v>13</v>
      </c>
    </row>
    <row r="984" spans="1:7" x14ac:dyDescent="0.2">
      <c r="A984" s="2" t="s">
        <v>3288</v>
      </c>
      <c r="B984" s="2" t="s">
        <v>68</v>
      </c>
      <c r="C984" s="2">
        <v>488.62560000000002</v>
      </c>
      <c r="D984" s="2">
        <f>HYPERLINK("http://mcb-m6.bioreg.kyushu-u.ac.jp/M3/20110428/F51131/721/1", 57.54)</f>
        <v>57.54</v>
      </c>
      <c r="E984" s="2">
        <v>22.1</v>
      </c>
      <c r="F984" s="2">
        <v>2</v>
      </c>
      <c r="G984" s="2" t="s">
        <v>13</v>
      </c>
    </row>
    <row r="985" spans="1:7" x14ac:dyDescent="0.2">
      <c r="A985" s="2" t="s">
        <v>3288</v>
      </c>
      <c r="B985" s="2" t="s">
        <v>68</v>
      </c>
      <c r="C985" s="2">
        <v>488.60860000000002</v>
      </c>
      <c r="D985" s="2">
        <f>HYPERLINK("http://mcb-m6.bioreg.kyushu-u.ac.jp/M3/20110427/F51116/985/1", 60.86)</f>
        <v>60.86</v>
      </c>
      <c r="E985" s="2">
        <v>27.63</v>
      </c>
      <c r="F985" s="2">
        <v>2</v>
      </c>
      <c r="G985" s="2" t="s">
        <v>13</v>
      </c>
    </row>
    <row r="986" spans="1:7" x14ac:dyDescent="0.2">
      <c r="A986" s="2" t="s">
        <v>3288</v>
      </c>
      <c r="B986" s="2" t="s">
        <v>68</v>
      </c>
      <c r="C986" s="2">
        <v>488.50760000000002</v>
      </c>
      <c r="D986" s="2">
        <f>HYPERLINK("http://mcb-m6.bioreg.kyushu-u.ac.jp/M3/20110428/F51131/719/1", 64.09)</f>
        <v>64.09</v>
      </c>
      <c r="E986" s="2">
        <v>33.35</v>
      </c>
      <c r="F986" s="2">
        <v>2</v>
      </c>
      <c r="G986" s="2" t="s">
        <v>13</v>
      </c>
    </row>
    <row r="987" spans="1:7" x14ac:dyDescent="0.2">
      <c r="A987" s="2" t="s">
        <v>3288</v>
      </c>
      <c r="B987" s="2" t="s">
        <v>68</v>
      </c>
      <c r="C987" s="2">
        <v>489.07060000000001</v>
      </c>
      <c r="D987" s="2">
        <f>HYPERLINK("http://mcb-m6.bioreg.kyushu-u.ac.jp/M3/20110427/F51112/996/1", 74.14)</f>
        <v>74.14</v>
      </c>
      <c r="E987" s="2">
        <v>45.21</v>
      </c>
      <c r="F987" s="2">
        <v>2</v>
      </c>
      <c r="G987" s="2" t="s">
        <v>13</v>
      </c>
    </row>
    <row r="988" spans="1:7" x14ac:dyDescent="0.2">
      <c r="A988" s="2" t="s">
        <v>3288</v>
      </c>
      <c r="B988" s="2" t="s">
        <v>68</v>
      </c>
      <c r="C988" s="2">
        <v>489.00110000000001</v>
      </c>
      <c r="D988" s="2">
        <f>HYPERLINK("http://mcb-m6.bioreg.kyushu-u.ac.jp/M3/20110427/F51108/1173/1", 83.17)</f>
        <v>83.17</v>
      </c>
      <c r="E988" s="2">
        <v>50.85</v>
      </c>
      <c r="F988" s="2">
        <v>2</v>
      </c>
      <c r="G988" s="2" t="s">
        <v>13</v>
      </c>
    </row>
    <row r="989" spans="1:7" x14ac:dyDescent="0.2">
      <c r="A989" s="2" t="s">
        <v>3288</v>
      </c>
      <c r="B989" s="2" t="s">
        <v>68</v>
      </c>
      <c r="C989" s="2">
        <v>488.47660000000002</v>
      </c>
      <c r="D989" s="2">
        <f>HYPERLINK("http://mcb-m6.bioreg.kyushu-u.ac.jp/M3/20110427/F51112/993/1", 86.5)</f>
        <v>86.5</v>
      </c>
      <c r="E989" s="2">
        <v>49.2</v>
      </c>
      <c r="F989" s="2">
        <v>2</v>
      </c>
      <c r="G989" s="2" t="s">
        <v>13</v>
      </c>
    </row>
    <row r="990" spans="1:7" x14ac:dyDescent="0.2">
      <c r="A990" s="2" t="s">
        <v>3288</v>
      </c>
      <c r="B990" s="2" t="s">
        <v>68</v>
      </c>
      <c r="C990" s="2">
        <v>488.87110000000001</v>
      </c>
      <c r="D990" s="2">
        <f>HYPERLINK("http://mcb-m6.bioreg.kyushu-u.ac.jp/M3/20110428/F51135/914/1", 35.75)</f>
        <v>35.75</v>
      </c>
      <c r="E990" s="2">
        <v>12.27</v>
      </c>
      <c r="F990" s="2">
        <v>2</v>
      </c>
      <c r="G990" s="2" t="s">
        <v>14</v>
      </c>
    </row>
    <row r="991" spans="1:7" x14ac:dyDescent="0.2">
      <c r="A991" s="2" t="s">
        <v>3288</v>
      </c>
      <c r="B991" s="2" t="s">
        <v>68</v>
      </c>
      <c r="C991" s="2">
        <v>976.40200000000004</v>
      </c>
      <c r="D991" s="2">
        <f>HYPERLINK("http://mcb-m6.bioreg.kyushu-u.ac.jp/M3/20110427/F51123/990/1", 43.21)</f>
        <v>43.21</v>
      </c>
      <c r="E991" s="2">
        <v>17.54</v>
      </c>
      <c r="F991" s="2">
        <v>1</v>
      </c>
      <c r="G991" s="2" t="s">
        <v>14</v>
      </c>
    </row>
    <row r="992" spans="1:7" x14ac:dyDescent="0.2">
      <c r="A992" s="2" t="s">
        <v>3288</v>
      </c>
      <c r="B992" s="2" t="s">
        <v>68</v>
      </c>
      <c r="C992" s="2">
        <v>976.61400000000003</v>
      </c>
      <c r="D992" s="2">
        <f>HYPERLINK("http://mcb-m6.bioreg.kyushu-u.ac.jp/M3/20110428/F51135/913/1", 43.44)</f>
        <v>43.44</v>
      </c>
      <c r="E992" s="2">
        <v>21.17</v>
      </c>
      <c r="F992" s="2">
        <v>1</v>
      </c>
      <c r="G992" s="2" t="s">
        <v>14</v>
      </c>
    </row>
    <row r="993" spans="1:8" x14ac:dyDescent="0.2">
      <c r="A993" s="2" t="s">
        <v>3288</v>
      </c>
      <c r="B993" s="2" t="s">
        <v>68</v>
      </c>
      <c r="C993" s="2">
        <v>488.90809999999999</v>
      </c>
      <c r="D993" s="2">
        <f>HYPERLINK("http://mcb-m6.bioreg.kyushu-u.ac.jp/M3/20110428/F51135/916/1", 54.98)</f>
        <v>54.98</v>
      </c>
      <c r="E993" s="2">
        <v>23.52</v>
      </c>
      <c r="F993" s="2">
        <v>2</v>
      </c>
      <c r="G993" s="2" t="s">
        <v>14</v>
      </c>
    </row>
    <row r="994" spans="1:8" x14ac:dyDescent="0.2">
      <c r="A994" s="2" t="s">
        <v>3288</v>
      </c>
      <c r="B994" s="2" t="s">
        <v>68</v>
      </c>
      <c r="C994" s="2">
        <v>488.88060000000002</v>
      </c>
      <c r="D994" s="2">
        <f>HYPERLINK("http://mcb-m6.bioreg.kyushu-u.ac.jp/M3/20110427/F51125/1103/1", 56.66)</f>
        <v>56.66</v>
      </c>
      <c r="E994" s="2">
        <v>28.23</v>
      </c>
      <c r="F994" s="2">
        <v>2</v>
      </c>
      <c r="G994" s="2" t="s">
        <v>14</v>
      </c>
    </row>
    <row r="995" spans="1:8" x14ac:dyDescent="0.2">
      <c r="A995" s="2" t="s">
        <v>3288</v>
      </c>
      <c r="B995" s="2" t="s">
        <v>68</v>
      </c>
      <c r="C995" s="2">
        <v>488.63159999999999</v>
      </c>
      <c r="D995" s="2">
        <f>HYPERLINK("http://mcb-m6.bioreg.kyushu-u.ac.jp/M3/20110428/F51135/908/1", 57.43)</f>
        <v>57.43</v>
      </c>
      <c r="E995" s="2">
        <v>31.32</v>
      </c>
      <c r="F995" s="2">
        <v>2</v>
      </c>
      <c r="G995" s="2" t="s">
        <v>14</v>
      </c>
    </row>
    <row r="996" spans="1:8" x14ac:dyDescent="0.2">
      <c r="A996" s="2" t="s">
        <v>3288</v>
      </c>
      <c r="B996" s="2" t="s">
        <v>68</v>
      </c>
      <c r="C996" s="2">
        <v>489.13810000000001</v>
      </c>
      <c r="D996" s="2">
        <f>HYPERLINK("http://mcb-m6.bioreg.kyushu-u.ac.jp/M3/20110428/F51135/919/1", 59.1)</f>
        <v>59.1</v>
      </c>
      <c r="E996" s="2">
        <v>26.35</v>
      </c>
      <c r="F996" s="2">
        <v>2</v>
      </c>
      <c r="G996" s="2" t="s">
        <v>14</v>
      </c>
    </row>
    <row r="997" spans="1:8" x14ac:dyDescent="0.2">
      <c r="A997" s="2" t="s">
        <v>3288</v>
      </c>
      <c r="B997" s="2" t="s">
        <v>68</v>
      </c>
      <c r="C997" s="2">
        <v>488.88060000000002</v>
      </c>
      <c r="D997" s="2">
        <f>HYPERLINK("http://mcb-m6.bioreg.kyushu-u.ac.jp/M3/20110428/F51135/915/1", 61.26)</f>
        <v>61.26</v>
      </c>
      <c r="E997" s="2">
        <v>38.65</v>
      </c>
      <c r="F997" s="2">
        <v>2</v>
      </c>
      <c r="G997" s="2" t="s">
        <v>14</v>
      </c>
    </row>
    <row r="998" spans="1:8" x14ac:dyDescent="0.2">
      <c r="A998" s="2" t="s">
        <v>3288</v>
      </c>
      <c r="B998" s="2" t="s">
        <v>68</v>
      </c>
      <c r="C998" s="2">
        <v>489.06009999999998</v>
      </c>
      <c r="D998" s="2">
        <f>HYPERLINK("http://mcb-m6.bioreg.kyushu-u.ac.jp/M3/20110427/F51121/1211/1", 63.69)</f>
        <v>63.69</v>
      </c>
      <c r="E998" s="2">
        <v>31.27</v>
      </c>
      <c r="F998" s="2">
        <v>2</v>
      </c>
      <c r="G998" s="2" t="s">
        <v>14</v>
      </c>
    </row>
    <row r="999" spans="1:8" x14ac:dyDescent="0.2">
      <c r="A999" s="2" t="s">
        <v>3288</v>
      </c>
      <c r="B999" s="2" t="s">
        <v>68</v>
      </c>
      <c r="C999" s="2">
        <v>489.02359999999999</v>
      </c>
      <c r="D999" s="2">
        <f>HYPERLINK("http://mcb-m6.bioreg.kyushu-u.ac.jp/M3/20110428/F51128/880/1", 72.58)</f>
        <v>72.58</v>
      </c>
      <c r="E999" s="2">
        <v>43.43</v>
      </c>
      <c r="F999" s="2">
        <v>2</v>
      </c>
      <c r="G999" s="2" t="s">
        <v>14</v>
      </c>
    </row>
    <row r="1000" spans="1:8" x14ac:dyDescent="0.2">
      <c r="A1000" s="2" t="s">
        <v>3288</v>
      </c>
      <c r="B1000" s="2" t="s">
        <v>68</v>
      </c>
      <c r="C1000" s="2">
        <v>488.77710000000002</v>
      </c>
      <c r="D1000" s="2">
        <f>HYPERLINK("http://mcb-m6.bioreg.kyushu-u.ac.jp/M3/20110428/F51135/911/1", 72.91)</f>
        <v>72.91</v>
      </c>
      <c r="E1000" s="2">
        <v>46.28</v>
      </c>
      <c r="F1000" s="2">
        <v>2</v>
      </c>
      <c r="G1000" s="2" t="s">
        <v>14</v>
      </c>
    </row>
    <row r="1001" spans="1:8" x14ac:dyDescent="0.2">
      <c r="A1001" s="2" t="s">
        <v>3288</v>
      </c>
      <c r="B1001" s="2" t="s">
        <v>68</v>
      </c>
      <c r="C1001" s="2">
        <v>488.99259999999998</v>
      </c>
      <c r="D1001" s="2">
        <f>HYPERLINK("http://mcb-m6.bioreg.kyushu-u.ac.jp/M3/20110427/F51122/1222/1", 74.67)</f>
        <v>74.67</v>
      </c>
      <c r="E1001" s="2">
        <v>43.22</v>
      </c>
      <c r="F1001" s="2">
        <v>2</v>
      </c>
      <c r="G1001" s="2" t="s">
        <v>14</v>
      </c>
    </row>
    <row r="1002" spans="1:8" x14ac:dyDescent="0.2">
      <c r="A1002" s="2" t="s">
        <v>3288</v>
      </c>
      <c r="B1002" s="2" t="s">
        <v>68</v>
      </c>
      <c r="C1002" s="2">
        <v>488.58659999999998</v>
      </c>
      <c r="D1002" s="2">
        <f>HYPERLINK("http://mcb-m6.bioreg.kyushu-u.ac.jp/M3/20110427/F51123/987/1", 83.38)</f>
        <v>83.38</v>
      </c>
      <c r="E1002" s="2">
        <v>48.62</v>
      </c>
      <c r="F1002" s="2">
        <v>2</v>
      </c>
      <c r="G1002" s="2" t="s">
        <v>14</v>
      </c>
    </row>
    <row r="1003" spans="1:8" x14ac:dyDescent="0.2">
      <c r="A1003" s="2" t="s">
        <v>3288</v>
      </c>
      <c r="B1003" s="2" t="s">
        <v>68</v>
      </c>
      <c r="C1003" s="2">
        <v>488.50060000000002</v>
      </c>
      <c r="D1003" s="2">
        <f>HYPERLINK("http://mcb-m6.bioreg.kyushu-u.ac.jp/M3/20110427/F51124/1008/1", 83.69)</f>
        <v>83.69</v>
      </c>
      <c r="E1003" s="2">
        <v>51.8</v>
      </c>
      <c r="F1003" s="2">
        <v>2</v>
      </c>
      <c r="G1003" s="2" t="s">
        <v>14</v>
      </c>
    </row>
    <row r="1004" spans="1:8" x14ac:dyDescent="0.2">
      <c r="A1004" s="2" t="s">
        <v>3288</v>
      </c>
      <c r="B1004" s="2" t="s">
        <v>68</v>
      </c>
      <c r="C1004" s="2">
        <v>488.52260000000001</v>
      </c>
      <c r="D1004" s="2">
        <f>HYPERLINK("http://mcb-m6.bioreg.kyushu-u.ac.jp/M3/20110428/F51126/1116/1", 86.22)</f>
        <v>86.22</v>
      </c>
      <c r="E1004" s="2">
        <v>50.18</v>
      </c>
      <c r="F1004" s="2">
        <v>2</v>
      </c>
      <c r="G1004" s="2" t="s">
        <v>14</v>
      </c>
    </row>
    <row r="1005" spans="1:8" x14ac:dyDescent="0.2">
      <c r="A1005" s="2" t="s">
        <v>3288</v>
      </c>
      <c r="B1005" s="2" t="s">
        <v>68</v>
      </c>
      <c r="C1005" s="2">
        <v>488.5711</v>
      </c>
      <c r="D1005" s="2">
        <f>HYPERLINK("http://mcb-m6.bioreg.kyushu-u.ac.jp/M3/20110428/F51130/984/1", 86.33)</f>
        <v>86.33</v>
      </c>
      <c r="E1005" s="2">
        <v>47.53</v>
      </c>
      <c r="F1005" s="2">
        <v>2</v>
      </c>
      <c r="G1005" s="2" t="s">
        <v>14</v>
      </c>
    </row>
    <row r="1006" spans="1:8" x14ac:dyDescent="0.2">
      <c r="A1006" s="2" t="s">
        <v>3365</v>
      </c>
      <c r="B1006" s="2" t="s">
        <v>157</v>
      </c>
      <c r="C1006" s="2">
        <v>981.11969999999997</v>
      </c>
      <c r="D1006" s="2">
        <f>HYPERLINK("http://mcb-m6.bioreg.kyushu-u.ac.jp/M3/20110404/F50776/2517/1", 35.46)</f>
        <v>35.46</v>
      </c>
      <c r="E1006" s="2">
        <v>16.62</v>
      </c>
      <c r="F1006" s="2">
        <v>2</v>
      </c>
      <c r="G1006" s="2" t="s">
        <v>9</v>
      </c>
    </row>
    <row r="1007" spans="1:8" x14ac:dyDescent="0.2">
      <c r="A1007" s="2" t="s">
        <v>3365</v>
      </c>
      <c r="B1007" s="2" t="s">
        <v>157</v>
      </c>
      <c r="C1007" s="2">
        <v>988.79169999999999</v>
      </c>
      <c r="D1007" s="2">
        <f>HYPERLINK("http://mcb-m6.bioreg.kyushu-u.ac.jp/M3/20110404/F50756/3033/1", 39.15)</f>
        <v>39.15</v>
      </c>
      <c r="E1007" s="2">
        <v>25.37</v>
      </c>
      <c r="F1007" s="2">
        <v>2</v>
      </c>
      <c r="G1007" s="2" t="s">
        <v>9</v>
      </c>
      <c r="H1007" s="2" t="s">
        <v>4907</v>
      </c>
    </row>
    <row r="1008" spans="1:8" x14ac:dyDescent="0.2">
      <c r="A1008" s="2" t="s">
        <v>3365</v>
      </c>
      <c r="B1008" s="2" t="s">
        <v>310</v>
      </c>
      <c r="C1008" s="2">
        <v>979.01260000000002</v>
      </c>
      <c r="D1008" s="2">
        <f>HYPERLINK("http://mcb-m6.bioreg.kyushu-u.ac.jp/M3/20110404/F50776/2507/1", 39.32)</f>
        <v>39.32</v>
      </c>
      <c r="E1008" s="2">
        <v>30.59</v>
      </c>
      <c r="F1008" s="2">
        <v>2</v>
      </c>
      <c r="G1008" s="2" t="s">
        <v>9</v>
      </c>
    </row>
    <row r="1009" spans="1:8" x14ac:dyDescent="0.2">
      <c r="A1009" s="2" t="s">
        <v>3365</v>
      </c>
      <c r="B1009" s="2" t="s">
        <v>157</v>
      </c>
      <c r="C1009" s="2">
        <v>989.39620000000002</v>
      </c>
      <c r="D1009" s="2">
        <f>HYPERLINK("http://mcb-m6.bioreg.kyushu-u.ac.jp/M3/20110404/F50776/2545/1", 40.57)</f>
        <v>40.57</v>
      </c>
      <c r="E1009" s="2">
        <v>18.86</v>
      </c>
      <c r="F1009" s="2">
        <v>2</v>
      </c>
      <c r="G1009" s="2" t="s">
        <v>9</v>
      </c>
      <c r="H1009" s="2" t="s">
        <v>4907</v>
      </c>
    </row>
    <row r="1010" spans="1:8" x14ac:dyDescent="0.2">
      <c r="A1010" s="2" t="s">
        <v>3365</v>
      </c>
      <c r="B1010" s="2" t="s">
        <v>310</v>
      </c>
      <c r="C1010" s="2">
        <v>978.51969999999994</v>
      </c>
      <c r="D1010" s="2">
        <f>HYPERLINK("http://mcb-m6.bioreg.kyushu-u.ac.jp/M3/20110404/F50765/2757/1", 45.11)</f>
        <v>45.11</v>
      </c>
      <c r="E1010" s="2">
        <v>2.57</v>
      </c>
      <c r="F1010" s="2">
        <v>2</v>
      </c>
      <c r="G1010" s="2" t="s">
        <v>9</v>
      </c>
    </row>
    <row r="1011" spans="1:8" x14ac:dyDescent="0.2">
      <c r="A1011" s="2" t="s">
        <v>3365</v>
      </c>
      <c r="B1011" s="2" t="s">
        <v>157</v>
      </c>
      <c r="C1011" s="2">
        <v>981.45420000000001</v>
      </c>
      <c r="D1011" s="2">
        <f>HYPERLINK("http://mcb-m6.bioreg.kyushu-u.ac.jp/M3/20110404/F50776/2520/1", 45.19)</f>
        <v>45.19</v>
      </c>
      <c r="E1011" s="2">
        <v>23.59</v>
      </c>
      <c r="F1011" s="2">
        <v>2</v>
      </c>
      <c r="G1011" s="2" t="s">
        <v>9</v>
      </c>
    </row>
    <row r="1012" spans="1:8" x14ac:dyDescent="0.2">
      <c r="A1012" s="2" t="s">
        <v>3365</v>
      </c>
      <c r="B1012" s="2" t="s">
        <v>157</v>
      </c>
      <c r="C1012" s="2">
        <v>981.40920000000006</v>
      </c>
      <c r="D1012" s="2">
        <f>HYPERLINK("http://mcb-m6.bioreg.kyushu-u.ac.jp/M3/20110404/F50767/2816/1", 46.64)</f>
        <v>46.64</v>
      </c>
      <c r="E1012" s="2">
        <v>32.76</v>
      </c>
      <c r="F1012" s="2">
        <v>2</v>
      </c>
      <c r="G1012" s="2" t="s">
        <v>9</v>
      </c>
    </row>
    <row r="1013" spans="1:8" x14ac:dyDescent="0.2">
      <c r="A1013" s="2" t="s">
        <v>3365</v>
      </c>
      <c r="B1013" s="2" t="s">
        <v>310</v>
      </c>
      <c r="C1013" s="2">
        <v>978.58810000000005</v>
      </c>
      <c r="D1013" s="2">
        <f>HYPERLINK("http://mcb-m6.bioreg.kyushu-u.ac.jp/M3/20110404/F50764/2686/1", 46.69)</f>
        <v>46.69</v>
      </c>
      <c r="E1013" s="2">
        <v>41.19</v>
      </c>
      <c r="F1013" s="2">
        <v>2</v>
      </c>
      <c r="G1013" s="2" t="s">
        <v>9</v>
      </c>
    </row>
    <row r="1014" spans="1:8" x14ac:dyDescent="0.2">
      <c r="A1014" s="2" t="s">
        <v>3365</v>
      </c>
      <c r="B1014" s="2" t="s">
        <v>157</v>
      </c>
      <c r="C1014" s="2">
        <v>981.43470000000002</v>
      </c>
      <c r="D1014" s="2">
        <f>HYPERLINK("http://mcb-m6.bioreg.kyushu-u.ac.jp/M3/20110404/F50776/2519/1", 48.32)</f>
        <v>48.32</v>
      </c>
      <c r="E1014" s="2">
        <v>32.42</v>
      </c>
      <c r="F1014" s="2">
        <v>2</v>
      </c>
      <c r="G1014" s="2" t="s">
        <v>9</v>
      </c>
    </row>
    <row r="1015" spans="1:8" x14ac:dyDescent="0.2">
      <c r="A1015" s="2" t="s">
        <v>3365</v>
      </c>
      <c r="B1015" s="2" t="s">
        <v>157</v>
      </c>
      <c r="C1015" s="2">
        <v>989.22559999999999</v>
      </c>
      <c r="D1015" s="2">
        <f>HYPERLINK("http://mcb-m6.bioreg.kyushu-u.ac.jp/M3/20110404/F50755/2926/1", 48.69)</f>
        <v>48.69</v>
      </c>
      <c r="E1015" s="2">
        <v>30.86</v>
      </c>
      <c r="F1015" s="2">
        <v>2</v>
      </c>
      <c r="G1015" s="2" t="s">
        <v>9</v>
      </c>
      <c r="H1015" s="2" t="s">
        <v>4907</v>
      </c>
    </row>
    <row r="1016" spans="1:8" x14ac:dyDescent="0.2">
      <c r="A1016" s="2" t="s">
        <v>3365</v>
      </c>
      <c r="B1016" s="2" t="s">
        <v>310</v>
      </c>
      <c r="C1016" s="2">
        <v>978.39509999999996</v>
      </c>
      <c r="D1016" s="2">
        <f>HYPERLINK("http://mcb-m6.bioreg.kyushu-u.ac.jp/M3/20110404/F50767/2800/1", 50.54)</f>
        <v>50.54</v>
      </c>
      <c r="E1016" s="2">
        <v>42.88</v>
      </c>
      <c r="F1016" s="2">
        <v>2</v>
      </c>
      <c r="G1016" s="2" t="s">
        <v>9</v>
      </c>
    </row>
    <row r="1017" spans="1:8" x14ac:dyDescent="0.2">
      <c r="A1017" s="2" t="s">
        <v>3365</v>
      </c>
      <c r="B1017" s="2" t="s">
        <v>157</v>
      </c>
      <c r="C1017" s="2">
        <v>980.9316</v>
      </c>
      <c r="D1017" s="2">
        <f>HYPERLINK("http://mcb-m6.bioreg.kyushu-u.ac.jp/M3/20110404/F50776/2515/1", 54.11)</f>
        <v>54.11</v>
      </c>
      <c r="E1017" s="2">
        <v>32.79</v>
      </c>
      <c r="F1017" s="2">
        <v>2</v>
      </c>
      <c r="G1017" s="2" t="s">
        <v>9</v>
      </c>
    </row>
    <row r="1018" spans="1:8" x14ac:dyDescent="0.2">
      <c r="A1018" s="2" t="s">
        <v>3365</v>
      </c>
      <c r="B1018" s="2" t="s">
        <v>157</v>
      </c>
      <c r="C1018" s="2">
        <v>980.84220000000005</v>
      </c>
      <c r="D1018" s="2">
        <f>HYPERLINK("http://mcb-m6.bioreg.kyushu-u.ac.jp/M3/20110404/F50756/3003/1", 56.57)</f>
        <v>56.57</v>
      </c>
      <c r="E1018" s="2">
        <v>34.57</v>
      </c>
      <c r="F1018" s="2">
        <v>2</v>
      </c>
      <c r="G1018" s="2" t="s">
        <v>9</v>
      </c>
    </row>
    <row r="1019" spans="1:8" x14ac:dyDescent="0.2">
      <c r="A1019" s="2" t="s">
        <v>3365</v>
      </c>
      <c r="B1019" s="2" t="s">
        <v>310</v>
      </c>
      <c r="C1019" s="2">
        <v>978.9316</v>
      </c>
      <c r="D1019" s="2">
        <f>HYPERLINK("http://mcb-m6.bioreg.kyushu-u.ac.jp/M3/20110404/F50755/2894/1", 63.62)</f>
        <v>63.62</v>
      </c>
      <c r="E1019" s="2">
        <v>54.53</v>
      </c>
      <c r="F1019" s="2">
        <v>2</v>
      </c>
      <c r="G1019" s="2" t="s">
        <v>9</v>
      </c>
    </row>
    <row r="1020" spans="1:8" x14ac:dyDescent="0.2">
      <c r="A1020" s="2" t="s">
        <v>3365</v>
      </c>
      <c r="B1020" s="2" t="s">
        <v>310</v>
      </c>
      <c r="C1020" s="2">
        <v>978.80820000000006</v>
      </c>
      <c r="D1020" s="2">
        <f>HYPERLINK("http://mcb-m6.bioreg.kyushu-u.ac.jp/M3/20110404/F50753/2852/1", 64.62)</f>
        <v>64.62</v>
      </c>
      <c r="E1020" s="2">
        <v>58.42</v>
      </c>
      <c r="F1020" s="2">
        <v>2</v>
      </c>
      <c r="G1020" s="2" t="s">
        <v>9</v>
      </c>
    </row>
    <row r="1021" spans="1:8" x14ac:dyDescent="0.2">
      <c r="A1021" s="2" t="s">
        <v>3365</v>
      </c>
      <c r="B1021" s="2" t="s">
        <v>310</v>
      </c>
      <c r="C1021" s="2">
        <v>978.28060000000005</v>
      </c>
      <c r="D1021" s="2">
        <f>HYPERLINK("http://mcb-m6.bioreg.kyushu-u.ac.jp/M3/20110404/F50755/2891/1", 69.41)</f>
        <v>69.41</v>
      </c>
      <c r="E1021" s="2">
        <v>63.52</v>
      </c>
      <c r="F1021" s="2">
        <v>2</v>
      </c>
      <c r="G1021" s="2" t="s">
        <v>9</v>
      </c>
    </row>
    <row r="1022" spans="1:8" x14ac:dyDescent="0.2">
      <c r="A1022" s="2" t="s">
        <v>3365</v>
      </c>
      <c r="B1022" s="2" t="s">
        <v>310</v>
      </c>
      <c r="C1022" s="2">
        <v>978.64469999999994</v>
      </c>
      <c r="D1022" s="2">
        <f>HYPERLINK("http://mcb-m6.bioreg.kyushu-u.ac.jp/M3/20110404/F50754/2801/1", 69.93)</f>
        <v>69.930000000000007</v>
      </c>
      <c r="E1022" s="2">
        <v>65.36</v>
      </c>
      <c r="F1022" s="2">
        <v>2</v>
      </c>
      <c r="G1022" s="2" t="s">
        <v>9</v>
      </c>
    </row>
    <row r="1023" spans="1:8" x14ac:dyDescent="0.2">
      <c r="A1023" s="2" t="s">
        <v>3365</v>
      </c>
      <c r="B1023" s="2" t="s">
        <v>310</v>
      </c>
      <c r="C1023" s="2">
        <v>978.72170000000006</v>
      </c>
      <c r="D1023" s="2">
        <f>HYPERLINK("http://mcb-m6.bioreg.kyushu-u.ac.jp/M3/20110404/F50776/2505/1", 71.08)</f>
        <v>71.08</v>
      </c>
      <c r="E1023" s="2">
        <v>65.28</v>
      </c>
      <c r="F1023" s="2">
        <v>2</v>
      </c>
      <c r="G1023" s="2" t="s">
        <v>9</v>
      </c>
    </row>
    <row r="1024" spans="1:8" x14ac:dyDescent="0.2">
      <c r="A1024" s="2" t="s">
        <v>3365</v>
      </c>
      <c r="B1024" s="2" t="s">
        <v>6558</v>
      </c>
      <c r="C1024" s="2">
        <v>1071.9169999999999</v>
      </c>
      <c r="D1024" s="2">
        <f>HYPERLINK("http://mcb-m6.bioreg.kyushu-u.ac.jp/M3/20110404/F50776/3361/1", 79.58)</f>
        <v>79.58</v>
      </c>
      <c r="E1024" s="2">
        <v>70.989999999999995</v>
      </c>
      <c r="F1024" s="2">
        <v>3</v>
      </c>
      <c r="G1024" s="2" t="s">
        <v>9</v>
      </c>
      <c r="H1024" s="2" t="s">
        <v>8134</v>
      </c>
    </row>
    <row r="1025" spans="1:8" x14ac:dyDescent="0.2">
      <c r="A1025" s="2" t="s">
        <v>3365</v>
      </c>
      <c r="B1025" s="2" t="s">
        <v>6558</v>
      </c>
      <c r="C1025" s="2">
        <v>1066.423</v>
      </c>
      <c r="D1025" s="2">
        <f>HYPERLINK("http://mcb-m6.bioreg.kyushu-u.ac.jp/M3/20110404/F50776/3355/1", 86.58)</f>
        <v>86.58</v>
      </c>
      <c r="E1025" s="2">
        <v>80.14</v>
      </c>
      <c r="F1025" s="2">
        <v>3</v>
      </c>
      <c r="G1025" s="2" t="s">
        <v>9</v>
      </c>
    </row>
    <row r="1026" spans="1:8" x14ac:dyDescent="0.2">
      <c r="A1026" s="2" t="s">
        <v>3365</v>
      </c>
      <c r="B1026" s="2" t="s">
        <v>157</v>
      </c>
      <c r="C1026" s="2">
        <v>981.53520000000003</v>
      </c>
      <c r="D1026" s="2">
        <f>HYPERLINK("http://mcb-m6.bioreg.kyushu-u.ac.jp/M3/20110404/F50761/2769/1", 35.65)</f>
        <v>35.65</v>
      </c>
      <c r="E1026" s="2">
        <v>18.53</v>
      </c>
      <c r="F1026" s="2">
        <v>2</v>
      </c>
      <c r="G1026" s="2" t="s">
        <v>10</v>
      </c>
    </row>
    <row r="1027" spans="1:8" x14ac:dyDescent="0.2">
      <c r="A1027" s="2" t="s">
        <v>3365</v>
      </c>
      <c r="B1027" s="2" t="s">
        <v>310</v>
      </c>
      <c r="C1027" s="2">
        <v>978.73820000000001</v>
      </c>
      <c r="D1027" s="2">
        <f>HYPERLINK("http://mcb-m6.bioreg.kyushu-u.ac.jp/M3/20110404/F50771/2774/1", 38.55)</f>
        <v>38.549999999999997</v>
      </c>
      <c r="E1027" s="2">
        <v>33.700000000000003</v>
      </c>
      <c r="F1027" s="2">
        <v>2</v>
      </c>
      <c r="G1027" s="2" t="s">
        <v>10</v>
      </c>
    </row>
    <row r="1028" spans="1:8" x14ac:dyDescent="0.2">
      <c r="A1028" s="2" t="s">
        <v>3365</v>
      </c>
      <c r="B1028" s="2" t="s">
        <v>157</v>
      </c>
      <c r="C1028" s="2">
        <v>989.45870000000002</v>
      </c>
      <c r="D1028" s="2">
        <f>HYPERLINK("http://mcb-m6.bioreg.kyushu-u.ac.jp/M3/20110404/F50781/2500/1", 40.43)</f>
        <v>40.43</v>
      </c>
      <c r="E1028" s="2">
        <v>23.69</v>
      </c>
      <c r="F1028" s="2">
        <v>2</v>
      </c>
      <c r="G1028" s="2" t="s">
        <v>10</v>
      </c>
      <c r="H1028" s="2" t="s">
        <v>4907</v>
      </c>
    </row>
    <row r="1029" spans="1:8" x14ac:dyDescent="0.2">
      <c r="A1029" s="2" t="s">
        <v>3365</v>
      </c>
      <c r="B1029" s="2" t="s">
        <v>157</v>
      </c>
      <c r="C1029" s="2">
        <v>980.95370000000003</v>
      </c>
      <c r="D1029" s="2">
        <f>HYPERLINK("http://mcb-m6.bioreg.kyushu-u.ac.jp/M3/20110404/F50781/2473/1", 43.6)</f>
        <v>43.6</v>
      </c>
      <c r="E1029" s="2">
        <v>28.98</v>
      </c>
      <c r="F1029" s="2">
        <v>2</v>
      </c>
      <c r="G1029" s="2" t="s">
        <v>10</v>
      </c>
    </row>
    <row r="1030" spans="1:8" x14ac:dyDescent="0.2">
      <c r="A1030" s="2" t="s">
        <v>3365</v>
      </c>
      <c r="B1030" s="2" t="s">
        <v>310</v>
      </c>
      <c r="C1030" s="2">
        <v>978.90369999999996</v>
      </c>
      <c r="D1030" s="2">
        <f>HYPERLINK("http://mcb-m6.bioreg.kyushu-u.ac.jp/M3/20110404/F50761/2759/1", 44.82)</f>
        <v>44.82</v>
      </c>
      <c r="E1030" s="2">
        <v>38.54</v>
      </c>
      <c r="F1030" s="2">
        <v>2</v>
      </c>
      <c r="G1030" s="2" t="s">
        <v>10</v>
      </c>
    </row>
    <row r="1031" spans="1:8" x14ac:dyDescent="0.2">
      <c r="A1031" s="2" t="s">
        <v>3365</v>
      </c>
      <c r="B1031" s="2" t="s">
        <v>157</v>
      </c>
      <c r="C1031" s="2">
        <v>988.94460000000004</v>
      </c>
      <c r="D1031" s="2">
        <f>HYPERLINK("http://mcb-m6.bioreg.kyushu-u.ac.jp/M3/20110404/F50781/2499/1", 45.59)</f>
        <v>45.59</v>
      </c>
      <c r="E1031" s="2">
        <v>31.05</v>
      </c>
      <c r="F1031" s="2">
        <v>2</v>
      </c>
      <c r="G1031" s="2" t="s">
        <v>10</v>
      </c>
      <c r="H1031" s="2" t="s">
        <v>4907</v>
      </c>
    </row>
    <row r="1032" spans="1:8" x14ac:dyDescent="0.2">
      <c r="A1032" s="2" t="s">
        <v>3365</v>
      </c>
      <c r="B1032" s="2" t="s">
        <v>157</v>
      </c>
      <c r="C1032" s="2">
        <v>981.34059999999999</v>
      </c>
      <c r="D1032" s="2">
        <f>HYPERLINK("http://mcb-m6.bioreg.kyushu-u.ac.jp/M3/20110404/F50760/2623/1", 49.59)</f>
        <v>49.59</v>
      </c>
      <c r="E1032" s="2">
        <v>31.66</v>
      </c>
      <c r="F1032" s="2">
        <v>2</v>
      </c>
      <c r="G1032" s="2" t="s">
        <v>10</v>
      </c>
    </row>
    <row r="1033" spans="1:8" x14ac:dyDescent="0.2">
      <c r="A1033" s="2" t="s">
        <v>3365</v>
      </c>
      <c r="B1033" s="2" t="s">
        <v>157</v>
      </c>
      <c r="C1033" s="2">
        <v>981.04169999999999</v>
      </c>
      <c r="D1033" s="2">
        <f>HYPERLINK("http://mcb-m6.bioreg.kyushu-u.ac.jp/M3/20110404/F50781/2474/1", 52.25)</f>
        <v>52.25</v>
      </c>
      <c r="E1033" s="2">
        <v>32.22</v>
      </c>
      <c r="F1033" s="2">
        <v>2</v>
      </c>
      <c r="G1033" s="2" t="s">
        <v>10</v>
      </c>
    </row>
    <row r="1034" spans="1:8" x14ac:dyDescent="0.2">
      <c r="A1034" s="2" t="s">
        <v>3365</v>
      </c>
      <c r="B1034" s="2" t="s">
        <v>157</v>
      </c>
      <c r="C1034" s="2">
        <v>981.37919999999997</v>
      </c>
      <c r="D1034" s="2">
        <f>HYPERLINK("http://mcb-m6.bioreg.kyushu-u.ac.jp/M3/20110404/F50781/2477/1", 52.44)</f>
        <v>52.44</v>
      </c>
      <c r="E1034" s="2">
        <v>40.58</v>
      </c>
      <c r="F1034" s="2">
        <v>2</v>
      </c>
      <c r="G1034" s="2" t="s">
        <v>10</v>
      </c>
    </row>
    <row r="1035" spans="1:8" x14ac:dyDescent="0.2">
      <c r="A1035" s="2" t="s">
        <v>3365</v>
      </c>
      <c r="B1035" s="2" t="s">
        <v>157</v>
      </c>
      <c r="C1035" s="2">
        <v>980.87369999999999</v>
      </c>
      <c r="D1035" s="2">
        <f>HYPERLINK("http://mcb-m6.bioreg.kyushu-u.ac.jp/M3/20110404/F50761/2767/1", 52.72)</f>
        <v>52.72</v>
      </c>
      <c r="E1035" s="2">
        <v>28.42</v>
      </c>
      <c r="F1035" s="2">
        <v>2</v>
      </c>
      <c r="G1035" s="2" t="s">
        <v>10</v>
      </c>
    </row>
    <row r="1036" spans="1:8" x14ac:dyDescent="0.2">
      <c r="A1036" s="2" t="s">
        <v>3365</v>
      </c>
      <c r="B1036" s="2" t="s">
        <v>310</v>
      </c>
      <c r="C1036" s="2">
        <v>978.69420000000002</v>
      </c>
      <c r="D1036" s="2">
        <f>HYPERLINK("http://mcb-m6.bioreg.kyushu-u.ac.jp/M3/20110404/F50772/2822/1", 56.01)</f>
        <v>56.01</v>
      </c>
      <c r="E1036" s="2">
        <v>43.31</v>
      </c>
      <c r="F1036" s="2">
        <v>2</v>
      </c>
      <c r="G1036" s="2" t="s">
        <v>10</v>
      </c>
    </row>
    <row r="1037" spans="1:8" x14ac:dyDescent="0.2">
      <c r="A1037" s="2" t="s">
        <v>3365</v>
      </c>
      <c r="B1037" s="2" t="s">
        <v>310</v>
      </c>
      <c r="C1037" s="2">
        <v>978.31920000000002</v>
      </c>
      <c r="D1037" s="2">
        <f>HYPERLINK("http://mcb-m6.bioreg.kyushu-u.ac.jp/M3/20110404/F50758/2649/1", 62)</f>
        <v>62</v>
      </c>
      <c r="E1037" s="2">
        <v>60.01</v>
      </c>
      <c r="F1037" s="2">
        <v>2</v>
      </c>
      <c r="G1037" s="2" t="s">
        <v>10</v>
      </c>
    </row>
    <row r="1038" spans="1:8" x14ac:dyDescent="0.2">
      <c r="A1038" s="2" t="s">
        <v>3365</v>
      </c>
      <c r="B1038" s="2" t="s">
        <v>310</v>
      </c>
      <c r="C1038" s="2">
        <v>978.94269999999995</v>
      </c>
      <c r="D1038" s="2">
        <f>HYPERLINK("http://mcb-m6.bioreg.kyushu-u.ac.jp/M3/20110404/F50761/2760/1", 62.76)</f>
        <v>62.76</v>
      </c>
      <c r="E1038" s="2">
        <v>55.76</v>
      </c>
      <c r="F1038" s="2">
        <v>2</v>
      </c>
      <c r="G1038" s="2" t="s">
        <v>10</v>
      </c>
    </row>
    <row r="1039" spans="1:8" x14ac:dyDescent="0.2">
      <c r="A1039" s="2" t="s">
        <v>3365</v>
      </c>
      <c r="B1039" s="2" t="s">
        <v>310</v>
      </c>
      <c r="C1039" s="2">
        <v>978.51260000000002</v>
      </c>
      <c r="D1039" s="2">
        <f>HYPERLINK("http://mcb-m6.bioreg.kyushu-u.ac.jp/M3/20110404/F50782/2934/1", 65.06)</f>
        <v>65.06</v>
      </c>
      <c r="E1039" s="2">
        <v>50.22</v>
      </c>
      <c r="F1039" s="2">
        <v>2</v>
      </c>
      <c r="G1039" s="2" t="s">
        <v>10</v>
      </c>
    </row>
    <row r="1040" spans="1:8" x14ac:dyDescent="0.2">
      <c r="A1040" s="2" t="s">
        <v>3365</v>
      </c>
      <c r="B1040" s="2" t="s">
        <v>310</v>
      </c>
      <c r="C1040" s="2">
        <v>978.40309999999999</v>
      </c>
      <c r="D1040" s="2">
        <f>HYPERLINK("http://mcb-m6.bioreg.kyushu-u.ac.jp/M3/20110404/F50761/2757/1", 68.08)</f>
        <v>68.08</v>
      </c>
      <c r="E1040" s="2">
        <v>63.65</v>
      </c>
      <c r="F1040" s="2">
        <v>2</v>
      </c>
      <c r="G1040" s="2" t="s">
        <v>10</v>
      </c>
    </row>
    <row r="1041" spans="1:8" x14ac:dyDescent="0.2">
      <c r="A1041" s="2" t="s">
        <v>3365</v>
      </c>
      <c r="B1041" s="2" t="s">
        <v>310</v>
      </c>
      <c r="C1041" s="2">
        <v>978.95259999999996</v>
      </c>
      <c r="D1041" s="2">
        <f>HYPERLINK("http://mcb-m6.bioreg.kyushu-u.ac.jp/M3/20110404/F50781/2465/1", 71.77)</f>
        <v>71.77</v>
      </c>
      <c r="E1041" s="2">
        <v>62.72</v>
      </c>
      <c r="F1041" s="2">
        <v>2</v>
      </c>
      <c r="G1041" s="2" t="s">
        <v>10</v>
      </c>
    </row>
    <row r="1042" spans="1:8" x14ac:dyDescent="0.2">
      <c r="A1042" s="2" t="s">
        <v>3365</v>
      </c>
      <c r="B1042" s="2" t="s">
        <v>6558</v>
      </c>
      <c r="C1042" s="2">
        <v>1066.604</v>
      </c>
      <c r="D1042" s="2">
        <f>HYPERLINK("http://mcb-m6.bioreg.kyushu-u.ac.jp/M3/20110404/F50782/4109/1", 77.22)</f>
        <v>77.22</v>
      </c>
      <c r="E1042" s="2">
        <v>66.099999999999994</v>
      </c>
      <c r="F1042" s="2">
        <v>3</v>
      </c>
      <c r="G1042" s="2" t="s">
        <v>10</v>
      </c>
    </row>
    <row r="1043" spans="1:8" x14ac:dyDescent="0.2">
      <c r="A1043" s="2" t="s">
        <v>3365</v>
      </c>
      <c r="B1043" s="2" t="s">
        <v>310</v>
      </c>
      <c r="C1043" s="2">
        <v>978.5077</v>
      </c>
      <c r="D1043" s="2">
        <f>HYPERLINK("http://mcb-m6.bioreg.kyushu-u.ac.jp/M3/20110404/F50773/2692/1", 77.94)</f>
        <v>77.94</v>
      </c>
      <c r="E1043" s="2">
        <v>70.23</v>
      </c>
      <c r="F1043" s="2">
        <v>2</v>
      </c>
      <c r="G1043" s="2" t="s">
        <v>10</v>
      </c>
    </row>
    <row r="1044" spans="1:8" x14ac:dyDescent="0.2">
      <c r="A1044" s="2" t="s">
        <v>3365</v>
      </c>
      <c r="B1044" s="2" t="s">
        <v>6558</v>
      </c>
      <c r="C1044" s="2">
        <v>1066.4090000000001</v>
      </c>
      <c r="D1044" s="2">
        <f>HYPERLINK("http://mcb-m6.bioreg.kyushu-u.ac.jp/M3/20110404/F50781/3163/1", 104.52)</f>
        <v>104.52</v>
      </c>
      <c r="E1044" s="2">
        <v>88.78</v>
      </c>
      <c r="F1044" s="2">
        <v>3</v>
      </c>
      <c r="G1044" s="2" t="s">
        <v>10</v>
      </c>
    </row>
    <row r="1045" spans="1:8" x14ac:dyDescent="0.2">
      <c r="A1045" s="2" t="s">
        <v>3365</v>
      </c>
      <c r="B1045" s="2" t="s">
        <v>310</v>
      </c>
      <c r="C1045" s="2">
        <v>979.08510000000001</v>
      </c>
      <c r="D1045" s="2">
        <f>HYPERLINK("http://mcb-m6.bioreg.kyushu-u.ac.jp/M3/20110421/F51058/2870/1", 66.11)</f>
        <v>66.11</v>
      </c>
      <c r="E1045" s="2">
        <v>58.47</v>
      </c>
      <c r="F1045" s="2">
        <v>2</v>
      </c>
      <c r="G1045" s="2" t="s">
        <v>11</v>
      </c>
    </row>
    <row r="1046" spans="1:8" x14ac:dyDescent="0.2">
      <c r="A1046" s="2" t="s">
        <v>3365</v>
      </c>
      <c r="B1046" s="2" t="s">
        <v>310</v>
      </c>
      <c r="C1046" s="2">
        <v>978.57119999999998</v>
      </c>
      <c r="D1046" s="2">
        <f>HYPERLINK("http://mcb-m6.bioreg.kyushu-u.ac.jp/M3/20110421/F51058/2867/1", 70.06)</f>
        <v>70.06</v>
      </c>
      <c r="E1046" s="2">
        <v>61.34</v>
      </c>
      <c r="F1046" s="2">
        <v>2</v>
      </c>
      <c r="G1046" s="2" t="s">
        <v>11</v>
      </c>
    </row>
    <row r="1047" spans="1:8" x14ac:dyDescent="0.2">
      <c r="A1047" s="2" t="s">
        <v>3365</v>
      </c>
      <c r="B1047" s="2" t="s">
        <v>157</v>
      </c>
      <c r="C1047" s="2">
        <v>981.33510000000001</v>
      </c>
      <c r="D1047" s="2">
        <f>HYPERLINK("http://mcb-m6.bioreg.kyushu-u.ac.jp/M3/20110421/F51061/2705/1", 39.46)</f>
        <v>39.46</v>
      </c>
      <c r="E1047" s="2">
        <v>18.690000000000001</v>
      </c>
      <c r="F1047" s="2">
        <v>2</v>
      </c>
      <c r="G1047" s="2" t="s">
        <v>12</v>
      </c>
    </row>
    <row r="1048" spans="1:8" x14ac:dyDescent="0.2">
      <c r="A1048" s="2" t="s">
        <v>3365</v>
      </c>
      <c r="B1048" s="2" t="s">
        <v>310</v>
      </c>
      <c r="C1048" s="2">
        <v>978.19169999999997</v>
      </c>
      <c r="D1048" s="2">
        <f>HYPERLINK("http://mcb-m6.bioreg.kyushu-u.ac.jp/M3/20110421/F51061/2700/1", 42.41)</f>
        <v>42.41</v>
      </c>
      <c r="E1048" s="2">
        <v>37.93</v>
      </c>
      <c r="F1048" s="2">
        <v>2</v>
      </c>
      <c r="G1048" s="2" t="s">
        <v>12</v>
      </c>
    </row>
    <row r="1049" spans="1:8" x14ac:dyDescent="0.2">
      <c r="A1049" s="2" t="s">
        <v>3365</v>
      </c>
      <c r="B1049" s="2" t="s">
        <v>310</v>
      </c>
      <c r="C1049" s="2">
        <v>652.91549999999995</v>
      </c>
      <c r="D1049" s="2">
        <f>HYPERLINK("http://mcb-m6.bioreg.kyushu-u.ac.jp/M3/20110421/F51044/3019/1", 43.54)</f>
        <v>43.54</v>
      </c>
      <c r="E1049" s="2">
        <v>31.28</v>
      </c>
      <c r="F1049" s="2">
        <v>3</v>
      </c>
      <c r="G1049" s="2" t="s">
        <v>12</v>
      </c>
    </row>
    <row r="1050" spans="1:8" x14ac:dyDescent="0.2">
      <c r="A1050" s="2" t="s">
        <v>3365</v>
      </c>
      <c r="B1050" s="2" t="s">
        <v>157</v>
      </c>
      <c r="C1050" s="2">
        <v>980.98519999999996</v>
      </c>
      <c r="D1050" s="2">
        <f>HYPERLINK("http://mcb-m6.bioreg.kyushu-u.ac.jp/M3/20110421/F51059/2919/1", 46.88)</f>
        <v>46.88</v>
      </c>
      <c r="E1050" s="2">
        <v>29.87</v>
      </c>
      <c r="F1050" s="2">
        <v>2</v>
      </c>
      <c r="G1050" s="2" t="s">
        <v>12</v>
      </c>
    </row>
    <row r="1051" spans="1:8" x14ac:dyDescent="0.2">
      <c r="A1051" s="2" t="s">
        <v>3365</v>
      </c>
      <c r="B1051" s="2" t="s">
        <v>310</v>
      </c>
      <c r="C1051" s="2">
        <v>978.58169999999996</v>
      </c>
      <c r="D1051" s="2">
        <f>HYPERLINK("http://mcb-m6.bioreg.kyushu-u.ac.jp/M3/20110421/F51045/3037/1", 53.36)</f>
        <v>53.36</v>
      </c>
      <c r="E1051" s="2">
        <v>42.98</v>
      </c>
      <c r="F1051" s="2">
        <v>2</v>
      </c>
      <c r="G1051" s="2" t="s">
        <v>12</v>
      </c>
    </row>
    <row r="1052" spans="1:8" x14ac:dyDescent="0.2">
      <c r="A1052" s="2" t="s">
        <v>3365</v>
      </c>
      <c r="B1052" s="2" t="s">
        <v>310</v>
      </c>
      <c r="C1052" s="2">
        <v>978.55269999999996</v>
      </c>
      <c r="D1052" s="2">
        <f>HYPERLINK("http://mcb-m6.bioreg.kyushu-u.ac.jp/M3/20110421/F51047/3028/1", 67.83)</f>
        <v>67.83</v>
      </c>
      <c r="E1052" s="2">
        <v>60.87</v>
      </c>
      <c r="F1052" s="2">
        <v>2</v>
      </c>
      <c r="G1052" s="2" t="s">
        <v>12</v>
      </c>
    </row>
    <row r="1053" spans="1:8" x14ac:dyDescent="0.2">
      <c r="A1053" s="2" t="s">
        <v>3365</v>
      </c>
      <c r="B1053" s="2" t="s">
        <v>310</v>
      </c>
      <c r="C1053" s="2">
        <v>978.57619999999997</v>
      </c>
      <c r="D1053" s="2">
        <f>HYPERLINK("http://mcb-m6.bioreg.kyushu-u.ac.jp/M3/20110421/F51059/2912/1", 69.93)</f>
        <v>69.930000000000007</v>
      </c>
      <c r="E1053" s="2">
        <v>59.65</v>
      </c>
      <c r="F1053" s="2">
        <v>2</v>
      </c>
      <c r="G1053" s="2" t="s">
        <v>12</v>
      </c>
    </row>
    <row r="1054" spans="1:8" x14ac:dyDescent="0.2">
      <c r="A1054" s="2" t="s">
        <v>3365</v>
      </c>
      <c r="B1054" s="2" t="s">
        <v>310</v>
      </c>
      <c r="C1054" s="2">
        <v>978.69619999999998</v>
      </c>
      <c r="D1054" s="2">
        <f>HYPERLINK("http://mcb-m6.bioreg.kyushu-u.ac.jp/M3/20110421/F51044/3017/1", 70.05)</f>
        <v>70.05</v>
      </c>
      <c r="E1054" s="2">
        <v>64.19</v>
      </c>
      <c r="F1054" s="2">
        <v>2</v>
      </c>
      <c r="G1054" s="2" t="s">
        <v>12</v>
      </c>
    </row>
    <row r="1055" spans="1:8" x14ac:dyDescent="0.2">
      <c r="A1055" s="2" t="s">
        <v>3365</v>
      </c>
      <c r="B1055" s="2" t="s">
        <v>157</v>
      </c>
      <c r="C1055" s="2">
        <v>989.53219999999999</v>
      </c>
      <c r="D1055" s="2">
        <f>HYPERLINK("http://mcb-m6.bioreg.kyushu-u.ac.jp/M3/20110428/F51131/2927/1", 37.63)</f>
        <v>37.630000000000003</v>
      </c>
      <c r="E1055" s="2">
        <v>16.059999999999999</v>
      </c>
      <c r="F1055" s="2">
        <v>2</v>
      </c>
      <c r="G1055" s="2" t="s">
        <v>13</v>
      </c>
      <c r="H1055" s="2" t="s">
        <v>4907</v>
      </c>
    </row>
    <row r="1056" spans="1:8" x14ac:dyDescent="0.2">
      <c r="A1056" s="2" t="s">
        <v>3365</v>
      </c>
      <c r="B1056" s="2" t="s">
        <v>157</v>
      </c>
      <c r="C1056" s="2">
        <v>659.8365</v>
      </c>
      <c r="D1056" s="2">
        <f>HYPERLINK("http://mcb-m6.bioreg.kyushu-u.ac.jp/M3/20110428/F51131/2923/1", 39.95)</f>
        <v>39.950000000000003</v>
      </c>
      <c r="E1056" s="2">
        <v>25.95</v>
      </c>
      <c r="F1056" s="2">
        <v>3</v>
      </c>
      <c r="G1056" s="2" t="s">
        <v>13</v>
      </c>
      <c r="H1056" s="2" t="s">
        <v>4907</v>
      </c>
    </row>
    <row r="1057" spans="1:8" x14ac:dyDescent="0.2">
      <c r="A1057" s="2" t="s">
        <v>3365</v>
      </c>
      <c r="B1057" s="2" t="s">
        <v>310</v>
      </c>
      <c r="C1057" s="2">
        <v>652.80409999999995</v>
      </c>
      <c r="D1057" s="2">
        <f>HYPERLINK("http://mcb-m6.bioreg.kyushu-u.ac.jp/M3/20110428/F51131/2888/1", 43.74)</f>
        <v>43.74</v>
      </c>
      <c r="E1057" s="2">
        <v>33.94</v>
      </c>
      <c r="F1057" s="2">
        <v>3</v>
      </c>
      <c r="G1057" s="2" t="s">
        <v>13</v>
      </c>
    </row>
    <row r="1058" spans="1:8" x14ac:dyDescent="0.2">
      <c r="A1058" s="2" t="s">
        <v>3365</v>
      </c>
      <c r="B1058" s="2" t="s">
        <v>157</v>
      </c>
      <c r="C1058" s="2">
        <v>981.00419999999997</v>
      </c>
      <c r="D1058" s="2">
        <f>HYPERLINK("http://mcb-m6.bioreg.kyushu-u.ac.jp/M3/20110428/F51131/2896/1", 47.6)</f>
        <v>47.6</v>
      </c>
      <c r="E1058" s="2">
        <v>32.299999999999997</v>
      </c>
      <c r="F1058" s="2">
        <v>2</v>
      </c>
      <c r="G1058" s="2" t="s">
        <v>13</v>
      </c>
    </row>
    <row r="1059" spans="1:8" x14ac:dyDescent="0.2">
      <c r="A1059" s="2" t="s">
        <v>3365</v>
      </c>
      <c r="B1059" s="2" t="s">
        <v>157</v>
      </c>
      <c r="C1059" s="2">
        <v>980.74019999999996</v>
      </c>
      <c r="D1059" s="2">
        <f>HYPERLINK("http://mcb-m6.bioreg.kyushu-u.ac.jp/M3/20110427/F51114/3173/1", 52.95)</f>
        <v>52.95</v>
      </c>
      <c r="E1059" s="2">
        <v>33.99</v>
      </c>
      <c r="F1059" s="2">
        <v>2</v>
      </c>
      <c r="G1059" s="2" t="s">
        <v>13</v>
      </c>
    </row>
    <row r="1060" spans="1:8" x14ac:dyDescent="0.2">
      <c r="A1060" s="2" t="s">
        <v>3365</v>
      </c>
      <c r="B1060" s="2" t="s">
        <v>157</v>
      </c>
      <c r="C1060" s="2">
        <v>981.30070000000001</v>
      </c>
      <c r="D1060" s="2">
        <f>HYPERLINK("http://mcb-m6.bioreg.kyushu-u.ac.jp/M3/20110427/F51114/3177/1", 53.63)</f>
        <v>53.63</v>
      </c>
      <c r="E1060" s="2">
        <v>33.9</v>
      </c>
      <c r="F1060" s="2">
        <v>2</v>
      </c>
      <c r="G1060" s="2" t="s">
        <v>13</v>
      </c>
    </row>
    <row r="1061" spans="1:8" x14ac:dyDescent="0.2">
      <c r="A1061" s="2" t="s">
        <v>3365</v>
      </c>
      <c r="B1061" s="2" t="s">
        <v>310</v>
      </c>
      <c r="C1061" s="2">
        <v>978.79909999999995</v>
      </c>
      <c r="D1061" s="2">
        <f>HYPERLINK("http://mcb-m6.bioreg.kyushu-u.ac.jp/M3/20110427/F51114/3166/1", 58.7)</f>
        <v>58.7</v>
      </c>
      <c r="E1061" s="2">
        <v>51.47</v>
      </c>
      <c r="F1061" s="2">
        <v>2</v>
      </c>
      <c r="G1061" s="2" t="s">
        <v>13</v>
      </c>
    </row>
    <row r="1062" spans="1:8" x14ac:dyDescent="0.2">
      <c r="A1062" s="2" t="s">
        <v>3365</v>
      </c>
      <c r="B1062" s="2" t="s">
        <v>310</v>
      </c>
      <c r="C1062" s="2">
        <v>978.77719999999999</v>
      </c>
      <c r="D1062" s="2">
        <f>HYPERLINK("http://mcb-m6.bioreg.kyushu-u.ac.jp/M3/20110428/F51131/2889/1", 73.28)</f>
        <v>73.28</v>
      </c>
      <c r="E1062" s="2">
        <v>65.22</v>
      </c>
      <c r="F1062" s="2">
        <v>2</v>
      </c>
      <c r="G1062" s="2" t="s">
        <v>13</v>
      </c>
    </row>
    <row r="1063" spans="1:8" x14ac:dyDescent="0.2">
      <c r="A1063" s="2" t="s">
        <v>3365</v>
      </c>
      <c r="B1063" s="2" t="s">
        <v>6558</v>
      </c>
      <c r="C1063" s="2">
        <v>1066.519</v>
      </c>
      <c r="D1063" s="2">
        <f>HYPERLINK("http://mcb-m6.bioreg.kyushu-u.ac.jp/M3/20110428/F51131/3890/1", 94.94)</f>
        <v>94.94</v>
      </c>
      <c r="E1063" s="2">
        <v>86.24</v>
      </c>
      <c r="F1063" s="2">
        <v>3</v>
      </c>
      <c r="G1063" s="2" t="s">
        <v>13</v>
      </c>
    </row>
    <row r="1064" spans="1:8" x14ac:dyDescent="0.2">
      <c r="A1064" s="2" t="s">
        <v>3365</v>
      </c>
      <c r="B1064" s="2" t="s">
        <v>157</v>
      </c>
      <c r="C1064" s="2">
        <v>659.84849999999994</v>
      </c>
      <c r="D1064" s="2">
        <f>HYPERLINK("http://mcb-m6.bioreg.kyushu-u.ac.jp/M3/20110428/F51135/2678/1", 40.29)</f>
        <v>40.29</v>
      </c>
      <c r="E1064" s="2">
        <v>26.38</v>
      </c>
      <c r="F1064" s="2">
        <v>3</v>
      </c>
      <c r="G1064" s="2" t="s">
        <v>14</v>
      </c>
      <c r="H1064" s="2" t="s">
        <v>4907</v>
      </c>
    </row>
    <row r="1065" spans="1:8" x14ac:dyDescent="0.2">
      <c r="A1065" s="2" t="s">
        <v>3365</v>
      </c>
      <c r="B1065" s="2" t="s">
        <v>310</v>
      </c>
      <c r="C1065" s="2">
        <v>978.3152</v>
      </c>
      <c r="D1065" s="2">
        <f>HYPERLINK("http://mcb-m6.bioreg.kyushu-u.ac.jp/M3/20110427/F51124/2910/1", 43.1)</f>
        <v>43.1</v>
      </c>
      <c r="E1065" s="2">
        <v>39.15</v>
      </c>
      <c r="F1065" s="2">
        <v>2</v>
      </c>
      <c r="G1065" s="2" t="s">
        <v>14</v>
      </c>
    </row>
    <row r="1066" spans="1:8" x14ac:dyDescent="0.2">
      <c r="A1066" s="2" t="s">
        <v>3365</v>
      </c>
      <c r="B1066" s="2" t="s">
        <v>157</v>
      </c>
      <c r="C1066" s="2">
        <v>989.5317</v>
      </c>
      <c r="D1066" s="2">
        <f>HYPERLINK("http://mcb-m6.bioreg.kyushu-u.ac.jp/M3/20110428/F51135/2679/1", 43.65)</f>
        <v>43.65</v>
      </c>
      <c r="E1066" s="2">
        <v>22.07</v>
      </c>
      <c r="F1066" s="2">
        <v>2</v>
      </c>
      <c r="G1066" s="2" t="s">
        <v>14</v>
      </c>
      <c r="H1066" s="2" t="s">
        <v>4907</v>
      </c>
    </row>
    <row r="1067" spans="1:8" x14ac:dyDescent="0.2">
      <c r="A1067" s="2" t="s">
        <v>3365</v>
      </c>
      <c r="B1067" s="2" t="s">
        <v>157</v>
      </c>
      <c r="C1067" s="2">
        <v>981.50620000000004</v>
      </c>
      <c r="D1067" s="2">
        <f>HYPERLINK("http://mcb-m6.bioreg.kyushu-u.ac.jp/M3/20110428/F51135/2663/1", 44.68)</f>
        <v>44.68</v>
      </c>
      <c r="E1067" s="2">
        <v>16.559999999999999</v>
      </c>
      <c r="F1067" s="2">
        <v>2</v>
      </c>
      <c r="G1067" s="2" t="s">
        <v>14</v>
      </c>
    </row>
    <row r="1068" spans="1:8" x14ac:dyDescent="0.2">
      <c r="A1068" s="2" t="s">
        <v>3365</v>
      </c>
      <c r="B1068" s="2" t="s">
        <v>310</v>
      </c>
      <c r="C1068" s="2">
        <v>978.90620000000001</v>
      </c>
      <c r="D1068" s="2">
        <f>HYPERLINK("http://mcb-m6.bioreg.kyushu-u.ac.jp/M3/20110427/F51121/2651/1", 53.49)</f>
        <v>53.49</v>
      </c>
      <c r="E1068" s="2">
        <v>44.81</v>
      </c>
      <c r="F1068" s="2">
        <v>2</v>
      </c>
      <c r="G1068" s="2" t="s">
        <v>14</v>
      </c>
    </row>
    <row r="1069" spans="1:8" x14ac:dyDescent="0.2">
      <c r="A1069" s="2" t="s">
        <v>3365</v>
      </c>
      <c r="B1069" s="2" t="s">
        <v>310</v>
      </c>
      <c r="C1069" s="2">
        <v>978.85220000000004</v>
      </c>
      <c r="D1069" s="2">
        <f>HYPERLINK("http://mcb-m6.bioreg.kyushu-u.ac.jp/M3/20110428/F51135/2655/1", 55.44)</f>
        <v>55.44</v>
      </c>
      <c r="E1069" s="2">
        <v>49.33</v>
      </c>
      <c r="F1069" s="2">
        <v>2</v>
      </c>
      <c r="G1069" s="2" t="s">
        <v>14</v>
      </c>
    </row>
    <row r="1070" spans="1:8" x14ac:dyDescent="0.2">
      <c r="A1070" s="2" t="s">
        <v>3365</v>
      </c>
      <c r="B1070" s="2" t="s">
        <v>310</v>
      </c>
      <c r="C1070" s="2">
        <v>978.30160000000001</v>
      </c>
      <c r="D1070" s="2">
        <f>HYPERLINK("http://mcb-m6.bioreg.kyushu-u.ac.jp/M3/20110428/F51128/3045/1", 58.2)</f>
        <v>58.2</v>
      </c>
      <c r="E1070" s="2">
        <v>53.31</v>
      </c>
      <c r="F1070" s="2">
        <v>2</v>
      </c>
      <c r="G1070" s="2" t="s">
        <v>14</v>
      </c>
    </row>
    <row r="1071" spans="1:8" x14ac:dyDescent="0.2">
      <c r="A1071" s="2" t="s">
        <v>3365</v>
      </c>
      <c r="B1071" s="2" t="s">
        <v>310</v>
      </c>
      <c r="C1071" s="2">
        <v>978.8442</v>
      </c>
      <c r="D1071" s="2">
        <f>HYPERLINK("http://mcb-m6.bioreg.kyushu-u.ac.jp/M3/20110427/F51122/2845/1", 59.25)</f>
        <v>59.25</v>
      </c>
      <c r="E1071" s="2">
        <v>47.75</v>
      </c>
      <c r="F1071" s="2">
        <v>2</v>
      </c>
      <c r="G1071" s="2" t="s">
        <v>14</v>
      </c>
    </row>
    <row r="1072" spans="1:8" x14ac:dyDescent="0.2">
      <c r="A1072" s="2" t="s">
        <v>3365</v>
      </c>
      <c r="B1072" s="2" t="s">
        <v>310</v>
      </c>
      <c r="C1072" s="2">
        <v>978.3297</v>
      </c>
      <c r="D1072" s="2">
        <f>HYPERLINK("http://mcb-m6.bioreg.kyushu-u.ac.jp/M3/20110427/F51123/3019/1", 82.27)</f>
        <v>82.27</v>
      </c>
      <c r="E1072" s="2">
        <v>77.819999999999993</v>
      </c>
      <c r="F1072" s="2">
        <v>2</v>
      </c>
      <c r="G1072" s="2" t="s">
        <v>14</v>
      </c>
    </row>
    <row r="1073" spans="1:9" x14ac:dyDescent="0.2">
      <c r="A1073" s="2" t="s">
        <v>3418</v>
      </c>
      <c r="B1073" s="2" t="s">
        <v>460</v>
      </c>
      <c r="C1073" s="2">
        <v>1276.9010000000001</v>
      </c>
      <c r="D1073" s="2">
        <f>HYPERLINK("http://mcb-m6.bioreg.kyushu-u.ac.jp/M3/20110404/F50751/2852/1", 39.34)</f>
        <v>39.340000000000003</v>
      </c>
      <c r="E1073" s="2">
        <v>35.44</v>
      </c>
      <c r="F1073" s="2">
        <v>2</v>
      </c>
      <c r="G1073" s="2" t="s">
        <v>9</v>
      </c>
      <c r="H1073" s="2" t="s">
        <v>4925</v>
      </c>
      <c r="I1073" s="2" t="s">
        <v>4890</v>
      </c>
    </row>
    <row r="1074" spans="1:9" x14ac:dyDescent="0.2">
      <c r="A1074" s="2" t="s">
        <v>3418</v>
      </c>
      <c r="B1074" s="2" t="s">
        <v>460</v>
      </c>
      <c r="C1074" s="2">
        <v>1276.1959999999999</v>
      </c>
      <c r="D1074" s="2">
        <f>HYPERLINK("http://mcb-m6.bioreg.kyushu-u.ac.jp/M3/20110421/F51061/3092/1", 38.64)</f>
        <v>38.64</v>
      </c>
      <c r="E1074" s="2">
        <v>28.98</v>
      </c>
      <c r="F1074" s="2">
        <v>2</v>
      </c>
      <c r="G1074" s="2" t="s">
        <v>12</v>
      </c>
      <c r="H1074" s="2" t="s">
        <v>4925</v>
      </c>
      <c r="I1074" s="2" t="s">
        <v>4890</v>
      </c>
    </row>
    <row r="1075" spans="1:9" x14ac:dyDescent="0.2">
      <c r="A1075" s="2" t="s">
        <v>3418</v>
      </c>
      <c r="B1075" s="2" t="s">
        <v>460</v>
      </c>
      <c r="C1075" s="2">
        <v>1276.566</v>
      </c>
      <c r="D1075" s="2">
        <f>HYPERLINK("http://mcb-m6.bioreg.kyushu-u.ac.jp/M3/20110421/F51059/3604/1", 42.16)</f>
        <v>42.16</v>
      </c>
      <c r="E1075" s="2">
        <v>33.21</v>
      </c>
      <c r="F1075" s="2">
        <v>2</v>
      </c>
      <c r="G1075" s="2" t="s">
        <v>12</v>
      </c>
      <c r="H1075" s="2" t="s">
        <v>4925</v>
      </c>
      <c r="I1075" s="2" t="s">
        <v>4890</v>
      </c>
    </row>
    <row r="1076" spans="1:9" x14ac:dyDescent="0.2">
      <c r="A1076" s="2" t="s">
        <v>3418</v>
      </c>
      <c r="B1076" s="2" t="s">
        <v>460</v>
      </c>
      <c r="C1076" s="2">
        <v>851.78160000000003</v>
      </c>
      <c r="D1076" s="2">
        <f>HYPERLINK("http://mcb-m6.bioreg.kyushu-u.ac.jp/M3/20110421/F51061/3094/1", 53.5)</f>
        <v>53.5</v>
      </c>
      <c r="E1076" s="2">
        <v>38.69</v>
      </c>
      <c r="F1076" s="2">
        <v>3</v>
      </c>
      <c r="G1076" s="2" t="s">
        <v>12</v>
      </c>
      <c r="H1076" s="2" t="s">
        <v>4925</v>
      </c>
      <c r="I1076" s="2" t="s">
        <v>4890</v>
      </c>
    </row>
    <row r="1077" spans="1:9" x14ac:dyDescent="0.2">
      <c r="A1077" s="2" t="s">
        <v>3418</v>
      </c>
      <c r="B1077" s="2" t="s">
        <v>460</v>
      </c>
      <c r="C1077" s="2">
        <v>846.20889999999997</v>
      </c>
      <c r="D1077" s="2">
        <f>HYPERLINK("http://mcb-m6.bioreg.kyushu-u.ac.jp/M3/20110421/F51059/3588/1", 73.4)</f>
        <v>73.400000000000006</v>
      </c>
      <c r="E1077" s="2">
        <v>55.61</v>
      </c>
      <c r="F1077" s="2">
        <v>3</v>
      </c>
      <c r="G1077" s="2" t="s">
        <v>12</v>
      </c>
      <c r="I1077" s="2" t="s">
        <v>4890</v>
      </c>
    </row>
    <row r="1078" spans="1:9" x14ac:dyDescent="0.2">
      <c r="A1078" s="2" t="s">
        <v>3418</v>
      </c>
      <c r="B1078" s="2" t="s">
        <v>460</v>
      </c>
      <c r="C1078" s="2">
        <v>851.78719999999998</v>
      </c>
      <c r="D1078" s="2">
        <f>HYPERLINK("http://mcb-m6.bioreg.kyushu-u.ac.jp/M3/20110428/F51135/3144/1", 35.41)</f>
        <v>35.409999999999997</v>
      </c>
      <c r="E1078" s="2">
        <v>25.74</v>
      </c>
      <c r="F1078" s="2">
        <v>3</v>
      </c>
      <c r="G1078" s="2" t="s">
        <v>14</v>
      </c>
      <c r="H1078" s="2" t="s">
        <v>4925</v>
      </c>
      <c r="I1078" s="2" t="s">
        <v>4890</v>
      </c>
    </row>
    <row r="1079" spans="1:9" x14ac:dyDescent="0.2">
      <c r="A1079" s="2" t="s">
        <v>3418</v>
      </c>
      <c r="B1079" s="2" t="s">
        <v>460</v>
      </c>
      <c r="C1079" s="2">
        <v>1276.2729999999999</v>
      </c>
      <c r="D1079" s="2">
        <f>HYPERLINK("http://mcb-m6.bioreg.kyushu-u.ac.jp/M3/20110428/F51128/3643/1", 49.99)</f>
        <v>49.99</v>
      </c>
      <c r="E1079" s="2">
        <v>38.5</v>
      </c>
      <c r="F1079" s="2">
        <v>2</v>
      </c>
      <c r="G1079" s="2" t="s">
        <v>14</v>
      </c>
      <c r="H1079" s="2" t="s">
        <v>4925</v>
      </c>
      <c r="I1079" s="2" t="s">
        <v>4890</v>
      </c>
    </row>
    <row r="1080" spans="1:9" x14ac:dyDescent="0.2">
      <c r="A1080" s="2" t="s">
        <v>3418</v>
      </c>
      <c r="B1080" s="2" t="s">
        <v>460</v>
      </c>
      <c r="C1080" s="2">
        <v>851.74350000000004</v>
      </c>
      <c r="D1080" s="2">
        <f>HYPERLINK("http://mcb-m6.bioreg.kyushu-u.ac.jp/M3/20110428/F51135/3143/1", 51.85)</f>
        <v>51.85</v>
      </c>
      <c r="E1080" s="2">
        <v>39.51</v>
      </c>
      <c r="F1080" s="2">
        <v>3</v>
      </c>
      <c r="G1080" s="2" t="s">
        <v>14</v>
      </c>
      <c r="H1080" s="2" t="s">
        <v>4925</v>
      </c>
      <c r="I1080" s="2" t="s">
        <v>4890</v>
      </c>
    </row>
    <row r="1081" spans="1:9" x14ac:dyDescent="0.2">
      <c r="A1081" s="2" t="s">
        <v>3418</v>
      </c>
      <c r="B1081" s="2" t="s">
        <v>460</v>
      </c>
      <c r="C1081" s="2">
        <v>851.69420000000002</v>
      </c>
      <c r="D1081" s="2">
        <f>HYPERLINK("http://mcb-m6.bioreg.kyushu-u.ac.jp/M3/20110427/F51123/3655/1", 57.71)</f>
        <v>57.71</v>
      </c>
      <c r="E1081" s="2">
        <v>48.25</v>
      </c>
      <c r="F1081" s="2">
        <v>3</v>
      </c>
      <c r="G1081" s="2" t="s">
        <v>14</v>
      </c>
      <c r="H1081" s="2" t="s">
        <v>4925</v>
      </c>
      <c r="I1081" s="2" t="s">
        <v>4890</v>
      </c>
    </row>
    <row r="1082" spans="1:9" x14ac:dyDescent="0.2">
      <c r="A1082" s="2" t="s">
        <v>3418</v>
      </c>
      <c r="B1082" s="2" t="s">
        <v>460</v>
      </c>
      <c r="C1082" s="2">
        <v>846.09519999999998</v>
      </c>
      <c r="D1082" s="2">
        <f>HYPERLINK("http://mcb-m6.bioreg.kyushu-u.ac.jp/M3/20110428/F51135/3127/1", 76.53)</f>
        <v>76.53</v>
      </c>
      <c r="E1082" s="2">
        <v>58.15</v>
      </c>
      <c r="F1082" s="2">
        <v>3</v>
      </c>
      <c r="G1082" s="2" t="s">
        <v>14</v>
      </c>
      <c r="I1082" s="2" t="s">
        <v>4890</v>
      </c>
    </row>
    <row r="1083" spans="1:9" x14ac:dyDescent="0.2">
      <c r="A1083" s="2" t="s">
        <v>3418</v>
      </c>
      <c r="B1083" s="2" t="s">
        <v>460</v>
      </c>
      <c r="C1083" s="2">
        <v>1269.125</v>
      </c>
      <c r="D1083" s="2">
        <f>HYPERLINK("http://mcb-m6.bioreg.kyushu-u.ac.jp/M3/20110428/F51135/3128/1", 146.51)</f>
        <v>146.51</v>
      </c>
      <c r="E1083" s="2">
        <v>138.38999999999999</v>
      </c>
      <c r="F1083" s="2">
        <v>2</v>
      </c>
      <c r="G1083" s="2" t="s">
        <v>14</v>
      </c>
      <c r="I1083" s="2" t="s">
        <v>4890</v>
      </c>
    </row>
    <row r="1084" spans="1:9" x14ac:dyDescent="0.2">
      <c r="A1084" s="2" t="s">
        <v>7649</v>
      </c>
      <c r="B1084" s="2" t="s">
        <v>6221</v>
      </c>
      <c r="C1084" s="2">
        <v>565.62120000000004</v>
      </c>
      <c r="D1084" s="2">
        <f>HYPERLINK("http://mcb-m6.bioreg.kyushu-u.ac.jp/M3/20110404/F50776/1186/1", 47.16)</f>
        <v>47.16</v>
      </c>
      <c r="E1084" s="2">
        <v>24.5</v>
      </c>
      <c r="F1084" s="2">
        <v>2</v>
      </c>
      <c r="G1084" s="2" t="s">
        <v>9</v>
      </c>
    </row>
    <row r="1085" spans="1:9" x14ac:dyDescent="0.2">
      <c r="A1085" s="2" t="s">
        <v>7649</v>
      </c>
      <c r="B1085" s="2" t="s">
        <v>6221</v>
      </c>
      <c r="C1085" s="2">
        <v>565.66110000000003</v>
      </c>
      <c r="D1085" s="2">
        <f>HYPERLINK("http://mcb-m6.bioreg.kyushu-u.ac.jp/M3/20110404/F50755/1216/1", 62.4)</f>
        <v>62.4</v>
      </c>
      <c r="E1085" s="2">
        <v>37.92</v>
      </c>
      <c r="F1085" s="2">
        <v>2</v>
      </c>
      <c r="G1085" s="2" t="s">
        <v>9</v>
      </c>
    </row>
    <row r="1086" spans="1:9" x14ac:dyDescent="0.2">
      <c r="A1086" s="2" t="s">
        <v>7649</v>
      </c>
      <c r="B1086" s="2" t="s">
        <v>6221</v>
      </c>
      <c r="C1086" s="2">
        <v>565.6617</v>
      </c>
      <c r="D1086" s="2">
        <f>HYPERLINK("http://mcb-m6.bioreg.kyushu-u.ac.jp/M3/20110404/F50754/1513/1", 64.59)</f>
        <v>64.59</v>
      </c>
      <c r="E1086" s="2">
        <v>35.57</v>
      </c>
      <c r="F1086" s="2">
        <v>2</v>
      </c>
      <c r="G1086" s="2" t="s">
        <v>9</v>
      </c>
    </row>
    <row r="1087" spans="1:9" x14ac:dyDescent="0.2">
      <c r="A1087" s="2" t="s">
        <v>7649</v>
      </c>
      <c r="B1087" s="2" t="s">
        <v>6221</v>
      </c>
      <c r="C1087" s="2">
        <v>565.72609999999997</v>
      </c>
      <c r="D1087" s="2">
        <f>HYPERLINK("http://mcb-m6.bioreg.kyushu-u.ac.jp/M3/20110404/F50761/1179/1", 48.47)</f>
        <v>48.47</v>
      </c>
      <c r="E1087" s="2">
        <v>30.09</v>
      </c>
      <c r="F1087" s="2">
        <v>2</v>
      </c>
      <c r="G1087" s="2" t="s">
        <v>10</v>
      </c>
    </row>
    <row r="1088" spans="1:9" x14ac:dyDescent="0.2">
      <c r="A1088" s="2" t="s">
        <v>7649</v>
      </c>
      <c r="B1088" s="2" t="s">
        <v>6221</v>
      </c>
      <c r="C1088" s="2">
        <v>565.85360000000003</v>
      </c>
      <c r="D1088" s="2">
        <f>HYPERLINK("http://mcb-m6.bioreg.kyushu-u.ac.jp/M3/20110404/F50781/1221/1", 68.31)</f>
        <v>68.31</v>
      </c>
      <c r="E1088" s="2">
        <v>45.3</v>
      </c>
      <c r="F1088" s="2">
        <v>2</v>
      </c>
      <c r="G1088" s="2" t="s">
        <v>10</v>
      </c>
    </row>
    <row r="1089" spans="1:7" x14ac:dyDescent="0.2">
      <c r="A1089" s="2" t="s">
        <v>7649</v>
      </c>
      <c r="B1089" s="2" t="s">
        <v>6221</v>
      </c>
      <c r="C1089" s="2">
        <v>566.33010000000002</v>
      </c>
      <c r="D1089" s="2">
        <f>HYPERLINK("http://mcb-m6.bioreg.kyushu-u.ac.jp/M3/20110421/F51034/1180/1", 37.18)</f>
        <v>37.18</v>
      </c>
      <c r="E1089" s="2">
        <v>18.22</v>
      </c>
      <c r="F1089" s="2">
        <v>2</v>
      </c>
      <c r="G1089" s="2" t="s">
        <v>11</v>
      </c>
    </row>
    <row r="1090" spans="1:7" x14ac:dyDescent="0.2">
      <c r="A1090" s="2" t="s">
        <v>7649</v>
      </c>
      <c r="B1090" s="2" t="s">
        <v>6221</v>
      </c>
      <c r="C1090" s="2">
        <v>566.16669999999999</v>
      </c>
      <c r="D1090" s="2">
        <f>HYPERLINK("http://mcb-m6.bioreg.kyushu-u.ac.jp/M3/20110421/F51058/1027/1", 65.88)</f>
        <v>65.88</v>
      </c>
      <c r="E1090" s="2">
        <v>38.14</v>
      </c>
      <c r="F1090" s="2">
        <v>2</v>
      </c>
      <c r="G1090" s="2" t="s">
        <v>11</v>
      </c>
    </row>
    <row r="1091" spans="1:7" x14ac:dyDescent="0.2">
      <c r="A1091" s="2" t="s">
        <v>7649</v>
      </c>
      <c r="B1091" s="2" t="s">
        <v>6221</v>
      </c>
      <c r="C1091" s="2">
        <v>1130.481</v>
      </c>
      <c r="D1091" s="2">
        <f>HYPERLINK("http://mcb-m6.bioreg.kyushu-u.ac.jp/M3/20110421/F51044/1177/1", 36.74)</f>
        <v>36.74</v>
      </c>
      <c r="E1091" s="2">
        <v>22.31</v>
      </c>
      <c r="F1091" s="2">
        <v>1</v>
      </c>
      <c r="G1091" s="2" t="s">
        <v>12</v>
      </c>
    </row>
    <row r="1092" spans="1:7" x14ac:dyDescent="0.2">
      <c r="A1092" s="2" t="s">
        <v>7649</v>
      </c>
      <c r="B1092" s="2" t="s">
        <v>6221</v>
      </c>
      <c r="C1092" s="2">
        <v>1130.529</v>
      </c>
      <c r="D1092" s="2">
        <f>HYPERLINK("http://mcb-m6.bioreg.kyushu-u.ac.jp/M3/20110421/F51059/940/1", 37.57)</f>
        <v>37.57</v>
      </c>
      <c r="E1092" s="2">
        <v>25.89</v>
      </c>
      <c r="F1092" s="2">
        <v>1</v>
      </c>
      <c r="G1092" s="2" t="s">
        <v>12</v>
      </c>
    </row>
    <row r="1093" spans="1:7" x14ac:dyDescent="0.2">
      <c r="A1093" s="2" t="s">
        <v>7649</v>
      </c>
      <c r="B1093" s="2" t="s">
        <v>6221</v>
      </c>
      <c r="C1093" s="2">
        <v>565.90970000000004</v>
      </c>
      <c r="D1093" s="2">
        <f>HYPERLINK("http://mcb-m6.bioreg.kyushu-u.ac.jp/M3/20110421/F51025/1546/1", 57)</f>
        <v>57</v>
      </c>
      <c r="E1093" s="2">
        <v>33.24</v>
      </c>
      <c r="F1093" s="2">
        <v>2</v>
      </c>
      <c r="G1093" s="2" t="s">
        <v>12</v>
      </c>
    </row>
    <row r="1094" spans="1:7" x14ac:dyDescent="0.2">
      <c r="A1094" s="2" t="s">
        <v>7649</v>
      </c>
      <c r="B1094" s="2" t="s">
        <v>6221</v>
      </c>
      <c r="C1094" s="2">
        <v>565.75919999999996</v>
      </c>
      <c r="D1094" s="2">
        <f>HYPERLINK("http://mcb-m6.bioreg.kyushu-u.ac.jp/M3/20110421/F51044/1178/1", 61.52)</f>
        <v>61.52</v>
      </c>
      <c r="E1094" s="2">
        <v>37.799999999999997</v>
      </c>
      <c r="F1094" s="2">
        <v>2</v>
      </c>
      <c r="G1094" s="2" t="s">
        <v>12</v>
      </c>
    </row>
    <row r="1095" spans="1:7" x14ac:dyDescent="0.2">
      <c r="A1095" s="2" t="s">
        <v>7649</v>
      </c>
      <c r="B1095" s="2" t="s">
        <v>6221</v>
      </c>
      <c r="C1095" s="2">
        <v>566.34670000000006</v>
      </c>
      <c r="D1095" s="2">
        <f>HYPERLINK("http://mcb-m6.bioreg.kyushu-u.ac.jp/M3/20110421/F51047/1266/1", 61.66)</f>
        <v>61.66</v>
      </c>
      <c r="E1095" s="2">
        <v>34.020000000000003</v>
      </c>
      <c r="F1095" s="2">
        <v>2</v>
      </c>
      <c r="G1095" s="2" t="s">
        <v>12</v>
      </c>
    </row>
    <row r="1096" spans="1:7" x14ac:dyDescent="0.2">
      <c r="A1096" s="2" t="s">
        <v>7649</v>
      </c>
      <c r="B1096" s="2" t="s">
        <v>6221</v>
      </c>
      <c r="C1096" s="2">
        <v>565.8827</v>
      </c>
      <c r="D1096" s="2">
        <f>HYPERLINK("http://mcb-m6.bioreg.kyushu-u.ac.jp/M3/20110421/F51059/942/1", 65.28)</f>
        <v>65.28</v>
      </c>
      <c r="E1096" s="2">
        <v>38.9</v>
      </c>
      <c r="F1096" s="2">
        <v>2</v>
      </c>
      <c r="G1096" s="2" t="s">
        <v>12</v>
      </c>
    </row>
    <row r="1097" spans="1:7" x14ac:dyDescent="0.2">
      <c r="A1097" s="2" t="s">
        <v>7649</v>
      </c>
      <c r="B1097" s="2" t="s">
        <v>6221</v>
      </c>
      <c r="C1097" s="2">
        <v>565.75710000000004</v>
      </c>
      <c r="D1097" s="2">
        <f>HYPERLINK("http://mcb-m6.bioreg.kyushu-u.ac.jp/M3/20110421/F51024/1427/1", 67.91)</f>
        <v>67.91</v>
      </c>
      <c r="E1097" s="2">
        <v>40.340000000000003</v>
      </c>
      <c r="F1097" s="2">
        <v>2</v>
      </c>
      <c r="G1097" s="2" t="s">
        <v>12</v>
      </c>
    </row>
    <row r="1098" spans="1:7" x14ac:dyDescent="0.2">
      <c r="A1098" s="2" t="s">
        <v>7649</v>
      </c>
      <c r="B1098" s="2" t="s">
        <v>6221</v>
      </c>
      <c r="C1098" s="2">
        <v>565.64170000000001</v>
      </c>
      <c r="D1098" s="2">
        <f>HYPERLINK("http://mcb-m6.bioreg.kyushu-u.ac.jp/M3/20110428/F51127/1031/1", 48.09)</f>
        <v>48.09</v>
      </c>
      <c r="E1098" s="2">
        <v>22.62</v>
      </c>
      <c r="F1098" s="2">
        <v>2</v>
      </c>
      <c r="G1098" s="2" t="s">
        <v>13</v>
      </c>
    </row>
    <row r="1099" spans="1:7" x14ac:dyDescent="0.2">
      <c r="A1099" s="2" t="s">
        <v>7649</v>
      </c>
      <c r="B1099" s="2" t="s">
        <v>6221</v>
      </c>
      <c r="C1099" s="2">
        <v>565.61109999999996</v>
      </c>
      <c r="D1099" s="2">
        <f>HYPERLINK("http://mcb-m6.bioreg.kyushu-u.ac.jp/M3/20110427/F51114/1210/1", 63.14)</f>
        <v>63.14</v>
      </c>
      <c r="E1099" s="2">
        <v>42.3</v>
      </c>
      <c r="F1099" s="2">
        <v>2</v>
      </c>
      <c r="G1099" s="2" t="s">
        <v>13</v>
      </c>
    </row>
    <row r="1100" spans="1:7" x14ac:dyDescent="0.2">
      <c r="A1100" s="2" t="s">
        <v>7649</v>
      </c>
      <c r="B1100" s="2" t="s">
        <v>6221</v>
      </c>
      <c r="C1100" s="2">
        <v>1130.675</v>
      </c>
      <c r="D1100" s="2">
        <f>HYPERLINK("http://mcb-m6.bioreg.kyushu-u.ac.jp/M3/20110428/F51135/1170/1", 35.99)</f>
        <v>35.99</v>
      </c>
      <c r="E1100" s="2">
        <v>20.48</v>
      </c>
      <c r="F1100" s="2">
        <v>1</v>
      </c>
      <c r="G1100" s="2" t="s">
        <v>14</v>
      </c>
    </row>
    <row r="1101" spans="1:7" x14ac:dyDescent="0.2">
      <c r="A1101" s="2" t="s">
        <v>7649</v>
      </c>
      <c r="B1101" s="2" t="s">
        <v>6221</v>
      </c>
      <c r="C1101" s="2">
        <v>1130.4179999999999</v>
      </c>
      <c r="D1101" s="2">
        <f>HYPERLINK("http://mcb-m6.bioreg.kyushu-u.ac.jp/M3/20110427/F51123/1282/1", 38.28)</f>
        <v>38.28</v>
      </c>
      <c r="E1101" s="2">
        <v>22.61</v>
      </c>
      <c r="F1101" s="2">
        <v>1</v>
      </c>
      <c r="G1101" s="2" t="s">
        <v>14</v>
      </c>
    </row>
    <row r="1102" spans="1:7" x14ac:dyDescent="0.2">
      <c r="A1102" s="2" t="s">
        <v>7649</v>
      </c>
      <c r="B1102" s="2" t="s">
        <v>6221</v>
      </c>
      <c r="C1102" s="2">
        <v>565.63760000000002</v>
      </c>
      <c r="D1102" s="2">
        <f>HYPERLINK("http://mcb-m6.bioreg.kyushu-u.ac.jp/M3/20110427/F51125/1432/1", 54.46)</f>
        <v>54.46</v>
      </c>
      <c r="E1102" s="2">
        <v>33.71</v>
      </c>
      <c r="F1102" s="2">
        <v>2</v>
      </c>
      <c r="G1102" s="2" t="s">
        <v>14</v>
      </c>
    </row>
    <row r="1103" spans="1:7" x14ac:dyDescent="0.2">
      <c r="A1103" s="2" t="s">
        <v>7649</v>
      </c>
      <c r="B1103" s="2" t="s">
        <v>6221</v>
      </c>
      <c r="C1103" s="2">
        <v>565.87660000000005</v>
      </c>
      <c r="D1103" s="2">
        <f>HYPERLINK("http://mcb-m6.bioreg.kyushu-u.ac.jp/M3/20110428/F51135/1171/1", 65.97)</f>
        <v>65.97</v>
      </c>
      <c r="E1103" s="2">
        <v>37.979999999999997</v>
      </c>
      <c r="F1103" s="2">
        <v>2</v>
      </c>
      <c r="G1103" s="2" t="s">
        <v>14</v>
      </c>
    </row>
    <row r="1104" spans="1:7" x14ac:dyDescent="0.2">
      <c r="A1104" s="2" t="s">
        <v>7649</v>
      </c>
      <c r="B1104" s="2" t="s">
        <v>6221</v>
      </c>
      <c r="C1104" s="2">
        <v>566.09059999999999</v>
      </c>
      <c r="D1104" s="2">
        <f>HYPERLINK("http://mcb-m6.bioreg.kyushu-u.ac.jp/M3/20110428/F51126/1409/1", 66.82)</f>
        <v>66.819999999999993</v>
      </c>
      <c r="E1104" s="2">
        <v>44.23</v>
      </c>
      <c r="F1104" s="2">
        <v>2</v>
      </c>
      <c r="G1104" s="2" t="s">
        <v>14</v>
      </c>
    </row>
    <row r="1105" spans="1:8" x14ac:dyDescent="0.2">
      <c r="A1105" s="2" t="s">
        <v>7649</v>
      </c>
      <c r="B1105" s="2" t="s">
        <v>6221</v>
      </c>
      <c r="C1105" s="2">
        <v>566.01670000000001</v>
      </c>
      <c r="D1105" s="2">
        <f>HYPERLINK("http://mcb-m6.bioreg.kyushu-u.ac.jp/M3/20110427/F51121/1460/1", 68.22)</f>
        <v>68.22</v>
      </c>
      <c r="E1105" s="2">
        <v>40.049999999999997</v>
      </c>
      <c r="F1105" s="2">
        <v>2</v>
      </c>
      <c r="G1105" s="2" t="s">
        <v>14</v>
      </c>
    </row>
    <row r="1106" spans="1:8" x14ac:dyDescent="0.2">
      <c r="A1106" s="2" t="s">
        <v>7661</v>
      </c>
      <c r="B1106" s="2" t="s">
        <v>6256</v>
      </c>
      <c r="C1106" s="2">
        <v>750.91520000000003</v>
      </c>
      <c r="D1106" s="2">
        <f>HYPERLINK("http://mcb-m6.bioreg.kyushu-u.ac.jp/M3/20110404/F50756/2014/1", 49.55)</f>
        <v>49.55</v>
      </c>
      <c r="E1106" s="2">
        <v>31.76</v>
      </c>
      <c r="F1106" s="2">
        <v>2</v>
      </c>
      <c r="G1106" s="2" t="s">
        <v>9</v>
      </c>
    </row>
    <row r="1107" spans="1:8" x14ac:dyDescent="0.2">
      <c r="A1107" s="2" t="s">
        <v>7661</v>
      </c>
      <c r="B1107" s="2" t="s">
        <v>6256</v>
      </c>
      <c r="C1107" s="2">
        <v>742.62620000000004</v>
      </c>
      <c r="D1107" s="2">
        <f>HYPERLINK("http://mcb-m6.bioreg.kyushu-u.ac.jp/M3/20110404/F50776/1779/1", 59.51)</f>
        <v>59.51</v>
      </c>
      <c r="E1107" s="2">
        <v>41.96</v>
      </c>
      <c r="F1107" s="2">
        <v>2</v>
      </c>
      <c r="G1107" s="2" t="s">
        <v>9</v>
      </c>
      <c r="H1107" s="2" t="s">
        <v>4904</v>
      </c>
    </row>
    <row r="1108" spans="1:8" x14ac:dyDescent="0.2">
      <c r="A1108" s="2" t="s">
        <v>7661</v>
      </c>
      <c r="B1108" s="2" t="s">
        <v>6256</v>
      </c>
      <c r="C1108" s="2">
        <v>751.4067</v>
      </c>
      <c r="D1108" s="2">
        <f>HYPERLINK("http://mcb-m6.bioreg.kyushu-u.ac.jp/M3/20110404/F50761/1877/1", 41.71)</f>
        <v>41.71</v>
      </c>
      <c r="E1108" s="2">
        <v>26.72</v>
      </c>
      <c r="F1108" s="2">
        <v>2</v>
      </c>
      <c r="G1108" s="2" t="s">
        <v>10</v>
      </c>
    </row>
    <row r="1109" spans="1:8" x14ac:dyDescent="0.2">
      <c r="A1109" s="2" t="s">
        <v>7661</v>
      </c>
      <c r="B1109" s="2" t="s">
        <v>6256</v>
      </c>
      <c r="C1109" s="2">
        <v>742.91920000000005</v>
      </c>
      <c r="D1109" s="2">
        <f>HYPERLINK("http://mcb-m6.bioreg.kyushu-u.ac.jp/M3/20110404/F50781/1816/1", 57.63)</f>
        <v>57.63</v>
      </c>
      <c r="E1109" s="2">
        <v>35.76</v>
      </c>
      <c r="F1109" s="2">
        <v>2</v>
      </c>
      <c r="G1109" s="2" t="s">
        <v>10</v>
      </c>
      <c r="H1109" s="2" t="s">
        <v>4904</v>
      </c>
    </row>
    <row r="1110" spans="1:8" x14ac:dyDescent="0.2">
      <c r="A1110" s="2" t="s">
        <v>7661</v>
      </c>
      <c r="B1110" s="2" t="s">
        <v>6256</v>
      </c>
      <c r="C1110" s="2">
        <v>742.35220000000004</v>
      </c>
      <c r="D1110" s="2">
        <f>HYPERLINK("http://mcb-m6.bioreg.kyushu-u.ac.jp/M3/20110404/F50761/1850/1", 59.84)</f>
        <v>59.84</v>
      </c>
      <c r="E1110" s="2">
        <v>35.119999999999997</v>
      </c>
      <c r="F1110" s="2">
        <v>2</v>
      </c>
      <c r="G1110" s="2" t="s">
        <v>10</v>
      </c>
      <c r="H1110" s="2" t="s">
        <v>4904</v>
      </c>
    </row>
    <row r="1111" spans="1:8" x14ac:dyDescent="0.2">
      <c r="A1111" s="2" t="s">
        <v>7661</v>
      </c>
      <c r="B1111" s="2" t="s">
        <v>6256</v>
      </c>
      <c r="C1111" s="2">
        <v>742.38120000000004</v>
      </c>
      <c r="D1111" s="2">
        <f>HYPERLINK("http://mcb-m6.bioreg.kyushu-u.ac.jp/M3/20110404/F50781/1812/1", 64.48)</f>
        <v>64.48</v>
      </c>
      <c r="E1111" s="2">
        <v>43.63</v>
      </c>
      <c r="F1111" s="2">
        <v>2</v>
      </c>
      <c r="G1111" s="2" t="s">
        <v>10</v>
      </c>
      <c r="H1111" s="2" t="s">
        <v>4904</v>
      </c>
    </row>
    <row r="1112" spans="1:8" x14ac:dyDescent="0.2">
      <c r="A1112" s="2" t="s">
        <v>7661</v>
      </c>
      <c r="B1112" s="2" t="s">
        <v>6256</v>
      </c>
      <c r="C1112" s="2">
        <v>750.90470000000005</v>
      </c>
      <c r="D1112" s="2">
        <f>HYPERLINK("http://mcb-m6.bioreg.kyushu-u.ac.jp/M3/20110404/F50781/1839/1", 67.67)</f>
        <v>67.67</v>
      </c>
      <c r="E1112" s="2">
        <v>32.130000000000003</v>
      </c>
      <c r="F1112" s="2">
        <v>2</v>
      </c>
      <c r="G1112" s="2" t="s">
        <v>10</v>
      </c>
    </row>
    <row r="1113" spans="1:8" x14ac:dyDescent="0.2">
      <c r="A1113" s="2" t="s">
        <v>7661</v>
      </c>
      <c r="B1113" s="2" t="s">
        <v>6256</v>
      </c>
      <c r="C1113" s="2">
        <v>501.14019999999999</v>
      </c>
      <c r="D1113" s="2">
        <f>HYPERLINK("http://mcb-m6.bioreg.kyushu-u.ac.jp/M3/20110421/F51058/1915/1", 50.9)</f>
        <v>50.9</v>
      </c>
      <c r="E1113" s="2">
        <v>25.88</v>
      </c>
      <c r="F1113" s="2">
        <v>3</v>
      </c>
      <c r="G1113" s="2" t="s">
        <v>11</v>
      </c>
    </row>
    <row r="1114" spans="1:8" x14ac:dyDescent="0.2">
      <c r="A1114" s="2" t="s">
        <v>7661</v>
      </c>
      <c r="B1114" s="2" t="s">
        <v>6256</v>
      </c>
      <c r="C1114" s="2">
        <v>742.60670000000005</v>
      </c>
      <c r="D1114" s="2">
        <f>HYPERLINK("http://mcb-m6.bioreg.kyushu-u.ac.jp/M3/20110421/F51058/1875/1", 53.95)</f>
        <v>53.95</v>
      </c>
      <c r="E1114" s="2">
        <v>23.31</v>
      </c>
      <c r="F1114" s="2">
        <v>2</v>
      </c>
      <c r="G1114" s="2" t="s">
        <v>11</v>
      </c>
      <c r="H1114" s="2" t="s">
        <v>4904</v>
      </c>
    </row>
    <row r="1115" spans="1:8" x14ac:dyDescent="0.2">
      <c r="A1115" s="2" t="s">
        <v>7661</v>
      </c>
      <c r="B1115" s="2" t="s">
        <v>6256</v>
      </c>
      <c r="C1115" s="2">
        <v>751.01369999999997</v>
      </c>
      <c r="D1115" s="2">
        <f>HYPERLINK("http://mcb-m6.bioreg.kyushu-u.ac.jp/M3/20110421/F51058/1914/1", 75.45)</f>
        <v>75.45</v>
      </c>
      <c r="E1115" s="2">
        <v>55.57</v>
      </c>
      <c r="F1115" s="2">
        <v>2</v>
      </c>
      <c r="G1115" s="2" t="s">
        <v>11</v>
      </c>
    </row>
    <row r="1116" spans="1:8" x14ac:dyDescent="0.2">
      <c r="A1116" s="2" t="s">
        <v>7661</v>
      </c>
      <c r="B1116" s="2" t="s">
        <v>6256</v>
      </c>
      <c r="C1116" s="2">
        <v>501.1832</v>
      </c>
      <c r="D1116" s="2">
        <f>HYPERLINK("http://mcb-m6.bioreg.kyushu-u.ac.jp/M3/20110421/F51044/2113/1", 36.37)</f>
        <v>36.369999999999997</v>
      </c>
      <c r="E1116" s="2">
        <v>17.96</v>
      </c>
      <c r="F1116" s="2">
        <v>3</v>
      </c>
      <c r="G1116" s="2" t="s">
        <v>12</v>
      </c>
    </row>
    <row r="1117" spans="1:8" x14ac:dyDescent="0.2">
      <c r="A1117" s="2" t="s">
        <v>7661</v>
      </c>
      <c r="B1117" s="2" t="s">
        <v>6256</v>
      </c>
      <c r="C1117" s="2">
        <v>501.01220000000001</v>
      </c>
      <c r="D1117" s="2">
        <f>HYPERLINK("http://mcb-m6.bioreg.kyushu-u.ac.jp/M3/20110421/F51059/1858/1", 51.87)</f>
        <v>51.87</v>
      </c>
      <c r="E1117" s="2">
        <v>35.1</v>
      </c>
      <c r="F1117" s="2">
        <v>3</v>
      </c>
      <c r="G1117" s="2" t="s">
        <v>12</v>
      </c>
    </row>
    <row r="1118" spans="1:8" x14ac:dyDescent="0.2">
      <c r="A1118" s="2" t="s">
        <v>7661</v>
      </c>
      <c r="B1118" s="2" t="s">
        <v>6256</v>
      </c>
      <c r="C1118" s="2">
        <v>742.38670000000002</v>
      </c>
      <c r="D1118" s="2">
        <f>HYPERLINK("http://mcb-m6.bioreg.kyushu-u.ac.jp/M3/20110421/F51044/2063/1", 64.37)</f>
        <v>64.37</v>
      </c>
      <c r="E1118" s="2">
        <v>44.63</v>
      </c>
      <c r="F1118" s="2">
        <v>2</v>
      </c>
      <c r="G1118" s="2" t="s">
        <v>12</v>
      </c>
      <c r="H1118" s="2" t="s">
        <v>4904</v>
      </c>
    </row>
    <row r="1119" spans="1:8" x14ac:dyDescent="0.2">
      <c r="A1119" s="2" t="s">
        <v>7661</v>
      </c>
      <c r="B1119" s="2" t="s">
        <v>6256</v>
      </c>
      <c r="C1119" s="2">
        <v>750.93769999999995</v>
      </c>
      <c r="D1119" s="2">
        <f>HYPERLINK("http://mcb-m6.bioreg.kyushu-u.ac.jp/M3/20110421/F51059/1857/1", 68.95)</f>
        <v>68.95</v>
      </c>
      <c r="E1119" s="2">
        <v>44.49</v>
      </c>
      <c r="F1119" s="2">
        <v>2</v>
      </c>
      <c r="G1119" s="2" t="s">
        <v>12</v>
      </c>
    </row>
    <row r="1120" spans="1:8" x14ac:dyDescent="0.2">
      <c r="A1120" s="2" t="s">
        <v>7661</v>
      </c>
      <c r="B1120" s="2" t="s">
        <v>6256</v>
      </c>
      <c r="C1120" s="2">
        <v>750.67110000000002</v>
      </c>
      <c r="D1120" s="2">
        <f>HYPERLINK("http://mcb-m6.bioreg.kyushu-u.ac.jp/M3/20110428/F51131/1852/1", 57.3)</f>
        <v>57.3</v>
      </c>
      <c r="E1120" s="2">
        <v>36.659999999999997</v>
      </c>
      <c r="F1120" s="2">
        <v>2</v>
      </c>
      <c r="G1120" s="2" t="s">
        <v>13</v>
      </c>
    </row>
    <row r="1121" spans="1:9" x14ac:dyDescent="0.2">
      <c r="A1121" s="2" t="s">
        <v>7661</v>
      </c>
      <c r="B1121" s="2" t="s">
        <v>6256</v>
      </c>
      <c r="C1121" s="2">
        <v>742.17269999999996</v>
      </c>
      <c r="D1121" s="2">
        <f>HYPERLINK("http://mcb-m6.bioreg.kyushu-u.ac.jp/M3/20110428/F51131/1810/1", 65.21)</f>
        <v>65.209999999999994</v>
      </c>
      <c r="E1121" s="2">
        <v>46.82</v>
      </c>
      <c r="F1121" s="2">
        <v>2</v>
      </c>
      <c r="G1121" s="2" t="s">
        <v>13</v>
      </c>
      <c r="H1121" s="2" t="s">
        <v>4904</v>
      </c>
    </row>
    <row r="1122" spans="1:9" x14ac:dyDescent="0.2">
      <c r="A1122" s="2" t="s">
        <v>7661</v>
      </c>
      <c r="B1122" s="2" t="s">
        <v>6256</v>
      </c>
      <c r="C1122" s="2">
        <v>750.9366</v>
      </c>
      <c r="D1122" s="2">
        <f>HYPERLINK("http://mcb-m6.bioreg.kyushu-u.ac.jp/M3/20110428/F51135/1886/1", 54.17)</f>
        <v>54.17</v>
      </c>
      <c r="E1122" s="2">
        <v>40.15</v>
      </c>
      <c r="F1122" s="2">
        <v>2</v>
      </c>
      <c r="G1122" s="2" t="s">
        <v>14</v>
      </c>
    </row>
    <row r="1123" spans="1:9" x14ac:dyDescent="0.2">
      <c r="A1123" s="2" t="s">
        <v>7661</v>
      </c>
      <c r="B1123" s="2" t="s">
        <v>6256</v>
      </c>
      <c r="C1123" s="2">
        <v>742.47170000000006</v>
      </c>
      <c r="D1123" s="2">
        <f>HYPERLINK("http://mcb-m6.bioreg.kyushu-u.ac.jp/M3/20110428/F51135/1850/1", 63.45)</f>
        <v>63.45</v>
      </c>
      <c r="E1123" s="2">
        <v>41.83</v>
      </c>
      <c r="F1123" s="2">
        <v>2</v>
      </c>
      <c r="G1123" s="2" t="s">
        <v>14</v>
      </c>
      <c r="H1123" s="2" t="s">
        <v>4904</v>
      </c>
    </row>
    <row r="1124" spans="1:9" x14ac:dyDescent="0.2">
      <c r="A1124" s="2" t="s">
        <v>7661</v>
      </c>
      <c r="B1124" s="2" t="s">
        <v>6256</v>
      </c>
      <c r="C1124" s="2">
        <v>742.24720000000002</v>
      </c>
      <c r="D1124" s="2">
        <f>HYPERLINK("http://mcb-m6.bioreg.kyushu-u.ac.jp/M3/20110427/F51123/2041/1", 66.13)</f>
        <v>66.13</v>
      </c>
      <c r="E1124" s="2">
        <v>39.28</v>
      </c>
      <c r="F1124" s="2">
        <v>2</v>
      </c>
      <c r="G1124" s="2" t="s">
        <v>14</v>
      </c>
      <c r="H1124" s="2" t="s">
        <v>4904</v>
      </c>
    </row>
    <row r="1125" spans="1:9" x14ac:dyDescent="0.2">
      <c r="A1125" s="2" t="s">
        <v>8121</v>
      </c>
      <c r="B1125" s="2" t="s">
        <v>7485</v>
      </c>
      <c r="C1125" s="2">
        <v>453.14460000000003</v>
      </c>
      <c r="D1125" s="2">
        <f>HYPERLINK("http://mcb-m6.bioreg.kyushu-u.ac.jp/M3/20110427/F51123/846/1", 44.73)</f>
        <v>44.73</v>
      </c>
      <c r="E1125" s="2">
        <v>10.32</v>
      </c>
      <c r="F1125" s="2">
        <v>2</v>
      </c>
      <c r="G1125" s="2" t="s">
        <v>14</v>
      </c>
      <c r="I1125" s="2" t="s">
        <v>4893</v>
      </c>
    </row>
    <row r="1126" spans="1:9" x14ac:dyDescent="0.2">
      <c r="A1126" s="2" t="s">
        <v>3745</v>
      </c>
      <c r="B1126" s="2" t="s">
        <v>751</v>
      </c>
      <c r="C1126" s="2">
        <v>1067.4849999999999</v>
      </c>
      <c r="D1126" s="2">
        <f>HYPERLINK("http://mcb-m6.bioreg.kyushu-u.ac.jp/M3/20110404/F50756/4094/1", 37.49)</f>
        <v>37.49</v>
      </c>
      <c r="E1126" s="2">
        <v>29.96</v>
      </c>
      <c r="F1126" s="2">
        <v>3</v>
      </c>
      <c r="G1126" s="2" t="s">
        <v>9</v>
      </c>
      <c r="H1126" s="2" t="s">
        <v>4910</v>
      </c>
    </row>
    <row r="1127" spans="1:9" x14ac:dyDescent="0.2">
      <c r="A1127" s="2" t="s">
        <v>3745</v>
      </c>
      <c r="B1127" s="2" t="s">
        <v>751</v>
      </c>
      <c r="C1127" s="2">
        <v>1062.1389999999999</v>
      </c>
      <c r="D1127" s="2">
        <f>HYPERLINK("http://mcb-m6.bioreg.kyushu-u.ac.jp/M3/20110404/F50766/4776/1", 79.45)</f>
        <v>79.45</v>
      </c>
      <c r="E1127" s="2">
        <v>68.930000000000007</v>
      </c>
      <c r="F1127" s="2">
        <v>3</v>
      </c>
      <c r="G1127" s="2" t="s">
        <v>9</v>
      </c>
    </row>
    <row r="1128" spans="1:9" x14ac:dyDescent="0.2">
      <c r="A1128" s="2" t="s">
        <v>3745</v>
      </c>
      <c r="B1128" s="2" t="s">
        <v>751</v>
      </c>
      <c r="C1128" s="2">
        <v>1067.211</v>
      </c>
      <c r="D1128" s="2">
        <f>HYPERLINK("http://mcb-m6.bioreg.kyushu-u.ac.jp/M3/20110404/F50776/3356/1", 93.29)</f>
        <v>93.29</v>
      </c>
      <c r="E1128" s="2">
        <v>79.88</v>
      </c>
      <c r="F1128" s="2">
        <v>3</v>
      </c>
      <c r="G1128" s="2" t="s">
        <v>9</v>
      </c>
      <c r="H1128" s="2" t="s">
        <v>4910</v>
      </c>
    </row>
    <row r="1129" spans="1:9" x14ac:dyDescent="0.2">
      <c r="A1129" s="2" t="s">
        <v>3745</v>
      </c>
      <c r="B1129" s="2" t="s">
        <v>751</v>
      </c>
      <c r="C1129" s="2">
        <v>1062.2449999999999</v>
      </c>
      <c r="D1129" s="2">
        <f>HYPERLINK("http://mcb-m6.bioreg.kyushu-u.ac.jp/M3/20110404/F50776/3349/1", 96.21)</f>
        <v>96.21</v>
      </c>
      <c r="E1129" s="2">
        <v>85.85</v>
      </c>
      <c r="F1129" s="2">
        <v>3</v>
      </c>
      <c r="G1129" s="2" t="s">
        <v>9</v>
      </c>
    </row>
    <row r="1130" spans="1:9" x14ac:dyDescent="0.2">
      <c r="A1130" s="2" t="s">
        <v>3745</v>
      </c>
      <c r="B1130" s="2" t="s">
        <v>751</v>
      </c>
      <c r="C1130" s="2">
        <v>1062.1289999999999</v>
      </c>
      <c r="D1130" s="2">
        <f>HYPERLINK("http://mcb-m6.bioreg.kyushu-u.ac.jp/M3/20110404/F50776/3348/1", 102.27)</f>
        <v>102.27</v>
      </c>
      <c r="E1130" s="2">
        <v>89.81</v>
      </c>
      <c r="F1130" s="2">
        <v>3</v>
      </c>
      <c r="G1130" s="2" t="s">
        <v>9</v>
      </c>
    </row>
    <row r="1131" spans="1:9" x14ac:dyDescent="0.2">
      <c r="A1131" s="2" t="s">
        <v>3745</v>
      </c>
      <c r="B1131" s="2" t="s">
        <v>751</v>
      </c>
      <c r="C1131" s="2">
        <v>1061.8309999999999</v>
      </c>
      <c r="D1131" s="2">
        <f>HYPERLINK("http://mcb-m6.bioreg.kyushu-u.ac.jp/M3/20110404/F50776/3347/1", 105.04)</f>
        <v>105.04</v>
      </c>
      <c r="E1131" s="2">
        <v>93.78</v>
      </c>
      <c r="F1131" s="2">
        <v>3</v>
      </c>
      <c r="G1131" s="2" t="s">
        <v>9</v>
      </c>
    </row>
    <row r="1132" spans="1:9" x14ac:dyDescent="0.2">
      <c r="A1132" s="2" t="s">
        <v>3745</v>
      </c>
      <c r="B1132" s="2" t="s">
        <v>751</v>
      </c>
      <c r="C1132" s="2">
        <v>1067.385</v>
      </c>
      <c r="D1132" s="2">
        <f>HYPERLINK("http://mcb-m6.bioreg.kyushu-u.ac.jp/M3/20110404/F50781/3166/1", 38.76)</f>
        <v>38.76</v>
      </c>
      <c r="E1132" s="2">
        <v>31.63</v>
      </c>
      <c r="F1132" s="2">
        <v>3</v>
      </c>
      <c r="G1132" s="2" t="s">
        <v>10</v>
      </c>
      <c r="H1132" s="2" t="s">
        <v>4910</v>
      </c>
    </row>
    <row r="1133" spans="1:9" x14ac:dyDescent="0.2">
      <c r="A1133" s="2" t="s">
        <v>3745</v>
      </c>
      <c r="B1133" s="2" t="s">
        <v>751</v>
      </c>
      <c r="C1133" s="2">
        <v>1067.4290000000001</v>
      </c>
      <c r="D1133" s="2">
        <f>HYPERLINK("http://mcb-m6.bioreg.kyushu-u.ac.jp/M3/20110404/F50761/3864/1", 66.39)</f>
        <v>66.39</v>
      </c>
      <c r="E1133" s="2">
        <v>59.29</v>
      </c>
      <c r="F1133" s="2">
        <v>3</v>
      </c>
      <c r="G1133" s="2" t="s">
        <v>10</v>
      </c>
      <c r="H1133" s="2" t="s">
        <v>4910</v>
      </c>
    </row>
    <row r="1134" spans="1:9" x14ac:dyDescent="0.2">
      <c r="A1134" s="2" t="s">
        <v>3745</v>
      </c>
      <c r="B1134" s="2" t="s">
        <v>751</v>
      </c>
      <c r="C1134" s="2">
        <v>1062.0509999999999</v>
      </c>
      <c r="D1134" s="2">
        <f>HYPERLINK("http://mcb-m6.bioreg.kyushu-u.ac.jp/M3/20110404/F50761/3861/1", 71.17)</f>
        <v>71.17</v>
      </c>
      <c r="E1134" s="2">
        <v>63.08</v>
      </c>
      <c r="F1134" s="2">
        <v>3</v>
      </c>
      <c r="G1134" s="2" t="s">
        <v>10</v>
      </c>
    </row>
    <row r="1135" spans="1:9" x14ac:dyDescent="0.2">
      <c r="A1135" s="2" t="s">
        <v>3745</v>
      </c>
      <c r="B1135" s="2" t="s">
        <v>751</v>
      </c>
      <c r="C1135" s="2">
        <v>1062.27</v>
      </c>
      <c r="D1135" s="2">
        <f>HYPERLINK("http://mcb-m6.bioreg.kyushu-u.ac.jp/M3/20110404/F50781/3161/1", 76.25)</f>
        <v>76.25</v>
      </c>
      <c r="E1135" s="2">
        <v>63.88</v>
      </c>
      <c r="F1135" s="2">
        <v>3</v>
      </c>
      <c r="G1135" s="2" t="s">
        <v>10</v>
      </c>
    </row>
    <row r="1136" spans="1:9" x14ac:dyDescent="0.2">
      <c r="A1136" s="2" t="s">
        <v>3745</v>
      </c>
      <c r="B1136" s="2" t="s">
        <v>751</v>
      </c>
      <c r="C1136" s="2">
        <v>1067.384</v>
      </c>
      <c r="D1136" s="2">
        <f>HYPERLINK("http://mcb-m6.bioreg.kyushu-u.ac.jp/M3/20110404/F50782/4110/1", 80.25)</f>
        <v>80.25</v>
      </c>
      <c r="E1136" s="2">
        <v>74.12</v>
      </c>
      <c r="F1136" s="2">
        <v>3</v>
      </c>
      <c r="G1136" s="2" t="s">
        <v>10</v>
      </c>
      <c r="H1136" s="2" t="s">
        <v>4910</v>
      </c>
    </row>
    <row r="1137" spans="1:8" x14ac:dyDescent="0.2">
      <c r="A1137" s="2" t="s">
        <v>3745</v>
      </c>
      <c r="B1137" s="2" t="s">
        <v>751</v>
      </c>
      <c r="C1137" s="2">
        <v>1067.203</v>
      </c>
      <c r="D1137" s="2">
        <f>HYPERLINK("http://mcb-m6.bioreg.kyushu-u.ac.jp/M3/20110404/F50781/3165/1", 81.04)</f>
        <v>81.040000000000006</v>
      </c>
      <c r="E1137" s="2">
        <v>67.67</v>
      </c>
      <c r="F1137" s="2">
        <v>3</v>
      </c>
      <c r="G1137" s="2" t="s">
        <v>10</v>
      </c>
      <c r="H1137" s="2" t="s">
        <v>4910</v>
      </c>
    </row>
    <row r="1138" spans="1:8" x14ac:dyDescent="0.2">
      <c r="A1138" s="2" t="s">
        <v>3745</v>
      </c>
      <c r="B1138" s="2" t="s">
        <v>751</v>
      </c>
      <c r="C1138" s="2">
        <v>1062.0909999999999</v>
      </c>
      <c r="D1138" s="2">
        <f>HYPERLINK("http://mcb-m6.bioreg.kyushu-u.ac.jp/M3/20110404/F50782/4107/1", 81.62)</f>
        <v>81.62</v>
      </c>
      <c r="E1138" s="2">
        <v>72.89</v>
      </c>
      <c r="F1138" s="2">
        <v>3</v>
      </c>
      <c r="G1138" s="2" t="s">
        <v>10</v>
      </c>
    </row>
    <row r="1139" spans="1:8" x14ac:dyDescent="0.2">
      <c r="A1139" s="2" t="s">
        <v>3745</v>
      </c>
      <c r="B1139" s="2" t="s">
        <v>751</v>
      </c>
      <c r="C1139" s="2">
        <v>1062.1479999999999</v>
      </c>
      <c r="D1139" s="2">
        <f>HYPERLINK("http://mcb-m6.bioreg.kyushu-u.ac.jp/M3/20110404/F50781/3160/1", 89.9)</f>
        <v>89.9</v>
      </c>
      <c r="E1139" s="2">
        <v>78.62</v>
      </c>
      <c r="F1139" s="2">
        <v>3</v>
      </c>
      <c r="G1139" s="2" t="s">
        <v>10</v>
      </c>
    </row>
    <row r="1140" spans="1:8" x14ac:dyDescent="0.2">
      <c r="A1140" s="2" t="s">
        <v>3745</v>
      </c>
      <c r="B1140" s="2" t="s">
        <v>751</v>
      </c>
      <c r="C1140" s="2">
        <v>1061.5719999999999</v>
      </c>
      <c r="D1140" s="2">
        <f>HYPERLINK("http://mcb-m6.bioreg.kyushu-u.ac.jp/M3/20110404/F50782/4106/1", 99.27)</f>
        <v>99.27</v>
      </c>
      <c r="E1140" s="2">
        <v>88.44</v>
      </c>
      <c r="F1140" s="2">
        <v>3</v>
      </c>
      <c r="G1140" s="2" t="s">
        <v>10</v>
      </c>
    </row>
    <row r="1141" spans="1:8" x14ac:dyDescent="0.2">
      <c r="A1141" s="2" t="s">
        <v>3745</v>
      </c>
      <c r="B1141" s="2" t="s">
        <v>751</v>
      </c>
      <c r="C1141" s="2">
        <v>1062.07</v>
      </c>
      <c r="D1141" s="2">
        <f>HYPERLINK("http://mcb-m6.bioreg.kyushu-u.ac.jp/M3/20110404/F50781/3159/1", 108.62)</f>
        <v>108.62</v>
      </c>
      <c r="E1141" s="2">
        <v>87.59</v>
      </c>
      <c r="F1141" s="2">
        <v>3</v>
      </c>
      <c r="G1141" s="2" t="s">
        <v>10</v>
      </c>
    </row>
    <row r="1142" spans="1:8" x14ac:dyDescent="0.2">
      <c r="A1142" s="2" t="s">
        <v>3745</v>
      </c>
      <c r="B1142" s="2" t="s">
        <v>751</v>
      </c>
      <c r="C1142" s="2">
        <v>1061.912</v>
      </c>
      <c r="D1142" s="2">
        <f>HYPERLINK("http://mcb-m6.bioreg.kyushu-u.ac.jp/M3/20110421/F51059/3952/1", 64.19)</f>
        <v>64.19</v>
      </c>
      <c r="E1142" s="2">
        <v>57.62</v>
      </c>
      <c r="F1142" s="2">
        <v>3</v>
      </c>
      <c r="G1142" s="2" t="s">
        <v>12</v>
      </c>
    </row>
    <row r="1143" spans="1:8" x14ac:dyDescent="0.2">
      <c r="A1143" s="2" t="s">
        <v>3745</v>
      </c>
      <c r="B1143" s="2" t="s">
        <v>751</v>
      </c>
      <c r="C1143" s="2">
        <v>1062.2760000000001</v>
      </c>
      <c r="D1143" s="2">
        <f>HYPERLINK("http://mcb-m6.bioreg.kyushu-u.ac.jp/M3/20110428/F51131/3886/1", 80.43)</f>
        <v>80.430000000000007</v>
      </c>
      <c r="E1143" s="2">
        <v>72.319999999999993</v>
      </c>
      <c r="F1143" s="2">
        <v>3</v>
      </c>
      <c r="G1143" s="2" t="s">
        <v>13</v>
      </c>
    </row>
    <row r="1144" spans="1:8" x14ac:dyDescent="0.2">
      <c r="A1144" s="2" t="s">
        <v>3745</v>
      </c>
      <c r="B1144" s="2" t="s">
        <v>751</v>
      </c>
      <c r="C1144" s="2">
        <v>1062.002</v>
      </c>
      <c r="D1144" s="2">
        <f>HYPERLINK("http://mcb-m6.bioreg.kyushu-u.ac.jp/M3/20110428/F51131/3885/1", 81.83)</f>
        <v>81.83</v>
      </c>
      <c r="E1144" s="2">
        <v>68.260000000000005</v>
      </c>
      <c r="F1144" s="2">
        <v>3</v>
      </c>
      <c r="G1144" s="2" t="s">
        <v>13</v>
      </c>
    </row>
    <row r="1145" spans="1:8" x14ac:dyDescent="0.2">
      <c r="A1145" s="2" t="s">
        <v>3745</v>
      </c>
      <c r="B1145" s="2" t="s">
        <v>751</v>
      </c>
      <c r="C1145" s="2">
        <v>1067.1869999999999</v>
      </c>
      <c r="D1145" s="2">
        <f>HYPERLINK("http://mcb-m6.bioreg.kyushu-u.ac.jp/M3/20110428/F51131/3892/1", 91.48)</f>
        <v>91.48</v>
      </c>
      <c r="E1145" s="2">
        <v>83.29</v>
      </c>
      <c r="F1145" s="2">
        <v>3</v>
      </c>
      <c r="G1145" s="2" t="s">
        <v>13</v>
      </c>
      <c r="H1145" s="2" t="s">
        <v>4910</v>
      </c>
    </row>
    <row r="1146" spans="1:8" x14ac:dyDescent="0.2">
      <c r="A1146" s="2" t="s">
        <v>3745</v>
      </c>
      <c r="B1146" s="2" t="s">
        <v>751</v>
      </c>
      <c r="C1146" s="2">
        <v>1061.818</v>
      </c>
      <c r="D1146" s="2">
        <f>HYPERLINK("http://mcb-m6.bioreg.kyushu-u.ac.jp/M3/20110428/F51131/3884/1", 92.72)</f>
        <v>92.72</v>
      </c>
      <c r="E1146" s="2">
        <v>84.01</v>
      </c>
      <c r="F1146" s="2">
        <v>3</v>
      </c>
      <c r="G1146" s="2" t="s">
        <v>13</v>
      </c>
    </row>
    <row r="1147" spans="1:8" x14ac:dyDescent="0.2">
      <c r="A1147" s="2" t="s">
        <v>3745</v>
      </c>
      <c r="B1147" s="2" t="s">
        <v>751</v>
      </c>
      <c r="C1147" s="2">
        <v>1061.57</v>
      </c>
      <c r="D1147" s="2">
        <f>HYPERLINK("http://mcb-m6.bioreg.kyushu-u.ac.jp/M3/20110428/F51131/3883/1", 100.4)</f>
        <v>100.4</v>
      </c>
      <c r="E1147" s="2">
        <v>92.79</v>
      </c>
      <c r="F1147" s="2">
        <v>3</v>
      </c>
      <c r="G1147" s="2" t="s">
        <v>13</v>
      </c>
    </row>
    <row r="1148" spans="1:8" x14ac:dyDescent="0.2">
      <c r="A1148" s="2" t="s">
        <v>3745</v>
      </c>
      <c r="B1148" s="2" t="s">
        <v>751</v>
      </c>
      <c r="C1148" s="2">
        <v>1062.2470000000001</v>
      </c>
      <c r="D1148" s="2">
        <f>HYPERLINK("http://mcb-m6.bioreg.kyushu-u.ac.jp/M3/20110428/F51128/3890/1", 63.47)</f>
        <v>63.47</v>
      </c>
      <c r="E1148" s="2">
        <v>58.98</v>
      </c>
      <c r="F1148" s="2">
        <v>3</v>
      </c>
      <c r="G1148" s="2" t="s">
        <v>14</v>
      </c>
    </row>
    <row r="1149" spans="1:8" x14ac:dyDescent="0.2">
      <c r="A1149" s="2" t="s">
        <v>3745</v>
      </c>
      <c r="B1149" s="2" t="s">
        <v>751</v>
      </c>
      <c r="C1149" s="2">
        <v>1062.1690000000001</v>
      </c>
      <c r="D1149" s="2">
        <f>HYPERLINK("http://mcb-m6.bioreg.kyushu-u.ac.jp/M3/20110427/F51123/3903/1", 80.77)</f>
        <v>80.77</v>
      </c>
      <c r="E1149" s="2">
        <v>73.87</v>
      </c>
      <c r="F1149" s="2">
        <v>3</v>
      </c>
      <c r="G1149" s="2" t="s">
        <v>14</v>
      </c>
    </row>
    <row r="1150" spans="1:8" x14ac:dyDescent="0.2">
      <c r="A1150" s="2" t="s">
        <v>3745</v>
      </c>
      <c r="B1150" s="2" t="s">
        <v>751</v>
      </c>
      <c r="C1150" s="2">
        <v>1062.018</v>
      </c>
      <c r="D1150" s="2">
        <f>HYPERLINK("http://mcb-m6.bioreg.kyushu-u.ac.jp/M3/20110428/F51135/3365/1", 85.43)</f>
        <v>85.43</v>
      </c>
      <c r="E1150" s="2">
        <v>74.95</v>
      </c>
      <c r="F1150" s="2">
        <v>3</v>
      </c>
      <c r="G1150" s="2" t="s">
        <v>14</v>
      </c>
    </row>
    <row r="1151" spans="1:8" x14ac:dyDescent="0.2">
      <c r="A1151" s="2" t="s">
        <v>3737</v>
      </c>
      <c r="B1151" s="2" t="s">
        <v>739</v>
      </c>
      <c r="C1151" s="2">
        <v>1132.26</v>
      </c>
      <c r="D1151" s="2">
        <f>HYPERLINK("http://mcb-m6.bioreg.kyushu-u.ac.jp/M3/20110404/F50753/1384/1", 36.64)</f>
        <v>36.64</v>
      </c>
      <c r="E1151" s="2">
        <v>22.7</v>
      </c>
      <c r="F1151" s="2">
        <v>1</v>
      </c>
      <c r="G1151" s="2" t="s">
        <v>9</v>
      </c>
    </row>
    <row r="1152" spans="1:8" x14ac:dyDescent="0.2">
      <c r="A1152" s="2" t="s">
        <v>3737</v>
      </c>
      <c r="B1152" s="2" t="s">
        <v>739</v>
      </c>
      <c r="C1152" s="2">
        <v>1132.5730000000001</v>
      </c>
      <c r="D1152" s="2">
        <f>HYPERLINK("http://mcb-m6.bioreg.kyushu-u.ac.jp/M3/20110404/F50776/1191/1", 36.89)</f>
        <v>36.89</v>
      </c>
      <c r="E1152" s="2">
        <v>22.55</v>
      </c>
      <c r="F1152" s="2">
        <v>1</v>
      </c>
      <c r="G1152" s="2" t="s">
        <v>9</v>
      </c>
    </row>
    <row r="1153" spans="1:9" x14ac:dyDescent="0.2">
      <c r="A1153" s="2" t="s">
        <v>3737</v>
      </c>
      <c r="B1153" s="2" t="s">
        <v>1681</v>
      </c>
      <c r="C1153" s="2">
        <v>1283.4490000000001</v>
      </c>
      <c r="D1153" s="2">
        <f>HYPERLINK("http://mcb-m6.bioreg.kyushu-u.ac.jp/M3/20110404/F50776/3052/1", 59.74)</f>
        <v>59.74</v>
      </c>
      <c r="E1153" s="2">
        <v>51.92</v>
      </c>
      <c r="F1153" s="2">
        <v>2</v>
      </c>
      <c r="G1153" s="2" t="s">
        <v>9</v>
      </c>
      <c r="H1153" s="2" t="s">
        <v>4925</v>
      </c>
      <c r="I1153" s="2" t="s">
        <v>4890</v>
      </c>
    </row>
    <row r="1154" spans="1:9" x14ac:dyDescent="0.2">
      <c r="A1154" s="2" t="s">
        <v>3737</v>
      </c>
      <c r="B1154" s="2" t="s">
        <v>739</v>
      </c>
      <c r="C1154" s="2">
        <v>567.2491</v>
      </c>
      <c r="D1154" s="2">
        <f>HYPERLINK("http://mcb-m6.bioreg.kyushu-u.ac.jp/M3/20110404/F50776/1193/1", 61.92)</f>
        <v>61.92</v>
      </c>
      <c r="E1154" s="2">
        <v>43.06</v>
      </c>
      <c r="F1154" s="2">
        <v>2</v>
      </c>
      <c r="G1154" s="2" t="s">
        <v>9</v>
      </c>
    </row>
    <row r="1155" spans="1:9" x14ac:dyDescent="0.2">
      <c r="A1155" s="2" t="s">
        <v>3737</v>
      </c>
      <c r="B1155" s="2" t="s">
        <v>739</v>
      </c>
      <c r="C1155" s="2">
        <v>566.67470000000003</v>
      </c>
      <c r="D1155" s="2">
        <f>HYPERLINK("http://mcb-m6.bioreg.kyushu-u.ac.jp/M3/20110404/F50764/1186/1", 64.3)</f>
        <v>64.3</v>
      </c>
      <c r="E1155" s="2">
        <v>37.380000000000003</v>
      </c>
      <c r="F1155" s="2">
        <v>2</v>
      </c>
      <c r="G1155" s="2" t="s">
        <v>9</v>
      </c>
    </row>
    <row r="1156" spans="1:9" x14ac:dyDescent="0.2">
      <c r="A1156" s="2" t="s">
        <v>3737</v>
      </c>
      <c r="B1156" s="2" t="s">
        <v>739</v>
      </c>
      <c r="C1156" s="2">
        <v>567.27970000000005</v>
      </c>
      <c r="D1156" s="2">
        <f>HYPERLINK("http://mcb-m6.bioreg.kyushu-u.ac.jp/M3/20110404/F50763/1277/1", 65.23)</f>
        <v>65.23</v>
      </c>
      <c r="E1156" s="2">
        <v>41.85</v>
      </c>
      <c r="F1156" s="2">
        <v>2</v>
      </c>
      <c r="G1156" s="2" t="s">
        <v>9</v>
      </c>
    </row>
    <row r="1157" spans="1:9" x14ac:dyDescent="0.2">
      <c r="A1157" s="2" t="s">
        <v>3737</v>
      </c>
      <c r="B1157" s="2" t="s">
        <v>739</v>
      </c>
      <c r="C1157" s="2">
        <v>566.75319999999999</v>
      </c>
      <c r="D1157" s="2">
        <f>HYPERLINK("http://mcb-m6.bioreg.kyushu-u.ac.jp/M3/20110404/F50776/1189/1", 71.13)</f>
        <v>71.13</v>
      </c>
      <c r="E1157" s="2">
        <v>44.34</v>
      </c>
      <c r="F1157" s="2">
        <v>2</v>
      </c>
      <c r="G1157" s="2" t="s">
        <v>9</v>
      </c>
    </row>
    <row r="1158" spans="1:9" x14ac:dyDescent="0.2">
      <c r="A1158" s="2" t="s">
        <v>3737</v>
      </c>
      <c r="B1158" s="2" t="s">
        <v>739</v>
      </c>
      <c r="C1158" s="2">
        <v>566.66560000000004</v>
      </c>
      <c r="D1158" s="2">
        <f>HYPERLINK("http://mcb-m6.bioreg.kyushu-u.ac.jp/M3/20110404/F50767/958/1", 71.46)</f>
        <v>71.459999999999994</v>
      </c>
      <c r="E1158" s="2">
        <v>47.67</v>
      </c>
      <c r="F1158" s="2">
        <v>2</v>
      </c>
      <c r="G1158" s="2" t="s">
        <v>9</v>
      </c>
    </row>
    <row r="1159" spans="1:9" x14ac:dyDescent="0.2">
      <c r="A1159" s="2" t="s">
        <v>3737</v>
      </c>
      <c r="B1159" s="2" t="s">
        <v>739</v>
      </c>
      <c r="C1159" s="2">
        <v>566.51760000000002</v>
      </c>
      <c r="D1159" s="2">
        <f>HYPERLINK("http://mcb-m6.bioreg.kyushu-u.ac.jp/M3/20110404/F50753/1383/1", 72.67)</f>
        <v>72.67</v>
      </c>
      <c r="E1159" s="2">
        <v>49.07</v>
      </c>
      <c r="F1159" s="2">
        <v>2</v>
      </c>
      <c r="G1159" s="2" t="s">
        <v>9</v>
      </c>
    </row>
    <row r="1160" spans="1:9" x14ac:dyDescent="0.2">
      <c r="A1160" s="2" t="s">
        <v>3737</v>
      </c>
      <c r="B1160" s="2" t="s">
        <v>1681</v>
      </c>
      <c r="C1160" s="2">
        <v>856.41989999999998</v>
      </c>
      <c r="D1160" s="2">
        <f>HYPERLINK("http://mcb-m6.bioreg.kyushu-u.ac.jp/M3/20110404/F50776/3054/1", 72.98)</f>
        <v>72.98</v>
      </c>
      <c r="E1160" s="2">
        <v>58.01</v>
      </c>
      <c r="F1160" s="2">
        <v>3</v>
      </c>
      <c r="G1160" s="2" t="s">
        <v>9</v>
      </c>
      <c r="H1160" s="2" t="s">
        <v>4925</v>
      </c>
      <c r="I1160" s="2" t="s">
        <v>4890</v>
      </c>
    </row>
    <row r="1161" spans="1:9" x14ac:dyDescent="0.2">
      <c r="A1161" s="2" t="s">
        <v>3737</v>
      </c>
      <c r="B1161" s="2" t="s">
        <v>739</v>
      </c>
      <c r="C1161" s="2">
        <v>566.71010000000001</v>
      </c>
      <c r="D1161" s="2">
        <f>HYPERLINK("http://mcb-m6.bioreg.kyushu-u.ac.jp/M3/20110404/F50756/1211/1", 75.23)</f>
        <v>75.23</v>
      </c>
      <c r="E1161" s="2">
        <v>51.72</v>
      </c>
      <c r="F1161" s="2">
        <v>2</v>
      </c>
      <c r="G1161" s="2" t="s">
        <v>9</v>
      </c>
    </row>
    <row r="1162" spans="1:9" x14ac:dyDescent="0.2">
      <c r="A1162" s="2" t="s">
        <v>3737</v>
      </c>
      <c r="B1162" s="2" t="s">
        <v>739</v>
      </c>
      <c r="C1162" s="2">
        <v>566.66560000000004</v>
      </c>
      <c r="D1162" s="2">
        <f>HYPERLINK("http://mcb-m6.bioreg.kyushu-u.ac.jp/M3/20110404/F50754/1517/1", 75.35)</f>
        <v>75.349999999999994</v>
      </c>
      <c r="E1162" s="2">
        <v>46.98</v>
      </c>
      <c r="F1162" s="2">
        <v>2</v>
      </c>
      <c r="G1162" s="2" t="s">
        <v>9</v>
      </c>
    </row>
    <row r="1163" spans="1:9" x14ac:dyDescent="0.2">
      <c r="A1163" s="2" t="s">
        <v>3737</v>
      </c>
      <c r="B1163" s="2" t="s">
        <v>739</v>
      </c>
      <c r="C1163" s="2">
        <v>566.65809999999999</v>
      </c>
      <c r="D1163" s="2">
        <f>HYPERLINK("http://mcb-m6.bioreg.kyushu-u.ac.jp/M3/20110404/F50765/1149/1", 89.37)</f>
        <v>89.37</v>
      </c>
      <c r="E1163" s="2">
        <v>65.319999999999993</v>
      </c>
      <c r="F1163" s="2">
        <v>2</v>
      </c>
      <c r="G1163" s="2" t="s">
        <v>9</v>
      </c>
    </row>
    <row r="1164" spans="1:9" x14ac:dyDescent="0.2">
      <c r="A1164" s="2" t="s">
        <v>3737</v>
      </c>
      <c r="B1164" s="2" t="s">
        <v>1681</v>
      </c>
      <c r="C1164" s="2">
        <v>1276.143</v>
      </c>
      <c r="D1164" s="2">
        <f>HYPERLINK("http://mcb-m6.bioreg.kyushu-u.ac.jp/M3/20110404/F50776/3043/1", 137.63)</f>
        <v>137.63</v>
      </c>
      <c r="E1164" s="2">
        <v>96.3</v>
      </c>
      <c r="F1164" s="2">
        <v>2</v>
      </c>
      <c r="G1164" s="2" t="s">
        <v>9</v>
      </c>
      <c r="I1164" s="2" t="s">
        <v>4890</v>
      </c>
    </row>
    <row r="1165" spans="1:9" x14ac:dyDescent="0.2">
      <c r="A1165" s="2" t="s">
        <v>3737</v>
      </c>
      <c r="B1165" s="2" t="s">
        <v>1681</v>
      </c>
      <c r="C1165" s="2">
        <v>1283.9839999999999</v>
      </c>
      <c r="D1165" s="2">
        <f>HYPERLINK("http://mcb-m6.bioreg.kyushu-u.ac.jp/M3/20110404/F50776/3053/1", 144.6)</f>
        <v>144.6</v>
      </c>
      <c r="E1165" s="2">
        <v>136.91999999999999</v>
      </c>
      <c r="F1165" s="2">
        <v>2</v>
      </c>
      <c r="G1165" s="2" t="s">
        <v>9</v>
      </c>
      <c r="H1165" s="2" t="s">
        <v>4925</v>
      </c>
      <c r="I1165" s="2" t="s">
        <v>4890</v>
      </c>
    </row>
    <row r="1166" spans="1:9" x14ac:dyDescent="0.2">
      <c r="A1166" s="2" t="s">
        <v>3737</v>
      </c>
      <c r="B1166" s="2" t="s">
        <v>739</v>
      </c>
      <c r="C1166" s="2">
        <v>1132.5619999999999</v>
      </c>
      <c r="D1166" s="2">
        <f>HYPERLINK("http://mcb-m6.bioreg.kyushu-u.ac.jp/M3/20110404/F50773/1147/1", 35.59)</f>
        <v>35.590000000000003</v>
      </c>
      <c r="E1166" s="2">
        <v>21.7</v>
      </c>
      <c r="F1166" s="2">
        <v>1</v>
      </c>
      <c r="G1166" s="2" t="s">
        <v>10</v>
      </c>
    </row>
    <row r="1167" spans="1:9" x14ac:dyDescent="0.2">
      <c r="A1167" s="2" t="s">
        <v>3737</v>
      </c>
      <c r="B1167" s="2" t="s">
        <v>739</v>
      </c>
      <c r="C1167" s="2">
        <v>566.60360000000003</v>
      </c>
      <c r="D1167" s="2">
        <f>HYPERLINK("http://mcb-m6.bioreg.kyushu-u.ac.jp/M3/20110404/F50758/1361/1", 67.52)</f>
        <v>67.52</v>
      </c>
      <c r="E1167" s="2">
        <v>43.06</v>
      </c>
      <c r="F1167" s="2">
        <v>2</v>
      </c>
      <c r="G1167" s="2" t="s">
        <v>10</v>
      </c>
    </row>
    <row r="1168" spans="1:9" x14ac:dyDescent="0.2">
      <c r="A1168" s="2" t="s">
        <v>3737</v>
      </c>
      <c r="B1168" s="2" t="s">
        <v>739</v>
      </c>
      <c r="C1168" s="2">
        <v>566.70119999999997</v>
      </c>
      <c r="D1168" s="2">
        <f>HYPERLINK("http://mcb-m6.bioreg.kyushu-u.ac.jp/M3/20110404/F50781/1223/1", 67.61)</f>
        <v>67.61</v>
      </c>
      <c r="E1168" s="2">
        <v>41.75</v>
      </c>
      <c r="F1168" s="2">
        <v>2</v>
      </c>
      <c r="G1168" s="2" t="s">
        <v>10</v>
      </c>
    </row>
    <row r="1169" spans="1:9" x14ac:dyDescent="0.2">
      <c r="A1169" s="2" t="s">
        <v>3737</v>
      </c>
      <c r="B1169" s="2" t="s">
        <v>739</v>
      </c>
      <c r="C1169" s="2">
        <v>566.77509999999995</v>
      </c>
      <c r="D1169" s="2">
        <f>HYPERLINK("http://mcb-m6.bioreg.kyushu-u.ac.jp/M3/20110404/F50782/967/1", 70.14)</f>
        <v>70.14</v>
      </c>
      <c r="E1169" s="2">
        <v>45.15</v>
      </c>
      <c r="F1169" s="2">
        <v>2</v>
      </c>
      <c r="G1169" s="2" t="s">
        <v>10</v>
      </c>
    </row>
    <row r="1170" spans="1:9" x14ac:dyDescent="0.2">
      <c r="A1170" s="2" t="s">
        <v>3737</v>
      </c>
      <c r="B1170" s="2" t="s">
        <v>739</v>
      </c>
      <c r="C1170" s="2">
        <v>566.70320000000004</v>
      </c>
      <c r="D1170" s="2">
        <f>HYPERLINK("http://mcb-m6.bioreg.kyushu-u.ac.jp/M3/20110404/F50760/1182/1", 72.66)</f>
        <v>72.66</v>
      </c>
      <c r="E1170" s="2">
        <v>50.15</v>
      </c>
      <c r="F1170" s="2">
        <v>2</v>
      </c>
      <c r="G1170" s="2" t="s">
        <v>10</v>
      </c>
    </row>
    <row r="1171" spans="1:9" x14ac:dyDescent="0.2">
      <c r="A1171" s="2" t="s">
        <v>3737</v>
      </c>
      <c r="B1171" s="2" t="s">
        <v>739</v>
      </c>
      <c r="C1171" s="2">
        <v>567.06020000000001</v>
      </c>
      <c r="D1171" s="2">
        <f>HYPERLINK("http://mcb-m6.bioreg.kyushu-u.ac.jp/M3/20110404/F50768/1278/1", 75.17)</f>
        <v>75.17</v>
      </c>
      <c r="E1171" s="2">
        <v>50.07</v>
      </c>
      <c r="F1171" s="2">
        <v>2</v>
      </c>
      <c r="G1171" s="2" t="s">
        <v>10</v>
      </c>
    </row>
    <row r="1172" spans="1:9" x14ac:dyDescent="0.2">
      <c r="A1172" s="2" t="s">
        <v>3737</v>
      </c>
      <c r="B1172" s="2" t="s">
        <v>739</v>
      </c>
      <c r="C1172" s="2">
        <v>566.96619999999996</v>
      </c>
      <c r="D1172" s="2">
        <f>HYPERLINK("http://mcb-m6.bioreg.kyushu-u.ac.jp/M3/20110404/F50771/1235/1", 75.17)</f>
        <v>75.17</v>
      </c>
      <c r="E1172" s="2">
        <v>46.87</v>
      </c>
      <c r="F1172" s="2">
        <v>2</v>
      </c>
      <c r="G1172" s="2" t="s">
        <v>10</v>
      </c>
    </row>
    <row r="1173" spans="1:9" x14ac:dyDescent="0.2">
      <c r="A1173" s="2" t="s">
        <v>3737</v>
      </c>
      <c r="B1173" s="2" t="s">
        <v>739</v>
      </c>
      <c r="C1173" s="2">
        <v>566.72919999999999</v>
      </c>
      <c r="D1173" s="2">
        <f>HYPERLINK("http://mcb-m6.bioreg.kyushu-u.ac.jp/M3/20110404/F50761/1184/1", 75.51)</f>
        <v>75.510000000000005</v>
      </c>
      <c r="E1173" s="2">
        <v>48.22</v>
      </c>
      <c r="F1173" s="2">
        <v>2</v>
      </c>
      <c r="G1173" s="2" t="s">
        <v>10</v>
      </c>
    </row>
    <row r="1174" spans="1:9" x14ac:dyDescent="0.2">
      <c r="A1174" s="2" t="s">
        <v>3737</v>
      </c>
      <c r="B1174" s="2" t="s">
        <v>739</v>
      </c>
      <c r="C1174" s="2">
        <v>566.6902</v>
      </c>
      <c r="D1174" s="2">
        <f>HYPERLINK("http://mcb-m6.bioreg.kyushu-u.ac.jp/M3/20110404/F50781/1222/1", 78.41)</f>
        <v>78.41</v>
      </c>
      <c r="E1174" s="2">
        <v>54.71</v>
      </c>
      <c r="F1174" s="2">
        <v>2</v>
      </c>
      <c r="G1174" s="2" t="s">
        <v>10</v>
      </c>
    </row>
    <row r="1175" spans="1:9" x14ac:dyDescent="0.2">
      <c r="A1175" s="2" t="s">
        <v>3737</v>
      </c>
      <c r="B1175" s="2" t="s">
        <v>1681</v>
      </c>
      <c r="C1175" s="2">
        <v>1276.0050000000001</v>
      </c>
      <c r="D1175" s="2">
        <f>HYPERLINK("http://mcb-m6.bioreg.kyushu-u.ac.jp/M3/20110404/F50781/2916/1", 131.75)</f>
        <v>131.75</v>
      </c>
      <c r="E1175" s="2">
        <v>82.88</v>
      </c>
      <c r="F1175" s="2">
        <v>2</v>
      </c>
      <c r="G1175" s="2" t="s">
        <v>10</v>
      </c>
      <c r="I1175" s="2" t="s">
        <v>4890</v>
      </c>
    </row>
    <row r="1176" spans="1:9" x14ac:dyDescent="0.2">
      <c r="A1176" s="2" t="s">
        <v>3737</v>
      </c>
      <c r="B1176" s="2" t="s">
        <v>1681</v>
      </c>
      <c r="C1176" s="2">
        <v>1276.0429999999999</v>
      </c>
      <c r="D1176" s="2">
        <f>HYPERLINK("http://mcb-m6.bioreg.kyushu-u.ac.jp/M3/20110404/F50761/3498/1", 139.03)</f>
        <v>139.03</v>
      </c>
      <c r="E1176" s="2">
        <v>102.06</v>
      </c>
      <c r="F1176" s="2">
        <v>2</v>
      </c>
      <c r="G1176" s="2" t="s">
        <v>10</v>
      </c>
      <c r="I1176" s="2" t="s">
        <v>4890</v>
      </c>
    </row>
    <row r="1177" spans="1:9" x14ac:dyDescent="0.2">
      <c r="A1177" s="2" t="s">
        <v>3737</v>
      </c>
      <c r="B1177" s="2" t="s">
        <v>1681</v>
      </c>
      <c r="C1177" s="2">
        <v>1283.9929999999999</v>
      </c>
      <c r="D1177" s="2">
        <f>HYPERLINK("http://mcb-m6.bioreg.kyushu-u.ac.jp/M3/20110404/F50781/2922/1", 141.11)</f>
        <v>141.11000000000001</v>
      </c>
      <c r="E1177" s="2">
        <v>136.24</v>
      </c>
      <c r="F1177" s="2">
        <v>2</v>
      </c>
      <c r="G1177" s="2" t="s">
        <v>10</v>
      </c>
      <c r="H1177" s="2" t="s">
        <v>4925</v>
      </c>
      <c r="I1177" s="2" t="s">
        <v>4890</v>
      </c>
    </row>
    <row r="1178" spans="1:9" x14ac:dyDescent="0.2">
      <c r="A1178" s="2" t="s">
        <v>3737</v>
      </c>
      <c r="B1178" s="2" t="s">
        <v>739</v>
      </c>
      <c r="C1178" s="2">
        <v>1132.511</v>
      </c>
      <c r="D1178" s="2">
        <f>HYPERLINK("http://mcb-m6.bioreg.kyushu-u.ac.jp/M3/20110421/F51058/1034/1", 35.49)</f>
        <v>35.49</v>
      </c>
      <c r="E1178" s="2">
        <v>19.22</v>
      </c>
      <c r="F1178" s="2">
        <v>1</v>
      </c>
      <c r="G1178" s="2" t="s">
        <v>11</v>
      </c>
    </row>
    <row r="1179" spans="1:9" x14ac:dyDescent="0.2">
      <c r="A1179" s="2" t="s">
        <v>3737</v>
      </c>
      <c r="B1179" s="2" t="s">
        <v>739</v>
      </c>
      <c r="C1179" s="2">
        <v>566.73720000000003</v>
      </c>
      <c r="D1179" s="2">
        <f>HYPERLINK("http://mcb-m6.bioreg.kyushu-u.ac.jp/M3/20110421/F51040/1229/1", 51.66)</f>
        <v>51.66</v>
      </c>
      <c r="E1179" s="2">
        <v>32.24</v>
      </c>
      <c r="F1179" s="2">
        <v>2</v>
      </c>
      <c r="G1179" s="2" t="s">
        <v>11</v>
      </c>
    </row>
    <row r="1180" spans="1:9" x14ac:dyDescent="0.2">
      <c r="A1180" s="2" t="s">
        <v>3737</v>
      </c>
      <c r="B1180" s="2" t="s">
        <v>739</v>
      </c>
      <c r="C1180" s="2">
        <v>566.61869999999999</v>
      </c>
      <c r="D1180" s="2">
        <f>HYPERLINK("http://mcb-m6.bioreg.kyushu-u.ac.jp/M3/20110421/F51017/1194/1", 60.07)</f>
        <v>60.07</v>
      </c>
      <c r="E1180" s="2">
        <v>38.229999999999997</v>
      </c>
      <c r="F1180" s="2">
        <v>2</v>
      </c>
      <c r="G1180" s="2" t="s">
        <v>11</v>
      </c>
    </row>
    <row r="1181" spans="1:9" x14ac:dyDescent="0.2">
      <c r="A1181" s="2" t="s">
        <v>3737</v>
      </c>
      <c r="B1181" s="2" t="s">
        <v>739</v>
      </c>
      <c r="C1181" s="2">
        <v>566.66520000000003</v>
      </c>
      <c r="D1181" s="2">
        <f>HYPERLINK("http://mcb-m6.bioreg.kyushu-u.ac.jp/M3/20110421/F51018/1338/1", 67.76)</f>
        <v>67.760000000000005</v>
      </c>
      <c r="E1181" s="2">
        <v>43.12</v>
      </c>
      <c r="F1181" s="2">
        <v>2</v>
      </c>
      <c r="G1181" s="2" t="s">
        <v>11</v>
      </c>
    </row>
    <row r="1182" spans="1:9" x14ac:dyDescent="0.2">
      <c r="A1182" s="2" t="s">
        <v>3737</v>
      </c>
      <c r="B1182" s="2" t="s">
        <v>739</v>
      </c>
      <c r="C1182" s="2">
        <v>566.8057</v>
      </c>
      <c r="D1182" s="2">
        <f>HYPERLINK("http://mcb-m6.bioreg.kyushu-u.ac.jp/M3/20110421/F51034/1183/1", 70.45)</f>
        <v>70.45</v>
      </c>
      <c r="E1182" s="2">
        <v>45.28</v>
      </c>
      <c r="F1182" s="2">
        <v>2</v>
      </c>
      <c r="G1182" s="2" t="s">
        <v>11</v>
      </c>
    </row>
    <row r="1183" spans="1:9" x14ac:dyDescent="0.2">
      <c r="A1183" s="2" t="s">
        <v>3737</v>
      </c>
      <c r="B1183" s="2" t="s">
        <v>739</v>
      </c>
      <c r="C1183" s="2">
        <v>566.86869999999999</v>
      </c>
      <c r="D1183" s="2">
        <f>HYPERLINK("http://mcb-m6.bioreg.kyushu-u.ac.jp/M3/20110421/F51058/1035/1", 75.5)</f>
        <v>75.5</v>
      </c>
      <c r="E1183" s="2">
        <v>51.65</v>
      </c>
      <c r="F1183" s="2">
        <v>2</v>
      </c>
      <c r="G1183" s="2" t="s">
        <v>11</v>
      </c>
    </row>
    <row r="1184" spans="1:9" x14ac:dyDescent="0.2">
      <c r="A1184" s="2" t="s">
        <v>3737</v>
      </c>
      <c r="B1184" s="2" t="s">
        <v>1681</v>
      </c>
      <c r="C1184" s="2">
        <v>1276.104</v>
      </c>
      <c r="D1184" s="2">
        <f>HYPERLINK("http://mcb-m6.bioreg.kyushu-u.ac.jp/M3/20110421/F51058/3482/1", 156.53)</f>
        <v>156.53</v>
      </c>
      <c r="E1184" s="2">
        <v>110.18</v>
      </c>
      <c r="F1184" s="2">
        <v>2</v>
      </c>
      <c r="G1184" s="2" t="s">
        <v>11</v>
      </c>
      <c r="I1184" s="2" t="s">
        <v>4890</v>
      </c>
    </row>
    <row r="1185" spans="1:9" x14ac:dyDescent="0.2">
      <c r="A1185" s="2" t="s">
        <v>3737</v>
      </c>
      <c r="B1185" s="2" t="s">
        <v>739</v>
      </c>
      <c r="C1185" s="2">
        <v>566.88459999999998</v>
      </c>
      <c r="D1185" s="2">
        <f>HYPERLINK("http://mcb-m6.bioreg.kyushu-u.ac.jp/M3/20110421/F51043/1216/1", 38.89)</f>
        <v>38.89</v>
      </c>
      <c r="E1185" s="2">
        <v>9.44</v>
      </c>
      <c r="F1185" s="2">
        <v>2</v>
      </c>
      <c r="G1185" s="2" t="s">
        <v>12</v>
      </c>
    </row>
    <row r="1186" spans="1:9" x14ac:dyDescent="0.2">
      <c r="A1186" s="2" t="s">
        <v>3737</v>
      </c>
      <c r="B1186" s="2" t="s">
        <v>739</v>
      </c>
      <c r="C1186" s="2">
        <v>567.29319999999996</v>
      </c>
      <c r="D1186" s="2">
        <f>HYPERLINK("http://mcb-m6.bioreg.kyushu-u.ac.jp/M3/20110421/F51044/1188/1", 43.95)</f>
        <v>43.95</v>
      </c>
      <c r="E1186" s="2">
        <v>32.340000000000003</v>
      </c>
      <c r="F1186" s="2">
        <v>2</v>
      </c>
      <c r="G1186" s="2" t="s">
        <v>12</v>
      </c>
    </row>
    <row r="1187" spans="1:9" x14ac:dyDescent="0.2">
      <c r="A1187" s="2" t="s">
        <v>3737</v>
      </c>
      <c r="B1187" s="2" t="s">
        <v>1681</v>
      </c>
      <c r="C1187" s="2">
        <v>850.97720000000004</v>
      </c>
      <c r="D1187" s="2">
        <f>HYPERLINK("http://mcb-m6.bioreg.kyushu-u.ac.jp/M3/20110421/F51059/3601/1", 44.77)</f>
        <v>44.77</v>
      </c>
      <c r="E1187" s="2">
        <v>31.91</v>
      </c>
      <c r="F1187" s="2">
        <v>3</v>
      </c>
      <c r="G1187" s="2" t="s">
        <v>12</v>
      </c>
      <c r="I1187" s="2" t="s">
        <v>4890</v>
      </c>
    </row>
    <row r="1188" spans="1:9" x14ac:dyDescent="0.2">
      <c r="A1188" s="2" t="s">
        <v>3737</v>
      </c>
      <c r="B1188" s="2" t="s">
        <v>739</v>
      </c>
      <c r="C1188" s="2">
        <v>567.23320000000001</v>
      </c>
      <c r="D1188" s="2">
        <f>HYPERLINK("http://mcb-m6.bioreg.kyushu-u.ac.jp/M3/20110421/F51021/1143/1", 47.35)</f>
        <v>47.35</v>
      </c>
      <c r="E1188" s="2">
        <v>24.29</v>
      </c>
      <c r="F1188" s="2">
        <v>2</v>
      </c>
      <c r="G1188" s="2" t="s">
        <v>12</v>
      </c>
    </row>
    <row r="1189" spans="1:9" x14ac:dyDescent="0.2">
      <c r="A1189" s="2" t="s">
        <v>3737</v>
      </c>
      <c r="B1189" s="2" t="s">
        <v>739</v>
      </c>
      <c r="C1189" s="2">
        <v>566.77260000000001</v>
      </c>
      <c r="D1189" s="2">
        <f>HYPERLINK("http://mcb-m6.bioreg.kyushu-u.ac.jp/M3/20110421/F51045/1401/1", 51.3)</f>
        <v>51.3</v>
      </c>
      <c r="E1189" s="2">
        <v>32.64</v>
      </c>
      <c r="F1189" s="2">
        <v>2</v>
      </c>
      <c r="G1189" s="2" t="s">
        <v>12</v>
      </c>
    </row>
    <row r="1190" spans="1:9" x14ac:dyDescent="0.2">
      <c r="A1190" s="2" t="s">
        <v>3737</v>
      </c>
      <c r="B1190" s="2" t="s">
        <v>739</v>
      </c>
      <c r="C1190" s="2">
        <v>566.79060000000004</v>
      </c>
      <c r="D1190" s="2">
        <f>HYPERLINK("http://mcb-m6.bioreg.kyushu-u.ac.jp/M3/20110421/F51043/1215/1", 60.62)</f>
        <v>60.62</v>
      </c>
      <c r="E1190" s="2">
        <v>39.409999999999997</v>
      </c>
      <c r="F1190" s="2">
        <v>2</v>
      </c>
      <c r="G1190" s="2" t="s">
        <v>12</v>
      </c>
    </row>
    <row r="1191" spans="1:9" x14ac:dyDescent="0.2">
      <c r="A1191" s="2" t="s">
        <v>3737</v>
      </c>
      <c r="B1191" s="2" t="s">
        <v>739</v>
      </c>
      <c r="C1191" s="2">
        <v>566.93709999999999</v>
      </c>
      <c r="D1191" s="2">
        <f>HYPERLINK("http://mcb-m6.bioreg.kyushu-u.ac.jp/M3/20110421/F51048/1420/1", 65.06)</f>
        <v>65.06</v>
      </c>
      <c r="E1191" s="2">
        <v>43.48</v>
      </c>
      <c r="F1191" s="2">
        <v>2</v>
      </c>
      <c r="G1191" s="2" t="s">
        <v>12</v>
      </c>
    </row>
    <row r="1192" spans="1:9" x14ac:dyDescent="0.2">
      <c r="A1192" s="2" t="s">
        <v>3737</v>
      </c>
      <c r="B1192" s="2" t="s">
        <v>739</v>
      </c>
      <c r="C1192" s="2">
        <v>566.86569999999995</v>
      </c>
      <c r="D1192" s="2">
        <f>HYPERLINK("http://mcb-m6.bioreg.kyushu-u.ac.jp/M3/20110421/F51047/1269/1", 70.27)</f>
        <v>70.27</v>
      </c>
      <c r="E1192" s="2">
        <v>46.1</v>
      </c>
      <c r="F1192" s="2">
        <v>2</v>
      </c>
      <c r="G1192" s="2" t="s">
        <v>12</v>
      </c>
    </row>
    <row r="1193" spans="1:9" x14ac:dyDescent="0.2">
      <c r="A1193" s="2" t="s">
        <v>3737</v>
      </c>
      <c r="B1193" s="2" t="s">
        <v>739</v>
      </c>
      <c r="C1193" s="2">
        <v>567.08669999999995</v>
      </c>
      <c r="D1193" s="2">
        <f>HYPERLINK("http://mcb-m6.bioreg.kyushu-u.ac.jp/M3/20110421/F51024/1437/1", 72.68)</f>
        <v>72.680000000000007</v>
      </c>
      <c r="E1193" s="2">
        <v>47.05</v>
      </c>
      <c r="F1193" s="2">
        <v>2</v>
      </c>
      <c r="G1193" s="2" t="s">
        <v>12</v>
      </c>
    </row>
    <row r="1194" spans="1:9" x14ac:dyDescent="0.2">
      <c r="A1194" s="2" t="s">
        <v>3737</v>
      </c>
      <c r="B1194" s="2" t="s">
        <v>739</v>
      </c>
      <c r="C1194" s="2">
        <v>567.29669999999999</v>
      </c>
      <c r="D1194" s="2">
        <f>HYPERLINK("http://mcb-m6.bioreg.kyushu-u.ac.jp/M3/20110421/F51059/954/1", 75.16)</f>
        <v>75.16</v>
      </c>
      <c r="E1194" s="2">
        <v>45.14</v>
      </c>
      <c r="F1194" s="2">
        <v>2</v>
      </c>
      <c r="G1194" s="2" t="s">
        <v>12</v>
      </c>
    </row>
    <row r="1195" spans="1:9" x14ac:dyDescent="0.2">
      <c r="A1195" s="2" t="s">
        <v>3737</v>
      </c>
      <c r="B1195" s="2" t="s">
        <v>739</v>
      </c>
      <c r="C1195" s="2">
        <v>566.62819999999999</v>
      </c>
      <c r="D1195" s="2">
        <f>HYPERLINK("http://mcb-m6.bioreg.kyushu-u.ac.jp/M3/20110421/F51023/1498/1", 75.29)</f>
        <v>75.290000000000006</v>
      </c>
      <c r="E1195" s="2">
        <v>50.3</v>
      </c>
      <c r="F1195" s="2">
        <v>2</v>
      </c>
      <c r="G1195" s="2" t="s">
        <v>12</v>
      </c>
    </row>
    <row r="1196" spans="1:9" x14ac:dyDescent="0.2">
      <c r="A1196" s="2" t="s">
        <v>3737</v>
      </c>
      <c r="B1196" s="2" t="s">
        <v>739</v>
      </c>
      <c r="C1196" s="2">
        <v>566.72670000000005</v>
      </c>
      <c r="D1196" s="2">
        <f>HYPERLINK("http://mcb-m6.bioreg.kyushu-u.ac.jp/M3/20110421/F51044/1185/1", 75.39)</f>
        <v>75.39</v>
      </c>
      <c r="E1196" s="2">
        <v>50.34</v>
      </c>
      <c r="F1196" s="2">
        <v>2</v>
      </c>
      <c r="G1196" s="2" t="s">
        <v>12</v>
      </c>
    </row>
    <row r="1197" spans="1:9" x14ac:dyDescent="0.2">
      <c r="A1197" s="2" t="s">
        <v>3737</v>
      </c>
      <c r="B1197" s="2" t="s">
        <v>739</v>
      </c>
      <c r="C1197" s="2">
        <v>566.96010000000001</v>
      </c>
      <c r="D1197" s="2">
        <f>HYPERLINK("http://mcb-m6.bioreg.kyushu-u.ac.jp/M3/20110421/F51050/1402/1", 75.49)</f>
        <v>75.489999999999995</v>
      </c>
      <c r="E1197" s="2">
        <v>50.26</v>
      </c>
      <c r="F1197" s="2">
        <v>2</v>
      </c>
      <c r="G1197" s="2" t="s">
        <v>12</v>
      </c>
    </row>
    <row r="1198" spans="1:9" x14ac:dyDescent="0.2">
      <c r="A1198" s="2" t="s">
        <v>3737</v>
      </c>
      <c r="B1198" s="2" t="s">
        <v>739</v>
      </c>
      <c r="C1198" s="2">
        <v>567.0027</v>
      </c>
      <c r="D1198" s="2">
        <f>HYPERLINK("http://mcb-m6.bioreg.kyushu-u.ac.jp/M3/20110428/F51131/1007/1", 41.93)</f>
        <v>41.93</v>
      </c>
      <c r="E1198" s="2">
        <v>20.12</v>
      </c>
      <c r="F1198" s="2">
        <v>2</v>
      </c>
      <c r="G1198" s="2" t="s">
        <v>13</v>
      </c>
    </row>
    <row r="1199" spans="1:9" x14ac:dyDescent="0.2">
      <c r="A1199" s="2" t="s">
        <v>3737</v>
      </c>
      <c r="B1199" s="2" t="s">
        <v>1681</v>
      </c>
      <c r="C1199" s="2">
        <v>851.06510000000003</v>
      </c>
      <c r="D1199" s="2">
        <f>HYPERLINK("http://mcb-m6.bioreg.kyushu-u.ac.jp/M3/20110428/F51131/3601/1", 48.77)</f>
        <v>48.77</v>
      </c>
      <c r="E1199" s="2">
        <v>22.97</v>
      </c>
      <c r="F1199" s="2">
        <v>3</v>
      </c>
      <c r="G1199" s="2" t="s">
        <v>13</v>
      </c>
      <c r="I1199" s="2" t="s">
        <v>4890</v>
      </c>
    </row>
    <row r="1200" spans="1:9" x14ac:dyDescent="0.2">
      <c r="A1200" s="2" t="s">
        <v>3737</v>
      </c>
      <c r="B1200" s="2" t="s">
        <v>739</v>
      </c>
      <c r="C1200" s="2">
        <v>567.04169999999999</v>
      </c>
      <c r="D1200" s="2">
        <f>HYPERLINK("http://mcb-m6.bioreg.kyushu-u.ac.jp/M3/20110428/F51132/1205/1", 51.4)</f>
        <v>51.4</v>
      </c>
      <c r="E1200" s="2">
        <v>34.590000000000003</v>
      </c>
      <c r="F1200" s="2">
        <v>2</v>
      </c>
      <c r="G1200" s="2" t="s">
        <v>13</v>
      </c>
    </row>
    <row r="1201" spans="1:9" x14ac:dyDescent="0.2">
      <c r="A1201" s="2" t="s">
        <v>3737</v>
      </c>
      <c r="B1201" s="2" t="s">
        <v>739</v>
      </c>
      <c r="C1201" s="2">
        <v>566.55909999999994</v>
      </c>
      <c r="D1201" s="2">
        <f>HYPERLINK("http://mcb-m6.bioreg.kyushu-u.ac.jp/M3/20110427/F51111/1415/1", 60.35)</f>
        <v>60.35</v>
      </c>
      <c r="E1201" s="2">
        <v>36.86</v>
      </c>
      <c r="F1201" s="2">
        <v>2</v>
      </c>
      <c r="G1201" s="2" t="s">
        <v>13</v>
      </c>
    </row>
    <row r="1202" spans="1:9" x14ac:dyDescent="0.2">
      <c r="A1202" s="2" t="s">
        <v>3737</v>
      </c>
      <c r="B1202" s="2" t="s">
        <v>739</v>
      </c>
      <c r="C1202" s="2">
        <v>566.49659999999994</v>
      </c>
      <c r="D1202" s="2">
        <f>HYPERLINK("http://mcb-m6.bioreg.kyushu-u.ac.jp/M3/20110427/F51115/1308/1", 65.02)</f>
        <v>65.02</v>
      </c>
      <c r="E1202" s="2">
        <v>40.94</v>
      </c>
      <c r="F1202" s="2">
        <v>2</v>
      </c>
      <c r="G1202" s="2" t="s">
        <v>13</v>
      </c>
    </row>
    <row r="1203" spans="1:9" x14ac:dyDescent="0.2">
      <c r="A1203" s="2" t="s">
        <v>3737</v>
      </c>
      <c r="B1203" s="2" t="s">
        <v>1681</v>
      </c>
      <c r="C1203" s="2">
        <v>856.1105</v>
      </c>
      <c r="D1203" s="2">
        <f>HYPERLINK("http://mcb-m6.bioreg.kyushu-u.ac.jp/M3/20110428/F51131/3614/1", 67.94)</f>
        <v>67.94</v>
      </c>
      <c r="E1203" s="2">
        <v>52.32</v>
      </c>
      <c r="F1203" s="2">
        <v>3</v>
      </c>
      <c r="G1203" s="2" t="s">
        <v>13</v>
      </c>
      <c r="H1203" s="2" t="s">
        <v>4925</v>
      </c>
      <c r="I1203" s="2" t="s">
        <v>4890</v>
      </c>
    </row>
    <row r="1204" spans="1:9" x14ac:dyDescent="0.2">
      <c r="A1204" s="2" t="s">
        <v>3737</v>
      </c>
      <c r="B1204" s="2" t="s">
        <v>739</v>
      </c>
      <c r="C1204" s="2">
        <v>566.52809999999999</v>
      </c>
      <c r="D1204" s="2">
        <f>HYPERLINK("http://mcb-m6.bioreg.kyushu-u.ac.jp/M3/20110427/F51112/1349/1", 68.14)</f>
        <v>68.14</v>
      </c>
      <c r="E1204" s="2">
        <v>42.88</v>
      </c>
      <c r="F1204" s="2">
        <v>2</v>
      </c>
      <c r="G1204" s="2" t="s">
        <v>13</v>
      </c>
    </row>
    <row r="1205" spans="1:9" x14ac:dyDescent="0.2">
      <c r="A1205" s="2" t="s">
        <v>3737</v>
      </c>
      <c r="B1205" s="2" t="s">
        <v>739</v>
      </c>
      <c r="C1205" s="2">
        <v>567.02470000000005</v>
      </c>
      <c r="D1205" s="2">
        <f>HYPERLINK("http://mcb-m6.bioreg.kyushu-u.ac.jp/M3/20110428/F51127/1038/1", 70.01)</f>
        <v>70.010000000000005</v>
      </c>
      <c r="E1205" s="2">
        <v>46.94</v>
      </c>
      <c r="F1205" s="2">
        <v>2</v>
      </c>
      <c r="G1205" s="2" t="s">
        <v>13</v>
      </c>
    </row>
    <row r="1206" spans="1:9" x14ac:dyDescent="0.2">
      <c r="A1206" s="2" t="s">
        <v>3737</v>
      </c>
      <c r="B1206" s="2" t="s">
        <v>739</v>
      </c>
      <c r="C1206" s="2">
        <v>566.81209999999999</v>
      </c>
      <c r="D1206" s="2">
        <f>HYPERLINK("http://mcb-m6.bioreg.kyushu-u.ac.jp/M3/20110427/F51114/1218/1", 70.29)</f>
        <v>70.290000000000006</v>
      </c>
      <c r="E1206" s="2">
        <v>45.18</v>
      </c>
      <c r="F1206" s="2">
        <v>2</v>
      </c>
      <c r="G1206" s="2" t="s">
        <v>13</v>
      </c>
    </row>
    <row r="1207" spans="1:9" x14ac:dyDescent="0.2">
      <c r="A1207" s="2" t="s">
        <v>3737</v>
      </c>
      <c r="B1207" s="2" t="s">
        <v>739</v>
      </c>
      <c r="C1207" s="2">
        <v>567.09370000000001</v>
      </c>
      <c r="D1207" s="2">
        <f>HYPERLINK("http://mcb-m6.bioreg.kyushu-u.ac.jp/M3/20110427/F51116/1304/1", 70.3)</f>
        <v>70.3</v>
      </c>
      <c r="E1207" s="2">
        <v>45.17</v>
      </c>
      <c r="F1207" s="2">
        <v>2</v>
      </c>
      <c r="G1207" s="2" t="s">
        <v>13</v>
      </c>
    </row>
    <row r="1208" spans="1:9" x14ac:dyDescent="0.2">
      <c r="A1208" s="2" t="s">
        <v>3737</v>
      </c>
      <c r="B1208" s="2" t="s">
        <v>739</v>
      </c>
      <c r="C1208" s="2">
        <v>566.67520000000002</v>
      </c>
      <c r="D1208" s="2">
        <f>HYPERLINK("http://mcb-m6.bioreg.kyushu-u.ac.jp/M3/20110427/F51117/1254/1", 72.6)</f>
        <v>72.599999999999994</v>
      </c>
      <c r="E1208" s="2">
        <v>48.54</v>
      </c>
      <c r="F1208" s="2">
        <v>2</v>
      </c>
      <c r="G1208" s="2" t="s">
        <v>13</v>
      </c>
    </row>
    <row r="1209" spans="1:9" x14ac:dyDescent="0.2">
      <c r="A1209" s="2" t="s">
        <v>3737</v>
      </c>
      <c r="B1209" s="2" t="s">
        <v>739</v>
      </c>
      <c r="C1209" s="2">
        <v>567.08420000000001</v>
      </c>
      <c r="D1209" s="2">
        <f>HYPERLINK("http://mcb-m6.bioreg.kyushu-u.ac.jp/M3/20110427/F51112/1353/1", 72.67)</f>
        <v>72.67</v>
      </c>
      <c r="E1209" s="2">
        <v>46.57</v>
      </c>
      <c r="F1209" s="2">
        <v>2</v>
      </c>
      <c r="G1209" s="2" t="s">
        <v>13</v>
      </c>
    </row>
    <row r="1210" spans="1:9" x14ac:dyDescent="0.2">
      <c r="A1210" s="2" t="s">
        <v>3737</v>
      </c>
      <c r="B1210" s="2" t="s">
        <v>739</v>
      </c>
      <c r="C1210" s="2">
        <v>567.08069999999998</v>
      </c>
      <c r="D1210" s="2">
        <f>HYPERLINK("http://mcb-m6.bioreg.kyushu-u.ac.jp/M3/20110428/F51131/1008/1", 72.68)</f>
        <v>72.680000000000007</v>
      </c>
      <c r="E1210" s="2">
        <v>43.91</v>
      </c>
      <c r="F1210" s="2">
        <v>2</v>
      </c>
      <c r="G1210" s="2" t="s">
        <v>13</v>
      </c>
    </row>
    <row r="1211" spans="1:9" x14ac:dyDescent="0.2">
      <c r="A1211" s="2" t="s">
        <v>3737</v>
      </c>
      <c r="B1211" s="2" t="s">
        <v>739</v>
      </c>
      <c r="C1211" s="2">
        <v>566.56569999999999</v>
      </c>
      <c r="D1211" s="2">
        <f>HYPERLINK("http://mcb-m6.bioreg.kyushu-u.ac.jp/M3/20110428/F51131/1005/1", 78.37)</f>
        <v>78.37</v>
      </c>
      <c r="E1211" s="2">
        <v>51.05</v>
      </c>
      <c r="F1211" s="2">
        <v>2</v>
      </c>
      <c r="G1211" s="2" t="s">
        <v>13</v>
      </c>
    </row>
    <row r="1212" spans="1:9" x14ac:dyDescent="0.2">
      <c r="A1212" s="2" t="s">
        <v>3737</v>
      </c>
      <c r="B1212" s="2" t="s">
        <v>1681</v>
      </c>
      <c r="C1212" s="2">
        <v>1275.962</v>
      </c>
      <c r="D1212" s="2">
        <f>HYPERLINK("http://mcb-m6.bioreg.kyushu-u.ac.jp/M3/20110428/F51131/3600/1", 108.8)</f>
        <v>108.8</v>
      </c>
      <c r="E1212" s="2">
        <v>96.65</v>
      </c>
      <c r="F1212" s="2">
        <v>2</v>
      </c>
      <c r="G1212" s="2" t="s">
        <v>13</v>
      </c>
      <c r="I1212" s="2" t="s">
        <v>4890</v>
      </c>
    </row>
    <row r="1213" spans="1:9" x14ac:dyDescent="0.2">
      <c r="A1213" s="2" t="s">
        <v>3737</v>
      </c>
      <c r="B1213" s="2" t="s">
        <v>739</v>
      </c>
      <c r="C1213" s="2">
        <v>567.21810000000005</v>
      </c>
      <c r="D1213" s="2">
        <f>HYPERLINK("http://mcb-m6.bioreg.kyushu-u.ac.jp/M3/20110428/F51135/1178/1", 35.46)</f>
        <v>35.46</v>
      </c>
      <c r="E1213" s="2">
        <v>25.12</v>
      </c>
      <c r="F1213" s="2">
        <v>2</v>
      </c>
      <c r="G1213" s="2" t="s">
        <v>14</v>
      </c>
    </row>
    <row r="1214" spans="1:9" x14ac:dyDescent="0.2">
      <c r="A1214" s="2" t="s">
        <v>3737</v>
      </c>
      <c r="B1214" s="2" t="s">
        <v>739</v>
      </c>
      <c r="C1214" s="2">
        <v>1132.402</v>
      </c>
      <c r="D1214" s="2">
        <f>HYPERLINK("http://mcb-m6.bioreg.kyushu-u.ac.jp/M3/20110427/F51121/1464/1", 36.31)</f>
        <v>36.31</v>
      </c>
      <c r="E1214" s="2">
        <v>18.04</v>
      </c>
      <c r="F1214" s="2">
        <v>1</v>
      </c>
      <c r="G1214" s="2" t="s">
        <v>14</v>
      </c>
    </row>
    <row r="1215" spans="1:9" x14ac:dyDescent="0.2">
      <c r="A1215" s="2" t="s">
        <v>3737</v>
      </c>
      <c r="B1215" s="2" t="s">
        <v>3062</v>
      </c>
      <c r="C1215" s="2">
        <v>815.33420000000001</v>
      </c>
      <c r="D1215" s="2">
        <f>HYPERLINK("http://mcb-m6.bioreg.kyushu-u.ac.jp/M3/20110427/F51123/2401/1", 40.09)</f>
        <v>40.090000000000003</v>
      </c>
      <c r="E1215" s="2">
        <v>26.05</v>
      </c>
      <c r="F1215" s="2">
        <v>2</v>
      </c>
      <c r="G1215" s="2" t="s">
        <v>14</v>
      </c>
    </row>
    <row r="1216" spans="1:9" x14ac:dyDescent="0.2">
      <c r="A1216" s="2" t="s">
        <v>3737</v>
      </c>
      <c r="B1216" s="2" t="s">
        <v>739</v>
      </c>
      <c r="C1216" s="2">
        <v>1132.3399999999999</v>
      </c>
      <c r="D1216" s="2">
        <f>HYPERLINK("http://mcb-m6.bioreg.kyushu-u.ac.jp/M3/20110427/F51125/1438/1", 41.02)</f>
        <v>41.02</v>
      </c>
      <c r="E1216" s="2">
        <v>25.63</v>
      </c>
      <c r="F1216" s="2">
        <v>1</v>
      </c>
      <c r="G1216" s="2" t="s">
        <v>14</v>
      </c>
    </row>
    <row r="1217" spans="1:9" x14ac:dyDescent="0.2">
      <c r="A1217" s="2" t="s">
        <v>3737</v>
      </c>
      <c r="B1217" s="2" t="s">
        <v>739</v>
      </c>
      <c r="C1217" s="2">
        <v>566.69320000000005</v>
      </c>
      <c r="D1217" s="2">
        <f>HYPERLINK("http://mcb-m6.bioreg.kyushu-u.ac.jp/M3/20110427/F51119/1693/1", 55.45)</f>
        <v>55.45</v>
      </c>
      <c r="E1217" s="2">
        <v>33.67</v>
      </c>
      <c r="F1217" s="2">
        <v>2</v>
      </c>
      <c r="G1217" s="2" t="s">
        <v>14</v>
      </c>
    </row>
    <row r="1218" spans="1:9" x14ac:dyDescent="0.2">
      <c r="A1218" s="2" t="s">
        <v>3737</v>
      </c>
      <c r="B1218" s="2" t="s">
        <v>739</v>
      </c>
      <c r="C1218" s="2">
        <v>567.21669999999995</v>
      </c>
      <c r="D1218" s="2">
        <f>HYPERLINK("http://mcb-m6.bioreg.kyushu-u.ac.jp/M3/20110427/F51125/1444/1", 61.49)</f>
        <v>61.49</v>
      </c>
      <c r="E1218" s="2">
        <v>41.26</v>
      </c>
      <c r="F1218" s="2">
        <v>2</v>
      </c>
      <c r="G1218" s="2" t="s">
        <v>14</v>
      </c>
    </row>
    <row r="1219" spans="1:9" x14ac:dyDescent="0.2">
      <c r="A1219" s="2" t="s">
        <v>3737</v>
      </c>
      <c r="B1219" s="2" t="s">
        <v>1681</v>
      </c>
      <c r="C1219" s="2">
        <v>850.59649999999999</v>
      </c>
      <c r="D1219" s="2">
        <f>HYPERLINK("http://mcb-m6.bioreg.kyushu-u.ac.jp/M3/20110427/F51124/3394/1", 64.17)</f>
        <v>64.17</v>
      </c>
      <c r="E1219" s="2">
        <v>52.96</v>
      </c>
      <c r="F1219" s="2">
        <v>3</v>
      </c>
      <c r="G1219" s="2" t="s">
        <v>14</v>
      </c>
      <c r="I1219" s="2" t="s">
        <v>4890</v>
      </c>
    </row>
    <row r="1220" spans="1:9" x14ac:dyDescent="0.2">
      <c r="A1220" s="2" t="s">
        <v>3737</v>
      </c>
      <c r="B1220" s="2" t="s">
        <v>739</v>
      </c>
      <c r="C1220" s="2">
        <v>566.5702</v>
      </c>
      <c r="D1220" s="2">
        <f>HYPERLINK("http://mcb-m6.bioreg.kyushu-u.ac.jp/M3/20110428/F51130/1321/1", 65.39)</f>
        <v>65.39</v>
      </c>
      <c r="E1220" s="2">
        <v>43.85</v>
      </c>
      <c r="F1220" s="2">
        <v>2</v>
      </c>
      <c r="G1220" s="2" t="s">
        <v>14</v>
      </c>
    </row>
    <row r="1221" spans="1:9" x14ac:dyDescent="0.2">
      <c r="A1221" s="2" t="s">
        <v>3737</v>
      </c>
      <c r="B1221" s="2" t="s">
        <v>739</v>
      </c>
      <c r="C1221" s="2">
        <v>566.75519999999995</v>
      </c>
      <c r="D1221" s="2">
        <f>HYPERLINK("http://mcb-m6.bioreg.kyushu-u.ac.jp/M3/20110428/F51135/1174/1", 65.5)</f>
        <v>65.5</v>
      </c>
      <c r="E1221" s="2">
        <v>33</v>
      </c>
      <c r="F1221" s="2">
        <v>2</v>
      </c>
      <c r="G1221" s="2" t="s">
        <v>14</v>
      </c>
    </row>
    <row r="1222" spans="1:9" x14ac:dyDescent="0.2">
      <c r="A1222" s="2" t="s">
        <v>3737</v>
      </c>
      <c r="B1222" s="2" t="s">
        <v>739</v>
      </c>
      <c r="C1222" s="2">
        <v>567.06209999999999</v>
      </c>
      <c r="D1222" s="2">
        <f>HYPERLINK("http://mcb-m6.bioreg.kyushu-u.ac.jp/M3/20110427/F51120/1557/1", 72.67)</f>
        <v>72.67</v>
      </c>
      <c r="E1222" s="2">
        <v>48.32</v>
      </c>
      <c r="F1222" s="2">
        <v>2</v>
      </c>
      <c r="G1222" s="2" t="s">
        <v>14</v>
      </c>
    </row>
    <row r="1223" spans="1:9" x14ac:dyDescent="0.2">
      <c r="A1223" s="2" t="s">
        <v>3737</v>
      </c>
      <c r="B1223" s="2" t="s">
        <v>739</v>
      </c>
      <c r="C1223" s="2">
        <v>566.57709999999997</v>
      </c>
      <c r="D1223" s="2">
        <f>HYPERLINK("http://mcb-m6.bioreg.kyushu-u.ac.jp/M3/20110427/F51122/1548/1", 72.88)</f>
        <v>72.88</v>
      </c>
      <c r="E1223" s="2">
        <v>48.45</v>
      </c>
      <c r="F1223" s="2">
        <v>2</v>
      </c>
      <c r="G1223" s="2" t="s">
        <v>14</v>
      </c>
    </row>
    <row r="1224" spans="1:9" x14ac:dyDescent="0.2">
      <c r="A1224" s="2" t="s">
        <v>3737</v>
      </c>
      <c r="B1224" s="2" t="s">
        <v>739</v>
      </c>
      <c r="C1224" s="2">
        <v>566.57510000000002</v>
      </c>
      <c r="D1224" s="2">
        <f>HYPERLINK("http://mcb-m6.bioreg.kyushu-u.ac.jp/M3/20110428/F51129/1278/1", 72.92)</f>
        <v>72.92</v>
      </c>
      <c r="E1224" s="2">
        <v>49.69</v>
      </c>
      <c r="F1224" s="2">
        <v>2</v>
      </c>
      <c r="G1224" s="2" t="s">
        <v>14</v>
      </c>
    </row>
    <row r="1225" spans="1:9" x14ac:dyDescent="0.2">
      <c r="A1225" s="2" t="s">
        <v>3737</v>
      </c>
      <c r="B1225" s="2" t="s">
        <v>739</v>
      </c>
      <c r="C1225" s="2">
        <v>566.57169999999996</v>
      </c>
      <c r="D1225" s="2">
        <f>HYPERLINK("http://mcb-m6.bioreg.kyushu-u.ac.jp/M3/20110427/F51123/1287/1", 75.47)</f>
        <v>75.47</v>
      </c>
      <c r="E1225" s="2">
        <v>50.19</v>
      </c>
      <c r="F1225" s="2">
        <v>2</v>
      </c>
      <c r="G1225" s="2" t="s">
        <v>14</v>
      </c>
    </row>
    <row r="1226" spans="1:9" x14ac:dyDescent="0.2">
      <c r="A1226" s="2" t="s">
        <v>3737</v>
      </c>
      <c r="B1226" s="2" t="s">
        <v>739</v>
      </c>
      <c r="C1226" s="2">
        <v>566.5856</v>
      </c>
      <c r="D1226" s="2">
        <f>HYPERLINK("http://mcb-m6.bioreg.kyushu-u.ac.jp/M3/20110427/F51121/1463/1", 75.51)</f>
        <v>75.510000000000005</v>
      </c>
      <c r="E1226" s="2">
        <v>50.17</v>
      </c>
      <c r="F1226" s="2">
        <v>2</v>
      </c>
      <c r="G1226" s="2" t="s">
        <v>14</v>
      </c>
    </row>
    <row r="1227" spans="1:9" x14ac:dyDescent="0.2">
      <c r="A1227" s="2" t="s">
        <v>3737</v>
      </c>
      <c r="B1227" s="2" t="s">
        <v>739</v>
      </c>
      <c r="C1227" s="2">
        <v>566.76070000000004</v>
      </c>
      <c r="D1227" s="2">
        <f>HYPERLINK("http://mcb-m6.bioreg.kyushu-u.ac.jp/M3/20110428/F51126/1410/1", 75.52)</f>
        <v>75.52</v>
      </c>
      <c r="E1227" s="2">
        <v>49.93</v>
      </c>
      <c r="F1227" s="2">
        <v>2</v>
      </c>
      <c r="G1227" s="2" t="s">
        <v>14</v>
      </c>
    </row>
    <row r="1228" spans="1:9" x14ac:dyDescent="0.2">
      <c r="A1228" s="2" t="s">
        <v>3737</v>
      </c>
      <c r="B1228" s="2" t="s">
        <v>739</v>
      </c>
      <c r="C1228" s="2">
        <v>566.67570000000001</v>
      </c>
      <c r="D1228" s="2">
        <f>HYPERLINK("http://mcb-m6.bioreg.kyushu-u.ac.jp/M3/20110428/F51128/1187/1", 75.54)</f>
        <v>75.540000000000006</v>
      </c>
      <c r="E1228" s="2">
        <v>48.25</v>
      </c>
      <c r="F1228" s="2">
        <v>2</v>
      </c>
      <c r="G1228" s="2" t="s">
        <v>14</v>
      </c>
    </row>
    <row r="1229" spans="1:9" x14ac:dyDescent="0.2">
      <c r="A1229" s="2" t="s">
        <v>3737</v>
      </c>
      <c r="B1229" s="2" t="s">
        <v>739</v>
      </c>
      <c r="C1229" s="2">
        <v>566.44820000000004</v>
      </c>
      <c r="D1229" s="2">
        <f>HYPERLINK("http://mcb-m6.bioreg.kyushu-u.ac.jp/M3/20110427/F51124/1334/1", 78.47)</f>
        <v>78.47</v>
      </c>
      <c r="E1229" s="2">
        <v>53.09</v>
      </c>
      <c r="F1229" s="2">
        <v>2</v>
      </c>
      <c r="G1229" s="2" t="s">
        <v>14</v>
      </c>
    </row>
    <row r="1230" spans="1:9" x14ac:dyDescent="0.2">
      <c r="A1230" s="2" t="s">
        <v>3737</v>
      </c>
      <c r="B1230" s="2" t="s">
        <v>1681</v>
      </c>
      <c r="C1230" s="2">
        <v>1275.825</v>
      </c>
      <c r="D1230" s="2">
        <f>HYPERLINK("http://mcb-m6.bioreg.kyushu-u.ac.jp/M3/20110427/F51123/3650/1", 146.04)</f>
        <v>146.04</v>
      </c>
      <c r="E1230" s="2">
        <v>133.09</v>
      </c>
      <c r="F1230" s="2">
        <v>2</v>
      </c>
      <c r="G1230" s="2" t="s">
        <v>14</v>
      </c>
      <c r="I1230" s="2" t="s">
        <v>4890</v>
      </c>
    </row>
    <row r="1231" spans="1:9" x14ac:dyDescent="0.2">
      <c r="A1231" s="2" t="s">
        <v>3737</v>
      </c>
      <c r="B1231" s="2" t="s">
        <v>1681</v>
      </c>
      <c r="C1231" s="2">
        <v>1275.8209999999999</v>
      </c>
      <c r="D1231" s="2">
        <f>HYPERLINK("http://mcb-m6.bioreg.kyushu-u.ac.jp/M3/20110427/F51121/2969/1", 149.94)</f>
        <v>149.94</v>
      </c>
      <c r="E1231" s="2">
        <v>137.75</v>
      </c>
      <c r="F1231" s="2">
        <v>2</v>
      </c>
      <c r="G1231" s="2" t="s">
        <v>14</v>
      </c>
      <c r="I1231" s="2" t="s">
        <v>4890</v>
      </c>
    </row>
    <row r="1232" spans="1:9" x14ac:dyDescent="0.2">
      <c r="A1232" s="2" t="s">
        <v>3737</v>
      </c>
      <c r="B1232" s="2" t="s">
        <v>1681</v>
      </c>
      <c r="C1232" s="2">
        <v>1276.066</v>
      </c>
      <c r="D1232" s="2">
        <f>HYPERLINK("http://mcb-m6.bioreg.kyushu-u.ac.jp/M3/20110428/F51135/3140/1", 150.33)</f>
        <v>150.33000000000001</v>
      </c>
      <c r="E1232" s="2">
        <v>101.98</v>
      </c>
      <c r="F1232" s="2">
        <v>2</v>
      </c>
      <c r="G1232" s="2" t="s">
        <v>14</v>
      </c>
      <c r="I1232" s="2" t="s">
        <v>4890</v>
      </c>
    </row>
    <row r="1233" spans="1:7" x14ac:dyDescent="0.2">
      <c r="A1233" s="2" t="s">
        <v>3266</v>
      </c>
      <c r="B1233" s="2" t="s">
        <v>46</v>
      </c>
      <c r="C1233" s="2">
        <v>977.47519999999997</v>
      </c>
      <c r="D1233" s="2">
        <f>HYPERLINK("http://mcb-m6.bioreg.kyushu-u.ac.jp/M3/20110404/F50776/2495/1", 35.61)</f>
        <v>35.61</v>
      </c>
      <c r="E1233" s="2">
        <v>21.21</v>
      </c>
      <c r="F1233" s="2">
        <v>2</v>
      </c>
      <c r="G1233" s="2" t="s">
        <v>9</v>
      </c>
    </row>
    <row r="1234" spans="1:7" x14ac:dyDescent="0.2">
      <c r="A1234" s="2" t="s">
        <v>3266</v>
      </c>
      <c r="B1234" s="2" t="s">
        <v>46</v>
      </c>
      <c r="C1234" s="2">
        <v>977.48569999999995</v>
      </c>
      <c r="D1234" s="2">
        <f>HYPERLINK("http://mcb-m6.bioreg.kyushu-u.ac.jp/M3/20110404/F50778/2917/1", 40.71)</f>
        <v>40.71</v>
      </c>
      <c r="E1234" s="2">
        <v>22.23</v>
      </c>
      <c r="F1234" s="2">
        <v>2</v>
      </c>
      <c r="G1234" s="2" t="s">
        <v>9</v>
      </c>
    </row>
    <row r="1235" spans="1:7" x14ac:dyDescent="0.2">
      <c r="A1235" s="2" t="s">
        <v>3266</v>
      </c>
      <c r="B1235" s="2" t="s">
        <v>46</v>
      </c>
      <c r="C1235" s="2">
        <v>977.52719999999999</v>
      </c>
      <c r="D1235" s="2">
        <f>HYPERLINK("http://mcb-m6.bioreg.kyushu-u.ac.jp/M3/20110404/F50776/2498/1", 44.22)</f>
        <v>44.22</v>
      </c>
      <c r="E1235" s="2">
        <v>21.77</v>
      </c>
      <c r="F1235" s="2">
        <v>2</v>
      </c>
      <c r="G1235" s="2" t="s">
        <v>9</v>
      </c>
    </row>
    <row r="1236" spans="1:7" x14ac:dyDescent="0.2">
      <c r="A1236" s="2" t="s">
        <v>3266</v>
      </c>
      <c r="B1236" s="2" t="s">
        <v>46</v>
      </c>
      <c r="C1236" s="2">
        <v>977.58920000000001</v>
      </c>
      <c r="D1236" s="2">
        <f>HYPERLINK("http://mcb-m6.bioreg.kyushu-u.ac.jp/M3/20110404/F50751/2567/1", 48.28)</f>
        <v>48.28</v>
      </c>
      <c r="E1236" s="2">
        <v>23.81</v>
      </c>
      <c r="F1236" s="2">
        <v>2</v>
      </c>
      <c r="G1236" s="2" t="s">
        <v>9</v>
      </c>
    </row>
    <row r="1237" spans="1:7" x14ac:dyDescent="0.2">
      <c r="A1237" s="2" t="s">
        <v>3266</v>
      </c>
      <c r="B1237" s="2" t="s">
        <v>46</v>
      </c>
      <c r="C1237" s="2">
        <v>977.68370000000004</v>
      </c>
      <c r="D1237" s="2">
        <f>HYPERLINK("http://mcb-m6.bioreg.kyushu-u.ac.jp/M3/20110404/F50776/2499/1", 50.91)</f>
        <v>50.91</v>
      </c>
      <c r="E1237" s="2">
        <v>30.43</v>
      </c>
      <c r="F1237" s="2">
        <v>2</v>
      </c>
      <c r="G1237" s="2" t="s">
        <v>9</v>
      </c>
    </row>
    <row r="1238" spans="1:7" x14ac:dyDescent="0.2">
      <c r="A1238" s="2" t="s">
        <v>3266</v>
      </c>
      <c r="B1238" s="2" t="s">
        <v>46</v>
      </c>
      <c r="C1238" s="2">
        <v>977.95669999999996</v>
      </c>
      <c r="D1238" s="2">
        <f>HYPERLINK("http://mcb-m6.bioreg.kyushu-u.ac.jp/M3/20110404/F50765/2754/1", 58.17)</f>
        <v>58.17</v>
      </c>
      <c r="E1238" s="2">
        <v>31.77</v>
      </c>
      <c r="F1238" s="2">
        <v>2</v>
      </c>
      <c r="G1238" s="2" t="s">
        <v>9</v>
      </c>
    </row>
    <row r="1239" spans="1:7" x14ac:dyDescent="0.2">
      <c r="A1239" s="2" t="s">
        <v>3266</v>
      </c>
      <c r="B1239" s="2" t="s">
        <v>46</v>
      </c>
      <c r="C1239" s="2">
        <v>977.61770000000001</v>
      </c>
      <c r="D1239" s="2">
        <f>HYPERLINK("http://mcb-m6.bioreg.kyushu-u.ac.jp/M3/20110404/F50752/2763/1", 59.16)</f>
        <v>59.16</v>
      </c>
      <c r="E1239" s="2">
        <v>41.05</v>
      </c>
      <c r="F1239" s="2">
        <v>2</v>
      </c>
      <c r="G1239" s="2" t="s">
        <v>9</v>
      </c>
    </row>
    <row r="1240" spans="1:7" x14ac:dyDescent="0.2">
      <c r="A1240" s="2" t="s">
        <v>3266</v>
      </c>
      <c r="B1240" s="2" t="s">
        <v>46</v>
      </c>
      <c r="C1240" s="2">
        <v>978.0702</v>
      </c>
      <c r="D1240" s="2">
        <f>HYPERLINK("http://mcb-m6.bioreg.kyushu-u.ac.jp/M3/20110404/F50776/2502/1", 69.09)</f>
        <v>69.09</v>
      </c>
      <c r="E1240" s="2">
        <v>42.2</v>
      </c>
      <c r="F1240" s="2">
        <v>2</v>
      </c>
      <c r="G1240" s="2" t="s">
        <v>9</v>
      </c>
    </row>
    <row r="1241" spans="1:7" x14ac:dyDescent="0.2">
      <c r="A1241" s="2" t="s">
        <v>3266</v>
      </c>
      <c r="B1241" s="2" t="s">
        <v>46</v>
      </c>
      <c r="C1241" s="2">
        <v>977.44870000000003</v>
      </c>
      <c r="D1241" s="2">
        <f>HYPERLINK("http://mcb-m6.bioreg.kyushu-u.ac.jp/M3/20110404/F50776/2494/1", 69.21)</f>
        <v>69.209999999999994</v>
      </c>
      <c r="E1241" s="2">
        <v>48.19</v>
      </c>
      <c r="F1241" s="2">
        <v>2</v>
      </c>
      <c r="G1241" s="2" t="s">
        <v>9</v>
      </c>
    </row>
    <row r="1242" spans="1:7" x14ac:dyDescent="0.2">
      <c r="A1242" s="2" t="s">
        <v>3266</v>
      </c>
      <c r="B1242" s="2" t="s">
        <v>46</v>
      </c>
      <c r="C1242" s="2">
        <v>977.47360000000003</v>
      </c>
      <c r="D1242" s="2">
        <f>HYPERLINK("http://mcb-m6.bioreg.kyushu-u.ac.jp/M3/20110404/F50756/2990/1", 69.5)</f>
        <v>69.5</v>
      </c>
      <c r="E1242" s="2">
        <v>42.54</v>
      </c>
      <c r="F1242" s="2">
        <v>2</v>
      </c>
      <c r="G1242" s="2" t="s">
        <v>9</v>
      </c>
    </row>
    <row r="1243" spans="1:7" x14ac:dyDescent="0.2">
      <c r="A1243" s="2" t="s">
        <v>3266</v>
      </c>
      <c r="B1243" s="2" t="s">
        <v>46</v>
      </c>
      <c r="C1243" s="2">
        <v>977.78060000000005</v>
      </c>
      <c r="D1243" s="2">
        <f>HYPERLINK("http://mcb-m6.bioreg.kyushu-u.ac.jp/M3/20110404/F50753/2848/1", 69.94)</f>
        <v>69.94</v>
      </c>
      <c r="E1243" s="2">
        <v>44.43</v>
      </c>
      <c r="F1243" s="2">
        <v>2</v>
      </c>
      <c r="G1243" s="2" t="s">
        <v>9</v>
      </c>
    </row>
    <row r="1244" spans="1:7" x14ac:dyDescent="0.2">
      <c r="A1244" s="2" t="s">
        <v>3266</v>
      </c>
      <c r="B1244" s="2" t="s">
        <v>46</v>
      </c>
      <c r="C1244" s="2">
        <v>977.82259999999997</v>
      </c>
      <c r="D1244" s="2">
        <f>HYPERLINK("http://mcb-m6.bioreg.kyushu-u.ac.jp/M3/20110404/F50767/2797/1", 71.71)</f>
        <v>71.709999999999994</v>
      </c>
      <c r="E1244" s="2">
        <v>47.13</v>
      </c>
      <c r="F1244" s="2">
        <v>2</v>
      </c>
      <c r="G1244" s="2" t="s">
        <v>9</v>
      </c>
    </row>
    <row r="1245" spans="1:7" x14ac:dyDescent="0.2">
      <c r="A1245" s="2" t="s">
        <v>3266</v>
      </c>
      <c r="B1245" s="2" t="s">
        <v>46</v>
      </c>
      <c r="C1245" s="2">
        <v>977.50959999999998</v>
      </c>
      <c r="D1245" s="2">
        <f>HYPERLINK("http://mcb-m6.bioreg.kyushu-u.ac.jp/M3/20110404/F50777/2791/1", 72.71)</f>
        <v>72.709999999999994</v>
      </c>
      <c r="E1245" s="2">
        <v>46.17</v>
      </c>
      <c r="F1245" s="2">
        <v>2</v>
      </c>
      <c r="G1245" s="2" t="s">
        <v>9</v>
      </c>
    </row>
    <row r="1246" spans="1:7" x14ac:dyDescent="0.2">
      <c r="A1246" s="2" t="s">
        <v>3266</v>
      </c>
      <c r="B1246" s="2" t="s">
        <v>46</v>
      </c>
      <c r="C1246" s="2">
        <v>977.34059999999999</v>
      </c>
      <c r="D1246" s="2">
        <f>HYPERLINK("http://mcb-m6.bioreg.kyushu-u.ac.jp/M3/20110404/F50755/2887/1", 73.62)</f>
        <v>73.62</v>
      </c>
      <c r="E1246" s="2">
        <v>47.28</v>
      </c>
      <c r="F1246" s="2">
        <v>2</v>
      </c>
      <c r="G1246" s="2" t="s">
        <v>9</v>
      </c>
    </row>
    <row r="1247" spans="1:7" x14ac:dyDescent="0.2">
      <c r="A1247" s="2" t="s">
        <v>3266</v>
      </c>
      <c r="B1247" s="2" t="s">
        <v>46</v>
      </c>
      <c r="C1247" s="2">
        <v>977.49069999999995</v>
      </c>
      <c r="D1247" s="2">
        <f>HYPERLINK("http://mcb-m6.bioreg.kyushu-u.ac.jp/M3/20110404/F50762/2522/1", 77.16)</f>
        <v>77.16</v>
      </c>
      <c r="E1247" s="2">
        <v>46.38</v>
      </c>
      <c r="F1247" s="2">
        <v>2</v>
      </c>
      <c r="G1247" s="2" t="s">
        <v>9</v>
      </c>
    </row>
    <row r="1248" spans="1:7" x14ac:dyDescent="0.2">
      <c r="A1248" s="2" t="s">
        <v>3266</v>
      </c>
      <c r="B1248" s="2" t="s">
        <v>6567</v>
      </c>
      <c r="C1248" s="2">
        <v>974.54060000000004</v>
      </c>
      <c r="D1248" s="2">
        <f>HYPERLINK("http://mcb-m6.bioreg.kyushu-u.ac.jp/M3/20110404/F50776/2483/1", 81.64)</f>
        <v>81.64</v>
      </c>
      <c r="E1248" s="2">
        <v>69.849999999999994</v>
      </c>
      <c r="F1248" s="2">
        <v>2</v>
      </c>
      <c r="G1248" s="2" t="s">
        <v>9</v>
      </c>
    </row>
    <row r="1249" spans="1:7" x14ac:dyDescent="0.2">
      <c r="A1249" s="2" t="s">
        <v>3266</v>
      </c>
      <c r="B1249" s="2" t="s">
        <v>46</v>
      </c>
      <c r="C1249" s="2">
        <v>1953.9939999999999</v>
      </c>
      <c r="D1249" s="2">
        <f>HYPERLINK("http://mcb-m6.bioreg.kyushu-u.ac.jp/M3/20110404/F50776/2497/1", 84.77)</f>
        <v>84.77</v>
      </c>
      <c r="E1249" s="2">
        <v>35.840000000000003</v>
      </c>
      <c r="F1249" s="2">
        <v>1</v>
      </c>
      <c r="G1249" s="2" t="s">
        <v>9</v>
      </c>
    </row>
    <row r="1250" spans="1:7" x14ac:dyDescent="0.2">
      <c r="A1250" s="2" t="s">
        <v>3266</v>
      </c>
      <c r="B1250" s="2" t="s">
        <v>46</v>
      </c>
      <c r="C1250" s="2">
        <v>977.44069999999999</v>
      </c>
      <c r="D1250" s="2">
        <f>HYPERLINK("http://mcb-m6.bioreg.kyushu-u.ac.jp/M3/20110404/F50765/2750/1", 88.75)</f>
        <v>88.75</v>
      </c>
      <c r="E1250" s="2">
        <v>54.89</v>
      </c>
      <c r="F1250" s="2">
        <v>2</v>
      </c>
      <c r="G1250" s="2" t="s">
        <v>9</v>
      </c>
    </row>
    <row r="1251" spans="1:7" x14ac:dyDescent="0.2">
      <c r="A1251" s="2" t="s">
        <v>3266</v>
      </c>
      <c r="B1251" s="2" t="s">
        <v>46</v>
      </c>
      <c r="C1251" s="2">
        <v>977.68709999999999</v>
      </c>
      <c r="D1251" s="2">
        <f>HYPERLINK("http://mcb-m6.bioreg.kyushu-u.ac.jp/M3/20110404/F50763/2707/1", 89.46)</f>
        <v>89.46</v>
      </c>
      <c r="E1251" s="2">
        <v>57.1</v>
      </c>
      <c r="F1251" s="2">
        <v>2</v>
      </c>
      <c r="G1251" s="2" t="s">
        <v>9</v>
      </c>
    </row>
    <row r="1252" spans="1:7" x14ac:dyDescent="0.2">
      <c r="A1252" s="2" t="s">
        <v>3266</v>
      </c>
      <c r="B1252" s="2" t="s">
        <v>46</v>
      </c>
      <c r="C1252" s="2">
        <v>977.59169999999995</v>
      </c>
      <c r="D1252" s="2">
        <f>HYPERLINK("http://mcb-m6.bioreg.kyushu-u.ac.jp/M3/20110404/F50764/2679/1", 91.18)</f>
        <v>91.18</v>
      </c>
      <c r="E1252" s="2">
        <v>59.19</v>
      </c>
      <c r="F1252" s="2">
        <v>2</v>
      </c>
      <c r="G1252" s="2" t="s">
        <v>9</v>
      </c>
    </row>
    <row r="1253" spans="1:7" x14ac:dyDescent="0.2">
      <c r="A1253" s="2" t="s">
        <v>3266</v>
      </c>
      <c r="B1253" s="2" t="s">
        <v>46</v>
      </c>
      <c r="C1253" s="2">
        <v>977.51869999999997</v>
      </c>
      <c r="D1253" s="2">
        <f>HYPERLINK("http://mcb-m6.bioreg.kyushu-u.ac.jp/M3/20110404/F50782/2932/1", 36.04)</f>
        <v>36.04</v>
      </c>
      <c r="E1253" s="2">
        <v>19.04</v>
      </c>
      <c r="F1253" s="2">
        <v>2</v>
      </c>
      <c r="G1253" s="2" t="s">
        <v>10</v>
      </c>
    </row>
    <row r="1254" spans="1:7" x14ac:dyDescent="0.2">
      <c r="A1254" s="2" t="s">
        <v>3266</v>
      </c>
      <c r="B1254" s="2" t="s">
        <v>46</v>
      </c>
      <c r="C1254" s="2">
        <v>652.41520000000003</v>
      </c>
      <c r="D1254" s="2">
        <f>HYPERLINK("http://mcb-m6.bioreg.kyushu-u.ac.jp/M3/20110404/F50781/2462/1", 42.79)</f>
        <v>42.79</v>
      </c>
      <c r="E1254" s="2">
        <v>9.91</v>
      </c>
      <c r="F1254" s="2">
        <v>3</v>
      </c>
      <c r="G1254" s="2" t="s">
        <v>10</v>
      </c>
    </row>
    <row r="1255" spans="1:7" x14ac:dyDescent="0.2">
      <c r="A1255" s="2" t="s">
        <v>3266</v>
      </c>
      <c r="B1255" s="2" t="s">
        <v>46</v>
      </c>
      <c r="C1255" s="2">
        <v>652.26350000000002</v>
      </c>
      <c r="D1255" s="2">
        <f>HYPERLINK("http://mcb-m6.bioreg.kyushu-u.ac.jp/M3/20110404/F50761/2754/1", 44.64)</f>
        <v>44.64</v>
      </c>
      <c r="E1255" s="2">
        <v>13.1</v>
      </c>
      <c r="F1255" s="2">
        <v>3</v>
      </c>
      <c r="G1255" s="2" t="s">
        <v>10</v>
      </c>
    </row>
    <row r="1256" spans="1:7" x14ac:dyDescent="0.2">
      <c r="A1256" s="2" t="s">
        <v>3266</v>
      </c>
      <c r="B1256" s="2" t="s">
        <v>46</v>
      </c>
      <c r="C1256" s="2">
        <v>977.53219999999999</v>
      </c>
      <c r="D1256" s="2">
        <f>HYPERLINK("http://mcb-m6.bioreg.kyushu-u.ac.jp/M3/20110404/F50770/2595/1", 44.78)</f>
        <v>44.78</v>
      </c>
      <c r="E1256" s="2">
        <v>27.66</v>
      </c>
      <c r="F1256" s="2">
        <v>2</v>
      </c>
      <c r="G1256" s="2" t="s">
        <v>10</v>
      </c>
    </row>
    <row r="1257" spans="1:7" x14ac:dyDescent="0.2">
      <c r="A1257" s="2" t="s">
        <v>3266</v>
      </c>
      <c r="B1257" s="2" t="s">
        <v>46</v>
      </c>
      <c r="C1257" s="2">
        <v>977.5367</v>
      </c>
      <c r="D1257" s="2">
        <f>HYPERLINK("http://mcb-m6.bioreg.kyushu-u.ac.jp/M3/20110404/F50781/2459/1", 46.39)</f>
        <v>46.39</v>
      </c>
      <c r="E1257" s="2">
        <v>29.72</v>
      </c>
      <c r="F1257" s="2">
        <v>2</v>
      </c>
      <c r="G1257" s="2" t="s">
        <v>10</v>
      </c>
    </row>
    <row r="1258" spans="1:7" x14ac:dyDescent="0.2">
      <c r="A1258" s="2" t="s">
        <v>3266</v>
      </c>
      <c r="B1258" s="2" t="s">
        <v>46</v>
      </c>
      <c r="C1258" s="2">
        <v>977.45370000000003</v>
      </c>
      <c r="D1258" s="2">
        <f>HYPERLINK("http://mcb-m6.bioreg.kyushu-u.ac.jp/M3/20110404/F50781/2455/1", 55.46)</f>
        <v>55.46</v>
      </c>
      <c r="E1258" s="2">
        <v>39.36</v>
      </c>
      <c r="F1258" s="2">
        <v>2</v>
      </c>
      <c r="G1258" s="2" t="s">
        <v>10</v>
      </c>
    </row>
    <row r="1259" spans="1:7" x14ac:dyDescent="0.2">
      <c r="A1259" s="2" t="s">
        <v>3266</v>
      </c>
      <c r="B1259" s="2" t="s">
        <v>46</v>
      </c>
      <c r="C1259" s="2">
        <v>978.06709999999998</v>
      </c>
      <c r="D1259" s="2">
        <f>HYPERLINK("http://mcb-m6.bioreg.kyushu-u.ac.jp/M3/20110404/F50772/2821/1", 59.68)</f>
        <v>59.68</v>
      </c>
      <c r="E1259" s="2">
        <v>35.33</v>
      </c>
      <c r="F1259" s="2">
        <v>2</v>
      </c>
      <c r="G1259" s="2" t="s">
        <v>10</v>
      </c>
    </row>
    <row r="1260" spans="1:7" x14ac:dyDescent="0.2">
      <c r="A1260" s="2" t="s">
        <v>3266</v>
      </c>
      <c r="B1260" s="2" t="s">
        <v>46</v>
      </c>
      <c r="C1260" s="2">
        <v>977.42219999999998</v>
      </c>
      <c r="D1260" s="2">
        <f>HYPERLINK("http://mcb-m6.bioreg.kyushu-u.ac.jp/M3/20110404/F50768/2671/1", 61.26)</f>
        <v>61.26</v>
      </c>
      <c r="E1260" s="2">
        <v>38.299999999999997</v>
      </c>
      <c r="F1260" s="2">
        <v>2</v>
      </c>
      <c r="G1260" s="2" t="s">
        <v>10</v>
      </c>
    </row>
    <row r="1261" spans="1:7" x14ac:dyDescent="0.2">
      <c r="A1261" s="2" t="s">
        <v>3266</v>
      </c>
      <c r="B1261" s="2" t="s">
        <v>46</v>
      </c>
      <c r="C1261" s="2">
        <v>977.54269999999997</v>
      </c>
      <c r="D1261" s="2">
        <f>HYPERLINK("http://mcb-m6.bioreg.kyushu-u.ac.jp/M3/20110404/F50772/2816/1", 62.7)</f>
        <v>62.7</v>
      </c>
      <c r="E1261" s="2">
        <v>36.51</v>
      </c>
      <c r="F1261" s="2">
        <v>2</v>
      </c>
      <c r="G1261" s="2" t="s">
        <v>10</v>
      </c>
    </row>
    <row r="1262" spans="1:7" x14ac:dyDescent="0.2">
      <c r="A1262" s="2" t="s">
        <v>3266</v>
      </c>
      <c r="B1262" s="2" t="s">
        <v>46</v>
      </c>
      <c r="C1262" s="2">
        <v>977.40060000000005</v>
      </c>
      <c r="D1262" s="2">
        <f>HYPERLINK("http://mcb-m6.bioreg.kyushu-u.ac.jp/M3/20110404/F50761/2749/1", 62.9)</f>
        <v>62.9</v>
      </c>
      <c r="E1262" s="2">
        <v>39.64</v>
      </c>
      <c r="F1262" s="2">
        <v>2</v>
      </c>
      <c r="G1262" s="2" t="s">
        <v>10</v>
      </c>
    </row>
    <row r="1263" spans="1:7" x14ac:dyDescent="0.2">
      <c r="A1263" s="2" t="s">
        <v>3266</v>
      </c>
      <c r="B1263" s="2" t="s">
        <v>46</v>
      </c>
      <c r="C1263" s="2">
        <v>977.88959999999997</v>
      </c>
      <c r="D1263" s="2">
        <f>HYPERLINK("http://mcb-m6.bioreg.kyushu-u.ac.jp/M3/20110404/F50769/2575/1", 63.19)</f>
        <v>63.19</v>
      </c>
      <c r="E1263" s="2">
        <v>41</v>
      </c>
      <c r="F1263" s="2">
        <v>2</v>
      </c>
      <c r="G1263" s="2" t="s">
        <v>10</v>
      </c>
    </row>
    <row r="1264" spans="1:7" x14ac:dyDescent="0.2">
      <c r="A1264" s="2" t="s">
        <v>3266</v>
      </c>
      <c r="B1264" s="2" t="s">
        <v>46</v>
      </c>
      <c r="C1264" s="2">
        <v>977.40920000000006</v>
      </c>
      <c r="D1264" s="2">
        <f>HYPERLINK("http://mcb-m6.bioreg.kyushu-u.ac.jp/M3/20110404/F50775/2721/1", 70.75)</f>
        <v>70.75</v>
      </c>
      <c r="E1264" s="2">
        <v>48.18</v>
      </c>
      <c r="F1264" s="2">
        <v>2</v>
      </c>
      <c r="G1264" s="2" t="s">
        <v>10</v>
      </c>
    </row>
    <row r="1265" spans="1:7" x14ac:dyDescent="0.2">
      <c r="A1265" s="2" t="s">
        <v>3266</v>
      </c>
      <c r="B1265" s="2" t="s">
        <v>46</v>
      </c>
      <c r="C1265" s="2">
        <v>977.50570000000005</v>
      </c>
      <c r="D1265" s="2">
        <f>HYPERLINK("http://mcb-m6.bioreg.kyushu-u.ac.jp/M3/20110404/F50761/2751/1", 71.34)</f>
        <v>71.34</v>
      </c>
      <c r="E1265" s="2">
        <v>42.78</v>
      </c>
      <c r="F1265" s="2">
        <v>2</v>
      </c>
      <c r="G1265" s="2" t="s">
        <v>10</v>
      </c>
    </row>
    <row r="1266" spans="1:7" x14ac:dyDescent="0.2">
      <c r="A1266" s="2" t="s">
        <v>3266</v>
      </c>
      <c r="B1266" s="2" t="s">
        <v>46</v>
      </c>
      <c r="C1266" s="2">
        <v>978.02719999999999</v>
      </c>
      <c r="D1266" s="2">
        <f>HYPERLINK("http://mcb-m6.bioreg.kyushu-u.ac.jp/M3/20110404/F50781/2460/1", 71.7)</f>
        <v>71.7</v>
      </c>
      <c r="E1266" s="2">
        <v>43.94</v>
      </c>
      <c r="F1266" s="2">
        <v>2</v>
      </c>
      <c r="G1266" s="2" t="s">
        <v>10</v>
      </c>
    </row>
    <row r="1267" spans="1:7" x14ac:dyDescent="0.2">
      <c r="A1267" s="2" t="s">
        <v>3266</v>
      </c>
      <c r="B1267" s="2" t="s">
        <v>46</v>
      </c>
      <c r="C1267" s="2">
        <v>977.50570000000005</v>
      </c>
      <c r="D1267" s="2">
        <f>HYPERLINK("http://mcb-m6.bioreg.kyushu-u.ac.jp/M3/20110404/F50781/2456/1", 76.04)</f>
        <v>76.040000000000006</v>
      </c>
      <c r="E1267" s="2">
        <v>48.78</v>
      </c>
      <c r="F1267" s="2">
        <v>2</v>
      </c>
      <c r="G1267" s="2" t="s">
        <v>10</v>
      </c>
    </row>
    <row r="1268" spans="1:7" x14ac:dyDescent="0.2">
      <c r="A1268" s="2" t="s">
        <v>3266</v>
      </c>
      <c r="B1268" s="2" t="s">
        <v>46</v>
      </c>
      <c r="C1268" s="2">
        <v>977.97270000000003</v>
      </c>
      <c r="D1268" s="2">
        <f>HYPERLINK("http://mcb-m6.bioreg.kyushu-u.ac.jp/M3/20110404/F50774/2654/1", 78.43)</f>
        <v>78.430000000000007</v>
      </c>
      <c r="E1268" s="2">
        <v>51.34</v>
      </c>
      <c r="F1268" s="2">
        <v>2</v>
      </c>
      <c r="G1268" s="2" t="s">
        <v>10</v>
      </c>
    </row>
    <row r="1269" spans="1:7" x14ac:dyDescent="0.2">
      <c r="A1269" s="2" t="s">
        <v>3266</v>
      </c>
      <c r="B1269" s="2" t="s">
        <v>46</v>
      </c>
      <c r="C1269" s="2">
        <v>977.4941</v>
      </c>
      <c r="D1269" s="2">
        <f>HYPERLINK("http://mcb-m6.bioreg.kyushu-u.ac.jp/M3/20110404/F50760/2616/1", 80.14)</f>
        <v>80.14</v>
      </c>
      <c r="E1269" s="2">
        <v>55.54</v>
      </c>
      <c r="F1269" s="2">
        <v>2</v>
      </c>
      <c r="G1269" s="2" t="s">
        <v>10</v>
      </c>
    </row>
    <row r="1270" spans="1:7" x14ac:dyDescent="0.2">
      <c r="A1270" s="2" t="s">
        <v>3266</v>
      </c>
      <c r="B1270" s="2" t="s">
        <v>46</v>
      </c>
      <c r="C1270" s="2">
        <v>977.59810000000004</v>
      </c>
      <c r="D1270" s="2">
        <f>HYPERLINK("http://mcb-m6.bioreg.kyushu-u.ac.jp/M3/20110404/F50773/2684/1", 80.27)</f>
        <v>80.27</v>
      </c>
      <c r="E1270" s="2">
        <v>52.35</v>
      </c>
      <c r="F1270" s="2">
        <v>2</v>
      </c>
      <c r="G1270" s="2" t="s">
        <v>10</v>
      </c>
    </row>
    <row r="1271" spans="1:7" x14ac:dyDescent="0.2">
      <c r="A1271" s="2" t="s">
        <v>3266</v>
      </c>
      <c r="B1271" s="2" t="s">
        <v>46</v>
      </c>
      <c r="C1271" s="2">
        <v>977.33920000000001</v>
      </c>
      <c r="D1271" s="2">
        <f>HYPERLINK("http://mcb-m6.bioreg.kyushu-u.ac.jp/M3/20110404/F50771/2767/1", 80.29)</f>
        <v>80.290000000000006</v>
      </c>
      <c r="E1271" s="2">
        <v>47.18</v>
      </c>
      <c r="F1271" s="2">
        <v>2</v>
      </c>
      <c r="G1271" s="2" t="s">
        <v>10</v>
      </c>
    </row>
    <row r="1272" spans="1:7" x14ac:dyDescent="0.2">
      <c r="A1272" s="2" t="s">
        <v>3266</v>
      </c>
      <c r="B1272" s="2" t="s">
        <v>46</v>
      </c>
      <c r="C1272" s="2">
        <v>977.41610000000003</v>
      </c>
      <c r="D1272" s="2">
        <f>HYPERLINK("http://mcb-m6.bioreg.kyushu-u.ac.jp/M3/20110404/F50758/2642/1", 84.05)</f>
        <v>84.05</v>
      </c>
      <c r="E1272" s="2">
        <v>54.72</v>
      </c>
      <c r="F1272" s="2">
        <v>2</v>
      </c>
      <c r="G1272" s="2" t="s">
        <v>10</v>
      </c>
    </row>
    <row r="1273" spans="1:7" x14ac:dyDescent="0.2">
      <c r="A1273" s="2" t="s">
        <v>3266</v>
      </c>
      <c r="B1273" s="2" t="s">
        <v>46</v>
      </c>
      <c r="C1273" s="2">
        <v>1953.87</v>
      </c>
      <c r="D1273" s="2">
        <f>HYPERLINK("http://mcb-m6.bioreg.kyushu-u.ac.jp/M3/20110404/F50781/2454/1", 95.09)</f>
        <v>95.09</v>
      </c>
      <c r="E1273" s="2">
        <v>37.76</v>
      </c>
      <c r="F1273" s="2">
        <v>1</v>
      </c>
      <c r="G1273" s="2" t="s">
        <v>10</v>
      </c>
    </row>
    <row r="1274" spans="1:7" x14ac:dyDescent="0.2">
      <c r="A1274" s="2" t="s">
        <v>3266</v>
      </c>
      <c r="B1274" s="2" t="s">
        <v>46</v>
      </c>
      <c r="C1274" s="2">
        <v>977.54610000000002</v>
      </c>
      <c r="D1274" s="2">
        <f>HYPERLINK("http://mcb-m6.bioreg.kyushu-u.ac.jp/M3/20110421/F51058/2855/1", 37.56)</f>
        <v>37.56</v>
      </c>
      <c r="E1274" s="2">
        <v>24.23</v>
      </c>
      <c r="F1274" s="2">
        <v>2</v>
      </c>
      <c r="G1274" s="2" t="s">
        <v>11</v>
      </c>
    </row>
    <row r="1275" spans="1:7" x14ac:dyDescent="0.2">
      <c r="A1275" s="2" t="s">
        <v>3266</v>
      </c>
      <c r="B1275" s="2" t="s">
        <v>46</v>
      </c>
      <c r="C1275" s="2">
        <v>977.89760000000001</v>
      </c>
      <c r="D1275" s="2">
        <f>HYPERLINK("http://mcb-m6.bioreg.kyushu-u.ac.jp/M3/20110421/F51020/2888/1", 47.91)</f>
        <v>47.91</v>
      </c>
      <c r="E1275" s="2">
        <v>26.08</v>
      </c>
      <c r="F1275" s="2">
        <v>2</v>
      </c>
      <c r="G1275" s="2" t="s">
        <v>11</v>
      </c>
    </row>
    <row r="1276" spans="1:7" x14ac:dyDescent="0.2">
      <c r="A1276" s="2" t="s">
        <v>3266</v>
      </c>
      <c r="B1276" s="2" t="s">
        <v>46</v>
      </c>
      <c r="C1276" s="2">
        <v>977.64260000000002</v>
      </c>
      <c r="D1276" s="2">
        <f>HYPERLINK("http://mcb-m6.bioreg.kyushu-u.ac.jp/M3/20110421/F51058/2857/1", 50.66)</f>
        <v>50.66</v>
      </c>
      <c r="E1276" s="2">
        <v>35.21</v>
      </c>
      <c r="F1276" s="2">
        <v>2</v>
      </c>
      <c r="G1276" s="2" t="s">
        <v>11</v>
      </c>
    </row>
    <row r="1277" spans="1:7" x14ac:dyDescent="0.2">
      <c r="A1277" s="2" t="s">
        <v>3266</v>
      </c>
      <c r="B1277" s="2" t="s">
        <v>46</v>
      </c>
      <c r="C1277" s="2">
        <v>652.35419999999999</v>
      </c>
      <c r="D1277" s="2">
        <f>HYPERLINK("http://mcb-m6.bioreg.kyushu-u.ac.jp/M3/20110421/F51058/2862/1", 54.84)</f>
        <v>54.84</v>
      </c>
      <c r="E1277" s="2">
        <v>21.42</v>
      </c>
      <c r="F1277" s="2">
        <v>3</v>
      </c>
      <c r="G1277" s="2" t="s">
        <v>11</v>
      </c>
    </row>
    <row r="1278" spans="1:7" x14ac:dyDescent="0.2">
      <c r="A1278" s="2" t="s">
        <v>3266</v>
      </c>
      <c r="B1278" s="2" t="s">
        <v>46</v>
      </c>
      <c r="C1278" s="2">
        <v>977.91110000000003</v>
      </c>
      <c r="D1278" s="2">
        <f>HYPERLINK("http://mcb-m6.bioreg.kyushu-u.ac.jp/M3/20110421/F51037/3294/1", 55.18)</f>
        <v>55.18</v>
      </c>
      <c r="E1278" s="2">
        <v>35.97</v>
      </c>
      <c r="F1278" s="2">
        <v>2</v>
      </c>
      <c r="G1278" s="2" t="s">
        <v>11</v>
      </c>
    </row>
    <row r="1279" spans="1:7" x14ac:dyDescent="0.2">
      <c r="A1279" s="2" t="s">
        <v>3266</v>
      </c>
      <c r="B1279" s="2" t="s">
        <v>46</v>
      </c>
      <c r="C1279" s="2">
        <v>977.4991</v>
      </c>
      <c r="D1279" s="2">
        <f>HYPERLINK("http://mcb-m6.bioreg.kyushu-u.ac.jp/M3/20110421/F51035/3059/1", 61.54)</f>
        <v>61.54</v>
      </c>
      <c r="E1279" s="2">
        <v>41.18</v>
      </c>
      <c r="F1279" s="2">
        <v>2</v>
      </c>
      <c r="G1279" s="2" t="s">
        <v>11</v>
      </c>
    </row>
    <row r="1280" spans="1:7" x14ac:dyDescent="0.2">
      <c r="A1280" s="2" t="s">
        <v>3266</v>
      </c>
      <c r="B1280" s="2" t="s">
        <v>46</v>
      </c>
      <c r="C1280" s="2">
        <v>978.07069999999999</v>
      </c>
      <c r="D1280" s="2">
        <f>HYPERLINK("http://mcb-m6.bioreg.kyushu-u.ac.jp/M3/20110421/F51058/2864/1", 65.29)</f>
        <v>65.290000000000006</v>
      </c>
      <c r="E1280" s="2">
        <v>22.33</v>
      </c>
      <c r="F1280" s="2">
        <v>2</v>
      </c>
      <c r="G1280" s="2" t="s">
        <v>11</v>
      </c>
    </row>
    <row r="1281" spans="1:7" x14ac:dyDescent="0.2">
      <c r="A1281" s="2" t="s">
        <v>3266</v>
      </c>
      <c r="B1281" s="2" t="s">
        <v>46</v>
      </c>
      <c r="C1281" s="2">
        <v>978.03020000000004</v>
      </c>
      <c r="D1281" s="2">
        <f>HYPERLINK("http://mcb-m6.bioreg.kyushu-u.ac.jp/M3/20110421/F51034/3031/1", 67.13)</f>
        <v>67.13</v>
      </c>
      <c r="E1281" s="2">
        <v>41.79</v>
      </c>
      <c r="F1281" s="2">
        <v>2</v>
      </c>
      <c r="G1281" s="2" t="s">
        <v>11</v>
      </c>
    </row>
    <row r="1282" spans="1:7" x14ac:dyDescent="0.2">
      <c r="A1282" s="2" t="s">
        <v>3266</v>
      </c>
      <c r="B1282" s="2" t="s">
        <v>46</v>
      </c>
      <c r="C1282" s="2">
        <v>977.52170000000001</v>
      </c>
      <c r="D1282" s="2">
        <f>HYPERLINK("http://mcb-m6.bioreg.kyushu-u.ac.jp/M3/20110421/F51034/3026/1", 83.71)</f>
        <v>83.71</v>
      </c>
      <c r="E1282" s="2">
        <v>52.67</v>
      </c>
      <c r="F1282" s="2">
        <v>2</v>
      </c>
      <c r="G1282" s="2" t="s">
        <v>11</v>
      </c>
    </row>
    <row r="1283" spans="1:7" x14ac:dyDescent="0.2">
      <c r="A1283" s="2" t="s">
        <v>3266</v>
      </c>
      <c r="B1283" s="2" t="s">
        <v>46</v>
      </c>
      <c r="C1283" s="2">
        <v>977.28470000000004</v>
      </c>
      <c r="D1283" s="2">
        <f>HYPERLINK("http://mcb-m6.bioreg.kyushu-u.ac.jp/M3/20110421/F51017/3126/1", 86.4)</f>
        <v>86.4</v>
      </c>
      <c r="E1283" s="2">
        <v>52.62</v>
      </c>
      <c r="F1283" s="2">
        <v>2</v>
      </c>
      <c r="G1283" s="2" t="s">
        <v>11</v>
      </c>
    </row>
    <row r="1284" spans="1:7" x14ac:dyDescent="0.2">
      <c r="A1284" s="2" t="s">
        <v>3266</v>
      </c>
      <c r="B1284" s="2" t="s">
        <v>46</v>
      </c>
      <c r="C1284" s="2">
        <v>977.55269999999996</v>
      </c>
      <c r="D1284" s="2">
        <f>HYPERLINK("http://mcb-m6.bioreg.kyushu-u.ac.jp/M3/20110421/F51058/2856/1", 86.96)</f>
        <v>86.96</v>
      </c>
      <c r="E1284" s="2">
        <v>47.04</v>
      </c>
      <c r="F1284" s="2">
        <v>2</v>
      </c>
      <c r="G1284" s="2" t="s">
        <v>11</v>
      </c>
    </row>
    <row r="1285" spans="1:7" x14ac:dyDescent="0.2">
      <c r="A1285" s="2" t="s">
        <v>3266</v>
      </c>
      <c r="B1285" s="2" t="s">
        <v>46</v>
      </c>
      <c r="C1285" s="2">
        <v>652.23350000000005</v>
      </c>
      <c r="D1285" s="2">
        <f>HYPERLINK("http://mcb-m6.bioreg.kyushu-u.ac.jp/M3/20110421/F51025/2731/1", 36.58)</f>
        <v>36.58</v>
      </c>
      <c r="E1285" s="2">
        <v>14.67</v>
      </c>
      <c r="F1285" s="2">
        <v>3</v>
      </c>
      <c r="G1285" s="2" t="s">
        <v>12</v>
      </c>
    </row>
    <row r="1286" spans="1:7" x14ac:dyDescent="0.2">
      <c r="A1286" s="2" t="s">
        <v>3266</v>
      </c>
      <c r="B1286" s="2" t="s">
        <v>46</v>
      </c>
      <c r="C1286" s="2">
        <v>978.02919999999995</v>
      </c>
      <c r="D1286" s="2">
        <f>HYPERLINK("http://mcb-m6.bioreg.kyushu-u.ac.jp/M3/20110421/F51059/2903/1", 56.42)</f>
        <v>56.42</v>
      </c>
      <c r="E1286" s="2">
        <v>37.770000000000003</v>
      </c>
      <c r="F1286" s="2">
        <v>2</v>
      </c>
      <c r="G1286" s="2" t="s">
        <v>12</v>
      </c>
    </row>
    <row r="1287" spans="1:7" x14ac:dyDescent="0.2">
      <c r="A1287" s="2" t="s">
        <v>3266</v>
      </c>
      <c r="B1287" s="2" t="s">
        <v>46</v>
      </c>
      <c r="C1287" s="2">
        <v>978.12459999999999</v>
      </c>
      <c r="D1287" s="2">
        <f>HYPERLINK("http://mcb-m6.bioreg.kyushu-u.ac.jp/M3/20110421/F51059/2905/1", 56.78)</f>
        <v>56.78</v>
      </c>
      <c r="E1287" s="2">
        <v>30.48</v>
      </c>
      <c r="F1287" s="2">
        <v>2</v>
      </c>
      <c r="G1287" s="2" t="s">
        <v>12</v>
      </c>
    </row>
    <row r="1288" spans="1:7" x14ac:dyDescent="0.2">
      <c r="A1288" s="2" t="s">
        <v>3266</v>
      </c>
      <c r="B1288" s="2" t="s">
        <v>46</v>
      </c>
      <c r="C1288" s="2">
        <v>977.51170000000002</v>
      </c>
      <c r="D1288" s="2">
        <f>HYPERLINK("http://mcb-m6.bioreg.kyushu-u.ac.jp/M3/20110421/F51059/2896/1", 66.98)</f>
        <v>66.98</v>
      </c>
      <c r="E1288" s="2">
        <v>44.91</v>
      </c>
      <c r="F1288" s="2">
        <v>2</v>
      </c>
      <c r="G1288" s="2" t="s">
        <v>12</v>
      </c>
    </row>
    <row r="1289" spans="1:7" x14ac:dyDescent="0.2">
      <c r="A1289" s="2" t="s">
        <v>3266</v>
      </c>
      <c r="B1289" s="2" t="s">
        <v>46</v>
      </c>
      <c r="C1289" s="2">
        <v>977.86159999999995</v>
      </c>
      <c r="D1289" s="2">
        <f>HYPERLINK("http://mcb-m6.bioreg.kyushu-u.ac.jp/M3/20110421/F51025/2732/1", 68.9)</f>
        <v>68.900000000000006</v>
      </c>
      <c r="E1289" s="2">
        <v>43.14</v>
      </c>
      <c r="F1289" s="2">
        <v>2</v>
      </c>
      <c r="G1289" s="2" t="s">
        <v>12</v>
      </c>
    </row>
    <row r="1290" spans="1:7" x14ac:dyDescent="0.2">
      <c r="A1290" s="2" t="s">
        <v>3266</v>
      </c>
      <c r="B1290" s="2" t="s">
        <v>46</v>
      </c>
      <c r="C1290" s="2">
        <v>977.35109999999997</v>
      </c>
      <c r="D1290" s="2">
        <f>HYPERLINK("http://mcb-m6.bioreg.kyushu-u.ac.jp/M3/20110421/F51025/2728/1", 69.59)</f>
        <v>69.59</v>
      </c>
      <c r="E1290" s="2">
        <v>46.73</v>
      </c>
      <c r="F1290" s="2">
        <v>2</v>
      </c>
      <c r="G1290" s="2" t="s">
        <v>12</v>
      </c>
    </row>
    <row r="1291" spans="1:7" x14ac:dyDescent="0.2">
      <c r="A1291" s="2" t="s">
        <v>3266</v>
      </c>
      <c r="B1291" s="2" t="s">
        <v>46</v>
      </c>
      <c r="C1291" s="2">
        <v>977.50819999999999</v>
      </c>
      <c r="D1291" s="2">
        <f>HYPERLINK("http://mcb-m6.bioreg.kyushu-u.ac.jp/M3/20110421/F51045/3033/1", 70.24)</f>
        <v>70.239999999999995</v>
      </c>
      <c r="E1291" s="2">
        <v>46.42</v>
      </c>
      <c r="F1291" s="2">
        <v>2</v>
      </c>
      <c r="G1291" s="2" t="s">
        <v>12</v>
      </c>
    </row>
    <row r="1292" spans="1:7" x14ac:dyDescent="0.2">
      <c r="A1292" s="2" t="s">
        <v>3266</v>
      </c>
      <c r="B1292" s="2" t="s">
        <v>46</v>
      </c>
      <c r="C1292" s="2">
        <v>977.42520000000002</v>
      </c>
      <c r="D1292" s="2">
        <f>HYPERLINK("http://mcb-m6.bioreg.kyushu-u.ac.jp/M3/20110421/F51024/2949/1", 71.27)</f>
        <v>71.27</v>
      </c>
      <c r="E1292" s="2">
        <v>45.63</v>
      </c>
      <c r="F1292" s="2">
        <v>2</v>
      </c>
      <c r="G1292" s="2" t="s">
        <v>12</v>
      </c>
    </row>
    <row r="1293" spans="1:7" x14ac:dyDescent="0.2">
      <c r="A1293" s="2" t="s">
        <v>3266</v>
      </c>
      <c r="B1293" s="2" t="s">
        <v>46</v>
      </c>
      <c r="C1293" s="2">
        <v>977.65769999999998</v>
      </c>
      <c r="D1293" s="2">
        <f>HYPERLINK("http://mcb-m6.bioreg.kyushu-u.ac.jp/M3/20110421/F51047/3023/1", 71.48)</f>
        <v>71.48</v>
      </c>
      <c r="E1293" s="2">
        <v>46.54</v>
      </c>
      <c r="F1293" s="2">
        <v>2</v>
      </c>
      <c r="G1293" s="2" t="s">
        <v>12</v>
      </c>
    </row>
    <row r="1294" spans="1:7" x14ac:dyDescent="0.2">
      <c r="A1294" s="2" t="s">
        <v>3266</v>
      </c>
      <c r="B1294" s="2" t="s">
        <v>46</v>
      </c>
      <c r="C1294" s="2">
        <v>977.54859999999996</v>
      </c>
      <c r="D1294" s="2">
        <f>HYPERLINK("http://mcb-m6.bioreg.kyushu-u.ac.jp/M3/20110421/F51059/2897/1", 71.69)</f>
        <v>71.69</v>
      </c>
      <c r="E1294" s="2">
        <v>48.85</v>
      </c>
      <c r="F1294" s="2">
        <v>2</v>
      </c>
      <c r="G1294" s="2" t="s">
        <v>12</v>
      </c>
    </row>
    <row r="1295" spans="1:7" x14ac:dyDescent="0.2">
      <c r="A1295" s="2" t="s">
        <v>3266</v>
      </c>
      <c r="B1295" s="2" t="s">
        <v>46</v>
      </c>
      <c r="C1295" s="2">
        <v>977.47360000000003</v>
      </c>
      <c r="D1295" s="2">
        <f>HYPERLINK("http://mcb-m6.bioreg.kyushu-u.ac.jp/M3/20110421/F51023/2800/1", 71.99)</f>
        <v>71.989999999999995</v>
      </c>
      <c r="E1295" s="2">
        <v>49.15</v>
      </c>
      <c r="F1295" s="2">
        <v>2</v>
      </c>
      <c r="G1295" s="2" t="s">
        <v>12</v>
      </c>
    </row>
    <row r="1296" spans="1:7" x14ac:dyDescent="0.2">
      <c r="A1296" s="2" t="s">
        <v>3266</v>
      </c>
      <c r="B1296" s="2" t="s">
        <v>46</v>
      </c>
      <c r="C1296" s="2">
        <v>977.6857</v>
      </c>
      <c r="D1296" s="2">
        <f>HYPERLINK("http://mcb-m6.bioreg.kyushu-u.ac.jp/M3/20110421/F51050/2887/1", 72.15)</f>
        <v>72.150000000000006</v>
      </c>
      <c r="E1296" s="2">
        <v>49.65</v>
      </c>
      <c r="F1296" s="2">
        <v>2</v>
      </c>
      <c r="G1296" s="2" t="s">
        <v>12</v>
      </c>
    </row>
    <row r="1297" spans="1:7" x14ac:dyDescent="0.2">
      <c r="A1297" s="2" t="s">
        <v>3266</v>
      </c>
      <c r="B1297" s="2" t="s">
        <v>46</v>
      </c>
      <c r="C1297" s="2">
        <v>977.53809999999999</v>
      </c>
      <c r="D1297" s="2">
        <f>HYPERLINK("http://mcb-m6.bioreg.kyushu-u.ac.jp/M3/20110421/F51048/3079/1", 76.55)</f>
        <v>76.55</v>
      </c>
      <c r="E1297" s="2">
        <v>49.12</v>
      </c>
      <c r="F1297" s="2">
        <v>2</v>
      </c>
      <c r="G1297" s="2" t="s">
        <v>12</v>
      </c>
    </row>
    <row r="1298" spans="1:7" x14ac:dyDescent="0.2">
      <c r="A1298" s="2" t="s">
        <v>3266</v>
      </c>
      <c r="B1298" s="2" t="s">
        <v>46</v>
      </c>
      <c r="C1298" s="2">
        <v>977.63570000000004</v>
      </c>
      <c r="D1298" s="2">
        <f>HYPERLINK("http://mcb-m6.bioreg.kyushu-u.ac.jp/M3/20110421/F51059/2899/1", 80.58)</f>
        <v>80.58</v>
      </c>
      <c r="E1298" s="2">
        <v>52.35</v>
      </c>
      <c r="F1298" s="2">
        <v>2</v>
      </c>
      <c r="G1298" s="2" t="s">
        <v>12</v>
      </c>
    </row>
    <row r="1299" spans="1:7" x14ac:dyDescent="0.2">
      <c r="A1299" s="2" t="s">
        <v>3266</v>
      </c>
      <c r="B1299" s="2" t="s">
        <v>46</v>
      </c>
      <c r="C1299" s="2">
        <v>977.57169999999996</v>
      </c>
      <c r="D1299" s="2">
        <f>HYPERLINK("http://mcb-m6.bioreg.kyushu-u.ac.jp/M3/20110421/F51043/3007/1", 82.56)</f>
        <v>82.56</v>
      </c>
      <c r="E1299" s="2">
        <v>52.09</v>
      </c>
      <c r="F1299" s="2">
        <v>2</v>
      </c>
      <c r="G1299" s="2" t="s">
        <v>12</v>
      </c>
    </row>
    <row r="1300" spans="1:7" x14ac:dyDescent="0.2">
      <c r="A1300" s="2" t="s">
        <v>3266</v>
      </c>
      <c r="B1300" s="2" t="s">
        <v>46</v>
      </c>
      <c r="C1300" s="2">
        <v>977.4316</v>
      </c>
      <c r="D1300" s="2">
        <f>HYPERLINK("http://mcb-m6.bioreg.kyushu-u.ac.jp/M3/20110421/F51044/3008/1", 91.89)</f>
        <v>91.89</v>
      </c>
      <c r="E1300" s="2">
        <v>57.86</v>
      </c>
      <c r="F1300" s="2">
        <v>2</v>
      </c>
      <c r="G1300" s="2" t="s">
        <v>12</v>
      </c>
    </row>
    <row r="1301" spans="1:7" x14ac:dyDescent="0.2">
      <c r="A1301" s="2" t="s">
        <v>3266</v>
      </c>
      <c r="B1301" s="2" t="s">
        <v>46</v>
      </c>
      <c r="C1301" s="2">
        <v>977.57619999999997</v>
      </c>
      <c r="D1301" s="2">
        <f>HYPERLINK("http://mcb-m6.bioreg.kyushu-u.ac.jp/M3/20110421/F51061/2696/1", 95.83)</f>
        <v>95.83</v>
      </c>
      <c r="E1301" s="2">
        <v>58.89</v>
      </c>
      <c r="F1301" s="2">
        <v>2</v>
      </c>
      <c r="G1301" s="2" t="s">
        <v>12</v>
      </c>
    </row>
    <row r="1302" spans="1:7" x14ac:dyDescent="0.2">
      <c r="A1302" s="2" t="s">
        <v>3266</v>
      </c>
      <c r="B1302" s="2" t="s">
        <v>46</v>
      </c>
      <c r="C1302" s="2">
        <v>652.20420000000001</v>
      </c>
      <c r="D1302" s="2">
        <f>HYPERLINK("http://mcb-m6.bioreg.kyushu-u.ac.jp/M3/20110427/F51113/2850/1", 42.89)</f>
        <v>42.89</v>
      </c>
      <c r="E1302" s="2">
        <v>13.49</v>
      </c>
      <c r="F1302" s="2">
        <v>3</v>
      </c>
      <c r="G1302" s="2" t="s">
        <v>13</v>
      </c>
    </row>
    <row r="1303" spans="1:7" x14ac:dyDescent="0.2">
      <c r="A1303" s="2" t="s">
        <v>3266</v>
      </c>
      <c r="B1303" s="2" t="s">
        <v>46</v>
      </c>
      <c r="C1303" s="2">
        <v>977.28269999999998</v>
      </c>
      <c r="D1303" s="2">
        <f>HYPERLINK("http://mcb-m6.bioreg.kyushu-u.ac.jp/M3/20110428/F51127/3101/1", 58)</f>
        <v>58</v>
      </c>
      <c r="E1303" s="2">
        <v>41.31</v>
      </c>
      <c r="F1303" s="2">
        <v>2</v>
      </c>
      <c r="G1303" s="2" t="s">
        <v>13</v>
      </c>
    </row>
    <row r="1304" spans="1:7" x14ac:dyDescent="0.2">
      <c r="A1304" s="2" t="s">
        <v>3266</v>
      </c>
      <c r="B1304" s="2" t="s">
        <v>46</v>
      </c>
      <c r="C1304" s="2">
        <v>977.88710000000003</v>
      </c>
      <c r="D1304" s="2">
        <f>HYPERLINK("http://mcb-m6.bioreg.kyushu-u.ac.jp/M3/20110427/F51111/3049/1", 68.5)</f>
        <v>68.5</v>
      </c>
      <c r="E1304" s="2">
        <v>47.72</v>
      </c>
      <c r="F1304" s="2">
        <v>2</v>
      </c>
      <c r="G1304" s="2" t="s">
        <v>13</v>
      </c>
    </row>
    <row r="1305" spans="1:7" x14ac:dyDescent="0.2">
      <c r="A1305" s="2" t="s">
        <v>3266</v>
      </c>
      <c r="B1305" s="2" t="s">
        <v>46</v>
      </c>
      <c r="C1305" s="2">
        <v>977.34670000000006</v>
      </c>
      <c r="D1305" s="2">
        <f>HYPERLINK("http://mcb-m6.bioreg.kyushu-u.ac.jp/M3/20110427/F51111/3044/1", 68.93)</f>
        <v>68.930000000000007</v>
      </c>
      <c r="E1305" s="2">
        <v>45.86</v>
      </c>
      <c r="F1305" s="2">
        <v>2</v>
      </c>
      <c r="G1305" s="2" t="s">
        <v>13</v>
      </c>
    </row>
    <row r="1306" spans="1:7" x14ac:dyDescent="0.2">
      <c r="A1306" s="2" t="s">
        <v>3266</v>
      </c>
      <c r="B1306" s="2" t="s">
        <v>46</v>
      </c>
      <c r="C1306" s="2">
        <v>977.84370000000001</v>
      </c>
      <c r="D1306" s="2">
        <f>HYPERLINK("http://mcb-m6.bioreg.kyushu-u.ac.jp/M3/20110427/F51116/2993/1", 69.67)</f>
        <v>69.67</v>
      </c>
      <c r="E1306" s="2">
        <v>44.86</v>
      </c>
      <c r="F1306" s="2">
        <v>2</v>
      </c>
      <c r="G1306" s="2" t="s">
        <v>13</v>
      </c>
    </row>
    <row r="1307" spans="1:7" x14ac:dyDescent="0.2">
      <c r="A1307" s="2" t="s">
        <v>3266</v>
      </c>
      <c r="B1307" s="2" t="s">
        <v>46</v>
      </c>
      <c r="C1307" s="2">
        <v>977.34469999999999</v>
      </c>
      <c r="D1307" s="2">
        <f>HYPERLINK("http://mcb-m6.bioreg.kyushu-u.ac.jp/M3/20110427/F51112/3021/1", 74.88)</f>
        <v>74.88</v>
      </c>
      <c r="E1307" s="2">
        <v>49.38</v>
      </c>
      <c r="F1307" s="2">
        <v>2</v>
      </c>
      <c r="G1307" s="2" t="s">
        <v>13</v>
      </c>
    </row>
    <row r="1308" spans="1:7" x14ac:dyDescent="0.2">
      <c r="A1308" s="2" t="s">
        <v>3266</v>
      </c>
      <c r="B1308" s="2" t="s">
        <v>46</v>
      </c>
      <c r="C1308" s="2">
        <v>977.40869999999995</v>
      </c>
      <c r="D1308" s="2">
        <f>HYPERLINK("http://mcb-m6.bioreg.kyushu-u.ac.jp/M3/20110427/F51117/2923/1", 78.92)</f>
        <v>78.92</v>
      </c>
      <c r="E1308" s="2">
        <v>60.87</v>
      </c>
      <c r="F1308" s="2">
        <v>2</v>
      </c>
      <c r="G1308" s="2" t="s">
        <v>13</v>
      </c>
    </row>
    <row r="1309" spans="1:7" x14ac:dyDescent="0.2">
      <c r="A1309" s="2" t="s">
        <v>3266</v>
      </c>
      <c r="B1309" s="2" t="s">
        <v>46</v>
      </c>
      <c r="C1309" s="2">
        <v>977.84770000000003</v>
      </c>
      <c r="D1309" s="2">
        <f>HYPERLINK("http://mcb-m6.bioreg.kyushu-u.ac.jp/M3/20110427/F51115/2851/1", 79.29)</f>
        <v>79.290000000000006</v>
      </c>
      <c r="E1309" s="2">
        <v>50.57</v>
      </c>
      <c r="F1309" s="2">
        <v>2</v>
      </c>
      <c r="G1309" s="2" t="s">
        <v>13</v>
      </c>
    </row>
    <row r="1310" spans="1:7" x14ac:dyDescent="0.2">
      <c r="A1310" s="2" t="s">
        <v>3266</v>
      </c>
      <c r="B1310" s="2" t="s">
        <v>46</v>
      </c>
      <c r="C1310" s="2">
        <v>977.32119999999998</v>
      </c>
      <c r="D1310" s="2">
        <f>HYPERLINK("http://mcb-m6.bioreg.kyushu-u.ac.jp/M3/20110428/F51131/2881/1", 80.21)</f>
        <v>80.209999999999994</v>
      </c>
      <c r="E1310" s="2">
        <v>49.41</v>
      </c>
      <c r="F1310" s="2">
        <v>2</v>
      </c>
      <c r="G1310" s="2" t="s">
        <v>13</v>
      </c>
    </row>
    <row r="1311" spans="1:7" x14ac:dyDescent="0.2">
      <c r="A1311" s="2" t="s">
        <v>3266</v>
      </c>
      <c r="B1311" s="2" t="s">
        <v>46</v>
      </c>
      <c r="C1311" s="2">
        <v>977.3356</v>
      </c>
      <c r="D1311" s="2">
        <f>HYPERLINK("http://mcb-m6.bioreg.kyushu-u.ac.jp/M3/20110427/F51114/3162/1", 83.04)</f>
        <v>83.04</v>
      </c>
      <c r="E1311" s="2">
        <v>54.31</v>
      </c>
      <c r="F1311" s="2">
        <v>2</v>
      </c>
      <c r="G1311" s="2" t="s">
        <v>13</v>
      </c>
    </row>
    <row r="1312" spans="1:7" x14ac:dyDescent="0.2">
      <c r="A1312" s="2" t="s">
        <v>3266</v>
      </c>
      <c r="B1312" s="2" t="s">
        <v>46</v>
      </c>
      <c r="C1312" s="2">
        <v>977.32870000000003</v>
      </c>
      <c r="D1312" s="2">
        <f>HYPERLINK("http://mcb-m6.bioreg.kyushu-u.ac.jp/M3/20110427/F51115/2848/1", 93.16)</f>
        <v>93.16</v>
      </c>
      <c r="E1312" s="2">
        <v>54</v>
      </c>
      <c r="F1312" s="2">
        <v>2</v>
      </c>
      <c r="G1312" s="2" t="s">
        <v>13</v>
      </c>
    </row>
    <row r="1313" spans="1:7" x14ac:dyDescent="0.2">
      <c r="A1313" s="2" t="s">
        <v>3266</v>
      </c>
      <c r="B1313" s="2" t="s">
        <v>46</v>
      </c>
      <c r="C1313" s="2">
        <v>977.23320000000001</v>
      </c>
      <c r="D1313" s="2">
        <f>HYPERLINK("http://mcb-m6.bioreg.kyushu-u.ac.jp/M3/20110428/F51132/2998/1", 93.67)</f>
        <v>93.67</v>
      </c>
      <c r="E1313" s="2">
        <v>58.26</v>
      </c>
      <c r="F1313" s="2">
        <v>2</v>
      </c>
      <c r="G1313" s="2" t="s">
        <v>13</v>
      </c>
    </row>
    <row r="1314" spans="1:7" x14ac:dyDescent="0.2">
      <c r="A1314" s="2" t="s">
        <v>3266</v>
      </c>
      <c r="B1314" s="2" t="s">
        <v>46</v>
      </c>
      <c r="C1314" s="2">
        <v>652.03420000000006</v>
      </c>
      <c r="D1314" s="2">
        <f>HYPERLINK("http://mcb-m6.bioreg.kyushu-u.ac.jp/M3/20110427/F51123/3013/1", 49.35)</f>
        <v>49.35</v>
      </c>
      <c r="E1314" s="2">
        <v>7.37</v>
      </c>
      <c r="F1314" s="2">
        <v>3</v>
      </c>
      <c r="G1314" s="2" t="s">
        <v>14</v>
      </c>
    </row>
    <row r="1315" spans="1:7" x14ac:dyDescent="0.2">
      <c r="A1315" s="2" t="s">
        <v>3266</v>
      </c>
      <c r="B1315" s="2" t="s">
        <v>46</v>
      </c>
      <c r="C1315" s="2">
        <v>652.12919999999997</v>
      </c>
      <c r="D1315" s="2">
        <f>HYPERLINK("http://mcb-m6.bioreg.kyushu-u.ac.jp/M3/20110427/F51122/2843/1", 50.63)</f>
        <v>50.63</v>
      </c>
      <c r="E1315" s="2">
        <v>6.9</v>
      </c>
      <c r="F1315" s="2">
        <v>3</v>
      </c>
      <c r="G1315" s="2" t="s">
        <v>14</v>
      </c>
    </row>
    <row r="1316" spans="1:7" x14ac:dyDescent="0.2">
      <c r="A1316" s="2" t="s">
        <v>3266</v>
      </c>
      <c r="B1316" s="2" t="s">
        <v>46</v>
      </c>
      <c r="C1316" s="2">
        <v>652.21979999999996</v>
      </c>
      <c r="D1316" s="2">
        <f>HYPERLINK("http://mcb-m6.bioreg.kyushu-u.ac.jp/M3/20110427/F51125/2936/1", 58.22)</f>
        <v>58.22</v>
      </c>
      <c r="E1316" s="2">
        <v>8.92</v>
      </c>
      <c r="F1316" s="2">
        <v>3</v>
      </c>
      <c r="G1316" s="2" t="s">
        <v>14</v>
      </c>
    </row>
    <row r="1317" spans="1:7" x14ac:dyDescent="0.2">
      <c r="A1317" s="2" t="s">
        <v>3266</v>
      </c>
      <c r="B1317" s="2" t="s">
        <v>46</v>
      </c>
      <c r="C1317" s="2">
        <v>652.23220000000003</v>
      </c>
      <c r="D1317" s="2">
        <f>HYPERLINK("http://mcb-m6.bioreg.kyushu-u.ac.jp/M3/20110428/F51135/2650/1", 58.34)</f>
        <v>58.34</v>
      </c>
      <c r="E1317" s="2">
        <v>13.98</v>
      </c>
      <c r="F1317" s="2">
        <v>3</v>
      </c>
      <c r="G1317" s="2" t="s">
        <v>14</v>
      </c>
    </row>
    <row r="1318" spans="1:7" x14ac:dyDescent="0.2">
      <c r="A1318" s="2" t="s">
        <v>3266</v>
      </c>
      <c r="B1318" s="2" t="s">
        <v>46</v>
      </c>
      <c r="C1318" s="2">
        <v>652.40719999999999</v>
      </c>
      <c r="D1318" s="2">
        <f>HYPERLINK("http://mcb-m6.bioreg.kyushu-u.ac.jp/M3/20110428/F51129/2973/1", 63.44)</f>
        <v>63.44</v>
      </c>
      <c r="E1318" s="2">
        <v>22.14</v>
      </c>
      <c r="F1318" s="2">
        <v>3</v>
      </c>
      <c r="G1318" s="2" t="s">
        <v>14</v>
      </c>
    </row>
    <row r="1319" spans="1:7" x14ac:dyDescent="0.2">
      <c r="A1319" s="2" t="s">
        <v>3266</v>
      </c>
      <c r="B1319" s="2" t="s">
        <v>46</v>
      </c>
      <c r="C1319" s="2">
        <v>977.58619999999996</v>
      </c>
      <c r="D1319" s="2">
        <f>HYPERLINK("http://mcb-m6.bioreg.kyushu-u.ac.jp/M3/20110428/F51135/2649/1", 64.83)</f>
        <v>64.83</v>
      </c>
      <c r="E1319" s="2">
        <v>44.13</v>
      </c>
      <c r="F1319" s="2">
        <v>2</v>
      </c>
      <c r="G1319" s="2" t="s">
        <v>14</v>
      </c>
    </row>
    <row r="1320" spans="1:7" x14ac:dyDescent="0.2">
      <c r="A1320" s="2" t="s">
        <v>3266</v>
      </c>
      <c r="B1320" s="2" t="s">
        <v>46</v>
      </c>
      <c r="C1320" s="2">
        <v>977.57510000000002</v>
      </c>
      <c r="D1320" s="2">
        <f>HYPERLINK("http://mcb-m6.bioreg.kyushu-u.ac.jp/M3/20110428/F51130/3022/1", 67.69)</f>
        <v>67.69</v>
      </c>
      <c r="E1320" s="2">
        <v>44.85</v>
      </c>
      <c r="F1320" s="2">
        <v>2</v>
      </c>
      <c r="G1320" s="2" t="s">
        <v>14</v>
      </c>
    </row>
    <row r="1321" spans="1:7" x14ac:dyDescent="0.2">
      <c r="A1321" s="2" t="s">
        <v>3266</v>
      </c>
      <c r="B1321" s="2" t="s">
        <v>46</v>
      </c>
      <c r="C1321" s="2">
        <v>977.80719999999997</v>
      </c>
      <c r="D1321" s="2">
        <f>HYPERLINK("http://mcb-m6.bioreg.kyushu-u.ac.jp/M3/20110428/F51126/2941/1", 69.67)</f>
        <v>69.67</v>
      </c>
      <c r="E1321" s="2">
        <v>46.6</v>
      </c>
      <c r="F1321" s="2">
        <v>2</v>
      </c>
      <c r="G1321" s="2" t="s">
        <v>14</v>
      </c>
    </row>
    <row r="1322" spans="1:7" x14ac:dyDescent="0.2">
      <c r="A1322" s="2" t="s">
        <v>3266</v>
      </c>
      <c r="B1322" s="2" t="s">
        <v>46</v>
      </c>
      <c r="C1322" s="2">
        <v>977.81320000000005</v>
      </c>
      <c r="D1322" s="2">
        <f>HYPERLINK("http://mcb-m6.bioreg.kyushu-u.ac.jp/M3/20110427/F51124/2908/1", 69.71)</f>
        <v>69.709999999999994</v>
      </c>
      <c r="E1322" s="2">
        <v>37.57</v>
      </c>
      <c r="F1322" s="2">
        <v>2</v>
      </c>
      <c r="G1322" s="2" t="s">
        <v>14</v>
      </c>
    </row>
    <row r="1323" spans="1:7" x14ac:dyDescent="0.2">
      <c r="A1323" s="2" t="s">
        <v>3266</v>
      </c>
      <c r="B1323" s="2" t="s">
        <v>46</v>
      </c>
      <c r="C1323" s="2">
        <v>977.28719999999998</v>
      </c>
      <c r="D1323" s="2">
        <f>HYPERLINK("http://mcb-m6.bioreg.kyushu-u.ac.jp/M3/20110427/F51124/2907/1", 71.64)</f>
        <v>71.64</v>
      </c>
      <c r="E1323" s="2">
        <v>50.87</v>
      </c>
      <c r="F1323" s="2">
        <v>2</v>
      </c>
      <c r="G1323" s="2" t="s">
        <v>14</v>
      </c>
    </row>
    <row r="1324" spans="1:7" x14ac:dyDescent="0.2">
      <c r="A1324" s="2" t="s">
        <v>3266</v>
      </c>
      <c r="B1324" s="2" t="s">
        <v>46</v>
      </c>
      <c r="C1324" s="2">
        <v>977.34670000000006</v>
      </c>
      <c r="D1324" s="2">
        <f>HYPERLINK("http://mcb-m6.bioreg.kyushu-u.ac.jp/M3/20110427/F51122/2841/1", 72.65)</f>
        <v>72.650000000000006</v>
      </c>
      <c r="E1324" s="2">
        <v>48.96</v>
      </c>
      <c r="F1324" s="2">
        <v>2</v>
      </c>
      <c r="G1324" s="2" t="s">
        <v>14</v>
      </c>
    </row>
    <row r="1325" spans="1:7" x14ac:dyDescent="0.2">
      <c r="A1325" s="2" t="s">
        <v>3266</v>
      </c>
      <c r="B1325" s="2" t="s">
        <v>46</v>
      </c>
      <c r="C1325" s="2">
        <v>977.30719999999997</v>
      </c>
      <c r="D1325" s="2">
        <f>HYPERLINK("http://mcb-m6.bioreg.kyushu-u.ac.jp/M3/20110428/F51129/2968/1", 73.04)</f>
        <v>73.040000000000006</v>
      </c>
      <c r="E1325" s="2">
        <v>45.63</v>
      </c>
      <c r="F1325" s="2">
        <v>2</v>
      </c>
      <c r="G1325" s="2" t="s">
        <v>14</v>
      </c>
    </row>
    <row r="1326" spans="1:7" x14ac:dyDescent="0.2">
      <c r="A1326" s="2" t="s">
        <v>3266</v>
      </c>
      <c r="B1326" s="2" t="s">
        <v>46</v>
      </c>
      <c r="C1326" s="2">
        <v>977.78369999999995</v>
      </c>
      <c r="D1326" s="2">
        <f>HYPERLINK("http://mcb-m6.bioreg.kyushu-u.ac.jp/M3/20110427/F51125/2935/1", 74.18)</f>
        <v>74.180000000000007</v>
      </c>
      <c r="E1326" s="2">
        <v>50.37</v>
      </c>
      <c r="F1326" s="2">
        <v>2</v>
      </c>
      <c r="G1326" s="2" t="s">
        <v>14</v>
      </c>
    </row>
    <row r="1327" spans="1:7" x14ac:dyDescent="0.2">
      <c r="A1327" s="2" t="s">
        <v>3266</v>
      </c>
      <c r="B1327" s="2" t="s">
        <v>46</v>
      </c>
      <c r="C1327" s="2">
        <v>977.37819999999999</v>
      </c>
      <c r="D1327" s="2">
        <f>HYPERLINK("http://mcb-m6.bioreg.kyushu-u.ac.jp/M3/20110427/F51120/2764/1", 75.04)</f>
        <v>75.040000000000006</v>
      </c>
      <c r="E1327" s="2">
        <v>43.98</v>
      </c>
      <c r="F1327" s="2">
        <v>2</v>
      </c>
      <c r="G1327" s="2" t="s">
        <v>14</v>
      </c>
    </row>
    <row r="1328" spans="1:7" x14ac:dyDescent="0.2">
      <c r="A1328" s="2" t="s">
        <v>3266</v>
      </c>
      <c r="B1328" s="2" t="s">
        <v>46</v>
      </c>
      <c r="C1328" s="2">
        <v>977.19569999999999</v>
      </c>
      <c r="D1328" s="2">
        <f>HYPERLINK("http://mcb-m6.bioreg.kyushu-u.ac.jp/M3/20110427/F51125/2932/1", 76.28)</f>
        <v>76.28</v>
      </c>
      <c r="E1328" s="2">
        <v>49.15</v>
      </c>
      <c r="F1328" s="2">
        <v>2</v>
      </c>
      <c r="G1328" s="2" t="s">
        <v>14</v>
      </c>
    </row>
    <row r="1329" spans="1:8" x14ac:dyDescent="0.2">
      <c r="A1329" s="2" t="s">
        <v>3266</v>
      </c>
      <c r="B1329" s="2" t="s">
        <v>46</v>
      </c>
      <c r="C1329" s="2">
        <v>977.28420000000006</v>
      </c>
      <c r="D1329" s="2">
        <f>HYPERLINK("http://mcb-m6.bioreg.kyushu-u.ac.jp/M3/20110428/F51128/3042/1", 78.34)</f>
        <v>78.34</v>
      </c>
      <c r="E1329" s="2">
        <v>48.3</v>
      </c>
      <c r="F1329" s="2">
        <v>2</v>
      </c>
      <c r="G1329" s="2" t="s">
        <v>14</v>
      </c>
    </row>
    <row r="1330" spans="1:8" x14ac:dyDescent="0.2">
      <c r="A1330" s="2" t="s">
        <v>3266</v>
      </c>
      <c r="B1330" s="2" t="s">
        <v>46</v>
      </c>
      <c r="C1330" s="2">
        <v>977.32920000000001</v>
      </c>
      <c r="D1330" s="2">
        <f>HYPERLINK("http://mcb-m6.bioreg.kyushu-u.ac.jp/M3/20110427/F51123/3011/1", 78.49)</f>
        <v>78.489999999999995</v>
      </c>
      <c r="E1330" s="2">
        <v>51.07</v>
      </c>
      <c r="F1330" s="2">
        <v>2</v>
      </c>
      <c r="G1330" s="2" t="s">
        <v>14</v>
      </c>
    </row>
    <row r="1331" spans="1:8" x14ac:dyDescent="0.2">
      <c r="A1331" s="2" t="s">
        <v>3266</v>
      </c>
      <c r="B1331" s="2" t="s">
        <v>46</v>
      </c>
      <c r="C1331" s="2">
        <v>977.29819999999995</v>
      </c>
      <c r="D1331" s="2">
        <f>HYPERLINK("http://mcb-m6.bioreg.kyushu-u.ac.jp/M3/20110427/F51121/2641/1", 79.85)</f>
        <v>79.849999999999994</v>
      </c>
      <c r="E1331" s="2">
        <v>54.88</v>
      </c>
      <c r="F1331" s="2">
        <v>2</v>
      </c>
      <c r="G1331" s="2" t="s">
        <v>14</v>
      </c>
    </row>
    <row r="1332" spans="1:8" x14ac:dyDescent="0.2">
      <c r="A1332" s="2" t="s">
        <v>3266</v>
      </c>
      <c r="B1332" s="2" t="s">
        <v>46</v>
      </c>
      <c r="C1332" s="2">
        <v>977.84370000000001</v>
      </c>
      <c r="D1332" s="2">
        <f>HYPERLINK("http://mcb-m6.bioreg.kyushu-u.ac.jp/M3/20110428/F51129/2971/1", 80.23)</f>
        <v>80.23</v>
      </c>
      <c r="E1332" s="2">
        <v>52.04</v>
      </c>
      <c r="F1332" s="2">
        <v>2</v>
      </c>
      <c r="G1332" s="2" t="s">
        <v>14</v>
      </c>
    </row>
    <row r="1333" spans="1:8" x14ac:dyDescent="0.2">
      <c r="A1333" s="2" t="s">
        <v>3266</v>
      </c>
      <c r="B1333" s="2" t="s">
        <v>46</v>
      </c>
      <c r="C1333" s="2">
        <v>977.83119999999997</v>
      </c>
      <c r="D1333" s="2">
        <f>HYPERLINK("http://mcb-m6.bioreg.kyushu-u.ac.jp/M3/20110427/F51121/2647/1", 84.11)</f>
        <v>84.11</v>
      </c>
      <c r="E1333" s="2">
        <v>52.34</v>
      </c>
      <c r="F1333" s="2">
        <v>2</v>
      </c>
      <c r="G1333" s="2" t="s">
        <v>14</v>
      </c>
    </row>
    <row r="1334" spans="1:8" x14ac:dyDescent="0.2">
      <c r="A1334" s="2" t="s">
        <v>3741</v>
      </c>
      <c r="B1334" s="2" t="s">
        <v>743</v>
      </c>
      <c r="C1334" s="2">
        <v>814.5317</v>
      </c>
      <c r="D1334" s="2">
        <f>HYPERLINK("http://mcb-m6.bioreg.kyushu-u.ac.jp/M3/20110421/F51059/2141/1", 53.18)</f>
        <v>53.18</v>
      </c>
      <c r="E1334" s="2">
        <v>26.14</v>
      </c>
      <c r="F1334" s="2">
        <v>2</v>
      </c>
      <c r="G1334" s="2" t="s">
        <v>12</v>
      </c>
      <c r="H1334" s="2" t="s">
        <v>4904</v>
      </c>
    </row>
    <row r="1335" spans="1:8" x14ac:dyDescent="0.2">
      <c r="A1335" s="2" t="s">
        <v>3741</v>
      </c>
      <c r="B1335" s="2" t="s">
        <v>743</v>
      </c>
      <c r="C1335" s="2">
        <v>814.15920000000006</v>
      </c>
      <c r="D1335" s="2">
        <f>HYPERLINK("http://mcb-m6.bioreg.kyushu-u.ac.jp/M3/20110428/F51131/2205/1", 49.57)</f>
        <v>49.57</v>
      </c>
      <c r="E1335" s="2">
        <v>33.75</v>
      </c>
      <c r="F1335" s="2">
        <v>2</v>
      </c>
      <c r="G1335" s="2" t="s">
        <v>13</v>
      </c>
      <c r="H1335" s="2" t="s">
        <v>4904</v>
      </c>
    </row>
    <row r="1336" spans="1:8" x14ac:dyDescent="0.2">
      <c r="A1336" s="2" t="s">
        <v>3659</v>
      </c>
      <c r="B1336" s="2" t="s">
        <v>594</v>
      </c>
      <c r="C1336" s="2">
        <v>759.28719999999998</v>
      </c>
      <c r="D1336" s="2">
        <f>HYPERLINK("http://mcb-m6.bioreg.kyushu-u.ac.jp/M3/20110404/F50764/1958/1", 42.37)</f>
        <v>42.37</v>
      </c>
      <c r="E1336" s="2">
        <v>19.190000000000001</v>
      </c>
      <c r="F1336" s="2">
        <v>2</v>
      </c>
      <c r="G1336" s="2" t="s">
        <v>9</v>
      </c>
    </row>
    <row r="1337" spans="1:8" x14ac:dyDescent="0.2">
      <c r="A1337" s="2" t="s">
        <v>3659</v>
      </c>
      <c r="B1337" s="2" t="s">
        <v>594</v>
      </c>
      <c r="C1337" s="2">
        <v>750.31920000000002</v>
      </c>
      <c r="D1337" s="2">
        <f>HYPERLINK("http://mcb-m6.bioreg.kyushu-u.ac.jp/M3/20110404/F50755/2021/1", 43.87)</f>
        <v>43.87</v>
      </c>
      <c r="E1337" s="2">
        <v>25.97</v>
      </c>
      <c r="F1337" s="2">
        <v>2</v>
      </c>
      <c r="G1337" s="2" t="s">
        <v>9</v>
      </c>
      <c r="H1337" s="2" t="s">
        <v>4904</v>
      </c>
    </row>
    <row r="1338" spans="1:8" x14ac:dyDescent="0.2">
      <c r="A1338" s="2" t="s">
        <v>3659</v>
      </c>
      <c r="B1338" s="2" t="s">
        <v>1472</v>
      </c>
      <c r="C1338" s="2">
        <v>1108.4839999999999</v>
      </c>
      <c r="D1338" s="2">
        <f>HYPERLINK("http://mcb-m6.bioreg.kyushu-u.ac.jp/M3/20110404/F50776/2800/1", 49.49)</f>
        <v>49.49</v>
      </c>
      <c r="E1338" s="2">
        <v>34.729999999999997</v>
      </c>
      <c r="F1338" s="2">
        <v>2</v>
      </c>
      <c r="G1338" s="2" t="s">
        <v>9</v>
      </c>
    </row>
    <row r="1339" spans="1:8" x14ac:dyDescent="0.2">
      <c r="A1339" s="2" t="s">
        <v>3659</v>
      </c>
      <c r="B1339" s="2" t="s">
        <v>594</v>
      </c>
      <c r="C1339" s="2">
        <v>1499.8710000000001</v>
      </c>
      <c r="D1339" s="2">
        <f>HYPERLINK("http://mcb-m6.bioreg.kyushu-u.ac.jp/M3/20110404/F50776/1806/1", 52.71)</f>
        <v>52.71</v>
      </c>
      <c r="E1339" s="2">
        <v>42.93</v>
      </c>
      <c r="F1339" s="2">
        <v>1</v>
      </c>
      <c r="G1339" s="2" t="s">
        <v>9</v>
      </c>
      <c r="H1339" s="2" t="s">
        <v>4904</v>
      </c>
    </row>
    <row r="1340" spans="1:8" x14ac:dyDescent="0.2">
      <c r="A1340" s="2" t="s">
        <v>3659</v>
      </c>
      <c r="B1340" s="2" t="s">
        <v>594</v>
      </c>
      <c r="C1340" s="2">
        <v>750.37710000000004</v>
      </c>
      <c r="D1340" s="2">
        <f>HYPERLINK("http://mcb-m6.bioreg.kyushu-u.ac.jp/M3/20110404/F50776/1805/1", 53.93)</f>
        <v>53.93</v>
      </c>
      <c r="E1340" s="2">
        <v>41.79</v>
      </c>
      <c r="F1340" s="2">
        <v>2</v>
      </c>
      <c r="G1340" s="2" t="s">
        <v>9</v>
      </c>
      <c r="H1340" s="2" t="s">
        <v>4904</v>
      </c>
    </row>
    <row r="1341" spans="1:8" x14ac:dyDescent="0.2">
      <c r="A1341" s="2" t="s">
        <v>3659</v>
      </c>
      <c r="B1341" s="2" t="s">
        <v>594</v>
      </c>
      <c r="C1341" s="2">
        <v>750.36969999999997</v>
      </c>
      <c r="D1341" s="2">
        <f>HYPERLINK("http://mcb-m6.bioreg.kyushu-u.ac.jp/M3/20110404/F50756/2011/1", 56.95)</f>
        <v>56.95</v>
      </c>
      <c r="E1341" s="2">
        <v>41.84</v>
      </c>
      <c r="F1341" s="2">
        <v>2</v>
      </c>
      <c r="G1341" s="2" t="s">
        <v>9</v>
      </c>
      <c r="H1341" s="2" t="s">
        <v>4904</v>
      </c>
    </row>
    <row r="1342" spans="1:8" x14ac:dyDescent="0.2">
      <c r="A1342" s="2" t="s">
        <v>3659</v>
      </c>
      <c r="B1342" s="2" t="s">
        <v>1472</v>
      </c>
      <c r="C1342" s="2">
        <v>1115.771</v>
      </c>
      <c r="D1342" s="2">
        <f>HYPERLINK("http://mcb-m6.bioreg.kyushu-u.ac.jp/M3/20110404/F50755/3294/1", 58.82)</f>
        <v>58.82</v>
      </c>
      <c r="E1342" s="2">
        <v>53.36</v>
      </c>
      <c r="F1342" s="2">
        <v>2</v>
      </c>
      <c r="G1342" s="2" t="s">
        <v>9</v>
      </c>
      <c r="H1342" s="2" t="s">
        <v>4907</v>
      </c>
    </row>
    <row r="1343" spans="1:8" x14ac:dyDescent="0.2">
      <c r="A1343" s="2" t="s">
        <v>3659</v>
      </c>
      <c r="B1343" s="2" t="s">
        <v>594</v>
      </c>
      <c r="C1343" s="2">
        <v>758.84810000000004</v>
      </c>
      <c r="D1343" s="2">
        <f>HYPERLINK("http://mcb-m6.bioreg.kyushu-u.ac.jp/M3/20110404/F50756/2048/1", 58.91)</f>
        <v>58.91</v>
      </c>
      <c r="E1343" s="2">
        <v>46.39</v>
      </c>
      <c r="F1343" s="2">
        <v>2</v>
      </c>
      <c r="G1343" s="2" t="s">
        <v>9</v>
      </c>
    </row>
    <row r="1344" spans="1:8" x14ac:dyDescent="0.2">
      <c r="A1344" s="2" t="s">
        <v>3659</v>
      </c>
      <c r="B1344" s="2" t="s">
        <v>594</v>
      </c>
      <c r="C1344" s="2">
        <v>758.8682</v>
      </c>
      <c r="D1344" s="2">
        <f>HYPERLINK("http://mcb-m6.bioreg.kyushu-u.ac.jp/M3/20110404/F50776/1831/1", 66.03)</f>
        <v>66.03</v>
      </c>
      <c r="E1344" s="2">
        <v>47.58</v>
      </c>
      <c r="F1344" s="2">
        <v>2</v>
      </c>
      <c r="G1344" s="2" t="s">
        <v>9</v>
      </c>
    </row>
    <row r="1345" spans="1:8" x14ac:dyDescent="0.2">
      <c r="A1345" s="2" t="s">
        <v>3659</v>
      </c>
      <c r="B1345" s="2" t="s">
        <v>1472</v>
      </c>
      <c r="C1345" s="2">
        <v>1116.423</v>
      </c>
      <c r="D1345" s="2">
        <f>HYPERLINK("http://mcb-m6.bioreg.kyushu-u.ac.jp/M3/20110404/F50776/2825/1", 66.67)</f>
        <v>66.67</v>
      </c>
      <c r="E1345" s="2">
        <v>58.23</v>
      </c>
      <c r="F1345" s="2">
        <v>2</v>
      </c>
      <c r="G1345" s="2" t="s">
        <v>9</v>
      </c>
      <c r="H1345" s="2" t="s">
        <v>4907</v>
      </c>
    </row>
    <row r="1346" spans="1:8" x14ac:dyDescent="0.2">
      <c r="A1346" s="2" t="s">
        <v>3659</v>
      </c>
      <c r="B1346" s="2" t="s">
        <v>594</v>
      </c>
      <c r="C1346" s="2">
        <v>750.26319999999998</v>
      </c>
      <c r="D1346" s="2">
        <f>HYPERLINK("http://mcb-m6.bioreg.kyushu-u.ac.jp/M3/20110404/F50754/2154/1", 68.25)</f>
        <v>68.25</v>
      </c>
      <c r="E1346" s="2">
        <v>49.79</v>
      </c>
      <c r="F1346" s="2">
        <v>2</v>
      </c>
      <c r="G1346" s="2" t="s">
        <v>9</v>
      </c>
      <c r="H1346" s="2" t="s">
        <v>4904</v>
      </c>
    </row>
    <row r="1347" spans="1:8" x14ac:dyDescent="0.2">
      <c r="A1347" s="2" t="s">
        <v>3659</v>
      </c>
      <c r="B1347" s="2" t="s">
        <v>1472</v>
      </c>
      <c r="C1347" s="2">
        <v>1108.067</v>
      </c>
      <c r="D1347" s="2">
        <f>HYPERLINK("http://mcb-m6.bioreg.kyushu-u.ac.jp/M3/20110404/F50776/2797/1", 86.26)</f>
        <v>86.26</v>
      </c>
      <c r="E1347" s="2">
        <v>77.92</v>
      </c>
      <c r="F1347" s="2">
        <v>2</v>
      </c>
      <c r="G1347" s="2" t="s">
        <v>9</v>
      </c>
    </row>
    <row r="1348" spans="1:8" x14ac:dyDescent="0.2">
      <c r="A1348" s="2" t="s">
        <v>3659</v>
      </c>
      <c r="B1348" s="2" t="s">
        <v>1472</v>
      </c>
      <c r="C1348" s="2">
        <v>1116.338</v>
      </c>
      <c r="D1348" s="2">
        <f>HYPERLINK("http://mcb-m6.bioreg.kyushu-u.ac.jp/M3/20110404/F50751/2751/1", 97.86)</f>
        <v>97.86</v>
      </c>
      <c r="E1348" s="2">
        <v>90.42</v>
      </c>
      <c r="F1348" s="2">
        <v>2</v>
      </c>
      <c r="G1348" s="2" t="s">
        <v>9</v>
      </c>
      <c r="H1348" s="2" t="s">
        <v>4907</v>
      </c>
    </row>
    <row r="1349" spans="1:8" x14ac:dyDescent="0.2">
      <c r="A1349" s="2" t="s">
        <v>3659</v>
      </c>
      <c r="B1349" s="2" t="s">
        <v>1472</v>
      </c>
      <c r="C1349" s="2">
        <v>1116.2449999999999</v>
      </c>
      <c r="D1349" s="2">
        <f>HYPERLINK("http://mcb-m6.bioreg.kyushu-u.ac.jp/M3/20110404/F50754/3058/1", 100)</f>
        <v>100</v>
      </c>
      <c r="E1349" s="2">
        <v>92.49</v>
      </c>
      <c r="F1349" s="2">
        <v>2</v>
      </c>
      <c r="G1349" s="2" t="s">
        <v>9</v>
      </c>
      <c r="H1349" s="2" t="s">
        <v>4907</v>
      </c>
    </row>
    <row r="1350" spans="1:8" x14ac:dyDescent="0.2">
      <c r="A1350" s="2" t="s">
        <v>3659</v>
      </c>
      <c r="B1350" s="2" t="s">
        <v>1545</v>
      </c>
      <c r="C1350" s="2">
        <v>1180.001</v>
      </c>
      <c r="D1350" s="2">
        <f>HYPERLINK("http://mcb-m6.bioreg.kyushu-u.ac.jp/M3/20110404/F50776/2937/1", 117.83)</f>
        <v>117.83</v>
      </c>
      <c r="E1350" s="2">
        <v>109.74</v>
      </c>
      <c r="F1350" s="2">
        <v>2</v>
      </c>
      <c r="G1350" s="2" t="s">
        <v>9</v>
      </c>
      <c r="H1350" s="2" t="s">
        <v>4938</v>
      </c>
    </row>
    <row r="1351" spans="1:8" x14ac:dyDescent="0.2">
      <c r="A1351" s="2" t="s">
        <v>3659</v>
      </c>
      <c r="B1351" s="2" t="s">
        <v>1545</v>
      </c>
      <c r="C1351" s="2">
        <v>1172.056</v>
      </c>
      <c r="D1351" s="2">
        <f>HYPERLINK("http://mcb-m6.bioreg.kyushu-u.ac.jp/M3/20110404/F50776/2920/1", 122.27)</f>
        <v>122.27</v>
      </c>
      <c r="E1351" s="2">
        <v>111.28</v>
      </c>
      <c r="F1351" s="2">
        <v>2</v>
      </c>
      <c r="G1351" s="2" t="s">
        <v>9</v>
      </c>
    </row>
    <row r="1352" spans="1:8" x14ac:dyDescent="0.2">
      <c r="A1352" s="2" t="s">
        <v>3659</v>
      </c>
      <c r="B1352" s="2" t="s">
        <v>1472</v>
      </c>
      <c r="C1352" s="2">
        <v>1115.895</v>
      </c>
      <c r="D1352" s="2">
        <f>HYPERLINK("http://mcb-m6.bioreg.kyushu-u.ac.jp/M3/20110404/F50776/2823/1", 132.12)</f>
        <v>132.12</v>
      </c>
      <c r="E1352" s="2">
        <v>124.78</v>
      </c>
      <c r="F1352" s="2">
        <v>2</v>
      </c>
      <c r="G1352" s="2" t="s">
        <v>9</v>
      </c>
      <c r="H1352" s="2" t="s">
        <v>4907</v>
      </c>
    </row>
    <row r="1353" spans="1:8" x14ac:dyDescent="0.2">
      <c r="A1353" s="2" t="s">
        <v>3659</v>
      </c>
      <c r="B1353" s="2" t="s">
        <v>594</v>
      </c>
      <c r="C1353" s="2">
        <v>759.20619999999997</v>
      </c>
      <c r="D1353" s="2">
        <f>HYPERLINK("http://mcb-m6.bioreg.kyushu-u.ac.jp/M3/20110404/F50781/1866/1", 35.08)</f>
        <v>35.08</v>
      </c>
      <c r="E1353" s="2">
        <v>24.65</v>
      </c>
      <c r="F1353" s="2">
        <v>2</v>
      </c>
      <c r="G1353" s="2" t="s">
        <v>10</v>
      </c>
    </row>
    <row r="1354" spans="1:8" x14ac:dyDescent="0.2">
      <c r="A1354" s="2" t="s">
        <v>3659</v>
      </c>
      <c r="B1354" s="2" t="s">
        <v>594</v>
      </c>
      <c r="C1354" s="2">
        <v>1516.6590000000001</v>
      </c>
      <c r="D1354" s="2">
        <f>HYPERLINK("http://mcb-m6.bioreg.kyushu-u.ac.jp/M3/20110404/F50781/1865/1", 35.75)</f>
        <v>35.75</v>
      </c>
      <c r="E1354" s="2">
        <v>23.62</v>
      </c>
      <c r="F1354" s="2">
        <v>1</v>
      </c>
      <c r="G1354" s="2" t="s">
        <v>10</v>
      </c>
    </row>
    <row r="1355" spans="1:8" x14ac:dyDescent="0.2">
      <c r="A1355" s="2" t="s">
        <v>3659</v>
      </c>
      <c r="B1355" s="2" t="s">
        <v>594</v>
      </c>
      <c r="C1355" s="2">
        <v>1499.75</v>
      </c>
      <c r="D1355" s="2">
        <f>HYPERLINK("http://mcb-m6.bioreg.kyushu-u.ac.jp/M3/20110404/F50781/1835/1", 45.94)</f>
        <v>45.94</v>
      </c>
      <c r="E1355" s="2">
        <v>28.08</v>
      </c>
      <c r="F1355" s="2">
        <v>1</v>
      </c>
      <c r="G1355" s="2" t="s">
        <v>10</v>
      </c>
      <c r="H1355" s="2" t="s">
        <v>4904</v>
      </c>
    </row>
    <row r="1356" spans="1:8" x14ac:dyDescent="0.2">
      <c r="A1356" s="2" t="s">
        <v>3659</v>
      </c>
      <c r="B1356" s="2" t="s">
        <v>594</v>
      </c>
      <c r="C1356" s="2">
        <v>1500.76</v>
      </c>
      <c r="D1356" s="2">
        <f>HYPERLINK("http://mcb-m6.bioreg.kyushu-u.ac.jp/M3/20110404/F50781/1838/1", 47.38)</f>
        <v>47.38</v>
      </c>
      <c r="E1356" s="2">
        <v>31.61</v>
      </c>
      <c r="F1356" s="2">
        <v>1</v>
      </c>
      <c r="G1356" s="2" t="s">
        <v>10</v>
      </c>
      <c r="H1356" s="2" t="s">
        <v>4904</v>
      </c>
    </row>
    <row r="1357" spans="1:8" x14ac:dyDescent="0.2">
      <c r="A1357" s="2" t="s">
        <v>3659</v>
      </c>
      <c r="B1357" s="2" t="s">
        <v>594</v>
      </c>
      <c r="C1357" s="2">
        <v>750.2192</v>
      </c>
      <c r="D1357" s="2">
        <f>HYPERLINK("http://mcb-m6.bioreg.kyushu-u.ac.jp/M3/20110404/F50771/1939/1", 51.49)</f>
        <v>51.49</v>
      </c>
      <c r="E1357" s="2">
        <v>37.14</v>
      </c>
      <c r="F1357" s="2">
        <v>2</v>
      </c>
      <c r="G1357" s="2" t="s">
        <v>10</v>
      </c>
      <c r="H1357" s="2" t="s">
        <v>4904</v>
      </c>
    </row>
    <row r="1358" spans="1:8" x14ac:dyDescent="0.2">
      <c r="A1358" s="2" t="s">
        <v>3659</v>
      </c>
      <c r="B1358" s="2" t="s">
        <v>594</v>
      </c>
      <c r="C1358" s="2">
        <v>750.30719999999997</v>
      </c>
      <c r="D1358" s="2">
        <f>HYPERLINK("http://mcb-m6.bioreg.kyushu-u.ac.jp/M3/20110404/F50761/1871/1", 52.98)</f>
        <v>52.98</v>
      </c>
      <c r="E1358" s="2">
        <v>32.64</v>
      </c>
      <c r="F1358" s="2">
        <v>2</v>
      </c>
      <c r="G1358" s="2" t="s">
        <v>10</v>
      </c>
      <c r="H1358" s="2" t="s">
        <v>4904</v>
      </c>
    </row>
    <row r="1359" spans="1:8" x14ac:dyDescent="0.2">
      <c r="A1359" s="2" t="s">
        <v>3659</v>
      </c>
      <c r="B1359" s="2" t="s">
        <v>594</v>
      </c>
      <c r="C1359" s="2">
        <v>750.69669999999996</v>
      </c>
      <c r="D1359" s="2">
        <f>HYPERLINK("http://mcb-m6.bioreg.kyushu-u.ac.jp/M3/20110404/F50781/1837/1", 53.84)</f>
        <v>53.84</v>
      </c>
      <c r="E1359" s="2">
        <v>32.520000000000003</v>
      </c>
      <c r="F1359" s="2">
        <v>2</v>
      </c>
      <c r="G1359" s="2" t="s">
        <v>10</v>
      </c>
      <c r="H1359" s="2" t="s">
        <v>4904</v>
      </c>
    </row>
    <row r="1360" spans="1:8" x14ac:dyDescent="0.2">
      <c r="A1360" s="2" t="s">
        <v>3659</v>
      </c>
      <c r="B1360" s="2" t="s">
        <v>1545</v>
      </c>
      <c r="C1360" s="2">
        <v>782.05679999999995</v>
      </c>
      <c r="D1360" s="2">
        <f>HYPERLINK("http://mcb-m6.bioreg.kyushu-u.ac.jp/M3/20110404/F50782/3500/1", 55.61)</f>
        <v>55.61</v>
      </c>
      <c r="E1360" s="2">
        <v>44.13</v>
      </c>
      <c r="F1360" s="2">
        <v>3</v>
      </c>
      <c r="G1360" s="2" t="s">
        <v>10</v>
      </c>
    </row>
    <row r="1361" spans="1:8" x14ac:dyDescent="0.2">
      <c r="A1361" s="2" t="s">
        <v>3659</v>
      </c>
      <c r="B1361" s="2" t="s">
        <v>594</v>
      </c>
      <c r="C1361" s="2">
        <v>758.97469999999998</v>
      </c>
      <c r="D1361" s="2">
        <f>HYPERLINK("http://mcb-m6.bioreg.kyushu-u.ac.jp/M3/20110404/F50782/1868/1", 55.82)</f>
        <v>55.82</v>
      </c>
      <c r="E1361" s="2">
        <v>38.82</v>
      </c>
      <c r="F1361" s="2">
        <v>2</v>
      </c>
      <c r="G1361" s="2" t="s">
        <v>10</v>
      </c>
    </row>
    <row r="1362" spans="1:8" x14ac:dyDescent="0.2">
      <c r="A1362" s="2" t="s">
        <v>3659</v>
      </c>
      <c r="B1362" s="2" t="s">
        <v>594</v>
      </c>
      <c r="C1362" s="2">
        <v>758.79269999999997</v>
      </c>
      <c r="D1362" s="2">
        <f>HYPERLINK("http://mcb-m6.bioreg.kyushu-u.ac.jp/M3/20110404/F50761/1906/1", 66.13)</f>
        <v>66.13</v>
      </c>
      <c r="E1362" s="2">
        <v>53.57</v>
      </c>
      <c r="F1362" s="2">
        <v>2</v>
      </c>
      <c r="G1362" s="2" t="s">
        <v>10</v>
      </c>
    </row>
    <row r="1363" spans="1:8" x14ac:dyDescent="0.2">
      <c r="A1363" s="2" t="s">
        <v>3659</v>
      </c>
      <c r="B1363" s="2" t="s">
        <v>594</v>
      </c>
      <c r="C1363" s="2">
        <v>506.22050000000002</v>
      </c>
      <c r="D1363" s="2">
        <f>HYPERLINK("http://mcb-m6.bioreg.kyushu-u.ac.jp/M3/20110404/F50761/1907/1", 67.6)</f>
        <v>67.599999999999994</v>
      </c>
      <c r="E1363" s="2">
        <v>51.03</v>
      </c>
      <c r="F1363" s="2">
        <v>3</v>
      </c>
      <c r="G1363" s="2" t="s">
        <v>10</v>
      </c>
    </row>
    <row r="1364" spans="1:8" x14ac:dyDescent="0.2">
      <c r="A1364" s="2" t="s">
        <v>3659</v>
      </c>
      <c r="B1364" s="2" t="s">
        <v>1545</v>
      </c>
      <c r="C1364" s="2">
        <v>787.12080000000003</v>
      </c>
      <c r="D1364" s="2">
        <f>HYPERLINK("http://mcb-m6.bioreg.kyushu-u.ac.jp/M3/20110404/F50781/2843/1", 80.3)</f>
        <v>80.3</v>
      </c>
      <c r="E1364" s="2">
        <v>63</v>
      </c>
      <c r="F1364" s="2">
        <v>3</v>
      </c>
      <c r="G1364" s="2" t="s">
        <v>10</v>
      </c>
      <c r="H1364" s="2" t="s">
        <v>4938</v>
      </c>
    </row>
    <row r="1365" spans="1:8" x14ac:dyDescent="0.2">
      <c r="A1365" s="2" t="s">
        <v>3659</v>
      </c>
      <c r="B1365" s="2" t="s">
        <v>1545</v>
      </c>
      <c r="C1365" s="2">
        <v>1180.587</v>
      </c>
      <c r="D1365" s="2">
        <f>HYPERLINK("http://mcb-m6.bioreg.kyushu-u.ac.jp/M3/20110404/F50781/2845/1", 91.52)</f>
        <v>91.52</v>
      </c>
      <c r="E1365" s="2">
        <v>77.709999999999994</v>
      </c>
      <c r="F1365" s="2">
        <v>2</v>
      </c>
      <c r="G1365" s="2" t="s">
        <v>10</v>
      </c>
      <c r="H1365" s="2" t="s">
        <v>4938</v>
      </c>
    </row>
    <row r="1366" spans="1:8" x14ac:dyDescent="0.2">
      <c r="A1366" s="2" t="s">
        <v>3659</v>
      </c>
      <c r="B1366" s="2" t="s">
        <v>1545</v>
      </c>
      <c r="C1366" s="2">
        <v>1172.6320000000001</v>
      </c>
      <c r="D1366" s="2">
        <f>HYPERLINK("http://mcb-m6.bioreg.kyushu-u.ac.jp/M3/20110404/F50781/2831/1", 103.58)</f>
        <v>103.58</v>
      </c>
      <c r="E1366" s="2">
        <v>87.06</v>
      </c>
      <c r="F1366" s="2">
        <v>2</v>
      </c>
      <c r="G1366" s="2" t="s">
        <v>10</v>
      </c>
    </row>
    <row r="1367" spans="1:8" x14ac:dyDescent="0.2">
      <c r="A1367" s="2" t="s">
        <v>3659</v>
      </c>
      <c r="B1367" s="2" t="s">
        <v>1545</v>
      </c>
      <c r="C1367" s="2">
        <v>1180.001</v>
      </c>
      <c r="D1367" s="2">
        <f>HYPERLINK("http://mcb-m6.bioreg.kyushu-u.ac.jp/M3/20110404/F50781/2842/1", 122.9)</f>
        <v>122.9</v>
      </c>
      <c r="E1367" s="2">
        <v>113.13</v>
      </c>
      <c r="F1367" s="2">
        <v>2</v>
      </c>
      <c r="G1367" s="2" t="s">
        <v>10</v>
      </c>
      <c r="H1367" s="2" t="s">
        <v>4938</v>
      </c>
    </row>
    <row r="1368" spans="1:8" x14ac:dyDescent="0.2">
      <c r="A1368" s="2" t="s">
        <v>3659</v>
      </c>
      <c r="B1368" s="2" t="s">
        <v>1472</v>
      </c>
      <c r="C1368" s="2">
        <v>1115.9090000000001</v>
      </c>
      <c r="D1368" s="2">
        <f>HYPERLINK("http://mcb-m6.bioreg.kyushu-u.ac.jp/M3/20110404/F50781/2757/1", 129.27)</f>
        <v>129.27000000000001</v>
      </c>
      <c r="E1368" s="2">
        <v>117.56</v>
      </c>
      <c r="F1368" s="2">
        <v>2</v>
      </c>
      <c r="G1368" s="2" t="s">
        <v>10</v>
      </c>
      <c r="H1368" s="2" t="s">
        <v>4907</v>
      </c>
    </row>
    <row r="1369" spans="1:8" x14ac:dyDescent="0.2">
      <c r="A1369" s="2" t="s">
        <v>3659</v>
      </c>
      <c r="B1369" s="2" t="s">
        <v>1472</v>
      </c>
      <c r="C1369" s="2">
        <v>1116.4179999999999</v>
      </c>
      <c r="D1369" s="2">
        <f>HYPERLINK("http://mcb-m6.bioreg.kyushu-u.ac.jp/M3/20110404/F50781/2759/1", 151.63)</f>
        <v>151.63</v>
      </c>
      <c r="E1369" s="2">
        <v>141.1</v>
      </c>
      <c r="F1369" s="2">
        <v>2</v>
      </c>
      <c r="G1369" s="2" t="s">
        <v>10</v>
      </c>
      <c r="H1369" s="2" t="s">
        <v>4907</v>
      </c>
    </row>
    <row r="1370" spans="1:8" x14ac:dyDescent="0.2">
      <c r="A1370" s="2" t="s">
        <v>3659</v>
      </c>
      <c r="B1370" s="2" t="s">
        <v>594</v>
      </c>
      <c r="C1370" s="2">
        <v>758.54020000000003</v>
      </c>
      <c r="D1370" s="2">
        <f>HYPERLINK("http://mcb-m6.bioreg.kyushu-u.ac.jp/M3/20110421/F51058/1955/1", 41.63)</f>
        <v>41.63</v>
      </c>
      <c r="E1370" s="2">
        <v>22.53</v>
      </c>
      <c r="F1370" s="2">
        <v>2</v>
      </c>
      <c r="G1370" s="2" t="s">
        <v>11</v>
      </c>
    </row>
    <row r="1371" spans="1:8" x14ac:dyDescent="0.2">
      <c r="A1371" s="2" t="s">
        <v>3659</v>
      </c>
      <c r="B1371" s="2" t="s">
        <v>594</v>
      </c>
      <c r="C1371" s="2">
        <v>750.24270000000001</v>
      </c>
      <c r="D1371" s="2">
        <f>HYPERLINK("http://mcb-m6.bioreg.kyushu-u.ac.jp/M3/20110421/F51017/2099/1", 51.2)</f>
        <v>51.2</v>
      </c>
      <c r="E1371" s="2">
        <v>33.21</v>
      </c>
      <c r="F1371" s="2">
        <v>2</v>
      </c>
      <c r="G1371" s="2" t="s">
        <v>11</v>
      </c>
      <c r="H1371" s="2" t="s">
        <v>4904</v>
      </c>
    </row>
    <row r="1372" spans="1:8" x14ac:dyDescent="0.2">
      <c r="A1372" s="2" t="s">
        <v>3659</v>
      </c>
      <c r="B1372" s="2" t="s">
        <v>594</v>
      </c>
      <c r="C1372" s="2">
        <v>750.42660000000001</v>
      </c>
      <c r="D1372" s="2">
        <f>HYPERLINK("http://mcb-m6.bioreg.kyushu-u.ac.jp/M3/20110421/F51034/2101/1", 53.26)</f>
        <v>53.26</v>
      </c>
      <c r="E1372" s="2">
        <v>34.75</v>
      </c>
      <c r="F1372" s="2">
        <v>2</v>
      </c>
      <c r="G1372" s="2" t="s">
        <v>11</v>
      </c>
      <c r="H1372" s="2" t="s">
        <v>4904</v>
      </c>
    </row>
    <row r="1373" spans="1:8" x14ac:dyDescent="0.2">
      <c r="A1373" s="2" t="s">
        <v>3659</v>
      </c>
      <c r="B1373" s="2" t="s">
        <v>594</v>
      </c>
      <c r="C1373" s="2">
        <v>750.3777</v>
      </c>
      <c r="D1373" s="2">
        <f>HYPERLINK("http://mcb-m6.bioreg.kyushu-u.ac.jp/M3/20110421/F51039/2129/1", 55.03)</f>
        <v>55.03</v>
      </c>
      <c r="E1373" s="2">
        <v>37.25</v>
      </c>
      <c r="F1373" s="2">
        <v>2</v>
      </c>
      <c r="G1373" s="2" t="s">
        <v>11</v>
      </c>
      <c r="H1373" s="2" t="s">
        <v>4904</v>
      </c>
    </row>
    <row r="1374" spans="1:8" x14ac:dyDescent="0.2">
      <c r="A1374" s="2" t="s">
        <v>3659</v>
      </c>
      <c r="B1374" s="2" t="s">
        <v>594</v>
      </c>
      <c r="C1374" s="2">
        <v>750.26760000000002</v>
      </c>
      <c r="D1374" s="2">
        <f>HYPERLINK("http://mcb-m6.bioreg.kyushu-u.ac.jp/M3/20110421/F51018/2182/1", 62.76)</f>
        <v>62.76</v>
      </c>
      <c r="E1374" s="2">
        <v>44.23</v>
      </c>
      <c r="F1374" s="2">
        <v>2</v>
      </c>
      <c r="G1374" s="2" t="s">
        <v>11</v>
      </c>
      <c r="H1374" s="2" t="s">
        <v>4904</v>
      </c>
    </row>
    <row r="1375" spans="1:8" x14ac:dyDescent="0.2">
      <c r="A1375" s="2" t="s">
        <v>3659</v>
      </c>
      <c r="B1375" s="2" t="s">
        <v>1472</v>
      </c>
      <c r="C1375" s="2">
        <v>1108.402</v>
      </c>
      <c r="D1375" s="2">
        <f>HYPERLINK("http://mcb-m6.bioreg.kyushu-u.ac.jp/M3/20110421/F51058/3209/1", 93.26)</f>
        <v>93.26</v>
      </c>
      <c r="E1375" s="2">
        <v>84.18</v>
      </c>
      <c r="F1375" s="2">
        <v>2</v>
      </c>
      <c r="G1375" s="2" t="s">
        <v>11</v>
      </c>
    </row>
    <row r="1376" spans="1:8" x14ac:dyDescent="0.2">
      <c r="A1376" s="2" t="s">
        <v>3659</v>
      </c>
      <c r="B1376" s="2" t="s">
        <v>1472</v>
      </c>
      <c r="C1376" s="2">
        <v>1116.1569999999999</v>
      </c>
      <c r="D1376" s="2">
        <f>HYPERLINK("http://mcb-m6.bioreg.kyushu-u.ac.jp/M3/20110421/F51058/3228/1", 128.26)</f>
        <v>128.26</v>
      </c>
      <c r="E1376" s="2">
        <v>121.04</v>
      </c>
      <c r="F1376" s="2">
        <v>2</v>
      </c>
      <c r="G1376" s="2" t="s">
        <v>11</v>
      </c>
      <c r="H1376" s="2" t="s">
        <v>4907</v>
      </c>
    </row>
    <row r="1377" spans="1:8" x14ac:dyDescent="0.2">
      <c r="A1377" s="2" t="s">
        <v>3659</v>
      </c>
      <c r="B1377" s="2" t="s">
        <v>594</v>
      </c>
      <c r="C1377" s="2">
        <v>506.15589999999997</v>
      </c>
      <c r="D1377" s="2">
        <f>HYPERLINK("http://mcb-m6.bioreg.kyushu-u.ac.jp/M3/20110421/F51044/2163/1", 39.56)</f>
        <v>39.56</v>
      </c>
      <c r="E1377" s="2">
        <v>26.11</v>
      </c>
      <c r="F1377" s="2">
        <v>3</v>
      </c>
      <c r="G1377" s="2" t="s">
        <v>12</v>
      </c>
    </row>
    <row r="1378" spans="1:8" x14ac:dyDescent="0.2">
      <c r="A1378" s="2" t="s">
        <v>3659</v>
      </c>
      <c r="B1378" s="2" t="s">
        <v>594</v>
      </c>
      <c r="C1378" s="2">
        <v>750.46010000000001</v>
      </c>
      <c r="D1378" s="2">
        <f>HYPERLINK("http://mcb-m6.bioreg.kyushu-u.ac.jp/M3/20110421/F51047/2203/1", 39.82)</f>
        <v>39.82</v>
      </c>
      <c r="E1378" s="2">
        <v>21.39</v>
      </c>
      <c r="F1378" s="2">
        <v>2</v>
      </c>
      <c r="G1378" s="2" t="s">
        <v>12</v>
      </c>
      <c r="H1378" s="2" t="s">
        <v>4904</v>
      </c>
    </row>
    <row r="1379" spans="1:8" x14ac:dyDescent="0.2">
      <c r="A1379" s="2" t="s">
        <v>3659</v>
      </c>
      <c r="B1379" s="2" t="s">
        <v>594</v>
      </c>
      <c r="C1379" s="2">
        <v>750.4692</v>
      </c>
      <c r="D1379" s="2">
        <f>HYPERLINK("http://mcb-m6.bioreg.kyushu-u.ac.jp/M3/20110421/F51059/1855/1", 40.9)</f>
        <v>40.9</v>
      </c>
      <c r="E1379" s="2">
        <v>24.59</v>
      </c>
      <c r="F1379" s="2">
        <v>2</v>
      </c>
      <c r="G1379" s="2" t="s">
        <v>12</v>
      </c>
      <c r="H1379" s="2" t="s">
        <v>4904</v>
      </c>
    </row>
    <row r="1380" spans="1:8" x14ac:dyDescent="0.2">
      <c r="A1380" s="2" t="s">
        <v>3659</v>
      </c>
      <c r="B1380" s="2" t="s">
        <v>1545</v>
      </c>
      <c r="C1380" s="2">
        <v>786.88850000000002</v>
      </c>
      <c r="D1380" s="2">
        <f>HYPERLINK("http://mcb-m6.bioreg.kyushu-u.ac.jp/M3/20110421/F51059/3465/1", 44.23)</f>
        <v>44.23</v>
      </c>
      <c r="E1380" s="2">
        <v>35.71</v>
      </c>
      <c r="F1380" s="2">
        <v>3</v>
      </c>
      <c r="G1380" s="2" t="s">
        <v>12</v>
      </c>
      <c r="H1380" s="2" t="s">
        <v>4938</v>
      </c>
    </row>
    <row r="1381" spans="1:8" x14ac:dyDescent="0.2">
      <c r="A1381" s="2" t="s">
        <v>3659</v>
      </c>
      <c r="B1381" s="2" t="s">
        <v>1472</v>
      </c>
      <c r="C1381" s="2">
        <v>1116.1880000000001</v>
      </c>
      <c r="D1381" s="2">
        <f>HYPERLINK("http://mcb-m6.bioreg.kyushu-u.ac.jp/M3/20110421/F51021/3691/1", 45.66)</f>
        <v>45.66</v>
      </c>
      <c r="E1381" s="2">
        <v>37.020000000000003</v>
      </c>
      <c r="F1381" s="2">
        <v>2</v>
      </c>
      <c r="G1381" s="2" t="s">
        <v>12</v>
      </c>
      <c r="H1381" s="2" t="s">
        <v>4907</v>
      </c>
    </row>
    <row r="1382" spans="1:8" x14ac:dyDescent="0.2">
      <c r="A1382" s="2" t="s">
        <v>3659</v>
      </c>
      <c r="B1382" s="2" t="s">
        <v>594</v>
      </c>
      <c r="C1382" s="2">
        <v>750.43520000000001</v>
      </c>
      <c r="D1382" s="2">
        <f>HYPERLINK("http://mcb-m6.bioreg.kyushu-u.ac.jp/M3/20110421/F51045/2218/1", 51.09)</f>
        <v>51.09</v>
      </c>
      <c r="E1382" s="2">
        <v>35.32</v>
      </c>
      <c r="F1382" s="2">
        <v>2</v>
      </c>
      <c r="G1382" s="2" t="s">
        <v>12</v>
      </c>
      <c r="H1382" s="2" t="s">
        <v>4904</v>
      </c>
    </row>
    <row r="1383" spans="1:8" x14ac:dyDescent="0.2">
      <c r="A1383" s="2" t="s">
        <v>3659</v>
      </c>
      <c r="B1383" s="2" t="s">
        <v>594</v>
      </c>
      <c r="C1383" s="2">
        <v>750.49720000000002</v>
      </c>
      <c r="D1383" s="2">
        <f>HYPERLINK("http://mcb-m6.bioreg.kyushu-u.ac.jp/M3/20110421/F51043/2124/1", 51.89)</f>
        <v>51.89</v>
      </c>
      <c r="E1383" s="2">
        <v>34.299999999999997</v>
      </c>
      <c r="F1383" s="2">
        <v>2</v>
      </c>
      <c r="G1383" s="2" t="s">
        <v>12</v>
      </c>
      <c r="H1383" s="2" t="s">
        <v>4904</v>
      </c>
    </row>
    <row r="1384" spans="1:8" x14ac:dyDescent="0.2">
      <c r="A1384" s="2" t="s">
        <v>3659</v>
      </c>
      <c r="B1384" s="2" t="s">
        <v>594</v>
      </c>
      <c r="C1384" s="2">
        <v>750.91420000000005</v>
      </c>
      <c r="D1384" s="2">
        <f>HYPERLINK("http://mcb-m6.bioreg.kyushu-u.ac.jp/M3/20110421/F51048/2262/1", 53.68)</f>
        <v>53.68</v>
      </c>
      <c r="E1384" s="2">
        <v>32.630000000000003</v>
      </c>
      <c r="F1384" s="2">
        <v>2</v>
      </c>
      <c r="G1384" s="2" t="s">
        <v>12</v>
      </c>
      <c r="H1384" s="2" t="s">
        <v>4904</v>
      </c>
    </row>
    <row r="1385" spans="1:8" x14ac:dyDescent="0.2">
      <c r="A1385" s="2" t="s">
        <v>3659</v>
      </c>
      <c r="B1385" s="2" t="s">
        <v>594</v>
      </c>
      <c r="C1385" s="2">
        <v>750.34310000000005</v>
      </c>
      <c r="D1385" s="2">
        <f>HYPERLINK("http://mcb-m6.bioreg.kyushu-u.ac.jp/M3/20110421/F51044/2110/1", 53.81)</f>
        <v>53.81</v>
      </c>
      <c r="E1385" s="2">
        <v>32.659999999999997</v>
      </c>
      <c r="F1385" s="2">
        <v>2</v>
      </c>
      <c r="G1385" s="2" t="s">
        <v>12</v>
      </c>
      <c r="H1385" s="2" t="s">
        <v>4904</v>
      </c>
    </row>
    <row r="1386" spans="1:8" x14ac:dyDescent="0.2">
      <c r="A1386" s="2" t="s">
        <v>3659</v>
      </c>
      <c r="B1386" s="2" t="s">
        <v>594</v>
      </c>
      <c r="C1386" s="2">
        <v>506.57279999999997</v>
      </c>
      <c r="D1386" s="2">
        <f>HYPERLINK("http://mcb-m6.bioreg.kyushu-u.ac.jp/M3/20110421/F51021/2196/1", 54.21)</f>
        <v>54.21</v>
      </c>
      <c r="E1386" s="2">
        <v>36.31</v>
      </c>
      <c r="F1386" s="2">
        <v>3</v>
      </c>
      <c r="G1386" s="2" t="s">
        <v>12</v>
      </c>
    </row>
    <row r="1387" spans="1:8" x14ac:dyDescent="0.2">
      <c r="A1387" s="2" t="s">
        <v>3659</v>
      </c>
      <c r="B1387" s="2" t="s">
        <v>1472</v>
      </c>
      <c r="C1387" s="2">
        <v>1115.9490000000001</v>
      </c>
      <c r="D1387" s="2">
        <f>HYPERLINK("http://mcb-m6.bioreg.kyushu-u.ac.jp/M3/20110421/F51024/3207/1", 56.11)</f>
        <v>56.11</v>
      </c>
      <c r="E1387" s="2">
        <v>51.52</v>
      </c>
      <c r="F1387" s="2">
        <v>2</v>
      </c>
      <c r="G1387" s="2" t="s">
        <v>12</v>
      </c>
      <c r="H1387" s="2" t="s">
        <v>4907</v>
      </c>
    </row>
    <row r="1388" spans="1:8" x14ac:dyDescent="0.2">
      <c r="A1388" s="2" t="s">
        <v>3659</v>
      </c>
      <c r="B1388" s="2" t="s">
        <v>594</v>
      </c>
      <c r="C1388" s="2">
        <v>750.41719999999998</v>
      </c>
      <c r="D1388" s="2">
        <f>HYPERLINK("http://mcb-m6.bioreg.kyushu-u.ac.jp/M3/20110421/F51050/2179/1", 57.06)</f>
        <v>57.06</v>
      </c>
      <c r="E1388" s="2">
        <v>42.83</v>
      </c>
      <c r="F1388" s="2">
        <v>2</v>
      </c>
      <c r="G1388" s="2" t="s">
        <v>12</v>
      </c>
      <c r="H1388" s="2" t="s">
        <v>4904</v>
      </c>
    </row>
    <row r="1389" spans="1:8" x14ac:dyDescent="0.2">
      <c r="A1389" s="2" t="s">
        <v>3659</v>
      </c>
      <c r="B1389" s="2" t="s">
        <v>594</v>
      </c>
      <c r="C1389" s="2">
        <v>750.92909999999995</v>
      </c>
      <c r="D1389" s="2">
        <f>HYPERLINK("http://mcb-m6.bioreg.kyushu-u.ac.jp/M3/20110421/F51050/2182/1", 58.6)</f>
        <v>58.6</v>
      </c>
      <c r="E1389" s="2">
        <v>44.97</v>
      </c>
      <c r="F1389" s="2">
        <v>2</v>
      </c>
      <c r="G1389" s="2" t="s">
        <v>12</v>
      </c>
      <c r="H1389" s="2" t="s">
        <v>4904</v>
      </c>
    </row>
    <row r="1390" spans="1:8" x14ac:dyDescent="0.2">
      <c r="A1390" s="2" t="s">
        <v>3659</v>
      </c>
      <c r="B1390" s="2" t="s">
        <v>1472</v>
      </c>
      <c r="C1390" s="2">
        <v>1108.4639999999999</v>
      </c>
      <c r="D1390" s="2">
        <f>HYPERLINK("http://mcb-m6.bioreg.kyushu-u.ac.jp/M3/20110421/F51044/3373/1", 64.43)</f>
        <v>64.430000000000007</v>
      </c>
      <c r="E1390" s="2">
        <v>58.32</v>
      </c>
      <c r="F1390" s="2">
        <v>2</v>
      </c>
      <c r="G1390" s="2" t="s">
        <v>12</v>
      </c>
    </row>
    <row r="1391" spans="1:8" x14ac:dyDescent="0.2">
      <c r="A1391" s="2" t="s">
        <v>3659</v>
      </c>
      <c r="B1391" s="2" t="s">
        <v>594</v>
      </c>
      <c r="C1391" s="2">
        <v>750.3057</v>
      </c>
      <c r="D1391" s="2">
        <f>HYPERLINK("http://mcb-m6.bioreg.kyushu-u.ac.jp/M3/20110421/F51023/2158/1", 64.83)</f>
        <v>64.83</v>
      </c>
      <c r="E1391" s="2">
        <v>46.62</v>
      </c>
      <c r="F1391" s="2">
        <v>2</v>
      </c>
      <c r="G1391" s="2" t="s">
        <v>12</v>
      </c>
      <c r="H1391" s="2" t="s">
        <v>4904</v>
      </c>
    </row>
    <row r="1392" spans="1:8" x14ac:dyDescent="0.2">
      <c r="A1392" s="2" t="s">
        <v>3659</v>
      </c>
      <c r="B1392" s="2" t="s">
        <v>594</v>
      </c>
      <c r="C1392" s="2">
        <v>750.27070000000003</v>
      </c>
      <c r="D1392" s="2">
        <f>HYPERLINK("http://mcb-m6.bioreg.kyushu-u.ac.jp/M3/20110421/F51021/2140/1", 69.5)</f>
        <v>69.5</v>
      </c>
      <c r="E1392" s="2">
        <v>49.73</v>
      </c>
      <c r="F1392" s="2">
        <v>2</v>
      </c>
      <c r="G1392" s="2" t="s">
        <v>12</v>
      </c>
      <c r="H1392" s="2" t="s">
        <v>4904</v>
      </c>
    </row>
    <row r="1393" spans="1:8" x14ac:dyDescent="0.2">
      <c r="A1393" s="2" t="s">
        <v>3659</v>
      </c>
      <c r="B1393" s="2" t="s">
        <v>594</v>
      </c>
      <c r="C1393" s="2">
        <v>750.24959999999999</v>
      </c>
      <c r="D1393" s="2">
        <f>HYPERLINK("http://mcb-m6.bioreg.kyushu-u.ac.jp/M3/20110421/F51024/2200/1", 70.83)</f>
        <v>70.83</v>
      </c>
      <c r="E1393" s="2">
        <v>52.23</v>
      </c>
      <c r="F1393" s="2">
        <v>2</v>
      </c>
      <c r="G1393" s="2" t="s">
        <v>12</v>
      </c>
      <c r="H1393" s="2" t="s">
        <v>4904</v>
      </c>
    </row>
    <row r="1394" spans="1:8" x14ac:dyDescent="0.2">
      <c r="A1394" s="2" t="s">
        <v>3659</v>
      </c>
      <c r="B1394" s="2" t="s">
        <v>1472</v>
      </c>
      <c r="C1394" s="2">
        <v>1108.482</v>
      </c>
      <c r="D1394" s="2">
        <f>HYPERLINK("http://mcb-m6.bioreg.kyushu-u.ac.jp/M3/20110421/F51061/2926/1", 85.95)</f>
        <v>85.95</v>
      </c>
      <c r="E1394" s="2">
        <v>72.56</v>
      </c>
      <c r="F1394" s="2">
        <v>2</v>
      </c>
      <c r="G1394" s="2" t="s">
        <v>12</v>
      </c>
    </row>
    <row r="1395" spans="1:8" x14ac:dyDescent="0.2">
      <c r="A1395" s="2" t="s">
        <v>3659</v>
      </c>
      <c r="B1395" s="2" t="s">
        <v>1472</v>
      </c>
      <c r="C1395" s="2">
        <v>1116.5989999999999</v>
      </c>
      <c r="D1395" s="2">
        <f>HYPERLINK("http://mcb-m6.bioreg.kyushu-u.ac.jp/M3/20110421/F51059/3305/1", 125.77)</f>
        <v>125.77</v>
      </c>
      <c r="E1395" s="2">
        <v>116</v>
      </c>
      <c r="F1395" s="2">
        <v>2</v>
      </c>
      <c r="G1395" s="2" t="s">
        <v>12</v>
      </c>
      <c r="H1395" s="2" t="s">
        <v>4907</v>
      </c>
    </row>
    <row r="1396" spans="1:8" x14ac:dyDescent="0.2">
      <c r="A1396" s="2" t="s">
        <v>3659</v>
      </c>
      <c r="B1396" s="2" t="s">
        <v>1472</v>
      </c>
      <c r="C1396" s="2">
        <v>1116.289</v>
      </c>
      <c r="D1396" s="2">
        <f>HYPERLINK("http://mcb-m6.bioreg.kyushu-u.ac.jp/M3/20110421/F51044/3394/1", 132.62)</f>
        <v>132.62</v>
      </c>
      <c r="E1396" s="2">
        <v>122.2</v>
      </c>
      <c r="F1396" s="2">
        <v>2</v>
      </c>
      <c r="G1396" s="2" t="s">
        <v>12</v>
      </c>
      <c r="H1396" s="2" t="s">
        <v>4907</v>
      </c>
    </row>
    <row r="1397" spans="1:8" x14ac:dyDescent="0.2">
      <c r="A1397" s="2" t="s">
        <v>3659</v>
      </c>
      <c r="B1397" s="2" t="s">
        <v>1472</v>
      </c>
      <c r="C1397" s="2">
        <v>1116.23</v>
      </c>
      <c r="D1397" s="2">
        <f>HYPERLINK("http://mcb-m6.bioreg.kyushu-u.ac.jp/M3/20110421/F51061/2945/1", 138.92)</f>
        <v>138.91999999999999</v>
      </c>
      <c r="E1397" s="2">
        <v>129.05000000000001</v>
      </c>
      <c r="F1397" s="2">
        <v>2</v>
      </c>
      <c r="G1397" s="2" t="s">
        <v>12</v>
      </c>
      <c r="H1397" s="2" t="s">
        <v>4907</v>
      </c>
    </row>
    <row r="1398" spans="1:8" x14ac:dyDescent="0.2">
      <c r="A1398" s="2" t="s">
        <v>3659</v>
      </c>
      <c r="B1398" s="2" t="s">
        <v>594</v>
      </c>
      <c r="C1398" s="2">
        <v>750.15809999999999</v>
      </c>
      <c r="D1398" s="2">
        <f>HYPERLINK("http://mcb-m6.bioreg.kyushu-u.ac.jp/M3/20110428/F51127/1932/1", 46.39)</f>
        <v>46.39</v>
      </c>
      <c r="E1398" s="2">
        <v>21.85</v>
      </c>
      <c r="F1398" s="2">
        <v>2</v>
      </c>
      <c r="G1398" s="2" t="s">
        <v>13</v>
      </c>
      <c r="H1398" s="2" t="s">
        <v>4904</v>
      </c>
    </row>
    <row r="1399" spans="1:8" x14ac:dyDescent="0.2">
      <c r="A1399" s="2" t="s">
        <v>3659</v>
      </c>
      <c r="B1399" s="2" t="s">
        <v>1472</v>
      </c>
      <c r="C1399" s="2">
        <v>1108.2940000000001</v>
      </c>
      <c r="D1399" s="2">
        <f>HYPERLINK("http://mcb-m6.bioreg.kyushu-u.ac.jp/M3/20110428/F51132/3288/1", 46.71)</f>
        <v>46.71</v>
      </c>
      <c r="E1399" s="2">
        <v>37.76</v>
      </c>
      <c r="F1399" s="2">
        <v>2</v>
      </c>
      <c r="G1399" s="2" t="s">
        <v>13</v>
      </c>
    </row>
    <row r="1400" spans="1:8" x14ac:dyDescent="0.2">
      <c r="A1400" s="2" t="s">
        <v>3659</v>
      </c>
      <c r="B1400" s="2" t="s">
        <v>594</v>
      </c>
      <c r="C1400" s="2">
        <v>750.19269999999995</v>
      </c>
      <c r="D1400" s="2">
        <f>HYPERLINK("http://mcb-m6.bioreg.kyushu-u.ac.jp/M3/20110427/F51114/2106/1", 49.38)</f>
        <v>49.38</v>
      </c>
      <c r="E1400" s="2">
        <v>32.57</v>
      </c>
      <c r="F1400" s="2">
        <v>2</v>
      </c>
      <c r="G1400" s="2" t="s">
        <v>13</v>
      </c>
      <c r="H1400" s="2" t="s">
        <v>4904</v>
      </c>
    </row>
    <row r="1401" spans="1:8" x14ac:dyDescent="0.2">
      <c r="A1401" s="2" t="s">
        <v>3659</v>
      </c>
      <c r="B1401" s="2" t="s">
        <v>594</v>
      </c>
      <c r="C1401" s="2">
        <v>750.17570000000001</v>
      </c>
      <c r="D1401" s="2">
        <f>HYPERLINK("http://mcb-m6.bioreg.kyushu-u.ac.jp/M3/20110428/F51132/2063/1", 50.53)</f>
        <v>50.53</v>
      </c>
      <c r="E1401" s="2">
        <v>36.74</v>
      </c>
      <c r="F1401" s="2">
        <v>2</v>
      </c>
      <c r="G1401" s="2" t="s">
        <v>13</v>
      </c>
      <c r="H1401" s="2" t="s">
        <v>4904</v>
      </c>
    </row>
    <row r="1402" spans="1:8" x14ac:dyDescent="0.2">
      <c r="A1402" s="2" t="s">
        <v>3659</v>
      </c>
      <c r="B1402" s="2" t="s">
        <v>594</v>
      </c>
      <c r="C1402" s="2">
        <v>750.54570000000001</v>
      </c>
      <c r="D1402" s="2">
        <f>HYPERLINK("http://mcb-m6.bioreg.kyushu-u.ac.jp/M3/20110427/F51111/2184/1", 54.96)</f>
        <v>54.96</v>
      </c>
      <c r="E1402" s="2">
        <v>40.35</v>
      </c>
      <c r="F1402" s="2">
        <v>2</v>
      </c>
      <c r="G1402" s="2" t="s">
        <v>13</v>
      </c>
      <c r="H1402" s="2" t="s">
        <v>4904</v>
      </c>
    </row>
    <row r="1403" spans="1:8" x14ac:dyDescent="0.2">
      <c r="A1403" s="2" t="s">
        <v>3659</v>
      </c>
      <c r="B1403" s="2" t="s">
        <v>594</v>
      </c>
      <c r="C1403" s="2">
        <v>750.21119999999996</v>
      </c>
      <c r="D1403" s="2">
        <f>HYPERLINK("http://mcb-m6.bioreg.kyushu-u.ac.jp/M3/20110428/F51131/1851/1", 57.22)</f>
        <v>57.22</v>
      </c>
      <c r="E1403" s="2">
        <v>40.03</v>
      </c>
      <c r="F1403" s="2">
        <v>2</v>
      </c>
      <c r="G1403" s="2" t="s">
        <v>13</v>
      </c>
      <c r="H1403" s="2" t="s">
        <v>4904</v>
      </c>
    </row>
    <row r="1404" spans="1:8" x14ac:dyDescent="0.2">
      <c r="A1404" s="2" t="s">
        <v>3659</v>
      </c>
      <c r="B1404" s="2" t="s">
        <v>594</v>
      </c>
      <c r="C1404" s="2">
        <v>750.2242</v>
      </c>
      <c r="D1404" s="2">
        <f>HYPERLINK("http://mcb-m6.bioreg.kyushu-u.ac.jp/M3/20110427/F51112/2132/1", 58.17)</f>
        <v>58.17</v>
      </c>
      <c r="E1404" s="2">
        <v>34.81</v>
      </c>
      <c r="F1404" s="2">
        <v>2</v>
      </c>
      <c r="G1404" s="2" t="s">
        <v>13</v>
      </c>
      <c r="H1404" s="2" t="s">
        <v>4904</v>
      </c>
    </row>
    <row r="1405" spans="1:8" x14ac:dyDescent="0.2">
      <c r="A1405" s="2" t="s">
        <v>3659</v>
      </c>
      <c r="B1405" s="2" t="s">
        <v>594</v>
      </c>
      <c r="C1405" s="2">
        <v>506.55119999999999</v>
      </c>
      <c r="D1405" s="2">
        <f>HYPERLINK("http://mcb-m6.bioreg.kyushu-u.ac.jp/M3/20110428/F51127/1983/1", 61.53)</f>
        <v>61.53</v>
      </c>
      <c r="E1405" s="2">
        <v>43.88</v>
      </c>
      <c r="F1405" s="2">
        <v>3</v>
      </c>
      <c r="G1405" s="2" t="s">
        <v>13</v>
      </c>
    </row>
    <row r="1406" spans="1:8" x14ac:dyDescent="0.2">
      <c r="A1406" s="2" t="s">
        <v>3659</v>
      </c>
      <c r="B1406" s="2" t="s">
        <v>594</v>
      </c>
      <c r="C1406" s="2">
        <v>506.07479999999998</v>
      </c>
      <c r="D1406" s="2">
        <f>HYPERLINK("http://mcb-m6.bioreg.kyushu-u.ac.jp/M3/20110428/F51131/1896/1", 64.84)</f>
        <v>64.84</v>
      </c>
      <c r="E1406" s="2">
        <v>53.12</v>
      </c>
      <c r="F1406" s="2">
        <v>3</v>
      </c>
      <c r="G1406" s="2" t="s">
        <v>13</v>
      </c>
    </row>
    <row r="1407" spans="1:8" x14ac:dyDescent="0.2">
      <c r="A1407" s="2" t="s">
        <v>3659</v>
      </c>
      <c r="B1407" s="2" t="s">
        <v>1545</v>
      </c>
      <c r="C1407" s="2">
        <v>1171.8920000000001</v>
      </c>
      <c r="D1407" s="2">
        <f>HYPERLINK("http://mcb-m6.bioreg.kyushu-u.ac.jp/M3/20110428/F51131/3426/1", 103.37)</f>
        <v>103.37</v>
      </c>
      <c r="E1407" s="2">
        <v>88.45</v>
      </c>
      <c r="F1407" s="2">
        <v>2</v>
      </c>
      <c r="G1407" s="2" t="s">
        <v>13</v>
      </c>
    </row>
    <row r="1408" spans="1:8" x14ac:dyDescent="0.2">
      <c r="A1408" s="2" t="s">
        <v>3659</v>
      </c>
      <c r="B1408" s="2" t="s">
        <v>1472</v>
      </c>
      <c r="C1408" s="2">
        <v>1108.165</v>
      </c>
      <c r="D1408" s="2">
        <f>HYPERLINK("http://mcb-m6.bioreg.kyushu-u.ac.jp/M3/20110428/F51131/3228/1", 111.47)</f>
        <v>111.47</v>
      </c>
      <c r="E1408" s="2">
        <v>96.03</v>
      </c>
      <c r="F1408" s="2">
        <v>2</v>
      </c>
      <c r="G1408" s="2" t="s">
        <v>13</v>
      </c>
    </row>
    <row r="1409" spans="1:8" x14ac:dyDescent="0.2">
      <c r="A1409" s="2" t="s">
        <v>3659</v>
      </c>
      <c r="B1409" s="2" t="s">
        <v>1472</v>
      </c>
      <c r="C1409" s="2">
        <v>1116.1389999999999</v>
      </c>
      <c r="D1409" s="2">
        <f>HYPERLINK("http://mcb-m6.bioreg.kyushu-u.ac.jp/M3/20110428/F51131/3258/1", 141.82)</f>
        <v>141.82</v>
      </c>
      <c r="E1409" s="2">
        <v>126.6</v>
      </c>
      <c r="F1409" s="2">
        <v>2</v>
      </c>
      <c r="G1409" s="2" t="s">
        <v>13</v>
      </c>
      <c r="H1409" s="2" t="s">
        <v>4907</v>
      </c>
    </row>
    <row r="1410" spans="1:8" x14ac:dyDescent="0.2">
      <c r="A1410" s="2" t="s">
        <v>3659</v>
      </c>
      <c r="B1410" s="2" t="s">
        <v>594</v>
      </c>
      <c r="C1410" s="2">
        <v>506.12079999999997</v>
      </c>
      <c r="D1410" s="2">
        <f>HYPERLINK("http://mcb-m6.bioreg.kyushu-u.ac.jp/M3/20110427/F51124/2098/1", 44.42)</f>
        <v>44.42</v>
      </c>
      <c r="E1410" s="2">
        <v>31.75</v>
      </c>
      <c r="F1410" s="2">
        <v>3</v>
      </c>
      <c r="G1410" s="2" t="s">
        <v>14</v>
      </c>
    </row>
    <row r="1411" spans="1:8" x14ac:dyDescent="0.2">
      <c r="A1411" s="2" t="s">
        <v>3659</v>
      </c>
      <c r="B1411" s="2" t="s">
        <v>1472</v>
      </c>
      <c r="C1411" s="2">
        <v>744.58360000000005</v>
      </c>
      <c r="D1411" s="2">
        <f>HYPERLINK("http://mcb-m6.bioreg.kyushu-u.ac.jp/M3/20110427/F51123/3407/1", 48.69)</f>
        <v>48.69</v>
      </c>
      <c r="E1411" s="2">
        <v>36.07</v>
      </c>
      <c r="F1411" s="2">
        <v>3</v>
      </c>
      <c r="G1411" s="2" t="s">
        <v>14</v>
      </c>
      <c r="H1411" s="2" t="s">
        <v>4907</v>
      </c>
    </row>
    <row r="1412" spans="1:8" x14ac:dyDescent="0.2">
      <c r="A1412" s="2" t="s">
        <v>3659</v>
      </c>
      <c r="B1412" s="2" t="s">
        <v>1545</v>
      </c>
      <c r="C1412" s="2">
        <v>787.28819999999996</v>
      </c>
      <c r="D1412" s="2">
        <f>HYPERLINK("http://mcb-m6.bioreg.kyushu-u.ac.jp/M3/20110427/F51123/3531/1", 48.78)</f>
        <v>48.78</v>
      </c>
      <c r="E1412" s="2">
        <v>41.27</v>
      </c>
      <c r="F1412" s="2">
        <v>3</v>
      </c>
      <c r="G1412" s="2" t="s">
        <v>14</v>
      </c>
      <c r="H1412" s="2" t="s">
        <v>4938</v>
      </c>
    </row>
    <row r="1413" spans="1:8" x14ac:dyDescent="0.2">
      <c r="A1413" s="2" t="s">
        <v>3659</v>
      </c>
      <c r="B1413" s="2" t="s">
        <v>594</v>
      </c>
      <c r="C1413" s="2">
        <v>750.24770000000001</v>
      </c>
      <c r="D1413" s="2">
        <f>HYPERLINK("http://mcb-m6.bioreg.kyushu-u.ac.jp/M3/20110427/F51121/2055/1", 52.84)</f>
        <v>52.84</v>
      </c>
      <c r="E1413" s="2">
        <v>32.979999999999997</v>
      </c>
      <c r="F1413" s="2">
        <v>2</v>
      </c>
      <c r="G1413" s="2" t="s">
        <v>14</v>
      </c>
      <c r="H1413" s="2" t="s">
        <v>4904</v>
      </c>
    </row>
    <row r="1414" spans="1:8" x14ac:dyDescent="0.2">
      <c r="A1414" s="2" t="s">
        <v>3659</v>
      </c>
      <c r="B1414" s="2" t="s">
        <v>594</v>
      </c>
      <c r="C1414" s="2">
        <v>750.16669999999999</v>
      </c>
      <c r="D1414" s="2">
        <f>HYPERLINK("http://mcb-m6.bioreg.kyushu-u.ac.jp/M3/20110428/F51130/2111/1", 56.49)</f>
        <v>56.49</v>
      </c>
      <c r="E1414" s="2">
        <v>37.840000000000003</v>
      </c>
      <c r="F1414" s="2">
        <v>2</v>
      </c>
      <c r="G1414" s="2" t="s">
        <v>14</v>
      </c>
      <c r="H1414" s="2" t="s">
        <v>4904</v>
      </c>
    </row>
    <row r="1415" spans="1:8" x14ac:dyDescent="0.2">
      <c r="A1415" s="2" t="s">
        <v>3659</v>
      </c>
      <c r="B1415" s="2" t="s">
        <v>594</v>
      </c>
      <c r="C1415" s="2">
        <v>750.22270000000003</v>
      </c>
      <c r="D1415" s="2">
        <f>HYPERLINK("http://mcb-m6.bioreg.kyushu-u.ac.jp/M3/20110427/F51124/2060/1", 57.34)</f>
        <v>57.34</v>
      </c>
      <c r="E1415" s="2">
        <v>40.200000000000003</v>
      </c>
      <c r="F1415" s="2">
        <v>2</v>
      </c>
      <c r="G1415" s="2" t="s">
        <v>14</v>
      </c>
      <c r="H1415" s="2" t="s">
        <v>4904</v>
      </c>
    </row>
    <row r="1416" spans="1:8" x14ac:dyDescent="0.2">
      <c r="A1416" s="2" t="s">
        <v>3659</v>
      </c>
      <c r="B1416" s="2" t="s">
        <v>594</v>
      </c>
      <c r="C1416" s="2">
        <v>750.21559999999999</v>
      </c>
      <c r="D1416" s="2">
        <f>HYPERLINK("http://mcb-m6.bioreg.kyushu-u.ac.jp/M3/20110428/F51128/2008/1", 57.7)</f>
        <v>57.7</v>
      </c>
      <c r="E1416" s="2">
        <v>38.65</v>
      </c>
      <c r="F1416" s="2">
        <v>2</v>
      </c>
      <c r="G1416" s="2" t="s">
        <v>14</v>
      </c>
      <c r="H1416" s="2" t="s">
        <v>4904</v>
      </c>
    </row>
    <row r="1417" spans="1:8" x14ac:dyDescent="0.2">
      <c r="A1417" s="2" t="s">
        <v>3659</v>
      </c>
      <c r="B1417" s="2" t="s">
        <v>594</v>
      </c>
      <c r="C1417" s="2">
        <v>750.42520000000002</v>
      </c>
      <c r="D1417" s="2">
        <f>HYPERLINK("http://mcb-m6.bioreg.kyushu-u.ac.jp/M3/20110427/F51120/2123/1", 58.18)</f>
        <v>58.18</v>
      </c>
      <c r="E1417" s="2">
        <v>37.76</v>
      </c>
      <c r="F1417" s="2">
        <v>2</v>
      </c>
      <c r="G1417" s="2" t="s">
        <v>14</v>
      </c>
      <c r="H1417" s="2" t="s">
        <v>4904</v>
      </c>
    </row>
    <row r="1418" spans="1:8" x14ac:dyDescent="0.2">
      <c r="A1418" s="2" t="s">
        <v>3659</v>
      </c>
      <c r="B1418" s="2" t="s">
        <v>594</v>
      </c>
      <c r="C1418" s="2">
        <v>750.09010000000001</v>
      </c>
      <c r="D1418" s="2">
        <f>HYPERLINK("http://mcb-m6.bioreg.kyushu-u.ac.jp/M3/20110428/F51126/2108/1", 58.35)</f>
        <v>58.35</v>
      </c>
      <c r="E1418" s="2">
        <v>38.090000000000003</v>
      </c>
      <c r="F1418" s="2">
        <v>2</v>
      </c>
      <c r="G1418" s="2" t="s">
        <v>14</v>
      </c>
      <c r="H1418" s="2" t="s">
        <v>4904</v>
      </c>
    </row>
    <row r="1419" spans="1:8" x14ac:dyDescent="0.2">
      <c r="A1419" s="2" t="s">
        <v>3659</v>
      </c>
      <c r="B1419" s="2" t="s">
        <v>1472</v>
      </c>
      <c r="C1419" s="2">
        <v>1108.3150000000001</v>
      </c>
      <c r="D1419" s="2">
        <f>HYPERLINK("http://mcb-m6.bioreg.kyushu-u.ac.jp/M3/20110428/F51129/3254/1", 59.03)</f>
        <v>59.03</v>
      </c>
      <c r="E1419" s="2">
        <v>50.23</v>
      </c>
      <c r="F1419" s="2">
        <v>2</v>
      </c>
      <c r="G1419" s="2" t="s">
        <v>14</v>
      </c>
    </row>
    <row r="1420" spans="1:8" x14ac:dyDescent="0.2">
      <c r="A1420" s="2" t="s">
        <v>3659</v>
      </c>
      <c r="B1420" s="2" t="s">
        <v>594</v>
      </c>
      <c r="C1420" s="2">
        <v>750.64120000000003</v>
      </c>
      <c r="D1420" s="2">
        <f>HYPERLINK("http://mcb-m6.bioreg.kyushu-u.ac.jp/M3/20110428/F51126/2111/1", 59.24)</f>
        <v>59.24</v>
      </c>
      <c r="E1420" s="2">
        <v>40.68</v>
      </c>
      <c r="F1420" s="2">
        <v>2</v>
      </c>
      <c r="G1420" s="2" t="s">
        <v>14</v>
      </c>
      <c r="H1420" s="2" t="s">
        <v>4904</v>
      </c>
    </row>
    <row r="1421" spans="1:8" x14ac:dyDescent="0.2">
      <c r="A1421" s="2" t="s">
        <v>3659</v>
      </c>
      <c r="B1421" s="2" t="s">
        <v>594</v>
      </c>
      <c r="C1421" s="2">
        <v>506.1069</v>
      </c>
      <c r="D1421" s="2">
        <f>HYPERLINK("http://mcb-m6.bioreg.kyushu-u.ac.jp/M3/20110427/F51123/2125/1", 59.38)</f>
        <v>59.38</v>
      </c>
      <c r="E1421" s="2">
        <v>45.7</v>
      </c>
      <c r="F1421" s="2">
        <v>3</v>
      </c>
      <c r="G1421" s="2" t="s">
        <v>14</v>
      </c>
    </row>
    <row r="1422" spans="1:8" x14ac:dyDescent="0.2">
      <c r="A1422" s="2" t="s">
        <v>3659</v>
      </c>
      <c r="B1422" s="2" t="s">
        <v>594</v>
      </c>
      <c r="C1422" s="2">
        <v>506.16590000000002</v>
      </c>
      <c r="D1422" s="2">
        <f>HYPERLINK("http://mcb-m6.bioreg.kyushu-u.ac.jp/M3/20110428/F51130/2148/1", 62.65)</f>
        <v>62.65</v>
      </c>
      <c r="E1422" s="2">
        <v>52.61</v>
      </c>
      <c r="F1422" s="2">
        <v>3</v>
      </c>
      <c r="G1422" s="2" t="s">
        <v>14</v>
      </c>
    </row>
    <row r="1423" spans="1:8" x14ac:dyDescent="0.2">
      <c r="A1423" s="2" t="s">
        <v>3659</v>
      </c>
      <c r="B1423" s="2" t="s">
        <v>594</v>
      </c>
      <c r="C1423" s="2">
        <v>750.17769999999996</v>
      </c>
      <c r="D1423" s="2">
        <f>HYPERLINK("http://mcb-m6.bioreg.kyushu-u.ac.jp/M3/20110427/F51123/2082/1", 65.49)</f>
        <v>65.489999999999995</v>
      </c>
      <c r="E1423" s="2">
        <v>46.38</v>
      </c>
      <c r="F1423" s="2">
        <v>2</v>
      </c>
      <c r="G1423" s="2" t="s">
        <v>14</v>
      </c>
      <c r="H1423" s="2" t="s">
        <v>4904</v>
      </c>
    </row>
    <row r="1424" spans="1:8" x14ac:dyDescent="0.2">
      <c r="A1424" s="2" t="s">
        <v>3659</v>
      </c>
      <c r="B1424" s="2" t="s">
        <v>594</v>
      </c>
      <c r="C1424" s="2">
        <v>750.13869999999997</v>
      </c>
      <c r="D1424" s="2">
        <f>HYPERLINK("http://mcb-m6.bioreg.kyushu-u.ac.jp/M3/20110427/F51122/2197/1", 66.47)</f>
        <v>66.47</v>
      </c>
      <c r="E1424" s="2">
        <v>50.99</v>
      </c>
      <c r="F1424" s="2">
        <v>2</v>
      </c>
      <c r="G1424" s="2" t="s">
        <v>14</v>
      </c>
      <c r="H1424" s="2" t="s">
        <v>4904</v>
      </c>
    </row>
    <row r="1425" spans="1:8" x14ac:dyDescent="0.2">
      <c r="A1425" s="2" t="s">
        <v>3659</v>
      </c>
      <c r="B1425" s="2" t="s">
        <v>594</v>
      </c>
      <c r="C1425" s="2">
        <v>750.14009999999996</v>
      </c>
      <c r="D1425" s="2">
        <f>HYPERLINK("http://mcb-m6.bioreg.kyushu-u.ac.jp/M3/20110427/F51125/2122/1", 69.36)</f>
        <v>69.36</v>
      </c>
      <c r="E1425" s="2">
        <v>50.62</v>
      </c>
      <c r="F1425" s="2">
        <v>2</v>
      </c>
      <c r="G1425" s="2" t="s">
        <v>14</v>
      </c>
      <c r="H1425" s="2" t="s">
        <v>4904</v>
      </c>
    </row>
    <row r="1426" spans="1:8" x14ac:dyDescent="0.2">
      <c r="A1426" s="2" t="s">
        <v>3659</v>
      </c>
      <c r="B1426" s="2" t="s">
        <v>1472</v>
      </c>
      <c r="C1426" s="2">
        <v>1115.761</v>
      </c>
      <c r="D1426" s="2">
        <f>HYPERLINK("http://mcb-m6.bioreg.kyushu-u.ac.jp/M3/20110427/F51123/3402/1", 72.99)</f>
        <v>72.989999999999995</v>
      </c>
      <c r="E1426" s="2">
        <v>56.64</v>
      </c>
      <c r="F1426" s="2">
        <v>2</v>
      </c>
      <c r="G1426" s="2" t="s">
        <v>14</v>
      </c>
      <c r="H1426" s="2" t="s">
        <v>4907</v>
      </c>
    </row>
    <row r="1427" spans="1:8" x14ac:dyDescent="0.2">
      <c r="A1427" s="2" t="s">
        <v>3659</v>
      </c>
      <c r="B1427" s="2" t="s">
        <v>1472</v>
      </c>
      <c r="C1427" s="2">
        <v>1116.2850000000001</v>
      </c>
      <c r="D1427" s="2">
        <f>HYPERLINK("http://mcb-m6.bioreg.kyushu-u.ac.jp/M3/20110428/F51126/3181/1", 77.1)</f>
        <v>77.099999999999994</v>
      </c>
      <c r="E1427" s="2">
        <v>66.680000000000007</v>
      </c>
      <c r="F1427" s="2">
        <v>2</v>
      </c>
      <c r="G1427" s="2" t="s">
        <v>14</v>
      </c>
      <c r="H1427" s="2" t="s">
        <v>4907</v>
      </c>
    </row>
    <row r="1428" spans="1:8" x14ac:dyDescent="0.2">
      <c r="A1428" s="2" t="s">
        <v>3659</v>
      </c>
      <c r="B1428" s="2" t="s">
        <v>1472</v>
      </c>
      <c r="C1428" s="2">
        <v>1116.307</v>
      </c>
      <c r="D1428" s="2">
        <f>HYPERLINK("http://mcb-m6.bioreg.kyushu-u.ac.jp/M3/20110428/F51128/3366/1", 79.87)</f>
        <v>79.87</v>
      </c>
      <c r="E1428" s="2">
        <v>67.400000000000006</v>
      </c>
      <c r="F1428" s="2">
        <v>2</v>
      </c>
      <c r="G1428" s="2" t="s">
        <v>14</v>
      </c>
      <c r="H1428" s="2" t="s">
        <v>4907</v>
      </c>
    </row>
    <row r="1429" spans="1:8" x14ac:dyDescent="0.2">
      <c r="A1429" s="2" t="s">
        <v>3659</v>
      </c>
      <c r="B1429" s="2" t="s">
        <v>1472</v>
      </c>
      <c r="C1429" s="2">
        <v>1116.31</v>
      </c>
      <c r="D1429" s="2">
        <f>HYPERLINK("http://mcb-m6.bioreg.kyushu-u.ac.jp/M3/20110427/F51123/3406/1", 89.09)</f>
        <v>89.09</v>
      </c>
      <c r="E1429" s="2">
        <v>81.72</v>
      </c>
      <c r="F1429" s="2">
        <v>2</v>
      </c>
      <c r="G1429" s="2" t="s">
        <v>14</v>
      </c>
      <c r="H1429" s="2" t="s">
        <v>4907</v>
      </c>
    </row>
    <row r="1430" spans="1:8" x14ac:dyDescent="0.2">
      <c r="A1430" s="2" t="s">
        <v>3659</v>
      </c>
      <c r="B1430" s="2" t="s">
        <v>1472</v>
      </c>
      <c r="C1430" s="2">
        <v>1108.2539999999999</v>
      </c>
      <c r="D1430" s="2">
        <f>HYPERLINK("http://mcb-m6.bioreg.kyushu-u.ac.jp/M3/20110427/F51123/3373/1", 96.67)</f>
        <v>96.67</v>
      </c>
      <c r="E1430" s="2">
        <v>85.78</v>
      </c>
      <c r="F1430" s="2">
        <v>2</v>
      </c>
      <c r="G1430" s="2" t="s">
        <v>14</v>
      </c>
    </row>
    <row r="1431" spans="1:8" x14ac:dyDescent="0.2">
      <c r="A1431" s="2" t="s">
        <v>3659</v>
      </c>
      <c r="B1431" s="2" t="s">
        <v>1472</v>
      </c>
      <c r="C1431" s="2">
        <v>1115.721</v>
      </c>
      <c r="D1431" s="2">
        <f>HYPERLINK("http://mcb-m6.bioreg.kyushu-u.ac.jp/M3/20110428/F51128/3363/1", 109.54)</f>
        <v>109.54</v>
      </c>
      <c r="E1431" s="2">
        <v>98.2</v>
      </c>
      <c r="F1431" s="2">
        <v>2</v>
      </c>
      <c r="G1431" s="2" t="s">
        <v>14</v>
      </c>
      <c r="H1431" s="2" t="s">
        <v>4907</v>
      </c>
    </row>
    <row r="1432" spans="1:8" x14ac:dyDescent="0.2">
      <c r="A1432" s="2" t="s">
        <v>3659</v>
      </c>
      <c r="B1432" s="2" t="s">
        <v>1472</v>
      </c>
      <c r="C1432" s="2">
        <v>1115.809</v>
      </c>
      <c r="D1432" s="2">
        <f>HYPERLINK("http://mcb-m6.bioreg.kyushu-u.ac.jp/M3/20110427/F51124/3181/1", 111.99)</f>
        <v>111.99</v>
      </c>
      <c r="E1432" s="2">
        <v>101.83</v>
      </c>
      <c r="F1432" s="2">
        <v>2</v>
      </c>
      <c r="G1432" s="2" t="s">
        <v>14</v>
      </c>
      <c r="H1432" s="2" t="s">
        <v>4907</v>
      </c>
    </row>
    <row r="1433" spans="1:8" x14ac:dyDescent="0.2">
      <c r="A1433" s="2" t="s">
        <v>3659</v>
      </c>
      <c r="B1433" s="2" t="s">
        <v>1472</v>
      </c>
      <c r="C1433" s="2">
        <v>1116.5060000000001</v>
      </c>
      <c r="D1433" s="2">
        <f>HYPERLINK("http://mcb-m6.bioreg.kyushu-u.ac.jp/M3/20110428/F51135/2933/1", 151.49)</f>
        <v>151.49</v>
      </c>
      <c r="E1433" s="2">
        <v>141.25</v>
      </c>
      <c r="F1433" s="2">
        <v>2</v>
      </c>
      <c r="G1433" s="2" t="s">
        <v>14</v>
      </c>
      <c r="H1433" s="2" t="s">
        <v>4907</v>
      </c>
    </row>
    <row r="1434" spans="1:8" x14ac:dyDescent="0.2">
      <c r="A1434" s="2" t="s">
        <v>7718</v>
      </c>
      <c r="B1434" s="2" t="s">
        <v>6427</v>
      </c>
      <c r="C1434" s="2">
        <v>699.8152</v>
      </c>
      <c r="D1434" s="2">
        <f>HYPERLINK("http://mcb-m6.bioreg.kyushu-u.ac.jp/M3/20110404/F50754/1962/1", 63)</f>
        <v>63</v>
      </c>
      <c r="E1434" s="2">
        <v>30.25</v>
      </c>
      <c r="F1434" s="2">
        <v>2</v>
      </c>
      <c r="G1434" s="2" t="s">
        <v>9</v>
      </c>
    </row>
    <row r="1435" spans="1:8" x14ac:dyDescent="0.2">
      <c r="A1435" s="2" t="s">
        <v>3454</v>
      </c>
      <c r="B1435" s="2" t="s">
        <v>265</v>
      </c>
      <c r="C1435" s="2">
        <v>586.96469999999999</v>
      </c>
      <c r="D1435" s="2">
        <f>HYPERLINK("http://mcb-m6.bioreg.kyushu-u.ac.jp/M3/20110421/F51050/1474/2", 53.06)</f>
        <v>53.06</v>
      </c>
      <c r="E1435" s="2">
        <v>41.45</v>
      </c>
      <c r="F1435" s="2">
        <v>2</v>
      </c>
      <c r="G1435" s="2" t="s">
        <v>12</v>
      </c>
    </row>
    <row r="1436" spans="1:8" x14ac:dyDescent="0.2">
      <c r="A1436" s="2" t="s">
        <v>4117</v>
      </c>
      <c r="B1436" s="2" t="s">
        <v>2142</v>
      </c>
      <c r="C1436" s="2">
        <v>731.42359999999996</v>
      </c>
      <c r="D1436" s="2">
        <f>HYPERLINK("http://mcb-m6.bioreg.kyushu-u.ac.jp/M3/20110404/F50751/2089/1", 95.35)</f>
        <v>95.35</v>
      </c>
      <c r="E1436" s="2">
        <v>65.27</v>
      </c>
      <c r="F1436" s="2">
        <v>2</v>
      </c>
      <c r="G1436" s="2" t="s">
        <v>9</v>
      </c>
    </row>
    <row r="1437" spans="1:8" x14ac:dyDescent="0.2">
      <c r="A1437" s="2" t="s">
        <v>4117</v>
      </c>
      <c r="B1437" s="2" t="s">
        <v>1617</v>
      </c>
      <c r="C1437" s="2">
        <v>563.93470000000002</v>
      </c>
      <c r="D1437" s="2">
        <f>HYPERLINK("http://mcb-m6.bioreg.kyushu-u.ac.jp/M3/20110404/F50751/1609/1", 97.38)</f>
        <v>97.38</v>
      </c>
      <c r="E1437" s="2">
        <v>66.040000000000006</v>
      </c>
      <c r="F1437" s="2">
        <v>2</v>
      </c>
      <c r="G1437" s="2" t="s">
        <v>9</v>
      </c>
    </row>
    <row r="1438" spans="1:8" x14ac:dyDescent="0.2">
      <c r="A1438" s="2" t="s">
        <v>4117</v>
      </c>
      <c r="B1438" s="2" t="s">
        <v>1617</v>
      </c>
      <c r="C1438" s="2">
        <v>563.43119999999999</v>
      </c>
      <c r="D1438" s="2">
        <f>HYPERLINK("http://mcb-m6.bioreg.kyushu-u.ac.jp/M3/20110421/F51014/1482/1", 51.36)</f>
        <v>51.36</v>
      </c>
      <c r="E1438" s="2">
        <v>30.42</v>
      </c>
      <c r="F1438" s="2">
        <v>2</v>
      </c>
      <c r="G1438" s="2" t="s">
        <v>11</v>
      </c>
    </row>
    <row r="1439" spans="1:8" x14ac:dyDescent="0.2">
      <c r="A1439" s="2" t="s">
        <v>4117</v>
      </c>
      <c r="B1439" s="2" t="s">
        <v>1617</v>
      </c>
      <c r="C1439" s="2">
        <v>564.00959999999998</v>
      </c>
      <c r="D1439" s="2">
        <f>HYPERLINK("http://mcb-m6.bioreg.kyushu-u.ac.jp/M3/20110421/F51014/1485/1", 86.45)</f>
        <v>86.45</v>
      </c>
      <c r="E1439" s="2">
        <v>58.54</v>
      </c>
      <c r="F1439" s="2">
        <v>2</v>
      </c>
      <c r="G1439" s="2" t="s">
        <v>11</v>
      </c>
    </row>
    <row r="1440" spans="1:8" x14ac:dyDescent="0.2">
      <c r="A1440" s="2" t="s">
        <v>4117</v>
      </c>
      <c r="B1440" s="2" t="s">
        <v>2142</v>
      </c>
      <c r="C1440" s="2">
        <v>730.8981</v>
      </c>
      <c r="D1440" s="2">
        <f>HYPERLINK("http://mcb-m6.bioreg.kyushu-u.ac.jp/M3/20110421/F51014/2088/1", 87.11)</f>
        <v>87.11</v>
      </c>
      <c r="E1440" s="2">
        <v>52.53</v>
      </c>
      <c r="F1440" s="2">
        <v>2</v>
      </c>
      <c r="G1440" s="2" t="s">
        <v>11</v>
      </c>
    </row>
    <row r="1441" spans="1:9" x14ac:dyDescent="0.2">
      <c r="A1441" s="2" t="s">
        <v>4117</v>
      </c>
      <c r="B1441" s="2" t="s">
        <v>1617</v>
      </c>
      <c r="C1441" s="2">
        <v>564.09220000000005</v>
      </c>
      <c r="D1441" s="2">
        <f>HYPERLINK("http://mcb-m6.bioreg.kyushu-u.ac.jp/M3/20110427/F51108/1440/1", 84.53)</f>
        <v>84.53</v>
      </c>
      <c r="E1441" s="2">
        <v>51.4</v>
      </c>
      <c r="F1441" s="2">
        <v>2</v>
      </c>
      <c r="G1441" s="2" t="s">
        <v>13</v>
      </c>
    </row>
    <row r="1442" spans="1:9" x14ac:dyDescent="0.2">
      <c r="A1442" s="2" t="s">
        <v>4117</v>
      </c>
      <c r="B1442" s="2" t="s">
        <v>2142</v>
      </c>
      <c r="C1442" s="2">
        <v>731.13120000000004</v>
      </c>
      <c r="D1442" s="2">
        <f>HYPERLINK("http://mcb-m6.bioreg.kyushu-u.ac.jp/M3/20110427/F51108/2015/1", 90.08)</f>
        <v>90.08</v>
      </c>
      <c r="E1442" s="2">
        <v>59.07</v>
      </c>
      <c r="F1442" s="2">
        <v>2</v>
      </c>
      <c r="G1442" s="2" t="s">
        <v>13</v>
      </c>
    </row>
    <row r="1443" spans="1:9" x14ac:dyDescent="0.2">
      <c r="A1443" s="2" t="s">
        <v>4374</v>
      </c>
      <c r="B1443" s="2" t="s">
        <v>2205</v>
      </c>
      <c r="C1443" s="2">
        <v>530.51419999999996</v>
      </c>
      <c r="D1443" s="2">
        <f>HYPERLINK("http://mcb-m6.bioreg.kyushu-u.ac.jp/M3/20110421/F51014/1372/1", 44.06)</f>
        <v>44.06</v>
      </c>
      <c r="E1443" s="2">
        <v>22.31</v>
      </c>
      <c r="F1443" s="2">
        <v>2</v>
      </c>
      <c r="G1443" s="2" t="s">
        <v>11</v>
      </c>
    </row>
    <row r="1444" spans="1:9" x14ac:dyDescent="0.2">
      <c r="A1444" s="2" t="s">
        <v>4374</v>
      </c>
      <c r="B1444" s="2" t="s">
        <v>2205</v>
      </c>
      <c r="C1444" s="2">
        <v>531.03719999999998</v>
      </c>
      <c r="D1444" s="2">
        <f>HYPERLINK("http://mcb-m6.bioreg.kyushu-u.ac.jp/M3/20110421/F51014/1376/1", 48.74)</f>
        <v>48.74</v>
      </c>
      <c r="E1444" s="2">
        <v>22.15</v>
      </c>
      <c r="F1444" s="2">
        <v>2</v>
      </c>
      <c r="G1444" s="2" t="s">
        <v>11</v>
      </c>
    </row>
    <row r="1445" spans="1:9" x14ac:dyDescent="0.2">
      <c r="A1445" s="2" t="s">
        <v>4374</v>
      </c>
      <c r="B1445" s="2" t="s">
        <v>2205</v>
      </c>
      <c r="C1445" s="2">
        <v>530.64570000000003</v>
      </c>
      <c r="D1445" s="2">
        <f>HYPERLINK("http://mcb-m6.bioreg.kyushu-u.ac.jp/M3/20110427/F51108/1336/1", 49.05)</f>
        <v>49.05</v>
      </c>
      <c r="E1445" s="2">
        <v>25.43</v>
      </c>
      <c r="F1445" s="2">
        <v>2</v>
      </c>
      <c r="G1445" s="2" t="s">
        <v>13</v>
      </c>
    </row>
    <row r="1446" spans="1:9" x14ac:dyDescent="0.2">
      <c r="A1446" s="2" t="s">
        <v>4407</v>
      </c>
      <c r="B1446" s="2" t="s">
        <v>2258</v>
      </c>
      <c r="C1446" s="2">
        <v>474.03359999999998</v>
      </c>
      <c r="D1446" s="2">
        <f>HYPERLINK("http://mcb-m6.bioreg.kyushu-u.ac.jp/M3/20110421/F51014/1124/1", 51.44)</f>
        <v>51.44</v>
      </c>
      <c r="E1446" s="2">
        <v>19.11</v>
      </c>
      <c r="F1446" s="2">
        <v>2</v>
      </c>
      <c r="G1446" s="2" t="s">
        <v>11</v>
      </c>
    </row>
    <row r="1447" spans="1:9" x14ac:dyDescent="0.2">
      <c r="A1447" s="2" t="s">
        <v>7832</v>
      </c>
      <c r="B1447" s="2" t="s">
        <v>6784</v>
      </c>
      <c r="C1447" s="2">
        <v>915.30909999999994</v>
      </c>
      <c r="D1447" s="2">
        <f>HYPERLINK("http://mcb-m6.bioreg.kyushu-u.ac.jp/M3/20110404/F50782/2638/1", 42.22)</f>
        <v>42.22</v>
      </c>
      <c r="E1447" s="2">
        <v>25.4</v>
      </c>
      <c r="F1447" s="2">
        <v>2</v>
      </c>
      <c r="G1447" s="2" t="s">
        <v>10</v>
      </c>
    </row>
    <row r="1448" spans="1:9" x14ac:dyDescent="0.2">
      <c r="A1448" s="2" t="s">
        <v>4086</v>
      </c>
      <c r="B1448" s="2" t="s">
        <v>2758</v>
      </c>
      <c r="C1448" s="2">
        <v>796.53269999999998</v>
      </c>
      <c r="D1448" s="2">
        <f>HYPERLINK("http://mcb-m6.bioreg.kyushu-u.ac.jp/M3/20110404/F50756/2251/1", 40.5)</f>
        <v>40.5</v>
      </c>
      <c r="E1448" s="2">
        <v>30.66</v>
      </c>
      <c r="F1448" s="2">
        <v>2</v>
      </c>
      <c r="G1448" s="2" t="s">
        <v>9</v>
      </c>
    </row>
    <row r="1449" spans="1:9" x14ac:dyDescent="0.2">
      <c r="A1449" s="2" t="s">
        <v>4086</v>
      </c>
      <c r="B1449" s="2" t="s">
        <v>2758</v>
      </c>
      <c r="C1449" s="2">
        <v>796.29909999999995</v>
      </c>
      <c r="D1449" s="2">
        <f>HYPERLINK("http://mcb-m6.bioreg.kyushu-u.ac.jp/M3/20110427/F51122/2380/1", 71.7)</f>
        <v>71.7</v>
      </c>
      <c r="E1449" s="2">
        <v>54.86</v>
      </c>
      <c r="F1449" s="2">
        <v>2</v>
      </c>
      <c r="G1449" s="2" t="s">
        <v>14</v>
      </c>
    </row>
    <row r="1450" spans="1:9" x14ac:dyDescent="0.2">
      <c r="A1450" s="2" t="s">
        <v>3446</v>
      </c>
      <c r="B1450" s="2" t="s">
        <v>1635</v>
      </c>
      <c r="C1450" s="2">
        <v>968.94119999999998</v>
      </c>
      <c r="D1450" s="2">
        <f>HYPERLINK("http://mcb-m6.bioreg.kyushu-u.ac.jp/M3/20110404/F50756/2954/1", 38.23)</f>
        <v>38.229999999999997</v>
      </c>
      <c r="E1450" s="2">
        <v>24.57</v>
      </c>
      <c r="F1450" s="2">
        <v>2</v>
      </c>
      <c r="G1450" s="2" t="s">
        <v>9</v>
      </c>
      <c r="I1450" s="2" t="s">
        <v>4898</v>
      </c>
    </row>
    <row r="1451" spans="1:9" x14ac:dyDescent="0.2">
      <c r="A1451" s="2" t="s">
        <v>3446</v>
      </c>
      <c r="B1451" s="2" t="s">
        <v>1019</v>
      </c>
      <c r="C1451" s="2">
        <v>641.42470000000003</v>
      </c>
      <c r="D1451" s="2">
        <f>HYPERLINK("http://mcb-m6.bioreg.kyushu-u.ac.jp/M3/20110404/F50756/1501/1", 41.33)</f>
        <v>41.33</v>
      </c>
      <c r="E1451" s="2">
        <v>22.58</v>
      </c>
      <c r="F1451" s="2">
        <v>2</v>
      </c>
      <c r="G1451" s="2" t="s">
        <v>9</v>
      </c>
    </row>
    <row r="1452" spans="1:9" x14ac:dyDescent="0.2">
      <c r="A1452" s="2" t="s">
        <v>3446</v>
      </c>
      <c r="B1452" s="2" t="s">
        <v>6232</v>
      </c>
      <c r="C1452" s="2">
        <v>592.67169999999999</v>
      </c>
      <c r="D1452" s="2">
        <f>HYPERLINK("http://mcb-m6.bioreg.kyushu-u.ac.jp/M3/20110404/F50756/1318/1", 47.82)</f>
        <v>47.82</v>
      </c>
      <c r="E1452" s="2">
        <v>37.15</v>
      </c>
      <c r="F1452" s="2">
        <v>2</v>
      </c>
      <c r="G1452" s="2" t="s">
        <v>9</v>
      </c>
      <c r="I1452" s="2" t="s">
        <v>4926</v>
      </c>
    </row>
    <row r="1453" spans="1:9" x14ac:dyDescent="0.2">
      <c r="A1453" s="2" t="s">
        <v>3446</v>
      </c>
      <c r="B1453" s="2" t="s">
        <v>1635</v>
      </c>
      <c r="C1453" s="2">
        <v>976.67610000000002</v>
      </c>
      <c r="D1453" s="2">
        <f>HYPERLINK("http://mcb-m6.bioreg.kyushu-u.ac.jp/M3/20110404/F50756/2986/1", 55.98)</f>
        <v>55.98</v>
      </c>
      <c r="E1453" s="2">
        <v>43.49</v>
      </c>
      <c r="F1453" s="2">
        <v>2</v>
      </c>
      <c r="G1453" s="2" t="s">
        <v>9</v>
      </c>
      <c r="H1453" s="2" t="s">
        <v>4971</v>
      </c>
      <c r="I1453" s="2" t="s">
        <v>4898</v>
      </c>
    </row>
    <row r="1454" spans="1:9" x14ac:dyDescent="0.2">
      <c r="A1454" s="2" t="s">
        <v>3446</v>
      </c>
      <c r="B1454" s="2" t="s">
        <v>1054</v>
      </c>
      <c r="C1454" s="2">
        <v>803.7731</v>
      </c>
      <c r="D1454" s="2">
        <f>HYPERLINK("http://mcb-m6.bioreg.kyushu-u.ac.jp/M3/20110404/F50756/2276/1", 61.27)</f>
        <v>61.27</v>
      </c>
      <c r="E1454" s="2">
        <v>42.11</v>
      </c>
      <c r="F1454" s="2">
        <v>2</v>
      </c>
      <c r="G1454" s="2" t="s">
        <v>9</v>
      </c>
      <c r="I1454" s="2" t="s">
        <v>4899</v>
      </c>
    </row>
    <row r="1455" spans="1:9" x14ac:dyDescent="0.2">
      <c r="A1455" s="2" t="s">
        <v>3446</v>
      </c>
      <c r="B1455" s="2" t="s">
        <v>1244</v>
      </c>
      <c r="C1455" s="2">
        <v>881.82870000000003</v>
      </c>
      <c r="D1455" s="2">
        <f>HYPERLINK("http://mcb-m6.bioreg.kyushu-u.ac.jp/M3/20110404/F50756/2592/1", 65.89)</f>
        <v>65.89</v>
      </c>
      <c r="E1455" s="2">
        <v>49.24</v>
      </c>
      <c r="F1455" s="2">
        <v>2</v>
      </c>
      <c r="G1455" s="2" t="s">
        <v>9</v>
      </c>
      <c r="I1455" s="2" t="s">
        <v>4898</v>
      </c>
    </row>
    <row r="1456" spans="1:9" x14ac:dyDescent="0.2">
      <c r="A1456" s="2" t="s">
        <v>3446</v>
      </c>
      <c r="B1456" s="2" t="s">
        <v>1203</v>
      </c>
      <c r="C1456" s="2">
        <v>594.79219999999998</v>
      </c>
      <c r="D1456" s="2">
        <f>HYPERLINK("http://mcb-m6.bioreg.kyushu-u.ac.jp/M3/20110404/F50756/1327/1", 84.68)</f>
        <v>84.68</v>
      </c>
      <c r="E1456" s="2">
        <v>55.24</v>
      </c>
      <c r="F1456" s="2">
        <v>2</v>
      </c>
      <c r="G1456" s="2" t="s">
        <v>9</v>
      </c>
    </row>
    <row r="1457" spans="1:9" x14ac:dyDescent="0.2">
      <c r="A1457" s="2" t="s">
        <v>3446</v>
      </c>
      <c r="B1457" s="2" t="s">
        <v>1187</v>
      </c>
      <c r="C1457" s="2">
        <v>805.25869999999998</v>
      </c>
      <c r="D1457" s="2">
        <f>HYPERLINK("http://mcb-m6.bioreg.kyushu-u.ac.jp/M3/20110404/F50761/2114/1", 59.78)</f>
        <v>59.78</v>
      </c>
      <c r="E1457" s="2">
        <v>38.22</v>
      </c>
      <c r="F1457" s="2">
        <v>2</v>
      </c>
      <c r="G1457" s="2" t="s">
        <v>10</v>
      </c>
    </row>
    <row r="1458" spans="1:9" x14ac:dyDescent="0.2">
      <c r="A1458" s="2" t="s">
        <v>3446</v>
      </c>
      <c r="B1458" s="2" t="s">
        <v>1054</v>
      </c>
      <c r="C1458" s="2">
        <v>803.30719999999997</v>
      </c>
      <c r="D1458" s="2">
        <f>HYPERLINK("http://mcb-m6.bioreg.kyushu-u.ac.jp/M3/20110404/F50761/2107/1", 71.8)</f>
        <v>71.8</v>
      </c>
      <c r="E1458" s="2">
        <v>44.67</v>
      </c>
      <c r="F1458" s="2">
        <v>2</v>
      </c>
      <c r="G1458" s="2" t="s">
        <v>10</v>
      </c>
      <c r="I1458" s="2" t="s">
        <v>4899</v>
      </c>
    </row>
    <row r="1459" spans="1:9" x14ac:dyDescent="0.2">
      <c r="A1459" s="2" t="s">
        <v>3446</v>
      </c>
      <c r="B1459" s="2" t="s">
        <v>1203</v>
      </c>
      <c r="C1459" s="2">
        <v>594.34619999999995</v>
      </c>
      <c r="D1459" s="2">
        <f>HYPERLINK("http://mcb-m6.bioreg.kyushu-u.ac.jp/M3/20110404/F50761/1294/1", 72.52)</f>
        <v>72.52</v>
      </c>
      <c r="E1459" s="2">
        <v>51.61</v>
      </c>
      <c r="F1459" s="2">
        <v>2</v>
      </c>
      <c r="G1459" s="2" t="s">
        <v>10</v>
      </c>
    </row>
    <row r="1460" spans="1:9" x14ac:dyDescent="0.2">
      <c r="A1460" s="2" t="s">
        <v>3446</v>
      </c>
      <c r="B1460" s="2" t="s">
        <v>1054</v>
      </c>
      <c r="C1460" s="2">
        <v>803.91309999999999</v>
      </c>
      <c r="D1460" s="2">
        <f>HYPERLINK("http://mcb-m6.bioreg.kyushu-u.ac.jp/M3/20110421/F51034/2349/1", 58.21)</f>
        <v>58.21</v>
      </c>
      <c r="E1460" s="2">
        <v>39.619999999999997</v>
      </c>
      <c r="F1460" s="2">
        <v>2</v>
      </c>
      <c r="G1460" s="2" t="s">
        <v>11</v>
      </c>
      <c r="I1460" s="2" t="s">
        <v>4899</v>
      </c>
    </row>
    <row r="1461" spans="1:9" x14ac:dyDescent="0.2">
      <c r="A1461" s="2" t="s">
        <v>3446</v>
      </c>
      <c r="B1461" s="2" t="s">
        <v>1054</v>
      </c>
      <c r="C1461" s="2">
        <v>803.69920000000002</v>
      </c>
      <c r="D1461" s="2">
        <f>HYPERLINK("http://mcb-m6.bioreg.kyushu-u.ac.jp/M3/20110427/F51114/2419/1", 62.99)</f>
        <v>62.99</v>
      </c>
      <c r="E1461" s="2">
        <v>42.41</v>
      </c>
      <c r="F1461" s="2">
        <v>2</v>
      </c>
      <c r="G1461" s="2" t="s">
        <v>13</v>
      </c>
      <c r="I1461" s="2" t="s">
        <v>4899</v>
      </c>
    </row>
    <row r="1462" spans="1:9" x14ac:dyDescent="0.2">
      <c r="A1462" s="2" t="s">
        <v>4371</v>
      </c>
      <c r="B1462" s="2" t="s">
        <v>6036</v>
      </c>
      <c r="C1462" s="2">
        <v>579.18910000000005</v>
      </c>
      <c r="D1462" s="2">
        <f>HYPERLINK("http://mcb-m6.bioreg.kyushu-u.ac.jp/M3/20110404/F50763/1320/1", 39.75)</f>
        <v>39.75</v>
      </c>
      <c r="E1462" s="2">
        <v>10.14</v>
      </c>
      <c r="F1462" s="2">
        <v>2</v>
      </c>
      <c r="G1462" s="2" t="s">
        <v>9</v>
      </c>
    </row>
    <row r="1463" spans="1:9" x14ac:dyDescent="0.2">
      <c r="A1463" s="2" t="s">
        <v>4371</v>
      </c>
      <c r="B1463" s="2" t="s">
        <v>6489</v>
      </c>
      <c r="C1463" s="2">
        <v>590.6617</v>
      </c>
      <c r="D1463" s="2">
        <f>HYPERLINK("http://mcb-m6.bioreg.kyushu-u.ac.jp/M3/20110404/F50763/1355/1", 70.04)</f>
        <v>70.040000000000006</v>
      </c>
      <c r="E1463" s="2">
        <v>45.03</v>
      </c>
      <c r="F1463" s="2">
        <v>2</v>
      </c>
      <c r="G1463" s="2" t="s">
        <v>9</v>
      </c>
    </row>
    <row r="1464" spans="1:9" x14ac:dyDescent="0.2">
      <c r="A1464" s="2" t="s">
        <v>4371</v>
      </c>
      <c r="B1464" s="2" t="s">
        <v>6561</v>
      </c>
      <c r="C1464" s="2">
        <v>727.3827</v>
      </c>
      <c r="D1464" s="2">
        <f>HYPERLINK("http://mcb-m6.bioreg.kyushu-u.ac.jp/M3/20110404/F50763/1896/1", 80.4)</f>
        <v>80.400000000000006</v>
      </c>
      <c r="E1464" s="2">
        <v>59.4</v>
      </c>
      <c r="F1464" s="2">
        <v>2</v>
      </c>
      <c r="G1464" s="2" t="s">
        <v>9</v>
      </c>
    </row>
    <row r="1465" spans="1:9" x14ac:dyDescent="0.2">
      <c r="A1465" s="2" t="s">
        <v>4371</v>
      </c>
      <c r="B1465" s="2" t="s">
        <v>6697</v>
      </c>
      <c r="C1465" s="2">
        <v>552.17070000000001</v>
      </c>
      <c r="D1465" s="2">
        <f>HYPERLINK("http://mcb-m6.bioreg.kyushu-u.ac.jp/M3/20110404/F50768/1248/1", 36.58)</f>
        <v>36.58</v>
      </c>
      <c r="E1465" s="2">
        <v>16.670000000000002</v>
      </c>
      <c r="F1465" s="2">
        <v>2</v>
      </c>
      <c r="G1465" s="2" t="s">
        <v>10</v>
      </c>
    </row>
    <row r="1466" spans="1:9" x14ac:dyDescent="0.2">
      <c r="A1466" s="2" t="s">
        <v>4371</v>
      </c>
      <c r="B1466" s="2" t="s">
        <v>6036</v>
      </c>
      <c r="C1466" s="2">
        <v>1157.443</v>
      </c>
      <c r="D1466" s="2">
        <f>HYPERLINK("http://mcb-m6.bioreg.kyushu-u.ac.jp/M3/20110404/F50768/1313/1", 36.85)</f>
        <v>36.85</v>
      </c>
      <c r="E1466" s="2">
        <v>20.09</v>
      </c>
      <c r="F1466" s="2">
        <v>1</v>
      </c>
      <c r="G1466" s="2" t="s">
        <v>10</v>
      </c>
    </row>
    <row r="1467" spans="1:9" x14ac:dyDescent="0.2">
      <c r="A1467" s="2" t="s">
        <v>4371</v>
      </c>
      <c r="B1467" s="2" t="s">
        <v>6489</v>
      </c>
      <c r="C1467" s="2">
        <v>598.78520000000003</v>
      </c>
      <c r="D1467" s="2">
        <f>HYPERLINK("http://mcb-m6.bioreg.kyushu-u.ac.jp/M3/20110404/F50768/1385/1", 43.53)</f>
        <v>43.53</v>
      </c>
      <c r="E1467" s="2">
        <v>23.24</v>
      </c>
      <c r="F1467" s="2">
        <v>2</v>
      </c>
      <c r="G1467" s="2" t="s">
        <v>10</v>
      </c>
      <c r="H1467" s="2" t="s">
        <v>4900</v>
      </c>
    </row>
    <row r="1468" spans="1:9" x14ac:dyDescent="0.2">
      <c r="A1468" s="2" t="s">
        <v>4371</v>
      </c>
      <c r="B1468" s="2" t="s">
        <v>6036</v>
      </c>
      <c r="C1468" s="2">
        <v>579.11220000000003</v>
      </c>
      <c r="D1468" s="2">
        <f>HYPERLINK("http://mcb-m6.bioreg.kyushu-u.ac.jp/M3/20110404/F50769/1466/1", 54.38)</f>
        <v>54.38</v>
      </c>
      <c r="E1468" s="2">
        <v>18.64</v>
      </c>
      <c r="F1468" s="2">
        <v>2</v>
      </c>
      <c r="G1468" s="2" t="s">
        <v>10</v>
      </c>
    </row>
    <row r="1469" spans="1:9" x14ac:dyDescent="0.2">
      <c r="A1469" s="2" t="s">
        <v>4371</v>
      </c>
      <c r="B1469" s="2" t="s">
        <v>6943</v>
      </c>
      <c r="C1469" s="2">
        <v>566.67610000000002</v>
      </c>
      <c r="D1469" s="2">
        <f>HYPERLINK("http://mcb-m6.bioreg.kyushu-u.ac.jp/M3/20110404/F50768/1276/1", 63.26)</f>
        <v>63.26</v>
      </c>
      <c r="E1469" s="2">
        <v>31.5</v>
      </c>
      <c r="F1469" s="2">
        <v>2</v>
      </c>
      <c r="G1469" s="2" t="s">
        <v>10</v>
      </c>
    </row>
    <row r="1470" spans="1:9" x14ac:dyDescent="0.2">
      <c r="A1470" s="2" t="s">
        <v>4371</v>
      </c>
      <c r="B1470" s="2" t="s">
        <v>6036</v>
      </c>
      <c r="C1470" s="2">
        <v>579.22270000000003</v>
      </c>
      <c r="D1470" s="2">
        <f>HYPERLINK("http://mcb-m6.bioreg.kyushu-u.ac.jp/M3/20110404/F50768/1312/1", 70.09)</f>
        <v>70.09</v>
      </c>
      <c r="E1470" s="2">
        <v>40.28</v>
      </c>
      <c r="F1470" s="2">
        <v>2</v>
      </c>
      <c r="G1470" s="2" t="s">
        <v>10</v>
      </c>
    </row>
    <row r="1471" spans="1:9" x14ac:dyDescent="0.2">
      <c r="A1471" s="2" t="s">
        <v>4371</v>
      </c>
      <c r="B1471" s="2" t="s">
        <v>6489</v>
      </c>
      <c r="C1471" s="2">
        <v>591.30110000000002</v>
      </c>
      <c r="D1471" s="2">
        <f>HYPERLINK("http://mcb-m6.bioreg.kyushu-u.ac.jp/M3/20110404/F50768/1349/1", 70.39)</f>
        <v>70.39</v>
      </c>
      <c r="E1471" s="2">
        <v>42.11</v>
      </c>
      <c r="F1471" s="2">
        <v>2</v>
      </c>
      <c r="G1471" s="2" t="s">
        <v>10</v>
      </c>
    </row>
    <row r="1472" spans="1:9" x14ac:dyDescent="0.2">
      <c r="A1472" s="2" t="s">
        <v>4371</v>
      </c>
      <c r="B1472" s="2" t="s">
        <v>6489</v>
      </c>
      <c r="C1472" s="2">
        <v>598.93219999999997</v>
      </c>
      <c r="D1472" s="2">
        <f>HYPERLINK("http://mcb-m6.bioreg.kyushu-u.ac.jp/M3/20110421/F51045/1570/1", 35.56)</f>
        <v>35.56</v>
      </c>
      <c r="E1472" s="2">
        <v>15.92</v>
      </c>
      <c r="F1472" s="2">
        <v>2</v>
      </c>
      <c r="G1472" s="2" t="s">
        <v>12</v>
      </c>
      <c r="H1472" s="2" t="s">
        <v>4900</v>
      </c>
    </row>
    <row r="1473" spans="1:9" x14ac:dyDescent="0.2">
      <c r="A1473" s="2" t="s">
        <v>4371</v>
      </c>
      <c r="B1473" s="2" t="s">
        <v>6489</v>
      </c>
      <c r="C1473" s="2">
        <v>590.64419999999996</v>
      </c>
      <c r="D1473" s="2">
        <f>HYPERLINK("http://mcb-m6.bioreg.kyushu-u.ac.jp/M3/20110421/F51043/1326/1", 48.55)</f>
        <v>48.55</v>
      </c>
      <c r="E1473" s="2">
        <v>30.49</v>
      </c>
      <c r="F1473" s="2">
        <v>2</v>
      </c>
      <c r="G1473" s="2" t="s">
        <v>12</v>
      </c>
    </row>
    <row r="1474" spans="1:9" x14ac:dyDescent="0.2">
      <c r="A1474" s="2" t="s">
        <v>4371</v>
      </c>
      <c r="B1474" s="2" t="s">
        <v>6489</v>
      </c>
      <c r="C1474" s="2">
        <v>599.39919999999995</v>
      </c>
      <c r="D1474" s="2">
        <f>HYPERLINK("http://mcb-m6.bioreg.kyushu-u.ac.jp/M3/20110421/F51043/1376/1", 77.05)</f>
        <v>77.05</v>
      </c>
      <c r="E1474" s="2">
        <v>49.11</v>
      </c>
      <c r="F1474" s="2">
        <v>2</v>
      </c>
      <c r="G1474" s="2" t="s">
        <v>12</v>
      </c>
      <c r="H1474" s="2" t="s">
        <v>4900</v>
      </c>
    </row>
    <row r="1475" spans="1:9" x14ac:dyDescent="0.2">
      <c r="A1475" s="2" t="s">
        <v>4371</v>
      </c>
      <c r="B1475" s="2" t="s">
        <v>7270</v>
      </c>
      <c r="C1475" s="2">
        <v>693.91219999999998</v>
      </c>
      <c r="D1475" s="2">
        <f>HYPERLINK("http://mcb-m6.bioreg.kyushu-u.ac.jp/M3/20110421/F51045/1965/1", 84.78)</f>
        <v>84.78</v>
      </c>
      <c r="E1475" s="2">
        <v>58.76</v>
      </c>
      <c r="F1475" s="2">
        <v>2</v>
      </c>
      <c r="G1475" s="2" t="s">
        <v>12</v>
      </c>
    </row>
    <row r="1476" spans="1:9" x14ac:dyDescent="0.2">
      <c r="A1476" s="2" t="s">
        <v>4371</v>
      </c>
      <c r="B1476" s="2" t="s">
        <v>7270</v>
      </c>
      <c r="C1476" s="2">
        <v>694.42269999999996</v>
      </c>
      <c r="D1476" s="2">
        <f>HYPERLINK("http://mcb-m6.bioreg.kyushu-u.ac.jp/M3/20110421/F51043/1807/1", 86.36)</f>
        <v>86.36</v>
      </c>
      <c r="E1476" s="2">
        <v>58.49</v>
      </c>
      <c r="F1476" s="2">
        <v>2</v>
      </c>
      <c r="G1476" s="2" t="s">
        <v>12</v>
      </c>
    </row>
    <row r="1477" spans="1:9" x14ac:dyDescent="0.2">
      <c r="A1477" s="2" t="s">
        <v>4371</v>
      </c>
      <c r="B1477" s="2" t="s">
        <v>7464</v>
      </c>
      <c r="C1477" s="2">
        <v>682.15769999999998</v>
      </c>
      <c r="D1477" s="2">
        <f>HYPERLINK("http://mcb-m6.bioreg.kyushu-u.ac.jp/M3/20110428/F51128/1664/1", 36.99)</f>
        <v>36.99</v>
      </c>
      <c r="E1477" s="2">
        <v>19.37</v>
      </c>
      <c r="F1477" s="2">
        <v>2</v>
      </c>
      <c r="G1477" s="2" t="s">
        <v>14</v>
      </c>
    </row>
    <row r="1478" spans="1:9" x14ac:dyDescent="0.2">
      <c r="A1478" s="2" t="s">
        <v>4288</v>
      </c>
      <c r="B1478" s="2" t="s">
        <v>1979</v>
      </c>
      <c r="C1478" s="2">
        <v>933.57600000000002</v>
      </c>
      <c r="D1478" s="2">
        <f>HYPERLINK("http://mcb-m6.bioreg.kyushu-u.ac.jp/M3/20110404/F50751/1362/1", 35.34)</f>
        <v>35.340000000000003</v>
      </c>
      <c r="E1478" s="2">
        <v>8.75</v>
      </c>
      <c r="F1478" s="2">
        <v>1</v>
      </c>
      <c r="G1478" s="2" t="s">
        <v>9</v>
      </c>
    </row>
    <row r="1479" spans="1:9" x14ac:dyDescent="0.2">
      <c r="A1479" s="2" t="s">
        <v>4288</v>
      </c>
      <c r="B1479" s="2" t="s">
        <v>1979</v>
      </c>
      <c r="C1479" s="2">
        <v>933.26599999999996</v>
      </c>
      <c r="D1479" s="2">
        <f>HYPERLINK("http://mcb-m6.bioreg.kyushu-u.ac.jp/M3/20110421/F51021/695/1", 38.2)</f>
        <v>38.200000000000003</v>
      </c>
      <c r="E1479" s="2">
        <v>11.22</v>
      </c>
      <c r="F1479" s="2">
        <v>1</v>
      </c>
      <c r="G1479" s="2" t="s">
        <v>12</v>
      </c>
    </row>
    <row r="1480" spans="1:9" x14ac:dyDescent="0.2">
      <c r="A1480" s="2" t="s">
        <v>3376</v>
      </c>
      <c r="B1480" s="2" t="s">
        <v>168</v>
      </c>
      <c r="C1480" s="2">
        <v>680.40560000000005</v>
      </c>
      <c r="D1480" s="2">
        <f>HYPERLINK("http://mcb-m6.bioreg.kyushu-u.ac.jp/M3/20110404/F50751/1900/1", 42.22)</f>
        <v>42.22</v>
      </c>
      <c r="E1480" s="2">
        <v>23.85</v>
      </c>
      <c r="F1480" s="2">
        <v>2</v>
      </c>
      <c r="G1480" s="2" t="s">
        <v>9</v>
      </c>
    </row>
    <row r="1481" spans="1:9" x14ac:dyDescent="0.2">
      <c r="A1481" s="2" t="s">
        <v>3376</v>
      </c>
      <c r="B1481" s="2" t="s">
        <v>168</v>
      </c>
      <c r="C1481" s="2">
        <v>680.60919999999999</v>
      </c>
      <c r="D1481" s="2">
        <f>HYPERLINK("http://mcb-m6.bioreg.kyushu-u.ac.jp/M3/20110421/F51014/1842/1", 49.4)</f>
        <v>49.4</v>
      </c>
      <c r="E1481" s="2">
        <v>25.58</v>
      </c>
      <c r="F1481" s="2">
        <v>2</v>
      </c>
      <c r="G1481" s="2" t="s">
        <v>11</v>
      </c>
    </row>
    <row r="1482" spans="1:9" x14ac:dyDescent="0.2">
      <c r="A1482" s="2" t="s">
        <v>3694</v>
      </c>
      <c r="B1482" s="2" t="s">
        <v>667</v>
      </c>
      <c r="C1482" s="2">
        <v>671.3066</v>
      </c>
      <c r="D1482" s="2">
        <f>HYPERLINK("http://mcb-m6.bioreg.kyushu-u.ac.jp/M3/20110421/F51018/1734/1", 63.85)</f>
        <v>63.85</v>
      </c>
      <c r="E1482" s="2">
        <v>47.06</v>
      </c>
      <c r="F1482" s="2">
        <v>2</v>
      </c>
      <c r="G1482" s="2" t="s">
        <v>11</v>
      </c>
    </row>
    <row r="1483" spans="1:9" x14ac:dyDescent="0.2">
      <c r="A1483" s="2" t="s">
        <v>3694</v>
      </c>
      <c r="B1483" s="2" t="s">
        <v>667</v>
      </c>
      <c r="C1483" s="2">
        <v>671.1472</v>
      </c>
      <c r="D1483" s="2">
        <f>HYPERLINK("http://mcb-m6.bioreg.kyushu-u.ac.jp/M3/20110427/F51113/1644/1", 72.76)</f>
        <v>72.760000000000005</v>
      </c>
      <c r="E1483" s="2">
        <v>55.94</v>
      </c>
      <c r="F1483" s="2">
        <v>2</v>
      </c>
      <c r="G1483" s="2" t="s">
        <v>13</v>
      </c>
    </row>
    <row r="1484" spans="1:9" x14ac:dyDescent="0.2">
      <c r="A1484" s="2" t="s">
        <v>5829</v>
      </c>
      <c r="B1484" s="2" t="s">
        <v>7388</v>
      </c>
      <c r="C1484" s="2">
        <v>846.16219999999998</v>
      </c>
      <c r="D1484" s="2">
        <f>HYPERLINK("http://mcb-m6.bioreg.kyushu-u.ac.jp/M3/20110427/F51113/2432/1", 53.87)</f>
        <v>53.87</v>
      </c>
      <c r="E1484" s="2">
        <v>42.88</v>
      </c>
      <c r="F1484" s="2">
        <v>2</v>
      </c>
      <c r="G1484" s="2" t="s">
        <v>13</v>
      </c>
      <c r="I1484" s="2" t="s">
        <v>4918</v>
      </c>
    </row>
    <row r="1485" spans="1:9" x14ac:dyDescent="0.2">
      <c r="A1485" s="2" t="s">
        <v>7633</v>
      </c>
      <c r="B1485" s="2" t="s">
        <v>6171</v>
      </c>
      <c r="C1485" s="2">
        <v>971.39700000000005</v>
      </c>
      <c r="D1485" s="2">
        <f>HYPERLINK("http://mcb-m6.bioreg.kyushu-u.ac.jp/M3/20110404/F50754/1269/1", 45.42)</f>
        <v>45.42</v>
      </c>
      <c r="E1485" s="2">
        <v>14.82</v>
      </c>
      <c r="F1485" s="2">
        <v>1</v>
      </c>
      <c r="G1485" s="2" t="s">
        <v>9</v>
      </c>
    </row>
    <row r="1486" spans="1:9" x14ac:dyDescent="0.2">
      <c r="A1486" s="2" t="s">
        <v>7633</v>
      </c>
      <c r="B1486" s="2" t="s">
        <v>6171</v>
      </c>
      <c r="C1486" s="2">
        <v>486.64710000000002</v>
      </c>
      <c r="D1486" s="2">
        <f>HYPERLINK("http://mcb-m6.bioreg.kyushu-u.ac.jp/M3/20110404/F50754/1270/1", 52.4)</f>
        <v>52.4</v>
      </c>
      <c r="E1486" s="2">
        <v>17.239999999999998</v>
      </c>
      <c r="F1486" s="2">
        <v>2</v>
      </c>
      <c r="G1486" s="2" t="s">
        <v>9</v>
      </c>
    </row>
    <row r="1487" spans="1:9" x14ac:dyDescent="0.2">
      <c r="A1487" s="2" t="s">
        <v>7633</v>
      </c>
      <c r="B1487" s="2" t="s">
        <v>6171</v>
      </c>
      <c r="C1487" s="2">
        <v>486.04809999999998</v>
      </c>
      <c r="D1487" s="2">
        <f>HYPERLINK("http://mcb-m6.bioreg.kyushu-u.ac.jp/M3/20110404/F50754/1265/1", 60.85)</f>
        <v>60.85</v>
      </c>
      <c r="E1487" s="2">
        <v>25.18</v>
      </c>
      <c r="F1487" s="2">
        <v>2</v>
      </c>
      <c r="G1487" s="2" t="s">
        <v>9</v>
      </c>
    </row>
    <row r="1488" spans="1:9" x14ac:dyDescent="0.2">
      <c r="A1488" s="2" t="s">
        <v>7915</v>
      </c>
      <c r="B1488" s="2" t="s">
        <v>7081</v>
      </c>
      <c r="C1488" s="2">
        <v>865.27869999999996</v>
      </c>
      <c r="D1488" s="2">
        <f>HYPERLINK("http://mcb-m6.bioreg.kyushu-u.ac.jp/M3/20110421/F51016/2406/1", 37.23)</f>
        <v>37.229999999999997</v>
      </c>
      <c r="E1488" s="2">
        <v>24.83</v>
      </c>
      <c r="F1488" s="2">
        <v>2</v>
      </c>
      <c r="G1488" s="2" t="s">
        <v>11</v>
      </c>
      <c r="H1488" s="2" t="s">
        <v>4938</v>
      </c>
    </row>
    <row r="1489" spans="1:9" x14ac:dyDescent="0.2">
      <c r="A1489" s="2" t="s">
        <v>8036</v>
      </c>
      <c r="B1489" s="2" t="s">
        <v>7309</v>
      </c>
      <c r="C1489" s="2">
        <v>544.95010000000002</v>
      </c>
      <c r="D1489" s="2">
        <f>HYPERLINK("http://mcb-m6.bioreg.kyushu-u.ac.jp/M3/20110427/F51110/1483/1", 37.8)</f>
        <v>37.799999999999997</v>
      </c>
      <c r="E1489" s="2">
        <v>16.29</v>
      </c>
      <c r="F1489" s="2">
        <v>2</v>
      </c>
      <c r="G1489" s="2" t="s">
        <v>13</v>
      </c>
      <c r="I1489" s="2" t="s">
        <v>4892</v>
      </c>
    </row>
    <row r="1490" spans="1:9" x14ac:dyDescent="0.2">
      <c r="A1490" s="2" t="s">
        <v>4463</v>
      </c>
      <c r="B1490" s="2" t="s">
        <v>2394</v>
      </c>
      <c r="C1490" s="2">
        <v>853.22310000000004</v>
      </c>
      <c r="D1490" s="2">
        <f>HYPERLINK("http://mcb-m6.bioreg.kyushu-u.ac.jp/M3/20110404/F50754/2457/1", 43.91)</f>
        <v>43.91</v>
      </c>
      <c r="E1490" s="2">
        <v>30.81</v>
      </c>
      <c r="F1490" s="2">
        <v>2</v>
      </c>
      <c r="G1490" s="2" t="s">
        <v>9</v>
      </c>
    </row>
    <row r="1491" spans="1:9" x14ac:dyDescent="0.2">
      <c r="A1491" s="2" t="s">
        <v>4463</v>
      </c>
      <c r="B1491" s="2" t="s">
        <v>6323</v>
      </c>
      <c r="C1491" s="2">
        <v>670.86659999999995</v>
      </c>
      <c r="D1491" s="2">
        <f>HYPERLINK("http://mcb-m6.bioreg.kyushu-u.ac.jp/M3/20110404/F50754/1851/1", 53.15)</f>
        <v>53.15</v>
      </c>
      <c r="E1491" s="2">
        <v>33.51</v>
      </c>
      <c r="F1491" s="2">
        <v>2</v>
      </c>
      <c r="G1491" s="2" t="s">
        <v>9</v>
      </c>
    </row>
    <row r="1492" spans="1:9" x14ac:dyDescent="0.2">
      <c r="A1492" s="2" t="s">
        <v>4463</v>
      </c>
      <c r="B1492" s="2" t="s">
        <v>2394</v>
      </c>
      <c r="C1492" s="2">
        <v>853.8981</v>
      </c>
      <c r="D1492" s="2">
        <f>HYPERLINK("http://mcb-m6.bioreg.kyushu-u.ac.jp/M3/20110404/F50754/2461/1", 68.88)</f>
        <v>68.88</v>
      </c>
      <c r="E1492" s="2">
        <v>47.06</v>
      </c>
      <c r="F1492" s="2">
        <v>2</v>
      </c>
      <c r="G1492" s="2" t="s">
        <v>9</v>
      </c>
    </row>
    <row r="1493" spans="1:9" x14ac:dyDescent="0.2">
      <c r="A1493" s="2" t="s">
        <v>4463</v>
      </c>
      <c r="B1493" s="2" t="s">
        <v>2394</v>
      </c>
      <c r="C1493" s="2">
        <v>853.77009999999996</v>
      </c>
      <c r="D1493" s="2">
        <f>HYPERLINK("http://mcb-m6.bioreg.kyushu-u.ac.jp/M3/20110427/F51112/2621/1", 61.48)</f>
        <v>61.48</v>
      </c>
      <c r="E1493" s="2">
        <v>40.81</v>
      </c>
      <c r="F1493" s="2">
        <v>2</v>
      </c>
      <c r="G1493" s="2" t="s">
        <v>13</v>
      </c>
    </row>
    <row r="1494" spans="1:9" x14ac:dyDescent="0.2">
      <c r="A1494" s="2" t="s">
        <v>5853</v>
      </c>
      <c r="B1494" s="2" t="s">
        <v>7146</v>
      </c>
      <c r="C1494" s="2">
        <v>743.43619999999999</v>
      </c>
      <c r="D1494" s="2">
        <f>HYPERLINK("http://mcb-m6.bioreg.kyushu-u.ac.jp/M3/20110421/F51018/2139/1", 79.74)</f>
        <v>79.739999999999995</v>
      </c>
      <c r="E1494" s="2">
        <v>63.65</v>
      </c>
      <c r="F1494" s="2">
        <v>2</v>
      </c>
      <c r="G1494" s="2" t="s">
        <v>11</v>
      </c>
    </row>
    <row r="1495" spans="1:9" x14ac:dyDescent="0.2">
      <c r="A1495" s="2" t="s">
        <v>5853</v>
      </c>
      <c r="B1495" s="2" t="s">
        <v>5548</v>
      </c>
      <c r="C1495" s="2">
        <v>808.33619999999996</v>
      </c>
      <c r="D1495" s="2">
        <f>HYPERLINK("http://mcb-m6.bioreg.kyushu-u.ac.jp/M3/20110427/F51113/2303/1", 87.37)</f>
        <v>87.37</v>
      </c>
      <c r="E1495" s="2">
        <v>66.72</v>
      </c>
      <c r="F1495" s="2">
        <v>2</v>
      </c>
      <c r="G1495" s="2" t="s">
        <v>13</v>
      </c>
    </row>
    <row r="1496" spans="1:9" x14ac:dyDescent="0.2">
      <c r="A1496" s="2" t="s">
        <v>3935</v>
      </c>
      <c r="B1496" s="2" t="s">
        <v>1126</v>
      </c>
      <c r="C1496" s="2">
        <v>552.14570000000003</v>
      </c>
      <c r="D1496" s="2">
        <f>HYPERLINK("http://mcb-m6.bioreg.kyushu-u.ac.jp/M3/20110404/F50752/1512/1", 55.67)</f>
        <v>55.67</v>
      </c>
      <c r="E1496" s="2">
        <v>12.94</v>
      </c>
      <c r="F1496" s="2">
        <v>2</v>
      </c>
      <c r="G1496" s="2" t="s">
        <v>9</v>
      </c>
    </row>
    <row r="1497" spans="1:9" x14ac:dyDescent="0.2">
      <c r="A1497" s="2" t="s">
        <v>3815</v>
      </c>
      <c r="B1497" s="2" t="s">
        <v>1916</v>
      </c>
      <c r="C1497" s="2">
        <v>674.35170000000005</v>
      </c>
      <c r="D1497" s="2">
        <f>HYPERLINK("http://mcb-m6.bioreg.kyushu-u.ac.jp/M3/20110404/F50770/1640/1", 41.13)</f>
        <v>41.13</v>
      </c>
      <c r="E1497" s="2">
        <v>15.19</v>
      </c>
      <c r="F1497" s="2">
        <v>2</v>
      </c>
      <c r="G1497" s="2" t="s">
        <v>10</v>
      </c>
    </row>
    <row r="1498" spans="1:9" x14ac:dyDescent="0.2">
      <c r="A1498" s="2" t="s">
        <v>3815</v>
      </c>
      <c r="B1498" s="2" t="s">
        <v>875</v>
      </c>
      <c r="C1498" s="2">
        <v>540.69870000000003</v>
      </c>
      <c r="D1498" s="2">
        <f>HYPERLINK("http://mcb-m6.bioreg.kyushu-u.ac.jp/M3/20110427/F51124/1246/1", 63.3)</f>
        <v>63.3</v>
      </c>
      <c r="E1498" s="2">
        <v>32.119999999999997</v>
      </c>
      <c r="F1498" s="2">
        <v>2</v>
      </c>
      <c r="G1498" s="2" t="s">
        <v>14</v>
      </c>
    </row>
    <row r="1499" spans="1:9" x14ac:dyDescent="0.2">
      <c r="A1499" s="2" t="s">
        <v>3329</v>
      </c>
      <c r="B1499" s="2" t="s">
        <v>116</v>
      </c>
      <c r="C1499" s="2">
        <v>620.17769999999996</v>
      </c>
      <c r="D1499" s="2">
        <f>HYPERLINK("http://mcb-m6.bioreg.kyushu-u.ac.jp/M3/20110404/F50778/1268/1", 42.15)</f>
        <v>42.15</v>
      </c>
      <c r="E1499" s="2">
        <v>27.28</v>
      </c>
      <c r="F1499" s="2">
        <v>2</v>
      </c>
      <c r="G1499" s="2" t="s">
        <v>9</v>
      </c>
    </row>
    <row r="1500" spans="1:9" x14ac:dyDescent="0.2">
      <c r="A1500" s="2" t="s">
        <v>3329</v>
      </c>
      <c r="B1500" s="2" t="s">
        <v>6205</v>
      </c>
      <c r="C1500" s="2">
        <v>662.83619999999996</v>
      </c>
      <c r="D1500" s="2">
        <f>HYPERLINK("http://mcb-m6.bioreg.kyushu-u.ac.jp/M3/20110404/F50778/1426/1", 46.35)</f>
        <v>46.35</v>
      </c>
      <c r="E1500" s="2">
        <v>25.85</v>
      </c>
      <c r="F1500" s="2">
        <v>2</v>
      </c>
      <c r="G1500" s="2" t="s">
        <v>9</v>
      </c>
    </row>
    <row r="1501" spans="1:9" x14ac:dyDescent="0.2">
      <c r="A1501" s="2" t="s">
        <v>3329</v>
      </c>
      <c r="B1501" s="2" t="s">
        <v>6209</v>
      </c>
      <c r="C1501" s="2">
        <v>638.26869999999997</v>
      </c>
      <c r="D1501" s="2">
        <f>HYPERLINK("http://mcb-m6.bioreg.kyushu-u.ac.jp/M3/20110404/F50764/1445/1", 46.46)</f>
        <v>46.46</v>
      </c>
      <c r="E1501" s="2">
        <v>30.93</v>
      </c>
      <c r="F1501" s="2">
        <v>2</v>
      </c>
      <c r="G1501" s="2" t="s">
        <v>9</v>
      </c>
    </row>
    <row r="1502" spans="1:9" x14ac:dyDescent="0.2">
      <c r="A1502" s="2" t="s">
        <v>3329</v>
      </c>
      <c r="B1502" s="2" t="s">
        <v>6278</v>
      </c>
      <c r="C1502" s="2">
        <v>538.21810000000005</v>
      </c>
      <c r="D1502" s="2">
        <f>HYPERLINK("http://mcb-m6.bioreg.kyushu-u.ac.jp/M3/20110404/F50764/1123/1", 50.63)</f>
        <v>50.63</v>
      </c>
      <c r="E1502" s="2">
        <v>36.71</v>
      </c>
      <c r="F1502" s="2">
        <v>2</v>
      </c>
      <c r="G1502" s="2" t="s">
        <v>9</v>
      </c>
    </row>
    <row r="1503" spans="1:9" x14ac:dyDescent="0.2">
      <c r="A1503" s="2" t="s">
        <v>3329</v>
      </c>
      <c r="B1503" s="2" t="s">
        <v>6278</v>
      </c>
      <c r="C1503" s="2">
        <v>538.67269999999996</v>
      </c>
      <c r="D1503" s="2">
        <f>HYPERLINK("http://mcb-m6.bioreg.kyushu-u.ac.jp/M3/20110404/F50778/958/1", 63.86)</f>
        <v>63.86</v>
      </c>
      <c r="E1503" s="2">
        <v>42.3</v>
      </c>
      <c r="F1503" s="2">
        <v>2</v>
      </c>
      <c r="G1503" s="2" t="s">
        <v>9</v>
      </c>
    </row>
    <row r="1504" spans="1:9" x14ac:dyDescent="0.2">
      <c r="A1504" s="2" t="s">
        <v>3329</v>
      </c>
      <c r="B1504" s="2" t="s">
        <v>2351</v>
      </c>
      <c r="C1504" s="2">
        <v>1119.4780000000001</v>
      </c>
      <c r="D1504" s="2">
        <f>HYPERLINK("http://mcb-m6.bioreg.kyushu-u.ac.jp/M3/20110404/F50770/1317/1", 37.26)</f>
        <v>37.26</v>
      </c>
      <c r="E1504" s="2">
        <v>21.72</v>
      </c>
      <c r="F1504" s="2">
        <v>1</v>
      </c>
      <c r="G1504" s="2" t="s">
        <v>10</v>
      </c>
    </row>
    <row r="1505" spans="1:9" x14ac:dyDescent="0.2">
      <c r="A1505" s="2" t="s">
        <v>3329</v>
      </c>
      <c r="B1505" s="2" t="s">
        <v>6278</v>
      </c>
      <c r="C1505" s="2">
        <v>1075.383</v>
      </c>
      <c r="D1505" s="2">
        <f>HYPERLINK("http://mcb-m6.bioreg.kyushu-u.ac.jp/M3/20110404/F50770/1278/1", 39.63)</f>
        <v>39.630000000000003</v>
      </c>
      <c r="E1505" s="2">
        <v>20.93</v>
      </c>
      <c r="F1505" s="2">
        <v>1</v>
      </c>
      <c r="G1505" s="2" t="s">
        <v>10</v>
      </c>
    </row>
    <row r="1506" spans="1:9" x14ac:dyDescent="0.2">
      <c r="A1506" s="2" t="s">
        <v>3329</v>
      </c>
      <c r="B1506" s="2" t="s">
        <v>6209</v>
      </c>
      <c r="C1506" s="2">
        <v>637.79719999999998</v>
      </c>
      <c r="D1506" s="2">
        <f>HYPERLINK("http://mcb-m6.bioreg.kyushu-u.ac.jp/M3/20110404/F50770/1533/1", 40.02)</f>
        <v>40.020000000000003</v>
      </c>
      <c r="E1506" s="2">
        <v>15.3</v>
      </c>
      <c r="F1506" s="2">
        <v>2</v>
      </c>
      <c r="G1506" s="2" t="s">
        <v>10</v>
      </c>
    </row>
    <row r="1507" spans="1:9" x14ac:dyDescent="0.2">
      <c r="A1507" s="2" t="s">
        <v>3329</v>
      </c>
      <c r="B1507" s="2" t="s">
        <v>6867</v>
      </c>
      <c r="C1507" s="2">
        <v>737.34670000000006</v>
      </c>
      <c r="D1507" s="2">
        <f>HYPERLINK("http://mcb-m6.bioreg.kyushu-u.ac.jp/M3/20110404/F50770/1921/1", 50.98)</f>
        <v>50.98</v>
      </c>
      <c r="E1507" s="2">
        <v>31.59</v>
      </c>
      <c r="F1507" s="2">
        <v>2</v>
      </c>
      <c r="G1507" s="2" t="s">
        <v>10</v>
      </c>
    </row>
    <row r="1508" spans="1:9" x14ac:dyDescent="0.2">
      <c r="A1508" s="2" t="s">
        <v>3329</v>
      </c>
      <c r="B1508" s="2" t="s">
        <v>6944</v>
      </c>
      <c r="C1508" s="2">
        <v>867.0172</v>
      </c>
      <c r="D1508" s="2">
        <f>HYPERLINK("http://mcb-m6.bioreg.kyushu-u.ac.jp/M3/20110404/F50775/2390/1", 63.74)</f>
        <v>63.74</v>
      </c>
      <c r="E1508" s="2">
        <v>48.92</v>
      </c>
      <c r="F1508" s="2">
        <v>2</v>
      </c>
      <c r="G1508" s="2" t="s">
        <v>10</v>
      </c>
      <c r="I1508" s="2" t="s">
        <v>4918</v>
      </c>
    </row>
    <row r="1509" spans="1:9" x14ac:dyDescent="0.2">
      <c r="A1509" s="2" t="s">
        <v>3329</v>
      </c>
      <c r="B1509" s="2" t="s">
        <v>6205</v>
      </c>
      <c r="C1509" s="2">
        <v>662.76319999999998</v>
      </c>
      <c r="D1509" s="2">
        <f>HYPERLINK("http://mcb-m6.bioreg.kyushu-u.ac.jp/M3/20110404/F50775/1573/1", 76.67)</f>
        <v>76.67</v>
      </c>
      <c r="E1509" s="2">
        <v>55.27</v>
      </c>
      <c r="F1509" s="2">
        <v>2</v>
      </c>
      <c r="G1509" s="2" t="s">
        <v>10</v>
      </c>
    </row>
    <row r="1510" spans="1:9" x14ac:dyDescent="0.2">
      <c r="A1510" s="2" t="s">
        <v>3329</v>
      </c>
      <c r="B1510" s="2" t="s">
        <v>6278</v>
      </c>
      <c r="C1510" s="2">
        <v>538.24720000000002</v>
      </c>
      <c r="D1510" s="2">
        <f>HYPERLINK("http://mcb-m6.bioreg.kyushu-u.ac.jp/M3/20110404/F50775/1192/1", 77.78)</f>
        <v>77.78</v>
      </c>
      <c r="E1510" s="2">
        <v>45.34</v>
      </c>
      <c r="F1510" s="2">
        <v>2</v>
      </c>
      <c r="G1510" s="2" t="s">
        <v>10</v>
      </c>
    </row>
    <row r="1511" spans="1:9" x14ac:dyDescent="0.2">
      <c r="A1511" s="2" t="s">
        <v>3329</v>
      </c>
      <c r="B1511" s="2" t="s">
        <v>1650</v>
      </c>
      <c r="C1511" s="2">
        <v>754.43269999999995</v>
      </c>
      <c r="D1511" s="2">
        <f>HYPERLINK("http://mcb-m6.bioreg.kyushu-u.ac.jp/M3/20110404/F50775/2015/1", 98.97)</f>
        <v>98.97</v>
      </c>
      <c r="E1511" s="2">
        <v>63.4</v>
      </c>
      <c r="F1511" s="2">
        <v>2</v>
      </c>
      <c r="G1511" s="2" t="s">
        <v>10</v>
      </c>
    </row>
    <row r="1512" spans="1:9" x14ac:dyDescent="0.2">
      <c r="A1512" s="2" t="s">
        <v>3329</v>
      </c>
      <c r="B1512" s="2" t="s">
        <v>7072</v>
      </c>
      <c r="C1512" s="2">
        <v>501.1481</v>
      </c>
      <c r="D1512" s="2">
        <f>HYPERLINK("http://mcb-m6.bioreg.kyushu-u.ac.jp/M3/20110421/F51040/914/1", 35.58)</f>
        <v>35.58</v>
      </c>
      <c r="E1512" s="2">
        <v>13.53</v>
      </c>
      <c r="F1512" s="2">
        <v>2</v>
      </c>
      <c r="G1512" s="2" t="s">
        <v>11</v>
      </c>
    </row>
    <row r="1513" spans="1:9" x14ac:dyDescent="0.2">
      <c r="A1513" s="2" t="s">
        <v>3329</v>
      </c>
      <c r="B1513" s="2" t="s">
        <v>6278</v>
      </c>
      <c r="C1513" s="2">
        <v>538.35220000000004</v>
      </c>
      <c r="D1513" s="2">
        <f>HYPERLINK("http://mcb-m6.bioreg.kyushu-u.ac.jp/M3/20110421/F51039/1125/1", 43.99)</f>
        <v>43.99</v>
      </c>
      <c r="E1513" s="2">
        <v>26.78</v>
      </c>
      <c r="F1513" s="2">
        <v>2</v>
      </c>
      <c r="G1513" s="2" t="s">
        <v>11</v>
      </c>
    </row>
    <row r="1514" spans="1:9" x14ac:dyDescent="0.2">
      <c r="A1514" s="2" t="s">
        <v>3329</v>
      </c>
      <c r="B1514" s="2" t="s">
        <v>1650</v>
      </c>
      <c r="C1514" s="2">
        <v>754.2527</v>
      </c>
      <c r="D1514" s="2">
        <f>HYPERLINK("http://mcb-m6.bioreg.kyushu-u.ac.jp/M3/20110421/F51039/2158/1", 98.86)</f>
        <v>98.86</v>
      </c>
      <c r="E1514" s="2">
        <v>67.2</v>
      </c>
      <c r="F1514" s="2">
        <v>2</v>
      </c>
      <c r="G1514" s="2" t="s">
        <v>11</v>
      </c>
    </row>
    <row r="1515" spans="1:9" x14ac:dyDescent="0.2">
      <c r="A1515" s="2" t="s">
        <v>3329</v>
      </c>
      <c r="B1515" s="2" t="s">
        <v>7177</v>
      </c>
      <c r="C1515" s="2">
        <v>672.89760000000001</v>
      </c>
      <c r="D1515" s="2">
        <f>HYPERLINK("http://mcb-m6.bioreg.kyushu-u.ac.jp/M3/20110421/F51050/1782/1", 38.4)</f>
        <v>38.4</v>
      </c>
      <c r="E1515" s="2">
        <v>23.96</v>
      </c>
      <c r="F1515" s="2">
        <v>2</v>
      </c>
      <c r="G1515" s="2" t="s">
        <v>12</v>
      </c>
    </row>
    <row r="1516" spans="1:9" x14ac:dyDescent="0.2">
      <c r="A1516" s="2" t="s">
        <v>3329</v>
      </c>
      <c r="B1516" s="2" t="s">
        <v>6278</v>
      </c>
      <c r="C1516" s="2">
        <v>546.32460000000003</v>
      </c>
      <c r="D1516" s="2">
        <f>HYPERLINK("http://mcb-m6.bioreg.kyushu-u.ac.jp/M3/20110421/F51050/1334/1", 47.8)</f>
        <v>47.8</v>
      </c>
      <c r="E1516" s="2">
        <v>28.76</v>
      </c>
      <c r="F1516" s="2">
        <v>2</v>
      </c>
      <c r="G1516" s="2" t="s">
        <v>12</v>
      </c>
      <c r="H1516" s="2" t="s">
        <v>4901</v>
      </c>
    </row>
    <row r="1517" spans="1:9" x14ac:dyDescent="0.2">
      <c r="A1517" s="2" t="s">
        <v>3329</v>
      </c>
      <c r="B1517" s="2" t="s">
        <v>6867</v>
      </c>
      <c r="C1517" s="2">
        <v>736.91060000000004</v>
      </c>
      <c r="D1517" s="2">
        <f>HYPERLINK("http://mcb-m6.bioreg.kyushu-u.ac.jp/M3/20110421/F51050/2126/1", 60.93)</f>
        <v>60.93</v>
      </c>
      <c r="E1517" s="2">
        <v>37.9</v>
      </c>
      <c r="F1517" s="2">
        <v>2</v>
      </c>
      <c r="G1517" s="2" t="s">
        <v>12</v>
      </c>
    </row>
    <row r="1518" spans="1:9" x14ac:dyDescent="0.2">
      <c r="A1518" s="2" t="s">
        <v>3329</v>
      </c>
      <c r="B1518" s="2" t="s">
        <v>6278</v>
      </c>
      <c r="C1518" s="2">
        <v>538.1481</v>
      </c>
      <c r="D1518" s="2">
        <f>HYPERLINK("http://mcb-m6.bioreg.kyushu-u.ac.jp/M3/20110421/F51048/1317/1", 61.85)</f>
        <v>61.85</v>
      </c>
      <c r="E1518" s="2">
        <v>43.13</v>
      </c>
      <c r="F1518" s="2">
        <v>2</v>
      </c>
      <c r="G1518" s="2" t="s">
        <v>12</v>
      </c>
    </row>
    <row r="1519" spans="1:9" x14ac:dyDescent="0.2">
      <c r="A1519" s="2" t="s">
        <v>3329</v>
      </c>
      <c r="B1519" s="2" t="s">
        <v>2351</v>
      </c>
      <c r="C1519" s="2">
        <v>560.61109999999996</v>
      </c>
      <c r="D1519" s="2">
        <f>HYPERLINK("http://mcb-m6.bioreg.kyushu-u.ac.jp/M3/20110421/F51050/1385/1", 63.5)</f>
        <v>63.5</v>
      </c>
      <c r="E1519" s="2">
        <v>42.12</v>
      </c>
      <c r="F1519" s="2">
        <v>2</v>
      </c>
      <c r="G1519" s="2" t="s">
        <v>12</v>
      </c>
    </row>
    <row r="1520" spans="1:9" x14ac:dyDescent="0.2">
      <c r="A1520" s="2" t="s">
        <v>3329</v>
      </c>
      <c r="B1520" s="2" t="s">
        <v>1113</v>
      </c>
      <c r="C1520" s="2">
        <v>524.93470000000002</v>
      </c>
      <c r="D1520" s="2">
        <f>HYPERLINK("http://mcb-m6.bioreg.kyushu-u.ac.jp/M3/20110421/F51048/1257/1", 64.06)</f>
        <v>64.06</v>
      </c>
      <c r="E1520" s="2">
        <v>36.68</v>
      </c>
      <c r="F1520" s="2">
        <v>2</v>
      </c>
      <c r="G1520" s="2" t="s">
        <v>12</v>
      </c>
    </row>
    <row r="1521" spans="1:7" x14ac:dyDescent="0.2">
      <c r="A1521" s="2" t="s">
        <v>3329</v>
      </c>
      <c r="B1521" s="2" t="s">
        <v>7254</v>
      </c>
      <c r="C1521" s="2">
        <v>616.00019999999995</v>
      </c>
      <c r="D1521" s="2">
        <f>HYPERLINK("http://mcb-m6.bioreg.kyushu-u.ac.jp/M3/20110421/F51050/1595/1", 66.84)</f>
        <v>66.84</v>
      </c>
      <c r="E1521" s="2">
        <v>35.01</v>
      </c>
      <c r="F1521" s="2">
        <v>2</v>
      </c>
      <c r="G1521" s="2" t="s">
        <v>12</v>
      </c>
    </row>
    <row r="1522" spans="1:7" x14ac:dyDescent="0.2">
      <c r="A1522" s="2" t="s">
        <v>3329</v>
      </c>
      <c r="B1522" s="2" t="s">
        <v>1113</v>
      </c>
      <c r="C1522" s="2">
        <v>524.92020000000002</v>
      </c>
      <c r="D1522" s="2">
        <f>HYPERLINK("http://mcb-m6.bioreg.kyushu-u.ac.jp/M3/20110421/F51050/1253/1", 66.92)</f>
        <v>66.92</v>
      </c>
      <c r="E1522" s="2">
        <v>38.26</v>
      </c>
      <c r="F1522" s="2">
        <v>2</v>
      </c>
      <c r="G1522" s="2" t="s">
        <v>12</v>
      </c>
    </row>
    <row r="1523" spans="1:7" x14ac:dyDescent="0.2">
      <c r="A1523" s="2" t="s">
        <v>3329</v>
      </c>
      <c r="B1523" s="2" t="s">
        <v>6205</v>
      </c>
      <c r="C1523" s="2">
        <v>662.91719999999998</v>
      </c>
      <c r="D1523" s="2">
        <f>HYPERLINK("http://mcb-m6.bioreg.kyushu-u.ac.jp/M3/20110421/F51050/1730/1", 67.9)</f>
        <v>67.900000000000006</v>
      </c>
      <c r="E1523" s="2">
        <v>50.92</v>
      </c>
      <c r="F1523" s="2">
        <v>2</v>
      </c>
      <c r="G1523" s="2" t="s">
        <v>12</v>
      </c>
    </row>
    <row r="1524" spans="1:7" x14ac:dyDescent="0.2">
      <c r="A1524" s="2" t="s">
        <v>3329</v>
      </c>
      <c r="B1524" s="2" t="s">
        <v>1650</v>
      </c>
      <c r="C1524" s="2">
        <v>754.52760000000001</v>
      </c>
      <c r="D1524" s="2">
        <f>HYPERLINK("http://mcb-m6.bioreg.kyushu-u.ac.jp/M3/20110421/F51048/2296/1", 87.21)</f>
        <v>87.21</v>
      </c>
      <c r="E1524" s="2">
        <v>57.92</v>
      </c>
      <c r="F1524" s="2">
        <v>2</v>
      </c>
      <c r="G1524" s="2" t="s">
        <v>12</v>
      </c>
    </row>
    <row r="1525" spans="1:7" x14ac:dyDescent="0.2">
      <c r="A1525" s="2" t="s">
        <v>3329</v>
      </c>
      <c r="B1525" s="2" t="s">
        <v>1650</v>
      </c>
      <c r="C1525" s="2">
        <v>754.36320000000001</v>
      </c>
      <c r="D1525" s="2">
        <f>HYPERLINK("http://mcb-m6.bioreg.kyushu-u.ac.jp/M3/20110421/F51050/2203/1", 88.84)</f>
        <v>88.84</v>
      </c>
      <c r="E1525" s="2">
        <v>61.4</v>
      </c>
      <c r="F1525" s="2">
        <v>2</v>
      </c>
      <c r="G1525" s="2" t="s">
        <v>12</v>
      </c>
    </row>
    <row r="1526" spans="1:7" x14ac:dyDescent="0.2">
      <c r="A1526" s="2" t="s">
        <v>3329</v>
      </c>
      <c r="B1526" s="2" t="s">
        <v>1113</v>
      </c>
      <c r="C1526" s="2">
        <v>524.76210000000003</v>
      </c>
      <c r="D1526" s="2">
        <f>HYPERLINK("http://mcb-m6.bioreg.kyushu-u.ac.jp/M3/20110428/F51133/947/1", 39.49)</f>
        <v>39.49</v>
      </c>
      <c r="E1526" s="2">
        <v>17.53</v>
      </c>
      <c r="F1526" s="2">
        <v>2</v>
      </c>
      <c r="G1526" s="2" t="s">
        <v>13</v>
      </c>
    </row>
    <row r="1527" spans="1:7" x14ac:dyDescent="0.2">
      <c r="A1527" s="2" t="s">
        <v>3329</v>
      </c>
      <c r="B1527" s="2" t="s">
        <v>2351</v>
      </c>
      <c r="C1527" s="2">
        <v>560.14170000000001</v>
      </c>
      <c r="D1527" s="2">
        <f>HYPERLINK("http://mcb-m6.bioreg.kyushu-u.ac.jp/M3/20110428/F51133/1087/1", 46.11)</f>
        <v>46.11</v>
      </c>
      <c r="E1527" s="2">
        <v>19.260000000000002</v>
      </c>
      <c r="F1527" s="2">
        <v>2</v>
      </c>
      <c r="G1527" s="2" t="s">
        <v>13</v>
      </c>
    </row>
    <row r="1528" spans="1:7" x14ac:dyDescent="0.2">
      <c r="A1528" s="2" t="s">
        <v>3329</v>
      </c>
      <c r="B1528" s="2" t="s">
        <v>1113</v>
      </c>
      <c r="C1528" s="2">
        <v>524.61569999999995</v>
      </c>
      <c r="D1528" s="2">
        <f>HYPERLINK("http://mcb-m6.bioreg.kyushu-u.ac.jp/M3/20110427/F51115/1157/1", 47.22)</f>
        <v>47.22</v>
      </c>
      <c r="E1528" s="2">
        <v>21.3</v>
      </c>
      <c r="F1528" s="2">
        <v>2</v>
      </c>
      <c r="G1528" s="2" t="s">
        <v>13</v>
      </c>
    </row>
    <row r="1529" spans="1:7" x14ac:dyDescent="0.2">
      <c r="A1529" s="2" t="s">
        <v>3329</v>
      </c>
      <c r="B1529" s="2" t="s">
        <v>6278</v>
      </c>
      <c r="C1529" s="2">
        <v>538.21770000000004</v>
      </c>
      <c r="D1529" s="2">
        <f>HYPERLINK("http://mcb-m6.bioreg.kyushu-u.ac.jp/M3/20110427/F51115/1220/1", 58.36)</f>
        <v>58.36</v>
      </c>
      <c r="E1529" s="2">
        <v>25.93</v>
      </c>
      <c r="F1529" s="2">
        <v>2</v>
      </c>
      <c r="G1529" s="2" t="s">
        <v>13</v>
      </c>
    </row>
    <row r="1530" spans="1:7" x14ac:dyDescent="0.2">
      <c r="A1530" s="2" t="s">
        <v>3329</v>
      </c>
      <c r="B1530" s="2" t="s">
        <v>6205</v>
      </c>
      <c r="C1530" s="2">
        <v>663.15970000000004</v>
      </c>
      <c r="D1530" s="2">
        <f>HYPERLINK("http://mcb-m6.bioreg.kyushu-u.ac.jp/M3/20110427/F51115/1617/1", 58.6)</f>
        <v>58.6</v>
      </c>
      <c r="E1530" s="2">
        <v>44.44</v>
      </c>
      <c r="F1530" s="2">
        <v>2</v>
      </c>
      <c r="G1530" s="2" t="s">
        <v>13</v>
      </c>
    </row>
    <row r="1531" spans="1:7" x14ac:dyDescent="0.2">
      <c r="A1531" s="2" t="s">
        <v>3329</v>
      </c>
      <c r="B1531" s="2" t="s">
        <v>1650</v>
      </c>
      <c r="C1531" s="2">
        <v>754.08370000000002</v>
      </c>
      <c r="D1531" s="2">
        <f>HYPERLINK("http://mcb-m6.bioreg.kyushu-u.ac.jp/M3/20110427/F51115/2049/1", 85.43)</f>
        <v>85.43</v>
      </c>
      <c r="E1531" s="2">
        <v>57.49</v>
      </c>
      <c r="F1531" s="2">
        <v>2</v>
      </c>
      <c r="G1531" s="2" t="s">
        <v>13</v>
      </c>
    </row>
    <row r="1532" spans="1:7" x14ac:dyDescent="0.2">
      <c r="A1532" s="2" t="s">
        <v>3329</v>
      </c>
      <c r="B1532" s="2" t="s">
        <v>1650</v>
      </c>
      <c r="C1532" s="2">
        <v>754.42070000000001</v>
      </c>
      <c r="D1532" s="2">
        <f>HYPERLINK("http://mcb-m6.bioreg.kyushu-u.ac.jp/M3/20110428/F51133/1988/1", 101.42)</f>
        <v>101.42</v>
      </c>
      <c r="E1532" s="2">
        <v>68.59</v>
      </c>
      <c r="F1532" s="2">
        <v>2</v>
      </c>
      <c r="G1532" s="2" t="s">
        <v>13</v>
      </c>
    </row>
    <row r="1533" spans="1:7" x14ac:dyDescent="0.2">
      <c r="A1533" s="2" t="s">
        <v>3329</v>
      </c>
      <c r="B1533" s="2" t="s">
        <v>7072</v>
      </c>
      <c r="C1533" s="2">
        <v>500.65559999999999</v>
      </c>
      <c r="D1533" s="2">
        <f>HYPERLINK("http://mcb-m6.bioreg.kyushu-u.ac.jp/M3/20110428/F51130/1026/1", 35.22)</f>
        <v>35.22</v>
      </c>
      <c r="E1533" s="2">
        <v>15.37</v>
      </c>
      <c r="F1533" s="2">
        <v>2</v>
      </c>
      <c r="G1533" s="2" t="s">
        <v>14</v>
      </c>
    </row>
    <row r="1534" spans="1:7" x14ac:dyDescent="0.2">
      <c r="A1534" s="2" t="s">
        <v>3329</v>
      </c>
      <c r="B1534" s="2" t="s">
        <v>116</v>
      </c>
      <c r="C1534" s="2">
        <v>620.22519999999997</v>
      </c>
      <c r="D1534" s="2">
        <f>HYPERLINK("http://mcb-m6.bioreg.kyushu-u.ac.jp/M3/20110428/F51130/1551/1", 42.68)</f>
        <v>42.68</v>
      </c>
      <c r="E1534" s="2">
        <v>30.7</v>
      </c>
      <c r="F1534" s="2">
        <v>2</v>
      </c>
      <c r="G1534" s="2" t="s">
        <v>14</v>
      </c>
    </row>
    <row r="1535" spans="1:7" x14ac:dyDescent="0.2">
      <c r="A1535" s="2" t="s">
        <v>3329</v>
      </c>
      <c r="B1535" s="2" t="s">
        <v>6209</v>
      </c>
      <c r="C1535" s="2">
        <v>637.60059999999999</v>
      </c>
      <c r="D1535" s="2">
        <f>HYPERLINK("http://mcb-m6.bioreg.kyushu-u.ac.jp/M3/20110428/F51130/1617/1", 44.03)</f>
        <v>44.03</v>
      </c>
      <c r="E1535" s="2">
        <v>28.97</v>
      </c>
      <c r="F1535" s="2">
        <v>2</v>
      </c>
      <c r="G1535" s="2" t="s">
        <v>14</v>
      </c>
    </row>
    <row r="1536" spans="1:7" x14ac:dyDescent="0.2">
      <c r="A1536" s="2" t="s">
        <v>3329</v>
      </c>
      <c r="B1536" s="2" t="s">
        <v>7254</v>
      </c>
      <c r="C1536" s="2">
        <v>615.70209999999997</v>
      </c>
      <c r="D1536" s="2">
        <f>HYPERLINK("http://mcb-m6.bioreg.kyushu-u.ac.jp/M3/20110428/F51130/1536/1", 44.59)</f>
        <v>44.59</v>
      </c>
      <c r="E1536" s="2">
        <v>14.89</v>
      </c>
      <c r="F1536" s="2">
        <v>2</v>
      </c>
      <c r="G1536" s="2" t="s">
        <v>14</v>
      </c>
    </row>
    <row r="1537" spans="1:9" x14ac:dyDescent="0.2">
      <c r="A1537" s="2" t="s">
        <v>3329</v>
      </c>
      <c r="B1537" s="2" t="s">
        <v>6205</v>
      </c>
      <c r="C1537" s="2">
        <v>662.61770000000001</v>
      </c>
      <c r="D1537" s="2">
        <f>HYPERLINK("http://mcb-m6.bioreg.kyushu-u.ac.jp/M3/20110428/F51128/1572/1", 45.37)</f>
        <v>45.37</v>
      </c>
      <c r="E1537" s="2">
        <v>26.02</v>
      </c>
      <c r="F1537" s="2">
        <v>2</v>
      </c>
      <c r="G1537" s="2" t="s">
        <v>14</v>
      </c>
    </row>
    <row r="1538" spans="1:9" x14ac:dyDescent="0.2">
      <c r="A1538" s="2" t="s">
        <v>3329</v>
      </c>
      <c r="B1538" s="2" t="s">
        <v>6944</v>
      </c>
      <c r="C1538" s="2">
        <v>867.20759999999996</v>
      </c>
      <c r="D1538" s="2">
        <f>HYPERLINK("http://mcb-m6.bioreg.kyushu-u.ac.jp/M3/20110428/F51130/2665/1", 47.68)</f>
        <v>47.68</v>
      </c>
      <c r="E1538" s="2">
        <v>38.369999999999997</v>
      </c>
      <c r="F1538" s="2">
        <v>2</v>
      </c>
      <c r="G1538" s="2" t="s">
        <v>14</v>
      </c>
      <c r="I1538" s="2" t="s">
        <v>4918</v>
      </c>
    </row>
    <row r="1539" spans="1:9" x14ac:dyDescent="0.2">
      <c r="A1539" s="2" t="s">
        <v>3329</v>
      </c>
      <c r="B1539" s="2" t="s">
        <v>1113</v>
      </c>
      <c r="C1539" s="2">
        <v>524.73069999999996</v>
      </c>
      <c r="D1539" s="2">
        <f>HYPERLINK("http://mcb-m6.bioreg.kyushu-u.ac.jp/M3/20110428/F51129/1128/1", 49.91)</f>
        <v>49.91</v>
      </c>
      <c r="E1539" s="2">
        <v>24.93</v>
      </c>
      <c r="F1539" s="2">
        <v>2</v>
      </c>
      <c r="G1539" s="2" t="s">
        <v>14</v>
      </c>
    </row>
    <row r="1540" spans="1:9" x14ac:dyDescent="0.2">
      <c r="A1540" s="2" t="s">
        <v>3329</v>
      </c>
      <c r="B1540" s="2" t="s">
        <v>6867</v>
      </c>
      <c r="C1540" s="2">
        <v>737.20119999999997</v>
      </c>
      <c r="D1540" s="2">
        <f>HYPERLINK("http://mcb-m6.bioreg.kyushu-u.ac.jp/M3/20110428/F51130/2039/1", 57.78)</f>
        <v>57.78</v>
      </c>
      <c r="E1540" s="2">
        <v>26.2</v>
      </c>
      <c r="F1540" s="2">
        <v>2</v>
      </c>
      <c r="G1540" s="2" t="s">
        <v>14</v>
      </c>
    </row>
    <row r="1541" spans="1:9" x14ac:dyDescent="0.2">
      <c r="A1541" s="2" t="s">
        <v>3329</v>
      </c>
      <c r="B1541" s="2" t="s">
        <v>2351</v>
      </c>
      <c r="C1541" s="2">
        <v>560.05619999999999</v>
      </c>
      <c r="D1541" s="2">
        <f>HYPERLINK("http://mcb-m6.bioreg.kyushu-u.ac.jp/M3/20110427/F51124/1312/1", 58.56)</f>
        <v>58.56</v>
      </c>
      <c r="E1541" s="2">
        <v>29.54</v>
      </c>
      <c r="F1541" s="2">
        <v>2</v>
      </c>
      <c r="G1541" s="2" t="s">
        <v>14</v>
      </c>
    </row>
    <row r="1542" spans="1:9" x14ac:dyDescent="0.2">
      <c r="A1542" s="2" t="s">
        <v>3329</v>
      </c>
      <c r="B1542" s="2" t="s">
        <v>6278</v>
      </c>
      <c r="C1542" s="2">
        <v>538.22360000000003</v>
      </c>
      <c r="D1542" s="2">
        <f>HYPERLINK("http://mcb-m6.bioreg.kyushu-u.ac.jp/M3/20110428/F51129/1189/1", 60.93)</f>
        <v>60.93</v>
      </c>
      <c r="E1542" s="2">
        <v>38.090000000000003</v>
      </c>
      <c r="F1542" s="2">
        <v>2</v>
      </c>
      <c r="G1542" s="2" t="s">
        <v>14</v>
      </c>
    </row>
    <row r="1543" spans="1:9" x14ac:dyDescent="0.2">
      <c r="A1543" s="2" t="s">
        <v>3329</v>
      </c>
      <c r="B1543" s="2" t="s">
        <v>1113</v>
      </c>
      <c r="C1543" s="2">
        <v>524.89970000000005</v>
      </c>
      <c r="D1543" s="2">
        <f>HYPERLINK("http://mcb-m6.bioreg.kyushu-u.ac.jp/M3/20110428/F51130/1146/1", 63.91)</f>
        <v>63.91</v>
      </c>
      <c r="E1543" s="2">
        <v>35.1</v>
      </c>
      <c r="F1543" s="2">
        <v>2</v>
      </c>
      <c r="G1543" s="2" t="s">
        <v>14</v>
      </c>
    </row>
    <row r="1544" spans="1:9" x14ac:dyDescent="0.2">
      <c r="A1544" s="2" t="s">
        <v>3329</v>
      </c>
      <c r="B1544" s="2" t="s">
        <v>6205</v>
      </c>
      <c r="C1544" s="2">
        <v>662.51819999999998</v>
      </c>
      <c r="D1544" s="2">
        <f>HYPERLINK("http://mcb-m6.bioreg.kyushu-u.ac.jp/M3/20110427/F51124/1662/1", 65.61)</f>
        <v>65.61</v>
      </c>
      <c r="E1544" s="2">
        <v>44.69</v>
      </c>
      <c r="F1544" s="2">
        <v>2</v>
      </c>
      <c r="G1544" s="2" t="s">
        <v>14</v>
      </c>
    </row>
    <row r="1545" spans="1:9" x14ac:dyDescent="0.2">
      <c r="A1545" s="2" t="s">
        <v>3329</v>
      </c>
      <c r="B1545" s="2" t="s">
        <v>2351</v>
      </c>
      <c r="C1545" s="2">
        <v>560.66560000000004</v>
      </c>
      <c r="D1545" s="2">
        <f>HYPERLINK("http://mcb-m6.bioreg.kyushu-u.ac.jp/M3/20110428/F51130/1296/1", 69.76)</f>
        <v>69.760000000000005</v>
      </c>
      <c r="E1545" s="2">
        <v>43.58</v>
      </c>
      <c r="F1545" s="2">
        <v>2</v>
      </c>
      <c r="G1545" s="2" t="s">
        <v>14</v>
      </c>
    </row>
    <row r="1546" spans="1:9" x14ac:dyDescent="0.2">
      <c r="A1546" s="2" t="s">
        <v>3329</v>
      </c>
      <c r="B1546" s="2" t="s">
        <v>6278</v>
      </c>
      <c r="C1546" s="2">
        <v>546.20259999999996</v>
      </c>
      <c r="D1546" s="2">
        <f>HYPERLINK("http://mcb-m6.bioreg.kyushu-u.ac.jp/M3/20110428/F51130/1239/1", 71.56)</f>
        <v>71.56</v>
      </c>
      <c r="E1546" s="2">
        <v>45.98</v>
      </c>
      <c r="F1546" s="2">
        <v>2</v>
      </c>
      <c r="G1546" s="2" t="s">
        <v>14</v>
      </c>
      <c r="H1546" s="2" t="s">
        <v>4901</v>
      </c>
    </row>
    <row r="1547" spans="1:9" x14ac:dyDescent="0.2">
      <c r="A1547" s="2" t="s">
        <v>3329</v>
      </c>
      <c r="B1547" s="2" t="s">
        <v>6944</v>
      </c>
      <c r="C1547" s="2">
        <v>867.0172</v>
      </c>
      <c r="D1547" s="2">
        <f>HYPERLINK("http://mcb-m6.bioreg.kyushu-u.ac.jp/M3/20110428/F51130/2663/1", 71.78)</f>
        <v>71.78</v>
      </c>
      <c r="E1547" s="2">
        <v>47.51</v>
      </c>
      <c r="F1547" s="2">
        <v>2</v>
      </c>
      <c r="G1547" s="2" t="s">
        <v>14</v>
      </c>
      <c r="I1547" s="2" t="s">
        <v>4918</v>
      </c>
    </row>
    <row r="1548" spans="1:9" x14ac:dyDescent="0.2">
      <c r="A1548" s="2" t="s">
        <v>3329</v>
      </c>
      <c r="B1548" s="2" t="s">
        <v>1650</v>
      </c>
      <c r="C1548" s="2">
        <v>754.15120000000002</v>
      </c>
      <c r="D1548" s="2">
        <f>HYPERLINK("http://mcb-m6.bioreg.kyushu-u.ac.jp/M3/20110427/F51124/2078/1", 94.53)</f>
        <v>94.53</v>
      </c>
      <c r="E1548" s="2">
        <v>64.680000000000007</v>
      </c>
      <c r="F1548" s="2">
        <v>2</v>
      </c>
      <c r="G1548" s="2" t="s">
        <v>14</v>
      </c>
    </row>
    <row r="1549" spans="1:9" x14ac:dyDescent="0.2">
      <c r="A1549" s="2" t="s">
        <v>3329</v>
      </c>
      <c r="B1549" s="2" t="s">
        <v>1650</v>
      </c>
      <c r="C1549" s="2">
        <v>754.1241</v>
      </c>
      <c r="D1549" s="2">
        <f>HYPERLINK("http://mcb-m6.bioreg.kyushu-u.ac.jp/M3/20110427/F51125/2146/1", 96.55)</f>
        <v>96.55</v>
      </c>
      <c r="E1549" s="2">
        <v>62.79</v>
      </c>
      <c r="F1549" s="2">
        <v>2</v>
      </c>
      <c r="G1549" s="2" t="s">
        <v>14</v>
      </c>
    </row>
    <row r="1550" spans="1:9" x14ac:dyDescent="0.2">
      <c r="A1550" s="2" t="s">
        <v>3329</v>
      </c>
      <c r="B1550" s="2" t="s">
        <v>1650</v>
      </c>
      <c r="C1550" s="2">
        <v>754.26760000000002</v>
      </c>
      <c r="D1550" s="2">
        <f>HYPERLINK("http://mcb-m6.bioreg.kyushu-u.ac.jp/M3/20110428/F51130/2129/1", 110.06)</f>
        <v>110.06</v>
      </c>
      <c r="E1550" s="2">
        <v>79.95</v>
      </c>
      <c r="F1550" s="2">
        <v>2</v>
      </c>
      <c r="G1550" s="2" t="s">
        <v>14</v>
      </c>
    </row>
    <row r="1551" spans="1:9" x14ac:dyDescent="0.2">
      <c r="A1551" s="2" t="s">
        <v>3946</v>
      </c>
      <c r="B1551" s="2" t="s">
        <v>1147</v>
      </c>
      <c r="C1551" s="2">
        <v>1039.817</v>
      </c>
      <c r="D1551" s="2">
        <f>HYPERLINK("http://mcb-m6.bioreg.kyushu-u.ac.jp/M3/20110404/F50764/2847/1", 49.76)</f>
        <v>49.76</v>
      </c>
      <c r="E1551" s="2">
        <v>33.71</v>
      </c>
      <c r="F1551" s="2">
        <v>2</v>
      </c>
      <c r="G1551" s="2" t="s">
        <v>9</v>
      </c>
    </row>
    <row r="1552" spans="1:9" x14ac:dyDescent="0.2">
      <c r="A1552" s="2" t="s">
        <v>3946</v>
      </c>
      <c r="B1552" s="2" t="s">
        <v>1147</v>
      </c>
      <c r="C1552" s="2">
        <v>1040.002</v>
      </c>
      <c r="D1552" s="2">
        <f>HYPERLINK("http://mcb-m6.bioreg.kyushu-u.ac.jp/M3/20110404/F50778/3110/1", 70.23)</f>
        <v>70.23</v>
      </c>
      <c r="E1552" s="2">
        <v>57.39</v>
      </c>
      <c r="F1552" s="2">
        <v>2</v>
      </c>
      <c r="G1552" s="2" t="s">
        <v>9</v>
      </c>
    </row>
    <row r="1553" spans="1:9" x14ac:dyDescent="0.2">
      <c r="A1553" s="2" t="s">
        <v>3946</v>
      </c>
      <c r="B1553" s="2" t="s">
        <v>1147</v>
      </c>
      <c r="C1553" s="2">
        <v>1040.4169999999999</v>
      </c>
      <c r="D1553" s="2">
        <f>HYPERLINK("http://mcb-m6.bioreg.kyushu-u.ac.jp/M3/20110404/F50767/3030/1", 74.28)</f>
        <v>74.28</v>
      </c>
      <c r="E1553" s="2">
        <v>60.16</v>
      </c>
      <c r="F1553" s="2">
        <v>2</v>
      </c>
      <c r="G1553" s="2" t="s">
        <v>9</v>
      </c>
    </row>
    <row r="1554" spans="1:9" x14ac:dyDescent="0.2">
      <c r="A1554" s="2" t="s">
        <v>3946</v>
      </c>
      <c r="B1554" s="2" t="s">
        <v>1147</v>
      </c>
      <c r="C1554" s="2">
        <v>1040.366</v>
      </c>
      <c r="D1554" s="2">
        <f>HYPERLINK("http://mcb-m6.bioreg.kyushu-u.ac.jp/M3/20110404/F50764/2848/1", 82.65)</f>
        <v>82.65</v>
      </c>
      <c r="E1554" s="2">
        <v>68.23</v>
      </c>
      <c r="F1554" s="2">
        <v>2</v>
      </c>
      <c r="G1554" s="2" t="s">
        <v>9</v>
      </c>
    </row>
    <row r="1555" spans="1:9" x14ac:dyDescent="0.2">
      <c r="A1555" s="2" t="s">
        <v>3946</v>
      </c>
      <c r="B1555" s="2" t="s">
        <v>6871</v>
      </c>
      <c r="C1555" s="2">
        <v>888.81219999999996</v>
      </c>
      <c r="D1555" s="2">
        <f>HYPERLINK("http://mcb-m6.bioreg.kyushu-u.ac.jp/M3/20110404/F50775/3277/1", 51.78)</f>
        <v>51.78</v>
      </c>
      <c r="E1555" s="2">
        <v>41.04</v>
      </c>
      <c r="F1555" s="2">
        <v>3</v>
      </c>
      <c r="G1555" s="2" t="s">
        <v>10</v>
      </c>
      <c r="I1555" s="2" t="s">
        <v>5889</v>
      </c>
    </row>
    <row r="1556" spans="1:9" x14ac:dyDescent="0.2">
      <c r="A1556" s="2" t="s">
        <v>3946</v>
      </c>
      <c r="B1556" s="2" t="s">
        <v>1147</v>
      </c>
      <c r="C1556" s="2">
        <v>1039.8869999999999</v>
      </c>
      <c r="D1556" s="2">
        <f>HYPERLINK("http://mcb-m6.bioreg.kyushu-u.ac.jp/M3/20110404/F50770/2750/1", 91.49)</f>
        <v>91.49</v>
      </c>
      <c r="E1556" s="2">
        <v>73.599999999999994</v>
      </c>
      <c r="F1556" s="2">
        <v>2</v>
      </c>
      <c r="G1556" s="2" t="s">
        <v>10</v>
      </c>
    </row>
    <row r="1557" spans="1:9" x14ac:dyDescent="0.2">
      <c r="A1557" s="2" t="s">
        <v>3946</v>
      </c>
      <c r="B1557" s="2" t="s">
        <v>1147</v>
      </c>
      <c r="C1557" s="2">
        <v>1040.3679999999999</v>
      </c>
      <c r="D1557" s="2">
        <f>HYPERLINK("http://mcb-m6.bioreg.kyushu-u.ac.jp/M3/20110404/F50775/2877/1", 116.52)</f>
        <v>116.52</v>
      </c>
      <c r="E1557" s="2">
        <v>95.02</v>
      </c>
      <c r="F1557" s="2">
        <v>2</v>
      </c>
      <c r="G1557" s="2" t="s">
        <v>10</v>
      </c>
    </row>
    <row r="1558" spans="1:9" x14ac:dyDescent="0.2">
      <c r="A1558" s="2" t="s">
        <v>3946</v>
      </c>
      <c r="B1558" s="2" t="s">
        <v>1147</v>
      </c>
      <c r="C1558" s="2">
        <v>1039.866</v>
      </c>
      <c r="D1558" s="2">
        <f>HYPERLINK("http://mcb-m6.bioreg.kyushu-u.ac.jp/M3/20110404/F50775/2876/1", 125.06)</f>
        <v>125.06</v>
      </c>
      <c r="E1558" s="2">
        <v>105.55</v>
      </c>
      <c r="F1558" s="2">
        <v>2</v>
      </c>
      <c r="G1558" s="2" t="s">
        <v>10</v>
      </c>
    </row>
    <row r="1559" spans="1:9" x14ac:dyDescent="0.2">
      <c r="A1559" s="2" t="s">
        <v>3946</v>
      </c>
      <c r="B1559" s="2" t="s">
        <v>1147</v>
      </c>
      <c r="C1559" s="2">
        <v>1039.8800000000001</v>
      </c>
      <c r="D1559" s="2">
        <f>HYPERLINK("http://mcb-m6.bioreg.kyushu-u.ac.jp/M3/20110421/F51039/3277/1", 47.2)</f>
        <v>47.2</v>
      </c>
      <c r="E1559" s="2">
        <v>34.14</v>
      </c>
      <c r="F1559" s="2">
        <v>2</v>
      </c>
      <c r="G1559" s="2" t="s">
        <v>11</v>
      </c>
    </row>
    <row r="1560" spans="1:9" x14ac:dyDescent="0.2">
      <c r="A1560" s="2" t="s">
        <v>3946</v>
      </c>
      <c r="B1560" s="2" t="s">
        <v>1147</v>
      </c>
      <c r="C1560" s="2">
        <v>1039.893</v>
      </c>
      <c r="D1560" s="2">
        <f>HYPERLINK("http://mcb-m6.bioreg.kyushu-u.ac.jp/M3/20110421/F51042/3462/1", 66.85)</f>
        <v>66.849999999999994</v>
      </c>
      <c r="E1560" s="2">
        <v>50.1</v>
      </c>
      <c r="F1560" s="2">
        <v>2</v>
      </c>
      <c r="G1560" s="2" t="s">
        <v>11</v>
      </c>
    </row>
    <row r="1561" spans="1:9" x14ac:dyDescent="0.2">
      <c r="A1561" s="2" t="s">
        <v>3946</v>
      </c>
      <c r="B1561" s="2" t="s">
        <v>1147</v>
      </c>
      <c r="C1561" s="2">
        <v>1040.3330000000001</v>
      </c>
      <c r="D1561" s="2">
        <f>HYPERLINK("http://mcb-m6.bioreg.kyushu-u.ac.jp/M3/20110421/F51040/3111/1", 84.31)</f>
        <v>84.31</v>
      </c>
      <c r="E1561" s="2">
        <v>68.8</v>
      </c>
      <c r="F1561" s="2">
        <v>2</v>
      </c>
      <c r="G1561" s="2" t="s">
        <v>11</v>
      </c>
    </row>
    <row r="1562" spans="1:9" x14ac:dyDescent="0.2">
      <c r="A1562" s="2" t="s">
        <v>3946</v>
      </c>
      <c r="B1562" s="2" t="s">
        <v>1147</v>
      </c>
      <c r="C1562" s="2">
        <v>1040.5</v>
      </c>
      <c r="D1562" s="2">
        <f>HYPERLINK("http://mcb-m6.bioreg.kyushu-u.ac.jp/M3/20110421/F51048/3213/1", 99.52)</f>
        <v>99.52</v>
      </c>
      <c r="E1562" s="2">
        <v>78.19</v>
      </c>
      <c r="F1562" s="2">
        <v>2</v>
      </c>
      <c r="G1562" s="2" t="s">
        <v>12</v>
      </c>
    </row>
    <row r="1563" spans="1:9" x14ac:dyDescent="0.2">
      <c r="A1563" s="2" t="s">
        <v>3946</v>
      </c>
      <c r="B1563" s="2" t="s">
        <v>1147</v>
      </c>
      <c r="C1563" s="2">
        <v>1040.451</v>
      </c>
      <c r="D1563" s="2">
        <f>HYPERLINK("http://mcb-m6.bioreg.kyushu-u.ac.jp/M3/20110421/F51050/3031/1", 111.06)</f>
        <v>111.06</v>
      </c>
      <c r="E1563" s="2">
        <v>85.13</v>
      </c>
      <c r="F1563" s="2">
        <v>2</v>
      </c>
      <c r="G1563" s="2" t="s">
        <v>12</v>
      </c>
    </row>
    <row r="1564" spans="1:9" x14ac:dyDescent="0.2">
      <c r="A1564" s="2" t="s">
        <v>3946</v>
      </c>
      <c r="B1564" s="2" t="s">
        <v>1147</v>
      </c>
      <c r="C1564" s="2">
        <v>1039.973</v>
      </c>
      <c r="D1564" s="2">
        <f>HYPERLINK("http://mcb-m6.bioreg.kyushu-u.ac.jp/M3/20110421/F51048/3212/1", 111.18)</f>
        <v>111.18</v>
      </c>
      <c r="E1564" s="2">
        <v>95.78</v>
      </c>
      <c r="F1564" s="2">
        <v>2</v>
      </c>
      <c r="G1564" s="2" t="s">
        <v>12</v>
      </c>
    </row>
    <row r="1565" spans="1:9" x14ac:dyDescent="0.2">
      <c r="A1565" s="2" t="s">
        <v>3946</v>
      </c>
      <c r="B1565" s="2" t="s">
        <v>1147</v>
      </c>
      <c r="C1565" s="2">
        <v>1039.941</v>
      </c>
      <c r="D1565" s="2">
        <f>HYPERLINK("http://mcb-m6.bioreg.kyushu-u.ac.jp/M3/20110421/F51050/3029/1", 123.58)</f>
        <v>123.58</v>
      </c>
      <c r="E1565" s="2">
        <v>105.23</v>
      </c>
      <c r="F1565" s="2">
        <v>2</v>
      </c>
      <c r="G1565" s="2" t="s">
        <v>12</v>
      </c>
    </row>
    <row r="1566" spans="1:9" x14ac:dyDescent="0.2">
      <c r="A1566" s="2" t="s">
        <v>3946</v>
      </c>
      <c r="B1566" s="2" t="s">
        <v>1147</v>
      </c>
      <c r="C1566" s="2">
        <v>1039.607</v>
      </c>
      <c r="D1566" s="2">
        <f>HYPERLINK("http://mcb-m6.bioreg.kyushu-u.ac.jp/M3/20110427/F51115/3018/1", 49.72)</f>
        <v>49.72</v>
      </c>
      <c r="E1566" s="2">
        <v>37.6</v>
      </c>
      <c r="F1566" s="2">
        <v>2</v>
      </c>
      <c r="G1566" s="2" t="s">
        <v>13</v>
      </c>
    </row>
    <row r="1567" spans="1:9" x14ac:dyDescent="0.2">
      <c r="A1567" s="2" t="s">
        <v>3946</v>
      </c>
      <c r="B1567" s="2" t="s">
        <v>1147</v>
      </c>
      <c r="C1567" s="2">
        <v>1039.78</v>
      </c>
      <c r="D1567" s="2">
        <f>HYPERLINK("http://mcb-m6.bioreg.kyushu-u.ac.jp/M3/20110428/F51133/3050/1", 103.9)</f>
        <v>103.9</v>
      </c>
      <c r="E1567" s="2">
        <v>88.45</v>
      </c>
      <c r="F1567" s="2">
        <v>2</v>
      </c>
      <c r="G1567" s="2" t="s">
        <v>13</v>
      </c>
    </row>
    <row r="1568" spans="1:9" x14ac:dyDescent="0.2">
      <c r="A1568" s="2" t="s">
        <v>3946</v>
      </c>
      <c r="B1568" s="2" t="s">
        <v>1147</v>
      </c>
      <c r="C1568" s="2">
        <v>1040.306</v>
      </c>
      <c r="D1568" s="2">
        <f>HYPERLINK("http://mcb-m6.bioreg.kyushu-u.ac.jp/M3/20110428/F51133/3051/1", 112.3)</f>
        <v>112.3</v>
      </c>
      <c r="E1568" s="2">
        <v>94.25</v>
      </c>
      <c r="F1568" s="2">
        <v>2</v>
      </c>
      <c r="G1568" s="2" t="s">
        <v>13</v>
      </c>
    </row>
    <row r="1569" spans="1:7" x14ac:dyDescent="0.2">
      <c r="A1569" s="2" t="s">
        <v>3946</v>
      </c>
      <c r="B1569" s="2" t="s">
        <v>1147</v>
      </c>
      <c r="C1569" s="2">
        <v>1039.7539999999999</v>
      </c>
      <c r="D1569" s="2">
        <f>HYPERLINK("http://mcb-m6.bioreg.kyushu-u.ac.jp/M3/20110428/F51128/3200/1", 62.9)</f>
        <v>62.9</v>
      </c>
      <c r="E1569" s="2">
        <v>48.88</v>
      </c>
      <c r="F1569" s="2">
        <v>2</v>
      </c>
      <c r="G1569" s="2" t="s">
        <v>14</v>
      </c>
    </row>
    <row r="1570" spans="1:7" x14ac:dyDescent="0.2">
      <c r="A1570" s="2" t="s">
        <v>3946</v>
      </c>
      <c r="B1570" s="2" t="s">
        <v>1147</v>
      </c>
      <c r="C1570" s="2">
        <v>1039.713</v>
      </c>
      <c r="D1570" s="2">
        <f>HYPERLINK("http://mcb-m6.bioreg.kyushu-u.ac.jp/M3/20110428/F51129/3125/1", 88.6)</f>
        <v>88.6</v>
      </c>
      <c r="E1570" s="2">
        <v>74.28</v>
      </c>
      <c r="F1570" s="2">
        <v>2</v>
      </c>
      <c r="G1570" s="2" t="s">
        <v>14</v>
      </c>
    </row>
    <row r="1571" spans="1:7" x14ac:dyDescent="0.2">
      <c r="A1571" s="2" t="s">
        <v>3946</v>
      </c>
      <c r="B1571" s="2" t="s">
        <v>1147</v>
      </c>
      <c r="C1571" s="2">
        <v>1040.0139999999999</v>
      </c>
      <c r="D1571" s="2">
        <f>HYPERLINK("http://mcb-m6.bioreg.kyushu-u.ac.jp/M3/20110427/F51124/3049/1", 92.02)</f>
        <v>92.02</v>
      </c>
      <c r="E1571" s="2">
        <v>72.959999999999994</v>
      </c>
      <c r="F1571" s="2">
        <v>2</v>
      </c>
      <c r="G1571" s="2" t="s">
        <v>14</v>
      </c>
    </row>
    <row r="1572" spans="1:7" x14ac:dyDescent="0.2">
      <c r="A1572" s="2" t="s">
        <v>3946</v>
      </c>
      <c r="B1572" s="2" t="s">
        <v>1147</v>
      </c>
      <c r="C1572" s="2">
        <v>1040.009</v>
      </c>
      <c r="D1572" s="2">
        <f>HYPERLINK("http://mcb-m6.bioreg.kyushu-u.ac.jp/M3/20110428/F51130/3165/1", 94.8)</f>
        <v>94.8</v>
      </c>
      <c r="E1572" s="2">
        <v>71.459999999999994</v>
      </c>
      <c r="F1572" s="2">
        <v>2</v>
      </c>
      <c r="G1572" s="2" t="s">
        <v>14</v>
      </c>
    </row>
    <row r="1573" spans="1:7" x14ac:dyDescent="0.2">
      <c r="A1573" s="2" t="s">
        <v>3969</v>
      </c>
      <c r="B1573" s="2" t="s">
        <v>1202</v>
      </c>
      <c r="C1573" s="2">
        <v>715.08259999999996</v>
      </c>
      <c r="D1573" s="2">
        <f>HYPERLINK("http://mcb-m6.bioreg.kyushu-u.ac.jp/M3/20110421/F51014/2022/1", 35.85)</f>
        <v>35.85</v>
      </c>
      <c r="E1573" s="2">
        <v>13.75</v>
      </c>
      <c r="F1573" s="2">
        <v>2</v>
      </c>
      <c r="G1573" s="2" t="s">
        <v>11</v>
      </c>
    </row>
    <row r="1574" spans="1:7" x14ac:dyDescent="0.2">
      <c r="A1574" s="2" t="s">
        <v>3969</v>
      </c>
      <c r="B1574" s="2" t="s">
        <v>1202</v>
      </c>
      <c r="C1574" s="2">
        <v>715.73910000000001</v>
      </c>
      <c r="D1574" s="2">
        <f>HYPERLINK("http://mcb-m6.bioreg.kyushu-u.ac.jp/M3/20110421/F51021/1945/1", 39.77)</f>
        <v>39.770000000000003</v>
      </c>
      <c r="E1574" s="2">
        <v>21.2</v>
      </c>
      <c r="F1574" s="2">
        <v>2</v>
      </c>
      <c r="G1574" s="2" t="s">
        <v>12</v>
      </c>
    </row>
    <row r="1575" spans="1:7" x14ac:dyDescent="0.2">
      <c r="A1575" s="2" t="s">
        <v>3969</v>
      </c>
      <c r="B1575" s="2" t="s">
        <v>1202</v>
      </c>
      <c r="C1575" s="2">
        <v>715.14509999999996</v>
      </c>
      <c r="D1575" s="2">
        <f>HYPERLINK("http://mcb-m6.bioreg.kyushu-u.ac.jp/M3/20110427/F51108/1964/1", 83.34)</f>
        <v>83.34</v>
      </c>
      <c r="E1575" s="2">
        <v>62.82</v>
      </c>
      <c r="F1575" s="2">
        <v>2</v>
      </c>
      <c r="G1575" s="2" t="s">
        <v>13</v>
      </c>
    </row>
    <row r="1576" spans="1:7" x14ac:dyDescent="0.2">
      <c r="A1576" s="2" t="s">
        <v>4493</v>
      </c>
      <c r="B1576" s="2" t="s">
        <v>2470</v>
      </c>
      <c r="C1576" s="2">
        <v>527.73109999999997</v>
      </c>
      <c r="D1576" s="2">
        <f>HYPERLINK("http://mcb-m6.bioreg.kyushu-u.ac.jp/M3/20110421/F51021/951/1", 54.07)</f>
        <v>54.07</v>
      </c>
      <c r="E1576" s="2">
        <v>27.96</v>
      </c>
      <c r="F1576" s="2">
        <v>2</v>
      </c>
      <c r="G1576" s="2" t="s">
        <v>12</v>
      </c>
    </row>
    <row r="1577" spans="1:7" x14ac:dyDescent="0.2">
      <c r="A1577" s="2" t="s">
        <v>4507</v>
      </c>
      <c r="B1577" s="2" t="s">
        <v>7144</v>
      </c>
      <c r="C1577" s="2">
        <v>721.0557</v>
      </c>
      <c r="D1577" s="2">
        <f>HYPERLINK("http://mcb-m6.bioreg.kyushu-u.ac.jp/M3/20110421/F51014/2050/1", 74.81)</f>
        <v>74.81</v>
      </c>
      <c r="E1577" s="2">
        <v>53.25</v>
      </c>
      <c r="F1577" s="2">
        <v>2</v>
      </c>
      <c r="G1577" s="2" t="s">
        <v>11</v>
      </c>
    </row>
    <row r="1578" spans="1:7" x14ac:dyDescent="0.2">
      <c r="A1578" s="2" t="s">
        <v>4400</v>
      </c>
      <c r="B1578" s="2" t="s">
        <v>2250</v>
      </c>
      <c r="C1578" s="2">
        <v>867.45069999999998</v>
      </c>
      <c r="D1578" s="2">
        <f>HYPERLINK("http://mcb-m6.bioreg.kyushu-u.ac.jp/M3/20110427/F51108/2498/1", 54.1)</f>
        <v>54.1</v>
      </c>
      <c r="E1578" s="2">
        <v>19.760000000000002</v>
      </c>
      <c r="F1578" s="2">
        <v>2</v>
      </c>
      <c r="G1578" s="2" t="s">
        <v>13</v>
      </c>
    </row>
    <row r="1579" spans="1:7" x14ac:dyDescent="0.2">
      <c r="A1579" s="2" t="s">
        <v>4397</v>
      </c>
      <c r="B1579" s="2" t="s">
        <v>2246</v>
      </c>
      <c r="C1579" s="2">
        <v>554.58010000000002</v>
      </c>
      <c r="D1579" s="2">
        <f>HYPERLINK("http://mcb-m6.bioreg.kyushu-u.ac.jp/M3/20110427/F51112/1298/1", 37.29)</f>
        <v>37.29</v>
      </c>
      <c r="E1579" s="2">
        <v>17.170000000000002</v>
      </c>
      <c r="F1579" s="2">
        <v>2</v>
      </c>
      <c r="G1579" s="2" t="s">
        <v>13</v>
      </c>
    </row>
    <row r="1580" spans="1:7" x14ac:dyDescent="0.2">
      <c r="A1580" s="2" t="s">
        <v>3928</v>
      </c>
      <c r="B1580" s="2" t="s">
        <v>1108</v>
      </c>
      <c r="C1580" s="2">
        <v>810.41359999999997</v>
      </c>
      <c r="D1580" s="2">
        <f>HYPERLINK("http://mcb-m6.bioreg.kyushu-u.ac.jp/M3/20110404/F50756/2297/1", 86.62)</f>
        <v>86.62</v>
      </c>
      <c r="E1580" s="2">
        <v>67.06</v>
      </c>
      <c r="F1580" s="2">
        <v>2</v>
      </c>
      <c r="G1580" s="2" t="s">
        <v>9</v>
      </c>
    </row>
    <row r="1581" spans="1:7" x14ac:dyDescent="0.2">
      <c r="A1581" s="2" t="s">
        <v>3928</v>
      </c>
      <c r="B1581" s="2" t="s">
        <v>1108</v>
      </c>
      <c r="C1581" s="2">
        <v>809.76459999999997</v>
      </c>
      <c r="D1581" s="2">
        <f>HYPERLINK("http://mcb-m6.bioreg.kyushu-u.ac.jp/M3/20110427/F51114/2447/1", 85.93)</f>
        <v>85.93</v>
      </c>
      <c r="E1581" s="2">
        <v>71.92</v>
      </c>
      <c r="F1581" s="2">
        <v>2</v>
      </c>
      <c r="G1581" s="2" t="s">
        <v>13</v>
      </c>
    </row>
    <row r="1582" spans="1:7" x14ac:dyDescent="0.2">
      <c r="A1582" s="2" t="s">
        <v>7849</v>
      </c>
      <c r="B1582" s="2" t="s">
        <v>6827</v>
      </c>
      <c r="C1582" s="2">
        <v>772.47799999999995</v>
      </c>
      <c r="D1582" s="2">
        <f>HYPERLINK("http://mcb-m6.bioreg.kyushu-u.ac.jp/M3/20110404/F50770/832/3", 46.66)</f>
        <v>46.66</v>
      </c>
      <c r="E1582" s="2">
        <v>5.04</v>
      </c>
      <c r="F1582" s="2">
        <v>1</v>
      </c>
      <c r="G1582" s="2" t="s">
        <v>10</v>
      </c>
    </row>
    <row r="1583" spans="1:7" x14ac:dyDescent="0.2">
      <c r="A1583" s="4" t="s">
        <v>4249</v>
      </c>
      <c r="B1583" s="2" t="s">
        <v>1878</v>
      </c>
      <c r="C1583" s="2">
        <v>807.14700000000005</v>
      </c>
      <c r="D1583" s="2">
        <f>HYPERLINK("http://mcb-m6.bioreg.kyushu-u.ac.jp/M3/20110427/F51109/1201/1", 46.23)</f>
        <v>46.23</v>
      </c>
      <c r="E1583" s="2">
        <v>21.97</v>
      </c>
      <c r="F1583" s="2">
        <v>1</v>
      </c>
      <c r="G1583" s="2" t="s">
        <v>13</v>
      </c>
    </row>
    <row r="1584" spans="1:7" x14ac:dyDescent="0.2">
      <c r="A1584" s="2" t="s">
        <v>3781</v>
      </c>
      <c r="B1584" s="2" t="s">
        <v>817</v>
      </c>
      <c r="C1584" s="2">
        <v>561.56960000000004</v>
      </c>
      <c r="D1584" s="2">
        <f>HYPERLINK("http://mcb-m6.bioreg.kyushu-u.ac.jp/M3/20110404/F50766/718/1", 50.28)</f>
        <v>50.28</v>
      </c>
      <c r="E1584" s="2">
        <v>29.46</v>
      </c>
      <c r="F1584" s="2">
        <v>2</v>
      </c>
      <c r="G1584" s="2" t="s">
        <v>9</v>
      </c>
    </row>
    <row r="1585" spans="1:7" x14ac:dyDescent="0.2">
      <c r="A1585" s="2" t="s">
        <v>3781</v>
      </c>
      <c r="B1585" s="2" t="s">
        <v>817</v>
      </c>
      <c r="C1585" s="2">
        <v>561.70119999999997</v>
      </c>
      <c r="D1585" s="2">
        <f>HYPERLINK("http://mcb-m6.bioreg.kyushu-u.ac.jp/M3/20110421/F51021/1117/1", 66.53)</f>
        <v>66.53</v>
      </c>
      <c r="E1585" s="2">
        <v>49.17</v>
      </c>
      <c r="F1585" s="2">
        <v>2</v>
      </c>
      <c r="G1585" s="2" t="s">
        <v>12</v>
      </c>
    </row>
    <row r="1586" spans="1:7" x14ac:dyDescent="0.2">
      <c r="A1586" s="2" t="s">
        <v>3781</v>
      </c>
      <c r="B1586" s="2" t="s">
        <v>817</v>
      </c>
      <c r="C1586" s="2">
        <v>561.58720000000005</v>
      </c>
      <c r="D1586" s="2">
        <f>HYPERLINK("http://mcb-m6.bioreg.kyushu-u.ac.jp/M3/20110427/F51114/1195/1", 45.47)</f>
        <v>45.47</v>
      </c>
      <c r="E1586" s="2">
        <v>22.75</v>
      </c>
      <c r="F1586" s="2">
        <v>2</v>
      </c>
      <c r="G1586" s="2" t="s">
        <v>13</v>
      </c>
    </row>
    <row r="1587" spans="1:7" x14ac:dyDescent="0.2">
      <c r="A1587" s="2" t="s">
        <v>7803</v>
      </c>
      <c r="B1587" s="2" t="s">
        <v>6728</v>
      </c>
      <c r="C1587" s="2">
        <v>809.327</v>
      </c>
      <c r="D1587" s="2">
        <f>HYPERLINK("http://mcb-m6.bioreg.kyushu-u.ac.jp/M3/20110404/F50760/726/1", 38.12)</f>
        <v>38.119999999999997</v>
      </c>
      <c r="E1587" s="2">
        <v>14.77</v>
      </c>
      <c r="F1587" s="2">
        <v>1</v>
      </c>
      <c r="G1587" s="2" t="s">
        <v>10</v>
      </c>
    </row>
    <row r="1588" spans="1:7" x14ac:dyDescent="0.2">
      <c r="A1588" s="2" t="s">
        <v>3855</v>
      </c>
      <c r="B1588" s="2" t="s">
        <v>957</v>
      </c>
      <c r="C1588" s="2">
        <v>532.39760000000001</v>
      </c>
      <c r="D1588" s="2">
        <f>HYPERLINK("http://mcb-m6.bioreg.kyushu-u.ac.jp/M3/20110421/F51050/1283/1", 42.63)</f>
        <v>42.63</v>
      </c>
      <c r="E1588" s="2">
        <v>14.48</v>
      </c>
      <c r="F1588" s="2">
        <v>2</v>
      </c>
      <c r="G1588" s="2" t="s">
        <v>12</v>
      </c>
    </row>
    <row r="1589" spans="1:7" x14ac:dyDescent="0.2">
      <c r="A1589" s="2" t="s">
        <v>3855</v>
      </c>
      <c r="B1589" s="2" t="s">
        <v>957</v>
      </c>
      <c r="C1589" s="2">
        <v>533.36069999999995</v>
      </c>
      <c r="D1589" s="2">
        <f>HYPERLINK("http://mcb-m6.bioreg.kyushu-u.ac.jp/M3/20110421/F51044/1057/1", 48.65)</f>
        <v>48.65</v>
      </c>
      <c r="E1589" s="2">
        <v>22.91</v>
      </c>
      <c r="F1589" s="2">
        <v>2</v>
      </c>
      <c r="G1589" s="2" t="s">
        <v>12</v>
      </c>
    </row>
    <row r="1590" spans="1:7" x14ac:dyDescent="0.2">
      <c r="A1590" s="2" t="s">
        <v>3855</v>
      </c>
      <c r="B1590" s="2" t="s">
        <v>957</v>
      </c>
      <c r="C1590" s="2">
        <v>532.67719999999997</v>
      </c>
      <c r="D1590" s="2">
        <f>HYPERLINK("http://mcb-m6.bioreg.kyushu-u.ac.jp/M3/20110427/F51116/1168/1", 41.84)</f>
        <v>41.84</v>
      </c>
      <c r="E1590" s="2">
        <v>21.68</v>
      </c>
      <c r="F1590" s="2">
        <v>2</v>
      </c>
      <c r="G1590" s="2" t="s">
        <v>13</v>
      </c>
    </row>
    <row r="1591" spans="1:7" x14ac:dyDescent="0.2">
      <c r="A1591" s="2" t="s">
        <v>3855</v>
      </c>
      <c r="B1591" s="2" t="s">
        <v>957</v>
      </c>
      <c r="C1591" s="2">
        <v>532.6422</v>
      </c>
      <c r="D1591" s="2">
        <f>HYPERLINK("http://mcb-m6.bioreg.kyushu-u.ac.jp/M3/20110428/F51127/906/1", 55.16)</f>
        <v>55.16</v>
      </c>
      <c r="E1591" s="2">
        <v>18.72</v>
      </c>
      <c r="F1591" s="2">
        <v>2</v>
      </c>
      <c r="G1591" s="2" t="s">
        <v>13</v>
      </c>
    </row>
    <row r="1592" spans="1:7" x14ac:dyDescent="0.2">
      <c r="A1592" s="2" t="s">
        <v>3855</v>
      </c>
      <c r="B1592" s="2" t="s">
        <v>957</v>
      </c>
      <c r="C1592" s="2">
        <v>532.63959999999997</v>
      </c>
      <c r="D1592" s="2">
        <f>HYPERLINK("http://mcb-m6.bioreg.kyushu-u.ac.jp/M3/20110427/F51109/1521/1", 60.34)</f>
        <v>60.34</v>
      </c>
      <c r="E1592" s="2">
        <v>39.69</v>
      </c>
      <c r="F1592" s="2">
        <v>2</v>
      </c>
      <c r="G1592" s="2" t="s">
        <v>13</v>
      </c>
    </row>
    <row r="1593" spans="1:7" x14ac:dyDescent="0.2">
      <c r="A1593" s="2" t="s">
        <v>3855</v>
      </c>
      <c r="B1593" s="2" t="s">
        <v>957</v>
      </c>
      <c r="C1593" s="2">
        <v>532.61609999999996</v>
      </c>
      <c r="D1593" s="2">
        <f>HYPERLINK("http://mcb-m6.bioreg.kyushu-u.ac.jp/M3/20110427/F51122/1423/1", 66.07)</f>
        <v>66.069999999999993</v>
      </c>
      <c r="E1593" s="2">
        <v>33.11</v>
      </c>
      <c r="F1593" s="2">
        <v>2</v>
      </c>
      <c r="G1593" s="2" t="s">
        <v>14</v>
      </c>
    </row>
    <row r="1594" spans="1:7" x14ac:dyDescent="0.2">
      <c r="A1594" s="2" t="s">
        <v>4299</v>
      </c>
      <c r="B1594" s="2" t="s">
        <v>2019</v>
      </c>
      <c r="C1594" s="2">
        <v>515.22270000000003</v>
      </c>
      <c r="D1594" s="2">
        <f>HYPERLINK("http://mcb-m6.bioreg.kyushu-u.ac.jp/M3/20110404/F50763/1135/1", 66.02)</f>
        <v>66.02</v>
      </c>
      <c r="E1594" s="2">
        <v>36.1</v>
      </c>
      <c r="F1594" s="2">
        <v>2</v>
      </c>
      <c r="G1594" s="2" t="s">
        <v>9</v>
      </c>
    </row>
    <row r="1595" spans="1:7" x14ac:dyDescent="0.2">
      <c r="A1595" s="2" t="s">
        <v>4299</v>
      </c>
      <c r="B1595" s="2" t="s">
        <v>2019</v>
      </c>
      <c r="C1595" s="2">
        <v>515.13760000000002</v>
      </c>
      <c r="D1595" s="2">
        <f>HYPERLINK("http://mcb-m6.bioreg.kyushu-u.ac.jp/M3/20110404/F50766/562/1", 71.24)</f>
        <v>71.239999999999995</v>
      </c>
      <c r="E1595" s="2">
        <v>36.51</v>
      </c>
      <c r="F1595" s="2">
        <v>2</v>
      </c>
      <c r="G1595" s="2" t="s">
        <v>9</v>
      </c>
    </row>
    <row r="1596" spans="1:7" x14ac:dyDescent="0.2">
      <c r="A1596" s="2" t="s">
        <v>4299</v>
      </c>
      <c r="B1596" s="2" t="s">
        <v>2019</v>
      </c>
      <c r="C1596" s="2">
        <v>1029.355</v>
      </c>
      <c r="D1596" s="2">
        <f>HYPERLINK("http://mcb-m6.bioreg.kyushu-u.ac.jp/M3/20110421/F51021/890/1", 43.01)</f>
        <v>43.01</v>
      </c>
      <c r="E1596" s="2">
        <v>24.56</v>
      </c>
      <c r="F1596" s="2">
        <v>1</v>
      </c>
      <c r="G1596" s="2" t="s">
        <v>12</v>
      </c>
    </row>
    <row r="1597" spans="1:7" x14ac:dyDescent="0.2">
      <c r="A1597" s="2" t="s">
        <v>4299</v>
      </c>
      <c r="B1597" s="2" t="s">
        <v>2019</v>
      </c>
      <c r="C1597" s="2">
        <v>515.11969999999997</v>
      </c>
      <c r="D1597" s="2">
        <f>HYPERLINK("http://mcb-m6.bioreg.kyushu-u.ac.jp/M3/20110427/F51120/1363/1", 42.7)</f>
        <v>42.7</v>
      </c>
      <c r="E1597" s="2">
        <v>17.350000000000001</v>
      </c>
      <c r="F1597" s="2">
        <v>2</v>
      </c>
      <c r="G1597" s="2" t="s">
        <v>14</v>
      </c>
    </row>
    <row r="1598" spans="1:7" x14ac:dyDescent="0.2">
      <c r="A1598" s="2" t="s">
        <v>3808</v>
      </c>
      <c r="B1598" s="2" t="s">
        <v>866</v>
      </c>
      <c r="C1598" s="2">
        <v>567.38120000000004</v>
      </c>
      <c r="D1598" s="2">
        <f>HYPERLINK("http://mcb-m6.bioreg.kyushu-u.ac.jp/M3/20110421/F51014/1495/1", 59.43)</f>
        <v>59.43</v>
      </c>
      <c r="E1598" s="2">
        <v>30.95</v>
      </c>
      <c r="F1598" s="2">
        <v>2</v>
      </c>
      <c r="G1598" s="2" t="s">
        <v>11</v>
      </c>
    </row>
    <row r="1599" spans="1:7" x14ac:dyDescent="0.2">
      <c r="A1599" s="2" t="s">
        <v>3901</v>
      </c>
      <c r="B1599" s="2" t="s">
        <v>1055</v>
      </c>
      <c r="C1599" s="2">
        <v>662.6481</v>
      </c>
      <c r="D1599" s="2">
        <f>HYPERLINK("http://mcb-m6.bioreg.kyushu-u.ac.jp/M3/20110404/F50754/1823/1", 37.32)</f>
        <v>37.32</v>
      </c>
      <c r="E1599" s="2">
        <v>16.34</v>
      </c>
      <c r="F1599" s="2">
        <v>2</v>
      </c>
      <c r="G1599" s="2" t="s">
        <v>9</v>
      </c>
    </row>
    <row r="1600" spans="1:7" x14ac:dyDescent="0.2">
      <c r="A1600" s="2" t="s">
        <v>3901</v>
      </c>
      <c r="B1600" s="2" t="s">
        <v>1055</v>
      </c>
      <c r="C1600" s="2">
        <v>1324.4880000000001</v>
      </c>
      <c r="D1600" s="2">
        <f>HYPERLINK("http://mcb-m6.bioreg.kyushu-u.ac.jp/M3/20110404/F50754/1824/1", 40.32)</f>
        <v>40.32</v>
      </c>
      <c r="E1600" s="2">
        <v>28.81</v>
      </c>
      <c r="F1600" s="2">
        <v>1</v>
      </c>
      <c r="G1600" s="2" t="s">
        <v>9</v>
      </c>
    </row>
    <row r="1601" spans="1:9" x14ac:dyDescent="0.2">
      <c r="A1601" s="2" t="s">
        <v>3901</v>
      </c>
      <c r="B1601" s="2" t="s">
        <v>1055</v>
      </c>
      <c r="C1601" s="2">
        <v>663.11159999999995</v>
      </c>
      <c r="D1601" s="2">
        <f>HYPERLINK("http://mcb-m6.bioreg.kyushu-u.ac.jp/M3/20110427/F51112/1708/1", 51.07)</f>
        <v>51.07</v>
      </c>
      <c r="E1601" s="2">
        <v>39.299999999999997</v>
      </c>
      <c r="F1601" s="2">
        <v>2</v>
      </c>
      <c r="G1601" s="2" t="s">
        <v>13</v>
      </c>
    </row>
    <row r="1602" spans="1:9" x14ac:dyDescent="0.2">
      <c r="A1602" s="2" t="s">
        <v>3901</v>
      </c>
      <c r="B1602" s="2" t="s">
        <v>1055</v>
      </c>
      <c r="C1602" s="2">
        <v>663.16420000000005</v>
      </c>
      <c r="D1602" s="2">
        <f>HYPERLINK("http://mcb-m6.bioreg.kyushu-u.ac.jp/M3/20110427/F51122/1825/1", 59.1)</f>
        <v>59.1</v>
      </c>
      <c r="E1602" s="2">
        <v>40.51</v>
      </c>
      <c r="F1602" s="2">
        <v>2</v>
      </c>
      <c r="G1602" s="2" t="s">
        <v>14</v>
      </c>
    </row>
    <row r="1603" spans="1:9" x14ac:dyDescent="0.2">
      <c r="A1603" s="2" t="s">
        <v>7953</v>
      </c>
      <c r="B1603" s="2" t="s">
        <v>7157</v>
      </c>
      <c r="C1603" s="2">
        <v>784.39070000000004</v>
      </c>
      <c r="D1603" s="2">
        <f>HYPERLINK("http://mcb-m6.bioreg.kyushu-u.ac.jp/M3/20110421/F51023/2281/1", 35.67)</f>
        <v>35.67</v>
      </c>
      <c r="E1603" s="2">
        <v>12.16</v>
      </c>
      <c r="F1603" s="2">
        <v>2</v>
      </c>
      <c r="G1603" s="2" t="s">
        <v>12</v>
      </c>
      <c r="H1603" s="2" t="s">
        <v>8144</v>
      </c>
    </row>
    <row r="1604" spans="1:9" x14ac:dyDescent="0.2">
      <c r="A1604" s="2" t="s">
        <v>3947</v>
      </c>
      <c r="B1604" s="2" t="s">
        <v>1148</v>
      </c>
      <c r="C1604" s="2">
        <v>838.10969999999998</v>
      </c>
      <c r="D1604" s="2">
        <f>HYPERLINK("http://mcb-m6.bioreg.kyushu-u.ac.jp/M3/20110421/F51014/2489/1", 65.56)</f>
        <v>65.56</v>
      </c>
      <c r="E1604" s="2">
        <v>54.73</v>
      </c>
      <c r="F1604" s="2">
        <v>2</v>
      </c>
      <c r="G1604" s="2" t="s">
        <v>11</v>
      </c>
    </row>
    <row r="1605" spans="1:9" x14ac:dyDescent="0.2">
      <c r="A1605" s="2" t="s">
        <v>3947</v>
      </c>
      <c r="B1605" s="2" t="s">
        <v>1148</v>
      </c>
      <c r="C1605" s="2">
        <v>838.59770000000003</v>
      </c>
      <c r="D1605" s="2">
        <f>HYPERLINK("http://mcb-m6.bioreg.kyushu-u.ac.jp/M3/20110421/F51021/2629/1", 35.89)</f>
        <v>35.89</v>
      </c>
      <c r="E1605" s="2">
        <v>23.74</v>
      </c>
      <c r="F1605" s="2">
        <v>2</v>
      </c>
      <c r="G1605" s="2" t="s">
        <v>12</v>
      </c>
    </row>
    <row r="1606" spans="1:9" x14ac:dyDescent="0.2">
      <c r="A1606" s="2" t="s">
        <v>3947</v>
      </c>
      <c r="B1606" s="2" t="s">
        <v>1148</v>
      </c>
      <c r="C1606" s="2">
        <v>838.26670000000001</v>
      </c>
      <c r="D1606" s="2">
        <f>HYPERLINK("http://mcb-m6.bioreg.kyushu-u.ac.jp/M3/20110427/F51108/2404/1", 72.21)</f>
        <v>72.209999999999994</v>
      </c>
      <c r="E1606" s="2">
        <v>48.88</v>
      </c>
      <c r="F1606" s="2">
        <v>2</v>
      </c>
      <c r="G1606" s="2" t="s">
        <v>13</v>
      </c>
    </row>
    <row r="1607" spans="1:9" x14ac:dyDescent="0.2">
      <c r="A1607" s="2" t="s">
        <v>7997</v>
      </c>
      <c r="B1607" s="2" t="s">
        <v>7216</v>
      </c>
      <c r="C1607" s="2">
        <v>495.59410000000003</v>
      </c>
      <c r="D1607" s="2">
        <f>HYPERLINK("http://mcb-m6.bioreg.kyushu-u.ac.jp/M3/20110421/F51021/802/1", 47.75)</f>
        <v>47.75</v>
      </c>
      <c r="E1607" s="2">
        <v>13.98</v>
      </c>
      <c r="F1607" s="2">
        <v>2</v>
      </c>
      <c r="G1607" s="2" t="s">
        <v>12</v>
      </c>
      <c r="H1607" s="2" t="s">
        <v>4908</v>
      </c>
    </row>
    <row r="1608" spans="1:9" x14ac:dyDescent="0.2">
      <c r="A1608" s="2" t="s">
        <v>8016</v>
      </c>
      <c r="B1608" s="2" t="s">
        <v>7264</v>
      </c>
      <c r="C1608" s="2">
        <v>700.86019999999996</v>
      </c>
      <c r="D1608" s="2">
        <f>HYPERLINK("http://mcb-m6.bioreg.kyushu-u.ac.jp/M3/20110421/F51021/1853/1", 77.06)</f>
        <v>77.06</v>
      </c>
      <c r="E1608" s="2">
        <v>50.11</v>
      </c>
      <c r="F1608" s="2">
        <v>2</v>
      </c>
      <c r="G1608" s="2" t="s">
        <v>12</v>
      </c>
    </row>
    <row r="1609" spans="1:9" x14ac:dyDescent="0.2">
      <c r="A1609" s="2" t="s">
        <v>7846</v>
      </c>
      <c r="B1609" s="2" t="s">
        <v>6821</v>
      </c>
      <c r="C1609" s="2">
        <v>846.37919999999997</v>
      </c>
      <c r="D1609" s="2">
        <f>HYPERLINK("http://mcb-m6.bioreg.kyushu-u.ac.jp/M3/20110404/F50758/2271/1", 46)</f>
        <v>46</v>
      </c>
      <c r="E1609" s="2">
        <v>27.51</v>
      </c>
      <c r="F1609" s="2">
        <v>2</v>
      </c>
      <c r="G1609" s="2" t="s">
        <v>10</v>
      </c>
    </row>
    <row r="1610" spans="1:9" x14ac:dyDescent="0.2">
      <c r="A1610" s="2" t="s">
        <v>7846</v>
      </c>
      <c r="B1610" s="2" t="s">
        <v>7255</v>
      </c>
      <c r="C1610" s="2">
        <v>896.33219999999994</v>
      </c>
      <c r="D1610" s="2">
        <f>HYPERLINK("http://mcb-m6.bioreg.kyushu-u.ac.jp/M3/20110421/F51022/2234/1", 67.4)</f>
        <v>67.400000000000006</v>
      </c>
      <c r="E1610" s="2">
        <v>54.24</v>
      </c>
      <c r="F1610" s="2">
        <v>2</v>
      </c>
      <c r="G1610" s="2" t="s">
        <v>12</v>
      </c>
      <c r="I1610" s="2" t="s">
        <v>8145</v>
      </c>
    </row>
    <row r="1611" spans="1:9" x14ac:dyDescent="0.2">
      <c r="A1611" s="2" t="s">
        <v>7846</v>
      </c>
      <c r="B1611" s="2" t="s">
        <v>7471</v>
      </c>
      <c r="C1611" s="2">
        <v>725.19870000000003</v>
      </c>
      <c r="D1611" s="2">
        <f>HYPERLINK("http://mcb-m6.bioreg.kyushu-u.ac.jp/M3/20110427/F51120/2023/1", 38.95)</f>
        <v>38.950000000000003</v>
      </c>
      <c r="E1611" s="2">
        <v>23</v>
      </c>
      <c r="F1611" s="2">
        <v>2</v>
      </c>
      <c r="G1611" s="2" t="s">
        <v>14</v>
      </c>
      <c r="I1611" s="2" t="s">
        <v>5901</v>
      </c>
    </row>
    <row r="1612" spans="1:9" x14ac:dyDescent="0.2">
      <c r="A1612" s="2" t="s">
        <v>4862</v>
      </c>
      <c r="B1612" s="2" t="s">
        <v>3152</v>
      </c>
      <c r="C1612" s="2">
        <v>963.99220000000003</v>
      </c>
      <c r="D1612" s="2">
        <f>HYPERLINK("http://mcb-m6.bioreg.kyushu-u.ac.jp/M3/20110404/F50772/2778/1", 64.99)</f>
        <v>64.989999999999995</v>
      </c>
      <c r="E1612" s="2">
        <v>52.33</v>
      </c>
      <c r="F1612" s="2">
        <v>2</v>
      </c>
      <c r="G1612" s="2" t="s">
        <v>10</v>
      </c>
    </row>
    <row r="1613" spans="1:9" x14ac:dyDescent="0.2">
      <c r="A1613" s="2" t="s">
        <v>4862</v>
      </c>
      <c r="B1613" s="2" t="s">
        <v>7472</v>
      </c>
      <c r="C1613" s="2">
        <v>652.5847</v>
      </c>
      <c r="D1613" s="2">
        <f>HYPERLINK("http://mcb-m6.bioreg.kyushu-u.ac.jp/M3/20110427/F51125/1734/1", 39.13)</f>
        <v>39.130000000000003</v>
      </c>
      <c r="E1613" s="2">
        <v>21.71</v>
      </c>
      <c r="F1613" s="2">
        <v>2</v>
      </c>
      <c r="G1613" s="2" t="s">
        <v>14</v>
      </c>
    </row>
    <row r="1614" spans="1:9" x14ac:dyDescent="0.2">
      <c r="A1614" s="2" t="s">
        <v>7950</v>
      </c>
      <c r="B1614" s="2" t="s">
        <v>7153</v>
      </c>
      <c r="C1614" s="2">
        <v>467.64609999999999</v>
      </c>
      <c r="D1614" s="2">
        <f>HYPERLINK("http://mcb-m6.bioreg.kyushu-u.ac.jp/M3/20110421/F51021/697/1", 35.26)</f>
        <v>35.26</v>
      </c>
      <c r="E1614" s="2">
        <v>15.06</v>
      </c>
      <c r="F1614" s="2">
        <v>2</v>
      </c>
      <c r="G1614" s="2" t="s">
        <v>12</v>
      </c>
      <c r="I1614" s="2" t="s">
        <v>4899</v>
      </c>
    </row>
    <row r="1615" spans="1:9" x14ac:dyDescent="0.2">
      <c r="A1615" s="2" t="s">
        <v>7950</v>
      </c>
      <c r="B1615" s="2" t="s">
        <v>7153</v>
      </c>
      <c r="C1615" s="2">
        <v>468.04559999999998</v>
      </c>
      <c r="D1615" s="2">
        <f>HYPERLINK("http://mcb-m6.bioreg.kyushu-u.ac.jp/M3/20110427/F51118/1273/1", 39.23)</f>
        <v>39.229999999999997</v>
      </c>
      <c r="E1615" s="2">
        <v>18.87</v>
      </c>
      <c r="F1615" s="2">
        <v>2</v>
      </c>
      <c r="G1615" s="2" t="s">
        <v>14</v>
      </c>
      <c r="I1615" s="2" t="s">
        <v>4899</v>
      </c>
    </row>
    <row r="1616" spans="1:9" x14ac:dyDescent="0.2">
      <c r="A1616" s="2" t="s">
        <v>7950</v>
      </c>
      <c r="B1616" s="2" t="s">
        <v>7153</v>
      </c>
      <c r="C1616" s="2">
        <v>468.0711</v>
      </c>
      <c r="D1616" s="2">
        <f>HYPERLINK("http://mcb-m6.bioreg.kyushu-u.ac.jp/M3/20110427/F51120/1199/1", 54.13)</f>
        <v>54.13</v>
      </c>
      <c r="E1616" s="2">
        <v>28.94</v>
      </c>
      <c r="F1616" s="2">
        <v>2</v>
      </c>
      <c r="G1616" s="2" t="s">
        <v>14</v>
      </c>
      <c r="I1616" s="2" t="s">
        <v>4899</v>
      </c>
    </row>
    <row r="1617" spans="1:9" x14ac:dyDescent="0.2">
      <c r="A1617" s="2" t="s">
        <v>3897</v>
      </c>
      <c r="B1617" s="2" t="s">
        <v>1044</v>
      </c>
      <c r="C1617" s="2">
        <v>883.66560000000004</v>
      </c>
      <c r="D1617" s="2">
        <f>HYPERLINK("http://mcb-m6.bioreg.kyushu-u.ac.jp/M3/20110404/F50753/2539/1", 45.35)</f>
        <v>45.35</v>
      </c>
      <c r="E1617" s="2">
        <v>33.24</v>
      </c>
      <c r="F1617" s="2">
        <v>2</v>
      </c>
      <c r="G1617" s="2" t="s">
        <v>9</v>
      </c>
    </row>
    <row r="1618" spans="1:9" x14ac:dyDescent="0.2">
      <c r="A1618" s="2" t="s">
        <v>3897</v>
      </c>
      <c r="B1618" s="2" t="s">
        <v>1044</v>
      </c>
      <c r="C1618" s="2">
        <v>884.26670000000001</v>
      </c>
      <c r="D1618" s="2">
        <f>HYPERLINK("http://mcb-m6.bioreg.kyushu-u.ac.jp/M3/20110404/F50753/2541/1", 75.67)</f>
        <v>75.67</v>
      </c>
      <c r="E1618" s="2">
        <v>47.86</v>
      </c>
      <c r="F1618" s="2">
        <v>2</v>
      </c>
      <c r="G1618" s="2" t="s">
        <v>9</v>
      </c>
    </row>
    <row r="1619" spans="1:9" x14ac:dyDescent="0.2">
      <c r="A1619" s="2" t="s">
        <v>3897</v>
      </c>
      <c r="B1619" s="2" t="s">
        <v>1044</v>
      </c>
      <c r="C1619" s="2">
        <v>884.25819999999999</v>
      </c>
      <c r="D1619" s="2">
        <f>HYPERLINK("http://mcb-m6.bioreg.kyushu-u.ac.jp/M3/20110404/F50757/2389/1", 54.99)</f>
        <v>54.99</v>
      </c>
      <c r="E1619" s="2">
        <v>33.31</v>
      </c>
      <c r="F1619" s="2">
        <v>2</v>
      </c>
      <c r="G1619" s="2" t="s">
        <v>10</v>
      </c>
    </row>
    <row r="1620" spans="1:9" x14ac:dyDescent="0.2">
      <c r="A1620" s="2" t="s">
        <v>3897</v>
      </c>
      <c r="B1620" s="2" t="s">
        <v>1044</v>
      </c>
      <c r="C1620" s="2">
        <v>883.79219999999998</v>
      </c>
      <c r="D1620" s="2">
        <f>HYPERLINK("http://mcb-m6.bioreg.kyushu-u.ac.jp/M3/20110421/F51017/2773/1", 50.39)</f>
        <v>50.39</v>
      </c>
      <c r="E1620" s="2">
        <v>36.549999999999997</v>
      </c>
      <c r="F1620" s="2">
        <v>2</v>
      </c>
      <c r="G1620" s="2" t="s">
        <v>11</v>
      </c>
    </row>
    <row r="1621" spans="1:9" x14ac:dyDescent="0.2">
      <c r="A1621" s="2" t="s">
        <v>3897</v>
      </c>
      <c r="B1621" s="2" t="s">
        <v>1044</v>
      </c>
      <c r="C1621" s="2">
        <v>883.76009999999997</v>
      </c>
      <c r="D1621" s="2">
        <f>HYPERLINK("http://mcb-m6.bioreg.kyushu-u.ac.jp/M3/20110427/F51110/2711/1", 39.38)</f>
        <v>39.380000000000003</v>
      </c>
      <c r="E1621" s="2">
        <v>26.15</v>
      </c>
      <c r="F1621" s="2">
        <v>2</v>
      </c>
      <c r="G1621" s="2" t="s">
        <v>13</v>
      </c>
    </row>
    <row r="1622" spans="1:9" x14ac:dyDescent="0.2">
      <c r="A1622" s="2" t="s">
        <v>3897</v>
      </c>
      <c r="B1622" s="2" t="s">
        <v>1044</v>
      </c>
      <c r="C1622" s="2">
        <v>884.27120000000002</v>
      </c>
      <c r="D1622" s="2">
        <f>HYPERLINK("http://mcb-m6.bioreg.kyushu-u.ac.jp/M3/20110427/F51111/2775/1", 51.82)</f>
        <v>51.82</v>
      </c>
      <c r="E1622" s="2">
        <v>25.22</v>
      </c>
      <c r="F1622" s="2">
        <v>2</v>
      </c>
      <c r="G1622" s="2" t="s">
        <v>13</v>
      </c>
    </row>
    <row r="1623" spans="1:9" x14ac:dyDescent="0.2">
      <c r="A1623" s="2" t="s">
        <v>3897</v>
      </c>
      <c r="B1623" s="2" t="s">
        <v>1044</v>
      </c>
      <c r="C1623" s="2">
        <v>884.27470000000005</v>
      </c>
      <c r="D1623" s="2">
        <f>HYPERLINK("http://mcb-m6.bioreg.kyushu-u.ac.jp/M3/20110427/F51110/2712/1", 60.19)</f>
        <v>60.19</v>
      </c>
      <c r="E1623" s="2">
        <v>39.89</v>
      </c>
      <c r="F1623" s="2">
        <v>2</v>
      </c>
      <c r="G1623" s="2" t="s">
        <v>13</v>
      </c>
    </row>
    <row r="1624" spans="1:9" x14ac:dyDescent="0.2">
      <c r="A1624" s="2" t="s">
        <v>3897</v>
      </c>
      <c r="B1624" s="2" t="s">
        <v>1044</v>
      </c>
      <c r="C1624" s="2">
        <v>883.73519999999996</v>
      </c>
      <c r="D1624" s="2">
        <f>HYPERLINK("http://mcb-m6.bioreg.kyushu-u.ac.jp/M3/20110427/F51111/2774/1", 65.66)</f>
        <v>65.66</v>
      </c>
      <c r="E1624" s="2">
        <v>52.97</v>
      </c>
      <c r="F1624" s="2">
        <v>2</v>
      </c>
      <c r="G1624" s="2" t="s">
        <v>13</v>
      </c>
    </row>
    <row r="1625" spans="1:9" x14ac:dyDescent="0.2">
      <c r="A1625" s="2" t="s">
        <v>8061</v>
      </c>
      <c r="B1625" s="2" t="s">
        <v>7362</v>
      </c>
      <c r="C1625" s="2">
        <v>495.7971</v>
      </c>
      <c r="D1625" s="2">
        <f>HYPERLINK("http://mcb-m6.bioreg.kyushu-u.ac.jp/M3/20110427/F51111/1070/1", 46.69)</f>
        <v>46.69</v>
      </c>
      <c r="E1625" s="2">
        <v>6.99</v>
      </c>
      <c r="F1625" s="2">
        <v>2</v>
      </c>
      <c r="G1625" s="2" t="s">
        <v>13</v>
      </c>
      <c r="I1625" s="2" t="s">
        <v>4890</v>
      </c>
    </row>
    <row r="1626" spans="1:9" x14ac:dyDescent="0.2">
      <c r="A1626" s="2" t="s">
        <v>7604</v>
      </c>
      <c r="B1626" s="2" t="s">
        <v>6096</v>
      </c>
      <c r="C1626" s="2">
        <v>558.69680000000005</v>
      </c>
      <c r="D1626" s="2">
        <f>HYPERLINK("http://mcb-m6.bioreg.kyushu-u.ac.jp/M3/20110404/F50765/2253/1", 42.07)</f>
        <v>42.07</v>
      </c>
      <c r="E1626" s="2">
        <v>13.98</v>
      </c>
      <c r="F1626" s="2">
        <v>3</v>
      </c>
      <c r="G1626" s="2" t="s">
        <v>9</v>
      </c>
    </row>
    <row r="1627" spans="1:9" x14ac:dyDescent="0.2">
      <c r="A1627" s="2" t="s">
        <v>7604</v>
      </c>
      <c r="B1627" s="2" t="s">
        <v>6096</v>
      </c>
      <c r="C1627" s="2">
        <v>558.78890000000001</v>
      </c>
      <c r="D1627" s="2">
        <f>HYPERLINK("http://mcb-m6.bioreg.kyushu-u.ac.jp/M3/20110404/F50765/2254/1", 46.41)</f>
        <v>46.41</v>
      </c>
      <c r="E1627" s="2">
        <v>11.25</v>
      </c>
      <c r="F1627" s="2">
        <v>3</v>
      </c>
      <c r="G1627" s="2" t="s">
        <v>9</v>
      </c>
    </row>
    <row r="1628" spans="1:9" x14ac:dyDescent="0.2">
      <c r="A1628" s="2" t="s">
        <v>3971</v>
      </c>
      <c r="B1628" s="2" t="s">
        <v>6255</v>
      </c>
      <c r="C1628" s="2">
        <v>1009.552</v>
      </c>
      <c r="D1628" s="2">
        <f>HYPERLINK("http://mcb-m6.bioreg.kyushu-u.ac.jp/M3/20110404/F50752/1376/1", 49.54)</f>
        <v>49.54</v>
      </c>
      <c r="E1628" s="2">
        <v>37.53</v>
      </c>
      <c r="F1628" s="2">
        <v>1</v>
      </c>
      <c r="G1628" s="2" t="s">
        <v>9</v>
      </c>
    </row>
    <row r="1629" spans="1:9" x14ac:dyDescent="0.2">
      <c r="A1629" s="2" t="s">
        <v>3971</v>
      </c>
      <c r="B1629" s="2" t="s">
        <v>1368</v>
      </c>
      <c r="C1629" s="2">
        <v>833.9452</v>
      </c>
      <c r="D1629" s="2">
        <f>HYPERLINK("http://mcb-m6.bioreg.kyushu-u.ac.jp/M3/20110404/F50752/2395/1", 69.4)</f>
        <v>69.400000000000006</v>
      </c>
      <c r="E1629" s="2">
        <v>49.47</v>
      </c>
      <c r="F1629" s="2">
        <v>2</v>
      </c>
      <c r="G1629" s="2" t="s">
        <v>9</v>
      </c>
    </row>
    <row r="1630" spans="1:9" x14ac:dyDescent="0.2">
      <c r="A1630" s="2" t="s">
        <v>3971</v>
      </c>
      <c r="B1630" s="2" t="s">
        <v>1447</v>
      </c>
      <c r="C1630" s="2">
        <v>773.2527</v>
      </c>
      <c r="D1630" s="2">
        <f>HYPERLINK("http://mcb-m6.bioreg.kyushu-u.ac.jp/M3/20110404/F50752/2216/1", 92.14)</f>
        <v>92.14</v>
      </c>
      <c r="E1630" s="2">
        <v>74.510000000000005</v>
      </c>
      <c r="F1630" s="2">
        <v>2</v>
      </c>
      <c r="G1630" s="2" t="s">
        <v>9</v>
      </c>
    </row>
    <row r="1631" spans="1:9" x14ac:dyDescent="0.2">
      <c r="A1631" s="2" t="s">
        <v>3971</v>
      </c>
      <c r="B1631" s="2" t="s">
        <v>1209</v>
      </c>
      <c r="C1631" s="2">
        <v>933.28859999999997</v>
      </c>
      <c r="D1631" s="2">
        <f>HYPERLINK("http://mcb-m6.bioreg.kyushu-u.ac.jp/M3/20110404/F50758/2541/1", 57.72)</f>
        <v>57.72</v>
      </c>
      <c r="E1631" s="2">
        <v>46.75</v>
      </c>
      <c r="F1631" s="2">
        <v>2</v>
      </c>
      <c r="G1631" s="2" t="s">
        <v>10</v>
      </c>
      <c r="I1631" s="2" t="s">
        <v>4933</v>
      </c>
    </row>
    <row r="1632" spans="1:9" x14ac:dyDescent="0.2">
      <c r="A1632" s="2" t="s">
        <v>3971</v>
      </c>
      <c r="B1632" s="2" t="s">
        <v>5343</v>
      </c>
      <c r="C1632" s="2">
        <v>1011.0650000000001</v>
      </c>
      <c r="D1632" s="2">
        <f>HYPERLINK("http://mcb-m6.bioreg.kyushu-u.ac.jp/M3/20110421/F51017/3235/1", 76.02)</f>
        <v>76.02</v>
      </c>
      <c r="E1632" s="2">
        <v>65.680000000000007</v>
      </c>
      <c r="F1632" s="2">
        <v>2</v>
      </c>
      <c r="G1632" s="2" t="s">
        <v>11</v>
      </c>
      <c r="H1632" s="2" t="s">
        <v>4901</v>
      </c>
    </row>
    <row r="1633" spans="1:9" x14ac:dyDescent="0.2">
      <c r="A1633" s="2" t="s">
        <v>3971</v>
      </c>
      <c r="B1633" s="2" t="s">
        <v>1447</v>
      </c>
      <c r="C1633" s="2">
        <v>773.71259999999995</v>
      </c>
      <c r="D1633" s="2">
        <f>HYPERLINK("http://mcb-m6.bioreg.kyushu-u.ac.jp/M3/20110427/F51110/2316/1", 58.42)</f>
        <v>58.42</v>
      </c>
      <c r="E1633" s="2">
        <v>32.97</v>
      </c>
      <c r="F1633" s="2">
        <v>2</v>
      </c>
      <c r="G1633" s="2" t="s">
        <v>13</v>
      </c>
    </row>
    <row r="1634" spans="1:9" x14ac:dyDescent="0.2">
      <c r="A1634" s="2" t="s">
        <v>7941</v>
      </c>
      <c r="B1634" s="2" t="s">
        <v>7129</v>
      </c>
      <c r="C1634" s="2">
        <v>599.84010000000001</v>
      </c>
      <c r="D1634" s="2">
        <f>HYPERLINK("http://mcb-m6.bioreg.kyushu-u.ac.jp/M3/20110421/F51016/1728/1", 59.29)</f>
        <v>59.29</v>
      </c>
      <c r="E1634" s="2">
        <v>25.7</v>
      </c>
      <c r="F1634" s="2">
        <v>2</v>
      </c>
      <c r="G1634" s="2" t="s">
        <v>11</v>
      </c>
      <c r="I1634" s="2" t="s">
        <v>4898</v>
      </c>
    </row>
    <row r="1635" spans="1:9" x14ac:dyDescent="0.2">
      <c r="A1635" s="2" t="s">
        <v>8058</v>
      </c>
      <c r="B1635" s="2" t="s">
        <v>7350</v>
      </c>
      <c r="C1635" s="2">
        <v>530.60310000000004</v>
      </c>
      <c r="D1635" s="2">
        <f>HYPERLINK("http://mcb-m6.bioreg.kyushu-u.ac.jp/M3/20110427/F51110/1433/1", 45.21)</f>
        <v>45.21</v>
      </c>
      <c r="E1635" s="2">
        <v>18.14</v>
      </c>
      <c r="F1635" s="2">
        <v>2</v>
      </c>
      <c r="G1635" s="2" t="s">
        <v>13</v>
      </c>
      <c r="I1635" s="2" t="s">
        <v>4893</v>
      </c>
    </row>
    <row r="1636" spans="1:9" x14ac:dyDescent="0.2">
      <c r="A1636" s="2" t="s">
        <v>7729</v>
      </c>
      <c r="B1636" s="2" t="s">
        <v>6453</v>
      </c>
      <c r="C1636" s="2">
        <v>855.75519999999995</v>
      </c>
      <c r="D1636" s="2">
        <f>HYPERLINK("http://mcb-m6.bioreg.kyushu-u.ac.jp/M3/20110404/F50754/2467/1", 65.93)</f>
        <v>65.930000000000007</v>
      </c>
      <c r="E1636" s="2">
        <v>46.07</v>
      </c>
      <c r="F1636" s="2">
        <v>2</v>
      </c>
      <c r="G1636" s="2" t="s">
        <v>9</v>
      </c>
      <c r="I1636" s="2" t="s">
        <v>4903</v>
      </c>
    </row>
    <row r="1637" spans="1:9" x14ac:dyDescent="0.2">
      <c r="A1637" s="2" t="s">
        <v>4087</v>
      </c>
      <c r="B1637" s="2" t="s">
        <v>1522</v>
      </c>
      <c r="C1637" s="2">
        <v>1262.5840000000001</v>
      </c>
      <c r="D1637" s="2">
        <f>HYPERLINK("http://mcb-m6.bioreg.kyushu-u.ac.jp/M3/20110404/F50754/1740/1", 38.59)</f>
        <v>38.590000000000003</v>
      </c>
      <c r="E1637" s="2">
        <v>10.39</v>
      </c>
      <c r="F1637" s="2">
        <v>1</v>
      </c>
      <c r="G1637" s="2" t="s">
        <v>9</v>
      </c>
      <c r="I1637" s="2" t="s">
        <v>4893</v>
      </c>
    </row>
    <row r="1638" spans="1:9" x14ac:dyDescent="0.2">
      <c r="A1638" s="2" t="s">
        <v>4087</v>
      </c>
      <c r="B1638" s="2" t="s">
        <v>1522</v>
      </c>
      <c r="C1638" s="2">
        <v>1261.441</v>
      </c>
      <c r="D1638" s="2">
        <f>HYPERLINK("http://mcb-m6.bioreg.kyushu-u.ac.jp/M3/20110404/F50754/1737/1", 41.35)</f>
        <v>41.35</v>
      </c>
      <c r="E1638" s="2">
        <v>22.41</v>
      </c>
      <c r="F1638" s="2">
        <v>1</v>
      </c>
      <c r="G1638" s="2" t="s">
        <v>9</v>
      </c>
      <c r="I1638" s="2" t="s">
        <v>4893</v>
      </c>
    </row>
    <row r="1639" spans="1:9" x14ac:dyDescent="0.2">
      <c r="A1639" s="2" t="s">
        <v>4087</v>
      </c>
      <c r="B1639" s="2" t="s">
        <v>1522</v>
      </c>
      <c r="C1639" s="2">
        <v>631.69619999999998</v>
      </c>
      <c r="D1639" s="2">
        <f>HYPERLINK("http://mcb-m6.bioreg.kyushu-u.ac.jp/M3/20110404/F50754/1739/1", 68.24)</f>
        <v>68.239999999999995</v>
      </c>
      <c r="E1639" s="2">
        <v>26.31</v>
      </c>
      <c r="F1639" s="2">
        <v>2</v>
      </c>
      <c r="G1639" s="2" t="s">
        <v>9</v>
      </c>
      <c r="I1639" s="2" t="s">
        <v>4893</v>
      </c>
    </row>
    <row r="1640" spans="1:9" x14ac:dyDescent="0.2">
      <c r="A1640" s="2" t="s">
        <v>4087</v>
      </c>
      <c r="B1640" s="2" t="s">
        <v>6522</v>
      </c>
      <c r="C1640" s="2">
        <v>1240.308</v>
      </c>
      <c r="D1640" s="2">
        <f>HYPERLINK("http://mcb-m6.bioreg.kyushu-u.ac.jp/M3/20110404/F50754/3208/1", 74.28)</f>
        <v>74.28</v>
      </c>
      <c r="E1640" s="2">
        <v>61.69</v>
      </c>
      <c r="F1640" s="2">
        <v>2</v>
      </c>
      <c r="G1640" s="2" t="s">
        <v>9</v>
      </c>
      <c r="I1640" s="2" t="s">
        <v>4935</v>
      </c>
    </row>
    <row r="1641" spans="1:9" x14ac:dyDescent="0.2">
      <c r="A1641" s="2" t="s">
        <v>4087</v>
      </c>
      <c r="B1641" s="2" t="s">
        <v>1655</v>
      </c>
      <c r="C1641" s="2">
        <v>1037.7550000000001</v>
      </c>
      <c r="D1641" s="2">
        <f>HYPERLINK("http://mcb-m6.bioreg.kyushu-u.ac.jp/M3/20110404/F50755/3050/1", 77)</f>
        <v>77</v>
      </c>
      <c r="E1641" s="2">
        <v>60.11</v>
      </c>
      <c r="F1641" s="2">
        <v>2</v>
      </c>
      <c r="G1641" s="2" t="s">
        <v>9</v>
      </c>
    </row>
    <row r="1642" spans="1:9" x14ac:dyDescent="0.2">
      <c r="A1642" s="2" t="s">
        <v>4087</v>
      </c>
      <c r="B1642" s="2" t="s">
        <v>1522</v>
      </c>
      <c r="C1642" s="2">
        <v>631.1816</v>
      </c>
      <c r="D1642" s="2">
        <f>HYPERLINK("http://mcb-m6.bioreg.kyushu-u.ac.jp/M3/20110404/F50754/1736/1", 88.66)</f>
        <v>88.66</v>
      </c>
      <c r="E1642" s="2">
        <v>41.71</v>
      </c>
      <c r="F1642" s="2">
        <v>2</v>
      </c>
      <c r="G1642" s="2" t="s">
        <v>9</v>
      </c>
      <c r="I1642" s="2" t="s">
        <v>4893</v>
      </c>
    </row>
    <row r="1643" spans="1:9" x14ac:dyDescent="0.2">
      <c r="A1643" s="2" t="s">
        <v>4087</v>
      </c>
      <c r="B1643" s="2" t="s">
        <v>1655</v>
      </c>
      <c r="C1643" s="2">
        <v>1038.001</v>
      </c>
      <c r="D1643" s="2">
        <f>HYPERLINK("http://mcb-m6.bioreg.kyushu-u.ac.jp/M3/20110404/F50754/2910/1", 114.13)</f>
        <v>114.13</v>
      </c>
      <c r="E1643" s="2">
        <v>90.4</v>
      </c>
      <c r="F1643" s="2">
        <v>2</v>
      </c>
      <c r="G1643" s="2" t="s">
        <v>9</v>
      </c>
    </row>
    <row r="1644" spans="1:9" x14ac:dyDescent="0.2">
      <c r="A1644" s="2" t="s">
        <v>4087</v>
      </c>
      <c r="B1644" s="2" t="s">
        <v>7094</v>
      </c>
      <c r="C1644" s="2">
        <v>683.48019999999997</v>
      </c>
      <c r="D1644" s="2">
        <f>HYPERLINK("http://mcb-m6.bioreg.kyushu-u.ac.jp/M3/20110421/F51018/1791/1", 39.91)</f>
        <v>39.909999999999997</v>
      </c>
      <c r="E1644" s="2">
        <v>20.36</v>
      </c>
      <c r="F1644" s="2">
        <v>2</v>
      </c>
      <c r="G1644" s="2" t="s">
        <v>11</v>
      </c>
    </row>
    <row r="1645" spans="1:9" x14ac:dyDescent="0.2">
      <c r="A1645" s="2" t="s">
        <v>4087</v>
      </c>
      <c r="B1645" s="2" t="s">
        <v>7094</v>
      </c>
      <c r="C1645" s="2">
        <v>691.2482</v>
      </c>
      <c r="D1645" s="2">
        <f>HYPERLINK("http://mcb-m6.bioreg.kyushu-u.ac.jp/M3/20110421/F51018/1855/1", 55.5)</f>
        <v>55.5</v>
      </c>
      <c r="E1645" s="2">
        <v>38.71</v>
      </c>
      <c r="F1645" s="2">
        <v>2</v>
      </c>
      <c r="G1645" s="2" t="s">
        <v>11</v>
      </c>
      <c r="H1645" s="2" t="s">
        <v>4891</v>
      </c>
    </row>
    <row r="1646" spans="1:9" x14ac:dyDescent="0.2">
      <c r="A1646" s="2" t="s">
        <v>4087</v>
      </c>
      <c r="B1646" s="2" t="s">
        <v>7094</v>
      </c>
      <c r="C1646" s="2">
        <v>699.92769999999996</v>
      </c>
      <c r="D1646" s="2">
        <f>HYPERLINK("http://mcb-m6.bioreg.kyushu-u.ac.jp/M3/20110421/F51018/1898/1", 57.2)</f>
        <v>57.2</v>
      </c>
      <c r="E1646" s="2">
        <v>42.56</v>
      </c>
      <c r="F1646" s="2">
        <v>2</v>
      </c>
      <c r="G1646" s="2" t="s">
        <v>11</v>
      </c>
      <c r="H1646" s="2" t="s">
        <v>8143</v>
      </c>
    </row>
    <row r="1647" spans="1:9" x14ac:dyDescent="0.2">
      <c r="A1647" s="2" t="s">
        <v>4087</v>
      </c>
      <c r="B1647" s="2" t="s">
        <v>1522</v>
      </c>
      <c r="C1647" s="2">
        <v>631.17610000000002</v>
      </c>
      <c r="D1647" s="2">
        <f>HYPERLINK("http://mcb-m6.bioreg.kyushu-u.ac.jp/M3/20110421/F51018/1614/1", 82.65)</f>
        <v>82.65</v>
      </c>
      <c r="E1647" s="2">
        <v>42.79</v>
      </c>
      <c r="F1647" s="2">
        <v>2</v>
      </c>
      <c r="G1647" s="2" t="s">
        <v>11</v>
      </c>
      <c r="I1647" s="2" t="s">
        <v>4893</v>
      </c>
    </row>
    <row r="1648" spans="1:9" x14ac:dyDescent="0.2">
      <c r="A1648" s="2" t="s">
        <v>4087</v>
      </c>
      <c r="B1648" s="2" t="s">
        <v>1655</v>
      </c>
      <c r="C1648" s="2">
        <v>1038.2660000000001</v>
      </c>
      <c r="D1648" s="2">
        <f>HYPERLINK("http://mcb-m6.bioreg.kyushu-u.ac.jp/M3/20110421/F51018/3087/1", 105.02)</f>
        <v>105.02</v>
      </c>
      <c r="E1648" s="2">
        <v>87.89</v>
      </c>
      <c r="F1648" s="2">
        <v>2</v>
      </c>
      <c r="G1648" s="2" t="s">
        <v>11</v>
      </c>
    </row>
    <row r="1649" spans="1:9" x14ac:dyDescent="0.2">
      <c r="A1649" s="2" t="s">
        <v>4087</v>
      </c>
      <c r="B1649" s="2" t="s">
        <v>2877</v>
      </c>
      <c r="C1649" s="2">
        <v>974.16700000000003</v>
      </c>
      <c r="D1649" s="2">
        <f>HYPERLINK("http://mcb-m6.bioreg.kyushu-u.ac.jp/M3/20110427/F51112/990/1", 36.88)</f>
        <v>36.880000000000003</v>
      </c>
      <c r="E1649" s="2">
        <v>22.59</v>
      </c>
      <c r="F1649" s="2">
        <v>1</v>
      </c>
      <c r="G1649" s="2" t="s">
        <v>13</v>
      </c>
    </row>
    <row r="1650" spans="1:9" x14ac:dyDescent="0.2">
      <c r="A1650" s="2" t="s">
        <v>4087</v>
      </c>
      <c r="B1650" s="2" t="s">
        <v>1655</v>
      </c>
      <c r="C1650" s="2">
        <v>1037.7270000000001</v>
      </c>
      <c r="D1650" s="2">
        <f>HYPERLINK("http://mcb-m6.bioreg.kyushu-u.ac.jp/M3/20110427/F51113/2988/1", 52.98)</f>
        <v>52.98</v>
      </c>
      <c r="E1650" s="2">
        <v>39.08</v>
      </c>
      <c r="F1650" s="2">
        <v>2</v>
      </c>
      <c r="G1650" s="2" t="s">
        <v>13</v>
      </c>
    </row>
    <row r="1651" spans="1:9" x14ac:dyDescent="0.2">
      <c r="A1651" s="2" t="s">
        <v>4087</v>
      </c>
      <c r="B1651" s="2" t="s">
        <v>6522</v>
      </c>
      <c r="C1651" s="2">
        <v>1240.346</v>
      </c>
      <c r="D1651" s="2">
        <f>HYPERLINK("http://mcb-m6.bioreg.kyushu-u.ac.jp/M3/20110427/F51112/3474/1", 57.05)</f>
        <v>57.05</v>
      </c>
      <c r="E1651" s="2">
        <v>47.37</v>
      </c>
      <c r="F1651" s="2">
        <v>2</v>
      </c>
      <c r="G1651" s="2" t="s">
        <v>13</v>
      </c>
      <c r="I1651" s="2" t="s">
        <v>4935</v>
      </c>
    </row>
    <row r="1652" spans="1:9" x14ac:dyDescent="0.2">
      <c r="A1652" s="2" t="s">
        <v>4087</v>
      </c>
      <c r="B1652" s="2" t="s">
        <v>1522</v>
      </c>
      <c r="C1652" s="2">
        <v>631.20619999999997</v>
      </c>
      <c r="D1652" s="2">
        <f>HYPERLINK("http://mcb-m6.bioreg.kyushu-u.ac.jp/M3/20110427/F51112/1616/1", 88.64)</f>
        <v>88.64</v>
      </c>
      <c r="E1652" s="2">
        <v>47.06</v>
      </c>
      <c r="F1652" s="2">
        <v>2</v>
      </c>
      <c r="G1652" s="2" t="s">
        <v>13</v>
      </c>
      <c r="I1652" s="2" t="s">
        <v>4893</v>
      </c>
    </row>
    <row r="1653" spans="1:9" x14ac:dyDescent="0.2">
      <c r="A1653" s="2" t="s">
        <v>4087</v>
      </c>
      <c r="B1653" s="2" t="s">
        <v>7094</v>
      </c>
      <c r="C1653" s="2">
        <v>683.58870000000002</v>
      </c>
      <c r="D1653" s="2">
        <f>HYPERLINK("http://mcb-m6.bioreg.kyushu-u.ac.jp/M3/20110427/F51112/1790/1", 89.87)</f>
        <v>89.87</v>
      </c>
      <c r="E1653" s="2">
        <v>74.33</v>
      </c>
      <c r="F1653" s="2">
        <v>2</v>
      </c>
      <c r="G1653" s="2" t="s">
        <v>13</v>
      </c>
    </row>
    <row r="1654" spans="1:9" x14ac:dyDescent="0.2">
      <c r="A1654" s="2" t="s">
        <v>4087</v>
      </c>
      <c r="B1654" s="2" t="s">
        <v>1655</v>
      </c>
      <c r="C1654" s="2">
        <v>1038.239</v>
      </c>
      <c r="D1654" s="2">
        <f>HYPERLINK("http://mcb-m6.bioreg.kyushu-u.ac.jp/M3/20110427/F51112/3143/1", 122.59)</f>
        <v>122.59</v>
      </c>
      <c r="E1654" s="2">
        <v>104.62</v>
      </c>
      <c r="F1654" s="2">
        <v>2</v>
      </c>
      <c r="G1654" s="2" t="s">
        <v>13</v>
      </c>
    </row>
    <row r="1655" spans="1:9" x14ac:dyDescent="0.2">
      <c r="A1655" s="2" t="s">
        <v>4064</v>
      </c>
      <c r="B1655" s="2" t="s">
        <v>1438</v>
      </c>
      <c r="C1655" s="2">
        <v>792.83259999999996</v>
      </c>
      <c r="D1655" s="2">
        <f>HYPERLINK("http://mcb-m6.bioreg.kyushu-u.ac.jp/M3/20110404/F50754/2300/1", 85.27)</f>
        <v>85.27</v>
      </c>
      <c r="E1655" s="2">
        <v>68.78</v>
      </c>
      <c r="F1655" s="2">
        <v>2</v>
      </c>
      <c r="G1655" s="2" t="s">
        <v>9</v>
      </c>
      <c r="I1655" s="2" t="s">
        <v>4906</v>
      </c>
    </row>
    <row r="1656" spans="1:9" x14ac:dyDescent="0.2">
      <c r="A1656" s="2" t="s">
        <v>4064</v>
      </c>
      <c r="B1656" s="2" t="s">
        <v>1553</v>
      </c>
      <c r="C1656" s="2">
        <v>647.34310000000005</v>
      </c>
      <c r="D1656" s="2">
        <f>HYPERLINK("http://mcb-m6.bioreg.kyushu-u.ac.jp/M3/20110404/F50754/1788/1", 116.5)</f>
        <v>116.5</v>
      </c>
      <c r="E1656" s="2">
        <v>90.63</v>
      </c>
      <c r="F1656" s="2">
        <v>2</v>
      </c>
      <c r="G1656" s="2" t="s">
        <v>9</v>
      </c>
    </row>
    <row r="1657" spans="1:9" x14ac:dyDescent="0.2">
      <c r="A1657" s="2" t="s">
        <v>4064</v>
      </c>
      <c r="B1657" s="2" t="s">
        <v>1438</v>
      </c>
      <c r="C1657" s="2">
        <v>792.76170000000002</v>
      </c>
      <c r="D1657" s="2">
        <f>HYPERLINK("http://mcb-m6.bioreg.kyushu-u.ac.jp/M3/20110421/F51021/2366/1", 55.98)</f>
        <v>55.98</v>
      </c>
      <c r="E1657" s="2">
        <v>41</v>
      </c>
      <c r="F1657" s="2">
        <v>2</v>
      </c>
      <c r="G1657" s="2" t="s">
        <v>12</v>
      </c>
      <c r="I1657" s="2" t="s">
        <v>4906</v>
      </c>
    </row>
    <row r="1658" spans="1:9" x14ac:dyDescent="0.2">
      <c r="A1658" s="2" t="s">
        <v>4064</v>
      </c>
      <c r="B1658" s="2" t="s">
        <v>1438</v>
      </c>
      <c r="C1658" s="2">
        <v>793.23820000000001</v>
      </c>
      <c r="D1658" s="2">
        <f>HYPERLINK("http://mcb-m6.bioreg.kyushu-u.ac.jp/M3/20110427/F51113/2240/1", 59.86)</f>
        <v>59.86</v>
      </c>
      <c r="E1658" s="2">
        <v>51.78</v>
      </c>
      <c r="F1658" s="2">
        <v>2</v>
      </c>
      <c r="G1658" s="2" t="s">
        <v>13</v>
      </c>
      <c r="I1658" s="2" t="s">
        <v>4906</v>
      </c>
    </row>
    <row r="1659" spans="1:9" x14ac:dyDescent="0.2">
      <c r="A1659" s="2" t="s">
        <v>4064</v>
      </c>
      <c r="B1659" s="2" t="s">
        <v>1438</v>
      </c>
      <c r="C1659" s="2">
        <v>792.69460000000004</v>
      </c>
      <c r="D1659" s="2">
        <f>HYPERLINK("http://mcb-m6.bioreg.kyushu-u.ac.jp/M3/20110427/F51113/2235/1", 67.87)</f>
        <v>67.87</v>
      </c>
      <c r="E1659" s="2">
        <v>54.3</v>
      </c>
      <c r="F1659" s="2">
        <v>2</v>
      </c>
      <c r="G1659" s="2" t="s">
        <v>13</v>
      </c>
      <c r="I1659" s="2" t="s">
        <v>4906</v>
      </c>
    </row>
    <row r="1660" spans="1:9" x14ac:dyDescent="0.2">
      <c r="A1660" s="2" t="s">
        <v>4064</v>
      </c>
      <c r="B1660" s="2" t="s">
        <v>1438</v>
      </c>
      <c r="C1660" s="2">
        <v>792.78060000000005</v>
      </c>
      <c r="D1660" s="2">
        <f>HYPERLINK("http://mcb-m6.bioreg.kyushu-u.ac.jp/M3/20110427/F51112/2347/1", 93.24)</f>
        <v>93.24</v>
      </c>
      <c r="E1660" s="2">
        <v>79.09</v>
      </c>
      <c r="F1660" s="2">
        <v>2</v>
      </c>
      <c r="G1660" s="2" t="s">
        <v>13</v>
      </c>
      <c r="I1660" s="2" t="s">
        <v>4906</v>
      </c>
    </row>
    <row r="1661" spans="1:9" x14ac:dyDescent="0.2">
      <c r="A1661" s="2" t="s">
        <v>4064</v>
      </c>
      <c r="B1661" s="2" t="s">
        <v>1553</v>
      </c>
      <c r="C1661" s="2">
        <v>647.13419999999996</v>
      </c>
      <c r="D1661" s="2">
        <f>HYPERLINK("http://mcb-m6.bioreg.kyushu-u.ac.jp/M3/20110427/F51112/1660/1", 119.01)</f>
        <v>119.01</v>
      </c>
      <c r="E1661" s="2">
        <v>87.42</v>
      </c>
      <c r="F1661" s="2">
        <v>2</v>
      </c>
      <c r="G1661" s="2" t="s">
        <v>13</v>
      </c>
    </row>
    <row r="1662" spans="1:9" x14ac:dyDescent="0.2">
      <c r="A1662" s="2" t="s">
        <v>7835</v>
      </c>
      <c r="B1662" s="2" t="s">
        <v>6792</v>
      </c>
      <c r="C1662" s="2">
        <v>488.22609999999997</v>
      </c>
      <c r="D1662" s="2">
        <f>HYPERLINK("http://mcb-m6.bioreg.kyushu-u.ac.jp/M3/20110404/F50769/1242/1", 43.43)</f>
        <v>43.43</v>
      </c>
      <c r="E1662" s="2">
        <v>8.99</v>
      </c>
      <c r="F1662" s="2">
        <v>2</v>
      </c>
      <c r="G1662" s="2" t="s">
        <v>10</v>
      </c>
    </row>
    <row r="1663" spans="1:9" x14ac:dyDescent="0.2">
      <c r="A1663" s="2" t="s">
        <v>3803</v>
      </c>
      <c r="B1663" s="2" t="s">
        <v>6204</v>
      </c>
      <c r="C1663" s="2">
        <v>861.26199999999994</v>
      </c>
      <c r="D1663" s="2">
        <f>HYPERLINK("http://mcb-m6.bioreg.kyushu-u.ac.jp/M3/20110404/F50753/998/1", 46.31)</f>
        <v>46.31</v>
      </c>
      <c r="E1663" s="2">
        <v>11.87</v>
      </c>
      <c r="F1663" s="2">
        <v>1</v>
      </c>
      <c r="G1663" s="2" t="s">
        <v>9</v>
      </c>
      <c r="I1663" s="2" t="s">
        <v>4893</v>
      </c>
    </row>
    <row r="1664" spans="1:9" x14ac:dyDescent="0.2">
      <c r="A1664" s="2" t="s">
        <v>3803</v>
      </c>
      <c r="B1664" s="2" t="s">
        <v>1515</v>
      </c>
      <c r="C1664" s="2">
        <v>785.67169999999999</v>
      </c>
      <c r="D1664" s="2">
        <f>HYPERLINK("http://mcb-m6.bioreg.kyushu-u.ac.jp/M3/20110404/F50753/2184/1", 80.45)</f>
        <v>80.45</v>
      </c>
      <c r="E1664" s="2">
        <v>65.95</v>
      </c>
      <c r="F1664" s="2">
        <v>2</v>
      </c>
      <c r="G1664" s="2" t="s">
        <v>9</v>
      </c>
      <c r="H1664" s="2" t="s">
        <v>4915</v>
      </c>
    </row>
    <row r="1665" spans="1:9" x14ac:dyDescent="0.2">
      <c r="A1665" s="2" t="s">
        <v>3803</v>
      </c>
      <c r="B1665" s="2" t="s">
        <v>1515</v>
      </c>
      <c r="C1665" s="2">
        <v>778.48659999999995</v>
      </c>
      <c r="D1665" s="2">
        <f>HYPERLINK("http://mcb-m6.bioreg.kyushu-u.ac.jp/M3/20110404/F50758/2044/1", 96.2)</f>
        <v>96.2</v>
      </c>
      <c r="E1665" s="2">
        <v>73.33</v>
      </c>
      <c r="F1665" s="2">
        <v>2</v>
      </c>
      <c r="G1665" s="2" t="s">
        <v>10</v>
      </c>
    </row>
    <row r="1666" spans="1:9" x14ac:dyDescent="0.2">
      <c r="A1666" s="2" t="s">
        <v>3243</v>
      </c>
      <c r="B1666" s="2" t="s">
        <v>952</v>
      </c>
      <c r="C1666" s="2">
        <v>958.91719999999998</v>
      </c>
      <c r="D1666" s="2">
        <f>HYPERLINK("http://mcb-m6.bioreg.kyushu-u.ac.jp/M3/20110404/F50762/2486/1", 39.07)</f>
        <v>39.07</v>
      </c>
      <c r="E1666" s="2">
        <v>25.64</v>
      </c>
      <c r="F1666" s="2">
        <v>2</v>
      </c>
      <c r="G1666" s="2" t="s">
        <v>9</v>
      </c>
    </row>
    <row r="1667" spans="1:9" x14ac:dyDescent="0.2">
      <c r="A1667" s="2" t="s">
        <v>3243</v>
      </c>
      <c r="B1667" s="2" t="s">
        <v>376</v>
      </c>
      <c r="C1667" s="2">
        <v>818.41399999999999</v>
      </c>
      <c r="D1667" s="2">
        <f>HYPERLINK("http://mcb-m6.bioreg.kyushu-u.ac.jp/M3/20110404/F50762/692/1", 43.8)</f>
        <v>43.8</v>
      </c>
      <c r="E1667" s="2">
        <v>21.15</v>
      </c>
      <c r="F1667" s="2">
        <v>1</v>
      </c>
      <c r="G1667" s="2" t="s">
        <v>9</v>
      </c>
    </row>
    <row r="1668" spans="1:9" x14ac:dyDescent="0.2">
      <c r="A1668" s="2" t="s">
        <v>3243</v>
      </c>
      <c r="B1668" s="2" t="s">
        <v>23</v>
      </c>
      <c r="C1668" s="2">
        <v>621.20259999999996</v>
      </c>
      <c r="D1668" s="2">
        <f>HYPERLINK("http://mcb-m6.bioreg.kyushu-u.ac.jp/M3/20110404/F50762/1407/1", 61.52)</f>
        <v>61.52</v>
      </c>
      <c r="E1668" s="2">
        <v>45.44</v>
      </c>
      <c r="F1668" s="2">
        <v>2</v>
      </c>
      <c r="G1668" s="2" t="s">
        <v>9</v>
      </c>
    </row>
    <row r="1669" spans="1:9" x14ac:dyDescent="0.2">
      <c r="A1669" s="2" t="s">
        <v>3243</v>
      </c>
      <c r="B1669" s="2" t="s">
        <v>23</v>
      </c>
      <c r="C1669" s="2">
        <v>1241.491</v>
      </c>
      <c r="D1669" s="2">
        <f>HYPERLINK("http://mcb-m6.bioreg.kyushu-u.ac.jp/M3/20110404/F50768/1461/1", 37.28)</f>
        <v>37.28</v>
      </c>
      <c r="E1669" s="2">
        <v>27.23</v>
      </c>
      <c r="F1669" s="2">
        <v>1</v>
      </c>
      <c r="G1669" s="2" t="s">
        <v>10</v>
      </c>
    </row>
    <row r="1670" spans="1:9" x14ac:dyDescent="0.2">
      <c r="A1670" s="2" t="s">
        <v>3243</v>
      </c>
      <c r="B1670" s="2" t="s">
        <v>376</v>
      </c>
      <c r="C1670" s="2">
        <v>819.28499999999997</v>
      </c>
      <c r="D1670" s="2">
        <f>HYPERLINK("http://mcb-m6.bioreg.kyushu-u.ac.jp/M3/20110404/F50761/703/1", 37.49)</f>
        <v>37.49</v>
      </c>
      <c r="E1670" s="2">
        <v>11.88</v>
      </c>
      <c r="F1670" s="2">
        <v>1</v>
      </c>
      <c r="G1670" s="2" t="s">
        <v>10</v>
      </c>
    </row>
    <row r="1671" spans="1:9" x14ac:dyDescent="0.2">
      <c r="A1671" s="2" t="s">
        <v>3243</v>
      </c>
      <c r="B1671" s="2" t="s">
        <v>376</v>
      </c>
      <c r="C1671" s="2">
        <v>818.30899999999997</v>
      </c>
      <c r="D1671" s="2">
        <f>HYPERLINK("http://mcb-m6.bioreg.kyushu-u.ac.jp/M3/20110404/F50768/848/1", 38.37)</f>
        <v>38.369999999999997</v>
      </c>
      <c r="E1671" s="2">
        <v>16.829999999999998</v>
      </c>
      <c r="F1671" s="2">
        <v>1</v>
      </c>
      <c r="G1671" s="2" t="s">
        <v>10</v>
      </c>
    </row>
    <row r="1672" spans="1:9" x14ac:dyDescent="0.2">
      <c r="A1672" s="2" t="s">
        <v>3243</v>
      </c>
      <c r="B1672" s="2" t="s">
        <v>6765</v>
      </c>
      <c r="C1672" s="2">
        <v>501.14159999999998</v>
      </c>
      <c r="D1672" s="2">
        <f>HYPERLINK("http://mcb-m6.bioreg.kyushu-u.ac.jp/M3/20110404/F50768/1077/1", 40.9)</f>
        <v>40.9</v>
      </c>
      <c r="E1672" s="2">
        <v>12.65</v>
      </c>
      <c r="F1672" s="2">
        <v>2</v>
      </c>
      <c r="G1672" s="2" t="s">
        <v>10</v>
      </c>
    </row>
    <row r="1673" spans="1:9" x14ac:dyDescent="0.2">
      <c r="A1673" s="2" t="s">
        <v>3243</v>
      </c>
      <c r="B1673" s="2" t="s">
        <v>23</v>
      </c>
      <c r="C1673" s="2">
        <v>1241.3979999999999</v>
      </c>
      <c r="D1673" s="2">
        <f>HYPERLINK("http://mcb-m6.bioreg.kyushu-u.ac.jp/M3/20110404/F50761/1391/1", 43.65)</f>
        <v>43.65</v>
      </c>
      <c r="E1673" s="2">
        <v>33.57</v>
      </c>
      <c r="F1673" s="2">
        <v>1</v>
      </c>
      <c r="G1673" s="2" t="s">
        <v>10</v>
      </c>
    </row>
    <row r="1674" spans="1:9" x14ac:dyDescent="0.2">
      <c r="A1674" s="2" t="s">
        <v>3243</v>
      </c>
      <c r="B1674" s="2" t="s">
        <v>2436</v>
      </c>
      <c r="C1674" s="2">
        <v>1051.2529999999999</v>
      </c>
      <c r="D1674" s="2">
        <f>HYPERLINK("http://mcb-m6.bioreg.kyushu-u.ac.jp/M3/20110404/F50761/2959/1", 46.48)</f>
        <v>46.48</v>
      </c>
      <c r="E1674" s="2">
        <v>39.119999999999997</v>
      </c>
      <c r="F1674" s="2">
        <v>2</v>
      </c>
      <c r="G1674" s="2" t="s">
        <v>10</v>
      </c>
      <c r="I1674" s="2" t="s">
        <v>4893</v>
      </c>
    </row>
    <row r="1675" spans="1:9" x14ac:dyDescent="0.2">
      <c r="A1675" s="2" t="s">
        <v>3243</v>
      </c>
      <c r="B1675" s="2" t="s">
        <v>1212</v>
      </c>
      <c r="C1675" s="2">
        <v>482.07810000000001</v>
      </c>
      <c r="D1675" s="2">
        <f>HYPERLINK("http://mcb-m6.bioreg.kyushu-u.ac.jp/M3/20110404/F50761/929/1", 57.2)</f>
        <v>57.2</v>
      </c>
      <c r="E1675" s="2">
        <v>30.1</v>
      </c>
      <c r="F1675" s="2">
        <v>2</v>
      </c>
      <c r="G1675" s="2" t="s">
        <v>10</v>
      </c>
    </row>
    <row r="1676" spans="1:9" x14ac:dyDescent="0.2">
      <c r="A1676" s="2" t="s">
        <v>3243</v>
      </c>
      <c r="B1676" s="2" t="s">
        <v>952</v>
      </c>
      <c r="C1676" s="2">
        <v>958.86410000000001</v>
      </c>
      <c r="D1676" s="2">
        <f>HYPERLINK("http://mcb-m6.bioreg.kyushu-u.ac.jp/M3/20110404/F50761/2707/1", 57.26)</f>
        <v>57.26</v>
      </c>
      <c r="E1676" s="2">
        <v>37.75</v>
      </c>
      <c r="F1676" s="2">
        <v>2</v>
      </c>
      <c r="G1676" s="2" t="s">
        <v>10</v>
      </c>
    </row>
    <row r="1677" spans="1:9" x14ac:dyDescent="0.2">
      <c r="A1677" s="2" t="s">
        <v>3243</v>
      </c>
      <c r="B1677" s="2" t="s">
        <v>6921</v>
      </c>
      <c r="C1677" s="2">
        <v>746.75369999999998</v>
      </c>
      <c r="D1677" s="2">
        <f>HYPERLINK("http://mcb-m6.bioreg.kyushu-u.ac.jp/M3/20110404/F50768/1911/1", 59.84)</f>
        <v>59.84</v>
      </c>
      <c r="E1677" s="2">
        <v>45.89</v>
      </c>
      <c r="F1677" s="2">
        <v>2</v>
      </c>
      <c r="G1677" s="2" t="s">
        <v>10</v>
      </c>
    </row>
    <row r="1678" spans="1:9" x14ac:dyDescent="0.2">
      <c r="A1678" s="2" t="s">
        <v>3243</v>
      </c>
      <c r="B1678" s="2" t="s">
        <v>6921</v>
      </c>
      <c r="C1678" s="2">
        <v>746.80219999999997</v>
      </c>
      <c r="D1678" s="2">
        <f>HYPERLINK("http://mcb-m6.bioreg.kyushu-u.ac.jp/M3/20110404/F50761/1863/1", 60.15)</f>
        <v>60.15</v>
      </c>
      <c r="E1678" s="2">
        <v>42.22</v>
      </c>
      <c r="F1678" s="2">
        <v>2</v>
      </c>
      <c r="G1678" s="2" t="s">
        <v>10</v>
      </c>
    </row>
    <row r="1679" spans="1:9" x14ac:dyDescent="0.2">
      <c r="A1679" s="2" t="s">
        <v>3243</v>
      </c>
      <c r="B1679" s="2" t="s">
        <v>6957</v>
      </c>
      <c r="C1679" s="2">
        <v>499.61959999999999</v>
      </c>
      <c r="D1679" s="2">
        <f>HYPERLINK("http://mcb-m6.bioreg.kyushu-u.ac.jp/M3/20110404/F50768/1069/1", 66.22)</f>
        <v>66.22</v>
      </c>
      <c r="E1679" s="2">
        <v>45.14</v>
      </c>
      <c r="F1679" s="2">
        <v>2</v>
      </c>
      <c r="G1679" s="2" t="s">
        <v>10</v>
      </c>
    </row>
    <row r="1680" spans="1:9" x14ac:dyDescent="0.2">
      <c r="A1680" s="2" t="s">
        <v>3243</v>
      </c>
      <c r="B1680" s="2" t="s">
        <v>23</v>
      </c>
      <c r="C1680" s="2">
        <v>621.20259999999996</v>
      </c>
      <c r="D1680" s="2">
        <f>HYPERLINK("http://mcb-m6.bioreg.kyushu-u.ac.jp/M3/20110404/F50761/1390/1", 67.61)</f>
        <v>67.61</v>
      </c>
      <c r="E1680" s="2">
        <v>46.09</v>
      </c>
      <c r="F1680" s="2">
        <v>2</v>
      </c>
      <c r="G1680" s="2" t="s">
        <v>10</v>
      </c>
    </row>
    <row r="1681" spans="1:9" x14ac:dyDescent="0.2">
      <c r="A1681" s="2" t="s">
        <v>3243</v>
      </c>
      <c r="B1681" s="2" t="s">
        <v>952</v>
      </c>
      <c r="C1681" s="2">
        <v>958.36969999999997</v>
      </c>
      <c r="D1681" s="2">
        <f>HYPERLINK("http://mcb-m6.bioreg.kyushu-u.ac.jp/M3/20110404/F50768/2621/1", 73.74)</f>
        <v>73.739999999999995</v>
      </c>
      <c r="E1681" s="2">
        <v>58.92</v>
      </c>
      <c r="F1681" s="2">
        <v>2</v>
      </c>
      <c r="G1681" s="2" t="s">
        <v>10</v>
      </c>
    </row>
    <row r="1682" spans="1:9" x14ac:dyDescent="0.2">
      <c r="A1682" s="2" t="s">
        <v>3243</v>
      </c>
      <c r="B1682" s="2" t="s">
        <v>23</v>
      </c>
      <c r="C1682" s="2">
        <v>621.14869999999996</v>
      </c>
      <c r="D1682" s="2">
        <f>HYPERLINK("http://mcb-m6.bioreg.kyushu-u.ac.jp/M3/20110404/F50768/1459/1", 74.27)</f>
        <v>74.27</v>
      </c>
      <c r="E1682" s="2">
        <v>51.33</v>
      </c>
      <c r="F1682" s="2">
        <v>2</v>
      </c>
      <c r="G1682" s="2" t="s">
        <v>10</v>
      </c>
    </row>
    <row r="1683" spans="1:9" x14ac:dyDescent="0.2">
      <c r="A1683" s="2" t="s">
        <v>3243</v>
      </c>
      <c r="B1683" s="2" t="s">
        <v>1212</v>
      </c>
      <c r="C1683" s="2">
        <v>482.19209999999998</v>
      </c>
      <c r="D1683" s="2">
        <f>HYPERLINK("http://mcb-m6.bioreg.kyushu-u.ac.jp/M3/20110404/F50768/1034/1", 76)</f>
        <v>76</v>
      </c>
      <c r="E1683" s="2">
        <v>47.33</v>
      </c>
      <c r="F1683" s="2">
        <v>2</v>
      </c>
      <c r="G1683" s="2" t="s">
        <v>10</v>
      </c>
    </row>
    <row r="1684" spans="1:9" x14ac:dyDescent="0.2">
      <c r="A1684" s="2" t="s">
        <v>3243</v>
      </c>
      <c r="B1684" s="2" t="s">
        <v>6999</v>
      </c>
      <c r="C1684" s="2">
        <v>713.49159999999995</v>
      </c>
      <c r="D1684" s="2">
        <f>HYPERLINK("http://mcb-m6.bioreg.kyushu-u.ac.jp/M3/20110404/F50768/1799/1", 76.65)</f>
        <v>76.650000000000006</v>
      </c>
      <c r="E1684" s="2">
        <v>57.82</v>
      </c>
      <c r="F1684" s="2">
        <v>2</v>
      </c>
      <c r="G1684" s="2" t="s">
        <v>10</v>
      </c>
    </row>
    <row r="1685" spans="1:9" x14ac:dyDescent="0.2">
      <c r="A1685" s="2" t="s">
        <v>3243</v>
      </c>
      <c r="B1685" s="2" t="s">
        <v>7012</v>
      </c>
      <c r="C1685" s="2">
        <v>758.89970000000005</v>
      </c>
      <c r="D1685" s="2">
        <f>HYPERLINK("http://mcb-m6.bioreg.kyushu-u.ac.jp/M3/20110404/F50768/1955/1", 79.61)</f>
        <v>79.61</v>
      </c>
      <c r="E1685" s="2">
        <v>50.49</v>
      </c>
      <c r="F1685" s="2">
        <v>2</v>
      </c>
      <c r="G1685" s="2" t="s">
        <v>10</v>
      </c>
    </row>
    <row r="1686" spans="1:9" x14ac:dyDescent="0.2">
      <c r="A1686" s="2" t="s">
        <v>3243</v>
      </c>
      <c r="B1686" s="2" t="s">
        <v>952</v>
      </c>
      <c r="C1686" s="2">
        <v>958.87959999999998</v>
      </c>
      <c r="D1686" s="2">
        <f>HYPERLINK("http://mcb-m6.bioreg.kyushu-u.ac.jp/M3/20110404/F50768/2623/1", 82.44)</f>
        <v>82.44</v>
      </c>
      <c r="E1686" s="2">
        <v>63.19</v>
      </c>
      <c r="F1686" s="2">
        <v>2</v>
      </c>
      <c r="G1686" s="2" t="s">
        <v>10</v>
      </c>
    </row>
    <row r="1687" spans="1:9" x14ac:dyDescent="0.2">
      <c r="A1687" s="2" t="s">
        <v>3243</v>
      </c>
      <c r="B1687" s="2" t="s">
        <v>6999</v>
      </c>
      <c r="C1687" s="2">
        <v>713.70820000000003</v>
      </c>
      <c r="D1687" s="2">
        <f>HYPERLINK("http://mcb-m6.bioreg.kyushu-u.ac.jp/M3/20110404/F50761/1730/1", 83.45)</f>
        <v>83.45</v>
      </c>
      <c r="E1687" s="2">
        <v>62.2</v>
      </c>
      <c r="F1687" s="2">
        <v>2</v>
      </c>
      <c r="G1687" s="2" t="s">
        <v>10</v>
      </c>
    </row>
    <row r="1688" spans="1:9" x14ac:dyDescent="0.2">
      <c r="A1688" s="2" t="s">
        <v>3243</v>
      </c>
      <c r="B1688" s="2" t="s">
        <v>6921</v>
      </c>
      <c r="C1688" s="2">
        <v>746.20569999999998</v>
      </c>
      <c r="D1688" s="2">
        <f>HYPERLINK("http://mcb-m6.bioreg.kyushu-u.ac.jp/M3/20110404/F50768/1908/1", 88.11)</f>
        <v>88.11</v>
      </c>
      <c r="E1688" s="2">
        <v>74.97</v>
      </c>
      <c r="F1688" s="2">
        <v>2</v>
      </c>
      <c r="G1688" s="2" t="s">
        <v>10</v>
      </c>
    </row>
    <row r="1689" spans="1:9" x14ac:dyDescent="0.2">
      <c r="A1689" s="2" t="s">
        <v>3243</v>
      </c>
      <c r="B1689" s="2" t="s">
        <v>23</v>
      </c>
      <c r="C1689" s="2">
        <v>621.87570000000005</v>
      </c>
      <c r="D1689" s="2">
        <f>HYPERLINK("http://mcb-m6.bioreg.kyushu-u.ac.jp/M3/20110421/F51034/1430/1", 53.12)</f>
        <v>53.12</v>
      </c>
      <c r="E1689" s="2">
        <v>38.21</v>
      </c>
      <c r="F1689" s="2">
        <v>2</v>
      </c>
      <c r="G1689" s="2" t="s">
        <v>11</v>
      </c>
    </row>
    <row r="1690" spans="1:9" x14ac:dyDescent="0.2">
      <c r="A1690" s="2" t="s">
        <v>3243</v>
      </c>
      <c r="B1690" s="2" t="s">
        <v>952</v>
      </c>
      <c r="C1690" s="2">
        <v>958.38959999999997</v>
      </c>
      <c r="D1690" s="2">
        <f>HYPERLINK("http://mcb-m6.bioreg.kyushu-u.ac.jp/M3/20110421/F51044/2962/1", 38.48)</f>
        <v>38.479999999999997</v>
      </c>
      <c r="E1690" s="2">
        <v>20.55</v>
      </c>
      <c r="F1690" s="2">
        <v>2</v>
      </c>
      <c r="G1690" s="2" t="s">
        <v>12</v>
      </c>
    </row>
    <row r="1691" spans="1:9" x14ac:dyDescent="0.2">
      <c r="A1691" s="2" t="s">
        <v>3243</v>
      </c>
      <c r="B1691" s="2" t="s">
        <v>1212</v>
      </c>
      <c r="C1691" s="2">
        <v>482.25310000000002</v>
      </c>
      <c r="D1691" s="2">
        <f>HYPERLINK("http://mcb-m6.bioreg.kyushu-u.ac.jp/M3/20110421/F51044/801/1", 44.79)</f>
        <v>44.79</v>
      </c>
      <c r="E1691" s="2">
        <v>19.760000000000002</v>
      </c>
      <c r="F1691" s="2">
        <v>2</v>
      </c>
      <c r="G1691" s="2" t="s">
        <v>12</v>
      </c>
    </row>
    <row r="1692" spans="1:9" x14ac:dyDescent="0.2">
      <c r="A1692" s="2" t="s">
        <v>3243</v>
      </c>
      <c r="B1692" s="2" t="s">
        <v>1212</v>
      </c>
      <c r="C1692" s="2">
        <v>482.0831</v>
      </c>
      <c r="D1692" s="2">
        <f>HYPERLINK("http://mcb-m6.bioreg.kyushu-u.ac.jp/M3/20110427/F51114/845/1", 35.59)</f>
        <v>35.590000000000003</v>
      </c>
      <c r="E1692" s="2">
        <v>13.83</v>
      </c>
      <c r="F1692" s="2">
        <v>2</v>
      </c>
      <c r="G1692" s="2" t="s">
        <v>13</v>
      </c>
    </row>
    <row r="1693" spans="1:9" x14ac:dyDescent="0.2">
      <c r="A1693" s="2" t="s">
        <v>3243</v>
      </c>
      <c r="B1693" s="2" t="s">
        <v>23</v>
      </c>
      <c r="C1693" s="2">
        <v>621.16669999999999</v>
      </c>
      <c r="D1693" s="2">
        <f>HYPERLINK("http://mcb-m6.bioreg.kyushu-u.ac.jp/M3/20110427/F51114/1461/1", 66.73)</f>
        <v>66.73</v>
      </c>
      <c r="E1693" s="2">
        <v>47.37</v>
      </c>
      <c r="F1693" s="2">
        <v>2</v>
      </c>
      <c r="G1693" s="2" t="s">
        <v>13</v>
      </c>
    </row>
    <row r="1694" spans="1:9" x14ac:dyDescent="0.2">
      <c r="A1694" s="2" t="s">
        <v>3243</v>
      </c>
      <c r="B1694" s="2" t="s">
        <v>952</v>
      </c>
      <c r="C1694" s="2">
        <v>958.17269999999996</v>
      </c>
      <c r="D1694" s="2">
        <f>HYPERLINK("http://mcb-m6.bioreg.kyushu-u.ac.jp/M3/20110427/F51114/3084/1", 75.38)</f>
        <v>75.38</v>
      </c>
      <c r="E1694" s="2">
        <v>53.28</v>
      </c>
      <c r="F1694" s="2">
        <v>2</v>
      </c>
      <c r="G1694" s="2" t="s">
        <v>13</v>
      </c>
    </row>
    <row r="1695" spans="1:9" x14ac:dyDescent="0.2">
      <c r="A1695" s="2" t="s">
        <v>3243</v>
      </c>
      <c r="B1695" s="2" t="s">
        <v>952</v>
      </c>
      <c r="C1695" s="2">
        <v>958.73569999999995</v>
      </c>
      <c r="D1695" s="2">
        <f>HYPERLINK("http://mcb-m6.bioreg.kyushu-u.ac.jp/M3/20110427/F51114/3089/1", 77.46)</f>
        <v>77.459999999999994</v>
      </c>
      <c r="E1695" s="2">
        <v>56.97</v>
      </c>
      <c r="F1695" s="2">
        <v>2</v>
      </c>
      <c r="G1695" s="2" t="s">
        <v>13</v>
      </c>
    </row>
    <row r="1696" spans="1:9" x14ac:dyDescent="0.2">
      <c r="A1696" s="2" t="s">
        <v>3243</v>
      </c>
      <c r="B1696" s="2" t="s">
        <v>7433</v>
      </c>
      <c r="C1696" s="2">
        <v>1147.319</v>
      </c>
      <c r="D1696" s="2">
        <f>HYPERLINK("http://mcb-m6.bioreg.kyushu-u.ac.jp/M3/20110427/F51114/3636/1", 82.04)</f>
        <v>82.04</v>
      </c>
      <c r="E1696" s="2">
        <v>73.95</v>
      </c>
      <c r="F1696" s="2">
        <v>2</v>
      </c>
      <c r="G1696" s="2" t="s">
        <v>13</v>
      </c>
      <c r="I1696" s="2" t="s">
        <v>4914</v>
      </c>
    </row>
    <row r="1697" spans="1:9" x14ac:dyDescent="0.2">
      <c r="A1697" s="2" t="s">
        <v>3243</v>
      </c>
      <c r="B1697" s="2" t="s">
        <v>952</v>
      </c>
      <c r="C1697" s="2">
        <v>958.77560000000005</v>
      </c>
      <c r="D1697" s="2">
        <f>HYPERLINK("http://mcb-m6.bioreg.kyushu-u.ac.jp/M3/20110427/F51123/2963/1", 54.47)</f>
        <v>54.47</v>
      </c>
      <c r="E1697" s="2">
        <v>36.700000000000003</v>
      </c>
      <c r="F1697" s="2">
        <v>2</v>
      </c>
      <c r="G1697" s="2" t="s">
        <v>14</v>
      </c>
    </row>
    <row r="1698" spans="1:9" x14ac:dyDescent="0.2">
      <c r="A1698" s="2" t="s">
        <v>3562</v>
      </c>
      <c r="B1698" s="2" t="s">
        <v>425</v>
      </c>
      <c r="C1698" s="2">
        <v>1080.45</v>
      </c>
      <c r="D1698" s="2">
        <f>HYPERLINK("http://mcb-m6.bioreg.kyushu-u.ac.jp/M3/20110404/F50768/1213/1", 41.56)</f>
        <v>41.56</v>
      </c>
      <c r="E1698" s="2">
        <v>18.510000000000002</v>
      </c>
      <c r="F1698" s="2">
        <v>1</v>
      </c>
      <c r="G1698" s="2" t="s">
        <v>10</v>
      </c>
    </row>
    <row r="1699" spans="1:9" x14ac:dyDescent="0.2">
      <c r="A1699" s="2" t="s">
        <v>3562</v>
      </c>
      <c r="B1699" s="2" t="s">
        <v>425</v>
      </c>
      <c r="C1699" s="2">
        <v>1079.451</v>
      </c>
      <c r="D1699" s="2">
        <f>HYPERLINK("http://mcb-m6.bioreg.kyushu-u.ac.jp/M3/20110404/F50768/1212/1", 46.13)</f>
        <v>46.13</v>
      </c>
      <c r="E1699" s="2">
        <v>25.81</v>
      </c>
      <c r="F1699" s="2">
        <v>1</v>
      </c>
      <c r="G1699" s="2" t="s">
        <v>10</v>
      </c>
    </row>
    <row r="1700" spans="1:9" x14ac:dyDescent="0.2">
      <c r="A1700" s="2" t="s">
        <v>3562</v>
      </c>
      <c r="B1700" s="2" t="s">
        <v>425</v>
      </c>
      <c r="C1700" s="2">
        <v>1079.4670000000001</v>
      </c>
      <c r="D1700" s="2">
        <f>HYPERLINK("http://mcb-m6.bioreg.kyushu-u.ac.jp/M3/20110404/F50761/1111/1", 57.49)</f>
        <v>57.49</v>
      </c>
      <c r="E1700" s="2">
        <v>38.43</v>
      </c>
      <c r="F1700" s="2">
        <v>1</v>
      </c>
      <c r="G1700" s="2" t="s">
        <v>10</v>
      </c>
    </row>
    <row r="1701" spans="1:9" x14ac:dyDescent="0.2">
      <c r="A1701" s="2" t="s">
        <v>3562</v>
      </c>
      <c r="B1701" s="2" t="s">
        <v>425</v>
      </c>
      <c r="C1701" s="2">
        <v>540.19069999999999</v>
      </c>
      <c r="D1701" s="2">
        <f>HYPERLINK("http://mcb-m6.bioreg.kyushu-u.ac.jp/M3/20110404/F50761/1110/1", 68.06)</f>
        <v>68.06</v>
      </c>
      <c r="E1701" s="2">
        <v>44.59</v>
      </c>
      <c r="F1701" s="2">
        <v>2</v>
      </c>
      <c r="G1701" s="2" t="s">
        <v>10</v>
      </c>
    </row>
    <row r="1702" spans="1:9" x14ac:dyDescent="0.2">
      <c r="A1702" s="2" t="s">
        <v>3562</v>
      </c>
      <c r="B1702" s="2" t="s">
        <v>676</v>
      </c>
      <c r="C1702" s="2">
        <v>862.2441</v>
      </c>
      <c r="D1702" s="2">
        <f>HYPERLINK("http://mcb-m6.bioreg.kyushu-u.ac.jp/M3/20110404/F50761/2329/1", 68.66)</f>
        <v>68.66</v>
      </c>
      <c r="E1702" s="2">
        <v>56.88</v>
      </c>
      <c r="F1702" s="2">
        <v>2</v>
      </c>
      <c r="G1702" s="2" t="s">
        <v>10</v>
      </c>
    </row>
    <row r="1703" spans="1:9" x14ac:dyDescent="0.2">
      <c r="A1703" s="2" t="s">
        <v>3562</v>
      </c>
      <c r="B1703" s="2" t="s">
        <v>676</v>
      </c>
      <c r="C1703" s="2">
        <v>862.8202</v>
      </c>
      <c r="D1703" s="2">
        <f>HYPERLINK("http://mcb-m6.bioreg.kyushu-u.ac.jp/M3/20110404/F50768/2301/1", 68.73)</f>
        <v>68.73</v>
      </c>
      <c r="E1703" s="2">
        <v>55.27</v>
      </c>
      <c r="F1703" s="2">
        <v>2</v>
      </c>
      <c r="G1703" s="2" t="s">
        <v>10</v>
      </c>
    </row>
    <row r="1704" spans="1:9" x14ac:dyDescent="0.2">
      <c r="A1704" s="2" t="s">
        <v>3562</v>
      </c>
      <c r="B1704" s="2" t="s">
        <v>425</v>
      </c>
      <c r="C1704" s="2">
        <v>540.14009999999996</v>
      </c>
      <c r="D1704" s="2">
        <f>HYPERLINK("http://mcb-m6.bioreg.kyushu-u.ac.jp/M3/20110404/F50768/1211/1", 70.57)</f>
        <v>70.569999999999993</v>
      </c>
      <c r="E1704" s="2">
        <v>43.07</v>
      </c>
      <c r="F1704" s="2">
        <v>2</v>
      </c>
      <c r="G1704" s="2" t="s">
        <v>10</v>
      </c>
    </row>
    <row r="1705" spans="1:9" x14ac:dyDescent="0.2">
      <c r="A1705" s="2" t="s">
        <v>3701</v>
      </c>
      <c r="B1705" s="2" t="s">
        <v>717</v>
      </c>
      <c r="C1705" s="2">
        <v>1121.998</v>
      </c>
      <c r="D1705" s="2">
        <f>HYPERLINK("http://mcb-m6.bioreg.kyushu-u.ac.jp/M3/20110404/F50762/2831/1", 85.27)</f>
        <v>85.27</v>
      </c>
      <c r="E1705" s="2">
        <v>77.319999999999993</v>
      </c>
      <c r="F1705" s="2">
        <v>2</v>
      </c>
      <c r="G1705" s="2" t="s">
        <v>9</v>
      </c>
    </row>
    <row r="1706" spans="1:9" x14ac:dyDescent="0.2">
      <c r="A1706" s="2" t="s">
        <v>3701</v>
      </c>
      <c r="B1706" s="2" t="s">
        <v>679</v>
      </c>
      <c r="C1706" s="2">
        <v>530.63170000000002</v>
      </c>
      <c r="D1706" s="2">
        <f>HYPERLINK("http://mcb-m6.bioreg.kyushu-u.ac.jp/M3/20110427/F51114/1075/1", 40.07)</f>
        <v>40.07</v>
      </c>
      <c r="E1706" s="2">
        <v>15.79</v>
      </c>
      <c r="F1706" s="2">
        <v>2</v>
      </c>
      <c r="G1706" s="2" t="s">
        <v>13</v>
      </c>
    </row>
    <row r="1707" spans="1:9" x14ac:dyDescent="0.2">
      <c r="A1707" s="2" t="s">
        <v>7875</v>
      </c>
      <c r="B1707" s="2" t="s">
        <v>6888</v>
      </c>
      <c r="C1707" s="2">
        <v>1121.394</v>
      </c>
      <c r="D1707" s="2">
        <f>HYPERLINK("http://mcb-m6.bioreg.kyushu-u.ac.jp/M3/20110404/F50768/1267/1", 54.15)</f>
        <v>54.15</v>
      </c>
      <c r="E1707" s="2">
        <v>31.44</v>
      </c>
      <c r="F1707" s="2">
        <v>1</v>
      </c>
      <c r="G1707" s="2" t="s">
        <v>10</v>
      </c>
    </row>
    <row r="1708" spans="1:9" x14ac:dyDescent="0.2">
      <c r="A1708" s="2" t="s">
        <v>4442</v>
      </c>
      <c r="B1708" s="2" t="s">
        <v>2336</v>
      </c>
      <c r="C1708" s="2">
        <v>681.26869999999997</v>
      </c>
      <c r="D1708" s="2">
        <f>HYPERLINK("http://mcb-m6.bioreg.kyushu-u.ac.jp/M3/20110427/F51111/1827/1", 37.11)</f>
        <v>37.11</v>
      </c>
      <c r="E1708" s="2">
        <v>18.63</v>
      </c>
      <c r="F1708" s="2">
        <v>2</v>
      </c>
      <c r="G1708" s="2" t="s">
        <v>13</v>
      </c>
    </row>
    <row r="1709" spans="1:9" x14ac:dyDescent="0.2">
      <c r="A1709" s="2" t="s">
        <v>4442</v>
      </c>
      <c r="B1709" s="2" t="s">
        <v>7305</v>
      </c>
      <c r="C1709" s="2">
        <v>549.63760000000002</v>
      </c>
      <c r="D1709" s="2">
        <f>HYPERLINK("http://mcb-m6.bioreg.kyushu-u.ac.jp/M3/20110427/F51111/1346/1", 37.3)</f>
        <v>37.299999999999997</v>
      </c>
      <c r="E1709" s="2">
        <v>14.72</v>
      </c>
      <c r="F1709" s="2">
        <v>2</v>
      </c>
      <c r="G1709" s="2" t="s">
        <v>13</v>
      </c>
    </row>
    <row r="1710" spans="1:9" x14ac:dyDescent="0.2">
      <c r="A1710" s="2" t="s">
        <v>4468</v>
      </c>
      <c r="B1710" s="2" t="s">
        <v>2405</v>
      </c>
      <c r="C1710" s="2">
        <v>712.36019999999996</v>
      </c>
      <c r="D1710" s="2">
        <f>HYPERLINK("http://mcb-m6.bioreg.kyushu-u.ac.jp/M3/20110404/F50751/2014/1", 55.75)</f>
        <v>55.75</v>
      </c>
      <c r="E1710" s="2">
        <v>36.69</v>
      </c>
      <c r="F1710" s="2">
        <v>2</v>
      </c>
      <c r="G1710" s="2" t="s">
        <v>9</v>
      </c>
      <c r="I1710" s="2" t="s">
        <v>4905</v>
      </c>
    </row>
    <row r="1711" spans="1:9" x14ac:dyDescent="0.2">
      <c r="A1711" s="2" t="s">
        <v>7709</v>
      </c>
      <c r="B1711" s="2" t="s">
        <v>6393</v>
      </c>
      <c r="C1711" s="2">
        <v>617.00419999999997</v>
      </c>
      <c r="D1711" s="2">
        <f>HYPERLINK("http://mcb-m6.bioreg.kyushu-u.ac.jp/M3/20110404/F50751/1741/1", 59.11)</f>
        <v>59.11</v>
      </c>
      <c r="E1711" s="2">
        <v>37.5</v>
      </c>
      <c r="F1711" s="2">
        <v>2</v>
      </c>
      <c r="G1711" s="2" t="s">
        <v>9</v>
      </c>
    </row>
    <row r="1712" spans="1:9" x14ac:dyDescent="0.2">
      <c r="A1712" s="2" t="s">
        <v>4298</v>
      </c>
      <c r="B1712" s="2" t="s">
        <v>2011</v>
      </c>
      <c r="C1712" s="2">
        <v>665.74720000000002</v>
      </c>
      <c r="D1712" s="2">
        <f>HYPERLINK("http://mcb-m6.bioreg.kyushu-u.ac.jp/M3/20110404/F50754/1833/1", 63.45)</f>
        <v>63.45</v>
      </c>
      <c r="E1712" s="2">
        <v>45.17</v>
      </c>
      <c r="F1712" s="2">
        <v>2</v>
      </c>
      <c r="G1712" s="2" t="s">
        <v>9</v>
      </c>
    </row>
    <row r="1713" spans="1:8" x14ac:dyDescent="0.2">
      <c r="A1713" s="2" t="s">
        <v>4298</v>
      </c>
      <c r="B1713" s="2" t="s">
        <v>2011</v>
      </c>
      <c r="C1713" s="2">
        <v>665.78970000000004</v>
      </c>
      <c r="D1713" s="2">
        <f>HYPERLINK("http://mcb-m6.bioreg.kyushu-u.ac.jp/M3/20110404/F50758/1623/1", 44.45)</f>
        <v>44.45</v>
      </c>
      <c r="E1713" s="2">
        <v>32.39</v>
      </c>
      <c r="F1713" s="2">
        <v>2</v>
      </c>
      <c r="G1713" s="2" t="s">
        <v>10</v>
      </c>
    </row>
    <row r="1714" spans="1:8" x14ac:dyDescent="0.2">
      <c r="A1714" s="2" t="s">
        <v>4298</v>
      </c>
      <c r="B1714" s="2" t="s">
        <v>2011</v>
      </c>
      <c r="C1714" s="2">
        <v>665.67610000000002</v>
      </c>
      <c r="D1714" s="2">
        <f>HYPERLINK("http://mcb-m6.bioreg.kyushu-u.ac.jp/M3/20110421/F51017/1602/1", 39.41)</f>
        <v>39.409999999999997</v>
      </c>
      <c r="E1714" s="2">
        <v>26.71</v>
      </c>
      <c r="F1714" s="2">
        <v>2</v>
      </c>
      <c r="G1714" s="2" t="s">
        <v>11</v>
      </c>
    </row>
    <row r="1715" spans="1:8" x14ac:dyDescent="0.2">
      <c r="A1715" s="2" t="s">
        <v>4298</v>
      </c>
      <c r="B1715" s="2" t="s">
        <v>2011</v>
      </c>
      <c r="C1715" s="2">
        <v>666.11720000000003</v>
      </c>
      <c r="D1715" s="2">
        <f>HYPERLINK("http://mcb-m6.bioreg.kyushu-u.ac.jp/M3/20110427/F51111/1759/1", 73.85)</f>
        <v>73.849999999999994</v>
      </c>
      <c r="E1715" s="2">
        <v>54.56</v>
      </c>
      <c r="F1715" s="2">
        <v>2</v>
      </c>
      <c r="G1715" s="2" t="s">
        <v>13</v>
      </c>
    </row>
    <row r="1716" spans="1:8" x14ac:dyDescent="0.2">
      <c r="A1716" s="2" t="s">
        <v>3328</v>
      </c>
      <c r="B1716" s="2" t="s">
        <v>3205</v>
      </c>
      <c r="C1716" s="2">
        <v>758.7672</v>
      </c>
      <c r="D1716" s="2">
        <f>HYPERLINK("http://mcb-m6.bioreg.kyushu-u.ac.jp/M3/20110404/F50754/2178/1", 60.07)</f>
        <v>60.07</v>
      </c>
      <c r="E1716" s="2">
        <v>40.83</v>
      </c>
      <c r="F1716" s="2">
        <v>2</v>
      </c>
      <c r="G1716" s="2" t="s">
        <v>9</v>
      </c>
    </row>
    <row r="1717" spans="1:8" x14ac:dyDescent="0.2">
      <c r="A1717" s="2" t="s">
        <v>3328</v>
      </c>
      <c r="B1717" s="2" t="s">
        <v>2869</v>
      </c>
      <c r="C1717" s="2">
        <v>514.73659999999995</v>
      </c>
      <c r="D1717" s="2">
        <f>HYPERLINK("http://mcb-m6.bioreg.kyushu-u.ac.jp/M3/20110421/F51017/968/1", 38.52)</f>
        <v>38.520000000000003</v>
      </c>
      <c r="E1717" s="2">
        <v>10.130000000000001</v>
      </c>
      <c r="F1717" s="2">
        <v>2</v>
      </c>
      <c r="G1717" s="2" t="s">
        <v>11</v>
      </c>
    </row>
    <row r="1718" spans="1:8" x14ac:dyDescent="0.2">
      <c r="A1718" s="2" t="s">
        <v>3328</v>
      </c>
      <c r="B1718" s="2" t="s">
        <v>3205</v>
      </c>
      <c r="C1718" s="2">
        <v>758.78769999999997</v>
      </c>
      <c r="D1718" s="2">
        <f>HYPERLINK("http://mcb-m6.bioreg.kyushu-u.ac.jp/M3/20110427/F51112/2174/1", 68.67)</f>
        <v>68.67</v>
      </c>
      <c r="E1718" s="2">
        <v>48.81</v>
      </c>
      <c r="F1718" s="2">
        <v>2</v>
      </c>
      <c r="G1718" s="2" t="s">
        <v>13</v>
      </c>
    </row>
    <row r="1719" spans="1:8" x14ac:dyDescent="0.2">
      <c r="A1719" s="2" t="s">
        <v>7744</v>
      </c>
      <c r="B1719" s="2" t="s">
        <v>6521</v>
      </c>
      <c r="C1719" s="2">
        <v>1114.444</v>
      </c>
      <c r="D1719" s="2">
        <f>HYPERLINK("http://mcb-m6.bioreg.kyushu-u.ac.jp/M3/20110404/F50776/2818/1", 73.9)</f>
        <v>73.900000000000006</v>
      </c>
      <c r="E1719" s="2">
        <v>61.14</v>
      </c>
      <c r="F1719" s="2">
        <v>2</v>
      </c>
      <c r="G1719" s="2" t="s">
        <v>9</v>
      </c>
    </row>
    <row r="1720" spans="1:8" x14ac:dyDescent="0.2">
      <c r="A1720" s="2" t="s">
        <v>7744</v>
      </c>
      <c r="B1720" s="2" t="s">
        <v>6614</v>
      </c>
      <c r="C1720" s="2">
        <v>1186.942</v>
      </c>
      <c r="D1720" s="2">
        <f>HYPERLINK("http://mcb-m6.bioreg.kyushu-u.ac.jp/M3/20110404/F50776/2945/1", 94.65)</f>
        <v>94.65</v>
      </c>
      <c r="E1720" s="2">
        <v>82.36</v>
      </c>
      <c r="F1720" s="2">
        <v>2</v>
      </c>
      <c r="G1720" s="2" t="s">
        <v>9</v>
      </c>
      <c r="H1720" s="2" t="s">
        <v>4938</v>
      </c>
    </row>
    <row r="1721" spans="1:8" x14ac:dyDescent="0.2">
      <c r="A1721" s="2" t="s">
        <v>7744</v>
      </c>
      <c r="B1721" s="2" t="s">
        <v>6614</v>
      </c>
      <c r="C1721" s="2">
        <v>1179.049</v>
      </c>
      <c r="D1721" s="2">
        <f>HYPERLINK("http://mcb-m6.bioreg.kyushu-u.ac.jp/M3/20110404/F50776/2933/1", 102.25)</f>
        <v>102.25</v>
      </c>
      <c r="E1721" s="2">
        <v>85.81</v>
      </c>
      <c r="F1721" s="2">
        <v>2</v>
      </c>
      <c r="G1721" s="2" t="s">
        <v>9</v>
      </c>
    </row>
    <row r="1722" spans="1:8" x14ac:dyDescent="0.2">
      <c r="A1722" s="2" t="s">
        <v>7744</v>
      </c>
      <c r="B1722" s="2" t="s">
        <v>6521</v>
      </c>
      <c r="C1722" s="2">
        <v>1115.056</v>
      </c>
      <c r="D1722" s="2">
        <f>HYPERLINK("http://mcb-m6.bioreg.kyushu-u.ac.jp/M3/20110404/F50776/2821/1", 106.76)</f>
        <v>106.76</v>
      </c>
      <c r="E1722" s="2">
        <v>97.58</v>
      </c>
      <c r="F1722" s="2">
        <v>2</v>
      </c>
      <c r="G1722" s="2" t="s">
        <v>9</v>
      </c>
    </row>
    <row r="1723" spans="1:8" x14ac:dyDescent="0.2">
      <c r="A1723" s="2" t="s">
        <v>7744</v>
      </c>
      <c r="B1723" s="2" t="s">
        <v>6521</v>
      </c>
      <c r="C1723" s="2">
        <v>1122.451</v>
      </c>
      <c r="D1723" s="2">
        <f>HYPERLINK("http://mcb-m6.bioreg.kyushu-u.ac.jp/M3/20110404/F50776/2838/1", 117.41)</f>
        <v>117.41</v>
      </c>
      <c r="E1723" s="2">
        <v>109.33</v>
      </c>
      <c r="F1723" s="2">
        <v>2</v>
      </c>
      <c r="G1723" s="2" t="s">
        <v>9</v>
      </c>
      <c r="H1723" s="2" t="s">
        <v>4907</v>
      </c>
    </row>
    <row r="1724" spans="1:8" x14ac:dyDescent="0.2">
      <c r="A1724" s="2" t="s">
        <v>7744</v>
      </c>
      <c r="B1724" s="2" t="s">
        <v>6614</v>
      </c>
      <c r="C1724" s="2">
        <v>1178.4880000000001</v>
      </c>
      <c r="D1724" s="2">
        <f>HYPERLINK("http://mcb-m6.bioreg.kyushu-u.ac.jp/M3/20110404/F50776/2928/1", 120.37)</f>
        <v>120.37</v>
      </c>
      <c r="E1724" s="2">
        <v>113.02</v>
      </c>
      <c r="F1724" s="2">
        <v>2</v>
      </c>
      <c r="G1724" s="2" t="s">
        <v>9</v>
      </c>
    </row>
    <row r="1725" spans="1:8" x14ac:dyDescent="0.2">
      <c r="A1725" s="2" t="s">
        <v>7744</v>
      </c>
      <c r="B1725" s="2" t="s">
        <v>6521</v>
      </c>
      <c r="C1725" s="2">
        <v>1122.9690000000001</v>
      </c>
      <c r="D1725" s="2">
        <f>HYPERLINK("http://mcb-m6.bioreg.kyushu-u.ac.jp/M3/20110404/F50776/2839/1", 126.07)</f>
        <v>126.07</v>
      </c>
      <c r="E1725" s="2">
        <v>104.69</v>
      </c>
      <c r="F1725" s="2">
        <v>2</v>
      </c>
      <c r="G1725" s="2" t="s">
        <v>9</v>
      </c>
      <c r="H1725" s="2" t="s">
        <v>4907</v>
      </c>
    </row>
    <row r="1726" spans="1:8" x14ac:dyDescent="0.2">
      <c r="A1726" s="2" t="s">
        <v>7744</v>
      </c>
      <c r="B1726" s="2" t="s">
        <v>6521</v>
      </c>
      <c r="C1726" s="2">
        <v>1122.558</v>
      </c>
      <c r="D1726" s="2">
        <f>HYPERLINK("http://mcb-m6.bioreg.kyushu-u.ac.jp/M3/20110404/F50781/2766/1", 74.76)</f>
        <v>74.760000000000005</v>
      </c>
      <c r="E1726" s="2">
        <v>66.53</v>
      </c>
      <c r="F1726" s="2">
        <v>2</v>
      </c>
      <c r="G1726" s="2" t="s">
        <v>10</v>
      </c>
      <c r="H1726" s="2" t="s">
        <v>4907</v>
      </c>
    </row>
    <row r="1727" spans="1:8" x14ac:dyDescent="0.2">
      <c r="A1727" s="2" t="s">
        <v>7744</v>
      </c>
      <c r="B1727" s="2" t="s">
        <v>6614</v>
      </c>
      <c r="C1727" s="2">
        <v>1179.068</v>
      </c>
      <c r="D1727" s="2">
        <f>HYPERLINK("http://mcb-m6.bioreg.kyushu-u.ac.jp/M3/20110404/F50781/2839/1", 98.42)</f>
        <v>98.42</v>
      </c>
      <c r="E1727" s="2">
        <v>86.65</v>
      </c>
      <c r="F1727" s="2">
        <v>2</v>
      </c>
      <c r="G1727" s="2" t="s">
        <v>10</v>
      </c>
    </row>
    <row r="1728" spans="1:8" x14ac:dyDescent="0.2">
      <c r="A1728" s="2" t="s">
        <v>7744</v>
      </c>
      <c r="B1728" s="2" t="s">
        <v>6521</v>
      </c>
      <c r="C1728" s="2">
        <v>1122.527</v>
      </c>
      <c r="D1728" s="2">
        <f>HYPERLINK("http://mcb-m6.bioreg.kyushu-u.ac.jp/M3/20110421/F51058/3245/1", 48.52)</f>
        <v>48.52</v>
      </c>
      <c r="E1728" s="2">
        <v>39.229999999999997</v>
      </c>
      <c r="F1728" s="2">
        <v>2</v>
      </c>
      <c r="G1728" s="2" t="s">
        <v>11</v>
      </c>
      <c r="H1728" s="2" t="s">
        <v>4907</v>
      </c>
    </row>
    <row r="1729" spans="1:8" x14ac:dyDescent="0.2">
      <c r="A1729" s="2" t="s">
        <v>7744</v>
      </c>
      <c r="B1729" s="2" t="s">
        <v>6521</v>
      </c>
      <c r="C1729" s="2">
        <v>1122.8910000000001</v>
      </c>
      <c r="D1729" s="2">
        <f>HYPERLINK("http://mcb-m6.bioreg.kyushu-u.ac.jp/M3/20110421/F51044/3407/1", 114.3)</f>
        <v>114.3</v>
      </c>
      <c r="E1729" s="2">
        <v>103.74</v>
      </c>
      <c r="F1729" s="2">
        <v>2</v>
      </c>
      <c r="G1729" s="2" t="s">
        <v>12</v>
      </c>
      <c r="H1729" s="2" t="s">
        <v>4907</v>
      </c>
    </row>
    <row r="1730" spans="1:8" x14ac:dyDescent="0.2">
      <c r="A1730" s="2" t="s">
        <v>7744</v>
      </c>
      <c r="B1730" s="2" t="s">
        <v>6521</v>
      </c>
      <c r="C1730" s="2">
        <v>1122.9359999999999</v>
      </c>
      <c r="D1730" s="2">
        <f>HYPERLINK("http://mcb-m6.bioreg.kyushu-u.ac.jp/M3/20110421/F51059/3321/1", 118.14)</f>
        <v>118.14</v>
      </c>
      <c r="E1730" s="2">
        <v>109.31</v>
      </c>
      <c r="F1730" s="2">
        <v>2</v>
      </c>
      <c r="G1730" s="2" t="s">
        <v>12</v>
      </c>
      <c r="H1730" s="2" t="s">
        <v>4907</v>
      </c>
    </row>
    <row r="1731" spans="1:8" x14ac:dyDescent="0.2">
      <c r="A1731" s="2" t="s">
        <v>7744</v>
      </c>
      <c r="B1731" s="2" t="s">
        <v>6521</v>
      </c>
      <c r="C1731" s="2">
        <v>1122.4059999999999</v>
      </c>
      <c r="D1731" s="2">
        <f>HYPERLINK("http://mcb-m6.bioreg.kyushu-u.ac.jp/M3/20110421/F51059/3319/1", 127.34)</f>
        <v>127.34</v>
      </c>
      <c r="E1731" s="2">
        <v>117.2</v>
      </c>
      <c r="F1731" s="2">
        <v>2</v>
      </c>
      <c r="G1731" s="2" t="s">
        <v>12</v>
      </c>
      <c r="H1731" s="2" t="s">
        <v>4907</v>
      </c>
    </row>
    <row r="1732" spans="1:8" x14ac:dyDescent="0.2">
      <c r="A1732" s="2" t="s">
        <v>7744</v>
      </c>
      <c r="B1732" s="2" t="s">
        <v>6521</v>
      </c>
      <c r="C1732" s="2">
        <v>1114.7909999999999</v>
      </c>
      <c r="D1732" s="2">
        <f>HYPERLINK("http://mcb-m6.bioreg.kyushu-u.ac.jp/M3/20110427/F51124/3177/1", 63.48)</f>
        <v>63.48</v>
      </c>
      <c r="E1732" s="2">
        <v>51.58</v>
      </c>
      <c r="F1732" s="2">
        <v>2</v>
      </c>
      <c r="G1732" s="2" t="s">
        <v>14</v>
      </c>
    </row>
    <row r="1733" spans="1:8" x14ac:dyDescent="0.2">
      <c r="A1733" s="2" t="s">
        <v>7744</v>
      </c>
      <c r="B1733" s="2" t="s">
        <v>6521</v>
      </c>
      <c r="C1733" s="2">
        <v>1122.193</v>
      </c>
      <c r="D1733" s="2">
        <f>HYPERLINK("http://mcb-m6.bioreg.kyushu-u.ac.jp/M3/20110427/F51123/3418/1", 73.97)</f>
        <v>73.97</v>
      </c>
      <c r="E1733" s="2">
        <v>65.150000000000006</v>
      </c>
      <c r="F1733" s="2">
        <v>2</v>
      </c>
      <c r="G1733" s="2" t="s">
        <v>14</v>
      </c>
      <c r="H1733" s="2" t="s">
        <v>4907</v>
      </c>
    </row>
    <row r="1734" spans="1:8" x14ac:dyDescent="0.2">
      <c r="A1734" s="2" t="s">
        <v>7744</v>
      </c>
      <c r="B1734" s="2" t="s">
        <v>6521</v>
      </c>
      <c r="C1734" s="2">
        <v>1114.742</v>
      </c>
      <c r="D1734" s="2">
        <f>HYPERLINK("http://mcb-m6.bioreg.kyushu-u.ac.jp/M3/20110428/F51135/2929/1", 99.49)</f>
        <v>99.49</v>
      </c>
      <c r="E1734" s="2">
        <v>91.22</v>
      </c>
      <c r="F1734" s="2">
        <v>2</v>
      </c>
      <c r="G1734" s="2" t="s">
        <v>14</v>
      </c>
    </row>
    <row r="1735" spans="1:8" x14ac:dyDescent="0.2">
      <c r="A1735" s="2" t="s">
        <v>7744</v>
      </c>
      <c r="B1735" s="2" t="s">
        <v>6521</v>
      </c>
      <c r="C1735" s="2">
        <v>1122.82</v>
      </c>
      <c r="D1735" s="2">
        <f>HYPERLINK("http://mcb-m6.bioreg.kyushu-u.ac.jp/M3/20110427/F51123/3420/1", 130.18)</f>
        <v>130.18</v>
      </c>
      <c r="E1735" s="2">
        <v>118.65</v>
      </c>
      <c r="F1735" s="2">
        <v>2</v>
      </c>
      <c r="G1735" s="2" t="s">
        <v>14</v>
      </c>
      <c r="H1735" s="2" t="s">
        <v>4907</v>
      </c>
    </row>
    <row r="1736" spans="1:8" x14ac:dyDescent="0.2">
      <c r="A1736" s="2" t="s">
        <v>7744</v>
      </c>
      <c r="B1736" s="2" t="s">
        <v>6521</v>
      </c>
      <c r="C1736" s="2">
        <v>1123.0050000000001</v>
      </c>
      <c r="D1736" s="2">
        <f>HYPERLINK("http://mcb-m6.bioreg.kyushu-u.ac.jp/M3/20110428/F51135/2943/1", 148.54)</f>
        <v>148.54</v>
      </c>
      <c r="E1736" s="2">
        <v>125.32</v>
      </c>
      <c r="F1736" s="2">
        <v>2</v>
      </c>
      <c r="G1736" s="2" t="s">
        <v>14</v>
      </c>
      <c r="H1736" s="2" t="s">
        <v>4907</v>
      </c>
    </row>
    <row r="1737" spans="1:8" x14ac:dyDescent="0.2">
      <c r="A1737" s="4" t="s">
        <v>7565</v>
      </c>
      <c r="B1737" s="2" t="s">
        <v>5996</v>
      </c>
      <c r="C1737" s="2">
        <v>880.35310000000004</v>
      </c>
      <c r="D1737" s="2">
        <f>HYPERLINK("http://mcb-m6.bioreg.kyushu-u.ac.jp/M3/20110404/F50767/2369/1", 38.12)</f>
        <v>38.119999999999997</v>
      </c>
      <c r="E1737" s="2">
        <v>23.95</v>
      </c>
      <c r="F1737" s="2">
        <v>2</v>
      </c>
      <c r="G1737" s="2" t="s">
        <v>9</v>
      </c>
      <c r="H1737" s="2" t="s">
        <v>4896</v>
      </c>
    </row>
    <row r="1738" spans="1:8" x14ac:dyDescent="0.2">
      <c r="A1738" s="4" t="s">
        <v>7565</v>
      </c>
      <c r="B1738" s="2" t="s">
        <v>5996</v>
      </c>
      <c r="C1738" s="2">
        <v>880.55820000000006</v>
      </c>
      <c r="D1738" s="2">
        <f>HYPERLINK("http://mcb-m6.bioreg.kyushu-u.ac.jp/M3/20110404/F50766/2360/1", 85.33)</f>
        <v>85.33</v>
      </c>
      <c r="E1738" s="2">
        <v>64.989999999999995</v>
      </c>
      <c r="F1738" s="2">
        <v>2</v>
      </c>
      <c r="G1738" s="2" t="s">
        <v>9</v>
      </c>
      <c r="H1738" s="2" t="s">
        <v>4896</v>
      </c>
    </row>
    <row r="1739" spans="1:8" x14ac:dyDescent="0.2">
      <c r="A1739" s="4" t="s">
        <v>7565</v>
      </c>
      <c r="B1739" s="2" t="s">
        <v>5996</v>
      </c>
      <c r="C1739" s="2">
        <v>888.70209999999997</v>
      </c>
      <c r="D1739" s="2">
        <f>HYPERLINK("http://mcb-m6.bioreg.kyushu-u.ac.jp/M3/20110404/F50766/2406/1", 88.98)</f>
        <v>88.98</v>
      </c>
      <c r="E1739" s="2">
        <v>68.39</v>
      </c>
      <c r="F1739" s="2">
        <v>2</v>
      </c>
      <c r="G1739" s="2" t="s">
        <v>9</v>
      </c>
      <c r="H1739" s="2" t="s">
        <v>8135</v>
      </c>
    </row>
    <row r="1740" spans="1:8" x14ac:dyDescent="0.2">
      <c r="A1740" s="4" t="s">
        <v>7565</v>
      </c>
      <c r="B1740" s="2" t="s">
        <v>5996</v>
      </c>
      <c r="C1740" s="2">
        <v>872.15219999999999</v>
      </c>
      <c r="D1740" s="2">
        <f>HYPERLINK("http://mcb-m6.bioreg.kyushu-u.ac.jp/M3/20110404/F50766/2314/1", 100.35)</f>
        <v>100.35</v>
      </c>
      <c r="E1740" s="2">
        <v>81.150000000000006</v>
      </c>
      <c r="F1740" s="2">
        <v>2</v>
      </c>
      <c r="G1740" s="2" t="s">
        <v>9</v>
      </c>
    </row>
    <row r="1741" spans="1:8" x14ac:dyDescent="0.2">
      <c r="A1741" s="4" t="s">
        <v>7565</v>
      </c>
      <c r="B1741" s="2" t="s">
        <v>5996</v>
      </c>
      <c r="C1741" s="2">
        <v>872.65809999999999</v>
      </c>
      <c r="D1741" s="2">
        <f>HYPERLINK("http://mcb-m6.bioreg.kyushu-u.ac.jp/M3/20110404/F50766/2316/1", 102.1)</f>
        <v>102.1</v>
      </c>
      <c r="E1741" s="2">
        <v>83.14</v>
      </c>
      <c r="F1741" s="2">
        <v>2</v>
      </c>
      <c r="G1741" s="2" t="s">
        <v>9</v>
      </c>
    </row>
    <row r="1742" spans="1:8" x14ac:dyDescent="0.2">
      <c r="A1742" s="4" t="s">
        <v>7565</v>
      </c>
      <c r="B1742" s="2" t="s">
        <v>5996</v>
      </c>
      <c r="C1742" s="2">
        <v>888.18960000000004</v>
      </c>
      <c r="D1742" s="2">
        <f>HYPERLINK("http://mcb-m6.bioreg.kyushu-u.ac.jp/M3/20110404/F50766/2399/1", 105.28)</f>
        <v>105.28</v>
      </c>
      <c r="E1742" s="2">
        <v>79.5</v>
      </c>
      <c r="F1742" s="2">
        <v>2</v>
      </c>
      <c r="G1742" s="2" t="s">
        <v>9</v>
      </c>
      <c r="H1742" s="2" t="s">
        <v>8135</v>
      </c>
    </row>
    <row r="1743" spans="1:8" x14ac:dyDescent="0.2">
      <c r="A1743" s="2" t="s">
        <v>3948</v>
      </c>
      <c r="B1743" s="2" t="s">
        <v>1269</v>
      </c>
      <c r="C1743" s="2">
        <v>505.20409999999998</v>
      </c>
      <c r="D1743" s="2">
        <f>HYPERLINK("http://mcb-m6.bioreg.kyushu-u.ac.jp/M3/20110404/F50755/1051/1", 61.57)</f>
        <v>61.57</v>
      </c>
      <c r="E1743" s="2">
        <v>35.799999999999997</v>
      </c>
      <c r="F1743" s="2">
        <v>2</v>
      </c>
      <c r="G1743" s="2" t="s">
        <v>9</v>
      </c>
    </row>
    <row r="1744" spans="1:8" x14ac:dyDescent="0.2">
      <c r="A1744" s="2" t="s">
        <v>3948</v>
      </c>
      <c r="B1744" s="2" t="s">
        <v>1508</v>
      </c>
      <c r="C1744" s="2">
        <v>661.30520000000001</v>
      </c>
      <c r="D1744" s="2">
        <f>HYPERLINK("http://mcb-m6.bioreg.kyushu-u.ac.jp/M3/20110404/F50755/1582/1", 68.1)</f>
        <v>68.099999999999994</v>
      </c>
      <c r="E1744" s="2">
        <v>47.65</v>
      </c>
      <c r="F1744" s="2">
        <v>2</v>
      </c>
      <c r="G1744" s="2" t="s">
        <v>9</v>
      </c>
    </row>
    <row r="1745" spans="1:7" x14ac:dyDescent="0.2">
      <c r="A1745" s="2" t="s">
        <v>3948</v>
      </c>
      <c r="B1745" s="2" t="s">
        <v>1149</v>
      </c>
      <c r="C1745" s="2">
        <v>593.74720000000002</v>
      </c>
      <c r="D1745" s="2">
        <f>HYPERLINK("http://mcb-m6.bioreg.kyushu-u.ac.jp/M3/20110421/F51018/1467/1", 60.51)</f>
        <v>60.51</v>
      </c>
      <c r="E1745" s="2">
        <v>45.27</v>
      </c>
      <c r="F1745" s="2">
        <v>2</v>
      </c>
      <c r="G1745" s="2" t="s">
        <v>11</v>
      </c>
    </row>
    <row r="1746" spans="1:7" x14ac:dyDescent="0.2">
      <c r="A1746" s="2" t="s">
        <v>3948</v>
      </c>
      <c r="B1746" s="2" t="s">
        <v>1508</v>
      </c>
      <c r="C1746" s="2">
        <v>661.21969999999999</v>
      </c>
      <c r="D1746" s="2">
        <f>HYPERLINK("http://mcb-m6.bioreg.kyushu-u.ac.jp/M3/20110427/F51113/1604/1", 95.24)</f>
        <v>95.24</v>
      </c>
      <c r="E1746" s="2">
        <v>74.989999999999995</v>
      </c>
      <c r="F1746" s="2">
        <v>2</v>
      </c>
      <c r="G1746" s="2" t="s">
        <v>13</v>
      </c>
    </row>
    <row r="1747" spans="1:7" x14ac:dyDescent="0.2">
      <c r="A1747" s="2" t="s">
        <v>3948</v>
      </c>
      <c r="B1747" s="2" t="s">
        <v>1614</v>
      </c>
      <c r="C1747" s="2">
        <v>717.1952</v>
      </c>
      <c r="D1747" s="2">
        <f>HYPERLINK("http://mcb-m6.bioreg.kyushu-u.ac.jp/M3/20110427/F51122/2077/1", 86.99)</f>
        <v>86.99</v>
      </c>
      <c r="E1747" s="2">
        <v>67.86</v>
      </c>
      <c r="F1747" s="2">
        <v>2</v>
      </c>
      <c r="G1747" s="2" t="s">
        <v>14</v>
      </c>
    </row>
    <row r="1748" spans="1:7" x14ac:dyDescent="0.2">
      <c r="A1748" s="2" t="s">
        <v>7617</v>
      </c>
      <c r="B1748" s="2" t="s">
        <v>6128</v>
      </c>
      <c r="C1748" s="2">
        <v>653.75210000000004</v>
      </c>
      <c r="D1748" s="2">
        <f>HYPERLINK("http://mcb-m6.bioreg.kyushu-u.ac.jp/M3/20110404/F50756/1543/1", 43.79)</f>
        <v>43.79</v>
      </c>
      <c r="E1748" s="2">
        <v>17.53</v>
      </c>
      <c r="F1748" s="2">
        <v>2</v>
      </c>
      <c r="G1748" s="2" t="s">
        <v>9</v>
      </c>
    </row>
    <row r="1749" spans="1:7" x14ac:dyDescent="0.2">
      <c r="A1749" s="2" t="s">
        <v>7617</v>
      </c>
      <c r="B1749" s="2" t="s">
        <v>6350</v>
      </c>
      <c r="C1749" s="2">
        <v>612.7731</v>
      </c>
      <c r="D1749" s="2">
        <f>HYPERLINK("http://mcb-m6.bioreg.kyushu-u.ac.jp/M3/20110404/F50756/1415/1", 55.8)</f>
        <v>55.8</v>
      </c>
      <c r="E1749" s="2">
        <v>40.24</v>
      </c>
      <c r="F1749" s="2">
        <v>2</v>
      </c>
      <c r="G1749" s="2" t="s">
        <v>9</v>
      </c>
    </row>
    <row r="1750" spans="1:7" x14ac:dyDescent="0.2">
      <c r="A1750" s="2" t="s">
        <v>7617</v>
      </c>
      <c r="B1750" s="2" t="s">
        <v>6410</v>
      </c>
      <c r="C1750" s="2">
        <v>830.87070000000006</v>
      </c>
      <c r="D1750" s="2">
        <f>HYPERLINK("http://mcb-m6.bioreg.kyushu-u.ac.jp/M3/20110404/F50756/2380/1", 60.86)</f>
        <v>60.86</v>
      </c>
      <c r="E1750" s="2">
        <v>50.02</v>
      </c>
      <c r="F1750" s="2">
        <v>2</v>
      </c>
      <c r="G1750" s="2" t="s">
        <v>9</v>
      </c>
    </row>
    <row r="1751" spans="1:7" x14ac:dyDescent="0.2">
      <c r="A1751" s="2" t="s">
        <v>7617</v>
      </c>
      <c r="B1751" s="2" t="s">
        <v>6410</v>
      </c>
      <c r="C1751" s="2">
        <v>830.3492</v>
      </c>
      <c r="D1751" s="2">
        <f>HYPERLINK("http://mcb-m6.bioreg.kyushu-u.ac.jp/M3/20110404/F50756/2377/1", 84.78)</f>
        <v>84.78</v>
      </c>
      <c r="E1751" s="2">
        <v>64.400000000000006</v>
      </c>
      <c r="F1751" s="2">
        <v>2</v>
      </c>
      <c r="G1751" s="2" t="s">
        <v>9</v>
      </c>
    </row>
    <row r="1752" spans="1:7" x14ac:dyDescent="0.2">
      <c r="A1752" s="2" t="s">
        <v>7617</v>
      </c>
      <c r="B1752" s="2" t="s">
        <v>6350</v>
      </c>
      <c r="C1752" s="2">
        <v>612.91470000000004</v>
      </c>
      <c r="D1752" s="2">
        <f>HYPERLINK("http://mcb-m6.bioreg.kyushu-u.ac.jp/M3/20110404/F50761/1367/1", 55.41)</f>
        <v>55.41</v>
      </c>
      <c r="E1752" s="2">
        <v>36.99</v>
      </c>
      <c r="F1752" s="2">
        <v>2</v>
      </c>
      <c r="G1752" s="2" t="s">
        <v>10</v>
      </c>
    </row>
    <row r="1753" spans="1:7" x14ac:dyDescent="0.2">
      <c r="A1753" s="2" t="s">
        <v>7617</v>
      </c>
      <c r="B1753" s="2" t="s">
        <v>6410</v>
      </c>
      <c r="C1753" s="2">
        <v>830.40970000000004</v>
      </c>
      <c r="D1753" s="2">
        <f>HYPERLINK("http://mcb-m6.bioreg.kyushu-u.ac.jp/M3/20110404/F50761/2197/1", 77.26)</f>
        <v>77.260000000000005</v>
      </c>
      <c r="E1753" s="2">
        <v>65.33</v>
      </c>
      <c r="F1753" s="2">
        <v>2</v>
      </c>
      <c r="G1753" s="2" t="s">
        <v>10</v>
      </c>
    </row>
    <row r="1754" spans="1:7" x14ac:dyDescent="0.2">
      <c r="A1754" s="2" t="s">
        <v>7617</v>
      </c>
      <c r="B1754" s="2" t="s">
        <v>6410</v>
      </c>
      <c r="C1754" s="2">
        <v>830.90009999999995</v>
      </c>
      <c r="D1754" s="2">
        <f>HYPERLINK("http://mcb-m6.bioreg.kyushu-u.ac.jp/M3/20110404/F50781/2047/1", 77.57)</f>
        <v>77.569999999999993</v>
      </c>
      <c r="E1754" s="2">
        <v>64.88</v>
      </c>
      <c r="F1754" s="2">
        <v>2</v>
      </c>
      <c r="G1754" s="2" t="s">
        <v>10</v>
      </c>
    </row>
    <row r="1755" spans="1:7" x14ac:dyDescent="0.2">
      <c r="A1755" s="2" t="s">
        <v>7617</v>
      </c>
      <c r="B1755" s="2" t="s">
        <v>6410</v>
      </c>
      <c r="C1755" s="2">
        <v>830.19920000000002</v>
      </c>
      <c r="D1755" s="2">
        <f>HYPERLINK("http://mcb-m6.bioreg.kyushu-u.ac.jp/M3/20110421/F51044/2467/1", 40.18)</f>
        <v>40.18</v>
      </c>
      <c r="E1755" s="2">
        <v>34.25</v>
      </c>
      <c r="F1755" s="2">
        <v>2</v>
      </c>
      <c r="G1755" s="2" t="s">
        <v>12</v>
      </c>
    </row>
    <row r="1756" spans="1:7" x14ac:dyDescent="0.2">
      <c r="A1756" s="2" t="s">
        <v>7617</v>
      </c>
      <c r="B1756" s="2" t="s">
        <v>6410</v>
      </c>
      <c r="C1756" s="2">
        <v>830.64120000000003</v>
      </c>
      <c r="D1756" s="2">
        <f>HYPERLINK("http://mcb-m6.bioreg.kyushu-u.ac.jp/M3/20110428/F51131/2273/1", 72.73)</f>
        <v>72.73</v>
      </c>
      <c r="E1756" s="2">
        <v>59.31</v>
      </c>
      <c r="F1756" s="2">
        <v>2</v>
      </c>
      <c r="G1756" s="2" t="s">
        <v>13</v>
      </c>
    </row>
    <row r="1757" spans="1:7" x14ac:dyDescent="0.2">
      <c r="A1757" s="2" t="s">
        <v>7617</v>
      </c>
      <c r="B1757" s="2" t="s">
        <v>7469</v>
      </c>
      <c r="C1757" s="2">
        <v>690.82370000000003</v>
      </c>
      <c r="D1757" s="2">
        <f>HYPERLINK("http://mcb-m6.bioreg.kyushu-u.ac.jp/M3/20110427/F51123/1795/1", 38.18)</f>
        <v>38.18</v>
      </c>
      <c r="E1757" s="2">
        <v>18.670000000000002</v>
      </c>
      <c r="F1757" s="2">
        <v>2</v>
      </c>
      <c r="G1757" s="2" t="s">
        <v>14</v>
      </c>
    </row>
    <row r="1758" spans="1:7" x14ac:dyDescent="0.2">
      <c r="A1758" s="2" t="s">
        <v>7617</v>
      </c>
      <c r="B1758" s="2" t="s">
        <v>7477</v>
      </c>
      <c r="C1758" s="2">
        <v>669.29359999999997</v>
      </c>
      <c r="D1758" s="2">
        <f>HYPERLINK("http://mcb-m6.bioreg.kyushu-u.ac.jp/M3/20110427/F51123/1674/1", 39.69)</f>
        <v>39.69</v>
      </c>
      <c r="E1758" s="2">
        <v>25.27</v>
      </c>
      <c r="F1758" s="2">
        <v>2</v>
      </c>
      <c r="G1758" s="2" t="s">
        <v>14</v>
      </c>
    </row>
    <row r="1759" spans="1:7" x14ac:dyDescent="0.2">
      <c r="A1759" s="2" t="s">
        <v>7617</v>
      </c>
      <c r="B1759" s="2" t="s">
        <v>6128</v>
      </c>
      <c r="C1759" s="2">
        <v>653.87120000000004</v>
      </c>
      <c r="D1759" s="2">
        <f>HYPERLINK("http://mcb-m6.bioreg.kyushu-u.ac.jp/M3/20110427/F51123/1613/1", 53.04)</f>
        <v>53.04</v>
      </c>
      <c r="E1759" s="2">
        <v>20.68</v>
      </c>
      <c r="F1759" s="2">
        <v>2</v>
      </c>
      <c r="G1759" s="2" t="s">
        <v>14</v>
      </c>
    </row>
    <row r="1760" spans="1:7" x14ac:dyDescent="0.2">
      <c r="A1760" s="2" t="s">
        <v>7617</v>
      </c>
      <c r="B1760" s="2" t="s">
        <v>6410</v>
      </c>
      <c r="C1760" s="2">
        <v>830.73069999999996</v>
      </c>
      <c r="D1760" s="2">
        <f>HYPERLINK("http://mcb-m6.bioreg.kyushu-u.ac.jp/M3/20110427/F51123/2472/1", 73.6)</f>
        <v>73.599999999999994</v>
      </c>
      <c r="E1760" s="2">
        <v>61.16</v>
      </c>
      <c r="F1760" s="2">
        <v>2</v>
      </c>
      <c r="G1760" s="2" t="s">
        <v>14</v>
      </c>
    </row>
    <row r="1761" spans="1:8" x14ac:dyDescent="0.2">
      <c r="A1761" s="2" t="s">
        <v>7617</v>
      </c>
      <c r="B1761" s="2" t="s">
        <v>6410</v>
      </c>
      <c r="C1761" s="2">
        <v>830.22559999999999</v>
      </c>
      <c r="D1761" s="2">
        <f>HYPERLINK("http://mcb-m6.bioreg.kyushu-u.ac.jp/M3/20110427/F51123/2467/1", 101.27)</f>
        <v>101.27</v>
      </c>
      <c r="E1761" s="2">
        <v>83.23</v>
      </c>
      <c r="F1761" s="2">
        <v>2</v>
      </c>
      <c r="G1761" s="2" t="s">
        <v>14</v>
      </c>
    </row>
    <row r="1762" spans="1:8" x14ac:dyDescent="0.2">
      <c r="A1762" s="2" t="s">
        <v>5729</v>
      </c>
      <c r="B1762" s="2" t="s">
        <v>6914</v>
      </c>
      <c r="C1762" s="2">
        <v>1016.829</v>
      </c>
      <c r="D1762" s="2">
        <f>HYPERLINK("http://mcb-m6.bioreg.kyushu-u.ac.jp/M3/20110404/F50761/2863/1", 58.74)</f>
        <v>58.74</v>
      </c>
      <c r="E1762" s="2">
        <v>42.87</v>
      </c>
      <c r="F1762" s="2">
        <v>2</v>
      </c>
      <c r="G1762" s="2" t="s">
        <v>10</v>
      </c>
    </row>
    <row r="1763" spans="1:8" x14ac:dyDescent="0.2">
      <c r="A1763" s="2" t="s">
        <v>5729</v>
      </c>
      <c r="B1763" s="2" t="s">
        <v>7453</v>
      </c>
      <c r="C1763" s="2">
        <v>539.7441</v>
      </c>
      <c r="D1763" s="2">
        <f>HYPERLINK("http://mcb-m6.bioreg.kyushu-u.ac.jp/M3/20110427/F51123/1200/1", 35.87)</f>
        <v>35.869999999999997</v>
      </c>
      <c r="E1763" s="2">
        <v>12.03</v>
      </c>
      <c r="F1763" s="2">
        <v>2</v>
      </c>
      <c r="G1763" s="2" t="s">
        <v>14</v>
      </c>
    </row>
    <row r="1764" spans="1:8" x14ac:dyDescent="0.2">
      <c r="A1764" s="2" t="s">
        <v>3978</v>
      </c>
      <c r="B1764" s="2" t="s">
        <v>2101</v>
      </c>
      <c r="C1764" s="2">
        <v>593.25670000000002</v>
      </c>
      <c r="D1764" s="2">
        <f>HYPERLINK("http://mcb-m6.bioreg.kyushu-u.ac.jp/M3/20110404/F50756/1319/1", 66.72)</f>
        <v>66.72</v>
      </c>
      <c r="E1764" s="2">
        <v>46.48</v>
      </c>
      <c r="F1764" s="2">
        <v>2</v>
      </c>
      <c r="G1764" s="2" t="s">
        <v>9</v>
      </c>
    </row>
    <row r="1765" spans="1:8" x14ac:dyDescent="0.2">
      <c r="A1765" s="2" t="s">
        <v>3978</v>
      </c>
      <c r="B1765" s="2" t="s">
        <v>1225</v>
      </c>
      <c r="C1765" s="2">
        <v>1273.5930000000001</v>
      </c>
      <c r="D1765" s="2">
        <f>HYPERLINK("http://mcb-m6.bioreg.kyushu-u.ac.jp/M3/20110404/F50761/1429/1", 39.28)</f>
        <v>39.28</v>
      </c>
      <c r="E1765" s="2">
        <v>23.88</v>
      </c>
      <c r="F1765" s="2">
        <v>1</v>
      </c>
      <c r="G1765" s="2" t="s">
        <v>10</v>
      </c>
    </row>
    <row r="1766" spans="1:8" x14ac:dyDescent="0.2">
      <c r="A1766" s="2" t="s">
        <v>3978</v>
      </c>
      <c r="B1766" s="2" t="s">
        <v>2101</v>
      </c>
      <c r="C1766" s="2">
        <v>600.6866</v>
      </c>
      <c r="D1766" s="2">
        <f>HYPERLINK("http://mcb-m6.bioreg.kyushu-u.ac.jp/M3/20110404/F50761/1323/1", 51.2)</f>
        <v>51.2</v>
      </c>
      <c r="E1766" s="2">
        <v>34.450000000000003</v>
      </c>
      <c r="F1766" s="2">
        <v>2</v>
      </c>
      <c r="G1766" s="2" t="s">
        <v>10</v>
      </c>
      <c r="H1766" s="2" t="s">
        <v>4910</v>
      </c>
    </row>
    <row r="1767" spans="1:8" x14ac:dyDescent="0.2">
      <c r="A1767" s="2" t="s">
        <v>3978</v>
      </c>
      <c r="B1767" s="2" t="s">
        <v>2002</v>
      </c>
      <c r="C1767" s="2">
        <v>452.17910000000001</v>
      </c>
      <c r="D1767" s="2">
        <f>HYPERLINK("http://mcb-m6.bioreg.kyushu-u.ac.jp/M3/20110404/F50761/816/1", 54)</f>
        <v>54</v>
      </c>
      <c r="E1767" s="2">
        <v>28.92</v>
      </c>
      <c r="F1767" s="2">
        <v>2</v>
      </c>
      <c r="G1767" s="2" t="s">
        <v>10</v>
      </c>
    </row>
    <row r="1768" spans="1:8" x14ac:dyDescent="0.2">
      <c r="A1768" s="2" t="s">
        <v>3978</v>
      </c>
      <c r="B1768" s="2" t="s">
        <v>2101</v>
      </c>
      <c r="C1768" s="2">
        <v>592.95169999999996</v>
      </c>
      <c r="D1768" s="2">
        <f>HYPERLINK("http://mcb-m6.bioreg.kyushu-u.ac.jp/M3/20110404/F50761/1287/1", 71.06)</f>
        <v>71.06</v>
      </c>
      <c r="E1768" s="2">
        <v>49.92</v>
      </c>
      <c r="F1768" s="2">
        <v>2</v>
      </c>
      <c r="G1768" s="2" t="s">
        <v>10</v>
      </c>
    </row>
    <row r="1769" spans="1:8" x14ac:dyDescent="0.2">
      <c r="A1769" s="2" t="s">
        <v>3978</v>
      </c>
      <c r="B1769" s="2" t="s">
        <v>1225</v>
      </c>
      <c r="C1769" s="2">
        <v>637.73069999999996</v>
      </c>
      <c r="D1769" s="2">
        <f>HYPERLINK("http://mcb-m6.bioreg.kyushu-u.ac.jp/M3/20110404/F50761/1431/1", 80.1)</f>
        <v>80.099999999999994</v>
      </c>
      <c r="E1769" s="2">
        <v>32.200000000000003</v>
      </c>
      <c r="F1769" s="2">
        <v>2</v>
      </c>
      <c r="G1769" s="2" t="s">
        <v>10</v>
      </c>
    </row>
    <row r="1770" spans="1:8" x14ac:dyDescent="0.2">
      <c r="A1770" s="2" t="s">
        <v>3978</v>
      </c>
      <c r="B1770" s="2" t="s">
        <v>1225</v>
      </c>
      <c r="C1770" s="2">
        <v>645.23019999999997</v>
      </c>
      <c r="D1770" s="2">
        <f>HYPERLINK("http://mcb-m6.bioreg.kyushu-u.ac.jp/M3/20110404/F50761/1450/1", 85.48)</f>
        <v>85.48</v>
      </c>
      <c r="E1770" s="2">
        <v>66.069999999999993</v>
      </c>
      <c r="F1770" s="2">
        <v>2</v>
      </c>
      <c r="G1770" s="2" t="s">
        <v>10</v>
      </c>
      <c r="H1770" s="2" t="s">
        <v>4900</v>
      </c>
    </row>
    <row r="1771" spans="1:8" x14ac:dyDescent="0.2">
      <c r="A1771" s="2" t="s">
        <v>3978</v>
      </c>
      <c r="B1771" s="2" t="s">
        <v>1225</v>
      </c>
      <c r="C1771" s="2">
        <v>637.80269999999996</v>
      </c>
      <c r="D1771" s="2">
        <f>HYPERLINK("http://mcb-m6.bioreg.kyushu-u.ac.jp/M3/20110421/F51058/1340/1", 45.43)</f>
        <v>45.43</v>
      </c>
      <c r="E1771" s="2">
        <v>17.13</v>
      </c>
      <c r="F1771" s="2">
        <v>2</v>
      </c>
      <c r="G1771" s="2" t="s">
        <v>11</v>
      </c>
    </row>
    <row r="1772" spans="1:8" x14ac:dyDescent="0.2">
      <c r="A1772" s="2" t="s">
        <v>3978</v>
      </c>
      <c r="B1772" s="2" t="s">
        <v>1225</v>
      </c>
      <c r="C1772" s="2">
        <v>637.66520000000003</v>
      </c>
      <c r="D1772" s="2">
        <f>HYPERLINK("http://mcb-m6.bioreg.kyushu-u.ac.jp/M3/20110421/F51043/1527/1", 68.97)</f>
        <v>68.97</v>
      </c>
      <c r="E1772" s="2">
        <v>35.770000000000003</v>
      </c>
      <c r="F1772" s="2">
        <v>2</v>
      </c>
      <c r="G1772" s="2" t="s">
        <v>12</v>
      </c>
    </row>
    <row r="1773" spans="1:8" x14ac:dyDescent="0.2">
      <c r="A1773" s="2" t="s">
        <v>3978</v>
      </c>
      <c r="B1773" s="2" t="s">
        <v>1225</v>
      </c>
      <c r="C1773" s="2">
        <v>645.34370000000001</v>
      </c>
      <c r="D1773" s="2">
        <f>HYPERLINK("http://mcb-m6.bioreg.kyushu-u.ac.jp/M3/20110421/F51045/1737/1", 75.11)</f>
        <v>75.11</v>
      </c>
      <c r="E1773" s="2">
        <v>57.3</v>
      </c>
      <c r="F1773" s="2">
        <v>2</v>
      </c>
      <c r="G1773" s="2" t="s">
        <v>12</v>
      </c>
      <c r="H1773" s="2" t="s">
        <v>4900</v>
      </c>
    </row>
    <row r="1774" spans="1:8" x14ac:dyDescent="0.2">
      <c r="A1774" s="2" t="s">
        <v>3978</v>
      </c>
      <c r="B1774" s="2" t="s">
        <v>1225</v>
      </c>
      <c r="C1774" s="2">
        <v>645.08720000000005</v>
      </c>
      <c r="D1774" s="2">
        <f>HYPERLINK("http://mcb-m6.bioreg.kyushu-u.ac.jp/M3/20110421/F51044/1494/1", 77.3)</f>
        <v>77.3</v>
      </c>
      <c r="E1774" s="2">
        <v>57.65</v>
      </c>
      <c r="F1774" s="2">
        <v>2</v>
      </c>
      <c r="G1774" s="2" t="s">
        <v>12</v>
      </c>
      <c r="H1774" s="2" t="s">
        <v>4900</v>
      </c>
    </row>
    <row r="1775" spans="1:8" x14ac:dyDescent="0.2">
      <c r="A1775" s="2" t="s">
        <v>3978</v>
      </c>
      <c r="B1775" s="2" t="s">
        <v>1225</v>
      </c>
      <c r="C1775" s="2">
        <v>637.10019999999997</v>
      </c>
      <c r="D1775" s="2">
        <f>HYPERLINK("http://mcb-m6.bioreg.kyushu-u.ac.jp/M3/20110427/F51114/1512/1", 45.48)</f>
        <v>45.48</v>
      </c>
      <c r="E1775" s="2">
        <v>15.62</v>
      </c>
      <c r="F1775" s="2">
        <v>2</v>
      </c>
      <c r="G1775" s="2" t="s">
        <v>13</v>
      </c>
    </row>
    <row r="1776" spans="1:8" x14ac:dyDescent="0.2">
      <c r="A1776" s="2" t="s">
        <v>3978</v>
      </c>
      <c r="B1776" s="2" t="s">
        <v>1225</v>
      </c>
      <c r="C1776" s="2">
        <v>637.3492</v>
      </c>
      <c r="D1776" s="2">
        <f>HYPERLINK("http://mcb-m6.bioreg.kyushu-u.ac.jp/M3/20110428/F51127/1348/1", 47.52)</f>
        <v>47.52</v>
      </c>
      <c r="E1776" s="2">
        <v>24.22</v>
      </c>
      <c r="F1776" s="2">
        <v>2</v>
      </c>
      <c r="G1776" s="2" t="s">
        <v>13</v>
      </c>
    </row>
    <row r="1777" spans="1:8" x14ac:dyDescent="0.2">
      <c r="A1777" s="2" t="s">
        <v>3978</v>
      </c>
      <c r="B1777" s="2" t="s">
        <v>1225</v>
      </c>
      <c r="C1777" s="2">
        <v>637.65920000000006</v>
      </c>
      <c r="D1777" s="2">
        <f>HYPERLINK("http://mcb-m6.bioreg.kyushu-u.ac.jp/M3/20110428/F51131/1306/1", 56.25)</f>
        <v>56.25</v>
      </c>
      <c r="E1777" s="2">
        <v>25.72</v>
      </c>
      <c r="F1777" s="2">
        <v>2</v>
      </c>
      <c r="G1777" s="2" t="s">
        <v>13</v>
      </c>
    </row>
    <row r="1778" spans="1:8" x14ac:dyDescent="0.2">
      <c r="A1778" s="2" t="s">
        <v>3978</v>
      </c>
      <c r="B1778" s="2" t="s">
        <v>2002</v>
      </c>
      <c r="C1778" s="2">
        <v>452.35559999999998</v>
      </c>
      <c r="D1778" s="2">
        <f>HYPERLINK("http://mcb-m6.bioreg.kyushu-u.ac.jp/M3/20110428/F51131/542/1", 63.53)</f>
        <v>63.53</v>
      </c>
      <c r="E1778" s="2">
        <v>36.71</v>
      </c>
      <c r="F1778" s="2">
        <v>2</v>
      </c>
      <c r="G1778" s="2" t="s">
        <v>13</v>
      </c>
    </row>
    <row r="1779" spans="1:8" x14ac:dyDescent="0.2">
      <c r="A1779" s="2" t="s">
        <v>3978</v>
      </c>
      <c r="B1779" s="2" t="s">
        <v>2002</v>
      </c>
      <c r="C1779" s="2">
        <v>452.12110000000001</v>
      </c>
      <c r="D1779" s="2">
        <f>HYPERLINK("http://mcb-m6.bioreg.kyushu-u.ac.jp/M3/20110427/F51123/842/1", 40.63)</f>
        <v>40.630000000000003</v>
      </c>
      <c r="E1779" s="2">
        <v>15.9</v>
      </c>
      <c r="F1779" s="2">
        <v>2</v>
      </c>
      <c r="G1779" s="2" t="s">
        <v>14</v>
      </c>
    </row>
    <row r="1780" spans="1:8" x14ac:dyDescent="0.2">
      <c r="A1780" s="2" t="s">
        <v>3978</v>
      </c>
      <c r="B1780" s="2" t="s">
        <v>2101</v>
      </c>
      <c r="C1780" s="2">
        <v>592.67409999999995</v>
      </c>
      <c r="D1780" s="2">
        <f>HYPERLINK("http://mcb-m6.bioreg.kyushu-u.ac.jp/M3/20110427/F51123/1403/1", 44.9)</f>
        <v>44.9</v>
      </c>
      <c r="E1780" s="2">
        <v>30.19</v>
      </c>
      <c r="F1780" s="2">
        <v>2</v>
      </c>
      <c r="G1780" s="2" t="s">
        <v>14</v>
      </c>
    </row>
    <row r="1781" spans="1:8" x14ac:dyDescent="0.2">
      <c r="A1781" s="2" t="s">
        <v>3978</v>
      </c>
      <c r="B1781" s="2" t="s">
        <v>1225</v>
      </c>
      <c r="C1781" s="2">
        <v>637.33169999999996</v>
      </c>
      <c r="D1781" s="2">
        <f>HYPERLINK("http://mcb-m6.bioreg.kyushu-u.ac.jp/M3/20110428/F51128/1491/1", 69.61)</f>
        <v>69.61</v>
      </c>
      <c r="E1781" s="2">
        <v>26.38</v>
      </c>
      <c r="F1781" s="2">
        <v>2</v>
      </c>
      <c r="G1781" s="2" t="s">
        <v>14</v>
      </c>
    </row>
    <row r="1782" spans="1:8" x14ac:dyDescent="0.2">
      <c r="A1782" s="2" t="s">
        <v>3978</v>
      </c>
      <c r="B1782" s="2" t="s">
        <v>1225</v>
      </c>
      <c r="C1782" s="2">
        <v>637.18520000000001</v>
      </c>
      <c r="D1782" s="2">
        <f>HYPERLINK("http://mcb-m6.bioreg.kyushu-u.ac.jp/M3/20110427/F51123/1559/1", 79.93)</f>
        <v>79.930000000000007</v>
      </c>
      <c r="E1782" s="2">
        <v>38.229999999999997</v>
      </c>
      <c r="F1782" s="2">
        <v>2</v>
      </c>
      <c r="G1782" s="2" t="s">
        <v>14</v>
      </c>
    </row>
    <row r="1783" spans="1:8" x14ac:dyDescent="0.2">
      <c r="A1783" s="2" t="s">
        <v>3978</v>
      </c>
      <c r="B1783" s="2" t="s">
        <v>1225</v>
      </c>
      <c r="C1783" s="2">
        <v>645.17020000000002</v>
      </c>
      <c r="D1783" s="2">
        <f>HYPERLINK("http://mcb-m6.bioreg.kyushu-u.ac.jp/M3/20110427/F51123/1579/1", 88.08)</f>
        <v>88.08</v>
      </c>
      <c r="E1783" s="2">
        <v>64.180000000000007</v>
      </c>
      <c r="F1783" s="2">
        <v>2</v>
      </c>
      <c r="G1783" s="2" t="s">
        <v>14</v>
      </c>
      <c r="H1783" s="2" t="s">
        <v>4900</v>
      </c>
    </row>
    <row r="1784" spans="1:8" x14ac:dyDescent="0.2">
      <c r="A1784" s="2" t="s">
        <v>3457</v>
      </c>
      <c r="B1784" s="2" t="s">
        <v>1037</v>
      </c>
      <c r="C1784" s="2">
        <v>724.90120000000002</v>
      </c>
      <c r="D1784" s="2">
        <f>HYPERLINK("http://mcb-m6.bioreg.kyushu-u.ac.jp/M3/20110404/F50767/1650/1", 38.62)</f>
        <v>38.619999999999997</v>
      </c>
      <c r="E1784" s="2">
        <v>22.88</v>
      </c>
      <c r="F1784" s="2">
        <v>2</v>
      </c>
      <c r="G1784" s="2" t="s">
        <v>9</v>
      </c>
    </row>
    <row r="1785" spans="1:8" x14ac:dyDescent="0.2">
      <c r="A1785" s="2" t="s">
        <v>3457</v>
      </c>
      <c r="B1785" s="2" t="s">
        <v>1037</v>
      </c>
      <c r="C1785" s="2">
        <v>1447.675</v>
      </c>
      <c r="D1785" s="2">
        <f>HYPERLINK("http://mcb-m6.bioreg.kyushu-u.ac.jp/M3/20110404/F50756/1893/1", 47)</f>
        <v>47</v>
      </c>
      <c r="E1785" s="2">
        <v>40.380000000000003</v>
      </c>
      <c r="F1785" s="2">
        <v>1</v>
      </c>
      <c r="G1785" s="2" t="s">
        <v>9</v>
      </c>
    </row>
    <row r="1786" spans="1:8" x14ac:dyDescent="0.2">
      <c r="A1786" s="2" t="s">
        <v>3457</v>
      </c>
      <c r="B1786" s="2" t="s">
        <v>1037</v>
      </c>
      <c r="C1786" s="2">
        <v>1447.5060000000001</v>
      </c>
      <c r="D1786" s="2">
        <f>HYPERLINK("http://mcb-m6.bioreg.kyushu-u.ac.jp/M3/20110404/F50755/1872/1", 51.37)</f>
        <v>51.37</v>
      </c>
      <c r="E1786" s="2">
        <v>40.479999999999997</v>
      </c>
      <c r="F1786" s="2">
        <v>1</v>
      </c>
      <c r="G1786" s="2" t="s">
        <v>9</v>
      </c>
    </row>
    <row r="1787" spans="1:8" x14ac:dyDescent="0.2">
      <c r="A1787" s="2" t="s">
        <v>3457</v>
      </c>
      <c r="B1787" s="2" t="s">
        <v>1037</v>
      </c>
      <c r="C1787" s="2">
        <v>724.28219999999999</v>
      </c>
      <c r="D1787" s="2">
        <f>HYPERLINK("http://mcb-m6.bioreg.kyushu-u.ac.jp/M3/20110404/F50767/1645/1", 53.25)</f>
        <v>53.25</v>
      </c>
      <c r="E1787" s="2">
        <v>34.619999999999997</v>
      </c>
      <c r="F1787" s="2">
        <v>2</v>
      </c>
      <c r="G1787" s="2" t="s">
        <v>9</v>
      </c>
    </row>
    <row r="1788" spans="1:8" x14ac:dyDescent="0.2">
      <c r="A1788" s="2" t="s">
        <v>3457</v>
      </c>
      <c r="B1788" s="2" t="s">
        <v>1037</v>
      </c>
      <c r="C1788" s="2">
        <v>1448.7950000000001</v>
      </c>
      <c r="D1788" s="2">
        <f>HYPERLINK("http://mcb-m6.bioreg.kyushu-u.ac.jp/M3/20110404/F50756/1898/1", 53.82)</f>
        <v>53.82</v>
      </c>
      <c r="E1788" s="2">
        <v>44.61</v>
      </c>
      <c r="F1788" s="2">
        <v>1</v>
      </c>
      <c r="G1788" s="2" t="s">
        <v>9</v>
      </c>
    </row>
    <row r="1789" spans="1:8" x14ac:dyDescent="0.2">
      <c r="A1789" s="2" t="s">
        <v>3457</v>
      </c>
      <c r="B1789" s="2" t="s">
        <v>1037</v>
      </c>
      <c r="C1789" s="2">
        <v>1447.8</v>
      </c>
      <c r="D1789" s="2">
        <f>HYPERLINK("http://mcb-m6.bioreg.kyushu-u.ac.jp/M3/20110404/F50776/1726/1", 60.29)</f>
        <v>60.29</v>
      </c>
      <c r="E1789" s="2">
        <v>48.12</v>
      </c>
      <c r="F1789" s="2">
        <v>1</v>
      </c>
      <c r="G1789" s="2" t="s">
        <v>9</v>
      </c>
    </row>
    <row r="1790" spans="1:8" x14ac:dyDescent="0.2">
      <c r="A1790" s="2" t="s">
        <v>3457</v>
      </c>
      <c r="B1790" s="2" t="s">
        <v>2661</v>
      </c>
      <c r="C1790" s="2">
        <v>883.88570000000004</v>
      </c>
      <c r="D1790" s="2">
        <f>HYPERLINK("http://mcb-m6.bioreg.kyushu-u.ac.jp/M3/20110404/F50776/2149/1", 78.65)</f>
        <v>78.650000000000006</v>
      </c>
      <c r="E1790" s="2">
        <v>57.17</v>
      </c>
      <c r="F1790" s="2">
        <v>2</v>
      </c>
      <c r="G1790" s="2" t="s">
        <v>9</v>
      </c>
    </row>
    <row r="1791" spans="1:8" x14ac:dyDescent="0.2">
      <c r="A1791" s="2" t="s">
        <v>3457</v>
      </c>
      <c r="B1791" s="2" t="s">
        <v>1037</v>
      </c>
      <c r="C1791" s="2">
        <v>724.32420000000002</v>
      </c>
      <c r="D1791" s="2">
        <f>HYPERLINK("http://mcb-m6.bioreg.kyushu-u.ac.jp/M3/20110404/F50756/1892/1", 81.47)</f>
        <v>81.47</v>
      </c>
      <c r="E1791" s="2">
        <v>52.64</v>
      </c>
      <c r="F1791" s="2">
        <v>2</v>
      </c>
      <c r="G1791" s="2" t="s">
        <v>9</v>
      </c>
    </row>
    <row r="1792" spans="1:8" x14ac:dyDescent="0.2">
      <c r="A1792" s="2" t="s">
        <v>3457</v>
      </c>
      <c r="B1792" s="2" t="s">
        <v>1037</v>
      </c>
      <c r="C1792" s="2">
        <v>724.75919999999996</v>
      </c>
      <c r="D1792" s="2">
        <f>HYPERLINK("http://mcb-m6.bioreg.kyushu-u.ac.jp/M3/20110404/F50766/1458/1", 86.83)</f>
        <v>86.83</v>
      </c>
      <c r="E1792" s="2">
        <v>55.98</v>
      </c>
      <c r="F1792" s="2">
        <v>2</v>
      </c>
      <c r="G1792" s="2" t="s">
        <v>9</v>
      </c>
    </row>
    <row r="1793" spans="1:9" x14ac:dyDescent="0.2">
      <c r="A1793" s="2" t="s">
        <v>3457</v>
      </c>
      <c r="B1793" s="2" t="s">
        <v>1037</v>
      </c>
      <c r="C1793" s="2">
        <v>724.55769999999995</v>
      </c>
      <c r="D1793" s="2">
        <f>HYPERLINK("http://mcb-m6.bioreg.kyushu-u.ac.jp/M3/20110404/F50754/2060/1", 90.73)</f>
        <v>90.73</v>
      </c>
      <c r="E1793" s="2">
        <v>56.93</v>
      </c>
      <c r="F1793" s="2">
        <v>2</v>
      </c>
      <c r="G1793" s="2" t="s">
        <v>9</v>
      </c>
    </row>
    <row r="1794" spans="1:9" x14ac:dyDescent="0.2">
      <c r="A1794" s="2" t="s">
        <v>3457</v>
      </c>
      <c r="B1794" s="2" t="s">
        <v>1037</v>
      </c>
      <c r="C1794" s="2">
        <v>724.82069999999999</v>
      </c>
      <c r="D1794" s="2">
        <f>HYPERLINK("http://mcb-m6.bioreg.kyushu-u.ac.jp/M3/20110404/F50776/1727/1", 90.8)</f>
        <v>90.8</v>
      </c>
      <c r="E1794" s="2">
        <v>48.15</v>
      </c>
      <c r="F1794" s="2">
        <v>2</v>
      </c>
      <c r="G1794" s="2" t="s">
        <v>9</v>
      </c>
    </row>
    <row r="1795" spans="1:9" x14ac:dyDescent="0.2">
      <c r="A1795" s="2" t="s">
        <v>3457</v>
      </c>
      <c r="B1795" s="2" t="s">
        <v>1037</v>
      </c>
      <c r="C1795" s="2">
        <v>724.79060000000004</v>
      </c>
      <c r="D1795" s="2">
        <f>HYPERLINK("http://mcb-m6.bioreg.kyushu-u.ac.jp/M3/20110404/F50761/1785/1", 55.33)</f>
        <v>55.33</v>
      </c>
      <c r="E1795" s="2">
        <v>39.86</v>
      </c>
      <c r="F1795" s="2">
        <v>2</v>
      </c>
      <c r="G1795" s="2" t="s">
        <v>10</v>
      </c>
    </row>
    <row r="1796" spans="1:9" x14ac:dyDescent="0.2">
      <c r="A1796" s="2" t="s">
        <v>3457</v>
      </c>
      <c r="B1796" s="2" t="s">
        <v>1037</v>
      </c>
      <c r="C1796" s="2">
        <v>724.28369999999995</v>
      </c>
      <c r="D1796" s="2">
        <f>HYPERLINK("http://mcb-m6.bioreg.kyushu-u.ac.jp/M3/20110404/F50760/1783/1", 63.14)</f>
        <v>63.14</v>
      </c>
      <c r="E1796" s="2">
        <v>37.78</v>
      </c>
      <c r="F1796" s="2">
        <v>2</v>
      </c>
      <c r="G1796" s="2" t="s">
        <v>10</v>
      </c>
    </row>
    <row r="1797" spans="1:9" x14ac:dyDescent="0.2">
      <c r="A1797" s="2" t="s">
        <v>3457</v>
      </c>
      <c r="B1797" s="2" t="s">
        <v>1037</v>
      </c>
      <c r="C1797" s="2">
        <v>724.30470000000003</v>
      </c>
      <c r="D1797" s="2">
        <f>HYPERLINK("http://mcb-m6.bioreg.kyushu-u.ac.jp/M3/20110404/F50758/1849/1", 66.2)</f>
        <v>66.2</v>
      </c>
      <c r="E1797" s="2">
        <v>38.1</v>
      </c>
      <c r="F1797" s="2">
        <v>2</v>
      </c>
      <c r="G1797" s="2" t="s">
        <v>10</v>
      </c>
    </row>
    <row r="1798" spans="1:9" x14ac:dyDescent="0.2">
      <c r="A1798" s="2" t="s">
        <v>3457</v>
      </c>
      <c r="B1798" s="2" t="s">
        <v>1037</v>
      </c>
      <c r="C1798" s="2">
        <v>724.26210000000003</v>
      </c>
      <c r="D1798" s="2">
        <f>HYPERLINK("http://mcb-m6.bioreg.kyushu-u.ac.jp/M3/20110404/F50761/1782/1", 86.14)</f>
        <v>86.14</v>
      </c>
      <c r="E1798" s="2">
        <v>47.04</v>
      </c>
      <c r="F1798" s="2">
        <v>2</v>
      </c>
      <c r="G1798" s="2" t="s">
        <v>10</v>
      </c>
    </row>
    <row r="1799" spans="1:9" x14ac:dyDescent="0.2">
      <c r="A1799" s="2" t="s">
        <v>3457</v>
      </c>
      <c r="B1799" s="2" t="s">
        <v>1037</v>
      </c>
      <c r="C1799" s="2">
        <v>724.30359999999996</v>
      </c>
      <c r="D1799" s="2">
        <f>HYPERLINK("http://mcb-m6.bioreg.kyushu-u.ac.jp/M3/20110404/F50781/1764/1", 95.63)</f>
        <v>95.63</v>
      </c>
      <c r="E1799" s="2">
        <v>51.09</v>
      </c>
      <c r="F1799" s="2">
        <v>2</v>
      </c>
      <c r="G1799" s="2" t="s">
        <v>10</v>
      </c>
    </row>
    <row r="1800" spans="1:9" x14ac:dyDescent="0.2">
      <c r="A1800" s="2" t="s">
        <v>3457</v>
      </c>
      <c r="B1800" s="2" t="s">
        <v>1037</v>
      </c>
      <c r="C1800" s="2">
        <v>724.39919999999995</v>
      </c>
      <c r="D1800" s="2">
        <f>HYPERLINK("http://mcb-m6.bioreg.kyushu-u.ac.jp/M3/20110421/F51058/1777/1", 66.98)</f>
        <v>66.98</v>
      </c>
      <c r="E1800" s="2">
        <v>34.56</v>
      </c>
      <c r="F1800" s="2">
        <v>2</v>
      </c>
      <c r="G1800" s="2" t="s">
        <v>11</v>
      </c>
    </row>
    <row r="1801" spans="1:9" x14ac:dyDescent="0.2">
      <c r="A1801" s="2" t="s">
        <v>3457</v>
      </c>
      <c r="B1801" s="2" t="s">
        <v>1037</v>
      </c>
      <c r="C1801" s="2">
        <v>724.5317</v>
      </c>
      <c r="D1801" s="2">
        <f>HYPERLINK("http://mcb-m6.bioreg.kyushu-u.ac.jp/M3/20110421/F51059/1729/1", 102.4)</f>
        <v>102.4</v>
      </c>
      <c r="E1801" s="2">
        <v>69.44</v>
      </c>
      <c r="F1801" s="2">
        <v>2</v>
      </c>
      <c r="G1801" s="2" t="s">
        <v>12</v>
      </c>
    </row>
    <row r="1802" spans="1:9" x14ac:dyDescent="0.2">
      <c r="A1802" s="2" t="s">
        <v>3457</v>
      </c>
      <c r="B1802" s="2" t="s">
        <v>1037</v>
      </c>
      <c r="C1802" s="2">
        <v>724.36069999999995</v>
      </c>
      <c r="D1802" s="2">
        <f>HYPERLINK("http://mcb-m6.bioreg.kyushu-u.ac.jp/M3/20110421/F51044/1952/1", 106.2)</f>
        <v>106.2</v>
      </c>
      <c r="E1802" s="2">
        <v>76.56</v>
      </c>
      <c r="F1802" s="2">
        <v>2</v>
      </c>
      <c r="G1802" s="2" t="s">
        <v>12</v>
      </c>
    </row>
    <row r="1803" spans="1:9" x14ac:dyDescent="0.2">
      <c r="A1803" s="2" t="s">
        <v>3457</v>
      </c>
      <c r="B1803" s="2" t="s">
        <v>1037</v>
      </c>
      <c r="C1803" s="2">
        <v>724.20259999999996</v>
      </c>
      <c r="D1803" s="2">
        <f>HYPERLINK("http://mcb-m6.bioreg.kyushu-u.ac.jp/M3/20110427/F51114/1954/1", 47.75)</f>
        <v>47.75</v>
      </c>
      <c r="E1803" s="2">
        <v>36.28</v>
      </c>
      <c r="F1803" s="2">
        <v>2</v>
      </c>
      <c r="G1803" s="2" t="s">
        <v>13</v>
      </c>
    </row>
    <row r="1804" spans="1:9" x14ac:dyDescent="0.2">
      <c r="A1804" s="2" t="s">
        <v>3457</v>
      </c>
      <c r="B1804" s="2" t="s">
        <v>1037</v>
      </c>
      <c r="C1804" s="2">
        <v>724.70669999999996</v>
      </c>
      <c r="D1804" s="2">
        <f>HYPERLINK("http://mcb-m6.bioreg.kyushu-u.ac.jp/M3/20110428/F51131/1724/1", 62.78)</f>
        <v>62.78</v>
      </c>
      <c r="E1804" s="2">
        <v>31</v>
      </c>
      <c r="F1804" s="2">
        <v>2</v>
      </c>
      <c r="G1804" s="2" t="s">
        <v>13</v>
      </c>
    </row>
    <row r="1805" spans="1:9" x14ac:dyDescent="0.2">
      <c r="A1805" s="2" t="s">
        <v>3457</v>
      </c>
      <c r="B1805" s="2" t="s">
        <v>1037</v>
      </c>
      <c r="C1805" s="2">
        <v>724.92859999999996</v>
      </c>
      <c r="D1805" s="2">
        <f>HYPERLINK("http://mcb-m6.bioreg.kyushu-u.ac.jp/M3/20110427/F51112/2015/1", 63.53)</f>
        <v>63.53</v>
      </c>
      <c r="E1805" s="2">
        <v>41.3</v>
      </c>
      <c r="F1805" s="2">
        <v>2</v>
      </c>
      <c r="G1805" s="2" t="s">
        <v>13</v>
      </c>
    </row>
    <row r="1806" spans="1:9" x14ac:dyDescent="0.2">
      <c r="A1806" s="2" t="s">
        <v>3457</v>
      </c>
      <c r="B1806" s="2" t="s">
        <v>7424</v>
      </c>
      <c r="C1806" s="2">
        <v>1017.5</v>
      </c>
      <c r="D1806" s="2">
        <f>HYPERLINK("http://mcb-m6.bioreg.kyushu-u.ac.jp/M3/20110428/F51131/3862/1", 71.25)</f>
        <v>71.25</v>
      </c>
      <c r="E1806" s="2">
        <v>59.68</v>
      </c>
      <c r="F1806" s="2">
        <v>3</v>
      </c>
      <c r="G1806" s="2" t="s">
        <v>13</v>
      </c>
      <c r="I1806" s="2" t="s">
        <v>4914</v>
      </c>
    </row>
    <row r="1807" spans="1:9" x14ac:dyDescent="0.2">
      <c r="A1807" s="2" t="s">
        <v>3457</v>
      </c>
      <c r="B1807" s="2" t="s">
        <v>1037</v>
      </c>
      <c r="C1807" s="2">
        <v>724.78470000000004</v>
      </c>
      <c r="D1807" s="2">
        <f>HYPERLINK("http://mcb-m6.bioreg.kyushu-u.ac.jp/M3/20110427/F51113/1928/1", 79.8)</f>
        <v>79.8</v>
      </c>
      <c r="E1807" s="2">
        <v>50.58</v>
      </c>
      <c r="F1807" s="2">
        <v>2</v>
      </c>
      <c r="G1807" s="2" t="s">
        <v>13</v>
      </c>
    </row>
    <row r="1808" spans="1:9" x14ac:dyDescent="0.2">
      <c r="A1808" s="2" t="s">
        <v>3457</v>
      </c>
      <c r="B1808" s="2" t="s">
        <v>1037</v>
      </c>
      <c r="C1808" s="2">
        <v>724.61159999999995</v>
      </c>
      <c r="D1808" s="2">
        <f>HYPERLINK("http://mcb-m6.bioreg.kyushu-u.ac.jp/M3/20110427/F51115/1913/1", 87.29)</f>
        <v>87.29</v>
      </c>
      <c r="E1808" s="2">
        <v>55.02</v>
      </c>
      <c r="F1808" s="2">
        <v>2</v>
      </c>
      <c r="G1808" s="2" t="s">
        <v>13</v>
      </c>
    </row>
    <row r="1809" spans="1:9" x14ac:dyDescent="0.2">
      <c r="A1809" s="2" t="s">
        <v>3457</v>
      </c>
      <c r="B1809" s="2" t="s">
        <v>1037</v>
      </c>
      <c r="C1809" s="2">
        <v>724.18910000000005</v>
      </c>
      <c r="D1809" s="2">
        <f>HYPERLINK("http://mcb-m6.bioreg.kyushu-u.ac.jp/M3/20110428/F51131/1722/1", 96.83)</f>
        <v>96.83</v>
      </c>
      <c r="E1809" s="2">
        <v>57.23</v>
      </c>
      <c r="F1809" s="2">
        <v>2</v>
      </c>
      <c r="G1809" s="2" t="s">
        <v>13</v>
      </c>
    </row>
    <row r="1810" spans="1:9" x14ac:dyDescent="0.2">
      <c r="A1810" s="2" t="s">
        <v>3457</v>
      </c>
      <c r="B1810" s="2" t="s">
        <v>890</v>
      </c>
      <c r="C1810" s="2">
        <v>1394.192</v>
      </c>
      <c r="D1810" s="2">
        <f>HYPERLINK("http://mcb-m6.bioreg.kyushu-u.ac.jp/M3/20110428/F51131/3755/1", 107.83)</f>
        <v>107.83</v>
      </c>
      <c r="E1810" s="2">
        <v>95.16</v>
      </c>
      <c r="F1810" s="2">
        <v>2</v>
      </c>
      <c r="G1810" s="2" t="s">
        <v>13</v>
      </c>
    </row>
    <row r="1811" spans="1:9" x14ac:dyDescent="0.2">
      <c r="A1811" s="2" t="s">
        <v>3457</v>
      </c>
      <c r="B1811" s="2" t="s">
        <v>1037</v>
      </c>
      <c r="C1811" s="2">
        <v>724.19119999999998</v>
      </c>
      <c r="D1811" s="2">
        <f>HYPERLINK("http://mcb-m6.bioreg.kyushu-u.ac.jp/M3/20110427/F51123/1956/1", 60.17)</f>
        <v>60.17</v>
      </c>
      <c r="E1811" s="2">
        <v>24.44</v>
      </c>
      <c r="F1811" s="2">
        <v>2</v>
      </c>
      <c r="G1811" s="2" t="s">
        <v>14</v>
      </c>
    </row>
    <row r="1812" spans="1:9" x14ac:dyDescent="0.2">
      <c r="A1812" s="2" t="s">
        <v>3457</v>
      </c>
      <c r="B1812" s="2" t="s">
        <v>1037</v>
      </c>
      <c r="C1812" s="2">
        <v>724.73170000000005</v>
      </c>
      <c r="D1812" s="2">
        <f>HYPERLINK("http://mcb-m6.bioreg.kyushu-u.ac.jp/M3/20110428/F51135/1770/1", 82.62)</f>
        <v>82.62</v>
      </c>
      <c r="E1812" s="2">
        <v>40.590000000000003</v>
      </c>
      <c r="F1812" s="2">
        <v>2</v>
      </c>
      <c r="G1812" s="2" t="s">
        <v>14</v>
      </c>
    </row>
    <row r="1813" spans="1:9" x14ac:dyDescent="0.2">
      <c r="A1813" s="2" t="s">
        <v>3403</v>
      </c>
      <c r="B1813" s="2" t="s">
        <v>1246</v>
      </c>
      <c r="C1813" s="2">
        <v>847.0607</v>
      </c>
      <c r="D1813" s="2">
        <f>HYPERLINK("http://mcb-m6.bioreg.kyushu-u.ac.jp/M3/20110404/F50767/2209/1", 40.11)</f>
        <v>40.11</v>
      </c>
      <c r="E1813" s="2">
        <v>30.02</v>
      </c>
      <c r="F1813" s="2">
        <v>2</v>
      </c>
      <c r="G1813" s="2" t="s">
        <v>9</v>
      </c>
    </row>
    <row r="1814" spans="1:9" x14ac:dyDescent="0.2">
      <c r="A1814" s="2" t="s">
        <v>3403</v>
      </c>
      <c r="B1814" s="2" t="s">
        <v>200</v>
      </c>
      <c r="C1814" s="2">
        <v>701.20870000000002</v>
      </c>
      <c r="D1814" s="2">
        <f>HYPERLINK("http://mcb-m6.bioreg.kyushu-u.ac.jp/M3/20110404/F50755/1749/1", 41.92)</f>
        <v>41.92</v>
      </c>
      <c r="E1814" s="2">
        <v>21.06</v>
      </c>
      <c r="F1814" s="2">
        <v>2</v>
      </c>
      <c r="G1814" s="2" t="s">
        <v>9</v>
      </c>
      <c r="I1814" s="2" t="s">
        <v>4892</v>
      </c>
    </row>
    <row r="1815" spans="1:9" x14ac:dyDescent="0.2">
      <c r="A1815" s="2" t="s">
        <v>3403</v>
      </c>
      <c r="B1815" s="2" t="s">
        <v>1246</v>
      </c>
      <c r="C1815" s="2">
        <v>846.7672</v>
      </c>
      <c r="D1815" s="2">
        <f>HYPERLINK("http://mcb-m6.bioreg.kyushu-u.ac.jp/M3/20110404/F50756/2436/1", 51.1)</f>
        <v>51.1</v>
      </c>
      <c r="E1815" s="2">
        <v>41.94</v>
      </c>
      <c r="F1815" s="2">
        <v>2</v>
      </c>
      <c r="G1815" s="2" t="s">
        <v>9</v>
      </c>
    </row>
    <row r="1816" spans="1:9" x14ac:dyDescent="0.2">
      <c r="A1816" s="2" t="s">
        <v>3403</v>
      </c>
      <c r="B1816" s="2" t="s">
        <v>1144</v>
      </c>
      <c r="C1816" s="2">
        <v>888.38070000000005</v>
      </c>
      <c r="D1816" s="2">
        <f>HYPERLINK("http://mcb-m6.bioreg.kyushu-u.ac.jp/M3/20110404/F50776/2165/1", 53.7)</f>
        <v>53.7</v>
      </c>
      <c r="E1816" s="2">
        <v>35.1</v>
      </c>
      <c r="F1816" s="2">
        <v>2</v>
      </c>
      <c r="G1816" s="2" t="s">
        <v>9</v>
      </c>
      <c r="I1816" s="2" t="s">
        <v>4898</v>
      </c>
    </row>
    <row r="1817" spans="1:9" x14ac:dyDescent="0.2">
      <c r="A1817" s="2" t="s">
        <v>3403</v>
      </c>
      <c r="B1817" s="2" t="s">
        <v>200</v>
      </c>
      <c r="C1817" s="2">
        <v>1401.5519999999999</v>
      </c>
      <c r="D1817" s="2">
        <f>HYPERLINK("http://mcb-m6.bioreg.kyushu-u.ac.jp/M3/20110404/F50776/1643/1", 54.25)</f>
        <v>54.25</v>
      </c>
      <c r="E1817" s="2">
        <v>44.89</v>
      </c>
      <c r="F1817" s="2">
        <v>1</v>
      </c>
      <c r="G1817" s="2" t="s">
        <v>9</v>
      </c>
      <c r="I1817" s="2" t="s">
        <v>4892</v>
      </c>
    </row>
    <row r="1818" spans="1:9" x14ac:dyDescent="0.2">
      <c r="A1818" s="2" t="s">
        <v>3403</v>
      </c>
      <c r="B1818" s="2" t="s">
        <v>200</v>
      </c>
      <c r="C1818" s="2">
        <v>701.17470000000003</v>
      </c>
      <c r="D1818" s="2">
        <f>HYPERLINK("http://mcb-m6.bioreg.kyushu-u.ac.jp/M3/20110404/F50756/1745/1", 72.29)</f>
        <v>72.290000000000006</v>
      </c>
      <c r="E1818" s="2">
        <v>46.78</v>
      </c>
      <c r="F1818" s="2">
        <v>2</v>
      </c>
      <c r="G1818" s="2" t="s">
        <v>9</v>
      </c>
      <c r="I1818" s="2" t="s">
        <v>4892</v>
      </c>
    </row>
    <row r="1819" spans="1:9" x14ac:dyDescent="0.2">
      <c r="A1819" s="2" t="s">
        <v>3403</v>
      </c>
      <c r="B1819" s="2" t="s">
        <v>1144</v>
      </c>
      <c r="C1819" s="2">
        <v>888.11410000000001</v>
      </c>
      <c r="D1819" s="2">
        <f>HYPERLINK("http://mcb-m6.bioreg.kyushu-u.ac.jp/M3/20110404/F50754/2554/1", 75.76)</f>
        <v>75.760000000000005</v>
      </c>
      <c r="E1819" s="2">
        <v>57.83</v>
      </c>
      <c r="F1819" s="2">
        <v>2</v>
      </c>
      <c r="G1819" s="2" t="s">
        <v>9</v>
      </c>
      <c r="I1819" s="2" t="s">
        <v>4898</v>
      </c>
    </row>
    <row r="1820" spans="1:9" x14ac:dyDescent="0.2">
      <c r="A1820" s="2" t="s">
        <v>3403</v>
      </c>
      <c r="B1820" s="2" t="s">
        <v>1144</v>
      </c>
      <c r="C1820" s="2">
        <v>888.20759999999996</v>
      </c>
      <c r="D1820" s="2">
        <f>HYPERLINK("http://mcb-m6.bioreg.kyushu-u.ac.jp/M3/20110404/F50753/2556/1", 86.44)</f>
        <v>86.44</v>
      </c>
      <c r="E1820" s="2">
        <v>65.989999999999995</v>
      </c>
      <c r="F1820" s="2">
        <v>2</v>
      </c>
      <c r="G1820" s="2" t="s">
        <v>9</v>
      </c>
      <c r="I1820" s="2" t="s">
        <v>4898</v>
      </c>
    </row>
    <row r="1821" spans="1:9" x14ac:dyDescent="0.2">
      <c r="A1821" s="2" t="s">
        <v>3403</v>
      </c>
      <c r="B1821" s="2" t="s">
        <v>1246</v>
      </c>
      <c r="C1821" s="2">
        <v>847.20510000000002</v>
      </c>
      <c r="D1821" s="2">
        <f>HYPERLINK("http://mcb-m6.bioreg.kyushu-u.ac.jp/M3/20110404/F50753/2414/1", 87.89)</f>
        <v>87.89</v>
      </c>
      <c r="E1821" s="2">
        <v>63.22</v>
      </c>
      <c r="F1821" s="2">
        <v>2</v>
      </c>
      <c r="G1821" s="2" t="s">
        <v>9</v>
      </c>
    </row>
    <row r="1822" spans="1:9" x14ac:dyDescent="0.2">
      <c r="A1822" s="2" t="s">
        <v>3403</v>
      </c>
      <c r="B1822" s="2" t="s">
        <v>200</v>
      </c>
      <c r="C1822" s="2">
        <v>701.16920000000005</v>
      </c>
      <c r="D1822" s="2">
        <f>HYPERLINK("http://mcb-m6.bioreg.kyushu-u.ac.jp/M3/20110404/F50776/1642/1", 90.53)</f>
        <v>90.53</v>
      </c>
      <c r="E1822" s="2">
        <v>75.02</v>
      </c>
      <c r="F1822" s="2">
        <v>2</v>
      </c>
      <c r="G1822" s="2" t="s">
        <v>9</v>
      </c>
      <c r="I1822" s="2" t="s">
        <v>4892</v>
      </c>
    </row>
    <row r="1823" spans="1:9" x14ac:dyDescent="0.2">
      <c r="A1823" s="2" t="s">
        <v>3403</v>
      </c>
      <c r="B1823" s="2" t="s">
        <v>1246</v>
      </c>
      <c r="C1823" s="2">
        <v>847.38919999999996</v>
      </c>
      <c r="D1823" s="2">
        <f>HYPERLINK("http://mcb-m6.bioreg.kyushu-u.ac.jp/M3/20110404/F50776/2053/1", 106.56)</f>
        <v>106.56</v>
      </c>
      <c r="E1823" s="2">
        <v>94.95</v>
      </c>
      <c r="F1823" s="2">
        <v>2</v>
      </c>
      <c r="G1823" s="2" t="s">
        <v>9</v>
      </c>
    </row>
    <row r="1824" spans="1:9" x14ac:dyDescent="0.2">
      <c r="A1824" s="2" t="s">
        <v>3403</v>
      </c>
      <c r="B1824" s="2" t="s">
        <v>1633</v>
      </c>
      <c r="C1824" s="2">
        <v>1240.982</v>
      </c>
      <c r="D1824" s="2">
        <f>HYPERLINK("http://mcb-m6.bioreg.kyushu-u.ac.jp/M3/20110404/F50756/3704/1", 109.48)</f>
        <v>109.48</v>
      </c>
      <c r="E1824" s="2">
        <v>101.68</v>
      </c>
      <c r="F1824" s="2">
        <v>2</v>
      </c>
      <c r="G1824" s="2" t="s">
        <v>9</v>
      </c>
    </row>
    <row r="1825" spans="1:9" x14ac:dyDescent="0.2">
      <c r="A1825" s="2" t="s">
        <v>3403</v>
      </c>
      <c r="B1825" s="2" t="s">
        <v>1246</v>
      </c>
      <c r="C1825" s="2">
        <v>846.84010000000001</v>
      </c>
      <c r="D1825" s="2">
        <f>HYPERLINK("http://mcb-m6.bioreg.kyushu-u.ac.jp/M3/20110404/F50776/2052/1", 115.99)</f>
        <v>115.99</v>
      </c>
      <c r="E1825" s="2">
        <v>102.89</v>
      </c>
      <c r="F1825" s="2">
        <v>2</v>
      </c>
      <c r="G1825" s="2" t="s">
        <v>9</v>
      </c>
    </row>
    <row r="1826" spans="1:9" x14ac:dyDescent="0.2">
      <c r="A1826" s="2" t="s">
        <v>3403</v>
      </c>
      <c r="B1826" s="2" t="s">
        <v>1144</v>
      </c>
      <c r="C1826" s="2">
        <v>887.75519999999995</v>
      </c>
      <c r="D1826" s="2">
        <f>HYPERLINK("http://mcb-m6.bioreg.kyushu-u.ac.jp/M3/20110404/F50755/2588/1", 117.31)</f>
        <v>117.31</v>
      </c>
      <c r="E1826" s="2">
        <v>99.92</v>
      </c>
      <c r="F1826" s="2">
        <v>2</v>
      </c>
      <c r="G1826" s="2" t="s">
        <v>9</v>
      </c>
      <c r="I1826" s="2" t="s">
        <v>4898</v>
      </c>
    </row>
    <row r="1827" spans="1:9" x14ac:dyDescent="0.2">
      <c r="A1827" s="2" t="s">
        <v>3403</v>
      </c>
      <c r="B1827" s="2" t="s">
        <v>1633</v>
      </c>
      <c r="C1827" s="2">
        <v>1241.0989999999999</v>
      </c>
      <c r="D1827" s="2">
        <f>HYPERLINK("http://mcb-m6.bioreg.kyushu-u.ac.jp/M3/20110404/F50776/3007/1", 123.48)</f>
        <v>123.48</v>
      </c>
      <c r="E1827" s="2">
        <v>113.11</v>
      </c>
      <c r="F1827" s="2">
        <v>2</v>
      </c>
      <c r="G1827" s="2" t="s">
        <v>9</v>
      </c>
    </row>
    <row r="1828" spans="1:9" x14ac:dyDescent="0.2">
      <c r="A1828" s="2" t="s">
        <v>3403</v>
      </c>
      <c r="B1828" s="2" t="s">
        <v>1633</v>
      </c>
      <c r="C1828" s="2">
        <v>1240.414</v>
      </c>
      <c r="D1828" s="2">
        <f>HYPERLINK("http://mcb-m6.bioreg.kyushu-u.ac.jp/M3/20110404/F50761/3424/1", 36)</f>
        <v>36</v>
      </c>
      <c r="E1828" s="2">
        <v>33.26</v>
      </c>
      <c r="F1828" s="2">
        <v>2</v>
      </c>
      <c r="G1828" s="2" t="s">
        <v>10</v>
      </c>
    </row>
    <row r="1829" spans="1:9" x14ac:dyDescent="0.2">
      <c r="A1829" s="2" t="s">
        <v>3403</v>
      </c>
      <c r="B1829" s="2" t="s">
        <v>200</v>
      </c>
      <c r="C1829" s="2">
        <v>701.8116</v>
      </c>
      <c r="D1829" s="2">
        <f>HYPERLINK("http://mcb-m6.bioreg.kyushu-u.ac.jp/M3/20110404/F50761/1670/1", 56.07)</f>
        <v>56.07</v>
      </c>
      <c r="E1829" s="2">
        <v>31.01</v>
      </c>
      <c r="F1829" s="2">
        <v>2</v>
      </c>
      <c r="G1829" s="2" t="s">
        <v>10</v>
      </c>
      <c r="I1829" s="2" t="s">
        <v>4892</v>
      </c>
    </row>
    <row r="1830" spans="1:9" x14ac:dyDescent="0.2">
      <c r="A1830" s="2" t="s">
        <v>3403</v>
      </c>
      <c r="B1830" s="2" t="s">
        <v>200</v>
      </c>
      <c r="C1830" s="2">
        <v>701.65520000000004</v>
      </c>
      <c r="D1830" s="2">
        <f>HYPERLINK("http://mcb-m6.bioreg.kyushu-u.ac.jp/M3/20110404/F50781/1685/1", 67.37)</f>
        <v>67.37</v>
      </c>
      <c r="E1830" s="2">
        <v>53.62</v>
      </c>
      <c r="F1830" s="2">
        <v>2</v>
      </c>
      <c r="G1830" s="2" t="s">
        <v>10</v>
      </c>
      <c r="I1830" s="2" t="s">
        <v>4892</v>
      </c>
    </row>
    <row r="1831" spans="1:9" x14ac:dyDescent="0.2">
      <c r="A1831" s="2" t="s">
        <v>3403</v>
      </c>
      <c r="B1831" s="2" t="s">
        <v>200</v>
      </c>
      <c r="C1831" s="2">
        <v>701.20169999999996</v>
      </c>
      <c r="D1831" s="2">
        <f>HYPERLINK("http://mcb-m6.bioreg.kyushu-u.ac.jp/M3/20110404/F50760/1644/1", 72.39)</f>
        <v>72.39</v>
      </c>
      <c r="E1831" s="2">
        <v>46.64</v>
      </c>
      <c r="F1831" s="2">
        <v>2</v>
      </c>
      <c r="G1831" s="2" t="s">
        <v>10</v>
      </c>
      <c r="I1831" s="2" t="s">
        <v>4892</v>
      </c>
    </row>
    <row r="1832" spans="1:9" x14ac:dyDescent="0.2">
      <c r="A1832" s="2" t="s">
        <v>3403</v>
      </c>
      <c r="B1832" s="2" t="s">
        <v>1144</v>
      </c>
      <c r="C1832" s="2">
        <v>887.98720000000003</v>
      </c>
      <c r="D1832" s="2">
        <f>HYPERLINK("http://mcb-m6.bioreg.kyushu-u.ac.jp/M3/20110404/F50781/2147/1", 88.33)</f>
        <v>88.33</v>
      </c>
      <c r="E1832" s="2">
        <v>75.75</v>
      </c>
      <c r="F1832" s="2">
        <v>2</v>
      </c>
      <c r="G1832" s="2" t="s">
        <v>10</v>
      </c>
      <c r="I1832" s="2" t="s">
        <v>4898</v>
      </c>
    </row>
    <row r="1833" spans="1:9" x14ac:dyDescent="0.2">
      <c r="A1833" s="2" t="s">
        <v>3403</v>
      </c>
      <c r="B1833" s="2" t="s">
        <v>1246</v>
      </c>
      <c r="C1833" s="2">
        <v>847.10419999999999</v>
      </c>
      <c r="D1833" s="2">
        <f>HYPERLINK("http://mcb-m6.bioreg.kyushu-u.ac.jp/M3/20110404/F50781/2063/1", 92.33)</f>
        <v>92.33</v>
      </c>
      <c r="E1833" s="2">
        <v>75.64</v>
      </c>
      <c r="F1833" s="2">
        <v>2</v>
      </c>
      <c r="G1833" s="2" t="s">
        <v>10</v>
      </c>
    </row>
    <row r="1834" spans="1:9" x14ac:dyDescent="0.2">
      <c r="A1834" s="2" t="s">
        <v>3403</v>
      </c>
      <c r="B1834" s="2" t="s">
        <v>1246</v>
      </c>
      <c r="C1834" s="2">
        <v>846.79610000000002</v>
      </c>
      <c r="D1834" s="2">
        <f>HYPERLINK("http://mcb-m6.bioreg.kyushu-u.ac.jp/M3/20110404/F50761/2257/1", 94.75)</f>
        <v>94.75</v>
      </c>
      <c r="E1834" s="2">
        <v>84.66</v>
      </c>
      <c r="F1834" s="2">
        <v>2</v>
      </c>
      <c r="G1834" s="2" t="s">
        <v>10</v>
      </c>
    </row>
    <row r="1835" spans="1:9" x14ac:dyDescent="0.2">
      <c r="A1835" s="2" t="s">
        <v>3403</v>
      </c>
      <c r="B1835" s="2" t="s">
        <v>1144</v>
      </c>
      <c r="C1835" s="2">
        <v>887.74369999999999</v>
      </c>
      <c r="D1835" s="2">
        <f>HYPERLINK("http://mcb-m6.bioreg.kyushu-u.ac.jp/M3/20110404/F50761/2415/1", 104.18)</f>
        <v>104.18</v>
      </c>
      <c r="E1835" s="2">
        <v>89.92</v>
      </c>
      <c r="F1835" s="2">
        <v>2</v>
      </c>
      <c r="G1835" s="2" t="s">
        <v>10</v>
      </c>
      <c r="I1835" s="2" t="s">
        <v>4898</v>
      </c>
    </row>
    <row r="1836" spans="1:9" x14ac:dyDescent="0.2">
      <c r="A1836" s="2" t="s">
        <v>3403</v>
      </c>
      <c r="B1836" s="2" t="s">
        <v>1633</v>
      </c>
      <c r="C1836" s="2">
        <v>1240.7190000000001</v>
      </c>
      <c r="D1836" s="2">
        <f>HYPERLINK("http://mcb-m6.bioreg.kyushu-u.ac.jp/M3/20110404/F50781/2895/1", 139.7)</f>
        <v>139.69999999999999</v>
      </c>
      <c r="E1836" s="2">
        <v>127.02</v>
      </c>
      <c r="F1836" s="2">
        <v>2</v>
      </c>
      <c r="G1836" s="2" t="s">
        <v>10</v>
      </c>
    </row>
    <row r="1837" spans="1:9" x14ac:dyDescent="0.2">
      <c r="A1837" s="2" t="s">
        <v>3403</v>
      </c>
      <c r="B1837" s="2" t="s">
        <v>287</v>
      </c>
      <c r="C1837" s="2">
        <v>459.2801</v>
      </c>
      <c r="D1837" s="2">
        <f>HYPERLINK("http://mcb-m6.bioreg.kyushu-u.ac.jp/M3/20110421/F51018/883/1", 39.12)</f>
        <v>39.119999999999997</v>
      </c>
      <c r="E1837" s="2">
        <v>18.34</v>
      </c>
      <c r="F1837" s="2">
        <v>2</v>
      </c>
      <c r="G1837" s="2" t="s">
        <v>11</v>
      </c>
    </row>
    <row r="1838" spans="1:9" x14ac:dyDescent="0.2">
      <c r="A1838" s="2" t="s">
        <v>3403</v>
      </c>
      <c r="B1838" s="2" t="s">
        <v>287</v>
      </c>
      <c r="C1838" s="2">
        <v>458.8116</v>
      </c>
      <c r="D1838" s="2">
        <f>HYPERLINK("http://mcb-m6.bioreg.kyushu-u.ac.jp/M3/20110421/F51058/566/1", 41.33)</f>
        <v>41.33</v>
      </c>
      <c r="E1838" s="2">
        <v>12.09</v>
      </c>
      <c r="F1838" s="2">
        <v>2</v>
      </c>
      <c r="G1838" s="2" t="s">
        <v>11</v>
      </c>
    </row>
    <row r="1839" spans="1:9" x14ac:dyDescent="0.2">
      <c r="A1839" s="2" t="s">
        <v>3403</v>
      </c>
      <c r="B1839" s="2" t="s">
        <v>1246</v>
      </c>
      <c r="C1839" s="2">
        <v>846.86109999999996</v>
      </c>
      <c r="D1839" s="2">
        <f>HYPERLINK("http://mcb-m6.bioreg.kyushu-u.ac.jp/M3/20110421/F51058/2320/1", 47.55)</f>
        <v>47.55</v>
      </c>
      <c r="E1839" s="2">
        <v>38.78</v>
      </c>
      <c r="F1839" s="2">
        <v>2</v>
      </c>
      <c r="G1839" s="2" t="s">
        <v>11</v>
      </c>
    </row>
    <row r="1840" spans="1:9" x14ac:dyDescent="0.2">
      <c r="A1840" s="2" t="s">
        <v>3403</v>
      </c>
      <c r="B1840" s="2" t="s">
        <v>1246</v>
      </c>
      <c r="C1840" s="2">
        <v>846.91020000000003</v>
      </c>
      <c r="D1840" s="2">
        <f>HYPERLINK("http://mcb-m6.bioreg.kyushu-u.ac.jp/M3/20110421/F51058/2321/1", 59.63)</f>
        <v>59.63</v>
      </c>
      <c r="E1840" s="2">
        <v>49.05</v>
      </c>
      <c r="F1840" s="2">
        <v>2</v>
      </c>
      <c r="G1840" s="2" t="s">
        <v>11</v>
      </c>
    </row>
    <row r="1841" spans="1:9" x14ac:dyDescent="0.2">
      <c r="A1841" s="2" t="s">
        <v>3403</v>
      </c>
      <c r="B1841" s="2" t="s">
        <v>1144</v>
      </c>
      <c r="C1841" s="2">
        <v>887.91110000000003</v>
      </c>
      <c r="D1841" s="2">
        <f>HYPERLINK("http://mcb-m6.bioreg.kyushu-u.ac.jp/M3/20110421/F51034/2661/1", 71.74)</f>
        <v>71.739999999999995</v>
      </c>
      <c r="E1841" s="2">
        <v>58.36</v>
      </c>
      <c r="F1841" s="2">
        <v>2</v>
      </c>
      <c r="G1841" s="2" t="s">
        <v>11</v>
      </c>
      <c r="I1841" s="2" t="s">
        <v>4898</v>
      </c>
    </row>
    <row r="1842" spans="1:9" x14ac:dyDescent="0.2">
      <c r="A1842" s="2" t="s">
        <v>3403</v>
      </c>
      <c r="B1842" s="2" t="s">
        <v>200</v>
      </c>
      <c r="C1842" s="2">
        <v>701.35059999999999</v>
      </c>
      <c r="D1842" s="2">
        <f>HYPERLINK("http://mcb-m6.bioreg.kyushu-u.ac.jp/M3/20110421/F51058/1628/1", 80.7)</f>
        <v>80.7</v>
      </c>
      <c r="E1842" s="2">
        <v>60.54</v>
      </c>
      <c r="F1842" s="2">
        <v>2</v>
      </c>
      <c r="G1842" s="2" t="s">
        <v>11</v>
      </c>
      <c r="I1842" s="2" t="s">
        <v>4892</v>
      </c>
    </row>
    <row r="1843" spans="1:9" x14ac:dyDescent="0.2">
      <c r="A1843" s="2" t="s">
        <v>3403</v>
      </c>
      <c r="B1843" s="2" t="s">
        <v>1246</v>
      </c>
      <c r="C1843" s="2">
        <v>847.46510000000001</v>
      </c>
      <c r="D1843" s="2">
        <f>HYPERLINK("http://mcb-m6.bioreg.kyushu-u.ac.jp/M3/20110421/F51058/2324/1", 85.22)</f>
        <v>85.22</v>
      </c>
      <c r="E1843" s="2">
        <v>63.89</v>
      </c>
      <c r="F1843" s="2">
        <v>2</v>
      </c>
      <c r="G1843" s="2" t="s">
        <v>11</v>
      </c>
    </row>
    <row r="1844" spans="1:9" x14ac:dyDescent="0.2">
      <c r="A1844" s="2" t="s">
        <v>3403</v>
      </c>
      <c r="B1844" s="2" t="s">
        <v>1144</v>
      </c>
      <c r="C1844" s="2">
        <v>888.05269999999996</v>
      </c>
      <c r="D1844" s="2">
        <f>HYPERLINK("http://mcb-m6.bioreg.kyushu-u.ac.jp/M3/20110421/F51058/2456/1", 98.56)</f>
        <v>98.56</v>
      </c>
      <c r="E1844" s="2">
        <v>84.15</v>
      </c>
      <c r="F1844" s="2">
        <v>2</v>
      </c>
      <c r="G1844" s="2" t="s">
        <v>11</v>
      </c>
      <c r="I1844" s="2" t="s">
        <v>4898</v>
      </c>
    </row>
    <row r="1845" spans="1:9" x14ac:dyDescent="0.2">
      <c r="A1845" s="2" t="s">
        <v>3403</v>
      </c>
      <c r="B1845" s="2" t="s">
        <v>200</v>
      </c>
      <c r="C1845" s="2">
        <v>701.36770000000001</v>
      </c>
      <c r="D1845" s="2">
        <f>HYPERLINK("http://mcb-m6.bioreg.kyushu-u.ac.jp/M3/20110421/F51059/1612/1", 80.35)</f>
        <v>80.349999999999994</v>
      </c>
      <c r="E1845" s="2">
        <v>61.05</v>
      </c>
      <c r="F1845" s="2">
        <v>2</v>
      </c>
      <c r="G1845" s="2" t="s">
        <v>12</v>
      </c>
      <c r="I1845" s="2" t="s">
        <v>4892</v>
      </c>
    </row>
    <row r="1846" spans="1:9" x14ac:dyDescent="0.2">
      <c r="A1846" s="2" t="s">
        <v>3403</v>
      </c>
      <c r="B1846" s="2" t="s">
        <v>1246</v>
      </c>
      <c r="C1846" s="2">
        <v>847.40769999999998</v>
      </c>
      <c r="D1846" s="2">
        <f>HYPERLINK("http://mcb-m6.bioreg.kyushu-u.ac.jp/M3/20110421/F51059/2258/1", 97.76)</f>
        <v>97.76</v>
      </c>
      <c r="E1846" s="2">
        <v>83.78</v>
      </c>
      <c r="F1846" s="2">
        <v>2</v>
      </c>
      <c r="G1846" s="2" t="s">
        <v>12</v>
      </c>
    </row>
    <row r="1847" spans="1:9" x14ac:dyDescent="0.2">
      <c r="A1847" s="2" t="s">
        <v>3403</v>
      </c>
      <c r="B1847" s="2" t="s">
        <v>1144</v>
      </c>
      <c r="C1847" s="2">
        <v>592.35580000000004</v>
      </c>
      <c r="D1847" s="2">
        <f>HYPERLINK("http://mcb-m6.bioreg.kyushu-u.ac.jp/M3/20110427/F51114/2775/1", 46.76)</f>
        <v>46.76</v>
      </c>
      <c r="E1847" s="2">
        <v>30.37</v>
      </c>
      <c r="F1847" s="2">
        <v>3</v>
      </c>
      <c r="G1847" s="2" t="s">
        <v>13</v>
      </c>
      <c r="I1847" s="2" t="s">
        <v>4898</v>
      </c>
    </row>
    <row r="1848" spans="1:9" x14ac:dyDescent="0.2">
      <c r="A1848" s="2" t="s">
        <v>3403</v>
      </c>
      <c r="B1848" s="2" t="s">
        <v>287</v>
      </c>
      <c r="C1848" s="2">
        <v>459.01209999999998</v>
      </c>
      <c r="D1848" s="2">
        <f>HYPERLINK("http://mcb-m6.bioreg.kyushu-u.ac.jp/M3/20110427/F51113/852/1", 47.12)</f>
        <v>47.12</v>
      </c>
      <c r="E1848" s="2">
        <v>25.8</v>
      </c>
      <c r="F1848" s="2">
        <v>2</v>
      </c>
      <c r="G1848" s="2" t="s">
        <v>13</v>
      </c>
    </row>
    <row r="1849" spans="1:9" x14ac:dyDescent="0.2">
      <c r="A1849" s="2" t="s">
        <v>3403</v>
      </c>
      <c r="B1849" s="2" t="s">
        <v>1246</v>
      </c>
      <c r="C1849" s="2">
        <v>847.43370000000004</v>
      </c>
      <c r="D1849" s="2">
        <f>HYPERLINK("http://mcb-m6.bioreg.kyushu-u.ac.jp/M3/20110428/F51131/2326/1", 49.87)</f>
        <v>49.87</v>
      </c>
      <c r="E1849" s="2">
        <v>36.58</v>
      </c>
      <c r="F1849" s="2">
        <v>2</v>
      </c>
      <c r="G1849" s="2" t="s">
        <v>13</v>
      </c>
    </row>
    <row r="1850" spans="1:9" x14ac:dyDescent="0.2">
      <c r="A1850" s="2" t="s">
        <v>3403</v>
      </c>
      <c r="B1850" s="2" t="s">
        <v>200</v>
      </c>
      <c r="C1850" s="2">
        <v>701.20119999999997</v>
      </c>
      <c r="D1850" s="2">
        <f>HYPERLINK("http://mcb-m6.bioreg.kyushu-u.ac.jp/M3/20110427/F51113/1812/1", 53.48)</f>
        <v>53.48</v>
      </c>
      <c r="E1850" s="2">
        <v>37.18</v>
      </c>
      <c r="F1850" s="2">
        <v>2</v>
      </c>
      <c r="G1850" s="2" t="s">
        <v>13</v>
      </c>
      <c r="I1850" s="2" t="s">
        <v>4892</v>
      </c>
    </row>
    <row r="1851" spans="1:9" x14ac:dyDescent="0.2">
      <c r="A1851" s="2" t="s">
        <v>3403</v>
      </c>
      <c r="B1851" s="2" t="s">
        <v>1144</v>
      </c>
      <c r="C1851" s="2">
        <v>592.58119999999997</v>
      </c>
      <c r="D1851" s="2">
        <f>HYPERLINK("http://mcb-m6.bioreg.kyushu-u.ac.jp/M3/20110428/F51131/2509/1", 55.47)</f>
        <v>55.47</v>
      </c>
      <c r="E1851" s="2">
        <v>39.44</v>
      </c>
      <c r="F1851" s="2">
        <v>3</v>
      </c>
      <c r="G1851" s="2" t="s">
        <v>13</v>
      </c>
      <c r="I1851" s="2" t="s">
        <v>4898</v>
      </c>
    </row>
    <row r="1852" spans="1:9" x14ac:dyDescent="0.2">
      <c r="A1852" s="2" t="s">
        <v>3403</v>
      </c>
      <c r="B1852" s="2" t="s">
        <v>1144</v>
      </c>
      <c r="C1852" s="2">
        <v>591.98320000000001</v>
      </c>
      <c r="D1852" s="2">
        <f>HYPERLINK("http://mcb-m6.bioreg.kyushu-u.ac.jp/M3/20110428/F51131/2499/1", 55.86)</f>
        <v>55.86</v>
      </c>
      <c r="E1852" s="2">
        <v>41.95</v>
      </c>
      <c r="F1852" s="2">
        <v>3</v>
      </c>
      <c r="G1852" s="2" t="s">
        <v>13</v>
      </c>
      <c r="I1852" s="2" t="s">
        <v>4898</v>
      </c>
    </row>
    <row r="1853" spans="1:9" x14ac:dyDescent="0.2">
      <c r="A1853" s="2" t="s">
        <v>3403</v>
      </c>
      <c r="B1853" s="2" t="s">
        <v>841</v>
      </c>
      <c r="C1853" s="2">
        <v>767.70370000000003</v>
      </c>
      <c r="D1853" s="2">
        <f>HYPERLINK("http://mcb-m6.bioreg.kyushu-u.ac.jp/M3/20110427/F51114/2208/1", 57.61)</f>
        <v>57.61</v>
      </c>
      <c r="E1853" s="2">
        <v>53.52</v>
      </c>
      <c r="F1853" s="2">
        <v>2</v>
      </c>
      <c r="G1853" s="2" t="s">
        <v>13</v>
      </c>
      <c r="I1853" s="2" t="s">
        <v>4923</v>
      </c>
    </row>
    <row r="1854" spans="1:9" x14ac:dyDescent="0.2">
      <c r="A1854" s="2" t="s">
        <v>3403</v>
      </c>
      <c r="B1854" s="2" t="s">
        <v>1144</v>
      </c>
      <c r="C1854" s="2">
        <v>592.48820000000001</v>
      </c>
      <c r="D1854" s="2">
        <f>HYPERLINK("http://mcb-m6.bioreg.kyushu-u.ac.jp/M3/20110427/F51115/2570/1", 59.79)</f>
        <v>59.79</v>
      </c>
      <c r="E1854" s="2">
        <v>45.64</v>
      </c>
      <c r="F1854" s="2">
        <v>3</v>
      </c>
      <c r="G1854" s="2" t="s">
        <v>13</v>
      </c>
      <c r="I1854" s="2" t="s">
        <v>4898</v>
      </c>
    </row>
    <row r="1855" spans="1:9" x14ac:dyDescent="0.2">
      <c r="A1855" s="2" t="s">
        <v>3403</v>
      </c>
      <c r="B1855" s="2" t="s">
        <v>200</v>
      </c>
      <c r="C1855" s="2">
        <v>701.62570000000005</v>
      </c>
      <c r="D1855" s="2">
        <f>HYPERLINK("http://mcb-m6.bioreg.kyushu-u.ac.jp/M3/20110428/F51131/1601/1", 68.23)</f>
        <v>68.23</v>
      </c>
      <c r="E1855" s="2">
        <v>45.99</v>
      </c>
      <c r="F1855" s="2">
        <v>2</v>
      </c>
      <c r="G1855" s="2" t="s">
        <v>13</v>
      </c>
      <c r="I1855" s="2" t="s">
        <v>4892</v>
      </c>
    </row>
    <row r="1856" spans="1:9" x14ac:dyDescent="0.2">
      <c r="A1856" s="2" t="s">
        <v>3403</v>
      </c>
      <c r="B1856" s="2" t="s">
        <v>200</v>
      </c>
      <c r="C1856" s="2">
        <v>701.04909999999995</v>
      </c>
      <c r="D1856" s="2">
        <f>HYPERLINK("http://mcb-m6.bioreg.kyushu-u.ac.jp/M3/20110427/F51114/1835/1", 71.52)</f>
        <v>71.52</v>
      </c>
      <c r="E1856" s="2">
        <v>43.99</v>
      </c>
      <c r="F1856" s="2">
        <v>2</v>
      </c>
      <c r="G1856" s="2" t="s">
        <v>13</v>
      </c>
      <c r="I1856" s="2" t="s">
        <v>4892</v>
      </c>
    </row>
    <row r="1857" spans="1:9" x14ac:dyDescent="0.2">
      <c r="A1857" s="2" t="s">
        <v>3403</v>
      </c>
      <c r="B1857" s="2" t="s">
        <v>200</v>
      </c>
      <c r="C1857" s="2">
        <v>701.06209999999999</v>
      </c>
      <c r="D1857" s="2">
        <f>HYPERLINK("http://mcb-m6.bioreg.kyushu-u.ac.jp/M3/20110428/F51131/1595/1", 74.84)</f>
        <v>74.84</v>
      </c>
      <c r="E1857" s="2">
        <v>51.74</v>
      </c>
      <c r="F1857" s="2">
        <v>2</v>
      </c>
      <c r="G1857" s="2" t="s">
        <v>13</v>
      </c>
      <c r="I1857" s="2" t="s">
        <v>4892</v>
      </c>
    </row>
    <row r="1858" spans="1:9" x14ac:dyDescent="0.2">
      <c r="A1858" s="2" t="s">
        <v>3403</v>
      </c>
      <c r="B1858" s="2" t="s">
        <v>1246</v>
      </c>
      <c r="C1858" s="2">
        <v>847.20920000000001</v>
      </c>
      <c r="D1858" s="2">
        <f>HYPERLINK("http://mcb-m6.bioreg.kyushu-u.ac.jp/M3/20110427/F51112/2586/1", 82.11)</f>
        <v>82.11</v>
      </c>
      <c r="E1858" s="2">
        <v>59.47</v>
      </c>
      <c r="F1858" s="2">
        <v>2</v>
      </c>
      <c r="G1858" s="2" t="s">
        <v>13</v>
      </c>
    </row>
    <row r="1859" spans="1:9" x14ac:dyDescent="0.2">
      <c r="A1859" s="2" t="s">
        <v>3403</v>
      </c>
      <c r="B1859" s="2" t="s">
        <v>841</v>
      </c>
      <c r="C1859" s="2">
        <v>767.13319999999999</v>
      </c>
      <c r="D1859" s="2">
        <f>HYPERLINK("http://mcb-m6.bioreg.kyushu-u.ac.jp/M3/20110428/F51131/1959/1", 87.38)</f>
        <v>87.38</v>
      </c>
      <c r="E1859" s="2">
        <v>77.03</v>
      </c>
      <c r="F1859" s="2">
        <v>2</v>
      </c>
      <c r="G1859" s="2" t="s">
        <v>13</v>
      </c>
      <c r="I1859" s="2" t="s">
        <v>4923</v>
      </c>
    </row>
    <row r="1860" spans="1:9" x14ac:dyDescent="0.2">
      <c r="A1860" s="2" t="s">
        <v>3403</v>
      </c>
      <c r="B1860" s="2" t="s">
        <v>1144</v>
      </c>
      <c r="C1860" s="2">
        <v>888.26369999999997</v>
      </c>
      <c r="D1860" s="2">
        <f>HYPERLINK("http://mcb-m6.bioreg.kyushu-u.ac.jp/M3/20110427/F51111/2788/1", 88.46)</f>
        <v>88.46</v>
      </c>
      <c r="E1860" s="2">
        <v>73.73</v>
      </c>
      <c r="F1860" s="2">
        <v>2</v>
      </c>
      <c r="G1860" s="2" t="s">
        <v>13</v>
      </c>
      <c r="I1860" s="2" t="s">
        <v>4898</v>
      </c>
    </row>
    <row r="1861" spans="1:9" x14ac:dyDescent="0.2">
      <c r="A1861" s="2" t="s">
        <v>3403</v>
      </c>
      <c r="B1861" s="2" t="s">
        <v>1144</v>
      </c>
      <c r="C1861" s="2">
        <v>887.77170000000001</v>
      </c>
      <c r="D1861" s="2">
        <f>HYPERLINK("http://mcb-m6.bioreg.kyushu-u.ac.jp/M3/20110428/F51131/2501/1", 88.75)</f>
        <v>88.75</v>
      </c>
      <c r="E1861" s="2">
        <v>72.62</v>
      </c>
      <c r="F1861" s="2">
        <v>2</v>
      </c>
      <c r="G1861" s="2" t="s">
        <v>13</v>
      </c>
      <c r="I1861" s="2" t="s">
        <v>4898</v>
      </c>
    </row>
    <row r="1862" spans="1:9" x14ac:dyDescent="0.2">
      <c r="A1862" s="2" t="s">
        <v>3403</v>
      </c>
      <c r="B1862" s="2" t="s">
        <v>1246</v>
      </c>
      <c r="C1862" s="2">
        <v>846.75419999999997</v>
      </c>
      <c r="D1862" s="2">
        <f>HYPERLINK("http://mcb-m6.bioreg.kyushu-u.ac.jp/M3/20110428/F51131/2320/1", 88.87)</f>
        <v>88.87</v>
      </c>
      <c r="E1862" s="2">
        <v>77.86</v>
      </c>
      <c r="F1862" s="2">
        <v>2</v>
      </c>
      <c r="G1862" s="2" t="s">
        <v>13</v>
      </c>
    </row>
    <row r="1863" spans="1:9" x14ac:dyDescent="0.2">
      <c r="A1863" s="2" t="s">
        <v>3403</v>
      </c>
      <c r="B1863" s="2" t="s">
        <v>1246</v>
      </c>
      <c r="C1863" s="2">
        <v>847.28369999999995</v>
      </c>
      <c r="D1863" s="2">
        <f>HYPERLINK("http://mcb-m6.bioreg.kyushu-u.ac.jp/M3/20110427/F51115/2432/1", 89.46)</f>
        <v>89.46</v>
      </c>
      <c r="E1863" s="2">
        <v>77.03</v>
      </c>
      <c r="F1863" s="2">
        <v>2</v>
      </c>
      <c r="G1863" s="2" t="s">
        <v>13</v>
      </c>
    </row>
    <row r="1864" spans="1:9" x14ac:dyDescent="0.2">
      <c r="A1864" s="2" t="s">
        <v>3403</v>
      </c>
      <c r="B1864" s="2" t="s">
        <v>1144</v>
      </c>
      <c r="C1864" s="2">
        <v>887.8066</v>
      </c>
      <c r="D1864" s="2">
        <f>HYPERLINK("http://mcb-m6.bioreg.kyushu-u.ac.jp/M3/20110427/F51113/2570/1", 92.58)</f>
        <v>92.58</v>
      </c>
      <c r="E1864" s="2">
        <v>77.45</v>
      </c>
      <c r="F1864" s="2">
        <v>2</v>
      </c>
      <c r="G1864" s="2" t="s">
        <v>13</v>
      </c>
      <c r="I1864" s="2" t="s">
        <v>4898</v>
      </c>
    </row>
    <row r="1865" spans="1:9" x14ac:dyDescent="0.2">
      <c r="A1865" s="2" t="s">
        <v>3403</v>
      </c>
      <c r="B1865" s="2" t="s">
        <v>1144</v>
      </c>
      <c r="C1865" s="2">
        <v>887.78610000000003</v>
      </c>
      <c r="D1865" s="2">
        <f>HYPERLINK("http://mcb-m6.bioreg.kyushu-u.ac.jp/M3/20110427/F51114/2774/1", 102.5)</f>
        <v>102.5</v>
      </c>
      <c r="E1865" s="2">
        <v>80.459999999999994</v>
      </c>
      <c r="F1865" s="2">
        <v>2</v>
      </c>
      <c r="G1865" s="2" t="s">
        <v>13</v>
      </c>
      <c r="I1865" s="2" t="s">
        <v>4898</v>
      </c>
    </row>
    <row r="1866" spans="1:9" x14ac:dyDescent="0.2">
      <c r="A1866" s="2" t="s">
        <v>3403</v>
      </c>
      <c r="B1866" s="2" t="s">
        <v>1246</v>
      </c>
      <c r="C1866" s="2">
        <v>847.24659999999994</v>
      </c>
      <c r="D1866" s="2">
        <f>HYPERLINK("http://mcb-m6.bioreg.kyushu-u.ac.jp/M3/20110427/F51114/2600/1", 106.13)</f>
        <v>106.13</v>
      </c>
      <c r="E1866" s="2">
        <v>90.21</v>
      </c>
      <c r="F1866" s="2">
        <v>2</v>
      </c>
      <c r="G1866" s="2" t="s">
        <v>13</v>
      </c>
    </row>
    <row r="1867" spans="1:9" x14ac:dyDescent="0.2">
      <c r="A1867" s="2" t="s">
        <v>3403</v>
      </c>
      <c r="B1867" s="2" t="s">
        <v>1633</v>
      </c>
      <c r="C1867" s="2">
        <v>1240.893</v>
      </c>
      <c r="D1867" s="2">
        <f>HYPERLINK("http://mcb-m6.bioreg.kyushu-u.ac.jp/M3/20110428/F51131/3554/1", 154.86)</f>
        <v>154.86000000000001</v>
      </c>
      <c r="E1867" s="2">
        <v>142.06</v>
      </c>
      <c r="F1867" s="2">
        <v>2</v>
      </c>
      <c r="G1867" s="2" t="s">
        <v>13</v>
      </c>
    </row>
    <row r="1868" spans="1:9" x14ac:dyDescent="0.2">
      <c r="A1868" s="2" t="s">
        <v>3403</v>
      </c>
      <c r="B1868" s="2" t="s">
        <v>200</v>
      </c>
      <c r="C1868" s="2">
        <v>701.09370000000001</v>
      </c>
      <c r="D1868" s="2">
        <f>HYPERLINK("http://mcb-m6.bioreg.kyushu-u.ac.jp/M3/20110427/F51123/1845/1", 60.88)</f>
        <v>60.88</v>
      </c>
      <c r="E1868" s="2">
        <v>43.13</v>
      </c>
      <c r="F1868" s="2">
        <v>2</v>
      </c>
      <c r="G1868" s="2" t="s">
        <v>14</v>
      </c>
      <c r="I1868" s="2" t="s">
        <v>4892</v>
      </c>
    </row>
    <row r="1869" spans="1:9" x14ac:dyDescent="0.2">
      <c r="A1869" s="2" t="s">
        <v>3403</v>
      </c>
      <c r="B1869" s="2" t="s">
        <v>200</v>
      </c>
      <c r="C1869" s="2">
        <v>701.72469999999998</v>
      </c>
      <c r="D1869" s="2">
        <f>HYPERLINK("http://mcb-m6.bioreg.kyushu-u.ac.jp/M3/20110428/F51135/1662/1", 76.42)</f>
        <v>76.42</v>
      </c>
      <c r="E1869" s="2">
        <v>59.66</v>
      </c>
      <c r="F1869" s="2">
        <v>2</v>
      </c>
      <c r="G1869" s="2" t="s">
        <v>14</v>
      </c>
      <c r="I1869" s="2" t="s">
        <v>4892</v>
      </c>
    </row>
    <row r="1870" spans="1:9" x14ac:dyDescent="0.2">
      <c r="A1870" s="2" t="s">
        <v>3403</v>
      </c>
      <c r="B1870" s="2" t="s">
        <v>1144</v>
      </c>
      <c r="C1870" s="2">
        <v>888.0231</v>
      </c>
      <c r="D1870" s="2">
        <f>HYPERLINK("http://mcb-m6.bioreg.kyushu-u.ac.jp/M3/20110428/F51135/2326/1", 92.09)</f>
        <v>92.09</v>
      </c>
      <c r="E1870" s="2">
        <v>75.56</v>
      </c>
      <c r="F1870" s="2">
        <v>2</v>
      </c>
      <c r="G1870" s="2" t="s">
        <v>14</v>
      </c>
      <c r="I1870" s="2" t="s">
        <v>4898</v>
      </c>
    </row>
    <row r="1871" spans="1:9" x14ac:dyDescent="0.2">
      <c r="A1871" s="2" t="s">
        <v>3403</v>
      </c>
      <c r="B1871" s="2" t="s">
        <v>1246</v>
      </c>
      <c r="C1871" s="2">
        <v>847.48109999999997</v>
      </c>
      <c r="D1871" s="2">
        <f>HYPERLINK("http://mcb-m6.bioreg.kyushu-u.ac.jp/M3/20110428/F51135/2214/1", 106.53)</f>
        <v>106.53</v>
      </c>
      <c r="E1871" s="2">
        <v>88</v>
      </c>
      <c r="F1871" s="2">
        <v>2</v>
      </c>
      <c r="G1871" s="2" t="s">
        <v>14</v>
      </c>
    </row>
    <row r="1872" spans="1:9" x14ac:dyDescent="0.2">
      <c r="A1872" s="2" t="s">
        <v>3511</v>
      </c>
      <c r="B1872" s="2" t="s">
        <v>352</v>
      </c>
      <c r="C1872" s="2">
        <v>851.47059999999999</v>
      </c>
      <c r="D1872" s="2">
        <f>HYPERLINK("http://mcb-m6.bioreg.kyushu-u.ac.jp/M3/20110404/F50776/2069/1", 40.1)</f>
        <v>40.1</v>
      </c>
      <c r="E1872" s="2">
        <v>20.260000000000002</v>
      </c>
      <c r="F1872" s="2">
        <v>2</v>
      </c>
      <c r="G1872" s="2" t="s">
        <v>9</v>
      </c>
      <c r="H1872" s="2" t="s">
        <v>4925</v>
      </c>
      <c r="I1872" s="2" t="s">
        <v>4914</v>
      </c>
    </row>
    <row r="1873" spans="1:9" x14ac:dyDescent="0.2">
      <c r="A1873" s="2" t="s">
        <v>3511</v>
      </c>
      <c r="B1873" s="2" t="s">
        <v>352</v>
      </c>
      <c r="C1873" s="2">
        <v>842.96559999999999</v>
      </c>
      <c r="D1873" s="2">
        <f>HYPERLINK("http://mcb-m6.bioreg.kyushu-u.ac.jp/M3/20110404/F50756/2419/1", 48.79)</f>
        <v>48.79</v>
      </c>
      <c r="E1873" s="2">
        <v>26.92</v>
      </c>
      <c r="F1873" s="2">
        <v>2</v>
      </c>
      <c r="G1873" s="2" t="s">
        <v>9</v>
      </c>
      <c r="I1873" s="2" t="s">
        <v>4914</v>
      </c>
    </row>
    <row r="1874" spans="1:9" x14ac:dyDescent="0.2">
      <c r="A1874" s="2" t="s">
        <v>3511</v>
      </c>
      <c r="B1874" s="2" t="s">
        <v>533</v>
      </c>
      <c r="C1874" s="2">
        <v>1230.665</v>
      </c>
      <c r="D1874" s="2">
        <f>HYPERLINK("http://mcb-m6.bioreg.kyushu-u.ac.jp/M3/20110404/F50776/1389/1", 51.31)</f>
        <v>51.31</v>
      </c>
      <c r="E1874" s="2">
        <v>36.119999999999997</v>
      </c>
      <c r="F1874" s="2">
        <v>1</v>
      </c>
      <c r="G1874" s="2" t="s">
        <v>9</v>
      </c>
    </row>
    <row r="1875" spans="1:9" x14ac:dyDescent="0.2">
      <c r="A1875" s="2" t="s">
        <v>3511</v>
      </c>
      <c r="B1875" s="2" t="s">
        <v>352</v>
      </c>
      <c r="C1875" s="2">
        <v>842.83870000000002</v>
      </c>
      <c r="D1875" s="2">
        <f>HYPERLINK("http://mcb-m6.bioreg.kyushu-u.ac.jp/M3/20110404/F50776/2045/1", 53.09)</f>
        <v>53.09</v>
      </c>
      <c r="E1875" s="2">
        <v>27.18</v>
      </c>
      <c r="F1875" s="2">
        <v>2</v>
      </c>
      <c r="G1875" s="2" t="s">
        <v>9</v>
      </c>
      <c r="I1875" s="2" t="s">
        <v>4914</v>
      </c>
    </row>
    <row r="1876" spans="1:9" x14ac:dyDescent="0.2">
      <c r="A1876" s="2" t="s">
        <v>3511</v>
      </c>
      <c r="B1876" s="2" t="s">
        <v>461</v>
      </c>
      <c r="C1876" s="2">
        <v>680.15009999999995</v>
      </c>
      <c r="D1876" s="2">
        <f>HYPERLINK("http://mcb-m6.bioreg.kyushu-u.ac.jp/M3/20110404/F50776/1556/1", 65.53)</f>
        <v>65.53</v>
      </c>
      <c r="E1876" s="2">
        <v>27.24</v>
      </c>
      <c r="F1876" s="2">
        <v>2</v>
      </c>
      <c r="G1876" s="2" t="s">
        <v>9</v>
      </c>
    </row>
    <row r="1877" spans="1:9" x14ac:dyDescent="0.2">
      <c r="A1877" s="2" t="s">
        <v>3511</v>
      </c>
      <c r="B1877" s="2" t="s">
        <v>352</v>
      </c>
      <c r="C1877" s="2">
        <v>843.35469999999998</v>
      </c>
      <c r="D1877" s="2">
        <f>HYPERLINK("http://mcb-m6.bioreg.kyushu-u.ac.jp/M3/20110404/F50776/2048/1", 66.07)</f>
        <v>66.069999999999993</v>
      </c>
      <c r="E1877" s="2">
        <v>44.08</v>
      </c>
      <c r="F1877" s="2">
        <v>2</v>
      </c>
      <c r="G1877" s="2" t="s">
        <v>9</v>
      </c>
      <c r="I1877" s="2" t="s">
        <v>4914</v>
      </c>
    </row>
    <row r="1878" spans="1:9" x14ac:dyDescent="0.2">
      <c r="A1878" s="2" t="s">
        <v>3511</v>
      </c>
      <c r="B1878" s="2" t="s">
        <v>352</v>
      </c>
      <c r="C1878" s="2">
        <v>842.7817</v>
      </c>
      <c r="D1878" s="2">
        <f>HYPERLINK("http://mcb-m6.bioreg.kyushu-u.ac.jp/M3/20110404/F50776/2044/1", 75.65)</f>
        <v>75.650000000000006</v>
      </c>
      <c r="E1878" s="2">
        <v>54.35</v>
      </c>
      <c r="F1878" s="2">
        <v>2</v>
      </c>
      <c r="G1878" s="2" t="s">
        <v>9</v>
      </c>
      <c r="I1878" s="2" t="s">
        <v>4914</v>
      </c>
    </row>
    <row r="1879" spans="1:9" x14ac:dyDescent="0.2">
      <c r="A1879" s="2" t="s">
        <v>3511</v>
      </c>
      <c r="B1879" s="2" t="s">
        <v>533</v>
      </c>
      <c r="C1879" s="2">
        <v>1230.498</v>
      </c>
      <c r="D1879" s="2">
        <f>HYPERLINK("http://mcb-m6.bioreg.kyushu-u.ac.jp/M3/20110404/F50781/1426/1", 51.1)</f>
        <v>51.1</v>
      </c>
      <c r="E1879" s="2">
        <v>34.75</v>
      </c>
      <c r="F1879" s="2">
        <v>1</v>
      </c>
      <c r="G1879" s="2" t="s">
        <v>10</v>
      </c>
    </row>
    <row r="1880" spans="1:9" x14ac:dyDescent="0.2">
      <c r="A1880" s="2" t="s">
        <v>3511</v>
      </c>
      <c r="B1880" s="2" t="s">
        <v>533</v>
      </c>
      <c r="C1880" s="2">
        <v>615.87959999999998</v>
      </c>
      <c r="D1880" s="2">
        <f>HYPERLINK("http://mcb-m6.bioreg.kyushu-u.ac.jp/M3/20110421/F51058/1267/1", 42.66)</f>
        <v>42.66</v>
      </c>
      <c r="E1880" s="2">
        <v>15.49</v>
      </c>
      <c r="F1880" s="2">
        <v>2</v>
      </c>
      <c r="G1880" s="2" t="s">
        <v>11</v>
      </c>
    </row>
    <row r="1881" spans="1:9" x14ac:dyDescent="0.2">
      <c r="A1881" s="2" t="s">
        <v>3511</v>
      </c>
      <c r="B1881" s="2" t="s">
        <v>352</v>
      </c>
      <c r="C1881" s="2">
        <v>842.97310000000004</v>
      </c>
      <c r="D1881" s="2">
        <f>HYPERLINK("http://mcb-m6.bioreg.kyushu-u.ac.jp/M3/20110421/F51058/2311/1", 69.86)</f>
        <v>69.86</v>
      </c>
      <c r="E1881" s="2">
        <v>48.11</v>
      </c>
      <c r="F1881" s="2">
        <v>2</v>
      </c>
      <c r="G1881" s="2" t="s">
        <v>11</v>
      </c>
      <c r="I1881" s="2" t="s">
        <v>4914</v>
      </c>
    </row>
    <row r="1882" spans="1:9" x14ac:dyDescent="0.2">
      <c r="A1882" s="2" t="s">
        <v>3511</v>
      </c>
      <c r="B1882" s="2" t="s">
        <v>352</v>
      </c>
      <c r="C1882" s="2">
        <v>843.15620000000001</v>
      </c>
      <c r="D1882" s="2">
        <f>HYPERLINK("http://mcb-m6.bioreg.kyushu-u.ac.jp/M3/20110428/F51131/2304/1", 39.73)</f>
        <v>39.729999999999997</v>
      </c>
      <c r="E1882" s="2">
        <v>19.649999999999999</v>
      </c>
      <c r="F1882" s="2">
        <v>2</v>
      </c>
      <c r="G1882" s="2" t="s">
        <v>13</v>
      </c>
      <c r="I1882" s="2" t="s">
        <v>4914</v>
      </c>
    </row>
    <row r="1883" spans="1:9" x14ac:dyDescent="0.2">
      <c r="A1883" s="2" t="s">
        <v>3511</v>
      </c>
      <c r="B1883" s="2" t="s">
        <v>461</v>
      </c>
      <c r="C1883" s="2">
        <v>680.18520000000001</v>
      </c>
      <c r="D1883" s="2">
        <f>HYPERLINK("http://mcb-m6.bioreg.kyushu-u.ac.jp/M3/20110428/F51131/1476/1", 48.87)</f>
        <v>48.87</v>
      </c>
      <c r="E1883" s="2">
        <v>28.28</v>
      </c>
      <c r="F1883" s="2">
        <v>2</v>
      </c>
      <c r="G1883" s="2" t="s">
        <v>13</v>
      </c>
    </row>
    <row r="1884" spans="1:9" x14ac:dyDescent="0.2">
      <c r="A1884" s="2" t="s">
        <v>3511</v>
      </c>
      <c r="B1884" s="2" t="s">
        <v>352</v>
      </c>
      <c r="C1884" s="2">
        <v>843.16309999999999</v>
      </c>
      <c r="D1884" s="2">
        <f>HYPERLINK("http://mcb-m6.bioreg.kyushu-u.ac.jp/M3/20110427/F51114/2578/1", 51.13)</f>
        <v>51.13</v>
      </c>
      <c r="E1884" s="2">
        <v>29.45</v>
      </c>
      <c r="F1884" s="2">
        <v>2</v>
      </c>
      <c r="G1884" s="2" t="s">
        <v>13</v>
      </c>
      <c r="I1884" s="2" t="s">
        <v>4914</v>
      </c>
    </row>
    <row r="1885" spans="1:9" x14ac:dyDescent="0.2">
      <c r="A1885" s="2" t="s">
        <v>3511</v>
      </c>
      <c r="B1885" s="2" t="s">
        <v>352</v>
      </c>
      <c r="C1885" s="2">
        <v>842.67470000000003</v>
      </c>
      <c r="D1885" s="2">
        <f>HYPERLINK("http://mcb-m6.bioreg.kyushu-u.ac.jp/M3/20110428/F51131/2303/1", 72.79)</f>
        <v>72.790000000000006</v>
      </c>
      <c r="E1885" s="2">
        <v>49.96</v>
      </c>
      <c r="F1885" s="2">
        <v>2</v>
      </c>
      <c r="G1885" s="2" t="s">
        <v>13</v>
      </c>
      <c r="I1885" s="2" t="s">
        <v>4914</v>
      </c>
    </row>
    <row r="1886" spans="1:9" x14ac:dyDescent="0.2">
      <c r="A1886" s="2" t="s">
        <v>7563</v>
      </c>
      <c r="B1886" s="2" t="s">
        <v>5993</v>
      </c>
      <c r="C1886" s="2">
        <v>683.80769999999995</v>
      </c>
      <c r="D1886" s="2">
        <f>HYPERLINK("http://mcb-m6.bioreg.kyushu-u.ac.jp/M3/20110404/F50754/1893/1", 38.06)</f>
        <v>38.06</v>
      </c>
      <c r="E1886" s="2">
        <v>29.47</v>
      </c>
      <c r="F1886" s="2">
        <v>2</v>
      </c>
      <c r="G1886" s="2" t="s">
        <v>9</v>
      </c>
      <c r="I1886" s="2" t="s">
        <v>4895</v>
      </c>
    </row>
    <row r="1887" spans="1:9" x14ac:dyDescent="0.2">
      <c r="A1887" s="2" t="s">
        <v>7563</v>
      </c>
      <c r="B1887" s="2" t="s">
        <v>6648</v>
      </c>
      <c r="C1887" s="2">
        <v>754.20870000000002</v>
      </c>
      <c r="D1887" s="2">
        <f>HYPERLINK("http://mcb-m6.bioreg.kyushu-u.ac.jp/M3/20110404/F50753/2062/1", 105.92)</f>
        <v>105.92</v>
      </c>
      <c r="E1887" s="2">
        <v>85.39</v>
      </c>
      <c r="F1887" s="2">
        <v>2</v>
      </c>
      <c r="G1887" s="2" t="s">
        <v>9</v>
      </c>
    </row>
    <row r="1888" spans="1:9" x14ac:dyDescent="0.2">
      <c r="A1888" s="2" t="s">
        <v>7563</v>
      </c>
      <c r="B1888" s="2" t="s">
        <v>6648</v>
      </c>
      <c r="C1888" s="2">
        <v>753.69669999999996</v>
      </c>
      <c r="D1888" s="2">
        <f>HYPERLINK("http://mcb-m6.bioreg.kyushu-u.ac.jp/M3/20110404/F50754/2166/1", 108.92)</f>
        <v>108.92</v>
      </c>
      <c r="E1888" s="2">
        <v>90.91</v>
      </c>
      <c r="F1888" s="2">
        <v>2</v>
      </c>
      <c r="G1888" s="2" t="s">
        <v>9</v>
      </c>
    </row>
    <row r="1889" spans="1:8" x14ac:dyDescent="0.2">
      <c r="A1889" s="2" t="s">
        <v>7778</v>
      </c>
      <c r="B1889" s="2" t="s">
        <v>6655</v>
      </c>
      <c r="C1889" s="2">
        <v>791.23910000000001</v>
      </c>
      <c r="D1889" s="2">
        <f>HYPERLINK("http://mcb-m6.bioreg.kyushu-u.ac.jp/M3/20110404/F50754/2294/1", 108.95)</f>
        <v>108.95</v>
      </c>
      <c r="E1889" s="2">
        <v>90.01</v>
      </c>
      <c r="F1889" s="2">
        <v>2</v>
      </c>
      <c r="G1889" s="2" t="s">
        <v>9</v>
      </c>
    </row>
    <row r="1890" spans="1:8" x14ac:dyDescent="0.2">
      <c r="A1890" s="2" t="s">
        <v>7852</v>
      </c>
      <c r="B1890" s="2" t="s">
        <v>6831</v>
      </c>
      <c r="C1890" s="2">
        <v>610.75070000000005</v>
      </c>
      <c r="D1890" s="2">
        <f>HYPERLINK("http://mcb-m6.bioreg.kyushu-u.ac.jp/M3/20110404/F50771/1375/1", 47.7)</f>
        <v>47.7</v>
      </c>
      <c r="E1890" s="2">
        <v>20.07</v>
      </c>
      <c r="F1890" s="2">
        <v>2</v>
      </c>
      <c r="G1890" s="2" t="s">
        <v>10</v>
      </c>
    </row>
    <row r="1891" spans="1:8" x14ac:dyDescent="0.2">
      <c r="A1891" s="2" t="s">
        <v>7852</v>
      </c>
      <c r="B1891" s="2" t="s">
        <v>6831</v>
      </c>
      <c r="C1891" s="2">
        <v>611.04610000000002</v>
      </c>
      <c r="D1891" s="2">
        <f>HYPERLINK("http://mcb-m6.bioreg.kyushu-u.ac.jp/M3/20110404/F50772/1399/1", 55.89)</f>
        <v>55.89</v>
      </c>
      <c r="E1891" s="2">
        <v>32.58</v>
      </c>
      <c r="F1891" s="2">
        <v>2</v>
      </c>
      <c r="G1891" s="2" t="s">
        <v>10</v>
      </c>
    </row>
    <row r="1892" spans="1:8" x14ac:dyDescent="0.2">
      <c r="A1892" s="2" t="s">
        <v>4735</v>
      </c>
      <c r="B1892" s="2" t="s">
        <v>2956</v>
      </c>
      <c r="C1892" s="2">
        <v>864.3732</v>
      </c>
      <c r="D1892" s="2">
        <f>HYPERLINK("http://mcb-m6.bioreg.kyushu-u.ac.jp/M3/20110404/F50767/2297/1", 72.95)</f>
        <v>72.95</v>
      </c>
      <c r="E1892" s="2">
        <v>59.18</v>
      </c>
      <c r="F1892" s="2">
        <v>2</v>
      </c>
      <c r="G1892" s="2" t="s">
        <v>9</v>
      </c>
    </row>
    <row r="1893" spans="1:8" x14ac:dyDescent="0.2">
      <c r="A1893" s="2" t="s">
        <v>4735</v>
      </c>
      <c r="B1893" s="2" t="s">
        <v>2956</v>
      </c>
      <c r="C1893" s="2">
        <v>863.72170000000006</v>
      </c>
      <c r="D1893" s="2">
        <f>HYPERLINK("http://mcb-m6.bioreg.kyushu-u.ac.jp/M3/20110404/F50766/2260/1", 116.46)</f>
        <v>116.46</v>
      </c>
      <c r="E1893" s="2">
        <v>58.35</v>
      </c>
      <c r="F1893" s="2">
        <v>2</v>
      </c>
      <c r="G1893" s="2" t="s">
        <v>9</v>
      </c>
    </row>
    <row r="1894" spans="1:8" x14ac:dyDescent="0.2">
      <c r="A1894" s="2" t="s">
        <v>4735</v>
      </c>
      <c r="B1894" s="2" t="s">
        <v>2956</v>
      </c>
      <c r="C1894" s="2">
        <v>864.42970000000003</v>
      </c>
      <c r="D1894" s="2">
        <f>HYPERLINK("http://mcb-m6.bioreg.kyushu-u.ac.jp/M3/20110404/F50772/2396/1", 87.29)</f>
        <v>87.29</v>
      </c>
      <c r="E1894" s="2">
        <v>73.37</v>
      </c>
      <c r="F1894" s="2">
        <v>2</v>
      </c>
      <c r="G1894" s="2" t="s">
        <v>10</v>
      </c>
    </row>
    <row r="1895" spans="1:8" x14ac:dyDescent="0.2">
      <c r="A1895" s="2" t="s">
        <v>4735</v>
      </c>
      <c r="B1895" s="2" t="s">
        <v>2956</v>
      </c>
      <c r="C1895" s="2">
        <v>855.37459999999999</v>
      </c>
      <c r="D1895" s="2">
        <f>HYPERLINK("http://mcb-m6.bioreg.kyushu-u.ac.jp/M3/20110404/F50772/2365/1", 100.14)</f>
        <v>100.14</v>
      </c>
      <c r="E1895" s="2">
        <v>73.930000000000007</v>
      </c>
      <c r="F1895" s="2">
        <v>2</v>
      </c>
      <c r="G1895" s="2" t="s">
        <v>10</v>
      </c>
      <c r="H1895" s="2" t="s">
        <v>4904</v>
      </c>
    </row>
    <row r="1896" spans="1:8" x14ac:dyDescent="0.2">
      <c r="A1896" s="2" t="s">
        <v>4735</v>
      </c>
      <c r="B1896" s="2" t="s">
        <v>2956</v>
      </c>
      <c r="C1896" s="2">
        <v>863.78560000000004</v>
      </c>
      <c r="D1896" s="2">
        <f>HYPERLINK("http://mcb-m6.bioreg.kyushu-u.ac.jp/M3/20110404/F50773/2292/1", 106.96)</f>
        <v>106.96</v>
      </c>
      <c r="E1896" s="2">
        <v>81.55</v>
      </c>
      <c r="F1896" s="2">
        <v>2</v>
      </c>
      <c r="G1896" s="2" t="s">
        <v>10</v>
      </c>
    </row>
    <row r="1897" spans="1:8" x14ac:dyDescent="0.2">
      <c r="A1897" s="2" t="s">
        <v>4735</v>
      </c>
      <c r="B1897" s="2" t="s">
        <v>2956</v>
      </c>
      <c r="C1897" s="2">
        <v>863.89919999999995</v>
      </c>
      <c r="D1897" s="2">
        <f>HYPERLINK("http://mcb-m6.bioreg.kyushu-u.ac.jp/M3/20110404/F50772/2390/1", 110.16)</f>
        <v>110.16</v>
      </c>
      <c r="E1897" s="2">
        <v>79.930000000000007</v>
      </c>
      <c r="F1897" s="2">
        <v>2</v>
      </c>
      <c r="G1897" s="2" t="s">
        <v>10</v>
      </c>
    </row>
    <row r="1898" spans="1:8" x14ac:dyDescent="0.2">
      <c r="A1898" s="2" t="s">
        <v>4735</v>
      </c>
      <c r="B1898" s="2" t="s">
        <v>2956</v>
      </c>
      <c r="C1898" s="2">
        <v>864.43320000000006</v>
      </c>
      <c r="D1898" s="2">
        <f>HYPERLINK("http://mcb-m6.bioreg.kyushu-u.ac.jp/M3/20110421/F51025/2446/1", 80.41)</f>
        <v>80.41</v>
      </c>
      <c r="E1898" s="2">
        <v>67.98</v>
      </c>
      <c r="F1898" s="2">
        <v>2</v>
      </c>
      <c r="G1898" s="2" t="s">
        <v>12</v>
      </c>
    </row>
    <row r="1899" spans="1:8" x14ac:dyDescent="0.2">
      <c r="A1899" s="2" t="s">
        <v>4735</v>
      </c>
      <c r="B1899" s="2" t="s">
        <v>2956</v>
      </c>
      <c r="C1899" s="2">
        <v>863.86720000000003</v>
      </c>
      <c r="D1899" s="2">
        <f>HYPERLINK("http://mcb-m6.bioreg.kyushu-u.ac.jp/M3/20110421/F51025/2444/1", 88.31)</f>
        <v>88.31</v>
      </c>
      <c r="E1899" s="2">
        <v>58.53</v>
      </c>
      <c r="F1899" s="2">
        <v>2</v>
      </c>
      <c r="G1899" s="2" t="s">
        <v>12</v>
      </c>
    </row>
    <row r="1900" spans="1:8" x14ac:dyDescent="0.2">
      <c r="A1900" s="2" t="s">
        <v>4735</v>
      </c>
      <c r="B1900" s="2" t="s">
        <v>2956</v>
      </c>
      <c r="C1900" s="2">
        <v>855.54359999999997</v>
      </c>
      <c r="D1900" s="2">
        <f>HYPERLINK("http://mcb-m6.bioreg.kyushu-u.ac.jp/M3/20110421/F51025/2416/1", 91.85)</f>
        <v>91.85</v>
      </c>
      <c r="E1900" s="2">
        <v>76.87</v>
      </c>
      <c r="F1900" s="2">
        <v>2</v>
      </c>
      <c r="G1900" s="2" t="s">
        <v>12</v>
      </c>
      <c r="H1900" s="2" t="s">
        <v>4904</v>
      </c>
    </row>
    <row r="1901" spans="1:8" x14ac:dyDescent="0.2">
      <c r="A1901" s="2" t="s">
        <v>7890</v>
      </c>
      <c r="B1901" s="2" t="s">
        <v>6960</v>
      </c>
      <c r="C1901" s="2">
        <v>629.53809999999999</v>
      </c>
      <c r="D1901" s="2">
        <f>HYPERLINK("http://mcb-m6.bioreg.kyushu-u.ac.jp/M3/20110404/F50772/1466/1", 66.44)</f>
        <v>66.44</v>
      </c>
      <c r="E1901" s="2">
        <v>39.659999999999997</v>
      </c>
      <c r="F1901" s="2">
        <v>2</v>
      </c>
      <c r="G1901" s="2" t="s">
        <v>10</v>
      </c>
    </row>
    <row r="1902" spans="1:8" x14ac:dyDescent="0.2">
      <c r="A1902" s="2" t="s">
        <v>3905</v>
      </c>
      <c r="B1902" s="2" t="s">
        <v>1063</v>
      </c>
      <c r="C1902" s="2">
        <v>582.29859999999996</v>
      </c>
      <c r="D1902" s="2">
        <f>HYPERLINK("http://mcb-m6.bioreg.kyushu-u.ac.jp/M3/20110404/F50760/1265/1", 36.63)</f>
        <v>36.630000000000003</v>
      </c>
      <c r="E1902" s="2">
        <v>17.09</v>
      </c>
      <c r="F1902" s="2">
        <v>2</v>
      </c>
      <c r="G1902" s="2" t="s">
        <v>10</v>
      </c>
    </row>
    <row r="1903" spans="1:8" x14ac:dyDescent="0.2">
      <c r="A1903" s="2" t="s">
        <v>7656</v>
      </c>
      <c r="B1903" s="2" t="s">
        <v>6237</v>
      </c>
      <c r="C1903" s="2">
        <v>730.26120000000003</v>
      </c>
      <c r="D1903" s="2">
        <f>HYPERLINK("http://mcb-m6.bioreg.kyushu-u.ac.jp/M3/20110404/F50777/1865/1", 48.04)</f>
        <v>48.04</v>
      </c>
      <c r="E1903" s="2">
        <v>30.68</v>
      </c>
      <c r="F1903" s="2">
        <v>2</v>
      </c>
      <c r="G1903" s="2" t="s">
        <v>9</v>
      </c>
    </row>
    <row r="1904" spans="1:8" x14ac:dyDescent="0.2">
      <c r="A1904" s="2" t="s">
        <v>7656</v>
      </c>
      <c r="B1904" s="2" t="s">
        <v>6237</v>
      </c>
      <c r="C1904" s="2">
        <v>730.09720000000004</v>
      </c>
      <c r="D1904" s="2">
        <f>HYPERLINK("http://mcb-m6.bioreg.kyushu-u.ac.jp/M3/20110421/F51047/2079/1", 76.57)</f>
        <v>76.569999999999993</v>
      </c>
      <c r="E1904" s="2">
        <v>54.58</v>
      </c>
      <c r="F1904" s="2">
        <v>2</v>
      </c>
      <c r="G1904" s="2" t="s">
        <v>12</v>
      </c>
    </row>
    <row r="1905" spans="1:9" x14ac:dyDescent="0.2">
      <c r="A1905" s="2" t="s">
        <v>4602</v>
      </c>
      <c r="B1905" s="2" t="s">
        <v>2699</v>
      </c>
      <c r="C1905" s="2">
        <v>790.32759999999996</v>
      </c>
      <c r="D1905" s="2">
        <f>HYPERLINK("http://mcb-m6.bioreg.kyushu-u.ac.jp/M3/20110404/F50777/2132/1", 72.97)</f>
        <v>72.97</v>
      </c>
      <c r="E1905" s="2">
        <v>52.3</v>
      </c>
      <c r="F1905" s="2">
        <v>2</v>
      </c>
      <c r="G1905" s="2" t="s">
        <v>9</v>
      </c>
    </row>
    <row r="1906" spans="1:9" x14ac:dyDescent="0.2">
      <c r="A1906" s="2" t="s">
        <v>4602</v>
      </c>
      <c r="B1906" s="2" t="s">
        <v>2699</v>
      </c>
      <c r="C1906" s="2">
        <v>790.1232</v>
      </c>
      <c r="D1906" s="2">
        <f>HYPERLINK("http://mcb-m6.bioreg.kyushu-u.ac.jp/M3/20110404/F50753/2209/1", 83.23)</f>
        <v>83.23</v>
      </c>
      <c r="E1906" s="2">
        <v>57.22</v>
      </c>
      <c r="F1906" s="2">
        <v>2</v>
      </c>
      <c r="G1906" s="2" t="s">
        <v>9</v>
      </c>
    </row>
    <row r="1907" spans="1:9" x14ac:dyDescent="0.2">
      <c r="A1907" s="2" t="s">
        <v>4602</v>
      </c>
      <c r="B1907" s="2" t="s">
        <v>2699</v>
      </c>
      <c r="C1907" s="2">
        <v>789.82759999999996</v>
      </c>
      <c r="D1907" s="2">
        <f>HYPERLINK("http://mcb-m6.bioreg.kyushu-u.ac.jp/M3/20110404/F50758/2084/1", 36.48)</f>
        <v>36.479999999999997</v>
      </c>
      <c r="E1907" s="2">
        <v>29.21</v>
      </c>
      <c r="F1907" s="2">
        <v>2</v>
      </c>
      <c r="G1907" s="2" t="s">
        <v>10</v>
      </c>
    </row>
    <row r="1908" spans="1:9" x14ac:dyDescent="0.2">
      <c r="A1908" s="2" t="s">
        <v>4602</v>
      </c>
      <c r="B1908" s="2" t="s">
        <v>6877</v>
      </c>
      <c r="C1908" s="2">
        <v>800.79570000000001</v>
      </c>
      <c r="D1908" s="2">
        <f>HYPERLINK("http://mcb-m6.bioreg.kyushu-u.ac.jp/M3/20110404/F50758/2135/1", 52.62)</f>
        <v>52.62</v>
      </c>
      <c r="E1908" s="2">
        <v>34.479999999999997</v>
      </c>
      <c r="F1908" s="2">
        <v>2</v>
      </c>
      <c r="G1908" s="2" t="s">
        <v>10</v>
      </c>
    </row>
    <row r="1909" spans="1:9" x14ac:dyDescent="0.2">
      <c r="A1909" s="2" t="s">
        <v>4602</v>
      </c>
      <c r="B1909" s="2" t="s">
        <v>2699</v>
      </c>
      <c r="C1909" s="2">
        <v>790.16470000000004</v>
      </c>
      <c r="D1909" s="2">
        <f>HYPERLINK("http://mcb-m6.bioreg.kyushu-u.ac.jp/M3/20110404/F50774/2100/1", 89.43)</f>
        <v>89.43</v>
      </c>
      <c r="E1909" s="2">
        <v>67.2</v>
      </c>
      <c r="F1909" s="2">
        <v>2</v>
      </c>
      <c r="G1909" s="2" t="s">
        <v>10</v>
      </c>
    </row>
    <row r="1910" spans="1:9" x14ac:dyDescent="0.2">
      <c r="A1910" s="2" t="s">
        <v>4602</v>
      </c>
      <c r="B1910" s="2" t="s">
        <v>2699</v>
      </c>
      <c r="C1910" s="2">
        <v>790.44820000000004</v>
      </c>
      <c r="D1910" s="2">
        <f>HYPERLINK("http://mcb-m6.bioreg.kyushu-u.ac.jp/M3/20110421/F51035/2243/1", 69.16)</f>
        <v>69.16</v>
      </c>
      <c r="E1910" s="2">
        <v>53.2</v>
      </c>
      <c r="F1910" s="2">
        <v>2</v>
      </c>
      <c r="G1910" s="2" t="s">
        <v>11</v>
      </c>
    </row>
    <row r="1911" spans="1:9" x14ac:dyDescent="0.2">
      <c r="A1911" s="2" t="s">
        <v>4602</v>
      </c>
      <c r="B1911" s="2" t="s">
        <v>2699</v>
      </c>
      <c r="C1911" s="2">
        <v>790.27260000000001</v>
      </c>
      <c r="D1911" s="2">
        <f>HYPERLINK("http://mcb-m6.bioreg.kyushu-u.ac.jp/M3/20110421/F51045/2372/1", 40.94)</f>
        <v>40.94</v>
      </c>
      <c r="E1911" s="2">
        <v>25.6</v>
      </c>
      <c r="F1911" s="2">
        <v>2</v>
      </c>
      <c r="G1911" s="2" t="s">
        <v>12</v>
      </c>
    </row>
    <row r="1912" spans="1:9" x14ac:dyDescent="0.2">
      <c r="A1912" s="2" t="s">
        <v>7578</v>
      </c>
      <c r="B1912" s="2" t="s">
        <v>6030</v>
      </c>
      <c r="C1912" s="2">
        <v>627.26570000000004</v>
      </c>
      <c r="D1912" s="2">
        <f>HYPERLINK("http://mcb-m6.bioreg.kyushu-u.ac.jp/M3/20110404/F50753/1593/1", 39.41)</f>
        <v>39.409999999999997</v>
      </c>
      <c r="E1912" s="2">
        <v>24.69</v>
      </c>
      <c r="F1912" s="2">
        <v>2</v>
      </c>
      <c r="G1912" s="2" t="s">
        <v>9</v>
      </c>
      <c r="I1912" s="2" t="s">
        <v>4923</v>
      </c>
    </row>
    <row r="1913" spans="1:9" x14ac:dyDescent="0.2">
      <c r="A1913" s="2" t="s">
        <v>7578</v>
      </c>
      <c r="B1913" s="2" t="s">
        <v>6214</v>
      </c>
      <c r="C1913" s="2">
        <v>502.60359999999997</v>
      </c>
      <c r="D1913" s="2">
        <f>HYPERLINK("http://mcb-m6.bioreg.kyushu-u.ac.jp/M3/20110404/F50753/1207/1", 46.96)</f>
        <v>46.96</v>
      </c>
      <c r="E1913" s="2">
        <v>27.41</v>
      </c>
      <c r="F1913" s="2">
        <v>2</v>
      </c>
      <c r="G1913" s="2" t="s">
        <v>9</v>
      </c>
    </row>
    <row r="1914" spans="1:9" x14ac:dyDescent="0.2">
      <c r="A1914" s="2" t="s">
        <v>7578</v>
      </c>
      <c r="B1914" s="2" t="s">
        <v>6336</v>
      </c>
      <c r="C1914" s="2">
        <v>1205.2750000000001</v>
      </c>
      <c r="D1914" s="2">
        <f>HYPERLINK("http://mcb-m6.bioreg.kyushu-u.ac.jp/M3/20110404/F50753/1519/1", 53.86)</f>
        <v>53.86</v>
      </c>
      <c r="E1914" s="2">
        <v>29.89</v>
      </c>
      <c r="F1914" s="2">
        <v>1</v>
      </c>
      <c r="G1914" s="2" t="s">
        <v>9</v>
      </c>
    </row>
    <row r="1915" spans="1:9" x14ac:dyDescent="0.2">
      <c r="A1915" s="2" t="s">
        <v>7891</v>
      </c>
      <c r="B1915" s="2" t="s">
        <v>6964</v>
      </c>
      <c r="C1915" s="2">
        <v>724.10419999999999</v>
      </c>
      <c r="D1915" s="2">
        <f>HYPERLINK("http://mcb-m6.bioreg.kyushu-u.ac.jp/M3/20110404/F50758/1848/1", 67.78)</f>
        <v>67.78</v>
      </c>
      <c r="E1915" s="2">
        <v>46.55</v>
      </c>
      <c r="F1915" s="2">
        <v>2</v>
      </c>
      <c r="G1915" s="2" t="s">
        <v>10</v>
      </c>
    </row>
    <row r="1916" spans="1:9" x14ac:dyDescent="0.2">
      <c r="A1916" s="2" t="s">
        <v>7540</v>
      </c>
      <c r="B1916" s="2" t="s">
        <v>5944</v>
      </c>
      <c r="C1916" s="2">
        <v>1046.559</v>
      </c>
      <c r="D1916" s="2">
        <f>HYPERLINK("http://mcb-m6.bioreg.kyushu-u.ac.jp/M3/20110404/F50755/3073/1", 36.53)</f>
        <v>36.53</v>
      </c>
      <c r="E1916" s="2">
        <v>24.78</v>
      </c>
      <c r="F1916" s="2">
        <v>2</v>
      </c>
      <c r="G1916" s="2" t="s">
        <v>9</v>
      </c>
      <c r="I1916" s="2" t="s">
        <v>4905</v>
      </c>
    </row>
    <row r="1917" spans="1:9" x14ac:dyDescent="0.2">
      <c r="A1917" s="2" t="s">
        <v>7856</v>
      </c>
      <c r="B1917" s="2" t="s">
        <v>6835</v>
      </c>
      <c r="C1917" s="2">
        <v>709.2242</v>
      </c>
      <c r="D1917" s="2">
        <f>HYPERLINK("http://mcb-m6.bioreg.kyushu-u.ac.jp/M3/20110404/F50761/1703/1", 48.32)</f>
        <v>48.32</v>
      </c>
      <c r="E1917" s="2">
        <v>30.36</v>
      </c>
      <c r="F1917" s="2">
        <v>2</v>
      </c>
      <c r="G1917" s="2" t="s">
        <v>10</v>
      </c>
    </row>
    <row r="1918" spans="1:9" x14ac:dyDescent="0.2">
      <c r="A1918" s="2" t="s">
        <v>3316</v>
      </c>
      <c r="B1918" s="2" t="s">
        <v>100</v>
      </c>
      <c r="C1918" s="2">
        <v>1080.527</v>
      </c>
      <c r="D1918" s="2">
        <f>HYPERLINK("http://mcb-m6.bioreg.kyushu-u.ac.jp/M3/20110404/F50756/1145/1", 35.38)</f>
        <v>35.380000000000003</v>
      </c>
      <c r="E1918" s="2">
        <v>16.059999999999999</v>
      </c>
      <c r="F1918" s="2">
        <v>1</v>
      </c>
      <c r="G1918" s="2" t="s">
        <v>9</v>
      </c>
    </row>
    <row r="1919" spans="1:9" x14ac:dyDescent="0.2">
      <c r="A1919" s="2" t="s">
        <v>3316</v>
      </c>
      <c r="B1919" s="2" t="s">
        <v>229</v>
      </c>
      <c r="C1919" s="2">
        <v>947.38800000000003</v>
      </c>
      <c r="D1919" s="2">
        <f>HYPERLINK("http://mcb-m6.bioreg.kyushu-u.ac.jp/M3/20110404/F50756/925/1", 42.71)</f>
        <v>42.71</v>
      </c>
      <c r="E1919" s="2">
        <v>10.75</v>
      </c>
      <c r="F1919" s="2">
        <v>1</v>
      </c>
      <c r="G1919" s="2" t="s">
        <v>9</v>
      </c>
    </row>
    <row r="1920" spans="1:9" x14ac:dyDescent="0.2">
      <c r="A1920" s="2" t="s">
        <v>3316</v>
      </c>
      <c r="B1920" s="2" t="s">
        <v>220</v>
      </c>
      <c r="C1920" s="2">
        <v>607.73519999999996</v>
      </c>
      <c r="D1920" s="2">
        <f>HYPERLINK("http://mcb-m6.bioreg.kyushu-u.ac.jp/M3/20110404/F50756/1382/1", 50.04)</f>
        <v>50.04</v>
      </c>
      <c r="E1920" s="2">
        <v>25.05</v>
      </c>
      <c r="F1920" s="2">
        <v>2</v>
      </c>
      <c r="G1920" s="2" t="s">
        <v>9</v>
      </c>
    </row>
    <row r="1921" spans="1:9" x14ac:dyDescent="0.2">
      <c r="A1921" s="2" t="s">
        <v>3316</v>
      </c>
      <c r="B1921" s="2" t="s">
        <v>1031</v>
      </c>
      <c r="C1921" s="2">
        <v>649.3107</v>
      </c>
      <c r="D1921" s="2">
        <f>HYPERLINK("http://mcb-m6.bioreg.kyushu-u.ac.jp/M3/20110404/F50756/1524/1", 60.14)</f>
        <v>60.14</v>
      </c>
      <c r="E1921" s="2">
        <v>38.9</v>
      </c>
      <c r="F1921" s="2">
        <v>2</v>
      </c>
      <c r="G1921" s="2" t="s">
        <v>9</v>
      </c>
      <c r="H1921" s="2" t="s">
        <v>4919</v>
      </c>
    </row>
    <row r="1922" spans="1:9" x14ac:dyDescent="0.2">
      <c r="A1922" s="2" t="s">
        <v>3316</v>
      </c>
      <c r="B1922" s="2" t="s">
        <v>1194</v>
      </c>
      <c r="C1922" s="2">
        <v>815.7509</v>
      </c>
      <c r="D1922" s="2">
        <f>HYPERLINK("http://mcb-m6.bioreg.kyushu-u.ac.jp/M3/20110404/F50756/3668/1", 63.45)</f>
        <v>63.45</v>
      </c>
      <c r="E1922" s="2">
        <v>49.64</v>
      </c>
      <c r="F1922" s="2">
        <v>3</v>
      </c>
      <c r="G1922" s="2" t="s">
        <v>9</v>
      </c>
    </row>
    <row r="1923" spans="1:9" x14ac:dyDescent="0.2">
      <c r="A1923" s="2" t="s">
        <v>3316</v>
      </c>
      <c r="B1923" s="2" t="s">
        <v>1628</v>
      </c>
      <c r="C1923" s="2">
        <v>734.06870000000004</v>
      </c>
      <c r="D1923" s="2">
        <f>HYPERLINK("http://mcb-m6.bioreg.kyushu-u.ac.jp/M3/20110404/F50756/1938/1", 79.81)</f>
        <v>79.81</v>
      </c>
      <c r="E1923" s="2">
        <v>64.17</v>
      </c>
      <c r="F1923" s="2">
        <v>2</v>
      </c>
      <c r="G1923" s="2" t="s">
        <v>9</v>
      </c>
      <c r="I1923" s="2" t="s">
        <v>4914</v>
      </c>
    </row>
    <row r="1924" spans="1:9" x14ac:dyDescent="0.2">
      <c r="A1924" s="2" t="s">
        <v>3316</v>
      </c>
      <c r="B1924" s="2" t="s">
        <v>1529</v>
      </c>
      <c r="C1924" s="2">
        <v>1096.941</v>
      </c>
      <c r="D1924" s="2">
        <f>HYPERLINK("http://mcb-m6.bioreg.kyushu-u.ac.jp/M3/20110404/F50756/3342/1", 80.46)</f>
        <v>80.459999999999994</v>
      </c>
      <c r="E1924" s="2">
        <v>56.59</v>
      </c>
      <c r="F1924" s="2">
        <v>2</v>
      </c>
      <c r="G1924" s="2" t="s">
        <v>9</v>
      </c>
      <c r="I1924" s="2" t="s">
        <v>4941</v>
      </c>
    </row>
    <row r="1925" spans="1:9" x14ac:dyDescent="0.2">
      <c r="A1925" s="2" t="s">
        <v>3316</v>
      </c>
      <c r="B1925" s="2" t="s">
        <v>1529</v>
      </c>
      <c r="C1925" s="2">
        <v>1096.422</v>
      </c>
      <c r="D1925" s="2">
        <f>HYPERLINK("http://mcb-m6.bioreg.kyushu-u.ac.jp/M3/20110404/F50756/3341/1", 81.89)</f>
        <v>81.89</v>
      </c>
      <c r="E1925" s="2">
        <v>64.040000000000006</v>
      </c>
      <c r="F1925" s="2">
        <v>2</v>
      </c>
      <c r="G1925" s="2" t="s">
        <v>9</v>
      </c>
      <c r="I1925" s="2" t="s">
        <v>4941</v>
      </c>
    </row>
    <row r="1926" spans="1:9" x14ac:dyDescent="0.2">
      <c r="A1926" s="2" t="s">
        <v>3316</v>
      </c>
      <c r="B1926" s="2" t="s">
        <v>1194</v>
      </c>
      <c r="C1926" s="2">
        <v>1222.393</v>
      </c>
      <c r="D1926" s="2">
        <f>HYPERLINK("http://mcb-m6.bioreg.kyushu-u.ac.jp/M3/20110404/F50756/3665/1", 82.67)</f>
        <v>82.67</v>
      </c>
      <c r="E1926" s="2">
        <v>76.48</v>
      </c>
      <c r="F1926" s="2">
        <v>2</v>
      </c>
      <c r="G1926" s="2" t="s">
        <v>9</v>
      </c>
    </row>
    <row r="1927" spans="1:9" x14ac:dyDescent="0.2">
      <c r="A1927" s="2" t="s">
        <v>3316</v>
      </c>
      <c r="B1927" s="2" t="s">
        <v>1194</v>
      </c>
      <c r="C1927" s="2">
        <v>1223.008</v>
      </c>
      <c r="D1927" s="2">
        <f>HYPERLINK("http://mcb-m6.bioreg.kyushu-u.ac.jp/M3/20110404/F50756/3667/1", 87.61)</f>
        <v>87.61</v>
      </c>
      <c r="E1927" s="2">
        <v>80.62</v>
      </c>
      <c r="F1927" s="2">
        <v>2</v>
      </c>
      <c r="G1927" s="2" t="s">
        <v>9</v>
      </c>
    </row>
    <row r="1928" spans="1:9" x14ac:dyDescent="0.2">
      <c r="A1928" s="2" t="s">
        <v>3316</v>
      </c>
      <c r="B1928" s="2" t="s">
        <v>1523</v>
      </c>
      <c r="C1928" s="2">
        <v>770.85770000000002</v>
      </c>
      <c r="D1928" s="2">
        <f>HYPERLINK("http://mcb-m6.bioreg.kyushu-u.ac.jp/M3/20110404/F50756/2113/1", 88.65)</f>
        <v>88.65</v>
      </c>
      <c r="E1928" s="2">
        <v>66.39</v>
      </c>
      <c r="F1928" s="2">
        <v>2</v>
      </c>
      <c r="G1928" s="2" t="s">
        <v>9</v>
      </c>
      <c r="I1928" s="2" t="s">
        <v>4940</v>
      </c>
    </row>
    <row r="1929" spans="1:9" x14ac:dyDescent="0.2">
      <c r="A1929" s="2" t="s">
        <v>3316</v>
      </c>
      <c r="B1929" s="2" t="s">
        <v>1577</v>
      </c>
      <c r="C1929" s="2">
        <v>884.8981</v>
      </c>
      <c r="D1929" s="2">
        <f>HYPERLINK("http://mcb-m6.bioreg.kyushu-u.ac.jp/M3/20110404/F50756/2605/1", 94.28)</f>
        <v>94.28</v>
      </c>
      <c r="E1929" s="2">
        <v>77.23</v>
      </c>
      <c r="F1929" s="2">
        <v>2</v>
      </c>
      <c r="G1929" s="2" t="s">
        <v>9</v>
      </c>
    </row>
    <row r="1930" spans="1:9" x14ac:dyDescent="0.2">
      <c r="A1930" s="2" t="s">
        <v>3316</v>
      </c>
      <c r="B1930" s="2" t="s">
        <v>775</v>
      </c>
      <c r="C1930" s="2">
        <v>622.65520000000004</v>
      </c>
      <c r="D1930" s="2">
        <f>HYPERLINK("http://mcb-m6.bioreg.kyushu-u.ac.jp/M3/20110404/F50761/1395/1", 36.32)</f>
        <v>36.32</v>
      </c>
      <c r="E1930" s="2">
        <v>21.18</v>
      </c>
      <c r="F1930" s="2">
        <v>2</v>
      </c>
      <c r="G1930" s="2" t="s">
        <v>10</v>
      </c>
      <c r="I1930" s="2" t="s">
        <v>4905</v>
      </c>
    </row>
    <row r="1931" spans="1:9" x14ac:dyDescent="0.2">
      <c r="A1931" s="2" t="s">
        <v>3316</v>
      </c>
      <c r="B1931" s="2" t="s">
        <v>100</v>
      </c>
      <c r="C1931" s="2">
        <v>540.71310000000005</v>
      </c>
      <c r="D1931" s="2">
        <f>HYPERLINK("http://mcb-m6.bioreg.kyushu-u.ac.jp/M3/20110404/F50761/1113/1", 41.2)</f>
        <v>41.2</v>
      </c>
      <c r="E1931" s="2">
        <v>16.670000000000002</v>
      </c>
      <c r="F1931" s="2">
        <v>2</v>
      </c>
      <c r="G1931" s="2" t="s">
        <v>10</v>
      </c>
    </row>
    <row r="1932" spans="1:9" x14ac:dyDescent="0.2">
      <c r="A1932" s="2" t="s">
        <v>3316</v>
      </c>
      <c r="B1932" s="2" t="s">
        <v>220</v>
      </c>
      <c r="C1932" s="2">
        <v>1214.4760000000001</v>
      </c>
      <c r="D1932" s="2">
        <f>HYPERLINK("http://mcb-m6.bioreg.kyushu-u.ac.jp/M3/20110404/F50761/1344/1", 41.76)</f>
        <v>41.76</v>
      </c>
      <c r="E1932" s="2">
        <v>13.61</v>
      </c>
      <c r="F1932" s="2">
        <v>1</v>
      </c>
      <c r="G1932" s="2" t="s">
        <v>10</v>
      </c>
    </row>
    <row r="1933" spans="1:9" x14ac:dyDescent="0.2">
      <c r="A1933" s="2" t="s">
        <v>3316</v>
      </c>
      <c r="B1933" s="2" t="s">
        <v>229</v>
      </c>
      <c r="C1933" s="2">
        <v>947.37</v>
      </c>
      <c r="D1933" s="2">
        <f>HYPERLINK("http://mcb-m6.bioreg.kyushu-u.ac.jp/M3/20110404/F50761/903/1", 42.61)</f>
        <v>42.61</v>
      </c>
      <c r="E1933" s="2">
        <v>12.45</v>
      </c>
      <c r="F1933" s="2">
        <v>1</v>
      </c>
      <c r="G1933" s="2" t="s">
        <v>10</v>
      </c>
    </row>
    <row r="1934" spans="1:9" x14ac:dyDescent="0.2">
      <c r="A1934" s="2" t="s">
        <v>3316</v>
      </c>
      <c r="B1934" s="2" t="s">
        <v>432</v>
      </c>
      <c r="C1934" s="2">
        <v>521.20320000000004</v>
      </c>
      <c r="D1934" s="2">
        <f>HYPERLINK("http://mcb-m6.bioreg.kyushu-u.ac.jp/M3/20110404/F50761/1045/1", 51.97)</f>
        <v>51.97</v>
      </c>
      <c r="E1934" s="2">
        <v>25.22</v>
      </c>
      <c r="F1934" s="2">
        <v>2</v>
      </c>
      <c r="G1934" s="2" t="s">
        <v>10</v>
      </c>
    </row>
    <row r="1935" spans="1:9" x14ac:dyDescent="0.2">
      <c r="A1935" s="2" t="s">
        <v>3316</v>
      </c>
      <c r="B1935" s="2" t="s">
        <v>2100</v>
      </c>
      <c r="C1935" s="2">
        <v>1020.3920000000001</v>
      </c>
      <c r="D1935" s="2">
        <f>HYPERLINK("http://mcb-m6.bioreg.kyushu-u.ac.jp/M3/20110404/F50761/3819/1", 55.11)</f>
        <v>55.11</v>
      </c>
      <c r="E1935" s="2">
        <v>45.15</v>
      </c>
      <c r="F1935" s="2">
        <v>3</v>
      </c>
      <c r="G1935" s="2" t="s">
        <v>10</v>
      </c>
      <c r="I1935" s="2" t="s">
        <v>4955</v>
      </c>
    </row>
    <row r="1936" spans="1:9" x14ac:dyDescent="0.2">
      <c r="A1936" s="2" t="s">
        <v>3316</v>
      </c>
      <c r="B1936" s="2" t="s">
        <v>1529</v>
      </c>
      <c r="C1936" s="2">
        <v>1096.3440000000001</v>
      </c>
      <c r="D1936" s="2">
        <f>HYPERLINK("http://mcb-m6.bioreg.kyushu-u.ac.jp/M3/20110404/F50761/3061/1", 56.27)</f>
        <v>56.27</v>
      </c>
      <c r="E1936" s="2">
        <v>41.75</v>
      </c>
      <c r="F1936" s="2">
        <v>2</v>
      </c>
      <c r="G1936" s="2" t="s">
        <v>10</v>
      </c>
      <c r="I1936" s="2" t="s">
        <v>4941</v>
      </c>
    </row>
    <row r="1937" spans="1:9" x14ac:dyDescent="0.2">
      <c r="A1937" s="2" t="s">
        <v>3316</v>
      </c>
      <c r="B1937" s="2" t="s">
        <v>603</v>
      </c>
      <c r="C1937" s="2">
        <v>669.95669999999996</v>
      </c>
      <c r="D1937" s="2">
        <f>HYPERLINK("http://mcb-m6.bioreg.kyushu-u.ac.jp/M3/20110404/F50761/1527/1", 57.14)</f>
        <v>57.14</v>
      </c>
      <c r="E1937" s="2">
        <v>35.200000000000003</v>
      </c>
      <c r="F1937" s="2">
        <v>2</v>
      </c>
      <c r="G1937" s="2" t="s">
        <v>10</v>
      </c>
      <c r="I1937" s="2" t="s">
        <v>4926</v>
      </c>
    </row>
    <row r="1938" spans="1:9" x14ac:dyDescent="0.2">
      <c r="A1938" s="2" t="s">
        <v>3316</v>
      </c>
      <c r="B1938" s="2" t="s">
        <v>790</v>
      </c>
      <c r="C1938" s="2">
        <v>1242.075</v>
      </c>
      <c r="D1938" s="2">
        <f>HYPERLINK("http://mcb-m6.bioreg.kyushu-u.ac.jp/M3/20110404/F50761/3428/1", 60.47)</f>
        <v>60.47</v>
      </c>
      <c r="E1938" s="2">
        <v>46.77</v>
      </c>
      <c r="F1938" s="2">
        <v>2</v>
      </c>
      <c r="G1938" s="2" t="s">
        <v>10</v>
      </c>
    </row>
    <row r="1939" spans="1:9" x14ac:dyDescent="0.2">
      <c r="A1939" s="2" t="s">
        <v>3316</v>
      </c>
      <c r="B1939" s="2" t="s">
        <v>220</v>
      </c>
      <c r="C1939" s="2">
        <v>607.64009999999996</v>
      </c>
      <c r="D1939" s="2">
        <f>HYPERLINK("http://mcb-m6.bioreg.kyushu-u.ac.jp/M3/20110404/F50761/1342/1", 62.38)</f>
        <v>62.38</v>
      </c>
      <c r="E1939" s="2">
        <v>44.71</v>
      </c>
      <c r="F1939" s="2">
        <v>2</v>
      </c>
      <c r="G1939" s="2" t="s">
        <v>10</v>
      </c>
    </row>
    <row r="1940" spans="1:9" x14ac:dyDescent="0.2">
      <c r="A1940" s="2" t="s">
        <v>3316</v>
      </c>
      <c r="B1940" s="2" t="s">
        <v>100</v>
      </c>
      <c r="C1940" s="2">
        <v>1063.3869999999999</v>
      </c>
      <c r="D1940" s="2">
        <f>HYPERLINK("http://mcb-m6.bioreg.kyushu-u.ac.jp/M3/20110404/F50761/1094/1", 63.74)</f>
        <v>63.74</v>
      </c>
      <c r="E1940" s="2">
        <v>40.74</v>
      </c>
      <c r="F1940" s="2">
        <v>1</v>
      </c>
      <c r="G1940" s="2" t="s">
        <v>10</v>
      </c>
      <c r="H1940" s="2" t="s">
        <v>4904</v>
      </c>
    </row>
    <row r="1941" spans="1:9" x14ac:dyDescent="0.2">
      <c r="A1941" s="2" t="s">
        <v>3316</v>
      </c>
      <c r="B1941" s="2" t="s">
        <v>229</v>
      </c>
      <c r="C1941" s="2">
        <v>474.20460000000003</v>
      </c>
      <c r="D1941" s="2">
        <f>HYPERLINK("http://mcb-m6.bioreg.kyushu-u.ac.jp/M3/20110404/F50761/904/1", 72.53)</f>
        <v>72.53</v>
      </c>
      <c r="E1941" s="2">
        <v>34.380000000000003</v>
      </c>
      <c r="F1941" s="2">
        <v>2</v>
      </c>
      <c r="G1941" s="2" t="s">
        <v>10</v>
      </c>
    </row>
    <row r="1942" spans="1:9" x14ac:dyDescent="0.2">
      <c r="A1942" s="2" t="s">
        <v>3316</v>
      </c>
      <c r="B1942" s="2" t="s">
        <v>1031</v>
      </c>
      <c r="C1942" s="2">
        <v>641.72310000000004</v>
      </c>
      <c r="D1942" s="2">
        <f>HYPERLINK("http://mcb-m6.bioreg.kyushu-u.ac.jp/M3/20110404/F50761/1444/1", 73.73)</f>
        <v>73.73</v>
      </c>
      <c r="E1942" s="2">
        <v>45.74</v>
      </c>
      <c r="F1942" s="2">
        <v>2</v>
      </c>
      <c r="G1942" s="2" t="s">
        <v>10</v>
      </c>
    </row>
    <row r="1943" spans="1:9" x14ac:dyDescent="0.2">
      <c r="A1943" s="2" t="s">
        <v>3316</v>
      </c>
      <c r="B1943" s="2" t="s">
        <v>1529</v>
      </c>
      <c r="C1943" s="2">
        <v>1096.92</v>
      </c>
      <c r="D1943" s="2">
        <f>HYPERLINK("http://mcb-m6.bioreg.kyushu-u.ac.jp/M3/20110404/F50761/3063/1", 74.5)</f>
        <v>74.5</v>
      </c>
      <c r="E1943" s="2">
        <v>53.24</v>
      </c>
      <c r="F1943" s="2">
        <v>2</v>
      </c>
      <c r="G1943" s="2" t="s">
        <v>10</v>
      </c>
      <c r="I1943" s="2" t="s">
        <v>4941</v>
      </c>
    </row>
    <row r="1944" spans="1:9" x14ac:dyDescent="0.2">
      <c r="A1944" s="2" t="s">
        <v>3316</v>
      </c>
      <c r="B1944" s="2" t="s">
        <v>1523</v>
      </c>
      <c r="C1944" s="2">
        <v>770.82669999999996</v>
      </c>
      <c r="D1944" s="2">
        <f>HYPERLINK("http://mcb-m6.bioreg.kyushu-u.ac.jp/M3/20110404/F50761/1973/1", 75.17)</f>
        <v>75.17</v>
      </c>
      <c r="E1944" s="2">
        <v>63.99</v>
      </c>
      <c r="F1944" s="2">
        <v>2</v>
      </c>
      <c r="G1944" s="2" t="s">
        <v>10</v>
      </c>
      <c r="I1944" s="2" t="s">
        <v>4940</v>
      </c>
    </row>
    <row r="1945" spans="1:9" x14ac:dyDescent="0.2">
      <c r="A1945" s="2" t="s">
        <v>3316</v>
      </c>
      <c r="B1945" s="2" t="s">
        <v>1031</v>
      </c>
      <c r="C1945" s="2">
        <v>641.14869999999996</v>
      </c>
      <c r="D1945" s="2">
        <f>HYPERLINK("http://mcb-m6.bioreg.kyushu-u.ac.jp/M3/20110404/F50761/1443/1", 78.79)</f>
        <v>78.790000000000006</v>
      </c>
      <c r="E1945" s="2">
        <v>52.54</v>
      </c>
      <c r="F1945" s="2">
        <v>2</v>
      </c>
      <c r="G1945" s="2" t="s">
        <v>10</v>
      </c>
    </row>
    <row r="1946" spans="1:9" x14ac:dyDescent="0.2">
      <c r="A1946" s="2" t="s">
        <v>3316</v>
      </c>
      <c r="B1946" s="2" t="s">
        <v>1577</v>
      </c>
      <c r="C1946" s="2">
        <v>884.92110000000002</v>
      </c>
      <c r="D1946" s="2">
        <f>HYPERLINK("http://mcb-m6.bioreg.kyushu-u.ac.jp/M3/20110404/F50761/2408/1", 92.79)</f>
        <v>92.79</v>
      </c>
      <c r="E1946" s="2">
        <v>69.72</v>
      </c>
      <c r="F1946" s="2">
        <v>2</v>
      </c>
      <c r="G1946" s="2" t="s">
        <v>10</v>
      </c>
    </row>
    <row r="1947" spans="1:9" x14ac:dyDescent="0.2">
      <c r="A1947" s="2" t="s">
        <v>3316</v>
      </c>
      <c r="B1947" s="2" t="s">
        <v>2100</v>
      </c>
      <c r="C1947" s="2">
        <v>1529.4929999999999</v>
      </c>
      <c r="D1947" s="2">
        <f>HYPERLINK("http://mcb-m6.bioreg.kyushu-u.ac.jp/M3/20110404/F50761/3817/1", 93.33)</f>
        <v>93.33</v>
      </c>
      <c r="E1947" s="2">
        <v>86.87</v>
      </c>
      <c r="F1947" s="2">
        <v>2</v>
      </c>
      <c r="G1947" s="2" t="s">
        <v>10</v>
      </c>
      <c r="I1947" s="2" t="s">
        <v>4955</v>
      </c>
    </row>
    <row r="1948" spans="1:9" x14ac:dyDescent="0.2">
      <c r="A1948" s="2" t="s">
        <v>3316</v>
      </c>
      <c r="B1948" s="2" t="s">
        <v>1194</v>
      </c>
      <c r="C1948" s="2">
        <v>1222.376</v>
      </c>
      <c r="D1948" s="2">
        <f>HYPERLINK("http://mcb-m6.bioreg.kyushu-u.ac.jp/M3/20110404/F50761/3378/1", 99.15)</f>
        <v>99.15</v>
      </c>
      <c r="E1948" s="2">
        <v>90.58</v>
      </c>
      <c r="F1948" s="2">
        <v>2</v>
      </c>
      <c r="G1948" s="2" t="s">
        <v>10</v>
      </c>
    </row>
    <row r="1949" spans="1:9" x14ac:dyDescent="0.2">
      <c r="A1949" s="2" t="s">
        <v>3316</v>
      </c>
      <c r="B1949" s="2" t="s">
        <v>1194</v>
      </c>
      <c r="C1949" s="2">
        <v>815.32090000000005</v>
      </c>
      <c r="D1949" s="2">
        <f>HYPERLINK("http://mcb-m6.bioreg.kyushu-u.ac.jp/M3/20110404/F50761/3380/1", 108.44)</f>
        <v>108.44</v>
      </c>
      <c r="E1949" s="2">
        <v>94.83</v>
      </c>
      <c r="F1949" s="2">
        <v>3</v>
      </c>
      <c r="G1949" s="2" t="s">
        <v>10</v>
      </c>
    </row>
    <row r="1950" spans="1:9" x14ac:dyDescent="0.2">
      <c r="A1950" s="2" t="s">
        <v>3316</v>
      </c>
      <c r="B1950" s="2" t="s">
        <v>1031</v>
      </c>
      <c r="C1950" s="2">
        <v>649.36410000000001</v>
      </c>
      <c r="D1950" s="2">
        <f>HYPERLINK("http://mcb-m6.bioreg.kyushu-u.ac.jp/M3/20110421/F51034/1520/1", 42.78)</f>
        <v>42.78</v>
      </c>
      <c r="E1950" s="2">
        <v>15.24</v>
      </c>
      <c r="F1950" s="2">
        <v>2</v>
      </c>
      <c r="G1950" s="2" t="s">
        <v>11</v>
      </c>
      <c r="H1950" s="2" t="s">
        <v>4919</v>
      </c>
    </row>
    <row r="1951" spans="1:9" x14ac:dyDescent="0.2">
      <c r="A1951" s="2" t="s">
        <v>3316</v>
      </c>
      <c r="B1951" s="2" t="s">
        <v>1529</v>
      </c>
      <c r="C1951" s="2">
        <v>1097.087</v>
      </c>
      <c r="D1951" s="2">
        <f>HYPERLINK("http://mcb-m6.bioreg.kyushu-u.ac.jp/M3/20110421/F51034/3365/1", 54.59)</f>
        <v>54.59</v>
      </c>
      <c r="E1951" s="2">
        <v>43.45</v>
      </c>
      <c r="F1951" s="2">
        <v>2</v>
      </c>
      <c r="G1951" s="2" t="s">
        <v>11</v>
      </c>
      <c r="I1951" s="2" t="s">
        <v>4941</v>
      </c>
    </row>
    <row r="1952" spans="1:9" x14ac:dyDescent="0.2">
      <c r="A1952" s="2" t="s">
        <v>3316</v>
      </c>
      <c r="B1952" s="2" t="s">
        <v>603</v>
      </c>
      <c r="C1952" s="2">
        <v>669.79020000000003</v>
      </c>
      <c r="D1952" s="2">
        <f>HYPERLINK("http://mcb-m6.bioreg.kyushu-u.ac.jp/M3/20110421/F51034/1610/1", 63.63)</f>
        <v>63.63</v>
      </c>
      <c r="E1952" s="2">
        <v>44.12</v>
      </c>
      <c r="F1952" s="2">
        <v>2</v>
      </c>
      <c r="G1952" s="2" t="s">
        <v>11</v>
      </c>
      <c r="I1952" s="2" t="s">
        <v>4926</v>
      </c>
    </row>
    <row r="1953" spans="1:9" x14ac:dyDescent="0.2">
      <c r="A1953" s="2" t="s">
        <v>3316</v>
      </c>
      <c r="B1953" s="2" t="s">
        <v>1523</v>
      </c>
      <c r="C1953" s="2">
        <v>770.95510000000002</v>
      </c>
      <c r="D1953" s="2">
        <f>HYPERLINK("http://mcb-m6.bioreg.kyushu-u.ac.jp/M3/20110421/F51034/2202/1", 82.95)</f>
        <v>82.95</v>
      </c>
      <c r="E1953" s="2">
        <v>68.28</v>
      </c>
      <c r="F1953" s="2">
        <v>2</v>
      </c>
      <c r="G1953" s="2" t="s">
        <v>11</v>
      </c>
      <c r="I1953" s="2" t="s">
        <v>4940</v>
      </c>
    </row>
    <row r="1954" spans="1:9" x14ac:dyDescent="0.2">
      <c r="A1954" s="2" t="s">
        <v>3316</v>
      </c>
      <c r="B1954" s="2" t="s">
        <v>775</v>
      </c>
      <c r="C1954" s="2">
        <v>622.76919999999996</v>
      </c>
      <c r="D1954" s="2">
        <f>HYPERLINK("http://mcb-m6.bioreg.kyushu-u.ac.jp/M3/20110421/F51044/1431/1", 44.65)</f>
        <v>44.65</v>
      </c>
      <c r="E1954" s="2">
        <v>29.23</v>
      </c>
      <c r="F1954" s="2">
        <v>2</v>
      </c>
      <c r="G1954" s="2" t="s">
        <v>12</v>
      </c>
      <c r="I1954" s="2" t="s">
        <v>4905</v>
      </c>
    </row>
    <row r="1955" spans="1:9" x14ac:dyDescent="0.2">
      <c r="A1955" s="2" t="s">
        <v>3316</v>
      </c>
      <c r="B1955" s="2" t="s">
        <v>1031</v>
      </c>
      <c r="C1955" s="2">
        <v>641.3682</v>
      </c>
      <c r="D1955" s="2">
        <f>HYPERLINK("http://mcb-m6.bioreg.kyushu-u.ac.jp/M3/20110421/F51044/1487/1", 55.31)</f>
        <v>55.31</v>
      </c>
      <c r="E1955" s="2">
        <v>27.64</v>
      </c>
      <c r="F1955" s="2">
        <v>2</v>
      </c>
      <c r="G1955" s="2" t="s">
        <v>12</v>
      </c>
    </row>
    <row r="1956" spans="1:9" x14ac:dyDescent="0.2">
      <c r="A1956" s="2" t="s">
        <v>3316</v>
      </c>
      <c r="B1956" s="2" t="s">
        <v>1529</v>
      </c>
      <c r="C1956" s="2">
        <v>1096.973</v>
      </c>
      <c r="D1956" s="2">
        <f>HYPERLINK("http://mcb-m6.bioreg.kyushu-u.ac.jp/M3/20110421/F51044/3331/1", 79.81)</f>
        <v>79.81</v>
      </c>
      <c r="E1956" s="2">
        <v>64.06</v>
      </c>
      <c r="F1956" s="2">
        <v>2</v>
      </c>
      <c r="G1956" s="2" t="s">
        <v>12</v>
      </c>
      <c r="I1956" s="2" t="s">
        <v>4941</v>
      </c>
    </row>
    <row r="1957" spans="1:9" x14ac:dyDescent="0.2">
      <c r="A1957" s="2" t="s">
        <v>3316</v>
      </c>
      <c r="B1957" s="2" t="s">
        <v>1529</v>
      </c>
      <c r="C1957" s="2">
        <v>1096.4390000000001</v>
      </c>
      <c r="D1957" s="2">
        <f>HYPERLINK("http://mcb-m6.bioreg.kyushu-u.ac.jp/M3/20110421/F51044/3326/1", 86.93)</f>
        <v>86.93</v>
      </c>
      <c r="E1957" s="2">
        <v>60.11</v>
      </c>
      <c r="F1957" s="2">
        <v>2</v>
      </c>
      <c r="G1957" s="2" t="s">
        <v>12</v>
      </c>
      <c r="I1957" s="2" t="s">
        <v>4941</v>
      </c>
    </row>
    <row r="1958" spans="1:9" x14ac:dyDescent="0.2">
      <c r="A1958" s="2" t="s">
        <v>3316</v>
      </c>
      <c r="B1958" s="2" t="s">
        <v>1523</v>
      </c>
      <c r="C1958" s="2">
        <v>770.84270000000004</v>
      </c>
      <c r="D1958" s="2">
        <f>HYPERLINK("http://mcb-m6.bioreg.kyushu-u.ac.jp/M3/20110421/F51044/2215/1", 91.46)</f>
        <v>91.46</v>
      </c>
      <c r="E1958" s="2">
        <v>72.819999999999993</v>
      </c>
      <c r="F1958" s="2">
        <v>2</v>
      </c>
      <c r="G1958" s="2" t="s">
        <v>12</v>
      </c>
      <c r="I1958" s="2" t="s">
        <v>4940</v>
      </c>
    </row>
    <row r="1959" spans="1:9" x14ac:dyDescent="0.2">
      <c r="A1959" s="2" t="s">
        <v>3316</v>
      </c>
      <c r="B1959" s="2" t="s">
        <v>1577</v>
      </c>
      <c r="C1959" s="2">
        <v>884.96220000000005</v>
      </c>
      <c r="D1959" s="2">
        <f>HYPERLINK("http://mcb-m6.bioreg.kyushu-u.ac.jp/M3/20110421/F51044/2652/1", 97.09)</f>
        <v>97.09</v>
      </c>
      <c r="E1959" s="2">
        <v>75.78</v>
      </c>
      <c r="F1959" s="2">
        <v>2</v>
      </c>
      <c r="G1959" s="2" t="s">
        <v>12</v>
      </c>
    </row>
    <row r="1960" spans="1:9" x14ac:dyDescent="0.2">
      <c r="A1960" s="2" t="s">
        <v>3316</v>
      </c>
      <c r="B1960" s="2" t="s">
        <v>983</v>
      </c>
      <c r="C1960" s="2">
        <v>604.7097</v>
      </c>
      <c r="D1960" s="2">
        <f>HYPERLINK("http://mcb-m6.bioreg.kyushu-u.ac.jp/M3/20110427/F51114/1390/1", 43.57)</f>
        <v>43.57</v>
      </c>
      <c r="E1960" s="2">
        <v>11.34</v>
      </c>
      <c r="F1960" s="2">
        <v>2</v>
      </c>
      <c r="G1960" s="2" t="s">
        <v>13</v>
      </c>
    </row>
    <row r="1961" spans="1:9" x14ac:dyDescent="0.2">
      <c r="A1961" s="2" t="s">
        <v>3316</v>
      </c>
      <c r="B1961" s="2" t="s">
        <v>432</v>
      </c>
      <c r="C1961" s="2">
        <v>521.21720000000005</v>
      </c>
      <c r="D1961" s="2">
        <f>HYPERLINK("http://mcb-m6.bioreg.kyushu-u.ac.jp/M3/20110427/F51114/1026/1", 54.86)</f>
        <v>54.86</v>
      </c>
      <c r="E1961" s="2">
        <v>21.07</v>
      </c>
      <c r="F1961" s="2">
        <v>2</v>
      </c>
      <c r="G1961" s="2" t="s">
        <v>13</v>
      </c>
    </row>
    <row r="1962" spans="1:9" x14ac:dyDescent="0.2">
      <c r="A1962" s="2" t="s">
        <v>3316</v>
      </c>
      <c r="B1962" s="2" t="s">
        <v>1031</v>
      </c>
      <c r="C1962" s="2">
        <v>641.91769999999997</v>
      </c>
      <c r="D1962" s="2">
        <f>HYPERLINK("http://mcb-m6.bioreg.kyushu-u.ac.jp/M3/20110427/F51114/1535/1", 61.28)</f>
        <v>61.28</v>
      </c>
      <c r="E1962" s="2">
        <v>37.340000000000003</v>
      </c>
      <c r="F1962" s="2">
        <v>2</v>
      </c>
      <c r="G1962" s="2" t="s">
        <v>13</v>
      </c>
    </row>
    <row r="1963" spans="1:9" x14ac:dyDescent="0.2">
      <c r="A1963" s="2" t="s">
        <v>3316</v>
      </c>
      <c r="B1963" s="2" t="s">
        <v>1529</v>
      </c>
      <c r="C1963" s="2">
        <v>1096.2940000000001</v>
      </c>
      <c r="D1963" s="2">
        <f>HYPERLINK("http://mcb-m6.bioreg.kyushu-u.ac.jp/M3/20110427/F51114/3506/1", 71.26)</f>
        <v>71.260000000000005</v>
      </c>
      <c r="E1963" s="2">
        <v>54.62</v>
      </c>
      <c r="F1963" s="2">
        <v>2</v>
      </c>
      <c r="G1963" s="2" t="s">
        <v>13</v>
      </c>
      <c r="I1963" s="2" t="s">
        <v>4941</v>
      </c>
    </row>
    <row r="1964" spans="1:9" x14ac:dyDescent="0.2">
      <c r="A1964" s="2" t="s">
        <v>3316</v>
      </c>
      <c r="B1964" s="2" t="s">
        <v>1523</v>
      </c>
      <c r="C1964" s="2">
        <v>770.70420000000001</v>
      </c>
      <c r="D1964" s="2">
        <f>HYPERLINK("http://mcb-m6.bioreg.kyushu-u.ac.jp/M3/20110427/F51114/2220/1", 89.47)</f>
        <v>89.47</v>
      </c>
      <c r="E1964" s="2">
        <v>72.760000000000005</v>
      </c>
      <c r="F1964" s="2">
        <v>2</v>
      </c>
      <c r="G1964" s="2" t="s">
        <v>13</v>
      </c>
      <c r="I1964" s="2" t="s">
        <v>4940</v>
      </c>
    </row>
    <row r="1965" spans="1:9" x14ac:dyDescent="0.2">
      <c r="A1965" s="2" t="s">
        <v>3316</v>
      </c>
      <c r="B1965" s="2" t="s">
        <v>1577</v>
      </c>
      <c r="C1965" s="2">
        <v>885.32119999999998</v>
      </c>
      <c r="D1965" s="2">
        <f>HYPERLINK("http://mcb-m6.bioreg.kyushu-u.ac.jp/M3/20110427/F51114/2766/1", 92.85)</f>
        <v>92.85</v>
      </c>
      <c r="E1965" s="2">
        <v>76.63</v>
      </c>
      <c r="F1965" s="2">
        <v>2</v>
      </c>
      <c r="G1965" s="2" t="s">
        <v>13</v>
      </c>
    </row>
    <row r="1966" spans="1:9" x14ac:dyDescent="0.2">
      <c r="A1966" s="2" t="s">
        <v>3316</v>
      </c>
      <c r="B1966" s="2" t="s">
        <v>1523</v>
      </c>
      <c r="C1966" s="2">
        <v>771.23019999999997</v>
      </c>
      <c r="D1966" s="2">
        <f>HYPERLINK("http://mcb-m6.bioreg.kyushu-u.ac.jp/M3/20110427/F51114/2221/1", 97.26)</f>
        <v>97.26</v>
      </c>
      <c r="E1966" s="2">
        <v>76.209999999999994</v>
      </c>
      <c r="F1966" s="2">
        <v>2</v>
      </c>
      <c r="G1966" s="2" t="s">
        <v>13</v>
      </c>
      <c r="I1966" s="2" t="s">
        <v>4940</v>
      </c>
    </row>
    <row r="1967" spans="1:9" x14ac:dyDescent="0.2">
      <c r="A1967" s="2" t="s">
        <v>3316</v>
      </c>
      <c r="B1967" s="2" t="s">
        <v>229</v>
      </c>
      <c r="C1967" s="2">
        <v>474.80410000000001</v>
      </c>
      <c r="D1967" s="2">
        <f>HYPERLINK("http://mcb-m6.bioreg.kyushu-u.ac.jp/M3/20110428/F51128/832/1", 35.94)</f>
        <v>35.94</v>
      </c>
      <c r="E1967" s="2">
        <v>9.06</v>
      </c>
      <c r="F1967" s="2">
        <v>2</v>
      </c>
      <c r="G1967" s="2" t="s">
        <v>14</v>
      </c>
    </row>
    <row r="1968" spans="1:9" x14ac:dyDescent="0.2">
      <c r="A1968" s="2" t="s">
        <v>3316</v>
      </c>
      <c r="B1968" s="2" t="s">
        <v>229</v>
      </c>
      <c r="C1968" s="2">
        <v>474.14859999999999</v>
      </c>
      <c r="D1968" s="2">
        <f>HYPERLINK("http://mcb-m6.bioreg.kyushu-u.ac.jp/M3/20110427/F51123/946/1", 38.21)</f>
        <v>38.21</v>
      </c>
      <c r="E1968" s="2">
        <v>18.21</v>
      </c>
      <c r="F1968" s="2">
        <v>2</v>
      </c>
      <c r="G1968" s="2" t="s">
        <v>14</v>
      </c>
    </row>
    <row r="1969" spans="1:9" x14ac:dyDescent="0.2">
      <c r="A1969" s="2" t="s">
        <v>3316</v>
      </c>
      <c r="B1969" s="2" t="s">
        <v>983</v>
      </c>
      <c r="C1969" s="2">
        <v>604.70320000000004</v>
      </c>
      <c r="D1969" s="2">
        <f>HYPERLINK("http://mcb-m6.bioreg.kyushu-u.ac.jp/M3/20110427/F51123/1455/1", 38.84)</f>
        <v>38.840000000000003</v>
      </c>
      <c r="E1969" s="2">
        <v>13.12</v>
      </c>
      <c r="F1969" s="2">
        <v>2</v>
      </c>
      <c r="G1969" s="2" t="s">
        <v>14</v>
      </c>
    </row>
    <row r="1970" spans="1:9" x14ac:dyDescent="0.2">
      <c r="A1970" s="2" t="s">
        <v>3316</v>
      </c>
      <c r="B1970" s="2" t="s">
        <v>790</v>
      </c>
      <c r="C1970" s="2">
        <v>828.02790000000005</v>
      </c>
      <c r="D1970" s="2">
        <f>HYPERLINK("http://mcb-m6.bioreg.kyushu-u.ac.jp/M3/20110427/F51123/3613/1", 40.29)</f>
        <v>40.29</v>
      </c>
      <c r="E1970" s="2">
        <v>29.45</v>
      </c>
      <c r="F1970" s="2">
        <v>3</v>
      </c>
      <c r="G1970" s="2" t="s">
        <v>14</v>
      </c>
    </row>
    <row r="1971" spans="1:9" x14ac:dyDescent="0.2">
      <c r="A1971" s="2" t="s">
        <v>3316</v>
      </c>
      <c r="B1971" s="2" t="s">
        <v>432</v>
      </c>
      <c r="C1971" s="2">
        <v>521.15920000000006</v>
      </c>
      <c r="D1971" s="2">
        <f>HYPERLINK("http://mcb-m6.bioreg.kyushu-u.ac.jp/M3/20110427/F51123/1114/1", 41.27)</f>
        <v>41.27</v>
      </c>
      <c r="E1971" s="2">
        <v>19.82</v>
      </c>
      <c r="F1971" s="2">
        <v>2</v>
      </c>
      <c r="G1971" s="2" t="s">
        <v>14</v>
      </c>
    </row>
    <row r="1972" spans="1:9" x14ac:dyDescent="0.2">
      <c r="A1972" s="2" t="s">
        <v>3316</v>
      </c>
      <c r="B1972" s="2" t="s">
        <v>100</v>
      </c>
      <c r="C1972" s="2">
        <v>540.66269999999997</v>
      </c>
      <c r="D1972" s="2">
        <f>HYPERLINK("http://mcb-m6.bioreg.kyushu-u.ac.jp/M3/20110427/F51123/1203/1", 42.71)</f>
        <v>42.71</v>
      </c>
      <c r="E1972" s="2">
        <v>11.85</v>
      </c>
      <c r="F1972" s="2">
        <v>2</v>
      </c>
      <c r="G1972" s="2" t="s">
        <v>14</v>
      </c>
    </row>
    <row r="1973" spans="1:9" x14ac:dyDescent="0.2">
      <c r="A1973" s="2" t="s">
        <v>3316</v>
      </c>
      <c r="B1973" s="2" t="s">
        <v>432</v>
      </c>
      <c r="C1973" s="2">
        <v>529.14070000000004</v>
      </c>
      <c r="D1973" s="2">
        <f>HYPERLINK("http://mcb-m6.bioreg.kyushu-u.ac.jp/M3/20110427/F51123/1160/1", 43.75)</f>
        <v>43.75</v>
      </c>
      <c r="E1973" s="2">
        <v>17.059999999999999</v>
      </c>
      <c r="F1973" s="2">
        <v>2</v>
      </c>
      <c r="G1973" s="2" t="s">
        <v>14</v>
      </c>
      <c r="H1973" s="2" t="s">
        <v>4917</v>
      </c>
    </row>
    <row r="1974" spans="1:9" x14ac:dyDescent="0.2">
      <c r="A1974" s="2" t="s">
        <v>3316</v>
      </c>
      <c r="B1974" s="2" t="s">
        <v>1031</v>
      </c>
      <c r="C1974" s="2">
        <v>649.1807</v>
      </c>
      <c r="D1974" s="2">
        <f>HYPERLINK("http://mcb-m6.bioreg.kyushu-u.ac.jp/M3/20110427/F51123/1588/1", 50.35)</f>
        <v>50.35</v>
      </c>
      <c r="E1974" s="2">
        <v>28.63</v>
      </c>
      <c r="F1974" s="2">
        <v>2</v>
      </c>
      <c r="G1974" s="2" t="s">
        <v>14</v>
      </c>
      <c r="H1974" s="2" t="s">
        <v>4919</v>
      </c>
    </row>
    <row r="1975" spans="1:9" x14ac:dyDescent="0.2">
      <c r="A1975" s="2" t="s">
        <v>3316</v>
      </c>
      <c r="B1975" s="2" t="s">
        <v>775</v>
      </c>
      <c r="C1975" s="2">
        <v>622.07069999999999</v>
      </c>
      <c r="D1975" s="2">
        <f>HYPERLINK("http://mcb-m6.bioreg.kyushu-u.ac.jp/M3/20110427/F51123/1519/1", 50.77)</f>
        <v>50.77</v>
      </c>
      <c r="E1975" s="2">
        <v>29.88</v>
      </c>
      <c r="F1975" s="2">
        <v>2</v>
      </c>
      <c r="G1975" s="2" t="s">
        <v>14</v>
      </c>
      <c r="I1975" s="2" t="s">
        <v>4905</v>
      </c>
    </row>
    <row r="1976" spans="1:9" x14ac:dyDescent="0.2">
      <c r="A1976" s="2" t="s">
        <v>3316</v>
      </c>
      <c r="B1976" s="2" t="s">
        <v>432</v>
      </c>
      <c r="C1976" s="2">
        <v>521.72220000000004</v>
      </c>
      <c r="D1976" s="2">
        <f>HYPERLINK("http://mcb-m6.bioreg.kyushu-u.ac.jp/M3/20110427/F51123/1117/1", 54.14)</f>
        <v>54.14</v>
      </c>
      <c r="E1976" s="2">
        <v>23.55</v>
      </c>
      <c r="F1976" s="2">
        <v>2</v>
      </c>
      <c r="G1976" s="2" t="s">
        <v>14</v>
      </c>
    </row>
    <row r="1977" spans="1:9" x14ac:dyDescent="0.2">
      <c r="A1977" s="2" t="s">
        <v>3316</v>
      </c>
      <c r="B1977" s="2" t="s">
        <v>603</v>
      </c>
      <c r="C1977" s="2">
        <v>669.68619999999999</v>
      </c>
      <c r="D1977" s="2">
        <f>HYPERLINK("http://mcb-m6.bioreg.kyushu-u.ac.jp/M3/20110427/F51123/1676/1", 59.13)</f>
        <v>59.13</v>
      </c>
      <c r="E1977" s="2">
        <v>33.630000000000003</v>
      </c>
      <c r="F1977" s="2">
        <v>2</v>
      </c>
      <c r="G1977" s="2" t="s">
        <v>14</v>
      </c>
      <c r="I1977" s="2" t="s">
        <v>4926</v>
      </c>
    </row>
    <row r="1978" spans="1:9" x14ac:dyDescent="0.2">
      <c r="A1978" s="2" t="s">
        <v>3316</v>
      </c>
      <c r="B1978" s="2" t="s">
        <v>1031</v>
      </c>
      <c r="C1978" s="2">
        <v>641.64469999999994</v>
      </c>
      <c r="D1978" s="2">
        <f>HYPERLINK("http://mcb-m6.bioreg.kyushu-u.ac.jp/M3/20110427/F51123/1571/1", 68.59)</f>
        <v>68.59</v>
      </c>
      <c r="E1978" s="2">
        <v>43.01</v>
      </c>
      <c r="F1978" s="2">
        <v>2</v>
      </c>
      <c r="G1978" s="2" t="s">
        <v>14</v>
      </c>
    </row>
    <row r="1979" spans="1:9" x14ac:dyDescent="0.2">
      <c r="A1979" s="2" t="s">
        <v>3316</v>
      </c>
      <c r="B1979" s="2" t="s">
        <v>1628</v>
      </c>
      <c r="C1979" s="2">
        <v>734.19619999999998</v>
      </c>
      <c r="D1979" s="2">
        <f>HYPERLINK("http://mcb-m6.bioreg.kyushu-u.ac.jp/M3/20110427/F51123/2000/1", 77.7)</f>
        <v>77.7</v>
      </c>
      <c r="E1979" s="2">
        <v>57.47</v>
      </c>
      <c r="F1979" s="2">
        <v>2</v>
      </c>
      <c r="G1979" s="2" t="s">
        <v>14</v>
      </c>
      <c r="I1979" s="2" t="s">
        <v>4914</v>
      </c>
    </row>
    <row r="1980" spans="1:9" x14ac:dyDescent="0.2">
      <c r="A1980" s="2" t="s">
        <v>3316</v>
      </c>
      <c r="B1980" s="2" t="s">
        <v>1529</v>
      </c>
      <c r="C1980" s="2">
        <v>1096.373</v>
      </c>
      <c r="D1980" s="2">
        <f>HYPERLINK("http://mcb-m6.bioreg.kyushu-u.ac.jp/M3/20110427/F51123/3332/1", 78.88)</f>
        <v>78.88</v>
      </c>
      <c r="E1980" s="2">
        <v>61.79</v>
      </c>
      <c r="F1980" s="2">
        <v>2</v>
      </c>
      <c r="G1980" s="2" t="s">
        <v>14</v>
      </c>
      <c r="I1980" s="2" t="s">
        <v>4941</v>
      </c>
    </row>
    <row r="1981" spans="1:9" x14ac:dyDescent="0.2">
      <c r="A1981" s="2" t="s">
        <v>3316</v>
      </c>
      <c r="B1981" s="2" t="s">
        <v>1031</v>
      </c>
      <c r="C1981" s="2">
        <v>641.12519999999995</v>
      </c>
      <c r="D1981" s="2">
        <f>HYPERLINK("http://mcb-m6.bioreg.kyushu-u.ac.jp/M3/20110427/F51123/1568/1", 80.21)</f>
        <v>80.209999999999994</v>
      </c>
      <c r="E1981" s="2">
        <v>51.69</v>
      </c>
      <c r="F1981" s="2">
        <v>2</v>
      </c>
      <c r="G1981" s="2" t="s">
        <v>14</v>
      </c>
    </row>
    <row r="1982" spans="1:9" x14ac:dyDescent="0.2">
      <c r="A1982" s="2" t="s">
        <v>3316</v>
      </c>
      <c r="B1982" s="2" t="s">
        <v>1523</v>
      </c>
      <c r="C1982" s="2">
        <v>770.79610000000002</v>
      </c>
      <c r="D1982" s="2">
        <f>HYPERLINK("http://mcb-m6.bioreg.kyushu-u.ac.jp/M3/20110427/F51123/2189/1", 88.12)</f>
        <v>88.12</v>
      </c>
      <c r="E1982" s="2">
        <v>72.83</v>
      </c>
      <c r="F1982" s="2">
        <v>2</v>
      </c>
      <c r="G1982" s="2" t="s">
        <v>14</v>
      </c>
      <c r="I1982" s="2" t="s">
        <v>4940</v>
      </c>
    </row>
    <row r="1983" spans="1:9" x14ac:dyDescent="0.2">
      <c r="A1983" s="2" t="s">
        <v>3316</v>
      </c>
      <c r="B1983" s="2" t="s">
        <v>2100</v>
      </c>
      <c r="C1983" s="2">
        <v>1020.532</v>
      </c>
      <c r="D1983" s="2">
        <f>HYPERLINK("http://mcb-m6.bioreg.kyushu-u.ac.jp/M3/20110427/F51123/3882/1", 89.8)</f>
        <v>89.8</v>
      </c>
      <c r="E1983" s="2">
        <v>73.849999999999994</v>
      </c>
      <c r="F1983" s="2">
        <v>3</v>
      </c>
      <c r="G1983" s="2" t="s">
        <v>14</v>
      </c>
      <c r="I1983" s="2" t="s">
        <v>4955</v>
      </c>
    </row>
    <row r="1984" spans="1:9" x14ac:dyDescent="0.2">
      <c r="A1984" s="2" t="s">
        <v>3316</v>
      </c>
      <c r="B1984" s="2" t="s">
        <v>1577</v>
      </c>
      <c r="C1984" s="2">
        <v>885.35109999999997</v>
      </c>
      <c r="D1984" s="2">
        <f>HYPERLINK("http://mcb-m6.bioreg.kyushu-u.ac.jp/M3/20110427/F51123/2670/1", 92.84)</f>
        <v>92.84</v>
      </c>
      <c r="E1984" s="2">
        <v>73.27</v>
      </c>
      <c r="F1984" s="2">
        <v>2</v>
      </c>
      <c r="G1984" s="2" t="s">
        <v>14</v>
      </c>
    </row>
    <row r="1985" spans="1:8" x14ac:dyDescent="0.2">
      <c r="A1985" s="2" t="s">
        <v>3316</v>
      </c>
      <c r="B1985" s="2" t="s">
        <v>1577</v>
      </c>
      <c r="C1985" s="2">
        <v>884.82460000000003</v>
      </c>
      <c r="D1985" s="2">
        <f>HYPERLINK("http://mcb-m6.bioreg.kyushu-u.ac.jp/M3/20110427/F51123/2669/1", 98.22)</f>
        <v>98.22</v>
      </c>
      <c r="E1985" s="2">
        <v>81.69</v>
      </c>
      <c r="F1985" s="2">
        <v>2</v>
      </c>
      <c r="G1985" s="2" t="s">
        <v>14</v>
      </c>
    </row>
    <row r="1986" spans="1:8" x14ac:dyDescent="0.2">
      <c r="A1986" s="2" t="s">
        <v>3326</v>
      </c>
      <c r="B1986" s="2" t="s">
        <v>1946</v>
      </c>
      <c r="C1986" s="2">
        <v>750.41819999999996</v>
      </c>
      <c r="D1986" s="2">
        <f>HYPERLINK("http://mcb-m6.bioreg.kyushu-u.ac.jp/M3/20110404/F50756/2012/1", 64.33)</f>
        <v>64.33</v>
      </c>
      <c r="E1986" s="2">
        <v>49.24</v>
      </c>
      <c r="F1986" s="2">
        <v>2</v>
      </c>
      <c r="G1986" s="2" t="s">
        <v>9</v>
      </c>
    </row>
    <row r="1987" spans="1:8" x14ac:dyDescent="0.2">
      <c r="A1987" s="2" t="s">
        <v>3326</v>
      </c>
      <c r="B1987" s="2" t="s">
        <v>112</v>
      </c>
      <c r="C1987" s="2">
        <v>1004.371</v>
      </c>
      <c r="D1987" s="2">
        <f>HYPERLINK("http://mcb-m6.bioreg.kyushu-u.ac.jp/M3/20110404/F50761/980/1", 36.05)</f>
        <v>36.049999999999997</v>
      </c>
      <c r="E1987" s="2">
        <v>32.979999999999997</v>
      </c>
      <c r="F1987" s="2">
        <v>1</v>
      </c>
      <c r="G1987" s="2" t="s">
        <v>10</v>
      </c>
      <c r="H1987" s="2" t="s">
        <v>4901</v>
      </c>
    </row>
    <row r="1988" spans="1:8" x14ac:dyDescent="0.2">
      <c r="A1988" s="2" t="s">
        <v>3326</v>
      </c>
      <c r="B1988" s="2" t="s">
        <v>1946</v>
      </c>
      <c r="C1988" s="2">
        <v>750.28560000000004</v>
      </c>
      <c r="D1988" s="2">
        <f>HYPERLINK("http://mcb-m6.bioreg.kyushu-u.ac.jp/M3/20110427/F51114/2108/1", 79.71)</f>
        <v>79.709999999999994</v>
      </c>
      <c r="E1988" s="2">
        <v>68.06</v>
      </c>
      <c r="F1988" s="2">
        <v>2</v>
      </c>
      <c r="G1988" s="2" t="s">
        <v>13</v>
      </c>
    </row>
    <row r="1989" spans="1:8" x14ac:dyDescent="0.2">
      <c r="A1989" s="2" t="s">
        <v>3326</v>
      </c>
      <c r="B1989" s="2" t="s">
        <v>1946</v>
      </c>
      <c r="C1989" s="2">
        <v>750.79169999999999</v>
      </c>
      <c r="D1989" s="2">
        <f>HYPERLINK("http://mcb-m6.bioreg.kyushu-u.ac.jp/M3/20110427/F51123/2086/1", 67.09)</f>
        <v>67.09</v>
      </c>
      <c r="E1989" s="2">
        <v>56.51</v>
      </c>
      <c r="F1989" s="2">
        <v>2</v>
      </c>
      <c r="G1989" s="2" t="s">
        <v>14</v>
      </c>
    </row>
    <row r="1990" spans="1:8" x14ac:dyDescent="0.2">
      <c r="A1990" s="2" t="s">
        <v>7883</v>
      </c>
      <c r="B1990" s="2" t="s">
        <v>6938</v>
      </c>
      <c r="C1990" s="2">
        <v>592.71770000000004</v>
      </c>
      <c r="D1990" s="2">
        <f>HYPERLINK("http://mcb-m6.bioreg.kyushu-u.ac.jp/M3/20110404/F50771/1302/1", 62.25)</f>
        <v>62.25</v>
      </c>
      <c r="E1990" s="2">
        <v>37.96</v>
      </c>
      <c r="F1990" s="2">
        <v>2</v>
      </c>
      <c r="G1990" s="2" t="s">
        <v>10</v>
      </c>
    </row>
    <row r="1991" spans="1:8" x14ac:dyDescent="0.2">
      <c r="A1991" s="2" t="s">
        <v>8030</v>
      </c>
      <c r="B1991" s="2" t="s">
        <v>7295</v>
      </c>
      <c r="C1991" s="2">
        <v>531.67769999999996</v>
      </c>
      <c r="D1991" s="2">
        <f>HYPERLINK("http://mcb-m6.bioreg.kyushu-u.ac.jp/M3/20110427/F51114/1081/1", 36.1)</f>
        <v>36.1</v>
      </c>
      <c r="E1991" s="2">
        <v>17.98</v>
      </c>
      <c r="F1991" s="2">
        <v>2</v>
      </c>
      <c r="G1991" s="2" t="s">
        <v>13</v>
      </c>
    </row>
    <row r="1992" spans="1:8" x14ac:dyDescent="0.2">
      <c r="A1992" s="2" t="s">
        <v>7695</v>
      </c>
      <c r="B1992" s="2" t="s">
        <v>6353</v>
      </c>
      <c r="C1992" s="2">
        <v>1047.316</v>
      </c>
      <c r="D1992" s="2">
        <f>HYPERLINK("http://mcb-m6.bioreg.kyushu-u.ac.jp/M3/20110404/F50752/2886/1", 55.99)</f>
        <v>55.99</v>
      </c>
      <c r="E1992" s="2">
        <v>47.9</v>
      </c>
      <c r="F1992" s="2">
        <v>2</v>
      </c>
      <c r="G1992" s="2" t="s">
        <v>9</v>
      </c>
      <c r="H1992" s="2" t="s">
        <v>4971</v>
      </c>
    </row>
    <row r="1993" spans="1:8" x14ac:dyDescent="0.2">
      <c r="A1993" s="2" t="s">
        <v>7868</v>
      </c>
      <c r="B1993" s="2" t="s">
        <v>6864</v>
      </c>
      <c r="C1993" s="2">
        <v>705.8202</v>
      </c>
      <c r="D1993" s="2">
        <f>HYPERLINK("http://mcb-m6.bioreg.kyushu-u.ac.jp/M3/20110404/F50772/1756/1", 50.76)</f>
        <v>50.76</v>
      </c>
      <c r="E1993" s="2">
        <v>22.46</v>
      </c>
      <c r="F1993" s="2">
        <v>2</v>
      </c>
      <c r="G1993" s="2" t="s">
        <v>10</v>
      </c>
    </row>
    <row r="1994" spans="1:8" x14ac:dyDescent="0.2">
      <c r="A1994" s="2" t="s">
        <v>7847</v>
      </c>
      <c r="B1994" s="2" t="s">
        <v>6822</v>
      </c>
      <c r="C1994" s="2">
        <v>522.69820000000004</v>
      </c>
      <c r="D1994" s="2">
        <f>HYPERLINK("http://mcb-m6.bioreg.kyushu-u.ac.jp/M3/20110404/F50760/1084/1", 46.07)</f>
        <v>46.07</v>
      </c>
      <c r="E1994" s="2">
        <v>10.89</v>
      </c>
      <c r="F1994" s="2">
        <v>2</v>
      </c>
      <c r="G1994" s="2" t="s">
        <v>10</v>
      </c>
    </row>
    <row r="1995" spans="1:8" x14ac:dyDescent="0.2">
      <c r="A1995" s="2" t="s">
        <v>7847</v>
      </c>
      <c r="B1995" s="2" t="s">
        <v>6822</v>
      </c>
      <c r="C1995" s="2">
        <v>522.9742</v>
      </c>
      <c r="D1995" s="2">
        <f>HYPERLINK("http://mcb-m6.bioreg.kyushu-u.ac.jp/M3/20110421/F51059/816/2", 38.54)</f>
        <v>38.54</v>
      </c>
      <c r="E1995" s="2">
        <v>10.029999999999999</v>
      </c>
      <c r="F1995" s="2">
        <v>2</v>
      </c>
      <c r="G1995" s="2" t="s">
        <v>12</v>
      </c>
    </row>
    <row r="1996" spans="1:8" x14ac:dyDescent="0.2">
      <c r="A1996" s="2" t="s">
        <v>3939</v>
      </c>
      <c r="B1996" s="2" t="s">
        <v>5989</v>
      </c>
      <c r="C1996" s="2">
        <v>1075.6500000000001</v>
      </c>
      <c r="D1996" s="2">
        <f>HYPERLINK("http://mcb-m6.bioreg.kyushu-u.ac.jp/M3/20110404/F50751/1568/1", 37.92)</f>
        <v>37.92</v>
      </c>
      <c r="E1996" s="2">
        <v>19.98</v>
      </c>
      <c r="F1996" s="2">
        <v>1</v>
      </c>
      <c r="G1996" s="2" t="s">
        <v>9</v>
      </c>
    </row>
    <row r="1997" spans="1:8" x14ac:dyDescent="0.2">
      <c r="A1997" s="2" t="s">
        <v>3939</v>
      </c>
      <c r="B1997" s="2" t="s">
        <v>5989</v>
      </c>
      <c r="C1997" s="2">
        <v>538.07759999999996</v>
      </c>
      <c r="D1997" s="2">
        <f>HYPERLINK("http://mcb-m6.bioreg.kyushu-u.ac.jp/M3/20110421/F51014/1406/1", 45.18)</f>
        <v>45.18</v>
      </c>
      <c r="E1997" s="2">
        <v>18.04</v>
      </c>
      <c r="F1997" s="2">
        <v>2</v>
      </c>
      <c r="G1997" s="2" t="s">
        <v>11</v>
      </c>
    </row>
    <row r="1998" spans="1:8" x14ac:dyDescent="0.2">
      <c r="A1998" s="2" t="s">
        <v>3939</v>
      </c>
      <c r="B1998" s="2" t="s">
        <v>5989</v>
      </c>
      <c r="C1998" s="2">
        <v>538.06709999999998</v>
      </c>
      <c r="D1998" s="2">
        <f>HYPERLINK("http://mcb-m6.bioreg.kyushu-u.ac.jp/M3/20110427/F51108/1372/1", 36.44)</f>
        <v>36.44</v>
      </c>
      <c r="E1998" s="2">
        <v>11.62</v>
      </c>
      <c r="F1998" s="2">
        <v>2</v>
      </c>
      <c r="G1998" s="2" t="s">
        <v>13</v>
      </c>
    </row>
    <row r="1999" spans="1:8" x14ac:dyDescent="0.2">
      <c r="A1999" s="2" t="s">
        <v>3939</v>
      </c>
      <c r="B1999" s="2" t="s">
        <v>1136</v>
      </c>
      <c r="C1999" s="2">
        <v>660.24469999999997</v>
      </c>
      <c r="D1999" s="2">
        <f>HYPERLINK("http://mcb-m6.bioreg.kyushu-u.ac.jp/M3/20110427/F51108/1727/1", 46.04)</f>
        <v>46.04</v>
      </c>
      <c r="E1999" s="2">
        <v>29.95</v>
      </c>
      <c r="F1999" s="2">
        <v>2</v>
      </c>
      <c r="G1999" s="2" t="s">
        <v>13</v>
      </c>
    </row>
    <row r="2000" spans="1:8" x14ac:dyDescent="0.2">
      <c r="A2000" s="2" t="s">
        <v>3939</v>
      </c>
      <c r="B2000" s="2" t="s">
        <v>1136</v>
      </c>
      <c r="C2000" s="2">
        <v>659.69320000000005</v>
      </c>
      <c r="D2000" s="2">
        <f>HYPERLINK("http://mcb-m6.bioreg.kyushu-u.ac.jp/M3/20110427/F51108/1724/1", 72.58)</f>
        <v>72.58</v>
      </c>
      <c r="E2000" s="2">
        <v>47.49</v>
      </c>
      <c r="F2000" s="2">
        <v>2</v>
      </c>
      <c r="G2000" s="2" t="s">
        <v>13</v>
      </c>
    </row>
    <row r="2001" spans="1:7" x14ac:dyDescent="0.2">
      <c r="A2001" s="2" t="s">
        <v>5715</v>
      </c>
      <c r="B2001" s="2" t="s">
        <v>5272</v>
      </c>
      <c r="C2001" s="2">
        <v>486.94159999999999</v>
      </c>
      <c r="D2001" s="2">
        <f>HYPERLINK("http://mcb-m6.bioreg.kyushu-u.ac.jp/M3/20110404/F50751/1441/1", 65.54)</f>
        <v>65.540000000000006</v>
      </c>
      <c r="E2001" s="2">
        <v>33.44</v>
      </c>
      <c r="F2001" s="2">
        <v>2</v>
      </c>
      <c r="G2001" s="2" t="s">
        <v>9</v>
      </c>
    </row>
    <row r="2002" spans="1:7" x14ac:dyDescent="0.2">
      <c r="A2002" s="2" t="s">
        <v>5715</v>
      </c>
      <c r="B2002" s="2" t="s">
        <v>5272</v>
      </c>
      <c r="C2002" s="2">
        <v>486.58760000000001</v>
      </c>
      <c r="D2002" s="2">
        <f>HYPERLINK("http://mcb-m6.bioreg.kyushu-u.ac.jp/M3/20110427/F51108/1165/1", 46.76)</f>
        <v>46.76</v>
      </c>
      <c r="E2002" s="2">
        <v>12.62</v>
      </c>
      <c r="F2002" s="2">
        <v>2</v>
      </c>
      <c r="G2002" s="2" t="s">
        <v>13</v>
      </c>
    </row>
    <row r="2003" spans="1:7" x14ac:dyDescent="0.2">
      <c r="A2003" s="2" t="s">
        <v>4618</v>
      </c>
      <c r="B2003" s="2" t="s">
        <v>2744</v>
      </c>
      <c r="C2003" s="2">
        <v>542.79420000000005</v>
      </c>
      <c r="D2003" s="2">
        <f>HYPERLINK("http://mcb-m6.bioreg.kyushu-u.ac.jp/M3/20110404/F50751/1576/1", 61.52)</f>
        <v>61.52</v>
      </c>
      <c r="E2003" s="2">
        <v>26.43</v>
      </c>
      <c r="F2003" s="2">
        <v>2</v>
      </c>
      <c r="G2003" s="2" t="s">
        <v>9</v>
      </c>
    </row>
    <row r="2004" spans="1:7" x14ac:dyDescent="0.2">
      <c r="A2004" s="2" t="s">
        <v>4618</v>
      </c>
      <c r="B2004" s="2" t="s">
        <v>2744</v>
      </c>
      <c r="C2004" s="2">
        <v>542.54359999999997</v>
      </c>
      <c r="D2004" s="2">
        <f>HYPERLINK("http://mcb-m6.bioreg.kyushu-u.ac.jp/M3/20110421/F51014/1417/1", 62.1)</f>
        <v>62.1</v>
      </c>
      <c r="E2004" s="2">
        <v>30.4</v>
      </c>
      <c r="F2004" s="2">
        <v>2</v>
      </c>
      <c r="G2004" s="2" t="s">
        <v>11</v>
      </c>
    </row>
    <row r="2005" spans="1:7" x14ac:dyDescent="0.2">
      <c r="A2005" s="2" t="s">
        <v>3332</v>
      </c>
      <c r="B2005" s="2" t="s">
        <v>6691</v>
      </c>
      <c r="C2005" s="2">
        <v>1126.4559999999999</v>
      </c>
      <c r="D2005" s="2">
        <f>HYPERLINK("http://mcb-m6.bioreg.kyushu-u.ac.jp/M3/20110404/F50770/1324/1", 36.3)</f>
        <v>36.299999999999997</v>
      </c>
      <c r="E2005" s="2">
        <v>25.85</v>
      </c>
      <c r="F2005" s="2">
        <v>1</v>
      </c>
      <c r="G2005" s="2" t="s">
        <v>10</v>
      </c>
    </row>
    <row r="2006" spans="1:7" x14ac:dyDescent="0.2">
      <c r="A2006" s="2" t="s">
        <v>3332</v>
      </c>
      <c r="B2006" s="2" t="s">
        <v>120</v>
      </c>
      <c r="C2006" s="2">
        <v>692.25919999999996</v>
      </c>
      <c r="D2006" s="2">
        <f>HYPERLINK("http://mcb-m6.bioreg.kyushu-u.ac.jp/M3/20110404/F50770/1745/1", 42.3)</f>
        <v>42.3</v>
      </c>
      <c r="E2006" s="2">
        <v>28.41</v>
      </c>
      <c r="F2006" s="2">
        <v>2</v>
      </c>
      <c r="G2006" s="2" t="s">
        <v>10</v>
      </c>
    </row>
    <row r="2007" spans="1:7" x14ac:dyDescent="0.2">
      <c r="A2007" s="2" t="s">
        <v>3332</v>
      </c>
      <c r="B2007" s="2" t="s">
        <v>120</v>
      </c>
      <c r="C2007" s="2">
        <v>692.84720000000004</v>
      </c>
      <c r="D2007" s="2">
        <f>HYPERLINK("http://mcb-m6.bioreg.kyushu-u.ac.jp/M3/20110404/F50770/1747/1", 45.75)</f>
        <v>45.75</v>
      </c>
      <c r="E2007" s="2">
        <v>18.97</v>
      </c>
      <c r="F2007" s="2">
        <v>2</v>
      </c>
      <c r="G2007" s="2" t="s">
        <v>10</v>
      </c>
    </row>
    <row r="2008" spans="1:7" x14ac:dyDescent="0.2">
      <c r="A2008" s="2" t="s">
        <v>3322</v>
      </c>
      <c r="B2008" s="2" t="s">
        <v>5960</v>
      </c>
      <c r="C2008" s="2">
        <v>1132.6369999999999</v>
      </c>
      <c r="D2008" s="2">
        <f>HYPERLINK("http://mcb-m6.bioreg.kyushu-u.ac.jp/M3/20110404/F50764/1188/1", 37.06)</f>
        <v>37.06</v>
      </c>
      <c r="E2008" s="2">
        <v>22.33</v>
      </c>
      <c r="F2008" s="2">
        <v>1</v>
      </c>
      <c r="G2008" s="2" t="s">
        <v>9</v>
      </c>
    </row>
    <row r="2009" spans="1:7" x14ac:dyDescent="0.2">
      <c r="A2009" s="2" t="s">
        <v>3322</v>
      </c>
      <c r="B2009" s="2" t="s">
        <v>108</v>
      </c>
      <c r="C2009" s="2">
        <v>461.15359999999998</v>
      </c>
      <c r="D2009" s="2">
        <f>HYPERLINK("http://mcb-m6.bioreg.kyushu-u.ac.jp/M3/20110404/F50764/843/1", 39.66)</f>
        <v>39.659999999999997</v>
      </c>
      <c r="E2009" s="2">
        <v>19.25</v>
      </c>
      <c r="F2009" s="2">
        <v>2</v>
      </c>
      <c r="G2009" s="2" t="s">
        <v>9</v>
      </c>
    </row>
    <row r="2010" spans="1:7" x14ac:dyDescent="0.2">
      <c r="A2010" s="2" t="s">
        <v>3322</v>
      </c>
      <c r="B2010" s="2" t="s">
        <v>1238</v>
      </c>
      <c r="C2010" s="2">
        <v>1091.452</v>
      </c>
      <c r="D2010" s="2">
        <f>HYPERLINK("http://mcb-m6.bioreg.kyushu-u.ac.jp/M3/20110404/F50764/1135/1", 44.01)</f>
        <v>44.01</v>
      </c>
      <c r="E2010" s="2">
        <v>33.25</v>
      </c>
      <c r="F2010" s="2">
        <v>1</v>
      </c>
      <c r="G2010" s="2" t="s">
        <v>9</v>
      </c>
    </row>
    <row r="2011" spans="1:7" x14ac:dyDescent="0.2">
      <c r="A2011" s="2" t="s">
        <v>3322</v>
      </c>
      <c r="B2011" s="2" t="s">
        <v>673</v>
      </c>
      <c r="C2011" s="2">
        <v>1365.444</v>
      </c>
      <c r="D2011" s="2">
        <f>HYPERLINK("http://mcb-m6.bioreg.kyushu-u.ac.jp/M3/20110404/F50764/1583/1", 48.04)</f>
        <v>48.04</v>
      </c>
      <c r="E2011" s="2">
        <v>38.58</v>
      </c>
      <c r="F2011" s="2">
        <v>1</v>
      </c>
      <c r="G2011" s="2" t="s">
        <v>9</v>
      </c>
    </row>
    <row r="2012" spans="1:7" x14ac:dyDescent="0.2">
      <c r="A2012" s="2" t="s">
        <v>3322</v>
      </c>
      <c r="B2012" s="2" t="s">
        <v>2044</v>
      </c>
      <c r="C2012" s="2">
        <v>656.8972</v>
      </c>
      <c r="D2012" s="2">
        <f>HYPERLINK("http://mcb-m6.bioreg.kyushu-u.ac.jp/M3/20110404/F50764/1496/1", 48.2)</f>
        <v>48.2</v>
      </c>
      <c r="E2012" s="2">
        <v>33.83</v>
      </c>
      <c r="F2012" s="2">
        <v>2</v>
      </c>
      <c r="G2012" s="2" t="s">
        <v>9</v>
      </c>
    </row>
    <row r="2013" spans="1:7" x14ac:dyDescent="0.2">
      <c r="A2013" s="2" t="s">
        <v>3322</v>
      </c>
      <c r="B2013" s="2" t="s">
        <v>5960</v>
      </c>
      <c r="C2013" s="2">
        <v>566.71810000000005</v>
      </c>
      <c r="D2013" s="2">
        <f>HYPERLINK("http://mcb-m6.bioreg.kyushu-u.ac.jp/M3/20110404/F50764/1187/1", 55.64)</f>
        <v>55.64</v>
      </c>
      <c r="E2013" s="2">
        <v>31.45</v>
      </c>
      <c r="F2013" s="2">
        <v>2</v>
      </c>
      <c r="G2013" s="2" t="s">
        <v>9</v>
      </c>
    </row>
    <row r="2014" spans="1:7" x14ac:dyDescent="0.2">
      <c r="A2014" s="2" t="s">
        <v>3322</v>
      </c>
      <c r="B2014" s="2" t="s">
        <v>2380</v>
      </c>
      <c r="C2014" s="2">
        <v>765.26319999999998</v>
      </c>
      <c r="D2014" s="2">
        <f>HYPERLINK("http://mcb-m6.bioreg.kyushu-u.ac.jp/M3/20110404/F50764/1975/1", 59.77)</f>
        <v>59.77</v>
      </c>
      <c r="E2014" s="2">
        <v>40.1</v>
      </c>
      <c r="F2014" s="2">
        <v>2</v>
      </c>
      <c r="G2014" s="2" t="s">
        <v>9</v>
      </c>
    </row>
    <row r="2015" spans="1:7" x14ac:dyDescent="0.2">
      <c r="A2015" s="2" t="s">
        <v>3322</v>
      </c>
      <c r="B2015" s="2" t="s">
        <v>673</v>
      </c>
      <c r="C2015" s="2">
        <v>683.35109999999997</v>
      </c>
      <c r="D2015" s="2">
        <f>HYPERLINK("http://mcb-m6.bioreg.kyushu-u.ac.jp/M3/20110404/F50764/1584/1", 72.03)</f>
        <v>72.03</v>
      </c>
      <c r="E2015" s="2">
        <v>56.64</v>
      </c>
      <c r="F2015" s="2">
        <v>2</v>
      </c>
      <c r="G2015" s="2" t="s">
        <v>9</v>
      </c>
    </row>
    <row r="2016" spans="1:7" x14ac:dyDescent="0.2">
      <c r="A2016" s="2" t="s">
        <v>3322</v>
      </c>
      <c r="B2016" s="2" t="s">
        <v>1404</v>
      </c>
      <c r="C2016" s="2">
        <v>664.88670000000002</v>
      </c>
      <c r="D2016" s="2">
        <f>HYPERLINK("http://mcb-m6.bioreg.kyushu-u.ac.jp/M3/20110404/F50764/1519/1", 73.84)</f>
        <v>73.84</v>
      </c>
      <c r="E2016" s="2">
        <v>27.66</v>
      </c>
      <c r="F2016" s="2">
        <v>2</v>
      </c>
      <c r="G2016" s="2" t="s">
        <v>9</v>
      </c>
    </row>
    <row r="2017" spans="1:7" x14ac:dyDescent="0.2">
      <c r="A2017" s="2" t="s">
        <v>3322</v>
      </c>
      <c r="B2017" s="2" t="s">
        <v>2462</v>
      </c>
      <c r="C2017" s="2">
        <v>719.81370000000004</v>
      </c>
      <c r="D2017" s="2">
        <f>HYPERLINK("http://mcb-m6.bioreg.kyushu-u.ac.jp/M3/20110404/F50764/1800/1", 82.8)</f>
        <v>82.8</v>
      </c>
      <c r="E2017" s="2">
        <v>46.68</v>
      </c>
      <c r="F2017" s="2">
        <v>2</v>
      </c>
      <c r="G2017" s="2" t="s">
        <v>9</v>
      </c>
    </row>
    <row r="2018" spans="1:7" x14ac:dyDescent="0.2">
      <c r="A2018" s="2" t="s">
        <v>3322</v>
      </c>
      <c r="B2018" s="2" t="s">
        <v>6576</v>
      </c>
      <c r="C2018" s="2">
        <v>885.48360000000002</v>
      </c>
      <c r="D2018" s="2">
        <f>HYPERLINK("http://mcb-m6.bioreg.kyushu-u.ac.jp/M3/20110404/F50764/2371/1", 83.41)</f>
        <v>83.41</v>
      </c>
      <c r="E2018" s="2">
        <v>57.83</v>
      </c>
      <c r="F2018" s="2">
        <v>2</v>
      </c>
      <c r="G2018" s="2" t="s">
        <v>9</v>
      </c>
    </row>
    <row r="2019" spans="1:7" x14ac:dyDescent="0.2">
      <c r="A2019" s="2" t="s">
        <v>3322</v>
      </c>
      <c r="B2019" s="2" t="s">
        <v>6639</v>
      </c>
      <c r="C2019" s="2">
        <v>741.86720000000003</v>
      </c>
      <c r="D2019" s="2">
        <f>HYPERLINK("http://mcb-m6.bioreg.kyushu-u.ac.jp/M3/20110404/F50764/1892/1", 101.95)</f>
        <v>101.95</v>
      </c>
      <c r="E2019" s="2">
        <v>82.8</v>
      </c>
      <c r="F2019" s="2">
        <v>2</v>
      </c>
      <c r="G2019" s="2" t="s">
        <v>9</v>
      </c>
    </row>
    <row r="2020" spans="1:7" x14ac:dyDescent="0.2">
      <c r="A2020" s="2" t="s">
        <v>3322</v>
      </c>
      <c r="B2020" s="2" t="s">
        <v>2462</v>
      </c>
      <c r="C2020" s="2">
        <v>719.75210000000004</v>
      </c>
      <c r="D2020" s="2">
        <f>HYPERLINK("http://mcb-m6.bioreg.kyushu-u.ac.jp/M3/20110404/F50765/1749/1", 105.21)</f>
        <v>105.21</v>
      </c>
      <c r="E2020" s="2">
        <v>61.56</v>
      </c>
      <c r="F2020" s="2">
        <v>2</v>
      </c>
      <c r="G2020" s="2" t="s">
        <v>9</v>
      </c>
    </row>
    <row r="2021" spans="1:7" x14ac:dyDescent="0.2">
      <c r="A2021" s="2" t="s">
        <v>3322</v>
      </c>
      <c r="B2021" s="2" t="s">
        <v>6576</v>
      </c>
      <c r="C2021" s="2">
        <v>885.37159999999994</v>
      </c>
      <c r="D2021" s="2">
        <f>HYPERLINK("http://mcb-m6.bioreg.kyushu-u.ac.jp/M3/20110404/F50770/2343/1", 36)</f>
        <v>36</v>
      </c>
      <c r="E2021" s="2">
        <v>20.420000000000002</v>
      </c>
      <c r="F2021" s="2">
        <v>2</v>
      </c>
      <c r="G2021" s="2" t="s">
        <v>10</v>
      </c>
    </row>
    <row r="2022" spans="1:7" x14ac:dyDescent="0.2">
      <c r="A2022" s="2" t="s">
        <v>3322</v>
      </c>
      <c r="B2022" s="2" t="s">
        <v>5960</v>
      </c>
      <c r="C2022" s="2">
        <v>1132.4780000000001</v>
      </c>
      <c r="D2022" s="2">
        <f>HYPERLINK("http://mcb-m6.bioreg.kyushu-u.ac.jp/M3/20110404/F50770/1331/1", 37.91)</f>
        <v>37.909999999999997</v>
      </c>
      <c r="E2022" s="2">
        <v>25.8</v>
      </c>
      <c r="F2022" s="2">
        <v>1</v>
      </c>
      <c r="G2022" s="2" t="s">
        <v>10</v>
      </c>
    </row>
    <row r="2023" spans="1:7" x14ac:dyDescent="0.2">
      <c r="A2023" s="2" t="s">
        <v>3322</v>
      </c>
      <c r="B2023" s="2" t="s">
        <v>6739</v>
      </c>
      <c r="C2023" s="2">
        <v>824.46559999999999</v>
      </c>
      <c r="D2023" s="2">
        <f>HYPERLINK("http://mcb-m6.bioreg.kyushu-u.ac.jp/M3/20110404/F50770/2213/1", 39.25)</f>
        <v>39.25</v>
      </c>
      <c r="E2023" s="2">
        <v>18.71</v>
      </c>
      <c r="F2023" s="2">
        <v>2</v>
      </c>
      <c r="G2023" s="2" t="s">
        <v>10</v>
      </c>
    </row>
    <row r="2024" spans="1:7" x14ac:dyDescent="0.2">
      <c r="A2024" s="2" t="s">
        <v>3322</v>
      </c>
      <c r="B2024" s="2" t="s">
        <v>108</v>
      </c>
      <c r="C2024" s="2">
        <v>461.17160000000001</v>
      </c>
      <c r="D2024" s="2">
        <f>HYPERLINK("http://mcb-m6.bioreg.kyushu-u.ac.jp/M3/20110404/F50770/1013/1", 42.06)</f>
        <v>42.06</v>
      </c>
      <c r="E2024" s="2">
        <v>15.46</v>
      </c>
      <c r="F2024" s="2">
        <v>2</v>
      </c>
      <c r="G2024" s="2" t="s">
        <v>10</v>
      </c>
    </row>
    <row r="2025" spans="1:7" x14ac:dyDescent="0.2">
      <c r="A2025" s="2" t="s">
        <v>3322</v>
      </c>
      <c r="B2025" s="2" t="s">
        <v>5960</v>
      </c>
      <c r="C2025" s="2">
        <v>567.17269999999996</v>
      </c>
      <c r="D2025" s="2">
        <f>HYPERLINK("http://mcb-m6.bioreg.kyushu-u.ac.jp/M3/20110404/F50771/1236/1", 43.71)</f>
        <v>43.71</v>
      </c>
      <c r="E2025" s="2">
        <v>17.420000000000002</v>
      </c>
      <c r="F2025" s="2">
        <v>2</v>
      </c>
      <c r="G2025" s="2" t="s">
        <v>10</v>
      </c>
    </row>
    <row r="2026" spans="1:7" x14ac:dyDescent="0.2">
      <c r="A2026" s="2" t="s">
        <v>3322</v>
      </c>
      <c r="B2026" s="2" t="s">
        <v>6639</v>
      </c>
      <c r="C2026" s="2">
        <v>742.26919999999996</v>
      </c>
      <c r="D2026" s="2">
        <f>HYPERLINK("http://mcb-m6.bioreg.kyushu-u.ac.jp/M3/20110404/F50771/1901/1", 58.27)</f>
        <v>58.27</v>
      </c>
      <c r="E2026" s="2">
        <v>39.15</v>
      </c>
      <c r="F2026" s="2">
        <v>2</v>
      </c>
      <c r="G2026" s="2" t="s">
        <v>10</v>
      </c>
    </row>
    <row r="2027" spans="1:7" x14ac:dyDescent="0.2">
      <c r="A2027" s="2" t="s">
        <v>3322</v>
      </c>
      <c r="B2027" s="2" t="s">
        <v>2044</v>
      </c>
      <c r="C2027" s="2">
        <v>656.81709999999998</v>
      </c>
      <c r="D2027" s="2">
        <f>HYPERLINK("http://mcb-m6.bioreg.kyushu-u.ac.jp/M3/20110404/F50771/1525/1", 59.43)</f>
        <v>59.43</v>
      </c>
      <c r="E2027" s="2">
        <v>46.62</v>
      </c>
      <c r="F2027" s="2">
        <v>2</v>
      </c>
      <c r="G2027" s="2" t="s">
        <v>10</v>
      </c>
    </row>
    <row r="2028" spans="1:7" x14ac:dyDescent="0.2">
      <c r="A2028" s="2" t="s">
        <v>3322</v>
      </c>
      <c r="B2028" s="2" t="s">
        <v>2044</v>
      </c>
      <c r="C2028" s="2">
        <v>657.33010000000002</v>
      </c>
      <c r="D2028" s="2">
        <f>HYPERLINK("http://mcb-m6.bioreg.kyushu-u.ac.jp/M3/20110404/F50770/1578/1", 61.73)</f>
        <v>61.73</v>
      </c>
      <c r="E2028" s="2">
        <v>43.65</v>
      </c>
      <c r="F2028" s="2">
        <v>2</v>
      </c>
      <c r="G2028" s="2" t="s">
        <v>10</v>
      </c>
    </row>
    <row r="2029" spans="1:7" x14ac:dyDescent="0.2">
      <c r="A2029" s="2" t="s">
        <v>3322</v>
      </c>
      <c r="B2029" s="2" t="s">
        <v>2462</v>
      </c>
      <c r="C2029" s="2">
        <v>1438.5830000000001</v>
      </c>
      <c r="D2029" s="2">
        <f>HYPERLINK("http://mcb-m6.bioreg.kyushu-u.ac.jp/M3/20110404/F50770/1861/1", 65.91)</f>
        <v>65.91</v>
      </c>
      <c r="E2029" s="2">
        <v>37.11</v>
      </c>
      <c r="F2029" s="2">
        <v>1</v>
      </c>
      <c r="G2029" s="2" t="s">
        <v>10</v>
      </c>
    </row>
    <row r="2030" spans="1:7" x14ac:dyDescent="0.2">
      <c r="A2030" s="2" t="s">
        <v>3322</v>
      </c>
      <c r="B2030" s="2" t="s">
        <v>2380</v>
      </c>
      <c r="C2030" s="2">
        <v>765.29169999999999</v>
      </c>
      <c r="D2030" s="2">
        <f>HYPERLINK("http://mcb-m6.bioreg.kyushu-u.ac.jp/M3/20110404/F50770/2007/1", 69.27)</f>
        <v>69.27</v>
      </c>
      <c r="E2030" s="2">
        <v>47.67</v>
      </c>
      <c r="F2030" s="2">
        <v>2</v>
      </c>
      <c r="G2030" s="2" t="s">
        <v>10</v>
      </c>
    </row>
    <row r="2031" spans="1:7" x14ac:dyDescent="0.2">
      <c r="A2031" s="2" t="s">
        <v>3322</v>
      </c>
      <c r="B2031" s="2" t="s">
        <v>2462</v>
      </c>
      <c r="C2031" s="2">
        <v>719.88509999999997</v>
      </c>
      <c r="D2031" s="2">
        <f>HYPERLINK("http://mcb-m6.bioreg.kyushu-u.ac.jp/M3/20110404/F50772/1842/1", 75.87)</f>
        <v>75.87</v>
      </c>
      <c r="E2031" s="2">
        <v>39.409999999999997</v>
      </c>
      <c r="F2031" s="2">
        <v>2</v>
      </c>
      <c r="G2031" s="2" t="s">
        <v>10</v>
      </c>
    </row>
    <row r="2032" spans="1:7" x14ac:dyDescent="0.2">
      <c r="A2032" s="2" t="s">
        <v>3322</v>
      </c>
      <c r="B2032" s="2" t="s">
        <v>673</v>
      </c>
      <c r="C2032" s="2">
        <v>683.20719999999994</v>
      </c>
      <c r="D2032" s="2">
        <f>HYPERLINK("http://mcb-m6.bioreg.kyushu-u.ac.jp/M3/20110404/F50770/1681/1", 77.38)</f>
        <v>77.38</v>
      </c>
      <c r="E2032" s="2">
        <v>65.040000000000006</v>
      </c>
      <c r="F2032" s="2">
        <v>2</v>
      </c>
      <c r="G2032" s="2" t="s">
        <v>10</v>
      </c>
    </row>
    <row r="2033" spans="1:7" x14ac:dyDescent="0.2">
      <c r="A2033" s="2" t="s">
        <v>3322</v>
      </c>
      <c r="B2033" s="2" t="s">
        <v>2462</v>
      </c>
      <c r="C2033" s="2">
        <v>719.72469999999998</v>
      </c>
      <c r="D2033" s="2">
        <f>HYPERLINK("http://mcb-m6.bioreg.kyushu-u.ac.jp/M3/20110404/F50771/1807/1", 94.28)</f>
        <v>94.28</v>
      </c>
      <c r="E2033" s="2">
        <v>48.77</v>
      </c>
      <c r="F2033" s="2">
        <v>2</v>
      </c>
      <c r="G2033" s="2" t="s">
        <v>10</v>
      </c>
    </row>
    <row r="2034" spans="1:7" x14ac:dyDescent="0.2">
      <c r="A2034" s="2" t="s">
        <v>3322</v>
      </c>
      <c r="B2034" s="2" t="s">
        <v>2462</v>
      </c>
      <c r="C2034" s="2">
        <v>720.1857</v>
      </c>
      <c r="D2034" s="2">
        <f>HYPERLINK("http://mcb-m6.bioreg.kyushu-u.ac.jp/M3/20110404/F50770/1863/1", 111.74)</f>
        <v>111.74</v>
      </c>
      <c r="E2034" s="2">
        <v>66.5</v>
      </c>
      <c r="F2034" s="2">
        <v>2</v>
      </c>
      <c r="G2034" s="2" t="s">
        <v>10</v>
      </c>
    </row>
    <row r="2035" spans="1:7" x14ac:dyDescent="0.2">
      <c r="A2035" s="2" t="s">
        <v>3322</v>
      </c>
      <c r="B2035" s="2" t="s">
        <v>1238</v>
      </c>
      <c r="C2035" s="2">
        <v>545.76670000000001</v>
      </c>
      <c r="D2035" s="2">
        <f>HYPERLINK("http://mcb-m6.bioreg.kyushu-u.ac.jp/M3/20110421/F51042/860/1", 39.64)</f>
        <v>39.64</v>
      </c>
      <c r="E2035" s="2">
        <v>19.239999999999998</v>
      </c>
      <c r="F2035" s="2">
        <v>2</v>
      </c>
      <c r="G2035" s="2" t="s">
        <v>11</v>
      </c>
    </row>
    <row r="2036" spans="1:7" x14ac:dyDescent="0.2">
      <c r="A2036" s="2" t="s">
        <v>3322</v>
      </c>
      <c r="B2036" s="2" t="s">
        <v>673</v>
      </c>
      <c r="C2036" s="2">
        <v>683.86220000000003</v>
      </c>
      <c r="D2036" s="2">
        <f>HYPERLINK("http://mcb-m6.bioreg.kyushu-u.ac.jp/M3/20110421/F51042/1549/1", 47.8)</f>
        <v>47.8</v>
      </c>
      <c r="E2036" s="2">
        <v>38.090000000000003</v>
      </c>
      <c r="F2036" s="2">
        <v>2</v>
      </c>
      <c r="G2036" s="2" t="s">
        <v>11</v>
      </c>
    </row>
    <row r="2037" spans="1:7" x14ac:dyDescent="0.2">
      <c r="A2037" s="2" t="s">
        <v>3322</v>
      </c>
      <c r="B2037" s="2" t="s">
        <v>673</v>
      </c>
      <c r="C2037" s="2">
        <v>683.30070000000001</v>
      </c>
      <c r="D2037" s="2">
        <f>HYPERLINK("http://mcb-m6.bioreg.kyushu-u.ac.jp/M3/20110421/F51042/1544/1", 61.64)</f>
        <v>61.64</v>
      </c>
      <c r="E2037" s="2">
        <v>46.6</v>
      </c>
      <c r="F2037" s="2">
        <v>2</v>
      </c>
      <c r="G2037" s="2" t="s">
        <v>11</v>
      </c>
    </row>
    <row r="2038" spans="1:7" x14ac:dyDescent="0.2">
      <c r="A2038" s="2" t="s">
        <v>3322</v>
      </c>
      <c r="B2038" s="2" t="s">
        <v>1404</v>
      </c>
      <c r="C2038" s="2">
        <v>664.94619999999998</v>
      </c>
      <c r="D2038" s="2">
        <f>HYPERLINK("http://mcb-m6.bioreg.kyushu-u.ac.jp/M3/20110421/F51042/1428/1", 69.51)</f>
        <v>69.510000000000005</v>
      </c>
      <c r="E2038" s="2">
        <v>25.95</v>
      </c>
      <c r="F2038" s="2">
        <v>2</v>
      </c>
      <c r="G2038" s="2" t="s">
        <v>11</v>
      </c>
    </row>
    <row r="2039" spans="1:7" x14ac:dyDescent="0.2">
      <c r="A2039" s="2" t="s">
        <v>3322</v>
      </c>
      <c r="B2039" s="2" t="s">
        <v>108</v>
      </c>
      <c r="C2039" s="2">
        <v>921.29100000000005</v>
      </c>
      <c r="D2039" s="2">
        <f>HYPERLINK("http://mcb-m6.bioreg.kyushu-u.ac.jp/M3/20110427/F51115/929/1", 38.38)</f>
        <v>38.380000000000003</v>
      </c>
      <c r="E2039" s="2">
        <v>17.71</v>
      </c>
      <c r="F2039" s="2">
        <v>1</v>
      </c>
      <c r="G2039" s="2" t="s">
        <v>13</v>
      </c>
    </row>
    <row r="2040" spans="1:7" x14ac:dyDescent="0.2">
      <c r="A2040" s="2" t="s">
        <v>3322</v>
      </c>
      <c r="B2040" s="2" t="s">
        <v>108</v>
      </c>
      <c r="C2040" s="2">
        <v>461.64359999999999</v>
      </c>
      <c r="D2040" s="2">
        <f>HYPERLINK("http://mcb-m6.bioreg.kyushu-u.ac.jp/M3/20110427/F51115/932/1", 40.37)</f>
        <v>40.369999999999997</v>
      </c>
      <c r="E2040" s="2">
        <v>20.87</v>
      </c>
      <c r="F2040" s="2">
        <v>2</v>
      </c>
      <c r="G2040" s="2" t="s">
        <v>13</v>
      </c>
    </row>
    <row r="2041" spans="1:7" x14ac:dyDescent="0.2">
      <c r="A2041" s="2" t="s">
        <v>3322</v>
      </c>
      <c r="B2041" s="2" t="s">
        <v>7333</v>
      </c>
      <c r="C2041" s="2">
        <v>524.20209999999997</v>
      </c>
      <c r="D2041" s="2">
        <f>HYPERLINK("http://mcb-m6.bioreg.kyushu-u.ac.jp/M3/20110427/F51115/1154/1", 42.22)</f>
        <v>42.22</v>
      </c>
      <c r="E2041" s="2">
        <v>25.6</v>
      </c>
      <c r="F2041" s="2">
        <v>2</v>
      </c>
      <c r="G2041" s="2" t="s">
        <v>13</v>
      </c>
    </row>
    <row r="2042" spans="1:7" x14ac:dyDescent="0.2">
      <c r="A2042" s="2" t="s">
        <v>3322</v>
      </c>
      <c r="B2042" s="2" t="s">
        <v>1238</v>
      </c>
      <c r="C2042" s="2">
        <v>1090.3420000000001</v>
      </c>
      <c r="D2042" s="2">
        <f>HYPERLINK("http://mcb-m6.bioreg.kyushu-u.ac.jp/M3/20110427/F51115/1240/1", 46.08)</f>
        <v>46.08</v>
      </c>
      <c r="E2042" s="2">
        <v>29.95</v>
      </c>
      <c r="F2042" s="2">
        <v>1</v>
      </c>
      <c r="G2042" s="2" t="s">
        <v>13</v>
      </c>
    </row>
    <row r="2043" spans="1:7" x14ac:dyDescent="0.2">
      <c r="A2043" s="2" t="s">
        <v>3322</v>
      </c>
      <c r="B2043" s="2" t="s">
        <v>1238</v>
      </c>
      <c r="C2043" s="2">
        <v>546.03120000000001</v>
      </c>
      <c r="D2043" s="2">
        <f>HYPERLINK("http://mcb-m6.bioreg.kyushu-u.ac.jp/M3/20110427/F51115/1241/1", 48.1)</f>
        <v>48.1</v>
      </c>
      <c r="E2043" s="2">
        <v>21.77</v>
      </c>
      <c r="F2043" s="2">
        <v>2</v>
      </c>
      <c r="G2043" s="2" t="s">
        <v>13</v>
      </c>
    </row>
    <row r="2044" spans="1:7" x14ac:dyDescent="0.2">
      <c r="A2044" s="2" t="s">
        <v>3322</v>
      </c>
      <c r="B2044" s="2" t="s">
        <v>673</v>
      </c>
      <c r="C2044" s="2">
        <v>683.14760000000001</v>
      </c>
      <c r="D2044" s="2">
        <f>HYPERLINK("http://mcb-m6.bioreg.kyushu-u.ac.jp/M3/20110427/F51115/1699/1", 48.28)</f>
        <v>48.28</v>
      </c>
      <c r="E2044" s="2">
        <v>38.1</v>
      </c>
      <c r="F2044" s="2">
        <v>2</v>
      </c>
      <c r="G2044" s="2" t="s">
        <v>13</v>
      </c>
    </row>
    <row r="2045" spans="1:7" x14ac:dyDescent="0.2">
      <c r="A2045" s="2" t="s">
        <v>3322</v>
      </c>
      <c r="B2045" s="2" t="s">
        <v>1404</v>
      </c>
      <c r="C2045" s="2">
        <v>664.84559999999999</v>
      </c>
      <c r="D2045" s="2">
        <f>HYPERLINK("http://mcb-m6.bioreg.kyushu-u.ac.jp/M3/20110428/F51133/1456/1", 49.81)</f>
        <v>49.81</v>
      </c>
      <c r="E2045" s="2">
        <v>11.68</v>
      </c>
      <c r="F2045" s="2">
        <v>2</v>
      </c>
      <c r="G2045" s="2" t="s">
        <v>13</v>
      </c>
    </row>
    <row r="2046" spans="1:7" x14ac:dyDescent="0.2">
      <c r="A2046" s="2" t="s">
        <v>3322</v>
      </c>
      <c r="B2046" s="2" t="s">
        <v>1404</v>
      </c>
      <c r="C2046" s="2">
        <v>665.17570000000001</v>
      </c>
      <c r="D2046" s="2">
        <f>HYPERLINK("http://mcb-m6.bioreg.kyushu-u.ac.jp/M3/20110427/F51116/1642/1", 51.25)</f>
        <v>51.25</v>
      </c>
      <c r="E2046" s="2">
        <v>23.74</v>
      </c>
      <c r="F2046" s="2">
        <v>2</v>
      </c>
      <c r="G2046" s="2" t="s">
        <v>13</v>
      </c>
    </row>
    <row r="2047" spans="1:7" x14ac:dyDescent="0.2">
      <c r="A2047" s="2" t="s">
        <v>3322</v>
      </c>
      <c r="B2047" s="2" t="s">
        <v>2462</v>
      </c>
      <c r="C2047" s="2">
        <v>719.66359999999997</v>
      </c>
      <c r="D2047" s="2">
        <f>HYPERLINK("http://mcb-m6.bioreg.kyushu-u.ac.jp/M3/20110427/F51115/1894/1", 54.29)</f>
        <v>54.29</v>
      </c>
      <c r="E2047" s="2">
        <v>20.63</v>
      </c>
      <c r="F2047" s="2">
        <v>2</v>
      </c>
      <c r="G2047" s="2" t="s">
        <v>13</v>
      </c>
    </row>
    <row r="2048" spans="1:7" x14ac:dyDescent="0.2">
      <c r="A2048" s="2" t="s">
        <v>3322</v>
      </c>
      <c r="B2048" s="2" t="s">
        <v>2380</v>
      </c>
      <c r="C2048" s="2">
        <v>765.68820000000005</v>
      </c>
      <c r="D2048" s="2">
        <f>HYPERLINK("http://mcb-m6.bioreg.kyushu-u.ac.jp/M3/20110427/F51115/2080/1", 56.8)</f>
        <v>56.8</v>
      </c>
      <c r="E2048" s="2">
        <v>39.22</v>
      </c>
      <c r="F2048" s="2">
        <v>2</v>
      </c>
      <c r="G2048" s="2" t="s">
        <v>13</v>
      </c>
    </row>
    <row r="2049" spans="1:9" x14ac:dyDescent="0.2">
      <c r="A2049" s="2" t="s">
        <v>3322</v>
      </c>
      <c r="B2049" s="2" t="s">
        <v>2044</v>
      </c>
      <c r="C2049" s="2">
        <v>656.7672</v>
      </c>
      <c r="D2049" s="2">
        <f>HYPERLINK("http://mcb-m6.bioreg.kyushu-u.ac.jp/M3/20110427/F51115/1594/1", 70.34)</f>
        <v>70.34</v>
      </c>
      <c r="E2049" s="2">
        <v>53.68</v>
      </c>
      <c r="F2049" s="2">
        <v>2</v>
      </c>
      <c r="G2049" s="2" t="s">
        <v>13</v>
      </c>
    </row>
    <row r="2050" spans="1:9" x14ac:dyDescent="0.2">
      <c r="A2050" s="2" t="s">
        <v>3322</v>
      </c>
      <c r="B2050" s="2" t="s">
        <v>2462</v>
      </c>
      <c r="C2050" s="2">
        <v>720.23320000000001</v>
      </c>
      <c r="D2050" s="2">
        <f>HYPERLINK("http://mcb-m6.bioreg.kyushu-u.ac.jp/M3/20110427/F51116/1950/1", 79.82)</f>
        <v>79.819999999999993</v>
      </c>
      <c r="E2050" s="2">
        <v>46.69</v>
      </c>
      <c r="F2050" s="2">
        <v>2</v>
      </c>
      <c r="G2050" s="2" t="s">
        <v>13</v>
      </c>
    </row>
    <row r="2051" spans="1:9" x14ac:dyDescent="0.2">
      <c r="A2051" s="2" t="s">
        <v>3322</v>
      </c>
      <c r="B2051" s="2" t="s">
        <v>6576</v>
      </c>
      <c r="C2051" s="2">
        <v>885.27670000000001</v>
      </c>
      <c r="D2051" s="2">
        <f>HYPERLINK("http://mcb-m6.bioreg.kyushu-u.ac.jp/M3/20110427/F51115/2559/1", 86.52)</f>
        <v>86.52</v>
      </c>
      <c r="E2051" s="2">
        <v>61.54</v>
      </c>
      <c r="F2051" s="2">
        <v>2</v>
      </c>
      <c r="G2051" s="2" t="s">
        <v>13</v>
      </c>
    </row>
    <row r="2052" spans="1:9" x14ac:dyDescent="0.2">
      <c r="A2052" s="2" t="s">
        <v>3322</v>
      </c>
      <c r="B2052" s="2" t="s">
        <v>2380</v>
      </c>
      <c r="C2052" s="2">
        <v>765.14419999999996</v>
      </c>
      <c r="D2052" s="2">
        <f>HYPERLINK("http://mcb-m6.bioreg.kyushu-u.ac.jp/M3/20110427/F51115/2077/1", 91.82)</f>
        <v>91.82</v>
      </c>
      <c r="E2052" s="2">
        <v>70.3</v>
      </c>
      <c r="F2052" s="2">
        <v>2</v>
      </c>
      <c r="G2052" s="2" t="s">
        <v>13</v>
      </c>
    </row>
    <row r="2053" spans="1:9" x14ac:dyDescent="0.2">
      <c r="A2053" s="2" t="s">
        <v>3322</v>
      </c>
      <c r="B2053" s="2" t="s">
        <v>108</v>
      </c>
      <c r="C2053" s="2">
        <v>921.25800000000004</v>
      </c>
      <c r="D2053" s="2">
        <f>HYPERLINK("http://mcb-m6.bioreg.kyushu-u.ac.jp/M3/20110427/F51124/898/1", 38.31)</f>
        <v>38.31</v>
      </c>
      <c r="E2053" s="2">
        <v>15</v>
      </c>
      <c r="F2053" s="2">
        <v>1</v>
      </c>
      <c r="G2053" s="2" t="s">
        <v>14</v>
      </c>
    </row>
    <row r="2054" spans="1:9" x14ac:dyDescent="0.2">
      <c r="A2054" s="2" t="s">
        <v>3322</v>
      </c>
      <c r="B2054" s="2" t="s">
        <v>1238</v>
      </c>
      <c r="C2054" s="2">
        <v>545.59519999999998</v>
      </c>
      <c r="D2054" s="2">
        <f>HYPERLINK("http://mcb-m6.bioreg.kyushu-u.ac.jp/M3/20110427/F51124/1260/1", 45.01)</f>
        <v>45.01</v>
      </c>
      <c r="E2054" s="2">
        <v>4.76</v>
      </c>
      <c r="F2054" s="2">
        <v>2</v>
      </c>
      <c r="G2054" s="2" t="s">
        <v>14</v>
      </c>
    </row>
    <row r="2055" spans="1:9" x14ac:dyDescent="0.2">
      <c r="A2055" s="2" t="s">
        <v>3322</v>
      </c>
      <c r="B2055" s="2" t="s">
        <v>1238</v>
      </c>
      <c r="C2055" s="2">
        <v>545.67020000000002</v>
      </c>
      <c r="D2055" s="2">
        <f>HYPERLINK("http://mcb-m6.bioreg.kyushu-u.ac.jp/M3/20110428/F51130/1235/1", 51.76)</f>
        <v>51.76</v>
      </c>
      <c r="E2055" s="2">
        <v>20.05</v>
      </c>
      <c r="F2055" s="2">
        <v>2</v>
      </c>
      <c r="G2055" s="2" t="s">
        <v>14</v>
      </c>
    </row>
    <row r="2056" spans="1:9" x14ac:dyDescent="0.2">
      <c r="A2056" s="2" t="s">
        <v>3322</v>
      </c>
      <c r="B2056" s="2" t="s">
        <v>2044</v>
      </c>
      <c r="C2056" s="2">
        <v>656.75160000000005</v>
      </c>
      <c r="D2056" s="2">
        <f>HYPERLINK("http://mcb-m6.bioreg.kyushu-u.ac.jp/M3/20110427/F51124/1643/1", 61.82)</f>
        <v>61.82</v>
      </c>
      <c r="E2056" s="2">
        <v>41.97</v>
      </c>
      <c r="F2056" s="2">
        <v>2</v>
      </c>
      <c r="G2056" s="2" t="s">
        <v>14</v>
      </c>
    </row>
    <row r="2057" spans="1:9" x14ac:dyDescent="0.2">
      <c r="A2057" s="2" t="s">
        <v>3322</v>
      </c>
      <c r="B2057" s="2" t="s">
        <v>2380</v>
      </c>
      <c r="C2057" s="2">
        <v>765.57169999999996</v>
      </c>
      <c r="D2057" s="2">
        <f>HYPERLINK("http://mcb-m6.bioreg.kyushu-u.ac.jp/M3/20110427/F51124/2127/1", 69.6)</f>
        <v>69.599999999999994</v>
      </c>
      <c r="E2057" s="2">
        <v>51.69</v>
      </c>
      <c r="F2057" s="2">
        <v>2</v>
      </c>
      <c r="G2057" s="2" t="s">
        <v>14</v>
      </c>
    </row>
    <row r="2058" spans="1:9" x14ac:dyDescent="0.2">
      <c r="A2058" s="2" t="s">
        <v>3322</v>
      </c>
      <c r="B2058" s="2" t="s">
        <v>2118</v>
      </c>
      <c r="C2058" s="2">
        <v>783.73360000000002</v>
      </c>
      <c r="D2058" s="2">
        <f>HYPERLINK("http://mcb-m6.bioreg.kyushu-u.ac.jp/M3/20110427/F51124/2219/1", 84.64)</f>
        <v>84.64</v>
      </c>
      <c r="E2058" s="2">
        <v>63.39</v>
      </c>
      <c r="F2058" s="2">
        <v>2</v>
      </c>
      <c r="G2058" s="2" t="s">
        <v>14</v>
      </c>
    </row>
    <row r="2059" spans="1:9" x14ac:dyDescent="0.2">
      <c r="A2059" s="2" t="s">
        <v>3322</v>
      </c>
      <c r="B2059" s="2" t="s">
        <v>2462</v>
      </c>
      <c r="C2059" s="2">
        <v>719.80269999999996</v>
      </c>
      <c r="D2059" s="2">
        <f>HYPERLINK("http://mcb-m6.bioreg.kyushu-u.ac.jp/M3/20110427/F51124/1936/1", 121.19)</f>
        <v>121.19</v>
      </c>
      <c r="E2059" s="2">
        <v>75.44</v>
      </c>
      <c r="F2059" s="2">
        <v>2</v>
      </c>
      <c r="G2059" s="2" t="s">
        <v>14</v>
      </c>
    </row>
    <row r="2060" spans="1:9" x14ac:dyDescent="0.2">
      <c r="A2060" s="2" t="s">
        <v>3887</v>
      </c>
      <c r="B2060" s="2" t="s">
        <v>2052</v>
      </c>
      <c r="C2060" s="2">
        <v>1180.645</v>
      </c>
      <c r="D2060" s="2">
        <f>HYPERLINK("http://mcb-m6.bioreg.kyushu-u.ac.jp/M3/20110404/F50764/1259/1", 38.33)</f>
        <v>38.33</v>
      </c>
      <c r="E2060" s="2">
        <v>20.010000000000002</v>
      </c>
      <c r="F2060" s="2">
        <v>1</v>
      </c>
      <c r="G2060" s="2" t="s">
        <v>9</v>
      </c>
    </row>
    <row r="2061" spans="1:9" x14ac:dyDescent="0.2">
      <c r="A2061" s="2" t="s">
        <v>3887</v>
      </c>
      <c r="B2061" s="2" t="s">
        <v>2787</v>
      </c>
      <c r="C2061" s="2">
        <v>831.12750000000005</v>
      </c>
      <c r="D2061" s="2">
        <f>HYPERLINK("http://mcb-m6.bioreg.kyushu-u.ac.jp/M3/20110404/F50764/3198/1", 48.03)</f>
        <v>48.03</v>
      </c>
      <c r="E2061" s="2">
        <v>35.57</v>
      </c>
      <c r="F2061" s="2">
        <v>3</v>
      </c>
      <c r="G2061" s="2" t="s">
        <v>9</v>
      </c>
    </row>
    <row r="2062" spans="1:9" x14ac:dyDescent="0.2">
      <c r="A2062" s="2" t="s">
        <v>3887</v>
      </c>
      <c r="B2062" s="2" t="s">
        <v>1028</v>
      </c>
      <c r="C2062" s="2">
        <v>596.7722</v>
      </c>
      <c r="D2062" s="2">
        <f>HYPERLINK("http://mcb-m6.bioreg.kyushu-u.ac.jp/M3/20110404/F50764/1295/1", 55.2)</f>
        <v>55.2</v>
      </c>
      <c r="E2062" s="2">
        <v>33.619999999999997</v>
      </c>
      <c r="F2062" s="2">
        <v>2</v>
      </c>
      <c r="G2062" s="2" t="s">
        <v>9</v>
      </c>
      <c r="I2062" s="2" t="s">
        <v>4892</v>
      </c>
    </row>
    <row r="2063" spans="1:9" x14ac:dyDescent="0.2">
      <c r="A2063" s="2" t="s">
        <v>3887</v>
      </c>
      <c r="B2063" s="2" t="s">
        <v>1876</v>
      </c>
      <c r="C2063" s="2">
        <v>584.32169999999996</v>
      </c>
      <c r="D2063" s="2">
        <f>HYPERLINK("http://mcb-m6.bioreg.kyushu-u.ac.jp/M3/20110404/F50765/1193/1", 59.48)</f>
        <v>59.48</v>
      </c>
      <c r="E2063" s="2">
        <v>48.09</v>
      </c>
      <c r="F2063" s="2">
        <v>2</v>
      </c>
      <c r="G2063" s="2" t="s">
        <v>9</v>
      </c>
    </row>
    <row r="2064" spans="1:9" x14ac:dyDescent="0.2">
      <c r="A2064" s="2" t="s">
        <v>3887</v>
      </c>
      <c r="B2064" s="2" t="s">
        <v>1028</v>
      </c>
      <c r="C2064" s="2">
        <v>596.2527</v>
      </c>
      <c r="D2064" s="2">
        <f>HYPERLINK("http://mcb-m6.bioreg.kyushu-u.ac.jp/M3/20110404/F50764/1292/1", 61.01)</f>
        <v>61.01</v>
      </c>
      <c r="E2064" s="2">
        <v>34.049999999999997</v>
      </c>
      <c r="F2064" s="2">
        <v>2</v>
      </c>
      <c r="G2064" s="2" t="s">
        <v>9</v>
      </c>
      <c r="I2064" s="2" t="s">
        <v>4892</v>
      </c>
    </row>
    <row r="2065" spans="1:9" x14ac:dyDescent="0.2">
      <c r="A2065" s="2" t="s">
        <v>3887</v>
      </c>
      <c r="B2065" s="2" t="s">
        <v>2787</v>
      </c>
      <c r="C2065" s="2">
        <v>1245.4390000000001</v>
      </c>
      <c r="D2065" s="2">
        <f>HYPERLINK("http://mcb-m6.bioreg.kyushu-u.ac.jp/M3/20110404/F50764/3197/1", 68.06)</f>
        <v>68.06</v>
      </c>
      <c r="E2065" s="2">
        <v>65.48</v>
      </c>
      <c r="F2065" s="2">
        <v>2</v>
      </c>
      <c r="G2065" s="2" t="s">
        <v>9</v>
      </c>
    </row>
    <row r="2066" spans="1:9" x14ac:dyDescent="0.2">
      <c r="A2066" s="2" t="s">
        <v>3887</v>
      </c>
      <c r="B2066" s="2" t="s">
        <v>1876</v>
      </c>
      <c r="C2066" s="2">
        <v>584.35220000000004</v>
      </c>
      <c r="D2066" s="2">
        <f>HYPERLINK("http://mcb-m6.bioreg.kyushu-u.ac.jp/M3/20110404/F50764/1247/1", 69.37)</f>
        <v>69.37</v>
      </c>
      <c r="E2066" s="2">
        <v>51.5</v>
      </c>
      <c r="F2066" s="2">
        <v>2</v>
      </c>
      <c r="G2066" s="2" t="s">
        <v>9</v>
      </c>
    </row>
    <row r="2067" spans="1:9" x14ac:dyDescent="0.2">
      <c r="A2067" s="2" t="s">
        <v>3887</v>
      </c>
      <c r="B2067" s="2" t="s">
        <v>1142</v>
      </c>
      <c r="C2067" s="2">
        <v>864.39260000000002</v>
      </c>
      <c r="D2067" s="2">
        <f>HYPERLINK("http://mcb-m6.bioreg.kyushu-u.ac.jp/M3/20110404/F50764/2304/1", 93.86)</f>
        <v>93.86</v>
      </c>
      <c r="E2067" s="2">
        <v>81.38</v>
      </c>
      <c r="F2067" s="2">
        <v>2</v>
      </c>
      <c r="G2067" s="2" t="s">
        <v>9</v>
      </c>
    </row>
    <row r="2068" spans="1:9" x14ac:dyDescent="0.2">
      <c r="A2068" s="2" t="s">
        <v>3887</v>
      </c>
      <c r="B2068" s="2" t="s">
        <v>6633</v>
      </c>
      <c r="C2068" s="2">
        <v>1088.5550000000001</v>
      </c>
      <c r="D2068" s="2">
        <f>HYPERLINK("http://mcb-m6.bioreg.kyushu-u.ac.jp/M3/20110404/F50764/2943/1", 100.14)</f>
        <v>100.14</v>
      </c>
      <c r="E2068" s="2">
        <v>85.45</v>
      </c>
      <c r="F2068" s="2">
        <v>2</v>
      </c>
      <c r="G2068" s="2" t="s">
        <v>9</v>
      </c>
    </row>
    <row r="2069" spans="1:9" x14ac:dyDescent="0.2">
      <c r="A2069" s="2" t="s">
        <v>3887</v>
      </c>
      <c r="B2069" s="2" t="s">
        <v>6657</v>
      </c>
      <c r="C2069" s="2">
        <v>928.94119999999998</v>
      </c>
      <c r="D2069" s="2">
        <f>HYPERLINK("http://mcb-m6.bioreg.kyushu-u.ac.jp/M3/20110404/F50764/2553/1", 110.4)</f>
        <v>110.4</v>
      </c>
      <c r="E2069" s="2">
        <v>92.51</v>
      </c>
      <c r="F2069" s="2">
        <v>2</v>
      </c>
      <c r="G2069" s="2" t="s">
        <v>9</v>
      </c>
    </row>
    <row r="2070" spans="1:9" x14ac:dyDescent="0.2">
      <c r="A2070" s="2" t="s">
        <v>3887</v>
      </c>
      <c r="B2070" s="2" t="s">
        <v>1876</v>
      </c>
      <c r="C2070" s="2">
        <v>584.19569999999999</v>
      </c>
      <c r="D2070" s="2">
        <f>HYPERLINK("http://mcb-m6.bioreg.kyushu-u.ac.jp/M3/20110404/F50771/1280/1", 38.32)</f>
        <v>38.32</v>
      </c>
      <c r="E2070" s="2">
        <v>26.41</v>
      </c>
      <c r="F2070" s="2">
        <v>2</v>
      </c>
      <c r="G2070" s="2" t="s">
        <v>10</v>
      </c>
    </row>
    <row r="2071" spans="1:9" x14ac:dyDescent="0.2">
      <c r="A2071" s="2" t="s">
        <v>3887</v>
      </c>
      <c r="B2071" s="2" t="s">
        <v>1028</v>
      </c>
      <c r="C2071" s="2">
        <v>1191.377</v>
      </c>
      <c r="D2071" s="2">
        <f>HYPERLINK("http://mcb-m6.bioreg.kyushu-u.ac.jp/M3/20110404/F50770/1408/1", 38.37)</f>
        <v>38.369999999999997</v>
      </c>
      <c r="E2071" s="2">
        <v>21.43</v>
      </c>
      <c r="F2071" s="2">
        <v>1</v>
      </c>
      <c r="G2071" s="2" t="s">
        <v>10</v>
      </c>
      <c r="I2071" s="2" t="s">
        <v>4892</v>
      </c>
    </row>
    <row r="2072" spans="1:9" x14ac:dyDescent="0.2">
      <c r="A2072" s="2" t="s">
        <v>3887</v>
      </c>
      <c r="B2072" s="2" t="s">
        <v>1480</v>
      </c>
      <c r="C2072" s="2">
        <v>987.53970000000004</v>
      </c>
      <c r="D2072" s="2">
        <f>HYPERLINK("http://mcb-m6.bioreg.kyushu-u.ac.jp/M3/20110404/F50770/2618/1", 55.32)</f>
        <v>55.32</v>
      </c>
      <c r="E2072" s="2">
        <v>46.43</v>
      </c>
      <c r="F2072" s="2">
        <v>2</v>
      </c>
      <c r="G2072" s="2" t="s">
        <v>10</v>
      </c>
    </row>
    <row r="2073" spans="1:9" x14ac:dyDescent="0.2">
      <c r="A2073" s="2" t="s">
        <v>3887</v>
      </c>
      <c r="B2073" s="2" t="s">
        <v>1142</v>
      </c>
      <c r="C2073" s="2">
        <v>864.7097</v>
      </c>
      <c r="D2073" s="2">
        <f>HYPERLINK("http://mcb-m6.bioreg.kyushu-u.ac.jp/M3/20110404/F50770/2300/1", 80.07)</f>
        <v>80.069999999999993</v>
      </c>
      <c r="E2073" s="2">
        <v>67.13</v>
      </c>
      <c r="F2073" s="2">
        <v>2</v>
      </c>
      <c r="G2073" s="2" t="s">
        <v>10</v>
      </c>
    </row>
    <row r="2074" spans="1:9" x14ac:dyDescent="0.2">
      <c r="A2074" s="2" t="s">
        <v>3887</v>
      </c>
      <c r="B2074" s="2" t="s">
        <v>2787</v>
      </c>
      <c r="C2074" s="2">
        <v>1245.374</v>
      </c>
      <c r="D2074" s="2">
        <f>HYPERLINK("http://mcb-m6.bioreg.kyushu-u.ac.jp/M3/20110404/F50770/3019/1", 99.63)</f>
        <v>99.63</v>
      </c>
      <c r="E2074" s="2">
        <v>96.13</v>
      </c>
      <c r="F2074" s="2">
        <v>2</v>
      </c>
      <c r="G2074" s="2" t="s">
        <v>10</v>
      </c>
    </row>
    <row r="2075" spans="1:9" x14ac:dyDescent="0.2">
      <c r="A2075" s="2" t="s">
        <v>3887</v>
      </c>
      <c r="B2075" s="2" t="s">
        <v>1142</v>
      </c>
      <c r="C2075" s="2">
        <v>864.78309999999999</v>
      </c>
      <c r="D2075" s="2">
        <f>HYPERLINK("http://mcb-m6.bioreg.kyushu-u.ac.jp/M3/20110421/F51042/2672/1", 78.21)</f>
        <v>78.209999999999994</v>
      </c>
      <c r="E2075" s="2">
        <v>60.07</v>
      </c>
      <c r="F2075" s="2">
        <v>2</v>
      </c>
      <c r="G2075" s="2" t="s">
        <v>11</v>
      </c>
    </row>
    <row r="2076" spans="1:9" x14ac:dyDescent="0.2">
      <c r="A2076" s="2" t="s">
        <v>3887</v>
      </c>
      <c r="B2076" s="2" t="s">
        <v>1142</v>
      </c>
      <c r="C2076" s="2">
        <v>864.27260000000001</v>
      </c>
      <c r="D2076" s="2">
        <f>HYPERLINK("http://mcb-m6.bioreg.kyushu-u.ac.jp/M3/20110421/F51042/2668/1", 101.86)</f>
        <v>101.86</v>
      </c>
      <c r="E2076" s="2">
        <v>79.59</v>
      </c>
      <c r="F2076" s="2">
        <v>2</v>
      </c>
      <c r="G2076" s="2" t="s">
        <v>11</v>
      </c>
    </row>
    <row r="2077" spans="1:9" x14ac:dyDescent="0.2">
      <c r="A2077" s="2" t="s">
        <v>3887</v>
      </c>
      <c r="B2077" s="2" t="s">
        <v>1876</v>
      </c>
      <c r="C2077" s="2">
        <v>584.24620000000004</v>
      </c>
      <c r="D2077" s="2">
        <f>HYPERLINK("http://mcb-m6.bioreg.kyushu-u.ac.jp/M3/20110427/F51116/1372/1", 59.1)</f>
        <v>59.1</v>
      </c>
      <c r="E2077" s="2">
        <v>45.01</v>
      </c>
      <c r="F2077" s="2">
        <v>2</v>
      </c>
      <c r="G2077" s="2" t="s">
        <v>13</v>
      </c>
    </row>
    <row r="2078" spans="1:9" x14ac:dyDescent="0.2">
      <c r="A2078" s="2" t="s">
        <v>3887</v>
      </c>
      <c r="B2078" s="2" t="s">
        <v>1480</v>
      </c>
      <c r="C2078" s="2">
        <v>987.29769999999996</v>
      </c>
      <c r="D2078" s="2">
        <f>HYPERLINK("http://mcb-m6.bioreg.kyushu-u.ac.jp/M3/20110427/F51115/2876/1", 59.92)</f>
        <v>59.92</v>
      </c>
      <c r="E2078" s="2">
        <v>51.77</v>
      </c>
      <c r="F2078" s="2">
        <v>2</v>
      </c>
      <c r="G2078" s="2" t="s">
        <v>13</v>
      </c>
    </row>
    <row r="2079" spans="1:9" x14ac:dyDescent="0.2">
      <c r="A2079" s="2" t="s">
        <v>3887</v>
      </c>
      <c r="B2079" s="2" t="s">
        <v>1028</v>
      </c>
      <c r="C2079" s="2">
        <v>596.23220000000003</v>
      </c>
      <c r="D2079" s="2">
        <f>HYPERLINK("http://mcb-m6.bioreg.kyushu-u.ac.jp/M3/20110427/F51115/1411/1", 70.16)</f>
        <v>70.16</v>
      </c>
      <c r="E2079" s="2">
        <v>38.049999999999997</v>
      </c>
      <c r="F2079" s="2">
        <v>2</v>
      </c>
      <c r="G2079" s="2" t="s">
        <v>13</v>
      </c>
      <c r="I2079" s="2" t="s">
        <v>4892</v>
      </c>
    </row>
    <row r="2080" spans="1:9" x14ac:dyDescent="0.2">
      <c r="A2080" s="2" t="s">
        <v>3887</v>
      </c>
      <c r="B2080" s="2" t="s">
        <v>1432</v>
      </c>
      <c r="C2080" s="2">
        <v>863.50160000000005</v>
      </c>
      <c r="D2080" s="2">
        <f>HYPERLINK("http://mcb-m6.bioreg.kyushu-u.ac.jp/M3/20110427/F51115/2488/1", 70.69)</f>
        <v>70.69</v>
      </c>
      <c r="E2080" s="2">
        <v>37.97</v>
      </c>
      <c r="F2080" s="2">
        <v>2</v>
      </c>
      <c r="G2080" s="2" t="s">
        <v>13</v>
      </c>
    </row>
    <row r="2081" spans="1:7" x14ac:dyDescent="0.2">
      <c r="A2081" s="2" t="s">
        <v>3887</v>
      </c>
      <c r="B2081" s="2" t="s">
        <v>1876</v>
      </c>
      <c r="C2081" s="2">
        <v>584.19069999999999</v>
      </c>
      <c r="D2081" s="2">
        <f>HYPERLINK("http://mcb-m6.bioreg.kyushu-u.ac.jp/M3/20110427/F51115/1357/1", 70.92)</f>
        <v>70.92</v>
      </c>
      <c r="E2081" s="2">
        <v>54.98</v>
      </c>
      <c r="F2081" s="2">
        <v>2</v>
      </c>
      <c r="G2081" s="2" t="s">
        <v>13</v>
      </c>
    </row>
    <row r="2082" spans="1:7" x14ac:dyDescent="0.2">
      <c r="A2082" s="2" t="s">
        <v>3887</v>
      </c>
      <c r="B2082" s="2" t="s">
        <v>2052</v>
      </c>
      <c r="C2082" s="2">
        <v>590.65809999999999</v>
      </c>
      <c r="D2082" s="2">
        <f>HYPERLINK("http://mcb-m6.bioreg.kyushu-u.ac.jp/M3/20110427/F51115/1376/1", 76.03)</f>
        <v>76.03</v>
      </c>
      <c r="E2082" s="2">
        <v>49.24</v>
      </c>
      <c r="F2082" s="2">
        <v>2</v>
      </c>
      <c r="G2082" s="2" t="s">
        <v>13</v>
      </c>
    </row>
    <row r="2083" spans="1:7" x14ac:dyDescent="0.2">
      <c r="A2083" s="2" t="s">
        <v>3887</v>
      </c>
      <c r="B2083" s="2" t="s">
        <v>1142</v>
      </c>
      <c r="C2083" s="2">
        <v>864.25959999999998</v>
      </c>
      <c r="D2083" s="2">
        <f>HYPERLINK("http://mcb-m6.bioreg.kyushu-u.ac.jp/M3/20110427/F51115/2492/1", 81.92)</f>
        <v>81.92</v>
      </c>
      <c r="E2083" s="2">
        <v>63.62</v>
      </c>
      <c r="F2083" s="2">
        <v>2</v>
      </c>
      <c r="G2083" s="2" t="s">
        <v>13</v>
      </c>
    </row>
    <row r="2084" spans="1:7" x14ac:dyDescent="0.2">
      <c r="A2084" s="2" t="s">
        <v>3887</v>
      </c>
      <c r="B2084" s="2" t="s">
        <v>2787</v>
      </c>
      <c r="C2084" s="2">
        <v>1245.423</v>
      </c>
      <c r="D2084" s="2">
        <f>HYPERLINK("http://mcb-m6.bioreg.kyushu-u.ac.jp/M3/20110427/F51115/3374/1", 131.75)</f>
        <v>131.75</v>
      </c>
      <c r="E2084" s="2">
        <v>122.57</v>
      </c>
      <c r="F2084" s="2">
        <v>2</v>
      </c>
      <c r="G2084" s="2" t="s">
        <v>13</v>
      </c>
    </row>
    <row r="2085" spans="1:7" x14ac:dyDescent="0.2">
      <c r="A2085" s="2" t="s">
        <v>3887</v>
      </c>
      <c r="B2085" s="2" t="s">
        <v>2052</v>
      </c>
      <c r="C2085" s="2">
        <v>590.69209999999998</v>
      </c>
      <c r="D2085" s="2">
        <f>HYPERLINK("http://mcb-m6.bioreg.kyushu-u.ac.jp/M3/20110427/F51124/1428/1", 67.31)</f>
        <v>67.31</v>
      </c>
      <c r="E2085" s="2">
        <v>43.91</v>
      </c>
      <c r="F2085" s="2">
        <v>2</v>
      </c>
      <c r="G2085" s="2" t="s">
        <v>14</v>
      </c>
    </row>
    <row r="2086" spans="1:7" x14ac:dyDescent="0.2">
      <c r="A2086" s="2" t="s">
        <v>3887</v>
      </c>
      <c r="B2086" s="2" t="s">
        <v>1142</v>
      </c>
      <c r="C2086" s="2">
        <v>864.5616</v>
      </c>
      <c r="D2086" s="2">
        <f>HYPERLINK("http://mcb-m6.bioreg.kyushu-u.ac.jp/M3/20110427/F51125/2601/1", 69.3)</f>
        <v>69.3</v>
      </c>
      <c r="E2086" s="2">
        <v>38.119999999999997</v>
      </c>
      <c r="F2086" s="2">
        <v>2</v>
      </c>
      <c r="G2086" s="2" t="s">
        <v>14</v>
      </c>
    </row>
    <row r="2087" spans="1:7" x14ac:dyDescent="0.2">
      <c r="A2087" s="2" t="s">
        <v>3887</v>
      </c>
      <c r="B2087" s="2" t="s">
        <v>1876</v>
      </c>
      <c r="C2087" s="2">
        <v>584.61360000000002</v>
      </c>
      <c r="D2087" s="2">
        <f>HYPERLINK("http://mcb-m6.bioreg.kyushu-u.ac.jp/M3/20110427/F51124/1404/1", 71.95)</f>
        <v>71.95</v>
      </c>
      <c r="E2087" s="2">
        <v>53.73</v>
      </c>
      <c r="F2087" s="2">
        <v>2</v>
      </c>
      <c r="G2087" s="2" t="s">
        <v>14</v>
      </c>
    </row>
    <row r="2088" spans="1:7" x14ac:dyDescent="0.2">
      <c r="A2088" s="2" t="s">
        <v>3887</v>
      </c>
      <c r="B2088" s="2" t="s">
        <v>1480</v>
      </c>
      <c r="C2088" s="2">
        <v>987.26009999999997</v>
      </c>
      <c r="D2088" s="2">
        <f>HYPERLINK("http://mcb-m6.bioreg.kyushu-u.ac.jp/M3/20110427/F51124/2937/1", 82.72)</f>
        <v>82.72</v>
      </c>
      <c r="E2088" s="2">
        <v>70.61</v>
      </c>
      <c r="F2088" s="2">
        <v>2</v>
      </c>
      <c r="G2088" s="2" t="s">
        <v>14</v>
      </c>
    </row>
    <row r="2089" spans="1:7" x14ac:dyDescent="0.2">
      <c r="A2089" s="2" t="s">
        <v>3887</v>
      </c>
      <c r="B2089" s="2" t="s">
        <v>1142</v>
      </c>
      <c r="C2089" s="2">
        <v>864.15219999999999</v>
      </c>
      <c r="D2089" s="2">
        <f>HYPERLINK("http://mcb-m6.bioreg.kyushu-u.ac.jp/M3/20110427/F51124/2551/1", 85.1)</f>
        <v>85.1</v>
      </c>
      <c r="E2089" s="2">
        <v>61.72</v>
      </c>
      <c r="F2089" s="2">
        <v>2</v>
      </c>
      <c r="G2089" s="2" t="s">
        <v>14</v>
      </c>
    </row>
    <row r="2090" spans="1:7" x14ac:dyDescent="0.2">
      <c r="A2090" s="2" t="s">
        <v>3887</v>
      </c>
      <c r="B2090" s="2" t="s">
        <v>1432</v>
      </c>
      <c r="C2090" s="2">
        <v>863.18709999999999</v>
      </c>
      <c r="D2090" s="2">
        <f>HYPERLINK("http://mcb-m6.bioreg.kyushu-u.ac.jp/M3/20110427/F51124/2547/1", 87.48)</f>
        <v>87.48</v>
      </c>
      <c r="E2090" s="2">
        <v>45.91</v>
      </c>
      <c r="F2090" s="2">
        <v>2</v>
      </c>
      <c r="G2090" s="2" t="s">
        <v>14</v>
      </c>
    </row>
    <row r="2091" spans="1:7" x14ac:dyDescent="0.2">
      <c r="A2091" s="2" t="s">
        <v>3887</v>
      </c>
      <c r="B2091" s="2" t="s">
        <v>1432</v>
      </c>
      <c r="C2091" s="2">
        <v>862.66819999999996</v>
      </c>
      <c r="D2091" s="2">
        <f>HYPERLINK("http://mcb-m6.bioreg.kyushu-u.ac.jp/M3/20110427/F51124/2545/1", 90.93)</f>
        <v>90.93</v>
      </c>
      <c r="E2091" s="2">
        <v>70.97</v>
      </c>
      <c r="F2091" s="2">
        <v>2</v>
      </c>
      <c r="G2091" s="2" t="s">
        <v>14</v>
      </c>
    </row>
    <row r="2092" spans="1:7" x14ac:dyDescent="0.2">
      <c r="A2092" s="2" t="s">
        <v>3887</v>
      </c>
      <c r="B2092" s="2" t="s">
        <v>2787</v>
      </c>
      <c r="C2092" s="2">
        <v>1245.749</v>
      </c>
      <c r="D2092" s="2">
        <f>HYPERLINK("http://mcb-m6.bioreg.kyushu-u.ac.jp/M3/20110427/F51124/3361/1", 140.45)</f>
        <v>140.44999999999999</v>
      </c>
      <c r="E2092" s="2">
        <v>131.21</v>
      </c>
      <c r="F2092" s="2">
        <v>2</v>
      </c>
      <c r="G2092" s="2" t="s">
        <v>14</v>
      </c>
    </row>
    <row r="2093" spans="1:7" x14ac:dyDescent="0.2">
      <c r="A2093" s="2" t="s">
        <v>4858</v>
      </c>
      <c r="B2093" s="2" t="s">
        <v>3141</v>
      </c>
      <c r="C2093" s="2">
        <v>680.65419999999995</v>
      </c>
      <c r="D2093" s="2">
        <f>HYPERLINK("http://mcb-m6.bioreg.kyushu-u.ac.jp/M3/20110404/F50764/1574/1", 44.96)</f>
        <v>44.96</v>
      </c>
      <c r="E2093" s="2">
        <v>29.03</v>
      </c>
      <c r="F2093" s="2">
        <v>2</v>
      </c>
      <c r="G2093" s="2" t="s">
        <v>9</v>
      </c>
    </row>
    <row r="2094" spans="1:7" x14ac:dyDescent="0.2">
      <c r="A2094" s="2" t="s">
        <v>4858</v>
      </c>
      <c r="B2094" s="2" t="s">
        <v>6366</v>
      </c>
      <c r="C2094" s="2">
        <v>1113.454</v>
      </c>
      <c r="D2094" s="2">
        <f>HYPERLINK("http://mcb-m6.bioreg.kyushu-u.ac.jp/M3/20110404/F50764/3003/1", 56.68)</f>
        <v>56.68</v>
      </c>
      <c r="E2094" s="2">
        <v>44.7</v>
      </c>
      <c r="F2094" s="2">
        <v>2</v>
      </c>
      <c r="G2094" s="2" t="s">
        <v>9</v>
      </c>
    </row>
    <row r="2095" spans="1:7" x14ac:dyDescent="0.2">
      <c r="A2095" s="2" t="s">
        <v>4858</v>
      </c>
      <c r="B2095" s="2" t="s">
        <v>6396</v>
      </c>
      <c r="C2095" s="2">
        <v>452.19510000000002</v>
      </c>
      <c r="D2095" s="2">
        <f>HYPERLINK("http://mcb-m6.bioreg.kyushu-u.ac.jp/M3/20110404/F50764/797/1", 59.39)</f>
        <v>59.39</v>
      </c>
      <c r="E2095" s="2">
        <v>29.2</v>
      </c>
      <c r="F2095" s="2">
        <v>2</v>
      </c>
      <c r="G2095" s="2" t="s">
        <v>9</v>
      </c>
    </row>
    <row r="2096" spans="1:7" x14ac:dyDescent="0.2">
      <c r="A2096" s="2" t="s">
        <v>4858</v>
      </c>
      <c r="B2096" s="2" t="s">
        <v>3141</v>
      </c>
      <c r="C2096" s="2">
        <v>680.16769999999997</v>
      </c>
      <c r="D2096" s="2">
        <f>HYPERLINK("http://mcb-m6.bioreg.kyushu-u.ac.jp/M3/20110404/F50770/1667/1", 57.29)</f>
        <v>57.29</v>
      </c>
      <c r="E2096" s="2">
        <v>37.200000000000003</v>
      </c>
      <c r="F2096" s="2">
        <v>2</v>
      </c>
      <c r="G2096" s="2" t="s">
        <v>10</v>
      </c>
    </row>
    <row r="2097" spans="1:7" x14ac:dyDescent="0.2">
      <c r="A2097" s="2" t="s">
        <v>4858</v>
      </c>
      <c r="B2097" s="2" t="s">
        <v>6396</v>
      </c>
      <c r="C2097" s="2">
        <v>452.57960000000003</v>
      </c>
      <c r="D2097" s="2">
        <f>HYPERLINK("http://mcb-m6.bioreg.kyushu-u.ac.jp/M3/20110404/F50770/965/1", 71.4)</f>
        <v>71.400000000000006</v>
      </c>
      <c r="E2097" s="2">
        <v>38.33</v>
      </c>
      <c r="F2097" s="2">
        <v>2</v>
      </c>
      <c r="G2097" s="2" t="s">
        <v>10</v>
      </c>
    </row>
    <row r="2098" spans="1:7" x14ac:dyDescent="0.2">
      <c r="A2098" s="2" t="s">
        <v>4858</v>
      </c>
      <c r="B2098" s="2" t="s">
        <v>3141</v>
      </c>
      <c r="C2098" s="2">
        <v>680.64760000000001</v>
      </c>
      <c r="D2098" s="2">
        <f>HYPERLINK("http://mcb-m6.bioreg.kyushu-u.ac.jp/M3/20110421/F51042/1522/1", 56.34)</f>
        <v>56.34</v>
      </c>
      <c r="E2098" s="2">
        <v>31.61</v>
      </c>
      <c r="F2098" s="2">
        <v>2</v>
      </c>
      <c r="G2098" s="2" t="s">
        <v>11</v>
      </c>
    </row>
    <row r="2099" spans="1:7" x14ac:dyDescent="0.2">
      <c r="A2099" s="2" t="s">
        <v>4858</v>
      </c>
      <c r="B2099" s="2" t="s">
        <v>7427</v>
      </c>
      <c r="C2099" s="2">
        <v>841.42550000000006</v>
      </c>
      <c r="D2099" s="2">
        <f>HYPERLINK("http://mcb-m6.bioreg.kyushu-u.ac.jp/M3/20110427/F51115/3385/1", 76.97)</f>
        <v>76.97</v>
      </c>
      <c r="E2099" s="2">
        <v>62.2</v>
      </c>
      <c r="F2099" s="2">
        <v>3</v>
      </c>
      <c r="G2099" s="2" t="s">
        <v>13</v>
      </c>
    </row>
    <row r="2100" spans="1:7" x14ac:dyDescent="0.2">
      <c r="A2100" s="2" t="s">
        <v>4858</v>
      </c>
      <c r="B2100" s="2" t="s">
        <v>7427</v>
      </c>
      <c r="C2100" s="2">
        <v>840.86609999999996</v>
      </c>
      <c r="D2100" s="2">
        <f>HYPERLINK("http://mcb-m6.bioreg.kyushu-u.ac.jp/M3/20110427/F51115/3384/1", 80.41)</f>
        <v>80.41</v>
      </c>
      <c r="E2100" s="2">
        <v>69.650000000000006</v>
      </c>
      <c r="F2100" s="2">
        <v>3</v>
      </c>
      <c r="G2100" s="2" t="s">
        <v>13</v>
      </c>
    </row>
    <row r="2101" spans="1:7" x14ac:dyDescent="0.2">
      <c r="A2101" s="2" t="s">
        <v>4858</v>
      </c>
      <c r="B2101" s="2" t="s">
        <v>6366</v>
      </c>
      <c r="C2101" s="2">
        <v>1113.367</v>
      </c>
      <c r="D2101" s="2">
        <f>HYPERLINK("http://mcb-m6.bioreg.kyushu-u.ac.jp/M3/20110428/F51130/3293/1", 36.51)</f>
        <v>36.51</v>
      </c>
      <c r="E2101" s="2">
        <v>24.96</v>
      </c>
      <c r="F2101" s="2">
        <v>2</v>
      </c>
      <c r="G2101" s="2" t="s">
        <v>14</v>
      </c>
    </row>
    <row r="2102" spans="1:7" x14ac:dyDescent="0.2">
      <c r="A2102" s="2" t="s">
        <v>4858</v>
      </c>
      <c r="B2102" s="2" t="s">
        <v>3141</v>
      </c>
      <c r="C2102" s="2">
        <v>680.27719999999999</v>
      </c>
      <c r="D2102" s="2">
        <f>HYPERLINK("http://mcb-m6.bioreg.kyushu-u.ac.jp/M3/20110427/F51124/1732/1", 51.87)</f>
        <v>51.87</v>
      </c>
      <c r="E2102" s="2">
        <v>30.71</v>
      </c>
      <c r="F2102" s="2">
        <v>2</v>
      </c>
      <c r="G2102" s="2" t="s">
        <v>14</v>
      </c>
    </row>
    <row r="2103" spans="1:7" x14ac:dyDescent="0.2">
      <c r="A2103" s="2" t="s">
        <v>4725</v>
      </c>
      <c r="B2103" s="2" t="s">
        <v>5385</v>
      </c>
      <c r="C2103" s="2">
        <v>890.40219999999999</v>
      </c>
      <c r="D2103" s="2">
        <f>HYPERLINK("http://mcb-m6.bioreg.kyushu-u.ac.jp/M3/20110404/F50775/2470/1", 48.87)</f>
        <v>48.87</v>
      </c>
      <c r="E2103" s="2">
        <v>37</v>
      </c>
      <c r="F2103" s="2">
        <v>2</v>
      </c>
      <c r="G2103" s="2" t="s">
        <v>10</v>
      </c>
    </row>
    <row r="2104" spans="1:7" x14ac:dyDescent="0.2">
      <c r="A2104" s="2" t="s">
        <v>4725</v>
      </c>
      <c r="B2104" s="2" t="s">
        <v>2929</v>
      </c>
      <c r="C2104" s="2">
        <v>801.42819999999995</v>
      </c>
      <c r="D2104" s="2">
        <f>HYPERLINK("http://mcb-m6.bioreg.kyushu-u.ac.jp/M3/20110421/F51039/2411/1", 49.37)</f>
        <v>49.37</v>
      </c>
      <c r="E2104" s="2">
        <v>36.590000000000003</v>
      </c>
      <c r="F2104" s="2">
        <v>2</v>
      </c>
      <c r="G2104" s="2" t="s">
        <v>11</v>
      </c>
    </row>
    <row r="2105" spans="1:7" x14ac:dyDescent="0.2">
      <c r="A2105" s="2" t="s">
        <v>4725</v>
      </c>
      <c r="B2105" s="2" t="s">
        <v>7266</v>
      </c>
      <c r="C2105" s="2">
        <v>732.50319999999999</v>
      </c>
      <c r="D2105" s="2">
        <f>HYPERLINK("http://mcb-m6.bioreg.kyushu-u.ac.jp/M3/20110421/F51048/2144/1", 78.58)</f>
        <v>78.58</v>
      </c>
      <c r="E2105" s="2">
        <v>57.9</v>
      </c>
      <c r="F2105" s="2">
        <v>2</v>
      </c>
      <c r="G2105" s="2" t="s">
        <v>12</v>
      </c>
    </row>
    <row r="2106" spans="1:7" x14ac:dyDescent="0.2">
      <c r="A2106" s="2" t="s">
        <v>4281</v>
      </c>
      <c r="B2106" s="2" t="s">
        <v>1961</v>
      </c>
      <c r="C2106" s="2">
        <v>918.40920000000006</v>
      </c>
      <c r="D2106" s="2">
        <f>HYPERLINK("http://mcb-m6.bioreg.kyushu-u.ac.jp/M3/20110404/F50756/2786/1", 70.71)</f>
        <v>70.709999999999994</v>
      </c>
      <c r="E2106" s="2">
        <v>53.4</v>
      </c>
      <c r="F2106" s="2">
        <v>2</v>
      </c>
      <c r="G2106" s="2" t="s">
        <v>9</v>
      </c>
    </row>
    <row r="2107" spans="1:7" x14ac:dyDescent="0.2">
      <c r="A2107" s="2" t="s">
        <v>4281</v>
      </c>
      <c r="B2107" s="2" t="s">
        <v>1961</v>
      </c>
      <c r="C2107" s="2">
        <v>917.87120000000004</v>
      </c>
      <c r="D2107" s="2">
        <f>HYPERLINK("http://mcb-m6.bioreg.kyushu-u.ac.jp/M3/20110404/F50756/2782/1", 73.73)</f>
        <v>73.73</v>
      </c>
      <c r="E2107" s="2">
        <v>56.77</v>
      </c>
      <c r="F2107" s="2">
        <v>2</v>
      </c>
      <c r="G2107" s="2" t="s">
        <v>9</v>
      </c>
    </row>
    <row r="2108" spans="1:7" x14ac:dyDescent="0.2">
      <c r="A2108" s="2" t="s">
        <v>4281</v>
      </c>
      <c r="B2108" s="2" t="s">
        <v>6578</v>
      </c>
      <c r="C2108" s="2">
        <v>799.86109999999996</v>
      </c>
      <c r="D2108" s="2">
        <f>HYPERLINK("http://mcb-m6.bioreg.kyushu-u.ac.jp/M3/20110404/F50756/2264/1", 84.14)</f>
        <v>84.14</v>
      </c>
      <c r="E2108" s="2">
        <v>71.989999999999995</v>
      </c>
      <c r="F2108" s="2">
        <v>2</v>
      </c>
      <c r="G2108" s="2" t="s">
        <v>9</v>
      </c>
    </row>
    <row r="2109" spans="1:7" x14ac:dyDescent="0.2">
      <c r="A2109" s="2" t="s">
        <v>4281</v>
      </c>
      <c r="B2109" s="2" t="s">
        <v>6578</v>
      </c>
      <c r="C2109" s="2">
        <v>800.37270000000001</v>
      </c>
      <c r="D2109" s="2">
        <f>HYPERLINK("http://mcb-m6.bioreg.kyushu-u.ac.jp/M3/20110404/F50756/2267/1", 88.22)</f>
        <v>88.22</v>
      </c>
      <c r="E2109" s="2">
        <v>65.33</v>
      </c>
      <c r="F2109" s="2">
        <v>2</v>
      </c>
      <c r="G2109" s="2" t="s">
        <v>9</v>
      </c>
    </row>
    <row r="2110" spans="1:7" x14ac:dyDescent="0.2">
      <c r="A2110" s="2" t="s">
        <v>4281</v>
      </c>
      <c r="B2110" s="2" t="s">
        <v>1961</v>
      </c>
      <c r="C2110" s="2">
        <v>918.26070000000004</v>
      </c>
      <c r="D2110" s="2">
        <f>HYPERLINK("http://mcb-m6.bioreg.kyushu-u.ac.jp/M3/20110404/F50761/2572/1", 76.71)</f>
        <v>76.709999999999994</v>
      </c>
      <c r="E2110" s="2">
        <v>66.540000000000006</v>
      </c>
      <c r="F2110" s="2">
        <v>2</v>
      </c>
      <c r="G2110" s="2" t="s">
        <v>10</v>
      </c>
    </row>
    <row r="2111" spans="1:7" x14ac:dyDescent="0.2">
      <c r="A2111" s="2" t="s">
        <v>4281</v>
      </c>
      <c r="B2111" s="2" t="s">
        <v>1961</v>
      </c>
      <c r="C2111" s="2">
        <v>918.33119999999997</v>
      </c>
      <c r="D2111" s="2">
        <f>HYPERLINK("http://mcb-m6.bioreg.kyushu-u.ac.jp/M3/20110421/F51034/2833/1", 84.57)</f>
        <v>84.57</v>
      </c>
      <c r="E2111" s="2">
        <v>66.78</v>
      </c>
      <c r="F2111" s="2">
        <v>2</v>
      </c>
      <c r="G2111" s="2" t="s">
        <v>11</v>
      </c>
    </row>
    <row r="2112" spans="1:7" x14ac:dyDescent="0.2">
      <c r="A2112" s="2" t="s">
        <v>4281</v>
      </c>
      <c r="B2112" s="2" t="s">
        <v>2117</v>
      </c>
      <c r="C2112" s="2">
        <v>853.73320000000001</v>
      </c>
      <c r="D2112" s="2">
        <f>HYPERLINK("http://mcb-m6.bioreg.kyushu-u.ac.jp/M3/20110421/F51044/2552/1", 42.61)</f>
        <v>42.61</v>
      </c>
      <c r="E2112" s="2">
        <v>27.41</v>
      </c>
      <c r="F2112" s="2">
        <v>2</v>
      </c>
      <c r="G2112" s="2" t="s">
        <v>12</v>
      </c>
    </row>
    <row r="2113" spans="1:8" x14ac:dyDescent="0.2">
      <c r="A2113" s="2" t="s">
        <v>4281</v>
      </c>
      <c r="B2113" s="2" t="s">
        <v>2117</v>
      </c>
      <c r="C2113" s="2">
        <v>854.33010000000002</v>
      </c>
      <c r="D2113" s="2">
        <f>HYPERLINK("http://mcb-m6.bioreg.kyushu-u.ac.jp/M3/20110421/F51044/2554/1", 70.83)</f>
        <v>70.83</v>
      </c>
      <c r="E2113" s="2">
        <v>58.71</v>
      </c>
      <c r="F2113" s="2">
        <v>2</v>
      </c>
      <c r="G2113" s="2" t="s">
        <v>12</v>
      </c>
    </row>
    <row r="2114" spans="1:8" x14ac:dyDescent="0.2">
      <c r="A2114" s="2" t="s">
        <v>4281</v>
      </c>
      <c r="B2114" s="2" t="s">
        <v>1961</v>
      </c>
      <c r="C2114" s="2">
        <v>917.78920000000005</v>
      </c>
      <c r="D2114" s="2">
        <f>HYPERLINK("http://mcb-m6.bioreg.kyushu-u.ac.jp/M3/20110421/F51044/2818/1", 102.81)</f>
        <v>102.81</v>
      </c>
      <c r="E2114" s="2">
        <v>85.23</v>
      </c>
      <c r="F2114" s="2">
        <v>2</v>
      </c>
      <c r="G2114" s="2" t="s">
        <v>12</v>
      </c>
    </row>
    <row r="2115" spans="1:8" x14ac:dyDescent="0.2">
      <c r="A2115" s="2" t="s">
        <v>4281</v>
      </c>
      <c r="B2115" s="2" t="s">
        <v>1961</v>
      </c>
      <c r="C2115" s="2">
        <v>918.33069999999998</v>
      </c>
      <c r="D2115" s="2">
        <f>HYPERLINK("http://mcb-m6.bioreg.kyushu-u.ac.jp/M3/20110427/F51114/2943/1", 73.65)</f>
        <v>73.650000000000006</v>
      </c>
      <c r="E2115" s="2">
        <v>59.05</v>
      </c>
      <c r="F2115" s="2">
        <v>2</v>
      </c>
      <c r="G2115" s="2" t="s">
        <v>13</v>
      </c>
    </row>
    <row r="2116" spans="1:8" x14ac:dyDescent="0.2">
      <c r="A2116" s="2" t="s">
        <v>4281</v>
      </c>
      <c r="B2116" s="2" t="s">
        <v>5038</v>
      </c>
      <c r="C2116" s="2">
        <v>834.68820000000005</v>
      </c>
      <c r="D2116" s="2">
        <f>HYPERLINK("http://mcb-m6.bioreg.kyushu-u.ac.jp/M3/20110427/F51114/2558/1", 85.11)</f>
        <v>85.11</v>
      </c>
      <c r="E2116" s="2">
        <v>64.599999999999994</v>
      </c>
      <c r="F2116" s="2">
        <v>2</v>
      </c>
      <c r="G2116" s="2" t="s">
        <v>13</v>
      </c>
    </row>
    <row r="2117" spans="1:8" x14ac:dyDescent="0.2">
      <c r="A2117" s="2" t="s">
        <v>4281</v>
      </c>
      <c r="B2117" s="2" t="s">
        <v>1961</v>
      </c>
      <c r="C2117" s="2">
        <v>917.74770000000001</v>
      </c>
      <c r="D2117" s="2">
        <f>HYPERLINK("http://mcb-m6.bioreg.kyushu-u.ac.jp/M3/20110427/F51114/2937/1", 106.4)</f>
        <v>106.4</v>
      </c>
      <c r="E2117" s="2">
        <v>86.16</v>
      </c>
      <c r="F2117" s="2">
        <v>2</v>
      </c>
      <c r="G2117" s="2" t="s">
        <v>13</v>
      </c>
    </row>
    <row r="2118" spans="1:8" x14ac:dyDescent="0.2">
      <c r="A2118" s="2" t="s">
        <v>4281</v>
      </c>
      <c r="B2118" s="2" t="s">
        <v>1961</v>
      </c>
      <c r="C2118" s="2">
        <v>918.44960000000003</v>
      </c>
      <c r="D2118" s="2">
        <f>HYPERLINK("http://mcb-m6.bioreg.kyushu-u.ac.jp/M3/20110427/F51123/2824/1", 76.69)</f>
        <v>76.69</v>
      </c>
      <c r="E2118" s="2">
        <v>62.13</v>
      </c>
      <c r="F2118" s="2">
        <v>2</v>
      </c>
      <c r="G2118" s="2" t="s">
        <v>14</v>
      </c>
    </row>
    <row r="2119" spans="1:8" x14ac:dyDescent="0.2">
      <c r="A2119" s="2" t="s">
        <v>4281</v>
      </c>
      <c r="B2119" s="2" t="s">
        <v>1961</v>
      </c>
      <c r="C2119" s="2">
        <v>917.83420000000001</v>
      </c>
      <c r="D2119" s="2">
        <f>HYPERLINK("http://mcb-m6.bioreg.kyushu-u.ac.jp/M3/20110427/F51123/2821/1", 91.27)</f>
        <v>91.27</v>
      </c>
      <c r="E2119" s="2">
        <v>73.64</v>
      </c>
      <c r="F2119" s="2">
        <v>2</v>
      </c>
      <c r="G2119" s="2" t="s">
        <v>14</v>
      </c>
    </row>
    <row r="2120" spans="1:8" x14ac:dyDescent="0.2">
      <c r="A2120" s="2" t="s">
        <v>4281</v>
      </c>
      <c r="B2120" s="2" t="s">
        <v>2117</v>
      </c>
      <c r="C2120" s="2">
        <v>854.2047</v>
      </c>
      <c r="D2120" s="2">
        <f>HYPERLINK("http://mcb-m6.bioreg.kyushu-u.ac.jp/M3/20110427/F51123/2550/1", 108.92)</f>
        <v>108.92</v>
      </c>
      <c r="E2120" s="2">
        <v>93.61</v>
      </c>
      <c r="F2120" s="2">
        <v>2</v>
      </c>
      <c r="G2120" s="2" t="s">
        <v>14</v>
      </c>
    </row>
    <row r="2121" spans="1:8" x14ac:dyDescent="0.2">
      <c r="A2121" s="2" t="s">
        <v>3439</v>
      </c>
      <c r="B2121" s="2" t="s">
        <v>247</v>
      </c>
      <c r="C2121" s="2">
        <v>460.69260000000003</v>
      </c>
      <c r="D2121" s="2">
        <f>HYPERLINK("http://mcb-m6.bioreg.kyushu-u.ac.jp/M3/20110404/F50752/1210/1", 47.22)</f>
        <v>47.22</v>
      </c>
      <c r="E2121" s="2">
        <v>16.63</v>
      </c>
      <c r="F2121" s="2">
        <v>2</v>
      </c>
      <c r="G2121" s="2" t="s">
        <v>9</v>
      </c>
    </row>
    <row r="2122" spans="1:8" x14ac:dyDescent="0.2">
      <c r="A2122" s="2" t="s">
        <v>3439</v>
      </c>
      <c r="B2122" s="2" t="s">
        <v>247</v>
      </c>
      <c r="C2122" s="2">
        <v>461.04059999999998</v>
      </c>
      <c r="D2122" s="2">
        <f>HYPERLINK("http://mcb-m6.bioreg.kyushu-u.ac.jp/M3/20110404/F50757/1363/1", 48.39)</f>
        <v>48.39</v>
      </c>
      <c r="E2122" s="2">
        <v>16.72</v>
      </c>
      <c r="F2122" s="2">
        <v>2</v>
      </c>
      <c r="G2122" s="2" t="s">
        <v>10</v>
      </c>
    </row>
    <row r="2123" spans="1:8" x14ac:dyDescent="0.2">
      <c r="A2123" s="2" t="s">
        <v>3439</v>
      </c>
      <c r="B2123" s="2" t="s">
        <v>247</v>
      </c>
      <c r="C2123" s="2">
        <v>920.39099999999996</v>
      </c>
      <c r="D2123" s="2">
        <f>HYPERLINK("http://mcb-m6.bioreg.kyushu-u.ac.jp/M3/20110421/F51022/1541/1", 39.68)</f>
        <v>39.68</v>
      </c>
      <c r="E2123" s="2">
        <v>10.4</v>
      </c>
      <c r="F2123" s="2">
        <v>1</v>
      </c>
      <c r="G2123" s="2" t="s">
        <v>12</v>
      </c>
    </row>
    <row r="2124" spans="1:8" x14ac:dyDescent="0.2">
      <c r="A2124" s="2" t="s">
        <v>3572</v>
      </c>
      <c r="B2124" s="2" t="s">
        <v>440</v>
      </c>
      <c r="C2124" s="2">
        <v>1225.5029999999999</v>
      </c>
      <c r="D2124" s="2">
        <f>HYPERLINK("http://mcb-m6.bioreg.kyushu-u.ac.jp/M3/20110404/F50752/1713/2", 40.8)</f>
        <v>40.799999999999997</v>
      </c>
      <c r="E2124" s="2">
        <v>18.87</v>
      </c>
      <c r="F2124" s="2">
        <v>1</v>
      </c>
      <c r="G2124" s="2" t="s">
        <v>9</v>
      </c>
    </row>
    <row r="2125" spans="1:8" x14ac:dyDescent="0.2">
      <c r="A2125" s="2" t="s">
        <v>3572</v>
      </c>
      <c r="B2125" s="2" t="s">
        <v>440</v>
      </c>
      <c r="C2125" s="2">
        <v>613.54909999999995</v>
      </c>
      <c r="D2125" s="2">
        <f>HYPERLINK("http://mcb-m6.bioreg.kyushu-u.ac.jp/M3/20110404/F50753/1553/2", 45.15)</f>
        <v>45.15</v>
      </c>
      <c r="E2125" s="2">
        <v>27.84</v>
      </c>
      <c r="F2125" s="2">
        <v>2</v>
      </c>
      <c r="G2125" s="2" t="s">
        <v>9</v>
      </c>
    </row>
    <row r="2126" spans="1:8" x14ac:dyDescent="0.2">
      <c r="A2126" s="2" t="s">
        <v>3572</v>
      </c>
      <c r="B2126" s="2" t="s">
        <v>440</v>
      </c>
      <c r="C2126" s="2">
        <v>613.73969999999997</v>
      </c>
      <c r="D2126" s="2">
        <f>HYPERLINK("http://mcb-m6.bioreg.kyushu-u.ac.jp/M3/20110404/F50752/1715/2", 46.87)</f>
        <v>46.87</v>
      </c>
      <c r="E2126" s="2">
        <v>29.72</v>
      </c>
      <c r="F2126" s="2">
        <v>2</v>
      </c>
      <c r="G2126" s="2" t="s">
        <v>9</v>
      </c>
    </row>
    <row r="2127" spans="1:8" x14ac:dyDescent="0.2">
      <c r="A2127" s="2" t="s">
        <v>3572</v>
      </c>
      <c r="B2127" s="2" t="s">
        <v>440</v>
      </c>
      <c r="C2127" s="2">
        <v>1225.4480000000001</v>
      </c>
      <c r="D2127" s="2">
        <f>HYPERLINK("http://mcb-m6.bioreg.kyushu-u.ac.jp/M3/20110404/F50757/1785/2", 41.02)</f>
        <v>41.02</v>
      </c>
      <c r="E2127" s="2">
        <v>20.86</v>
      </c>
      <c r="F2127" s="2">
        <v>1</v>
      </c>
      <c r="G2127" s="2" t="s">
        <v>10</v>
      </c>
    </row>
    <row r="2128" spans="1:8" x14ac:dyDescent="0.2">
      <c r="A2128" s="2" t="s">
        <v>3572</v>
      </c>
      <c r="B2128" s="2" t="s">
        <v>440</v>
      </c>
      <c r="C2128" s="2">
        <v>1208.4970000000001</v>
      </c>
      <c r="D2128" s="2">
        <f>HYPERLINK("http://mcb-m6.bioreg.kyushu-u.ac.jp/M3/20110404/F50757/1754/2", 43.71)</f>
        <v>43.71</v>
      </c>
      <c r="E2128" s="2">
        <v>28.2</v>
      </c>
      <c r="F2128" s="2">
        <v>1</v>
      </c>
      <c r="G2128" s="2" t="s">
        <v>10</v>
      </c>
      <c r="H2128" s="2" t="s">
        <v>4904</v>
      </c>
    </row>
    <row r="2129" spans="1:9" x14ac:dyDescent="0.2">
      <c r="A2129" s="2" t="s">
        <v>3572</v>
      </c>
      <c r="B2129" s="2" t="s">
        <v>440</v>
      </c>
      <c r="C2129" s="2">
        <v>613.23519999999996</v>
      </c>
      <c r="D2129" s="2">
        <f>HYPERLINK("http://mcb-m6.bioreg.kyushu-u.ac.jp/M3/20110404/F50757/1786/2", 63.61)</f>
        <v>63.61</v>
      </c>
      <c r="E2129" s="2">
        <v>42.15</v>
      </c>
      <c r="F2129" s="2">
        <v>2</v>
      </c>
      <c r="G2129" s="2" t="s">
        <v>10</v>
      </c>
    </row>
    <row r="2130" spans="1:9" x14ac:dyDescent="0.2">
      <c r="A2130" s="2" t="s">
        <v>3572</v>
      </c>
      <c r="B2130" s="2" t="s">
        <v>440</v>
      </c>
      <c r="C2130" s="2">
        <v>613.74770000000001</v>
      </c>
      <c r="D2130" s="2">
        <f>HYPERLINK("http://mcb-m6.bioreg.kyushu-u.ac.jp/M3/20110404/F50757/1788/2", 73.53)</f>
        <v>73.53</v>
      </c>
      <c r="E2130" s="2">
        <v>53.03</v>
      </c>
      <c r="F2130" s="2">
        <v>2</v>
      </c>
      <c r="G2130" s="2" t="s">
        <v>10</v>
      </c>
    </row>
    <row r="2131" spans="1:9" x14ac:dyDescent="0.2">
      <c r="A2131" s="2" t="s">
        <v>3572</v>
      </c>
      <c r="B2131" s="2" t="s">
        <v>440</v>
      </c>
      <c r="C2131" s="2">
        <v>613.50319999999999</v>
      </c>
      <c r="D2131" s="2">
        <f>HYPERLINK("http://mcb-m6.bioreg.kyushu-u.ac.jp/M3/20110421/F51016/1770/2", 46.42)</f>
        <v>46.42</v>
      </c>
      <c r="E2131" s="2">
        <v>32.950000000000003</v>
      </c>
      <c r="F2131" s="2">
        <v>2</v>
      </c>
      <c r="G2131" s="2" t="s">
        <v>11</v>
      </c>
    </row>
    <row r="2132" spans="1:9" x14ac:dyDescent="0.2">
      <c r="A2132" s="2" t="s">
        <v>3572</v>
      </c>
      <c r="B2132" s="2" t="s">
        <v>440</v>
      </c>
      <c r="C2132" s="2">
        <v>613.23220000000003</v>
      </c>
      <c r="D2132" s="2">
        <f>HYPERLINK("http://mcb-m6.bioreg.kyushu-u.ac.jp/M3/20110421/F51022/1806/2", 73.62)</f>
        <v>73.62</v>
      </c>
      <c r="E2132" s="2">
        <v>50.48</v>
      </c>
      <c r="F2132" s="2">
        <v>2</v>
      </c>
      <c r="G2132" s="2" t="s">
        <v>12</v>
      </c>
    </row>
    <row r="2133" spans="1:9" x14ac:dyDescent="0.2">
      <c r="A2133" s="2" t="s">
        <v>3572</v>
      </c>
      <c r="B2133" s="2" t="s">
        <v>440</v>
      </c>
      <c r="C2133" s="2">
        <v>613.49109999999996</v>
      </c>
      <c r="D2133" s="2">
        <f>HYPERLINK("http://mcb-m6.bioreg.kyushu-u.ac.jp/M3/20110427/F51110/1755/2", 47.2)</f>
        <v>47.2</v>
      </c>
      <c r="E2133" s="2">
        <v>28.39</v>
      </c>
      <c r="F2133" s="2">
        <v>2</v>
      </c>
      <c r="G2133" s="2" t="s">
        <v>13</v>
      </c>
    </row>
    <row r="2134" spans="1:9" x14ac:dyDescent="0.2">
      <c r="A2134" s="2" t="s">
        <v>3974</v>
      </c>
      <c r="B2134" s="2" t="s">
        <v>6197</v>
      </c>
      <c r="C2134" s="2">
        <v>592.76120000000003</v>
      </c>
      <c r="D2134" s="2">
        <f>HYPERLINK("http://mcb-m6.bioreg.kyushu-u.ac.jp/M3/20110404/F50763/1372/1", 46.24)</f>
        <v>46.24</v>
      </c>
      <c r="E2134" s="2">
        <v>8.81</v>
      </c>
      <c r="F2134" s="2">
        <v>2</v>
      </c>
      <c r="G2134" s="2" t="s">
        <v>9</v>
      </c>
      <c r="I2134" s="2" t="s">
        <v>4892</v>
      </c>
    </row>
    <row r="2135" spans="1:9" x14ac:dyDescent="0.2">
      <c r="A2135" s="2" t="s">
        <v>3974</v>
      </c>
      <c r="B2135" s="2" t="s">
        <v>6245</v>
      </c>
      <c r="C2135" s="2">
        <v>1046.0540000000001</v>
      </c>
      <c r="D2135" s="2">
        <f>HYPERLINK("http://mcb-m6.bioreg.kyushu-u.ac.jp/M3/20110404/F50762/2685/1", 48.86)</f>
        <v>48.86</v>
      </c>
      <c r="E2135" s="2">
        <v>34.380000000000003</v>
      </c>
      <c r="F2135" s="2">
        <v>2</v>
      </c>
      <c r="G2135" s="2" t="s">
        <v>9</v>
      </c>
    </row>
    <row r="2136" spans="1:9" x14ac:dyDescent="0.2">
      <c r="A2136" s="2" t="s">
        <v>3974</v>
      </c>
      <c r="B2136" s="2" t="s">
        <v>1218</v>
      </c>
      <c r="C2136" s="2">
        <v>679.48220000000003</v>
      </c>
      <c r="D2136" s="2">
        <f>HYPERLINK("http://mcb-m6.bioreg.kyushu-u.ac.jp/M3/20110404/F50762/1547/1", 73.85)</f>
        <v>73.849999999999994</v>
      </c>
      <c r="E2136" s="2">
        <v>61</v>
      </c>
      <c r="F2136" s="2">
        <v>2</v>
      </c>
      <c r="G2136" s="2" t="s">
        <v>9</v>
      </c>
    </row>
    <row r="2137" spans="1:9" x14ac:dyDescent="0.2">
      <c r="A2137" s="2" t="s">
        <v>3974</v>
      </c>
      <c r="B2137" s="2" t="s">
        <v>5402</v>
      </c>
      <c r="C2137" s="2">
        <v>739.81870000000004</v>
      </c>
      <c r="D2137" s="2">
        <f>HYPERLINK("http://mcb-m6.bioreg.kyushu-u.ac.jp/M3/20110404/F50762/1806/1", 109.3)</f>
        <v>109.3</v>
      </c>
      <c r="E2137" s="2">
        <v>91.52</v>
      </c>
      <c r="F2137" s="2">
        <v>2</v>
      </c>
      <c r="G2137" s="2" t="s">
        <v>9</v>
      </c>
    </row>
    <row r="2138" spans="1:9" x14ac:dyDescent="0.2">
      <c r="A2138" s="2" t="s">
        <v>3974</v>
      </c>
      <c r="B2138" s="2" t="s">
        <v>2618</v>
      </c>
      <c r="C2138" s="2">
        <v>775.80870000000004</v>
      </c>
      <c r="D2138" s="2">
        <f>HYPERLINK("http://mcb-m6.bioreg.kyushu-u.ac.jp/M3/20110404/F50768/2019/1", 55.32)</f>
        <v>55.32</v>
      </c>
      <c r="E2138" s="2">
        <v>38.840000000000003</v>
      </c>
      <c r="F2138" s="2">
        <v>2</v>
      </c>
      <c r="G2138" s="2" t="s">
        <v>10</v>
      </c>
    </row>
    <row r="2139" spans="1:9" x14ac:dyDescent="0.2">
      <c r="A2139" s="2" t="s">
        <v>3974</v>
      </c>
      <c r="B2139" s="2" t="s">
        <v>1218</v>
      </c>
      <c r="C2139" s="2">
        <v>679.17020000000002</v>
      </c>
      <c r="D2139" s="2">
        <f>HYPERLINK("http://mcb-m6.bioreg.kyushu-u.ac.jp/M3/20110404/F50768/1624/1", 66.5)</f>
        <v>66.5</v>
      </c>
      <c r="E2139" s="2">
        <v>47.02</v>
      </c>
      <c r="F2139" s="2">
        <v>2</v>
      </c>
      <c r="G2139" s="2" t="s">
        <v>10</v>
      </c>
    </row>
    <row r="2140" spans="1:9" x14ac:dyDescent="0.2">
      <c r="A2140" s="2" t="s">
        <v>3974</v>
      </c>
      <c r="B2140" s="2" t="s">
        <v>1218</v>
      </c>
      <c r="C2140" s="2">
        <v>679.94269999999995</v>
      </c>
      <c r="D2140" s="2">
        <f>HYPERLINK("http://mcb-m6.bioreg.kyushu-u.ac.jp/M3/20110421/F51034/1667/1", 53.21)</f>
        <v>53.21</v>
      </c>
      <c r="E2140" s="2">
        <v>37.840000000000003</v>
      </c>
      <c r="F2140" s="2">
        <v>2</v>
      </c>
      <c r="G2140" s="2" t="s">
        <v>11</v>
      </c>
    </row>
    <row r="2141" spans="1:9" x14ac:dyDescent="0.2">
      <c r="A2141" s="2" t="s">
        <v>3974</v>
      </c>
      <c r="B2141" s="2" t="s">
        <v>1218</v>
      </c>
      <c r="C2141" s="2">
        <v>679.76869999999997</v>
      </c>
      <c r="D2141" s="2">
        <f>HYPERLINK("http://mcb-m6.bioreg.kyushu-u.ac.jp/M3/20110421/F51035/1591/1", 68.96)</f>
        <v>68.959999999999994</v>
      </c>
      <c r="E2141" s="2">
        <v>52.05</v>
      </c>
      <c r="F2141" s="2">
        <v>2</v>
      </c>
      <c r="G2141" s="2" t="s">
        <v>11</v>
      </c>
    </row>
    <row r="2142" spans="1:9" x14ac:dyDescent="0.2">
      <c r="A2142" s="2" t="s">
        <v>3974</v>
      </c>
      <c r="B2142" s="2" t="s">
        <v>2618</v>
      </c>
      <c r="C2142" s="2">
        <v>776.37220000000002</v>
      </c>
      <c r="D2142" s="2">
        <f>HYPERLINK("http://mcb-m6.bioreg.kyushu-u.ac.jp/M3/20110421/F51043/2247/1", 51.6)</f>
        <v>51.6</v>
      </c>
      <c r="E2142" s="2">
        <v>34.83</v>
      </c>
      <c r="F2142" s="2">
        <v>2</v>
      </c>
      <c r="G2142" s="2" t="s">
        <v>12</v>
      </c>
    </row>
    <row r="2143" spans="1:9" x14ac:dyDescent="0.2">
      <c r="A2143" s="2" t="s">
        <v>3974</v>
      </c>
      <c r="B2143" s="2" t="s">
        <v>1218</v>
      </c>
      <c r="C2143" s="2">
        <v>679.87220000000002</v>
      </c>
      <c r="D2143" s="2">
        <f>HYPERLINK("http://mcb-m6.bioreg.kyushu-u.ac.jp/M3/20110421/F51043/1708/1", 69.77)</f>
        <v>69.77</v>
      </c>
      <c r="E2143" s="2">
        <v>55</v>
      </c>
      <c r="F2143" s="2">
        <v>2</v>
      </c>
      <c r="G2143" s="2" t="s">
        <v>12</v>
      </c>
    </row>
    <row r="2144" spans="1:9" x14ac:dyDescent="0.2">
      <c r="A2144" s="2" t="s">
        <v>3974</v>
      </c>
      <c r="B2144" s="2" t="s">
        <v>5402</v>
      </c>
      <c r="C2144" s="2">
        <v>740.42520000000002</v>
      </c>
      <c r="D2144" s="2">
        <f>HYPERLINK("http://mcb-m6.bioreg.kyushu-u.ac.jp/M3/20110421/F51043/2073/1", 82.22)</f>
        <v>82.22</v>
      </c>
      <c r="E2144" s="2">
        <v>63.81</v>
      </c>
      <c r="F2144" s="2">
        <v>2</v>
      </c>
      <c r="G2144" s="2" t="s">
        <v>12</v>
      </c>
    </row>
    <row r="2145" spans="1:9" x14ac:dyDescent="0.2">
      <c r="A2145" s="2" t="s">
        <v>3974</v>
      </c>
      <c r="B2145" s="2" t="s">
        <v>2944</v>
      </c>
      <c r="C2145" s="2">
        <v>466.04910000000001</v>
      </c>
      <c r="D2145" s="2">
        <f>HYPERLINK("http://mcb-m6.bioreg.kyushu-u.ac.jp/M3/20110428/F51127/649/1", 39.58)</f>
        <v>39.58</v>
      </c>
      <c r="E2145" s="2">
        <v>21.85</v>
      </c>
      <c r="F2145" s="2">
        <v>2</v>
      </c>
      <c r="G2145" s="2" t="s">
        <v>13</v>
      </c>
    </row>
    <row r="2146" spans="1:9" x14ac:dyDescent="0.2">
      <c r="A2146" s="2" t="s">
        <v>3974</v>
      </c>
      <c r="B2146" s="2" t="s">
        <v>1218</v>
      </c>
      <c r="C2146" s="2">
        <v>679.14469999999994</v>
      </c>
      <c r="D2146" s="2">
        <f>HYPERLINK("http://mcb-m6.bioreg.kyushu-u.ac.jp/M3/20110428/F51127/1521/1", 66.72)</f>
        <v>66.72</v>
      </c>
      <c r="E2146" s="2">
        <v>45.01</v>
      </c>
      <c r="F2146" s="2">
        <v>2</v>
      </c>
      <c r="G2146" s="2" t="s">
        <v>13</v>
      </c>
    </row>
    <row r="2147" spans="1:9" x14ac:dyDescent="0.2">
      <c r="A2147" s="2" t="s">
        <v>3974</v>
      </c>
      <c r="B2147" s="2" t="s">
        <v>3171</v>
      </c>
      <c r="C2147" s="2">
        <v>729.16859999999997</v>
      </c>
      <c r="D2147" s="2">
        <f>HYPERLINK("http://mcb-m6.bioreg.kyushu-u.ac.jp/M3/20110428/F51127/1815/1", 69.85)</f>
        <v>69.849999999999994</v>
      </c>
      <c r="E2147" s="2">
        <v>47.31</v>
      </c>
      <c r="F2147" s="2">
        <v>2</v>
      </c>
      <c r="G2147" s="2" t="s">
        <v>13</v>
      </c>
    </row>
    <row r="2148" spans="1:9" x14ac:dyDescent="0.2">
      <c r="A2148" s="2" t="s">
        <v>3974</v>
      </c>
      <c r="B2148" s="2" t="s">
        <v>1218</v>
      </c>
      <c r="C2148" s="2">
        <v>679.72059999999999</v>
      </c>
      <c r="D2148" s="2">
        <f>HYPERLINK("http://mcb-m6.bioreg.kyushu-u.ac.jp/M3/20110428/F51127/1527/1", 70.16)</f>
        <v>70.16</v>
      </c>
      <c r="E2148" s="2">
        <v>51.45</v>
      </c>
      <c r="F2148" s="2">
        <v>2</v>
      </c>
      <c r="G2148" s="2" t="s">
        <v>13</v>
      </c>
    </row>
    <row r="2149" spans="1:9" x14ac:dyDescent="0.2">
      <c r="A2149" s="2" t="s">
        <v>3449</v>
      </c>
      <c r="B2149" s="2" t="s">
        <v>259</v>
      </c>
      <c r="C2149" s="2">
        <v>806.41359999999997</v>
      </c>
      <c r="D2149" s="2">
        <f>HYPERLINK("http://mcb-m6.bioreg.kyushu-u.ac.jp/M3/20110404/F50763/2170/1", 43)</f>
        <v>43</v>
      </c>
      <c r="E2149" s="2">
        <v>33.6</v>
      </c>
      <c r="F2149" s="2">
        <v>2</v>
      </c>
      <c r="G2149" s="2" t="s">
        <v>9</v>
      </c>
      <c r="I2149" s="2" t="s">
        <v>4903</v>
      </c>
    </row>
    <row r="2150" spans="1:9" x14ac:dyDescent="0.2">
      <c r="A2150" s="2" t="s">
        <v>3449</v>
      </c>
      <c r="B2150" s="2" t="s">
        <v>6198</v>
      </c>
      <c r="C2150" s="2">
        <v>592.76120000000003</v>
      </c>
      <c r="D2150" s="2">
        <f>HYPERLINK("http://mcb-m6.bioreg.kyushu-u.ac.jp/M3/20110404/F50763/1372/2", 46.24)</f>
        <v>46.24</v>
      </c>
      <c r="E2150" s="2">
        <v>8.81</v>
      </c>
      <c r="F2150" s="2">
        <v>2</v>
      </c>
      <c r="G2150" s="2" t="s">
        <v>9</v>
      </c>
      <c r="I2150" s="2" t="s">
        <v>4892</v>
      </c>
    </row>
    <row r="2151" spans="1:9" x14ac:dyDescent="0.2">
      <c r="A2151" s="2" t="s">
        <v>3449</v>
      </c>
      <c r="B2151" s="2" t="s">
        <v>259</v>
      </c>
      <c r="C2151" s="2">
        <v>805.89509999999996</v>
      </c>
      <c r="D2151" s="2">
        <f>HYPERLINK("http://mcb-m6.bioreg.kyushu-u.ac.jp/M3/20110404/F50763/2164/1", 62.99)</f>
        <v>62.99</v>
      </c>
      <c r="E2151" s="2">
        <v>50.43</v>
      </c>
      <c r="F2151" s="2">
        <v>2</v>
      </c>
      <c r="G2151" s="2" t="s">
        <v>9</v>
      </c>
      <c r="I2151" s="2" t="s">
        <v>4903</v>
      </c>
    </row>
    <row r="2152" spans="1:9" x14ac:dyDescent="0.2">
      <c r="A2152" s="2" t="s">
        <v>3449</v>
      </c>
      <c r="B2152" s="2" t="s">
        <v>1393</v>
      </c>
      <c r="C2152" s="2">
        <v>827.83370000000002</v>
      </c>
      <c r="D2152" s="2">
        <f>HYPERLINK("http://mcb-m6.bioreg.kyushu-u.ac.jp/M3/20110404/F50763/2243/1", 94.45)</f>
        <v>94.45</v>
      </c>
      <c r="E2152" s="2">
        <v>84.98</v>
      </c>
      <c r="F2152" s="2">
        <v>2</v>
      </c>
      <c r="G2152" s="2" t="s">
        <v>9</v>
      </c>
    </row>
    <row r="2153" spans="1:9" x14ac:dyDescent="0.2">
      <c r="A2153" s="2" t="s">
        <v>3449</v>
      </c>
      <c r="B2153" s="2" t="s">
        <v>259</v>
      </c>
      <c r="C2153" s="2">
        <v>806.54319999999996</v>
      </c>
      <c r="D2153" s="2">
        <f>HYPERLINK("http://mcb-m6.bioreg.kyushu-u.ac.jp/M3/20110421/F51043/2384/1", 42.27)</f>
        <v>42.27</v>
      </c>
      <c r="E2153" s="2">
        <v>35.44</v>
      </c>
      <c r="F2153" s="2">
        <v>2</v>
      </c>
      <c r="G2153" s="2" t="s">
        <v>12</v>
      </c>
      <c r="I2153" s="2" t="s">
        <v>4903</v>
      </c>
    </row>
    <row r="2154" spans="1:9" x14ac:dyDescent="0.2">
      <c r="A2154" s="2" t="s">
        <v>3449</v>
      </c>
      <c r="B2154" s="2" t="s">
        <v>1393</v>
      </c>
      <c r="C2154" s="2">
        <v>827.83010000000002</v>
      </c>
      <c r="D2154" s="2">
        <f>HYPERLINK("http://mcb-m6.bioreg.kyushu-u.ac.jp/M3/20110428/F51127/2403/1", 74.36)</f>
        <v>74.36</v>
      </c>
      <c r="E2154" s="2">
        <v>60.87</v>
      </c>
      <c r="F2154" s="2">
        <v>2</v>
      </c>
      <c r="G2154" s="2" t="s">
        <v>13</v>
      </c>
    </row>
    <row r="2155" spans="1:9" x14ac:dyDescent="0.2">
      <c r="A2155" s="2" t="s">
        <v>3449</v>
      </c>
      <c r="B2155" s="2" t="s">
        <v>2651</v>
      </c>
      <c r="C2155" s="2">
        <v>870.24620000000004</v>
      </c>
      <c r="D2155" s="2">
        <f>HYPERLINK("http://mcb-m6.bioreg.kyushu-u.ac.jp/M3/20110428/F51127/2623/1", 79.06)</f>
        <v>79.06</v>
      </c>
      <c r="E2155" s="2">
        <v>61.86</v>
      </c>
      <c r="F2155" s="2">
        <v>2</v>
      </c>
      <c r="G2155" s="2" t="s">
        <v>13</v>
      </c>
    </row>
    <row r="2156" spans="1:9" x14ac:dyDescent="0.2">
      <c r="A2156" s="2" t="s">
        <v>3997</v>
      </c>
      <c r="B2156" s="2" t="s">
        <v>2018</v>
      </c>
      <c r="C2156" s="2">
        <v>882.95169999999996</v>
      </c>
      <c r="D2156" s="2">
        <f>HYPERLINK("http://mcb-m6.bioreg.kyushu-u.ac.jp/M3/20110404/F50763/2401/1", 85.25)</f>
        <v>85.25</v>
      </c>
      <c r="E2156" s="2">
        <v>65.290000000000006</v>
      </c>
      <c r="F2156" s="2">
        <v>2</v>
      </c>
      <c r="G2156" s="2" t="s">
        <v>9</v>
      </c>
    </row>
    <row r="2157" spans="1:9" x14ac:dyDescent="0.2">
      <c r="A2157" s="2" t="s">
        <v>3997</v>
      </c>
      <c r="B2157" s="2" t="s">
        <v>2018</v>
      </c>
      <c r="C2157" s="2">
        <v>882.92470000000003</v>
      </c>
      <c r="D2157" s="2">
        <f>HYPERLINK("http://mcb-m6.bioreg.kyushu-u.ac.jp/M3/20110421/F51035/2657/1", 64.94)</f>
        <v>64.94</v>
      </c>
      <c r="E2157" s="2">
        <v>45.66</v>
      </c>
      <c r="F2157" s="2">
        <v>2</v>
      </c>
      <c r="G2157" s="2" t="s">
        <v>11</v>
      </c>
    </row>
    <row r="2158" spans="1:9" x14ac:dyDescent="0.2">
      <c r="A2158" s="2" t="s">
        <v>3997</v>
      </c>
      <c r="B2158" s="2" t="s">
        <v>1509</v>
      </c>
      <c r="C2158" s="2">
        <v>547.03219999999999</v>
      </c>
      <c r="D2158" s="2">
        <f>HYPERLINK("http://mcb-m6.bioreg.kyushu-u.ac.jp/M3/20110428/F51127/960/1", 81.06)</f>
        <v>81.06</v>
      </c>
      <c r="E2158" s="2">
        <v>59.74</v>
      </c>
      <c r="F2158" s="2">
        <v>2</v>
      </c>
      <c r="G2158" s="2" t="s">
        <v>13</v>
      </c>
    </row>
    <row r="2159" spans="1:9" x14ac:dyDescent="0.2">
      <c r="A2159" s="2" t="s">
        <v>4331</v>
      </c>
      <c r="B2159" s="2" t="s">
        <v>6071</v>
      </c>
      <c r="C2159" s="2">
        <v>1076.4069999999999</v>
      </c>
      <c r="D2159" s="2">
        <f>HYPERLINK("http://mcb-m6.bioreg.kyushu-u.ac.jp/M3/20110404/F50763/1212/1", 40.97)</f>
        <v>40.97</v>
      </c>
      <c r="E2159" s="2">
        <v>9.93</v>
      </c>
      <c r="F2159" s="2">
        <v>1</v>
      </c>
      <c r="G2159" s="2" t="s">
        <v>9</v>
      </c>
    </row>
    <row r="2160" spans="1:9" x14ac:dyDescent="0.2">
      <c r="A2160" s="2" t="s">
        <v>4331</v>
      </c>
      <c r="B2160" s="2" t="s">
        <v>6149</v>
      </c>
      <c r="C2160" s="2">
        <v>539.7722</v>
      </c>
      <c r="D2160" s="2">
        <f>HYPERLINK("http://mcb-m6.bioreg.kyushu-u.ac.jp/M3/20110404/F50763/1213/1", 44.51)</f>
        <v>44.51</v>
      </c>
      <c r="E2160" s="2">
        <v>15.93</v>
      </c>
      <c r="F2160" s="2">
        <v>2</v>
      </c>
      <c r="G2160" s="2" t="s">
        <v>9</v>
      </c>
    </row>
    <row r="2161" spans="1:9" x14ac:dyDescent="0.2">
      <c r="A2161" s="2" t="s">
        <v>4331</v>
      </c>
      <c r="B2161" s="2" t="s">
        <v>6246</v>
      </c>
      <c r="C2161" s="2">
        <v>833.39869999999996</v>
      </c>
      <c r="D2161" s="2">
        <f>HYPERLINK("http://mcb-m6.bioreg.kyushu-u.ac.jp/M3/20110404/F50763/2262/1", 48.93)</f>
        <v>48.93</v>
      </c>
      <c r="E2161" s="2">
        <v>34.130000000000003</v>
      </c>
      <c r="F2161" s="2">
        <v>2</v>
      </c>
      <c r="G2161" s="2" t="s">
        <v>9</v>
      </c>
      <c r="I2161" s="2" t="s">
        <v>4890</v>
      </c>
    </row>
    <row r="2162" spans="1:9" x14ac:dyDescent="0.2">
      <c r="A2162" s="2" t="s">
        <v>4331</v>
      </c>
      <c r="B2162" s="2" t="s">
        <v>6502</v>
      </c>
      <c r="C2162" s="2">
        <v>623.62270000000001</v>
      </c>
      <c r="D2162" s="2">
        <f>HYPERLINK("http://mcb-m6.bioreg.kyushu-u.ac.jp/M3/20110404/F50763/1489/1", 71.03)</f>
        <v>71.03</v>
      </c>
      <c r="E2162" s="2">
        <v>52.24</v>
      </c>
      <c r="F2162" s="2">
        <v>2</v>
      </c>
      <c r="G2162" s="2" t="s">
        <v>9</v>
      </c>
    </row>
    <row r="2163" spans="1:9" x14ac:dyDescent="0.2">
      <c r="A2163" s="2" t="s">
        <v>4331</v>
      </c>
      <c r="B2163" s="2" t="s">
        <v>2131</v>
      </c>
      <c r="C2163" s="2">
        <v>881.44759999999997</v>
      </c>
      <c r="D2163" s="2">
        <f>HYPERLINK("http://mcb-m6.bioreg.kyushu-u.ac.jp/M3/20110404/F50763/2399/1", 81.31)</f>
        <v>81.31</v>
      </c>
      <c r="E2163" s="2">
        <v>67.88</v>
      </c>
      <c r="F2163" s="2">
        <v>2</v>
      </c>
      <c r="G2163" s="2" t="s">
        <v>9</v>
      </c>
    </row>
    <row r="2164" spans="1:9" x14ac:dyDescent="0.2">
      <c r="A2164" s="2" t="s">
        <v>4331</v>
      </c>
      <c r="B2164" s="2" t="s">
        <v>6663</v>
      </c>
      <c r="C2164" s="2">
        <v>1273.0139999999999</v>
      </c>
      <c r="D2164" s="2">
        <f>HYPERLINK("http://mcb-m6.bioreg.kyushu-u.ac.jp/M3/20110404/F50763/3236/1", 121.32)</f>
        <v>121.32</v>
      </c>
      <c r="E2164" s="2">
        <v>90.07</v>
      </c>
      <c r="F2164" s="2">
        <v>2</v>
      </c>
      <c r="G2164" s="2" t="s">
        <v>9</v>
      </c>
    </row>
    <row r="2165" spans="1:9" x14ac:dyDescent="0.2">
      <c r="A2165" s="2" t="s">
        <v>4331</v>
      </c>
      <c r="B2165" s="2" t="s">
        <v>6246</v>
      </c>
      <c r="C2165" s="2">
        <v>833.79219999999998</v>
      </c>
      <c r="D2165" s="2">
        <f>HYPERLINK("http://mcb-m6.bioreg.kyushu-u.ac.jp/M3/20110404/F50769/2228/1", 36.05)</f>
        <v>36.049999999999997</v>
      </c>
      <c r="E2165" s="2">
        <v>13.86</v>
      </c>
      <c r="F2165" s="2">
        <v>2</v>
      </c>
      <c r="G2165" s="2" t="s">
        <v>10</v>
      </c>
      <c r="I2165" s="2" t="s">
        <v>4890</v>
      </c>
    </row>
    <row r="2166" spans="1:9" x14ac:dyDescent="0.2">
      <c r="A2166" s="2" t="s">
        <v>4331</v>
      </c>
      <c r="B2166" s="2" t="s">
        <v>6502</v>
      </c>
      <c r="C2166" s="2">
        <v>624.19709999999998</v>
      </c>
      <c r="D2166" s="2">
        <f>HYPERLINK("http://mcb-m6.bioreg.kyushu-u.ac.jp/M3/20110404/F50769/1617/1", 55.56)</f>
        <v>55.56</v>
      </c>
      <c r="E2166" s="2">
        <v>30.2</v>
      </c>
      <c r="F2166" s="2">
        <v>2</v>
      </c>
      <c r="G2166" s="2" t="s">
        <v>10</v>
      </c>
    </row>
    <row r="2167" spans="1:9" x14ac:dyDescent="0.2">
      <c r="A2167" s="2" t="s">
        <v>4331</v>
      </c>
      <c r="B2167" s="2" t="s">
        <v>6502</v>
      </c>
      <c r="C2167" s="2">
        <v>623.6807</v>
      </c>
      <c r="D2167" s="2">
        <f>HYPERLINK("http://mcb-m6.bioreg.kyushu-u.ac.jp/M3/20110404/F50769/1614/1", 75.26)</f>
        <v>75.260000000000005</v>
      </c>
      <c r="E2167" s="2">
        <v>47.23</v>
      </c>
      <c r="F2167" s="2">
        <v>2</v>
      </c>
      <c r="G2167" s="2" t="s">
        <v>10</v>
      </c>
    </row>
    <row r="2168" spans="1:9" x14ac:dyDescent="0.2">
      <c r="A2168" s="2" t="s">
        <v>4331</v>
      </c>
      <c r="B2168" s="2" t="s">
        <v>2131</v>
      </c>
      <c r="C2168" s="2">
        <v>881.86109999999996</v>
      </c>
      <c r="D2168" s="2">
        <f>HYPERLINK("http://mcb-m6.bioreg.kyushu-u.ac.jp/M3/20110404/F50769/2321/1", 94.31)</f>
        <v>94.31</v>
      </c>
      <c r="E2168" s="2">
        <v>77.37</v>
      </c>
      <c r="F2168" s="2">
        <v>2</v>
      </c>
      <c r="G2168" s="2" t="s">
        <v>10</v>
      </c>
    </row>
    <row r="2169" spans="1:9" x14ac:dyDescent="0.2">
      <c r="A2169" s="2" t="s">
        <v>4331</v>
      </c>
      <c r="B2169" s="2" t="s">
        <v>2131</v>
      </c>
      <c r="C2169" s="2">
        <v>881.3347</v>
      </c>
      <c r="D2169" s="2">
        <f>HYPERLINK("http://mcb-m6.bioreg.kyushu-u.ac.jp/M3/20110404/F50769/2319/1", 104.42)</f>
        <v>104.42</v>
      </c>
      <c r="E2169" s="2">
        <v>90.32</v>
      </c>
      <c r="F2169" s="2">
        <v>2</v>
      </c>
      <c r="G2169" s="2" t="s">
        <v>10</v>
      </c>
    </row>
    <row r="2170" spans="1:9" x14ac:dyDescent="0.2">
      <c r="A2170" s="2" t="s">
        <v>4331</v>
      </c>
      <c r="B2170" s="2" t="s">
        <v>2131</v>
      </c>
      <c r="C2170" s="2">
        <v>881.41219999999998</v>
      </c>
      <c r="D2170" s="2">
        <f>HYPERLINK("http://mcb-m6.bioreg.kyushu-u.ac.jp/M3/20110421/F51035/2650/1", 100.91)</f>
        <v>100.91</v>
      </c>
      <c r="E2170" s="2">
        <v>88.75</v>
      </c>
      <c r="F2170" s="2">
        <v>2</v>
      </c>
      <c r="G2170" s="2" t="s">
        <v>11</v>
      </c>
    </row>
    <row r="2171" spans="1:9" x14ac:dyDescent="0.2">
      <c r="A2171" s="2" t="s">
        <v>4331</v>
      </c>
      <c r="B2171" s="2" t="s">
        <v>2131</v>
      </c>
      <c r="C2171" s="2">
        <v>881.95420000000001</v>
      </c>
      <c r="D2171" s="2">
        <f>HYPERLINK("http://mcb-m6.bioreg.kyushu-u.ac.jp/M3/20110421/F51043/2673/1", 72.7)</f>
        <v>72.7</v>
      </c>
      <c r="E2171" s="2">
        <v>58.32</v>
      </c>
      <c r="F2171" s="2">
        <v>2</v>
      </c>
      <c r="G2171" s="2" t="s">
        <v>12</v>
      </c>
    </row>
    <row r="2172" spans="1:9" x14ac:dyDescent="0.2">
      <c r="A2172" s="2" t="s">
        <v>4331</v>
      </c>
      <c r="B2172" s="2" t="s">
        <v>2131</v>
      </c>
      <c r="C2172" s="2">
        <v>881.74659999999994</v>
      </c>
      <c r="D2172" s="2">
        <f>HYPERLINK("http://mcb-m6.bioreg.kyushu-u.ac.jp/M3/20110421/F51045/2715/1", 95.65)</f>
        <v>95.65</v>
      </c>
      <c r="E2172" s="2">
        <v>81.42</v>
      </c>
      <c r="F2172" s="2">
        <v>2</v>
      </c>
      <c r="G2172" s="2" t="s">
        <v>12</v>
      </c>
    </row>
    <row r="2173" spans="1:9" x14ac:dyDescent="0.2">
      <c r="A2173" s="2" t="s">
        <v>4331</v>
      </c>
      <c r="B2173" s="2" t="s">
        <v>6502</v>
      </c>
      <c r="C2173" s="2">
        <v>623.64620000000002</v>
      </c>
      <c r="D2173" s="2">
        <f>HYPERLINK("http://mcb-m6.bioreg.kyushu-u.ac.jp/M3/20110428/F51127/1292/1", 40.57)</f>
        <v>40.57</v>
      </c>
      <c r="E2173" s="2">
        <v>21.25</v>
      </c>
      <c r="F2173" s="2">
        <v>2</v>
      </c>
      <c r="G2173" s="2" t="s">
        <v>13</v>
      </c>
    </row>
    <row r="2174" spans="1:9" x14ac:dyDescent="0.2">
      <c r="A2174" s="2" t="s">
        <v>4331</v>
      </c>
      <c r="B2174" s="2" t="s">
        <v>2131</v>
      </c>
      <c r="C2174" s="2">
        <v>881.69759999999997</v>
      </c>
      <c r="D2174" s="2">
        <f>HYPERLINK("http://mcb-m6.bioreg.kyushu-u.ac.jp/M3/20110428/F51127/2692/1", 84.02)</f>
        <v>84.02</v>
      </c>
      <c r="E2174" s="2">
        <v>70.78</v>
      </c>
      <c r="F2174" s="2">
        <v>2</v>
      </c>
      <c r="G2174" s="2" t="s">
        <v>13</v>
      </c>
    </row>
    <row r="2175" spans="1:9" x14ac:dyDescent="0.2">
      <c r="A2175" s="2" t="s">
        <v>7677</v>
      </c>
      <c r="B2175" s="2" t="s">
        <v>6303</v>
      </c>
      <c r="C2175" s="2">
        <v>496.29910000000001</v>
      </c>
      <c r="D2175" s="2">
        <f>HYPERLINK("http://mcb-m6.bioreg.kyushu-u.ac.jp/M3/20110404/F50763/1068/1", 51.78)</f>
        <v>51.78</v>
      </c>
      <c r="E2175" s="2">
        <v>19.37</v>
      </c>
      <c r="F2175" s="2">
        <v>2</v>
      </c>
      <c r="G2175" s="2" t="s">
        <v>9</v>
      </c>
    </row>
    <row r="2176" spans="1:9" x14ac:dyDescent="0.2">
      <c r="A2176" s="2" t="s">
        <v>7723</v>
      </c>
      <c r="B2176" s="2" t="s">
        <v>6443</v>
      </c>
      <c r="C2176" s="2">
        <v>749.86270000000002</v>
      </c>
      <c r="D2176" s="2">
        <f>HYPERLINK("http://mcb-m6.bioreg.kyushu-u.ac.jp/M3/20110404/F50763/1986/1", 65.16)</f>
        <v>65.16</v>
      </c>
      <c r="E2176" s="2">
        <v>50.44</v>
      </c>
      <c r="F2176" s="2">
        <v>2</v>
      </c>
      <c r="G2176" s="2" t="s">
        <v>9</v>
      </c>
    </row>
    <row r="2177" spans="1:9" x14ac:dyDescent="0.2">
      <c r="A2177" s="2" t="s">
        <v>3435</v>
      </c>
      <c r="B2177" s="2" t="s">
        <v>6172</v>
      </c>
      <c r="C2177" s="2">
        <v>627.79060000000004</v>
      </c>
      <c r="D2177" s="2">
        <f>HYPERLINK("http://mcb-m6.bioreg.kyushu-u.ac.jp/M3/20110404/F50763/1503/1", 45.42)</f>
        <v>45.42</v>
      </c>
      <c r="E2177" s="2">
        <v>27.55</v>
      </c>
      <c r="F2177" s="2">
        <v>2</v>
      </c>
      <c r="G2177" s="2" t="s">
        <v>9</v>
      </c>
    </row>
    <row r="2178" spans="1:9" x14ac:dyDescent="0.2">
      <c r="A2178" s="2" t="s">
        <v>3435</v>
      </c>
      <c r="B2178" s="2" t="s">
        <v>2728</v>
      </c>
      <c r="C2178" s="2">
        <v>714.80110000000002</v>
      </c>
      <c r="D2178" s="2">
        <f>HYPERLINK("http://mcb-m6.bioreg.kyushu-u.ac.jp/M3/20110404/F50763/1841/1", 64.77)</f>
        <v>64.77</v>
      </c>
      <c r="E2178" s="2">
        <v>47.6</v>
      </c>
      <c r="F2178" s="2">
        <v>2</v>
      </c>
      <c r="G2178" s="2" t="s">
        <v>9</v>
      </c>
      <c r="I2178" s="2" t="s">
        <v>4926</v>
      </c>
    </row>
    <row r="2179" spans="1:9" x14ac:dyDescent="0.2">
      <c r="A2179" s="2" t="s">
        <v>3435</v>
      </c>
      <c r="B2179" s="2" t="s">
        <v>6539</v>
      </c>
      <c r="C2179" s="2">
        <v>593.53719999999998</v>
      </c>
      <c r="D2179" s="2">
        <f>HYPERLINK("http://mcb-m6.bioreg.kyushu-u.ac.jp/M3/20110404/F50763/1373/1", 76.67)</f>
        <v>76.67</v>
      </c>
      <c r="E2179" s="2">
        <v>42.5</v>
      </c>
      <c r="F2179" s="2">
        <v>2</v>
      </c>
      <c r="G2179" s="2" t="s">
        <v>9</v>
      </c>
    </row>
    <row r="2180" spans="1:9" x14ac:dyDescent="0.2">
      <c r="A2180" s="2" t="s">
        <v>3435</v>
      </c>
      <c r="B2180" s="2" t="s">
        <v>3208</v>
      </c>
      <c r="C2180" s="2">
        <v>667.62459999999999</v>
      </c>
      <c r="D2180" s="2">
        <f>HYPERLINK("http://mcb-m6.bioreg.kyushu-u.ac.jp/M3/20110404/F50763/1616/1", 80.16)</f>
        <v>80.16</v>
      </c>
      <c r="E2180" s="2">
        <v>51.18</v>
      </c>
      <c r="F2180" s="2">
        <v>2</v>
      </c>
      <c r="G2180" s="2" t="s">
        <v>9</v>
      </c>
      <c r="I2180" s="2" t="s">
        <v>4903</v>
      </c>
    </row>
    <row r="2181" spans="1:9" x14ac:dyDescent="0.2">
      <c r="A2181" s="2" t="s">
        <v>3435</v>
      </c>
      <c r="B2181" s="2" t="s">
        <v>6629</v>
      </c>
      <c r="C2181" s="2">
        <v>784.36410000000001</v>
      </c>
      <c r="D2181" s="2">
        <f>HYPERLINK("http://mcb-m6.bioreg.kyushu-u.ac.jp/M3/20110404/F50763/2098/1", 98.71)</f>
        <v>98.71</v>
      </c>
      <c r="E2181" s="2">
        <v>82.23</v>
      </c>
      <c r="F2181" s="2">
        <v>2</v>
      </c>
      <c r="G2181" s="2" t="s">
        <v>9</v>
      </c>
    </row>
    <row r="2182" spans="1:9" x14ac:dyDescent="0.2">
      <c r="A2182" s="2" t="s">
        <v>3435</v>
      </c>
      <c r="B2182" s="2" t="s">
        <v>243</v>
      </c>
      <c r="C2182" s="2">
        <v>774.42859999999996</v>
      </c>
      <c r="D2182" s="2">
        <f>HYPERLINK("http://mcb-m6.bioreg.kyushu-u.ac.jp/M3/20110404/F50763/2061/1", 109.11)</f>
        <v>109.11</v>
      </c>
      <c r="E2182" s="2">
        <v>85.09</v>
      </c>
      <c r="F2182" s="2">
        <v>2</v>
      </c>
      <c r="G2182" s="2" t="s">
        <v>9</v>
      </c>
      <c r="I2182" s="2" t="s">
        <v>4903</v>
      </c>
    </row>
    <row r="2183" spans="1:9" x14ac:dyDescent="0.2">
      <c r="A2183" s="2" t="s">
        <v>3435</v>
      </c>
      <c r="B2183" s="2" t="s">
        <v>6172</v>
      </c>
      <c r="C2183" s="2">
        <v>628.24659999999994</v>
      </c>
      <c r="D2183" s="2">
        <f>HYPERLINK("http://mcb-m6.bioreg.kyushu-u.ac.jp/M3/20110404/F50769/1632/1", 35.49)</f>
        <v>35.49</v>
      </c>
      <c r="E2183" s="2">
        <v>27.33</v>
      </c>
      <c r="F2183" s="2">
        <v>2</v>
      </c>
      <c r="G2183" s="2" t="s">
        <v>10</v>
      </c>
    </row>
    <row r="2184" spans="1:9" x14ac:dyDescent="0.2">
      <c r="A2184" s="2" t="s">
        <v>3435</v>
      </c>
      <c r="B2184" s="2" t="s">
        <v>6629</v>
      </c>
      <c r="C2184" s="2">
        <v>792.97609999999997</v>
      </c>
      <c r="D2184" s="2">
        <f>HYPERLINK("http://mcb-m6.bioreg.kyushu-u.ac.jp/M3/20110404/F50769/2130/1", 43.82)</f>
        <v>43.82</v>
      </c>
      <c r="E2184" s="2">
        <v>34.130000000000003</v>
      </c>
      <c r="F2184" s="2">
        <v>2</v>
      </c>
      <c r="G2184" s="2" t="s">
        <v>10</v>
      </c>
      <c r="H2184" s="2" t="s">
        <v>4920</v>
      </c>
    </row>
    <row r="2185" spans="1:9" x14ac:dyDescent="0.2">
      <c r="A2185" s="2" t="s">
        <v>3435</v>
      </c>
      <c r="B2185" s="2" t="s">
        <v>6539</v>
      </c>
      <c r="C2185" s="2">
        <v>593.64570000000003</v>
      </c>
      <c r="D2185" s="2">
        <f>HYPERLINK("http://mcb-m6.bioreg.kyushu-u.ac.jp/M3/20110428/F51127/1169/1", 75.07)</f>
        <v>75.069999999999993</v>
      </c>
      <c r="E2185" s="2">
        <v>47.46</v>
      </c>
      <c r="F2185" s="2">
        <v>2</v>
      </c>
      <c r="G2185" s="2" t="s">
        <v>13</v>
      </c>
    </row>
    <row r="2186" spans="1:9" x14ac:dyDescent="0.2">
      <c r="A2186" s="2" t="s">
        <v>3342</v>
      </c>
      <c r="B2186" s="2" t="s">
        <v>2652</v>
      </c>
      <c r="C2186" s="2">
        <v>814.98519999999996</v>
      </c>
      <c r="D2186" s="2">
        <f>HYPERLINK("http://mcb-m6.bioreg.kyushu-u.ac.jp/M3/20110421/F51039/2474/1", 66.88)</f>
        <v>66.88</v>
      </c>
      <c r="E2186" s="2">
        <v>53.68</v>
      </c>
      <c r="F2186" s="2">
        <v>2</v>
      </c>
      <c r="G2186" s="2" t="s">
        <v>11</v>
      </c>
    </row>
    <row r="2187" spans="1:9" x14ac:dyDescent="0.2">
      <c r="A2187" s="2" t="s">
        <v>3933</v>
      </c>
      <c r="B2187" s="2" t="s">
        <v>1123</v>
      </c>
      <c r="C2187" s="2">
        <v>879.25819999999999</v>
      </c>
      <c r="D2187" s="2">
        <f>HYPERLINK("http://mcb-m6.bioreg.kyushu-u.ac.jp/M3/20110404/F50756/2582/1", 93.89)</f>
        <v>93.89</v>
      </c>
      <c r="E2187" s="2">
        <v>77.819999999999993</v>
      </c>
      <c r="F2187" s="2">
        <v>2</v>
      </c>
      <c r="G2187" s="2" t="s">
        <v>9</v>
      </c>
    </row>
    <row r="2188" spans="1:9" x14ac:dyDescent="0.2">
      <c r="A2188" s="2" t="s">
        <v>3933</v>
      </c>
      <c r="B2188" s="2" t="s">
        <v>7416</v>
      </c>
      <c r="C2188" s="2">
        <v>454.68360000000001</v>
      </c>
      <c r="D2188" s="2">
        <f>HYPERLINK("http://mcb-m6.bioreg.kyushu-u.ac.jp/M3/20110427/F51114/733/1", 66.5)</f>
        <v>66.5</v>
      </c>
      <c r="E2188" s="2">
        <v>44.18</v>
      </c>
      <c r="F2188" s="2">
        <v>2</v>
      </c>
      <c r="G2188" s="2" t="s">
        <v>13</v>
      </c>
    </row>
    <row r="2189" spans="1:9" x14ac:dyDescent="0.2">
      <c r="A2189" s="2" t="s">
        <v>3933</v>
      </c>
      <c r="B2189" s="2" t="s">
        <v>1123</v>
      </c>
      <c r="C2189" s="2">
        <v>879.17219999999998</v>
      </c>
      <c r="D2189" s="2">
        <f>HYPERLINK("http://mcb-m6.bioreg.kyushu-u.ac.jp/M3/20110427/F51114/2746/1", 77.59)</f>
        <v>77.59</v>
      </c>
      <c r="E2189" s="2">
        <v>53.69</v>
      </c>
      <c r="F2189" s="2">
        <v>2</v>
      </c>
      <c r="G2189" s="2" t="s">
        <v>13</v>
      </c>
    </row>
    <row r="2190" spans="1:9" x14ac:dyDescent="0.2">
      <c r="A2190" s="2" t="s">
        <v>3933</v>
      </c>
      <c r="B2190" s="2" t="s">
        <v>1123</v>
      </c>
      <c r="C2190" s="2">
        <v>878.65219999999999</v>
      </c>
      <c r="D2190" s="2">
        <f>HYPERLINK("http://mcb-m6.bioreg.kyushu-u.ac.jp/M3/20110427/F51114/2739/1", 80.07)</f>
        <v>80.069999999999993</v>
      </c>
      <c r="E2190" s="2">
        <v>53.75</v>
      </c>
      <c r="F2190" s="2">
        <v>2</v>
      </c>
      <c r="G2190" s="2" t="s">
        <v>13</v>
      </c>
    </row>
    <row r="2191" spans="1:9" x14ac:dyDescent="0.2">
      <c r="A2191" s="2" t="s">
        <v>4433</v>
      </c>
      <c r="B2191" s="2" t="s">
        <v>2313</v>
      </c>
      <c r="C2191" s="2">
        <v>697.75019999999995</v>
      </c>
      <c r="D2191" s="2">
        <f>HYPERLINK("http://mcb-m6.bioreg.kyushu-u.ac.jp/M3/20110421/F51018/1891/1", 54.1)</f>
        <v>54.1</v>
      </c>
      <c r="E2191" s="2">
        <v>29.44</v>
      </c>
      <c r="F2191" s="2">
        <v>2</v>
      </c>
      <c r="G2191" s="2" t="s">
        <v>11</v>
      </c>
    </row>
    <row r="2192" spans="1:9" x14ac:dyDescent="0.2">
      <c r="A2192" s="2" t="s">
        <v>4433</v>
      </c>
      <c r="B2192" s="2" t="s">
        <v>7124</v>
      </c>
      <c r="C2192" s="2">
        <v>740.70870000000002</v>
      </c>
      <c r="D2192" s="2">
        <f>HYPERLINK("http://mcb-m6.bioreg.kyushu-u.ac.jp/M3/20110421/F51018/2118/1", 55.33)</f>
        <v>55.33</v>
      </c>
      <c r="E2192" s="2">
        <v>36.42</v>
      </c>
      <c r="F2192" s="2">
        <v>2</v>
      </c>
      <c r="G2192" s="2" t="s">
        <v>11</v>
      </c>
      <c r="I2192" s="2" t="s">
        <v>4914</v>
      </c>
    </row>
    <row r="2193" spans="1:8" x14ac:dyDescent="0.2">
      <c r="A2193" s="2" t="s">
        <v>4433</v>
      </c>
      <c r="B2193" s="2" t="s">
        <v>2313</v>
      </c>
      <c r="C2193" s="2">
        <v>697.23109999999997</v>
      </c>
      <c r="D2193" s="2">
        <f>HYPERLINK("http://mcb-m6.bioreg.kyushu-u.ac.jp/M3/20110421/F51018/1890/1", 59.91)</f>
        <v>59.91</v>
      </c>
      <c r="E2193" s="2">
        <v>33.47</v>
      </c>
      <c r="F2193" s="2">
        <v>2</v>
      </c>
      <c r="G2193" s="2" t="s">
        <v>11</v>
      </c>
    </row>
    <row r="2194" spans="1:8" x14ac:dyDescent="0.2">
      <c r="A2194" s="2" t="s">
        <v>4433</v>
      </c>
      <c r="B2194" s="2" t="s">
        <v>2313</v>
      </c>
      <c r="C2194" s="2">
        <v>697.64120000000003</v>
      </c>
      <c r="D2194" s="2">
        <f>HYPERLINK("http://mcb-m6.bioreg.kyushu-u.ac.jp/M3/20110427/F51113/1799/1", 38.7)</f>
        <v>38.700000000000003</v>
      </c>
      <c r="E2194" s="2">
        <v>14.46</v>
      </c>
      <c r="F2194" s="2">
        <v>2</v>
      </c>
      <c r="G2194" s="2" t="s">
        <v>13</v>
      </c>
    </row>
    <row r="2195" spans="1:8" x14ac:dyDescent="0.2">
      <c r="A2195" s="2" t="s">
        <v>3584</v>
      </c>
      <c r="B2195" s="2" t="s">
        <v>464</v>
      </c>
      <c r="C2195" s="2">
        <v>877.37400000000002</v>
      </c>
      <c r="D2195" s="2">
        <f>HYPERLINK("http://mcb-m6.bioreg.kyushu-u.ac.jp/M3/20110404/F50763/858/1", 42.84)</f>
        <v>42.84</v>
      </c>
      <c r="E2195" s="2">
        <v>16.420000000000002</v>
      </c>
      <c r="F2195" s="2">
        <v>1</v>
      </c>
      <c r="G2195" s="2" t="s">
        <v>9</v>
      </c>
    </row>
    <row r="2196" spans="1:8" x14ac:dyDescent="0.2">
      <c r="A2196" s="2" t="s">
        <v>3584</v>
      </c>
      <c r="B2196" s="2" t="s">
        <v>464</v>
      </c>
      <c r="C2196" s="2">
        <v>876.46900000000005</v>
      </c>
      <c r="D2196" s="2">
        <f>HYPERLINK("http://mcb-m6.bioreg.kyushu-u.ac.jp/M3/20110404/F50776/848/1", 47.59)</f>
        <v>47.59</v>
      </c>
      <c r="E2196" s="2">
        <v>21.15</v>
      </c>
      <c r="F2196" s="2">
        <v>1</v>
      </c>
      <c r="G2196" s="2" t="s">
        <v>9</v>
      </c>
    </row>
    <row r="2197" spans="1:8" x14ac:dyDescent="0.2">
      <c r="A2197" s="2" t="s">
        <v>3584</v>
      </c>
      <c r="B2197" s="2" t="s">
        <v>464</v>
      </c>
      <c r="C2197" s="2">
        <v>876.45</v>
      </c>
      <c r="D2197" s="2">
        <f>HYPERLINK("http://mcb-m6.bioreg.kyushu-u.ac.jp/M3/20110404/F50781/864/1", 41.77)</f>
        <v>41.77</v>
      </c>
      <c r="E2197" s="2">
        <v>16.48</v>
      </c>
      <c r="F2197" s="2">
        <v>1</v>
      </c>
      <c r="G2197" s="2" t="s">
        <v>10</v>
      </c>
    </row>
    <row r="2198" spans="1:8" x14ac:dyDescent="0.2">
      <c r="A2198" s="2" t="s">
        <v>3584</v>
      </c>
      <c r="B2198" s="2" t="s">
        <v>464</v>
      </c>
      <c r="C2198" s="2">
        <v>877.33100000000002</v>
      </c>
      <c r="D2198" s="2">
        <f>HYPERLINK("http://mcb-m6.bioreg.kyushu-u.ac.jp/M3/20110404/F50769/1067/1", 48.04)</f>
        <v>48.04</v>
      </c>
      <c r="E2198" s="2">
        <v>20.81</v>
      </c>
      <c r="F2198" s="2">
        <v>1</v>
      </c>
      <c r="G2198" s="2" t="s">
        <v>10</v>
      </c>
    </row>
    <row r="2199" spans="1:8" x14ac:dyDescent="0.2">
      <c r="A2199" s="2" t="s">
        <v>3402</v>
      </c>
      <c r="B2199" s="2" t="s">
        <v>199</v>
      </c>
      <c r="C2199" s="2">
        <v>907.899</v>
      </c>
      <c r="D2199" s="2">
        <f>HYPERLINK("http://mcb-m6.bioreg.kyushu-u.ac.jp/M3/20110421/F51023/1050/1", 37.26)</f>
        <v>37.26</v>
      </c>
      <c r="E2199" s="2">
        <v>22.11</v>
      </c>
      <c r="F2199" s="2">
        <v>1</v>
      </c>
      <c r="G2199" s="2" t="s">
        <v>12</v>
      </c>
    </row>
    <row r="2200" spans="1:8" x14ac:dyDescent="0.2">
      <c r="A2200" s="2" t="s">
        <v>3402</v>
      </c>
      <c r="B2200" s="2" t="s">
        <v>199</v>
      </c>
      <c r="C2200" s="2">
        <v>454.75060000000002</v>
      </c>
      <c r="D2200" s="2">
        <f>HYPERLINK("http://mcb-m6.bioreg.kyushu-u.ac.jp/M3/20110427/F51111/868/1", 39.49)</f>
        <v>39.49</v>
      </c>
      <c r="E2200" s="2">
        <v>20.67</v>
      </c>
      <c r="F2200" s="2">
        <v>2</v>
      </c>
      <c r="G2200" s="2" t="s">
        <v>13</v>
      </c>
    </row>
    <row r="2201" spans="1:8" x14ac:dyDescent="0.2">
      <c r="A2201" s="2" t="s">
        <v>3402</v>
      </c>
      <c r="B2201" s="2" t="s">
        <v>199</v>
      </c>
      <c r="C2201" s="2">
        <v>907.28700000000003</v>
      </c>
      <c r="D2201" s="2">
        <f>HYPERLINK("http://mcb-m6.bioreg.kyushu-u.ac.jp/M3/20110427/F51120/1124/1", 40.98)</f>
        <v>40.98</v>
      </c>
      <c r="E2201" s="2">
        <v>28.9</v>
      </c>
      <c r="F2201" s="2">
        <v>1</v>
      </c>
      <c r="G2201" s="2" t="s">
        <v>14</v>
      </c>
    </row>
    <row r="2202" spans="1:8" x14ac:dyDescent="0.2">
      <c r="A2202" s="2" t="s">
        <v>3945</v>
      </c>
      <c r="B2202" s="2" t="s">
        <v>1146</v>
      </c>
      <c r="C2202" s="2">
        <v>1189.5160000000001</v>
      </c>
      <c r="D2202" s="2">
        <f>HYPERLINK("http://mcb-m6.bioreg.kyushu-u.ac.jp/M3/20110404/F50753/1484/1", 49.14)</f>
        <v>49.14</v>
      </c>
      <c r="E2202" s="2">
        <v>33.54</v>
      </c>
      <c r="F2202" s="2">
        <v>1</v>
      </c>
      <c r="G2202" s="2" t="s">
        <v>9</v>
      </c>
    </row>
    <row r="2203" spans="1:8" x14ac:dyDescent="0.2">
      <c r="A2203" s="2" t="s">
        <v>3945</v>
      </c>
      <c r="B2203" s="2" t="s">
        <v>1146</v>
      </c>
      <c r="C2203" s="2">
        <v>603.51319999999998</v>
      </c>
      <c r="D2203" s="2">
        <f>HYPERLINK("http://mcb-m6.bioreg.kyushu-u.ac.jp/M3/20110404/F50753/1520/1", 57.15)</f>
        <v>57.15</v>
      </c>
      <c r="E2203" s="2">
        <v>14.14</v>
      </c>
      <c r="F2203" s="2">
        <v>2</v>
      </c>
      <c r="G2203" s="2" t="s">
        <v>9</v>
      </c>
      <c r="H2203" s="2" t="s">
        <v>4910</v>
      </c>
    </row>
    <row r="2204" spans="1:8" x14ac:dyDescent="0.2">
      <c r="A2204" s="2" t="s">
        <v>3945</v>
      </c>
      <c r="B2204" s="2" t="s">
        <v>1146</v>
      </c>
      <c r="C2204" s="2">
        <v>1189.424</v>
      </c>
      <c r="D2204" s="2">
        <f>HYPERLINK("http://mcb-m6.bioreg.kyushu-u.ac.jp/M3/20110404/F50758/1447/1", 40.39)</f>
        <v>40.39</v>
      </c>
      <c r="E2204" s="2">
        <v>17.78</v>
      </c>
      <c r="F2204" s="2">
        <v>1</v>
      </c>
      <c r="G2204" s="2" t="s">
        <v>10</v>
      </c>
    </row>
    <row r="2205" spans="1:8" x14ac:dyDescent="0.2">
      <c r="A2205" s="2" t="s">
        <v>3945</v>
      </c>
      <c r="B2205" s="2" t="s">
        <v>1146</v>
      </c>
      <c r="C2205" s="2">
        <v>603.11159999999995</v>
      </c>
      <c r="D2205" s="2">
        <f>HYPERLINK("http://mcb-m6.bioreg.kyushu-u.ac.jp/M3/20110404/F50758/1474/1", 53.27)</f>
        <v>53.27</v>
      </c>
      <c r="E2205" s="2">
        <v>13.49</v>
      </c>
      <c r="F2205" s="2">
        <v>2</v>
      </c>
      <c r="G2205" s="2" t="s">
        <v>10</v>
      </c>
      <c r="H2205" s="2" t="s">
        <v>4910</v>
      </c>
    </row>
    <row r="2206" spans="1:8" x14ac:dyDescent="0.2">
      <c r="A2206" s="2" t="s">
        <v>4073</v>
      </c>
      <c r="B2206" s="2" t="s">
        <v>1464</v>
      </c>
      <c r="C2206" s="2">
        <v>775.11109999999996</v>
      </c>
      <c r="D2206" s="2">
        <f>HYPERLINK("http://mcb-m6.bioreg.kyushu-u.ac.jp/M3/20110404/F50753/2139/1", 94.99)</f>
        <v>94.99</v>
      </c>
      <c r="E2206" s="2">
        <v>59.2</v>
      </c>
      <c r="F2206" s="2">
        <v>2</v>
      </c>
      <c r="G2206" s="2" t="s">
        <v>9</v>
      </c>
    </row>
    <row r="2207" spans="1:8" x14ac:dyDescent="0.2">
      <c r="A2207" s="2" t="s">
        <v>4073</v>
      </c>
      <c r="B2207" s="2" t="s">
        <v>1464</v>
      </c>
      <c r="C2207" s="2">
        <v>774.64970000000005</v>
      </c>
      <c r="D2207" s="2">
        <f>HYPERLINK("http://mcb-m6.bioreg.kyushu-u.ac.jp/M3/20110404/F50758/2020/1", 100.71)</f>
        <v>100.71</v>
      </c>
      <c r="E2207" s="2">
        <v>74.53</v>
      </c>
      <c r="F2207" s="2">
        <v>2</v>
      </c>
      <c r="G2207" s="2" t="s">
        <v>10</v>
      </c>
    </row>
    <row r="2208" spans="1:8" x14ac:dyDescent="0.2">
      <c r="A2208" s="2" t="s">
        <v>4073</v>
      </c>
      <c r="B2208" s="2" t="s">
        <v>1464</v>
      </c>
      <c r="C2208" s="2">
        <v>774.65719999999999</v>
      </c>
      <c r="D2208" s="2">
        <f>HYPERLINK("http://mcb-m6.bioreg.kyushu-u.ac.jp/M3/20110421/F51017/2209/1", 107.89)</f>
        <v>107.89</v>
      </c>
      <c r="E2208" s="2">
        <v>83.44</v>
      </c>
      <c r="F2208" s="2">
        <v>2</v>
      </c>
      <c r="G2208" s="2" t="s">
        <v>11</v>
      </c>
    </row>
    <row r="2209" spans="1:9" x14ac:dyDescent="0.2">
      <c r="A2209" s="2" t="s">
        <v>4073</v>
      </c>
      <c r="B2209" s="2" t="s">
        <v>1464</v>
      </c>
      <c r="C2209" s="2">
        <v>774.75070000000005</v>
      </c>
      <c r="D2209" s="2">
        <f>HYPERLINK("http://mcb-m6.bioreg.kyushu-u.ac.jp/M3/20110421/F51023/2241/1", 106.38)</f>
        <v>106.38</v>
      </c>
      <c r="E2209" s="2">
        <v>83.14</v>
      </c>
      <c r="F2209" s="2">
        <v>2</v>
      </c>
      <c r="G2209" s="2" t="s">
        <v>12</v>
      </c>
    </row>
    <row r="2210" spans="1:9" x14ac:dyDescent="0.2">
      <c r="A2210" s="2" t="s">
        <v>4073</v>
      </c>
      <c r="B2210" s="2" t="s">
        <v>1464</v>
      </c>
      <c r="C2210" s="2">
        <v>774.65520000000004</v>
      </c>
      <c r="D2210" s="2">
        <f>HYPERLINK("http://mcb-m6.bioreg.kyushu-u.ac.jp/M3/20110427/F51111/2287/1", 115.4)</f>
        <v>115.4</v>
      </c>
      <c r="E2210" s="2">
        <v>91.32</v>
      </c>
      <c r="F2210" s="2">
        <v>2</v>
      </c>
      <c r="G2210" s="2" t="s">
        <v>13</v>
      </c>
    </row>
    <row r="2211" spans="1:9" x14ac:dyDescent="0.2">
      <c r="A2211" s="2" t="s">
        <v>4073</v>
      </c>
      <c r="B2211" s="2" t="s">
        <v>1464</v>
      </c>
      <c r="C2211" s="2">
        <v>774.72670000000005</v>
      </c>
      <c r="D2211" s="2">
        <f>HYPERLINK("http://mcb-m6.bioreg.kyushu-u.ac.jp/M3/20110427/F51120/2197/1", 107.06)</f>
        <v>107.06</v>
      </c>
      <c r="E2211" s="2">
        <v>83.11</v>
      </c>
      <c r="F2211" s="2">
        <v>2</v>
      </c>
      <c r="G2211" s="2" t="s">
        <v>14</v>
      </c>
    </row>
    <row r="2212" spans="1:9" x14ac:dyDescent="0.2">
      <c r="A2212" s="2" t="s">
        <v>3357</v>
      </c>
      <c r="B2212" s="2" t="s">
        <v>149</v>
      </c>
      <c r="C2212" s="2">
        <v>889.15</v>
      </c>
      <c r="D2212" s="2">
        <f>HYPERLINK("http://mcb-m6.bioreg.kyushu-u.ac.jp/M3/20110404/F50753/1017/1", 40.16)</f>
        <v>40.159999999999997</v>
      </c>
      <c r="E2212" s="2">
        <v>10.24</v>
      </c>
      <c r="F2212" s="2">
        <v>1</v>
      </c>
      <c r="G2212" s="2" t="s">
        <v>9</v>
      </c>
    </row>
    <row r="2213" spans="1:9" x14ac:dyDescent="0.2">
      <c r="A2213" s="2" t="s">
        <v>3357</v>
      </c>
      <c r="B2213" s="2" t="s">
        <v>149</v>
      </c>
      <c r="C2213" s="2">
        <v>889.274</v>
      </c>
      <c r="D2213" s="2">
        <f>HYPERLINK("http://mcb-m6.bioreg.kyushu-u.ac.jp/M3/20110404/F50758/1058/1", 35.68)</f>
        <v>35.68</v>
      </c>
      <c r="E2213" s="2">
        <v>10.93</v>
      </c>
      <c r="F2213" s="2">
        <v>1</v>
      </c>
      <c r="G2213" s="2" t="s">
        <v>10</v>
      </c>
    </row>
    <row r="2214" spans="1:9" x14ac:dyDescent="0.2">
      <c r="A2214" s="2" t="s">
        <v>3348</v>
      </c>
      <c r="B2214" s="2" t="s">
        <v>137</v>
      </c>
      <c r="C2214" s="2">
        <v>1330.3340000000001</v>
      </c>
      <c r="D2214" s="2">
        <f>HYPERLINK("http://mcb-m6.bioreg.kyushu-u.ac.jp/M3/20110404/F50753/1708/1", 45.92)</f>
        <v>45.92</v>
      </c>
      <c r="E2214" s="2">
        <v>15.35</v>
      </c>
      <c r="F2214" s="2">
        <v>1</v>
      </c>
      <c r="G2214" s="2" t="s">
        <v>9</v>
      </c>
    </row>
    <row r="2215" spans="1:9" x14ac:dyDescent="0.2">
      <c r="A2215" s="2" t="s">
        <v>3348</v>
      </c>
      <c r="B2215" s="2" t="s">
        <v>1248</v>
      </c>
      <c r="C2215" s="2">
        <v>710.35670000000005</v>
      </c>
      <c r="D2215" s="2">
        <f>HYPERLINK("http://mcb-m6.bioreg.kyushu-u.ac.jp/M3/20110404/F50753/1884/1", 46.57)</f>
        <v>46.57</v>
      </c>
      <c r="E2215" s="2">
        <v>23.3</v>
      </c>
      <c r="F2215" s="2">
        <v>2</v>
      </c>
      <c r="G2215" s="2" t="s">
        <v>9</v>
      </c>
      <c r="I2215" s="2" t="s">
        <v>4899</v>
      </c>
    </row>
    <row r="2216" spans="1:9" x14ac:dyDescent="0.2">
      <c r="A2216" s="2" t="s">
        <v>3348</v>
      </c>
      <c r="B2216" s="2" t="s">
        <v>1125</v>
      </c>
      <c r="C2216" s="2">
        <v>1280.3150000000001</v>
      </c>
      <c r="D2216" s="2">
        <f>HYPERLINK("http://mcb-m6.bioreg.kyushu-u.ac.jp/M3/20110404/F50753/1630/1", 60.41)</f>
        <v>60.41</v>
      </c>
      <c r="E2216" s="2">
        <v>35.1</v>
      </c>
      <c r="F2216" s="2">
        <v>1</v>
      </c>
      <c r="G2216" s="2" t="s">
        <v>9</v>
      </c>
    </row>
    <row r="2217" spans="1:9" x14ac:dyDescent="0.2">
      <c r="A2217" s="2" t="s">
        <v>3348</v>
      </c>
      <c r="B2217" s="2" t="s">
        <v>1248</v>
      </c>
      <c r="C2217" s="2">
        <v>1418.396</v>
      </c>
      <c r="D2217" s="2">
        <f>HYPERLINK("http://mcb-m6.bioreg.kyushu-u.ac.jp/M3/20110404/F50753/1880/1", 61.91)</f>
        <v>61.91</v>
      </c>
      <c r="E2217" s="2">
        <v>28.44</v>
      </c>
      <c r="F2217" s="2">
        <v>1</v>
      </c>
      <c r="G2217" s="2" t="s">
        <v>9</v>
      </c>
      <c r="I2217" s="2" t="s">
        <v>4899</v>
      </c>
    </row>
    <row r="2218" spans="1:9" x14ac:dyDescent="0.2">
      <c r="A2218" s="2" t="s">
        <v>3348</v>
      </c>
      <c r="B2218" s="2" t="s">
        <v>1248</v>
      </c>
      <c r="C2218" s="2">
        <v>709.6816</v>
      </c>
      <c r="D2218" s="2">
        <f>HYPERLINK("http://mcb-m6.bioreg.kyushu-u.ac.jp/M3/20110404/F50766/1350/1", 62.35)</f>
        <v>62.35</v>
      </c>
      <c r="E2218" s="2">
        <v>21.31</v>
      </c>
      <c r="F2218" s="2">
        <v>2</v>
      </c>
      <c r="G2218" s="2" t="s">
        <v>9</v>
      </c>
      <c r="I2218" s="2" t="s">
        <v>4899</v>
      </c>
    </row>
    <row r="2219" spans="1:9" x14ac:dyDescent="0.2">
      <c r="A2219" s="2" t="s">
        <v>3348</v>
      </c>
      <c r="B2219" s="2" t="s">
        <v>1125</v>
      </c>
      <c r="C2219" s="2">
        <v>640.14509999999996</v>
      </c>
      <c r="D2219" s="2">
        <f>HYPERLINK("http://mcb-m6.bioreg.kyushu-u.ac.jp/M3/20110404/F50753/1628/1", 69.24)</f>
        <v>69.239999999999995</v>
      </c>
      <c r="E2219" s="2">
        <v>41.94</v>
      </c>
      <c r="F2219" s="2">
        <v>2</v>
      </c>
      <c r="G2219" s="2" t="s">
        <v>9</v>
      </c>
    </row>
    <row r="2220" spans="1:9" x14ac:dyDescent="0.2">
      <c r="A2220" s="2" t="s">
        <v>3348</v>
      </c>
      <c r="B2220" s="2" t="s">
        <v>1248</v>
      </c>
      <c r="C2220" s="2">
        <v>709.62819999999999</v>
      </c>
      <c r="D2220" s="2">
        <f>HYPERLINK("http://mcb-m6.bioreg.kyushu-u.ac.jp/M3/20110404/F50753/1879/1", 73.59)</f>
        <v>73.59</v>
      </c>
      <c r="E2220" s="2">
        <v>37.96</v>
      </c>
      <c r="F2220" s="2">
        <v>2</v>
      </c>
      <c r="G2220" s="2" t="s">
        <v>9</v>
      </c>
      <c r="I2220" s="2" t="s">
        <v>4899</v>
      </c>
    </row>
    <row r="2221" spans="1:9" x14ac:dyDescent="0.2">
      <c r="A2221" s="2" t="s">
        <v>3348</v>
      </c>
      <c r="B2221" s="2" t="s">
        <v>1248</v>
      </c>
      <c r="C2221" s="2">
        <v>710.18820000000005</v>
      </c>
      <c r="D2221" s="2">
        <f>HYPERLINK("http://mcb-m6.bioreg.kyushu-u.ac.jp/M3/20110404/F50753/1881/1", 74.32)</f>
        <v>74.319999999999993</v>
      </c>
      <c r="E2221" s="2">
        <v>48.52</v>
      </c>
      <c r="F2221" s="2">
        <v>2</v>
      </c>
      <c r="G2221" s="2" t="s">
        <v>9</v>
      </c>
      <c r="I2221" s="2" t="s">
        <v>4899</v>
      </c>
    </row>
    <row r="2222" spans="1:9" x14ac:dyDescent="0.2">
      <c r="A2222" s="2" t="s">
        <v>3348</v>
      </c>
      <c r="B2222" s="2" t="s">
        <v>1590</v>
      </c>
      <c r="C2222" s="2">
        <v>1021.244</v>
      </c>
      <c r="D2222" s="2">
        <f>HYPERLINK("http://mcb-m6.bioreg.kyushu-u.ac.jp/M3/20110404/F50753/2957/1", 116.17)</f>
        <v>116.17</v>
      </c>
      <c r="E2222" s="2">
        <v>93.77</v>
      </c>
      <c r="F2222" s="2">
        <v>2</v>
      </c>
      <c r="G2222" s="2" t="s">
        <v>9</v>
      </c>
    </row>
    <row r="2223" spans="1:9" x14ac:dyDescent="0.2">
      <c r="A2223" s="2" t="s">
        <v>3348</v>
      </c>
      <c r="B2223" s="2" t="s">
        <v>1590</v>
      </c>
      <c r="C2223" s="2">
        <v>1020.704</v>
      </c>
      <c r="D2223" s="2">
        <f>HYPERLINK("http://mcb-m6.bioreg.kyushu-u.ac.jp/M3/20110404/F50753/2953/1", 125.23)</f>
        <v>125.23</v>
      </c>
      <c r="E2223" s="2">
        <v>109.96</v>
      </c>
      <c r="F2223" s="2">
        <v>2</v>
      </c>
      <c r="G2223" s="2" t="s">
        <v>9</v>
      </c>
    </row>
    <row r="2224" spans="1:9" x14ac:dyDescent="0.2">
      <c r="A2224" s="2" t="s">
        <v>3348</v>
      </c>
      <c r="B2224" s="2" t="s">
        <v>137</v>
      </c>
      <c r="C2224" s="2">
        <v>665.99109999999996</v>
      </c>
      <c r="D2224" s="2">
        <f>HYPERLINK("http://mcb-m6.bioreg.kyushu-u.ac.jp/M3/20110404/F50758/1625/1", 54.26)</f>
        <v>54.26</v>
      </c>
      <c r="E2224" s="2">
        <v>24.33</v>
      </c>
      <c r="F2224" s="2">
        <v>2</v>
      </c>
      <c r="G2224" s="2" t="s">
        <v>10</v>
      </c>
    </row>
    <row r="2225" spans="1:9" x14ac:dyDescent="0.2">
      <c r="A2225" s="2" t="s">
        <v>3348</v>
      </c>
      <c r="B2225" s="2" t="s">
        <v>1125</v>
      </c>
      <c r="C2225" s="2">
        <v>640.2047</v>
      </c>
      <c r="D2225" s="2">
        <f>HYPERLINK("http://mcb-m6.bioreg.kyushu-u.ac.jp/M3/20110404/F50758/1560/1", 72.19)</f>
        <v>72.19</v>
      </c>
      <c r="E2225" s="2">
        <v>48.29</v>
      </c>
      <c r="F2225" s="2">
        <v>2</v>
      </c>
      <c r="G2225" s="2" t="s">
        <v>10</v>
      </c>
    </row>
    <row r="2226" spans="1:9" x14ac:dyDescent="0.2">
      <c r="A2226" s="2" t="s">
        <v>3348</v>
      </c>
      <c r="B2226" s="2" t="s">
        <v>1590</v>
      </c>
      <c r="C2226" s="2">
        <v>1020.8339999999999</v>
      </c>
      <c r="D2226" s="2">
        <f>HYPERLINK("http://mcb-m6.bioreg.kyushu-u.ac.jp/M3/20110404/F50758/2732/1", 125.74)</f>
        <v>125.74</v>
      </c>
      <c r="E2226" s="2">
        <v>107.81</v>
      </c>
      <c r="F2226" s="2">
        <v>2</v>
      </c>
      <c r="G2226" s="2" t="s">
        <v>10</v>
      </c>
    </row>
    <row r="2227" spans="1:9" x14ac:dyDescent="0.2">
      <c r="A2227" s="2" t="s">
        <v>3348</v>
      </c>
      <c r="B2227" s="2" t="s">
        <v>1248</v>
      </c>
      <c r="C2227" s="2">
        <v>709.55769999999995</v>
      </c>
      <c r="D2227" s="2">
        <f>HYPERLINK("http://mcb-m6.bioreg.kyushu-u.ac.jp/M3/20110421/F51017/1871/1", 59.64)</f>
        <v>59.64</v>
      </c>
      <c r="E2227" s="2">
        <v>17.739999999999998</v>
      </c>
      <c r="F2227" s="2">
        <v>2</v>
      </c>
      <c r="G2227" s="2" t="s">
        <v>11</v>
      </c>
      <c r="I2227" s="2" t="s">
        <v>4899</v>
      </c>
    </row>
    <row r="2228" spans="1:9" x14ac:dyDescent="0.2">
      <c r="A2228" s="2" t="s">
        <v>3348</v>
      </c>
      <c r="B2228" s="2" t="s">
        <v>1248</v>
      </c>
      <c r="C2228" s="2">
        <v>710.13210000000004</v>
      </c>
      <c r="D2228" s="2">
        <f>HYPERLINK("http://mcb-m6.bioreg.kyushu-u.ac.jp/M3/20110421/F51017/1876/1", 65.09)</f>
        <v>65.09</v>
      </c>
      <c r="E2228" s="2">
        <v>37.76</v>
      </c>
      <c r="F2228" s="2">
        <v>2</v>
      </c>
      <c r="G2228" s="2" t="s">
        <v>11</v>
      </c>
      <c r="I2228" s="2" t="s">
        <v>4899</v>
      </c>
    </row>
    <row r="2229" spans="1:9" x14ac:dyDescent="0.2">
      <c r="A2229" s="2" t="s">
        <v>3348</v>
      </c>
      <c r="B2229" s="2" t="s">
        <v>1125</v>
      </c>
      <c r="C2229" s="2">
        <v>640.17110000000002</v>
      </c>
      <c r="D2229" s="2">
        <f>HYPERLINK("http://mcb-m6.bioreg.kyushu-u.ac.jp/M3/20110421/F51017/1494/1", 71.82)</f>
        <v>71.819999999999993</v>
      </c>
      <c r="E2229" s="2">
        <v>44.35</v>
      </c>
      <c r="F2229" s="2">
        <v>2</v>
      </c>
      <c r="G2229" s="2" t="s">
        <v>11</v>
      </c>
    </row>
    <row r="2230" spans="1:9" x14ac:dyDescent="0.2">
      <c r="A2230" s="2" t="s">
        <v>3348</v>
      </c>
      <c r="B2230" s="2" t="s">
        <v>1590</v>
      </c>
      <c r="C2230" s="2">
        <v>1021.341</v>
      </c>
      <c r="D2230" s="2">
        <f>HYPERLINK("http://mcb-m6.bioreg.kyushu-u.ac.jp/M3/20110421/F51017/3263/1", 123.2)</f>
        <v>123.2</v>
      </c>
      <c r="E2230" s="2">
        <v>103.51</v>
      </c>
      <c r="F2230" s="2">
        <v>2</v>
      </c>
      <c r="G2230" s="2" t="s">
        <v>11</v>
      </c>
    </row>
    <row r="2231" spans="1:9" x14ac:dyDescent="0.2">
      <c r="A2231" s="2" t="s">
        <v>3348</v>
      </c>
      <c r="B2231" s="2" t="s">
        <v>1590</v>
      </c>
      <c r="C2231" s="2">
        <v>1020.715</v>
      </c>
      <c r="D2231" s="2">
        <f>HYPERLINK("http://mcb-m6.bioreg.kyushu-u.ac.jp/M3/20110421/F51017/3261/1", 137.97)</f>
        <v>137.97</v>
      </c>
      <c r="E2231" s="2">
        <v>115.58</v>
      </c>
      <c r="F2231" s="2">
        <v>2</v>
      </c>
      <c r="G2231" s="2" t="s">
        <v>11</v>
      </c>
    </row>
    <row r="2232" spans="1:9" x14ac:dyDescent="0.2">
      <c r="A2232" s="2" t="s">
        <v>3348</v>
      </c>
      <c r="B2232" s="2" t="s">
        <v>137</v>
      </c>
      <c r="C2232" s="2">
        <v>666.27009999999996</v>
      </c>
      <c r="D2232" s="2">
        <f>HYPERLINK("http://mcb-m6.bioreg.kyushu-u.ac.jp/M3/20110421/F51023/1768/1", 66.48)</f>
        <v>66.48</v>
      </c>
      <c r="E2232" s="2">
        <v>44</v>
      </c>
      <c r="F2232" s="2">
        <v>2</v>
      </c>
      <c r="G2232" s="2" t="s">
        <v>12</v>
      </c>
    </row>
    <row r="2233" spans="1:9" x14ac:dyDescent="0.2">
      <c r="A2233" s="2" t="s">
        <v>3348</v>
      </c>
      <c r="B2233" s="2" t="s">
        <v>1125</v>
      </c>
      <c r="C2233" s="2">
        <v>640.8682</v>
      </c>
      <c r="D2233" s="2">
        <f>HYPERLINK("http://mcb-m6.bioreg.kyushu-u.ac.jp/M3/20110427/F51112/1648/1", 58.67)</f>
        <v>58.67</v>
      </c>
      <c r="E2233" s="2">
        <v>35.68</v>
      </c>
      <c r="F2233" s="2">
        <v>2</v>
      </c>
      <c r="G2233" s="2" t="s">
        <v>13</v>
      </c>
    </row>
    <row r="2234" spans="1:9" x14ac:dyDescent="0.2">
      <c r="A2234" s="2" t="s">
        <v>3348</v>
      </c>
      <c r="B2234" s="2" t="s">
        <v>1248</v>
      </c>
      <c r="C2234" s="2">
        <v>710.15809999999999</v>
      </c>
      <c r="D2234" s="2">
        <f>HYPERLINK("http://mcb-m6.bioreg.kyushu-u.ac.jp/M3/20110427/F51111/1994/1", 71.66)</f>
        <v>71.66</v>
      </c>
      <c r="E2234" s="2">
        <v>48.58</v>
      </c>
      <c r="F2234" s="2">
        <v>2</v>
      </c>
      <c r="G2234" s="2" t="s">
        <v>13</v>
      </c>
      <c r="I2234" s="2" t="s">
        <v>4899</v>
      </c>
    </row>
    <row r="2235" spans="1:9" x14ac:dyDescent="0.2">
      <c r="A2235" s="2" t="s">
        <v>3348</v>
      </c>
      <c r="B2235" s="2" t="s">
        <v>1125</v>
      </c>
      <c r="C2235" s="2">
        <v>640.19709999999998</v>
      </c>
      <c r="D2235" s="2">
        <f>HYPERLINK("http://mcb-m6.bioreg.kyushu-u.ac.jp/M3/20110427/F51111/1681/1", 73.07)</f>
        <v>73.069999999999993</v>
      </c>
      <c r="E2235" s="2">
        <v>47.03</v>
      </c>
      <c r="F2235" s="2">
        <v>2</v>
      </c>
      <c r="G2235" s="2" t="s">
        <v>13</v>
      </c>
    </row>
    <row r="2236" spans="1:9" x14ac:dyDescent="0.2">
      <c r="A2236" s="2" t="s">
        <v>3348</v>
      </c>
      <c r="B2236" s="2" t="s">
        <v>1590</v>
      </c>
      <c r="C2236" s="2">
        <v>1021.278</v>
      </c>
      <c r="D2236" s="2">
        <f>HYPERLINK("http://mcb-m6.bioreg.kyushu-u.ac.jp/M3/20110427/F51112/3114/1", 122.5)</f>
        <v>122.5</v>
      </c>
      <c r="E2236" s="2">
        <v>102.06</v>
      </c>
      <c r="F2236" s="2">
        <v>2</v>
      </c>
      <c r="G2236" s="2" t="s">
        <v>13</v>
      </c>
    </row>
    <row r="2237" spans="1:9" x14ac:dyDescent="0.2">
      <c r="A2237" s="2" t="s">
        <v>3348</v>
      </c>
      <c r="B2237" s="2" t="s">
        <v>1590</v>
      </c>
      <c r="C2237" s="2">
        <v>1020.831</v>
      </c>
      <c r="D2237" s="2">
        <f>HYPERLINK("http://mcb-m6.bioreg.kyushu-u.ac.jp/M3/20110427/F51111/3148/1", 129.57)</f>
        <v>129.57</v>
      </c>
      <c r="E2237" s="2">
        <v>106.59</v>
      </c>
      <c r="F2237" s="2">
        <v>2</v>
      </c>
      <c r="G2237" s="2" t="s">
        <v>13</v>
      </c>
    </row>
    <row r="2238" spans="1:9" x14ac:dyDescent="0.2">
      <c r="A2238" s="2" t="s">
        <v>3348</v>
      </c>
      <c r="B2238" s="2" t="s">
        <v>1590</v>
      </c>
      <c r="C2238" s="2">
        <v>1021.304</v>
      </c>
      <c r="D2238" s="2">
        <f>HYPERLINK("http://mcb-m6.bioreg.kyushu-u.ac.jp/M3/20110427/F51120/2842/1", 70.57)</f>
        <v>70.569999999999993</v>
      </c>
      <c r="E2238" s="2">
        <v>64.010000000000005</v>
      </c>
      <c r="F2238" s="2">
        <v>2</v>
      </c>
      <c r="G2238" s="2" t="s">
        <v>14</v>
      </c>
    </row>
    <row r="2239" spans="1:9" x14ac:dyDescent="0.2">
      <c r="A2239" s="2" t="s">
        <v>7995</v>
      </c>
      <c r="B2239" s="2" t="s">
        <v>7214</v>
      </c>
      <c r="C2239" s="2">
        <v>497.17809999999997</v>
      </c>
      <c r="D2239" s="2">
        <f>HYPERLINK("http://mcb-m6.bioreg.kyushu-u.ac.jp/M3/20110421/F51024/1150/1", 47.58)</f>
        <v>47.58</v>
      </c>
      <c r="E2239" s="2">
        <v>16.46</v>
      </c>
      <c r="F2239" s="2">
        <v>2</v>
      </c>
      <c r="G2239" s="2" t="s">
        <v>12</v>
      </c>
    </row>
    <row r="2240" spans="1:9" x14ac:dyDescent="0.2">
      <c r="A2240" s="2" t="s">
        <v>8002</v>
      </c>
      <c r="B2240" s="2" t="s">
        <v>7224</v>
      </c>
      <c r="C2240" s="2">
        <v>602.92319999999995</v>
      </c>
      <c r="D2240" s="2">
        <f>HYPERLINK("http://mcb-m6.bioreg.kyushu-u.ac.jp/M3/20110421/F51024/1604/1", 50.44)</f>
        <v>50.44</v>
      </c>
      <c r="E2240" s="2">
        <v>36.44</v>
      </c>
      <c r="F2240" s="2">
        <v>2</v>
      </c>
      <c r="G2240" s="2" t="s">
        <v>12</v>
      </c>
      <c r="H2240" s="2" t="s">
        <v>4915</v>
      </c>
    </row>
    <row r="2241" spans="1:9" x14ac:dyDescent="0.2">
      <c r="A2241" s="2" t="s">
        <v>8007</v>
      </c>
      <c r="B2241" s="2" t="s">
        <v>7238</v>
      </c>
      <c r="C2241" s="2">
        <v>747.34559999999999</v>
      </c>
      <c r="D2241" s="2">
        <f>HYPERLINK("http://mcb-m6.bioreg.kyushu-u.ac.jp/M3/20110421/F51024/2184/1", 56.38)</f>
        <v>56.38</v>
      </c>
      <c r="E2241" s="2">
        <v>44.08</v>
      </c>
      <c r="F2241" s="2">
        <v>2</v>
      </c>
      <c r="G2241" s="2" t="s">
        <v>12</v>
      </c>
      <c r="H2241" s="2" t="s">
        <v>4919</v>
      </c>
      <c r="I2241" s="2" t="s">
        <v>4898</v>
      </c>
    </row>
    <row r="2242" spans="1:9" x14ac:dyDescent="0.2">
      <c r="A2242" s="2" t="s">
        <v>8007</v>
      </c>
      <c r="B2242" s="2" t="s">
        <v>7238</v>
      </c>
      <c r="C2242" s="2">
        <v>738.66420000000005</v>
      </c>
      <c r="D2242" s="2">
        <f>HYPERLINK("http://mcb-m6.bioreg.kyushu-u.ac.jp/M3/20110427/F51112/2065/1", 97.07)</f>
        <v>97.07</v>
      </c>
      <c r="E2242" s="2">
        <v>68.66</v>
      </c>
      <c r="F2242" s="2">
        <v>2</v>
      </c>
      <c r="G2242" s="2" t="s">
        <v>13</v>
      </c>
      <c r="I2242" s="2" t="s">
        <v>4898</v>
      </c>
    </row>
    <row r="2243" spans="1:9" x14ac:dyDescent="0.2">
      <c r="A2243" s="2" t="s">
        <v>8006</v>
      </c>
      <c r="B2243" s="2" t="s">
        <v>7237</v>
      </c>
      <c r="C2243" s="2">
        <v>676.89009999999996</v>
      </c>
      <c r="D2243" s="2">
        <f>HYPERLINK("http://mcb-m6.bioreg.kyushu-u.ac.jp/M3/20110421/F51024/1835/1", 55.66)</f>
        <v>55.66</v>
      </c>
      <c r="E2243" s="2">
        <v>38.92</v>
      </c>
      <c r="F2243" s="2">
        <v>2</v>
      </c>
      <c r="G2243" s="2" t="s">
        <v>12</v>
      </c>
      <c r="H2243" s="2" t="s">
        <v>4915</v>
      </c>
      <c r="I2243" s="2" t="s">
        <v>4893</v>
      </c>
    </row>
    <row r="2244" spans="1:9" x14ac:dyDescent="0.2">
      <c r="A2244" s="2" t="s">
        <v>8006</v>
      </c>
      <c r="B2244" s="2" t="s">
        <v>7290</v>
      </c>
      <c r="C2244" s="2">
        <v>624.78219999999999</v>
      </c>
      <c r="D2244" s="2">
        <f>HYPERLINK("http://mcb-m6.bioreg.kyushu-u.ac.jp/M3/20110427/F51112/1594/1", 35.8)</f>
        <v>35.799999999999997</v>
      </c>
      <c r="E2244" s="2">
        <v>13.68</v>
      </c>
      <c r="F2244" s="2">
        <v>2</v>
      </c>
      <c r="G2244" s="2" t="s">
        <v>13</v>
      </c>
    </row>
    <row r="2245" spans="1:9" x14ac:dyDescent="0.2">
      <c r="A2245" s="2" t="s">
        <v>8006</v>
      </c>
      <c r="B2245" s="2" t="s">
        <v>7443</v>
      </c>
      <c r="C2245" s="2">
        <v>924.27170000000001</v>
      </c>
      <c r="D2245" s="2">
        <f>HYPERLINK("http://mcb-m6.bioreg.kyushu-u.ac.jp/M3/20110427/F51112/2905/1", 106.59)</f>
        <v>106.59</v>
      </c>
      <c r="E2245" s="2">
        <v>87.53</v>
      </c>
      <c r="F2245" s="2">
        <v>2</v>
      </c>
      <c r="G2245" s="2" t="s">
        <v>13</v>
      </c>
    </row>
    <row r="2246" spans="1:9" x14ac:dyDescent="0.2">
      <c r="A2246" s="2" t="s">
        <v>4457</v>
      </c>
      <c r="B2246" s="2" t="s">
        <v>2368</v>
      </c>
      <c r="C2246" s="2">
        <v>1017.326</v>
      </c>
      <c r="D2246" s="2">
        <f>HYPERLINK("http://mcb-m6.bioreg.kyushu-u.ac.jp/M3/20110404/F50755/2999/1", 41.69)</f>
        <v>41.69</v>
      </c>
      <c r="E2246" s="2">
        <v>22.14</v>
      </c>
      <c r="F2246" s="2">
        <v>2</v>
      </c>
      <c r="G2246" s="2" t="s">
        <v>9</v>
      </c>
    </row>
    <row r="2247" spans="1:9" x14ac:dyDescent="0.2">
      <c r="A2247" s="2" t="s">
        <v>3895</v>
      </c>
      <c r="B2247" s="2" t="s">
        <v>1041</v>
      </c>
      <c r="C2247" s="2">
        <v>876.25570000000005</v>
      </c>
      <c r="D2247" s="2">
        <f>HYPERLINK("http://mcb-m6.bioreg.kyushu-u.ac.jp/M3/20110421/F51021/2811/1", 52.62)</f>
        <v>52.62</v>
      </c>
      <c r="E2247" s="2">
        <v>28.21</v>
      </c>
      <c r="F2247" s="2">
        <v>2</v>
      </c>
      <c r="G2247" s="2" t="s">
        <v>12</v>
      </c>
      <c r="I2247" s="2" t="s">
        <v>4903</v>
      </c>
    </row>
    <row r="2248" spans="1:9" x14ac:dyDescent="0.2">
      <c r="A2248" s="2" t="s">
        <v>7648</v>
      </c>
      <c r="B2248" s="2" t="s">
        <v>6218</v>
      </c>
      <c r="C2248" s="2">
        <v>809.92819999999995</v>
      </c>
      <c r="D2248" s="2">
        <f>HYPERLINK("http://mcb-m6.bioreg.kyushu-u.ac.jp/M3/20110404/F50762/2042/1", 47.06)</f>
        <v>47.06</v>
      </c>
      <c r="E2248" s="2">
        <v>33.4</v>
      </c>
      <c r="F2248" s="2">
        <v>2</v>
      </c>
      <c r="G2248" s="2" t="s">
        <v>9</v>
      </c>
    </row>
    <row r="2249" spans="1:9" x14ac:dyDescent="0.2">
      <c r="A2249" s="4" t="s">
        <v>7981</v>
      </c>
      <c r="B2249" s="2" t="s">
        <v>7196</v>
      </c>
      <c r="C2249" s="2">
        <v>453.63459999999998</v>
      </c>
      <c r="D2249" s="2">
        <f>HYPERLINK("http://mcb-m6.bioreg.kyushu-u.ac.jp/M3/20110421/F51021/622/2", 42.42)</f>
        <v>42.42</v>
      </c>
      <c r="E2249" s="2">
        <v>8.36</v>
      </c>
      <c r="F2249" s="2">
        <v>2</v>
      </c>
      <c r="G2249" s="2" t="s">
        <v>12</v>
      </c>
    </row>
    <row r="2250" spans="1:9" x14ac:dyDescent="0.2">
      <c r="A2250" s="2" t="s">
        <v>3477</v>
      </c>
      <c r="B2250" s="2" t="s">
        <v>295</v>
      </c>
      <c r="C2250" s="2">
        <v>1277.453</v>
      </c>
      <c r="D2250" s="2">
        <f>HYPERLINK("http://mcb-m6.bioreg.kyushu-u.ac.jp/M3/20110404/F50763/1534/1", 52.37)</f>
        <v>52.37</v>
      </c>
      <c r="E2250" s="2">
        <v>32.93</v>
      </c>
      <c r="F2250" s="2">
        <v>1</v>
      </c>
      <c r="G2250" s="2" t="s">
        <v>9</v>
      </c>
    </row>
    <row r="2251" spans="1:9" x14ac:dyDescent="0.2">
      <c r="A2251" s="2" t="s">
        <v>3477</v>
      </c>
      <c r="B2251" s="2" t="s">
        <v>295</v>
      </c>
      <c r="C2251" s="2">
        <v>639.56209999999999</v>
      </c>
      <c r="D2251" s="2">
        <f>HYPERLINK("http://mcb-m6.bioreg.kyushu-u.ac.jp/M3/20110404/F50762/1456/1", 60.89)</f>
        <v>60.89</v>
      </c>
      <c r="E2251" s="2">
        <v>43.67</v>
      </c>
      <c r="F2251" s="2">
        <v>2</v>
      </c>
      <c r="G2251" s="2" t="s">
        <v>9</v>
      </c>
    </row>
    <row r="2252" spans="1:9" x14ac:dyDescent="0.2">
      <c r="A2252" s="2" t="s">
        <v>3477</v>
      </c>
      <c r="B2252" s="2" t="s">
        <v>295</v>
      </c>
      <c r="C2252" s="2">
        <v>639.56920000000002</v>
      </c>
      <c r="D2252" s="2">
        <f>HYPERLINK("http://mcb-m6.bioreg.kyushu-u.ac.jp/M3/20110404/F50763/1535/1", 63.06)</f>
        <v>63.06</v>
      </c>
      <c r="E2252" s="2">
        <v>47.58</v>
      </c>
      <c r="F2252" s="2">
        <v>2</v>
      </c>
      <c r="G2252" s="2" t="s">
        <v>9</v>
      </c>
    </row>
    <row r="2253" spans="1:9" x14ac:dyDescent="0.2">
      <c r="A2253" s="2" t="s">
        <v>3477</v>
      </c>
      <c r="B2253" s="2" t="s">
        <v>295</v>
      </c>
      <c r="C2253" s="2">
        <v>639.33810000000005</v>
      </c>
      <c r="D2253" s="2">
        <f>HYPERLINK("http://mcb-m6.bioreg.kyushu-u.ac.jp/M3/20110404/F50773/1394/1", 43.37)</f>
        <v>43.37</v>
      </c>
      <c r="E2253" s="2">
        <v>27.58</v>
      </c>
      <c r="F2253" s="2">
        <v>2</v>
      </c>
      <c r="G2253" s="2" t="s">
        <v>10</v>
      </c>
    </row>
    <row r="2254" spans="1:9" x14ac:dyDescent="0.2">
      <c r="A2254" s="2" t="s">
        <v>3477</v>
      </c>
      <c r="B2254" s="2" t="s">
        <v>295</v>
      </c>
      <c r="C2254" s="2">
        <v>639.25210000000004</v>
      </c>
      <c r="D2254" s="2">
        <f>HYPERLINK("http://mcb-m6.bioreg.kyushu-u.ac.jp/M3/20110404/F50769/1660/1", 65)</f>
        <v>65</v>
      </c>
      <c r="E2254" s="2">
        <v>44.46</v>
      </c>
      <c r="F2254" s="2">
        <v>2</v>
      </c>
      <c r="G2254" s="2" t="s">
        <v>10</v>
      </c>
    </row>
    <row r="2255" spans="1:9" x14ac:dyDescent="0.2">
      <c r="A2255" s="2" t="s">
        <v>3477</v>
      </c>
      <c r="B2255" s="2" t="s">
        <v>295</v>
      </c>
      <c r="C2255" s="2">
        <v>639.68619999999999</v>
      </c>
      <c r="D2255" s="2">
        <f>HYPERLINK("http://mcb-m6.bioreg.kyushu-u.ac.jp/M3/20110404/F50782/1305/1", 65.65)</f>
        <v>65.650000000000006</v>
      </c>
      <c r="E2255" s="2">
        <v>46.67</v>
      </c>
      <c r="F2255" s="2">
        <v>2</v>
      </c>
      <c r="G2255" s="2" t="s">
        <v>10</v>
      </c>
    </row>
    <row r="2256" spans="1:9" x14ac:dyDescent="0.2">
      <c r="A2256" s="2" t="s">
        <v>3477</v>
      </c>
      <c r="B2256" s="2" t="s">
        <v>295</v>
      </c>
      <c r="C2256" s="2">
        <v>639.32669999999996</v>
      </c>
      <c r="D2256" s="2">
        <f>HYPERLINK("http://mcb-m6.bioreg.kyushu-u.ac.jp/M3/20110421/F51035/1415/1", 47.06)</f>
        <v>47.06</v>
      </c>
      <c r="E2256" s="2">
        <v>19.059999999999999</v>
      </c>
      <c r="F2256" s="2">
        <v>2</v>
      </c>
      <c r="G2256" s="2" t="s">
        <v>11</v>
      </c>
    </row>
    <row r="2257" spans="1:7" x14ac:dyDescent="0.2">
      <c r="A2257" s="2" t="s">
        <v>3477</v>
      </c>
      <c r="B2257" s="2" t="s">
        <v>295</v>
      </c>
      <c r="C2257" s="2">
        <v>639.04269999999997</v>
      </c>
      <c r="D2257" s="2">
        <f>HYPERLINK("http://mcb-m6.bioreg.kyushu-u.ac.jp/M3/20110421/F51021/1499/1", 70.18)</f>
        <v>70.180000000000007</v>
      </c>
      <c r="E2257" s="2">
        <v>46.24</v>
      </c>
      <c r="F2257" s="2">
        <v>2</v>
      </c>
      <c r="G2257" s="2" t="s">
        <v>12</v>
      </c>
    </row>
    <row r="2258" spans="1:7" x14ac:dyDescent="0.2">
      <c r="A2258" s="2" t="s">
        <v>3477</v>
      </c>
      <c r="B2258" s="2" t="s">
        <v>295</v>
      </c>
      <c r="C2258" s="2">
        <v>638.97770000000003</v>
      </c>
      <c r="D2258" s="2">
        <f>HYPERLINK("http://mcb-m6.bioreg.kyushu-u.ac.jp/M3/20110428/F51127/1352/1", 38.22)</f>
        <v>38.22</v>
      </c>
      <c r="E2258" s="2">
        <v>22.05</v>
      </c>
      <c r="F2258" s="2">
        <v>2</v>
      </c>
      <c r="G2258" s="2" t="s">
        <v>13</v>
      </c>
    </row>
    <row r="2259" spans="1:7" x14ac:dyDescent="0.2">
      <c r="A2259" s="2" t="s">
        <v>3477</v>
      </c>
      <c r="B2259" s="2" t="s">
        <v>295</v>
      </c>
      <c r="C2259" s="2">
        <v>639.69820000000004</v>
      </c>
      <c r="D2259" s="2">
        <f>HYPERLINK("http://mcb-m6.bioreg.kyushu-u.ac.jp/M3/20110428/F51127/1357/1", 60.15)</f>
        <v>60.15</v>
      </c>
      <c r="E2259" s="2">
        <v>42.65</v>
      </c>
      <c r="F2259" s="2">
        <v>2</v>
      </c>
      <c r="G2259" s="2" t="s">
        <v>13</v>
      </c>
    </row>
    <row r="2260" spans="1:7" x14ac:dyDescent="0.2">
      <c r="A2260" s="2" t="s">
        <v>3477</v>
      </c>
      <c r="B2260" s="2" t="s">
        <v>295</v>
      </c>
      <c r="C2260" s="2">
        <v>639.08370000000002</v>
      </c>
      <c r="D2260" s="2">
        <f>HYPERLINK("http://mcb-m6.bioreg.kyushu-u.ac.jp/M3/20110428/F51127/1354/1", 65.77)</f>
        <v>65.77</v>
      </c>
      <c r="E2260" s="2">
        <v>47.15</v>
      </c>
      <c r="F2260" s="2">
        <v>2</v>
      </c>
      <c r="G2260" s="2" t="s">
        <v>13</v>
      </c>
    </row>
    <row r="2261" spans="1:7" x14ac:dyDescent="0.2">
      <c r="A2261" s="2" t="s">
        <v>3477</v>
      </c>
      <c r="B2261" s="2" t="s">
        <v>295</v>
      </c>
      <c r="C2261" s="2">
        <v>639.68320000000006</v>
      </c>
      <c r="D2261" s="2">
        <f>HYPERLINK("http://mcb-m6.bioreg.kyushu-u.ac.jp/M3/20110427/F51117/1526/1", 69.93)</f>
        <v>69.930000000000007</v>
      </c>
      <c r="E2261" s="2">
        <v>51.08</v>
      </c>
      <c r="F2261" s="2">
        <v>2</v>
      </c>
      <c r="G2261" s="2" t="s">
        <v>13</v>
      </c>
    </row>
    <row r="2262" spans="1:7" x14ac:dyDescent="0.2">
      <c r="A2262" s="2" t="s">
        <v>3477</v>
      </c>
      <c r="B2262" s="2" t="s">
        <v>295</v>
      </c>
      <c r="C2262" s="2">
        <v>639.8356</v>
      </c>
      <c r="D2262" s="2">
        <f>HYPERLINK("http://mcb-m6.bioreg.kyushu-u.ac.jp/M3/20110428/F51128/1503/1", 39.8)</f>
        <v>39.799999999999997</v>
      </c>
      <c r="E2262" s="2">
        <v>24.69</v>
      </c>
      <c r="F2262" s="2">
        <v>2</v>
      </c>
      <c r="G2262" s="2" t="s">
        <v>14</v>
      </c>
    </row>
    <row r="2263" spans="1:7" x14ac:dyDescent="0.2">
      <c r="A2263" s="2" t="s">
        <v>3477</v>
      </c>
      <c r="B2263" s="2" t="s">
        <v>295</v>
      </c>
      <c r="C2263" s="2">
        <v>639.14009999999996</v>
      </c>
      <c r="D2263" s="2">
        <f>HYPERLINK("http://mcb-m6.bioreg.kyushu-u.ac.jp/M3/20110427/F51125/1702/1", 42.43)</f>
        <v>42.43</v>
      </c>
      <c r="E2263" s="2">
        <v>28.39</v>
      </c>
      <c r="F2263" s="2">
        <v>2</v>
      </c>
      <c r="G2263" s="2" t="s">
        <v>14</v>
      </c>
    </row>
    <row r="2264" spans="1:7" x14ac:dyDescent="0.2">
      <c r="A2264" s="2" t="s">
        <v>3477</v>
      </c>
      <c r="B2264" s="2" t="s">
        <v>295</v>
      </c>
      <c r="C2264" s="2">
        <v>639.09519999999998</v>
      </c>
      <c r="D2264" s="2">
        <f>HYPERLINK("http://mcb-m6.bioreg.kyushu-u.ac.jp/M3/20110428/F51126/1683/1", 42.54)</f>
        <v>42.54</v>
      </c>
      <c r="E2264" s="2">
        <v>30.68</v>
      </c>
      <c r="F2264" s="2">
        <v>2</v>
      </c>
      <c r="G2264" s="2" t="s">
        <v>14</v>
      </c>
    </row>
    <row r="2265" spans="1:7" x14ac:dyDescent="0.2">
      <c r="A2265" s="2" t="s">
        <v>3477</v>
      </c>
      <c r="B2265" s="2" t="s">
        <v>295</v>
      </c>
      <c r="C2265" s="2">
        <v>639.67660000000001</v>
      </c>
      <c r="D2265" s="2">
        <f>HYPERLINK("http://mcb-m6.bioreg.kyushu-u.ac.jp/M3/20110428/F51128/1502/1", 46.81)</f>
        <v>46.81</v>
      </c>
      <c r="E2265" s="2">
        <v>35.729999999999997</v>
      </c>
      <c r="F2265" s="2">
        <v>2</v>
      </c>
      <c r="G2265" s="2" t="s">
        <v>14</v>
      </c>
    </row>
    <row r="2266" spans="1:7" x14ac:dyDescent="0.2">
      <c r="A2266" s="2" t="s">
        <v>3477</v>
      </c>
      <c r="B2266" s="2" t="s">
        <v>295</v>
      </c>
      <c r="C2266" s="2">
        <v>639.0367</v>
      </c>
      <c r="D2266" s="2">
        <f>HYPERLINK("http://mcb-m6.bioreg.kyushu-u.ac.jp/M3/20110427/F51124/1594/1", 47.57)</f>
        <v>47.57</v>
      </c>
      <c r="E2266" s="2">
        <v>35</v>
      </c>
      <c r="F2266" s="2">
        <v>2</v>
      </c>
      <c r="G2266" s="2" t="s">
        <v>14</v>
      </c>
    </row>
    <row r="2267" spans="1:7" x14ac:dyDescent="0.2">
      <c r="A2267" s="2" t="s">
        <v>3477</v>
      </c>
      <c r="B2267" s="2" t="s">
        <v>295</v>
      </c>
      <c r="C2267" s="2">
        <v>639.21969999999999</v>
      </c>
      <c r="D2267" s="2">
        <f>HYPERLINK("http://mcb-m6.bioreg.kyushu-u.ac.jp/M3/20110428/F51128/1500/1", 48.07)</f>
        <v>48.07</v>
      </c>
      <c r="E2267" s="2">
        <v>22.6</v>
      </c>
      <c r="F2267" s="2">
        <v>2</v>
      </c>
      <c r="G2267" s="2" t="s">
        <v>14</v>
      </c>
    </row>
    <row r="2268" spans="1:7" x14ac:dyDescent="0.2">
      <c r="A2268" s="2" t="s">
        <v>3477</v>
      </c>
      <c r="B2268" s="2" t="s">
        <v>295</v>
      </c>
      <c r="C2268" s="2">
        <v>639.22559999999999</v>
      </c>
      <c r="D2268" s="2">
        <f>HYPERLINK("http://mcb-m6.bioreg.kyushu-u.ac.jp/M3/20110427/F51122/1781/1", 68.23)</f>
        <v>68.23</v>
      </c>
      <c r="E2268" s="2">
        <v>47.83</v>
      </c>
      <c r="F2268" s="2">
        <v>2</v>
      </c>
      <c r="G2268" s="2" t="s">
        <v>14</v>
      </c>
    </row>
    <row r="2269" spans="1:7" x14ac:dyDescent="0.2">
      <c r="A2269" s="2" t="s">
        <v>4303</v>
      </c>
      <c r="B2269" s="2" t="s">
        <v>2401</v>
      </c>
      <c r="C2269" s="2">
        <v>1134.9290000000001</v>
      </c>
      <c r="D2269" s="2">
        <f>HYPERLINK("http://mcb-m6.bioreg.kyushu-u.ac.jp/M3/20110404/F50756/3466/1", 92.07)</f>
        <v>92.07</v>
      </c>
      <c r="E2269" s="2">
        <v>89.27</v>
      </c>
      <c r="F2269" s="2">
        <v>2</v>
      </c>
      <c r="G2269" s="2" t="s">
        <v>9</v>
      </c>
    </row>
    <row r="2270" spans="1:7" x14ac:dyDescent="0.2">
      <c r="A2270" s="2" t="s">
        <v>4303</v>
      </c>
      <c r="B2270" s="2" t="s">
        <v>2039</v>
      </c>
      <c r="C2270" s="2">
        <v>854.40009999999995</v>
      </c>
      <c r="D2270" s="2">
        <f>HYPERLINK("http://mcb-m6.bioreg.kyushu-u.ac.jp/M3/20110404/F50756/2480/1", 104.9)</f>
        <v>104.9</v>
      </c>
      <c r="E2270" s="2">
        <v>92.98</v>
      </c>
      <c r="F2270" s="2">
        <v>2</v>
      </c>
      <c r="G2270" s="2" t="s">
        <v>9</v>
      </c>
    </row>
    <row r="2271" spans="1:7" x14ac:dyDescent="0.2">
      <c r="A2271" s="2" t="s">
        <v>4303</v>
      </c>
      <c r="B2271" s="2" t="s">
        <v>2039</v>
      </c>
      <c r="C2271" s="2">
        <v>854.91359999999997</v>
      </c>
      <c r="D2271" s="2">
        <f>HYPERLINK("http://mcb-m6.bioreg.kyushu-u.ac.jp/M3/20110404/F50761/2299/1", 74.45)</f>
        <v>74.45</v>
      </c>
      <c r="E2271" s="2">
        <v>66.290000000000006</v>
      </c>
      <c r="F2271" s="2">
        <v>2</v>
      </c>
      <c r="G2271" s="2" t="s">
        <v>10</v>
      </c>
    </row>
    <row r="2272" spans="1:7" x14ac:dyDescent="0.2">
      <c r="A2272" s="2" t="s">
        <v>4303</v>
      </c>
      <c r="B2272" s="2" t="s">
        <v>2039</v>
      </c>
      <c r="C2272" s="2">
        <v>854.38570000000004</v>
      </c>
      <c r="D2272" s="2">
        <f>HYPERLINK("http://mcb-m6.bioreg.kyushu-u.ac.jp/M3/20110404/F50761/2295/1", 82.89)</f>
        <v>82.89</v>
      </c>
      <c r="E2272" s="2">
        <v>75.290000000000006</v>
      </c>
      <c r="F2272" s="2">
        <v>2</v>
      </c>
      <c r="G2272" s="2" t="s">
        <v>10</v>
      </c>
    </row>
    <row r="2273" spans="1:7" x14ac:dyDescent="0.2">
      <c r="A2273" s="2" t="s">
        <v>3310</v>
      </c>
      <c r="B2273" s="2" t="s">
        <v>114</v>
      </c>
      <c r="C2273" s="2">
        <v>638.91219999999998</v>
      </c>
      <c r="D2273" s="2">
        <f>HYPERLINK("http://mcb-m6.bioreg.kyushu-u.ac.jp/M3/20110404/F50754/1763/1", 36.63)</f>
        <v>36.630000000000003</v>
      </c>
      <c r="E2273" s="2">
        <v>24.52</v>
      </c>
      <c r="F2273" s="2">
        <v>2</v>
      </c>
      <c r="G2273" s="2" t="s">
        <v>9</v>
      </c>
    </row>
    <row r="2274" spans="1:7" x14ac:dyDescent="0.2">
      <c r="A2274" s="2" t="s">
        <v>3310</v>
      </c>
      <c r="B2274" s="2" t="s">
        <v>2607</v>
      </c>
      <c r="C2274" s="2">
        <v>499.75760000000002</v>
      </c>
      <c r="D2274" s="2">
        <f>HYPERLINK("http://mcb-m6.bioreg.kyushu-u.ac.jp/M3/20110404/F50778/822/1", 40.16)</f>
        <v>40.159999999999997</v>
      </c>
      <c r="E2274" s="2">
        <v>14.48</v>
      </c>
      <c r="F2274" s="2">
        <v>2</v>
      </c>
      <c r="G2274" s="2" t="s">
        <v>9</v>
      </c>
    </row>
    <row r="2275" spans="1:7" x14ac:dyDescent="0.2">
      <c r="A2275" s="2" t="s">
        <v>3310</v>
      </c>
      <c r="B2275" s="2" t="s">
        <v>279</v>
      </c>
      <c r="C2275" s="2">
        <v>851.476</v>
      </c>
      <c r="D2275" s="2">
        <f>HYPERLINK("http://mcb-m6.bioreg.kyushu-u.ac.jp/M3/20110404/F50778/598/1", 41.25)</f>
        <v>41.25</v>
      </c>
      <c r="E2275" s="2">
        <v>23.01</v>
      </c>
      <c r="F2275" s="2">
        <v>1</v>
      </c>
      <c r="G2275" s="2" t="s">
        <v>9</v>
      </c>
    </row>
    <row r="2276" spans="1:7" x14ac:dyDescent="0.2">
      <c r="A2276" s="2" t="s">
        <v>3310</v>
      </c>
      <c r="B2276" s="2" t="s">
        <v>1910</v>
      </c>
      <c r="C2276" s="2">
        <v>627.87019999999995</v>
      </c>
      <c r="D2276" s="2">
        <f>HYPERLINK("http://mcb-m6.bioreg.kyushu-u.ac.jp/M3/20110404/F50778/1293/1", 42.07)</f>
        <v>42.07</v>
      </c>
      <c r="E2276" s="2">
        <v>23.67</v>
      </c>
      <c r="F2276" s="2">
        <v>2</v>
      </c>
      <c r="G2276" s="2" t="s">
        <v>9</v>
      </c>
    </row>
    <row r="2277" spans="1:7" x14ac:dyDescent="0.2">
      <c r="A2277" s="2" t="s">
        <v>3310</v>
      </c>
      <c r="B2277" s="2" t="s">
        <v>1992</v>
      </c>
      <c r="C2277" s="2">
        <v>1335.6120000000001</v>
      </c>
      <c r="D2277" s="2">
        <f>HYPERLINK("http://mcb-m6.bioreg.kyushu-u.ac.jp/M3/20110404/F50778/1448/1", 44.87)</f>
        <v>44.87</v>
      </c>
      <c r="E2277" s="2">
        <v>32.479999999999997</v>
      </c>
      <c r="F2277" s="2">
        <v>1</v>
      </c>
      <c r="G2277" s="2" t="s">
        <v>9</v>
      </c>
    </row>
    <row r="2278" spans="1:7" x14ac:dyDescent="0.2">
      <c r="A2278" s="2" t="s">
        <v>3310</v>
      </c>
      <c r="B2278" s="2" t="s">
        <v>6217</v>
      </c>
      <c r="C2278" s="2">
        <v>1072.6469999999999</v>
      </c>
      <c r="D2278" s="2">
        <f>HYPERLINK("http://mcb-m6.bioreg.kyushu-u.ac.jp/M3/20110404/F50778/951/1", 47.05)</f>
        <v>47.05</v>
      </c>
      <c r="E2278" s="2">
        <v>28.69</v>
      </c>
      <c r="F2278" s="2">
        <v>1</v>
      </c>
      <c r="G2278" s="2" t="s">
        <v>9</v>
      </c>
    </row>
    <row r="2279" spans="1:7" x14ac:dyDescent="0.2">
      <c r="A2279" s="2" t="s">
        <v>3310</v>
      </c>
      <c r="B2279" s="2" t="s">
        <v>333</v>
      </c>
      <c r="C2279" s="2">
        <v>915.78610000000003</v>
      </c>
      <c r="D2279" s="2">
        <f>HYPERLINK("http://mcb-m6.bioreg.kyushu-u.ac.jp/M3/20110404/F50763/2535/1", 47.36)</f>
        <v>47.36</v>
      </c>
      <c r="E2279" s="2">
        <v>34</v>
      </c>
      <c r="F2279" s="2">
        <v>2</v>
      </c>
      <c r="G2279" s="2" t="s">
        <v>9</v>
      </c>
    </row>
    <row r="2280" spans="1:7" x14ac:dyDescent="0.2">
      <c r="A2280" s="2" t="s">
        <v>3310</v>
      </c>
      <c r="B2280" s="2" t="s">
        <v>1992</v>
      </c>
      <c r="C2280" s="2">
        <v>668.42070000000001</v>
      </c>
      <c r="D2280" s="2">
        <f>HYPERLINK("http://mcb-m6.bioreg.kyushu-u.ac.jp/M3/20110404/F50764/1533/1", 48.74)</f>
        <v>48.74</v>
      </c>
      <c r="E2280" s="2">
        <v>22.76</v>
      </c>
      <c r="F2280" s="2">
        <v>2</v>
      </c>
      <c r="G2280" s="2" t="s">
        <v>9</v>
      </c>
    </row>
    <row r="2281" spans="1:7" x14ac:dyDescent="0.2">
      <c r="A2281" s="2" t="s">
        <v>3310</v>
      </c>
      <c r="B2281" s="2" t="s">
        <v>279</v>
      </c>
      <c r="C2281" s="2">
        <v>850.51199999999994</v>
      </c>
      <c r="D2281" s="2">
        <f>HYPERLINK("http://mcb-m6.bioreg.kyushu-u.ac.jp/M3/20110404/F50778/597/1", 51.21)</f>
        <v>51.21</v>
      </c>
      <c r="E2281" s="2">
        <v>24.27</v>
      </c>
      <c r="F2281" s="2">
        <v>1</v>
      </c>
      <c r="G2281" s="2" t="s">
        <v>9</v>
      </c>
    </row>
    <row r="2282" spans="1:7" x14ac:dyDescent="0.2">
      <c r="A2282" s="2" t="s">
        <v>3310</v>
      </c>
      <c r="B2282" s="2" t="s">
        <v>114</v>
      </c>
      <c r="C2282" s="2">
        <v>638.29610000000002</v>
      </c>
      <c r="D2282" s="2">
        <f>HYPERLINK("http://mcb-m6.bioreg.kyushu-u.ac.jp/M3/20110404/F50755/1520/1", 51.26)</f>
        <v>51.26</v>
      </c>
      <c r="E2282" s="2">
        <v>35.729999999999997</v>
      </c>
      <c r="F2282" s="2">
        <v>2</v>
      </c>
      <c r="G2282" s="2" t="s">
        <v>9</v>
      </c>
    </row>
    <row r="2283" spans="1:7" x14ac:dyDescent="0.2">
      <c r="A2283" s="2" t="s">
        <v>3310</v>
      </c>
      <c r="B2283" s="2" t="s">
        <v>1992</v>
      </c>
      <c r="C2283" s="2">
        <v>668.20759999999996</v>
      </c>
      <c r="D2283" s="2">
        <f>HYPERLINK("http://mcb-m6.bioreg.kyushu-u.ac.jp/M3/20110404/F50756/1595/1", 53.14)</f>
        <v>53.14</v>
      </c>
      <c r="E2283" s="2">
        <v>24.57</v>
      </c>
      <c r="F2283" s="2">
        <v>2</v>
      </c>
      <c r="G2283" s="2" t="s">
        <v>9</v>
      </c>
    </row>
    <row r="2284" spans="1:7" x14ac:dyDescent="0.2">
      <c r="A2284" s="2" t="s">
        <v>3310</v>
      </c>
      <c r="B2284" s="2" t="s">
        <v>333</v>
      </c>
      <c r="C2284" s="2">
        <v>915.98860000000002</v>
      </c>
      <c r="D2284" s="2">
        <f>HYPERLINK("http://mcb-m6.bioreg.kyushu-u.ac.jp/M3/20110404/F50767/2543/1", 53.27)</f>
        <v>53.27</v>
      </c>
      <c r="E2284" s="2">
        <v>39.729999999999997</v>
      </c>
      <c r="F2284" s="2">
        <v>2</v>
      </c>
      <c r="G2284" s="2" t="s">
        <v>9</v>
      </c>
    </row>
    <row r="2285" spans="1:7" x14ac:dyDescent="0.2">
      <c r="A2285" s="2" t="s">
        <v>3310</v>
      </c>
      <c r="B2285" s="2" t="s">
        <v>333</v>
      </c>
      <c r="C2285" s="2">
        <v>915.85609999999997</v>
      </c>
      <c r="D2285" s="2">
        <f>HYPERLINK("http://mcb-m6.bioreg.kyushu-u.ac.jp/M3/20110404/F50765/2544/1", 53.42)</f>
        <v>53.42</v>
      </c>
      <c r="E2285" s="2">
        <v>41.34</v>
      </c>
      <c r="F2285" s="2">
        <v>2</v>
      </c>
      <c r="G2285" s="2" t="s">
        <v>9</v>
      </c>
    </row>
    <row r="2286" spans="1:7" x14ac:dyDescent="0.2">
      <c r="A2286" s="2" t="s">
        <v>3310</v>
      </c>
      <c r="B2286" s="2" t="s">
        <v>6379</v>
      </c>
      <c r="C2286" s="2">
        <v>958.82420000000002</v>
      </c>
      <c r="D2286" s="2">
        <f>HYPERLINK("http://mcb-m6.bioreg.kyushu-u.ac.jp/M3/20110404/F50778/3914/1", 57.55)</f>
        <v>57.55</v>
      </c>
      <c r="E2286" s="2">
        <v>43.97</v>
      </c>
      <c r="F2286" s="2">
        <v>3</v>
      </c>
      <c r="G2286" s="2" t="s">
        <v>9</v>
      </c>
    </row>
    <row r="2287" spans="1:7" x14ac:dyDescent="0.2">
      <c r="A2287" s="2" t="s">
        <v>3310</v>
      </c>
      <c r="B2287" s="2" t="s">
        <v>1729</v>
      </c>
      <c r="C2287" s="2">
        <v>1239.5440000000001</v>
      </c>
      <c r="D2287" s="2">
        <f>HYPERLINK("http://mcb-m6.bioreg.kyushu-u.ac.jp/M3/20110404/F50778/3628/1", 58.16)</f>
        <v>58.16</v>
      </c>
      <c r="E2287" s="2">
        <v>46.33</v>
      </c>
      <c r="F2287" s="2">
        <v>2</v>
      </c>
      <c r="G2287" s="2" t="s">
        <v>9</v>
      </c>
    </row>
    <row r="2288" spans="1:7" x14ac:dyDescent="0.2">
      <c r="A2288" s="2" t="s">
        <v>3310</v>
      </c>
      <c r="B2288" s="2" t="s">
        <v>114</v>
      </c>
      <c r="C2288" s="2">
        <v>638.59169999999995</v>
      </c>
      <c r="D2288" s="2">
        <f>HYPERLINK("http://mcb-m6.bioreg.kyushu-u.ac.jp/M3/20110404/F50778/1336/1", 58.52)</f>
        <v>58.52</v>
      </c>
      <c r="E2288" s="2">
        <v>43.23</v>
      </c>
      <c r="F2288" s="2">
        <v>2</v>
      </c>
      <c r="G2288" s="2" t="s">
        <v>9</v>
      </c>
    </row>
    <row r="2289" spans="1:9" x14ac:dyDescent="0.2">
      <c r="A2289" s="2" t="s">
        <v>3310</v>
      </c>
      <c r="B2289" s="2" t="s">
        <v>582</v>
      </c>
      <c r="C2289" s="2">
        <v>904.88070000000005</v>
      </c>
      <c r="D2289" s="2">
        <f>HYPERLINK("http://mcb-m6.bioreg.kyushu-u.ac.jp/M3/20110404/F50778/2614/1", 59.96)</f>
        <v>59.96</v>
      </c>
      <c r="E2289" s="2">
        <v>45.24</v>
      </c>
      <c r="F2289" s="2">
        <v>2</v>
      </c>
      <c r="G2289" s="2" t="s">
        <v>9</v>
      </c>
    </row>
    <row r="2290" spans="1:9" x14ac:dyDescent="0.2">
      <c r="A2290" s="2" t="s">
        <v>3310</v>
      </c>
      <c r="B2290" s="2" t="s">
        <v>333</v>
      </c>
      <c r="C2290" s="2">
        <v>915.96119999999996</v>
      </c>
      <c r="D2290" s="2">
        <f>HYPERLINK("http://mcb-m6.bioreg.kyushu-u.ac.jp/M3/20110404/F50762/2367/1", 62.09)</f>
        <v>62.09</v>
      </c>
      <c r="E2290" s="2">
        <v>47.87</v>
      </c>
      <c r="F2290" s="2">
        <v>2</v>
      </c>
      <c r="G2290" s="2" t="s">
        <v>9</v>
      </c>
    </row>
    <row r="2291" spans="1:9" x14ac:dyDescent="0.2">
      <c r="A2291" s="2" t="s">
        <v>3310</v>
      </c>
      <c r="B2291" s="2" t="s">
        <v>582</v>
      </c>
      <c r="C2291" s="2">
        <v>1808.7449999999999</v>
      </c>
      <c r="D2291" s="2">
        <f>HYPERLINK("http://mcb-m6.bioreg.kyushu-u.ac.jp/M3/20110404/F50778/2613/1", 62.48)</f>
        <v>62.48</v>
      </c>
      <c r="E2291" s="2">
        <v>54.07</v>
      </c>
      <c r="F2291" s="2">
        <v>1</v>
      </c>
      <c r="G2291" s="2" t="s">
        <v>9</v>
      </c>
    </row>
    <row r="2292" spans="1:9" x14ac:dyDescent="0.2">
      <c r="A2292" s="2" t="s">
        <v>3310</v>
      </c>
      <c r="B2292" s="2" t="s">
        <v>333</v>
      </c>
      <c r="C2292" s="2">
        <v>915.89919999999995</v>
      </c>
      <c r="D2292" s="2">
        <f>HYPERLINK("http://mcb-m6.bioreg.kyushu-u.ac.jp/M3/20110404/F50764/2507/1", 64.47)</f>
        <v>64.47</v>
      </c>
      <c r="E2292" s="2">
        <v>52.07</v>
      </c>
      <c r="F2292" s="2">
        <v>2</v>
      </c>
      <c r="G2292" s="2" t="s">
        <v>9</v>
      </c>
    </row>
    <row r="2293" spans="1:9" x14ac:dyDescent="0.2">
      <c r="A2293" s="2" t="s">
        <v>3310</v>
      </c>
      <c r="B2293" s="2" t="s">
        <v>1992</v>
      </c>
      <c r="C2293" s="2">
        <v>668.2432</v>
      </c>
      <c r="D2293" s="2">
        <f>HYPERLINK("http://mcb-m6.bioreg.kyushu-u.ac.jp/M3/20110404/F50776/1510/1", 65.54)</f>
        <v>65.540000000000006</v>
      </c>
      <c r="E2293" s="2">
        <v>36</v>
      </c>
      <c r="F2293" s="2">
        <v>2</v>
      </c>
      <c r="G2293" s="2" t="s">
        <v>9</v>
      </c>
    </row>
    <row r="2294" spans="1:9" x14ac:dyDescent="0.2">
      <c r="A2294" s="2" t="s">
        <v>3310</v>
      </c>
      <c r="B2294" s="2" t="s">
        <v>333</v>
      </c>
      <c r="C2294" s="2">
        <v>915.48109999999997</v>
      </c>
      <c r="D2294" s="2">
        <f>HYPERLINK("http://mcb-m6.bioreg.kyushu-u.ac.jp/M3/20110404/F50778/2659/1", 65.91)</f>
        <v>65.91</v>
      </c>
      <c r="E2294" s="2">
        <v>50.16</v>
      </c>
      <c r="F2294" s="2">
        <v>2</v>
      </c>
      <c r="G2294" s="2" t="s">
        <v>9</v>
      </c>
    </row>
    <row r="2295" spans="1:9" x14ac:dyDescent="0.2">
      <c r="A2295" s="2" t="s">
        <v>3310</v>
      </c>
      <c r="B2295" s="2" t="s">
        <v>114</v>
      </c>
      <c r="C2295" s="2">
        <v>638.85860000000002</v>
      </c>
      <c r="D2295" s="2">
        <f>HYPERLINK("http://mcb-m6.bioreg.kyushu-u.ac.jp/M3/20110404/F50776/1429/1", 67.37)</f>
        <v>67.37</v>
      </c>
      <c r="E2295" s="2">
        <v>52.53</v>
      </c>
      <c r="F2295" s="2">
        <v>2</v>
      </c>
      <c r="G2295" s="2" t="s">
        <v>9</v>
      </c>
    </row>
    <row r="2296" spans="1:9" x14ac:dyDescent="0.2">
      <c r="A2296" s="2" t="s">
        <v>3310</v>
      </c>
      <c r="B2296" s="2" t="s">
        <v>642</v>
      </c>
      <c r="C2296" s="2">
        <v>674.98019999999997</v>
      </c>
      <c r="D2296" s="2">
        <f>HYPERLINK("http://mcb-m6.bioreg.kyushu-u.ac.jp/M3/20110404/F50778/1485/1", 69.45)</f>
        <v>69.45</v>
      </c>
      <c r="E2296" s="2">
        <v>59.02</v>
      </c>
      <c r="F2296" s="2">
        <v>2</v>
      </c>
      <c r="G2296" s="2" t="s">
        <v>9</v>
      </c>
      <c r="I2296" s="2" t="s">
        <v>4898</v>
      </c>
    </row>
    <row r="2297" spans="1:9" x14ac:dyDescent="0.2">
      <c r="A2297" s="2" t="s">
        <v>3310</v>
      </c>
      <c r="B2297" s="2" t="s">
        <v>333</v>
      </c>
      <c r="C2297" s="2">
        <v>915.29319999999996</v>
      </c>
      <c r="D2297" s="2">
        <f>HYPERLINK("http://mcb-m6.bioreg.kyushu-u.ac.jp/M3/20110404/F50755/2708/1", 71.28)</f>
        <v>71.28</v>
      </c>
      <c r="E2297" s="2">
        <v>57.51</v>
      </c>
      <c r="F2297" s="2">
        <v>2</v>
      </c>
      <c r="G2297" s="2" t="s">
        <v>9</v>
      </c>
    </row>
    <row r="2298" spans="1:9" x14ac:dyDescent="0.2">
      <c r="A2298" s="2" t="s">
        <v>3310</v>
      </c>
      <c r="B2298" s="2" t="s">
        <v>1992</v>
      </c>
      <c r="C2298" s="2">
        <v>668.38509999999997</v>
      </c>
      <c r="D2298" s="2">
        <f>HYPERLINK("http://mcb-m6.bioreg.kyushu-u.ac.jp/M3/20110404/F50778/1449/1", 71.72)</f>
        <v>71.72</v>
      </c>
      <c r="E2298" s="2">
        <v>45.8</v>
      </c>
      <c r="F2298" s="2">
        <v>2</v>
      </c>
      <c r="G2298" s="2" t="s">
        <v>9</v>
      </c>
    </row>
    <row r="2299" spans="1:9" x14ac:dyDescent="0.2">
      <c r="A2299" s="2" t="s">
        <v>3310</v>
      </c>
      <c r="B2299" s="2" t="s">
        <v>1932</v>
      </c>
      <c r="C2299" s="2">
        <v>924.75049999999999</v>
      </c>
      <c r="D2299" s="2">
        <f>HYPERLINK("http://mcb-m6.bioreg.kyushu-u.ac.jp/M3/20110404/F50778/3863/1", 74.78)</f>
        <v>74.78</v>
      </c>
      <c r="E2299" s="2">
        <v>62.09</v>
      </c>
      <c r="F2299" s="2">
        <v>3</v>
      </c>
      <c r="G2299" s="2" t="s">
        <v>9</v>
      </c>
    </row>
    <row r="2300" spans="1:9" x14ac:dyDescent="0.2">
      <c r="A2300" s="2" t="s">
        <v>3310</v>
      </c>
      <c r="B2300" s="2" t="s">
        <v>2048</v>
      </c>
      <c r="C2300" s="2">
        <v>857.34810000000004</v>
      </c>
      <c r="D2300" s="2">
        <f>HYPERLINK("http://mcb-m6.bioreg.kyushu-u.ac.jp/M3/20110404/F50778/2406/1", 77.8)</f>
        <v>77.8</v>
      </c>
      <c r="E2300" s="2">
        <v>66.03</v>
      </c>
      <c r="F2300" s="2">
        <v>2</v>
      </c>
      <c r="G2300" s="2" t="s">
        <v>9</v>
      </c>
    </row>
    <row r="2301" spans="1:9" x14ac:dyDescent="0.2">
      <c r="A2301" s="2" t="s">
        <v>3310</v>
      </c>
      <c r="B2301" s="2" t="s">
        <v>333</v>
      </c>
      <c r="C2301" s="2">
        <v>915.98720000000003</v>
      </c>
      <c r="D2301" s="2">
        <f>HYPERLINK("http://mcb-m6.bioreg.kyushu-u.ac.jp/M3/20110404/F50778/2661/1", 80.1)</f>
        <v>80.099999999999994</v>
      </c>
      <c r="E2301" s="2">
        <v>65.75</v>
      </c>
      <c r="F2301" s="2">
        <v>2</v>
      </c>
      <c r="G2301" s="2" t="s">
        <v>9</v>
      </c>
    </row>
    <row r="2302" spans="1:9" x14ac:dyDescent="0.2">
      <c r="A2302" s="2" t="s">
        <v>3310</v>
      </c>
      <c r="B2302" s="2" t="s">
        <v>1729</v>
      </c>
      <c r="C2302" s="2">
        <v>1247.28</v>
      </c>
      <c r="D2302" s="2">
        <f>HYPERLINK("http://mcb-m6.bioreg.kyushu-u.ac.jp/M3/20110404/F50778/3643/1", 80.25)</f>
        <v>80.25</v>
      </c>
      <c r="E2302" s="2">
        <v>74.819999999999993</v>
      </c>
      <c r="F2302" s="2">
        <v>2</v>
      </c>
      <c r="G2302" s="2" t="s">
        <v>9</v>
      </c>
      <c r="H2302" s="2" t="s">
        <v>4901</v>
      </c>
    </row>
    <row r="2303" spans="1:9" x14ac:dyDescent="0.2">
      <c r="A2303" s="2" t="s">
        <v>3310</v>
      </c>
      <c r="B2303" s="2" t="s">
        <v>333</v>
      </c>
      <c r="C2303" s="2">
        <v>915.95010000000002</v>
      </c>
      <c r="D2303" s="2">
        <f>HYPERLINK("http://mcb-m6.bioreg.kyushu-u.ac.jp/M3/20110404/F50777/2599/1", 82.64)</f>
        <v>82.64</v>
      </c>
      <c r="E2303" s="2">
        <v>64.510000000000005</v>
      </c>
      <c r="F2303" s="2">
        <v>2</v>
      </c>
      <c r="G2303" s="2" t="s">
        <v>9</v>
      </c>
    </row>
    <row r="2304" spans="1:9" x14ac:dyDescent="0.2">
      <c r="A2304" s="2" t="s">
        <v>3310</v>
      </c>
      <c r="B2304" s="2" t="s">
        <v>333</v>
      </c>
      <c r="C2304" s="2">
        <v>915.49270000000001</v>
      </c>
      <c r="D2304" s="2">
        <f>HYPERLINK("http://mcb-m6.bioreg.kyushu-u.ac.jp/M3/20110404/F50776/2304/1", 83.16)</f>
        <v>83.16</v>
      </c>
      <c r="E2304" s="2">
        <v>64.599999999999994</v>
      </c>
      <c r="F2304" s="2">
        <v>2</v>
      </c>
      <c r="G2304" s="2" t="s">
        <v>9</v>
      </c>
    </row>
    <row r="2305" spans="1:7" x14ac:dyDescent="0.2">
      <c r="A2305" s="2" t="s">
        <v>3310</v>
      </c>
      <c r="B2305" s="2" t="s">
        <v>582</v>
      </c>
      <c r="C2305" s="2">
        <v>904.84720000000004</v>
      </c>
      <c r="D2305" s="2">
        <f>HYPERLINK("http://mcb-m6.bioreg.kyushu-u.ac.jp/M3/20110404/F50767/2491/1", 88.29)</f>
        <v>88.29</v>
      </c>
      <c r="E2305" s="2">
        <v>67.73</v>
      </c>
      <c r="F2305" s="2">
        <v>2</v>
      </c>
      <c r="G2305" s="2" t="s">
        <v>9</v>
      </c>
    </row>
    <row r="2306" spans="1:7" x14ac:dyDescent="0.2">
      <c r="A2306" s="2" t="s">
        <v>3310</v>
      </c>
      <c r="B2306" s="2" t="s">
        <v>6599</v>
      </c>
      <c r="C2306" s="2">
        <v>781.26580000000001</v>
      </c>
      <c r="D2306" s="2">
        <f>HYPERLINK("http://mcb-m6.bioreg.kyushu-u.ac.jp/M3/20110404/F50778/3470/1", 89.32)</f>
        <v>89.32</v>
      </c>
      <c r="E2306" s="2">
        <v>77.75</v>
      </c>
      <c r="F2306" s="2">
        <v>3</v>
      </c>
      <c r="G2306" s="2" t="s">
        <v>9</v>
      </c>
    </row>
    <row r="2307" spans="1:7" x14ac:dyDescent="0.2">
      <c r="A2307" s="2" t="s">
        <v>3310</v>
      </c>
      <c r="B2307" s="2" t="s">
        <v>1061</v>
      </c>
      <c r="C2307" s="2">
        <v>833.26120000000003</v>
      </c>
      <c r="D2307" s="2">
        <f>HYPERLINK("http://mcb-m6.bioreg.kyushu-u.ac.jp/M3/20110404/F50755/2383/1", 89.43)</f>
        <v>89.43</v>
      </c>
      <c r="E2307" s="2">
        <v>72.7</v>
      </c>
      <c r="F2307" s="2">
        <v>2</v>
      </c>
      <c r="G2307" s="2" t="s">
        <v>9</v>
      </c>
    </row>
    <row r="2308" spans="1:7" x14ac:dyDescent="0.2">
      <c r="A2308" s="2" t="s">
        <v>3310</v>
      </c>
      <c r="B2308" s="2" t="s">
        <v>582</v>
      </c>
      <c r="C2308" s="2">
        <v>904.42769999999996</v>
      </c>
      <c r="D2308" s="2">
        <f>HYPERLINK("http://mcb-m6.bioreg.kyushu-u.ac.jp/M3/20110404/F50756/2712/1", 90.47)</f>
        <v>90.47</v>
      </c>
      <c r="E2308" s="2">
        <v>73.86</v>
      </c>
      <c r="F2308" s="2">
        <v>2</v>
      </c>
      <c r="G2308" s="2" t="s">
        <v>9</v>
      </c>
    </row>
    <row r="2309" spans="1:7" x14ac:dyDescent="0.2">
      <c r="A2309" s="2" t="s">
        <v>3310</v>
      </c>
      <c r="B2309" s="2" t="s">
        <v>2048</v>
      </c>
      <c r="C2309" s="2">
        <v>857.35270000000003</v>
      </c>
      <c r="D2309" s="2">
        <f>HYPERLINK("http://mcb-m6.bioreg.kyushu-u.ac.jp/M3/20110404/F50776/2089/1", 93.14)</f>
        <v>93.14</v>
      </c>
      <c r="E2309" s="2">
        <v>75.34</v>
      </c>
      <c r="F2309" s="2">
        <v>2</v>
      </c>
      <c r="G2309" s="2" t="s">
        <v>9</v>
      </c>
    </row>
    <row r="2310" spans="1:7" x14ac:dyDescent="0.2">
      <c r="A2310" s="2" t="s">
        <v>3310</v>
      </c>
      <c r="B2310" s="2" t="s">
        <v>582</v>
      </c>
      <c r="C2310" s="2">
        <v>904.49159999999995</v>
      </c>
      <c r="D2310" s="2">
        <f>HYPERLINK("http://mcb-m6.bioreg.kyushu-u.ac.jp/M3/20110404/F50776/2253/1", 96.68)</f>
        <v>96.68</v>
      </c>
      <c r="E2310" s="2">
        <v>77.47</v>
      </c>
      <c r="F2310" s="2">
        <v>2</v>
      </c>
      <c r="G2310" s="2" t="s">
        <v>9</v>
      </c>
    </row>
    <row r="2311" spans="1:7" x14ac:dyDescent="0.2">
      <c r="A2311" s="2" t="s">
        <v>3310</v>
      </c>
      <c r="B2311" s="2" t="s">
        <v>582</v>
      </c>
      <c r="C2311" s="2">
        <v>904.92359999999996</v>
      </c>
      <c r="D2311" s="2">
        <f>HYPERLINK("http://mcb-m6.bioreg.kyushu-u.ac.jp/M3/20110404/F50778/2616/1", 105.55)</f>
        <v>105.55</v>
      </c>
      <c r="E2311" s="2">
        <v>87.67</v>
      </c>
      <c r="F2311" s="2">
        <v>2</v>
      </c>
      <c r="G2311" s="2" t="s">
        <v>9</v>
      </c>
    </row>
    <row r="2312" spans="1:7" x14ac:dyDescent="0.2">
      <c r="A2312" s="2" t="s">
        <v>3310</v>
      </c>
      <c r="B2312" s="2" t="s">
        <v>582</v>
      </c>
      <c r="C2312" s="2">
        <v>904.30619999999999</v>
      </c>
      <c r="D2312" s="2">
        <f>HYPERLINK("http://mcb-m6.bioreg.kyushu-u.ac.jp/M3/20110404/F50777/2548/1", 120.57)</f>
        <v>120.57</v>
      </c>
      <c r="E2312" s="2">
        <v>103.82</v>
      </c>
      <c r="F2312" s="2">
        <v>2</v>
      </c>
      <c r="G2312" s="2" t="s">
        <v>9</v>
      </c>
    </row>
    <row r="2313" spans="1:7" x14ac:dyDescent="0.2">
      <c r="A2313" s="2" t="s">
        <v>3310</v>
      </c>
      <c r="B2313" s="2" t="s">
        <v>6599</v>
      </c>
      <c r="C2313" s="2">
        <v>1171.0519999999999</v>
      </c>
      <c r="D2313" s="2">
        <f>HYPERLINK("http://mcb-m6.bioreg.kyushu-u.ac.jp/M3/20110404/F50778/3469/1", 122.64)</f>
        <v>122.64</v>
      </c>
      <c r="E2313" s="2">
        <v>110.95</v>
      </c>
      <c r="F2313" s="2">
        <v>2</v>
      </c>
      <c r="G2313" s="2" t="s">
        <v>9</v>
      </c>
    </row>
    <row r="2314" spans="1:7" x14ac:dyDescent="0.2">
      <c r="A2314" s="2" t="s">
        <v>3310</v>
      </c>
      <c r="B2314" s="2" t="s">
        <v>582</v>
      </c>
      <c r="C2314" s="2">
        <v>904.41819999999996</v>
      </c>
      <c r="D2314" s="2">
        <f>HYPERLINK("http://mcb-m6.bioreg.kyushu-u.ac.jp/M3/20110404/F50778/2612/1", 130.65)</f>
        <v>130.65</v>
      </c>
      <c r="E2314" s="2">
        <v>109.87</v>
      </c>
      <c r="F2314" s="2">
        <v>2</v>
      </c>
      <c r="G2314" s="2" t="s">
        <v>9</v>
      </c>
    </row>
    <row r="2315" spans="1:7" x14ac:dyDescent="0.2">
      <c r="A2315" s="2" t="s">
        <v>3310</v>
      </c>
      <c r="B2315" s="2" t="s">
        <v>6672</v>
      </c>
      <c r="C2315" s="2">
        <v>1200.549</v>
      </c>
      <c r="D2315" s="2">
        <f>HYPERLINK("http://mcb-m6.bioreg.kyushu-u.ac.jp/M3/20110404/F50778/3531/1", 132.97)</f>
        <v>132.97</v>
      </c>
      <c r="E2315" s="2">
        <v>125.33</v>
      </c>
      <c r="F2315" s="2">
        <v>2</v>
      </c>
      <c r="G2315" s="2" t="s">
        <v>9</v>
      </c>
    </row>
    <row r="2316" spans="1:7" x14ac:dyDescent="0.2">
      <c r="A2316" s="2" t="s">
        <v>3310</v>
      </c>
      <c r="B2316" s="2" t="s">
        <v>333</v>
      </c>
      <c r="C2316" s="2">
        <v>915.47770000000003</v>
      </c>
      <c r="D2316" s="2">
        <f>HYPERLINK("http://mcb-m6.bioreg.kyushu-u.ac.jp/M3/20110404/F50773/2484/1", 37.26)</f>
        <v>37.26</v>
      </c>
      <c r="E2316" s="2">
        <v>18.89</v>
      </c>
      <c r="F2316" s="2">
        <v>2</v>
      </c>
      <c r="G2316" s="2" t="s">
        <v>10</v>
      </c>
    </row>
    <row r="2317" spans="1:7" x14ac:dyDescent="0.2">
      <c r="A2317" s="2" t="s">
        <v>3310</v>
      </c>
      <c r="B2317" s="2" t="s">
        <v>114</v>
      </c>
      <c r="C2317" s="2">
        <v>1275.663</v>
      </c>
      <c r="D2317" s="2">
        <f>HYPERLINK("http://mcb-m6.bioreg.kyushu-u.ac.jp/M3/20110404/F50775/1514/1", 40.11)</f>
        <v>40.11</v>
      </c>
      <c r="E2317" s="2">
        <v>18.829999999999998</v>
      </c>
      <c r="F2317" s="2">
        <v>1</v>
      </c>
      <c r="G2317" s="2" t="s">
        <v>10</v>
      </c>
    </row>
    <row r="2318" spans="1:7" x14ac:dyDescent="0.2">
      <c r="A2318" s="2" t="s">
        <v>3310</v>
      </c>
      <c r="B2318" s="2" t="s">
        <v>2607</v>
      </c>
      <c r="C2318" s="2">
        <v>499.69659999999999</v>
      </c>
      <c r="D2318" s="2">
        <f>HYPERLINK("http://mcb-m6.bioreg.kyushu-u.ac.jp/M3/20110404/F50775/1042/1", 40.55)</f>
        <v>40.549999999999997</v>
      </c>
      <c r="E2318" s="2">
        <v>18.75</v>
      </c>
      <c r="F2318" s="2">
        <v>2</v>
      </c>
      <c r="G2318" s="2" t="s">
        <v>10</v>
      </c>
    </row>
    <row r="2319" spans="1:7" x14ac:dyDescent="0.2">
      <c r="A2319" s="2" t="s">
        <v>3310</v>
      </c>
      <c r="B2319" s="2" t="s">
        <v>821</v>
      </c>
      <c r="C2319" s="2">
        <v>1079.3779999999999</v>
      </c>
      <c r="D2319" s="2">
        <f>HYPERLINK("http://mcb-m6.bioreg.kyushu-u.ac.jp/M3/20110404/F50775/1198/1", 41.38)</f>
        <v>41.38</v>
      </c>
      <c r="E2319" s="2">
        <v>25.53</v>
      </c>
      <c r="F2319" s="2">
        <v>1</v>
      </c>
      <c r="G2319" s="2" t="s">
        <v>10</v>
      </c>
    </row>
    <row r="2320" spans="1:7" x14ac:dyDescent="0.2">
      <c r="A2320" s="2" t="s">
        <v>3310</v>
      </c>
      <c r="B2320" s="2" t="s">
        <v>1992</v>
      </c>
      <c r="C2320" s="2">
        <v>668.73519999999996</v>
      </c>
      <c r="D2320" s="2">
        <f>HYPERLINK("http://mcb-m6.bioreg.kyushu-u.ac.jp/M3/20110404/F50768/1584/1", 45.1)</f>
        <v>45.1</v>
      </c>
      <c r="E2320" s="2">
        <v>30.72</v>
      </c>
      <c r="F2320" s="2">
        <v>2</v>
      </c>
      <c r="G2320" s="2" t="s">
        <v>10</v>
      </c>
    </row>
    <row r="2321" spans="1:9" x14ac:dyDescent="0.2">
      <c r="A2321" s="2" t="s">
        <v>3310</v>
      </c>
      <c r="B2321" s="2" t="s">
        <v>333</v>
      </c>
      <c r="C2321" s="2">
        <v>915.78520000000003</v>
      </c>
      <c r="D2321" s="2">
        <f>HYPERLINK("http://mcb-m6.bioreg.kyushu-u.ac.jp/M3/20110404/F50772/2618/1", 45.72)</f>
        <v>45.72</v>
      </c>
      <c r="E2321" s="2">
        <v>29.71</v>
      </c>
      <c r="F2321" s="2">
        <v>2</v>
      </c>
      <c r="G2321" s="2" t="s">
        <v>10</v>
      </c>
    </row>
    <row r="2322" spans="1:9" x14ac:dyDescent="0.2">
      <c r="A2322" s="2" t="s">
        <v>3310</v>
      </c>
      <c r="B2322" s="2" t="s">
        <v>333</v>
      </c>
      <c r="C2322" s="2">
        <v>915.96259999999995</v>
      </c>
      <c r="D2322" s="2">
        <f>HYPERLINK("http://mcb-m6.bioreg.kyushu-u.ac.jp/M3/20110404/F50781/2282/1", 46.02)</f>
        <v>46.02</v>
      </c>
      <c r="E2322" s="2">
        <v>33.57</v>
      </c>
      <c r="F2322" s="2">
        <v>2</v>
      </c>
      <c r="G2322" s="2" t="s">
        <v>10</v>
      </c>
    </row>
    <row r="2323" spans="1:9" x14ac:dyDescent="0.2">
      <c r="A2323" s="2" t="s">
        <v>3310</v>
      </c>
      <c r="B2323" s="2" t="s">
        <v>333</v>
      </c>
      <c r="C2323" s="2">
        <v>915.38019999999995</v>
      </c>
      <c r="D2323" s="2">
        <f>HYPERLINK("http://mcb-m6.bioreg.kyushu-u.ac.jp/M3/20110404/F50768/2487/1", 46.98)</f>
        <v>46.98</v>
      </c>
      <c r="E2323" s="2">
        <v>34.340000000000003</v>
      </c>
      <c r="F2323" s="2">
        <v>2</v>
      </c>
      <c r="G2323" s="2" t="s">
        <v>10</v>
      </c>
    </row>
    <row r="2324" spans="1:9" x14ac:dyDescent="0.2">
      <c r="A2324" s="2" t="s">
        <v>3310</v>
      </c>
      <c r="B2324" s="2" t="s">
        <v>333</v>
      </c>
      <c r="C2324" s="2">
        <v>907.19569999999999</v>
      </c>
      <c r="D2324" s="2">
        <f>HYPERLINK("http://mcb-m6.bioreg.kyushu-u.ac.jp/M3/20110404/F50775/2533/1", 48.2)</f>
        <v>48.2</v>
      </c>
      <c r="E2324" s="2">
        <v>26.85</v>
      </c>
      <c r="F2324" s="2">
        <v>2</v>
      </c>
      <c r="G2324" s="2" t="s">
        <v>10</v>
      </c>
      <c r="H2324" s="2" t="s">
        <v>4904</v>
      </c>
    </row>
    <row r="2325" spans="1:9" x14ac:dyDescent="0.2">
      <c r="A2325" s="2" t="s">
        <v>3310</v>
      </c>
      <c r="B2325" s="2" t="s">
        <v>821</v>
      </c>
      <c r="C2325" s="2">
        <v>539.7527</v>
      </c>
      <c r="D2325" s="2">
        <f>HYPERLINK("http://mcb-m6.bioreg.kyushu-u.ac.jp/M3/20110404/F50775/1195/1", 49.82)</f>
        <v>49.82</v>
      </c>
      <c r="E2325" s="2">
        <v>30.03</v>
      </c>
      <c r="F2325" s="2">
        <v>2</v>
      </c>
      <c r="G2325" s="2" t="s">
        <v>10</v>
      </c>
    </row>
    <row r="2326" spans="1:9" x14ac:dyDescent="0.2">
      <c r="A2326" s="2" t="s">
        <v>3310</v>
      </c>
      <c r="B2326" s="2" t="s">
        <v>642</v>
      </c>
      <c r="C2326" s="2">
        <v>675.29769999999996</v>
      </c>
      <c r="D2326" s="2">
        <f>HYPERLINK("http://mcb-m6.bioreg.kyushu-u.ac.jp/M3/20110404/F50774/1590/1", 50.31)</f>
        <v>50.31</v>
      </c>
      <c r="E2326" s="2">
        <v>40.700000000000003</v>
      </c>
      <c r="F2326" s="2">
        <v>2</v>
      </c>
      <c r="G2326" s="2" t="s">
        <v>10</v>
      </c>
      <c r="I2326" s="2" t="s">
        <v>4898</v>
      </c>
    </row>
    <row r="2327" spans="1:9" x14ac:dyDescent="0.2">
      <c r="A2327" s="2" t="s">
        <v>3310</v>
      </c>
      <c r="B2327" s="2" t="s">
        <v>279</v>
      </c>
      <c r="C2327" s="2">
        <v>850.48900000000003</v>
      </c>
      <c r="D2327" s="2">
        <f>HYPERLINK("http://mcb-m6.bioreg.kyushu-u.ac.jp/M3/20110404/F50775/774/1", 51.08)</f>
        <v>51.08</v>
      </c>
      <c r="E2327" s="2">
        <v>28.61</v>
      </c>
      <c r="F2327" s="2">
        <v>1</v>
      </c>
      <c r="G2327" s="2" t="s">
        <v>10</v>
      </c>
    </row>
    <row r="2328" spans="1:9" x14ac:dyDescent="0.2">
      <c r="A2328" s="2" t="s">
        <v>3310</v>
      </c>
      <c r="B2328" s="2" t="s">
        <v>1992</v>
      </c>
      <c r="C2328" s="2">
        <v>1336.0150000000001</v>
      </c>
      <c r="D2328" s="2">
        <f>HYPERLINK("http://mcb-m6.bioreg.kyushu-u.ac.jp/M3/20110404/F50775/1600/1", 51.08)</f>
        <v>51.08</v>
      </c>
      <c r="E2328" s="2">
        <v>35.28</v>
      </c>
      <c r="F2328" s="2">
        <v>1</v>
      </c>
      <c r="G2328" s="2" t="s">
        <v>10</v>
      </c>
    </row>
    <row r="2329" spans="1:9" x14ac:dyDescent="0.2">
      <c r="A2329" s="2" t="s">
        <v>3310</v>
      </c>
      <c r="B2329" s="2" t="s">
        <v>2607</v>
      </c>
      <c r="C2329" s="2">
        <v>998.38199999999995</v>
      </c>
      <c r="D2329" s="2">
        <f>HYPERLINK("http://mcb-m6.bioreg.kyushu-u.ac.jp/M3/20110404/F50775/1041/1", 51.2)</f>
        <v>51.2</v>
      </c>
      <c r="E2329" s="2">
        <v>31.32</v>
      </c>
      <c r="F2329" s="2">
        <v>1</v>
      </c>
      <c r="G2329" s="2" t="s">
        <v>10</v>
      </c>
    </row>
    <row r="2330" spans="1:9" x14ac:dyDescent="0.2">
      <c r="A2330" s="2" t="s">
        <v>3310</v>
      </c>
      <c r="B2330" s="2" t="s">
        <v>1992</v>
      </c>
      <c r="C2330" s="2">
        <v>668.74519999999995</v>
      </c>
      <c r="D2330" s="2">
        <f>HYPERLINK("http://mcb-m6.bioreg.kyushu-u.ac.jp/M3/20110404/F50770/1624/1", 53.57)</f>
        <v>53.57</v>
      </c>
      <c r="E2330" s="2">
        <v>25.47</v>
      </c>
      <c r="F2330" s="2">
        <v>2</v>
      </c>
      <c r="G2330" s="2" t="s">
        <v>10</v>
      </c>
    </row>
    <row r="2331" spans="1:9" x14ac:dyDescent="0.2">
      <c r="A2331" s="2" t="s">
        <v>3310</v>
      </c>
      <c r="B2331" s="2" t="s">
        <v>114</v>
      </c>
      <c r="C2331" s="2">
        <v>638.86659999999995</v>
      </c>
      <c r="D2331" s="2">
        <f>HYPERLINK("http://mcb-m6.bioreg.kyushu-u.ac.jp/M3/20110404/F50781/1469/1", 54.19)</f>
        <v>54.19</v>
      </c>
      <c r="E2331" s="2">
        <v>38.28</v>
      </c>
      <c r="F2331" s="2">
        <v>2</v>
      </c>
      <c r="G2331" s="2" t="s">
        <v>10</v>
      </c>
    </row>
    <row r="2332" spans="1:9" x14ac:dyDescent="0.2">
      <c r="A2332" s="2" t="s">
        <v>3310</v>
      </c>
      <c r="B2332" s="2" t="s">
        <v>1992</v>
      </c>
      <c r="C2332" s="2">
        <v>668.39570000000003</v>
      </c>
      <c r="D2332" s="2">
        <f>HYPERLINK("http://mcb-m6.bioreg.kyushu-u.ac.jp/M3/20110404/F50773/1502/1", 55.12)</f>
        <v>55.12</v>
      </c>
      <c r="E2332" s="2">
        <v>30.4</v>
      </c>
      <c r="F2332" s="2">
        <v>2</v>
      </c>
      <c r="G2332" s="2" t="s">
        <v>10</v>
      </c>
    </row>
    <row r="2333" spans="1:9" x14ac:dyDescent="0.2">
      <c r="A2333" s="2" t="s">
        <v>3310</v>
      </c>
      <c r="B2333" s="2" t="s">
        <v>1910</v>
      </c>
      <c r="C2333" s="2">
        <v>627.82759999999996</v>
      </c>
      <c r="D2333" s="2">
        <f>HYPERLINK("http://mcb-m6.bioreg.kyushu-u.ac.jp/M3/20110404/F50775/1488/1", 56)</f>
        <v>56</v>
      </c>
      <c r="E2333" s="2">
        <v>33.42</v>
      </c>
      <c r="F2333" s="2">
        <v>2</v>
      </c>
      <c r="G2333" s="2" t="s">
        <v>10</v>
      </c>
    </row>
    <row r="2334" spans="1:9" x14ac:dyDescent="0.2">
      <c r="A2334" s="2" t="s">
        <v>3310</v>
      </c>
      <c r="B2334" s="2" t="s">
        <v>2048</v>
      </c>
      <c r="C2334" s="2">
        <v>857.34370000000001</v>
      </c>
      <c r="D2334" s="2">
        <f>HYPERLINK("http://mcb-m6.bioreg.kyushu-u.ac.jp/M3/20110404/F50775/2360/1", 58.39)</f>
        <v>58.39</v>
      </c>
      <c r="E2334" s="2">
        <v>48.46</v>
      </c>
      <c r="F2334" s="2">
        <v>2</v>
      </c>
      <c r="G2334" s="2" t="s">
        <v>10</v>
      </c>
    </row>
    <row r="2335" spans="1:9" x14ac:dyDescent="0.2">
      <c r="A2335" s="2" t="s">
        <v>3310</v>
      </c>
      <c r="B2335" s="2" t="s">
        <v>642</v>
      </c>
      <c r="C2335" s="2">
        <v>675.26070000000004</v>
      </c>
      <c r="D2335" s="2">
        <f>HYPERLINK("http://mcb-m6.bioreg.kyushu-u.ac.jp/M3/20110404/F50775/1627/1", 63.73)</f>
        <v>63.73</v>
      </c>
      <c r="E2335" s="2">
        <v>50.39</v>
      </c>
      <c r="F2335" s="2">
        <v>2</v>
      </c>
      <c r="G2335" s="2" t="s">
        <v>10</v>
      </c>
      <c r="I2335" s="2" t="s">
        <v>4898</v>
      </c>
    </row>
    <row r="2336" spans="1:9" x14ac:dyDescent="0.2">
      <c r="A2336" s="2" t="s">
        <v>3310</v>
      </c>
      <c r="B2336" s="2" t="s">
        <v>333</v>
      </c>
      <c r="C2336" s="2">
        <v>915.87369999999999</v>
      </c>
      <c r="D2336" s="2">
        <f>HYPERLINK("http://mcb-m6.bioreg.kyushu-u.ac.jp/M3/20110404/F50782/2640/1", 63.84)</f>
        <v>63.84</v>
      </c>
      <c r="E2336" s="2">
        <v>52.25</v>
      </c>
      <c r="F2336" s="2">
        <v>2</v>
      </c>
      <c r="G2336" s="2" t="s">
        <v>10</v>
      </c>
    </row>
    <row r="2337" spans="1:9" x14ac:dyDescent="0.2">
      <c r="A2337" s="2" t="s">
        <v>3310</v>
      </c>
      <c r="B2337" s="2" t="s">
        <v>582</v>
      </c>
      <c r="C2337" s="2">
        <v>904.33119999999997</v>
      </c>
      <c r="D2337" s="2">
        <f>HYPERLINK("http://mcb-m6.bioreg.kyushu-u.ac.jp/M3/20110404/F50774/2458/1", 63.97)</f>
        <v>63.97</v>
      </c>
      <c r="E2337" s="2">
        <v>49.4</v>
      </c>
      <c r="F2337" s="2">
        <v>2</v>
      </c>
      <c r="G2337" s="2" t="s">
        <v>10</v>
      </c>
    </row>
    <row r="2338" spans="1:9" x14ac:dyDescent="0.2">
      <c r="A2338" s="2" t="s">
        <v>3310</v>
      </c>
      <c r="B2338" s="2" t="s">
        <v>642</v>
      </c>
      <c r="C2338" s="2">
        <v>674.73019999999997</v>
      </c>
      <c r="D2338" s="2">
        <f>HYPERLINK("http://mcb-m6.bioreg.kyushu-u.ac.jp/M3/20110404/F50775/1626/1", 66.68)</f>
        <v>66.680000000000007</v>
      </c>
      <c r="E2338" s="2">
        <v>48.84</v>
      </c>
      <c r="F2338" s="2">
        <v>2</v>
      </c>
      <c r="G2338" s="2" t="s">
        <v>10</v>
      </c>
      <c r="I2338" s="2" t="s">
        <v>4898</v>
      </c>
    </row>
    <row r="2339" spans="1:9" x14ac:dyDescent="0.2">
      <c r="A2339" s="2" t="s">
        <v>3310</v>
      </c>
      <c r="B2339" s="2" t="s">
        <v>333</v>
      </c>
      <c r="C2339" s="2">
        <v>915.50070000000005</v>
      </c>
      <c r="D2339" s="2">
        <f>HYPERLINK("http://mcb-m6.bioreg.kyushu-u.ac.jp/M3/20110404/F50761/2560/1", 66.74)</f>
        <v>66.739999999999995</v>
      </c>
      <c r="E2339" s="2">
        <v>52.24</v>
      </c>
      <c r="F2339" s="2">
        <v>2</v>
      </c>
      <c r="G2339" s="2" t="s">
        <v>10</v>
      </c>
    </row>
    <row r="2340" spans="1:9" x14ac:dyDescent="0.2">
      <c r="A2340" s="2" t="s">
        <v>3310</v>
      </c>
      <c r="B2340" s="2" t="s">
        <v>1992</v>
      </c>
      <c r="C2340" s="2">
        <v>668.69619999999998</v>
      </c>
      <c r="D2340" s="2">
        <f>HYPERLINK("http://mcb-m6.bioreg.kyushu-u.ac.jp/M3/20110404/F50774/1569/1", 66.98)</f>
        <v>66.98</v>
      </c>
      <c r="E2340" s="2">
        <v>41.71</v>
      </c>
      <c r="F2340" s="2">
        <v>2</v>
      </c>
      <c r="G2340" s="2" t="s">
        <v>10</v>
      </c>
    </row>
    <row r="2341" spans="1:9" x14ac:dyDescent="0.2">
      <c r="A2341" s="2" t="s">
        <v>3310</v>
      </c>
      <c r="B2341" s="2" t="s">
        <v>1992</v>
      </c>
      <c r="C2341" s="2">
        <v>668.31209999999999</v>
      </c>
      <c r="D2341" s="2">
        <f>HYPERLINK("http://mcb-m6.bioreg.kyushu-u.ac.jp/M3/20110404/F50772/1578/1", 69)</f>
        <v>69</v>
      </c>
      <c r="E2341" s="2">
        <v>45.82</v>
      </c>
      <c r="F2341" s="2">
        <v>2</v>
      </c>
      <c r="G2341" s="2" t="s">
        <v>10</v>
      </c>
    </row>
    <row r="2342" spans="1:9" x14ac:dyDescent="0.2">
      <c r="A2342" s="2" t="s">
        <v>3310</v>
      </c>
      <c r="B2342" s="2" t="s">
        <v>114</v>
      </c>
      <c r="C2342" s="2">
        <v>638.33920000000001</v>
      </c>
      <c r="D2342" s="2">
        <f>HYPERLINK("http://mcb-m6.bioreg.kyushu-u.ac.jp/M3/20110404/F50775/1515/1", 70.96)</f>
        <v>70.959999999999994</v>
      </c>
      <c r="E2342" s="2">
        <v>55.49</v>
      </c>
      <c r="F2342" s="2">
        <v>2</v>
      </c>
      <c r="G2342" s="2" t="s">
        <v>10</v>
      </c>
    </row>
    <row r="2343" spans="1:9" x14ac:dyDescent="0.2">
      <c r="A2343" s="2" t="s">
        <v>3310</v>
      </c>
      <c r="B2343" s="2" t="s">
        <v>333</v>
      </c>
      <c r="C2343" s="2">
        <v>915.45759999999996</v>
      </c>
      <c r="D2343" s="2">
        <f>HYPERLINK("http://mcb-m6.bioreg.kyushu-u.ac.jp/M3/20110404/F50781/2279/1", 72.2)</f>
        <v>72.2</v>
      </c>
      <c r="E2343" s="2">
        <v>58.35</v>
      </c>
      <c r="F2343" s="2">
        <v>2</v>
      </c>
      <c r="G2343" s="2" t="s">
        <v>10</v>
      </c>
    </row>
    <row r="2344" spans="1:9" x14ac:dyDescent="0.2">
      <c r="A2344" s="2" t="s">
        <v>3310</v>
      </c>
      <c r="B2344" s="2" t="s">
        <v>1992</v>
      </c>
      <c r="C2344" s="2">
        <v>668.40419999999995</v>
      </c>
      <c r="D2344" s="2">
        <f>HYPERLINK("http://mcb-m6.bioreg.kyushu-u.ac.jp/M3/20110404/F50761/1525/1", 72.6)</f>
        <v>72.599999999999994</v>
      </c>
      <c r="E2344" s="2">
        <v>53.48</v>
      </c>
      <c r="F2344" s="2">
        <v>2</v>
      </c>
      <c r="G2344" s="2" t="s">
        <v>10</v>
      </c>
    </row>
    <row r="2345" spans="1:9" x14ac:dyDescent="0.2">
      <c r="A2345" s="2" t="s">
        <v>3310</v>
      </c>
      <c r="B2345" s="2" t="s">
        <v>1061</v>
      </c>
      <c r="C2345" s="2">
        <v>833.27369999999996</v>
      </c>
      <c r="D2345" s="2">
        <f>HYPERLINK("http://mcb-m6.bioreg.kyushu-u.ac.jp/M3/20110404/F50761/2209/1", 82.09)</f>
        <v>82.09</v>
      </c>
      <c r="E2345" s="2">
        <v>67.91</v>
      </c>
      <c r="F2345" s="2">
        <v>2</v>
      </c>
      <c r="G2345" s="2" t="s">
        <v>10</v>
      </c>
    </row>
    <row r="2346" spans="1:9" x14ac:dyDescent="0.2">
      <c r="A2346" s="2" t="s">
        <v>3310</v>
      </c>
      <c r="B2346" s="2" t="s">
        <v>1992</v>
      </c>
      <c r="C2346" s="2">
        <v>668.26509999999996</v>
      </c>
      <c r="D2346" s="2">
        <f>HYPERLINK("http://mcb-m6.bioreg.kyushu-u.ac.jp/M3/20110404/F50775/1599/1", 83.87)</f>
        <v>83.87</v>
      </c>
      <c r="E2346" s="2">
        <v>56.22</v>
      </c>
      <c r="F2346" s="2">
        <v>2</v>
      </c>
      <c r="G2346" s="2" t="s">
        <v>10</v>
      </c>
    </row>
    <row r="2347" spans="1:9" x14ac:dyDescent="0.2">
      <c r="A2347" s="2" t="s">
        <v>3310</v>
      </c>
      <c r="B2347" s="2" t="s">
        <v>333</v>
      </c>
      <c r="C2347" s="2">
        <v>915.50319999999999</v>
      </c>
      <c r="D2347" s="2">
        <f>HYPERLINK("http://mcb-m6.bioreg.kyushu-u.ac.jp/M3/20110404/F50774/2500/1", 85.68)</f>
        <v>85.68</v>
      </c>
      <c r="E2347" s="2">
        <v>66.55</v>
      </c>
      <c r="F2347" s="2">
        <v>2</v>
      </c>
      <c r="G2347" s="2" t="s">
        <v>10</v>
      </c>
    </row>
    <row r="2348" spans="1:9" x14ac:dyDescent="0.2">
      <c r="A2348" s="2" t="s">
        <v>3310</v>
      </c>
      <c r="B2348" s="2" t="s">
        <v>2048</v>
      </c>
      <c r="C2348" s="2">
        <v>1712.588</v>
      </c>
      <c r="D2348" s="2">
        <f>HYPERLINK("http://mcb-m6.bioreg.kyushu-u.ac.jp/M3/20110404/F50775/2358/1", 86.45)</f>
        <v>86.45</v>
      </c>
      <c r="E2348" s="2">
        <v>68.66</v>
      </c>
      <c r="F2348" s="2">
        <v>1</v>
      </c>
      <c r="G2348" s="2" t="s">
        <v>10</v>
      </c>
    </row>
    <row r="2349" spans="1:9" x14ac:dyDescent="0.2">
      <c r="A2349" s="2" t="s">
        <v>3310</v>
      </c>
      <c r="B2349" s="2" t="s">
        <v>333</v>
      </c>
      <c r="C2349" s="2">
        <v>915.35270000000003</v>
      </c>
      <c r="D2349" s="2">
        <f>HYPERLINK("http://mcb-m6.bioreg.kyushu-u.ac.jp/M3/20110404/F50775/2567/1", 96.6)</f>
        <v>96.6</v>
      </c>
      <c r="E2349" s="2">
        <v>82.61</v>
      </c>
      <c r="F2349" s="2">
        <v>2</v>
      </c>
      <c r="G2349" s="2" t="s">
        <v>10</v>
      </c>
    </row>
    <row r="2350" spans="1:9" x14ac:dyDescent="0.2">
      <c r="A2350" s="2" t="s">
        <v>3310</v>
      </c>
      <c r="B2350" s="2" t="s">
        <v>1061</v>
      </c>
      <c r="C2350" s="2">
        <v>833.39509999999996</v>
      </c>
      <c r="D2350" s="2">
        <f>HYPERLINK("http://mcb-m6.bioreg.kyushu-u.ac.jp/M3/20110404/F50775/2310/1", 96.98)</f>
        <v>96.98</v>
      </c>
      <c r="E2350" s="2">
        <v>77.94</v>
      </c>
      <c r="F2350" s="2">
        <v>2</v>
      </c>
      <c r="G2350" s="2" t="s">
        <v>10</v>
      </c>
    </row>
    <row r="2351" spans="1:9" x14ac:dyDescent="0.2">
      <c r="A2351" s="2" t="s">
        <v>3310</v>
      </c>
      <c r="B2351" s="2" t="s">
        <v>582</v>
      </c>
      <c r="C2351" s="2">
        <v>904.34720000000004</v>
      </c>
      <c r="D2351" s="2">
        <f>HYPERLINK("http://mcb-m6.bioreg.kyushu-u.ac.jp/M3/20110404/F50775/2525/1", 97.01)</f>
        <v>97.01</v>
      </c>
      <c r="E2351" s="2">
        <v>83.29</v>
      </c>
      <c r="F2351" s="2">
        <v>2</v>
      </c>
      <c r="G2351" s="2" t="s">
        <v>10</v>
      </c>
    </row>
    <row r="2352" spans="1:9" x14ac:dyDescent="0.2">
      <c r="A2352" s="2" t="s">
        <v>3310</v>
      </c>
      <c r="B2352" s="2" t="s">
        <v>2048</v>
      </c>
      <c r="C2352" s="2">
        <v>856.81960000000004</v>
      </c>
      <c r="D2352" s="2">
        <f>HYPERLINK("http://mcb-m6.bioreg.kyushu-u.ac.jp/M3/20110404/F50775/2359/1", 103.03)</f>
        <v>103.03</v>
      </c>
      <c r="E2352" s="2">
        <v>89.44</v>
      </c>
      <c r="F2352" s="2">
        <v>2</v>
      </c>
      <c r="G2352" s="2" t="s">
        <v>10</v>
      </c>
    </row>
    <row r="2353" spans="1:9" x14ac:dyDescent="0.2">
      <c r="A2353" s="2" t="s">
        <v>3310</v>
      </c>
      <c r="B2353" s="2" t="s">
        <v>1729</v>
      </c>
      <c r="C2353" s="2">
        <v>1246.895</v>
      </c>
      <c r="D2353" s="2">
        <f>HYPERLINK("http://mcb-m6.bioreg.kyushu-u.ac.jp/M3/20110404/F50775/3209/1", 107.79)</f>
        <v>107.79</v>
      </c>
      <c r="E2353" s="2">
        <v>97.16</v>
      </c>
      <c r="F2353" s="2">
        <v>2</v>
      </c>
      <c r="G2353" s="2" t="s">
        <v>10</v>
      </c>
      <c r="H2353" s="2" t="s">
        <v>4901</v>
      </c>
    </row>
    <row r="2354" spans="1:9" x14ac:dyDescent="0.2">
      <c r="A2354" s="2" t="s">
        <v>3310</v>
      </c>
      <c r="B2354" s="2" t="s">
        <v>6599</v>
      </c>
      <c r="C2354" s="2">
        <v>1171.5070000000001</v>
      </c>
      <c r="D2354" s="2">
        <f>HYPERLINK("http://mcb-m6.bioreg.kyushu-u.ac.jp/M3/20110404/F50775/3124/1", 111.64)</f>
        <v>111.64</v>
      </c>
      <c r="E2354" s="2">
        <v>98.15</v>
      </c>
      <c r="F2354" s="2">
        <v>2</v>
      </c>
      <c r="G2354" s="2" t="s">
        <v>10</v>
      </c>
    </row>
    <row r="2355" spans="1:9" x14ac:dyDescent="0.2">
      <c r="A2355" s="2" t="s">
        <v>3310</v>
      </c>
      <c r="B2355" s="2" t="s">
        <v>582</v>
      </c>
      <c r="C2355" s="2">
        <v>904.34119999999996</v>
      </c>
      <c r="D2355" s="2">
        <f>HYPERLINK("http://mcb-m6.bioreg.kyushu-u.ac.jp/M3/20110404/F50761/2512/1", 112.75)</f>
        <v>112.75</v>
      </c>
      <c r="E2355" s="2">
        <v>94.35</v>
      </c>
      <c r="F2355" s="2">
        <v>2</v>
      </c>
      <c r="G2355" s="2" t="s">
        <v>10</v>
      </c>
    </row>
    <row r="2356" spans="1:9" x14ac:dyDescent="0.2">
      <c r="A2356" s="2" t="s">
        <v>3310</v>
      </c>
      <c r="B2356" s="2" t="s">
        <v>582</v>
      </c>
      <c r="C2356" s="2">
        <v>904.41110000000003</v>
      </c>
      <c r="D2356" s="2">
        <f>HYPERLINK("http://mcb-m6.bioreg.kyushu-u.ac.jp/M3/20110404/F50775/2526/1", 129.58)</f>
        <v>129.58000000000001</v>
      </c>
      <c r="E2356" s="2">
        <v>113.57</v>
      </c>
      <c r="F2356" s="2">
        <v>2</v>
      </c>
      <c r="G2356" s="2" t="s">
        <v>10</v>
      </c>
    </row>
    <row r="2357" spans="1:9" x14ac:dyDescent="0.2">
      <c r="A2357" s="2" t="s">
        <v>3310</v>
      </c>
      <c r="B2357" s="2" t="s">
        <v>6672</v>
      </c>
      <c r="C2357" s="2">
        <v>1200.646</v>
      </c>
      <c r="D2357" s="2">
        <f>HYPERLINK("http://mcb-m6.bioreg.kyushu-u.ac.jp/M3/20110404/F50775/3156/1", 135.25)</f>
        <v>135.25</v>
      </c>
      <c r="E2357" s="2">
        <v>124.87</v>
      </c>
      <c r="F2357" s="2">
        <v>2</v>
      </c>
      <c r="G2357" s="2" t="s">
        <v>10</v>
      </c>
    </row>
    <row r="2358" spans="1:9" x14ac:dyDescent="0.2">
      <c r="A2358" s="2" t="s">
        <v>3310</v>
      </c>
      <c r="B2358" s="2" t="s">
        <v>6217</v>
      </c>
      <c r="C2358" s="2">
        <v>1072.4590000000001</v>
      </c>
      <c r="D2358" s="2">
        <f>HYPERLINK("http://mcb-m6.bioreg.kyushu-u.ac.jp/M3/20110421/F51039/1113/1", 36.85)</f>
        <v>36.85</v>
      </c>
      <c r="E2358" s="2">
        <v>20.58</v>
      </c>
      <c r="F2358" s="2">
        <v>1</v>
      </c>
      <c r="G2358" s="2" t="s">
        <v>11</v>
      </c>
    </row>
    <row r="2359" spans="1:9" x14ac:dyDescent="0.2">
      <c r="A2359" s="2" t="s">
        <v>3310</v>
      </c>
      <c r="B2359" s="2" t="s">
        <v>1910</v>
      </c>
      <c r="C2359" s="2">
        <v>628.03120000000001</v>
      </c>
      <c r="D2359" s="2">
        <f>HYPERLINK("http://mcb-m6.bioreg.kyushu-u.ac.jp/M3/20110421/F51039/1519/1", 37.53)</f>
        <v>37.53</v>
      </c>
      <c r="E2359" s="2">
        <v>17.8</v>
      </c>
      <c r="F2359" s="2">
        <v>2</v>
      </c>
      <c r="G2359" s="2" t="s">
        <v>11</v>
      </c>
    </row>
    <row r="2360" spans="1:9" x14ac:dyDescent="0.2">
      <c r="A2360" s="2" t="s">
        <v>3310</v>
      </c>
      <c r="B2360" s="2" t="s">
        <v>642</v>
      </c>
      <c r="C2360" s="2">
        <v>450.39449999999999</v>
      </c>
      <c r="D2360" s="2">
        <f>HYPERLINK("http://mcb-m6.bioreg.kyushu-u.ac.jp/M3/20110421/F51039/1682/1", 37.55)</f>
        <v>37.549999999999997</v>
      </c>
      <c r="E2360" s="2">
        <v>20.9</v>
      </c>
      <c r="F2360" s="2">
        <v>3</v>
      </c>
      <c r="G2360" s="2" t="s">
        <v>11</v>
      </c>
      <c r="I2360" s="2" t="s">
        <v>4898</v>
      </c>
    </row>
    <row r="2361" spans="1:9" x14ac:dyDescent="0.2">
      <c r="A2361" s="2" t="s">
        <v>3310</v>
      </c>
      <c r="B2361" s="2" t="s">
        <v>1729</v>
      </c>
      <c r="C2361" s="2">
        <v>1247.45</v>
      </c>
      <c r="D2361" s="2">
        <f>HYPERLINK("http://mcb-m6.bioreg.kyushu-u.ac.jp/M3/20110421/F51039/3670/1", 39.55)</f>
        <v>39.549999999999997</v>
      </c>
      <c r="E2361" s="2">
        <v>32.159999999999997</v>
      </c>
      <c r="F2361" s="2">
        <v>2</v>
      </c>
      <c r="G2361" s="2" t="s">
        <v>11</v>
      </c>
      <c r="H2361" s="2" t="s">
        <v>4901</v>
      </c>
    </row>
    <row r="2362" spans="1:9" x14ac:dyDescent="0.2">
      <c r="A2362" s="2" t="s">
        <v>3310</v>
      </c>
      <c r="B2362" s="2" t="s">
        <v>1992</v>
      </c>
      <c r="C2362" s="2">
        <v>1335.4739999999999</v>
      </c>
      <c r="D2362" s="2">
        <f>HYPERLINK("http://mcb-m6.bioreg.kyushu-u.ac.jp/M3/20110421/F51039/1635/1", 40.72)</f>
        <v>40.72</v>
      </c>
      <c r="E2362" s="2">
        <v>25.06</v>
      </c>
      <c r="F2362" s="2">
        <v>1</v>
      </c>
      <c r="G2362" s="2" t="s">
        <v>11</v>
      </c>
    </row>
    <row r="2363" spans="1:9" x14ac:dyDescent="0.2">
      <c r="A2363" s="2" t="s">
        <v>3310</v>
      </c>
      <c r="B2363" s="2" t="s">
        <v>642</v>
      </c>
      <c r="C2363" s="2">
        <v>674.82069999999999</v>
      </c>
      <c r="D2363" s="2">
        <f>HYPERLINK("http://mcb-m6.bioreg.kyushu-u.ac.jp/M3/20110421/F51039/1679/1", 44.99)</f>
        <v>44.99</v>
      </c>
      <c r="E2363" s="2">
        <v>29.18</v>
      </c>
      <c r="F2363" s="2">
        <v>2</v>
      </c>
      <c r="G2363" s="2" t="s">
        <v>11</v>
      </c>
      <c r="I2363" s="2" t="s">
        <v>4898</v>
      </c>
    </row>
    <row r="2364" spans="1:9" x14ac:dyDescent="0.2">
      <c r="A2364" s="2" t="s">
        <v>3310</v>
      </c>
      <c r="B2364" s="2" t="s">
        <v>114</v>
      </c>
      <c r="C2364" s="2">
        <v>638.42769999999996</v>
      </c>
      <c r="D2364" s="2">
        <f>HYPERLINK("http://mcb-m6.bioreg.kyushu-u.ac.jp/M3/20110421/F51042/1294/1", 46.76)</f>
        <v>46.76</v>
      </c>
      <c r="E2364" s="2">
        <v>33.130000000000003</v>
      </c>
      <c r="F2364" s="2">
        <v>2</v>
      </c>
      <c r="G2364" s="2" t="s">
        <v>11</v>
      </c>
    </row>
    <row r="2365" spans="1:9" x14ac:dyDescent="0.2">
      <c r="A2365" s="2" t="s">
        <v>3310</v>
      </c>
      <c r="B2365" s="2" t="s">
        <v>333</v>
      </c>
      <c r="C2365" s="2">
        <v>915.83259999999996</v>
      </c>
      <c r="D2365" s="2">
        <f>HYPERLINK("http://mcb-m6.bioreg.kyushu-u.ac.jp/M3/20110421/F51042/2927/1", 49.18)</f>
        <v>49.18</v>
      </c>
      <c r="E2365" s="2">
        <v>35.44</v>
      </c>
      <c r="F2365" s="2">
        <v>2</v>
      </c>
      <c r="G2365" s="2" t="s">
        <v>11</v>
      </c>
    </row>
    <row r="2366" spans="1:9" x14ac:dyDescent="0.2">
      <c r="A2366" s="2" t="s">
        <v>3310</v>
      </c>
      <c r="B2366" s="2" t="s">
        <v>114</v>
      </c>
      <c r="C2366" s="2">
        <v>638.37710000000004</v>
      </c>
      <c r="D2366" s="2">
        <f>HYPERLINK("http://mcb-m6.bioreg.kyushu-u.ac.jp/M3/20110421/F51039/1551/1", 51.68)</f>
        <v>51.68</v>
      </c>
      <c r="E2366" s="2">
        <v>37.75</v>
      </c>
      <c r="F2366" s="2">
        <v>2</v>
      </c>
      <c r="G2366" s="2" t="s">
        <v>11</v>
      </c>
    </row>
    <row r="2367" spans="1:9" x14ac:dyDescent="0.2">
      <c r="A2367" s="2" t="s">
        <v>3310</v>
      </c>
      <c r="B2367" s="2" t="s">
        <v>114</v>
      </c>
      <c r="C2367" s="2">
        <v>638.68269999999995</v>
      </c>
      <c r="D2367" s="2">
        <f>HYPERLINK("http://mcb-m6.bioreg.kyushu-u.ac.jp/M3/20110421/F51040/1521/1", 52.7)</f>
        <v>52.7</v>
      </c>
      <c r="E2367" s="2">
        <v>39.24</v>
      </c>
      <c r="F2367" s="2">
        <v>2</v>
      </c>
      <c r="G2367" s="2" t="s">
        <v>11</v>
      </c>
    </row>
    <row r="2368" spans="1:9" x14ac:dyDescent="0.2">
      <c r="A2368" s="2" t="s">
        <v>3310</v>
      </c>
      <c r="B2368" s="2" t="s">
        <v>1992</v>
      </c>
      <c r="C2368" s="2">
        <v>668.94870000000003</v>
      </c>
      <c r="D2368" s="2">
        <f>HYPERLINK("http://mcb-m6.bioreg.kyushu-u.ac.jp/M3/20110421/F51042/1460/1", 55.37)</f>
        <v>55.37</v>
      </c>
      <c r="E2368" s="2">
        <v>40.26</v>
      </c>
      <c r="F2368" s="2">
        <v>2</v>
      </c>
      <c r="G2368" s="2" t="s">
        <v>11</v>
      </c>
    </row>
    <row r="2369" spans="1:7" x14ac:dyDescent="0.2">
      <c r="A2369" s="2" t="s">
        <v>3310</v>
      </c>
      <c r="B2369" s="2" t="s">
        <v>2048</v>
      </c>
      <c r="C2369" s="2">
        <v>857.41819999999996</v>
      </c>
      <c r="D2369" s="2">
        <f>HYPERLINK("http://mcb-m6.bioreg.kyushu-u.ac.jp/M3/20110421/F51039/2668/1", 55.49)</f>
        <v>55.49</v>
      </c>
      <c r="E2369" s="2">
        <v>44.28</v>
      </c>
      <c r="F2369" s="2">
        <v>2</v>
      </c>
      <c r="G2369" s="2" t="s">
        <v>11</v>
      </c>
    </row>
    <row r="2370" spans="1:7" x14ac:dyDescent="0.2">
      <c r="A2370" s="2" t="s">
        <v>3310</v>
      </c>
      <c r="B2370" s="2" t="s">
        <v>333</v>
      </c>
      <c r="C2370" s="2">
        <v>915.37270000000001</v>
      </c>
      <c r="D2370" s="2">
        <f>HYPERLINK("http://mcb-m6.bioreg.kyushu-u.ac.jp/M3/20110421/F51037/3047/1", 63.18)</f>
        <v>63.18</v>
      </c>
      <c r="E2370" s="2">
        <v>50.56</v>
      </c>
      <c r="F2370" s="2">
        <v>2</v>
      </c>
      <c r="G2370" s="2" t="s">
        <v>11</v>
      </c>
    </row>
    <row r="2371" spans="1:7" x14ac:dyDescent="0.2">
      <c r="A2371" s="2" t="s">
        <v>3310</v>
      </c>
      <c r="B2371" s="2" t="s">
        <v>333</v>
      </c>
      <c r="C2371" s="2">
        <v>915.24469999999997</v>
      </c>
      <c r="D2371" s="2">
        <f>HYPERLINK("http://mcb-m6.bioreg.kyushu-u.ac.jp/M3/20110421/F51017/2929/1", 71.09)</f>
        <v>71.09</v>
      </c>
      <c r="E2371" s="2">
        <v>50.92</v>
      </c>
      <c r="F2371" s="2">
        <v>2</v>
      </c>
      <c r="G2371" s="2" t="s">
        <v>11</v>
      </c>
    </row>
    <row r="2372" spans="1:7" x14ac:dyDescent="0.2">
      <c r="A2372" s="2" t="s">
        <v>3310</v>
      </c>
      <c r="B2372" s="2" t="s">
        <v>1061</v>
      </c>
      <c r="C2372" s="2">
        <v>555.9502</v>
      </c>
      <c r="D2372" s="2">
        <f>HYPERLINK("http://mcb-m6.bioreg.kyushu-u.ac.jp/M3/20110421/F51039/2589/1", 73.39)</f>
        <v>73.39</v>
      </c>
      <c r="E2372" s="2">
        <v>54.54</v>
      </c>
      <c r="F2372" s="2">
        <v>3</v>
      </c>
      <c r="G2372" s="2" t="s">
        <v>11</v>
      </c>
    </row>
    <row r="2373" spans="1:7" x14ac:dyDescent="0.2">
      <c r="A2373" s="2" t="s">
        <v>3310</v>
      </c>
      <c r="B2373" s="2" t="s">
        <v>2048</v>
      </c>
      <c r="C2373" s="2">
        <v>857.27170000000001</v>
      </c>
      <c r="D2373" s="2">
        <f>HYPERLINK("http://mcb-m6.bioreg.kyushu-u.ac.jp/M3/20110421/F51040/2598/1", 76.91)</f>
        <v>76.91</v>
      </c>
      <c r="E2373" s="2">
        <v>62.69</v>
      </c>
      <c r="F2373" s="2">
        <v>2</v>
      </c>
      <c r="G2373" s="2" t="s">
        <v>11</v>
      </c>
    </row>
    <row r="2374" spans="1:7" x14ac:dyDescent="0.2">
      <c r="A2374" s="2" t="s">
        <v>3310</v>
      </c>
      <c r="B2374" s="2" t="s">
        <v>333</v>
      </c>
      <c r="C2374" s="2">
        <v>915.3777</v>
      </c>
      <c r="D2374" s="2">
        <f>HYPERLINK("http://mcb-m6.bioreg.kyushu-u.ac.jp/M3/20110421/F51034/2816/1", 80.5)</f>
        <v>80.5</v>
      </c>
      <c r="E2374" s="2">
        <v>68.12</v>
      </c>
      <c r="F2374" s="2">
        <v>2</v>
      </c>
      <c r="G2374" s="2" t="s">
        <v>11</v>
      </c>
    </row>
    <row r="2375" spans="1:7" x14ac:dyDescent="0.2">
      <c r="A2375" s="2" t="s">
        <v>3310</v>
      </c>
      <c r="B2375" s="2" t="s">
        <v>333</v>
      </c>
      <c r="C2375" s="2">
        <v>915.8682</v>
      </c>
      <c r="D2375" s="2">
        <f>HYPERLINK("http://mcb-m6.bioreg.kyushu-u.ac.jp/M3/20110421/F51040/2819/1", 84.45)</f>
        <v>84.45</v>
      </c>
      <c r="E2375" s="2">
        <v>65.31</v>
      </c>
      <c r="F2375" s="2">
        <v>2</v>
      </c>
      <c r="G2375" s="2" t="s">
        <v>11</v>
      </c>
    </row>
    <row r="2376" spans="1:7" x14ac:dyDescent="0.2">
      <c r="A2376" s="2" t="s">
        <v>3310</v>
      </c>
      <c r="B2376" s="2" t="s">
        <v>333</v>
      </c>
      <c r="C2376" s="2">
        <v>915.34619999999995</v>
      </c>
      <c r="D2376" s="2">
        <f>HYPERLINK("http://mcb-m6.bioreg.kyushu-u.ac.jp/M3/20110421/F51040/2815/1", 89.19)</f>
        <v>89.19</v>
      </c>
      <c r="E2376" s="2">
        <v>75.17</v>
      </c>
      <c r="F2376" s="2">
        <v>2</v>
      </c>
      <c r="G2376" s="2" t="s">
        <v>11</v>
      </c>
    </row>
    <row r="2377" spans="1:7" x14ac:dyDescent="0.2">
      <c r="A2377" s="2" t="s">
        <v>3310</v>
      </c>
      <c r="B2377" s="2" t="s">
        <v>333</v>
      </c>
      <c r="C2377" s="2">
        <v>915.53309999999999</v>
      </c>
      <c r="D2377" s="2">
        <f>HYPERLINK("http://mcb-m6.bioreg.kyushu-u.ac.jp/M3/20110421/F51058/2621/1", 90.52)</f>
        <v>90.52</v>
      </c>
      <c r="E2377" s="2">
        <v>77.41</v>
      </c>
      <c r="F2377" s="2">
        <v>2</v>
      </c>
      <c r="G2377" s="2" t="s">
        <v>11</v>
      </c>
    </row>
    <row r="2378" spans="1:7" x14ac:dyDescent="0.2">
      <c r="A2378" s="2" t="s">
        <v>3310</v>
      </c>
      <c r="B2378" s="2" t="s">
        <v>1061</v>
      </c>
      <c r="C2378" s="2">
        <v>833.35170000000005</v>
      </c>
      <c r="D2378" s="2">
        <f>HYPERLINK("http://mcb-m6.bioreg.kyushu-u.ac.jp/M3/20110421/F51040/2521/1", 90.55)</f>
        <v>90.55</v>
      </c>
      <c r="E2378" s="2">
        <v>65.099999999999994</v>
      </c>
      <c r="F2378" s="2">
        <v>2</v>
      </c>
      <c r="G2378" s="2" t="s">
        <v>11</v>
      </c>
    </row>
    <row r="2379" spans="1:7" x14ac:dyDescent="0.2">
      <c r="A2379" s="2" t="s">
        <v>3310</v>
      </c>
      <c r="B2379" s="2" t="s">
        <v>1061</v>
      </c>
      <c r="C2379" s="2">
        <v>833.37919999999997</v>
      </c>
      <c r="D2379" s="2">
        <f>HYPERLINK("http://mcb-m6.bioreg.kyushu-u.ac.jp/M3/20110421/F51039/2588/1", 91.95)</f>
        <v>91.95</v>
      </c>
      <c r="E2379" s="2">
        <v>73.16</v>
      </c>
      <c r="F2379" s="2">
        <v>2</v>
      </c>
      <c r="G2379" s="2" t="s">
        <v>11</v>
      </c>
    </row>
    <row r="2380" spans="1:7" x14ac:dyDescent="0.2">
      <c r="A2380" s="2" t="s">
        <v>3310</v>
      </c>
      <c r="B2380" s="2" t="s">
        <v>2048</v>
      </c>
      <c r="C2380" s="2">
        <v>856.77509999999995</v>
      </c>
      <c r="D2380" s="2">
        <f>HYPERLINK("http://mcb-m6.bioreg.kyushu-u.ac.jp/M3/20110421/F51039/2664/1", 93.37)</f>
        <v>93.37</v>
      </c>
      <c r="E2380" s="2">
        <v>81.290000000000006</v>
      </c>
      <c r="F2380" s="2">
        <v>2</v>
      </c>
      <c r="G2380" s="2" t="s">
        <v>11</v>
      </c>
    </row>
    <row r="2381" spans="1:7" x14ac:dyDescent="0.2">
      <c r="A2381" s="2" t="s">
        <v>3310</v>
      </c>
      <c r="B2381" s="2" t="s">
        <v>333</v>
      </c>
      <c r="C2381" s="2">
        <v>915.32709999999997</v>
      </c>
      <c r="D2381" s="2">
        <f>HYPERLINK("http://mcb-m6.bioreg.kyushu-u.ac.jp/M3/20110421/F51042/2924/1", 94.06)</f>
        <v>94.06</v>
      </c>
      <c r="E2381" s="2">
        <v>81.790000000000006</v>
      </c>
      <c r="F2381" s="2">
        <v>2</v>
      </c>
      <c r="G2381" s="2" t="s">
        <v>11</v>
      </c>
    </row>
    <row r="2382" spans="1:7" x14ac:dyDescent="0.2">
      <c r="A2382" s="2" t="s">
        <v>3310</v>
      </c>
      <c r="B2382" s="2" t="s">
        <v>582</v>
      </c>
      <c r="C2382" s="2">
        <v>904.41970000000003</v>
      </c>
      <c r="D2382" s="2">
        <f>HYPERLINK("http://mcb-m6.bioreg.kyushu-u.ac.jp/M3/20110421/F51039/2875/1", 102.39)</f>
        <v>102.39</v>
      </c>
      <c r="E2382" s="2">
        <v>79.37</v>
      </c>
      <c r="F2382" s="2">
        <v>2</v>
      </c>
      <c r="G2382" s="2" t="s">
        <v>11</v>
      </c>
    </row>
    <row r="2383" spans="1:7" x14ac:dyDescent="0.2">
      <c r="A2383" s="2" t="s">
        <v>3310</v>
      </c>
      <c r="B2383" s="2" t="s">
        <v>582</v>
      </c>
      <c r="C2383" s="2">
        <v>904.45669999999996</v>
      </c>
      <c r="D2383" s="2">
        <f>HYPERLINK("http://mcb-m6.bioreg.kyushu-u.ac.jp/M3/20110421/F51040/2765/1", 112.07)</f>
        <v>112.07</v>
      </c>
      <c r="E2383" s="2">
        <v>93.59</v>
      </c>
      <c r="F2383" s="2">
        <v>2</v>
      </c>
      <c r="G2383" s="2" t="s">
        <v>11</v>
      </c>
    </row>
    <row r="2384" spans="1:7" x14ac:dyDescent="0.2">
      <c r="A2384" s="2" t="s">
        <v>3310</v>
      </c>
      <c r="B2384" s="2" t="s">
        <v>582</v>
      </c>
      <c r="C2384" s="2">
        <v>904.43709999999999</v>
      </c>
      <c r="D2384" s="2">
        <f>HYPERLINK("http://mcb-m6.bioreg.kyushu-u.ac.jp/M3/20110421/F51039/2876/1", 115.91)</f>
        <v>115.91</v>
      </c>
      <c r="E2384" s="2">
        <v>97.42</v>
      </c>
      <c r="F2384" s="2">
        <v>2</v>
      </c>
      <c r="G2384" s="2" t="s">
        <v>11</v>
      </c>
    </row>
    <row r="2385" spans="1:9" x14ac:dyDescent="0.2">
      <c r="A2385" s="2" t="s">
        <v>3310</v>
      </c>
      <c r="B2385" s="2" t="s">
        <v>582</v>
      </c>
      <c r="C2385" s="2">
        <v>904.33169999999996</v>
      </c>
      <c r="D2385" s="2">
        <f>HYPERLINK("http://mcb-m6.bioreg.kyushu-u.ac.jp/M3/20110421/F51042/2869/1", 135.39)</f>
        <v>135.38999999999999</v>
      </c>
      <c r="E2385" s="2">
        <v>112.6</v>
      </c>
      <c r="F2385" s="2">
        <v>2</v>
      </c>
      <c r="G2385" s="2" t="s">
        <v>11</v>
      </c>
    </row>
    <row r="2386" spans="1:9" x14ac:dyDescent="0.2">
      <c r="A2386" s="2" t="s">
        <v>3310</v>
      </c>
      <c r="B2386" s="2" t="s">
        <v>316</v>
      </c>
      <c r="C2386" s="2">
        <v>471.51909999999998</v>
      </c>
      <c r="D2386" s="2">
        <f>HYPERLINK("http://mcb-m6.bioreg.kyushu-u.ac.jp/M3/20110421/F51048/926/1", 35.3)</f>
        <v>35.299999999999997</v>
      </c>
      <c r="E2386" s="2">
        <v>8.7799999999999994</v>
      </c>
      <c r="F2386" s="2">
        <v>2</v>
      </c>
      <c r="G2386" s="2" t="s">
        <v>12</v>
      </c>
    </row>
    <row r="2387" spans="1:9" x14ac:dyDescent="0.2">
      <c r="A2387" s="2" t="s">
        <v>3310</v>
      </c>
      <c r="B2387" s="2" t="s">
        <v>7155</v>
      </c>
      <c r="C2387" s="2">
        <v>773.38599999999997</v>
      </c>
      <c r="D2387" s="2">
        <f>HYPERLINK("http://mcb-m6.bioreg.kyushu-u.ac.jp/M3/20110421/F51050/815/1", 35.39)</f>
        <v>35.39</v>
      </c>
      <c r="E2387" s="2">
        <v>11.36</v>
      </c>
      <c r="F2387" s="2">
        <v>1</v>
      </c>
      <c r="G2387" s="2" t="s">
        <v>12</v>
      </c>
    </row>
    <row r="2388" spans="1:9" x14ac:dyDescent="0.2">
      <c r="A2388" s="2" t="s">
        <v>3310</v>
      </c>
      <c r="B2388" s="2" t="s">
        <v>2048</v>
      </c>
      <c r="C2388" s="2">
        <v>856.98419999999999</v>
      </c>
      <c r="D2388" s="2">
        <f>HYPERLINK("http://mcb-m6.bioreg.kyushu-u.ac.jp/M3/20110421/F51043/2582/1", 36.84)</f>
        <v>36.840000000000003</v>
      </c>
      <c r="E2388" s="2">
        <v>26.24</v>
      </c>
      <c r="F2388" s="2">
        <v>2</v>
      </c>
      <c r="G2388" s="2" t="s">
        <v>12</v>
      </c>
    </row>
    <row r="2389" spans="1:9" x14ac:dyDescent="0.2">
      <c r="A2389" s="2" t="s">
        <v>3310</v>
      </c>
      <c r="B2389" s="2" t="s">
        <v>114</v>
      </c>
      <c r="C2389" s="2">
        <v>638.47860000000003</v>
      </c>
      <c r="D2389" s="2">
        <f>HYPERLINK("http://mcb-m6.bioreg.kyushu-u.ac.jp/M3/20110421/F51050/1673/1", 37.21)</f>
        <v>37.21</v>
      </c>
      <c r="E2389" s="2">
        <v>24.95</v>
      </c>
      <c r="F2389" s="2">
        <v>2</v>
      </c>
      <c r="G2389" s="2" t="s">
        <v>12</v>
      </c>
    </row>
    <row r="2390" spans="1:9" x14ac:dyDescent="0.2">
      <c r="A2390" s="2" t="s">
        <v>3310</v>
      </c>
      <c r="B2390" s="2" t="s">
        <v>333</v>
      </c>
      <c r="C2390" s="2">
        <v>907.17719999999997</v>
      </c>
      <c r="D2390" s="2">
        <f>HYPERLINK("http://mcb-m6.bioreg.kyushu-u.ac.jp/M3/20110421/F51044/2752/1", 37.87)</f>
        <v>37.869999999999997</v>
      </c>
      <c r="E2390" s="2">
        <v>21.45</v>
      </c>
      <c r="F2390" s="2">
        <v>2</v>
      </c>
      <c r="G2390" s="2" t="s">
        <v>12</v>
      </c>
      <c r="H2390" s="2" t="s">
        <v>4904</v>
      </c>
    </row>
    <row r="2391" spans="1:9" x14ac:dyDescent="0.2">
      <c r="A2391" s="2" t="s">
        <v>3310</v>
      </c>
      <c r="B2391" s="2" t="s">
        <v>333</v>
      </c>
      <c r="C2391" s="2">
        <v>915.47519999999997</v>
      </c>
      <c r="D2391" s="2">
        <f>HYPERLINK("http://mcb-m6.bioreg.kyushu-u.ac.jp/M3/20110421/F51050/2737/1", 38.2)</f>
        <v>38.200000000000003</v>
      </c>
      <c r="E2391" s="2">
        <v>28.32</v>
      </c>
      <c r="F2391" s="2">
        <v>2</v>
      </c>
      <c r="G2391" s="2" t="s">
        <v>12</v>
      </c>
    </row>
    <row r="2392" spans="1:9" x14ac:dyDescent="0.2">
      <c r="A2392" s="2" t="s">
        <v>3310</v>
      </c>
      <c r="B2392" s="2" t="s">
        <v>1992</v>
      </c>
      <c r="C2392" s="2">
        <v>1335.576</v>
      </c>
      <c r="D2392" s="2">
        <f>HYPERLINK("http://mcb-m6.bioreg.kyushu-u.ac.jp/M3/20110421/F51048/1765/1", 39.31)</f>
        <v>39.31</v>
      </c>
      <c r="E2392" s="2">
        <v>27.87</v>
      </c>
      <c r="F2392" s="2">
        <v>1</v>
      </c>
      <c r="G2392" s="2" t="s">
        <v>12</v>
      </c>
    </row>
    <row r="2393" spans="1:9" x14ac:dyDescent="0.2">
      <c r="A2393" s="2" t="s">
        <v>3310</v>
      </c>
      <c r="B2393" s="2" t="s">
        <v>6217</v>
      </c>
      <c r="C2393" s="2">
        <v>1072.7139999999999</v>
      </c>
      <c r="D2393" s="2">
        <f>HYPERLINK("http://mcb-m6.bioreg.kyushu-u.ac.jp/M3/20110421/F51050/1304/1", 40.13)</f>
        <v>40.130000000000003</v>
      </c>
      <c r="E2393" s="2">
        <v>17.440000000000001</v>
      </c>
      <c r="F2393" s="2">
        <v>1</v>
      </c>
      <c r="G2393" s="2" t="s">
        <v>12</v>
      </c>
    </row>
    <row r="2394" spans="1:9" x14ac:dyDescent="0.2">
      <c r="A2394" s="2" t="s">
        <v>3310</v>
      </c>
      <c r="B2394" s="2" t="s">
        <v>316</v>
      </c>
      <c r="C2394" s="2">
        <v>471.5061</v>
      </c>
      <c r="D2394" s="2">
        <f>HYPERLINK("http://mcb-m6.bioreg.kyushu-u.ac.jp/M3/20110421/F51050/988/1", 42.29)</f>
        <v>42.29</v>
      </c>
      <c r="E2394" s="2">
        <v>10.92</v>
      </c>
      <c r="F2394" s="2">
        <v>2</v>
      </c>
      <c r="G2394" s="2" t="s">
        <v>12</v>
      </c>
    </row>
    <row r="2395" spans="1:9" x14ac:dyDescent="0.2">
      <c r="A2395" s="2" t="s">
        <v>3310</v>
      </c>
      <c r="B2395" s="2" t="s">
        <v>1992</v>
      </c>
      <c r="C2395" s="2">
        <v>1335.6320000000001</v>
      </c>
      <c r="D2395" s="2">
        <f>HYPERLINK("http://mcb-m6.bioreg.kyushu-u.ac.jp/M3/20110421/F51050/1759/1", 43.85)</f>
        <v>43.85</v>
      </c>
      <c r="E2395" s="2">
        <v>31.43</v>
      </c>
      <c r="F2395" s="2">
        <v>1</v>
      </c>
      <c r="G2395" s="2" t="s">
        <v>12</v>
      </c>
    </row>
    <row r="2396" spans="1:9" x14ac:dyDescent="0.2">
      <c r="A2396" s="2" t="s">
        <v>3310</v>
      </c>
      <c r="B2396" s="2" t="s">
        <v>642</v>
      </c>
      <c r="C2396" s="2">
        <v>675.21169999999995</v>
      </c>
      <c r="D2396" s="2">
        <f>HYPERLINK("http://mcb-m6.bioreg.kyushu-u.ac.jp/M3/20110421/F51050/1792/1", 45.96)</f>
        <v>45.96</v>
      </c>
      <c r="E2396" s="2">
        <v>30.89</v>
      </c>
      <c r="F2396" s="2">
        <v>2</v>
      </c>
      <c r="G2396" s="2" t="s">
        <v>12</v>
      </c>
      <c r="I2396" s="2" t="s">
        <v>4898</v>
      </c>
    </row>
    <row r="2397" spans="1:9" x14ac:dyDescent="0.2">
      <c r="A2397" s="2" t="s">
        <v>3310</v>
      </c>
      <c r="B2397" s="2" t="s">
        <v>1992</v>
      </c>
      <c r="C2397" s="2">
        <v>668.41219999999998</v>
      </c>
      <c r="D2397" s="2">
        <f>HYPERLINK("http://mcb-m6.bioreg.kyushu-u.ac.jp/M3/20110421/F51050/1761/1", 51.82)</f>
        <v>51.82</v>
      </c>
      <c r="E2397" s="2">
        <v>32.770000000000003</v>
      </c>
      <c r="F2397" s="2">
        <v>2</v>
      </c>
      <c r="G2397" s="2" t="s">
        <v>12</v>
      </c>
    </row>
    <row r="2398" spans="1:9" x14ac:dyDescent="0.2">
      <c r="A2398" s="2" t="s">
        <v>3310</v>
      </c>
      <c r="B2398" s="2" t="s">
        <v>642</v>
      </c>
      <c r="C2398" s="2">
        <v>674.90769999999998</v>
      </c>
      <c r="D2398" s="2">
        <f>HYPERLINK("http://mcb-m6.bioreg.kyushu-u.ac.jp/M3/20110421/F51050/1790/1", 52.44)</f>
        <v>52.44</v>
      </c>
      <c r="E2398" s="2">
        <v>36.17</v>
      </c>
      <c r="F2398" s="2">
        <v>2</v>
      </c>
      <c r="G2398" s="2" t="s">
        <v>12</v>
      </c>
      <c r="I2398" s="2" t="s">
        <v>4898</v>
      </c>
    </row>
    <row r="2399" spans="1:9" x14ac:dyDescent="0.2">
      <c r="A2399" s="2" t="s">
        <v>3310</v>
      </c>
      <c r="B2399" s="2" t="s">
        <v>114</v>
      </c>
      <c r="C2399" s="2">
        <v>638.74220000000003</v>
      </c>
      <c r="D2399" s="2">
        <f>HYPERLINK("http://mcb-m6.bioreg.kyushu-u.ac.jp/M3/20110421/F51050/1676/1", 56.42)</f>
        <v>56.42</v>
      </c>
      <c r="E2399" s="2">
        <v>38.06</v>
      </c>
      <c r="F2399" s="2">
        <v>2</v>
      </c>
      <c r="G2399" s="2" t="s">
        <v>12</v>
      </c>
    </row>
    <row r="2400" spans="1:9" x14ac:dyDescent="0.2">
      <c r="A2400" s="2" t="s">
        <v>3310</v>
      </c>
      <c r="B2400" s="2" t="s">
        <v>114</v>
      </c>
      <c r="C2400" s="2">
        <v>638.80520000000001</v>
      </c>
      <c r="D2400" s="2">
        <f>HYPERLINK("http://mcb-m6.bioreg.kyushu-u.ac.jp/M3/20110421/F51048/1695/1", 56.78)</f>
        <v>56.78</v>
      </c>
      <c r="E2400" s="2">
        <v>38.14</v>
      </c>
      <c r="F2400" s="2">
        <v>2</v>
      </c>
      <c r="G2400" s="2" t="s">
        <v>12</v>
      </c>
    </row>
    <row r="2401" spans="1:9" x14ac:dyDescent="0.2">
      <c r="A2401" s="2" t="s">
        <v>3310</v>
      </c>
      <c r="B2401" s="2" t="s">
        <v>821</v>
      </c>
      <c r="C2401" s="2">
        <v>539.88760000000002</v>
      </c>
      <c r="D2401" s="2">
        <f>HYPERLINK("http://mcb-m6.bioreg.kyushu-u.ac.jp/M3/20110421/F51050/1318/1", 57.12)</f>
        <v>57.12</v>
      </c>
      <c r="E2401" s="2">
        <v>27.52</v>
      </c>
      <c r="F2401" s="2">
        <v>2</v>
      </c>
      <c r="G2401" s="2" t="s">
        <v>12</v>
      </c>
    </row>
    <row r="2402" spans="1:9" x14ac:dyDescent="0.2">
      <c r="A2402" s="2" t="s">
        <v>3310</v>
      </c>
      <c r="B2402" s="2" t="s">
        <v>1061</v>
      </c>
      <c r="C2402" s="2">
        <v>556.10080000000005</v>
      </c>
      <c r="D2402" s="2">
        <f>HYPERLINK("http://mcb-m6.bioreg.kyushu-u.ac.jp/M3/20110421/F51050/2479/1", 59.8)</f>
        <v>59.8</v>
      </c>
      <c r="E2402" s="2">
        <v>36.659999999999997</v>
      </c>
      <c r="F2402" s="2">
        <v>3</v>
      </c>
      <c r="G2402" s="2" t="s">
        <v>12</v>
      </c>
    </row>
    <row r="2403" spans="1:9" x14ac:dyDescent="0.2">
      <c r="A2403" s="2" t="s">
        <v>3310</v>
      </c>
      <c r="B2403" s="2" t="s">
        <v>642</v>
      </c>
      <c r="C2403" s="2">
        <v>674.92819999999995</v>
      </c>
      <c r="D2403" s="2">
        <f>HYPERLINK("http://mcb-m6.bioreg.kyushu-u.ac.jp/M3/20110421/F51048/1798/1", 62.43)</f>
        <v>62.43</v>
      </c>
      <c r="E2403" s="2">
        <v>46.98</v>
      </c>
      <c r="F2403" s="2">
        <v>2</v>
      </c>
      <c r="G2403" s="2" t="s">
        <v>12</v>
      </c>
      <c r="I2403" s="2" t="s">
        <v>4898</v>
      </c>
    </row>
    <row r="2404" spans="1:9" x14ac:dyDescent="0.2">
      <c r="A2404" s="2" t="s">
        <v>3310</v>
      </c>
      <c r="B2404" s="2" t="s">
        <v>333</v>
      </c>
      <c r="C2404" s="2">
        <v>915.93619999999999</v>
      </c>
      <c r="D2404" s="2">
        <f>HYPERLINK("http://mcb-m6.bioreg.kyushu-u.ac.jp/M3/20110421/F51023/2687/1", 62.64)</f>
        <v>62.64</v>
      </c>
      <c r="E2404" s="2">
        <v>43.51</v>
      </c>
      <c r="F2404" s="2">
        <v>2</v>
      </c>
      <c r="G2404" s="2" t="s">
        <v>12</v>
      </c>
    </row>
    <row r="2405" spans="1:9" x14ac:dyDescent="0.2">
      <c r="A2405" s="2" t="s">
        <v>3310</v>
      </c>
      <c r="B2405" s="2" t="s">
        <v>1992</v>
      </c>
      <c r="C2405" s="2">
        <v>668.41420000000005</v>
      </c>
      <c r="D2405" s="2">
        <f>HYPERLINK("http://mcb-m6.bioreg.kyushu-u.ac.jp/M3/20110421/F51047/1698/1", 63.21)</f>
        <v>63.21</v>
      </c>
      <c r="E2405" s="2">
        <v>32.31</v>
      </c>
      <c r="F2405" s="2">
        <v>2</v>
      </c>
      <c r="G2405" s="2" t="s">
        <v>12</v>
      </c>
    </row>
    <row r="2406" spans="1:9" x14ac:dyDescent="0.2">
      <c r="A2406" s="2" t="s">
        <v>3310</v>
      </c>
      <c r="B2406" s="2" t="s">
        <v>333</v>
      </c>
      <c r="C2406" s="2">
        <v>915.26670000000001</v>
      </c>
      <c r="D2406" s="2">
        <f>HYPERLINK("http://mcb-m6.bioreg.kyushu-u.ac.jp/M3/20110421/F51044/2800/1", 68.16)</f>
        <v>68.16</v>
      </c>
      <c r="E2406" s="2">
        <v>53.46</v>
      </c>
      <c r="F2406" s="2">
        <v>2</v>
      </c>
      <c r="G2406" s="2" t="s">
        <v>12</v>
      </c>
    </row>
    <row r="2407" spans="1:9" x14ac:dyDescent="0.2">
      <c r="A2407" s="2" t="s">
        <v>3310</v>
      </c>
      <c r="B2407" s="2" t="s">
        <v>1729</v>
      </c>
      <c r="C2407" s="2">
        <v>1247.5409999999999</v>
      </c>
      <c r="D2407" s="2">
        <f>HYPERLINK("http://mcb-m6.bioreg.kyushu-u.ac.jp/M3/20110421/F51048/3494/1", 70.76)</f>
        <v>70.760000000000005</v>
      </c>
      <c r="E2407" s="2">
        <v>61.76</v>
      </c>
      <c r="F2407" s="2">
        <v>2</v>
      </c>
      <c r="G2407" s="2" t="s">
        <v>12</v>
      </c>
      <c r="H2407" s="2" t="s">
        <v>4901</v>
      </c>
    </row>
    <row r="2408" spans="1:9" x14ac:dyDescent="0.2">
      <c r="A2408" s="2" t="s">
        <v>3310</v>
      </c>
      <c r="B2408" s="2" t="s">
        <v>333</v>
      </c>
      <c r="C2408" s="2">
        <v>915.99720000000002</v>
      </c>
      <c r="D2408" s="2">
        <f>HYPERLINK("http://mcb-m6.bioreg.kyushu-u.ac.jp/M3/20110421/F51050/2739/1", 74.82)</f>
        <v>74.819999999999993</v>
      </c>
      <c r="E2408" s="2">
        <v>60.31</v>
      </c>
      <c r="F2408" s="2">
        <v>2</v>
      </c>
      <c r="G2408" s="2" t="s">
        <v>12</v>
      </c>
    </row>
    <row r="2409" spans="1:9" x14ac:dyDescent="0.2">
      <c r="A2409" s="2" t="s">
        <v>3310</v>
      </c>
      <c r="B2409" s="2" t="s">
        <v>333</v>
      </c>
      <c r="C2409" s="2">
        <v>915.98360000000002</v>
      </c>
      <c r="D2409" s="2">
        <f>HYPERLINK("http://mcb-m6.bioreg.kyushu-u.ac.jp/M3/20110421/F51048/2932/1", 76.46)</f>
        <v>76.459999999999994</v>
      </c>
      <c r="E2409" s="2">
        <v>61.01</v>
      </c>
      <c r="F2409" s="2">
        <v>2</v>
      </c>
      <c r="G2409" s="2" t="s">
        <v>12</v>
      </c>
    </row>
    <row r="2410" spans="1:9" x14ac:dyDescent="0.2">
      <c r="A2410" s="2" t="s">
        <v>3310</v>
      </c>
      <c r="B2410" s="2" t="s">
        <v>1992</v>
      </c>
      <c r="C2410" s="2">
        <v>668.4117</v>
      </c>
      <c r="D2410" s="2">
        <f>HYPERLINK("http://mcb-m6.bioreg.kyushu-u.ac.jp/M3/20110421/F51048/1767/1", 76.55)</f>
        <v>76.55</v>
      </c>
      <c r="E2410" s="2">
        <v>48.76</v>
      </c>
      <c r="F2410" s="2">
        <v>2</v>
      </c>
      <c r="G2410" s="2" t="s">
        <v>12</v>
      </c>
    </row>
    <row r="2411" spans="1:9" x14ac:dyDescent="0.2">
      <c r="A2411" s="2" t="s">
        <v>3310</v>
      </c>
      <c r="B2411" s="2" t="s">
        <v>2048</v>
      </c>
      <c r="C2411" s="2">
        <v>856.8922</v>
      </c>
      <c r="D2411" s="2">
        <f>HYPERLINK("http://mcb-m6.bioreg.kyushu-u.ac.jp/M3/20110421/F51048/2729/1", 77.88)</f>
        <v>77.88</v>
      </c>
      <c r="E2411" s="2">
        <v>66.28</v>
      </c>
      <c r="F2411" s="2">
        <v>2</v>
      </c>
      <c r="G2411" s="2" t="s">
        <v>12</v>
      </c>
    </row>
    <row r="2412" spans="1:9" x14ac:dyDescent="0.2">
      <c r="A2412" s="2" t="s">
        <v>3310</v>
      </c>
      <c r="B2412" s="2" t="s">
        <v>2048</v>
      </c>
      <c r="C2412" s="2">
        <v>857.45619999999997</v>
      </c>
      <c r="D2412" s="2">
        <f>HYPERLINK("http://mcb-m6.bioreg.kyushu-u.ac.jp/M3/20110421/F51048/2730/1", 80.15)</f>
        <v>80.150000000000006</v>
      </c>
      <c r="E2412" s="2">
        <v>68.650000000000006</v>
      </c>
      <c r="F2412" s="2">
        <v>2</v>
      </c>
      <c r="G2412" s="2" t="s">
        <v>12</v>
      </c>
    </row>
    <row r="2413" spans="1:9" x14ac:dyDescent="0.2">
      <c r="A2413" s="2" t="s">
        <v>3310</v>
      </c>
      <c r="B2413" s="2" t="s">
        <v>2048</v>
      </c>
      <c r="C2413" s="2">
        <v>856.90769999999998</v>
      </c>
      <c r="D2413" s="2">
        <f>HYPERLINK("http://mcb-m6.bioreg.kyushu-u.ac.jp/M3/20110421/F51050/2537/1", 83.69)</f>
        <v>83.69</v>
      </c>
      <c r="E2413" s="2">
        <v>72.12</v>
      </c>
      <c r="F2413" s="2">
        <v>2</v>
      </c>
      <c r="G2413" s="2" t="s">
        <v>12</v>
      </c>
    </row>
    <row r="2414" spans="1:9" x14ac:dyDescent="0.2">
      <c r="A2414" s="2" t="s">
        <v>3310</v>
      </c>
      <c r="B2414" s="2" t="s">
        <v>1061</v>
      </c>
      <c r="C2414" s="2">
        <v>833.49770000000001</v>
      </c>
      <c r="D2414" s="2">
        <f>HYPERLINK("http://mcb-m6.bioreg.kyushu-u.ac.jp/M3/20110421/F51048/2658/1", 87.96)</f>
        <v>87.96</v>
      </c>
      <c r="E2414" s="2">
        <v>70.53</v>
      </c>
      <c r="F2414" s="2">
        <v>2</v>
      </c>
      <c r="G2414" s="2" t="s">
        <v>12</v>
      </c>
    </row>
    <row r="2415" spans="1:9" x14ac:dyDescent="0.2">
      <c r="A2415" s="2" t="s">
        <v>3310</v>
      </c>
      <c r="B2415" s="2" t="s">
        <v>333</v>
      </c>
      <c r="C2415" s="2">
        <v>915.36969999999997</v>
      </c>
      <c r="D2415" s="2">
        <f>HYPERLINK("http://mcb-m6.bioreg.kyushu-u.ac.jp/M3/20110421/F51023/2683/1", 92.61)</f>
        <v>92.61</v>
      </c>
      <c r="E2415" s="2">
        <v>78.98</v>
      </c>
      <c r="F2415" s="2">
        <v>2</v>
      </c>
      <c r="G2415" s="2" t="s">
        <v>12</v>
      </c>
    </row>
    <row r="2416" spans="1:9" x14ac:dyDescent="0.2">
      <c r="A2416" s="2" t="s">
        <v>3310</v>
      </c>
      <c r="B2416" s="2" t="s">
        <v>1061</v>
      </c>
      <c r="C2416" s="2">
        <v>833.52009999999996</v>
      </c>
      <c r="D2416" s="2">
        <f>HYPERLINK("http://mcb-m6.bioreg.kyushu-u.ac.jp/M3/20110421/F51050/2477/1", 94.38)</f>
        <v>94.38</v>
      </c>
      <c r="E2416" s="2">
        <v>72.760000000000005</v>
      </c>
      <c r="F2416" s="2">
        <v>2</v>
      </c>
      <c r="G2416" s="2" t="s">
        <v>12</v>
      </c>
    </row>
    <row r="2417" spans="1:9" x14ac:dyDescent="0.2">
      <c r="A2417" s="2" t="s">
        <v>3310</v>
      </c>
      <c r="B2417" s="2" t="s">
        <v>333</v>
      </c>
      <c r="C2417" s="2">
        <v>915.81569999999999</v>
      </c>
      <c r="D2417" s="2">
        <f>HYPERLINK("http://mcb-m6.bioreg.kyushu-u.ac.jp/M3/20110421/F51047/2867/1", 99.31)</f>
        <v>99.31</v>
      </c>
      <c r="E2417" s="2">
        <v>76.52</v>
      </c>
      <c r="F2417" s="2">
        <v>2</v>
      </c>
      <c r="G2417" s="2" t="s">
        <v>12</v>
      </c>
    </row>
    <row r="2418" spans="1:9" x14ac:dyDescent="0.2">
      <c r="A2418" s="2" t="s">
        <v>3310</v>
      </c>
      <c r="B2418" s="2" t="s">
        <v>582</v>
      </c>
      <c r="C2418" s="2">
        <v>904.58320000000003</v>
      </c>
      <c r="D2418" s="2">
        <f>HYPERLINK("http://mcb-m6.bioreg.kyushu-u.ac.jp/M3/20110421/F51043/2778/1", 105.27)</f>
        <v>105.27</v>
      </c>
      <c r="E2418" s="2">
        <v>87.94</v>
      </c>
      <c r="F2418" s="2">
        <v>2</v>
      </c>
      <c r="G2418" s="2" t="s">
        <v>12</v>
      </c>
    </row>
    <row r="2419" spans="1:9" x14ac:dyDescent="0.2">
      <c r="A2419" s="2" t="s">
        <v>3310</v>
      </c>
      <c r="B2419" s="2" t="s">
        <v>582</v>
      </c>
      <c r="C2419" s="2">
        <v>904.7482</v>
      </c>
      <c r="D2419" s="2">
        <f>HYPERLINK("http://mcb-m6.bioreg.kyushu-u.ac.jp/M3/20110421/F51059/2525/1", 107.22)</f>
        <v>107.22</v>
      </c>
      <c r="E2419" s="2">
        <v>89.26</v>
      </c>
      <c r="F2419" s="2">
        <v>2</v>
      </c>
      <c r="G2419" s="2" t="s">
        <v>12</v>
      </c>
    </row>
    <row r="2420" spans="1:9" x14ac:dyDescent="0.2">
      <c r="A2420" s="2" t="s">
        <v>3310</v>
      </c>
      <c r="B2420" s="2" t="s">
        <v>333</v>
      </c>
      <c r="C2420" s="2">
        <v>915.47220000000004</v>
      </c>
      <c r="D2420" s="2">
        <f>HYPERLINK("http://mcb-m6.bioreg.kyushu-u.ac.jp/M3/20110421/F51050/2736/1", 109.95)</f>
        <v>109.95</v>
      </c>
      <c r="E2420" s="2">
        <v>95.69</v>
      </c>
      <c r="F2420" s="2">
        <v>2</v>
      </c>
      <c r="G2420" s="2" t="s">
        <v>12</v>
      </c>
    </row>
    <row r="2421" spans="1:9" x14ac:dyDescent="0.2">
      <c r="A2421" s="2" t="s">
        <v>3310</v>
      </c>
      <c r="B2421" s="2" t="s">
        <v>582</v>
      </c>
      <c r="C2421" s="2">
        <v>904.42610000000002</v>
      </c>
      <c r="D2421" s="2">
        <f>HYPERLINK("http://mcb-m6.bioreg.kyushu-u.ac.jp/M3/20110421/F51050/2703/1", 116.3)</f>
        <v>116.3</v>
      </c>
      <c r="E2421" s="2">
        <v>97.68</v>
      </c>
      <c r="F2421" s="2">
        <v>2</v>
      </c>
      <c r="G2421" s="2" t="s">
        <v>12</v>
      </c>
    </row>
    <row r="2422" spans="1:9" x14ac:dyDescent="0.2">
      <c r="A2422" s="2" t="s">
        <v>3310</v>
      </c>
      <c r="B2422" s="2" t="s">
        <v>582</v>
      </c>
      <c r="C2422" s="2">
        <v>904.49620000000004</v>
      </c>
      <c r="D2422" s="2">
        <f>HYPERLINK("http://mcb-m6.bioreg.kyushu-u.ac.jp/M3/20110421/F51048/2890/1", 118.29)</f>
        <v>118.29</v>
      </c>
      <c r="E2422" s="2">
        <v>102.7</v>
      </c>
      <c r="F2422" s="2">
        <v>2</v>
      </c>
      <c r="G2422" s="2" t="s">
        <v>12</v>
      </c>
    </row>
    <row r="2423" spans="1:9" x14ac:dyDescent="0.2">
      <c r="A2423" s="2" t="s">
        <v>3310</v>
      </c>
      <c r="B2423" s="2" t="s">
        <v>316</v>
      </c>
      <c r="C2423" s="2">
        <v>471.55759999999998</v>
      </c>
      <c r="D2423" s="2">
        <f>HYPERLINK("http://mcb-m6.bioreg.kyushu-u.ac.jp/M3/20110428/F51133/681/1", 35.99)</f>
        <v>35.99</v>
      </c>
      <c r="E2423" s="2">
        <v>15.8</v>
      </c>
      <c r="F2423" s="2">
        <v>2</v>
      </c>
      <c r="G2423" s="2" t="s">
        <v>13</v>
      </c>
    </row>
    <row r="2424" spans="1:9" x14ac:dyDescent="0.2">
      <c r="A2424" s="2" t="s">
        <v>3310</v>
      </c>
      <c r="B2424" s="2" t="s">
        <v>1910</v>
      </c>
      <c r="C2424" s="2">
        <v>628.35170000000005</v>
      </c>
      <c r="D2424" s="2">
        <f>HYPERLINK("http://mcb-m6.bioreg.kyushu-u.ac.jp/M3/20110428/F51133/1341/1", 39.62)</f>
        <v>39.619999999999997</v>
      </c>
      <c r="E2424" s="2">
        <v>23.38</v>
      </c>
      <c r="F2424" s="2">
        <v>2</v>
      </c>
      <c r="G2424" s="2" t="s">
        <v>13</v>
      </c>
    </row>
    <row r="2425" spans="1:9" x14ac:dyDescent="0.2">
      <c r="A2425" s="2" t="s">
        <v>3310</v>
      </c>
      <c r="B2425" s="2" t="s">
        <v>2607</v>
      </c>
      <c r="C2425" s="2">
        <v>499.58359999999999</v>
      </c>
      <c r="D2425" s="2">
        <f>HYPERLINK("http://mcb-m6.bioreg.kyushu-u.ac.jp/M3/20110428/F51133/812/1", 39.87)</f>
        <v>39.869999999999997</v>
      </c>
      <c r="E2425" s="2">
        <v>20.79</v>
      </c>
      <c r="F2425" s="2">
        <v>2</v>
      </c>
      <c r="G2425" s="2" t="s">
        <v>13</v>
      </c>
    </row>
    <row r="2426" spans="1:9" x14ac:dyDescent="0.2">
      <c r="A2426" s="2" t="s">
        <v>3310</v>
      </c>
      <c r="B2426" s="2" t="s">
        <v>114</v>
      </c>
      <c r="C2426" s="2">
        <v>638.7577</v>
      </c>
      <c r="D2426" s="2">
        <f>HYPERLINK("http://mcb-m6.bioreg.kyushu-u.ac.jp/M3/20110427/F51112/1640/1", 41.09)</f>
        <v>41.09</v>
      </c>
      <c r="E2426" s="2">
        <v>26.73</v>
      </c>
      <c r="F2426" s="2">
        <v>2</v>
      </c>
      <c r="G2426" s="2" t="s">
        <v>13</v>
      </c>
    </row>
    <row r="2427" spans="1:9" x14ac:dyDescent="0.2">
      <c r="A2427" s="2" t="s">
        <v>3310</v>
      </c>
      <c r="B2427" s="2" t="s">
        <v>114</v>
      </c>
      <c r="C2427" s="2">
        <v>638.79610000000002</v>
      </c>
      <c r="D2427" s="2">
        <f>HYPERLINK("http://mcb-m6.bioreg.kyushu-u.ac.jp/M3/20110427/F51115/1560/1", 42.23)</f>
        <v>42.23</v>
      </c>
      <c r="E2427" s="2">
        <v>28.99</v>
      </c>
      <c r="F2427" s="2">
        <v>2</v>
      </c>
      <c r="G2427" s="2" t="s">
        <v>13</v>
      </c>
    </row>
    <row r="2428" spans="1:9" x14ac:dyDescent="0.2">
      <c r="A2428" s="2" t="s">
        <v>3310</v>
      </c>
      <c r="B2428" s="2" t="s">
        <v>821</v>
      </c>
      <c r="C2428" s="2">
        <v>539.4742</v>
      </c>
      <c r="D2428" s="2">
        <f>HYPERLINK("http://mcb-m6.bioreg.kyushu-u.ac.jp/M3/20110428/F51133/1013/1", 45.14)</f>
        <v>45.14</v>
      </c>
      <c r="E2428" s="2">
        <v>24.63</v>
      </c>
      <c r="F2428" s="2">
        <v>2</v>
      </c>
      <c r="G2428" s="2" t="s">
        <v>13</v>
      </c>
    </row>
    <row r="2429" spans="1:9" x14ac:dyDescent="0.2">
      <c r="A2429" s="2" t="s">
        <v>3310</v>
      </c>
      <c r="B2429" s="2" t="s">
        <v>642</v>
      </c>
      <c r="C2429" s="2">
        <v>675.16110000000003</v>
      </c>
      <c r="D2429" s="2">
        <f>HYPERLINK("http://mcb-m6.bioreg.kyushu-u.ac.jp/M3/20110428/F51133/1509/1", 48.92)</f>
        <v>48.92</v>
      </c>
      <c r="E2429" s="2">
        <v>34.17</v>
      </c>
      <c r="F2429" s="2">
        <v>2</v>
      </c>
      <c r="G2429" s="2" t="s">
        <v>13</v>
      </c>
      <c r="I2429" s="2" t="s">
        <v>4898</v>
      </c>
    </row>
    <row r="2430" spans="1:9" x14ac:dyDescent="0.2">
      <c r="A2430" s="2" t="s">
        <v>3310</v>
      </c>
      <c r="B2430" s="2" t="s">
        <v>114</v>
      </c>
      <c r="C2430" s="2">
        <v>638.23609999999996</v>
      </c>
      <c r="D2430" s="2">
        <f>HYPERLINK("http://mcb-m6.bioreg.kyushu-u.ac.jp/M3/20110427/F51115/1558/1", 55.17)</f>
        <v>55.17</v>
      </c>
      <c r="E2430" s="2">
        <v>40.78</v>
      </c>
      <c r="F2430" s="2">
        <v>2</v>
      </c>
      <c r="G2430" s="2" t="s">
        <v>13</v>
      </c>
    </row>
    <row r="2431" spans="1:9" x14ac:dyDescent="0.2">
      <c r="A2431" s="2" t="s">
        <v>3310</v>
      </c>
      <c r="B2431" s="2" t="s">
        <v>1061</v>
      </c>
      <c r="C2431" s="2">
        <v>556.06020000000001</v>
      </c>
      <c r="D2431" s="2">
        <f>HYPERLINK("http://mcb-m6.bioreg.kyushu-u.ac.jp/M3/20110428/F51133/2384/1", 57.81)</f>
        <v>57.81</v>
      </c>
      <c r="E2431" s="2">
        <v>39.19</v>
      </c>
      <c r="F2431" s="2">
        <v>3</v>
      </c>
      <c r="G2431" s="2" t="s">
        <v>13</v>
      </c>
    </row>
    <row r="2432" spans="1:9" x14ac:dyDescent="0.2">
      <c r="A2432" s="2" t="s">
        <v>3310</v>
      </c>
      <c r="B2432" s="2" t="s">
        <v>114</v>
      </c>
      <c r="C2432" s="2">
        <v>638.25519999999995</v>
      </c>
      <c r="D2432" s="2">
        <f>HYPERLINK("http://mcb-m6.bioreg.kyushu-u.ac.jp/M3/20110428/F51133/1371/1", 60.68)</f>
        <v>60.68</v>
      </c>
      <c r="E2432" s="2">
        <v>46.3</v>
      </c>
      <c r="F2432" s="2">
        <v>2</v>
      </c>
      <c r="G2432" s="2" t="s">
        <v>13</v>
      </c>
    </row>
    <row r="2433" spans="1:8" x14ac:dyDescent="0.2">
      <c r="A2433" s="2" t="s">
        <v>3310</v>
      </c>
      <c r="B2433" s="2" t="s">
        <v>1729</v>
      </c>
      <c r="C2433" s="2">
        <v>1246.5740000000001</v>
      </c>
      <c r="D2433" s="2">
        <f>HYPERLINK("http://mcb-m6.bioreg.kyushu-u.ac.jp/M3/20110428/F51133/3430/1", 64.16)</f>
        <v>64.16</v>
      </c>
      <c r="E2433" s="2">
        <v>52.03</v>
      </c>
      <c r="F2433" s="2">
        <v>2</v>
      </c>
      <c r="G2433" s="2" t="s">
        <v>13</v>
      </c>
      <c r="H2433" s="2" t="s">
        <v>4901</v>
      </c>
    </row>
    <row r="2434" spans="1:8" x14ac:dyDescent="0.2">
      <c r="A2434" s="2" t="s">
        <v>3310</v>
      </c>
      <c r="B2434" s="2" t="s">
        <v>1992</v>
      </c>
      <c r="C2434" s="2">
        <v>668.70569999999998</v>
      </c>
      <c r="D2434" s="2">
        <f>HYPERLINK("http://mcb-m6.bioreg.kyushu-u.ac.jp/M3/20110428/F51133/1483/1", 64.19)</f>
        <v>64.19</v>
      </c>
      <c r="E2434" s="2">
        <v>37.75</v>
      </c>
      <c r="F2434" s="2">
        <v>2</v>
      </c>
      <c r="G2434" s="2" t="s">
        <v>13</v>
      </c>
    </row>
    <row r="2435" spans="1:8" x14ac:dyDescent="0.2">
      <c r="A2435" s="2" t="s">
        <v>3310</v>
      </c>
      <c r="B2435" s="2" t="s">
        <v>333</v>
      </c>
      <c r="C2435" s="2">
        <v>915.73320000000001</v>
      </c>
      <c r="D2435" s="2">
        <f>HYPERLINK("http://mcb-m6.bioreg.kyushu-u.ac.jp/M3/20110428/F51127/2862/1", 69.77)</f>
        <v>69.77</v>
      </c>
      <c r="E2435" s="2">
        <v>52.96</v>
      </c>
      <c r="F2435" s="2">
        <v>2</v>
      </c>
      <c r="G2435" s="2" t="s">
        <v>13</v>
      </c>
    </row>
    <row r="2436" spans="1:8" x14ac:dyDescent="0.2">
      <c r="A2436" s="2" t="s">
        <v>3310</v>
      </c>
      <c r="B2436" s="2" t="s">
        <v>333</v>
      </c>
      <c r="C2436" s="2">
        <v>907.2192</v>
      </c>
      <c r="D2436" s="2">
        <f>HYPERLINK("http://mcb-m6.bioreg.kyushu-u.ac.jp/M3/20110428/F51133/2659/1", 70.13)</f>
        <v>70.13</v>
      </c>
      <c r="E2436" s="2">
        <v>49.33</v>
      </c>
      <c r="F2436" s="2">
        <v>2</v>
      </c>
      <c r="G2436" s="2" t="s">
        <v>13</v>
      </c>
      <c r="H2436" s="2" t="s">
        <v>4904</v>
      </c>
    </row>
    <row r="2437" spans="1:8" x14ac:dyDescent="0.2">
      <c r="A2437" s="2" t="s">
        <v>3310</v>
      </c>
      <c r="B2437" s="2" t="s">
        <v>1992</v>
      </c>
      <c r="C2437" s="2">
        <v>668.68870000000004</v>
      </c>
      <c r="D2437" s="2">
        <f>HYPERLINK("http://mcb-m6.bioreg.kyushu-u.ac.jp/M3/20110428/F51131/1414/1", 71.49)</f>
        <v>71.489999999999995</v>
      </c>
      <c r="E2437" s="2">
        <v>45.66</v>
      </c>
      <c r="F2437" s="2">
        <v>2</v>
      </c>
      <c r="G2437" s="2" t="s">
        <v>13</v>
      </c>
    </row>
    <row r="2438" spans="1:8" x14ac:dyDescent="0.2">
      <c r="A2438" s="2" t="s">
        <v>3310</v>
      </c>
      <c r="B2438" s="2" t="s">
        <v>1992</v>
      </c>
      <c r="C2438" s="2">
        <v>668.19370000000004</v>
      </c>
      <c r="D2438" s="2">
        <f>HYPERLINK("http://mcb-m6.bioreg.kyushu-u.ac.jp/M3/20110428/F51133/1478/1", 72.15)</f>
        <v>72.150000000000006</v>
      </c>
      <c r="E2438" s="2">
        <v>44.23</v>
      </c>
      <c r="F2438" s="2">
        <v>2</v>
      </c>
      <c r="G2438" s="2" t="s">
        <v>13</v>
      </c>
    </row>
    <row r="2439" spans="1:8" x14ac:dyDescent="0.2">
      <c r="A2439" s="2" t="s">
        <v>3310</v>
      </c>
      <c r="B2439" s="2" t="s">
        <v>333</v>
      </c>
      <c r="C2439" s="2">
        <v>915.68619999999999</v>
      </c>
      <c r="D2439" s="2">
        <f>HYPERLINK("http://mcb-m6.bioreg.kyushu-u.ac.jp/M3/20110427/F51114/2927/1", 72.72)</f>
        <v>72.72</v>
      </c>
      <c r="E2439" s="2">
        <v>58.65</v>
      </c>
      <c r="F2439" s="2">
        <v>2</v>
      </c>
      <c r="G2439" s="2" t="s">
        <v>13</v>
      </c>
    </row>
    <row r="2440" spans="1:8" x14ac:dyDescent="0.2">
      <c r="A2440" s="2" t="s">
        <v>3310</v>
      </c>
      <c r="B2440" s="2" t="s">
        <v>333</v>
      </c>
      <c r="C2440" s="2">
        <v>915.28369999999995</v>
      </c>
      <c r="D2440" s="2">
        <f>HYPERLINK("http://mcb-m6.bioreg.kyushu-u.ac.jp/M3/20110427/F51115/2682/1", 75.57)</f>
        <v>75.569999999999993</v>
      </c>
      <c r="E2440" s="2">
        <v>56.09</v>
      </c>
      <c r="F2440" s="2">
        <v>2</v>
      </c>
      <c r="G2440" s="2" t="s">
        <v>13</v>
      </c>
    </row>
    <row r="2441" spans="1:8" x14ac:dyDescent="0.2">
      <c r="A2441" s="2" t="s">
        <v>3310</v>
      </c>
      <c r="B2441" s="2" t="s">
        <v>2048</v>
      </c>
      <c r="C2441" s="2">
        <v>857.13869999999997</v>
      </c>
      <c r="D2441" s="2">
        <f>HYPERLINK("http://mcb-m6.bioreg.kyushu-u.ac.jp/M3/20110428/F51132/2608/1", 80.79)</f>
        <v>80.790000000000006</v>
      </c>
      <c r="E2441" s="2">
        <v>63.5</v>
      </c>
      <c r="F2441" s="2">
        <v>2</v>
      </c>
      <c r="G2441" s="2" t="s">
        <v>13</v>
      </c>
    </row>
    <row r="2442" spans="1:8" x14ac:dyDescent="0.2">
      <c r="A2442" s="2" t="s">
        <v>3310</v>
      </c>
      <c r="B2442" s="2" t="s">
        <v>333</v>
      </c>
      <c r="C2442" s="2">
        <v>915.25369999999998</v>
      </c>
      <c r="D2442" s="2">
        <f>HYPERLINK("http://mcb-m6.bioreg.kyushu-u.ac.jp/M3/20110428/F51132/2825/1", 81.26)</f>
        <v>81.260000000000005</v>
      </c>
      <c r="E2442" s="2">
        <v>67.69</v>
      </c>
      <c r="F2442" s="2">
        <v>2</v>
      </c>
      <c r="G2442" s="2" t="s">
        <v>13</v>
      </c>
    </row>
    <row r="2443" spans="1:8" x14ac:dyDescent="0.2">
      <c r="A2443" s="2" t="s">
        <v>3310</v>
      </c>
      <c r="B2443" s="2" t="s">
        <v>2048</v>
      </c>
      <c r="C2443" s="2">
        <v>857.1857</v>
      </c>
      <c r="D2443" s="2">
        <f>HYPERLINK("http://mcb-m6.bioreg.kyushu-u.ac.jp/M3/20110428/F51133/2473/1", 82.93)</f>
        <v>82.93</v>
      </c>
      <c r="E2443" s="2">
        <v>71.900000000000006</v>
      </c>
      <c r="F2443" s="2">
        <v>2</v>
      </c>
      <c r="G2443" s="2" t="s">
        <v>13</v>
      </c>
    </row>
    <row r="2444" spans="1:8" x14ac:dyDescent="0.2">
      <c r="A2444" s="2" t="s">
        <v>3310</v>
      </c>
      <c r="B2444" s="2" t="s">
        <v>333</v>
      </c>
      <c r="C2444" s="2">
        <v>915.4606</v>
      </c>
      <c r="D2444" s="2">
        <f>HYPERLINK("http://mcb-m6.bioreg.kyushu-u.ac.jp/M3/20110428/F51131/2640/1", 85.04)</f>
        <v>85.04</v>
      </c>
      <c r="E2444" s="2">
        <v>65.03</v>
      </c>
      <c r="F2444" s="2">
        <v>2</v>
      </c>
      <c r="G2444" s="2" t="s">
        <v>13</v>
      </c>
    </row>
    <row r="2445" spans="1:8" x14ac:dyDescent="0.2">
      <c r="A2445" s="2" t="s">
        <v>3310</v>
      </c>
      <c r="B2445" s="2" t="s">
        <v>2048</v>
      </c>
      <c r="C2445" s="2">
        <v>857.19420000000002</v>
      </c>
      <c r="D2445" s="2">
        <f>HYPERLINK("http://mcb-m6.bioreg.kyushu-u.ac.jp/M3/20110428/F51131/2384/1", 87.41)</f>
        <v>87.41</v>
      </c>
      <c r="E2445" s="2">
        <v>74.67</v>
      </c>
      <c r="F2445" s="2">
        <v>2</v>
      </c>
      <c r="G2445" s="2" t="s">
        <v>13</v>
      </c>
    </row>
    <row r="2446" spans="1:8" x14ac:dyDescent="0.2">
      <c r="A2446" s="2" t="s">
        <v>3310</v>
      </c>
      <c r="B2446" s="2" t="s">
        <v>2048</v>
      </c>
      <c r="C2446" s="2">
        <v>856.66859999999997</v>
      </c>
      <c r="D2446" s="2">
        <f>HYPERLINK("http://mcb-m6.bioreg.kyushu-u.ac.jp/M3/20110428/F51131/2381/1", 88.13)</f>
        <v>88.13</v>
      </c>
      <c r="E2446" s="2">
        <v>73.900000000000006</v>
      </c>
      <c r="F2446" s="2">
        <v>2</v>
      </c>
      <c r="G2446" s="2" t="s">
        <v>13</v>
      </c>
    </row>
    <row r="2447" spans="1:8" x14ac:dyDescent="0.2">
      <c r="A2447" s="2" t="s">
        <v>3310</v>
      </c>
      <c r="B2447" s="2" t="s">
        <v>1061</v>
      </c>
      <c r="C2447" s="2">
        <v>833.79719999999998</v>
      </c>
      <c r="D2447" s="2">
        <f>HYPERLINK("http://mcb-m6.bioreg.kyushu-u.ac.jp/M3/20110428/F51133/2385/1", 88.15)</f>
        <v>88.15</v>
      </c>
      <c r="E2447" s="2">
        <v>75.12</v>
      </c>
      <c r="F2447" s="2">
        <v>2</v>
      </c>
      <c r="G2447" s="2" t="s">
        <v>13</v>
      </c>
    </row>
    <row r="2448" spans="1:8" x14ac:dyDescent="0.2">
      <c r="A2448" s="2" t="s">
        <v>3310</v>
      </c>
      <c r="B2448" s="2" t="s">
        <v>582</v>
      </c>
      <c r="C2448" s="2">
        <v>904.31920000000002</v>
      </c>
      <c r="D2448" s="2">
        <f>HYPERLINK("http://mcb-m6.bioreg.kyushu-u.ac.jp/M3/20110428/F51133/2650/1", 93.67)</f>
        <v>93.67</v>
      </c>
      <c r="E2448" s="2">
        <v>75.38</v>
      </c>
      <c r="F2448" s="2">
        <v>2</v>
      </c>
      <c r="G2448" s="2" t="s">
        <v>13</v>
      </c>
    </row>
    <row r="2449" spans="1:9" x14ac:dyDescent="0.2">
      <c r="A2449" s="2" t="s">
        <v>3310</v>
      </c>
      <c r="B2449" s="2" t="s">
        <v>1061</v>
      </c>
      <c r="C2449" s="2">
        <v>833.1807</v>
      </c>
      <c r="D2449" s="2">
        <f>HYPERLINK("http://mcb-m6.bioreg.kyushu-u.ac.jp/M3/20110428/F51131/2283/1", 94.4)</f>
        <v>94.4</v>
      </c>
      <c r="E2449" s="2">
        <v>68.34</v>
      </c>
      <c r="F2449" s="2">
        <v>2</v>
      </c>
      <c r="G2449" s="2" t="s">
        <v>13</v>
      </c>
    </row>
    <row r="2450" spans="1:9" x14ac:dyDescent="0.2">
      <c r="A2450" s="2" t="s">
        <v>3310</v>
      </c>
      <c r="B2450" s="2" t="s">
        <v>333</v>
      </c>
      <c r="C2450" s="2">
        <v>915.38710000000003</v>
      </c>
      <c r="D2450" s="2">
        <f>HYPERLINK("http://mcb-m6.bioreg.kyushu-u.ac.jp/M3/20110428/F51133/2691/1", 104.63)</f>
        <v>104.63</v>
      </c>
      <c r="E2450" s="2">
        <v>88.86</v>
      </c>
      <c r="F2450" s="2">
        <v>2</v>
      </c>
      <c r="G2450" s="2" t="s">
        <v>13</v>
      </c>
    </row>
    <row r="2451" spans="1:9" x14ac:dyDescent="0.2">
      <c r="A2451" s="2" t="s">
        <v>3310</v>
      </c>
      <c r="B2451" s="2" t="s">
        <v>582</v>
      </c>
      <c r="C2451" s="2">
        <v>904.1807</v>
      </c>
      <c r="D2451" s="2">
        <f>HYPERLINK("http://mcb-m6.bioreg.kyushu-u.ac.jp/M3/20110427/F51115/2639/1", 107.59)</f>
        <v>107.59</v>
      </c>
      <c r="E2451" s="2">
        <v>86.93</v>
      </c>
      <c r="F2451" s="2">
        <v>2</v>
      </c>
      <c r="G2451" s="2" t="s">
        <v>13</v>
      </c>
    </row>
    <row r="2452" spans="1:9" x14ac:dyDescent="0.2">
      <c r="A2452" s="2" t="s">
        <v>3310</v>
      </c>
      <c r="B2452" s="2" t="s">
        <v>582</v>
      </c>
      <c r="C2452" s="2">
        <v>904.42409999999995</v>
      </c>
      <c r="D2452" s="2">
        <f>HYPERLINK("http://mcb-m6.bioreg.kyushu-u.ac.jp/M3/20110428/F51131/2593/1", 115.6)</f>
        <v>115.6</v>
      </c>
      <c r="E2452" s="2">
        <v>94.63</v>
      </c>
      <c r="F2452" s="2">
        <v>2</v>
      </c>
      <c r="G2452" s="2" t="s">
        <v>13</v>
      </c>
    </row>
    <row r="2453" spans="1:9" x14ac:dyDescent="0.2">
      <c r="A2453" s="2" t="s">
        <v>3310</v>
      </c>
      <c r="B2453" s="2" t="s">
        <v>821</v>
      </c>
      <c r="C2453" s="2">
        <v>539.60720000000003</v>
      </c>
      <c r="D2453" s="2">
        <f>HYPERLINK("http://mcb-m6.bioreg.kyushu-u.ac.jp/M3/20110428/F51130/1214/1", 36.11)</f>
        <v>36.11</v>
      </c>
      <c r="E2453" s="2">
        <v>19.079999999999998</v>
      </c>
      <c r="F2453" s="2">
        <v>2</v>
      </c>
      <c r="G2453" s="2" t="s">
        <v>14</v>
      </c>
    </row>
    <row r="2454" spans="1:9" x14ac:dyDescent="0.2">
      <c r="A2454" s="2" t="s">
        <v>3310</v>
      </c>
      <c r="B2454" s="2" t="s">
        <v>821</v>
      </c>
      <c r="C2454" s="2">
        <v>539.99159999999995</v>
      </c>
      <c r="D2454" s="2">
        <f>HYPERLINK("http://mcb-m6.bioreg.kyushu-u.ac.jp/M3/20110427/F51124/1244/1", 37.77)</f>
        <v>37.770000000000003</v>
      </c>
      <c r="E2454" s="2">
        <v>13.39</v>
      </c>
      <c r="F2454" s="2">
        <v>2</v>
      </c>
      <c r="G2454" s="2" t="s">
        <v>14</v>
      </c>
    </row>
    <row r="2455" spans="1:9" x14ac:dyDescent="0.2">
      <c r="A2455" s="2" t="s">
        <v>3310</v>
      </c>
      <c r="B2455" s="2" t="s">
        <v>114</v>
      </c>
      <c r="C2455" s="2">
        <v>638.79859999999996</v>
      </c>
      <c r="D2455" s="2">
        <f>HYPERLINK("http://mcb-m6.bioreg.kyushu-u.ac.jp/M3/20110428/F51128/1498/1", 40.26)</f>
        <v>40.26</v>
      </c>
      <c r="E2455" s="2">
        <v>27.04</v>
      </c>
      <c r="F2455" s="2">
        <v>2</v>
      </c>
      <c r="G2455" s="2" t="s">
        <v>14</v>
      </c>
    </row>
    <row r="2456" spans="1:9" x14ac:dyDescent="0.2">
      <c r="A2456" s="2" t="s">
        <v>3310</v>
      </c>
      <c r="B2456" s="2" t="s">
        <v>114</v>
      </c>
      <c r="C2456" s="2">
        <v>638.61469999999997</v>
      </c>
      <c r="D2456" s="2">
        <f>HYPERLINK("http://mcb-m6.bioreg.kyushu-u.ac.jp/M3/20110427/F51124/1592/1", 40.78)</f>
        <v>40.78</v>
      </c>
      <c r="E2456" s="2">
        <v>25.97</v>
      </c>
      <c r="F2456" s="2">
        <v>2</v>
      </c>
      <c r="G2456" s="2" t="s">
        <v>14</v>
      </c>
    </row>
    <row r="2457" spans="1:9" x14ac:dyDescent="0.2">
      <c r="A2457" s="2" t="s">
        <v>3310</v>
      </c>
      <c r="B2457" s="2" t="s">
        <v>642</v>
      </c>
      <c r="C2457" s="2">
        <v>674.71559999999999</v>
      </c>
      <c r="D2457" s="2">
        <f>HYPERLINK("http://mcb-m6.bioreg.kyushu-u.ac.jp/M3/20110427/F51123/1700/1", 43.61)</f>
        <v>43.61</v>
      </c>
      <c r="E2457" s="2">
        <v>28.18</v>
      </c>
      <c r="F2457" s="2">
        <v>2</v>
      </c>
      <c r="G2457" s="2" t="s">
        <v>14</v>
      </c>
      <c r="I2457" s="2" t="s">
        <v>4898</v>
      </c>
    </row>
    <row r="2458" spans="1:9" x14ac:dyDescent="0.2">
      <c r="A2458" s="2" t="s">
        <v>3310</v>
      </c>
      <c r="B2458" s="2" t="s">
        <v>642</v>
      </c>
      <c r="C2458" s="2">
        <v>674.43520000000001</v>
      </c>
      <c r="D2458" s="2">
        <f>HYPERLINK("http://mcb-m6.bioreg.kyushu-u.ac.jp/M3/20110428/F51130/1729/1", 44.95)</f>
        <v>44.95</v>
      </c>
      <c r="E2458" s="2">
        <v>27.15</v>
      </c>
      <c r="F2458" s="2">
        <v>2</v>
      </c>
      <c r="G2458" s="2" t="s">
        <v>14</v>
      </c>
      <c r="I2458" s="2" t="s">
        <v>4898</v>
      </c>
    </row>
    <row r="2459" spans="1:9" x14ac:dyDescent="0.2">
      <c r="A2459" s="2" t="s">
        <v>3310</v>
      </c>
      <c r="B2459" s="2" t="s">
        <v>114</v>
      </c>
      <c r="C2459" s="2">
        <v>638.31410000000005</v>
      </c>
      <c r="D2459" s="2">
        <f>HYPERLINK("http://mcb-m6.bioreg.kyushu-u.ac.jp/M3/20110427/F51123/1563/1", 46.17)</f>
        <v>46.17</v>
      </c>
      <c r="E2459" s="2">
        <v>35.4</v>
      </c>
      <c r="F2459" s="2">
        <v>2</v>
      </c>
      <c r="G2459" s="2" t="s">
        <v>14</v>
      </c>
    </row>
    <row r="2460" spans="1:9" x14ac:dyDescent="0.2">
      <c r="A2460" s="2" t="s">
        <v>3310</v>
      </c>
      <c r="B2460" s="2" t="s">
        <v>6217</v>
      </c>
      <c r="C2460" s="2">
        <v>1072.395</v>
      </c>
      <c r="D2460" s="2">
        <f>HYPERLINK("http://mcb-m6.bioreg.kyushu-u.ac.jp/M3/20110428/F51130/1201/1", 46.73)</f>
        <v>46.73</v>
      </c>
      <c r="E2460" s="2">
        <v>28.38</v>
      </c>
      <c r="F2460" s="2">
        <v>1</v>
      </c>
      <c r="G2460" s="2" t="s">
        <v>14</v>
      </c>
    </row>
    <row r="2461" spans="1:9" x14ac:dyDescent="0.2">
      <c r="A2461" s="2" t="s">
        <v>3310</v>
      </c>
      <c r="B2461" s="2" t="s">
        <v>1992</v>
      </c>
      <c r="C2461" s="2">
        <v>668.62710000000004</v>
      </c>
      <c r="D2461" s="2">
        <f>HYPERLINK("http://mcb-m6.bioreg.kyushu-u.ac.jp/M3/20110428/F51128/1597/1", 48.36)</f>
        <v>48.36</v>
      </c>
      <c r="E2461" s="2">
        <v>21.75</v>
      </c>
      <c r="F2461" s="2">
        <v>2</v>
      </c>
      <c r="G2461" s="2" t="s">
        <v>14</v>
      </c>
    </row>
    <row r="2462" spans="1:9" x14ac:dyDescent="0.2">
      <c r="A2462" s="2" t="s">
        <v>3310</v>
      </c>
      <c r="B2462" s="2" t="s">
        <v>2048</v>
      </c>
      <c r="C2462" s="2">
        <v>856.8152</v>
      </c>
      <c r="D2462" s="2">
        <f>HYPERLINK("http://mcb-m6.bioreg.kyushu-u.ac.jp/M3/20110427/F51123/2563/1", 50.05)</f>
        <v>50.05</v>
      </c>
      <c r="E2462" s="2">
        <v>32.56</v>
      </c>
      <c r="F2462" s="2">
        <v>2</v>
      </c>
      <c r="G2462" s="2" t="s">
        <v>14</v>
      </c>
    </row>
    <row r="2463" spans="1:9" x14ac:dyDescent="0.2">
      <c r="A2463" s="2" t="s">
        <v>3310</v>
      </c>
      <c r="B2463" s="2" t="s">
        <v>1992</v>
      </c>
      <c r="C2463" s="2">
        <v>1335.2560000000001</v>
      </c>
      <c r="D2463" s="2">
        <f>HYPERLINK("http://mcb-m6.bioreg.kyushu-u.ac.jp/M3/20110428/F51130/1705/1", 50.32)</f>
        <v>50.32</v>
      </c>
      <c r="E2463" s="2">
        <v>34.94</v>
      </c>
      <c r="F2463" s="2">
        <v>1</v>
      </c>
      <c r="G2463" s="2" t="s">
        <v>14</v>
      </c>
    </row>
    <row r="2464" spans="1:9" x14ac:dyDescent="0.2">
      <c r="A2464" s="2" t="s">
        <v>3310</v>
      </c>
      <c r="B2464" s="2" t="s">
        <v>1992</v>
      </c>
      <c r="C2464" s="2">
        <v>668.68870000000004</v>
      </c>
      <c r="D2464" s="2">
        <f>HYPERLINK("http://mcb-m6.bioreg.kyushu-u.ac.jp/M3/20110428/F51130/1712/1", 50.37)</f>
        <v>50.37</v>
      </c>
      <c r="E2464" s="2">
        <v>21.88</v>
      </c>
      <c r="F2464" s="2">
        <v>2</v>
      </c>
      <c r="G2464" s="2" t="s">
        <v>14</v>
      </c>
    </row>
    <row r="2465" spans="1:8" x14ac:dyDescent="0.2">
      <c r="A2465" s="2" t="s">
        <v>3310</v>
      </c>
      <c r="B2465" s="2" t="s">
        <v>333</v>
      </c>
      <c r="C2465" s="2">
        <v>915.67660000000001</v>
      </c>
      <c r="D2465" s="2">
        <f>HYPERLINK("http://mcb-m6.bioreg.kyushu-u.ac.jp/M3/20110428/F51128/2818/1", 50.75)</f>
        <v>50.75</v>
      </c>
      <c r="E2465" s="2">
        <v>36.4</v>
      </c>
      <c r="F2465" s="2">
        <v>2</v>
      </c>
      <c r="G2465" s="2" t="s">
        <v>14</v>
      </c>
    </row>
    <row r="2466" spans="1:8" x14ac:dyDescent="0.2">
      <c r="A2466" s="2" t="s">
        <v>3310</v>
      </c>
      <c r="B2466" s="2" t="s">
        <v>1061</v>
      </c>
      <c r="C2466" s="2">
        <v>555.8202</v>
      </c>
      <c r="D2466" s="2">
        <f>HYPERLINK("http://mcb-m6.bioreg.kyushu-u.ac.jp/M3/20110428/F51130/2508/1", 53.09)</f>
        <v>53.09</v>
      </c>
      <c r="E2466" s="2">
        <v>38.11</v>
      </c>
      <c r="F2466" s="2">
        <v>3</v>
      </c>
      <c r="G2466" s="2" t="s">
        <v>14</v>
      </c>
    </row>
    <row r="2467" spans="1:8" x14ac:dyDescent="0.2">
      <c r="A2467" s="2" t="s">
        <v>3310</v>
      </c>
      <c r="B2467" s="2" t="s">
        <v>333</v>
      </c>
      <c r="C2467" s="2">
        <v>915.97310000000004</v>
      </c>
      <c r="D2467" s="2">
        <f>HYPERLINK("http://mcb-m6.bioreg.kyushu-u.ac.jp/M3/20110427/F51123/2811/1", 53.22)</f>
        <v>53.22</v>
      </c>
      <c r="E2467" s="2">
        <v>41.54</v>
      </c>
      <c r="F2467" s="2">
        <v>2</v>
      </c>
      <c r="G2467" s="2" t="s">
        <v>14</v>
      </c>
    </row>
    <row r="2468" spans="1:8" x14ac:dyDescent="0.2">
      <c r="A2468" s="2" t="s">
        <v>3310</v>
      </c>
      <c r="B2468" s="2" t="s">
        <v>2048</v>
      </c>
      <c r="C2468" s="2">
        <v>856.81669999999997</v>
      </c>
      <c r="D2468" s="2">
        <f>HYPERLINK("http://mcb-m6.bioreg.kyushu-u.ac.jp/M3/20110428/F51130/2606/1", 53.3)</f>
        <v>53.3</v>
      </c>
      <c r="E2468" s="2">
        <v>40.76</v>
      </c>
      <c r="F2468" s="2">
        <v>2</v>
      </c>
      <c r="G2468" s="2" t="s">
        <v>14</v>
      </c>
    </row>
    <row r="2469" spans="1:8" x14ac:dyDescent="0.2">
      <c r="A2469" s="2" t="s">
        <v>3310</v>
      </c>
      <c r="B2469" s="2" t="s">
        <v>333</v>
      </c>
      <c r="C2469" s="2">
        <v>915.83219999999994</v>
      </c>
      <c r="D2469" s="2">
        <f>HYPERLINK("http://mcb-m6.bioreg.kyushu-u.ac.jp/M3/20110427/F51125/2793/1", 54.43)</f>
        <v>54.43</v>
      </c>
      <c r="E2469" s="2">
        <v>40.74</v>
      </c>
      <c r="F2469" s="2">
        <v>2</v>
      </c>
      <c r="G2469" s="2" t="s">
        <v>14</v>
      </c>
    </row>
    <row r="2470" spans="1:8" x14ac:dyDescent="0.2">
      <c r="A2470" s="2" t="s">
        <v>3310</v>
      </c>
      <c r="B2470" s="2" t="s">
        <v>2048</v>
      </c>
      <c r="C2470" s="2">
        <v>857.11320000000001</v>
      </c>
      <c r="D2470" s="2">
        <f>HYPERLINK("http://mcb-m6.bioreg.kyushu-u.ac.jp/M3/20110427/F51125/2576/1", 56.2)</f>
        <v>56.2</v>
      </c>
      <c r="E2470" s="2">
        <v>45.81</v>
      </c>
      <c r="F2470" s="2">
        <v>2</v>
      </c>
      <c r="G2470" s="2" t="s">
        <v>14</v>
      </c>
    </row>
    <row r="2471" spans="1:8" x14ac:dyDescent="0.2">
      <c r="A2471" s="2" t="s">
        <v>3310</v>
      </c>
      <c r="B2471" s="2" t="s">
        <v>1910</v>
      </c>
      <c r="C2471" s="2">
        <v>627.70820000000003</v>
      </c>
      <c r="D2471" s="2">
        <f>HYPERLINK("http://mcb-m6.bioreg.kyushu-u.ac.jp/M3/20110428/F51130/1580/1", 57.24)</f>
        <v>57.24</v>
      </c>
      <c r="E2471" s="2">
        <v>31.22</v>
      </c>
      <c r="F2471" s="2">
        <v>2</v>
      </c>
      <c r="G2471" s="2" t="s">
        <v>14</v>
      </c>
    </row>
    <row r="2472" spans="1:8" x14ac:dyDescent="0.2">
      <c r="A2472" s="2" t="s">
        <v>3310</v>
      </c>
      <c r="B2472" s="2" t="s">
        <v>333</v>
      </c>
      <c r="C2472" s="2">
        <v>907.1422</v>
      </c>
      <c r="D2472" s="2">
        <f>HYPERLINK("http://mcb-m6.bioreg.kyushu-u.ac.jp/M3/20110428/F51129/2796/1", 58.73)</f>
        <v>58.73</v>
      </c>
      <c r="E2472" s="2">
        <v>42.75</v>
      </c>
      <c r="F2472" s="2">
        <v>2</v>
      </c>
      <c r="G2472" s="2" t="s">
        <v>14</v>
      </c>
      <c r="H2472" s="2" t="s">
        <v>4904</v>
      </c>
    </row>
    <row r="2473" spans="1:8" x14ac:dyDescent="0.2">
      <c r="A2473" s="2" t="s">
        <v>3310</v>
      </c>
      <c r="B2473" s="2" t="s">
        <v>1992</v>
      </c>
      <c r="C2473" s="2">
        <v>668.10170000000005</v>
      </c>
      <c r="D2473" s="2">
        <f>HYPERLINK("http://mcb-m6.bioreg.kyushu-u.ac.jp/M3/20110427/F51125/1775/1", 59.13)</f>
        <v>59.13</v>
      </c>
      <c r="E2473" s="2">
        <v>30.77</v>
      </c>
      <c r="F2473" s="2">
        <v>2</v>
      </c>
      <c r="G2473" s="2" t="s">
        <v>14</v>
      </c>
    </row>
    <row r="2474" spans="1:8" x14ac:dyDescent="0.2">
      <c r="A2474" s="2" t="s">
        <v>3310</v>
      </c>
      <c r="B2474" s="2" t="s">
        <v>1729</v>
      </c>
      <c r="C2474" s="2">
        <v>1247.2650000000001</v>
      </c>
      <c r="D2474" s="2">
        <f>HYPERLINK("http://mcb-m6.bioreg.kyushu-u.ac.jp/M3/20110428/F51130/3499/1", 61.01)</f>
        <v>61.01</v>
      </c>
      <c r="E2474" s="2">
        <v>55.28</v>
      </c>
      <c r="F2474" s="2">
        <v>2</v>
      </c>
      <c r="G2474" s="2" t="s">
        <v>14</v>
      </c>
      <c r="H2474" s="2" t="s">
        <v>4901</v>
      </c>
    </row>
    <row r="2475" spans="1:8" x14ac:dyDescent="0.2">
      <c r="A2475" s="2" t="s">
        <v>3310</v>
      </c>
      <c r="B2475" s="2" t="s">
        <v>1992</v>
      </c>
      <c r="C2475" s="2">
        <v>668.12270000000001</v>
      </c>
      <c r="D2475" s="2">
        <f>HYPERLINK("http://mcb-m6.bioreg.kyushu-u.ac.jp/M3/20110427/F51124/1682/1", 62.92)</f>
        <v>62.92</v>
      </c>
      <c r="E2475" s="2">
        <v>37.94</v>
      </c>
      <c r="F2475" s="2">
        <v>2</v>
      </c>
      <c r="G2475" s="2" t="s">
        <v>14</v>
      </c>
    </row>
    <row r="2476" spans="1:8" x14ac:dyDescent="0.2">
      <c r="A2476" s="2" t="s">
        <v>3310</v>
      </c>
      <c r="B2476" s="2" t="s">
        <v>2048</v>
      </c>
      <c r="C2476" s="2">
        <v>857.19669999999996</v>
      </c>
      <c r="D2476" s="2">
        <f>HYPERLINK("http://mcb-m6.bioreg.kyushu-u.ac.jp/M3/20110428/F51130/2611/1", 64.39)</f>
        <v>64.39</v>
      </c>
      <c r="E2476" s="2">
        <v>54.12</v>
      </c>
      <c r="F2476" s="2">
        <v>2</v>
      </c>
      <c r="G2476" s="2" t="s">
        <v>14</v>
      </c>
    </row>
    <row r="2477" spans="1:8" x14ac:dyDescent="0.2">
      <c r="A2477" s="2" t="s">
        <v>3310</v>
      </c>
      <c r="B2477" s="2" t="s">
        <v>2048</v>
      </c>
      <c r="C2477" s="2">
        <v>856.59010000000001</v>
      </c>
      <c r="D2477" s="2">
        <f>HYPERLINK("http://mcb-m6.bioreg.kyushu-u.ac.jp/M3/20110427/F51124/2523/1", 65.65)</f>
        <v>65.650000000000006</v>
      </c>
      <c r="E2477" s="2">
        <v>52.76</v>
      </c>
      <c r="F2477" s="2">
        <v>2</v>
      </c>
      <c r="G2477" s="2" t="s">
        <v>14</v>
      </c>
    </row>
    <row r="2478" spans="1:8" x14ac:dyDescent="0.2">
      <c r="A2478" s="2" t="s">
        <v>3310</v>
      </c>
      <c r="B2478" s="2" t="s">
        <v>6599</v>
      </c>
      <c r="C2478" s="2">
        <v>781.29079999999999</v>
      </c>
      <c r="D2478" s="2">
        <f>HYPERLINK("http://mcb-m6.bioreg.kyushu-u.ac.jp/M3/20110428/F51130/3382/1", 67.93)</f>
        <v>67.930000000000007</v>
      </c>
      <c r="E2478" s="2">
        <v>55.17</v>
      </c>
      <c r="F2478" s="2">
        <v>3</v>
      </c>
      <c r="G2478" s="2" t="s">
        <v>14</v>
      </c>
    </row>
    <row r="2479" spans="1:8" x14ac:dyDescent="0.2">
      <c r="A2479" s="2" t="s">
        <v>3310</v>
      </c>
      <c r="B2479" s="2" t="s">
        <v>114</v>
      </c>
      <c r="C2479" s="2">
        <v>638.20820000000003</v>
      </c>
      <c r="D2479" s="2">
        <f>HYPERLINK("http://mcb-m6.bioreg.kyushu-u.ac.jp/M3/20110428/F51130/1622/1", 68.04)</f>
        <v>68.040000000000006</v>
      </c>
      <c r="E2479" s="2">
        <v>52.41</v>
      </c>
      <c r="F2479" s="2">
        <v>2</v>
      </c>
      <c r="G2479" s="2" t="s">
        <v>14</v>
      </c>
    </row>
    <row r="2480" spans="1:8" x14ac:dyDescent="0.2">
      <c r="A2480" s="2" t="s">
        <v>3310</v>
      </c>
      <c r="B2480" s="2" t="s">
        <v>582</v>
      </c>
      <c r="C2480" s="2">
        <v>904.33510000000001</v>
      </c>
      <c r="D2480" s="2">
        <f>HYPERLINK("http://mcb-m6.bioreg.kyushu-u.ac.jp/M3/20110428/F51130/2807/1", 73.71)</f>
        <v>73.709999999999994</v>
      </c>
      <c r="E2480" s="2">
        <v>52.75</v>
      </c>
      <c r="F2480" s="2">
        <v>2</v>
      </c>
      <c r="G2480" s="2" t="s">
        <v>14</v>
      </c>
    </row>
    <row r="2481" spans="1:7" x14ac:dyDescent="0.2">
      <c r="A2481" s="2" t="s">
        <v>3310</v>
      </c>
      <c r="B2481" s="2" t="s">
        <v>2048</v>
      </c>
      <c r="C2481" s="2">
        <v>857.27919999999995</v>
      </c>
      <c r="D2481" s="2">
        <f>HYPERLINK("http://mcb-m6.bioreg.kyushu-u.ac.jp/M3/20110428/F51129/2603/1", 73.86)</f>
        <v>73.86</v>
      </c>
      <c r="E2481" s="2">
        <v>59.09</v>
      </c>
      <c r="F2481" s="2">
        <v>2</v>
      </c>
      <c r="G2481" s="2" t="s">
        <v>14</v>
      </c>
    </row>
    <row r="2482" spans="1:7" x14ac:dyDescent="0.2">
      <c r="A2482" s="2" t="s">
        <v>3310</v>
      </c>
      <c r="B2482" s="2" t="s">
        <v>333</v>
      </c>
      <c r="C2482" s="2">
        <v>915.5616</v>
      </c>
      <c r="D2482" s="2">
        <f>HYPERLINK("http://mcb-m6.bioreg.kyushu-u.ac.jp/M3/20110428/F51135/2458/1", 75.82)</f>
        <v>75.819999999999993</v>
      </c>
      <c r="E2482" s="2">
        <v>60.54</v>
      </c>
      <c r="F2482" s="2">
        <v>2</v>
      </c>
      <c r="G2482" s="2" t="s">
        <v>14</v>
      </c>
    </row>
    <row r="2483" spans="1:7" x14ac:dyDescent="0.2">
      <c r="A2483" s="2" t="s">
        <v>3310</v>
      </c>
      <c r="B2483" s="2" t="s">
        <v>1061</v>
      </c>
      <c r="C2483" s="2">
        <v>833.24469999999997</v>
      </c>
      <c r="D2483" s="2">
        <f>HYPERLINK("http://mcb-m6.bioreg.kyushu-u.ac.jp/M3/20110428/F51130/2509/1", 82.23)</f>
        <v>82.23</v>
      </c>
      <c r="E2483" s="2">
        <v>64.31</v>
      </c>
      <c r="F2483" s="2">
        <v>2</v>
      </c>
      <c r="G2483" s="2" t="s">
        <v>14</v>
      </c>
    </row>
    <row r="2484" spans="1:7" x14ac:dyDescent="0.2">
      <c r="A2484" s="2" t="s">
        <v>3310</v>
      </c>
      <c r="B2484" s="2" t="s">
        <v>1369</v>
      </c>
      <c r="C2484" s="2">
        <v>1350.7380000000001</v>
      </c>
      <c r="D2484" s="2">
        <f>HYPERLINK("http://mcb-m6.bioreg.kyushu-u.ac.jp/M3/20110428/F51130/3603/1", 82.41)</f>
        <v>82.41</v>
      </c>
      <c r="E2484" s="2">
        <v>74.260000000000005</v>
      </c>
      <c r="F2484" s="2">
        <v>2</v>
      </c>
      <c r="G2484" s="2" t="s">
        <v>14</v>
      </c>
    </row>
    <row r="2485" spans="1:7" x14ac:dyDescent="0.2">
      <c r="A2485" s="2" t="s">
        <v>3310</v>
      </c>
      <c r="B2485" s="2" t="s">
        <v>333</v>
      </c>
      <c r="C2485" s="2">
        <v>915.26319999999998</v>
      </c>
      <c r="D2485" s="2">
        <f>HYPERLINK("http://mcb-m6.bioreg.kyushu-u.ac.jp/M3/20110427/F51125/2789/1", 85.82)</f>
        <v>85.82</v>
      </c>
      <c r="E2485" s="2">
        <v>70.84</v>
      </c>
      <c r="F2485" s="2">
        <v>2</v>
      </c>
      <c r="G2485" s="2" t="s">
        <v>14</v>
      </c>
    </row>
    <row r="2486" spans="1:7" x14ac:dyDescent="0.2">
      <c r="A2486" s="2" t="s">
        <v>3310</v>
      </c>
      <c r="B2486" s="2" t="s">
        <v>2048</v>
      </c>
      <c r="C2486" s="2">
        <v>857.13760000000002</v>
      </c>
      <c r="D2486" s="2">
        <f>HYPERLINK("http://mcb-m6.bioreg.kyushu-u.ac.jp/M3/20110428/F51130/2609/1", 86.29)</f>
        <v>86.29</v>
      </c>
      <c r="E2486" s="2">
        <v>71.02</v>
      </c>
      <c r="F2486" s="2">
        <v>2</v>
      </c>
      <c r="G2486" s="2" t="s">
        <v>14</v>
      </c>
    </row>
    <row r="2487" spans="1:7" x14ac:dyDescent="0.2">
      <c r="A2487" s="2" t="s">
        <v>3310</v>
      </c>
      <c r="B2487" s="2" t="s">
        <v>333</v>
      </c>
      <c r="C2487" s="2">
        <v>915.32069999999999</v>
      </c>
      <c r="D2487" s="2">
        <f>HYPERLINK("http://mcb-m6.bioreg.kyushu-u.ac.jp/M3/20110427/F51123/2808/1", 87.67)</f>
        <v>87.67</v>
      </c>
      <c r="E2487" s="2">
        <v>74.760000000000005</v>
      </c>
      <c r="F2487" s="2">
        <v>2</v>
      </c>
      <c r="G2487" s="2" t="s">
        <v>14</v>
      </c>
    </row>
    <row r="2488" spans="1:7" x14ac:dyDescent="0.2">
      <c r="A2488" s="2" t="s">
        <v>3310</v>
      </c>
      <c r="B2488" s="2" t="s">
        <v>1932</v>
      </c>
      <c r="C2488" s="2">
        <v>924.34609999999998</v>
      </c>
      <c r="D2488" s="2">
        <f>HYPERLINK("http://mcb-m6.bioreg.kyushu-u.ac.jp/M3/20110428/F51130/3632/1", 92.32)</f>
        <v>92.32</v>
      </c>
      <c r="E2488" s="2">
        <v>76.84</v>
      </c>
      <c r="F2488" s="2">
        <v>3</v>
      </c>
      <c r="G2488" s="2" t="s">
        <v>14</v>
      </c>
    </row>
    <row r="2489" spans="1:7" x14ac:dyDescent="0.2">
      <c r="A2489" s="2" t="s">
        <v>3310</v>
      </c>
      <c r="B2489" s="2" t="s">
        <v>333</v>
      </c>
      <c r="C2489" s="2">
        <v>915.49659999999994</v>
      </c>
      <c r="D2489" s="2">
        <f>HYPERLINK("http://mcb-m6.bioreg.kyushu-u.ac.jp/M3/20110427/F51124/2753/1", 93.3)</f>
        <v>93.3</v>
      </c>
      <c r="E2489" s="2">
        <v>79.540000000000006</v>
      </c>
      <c r="F2489" s="2">
        <v>2</v>
      </c>
      <c r="G2489" s="2" t="s">
        <v>14</v>
      </c>
    </row>
    <row r="2490" spans="1:7" x14ac:dyDescent="0.2">
      <c r="A2490" s="2" t="s">
        <v>3310</v>
      </c>
      <c r="B2490" s="2" t="s">
        <v>333</v>
      </c>
      <c r="C2490" s="2">
        <v>915.48109999999997</v>
      </c>
      <c r="D2490" s="2">
        <f>HYPERLINK("http://mcb-m6.bioreg.kyushu-u.ac.jp/M3/20110428/F51129/2826/1", 95.39)</f>
        <v>95.39</v>
      </c>
      <c r="E2490" s="2">
        <v>77.7</v>
      </c>
      <c r="F2490" s="2">
        <v>2</v>
      </c>
      <c r="G2490" s="2" t="s">
        <v>14</v>
      </c>
    </row>
    <row r="2491" spans="1:7" x14ac:dyDescent="0.2">
      <c r="A2491" s="2" t="s">
        <v>3310</v>
      </c>
      <c r="B2491" s="2" t="s">
        <v>333</v>
      </c>
      <c r="C2491" s="2">
        <v>915.74570000000006</v>
      </c>
      <c r="D2491" s="2">
        <f>HYPERLINK("http://mcb-m6.bioreg.kyushu-u.ac.jp/M3/20110428/F51130/2855/1", 98.99)</f>
        <v>98.99</v>
      </c>
      <c r="E2491" s="2">
        <v>84.22</v>
      </c>
      <c r="F2491" s="2">
        <v>2</v>
      </c>
      <c r="G2491" s="2" t="s">
        <v>14</v>
      </c>
    </row>
    <row r="2492" spans="1:7" x14ac:dyDescent="0.2">
      <c r="A2492" s="2" t="s">
        <v>3310</v>
      </c>
      <c r="B2492" s="2" t="s">
        <v>582</v>
      </c>
      <c r="C2492" s="2">
        <v>904.32069999999999</v>
      </c>
      <c r="D2492" s="2">
        <f>HYPERLINK("http://mcb-m6.bioreg.kyushu-u.ac.jp/M3/20110428/F51130/2806/1", 100.29)</f>
        <v>100.29</v>
      </c>
      <c r="E2492" s="2">
        <v>82.44</v>
      </c>
      <c r="F2492" s="2">
        <v>2</v>
      </c>
      <c r="G2492" s="2" t="s">
        <v>14</v>
      </c>
    </row>
    <row r="2493" spans="1:7" x14ac:dyDescent="0.2">
      <c r="A2493" s="2" t="s">
        <v>3310</v>
      </c>
      <c r="B2493" s="2" t="s">
        <v>582</v>
      </c>
      <c r="C2493" s="2">
        <v>904.28309999999999</v>
      </c>
      <c r="D2493" s="2">
        <f>HYPERLINK("http://mcb-m6.bioreg.kyushu-u.ac.jp/M3/20110428/F51130/2805/1", 102.89)</f>
        <v>102.89</v>
      </c>
      <c r="E2493" s="2">
        <v>83.9</v>
      </c>
      <c r="F2493" s="2">
        <v>2</v>
      </c>
      <c r="G2493" s="2" t="s">
        <v>14</v>
      </c>
    </row>
    <row r="2494" spans="1:7" x14ac:dyDescent="0.2">
      <c r="A2494" s="2" t="s">
        <v>3310</v>
      </c>
      <c r="B2494" s="2" t="s">
        <v>6672</v>
      </c>
      <c r="C2494" s="2">
        <v>1200.6289999999999</v>
      </c>
      <c r="D2494" s="2">
        <f>HYPERLINK("http://mcb-m6.bioreg.kyushu-u.ac.jp/M3/20110428/F51130/3429/1", 112.6)</f>
        <v>112.6</v>
      </c>
      <c r="E2494" s="2">
        <v>101.18</v>
      </c>
      <c r="F2494" s="2">
        <v>2</v>
      </c>
      <c r="G2494" s="2" t="s">
        <v>14</v>
      </c>
    </row>
    <row r="2495" spans="1:7" x14ac:dyDescent="0.2">
      <c r="A2495" s="2" t="s">
        <v>3310</v>
      </c>
      <c r="B2495" s="2" t="s">
        <v>582</v>
      </c>
      <c r="C2495" s="2">
        <v>904.25869999999998</v>
      </c>
      <c r="D2495" s="2">
        <f>HYPERLINK("http://mcb-m6.bioreg.kyushu-u.ac.jp/M3/20110427/F51123/2755/1", 120.14)</f>
        <v>120.14</v>
      </c>
      <c r="E2495" s="2">
        <v>96.94</v>
      </c>
      <c r="F2495" s="2">
        <v>2</v>
      </c>
      <c r="G2495" s="2" t="s">
        <v>14</v>
      </c>
    </row>
    <row r="2496" spans="1:7" x14ac:dyDescent="0.2">
      <c r="A2496" s="2" t="s">
        <v>3310</v>
      </c>
      <c r="B2496" s="2" t="s">
        <v>582</v>
      </c>
      <c r="C2496" s="2">
        <v>904.28369999999995</v>
      </c>
      <c r="D2496" s="2">
        <f>HYPERLINK("http://mcb-m6.bioreg.kyushu-u.ac.jp/M3/20110428/F51129/2788/1", 149.57)</f>
        <v>149.57</v>
      </c>
      <c r="E2496" s="2">
        <v>120.53</v>
      </c>
      <c r="F2496" s="2">
        <v>2</v>
      </c>
      <c r="G2496" s="2" t="s">
        <v>14</v>
      </c>
    </row>
    <row r="2497" spans="1:7" x14ac:dyDescent="0.2">
      <c r="A2497" s="2" t="s">
        <v>7667</v>
      </c>
      <c r="B2497" s="2" t="s">
        <v>6281</v>
      </c>
      <c r="C2497" s="2">
        <v>823.22469999999998</v>
      </c>
      <c r="D2497" s="2">
        <f>HYPERLINK("http://mcb-m6.bioreg.kyushu-u.ac.jp/M3/20110404/F50755/2343/1", 50.72)</f>
        <v>50.72</v>
      </c>
      <c r="E2497" s="2">
        <v>42.96</v>
      </c>
      <c r="F2497" s="2">
        <v>2</v>
      </c>
      <c r="G2497" s="2" t="s">
        <v>9</v>
      </c>
    </row>
    <row r="2498" spans="1:7" x14ac:dyDescent="0.2">
      <c r="A2498" s="2" t="s">
        <v>7534</v>
      </c>
      <c r="B2498" s="2" t="s">
        <v>5935</v>
      </c>
      <c r="C2498" s="2">
        <v>632.18870000000004</v>
      </c>
      <c r="D2498" s="2">
        <f>HYPERLINK("http://mcb-m6.bioreg.kyushu-u.ac.jp/M3/20110404/F50766/1013/2", 36.28)</f>
        <v>36.28</v>
      </c>
      <c r="E2498" s="2">
        <v>27.05</v>
      </c>
      <c r="F2498" s="2">
        <v>2</v>
      </c>
      <c r="G2498" s="2" t="s">
        <v>9</v>
      </c>
    </row>
    <row r="2499" spans="1:7" x14ac:dyDescent="0.2">
      <c r="A2499" s="2" t="s">
        <v>7534</v>
      </c>
      <c r="B2499" s="2" t="s">
        <v>6155</v>
      </c>
      <c r="C2499" s="2">
        <v>569.79909999999995</v>
      </c>
      <c r="D2499" s="2">
        <f>HYPERLINK("http://mcb-m6.bioreg.kyushu-u.ac.jp/M3/20110404/F50766/741/1", 44.61)</f>
        <v>44.61</v>
      </c>
      <c r="E2499" s="2">
        <v>14.77</v>
      </c>
      <c r="F2499" s="2">
        <v>2</v>
      </c>
      <c r="G2499" s="2" t="s">
        <v>9</v>
      </c>
    </row>
    <row r="2500" spans="1:7" x14ac:dyDescent="0.2">
      <c r="A2500" s="2" t="s">
        <v>7534</v>
      </c>
      <c r="B2500" s="2" t="s">
        <v>6265</v>
      </c>
      <c r="C2500" s="2">
        <v>826.23500000000001</v>
      </c>
      <c r="D2500" s="2">
        <f>HYPERLINK("http://mcb-m6.bioreg.kyushu-u.ac.jp/M3/20110404/F50766/338/1", 50.07)</f>
        <v>50.07</v>
      </c>
      <c r="E2500" s="2">
        <v>31.75</v>
      </c>
      <c r="F2500" s="2">
        <v>1</v>
      </c>
      <c r="G2500" s="2" t="s">
        <v>9</v>
      </c>
    </row>
    <row r="2501" spans="1:7" x14ac:dyDescent="0.2">
      <c r="A2501" s="2" t="s">
        <v>7534</v>
      </c>
      <c r="B2501" s="2" t="s">
        <v>5935</v>
      </c>
      <c r="C2501" s="2">
        <v>1263.4639999999999</v>
      </c>
      <c r="D2501" s="2">
        <f>HYPERLINK("http://mcb-m6.bioreg.kyushu-u.ac.jp/M3/20110404/F50766/1015/1", 54.23)</f>
        <v>54.23</v>
      </c>
      <c r="E2501" s="2">
        <v>35.880000000000003</v>
      </c>
      <c r="F2501" s="2">
        <v>1</v>
      </c>
      <c r="G2501" s="2" t="s">
        <v>9</v>
      </c>
    </row>
    <row r="2502" spans="1:7" x14ac:dyDescent="0.2">
      <c r="A2502" s="2" t="s">
        <v>7534</v>
      </c>
      <c r="B2502" s="2" t="s">
        <v>5935</v>
      </c>
      <c r="C2502" s="2">
        <v>1263.42</v>
      </c>
      <c r="D2502" s="2">
        <f>HYPERLINK("http://mcb-m6.bioreg.kyushu-u.ac.jp/M3/20110404/F50767/1185/1", 62.87)</f>
        <v>62.87</v>
      </c>
      <c r="E2502" s="2">
        <v>43.74</v>
      </c>
      <c r="F2502" s="2">
        <v>1</v>
      </c>
      <c r="G2502" s="2" t="s">
        <v>9</v>
      </c>
    </row>
    <row r="2503" spans="1:7" x14ac:dyDescent="0.2">
      <c r="A2503" s="2" t="s">
        <v>7534</v>
      </c>
      <c r="B2503" s="2" t="s">
        <v>5935</v>
      </c>
      <c r="C2503" s="2">
        <v>632.75210000000004</v>
      </c>
      <c r="D2503" s="2">
        <f>HYPERLINK("http://mcb-m6.bioreg.kyushu-u.ac.jp/M3/20110404/F50766/1017/1", 73.34)</f>
        <v>73.34</v>
      </c>
      <c r="E2503" s="2">
        <v>32.270000000000003</v>
      </c>
      <c r="F2503" s="2">
        <v>2</v>
      </c>
      <c r="G2503" s="2" t="s">
        <v>9</v>
      </c>
    </row>
    <row r="2504" spans="1:7" x14ac:dyDescent="0.2">
      <c r="A2504" s="2" t="s">
        <v>7534</v>
      </c>
      <c r="B2504" s="2" t="s">
        <v>5935</v>
      </c>
      <c r="C2504" s="2">
        <v>632.09670000000006</v>
      </c>
      <c r="D2504" s="2">
        <f>HYPERLINK("http://mcb-m6.bioreg.kyushu-u.ac.jp/M3/20110404/F50766/1010/1", 74.35)</f>
        <v>74.349999999999994</v>
      </c>
      <c r="E2504" s="2">
        <v>36.35</v>
      </c>
      <c r="F2504" s="2">
        <v>2</v>
      </c>
      <c r="G2504" s="2" t="s">
        <v>9</v>
      </c>
    </row>
    <row r="2505" spans="1:7" x14ac:dyDescent="0.2">
      <c r="A2505" s="2" t="s">
        <v>7534</v>
      </c>
      <c r="B2505" s="2" t="s">
        <v>5935</v>
      </c>
      <c r="C2505" s="2">
        <v>632.78369999999995</v>
      </c>
      <c r="D2505" s="2">
        <f>HYPERLINK("http://mcb-m6.bioreg.kyushu-u.ac.jp/M3/20110404/F50767/1190/1", 77.3)</f>
        <v>77.3</v>
      </c>
      <c r="E2505" s="2">
        <v>30.21</v>
      </c>
      <c r="F2505" s="2">
        <v>2</v>
      </c>
      <c r="G2505" s="2" t="s">
        <v>9</v>
      </c>
    </row>
    <row r="2506" spans="1:7" x14ac:dyDescent="0.2">
      <c r="A2506" s="2" t="s">
        <v>7534</v>
      </c>
      <c r="B2506" s="2" t="s">
        <v>5935</v>
      </c>
      <c r="C2506" s="2">
        <v>632.94169999999997</v>
      </c>
      <c r="D2506" s="2">
        <f>HYPERLINK("http://mcb-m6.bioreg.kyushu-u.ac.jp/M3/20110404/F50767/1191/1", 80.15)</f>
        <v>80.150000000000006</v>
      </c>
      <c r="E2506" s="2">
        <v>42.18</v>
      </c>
      <c r="F2506" s="2">
        <v>2</v>
      </c>
      <c r="G2506" s="2" t="s">
        <v>9</v>
      </c>
    </row>
    <row r="2507" spans="1:7" x14ac:dyDescent="0.2">
      <c r="A2507" s="2" t="s">
        <v>7534</v>
      </c>
      <c r="B2507" s="2" t="s">
        <v>5935</v>
      </c>
      <c r="C2507" s="2">
        <v>632.4117</v>
      </c>
      <c r="D2507" s="2">
        <f>HYPERLINK("http://mcb-m6.bioreg.kyushu-u.ac.jp/M3/20110404/F50766/1016/1", 81.39)</f>
        <v>81.39</v>
      </c>
      <c r="E2507" s="2">
        <v>41.92</v>
      </c>
      <c r="F2507" s="2">
        <v>2</v>
      </c>
      <c r="G2507" s="2" t="s">
        <v>9</v>
      </c>
    </row>
    <row r="2508" spans="1:7" x14ac:dyDescent="0.2">
      <c r="A2508" s="2" t="s">
        <v>7534</v>
      </c>
      <c r="B2508" s="2" t="s">
        <v>5935</v>
      </c>
      <c r="C2508" s="2">
        <v>632.21720000000005</v>
      </c>
      <c r="D2508" s="2">
        <f>HYPERLINK("http://mcb-m6.bioreg.kyushu-u.ac.jp/M3/20110404/F50766/1014/1", 84.8)</f>
        <v>84.8</v>
      </c>
      <c r="E2508" s="2">
        <v>34.49</v>
      </c>
      <c r="F2508" s="2">
        <v>2</v>
      </c>
      <c r="G2508" s="2" t="s">
        <v>9</v>
      </c>
    </row>
    <row r="2509" spans="1:7" x14ac:dyDescent="0.2">
      <c r="A2509" s="2" t="s">
        <v>7534</v>
      </c>
      <c r="B2509" s="2" t="s">
        <v>5935</v>
      </c>
      <c r="C2509" s="2">
        <v>632.27009999999996</v>
      </c>
      <c r="D2509" s="2">
        <f>HYPERLINK("http://mcb-m6.bioreg.kyushu-u.ac.jp/M3/20110404/F50767/1187/1", 85.05)</f>
        <v>85.05</v>
      </c>
      <c r="E2509" s="2">
        <v>45.62</v>
      </c>
      <c r="F2509" s="2">
        <v>2</v>
      </c>
      <c r="G2509" s="2" t="s">
        <v>9</v>
      </c>
    </row>
    <row r="2510" spans="1:7" x14ac:dyDescent="0.2">
      <c r="A2510" s="2" t="s">
        <v>7534</v>
      </c>
      <c r="B2510" s="2" t="s">
        <v>5935</v>
      </c>
      <c r="C2510" s="2">
        <v>632.75869999999998</v>
      </c>
      <c r="D2510" s="2">
        <f>HYPERLINK("http://mcb-m6.bioreg.kyushu-u.ac.jp/M3/20110404/F50766/1018/1", 92.01)</f>
        <v>92.01</v>
      </c>
      <c r="E2510" s="2">
        <v>49.81</v>
      </c>
      <c r="F2510" s="2">
        <v>2</v>
      </c>
      <c r="G2510" s="2" t="s">
        <v>9</v>
      </c>
    </row>
    <row r="2511" spans="1:7" x14ac:dyDescent="0.2">
      <c r="A2511" s="2" t="s">
        <v>7534</v>
      </c>
      <c r="B2511" s="2" t="s">
        <v>5935</v>
      </c>
      <c r="C2511" s="2">
        <v>632.62620000000004</v>
      </c>
      <c r="D2511" s="2">
        <f>HYPERLINK("http://mcb-m6.bioreg.kyushu-u.ac.jp/M3/20110404/F50768/1491/1", 84.3)</f>
        <v>84.3</v>
      </c>
      <c r="E2511" s="2">
        <v>42.56</v>
      </c>
      <c r="F2511" s="2">
        <v>2</v>
      </c>
      <c r="G2511" s="2" t="s">
        <v>10</v>
      </c>
    </row>
    <row r="2512" spans="1:7" x14ac:dyDescent="0.2">
      <c r="A2512" s="2" t="s">
        <v>7534</v>
      </c>
      <c r="B2512" s="2" t="s">
        <v>7195</v>
      </c>
      <c r="C2512" s="2">
        <v>453.63459999999998</v>
      </c>
      <c r="D2512" s="2">
        <f>HYPERLINK("http://mcb-m6.bioreg.kyushu-u.ac.jp/M3/20110421/F51021/622/1", 42.42)</f>
        <v>42.42</v>
      </c>
      <c r="E2512" s="2">
        <v>8.36</v>
      </c>
      <c r="F2512" s="2">
        <v>2</v>
      </c>
      <c r="G2512" s="2" t="s">
        <v>12</v>
      </c>
    </row>
    <row r="2513" spans="1:9" x14ac:dyDescent="0.2">
      <c r="A2513" s="2" t="s">
        <v>7535</v>
      </c>
      <c r="B2513" s="2" t="s">
        <v>5936</v>
      </c>
      <c r="C2513" s="2">
        <v>1177.8240000000001</v>
      </c>
      <c r="D2513" s="2">
        <f>HYPERLINK("http://mcb-m6.bioreg.kyushu-u.ac.jp/M3/20110404/F50766/820/1", 36.3)</f>
        <v>36.299999999999997</v>
      </c>
      <c r="E2513" s="2">
        <v>11.29</v>
      </c>
      <c r="F2513" s="2">
        <v>1</v>
      </c>
      <c r="G2513" s="2" t="s">
        <v>9</v>
      </c>
      <c r="I2513" s="2" t="s">
        <v>4892</v>
      </c>
    </row>
    <row r="2514" spans="1:9" x14ac:dyDescent="0.2">
      <c r="A2514" s="2" t="s">
        <v>7535</v>
      </c>
      <c r="B2514" s="2" t="s">
        <v>5936</v>
      </c>
      <c r="C2514" s="2">
        <v>597.27170000000001</v>
      </c>
      <c r="D2514" s="2">
        <f>HYPERLINK("http://mcb-m6.bioreg.kyushu-u.ac.jp/M3/20110404/F50766/854/1", 45.25)</f>
        <v>45.25</v>
      </c>
      <c r="E2514" s="2">
        <v>28.01</v>
      </c>
      <c r="F2514" s="2">
        <v>2</v>
      </c>
      <c r="G2514" s="2" t="s">
        <v>9</v>
      </c>
      <c r="H2514" s="2" t="s">
        <v>4896</v>
      </c>
      <c r="I2514" s="2" t="s">
        <v>4892</v>
      </c>
    </row>
    <row r="2515" spans="1:9" x14ac:dyDescent="0.2">
      <c r="A2515" s="2" t="s">
        <v>7535</v>
      </c>
      <c r="B2515" s="2" t="s">
        <v>5936</v>
      </c>
      <c r="C2515" s="2">
        <v>589.21220000000005</v>
      </c>
      <c r="D2515" s="2">
        <f>HYPERLINK("http://mcb-m6.bioreg.kyushu-u.ac.jp/M3/20110404/F50766/817/1", 46.77)</f>
        <v>46.77</v>
      </c>
      <c r="E2515" s="2">
        <v>25.73</v>
      </c>
      <c r="F2515" s="2">
        <v>2</v>
      </c>
      <c r="G2515" s="2" t="s">
        <v>9</v>
      </c>
      <c r="I2515" s="2" t="s">
        <v>4892</v>
      </c>
    </row>
    <row r="2516" spans="1:9" x14ac:dyDescent="0.2">
      <c r="A2516" s="2" t="s">
        <v>7535</v>
      </c>
      <c r="B2516" s="2" t="s">
        <v>6399</v>
      </c>
      <c r="C2516" s="2">
        <v>489.58609999999999</v>
      </c>
      <c r="D2516" s="2">
        <f>HYPERLINK("http://mcb-m6.bioreg.kyushu-u.ac.jp/M3/20110404/F50766/476/1", 59.72)</f>
        <v>59.72</v>
      </c>
      <c r="E2516" s="2">
        <v>24.22</v>
      </c>
      <c r="F2516" s="2">
        <v>2</v>
      </c>
      <c r="G2516" s="2" t="s">
        <v>9</v>
      </c>
      <c r="I2516" s="2" t="s">
        <v>4905</v>
      </c>
    </row>
    <row r="2517" spans="1:9" x14ac:dyDescent="0.2">
      <c r="A2517" s="2" t="s">
        <v>3921</v>
      </c>
      <c r="B2517" s="2" t="s">
        <v>1096</v>
      </c>
      <c r="C2517" s="2">
        <v>1319.394</v>
      </c>
      <c r="D2517" s="2">
        <f>HYPERLINK("http://mcb-m6.bioreg.kyushu-u.ac.jp/M3/20110404/F50756/1562/1", 71.27)</f>
        <v>71.27</v>
      </c>
      <c r="E2517" s="2">
        <v>49.27</v>
      </c>
      <c r="F2517" s="2">
        <v>1</v>
      </c>
      <c r="G2517" s="2" t="s">
        <v>9</v>
      </c>
    </row>
    <row r="2518" spans="1:9" x14ac:dyDescent="0.2">
      <c r="A2518" s="2" t="s">
        <v>3921</v>
      </c>
      <c r="B2518" s="2" t="s">
        <v>1096</v>
      </c>
      <c r="C2518" s="2">
        <v>1319.9580000000001</v>
      </c>
      <c r="D2518" s="2">
        <f>HYPERLINK("http://mcb-m6.bioreg.kyushu-u.ac.jp/M3/20110404/F50765/1458/1", 73.61)</f>
        <v>73.61</v>
      </c>
      <c r="E2518" s="2">
        <v>49</v>
      </c>
      <c r="F2518" s="2">
        <v>1</v>
      </c>
      <c r="G2518" s="2" t="s">
        <v>9</v>
      </c>
    </row>
    <row r="2519" spans="1:9" x14ac:dyDescent="0.2">
      <c r="A2519" s="2" t="s">
        <v>3921</v>
      </c>
      <c r="B2519" s="2" t="s">
        <v>1096</v>
      </c>
      <c r="C2519" s="2">
        <v>660.73659999999995</v>
      </c>
      <c r="D2519" s="2">
        <f>HYPERLINK("http://mcb-m6.bioreg.kyushu-u.ac.jp/M3/20110404/F50762/1490/1", 77.66)</f>
        <v>77.66</v>
      </c>
      <c r="E2519" s="2">
        <v>53.54</v>
      </c>
      <c r="F2519" s="2">
        <v>2</v>
      </c>
      <c r="G2519" s="2" t="s">
        <v>9</v>
      </c>
    </row>
    <row r="2520" spans="1:9" x14ac:dyDescent="0.2">
      <c r="A2520" s="2" t="s">
        <v>3921</v>
      </c>
      <c r="B2520" s="2" t="s">
        <v>1096</v>
      </c>
      <c r="C2520" s="2">
        <v>660.17020000000002</v>
      </c>
      <c r="D2520" s="2">
        <f>HYPERLINK("http://mcb-m6.bioreg.kyushu-u.ac.jp/M3/20110404/F50756/1561/1", 83.27)</f>
        <v>83.27</v>
      </c>
      <c r="E2520" s="2">
        <v>56.3</v>
      </c>
      <c r="F2520" s="2">
        <v>2</v>
      </c>
      <c r="G2520" s="2" t="s">
        <v>9</v>
      </c>
    </row>
    <row r="2521" spans="1:9" x14ac:dyDescent="0.2">
      <c r="A2521" s="2" t="s">
        <v>3921</v>
      </c>
      <c r="B2521" s="2" t="s">
        <v>1096</v>
      </c>
      <c r="C2521" s="2">
        <v>660.23419999999999</v>
      </c>
      <c r="D2521" s="2">
        <f>HYPERLINK("http://mcb-m6.bioreg.kyushu-u.ac.jp/M3/20110404/F50755/1578/1", 86.94)</f>
        <v>86.94</v>
      </c>
      <c r="E2521" s="2">
        <v>57.92</v>
      </c>
      <c r="F2521" s="2">
        <v>2</v>
      </c>
      <c r="G2521" s="2" t="s">
        <v>9</v>
      </c>
    </row>
    <row r="2522" spans="1:9" x14ac:dyDescent="0.2">
      <c r="A2522" s="2" t="s">
        <v>3921</v>
      </c>
      <c r="B2522" s="2" t="s">
        <v>1096</v>
      </c>
      <c r="C2522" s="2">
        <v>660.11109999999996</v>
      </c>
      <c r="D2522" s="2">
        <f>HYPERLINK("http://mcb-m6.bioreg.kyushu-u.ac.jp/M3/20110404/F50760/1486/1", 59.15)</f>
        <v>59.15</v>
      </c>
      <c r="E2522" s="2">
        <v>45.2</v>
      </c>
      <c r="F2522" s="2">
        <v>2</v>
      </c>
      <c r="G2522" s="2" t="s">
        <v>10</v>
      </c>
    </row>
    <row r="2523" spans="1:9" x14ac:dyDescent="0.2">
      <c r="A2523" s="2" t="s">
        <v>3921</v>
      </c>
      <c r="B2523" s="2" t="s">
        <v>1096</v>
      </c>
      <c r="C2523" s="2">
        <v>668.59720000000004</v>
      </c>
      <c r="D2523" s="2">
        <f>HYPERLINK("http://mcb-m6.bioreg.kyushu-u.ac.jp/M3/20110404/F50774/1566/1", 69.33)</f>
        <v>69.33</v>
      </c>
      <c r="E2523" s="2">
        <v>46.3</v>
      </c>
      <c r="F2523" s="2">
        <v>2</v>
      </c>
      <c r="G2523" s="2" t="s">
        <v>10</v>
      </c>
      <c r="H2523" s="2" t="s">
        <v>4917</v>
      </c>
    </row>
    <row r="2524" spans="1:9" x14ac:dyDescent="0.2">
      <c r="A2524" s="2" t="s">
        <v>3921</v>
      </c>
      <c r="B2524" s="2" t="s">
        <v>1096</v>
      </c>
      <c r="C2524" s="2">
        <v>660.67520000000002</v>
      </c>
      <c r="D2524" s="2">
        <f>HYPERLINK("http://mcb-m6.bioreg.kyushu-u.ac.jp/M3/20110404/F50760/1487/1", 73.66)</f>
        <v>73.66</v>
      </c>
      <c r="E2524" s="2">
        <v>48.88</v>
      </c>
      <c r="F2524" s="2">
        <v>2</v>
      </c>
      <c r="G2524" s="2" t="s">
        <v>10</v>
      </c>
    </row>
    <row r="2525" spans="1:9" x14ac:dyDescent="0.2">
      <c r="A2525" s="2" t="s">
        <v>3921</v>
      </c>
      <c r="B2525" s="2" t="s">
        <v>1096</v>
      </c>
      <c r="C2525" s="2">
        <v>660.67570000000001</v>
      </c>
      <c r="D2525" s="2">
        <f>HYPERLINK("http://mcb-m6.bioreg.kyushu-u.ac.jp/M3/20110404/F50761/1496/1", 74.7)</f>
        <v>74.7</v>
      </c>
      <c r="E2525" s="2">
        <v>40.01</v>
      </c>
      <c r="F2525" s="2">
        <v>2</v>
      </c>
      <c r="G2525" s="2" t="s">
        <v>10</v>
      </c>
    </row>
    <row r="2526" spans="1:9" x14ac:dyDescent="0.2">
      <c r="A2526" s="2" t="s">
        <v>3921</v>
      </c>
      <c r="B2526" s="2" t="s">
        <v>1096</v>
      </c>
      <c r="C2526" s="2">
        <v>1319.5119999999999</v>
      </c>
      <c r="D2526" s="2">
        <f>HYPERLINK("http://mcb-m6.bioreg.kyushu-u.ac.jp/M3/20110404/F50768/1554/1", 77.42)</f>
        <v>77.42</v>
      </c>
      <c r="E2526" s="2">
        <v>53.65</v>
      </c>
      <c r="F2526" s="2">
        <v>1</v>
      </c>
      <c r="G2526" s="2" t="s">
        <v>10</v>
      </c>
    </row>
    <row r="2527" spans="1:9" x14ac:dyDescent="0.2">
      <c r="A2527" s="2" t="s">
        <v>3921</v>
      </c>
      <c r="B2527" s="2" t="s">
        <v>1096</v>
      </c>
      <c r="C2527" s="2">
        <v>1319.29</v>
      </c>
      <c r="D2527" s="2">
        <f>HYPERLINK("http://mcb-m6.bioreg.kyushu-u.ac.jp/M3/20110404/F50771/1536/1", 77.57)</f>
        <v>77.569999999999993</v>
      </c>
      <c r="E2527" s="2">
        <v>53.57</v>
      </c>
      <c r="F2527" s="2">
        <v>1</v>
      </c>
      <c r="G2527" s="2" t="s">
        <v>10</v>
      </c>
    </row>
    <row r="2528" spans="1:9" x14ac:dyDescent="0.2">
      <c r="A2528" s="2" t="s">
        <v>3921</v>
      </c>
      <c r="B2528" s="2" t="s">
        <v>1096</v>
      </c>
      <c r="C2528" s="2">
        <v>1319.4580000000001</v>
      </c>
      <c r="D2528" s="2">
        <f>HYPERLINK("http://mcb-m6.bioreg.kyushu-u.ac.jp/M3/20110404/F50761/1495/1", 77.59)</f>
        <v>77.59</v>
      </c>
      <c r="E2528" s="2">
        <v>52.47</v>
      </c>
      <c r="F2528" s="2">
        <v>1</v>
      </c>
      <c r="G2528" s="2" t="s">
        <v>10</v>
      </c>
    </row>
    <row r="2529" spans="1:8" x14ac:dyDescent="0.2">
      <c r="A2529" s="2" t="s">
        <v>3921</v>
      </c>
      <c r="B2529" s="2" t="s">
        <v>1096</v>
      </c>
      <c r="C2529" s="2">
        <v>660.16859999999997</v>
      </c>
      <c r="D2529" s="2">
        <f>HYPERLINK("http://mcb-m6.bioreg.kyushu-u.ac.jp/M3/20110404/F50761/1493/1", 83.73)</f>
        <v>83.73</v>
      </c>
      <c r="E2529" s="2">
        <v>55.16</v>
      </c>
      <c r="F2529" s="2">
        <v>2</v>
      </c>
      <c r="G2529" s="2" t="s">
        <v>10</v>
      </c>
    </row>
    <row r="2530" spans="1:8" x14ac:dyDescent="0.2">
      <c r="A2530" s="2" t="s">
        <v>3921</v>
      </c>
      <c r="B2530" s="2" t="s">
        <v>1096</v>
      </c>
      <c r="C2530" s="2">
        <v>660.14670000000001</v>
      </c>
      <c r="D2530" s="2">
        <f>HYPERLINK("http://mcb-m6.bioreg.kyushu-u.ac.jp/M3/20110404/F50771/1534/1", 88.01)</f>
        <v>88.01</v>
      </c>
      <c r="E2530" s="2">
        <v>58.53</v>
      </c>
      <c r="F2530" s="2">
        <v>2</v>
      </c>
      <c r="G2530" s="2" t="s">
        <v>10</v>
      </c>
    </row>
    <row r="2531" spans="1:8" x14ac:dyDescent="0.2">
      <c r="A2531" s="2" t="s">
        <v>3921</v>
      </c>
      <c r="B2531" s="2" t="s">
        <v>1096</v>
      </c>
      <c r="C2531" s="2">
        <v>660.26260000000002</v>
      </c>
      <c r="D2531" s="2">
        <f>HYPERLINK("http://mcb-m6.bioreg.kyushu-u.ac.jp/M3/20110421/F51017/1582/1", 62.12)</f>
        <v>62.12</v>
      </c>
      <c r="E2531" s="2">
        <v>21.75</v>
      </c>
      <c r="F2531" s="2">
        <v>2</v>
      </c>
      <c r="G2531" s="2" t="s">
        <v>11</v>
      </c>
    </row>
    <row r="2532" spans="1:8" x14ac:dyDescent="0.2">
      <c r="A2532" s="2" t="s">
        <v>3921</v>
      </c>
      <c r="B2532" s="2" t="s">
        <v>1096</v>
      </c>
      <c r="C2532" s="2">
        <v>668.76260000000002</v>
      </c>
      <c r="D2532" s="2">
        <f>HYPERLINK("http://mcb-m6.bioreg.kyushu-u.ac.jp/M3/20110421/F51058/1444/1", 63.53)</f>
        <v>63.53</v>
      </c>
      <c r="E2532" s="2">
        <v>41.04</v>
      </c>
      <c r="F2532" s="2">
        <v>2</v>
      </c>
      <c r="G2532" s="2" t="s">
        <v>11</v>
      </c>
      <c r="H2532" s="2" t="s">
        <v>4917</v>
      </c>
    </row>
    <row r="2533" spans="1:8" x14ac:dyDescent="0.2">
      <c r="A2533" s="2" t="s">
        <v>3921</v>
      </c>
      <c r="B2533" s="2" t="s">
        <v>1096</v>
      </c>
      <c r="C2533" s="2">
        <v>660.42719999999997</v>
      </c>
      <c r="D2533" s="2">
        <f>HYPERLINK("http://mcb-m6.bioreg.kyushu-u.ac.jp/M3/20110421/F51020/1631/1", 77.17)</f>
        <v>77.17</v>
      </c>
      <c r="E2533" s="2">
        <v>47.65</v>
      </c>
      <c r="F2533" s="2">
        <v>2</v>
      </c>
      <c r="G2533" s="2" t="s">
        <v>11</v>
      </c>
    </row>
    <row r="2534" spans="1:8" x14ac:dyDescent="0.2">
      <c r="A2534" s="2" t="s">
        <v>3921</v>
      </c>
      <c r="B2534" s="2" t="s">
        <v>1096</v>
      </c>
      <c r="C2534" s="2">
        <v>660.51919999999996</v>
      </c>
      <c r="D2534" s="2">
        <f>HYPERLINK("http://mcb-m6.bioreg.kyushu-u.ac.jp/M3/20110421/F51019/1699/1", 77.91)</f>
        <v>77.91</v>
      </c>
      <c r="E2534" s="2">
        <v>53.08</v>
      </c>
      <c r="F2534" s="2">
        <v>2</v>
      </c>
      <c r="G2534" s="2" t="s">
        <v>11</v>
      </c>
    </row>
    <row r="2535" spans="1:8" x14ac:dyDescent="0.2">
      <c r="A2535" s="2" t="s">
        <v>3921</v>
      </c>
      <c r="B2535" s="2" t="s">
        <v>1096</v>
      </c>
      <c r="C2535" s="2">
        <v>668.71669999999995</v>
      </c>
      <c r="D2535" s="2">
        <f>HYPERLINK("http://mcb-m6.bioreg.kyushu-u.ac.jp/M3/20110421/F51042/1459/1", 81.45)</f>
        <v>81.45</v>
      </c>
      <c r="E2535" s="2">
        <v>63.27</v>
      </c>
      <c r="F2535" s="2">
        <v>2</v>
      </c>
      <c r="G2535" s="2" t="s">
        <v>11</v>
      </c>
      <c r="H2535" s="2" t="s">
        <v>4917</v>
      </c>
    </row>
    <row r="2536" spans="1:8" x14ac:dyDescent="0.2">
      <c r="A2536" s="2" t="s">
        <v>3921</v>
      </c>
      <c r="B2536" s="2" t="s">
        <v>1096</v>
      </c>
      <c r="C2536" s="2">
        <v>660.20759999999996</v>
      </c>
      <c r="D2536" s="2">
        <f>HYPERLINK("http://mcb-m6.bioreg.kyushu-u.ac.jp/M3/20110421/F51035/1491/1", 83.96)</f>
        <v>83.96</v>
      </c>
      <c r="E2536" s="2">
        <v>58.32</v>
      </c>
      <c r="F2536" s="2">
        <v>2</v>
      </c>
      <c r="G2536" s="2" t="s">
        <v>11</v>
      </c>
    </row>
    <row r="2537" spans="1:8" x14ac:dyDescent="0.2">
      <c r="A2537" s="2" t="s">
        <v>3921</v>
      </c>
      <c r="B2537" s="2" t="s">
        <v>1096</v>
      </c>
      <c r="C2537" s="2">
        <v>668.4742</v>
      </c>
      <c r="D2537" s="2">
        <f>HYPERLINK("http://mcb-m6.bioreg.kyushu-u.ac.jp/M3/20110421/F51020/1666/1", 87.05)</f>
        <v>87.05</v>
      </c>
      <c r="E2537" s="2">
        <v>63.45</v>
      </c>
      <c r="F2537" s="2">
        <v>2</v>
      </c>
      <c r="G2537" s="2" t="s">
        <v>11</v>
      </c>
      <c r="H2537" s="2" t="s">
        <v>4917</v>
      </c>
    </row>
    <row r="2538" spans="1:8" x14ac:dyDescent="0.2">
      <c r="A2538" s="2" t="s">
        <v>3921</v>
      </c>
      <c r="B2538" s="2" t="s">
        <v>1096</v>
      </c>
      <c r="C2538" s="2">
        <v>668.42970000000003</v>
      </c>
      <c r="D2538" s="2">
        <f>HYPERLINK("http://mcb-m6.bioreg.kyushu-u.ac.jp/M3/20110421/F51034/1603/1", 92.64)</f>
        <v>92.64</v>
      </c>
      <c r="E2538" s="2">
        <v>51.69</v>
      </c>
      <c r="F2538" s="2">
        <v>2</v>
      </c>
      <c r="G2538" s="2" t="s">
        <v>11</v>
      </c>
      <c r="H2538" s="2" t="s">
        <v>4917</v>
      </c>
    </row>
    <row r="2539" spans="1:8" x14ac:dyDescent="0.2">
      <c r="A2539" s="2" t="s">
        <v>3921</v>
      </c>
      <c r="B2539" s="2" t="s">
        <v>1096</v>
      </c>
      <c r="C2539" s="2">
        <v>660.20920000000001</v>
      </c>
      <c r="D2539" s="2">
        <f>HYPERLINK("http://mcb-m6.bioreg.kyushu-u.ac.jp/M3/20110421/F51018/1691/1", 100.29)</f>
        <v>100.29</v>
      </c>
      <c r="E2539" s="2">
        <v>70.03</v>
      </c>
      <c r="F2539" s="2">
        <v>2</v>
      </c>
      <c r="G2539" s="2" t="s">
        <v>11</v>
      </c>
    </row>
    <row r="2540" spans="1:8" x14ac:dyDescent="0.2">
      <c r="A2540" s="2" t="s">
        <v>3921</v>
      </c>
      <c r="B2540" s="2" t="s">
        <v>1096</v>
      </c>
      <c r="C2540" s="2">
        <v>660.28859999999997</v>
      </c>
      <c r="D2540" s="2">
        <f>HYPERLINK("http://mcb-m6.bioreg.kyushu-u.ac.jp/M3/20110421/F51034/1565/1", 101.08)</f>
        <v>101.08</v>
      </c>
      <c r="E2540" s="2">
        <v>72.930000000000007</v>
      </c>
      <c r="F2540" s="2">
        <v>2</v>
      </c>
      <c r="G2540" s="2" t="s">
        <v>11</v>
      </c>
    </row>
    <row r="2541" spans="1:8" x14ac:dyDescent="0.2">
      <c r="A2541" s="2" t="s">
        <v>3921</v>
      </c>
      <c r="B2541" s="2" t="s">
        <v>1096</v>
      </c>
      <c r="C2541" s="2">
        <v>668.67909999999995</v>
      </c>
      <c r="D2541" s="2">
        <f>HYPERLINK("http://mcb-m6.bioreg.kyushu-u.ac.jp/M3/20110421/F51045/1826/1", 77.59)</f>
        <v>77.59</v>
      </c>
      <c r="E2541" s="2">
        <v>55.08</v>
      </c>
      <c r="F2541" s="2">
        <v>2</v>
      </c>
      <c r="G2541" s="2" t="s">
        <v>12</v>
      </c>
      <c r="H2541" s="2" t="s">
        <v>4917</v>
      </c>
    </row>
    <row r="2542" spans="1:8" x14ac:dyDescent="0.2">
      <c r="A2542" s="2" t="s">
        <v>3921</v>
      </c>
      <c r="B2542" s="2" t="s">
        <v>1096</v>
      </c>
      <c r="C2542" s="2">
        <v>668.71669999999995</v>
      </c>
      <c r="D2542" s="2">
        <f>HYPERLINK("http://mcb-m6.bioreg.kyushu-u.ac.jp/M3/20110421/F51044/1587/1", 78.3)</f>
        <v>78.3</v>
      </c>
      <c r="E2542" s="2">
        <v>55.84</v>
      </c>
      <c r="F2542" s="2">
        <v>2</v>
      </c>
      <c r="G2542" s="2" t="s">
        <v>12</v>
      </c>
      <c r="H2542" s="2" t="s">
        <v>4917</v>
      </c>
    </row>
    <row r="2543" spans="1:8" x14ac:dyDescent="0.2">
      <c r="A2543" s="2" t="s">
        <v>3921</v>
      </c>
      <c r="B2543" s="2" t="s">
        <v>1096</v>
      </c>
      <c r="C2543" s="2">
        <v>660.19870000000003</v>
      </c>
      <c r="D2543" s="2">
        <f>HYPERLINK("http://mcb-m6.bioreg.kyushu-u.ac.jp/M3/20110421/F51044/1543/1", 81.24)</f>
        <v>81.239999999999995</v>
      </c>
      <c r="E2543" s="2">
        <v>60.15</v>
      </c>
      <c r="F2543" s="2">
        <v>2</v>
      </c>
      <c r="G2543" s="2" t="s">
        <v>12</v>
      </c>
    </row>
    <row r="2544" spans="1:8" x14ac:dyDescent="0.2">
      <c r="A2544" s="2" t="s">
        <v>3921</v>
      </c>
      <c r="B2544" s="2" t="s">
        <v>1096</v>
      </c>
      <c r="C2544" s="2">
        <v>660.53769999999997</v>
      </c>
      <c r="D2544" s="2">
        <f>HYPERLINK("http://mcb-m6.bioreg.kyushu-u.ac.jp/M3/20110421/F51045/1786/1", 83.99)</f>
        <v>83.99</v>
      </c>
      <c r="E2544" s="2">
        <v>53.59</v>
      </c>
      <c r="F2544" s="2">
        <v>2</v>
      </c>
      <c r="G2544" s="2" t="s">
        <v>12</v>
      </c>
    </row>
    <row r="2545" spans="1:8" x14ac:dyDescent="0.2">
      <c r="A2545" s="2" t="s">
        <v>3921</v>
      </c>
      <c r="B2545" s="2" t="s">
        <v>1096</v>
      </c>
      <c r="C2545" s="2">
        <v>660.34469999999999</v>
      </c>
      <c r="D2545" s="2">
        <f>HYPERLINK("http://mcb-m6.bioreg.kyushu-u.ac.jp/M3/20110421/F51043/1604/1", 96.52)</f>
        <v>96.52</v>
      </c>
      <c r="E2545" s="2">
        <v>58.82</v>
      </c>
      <c r="F2545" s="2">
        <v>2</v>
      </c>
      <c r="G2545" s="2" t="s">
        <v>12</v>
      </c>
    </row>
    <row r="2546" spans="1:8" x14ac:dyDescent="0.2">
      <c r="A2546" s="2" t="s">
        <v>3921</v>
      </c>
      <c r="B2546" s="2" t="s">
        <v>1096</v>
      </c>
      <c r="C2546" s="2">
        <v>660.41719999999998</v>
      </c>
      <c r="D2546" s="2">
        <f>HYPERLINK("http://mcb-m6.bioreg.kyushu-u.ac.jp/M3/20110428/F51131/1383/1", 37.92)</f>
        <v>37.92</v>
      </c>
      <c r="E2546" s="2">
        <v>22.27</v>
      </c>
      <c r="F2546" s="2">
        <v>2</v>
      </c>
      <c r="G2546" s="2" t="s">
        <v>13</v>
      </c>
    </row>
    <row r="2547" spans="1:8" x14ac:dyDescent="0.2">
      <c r="A2547" s="2" t="s">
        <v>3921</v>
      </c>
      <c r="B2547" s="2" t="s">
        <v>1096</v>
      </c>
      <c r="C2547" s="2">
        <v>1319.3489999999999</v>
      </c>
      <c r="D2547" s="2">
        <f>HYPERLINK("http://mcb-m6.bioreg.kyushu-u.ac.jp/M3/20110427/F51115/1609/1", 58.14)</f>
        <v>58.14</v>
      </c>
      <c r="E2547" s="2">
        <v>37.21</v>
      </c>
      <c r="F2547" s="2">
        <v>1</v>
      </c>
      <c r="G2547" s="2" t="s">
        <v>13</v>
      </c>
    </row>
    <row r="2548" spans="1:8" x14ac:dyDescent="0.2">
      <c r="A2548" s="2" t="s">
        <v>3921</v>
      </c>
      <c r="B2548" s="2" t="s">
        <v>2504</v>
      </c>
      <c r="C2548" s="2">
        <v>724.22609999999997</v>
      </c>
      <c r="D2548" s="2">
        <f>HYPERLINK("http://mcb-m6.bioreg.kyushu-u.ac.jp/M3/20110427/F51114/1956/1", 61.12)</f>
        <v>61.12</v>
      </c>
      <c r="E2548" s="2">
        <v>43.25</v>
      </c>
      <c r="F2548" s="2">
        <v>2</v>
      </c>
      <c r="G2548" s="2" t="s">
        <v>13</v>
      </c>
    </row>
    <row r="2549" spans="1:8" x14ac:dyDescent="0.2">
      <c r="A2549" s="2" t="s">
        <v>3921</v>
      </c>
      <c r="B2549" s="2" t="s">
        <v>1096</v>
      </c>
      <c r="C2549" s="2">
        <v>1319.3679999999999</v>
      </c>
      <c r="D2549" s="2">
        <f>HYPERLINK("http://mcb-m6.bioreg.kyushu-u.ac.jp/M3/20110427/F51114/1615/1", 61.42)</f>
        <v>61.42</v>
      </c>
      <c r="E2549" s="2">
        <v>42.96</v>
      </c>
      <c r="F2549" s="2">
        <v>1</v>
      </c>
      <c r="G2549" s="2" t="s">
        <v>13</v>
      </c>
    </row>
    <row r="2550" spans="1:8" x14ac:dyDescent="0.2">
      <c r="A2550" s="2" t="s">
        <v>3921</v>
      </c>
      <c r="B2550" s="2" t="s">
        <v>1096</v>
      </c>
      <c r="C2550" s="2">
        <v>660.34770000000003</v>
      </c>
      <c r="D2550" s="2">
        <f>HYPERLINK("http://mcb-m6.bioreg.kyushu-u.ac.jp/M3/20110427/F51113/1602/1", 76.49)</f>
        <v>76.489999999999995</v>
      </c>
      <c r="E2550" s="2">
        <v>53.22</v>
      </c>
      <c r="F2550" s="2">
        <v>2</v>
      </c>
      <c r="G2550" s="2" t="s">
        <v>13</v>
      </c>
    </row>
    <row r="2551" spans="1:8" x14ac:dyDescent="0.2">
      <c r="A2551" s="2" t="s">
        <v>3921</v>
      </c>
      <c r="B2551" s="2" t="s">
        <v>1096</v>
      </c>
      <c r="C2551" s="2">
        <v>660.11659999999995</v>
      </c>
      <c r="D2551" s="2">
        <f>HYPERLINK("http://mcb-m6.bioreg.kyushu-u.ac.jp/M3/20110427/F51115/1607/1", 79.3)</f>
        <v>79.3</v>
      </c>
      <c r="E2551" s="2">
        <v>53.03</v>
      </c>
      <c r="F2551" s="2">
        <v>2</v>
      </c>
      <c r="G2551" s="2" t="s">
        <v>13</v>
      </c>
    </row>
    <row r="2552" spans="1:8" x14ac:dyDescent="0.2">
      <c r="A2552" s="2" t="s">
        <v>3921</v>
      </c>
      <c r="B2552" s="2" t="s">
        <v>1096</v>
      </c>
      <c r="C2552" s="2">
        <v>668.60270000000003</v>
      </c>
      <c r="D2552" s="2">
        <f>HYPERLINK("http://mcb-m6.bioreg.kyushu-u.ac.jp/M3/20110427/F51114/1664/1", 81.59)</f>
        <v>81.59</v>
      </c>
      <c r="E2552" s="2">
        <v>54.34</v>
      </c>
      <c r="F2552" s="2">
        <v>2</v>
      </c>
      <c r="G2552" s="2" t="s">
        <v>13</v>
      </c>
      <c r="H2552" s="2" t="s">
        <v>4917</v>
      </c>
    </row>
    <row r="2553" spans="1:8" x14ac:dyDescent="0.2">
      <c r="A2553" s="2" t="s">
        <v>3921</v>
      </c>
      <c r="B2553" s="2" t="s">
        <v>1096</v>
      </c>
      <c r="C2553" s="2">
        <v>668.33219999999994</v>
      </c>
      <c r="D2553" s="2">
        <f>HYPERLINK("http://mcb-m6.bioreg.kyushu-u.ac.jp/M3/20110428/F51127/1468/1", 82.28)</f>
        <v>82.28</v>
      </c>
      <c r="E2553" s="2">
        <v>42.78</v>
      </c>
      <c r="F2553" s="2">
        <v>2</v>
      </c>
      <c r="G2553" s="2" t="s">
        <v>13</v>
      </c>
      <c r="H2553" s="2" t="s">
        <v>4917</v>
      </c>
    </row>
    <row r="2554" spans="1:8" x14ac:dyDescent="0.2">
      <c r="A2554" s="2" t="s">
        <v>3921</v>
      </c>
      <c r="B2554" s="2" t="s">
        <v>1096</v>
      </c>
      <c r="C2554" s="2">
        <v>660.1422</v>
      </c>
      <c r="D2554" s="2">
        <f>HYPERLINK("http://mcb-m6.bioreg.kyushu-u.ac.jp/M3/20110427/F51112/1700/1", 83.45)</f>
        <v>83.45</v>
      </c>
      <c r="E2554" s="2">
        <v>56.29</v>
      </c>
      <c r="F2554" s="2">
        <v>2</v>
      </c>
      <c r="G2554" s="2" t="s">
        <v>13</v>
      </c>
    </row>
    <row r="2555" spans="1:8" x14ac:dyDescent="0.2">
      <c r="A2555" s="2" t="s">
        <v>3921</v>
      </c>
      <c r="B2555" s="2" t="s">
        <v>1096</v>
      </c>
      <c r="C2555" s="2">
        <v>660.12710000000004</v>
      </c>
      <c r="D2555" s="2">
        <f>HYPERLINK("http://mcb-m6.bioreg.kyushu-u.ac.jp/M3/20110427/F51116/1629/1", 84.69)</f>
        <v>84.69</v>
      </c>
      <c r="E2555" s="2">
        <v>52.28</v>
      </c>
      <c r="F2555" s="2">
        <v>2</v>
      </c>
      <c r="G2555" s="2" t="s">
        <v>13</v>
      </c>
    </row>
    <row r="2556" spans="1:8" x14ac:dyDescent="0.2">
      <c r="A2556" s="2" t="s">
        <v>3921</v>
      </c>
      <c r="B2556" s="2" t="s">
        <v>1096</v>
      </c>
      <c r="C2556" s="2">
        <v>660.52560000000005</v>
      </c>
      <c r="D2556" s="2">
        <f>HYPERLINK("http://mcb-m6.bioreg.kyushu-u.ac.jp/M3/20110428/F51127/1435/1", 88.12)</f>
        <v>88.12</v>
      </c>
      <c r="E2556" s="2">
        <v>56.03</v>
      </c>
      <c r="F2556" s="2">
        <v>2</v>
      </c>
      <c r="G2556" s="2" t="s">
        <v>13</v>
      </c>
    </row>
    <row r="2557" spans="1:8" x14ac:dyDescent="0.2">
      <c r="A2557" s="2" t="s">
        <v>3921</v>
      </c>
      <c r="B2557" s="2" t="s">
        <v>1096</v>
      </c>
      <c r="C2557" s="2">
        <v>668.13369999999998</v>
      </c>
      <c r="D2557" s="2">
        <f>HYPERLINK("http://mcb-m6.bioreg.kyushu-u.ac.jp/M3/20110427/F51115/1635/1", 93.7)</f>
        <v>93.7</v>
      </c>
      <c r="E2557" s="2">
        <v>30.11</v>
      </c>
      <c r="F2557" s="2">
        <v>2</v>
      </c>
      <c r="G2557" s="2" t="s">
        <v>13</v>
      </c>
      <c r="H2557" s="2" t="s">
        <v>4917</v>
      </c>
    </row>
    <row r="2558" spans="1:8" x14ac:dyDescent="0.2">
      <c r="A2558" s="2" t="s">
        <v>3921</v>
      </c>
      <c r="B2558" s="2" t="s">
        <v>1096</v>
      </c>
      <c r="C2558" s="2">
        <v>668.5616</v>
      </c>
      <c r="D2558" s="2">
        <f>HYPERLINK("http://mcb-m6.bioreg.kyushu-u.ac.jp/M3/20110427/F51122/1844/1", 50.59)</f>
        <v>50.59</v>
      </c>
      <c r="E2558" s="2">
        <v>27.34</v>
      </c>
      <c r="F2558" s="2">
        <v>2</v>
      </c>
      <c r="G2558" s="2" t="s">
        <v>14</v>
      </c>
      <c r="H2558" s="2" t="s">
        <v>4917</v>
      </c>
    </row>
    <row r="2559" spans="1:8" x14ac:dyDescent="0.2">
      <c r="A2559" s="2" t="s">
        <v>3921</v>
      </c>
      <c r="B2559" s="2" t="s">
        <v>1096</v>
      </c>
      <c r="C2559" s="2">
        <v>668.14760000000001</v>
      </c>
      <c r="D2559" s="2">
        <f>HYPERLINK("http://mcb-m6.bioreg.kyushu-u.ac.jp/M3/20110428/F51128/1592/1", 61.63)</f>
        <v>61.63</v>
      </c>
      <c r="E2559" s="2">
        <v>23.02</v>
      </c>
      <c r="F2559" s="2">
        <v>2</v>
      </c>
      <c r="G2559" s="2" t="s">
        <v>14</v>
      </c>
      <c r="H2559" s="2" t="s">
        <v>4917</v>
      </c>
    </row>
    <row r="2560" spans="1:8" x14ac:dyDescent="0.2">
      <c r="A2560" s="2" t="s">
        <v>3921</v>
      </c>
      <c r="B2560" s="2" t="s">
        <v>2504</v>
      </c>
      <c r="C2560" s="2">
        <v>724.71420000000001</v>
      </c>
      <c r="D2560" s="2">
        <f>HYPERLINK("http://mcb-m6.bioreg.kyushu-u.ac.jp/M3/20110427/F51123/1958/1", 65.32)</f>
        <v>65.319999999999993</v>
      </c>
      <c r="E2560" s="2">
        <v>41.08</v>
      </c>
      <c r="F2560" s="2">
        <v>2</v>
      </c>
      <c r="G2560" s="2" t="s">
        <v>14</v>
      </c>
    </row>
    <row r="2561" spans="1:8" x14ac:dyDescent="0.2">
      <c r="A2561" s="2" t="s">
        <v>3921</v>
      </c>
      <c r="B2561" s="2" t="s">
        <v>1096</v>
      </c>
      <c r="C2561" s="2">
        <v>1319.4590000000001</v>
      </c>
      <c r="D2561" s="2">
        <f>HYPERLINK("http://mcb-m6.bioreg.kyushu-u.ac.jp/M3/20110427/F51123/1636/1", 71.09)</f>
        <v>71.09</v>
      </c>
      <c r="E2561" s="2">
        <v>49.94</v>
      </c>
      <c r="F2561" s="2">
        <v>1</v>
      </c>
      <c r="G2561" s="2" t="s">
        <v>14</v>
      </c>
    </row>
    <row r="2562" spans="1:8" x14ac:dyDescent="0.2">
      <c r="A2562" s="2" t="s">
        <v>3921</v>
      </c>
      <c r="B2562" s="2" t="s">
        <v>1096</v>
      </c>
      <c r="C2562" s="2">
        <v>668.64620000000002</v>
      </c>
      <c r="D2562" s="2">
        <f>HYPERLINK("http://mcb-m6.bioreg.kyushu-u.ac.jp/M3/20110427/F51123/1671/1", 71.38)</f>
        <v>71.38</v>
      </c>
      <c r="E2562" s="2">
        <v>45.06</v>
      </c>
      <c r="F2562" s="2">
        <v>2</v>
      </c>
      <c r="G2562" s="2" t="s">
        <v>14</v>
      </c>
      <c r="H2562" s="2" t="s">
        <v>4917</v>
      </c>
    </row>
    <row r="2563" spans="1:8" x14ac:dyDescent="0.2">
      <c r="A2563" s="2" t="s">
        <v>3921</v>
      </c>
      <c r="B2563" s="2" t="s">
        <v>1096</v>
      </c>
      <c r="C2563" s="2">
        <v>659.90920000000006</v>
      </c>
      <c r="D2563" s="2">
        <f>HYPERLINK("http://mcb-m6.bioreg.kyushu-u.ac.jp/M3/20110427/F51122/1820/1", 75.99)</f>
        <v>75.989999999999995</v>
      </c>
      <c r="E2563" s="2">
        <v>55.01</v>
      </c>
      <c r="F2563" s="2">
        <v>2</v>
      </c>
      <c r="G2563" s="2" t="s">
        <v>14</v>
      </c>
    </row>
    <row r="2564" spans="1:8" x14ac:dyDescent="0.2">
      <c r="A2564" s="2" t="s">
        <v>3921</v>
      </c>
      <c r="B2564" s="2" t="s">
        <v>1096</v>
      </c>
      <c r="C2564" s="2">
        <v>660.34519999999998</v>
      </c>
      <c r="D2564" s="2">
        <f>HYPERLINK("http://mcb-m6.bioreg.kyushu-u.ac.jp/M3/20110428/F51128/1567/1", 77.72)</f>
        <v>77.72</v>
      </c>
      <c r="E2564" s="2">
        <v>45.84</v>
      </c>
      <c r="F2564" s="2">
        <v>2</v>
      </c>
      <c r="G2564" s="2" t="s">
        <v>14</v>
      </c>
    </row>
    <row r="2565" spans="1:8" x14ac:dyDescent="0.2">
      <c r="A2565" s="2" t="s">
        <v>3921</v>
      </c>
      <c r="B2565" s="2" t="s">
        <v>1096</v>
      </c>
      <c r="C2565" s="2">
        <v>668.22919999999999</v>
      </c>
      <c r="D2565" s="2">
        <f>HYPERLINK("http://mcb-m6.bioreg.kyushu-u.ac.jp/M3/20110428/F51130/1707/1", 77.98)</f>
        <v>77.98</v>
      </c>
      <c r="E2565" s="2">
        <v>38.75</v>
      </c>
      <c r="F2565" s="2">
        <v>2</v>
      </c>
      <c r="G2565" s="2" t="s">
        <v>14</v>
      </c>
      <c r="H2565" s="2" t="s">
        <v>4917</v>
      </c>
    </row>
    <row r="2566" spans="1:8" x14ac:dyDescent="0.2">
      <c r="A2566" s="2" t="s">
        <v>3921</v>
      </c>
      <c r="B2566" s="2" t="s">
        <v>1096</v>
      </c>
      <c r="C2566" s="2">
        <v>660.25210000000004</v>
      </c>
      <c r="D2566" s="2">
        <f>HYPERLINK("http://mcb-m6.bioreg.kyushu-u.ac.jp/M3/20110427/F51125/1753/1", 79.33)</f>
        <v>79.33</v>
      </c>
      <c r="E2566" s="2">
        <v>50.07</v>
      </c>
      <c r="F2566" s="2">
        <v>2</v>
      </c>
      <c r="G2566" s="2" t="s">
        <v>14</v>
      </c>
    </row>
    <row r="2567" spans="1:8" x14ac:dyDescent="0.2">
      <c r="A2567" s="2" t="s">
        <v>3921</v>
      </c>
      <c r="B2567" s="2" t="s">
        <v>1096</v>
      </c>
      <c r="C2567" s="2">
        <v>660.02719999999999</v>
      </c>
      <c r="D2567" s="2">
        <f>HYPERLINK("http://mcb-m6.bioreg.kyushu-u.ac.jp/M3/20110427/F51124/1657/1", 81.24)</f>
        <v>81.239999999999995</v>
      </c>
      <c r="E2567" s="2">
        <v>51.86</v>
      </c>
      <c r="F2567" s="2">
        <v>2</v>
      </c>
      <c r="G2567" s="2" t="s">
        <v>14</v>
      </c>
    </row>
    <row r="2568" spans="1:8" x14ac:dyDescent="0.2">
      <c r="A2568" s="2" t="s">
        <v>3921</v>
      </c>
      <c r="B2568" s="2" t="s">
        <v>1096</v>
      </c>
      <c r="C2568" s="2">
        <v>660.66020000000003</v>
      </c>
      <c r="D2568" s="2">
        <f>HYPERLINK("http://mcb-m6.bioreg.kyushu-u.ac.jp/M3/20110427/F51123/1638/1", 84.28)</f>
        <v>84.28</v>
      </c>
      <c r="E2568" s="2">
        <v>57.59</v>
      </c>
      <c r="F2568" s="2">
        <v>2</v>
      </c>
      <c r="G2568" s="2" t="s">
        <v>14</v>
      </c>
    </row>
    <row r="2569" spans="1:8" x14ac:dyDescent="0.2">
      <c r="A2569" s="2" t="s">
        <v>3921</v>
      </c>
      <c r="B2569" s="2" t="s">
        <v>1096</v>
      </c>
      <c r="C2569" s="2">
        <v>660.12660000000005</v>
      </c>
      <c r="D2569" s="2">
        <f>HYPERLINK("http://mcb-m6.bioreg.kyushu-u.ac.jp/M3/20110427/F51123/1634/1", 88.26)</f>
        <v>88.26</v>
      </c>
      <c r="E2569" s="2">
        <v>51.73</v>
      </c>
      <c r="F2569" s="2">
        <v>2</v>
      </c>
      <c r="G2569" s="2" t="s">
        <v>14</v>
      </c>
    </row>
    <row r="2570" spans="1:8" x14ac:dyDescent="0.2">
      <c r="A2570" s="2" t="s">
        <v>3921</v>
      </c>
      <c r="B2570" s="2" t="s">
        <v>1096</v>
      </c>
      <c r="C2570" s="2">
        <v>660.5702</v>
      </c>
      <c r="D2570" s="2">
        <f>HYPERLINK("http://mcb-m6.bioreg.kyushu-u.ac.jp/M3/20110427/F51124/1658/1", 97.86)</f>
        <v>97.86</v>
      </c>
      <c r="E2570" s="2">
        <v>70.23</v>
      </c>
      <c r="F2570" s="2">
        <v>2</v>
      </c>
      <c r="G2570" s="2" t="s">
        <v>14</v>
      </c>
    </row>
    <row r="2571" spans="1:8" x14ac:dyDescent="0.2">
      <c r="A2571" s="2" t="s">
        <v>3656</v>
      </c>
      <c r="B2571" s="2" t="s">
        <v>2051</v>
      </c>
      <c r="C2571" s="2">
        <v>1359.424</v>
      </c>
      <c r="D2571" s="2">
        <f>HYPERLINK("http://mcb-m6.bioreg.kyushu-u.ac.jp/M3/20110404/F50762/1551/1", 46.57)</f>
        <v>46.57</v>
      </c>
      <c r="E2571" s="2">
        <v>32.57</v>
      </c>
      <c r="F2571" s="2">
        <v>1</v>
      </c>
      <c r="G2571" s="2" t="s">
        <v>9</v>
      </c>
    </row>
    <row r="2572" spans="1:8" x14ac:dyDescent="0.2">
      <c r="A2572" s="2" t="s">
        <v>3656</v>
      </c>
      <c r="B2572" s="2" t="s">
        <v>6263</v>
      </c>
      <c r="C2572" s="2">
        <v>510.13709999999998</v>
      </c>
      <c r="D2572" s="2">
        <f>HYPERLINK("http://mcb-m6.bioreg.kyushu-u.ac.jp/M3/20110404/F50765/968/1", 49.91)</f>
        <v>49.91</v>
      </c>
      <c r="E2572" s="2">
        <v>16.78</v>
      </c>
      <c r="F2572" s="2">
        <v>2</v>
      </c>
      <c r="G2572" s="2" t="s">
        <v>9</v>
      </c>
    </row>
    <row r="2573" spans="1:8" x14ac:dyDescent="0.2">
      <c r="A2573" s="2" t="s">
        <v>3656</v>
      </c>
      <c r="B2573" s="2" t="s">
        <v>589</v>
      </c>
      <c r="C2573" s="2">
        <v>910.84619999999995</v>
      </c>
      <c r="D2573" s="2">
        <f>HYPERLINK("http://mcb-m6.bioreg.kyushu-u.ac.jp/M3/20110404/F50762/2339/1", 51.9)</f>
        <v>51.9</v>
      </c>
      <c r="E2573" s="2">
        <v>42.95</v>
      </c>
      <c r="F2573" s="2">
        <v>2</v>
      </c>
      <c r="G2573" s="2" t="s">
        <v>9</v>
      </c>
    </row>
    <row r="2574" spans="1:8" x14ac:dyDescent="0.2">
      <c r="A2574" s="2" t="s">
        <v>3656</v>
      </c>
      <c r="B2574" s="2" t="s">
        <v>589</v>
      </c>
      <c r="C2574" s="2">
        <v>911.44069999999999</v>
      </c>
      <c r="D2574" s="2">
        <f>HYPERLINK("http://mcb-m6.bioreg.kyushu-u.ac.jp/M3/20110404/F50762/2344/1", 52.34)</f>
        <v>52.34</v>
      </c>
      <c r="E2574" s="2">
        <v>47.32</v>
      </c>
      <c r="F2574" s="2">
        <v>2</v>
      </c>
      <c r="G2574" s="2" t="s">
        <v>9</v>
      </c>
    </row>
    <row r="2575" spans="1:8" x14ac:dyDescent="0.2">
      <c r="A2575" s="2" t="s">
        <v>3656</v>
      </c>
      <c r="B2575" s="2" t="s">
        <v>589</v>
      </c>
      <c r="C2575" s="2">
        <v>911.02120000000002</v>
      </c>
      <c r="D2575" s="2">
        <f>HYPERLINK("http://mcb-m6.bioreg.kyushu-u.ac.jp/M3/20110404/F50763/2513/1", 53.24)</f>
        <v>53.24</v>
      </c>
      <c r="E2575" s="2">
        <v>45.08</v>
      </c>
      <c r="F2575" s="2">
        <v>2</v>
      </c>
      <c r="G2575" s="2" t="s">
        <v>9</v>
      </c>
    </row>
    <row r="2576" spans="1:8" x14ac:dyDescent="0.2">
      <c r="A2576" s="2" t="s">
        <v>3656</v>
      </c>
      <c r="B2576" s="2" t="s">
        <v>1574</v>
      </c>
      <c r="C2576" s="2">
        <v>902.23320000000001</v>
      </c>
      <c r="D2576" s="2">
        <f>HYPERLINK("http://mcb-m6.bioreg.kyushu-u.ac.jp/M3/20110404/F50756/2701/1", 55.28)</f>
        <v>55.28</v>
      </c>
      <c r="E2576" s="2">
        <v>35.299999999999997</v>
      </c>
      <c r="F2576" s="2">
        <v>2</v>
      </c>
      <c r="G2576" s="2" t="s">
        <v>9</v>
      </c>
    </row>
    <row r="2577" spans="1:8" x14ac:dyDescent="0.2">
      <c r="A2577" s="2" t="s">
        <v>3656</v>
      </c>
      <c r="B2577" s="2" t="s">
        <v>2051</v>
      </c>
      <c r="C2577" s="2">
        <v>1359.508</v>
      </c>
      <c r="D2577" s="2">
        <f>HYPERLINK("http://mcb-m6.bioreg.kyushu-u.ac.jp/M3/20110404/F50765/1529/1", 55.71)</f>
        <v>55.71</v>
      </c>
      <c r="E2577" s="2">
        <v>27.97</v>
      </c>
      <c r="F2577" s="2">
        <v>1</v>
      </c>
      <c r="G2577" s="2" t="s">
        <v>9</v>
      </c>
    </row>
    <row r="2578" spans="1:8" x14ac:dyDescent="0.2">
      <c r="A2578" s="2" t="s">
        <v>3656</v>
      </c>
      <c r="B2578" s="2" t="s">
        <v>6263</v>
      </c>
      <c r="C2578" s="2">
        <v>510.31459999999998</v>
      </c>
      <c r="D2578" s="2">
        <f>HYPERLINK("http://mcb-m6.bioreg.kyushu-u.ac.jp/M3/20110404/F50762/1032/1", 57.33)</f>
        <v>57.33</v>
      </c>
      <c r="E2578" s="2">
        <v>16.3</v>
      </c>
      <c r="F2578" s="2">
        <v>2</v>
      </c>
      <c r="G2578" s="2" t="s">
        <v>9</v>
      </c>
    </row>
    <row r="2579" spans="1:8" x14ac:dyDescent="0.2">
      <c r="A2579" s="2" t="s">
        <v>3656</v>
      </c>
      <c r="B2579" s="2" t="s">
        <v>2051</v>
      </c>
      <c r="C2579" s="2">
        <v>688.2577</v>
      </c>
      <c r="D2579" s="2">
        <f>HYPERLINK("http://mcb-m6.bioreg.kyushu-u.ac.jp/M3/20110404/F50762/1595/1", 57.96)</f>
        <v>57.96</v>
      </c>
      <c r="E2579" s="2">
        <v>39.03</v>
      </c>
      <c r="F2579" s="2">
        <v>2</v>
      </c>
      <c r="G2579" s="2" t="s">
        <v>9</v>
      </c>
      <c r="H2579" s="2" t="s">
        <v>4891</v>
      </c>
    </row>
    <row r="2580" spans="1:8" x14ac:dyDescent="0.2">
      <c r="A2580" s="2" t="s">
        <v>3656</v>
      </c>
      <c r="B2580" s="2" t="s">
        <v>1574</v>
      </c>
      <c r="C2580" s="2">
        <v>601.86379999999997</v>
      </c>
      <c r="D2580" s="2">
        <f>HYPERLINK("http://mcb-m6.bioreg.kyushu-u.ac.jp/M3/20110404/F50765/2487/1", 62.69)</f>
        <v>62.69</v>
      </c>
      <c r="E2580" s="2">
        <v>40.42</v>
      </c>
      <c r="F2580" s="2">
        <v>3</v>
      </c>
      <c r="G2580" s="2" t="s">
        <v>9</v>
      </c>
    </row>
    <row r="2581" spans="1:8" x14ac:dyDescent="0.2">
      <c r="A2581" s="2" t="s">
        <v>3656</v>
      </c>
      <c r="B2581" s="2" t="s">
        <v>2051</v>
      </c>
      <c r="C2581" s="2">
        <v>688.77009999999996</v>
      </c>
      <c r="D2581" s="2">
        <f>HYPERLINK("http://mcb-m6.bioreg.kyushu-u.ac.jp/M3/20110404/F50756/1687/1", 65.98)</f>
        <v>65.98</v>
      </c>
      <c r="E2581" s="2">
        <v>39.950000000000003</v>
      </c>
      <c r="F2581" s="2">
        <v>2</v>
      </c>
      <c r="G2581" s="2" t="s">
        <v>9</v>
      </c>
      <c r="H2581" s="2" t="s">
        <v>4891</v>
      </c>
    </row>
    <row r="2582" spans="1:8" x14ac:dyDescent="0.2">
      <c r="A2582" s="2" t="s">
        <v>3656</v>
      </c>
      <c r="B2582" s="2" t="s">
        <v>589</v>
      </c>
      <c r="C2582" s="2">
        <v>918.84169999999995</v>
      </c>
      <c r="D2582" s="2">
        <f>HYPERLINK("http://mcb-m6.bioreg.kyushu-u.ac.jp/M3/20110404/F50762/2381/1", 70.42)</f>
        <v>70.42</v>
      </c>
      <c r="E2582" s="2">
        <v>13.78</v>
      </c>
      <c r="F2582" s="2">
        <v>2</v>
      </c>
      <c r="G2582" s="2" t="s">
        <v>9</v>
      </c>
      <c r="H2582" s="2" t="s">
        <v>4917</v>
      </c>
    </row>
    <row r="2583" spans="1:8" x14ac:dyDescent="0.2">
      <c r="A2583" s="2" t="s">
        <v>3656</v>
      </c>
      <c r="B2583" s="2" t="s">
        <v>589</v>
      </c>
      <c r="C2583" s="2">
        <v>918.86569999999995</v>
      </c>
      <c r="D2583" s="2">
        <f>HYPERLINK("http://mcb-m6.bioreg.kyushu-u.ac.jp/M3/20110404/F50756/2790/1", 72.98)</f>
        <v>72.98</v>
      </c>
      <c r="E2583" s="2">
        <v>1.1200000000000001</v>
      </c>
      <c r="F2583" s="2">
        <v>2</v>
      </c>
      <c r="G2583" s="2" t="s">
        <v>9</v>
      </c>
      <c r="H2583" s="2" t="s">
        <v>4917</v>
      </c>
    </row>
    <row r="2584" spans="1:8" x14ac:dyDescent="0.2">
      <c r="A2584" s="2" t="s">
        <v>3656</v>
      </c>
      <c r="B2584" s="2" t="s">
        <v>589</v>
      </c>
      <c r="C2584" s="2">
        <v>910.74869999999999</v>
      </c>
      <c r="D2584" s="2">
        <f>HYPERLINK("http://mcb-m6.bioreg.kyushu-u.ac.jp/M3/20110404/F50764/2475/1", 81.3)</f>
        <v>81.3</v>
      </c>
      <c r="E2584" s="2">
        <v>70.7</v>
      </c>
      <c r="F2584" s="2">
        <v>2</v>
      </c>
      <c r="G2584" s="2" t="s">
        <v>9</v>
      </c>
    </row>
    <row r="2585" spans="1:8" x14ac:dyDescent="0.2">
      <c r="A2585" s="2" t="s">
        <v>3656</v>
      </c>
      <c r="B2585" s="2" t="s">
        <v>1574</v>
      </c>
      <c r="C2585" s="2">
        <v>902.84469999999999</v>
      </c>
      <c r="D2585" s="2">
        <f>HYPERLINK("http://mcb-m6.bioreg.kyushu-u.ac.jp/M3/20110404/F50765/2488/1", 88.37)</f>
        <v>88.37</v>
      </c>
      <c r="E2585" s="2">
        <v>59.33</v>
      </c>
      <c r="F2585" s="2">
        <v>2</v>
      </c>
      <c r="G2585" s="2" t="s">
        <v>9</v>
      </c>
    </row>
    <row r="2586" spans="1:8" x14ac:dyDescent="0.2">
      <c r="A2586" s="2" t="s">
        <v>3656</v>
      </c>
      <c r="B2586" s="2" t="s">
        <v>1574</v>
      </c>
      <c r="C2586" s="2">
        <v>902.73519999999996</v>
      </c>
      <c r="D2586" s="2">
        <f>HYPERLINK("http://mcb-m6.bioreg.kyushu-u.ac.jp/M3/20110404/F50756/2703/1", 94.04)</f>
        <v>94.04</v>
      </c>
      <c r="E2586" s="2">
        <v>68.16</v>
      </c>
      <c r="F2586" s="2">
        <v>2</v>
      </c>
      <c r="G2586" s="2" t="s">
        <v>9</v>
      </c>
    </row>
    <row r="2587" spans="1:8" x14ac:dyDescent="0.2">
      <c r="A2587" s="2" t="s">
        <v>3656</v>
      </c>
      <c r="B2587" s="2" t="s">
        <v>589</v>
      </c>
      <c r="C2587" s="2">
        <v>911.12220000000002</v>
      </c>
      <c r="D2587" s="2">
        <f>HYPERLINK("http://mcb-m6.bioreg.kyushu-u.ac.jp/M3/20110404/F50754/2644/1", 99.01)</f>
        <v>99.01</v>
      </c>
      <c r="E2587" s="2">
        <v>80.58</v>
      </c>
      <c r="F2587" s="2">
        <v>2</v>
      </c>
      <c r="G2587" s="2" t="s">
        <v>9</v>
      </c>
    </row>
    <row r="2588" spans="1:8" x14ac:dyDescent="0.2">
      <c r="A2588" s="2" t="s">
        <v>3656</v>
      </c>
      <c r="B2588" s="2" t="s">
        <v>589</v>
      </c>
      <c r="C2588" s="2">
        <v>919.22810000000004</v>
      </c>
      <c r="D2588" s="2">
        <f>HYPERLINK("http://mcb-m6.bioreg.kyushu-u.ac.jp/M3/20110404/F50765/2560/1", 126.38)</f>
        <v>126.38</v>
      </c>
      <c r="E2588" s="2">
        <v>101.24</v>
      </c>
      <c r="F2588" s="2">
        <v>2</v>
      </c>
      <c r="G2588" s="2" t="s">
        <v>9</v>
      </c>
      <c r="H2588" s="2" t="s">
        <v>4917</v>
      </c>
    </row>
    <row r="2589" spans="1:8" x14ac:dyDescent="0.2">
      <c r="A2589" s="2" t="s">
        <v>3656</v>
      </c>
      <c r="B2589" s="2" t="s">
        <v>2051</v>
      </c>
      <c r="C2589" s="2">
        <v>680.07669999999996</v>
      </c>
      <c r="D2589" s="2">
        <f>HYPERLINK("http://mcb-m6.bioreg.kyushu-u.ac.jp/M3/20110404/F50769/1761/1", 37.37)</f>
        <v>37.369999999999997</v>
      </c>
      <c r="E2589" s="2">
        <v>16.61</v>
      </c>
      <c r="F2589" s="2">
        <v>2</v>
      </c>
      <c r="G2589" s="2" t="s">
        <v>10</v>
      </c>
    </row>
    <row r="2590" spans="1:8" x14ac:dyDescent="0.2">
      <c r="A2590" s="2" t="s">
        <v>3656</v>
      </c>
      <c r="B2590" s="2" t="s">
        <v>1574</v>
      </c>
      <c r="C2590" s="2">
        <v>902.29470000000003</v>
      </c>
      <c r="D2590" s="2">
        <f>HYPERLINK("http://mcb-m6.bioreg.kyushu-u.ac.jp/M3/20110404/F50761/2504/1", 44.27)</f>
        <v>44.27</v>
      </c>
      <c r="E2590" s="2">
        <v>22.09</v>
      </c>
      <c r="F2590" s="2">
        <v>2</v>
      </c>
      <c r="G2590" s="2" t="s">
        <v>10</v>
      </c>
    </row>
    <row r="2591" spans="1:8" x14ac:dyDescent="0.2">
      <c r="A2591" s="2" t="s">
        <v>3656</v>
      </c>
      <c r="B2591" s="2" t="s">
        <v>2051</v>
      </c>
      <c r="C2591" s="2">
        <v>1360.5029999999999</v>
      </c>
      <c r="D2591" s="2">
        <f>HYPERLINK("http://mcb-m6.bioreg.kyushu-u.ac.jp/M3/20110404/F50771/1608/1", 44.98)</f>
        <v>44.98</v>
      </c>
      <c r="E2591" s="2">
        <v>26.9</v>
      </c>
      <c r="F2591" s="2">
        <v>1</v>
      </c>
      <c r="G2591" s="2" t="s">
        <v>10</v>
      </c>
    </row>
    <row r="2592" spans="1:8" x14ac:dyDescent="0.2">
      <c r="A2592" s="2" t="s">
        <v>3656</v>
      </c>
      <c r="B2592" s="2" t="s">
        <v>2051</v>
      </c>
      <c r="C2592" s="2">
        <v>688.6232</v>
      </c>
      <c r="D2592" s="2">
        <f>HYPERLINK("http://mcb-m6.bioreg.kyushu-u.ac.jp/M3/20110404/F50771/1653/1", 46.1)</f>
        <v>46.1</v>
      </c>
      <c r="E2592" s="2">
        <v>26.62</v>
      </c>
      <c r="F2592" s="2">
        <v>2</v>
      </c>
      <c r="G2592" s="2" t="s">
        <v>10</v>
      </c>
      <c r="H2592" s="2" t="s">
        <v>4891</v>
      </c>
    </row>
    <row r="2593" spans="1:8" x14ac:dyDescent="0.2">
      <c r="A2593" s="2" t="s">
        <v>3656</v>
      </c>
      <c r="B2593" s="2" t="s">
        <v>6263</v>
      </c>
      <c r="C2593" s="2">
        <v>510.08909999999997</v>
      </c>
      <c r="D2593" s="2">
        <f>HYPERLINK("http://mcb-m6.bioreg.kyushu-u.ac.jp/M3/20110404/F50771/1046/1", 46.62)</f>
        <v>46.62</v>
      </c>
      <c r="E2593" s="2">
        <v>13.71</v>
      </c>
      <c r="F2593" s="2">
        <v>2</v>
      </c>
      <c r="G2593" s="2" t="s">
        <v>10</v>
      </c>
    </row>
    <row r="2594" spans="1:8" x14ac:dyDescent="0.2">
      <c r="A2594" s="2" t="s">
        <v>3656</v>
      </c>
      <c r="B2594" s="2" t="s">
        <v>589</v>
      </c>
      <c r="C2594" s="2">
        <v>911.33920000000001</v>
      </c>
      <c r="D2594" s="2">
        <f>HYPERLINK("http://mcb-m6.bioreg.kyushu-u.ac.jp/M3/20110404/F50769/2412/1", 52.44)</f>
        <v>52.44</v>
      </c>
      <c r="E2594" s="2">
        <v>47.26</v>
      </c>
      <c r="F2594" s="2">
        <v>2</v>
      </c>
      <c r="G2594" s="2" t="s">
        <v>10</v>
      </c>
    </row>
    <row r="2595" spans="1:8" x14ac:dyDescent="0.2">
      <c r="A2595" s="2" t="s">
        <v>3656</v>
      </c>
      <c r="B2595" s="2" t="s">
        <v>2051</v>
      </c>
      <c r="C2595" s="2">
        <v>1359.4369999999999</v>
      </c>
      <c r="D2595" s="2">
        <f>HYPERLINK("http://mcb-m6.bioreg.kyushu-u.ac.jp/M3/20110404/F50761/1579/1", 53.74)</f>
        <v>53.74</v>
      </c>
      <c r="E2595" s="2">
        <v>33.700000000000003</v>
      </c>
      <c r="F2595" s="2">
        <v>1</v>
      </c>
      <c r="G2595" s="2" t="s">
        <v>10</v>
      </c>
    </row>
    <row r="2596" spans="1:8" x14ac:dyDescent="0.2">
      <c r="A2596" s="2" t="s">
        <v>3656</v>
      </c>
      <c r="B2596" s="2" t="s">
        <v>6263</v>
      </c>
      <c r="C2596" s="2">
        <v>510.20209999999997</v>
      </c>
      <c r="D2596" s="2">
        <f>HYPERLINK("http://mcb-m6.bioreg.kyushu-u.ac.jp/M3/20110404/F50768/1118/1", 55.93)</f>
        <v>55.93</v>
      </c>
      <c r="E2596" s="2">
        <v>15.89</v>
      </c>
      <c r="F2596" s="2">
        <v>2</v>
      </c>
      <c r="G2596" s="2" t="s">
        <v>10</v>
      </c>
    </row>
    <row r="2597" spans="1:8" x14ac:dyDescent="0.2">
      <c r="A2597" s="2" t="s">
        <v>3656</v>
      </c>
      <c r="B2597" s="2" t="s">
        <v>2051</v>
      </c>
      <c r="C2597" s="2">
        <v>688.93020000000001</v>
      </c>
      <c r="D2597" s="2">
        <f>HYPERLINK("http://mcb-m6.bioreg.kyushu-u.ac.jp/M3/20110404/F50761/1613/1", 58.52)</f>
        <v>58.52</v>
      </c>
      <c r="E2597" s="2">
        <v>36.64</v>
      </c>
      <c r="F2597" s="2">
        <v>2</v>
      </c>
      <c r="G2597" s="2" t="s">
        <v>10</v>
      </c>
      <c r="H2597" s="2" t="s">
        <v>4891</v>
      </c>
    </row>
    <row r="2598" spans="1:8" x14ac:dyDescent="0.2">
      <c r="A2598" s="2" t="s">
        <v>3656</v>
      </c>
      <c r="B2598" s="2" t="s">
        <v>2051</v>
      </c>
      <c r="C2598" s="2">
        <v>688.82370000000003</v>
      </c>
      <c r="D2598" s="2">
        <f>HYPERLINK("http://mcb-m6.bioreg.kyushu-u.ac.jp/M3/20110404/F50768/1679/1", 61.19)</f>
        <v>61.19</v>
      </c>
      <c r="E2598" s="2">
        <v>39.340000000000003</v>
      </c>
      <c r="F2598" s="2">
        <v>2</v>
      </c>
      <c r="G2598" s="2" t="s">
        <v>10</v>
      </c>
      <c r="H2598" s="2" t="s">
        <v>4891</v>
      </c>
    </row>
    <row r="2599" spans="1:8" x14ac:dyDescent="0.2">
      <c r="A2599" s="2" t="s">
        <v>3656</v>
      </c>
      <c r="B2599" s="2" t="s">
        <v>589</v>
      </c>
      <c r="C2599" s="2">
        <v>910.78020000000004</v>
      </c>
      <c r="D2599" s="2">
        <f>HYPERLINK("http://mcb-m6.bioreg.kyushu-u.ac.jp/M3/20110404/F50761/2536/1", 61.28)</f>
        <v>61.28</v>
      </c>
      <c r="E2599" s="2">
        <v>48.1</v>
      </c>
      <c r="F2599" s="2">
        <v>2</v>
      </c>
      <c r="G2599" s="2" t="s">
        <v>10</v>
      </c>
    </row>
    <row r="2600" spans="1:8" x14ac:dyDescent="0.2">
      <c r="A2600" s="2" t="s">
        <v>3656</v>
      </c>
      <c r="B2600" s="2" t="s">
        <v>2051</v>
      </c>
      <c r="C2600" s="2">
        <v>688.18269999999995</v>
      </c>
      <c r="D2600" s="2">
        <f>HYPERLINK("http://mcb-m6.bioreg.kyushu-u.ac.jp/M3/20110404/F50768/1675/1", 63.86)</f>
        <v>63.86</v>
      </c>
      <c r="E2600" s="2">
        <v>42.58</v>
      </c>
      <c r="F2600" s="2">
        <v>2</v>
      </c>
      <c r="G2600" s="2" t="s">
        <v>10</v>
      </c>
      <c r="H2600" s="2" t="s">
        <v>4891</v>
      </c>
    </row>
    <row r="2601" spans="1:8" x14ac:dyDescent="0.2">
      <c r="A2601" s="2" t="s">
        <v>3656</v>
      </c>
      <c r="B2601" s="2" t="s">
        <v>1574</v>
      </c>
      <c r="C2601" s="2">
        <v>902.26459999999997</v>
      </c>
      <c r="D2601" s="2">
        <f>HYPERLINK("http://mcb-m6.bioreg.kyushu-u.ac.jp/M3/20110404/F50768/2445/1", 65.17)</f>
        <v>65.17</v>
      </c>
      <c r="E2601" s="2">
        <v>40.020000000000003</v>
      </c>
      <c r="F2601" s="2">
        <v>2</v>
      </c>
      <c r="G2601" s="2" t="s">
        <v>10</v>
      </c>
    </row>
    <row r="2602" spans="1:8" x14ac:dyDescent="0.2">
      <c r="A2602" s="2" t="s">
        <v>3656</v>
      </c>
      <c r="B2602" s="2" t="s">
        <v>589</v>
      </c>
      <c r="C2602" s="2">
        <v>919.35419999999999</v>
      </c>
      <c r="D2602" s="2">
        <f>HYPERLINK("http://mcb-m6.bioreg.kyushu-u.ac.jp/M3/20110404/F50769/2438/1", 92.91)</f>
        <v>92.91</v>
      </c>
      <c r="E2602" s="2">
        <v>59.8</v>
      </c>
      <c r="F2602" s="2">
        <v>2</v>
      </c>
      <c r="G2602" s="2" t="s">
        <v>10</v>
      </c>
      <c r="H2602" s="2" t="s">
        <v>4917</v>
      </c>
    </row>
    <row r="2603" spans="1:8" x14ac:dyDescent="0.2">
      <c r="A2603" s="2" t="s">
        <v>3656</v>
      </c>
      <c r="B2603" s="2" t="s">
        <v>589</v>
      </c>
      <c r="C2603" s="2">
        <v>918.77470000000005</v>
      </c>
      <c r="D2603" s="2">
        <f>HYPERLINK("http://mcb-m6.bioreg.kyushu-u.ac.jp/M3/20110404/F50771/2591/1", 94.16)</f>
        <v>94.16</v>
      </c>
      <c r="E2603" s="2">
        <v>71.56</v>
      </c>
      <c r="F2603" s="2">
        <v>2</v>
      </c>
      <c r="G2603" s="2" t="s">
        <v>10</v>
      </c>
      <c r="H2603" s="2" t="s">
        <v>4917</v>
      </c>
    </row>
    <row r="2604" spans="1:8" x14ac:dyDescent="0.2">
      <c r="A2604" s="2" t="s">
        <v>3656</v>
      </c>
      <c r="B2604" s="2" t="s">
        <v>589</v>
      </c>
      <c r="C2604" s="2">
        <v>910.70010000000002</v>
      </c>
      <c r="D2604" s="2">
        <f>HYPERLINK("http://mcb-m6.bioreg.kyushu-u.ac.jp/M3/20110404/F50768/2462/1", 99.92)</f>
        <v>99.92</v>
      </c>
      <c r="E2604" s="2">
        <v>85.08</v>
      </c>
      <c r="F2604" s="2">
        <v>2</v>
      </c>
      <c r="G2604" s="2" t="s">
        <v>10</v>
      </c>
    </row>
    <row r="2605" spans="1:8" x14ac:dyDescent="0.2">
      <c r="A2605" s="2" t="s">
        <v>3656</v>
      </c>
      <c r="B2605" s="2" t="s">
        <v>589</v>
      </c>
      <c r="C2605" s="2">
        <v>918.85170000000005</v>
      </c>
      <c r="D2605" s="2">
        <f>HYPERLINK("http://mcb-m6.bioreg.kyushu-u.ac.jp/M3/20110404/F50761/2575/1", 104.53)</f>
        <v>104.53</v>
      </c>
      <c r="E2605" s="2">
        <v>51.57</v>
      </c>
      <c r="F2605" s="2">
        <v>2</v>
      </c>
      <c r="G2605" s="2" t="s">
        <v>10</v>
      </c>
      <c r="H2605" s="2" t="s">
        <v>4917</v>
      </c>
    </row>
    <row r="2606" spans="1:8" x14ac:dyDescent="0.2">
      <c r="A2606" s="2" t="s">
        <v>3656</v>
      </c>
      <c r="B2606" s="2" t="s">
        <v>1574</v>
      </c>
      <c r="C2606" s="2">
        <v>902.77809999999999</v>
      </c>
      <c r="D2606" s="2">
        <f>HYPERLINK("http://mcb-m6.bioreg.kyushu-u.ac.jp/M3/20110404/F50771/2525/1", 116.52)</f>
        <v>116.52</v>
      </c>
      <c r="E2606" s="2">
        <v>88.11</v>
      </c>
      <c r="F2606" s="2">
        <v>2</v>
      </c>
      <c r="G2606" s="2" t="s">
        <v>10</v>
      </c>
    </row>
    <row r="2607" spans="1:8" x14ac:dyDescent="0.2">
      <c r="A2607" s="2" t="s">
        <v>3656</v>
      </c>
      <c r="B2607" s="2" t="s">
        <v>589</v>
      </c>
      <c r="C2607" s="2">
        <v>918.8202</v>
      </c>
      <c r="D2607" s="2">
        <f>HYPERLINK("http://mcb-m6.bioreg.kyushu-u.ac.jp/M3/20110404/F50768/2500/1", 160.91)</f>
        <v>160.91</v>
      </c>
      <c r="E2607" s="2">
        <v>134.19999999999999</v>
      </c>
      <c r="F2607" s="2">
        <v>2</v>
      </c>
      <c r="G2607" s="2" t="s">
        <v>10</v>
      </c>
      <c r="H2607" s="2" t="s">
        <v>4917</v>
      </c>
    </row>
    <row r="2608" spans="1:8" x14ac:dyDescent="0.2">
      <c r="A2608" s="2" t="s">
        <v>3656</v>
      </c>
      <c r="B2608" s="2" t="s">
        <v>1574</v>
      </c>
      <c r="C2608" s="2">
        <v>602.10979999999995</v>
      </c>
      <c r="D2608" s="2">
        <f>HYPERLINK("http://mcb-m6.bioreg.kyushu-u.ac.jp/M3/20110421/F51042/2861/1", 35.4)</f>
        <v>35.4</v>
      </c>
      <c r="E2608" s="2">
        <v>21.93</v>
      </c>
      <c r="F2608" s="2">
        <v>3</v>
      </c>
      <c r="G2608" s="2" t="s">
        <v>11</v>
      </c>
    </row>
    <row r="2609" spans="1:8" x14ac:dyDescent="0.2">
      <c r="A2609" s="2" t="s">
        <v>3656</v>
      </c>
      <c r="B2609" s="2" t="s">
        <v>589</v>
      </c>
      <c r="C2609" s="2">
        <v>613.19179999999994</v>
      </c>
      <c r="D2609" s="2">
        <f>HYPERLINK("http://mcb-m6.bioreg.kyushu-u.ac.jp/M3/20110421/F51020/2780/1", 37.24)</f>
        <v>37.24</v>
      </c>
      <c r="E2609" s="2">
        <v>24.85</v>
      </c>
      <c r="F2609" s="2">
        <v>3</v>
      </c>
      <c r="G2609" s="2" t="s">
        <v>11</v>
      </c>
      <c r="H2609" s="2" t="s">
        <v>4917</v>
      </c>
    </row>
    <row r="2610" spans="1:8" x14ac:dyDescent="0.2">
      <c r="A2610" s="2" t="s">
        <v>3656</v>
      </c>
      <c r="B2610" s="2" t="s">
        <v>2051</v>
      </c>
      <c r="C2610" s="2">
        <v>688.47220000000004</v>
      </c>
      <c r="D2610" s="2">
        <f>HYPERLINK("http://mcb-m6.bioreg.kyushu-u.ac.jp/M3/20110421/F51034/1726/1", 40.72)</f>
        <v>40.72</v>
      </c>
      <c r="E2610" s="2">
        <v>24.88</v>
      </c>
      <c r="F2610" s="2">
        <v>2</v>
      </c>
      <c r="G2610" s="2" t="s">
        <v>11</v>
      </c>
      <c r="H2610" s="2" t="s">
        <v>4891</v>
      </c>
    </row>
    <row r="2611" spans="1:8" x14ac:dyDescent="0.2">
      <c r="A2611" s="2" t="s">
        <v>3656</v>
      </c>
      <c r="B2611" s="2" t="s">
        <v>589</v>
      </c>
      <c r="C2611" s="2">
        <v>911.06320000000005</v>
      </c>
      <c r="D2611" s="2">
        <f>HYPERLINK("http://mcb-m6.bioreg.kyushu-u.ac.jp/M3/20110421/F51018/2782/1", 45.36)</f>
        <v>45.36</v>
      </c>
      <c r="E2611" s="2">
        <v>32.57</v>
      </c>
      <c r="F2611" s="2">
        <v>2</v>
      </c>
      <c r="G2611" s="2" t="s">
        <v>11</v>
      </c>
    </row>
    <row r="2612" spans="1:8" x14ac:dyDescent="0.2">
      <c r="A2612" s="2" t="s">
        <v>3656</v>
      </c>
      <c r="B2612" s="2" t="s">
        <v>1574</v>
      </c>
      <c r="C2612" s="2">
        <v>902.69759999999997</v>
      </c>
      <c r="D2612" s="2">
        <f>HYPERLINK("http://mcb-m6.bioreg.kyushu-u.ac.jp/M3/20110421/F51034/2746/1", 49.37)</f>
        <v>49.37</v>
      </c>
      <c r="E2612" s="2">
        <v>29.95</v>
      </c>
      <c r="F2612" s="2">
        <v>2</v>
      </c>
      <c r="G2612" s="2" t="s">
        <v>11</v>
      </c>
    </row>
    <row r="2613" spans="1:8" x14ac:dyDescent="0.2">
      <c r="A2613" s="2" t="s">
        <v>3656</v>
      </c>
      <c r="B2613" s="2" t="s">
        <v>2051</v>
      </c>
      <c r="C2613" s="2">
        <v>680.87959999999998</v>
      </c>
      <c r="D2613" s="2">
        <f>HYPERLINK("http://mcb-m6.bioreg.kyushu-u.ac.jp/M3/20110421/F51034/1675/1", 52.5)</f>
        <v>52.5</v>
      </c>
      <c r="E2613" s="2">
        <v>23.14</v>
      </c>
      <c r="F2613" s="2">
        <v>2</v>
      </c>
      <c r="G2613" s="2" t="s">
        <v>11</v>
      </c>
    </row>
    <row r="2614" spans="1:8" x14ac:dyDescent="0.2">
      <c r="A2614" s="2" t="s">
        <v>3656</v>
      </c>
      <c r="B2614" s="2" t="s">
        <v>589</v>
      </c>
      <c r="C2614" s="2">
        <v>910.77620000000002</v>
      </c>
      <c r="D2614" s="2">
        <f>HYPERLINK("http://mcb-m6.bioreg.kyushu-u.ac.jp/M3/20110421/F51018/2780/1", 82.77)</f>
        <v>82.77</v>
      </c>
      <c r="E2614" s="2">
        <v>70.790000000000006</v>
      </c>
      <c r="F2614" s="2">
        <v>2</v>
      </c>
      <c r="G2614" s="2" t="s">
        <v>11</v>
      </c>
    </row>
    <row r="2615" spans="1:8" x14ac:dyDescent="0.2">
      <c r="A2615" s="2" t="s">
        <v>3656</v>
      </c>
      <c r="B2615" s="2" t="s">
        <v>589</v>
      </c>
      <c r="C2615" s="2">
        <v>910.76620000000003</v>
      </c>
      <c r="D2615" s="2">
        <f>HYPERLINK("http://mcb-m6.bioreg.kyushu-u.ac.jp/M3/20110421/F51037/3017/1", 101.07)</f>
        <v>101.07</v>
      </c>
      <c r="E2615" s="2">
        <v>89.47</v>
      </c>
      <c r="F2615" s="2">
        <v>2</v>
      </c>
      <c r="G2615" s="2" t="s">
        <v>11</v>
      </c>
    </row>
    <row r="2616" spans="1:8" x14ac:dyDescent="0.2">
      <c r="A2616" s="2" t="s">
        <v>3656</v>
      </c>
      <c r="B2616" s="2" t="s">
        <v>589</v>
      </c>
      <c r="C2616" s="2">
        <v>910.90769999999998</v>
      </c>
      <c r="D2616" s="2">
        <f>HYPERLINK("http://mcb-m6.bioreg.kyushu-u.ac.jp/M3/20110421/F51039/2899/1", 103.89)</f>
        <v>103.89</v>
      </c>
      <c r="E2616" s="2">
        <v>86.21</v>
      </c>
      <c r="F2616" s="2">
        <v>2</v>
      </c>
      <c r="G2616" s="2" t="s">
        <v>11</v>
      </c>
    </row>
    <row r="2617" spans="1:8" x14ac:dyDescent="0.2">
      <c r="A2617" s="2" t="s">
        <v>3656</v>
      </c>
      <c r="B2617" s="2" t="s">
        <v>589</v>
      </c>
      <c r="C2617" s="2">
        <v>911.01170000000002</v>
      </c>
      <c r="D2617" s="2">
        <f>HYPERLINK("http://mcb-m6.bioreg.kyushu-u.ac.jp/M3/20110421/F51042/2896/1", 110.78)</f>
        <v>110.78</v>
      </c>
      <c r="E2617" s="2">
        <v>99.18</v>
      </c>
      <c r="F2617" s="2">
        <v>2</v>
      </c>
      <c r="G2617" s="2" t="s">
        <v>11</v>
      </c>
    </row>
    <row r="2618" spans="1:8" x14ac:dyDescent="0.2">
      <c r="A2618" s="2" t="s">
        <v>3656</v>
      </c>
      <c r="B2618" s="2" t="s">
        <v>589</v>
      </c>
      <c r="C2618" s="2">
        <v>910.69320000000005</v>
      </c>
      <c r="D2618" s="2">
        <f>HYPERLINK("http://mcb-m6.bioreg.kyushu-u.ac.jp/M3/20110421/F51019/2699/1", 121.79)</f>
        <v>121.79</v>
      </c>
      <c r="E2618" s="2">
        <v>102.3</v>
      </c>
      <c r="F2618" s="2">
        <v>2</v>
      </c>
      <c r="G2618" s="2" t="s">
        <v>11</v>
      </c>
    </row>
    <row r="2619" spans="1:8" x14ac:dyDescent="0.2">
      <c r="A2619" s="2" t="s">
        <v>3656</v>
      </c>
      <c r="B2619" s="2" t="s">
        <v>589</v>
      </c>
      <c r="C2619" s="2">
        <v>910.79819999999995</v>
      </c>
      <c r="D2619" s="2">
        <f>HYPERLINK("http://mcb-m6.bioreg.kyushu-u.ac.jp/M3/20110421/F51020/2739/1", 124.14)</f>
        <v>124.14</v>
      </c>
      <c r="E2619" s="2">
        <v>105.38</v>
      </c>
      <c r="F2619" s="2">
        <v>2</v>
      </c>
      <c r="G2619" s="2" t="s">
        <v>11</v>
      </c>
    </row>
    <row r="2620" spans="1:8" x14ac:dyDescent="0.2">
      <c r="A2620" s="2" t="s">
        <v>3656</v>
      </c>
      <c r="B2620" s="2" t="s">
        <v>589</v>
      </c>
      <c r="C2620" s="2">
        <v>918.84720000000004</v>
      </c>
      <c r="D2620" s="2">
        <f>HYPERLINK("http://mcb-m6.bioreg.kyushu-u.ac.jp/M3/20110421/F51035/2859/1", 133.67)</f>
        <v>133.66999999999999</v>
      </c>
      <c r="E2620" s="2">
        <v>114.64</v>
      </c>
      <c r="F2620" s="2">
        <v>2</v>
      </c>
      <c r="G2620" s="2" t="s">
        <v>11</v>
      </c>
      <c r="H2620" s="2" t="s">
        <v>4917</v>
      </c>
    </row>
    <row r="2621" spans="1:8" x14ac:dyDescent="0.2">
      <c r="A2621" s="2" t="s">
        <v>3656</v>
      </c>
      <c r="B2621" s="2" t="s">
        <v>589</v>
      </c>
      <c r="C2621" s="2">
        <v>918.71870000000001</v>
      </c>
      <c r="D2621" s="2">
        <f>HYPERLINK("http://mcb-m6.bioreg.kyushu-u.ac.jp/M3/20110421/F51020/2776/1", 137.8)</f>
        <v>137.80000000000001</v>
      </c>
      <c r="E2621" s="2">
        <v>114.27</v>
      </c>
      <c r="F2621" s="2">
        <v>2</v>
      </c>
      <c r="G2621" s="2" t="s">
        <v>11</v>
      </c>
      <c r="H2621" s="2" t="s">
        <v>4917</v>
      </c>
    </row>
    <row r="2622" spans="1:8" x14ac:dyDescent="0.2">
      <c r="A2622" s="2" t="s">
        <v>3656</v>
      </c>
      <c r="B2622" s="2" t="s">
        <v>589</v>
      </c>
      <c r="C2622" s="2">
        <v>919.35270000000003</v>
      </c>
      <c r="D2622" s="2">
        <f>HYPERLINK("http://mcb-m6.bioreg.kyushu-u.ac.jp/M3/20110421/F51018/2830/1", 139.01)</f>
        <v>139.01</v>
      </c>
      <c r="E2622" s="2">
        <v>107.53</v>
      </c>
      <c r="F2622" s="2">
        <v>2</v>
      </c>
      <c r="G2622" s="2" t="s">
        <v>11</v>
      </c>
      <c r="H2622" s="2" t="s">
        <v>4917</v>
      </c>
    </row>
    <row r="2623" spans="1:8" x14ac:dyDescent="0.2">
      <c r="A2623" s="2" t="s">
        <v>3656</v>
      </c>
      <c r="B2623" s="2" t="s">
        <v>589</v>
      </c>
      <c r="C2623" s="2">
        <v>918.80820000000006</v>
      </c>
      <c r="D2623" s="2">
        <f>HYPERLINK("http://mcb-m6.bioreg.kyushu-u.ac.jp/M3/20110421/F51042/2942/1", 145.12)</f>
        <v>145.12</v>
      </c>
      <c r="E2623" s="2">
        <v>120.92</v>
      </c>
      <c r="F2623" s="2">
        <v>2</v>
      </c>
      <c r="G2623" s="2" t="s">
        <v>11</v>
      </c>
      <c r="H2623" s="2" t="s">
        <v>4917</v>
      </c>
    </row>
    <row r="2624" spans="1:8" x14ac:dyDescent="0.2">
      <c r="A2624" s="2" t="s">
        <v>3656</v>
      </c>
      <c r="B2624" s="2" t="s">
        <v>589</v>
      </c>
      <c r="C2624" s="2">
        <v>919.41470000000004</v>
      </c>
      <c r="D2624" s="2">
        <f>HYPERLINK("http://mcb-m6.bioreg.kyushu-u.ac.jp/M3/20110421/F51035/2862/1", 145.3)</f>
        <v>145.30000000000001</v>
      </c>
      <c r="E2624" s="2">
        <v>116.52</v>
      </c>
      <c r="F2624" s="2">
        <v>2</v>
      </c>
      <c r="G2624" s="2" t="s">
        <v>11</v>
      </c>
      <c r="H2624" s="2" t="s">
        <v>4917</v>
      </c>
    </row>
    <row r="2625" spans="1:8" x14ac:dyDescent="0.2">
      <c r="A2625" s="2" t="s">
        <v>3656</v>
      </c>
      <c r="B2625" s="2" t="s">
        <v>589</v>
      </c>
      <c r="C2625" s="2">
        <v>919.31920000000002</v>
      </c>
      <c r="D2625" s="2">
        <f>HYPERLINK("http://mcb-m6.bioreg.kyushu-u.ac.jp/M3/20110421/F51042/2947/1", 149.89)</f>
        <v>149.88999999999999</v>
      </c>
      <c r="E2625" s="2">
        <v>127.34</v>
      </c>
      <c r="F2625" s="2">
        <v>2</v>
      </c>
      <c r="G2625" s="2" t="s">
        <v>11</v>
      </c>
      <c r="H2625" s="2" t="s">
        <v>4917</v>
      </c>
    </row>
    <row r="2626" spans="1:8" x14ac:dyDescent="0.2">
      <c r="A2626" s="2" t="s">
        <v>3656</v>
      </c>
      <c r="B2626" s="2" t="s">
        <v>589</v>
      </c>
      <c r="C2626" s="2">
        <v>918.75369999999998</v>
      </c>
      <c r="D2626" s="2">
        <f>HYPERLINK("http://mcb-m6.bioreg.kyushu-u.ac.jp/M3/20110421/F51019/2737/1", 150.85)</f>
        <v>150.85</v>
      </c>
      <c r="E2626" s="2">
        <v>131.12</v>
      </c>
      <c r="F2626" s="2">
        <v>2</v>
      </c>
      <c r="G2626" s="2" t="s">
        <v>11</v>
      </c>
      <c r="H2626" s="2" t="s">
        <v>4917</v>
      </c>
    </row>
    <row r="2627" spans="1:8" x14ac:dyDescent="0.2">
      <c r="A2627" s="2" t="s">
        <v>3656</v>
      </c>
      <c r="B2627" s="2" t="s">
        <v>589</v>
      </c>
      <c r="C2627" s="2">
        <v>919.28120000000001</v>
      </c>
      <c r="D2627" s="2">
        <f>HYPERLINK("http://mcb-m6.bioreg.kyushu-u.ac.jp/M3/20110421/F51019/2745/1", 154.35)</f>
        <v>154.35</v>
      </c>
      <c r="E2627" s="2">
        <v>124.8</v>
      </c>
      <c r="F2627" s="2">
        <v>2</v>
      </c>
      <c r="G2627" s="2" t="s">
        <v>11</v>
      </c>
      <c r="H2627" s="2" t="s">
        <v>4917</v>
      </c>
    </row>
    <row r="2628" spans="1:8" x14ac:dyDescent="0.2">
      <c r="A2628" s="2" t="s">
        <v>3656</v>
      </c>
      <c r="B2628" s="2" t="s">
        <v>6263</v>
      </c>
      <c r="C2628" s="2">
        <v>510.76510000000002</v>
      </c>
      <c r="D2628" s="2">
        <f>HYPERLINK("http://mcb-m6.bioreg.kyushu-u.ac.jp/M3/20110421/F51044/950/1", 53.06)</f>
        <v>53.06</v>
      </c>
      <c r="E2628" s="2">
        <v>19.100000000000001</v>
      </c>
      <c r="F2628" s="2">
        <v>2</v>
      </c>
      <c r="G2628" s="2" t="s">
        <v>12</v>
      </c>
    </row>
    <row r="2629" spans="1:8" x14ac:dyDescent="0.2">
      <c r="A2629" s="2" t="s">
        <v>3656</v>
      </c>
      <c r="B2629" s="2" t="s">
        <v>2051</v>
      </c>
      <c r="C2629" s="2">
        <v>680.44870000000003</v>
      </c>
      <c r="D2629" s="2">
        <f>HYPERLINK("http://mcb-m6.bioreg.kyushu-u.ac.jp/M3/20110421/F51044/1648/1", 63.34)</f>
        <v>63.34</v>
      </c>
      <c r="E2629" s="2">
        <v>41.16</v>
      </c>
      <c r="F2629" s="2">
        <v>2</v>
      </c>
      <c r="G2629" s="2" t="s">
        <v>12</v>
      </c>
    </row>
    <row r="2630" spans="1:8" x14ac:dyDescent="0.2">
      <c r="A2630" s="2" t="s">
        <v>3656</v>
      </c>
      <c r="B2630" s="2" t="s">
        <v>589</v>
      </c>
      <c r="C2630" s="2">
        <v>910.86220000000003</v>
      </c>
      <c r="D2630" s="2">
        <f>HYPERLINK("http://mcb-m6.bioreg.kyushu-u.ac.jp/M3/20110421/F51021/2986/1", 65.6)</f>
        <v>65.599999999999994</v>
      </c>
      <c r="E2630" s="2">
        <v>54.43</v>
      </c>
      <c r="F2630" s="2">
        <v>2</v>
      </c>
      <c r="G2630" s="2" t="s">
        <v>12</v>
      </c>
    </row>
    <row r="2631" spans="1:8" x14ac:dyDescent="0.2">
      <c r="A2631" s="2" t="s">
        <v>3656</v>
      </c>
      <c r="B2631" s="2" t="s">
        <v>589</v>
      </c>
      <c r="C2631" s="2">
        <v>919.39670000000001</v>
      </c>
      <c r="D2631" s="2">
        <f>HYPERLINK("http://mcb-m6.bioreg.kyushu-u.ac.jp/M3/20110421/F51025/2600/1", 70.79)</f>
        <v>70.790000000000006</v>
      </c>
      <c r="E2631" s="2">
        <v>28.27</v>
      </c>
      <c r="F2631" s="2">
        <v>2</v>
      </c>
      <c r="G2631" s="2" t="s">
        <v>12</v>
      </c>
      <c r="H2631" s="2" t="s">
        <v>4917</v>
      </c>
    </row>
    <row r="2632" spans="1:8" x14ac:dyDescent="0.2">
      <c r="A2632" s="2" t="s">
        <v>3656</v>
      </c>
      <c r="B2632" s="2" t="s">
        <v>589</v>
      </c>
      <c r="C2632" s="2">
        <v>918.82759999999996</v>
      </c>
      <c r="D2632" s="2">
        <f>HYPERLINK("http://mcb-m6.bioreg.kyushu-u.ac.jp/M3/20110421/F51044/2823/1", 81.13)</f>
        <v>81.13</v>
      </c>
      <c r="E2632" s="2">
        <v>58.72</v>
      </c>
      <c r="F2632" s="2">
        <v>2</v>
      </c>
      <c r="G2632" s="2" t="s">
        <v>12</v>
      </c>
      <c r="H2632" s="2" t="s">
        <v>4917</v>
      </c>
    </row>
    <row r="2633" spans="1:8" x14ac:dyDescent="0.2">
      <c r="A2633" s="2" t="s">
        <v>3656</v>
      </c>
      <c r="B2633" s="2" t="s">
        <v>589</v>
      </c>
      <c r="C2633" s="2">
        <v>911.10919999999999</v>
      </c>
      <c r="D2633" s="2">
        <f>HYPERLINK("http://mcb-m6.bioreg.kyushu-u.ac.jp/M3/20110421/F51045/2844/1", 81.57)</f>
        <v>81.569999999999993</v>
      </c>
      <c r="E2633" s="2">
        <v>74.12</v>
      </c>
      <c r="F2633" s="2">
        <v>2</v>
      </c>
      <c r="G2633" s="2" t="s">
        <v>12</v>
      </c>
    </row>
    <row r="2634" spans="1:8" x14ac:dyDescent="0.2">
      <c r="A2634" s="2" t="s">
        <v>3656</v>
      </c>
      <c r="B2634" s="2" t="s">
        <v>589</v>
      </c>
      <c r="C2634" s="2">
        <v>911.37620000000004</v>
      </c>
      <c r="D2634" s="2">
        <f>HYPERLINK("http://mcb-m6.bioreg.kyushu-u.ac.jp/M3/20110421/F51024/2787/1", 88.76)</f>
        <v>88.76</v>
      </c>
      <c r="E2634" s="2">
        <v>74.489999999999995</v>
      </c>
      <c r="F2634" s="2">
        <v>2</v>
      </c>
      <c r="G2634" s="2" t="s">
        <v>12</v>
      </c>
    </row>
    <row r="2635" spans="1:8" x14ac:dyDescent="0.2">
      <c r="A2635" s="2" t="s">
        <v>3656</v>
      </c>
      <c r="B2635" s="2" t="s">
        <v>589</v>
      </c>
      <c r="C2635" s="2">
        <v>911.23170000000005</v>
      </c>
      <c r="D2635" s="2">
        <f>HYPERLINK("http://mcb-m6.bioreg.kyushu-u.ac.jp/M3/20110421/F51025/2577/1", 100.95)</f>
        <v>100.95</v>
      </c>
      <c r="E2635" s="2">
        <v>86.72</v>
      </c>
      <c r="F2635" s="2">
        <v>2</v>
      </c>
      <c r="G2635" s="2" t="s">
        <v>12</v>
      </c>
    </row>
    <row r="2636" spans="1:8" x14ac:dyDescent="0.2">
      <c r="A2636" s="2" t="s">
        <v>3656</v>
      </c>
      <c r="B2636" s="2" t="s">
        <v>589</v>
      </c>
      <c r="C2636" s="2">
        <v>918.89260000000002</v>
      </c>
      <c r="D2636" s="2">
        <f>HYPERLINK("http://mcb-m6.bioreg.kyushu-u.ac.jp/M3/20110421/F51043/2833/1", 106.03)</f>
        <v>106.03</v>
      </c>
      <c r="E2636" s="2">
        <v>89.02</v>
      </c>
      <c r="F2636" s="2">
        <v>2</v>
      </c>
      <c r="G2636" s="2" t="s">
        <v>12</v>
      </c>
      <c r="H2636" s="2" t="s">
        <v>4917</v>
      </c>
    </row>
    <row r="2637" spans="1:8" x14ac:dyDescent="0.2">
      <c r="A2637" s="2" t="s">
        <v>3656</v>
      </c>
      <c r="B2637" s="2" t="s">
        <v>589</v>
      </c>
      <c r="C2637" s="2">
        <v>911.40920000000006</v>
      </c>
      <c r="D2637" s="2">
        <f>HYPERLINK("http://mcb-m6.bioreg.kyushu-u.ac.jp/M3/20110421/F51044/2768/1", 109.62)</f>
        <v>109.62</v>
      </c>
      <c r="E2637" s="2">
        <v>100.09</v>
      </c>
      <c r="F2637" s="2">
        <v>2</v>
      </c>
      <c r="G2637" s="2" t="s">
        <v>12</v>
      </c>
    </row>
    <row r="2638" spans="1:8" x14ac:dyDescent="0.2">
      <c r="A2638" s="2" t="s">
        <v>3656</v>
      </c>
      <c r="B2638" s="2" t="s">
        <v>589</v>
      </c>
      <c r="C2638" s="2">
        <v>918.81569999999999</v>
      </c>
      <c r="D2638" s="2">
        <f>HYPERLINK("http://mcb-m6.bioreg.kyushu-u.ac.jp/M3/20110421/F51045/2877/1", 126.9)</f>
        <v>126.9</v>
      </c>
      <c r="E2638" s="2">
        <v>101.72</v>
      </c>
      <c r="F2638" s="2">
        <v>2</v>
      </c>
      <c r="G2638" s="2" t="s">
        <v>12</v>
      </c>
      <c r="H2638" s="2" t="s">
        <v>4917</v>
      </c>
    </row>
    <row r="2639" spans="1:8" x14ac:dyDescent="0.2">
      <c r="A2639" s="2" t="s">
        <v>3656</v>
      </c>
      <c r="B2639" s="2" t="s">
        <v>589</v>
      </c>
      <c r="C2639" s="2">
        <v>910.91920000000005</v>
      </c>
      <c r="D2639" s="2">
        <f>HYPERLINK("http://mcb-m6.bioreg.kyushu-u.ac.jp/M3/20110421/F51043/2797/1", 136.43)</f>
        <v>136.43</v>
      </c>
      <c r="E2639" s="2">
        <v>123.64</v>
      </c>
      <c r="F2639" s="2">
        <v>2</v>
      </c>
      <c r="G2639" s="2" t="s">
        <v>12</v>
      </c>
    </row>
    <row r="2640" spans="1:8" x14ac:dyDescent="0.2">
      <c r="A2640" s="2" t="s">
        <v>3656</v>
      </c>
      <c r="B2640" s="2" t="s">
        <v>589</v>
      </c>
      <c r="C2640" s="2">
        <v>919.45169999999996</v>
      </c>
      <c r="D2640" s="2">
        <f>HYPERLINK("http://mcb-m6.bioreg.kyushu-u.ac.jp/M3/20110421/F51043/2837/1", 142.9)</f>
        <v>142.9</v>
      </c>
      <c r="E2640" s="2">
        <v>120.75</v>
      </c>
      <c r="F2640" s="2">
        <v>2</v>
      </c>
      <c r="G2640" s="2" t="s">
        <v>12</v>
      </c>
      <c r="H2640" s="2" t="s">
        <v>4917</v>
      </c>
    </row>
    <row r="2641" spans="1:8" x14ac:dyDescent="0.2">
      <c r="A2641" s="2" t="s">
        <v>3656</v>
      </c>
      <c r="B2641" s="2" t="s">
        <v>589</v>
      </c>
      <c r="C2641" s="2">
        <v>919.44920000000002</v>
      </c>
      <c r="D2641" s="2">
        <f>HYPERLINK("http://mcb-m6.bioreg.kyushu-u.ac.jp/M3/20110421/F51047/2884/1", 143.65)</f>
        <v>143.65</v>
      </c>
      <c r="E2641" s="2">
        <v>121.77</v>
      </c>
      <c r="F2641" s="2">
        <v>2</v>
      </c>
      <c r="G2641" s="2" t="s">
        <v>12</v>
      </c>
      <c r="H2641" s="2" t="s">
        <v>4917</v>
      </c>
    </row>
    <row r="2642" spans="1:8" x14ac:dyDescent="0.2">
      <c r="A2642" s="2" t="s">
        <v>3656</v>
      </c>
      <c r="B2642" s="2" t="s">
        <v>589</v>
      </c>
      <c r="C2642" s="2">
        <v>919.33510000000001</v>
      </c>
      <c r="D2642" s="2">
        <f>HYPERLINK("http://mcb-m6.bioreg.kyushu-u.ac.jp/M3/20110421/F51044/2828/1", 150.05)</f>
        <v>150.05000000000001</v>
      </c>
      <c r="E2642" s="2">
        <v>130.9</v>
      </c>
      <c r="F2642" s="2">
        <v>2</v>
      </c>
      <c r="G2642" s="2" t="s">
        <v>12</v>
      </c>
      <c r="H2642" s="2" t="s">
        <v>4917</v>
      </c>
    </row>
    <row r="2643" spans="1:8" x14ac:dyDescent="0.2">
      <c r="A2643" s="2" t="s">
        <v>3656</v>
      </c>
      <c r="B2643" s="2" t="s">
        <v>7356</v>
      </c>
      <c r="C2643" s="2">
        <v>814.01369999999997</v>
      </c>
      <c r="D2643" s="2">
        <f>HYPERLINK("http://mcb-m6.bioreg.kyushu-u.ac.jp/M3/20110427/F51115/2318/1", 46)</f>
        <v>46</v>
      </c>
      <c r="E2643" s="2">
        <v>31.98</v>
      </c>
      <c r="F2643" s="2">
        <v>2</v>
      </c>
      <c r="G2643" s="2" t="s">
        <v>13</v>
      </c>
    </row>
    <row r="2644" spans="1:8" x14ac:dyDescent="0.2">
      <c r="A2644" s="2" t="s">
        <v>3656</v>
      </c>
      <c r="B2644" s="2" t="s">
        <v>2051</v>
      </c>
      <c r="C2644" s="2">
        <v>680.61519999999996</v>
      </c>
      <c r="D2644" s="2">
        <f>HYPERLINK("http://mcb-m6.bioreg.kyushu-u.ac.jp/M3/20110427/F51113/1689/1", 46.26)</f>
        <v>46.26</v>
      </c>
      <c r="E2644" s="2">
        <v>22.73</v>
      </c>
      <c r="F2644" s="2">
        <v>2</v>
      </c>
      <c r="G2644" s="2" t="s">
        <v>13</v>
      </c>
    </row>
    <row r="2645" spans="1:8" x14ac:dyDescent="0.2">
      <c r="A2645" s="2" t="s">
        <v>3656</v>
      </c>
      <c r="B2645" s="2" t="s">
        <v>6263</v>
      </c>
      <c r="C2645" s="2">
        <v>510.09660000000002</v>
      </c>
      <c r="D2645" s="2">
        <f>HYPERLINK("http://mcb-m6.bioreg.kyushu-u.ac.jp/M3/20110427/F51116/1061/1", 52.23)</f>
        <v>52.23</v>
      </c>
      <c r="E2645" s="2">
        <v>19.09</v>
      </c>
      <c r="F2645" s="2">
        <v>2</v>
      </c>
      <c r="G2645" s="2" t="s">
        <v>13</v>
      </c>
    </row>
    <row r="2646" spans="1:8" x14ac:dyDescent="0.2">
      <c r="A2646" s="2" t="s">
        <v>3656</v>
      </c>
      <c r="B2646" s="2" t="s">
        <v>2051</v>
      </c>
      <c r="C2646" s="2">
        <v>688.14369999999997</v>
      </c>
      <c r="D2646" s="2">
        <f>HYPERLINK("http://mcb-m6.bioreg.kyushu-u.ac.jp/M3/20110427/F51114/1768/1", 57.55)</f>
        <v>57.55</v>
      </c>
      <c r="E2646" s="2">
        <v>39.020000000000003</v>
      </c>
      <c r="F2646" s="2">
        <v>2</v>
      </c>
      <c r="G2646" s="2" t="s">
        <v>13</v>
      </c>
      <c r="H2646" s="2" t="s">
        <v>4891</v>
      </c>
    </row>
    <row r="2647" spans="1:8" x14ac:dyDescent="0.2">
      <c r="A2647" s="2" t="s">
        <v>3656</v>
      </c>
      <c r="B2647" s="2" t="s">
        <v>6263</v>
      </c>
      <c r="C2647" s="2">
        <v>510.4581</v>
      </c>
      <c r="D2647" s="2">
        <f>HYPERLINK("http://mcb-m6.bioreg.kyushu-u.ac.jp/M3/20110427/F51115/1084/1", 58.98)</f>
        <v>58.98</v>
      </c>
      <c r="E2647" s="2">
        <v>12.38</v>
      </c>
      <c r="F2647" s="2">
        <v>2</v>
      </c>
      <c r="G2647" s="2" t="s">
        <v>13</v>
      </c>
    </row>
    <row r="2648" spans="1:8" x14ac:dyDescent="0.2">
      <c r="A2648" s="2" t="s">
        <v>3656</v>
      </c>
      <c r="B2648" s="2" t="s">
        <v>2051</v>
      </c>
      <c r="C2648" s="2">
        <v>680.69759999999997</v>
      </c>
      <c r="D2648" s="2">
        <f>HYPERLINK("http://mcb-m6.bioreg.kyushu-u.ac.jp/M3/20110427/F51115/1690/1", 59.39)</f>
        <v>59.39</v>
      </c>
      <c r="E2648" s="2">
        <v>30.38</v>
      </c>
      <c r="F2648" s="2">
        <v>2</v>
      </c>
      <c r="G2648" s="2" t="s">
        <v>13</v>
      </c>
    </row>
    <row r="2649" spans="1:8" x14ac:dyDescent="0.2">
      <c r="A2649" s="2" t="s">
        <v>3656</v>
      </c>
      <c r="B2649" s="2" t="s">
        <v>2051</v>
      </c>
      <c r="C2649" s="2">
        <v>688.66769999999997</v>
      </c>
      <c r="D2649" s="2">
        <f>HYPERLINK("http://mcb-m6.bioreg.kyushu-u.ac.jp/M3/20110427/F51116/1769/1", 62.6)</f>
        <v>62.6</v>
      </c>
      <c r="E2649" s="2">
        <v>43.18</v>
      </c>
      <c r="F2649" s="2">
        <v>2</v>
      </c>
      <c r="G2649" s="2" t="s">
        <v>13</v>
      </c>
      <c r="H2649" s="2" t="s">
        <v>4891</v>
      </c>
    </row>
    <row r="2650" spans="1:8" x14ac:dyDescent="0.2">
      <c r="A2650" s="2" t="s">
        <v>3656</v>
      </c>
      <c r="B2650" s="2" t="s">
        <v>2075</v>
      </c>
      <c r="C2650" s="2">
        <v>828.34860000000003</v>
      </c>
      <c r="D2650" s="2">
        <f>HYPERLINK("http://mcb-m6.bioreg.kyushu-u.ac.jp/M3/20110427/F51115/2371/1", 65)</f>
        <v>65</v>
      </c>
      <c r="E2650" s="2">
        <v>47.04</v>
      </c>
      <c r="F2650" s="2">
        <v>2</v>
      </c>
      <c r="G2650" s="2" t="s">
        <v>13</v>
      </c>
    </row>
    <row r="2651" spans="1:8" x14ac:dyDescent="0.2">
      <c r="A2651" s="2" t="s">
        <v>3656</v>
      </c>
      <c r="B2651" s="2" t="s">
        <v>1574</v>
      </c>
      <c r="C2651" s="2">
        <v>902.70320000000004</v>
      </c>
      <c r="D2651" s="2">
        <f>HYPERLINK("http://mcb-m6.bioreg.kyushu-u.ac.jp/M3/20110427/F51116/2786/1", 68)</f>
        <v>68</v>
      </c>
      <c r="E2651" s="2">
        <v>43.65</v>
      </c>
      <c r="F2651" s="2">
        <v>2</v>
      </c>
      <c r="G2651" s="2" t="s">
        <v>13</v>
      </c>
    </row>
    <row r="2652" spans="1:8" x14ac:dyDescent="0.2">
      <c r="A2652" s="2" t="s">
        <v>3656</v>
      </c>
      <c r="B2652" s="2" t="s">
        <v>7356</v>
      </c>
      <c r="C2652" s="2">
        <v>821.67660000000001</v>
      </c>
      <c r="D2652" s="2">
        <f>HYPERLINK("http://mcb-m6.bioreg.kyushu-u.ac.jp/M3/20110427/F51115/2345/1", 71.12)</f>
        <v>71.12</v>
      </c>
      <c r="E2652" s="2">
        <v>50.63</v>
      </c>
      <c r="F2652" s="2">
        <v>2</v>
      </c>
      <c r="G2652" s="2" t="s">
        <v>13</v>
      </c>
      <c r="H2652" s="2" t="s">
        <v>4900</v>
      </c>
    </row>
    <row r="2653" spans="1:8" x14ac:dyDescent="0.2">
      <c r="A2653" s="2" t="s">
        <v>3656</v>
      </c>
      <c r="B2653" s="2" t="s">
        <v>589</v>
      </c>
      <c r="C2653" s="2">
        <v>910.6866</v>
      </c>
      <c r="D2653" s="2">
        <f>HYPERLINK("http://mcb-m6.bioreg.kyushu-u.ac.jp/M3/20110428/F51127/2839/1", 78.43)</f>
        <v>78.430000000000007</v>
      </c>
      <c r="E2653" s="2">
        <v>66.34</v>
      </c>
      <c r="F2653" s="2">
        <v>2</v>
      </c>
      <c r="G2653" s="2" t="s">
        <v>13</v>
      </c>
    </row>
    <row r="2654" spans="1:8" x14ac:dyDescent="0.2">
      <c r="A2654" s="2" t="s">
        <v>3656</v>
      </c>
      <c r="B2654" s="2" t="s">
        <v>589</v>
      </c>
      <c r="C2654" s="2">
        <v>911.25459999999998</v>
      </c>
      <c r="D2654" s="2">
        <f>HYPERLINK("http://mcb-m6.bioreg.kyushu-u.ac.jp/M3/20110427/F51112/2854/1", 78.75)</f>
        <v>78.75</v>
      </c>
      <c r="E2654" s="2">
        <v>69.16</v>
      </c>
      <c r="F2654" s="2">
        <v>2</v>
      </c>
      <c r="G2654" s="2" t="s">
        <v>13</v>
      </c>
    </row>
    <row r="2655" spans="1:8" x14ac:dyDescent="0.2">
      <c r="A2655" s="2" t="s">
        <v>3656</v>
      </c>
      <c r="B2655" s="2" t="s">
        <v>2051</v>
      </c>
      <c r="C2655" s="2">
        <v>680.15309999999999</v>
      </c>
      <c r="D2655" s="2">
        <f>HYPERLINK("http://mcb-m6.bioreg.kyushu-u.ac.jp/M3/20110427/F51115/1687/1", 84.65)</f>
        <v>84.65</v>
      </c>
      <c r="E2655" s="2">
        <v>43.2</v>
      </c>
      <c r="F2655" s="2">
        <v>2</v>
      </c>
      <c r="G2655" s="2" t="s">
        <v>13</v>
      </c>
    </row>
    <row r="2656" spans="1:8" x14ac:dyDescent="0.2">
      <c r="A2656" s="2" t="s">
        <v>3656</v>
      </c>
      <c r="B2656" s="2" t="s">
        <v>2051</v>
      </c>
      <c r="C2656" s="2">
        <v>680.18219999999997</v>
      </c>
      <c r="D2656" s="2">
        <f>HYPERLINK("http://mcb-m6.bioreg.kyushu-u.ac.jp/M3/20110427/F51114/1717/1", 90.21)</f>
        <v>90.21</v>
      </c>
      <c r="E2656" s="2">
        <v>54.54</v>
      </c>
      <c r="F2656" s="2">
        <v>2</v>
      </c>
      <c r="G2656" s="2" t="s">
        <v>13</v>
      </c>
    </row>
    <row r="2657" spans="1:8" x14ac:dyDescent="0.2">
      <c r="A2657" s="2" t="s">
        <v>3656</v>
      </c>
      <c r="B2657" s="2" t="s">
        <v>7356</v>
      </c>
      <c r="C2657" s="2">
        <v>813.74270000000001</v>
      </c>
      <c r="D2657" s="2">
        <f>HYPERLINK("http://mcb-m6.bioreg.kyushu-u.ac.jp/M3/20110427/F51116/2412/1", 91.82)</f>
        <v>91.82</v>
      </c>
      <c r="E2657" s="2">
        <v>70.69</v>
      </c>
      <c r="F2657" s="2">
        <v>2</v>
      </c>
      <c r="G2657" s="2" t="s">
        <v>13</v>
      </c>
    </row>
    <row r="2658" spans="1:8" x14ac:dyDescent="0.2">
      <c r="A2658" s="2" t="s">
        <v>3656</v>
      </c>
      <c r="B2658" s="2" t="s">
        <v>7356</v>
      </c>
      <c r="C2658" s="2">
        <v>813.65419999999995</v>
      </c>
      <c r="D2658" s="2">
        <f>HYPERLINK("http://mcb-m6.bioreg.kyushu-u.ac.jp/M3/20110427/F51115/2316/1", 92.05)</f>
        <v>92.05</v>
      </c>
      <c r="E2658" s="2">
        <v>71.45</v>
      </c>
      <c r="F2658" s="2">
        <v>2</v>
      </c>
      <c r="G2658" s="2" t="s">
        <v>13</v>
      </c>
    </row>
    <row r="2659" spans="1:8" x14ac:dyDescent="0.2">
      <c r="A2659" s="2" t="s">
        <v>3656</v>
      </c>
      <c r="B2659" s="2" t="s">
        <v>2051</v>
      </c>
      <c r="C2659" s="2">
        <v>680.26210000000003</v>
      </c>
      <c r="D2659" s="2">
        <f>HYPERLINK("http://mcb-m6.bioreg.kyushu-u.ac.jp/M3/20110427/F51116/1715/1", 94.66)</f>
        <v>94.66</v>
      </c>
      <c r="E2659" s="2">
        <v>58.03</v>
      </c>
      <c r="F2659" s="2">
        <v>2</v>
      </c>
      <c r="G2659" s="2" t="s">
        <v>13</v>
      </c>
    </row>
    <row r="2660" spans="1:8" x14ac:dyDescent="0.2">
      <c r="A2660" s="2" t="s">
        <v>3656</v>
      </c>
      <c r="B2660" s="2" t="s">
        <v>589</v>
      </c>
      <c r="C2660" s="2">
        <v>910.79169999999999</v>
      </c>
      <c r="D2660" s="2">
        <f>HYPERLINK("http://mcb-m6.bioreg.kyushu-u.ac.jp/M3/20110427/F51111/2882/1", 103.14)</f>
        <v>103.14</v>
      </c>
      <c r="E2660" s="2">
        <v>88.77</v>
      </c>
      <c r="F2660" s="2">
        <v>2</v>
      </c>
      <c r="G2660" s="2" t="s">
        <v>13</v>
      </c>
    </row>
    <row r="2661" spans="1:8" x14ac:dyDescent="0.2">
      <c r="A2661" s="2" t="s">
        <v>3656</v>
      </c>
      <c r="B2661" s="2" t="s">
        <v>1574</v>
      </c>
      <c r="C2661" s="2">
        <v>902.80160000000001</v>
      </c>
      <c r="D2661" s="2">
        <f>HYPERLINK("http://mcb-m6.bioreg.kyushu-u.ac.jp/M3/20110427/F51114/2863/1", 106.98)</f>
        <v>106.98</v>
      </c>
      <c r="E2661" s="2">
        <v>75.72</v>
      </c>
      <c r="F2661" s="2">
        <v>2</v>
      </c>
      <c r="G2661" s="2" t="s">
        <v>13</v>
      </c>
    </row>
    <row r="2662" spans="1:8" x14ac:dyDescent="0.2">
      <c r="A2662" s="2" t="s">
        <v>3656</v>
      </c>
      <c r="B2662" s="2" t="s">
        <v>589</v>
      </c>
      <c r="C2662" s="2">
        <v>910.68269999999995</v>
      </c>
      <c r="D2662" s="2">
        <f>HYPERLINK("http://mcb-m6.bioreg.kyushu-u.ac.jp/M3/20110427/F51115/2658/1", 111.48)</f>
        <v>111.48</v>
      </c>
      <c r="E2662" s="2">
        <v>97.82</v>
      </c>
      <c r="F2662" s="2">
        <v>2</v>
      </c>
      <c r="G2662" s="2" t="s">
        <v>13</v>
      </c>
    </row>
    <row r="2663" spans="1:8" x14ac:dyDescent="0.2">
      <c r="A2663" s="2" t="s">
        <v>3656</v>
      </c>
      <c r="B2663" s="2" t="s">
        <v>589</v>
      </c>
      <c r="C2663" s="2">
        <v>911.20619999999997</v>
      </c>
      <c r="D2663" s="2">
        <f>HYPERLINK("http://mcb-m6.bioreg.kyushu-u.ac.jp/M3/20110428/F51127/2842/1", 115.52)</f>
        <v>115.52</v>
      </c>
      <c r="E2663" s="2">
        <v>106.71</v>
      </c>
      <c r="F2663" s="2">
        <v>2</v>
      </c>
      <c r="G2663" s="2" t="s">
        <v>13</v>
      </c>
    </row>
    <row r="2664" spans="1:8" x14ac:dyDescent="0.2">
      <c r="A2664" s="2" t="s">
        <v>3656</v>
      </c>
      <c r="B2664" s="2" t="s">
        <v>589</v>
      </c>
      <c r="C2664" s="2">
        <v>911.23069999999996</v>
      </c>
      <c r="D2664" s="2">
        <f>HYPERLINK("http://mcb-m6.bioreg.kyushu-u.ac.jp/M3/20110427/F51114/2895/1", 127.01)</f>
        <v>127.01</v>
      </c>
      <c r="E2664" s="2">
        <v>117.37</v>
      </c>
      <c r="F2664" s="2">
        <v>2</v>
      </c>
      <c r="G2664" s="2" t="s">
        <v>13</v>
      </c>
    </row>
    <row r="2665" spans="1:8" x14ac:dyDescent="0.2">
      <c r="A2665" s="2" t="s">
        <v>3656</v>
      </c>
      <c r="B2665" s="2" t="s">
        <v>589</v>
      </c>
      <c r="C2665" s="2">
        <v>910.75160000000005</v>
      </c>
      <c r="D2665" s="2">
        <f>HYPERLINK("http://mcb-m6.bioreg.kyushu-u.ac.jp/M3/20110427/F51116/2810/1", 139.62)</f>
        <v>139.62</v>
      </c>
      <c r="E2665" s="2">
        <v>124.84</v>
      </c>
      <c r="F2665" s="2">
        <v>2</v>
      </c>
      <c r="G2665" s="2" t="s">
        <v>13</v>
      </c>
    </row>
    <row r="2666" spans="1:8" x14ac:dyDescent="0.2">
      <c r="A2666" s="2" t="s">
        <v>3656</v>
      </c>
      <c r="B2666" s="2" t="s">
        <v>589</v>
      </c>
      <c r="C2666" s="2">
        <v>919.0367</v>
      </c>
      <c r="D2666" s="2">
        <f>HYPERLINK("http://mcb-m6.bioreg.kyushu-u.ac.jp/M3/20110427/F51116/2841/1", 159.66)</f>
        <v>159.66</v>
      </c>
      <c r="E2666" s="2">
        <v>136.94999999999999</v>
      </c>
      <c r="F2666" s="2">
        <v>2</v>
      </c>
      <c r="G2666" s="2" t="s">
        <v>13</v>
      </c>
      <c r="H2666" s="2" t="s">
        <v>4917</v>
      </c>
    </row>
    <row r="2667" spans="1:8" x14ac:dyDescent="0.2">
      <c r="A2667" s="2" t="s">
        <v>3656</v>
      </c>
      <c r="B2667" s="2" t="s">
        <v>589</v>
      </c>
      <c r="C2667" s="2">
        <v>918.71469999999999</v>
      </c>
      <c r="D2667" s="2">
        <f>HYPERLINK("http://mcb-m6.bioreg.kyushu-u.ac.jp/M3/20110427/F51115/2697/1", 160.64)</f>
        <v>160.63999999999999</v>
      </c>
      <c r="E2667" s="2">
        <v>127.67</v>
      </c>
      <c r="F2667" s="2">
        <v>2</v>
      </c>
      <c r="G2667" s="2" t="s">
        <v>13</v>
      </c>
      <c r="H2667" s="2" t="s">
        <v>4917</v>
      </c>
    </row>
    <row r="2668" spans="1:8" x14ac:dyDescent="0.2">
      <c r="A2668" s="2" t="s">
        <v>3656</v>
      </c>
      <c r="B2668" s="2" t="s">
        <v>7493</v>
      </c>
      <c r="C2668" s="2">
        <v>655.79819999999995</v>
      </c>
      <c r="D2668" s="2">
        <f>HYPERLINK("http://mcb-m6.bioreg.kyushu-u.ac.jp/M3/20110427/F51123/1618/1", 50.3)</f>
        <v>50.3</v>
      </c>
      <c r="E2668" s="2">
        <v>28.49</v>
      </c>
      <c r="F2668" s="2">
        <v>2</v>
      </c>
      <c r="G2668" s="2" t="s">
        <v>14</v>
      </c>
    </row>
    <row r="2669" spans="1:8" x14ac:dyDescent="0.2">
      <c r="A2669" s="2" t="s">
        <v>3656</v>
      </c>
      <c r="B2669" s="2" t="s">
        <v>2051</v>
      </c>
      <c r="C2669" s="2">
        <v>680.68520000000001</v>
      </c>
      <c r="D2669" s="2">
        <f>HYPERLINK("http://mcb-m6.bioreg.kyushu-u.ac.jp/M3/20110427/F51124/1735/1", 55.75)</f>
        <v>55.75</v>
      </c>
      <c r="E2669" s="2">
        <v>24.84</v>
      </c>
      <c r="F2669" s="2">
        <v>2</v>
      </c>
      <c r="G2669" s="2" t="s">
        <v>14</v>
      </c>
    </row>
    <row r="2670" spans="1:8" x14ac:dyDescent="0.2">
      <c r="A2670" s="2" t="s">
        <v>3656</v>
      </c>
      <c r="B2670" s="2" t="s">
        <v>2051</v>
      </c>
      <c r="C2670" s="2">
        <v>680.72270000000003</v>
      </c>
      <c r="D2670" s="2">
        <f>HYPERLINK("http://mcb-m6.bioreg.kyushu-u.ac.jp/M3/20110427/F51123/1737/1", 63.03)</f>
        <v>63.03</v>
      </c>
      <c r="E2670" s="2">
        <v>36.97</v>
      </c>
      <c r="F2670" s="2">
        <v>2</v>
      </c>
      <c r="G2670" s="2" t="s">
        <v>14</v>
      </c>
    </row>
    <row r="2671" spans="1:8" x14ac:dyDescent="0.2">
      <c r="A2671" s="2" t="s">
        <v>3656</v>
      </c>
      <c r="B2671" s="2" t="s">
        <v>589</v>
      </c>
      <c r="C2671" s="2">
        <v>911.06460000000004</v>
      </c>
      <c r="D2671" s="2">
        <f>HYPERLINK("http://mcb-m6.bioreg.kyushu-u.ac.jp/M3/20110428/F51129/2807/1", 67.4)</f>
        <v>67.400000000000006</v>
      </c>
      <c r="E2671" s="2">
        <v>52.11</v>
      </c>
      <c r="F2671" s="2">
        <v>2</v>
      </c>
      <c r="G2671" s="2" t="s">
        <v>14</v>
      </c>
    </row>
    <row r="2672" spans="1:8" x14ac:dyDescent="0.2">
      <c r="A2672" s="2" t="s">
        <v>3656</v>
      </c>
      <c r="B2672" s="2" t="s">
        <v>589</v>
      </c>
      <c r="C2672" s="2">
        <v>919.20320000000004</v>
      </c>
      <c r="D2672" s="2">
        <f>HYPERLINK("http://mcb-m6.bioreg.kyushu-u.ac.jp/M3/20110427/F51125/2800/1", 82.44)</f>
        <v>82.44</v>
      </c>
      <c r="E2672" s="2">
        <v>26.36</v>
      </c>
      <c r="F2672" s="2">
        <v>2</v>
      </c>
      <c r="G2672" s="2" t="s">
        <v>14</v>
      </c>
      <c r="H2672" s="2" t="s">
        <v>4917</v>
      </c>
    </row>
    <row r="2673" spans="1:8" x14ac:dyDescent="0.2">
      <c r="A2673" s="2" t="s">
        <v>3656</v>
      </c>
      <c r="B2673" s="2" t="s">
        <v>589</v>
      </c>
      <c r="C2673" s="2">
        <v>910.75959999999998</v>
      </c>
      <c r="D2673" s="2">
        <f>HYPERLINK("http://mcb-m6.bioreg.kyushu-u.ac.jp/M3/20110428/F51128/2792/1", 93.53)</f>
        <v>93.53</v>
      </c>
      <c r="E2673" s="2">
        <v>82.25</v>
      </c>
      <c r="F2673" s="2">
        <v>2</v>
      </c>
      <c r="G2673" s="2" t="s">
        <v>14</v>
      </c>
    </row>
    <row r="2674" spans="1:8" x14ac:dyDescent="0.2">
      <c r="A2674" s="2" t="s">
        <v>3656</v>
      </c>
      <c r="B2674" s="2" t="s">
        <v>589</v>
      </c>
      <c r="C2674" s="2">
        <v>911.21169999999995</v>
      </c>
      <c r="D2674" s="2">
        <f>HYPERLINK("http://mcb-m6.bioreg.kyushu-u.ac.jp/M3/20110427/F51124/2730/1", 112.57)</f>
        <v>112.57</v>
      </c>
      <c r="E2674" s="2">
        <v>104.63</v>
      </c>
      <c r="F2674" s="2">
        <v>2</v>
      </c>
      <c r="G2674" s="2" t="s">
        <v>14</v>
      </c>
    </row>
    <row r="2675" spans="1:8" x14ac:dyDescent="0.2">
      <c r="A2675" s="2" t="s">
        <v>3656</v>
      </c>
      <c r="B2675" s="2" t="s">
        <v>589</v>
      </c>
      <c r="C2675" s="2">
        <v>918.71310000000005</v>
      </c>
      <c r="D2675" s="2">
        <f>HYPERLINK("http://mcb-m6.bioreg.kyushu-u.ac.jp/M3/20110427/F51124/2764/1", 112.7)</f>
        <v>112.7</v>
      </c>
      <c r="E2675" s="2">
        <v>83.03</v>
      </c>
      <c r="F2675" s="2">
        <v>2</v>
      </c>
      <c r="G2675" s="2" t="s">
        <v>14</v>
      </c>
      <c r="H2675" s="2" t="s">
        <v>4917</v>
      </c>
    </row>
    <row r="2676" spans="1:8" x14ac:dyDescent="0.2">
      <c r="A2676" s="2" t="s">
        <v>3656</v>
      </c>
      <c r="B2676" s="2" t="s">
        <v>589</v>
      </c>
      <c r="C2676" s="2">
        <v>910.75369999999998</v>
      </c>
      <c r="D2676" s="2">
        <f>HYPERLINK("http://mcb-m6.bioreg.kyushu-u.ac.jp/M3/20110427/F51125/2769/1", 115.56)</f>
        <v>115.56</v>
      </c>
      <c r="E2676" s="2">
        <v>102.57</v>
      </c>
      <c r="F2676" s="2">
        <v>2</v>
      </c>
      <c r="G2676" s="2" t="s">
        <v>14</v>
      </c>
    </row>
    <row r="2677" spans="1:8" x14ac:dyDescent="0.2">
      <c r="A2677" s="2" t="s">
        <v>3656</v>
      </c>
      <c r="B2677" s="2" t="s">
        <v>589</v>
      </c>
      <c r="C2677" s="2">
        <v>910.63710000000003</v>
      </c>
      <c r="D2677" s="2">
        <f>HYPERLINK("http://mcb-m6.bioreg.kyushu-u.ac.jp/M3/20110427/F51124/2728/1", 116.48)</f>
        <v>116.48</v>
      </c>
      <c r="E2677" s="2">
        <v>99.43</v>
      </c>
      <c r="F2677" s="2">
        <v>2</v>
      </c>
      <c r="G2677" s="2" t="s">
        <v>14</v>
      </c>
    </row>
    <row r="2678" spans="1:8" x14ac:dyDescent="0.2">
      <c r="A2678" s="2" t="s">
        <v>3656</v>
      </c>
      <c r="B2678" s="2" t="s">
        <v>589</v>
      </c>
      <c r="C2678" s="2">
        <v>919.29269999999997</v>
      </c>
      <c r="D2678" s="2">
        <f>HYPERLINK("http://mcb-m6.bioreg.kyushu-u.ac.jp/M3/20110427/F51123/2833/1", 144.79)</f>
        <v>144.79</v>
      </c>
      <c r="E2678" s="2">
        <v>123.49</v>
      </c>
      <c r="F2678" s="2">
        <v>2</v>
      </c>
      <c r="G2678" s="2" t="s">
        <v>14</v>
      </c>
      <c r="H2678" s="2" t="s">
        <v>4917</v>
      </c>
    </row>
    <row r="2679" spans="1:8" x14ac:dyDescent="0.2">
      <c r="A2679" s="2" t="s">
        <v>3656</v>
      </c>
      <c r="B2679" s="2" t="s">
        <v>589</v>
      </c>
      <c r="C2679" s="2">
        <v>918.78219999999999</v>
      </c>
      <c r="D2679" s="2">
        <f>HYPERLINK("http://mcb-m6.bioreg.kyushu-u.ac.jp/M3/20110427/F51123/2831/1", 172.98)</f>
        <v>172.98</v>
      </c>
      <c r="E2679" s="2">
        <v>152.02000000000001</v>
      </c>
      <c r="F2679" s="2">
        <v>2</v>
      </c>
      <c r="G2679" s="2" t="s">
        <v>14</v>
      </c>
      <c r="H2679" s="2" t="s">
        <v>4917</v>
      </c>
    </row>
    <row r="2680" spans="1:8" x14ac:dyDescent="0.2">
      <c r="A2680" s="2" t="s">
        <v>7871</v>
      </c>
      <c r="B2680" s="2" t="s">
        <v>6878</v>
      </c>
      <c r="C2680" s="2">
        <v>909.24959999999999</v>
      </c>
      <c r="D2680" s="2">
        <f>HYPERLINK("http://mcb-m6.bioreg.kyushu-u.ac.jp/M3/20110404/F50770/2423/1", 52.65)</f>
        <v>52.65</v>
      </c>
      <c r="E2680" s="2">
        <v>38.96</v>
      </c>
      <c r="F2680" s="2">
        <v>2</v>
      </c>
      <c r="G2680" s="2" t="s">
        <v>10</v>
      </c>
    </row>
    <row r="2681" spans="1:8" x14ac:dyDescent="0.2">
      <c r="A2681" s="2" t="s">
        <v>3323</v>
      </c>
      <c r="B2681" s="2" t="s">
        <v>109</v>
      </c>
      <c r="C2681" s="2">
        <v>1158.5909999999999</v>
      </c>
      <c r="D2681" s="2">
        <f>HYPERLINK("http://mcb-m6.bioreg.kyushu-u.ac.jp/M3/20110404/F50756/1272/1", 41.36)</f>
        <v>41.36</v>
      </c>
      <c r="E2681" s="2">
        <v>19.95</v>
      </c>
      <c r="F2681" s="2">
        <v>1</v>
      </c>
      <c r="G2681" s="2" t="s">
        <v>9</v>
      </c>
    </row>
    <row r="2682" spans="1:8" x14ac:dyDescent="0.2">
      <c r="A2682" s="2" t="s">
        <v>3323</v>
      </c>
      <c r="B2682" s="2" t="s">
        <v>109</v>
      </c>
      <c r="C2682" s="2">
        <v>1158.645</v>
      </c>
      <c r="D2682" s="2">
        <f>HYPERLINK("http://mcb-m6.bioreg.kyushu-u.ac.jp/M3/20110404/F50765/1183/1", 42.35)</f>
        <v>42.35</v>
      </c>
      <c r="E2682" s="2">
        <v>13.2</v>
      </c>
      <c r="F2682" s="2">
        <v>1</v>
      </c>
      <c r="G2682" s="2" t="s">
        <v>9</v>
      </c>
    </row>
    <row r="2683" spans="1:8" x14ac:dyDescent="0.2">
      <c r="A2683" s="2" t="s">
        <v>3323</v>
      </c>
      <c r="B2683" s="2" t="s">
        <v>109</v>
      </c>
      <c r="C2683" s="2">
        <v>580.32320000000004</v>
      </c>
      <c r="D2683" s="2">
        <f>HYPERLINK("http://mcb-m6.bioreg.kyushu-u.ac.jp/M3/20110404/F50756/1275/1", 58.32)</f>
        <v>58.32</v>
      </c>
      <c r="E2683" s="2">
        <v>33.6</v>
      </c>
      <c r="F2683" s="2">
        <v>2</v>
      </c>
      <c r="G2683" s="2" t="s">
        <v>9</v>
      </c>
    </row>
    <row r="2684" spans="1:8" x14ac:dyDescent="0.2">
      <c r="A2684" s="2" t="s">
        <v>3323</v>
      </c>
      <c r="B2684" s="2" t="s">
        <v>109</v>
      </c>
      <c r="C2684" s="2">
        <v>579.82669999999996</v>
      </c>
      <c r="D2684" s="2">
        <f>HYPERLINK("http://mcb-m6.bioreg.kyushu-u.ac.jp/M3/20110404/F50765/1184/1", 68.98)</f>
        <v>68.98</v>
      </c>
      <c r="E2684" s="2">
        <v>37.85</v>
      </c>
      <c r="F2684" s="2">
        <v>2</v>
      </c>
      <c r="G2684" s="2" t="s">
        <v>9</v>
      </c>
    </row>
    <row r="2685" spans="1:8" x14ac:dyDescent="0.2">
      <c r="A2685" s="2" t="s">
        <v>3323</v>
      </c>
      <c r="B2685" s="2" t="s">
        <v>109</v>
      </c>
      <c r="C2685" s="2">
        <v>579.79359999999997</v>
      </c>
      <c r="D2685" s="2">
        <f>HYPERLINK("http://mcb-m6.bioreg.kyushu-u.ac.jp/M3/20110404/F50762/1251/1", 74.53)</f>
        <v>74.53</v>
      </c>
      <c r="E2685" s="2">
        <v>48.48</v>
      </c>
      <c r="F2685" s="2">
        <v>2</v>
      </c>
      <c r="G2685" s="2" t="s">
        <v>9</v>
      </c>
    </row>
    <row r="2686" spans="1:8" x14ac:dyDescent="0.2">
      <c r="A2686" s="2" t="s">
        <v>3323</v>
      </c>
      <c r="B2686" s="2" t="s">
        <v>109</v>
      </c>
      <c r="C2686" s="2">
        <v>1158.56</v>
      </c>
      <c r="D2686" s="2">
        <f>HYPERLINK("http://mcb-m6.bioreg.kyushu-u.ac.jp/M3/20110404/F50761/1235/1", 37.96)</f>
        <v>37.96</v>
      </c>
      <c r="E2686" s="2">
        <v>14.72</v>
      </c>
      <c r="F2686" s="2">
        <v>1</v>
      </c>
      <c r="G2686" s="2" t="s">
        <v>10</v>
      </c>
    </row>
    <row r="2687" spans="1:8" x14ac:dyDescent="0.2">
      <c r="A2687" s="2" t="s">
        <v>3323</v>
      </c>
      <c r="B2687" s="2" t="s">
        <v>109</v>
      </c>
      <c r="C2687" s="2">
        <v>1158.4659999999999</v>
      </c>
      <c r="D2687" s="2">
        <f>HYPERLINK("http://mcb-m6.bioreg.kyushu-u.ac.jp/M3/20110404/F50768/1314/1", 40.12)</f>
        <v>40.119999999999997</v>
      </c>
      <c r="E2687" s="2">
        <v>18.45</v>
      </c>
      <c r="F2687" s="2">
        <v>1</v>
      </c>
      <c r="G2687" s="2" t="s">
        <v>10</v>
      </c>
    </row>
    <row r="2688" spans="1:8" x14ac:dyDescent="0.2">
      <c r="A2688" s="2" t="s">
        <v>3323</v>
      </c>
      <c r="B2688" s="2" t="s">
        <v>109</v>
      </c>
      <c r="C2688" s="2">
        <v>580.36869999999999</v>
      </c>
      <c r="D2688" s="2">
        <f>HYPERLINK("http://mcb-m6.bioreg.kyushu-u.ac.jp/M3/20110404/F50761/1236/1", 44.82)</f>
        <v>44.82</v>
      </c>
      <c r="E2688" s="2">
        <v>23.04</v>
      </c>
      <c r="F2688" s="2">
        <v>2</v>
      </c>
      <c r="G2688" s="2" t="s">
        <v>10</v>
      </c>
    </row>
    <row r="2689" spans="1:7" x14ac:dyDescent="0.2">
      <c r="A2689" s="2" t="s">
        <v>3323</v>
      </c>
      <c r="B2689" s="2" t="s">
        <v>109</v>
      </c>
      <c r="C2689" s="2">
        <v>579.68269999999995</v>
      </c>
      <c r="D2689" s="2">
        <f>HYPERLINK("http://mcb-m6.bioreg.kyushu-u.ac.jp/M3/20110404/F50771/1266/1", 47.09)</f>
        <v>47.09</v>
      </c>
      <c r="E2689" s="2">
        <v>30.52</v>
      </c>
      <c r="F2689" s="2">
        <v>2</v>
      </c>
      <c r="G2689" s="2" t="s">
        <v>10</v>
      </c>
    </row>
    <row r="2690" spans="1:7" x14ac:dyDescent="0.2">
      <c r="A2690" s="2" t="s">
        <v>3323</v>
      </c>
      <c r="B2690" s="2" t="s">
        <v>109</v>
      </c>
      <c r="C2690" s="2">
        <v>579.78060000000005</v>
      </c>
      <c r="D2690" s="2">
        <f>HYPERLINK("http://mcb-m6.bioreg.kyushu-u.ac.jp/M3/20110404/F50761/1234/1", 55.41)</f>
        <v>55.41</v>
      </c>
      <c r="E2690" s="2">
        <v>34.42</v>
      </c>
      <c r="F2690" s="2">
        <v>2</v>
      </c>
      <c r="G2690" s="2" t="s">
        <v>10</v>
      </c>
    </row>
    <row r="2691" spans="1:7" x14ac:dyDescent="0.2">
      <c r="A2691" s="2" t="s">
        <v>3323</v>
      </c>
      <c r="B2691" s="2" t="s">
        <v>109</v>
      </c>
      <c r="C2691" s="2">
        <v>579.77509999999995</v>
      </c>
      <c r="D2691" s="2">
        <f>HYPERLINK("http://mcb-m6.bioreg.kyushu-u.ac.jp/M3/20110404/F50769/1468/1", 63.35)</f>
        <v>63.35</v>
      </c>
      <c r="E2691" s="2">
        <v>36.4</v>
      </c>
      <c r="F2691" s="2">
        <v>2</v>
      </c>
      <c r="G2691" s="2" t="s">
        <v>10</v>
      </c>
    </row>
    <row r="2692" spans="1:7" x14ac:dyDescent="0.2">
      <c r="A2692" s="2" t="s">
        <v>3323</v>
      </c>
      <c r="B2692" s="2" t="s">
        <v>109</v>
      </c>
      <c r="C2692" s="2">
        <v>579.77470000000005</v>
      </c>
      <c r="D2692" s="2">
        <f>HYPERLINK("http://mcb-m6.bioreg.kyushu-u.ac.jp/M3/20110404/F50768/1315/1", 76.65)</f>
        <v>76.650000000000006</v>
      </c>
      <c r="E2692" s="2">
        <v>52.86</v>
      </c>
      <c r="F2692" s="2">
        <v>2</v>
      </c>
      <c r="G2692" s="2" t="s">
        <v>10</v>
      </c>
    </row>
    <row r="2693" spans="1:7" x14ac:dyDescent="0.2">
      <c r="A2693" s="2" t="s">
        <v>3323</v>
      </c>
      <c r="B2693" s="2" t="s">
        <v>109</v>
      </c>
      <c r="C2693" s="2">
        <v>579.83320000000003</v>
      </c>
      <c r="D2693" s="2">
        <f>HYPERLINK("http://mcb-m6.bioreg.kyushu-u.ac.jp/M3/20110421/F51035/1124/1", 44.39)</f>
        <v>44.39</v>
      </c>
      <c r="E2693" s="2">
        <v>15.72</v>
      </c>
      <c r="F2693" s="2">
        <v>2</v>
      </c>
      <c r="G2693" s="2" t="s">
        <v>11</v>
      </c>
    </row>
    <row r="2694" spans="1:7" x14ac:dyDescent="0.2">
      <c r="A2694" s="2" t="s">
        <v>3323</v>
      </c>
      <c r="B2694" s="2" t="s">
        <v>109</v>
      </c>
      <c r="C2694" s="2">
        <v>579.91970000000003</v>
      </c>
      <c r="D2694" s="2">
        <f>HYPERLINK("http://mcb-m6.bioreg.kyushu-u.ac.jp/M3/20110421/F51042/1019/1", 47.12)</f>
        <v>47.12</v>
      </c>
      <c r="E2694" s="2">
        <v>28.66</v>
      </c>
      <c r="F2694" s="2">
        <v>2</v>
      </c>
      <c r="G2694" s="2" t="s">
        <v>11</v>
      </c>
    </row>
    <row r="2695" spans="1:7" x14ac:dyDescent="0.2">
      <c r="A2695" s="2" t="s">
        <v>3323</v>
      </c>
      <c r="B2695" s="2" t="s">
        <v>109</v>
      </c>
      <c r="C2695" s="2">
        <v>580.42470000000003</v>
      </c>
      <c r="D2695" s="2">
        <f>HYPERLINK("http://mcb-m6.bioreg.kyushu-u.ac.jp/M3/20110421/F51034/1241/1", 49.8)</f>
        <v>49.8</v>
      </c>
      <c r="E2695" s="2">
        <v>24.54</v>
      </c>
      <c r="F2695" s="2">
        <v>2</v>
      </c>
      <c r="G2695" s="2" t="s">
        <v>11</v>
      </c>
    </row>
    <row r="2696" spans="1:7" x14ac:dyDescent="0.2">
      <c r="A2696" s="2" t="s">
        <v>3323</v>
      </c>
      <c r="B2696" s="2" t="s">
        <v>109</v>
      </c>
      <c r="C2696" s="2">
        <v>580.40170000000001</v>
      </c>
      <c r="D2696" s="2">
        <f>HYPERLINK("http://mcb-m6.bioreg.kyushu-u.ac.jp/M3/20110421/F51035/1128/1", 55.42)</f>
        <v>55.42</v>
      </c>
      <c r="E2696" s="2">
        <v>29.6</v>
      </c>
      <c r="F2696" s="2">
        <v>2</v>
      </c>
      <c r="G2696" s="2" t="s">
        <v>11</v>
      </c>
    </row>
    <row r="2697" spans="1:7" x14ac:dyDescent="0.2">
      <c r="A2697" s="2" t="s">
        <v>3323</v>
      </c>
      <c r="B2697" s="2" t="s">
        <v>109</v>
      </c>
      <c r="C2697" s="2">
        <v>579.90920000000006</v>
      </c>
      <c r="D2697" s="2">
        <f>HYPERLINK("http://mcb-m6.bioreg.kyushu-u.ac.jp/M3/20110421/F51020/1375/1", 59.7)</f>
        <v>59.7</v>
      </c>
      <c r="E2697" s="2">
        <v>35.22</v>
      </c>
      <c r="F2697" s="2">
        <v>2</v>
      </c>
      <c r="G2697" s="2" t="s">
        <v>11</v>
      </c>
    </row>
    <row r="2698" spans="1:7" x14ac:dyDescent="0.2">
      <c r="A2698" s="2" t="s">
        <v>3323</v>
      </c>
      <c r="B2698" s="2" t="s">
        <v>109</v>
      </c>
      <c r="C2698" s="2">
        <v>579.97720000000004</v>
      </c>
      <c r="D2698" s="2">
        <f>HYPERLINK("http://mcb-m6.bioreg.kyushu-u.ac.jp/M3/20110421/F51045/1465/1", 51.41)</f>
        <v>51.41</v>
      </c>
      <c r="E2698" s="2">
        <v>23.52</v>
      </c>
      <c r="F2698" s="2">
        <v>2</v>
      </c>
      <c r="G2698" s="2" t="s">
        <v>12</v>
      </c>
    </row>
    <row r="2699" spans="1:7" x14ac:dyDescent="0.2">
      <c r="A2699" s="2" t="s">
        <v>3323</v>
      </c>
      <c r="B2699" s="2" t="s">
        <v>109</v>
      </c>
      <c r="C2699" s="2">
        <v>579.86869999999999</v>
      </c>
      <c r="D2699" s="2">
        <f>HYPERLINK("http://mcb-m6.bioreg.kyushu-u.ac.jp/M3/20110421/F51044/1233/1", 64.6)</f>
        <v>64.599999999999994</v>
      </c>
      <c r="E2699" s="2">
        <v>40.659999999999997</v>
      </c>
      <c r="F2699" s="2">
        <v>2</v>
      </c>
      <c r="G2699" s="2" t="s">
        <v>12</v>
      </c>
    </row>
    <row r="2700" spans="1:7" x14ac:dyDescent="0.2">
      <c r="A2700" s="2" t="s">
        <v>3323</v>
      </c>
      <c r="B2700" s="2" t="s">
        <v>1692</v>
      </c>
      <c r="C2700" s="2">
        <v>816.274</v>
      </c>
      <c r="D2700" s="2">
        <f>HYPERLINK("http://mcb-m6.bioreg.kyushu-u.ac.jp/M3/20110427/F51114/690/1", 41.73)</f>
        <v>41.73</v>
      </c>
      <c r="E2700" s="2">
        <v>15.43</v>
      </c>
      <c r="F2700" s="2">
        <v>1</v>
      </c>
      <c r="G2700" s="2" t="s">
        <v>13</v>
      </c>
    </row>
    <row r="2701" spans="1:7" x14ac:dyDescent="0.2">
      <c r="A2701" s="2" t="s">
        <v>3323</v>
      </c>
      <c r="B2701" s="2" t="s">
        <v>109</v>
      </c>
      <c r="C2701" s="2">
        <v>1158.5730000000001</v>
      </c>
      <c r="D2701" s="2">
        <f>HYPERLINK("http://mcb-m6.bioreg.kyushu-u.ac.jp/M3/20110427/F51114/1271/1", 42.47)</f>
        <v>42.47</v>
      </c>
      <c r="E2701" s="2">
        <v>19.510000000000002</v>
      </c>
      <c r="F2701" s="2">
        <v>1</v>
      </c>
      <c r="G2701" s="2" t="s">
        <v>13</v>
      </c>
    </row>
    <row r="2702" spans="1:7" x14ac:dyDescent="0.2">
      <c r="A2702" s="2" t="s">
        <v>3323</v>
      </c>
      <c r="B2702" s="2" t="s">
        <v>109</v>
      </c>
      <c r="C2702" s="2">
        <v>579.82759999999996</v>
      </c>
      <c r="D2702" s="2">
        <f>HYPERLINK("http://mcb-m6.bioreg.kyushu-u.ac.jp/M3/20110427/F51112/1403/1", 46.87)</f>
        <v>46.87</v>
      </c>
      <c r="E2702" s="2">
        <v>19.95</v>
      </c>
      <c r="F2702" s="2">
        <v>2</v>
      </c>
      <c r="G2702" s="2" t="s">
        <v>13</v>
      </c>
    </row>
    <row r="2703" spans="1:7" x14ac:dyDescent="0.2">
      <c r="A2703" s="2" t="s">
        <v>3323</v>
      </c>
      <c r="B2703" s="2" t="s">
        <v>109</v>
      </c>
      <c r="C2703" s="2">
        <v>579.66859999999997</v>
      </c>
      <c r="D2703" s="2">
        <f>HYPERLINK("http://mcb-m6.bioreg.kyushu-u.ac.jp/M3/20110427/F51114/1269/1", 50.11)</f>
        <v>50.11</v>
      </c>
      <c r="E2703" s="2">
        <v>7.49</v>
      </c>
      <c r="F2703" s="2">
        <v>2</v>
      </c>
      <c r="G2703" s="2" t="s">
        <v>13</v>
      </c>
    </row>
    <row r="2704" spans="1:7" x14ac:dyDescent="0.2">
      <c r="A2704" s="2" t="s">
        <v>3323</v>
      </c>
      <c r="B2704" s="2" t="s">
        <v>109</v>
      </c>
      <c r="C2704" s="2">
        <v>579.77120000000002</v>
      </c>
      <c r="D2704" s="2">
        <f>HYPERLINK("http://mcb-m6.bioreg.kyushu-u.ac.jp/M3/20110428/F51127/1092/1", 51.42)</f>
        <v>51.42</v>
      </c>
      <c r="E2704" s="2">
        <v>25.62</v>
      </c>
      <c r="F2704" s="2">
        <v>2</v>
      </c>
      <c r="G2704" s="2" t="s">
        <v>13</v>
      </c>
    </row>
    <row r="2705" spans="1:9" x14ac:dyDescent="0.2">
      <c r="A2705" s="2" t="s">
        <v>3323</v>
      </c>
      <c r="B2705" s="2" t="s">
        <v>109</v>
      </c>
      <c r="C2705" s="2">
        <v>579.79819999999995</v>
      </c>
      <c r="D2705" s="2">
        <f>HYPERLINK("http://mcb-m6.bioreg.kyushu-u.ac.jp/M3/20110427/F51115/1341/1", 56.21)</f>
        <v>56.21</v>
      </c>
      <c r="E2705" s="2">
        <v>27.29</v>
      </c>
      <c r="F2705" s="2">
        <v>2</v>
      </c>
      <c r="G2705" s="2" t="s">
        <v>13</v>
      </c>
    </row>
    <row r="2706" spans="1:9" x14ac:dyDescent="0.2">
      <c r="A2706" s="2" t="s">
        <v>3323</v>
      </c>
      <c r="B2706" s="2" t="s">
        <v>109</v>
      </c>
      <c r="C2706" s="2">
        <v>579.71420000000001</v>
      </c>
      <c r="D2706" s="2">
        <f>HYPERLINK("http://mcb-m6.bioreg.kyushu-u.ac.jp/M3/20110427/F51113/1309/1", 63.83)</f>
        <v>63.83</v>
      </c>
      <c r="E2706" s="2">
        <v>32.03</v>
      </c>
      <c r="F2706" s="2">
        <v>2</v>
      </c>
      <c r="G2706" s="2" t="s">
        <v>13</v>
      </c>
    </row>
    <row r="2707" spans="1:9" x14ac:dyDescent="0.2">
      <c r="A2707" s="2" t="s">
        <v>3323</v>
      </c>
      <c r="B2707" s="2" t="s">
        <v>109</v>
      </c>
      <c r="C2707" s="2">
        <v>579.68219999999997</v>
      </c>
      <c r="D2707" s="2">
        <f>HYPERLINK("http://mcb-m6.bioreg.kyushu-u.ac.jp/M3/20110427/F51123/1343/1", 35.04)</f>
        <v>35.04</v>
      </c>
      <c r="E2707" s="2">
        <v>14.5</v>
      </c>
      <c r="F2707" s="2">
        <v>2</v>
      </c>
      <c r="G2707" s="2" t="s">
        <v>14</v>
      </c>
    </row>
    <row r="2708" spans="1:9" x14ac:dyDescent="0.2">
      <c r="A2708" s="2" t="s">
        <v>3323</v>
      </c>
      <c r="B2708" s="2" t="s">
        <v>1692</v>
      </c>
      <c r="C2708" s="2">
        <v>816.29399999999998</v>
      </c>
      <c r="D2708" s="2">
        <f>HYPERLINK("http://mcb-m6.bioreg.kyushu-u.ac.jp/M3/20110427/F51123/791/1", 36.71)</f>
        <v>36.71</v>
      </c>
      <c r="E2708" s="2">
        <v>13.69</v>
      </c>
      <c r="F2708" s="2">
        <v>1</v>
      </c>
      <c r="G2708" s="2" t="s">
        <v>14</v>
      </c>
    </row>
    <row r="2709" spans="1:9" x14ac:dyDescent="0.2">
      <c r="A2709" s="2" t="s">
        <v>3323</v>
      </c>
      <c r="B2709" s="2" t="s">
        <v>109</v>
      </c>
      <c r="C2709" s="2">
        <v>579.6567</v>
      </c>
      <c r="D2709" s="2">
        <f>HYPERLINK("http://mcb-m6.bioreg.kyushu-u.ac.jp/M3/20110428/F51128/1240/1", 60.89)</f>
        <v>60.89</v>
      </c>
      <c r="E2709" s="2">
        <v>33.979999999999997</v>
      </c>
      <c r="F2709" s="2">
        <v>2</v>
      </c>
      <c r="G2709" s="2" t="s">
        <v>14</v>
      </c>
    </row>
    <row r="2710" spans="1:9" x14ac:dyDescent="0.2">
      <c r="A2710" s="2" t="s">
        <v>3323</v>
      </c>
      <c r="B2710" s="2" t="s">
        <v>109</v>
      </c>
      <c r="C2710" s="2">
        <v>579.80909999999994</v>
      </c>
      <c r="D2710" s="2">
        <f>HYPERLINK("http://mcb-m6.bioreg.kyushu-u.ac.jp/M3/20110428/F51129/1328/1", 63.4)</f>
        <v>63.4</v>
      </c>
      <c r="E2710" s="2">
        <v>41.2</v>
      </c>
      <c r="F2710" s="2">
        <v>2</v>
      </c>
      <c r="G2710" s="2" t="s">
        <v>14</v>
      </c>
    </row>
    <row r="2711" spans="1:9" x14ac:dyDescent="0.2">
      <c r="A2711" s="2" t="s">
        <v>3323</v>
      </c>
      <c r="B2711" s="2" t="s">
        <v>109</v>
      </c>
      <c r="C2711" s="2">
        <v>579.65560000000005</v>
      </c>
      <c r="D2711" s="2">
        <f>HYPERLINK("http://mcb-m6.bioreg.kyushu-u.ac.jp/M3/20110427/F51124/1378/1", 68.84)</f>
        <v>68.84</v>
      </c>
      <c r="E2711" s="2">
        <v>42.11</v>
      </c>
      <c r="F2711" s="2">
        <v>2</v>
      </c>
      <c r="G2711" s="2" t="s">
        <v>14</v>
      </c>
    </row>
    <row r="2712" spans="1:9" x14ac:dyDescent="0.2">
      <c r="A2712" s="2" t="s">
        <v>3558</v>
      </c>
      <c r="B2712" s="2" t="s">
        <v>417</v>
      </c>
      <c r="C2712" s="2">
        <v>659.19209999999998</v>
      </c>
      <c r="D2712" s="2">
        <f>HYPERLINK("http://mcb-m6.bioreg.kyushu-u.ac.jp/M3/20110404/F50756/1558/1", 50.02)</f>
        <v>50.02</v>
      </c>
      <c r="E2712" s="2">
        <v>26.63</v>
      </c>
      <c r="F2712" s="2">
        <v>2</v>
      </c>
      <c r="G2712" s="2" t="s">
        <v>9</v>
      </c>
      <c r="I2712" s="2" t="s">
        <v>4898</v>
      </c>
    </row>
    <row r="2713" spans="1:9" x14ac:dyDescent="0.2">
      <c r="A2713" s="2" t="s">
        <v>3558</v>
      </c>
      <c r="B2713" s="2" t="s">
        <v>417</v>
      </c>
      <c r="C2713" s="2">
        <v>659.17110000000002</v>
      </c>
      <c r="D2713" s="2">
        <f>HYPERLINK("http://mcb-m6.bioreg.kyushu-u.ac.jp/M3/20110404/F50755/1574/1", 54.9)</f>
        <v>54.9</v>
      </c>
      <c r="E2713" s="2">
        <v>36.799999999999997</v>
      </c>
      <c r="F2713" s="2">
        <v>2</v>
      </c>
      <c r="G2713" s="2" t="s">
        <v>9</v>
      </c>
      <c r="I2713" s="2" t="s">
        <v>4898</v>
      </c>
    </row>
    <row r="2714" spans="1:9" x14ac:dyDescent="0.2">
      <c r="A2714" s="2" t="s">
        <v>3558</v>
      </c>
      <c r="B2714" s="2" t="s">
        <v>417</v>
      </c>
      <c r="C2714" s="2">
        <v>659.75869999999998</v>
      </c>
      <c r="D2714" s="2">
        <f>HYPERLINK("http://mcb-m6.bioreg.kyushu-u.ac.jp/M3/20110404/F50765/1455/1", 57.2)</f>
        <v>57.2</v>
      </c>
      <c r="E2714" s="2">
        <v>37.76</v>
      </c>
      <c r="F2714" s="2">
        <v>2</v>
      </c>
      <c r="G2714" s="2" t="s">
        <v>9</v>
      </c>
      <c r="I2714" s="2" t="s">
        <v>4898</v>
      </c>
    </row>
    <row r="2715" spans="1:9" x14ac:dyDescent="0.2">
      <c r="A2715" s="2" t="s">
        <v>3558</v>
      </c>
      <c r="B2715" s="2" t="s">
        <v>417</v>
      </c>
      <c r="C2715" s="2">
        <v>659.52120000000002</v>
      </c>
      <c r="D2715" s="2">
        <f>HYPERLINK("http://mcb-m6.bioreg.kyushu-u.ac.jp/M3/20110404/F50768/1552/1", 40.59)</f>
        <v>40.590000000000003</v>
      </c>
      <c r="E2715" s="2">
        <v>23.92</v>
      </c>
      <c r="F2715" s="2">
        <v>2</v>
      </c>
      <c r="G2715" s="2" t="s">
        <v>10</v>
      </c>
      <c r="I2715" s="2" t="s">
        <v>4898</v>
      </c>
    </row>
    <row r="2716" spans="1:9" x14ac:dyDescent="0.2">
      <c r="A2716" s="2" t="s">
        <v>3558</v>
      </c>
      <c r="B2716" s="2" t="s">
        <v>417</v>
      </c>
      <c r="C2716" s="2">
        <v>659.76419999999996</v>
      </c>
      <c r="D2716" s="2">
        <f>HYPERLINK("http://mcb-m6.bioreg.kyushu-u.ac.jp/M3/20110404/F50771/1532/1", 50.97)</f>
        <v>50.97</v>
      </c>
      <c r="E2716" s="2">
        <v>26.18</v>
      </c>
      <c r="F2716" s="2">
        <v>2</v>
      </c>
      <c r="G2716" s="2" t="s">
        <v>10</v>
      </c>
      <c r="I2716" s="2" t="s">
        <v>4898</v>
      </c>
    </row>
    <row r="2717" spans="1:9" x14ac:dyDescent="0.2">
      <c r="A2717" s="2" t="s">
        <v>3558</v>
      </c>
      <c r="B2717" s="2" t="s">
        <v>417</v>
      </c>
      <c r="C2717" s="2">
        <v>659.90769999999998</v>
      </c>
      <c r="D2717" s="2">
        <f>HYPERLINK("http://mcb-m6.bioreg.kyushu-u.ac.jp/M3/20110421/F51035/1490/1", 46.39)</f>
        <v>46.39</v>
      </c>
      <c r="E2717" s="2">
        <v>20.32</v>
      </c>
      <c r="F2717" s="2">
        <v>2</v>
      </c>
      <c r="G2717" s="2" t="s">
        <v>11</v>
      </c>
      <c r="I2717" s="2" t="s">
        <v>4898</v>
      </c>
    </row>
    <row r="2718" spans="1:9" x14ac:dyDescent="0.2">
      <c r="A2718" s="2" t="s">
        <v>3558</v>
      </c>
      <c r="B2718" s="2" t="s">
        <v>417</v>
      </c>
      <c r="C2718" s="2">
        <v>659.15809999999999</v>
      </c>
      <c r="D2718" s="2">
        <f>HYPERLINK("http://mcb-m6.bioreg.kyushu-u.ac.jp/M3/20110421/F51018/1688/1", 53.13)</f>
        <v>53.13</v>
      </c>
      <c r="E2718" s="2">
        <v>25.81</v>
      </c>
      <c r="F2718" s="2">
        <v>2</v>
      </c>
      <c r="G2718" s="2" t="s">
        <v>11</v>
      </c>
      <c r="I2718" s="2" t="s">
        <v>4898</v>
      </c>
    </row>
    <row r="2719" spans="1:9" x14ac:dyDescent="0.2">
      <c r="A2719" s="2" t="s">
        <v>3558</v>
      </c>
      <c r="B2719" s="2" t="s">
        <v>417</v>
      </c>
      <c r="C2719" s="2">
        <v>659.37919999999997</v>
      </c>
      <c r="D2719" s="2">
        <f>HYPERLINK("http://mcb-m6.bioreg.kyushu-u.ac.jp/M3/20110421/F51034/1562/1", 58.73)</f>
        <v>58.73</v>
      </c>
      <c r="E2719" s="2">
        <v>23.58</v>
      </c>
      <c r="F2719" s="2">
        <v>2</v>
      </c>
      <c r="G2719" s="2" t="s">
        <v>11</v>
      </c>
      <c r="I2719" s="2" t="s">
        <v>4898</v>
      </c>
    </row>
    <row r="2720" spans="1:9" x14ac:dyDescent="0.2">
      <c r="A2720" s="2" t="s">
        <v>3558</v>
      </c>
      <c r="B2720" s="2" t="s">
        <v>417</v>
      </c>
      <c r="C2720" s="2">
        <v>659.23659999999995</v>
      </c>
      <c r="D2720" s="2">
        <f>HYPERLINK("http://mcb-m6.bioreg.kyushu-u.ac.jp/M3/20110427/F51114/1610/1", 43.89)</f>
        <v>43.89</v>
      </c>
      <c r="E2720" s="2">
        <v>23.29</v>
      </c>
      <c r="F2720" s="2">
        <v>2</v>
      </c>
      <c r="G2720" s="2" t="s">
        <v>13</v>
      </c>
      <c r="I2720" s="2" t="s">
        <v>4898</v>
      </c>
    </row>
    <row r="2721" spans="1:9" x14ac:dyDescent="0.2">
      <c r="A2721" s="2" t="s">
        <v>3558</v>
      </c>
      <c r="B2721" s="2" t="s">
        <v>417</v>
      </c>
      <c r="C2721" s="2">
        <v>659.62869999999998</v>
      </c>
      <c r="D2721" s="2">
        <f>HYPERLINK("http://mcb-m6.bioreg.kyushu-u.ac.jp/M3/20110427/F51112/1698/1", 46.37)</f>
        <v>46.37</v>
      </c>
      <c r="E2721" s="2">
        <v>27.65</v>
      </c>
      <c r="F2721" s="2">
        <v>2</v>
      </c>
      <c r="G2721" s="2" t="s">
        <v>13</v>
      </c>
      <c r="I2721" s="2" t="s">
        <v>4898</v>
      </c>
    </row>
    <row r="2722" spans="1:9" x14ac:dyDescent="0.2">
      <c r="A2722" s="2" t="s">
        <v>3558</v>
      </c>
      <c r="B2722" s="2" t="s">
        <v>417</v>
      </c>
      <c r="C2722" s="2">
        <v>659.21720000000005</v>
      </c>
      <c r="D2722" s="2">
        <f>HYPERLINK("http://mcb-m6.bioreg.kyushu-u.ac.jp/M3/20110427/F51116/1625/1", 49.98)</f>
        <v>49.98</v>
      </c>
      <c r="E2722" s="2">
        <v>26.21</v>
      </c>
      <c r="F2722" s="2">
        <v>2</v>
      </c>
      <c r="G2722" s="2" t="s">
        <v>13</v>
      </c>
      <c r="I2722" s="2" t="s">
        <v>4898</v>
      </c>
    </row>
    <row r="2723" spans="1:9" x14ac:dyDescent="0.2">
      <c r="A2723" s="2" t="s">
        <v>3558</v>
      </c>
      <c r="B2723" s="2" t="s">
        <v>417</v>
      </c>
      <c r="C2723" s="2">
        <v>659.14469999999994</v>
      </c>
      <c r="D2723" s="2">
        <f>HYPERLINK("http://mcb-m6.bioreg.kyushu-u.ac.jp/M3/20110427/F51113/1598/1", 52.86)</f>
        <v>52.86</v>
      </c>
      <c r="E2723" s="2">
        <v>28.69</v>
      </c>
      <c r="F2723" s="2">
        <v>2</v>
      </c>
      <c r="G2723" s="2" t="s">
        <v>13</v>
      </c>
      <c r="I2723" s="2" t="s">
        <v>4898</v>
      </c>
    </row>
    <row r="2724" spans="1:9" x14ac:dyDescent="0.2">
      <c r="A2724" s="2" t="s">
        <v>3558</v>
      </c>
      <c r="B2724" s="2" t="s">
        <v>417</v>
      </c>
      <c r="C2724" s="2">
        <v>659.0856</v>
      </c>
      <c r="D2724" s="2">
        <f>HYPERLINK("http://mcb-m6.bioreg.kyushu-u.ac.jp/M3/20110427/F51124/1652/1", 44.01)</f>
        <v>44.01</v>
      </c>
      <c r="E2724" s="2">
        <v>9.81</v>
      </c>
      <c r="F2724" s="2">
        <v>2</v>
      </c>
      <c r="G2724" s="2" t="s">
        <v>14</v>
      </c>
      <c r="I2724" s="2" t="s">
        <v>4898</v>
      </c>
    </row>
    <row r="2725" spans="1:9" x14ac:dyDescent="0.2">
      <c r="A2725" s="2" t="s">
        <v>3533</v>
      </c>
      <c r="B2725" s="2" t="s">
        <v>5932</v>
      </c>
      <c r="C2725" s="2">
        <v>728.3492</v>
      </c>
      <c r="D2725" s="2">
        <f>HYPERLINK("http://mcb-m6.bioreg.kyushu-u.ac.jp/M3/20110404/F50756/1907/1", 36.17)</f>
        <v>36.17</v>
      </c>
      <c r="E2725" s="2">
        <v>14.67</v>
      </c>
      <c r="F2725" s="2">
        <v>2</v>
      </c>
      <c r="G2725" s="2" t="s">
        <v>9</v>
      </c>
    </row>
    <row r="2726" spans="1:9" x14ac:dyDescent="0.2">
      <c r="A2726" s="2" t="s">
        <v>3533</v>
      </c>
      <c r="B2726" s="2" t="s">
        <v>2682</v>
      </c>
      <c r="C2726" s="2">
        <v>580.79909999999995</v>
      </c>
      <c r="D2726" s="2">
        <f>HYPERLINK("http://mcb-m6.bioreg.kyushu-u.ac.jp/M3/20110404/F50762/1254/1", 37.37)</f>
        <v>37.369999999999997</v>
      </c>
      <c r="E2726" s="2">
        <v>11.24</v>
      </c>
      <c r="F2726" s="2">
        <v>2</v>
      </c>
      <c r="G2726" s="2" t="s">
        <v>9</v>
      </c>
      <c r="I2726" s="2" t="s">
        <v>4890</v>
      </c>
    </row>
    <row r="2727" spans="1:9" x14ac:dyDescent="0.2">
      <c r="A2727" s="2" t="s">
        <v>3533</v>
      </c>
      <c r="B2727" s="2" t="s">
        <v>1459</v>
      </c>
      <c r="C2727" s="2">
        <v>879.46720000000005</v>
      </c>
      <c r="D2727" s="2">
        <f>HYPERLINK("http://mcb-m6.bioreg.kyushu-u.ac.jp/M3/20110404/F50765/2398/1", 38.23)</f>
        <v>38.229999999999997</v>
      </c>
      <c r="E2727" s="2">
        <v>29.8</v>
      </c>
      <c r="F2727" s="2">
        <v>2</v>
      </c>
      <c r="G2727" s="2" t="s">
        <v>9</v>
      </c>
    </row>
    <row r="2728" spans="1:9" x14ac:dyDescent="0.2">
      <c r="A2728" s="2" t="s">
        <v>3533</v>
      </c>
      <c r="B2728" s="2" t="s">
        <v>6089</v>
      </c>
      <c r="C2728" s="2">
        <v>1032.425</v>
      </c>
      <c r="D2728" s="2">
        <f>HYPERLINK("http://mcb-m6.bioreg.kyushu-u.ac.jp/M3/20110404/F50756/1060/1", 41.83)</f>
        <v>41.83</v>
      </c>
      <c r="E2728" s="2">
        <v>12.22</v>
      </c>
      <c r="F2728" s="2">
        <v>1</v>
      </c>
      <c r="G2728" s="2" t="s">
        <v>9</v>
      </c>
      <c r="I2728" s="2" t="s">
        <v>4890</v>
      </c>
    </row>
    <row r="2729" spans="1:9" x14ac:dyDescent="0.2">
      <c r="A2729" s="2" t="s">
        <v>3533</v>
      </c>
      <c r="B2729" s="2" t="s">
        <v>2682</v>
      </c>
      <c r="C2729" s="2">
        <v>580.80359999999996</v>
      </c>
      <c r="D2729" s="2">
        <f>HYPERLINK("http://mcb-m6.bioreg.kyushu-u.ac.jp/M3/20110404/F50756/1276/1", 45.2)</f>
        <v>45.2</v>
      </c>
      <c r="E2729" s="2">
        <v>13.43</v>
      </c>
      <c r="F2729" s="2">
        <v>2</v>
      </c>
      <c r="G2729" s="2" t="s">
        <v>9</v>
      </c>
      <c r="I2729" s="2" t="s">
        <v>4890</v>
      </c>
    </row>
    <row r="2730" spans="1:9" x14ac:dyDescent="0.2">
      <c r="A2730" s="2" t="s">
        <v>3533</v>
      </c>
      <c r="B2730" s="2" t="s">
        <v>1913</v>
      </c>
      <c r="C2730" s="2">
        <v>815.46450000000004</v>
      </c>
      <c r="D2730" s="2">
        <f>HYPERLINK("http://mcb-m6.bioreg.kyushu-u.ac.jp/M3/20110404/F50763/3169/1", 46.16)</f>
        <v>46.16</v>
      </c>
      <c r="E2730" s="2">
        <v>27.63</v>
      </c>
      <c r="F2730" s="2">
        <v>3</v>
      </c>
      <c r="G2730" s="2" t="s">
        <v>9</v>
      </c>
    </row>
    <row r="2731" spans="1:9" x14ac:dyDescent="0.2">
      <c r="A2731" s="2" t="s">
        <v>3533</v>
      </c>
      <c r="B2731" s="2" t="s">
        <v>1922</v>
      </c>
      <c r="C2731" s="2">
        <v>1074.5029999999999</v>
      </c>
      <c r="D2731" s="2">
        <f>HYPERLINK("http://mcb-m6.bioreg.kyushu-u.ac.jp/M3/20110404/F50756/1134/1", 46.94)</f>
        <v>46.94</v>
      </c>
      <c r="E2731" s="2">
        <v>14.43</v>
      </c>
      <c r="F2731" s="2">
        <v>1</v>
      </c>
      <c r="G2731" s="2" t="s">
        <v>9</v>
      </c>
    </row>
    <row r="2732" spans="1:9" x14ac:dyDescent="0.2">
      <c r="A2732" s="2" t="s">
        <v>3533</v>
      </c>
      <c r="B2732" s="2" t="s">
        <v>808</v>
      </c>
      <c r="C2732" s="2">
        <v>815.4067</v>
      </c>
      <c r="D2732" s="2">
        <f>HYPERLINK("http://mcb-m6.bioreg.kyushu-u.ac.jp/M3/20110404/F50756/2312/1", 49.34)</f>
        <v>49.34</v>
      </c>
      <c r="E2732" s="2">
        <v>16.760000000000002</v>
      </c>
      <c r="F2732" s="2">
        <v>2</v>
      </c>
      <c r="G2732" s="2" t="s">
        <v>9</v>
      </c>
    </row>
    <row r="2733" spans="1:9" x14ac:dyDescent="0.2">
      <c r="A2733" s="2" t="s">
        <v>3533</v>
      </c>
      <c r="B2733" s="2" t="s">
        <v>808</v>
      </c>
      <c r="C2733" s="2">
        <v>1630.6780000000001</v>
      </c>
      <c r="D2733" s="2">
        <f>HYPERLINK("http://mcb-m6.bioreg.kyushu-u.ac.jp/M3/20110404/F50756/2319/1", 54.21)</f>
        <v>54.21</v>
      </c>
      <c r="E2733" s="2">
        <v>43.54</v>
      </c>
      <c r="F2733" s="2">
        <v>1</v>
      </c>
      <c r="G2733" s="2" t="s">
        <v>9</v>
      </c>
    </row>
    <row r="2734" spans="1:9" x14ac:dyDescent="0.2">
      <c r="A2734" s="2" t="s">
        <v>3533</v>
      </c>
      <c r="B2734" s="2" t="s">
        <v>5932</v>
      </c>
      <c r="C2734" s="2">
        <v>727.79570000000001</v>
      </c>
      <c r="D2734" s="2">
        <f>HYPERLINK("http://mcb-m6.bioreg.kyushu-u.ac.jp/M3/20110404/F50756/1906/1", 59.19)</f>
        <v>59.19</v>
      </c>
      <c r="E2734" s="2">
        <v>25.99</v>
      </c>
      <c r="F2734" s="2">
        <v>2</v>
      </c>
      <c r="G2734" s="2" t="s">
        <v>9</v>
      </c>
    </row>
    <row r="2735" spans="1:9" x14ac:dyDescent="0.2">
      <c r="A2735" s="2" t="s">
        <v>3533</v>
      </c>
      <c r="B2735" s="2" t="s">
        <v>808</v>
      </c>
      <c r="C2735" s="2">
        <v>544.13149999999996</v>
      </c>
      <c r="D2735" s="2">
        <f>HYPERLINK("http://mcb-m6.bioreg.kyushu-u.ac.jp/M3/20110404/F50756/2313/1", 60.75)</f>
        <v>60.75</v>
      </c>
      <c r="E2735" s="2">
        <v>30.38</v>
      </c>
      <c r="F2735" s="2">
        <v>3</v>
      </c>
      <c r="G2735" s="2" t="s">
        <v>9</v>
      </c>
    </row>
    <row r="2736" spans="1:9" x14ac:dyDescent="0.2">
      <c r="A2736" s="2" t="s">
        <v>3533</v>
      </c>
      <c r="B2736" s="2" t="s">
        <v>6409</v>
      </c>
      <c r="C2736" s="2">
        <v>695.66660000000002</v>
      </c>
      <c r="D2736" s="2">
        <f>HYPERLINK("http://mcb-m6.bioreg.kyushu-u.ac.jp/M3/20110404/F50756/3193/1", 60.85)</f>
        <v>60.85</v>
      </c>
      <c r="E2736" s="2">
        <v>39.42</v>
      </c>
      <c r="F2736" s="2">
        <v>3</v>
      </c>
      <c r="G2736" s="2" t="s">
        <v>9</v>
      </c>
    </row>
    <row r="2737" spans="1:8" x14ac:dyDescent="0.2">
      <c r="A2737" s="2" t="s">
        <v>3533</v>
      </c>
      <c r="B2737" s="2" t="s">
        <v>674</v>
      </c>
      <c r="C2737" s="2">
        <v>656.98519999999996</v>
      </c>
      <c r="D2737" s="2">
        <f>HYPERLINK("http://mcb-m6.bioreg.kyushu-u.ac.jp/M3/20110404/F50756/3021/1", 68.81)</f>
        <v>68.81</v>
      </c>
      <c r="E2737" s="2">
        <v>51.37</v>
      </c>
      <c r="F2737" s="2">
        <v>3</v>
      </c>
      <c r="G2737" s="2" t="s">
        <v>9</v>
      </c>
    </row>
    <row r="2738" spans="1:8" x14ac:dyDescent="0.2">
      <c r="A2738" s="2" t="s">
        <v>3533</v>
      </c>
      <c r="B2738" s="2" t="s">
        <v>808</v>
      </c>
      <c r="C2738" s="2">
        <v>1629.597</v>
      </c>
      <c r="D2738" s="2">
        <f>HYPERLINK("http://mcb-m6.bioreg.kyushu-u.ac.jp/M3/20110404/F50756/2311/1", 69.17)</f>
        <v>69.17</v>
      </c>
      <c r="E2738" s="2">
        <v>57.11</v>
      </c>
      <c r="F2738" s="2">
        <v>1</v>
      </c>
      <c r="G2738" s="2" t="s">
        <v>9</v>
      </c>
    </row>
    <row r="2739" spans="1:8" x14ac:dyDescent="0.2">
      <c r="A2739" s="2" t="s">
        <v>3533</v>
      </c>
      <c r="B2739" s="2" t="s">
        <v>1981</v>
      </c>
      <c r="C2739" s="2">
        <v>773.81820000000005</v>
      </c>
      <c r="D2739" s="2">
        <f>HYPERLINK("http://mcb-m6.bioreg.kyushu-u.ac.jp/M3/20110404/F50762/1937/1", 75.51)</f>
        <v>75.510000000000005</v>
      </c>
      <c r="E2739" s="2">
        <v>57.02</v>
      </c>
      <c r="F2739" s="2">
        <v>2</v>
      </c>
      <c r="G2739" s="2" t="s">
        <v>9</v>
      </c>
    </row>
    <row r="2740" spans="1:8" x14ac:dyDescent="0.2">
      <c r="A2740" s="2" t="s">
        <v>3533</v>
      </c>
      <c r="B2740" s="2" t="s">
        <v>674</v>
      </c>
      <c r="C2740" s="2">
        <v>985.02260000000001</v>
      </c>
      <c r="D2740" s="2">
        <f>HYPERLINK("http://mcb-m6.bioreg.kyushu-u.ac.jp/M3/20110404/F50756/3022/1", 76.95)</f>
        <v>76.95</v>
      </c>
      <c r="E2740" s="2">
        <v>58.81</v>
      </c>
      <c r="F2740" s="2">
        <v>2</v>
      </c>
      <c r="G2740" s="2" t="s">
        <v>9</v>
      </c>
    </row>
    <row r="2741" spans="1:8" x14ac:dyDescent="0.2">
      <c r="A2741" s="2" t="s">
        <v>3533</v>
      </c>
      <c r="B2741" s="2" t="s">
        <v>1459</v>
      </c>
      <c r="C2741" s="2">
        <v>879.5367</v>
      </c>
      <c r="D2741" s="2">
        <f>HYPERLINK("http://mcb-m6.bioreg.kyushu-u.ac.jp/M3/20110404/F50756/2584/1", 77.17)</f>
        <v>77.17</v>
      </c>
      <c r="E2741" s="2">
        <v>63.19</v>
      </c>
      <c r="F2741" s="2">
        <v>2</v>
      </c>
      <c r="G2741" s="2" t="s">
        <v>9</v>
      </c>
    </row>
    <row r="2742" spans="1:8" x14ac:dyDescent="0.2">
      <c r="A2742" s="2" t="s">
        <v>3533</v>
      </c>
      <c r="B2742" s="2" t="s">
        <v>1981</v>
      </c>
      <c r="C2742" s="2">
        <v>774.42769999999996</v>
      </c>
      <c r="D2742" s="2">
        <f>HYPERLINK("http://mcb-m6.bioreg.kyushu-u.ac.jp/M3/20110404/F50762/1938/1", 81.64)</f>
        <v>81.64</v>
      </c>
      <c r="E2742" s="2">
        <v>55.75</v>
      </c>
      <c r="F2742" s="2">
        <v>2</v>
      </c>
      <c r="G2742" s="2" t="s">
        <v>9</v>
      </c>
    </row>
    <row r="2743" spans="1:8" x14ac:dyDescent="0.2">
      <c r="A2743" s="2" t="s">
        <v>3533</v>
      </c>
      <c r="B2743" s="2" t="s">
        <v>1459</v>
      </c>
      <c r="C2743" s="2">
        <v>879.96119999999996</v>
      </c>
      <c r="D2743" s="2">
        <f>HYPERLINK("http://mcb-m6.bioreg.kyushu-u.ac.jp/M3/20110404/F50765/2399/1", 88.05)</f>
        <v>88.05</v>
      </c>
      <c r="E2743" s="2">
        <v>59.96</v>
      </c>
      <c r="F2743" s="2">
        <v>2</v>
      </c>
      <c r="G2743" s="2" t="s">
        <v>9</v>
      </c>
    </row>
    <row r="2744" spans="1:8" x14ac:dyDescent="0.2">
      <c r="A2744" s="2" t="s">
        <v>3533</v>
      </c>
      <c r="B2744" s="2" t="s">
        <v>808</v>
      </c>
      <c r="C2744" s="2">
        <v>815.63570000000004</v>
      </c>
      <c r="D2744" s="2">
        <f>HYPERLINK("http://mcb-m6.bioreg.kyushu-u.ac.jp/M3/20110404/F50755/2303/1", 88.46)</f>
        <v>88.46</v>
      </c>
      <c r="E2744" s="2">
        <v>63.12</v>
      </c>
      <c r="F2744" s="2">
        <v>2</v>
      </c>
      <c r="G2744" s="2" t="s">
        <v>9</v>
      </c>
    </row>
    <row r="2745" spans="1:8" x14ac:dyDescent="0.2">
      <c r="A2745" s="2" t="s">
        <v>3533</v>
      </c>
      <c r="B2745" s="2" t="s">
        <v>808</v>
      </c>
      <c r="C2745" s="2">
        <v>815.46469999999999</v>
      </c>
      <c r="D2745" s="2">
        <f>HYPERLINK("http://mcb-m6.bioreg.kyushu-u.ac.jp/M3/20110404/F50763/2195/1", 90.21)</f>
        <v>90.21</v>
      </c>
      <c r="E2745" s="2">
        <v>64.23</v>
      </c>
      <c r="F2745" s="2">
        <v>2</v>
      </c>
      <c r="G2745" s="2" t="s">
        <v>9</v>
      </c>
    </row>
    <row r="2746" spans="1:8" x14ac:dyDescent="0.2">
      <c r="A2746" s="2" t="s">
        <v>3533</v>
      </c>
      <c r="B2746" s="2" t="s">
        <v>1459</v>
      </c>
      <c r="C2746" s="2">
        <v>879.90520000000004</v>
      </c>
      <c r="D2746" s="2">
        <f>HYPERLINK("http://mcb-m6.bioreg.kyushu-u.ac.jp/M3/20110404/F50762/2245/1", 93.58)</f>
        <v>93.58</v>
      </c>
      <c r="E2746" s="2">
        <v>76.540000000000006</v>
      </c>
      <c r="F2746" s="2">
        <v>2</v>
      </c>
      <c r="G2746" s="2" t="s">
        <v>9</v>
      </c>
    </row>
    <row r="2747" spans="1:8" x14ac:dyDescent="0.2">
      <c r="A2747" s="2" t="s">
        <v>3533</v>
      </c>
      <c r="B2747" s="2" t="s">
        <v>1459</v>
      </c>
      <c r="C2747" s="2">
        <v>879.50319999999999</v>
      </c>
      <c r="D2747" s="2">
        <f>HYPERLINK("http://mcb-m6.bioreg.kyushu-u.ac.jp/M3/20110404/F50763/2394/1", 94.57)</f>
        <v>94.57</v>
      </c>
      <c r="E2747" s="2">
        <v>79.41</v>
      </c>
      <c r="F2747" s="2">
        <v>2</v>
      </c>
      <c r="G2747" s="2" t="s">
        <v>9</v>
      </c>
    </row>
    <row r="2748" spans="1:8" x14ac:dyDescent="0.2">
      <c r="A2748" s="2" t="s">
        <v>3533</v>
      </c>
      <c r="B2748" s="2" t="s">
        <v>6409</v>
      </c>
      <c r="C2748" s="2">
        <v>1042.8510000000001</v>
      </c>
      <c r="D2748" s="2">
        <f>HYPERLINK("http://mcb-m6.bioreg.kyushu-u.ac.jp/M3/20110404/F50756/3192/1", 95.41)</f>
        <v>95.41</v>
      </c>
      <c r="E2748" s="2">
        <v>75.489999999999995</v>
      </c>
      <c r="F2748" s="2">
        <v>2</v>
      </c>
      <c r="G2748" s="2" t="s">
        <v>9</v>
      </c>
    </row>
    <row r="2749" spans="1:8" x14ac:dyDescent="0.2">
      <c r="A2749" s="2" t="s">
        <v>3533</v>
      </c>
      <c r="B2749" s="2" t="s">
        <v>1459</v>
      </c>
      <c r="C2749" s="2">
        <v>879.40260000000001</v>
      </c>
      <c r="D2749" s="2">
        <f>HYPERLINK("http://mcb-m6.bioreg.kyushu-u.ac.jp/M3/20110404/F50762/2244/1", 99.57)</f>
        <v>99.57</v>
      </c>
      <c r="E2749" s="2">
        <v>81.22</v>
      </c>
      <c r="F2749" s="2">
        <v>2</v>
      </c>
      <c r="G2749" s="2" t="s">
        <v>9</v>
      </c>
    </row>
    <row r="2750" spans="1:8" x14ac:dyDescent="0.2">
      <c r="A2750" s="2" t="s">
        <v>3533</v>
      </c>
      <c r="B2750" s="2" t="s">
        <v>6409</v>
      </c>
      <c r="C2750" s="2">
        <v>1050.4079999999999</v>
      </c>
      <c r="D2750" s="2">
        <f>HYPERLINK("http://mcb-m6.bioreg.kyushu-u.ac.jp/M3/20110404/F50756/3210/1", 108.3)</f>
        <v>108.3</v>
      </c>
      <c r="E2750" s="2">
        <v>94.3</v>
      </c>
      <c r="F2750" s="2">
        <v>2</v>
      </c>
      <c r="G2750" s="2" t="s">
        <v>9</v>
      </c>
      <c r="H2750" s="2" t="s">
        <v>4938</v>
      </c>
    </row>
    <row r="2751" spans="1:8" x14ac:dyDescent="0.2">
      <c r="A2751" s="2" t="s">
        <v>3533</v>
      </c>
      <c r="B2751" s="2" t="s">
        <v>1459</v>
      </c>
      <c r="C2751" s="2">
        <v>879.4117</v>
      </c>
      <c r="D2751" s="2">
        <f>HYPERLINK("http://mcb-m6.bioreg.kyushu-u.ac.jp/M3/20110404/F50765/2397/1", 108.51)</f>
        <v>108.51</v>
      </c>
      <c r="E2751" s="2">
        <v>87.41</v>
      </c>
      <c r="F2751" s="2">
        <v>2</v>
      </c>
      <c r="G2751" s="2" t="s">
        <v>9</v>
      </c>
    </row>
    <row r="2752" spans="1:8" x14ac:dyDescent="0.2">
      <c r="A2752" s="2" t="s">
        <v>3533</v>
      </c>
      <c r="B2752" s="2" t="s">
        <v>385</v>
      </c>
      <c r="C2752" s="2">
        <v>450.72059999999999</v>
      </c>
      <c r="D2752" s="2">
        <f>HYPERLINK("http://mcb-m6.bioreg.kyushu-u.ac.jp/M3/20110404/F50761/800/1", 35.96)</f>
        <v>35.96</v>
      </c>
      <c r="E2752" s="2">
        <v>9.51</v>
      </c>
      <c r="F2752" s="2">
        <v>2</v>
      </c>
      <c r="G2752" s="2" t="s">
        <v>10</v>
      </c>
    </row>
    <row r="2753" spans="1:9" x14ac:dyDescent="0.2">
      <c r="A2753" s="2" t="s">
        <v>3533</v>
      </c>
      <c r="B2753" s="2" t="s">
        <v>674</v>
      </c>
      <c r="C2753" s="2">
        <v>985.2817</v>
      </c>
      <c r="D2753" s="2">
        <f>HYPERLINK("http://mcb-m6.bioreg.kyushu-u.ac.jp/M3/20110404/F50761/2775/1", 37.03)</f>
        <v>37.03</v>
      </c>
      <c r="E2753" s="2">
        <v>22.45</v>
      </c>
      <c r="F2753" s="2">
        <v>2</v>
      </c>
      <c r="G2753" s="2" t="s">
        <v>10</v>
      </c>
    </row>
    <row r="2754" spans="1:9" x14ac:dyDescent="0.2">
      <c r="A2754" s="2" t="s">
        <v>3533</v>
      </c>
      <c r="B2754" s="2" t="s">
        <v>385</v>
      </c>
      <c r="C2754" s="2">
        <v>451.25659999999999</v>
      </c>
      <c r="D2754" s="2">
        <f>HYPERLINK("http://mcb-m6.bioreg.kyushu-u.ac.jp/M3/20110404/F50761/805/1", 37.41)</f>
        <v>37.409999999999997</v>
      </c>
      <c r="E2754" s="2">
        <v>12.94</v>
      </c>
      <c r="F2754" s="2">
        <v>2</v>
      </c>
      <c r="G2754" s="2" t="s">
        <v>10</v>
      </c>
    </row>
    <row r="2755" spans="1:9" x14ac:dyDescent="0.2">
      <c r="A2755" s="2" t="s">
        <v>3533</v>
      </c>
      <c r="B2755" s="2" t="s">
        <v>1913</v>
      </c>
      <c r="C2755" s="2">
        <v>815.39080000000001</v>
      </c>
      <c r="D2755" s="2">
        <f>HYPERLINK("http://mcb-m6.bioreg.kyushu-u.ac.jp/M3/20110404/F50774/3055/1", 37.69)</f>
        <v>37.69</v>
      </c>
      <c r="E2755" s="2">
        <v>14.58</v>
      </c>
      <c r="F2755" s="2">
        <v>3</v>
      </c>
      <c r="G2755" s="2" t="s">
        <v>10</v>
      </c>
    </row>
    <row r="2756" spans="1:9" x14ac:dyDescent="0.2">
      <c r="A2756" s="2" t="s">
        <v>3533</v>
      </c>
      <c r="B2756" s="2" t="s">
        <v>6781</v>
      </c>
      <c r="C2756" s="2">
        <v>704.24659999999994</v>
      </c>
      <c r="D2756" s="2">
        <f>HYPERLINK("http://mcb-m6.bioreg.kyushu-u.ac.jp/M3/20110404/F50771/1728/1", 42.04)</f>
        <v>42.04</v>
      </c>
      <c r="E2756" s="2">
        <v>10.25</v>
      </c>
      <c r="F2756" s="2">
        <v>2</v>
      </c>
      <c r="G2756" s="2" t="s">
        <v>10</v>
      </c>
    </row>
    <row r="2757" spans="1:9" x14ac:dyDescent="0.2">
      <c r="A2757" s="2" t="s">
        <v>3533</v>
      </c>
      <c r="B2757" s="2" t="s">
        <v>5932</v>
      </c>
      <c r="C2757" s="2">
        <v>728.34670000000006</v>
      </c>
      <c r="D2757" s="2">
        <f>HYPERLINK("http://mcb-m6.bioreg.kyushu-u.ac.jp/M3/20110404/F50761/1795/1", 42.79)</f>
        <v>42.79</v>
      </c>
      <c r="E2757" s="2">
        <v>21.16</v>
      </c>
      <c r="F2757" s="2">
        <v>2</v>
      </c>
      <c r="G2757" s="2" t="s">
        <v>10</v>
      </c>
    </row>
    <row r="2758" spans="1:9" x14ac:dyDescent="0.2">
      <c r="A2758" s="2" t="s">
        <v>3533</v>
      </c>
      <c r="B2758" s="2" t="s">
        <v>385</v>
      </c>
      <c r="C2758" s="2">
        <v>450.73610000000002</v>
      </c>
      <c r="D2758" s="2">
        <f>HYPERLINK("http://mcb-m6.bioreg.kyushu-u.ac.jp/M3/20110404/F50768/911/1", 43.2)</f>
        <v>43.2</v>
      </c>
      <c r="E2758" s="2">
        <v>21.16</v>
      </c>
      <c r="F2758" s="2">
        <v>2</v>
      </c>
      <c r="G2758" s="2" t="s">
        <v>10</v>
      </c>
    </row>
    <row r="2759" spans="1:9" x14ac:dyDescent="0.2">
      <c r="A2759" s="2" t="s">
        <v>3533</v>
      </c>
      <c r="B2759" s="2" t="s">
        <v>1999</v>
      </c>
      <c r="C2759" s="2">
        <v>502.67860000000002</v>
      </c>
      <c r="D2759" s="2">
        <f>HYPERLINK("http://mcb-m6.bioreg.kyushu-u.ac.jp/M3/20110404/F50769/1282/1", 43.22)</f>
        <v>43.22</v>
      </c>
      <c r="E2759" s="2">
        <v>15.61</v>
      </c>
      <c r="F2759" s="2">
        <v>2</v>
      </c>
      <c r="G2759" s="2" t="s">
        <v>10</v>
      </c>
    </row>
    <row r="2760" spans="1:9" x14ac:dyDescent="0.2">
      <c r="A2760" s="2" t="s">
        <v>3533</v>
      </c>
      <c r="B2760" s="2" t="s">
        <v>6409</v>
      </c>
      <c r="C2760" s="2">
        <v>1043.0730000000001</v>
      </c>
      <c r="D2760" s="2">
        <f>HYPERLINK("http://mcb-m6.bioreg.kyushu-u.ac.jp/M3/20110404/F50769/2688/1", 43.3)</f>
        <v>43.3</v>
      </c>
      <c r="E2760" s="2">
        <v>25.2</v>
      </c>
      <c r="F2760" s="2">
        <v>2</v>
      </c>
      <c r="G2760" s="2" t="s">
        <v>10</v>
      </c>
    </row>
    <row r="2761" spans="1:9" x14ac:dyDescent="0.2">
      <c r="A2761" s="2" t="s">
        <v>3533</v>
      </c>
      <c r="B2761" s="2" t="s">
        <v>1913</v>
      </c>
      <c r="C2761" s="2">
        <v>815.45780000000002</v>
      </c>
      <c r="D2761" s="2">
        <f>HYPERLINK("http://mcb-m6.bioreg.kyushu-u.ac.jp/M3/20110404/F50768/3144/1", 43.46)</f>
        <v>43.46</v>
      </c>
      <c r="E2761" s="2">
        <v>24.74</v>
      </c>
      <c r="F2761" s="2">
        <v>3</v>
      </c>
      <c r="G2761" s="2" t="s">
        <v>10</v>
      </c>
    </row>
    <row r="2762" spans="1:9" x14ac:dyDescent="0.2">
      <c r="A2762" s="2" t="s">
        <v>3533</v>
      </c>
      <c r="B2762" s="2" t="s">
        <v>808</v>
      </c>
      <c r="C2762" s="2">
        <v>815.3741</v>
      </c>
      <c r="D2762" s="2">
        <f>HYPERLINK("http://mcb-m6.bioreg.kyushu-u.ac.jp/M3/20110404/F50781/2013/1", 43.77)</f>
        <v>43.77</v>
      </c>
      <c r="E2762" s="2">
        <v>17.34</v>
      </c>
      <c r="F2762" s="2">
        <v>2</v>
      </c>
      <c r="G2762" s="2" t="s">
        <v>10</v>
      </c>
    </row>
    <row r="2763" spans="1:9" x14ac:dyDescent="0.2">
      <c r="A2763" s="2" t="s">
        <v>3533</v>
      </c>
      <c r="B2763" s="2" t="s">
        <v>674</v>
      </c>
      <c r="C2763" s="2">
        <v>657.22280000000001</v>
      </c>
      <c r="D2763" s="2">
        <f>HYPERLINK("http://mcb-m6.bioreg.kyushu-u.ac.jp/M3/20110404/F50761/2776/1", 43.81)</f>
        <v>43.81</v>
      </c>
      <c r="E2763" s="2">
        <v>33.15</v>
      </c>
      <c r="F2763" s="2">
        <v>3</v>
      </c>
      <c r="G2763" s="2" t="s">
        <v>10</v>
      </c>
    </row>
    <row r="2764" spans="1:9" x14ac:dyDescent="0.2">
      <c r="A2764" s="2" t="s">
        <v>3533</v>
      </c>
      <c r="B2764" s="2" t="s">
        <v>808</v>
      </c>
      <c r="C2764" s="2">
        <v>815.41359999999997</v>
      </c>
      <c r="D2764" s="2">
        <f>HYPERLINK("http://mcb-m6.bioreg.kyushu-u.ac.jp/M3/20110404/F50775/2235/1", 43.95)</f>
        <v>43.95</v>
      </c>
      <c r="E2764" s="2">
        <v>23.43</v>
      </c>
      <c r="F2764" s="2">
        <v>2</v>
      </c>
      <c r="G2764" s="2" t="s">
        <v>10</v>
      </c>
    </row>
    <row r="2765" spans="1:9" x14ac:dyDescent="0.2">
      <c r="A2765" s="2" t="s">
        <v>3533</v>
      </c>
      <c r="B2765" s="2" t="s">
        <v>808</v>
      </c>
      <c r="C2765" s="2">
        <v>815.38819999999998</v>
      </c>
      <c r="D2765" s="2">
        <f>HYPERLINK("http://mcb-m6.bioreg.kyushu-u.ac.jp/M3/20110404/F50769/2184/1", 45.79)</f>
        <v>45.79</v>
      </c>
      <c r="E2765" s="2">
        <v>25.8</v>
      </c>
      <c r="F2765" s="2">
        <v>2</v>
      </c>
      <c r="G2765" s="2" t="s">
        <v>10</v>
      </c>
    </row>
    <row r="2766" spans="1:9" x14ac:dyDescent="0.2">
      <c r="A2766" s="2" t="s">
        <v>3533</v>
      </c>
      <c r="B2766" s="2" t="s">
        <v>1922</v>
      </c>
      <c r="C2766" s="2">
        <v>1074.5160000000001</v>
      </c>
      <c r="D2766" s="2">
        <f>HYPERLINK("http://mcb-m6.bioreg.kyushu-u.ac.jp/M3/20110404/F50761/1104/1", 46.88)</f>
        <v>46.88</v>
      </c>
      <c r="E2766" s="2">
        <v>6.79</v>
      </c>
      <c r="F2766" s="2">
        <v>1</v>
      </c>
      <c r="G2766" s="2" t="s">
        <v>10</v>
      </c>
    </row>
    <row r="2767" spans="1:9" x14ac:dyDescent="0.2">
      <c r="A2767" s="2" t="s">
        <v>3533</v>
      </c>
      <c r="B2767" s="2" t="s">
        <v>6089</v>
      </c>
      <c r="C2767" s="2">
        <v>1032.46</v>
      </c>
      <c r="D2767" s="2">
        <f>HYPERLINK("http://mcb-m6.bioreg.kyushu-u.ac.jp/M3/20110404/F50761/1030/1", 47.18)</f>
        <v>47.18</v>
      </c>
      <c r="E2767" s="2">
        <v>14.02</v>
      </c>
      <c r="F2767" s="2">
        <v>1</v>
      </c>
      <c r="G2767" s="2" t="s">
        <v>10</v>
      </c>
      <c r="I2767" s="2" t="s">
        <v>4890</v>
      </c>
    </row>
    <row r="2768" spans="1:9" x14ac:dyDescent="0.2">
      <c r="A2768" s="2" t="s">
        <v>3533</v>
      </c>
      <c r="B2768" s="2" t="s">
        <v>808</v>
      </c>
      <c r="C2768" s="2">
        <v>815.8347</v>
      </c>
      <c r="D2768" s="2">
        <f>HYPERLINK("http://mcb-m6.bioreg.kyushu-u.ac.jp/M3/20110404/F50761/2145/1", 49.76)</f>
        <v>49.76</v>
      </c>
      <c r="E2768" s="2">
        <v>30.87</v>
      </c>
      <c r="F2768" s="2">
        <v>2</v>
      </c>
      <c r="G2768" s="2" t="s">
        <v>10</v>
      </c>
    </row>
    <row r="2769" spans="1:9" x14ac:dyDescent="0.2">
      <c r="A2769" s="2" t="s">
        <v>3533</v>
      </c>
      <c r="B2769" s="2" t="s">
        <v>808</v>
      </c>
      <c r="C2769" s="2">
        <v>1630.69</v>
      </c>
      <c r="D2769" s="2">
        <f>HYPERLINK("http://mcb-m6.bioreg.kyushu-u.ac.jp/M3/20110404/F50761/2146/1", 50.55)</f>
        <v>50.55</v>
      </c>
      <c r="E2769" s="2">
        <v>35.380000000000003</v>
      </c>
      <c r="F2769" s="2">
        <v>1</v>
      </c>
      <c r="G2769" s="2" t="s">
        <v>10</v>
      </c>
    </row>
    <row r="2770" spans="1:9" x14ac:dyDescent="0.2">
      <c r="A2770" s="2" t="s">
        <v>3533</v>
      </c>
      <c r="B2770" s="2" t="s">
        <v>2682</v>
      </c>
      <c r="C2770" s="2">
        <v>580.76260000000002</v>
      </c>
      <c r="D2770" s="2">
        <f>HYPERLINK("http://mcb-m6.bioreg.kyushu-u.ac.jp/M3/20110404/F50761/1240/1", 52.15)</f>
        <v>52.15</v>
      </c>
      <c r="E2770" s="2">
        <v>11</v>
      </c>
      <c r="F2770" s="2">
        <v>2</v>
      </c>
      <c r="G2770" s="2" t="s">
        <v>10</v>
      </c>
      <c r="I2770" s="2" t="s">
        <v>4890</v>
      </c>
    </row>
    <row r="2771" spans="1:9" x14ac:dyDescent="0.2">
      <c r="A2771" s="2" t="s">
        <v>3533</v>
      </c>
      <c r="B2771" s="2" t="s">
        <v>6409</v>
      </c>
      <c r="C2771" s="2">
        <v>695.49549999999999</v>
      </c>
      <c r="D2771" s="2">
        <f>HYPERLINK("http://mcb-m6.bioreg.kyushu-u.ac.jp/M3/20110404/F50761/2939/1", 53.05)</f>
        <v>53.05</v>
      </c>
      <c r="E2771" s="2">
        <v>31.53</v>
      </c>
      <c r="F2771" s="2">
        <v>3</v>
      </c>
      <c r="G2771" s="2" t="s">
        <v>10</v>
      </c>
    </row>
    <row r="2772" spans="1:9" x14ac:dyDescent="0.2">
      <c r="A2772" s="2" t="s">
        <v>3533</v>
      </c>
      <c r="B2772" s="2" t="s">
        <v>610</v>
      </c>
      <c r="C2772" s="2">
        <v>493.23110000000003</v>
      </c>
      <c r="D2772" s="2">
        <f>HYPERLINK("http://mcb-m6.bioreg.kyushu-u.ac.jp/M3/20110404/F50768/1056/1", 55.75)</f>
        <v>55.75</v>
      </c>
      <c r="E2772" s="2">
        <v>22.16</v>
      </c>
      <c r="F2772" s="2">
        <v>2</v>
      </c>
      <c r="G2772" s="2" t="s">
        <v>10</v>
      </c>
    </row>
    <row r="2773" spans="1:9" x14ac:dyDescent="0.2">
      <c r="A2773" s="2" t="s">
        <v>3533</v>
      </c>
      <c r="B2773" s="2" t="s">
        <v>2682</v>
      </c>
      <c r="C2773" s="2">
        <v>580.82259999999997</v>
      </c>
      <c r="D2773" s="2">
        <f>HYPERLINK("http://mcb-m6.bioreg.kyushu-u.ac.jp/M3/20110404/F50768/1317/1", 56.02)</f>
        <v>56.02</v>
      </c>
      <c r="E2773" s="2">
        <v>22.51</v>
      </c>
      <c r="F2773" s="2">
        <v>2</v>
      </c>
      <c r="G2773" s="2" t="s">
        <v>10</v>
      </c>
      <c r="I2773" s="2" t="s">
        <v>4890</v>
      </c>
    </row>
    <row r="2774" spans="1:9" x14ac:dyDescent="0.2">
      <c r="A2774" s="2" t="s">
        <v>3533</v>
      </c>
      <c r="B2774" s="2" t="s">
        <v>1999</v>
      </c>
      <c r="C2774" s="2">
        <v>502.69510000000002</v>
      </c>
      <c r="D2774" s="2">
        <f>HYPERLINK("http://mcb-m6.bioreg.kyushu-u.ac.jp/M3/20110404/F50761/981/1", 59.51)</f>
        <v>59.51</v>
      </c>
      <c r="E2774" s="2">
        <v>27.56</v>
      </c>
      <c r="F2774" s="2">
        <v>2</v>
      </c>
      <c r="G2774" s="2" t="s">
        <v>10</v>
      </c>
    </row>
    <row r="2775" spans="1:9" x14ac:dyDescent="0.2">
      <c r="A2775" s="2" t="s">
        <v>3533</v>
      </c>
      <c r="B2775" s="2" t="s">
        <v>5932</v>
      </c>
      <c r="C2775" s="2">
        <v>727.84169999999995</v>
      </c>
      <c r="D2775" s="2">
        <f>HYPERLINK("http://mcb-m6.bioreg.kyushu-u.ac.jp/M3/20110404/F50761/1793/1", 64.82)</f>
        <v>64.819999999999993</v>
      </c>
      <c r="E2775" s="2">
        <v>26.96</v>
      </c>
      <c r="F2775" s="2">
        <v>2</v>
      </c>
      <c r="G2775" s="2" t="s">
        <v>10</v>
      </c>
    </row>
    <row r="2776" spans="1:9" x14ac:dyDescent="0.2">
      <c r="A2776" s="2" t="s">
        <v>3533</v>
      </c>
      <c r="B2776" s="2" t="s">
        <v>808</v>
      </c>
      <c r="C2776" s="2">
        <v>815.29219999999998</v>
      </c>
      <c r="D2776" s="2">
        <f>HYPERLINK("http://mcb-m6.bioreg.kyushu-u.ac.jp/M3/20110404/F50761/2138/1", 66.56)</f>
        <v>66.56</v>
      </c>
      <c r="E2776" s="2">
        <v>41.93</v>
      </c>
      <c r="F2776" s="2">
        <v>2</v>
      </c>
      <c r="G2776" s="2" t="s">
        <v>10</v>
      </c>
    </row>
    <row r="2777" spans="1:9" x14ac:dyDescent="0.2">
      <c r="A2777" s="2" t="s">
        <v>3533</v>
      </c>
      <c r="B2777" s="2" t="s">
        <v>808</v>
      </c>
      <c r="C2777" s="2">
        <v>815.59310000000005</v>
      </c>
      <c r="D2777" s="2">
        <f>HYPERLINK("http://mcb-m6.bioreg.kyushu-u.ac.jp/M3/20110404/F50772/2229/1", 67.21)</f>
        <v>67.209999999999994</v>
      </c>
      <c r="E2777" s="2">
        <v>48.09</v>
      </c>
      <c r="F2777" s="2">
        <v>2</v>
      </c>
      <c r="G2777" s="2" t="s">
        <v>10</v>
      </c>
    </row>
    <row r="2778" spans="1:9" x14ac:dyDescent="0.2">
      <c r="A2778" s="2" t="s">
        <v>3533</v>
      </c>
      <c r="B2778" s="2" t="s">
        <v>808</v>
      </c>
      <c r="C2778" s="2">
        <v>1630.6289999999999</v>
      </c>
      <c r="D2778" s="2">
        <f>HYPERLINK("http://mcb-m6.bioreg.kyushu-u.ac.jp/M3/20110404/F50768/2164/1", 68.34)</f>
        <v>68.34</v>
      </c>
      <c r="E2778" s="2">
        <v>54.38</v>
      </c>
      <c r="F2778" s="2">
        <v>1</v>
      </c>
      <c r="G2778" s="2" t="s">
        <v>10</v>
      </c>
    </row>
    <row r="2779" spans="1:9" x14ac:dyDescent="0.2">
      <c r="A2779" s="2" t="s">
        <v>3533</v>
      </c>
      <c r="B2779" s="2" t="s">
        <v>1459</v>
      </c>
      <c r="C2779" s="2">
        <v>879.1567</v>
      </c>
      <c r="D2779" s="2">
        <f>HYPERLINK("http://mcb-m6.bioreg.kyushu-u.ac.jp/M3/20110404/F50760/2331/1", 70.24)</f>
        <v>70.239999999999995</v>
      </c>
      <c r="E2779" s="2">
        <v>58.6</v>
      </c>
      <c r="F2779" s="2">
        <v>2</v>
      </c>
      <c r="G2779" s="2" t="s">
        <v>10</v>
      </c>
    </row>
    <row r="2780" spans="1:9" x14ac:dyDescent="0.2">
      <c r="A2780" s="2" t="s">
        <v>3533</v>
      </c>
      <c r="B2780" s="2" t="s">
        <v>674</v>
      </c>
      <c r="C2780" s="2">
        <v>984.97059999999999</v>
      </c>
      <c r="D2780" s="2">
        <f>HYPERLINK("http://mcb-m6.bioreg.kyushu-u.ac.jp/M3/20110404/F50768/2687/1", 72.09)</f>
        <v>72.09</v>
      </c>
      <c r="E2780" s="2">
        <v>53.84</v>
      </c>
      <c r="F2780" s="2">
        <v>2</v>
      </c>
      <c r="G2780" s="2" t="s">
        <v>10</v>
      </c>
    </row>
    <row r="2781" spans="1:9" x14ac:dyDescent="0.2">
      <c r="A2781" s="2" t="s">
        <v>3533</v>
      </c>
      <c r="B2781" s="2" t="s">
        <v>674</v>
      </c>
      <c r="C2781" s="2">
        <v>985.47270000000003</v>
      </c>
      <c r="D2781" s="2">
        <f>HYPERLINK("http://mcb-m6.bioreg.kyushu-u.ac.jp/M3/20110404/F50768/2689/1", 75.05)</f>
        <v>75.05</v>
      </c>
      <c r="E2781" s="2">
        <v>61.68</v>
      </c>
      <c r="F2781" s="2">
        <v>2</v>
      </c>
      <c r="G2781" s="2" t="s">
        <v>10</v>
      </c>
    </row>
    <row r="2782" spans="1:9" x14ac:dyDescent="0.2">
      <c r="A2782" s="2" t="s">
        <v>3533</v>
      </c>
      <c r="B2782" s="2" t="s">
        <v>1999</v>
      </c>
      <c r="C2782" s="2">
        <v>502.66309999999999</v>
      </c>
      <c r="D2782" s="2">
        <f>HYPERLINK("http://mcb-m6.bioreg.kyushu-u.ac.jp/M3/20110404/F50768/1084/1", 76.39)</f>
        <v>76.39</v>
      </c>
      <c r="E2782" s="2">
        <v>40.31</v>
      </c>
      <c r="F2782" s="2">
        <v>2</v>
      </c>
      <c r="G2782" s="2" t="s">
        <v>10</v>
      </c>
    </row>
    <row r="2783" spans="1:9" x14ac:dyDescent="0.2">
      <c r="A2783" s="2" t="s">
        <v>3533</v>
      </c>
      <c r="B2783" s="2" t="s">
        <v>674</v>
      </c>
      <c r="C2783" s="2">
        <v>985.41470000000004</v>
      </c>
      <c r="D2783" s="2">
        <f>HYPERLINK("http://mcb-m6.bioreg.kyushu-u.ac.jp/M3/20110404/F50761/2778/1", 76.89)</f>
        <v>76.89</v>
      </c>
      <c r="E2783" s="2">
        <v>63.82</v>
      </c>
      <c r="F2783" s="2">
        <v>2</v>
      </c>
      <c r="G2783" s="2" t="s">
        <v>10</v>
      </c>
    </row>
    <row r="2784" spans="1:9" x14ac:dyDescent="0.2">
      <c r="A2784" s="2" t="s">
        <v>3533</v>
      </c>
      <c r="B2784" s="2" t="s">
        <v>1459</v>
      </c>
      <c r="C2784" s="2">
        <v>879.57619999999997</v>
      </c>
      <c r="D2784" s="2">
        <f>HYPERLINK("http://mcb-m6.bioreg.kyushu-u.ac.jp/M3/20110404/F50773/2335/1", 77.57)</f>
        <v>77.569999999999993</v>
      </c>
      <c r="E2784" s="2">
        <v>67.099999999999994</v>
      </c>
      <c r="F2784" s="2">
        <v>2</v>
      </c>
      <c r="G2784" s="2" t="s">
        <v>10</v>
      </c>
    </row>
    <row r="2785" spans="1:8" x14ac:dyDescent="0.2">
      <c r="A2785" s="2" t="s">
        <v>3533</v>
      </c>
      <c r="B2785" s="2" t="s">
        <v>808</v>
      </c>
      <c r="C2785" s="2">
        <v>815.39070000000004</v>
      </c>
      <c r="D2785" s="2">
        <f>HYPERLINK("http://mcb-m6.bioreg.kyushu-u.ac.jp/M3/20110404/F50774/2181/1", 78.15)</f>
        <v>78.150000000000006</v>
      </c>
      <c r="E2785" s="2">
        <v>50.49</v>
      </c>
      <c r="F2785" s="2">
        <v>2</v>
      </c>
      <c r="G2785" s="2" t="s">
        <v>10</v>
      </c>
    </row>
    <row r="2786" spans="1:8" x14ac:dyDescent="0.2">
      <c r="A2786" s="2" t="s">
        <v>3533</v>
      </c>
      <c r="B2786" s="2" t="s">
        <v>6409</v>
      </c>
      <c r="C2786" s="2">
        <v>1042.9059999999999</v>
      </c>
      <c r="D2786" s="2">
        <f>HYPERLINK("http://mcb-m6.bioreg.kyushu-u.ac.jp/M3/20110404/F50761/2940/1", 78.21)</f>
        <v>78.209999999999994</v>
      </c>
      <c r="E2786" s="2">
        <v>54.87</v>
      </c>
      <c r="F2786" s="2">
        <v>2</v>
      </c>
      <c r="G2786" s="2" t="s">
        <v>10</v>
      </c>
    </row>
    <row r="2787" spans="1:8" x14ac:dyDescent="0.2">
      <c r="A2787" s="2" t="s">
        <v>3533</v>
      </c>
      <c r="B2787" s="2" t="s">
        <v>1459</v>
      </c>
      <c r="C2787" s="2">
        <v>879.37819999999999</v>
      </c>
      <c r="D2787" s="2">
        <f>HYPERLINK("http://mcb-m6.bioreg.kyushu-u.ac.jp/M3/20110404/F50761/2388/1", 78.26)</f>
        <v>78.260000000000005</v>
      </c>
      <c r="E2787" s="2">
        <v>63.95</v>
      </c>
      <c r="F2787" s="2">
        <v>2</v>
      </c>
      <c r="G2787" s="2" t="s">
        <v>10</v>
      </c>
    </row>
    <row r="2788" spans="1:8" x14ac:dyDescent="0.2">
      <c r="A2788" s="2" t="s">
        <v>3533</v>
      </c>
      <c r="B2788" s="2" t="s">
        <v>808</v>
      </c>
      <c r="C2788" s="2">
        <v>815.45759999999996</v>
      </c>
      <c r="D2788" s="2">
        <f>HYPERLINK("http://mcb-m6.bioreg.kyushu-u.ac.jp/M3/20110404/F50768/2163/1", 79.71)</f>
        <v>79.709999999999994</v>
      </c>
      <c r="E2788" s="2">
        <v>55.44</v>
      </c>
      <c r="F2788" s="2">
        <v>2</v>
      </c>
      <c r="G2788" s="2" t="s">
        <v>10</v>
      </c>
    </row>
    <row r="2789" spans="1:8" x14ac:dyDescent="0.2">
      <c r="A2789" s="2" t="s">
        <v>3533</v>
      </c>
      <c r="B2789" s="2" t="s">
        <v>6409</v>
      </c>
      <c r="C2789" s="2">
        <v>1042.3599999999999</v>
      </c>
      <c r="D2789" s="2">
        <f>HYPERLINK("http://mcb-m6.bioreg.kyushu-u.ac.jp/M3/20110404/F50761/2935/1", 87.42)</f>
        <v>87.42</v>
      </c>
      <c r="E2789" s="2">
        <v>62.75</v>
      </c>
      <c r="F2789" s="2">
        <v>2</v>
      </c>
      <c r="G2789" s="2" t="s">
        <v>10</v>
      </c>
    </row>
    <row r="2790" spans="1:8" x14ac:dyDescent="0.2">
      <c r="A2790" s="2" t="s">
        <v>3533</v>
      </c>
      <c r="B2790" s="2" t="s">
        <v>6409</v>
      </c>
      <c r="C2790" s="2">
        <v>1050.309</v>
      </c>
      <c r="D2790" s="2">
        <f>HYPERLINK("http://mcb-m6.bioreg.kyushu-u.ac.jp/M3/20110404/F50761/2957/1", 88.19)</f>
        <v>88.19</v>
      </c>
      <c r="E2790" s="2">
        <v>74.010000000000005</v>
      </c>
      <c r="F2790" s="2">
        <v>2</v>
      </c>
      <c r="G2790" s="2" t="s">
        <v>10</v>
      </c>
      <c r="H2790" s="2" t="s">
        <v>4938</v>
      </c>
    </row>
    <row r="2791" spans="1:8" x14ac:dyDescent="0.2">
      <c r="A2791" s="2" t="s">
        <v>3533</v>
      </c>
      <c r="B2791" s="2" t="s">
        <v>1459</v>
      </c>
      <c r="C2791" s="2">
        <v>879.40970000000004</v>
      </c>
      <c r="D2791" s="2">
        <f>HYPERLINK("http://mcb-m6.bioreg.kyushu-u.ac.jp/M3/20110404/F50769/2316/1", 91.32)</f>
        <v>91.32</v>
      </c>
      <c r="E2791" s="2">
        <v>73.680000000000007</v>
      </c>
      <c r="F2791" s="2">
        <v>2</v>
      </c>
      <c r="G2791" s="2" t="s">
        <v>10</v>
      </c>
    </row>
    <row r="2792" spans="1:8" x14ac:dyDescent="0.2">
      <c r="A2792" s="2" t="s">
        <v>3533</v>
      </c>
      <c r="B2792" s="2" t="s">
        <v>1459</v>
      </c>
      <c r="C2792" s="2">
        <v>879.59010000000001</v>
      </c>
      <c r="D2792" s="2">
        <f>HYPERLINK("http://mcb-m6.bioreg.kyushu-u.ac.jp/M3/20110404/F50771/2437/1", 95.27)</f>
        <v>95.27</v>
      </c>
      <c r="E2792" s="2">
        <v>76.61</v>
      </c>
      <c r="F2792" s="2">
        <v>2</v>
      </c>
      <c r="G2792" s="2" t="s">
        <v>10</v>
      </c>
    </row>
    <row r="2793" spans="1:8" x14ac:dyDescent="0.2">
      <c r="A2793" s="2" t="s">
        <v>3533</v>
      </c>
      <c r="B2793" s="2" t="s">
        <v>6409</v>
      </c>
      <c r="C2793" s="2">
        <v>1042.3979999999999</v>
      </c>
      <c r="D2793" s="2">
        <f>HYPERLINK("http://mcb-m6.bioreg.kyushu-u.ac.jp/M3/20110404/F50768/2840/1", 96.29)</f>
        <v>96.29</v>
      </c>
      <c r="E2793" s="2">
        <v>76.900000000000006</v>
      </c>
      <c r="F2793" s="2">
        <v>2</v>
      </c>
      <c r="G2793" s="2" t="s">
        <v>10</v>
      </c>
    </row>
    <row r="2794" spans="1:8" x14ac:dyDescent="0.2">
      <c r="A2794" s="2" t="s">
        <v>3533</v>
      </c>
      <c r="B2794" s="2" t="s">
        <v>1981</v>
      </c>
      <c r="C2794" s="2">
        <v>773.81870000000004</v>
      </c>
      <c r="D2794" s="2">
        <f>HYPERLINK("http://mcb-m6.bioreg.kyushu-u.ac.jp/M3/20110404/F50768/2013/1", 97.63)</f>
        <v>97.63</v>
      </c>
      <c r="E2794" s="2">
        <v>74.47</v>
      </c>
      <c r="F2794" s="2">
        <v>2</v>
      </c>
      <c r="G2794" s="2" t="s">
        <v>10</v>
      </c>
    </row>
    <row r="2795" spans="1:8" x14ac:dyDescent="0.2">
      <c r="A2795" s="2" t="s">
        <v>3533</v>
      </c>
      <c r="B2795" s="2" t="s">
        <v>1459</v>
      </c>
      <c r="C2795" s="2">
        <v>879.35419999999999</v>
      </c>
      <c r="D2795" s="2">
        <f>HYPERLINK("http://mcb-m6.bioreg.kyushu-u.ac.jp/M3/20110404/F50768/2359/1", 104.59)</f>
        <v>104.59</v>
      </c>
      <c r="E2795" s="2">
        <v>91.25</v>
      </c>
      <c r="F2795" s="2">
        <v>2</v>
      </c>
      <c r="G2795" s="2" t="s">
        <v>10</v>
      </c>
    </row>
    <row r="2796" spans="1:8" x14ac:dyDescent="0.2">
      <c r="A2796" s="2" t="s">
        <v>3533</v>
      </c>
      <c r="B2796" s="2" t="s">
        <v>1999</v>
      </c>
      <c r="C2796" s="2">
        <v>503.2801</v>
      </c>
      <c r="D2796" s="2">
        <f>HYPERLINK("http://mcb-m6.bioreg.kyushu-u.ac.jp/M3/20110421/F51058/788/1", 37.17)</f>
        <v>37.17</v>
      </c>
      <c r="E2796" s="2">
        <v>14.17</v>
      </c>
      <c r="F2796" s="2">
        <v>2</v>
      </c>
      <c r="G2796" s="2" t="s">
        <v>11</v>
      </c>
    </row>
    <row r="2797" spans="1:8" x14ac:dyDescent="0.2">
      <c r="A2797" s="2" t="s">
        <v>3533</v>
      </c>
      <c r="B2797" s="2" t="s">
        <v>1999</v>
      </c>
      <c r="C2797" s="2">
        <v>502.93560000000002</v>
      </c>
      <c r="D2797" s="2">
        <f>HYPERLINK("http://mcb-m6.bioreg.kyushu-u.ac.jp/M3/20110421/F51034/922/1", 37.63)</f>
        <v>37.630000000000003</v>
      </c>
      <c r="E2797" s="2">
        <v>11.74</v>
      </c>
      <c r="F2797" s="2">
        <v>2</v>
      </c>
      <c r="G2797" s="2" t="s">
        <v>11</v>
      </c>
    </row>
    <row r="2798" spans="1:8" x14ac:dyDescent="0.2">
      <c r="A2798" s="2" t="s">
        <v>3533</v>
      </c>
      <c r="B2798" s="2" t="s">
        <v>1999</v>
      </c>
      <c r="C2798" s="2">
        <v>502.84609999999998</v>
      </c>
      <c r="D2798" s="2">
        <f>HYPERLINK("http://mcb-m6.bioreg.kyushu-u.ac.jp/M3/20110421/F51034/918/1", 43.46)</f>
        <v>43.46</v>
      </c>
      <c r="E2798" s="2">
        <v>22.1</v>
      </c>
      <c r="F2798" s="2">
        <v>2</v>
      </c>
      <c r="G2798" s="2" t="s">
        <v>11</v>
      </c>
    </row>
    <row r="2799" spans="1:8" x14ac:dyDescent="0.2">
      <c r="A2799" s="2" t="s">
        <v>3533</v>
      </c>
      <c r="B2799" s="2" t="s">
        <v>1913</v>
      </c>
      <c r="C2799" s="2">
        <v>815.38120000000004</v>
      </c>
      <c r="D2799" s="2">
        <f>HYPERLINK("http://mcb-m6.bioreg.kyushu-u.ac.jp/M3/20110421/F51035/3622/1", 45.91)</f>
        <v>45.91</v>
      </c>
      <c r="E2799" s="2">
        <v>24.08</v>
      </c>
      <c r="F2799" s="2">
        <v>3</v>
      </c>
      <c r="G2799" s="2" t="s">
        <v>11</v>
      </c>
    </row>
    <row r="2800" spans="1:8" x14ac:dyDescent="0.2">
      <c r="A2800" s="2" t="s">
        <v>3533</v>
      </c>
      <c r="B2800" s="2" t="s">
        <v>1913</v>
      </c>
      <c r="C2800" s="2">
        <v>815.23689999999999</v>
      </c>
      <c r="D2800" s="2">
        <f>HYPERLINK("http://mcb-m6.bioreg.kyushu-u.ac.jp/M3/20110421/F51034/3531/1", 47.58)</f>
        <v>47.58</v>
      </c>
      <c r="E2800" s="2">
        <v>36.78</v>
      </c>
      <c r="F2800" s="2">
        <v>3</v>
      </c>
      <c r="G2800" s="2" t="s">
        <v>11</v>
      </c>
    </row>
    <row r="2801" spans="1:7" x14ac:dyDescent="0.2">
      <c r="A2801" s="2" t="s">
        <v>3533</v>
      </c>
      <c r="B2801" s="2" t="s">
        <v>674</v>
      </c>
      <c r="C2801" s="2">
        <v>657.3732</v>
      </c>
      <c r="D2801" s="2">
        <f>HYPERLINK("http://mcb-m6.bioreg.kyushu-u.ac.jp/M3/20110421/F51037/3331/1", 57.35)</f>
        <v>57.35</v>
      </c>
      <c r="E2801" s="2">
        <v>45.23</v>
      </c>
      <c r="F2801" s="2">
        <v>3</v>
      </c>
      <c r="G2801" s="2" t="s">
        <v>11</v>
      </c>
    </row>
    <row r="2802" spans="1:7" x14ac:dyDescent="0.2">
      <c r="A2802" s="2" t="s">
        <v>3533</v>
      </c>
      <c r="B2802" s="2" t="s">
        <v>808</v>
      </c>
      <c r="C2802" s="2">
        <v>543.91579999999999</v>
      </c>
      <c r="D2802" s="2">
        <f>HYPERLINK("http://mcb-m6.bioreg.kyushu-u.ac.jp/M3/20110421/F51034/2394/1", 60.75)</f>
        <v>60.75</v>
      </c>
      <c r="E2802" s="2">
        <v>26.43</v>
      </c>
      <c r="F2802" s="2">
        <v>3</v>
      </c>
      <c r="G2802" s="2" t="s">
        <v>11</v>
      </c>
    </row>
    <row r="2803" spans="1:7" x14ac:dyDescent="0.2">
      <c r="A2803" s="2" t="s">
        <v>3533</v>
      </c>
      <c r="B2803" s="2" t="s">
        <v>1981</v>
      </c>
      <c r="C2803" s="2">
        <v>773.83370000000002</v>
      </c>
      <c r="D2803" s="2">
        <f>HYPERLINK("http://mcb-m6.bioreg.kyushu-u.ac.jp/M3/20110421/F51034/2211/1", 61.17)</f>
        <v>61.17</v>
      </c>
      <c r="E2803" s="2">
        <v>39.590000000000003</v>
      </c>
      <c r="F2803" s="2">
        <v>2</v>
      </c>
      <c r="G2803" s="2" t="s">
        <v>11</v>
      </c>
    </row>
    <row r="2804" spans="1:7" x14ac:dyDescent="0.2">
      <c r="A2804" s="2" t="s">
        <v>3533</v>
      </c>
      <c r="B2804" s="2" t="s">
        <v>808</v>
      </c>
      <c r="C2804" s="2">
        <v>815.95759999999996</v>
      </c>
      <c r="D2804" s="2">
        <f>HYPERLINK("http://mcb-m6.bioreg.kyushu-u.ac.jp/M3/20110421/F51058/2238/1", 67.8)</f>
        <v>67.8</v>
      </c>
      <c r="E2804" s="2">
        <v>43.16</v>
      </c>
      <c r="F2804" s="2">
        <v>2</v>
      </c>
      <c r="G2804" s="2" t="s">
        <v>11</v>
      </c>
    </row>
    <row r="2805" spans="1:7" x14ac:dyDescent="0.2">
      <c r="A2805" s="2" t="s">
        <v>3533</v>
      </c>
      <c r="B2805" s="2" t="s">
        <v>1459</v>
      </c>
      <c r="C2805" s="2">
        <v>879.47609999999997</v>
      </c>
      <c r="D2805" s="2">
        <f>HYPERLINK("http://mcb-m6.bioreg.kyushu-u.ac.jp/M3/20110421/F51035/2642/1", 69.43)</f>
        <v>69.430000000000007</v>
      </c>
      <c r="E2805" s="2">
        <v>59.36</v>
      </c>
      <c r="F2805" s="2">
        <v>2</v>
      </c>
      <c r="G2805" s="2" t="s">
        <v>11</v>
      </c>
    </row>
    <row r="2806" spans="1:7" x14ac:dyDescent="0.2">
      <c r="A2806" s="2" t="s">
        <v>3533</v>
      </c>
      <c r="B2806" s="2" t="s">
        <v>808</v>
      </c>
      <c r="C2806" s="2">
        <v>815.38120000000004</v>
      </c>
      <c r="D2806" s="2">
        <f>HYPERLINK("http://mcb-m6.bioreg.kyushu-u.ac.jp/M3/20110421/F51035/2364/1", 82.85)</f>
        <v>82.85</v>
      </c>
      <c r="E2806" s="2">
        <v>51.83</v>
      </c>
      <c r="F2806" s="2">
        <v>2</v>
      </c>
      <c r="G2806" s="2" t="s">
        <v>11</v>
      </c>
    </row>
    <row r="2807" spans="1:7" x14ac:dyDescent="0.2">
      <c r="A2807" s="2" t="s">
        <v>3533</v>
      </c>
      <c r="B2807" s="2" t="s">
        <v>808</v>
      </c>
      <c r="C2807" s="2">
        <v>815.23720000000003</v>
      </c>
      <c r="D2807" s="2">
        <f>HYPERLINK("http://mcb-m6.bioreg.kyushu-u.ac.jp/M3/20110421/F51034/2393/1", 85.9)</f>
        <v>85.9</v>
      </c>
      <c r="E2807" s="2">
        <v>59.64</v>
      </c>
      <c r="F2807" s="2">
        <v>2</v>
      </c>
      <c r="G2807" s="2" t="s">
        <v>11</v>
      </c>
    </row>
    <row r="2808" spans="1:7" x14ac:dyDescent="0.2">
      <c r="A2808" s="2" t="s">
        <v>3533</v>
      </c>
      <c r="B2808" s="2" t="s">
        <v>808</v>
      </c>
      <c r="C2808" s="2">
        <v>815.75210000000004</v>
      </c>
      <c r="D2808" s="2">
        <f>HYPERLINK("http://mcb-m6.bioreg.kyushu-u.ac.jp/M3/20110421/F51034/2395/1", 88.16)</f>
        <v>88.16</v>
      </c>
      <c r="E2808" s="2">
        <v>57.28</v>
      </c>
      <c r="F2808" s="2">
        <v>2</v>
      </c>
      <c r="G2808" s="2" t="s">
        <v>11</v>
      </c>
    </row>
    <row r="2809" spans="1:7" x14ac:dyDescent="0.2">
      <c r="A2809" s="2" t="s">
        <v>3533</v>
      </c>
      <c r="B2809" s="2" t="s">
        <v>808</v>
      </c>
      <c r="C2809" s="2">
        <v>815.92970000000003</v>
      </c>
      <c r="D2809" s="2">
        <f>HYPERLINK("http://mcb-m6.bioreg.kyushu-u.ac.jp/M3/20110421/F51035/2367/1", 95.07)</f>
        <v>95.07</v>
      </c>
      <c r="E2809" s="2">
        <v>58.83</v>
      </c>
      <c r="F2809" s="2">
        <v>2</v>
      </c>
      <c r="G2809" s="2" t="s">
        <v>11</v>
      </c>
    </row>
    <row r="2810" spans="1:7" x14ac:dyDescent="0.2">
      <c r="A2810" s="2" t="s">
        <v>3533</v>
      </c>
      <c r="B2810" s="2" t="s">
        <v>808</v>
      </c>
      <c r="C2810" s="2">
        <v>815.81269999999995</v>
      </c>
      <c r="D2810" s="2">
        <f>HYPERLINK("http://mcb-m6.bioreg.kyushu-u.ac.jp/M3/20110421/F51037/2485/1", 98.29)</f>
        <v>98.29</v>
      </c>
      <c r="E2810" s="2">
        <v>64.260000000000005</v>
      </c>
      <c r="F2810" s="2">
        <v>2</v>
      </c>
      <c r="G2810" s="2" t="s">
        <v>11</v>
      </c>
    </row>
    <row r="2811" spans="1:7" x14ac:dyDescent="0.2">
      <c r="A2811" s="2" t="s">
        <v>3533</v>
      </c>
      <c r="B2811" s="2" t="s">
        <v>1981</v>
      </c>
      <c r="C2811" s="2">
        <v>773.90869999999995</v>
      </c>
      <c r="D2811" s="2">
        <f>HYPERLINK("http://mcb-m6.bioreg.kyushu-u.ac.jp/M3/20110421/F51035/2151/1", 105.41)</f>
        <v>105.41</v>
      </c>
      <c r="E2811" s="2">
        <v>84.05</v>
      </c>
      <c r="F2811" s="2">
        <v>2</v>
      </c>
      <c r="G2811" s="2" t="s">
        <v>11</v>
      </c>
    </row>
    <row r="2812" spans="1:7" x14ac:dyDescent="0.2">
      <c r="A2812" s="2" t="s">
        <v>3533</v>
      </c>
      <c r="B2812" s="2" t="s">
        <v>1459</v>
      </c>
      <c r="C2812" s="2">
        <v>879.40560000000005</v>
      </c>
      <c r="D2812" s="2">
        <f>HYPERLINK("http://mcb-m6.bioreg.kyushu-u.ac.jp/M3/20110421/F51042/2740/1", 108.8)</f>
        <v>108.8</v>
      </c>
      <c r="E2812" s="2">
        <v>92.81</v>
      </c>
      <c r="F2812" s="2">
        <v>2</v>
      </c>
      <c r="G2812" s="2" t="s">
        <v>11</v>
      </c>
    </row>
    <row r="2813" spans="1:7" x14ac:dyDescent="0.2">
      <c r="A2813" s="2" t="s">
        <v>3533</v>
      </c>
      <c r="B2813" s="2" t="s">
        <v>1913</v>
      </c>
      <c r="C2813" s="2">
        <v>815.38810000000001</v>
      </c>
      <c r="D2813" s="2">
        <f>HYPERLINK("http://mcb-m6.bioreg.kyushu-u.ac.jp/M3/20110421/F51043/3465/1", 40.03)</f>
        <v>40.03</v>
      </c>
      <c r="E2813" s="2">
        <v>23.57</v>
      </c>
      <c r="F2813" s="2">
        <v>3</v>
      </c>
      <c r="G2813" s="2" t="s">
        <v>12</v>
      </c>
    </row>
    <row r="2814" spans="1:7" x14ac:dyDescent="0.2">
      <c r="A2814" s="2" t="s">
        <v>3533</v>
      </c>
      <c r="B2814" s="2" t="s">
        <v>1999</v>
      </c>
      <c r="C2814" s="2">
        <v>503.03460000000001</v>
      </c>
      <c r="D2814" s="2">
        <f>HYPERLINK("http://mcb-m6.bioreg.kyushu-u.ac.jp/M3/20110421/F51044/909/1", 44.94)</f>
        <v>44.94</v>
      </c>
      <c r="E2814" s="2">
        <v>24.73</v>
      </c>
      <c r="F2814" s="2">
        <v>2</v>
      </c>
      <c r="G2814" s="2" t="s">
        <v>12</v>
      </c>
    </row>
    <row r="2815" spans="1:7" x14ac:dyDescent="0.2">
      <c r="A2815" s="2" t="s">
        <v>3533</v>
      </c>
      <c r="B2815" s="2" t="s">
        <v>1999</v>
      </c>
      <c r="C2815" s="2">
        <v>502.83960000000002</v>
      </c>
      <c r="D2815" s="2">
        <f>HYPERLINK("http://mcb-m6.bioreg.kyushu-u.ac.jp/M3/20110421/F51044/904/1", 48.27)</f>
        <v>48.27</v>
      </c>
      <c r="E2815" s="2">
        <v>18.690000000000001</v>
      </c>
      <c r="F2815" s="2">
        <v>2</v>
      </c>
      <c r="G2815" s="2" t="s">
        <v>12</v>
      </c>
    </row>
    <row r="2816" spans="1:7" x14ac:dyDescent="0.2">
      <c r="A2816" s="2" t="s">
        <v>3533</v>
      </c>
      <c r="B2816" s="2" t="s">
        <v>1981</v>
      </c>
      <c r="C2816" s="2">
        <v>773.88819999999998</v>
      </c>
      <c r="D2816" s="2">
        <f>HYPERLINK("http://mcb-m6.bioreg.kyushu-u.ac.jp/M3/20110421/F51043/2235/1", 50.23)</f>
        <v>50.23</v>
      </c>
      <c r="E2816" s="2">
        <v>33.75</v>
      </c>
      <c r="F2816" s="2">
        <v>2</v>
      </c>
      <c r="G2816" s="2" t="s">
        <v>12</v>
      </c>
    </row>
    <row r="2817" spans="1:7" x14ac:dyDescent="0.2">
      <c r="A2817" s="2" t="s">
        <v>3533</v>
      </c>
      <c r="B2817" s="2" t="s">
        <v>808</v>
      </c>
      <c r="C2817" s="2">
        <v>543.93380000000002</v>
      </c>
      <c r="D2817" s="2">
        <f>HYPERLINK("http://mcb-m6.bioreg.kyushu-u.ac.jp/M3/20110421/F51044/2404/1", 52.66)</f>
        <v>52.66</v>
      </c>
      <c r="E2817" s="2">
        <v>22.27</v>
      </c>
      <c r="F2817" s="2">
        <v>3</v>
      </c>
      <c r="G2817" s="2" t="s">
        <v>12</v>
      </c>
    </row>
    <row r="2818" spans="1:7" x14ac:dyDescent="0.2">
      <c r="A2818" s="2" t="s">
        <v>3533</v>
      </c>
      <c r="B2818" s="2" t="s">
        <v>1999</v>
      </c>
      <c r="C2818" s="2">
        <v>502.85410000000002</v>
      </c>
      <c r="D2818" s="2">
        <f>HYPERLINK("http://mcb-m6.bioreg.kyushu-u.ac.jp/M3/20110421/F51045/1145/1", 55.94)</f>
        <v>55.94</v>
      </c>
      <c r="E2818" s="2">
        <v>23.01</v>
      </c>
      <c r="F2818" s="2">
        <v>2</v>
      </c>
      <c r="G2818" s="2" t="s">
        <v>12</v>
      </c>
    </row>
    <row r="2819" spans="1:7" x14ac:dyDescent="0.2">
      <c r="A2819" s="2" t="s">
        <v>3533</v>
      </c>
      <c r="B2819" s="2" t="s">
        <v>808</v>
      </c>
      <c r="C2819" s="2">
        <v>815.38819999999998</v>
      </c>
      <c r="D2819" s="2">
        <f>HYPERLINK("http://mcb-m6.bioreg.kyushu-u.ac.jp/M3/20110421/F51043/2425/1", 57.73)</f>
        <v>57.73</v>
      </c>
      <c r="E2819" s="2">
        <v>22.61</v>
      </c>
      <c r="F2819" s="2">
        <v>2</v>
      </c>
      <c r="G2819" s="2" t="s">
        <v>12</v>
      </c>
    </row>
    <row r="2820" spans="1:7" x14ac:dyDescent="0.2">
      <c r="A2820" s="2" t="s">
        <v>3533</v>
      </c>
      <c r="B2820" s="2" t="s">
        <v>1913</v>
      </c>
      <c r="C2820" s="2">
        <v>815.34720000000004</v>
      </c>
      <c r="D2820" s="2">
        <f>HYPERLINK("http://mcb-m6.bioreg.kyushu-u.ac.jp/M3/20110421/F51045/3395/1", 60.29)</f>
        <v>60.29</v>
      </c>
      <c r="E2820" s="2">
        <v>47.54</v>
      </c>
      <c r="F2820" s="2">
        <v>3</v>
      </c>
      <c r="G2820" s="2" t="s">
        <v>12</v>
      </c>
    </row>
    <row r="2821" spans="1:7" x14ac:dyDescent="0.2">
      <c r="A2821" s="2" t="s">
        <v>3533</v>
      </c>
      <c r="B2821" s="2" t="s">
        <v>1913</v>
      </c>
      <c r="C2821" s="2">
        <v>815.33019999999999</v>
      </c>
      <c r="D2821" s="2">
        <f>HYPERLINK("http://mcb-m6.bioreg.kyushu-u.ac.jp/M3/20110421/F51044/3514/1", 61.53)</f>
        <v>61.53</v>
      </c>
      <c r="E2821" s="2">
        <v>48.44</v>
      </c>
      <c r="F2821" s="2">
        <v>3</v>
      </c>
      <c r="G2821" s="2" t="s">
        <v>12</v>
      </c>
    </row>
    <row r="2822" spans="1:7" x14ac:dyDescent="0.2">
      <c r="A2822" s="2" t="s">
        <v>3533</v>
      </c>
      <c r="B2822" s="2" t="s">
        <v>1981</v>
      </c>
      <c r="C2822" s="2">
        <v>774.46370000000002</v>
      </c>
      <c r="D2822" s="2">
        <f>HYPERLINK("http://mcb-m6.bioreg.kyushu-u.ac.jp/M3/20110421/F51043/2238/1", 70.14)</f>
        <v>70.14</v>
      </c>
      <c r="E2822" s="2">
        <v>46.44</v>
      </c>
      <c r="F2822" s="2">
        <v>2</v>
      </c>
      <c r="G2822" s="2" t="s">
        <v>12</v>
      </c>
    </row>
    <row r="2823" spans="1:7" x14ac:dyDescent="0.2">
      <c r="A2823" s="2" t="s">
        <v>3533</v>
      </c>
      <c r="B2823" s="2" t="s">
        <v>808</v>
      </c>
      <c r="C2823" s="2">
        <v>815.95870000000002</v>
      </c>
      <c r="D2823" s="2">
        <f>HYPERLINK("http://mcb-m6.bioreg.kyushu-u.ac.jp/M3/20110421/F51048/2568/1", 91.61)</f>
        <v>91.61</v>
      </c>
      <c r="E2823" s="2">
        <v>60.01</v>
      </c>
      <c r="F2823" s="2">
        <v>2</v>
      </c>
      <c r="G2823" s="2" t="s">
        <v>12</v>
      </c>
    </row>
    <row r="2824" spans="1:7" x14ac:dyDescent="0.2">
      <c r="A2824" s="2" t="s">
        <v>3533</v>
      </c>
      <c r="B2824" s="2" t="s">
        <v>808</v>
      </c>
      <c r="C2824" s="2">
        <v>815.91060000000004</v>
      </c>
      <c r="D2824" s="2">
        <f>HYPERLINK("http://mcb-m6.bioreg.kyushu-u.ac.jp/M3/20110421/F51043/2427/1", 91.85)</f>
        <v>91.85</v>
      </c>
      <c r="E2824" s="2">
        <v>54.2</v>
      </c>
      <c r="F2824" s="2">
        <v>2</v>
      </c>
      <c r="G2824" s="2" t="s">
        <v>12</v>
      </c>
    </row>
    <row r="2825" spans="1:7" x14ac:dyDescent="0.2">
      <c r="A2825" s="2" t="s">
        <v>3533</v>
      </c>
      <c r="B2825" s="2" t="s">
        <v>1459</v>
      </c>
      <c r="C2825" s="2">
        <v>879.38760000000002</v>
      </c>
      <c r="D2825" s="2">
        <f>HYPERLINK("http://mcb-m6.bioreg.kyushu-u.ac.jp/M3/20110421/F51044/2638/1", 93.73)</f>
        <v>93.73</v>
      </c>
      <c r="E2825" s="2">
        <v>72.61</v>
      </c>
      <c r="F2825" s="2">
        <v>2</v>
      </c>
      <c r="G2825" s="2" t="s">
        <v>12</v>
      </c>
    </row>
    <row r="2826" spans="1:7" x14ac:dyDescent="0.2">
      <c r="A2826" s="2" t="s">
        <v>3533</v>
      </c>
      <c r="B2826" s="2" t="s">
        <v>1981</v>
      </c>
      <c r="C2826" s="2">
        <v>773.83320000000003</v>
      </c>
      <c r="D2826" s="2">
        <f>HYPERLINK("http://mcb-m6.bioreg.kyushu-u.ac.jp/M3/20110421/F51044/2227/1", 93.86)</f>
        <v>93.86</v>
      </c>
      <c r="E2826" s="2">
        <v>69.66</v>
      </c>
      <c r="F2826" s="2">
        <v>2</v>
      </c>
      <c r="G2826" s="2" t="s">
        <v>12</v>
      </c>
    </row>
    <row r="2827" spans="1:7" x14ac:dyDescent="0.2">
      <c r="A2827" s="2" t="s">
        <v>3533</v>
      </c>
      <c r="B2827" s="2" t="s">
        <v>808</v>
      </c>
      <c r="C2827" s="2">
        <v>815.33010000000002</v>
      </c>
      <c r="D2827" s="2">
        <f>HYPERLINK("http://mcb-m6.bioreg.kyushu-u.ac.jp/M3/20110421/F51044/2403/1", 98.94)</f>
        <v>98.94</v>
      </c>
      <c r="E2827" s="2">
        <v>67.06</v>
      </c>
      <c r="F2827" s="2">
        <v>2</v>
      </c>
      <c r="G2827" s="2" t="s">
        <v>12</v>
      </c>
    </row>
    <row r="2828" spans="1:7" x14ac:dyDescent="0.2">
      <c r="A2828" s="2" t="s">
        <v>3533</v>
      </c>
      <c r="B2828" s="2" t="s">
        <v>808</v>
      </c>
      <c r="C2828" s="2">
        <v>815.98720000000003</v>
      </c>
      <c r="D2828" s="2">
        <f>HYPERLINK("http://mcb-m6.bioreg.kyushu-u.ac.jp/M3/20110421/F51047/2485/1", 98.97)</f>
        <v>98.97</v>
      </c>
      <c r="E2828" s="2">
        <v>69.92</v>
      </c>
      <c r="F2828" s="2">
        <v>2</v>
      </c>
      <c r="G2828" s="2" t="s">
        <v>12</v>
      </c>
    </row>
    <row r="2829" spans="1:7" x14ac:dyDescent="0.2">
      <c r="A2829" s="2" t="s">
        <v>3533</v>
      </c>
      <c r="B2829" s="2" t="s">
        <v>1459</v>
      </c>
      <c r="C2829" s="2">
        <v>879.43960000000004</v>
      </c>
      <c r="D2829" s="2">
        <f>HYPERLINK("http://mcb-m6.bioreg.kyushu-u.ac.jp/M3/20110421/F51043/2662/1", 102.21)</f>
        <v>102.21</v>
      </c>
      <c r="E2829" s="2">
        <v>84.82</v>
      </c>
      <c r="F2829" s="2">
        <v>2</v>
      </c>
      <c r="G2829" s="2" t="s">
        <v>12</v>
      </c>
    </row>
    <row r="2830" spans="1:7" x14ac:dyDescent="0.2">
      <c r="A2830" s="2" t="s">
        <v>3533</v>
      </c>
      <c r="B2830" s="2" t="s">
        <v>808</v>
      </c>
      <c r="C2830" s="2">
        <v>815.34720000000004</v>
      </c>
      <c r="D2830" s="2">
        <f>HYPERLINK("http://mcb-m6.bioreg.kyushu-u.ac.jp/M3/20110421/F51045/2462/1", 103.27)</f>
        <v>103.27</v>
      </c>
      <c r="E2830" s="2">
        <v>75.650000000000006</v>
      </c>
      <c r="F2830" s="2">
        <v>2</v>
      </c>
      <c r="G2830" s="2" t="s">
        <v>12</v>
      </c>
    </row>
    <row r="2831" spans="1:7" x14ac:dyDescent="0.2">
      <c r="A2831" s="2" t="s">
        <v>3533</v>
      </c>
      <c r="B2831" s="2" t="s">
        <v>1913</v>
      </c>
      <c r="C2831" s="2">
        <v>815.39319999999998</v>
      </c>
      <c r="D2831" s="2">
        <f>HYPERLINK("http://mcb-m6.bioreg.kyushu-u.ac.jp/M3/20110427/F51114/3763/1", 36.78)</f>
        <v>36.78</v>
      </c>
      <c r="E2831" s="2">
        <v>24.19</v>
      </c>
      <c r="F2831" s="2">
        <v>3</v>
      </c>
      <c r="G2831" s="2" t="s">
        <v>13</v>
      </c>
    </row>
    <row r="2832" spans="1:7" x14ac:dyDescent="0.2">
      <c r="A2832" s="2" t="s">
        <v>3533</v>
      </c>
      <c r="B2832" s="2" t="s">
        <v>1922</v>
      </c>
      <c r="C2832" s="2">
        <v>538.10170000000005</v>
      </c>
      <c r="D2832" s="2">
        <f>HYPERLINK("http://mcb-m6.bioreg.kyushu-u.ac.jp/M3/20110427/F51114/1108/1", 39.09)</f>
        <v>39.090000000000003</v>
      </c>
      <c r="E2832" s="2">
        <v>10.19</v>
      </c>
      <c r="F2832" s="2">
        <v>2</v>
      </c>
      <c r="G2832" s="2" t="s">
        <v>13</v>
      </c>
    </row>
    <row r="2833" spans="1:7" x14ac:dyDescent="0.2">
      <c r="A2833" s="2" t="s">
        <v>3533</v>
      </c>
      <c r="B2833" s="2" t="s">
        <v>1922</v>
      </c>
      <c r="C2833" s="2">
        <v>538.12959999999998</v>
      </c>
      <c r="D2833" s="2">
        <f>HYPERLINK("http://mcb-m6.bioreg.kyushu-u.ac.jp/M3/20110428/F51127/926/1", 44.28)</f>
        <v>44.28</v>
      </c>
      <c r="E2833" s="2">
        <v>12.48</v>
      </c>
      <c r="F2833" s="2">
        <v>2</v>
      </c>
      <c r="G2833" s="2" t="s">
        <v>13</v>
      </c>
    </row>
    <row r="2834" spans="1:7" x14ac:dyDescent="0.2">
      <c r="A2834" s="2" t="s">
        <v>3533</v>
      </c>
      <c r="B2834" s="2" t="s">
        <v>610</v>
      </c>
      <c r="C2834" s="2">
        <v>493.25310000000002</v>
      </c>
      <c r="D2834" s="2">
        <f>HYPERLINK("http://mcb-m6.bioreg.kyushu-u.ac.jp/M3/20110427/F51114/886/1", 50.99)</f>
        <v>50.99</v>
      </c>
      <c r="E2834" s="2">
        <v>15.2</v>
      </c>
      <c r="F2834" s="2">
        <v>2</v>
      </c>
      <c r="G2834" s="2" t="s">
        <v>13</v>
      </c>
    </row>
    <row r="2835" spans="1:7" x14ac:dyDescent="0.2">
      <c r="A2835" s="2" t="s">
        <v>3533</v>
      </c>
      <c r="B2835" s="2" t="s">
        <v>674</v>
      </c>
      <c r="C2835" s="2">
        <v>657.16279999999995</v>
      </c>
      <c r="D2835" s="2">
        <f>HYPERLINK("http://mcb-m6.bioreg.kyushu-u.ac.jp/M3/20110428/F51127/3136/1", 54.64)</f>
        <v>54.64</v>
      </c>
      <c r="E2835" s="2">
        <v>33.729999999999997</v>
      </c>
      <c r="F2835" s="2">
        <v>3</v>
      </c>
      <c r="G2835" s="2" t="s">
        <v>13</v>
      </c>
    </row>
    <row r="2836" spans="1:7" x14ac:dyDescent="0.2">
      <c r="A2836" s="2" t="s">
        <v>3533</v>
      </c>
      <c r="B2836" s="2" t="s">
        <v>808</v>
      </c>
      <c r="C2836" s="2">
        <v>815.39319999999998</v>
      </c>
      <c r="D2836" s="2">
        <f>HYPERLINK("http://mcb-m6.bioreg.kyushu-u.ac.jp/M3/20110427/F51114/2469/1", 58.88)</f>
        <v>58.88</v>
      </c>
      <c r="E2836" s="2">
        <v>32.96</v>
      </c>
      <c r="F2836" s="2">
        <v>2</v>
      </c>
      <c r="G2836" s="2" t="s">
        <v>13</v>
      </c>
    </row>
    <row r="2837" spans="1:7" x14ac:dyDescent="0.2">
      <c r="A2837" s="2" t="s">
        <v>3533</v>
      </c>
      <c r="B2837" s="2" t="s">
        <v>808</v>
      </c>
      <c r="C2837" s="2">
        <v>544.11149999999998</v>
      </c>
      <c r="D2837" s="2">
        <f>HYPERLINK("http://mcb-m6.bioreg.kyushu-u.ac.jp/M3/20110427/F51114/2472/1", 61.78)</f>
        <v>61.78</v>
      </c>
      <c r="E2837" s="2">
        <v>14.66</v>
      </c>
      <c r="F2837" s="2">
        <v>3</v>
      </c>
      <c r="G2837" s="2" t="s">
        <v>13</v>
      </c>
    </row>
    <row r="2838" spans="1:7" x14ac:dyDescent="0.2">
      <c r="A2838" s="2" t="s">
        <v>3533</v>
      </c>
      <c r="B2838" s="2" t="s">
        <v>808</v>
      </c>
      <c r="C2838" s="2">
        <v>1629.6369999999999</v>
      </c>
      <c r="D2838" s="2">
        <f>HYPERLINK("http://mcb-m6.bioreg.kyushu-u.ac.jp/M3/20110427/F51114/2468/1", 61.89)</f>
        <v>61.89</v>
      </c>
      <c r="E2838" s="2">
        <v>46.21</v>
      </c>
      <c r="F2838" s="2">
        <v>1</v>
      </c>
      <c r="G2838" s="2" t="s">
        <v>13</v>
      </c>
    </row>
    <row r="2839" spans="1:7" x14ac:dyDescent="0.2">
      <c r="A2839" s="2" t="s">
        <v>3533</v>
      </c>
      <c r="B2839" s="2" t="s">
        <v>674</v>
      </c>
      <c r="C2839" s="2">
        <v>656.84820000000002</v>
      </c>
      <c r="D2839" s="2">
        <f>HYPERLINK("http://mcb-m6.bioreg.kyushu-u.ac.jp/M3/20110427/F51114/3188/1", 67.81)</f>
        <v>67.81</v>
      </c>
      <c r="E2839" s="2">
        <v>48.58</v>
      </c>
      <c r="F2839" s="2">
        <v>3</v>
      </c>
      <c r="G2839" s="2" t="s">
        <v>13</v>
      </c>
    </row>
    <row r="2840" spans="1:7" x14ac:dyDescent="0.2">
      <c r="A2840" s="2" t="s">
        <v>3533</v>
      </c>
      <c r="B2840" s="2" t="s">
        <v>6409</v>
      </c>
      <c r="C2840" s="2">
        <v>695.11189999999999</v>
      </c>
      <c r="D2840" s="2">
        <f>HYPERLINK("http://mcb-m6.bioreg.kyushu-u.ac.jp/M3/20110427/F51114/3368/1", 68.25)</f>
        <v>68.25</v>
      </c>
      <c r="E2840" s="2">
        <v>53.23</v>
      </c>
      <c r="F2840" s="2">
        <v>3</v>
      </c>
      <c r="G2840" s="2" t="s">
        <v>13</v>
      </c>
    </row>
    <row r="2841" spans="1:7" x14ac:dyDescent="0.2">
      <c r="A2841" s="2" t="s">
        <v>3533</v>
      </c>
      <c r="B2841" s="2" t="s">
        <v>6781</v>
      </c>
      <c r="C2841" s="2">
        <v>704.21720000000005</v>
      </c>
      <c r="D2841" s="2">
        <f>HYPERLINK("http://mcb-m6.bioreg.kyushu-u.ac.jp/M3/20110427/F51115/1819/1", 74.84)</f>
        <v>74.84</v>
      </c>
      <c r="E2841" s="2">
        <v>12.72</v>
      </c>
      <c r="F2841" s="2">
        <v>2</v>
      </c>
      <c r="G2841" s="2" t="s">
        <v>13</v>
      </c>
    </row>
    <row r="2842" spans="1:7" x14ac:dyDescent="0.2">
      <c r="A2842" s="2" t="s">
        <v>3533</v>
      </c>
      <c r="B2842" s="2" t="s">
        <v>808</v>
      </c>
      <c r="C2842" s="2">
        <v>815.7722</v>
      </c>
      <c r="D2842" s="2">
        <f>HYPERLINK("http://mcb-m6.bioreg.kyushu-u.ac.jp/M3/20110427/F51116/2421/1", 75.43)</f>
        <v>75.430000000000007</v>
      </c>
      <c r="E2842" s="2">
        <v>48.97</v>
      </c>
      <c r="F2842" s="2">
        <v>2</v>
      </c>
      <c r="G2842" s="2" t="s">
        <v>13</v>
      </c>
    </row>
    <row r="2843" spans="1:7" x14ac:dyDescent="0.2">
      <c r="A2843" s="2" t="s">
        <v>3533</v>
      </c>
      <c r="B2843" s="2" t="s">
        <v>1459</v>
      </c>
      <c r="C2843" s="2">
        <v>879.33810000000005</v>
      </c>
      <c r="D2843" s="2">
        <f>HYPERLINK("http://mcb-m6.bioreg.kyushu-u.ac.jp/M3/20110427/F51114/2747/1", 75.58)</f>
        <v>75.58</v>
      </c>
      <c r="E2843" s="2">
        <v>56.2</v>
      </c>
      <c r="F2843" s="2">
        <v>2</v>
      </c>
      <c r="G2843" s="2" t="s">
        <v>13</v>
      </c>
    </row>
    <row r="2844" spans="1:7" x14ac:dyDescent="0.2">
      <c r="A2844" s="2" t="s">
        <v>3533</v>
      </c>
      <c r="B2844" s="2" t="s">
        <v>1459</v>
      </c>
      <c r="C2844" s="2">
        <v>879.91470000000004</v>
      </c>
      <c r="D2844" s="2">
        <f>HYPERLINK("http://mcb-m6.bioreg.kyushu-u.ac.jp/M3/20110428/F51127/2677/1", 79.73)</f>
        <v>79.73</v>
      </c>
      <c r="E2844" s="2">
        <v>58.99</v>
      </c>
      <c r="F2844" s="2">
        <v>2</v>
      </c>
      <c r="G2844" s="2" t="s">
        <v>13</v>
      </c>
    </row>
    <row r="2845" spans="1:7" x14ac:dyDescent="0.2">
      <c r="A2845" s="2" t="s">
        <v>3533</v>
      </c>
      <c r="B2845" s="2" t="s">
        <v>1459</v>
      </c>
      <c r="C2845" s="2">
        <v>879.26260000000002</v>
      </c>
      <c r="D2845" s="2">
        <f>HYPERLINK("http://mcb-m6.bioreg.kyushu-u.ac.jp/M3/20110428/F51127/2674/1", 80.64)</f>
        <v>80.64</v>
      </c>
      <c r="E2845" s="2">
        <v>62.32</v>
      </c>
      <c r="F2845" s="2">
        <v>2</v>
      </c>
      <c r="G2845" s="2" t="s">
        <v>13</v>
      </c>
    </row>
    <row r="2846" spans="1:7" x14ac:dyDescent="0.2">
      <c r="A2846" s="2" t="s">
        <v>3533</v>
      </c>
      <c r="B2846" s="2" t="s">
        <v>674</v>
      </c>
      <c r="C2846" s="2">
        <v>985.36019999999996</v>
      </c>
      <c r="D2846" s="2">
        <f>HYPERLINK("http://mcb-m6.bioreg.kyushu-u.ac.jp/M3/20110427/F51114/3196/1", 82.74)</f>
        <v>82.74</v>
      </c>
      <c r="E2846" s="2">
        <v>62.72</v>
      </c>
      <c r="F2846" s="2">
        <v>2</v>
      </c>
      <c r="G2846" s="2" t="s">
        <v>13</v>
      </c>
    </row>
    <row r="2847" spans="1:7" x14ac:dyDescent="0.2">
      <c r="A2847" s="2" t="s">
        <v>3533</v>
      </c>
      <c r="B2847" s="2" t="s">
        <v>6409</v>
      </c>
      <c r="C2847" s="2">
        <v>1042.7940000000001</v>
      </c>
      <c r="D2847" s="2">
        <f>HYPERLINK("http://mcb-m6.bioreg.kyushu-u.ac.jp/M3/20110427/F51114/3373/1", 85.93)</f>
        <v>85.93</v>
      </c>
      <c r="E2847" s="2">
        <v>63.6</v>
      </c>
      <c r="F2847" s="2">
        <v>2</v>
      </c>
      <c r="G2847" s="2" t="s">
        <v>13</v>
      </c>
    </row>
    <row r="2848" spans="1:7" x14ac:dyDescent="0.2">
      <c r="A2848" s="2" t="s">
        <v>3533</v>
      </c>
      <c r="B2848" s="2" t="s">
        <v>1459</v>
      </c>
      <c r="C2848" s="2">
        <v>879.54819999999995</v>
      </c>
      <c r="D2848" s="2">
        <f>HYPERLINK("http://mcb-m6.bioreg.kyushu-u.ac.jp/M3/20110427/F51116/2692/1", 98.97)</f>
        <v>98.97</v>
      </c>
      <c r="E2848" s="2">
        <v>84.97</v>
      </c>
      <c r="F2848" s="2">
        <v>2</v>
      </c>
      <c r="G2848" s="2" t="s">
        <v>13</v>
      </c>
    </row>
    <row r="2849" spans="1:9" x14ac:dyDescent="0.2">
      <c r="A2849" s="2" t="s">
        <v>3533</v>
      </c>
      <c r="B2849" s="2" t="s">
        <v>674</v>
      </c>
      <c r="C2849" s="2">
        <v>984.86019999999996</v>
      </c>
      <c r="D2849" s="2">
        <f>HYPERLINK("http://mcb-m6.bioreg.kyushu-u.ac.jp/M3/20110427/F51114/3190/1", 100.24)</f>
        <v>100.24</v>
      </c>
      <c r="E2849" s="2">
        <v>83.98</v>
      </c>
      <c r="F2849" s="2">
        <v>2</v>
      </c>
      <c r="G2849" s="2" t="s">
        <v>13</v>
      </c>
    </row>
    <row r="2850" spans="1:9" x14ac:dyDescent="0.2">
      <c r="A2850" s="2" t="s">
        <v>3533</v>
      </c>
      <c r="B2850" s="2" t="s">
        <v>6409</v>
      </c>
      <c r="C2850" s="2">
        <v>1042.2539999999999</v>
      </c>
      <c r="D2850" s="2">
        <f>HYPERLINK("http://mcb-m6.bioreg.kyushu-u.ac.jp/M3/20110427/F51114/3369/1", 101.94)</f>
        <v>101.94</v>
      </c>
      <c r="E2850" s="2">
        <v>78.819999999999993</v>
      </c>
      <c r="F2850" s="2">
        <v>2</v>
      </c>
      <c r="G2850" s="2" t="s">
        <v>13</v>
      </c>
    </row>
    <row r="2851" spans="1:9" x14ac:dyDescent="0.2">
      <c r="A2851" s="2" t="s">
        <v>3533</v>
      </c>
      <c r="B2851" s="2" t="s">
        <v>1459</v>
      </c>
      <c r="C2851" s="2">
        <v>879.36220000000003</v>
      </c>
      <c r="D2851" s="2">
        <f>HYPERLINK("http://mcb-m6.bioreg.kyushu-u.ac.jp/M3/20110427/F51115/2544/1", 104.23)</f>
        <v>104.23</v>
      </c>
      <c r="E2851" s="2">
        <v>88.61</v>
      </c>
      <c r="F2851" s="2">
        <v>2</v>
      </c>
      <c r="G2851" s="2" t="s">
        <v>13</v>
      </c>
    </row>
    <row r="2852" spans="1:9" x14ac:dyDescent="0.2">
      <c r="A2852" s="2" t="s">
        <v>3533</v>
      </c>
      <c r="B2852" s="2" t="s">
        <v>7451</v>
      </c>
      <c r="C2852" s="2">
        <v>647.84349999999995</v>
      </c>
      <c r="D2852" s="2">
        <f>HYPERLINK("http://mcb-m6.bioreg.kyushu-u.ac.jp/M3/20110427/F51123/2994/1", 35.7)</f>
        <v>35.700000000000003</v>
      </c>
      <c r="E2852" s="2">
        <v>15.85</v>
      </c>
      <c r="F2852" s="2">
        <v>3</v>
      </c>
      <c r="G2852" s="2" t="s">
        <v>14</v>
      </c>
    </row>
    <row r="2853" spans="1:9" x14ac:dyDescent="0.2">
      <c r="A2853" s="2" t="s">
        <v>3533</v>
      </c>
      <c r="B2853" s="2" t="s">
        <v>7466</v>
      </c>
      <c r="C2853" s="2">
        <v>830.35919999999999</v>
      </c>
      <c r="D2853" s="2">
        <f>HYPERLINK("http://mcb-m6.bioreg.kyushu-u.ac.jp/M3/20110427/F51123/2469/1", 37.63)</f>
        <v>37.630000000000003</v>
      </c>
      <c r="E2853" s="2">
        <v>8.35</v>
      </c>
      <c r="F2853" s="2">
        <v>2</v>
      </c>
      <c r="G2853" s="2" t="s">
        <v>14</v>
      </c>
      <c r="I2853" s="2" t="s">
        <v>4892</v>
      </c>
    </row>
    <row r="2854" spans="1:9" x14ac:dyDescent="0.2">
      <c r="A2854" s="2" t="s">
        <v>3533</v>
      </c>
      <c r="B2854" s="2" t="s">
        <v>610</v>
      </c>
      <c r="C2854" s="2">
        <v>493.21660000000003</v>
      </c>
      <c r="D2854" s="2">
        <f>HYPERLINK("http://mcb-m6.bioreg.kyushu-u.ac.jp/M3/20110427/F51123/1002/1", 45.12)</f>
        <v>45.12</v>
      </c>
      <c r="E2854" s="2">
        <v>15.21</v>
      </c>
      <c r="F2854" s="2">
        <v>2</v>
      </c>
      <c r="G2854" s="2" t="s">
        <v>14</v>
      </c>
    </row>
    <row r="2855" spans="1:9" x14ac:dyDescent="0.2">
      <c r="A2855" s="2" t="s">
        <v>3533</v>
      </c>
      <c r="B2855" s="2" t="s">
        <v>1913</v>
      </c>
      <c r="C2855" s="2">
        <v>815.23689999999999</v>
      </c>
      <c r="D2855" s="2">
        <f>HYPERLINK("http://mcb-m6.bioreg.kyushu-u.ac.jp/M3/20110427/F51123/3580/1", 51.5)</f>
        <v>51.5</v>
      </c>
      <c r="E2855" s="2">
        <v>39.93</v>
      </c>
      <c r="F2855" s="2">
        <v>3</v>
      </c>
      <c r="G2855" s="2" t="s">
        <v>14</v>
      </c>
    </row>
    <row r="2856" spans="1:9" x14ac:dyDescent="0.2">
      <c r="A2856" s="2" t="s">
        <v>3533</v>
      </c>
      <c r="B2856" s="2" t="s">
        <v>2682</v>
      </c>
      <c r="C2856" s="2">
        <v>580.69709999999998</v>
      </c>
      <c r="D2856" s="2">
        <f>HYPERLINK("http://mcb-m6.bioreg.kyushu-u.ac.jp/M3/20110427/F51123/1349/1", 52.05)</f>
        <v>52.05</v>
      </c>
      <c r="E2856" s="2">
        <v>5.07</v>
      </c>
      <c r="F2856" s="2">
        <v>2</v>
      </c>
      <c r="G2856" s="2" t="s">
        <v>14</v>
      </c>
      <c r="I2856" s="2" t="s">
        <v>4890</v>
      </c>
    </row>
    <row r="2857" spans="1:9" x14ac:dyDescent="0.2">
      <c r="A2857" s="2" t="s">
        <v>3533</v>
      </c>
      <c r="B2857" s="2" t="s">
        <v>808</v>
      </c>
      <c r="C2857" s="2">
        <v>543.72720000000004</v>
      </c>
      <c r="D2857" s="2">
        <f>HYPERLINK("http://mcb-m6.bioreg.kyushu-u.ac.jp/M3/20110428/F51128/2347/1", 52.7)</f>
        <v>52.7</v>
      </c>
      <c r="E2857" s="2">
        <v>25.7</v>
      </c>
      <c r="F2857" s="2">
        <v>3</v>
      </c>
      <c r="G2857" s="2" t="s">
        <v>14</v>
      </c>
    </row>
    <row r="2858" spans="1:9" x14ac:dyDescent="0.2">
      <c r="A2858" s="2" t="s">
        <v>3533</v>
      </c>
      <c r="B2858" s="2" t="s">
        <v>5932</v>
      </c>
      <c r="C2858" s="2">
        <v>728.24469999999997</v>
      </c>
      <c r="D2858" s="2">
        <f>HYPERLINK("http://mcb-m6.bioreg.kyushu-u.ac.jp/M3/20110427/F51123/1974/1", 53.64)</f>
        <v>53.64</v>
      </c>
      <c r="E2858" s="2">
        <v>28.03</v>
      </c>
      <c r="F2858" s="2">
        <v>2</v>
      </c>
      <c r="G2858" s="2" t="s">
        <v>14</v>
      </c>
    </row>
    <row r="2859" spans="1:9" x14ac:dyDescent="0.2">
      <c r="A2859" s="2" t="s">
        <v>3533</v>
      </c>
      <c r="B2859" s="2" t="s">
        <v>2682</v>
      </c>
      <c r="C2859" s="2">
        <v>581.27869999999996</v>
      </c>
      <c r="D2859" s="2">
        <f>HYPERLINK("http://mcb-m6.bioreg.kyushu-u.ac.jp/M3/20110428/F51128/1246/1", 54.62)</f>
        <v>54.62</v>
      </c>
      <c r="E2859" s="2">
        <v>21.54</v>
      </c>
      <c r="F2859" s="2">
        <v>2</v>
      </c>
      <c r="G2859" s="2" t="s">
        <v>14</v>
      </c>
      <c r="I2859" s="2" t="s">
        <v>4890</v>
      </c>
    </row>
    <row r="2860" spans="1:9" x14ac:dyDescent="0.2">
      <c r="A2860" s="2" t="s">
        <v>3533</v>
      </c>
      <c r="B2860" s="2" t="s">
        <v>2682</v>
      </c>
      <c r="C2860" s="2">
        <v>581.21969999999999</v>
      </c>
      <c r="D2860" s="2">
        <f>HYPERLINK("http://mcb-m6.bioreg.kyushu-u.ac.jp/M3/20110427/F51123/1352/1", 56.11)</f>
        <v>56.11</v>
      </c>
      <c r="E2860" s="2">
        <v>20.170000000000002</v>
      </c>
      <c r="F2860" s="2">
        <v>2</v>
      </c>
      <c r="G2860" s="2" t="s">
        <v>14</v>
      </c>
      <c r="I2860" s="2" t="s">
        <v>4890</v>
      </c>
    </row>
    <row r="2861" spans="1:9" x14ac:dyDescent="0.2">
      <c r="A2861" s="2" t="s">
        <v>3533</v>
      </c>
      <c r="B2861" s="2" t="s">
        <v>1913</v>
      </c>
      <c r="C2861" s="2">
        <v>815.40319999999997</v>
      </c>
      <c r="D2861" s="2">
        <f>HYPERLINK("http://mcb-m6.bioreg.kyushu-u.ac.jp/M3/20110428/F51128/3557/1", 57.39)</f>
        <v>57.39</v>
      </c>
      <c r="E2861" s="2">
        <v>37.82</v>
      </c>
      <c r="F2861" s="2">
        <v>3</v>
      </c>
      <c r="G2861" s="2" t="s">
        <v>14</v>
      </c>
    </row>
    <row r="2862" spans="1:9" x14ac:dyDescent="0.2">
      <c r="A2862" s="2" t="s">
        <v>3533</v>
      </c>
      <c r="B2862" s="2" t="s">
        <v>808</v>
      </c>
      <c r="C2862" s="2">
        <v>544.10649999999998</v>
      </c>
      <c r="D2862" s="2">
        <f>HYPERLINK("http://mcb-m6.bioreg.kyushu-u.ac.jp/M3/20110427/F51123/2402/1", 58.21)</f>
        <v>58.21</v>
      </c>
      <c r="E2862" s="2">
        <v>23.77</v>
      </c>
      <c r="F2862" s="2">
        <v>3</v>
      </c>
      <c r="G2862" s="2" t="s">
        <v>14</v>
      </c>
    </row>
    <row r="2863" spans="1:9" x14ac:dyDescent="0.2">
      <c r="A2863" s="2" t="s">
        <v>3533</v>
      </c>
      <c r="B2863" s="2" t="s">
        <v>674</v>
      </c>
      <c r="C2863" s="2">
        <v>656.89319999999998</v>
      </c>
      <c r="D2863" s="2">
        <f>HYPERLINK("http://mcb-m6.bioreg.kyushu-u.ac.jp/M3/20110427/F51123/3039/1", 61.43)</f>
        <v>61.43</v>
      </c>
      <c r="E2863" s="2">
        <v>45.77</v>
      </c>
      <c r="F2863" s="2">
        <v>3</v>
      </c>
      <c r="G2863" s="2" t="s">
        <v>14</v>
      </c>
    </row>
    <row r="2864" spans="1:9" x14ac:dyDescent="0.2">
      <c r="A2864" s="2" t="s">
        <v>3533</v>
      </c>
      <c r="B2864" s="2" t="s">
        <v>674</v>
      </c>
      <c r="C2864" s="2">
        <v>985.11659999999995</v>
      </c>
      <c r="D2864" s="2">
        <f>HYPERLINK("http://mcb-m6.bioreg.kyushu-u.ac.jp/M3/20110427/F51123/3040/1", 81.57)</f>
        <v>81.569999999999993</v>
      </c>
      <c r="E2864" s="2">
        <v>69.540000000000006</v>
      </c>
      <c r="F2864" s="2">
        <v>2</v>
      </c>
      <c r="G2864" s="2" t="s">
        <v>14</v>
      </c>
    </row>
    <row r="2865" spans="1:9" x14ac:dyDescent="0.2">
      <c r="A2865" s="2" t="s">
        <v>3533</v>
      </c>
      <c r="B2865" s="2" t="s">
        <v>6409</v>
      </c>
      <c r="C2865" s="2">
        <v>1050.26</v>
      </c>
      <c r="D2865" s="2">
        <f>HYPERLINK("http://mcb-m6.bioreg.kyushu-u.ac.jp/M3/20110427/F51123/3226/1", 87.25)</f>
        <v>87.25</v>
      </c>
      <c r="E2865" s="2">
        <v>75.099999999999994</v>
      </c>
      <c r="F2865" s="2">
        <v>2</v>
      </c>
      <c r="G2865" s="2" t="s">
        <v>14</v>
      </c>
      <c r="H2865" s="2" t="s">
        <v>4938</v>
      </c>
    </row>
    <row r="2866" spans="1:9" x14ac:dyDescent="0.2">
      <c r="A2866" s="2" t="s">
        <v>3533</v>
      </c>
      <c r="B2866" s="2" t="s">
        <v>808</v>
      </c>
      <c r="C2866" s="2">
        <v>815.23659999999995</v>
      </c>
      <c r="D2866" s="2">
        <f>HYPERLINK("http://mcb-m6.bioreg.kyushu-u.ac.jp/M3/20110427/F51123/2399/1", 88.38)</f>
        <v>88.38</v>
      </c>
      <c r="E2866" s="2">
        <v>58.05</v>
      </c>
      <c r="F2866" s="2">
        <v>2</v>
      </c>
      <c r="G2866" s="2" t="s">
        <v>14</v>
      </c>
    </row>
    <row r="2867" spans="1:9" x14ac:dyDescent="0.2">
      <c r="A2867" s="2" t="s">
        <v>3533</v>
      </c>
      <c r="B2867" s="2" t="s">
        <v>6409</v>
      </c>
      <c r="C2867" s="2">
        <v>1042.819</v>
      </c>
      <c r="D2867" s="2">
        <f>HYPERLINK("http://mcb-m6.bioreg.kyushu-u.ac.jp/M3/20110427/F51123/3211/1", 88.53)</f>
        <v>88.53</v>
      </c>
      <c r="E2867" s="2">
        <v>69.83</v>
      </c>
      <c r="F2867" s="2">
        <v>2</v>
      </c>
      <c r="G2867" s="2" t="s">
        <v>14</v>
      </c>
    </row>
    <row r="2868" spans="1:9" x14ac:dyDescent="0.2">
      <c r="A2868" s="2" t="s">
        <v>3533</v>
      </c>
      <c r="B2868" s="2" t="s">
        <v>808</v>
      </c>
      <c r="C2868" s="2">
        <v>815.40309999999999</v>
      </c>
      <c r="D2868" s="2">
        <f>HYPERLINK("http://mcb-m6.bioreg.kyushu-u.ac.jp/M3/20110428/F51128/2350/1", 90.19)</f>
        <v>90.19</v>
      </c>
      <c r="E2868" s="2">
        <v>59.96</v>
      </c>
      <c r="F2868" s="2">
        <v>2</v>
      </c>
      <c r="G2868" s="2" t="s">
        <v>14</v>
      </c>
    </row>
    <row r="2869" spans="1:9" x14ac:dyDescent="0.2">
      <c r="A2869" s="2" t="s">
        <v>3533</v>
      </c>
      <c r="B2869" s="2" t="s">
        <v>6409</v>
      </c>
      <c r="C2869" s="2">
        <v>1042.318</v>
      </c>
      <c r="D2869" s="2">
        <f>HYPERLINK("http://mcb-m6.bioreg.kyushu-u.ac.jp/M3/20110427/F51123/3210/1", 91.62)</f>
        <v>91.62</v>
      </c>
      <c r="E2869" s="2">
        <v>71.5</v>
      </c>
      <c r="F2869" s="2">
        <v>2</v>
      </c>
      <c r="G2869" s="2" t="s">
        <v>14</v>
      </c>
    </row>
    <row r="2870" spans="1:9" x14ac:dyDescent="0.2">
      <c r="A2870" s="2" t="s">
        <v>3533</v>
      </c>
      <c r="B2870" s="2" t="s">
        <v>1459</v>
      </c>
      <c r="C2870" s="2">
        <v>879.29570000000001</v>
      </c>
      <c r="D2870" s="2">
        <f>HYPERLINK("http://mcb-m6.bioreg.kyushu-u.ac.jp/M3/20110428/F51128/2646/1", 99.61)</f>
        <v>99.61</v>
      </c>
      <c r="E2870" s="2">
        <v>70.86</v>
      </c>
      <c r="F2870" s="2">
        <v>2</v>
      </c>
      <c r="G2870" s="2" t="s">
        <v>14</v>
      </c>
    </row>
    <row r="2871" spans="1:9" x14ac:dyDescent="0.2">
      <c r="A2871" s="2" t="s">
        <v>3533</v>
      </c>
      <c r="B2871" s="2" t="s">
        <v>1459</v>
      </c>
      <c r="C2871" s="2">
        <v>879.83510000000001</v>
      </c>
      <c r="D2871" s="2">
        <f>HYPERLINK("http://mcb-m6.bioreg.kyushu-u.ac.jp/M3/20110427/F51123/2656/1", 101.28)</f>
        <v>101.28</v>
      </c>
      <c r="E2871" s="2">
        <v>85.57</v>
      </c>
      <c r="F2871" s="2">
        <v>2</v>
      </c>
      <c r="G2871" s="2" t="s">
        <v>14</v>
      </c>
    </row>
    <row r="2872" spans="1:9" x14ac:dyDescent="0.2">
      <c r="A2872" s="2" t="s">
        <v>3533</v>
      </c>
      <c r="B2872" s="2" t="s">
        <v>1459</v>
      </c>
      <c r="C2872" s="2">
        <v>879.33010000000002</v>
      </c>
      <c r="D2872" s="2">
        <f>HYPERLINK("http://mcb-m6.bioreg.kyushu-u.ac.jp/M3/20110427/F51123/2654/1", 102.19)</f>
        <v>102.19</v>
      </c>
      <c r="E2872" s="2">
        <v>85.63</v>
      </c>
      <c r="F2872" s="2">
        <v>2</v>
      </c>
      <c r="G2872" s="2" t="s">
        <v>14</v>
      </c>
    </row>
    <row r="2873" spans="1:9" x14ac:dyDescent="0.2">
      <c r="A2873" s="2" t="s">
        <v>3533</v>
      </c>
      <c r="B2873" s="2" t="s">
        <v>1459</v>
      </c>
      <c r="C2873" s="2">
        <v>879.37570000000005</v>
      </c>
      <c r="D2873" s="2">
        <f>HYPERLINK("http://mcb-m6.bioreg.kyushu-u.ac.jp/M3/20110427/F51124/2613/1", 108.51)</f>
        <v>108.51</v>
      </c>
      <c r="E2873" s="2">
        <v>87.42</v>
      </c>
      <c r="F2873" s="2">
        <v>2</v>
      </c>
      <c r="G2873" s="2" t="s">
        <v>14</v>
      </c>
    </row>
    <row r="2874" spans="1:9" x14ac:dyDescent="0.2">
      <c r="A2874" s="2" t="s">
        <v>4440</v>
      </c>
      <c r="B2874" s="2" t="s">
        <v>5954</v>
      </c>
      <c r="C2874" s="2">
        <v>746.79970000000003</v>
      </c>
      <c r="D2874" s="2">
        <f>HYPERLINK("http://mcb-m6.bioreg.kyushu-u.ac.jp/M3/20110404/F50762/1837/1", 36.8)</f>
        <v>36.799999999999997</v>
      </c>
      <c r="E2874" s="2">
        <v>29.1</v>
      </c>
      <c r="F2874" s="2">
        <v>2</v>
      </c>
      <c r="G2874" s="2" t="s">
        <v>9</v>
      </c>
    </row>
    <row r="2875" spans="1:9" x14ac:dyDescent="0.2">
      <c r="A2875" s="2" t="s">
        <v>7646</v>
      </c>
      <c r="B2875" s="2" t="s">
        <v>6208</v>
      </c>
      <c r="C2875" s="2">
        <v>710.45920000000001</v>
      </c>
      <c r="D2875" s="2">
        <f>HYPERLINK("http://mcb-m6.bioreg.kyushu-u.ac.jp/M3/20110404/F50751/2007/1", 46.43)</f>
        <v>46.43</v>
      </c>
      <c r="E2875" s="2">
        <v>30.58</v>
      </c>
      <c r="F2875" s="2">
        <v>2</v>
      </c>
      <c r="G2875" s="2" t="s">
        <v>9</v>
      </c>
    </row>
    <row r="2876" spans="1:9" x14ac:dyDescent="0.2">
      <c r="A2876" s="2" t="s">
        <v>3320</v>
      </c>
      <c r="B2876" s="2" t="s">
        <v>106</v>
      </c>
      <c r="C2876" s="2">
        <v>584.71969999999999</v>
      </c>
      <c r="D2876" s="2">
        <f>HYPERLINK("http://mcb-m6.bioreg.kyushu-u.ac.jp/M3/20110427/F51113/1328/1", 56.32)</f>
        <v>56.32</v>
      </c>
      <c r="E2876" s="2">
        <v>26.79</v>
      </c>
      <c r="F2876" s="2">
        <v>2</v>
      </c>
      <c r="G2876" s="2" t="s">
        <v>13</v>
      </c>
      <c r="I2876" s="2" t="s">
        <v>4892</v>
      </c>
    </row>
    <row r="2877" spans="1:9" x14ac:dyDescent="0.2">
      <c r="A2877" s="2" t="s">
        <v>4039</v>
      </c>
      <c r="B2877" s="2" t="s">
        <v>1377</v>
      </c>
      <c r="C2877" s="2">
        <v>752.47270000000003</v>
      </c>
      <c r="D2877" s="2">
        <f>HYPERLINK("http://mcb-m6.bioreg.kyushu-u.ac.jp/M3/20110404/F50760/1904/1", 48.47)</f>
        <v>48.47</v>
      </c>
      <c r="E2877" s="2">
        <v>22.43</v>
      </c>
      <c r="F2877" s="2">
        <v>2</v>
      </c>
      <c r="G2877" s="2" t="s">
        <v>10</v>
      </c>
    </row>
    <row r="2878" spans="1:9" x14ac:dyDescent="0.2">
      <c r="A2878" s="2" t="s">
        <v>4039</v>
      </c>
      <c r="B2878" s="2" t="s">
        <v>1377</v>
      </c>
      <c r="C2878" s="2">
        <v>752.34310000000005</v>
      </c>
      <c r="D2878" s="2">
        <f>HYPERLINK("http://mcb-m6.bioreg.kyushu-u.ac.jp/M3/20110421/F51018/2187/1", 67.55)</f>
        <v>67.55</v>
      </c>
      <c r="E2878" s="2">
        <v>46.81</v>
      </c>
      <c r="F2878" s="2">
        <v>2</v>
      </c>
      <c r="G2878" s="2" t="s">
        <v>11</v>
      </c>
    </row>
    <row r="2879" spans="1:9" x14ac:dyDescent="0.2">
      <c r="A2879" s="2" t="s">
        <v>4039</v>
      </c>
      <c r="B2879" s="2" t="s">
        <v>1421</v>
      </c>
      <c r="C2879" s="2">
        <v>750.17070000000001</v>
      </c>
      <c r="D2879" s="2">
        <f>HYPERLINK("http://mcb-m6.bioreg.kyushu-u.ac.jp/M3/20110427/F51113/2036/1", 47.92)</f>
        <v>47.92</v>
      </c>
      <c r="E2879" s="2">
        <v>36.07</v>
      </c>
      <c r="F2879" s="2">
        <v>2</v>
      </c>
      <c r="G2879" s="2" t="s">
        <v>13</v>
      </c>
    </row>
    <row r="2880" spans="1:9" x14ac:dyDescent="0.2">
      <c r="A2880" s="2" t="s">
        <v>4039</v>
      </c>
      <c r="B2880" s="2" t="s">
        <v>1377</v>
      </c>
      <c r="C2880" s="2">
        <v>752.18709999999999</v>
      </c>
      <c r="D2880" s="2">
        <f>HYPERLINK("http://mcb-m6.bioreg.kyushu-u.ac.jp/M3/20110427/F51113/2041/1", 106.32)</f>
        <v>106.32</v>
      </c>
      <c r="E2880" s="2">
        <v>81.56</v>
      </c>
      <c r="F2880" s="2">
        <v>2</v>
      </c>
      <c r="G2880" s="2" t="s">
        <v>13</v>
      </c>
    </row>
    <row r="2881" spans="1:9" x14ac:dyDescent="0.2">
      <c r="A2881" s="2" t="s">
        <v>4603</v>
      </c>
      <c r="B2881" s="2" t="s">
        <v>2702</v>
      </c>
      <c r="C2881" s="2">
        <v>793.31669999999997</v>
      </c>
      <c r="D2881" s="2">
        <f>HYPERLINK("http://mcb-m6.bioreg.kyushu-u.ac.jp/M3/20110404/F50762/1997/1", 53.16)</f>
        <v>53.16</v>
      </c>
      <c r="E2881" s="2">
        <v>39.97</v>
      </c>
      <c r="F2881" s="2">
        <v>2</v>
      </c>
      <c r="G2881" s="2" t="s">
        <v>9</v>
      </c>
      <c r="I2881" s="2" t="s">
        <v>4923</v>
      </c>
    </row>
    <row r="2882" spans="1:9" x14ac:dyDescent="0.2">
      <c r="A2882" s="2" t="s">
        <v>4603</v>
      </c>
      <c r="B2882" s="2" t="s">
        <v>2702</v>
      </c>
      <c r="C2882" s="2">
        <v>793.30110000000002</v>
      </c>
      <c r="D2882" s="2">
        <f>HYPERLINK("http://mcb-m6.bioreg.kyushu-u.ac.jp/M3/20110404/F50768/2087/1", 80.82)</f>
        <v>80.819999999999993</v>
      </c>
      <c r="E2882" s="2">
        <v>66.45</v>
      </c>
      <c r="F2882" s="2">
        <v>2</v>
      </c>
      <c r="G2882" s="2" t="s">
        <v>10</v>
      </c>
      <c r="I2882" s="2" t="s">
        <v>4923</v>
      </c>
    </row>
    <row r="2883" spans="1:9" x14ac:dyDescent="0.2">
      <c r="A2883" s="2" t="s">
        <v>4603</v>
      </c>
      <c r="B2883" s="2" t="s">
        <v>2702</v>
      </c>
      <c r="C2883" s="2">
        <v>792.66719999999998</v>
      </c>
      <c r="D2883" s="2">
        <f>HYPERLINK("http://mcb-m6.bioreg.kyushu-u.ac.jp/M3/20110404/F50768/2085/1", 95.62)</f>
        <v>95.62</v>
      </c>
      <c r="E2883" s="2">
        <v>82.92</v>
      </c>
      <c r="F2883" s="2">
        <v>2</v>
      </c>
      <c r="G2883" s="2" t="s">
        <v>10</v>
      </c>
      <c r="I2883" s="2" t="s">
        <v>4923</v>
      </c>
    </row>
    <row r="2884" spans="1:9" x14ac:dyDescent="0.2">
      <c r="A2884" s="2" t="s">
        <v>3943</v>
      </c>
      <c r="B2884" s="2" t="s">
        <v>1141</v>
      </c>
      <c r="C2884" s="2">
        <v>1301.3879999999999</v>
      </c>
      <c r="D2884" s="2">
        <f>HYPERLINK("http://mcb-m6.bioreg.kyushu-u.ac.jp/M3/20110404/F50762/1470/1", 43.56)</f>
        <v>43.56</v>
      </c>
      <c r="E2884" s="2">
        <v>32.79</v>
      </c>
      <c r="F2884" s="2">
        <v>1</v>
      </c>
      <c r="G2884" s="2" t="s">
        <v>9</v>
      </c>
    </row>
    <row r="2885" spans="1:9" x14ac:dyDescent="0.2">
      <c r="A2885" s="2" t="s">
        <v>3943</v>
      </c>
      <c r="B2885" s="2" t="s">
        <v>1141</v>
      </c>
      <c r="C2885" s="2">
        <v>1302.5219999999999</v>
      </c>
      <c r="D2885" s="2">
        <f>HYPERLINK("http://mcb-m6.bioreg.kyushu-u.ac.jp/M3/20110404/F50762/1476/1", 48.21)</f>
        <v>48.21</v>
      </c>
      <c r="E2885" s="2">
        <v>38.92</v>
      </c>
      <c r="F2885" s="2">
        <v>1</v>
      </c>
      <c r="G2885" s="2" t="s">
        <v>9</v>
      </c>
    </row>
    <row r="2886" spans="1:9" x14ac:dyDescent="0.2">
      <c r="A2886" s="2" t="s">
        <v>3943</v>
      </c>
      <c r="B2886" s="2" t="s">
        <v>1141</v>
      </c>
      <c r="C2886" s="2">
        <v>651.22609999999997</v>
      </c>
      <c r="D2886" s="2">
        <f>HYPERLINK("http://mcb-m6.bioreg.kyushu-u.ac.jp/M3/20110404/F50762/1471/1", 88.7)</f>
        <v>88.7</v>
      </c>
      <c r="E2886" s="2">
        <v>66.569999999999993</v>
      </c>
      <c r="F2886" s="2">
        <v>2</v>
      </c>
      <c r="G2886" s="2" t="s">
        <v>9</v>
      </c>
    </row>
    <row r="2887" spans="1:9" x14ac:dyDescent="0.2">
      <c r="A2887" s="2" t="s">
        <v>3943</v>
      </c>
      <c r="B2887" s="2" t="s">
        <v>1731</v>
      </c>
      <c r="C2887" s="2">
        <v>830.60360000000003</v>
      </c>
      <c r="D2887" s="2">
        <f>HYPERLINK("http://mcb-m6.bioreg.kyushu-u.ac.jp/M3/20110404/F50768/2214/1", 58.99)</f>
        <v>58.99</v>
      </c>
      <c r="E2887" s="2">
        <v>38.549999999999997</v>
      </c>
      <c r="F2887" s="2">
        <v>2</v>
      </c>
      <c r="G2887" s="2" t="s">
        <v>10</v>
      </c>
    </row>
    <row r="2888" spans="1:9" x14ac:dyDescent="0.2">
      <c r="A2888" s="2" t="s">
        <v>3943</v>
      </c>
      <c r="B2888" s="2" t="s">
        <v>1141</v>
      </c>
      <c r="C2888" s="2">
        <v>651.22170000000006</v>
      </c>
      <c r="D2888" s="2">
        <f>HYPERLINK("http://mcb-m6.bioreg.kyushu-u.ac.jp/M3/20110404/F50768/1534/1", 82.1)</f>
        <v>82.1</v>
      </c>
      <c r="E2888" s="2">
        <v>63.49</v>
      </c>
      <c r="F2888" s="2">
        <v>2</v>
      </c>
      <c r="G2888" s="2" t="s">
        <v>10</v>
      </c>
    </row>
    <row r="2889" spans="1:9" x14ac:dyDescent="0.2">
      <c r="A2889" s="2" t="s">
        <v>3943</v>
      </c>
      <c r="B2889" s="2" t="s">
        <v>1141</v>
      </c>
      <c r="C2889" s="2">
        <v>651.32569999999998</v>
      </c>
      <c r="D2889" s="2">
        <f>HYPERLINK("http://mcb-m6.bioreg.kyushu-u.ac.jp/M3/20110421/F51034/1532/1", 61.47)</f>
        <v>61.47</v>
      </c>
      <c r="E2889" s="2">
        <v>44.42</v>
      </c>
      <c r="F2889" s="2">
        <v>2</v>
      </c>
      <c r="G2889" s="2" t="s">
        <v>11</v>
      </c>
    </row>
    <row r="2890" spans="1:9" x14ac:dyDescent="0.2">
      <c r="A2890" s="2" t="s">
        <v>3943</v>
      </c>
      <c r="B2890" s="2" t="s">
        <v>1731</v>
      </c>
      <c r="C2890" s="2">
        <v>830.28060000000005</v>
      </c>
      <c r="D2890" s="2">
        <f>HYPERLINK("http://mcb-m6.bioreg.kyushu-u.ac.jp/M3/20110421/F51034/2467/1", 67.64)</f>
        <v>67.64</v>
      </c>
      <c r="E2890" s="2">
        <v>44.74</v>
      </c>
      <c r="F2890" s="2">
        <v>2</v>
      </c>
      <c r="G2890" s="2" t="s">
        <v>11</v>
      </c>
    </row>
    <row r="2891" spans="1:9" x14ac:dyDescent="0.2">
      <c r="A2891" s="2" t="s">
        <v>3943</v>
      </c>
      <c r="B2891" s="2" t="s">
        <v>1731</v>
      </c>
      <c r="C2891" s="2">
        <v>830.32669999999996</v>
      </c>
      <c r="D2891" s="2">
        <f>HYPERLINK("http://mcb-m6.bioreg.kyushu-u.ac.jp/M3/20110421/F51035/2444/1", 74.8)</f>
        <v>74.8</v>
      </c>
      <c r="E2891" s="2">
        <v>54.45</v>
      </c>
      <c r="F2891" s="2">
        <v>2</v>
      </c>
      <c r="G2891" s="2" t="s">
        <v>11</v>
      </c>
    </row>
    <row r="2892" spans="1:9" x14ac:dyDescent="0.2">
      <c r="A2892" s="2" t="s">
        <v>3943</v>
      </c>
      <c r="B2892" s="2" t="s">
        <v>1141</v>
      </c>
      <c r="C2892" s="2">
        <v>651.28020000000004</v>
      </c>
      <c r="D2892" s="2">
        <f>HYPERLINK("http://mcb-m6.bioreg.kyushu-u.ac.jp/M3/20110421/F51044/1514/1", 65.63)</f>
        <v>65.63</v>
      </c>
      <c r="E2892" s="2">
        <v>50.11</v>
      </c>
      <c r="F2892" s="2">
        <v>2</v>
      </c>
      <c r="G2892" s="2" t="s">
        <v>12</v>
      </c>
    </row>
    <row r="2893" spans="1:9" x14ac:dyDescent="0.2">
      <c r="A2893" s="2" t="s">
        <v>3943</v>
      </c>
      <c r="B2893" s="2" t="s">
        <v>1731</v>
      </c>
      <c r="C2893" s="2">
        <v>830.34169999999995</v>
      </c>
      <c r="D2893" s="2">
        <f>HYPERLINK("http://mcb-m6.bioreg.kyushu-u.ac.jp/M3/20110428/F51127/2418/1", 39.28)</f>
        <v>39.28</v>
      </c>
      <c r="E2893" s="2">
        <v>31.62</v>
      </c>
      <c r="F2893" s="2">
        <v>2</v>
      </c>
      <c r="G2893" s="2" t="s">
        <v>13</v>
      </c>
    </row>
    <row r="2894" spans="1:9" x14ac:dyDescent="0.2">
      <c r="A2894" s="2" t="s">
        <v>3943</v>
      </c>
      <c r="B2894" s="2" t="s">
        <v>1731</v>
      </c>
      <c r="C2894" s="2">
        <v>830.23820000000001</v>
      </c>
      <c r="D2894" s="2">
        <f>HYPERLINK("http://mcb-m6.bioreg.kyushu-u.ac.jp/M3/20110427/F51114/2542/1", 46.37)</f>
        <v>46.37</v>
      </c>
      <c r="E2894" s="2">
        <v>25.42</v>
      </c>
      <c r="F2894" s="2">
        <v>2</v>
      </c>
      <c r="G2894" s="2" t="s">
        <v>13</v>
      </c>
    </row>
    <row r="2895" spans="1:9" x14ac:dyDescent="0.2">
      <c r="A2895" s="2" t="s">
        <v>3943</v>
      </c>
      <c r="B2895" s="2" t="s">
        <v>1141</v>
      </c>
      <c r="C2895" s="2">
        <v>651.63670000000002</v>
      </c>
      <c r="D2895" s="2">
        <f>HYPERLINK("http://mcb-m6.bioreg.kyushu-u.ac.jp/M3/20110427/F51114/1576/1", 73.82)</f>
        <v>73.819999999999993</v>
      </c>
      <c r="E2895" s="2">
        <v>57.24</v>
      </c>
      <c r="F2895" s="2">
        <v>2</v>
      </c>
      <c r="G2895" s="2" t="s">
        <v>13</v>
      </c>
    </row>
    <row r="2896" spans="1:9" x14ac:dyDescent="0.2">
      <c r="A2896" s="2" t="s">
        <v>3943</v>
      </c>
      <c r="B2896" s="2" t="s">
        <v>1141</v>
      </c>
      <c r="C2896" s="2">
        <v>651.11869999999999</v>
      </c>
      <c r="D2896" s="2">
        <f>HYPERLINK("http://mcb-m6.bioreg.kyushu-u.ac.jp/M3/20110427/F51114/1571/1", 82.45)</f>
        <v>82.45</v>
      </c>
      <c r="E2896" s="2">
        <v>57.9</v>
      </c>
      <c r="F2896" s="2">
        <v>2</v>
      </c>
      <c r="G2896" s="2" t="s">
        <v>13</v>
      </c>
    </row>
    <row r="2897" spans="1:9" x14ac:dyDescent="0.2">
      <c r="A2897" s="2" t="s">
        <v>3943</v>
      </c>
      <c r="B2897" s="2" t="s">
        <v>1141</v>
      </c>
      <c r="C2897" s="2">
        <v>651.41920000000005</v>
      </c>
      <c r="D2897" s="2">
        <f>HYPERLINK("http://mcb-m6.bioreg.kyushu-u.ac.jp/M3/20110427/F51123/1601/1", 72)</f>
        <v>72</v>
      </c>
      <c r="E2897" s="2">
        <v>56.18</v>
      </c>
      <c r="F2897" s="2">
        <v>2</v>
      </c>
      <c r="G2897" s="2" t="s">
        <v>14</v>
      </c>
    </row>
    <row r="2898" spans="1:9" x14ac:dyDescent="0.2">
      <c r="A2898" s="2" t="s">
        <v>4475</v>
      </c>
      <c r="B2898" s="2" t="s">
        <v>2417</v>
      </c>
      <c r="C2898" s="2">
        <v>1150.712</v>
      </c>
      <c r="D2898" s="2">
        <f>HYPERLINK("http://mcb-m6.bioreg.kyushu-u.ac.jp/M3/20110404/F50751/1634/1", 36.19)</f>
        <v>36.19</v>
      </c>
      <c r="E2898" s="2">
        <v>15.16</v>
      </c>
      <c r="F2898" s="2">
        <v>1</v>
      </c>
      <c r="G2898" s="2" t="s">
        <v>9</v>
      </c>
      <c r="I2898" s="2" t="s">
        <v>4893</v>
      </c>
    </row>
    <row r="2899" spans="1:9" x14ac:dyDescent="0.2">
      <c r="A2899" s="2" t="s">
        <v>4475</v>
      </c>
      <c r="B2899" s="2" t="s">
        <v>2417</v>
      </c>
      <c r="C2899" s="2">
        <v>575.99659999999994</v>
      </c>
      <c r="D2899" s="2">
        <f>HYPERLINK("http://mcb-m6.bioreg.kyushu-u.ac.jp/M3/20110404/F50751/1636/1", 59.1)</f>
        <v>59.1</v>
      </c>
      <c r="E2899" s="2">
        <v>33.29</v>
      </c>
      <c r="F2899" s="2">
        <v>2</v>
      </c>
      <c r="G2899" s="2" t="s">
        <v>9</v>
      </c>
      <c r="I2899" s="2" t="s">
        <v>4893</v>
      </c>
    </row>
    <row r="2900" spans="1:9" x14ac:dyDescent="0.2">
      <c r="A2900" s="2" t="s">
        <v>4475</v>
      </c>
      <c r="B2900" s="2" t="s">
        <v>2481</v>
      </c>
      <c r="C2900" s="2">
        <v>994.09720000000004</v>
      </c>
      <c r="D2900" s="2">
        <f>HYPERLINK("http://mcb-m6.bioreg.kyushu-u.ac.jp/M3/20110404/F50751/2594/1", 69.39)</f>
        <v>69.39</v>
      </c>
      <c r="E2900" s="2">
        <v>51.33</v>
      </c>
      <c r="F2900" s="2">
        <v>2</v>
      </c>
      <c r="G2900" s="2" t="s">
        <v>9</v>
      </c>
      <c r="I2900" s="2" t="s">
        <v>4906</v>
      </c>
    </row>
    <row r="2901" spans="1:9" x14ac:dyDescent="0.2">
      <c r="A2901" s="2" t="s">
        <v>4475</v>
      </c>
      <c r="B2901" s="2" t="s">
        <v>2481</v>
      </c>
      <c r="C2901" s="2">
        <v>993.55359999999996</v>
      </c>
      <c r="D2901" s="2">
        <f>HYPERLINK("http://mcb-m6.bioreg.kyushu-u.ac.jp/M3/20110404/F50751/2593/1", 95.85)</f>
        <v>95.85</v>
      </c>
      <c r="E2901" s="2">
        <v>71.319999999999993</v>
      </c>
      <c r="F2901" s="2">
        <v>2</v>
      </c>
      <c r="G2901" s="2" t="s">
        <v>9</v>
      </c>
      <c r="I2901" s="2" t="s">
        <v>4906</v>
      </c>
    </row>
    <row r="2902" spans="1:9" x14ac:dyDescent="0.2">
      <c r="A2902" s="2" t="s">
        <v>4475</v>
      </c>
      <c r="B2902" s="2" t="s">
        <v>2417</v>
      </c>
      <c r="C2902" s="2">
        <v>575.61720000000003</v>
      </c>
      <c r="D2902" s="2">
        <f>HYPERLINK("http://mcb-m6.bioreg.kyushu-u.ac.jp/M3/20110421/F51014/1516/1", 61.59)</f>
        <v>61.59</v>
      </c>
      <c r="E2902" s="2">
        <v>42.29</v>
      </c>
      <c r="F2902" s="2">
        <v>2</v>
      </c>
      <c r="G2902" s="2" t="s">
        <v>11</v>
      </c>
      <c r="I2902" s="2" t="s">
        <v>4893</v>
      </c>
    </row>
    <row r="2903" spans="1:9" x14ac:dyDescent="0.2">
      <c r="A2903" s="2" t="s">
        <v>4475</v>
      </c>
      <c r="B2903" s="2" t="s">
        <v>2481</v>
      </c>
      <c r="C2903" s="2">
        <v>993.86220000000003</v>
      </c>
      <c r="D2903" s="2">
        <f>HYPERLINK("http://mcb-m6.bioreg.kyushu-u.ac.jp/M3/20110427/F51108/2825/1", 65.5)</f>
        <v>65.5</v>
      </c>
      <c r="E2903" s="2">
        <v>57.11</v>
      </c>
      <c r="F2903" s="2">
        <v>2</v>
      </c>
      <c r="G2903" s="2" t="s">
        <v>13</v>
      </c>
      <c r="I2903" s="2" t="s">
        <v>4906</v>
      </c>
    </row>
    <row r="2904" spans="1:9" x14ac:dyDescent="0.2">
      <c r="A2904" s="2" t="s">
        <v>4475</v>
      </c>
      <c r="B2904" s="2" t="s">
        <v>2481</v>
      </c>
      <c r="C2904" s="2">
        <v>993.30470000000003</v>
      </c>
      <c r="D2904" s="2">
        <f>HYPERLINK("http://mcb-m6.bioreg.kyushu-u.ac.jp/M3/20110427/F51108/2823/1", 90.79)</f>
        <v>90.79</v>
      </c>
      <c r="E2904" s="2">
        <v>77.75</v>
      </c>
      <c r="F2904" s="2">
        <v>2</v>
      </c>
      <c r="G2904" s="2" t="s">
        <v>13</v>
      </c>
      <c r="I2904" s="2" t="s">
        <v>4906</v>
      </c>
    </row>
    <row r="2905" spans="1:9" x14ac:dyDescent="0.2">
      <c r="A2905" s="2" t="s">
        <v>3530</v>
      </c>
      <c r="B2905" s="2" t="s">
        <v>378</v>
      </c>
      <c r="C2905" s="2">
        <v>633.94269999999995</v>
      </c>
      <c r="D2905" s="2">
        <f>HYPERLINK("http://mcb-m6.bioreg.kyushu-u.ac.jp/M3/20110404/F50751/1775/1", 48.09)</f>
        <v>48.09</v>
      </c>
      <c r="E2905" s="2">
        <v>15.48</v>
      </c>
      <c r="F2905" s="2">
        <v>2</v>
      </c>
      <c r="G2905" s="2" t="s">
        <v>9</v>
      </c>
    </row>
    <row r="2906" spans="1:9" x14ac:dyDescent="0.2">
      <c r="A2906" s="2" t="s">
        <v>3384</v>
      </c>
      <c r="B2906" s="2" t="s">
        <v>177</v>
      </c>
      <c r="C2906" s="2">
        <v>1170.431</v>
      </c>
      <c r="D2906" s="2">
        <f>HYPERLINK("http://mcb-m6.bioreg.kyushu-u.ac.jp/M3/20110404/F50752/1590/1", 38.84)</f>
        <v>38.840000000000003</v>
      </c>
      <c r="E2906" s="2">
        <v>17.399999999999999</v>
      </c>
      <c r="F2906" s="2">
        <v>1</v>
      </c>
      <c r="G2906" s="2" t="s">
        <v>9</v>
      </c>
    </row>
    <row r="2907" spans="1:9" x14ac:dyDescent="0.2">
      <c r="A2907" s="2" t="s">
        <v>3384</v>
      </c>
      <c r="B2907" s="2" t="s">
        <v>6227</v>
      </c>
      <c r="C2907" s="2">
        <v>649.65419999999995</v>
      </c>
      <c r="D2907" s="2">
        <f>HYPERLINK("http://mcb-m6.bioreg.kyushu-u.ac.jp/M3/20110404/F50753/1653/1", 47.5)</f>
        <v>47.5</v>
      </c>
      <c r="E2907" s="2">
        <v>19.77</v>
      </c>
      <c r="F2907" s="2">
        <v>2</v>
      </c>
      <c r="G2907" s="2" t="s">
        <v>9</v>
      </c>
    </row>
    <row r="2908" spans="1:9" x14ac:dyDescent="0.2">
      <c r="A2908" s="2" t="s">
        <v>3384</v>
      </c>
      <c r="B2908" s="2" t="s">
        <v>177</v>
      </c>
      <c r="C2908" s="2">
        <v>585.8202</v>
      </c>
      <c r="D2908" s="2">
        <f>HYPERLINK("http://mcb-m6.bioreg.kyushu-u.ac.jp/M3/20110404/F50752/1592/1", 81.25)</f>
        <v>81.25</v>
      </c>
      <c r="E2908" s="2">
        <v>55.1</v>
      </c>
      <c r="F2908" s="2">
        <v>2</v>
      </c>
      <c r="G2908" s="2" t="s">
        <v>9</v>
      </c>
    </row>
    <row r="2909" spans="1:9" x14ac:dyDescent="0.2">
      <c r="A2909" s="2" t="s">
        <v>3384</v>
      </c>
      <c r="B2909" s="2" t="s">
        <v>177</v>
      </c>
      <c r="C2909" s="2">
        <v>586.08169999999996</v>
      </c>
      <c r="D2909" s="2">
        <f>HYPERLINK("http://mcb-m6.bioreg.kyushu-u.ac.jp/M3/20110404/F50757/1696/1", 56.52)</f>
        <v>56.52</v>
      </c>
      <c r="E2909" s="2">
        <v>33.549999999999997</v>
      </c>
      <c r="F2909" s="2">
        <v>2</v>
      </c>
      <c r="G2909" s="2" t="s">
        <v>10</v>
      </c>
    </row>
    <row r="2910" spans="1:9" x14ac:dyDescent="0.2">
      <c r="A2910" s="2" t="s">
        <v>3816</v>
      </c>
      <c r="B2910" s="2" t="s">
        <v>876</v>
      </c>
      <c r="C2910" s="2">
        <v>666.34860000000003</v>
      </c>
      <c r="D2910" s="2">
        <f>HYPERLINK("http://mcb-m6.bioreg.kyushu-u.ac.jp/M3/20110404/F50752/1854/1", 66.54)</f>
        <v>66.540000000000006</v>
      </c>
      <c r="E2910" s="2">
        <v>42.81</v>
      </c>
      <c r="F2910" s="2">
        <v>2</v>
      </c>
      <c r="G2910" s="2" t="s">
        <v>9</v>
      </c>
      <c r="I2910" s="2" t="s">
        <v>4899</v>
      </c>
    </row>
    <row r="2911" spans="1:9" x14ac:dyDescent="0.2">
      <c r="A2911" s="2" t="s">
        <v>4884</v>
      </c>
      <c r="B2911" s="2" t="s">
        <v>3215</v>
      </c>
      <c r="C2911" s="2">
        <v>618.40869999999995</v>
      </c>
      <c r="D2911" s="2">
        <f>HYPERLINK("http://mcb-m6.bioreg.kyushu-u.ac.jp/M3/20110404/F50752/1731/1", 78.91)</f>
        <v>78.91</v>
      </c>
      <c r="E2911" s="2">
        <v>54.21</v>
      </c>
      <c r="F2911" s="2">
        <v>2</v>
      </c>
      <c r="G2911" s="2" t="s">
        <v>9</v>
      </c>
      <c r="I2911" s="2" t="s">
        <v>4905</v>
      </c>
    </row>
    <row r="2912" spans="1:9" x14ac:dyDescent="0.2">
      <c r="A2912" s="2" t="s">
        <v>4884</v>
      </c>
      <c r="B2912" s="2" t="s">
        <v>3215</v>
      </c>
      <c r="C2912" s="2">
        <v>618.07259999999997</v>
      </c>
      <c r="D2912" s="2">
        <f>HYPERLINK("http://mcb-m6.bioreg.kyushu-u.ac.jp/M3/20110427/F51110/1772/1", 40.68)</f>
        <v>40.68</v>
      </c>
      <c r="E2912" s="2">
        <v>20.73</v>
      </c>
      <c r="F2912" s="2">
        <v>2</v>
      </c>
      <c r="G2912" s="2" t="s">
        <v>13</v>
      </c>
      <c r="I2912" s="2" t="s">
        <v>4905</v>
      </c>
    </row>
    <row r="2913" spans="1:9" x14ac:dyDescent="0.2">
      <c r="A2913" s="2" t="s">
        <v>7728</v>
      </c>
      <c r="B2913" s="2" t="s">
        <v>6452</v>
      </c>
      <c r="C2913" s="2">
        <v>734.29819999999995</v>
      </c>
      <c r="D2913" s="2">
        <f>HYPERLINK("http://mcb-m6.bioreg.kyushu-u.ac.jp/M3/20110404/F50764/1862/1", 65.91)</f>
        <v>65.91</v>
      </c>
      <c r="E2913" s="2">
        <v>45.86</v>
      </c>
      <c r="F2913" s="2">
        <v>2</v>
      </c>
      <c r="G2913" s="2" t="s">
        <v>9</v>
      </c>
    </row>
    <row r="2914" spans="1:9" x14ac:dyDescent="0.2">
      <c r="A2914" s="2" t="s">
        <v>4054</v>
      </c>
      <c r="B2914" s="2" t="s">
        <v>7065</v>
      </c>
      <c r="C2914" s="2">
        <v>1013.32</v>
      </c>
      <c r="D2914" s="2">
        <f>HYPERLINK("http://mcb-m6.bioreg.kyushu-u.ac.jp/M3/20110404/F50768/2760/1", 136.82)</f>
        <v>136.82</v>
      </c>
      <c r="E2914" s="2">
        <v>123.1</v>
      </c>
      <c r="F2914" s="2">
        <v>2</v>
      </c>
      <c r="G2914" s="2" t="s">
        <v>10</v>
      </c>
    </row>
    <row r="2915" spans="1:9" x14ac:dyDescent="0.2">
      <c r="A2915" s="2" t="s">
        <v>4054</v>
      </c>
      <c r="B2915" s="2" t="s">
        <v>7098</v>
      </c>
      <c r="C2915" s="2">
        <v>800.88459999999998</v>
      </c>
      <c r="D2915" s="2">
        <f>HYPERLINK("http://mcb-m6.bioreg.kyushu-u.ac.jp/M3/20110421/F51034/2334/1", 40.61)</f>
        <v>40.61</v>
      </c>
      <c r="E2915" s="2">
        <v>28.4</v>
      </c>
      <c r="F2915" s="2">
        <v>2</v>
      </c>
      <c r="G2915" s="2" t="s">
        <v>11</v>
      </c>
    </row>
    <row r="2916" spans="1:9" x14ac:dyDescent="0.2">
      <c r="A2916" s="2" t="s">
        <v>4054</v>
      </c>
      <c r="B2916" s="2" t="s">
        <v>1410</v>
      </c>
      <c r="C2916" s="2">
        <v>767.43320000000006</v>
      </c>
      <c r="D2916" s="2">
        <f>HYPERLINK("http://mcb-m6.bioreg.kyushu-u.ac.jp/M3/20110421/F51034/2195/1", 70.73)</f>
        <v>70.73</v>
      </c>
      <c r="E2916" s="2">
        <v>51.15</v>
      </c>
      <c r="F2916" s="2">
        <v>2</v>
      </c>
      <c r="G2916" s="2" t="s">
        <v>11</v>
      </c>
    </row>
    <row r="2917" spans="1:9" x14ac:dyDescent="0.2">
      <c r="A2917" s="2" t="s">
        <v>4054</v>
      </c>
      <c r="B2917" s="2" t="s">
        <v>1410</v>
      </c>
      <c r="C2917" s="2">
        <v>767.22059999999999</v>
      </c>
      <c r="D2917" s="2">
        <f>HYPERLINK("http://mcb-m6.bioreg.kyushu-u.ac.jp/M3/20110427/F51114/2204/1", 67.08)</f>
        <v>67.08</v>
      </c>
      <c r="E2917" s="2">
        <v>42.58</v>
      </c>
      <c r="F2917" s="2">
        <v>2</v>
      </c>
      <c r="G2917" s="2" t="s">
        <v>13</v>
      </c>
    </row>
    <row r="2918" spans="1:9" x14ac:dyDescent="0.2">
      <c r="A2918" s="2" t="s">
        <v>4054</v>
      </c>
      <c r="B2918" s="2" t="s">
        <v>7098</v>
      </c>
      <c r="C2918" s="2">
        <v>800.92769999999996</v>
      </c>
      <c r="D2918" s="2">
        <f>HYPERLINK("http://mcb-m6.bioreg.kyushu-u.ac.jp/M3/20110427/F51114/2401/1", 88.89)</f>
        <v>88.89</v>
      </c>
      <c r="E2918" s="2">
        <v>69.510000000000005</v>
      </c>
      <c r="F2918" s="2">
        <v>2</v>
      </c>
      <c r="G2918" s="2" t="s">
        <v>13</v>
      </c>
    </row>
    <row r="2919" spans="1:9" x14ac:dyDescent="0.2">
      <c r="A2919" s="2" t="s">
        <v>4054</v>
      </c>
      <c r="B2919" s="2" t="s">
        <v>7444</v>
      </c>
      <c r="C2919" s="2">
        <v>903.39419999999996</v>
      </c>
      <c r="D2919" s="2">
        <f>HYPERLINK("http://mcb-m6.bioreg.kyushu-u.ac.jp/M3/20110427/F51114/2866/1", 121.96)</f>
        <v>121.96</v>
      </c>
      <c r="E2919" s="2">
        <v>100.77</v>
      </c>
      <c r="F2919" s="2">
        <v>2</v>
      </c>
      <c r="G2919" s="2" t="s">
        <v>13</v>
      </c>
    </row>
    <row r="2920" spans="1:9" x14ac:dyDescent="0.2">
      <c r="A2920" s="2" t="s">
        <v>5765</v>
      </c>
      <c r="B2920" s="2" t="s">
        <v>5388</v>
      </c>
      <c r="C2920" s="2">
        <v>656.87369999999999</v>
      </c>
      <c r="D2920" s="2">
        <f>HYPERLINK("http://mcb-m6.bioreg.kyushu-u.ac.jp/M3/20110404/F50756/1550/1", 45.73)</f>
        <v>45.73</v>
      </c>
      <c r="E2920" s="2">
        <v>31.6</v>
      </c>
      <c r="F2920" s="2">
        <v>2</v>
      </c>
      <c r="G2920" s="2" t="s">
        <v>9</v>
      </c>
    </row>
    <row r="2921" spans="1:9" x14ac:dyDescent="0.2">
      <c r="A2921" s="2" t="s">
        <v>5765</v>
      </c>
      <c r="B2921" s="2" t="s">
        <v>6372</v>
      </c>
      <c r="C2921" s="2">
        <v>821.30219999999997</v>
      </c>
      <c r="D2921" s="2">
        <f>HYPERLINK("http://mcb-m6.bioreg.kyushu-u.ac.jp/M3/20110404/F50756/2345/1", 57.17)</f>
        <v>57.17</v>
      </c>
      <c r="E2921" s="2">
        <v>50.41</v>
      </c>
      <c r="F2921" s="2">
        <v>2</v>
      </c>
      <c r="G2921" s="2" t="s">
        <v>9</v>
      </c>
      <c r="I2921" s="2" t="s">
        <v>4903</v>
      </c>
    </row>
    <row r="2922" spans="1:9" x14ac:dyDescent="0.2">
      <c r="A2922" s="2" t="s">
        <v>5765</v>
      </c>
      <c r="B2922" s="2" t="s">
        <v>6931</v>
      </c>
      <c r="C2922" s="2">
        <v>585.22519999999997</v>
      </c>
      <c r="D2922" s="2">
        <f>HYPERLINK("http://mcb-m6.bioreg.kyushu-u.ac.jp/M3/20110404/F50761/1260/1", 61.18)</f>
        <v>61.18</v>
      </c>
      <c r="E2922" s="2">
        <v>39.93</v>
      </c>
      <c r="F2922" s="2">
        <v>2</v>
      </c>
      <c r="G2922" s="2" t="s">
        <v>10</v>
      </c>
    </row>
    <row r="2923" spans="1:9" x14ac:dyDescent="0.2">
      <c r="A2923" s="2" t="s">
        <v>5765</v>
      </c>
      <c r="B2923" s="2" t="s">
        <v>6952</v>
      </c>
      <c r="C2923" s="2">
        <v>580.74069999999995</v>
      </c>
      <c r="D2923" s="2">
        <f>HYPERLINK("http://mcb-m6.bioreg.kyushu-u.ac.jp/M3/20110404/F50761/1238/1", 65.08)</f>
        <v>65.08</v>
      </c>
      <c r="E2923" s="2">
        <v>39.79</v>
      </c>
      <c r="F2923" s="2">
        <v>2</v>
      </c>
      <c r="G2923" s="2" t="s">
        <v>10</v>
      </c>
    </row>
    <row r="2924" spans="1:9" x14ac:dyDescent="0.2">
      <c r="A2924" s="2" t="s">
        <v>7850</v>
      </c>
      <c r="B2924" s="2" t="s">
        <v>6828</v>
      </c>
      <c r="C2924" s="2">
        <v>772.47799999999995</v>
      </c>
      <c r="D2924" s="2">
        <f>HYPERLINK("http://mcb-m6.bioreg.kyushu-u.ac.jp/M3/20110404/F50770/832/4", 46.66)</f>
        <v>46.66</v>
      </c>
      <c r="E2924" s="2">
        <v>5.04</v>
      </c>
      <c r="F2924" s="2">
        <v>1</v>
      </c>
      <c r="G2924" s="2" t="s">
        <v>10</v>
      </c>
    </row>
    <row r="2925" spans="1:9" x14ac:dyDescent="0.2">
      <c r="A2925" s="2" t="s">
        <v>3909</v>
      </c>
      <c r="B2925" s="2" t="s">
        <v>1073</v>
      </c>
      <c r="C2925" s="2">
        <v>895.28520000000003</v>
      </c>
      <c r="D2925" s="2">
        <f>HYPERLINK("http://mcb-m6.bioreg.kyushu-u.ac.jp/M3/20110404/F50753/2594/1", 55.89)</f>
        <v>55.89</v>
      </c>
      <c r="E2925" s="2">
        <v>39.770000000000003</v>
      </c>
      <c r="F2925" s="2">
        <v>2</v>
      </c>
      <c r="G2925" s="2" t="s">
        <v>9</v>
      </c>
    </row>
    <row r="2926" spans="1:9" x14ac:dyDescent="0.2">
      <c r="A2926" s="2" t="s">
        <v>3909</v>
      </c>
      <c r="B2926" s="2" t="s">
        <v>1073</v>
      </c>
      <c r="C2926" s="2">
        <v>894.68320000000006</v>
      </c>
      <c r="D2926" s="2">
        <f>HYPERLINK("http://mcb-m6.bioreg.kyushu-u.ac.jp/M3/20110404/F50753/2591/1", 58.71)</f>
        <v>58.71</v>
      </c>
      <c r="E2926" s="2">
        <v>39.14</v>
      </c>
      <c r="F2926" s="2">
        <v>2</v>
      </c>
      <c r="G2926" s="2" t="s">
        <v>9</v>
      </c>
    </row>
    <row r="2927" spans="1:9" x14ac:dyDescent="0.2">
      <c r="A2927" s="2" t="s">
        <v>3387</v>
      </c>
      <c r="B2927" s="2" t="s">
        <v>6051</v>
      </c>
      <c r="C2927" s="2">
        <v>558.04859999999996</v>
      </c>
      <c r="D2927" s="2">
        <f>HYPERLINK("http://mcb-m6.bioreg.kyushu-u.ac.jp/M3/20110404/F50753/1361/1", 40.27)</f>
        <v>40.270000000000003</v>
      </c>
      <c r="E2927" s="2">
        <v>24.32</v>
      </c>
      <c r="F2927" s="2">
        <v>2</v>
      </c>
      <c r="G2927" s="2" t="s">
        <v>9</v>
      </c>
    </row>
    <row r="2928" spans="1:9" x14ac:dyDescent="0.2">
      <c r="A2928" s="2" t="s">
        <v>3387</v>
      </c>
      <c r="B2928" s="2" t="s">
        <v>1437</v>
      </c>
      <c r="C2928" s="2">
        <v>928.25459999999998</v>
      </c>
      <c r="D2928" s="2">
        <f>HYPERLINK("http://mcb-m6.bioreg.kyushu-u.ac.jp/M3/20110404/F50754/2704/1", 65.19)</f>
        <v>65.19</v>
      </c>
      <c r="E2928" s="2">
        <v>48.55</v>
      </c>
      <c r="F2928" s="2">
        <v>2</v>
      </c>
      <c r="G2928" s="2" t="s">
        <v>9</v>
      </c>
    </row>
    <row r="2929" spans="1:9" x14ac:dyDescent="0.2">
      <c r="A2929" s="2" t="s">
        <v>3387</v>
      </c>
      <c r="B2929" s="2" t="s">
        <v>180</v>
      </c>
      <c r="C2929" s="2">
        <v>1098.4369999999999</v>
      </c>
      <c r="D2929" s="2">
        <f>HYPERLINK("http://mcb-m6.bioreg.kyushu-u.ac.jp/M3/20110404/F50753/1339/1", 68)</f>
        <v>68</v>
      </c>
      <c r="E2929" s="2">
        <v>43.89</v>
      </c>
      <c r="F2929" s="2">
        <v>1</v>
      </c>
      <c r="G2929" s="2" t="s">
        <v>9</v>
      </c>
    </row>
    <row r="2930" spans="1:9" x14ac:dyDescent="0.2">
      <c r="A2930" s="2" t="s">
        <v>3387</v>
      </c>
      <c r="B2930" s="2" t="s">
        <v>1437</v>
      </c>
      <c r="C2930" s="2">
        <v>928.28309999999999</v>
      </c>
      <c r="D2930" s="2">
        <f>HYPERLINK("http://mcb-m6.bioreg.kyushu-u.ac.jp/M3/20110404/F50753/2714/1", 73.68)</f>
        <v>73.680000000000007</v>
      </c>
      <c r="E2930" s="2">
        <v>51.41</v>
      </c>
      <c r="F2930" s="2">
        <v>2</v>
      </c>
      <c r="G2930" s="2" t="s">
        <v>9</v>
      </c>
    </row>
    <row r="2931" spans="1:9" x14ac:dyDescent="0.2">
      <c r="A2931" s="2" t="s">
        <v>3387</v>
      </c>
      <c r="B2931" s="2" t="s">
        <v>350</v>
      </c>
      <c r="C2931" s="2">
        <v>1047.194</v>
      </c>
      <c r="D2931" s="2">
        <f>HYPERLINK("http://mcb-m6.bioreg.kyushu-u.ac.jp/M3/20110404/F50753/3016/1", 74.27)</f>
        <v>74.27</v>
      </c>
      <c r="E2931" s="2">
        <v>63.97</v>
      </c>
      <c r="F2931" s="2">
        <v>2</v>
      </c>
      <c r="G2931" s="2" t="s">
        <v>9</v>
      </c>
      <c r="I2931" s="2" t="s">
        <v>4903</v>
      </c>
    </row>
    <row r="2932" spans="1:9" x14ac:dyDescent="0.2">
      <c r="A2932" s="2" t="s">
        <v>3387</v>
      </c>
      <c r="B2932" s="2" t="s">
        <v>180</v>
      </c>
      <c r="C2932" s="2">
        <v>549.82569999999998</v>
      </c>
      <c r="D2932" s="2">
        <f>HYPERLINK("http://mcb-m6.bioreg.kyushu-u.ac.jp/M3/20110404/F50753/1340/1", 82.4)</f>
        <v>82.4</v>
      </c>
      <c r="E2932" s="2">
        <v>53.2</v>
      </c>
      <c r="F2932" s="2">
        <v>2</v>
      </c>
      <c r="G2932" s="2" t="s">
        <v>9</v>
      </c>
    </row>
    <row r="2933" spans="1:9" x14ac:dyDescent="0.2">
      <c r="A2933" s="2" t="s">
        <v>3387</v>
      </c>
      <c r="B2933" s="2" t="s">
        <v>1437</v>
      </c>
      <c r="C2933" s="2">
        <v>928.92660000000001</v>
      </c>
      <c r="D2933" s="2">
        <f>HYPERLINK("http://mcb-m6.bioreg.kyushu-u.ac.jp/M3/20110404/F50753/2715/1", 87.67)</f>
        <v>87.67</v>
      </c>
      <c r="E2933" s="2">
        <v>70.42</v>
      </c>
      <c r="F2933" s="2">
        <v>2</v>
      </c>
      <c r="G2933" s="2" t="s">
        <v>9</v>
      </c>
    </row>
    <row r="2934" spans="1:9" x14ac:dyDescent="0.2">
      <c r="A2934" s="2" t="s">
        <v>3387</v>
      </c>
      <c r="B2934" s="2" t="s">
        <v>6051</v>
      </c>
      <c r="C2934" s="2">
        <v>558.17769999999996</v>
      </c>
      <c r="D2934" s="2">
        <f>HYPERLINK("http://mcb-m6.bioreg.kyushu-u.ac.jp/M3/20110404/F50758/1348/1", 46.8)</f>
        <v>46.8</v>
      </c>
      <c r="E2934" s="2">
        <v>31.35</v>
      </c>
      <c r="F2934" s="2">
        <v>2</v>
      </c>
      <c r="G2934" s="2" t="s">
        <v>10</v>
      </c>
    </row>
    <row r="2935" spans="1:9" x14ac:dyDescent="0.2">
      <c r="A2935" s="2" t="s">
        <v>3387</v>
      </c>
      <c r="B2935" s="2" t="s">
        <v>180</v>
      </c>
      <c r="C2935" s="2">
        <v>1098.616</v>
      </c>
      <c r="D2935" s="2">
        <f>HYPERLINK("http://mcb-m6.bioreg.kyushu-u.ac.jp/M3/20110404/F50758/1333/1", 58.08)</f>
        <v>58.08</v>
      </c>
      <c r="E2935" s="2">
        <v>32.700000000000003</v>
      </c>
      <c r="F2935" s="2">
        <v>1</v>
      </c>
      <c r="G2935" s="2" t="s">
        <v>10</v>
      </c>
    </row>
    <row r="2936" spans="1:9" x14ac:dyDescent="0.2">
      <c r="A2936" s="2" t="s">
        <v>3387</v>
      </c>
      <c r="B2936" s="2" t="s">
        <v>180</v>
      </c>
      <c r="C2936" s="2">
        <v>549.64170000000001</v>
      </c>
      <c r="D2936" s="2">
        <f>HYPERLINK("http://mcb-m6.bioreg.kyushu-u.ac.jp/M3/20110404/F50758/1332/1", 59.56)</f>
        <v>59.56</v>
      </c>
      <c r="E2936" s="2">
        <v>24.69</v>
      </c>
      <c r="F2936" s="2">
        <v>2</v>
      </c>
      <c r="G2936" s="2" t="s">
        <v>10</v>
      </c>
    </row>
    <row r="2937" spans="1:9" x14ac:dyDescent="0.2">
      <c r="A2937" s="2" t="s">
        <v>3387</v>
      </c>
      <c r="B2937" s="2" t="s">
        <v>1437</v>
      </c>
      <c r="C2937" s="2">
        <v>928.28420000000006</v>
      </c>
      <c r="D2937" s="2">
        <f>HYPERLINK("http://mcb-m6.bioreg.kyushu-u.ac.jp/M3/20110404/F50758/2529/1", 60.33)</f>
        <v>60.33</v>
      </c>
      <c r="E2937" s="2">
        <v>40.49</v>
      </c>
      <c r="F2937" s="2">
        <v>2</v>
      </c>
      <c r="G2937" s="2" t="s">
        <v>10</v>
      </c>
    </row>
    <row r="2938" spans="1:9" x14ac:dyDescent="0.2">
      <c r="A2938" s="2" t="s">
        <v>3387</v>
      </c>
      <c r="B2938" s="2" t="s">
        <v>350</v>
      </c>
      <c r="C2938" s="2">
        <v>1047.3900000000001</v>
      </c>
      <c r="D2938" s="2">
        <f>HYPERLINK("http://mcb-m6.bioreg.kyushu-u.ac.jp/M3/20110404/F50758/2789/1", 62.29)</f>
        <v>62.29</v>
      </c>
      <c r="E2938" s="2">
        <v>54.05</v>
      </c>
      <c r="F2938" s="2">
        <v>2</v>
      </c>
      <c r="G2938" s="2" t="s">
        <v>10</v>
      </c>
      <c r="I2938" s="2" t="s">
        <v>4903</v>
      </c>
    </row>
    <row r="2939" spans="1:9" x14ac:dyDescent="0.2">
      <c r="A2939" s="2" t="s">
        <v>3387</v>
      </c>
      <c r="B2939" s="2" t="s">
        <v>350</v>
      </c>
      <c r="C2939" s="2">
        <v>1046.8440000000001</v>
      </c>
      <c r="D2939" s="2">
        <f>HYPERLINK("http://mcb-m6.bioreg.kyushu-u.ac.jp/M3/20110404/F50758/2787/1", 71.19)</f>
        <v>71.19</v>
      </c>
      <c r="E2939" s="2">
        <v>61.36</v>
      </c>
      <c r="F2939" s="2">
        <v>2</v>
      </c>
      <c r="G2939" s="2" t="s">
        <v>10</v>
      </c>
      <c r="I2939" s="2" t="s">
        <v>4903</v>
      </c>
    </row>
    <row r="2940" spans="1:9" x14ac:dyDescent="0.2">
      <c r="A2940" s="2" t="s">
        <v>3387</v>
      </c>
      <c r="B2940" s="2" t="s">
        <v>180</v>
      </c>
      <c r="C2940" s="2">
        <v>549.62869999999998</v>
      </c>
      <c r="D2940" s="2">
        <f>HYPERLINK("http://mcb-m6.bioreg.kyushu-u.ac.jp/M3/20110421/F51017/1132/1", 56.86)</f>
        <v>56.86</v>
      </c>
      <c r="E2940" s="2">
        <v>27.86</v>
      </c>
      <c r="F2940" s="2">
        <v>2</v>
      </c>
      <c r="G2940" s="2" t="s">
        <v>11</v>
      </c>
    </row>
    <row r="2941" spans="1:9" x14ac:dyDescent="0.2">
      <c r="A2941" s="2" t="s">
        <v>3387</v>
      </c>
      <c r="B2941" s="2" t="s">
        <v>1437</v>
      </c>
      <c r="C2941" s="2">
        <v>928.32510000000002</v>
      </c>
      <c r="D2941" s="2">
        <f>HYPERLINK("http://mcb-m6.bioreg.kyushu-u.ac.jp/M3/20110421/F51018/2854/1", 66.2)</f>
        <v>66.2</v>
      </c>
      <c r="E2941" s="2">
        <v>48.08</v>
      </c>
      <c r="F2941" s="2">
        <v>2</v>
      </c>
      <c r="G2941" s="2" t="s">
        <v>11</v>
      </c>
    </row>
    <row r="2942" spans="1:9" x14ac:dyDescent="0.2">
      <c r="A2942" s="2" t="s">
        <v>3387</v>
      </c>
      <c r="B2942" s="2" t="s">
        <v>180</v>
      </c>
      <c r="C2942" s="2">
        <v>1099.088</v>
      </c>
      <c r="D2942" s="2">
        <f>HYPERLINK("http://mcb-m6.bioreg.kyushu-u.ac.jp/M3/20110421/F51023/1444/1", 43.9)</f>
        <v>43.9</v>
      </c>
      <c r="E2942" s="2">
        <v>20.69</v>
      </c>
      <c r="F2942" s="2">
        <v>1</v>
      </c>
      <c r="G2942" s="2" t="s">
        <v>12</v>
      </c>
    </row>
    <row r="2943" spans="1:9" x14ac:dyDescent="0.2">
      <c r="A2943" s="2" t="s">
        <v>3387</v>
      </c>
      <c r="B2943" s="2" t="s">
        <v>180</v>
      </c>
      <c r="C2943" s="2">
        <v>549.77470000000005</v>
      </c>
      <c r="D2943" s="2">
        <f>HYPERLINK("http://mcb-m6.bioreg.kyushu-u.ac.jp/M3/20110421/F51023/1440/1", 60.8)</f>
        <v>60.8</v>
      </c>
      <c r="E2943" s="2">
        <v>31.25</v>
      </c>
      <c r="F2943" s="2">
        <v>2</v>
      </c>
      <c r="G2943" s="2" t="s">
        <v>12</v>
      </c>
    </row>
    <row r="2944" spans="1:9" x14ac:dyDescent="0.2">
      <c r="A2944" s="2" t="s">
        <v>3387</v>
      </c>
      <c r="B2944" s="2" t="s">
        <v>1437</v>
      </c>
      <c r="C2944" s="2">
        <v>928.36320000000001</v>
      </c>
      <c r="D2944" s="2">
        <f>HYPERLINK("http://mcb-m6.bioreg.kyushu-u.ac.jp/M3/20110421/F51023/2716/1", 73.21)</f>
        <v>73.209999999999994</v>
      </c>
      <c r="E2944" s="2">
        <v>53.79</v>
      </c>
      <c r="F2944" s="2">
        <v>2</v>
      </c>
      <c r="G2944" s="2" t="s">
        <v>12</v>
      </c>
    </row>
    <row r="2945" spans="1:8" x14ac:dyDescent="0.2">
      <c r="A2945" s="2" t="s">
        <v>3387</v>
      </c>
      <c r="B2945" s="2" t="s">
        <v>1437</v>
      </c>
      <c r="C2945" s="2">
        <v>928.40369999999996</v>
      </c>
      <c r="D2945" s="2">
        <f>HYPERLINK("http://mcb-m6.bioreg.kyushu-u.ac.jp/M3/20110427/F51111/2944/1", 50.94)</f>
        <v>50.94</v>
      </c>
      <c r="E2945" s="2">
        <v>35.49</v>
      </c>
      <c r="F2945" s="2">
        <v>2</v>
      </c>
      <c r="G2945" s="2" t="s">
        <v>13</v>
      </c>
    </row>
    <row r="2946" spans="1:8" x14ac:dyDescent="0.2">
      <c r="A2946" s="2" t="s">
        <v>3387</v>
      </c>
      <c r="B2946" s="2" t="s">
        <v>180</v>
      </c>
      <c r="C2946" s="2">
        <v>549.60419999999999</v>
      </c>
      <c r="D2946" s="2">
        <f>HYPERLINK("http://mcb-m6.bioreg.kyushu-u.ac.jp/M3/20110427/F51120/1499/1", 59.14)</f>
        <v>59.14</v>
      </c>
      <c r="E2946" s="2">
        <v>31.09</v>
      </c>
      <c r="F2946" s="2">
        <v>2</v>
      </c>
      <c r="G2946" s="2" t="s">
        <v>14</v>
      </c>
    </row>
    <row r="2947" spans="1:8" x14ac:dyDescent="0.2">
      <c r="A2947" s="2" t="s">
        <v>3387</v>
      </c>
      <c r="B2947" s="2" t="s">
        <v>1437</v>
      </c>
      <c r="C2947" s="2">
        <v>928.78610000000003</v>
      </c>
      <c r="D2947" s="2">
        <f>HYPERLINK("http://mcb-m6.bioreg.kyushu-u.ac.jp/M3/20110427/F51120/2709/1", 59.62)</f>
        <v>59.62</v>
      </c>
      <c r="E2947" s="2">
        <v>43.48</v>
      </c>
      <c r="F2947" s="2">
        <v>2</v>
      </c>
      <c r="G2947" s="2" t="s">
        <v>14</v>
      </c>
    </row>
    <row r="2948" spans="1:8" x14ac:dyDescent="0.2">
      <c r="A2948" s="2" t="s">
        <v>3387</v>
      </c>
      <c r="B2948" s="2" t="s">
        <v>1437</v>
      </c>
      <c r="C2948" s="2">
        <v>928.22469999999998</v>
      </c>
      <c r="D2948" s="2">
        <f>HYPERLINK("http://mcb-m6.bioreg.kyushu-u.ac.jp/M3/20110427/F51120/2708/1", 62.73)</f>
        <v>62.73</v>
      </c>
      <c r="E2948" s="2">
        <v>43.6</v>
      </c>
      <c r="F2948" s="2">
        <v>2</v>
      </c>
      <c r="G2948" s="2" t="s">
        <v>14</v>
      </c>
    </row>
    <row r="2949" spans="1:8" x14ac:dyDescent="0.2">
      <c r="A2949" s="2" t="s">
        <v>7712</v>
      </c>
      <c r="B2949" s="2" t="s">
        <v>6406</v>
      </c>
      <c r="C2949" s="2">
        <v>614.60609999999997</v>
      </c>
      <c r="D2949" s="2">
        <f>HYPERLINK("http://mcb-m6.bioreg.kyushu-u.ac.jp/M3/20110404/F50753/1557/1", 60.66)</f>
        <v>60.66</v>
      </c>
      <c r="E2949" s="2">
        <v>41.08</v>
      </c>
      <c r="F2949" s="2">
        <v>2</v>
      </c>
      <c r="G2949" s="2" t="s">
        <v>9</v>
      </c>
    </row>
    <row r="2950" spans="1:8" x14ac:dyDescent="0.2">
      <c r="A2950" s="2" t="s">
        <v>7712</v>
      </c>
      <c r="B2950" s="2" t="s">
        <v>6406</v>
      </c>
      <c r="C2950" s="2">
        <v>1228.4860000000001</v>
      </c>
      <c r="D2950" s="2">
        <f>HYPERLINK("http://mcb-m6.bioreg.kyushu-u.ac.jp/M3/20110404/F50758/1509/1", 43.56)</f>
        <v>43.56</v>
      </c>
      <c r="E2950" s="2">
        <v>19.45</v>
      </c>
      <c r="F2950" s="2">
        <v>1</v>
      </c>
      <c r="G2950" s="2" t="s">
        <v>10</v>
      </c>
    </row>
    <row r="2951" spans="1:8" x14ac:dyDescent="0.2">
      <c r="A2951" s="2" t="s">
        <v>7572</v>
      </c>
      <c r="B2951" s="2" t="s">
        <v>6015</v>
      </c>
      <c r="C2951" s="2">
        <v>685.66859999999997</v>
      </c>
      <c r="D2951" s="2">
        <f>HYPERLINK("http://mcb-m6.bioreg.kyushu-u.ac.jp/M3/20110404/F50756/1664/1", 38.86)</f>
        <v>38.86</v>
      </c>
      <c r="E2951" s="2">
        <v>19.260000000000002</v>
      </c>
      <c r="F2951" s="2">
        <v>2</v>
      </c>
      <c r="G2951" s="2" t="s">
        <v>9</v>
      </c>
    </row>
    <row r="2952" spans="1:8" x14ac:dyDescent="0.2">
      <c r="A2952" s="2" t="s">
        <v>3844</v>
      </c>
      <c r="B2952" s="2" t="s">
        <v>936</v>
      </c>
      <c r="C2952" s="2">
        <v>606.33259999999996</v>
      </c>
      <c r="D2952" s="2">
        <f>HYPERLINK("http://mcb-m6.bioreg.kyushu-u.ac.jp/M3/20110404/F50752/1681/1", 59.76)</f>
        <v>59.76</v>
      </c>
      <c r="E2952" s="2">
        <v>35.81</v>
      </c>
      <c r="F2952" s="2">
        <v>2</v>
      </c>
      <c r="G2952" s="2" t="s">
        <v>9</v>
      </c>
    </row>
    <row r="2953" spans="1:8" x14ac:dyDescent="0.2">
      <c r="A2953" s="2" t="s">
        <v>3844</v>
      </c>
      <c r="B2953" s="2" t="s">
        <v>936</v>
      </c>
      <c r="C2953" s="2">
        <v>1194.4159999999999</v>
      </c>
      <c r="D2953" s="2">
        <f>HYPERLINK("http://mcb-m6.bioreg.kyushu-u.ac.jp/M3/20110404/F50757/1728/1", 41.79)</f>
        <v>41.79</v>
      </c>
      <c r="E2953" s="2">
        <v>23.6</v>
      </c>
      <c r="F2953" s="2">
        <v>1</v>
      </c>
      <c r="G2953" s="2" t="s">
        <v>10</v>
      </c>
      <c r="H2953" s="2" t="s">
        <v>4904</v>
      </c>
    </row>
    <row r="2954" spans="1:8" x14ac:dyDescent="0.2">
      <c r="A2954" s="2" t="s">
        <v>3844</v>
      </c>
      <c r="B2954" s="2" t="s">
        <v>936</v>
      </c>
      <c r="C2954" s="2">
        <v>598.32119999999998</v>
      </c>
      <c r="D2954" s="2">
        <f>HYPERLINK("http://mcb-m6.bioreg.kyushu-u.ac.jp/M3/20110404/F50757/1734/1", 47.62)</f>
        <v>47.62</v>
      </c>
      <c r="E2954" s="2">
        <v>25.98</v>
      </c>
      <c r="F2954" s="2">
        <v>2</v>
      </c>
      <c r="G2954" s="2" t="s">
        <v>10</v>
      </c>
      <c r="H2954" s="2" t="s">
        <v>4904</v>
      </c>
    </row>
    <row r="2955" spans="1:8" x14ac:dyDescent="0.2">
      <c r="A2955" s="2" t="s">
        <v>3844</v>
      </c>
      <c r="B2955" s="2" t="s">
        <v>936</v>
      </c>
      <c r="C2955" s="2">
        <v>606.17660000000001</v>
      </c>
      <c r="D2955" s="2">
        <f>HYPERLINK("http://mcb-m6.bioreg.kyushu-u.ac.jp/M3/20110404/F50757/1758/1", 78.79)</f>
        <v>78.790000000000006</v>
      </c>
      <c r="E2955" s="2">
        <v>58.74</v>
      </c>
      <c r="F2955" s="2">
        <v>2</v>
      </c>
      <c r="G2955" s="2" t="s">
        <v>10</v>
      </c>
    </row>
    <row r="2956" spans="1:8" x14ac:dyDescent="0.2">
      <c r="A2956" s="2" t="s">
        <v>3844</v>
      </c>
      <c r="B2956" s="2" t="s">
        <v>936</v>
      </c>
      <c r="C2956" s="2">
        <v>606.6866</v>
      </c>
      <c r="D2956" s="2">
        <f>HYPERLINK("http://mcb-m6.bioreg.kyushu-u.ac.jp/M3/20110421/F51016/1744/1", 55.92)</f>
        <v>55.92</v>
      </c>
      <c r="E2956" s="2">
        <v>30.68</v>
      </c>
      <c r="F2956" s="2">
        <v>2</v>
      </c>
      <c r="G2956" s="2" t="s">
        <v>11</v>
      </c>
    </row>
    <row r="2957" spans="1:8" x14ac:dyDescent="0.2">
      <c r="A2957" s="2" t="s">
        <v>3844</v>
      </c>
      <c r="B2957" s="2" t="s">
        <v>936</v>
      </c>
      <c r="C2957" s="2">
        <v>606.22720000000004</v>
      </c>
      <c r="D2957" s="2">
        <f>HYPERLINK("http://mcb-m6.bioreg.kyushu-u.ac.jp/M3/20110421/F51022/1789/1", 81.05)</f>
        <v>81.05</v>
      </c>
      <c r="E2957" s="2">
        <v>56.35</v>
      </c>
      <c r="F2957" s="2">
        <v>2</v>
      </c>
      <c r="G2957" s="2" t="s">
        <v>12</v>
      </c>
    </row>
    <row r="2958" spans="1:8" x14ac:dyDescent="0.2">
      <c r="A2958" s="2" t="s">
        <v>3844</v>
      </c>
      <c r="B2958" s="2" t="s">
        <v>936</v>
      </c>
      <c r="C2958" s="2">
        <v>606.66219999999998</v>
      </c>
      <c r="D2958" s="2">
        <f>HYPERLINK("http://mcb-m6.bioreg.kyushu-u.ac.jp/M3/20110427/F51119/1814/1", 73.91)</f>
        <v>73.91</v>
      </c>
      <c r="E2958" s="2">
        <v>53.45</v>
      </c>
      <c r="F2958" s="2">
        <v>2</v>
      </c>
      <c r="G2958" s="2" t="s">
        <v>14</v>
      </c>
    </row>
    <row r="2959" spans="1:8" x14ac:dyDescent="0.2">
      <c r="A2959" s="2" t="s">
        <v>4016</v>
      </c>
      <c r="B2959" s="2" t="s">
        <v>1898</v>
      </c>
      <c r="C2959" s="2">
        <v>937.50599999999997</v>
      </c>
      <c r="D2959" s="2">
        <f>HYPERLINK("http://mcb-m6.bioreg.kyushu-u.ac.jp/M3/20110404/F50752/1245/1", 35.84)</f>
        <v>35.840000000000003</v>
      </c>
      <c r="E2959" s="2">
        <v>22.02</v>
      </c>
      <c r="F2959" s="2">
        <v>1</v>
      </c>
      <c r="G2959" s="2" t="s">
        <v>9</v>
      </c>
    </row>
    <row r="2960" spans="1:8" x14ac:dyDescent="0.2">
      <c r="A2960" s="2" t="s">
        <v>4016</v>
      </c>
      <c r="B2960" s="2" t="s">
        <v>1468</v>
      </c>
      <c r="C2960" s="2">
        <v>853.88710000000003</v>
      </c>
      <c r="D2960" s="2">
        <f>HYPERLINK("http://mcb-m6.bioreg.kyushu-u.ac.jp/M3/20110404/F50752/2459/1", 93.91)</f>
        <v>93.91</v>
      </c>
      <c r="E2960" s="2">
        <v>81.09</v>
      </c>
      <c r="F2960" s="2">
        <v>2</v>
      </c>
      <c r="G2960" s="2" t="s">
        <v>9</v>
      </c>
    </row>
    <row r="2961" spans="1:7" x14ac:dyDescent="0.2">
      <c r="A2961" s="2" t="s">
        <v>4016</v>
      </c>
      <c r="B2961" s="2" t="s">
        <v>1657</v>
      </c>
      <c r="C2961" s="2">
        <v>799.07759999999996</v>
      </c>
      <c r="D2961" s="2">
        <f>HYPERLINK("http://mcb-m6.bioreg.kyushu-u.ac.jp/M3/20110404/F50752/2302/1", 104.1)</f>
        <v>104.1</v>
      </c>
      <c r="E2961" s="2">
        <v>86.58</v>
      </c>
      <c r="F2961" s="2">
        <v>2</v>
      </c>
      <c r="G2961" s="2" t="s">
        <v>9</v>
      </c>
    </row>
    <row r="2962" spans="1:7" x14ac:dyDescent="0.2">
      <c r="A2962" s="2" t="s">
        <v>4016</v>
      </c>
      <c r="B2962" s="2" t="s">
        <v>1894</v>
      </c>
      <c r="C2962" s="2">
        <v>554.72969999999998</v>
      </c>
      <c r="D2962" s="2">
        <f>HYPERLINK("http://mcb-m6.bioreg.kyushu-u.ac.jp/M3/20110404/F50757/1635/1", 64.61)</f>
        <v>64.61</v>
      </c>
      <c r="E2962" s="2">
        <v>32.049999999999997</v>
      </c>
      <c r="F2962" s="2">
        <v>2</v>
      </c>
      <c r="G2962" s="2" t="s">
        <v>10</v>
      </c>
    </row>
    <row r="2963" spans="1:7" x14ac:dyDescent="0.2">
      <c r="A2963" s="2" t="s">
        <v>4016</v>
      </c>
      <c r="B2963" s="2" t="s">
        <v>1468</v>
      </c>
      <c r="C2963" s="2">
        <v>854.26170000000002</v>
      </c>
      <c r="D2963" s="2">
        <f>HYPERLINK("http://mcb-m6.bioreg.kyushu-u.ac.jp/M3/20110404/F50757/2340/1", 74.34)</f>
        <v>74.34</v>
      </c>
      <c r="E2963" s="2">
        <v>59.14</v>
      </c>
      <c r="F2963" s="2">
        <v>2</v>
      </c>
      <c r="G2963" s="2" t="s">
        <v>10</v>
      </c>
    </row>
    <row r="2964" spans="1:7" x14ac:dyDescent="0.2">
      <c r="A2964" s="2" t="s">
        <v>4016</v>
      </c>
      <c r="B2964" s="2" t="s">
        <v>1610</v>
      </c>
      <c r="C2964" s="2">
        <v>918.24469999999997</v>
      </c>
      <c r="D2964" s="2">
        <f>HYPERLINK("http://mcb-m6.bioreg.kyushu-u.ac.jp/M3/20110404/F50758/2497/1", 82.24)</f>
        <v>82.24</v>
      </c>
      <c r="E2964" s="2">
        <v>70.25</v>
      </c>
      <c r="F2964" s="2">
        <v>2</v>
      </c>
      <c r="G2964" s="2" t="s">
        <v>10</v>
      </c>
    </row>
    <row r="2965" spans="1:7" x14ac:dyDescent="0.2">
      <c r="A2965" s="2" t="s">
        <v>4016</v>
      </c>
      <c r="B2965" s="2" t="s">
        <v>1468</v>
      </c>
      <c r="C2965" s="2">
        <v>853.75369999999998</v>
      </c>
      <c r="D2965" s="2">
        <f>HYPERLINK("http://mcb-m6.bioreg.kyushu-u.ac.jp/M3/20110404/F50757/2339/1", 104.38)</f>
        <v>104.38</v>
      </c>
      <c r="E2965" s="2">
        <v>83.52</v>
      </c>
      <c r="F2965" s="2">
        <v>2</v>
      </c>
      <c r="G2965" s="2" t="s">
        <v>10</v>
      </c>
    </row>
    <row r="2966" spans="1:7" x14ac:dyDescent="0.2">
      <c r="A2966" s="2" t="s">
        <v>4016</v>
      </c>
      <c r="B2966" s="2" t="s">
        <v>1468</v>
      </c>
      <c r="C2966" s="2">
        <v>854.03769999999997</v>
      </c>
      <c r="D2966" s="2">
        <f>HYPERLINK("http://mcb-m6.bioreg.kyushu-u.ac.jp/M3/20110421/F51016/2378/1", 77.12)</f>
        <v>77.12</v>
      </c>
      <c r="E2966" s="2">
        <v>62.64</v>
      </c>
      <c r="F2966" s="2">
        <v>2</v>
      </c>
      <c r="G2966" s="2" t="s">
        <v>11</v>
      </c>
    </row>
    <row r="2967" spans="1:7" x14ac:dyDescent="0.2">
      <c r="A2967" s="2" t="s">
        <v>4016</v>
      </c>
      <c r="B2967" s="2" t="s">
        <v>1468</v>
      </c>
      <c r="C2967" s="2">
        <v>854.01969999999994</v>
      </c>
      <c r="D2967" s="2">
        <f>HYPERLINK("http://mcb-m6.bioreg.kyushu-u.ac.jp/M3/20110427/F51110/2623/1", 59.53)</f>
        <v>59.53</v>
      </c>
      <c r="E2967" s="2">
        <v>50.33</v>
      </c>
      <c r="F2967" s="2">
        <v>2</v>
      </c>
      <c r="G2967" s="2" t="s">
        <v>13</v>
      </c>
    </row>
    <row r="2968" spans="1:7" x14ac:dyDescent="0.2">
      <c r="A2968" s="2" t="s">
        <v>4016</v>
      </c>
      <c r="B2968" s="2" t="s">
        <v>1321</v>
      </c>
      <c r="C2968" s="2">
        <v>984.2722</v>
      </c>
      <c r="D2968" s="2">
        <f>HYPERLINK("http://mcb-m6.bioreg.kyushu-u.ac.jp/M3/20110427/F51110/2965/1", 76.17)</f>
        <v>76.17</v>
      </c>
      <c r="E2968" s="2">
        <v>60.62</v>
      </c>
      <c r="F2968" s="2">
        <v>2</v>
      </c>
      <c r="G2968" s="2" t="s">
        <v>13</v>
      </c>
    </row>
    <row r="2969" spans="1:7" x14ac:dyDescent="0.2">
      <c r="A2969" s="2" t="s">
        <v>4016</v>
      </c>
      <c r="B2969" s="2" t="s">
        <v>1610</v>
      </c>
      <c r="C2969" s="2">
        <v>917.85860000000002</v>
      </c>
      <c r="D2969" s="2">
        <f>HYPERLINK("http://mcb-m6.bioreg.kyushu-u.ac.jp/M3/20110427/F51110/2832/1", 114.51)</f>
        <v>114.51</v>
      </c>
      <c r="E2969" s="2">
        <v>105.16</v>
      </c>
      <c r="F2969" s="2">
        <v>2</v>
      </c>
      <c r="G2969" s="2" t="s">
        <v>13</v>
      </c>
    </row>
    <row r="2970" spans="1:7" x14ac:dyDescent="0.2">
      <c r="A2970" s="2" t="s">
        <v>4016</v>
      </c>
      <c r="B2970" s="2" t="s">
        <v>1468</v>
      </c>
      <c r="C2970" s="2">
        <v>854.3057</v>
      </c>
      <c r="D2970" s="2">
        <f>HYPERLINK("http://mcb-m6.bioreg.kyushu-u.ac.jp/M3/20110427/F51119/2340/1", 78.53)</f>
        <v>78.53</v>
      </c>
      <c r="E2970" s="2">
        <v>68.39</v>
      </c>
      <c r="F2970" s="2">
        <v>2</v>
      </c>
      <c r="G2970" s="2" t="s">
        <v>14</v>
      </c>
    </row>
    <row r="2971" spans="1:7" x14ac:dyDescent="0.2">
      <c r="A2971" s="2" t="s">
        <v>3396</v>
      </c>
      <c r="B2971" s="2" t="s">
        <v>882</v>
      </c>
      <c r="C2971" s="2">
        <v>707.23220000000003</v>
      </c>
      <c r="D2971" s="2">
        <f>HYPERLINK("http://mcb-m6.bioreg.kyushu-u.ac.jp/M3/20110421/F51018/1934/1", 36.71)</f>
        <v>36.71</v>
      </c>
      <c r="E2971" s="2">
        <v>24.67</v>
      </c>
      <c r="F2971" s="2">
        <v>2</v>
      </c>
      <c r="G2971" s="2" t="s">
        <v>11</v>
      </c>
    </row>
    <row r="2972" spans="1:7" x14ac:dyDescent="0.2">
      <c r="A2972" s="2" t="s">
        <v>3396</v>
      </c>
      <c r="B2972" s="2" t="s">
        <v>606</v>
      </c>
      <c r="C2972" s="2">
        <v>669.28219999999999</v>
      </c>
      <c r="D2972" s="2">
        <f>HYPERLINK("http://mcb-m6.bioreg.kyushu-u.ac.jp/M3/20110421/F51018/1725/1", 73.87)</f>
        <v>73.87</v>
      </c>
      <c r="E2972" s="2">
        <v>51.95</v>
      </c>
      <c r="F2972" s="2">
        <v>2</v>
      </c>
      <c r="G2972" s="2" t="s">
        <v>11</v>
      </c>
    </row>
    <row r="2973" spans="1:7" x14ac:dyDescent="0.2">
      <c r="A2973" s="2" t="s">
        <v>3396</v>
      </c>
      <c r="B2973" s="2" t="s">
        <v>606</v>
      </c>
      <c r="C2973" s="2">
        <v>669.81269999999995</v>
      </c>
      <c r="D2973" s="2">
        <f>HYPERLINK("http://mcb-m6.bioreg.kyushu-u.ac.jp/M3/20110421/F51019/1738/1", 82.07)</f>
        <v>82.07</v>
      </c>
      <c r="E2973" s="2">
        <v>62.37</v>
      </c>
      <c r="F2973" s="2">
        <v>2</v>
      </c>
      <c r="G2973" s="2" t="s">
        <v>11</v>
      </c>
    </row>
    <row r="2974" spans="1:7" x14ac:dyDescent="0.2">
      <c r="A2974" s="2" t="s">
        <v>3396</v>
      </c>
      <c r="B2974" s="2" t="s">
        <v>882</v>
      </c>
      <c r="C2974" s="2">
        <v>707.25710000000004</v>
      </c>
      <c r="D2974" s="2">
        <f>HYPERLINK("http://mcb-m6.bioreg.kyushu-u.ac.jp/M3/20110421/F51024/1988/1", 56.25)</f>
        <v>56.25</v>
      </c>
      <c r="E2974" s="2">
        <v>39.29</v>
      </c>
      <c r="F2974" s="2">
        <v>2</v>
      </c>
      <c r="G2974" s="2" t="s">
        <v>12</v>
      </c>
    </row>
    <row r="2975" spans="1:7" x14ac:dyDescent="0.2">
      <c r="A2975" s="2" t="s">
        <v>3396</v>
      </c>
      <c r="B2975" s="2" t="s">
        <v>882</v>
      </c>
      <c r="C2975" s="2">
        <v>706.71370000000002</v>
      </c>
      <c r="D2975" s="2">
        <f>HYPERLINK("http://mcb-m6.bioreg.kyushu-u.ac.jp/M3/20110421/F51024/1985/1", 64.27)</f>
        <v>64.27</v>
      </c>
      <c r="E2975" s="2">
        <v>48.91</v>
      </c>
      <c r="F2975" s="2">
        <v>2</v>
      </c>
      <c r="G2975" s="2" t="s">
        <v>12</v>
      </c>
    </row>
    <row r="2976" spans="1:7" x14ac:dyDescent="0.2">
      <c r="A2976" s="2" t="s">
        <v>3396</v>
      </c>
      <c r="B2976" s="2" t="s">
        <v>882</v>
      </c>
      <c r="C2976" s="2">
        <v>707.18119999999999</v>
      </c>
      <c r="D2976" s="2">
        <f>HYPERLINK("http://mcb-m6.bioreg.kyushu-u.ac.jp/M3/20110427/F51113/1845/1", 37.11)</f>
        <v>37.11</v>
      </c>
      <c r="E2976" s="2">
        <v>17.11</v>
      </c>
      <c r="F2976" s="2">
        <v>2</v>
      </c>
      <c r="G2976" s="2" t="s">
        <v>13</v>
      </c>
    </row>
    <row r="2977" spans="1:9" x14ac:dyDescent="0.2">
      <c r="A2977" s="2" t="s">
        <v>3396</v>
      </c>
      <c r="B2977" s="2" t="s">
        <v>190</v>
      </c>
      <c r="C2977" s="2">
        <v>994.68409999999994</v>
      </c>
      <c r="D2977" s="2">
        <f>HYPERLINK("http://mcb-m6.bioreg.kyushu-u.ac.jp/M3/20110427/F51113/2889/1", 71.49)</f>
        <v>71.489999999999995</v>
      </c>
      <c r="E2977" s="2">
        <v>49.62</v>
      </c>
      <c r="F2977" s="2">
        <v>2</v>
      </c>
      <c r="G2977" s="2" t="s">
        <v>13</v>
      </c>
    </row>
    <row r="2978" spans="1:9" x14ac:dyDescent="0.2">
      <c r="A2978" s="2" t="s">
        <v>3396</v>
      </c>
      <c r="B2978" s="2" t="s">
        <v>882</v>
      </c>
      <c r="C2978" s="2">
        <v>706.60519999999997</v>
      </c>
      <c r="D2978" s="2">
        <f>HYPERLINK("http://mcb-m6.bioreg.kyushu-u.ac.jp/M3/20110427/F51113/1843/1", 81.57)</f>
        <v>81.569999999999993</v>
      </c>
      <c r="E2978" s="2">
        <v>55.12</v>
      </c>
      <c r="F2978" s="2">
        <v>2</v>
      </c>
      <c r="G2978" s="2" t="s">
        <v>13</v>
      </c>
    </row>
    <row r="2979" spans="1:9" x14ac:dyDescent="0.2">
      <c r="A2979" s="2" t="s">
        <v>3396</v>
      </c>
      <c r="B2979" s="2" t="s">
        <v>606</v>
      </c>
      <c r="C2979" s="2">
        <v>669.22119999999995</v>
      </c>
      <c r="D2979" s="2">
        <f>HYPERLINK("http://mcb-m6.bioreg.kyushu-u.ac.jp/M3/20110427/F51113/1636/1", 82.84)</f>
        <v>82.84</v>
      </c>
      <c r="E2979" s="2">
        <v>68.099999999999994</v>
      </c>
      <c r="F2979" s="2">
        <v>2</v>
      </c>
      <c r="G2979" s="2" t="s">
        <v>13</v>
      </c>
    </row>
    <row r="2980" spans="1:9" x14ac:dyDescent="0.2">
      <c r="A2980" s="2" t="s">
        <v>3396</v>
      </c>
      <c r="B2980" s="2" t="s">
        <v>1475</v>
      </c>
      <c r="C2980" s="2">
        <v>1028.8499999999999</v>
      </c>
      <c r="D2980" s="2">
        <f>HYPERLINK("http://mcb-m6.bioreg.kyushu-u.ac.jp/M3/20110427/F51113/2971/1", 104.37)</f>
        <v>104.37</v>
      </c>
      <c r="E2980" s="2">
        <v>93.28</v>
      </c>
      <c r="F2980" s="2">
        <v>2</v>
      </c>
      <c r="G2980" s="2" t="s">
        <v>13</v>
      </c>
    </row>
    <row r="2981" spans="1:9" x14ac:dyDescent="0.2">
      <c r="A2981" s="2" t="s">
        <v>3396</v>
      </c>
      <c r="B2981" s="2" t="s">
        <v>606</v>
      </c>
      <c r="C2981" s="2">
        <v>669.64319999999998</v>
      </c>
      <c r="D2981" s="2">
        <f>HYPERLINK("http://mcb-m6.bioreg.kyushu-u.ac.jp/M3/20110427/F51122/1849/1", 65.14)</f>
        <v>65.14</v>
      </c>
      <c r="E2981" s="2">
        <v>49.06</v>
      </c>
      <c r="F2981" s="2">
        <v>2</v>
      </c>
      <c r="G2981" s="2" t="s">
        <v>14</v>
      </c>
    </row>
    <row r="2982" spans="1:9" x14ac:dyDescent="0.2">
      <c r="A2982" s="2" t="s">
        <v>3396</v>
      </c>
      <c r="B2982" s="2" t="s">
        <v>882</v>
      </c>
      <c r="C2982" s="2">
        <v>706.53970000000004</v>
      </c>
      <c r="D2982" s="2">
        <f>HYPERLINK("http://mcb-m6.bioreg.kyushu-u.ac.jp/M3/20110427/F51122/2032/1", 66.11)</f>
        <v>66.11</v>
      </c>
      <c r="E2982" s="2">
        <v>50.01</v>
      </c>
      <c r="F2982" s="2">
        <v>2</v>
      </c>
      <c r="G2982" s="2" t="s">
        <v>14</v>
      </c>
    </row>
    <row r="2983" spans="1:9" x14ac:dyDescent="0.2">
      <c r="A2983" s="2" t="s">
        <v>3553</v>
      </c>
      <c r="B2983" s="2" t="s">
        <v>891</v>
      </c>
      <c r="C2983" s="2">
        <v>544.27170000000001</v>
      </c>
      <c r="D2983" s="2">
        <f>HYPERLINK("http://mcb-m6.bioreg.kyushu-u.ac.jp/M3/20110404/F50778/971/1", 48.21)</f>
        <v>48.21</v>
      </c>
      <c r="E2983" s="2">
        <v>28.7</v>
      </c>
      <c r="F2983" s="2">
        <v>2</v>
      </c>
      <c r="G2983" s="2" t="s">
        <v>9</v>
      </c>
      <c r="I2983" s="2" t="s">
        <v>4890</v>
      </c>
    </row>
    <row r="2984" spans="1:9" x14ac:dyDescent="0.2">
      <c r="A2984" s="2" t="s">
        <v>3553</v>
      </c>
      <c r="B2984" s="2" t="s">
        <v>763</v>
      </c>
      <c r="C2984" s="2">
        <v>917.3</v>
      </c>
      <c r="D2984" s="2">
        <f>HYPERLINK("http://mcb-m6.bioreg.kyushu-u.ac.jp/M3/20110404/F50775/863/1", 47.33)</f>
        <v>47.33</v>
      </c>
      <c r="E2984" s="2">
        <v>30.61</v>
      </c>
      <c r="F2984" s="2">
        <v>1</v>
      </c>
      <c r="G2984" s="2" t="s">
        <v>10</v>
      </c>
    </row>
    <row r="2985" spans="1:9" x14ac:dyDescent="0.2">
      <c r="A2985" s="2" t="s">
        <v>3553</v>
      </c>
      <c r="B2985" s="2" t="s">
        <v>891</v>
      </c>
      <c r="C2985" s="2">
        <v>544.29020000000003</v>
      </c>
      <c r="D2985" s="2">
        <f>HYPERLINK("http://mcb-m6.bioreg.kyushu-u.ac.jp/M3/20110404/F50775/1203/1", 50.51)</f>
        <v>50.51</v>
      </c>
      <c r="E2985" s="2">
        <v>29.43</v>
      </c>
      <c r="F2985" s="2">
        <v>2</v>
      </c>
      <c r="G2985" s="2" t="s">
        <v>10</v>
      </c>
      <c r="I2985" s="2" t="s">
        <v>4890</v>
      </c>
    </row>
    <row r="2986" spans="1:9" x14ac:dyDescent="0.2">
      <c r="A2986" s="2" t="s">
        <v>3553</v>
      </c>
      <c r="B2986" s="2" t="s">
        <v>539</v>
      </c>
      <c r="C2986" s="2">
        <v>721.52009999999996</v>
      </c>
      <c r="D2986" s="2">
        <f>HYPERLINK("http://mcb-m6.bioreg.kyushu-u.ac.jp/M3/20110404/F50774/1819/1", 54.64)</f>
        <v>54.64</v>
      </c>
      <c r="E2986" s="2">
        <v>34.020000000000003</v>
      </c>
      <c r="F2986" s="2">
        <v>2</v>
      </c>
      <c r="G2986" s="2" t="s">
        <v>10</v>
      </c>
    </row>
    <row r="2987" spans="1:9" x14ac:dyDescent="0.2">
      <c r="A2987" s="2" t="s">
        <v>3553</v>
      </c>
      <c r="B2987" s="2" t="s">
        <v>539</v>
      </c>
      <c r="C2987" s="2">
        <v>721.32510000000002</v>
      </c>
      <c r="D2987" s="2">
        <f>HYPERLINK("http://mcb-m6.bioreg.kyushu-u.ac.jp/M3/20110404/F50775/1887/1", 72.77)</f>
        <v>72.77</v>
      </c>
      <c r="E2987" s="2">
        <v>52.35</v>
      </c>
      <c r="F2987" s="2">
        <v>2</v>
      </c>
      <c r="G2987" s="2" t="s">
        <v>10</v>
      </c>
    </row>
    <row r="2988" spans="1:9" x14ac:dyDescent="0.2">
      <c r="A2988" s="2" t="s">
        <v>3553</v>
      </c>
      <c r="B2988" s="2" t="s">
        <v>1470</v>
      </c>
      <c r="C2988" s="2">
        <v>949.4597</v>
      </c>
      <c r="D2988" s="2">
        <f>HYPERLINK("http://mcb-m6.bioreg.kyushu-u.ac.jp/M3/20110404/F50774/2583/1", 84.54)</f>
        <v>84.54</v>
      </c>
      <c r="E2988" s="2">
        <v>71.900000000000006</v>
      </c>
      <c r="F2988" s="2">
        <v>2</v>
      </c>
      <c r="G2988" s="2" t="s">
        <v>10</v>
      </c>
    </row>
    <row r="2989" spans="1:9" x14ac:dyDescent="0.2">
      <c r="A2989" s="2" t="s">
        <v>3553</v>
      </c>
      <c r="B2989" s="2" t="s">
        <v>1265</v>
      </c>
      <c r="C2989" s="2">
        <v>714.25570000000005</v>
      </c>
      <c r="D2989" s="2">
        <f>HYPERLINK("http://mcb-m6.bioreg.kyushu-u.ac.jp/M3/20110404/F50775/1844/1", 92.7)</f>
        <v>92.7</v>
      </c>
      <c r="E2989" s="2">
        <v>81.88</v>
      </c>
      <c r="F2989" s="2">
        <v>2</v>
      </c>
      <c r="G2989" s="2" t="s">
        <v>10</v>
      </c>
    </row>
    <row r="2990" spans="1:9" x14ac:dyDescent="0.2">
      <c r="A2990" s="2" t="s">
        <v>3553</v>
      </c>
      <c r="B2990" s="2" t="s">
        <v>1266</v>
      </c>
      <c r="C2990" s="2">
        <v>714.25570000000005</v>
      </c>
      <c r="D2990" s="2">
        <f>HYPERLINK("http://mcb-m6.bioreg.kyushu-u.ac.jp/M3/20110404/F50775/1844/2", 92.7)</f>
        <v>92.7</v>
      </c>
      <c r="E2990" s="2">
        <v>81.88</v>
      </c>
      <c r="F2990" s="2">
        <v>2</v>
      </c>
      <c r="G2990" s="2" t="s">
        <v>10</v>
      </c>
    </row>
    <row r="2991" spans="1:9" x14ac:dyDescent="0.2">
      <c r="A2991" s="2" t="s">
        <v>3553</v>
      </c>
      <c r="B2991" s="2" t="s">
        <v>1470</v>
      </c>
      <c r="C2991" s="2">
        <v>949.13959999999997</v>
      </c>
      <c r="D2991" s="2">
        <f>HYPERLINK("http://mcb-m6.bioreg.kyushu-u.ac.jp/M3/20110404/F50775/2660/1", 103.75)</f>
        <v>103.75</v>
      </c>
      <c r="E2991" s="2">
        <v>79.31</v>
      </c>
      <c r="F2991" s="2">
        <v>2</v>
      </c>
      <c r="G2991" s="2" t="s">
        <v>10</v>
      </c>
    </row>
    <row r="2992" spans="1:9" x14ac:dyDescent="0.2">
      <c r="A2992" s="2" t="s">
        <v>3553</v>
      </c>
      <c r="B2992" s="2" t="s">
        <v>2677</v>
      </c>
      <c r="C2992" s="2">
        <v>576.22220000000004</v>
      </c>
      <c r="D2992" s="2">
        <f>HYPERLINK("http://mcb-m6.bioreg.kyushu-u.ac.jp/M3/20110421/F51037/1089/1", 40.75)</f>
        <v>40.75</v>
      </c>
      <c r="E2992" s="2">
        <v>23.52</v>
      </c>
      <c r="F2992" s="2">
        <v>2</v>
      </c>
      <c r="G2992" s="2" t="s">
        <v>11</v>
      </c>
    </row>
    <row r="2993" spans="1:9" x14ac:dyDescent="0.2">
      <c r="A2993" s="2" t="s">
        <v>3553</v>
      </c>
      <c r="B2993" s="2" t="s">
        <v>1053</v>
      </c>
      <c r="C2993" s="2">
        <v>543.6902</v>
      </c>
      <c r="D2993" s="2">
        <f>HYPERLINK("http://mcb-m6.bioreg.kyushu-u.ac.jp/M3/20110421/F51037/942/1", 41.26)</f>
        <v>41.26</v>
      </c>
      <c r="E2993" s="2">
        <v>25.89</v>
      </c>
      <c r="F2993" s="2">
        <v>2</v>
      </c>
      <c r="G2993" s="2" t="s">
        <v>11</v>
      </c>
    </row>
    <row r="2994" spans="1:9" x14ac:dyDescent="0.2">
      <c r="A2994" s="2" t="s">
        <v>3553</v>
      </c>
      <c r="B2994" s="2" t="s">
        <v>1470</v>
      </c>
      <c r="C2994" s="2">
        <v>948.73519999999996</v>
      </c>
      <c r="D2994" s="2">
        <f>HYPERLINK("http://mcb-m6.bioreg.kyushu-u.ac.jp/M3/20110421/F51037/3195/1", 55.68)</f>
        <v>55.68</v>
      </c>
      <c r="E2994" s="2">
        <v>44.08</v>
      </c>
      <c r="F2994" s="2">
        <v>2</v>
      </c>
      <c r="G2994" s="2" t="s">
        <v>11</v>
      </c>
    </row>
    <row r="2995" spans="1:9" x14ac:dyDescent="0.2">
      <c r="A2995" s="2" t="s">
        <v>3553</v>
      </c>
      <c r="B2995" s="2" t="s">
        <v>1265</v>
      </c>
      <c r="C2995" s="2">
        <v>714.35519999999997</v>
      </c>
      <c r="D2995" s="2">
        <f>HYPERLINK("http://mcb-m6.bioreg.kyushu-u.ac.jp/M3/20110421/F51039/1936/1", 85.36)</f>
        <v>85.36</v>
      </c>
      <c r="E2995" s="2">
        <v>68.930000000000007</v>
      </c>
      <c r="F2995" s="2">
        <v>2</v>
      </c>
      <c r="G2995" s="2" t="s">
        <v>11</v>
      </c>
    </row>
    <row r="2996" spans="1:9" x14ac:dyDescent="0.2">
      <c r="A2996" s="2" t="s">
        <v>3553</v>
      </c>
      <c r="B2996" s="2" t="s">
        <v>1266</v>
      </c>
      <c r="C2996" s="2">
        <v>714.35519999999997</v>
      </c>
      <c r="D2996" s="2">
        <f>HYPERLINK("http://mcb-m6.bioreg.kyushu-u.ac.jp/M3/20110421/F51039/1936/2", 85.36)</f>
        <v>85.36</v>
      </c>
      <c r="E2996" s="2">
        <v>68.930000000000007</v>
      </c>
      <c r="F2996" s="2">
        <v>2</v>
      </c>
      <c r="G2996" s="2" t="s">
        <v>11</v>
      </c>
    </row>
    <row r="2997" spans="1:9" x14ac:dyDescent="0.2">
      <c r="A2997" s="2" t="s">
        <v>3553</v>
      </c>
      <c r="B2997" s="2" t="s">
        <v>1265</v>
      </c>
      <c r="C2997" s="2">
        <v>714.31209999999999</v>
      </c>
      <c r="D2997" s="2">
        <f>HYPERLINK("http://mcb-m6.bioreg.kyushu-u.ac.jp/M3/20110421/F51037/1847/1", 91.82)</f>
        <v>91.82</v>
      </c>
      <c r="E2997" s="2">
        <v>82</v>
      </c>
      <c r="F2997" s="2">
        <v>2</v>
      </c>
      <c r="G2997" s="2" t="s">
        <v>11</v>
      </c>
    </row>
    <row r="2998" spans="1:9" x14ac:dyDescent="0.2">
      <c r="A2998" s="2" t="s">
        <v>3553</v>
      </c>
      <c r="B2998" s="2" t="s">
        <v>1266</v>
      </c>
      <c r="C2998" s="2">
        <v>714.31209999999999</v>
      </c>
      <c r="D2998" s="2">
        <f>HYPERLINK("http://mcb-m6.bioreg.kyushu-u.ac.jp/M3/20110421/F51037/1847/2", 91.82)</f>
        <v>91.82</v>
      </c>
      <c r="E2998" s="2">
        <v>82</v>
      </c>
      <c r="F2998" s="2">
        <v>2</v>
      </c>
      <c r="G2998" s="2" t="s">
        <v>11</v>
      </c>
    </row>
    <row r="2999" spans="1:9" x14ac:dyDescent="0.2">
      <c r="A2999" s="2" t="s">
        <v>3553</v>
      </c>
      <c r="B2999" s="2" t="s">
        <v>1470</v>
      </c>
      <c r="C2999" s="2">
        <v>949.4597</v>
      </c>
      <c r="D2999" s="2">
        <f>HYPERLINK("http://mcb-m6.bioreg.kyushu-u.ac.jp/M3/20110421/F51048/3019/1", 50.44)</f>
        <v>50.44</v>
      </c>
      <c r="E2999" s="2">
        <v>33.18</v>
      </c>
      <c r="F2999" s="2">
        <v>2</v>
      </c>
      <c r="G2999" s="2" t="s">
        <v>12</v>
      </c>
    </row>
    <row r="3000" spans="1:9" x14ac:dyDescent="0.2">
      <c r="A3000" s="2" t="s">
        <v>3553</v>
      </c>
      <c r="B3000" s="2" t="s">
        <v>1265</v>
      </c>
      <c r="C3000" s="2">
        <v>714.41769999999997</v>
      </c>
      <c r="D3000" s="2">
        <f>HYPERLINK("http://mcb-m6.bioreg.kyushu-u.ac.jp/M3/20110421/F51047/1980/1", 82.84)</f>
        <v>82.84</v>
      </c>
      <c r="E3000" s="2">
        <v>68.900000000000006</v>
      </c>
      <c r="F3000" s="2">
        <v>2</v>
      </c>
      <c r="G3000" s="2" t="s">
        <v>12</v>
      </c>
    </row>
    <row r="3001" spans="1:9" x14ac:dyDescent="0.2">
      <c r="A3001" s="2" t="s">
        <v>3553</v>
      </c>
      <c r="B3001" s="2" t="s">
        <v>1266</v>
      </c>
      <c r="C3001" s="2">
        <v>714.41769999999997</v>
      </c>
      <c r="D3001" s="2">
        <f>HYPERLINK("http://mcb-m6.bioreg.kyushu-u.ac.jp/M3/20110421/F51047/1980/2", 82.84)</f>
        <v>82.84</v>
      </c>
      <c r="E3001" s="2">
        <v>68.900000000000006</v>
      </c>
      <c r="F3001" s="2">
        <v>2</v>
      </c>
      <c r="G3001" s="2" t="s">
        <v>12</v>
      </c>
    </row>
    <row r="3002" spans="1:9" x14ac:dyDescent="0.2">
      <c r="A3002" s="2" t="s">
        <v>3553</v>
      </c>
      <c r="B3002" s="2" t="s">
        <v>1265</v>
      </c>
      <c r="C3002" s="2">
        <v>714.41359999999997</v>
      </c>
      <c r="D3002" s="2">
        <f>HYPERLINK("http://mcb-m6.bioreg.kyushu-u.ac.jp/M3/20110421/F51048/2056/1", 97.11)</f>
        <v>97.11</v>
      </c>
      <c r="E3002" s="2">
        <v>80.790000000000006</v>
      </c>
      <c r="F3002" s="2">
        <v>2</v>
      </c>
      <c r="G3002" s="2" t="s">
        <v>12</v>
      </c>
    </row>
    <row r="3003" spans="1:9" x14ac:dyDescent="0.2">
      <c r="A3003" s="2" t="s">
        <v>3553</v>
      </c>
      <c r="B3003" s="2" t="s">
        <v>1266</v>
      </c>
      <c r="C3003" s="2">
        <v>714.41359999999997</v>
      </c>
      <c r="D3003" s="2">
        <f>HYPERLINK("http://mcb-m6.bioreg.kyushu-u.ac.jp/M3/20110421/F51048/2056/2", 97.11)</f>
        <v>97.11</v>
      </c>
      <c r="E3003" s="2">
        <v>80.790000000000006</v>
      </c>
      <c r="F3003" s="2">
        <v>2</v>
      </c>
      <c r="G3003" s="2" t="s">
        <v>12</v>
      </c>
    </row>
    <row r="3004" spans="1:9" x14ac:dyDescent="0.2">
      <c r="A3004" s="2" t="s">
        <v>3553</v>
      </c>
      <c r="B3004" s="2" t="s">
        <v>891</v>
      </c>
      <c r="C3004" s="2">
        <v>544.59619999999995</v>
      </c>
      <c r="D3004" s="2">
        <f>HYPERLINK("http://mcb-m6.bioreg.kyushu-u.ac.jp/M3/20110428/F51132/1131/1", 56.49)</f>
        <v>56.49</v>
      </c>
      <c r="E3004" s="2">
        <v>26.74</v>
      </c>
      <c r="F3004" s="2">
        <v>2</v>
      </c>
      <c r="G3004" s="2" t="s">
        <v>13</v>
      </c>
      <c r="I3004" s="2" t="s">
        <v>4890</v>
      </c>
    </row>
    <row r="3005" spans="1:9" x14ac:dyDescent="0.2">
      <c r="A3005" s="2" t="s">
        <v>3553</v>
      </c>
      <c r="B3005" s="2" t="s">
        <v>2677</v>
      </c>
      <c r="C3005" s="2">
        <v>575.77120000000002</v>
      </c>
      <c r="D3005" s="2">
        <f>HYPERLINK("http://mcb-m6.bioreg.kyushu-u.ac.jp/M3/20110428/F51129/1313/1", 51.32)</f>
        <v>51.32</v>
      </c>
      <c r="E3005" s="2">
        <v>33.21</v>
      </c>
      <c r="F3005" s="2">
        <v>2</v>
      </c>
      <c r="G3005" s="2" t="s">
        <v>14</v>
      </c>
    </row>
    <row r="3006" spans="1:9" x14ac:dyDescent="0.2">
      <c r="A3006" s="2" t="s">
        <v>3553</v>
      </c>
      <c r="B3006" s="2" t="s">
        <v>1053</v>
      </c>
      <c r="C3006" s="2">
        <v>543.51369999999997</v>
      </c>
      <c r="D3006" s="2">
        <f>HYPERLINK("http://mcb-m6.bioreg.kyushu-u.ac.jp/M3/20110428/F51129/1204/1", 61.03)</f>
        <v>61.03</v>
      </c>
      <c r="E3006" s="2">
        <v>40.21</v>
      </c>
      <c r="F3006" s="2">
        <v>2</v>
      </c>
      <c r="G3006" s="2" t="s">
        <v>14</v>
      </c>
    </row>
    <row r="3007" spans="1:9" x14ac:dyDescent="0.2">
      <c r="A3007" s="2" t="s">
        <v>3553</v>
      </c>
      <c r="B3007" s="2" t="s">
        <v>1265</v>
      </c>
      <c r="C3007" s="2">
        <v>714.18820000000005</v>
      </c>
      <c r="D3007" s="2">
        <f>HYPERLINK("http://mcb-m6.bioreg.kyushu-u.ac.jp/M3/20110428/F51129/1904/1", 78.9)</f>
        <v>78.900000000000006</v>
      </c>
      <c r="E3007" s="2">
        <v>60.28</v>
      </c>
      <c r="F3007" s="2">
        <v>2</v>
      </c>
      <c r="G3007" s="2" t="s">
        <v>14</v>
      </c>
    </row>
    <row r="3008" spans="1:9" x14ac:dyDescent="0.2">
      <c r="A3008" s="2" t="s">
        <v>3553</v>
      </c>
      <c r="B3008" s="2" t="s">
        <v>1266</v>
      </c>
      <c r="C3008" s="2">
        <v>714.18820000000005</v>
      </c>
      <c r="D3008" s="2">
        <f>HYPERLINK("http://mcb-m6.bioreg.kyushu-u.ac.jp/M3/20110428/F51129/1904/2", 78.9)</f>
        <v>78.900000000000006</v>
      </c>
      <c r="E3008" s="2">
        <v>60.28</v>
      </c>
      <c r="F3008" s="2">
        <v>2</v>
      </c>
      <c r="G3008" s="2" t="s">
        <v>14</v>
      </c>
    </row>
    <row r="3009" spans="1:9" x14ac:dyDescent="0.2">
      <c r="A3009" s="2" t="s">
        <v>3553</v>
      </c>
      <c r="B3009" s="2" t="s">
        <v>1470</v>
      </c>
      <c r="C3009" s="2">
        <v>949.10609999999997</v>
      </c>
      <c r="D3009" s="2">
        <f>HYPERLINK("http://mcb-m6.bioreg.kyushu-u.ac.jp/M3/20110428/F51130/2953/1", 90.3)</f>
        <v>90.3</v>
      </c>
      <c r="E3009" s="2">
        <v>73.09</v>
      </c>
      <c r="F3009" s="2">
        <v>2</v>
      </c>
      <c r="G3009" s="2" t="s">
        <v>14</v>
      </c>
    </row>
    <row r="3010" spans="1:9" x14ac:dyDescent="0.2">
      <c r="A3010" s="2" t="s">
        <v>4472</v>
      </c>
      <c r="B3010" s="2" t="s">
        <v>2413</v>
      </c>
      <c r="C3010" s="2">
        <v>541.92319999999995</v>
      </c>
      <c r="D3010" s="2">
        <f>HYPERLINK("http://mcb-m6.bioreg.kyushu-u.ac.jp/M3/20110404/F50751/1574/1", 64.22)</f>
        <v>64.22</v>
      </c>
      <c r="E3010" s="2">
        <v>22.34</v>
      </c>
      <c r="F3010" s="2">
        <v>2</v>
      </c>
      <c r="G3010" s="2" t="s">
        <v>9</v>
      </c>
    </row>
    <row r="3011" spans="1:9" x14ac:dyDescent="0.2">
      <c r="A3011" s="2" t="s">
        <v>7636</v>
      </c>
      <c r="B3011" s="2" t="s">
        <v>6177</v>
      </c>
      <c r="C3011" s="2">
        <v>959.60400000000004</v>
      </c>
      <c r="D3011" s="2">
        <f>HYPERLINK("http://mcb-m6.bioreg.kyushu-u.ac.jp/M3/20110404/F50751/1414/1", 45.58)</f>
        <v>45.58</v>
      </c>
      <c r="E3011" s="2">
        <v>9.99</v>
      </c>
      <c r="F3011" s="2">
        <v>1</v>
      </c>
      <c r="G3011" s="2" t="s">
        <v>9</v>
      </c>
    </row>
    <row r="3012" spans="1:9" x14ac:dyDescent="0.2">
      <c r="A3012" s="2" t="s">
        <v>7932</v>
      </c>
      <c r="B3012" s="2" t="s">
        <v>7102</v>
      </c>
      <c r="C3012" s="2">
        <v>747.11410000000001</v>
      </c>
      <c r="D3012" s="2">
        <f>HYPERLINK("http://mcb-m6.bioreg.kyushu-u.ac.jp/M3/20110421/F51018/2163/1", 42.27)</f>
        <v>42.27</v>
      </c>
      <c r="E3012" s="2">
        <v>26.03</v>
      </c>
      <c r="F3012" s="2">
        <v>2</v>
      </c>
      <c r="G3012" s="2" t="s">
        <v>11</v>
      </c>
      <c r="I3012" s="2" t="s">
        <v>8127</v>
      </c>
    </row>
    <row r="3013" spans="1:9" x14ac:dyDescent="0.2">
      <c r="A3013" s="2" t="s">
        <v>3648</v>
      </c>
      <c r="B3013" s="2" t="s">
        <v>574</v>
      </c>
      <c r="C3013" s="2">
        <v>903.33799999999997</v>
      </c>
      <c r="D3013" s="2">
        <f>HYPERLINK("http://mcb-m6.bioreg.kyushu-u.ac.jp/M3/20110427/F51111/852/3", 39.93)</f>
        <v>39.93</v>
      </c>
      <c r="E3013" s="2">
        <v>11.16</v>
      </c>
      <c r="F3013" s="2">
        <v>1</v>
      </c>
      <c r="G3013" s="2" t="s">
        <v>13</v>
      </c>
    </row>
    <row r="3014" spans="1:9" x14ac:dyDescent="0.2">
      <c r="A3014" s="2" t="s">
        <v>3648</v>
      </c>
      <c r="B3014" s="2" t="s">
        <v>574</v>
      </c>
      <c r="C3014" s="2">
        <v>452.17410000000001</v>
      </c>
      <c r="D3014" s="2">
        <f>HYPERLINK("http://mcb-m6.bioreg.kyushu-u.ac.jp/M3/20110427/F51111/853/3", 58.81)</f>
        <v>58.81</v>
      </c>
      <c r="E3014" s="2">
        <v>26.84</v>
      </c>
      <c r="F3014" s="2">
        <v>2</v>
      </c>
      <c r="G3014" s="2" t="s">
        <v>13</v>
      </c>
    </row>
    <row r="3015" spans="1:9" x14ac:dyDescent="0.2">
      <c r="A3015" s="2" t="s">
        <v>3936</v>
      </c>
      <c r="B3015" s="2" t="s">
        <v>1127</v>
      </c>
      <c r="C3015" s="2">
        <v>725.61969999999997</v>
      </c>
      <c r="D3015" s="2">
        <f>HYPERLINK("http://mcb-m6.bioreg.kyushu-u.ac.jp/M3/20110421/F51020/1960/1", 38.58)</f>
        <v>38.58</v>
      </c>
      <c r="E3015" s="2">
        <v>18.88</v>
      </c>
      <c r="F3015" s="2">
        <v>2</v>
      </c>
      <c r="G3015" s="2" t="s">
        <v>11</v>
      </c>
    </row>
    <row r="3016" spans="1:9" x14ac:dyDescent="0.2">
      <c r="A3016" s="2" t="s">
        <v>7930</v>
      </c>
      <c r="B3016" s="2" t="s">
        <v>7099</v>
      </c>
      <c r="C3016" s="2">
        <v>787.79359999999997</v>
      </c>
      <c r="D3016" s="2">
        <f>HYPERLINK("http://mcb-m6.bioreg.kyushu-u.ac.jp/M3/20110421/F51039/2353/1", 40.69)</f>
        <v>40.69</v>
      </c>
      <c r="E3016" s="2">
        <v>17.600000000000001</v>
      </c>
      <c r="F3016" s="2">
        <v>2</v>
      </c>
      <c r="G3016" s="2" t="s">
        <v>11</v>
      </c>
    </row>
    <row r="3017" spans="1:9" x14ac:dyDescent="0.2">
      <c r="A3017" s="2" t="s">
        <v>3619</v>
      </c>
      <c r="B3017" s="2" t="s">
        <v>528</v>
      </c>
      <c r="C3017" s="2">
        <v>1194.25</v>
      </c>
      <c r="D3017" s="2">
        <f>HYPERLINK("http://mcb-m6.bioreg.kyushu-u.ac.jp/M3/20110404/F50754/1638/1", 40.41)</f>
        <v>40.409999999999997</v>
      </c>
      <c r="E3017" s="2">
        <v>23.38</v>
      </c>
      <c r="F3017" s="2">
        <v>1</v>
      </c>
      <c r="G3017" s="2" t="s">
        <v>9</v>
      </c>
    </row>
    <row r="3018" spans="1:9" x14ac:dyDescent="0.2">
      <c r="A3018" s="2" t="s">
        <v>3619</v>
      </c>
      <c r="B3018" s="2" t="s">
        <v>2289</v>
      </c>
      <c r="C3018" s="2">
        <v>918.10019999999997</v>
      </c>
      <c r="D3018" s="2">
        <f>HYPERLINK("http://mcb-m6.bioreg.kyushu-u.ac.jp/M3/20110404/F50753/2679/1", 45.81)</f>
        <v>45.81</v>
      </c>
      <c r="E3018" s="2">
        <v>29.51</v>
      </c>
      <c r="F3018" s="2">
        <v>2</v>
      </c>
      <c r="G3018" s="2" t="s">
        <v>9</v>
      </c>
      <c r="H3018" s="2" t="s">
        <v>4915</v>
      </c>
    </row>
    <row r="3019" spans="1:9" x14ac:dyDescent="0.2">
      <c r="A3019" s="2" t="s">
        <v>3619</v>
      </c>
      <c r="B3019" s="2" t="s">
        <v>528</v>
      </c>
      <c r="C3019" s="2">
        <v>1194.212</v>
      </c>
      <c r="D3019" s="2">
        <f>HYPERLINK("http://mcb-m6.bioreg.kyushu-u.ac.jp/M3/20110404/F50753/1499/1", 47.28)</f>
        <v>47.28</v>
      </c>
      <c r="E3019" s="2">
        <v>21.7</v>
      </c>
      <c r="F3019" s="2">
        <v>1</v>
      </c>
      <c r="G3019" s="2" t="s">
        <v>9</v>
      </c>
    </row>
    <row r="3020" spans="1:9" x14ac:dyDescent="0.2">
      <c r="A3020" s="2" t="s">
        <v>3619</v>
      </c>
      <c r="B3020" s="2" t="s">
        <v>528</v>
      </c>
      <c r="C3020" s="2">
        <v>1195.211</v>
      </c>
      <c r="D3020" s="2">
        <f>HYPERLINK("http://mcb-m6.bioreg.kyushu-u.ac.jp/M3/20110404/F50753/1503/1", 49.37)</f>
        <v>49.37</v>
      </c>
      <c r="E3020" s="2">
        <v>25.11</v>
      </c>
      <c r="F3020" s="2">
        <v>1</v>
      </c>
      <c r="G3020" s="2" t="s">
        <v>9</v>
      </c>
    </row>
    <row r="3021" spans="1:9" x14ac:dyDescent="0.2">
      <c r="A3021" s="2" t="s">
        <v>3619</v>
      </c>
      <c r="B3021" s="2" t="s">
        <v>528</v>
      </c>
      <c r="C3021" s="2">
        <v>597.61220000000003</v>
      </c>
      <c r="D3021" s="2">
        <f>HYPERLINK("http://mcb-m6.bioreg.kyushu-u.ac.jp/M3/20110404/F50753/1500/1", 53.03)</f>
        <v>53.03</v>
      </c>
      <c r="E3021" s="2">
        <v>32.979999999999997</v>
      </c>
      <c r="F3021" s="2">
        <v>2</v>
      </c>
      <c r="G3021" s="2" t="s">
        <v>9</v>
      </c>
    </row>
    <row r="3022" spans="1:9" x14ac:dyDescent="0.2">
      <c r="A3022" s="2" t="s">
        <v>3619</v>
      </c>
      <c r="B3022" s="2" t="s">
        <v>1672</v>
      </c>
      <c r="C3022" s="2">
        <v>1044.8630000000001</v>
      </c>
      <c r="D3022" s="2">
        <f>HYPERLINK("http://mcb-m6.bioreg.kyushu-u.ac.jp/M3/20110404/F50753/3009/1", 119.16)</f>
        <v>119.16</v>
      </c>
      <c r="E3022" s="2">
        <v>100.93</v>
      </c>
      <c r="F3022" s="2">
        <v>2</v>
      </c>
      <c r="G3022" s="2" t="s">
        <v>9</v>
      </c>
    </row>
    <row r="3023" spans="1:9" x14ac:dyDescent="0.2">
      <c r="A3023" s="2" t="s">
        <v>3619</v>
      </c>
      <c r="B3023" s="2" t="s">
        <v>1672</v>
      </c>
      <c r="C3023" s="2">
        <v>1044.183</v>
      </c>
      <c r="D3023" s="2">
        <f>HYPERLINK("http://mcb-m6.bioreg.kyushu-u.ac.jp/M3/20110404/F50753/3007/1", 125.55)</f>
        <v>125.55</v>
      </c>
      <c r="E3023" s="2">
        <v>113.25</v>
      </c>
      <c r="F3023" s="2">
        <v>2</v>
      </c>
      <c r="G3023" s="2" t="s">
        <v>9</v>
      </c>
    </row>
    <row r="3024" spans="1:9" x14ac:dyDescent="0.2">
      <c r="A3024" s="2" t="s">
        <v>3619</v>
      </c>
      <c r="B3024" s="2" t="s">
        <v>528</v>
      </c>
      <c r="C3024" s="2">
        <v>598.12620000000004</v>
      </c>
      <c r="D3024" s="2">
        <f>HYPERLINK("http://mcb-m6.bioreg.kyushu-u.ac.jp/M3/20110404/F50758/1464/1", 41.7)</f>
        <v>41.7</v>
      </c>
      <c r="E3024" s="2">
        <v>30.18</v>
      </c>
      <c r="F3024" s="2">
        <v>2</v>
      </c>
      <c r="G3024" s="2" t="s">
        <v>10</v>
      </c>
    </row>
    <row r="3025" spans="1:7" x14ac:dyDescent="0.2">
      <c r="A3025" s="2" t="s">
        <v>3619</v>
      </c>
      <c r="B3025" s="2" t="s">
        <v>528</v>
      </c>
      <c r="C3025" s="2">
        <v>1194.421</v>
      </c>
      <c r="D3025" s="2">
        <f>HYPERLINK("http://mcb-m6.bioreg.kyushu-u.ac.jp/M3/20110404/F50758/1461/1", 50.44)</f>
        <v>50.44</v>
      </c>
      <c r="E3025" s="2">
        <v>38.64</v>
      </c>
      <c r="F3025" s="2">
        <v>1</v>
      </c>
      <c r="G3025" s="2" t="s">
        <v>10</v>
      </c>
    </row>
    <row r="3026" spans="1:7" x14ac:dyDescent="0.2">
      <c r="A3026" s="2" t="s">
        <v>3619</v>
      </c>
      <c r="B3026" s="2" t="s">
        <v>1672</v>
      </c>
      <c r="C3026" s="2">
        <v>1044.6389999999999</v>
      </c>
      <c r="D3026" s="2">
        <f>HYPERLINK("http://mcb-m6.bioreg.kyushu-u.ac.jp/M3/20110404/F50758/2783/1", 124.05)</f>
        <v>124.05</v>
      </c>
      <c r="E3026" s="2">
        <v>106.44</v>
      </c>
      <c r="F3026" s="2">
        <v>2</v>
      </c>
      <c r="G3026" s="2" t="s">
        <v>10</v>
      </c>
    </row>
    <row r="3027" spans="1:7" x14ac:dyDescent="0.2">
      <c r="A3027" s="2" t="s">
        <v>3619</v>
      </c>
      <c r="B3027" s="2" t="s">
        <v>528</v>
      </c>
      <c r="C3027" s="2">
        <v>597.72810000000004</v>
      </c>
      <c r="D3027" s="2">
        <f>HYPERLINK("http://mcb-m6.bioreg.kyushu-u.ac.jp/M3/20110421/F51018/1493/1", 38.95)</f>
        <v>38.950000000000003</v>
      </c>
      <c r="E3027" s="2">
        <v>25.62</v>
      </c>
      <c r="F3027" s="2">
        <v>2</v>
      </c>
      <c r="G3027" s="2" t="s">
        <v>11</v>
      </c>
    </row>
    <row r="3028" spans="1:7" x14ac:dyDescent="0.2">
      <c r="A3028" s="2" t="s">
        <v>3619</v>
      </c>
      <c r="B3028" s="2" t="s">
        <v>528</v>
      </c>
      <c r="C3028" s="2">
        <v>597.70320000000004</v>
      </c>
      <c r="D3028" s="2">
        <f>HYPERLINK("http://mcb-m6.bioreg.kyushu-u.ac.jp/M3/20110421/F51017/1343/1", 53.77)</f>
        <v>53.77</v>
      </c>
      <c r="E3028" s="2">
        <v>35.19</v>
      </c>
      <c r="F3028" s="2">
        <v>2</v>
      </c>
      <c r="G3028" s="2" t="s">
        <v>11</v>
      </c>
    </row>
    <row r="3029" spans="1:7" x14ac:dyDescent="0.2">
      <c r="A3029" s="2" t="s">
        <v>3619</v>
      </c>
      <c r="B3029" s="2" t="s">
        <v>1672</v>
      </c>
      <c r="C3029" s="2">
        <v>1044.223</v>
      </c>
      <c r="D3029" s="2">
        <f>HYPERLINK("http://mcb-m6.bioreg.kyushu-u.ac.jp/M3/20110421/F51017/3318/1", 110.39)</f>
        <v>110.39</v>
      </c>
      <c r="E3029" s="2">
        <v>98.33</v>
      </c>
      <c r="F3029" s="2">
        <v>2</v>
      </c>
      <c r="G3029" s="2" t="s">
        <v>11</v>
      </c>
    </row>
    <row r="3030" spans="1:7" x14ac:dyDescent="0.2">
      <c r="A3030" s="2" t="s">
        <v>3619</v>
      </c>
      <c r="B3030" s="2" t="s">
        <v>7298</v>
      </c>
      <c r="C3030" s="2">
        <v>1091.3720000000001</v>
      </c>
      <c r="D3030" s="2">
        <f>HYPERLINK("http://mcb-m6.bioreg.kyushu-u.ac.jp/M3/20110427/F51111/3259/1", 36.54)</f>
        <v>36.54</v>
      </c>
      <c r="E3030" s="2">
        <v>31.16</v>
      </c>
      <c r="F3030" s="2">
        <v>2</v>
      </c>
      <c r="G3030" s="2" t="s">
        <v>13</v>
      </c>
    </row>
    <row r="3031" spans="1:7" x14ac:dyDescent="0.2">
      <c r="A3031" s="2" t="s">
        <v>3619</v>
      </c>
      <c r="B3031" s="2" t="s">
        <v>528</v>
      </c>
      <c r="C3031" s="2">
        <v>597.65719999999999</v>
      </c>
      <c r="D3031" s="2">
        <f>HYPERLINK("http://mcb-m6.bioreg.kyushu-u.ac.jp/M3/20110427/F51112/1503/1", 53.59)</f>
        <v>53.59</v>
      </c>
      <c r="E3031" s="2">
        <v>35.380000000000003</v>
      </c>
      <c r="F3031" s="2">
        <v>2</v>
      </c>
      <c r="G3031" s="2" t="s">
        <v>13</v>
      </c>
    </row>
    <row r="3032" spans="1:7" x14ac:dyDescent="0.2">
      <c r="A3032" s="2" t="s">
        <v>3619</v>
      </c>
      <c r="B3032" s="2" t="s">
        <v>528</v>
      </c>
      <c r="C3032" s="2">
        <v>597.60310000000004</v>
      </c>
      <c r="D3032" s="2">
        <f>HYPERLINK("http://mcb-m6.bioreg.kyushu-u.ac.jp/M3/20110427/F51111/1550/1", 57.51)</f>
        <v>57.51</v>
      </c>
      <c r="E3032" s="2">
        <v>38.92</v>
      </c>
      <c r="F3032" s="2">
        <v>2</v>
      </c>
      <c r="G3032" s="2" t="s">
        <v>13</v>
      </c>
    </row>
    <row r="3033" spans="1:7" x14ac:dyDescent="0.2">
      <c r="A3033" s="2" t="s">
        <v>3619</v>
      </c>
      <c r="B3033" s="2" t="s">
        <v>528</v>
      </c>
      <c r="C3033" s="2">
        <v>598.0231</v>
      </c>
      <c r="D3033" s="2">
        <f>HYPERLINK("http://mcb-m6.bioreg.kyushu-u.ac.jp/M3/20110427/F51120/1658/1", 37.65)</f>
        <v>37.65</v>
      </c>
      <c r="E3033" s="2">
        <v>25.74</v>
      </c>
      <c r="F3033" s="2">
        <v>2</v>
      </c>
      <c r="G3033" s="2" t="s">
        <v>14</v>
      </c>
    </row>
    <row r="3034" spans="1:7" x14ac:dyDescent="0.2">
      <c r="A3034" s="2" t="s">
        <v>3437</v>
      </c>
      <c r="B3034" s="2" t="s">
        <v>498</v>
      </c>
      <c r="C3034" s="2">
        <v>693.14319999999998</v>
      </c>
      <c r="D3034" s="2">
        <f>HYPERLINK("http://mcb-m6.bioreg.kyushu-u.ac.jp/M3/20110404/F50753/1819/1", 45.47)</f>
        <v>45.47</v>
      </c>
      <c r="E3034" s="2">
        <v>27.1</v>
      </c>
      <c r="F3034" s="2">
        <v>2</v>
      </c>
      <c r="G3034" s="2" t="s">
        <v>9</v>
      </c>
    </row>
    <row r="3035" spans="1:7" x14ac:dyDescent="0.2">
      <c r="A3035" s="2" t="s">
        <v>3437</v>
      </c>
      <c r="B3035" s="2" t="s">
        <v>245</v>
      </c>
      <c r="C3035" s="2">
        <v>619.0797</v>
      </c>
      <c r="D3035" s="2">
        <f>HYPERLINK("http://mcb-m6.bioreg.kyushu-u.ac.jp/M3/20110404/F50753/1576/1", 58.8)</f>
        <v>58.8</v>
      </c>
      <c r="E3035" s="2">
        <v>40.74</v>
      </c>
      <c r="F3035" s="2">
        <v>2</v>
      </c>
      <c r="G3035" s="2" t="s">
        <v>9</v>
      </c>
    </row>
    <row r="3036" spans="1:7" x14ac:dyDescent="0.2">
      <c r="A3036" s="2" t="s">
        <v>3437</v>
      </c>
      <c r="B3036" s="2" t="s">
        <v>2421</v>
      </c>
      <c r="C3036" s="2">
        <v>628.63819999999998</v>
      </c>
      <c r="D3036" s="2">
        <f>HYPERLINK("http://mcb-m6.bioreg.kyushu-u.ac.jp/M3/20110404/F50753/1596/1", 70.14)</f>
        <v>70.14</v>
      </c>
      <c r="E3036" s="2">
        <v>38.71</v>
      </c>
      <c r="F3036" s="2">
        <v>2</v>
      </c>
      <c r="G3036" s="2" t="s">
        <v>9</v>
      </c>
    </row>
    <row r="3037" spans="1:7" x14ac:dyDescent="0.2">
      <c r="A3037" s="2" t="s">
        <v>3437</v>
      </c>
      <c r="B3037" s="2" t="s">
        <v>2421</v>
      </c>
      <c r="C3037" s="2">
        <v>629.20069999999998</v>
      </c>
      <c r="D3037" s="2">
        <f>HYPERLINK("http://mcb-m6.bioreg.kyushu-u.ac.jp/M3/20110421/F51017/1466/1", 60.82)</f>
        <v>60.82</v>
      </c>
      <c r="E3037" s="2">
        <v>33.42</v>
      </c>
      <c r="F3037" s="2">
        <v>2</v>
      </c>
      <c r="G3037" s="2" t="s">
        <v>11</v>
      </c>
    </row>
    <row r="3038" spans="1:7" x14ac:dyDescent="0.2">
      <c r="A3038" s="2" t="s">
        <v>3437</v>
      </c>
      <c r="B3038" s="2" t="s">
        <v>7302</v>
      </c>
      <c r="C3038" s="2">
        <v>628.70420000000001</v>
      </c>
      <c r="D3038" s="2">
        <f>HYPERLINK("http://mcb-m6.bioreg.kyushu-u.ac.jp/M3/20110427/F51111/2967/1", 37.2)</f>
        <v>37.200000000000003</v>
      </c>
      <c r="E3038" s="2">
        <v>24.94</v>
      </c>
      <c r="F3038" s="2">
        <v>3</v>
      </c>
      <c r="G3038" s="2" t="s">
        <v>13</v>
      </c>
    </row>
    <row r="3039" spans="1:7" x14ac:dyDescent="0.2">
      <c r="A3039" s="2" t="s">
        <v>3437</v>
      </c>
      <c r="B3039" s="2" t="s">
        <v>2421</v>
      </c>
      <c r="C3039" s="2">
        <v>628.70420000000001</v>
      </c>
      <c r="D3039" s="2">
        <f>HYPERLINK("http://mcb-m6.bioreg.kyushu-u.ac.jp/M3/20110427/F51111/1654/1", 67.34)</f>
        <v>67.34</v>
      </c>
      <c r="E3039" s="2">
        <v>45.52</v>
      </c>
      <c r="F3039" s="2">
        <v>2</v>
      </c>
      <c r="G3039" s="2" t="s">
        <v>13</v>
      </c>
    </row>
    <row r="3040" spans="1:7" x14ac:dyDescent="0.2">
      <c r="A3040" s="2" t="s">
        <v>3499</v>
      </c>
      <c r="B3040" s="2" t="s">
        <v>6081</v>
      </c>
      <c r="C3040" s="2">
        <v>709.14120000000003</v>
      </c>
      <c r="D3040" s="2">
        <f>HYPERLINK("http://mcb-m6.bioreg.kyushu-u.ac.jp/M3/20110404/F50753/1876/1", 41.52)</f>
        <v>41.52</v>
      </c>
      <c r="E3040" s="2">
        <v>21.99</v>
      </c>
      <c r="F3040" s="2">
        <v>2</v>
      </c>
      <c r="G3040" s="2" t="s">
        <v>9</v>
      </c>
    </row>
    <row r="3041" spans="1:9" x14ac:dyDescent="0.2">
      <c r="A3041" s="2" t="s">
        <v>3499</v>
      </c>
      <c r="B3041" s="2" t="s">
        <v>1645</v>
      </c>
      <c r="C3041" s="2">
        <v>739.13919999999996</v>
      </c>
      <c r="D3041" s="2">
        <f>HYPERLINK("http://mcb-m6.bioreg.kyushu-u.ac.jp/M3/20110404/F50753/2007/1", 54.06)</f>
        <v>54.06</v>
      </c>
      <c r="E3041" s="2">
        <v>36.840000000000003</v>
      </c>
      <c r="F3041" s="2">
        <v>2</v>
      </c>
      <c r="G3041" s="2" t="s">
        <v>9</v>
      </c>
      <c r="I3041" s="2" t="s">
        <v>4943</v>
      </c>
    </row>
    <row r="3042" spans="1:9" x14ac:dyDescent="0.2">
      <c r="A3042" s="2" t="s">
        <v>3499</v>
      </c>
      <c r="B3042" s="2" t="s">
        <v>1645</v>
      </c>
      <c r="C3042" s="2">
        <v>739.17409999999995</v>
      </c>
      <c r="D3042" s="2">
        <f>HYPERLINK("http://mcb-m6.bioreg.kyushu-u.ac.jp/M3/20110404/F50754/2113/1", 80.32)</f>
        <v>80.319999999999993</v>
      </c>
      <c r="E3042" s="2">
        <v>55.41</v>
      </c>
      <c r="F3042" s="2">
        <v>2</v>
      </c>
      <c r="G3042" s="2" t="s">
        <v>9</v>
      </c>
      <c r="I3042" s="2" t="s">
        <v>4943</v>
      </c>
    </row>
    <row r="3043" spans="1:9" x14ac:dyDescent="0.2">
      <c r="A3043" s="2" t="s">
        <v>3499</v>
      </c>
      <c r="B3043" s="2" t="s">
        <v>6081</v>
      </c>
      <c r="C3043" s="2">
        <v>709.2527</v>
      </c>
      <c r="D3043" s="2">
        <f>HYPERLINK("http://mcb-m6.bioreg.kyushu-u.ac.jp/M3/20110404/F50758/1777/1", 46.92)</f>
        <v>46.92</v>
      </c>
      <c r="E3043" s="2">
        <v>33.33</v>
      </c>
      <c r="F3043" s="2">
        <v>2</v>
      </c>
      <c r="G3043" s="2" t="s">
        <v>10</v>
      </c>
    </row>
    <row r="3044" spans="1:9" x14ac:dyDescent="0.2">
      <c r="A3044" s="2" t="s">
        <v>3499</v>
      </c>
      <c r="B3044" s="2" t="s">
        <v>1645</v>
      </c>
      <c r="C3044" s="2">
        <v>738.93769999999995</v>
      </c>
      <c r="D3044" s="2">
        <f>HYPERLINK("http://mcb-m6.bioreg.kyushu-u.ac.jp/M3/20110404/F50758/1905/1", 63.92)</f>
        <v>63.92</v>
      </c>
      <c r="E3044" s="2">
        <v>40.33</v>
      </c>
      <c r="F3044" s="2">
        <v>2</v>
      </c>
      <c r="G3044" s="2" t="s">
        <v>10</v>
      </c>
      <c r="I3044" s="2" t="s">
        <v>4943</v>
      </c>
    </row>
    <row r="3045" spans="1:9" x14ac:dyDescent="0.2">
      <c r="A3045" s="2" t="s">
        <v>3499</v>
      </c>
      <c r="B3045" s="2" t="s">
        <v>1645</v>
      </c>
      <c r="C3045" s="2">
        <v>739.21220000000005</v>
      </c>
      <c r="D3045" s="2">
        <f>HYPERLINK("http://mcb-m6.bioreg.kyushu-u.ac.jp/M3/20110421/F51017/2031/1", 41.73)</f>
        <v>41.73</v>
      </c>
      <c r="E3045" s="2">
        <v>24.15</v>
      </c>
      <c r="F3045" s="2">
        <v>2</v>
      </c>
      <c r="G3045" s="2" t="s">
        <v>11</v>
      </c>
      <c r="I3045" s="2" t="s">
        <v>4943</v>
      </c>
    </row>
    <row r="3046" spans="1:9" x14ac:dyDescent="0.2">
      <c r="A3046" s="2" t="s">
        <v>4609</v>
      </c>
      <c r="B3046" s="2" t="s">
        <v>5971</v>
      </c>
      <c r="C3046" s="2">
        <v>623.82709999999997</v>
      </c>
      <c r="D3046" s="2">
        <f>HYPERLINK("http://mcb-m6.bioreg.kyushu-u.ac.jp/M3/20110404/F50765/1331/1", 37.29)</f>
        <v>37.29</v>
      </c>
      <c r="E3046" s="2">
        <v>24.8</v>
      </c>
      <c r="F3046" s="2">
        <v>2</v>
      </c>
      <c r="G3046" s="2" t="s">
        <v>9</v>
      </c>
    </row>
    <row r="3047" spans="1:9" x14ac:dyDescent="0.2">
      <c r="A3047" s="2" t="s">
        <v>4609</v>
      </c>
      <c r="B3047" s="2" t="s">
        <v>6012</v>
      </c>
      <c r="C3047" s="2">
        <v>605.46370000000002</v>
      </c>
      <c r="D3047" s="2">
        <f>HYPERLINK("http://mcb-m6.bioreg.kyushu-u.ac.jp/M3/20110404/F50765/1258/1", 38.7)</f>
        <v>38.700000000000003</v>
      </c>
      <c r="E3047" s="2">
        <v>20.75</v>
      </c>
      <c r="F3047" s="2">
        <v>2</v>
      </c>
      <c r="G3047" s="2" t="s">
        <v>9</v>
      </c>
    </row>
    <row r="3048" spans="1:9" x14ac:dyDescent="0.2">
      <c r="A3048" s="2" t="s">
        <v>7620</v>
      </c>
      <c r="B3048" s="2" t="s">
        <v>6134</v>
      </c>
      <c r="C3048" s="2">
        <v>594.26819999999998</v>
      </c>
      <c r="D3048" s="2">
        <f>HYPERLINK("http://mcb-m6.bioreg.kyushu-u.ac.jp/M3/20110404/F50756/1325/1", 44.08)</f>
        <v>44.08</v>
      </c>
      <c r="E3048" s="2">
        <v>24.4</v>
      </c>
      <c r="F3048" s="2">
        <v>2</v>
      </c>
      <c r="G3048" s="2" t="s">
        <v>9</v>
      </c>
    </row>
    <row r="3049" spans="1:9" x14ac:dyDescent="0.2">
      <c r="A3049" s="2" t="s">
        <v>7731</v>
      </c>
      <c r="B3049" s="2" t="s">
        <v>6459</v>
      </c>
      <c r="C3049" s="2">
        <v>914.39419999999996</v>
      </c>
      <c r="D3049" s="2">
        <f>HYPERLINK("http://mcb-m6.bioreg.kyushu-u.ac.jp/M3/20110404/F50756/2767/1", 66.2)</f>
        <v>66.2</v>
      </c>
      <c r="E3049" s="2">
        <v>26.35</v>
      </c>
      <c r="F3049" s="2">
        <v>2</v>
      </c>
      <c r="G3049" s="2" t="s">
        <v>9</v>
      </c>
    </row>
    <row r="3050" spans="1:9" x14ac:dyDescent="0.2">
      <c r="A3050" s="2" t="s">
        <v>7624</v>
      </c>
      <c r="B3050" s="2" t="s">
        <v>6148</v>
      </c>
      <c r="C3050" s="2">
        <v>571.38369999999998</v>
      </c>
      <c r="D3050" s="2">
        <f>HYPERLINK("http://mcb-m6.bioreg.kyushu-u.ac.jp/M3/20110404/F50763/1293/1", 44.46)</f>
        <v>44.46</v>
      </c>
      <c r="E3050" s="2">
        <v>28.35</v>
      </c>
      <c r="F3050" s="2">
        <v>2</v>
      </c>
      <c r="G3050" s="2" t="s">
        <v>9</v>
      </c>
      <c r="I3050" s="2" t="s">
        <v>4892</v>
      </c>
    </row>
    <row r="3051" spans="1:9" x14ac:dyDescent="0.2">
      <c r="A3051" s="2" t="s">
        <v>7624</v>
      </c>
      <c r="B3051" s="2" t="s">
        <v>6387</v>
      </c>
      <c r="C3051" s="2">
        <v>616.68709999999999</v>
      </c>
      <c r="D3051" s="2">
        <f>HYPERLINK("http://mcb-m6.bioreg.kyushu-u.ac.jp/M3/20110404/F50763/1471/1", 58.32)</f>
        <v>58.32</v>
      </c>
      <c r="E3051" s="2">
        <v>23.65</v>
      </c>
      <c r="F3051" s="2">
        <v>2</v>
      </c>
      <c r="G3051" s="2" t="s">
        <v>9</v>
      </c>
      <c r="I3051" s="2" t="s">
        <v>4890</v>
      </c>
    </row>
    <row r="3052" spans="1:9" x14ac:dyDescent="0.2">
      <c r="A3052" s="2" t="s">
        <v>7624</v>
      </c>
      <c r="B3052" s="2" t="s">
        <v>6394</v>
      </c>
      <c r="C3052" s="2">
        <v>737.69460000000004</v>
      </c>
      <c r="D3052" s="2">
        <f>HYPERLINK("http://mcb-m6.bioreg.kyushu-u.ac.jp/M3/20110404/F50763/1928/1", 59.14)</f>
        <v>59.14</v>
      </c>
      <c r="E3052" s="2">
        <v>46.31</v>
      </c>
      <c r="F3052" s="2">
        <v>2</v>
      </c>
      <c r="G3052" s="2" t="s">
        <v>9</v>
      </c>
      <c r="I3052" s="2" t="s">
        <v>4892</v>
      </c>
    </row>
    <row r="3053" spans="1:9" x14ac:dyDescent="0.2">
      <c r="A3053" s="2" t="s">
        <v>7711</v>
      </c>
      <c r="B3053" s="2" t="s">
        <v>6400</v>
      </c>
      <c r="C3053" s="2">
        <v>597.73419999999999</v>
      </c>
      <c r="D3053" s="2">
        <f>HYPERLINK("http://mcb-m6.bioreg.kyushu-u.ac.jp/M3/20110404/F50763/1395/1", 60.03)</f>
        <v>60.03</v>
      </c>
      <c r="E3053" s="2">
        <v>41.96</v>
      </c>
      <c r="F3053" s="2">
        <v>2</v>
      </c>
      <c r="G3053" s="2" t="s">
        <v>9</v>
      </c>
      <c r="I3053" s="2" t="s">
        <v>4899</v>
      </c>
    </row>
    <row r="3054" spans="1:9" x14ac:dyDescent="0.2">
      <c r="A3054" s="2" t="s">
        <v>7711</v>
      </c>
      <c r="B3054" s="2" t="s">
        <v>6436</v>
      </c>
      <c r="C3054" s="2">
        <v>574.66520000000003</v>
      </c>
      <c r="D3054" s="2">
        <f>HYPERLINK("http://mcb-m6.bioreg.kyushu-u.ac.jp/M3/20110404/F50763/1302/1", 64.25)</f>
        <v>64.25</v>
      </c>
      <c r="E3054" s="2">
        <v>40.98</v>
      </c>
      <c r="F3054" s="2">
        <v>2</v>
      </c>
      <c r="G3054" s="2" t="s">
        <v>9</v>
      </c>
    </row>
    <row r="3055" spans="1:9" x14ac:dyDescent="0.2">
      <c r="A3055" s="2" t="s">
        <v>7711</v>
      </c>
      <c r="B3055" s="2" t="s">
        <v>6436</v>
      </c>
      <c r="C3055" s="2">
        <v>574.80719999999997</v>
      </c>
      <c r="D3055" s="2">
        <f>HYPERLINK("http://mcb-m6.bioreg.kyushu-u.ac.jp/M3/20110404/F50769/1454/1", 63.79)</f>
        <v>63.79</v>
      </c>
      <c r="E3055" s="2">
        <v>37.78</v>
      </c>
      <c r="F3055" s="2">
        <v>2</v>
      </c>
      <c r="G3055" s="2" t="s">
        <v>10</v>
      </c>
    </row>
    <row r="3056" spans="1:9" x14ac:dyDescent="0.2">
      <c r="A3056" s="2" t="s">
        <v>7711</v>
      </c>
      <c r="B3056" s="2" t="s">
        <v>6436</v>
      </c>
      <c r="C3056" s="2">
        <v>574.20719999999994</v>
      </c>
      <c r="D3056" s="2">
        <f>HYPERLINK("http://mcb-m6.bioreg.kyushu-u.ac.jp/M3/20110428/F51127/1063/1", 43.65)</f>
        <v>43.65</v>
      </c>
      <c r="E3056" s="2">
        <v>28.27</v>
      </c>
      <c r="F3056" s="2">
        <v>2</v>
      </c>
      <c r="G3056" s="2" t="s">
        <v>13</v>
      </c>
    </row>
    <row r="3057" spans="1:9" x14ac:dyDescent="0.2">
      <c r="A3057" s="2" t="s">
        <v>7603</v>
      </c>
      <c r="B3057" s="2" t="s">
        <v>6094</v>
      </c>
      <c r="C3057" s="2">
        <v>1060.596</v>
      </c>
      <c r="D3057" s="2">
        <f>HYPERLINK("http://mcb-m6.bioreg.kyushu-u.ac.jp/M3/20110404/F50763/2910/1", 41.93)</f>
        <v>41.93</v>
      </c>
      <c r="E3057" s="2">
        <v>31.78</v>
      </c>
      <c r="F3057" s="2">
        <v>2</v>
      </c>
      <c r="G3057" s="2" t="s">
        <v>9</v>
      </c>
      <c r="H3057" s="2" t="s">
        <v>4908</v>
      </c>
    </row>
    <row r="3058" spans="1:9" x14ac:dyDescent="0.2">
      <c r="A3058" s="2" t="s">
        <v>7603</v>
      </c>
      <c r="B3058" s="2" t="s">
        <v>6560</v>
      </c>
      <c r="C3058" s="2">
        <v>759.37369999999999</v>
      </c>
      <c r="D3058" s="2">
        <f>HYPERLINK("http://mcb-m6.bioreg.kyushu-u.ac.jp/M3/20110404/F50763/2017/1", 79.86)</f>
        <v>79.86</v>
      </c>
      <c r="E3058" s="2">
        <v>55.13</v>
      </c>
      <c r="F3058" s="2">
        <v>2</v>
      </c>
      <c r="G3058" s="2" t="s">
        <v>9</v>
      </c>
    </row>
    <row r="3059" spans="1:9" x14ac:dyDescent="0.2">
      <c r="A3059" s="2" t="s">
        <v>7603</v>
      </c>
      <c r="B3059" s="2" t="s">
        <v>6560</v>
      </c>
      <c r="C3059" s="2">
        <v>758.83010000000002</v>
      </c>
      <c r="D3059" s="2">
        <f>HYPERLINK("http://mcb-m6.bioreg.kyushu-u.ac.jp/M3/20110404/F50763/2016/1", 88.18)</f>
        <v>88.18</v>
      </c>
      <c r="E3059" s="2">
        <v>71.540000000000006</v>
      </c>
      <c r="F3059" s="2">
        <v>2</v>
      </c>
      <c r="G3059" s="2" t="s">
        <v>9</v>
      </c>
    </row>
    <row r="3060" spans="1:9" x14ac:dyDescent="0.2">
      <c r="A3060" s="2" t="s">
        <v>7603</v>
      </c>
      <c r="B3060" s="2" t="s">
        <v>6094</v>
      </c>
      <c r="C3060" s="2">
        <v>1052.432</v>
      </c>
      <c r="D3060" s="2">
        <f>HYPERLINK("http://mcb-m6.bioreg.kyushu-u.ac.jp/M3/20110404/F50763/2891/1", 122.51)</f>
        <v>122.51</v>
      </c>
      <c r="E3060" s="2">
        <v>105.96</v>
      </c>
      <c r="F3060" s="2">
        <v>2</v>
      </c>
      <c r="G3060" s="2" t="s">
        <v>9</v>
      </c>
    </row>
    <row r="3061" spans="1:9" x14ac:dyDescent="0.2">
      <c r="A3061" s="2" t="s">
        <v>3515</v>
      </c>
      <c r="B3061" s="2" t="s">
        <v>357</v>
      </c>
      <c r="C3061" s="2">
        <v>975.52</v>
      </c>
      <c r="D3061" s="2">
        <f>HYPERLINK("http://mcb-m6.bioreg.kyushu-u.ac.jp/M3/20110404/F50752/1314/1", 38.96)</f>
        <v>38.96</v>
      </c>
      <c r="E3061" s="2">
        <v>14.92</v>
      </c>
      <c r="F3061" s="2">
        <v>1</v>
      </c>
      <c r="G3061" s="2" t="s">
        <v>9</v>
      </c>
    </row>
    <row r="3062" spans="1:9" x14ac:dyDescent="0.2">
      <c r="A3062" s="2" t="s">
        <v>3515</v>
      </c>
      <c r="B3062" s="2" t="s">
        <v>357</v>
      </c>
      <c r="C3062" s="2">
        <v>488.44909999999999</v>
      </c>
      <c r="D3062" s="2">
        <f>HYPERLINK("http://mcb-m6.bioreg.kyushu-u.ac.jp/M3/20110404/F50751/1451/1", 60.83)</f>
        <v>60.83</v>
      </c>
      <c r="E3062" s="2">
        <v>32.89</v>
      </c>
      <c r="F3062" s="2">
        <v>2</v>
      </c>
      <c r="G3062" s="2" t="s">
        <v>9</v>
      </c>
    </row>
    <row r="3063" spans="1:9" x14ac:dyDescent="0.2">
      <c r="A3063" s="2" t="s">
        <v>3515</v>
      </c>
      <c r="B3063" s="2" t="s">
        <v>357</v>
      </c>
      <c r="C3063" s="2">
        <v>488.1121</v>
      </c>
      <c r="D3063" s="2">
        <f>HYPERLINK("http://mcb-m6.bioreg.kyushu-u.ac.jp/M3/20110421/F51015/1329/1", 56.36)</f>
        <v>56.36</v>
      </c>
      <c r="E3063" s="2">
        <v>28.63</v>
      </c>
      <c r="F3063" s="2">
        <v>2</v>
      </c>
      <c r="G3063" s="2" t="s">
        <v>11</v>
      </c>
    </row>
    <row r="3064" spans="1:9" x14ac:dyDescent="0.2">
      <c r="A3064" s="2" t="s">
        <v>7552</v>
      </c>
      <c r="B3064" s="2" t="s">
        <v>5968</v>
      </c>
      <c r="C3064" s="2">
        <v>478.03809999999999</v>
      </c>
      <c r="D3064" s="2">
        <f>HYPERLINK("http://mcb-m6.bioreg.kyushu-u.ac.jp/M3/20110404/F50751/1403/1", 37.21)</f>
        <v>37.21</v>
      </c>
      <c r="E3064" s="2">
        <v>18.22</v>
      </c>
      <c r="F3064" s="2">
        <v>2</v>
      </c>
      <c r="G3064" s="2" t="s">
        <v>9</v>
      </c>
      <c r="I3064" s="2" t="s">
        <v>4905</v>
      </c>
    </row>
    <row r="3065" spans="1:9" x14ac:dyDescent="0.2">
      <c r="A3065" s="2" t="s">
        <v>8073</v>
      </c>
      <c r="B3065" s="2" t="s">
        <v>7387</v>
      </c>
      <c r="C3065" s="2">
        <v>482.13959999999997</v>
      </c>
      <c r="D3065" s="2">
        <f>HYPERLINK("http://mcb-m6.bioreg.kyushu-u.ac.jp/M3/20110427/F51109/1359/1", 53.79)</f>
        <v>53.79</v>
      </c>
      <c r="E3065" s="2">
        <v>13.51</v>
      </c>
      <c r="F3065" s="2">
        <v>2</v>
      </c>
      <c r="G3065" s="2" t="s">
        <v>13</v>
      </c>
    </row>
    <row r="3066" spans="1:9" x14ac:dyDescent="0.2">
      <c r="A3066" s="2" t="s">
        <v>4876</v>
      </c>
      <c r="B3066" s="2" t="s">
        <v>6988</v>
      </c>
      <c r="C3066" s="2">
        <v>692.06370000000004</v>
      </c>
      <c r="D3066" s="2">
        <f>HYPERLINK("http://mcb-m6.bioreg.kyushu-u.ac.jp/M3/20110404/F50769/1816/1", 73.07)</f>
        <v>73.069999999999993</v>
      </c>
      <c r="E3066" s="2">
        <v>52.08</v>
      </c>
      <c r="F3066" s="2">
        <v>2</v>
      </c>
      <c r="G3066" s="2" t="s">
        <v>10</v>
      </c>
    </row>
    <row r="3067" spans="1:9" x14ac:dyDescent="0.2">
      <c r="A3067" s="2" t="s">
        <v>4876</v>
      </c>
      <c r="B3067" s="2" t="s">
        <v>6988</v>
      </c>
      <c r="C3067" s="2">
        <v>699.87120000000004</v>
      </c>
      <c r="D3067" s="2">
        <f>HYPERLINK("http://mcb-m6.bioreg.kyushu-u.ac.jp/M3/20110421/F51035/1731/1", 36.05)</f>
        <v>36.049999999999997</v>
      </c>
      <c r="E3067" s="2">
        <v>28.26</v>
      </c>
      <c r="F3067" s="2">
        <v>2</v>
      </c>
      <c r="G3067" s="2" t="s">
        <v>11</v>
      </c>
      <c r="H3067" s="2" t="s">
        <v>4910</v>
      </c>
    </row>
    <row r="3068" spans="1:9" x14ac:dyDescent="0.2">
      <c r="A3068" s="2" t="s">
        <v>4876</v>
      </c>
      <c r="B3068" s="2" t="s">
        <v>3189</v>
      </c>
      <c r="C3068" s="2">
        <v>587.85770000000002</v>
      </c>
      <c r="D3068" s="2">
        <f>HYPERLINK("http://mcb-m6.bioreg.kyushu-u.ac.jp/M3/20110421/F51035/1158/1", 72.09)</f>
        <v>72.09</v>
      </c>
      <c r="E3068" s="2">
        <v>49.42</v>
      </c>
      <c r="F3068" s="2">
        <v>2</v>
      </c>
      <c r="G3068" s="2" t="s">
        <v>11</v>
      </c>
    </row>
    <row r="3069" spans="1:9" x14ac:dyDescent="0.2">
      <c r="A3069" s="2" t="s">
        <v>4876</v>
      </c>
      <c r="B3069" s="2" t="s">
        <v>6988</v>
      </c>
      <c r="C3069" s="2">
        <v>700.16769999999997</v>
      </c>
      <c r="D3069" s="2">
        <f>HYPERLINK("http://mcb-m6.bioreg.kyushu-u.ac.jp/M3/20110421/F51043/1838/1", 52.32)</f>
        <v>52.32</v>
      </c>
      <c r="E3069" s="2">
        <v>34.799999999999997</v>
      </c>
      <c r="F3069" s="2">
        <v>2</v>
      </c>
      <c r="G3069" s="2" t="s">
        <v>12</v>
      </c>
      <c r="H3069" s="2" t="s">
        <v>4910</v>
      </c>
    </row>
    <row r="3070" spans="1:9" x14ac:dyDescent="0.2">
      <c r="A3070" s="2" t="s">
        <v>4876</v>
      </c>
      <c r="B3070" s="2" t="s">
        <v>3189</v>
      </c>
      <c r="C3070" s="2">
        <v>587.79719999999998</v>
      </c>
      <c r="D3070" s="2">
        <f>HYPERLINK("http://mcb-m6.bioreg.kyushu-u.ac.jp/M3/20110421/F51045/1505/1", 77.06)</f>
        <v>77.06</v>
      </c>
      <c r="E3070" s="2">
        <v>50.66</v>
      </c>
      <c r="F3070" s="2">
        <v>2</v>
      </c>
      <c r="G3070" s="2" t="s">
        <v>12</v>
      </c>
    </row>
    <row r="3071" spans="1:9" x14ac:dyDescent="0.2">
      <c r="A3071" s="2" t="s">
        <v>4876</v>
      </c>
      <c r="B3071" s="2" t="s">
        <v>3189</v>
      </c>
      <c r="C3071" s="2">
        <v>587.64970000000005</v>
      </c>
      <c r="D3071" s="2">
        <f>HYPERLINK("http://mcb-m6.bioreg.kyushu-u.ac.jp/M3/20110428/F51127/1133/1", 78.62)</f>
        <v>78.62</v>
      </c>
      <c r="E3071" s="2">
        <v>52.04</v>
      </c>
      <c r="F3071" s="2">
        <v>2</v>
      </c>
      <c r="G3071" s="2" t="s">
        <v>13</v>
      </c>
    </row>
    <row r="3072" spans="1:9" x14ac:dyDescent="0.2">
      <c r="A3072" s="2" t="s">
        <v>3451</v>
      </c>
      <c r="B3072" s="2" t="s">
        <v>1735</v>
      </c>
      <c r="C3072" s="2">
        <v>944.351</v>
      </c>
      <c r="D3072" s="2">
        <f>HYPERLINK("http://mcb-m6.bioreg.kyushu-u.ac.jp/M3/20110404/F50763/973/1", 35.49)</f>
        <v>35.49</v>
      </c>
      <c r="E3072" s="2">
        <v>12.22</v>
      </c>
      <c r="F3072" s="2">
        <v>1</v>
      </c>
      <c r="G3072" s="2" t="s">
        <v>9</v>
      </c>
    </row>
    <row r="3073" spans="1:7" x14ac:dyDescent="0.2">
      <c r="A3073" s="2" t="s">
        <v>3451</v>
      </c>
      <c r="B3073" s="2" t="s">
        <v>590</v>
      </c>
      <c r="C3073" s="2">
        <v>909.9067</v>
      </c>
      <c r="D3073" s="2">
        <f>HYPERLINK("http://mcb-m6.bioreg.kyushu-u.ac.jp/M3/20110404/F50752/2609/1", 35.54)</f>
        <v>35.54</v>
      </c>
      <c r="E3073" s="2">
        <v>23.78</v>
      </c>
      <c r="F3073" s="2">
        <v>2</v>
      </c>
      <c r="G3073" s="2" t="s">
        <v>9</v>
      </c>
    </row>
    <row r="3074" spans="1:7" x14ac:dyDescent="0.2">
      <c r="A3074" s="2" t="s">
        <v>3451</v>
      </c>
      <c r="B3074" s="2" t="s">
        <v>590</v>
      </c>
      <c r="C3074" s="2">
        <v>909.35609999999997</v>
      </c>
      <c r="D3074" s="2">
        <f>HYPERLINK("http://mcb-m6.bioreg.kyushu-u.ac.jp/M3/20110404/F50752/2607/1", 37.08)</f>
        <v>37.08</v>
      </c>
      <c r="E3074" s="2">
        <v>27.68</v>
      </c>
      <c r="F3074" s="2">
        <v>2</v>
      </c>
      <c r="G3074" s="2" t="s">
        <v>9</v>
      </c>
    </row>
    <row r="3075" spans="1:7" x14ac:dyDescent="0.2">
      <c r="A3075" s="2" t="s">
        <v>3451</v>
      </c>
      <c r="B3075" s="2" t="s">
        <v>1735</v>
      </c>
      <c r="C3075" s="2">
        <v>472.6361</v>
      </c>
      <c r="D3075" s="2">
        <f>HYPERLINK("http://mcb-m6.bioreg.kyushu-u.ac.jp/M3/20110404/F50756/920/1", 37.44)</f>
        <v>37.44</v>
      </c>
      <c r="E3075" s="2">
        <v>16</v>
      </c>
      <c r="F3075" s="2">
        <v>2</v>
      </c>
      <c r="G3075" s="2" t="s">
        <v>9</v>
      </c>
    </row>
    <row r="3076" spans="1:7" x14ac:dyDescent="0.2">
      <c r="A3076" s="2" t="s">
        <v>3451</v>
      </c>
      <c r="B3076" s="2" t="s">
        <v>261</v>
      </c>
      <c r="C3076" s="2">
        <v>1073.558</v>
      </c>
      <c r="D3076" s="2">
        <f>HYPERLINK("http://mcb-m6.bioreg.kyushu-u.ac.jp/M3/20110404/F50756/1133/1", 38.97)</f>
        <v>38.97</v>
      </c>
      <c r="E3076" s="2">
        <v>23.58</v>
      </c>
      <c r="F3076" s="2">
        <v>1</v>
      </c>
      <c r="G3076" s="2" t="s">
        <v>9</v>
      </c>
    </row>
    <row r="3077" spans="1:7" x14ac:dyDescent="0.2">
      <c r="A3077" s="2" t="s">
        <v>3451</v>
      </c>
      <c r="B3077" s="2" t="s">
        <v>434</v>
      </c>
      <c r="C3077" s="2">
        <v>645.45209999999997</v>
      </c>
      <c r="D3077" s="2">
        <f>HYPERLINK("http://mcb-m6.bioreg.kyushu-u.ac.jp/M3/20110404/F50752/1804/1", 39.55)</f>
        <v>39.549999999999997</v>
      </c>
      <c r="E3077" s="2">
        <v>19.78</v>
      </c>
      <c r="F3077" s="2">
        <v>2</v>
      </c>
      <c r="G3077" s="2" t="s">
        <v>9</v>
      </c>
    </row>
    <row r="3078" spans="1:7" x14ac:dyDescent="0.2">
      <c r="A3078" s="2" t="s">
        <v>3451</v>
      </c>
      <c r="B3078" s="2" t="s">
        <v>261</v>
      </c>
      <c r="C3078" s="2">
        <v>537.86019999999996</v>
      </c>
      <c r="D3078" s="2">
        <f>HYPERLINK("http://mcb-m6.bioreg.kyushu-u.ac.jp/M3/20110404/F50756/1136/1", 41.99)</f>
        <v>41.99</v>
      </c>
      <c r="E3078" s="2">
        <v>26.23</v>
      </c>
      <c r="F3078" s="2">
        <v>2</v>
      </c>
      <c r="G3078" s="2" t="s">
        <v>9</v>
      </c>
    </row>
    <row r="3079" spans="1:7" x14ac:dyDescent="0.2">
      <c r="A3079" s="2" t="s">
        <v>3451</v>
      </c>
      <c r="B3079" s="2" t="s">
        <v>1735</v>
      </c>
      <c r="C3079" s="2">
        <v>944.40599999999995</v>
      </c>
      <c r="D3079" s="2">
        <f>HYPERLINK("http://mcb-m6.bioreg.kyushu-u.ac.jp/M3/20110404/F50776/948/1", 42.05)</f>
        <v>42.05</v>
      </c>
      <c r="E3079" s="2">
        <v>22.04</v>
      </c>
      <c r="F3079" s="2">
        <v>1</v>
      </c>
      <c r="G3079" s="2" t="s">
        <v>9</v>
      </c>
    </row>
    <row r="3080" spans="1:7" x14ac:dyDescent="0.2">
      <c r="A3080" s="2" t="s">
        <v>3451</v>
      </c>
      <c r="B3080" s="2" t="s">
        <v>1735</v>
      </c>
      <c r="C3080" s="2">
        <v>944.40499999999997</v>
      </c>
      <c r="D3080" s="2">
        <f>HYPERLINK("http://mcb-m6.bioreg.kyushu-u.ac.jp/M3/20110404/F50756/921/1", 42.18)</f>
        <v>42.18</v>
      </c>
      <c r="E3080" s="2">
        <v>23.3</v>
      </c>
      <c r="F3080" s="2">
        <v>1</v>
      </c>
      <c r="G3080" s="2" t="s">
        <v>9</v>
      </c>
    </row>
    <row r="3081" spans="1:7" x14ac:dyDescent="0.2">
      <c r="A3081" s="2" t="s">
        <v>3451</v>
      </c>
      <c r="B3081" s="2" t="s">
        <v>465</v>
      </c>
      <c r="C3081" s="2">
        <v>877.37400000000002</v>
      </c>
      <c r="D3081" s="2">
        <f>HYPERLINK("http://mcb-m6.bioreg.kyushu-u.ac.jp/M3/20110404/F50763/858/2", 42.84)</f>
        <v>42.84</v>
      </c>
      <c r="E3081" s="2">
        <v>16.420000000000002</v>
      </c>
      <c r="F3081" s="2">
        <v>1</v>
      </c>
      <c r="G3081" s="2" t="s">
        <v>9</v>
      </c>
    </row>
    <row r="3082" spans="1:7" x14ac:dyDescent="0.2">
      <c r="A3082" s="2" t="s">
        <v>3451</v>
      </c>
      <c r="B3082" s="2" t="s">
        <v>434</v>
      </c>
      <c r="C3082" s="2">
        <v>645.52120000000002</v>
      </c>
      <c r="D3082" s="2">
        <f>HYPERLINK("http://mcb-m6.bioreg.kyushu-u.ac.jp/M3/20110404/F50755/1540/1", 43.23)</f>
        <v>43.23</v>
      </c>
      <c r="E3082" s="2">
        <v>19.12</v>
      </c>
      <c r="F3082" s="2">
        <v>2</v>
      </c>
      <c r="G3082" s="2" t="s">
        <v>9</v>
      </c>
    </row>
    <row r="3083" spans="1:7" x14ac:dyDescent="0.2">
      <c r="A3083" s="2" t="s">
        <v>3451</v>
      </c>
      <c r="B3083" s="2" t="s">
        <v>1735</v>
      </c>
      <c r="C3083" s="2">
        <v>472.58260000000001</v>
      </c>
      <c r="D3083" s="2">
        <f>HYPERLINK("http://mcb-m6.bioreg.kyushu-u.ac.jp/M3/20110404/F50776/947/1", 43.83)</f>
        <v>43.83</v>
      </c>
      <c r="E3083" s="2">
        <v>26.95</v>
      </c>
      <c r="F3083" s="2">
        <v>2</v>
      </c>
      <c r="G3083" s="2" t="s">
        <v>9</v>
      </c>
    </row>
    <row r="3084" spans="1:7" x14ac:dyDescent="0.2">
      <c r="A3084" s="2" t="s">
        <v>3451</v>
      </c>
      <c r="B3084" s="2" t="s">
        <v>590</v>
      </c>
      <c r="C3084" s="2">
        <v>909.41669999999999</v>
      </c>
      <c r="D3084" s="2">
        <f>HYPERLINK("http://mcb-m6.bioreg.kyushu-u.ac.jp/M3/20110404/F50756/2730/1", 44.14)</f>
        <v>44.14</v>
      </c>
      <c r="E3084" s="2">
        <v>35.840000000000003</v>
      </c>
      <c r="F3084" s="2">
        <v>2</v>
      </c>
      <c r="G3084" s="2" t="s">
        <v>9</v>
      </c>
    </row>
    <row r="3085" spans="1:7" x14ac:dyDescent="0.2">
      <c r="A3085" s="2" t="s">
        <v>3451</v>
      </c>
      <c r="B3085" s="2" t="s">
        <v>434</v>
      </c>
      <c r="C3085" s="2">
        <v>1289.3710000000001</v>
      </c>
      <c r="D3085" s="2">
        <f>HYPERLINK("http://mcb-m6.bioreg.kyushu-u.ac.jp/M3/20110404/F50755/1535/1", 44.99)</f>
        <v>44.99</v>
      </c>
      <c r="E3085" s="2">
        <v>24.89</v>
      </c>
      <c r="F3085" s="2">
        <v>1</v>
      </c>
      <c r="G3085" s="2" t="s">
        <v>9</v>
      </c>
    </row>
    <row r="3086" spans="1:7" x14ac:dyDescent="0.2">
      <c r="A3086" s="2" t="s">
        <v>3451</v>
      </c>
      <c r="B3086" s="2" t="s">
        <v>261</v>
      </c>
      <c r="C3086" s="2">
        <v>1073.569</v>
      </c>
      <c r="D3086" s="2">
        <f>HYPERLINK("http://mcb-m6.bioreg.kyushu-u.ac.jp/M3/20110404/F50776/1132/1", 46.32)</f>
        <v>46.32</v>
      </c>
      <c r="E3086" s="2">
        <v>27.36</v>
      </c>
      <c r="F3086" s="2">
        <v>1</v>
      </c>
      <c r="G3086" s="2" t="s">
        <v>9</v>
      </c>
    </row>
    <row r="3087" spans="1:7" x14ac:dyDescent="0.2">
      <c r="A3087" s="2" t="s">
        <v>3451</v>
      </c>
      <c r="B3087" s="2" t="s">
        <v>465</v>
      </c>
      <c r="C3087" s="2">
        <v>876.46900000000005</v>
      </c>
      <c r="D3087" s="2">
        <f>HYPERLINK("http://mcb-m6.bioreg.kyushu-u.ac.jp/M3/20110404/F50776/848/2", 47.59)</f>
        <v>47.59</v>
      </c>
      <c r="E3087" s="2">
        <v>21.15</v>
      </c>
      <c r="F3087" s="2">
        <v>1</v>
      </c>
      <c r="G3087" s="2" t="s">
        <v>9</v>
      </c>
    </row>
    <row r="3088" spans="1:7" x14ac:dyDescent="0.2">
      <c r="A3088" s="2" t="s">
        <v>3451</v>
      </c>
      <c r="B3088" s="2" t="s">
        <v>434</v>
      </c>
      <c r="C3088" s="2">
        <v>1289.5419999999999</v>
      </c>
      <c r="D3088" s="2">
        <f>HYPERLINK("http://mcb-m6.bioreg.kyushu-u.ac.jp/M3/20110404/F50756/1512/1", 48.45)</f>
        <v>48.45</v>
      </c>
      <c r="E3088" s="2">
        <v>22.3</v>
      </c>
      <c r="F3088" s="2">
        <v>1</v>
      </c>
      <c r="G3088" s="2" t="s">
        <v>9</v>
      </c>
    </row>
    <row r="3089" spans="1:7" x14ac:dyDescent="0.2">
      <c r="A3089" s="2" t="s">
        <v>3451</v>
      </c>
      <c r="B3089" s="2" t="s">
        <v>434</v>
      </c>
      <c r="C3089" s="2">
        <v>1289.3720000000001</v>
      </c>
      <c r="D3089" s="2">
        <f>HYPERLINK("http://mcb-m6.bioreg.kyushu-u.ac.jp/M3/20110404/F50763/1547/1", 48.67)</f>
        <v>48.67</v>
      </c>
      <c r="E3089" s="2">
        <v>27.8</v>
      </c>
      <c r="F3089" s="2">
        <v>1</v>
      </c>
      <c r="G3089" s="2" t="s">
        <v>9</v>
      </c>
    </row>
    <row r="3090" spans="1:7" x14ac:dyDescent="0.2">
      <c r="A3090" s="2" t="s">
        <v>3451</v>
      </c>
      <c r="B3090" s="2" t="s">
        <v>1436</v>
      </c>
      <c r="C3090" s="2">
        <v>764.8057</v>
      </c>
      <c r="D3090" s="2">
        <f>HYPERLINK("http://mcb-m6.bioreg.kyushu-u.ac.jp/M3/20110404/F50756/2076/1", 51.77)</f>
        <v>51.77</v>
      </c>
      <c r="E3090" s="2">
        <v>35.58</v>
      </c>
      <c r="F3090" s="2">
        <v>2</v>
      </c>
      <c r="G3090" s="2" t="s">
        <v>9</v>
      </c>
    </row>
    <row r="3091" spans="1:7" x14ac:dyDescent="0.2">
      <c r="A3091" s="2" t="s">
        <v>3451</v>
      </c>
      <c r="B3091" s="2" t="s">
        <v>590</v>
      </c>
      <c r="C3091" s="2">
        <v>910.00519999999995</v>
      </c>
      <c r="D3091" s="2">
        <f>HYPERLINK("http://mcb-m6.bioreg.kyushu-u.ac.jp/M3/20110404/F50754/2638/1", 54.69)</f>
        <v>54.69</v>
      </c>
      <c r="E3091" s="2">
        <v>47.02</v>
      </c>
      <c r="F3091" s="2">
        <v>2</v>
      </c>
      <c r="G3091" s="2" t="s">
        <v>9</v>
      </c>
    </row>
    <row r="3092" spans="1:7" x14ac:dyDescent="0.2">
      <c r="A3092" s="2" t="s">
        <v>3451</v>
      </c>
      <c r="B3092" s="2" t="s">
        <v>965</v>
      </c>
      <c r="C3092" s="2">
        <v>1021.9349999999999</v>
      </c>
      <c r="D3092" s="2">
        <f>HYPERLINK("http://mcb-m6.bioreg.kyushu-u.ac.jp/M3/20110404/F50762/2629/1", 55.67)</f>
        <v>55.67</v>
      </c>
      <c r="E3092" s="2">
        <v>40.729999999999997</v>
      </c>
      <c r="F3092" s="2">
        <v>2</v>
      </c>
      <c r="G3092" s="2" t="s">
        <v>9</v>
      </c>
    </row>
    <row r="3093" spans="1:7" x14ac:dyDescent="0.2">
      <c r="A3093" s="2" t="s">
        <v>3451</v>
      </c>
      <c r="B3093" s="2" t="s">
        <v>434</v>
      </c>
      <c r="C3093" s="2">
        <v>1289.5319999999999</v>
      </c>
      <c r="D3093" s="2">
        <f>HYPERLINK("http://mcb-m6.bioreg.kyushu-u.ac.jp/M3/20110404/F50776/1443/1", 57.86)</f>
        <v>57.86</v>
      </c>
      <c r="E3093" s="2">
        <v>38.21</v>
      </c>
      <c r="F3093" s="2">
        <v>1</v>
      </c>
      <c r="G3093" s="2" t="s">
        <v>9</v>
      </c>
    </row>
    <row r="3094" spans="1:7" x14ac:dyDescent="0.2">
      <c r="A3094" s="2" t="s">
        <v>3451</v>
      </c>
      <c r="B3094" s="2" t="s">
        <v>965</v>
      </c>
      <c r="C3094" s="2">
        <v>1021.893</v>
      </c>
      <c r="D3094" s="2">
        <f>HYPERLINK("http://mcb-m6.bioreg.kyushu-u.ac.jp/M3/20110404/F50767/2964/1", 59.32)</f>
        <v>59.32</v>
      </c>
      <c r="E3094" s="2">
        <v>50.07</v>
      </c>
      <c r="F3094" s="2">
        <v>2</v>
      </c>
      <c r="G3094" s="2" t="s">
        <v>9</v>
      </c>
    </row>
    <row r="3095" spans="1:7" x14ac:dyDescent="0.2">
      <c r="A3095" s="2" t="s">
        <v>3451</v>
      </c>
      <c r="B3095" s="2" t="s">
        <v>1436</v>
      </c>
      <c r="C3095" s="2">
        <v>764.60109999999997</v>
      </c>
      <c r="D3095" s="2">
        <f>HYPERLINK("http://mcb-m6.bioreg.kyushu-u.ac.jp/M3/20110404/F50776/1854/1", 59.69)</f>
        <v>59.69</v>
      </c>
      <c r="E3095" s="2">
        <v>44.83</v>
      </c>
      <c r="F3095" s="2">
        <v>2</v>
      </c>
      <c r="G3095" s="2" t="s">
        <v>9</v>
      </c>
    </row>
    <row r="3096" spans="1:7" x14ac:dyDescent="0.2">
      <c r="A3096" s="2" t="s">
        <v>3451</v>
      </c>
      <c r="B3096" s="2" t="s">
        <v>590</v>
      </c>
      <c r="C3096" s="2">
        <v>909.99019999999996</v>
      </c>
      <c r="D3096" s="2">
        <f>HYPERLINK("http://mcb-m6.bioreg.kyushu-u.ac.jp/M3/20110404/F50756/2735/1", 62.94)</f>
        <v>62.94</v>
      </c>
      <c r="E3096" s="2">
        <v>55.79</v>
      </c>
      <c r="F3096" s="2">
        <v>2</v>
      </c>
      <c r="G3096" s="2" t="s">
        <v>9</v>
      </c>
    </row>
    <row r="3097" spans="1:7" x14ac:dyDescent="0.2">
      <c r="A3097" s="2" t="s">
        <v>3451</v>
      </c>
      <c r="B3097" s="2" t="s">
        <v>919</v>
      </c>
      <c r="C3097" s="2">
        <v>664.74369999999999</v>
      </c>
      <c r="D3097" s="2">
        <f>HYPERLINK("http://mcb-m6.bioreg.kyushu-u.ac.jp/M3/20110404/F50756/1580/1", 63.95)</f>
        <v>63.95</v>
      </c>
      <c r="E3097" s="2">
        <v>37.18</v>
      </c>
      <c r="F3097" s="2">
        <v>2</v>
      </c>
      <c r="G3097" s="2" t="s">
        <v>9</v>
      </c>
    </row>
    <row r="3098" spans="1:7" x14ac:dyDescent="0.2">
      <c r="A3098" s="2" t="s">
        <v>3451</v>
      </c>
      <c r="B3098" s="2" t="s">
        <v>434</v>
      </c>
      <c r="C3098" s="2">
        <v>645.18619999999999</v>
      </c>
      <c r="D3098" s="2">
        <f>HYPERLINK("http://mcb-m6.bioreg.kyushu-u.ac.jp/M3/20110404/F50756/1511/1", 64.62)</f>
        <v>64.62</v>
      </c>
      <c r="E3098" s="2">
        <v>37.65</v>
      </c>
      <c r="F3098" s="2">
        <v>2</v>
      </c>
      <c r="G3098" s="2" t="s">
        <v>9</v>
      </c>
    </row>
    <row r="3099" spans="1:7" x14ac:dyDescent="0.2">
      <c r="A3099" s="2" t="s">
        <v>3451</v>
      </c>
      <c r="B3099" s="2" t="s">
        <v>1436</v>
      </c>
      <c r="C3099" s="2">
        <v>764.91219999999998</v>
      </c>
      <c r="D3099" s="2">
        <f>HYPERLINK("http://mcb-m6.bioreg.kyushu-u.ac.jp/M3/20110404/F50763/2033/1", 64.87)</f>
        <v>64.87</v>
      </c>
      <c r="E3099" s="2">
        <v>52.47</v>
      </c>
      <c r="F3099" s="2">
        <v>2</v>
      </c>
      <c r="G3099" s="2" t="s">
        <v>9</v>
      </c>
    </row>
    <row r="3100" spans="1:7" x14ac:dyDescent="0.2">
      <c r="A3100" s="2" t="s">
        <v>3451</v>
      </c>
      <c r="B3100" s="2" t="s">
        <v>434</v>
      </c>
      <c r="C3100" s="2">
        <v>645.66560000000004</v>
      </c>
      <c r="D3100" s="2">
        <f>HYPERLINK("http://mcb-m6.bioreg.kyushu-u.ac.jp/M3/20110404/F50763/1551/1", 66.05)</f>
        <v>66.05</v>
      </c>
      <c r="E3100" s="2">
        <v>31.32</v>
      </c>
      <c r="F3100" s="2">
        <v>2</v>
      </c>
      <c r="G3100" s="2" t="s">
        <v>9</v>
      </c>
    </row>
    <row r="3101" spans="1:7" x14ac:dyDescent="0.2">
      <c r="A3101" s="2" t="s">
        <v>3451</v>
      </c>
      <c r="B3101" s="2" t="s">
        <v>965</v>
      </c>
      <c r="C3101" s="2">
        <v>1021.989</v>
      </c>
      <c r="D3101" s="2">
        <f>HYPERLINK("http://mcb-m6.bioreg.kyushu-u.ac.jp/M3/20110404/F50776/2637/1", 67.62)</f>
        <v>67.62</v>
      </c>
      <c r="E3101" s="2">
        <v>57.08</v>
      </c>
      <c r="F3101" s="2">
        <v>2</v>
      </c>
      <c r="G3101" s="2" t="s">
        <v>9</v>
      </c>
    </row>
    <row r="3102" spans="1:7" x14ac:dyDescent="0.2">
      <c r="A3102" s="2" t="s">
        <v>3451</v>
      </c>
      <c r="B3102" s="2" t="s">
        <v>965</v>
      </c>
      <c r="C3102" s="2">
        <v>1021.423</v>
      </c>
      <c r="D3102" s="2">
        <f>HYPERLINK("http://mcb-m6.bioreg.kyushu-u.ac.jp/M3/20110404/F50754/2881/1", 72.34)</f>
        <v>72.34</v>
      </c>
      <c r="E3102" s="2">
        <v>60.77</v>
      </c>
      <c r="F3102" s="2">
        <v>2</v>
      </c>
      <c r="G3102" s="2" t="s">
        <v>9</v>
      </c>
    </row>
    <row r="3103" spans="1:7" x14ac:dyDescent="0.2">
      <c r="A3103" s="2" t="s">
        <v>3451</v>
      </c>
      <c r="B3103" s="2" t="s">
        <v>590</v>
      </c>
      <c r="C3103" s="2">
        <v>909.41560000000004</v>
      </c>
      <c r="D3103" s="2">
        <f>HYPERLINK("http://mcb-m6.bioreg.kyushu-u.ac.jp/M3/20110404/F50763/2506/1", 72.65)</f>
        <v>72.650000000000006</v>
      </c>
      <c r="E3103" s="2">
        <v>57.13</v>
      </c>
      <c r="F3103" s="2">
        <v>2</v>
      </c>
      <c r="G3103" s="2" t="s">
        <v>9</v>
      </c>
    </row>
    <row r="3104" spans="1:7" x14ac:dyDescent="0.2">
      <c r="A3104" s="2" t="s">
        <v>3451</v>
      </c>
      <c r="B3104" s="2" t="s">
        <v>965</v>
      </c>
      <c r="C3104" s="2">
        <v>1021.319</v>
      </c>
      <c r="D3104" s="2">
        <f>HYPERLINK("http://mcb-m6.bioreg.kyushu-u.ac.jp/M3/20110404/F50756/3131/1", 75.11)</f>
        <v>75.11</v>
      </c>
      <c r="E3104" s="2">
        <v>59.47</v>
      </c>
      <c r="F3104" s="2">
        <v>2</v>
      </c>
      <c r="G3104" s="2" t="s">
        <v>9</v>
      </c>
    </row>
    <row r="3105" spans="1:9" x14ac:dyDescent="0.2">
      <c r="A3105" s="2" t="s">
        <v>3451</v>
      </c>
      <c r="B3105" s="2" t="s">
        <v>965</v>
      </c>
      <c r="C3105" s="2">
        <v>1021.745</v>
      </c>
      <c r="D3105" s="2">
        <f>HYPERLINK("http://mcb-m6.bioreg.kyushu-u.ac.jp/M3/20110404/F50763/2821/1", 84.2)</f>
        <v>84.2</v>
      </c>
      <c r="E3105" s="2">
        <v>71.319999999999993</v>
      </c>
      <c r="F3105" s="2">
        <v>2</v>
      </c>
      <c r="G3105" s="2" t="s">
        <v>9</v>
      </c>
    </row>
    <row r="3106" spans="1:9" x14ac:dyDescent="0.2">
      <c r="A3106" s="2" t="s">
        <v>3451</v>
      </c>
      <c r="B3106" s="2" t="s">
        <v>1584</v>
      </c>
      <c r="C3106" s="2">
        <v>840.89419999999996</v>
      </c>
      <c r="D3106" s="2">
        <f>HYPERLINK("http://mcb-m6.bioreg.kyushu-u.ac.jp/M3/20110404/F50763/2279/1", 90.28)</f>
        <v>90.28</v>
      </c>
      <c r="E3106" s="2">
        <v>69.930000000000007</v>
      </c>
      <c r="F3106" s="2">
        <v>2</v>
      </c>
      <c r="G3106" s="2" t="s">
        <v>9</v>
      </c>
      <c r="I3106" s="2" t="s">
        <v>4895</v>
      </c>
    </row>
    <row r="3107" spans="1:9" x14ac:dyDescent="0.2">
      <c r="A3107" s="2" t="s">
        <v>3451</v>
      </c>
      <c r="B3107" s="2" t="s">
        <v>1584</v>
      </c>
      <c r="C3107" s="2">
        <v>840.91470000000004</v>
      </c>
      <c r="D3107" s="2">
        <f>HYPERLINK("http://mcb-m6.bioreg.kyushu-u.ac.jp/M3/20110404/F50776/2038/1", 100.15)</f>
        <v>100.15</v>
      </c>
      <c r="E3107" s="2">
        <v>82.17</v>
      </c>
      <c r="F3107" s="2">
        <v>2</v>
      </c>
      <c r="G3107" s="2" t="s">
        <v>9</v>
      </c>
      <c r="I3107" s="2" t="s">
        <v>4895</v>
      </c>
    </row>
    <row r="3108" spans="1:9" x14ac:dyDescent="0.2">
      <c r="A3108" s="2" t="s">
        <v>3451</v>
      </c>
      <c r="B3108" s="2" t="s">
        <v>1735</v>
      </c>
      <c r="C3108" s="2">
        <v>944.40700000000004</v>
      </c>
      <c r="D3108" s="2">
        <f>HYPERLINK("http://mcb-m6.bioreg.kyushu-u.ac.jp/M3/20110404/F50781/962/1", 38.88)</f>
        <v>38.880000000000003</v>
      </c>
      <c r="E3108" s="2">
        <v>19.21</v>
      </c>
      <c r="F3108" s="2">
        <v>1</v>
      </c>
      <c r="G3108" s="2" t="s">
        <v>10</v>
      </c>
    </row>
    <row r="3109" spans="1:9" x14ac:dyDescent="0.2">
      <c r="A3109" s="2" t="s">
        <v>3451</v>
      </c>
      <c r="B3109" s="2" t="s">
        <v>1584</v>
      </c>
      <c r="C3109" s="2">
        <v>841.41769999999997</v>
      </c>
      <c r="D3109" s="2">
        <f>HYPERLINK("http://mcb-m6.bioreg.kyushu-u.ac.jp/M3/20110404/F50781/2057/1", 40.14)</f>
        <v>40.14</v>
      </c>
      <c r="E3109" s="2">
        <v>22.45</v>
      </c>
      <c r="F3109" s="2">
        <v>2</v>
      </c>
      <c r="G3109" s="2" t="s">
        <v>10</v>
      </c>
      <c r="I3109" s="2" t="s">
        <v>4895</v>
      </c>
    </row>
    <row r="3110" spans="1:9" x14ac:dyDescent="0.2">
      <c r="A3110" s="2" t="s">
        <v>3451</v>
      </c>
      <c r="B3110" s="2" t="s">
        <v>1735</v>
      </c>
      <c r="C3110" s="2">
        <v>944.36099999999999</v>
      </c>
      <c r="D3110" s="2">
        <f>HYPERLINK("http://mcb-m6.bioreg.kyushu-u.ac.jp/M3/20110404/F50769/1180/1", 40.42)</f>
        <v>40.42</v>
      </c>
      <c r="E3110" s="2">
        <v>18.37</v>
      </c>
      <c r="F3110" s="2">
        <v>1</v>
      </c>
      <c r="G3110" s="2" t="s">
        <v>10</v>
      </c>
    </row>
    <row r="3111" spans="1:9" x14ac:dyDescent="0.2">
      <c r="A3111" s="2" t="s">
        <v>3451</v>
      </c>
      <c r="B3111" s="2" t="s">
        <v>1436</v>
      </c>
      <c r="C3111" s="2">
        <v>764.83219999999994</v>
      </c>
      <c r="D3111" s="2">
        <f>HYPERLINK("http://mcb-m6.bioreg.kyushu-u.ac.jp/M3/20110404/F50761/1933/1", 41.72)</f>
        <v>41.72</v>
      </c>
      <c r="E3111" s="2">
        <v>29.04</v>
      </c>
      <c r="F3111" s="2">
        <v>2</v>
      </c>
      <c r="G3111" s="2" t="s">
        <v>10</v>
      </c>
    </row>
    <row r="3112" spans="1:9" x14ac:dyDescent="0.2">
      <c r="A3112" s="2" t="s">
        <v>3451</v>
      </c>
      <c r="B3112" s="2" t="s">
        <v>465</v>
      </c>
      <c r="C3112" s="2">
        <v>876.45</v>
      </c>
      <c r="D3112" s="2">
        <f>HYPERLINK("http://mcb-m6.bioreg.kyushu-u.ac.jp/M3/20110404/F50781/864/2", 41.77)</f>
        <v>41.77</v>
      </c>
      <c r="E3112" s="2">
        <v>16.48</v>
      </c>
      <c r="F3112" s="2">
        <v>1</v>
      </c>
      <c r="G3112" s="2" t="s">
        <v>10</v>
      </c>
    </row>
    <row r="3113" spans="1:9" x14ac:dyDescent="0.2">
      <c r="A3113" s="2" t="s">
        <v>3451</v>
      </c>
      <c r="B3113" s="2" t="s">
        <v>434</v>
      </c>
      <c r="C3113" s="2">
        <v>1290.548</v>
      </c>
      <c r="D3113" s="2">
        <f>HYPERLINK("http://mcb-m6.bioreg.kyushu-u.ac.jp/M3/20110404/F50761/1454/1", 41.81)</f>
        <v>41.81</v>
      </c>
      <c r="E3113" s="2">
        <v>21.55</v>
      </c>
      <c r="F3113" s="2">
        <v>1</v>
      </c>
      <c r="G3113" s="2" t="s">
        <v>10</v>
      </c>
    </row>
    <row r="3114" spans="1:9" x14ac:dyDescent="0.2">
      <c r="A3114" s="2" t="s">
        <v>3451</v>
      </c>
      <c r="B3114" s="2" t="s">
        <v>1735</v>
      </c>
      <c r="C3114" s="2">
        <v>473.20209999999997</v>
      </c>
      <c r="D3114" s="2">
        <f>HYPERLINK("http://mcb-m6.bioreg.kyushu-u.ac.jp/M3/20110404/F50761/899/1", 43.21)</f>
        <v>43.21</v>
      </c>
      <c r="E3114" s="2">
        <v>24.55</v>
      </c>
      <c r="F3114" s="2">
        <v>2</v>
      </c>
      <c r="G3114" s="2" t="s">
        <v>10</v>
      </c>
    </row>
    <row r="3115" spans="1:9" x14ac:dyDescent="0.2">
      <c r="A3115" s="2" t="s">
        <v>3451</v>
      </c>
      <c r="B3115" s="2" t="s">
        <v>261</v>
      </c>
      <c r="C3115" s="2">
        <v>1073.4929999999999</v>
      </c>
      <c r="D3115" s="2">
        <f>HYPERLINK("http://mcb-m6.bioreg.kyushu-u.ac.jp/M3/20110404/F50761/1103/1", 43.83)</f>
        <v>43.83</v>
      </c>
      <c r="E3115" s="2">
        <v>21.84</v>
      </c>
      <c r="F3115" s="2">
        <v>1</v>
      </c>
      <c r="G3115" s="2" t="s">
        <v>10</v>
      </c>
    </row>
    <row r="3116" spans="1:9" x14ac:dyDescent="0.2">
      <c r="A3116" s="2" t="s">
        <v>3451</v>
      </c>
      <c r="B3116" s="2" t="s">
        <v>261</v>
      </c>
      <c r="C3116" s="2">
        <v>537.7817</v>
      </c>
      <c r="D3116" s="2">
        <f>HYPERLINK("http://mcb-m6.bioreg.kyushu-u.ac.jp/M3/20110404/F50761/1106/1", 44.29)</f>
        <v>44.29</v>
      </c>
      <c r="E3116" s="2">
        <v>28.31</v>
      </c>
      <c r="F3116" s="2">
        <v>2</v>
      </c>
      <c r="G3116" s="2" t="s">
        <v>10</v>
      </c>
    </row>
    <row r="3117" spans="1:9" x14ac:dyDescent="0.2">
      <c r="A3117" s="2" t="s">
        <v>3451</v>
      </c>
      <c r="B3117" s="2" t="s">
        <v>590</v>
      </c>
      <c r="C3117" s="2">
        <v>909.40419999999995</v>
      </c>
      <c r="D3117" s="2">
        <f>HYPERLINK("http://mcb-m6.bioreg.kyushu-u.ac.jp/M3/20110404/F50758/2465/1", 44.81)</f>
        <v>44.81</v>
      </c>
      <c r="E3117" s="2">
        <v>32.229999999999997</v>
      </c>
      <c r="F3117" s="2">
        <v>2</v>
      </c>
      <c r="G3117" s="2" t="s">
        <v>10</v>
      </c>
    </row>
    <row r="3118" spans="1:9" x14ac:dyDescent="0.2">
      <c r="A3118" s="2" t="s">
        <v>3451</v>
      </c>
      <c r="B3118" s="2" t="s">
        <v>590</v>
      </c>
      <c r="C3118" s="2">
        <v>909.95209999999997</v>
      </c>
      <c r="D3118" s="2">
        <f>HYPERLINK("http://mcb-m6.bioreg.kyushu-u.ac.jp/M3/20110404/F50761/2532/1", 46.9)</f>
        <v>46.9</v>
      </c>
      <c r="E3118" s="2">
        <v>32.96</v>
      </c>
      <c r="F3118" s="2">
        <v>2</v>
      </c>
      <c r="G3118" s="2" t="s">
        <v>10</v>
      </c>
    </row>
    <row r="3119" spans="1:9" x14ac:dyDescent="0.2">
      <c r="A3119" s="2" t="s">
        <v>3451</v>
      </c>
      <c r="B3119" s="2" t="s">
        <v>590</v>
      </c>
      <c r="C3119" s="2">
        <v>909.90369999999996</v>
      </c>
      <c r="D3119" s="2">
        <f>HYPERLINK("http://mcb-m6.bioreg.kyushu-u.ac.jp/M3/20110404/F50761/2531/1", 47.5)</f>
        <v>47.5</v>
      </c>
      <c r="E3119" s="2">
        <v>33.33</v>
      </c>
      <c r="F3119" s="2">
        <v>2</v>
      </c>
      <c r="G3119" s="2" t="s">
        <v>10</v>
      </c>
    </row>
    <row r="3120" spans="1:9" x14ac:dyDescent="0.2">
      <c r="A3120" s="2" t="s">
        <v>3451</v>
      </c>
      <c r="B3120" s="2" t="s">
        <v>465</v>
      </c>
      <c r="C3120" s="2">
        <v>877.33100000000002</v>
      </c>
      <c r="D3120" s="2">
        <f>HYPERLINK("http://mcb-m6.bioreg.kyushu-u.ac.jp/M3/20110404/F50769/1067/2", 48.04)</f>
        <v>48.04</v>
      </c>
      <c r="E3120" s="2">
        <v>20.81</v>
      </c>
      <c r="F3120" s="2">
        <v>1</v>
      </c>
      <c r="G3120" s="2" t="s">
        <v>10</v>
      </c>
    </row>
    <row r="3121" spans="1:9" x14ac:dyDescent="0.2">
      <c r="A3121" s="2" t="s">
        <v>3451</v>
      </c>
      <c r="B3121" s="2" t="s">
        <v>434</v>
      </c>
      <c r="C3121" s="2">
        <v>1289.4939999999999</v>
      </c>
      <c r="D3121" s="2">
        <f>HYPERLINK("http://mcb-m6.bioreg.kyushu-u.ac.jp/M3/20110404/F50761/1451/1", 48.39)</f>
        <v>48.39</v>
      </c>
      <c r="E3121" s="2">
        <v>29.56</v>
      </c>
      <c r="F3121" s="2">
        <v>1</v>
      </c>
      <c r="G3121" s="2" t="s">
        <v>10</v>
      </c>
    </row>
    <row r="3122" spans="1:9" x14ac:dyDescent="0.2">
      <c r="A3122" s="2" t="s">
        <v>3451</v>
      </c>
      <c r="B3122" s="2" t="s">
        <v>434</v>
      </c>
      <c r="C3122" s="2">
        <v>1289.472</v>
      </c>
      <c r="D3122" s="2">
        <f>HYPERLINK("http://mcb-m6.bioreg.kyushu-u.ac.jp/M3/20110404/F50769/1670/1", 52.79)</f>
        <v>52.79</v>
      </c>
      <c r="E3122" s="2">
        <v>30.4</v>
      </c>
      <c r="F3122" s="2">
        <v>1</v>
      </c>
      <c r="G3122" s="2" t="s">
        <v>10</v>
      </c>
    </row>
    <row r="3123" spans="1:9" x14ac:dyDescent="0.2">
      <c r="A3123" s="2" t="s">
        <v>3451</v>
      </c>
      <c r="B3123" s="2" t="s">
        <v>434</v>
      </c>
      <c r="C3123" s="2">
        <v>1289.644</v>
      </c>
      <c r="D3123" s="2">
        <f>HYPERLINK("http://mcb-m6.bioreg.kyushu-u.ac.jp/M3/20110404/F50781/1486/1", 54.08)</f>
        <v>54.08</v>
      </c>
      <c r="E3123" s="2">
        <v>29.11</v>
      </c>
      <c r="F3123" s="2">
        <v>1</v>
      </c>
      <c r="G3123" s="2" t="s">
        <v>10</v>
      </c>
    </row>
    <row r="3124" spans="1:9" x14ac:dyDescent="0.2">
      <c r="A3124" s="2" t="s">
        <v>3451</v>
      </c>
      <c r="B3124" s="2" t="s">
        <v>590</v>
      </c>
      <c r="C3124" s="2">
        <v>909.33169999999996</v>
      </c>
      <c r="D3124" s="2">
        <f>HYPERLINK("http://mcb-m6.bioreg.kyushu-u.ac.jp/M3/20110404/F50761/2528/1", 55.83)</f>
        <v>55.83</v>
      </c>
      <c r="E3124" s="2">
        <v>41.51</v>
      </c>
      <c r="F3124" s="2">
        <v>2</v>
      </c>
      <c r="G3124" s="2" t="s">
        <v>10</v>
      </c>
    </row>
    <row r="3125" spans="1:9" x14ac:dyDescent="0.2">
      <c r="A3125" s="2" t="s">
        <v>3451</v>
      </c>
      <c r="B3125" s="2" t="s">
        <v>919</v>
      </c>
      <c r="C3125" s="2">
        <v>664.90260000000001</v>
      </c>
      <c r="D3125" s="2">
        <f>HYPERLINK("http://mcb-m6.bioreg.kyushu-u.ac.jp/M3/20110404/F50761/1514/1", 58.3)</f>
        <v>58.3</v>
      </c>
      <c r="E3125" s="2">
        <v>39.33</v>
      </c>
      <c r="F3125" s="2">
        <v>2</v>
      </c>
      <c r="G3125" s="2" t="s">
        <v>10</v>
      </c>
    </row>
    <row r="3126" spans="1:9" x14ac:dyDescent="0.2">
      <c r="A3126" s="2" t="s">
        <v>3451</v>
      </c>
      <c r="B3126" s="2" t="s">
        <v>434</v>
      </c>
      <c r="C3126" s="2">
        <v>645.87959999999998</v>
      </c>
      <c r="D3126" s="2">
        <f>HYPERLINK("http://mcb-m6.bioreg.kyushu-u.ac.jp/M3/20110404/F50781/1487/1", 59.17)</f>
        <v>59.17</v>
      </c>
      <c r="E3126" s="2">
        <v>27.91</v>
      </c>
      <c r="F3126" s="2">
        <v>2</v>
      </c>
      <c r="G3126" s="2" t="s">
        <v>10</v>
      </c>
    </row>
    <row r="3127" spans="1:9" x14ac:dyDescent="0.2">
      <c r="A3127" s="2" t="s">
        <v>3451</v>
      </c>
      <c r="B3127" s="2" t="s">
        <v>434</v>
      </c>
      <c r="C3127" s="2">
        <v>645.20010000000002</v>
      </c>
      <c r="D3127" s="2">
        <f>HYPERLINK("http://mcb-m6.bioreg.kyushu-u.ac.jp/M3/20110404/F50760/1456/1", 60.16)</f>
        <v>60.16</v>
      </c>
      <c r="E3127" s="2">
        <v>35.33</v>
      </c>
      <c r="F3127" s="2">
        <v>2</v>
      </c>
      <c r="G3127" s="2" t="s">
        <v>10</v>
      </c>
    </row>
    <row r="3128" spans="1:9" x14ac:dyDescent="0.2">
      <c r="A3128" s="2" t="s">
        <v>3451</v>
      </c>
      <c r="B3128" s="2" t="s">
        <v>965</v>
      </c>
      <c r="C3128" s="2">
        <v>1021.595</v>
      </c>
      <c r="D3128" s="2">
        <f>HYPERLINK("http://mcb-m6.bioreg.kyushu-u.ac.jp/M3/20110404/F50761/2882/1", 64.11)</f>
        <v>64.11</v>
      </c>
      <c r="E3128" s="2">
        <v>51.12</v>
      </c>
      <c r="F3128" s="2">
        <v>2</v>
      </c>
      <c r="G3128" s="2" t="s">
        <v>10</v>
      </c>
    </row>
    <row r="3129" spans="1:9" x14ac:dyDescent="0.2">
      <c r="A3129" s="2" t="s">
        <v>3451</v>
      </c>
      <c r="B3129" s="2" t="s">
        <v>1436</v>
      </c>
      <c r="C3129" s="2">
        <v>773.31669999999997</v>
      </c>
      <c r="D3129" s="2">
        <f>HYPERLINK("http://mcb-m6.bioreg.kyushu-u.ac.jp/M3/20110404/F50761/1987/1", 66.94)</f>
        <v>66.94</v>
      </c>
      <c r="E3129" s="2">
        <v>55.72</v>
      </c>
      <c r="F3129" s="2">
        <v>2</v>
      </c>
      <c r="G3129" s="2" t="s">
        <v>10</v>
      </c>
      <c r="H3129" s="2" t="s">
        <v>4910</v>
      </c>
    </row>
    <row r="3130" spans="1:9" x14ac:dyDescent="0.2">
      <c r="A3130" s="2" t="s">
        <v>3451</v>
      </c>
      <c r="B3130" s="2" t="s">
        <v>965</v>
      </c>
      <c r="C3130" s="2">
        <v>1022.0890000000001</v>
      </c>
      <c r="D3130" s="2">
        <f>HYPERLINK("http://mcb-m6.bioreg.kyushu-u.ac.jp/M3/20110404/F50781/2589/1", 67.84)</f>
        <v>67.84</v>
      </c>
      <c r="E3130" s="2">
        <v>54.85</v>
      </c>
      <c r="F3130" s="2">
        <v>2</v>
      </c>
      <c r="G3130" s="2" t="s">
        <v>10</v>
      </c>
    </row>
    <row r="3131" spans="1:9" x14ac:dyDescent="0.2">
      <c r="A3131" s="2" t="s">
        <v>3451</v>
      </c>
      <c r="B3131" s="2" t="s">
        <v>434</v>
      </c>
      <c r="C3131" s="2">
        <v>645.37220000000002</v>
      </c>
      <c r="D3131" s="2">
        <f>HYPERLINK("http://mcb-m6.bioreg.kyushu-u.ac.jp/M3/20110404/F50761/1452/1", 69.14)</f>
        <v>69.14</v>
      </c>
      <c r="E3131" s="2">
        <v>44.37</v>
      </c>
      <c r="F3131" s="2">
        <v>2</v>
      </c>
      <c r="G3131" s="2" t="s">
        <v>10</v>
      </c>
    </row>
    <row r="3132" spans="1:9" x14ac:dyDescent="0.2">
      <c r="A3132" s="2" t="s">
        <v>3451</v>
      </c>
      <c r="B3132" s="2" t="s">
        <v>590</v>
      </c>
      <c r="C3132" s="2">
        <v>909.95420000000001</v>
      </c>
      <c r="D3132" s="2">
        <f>HYPERLINK("http://mcb-m6.bioreg.kyushu-u.ac.jp/M3/20110404/F50781/2245/1", 69.21)</f>
        <v>69.209999999999994</v>
      </c>
      <c r="E3132" s="2">
        <v>52.06</v>
      </c>
      <c r="F3132" s="2">
        <v>2</v>
      </c>
      <c r="G3132" s="2" t="s">
        <v>10</v>
      </c>
    </row>
    <row r="3133" spans="1:9" x14ac:dyDescent="0.2">
      <c r="A3133" s="2" t="s">
        <v>3451</v>
      </c>
      <c r="B3133" s="2" t="s">
        <v>1584</v>
      </c>
      <c r="C3133" s="2">
        <v>848.85919999999999</v>
      </c>
      <c r="D3133" s="2">
        <f>HYPERLINK("http://mcb-m6.bioreg.kyushu-u.ac.jp/M3/20110404/F50761/2263/1", 71.71)</f>
        <v>71.709999999999994</v>
      </c>
      <c r="E3133" s="2">
        <v>51.72</v>
      </c>
      <c r="F3133" s="2">
        <v>2</v>
      </c>
      <c r="G3133" s="2" t="s">
        <v>10</v>
      </c>
      <c r="H3133" s="2" t="s">
        <v>4920</v>
      </c>
      <c r="I3133" s="2" t="s">
        <v>4895</v>
      </c>
    </row>
    <row r="3134" spans="1:9" x14ac:dyDescent="0.2">
      <c r="A3134" s="2" t="s">
        <v>3451</v>
      </c>
      <c r="B3134" s="2" t="s">
        <v>590</v>
      </c>
      <c r="C3134" s="2">
        <v>909.42110000000002</v>
      </c>
      <c r="D3134" s="2">
        <f>HYPERLINK("http://mcb-m6.bioreg.kyushu-u.ac.jp/M3/20110404/F50769/2406/1", 71.72)</f>
        <v>71.72</v>
      </c>
      <c r="E3134" s="2">
        <v>57.43</v>
      </c>
      <c r="F3134" s="2">
        <v>2</v>
      </c>
      <c r="G3134" s="2" t="s">
        <v>10</v>
      </c>
    </row>
    <row r="3135" spans="1:9" x14ac:dyDescent="0.2">
      <c r="A3135" s="2" t="s">
        <v>3451</v>
      </c>
      <c r="B3135" s="2" t="s">
        <v>965</v>
      </c>
      <c r="C3135" s="2">
        <v>1021.462</v>
      </c>
      <c r="D3135" s="2">
        <f>HYPERLINK("http://mcb-m6.bioreg.kyushu-u.ac.jp/M3/20110404/F50758/2734/1", 76.59)</f>
        <v>76.59</v>
      </c>
      <c r="E3135" s="2">
        <v>65.72</v>
      </c>
      <c r="F3135" s="2">
        <v>2</v>
      </c>
      <c r="G3135" s="2" t="s">
        <v>10</v>
      </c>
    </row>
    <row r="3136" spans="1:9" x14ac:dyDescent="0.2">
      <c r="A3136" s="2" t="s">
        <v>3451</v>
      </c>
      <c r="B3136" s="2" t="s">
        <v>965</v>
      </c>
      <c r="C3136" s="2">
        <v>1021.92</v>
      </c>
      <c r="D3136" s="2">
        <f>HYPERLINK("http://mcb-m6.bioreg.kyushu-u.ac.jp/M3/20110404/F50769/2651/1", 78.89)</f>
        <v>78.89</v>
      </c>
      <c r="E3136" s="2">
        <v>60.23</v>
      </c>
      <c r="F3136" s="2">
        <v>2</v>
      </c>
      <c r="G3136" s="2" t="s">
        <v>10</v>
      </c>
    </row>
    <row r="3137" spans="1:9" x14ac:dyDescent="0.2">
      <c r="A3137" s="2" t="s">
        <v>3451</v>
      </c>
      <c r="B3137" s="2" t="s">
        <v>1436</v>
      </c>
      <c r="C3137" s="2">
        <v>764.82370000000003</v>
      </c>
      <c r="D3137" s="2">
        <f>HYPERLINK("http://mcb-m6.bioreg.kyushu-u.ac.jp/M3/20110404/F50781/1882/1", 80.47)</f>
        <v>80.47</v>
      </c>
      <c r="E3137" s="2">
        <v>66.709999999999994</v>
      </c>
      <c r="F3137" s="2">
        <v>2</v>
      </c>
      <c r="G3137" s="2" t="s">
        <v>10</v>
      </c>
    </row>
    <row r="3138" spans="1:9" x14ac:dyDescent="0.2">
      <c r="A3138" s="2" t="s">
        <v>3451</v>
      </c>
      <c r="B3138" s="2" t="s">
        <v>965</v>
      </c>
      <c r="C3138" s="2">
        <v>1021.499</v>
      </c>
      <c r="D3138" s="2">
        <f>HYPERLINK("http://mcb-m6.bioreg.kyushu-u.ac.jp/M3/20110404/F50781/2586/1", 85.93)</f>
        <v>85.93</v>
      </c>
      <c r="E3138" s="2">
        <v>69.930000000000007</v>
      </c>
      <c r="F3138" s="2">
        <v>2</v>
      </c>
      <c r="G3138" s="2" t="s">
        <v>10</v>
      </c>
    </row>
    <row r="3139" spans="1:9" x14ac:dyDescent="0.2">
      <c r="A3139" s="2" t="s">
        <v>3451</v>
      </c>
      <c r="B3139" s="2" t="s">
        <v>965</v>
      </c>
      <c r="C3139" s="2">
        <v>1021.4</v>
      </c>
      <c r="D3139" s="2">
        <f>HYPERLINK("http://mcb-m6.bioreg.kyushu-u.ac.jp/M3/20110404/F50769/2649/1", 90.59)</f>
        <v>90.59</v>
      </c>
      <c r="E3139" s="2">
        <v>74.55</v>
      </c>
      <c r="F3139" s="2">
        <v>2</v>
      </c>
      <c r="G3139" s="2" t="s">
        <v>10</v>
      </c>
    </row>
    <row r="3140" spans="1:9" x14ac:dyDescent="0.2">
      <c r="A3140" s="2" t="s">
        <v>3451</v>
      </c>
      <c r="B3140" s="2" t="s">
        <v>1584</v>
      </c>
      <c r="C3140" s="2">
        <v>841.38869999999997</v>
      </c>
      <c r="D3140" s="2">
        <f>HYPERLINK("http://mcb-m6.bioreg.kyushu-u.ac.jp/M3/20110404/F50761/2236/1", 93.49)</f>
        <v>93.49</v>
      </c>
      <c r="E3140" s="2">
        <v>68.06</v>
      </c>
      <c r="F3140" s="2">
        <v>2</v>
      </c>
      <c r="G3140" s="2" t="s">
        <v>10</v>
      </c>
      <c r="I3140" s="2" t="s">
        <v>4895</v>
      </c>
    </row>
    <row r="3141" spans="1:9" x14ac:dyDescent="0.2">
      <c r="A3141" s="2" t="s">
        <v>3451</v>
      </c>
      <c r="B3141" s="2" t="s">
        <v>1584</v>
      </c>
      <c r="C3141" s="2">
        <v>841.2106</v>
      </c>
      <c r="D3141" s="2">
        <f>HYPERLINK("http://mcb-m6.bioreg.kyushu-u.ac.jp/M3/20110404/F50769/2240/1", 93.6)</f>
        <v>93.6</v>
      </c>
      <c r="E3141" s="2">
        <v>75.8</v>
      </c>
      <c r="F3141" s="2">
        <v>2</v>
      </c>
      <c r="G3141" s="2" t="s">
        <v>10</v>
      </c>
      <c r="I3141" s="2" t="s">
        <v>4895</v>
      </c>
    </row>
    <row r="3142" spans="1:9" x14ac:dyDescent="0.2">
      <c r="A3142" s="2" t="s">
        <v>3451</v>
      </c>
      <c r="B3142" s="2" t="s">
        <v>1584</v>
      </c>
      <c r="C3142" s="2">
        <v>840.84860000000003</v>
      </c>
      <c r="D3142" s="2">
        <f>HYPERLINK("http://mcb-m6.bioreg.kyushu-u.ac.jp/M3/20110404/F50781/2055/1", 115.93)</f>
        <v>115.93</v>
      </c>
      <c r="E3142" s="2">
        <v>90.96</v>
      </c>
      <c r="F3142" s="2">
        <v>2</v>
      </c>
      <c r="G3142" s="2" t="s">
        <v>10</v>
      </c>
      <c r="I3142" s="2" t="s">
        <v>4895</v>
      </c>
    </row>
    <row r="3143" spans="1:9" x14ac:dyDescent="0.2">
      <c r="A3143" s="2" t="s">
        <v>3451</v>
      </c>
      <c r="B3143" s="2" t="s">
        <v>590</v>
      </c>
      <c r="C3143" s="2">
        <v>909.16110000000003</v>
      </c>
      <c r="D3143" s="2">
        <f>HYPERLINK("http://mcb-m6.bioreg.kyushu-u.ac.jp/M3/20110421/F51018/2774/1", 44.75)</f>
        <v>44.75</v>
      </c>
      <c r="E3143" s="2">
        <v>27.69</v>
      </c>
      <c r="F3143" s="2">
        <v>2</v>
      </c>
      <c r="G3143" s="2" t="s">
        <v>11</v>
      </c>
    </row>
    <row r="3144" spans="1:9" x14ac:dyDescent="0.2">
      <c r="A3144" s="2" t="s">
        <v>3451</v>
      </c>
      <c r="B3144" s="2" t="s">
        <v>590</v>
      </c>
      <c r="C3144" s="2">
        <v>909.29520000000002</v>
      </c>
      <c r="D3144" s="2">
        <f>HYPERLINK("http://mcb-m6.bioreg.kyushu-u.ac.jp/M3/20110421/F51017/2904/1", 47.32)</f>
        <v>47.32</v>
      </c>
      <c r="E3144" s="2">
        <v>31.23</v>
      </c>
      <c r="F3144" s="2">
        <v>2</v>
      </c>
      <c r="G3144" s="2" t="s">
        <v>11</v>
      </c>
    </row>
    <row r="3145" spans="1:9" x14ac:dyDescent="0.2">
      <c r="A3145" s="2" t="s">
        <v>3451</v>
      </c>
      <c r="B3145" s="2" t="s">
        <v>434</v>
      </c>
      <c r="C3145" s="2">
        <v>645.38070000000005</v>
      </c>
      <c r="D3145" s="2">
        <f>HYPERLINK("http://mcb-m6.bioreg.kyushu-u.ac.jp/M3/20110421/F51034/1509/1", 50.31)</f>
        <v>50.31</v>
      </c>
      <c r="E3145" s="2">
        <v>21.88</v>
      </c>
      <c r="F3145" s="2">
        <v>2</v>
      </c>
      <c r="G3145" s="2" t="s">
        <v>11</v>
      </c>
    </row>
    <row r="3146" spans="1:9" x14ac:dyDescent="0.2">
      <c r="A3146" s="2" t="s">
        <v>3451</v>
      </c>
      <c r="B3146" s="2" t="s">
        <v>1057</v>
      </c>
      <c r="C3146" s="2">
        <v>459.81810000000002</v>
      </c>
      <c r="D3146" s="2">
        <f>HYPERLINK("http://mcb-m6.bioreg.kyushu-u.ac.jp/M3/20110421/F51034/696/1", 53.3)</f>
        <v>53.3</v>
      </c>
      <c r="E3146" s="2">
        <v>7.97</v>
      </c>
      <c r="F3146" s="2">
        <v>2</v>
      </c>
      <c r="G3146" s="2" t="s">
        <v>11</v>
      </c>
    </row>
    <row r="3147" spans="1:9" x14ac:dyDescent="0.2">
      <c r="A3147" s="2" t="s">
        <v>3451</v>
      </c>
      <c r="B3147" s="2" t="s">
        <v>590</v>
      </c>
      <c r="C3147" s="2">
        <v>909.3777</v>
      </c>
      <c r="D3147" s="2">
        <f>HYPERLINK("http://mcb-m6.bioreg.kyushu-u.ac.jp/M3/20110421/F51035/2809/1", 64.79)</f>
        <v>64.790000000000006</v>
      </c>
      <c r="E3147" s="2">
        <v>49.27</v>
      </c>
      <c r="F3147" s="2">
        <v>2</v>
      </c>
      <c r="G3147" s="2" t="s">
        <v>11</v>
      </c>
    </row>
    <row r="3148" spans="1:9" x14ac:dyDescent="0.2">
      <c r="A3148" s="2" t="s">
        <v>3451</v>
      </c>
      <c r="B3148" s="2" t="s">
        <v>965</v>
      </c>
      <c r="C3148" s="2">
        <v>1021.38</v>
      </c>
      <c r="D3148" s="2">
        <f>HYPERLINK("http://mcb-m6.bioreg.kyushu-u.ac.jp/M3/20110421/F51034/3179/1", 66.94)</f>
        <v>66.94</v>
      </c>
      <c r="E3148" s="2">
        <v>54.19</v>
      </c>
      <c r="F3148" s="2">
        <v>2</v>
      </c>
      <c r="G3148" s="2" t="s">
        <v>11</v>
      </c>
    </row>
    <row r="3149" spans="1:9" x14ac:dyDescent="0.2">
      <c r="A3149" s="2" t="s">
        <v>3451</v>
      </c>
      <c r="B3149" s="2" t="s">
        <v>965</v>
      </c>
      <c r="C3149" s="2">
        <v>1022.071</v>
      </c>
      <c r="D3149" s="2">
        <f>HYPERLINK("http://mcb-m6.bioreg.kyushu-u.ac.jp/M3/20110421/F51058/2998/1", 69.62)</f>
        <v>69.62</v>
      </c>
      <c r="E3149" s="2">
        <v>57.06</v>
      </c>
      <c r="F3149" s="2">
        <v>2</v>
      </c>
      <c r="G3149" s="2" t="s">
        <v>11</v>
      </c>
    </row>
    <row r="3150" spans="1:9" x14ac:dyDescent="0.2">
      <c r="A3150" s="2" t="s">
        <v>3451</v>
      </c>
      <c r="B3150" s="2" t="s">
        <v>434</v>
      </c>
      <c r="C3150" s="2">
        <v>645.28809999999999</v>
      </c>
      <c r="D3150" s="2">
        <f>HYPERLINK("http://mcb-m6.bioreg.kyushu-u.ac.jp/M3/20110421/F51035/1431/1", 70.45)</f>
        <v>70.45</v>
      </c>
      <c r="E3150" s="2">
        <v>43.33</v>
      </c>
      <c r="F3150" s="2">
        <v>2</v>
      </c>
      <c r="G3150" s="2" t="s">
        <v>11</v>
      </c>
    </row>
    <row r="3151" spans="1:9" x14ac:dyDescent="0.2">
      <c r="A3151" s="2" t="s">
        <v>3451</v>
      </c>
      <c r="B3151" s="2" t="s">
        <v>590</v>
      </c>
      <c r="C3151" s="2">
        <v>909.92219999999998</v>
      </c>
      <c r="D3151" s="2">
        <f>HYPERLINK("http://mcb-m6.bioreg.kyushu-u.ac.jp/M3/20110421/F51035/2812/1", 74.49)</f>
        <v>74.489999999999995</v>
      </c>
      <c r="E3151" s="2">
        <v>57.91</v>
      </c>
      <c r="F3151" s="2">
        <v>2</v>
      </c>
      <c r="G3151" s="2" t="s">
        <v>11</v>
      </c>
    </row>
    <row r="3152" spans="1:9" x14ac:dyDescent="0.2">
      <c r="A3152" s="2" t="s">
        <v>3451</v>
      </c>
      <c r="B3152" s="2" t="s">
        <v>434</v>
      </c>
      <c r="C3152" s="2">
        <v>645.40219999999999</v>
      </c>
      <c r="D3152" s="2">
        <f>HYPERLINK("http://mcb-m6.bioreg.kyushu-u.ac.jp/M3/20110421/F51058/1359/1", 78.92)</f>
        <v>78.92</v>
      </c>
      <c r="E3152" s="2">
        <v>47.33</v>
      </c>
      <c r="F3152" s="2">
        <v>2</v>
      </c>
      <c r="G3152" s="2" t="s">
        <v>11</v>
      </c>
    </row>
    <row r="3153" spans="1:9" x14ac:dyDescent="0.2">
      <c r="A3153" s="2" t="s">
        <v>3451</v>
      </c>
      <c r="B3153" s="2" t="s">
        <v>965</v>
      </c>
      <c r="C3153" s="2">
        <v>1022.093</v>
      </c>
      <c r="D3153" s="2">
        <f>HYPERLINK("http://mcb-m6.bioreg.kyushu-u.ac.jp/M3/20110421/F51035/3218/1", 85.76)</f>
        <v>85.76</v>
      </c>
      <c r="E3153" s="2">
        <v>71.91</v>
      </c>
      <c r="F3153" s="2">
        <v>2</v>
      </c>
      <c r="G3153" s="2" t="s">
        <v>11</v>
      </c>
    </row>
    <row r="3154" spans="1:9" x14ac:dyDescent="0.2">
      <c r="A3154" s="2" t="s">
        <v>3451</v>
      </c>
      <c r="B3154" s="2" t="s">
        <v>1584</v>
      </c>
      <c r="C3154" s="2">
        <v>848.92719999999997</v>
      </c>
      <c r="D3154" s="2">
        <f>HYPERLINK("http://mcb-m6.bioreg.kyushu-u.ac.jp/M3/20110421/F51058/2332/1", 89.21)</f>
        <v>89.21</v>
      </c>
      <c r="E3154" s="2">
        <v>77.8</v>
      </c>
      <c r="F3154" s="2">
        <v>2</v>
      </c>
      <c r="G3154" s="2" t="s">
        <v>11</v>
      </c>
      <c r="H3154" s="2" t="s">
        <v>4920</v>
      </c>
      <c r="I3154" s="2" t="s">
        <v>4895</v>
      </c>
    </row>
    <row r="3155" spans="1:9" x14ac:dyDescent="0.2">
      <c r="A3155" s="2" t="s">
        <v>3451</v>
      </c>
      <c r="B3155" s="2" t="s">
        <v>965</v>
      </c>
      <c r="C3155" s="2">
        <v>1021.547</v>
      </c>
      <c r="D3155" s="2">
        <f>HYPERLINK("http://mcb-m6.bioreg.kyushu-u.ac.jp/M3/20110421/F51058/2996/1", 91.94)</f>
        <v>91.94</v>
      </c>
      <c r="E3155" s="2">
        <v>78.52</v>
      </c>
      <c r="F3155" s="2">
        <v>2</v>
      </c>
      <c r="G3155" s="2" t="s">
        <v>11</v>
      </c>
    </row>
    <row r="3156" spans="1:9" x14ac:dyDescent="0.2">
      <c r="A3156" s="2" t="s">
        <v>3451</v>
      </c>
      <c r="B3156" s="2" t="s">
        <v>1735</v>
      </c>
      <c r="C3156" s="2">
        <v>944.43399999999997</v>
      </c>
      <c r="D3156" s="2">
        <f>HYPERLINK("http://mcb-m6.bioreg.kyushu-u.ac.jp/M3/20110421/F51044/733/1", 38.22)</f>
        <v>38.22</v>
      </c>
      <c r="E3156" s="2">
        <v>16.309999999999999</v>
      </c>
      <c r="F3156" s="2">
        <v>1</v>
      </c>
      <c r="G3156" s="2" t="s">
        <v>12</v>
      </c>
    </row>
    <row r="3157" spans="1:9" x14ac:dyDescent="0.2">
      <c r="A3157" s="2" t="s">
        <v>3451</v>
      </c>
      <c r="B3157" s="2" t="s">
        <v>434</v>
      </c>
      <c r="C3157" s="2">
        <v>645.8682</v>
      </c>
      <c r="D3157" s="2">
        <f>HYPERLINK("http://mcb-m6.bioreg.kyushu-u.ac.jp/M3/20110421/F51045/1740/1", 43.97)</f>
        <v>43.97</v>
      </c>
      <c r="E3157" s="2">
        <v>10.98</v>
      </c>
      <c r="F3157" s="2">
        <v>2</v>
      </c>
      <c r="G3157" s="2" t="s">
        <v>12</v>
      </c>
    </row>
    <row r="3158" spans="1:9" x14ac:dyDescent="0.2">
      <c r="A3158" s="2" t="s">
        <v>3451</v>
      </c>
      <c r="B3158" s="2" t="s">
        <v>590</v>
      </c>
      <c r="C3158" s="2">
        <v>910.09169999999995</v>
      </c>
      <c r="D3158" s="2">
        <f>HYPERLINK("http://mcb-m6.bioreg.kyushu-u.ac.jp/M3/20110421/F51059/2549/1", 48.85)</f>
        <v>48.85</v>
      </c>
      <c r="E3158" s="2">
        <v>30.01</v>
      </c>
      <c r="F3158" s="2">
        <v>2</v>
      </c>
      <c r="G3158" s="2" t="s">
        <v>12</v>
      </c>
    </row>
    <row r="3159" spans="1:9" x14ac:dyDescent="0.2">
      <c r="A3159" s="2" t="s">
        <v>3451</v>
      </c>
      <c r="B3159" s="2" t="s">
        <v>434</v>
      </c>
      <c r="C3159" s="2">
        <v>645.35019999999997</v>
      </c>
      <c r="D3159" s="2">
        <f>HYPERLINK("http://mcb-m6.bioreg.kyushu-u.ac.jp/M3/20110421/F51044/1496/1", 49.6)</f>
        <v>49.6</v>
      </c>
      <c r="E3159" s="2">
        <v>24.93</v>
      </c>
      <c r="F3159" s="2">
        <v>2</v>
      </c>
      <c r="G3159" s="2" t="s">
        <v>12</v>
      </c>
    </row>
    <row r="3160" spans="1:9" x14ac:dyDescent="0.2">
      <c r="A3160" s="2" t="s">
        <v>3451</v>
      </c>
      <c r="B3160" s="2" t="s">
        <v>1584</v>
      </c>
      <c r="C3160" s="2">
        <v>849.46870000000001</v>
      </c>
      <c r="D3160" s="2">
        <f>HYPERLINK("http://mcb-m6.bioreg.kyushu-u.ac.jp/M3/20110421/F51045/2593/1", 50.93)</f>
        <v>50.93</v>
      </c>
      <c r="E3160" s="2">
        <v>35.46</v>
      </c>
      <c r="F3160" s="2">
        <v>2</v>
      </c>
      <c r="G3160" s="2" t="s">
        <v>12</v>
      </c>
      <c r="H3160" s="2" t="s">
        <v>4920</v>
      </c>
      <c r="I3160" s="2" t="s">
        <v>4895</v>
      </c>
    </row>
    <row r="3161" spans="1:9" x14ac:dyDescent="0.2">
      <c r="A3161" s="2" t="s">
        <v>3451</v>
      </c>
      <c r="B3161" s="2" t="s">
        <v>1735</v>
      </c>
      <c r="C3161" s="2">
        <v>473.1121</v>
      </c>
      <c r="D3161" s="2">
        <f>HYPERLINK("http://mcb-m6.bioreg.kyushu-u.ac.jp/M3/20110421/F51044/736/1", 51.16)</f>
        <v>51.16</v>
      </c>
      <c r="E3161" s="2">
        <v>27.78</v>
      </c>
      <c r="F3161" s="2">
        <v>2</v>
      </c>
      <c r="G3161" s="2" t="s">
        <v>12</v>
      </c>
    </row>
    <row r="3162" spans="1:9" x14ac:dyDescent="0.2">
      <c r="A3162" s="2" t="s">
        <v>3451</v>
      </c>
      <c r="B3162" s="2" t="s">
        <v>2130</v>
      </c>
      <c r="C3162" s="2">
        <v>838.3981</v>
      </c>
      <c r="D3162" s="2">
        <f>HYPERLINK("http://mcb-m6.bioreg.kyushu-u.ac.jp/M3/20110421/F51044/2490/1", 54.44)</f>
        <v>54.44</v>
      </c>
      <c r="E3162" s="2">
        <v>40.47</v>
      </c>
      <c r="F3162" s="2">
        <v>2</v>
      </c>
      <c r="G3162" s="2" t="s">
        <v>12</v>
      </c>
    </row>
    <row r="3163" spans="1:9" x14ac:dyDescent="0.2">
      <c r="A3163" s="2" t="s">
        <v>3451</v>
      </c>
      <c r="B3163" s="2" t="s">
        <v>434</v>
      </c>
      <c r="C3163" s="2">
        <v>645.91669999999999</v>
      </c>
      <c r="D3163" s="2">
        <f>HYPERLINK("http://mcb-m6.bioreg.kyushu-u.ac.jp/M3/20110421/F51059/1320/1", 54.55)</f>
        <v>54.55</v>
      </c>
      <c r="E3163" s="2">
        <v>21.39</v>
      </c>
      <c r="F3163" s="2">
        <v>2</v>
      </c>
      <c r="G3163" s="2" t="s">
        <v>12</v>
      </c>
    </row>
    <row r="3164" spans="1:9" x14ac:dyDescent="0.2">
      <c r="A3164" s="2" t="s">
        <v>3451</v>
      </c>
      <c r="B3164" s="2" t="s">
        <v>1584</v>
      </c>
      <c r="C3164" s="2">
        <v>848.92110000000002</v>
      </c>
      <c r="D3164" s="2">
        <f>HYPERLINK("http://mcb-m6.bioreg.kyushu-u.ac.jp/M3/20110421/F51059/2267/1", 59.56)</f>
        <v>59.56</v>
      </c>
      <c r="E3164" s="2">
        <v>46.46</v>
      </c>
      <c r="F3164" s="2">
        <v>2</v>
      </c>
      <c r="G3164" s="2" t="s">
        <v>12</v>
      </c>
      <c r="H3164" s="2" t="s">
        <v>4920</v>
      </c>
      <c r="I3164" s="2" t="s">
        <v>4895</v>
      </c>
    </row>
    <row r="3165" spans="1:9" x14ac:dyDescent="0.2">
      <c r="A3165" s="2" t="s">
        <v>3451</v>
      </c>
      <c r="B3165" s="2" t="s">
        <v>590</v>
      </c>
      <c r="C3165" s="2">
        <v>909.45719999999994</v>
      </c>
      <c r="D3165" s="2">
        <f>HYPERLINK("http://mcb-m6.bioreg.kyushu-u.ac.jp/M3/20110421/F51045/2839/1", 67.14)</f>
        <v>67.14</v>
      </c>
      <c r="E3165" s="2">
        <v>55.98</v>
      </c>
      <c r="F3165" s="2">
        <v>2</v>
      </c>
      <c r="G3165" s="2" t="s">
        <v>12</v>
      </c>
    </row>
    <row r="3166" spans="1:9" x14ac:dyDescent="0.2">
      <c r="A3166" s="2" t="s">
        <v>3451</v>
      </c>
      <c r="B3166" s="2" t="s">
        <v>590</v>
      </c>
      <c r="C3166" s="2">
        <v>909.43320000000006</v>
      </c>
      <c r="D3166" s="2">
        <f>HYPERLINK("http://mcb-m6.bioreg.kyushu-u.ac.jp/M3/20110421/F51044/2761/1", 67.22)</f>
        <v>67.22</v>
      </c>
      <c r="E3166" s="2">
        <v>54.87</v>
      </c>
      <c r="F3166" s="2">
        <v>2</v>
      </c>
      <c r="G3166" s="2" t="s">
        <v>12</v>
      </c>
    </row>
    <row r="3167" spans="1:9" x14ac:dyDescent="0.2">
      <c r="A3167" s="2" t="s">
        <v>3451</v>
      </c>
      <c r="B3167" s="2" t="s">
        <v>965</v>
      </c>
      <c r="C3167" s="2">
        <v>1021.519</v>
      </c>
      <c r="D3167" s="2">
        <f>HYPERLINK("http://mcb-m6.bioreg.kyushu-u.ac.jp/M3/20110421/F51059/3064/1", 69.25)</f>
        <v>69.25</v>
      </c>
      <c r="E3167" s="2">
        <v>52.97</v>
      </c>
      <c r="F3167" s="2">
        <v>2</v>
      </c>
      <c r="G3167" s="2" t="s">
        <v>12</v>
      </c>
    </row>
    <row r="3168" spans="1:9" x14ac:dyDescent="0.2">
      <c r="A3168" s="2" t="s">
        <v>3451</v>
      </c>
      <c r="B3168" s="2" t="s">
        <v>965</v>
      </c>
      <c r="C3168" s="2">
        <v>1021.814</v>
      </c>
      <c r="D3168" s="2">
        <f>HYPERLINK("http://mcb-m6.bioreg.kyushu-u.ac.jp/M3/20110421/F51043/3139/1", 74.07)</f>
        <v>74.069999999999993</v>
      </c>
      <c r="E3168" s="2">
        <v>61.11</v>
      </c>
      <c r="F3168" s="2">
        <v>2</v>
      </c>
      <c r="G3168" s="2" t="s">
        <v>12</v>
      </c>
    </row>
    <row r="3169" spans="1:9" x14ac:dyDescent="0.2">
      <c r="A3169" s="2" t="s">
        <v>3451</v>
      </c>
      <c r="B3169" s="2" t="s">
        <v>1584</v>
      </c>
      <c r="C3169" s="2">
        <v>841.45719999999994</v>
      </c>
      <c r="D3169" s="2">
        <f>HYPERLINK("http://mcb-m6.bioreg.kyushu-u.ac.jp/M3/20110421/F51059/2235/1", 76.85)</f>
        <v>76.849999999999994</v>
      </c>
      <c r="E3169" s="2">
        <v>61.85</v>
      </c>
      <c r="F3169" s="2">
        <v>2</v>
      </c>
      <c r="G3169" s="2" t="s">
        <v>12</v>
      </c>
      <c r="I3169" s="2" t="s">
        <v>4895</v>
      </c>
    </row>
    <row r="3170" spans="1:9" x14ac:dyDescent="0.2">
      <c r="A3170" s="2" t="s">
        <v>3451</v>
      </c>
      <c r="B3170" s="2" t="s">
        <v>965</v>
      </c>
      <c r="C3170" s="2">
        <v>1021.903</v>
      </c>
      <c r="D3170" s="2">
        <f>HYPERLINK("http://mcb-m6.bioreg.kyushu-u.ac.jp/M3/20110421/F51045/3157/1", 80.18)</f>
        <v>80.180000000000007</v>
      </c>
      <c r="E3170" s="2">
        <v>67.459999999999994</v>
      </c>
      <c r="F3170" s="2">
        <v>2</v>
      </c>
      <c r="G3170" s="2" t="s">
        <v>12</v>
      </c>
    </row>
    <row r="3171" spans="1:9" x14ac:dyDescent="0.2">
      <c r="A3171" s="2" t="s">
        <v>3451</v>
      </c>
      <c r="B3171" s="2" t="s">
        <v>965</v>
      </c>
      <c r="C3171" s="2">
        <v>1021.231</v>
      </c>
      <c r="D3171" s="2">
        <f>HYPERLINK("http://mcb-m6.bioreg.kyushu-u.ac.jp/M3/20110421/F51044/3153/1", 85.06)</f>
        <v>85.06</v>
      </c>
      <c r="E3171" s="2">
        <v>77.569999999999993</v>
      </c>
      <c r="F3171" s="2">
        <v>2</v>
      </c>
      <c r="G3171" s="2" t="s">
        <v>12</v>
      </c>
    </row>
    <row r="3172" spans="1:9" x14ac:dyDescent="0.2">
      <c r="A3172" s="2" t="s">
        <v>3451</v>
      </c>
      <c r="B3172" s="2" t="s">
        <v>965</v>
      </c>
      <c r="C3172" s="2">
        <v>1021.897</v>
      </c>
      <c r="D3172" s="2">
        <f>HYPERLINK("http://mcb-m6.bioreg.kyushu-u.ac.jp/M3/20110421/F51044/3157/1", 87.48)</f>
        <v>87.48</v>
      </c>
      <c r="E3172" s="2">
        <v>76.69</v>
      </c>
      <c r="F3172" s="2">
        <v>2</v>
      </c>
      <c r="G3172" s="2" t="s">
        <v>12</v>
      </c>
    </row>
    <row r="3173" spans="1:9" x14ac:dyDescent="0.2">
      <c r="A3173" s="2" t="s">
        <v>3451</v>
      </c>
      <c r="B3173" s="2" t="s">
        <v>434</v>
      </c>
      <c r="C3173" s="2">
        <v>645.46870000000001</v>
      </c>
      <c r="D3173" s="2">
        <f>HYPERLINK("http://mcb-m6.bioreg.kyushu-u.ac.jp/M3/20110421/F51043/1551/1", 89.27)</f>
        <v>89.27</v>
      </c>
      <c r="E3173" s="2">
        <v>59.96</v>
      </c>
      <c r="F3173" s="2">
        <v>2</v>
      </c>
      <c r="G3173" s="2" t="s">
        <v>12</v>
      </c>
    </row>
    <row r="3174" spans="1:9" x14ac:dyDescent="0.2">
      <c r="A3174" s="2" t="s">
        <v>3451</v>
      </c>
      <c r="B3174" s="2" t="s">
        <v>1584</v>
      </c>
      <c r="C3174" s="2">
        <v>841.27120000000002</v>
      </c>
      <c r="D3174" s="2">
        <f>HYPERLINK("http://mcb-m6.bioreg.kyushu-u.ac.jp/M3/20110421/F51043/2520/1", 93.42)</f>
        <v>93.42</v>
      </c>
      <c r="E3174" s="2">
        <v>67.55</v>
      </c>
      <c r="F3174" s="2">
        <v>2</v>
      </c>
      <c r="G3174" s="2" t="s">
        <v>12</v>
      </c>
      <c r="I3174" s="2" t="s">
        <v>4895</v>
      </c>
    </row>
    <row r="3175" spans="1:9" x14ac:dyDescent="0.2">
      <c r="A3175" s="2" t="s">
        <v>3451</v>
      </c>
      <c r="B3175" s="2" t="s">
        <v>261</v>
      </c>
      <c r="C3175" s="2">
        <v>537.66610000000003</v>
      </c>
      <c r="D3175" s="2">
        <f>HYPERLINK("http://mcb-m6.bioreg.kyushu-u.ac.jp/M3/20110427/F51114/1104/1", 37.79)</f>
        <v>37.79</v>
      </c>
      <c r="E3175" s="2">
        <v>17.97</v>
      </c>
      <c r="F3175" s="2">
        <v>2</v>
      </c>
      <c r="G3175" s="2" t="s">
        <v>13</v>
      </c>
    </row>
    <row r="3176" spans="1:9" x14ac:dyDescent="0.2">
      <c r="A3176" s="2" t="s">
        <v>3451</v>
      </c>
      <c r="B3176" s="2" t="s">
        <v>590</v>
      </c>
      <c r="C3176" s="2">
        <v>909.76009999999997</v>
      </c>
      <c r="D3176" s="2">
        <f>HYPERLINK("http://mcb-m6.bioreg.kyushu-u.ac.jp/M3/20110428/F51131/2611/1", 41.67)</f>
        <v>41.67</v>
      </c>
      <c r="E3176" s="2">
        <v>23.23</v>
      </c>
      <c r="F3176" s="2">
        <v>2</v>
      </c>
      <c r="G3176" s="2" t="s">
        <v>13</v>
      </c>
    </row>
    <row r="3177" spans="1:9" x14ac:dyDescent="0.2">
      <c r="A3177" s="2" t="s">
        <v>3451</v>
      </c>
      <c r="B3177" s="2" t="s">
        <v>434</v>
      </c>
      <c r="C3177" s="2">
        <v>645.22270000000003</v>
      </c>
      <c r="D3177" s="2">
        <f>HYPERLINK("http://mcb-m6.bioreg.kyushu-u.ac.jp/M3/20110427/F51114/1546/1", 45.38)</f>
        <v>45.38</v>
      </c>
      <c r="E3177" s="2">
        <v>18.77</v>
      </c>
      <c r="F3177" s="2">
        <v>2</v>
      </c>
      <c r="G3177" s="2" t="s">
        <v>13</v>
      </c>
    </row>
    <row r="3178" spans="1:9" x14ac:dyDescent="0.2">
      <c r="A3178" s="2" t="s">
        <v>3451</v>
      </c>
      <c r="B3178" s="2" t="s">
        <v>965</v>
      </c>
      <c r="C3178" s="2">
        <v>1021.43</v>
      </c>
      <c r="D3178" s="2">
        <f>HYPERLINK("http://mcb-m6.bioreg.kyushu-u.ac.jp/M3/20110427/F51113/2958/1", 56.42)</f>
        <v>56.42</v>
      </c>
      <c r="E3178" s="2">
        <v>41.1</v>
      </c>
      <c r="F3178" s="2">
        <v>2</v>
      </c>
      <c r="G3178" s="2" t="s">
        <v>13</v>
      </c>
    </row>
    <row r="3179" spans="1:9" x14ac:dyDescent="0.2">
      <c r="A3179" s="2" t="s">
        <v>3451</v>
      </c>
      <c r="B3179" s="2" t="s">
        <v>590</v>
      </c>
      <c r="C3179" s="2">
        <v>909.43619999999999</v>
      </c>
      <c r="D3179" s="2">
        <f>HYPERLINK("http://mcb-m6.bioreg.kyushu-u.ac.jp/M3/20110428/F51127/2837/1", 58.16)</f>
        <v>58.16</v>
      </c>
      <c r="E3179" s="2">
        <v>42.73</v>
      </c>
      <c r="F3179" s="2">
        <v>2</v>
      </c>
      <c r="G3179" s="2" t="s">
        <v>13</v>
      </c>
    </row>
    <row r="3180" spans="1:9" x14ac:dyDescent="0.2">
      <c r="A3180" s="2" t="s">
        <v>3451</v>
      </c>
      <c r="B3180" s="2" t="s">
        <v>590</v>
      </c>
      <c r="C3180" s="2">
        <v>909.74770000000001</v>
      </c>
      <c r="D3180" s="2">
        <f>HYPERLINK("http://mcb-m6.bioreg.kyushu-u.ac.jp/M3/20110427/F51114/2890/1", 59.89)</f>
        <v>59.89</v>
      </c>
      <c r="E3180" s="2">
        <v>44.45</v>
      </c>
      <c r="F3180" s="2">
        <v>2</v>
      </c>
      <c r="G3180" s="2" t="s">
        <v>13</v>
      </c>
    </row>
    <row r="3181" spans="1:9" x14ac:dyDescent="0.2">
      <c r="A3181" s="2" t="s">
        <v>3451</v>
      </c>
      <c r="B3181" s="2" t="s">
        <v>434</v>
      </c>
      <c r="C3181" s="2">
        <v>645.14009999999996</v>
      </c>
      <c r="D3181" s="2">
        <f>HYPERLINK("http://mcb-m6.bioreg.kyushu-u.ac.jp/M3/20110428/F51131/1326/1", 61.83)</f>
        <v>61.83</v>
      </c>
      <c r="E3181" s="2">
        <v>27.71</v>
      </c>
      <c r="F3181" s="2">
        <v>2</v>
      </c>
      <c r="G3181" s="2" t="s">
        <v>13</v>
      </c>
    </row>
    <row r="3182" spans="1:9" x14ac:dyDescent="0.2">
      <c r="A3182" s="2" t="s">
        <v>3451</v>
      </c>
      <c r="B3182" s="2" t="s">
        <v>1436</v>
      </c>
      <c r="C3182" s="2">
        <v>764.71810000000005</v>
      </c>
      <c r="D3182" s="2">
        <f>HYPERLINK("http://mcb-m6.bioreg.kyushu-u.ac.jp/M3/20110427/F51114/2186/1", 66.24)</f>
        <v>66.239999999999995</v>
      </c>
      <c r="E3182" s="2">
        <v>47.45</v>
      </c>
      <c r="F3182" s="2">
        <v>2</v>
      </c>
      <c r="G3182" s="2" t="s">
        <v>13</v>
      </c>
    </row>
    <row r="3183" spans="1:9" x14ac:dyDescent="0.2">
      <c r="A3183" s="2" t="s">
        <v>3451</v>
      </c>
      <c r="B3183" s="2" t="s">
        <v>965</v>
      </c>
      <c r="C3183" s="2">
        <v>1021.303</v>
      </c>
      <c r="D3183" s="2">
        <f>HYPERLINK("http://mcb-m6.bioreg.kyushu-u.ac.jp/M3/20110427/F51114/3326/1", 71.6)</f>
        <v>71.599999999999994</v>
      </c>
      <c r="E3183" s="2">
        <v>55.3</v>
      </c>
      <c r="F3183" s="2">
        <v>2</v>
      </c>
      <c r="G3183" s="2" t="s">
        <v>13</v>
      </c>
    </row>
    <row r="3184" spans="1:9" x14ac:dyDescent="0.2">
      <c r="A3184" s="2" t="s">
        <v>3451</v>
      </c>
      <c r="B3184" s="2" t="s">
        <v>965</v>
      </c>
      <c r="C3184" s="2">
        <v>1021.816</v>
      </c>
      <c r="D3184" s="2">
        <f>HYPERLINK("http://mcb-m6.bioreg.kyushu-u.ac.jp/M3/20110428/F51127/3262/1", 79.14)</f>
        <v>79.14</v>
      </c>
      <c r="E3184" s="2">
        <v>64.58</v>
      </c>
      <c r="F3184" s="2">
        <v>2</v>
      </c>
      <c r="G3184" s="2" t="s">
        <v>13</v>
      </c>
    </row>
    <row r="3185" spans="1:9" x14ac:dyDescent="0.2">
      <c r="A3185" s="2" t="s">
        <v>3451</v>
      </c>
      <c r="B3185" s="2" t="s">
        <v>965</v>
      </c>
      <c r="C3185" s="2">
        <v>1021.841</v>
      </c>
      <c r="D3185" s="2">
        <f>HYPERLINK("http://mcb-m6.bioreg.kyushu-u.ac.jp/M3/20110427/F51114/3328/1", 82.64)</f>
        <v>82.64</v>
      </c>
      <c r="E3185" s="2">
        <v>69.27</v>
      </c>
      <c r="F3185" s="2">
        <v>2</v>
      </c>
      <c r="G3185" s="2" t="s">
        <v>13</v>
      </c>
    </row>
    <row r="3186" spans="1:9" x14ac:dyDescent="0.2">
      <c r="A3186" s="2" t="s">
        <v>3451</v>
      </c>
      <c r="B3186" s="2" t="s">
        <v>965</v>
      </c>
      <c r="C3186" s="2">
        <v>1021.317</v>
      </c>
      <c r="D3186" s="2">
        <f>HYPERLINK("http://mcb-m6.bioreg.kyushu-u.ac.jp/M3/20110428/F51131/3025/1", 90.62)</f>
        <v>90.62</v>
      </c>
      <c r="E3186" s="2">
        <v>74.819999999999993</v>
      </c>
      <c r="F3186" s="2">
        <v>2</v>
      </c>
      <c r="G3186" s="2" t="s">
        <v>13</v>
      </c>
    </row>
    <row r="3187" spans="1:9" x14ac:dyDescent="0.2">
      <c r="A3187" s="2" t="s">
        <v>3451</v>
      </c>
      <c r="B3187" s="2" t="s">
        <v>1584</v>
      </c>
      <c r="C3187" s="2">
        <v>841.07619999999997</v>
      </c>
      <c r="D3187" s="2">
        <f>HYPERLINK("http://mcb-m6.bioreg.kyushu-u.ac.jp/M3/20110427/F51114/2570/1", 106.63)</f>
        <v>106.63</v>
      </c>
      <c r="E3187" s="2">
        <v>83.23</v>
      </c>
      <c r="F3187" s="2">
        <v>2</v>
      </c>
      <c r="G3187" s="2" t="s">
        <v>13</v>
      </c>
      <c r="I3187" s="2" t="s">
        <v>4895</v>
      </c>
    </row>
    <row r="3188" spans="1:9" x14ac:dyDescent="0.2">
      <c r="A3188" s="2" t="s">
        <v>3451</v>
      </c>
      <c r="B3188" s="2" t="s">
        <v>1735</v>
      </c>
      <c r="C3188" s="2">
        <v>944.28499999999997</v>
      </c>
      <c r="D3188" s="2">
        <f>HYPERLINK("http://mcb-m6.bioreg.kyushu-u.ac.jp/M3/20110427/F51123/939/1", 37.15)</f>
        <v>37.15</v>
      </c>
      <c r="E3188" s="2">
        <v>8.9</v>
      </c>
      <c r="F3188" s="2">
        <v>1</v>
      </c>
      <c r="G3188" s="2" t="s">
        <v>14</v>
      </c>
    </row>
    <row r="3189" spans="1:9" x14ac:dyDescent="0.2">
      <c r="A3189" s="2" t="s">
        <v>3451</v>
      </c>
      <c r="B3189" s="2" t="s">
        <v>261</v>
      </c>
      <c r="C3189" s="2">
        <v>537.7672</v>
      </c>
      <c r="D3189" s="2">
        <f>HYPERLINK("http://mcb-m6.bioreg.kyushu-u.ac.jp/M3/20110427/F51123/1190/1", 43.81)</f>
        <v>43.81</v>
      </c>
      <c r="E3189" s="2">
        <v>27.94</v>
      </c>
      <c r="F3189" s="2">
        <v>2</v>
      </c>
      <c r="G3189" s="2" t="s">
        <v>14</v>
      </c>
    </row>
    <row r="3190" spans="1:9" x14ac:dyDescent="0.2">
      <c r="A3190" s="2" t="s">
        <v>3451</v>
      </c>
      <c r="B3190" s="2" t="s">
        <v>1436</v>
      </c>
      <c r="C3190" s="2">
        <v>510.07350000000002</v>
      </c>
      <c r="D3190" s="2">
        <f>HYPERLINK("http://mcb-m6.bioreg.kyushu-u.ac.jp/M3/20110427/F51123/2151/1", 46.78)</f>
        <v>46.78</v>
      </c>
      <c r="E3190" s="2">
        <v>30.81</v>
      </c>
      <c r="F3190" s="2">
        <v>3</v>
      </c>
      <c r="G3190" s="2" t="s">
        <v>14</v>
      </c>
    </row>
    <row r="3191" spans="1:9" x14ac:dyDescent="0.2">
      <c r="A3191" s="2" t="s">
        <v>3451</v>
      </c>
      <c r="B3191" s="2" t="s">
        <v>434</v>
      </c>
      <c r="C3191" s="2">
        <v>645.13620000000003</v>
      </c>
      <c r="D3191" s="2">
        <f>HYPERLINK("http://mcb-m6.bioreg.kyushu-u.ac.jp/M3/20110427/F51122/1788/1", 50.45)</f>
        <v>50.45</v>
      </c>
      <c r="E3191" s="2">
        <v>10.54</v>
      </c>
      <c r="F3191" s="2">
        <v>2</v>
      </c>
      <c r="G3191" s="2" t="s">
        <v>14</v>
      </c>
    </row>
    <row r="3192" spans="1:9" x14ac:dyDescent="0.2">
      <c r="A3192" s="2" t="s">
        <v>3451</v>
      </c>
      <c r="B3192" s="2" t="s">
        <v>7497</v>
      </c>
      <c r="C3192" s="2">
        <v>687.3057</v>
      </c>
      <c r="D3192" s="2">
        <f>HYPERLINK("http://mcb-m6.bioreg.kyushu-u.ac.jp/M3/20110427/F51123/1771/1", 52.62)</f>
        <v>52.62</v>
      </c>
      <c r="E3192" s="2">
        <v>34.840000000000003</v>
      </c>
      <c r="F3192" s="2">
        <v>2</v>
      </c>
      <c r="G3192" s="2" t="s">
        <v>14</v>
      </c>
    </row>
    <row r="3193" spans="1:9" x14ac:dyDescent="0.2">
      <c r="A3193" s="2" t="s">
        <v>3451</v>
      </c>
      <c r="B3193" s="2" t="s">
        <v>7497</v>
      </c>
      <c r="C3193" s="2">
        <v>686.79359999999997</v>
      </c>
      <c r="D3193" s="2">
        <f>HYPERLINK("http://mcb-m6.bioreg.kyushu-u.ac.jp/M3/20110427/F51123/1768/1", 52.94)</f>
        <v>52.94</v>
      </c>
      <c r="E3193" s="2">
        <v>21.54</v>
      </c>
      <c r="F3193" s="2">
        <v>2</v>
      </c>
      <c r="G3193" s="2" t="s">
        <v>14</v>
      </c>
    </row>
    <row r="3194" spans="1:9" x14ac:dyDescent="0.2">
      <c r="A3194" s="2" t="s">
        <v>3451</v>
      </c>
      <c r="B3194" s="2" t="s">
        <v>434</v>
      </c>
      <c r="C3194" s="2">
        <v>645.38459999999998</v>
      </c>
      <c r="D3194" s="2">
        <f>HYPERLINK("http://mcb-m6.bioreg.kyushu-u.ac.jp/M3/20110428/F51135/1432/1", 53.01)</f>
        <v>53.01</v>
      </c>
      <c r="E3194" s="2">
        <v>25.04</v>
      </c>
      <c r="F3194" s="2">
        <v>2</v>
      </c>
      <c r="G3194" s="2" t="s">
        <v>14</v>
      </c>
    </row>
    <row r="3195" spans="1:9" x14ac:dyDescent="0.2">
      <c r="A3195" s="2" t="s">
        <v>3451</v>
      </c>
      <c r="B3195" s="2" t="s">
        <v>590</v>
      </c>
      <c r="C3195" s="2">
        <v>909.31269999999995</v>
      </c>
      <c r="D3195" s="2">
        <f>HYPERLINK("http://mcb-m6.bioreg.kyushu-u.ac.jp/M3/20110427/F51123/2769/1", 60.65)</f>
        <v>60.65</v>
      </c>
      <c r="E3195" s="2">
        <v>48.33</v>
      </c>
      <c r="F3195" s="2">
        <v>2</v>
      </c>
      <c r="G3195" s="2" t="s">
        <v>14</v>
      </c>
    </row>
    <row r="3196" spans="1:9" x14ac:dyDescent="0.2">
      <c r="A3196" s="2" t="s">
        <v>3451</v>
      </c>
      <c r="B3196" s="2" t="s">
        <v>965</v>
      </c>
      <c r="C3196" s="2">
        <v>1021.603</v>
      </c>
      <c r="D3196" s="2">
        <f>HYPERLINK("http://mcb-m6.bioreg.kyushu-u.ac.jp/M3/20110428/F51135/2768/1", 63.05)</f>
        <v>63.05</v>
      </c>
      <c r="E3196" s="2">
        <v>47.38</v>
      </c>
      <c r="F3196" s="2">
        <v>2</v>
      </c>
      <c r="G3196" s="2" t="s">
        <v>14</v>
      </c>
    </row>
    <row r="3197" spans="1:9" x14ac:dyDescent="0.2">
      <c r="A3197" s="2" t="s">
        <v>3451</v>
      </c>
      <c r="B3197" s="2" t="s">
        <v>919</v>
      </c>
      <c r="C3197" s="2">
        <v>664.72860000000003</v>
      </c>
      <c r="D3197" s="2">
        <f>HYPERLINK("http://mcb-m6.bioreg.kyushu-u.ac.jp/M3/20110427/F51123/1651/1", 64.29)</f>
        <v>64.290000000000006</v>
      </c>
      <c r="E3197" s="2">
        <v>35.450000000000003</v>
      </c>
      <c r="F3197" s="2">
        <v>2</v>
      </c>
      <c r="G3197" s="2" t="s">
        <v>14</v>
      </c>
    </row>
    <row r="3198" spans="1:9" x14ac:dyDescent="0.2">
      <c r="A3198" s="2" t="s">
        <v>3451</v>
      </c>
      <c r="B3198" s="2" t="s">
        <v>965</v>
      </c>
      <c r="C3198" s="2">
        <v>1021.837</v>
      </c>
      <c r="D3198" s="2">
        <f>HYPERLINK("http://mcb-m6.bioreg.kyushu-u.ac.jp/M3/20110427/F51123/3165/1", 64.64)</f>
        <v>64.64</v>
      </c>
      <c r="E3198" s="2">
        <v>51.43</v>
      </c>
      <c r="F3198" s="2">
        <v>2</v>
      </c>
      <c r="G3198" s="2" t="s">
        <v>14</v>
      </c>
    </row>
    <row r="3199" spans="1:9" x14ac:dyDescent="0.2">
      <c r="A3199" s="2" t="s">
        <v>3451</v>
      </c>
      <c r="B3199" s="2" t="s">
        <v>1436</v>
      </c>
      <c r="C3199" s="2">
        <v>764.77560000000005</v>
      </c>
      <c r="D3199" s="2">
        <f>HYPERLINK("http://mcb-m6.bioreg.kyushu-u.ac.jp/M3/20110427/F51123/2154/1", 67.08)</f>
        <v>67.08</v>
      </c>
      <c r="E3199" s="2">
        <v>48.43</v>
      </c>
      <c r="F3199" s="2">
        <v>2</v>
      </c>
      <c r="G3199" s="2" t="s">
        <v>14</v>
      </c>
    </row>
    <row r="3200" spans="1:9" x14ac:dyDescent="0.2">
      <c r="A3200" s="2" t="s">
        <v>3451</v>
      </c>
      <c r="B3200" s="2" t="s">
        <v>434</v>
      </c>
      <c r="C3200" s="2">
        <v>645.08969999999999</v>
      </c>
      <c r="D3200" s="2">
        <f>HYPERLINK("http://mcb-m6.bioreg.kyushu-u.ac.jp/M3/20110428/F51128/1514/1", 68.17)</f>
        <v>68.17</v>
      </c>
      <c r="E3200" s="2">
        <v>40.69</v>
      </c>
      <c r="F3200" s="2">
        <v>2</v>
      </c>
      <c r="G3200" s="2" t="s">
        <v>14</v>
      </c>
    </row>
    <row r="3201" spans="1:9" x14ac:dyDescent="0.2">
      <c r="A3201" s="2" t="s">
        <v>3451</v>
      </c>
      <c r="B3201" s="2" t="s">
        <v>434</v>
      </c>
      <c r="C3201" s="2">
        <v>645.20569999999998</v>
      </c>
      <c r="D3201" s="2">
        <f>HYPERLINK("http://mcb-m6.bioreg.kyushu-u.ac.jp/M3/20110427/F51123/1580/1", 74.54)</f>
        <v>74.540000000000006</v>
      </c>
      <c r="E3201" s="2">
        <v>45.84</v>
      </c>
      <c r="F3201" s="2">
        <v>2</v>
      </c>
      <c r="G3201" s="2" t="s">
        <v>14</v>
      </c>
    </row>
    <row r="3202" spans="1:9" x14ac:dyDescent="0.2">
      <c r="A3202" s="2" t="s">
        <v>3451</v>
      </c>
      <c r="B3202" s="2" t="s">
        <v>965</v>
      </c>
      <c r="C3202" s="2">
        <v>1021.308</v>
      </c>
      <c r="D3202" s="2">
        <f>HYPERLINK("http://mcb-m6.bioreg.kyushu-u.ac.jp/M3/20110427/F51123/3163/1", 76.14)</f>
        <v>76.14</v>
      </c>
      <c r="E3202" s="2">
        <v>61.45</v>
      </c>
      <c r="F3202" s="2">
        <v>2</v>
      </c>
      <c r="G3202" s="2" t="s">
        <v>14</v>
      </c>
    </row>
    <row r="3203" spans="1:9" x14ac:dyDescent="0.2">
      <c r="A3203" s="2" t="s">
        <v>3451</v>
      </c>
      <c r="B3203" s="2" t="s">
        <v>1436</v>
      </c>
      <c r="C3203" s="2">
        <v>764.72860000000003</v>
      </c>
      <c r="D3203" s="2">
        <f>HYPERLINK("http://mcb-m6.bioreg.kyushu-u.ac.jp/M3/20110428/F51128/2069/1", 78.35)</f>
        <v>78.349999999999994</v>
      </c>
      <c r="E3203" s="2">
        <v>57.13</v>
      </c>
      <c r="F3203" s="2">
        <v>2</v>
      </c>
      <c r="G3203" s="2" t="s">
        <v>14</v>
      </c>
    </row>
    <row r="3204" spans="1:9" x14ac:dyDescent="0.2">
      <c r="A3204" s="2" t="s">
        <v>3451</v>
      </c>
      <c r="B3204" s="2" t="s">
        <v>590</v>
      </c>
      <c r="C3204" s="2">
        <v>909.46720000000005</v>
      </c>
      <c r="D3204" s="2">
        <f>HYPERLINK("http://mcb-m6.bioreg.kyushu-u.ac.jp/M3/20110428/F51128/2789/1", 81.66)</f>
        <v>81.66</v>
      </c>
      <c r="E3204" s="2">
        <v>67.3</v>
      </c>
      <c r="F3204" s="2">
        <v>2</v>
      </c>
      <c r="G3204" s="2" t="s">
        <v>14</v>
      </c>
    </row>
    <row r="3205" spans="1:9" x14ac:dyDescent="0.2">
      <c r="A3205" s="2" t="s">
        <v>3451</v>
      </c>
      <c r="B3205" s="2" t="s">
        <v>2130</v>
      </c>
      <c r="C3205" s="2">
        <v>838.02560000000005</v>
      </c>
      <c r="D3205" s="2">
        <f>HYPERLINK("http://mcb-m6.bioreg.kyushu-u.ac.jp/M3/20110427/F51123/2487/1", 82.5)</f>
        <v>82.5</v>
      </c>
      <c r="E3205" s="2">
        <v>65.819999999999993</v>
      </c>
      <c r="F3205" s="2">
        <v>2</v>
      </c>
      <c r="G3205" s="2" t="s">
        <v>14</v>
      </c>
    </row>
    <row r="3206" spans="1:9" x14ac:dyDescent="0.2">
      <c r="A3206" s="2" t="s">
        <v>3451</v>
      </c>
      <c r="B3206" s="2" t="s">
        <v>965</v>
      </c>
      <c r="C3206" s="2">
        <v>1021.856</v>
      </c>
      <c r="D3206" s="2">
        <f>HYPERLINK("http://mcb-m6.bioreg.kyushu-u.ac.jp/M3/20110428/F51128/3159/1", 87.78)</f>
        <v>87.78</v>
      </c>
      <c r="E3206" s="2">
        <v>74.22</v>
      </c>
      <c r="F3206" s="2">
        <v>2</v>
      </c>
      <c r="G3206" s="2" t="s">
        <v>14</v>
      </c>
    </row>
    <row r="3207" spans="1:9" x14ac:dyDescent="0.2">
      <c r="A3207" s="2" t="s">
        <v>3451</v>
      </c>
      <c r="B3207" s="2" t="s">
        <v>1584</v>
      </c>
      <c r="C3207" s="2">
        <v>849.21870000000001</v>
      </c>
      <c r="D3207" s="2">
        <f>HYPERLINK("http://mcb-m6.bioreg.kyushu-u.ac.jp/M3/20110427/F51123/2517/1", 90.21)</f>
        <v>90.21</v>
      </c>
      <c r="E3207" s="2">
        <v>70.7</v>
      </c>
      <c r="F3207" s="2">
        <v>2</v>
      </c>
      <c r="G3207" s="2" t="s">
        <v>14</v>
      </c>
      <c r="H3207" s="2" t="s">
        <v>4920</v>
      </c>
      <c r="I3207" s="2" t="s">
        <v>4895</v>
      </c>
    </row>
    <row r="3208" spans="1:9" x14ac:dyDescent="0.2">
      <c r="A3208" s="2" t="s">
        <v>3451</v>
      </c>
      <c r="B3208" s="2" t="s">
        <v>1584</v>
      </c>
      <c r="C3208" s="2">
        <v>841.23860000000002</v>
      </c>
      <c r="D3208" s="2">
        <f>HYPERLINK("http://mcb-m6.bioreg.kyushu-u.ac.jp/M3/20110428/F51128/2451/1", 93.93)</f>
        <v>93.93</v>
      </c>
      <c r="E3208" s="2">
        <v>72.239999999999995</v>
      </c>
      <c r="F3208" s="2">
        <v>2</v>
      </c>
      <c r="G3208" s="2" t="s">
        <v>14</v>
      </c>
      <c r="I3208" s="2" t="s">
        <v>4895</v>
      </c>
    </row>
    <row r="3209" spans="1:9" x14ac:dyDescent="0.2">
      <c r="A3209" s="2" t="s">
        <v>3451</v>
      </c>
      <c r="B3209" s="2" t="s">
        <v>1584</v>
      </c>
      <c r="C3209" s="2">
        <v>840.94870000000003</v>
      </c>
      <c r="D3209" s="2">
        <f>HYPERLINK("http://mcb-m6.bioreg.kyushu-u.ac.jp/M3/20110427/F51123/2493/1", 107.05)</f>
        <v>107.05</v>
      </c>
      <c r="E3209" s="2">
        <v>73.38</v>
      </c>
      <c r="F3209" s="2">
        <v>2</v>
      </c>
      <c r="G3209" s="2" t="s">
        <v>14</v>
      </c>
      <c r="I3209" s="2" t="s">
        <v>4895</v>
      </c>
    </row>
    <row r="3210" spans="1:9" x14ac:dyDescent="0.2">
      <c r="A3210" s="2" t="s">
        <v>4084</v>
      </c>
      <c r="B3210" s="2" t="s">
        <v>1505</v>
      </c>
      <c r="C3210" s="2">
        <v>879.72220000000004</v>
      </c>
      <c r="D3210" s="2">
        <f>HYPERLINK("http://mcb-m6.bioreg.kyushu-u.ac.jp/M3/20110421/F51021/2823/1", 74.4)</f>
        <v>74.400000000000006</v>
      </c>
      <c r="E3210" s="2">
        <v>5.66</v>
      </c>
      <c r="F3210" s="2">
        <v>2</v>
      </c>
      <c r="G3210" s="2" t="s">
        <v>12</v>
      </c>
      <c r="I3210" s="2" t="s">
        <v>4890</v>
      </c>
    </row>
    <row r="3211" spans="1:9" x14ac:dyDescent="0.2">
      <c r="A3211" s="2" t="s">
        <v>4084</v>
      </c>
      <c r="B3211" s="2" t="s">
        <v>1505</v>
      </c>
      <c r="C3211" s="2">
        <v>879.09559999999999</v>
      </c>
      <c r="D3211" s="2">
        <f>HYPERLINK("http://mcb-m6.bioreg.kyushu-u.ac.jp/M3/20110421/F51021/2821/1", 101.04)</f>
        <v>101.04</v>
      </c>
      <c r="E3211" s="2">
        <v>53.39</v>
      </c>
      <c r="F3211" s="2">
        <v>2</v>
      </c>
      <c r="G3211" s="2" t="s">
        <v>12</v>
      </c>
      <c r="I3211" s="2" t="s">
        <v>4890</v>
      </c>
    </row>
    <row r="3212" spans="1:9" x14ac:dyDescent="0.2">
      <c r="A3212" s="2" t="s">
        <v>3962</v>
      </c>
      <c r="B3212" s="2" t="s">
        <v>1182</v>
      </c>
      <c r="C3212" s="2">
        <v>686.22170000000006</v>
      </c>
      <c r="D3212" s="2">
        <f>HYPERLINK("http://mcb-m6.bioreg.kyushu-u.ac.jp/M3/20110421/F51018/1811/1", 53.47)</f>
        <v>53.47</v>
      </c>
      <c r="E3212" s="2">
        <v>41.88</v>
      </c>
      <c r="F3212" s="2">
        <v>2</v>
      </c>
      <c r="G3212" s="2" t="s">
        <v>11</v>
      </c>
    </row>
    <row r="3213" spans="1:9" x14ac:dyDescent="0.2">
      <c r="A3213" s="2" t="s">
        <v>3962</v>
      </c>
      <c r="B3213" s="2" t="s">
        <v>1182</v>
      </c>
      <c r="C3213" s="2">
        <v>686.23860000000002</v>
      </c>
      <c r="D3213" s="2">
        <f>HYPERLINK("http://mcb-m6.bioreg.kyushu-u.ac.jp/M3/20110427/F51113/1714/1", 65.52)</f>
        <v>65.52</v>
      </c>
      <c r="E3213" s="2">
        <v>44.17</v>
      </c>
      <c r="F3213" s="2">
        <v>2</v>
      </c>
      <c r="G3213" s="2" t="s">
        <v>13</v>
      </c>
    </row>
    <row r="3214" spans="1:9" x14ac:dyDescent="0.2">
      <c r="A3214" s="2" t="s">
        <v>3866</v>
      </c>
      <c r="B3214" s="2" t="s">
        <v>981</v>
      </c>
      <c r="C3214" s="2">
        <v>608.36569999999995</v>
      </c>
      <c r="D3214" s="2">
        <f>HYPERLINK("http://mcb-m6.bioreg.kyushu-u.ac.jp/M3/20110404/F50755/1415/1", 61.41)</f>
        <v>61.41</v>
      </c>
      <c r="E3214" s="2">
        <v>43.04</v>
      </c>
      <c r="F3214" s="2">
        <v>2</v>
      </c>
      <c r="G3214" s="2" t="s">
        <v>9</v>
      </c>
    </row>
    <row r="3215" spans="1:9" x14ac:dyDescent="0.2">
      <c r="A3215" s="2" t="s">
        <v>3870</v>
      </c>
      <c r="B3215" s="2" t="s">
        <v>1006</v>
      </c>
      <c r="C3215" s="2">
        <v>643.25070000000005</v>
      </c>
      <c r="D3215" s="2">
        <f>HYPERLINK("http://mcb-m6.bioreg.kyushu-u.ac.jp/M3/20110404/F50755/1533/1", 47.78)</f>
        <v>47.78</v>
      </c>
      <c r="E3215" s="2">
        <v>32.75</v>
      </c>
      <c r="F3215" s="2">
        <v>2</v>
      </c>
      <c r="G3215" s="2" t="s">
        <v>9</v>
      </c>
    </row>
    <row r="3216" spans="1:9" x14ac:dyDescent="0.2">
      <c r="A3216" s="2" t="s">
        <v>3870</v>
      </c>
      <c r="B3216" s="2" t="s">
        <v>988</v>
      </c>
      <c r="C3216" s="2">
        <v>708.85469999999998</v>
      </c>
      <c r="D3216" s="2">
        <f>HYPERLINK("http://mcb-m6.bioreg.kyushu-u.ac.jp/M3/20110404/F50755/1773/1", 64.26)</f>
        <v>64.260000000000005</v>
      </c>
      <c r="E3216" s="2">
        <v>47.78</v>
      </c>
      <c r="F3216" s="2">
        <v>2</v>
      </c>
      <c r="G3216" s="2" t="s">
        <v>9</v>
      </c>
    </row>
    <row r="3217" spans="1:8" x14ac:dyDescent="0.2">
      <c r="A3217" s="2" t="s">
        <v>3870</v>
      </c>
      <c r="B3217" s="2" t="s">
        <v>1006</v>
      </c>
      <c r="C3217" s="2">
        <v>643.30520000000001</v>
      </c>
      <c r="D3217" s="2">
        <f>HYPERLINK("http://mcb-m6.bioreg.kyushu-u.ac.jp/M3/20110421/F51018/1640/1", 42.9)</f>
        <v>42.9</v>
      </c>
      <c r="E3217" s="2">
        <v>22.65</v>
      </c>
      <c r="F3217" s="2">
        <v>2</v>
      </c>
      <c r="G3217" s="2" t="s">
        <v>11</v>
      </c>
    </row>
    <row r="3218" spans="1:8" x14ac:dyDescent="0.2">
      <c r="A3218" s="2" t="s">
        <v>3870</v>
      </c>
      <c r="B3218" s="2" t="s">
        <v>1006</v>
      </c>
      <c r="C3218" s="2">
        <v>643.21870000000001</v>
      </c>
      <c r="D3218" s="2">
        <f>HYPERLINK("http://mcb-m6.bioreg.kyushu-u.ac.jp/M3/20110427/F51113/1545/1", 37.19)</f>
        <v>37.19</v>
      </c>
      <c r="E3218" s="2">
        <v>16.73</v>
      </c>
      <c r="F3218" s="2">
        <v>2</v>
      </c>
      <c r="G3218" s="2" t="s">
        <v>13</v>
      </c>
    </row>
    <row r="3219" spans="1:8" x14ac:dyDescent="0.2">
      <c r="A3219" s="2" t="s">
        <v>4372</v>
      </c>
      <c r="B3219" s="2" t="s">
        <v>6067</v>
      </c>
      <c r="C3219" s="2">
        <v>842.38959999999997</v>
      </c>
      <c r="D3219" s="2">
        <f>HYPERLINK("http://mcb-m6.bioreg.kyushu-u.ac.jp/M3/20110404/F50778/2334/1", 40.69)</f>
        <v>40.69</v>
      </c>
      <c r="E3219" s="2">
        <v>25.13</v>
      </c>
      <c r="F3219" s="2">
        <v>2</v>
      </c>
      <c r="G3219" s="2" t="s">
        <v>9</v>
      </c>
      <c r="H3219" s="2" t="s">
        <v>4904</v>
      </c>
    </row>
    <row r="3220" spans="1:8" x14ac:dyDescent="0.2">
      <c r="A3220" s="2" t="s">
        <v>4372</v>
      </c>
      <c r="B3220" s="2" t="s">
        <v>2201</v>
      </c>
      <c r="C3220" s="2">
        <v>871.89469999999994</v>
      </c>
      <c r="D3220" s="2">
        <f>HYPERLINK("http://mcb-m6.bioreg.kyushu-u.ac.jp/M3/20110404/F50778/2469/1", 50.44)</f>
        <v>50.44</v>
      </c>
      <c r="E3220" s="2">
        <v>38.799999999999997</v>
      </c>
      <c r="F3220" s="2">
        <v>2</v>
      </c>
      <c r="G3220" s="2" t="s">
        <v>9</v>
      </c>
    </row>
    <row r="3221" spans="1:8" x14ac:dyDescent="0.2">
      <c r="A3221" s="2" t="s">
        <v>4372</v>
      </c>
      <c r="B3221" s="2" t="s">
        <v>6468</v>
      </c>
      <c r="C3221" s="2">
        <v>960.54169999999999</v>
      </c>
      <c r="D3221" s="2">
        <f>HYPERLINK("http://mcb-m6.bioreg.kyushu-u.ac.jp/M3/20110404/F50778/2839/1", 67.32)</f>
        <v>67.319999999999993</v>
      </c>
      <c r="E3221" s="2">
        <v>56.44</v>
      </c>
      <c r="F3221" s="2">
        <v>2</v>
      </c>
      <c r="G3221" s="2" t="s">
        <v>9</v>
      </c>
    </row>
    <row r="3222" spans="1:8" x14ac:dyDescent="0.2">
      <c r="A3222" s="2" t="s">
        <v>4372</v>
      </c>
      <c r="B3222" s="2" t="s">
        <v>6067</v>
      </c>
      <c r="C3222" s="2">
        <v>843.0222</v>
      </c>
      <c r="D3222" s="2">
        <f>HYPERLINK("http://mcb-m6.bioreg.kyushu-u.ac.jp/M3/20110404/F50778/2336/1", 67.4)</f>
        <v>67.400000000000006</v>
      </c>
      <c r="E3222" s="2">
        <v>51.86</v>
      </c>
      <c r="F3222" s="2">
        <v>2</v>
      </c>
      <c r="G3222" s="2" t="s">
        <v>9</v>
      </c>
      <c r="H3222" s="2" t="s">
        <v>4904</v>
      </c>
    </row>
    <row r="3223" spans="1:8" x14ac:dyDescent="0.2">
      <c r="A3223" s="2" t="s">
        <v>4372</v>
      </c>
      <c r="B3223" s="2" t="s">
        <v>6067</v>
      </c>
      <c r="C3223" s="2">
        <v>842.25710000000004</v>
      </c>
      <c r="D3223" s="2">
        <f>HYPERLINK("http://mcb-m6.bioreg.kyushu-u.ac.jp/M3/20110404/F50782/2303/1", 60.02)</f>
        <v>60.02</v>
      </c>
      <c r="E3223" s="2">
        <v>41.08</v>
      </c>
      <c r="F3223" s="2">
        <v>2</v>
      </c>
      <c r="G3223" s="2" t="s">
        <v>10</v>
      </c>
      <c r="H3223" s="2" t="s">
        <v>4904</v>
      </c>
    </row>
    <row r="3224" spans="1:8" x14ac:dyDescent="0.2">
      <c r="A3224" s="2" t="s">
        <v>4372</v>
      </c>
      <c r="B3224" s="2" t="s">
        <v>2201</v>
      </c>
      <c r="C3224" s="2">
        <v>871.34720000000004</v>
      </c>
      <c r="D3224" s="2">
        <f>HYPERLINK("http://mcb-m6.bioreg.kyushu-u.ac.jp/M3/20110421/F51040/2644/1", 78.19)</f>
        <v>78.19</v>
      </c>
      <c r="E3224" s="2">
        <v>55.62</v>
      </c>
      <c r="F3224" s="2">
        <v>2</v>
      </c>
      <c r="G3224" s="2" t="s">
        <v>11</v>
      </c>
    </row>
    <row r="3225" spans="1:8" x14ac:dyDescent="0.2">
      <c r="A3225" s="2" t="s">
        <v>4372</v>
      </c>
      <c r="B3225" s="2" t="s">
        <v>7253</v>
      </c>
      <c r="C3225" s="2">
        <v>883.38869999999997</v>
      </c>
      <c r="D3225" s="2">
        <f>HYPERLINK("http://mcb-m6.bioreg.kyushu-u.ac.jp/M3/20110421/F51050/2620/1", 66.52)</f>
        <v>66.52</v>
      </c>
      <c r="E3225" s="2">
        <v>56.66</v>
      </c>
      <c r="F3225" s="2">
        <v>2</v>
      </c>
      <c r="G3225" s="2" t="s">
        <v>12</v>
      </c>
    </row>
    <row r="3226" spans="1:8" x14ac:dyDescent="0.2">
      <c r="A3226" s="2" t="s">
        <v>4372</v>
      </c>
      <c r="B3226" s="2" t="s">
        <v>6468</v>
      </c>
      <c r="C3226" s="2">
        <v>960.77419999999995</v>
      </c>
      <c r="D3226" s="2">
        <f>HYPERLINK("http://mcb-m6.bioreg.kyushu-u.ac.jp/M3/20110421/F51050/2859/1", 85.02)</f>
        <v>85.02</v>
      </c>
      <c r="E3226" s="2">
        <v>70.260000000000005</v>
      </c>
      <c r="F3226" s="2">
        <v>2</v>
      </c>
      <c r="G3226" s="2" t="s">
        <v>12</v>
      </c>
    </row>
    <row r="3227" spans="1:8" x14ac:dyDescent="0.2">
      <c r="A3227" s="2" t="s">
        <v>4372</v>
      </c>
      <c r="B3227" s="2" t="s">
        <v>2201</v>
      </c>
      <c r="C3227" s="2">
        <v>871.4357</v>
      </c>
      <c r="D3227" s="2">
        <f>HYPERLINK("http://mcb-m6.bioreg.kyushu-u.ac.jp/M3/20110421/F51050/2576/1", 102.74)</f>
        <v>102.74</v>
      </c>
      <c r="E3227" s="2">
        <v>83.9</v>
      </c>
      <c r="F3227" s="2">
        <v>2</v>
      </c>
      <c r="G3227" s="2" t="s">
        <v>12</v>
      </c>
    </row>
    <row r="3228" spans="1:8" x14ac:dyDescent="0.2">
      <c r="A3228" s="2" t="s">
        <v>4372</v>
      </c>
      <c r="B3228" s="2" t="s">
        <v>2201</v>
      </c>
      <c r="C3228" s="2">
        <v>871.17819999999995</v>
      </c>
      <c r="D3228" s="2">
        <f>HYPERLINK("http://mcb-m6.bioreg.kyushu-u.ac.jp/M3/20110428/F51130/2677/1", 82.06)</f>
        <v>82.06</v>
      </c>
      <c r="E3228" s="2">
        <v>62.56</v>
      </c>
      <c r="F3228" s="2">
        <v>2</v>
      </c>
      <c r="G3228" s="2" t="s">
        <v>14</v>
      </c>
    </row>
    <row r="3229" spans="1:8" x14ac:dyDescent="0.2">
      <c r="A3229" s="2" t="s">
        <v>4607</v>
      </c>
      <c r="B3229" s="2" t="s">
        <v>2714</v>
      </c>
      <c r="C3229" s="2">
        <v>769.69169999999997</v>
      </c>
      <c r="D3229" s="2">
        <f>HYPERLINK("http://mcb-m6.bioreg.kyushu-u.ac.jp/M3/20110404/F50754/2216/1", 39.23)</f>
        <v>39.229999999999997</v>
      </c>
      <c r="E3229" s="2">
        <v>30.08</v>
      </c>
      <c r="F3229" s="2">
        <v>2</v>
      </c>
      <c r="G3229" s="2" t="s">
        <v>9</v>
      </c>
    </row>
    <row r="3230" spans="1:8" x14ac:dyDescent="0.2">
      <c r="A3230" s="2" t="s">
        <v>4607</v>
      </c>
      <c r="B3230" s="2" t="s">
        <v>2714</v>
      </c>
      <c r="C3230" s="2">
        <v>769.31669999999997</v>
      </c>
      <c r="D3230" s="2">
        <f>HYPERLINK("http://mcb-m6.bioreg.kyushu-u.ac.jp/M3/20110404/F50752/2207/1", 56.85)</f>
        <v>56.85</v>
      </c>
      <c r="E3230" s="2">
        <v>36.35</v>
      </c>
      <c r="F3230" s="2">
        <v>2</v>
      </c>
      <c r="G3230" s="2" t="s">
        <v>9</v>
      </c>
    </row>
    <row r="3231" spans="1:8" x14ac:dyDescent="0.2">
      <c r="A3231" s="2" t="s">
        <v>4607</v>
      </c>
      <c r="B3231" s="2" t="s">
        <v>2714</v>
      </c>
      <c r="C3231" s="2">
        <v>769.9357</v>
      </c>
      <c r="D3231" s="2">
        <f>HYPERLINK("http://mcb-m6.bioreg.kyushu-u.ac.jp/M3/20110404/F50782/1932/1", 53.27)</f>
        <v>53.27</v>
      </c>
      <c r="E3231" s="2">
        <v>13.45</v>
      </c>
      <c r="F3231" s="2">
        <v>2</v>
      </c>
      <c r="G3231" s="2" t="s">
        <v>10</v>
      </c>
    </row>
    <row r="3232" spans="1:8" x14ac:dyDescent="0.2">
      <c r="A3232" s="2" t="s">
        <v>4607</v>
      </c>
      <c r="B3232" s="2" t="s">
        <v>2714</v>
      </c>
      <c r="C3232" s="2">
        <v>769.90419999999995</v>
      </c>
      <c r="D3232" s="2">
        <f>HYPERLINK("http://mcb-m6.bioreg.kyushu-u.ac.jp/M3/20110404/F50758/2008/1", 70.67)</f>
        <v>70.67</v>
      </c>
      <c r="E3232" s="2">
        <v>46.52</v>
      </c>
      <c r="F3232" s="2">
        <v>2</v>
      </c>
      <c r="G3232" s="2" t="s">
        <v>10</v>
      </c>
    </row>
    <row r="3233" spans="1:9" x14ac:dyDescent="0.2">
      <c r="A3233" s="2" t="s">
        <v>4607</v>
      </c>
      <c r="B3233" s="2" t="s">
        <v>2714</v>
      </c>
      <c r="C3233" s="2">
        <v>769.41859999999997</v>
      </c>
      <c r="D3233" s="2">
        <f>HYPERLINK("http://mcb-m6.bioreg.kyushu-u.ac.jp/M3/20110404/F50782/1929/1", 78.8)</f>
        <v>78.8</v>
      </c>
      <c r="E3233" s="2">
        <v>45.44</v>
      </c>
      <c r="F3233" s="2">
        <v>2</v>
      </c>
      <c r="G3233" s="2" t="s">
        <v>10</v>
      </c>
    </row>
    <row r="3234" spans="1:9" x14ac:dyDescent="0.2">
      <c r="A3234" s="2" t="s">
        <v>4607</v>
      </c>
      <c r="B3234" s="2" t="s">
        <v>7232</v>
      </c>
      <c r="C3234" s="2">
        <v>588.09519999999998</v>
      </c>
      <c r="D3234" s="2">
        <f>HYPERLINK("http://mcb-m6.bioreg.kyushu-u.ac.jp/M3/20110421/F51050/1481/1", 53.91)</f>
        <v>53.91</v>
      </c>
      <c r="E3234" s="2">
        <v>28.12</v>
      </c>
      <c r="F3234" s="2">
        <v>2</v>
      </c>
      <c r="G3234" s="2" t="s">
        <v>12</v>
      </c>
      <c r="I3234" s="2" t="s">
        <v>4892</v>
      </c>
    </row>
    <row r="3235" spans="1:9" x14ac:dyDescent="0.2">
      <c r="A3235" s="2" t="s">
        <v>4607</v>
      </c>
      <c r="B3235" s="2" t="s">
        <v>2714</v>
      </c>
      <c r="C3235" s="2">
        <v>769.40719999999999</v>
      </c>
      <c r="D3235" s="2">
        <f>HYPERLINK("http://mcb-m6.bioreg.kyushu-u.ac.jp/M3/20110421/F51050/2257/1", 57.84)</f>
        <v>57.84</v>
      </c>
      <c r="E3235" s="2">
        <v>30.13</v>
      </c>
      <c r="F3235" s="2">
        <v>2</v>
      </c>
      <c r="G3235" s="2" t="s">
        <v>12</v>
      </c>
    </row>
    <row r="3236" spans="1:9" x14ac:dyDescent="0.2">
      <c r="A3236" s="2" t="s">
        <v>4607</v>
      </c>
      <c r="B3236" s="2" t="s">
        <v>2714</v>
      </c>
      <c r="C3236" s="2">
        <v>769.70719999999994</v>
      </c>
      <c r="D3236" s="2">
        <f>HYPERLINK("http://mcb-m6.bioreg.kyushu-u.ac.jp/M3/20110428/F51130/2189/1", 98)</f>
        <v>98</v>
      </c>
      <c r="E3236" s="2">
        <v>62.73</v>
      </c>
      <c r="F3236" s="2">
        <v>2</v>
      </c>
      <c r="G3236" s="2" t="s">
        <v>14</v>
      </c>
    </row>
    <row r="3237" spans="1:9" x14ac:dyDescent="0.2">
      <c r="A3237" s="2" t="s">
        <v>7618</v>
      </c>
      <c r="B3237" s="2" t="s">
        <v>6129</v>
      </c>
      <c r="C3237" s="2">
        <v>711.84119999999996</v>
      </c>
      <c r="D3237" s="2">
        <f>HYPERLINK("http://mcb-m6.bioreg.kyushu-u.ac.jp/M3/20110404/F50779/1579/1", 43.81)</f>
        <v>43.81</v>
      </c>
      <c r="E3237" s="2">
        <v>25.83</v>
      </c>
      <c r="F3237" s="2">
        <v>2</v>
      </c>
      <c r="G3237" s="2" t="s">
        <v>9</v>
      </c>
    </row>
    <row r="3238" spans="1:9" x14ac:dyDescent="0.2">
      <c r="A3238" s="2" t="s">
        <v>7618</v>
      </c>
      <c r="B3238" s="2" t="s">
        <v>6129</v>
      </c>
      <c r="C3238" s="2">
        <v>711.30470000000003</v>
      </c>
      <c r="D3238" s="2">
        <f>HYPERLINK("http://mcb-m6.bioreg.kyushu-u.ac.jp/M3/20110404/F50779/1575/1", 47.49)</f>
        <v>47.49</v>
      </c>
      <c r="E3238" s="2">
        <v>23.09</v>
      </c>
      <c r="F3238" s="2">
        <v>2</v>
      </c>
      <c r="G3238" s="2" t="s">
        <v>9</v>
      </c>
    </row>
    <row r="3239" spans="1:9" x14ac:dyDescent="0.2">
      <c r="A3239" s="2" t="s">
        <v>7618</v>
      </c>
      <c r="B3239" s="2" t="s">
        <v>6129</v>
      </c>
      <c r="C3239" s="2">
        <v>711.57209999999998</v>
      </c>
      <c r="D3239" s="2">
        <f>HYPERLINK("http://mcb-m6.bioreg.kyushu-u.ac.jp/M3/20110404/F50782/1611/1", 40.39)</f>
        <v>40.39</v>
      </c>
      <c r="E3239" s="2">
        <v>18.25</v>
      </c>
      <c r="F3239" s="2">
        <v>2</v>
      </c>
      <c r="G3239" s="2" t="s">
        <v>10</v>
      </c>
    </row>
    <row r="3240" spans="1:9" x14ac:dyDescent="0.2">
      <c r="A3240" s="2" t="s">
        <v>4042</v>
      </c>
      <c r="B3240" s="2" t="s">
        <v>1385</v>
      </c>
      <c r="C3240" s="2">
        <v>693.89469999999994</v>
      </c>
      <c r="D3240" s="2">
        <f>HYPERLINK("http://mcb-m6.bioreg.kyushu-u.ac.jp/M3/20110404/F50779/1489/1", 66.21)</f>
        <v>66.209999999999994</v>
      </c>
      <c r="E3240" s="2">
        <v>46.93</v>
      </c>
      <c r="F3240" s="2">
        <v>2</v>
      </c>
      <c r="G3240" s="2" t="s">
        <v>9</v>
      </c>
    </row>
    <row r="3241" spans="1:9" x14ac:dyDescent="0.2">
      <c r="A3241" s="2" t="s">
        <v>4042</v>
      </c>
      <c r="B3241" s="2" t="s">
        <v>1385</v>
      </c>
      <c r="C3241" s="2">
        <v>693.83810000000005</v>
      </c>
      <c r="D3241" s="2">
        <f>HYPERLINK("http://mcb-m6.bioreg.kyushu-u.ac.jp/M3/20110404/F50778/1570/1", 85.67)</f>
        <v>85.67</v>
      </c>
      <c r="E3241" s="2">
        <v>64.17</v>
      </c>
      <c r="F3241" s="2">
        <v>2</v>
      </c>
      <c r="G3241" s="2" t="s">
        <v>9</v>
      </c>
    </row>
    <row r="3242" spans="1:9" x14ac:dyDescent="0.2">
      <c r="A3242" s="2" t="s">
        <v>4042</v>
      </c>
      <c r="B3242" s="2" t="s">
        <v>5285</v>
      </c>
      <c r="C3242" s="2">
        <v>715.90419999999995</v>
      </c>
      <c r="D3242" s="2">
        <f>HYPERLINK("http://mcb-m6.bioreg.kyushu-u.ac.jp/M3/20110404/F50782/1645/1", 44.06)</f>
        <v>44.06</v>
      </c>
      <c r="E3242" s="2">
        <v>27.68</v>
      </c>
      <c r="F3242" s="2">
        <v>2</v>
      </c>
      <c r="G3242" s="2" t="s">
        <v>10</v>
      </c>
    </row>
    <row r="3243" spans="1:9" x14ac:dyDescent="0.2">
      <c r="A3243" s="2" t="s">
        <v>4042</v>
      </c>
      <c r="B3243" s="2" t="s">
        <v>5285</v>
      </c>
      <c r="C3243" s="2">
        <v>715.39760000000001</v>
      </c>
      <c r="D3243" s="2">
        <f>HYPERLINK("http://mcb-m6.bioreg.kyushu-u.ac.jp/M3/20110404/F50782/1642/1", 64.28)</f>
        <v>64.28</v>
      </c>
      <c r="E3243" s="2">
        <v>41.64</v>
      </c>
      <c r="F3243" s="2">
        <v>2</v>
      </c>
      <c r="G3243" s="2" t="s">
        <v>10</v>
      </c>
    </row>
    <row r="3244" spans="1:9" x14ac:dyDescent="0.2">
      <c r="A3244" s="2" t="s">
        <v>4042</v>
      </c>
      <c r="B3244" s="2" t="s">
        <v>1385</v>
      </c>
      <c r="C3244" s="2">
        <v>693.89419999999996</v>
      </c>
      <c r="D3244" s="2">
        <f>HYPERLINK("http://mcb-m6.bioreg.kyushu-u.ac.jp/M3/20110404/F50782/1527/1", 78.21)</f>
        <v>78.209999999999994</v>
      </c>
      <c r="E3244" s="2">
        <v>44.48</v>
      </c>
      <c r="F3244" s="2">
        <v>2</v>
      </c>
      <c r="G3244" s="2" t="s">
        <v>10</v>
      </c>
    </row>
    <row r="3245" spans="1:9" x14ac:dyDescent="0.2">
      <c r="A3245" s="2" t="s">
        <v>4042</v>
      </c>
      <c r="B3245" s="2" t="s">
        <v>1385</v>
      </c>
      <c r="C3245" s="2">
        <v>694.32370000000003</v>
      </c>
      <c r="D3245" s="2">
        <f>HYPERLINK("http://mcb-m6.bioreg.kyushu-u.ac.jp/M3/20110421/F51040/1771/1", 85.51)</f>
        <v>85.51</v>
      </c>
      <c r="E3245" s="2">
        <v>65.87</v>
      </c>
      <c r="F3245" s="2">
        <v>2</v>
      </c>
      <c r="G3245" s="2" t="s">
        <v>11</v>
      </c>
    </row>
    <row r="3246" spans="1:9" x14ac:dyDescent="0.2">
      <c r="A3246" s="2" t="s">
        <v>4042</v>
      </c>
      <c r="B3246" s="2" t="s">
        <v>5285</v>
      </c>
      <c r="C3246" s="2">
        <v>715.63620000000003</v>
      </c>
      <c r="D3246" s="2">
        <f>HYPERLINK("http://mcb-m6.bioreg.kyushu-u.ac.jp/M3/20110421/F51050/2035/1", 71.17)</f>
        <v>71.17</v>
      </c>
      <c r="E3246" s="2">
        <v>42.82</v>
      </c>
      <c r="F3246" s="2">
        <v>2</v>
      </c>
      <c r="G3246" s="2" t="s">
        <v>12</v>
      </c>
    </row>
    <row r="3247" spans="1:9" x14ac:dyDescent="0.2">
      <c r="A3247" s="2" t="s">
        <v>4345</v>
      </c>
      <c r="B3247" s="2" t="s">
        <v>2160</v>
      </c>
      <c r="C3247" s="2">
        <v>608.87919999999997</v>
      </c>
      <c r="D3247" s="2">
        <f>HYPERLINK("http://mcb-m6.bioreg.kyushu-u.ac.jp/M3/20110404/F50779/1146/1", 60.86)</f>
        <v>60.86</v>
      </c>
      <c r="E3247" s="2">
        <v>30.18</v>
      </c>
      <c r="F3247" s="2">
        <v>2</v>
      </c>
      <c r="G3247" s="2" t="s">
        <v>9</v>
      </c>
    </row>
    <row r="3248" spans="1:9" x14ac:dyDescent="0.2">
      <c r="A3248" s="2" t="s">
        <v>4345</v>
      </c>
      <c r="B3248" s="2" t="s">
        <v>2160</v>
      </c>
      <c r="C3248" s="2">
        <v>608.3116</v>
      </c>
      <c r="D3248" s="2">
        <f>HYPERLINK("http://mcb-m6.bioreg.kyushu-u.ac.jp/M3/20110404/F50778/1202/1", 70.79)</f>
        <v>70.790000000000006</v>
      </c>
      <c r="E3248" s="2">
        <v>34.04</v>
      </c>
      <c r="F3248" s="2">
        <v>2</v>
      </c>
      <c r="G3248" s="2" t="s">
        <v>9</v>
      </c>
    </row>
    <row r="3249" spans="1:7" x14ac:dyDescent="0.2">
      <c r="A3249" s="2" t="s">
        <v>4345</v>
      </c>
      <c r="B3249" s="2" t="s">
        <v>2160</v>
      </c>
      <c r="C3249" s="2">
        <v>608.26369999999997</v>
      </c>
      <c r="D3249" s="2">
        <f>HYPERLINK("http://mcb-m6.bioreg.kyushu-u.ac.jp/M3/20110404/F50779/1139/1", 76.43)</f>
        <v>76.430000000000007</v>
      </c>
      <c r="E3249" s="2">
        <v>37.869999999999997</v>
      </c>
      <c r="F3249" s="2">
        <v>2</v>
      </c>
      <c r="G3249" s="2" t="s">
        <v>9</v>
      </c>
    </row>
    <row r="3250" spans="1:7" x14ac:dyDescent="0.2">
      <c r="A3250" s="2" t="s">
        <v>4345</v>
      </c>
      <c r="B3250" s="2" t="s">
        <v>2160</v>
      </c>
      <c r="C3250" s="2">
        <v>608.17819999999995</v>
      </c>
      <c r="D3250" s="2">
        <f>HYPERLINK("http://mcb-m6.bioreg.kyushu-u.ac.jp/M3/20110404/F50782/1146/1", 73.2)</f>
        <v>73.2</v>
      </c>
      <c r="E3250" s="2">
        <v>43.98</v>
      </c>
      <c r="F3250" s="2">
        <v>2</v>
      </c>
      <c r="G3250" s="2" t="s">
        <v>10</v>
      </c>
    </row>
    <row r="3251" spans="1:7" x14ac:dyDescent="0.2">
      <c r="A3251" s="2" t="s">
        <v>8106</v>
      </c>
      <c r="B3251" s="2" t="s">
        <v>7459</v>
      </c>
      <c r="C3251" s="2">
        <v>628.62519999999995</v>
      </c>
      <c r="D3251" s="2">
        <f>HYPERLINK("http://mcb-m6.bioreg.kyushu-u.ac.jp/M3/20110428/F51130/1584/1", 36.16)</f>
        <v>36.159999999999997</v>
      </c>
      <c r="E3251" s="2">
        <v>18.34</v>
      </c>
      <c r="F3251" s="2">
        <v>2</v>
      </c>
      <c r="G3251" s="2" t="s">
        <v>14</v>
      </c>
    </row>
    <row r="3252" spans="1:7" x14ac:dyDescent="0.2">
      <c r="A3252" s="2" t="s">
        <v>7841</v>
      </c>
      <c r="B3252" s="2" t="s">
        <v>6802</v>
      </c>
      <c r="C3252" s="2">
        <v>952.42169999999999</v>
      </c>
      <c r="D3252" s="2">
        <f>HYPERLINK("http://mcb-m6.bioreg.kyushu-u.ac.jp/M3/20110404/F50775/2671/1", 44.57)</f>
        <v>44.57</v>
      </c>
      <c r="E3252" s="2">
        <v>37.14</v>
      </c>
      <c r="F3252" s="2">
        <v>2</v>
      </c>
      <c r="G3252" s="2" t="s">
        <v>10</v>
      </c>
    </row>
    <row r="3253" spans="1:7" x14ac:dyDescent="0.2">
      <c r="A3253" s="2" t="s">
        <v>7632</v>
      </c>
      <c r="B3253" s="2" t="s">
        <v>6169</v>
      </c>
      <c r="C3253" s="2">
        <v>758.41669999999999</v>
      </c>
      <c r="D3253" s="2">
        <f>HYPERLINK("http://mcb-m6.bioreg.kyushu-u.ac.jp/M3/20110404/F50752/2174/1", 45.34)</f>
        <v>45.34</v>
      </c>
      <c r="E3253" s="2">
        <v>10.02</v>
      </c>
      <c r="F3253" s="2">
        <v>2</v>
      </c>
      <c r="G3253" s="2" t="s">
        <v>9</v>
      </c>
    </row>
    <row r="3254" spans="1:7" x14ac:dyDescent="0.2">
      <c r="A3254" s="2" t="s">
        <v>7720</v>
      </c>
      <c r="B3254" s="2" t="s">
        <v>6435</v>
      </c>
      <c r="C3254" s="2">
        <v>700.77970000000005</v>
      </c>
      <c r="D3254" s="2">
        <f>HYPERLINK("http://mcb-m6.bioreg.kyushu-u.ac.jp/M3/20110404/F50767/1486/1", 64.17)</f>
        <v>64.17</v>
      </c>
      <c r="E3254" s="2">
        <v>52</v>
      </c>
      <c r="F3254" s="2">
        <v>2</v>
      </c>
      <c r="G3254" s="2" t="s">
        <v>9</v>
      </c>
    </row>
    <row r="3255" spans="1:7" x14ac:dyDescent="0.2">
      <c r="A3255" s="2" t="s">
        <v>7720</v>
      </c>
      <c r="B3255" s="2" t="s">
        <v>6843</v>
      </c>
      <c r="C3255" s="2">
        <v>688.45619999999997</v>
      </c>
      <c r="D3255" s="2">
        <f>HYPERLINK("http://mcb-m6.bioreg.kyushu-u.ac.jp/M3/20110404/F50773/1608/1", 49.27)</f>
        <v>49.27</v>
      </c>
      <c r="E3255" s="2">
        <v>29.99</v>
      </c>
      <c r="F3255" s="2">
        <v>2</v>
      </c>
      <c r="G3255" s="2" t="s">
        <v>10</v>
      </c>
    </row>
    <row r="3256" spans="1:7" x14ac:dyDescent="0.2">
      <c r="A3256" s="2" t="s">
        <v>7720</v>
      </c>
      <c r="B3256" s="2" t="s">
        <v>6435</v>
      </c>
      <c r="C3256" s="2">
        <v>700.32460000000003</v>
      </c>
      <c r="D3256" s="2">
        <f>HYPERLINK("http://mcb-m6.bioreg.kyushu-u.ac.jp/M3/20110404/F50773/1663/1", 54.73)</f>
        <v>54.73</v>
      </c>
      <c r="E3256" s="2">
        <v>41.55</v>
      </c>
      <c r="F3256" s="2">
        <v>2</v>
      </c>
      <c r="G3256" s="2" t="s">
        <v>10</v>
      </c>
    </row>
    <row r="3257" spans="1:7" x14ac:dyDescent="0.2">
      <c r="A3257" s="2" t="s">
        <v>7720</v>
      </c>
      <c r="B3257" s="2" t="s">
        <v>6971</v>
      </c>
      <c r="C3257" s="2">
        <v>662.33259999999996</v>
      </c>
      <c r="D3257" s="2">
        <f>HYPERLINK("http://mcb-m6.bioreg.kyushu-u.ac.jp/M3/20110404/F50773/1465/1", 69.09)</f>
        <v>69.09</v>
      </c>
      <c r="E3257" s="2">
        <v>46.69</v>
      </c>
      <c r="F3257" s="2">
        <v>2</v>
      </c>
      <c r="G3257" s="2" t="s">
        <v>10</v>
      </c>
    </row>
    <row r="3258" spans="1:7" x14ac:dyDescent="0.2">
      <c r="A3258" s="2" t="s">
        <v>7879</v>
      </c>
      <c r="B3258" s="2" t="s">
        <v>6916</v>
      </c>
      <c r="C3258" s="2">
        <v>658.2722</v>
      </c>
      <c r="D3258" s="2">
        <f>HYPERLINK("http://mcb-m6.bioreg.kyushu-u.ac.jp/M3/20110404/F50773/1454/1", 58.83)</f>
        <v>58.83</v>
      </c>
      <c r="E3258" s="2">
        <v>44.5</v>
      </c>
      <c r="F3258" s="2">
        <v>2</v>
      </c>
      <c r="G3258" s="2" t="s">
        <v>10</v>
      </c>
    </row>
    <row r="3259" spans="1:7" x14ac:dyDescent="0.2">
      <c r="A3259" s="2" t="s">
        <v>7924</v>
      </c>
      <c r="B3259" s="2" t="s">
        <v>7090</v>
      </c>
      <c r="C3259" s="2">
        <v>520.86569999999995</v>
      </c>
      <c r="D3259" s="2">
        <f>HYPERLINK("http://mcb-m6.bioreg.kyushu-u.ac.jp/M3/20110421/F51020/1126/1", 39.18)</f>
        <v>39.18</v>
      </c>
      <c r="E3259" s="2">
        <v>25.82</v>
      </c>
      <c r="F3259" s="2">
        <v>2</v>
      </c>
      <c r="G3259" s="2" t="s">
        <v>11</v>
      </c>
    </row>
    <row r="3260" spans="1:7" x14ac:dyDescent="0.2">
      <c r="A3260" s="2" t="s">
        <v>3680</v>
      </c>
      <c r="B3260" s="2" t="s">
        <v>7501</v>
      </c>
      <c r="C3260" s="2">
        <v>702.06569999999999</v>
      </c>
      <c r="D3260" s="2">
        <f>HYPERLINK("http://mcb-m6.bioreg.kyushu-u.ac.jp/M3/20110427/F51122/2014/1", 55.84)</f>
        <v>55.84</v>
      </c>
      <c r="E3260" s="2">
        <v>31.94</v>
      </c>
      <c r="F3260" s="2">
        <v>2</v>
      </c>
      <c r="G3260" s="2" t="s">
        <v>14</v>
      </c>
    </row>
    <row r="3261" spans="1:7" x14ac:dyDescent="0.2">
      <c r="A3261" s="2" t="s">
        <v>4063</v>
      </c>
      <c r="B3261" s="2" t="s">
        <v>1431</v>
      </c>
      <c r="C3261" s="2">
        <v>961.2577</v>
      </c>
      <c r="D3261" s="2">
        <f>HYPERLINK("http://mcb-m6.bioreg.kyushu-u.ac.jp/M3/20110404/F50753/2801/1", 99.97)</f>
        <v>99.97</v>
      </c>
      <c r="E3261" s="2">
        <v>89.29</v>
      </c>
      <c r="F3261" s="2">
        <v>2</v>
      </c>
      <c r="G3261" s="2" t="s">
        <v>9</v>
      </c>
    </row>
    <row r="3262" spans="1:7" x14ac:dyDescent="0.2">
      <c r="A3262" s="2" t="s">
        <v>4114</v>
      </c>
      <c r="B3262" s="2" t="s">
        <v>1607</v>
      </c>
      <c r="C3262" s="2">
        <v>921.22270000000003</v>
      </c>
      <c r="D3262" s="2">
        <f>HYPERLINK("http://mcb-m6.bioreg.kyushu-u.ac.jp/M3/20110427/F51111/2928/1", 63.56)</f>
        <v>63.56</v>
      </c>
      <c r="E3262" s="2">
        <v>49.92</v>
      </c>
      <c r="F3262" s="2">
        <v>2</v>
      </c>
      <c r="G3262" s="2" t="s">
        <v>13</v>
      </c>
    </row>
    <row r="3263" spans="1:7" x14ac:dyDescent="0.2">
      <c r="A3263" s="2" t="s">
        <v>3961</v>
      </c>
      <c r="B3263" s="2" t="s">
        <v>1178</v>
      </c>
      <c r="C3263" s="2">
        <v>609.68409999999994</v>
      </c>
      <c r="D3263" s="2">
        <f>HYPERLINK("http://mcb-m6.bioreg.kyushu-u.ac.jp/M3/20110421/F51021/1369/1", 40.8)</f>
        <v>40.799999999999997</v>
      </c>
      <c r="E3263" s="2">
        <v>21.52</v>
      </c>
      <c r="F3263" s="2">
        <v>2</v>
      </c>
      <c r="G3263" s="2" t="s">
        <v>12</v>
      </c>
    </row>
    <row r="3264" spans="1:7" x14ac:dyDescent="0.2">
      <c r="A3264" s="2" t="s">
        <v>3961</v>
      </c>
      <c r="B3264" s="2" t="s">
        <v>1178</v>
      </c>
      <c r="C3264" s="2">
        <v>609.72119999999995</v>
      </c>
      <c r="D3264" s="2">
        <f>HYPERLINK("http://mcb-m6.bioreg.kyushu-u.ac.jp/M3/20110427/F51108/1588/1", 56.59)</f>
        <v>56.59</v>
      </c>
      <c r="E3264" s="2">
        <v>29.71</v>
      </c>
      <c r="F3264" s="2">
        <v>2</v>
      </c>
      <c r="G3264" s="2" t="s">
        <v>13</v>
      </c>
    </row>
    <row r="3265" spans="1:8" x14ac:dyDescent="0.2">
      <c r="A3265" s="2" t="s">
        <v>4411</v>
      </c>
      <c r="B3265" s="2" t="s">
        <v>2266</v>
      </c>
      <c r="C3265" s="2">
        <v>1093.5050000000001</v>
      </c>
      <c r="D3265" s="2">
        <f>HYPERLINK("http://mcb-m6.bioreg.kyushu-u.ac.jp/M3/20110404/F50752/1499/1", 35)</f>
        <v>35</v>
      </c>
      <c r="E3265" s="2">
        <v>15.6</v>
      </c>
      <c r="F3265" s="2">
        <v>1</v>
      </c>
      <c r="G3265" s="2" t="s">
        <v>9</v>
      </c>
      <c r="H3265" s="2" t="s">
        <v>4904</v>
      </c>
    </row>
    <row r="3266" spans="1:8" x14ac:dyDescent="0.2">
      <c r="A3266" s="2" t="s">
        <v>4411</v>
      </c>
      <c r="B3266" s="2" t="s">
        <v>2479</v>
      </c>
      <c r="C3266" s="2">
        <v>1172.6890000000001</v>
      </c>
      <c r="D3266" s="2">
        <f>HYPERLINK("http://mcb-m6.bioreg.kyushu-u.ac.jp/M3/20110404/F50752/1598/1", 41.59)</f>
        <v>41.59</v>
      </c>
      <c r="E3266" s="2">
        <v>22.73</v>
      </c>
      <c r="F3266" s="2">
        <v>1</v>
      </c>
      <c r="G3266" s="2" t="s">
        <v>9</v>
      </c>
    </row>
    <row r="3267" spans="1:8" x14ac:dyDescent="0.2">
      <c r="A3267" s="2" t="s">
        <v>4411</v>
      </c>
      <c r="B3267" s="2" t="s">
        <v>2266</v>
      </c>
      <c r="C3267" s="2">
        <v>556.13760000000002</v>
      </c>
      <c r="D3267" s="2">
        <f>HYPERLINK("http://mcb-m6.bioreg.kyushu-u.ac.jp/M3/20110404/F50752/1522/1", 65.52)</f>
        <v>65.52</v>
      </c>
      <c r="E3267" s="2">
        <v>42.3</v>
      </c>
      <c r="F3267" s="2">
        <v>2</v>
      </c>
      <c r="G3267" s="2" t="s">
        <v>9</v>
      </c>
    </row>
    <row r="3268" spans="1:8" x14ac:dyDescent="0.2">
      <c r="A3268" s="2" t="s">
        <v>4411</v>
      </c>
      <c r="B3268" s="2" t="s">
        <v>2479</v>
      </c>
      <c r="C3268" s="2">
        <v>587.37270000000001</v>
      </c>
      <c r="D3268" s="2">
        <f>HYPERLINK("http://mcb-m6.bioreg.kyushu-u.ac.jp/M3/20110404/F50752/1599/1", 76.85)</f>
        <v>76.849999999999994</v>
      </c>
      <c r="E3268" s="2">
        <v>57.17</v>
      </c>
      <c r="F3268" s="2">
        <v>2</v>
      </c>
      <c r="G3268" s="2" t="s">
        <v>9</v>
      </c>
    </row>
    <row r="3269" spans="1:8" x14ac:dyDescent="0.2">
      <c r="A3269" s="2" t="s">
        <v>4411</v>
      </c>
      <c r="B3269" s="2" t="s">
        <v>2479</v>
      </c>
      <c r="C3269" s="2">
        <v>586.83510000000001</v>
      </c>
      <c r="D3269" s="2">
        <f>HYPERLINK("http://mcb-m6.bioreg.kyushu-u.ac.jp/M3/20110404/F50752/1597/1", 99.89)</f>
        <v>99.89</v>
      </c>
      <c r="E3269" s="2">
        <v>76.41</v>
      </c>
      <c r="F3269" s="2">
        <v>2</v>
      </c>
      <c r="G3269" s="2" t="s">
        <v>9</v>
      </c>
    </row>
    <row r="3270" spans="1:8" x14ac:dyDescent="0.2">
      <c r="A3270" s="2" t="s">
        <v>4411</v>
      </c>
      <c r="B3270" s="2" t="s">
        <v>2266</v>
      </c>
      <c r="C3270" s="2">
        <v>555.90809999999999</v>
      </c>
      <c r="D3270" s="2">
        <f>HYPERLINK("http://mcb-m6.bioreg.kyushu-u.ac.jp/M3/20110404/F50757/1639/1", 53.07)</f>
        <v>53.07</v>
      </c>
      <c r="E3270" s="2">
        <v>29.26</v>
      </c>
      <c r="F3270" s="2">
        <v>2</v>
      </c>
      <c r="G3270" s="2" t="s">
        <v>10</v>
      </c>
    </row>
    <row r="3271" spans="1:8" x14ac:dyDescent="0.2">
      <c r="A3271" s="2" t="s">
        <v>4411</v>
      </c>
      <c r="B3271" s="2" t="s">
        <v>2479</v>
      </c>
      <c r="C3271" s="2">
        <v>586.68960000000004</v>
      </c>
      <c r="D3271" s="2">
        <f>HYPERLINK("http://mcb-m6.bioreg.kyushu-u.ac.jp/M3/20110427/F51110/1641/1", 48.89)</f>
        <v>48.89</v>
      </c>
      <c r="E3271" s="2">
        <v>32.770000000000003</v>
      </c>
      <c r="F3271" s="2">
        <v>2</v>
      </c>
      <c r="G3271" s="2" t="s">
        <v>13</v>
      </c>
    </row>
    <row r="3272" spans="1:8" x14ac:dyDescent="0.2">
      <c r="A3272" s="2" t="s">
        <v>7706</v>
      </c>
      <c r="B3272" s="2" t="s">
        <v>6385</v>
      </c>
      <c r="C3272" s="2">
        <v>643.44069999999999</v>
      </c>
      <c r="D3272" s="2">
        <f>HYPERLINK("http://mcb-m6.bioreg.kyushu-u.ac.jp/M3/20110404/F50756/1505/1", 58.03)</f>
        <v>58.03</v>
      </c>
      <c r="E3272" s="2">
        <v>16.5</v>
      </c>
      <c r="F3272" s="2">
        <v>2</v>
      </c>
      <c r="G3272" s="2" t="s">
        <v>9</v>
      </c>
    </row>
    <row r="3273" spans="1:8" x14ac:dyDescent="0.2">
      <c r="A3273" s="2" t="s">
        <v>3343</v>
      </c>
      <c r="B3273" s="2" t="s">
        <v>428</v>
      </c>
      <c r="C3273" s="2">
        <v>902.44200000000001</v>
      </c>
      <c r="D3273" s="2">
        <f>HYPERLINK("http://mcb-m6.bioreg.kyushu-u.ac.jp/M3/20110404/F50756/824/1", 35.39)</f>
        <v>35.39</v>
      </c>
      <c r="E3273" s="2">
        <v>17.149999999999999</v>
      </c>
      <c r="F3273" s="2">
        <v>1</v>
      </c>
      <c r="G3273" s="2" t="s">
        <v>9</v>
      </c>
    </row>
    <row r="3274" spans="1:8" x14ac:dyDescent="0.2">
      <c r="A3274" s="2" t="s">
        <v>3343</v>
      </c>
      <c r="B3274" s="2" t="s">
        <v>509</v>
      </c>
      <c r="C3274" s="2">
        <v>717.93709999999999</v>
      </c>
      <c r="D3274" s="2">
        <f>HYPERLINK("http://mcb-m6.bioreg.kyushu-u.ac.jp/M3/20110404/F50763/1859/1", 35.55)</f>
        <v>35.549999999999997</v>
      </c>
      <c r="E3274" s="2">
        <v>21.94</v>
      </c>
      <c r="F3274" s="2">
        <v>2</v>
      </c>
      <c r="G3274" s="2" t="s">
        <v>9</v>
      </c>
    </row>
    <row r="3275" spans="1:8" x14ac:dyDescent="0.2">
      <c r="A3275" s="2" t="s">
        <v>3343</v>
      </c>
      <c r="B3275" s="2" t="s">
        <v>509</v>
      </c>
      <c r="C3275" s="2">
        <v>1433.422</v>
      </c>
      <c r="D3275" s="2">
        <f>HYPERLINK("http://mcb-m6.bioreg.kyushu-u.ac.jp/M3/20110404/F50755/1830/1", 36.27)</f>
        <v>36.270000000000003</v>
      </c>
      <c r="E3275" s="2">
        <v>19.7</v>
      </c>
      <c r="F3275" s="2">
        <v>1</v>
      </c>
      <c r="G3275" s="2" t="s">
        <v>9</v>
      </c>
    </row>
    <row r="3276" spans="1:8" x14ac:dyDescent="0.2">
      <c r="A3276" s="2" t="s">
        <v>3343</v>
      </c>
      <c r="B3276" s="2" t="s">
        <v>509</v>
      </c>
      <c r="C3276" s="2">
        <v>717.87270000000001</v>
      </c>
      <c r="D3276" s="2">
        <f>HYPERLINK("http://mcb-m6.bioreg.kyushu-u.ac.jp/M3/20110404/F50755/1840/1", 36.29)</f>
        <v>36.29</v>
      </c>
      <c r="E3276" s="2">
        <v>21.77</v>
      </c>
      <c r="F3276" s="2">
        <v>2</v>
      </c>
      <c r="G3276" s="2" t="s">
        <v>9</v>
      </c>
    </row>
    <row r="3277" spans="1:8" x14ac:dyDescent="0.2">
      <c r="A3277" s="2" t="s">
        <v>3343</v>
      </c>
      <c r="B3277" s="2" t="s">
        <v>132</v>
      </c>
      <c r="C3277" s="2">
        <v>1155.4939999999999</v>
      </c>
      <c r="D3277" s="2">
        <f>HYPERLINK("http://mcb-m6.bioreg.kyushu-u.ac.jp/M3/20110404/F50755/1272/1", 37.68)</f>
        <v>37.68</v>
      </c>
      <c r="E3277" s="2">
        <v>14.77</v>
      </c>
      <c r="F3277" s="2">
        <v>1</v>
      </c>
      <c r="G3277" s="2" t="s">
        <v>9</v>
      </c>
    </row>
    <row r="3278" spans="1:8" x14ac:dyDescent="0.2">
      <c r="A3278" s="2" t="s">
        <v>3343</v>
      </c>
      <c r="B3278" s="2" t="s">
        <v>943</v>
      </c>
      <c r="C3278" s="2">
        <v>506.73160000000001</v>
      </c>
      <c r="D3278" s="2">
        <f>HYPERLINK("http://mcb-m6.bioreg.kyushu-u.ac.jp/M3/20110404/F50755/1060/1", 37.97)</f>
        <v>37.97</v>
      </c>
      <c r="E3278" s="2">
        <v>21.16</v>
      </c>
      <c r="F3278" s="2">
        <v>2</v>
      </c>
      <c r="G3278" s="2" t="s">
        <v>9</v>
      </c>
    </row>
    <row r="3279" spans="1:8" x14ac:dyDescent="0.2">
      <c r="A3279" s="2" t="s">
        <v>3343</v>
      </c>
      <c r="B3279" s="2" t="s">
        <v>428</v>
      </c>
      <c r="C3279" s="2">
        <v>902.40499999999997</v>
      </c>
      <c r="D3279" s="2">
        <f>HYPERLINK("http://mcb-m6.bioreg.kyushu-u.ac.jp/M3/20110404/F50755/881/1", 38.06)</f>
        <v>38.06</v>
      </c>
      <c r="E3279" s="2">
        <v>14.55</v>
      </c>
      <c r="F3279" s="2">
        <v>1</v>
      </c>
      <c r="G3279" s="2" t="s">
        <v>9</v>
      </c>
    </row>
    <row r="3280" spans="1:8" x14ac:dyDescent="0.2">
      <c r="A3280" s="2" t="s">
        <v>3343</v>
      </c>
      <c r="B3280" s="2" t="s">
        <v>297</v>
      </c>
      <c r="C3280" s="2">
        <v>1186.3869999999999</v>
      </c>
      <c r="D3280" s="2">
        <f>HYPERLINK("http://mcb-m6.bioreg.kyushu-u.ac.jp/M3/20110404/F50755/1349/1", 38.06)</f>
        <v>38.06</v>
      </c>
      <c r="E3280" s="2">
        <v>16.41</v>
      </c>
      <c r="F3280" s="2">
        <v>1</v>
      </c>
      <c r="G3280" s="2" t="s">
        <v>9</v>
      </c>
    </row>
    <row r="3281" spans="1:8" x14ac:dyDescent="0.2">
      <c r="A3281" s="2" t="s">
        <v>3343</v>
      </c>
      <c r="B3281" s="2" t="s">
        <v>210</v>
      </c>
      <c r="C3281" s="2">
        <v>1092.3530000000001</v>
      </c>
      <c r="D3281" s="2">
        <f>HYPERLINK("http://mcb-m6.bioreg.kyushu-u.ac.jp/M3/20110404/F50762/1143/1", 38.19)</f>
        <v>38.19</v>
      </c>
      <c r="E3281" s="2">
        <v>17.48</v>
      </c>
      <c r="F3281" s="2">
        <v>1</v>
      </c>
      <c r="G3281" s="2" t="s">
        <v>9</v>
      </c>
    </row>
    <row r="3282" spans="1:8" x14ac:dyDescent="0.2">
      <c r="A3282" s="2" t="s">
        <v>3343</v>
      </c>
      <c r="B3282" s="2" t="s">
        <v>1189</v>
      </c>
      <c r="C3282" s="2">
        <v>1069.7729999999999</v>
      </c>
      <c r="D3282" s="2">
        <f>HYPERLINK("http://mcb-m6.bioreg.kyushu-u.ac.jp/M3/20110404/F50776/2736/1", 38.19)</f>
        <v>38.19</v>
      </c>
      <c r="E3282" s="2">
        <v>30.57</v>
      </c>
      <c r="F3282" s="2">
        <v>2</v>
      </c>
      <c r="G3282" s="2" t="s">
        <v>9</v>
      </c>
    </row>
    <row r="3283" spans="1:8" x14ac:dyDescent="0.2">
      <c r="A3283" s="2" t="s">
        <v>3343</v>
      </c>
      <c r="B3283" s="2" t="s">
        <v>325</v>
      </c>
      <c r="C3283" s="2">
        <v>739.30070000000001</v>
      </c>
      <c r="D3283" s="2">
        <f>HYPERLINK("http://mcb-m6.bioreg.kyushu-u.ac.jp/M3/20110404/F50755/1953/1", 38.28)</f>
        <v>38.28</v>
      </c>
      <c r="E3283" s="2">
        <v>32.86</v>
      </c>
      <c r="F3283" s="2">
        <v>2</v>
      </c>
      <c r="G3283" s="2" t="s">
        <v>9</v>
      </c>
    </row>
    <row r="3284" spans="1:8" x14ac:dyDescent="0.2">
      <c r="A3284" s="2" t="s">
        <v>3343</v>
      </c>
      <c r="B3284" s="2" t="s">
        <v>1189</v>
      </c>
      <c r="C3284" s="2">
        <v>1070.1130000000001</v>
      </c>
      <c r="D3284" s="2">
        <f>HYPERLINK("http://mcb-m6.bioreg.kyushu-u.ac.jp/M3/20110404/F50755/3125/1", 38.68)</f>
        <v>38.68</v>
      </c>
      <c r="E3284" s="2">
        <v>32.770000000000003</v>
      </c>
      <c r="F3284" s="2">
        <v>2</v>
      </c>
      <c r="G3284" s="2" t="s">
        <v>9</v>
      </c>
    </row>
    <row r="3285" spans="1:8" x14ac:dyDescent="0.2">
      <c r="A3285" s="2" t="s">
        <v>3343</v>
      </c>
      <c r="B3285" s="2" t="s">
        <v>509</v>
      </c>
      <c r="C3285" s="2">
        <v>709.45010000000002</v>
      </c>
      <c r="D3285" s="2">
        <f>HYPERLINK("http://mcb-m6.bioreg.kyushu-u.ac.jp/M3/20110404/F50755/1781/1", 38.83)</f>
        <v>38.83</v>
      </c>
      <c r="E3285" s="2">
        <v>29.29</v>
      </c>
      <c r="F3285" s="2">
        <v>2</v>
      </c>
      <c r="G3285" s="2" t="s">
        <v>9</v>
      </c>
      <c r="H3285" s="2" t="s">
        <v>4904</v>
      </c>
    </row>
    <row r="3286" spans="1:8" x14ac:dyDescent="0.2">
      <c r="A3286" s="2" t="s">
        <v>3343</v>
      </c>
      <c r="B3286" s="2" t="s">
        <v>328</v>
      </c>
      <c r="C3286" s="2">
        <v>1146.3340000000001</v>
      </c>
      <c r="D3286" s="2">
        <f>HYPERLINK("http://mcb-m6.bioreg.kyushu-u.ac.jp/M3/20110404/F50756/1234/1", 39.44)</f>
        <v>39.44</v>
      </c>
      <c r="E3286" s="2">
        <v>16.98</v>
      </c>
      <c r="F3286" s="2">
        <v>1</v>
      </c>
      <c r="G3286" s="2" t="s">
        <v>9</v>
      </c>
    </row>
    <row r="3287" spans="1:8" x14ac:dyDescent="0.2">
      <c r="A3287" s="2" t="s">
        <v>3343</v>
      </c>
      <c r="B3287" s="2" t="s">
        <v>509</v>
      </c>
      <c r="C3287" s="2">
        <v>1433.614</v>
      </c>
      <c r="D3287" s="2">
        <f>HYPERLINK("http://mcb-m6.bioreg.kyushu-u.ac.jp/M3/20110404/F50756/1850/1", 39.47)</f>
        <v>39.47</v>
      </c>
      <c r="E3287" s="2">
        <v>20.16</v>
      </c>
      <c r="F3287" s="2">
        <v>1</v>
      </c>
      <c r="G3287" s="2" t="s">
        <v>9</v>
      </c>
    </row>
    <row r="3288" spans="1:8" x14ac:dyDescent="0.2">
      <c r="A3288" s="2" t="s">
        <v>3343</v>
      </c>
      <c r="B3288" s="2" t="s">
        <v>328</v>
      </c>
      <c r="C3288" s="2">
        <v>1147.4179999999999</v>
      </c>
      <c r="D3288" s="2">
        <f>HYPERLINK("http://mcb-m6.bioreg.kyushu-u.ac.jp/M3/20110404/F50762/1230/1", 39.83)</f>
        <v>39.83</v>
      </c>
      <c r="E3288" s="2">
        <v>17.2</v>
      </c>
      <c r="F3288" s="2">
        <v>1</v>
      </c>
      <c r="G3288" s="2" t="s">
        <v>9</v>
      </c>
    </row>
    <row r="3289" spans="1:8" x14ac:dyDescent="0.2">
      <c r="A3289" s="2" t="s">
        <v>3343</v>
      </c>
      <c r="B3289" s="2" t="s">
        <v>428</v>
      </c>
      <c r="C3289" s="2">
        <v>902.42600000000004</v>
      </c>
      <c r="D3289" s="2">
        <f>HYPERLINK("http://mcb-m6.bioreg.kyushu-u.ac.jp/M3/20110404/F50755/882/1", 40.19)</f>
        <v>40.19</v>
      </c>
      <c r="E3289" s="2">
        <v>22.02</v>
      </c>
      <c r="F3289" s="2">
        <v>1</v>
      </c>
      <c r="G3289" s="2" t="s">
        <v>9</v>
      </c>
    </row>
    <row r="3290" spans="1:8" x14ac:dyDescent="0.2">
      <c r="A3290" s="2" t="s">
        <v>3343</v>
      </c>
      <c r="B3290" s="2" t="s">
        <v>132</v>
      </c>
      <c r="C3290" s="2">
        <v>578.16669999999999</v>
      </c>
      <c r="D3290" s="2">
        <f>HYPERLINK("http://mcb-m6.bioreg.kyushu-u.ac.jp/M3/20110404/F50755/1266/1", 40.23)</f>
        <v>40.229999999999997</v>
      </c>
      <c r="E3290" s="2">
        <v>17.41</v>
      </c>
      <c r="F3290" s="2">
        <v>2</v>
      </c>
      <c r="G3290" s="2" t="s">
        <v>9</v>
      </c>
    </row>
    <row r="3291" spans="1:8" x14ac:dyDescent="0.2">
      <c r="A3291" s="2" t="s">
        <v>3343</v>
      </c>
      <c r="B3291" s="2" t="s">
        <v>428</v>
      </c>
      <c r="C3291" s="2">
        <v>451.75009999999997</v>
      </c>
      <c r="D3291" s="2">
        <f>HYPERLINK("http://mcb-m6.bioreg.kyushu-u.ac.jp/M3/20110404/F50755/884/1", 41.02)</f>
        <v>41.02</v>
      </c>
      <c r="E3291" s="2">
        <v>15.33</v>
      </c>
      <c r="F3291" s="2">
        <v>2</v>
      </c>
      <c r="G3291" s="2" t="s">
        <v>9</v>
      </c>
    </row>
    <row r="3292" spans="1:8" x14ac:dyDescent="0.2">
      <c r="A3292" s="2" t="s">
        <v>3343</v>
      </c>
      <c r="B3292" s="2" t="s">
        <v>509</v>
      </c>
      <c r="C3292" s="2">
        <v>717.19069999999999</v>
      </c>
      <c r="D3292" s="2">
        <f>HYPERLINK("http://mcb-m6.bioreg.kyushu-u.ac.jp/M3/20110404/F50755/1826/1", 41.24)</f>
        <v>41.24</v>
      </c>
      <c r="E3292" s="2">
        <v>22.66</v>
      </c>
      <c r="F3292" s="2">
        <v>2</v>
      </c>
      <c r="G3292" s="2" t="s">
        <v>9</v>
      </c>
    </row>
    <row r="3293" spans="1:8" x14ac:dyDescent="0.2">
      <c r="A3293" s="2" t="s">
        <v>3343</v>
      </c>
      <c r="B3293" s="2" t="s">
        <v>325</v>
      </c>
      <c r="C3293" s="2">
        <v>747.41060000000004</v>
      </c>
      <c r="D3293" s="2">
        <f>HYPERLINK("http://mcb-m6.bioreg.kyushu-u.ac.jp/M3/20110404/F50762/1842/1", 41.44)</f>
        <v>41.44</v>
      </c>
      <c r="E3293" s="2">
        <v>31.07</v>
      </c>
      <c r="F3293" s="2">
        <v>2</v>
      </c>
      <c r="G3293" s="2" t="s">
        <v>9</v>
      </c>
      <c r="H3293" s="2" t="s">
        <v>4925</v>
      </c>
    </row>
    <row r="3294" spans="1:8" x14ac:dyDescent="0.2">
      <c r="A3294" s="2" t="s">
        <v>3343</v>
      </c>
      <c r="B3294" s="2" t="s">
        <v>509</v>
      </c>
      <c r="C3294" s="2">
        <v>717.20510000000002</v>
      </c>
      <c r="D3294" s="2">
        <f>HYPERLINK("http://mcb-m6.bioreg.kyushu-u.ac.jp/M3/20110404/F50755/1828/1", 41.7)</f>
        <v>41.7</v>
      </c>
      <c r="E3294" s="2">
        <v>25.63</v>
      </c>
      <c r="F3294" s="2">
        <v>2</v>
      </c>
      <c r="G3294" s="2" t="s">
        <v>9</v>
      </c>
      <c r="H3294" s="2" t="s">
        <v>4931</v>
      </c>
    </row>
    <row r="3295" spans="1:8" x14ac:dyDescent="0.2">
      <c r="A3295" s="2" t="s">
        <v>3343</v>
      </c>
      <c r="B3295" s="2" t="s">
        <v>132</v>
      </c>
      <c r="C3295" s="2">
        <v>578.74869999999999</v>
      </c>
      <c r="D3295" s="2">
        <f>HYPERLINK("http://mcb-m6.bioreg.kyushu-u.ac.jp/M3/20110404/F50755/1278/1", 42)</f>
        <v>42</v>
      </c>
      <c r="E3295" s="2">
        <v>21.55</v>
      </c>
      <c r="F3295" s="2">
        <v>2</v>
      </c>
      <c r="G3295" s="2" t="s">
        <v>9</v>
      </c>
    </row>
    <row r="3296" spans="1:8" x14ac:dyDescent="0.2">
      <c r="A3296" s="2" t="s">
        <v>3343</v>
      </c>
      <c r="B3296" s="2" t="s">
        <v>704</v>
      </c>
      <c r="C3296" s="2">
        <v>603.1232</v>
      </c>
      <c r="D3296" s="2">
        <f>HYPERLINK("http://mcb-m6.bioreg.kyushu-u.ac.jp/M3/20110404/F50753/1518/1", 42.07)</f>
        <v>42.07</v>
      </c>
      <c r="E3296" s="2">
        <v>10.23</v>
      </c>
      <c r="F3296" s="2">
        <v>2</v>
      </c>
      <c r="G3296" s="2" t="s">
        <v>9</v>
      </c>
    </row>
    <row r="3297" spans="1:8" x14ac:dyDescent="0.2">
      <c r="A3297" s="2" t="s">
        <v>3343</v>
      </c>
      <c r="B3297" s="2" t="s">
        <v>546</v>
      </c>
      <c r="C3297" s="2">
        <v>1328.5229999999999</v>
      </c>
      <c r="D3297" s="2">
        <f>HYPERLINK("http://mcb-m6.bioreg.kyushu-u.ac.jp/M3/20110404/F50755/1590/2", 42.14)</f>
        <v>42.14</v>
      </c>
      <c r="E3297" s="2">
        <v>35.6</v>
      </c>
      <c r="F3297" s="2">
        <v>1</v>
      </c>
      <c r="G3297" s="2" t="s">
        <v>9</v>
      </c>
    </row>
    <row r="3298" spans="1:8" x14ac:dyDescent="0.2">
      <c r="A3298" s="2" t="s">
        <v>3343</v>
      </c>
      <c r="B3298" s="2" t="s">
        <v>132</v>
      </c>
      <c r="C3298" s="2">
        <v>1155.375</v>
      </c>
      <c r="D3298" s="2">
        <f>HYPERLINK("http://mcb-m6.bioreg.kyushu-u.ac.jp/M3/20110404/F50755/1267/1", 42.37)</f>
        <v>42.37</v>
      </c>
      <c r="E3298" s="2">
        <v>20.059999999999999</v>
      </c>
      <c r="F3298" s="2">
        <v>1</v>
      </c>
      <c r="G3298" s="2" t="s">
        <v>9</v>
      </c>
    </row>
    <row r="3299" spans="1:8" x14ac:dyDescent="0.2">
      <c r="A3299" s="2" t="s">
        <v>3343</v>
      </c>
      <c r="B3299" s="2" t="s">
        <v>509</v>
      </c>
      <c r="C3299" s="2">
        <v>717.76419999999996</v>
      </c>
      <c r="D3299" s="2">
        <f>HYPERLINK("http://mcb-m6.bioreg.kyushu-u.ac.jp/M3/20110404/F50755/1838/1", 42.75)</f>
        <v>42.75</v>
      </c>
      <c r="E3299" s="2">
        <v>22.13</v>
      </c>
      <c r="F3299" s="2">
        <v>2</v>
      </c>
      <c r="G3299" s="2" t="s">
        <v>9</v>
      </c>
    </row>
    <row r="3300" spans="1:8" x14ac:dyDescent="0.2">
      <c r="A3300" s="2" t="s">
        <v>3343</v>
      </c>
      <c r="B3300" s="2" t="s">
        <v>558</v>
      </c>
      <c r="C3300" s="2">
        <v>729.87120000000004</v>
      </c>
      <c r="D3300" s="2">
        <f>HYPERLINK("http://mcb-m6.bioreg.kyushu-u.ac.jp/M3/20110404/F50755/1903/1", 42.84)</f>
        <v>42.84</v>
      </c>
      <c r="E3300" s="2">
        <v>29.05</v>
      </c>
      <c r="F3300" s="2">
        <v>2</v>
      </c>
      <c r="G3300" s="2" t="s">
        <v>9</v>
      </c>
    </row>
    <row r="3301" spans="1:8" x14ac:dyDescent="0.2">
      <c r="A3301" s="2" t="s">
        <v>3343</v>
      </c>
      <c r="B3301" s="2" t="s">
        <v>509</v>
      </c>
      <c r="C3301" s="2">
        <v>717.81460000000004</v>
      </c>
      <c r="D3301" s="2">
        <f>HYPERLINK("http://mcb-m6.bioreg.kyushu-u.ac.jp/M3/20110404/F50755/1839/1", 43.11)</f>
        <v>43.11</v>
      </c>
      <c r="E3301" s="2">
        <v>20.27</v>
      </c>
      <c r="F3301" s="2">
        <v>2</v>
      </c>
      <c r="G3301" s="2" t="s">
        <v>9</v>
      </c>
    </row>
    <row r="3302" spans="1:8" x14ac:dyDescent="0.2">
      <c r="A3302" s="2" t="s">
        <v>3343</v>
      </c>
      <c r="B3302" s="2" t="s">
        <v>509</v>
      </c>
      <c r="C3302" s="2">
        <v>717.17970000000003</v>
      </c>
      <c r="D3302" s="2">
        <f>HYPERLINK("http://mcb-m6.bioreg.kyushu-u.ac.jp/M3/20110404/F50755/1825/1", 43.38)</f>
        <v>43.38</v>
      </c>
      <c r="E3302" s="2">
        <v>22.66</v>
      </c>
      <c r="F3302" s="2">
        <v>2</v>
      </c>
      <c r="G3302" s="2" t="s">
        <v>9</v>
      </c>
    </row>
    <row r="3303" spans="1:8" x14ac:dyDescent="0.2">
      <c r="A3303" s="2" t="s">
        <v>3343</v>
      </c>
      <c r="B3303" s="2" t="s">
        <v>132</v>
      </c>
      <c r="C3303" s="2">
        <v>1155.395</v>
      </c>
      <c r="D3303" s="2">
        <f>HYPERLINK("http://mcb-m6.bioreg.kyushu-u.ac.jp/M3/20110404/F50753/1428/1", 43.97)</f>
        <v>43.97</v>
      </c>
      <c r="E3303" s="2">
        <v>20.9</v>
      </c>
      <c r="F3303" s="2">
        <v>1</v>
      </c>
      <c r="G3303" s="2" t="s">
        <v>9</v>
      </c>
    </row>
    <row r="3304" spans="1:8" x14ac:dyDescent="0.2">
      <c r="A3304" s="2" t="s">
        <v>3343</v>
      </c>
      <c r="B3304" s="2" t="s">
        <v>132</v>
      </c>
      <c r="C3304" s="2">
        <v>1155.3589999999999</v>
      </c>
      <c r="D3304" s="2">
        <f>HYPERLINK("http://mcb-m6.bioreg.kyushu-u.ac.jp/M3/20110404/F50754/1562/1", 43.98)</f>
        <v>43.98</v>
      </c>
      <c r="E3304" s="2">
        <v>19.649999999999999</v>
      </c>
      <c r="F3304" s="2">
        <v>1</v>
      </c>
      <c r="G3304" s="2" t="s">
        <v>9</v>
      </c>
    </row>
    <row r="3305" spans="1:8" x14ac:dyDescent="0.2">
      <c r="A3305" s="2" t="s">
        <v>3343</v>
      </c>
      <c r="B3305" s="2" t="s">
        <v>509</v>
      </c>
      <c r="C3305" s="2">
        <v>725.39469999999994</v>
      </c>
      <c r="D3305" s="2">
        <f>HYPERLINK("http://mcb-m6.bioreg.kyushu-u.ac.jp/M3/20110404/F50776/1731/1", 44.47)</f>
        <v>44.47</v>
      </c>
      <c r="E3305" s="2">
        <v>34.51</v>
      </c>
      <c r="F3305" s="2">
        <v>2</v>
      </c>
      <c r="G3305" s="2" t="s">
        <v>9</v>
      </c>
      <c r="H3305" s="2" t="s">
        <v>4927</v>
      </c>
    </row>
    <row r="3306" spans="1:8" x14ac:dyDescent="0.2">
      <c r="A3306" s="2" t="s">
        <v>3343</v>
      </c>
      <c r="B3306" s="2" t="s">
        <v>558</v>
      </c>
      <c r="C3306" s="2">
        <v>729.27120000000002</v>
      </c>
      <c r="D3306" s="2">
        <f>HYPERLINK("http://mcb-m6.bioreg.kyushu-u.ac.jp/M3/20110404/F50755/1898/1", 44.67)</f>
        <v>44.67</v>
      </c>
      <c r="E3306" s="2">
        <v>22.81</v>
      </c>
      <c r="F3306" s="2">
        <v>2</v>
      </c>
      <c r="G3306" s="2" t="s">
        <v>9</v>
      </c>
    </row>
    <row r="3307" spans="1:8" x14ac:dyDescent="0.2">
      <c r="A3307" s="2" t="s">
        <v>3343</v>
      </c>
      <c r="B3307" s="2" t="s">
        <v>1189</v>
      </c>
      <c r="C3307" s="2">
        <v>1069.3520000000001</v>
      </c>
      <c r="D3307" s="2">
        <f>HYPERLINK("http://mcb-m6.bioreg.kyushu-u.ac.jp/M3/20110404/F50762/2728/1", 44.73)</f>
        <v>44.73</v>
      </c>
      <c r="E3307" s="2">
        <v>35.1</v>
      </c>
      <c r="F3307" s="2">
        <v>2</v>
      </c>
      <c r="G3307" s="2" t="s">
        <v>9</v>
      </c>
    </row>
    <row r="3308" spans="1:8" x14ac:dyDescent="0.2">
      <c r="A3308" s="2" t="s">
        <v>3343</v>
      </c>
      <c r="B3308" s="2" t="s">
        <v>132</v>
      </c>
      <c r="C3308" s="2">
        <v>578.23419999999999</v>
      </c>
      <c r="D3308" s="2">
        <f>HYPERLINK("http://mcb-m6.bioreg.kyushu-u.ac.jp/M3/20110404/F50755/1268/1", 44.76)</f>
        <v>44.76</v>
      </c>
      <c r="E3308" s="2">
        <v>17.86</v>
      </c>
      <c r="F3308" s="2">
        <v>2</v>
      </c>
      <c r="G3308" s="2" t="s">
        <v>9</v>
      </c>
    </row>
    <row r="3309" spans="1:8" x14ac:dyDescent="0.2">
      <c r="A3309" s="2" t="s">
        <v>3343</v>
      </c>
      <c r="B3309" s="2" t="s">
        <v>325</v>
      </c>
      <c r="C3309" s="2">
        <v>739.26070000000004</v>
      </c>
      <c r="D3309" s="2">
        <f>HYPERLINK("http://mcb-m6.bioreg.kyushu-u.ac.jp/M3/20110404/F50755/1949/1", 45.17)</f>
        <v>45.17</v>
      </c>
      <c r="E3309" s="2">
        <v>35.979999999999997</v>
      </c>
      <c r="F3309" s="2">
        <v>2</v>
      </c>
      <c r="G3309" s="2" t="s">
        <v>9</v>
      </c>
    </row>
    <row r="3310" spans="1:8" x14ac:dyDescent="0.2">
      <c r="A3310" s="2" t="s">
        <v>3343</v>
      </c>
      <c r="B3310" s="2" t="s">
        <v>132</v>
      </c>
      <c r="C3310" s="2">
        <v>1155.5060000000001</v>
      </c>
      <c r="D3310" s="2">
        <f>HYPERLINK("http://mcb-m6.bioreg.kyushu-u.ac.jp/M3/20110404/F50776/1222/1", 45.18)</f>
        <v>45.18</v>
      </c>
      <c r="E3310" s="2">
        <v>27.58</v>
      </c>
      <c r="F3310" s="2">
        <v>1</v>
      </c>
      <c r="G3310" s="2" t="s">
        <v>9</v>
      </c>
    </row>
    <row r="3311" spans="1:8" x14ac:dyDescent="0.2">
      <c r="A3311" s="2" t="s">
        <v>3343</v>
      </c>
      <c r="B3311" s="2" t="s">
        <v>546</v>
      </c>
      <c r="C3311" s="2">
        <v>665.18709999999999</v>
      </c>
      <c r="D3311" s="2">
        <f>HYPERLINK("http://mcb-m6.bioreg.kyushu-u.ac.jp/M3/20110404/F50755/1592/2", 45.44)</f>
        <v>45.44</v>
      </c>
      <c r="E3311" s="2">
        <v>16.13</v>
      </c>
      <c r="F3311" s="2">
        <v>2</v>
      </c>
      <c r="G3311" s="2" t="s">
        <v>9</v>
      </c>
    </row>
    <row r="3312" spans="1:8" x14ac:dyDescent="0.2">
      <c r="A3312" s="2" t="s">
        <v>3343</v>
      </c>
      <c r="B3312" s="2" t="s">
        <v>328</v>
      </c>
      <c r="C3312" s="2">
        <v>1146.8800000000001</v>
      </c>
      <c r="D3312" s="2">
        <f>HYPERLINK("http://mcb-m6.bioreg.kyushu-u.ac.jp/M3/20110404/F50755/1242/1", 45.69)</f>
        <v>45.69</v>
      </c>
      <c r="E3312" s="2">
        <v>15.33</v>
      </c>
      <c r="F3312" s="2">
        <v>1</v>
      </c>
      <c r="G3312" s="2" t="s">
        <v>9</v>
      </c>
    </row>
    <row r="3313" spans="1:8" x14ac:dyDescent="0.2">
      <c r="A3313" s="2" t="s">
        <v>3343</v>
      </c>
      <c r="B3313" s="2" t="s">
        <v>132</v>
      </c>
      <c r="C3313" s="2">
        <v>578.56460000000004</v>
      </c>
      <c r="D3313" s="2">
        <f>HYPERLINK("http://mcb-m6.bioreg.kyushu-u.ac.jp/M3/20110404/F50755/1275/1", 45.71)</f>
        <v>45.71</v>
      </c>
      <c r="E3313" s="2">
        <v>21.37</v>
      </c>
      <c r="F3313" s="2">
        <v>2</v>
      </c>
      <c r="G3313" s="2" t="s">
        <v>9</v>
      </c>
    </row>
    <row r="3314" spans="1:8" x14ac:dyDescent="0.2">
      <c r="A3314" s="2" t="s">
        <v>3343</v>
      </c>
      <c r="B3314" s="2" t="s">
        <v>428</v>
      </c>
      <c r="C3314" s="2">
        <v>902.51800000000003</v>
      </c>
      <c r="D3314" s="2">
        <f>HYPERLINK("http://mcb-m6.bioreg.kyushu-u.ac.jp/M3/20110404/F50762/792/1", 46.27)</f>
        <v>46.27</v>
      </c>
      <c r="E3314" s="2">
        <v>25.12</v>
      </c>
      <c r="F3314" s="2">
        <v>1</v>
      </c>
      <c r="G3314" s="2" t="s">
        <v>9</v>
      </c>
    </row>
    <row r="3315" spans="1:8" x14ac:dyDescent="0.2">
      <c r="A3315" s="2" t="s">
        <v>3343</v>
      </c>
      <c r="B3315" s="2" t="s">
        <v>704</v>
      </c>
      <c r="C3315" s="2">
        <v>610.81460000000004</v>
      </c>
      <c r="D3315" s="2">
        <f>HYPERLINK("http://mcb-m6.bioreg.kyushu-u.ac.jp/M3/20110404/F50752/1703/1", 46.42)</f>
        <v>46.42</v>
      </c>
      <c r="E3315" s="2">
        <v>15.56</v>
      </c>
      <c r="F3315" s="2">
        <v>2</v>
      </c>
      <c r="G3315" s="2" t="s">
        <v>9</v>
      </c>
      <c r="H3315" s="2" t="s">
        <v>4908</v>
      </c>
    </row>
    <row r="3316" spans="1:8" x14ac:dyDescent="0.2">
      <c r="A3316" s="2" t="s">
        <v>3343</v>
      </c>
      <c r="B3316" s="2" t="s">
        <v>428</v>
      </c>
      <c r="C3316" s="2">
        <v>902.51300000000003</v>
      </c>
      <c r="D3316" s="2">
        <f>HYPERLINK("http://mcb-m6.bioreg.kyushu-u.ac.jp/M3/20110404/F50776/859/1", 46.47)</f>
        <v>46.47</v>
      </c>
      <c r="E3316" s="2">
        <v>23.82</v>
      </c>
      <c r="F3316" s="2">
        <v>1</v>
      </c>
      <c r="G3316" s="2" t="s">
        <v>9</v>
      </c>
    </row>
    <row r="3317" spans="1:8" x14ac:dyDescent="0.2">
      <c r="A3317" s="2" t="s">
        <v>3343</v>
      </c>
      <c r="B3317" s="2" t="s">
        <v>1002</v>
      </c>
      <c r="C3317" s="2">
        <v>1147.893</v>
      </c>
      <c r="D3317" s="2">
        <f>HYPERLINK("http://mcb-m6.bioreg.kyushu-u.ac.jp/M3/20110404/F50756/3511/1", 46.73)</f>
        <v>46.73</v>
      </c>
      <c r="E3317" s="2">
        <v>39.380000000000003</v>
      </c>
      <c r="F3317" s="2">
        <v>2</v>
      </c>
      <c r="G3317" s="2" t="s">
        <v>9</v>
      </c>
    </row>
    <row r="3318" spans="1:8" x14ac:dyDescent="0.2">
      <c r="A3318" s="2" t="s">
        <v>3343</v>
      </c>
      <c r="B3318" s="2" t="s">
        <v>325</v>
      </c>
      <c r="C3318" s="2">
        <v>747.26819999999998</v>
      </c>
      <c r="D3318" s="2">
        <f>HYPERLINK("http://mcb-m6.bioreg.kyushu-u.ac.jp/M3/20110404/F50755/2006/1", 47.3)</f>
        <v>47.3</v>
      </c>
      <c r="E3318" s="2">
        <v>32.36</v>
      </c>
      <c r="F3318" s="2">
        <v>2</v>
      </c>
      <c r="G3318" s="2" t="s">
        <v>9</v>
      </c>
      <c r="H3318" s="2" t="s">
        <v>4925</v>
      </c>
    </row>
    <row r="3319" spans="1:8" x14ac:dyDescent="0.2">
      <c r="A3319" s="2" t="s">
        <v>3343</v>
      </c>
      <c r="B3319" s="2" t="s">
        <v>132</v>
      </c>
      <c r="C3319" s="2">
        <v>578.18709999999999</v>
      </c>
      <c r="D3319" s="2">
        <f>HYPERLINK("http://mcb-m6.bioreg.kyushu-u.ac.jp/M3/20110404/F50756/1255/1", 47.46)</f>
        <v>47.46</v>
      </c>
      <c r="E3319" s="2">
        <v>24.83</v>
      </c>
      <c r="F3319" s="2">
        <v>2</v>
      </c>
      <c r="G3319" s="2" t="s">
        <v>9</v>
      </c>
    </row>
    <row r="3320" spans="1:8" x14ac:dyDescent="0.2">
      <c r="A3320" s="2" t="s">
        <v>3343</v>
      </c>
      <c r="B3320" s="2" t="s">
        <v>132</v>
      </c>
      <c r="C3320" s="2">
        <v>1155.5070000000001</v>
      </c>
      <c r="D3320" s="2">
        <f>HYPERLINK("http://mcb-m6.bioreg.kyushu-u.ac.jp/M3/20110404/F50762/1247/1", 48.21)</f>
        <v>48.21</v>
      </c>
      <c r="E3320" s="2">
        <v>26.57</v>
      </c>
      <c r="F3320" s="2">
        <v>1</v>
      </c>
      <c r="G3320" s="2" t="s">
        <v>9</v>
      </c>
    </row>
    <row r="3321" spans="1:8" x14ac:dyDescent="0.2">
      <c r="A3321" s="2" t="s">
        <v>3343</v>
      </c>
      <c r="B3321" s="2" t="s">
        <v>428</v>
      </c>
      <c r="C3321" s="2">
        <v>451.80360000000002</v>
      </c>
      <c r="D3321" s="2">
        <f>HYPERLINK("http://mcb-m6.bioreg.kyushu-u.ac.jp/M3/20110404/F50756/825/1", 48.29)</f>
        <v>48.29</v>
      </c>
      <c r="E3321" s="2">
        <v>17.28</v>
      </c>
      <c r="F3321" s="2">
        <v>2</v>
      </c>
      <c r="G3321" s="2" t="s">
        <v>9</v>
      </c>
    </row>
    <row r="3322" spans="1:8" x14ac:dyDescent="0.2">
      <c r="A3322" s="2" t="s">
        <v>3343</v>
      </c>
      <c r="B3322" s="2" t="s">
        <v>546</v>
      </c>
      <c r="C3322" s="2">
        <v>665.20259999999996</v>
      </c>
      <c r="D3322" s="2">
        <f>HYPERLINK("http://mcb-m6.bioreg.kyushu-u.ac.jp/M3/20110404/F50755/1594/2", 48.41)</f>
        <v>48.41</v>
      </c>
      <c r="E3322" s="2">
        <v>14.02</v>
      </c>
      <c r="F3322" s="2">
        <v>2</v>
      </c>
      <c r="G3322" s="2" t="s">
        <v>9</v>
      </c>
    </row>
    <row r="3323" spans="1:8" x14ac:dyDescent="0.2">
      <c r="A3323" s="2" t="s">
        <v>3343</v>
      </c>
      <c r="B3323" s="2" t="s">
        <v>428</v>
      </c>
      <c r="C3323" s="2">
        <v>451.81560000000002</v>
      </c>
      <c r="D3323" s="2">
        <f>HYPERLINK("http://mcb-m6.bioreg.kyushu-u.ac.jp/M3/20110404/F50776/860/1", 48.56)</f>
        <v>48.56</v>
      </c>
      <c r="E3323" s="2">
        <v>22.31</v>
      </c>
      <c r="F3323" s="2">
        <v>2</v>
      </c>
      <c r="G3323" s="2" t="s">
        <v>9</v>
      </c>
    </row>
    <row r="3324" spans="1:8" x14ac:dyDescent="0.2">
      <c r="A3324" s="2" t="s">
        <v>3343</v>
      </c>
      <c r="B3324" s="2" t="s">
        <v>509</v>
      </c>
      <c r="C3324" s="2">
        <v>708.97270000000003</v>
      </c>
      <c r="D3324" s="2">
        <f>HYPERLINK("http://mcb-m6.bioreg.kyushu-u.ac.jp/M3/20110404/F50756/1793/1", 48.61)</f>
        <v>48.61</v>
      </c>
      <c r="E3324" s="2">
        <v>28.95</v>
      </c>
      <c r="F3324" s="2">
        <v>2</v>
      </c>
      <c r="G3324" s="2" t="s">
        <v>9</v>
      </c>
      <c r="H3324" s="2" t="s">
        <v>4904</v>
      </c>
    </row>
    <row r="3325" spans="1:8" x14ac:dyDescent="0.2">
      <c r="A3325" s="2" t="s">
        <v>3343</v>
      </c>
      <c r="B3325" s="2" t="s">
        <v>546</v>
      </c>
      <c r="C3325" s="2">
        <v>664.78920000000005</v>
      </c>
      <c r="D3325" s="2">
        <f>HYPERLINK("http://mcb-m6.bioreg.kyushu-u.ac.jp/M3/20110404/F50755/1591/2", 48.92)</f>
        <v>48.92</v>
      </c>
      <c r="E3325" s="2">
        <v>32.380000000000003</v>
      </c>
      <c r="F3325" s="2">
        <v>2</v>
      </c>
      <c r="G3325" s="2" t="s">
        <v>9</v>
      </c>
    </row>
    <row r="3326" spans="1:8" x14ac:dyDescent="0.2">
      <c r="A3326" s="2" t="s">
        <v>3343</v>
      </c>
      <c r="B3326" s="2" t="s">
        <v>509</v>
      </c>
      <c r="C3326" s="2">
        <v>1416.316</v>
      </c>
      <c r="D3326" s="2">
        <f>HYPERLINK("http://mcb-m6.bioreg.kyushu-u.ac.jp/M3/20110404/F50756/1792/1", 49)</f>
        <v>49</v>
      </c>
      <c r="E3326" s="2">
        <v>34.64</v>
      </c>
      <c r="F3326" s="2">
        <v>1</v>
      </c>
      <c r="G3326" s="2" t="s">
        <v>9</v>
      </c>
      <c r="H3326" s="2" t="s">
        <v>4904</v>
      </c>
    </row>
    <row r="3327" spans="1:8" x14ac:dyDescent="0.2">
      <c r="A3327" s="2" t="s">
        <v>3343</v>
      </c>
      <c r="B3327" s="2" t="s">
        <v>509</v>
      </c>
      <c r="C3327" s="2">
        <v>1432.5139999999999</v>
      </c>
      <c r="D3327" s="2">
        <f>HYPERLINK("http://mcb-m6.bioreg.kyushu-u.ac.jp/M3/20110404/F50755/1820/1", 49.01)</f>
        <v>49.01</v>
      </c>
      <c r="E3327" s="2">
        <v>34.67</v>
      </c>
      <c r="F3327" s="2">
        <v>1</v>
      </c>
      <c r="G3327" s="2" t="s">
        <v>9</v>
      </c>
      <c r="H3327" s="2" t="s">
        <v>4931</v>
      </c>
    </row>
    <row r="3328" spans="1:8" x14ac:dyDescent="0.2">
      <c r="A3328" s="2" t="s">
        <v>3343</v>
      </c>
      <c r="B3328" s="2" t="s">
        <v>704</v>
      </c>
      <c r="C3328" s="2">
        <v>602.97170000000006</v>
      </c>
      <c r="D3328" s="2">
        <f>HYPERLINK("http://mcb-m6.bioreg.kyushu-u.ac.jp/M3/20110404/F50756/1366/1", 49.38)</f>
        <v>49.38</v>
      </c>
      <c r="E3328" s="2">
        <v>25.41</v>
      </c>
      <c r="F3328" s="2">
        <v>2</v>
      </c>
      <c r="G3328" s="2" t="s">
        <v>9</v>
      </c>
    </row>
    <row r="3329" spans="1:8" x14ac:dyDescent="0.2">
      <c r="A3329" s="2" t="s">
        <v>3343</v>
      </c>
      <c r="B3329" s="2" t="s">
        <v>325</v>
      </c>
      <c r="C3329" s="2">
        <v>747.75710000000004</v>
      </c>
      <c r="D3329" s="2">
        <f>HYPERLINK("http://mcb-m6.bioreg.kyushu-u.ac.jp/M3/20110404/F50753/2043/1", 49.43)</f>
        <v>49.43</v>
      </c>
      <c r="E3329" s="2">
        <v>37.75</v>
      </c>
      <c r="F3329" s="2">
        <v>2</v>
      </c>
      <c r="G3329" s="2" t="s">
        <v>9</v>
      </c>
      <c r="H3329" s="2" t="s">
        <v>4925</v>
      </c>
    </row>
    <row r="3330" spans="1:8" x14ac:dyDescent="0.2">
      <c r="A3330" s="2" t="s">
        <v>3343</v>
      </c>
      <c r="B3330" s="2" t="s">
        <v>704</v>
      </c>
      <c r="C3330" s="2">
        <v>602.77470000000005</v>
      </c>
      <c r="D3330" s="2">
        <f>HYPERLINK("http://mcb-m6.bioreg.kyushu-u.ac.jp/M3/20110404/F50755/1394/1", 49.48)</f>
        <v>49.48</v>
      </c>
      <c r="E3330" s="2">
        <v>15.84</v>
      </c>
      <c r="F3330" s="2">
        <v>2</v>
      </c>
      <c r="G3330" s="2" t="s">
        <v>9</v>
      </c>
    </row>
    <row r="3331" spans="1:8" x14ac:dyDescent="0.2">
      <c r="A3331" s="2" t="s">
        <v>3343</v>
      </c>
      <c r="B3331" s="2" t="s">
        <v>509</v>
      </c>
      <c r="C3331" s="2">
        <v>717.49620000000004</v>
      </c>
      <c r="D3331" s="2">
        <f>HYPERLINK("http://mcb-m6.bioreg.kyushu-u.ac.jp/M3/20110404/F50776/1708/1", 49.97)</f>
        <v>49.97</v>
      </c>
      <c r="E3331" s="2">
        <v>35.26</v>
      </c>
      <c r="F3331" s="2">
        <v>2</v>
      </c>
      <c r="G3331" s="2" t="s">
        <v>9</v>
      </c>
    </row>
    <row r="3332" spans="1:8" x14ac:dyDescent="0.2">
      <c r="A3332" s="2" t="s">
        <v>3343</v>
      </c>
      <c r="B3332" s="2" t="s">
        <v>509</v>
      </c>
      <c r="C3332" s="2">
        <v>717.7097</v>
      </c>
      <c r="D3332" s="2">
        <f>HYPERLINK("http://mcb-m6.bioreg.kyushu-u.ac.jp/M3/20110404/F50755/1835/1", 50.11)</f>
        <v>50.11</v>
      </c>
      <c r="E3332" s="2">
        <v>33.74</v>
      </c>
      <c r="F3332" s="2">
        <v>2</v>
      </c>
      <c r="G3332" s="2" t="s">
        <v>9</v>
      </c>
    </row>
    <row r="3333" spans="1:8" x14ac:dyDescent="0.2">
      <c r="A3333" s="2" t="s">
        <v>3343</v>
      </c>
      <c r="B3333" s="2" t="s">
        <v>509</v>
      </c>
      <c r="C3333" s="2">
        <v>1449.51</v>
      </c>
      <c r="D3333" s="2">
        <f>HYPERLINK("http://mcb-m6.bioreg.kyushu-u.ac.jp/M3/20110404/F50755/1876/1", 50.28)</f>
        <v>50.28</v>
      </c>
      <c r="E3333" s="2">
        <v>31.94</v>
      </c>
      <c r="F3333" s="2">
        <v>1</v>
      </c>
      <c r="G3333" s="2" t="s">
        <v>9</v>
      </c>
      <c r="H3333" s="2" t="s">
        <v>4927</v>
      </c>
    </row>
    <row r="3334" spans="1:8" x14ac:dyDescent="0.2">
      <c r="A3334" s="2" t="s">
        <v>3343</v>
      </c>
      <c r="B3334" s="2" t="s">
        <v>428</v>
      </c>
      <c r="C3334" s="2">
        <v>451.75709999999998</v>
      </c>
      <c r="D3334" s="2">
        <f>HYPERLINK("http://mcb-m6.bioreg.kyushu-u.ac.jp/M3/20110404/F50755/885/1", 50.8)</f>
        <v>50.8</v>
      </c>
      <c r="E3334" s="2">
        <v>28.01</v>
      </c>
      <c r="F3334" s="2">
        <v>2</v>
      </c>
      <c r="G3334" s="2" t="s">
        <v>9</v>
      </c>
    </row>
    <row r="3335" spans="1:8" x14ac:dyDescent="0.2">
      <c r="A3335" s="2" t="s">
        <v>3343</v>
      </c>
      <c r="B3335" s="2" t="s">
        <v>428</v>
      </c>
      <c r="C3335" s="2">
        <v>451.6961</v>
      </c>
      <c r="D3335" s="2">
        <f>HYPERLINK("http://mcb-m6.bioreg.kyushu-u.ac.jp/M3/20110404/F50755/880/1", 50.94)</f>
        <v>50.94</v>
      </c>
      <c r="E3335" s="2">
        <v>24.07</v>
      </c>
      <c r="F3335" s="2">
        <v>2</v>
      </c>
      <c r="G3335" s="2" t="s">
        <v>9</v>
      </c>
    </row>
    <row r="3336" spans="1:8" x14ac:dyDescent="0.2">
      <c r="A3336" s="2" t="s">
        <v>3343</v>
      </c>
      <c r="B3336" s="2" t="s">
        <v>1032</v>
      </c>
      <c r="C3336" s="2">
        <v>770.4212</v>
      </c>
      <c r="D3336" s="2">
        <f>HYPERLINK("http://mcb-m6.bioreg.kyushu-u.ac.jp/M3/20110404/F50755/3434/1", 51.53)</f>
        <v>51.53</v>
      </c>
      <c r="E3336" s="2">
        <v>30.2</v>
      </c>
      <c r="F3336" s="2">
        <v>3</v>
      </c>
      <c r="G3336" s="2" t="s">
        <v>9</v>
      </c>
      <c r="H3336" s="2" t="s">
        <v>4904</v>
      </c>
    </row>
    <row r="3337" spans="1:8" x14ac:dyDescent="0.2">
      <c r="A3337" s="2" t="s">
        <v>3343</v>
      </c>
      <c r="B3337" s="2" t="s">
        <v>704</v>
      </c>
      <c r="C3337" s="2">
        <v>611.31669999999997</v>
      </c>
      <c r="D3337" s="2">
        <f>HYPERLINK("http://mcb-m6.bioreg.kyushu-u.ac.jp/M3/20110404/F50752/1707/1", 51.72)</f>
        <v>51.72</v>
      </c>
      <c r="E3337" s="2">
        <v>27.61</v>
      </c>
      <c r="F3337" s="2">
        <v>2</v>
      </c>
      <c r="G3337" s="2" t="s">
        <v>9</v>
      </c>
      <c r="H3337" s="2" t="s">
        <v>4908</v>
      </c>
    </row>
    <row r="3338" spans="1:8" x14ac:dyDescent="0.2">
      <c r="A3338" s="2" t="s">
        <v>3343</v>
      </c>
      <c r="B3338" s="2" t="s">
        <v>344</v>
      </c>
      <c r="C3338" s="2">
        <v>613.56150000000002</v>
      </c>
      <c r="D3338" s="2">
        <f>HYPERLINK("http://mcb-m6.bioreg.kyushu-u.ac.jp/M3/20110404/F50756/2796/1", 52.33)</f>
        <v>52.33</v>
      </c>
      <c r="E3338" s="2">
        <v>32.28</v>
      </c>
      <c r="F3338" s="2">
        <v>3</v>
      </c>
      <c r="G3338" s="2" t="s">
        <v>9</v>
      </c>
    </row>
    <row r="3339" spans="1:8" x14ac:dyDescent="0.2">
      <c r="A3339" s="2" t="s">
        <v>3343</v>
      </c>
      <c r="B3339" s="2" t="s">
        <v>344</v>
      </c>
      <c r="C3339" s="2">
        <v>919.91309999999999</v>
      </c>
      <c r="D3339" s="2">
        <f>HYPERLINK("http://mcb-m6.bioreg.kyushu-u.ac.jp/M3/20110404/F50763/2550/1", 52.84)</f>
        <v>52.84</v>
      </c>
      <c r="E3339" s="2">
        <v>40.700000000000003</v>
      </c>
      <c r="F3339" s="2">
        <v>2</v>
      </c>
      <c r="G3339" s="2" t="s">
        <v>9</v>
      </c>
    </row>
    <row r="3340" spans="1:8" x14ac:dyDescent="0.2">
      <c r="A3340" s="2" t="s">
        <v>3343</v>
      </c>
      <c r="B3340" s="2" t="s">
        <v>132</v>
      </c>
      <c r="C3340" s="2">
        <v>578.43709999999999</v>
      </c>
      <c r="D3340" s="2">
        <f>HYPERLINK("http://mcb-m6.bioreg.kyushu-u.ac.jp/M3/20110404/F50755/1273/1", 54.01)</f>
        <v>54.01</v>
      </c>
      <c r="E3340" s="2">
        <v>21.09</v>
      </c>
      <c r="F3340" s="2">
        <v>2</v>
      </c>
      <c r="G3340" s="2" t="s">
        <v>9</v>
      </c>
    </row>
    <row r="3341" spans="1:8" x14ac:dyDescent="0.2">
      <c r="A3341" s="2" t="s">
        <v>3343</v>
      </c>
      <c r="B3341" s="2" t="s">
        <v>558</v>
      </c>
      <c r="C3341" s="2">
        <v>1457.489</v>
      </c>
      <c r="D3341" s="2">
        <f>HYPERLINK("http://mcb-m6.bioreg.kyushu-u.ac.jp/M3/20110404/F50755/1897/1", 54.38)</f>
        <v>54.38</v>
      </c>
      <c r="E3341" s="2">
        <v>40.75</v>
      </c>
      <c r="F3341" s="2">
        <v>1</v>
      </c>
      <c r="G3341" s="2" t="s">
        <v>9</v>
      </c>
    </row>
    <row r="3342" spans="1:8" x14ac:dyDescent="0.2">
      <c r="A3342" s="2" t="s">
        <v>3343</v>
      </c>
      <c r="B3342" s="2" t="s">
        <v>328</v>
      </c>
      <c r="C3342" s="2">
        <v>574.17660000000001</v>
      </c>
      <c r="D3342" s="2">
        <f>HYPERLINK("http://mcb-m6.bioreg.kyushu-u.ac.jp/M3/20110404/F50753/1410/1", 54.82)</f>
        <v>54.82</v>
      </c>
      <c r="E3342" s="2">
        <v>31.3</v>
      </c>
      <c r="F3342" s="2">
        <v>2</v>
      </c>
      <c r="G3342" s="2" t="s">
        <v>9</v>
      </c>
    </row>
    <row r="3343" spans="1:8" x14ac:dyDescent="0.2">
      <c r="A3343" s="2" t="s">
        <v>3343</v>
      </c>
      <c r="B3343" s="2" t="s">
        <v>328</v>
      </c>
      <c r="C3343" s="2">
        <v>573.77620000000002</v>
      </c>
      <c r="D3343" s="2">
        <f>HYPERLINK("http://mcb-m6.bioreg.kyushu-u.ac.jp/M3/20110404/F50776/1216/1", 55.27)</f>
        <v>55.27</v>
      </c>
      <c r="E3343" s="2">
        <v>22.8</v>
      </c>
      <c r="F3343" s="2">
        <v>2</v>
      </c>
      <c r="G3343" s="2" t="s">
        <v>9</v>
      </c>
    </row>
    <row r="3344" spans="1:8" x14ac:dyDescent="0.2">
      <c r="A3344" s="2" t="s">
        <v>3343</v>
      </c>
      <c r="B3344" s="2" t="s">
        <v>325</v>
      </c>
      <c r="C3344" s="2">
        <v>1478.442</v>
      </c>
      <c r="D3344" s="2">
        <f>HYPERLINK("http://mcb-m6.bioreg.kyushu-u.ac.jp/M3/20110404/F50755/1957/1", 55.76)</f>
        <v>55.76</v>
      </c>
      <c r="E3344" s="2">
        <v>38.68</v>
      </c>
      <c r="F3344" s="2">
        <v>1</v>
      </c>
      <c r="G3344" s="2" t="s">
        <v>9</v>
      </c>
    </row>
    <row r="3345" spans="1:8" x14ac:dyDescent="0.2">
      <c r="A3345" s="2" t="s">
        <v>3343</v>
      </c>
      <c r="B3345" s="2" t="s">
        <v>704</v>
      </c>
      <c r="C3345" s="2">
        <v>610.67319999999995</v>
      </c>
      <c r="D3345" s="2">
        <f>HYPERLINK("http://mcb-m6.bioreg.kyushu-u.ac.jp/M3/20110404/F50753/1549/1", 57.11)</f>
        <v>57.11</v>
      </c>
      <c r="E3345" s="2">
        <v>28.83</v>
      </c>
      <c r="F3345" s="2">
        <v>2</v>
      </c>
      <c r="G3345" s="2" t="s">
        <v>9</v>
      </c>
      <c r="H3345" s="2" t="s">
        <v>4908</v>
      </c>
    </row>
    <row r="3346" spans="1:8" x14ac:dyDescent="0.2">
      <c r="A3346" s="2" t="s">
        <v>3343</v>
      </c>
      <c r="B3346" s="2" t="s">
        <v>558</v>
      </c>
      <c r="C3346" s="2">
        <v>729.64120000000003</v>
      </c>
      <c r="D3346" s="2">
        <f>HYPERLINK("http://mcb-m6.bioreg.kyushu-u.ac.jp/M3/20110404/F50755/1902/1", 57.15)</f>
        <v>57.15</v>
      </c>
      <c r="E3346" s="2">
        <v>41.37</v>
      </c>
      <c r="F3346" s="2">
        <v>2</v>
      </c>
      <c r="G3346" s="2" t="s">
        <v>9</v>
      </c>
    </row>
    <row r="3347" spans="1:8" x14ac:dyDescent="0.2">
      <c r="A3347" s="2" t="s">
        <v>3343</v>
      </c>
      <c r="B3347" s="2" t="s">
        <v>1189</v>
      </c>
      <c r="C3347" s="2">
        <v>1069.8920000000001</v>
      </c>
      <c r="D3347" s="2">
        <f>HYPERLINK("http://mcb-m6.bioreg.kyushu-u.ac.jp/M3/20110404/F50762/2729/1", 57.75)</f>
        <v>57.75</v>
      </c>
      <c r="E3347" s="2">
        <v>50.05</v>
      </c>
      <c r="F3347" s="2">
        <v>2</v>
      </c>
      <c r="G3347" s="2" t="s">
        <v>9</v>
      </c>
    </row>
    <row r="3348" spans="1:8" x14ac:dyDescent="0.2">
      <c r="A3348" s="2" t="s">
        <v>3343</v>
      </c>
      <c r="B3348" s="2" t="s">
        <v>509</v>
      </c>
      <c r="C3348" s="2">
        <v>717.77670000000001</v>
      </c>
      <c r="D3348" s="2">
        <f>HYPERLINK("http://mcb-m6.bioreg.kyushu-u.ac.jp/M3/20110404/F50756/1858/1", 58.34)</f>
        <v>58.34</v>
      </c>
      <c r="E3348" s="2">
        <v>41.11</v>
      </c>
      <c r="F3348" s="2">
        <v>2</v>
      </c>
      <c r="G3348" s="2" t="s">
        <v>9</v>
      </c>
    </row>
    <row r="3349" spans="1:8" x14ac:dyDescent="0.2">
      <c r="A3349" s="2" t="s">
        <v>3343</v>
      </c>
      <c r="B3349" s="2" t="s">
        <v>325</v>
      </c>
      <c r="C3349" s="2">
        <v>747.26869999999997</v>
      </c>
      <c r="D3349" s="2">
        <f>HYPERLINK("http://mcb-m6.bioreg.kyushu-u.ac.jp/M3/20110404/F50756/1997/1", 58.89)</f>
        <v>58.89</v>
      </c>
      <c r="E3349" s="2">
        <v>45.5</v>
      </c>
      <c r="F3349" s="2">
        <v>2</v>
      </c>
      <c r="G3349" s="2" t="s">
        <v>9</v>
      </c>
      <c r="H3349" s="2" t="s">
        <v>4925</v>
      </c>
    </row>
    <row r="3350" spans="1:8" x14ac:dyDescent="0.2">
      <c r="A3350" s="2" t="s">
        <v>3343</v>
      </c>
      <c r="B3350" s="2" t="s">
        <v>132</v>
      </c>
      <c r="C3350" s="2">
        <v>578.46770000000004</v>
      </c>
      <c r="D3350" s="2">
        <f>HYPERLINK("http://mcb-m6.bioreg.kyushu-u.ac.jp/M3/20110404/F50762/1248/1", 59.92)</f>
        <v>59.92</v>
      </c>
      <c r="E3350" s="2">
        <v>36.82</v>
      </c>
      <c r="F3350" s="2">
        <v>2</v>
      </c>
      <c r="G3350" s="2" t="s">
        <v>9</v>
      </c>
    </row>
    <row r="3351" spans="1:8" x14ac:dyDescent="0.2">
      <c r="A3351" s="2" t="s">
        <v>3343</v>
      </c>
      <c r="B3351" s="2" t="s">
        <v>344</v>
      </c>
      <c r="C3351" s="2">
        <v>918.99770000000001</v>
      </c>
      <c r="D3351" s="2">
        <f>HYPERLINK("http://mcb-m6.bioreg.kyushu-u.ac.jp/M3/20110404/F50755/2722/1", 61.49)</f>
        <v>61.49</v>
      </c>
      <c r="E3351" s="2">
        <v>41.58</v>
      </c>
      <c r="F3351" s="2">
        <v>2</v>
      </c>
      <c r="G3351" s="2" t="s">
        <v>9</v>
      </c>
    </row>
    <row r="3352" spans="1:8" x14ac:dyDescent="0.2">
      <c r="A3352" s="2" t="s">
        <v>3343</v>
      </c>
      <c r="B3352" s="2" t="s">
        <v>210</v>
      </c>
      <c r="C3352" s="2">
        <v>554.64260000000002</v>
      </c>
      <c r="D3352" s="2">
        <f>HYPERLINK("http://mcb-m6.bioreg.kyushu-u.ac.jp/M3/20110404/F50755/1190/1", 61.57)</f>
        <v>61.57</v>
      </c>
      <c r="E3352" s="2">
        <v>33.630000000000003</v>
      </c>
      <c r="F3352" s="2">
        <v>2</v>
      </c>
      <c r="G3352" s="2" t="s">
        <v>9</v>
      </c>
      <c r="H3352" s="2" t="s">
        <v>4910</v>
      </c>
    </row>
    <row r="3353" spans="1:8" x14ac:dyDescent="0.2">
      <c r="A3353" s="2" t="s">
        <v>3343</v>
      </c>
      <c r="B3353" s="2" t="s">
        <v>325</v>
      </c>
      <c r="C3353" s="2">
        <v>747.38620000000003</v>
      </c>
      <c r="D3353" s="2">
        <f>HYPERLINK("http://mcb-m6.bioreg.kyushu-u.ac.jp/M3/20110404/F50752/2143/1", 61.63)</f>
        <v>61.63</v>
      </c>
      <c r="E3353" s="2">
        <v>26.84</v>
      </c>
      <c r="F3353" s="2">
        <v>2</v>
      </c>
      <c r="G3353" s="2" t="s">
        <v>9</v>
      </c>
      <c r="H3353" s="2" t="s">
        <v>4925</v>
      </c>
    </row>
    <row r="3354" spans="1:8" x14ac:dyDescent="0.2">
      <c r="A3354" s="2" t="s">
        <v>3343</v>
      </c>
      <c r="B3354" s="2" t="s">
        <v>1002</v>
      </c>
      <c r="C3354" s="2">
        <v>1148.04</v>
      </c>
      <c r="D3354" s="2">
        <f>HYPERLINK("http://mcb-m6.bioreg.kyushu-u.ac.jp/M3/20110404/F50762/2855/1", 61.82)</f>
        <v>61.82</v>
      </c>
      <c r="E3354" s="2">
        <v>45.82</v>
      </c>
      <c r="F3354" s="2">
        <v>2</v>
      </c>
      <c r="G3354" s="2" t="s">
        <v>9</v>
      </c>
    </row>
    <row r="3355" spans="1:8" x14ac:dyDescent="0.2">
      <c r="A3355" s="2" t="s">
        <v>3343</v>
      </c>
      <c r="B3355" s="2" t="s">
        <v>558</v>
      </c>
      <c r="C3355" s="2">
        <v>729.39869999999996</v>
      </c>
      <c r="D3355" s="2">
        <f>HYPERLINK("http://mcb-m6.bioreg.kyushu-u.ac.jp/M3/20110404/F50755/1901/1", 61.93)</f>
        <v>61.93</v>
      </c>
      <c r="E3355" s="2">
        <v>50.99</v>
      </c>
      <c r="F3355" s="2">
        <v>2</v>
      </c>
      <c r="G3355" s="2" t="s">
        <v>9</v>
      </c>
    </row>
    <row r="3356" spans="1:8" x14ac:dyDescent="0.2">
      <c r="A3356" s="2" t="s">
        <v>3343</v>
      </c>
      <c r="B3356" s="2" t="s">
        <v>943</v>
      </c>
      <c r="C3356" s="2">
        <v>506.75909999999999</v>
      </c>
      <c r="D3356" s="2">
        <f>HYPERLINK("http://mcb-m6.bioreg.kyushu-u.ac.jp/M3/20110404/F50756/1023/1", 62.3)</f>
        <v>62.3</v>
      </c>
      <c r="E3356" s="2">
        <v>41.75</v>
      </c>
      <c r="F3356" s="2">
        <v>2</v>
      </c>
      <c r="G3356" s="2" t="s">
        <v>9</v>
      </c>
    </row>
    <row r="3357" spans="1:8" x14ac:dyDescent="0.2">
      <c r="A3357" s="2" t="s">
        <v>3343</v>
      </c>
      <c r="B3357" s="2" t="s">
        <v>344</v>
      </c>
      <c r="C3357" s="2">
        <v>919.76459999999997</v>
      </c>
      <c r="D3357" s="2">
        <f>HYPERLINK("http://mcb-m6.bioreg.kyushu-u.ac.jp/M3/20110404/F50755/2731/1", 62.38)</f>
        <v>62.38</v>
      </c>
      <c r="E3357" s="2">
        <v>38.29</v>
      </c>
      <c r="F3357" s="2">
        <v>2</v>
      </c>
      <c r="G3357" s="2" t="s">
        <v>9</v>
      </c>
    </row>
    <row r="3358" spans="1:8" x14ac:dyDescent="0.2">
      <c r="A3358" s="2" t="s">
        <v>3343</v>
      </c>
      <c r="B3358" s="2" t="s">
        <v>558</v>
      </c>
      <c r="C3358" s="2">
        <v>729.77970000000005</v>
      </c>
      <c r="D3358" s="2">
        <f>HYPERLINK("http://mcb-m6.bioreg.kyushu-u.ac.jp/M3/20110404/F50756/1914/1", 62.42)</f>
        <v>62.42</v>
      </c>
      <c r="E3358" s="2">
        <v>48.01</v>
      </c>
      <c r="F3358" s="2">
        <v>2</v>
      </c>
      <c r="G3358" s="2" t="s">
        <v>9</v>
      </c>
    </row>
    <row r="3359" spans="1:8" x14ac:dyDescent="0.2">
      <c r="A3359" s="2" t="s">
        <v>3343</v>
      </c>
      <c r="B3359" s="2" t="s">
        <v>1002</v>
      </c>
      <c r="C3359" s="2">
        <v>1147.3399999999999</v>
      </c>
      <c r="D3359" s="2">
        <f>HYPERLINK("http://mcb-m6.bioreg.kyushu-u.ac.jp/M3/20110404/F50755/3387/1", 62.48)</f>
        <v>62.48</v>
      </c>
      <c r="E3359" s="2">
        <v>56.03</v>
      </c>
      <c r="F3359" s="2">
        <v>2</v>
      </c>
      <c r="G3359" s="2" t="s">
        <v>9</v>
      </c>
    </row>
    <row r="3360" spans="1:8" x14ac:dyDescent="0.2">
      <c r="A3360" s="2" t="s">
        <v>3343</v>
      </c>
      <c r="B3360" s="2" t="s">
        <v>558</v>
      </c>
      <c r="C3360" s="2">
        <v>729.22019999999998</v>
      </c>
      <c r="D3360" s="2">
        <f>HYPERLINK("http://mcb-m6.bioreg.kyushu-u.ac.jp/M3/20110404/F50755/1896/1", 62.62)</f>
        <v>62.62</v>
      </c>
      <c r="E3360" s="2">
        <v>48.42</v>
      </c>
      <c r="F3360" s="2">
        <v>2</v>
      </c>
      <c r="G3360" s="2" t="s">
        <v>9</v>
      </c>
    </row>
    <row r="3361" spans="1:8" x14ac:dyDescent="0.2">
      <c r="A3361" s="2" t="s">
        <v>3343</v>
      </c>
      <c r="B3361" s="2" t="s">
        <v>210</v>
      </c>
      <c r="C3361" s="2">
        <v>554.77419999999995</v>
      </c>
      <c r="D3361" s="2">
        <f>HYPERLINK("http://mcb-m6.bioreg.kyushu-u.ac.jp/M3/20110404/F50776/1167/1", 62.9)</f>
        <v>62.9</v>
      </c>
      <c r="E3361" s="2">
        <v>37.44</v>
      </c>
      <c r="F3361" s="2">
        <v>2</v>
      </c>
      <c r="G3361" s="2" t="s">
        <v>9</v>
      </c>
      <c r="H3361" s="2" t="s">
        <v>4910</v>
      </c>
    </row>
    <row r="3362" spans="1:8" x14ac:dyDescent="0.2">
      <c r="A3362" s="2" t="s">
        <v>3343</v>
      </c>
      <c r="B3362" s="2" t="s">
        <v>328</v>
      </c>
      <c r="C3362" s="2">
        <v>574.09519999999998</v>
      </c>
      <c r="D3362" s="2">
        <f>HYPERLINK("http://mcb-m6.bioreg.kyushu-u.ac.jp/M3/20110404/F50756/1236/1", 63.22)</f>
        <v>63.22</v>
      </c>
      <c r="E3362" s="2">
        <v>30.51</v>
      </c>
      <c r="F3362" s="2">
        <v>2</v>
      </c>
      <c r="G3362" s="2" t="s">
        <v>9</v>
      </c>
    </row>
    <row r="3363" spans="1:8" x14ac:dyDescent="0.2">
      <c r="A3363" s="2" t="s">
        <v>3343</v>
      </c>
      <c r="B3363" s="2" t="s">
        <v>1002</v>
      </c>
      <c r="C3363" s="2">
        <v>1147.922</v>
      </c>
      <c r="D3363" s="2">
        <f>HYPERLINK("http://mcb-m6.bioreg.kyushu-u.ac.jp/M3/20110404/F50755/3397/1", 64.09)</f>
        <v>64.09</v>
      </c>
      <c r="E3363" s="2">
        <v>55.11</v>
      </c>
      <c r="F3363" s="2">
        <v>2</v>
      </c>
      <c r="G3363" s="2" t="s">
        <v>9</v>
      </c>
    </row>
    <row r="3364" spans="1:8" x14ac:dyDescent="0.2">
      <c r="A3364" s="2" t="s">
        <v>3343</v>
      </c>
      <c r="B3364" s="2" t="s">
        <v>509</v>
      </c>
      <c r="C3364" s="2">
        <v>1416.4280000000001</v>
      </c>
      <c r="D3364" s="2">
        <f>HYPERLINK("http://mcb-m6.bioreg.kyushu-u.ac.jp/M3/20110404/F50755/1770/1", 64.15)</f>
        <v>64.150000000000006</v>
      </c>
      <c r="E3364" s="2">
        <v>47.9</v>
      </c>
      <c r="F3364" s="2">
        <v>1</v>
      </c>
      <c r="G3364" s="2" t="s">
        <v>9</v>
      </c>
      <c r="H3364" s="2" t="s">
        <v>4904</v>
      </c>
    </row>
    <row r="3365" spans="1:8" x14ac:dyDescent="0.2">
      <c r="A3365" s="2" t="s">
        <v>3343</v>
      </c>
      <c r="B3365" s="2" t="s">
        <v>344</v>
      </c>
      <c r="C3365" s="2">
        <v>1838.6110000000001</v>
      </c>
      <c r="D3365" s="2">
        <f>HYPERLINK("http://mcb-m6.bioreg.kyushu-u.ac.jp/M3/20110404/F50755/2733/1", 64.44)</f>
        <v>64.44</v>
      </c>
      <c r="E3365" s="2">
        <v>39.33</v>
      </c>
      <c r="F3365" s="2">
        <v>1</v>
      </c>
      <c r="G3365" s="2" t="s">
        <v>9</v>
      </c>
    </row>
    <row r="3366" spans="1:8" x14ac:dyDescent="0.2">
      <c r="A3366" s="2" t="s">
        <v>3343</v>
      </c>
      <c r="B3366" s="2" t="s">
        <v>210</v>
      </c>
      <c r="C3366" s="2">
        <v>546.67070000000001</v>
      </c>
      <c r="D3366" s="2">
        <f>HYPERLINK("http://mcb-m6.bioreg.kyushu-u.ac.jp/M3/20110404/F50755/1169/1", 64.53)</f>
        <v>64.53</v>
      </c>
      <c r="E3366" s="2">
        <v>31.77</v>
      </c>
      <c r="F3366" s="2">
        <v>2</v>
      </c>
      <c r="G3366" s="2" t="s">
        <v>9</v>
      </c>
    </row>
    <row r="3367" spans="1:8" x14ac:dyDescent="0.2">
      <c r="A3367" s="2" t="s">
        <v>3343</v>
      </c>
      <c r="B3367" s="2" t="s">
        <v>546</v>
      </c>
      <c r="C3367" s="2">
        <v>664.54769999999996</v>
      </c>
      <c r="D3367" s="2">
        <f>HYPERLINK("http://mcb-m6.bioreg.kyushu-u.ac.jp/M3/20110404/F50755/1588/2", 64.67)</f>
        <v>64.67</v>
      </c>
      <c r="E3367" s="2">
        <v>46.18</v>
      </c>
      <c r="F3367" s="2">
        <v>2</v>
      </c>
      <c r="G3367" s="2" t="s">
        <v>9</v>
      </c>
    </row>
    <row r="3368" spans="1:8" x14ac:dyDescent="0.2">
      <c r="A3368" s="2" t="s">
        <v>3343</v>
      </c>
      <c r="B3368" s="2" t="s">
        <v>546</v>
      </c>
      <c r="C3368" s="2">
        <v>665.24620000000004</v>
      </c>
      <c r="D3368" s="2">
        <f>HYPERLINK("http://mcb-m6.bioreg.kyushu-u.ac.jp/M3/20110404/F50762/1499/2", 65.06)</f>
        <v>65.06</v>
      </c>
      <c r="E3368" s="2">
        <v>47.61</v>
      </c>
      <c r="F3368" s="2">
        <v>2</v>
      </c>
      <c r="G3368" s="2" t="s">
        <v>9</v>
      </c>
    </row>
    <row r="3369" spans="1:8" x14ac:dyDescent="0.2">
      <c r="A3369" s="2" t="s">
        <v>3343</v>
      </c>
      <c r="B3369" s="2" t="s">
        <v>344</v>
      </c>
      <c r="C3369" s="2">
        <v>919.28060000000005</v>
      </c>
      <c r="D3369" s="2">
        <f>HYPERLINK("http://mcb-m6.bioreg.kyushu-u.ac.jp/M3/20110404/F50755/2725/1", 65.29)</f>
        <v>65.290000000000006</v>
      </c>
      <c r="E3369" s="2">
        <v>43.89</v>
      </c>
      <c r="F3369" s="2">
        <v>2</v>
      </c>
      <c r="G3369" s="2" t="s">
        <v>9</v>
      </c>
    </row>
    <row r="3370" spans="1:8" x14ac:dyDescent="0.2">
      <c r="A3370" s="2" t="s">
        <v>3343</v>
      </c>
      <c r="B3370" s="2" t="s">
        <v>1002</v>
      </c>
      <c r="C3370" s="2">
        <v>1147.3789999999999</v>
      </c>
      <c r="D3370" s="2">
        <f>HYPERLINK("http://mcb-m6.bioreg.kyushu-u.ac.jp/M3/20110404/F50755/3388/1", 65.29)</f>
        <v>65.290000000000006</v>
      </c>
      <c r="E3370" s="2">
        <v>57.98</v>
      </c>
      <c r="F3370" s="2">
        <v>2</v>
      </c>
      <c r="G3370" s="2" t="s">
        <v>9</v>
      </c>
    </row>
    <row r="3371" spans="1:8" x14ac:dyDescent="0.2">
      <c r="A3371" s="2" t="s">
        <v>3343</v>
      </c>
      <c r="B3371" s="2" t="s">
        <v>509</v>
      </c>
      <c r="C3371" s="2">
        <v>1417.472</v>
      </c>
      <c r="D3371" s="2">
        <f>HYPERLINK("http://mcb-m6.bioreg.kyushu-u.ac.jp/M3/20110404/F50755/1777/1", 65.54)</f>
        <v>65.540000000000006</v>
      </c>
      <c r="E3371" s="2">
        <v>48.99</v>
      </c>
      <c r="F3371" s="2">
        <v>1</v>
      </c>
      <c r="G3371" s="2" t="s">
        <v>9</v>
      </c>
      <c r="H3371" s="2" t="s">
        <v>4904</v>
      </c>
    </row>
    <row r="3372" spans="1:8" x14ac:dyDescent="0.2">
      <c r="A3372" s="2" t="s">
        <v>3343</v>
      </c>
      <c r="B3372" s="2" t="s">
        <v>325</v>
      </c>
      <c r="C3372" s="2">
        <v>1493.413</v>
      </c>
      <c r="D3372" s="2">
        <f>HYPERLINK("http://mcb-m6.bioreg.kyushu-u.ac.jp/M3/20110404/F50755/2004/1", 65.75)</f>
        <v>65.75</v>
      </c>
      <c r="E3372" s="2">
        <v>47.43</v>
      </c>
      <c r="F3372" s="2">
        <v>1</v>
      </c>
      <c r="G3372" s="2" t="s">
        <v>9</v>
      </c>
      <c r="H3372" s="2" t="s">
        <v>4925</v>
      </c>
    </row>
    <row r="3373" spans="1:8" x14ac:dyDescent="0.2">
      <c r="A3373" s="2" t="s">
        <v>3343</v>
      </c>
      <c r="B3373" s="2" t="s">
        <v>1189</v>
      </c>
      <c r="C3373" s="2">
        <v>1069.8779999999999</v>
      </c>
      <c r="D3373" s="2">
        <f>HYPERLINK("http://mcb-m6.bioreg.kyushu-u.ac.jp/M3/20110404/F50755/3123/1", 65.99)</f>
        <v>65.989999999999995</v>
      </c>
      <c r="E3373" s="2">
        <v>57.19</v>
      </c>
      <c r="F3373" s="2">
        <v>2</v>
      </c>
      <c r="G3373" s="2" t="s">
        <v>9</v>
      </c>
    </row>
    <row r="3374" spans="1:8" x14ac:dyDescent="0.2">
      <c r="A3374" s="2" t="s">
        <v>3343</v>
      </c>
      <c r="B3374" s="2" t="s">
        <v>546</v>
      </c>
      <c r="C3374" s="2">
        <v>664.67269999999996</v>
      </c>
      <c r="D3374" s="2">
        <f>HYPERLINK("http://mcb-m6.bioreg.kyushu-u.ac.jp/M3/20110404/F50755/1589/2", 66.64)</f>
        <v>66.64</v>
      </c>
      <c r="E3374" s="2">
        <v>44.46</v>
      </c>
      <c r="F3374" s="2">
        <v>2</v>
      </c>
      <c r="G3374" s="2" t="s">
        <v>9</v>
      </c>
    </row>
    <row r="3375" spans="1:8" x14ac:dyDescent="0.2">
      <c r="A3375" s="2" t="s">
        <v>3343</v>
      </c>
      <c r="B3375" s="2" t="s">
        <v>325</v>
      </c>
      <c r="C3375" s="2">
        <v>1478.4110000000001</v>
      </c>
      <c r="D3375" s="2">
        <f>HYPERLINK("http://mcb-m6.bioreg.kyushu-u.ac.jp/M3/20110404/F50755/1956/1", 66.88)</f>
        <v>66.88</v>
      </c>
      <c r="E3375" s="2">
        <v>48.06</v>
      </c>
      <c r="F3375" s="2">
        <v>1</v>
      </c>
      <c r="G3375" s="2" t="s">
        <v>9</v>
      </c>
    </row>
    <row r="3376" spans="1:8" x14ac:dyDescent="0.2">
      <c r="A3376" s="2" t="s">
        <v>3343</v>
      </c>
      <c r="B3376" s="2" t="s">
        <v>325</v>
      </c>
      <c r="C3376" s="2">
        <v>1477.3989999999999</v>
      </c>
      <c r="D3376" s="2">
        <f>HYPERLINK("http://mcb-m6.bioreg.kyushu-u.ac.jp/M3/20110404/F50755/1946/1", 66.93)</f>
        <v>66.930000000000007</v>
      </c>
      <c r="E3376" s="2">
        <v>52.73</v>
      </c>
      <c r="F3376" s="2">
        <v>1</v>
      </c>
      <c r="G3376" s="2" t="s">
        <v>9</v>
      </c>
    </row>
    <row r="3377" spans="1:8" x14ac:dyDescent="0.2">
      <c r="A3377" s="2" t="s">
        <v>3343</v>
      </c>
      <c r="B3377" s="2" t="s">
        <v>509</v>
      </c>
      <c r="C3377" s="2">
        <v>717.23109999999997</v>
      </c>
      <c r="D3377" s="2">
        <f>HYPERLINK("http://mcb-m6.bioreg.kyushu-u.ac.jp/M3/20110404/F50755/1831/1", 67.05)</f>
        <v>67.05</v>
      </c>
      <c r="E3377" s="2">
        <v>50.94</v>
      </c>
      <c r="F3377" s="2">
        <v>2</v>
      </c>
      <c r="G3377" s="2" t="s">
        <v>9</v>
      </c>
    </row>
    <row r="3378" spans="1:8" x14ac:dyDescent="0.2">
      <c r="A3378" s="2" t="s">
        <v>3343</v>
      </c>
      <c r="B3378" s="2" t="s">
        <v>943</v>
      </c>
      <c r="C3378" s="2">
        <v>506.78309999999999</v>
      </c>
      <c r="D3378" s="2">
        <f>HYPERLINK("http://mcb-m6.bioreg.kyushu-u.ac.jp/M3/20110404/F50776/1060/1", 67.14)</f>
        <v>67.14</v>
      </c>
      <c r="E3378" s="2">
        <v>40.32</v>
      </c>
      <c r="F3378" s="2">
        <v>2</v>
      </c>
      <c r="G3378" s="2" t="s">
        <v>9</v>
      </c>
    </row>
    <row r="3379" spans="1:8" x14ac:dyDescent="0.2">
      <c r="A3379" s="2" t="s">
        <v>3343</v>
      </c>
      <c r="B3379" s="2" t="s">
        <v>210</v>
      </c>
      <c r="C3379" s="2">
        <v>546.70119999999997</v>
      </c>
      <c r="D3379" s="2">
        <f>HYPERLINK("http://mcb-m6.bioreg.kyushu-u.ac.jp/M3/20110404/F50776/1149/1", 67.22)</f>
        <v>67.22</v>
      </c>
      <c r="E3379" s="2">
        <v>34.56</v>
      </c>
      <c r="F3379" s="2">
        <v>2</v>
      </c>
      <c r="G3379" s="2" t="s">
        <v>9</v>
      </c>
    </row>
    <row r="3380" spans="1:8" x14ac:dyDescent="0.2">
      <c r="A3380" s="2" t="s">
        <v>3343</v>
      </c>
      <c r="B3380" s="2" t="s">
        <v>546</v>
      </c>
      <c r="C3380" s="2">
        <v>665.31820000000005</v>
      </c>
      <c r="D3380" s="2">
        <f>HYPERLINK("http://mcb-m6.bioreg.kyushu-u.ac.jp/M3/20110404/F50755/1595/2", 67.58)</f>
        <v>67.58</v>
      </c>
      <c r="E3380" s="2">
        <v>50.94</v>
      </c>
      <c r="F3380" s="2">
        <v>2</v>
      </c>
      <c r="G3380" s="2" t="s">
        <v>9</v>
      </c>
    </row>
    <row r="3381" spans="1:8" x14ac:dyDescent="0.2">
      <c r="A3381" s="2" t="s">
        <v>3343</v>
      </c>
      <c r="B3381" s="2" t="s">
        <v>1002</v>
      </c>
      <c r="C3381" s="2">
        <v>1147.883</v>
      </c>
      <c r="D3381" s="2">
        <f>HYPERLINK("http://mcb-m6.bioreg.kyushu-u.ac.jp/M3/20110404/F50755/3396/1", 68.55)</f>
        <v>68.55</v>
      </c>
      <c r="E3381" s="2">
        <v>58.66</v>
      </c>
      <c r="F3381" s="2">
        <v>2</v>
      </c>
      <c r="G3381" s="2" t="s">
        <v>9</v>
      </c>
    </row>
    <row r="3382" spans="1:8" x14ac:dyDescent="0.2">
      <c r="A3382" s="2" t="s">
        <v>3343</v>
      </c>
      <c r="B3382" s="2" t="s">
        <v>509</v>
      </c>
      <c r="C3382" s="2">
        <v>709.16560000000004</v>
      </c>
      <c r="D3382" s="2">
        <f>HYPERLINK("http://mcb-m6.bioreg.kyushu-u.ac.jp/M3/20110404/F50755/1776/1", 68.56)</f>
        <v>68.56</v>
      </c>
      <c r="E3382" s="2">
        <v>50.2</v>
      </c>
      <c r="F3382" s="2">
        <v>2</v>
      </c>
      <c r="G3382" s="2" t="s">
        <v>9</v>
      </c>
      <c r="H3382" s="2" t="s">
        <v>4904</v>
      </c>
    </row>
    <row r="3383" spans="1:8" x14ac:dyDescent="0.2">
      <c r="A3383" s="2" t="s">
        <v>3343</v>
      </c>
      <c r="B3383" s="2" t="s">
        <v>1002</v>
      </c>
      <c r="C3383" s="2">
        <v>1147.7940000000001</v>
      </c>
      <c r="D3383" s="2">
        <f>HYPERLINK("http://mcb-m6.bioreg.kyushu-u.ac.jp/M3/20110404/F50753/3278/1", 68.61)</f>
        <v>68.61</v>
      </c>
      <c r="E3383" s="2">
        <v>58.47</v>
      </c>
      <c r="F3383" s="2">
        <v>2</v>
      </c>
      <c r="G3383" s="2" t="s">
        <v>9</v>
      </c>
    </row>
    <row r="3384" spans="1:8" x14ac:dyDescent="0.2">
      <c r="A3384" s="2" t="s">
        <v>3343</v>
      </c>
      <c r="B3384" s="2" t="s">
        <v>943</v>
      </c>
      <c r="C3384" s="2">
        <v>506.72859999999997</v>
      </c>
      <c r="D3384" s="2">
        <f>HYPERLINK("http://mcb-m6.bioreg.kyushu-u.ac.jp/M3/20110404/F50755/1059/1", 68.82)</f>
        <v>68.819999999999993</v>
      </c>
      <c r="E3384" s="2">
        <v>48.41</v>
      </c>
      <c r="F3384" s="2">
        <v>2</v>
      </c>
      <c r="G3384" s="2" t="s">
        <v>9</v>
      </c>
    </row>
    <row r="3385" spans="1:8" x14ac:dyDescent="0.2">
      <c r="A3385" s="2" t="s">
        <v>3343</v>
      </c>
      <c r="B3385" s="2" t="s">
        <v>325</v>
      </c>
      <c r="C3385" s="2">
        <v>747.69960000000003</v>
      </c>
      <c r="D3385" s="2">
        <f>HYPERLINK("http://mcb-m6.bioreg.kyushu-u.ac.jp/M3/20110404/F50755/2009/1", 69.23)</f>
        <v>69.23</v>
      </c>
      <c r="E3385" s="2">
        <v>55.98</v>
      </c>
      <c r="F3385" s="2">
        <v>2</v>
      </c>
      <c r="G3385" s="2" t="s">
        <v>9</v>
      </c>
      <c r="H3385" s="2" t="s">
        <v>4925</v>
      </c>
    </row>
    <row r="3386" spans="1:8" x14ac:dyDescent="0.2">
      <c r="A3386" s="2" t="s">
        <v>3343</v>
      </c>
      <c r="B3386" s="2" t="s">
        <v>1002</v>
      </c>
      <c r="C3386" s="2">
        <v>1147.396</v>
      </c>
      <c r="D3386" s="2">
        <f>HYPERLINK("http://mcb-m6.bioreg.kyushu-u.ac.jp/M3/20110404/F50755/3391/1", 69.28)</f>
        <v>69.28</v>
      </c>
      <c r="E3386" s="2">
        <v>61.43</v>
      </c>
      <c r="F3386" s="2">
        <v>2</v>
      </c>
      <c r="G3386" s="2" t="s">
        <v>9</v>
      </c>
    </row>
    <row r="3387" spans="1:8" x14ac:dyDescent="0.2">
      <c r="A3387" s="2" t="s">
        <v>3343</v>
      </c>
      <c r="B3387" s="2" t="s">
        <v>344</v>
      </c>
      <c r="C3387" s="2">
        <v>919.78470000000004</v>
      </c>
      <c r="D3387" s="2">
        <f>HYPERLINK("http://mcb-m6.bioreg.kyushu-u.ac.jp/M3/20110404/F50755/2732/1", 70.09)</f>
        <v>70.09</v>
      </c>
      <c r="E3387" s="2">
        <v>50.75</v>
      </c>
      <c r="F3387" s="2">
        <v>2</v>
      </c>
      <c r="G3387" s="2" t="s">
        <v>9</v>
      </c>
    </row>
    <row r="3388" spans="1:8" x14ac:dyDescent="0.2">
      <c r="A3388" s="2" t="s">
        <v>3343</v>
      </c>
      <c r="B3388" s="2" t="s">
        <v>1002</v>
      </c>
      <c r="C3388" s="2">
        <v>1147.395</v>
      </c>
      <c r="D3388" s="2">
        <f>HYPERLINK("http://mcb-m6.bioreg.kyushu-u.ac.jp/M3/20110404/F50755/3390/1", 70.32)</f>
        <v>70.319999999999993</v>
      </c>
      <c r="E3388" s="2">
        <v>63.51</v>
      </c>
      <c r="F3388" s="2">
        <v>2</v>
      </c>
      <c r="G3388" s="2" t="s">
        <v>9</v>
      </c>
    </row>
    <row r="3389" spans="1:8" x14ac:dyDescent="0.2">
      <c r="A3389" s="2" t="s">
        <v>3343</v>
      </c>
      <c r="B3389" s="2" t="s">
        <v>344</v>
      </c>
      <c r="C3389" s="2">
        <v>919.25710000000004</v>
      </c>
      <c r="D3389" s="2">
        <f>HYPERLINK("http://mcb-m6.bioreg.kyushu-u.ac.jp/M3/20110404/F50764/2520/1", 71.76)</f>
        <v>71.760000000000005</v>
      </c>
      <c r="E3389" s="2">
        <v>52.09</v>
      </c>
      <c r="F3389" s="2">
        <v>2</v>
      </c>
      <c r="G3389" s="2" t="s">
        <v>9</v>
      </c>
    </row>
    <row r="3390" spans="1:8" x14ac:dyDescent="0.2">
      <c r="A3390" s="2" t="s">
        <v>3343</v>
      </c>
      <c r="B3390" s="2" t="s">
        <v>325</v>
      </c>
      <c r="C3390" s="2">
        <v>747.84969999999998</v>
      </c>
      <c r="D3390" s="2">
        <f>HYPERLINK("http://mcb-m6.bioreg.kyushu-u.ac.jp/M3/20110404/F50776/1794/1", 72.15)</f>
        <v>72.150000000000006</v>
      </c>
      <c r="E3390" s="2">
        <v>60.03</v>
      </c>
      <c r="F3390" s="2">
        <v>2</v>
      </c>
      <c r="G3390" s="2" t="s">
        <v>9</v>
      </c>
      <c r="H3390" s="2" t="s">
        <v>4925</v>
      </c>
    </row>
    <row r="3391" spans="1:8" x14ac:dyDescent="0.2">
      <c r="A3391" s="2" t="s">
        <v>3343</v>
      </c>
      <c r="B3391" s="2" t="s">
        <v>558</v>
      </c>
      <c r="C3391" s="2">
        <v>729.38919999999996</v>
      </c>
      <c r="D3391" s="2">
        <f>HYPERLINK("http://mcb-m6.bioreg.kyushu-u.ac.jp/M3/20110404/F50752/2071/1", 72.22)</f>
        <v>72.22</v>
      </c>
      <c r="E3391" s="2">
        <v>59.35</v>
      </c>
      <c r="F3391" s="2">
        <v>2</v>
      </c>
      <c r="G3391" s="2" t="s">
        <v>9</v>
      </c>
    </row>
    <row r="3392" spans="1:8" x14ac:dyDescent="0.2">
      <c r="A3392" s="2" t="s">
        <v>3343</v>
      </c>
      <c r="B3392" s="2" t="s">
        <v>344</v>
      </c>
      <c r="C3392" s="2">
        <v>919.61109999999996</v>
      </c>
      <c r="D3392" s="2">
        <f>HYPERLINK("http://mcb-m6.bioreg.kyushu-u.ac.jp/M3/20110404/F50755/2728/1", 72.46)</f>
        <v>72.459999999999994</v>
      </c>
      <c r="E3392" s="2">
        <v>44.73</v>
      </c>
      <c r="F3392" s="2">
        <v>2</v>
      </c>
      <c r="G3392" s="2" t="s">
        <v>9</v>
      </c>
    </row>
    <row r="3393" spans="1:8" x14ac:dyDescent="0.2">
      <c r="A3393" s="2" t="s">
        <v>3343</v>
      </c>
      <c r="B3393" s="2" t="s">
        <v>328</v>
      </c>
      <c r="C3393" s="2">
        <v>573.69870000000003</v>
      </c>
      <c r="D3393" s="2">
        <f>HYPERLINK("http://mcb-m6.bioreg.kyushu-u.ac.jp/M3/20110404/F50755/1241/1", 72.78)</f>
        <v>72.78</v>
      </c>
      <c r="E3393" s="2">
        <v>33.840000000000003</v>
      </c>
      <c r="F3393" s="2">
        <v>2</v>
      </c>
      <c r="G3393" s="2" t="s">
        <v>9</v>
      </c>
    </row>
    <row r="3394" spans="1:8" x14ac:dyDescent="0.2">
      <c r="A3394" s="2" t="s">
        <v>3343</v>
      </c>
      <c r="B3394" s="2" t="s">
        <v>344</v>
      </c>
      <c r="C3394" s="2">
        <v>919.87220000000002</v>
      </c>
      <c r="D3394" s="2">
        <f>HYPERLINK("http://mcb-m6.bioreg.kyushu-u.ac.jp/M3/20110404/F50755/2734/1", 72.86)</f>
        <v>72.86</v>
      </c>
      <c r="E3394" s="2">
        <v>46.01</v>
      </c>
      <c r="F3394" s="2">
        <v>2</v>
      </c>
      <c r="G3394" s="2" t="s">
        <v>9</v>
      </c>
    </row>
    <row r="3395" spans="1:8" x14ac:dyDescent="0.2">
      <c r="A3395" s="2" t="s">
        <v>3343</v>
      </c>
      <c r="B3395" s="2" t="s">
        <v>509</v>
      </c>
      <c r="C3395" s="2">
        <v>717.44320000000005</v>
      </c>
      <c r="D3395" s="2">
        <f>HYPERLINK("http://mcb-m6.bioreg.kyushu-u.ac.jp/M3/20110404/F50762/1746/1", 73.94)</f>
        <v>73.94</v>
      </c>
      <c r="E3395" s="2">
        <v>55.45</v>
      </c>
      <c r="F3395" s="2">
        <v>2</v>
      </c>
      <c r="G3395" s="2" t="s">
        <v>9</v>
      </c>
    </row>
    <row r="3396" spans="1:8" x14ac:dyDescent="0.2">
      <c r="A3396" s="2" t="s">
        <v>3343</v>
      </c>
      <c r="B3396" s="2" t="s">
        <v>546</v>
      </c>
      <c r="C3396" s="2">
        <v>665.19370000000004</v>
      </c>
      <c r="D3396" s="2">
        <f>HYPERLINK("http://mcb-m6.bioreg.kyushu-u.ac.jp/M3/20110404/F50755/1593/2", 74.25)</f>
        <v>74.25</v>
      </c>
      <c r="E3396" s="2">
        <v>57.66</v>
      </c>
      <c r="F3396" s="2">
        <v>2</v>
      </c>
      <c r="G3396" s="2" t="s">
        <v>9</v>
      </c>
    </row>
    <row r="3397" spans="1:8" x14ac:dyDescent="0.2">
      <c r="A3397" s="2" t="s">
        <v>3343</v>
      </c>
      <c r="B3397" s="2" t="s">
        <v>1002</v>
      </c>
      <c r="C3397" s="2">
        <v>1147.895</v>
      </c>
      <c r="D3397" s="2">
        <f>HYPERLINK("http://mcb-m6.bioreg.kyushu-u.ac.jp/M3/20110404/F50756/3512/1", 74.58)</f>
        <v>74.58</v>
      </c>
      <c r="E3397" s="2">
        <v>65.27</v>
      </c>
      <c r="F3397" s="2">
        <v>2</v>
      </c>
      <c r="G3397" s="2" t="s">
        <v>9</v>
      </c>
    </row>
    <row r="3398" spans="1:8" x14ac:dyDescent="0.2">
      <c r="A3398" s="2" t="s">
        <v>3343</v>
      </c>
      <c r="B3398" s="2" t="s">
        <v>325</v>
      </c>
      <c r="C3398" s="2">
        <v>1477.5450000000001</v>
      </c>
      <c r="D3398" s="2">
        <f>HYPERLINK("http://mcb-m6.bioreg.kyushu-u.ac.jp/M3/20110404/F50755/1950/1", 74.85)</f>
        <v>74.849999999999994</v>
      </c>
      <c r="E3398" s="2">
        <v>61.45</v>
      </c>
      <c r="F3398" s="2">
        <v>1</v>
      </c>
      <c r="G3398" s="2" t="s">
        <v>9</v>
      </c>
    </row>
    <row r="3399" spans="1:8" x14ac:dyDescent="0.2">
      <c r="A3399" s="2" t="s">
        <v>3343</v>
      </c>
      <c r="B3399" s="2" t="s">
        <v>344</v>
      </c>
      <c r="C3399" s="2">
        <v>919.24519999999995</v>
      </c>
      <c r="D3399" s="2">
        <f>HYPERLINK("http://mcb-m6.bioreg.kyushu-u.ac.jp/M3/20110404/F50755/2724/1", 75.17)</f>
        <v>75.17</v>
      </c>
      <c r="E3399" s="2">
        <v>51.33</v>
      </c>
      <c r="F3399" s="2">
        <v>2</v>
      </c>
      <c r="G3399" s="2" t="s">
        <v>9</v>
      </c>
    </row>
    <row r="3400" spans="1:8" x14ac:dyDescent="0.2">
      <c r="A3400" s="2" t="s">
        <v>3343</v>
      </c>
      <c r="B3400" s="2" t="s">
        <v>1002</v>
      </c>
      <c r="C3400" s="2">
        <v>1147.5909999999999</v>
      </c>
      <c r="D3400" s="2">
        <f>HYPERLINK("http://mcb-m6.bioreg.kyushu-u.ac.jp/M3/20110404/F50776/2877/1", 76.05)</f>
        <v>76.05</v>
      </c>
      <c r="E3400" s="2">
        <v>62.57</v>
      </c>
      <c r="F3400" s="2">
        <v>2</v>
      </c>
      <c r="G3400" s="2" t="s">
        <v>9</v>
      </c>
    </row>
    <row r="3401" spans="1:8" x14ac:dyDescent="0.2">
      <c r="A3401" s="2" t="s">
        <v>3343</v>
      </c>
      <c r="B3401" s="2" t="s">
        <v>558</v>
      </c>
      <c r="C3401" s="2">
        <v>729.29859999999996</v>
      </c>
      <c r="D3401" s="2">
        <f>HYPERLINK("http://mcb-m6.bioreg.kyushu-u.ac.jp/M3/20110404/F50755/1899/1", 76.4)</f>
        <v>76.400000000000006</v>
      </c>
      <c r="E3401" s="2">
        <v>63.76</v>
      </c>
      <c r="F3401" s="2">
        <v>2</v>
      </c>
      <c r="G3401" s="2" t="s">
        <v>9</v>
      </c>
    </row>
    <row r="3402" spans="1:8" x14ac:dyDescent="0.2">
      <c r="A3402" s="2" t="s">
        <v>3343</v>
      </c>
      <c r="B3402" s="2" t="s">
        <v>509</v>
      </c>
      <c r="C3402" s="2">
        <v>725.78369999999995</v>
      </c>
      <c r="D3402" s="2">
        <f>HYPERLINK("http://mcb-m6.bioreg.kyushu-u.ac.jp/M3/20110404/F50755/1877/1", 76.73)</f>
        <v>76.73</v>
      </c>
      <c r="E3402" s="2">
        <v>59.53</v>
      </c>
      <c r="F3402" s="2">
        <v>2</v>
      </c>
      <c r="G3402" s="2" t="s">
        <v>9</v>
      </c>
      <c r="H3402" s="2" t="s">
        <v>4927</v>
      </c>
    </row>
    <row r="3403" spans="1:8" x14ac:dyDescent="0.2">
      <c r="A3403" s="2" t="s">
        <v>3343</v>
      </c>
      <c r="B3403" s="2" t="s">
        <v>546</v>
      </c>
      <c r="C3403" s="2">
        <v>664.76009999999997</v>
      </c>
      <c r="D3403" s="2">
        <f>HYPERLINK("http://mcb-m6.bioreg.kyushu-u.ac.jp/M3/20110404/F50756/1581/2", 77.21)</f>
        <v>77.209999999999994</v>
      </c>
      <c r="E3403" s="2">
        <v>62.24</v>
      </c>
      <c r="F3403" s="2">
        <v>2</v>
      </c>
      <c r="G3403" s="2" t="s">
        <v>9</v>
      </c>
    </row>
    <row r="3404" spans="1:8" x14ac:dyDescent="0.2">
      <c r="A3404" s="2" t="s">
        <v>3343</v>
      </c>
      <c r="B3404" s="2" t="s">
        <v>1002</v>
      </c>
      <c r="C3404" s="2">
        <v>1147.3989999999999</v>
      </c>
      <c r="D3404" s="2">
        <f>HYPERLINK("http://mcb-m6.bioreg.kyushu-u.ac.jp/M3/20110404/F50755/3392/1", 78.11)</f>
        <v>78.11</v>
      </c>
      <c r="E3404" s="2">
        <v>63.82</v>
      </c>
      <c r="F3404" s="2">
        <v>2</v>
      </c>
      <c r="G3404" s="2" t="s">
        <v>9</v>
      </c>
    </row>
    <row r="3405" spans="1:8" x14ac:dyDescent="0.2">
      <c r="A3405" s="2" t="s">
        <v>3343</v>
      </c>
      <c r="B3405" s="2" t="s">
        <v>132</v>
      </c>
      <c r="C3405" s="2">
        <v>578.24109999999996</v>
      </c>
      <c r="D3405" s="2">
        <f>HYPERLINK("http://mcb-m6.bioreg.kyushu-u.ac.jp/M3/20110404/F50776/1221/1", 78.47)</f>
        <v>78.47</v>
      </c>
      <c r="E3405" s="2">
        <v>51.81</v>
      </c>
      <c r="F3405" s="2">
        <v>2</v>
      </c>
      <c r="G3405" s="2" t="s">
        <v>9</v>
      </c>
    </row>
    <row r="3406" spans="1:8" x14ac:dyDescent="0.2">
      <c r="A3406" s="2" t="s">
        <v>3343</v>
      </c>
      <c r="B3406" s="2" t="s">
        <v>344</v>
      </c>
      <c r="C3406" s="2">
        <v>919.79020000000003</v>
      </c>
      <c r="D3406" s="2">
        <f>HYPERLINK("http://mcb-m6.bioreg.kyushu-u.ac.jp/M3/20110404/F50754/2680/1", 78.58)</f>
        <v>78.58</v>
      </c>
      <c r="E3406" s="2">
        <v>53.9</v>
      </c>
      <c r="F3406" s="2">
        <v>2</v>
      </c>
      <c r="G3406" s="2" t="s">
        <v>9</v>
      </c>
    </row>
    <row r="3407" spans="1:8" x14ac:dyDescent="0.2">
      <c r="A3407" s="2" t="s">
        <v>3343</v>
      </c>
      <c r="B3407" s="2" t="s">
        <v>344</v>
      </c>
      <c r="C3407" s="2">
        <v>919.22220000000004</v>
      </c>
      <c r="D3407" s="2">
        <f>HYPERLINK("http://mcb-m6.bioreg.kyushu-u.ac.jp/M3/20110404/F50753/2681/1", 79.07)</f>
        <v>79.069999999999993</v>
      </c>
      <c r="E3407" s="2">
        <v>43.18</v>
      </c>
      <c r="F3407" s="2">
        <v>2</v>
      </c>
      <c r="G3407" s="2" t="s">
        <v>9</v>
      </c>
    </row>
    <row r="3408" spans="1:8" x14ac:dyDescent="0.2">
      <c r="A3408" s="2" t="s">
        <v>3343</v>
      </c>
      <c r="B3408" s="2" t="s">
        <v>546</v>
      </c>
      <c r="C3408" s="2">
        <v>664.85569999999996</v>
      </c>
      <c r="D3408" s="2">
        <f>HYPERLINK("http://mcb-m6.bioreg.kyushu-u.ac.jp/M3/20110404/F50753/1706/2", 79.6)</f>
        <v>79.599999999999994</v>
      </c>
      <c r="E3408" s="2">
        <v>64.459999999999994</v>
      </c>
      <c r="F3408" s="2">
        <v>2</v>
      </c>
      <c r="G3408" s="2" t="s">
        <v>9</v>
      </c>
    </row>
    <row r="3409" spans="1:7" x14ac:dyDescent="0.2">
      <c r="A3409" s="2" t="s">
        <v>3343</v>
      </c>
      <c r="B3409" s="2" t="s">
        <v>344</v>
      </c>
      <c r="C3409" s="2">
        <v>919.69420000000002</v>
      </c>
      <c r="D3409" s="2">
        <f>HYPERLINK("http://mcb-m6.bioreg.kyushu-u.ac.jp/M3/20110404/F50755/2730/1", 80.75)</f>
        <v>80.75</v>
      </c>
      <c r="E3409" s="2">
        <v>57.18</v>
      </c>
      <c r="F3409" s="2">
        <v>2</v>
      </c>
      <c r="G3409" s="2" t="s">
        <v>9</v>
      </c>
    </row>
    <row r="3410" spans="1:7" x14ac:dyDescent="0.2">
      <c r="A3410" s="2" t="s">
        <v>3343</v>
      </c>
      <c r="B3410" s="2" t="s">
        <v>558</v>
      </c>
      <c r="C3410" s="2">
        <v>729.35170000000005</v>
      </c>
      <c r="D3410" s="2">
        <f>HYPERLINK("http://mcb-m6.bioreg.kyushu-u.ac.jp/M3/20110404/F50776/1738/1", 80.91)</f>
        <v>80.91</v>
      </c>
      <c r="E3410" s="2">
        <v>67.5</v>
      </c>
      <c r="F3410" s="2">
        <v>2</v>
      </c>
      <c r="G3410" s="2" t="s">
        <v>9</v>
      </c>
    </row>
    <row r="3411" spans="1:7" x14ac:dyDescent="0.2">
      <c r="A3411" s="2" t="s">
        <v>3343</v>
      </c>
      <c r="B3411" s="2" t="s">
        <v>1002</v>
      </c>
      <c r="C3411" s="2">
        <v>1147.807</v>
      </c>
      <c r="D3411" s="2">
        <f>HYPERLINK("http://mcb-m6.bioreg.kyushu-u.ac.jp/M3/20110404/F50755/3395/1", 81.26)</f>
        <v>81.260000000000005</v>
      </c>
      <c r="E3411" s="2">
        <v>73.59</v>
      </c>
      <c r="F3411" s="2">
        <v>2</v>
      </c>
      <c r="G3411" s="2" t="s">
        <v>9</v>
      </c>
    </row>
    <row r="3412" spans="1:7" x14ac:dyDescent="0.2">
      <c r="A3412" s="2" t="s">
        <v>3343</v>
      </c>
      <c r="B3412" s="2" t="s">
        <v>1189</v>
      </c>
      <c r="C3412" s="2">
        <v>1069.336</v>
      </c>
      <c r="D3412" s="2">
        <f>HYPERLINK("http://mcb-m6.bioreg.kyushu-u.ac.jp/M3/20110404/F50753/3067/1", 81.69)</f>
        <v>81.69</v>
      </c>
      <c r="E3412" s="2">
        <v>68.989999999999995</v>
      </c>
      <c r="F3412" s="2">
        <v>2</v>
      </c>
      <c r="G3412" s="2" t="s">
        <v>9</v>
      </c>
    </row>
    <row r="3413" spans="1:7" x14ac:dyDescent="0.2">
      <c r="A3413" s="2" t="s">
        <v>3343</v>
      </c>
      <c r="B3413" s="2" t="s">
        <v>1002</v>
      </c>
      <c r="C3413" s="2">
        <v>1147.2909999999999</v>
      </c>
      <c r="D3413" s="2">
        <f>HYPERLINK("http://mcb-m6.bioreg.kyushu-u.ac.jp/M3/20110404/F50753/3275/1", 81.83)</f>
        <v>81.83</v>
      </c>
      <c r="E3413" s="2">
        <v>68.7</v>
      </c>
      <c r="F3413" s="2">
        <v>2</v>
      </c>
      <c r="G3413" s="2" t="s">
        <v>9</v>
      </c>
    </row>
    <row r="3414" spans="1:7" x14ac:dyDescent="0.2">
      <c r="A3414" s="2" t="s">
        <v>3343</v>
      </c>
      <c r="B3414" s="2" t="s">
        <v>1189</v>
      </c>
      <c r="C3414" s="2">
        <v>1069.2950000000001</v>
      </c>
      <c r="D3414" s="2">
        <f>HYPERLINK("http://mcb-m6.bioreg.kyushu-u.ac.jp/M3/20110404/F50755/3117/1", 83.11)</f>
        <v>83.11</v>
      </c>
      <c r="E3414" s="2">
        <v>72.95</v>
      </c>
      <c r="F3414" s="2">
        <v>2</v>
      </c>
      <c r="G3414" s="2" t="s">
        <v>9</v>
      </c>
    </row>
    <row r="3415" spans="1:7" x14ac:dyDescent="0.2">
      <c r="A3415" s="2" t="s">
        <v>3343</v>
      </c>
      <c r="B3415" s="2" t="s">
        <v>546</v>
      </c>
      <c r="C3415" s="2">
        <v>664.84169999999995</v>
      </c>
      <c r="D3415" s="2">
        <f>HYPERLINK("http://mcb-m6.bioreg.kyushu-u.ac.jp/M3/20110404/F50754/1830/2", 84)</f>
        <v>84</v>
      </c>
      <c r="E3415" s="2">
        <v>68.87</v>
      </c>
      <c r="F3415" s="2">
        <v>2</v>
      </c>
      <c r="G3415" s="2" t="s">
        <v>9</v>
      </c>
    </row>
    <row r="3416" spans="1:7" x14ac:dyDescent="0.2">
      <c r="A3416" s="2" t="s">
        <v>3343</v>
      </c>
      <c r="B3416" s="2" t="s">
        <v>344</v>
      </c>
      <c r="C3416" s="2">
        <v>919.44569999999999</v>
      </c>
      <c r="D3416" s="2">
        <f>HYPERLINK("http://mcb-m6.bioreg.kyushu-u.ac.jp/M3/20110404/F50776/2323/1", 84.11)</f>
        <v>84.11</v>
      </c>
      <c r="E3416" s="2">
        <v>58.72</v>
      </c>
      <c r="F3416" s="2">
        <v>2</v>
      </c>
      <c r="G3416" s="2" t="s">
        <v>9</v>
      </c>
    </row>
    <row r="3417" spans="1:7" x14ac:dyDescent="0.2">
      <c r="A3417" s="2" t="s">
        <v>3343</v>
      </c>
      <c r="B3417" s="2" t="s">
        <v>344</v>
      </c>
      <c r="C3417" s="2">
        <v>919.14620000000002</v>
      </c>
      <c r="D3417" s="2">
        <f>HYPERLINK("http://mcb-m6.bioreg.kyushu-u.ac.jp/M3/20110404/F50755/2723/1", 84.22)</f>
        <v>84.22</v>
      </c>
      <c r="E3417" s="2">
        <v>61.48</v>
      </c>
      <c r="F3417" s="2">
        <v>2</v>
      </c>
      <c r="G3417" s="2" t="s">
        <v>9</v>
      </c>
    </row>
    <row r="3418" spans="1:7" x14ac:dyDescent="0.2">
      <c r="A3418" s="2" t="s">
        <v>3343</v>
      </c>
      <c r="B3418" s="2" t="s">
        <v>344</v>
      </c>
      <c r="C3418" s="2">
        <v>919.52419999999995</v>
      </c>
      <c r="D3418" s="2">
        <f>HYPERLINK("http://mcb-m6.bioreg.kyushu-u.ac.jp/M3/20110404/F50755/2727/1", 84.48)</f>
        <v>84.48</v>
      </c>
      <c r="E3418" s="2">
        <v>57.98</v>
      </c>
      <c r="F3418" s="2">
        <v>2</v>
      </c>
      <c r="G3418" s="2" t="s">
        <v>9</v>
      </c>
    </row>
    <row r="3419" spans="1:7" x14ac:dyDescent="0.2">
      <c r="A3419" s="2" t="s">
        <v>3343</v>
      </c>
      <c r="B3419" s="2" t="s">
        <v>344</v>
      </c>
      <c r="C3419" s="2">
        <v>1837.625</v>
      </c>
      <c r="D3419" s="2">
        <f>HYPERLINK("http://mcb-m6.bioreg.kyushu-u.ac.jp/M3/20110404/F50755/2726/1", 85.63)</f>
        <v>85.63</v>
      </c>
      <c r="E3419" s="2">
        <v>63.72</v>
      </c>
      <c r="F3419" s="2">
        <v>1</v>
      </c>
      <c r="G3419" s="2" t="s">
        <v>9</v>
      </c>
    </row>
    <row r="3420" spans="1:7" x14ac:dyDescent="0.2">
      <c r="A3420" s="2" t="s">
        <v>3343</v>
      </c>
      <c r="B3420" s="2" t="s">
        <v>344</v>
      </c>
      <c r="C3420" s="2">
        <v>919.39869999999996</v>
      </c>
      <c r="D3420" s="2">
        <f>HYPERLINK("http://mcb-m6.bioreg.kyushu-u.ac.jp/M3/20110404/F50752/2642/1", 85.72)</f>
        <v>85.72</v>
      </c>
      <c r="E3420" s="2">
        <v>63.08</v>
      </c>
      <c r="F3420" s="2">
        <v>2</v>
      </c>
      <c r="G3420" s="2" t="s">
        <v>9</v>
      </c>
    </row>
    <row r="3421" spans="1:7" x14ac:dyDescent="0.2">
      <c r="A3421" s="2" t="s">
        <v>3343</v>
      </c>
      <c r="B3421" s="2" t="s">
        <v>1002</v>
      </c>
      <c r="C3421" s="2">
        <v>1147.3399999999999</v>
      </c>
      <c r="D3421" s="2">
        <f>HYPERLINK("http://mcb-m6.bioreg.kyushu-u.ac.jp/M3/20110404/F50755/3386/1", 88.81)</f>
        <v>88.81</v>
      </c>
      <c r="E3421" s="2">
        <v>78.41</v>
      </c>
      <c r="F3421" s="2">
        <v>2</v>
      </c>
      <c r="G3421" s="2" t="s">
        <v>9</v>
      </c>
    </row>
    <row r="3422" spans="1:7" x14ac:dyDescent="0.2">
      <c r="A3422" s="2" t="s">
        <v>3343</v>
      </c>
      <c r="B3422" s="2" t="s">
        <v>1002</v>
      </c>
      <c r="C3422" s="2">
        <v>1147.365</v>
      </c>
      <c r="D3422" s="2">
        <f>HYPERLINK("http://mcb-m6.bioreg.kyushu-u.ac.jp/M3/20110404/F50756/3508/1", 89.48)</f>
        <v>89.48</v>
      </c>
      <c r="E3422" s="2">
        <v>83.04</v>
      </c>
      <c r="F3422" s="2">
        <v>2</v>
      </c>
      <c r="G3422" s="2" t="s">
        <v>9</v>
      </c>
    </row>
    <row r="3423" spans="1:7" x14ac:dyDescent="0.2">
      <c r="A3423" s="2" t="s">
        <v>3343</v>
      </c>
      <c r="B3423" s="2" t="s">
        <v>325</v>
      </c>
      <c r="C3423" s="2">
        <v>739.23659999999995</v>
      </c>
      <c r="D3423" s="2">
        <f>HYPERLINK("http://mcb-m6.bioreg.kyushu-u.ac.jp/M3/20110404/F50755/1948/1", 91.78)</f>
        <v>91.78</v>
      </c>
      <c r="E3423" s="2">
        <v>74.25</v>
      </c>
      <c r="F3423" s="2">
        <v>2</v>
      </c>
      <c r="G3423" s="2" t="s">
        <v>9</v>
      </c>
    </row>
    <row r="3424" spans="1:7" x14ac:dyDescent="0.2">
      <c r="A3424" s="2" t="s">
        <v>3343</v>
      </c>
      <c r="B3424" s="2" t="s">
        <v>1189</v>
      </c>
      <c r="C3424" s="2">
        <v>1069.893</v>
      </c>
      <c r="D3424" s="2">
        <f>HYPERLINK("http://mcb-m6.bioreg.kyushu-u.ac.jp/M3/20110404/F50752/2913/1", 95.47)</f>
        <v>95.47</v>
      </c>
      <c r="E3424" s="2">
        <v>77.87</v>
      </c>
      <c r="F3424" s="2">
        <v>2</v>
      </c>
      <c r="G3424" s="2" t="s">
        <v>9</v>
      </c>
    </row>
    <row r="3425" spans="1:7" x14ac:dyDescent="0.2">
      <c r="A3425" s="2" t="s">
        <v>3343</v>
      </c>
      <c r="B3425" s="2" t="s">
        <v>1189</v>
      </c>
      <c r="C3425" s="2">
        <v>1069.855</v>
      </c>
      <c r="D3425" s="2">
        <f>HYPERLINK("http://mcb-m6.bioreg.kyushu-u.ac.jp/M3/20110404/F50755/3122/1", 96.61)</f>
        <v>96.61</v>
      </c>
      <c r="E3425" s="2">
        <v>84.69</v>
      </c>
      <c r="F3425" s="2">
        <v>2</v>
      </c>
      <c r="G3425" s="2" t="s">
        <v>9</v>
      </c>
    </row>
    <row r="3426" spans="1:7" x14ac:dyDescent="0.2">
      <c r="A3426" s="2" t="s">
        <v>3343</v>
      </c>
      <c r="B3426" s="2" t="s">
        <v>1002</v>
      </c>
      <c r="C3426" s="2">
        <v>1147.287</v>
      </c>
      <c r="D3426" s="2">
        <f>HYPERLINK("http://mcb-m6.bioreg.kyushu-u.ac.jp/M3/20110404/F50755/3385/1", 98.53)</f>
        <v>98.53</v>
      </c>
      <c r="E3426" s="2">
        <v>85.73</v>
      </c>
      <c r="F3426" s="2">
        <v>2</v>
      </c>
      <c r="G3426" s="2" t="s">
        <v>9</v>
      </c>
    </row>
    <row r="3427" spans="1:7" x14ac:dyDescent="0.2">
      <c r="A3427" s="2" t="s">
        <v>3343</v>
      </c>
      <c r="B3427" s="2" t="s">
        <v>1189</v>
      </c>
      <c r="C3427" s="2">
        <v>1069.9290000000001</v>
      </c>
      <c r="D3427" s="2">
        <f>HYPERLINK("http://mcb-m6.bioreg.kyushu-u.ac.jp/M3/20110404/F50755/3124/1", 99.85)</f>
        <v>99.85</v>
      </c>
      <c r="E3427" s="2">
        <v>87.52</v>
      </c>
      <c r="F3427" s="2">
        <v>2</v>
      </c>
      <c r="G3427" s="2" t="s">
        <v>9</v>
      </c>
    </row>
    <row r="3428" spans="1:7" x14ac:dyDescent="0.2">
      <c r="A3428" s="2" t="s">
        <v>3343</v>
      </c>
      <c r="B3428" s="2" t="s">
        <v>1032</v>
      </c>
      <c r="C3428" s="2">
        <v>1163.9259999999999</v>
      </c>
      <c r="D3428" s="2">
        <f>HYPERLINK("http://mcb-m6.bioreg.kyushu-u.ac.jp/M3/20110404/F50755/3464/1", 102.54)</f>
        <v>102.54</v>
      </c>
      <c r="E3428" s="2">
        <v>87.42</v>
      </c>
      <c r="F3428" s="2">
        <v>2</v>
      </c>
      <c r="G3428" s="2" t="s">
        <v>9</v>
      </c>
    </row>
    <row r="3429" spans="1:7" x14ac:dyDescent="0.2">
      <c r="A3429" s="2" t="s">
        <v>3343</v>
      </c>
      <c r="B3429" s="2" t="s">
        <v>1032</v>
      </c>
      <c r="C3429" s="2">
        <v>1163.5070000000001</v>
      </c>
      <c r="D3429" s="2">
        <f>HYPERLINK("http://mcb-m6.bioreg.kyushu-u.ac.jp/M3/20110404/F50753/3314/1", 103.51)</f>
        <v>103.51</v>
      </c>
      <c r="E3429" s="2">
        <v>91.91</v>
      </c>
      <c r="F3429" s="2">
        <v>2</v>
      </c>
      <c r="G3429" s="2" t="s">
        <v>9</v>
      </c>
    </row>
    <row r="3430" spans="1:7" x14ac:dyDescent="0.2">
      <c r="A3430" s="2" t="s">
        <v>3343</v>
      </c>
      <c r="B3430" s="2" t="s">
        <v>1189</v>
      </c>
      <c r="C3430" s="2">
        <v>1069.2660000000001</v>
      </c>
      <c r="D3430" s="2">
        <f>HYPERLINK("http://mcb-m6.bioreg.kyushu-u.ac.jp/M3/20110404/F50755/3116/1", 106.41)</f>
        <v>106.41</v>
      </c>
      <c r="E3430" s="2">
        <v>87.96</v>
      </c>
      <c r="F3430" s="2">
        <v>2</v>
      </c>
      <c r="G3430" s="2" t="s">
        <v>9</v>
      </c>
    </row>
    <row r="3431" spans="1:7" x14ac:dyDescent="0.2">
      <c r="A3431" s="2" t="s">
        <v>3343</v>
      </c>
      <c r="B3431" s="2" t="s">
        <v>1032</v>
      </c>
      <c r="C3431" s="2">
        <v>1163.6310000000001</v>
      </c>
      <c r="D3431" s="2">
        <f>HYPERLINK("http://mcb-m6.bioreg.kyushu-u.ac.jp/M3/20110404/F50755/3460/1", 110.33)</f>
        <v>110.33</v>
      </c>
      <c r="E3431" s="2">
        <v>94.81</v>
      </c>
      <c r="F3431" s="2">
        <v>2</v>
      </c>
      <c r="G3431" s="2" t="s">
        <v>9</v>
      </c>
    </row>
    <row r="3432" spans="1:7" x14ac:dyDescent="0.2">
      <c r="A3432" s="2" t="s">
        <v>3343</v>
      </c>
      <c r="B3432" s="2" t="s">
        <v>1032</v>
      </c>
      <c r="C3432" s="2">
        <v>1163.3810000000001</v>
      </c>
      <c r="D3432" s="2">
        <f>HYPERLINK("http://mcb-m6.bioreg.kyushu-u.ac.jp/M3/20110404/F50756/3557/1", 111.62)</f>
        <v>111.62</v>
      </c>
      <c r="E3432" s="2">
        <v>100.91</v>
      </c>
      <c r="F3432" s="2">
        <v>2</v>
      </c>
      <c r="G3432" s="2" t="s">
        <v>9</v>
      </c>
    </row>
    <row r="3433" spans="1:7" x14ac:dyDescent="0.2">
      <c r="A3433" s="2" t="s">
        <v>3343</v>
      </c>
      <c r="B3433" s="2" t="s">
        <v>325</v>
      </c>
      <c r="C3433" s="2">
        <v>739.46619999999996</v>
      </c>
      <c r="D3433" s="2">
        <f>HYPERLINK("http://mcb-m6.bioreg.kyushu-u.ac.jp/M3/20110404/F50755/1955/1", 113.46)</f>
        <v>113.46</v>
      </c>
      <c r="E3433" s="2">
        <v>101.14</v>
      </c>
      <c r="F3433" s="2">
        <v>2</v>
      </c>
      <c r="G3433" s="2" t="s">
        <v>9</v>
      </c>
    </row>
    <row r="3434" spans="1:7" x14ac:dyDescent="0.2">
      <c r="A3434" s="2" t="s">
        <v>3343</v>
      </c>
      <c r="B3434" s="2" t="s">
        <v>325</v>
      </c>
      <c r="C3434" s="2">
        <v>739.28369999999995</v>
      </c>
      <c r="D3434" s="2">
        <f>HYPERLINK("http://mcb-m6.bioreg.kyushu-u.ac.jp/M3/20110404/F50755/1951/1", 116.02)</f>
        <v>116.02</v>
      </c>
      <c r="E3434" s="2">
        <v>102.2</v>
      </c>
      <c r="F3434" s="2">
        <v>2</v>
      </c>
      <c r="G3434" s="2" t="s">
        <v>9</v>
      </c>
    </row>
    <row r="3435" spans="1:7" x14ac:dyDescent="0.2">
      <c r="A3435" s="2" t="s">
        <v>3343</v>
      </c>
      <c r="B3435" s="2" t="s">
        <v>1032</v>
      </c>
      <c r="C3435" s="2">
        <v>1163.425</v>
      </c>
      <c r="D3435" s="2">
        <f>HYPERLINK("http://mcb-m6.bioreg.kyushu-u.ac.jp/M3/20110404/F50755/3459/1", 117.92)</f>
        <v>117.92</v>
      </c>
      <c r="E3435" s="2">
        <v>108.4</v>
      </c>
      <c r="F3435" s="2">
        <v>2</v>
      </c>
      <c r="G3435" s="2" t="s">
        <v>9</v>
      </c>
    </row>
    <row r="3436" spans="1:7" x14ac:dyDescent="0.2">
      <c r="A3436" s="2" t="s">
        <v>3343</v>
      </c>
      <c r="B3436" s="2" t="s">
        <v>132</v>
      </c>
      <c r="C3436" s="2">
        <v>1156.124</v>
      </c>
      <c r="D3436" s="2">
        <f>HYPERLINK("http://mcb-m6.bioreg.kyushu-u.ac.jp/M3/20110404/F50781/1257/1", 35.1)</f>
        <v>35.1</v>
      </c>
      <c r="E3436" s="2">
        <v>11.35</v>
      </c>
      <c r="F3436" s="2">
        <v>1</v>
      </c>
      <c r="G3436" s="2" t="s">
        <v>10</v>
      </c>
    </row>
    <row r="3437" spans="1:7" x14ac:dyDescent="0.2">
      <c r="A3437" s="2" t="s">
        <v>3343</v>
      </c>
      <c r="B3437" s="2" t="s">
        <v>428</v>
      </c>
      <c r="C3437" s="2">
        <v>902.43200000000002</v>
      </c>
      <c r="D3437" s="2">
        <f>HYPERLINK("http://mcb-m6.bioreg.kyushu-u.ac.jp/M3/20110404/F50760/878/1", 35.18)</f>
        <v>35.18</v>
      </c>
      <c r="E3437" s="2">
        <v>17.02</v>
      </c>
      <c r="F3437" s="2">
        <v>1</v>
      </c>
      <c r="G3437" s="2" t="s">
        <v>10</v>
      </c>
    </row>
    <row r="3438" spans="1:7" x14ac:dyDescent="0.2">
      <c r="A3438" s="2" t="s">
        <v>3343</v>
      </c>
      <c r="B3438" s="2" t="s">
        <v>704</v>
      </c>
      <c r="C3438" s="2">
        <v>1204.566</v>
      </c>
      <c r="D3438" s="2">
        <f>HYPERLINK("http://mcb-m6.bioreg.kyushu-u.ac.jp/M3/20110404/F50781/1368/1", 35.2)</f>
        <v>35.200000000000003</v>
      </c>
      <c r="E3438" s="2">
        <v>10.25</v>
      </c>
      <c r="F3438" s="2">
        <v>1</v>
      </c>
      <c r="G3438" s="2" t="s">
        <v>10</v>
      </c>
    </row>
    <row r="3439" spans="1:7" x14ac:dyDescent="0.2">
      <c r="A3439" s="2" t="s">
        <v>3343</v>
      </c>
      <c r="B3439" s="2" t="s">
        <v>132</v>
      </c>
      <c r="C3439" s="2">
        <v>1156.4079999999999</v>
      </c>
      <c r="D3439" s="2">
        <f>HYPERLINK("http://mcb-m6.bioreg.kyushu-u.ac.jp/M3/20110404/F50760/1233/1", 35.6)</f>
        <v>35.6</v>
      </c>
      <c r="E3439" s="2">
        <v>19.5</v>
      </c>
      <c r="F3439" s="2">
        <v>1</v>
      </c>
      <c r="G3439" s="2" t="s">
        <v>10</v>
      </c>
    </row>
    <row r="3440" spans="1:7" x14ac:dyDescent="0.2">
      <c r="A3440" s="2" t="s">
        <v>3343</v>
      </c>
      <c r="B3440" s="2" t="s">
        <v>704</v>
      </c>
      <c r="C3440" s="2">
        <v>1204.4939999999999</v>
      </c>
      <c r="D3440" s="2">
        <f>HYPERLINK("http://mcb-m6.bioreg.kyushu-u.ac.jp/M3/20110404/F50760/1343/1", 35.91)</f>
        <v>35.909999999999997</v>
      </c>
      <c r="E3440" s="2">
        <v>16.89</v>
      </c>
      <c r="F3440" s="2">
        <v>1</v>
      </c>
      <c r="G3440" s="2" t="s">
        <v>10</v>
      </c>
    </row>
    <row r="3441" spans="1:8" x14ac:dyDescent="0.2">
      <c r="A3441" s="2" t="s">
        <v>3343</v>
      </c>
      <c r="B3441" s="2" t="s">
        <v>210</v>
      </c>
      <c r="C3441" s="2">
        <v>1092.473</v>
      </c>
      <c r="D3441" s="2">
        <f>HYPERLINK("http://mcb-m6.bioreg.kyushu-u.ac.jp/M3/20110404/F50781/1189/1", 36.12)</f>
        <v>36.119999999999997</v>
      </c>
      <c r="E3441" s="2">
        <v>14.29</v>
      </c>
      <c r="F3441" s="2">
        <v>1</v>
      </c>
      <c r="G3441" s="2" t="s">
        <v>10</v>
      </c>
    </row>
    <row r="3442" spans="1:8" x14ac:dyDescent="0.2">
      <c r="A3442" s="2" t="s">
        <v>3343</v>
      </c>
      <c r="B3442" s="2" t="s">
        <v>210</v>
      </c>
      <c r="C3442" s="2">
        <v>554.80359999999996</v>
      </c>
      <c r="D3442" s="2">
        <f>HYPERLINK("http://mcb-m6.bioreg.kyushu-u.ac.jp/M3/20110404/F50781/1208/1", 36.2)</f>
        <v>36.200000000000003</v>
      </c>
      <c r="E3442" s="2">
        <v>11.51</v>
      </c>
      <c r="F3442" s="2">
        <v>2</v>
      </c>
      <c r="G3442" s="2" t="s">
        <v>10</v>
      </c>
      <c r="H3442" s="2" t="s">
        <v>4910</v>
      </c>
    </row>
    <row r="3443" spans="1:8" x14ac:dyDescent="0.2">
      <c r="A3443" s="2" t="s">
        <v>3343</v>
      </c>
      <c r="B3443" s="2" t="s">
        <v>509</v>
      </c>
      <c r="C3443" s="2">
        <v>1449.345</v>
      </c>
      <c r="D3443" s="2">
        <f>HYPERLINK("http://mcb-m6.bioreg.kyushu-u.ac.jp/M3/20110404/F50760/1787/1", 36.31)</f>
        <v>36.31</v>
      </c>
      <c r="E3443" s="2">
        <v>21.97</v>
      </c>
      <c r="F3443" s="2">
        <v>1</v>
      </c>
      <c r="G3443" s="2" t="s">
        <v>10</v>
      </c>
      <c r="H3443" s="2" t="s">
        <v>4927</v>
      </c>
    </row>
    <row r="3444" spans="1:8" x14ac:dyDescent="0.2">
      <c r="A3444" s="2" t="s">
        <v>3343</v>
      </c>
      <c r="B3444" s="2" t="s">
        <v>558</v>
      </c>
      <c r="C3444" s="2">
        <v>729.25519999999995</v>
      </c>
      <c r="D3444" s="2">
        <f>HYPERLINK("http://mcb-m6.bioreg.kyushu-u.ac.jp/M3/20110404/F50760/1804/1", 36.35)</f>
        <v>36.35</v>
      </c>
      <c r="E3444" s="2">
        <v>22.3</v>
      </c>
      <c r="F3444" s="2">
        <v>2</v>
      </c>
      <c r="G3444" s="2" t="s">
        <v>10</v>
      </c>
    </row>
    <row r="3445" spans="1:8" x14ac:dyDescent="0.2">
      <c r="A3445" s="2" t="s">
        <v>3343</v>
      </c>
      <c r="B3445" s="2" t="s">
        <v>328</v>
      </c>
      <c r="C3445" s="2">
        <v>1147.3699999999999</v>
      </c>
      <c r="D3445" s="2">
        <f>HYPERLINK("http://mcb-m6.bioreg.kyushu-u.ac.jp/M3/20110404/F50757/1669/1", 37.01)</f>
        <v>37.01</v>
      </c>
      <c r="E3445" s="2">
        <v>16.09</v>
      </c>
      <c r="F3445" s="2">
        <v>1</v>
      </c>
      <c r="G3445" s="2" t="s">
        <v>10</v>
      </c>
    </row>
    <row r="3446" spans="1:8" x14ac:dyDescent="0.2">
      <c r="A3446" s="2" t="s">
        <v>3343</v>
      </c>
      <c r="B3446" s="2" t="s">
        <v>509</v>
      </c>
      <c r="C3446" s="2">
        <v>1433.4480000000001</v>
      </c>
      <c r="D3446" s="2">
        <f>HYPERLINK("http://mcb-m6.bioreg.kyushu-u.ac.jp/M3/20110404/F50760/1744/1", 37.01)</f>
        <v>37.01</v>
      </c>
      <c r="E3446" s="2">
        <v>20.69</v>
      </c>
      <c r="F3446" s="2">
        <v>1</v>
      </c>
      <c r="G3446" s="2" t="s">
        <v>10</v>
      </c>
    </row>
    <row r="3447" spans="1:8" x14ac:dyDescent="0.2">
      <c r="A3447" s="2" t="s">
        <v>3343</v>
      </c>
      <c r="B3447" s="2" t="s">
        <v>704</v>
      </c>
      <c r="C3447" s="2">
        <v>1220.424</v>
      </c>
      <c r="D3447" s="2">
        <f>HYPERLINK("http://mcb-m6.bioreg.kyushu-u.ac.jp/M3/20110404/F50760/1381/1", 37.08)</f>
        <v>37.08</v>
      </c>
      <c r="E3447" s="2">
        <v>16.559999999999999</v>
      </c>
      <c r="F3447" s="2">
        <v>1</v>
      </c>
      <c r="G3447" s="2" t="s">
        <v>10</v>
      </c>
      <c r="H3447" s="2" t="s">
        <v>4908</v>
      </c>
    </row>
    <row r="3448" spans="1:8" x14ac:dyDescent="0.2">
      <c r="A3448" s="2" t="s">
        <v>3343</v>
      </c>
      <c r="B3448" s="2" t="s">
        <v>132</v>
      </c>
      <c r="C3448" s="2">
        <v>1155.4929999999999</v>
      </c>
      <c r="D3448" s="2">
        <f>HYPERLINK("http://mcb-m6.bioreg.kyushu-u.ac.jp/M3/20110404/F50760/1227/1", 37.12)</f>
        <v>37.119999999999997</v>
      </c>
      <c r="E3448" s="2">
        <v>15.89</v>
      </c>
      <c r="F3448" s="2">
        <v>1</v>
      </c>
      <c r="G3448" s="2" t="s">
        <v>10</v>
      </c>
    </row>
    <row r="3449" spans="1:8" x14ac:dyDescent="0.2">
      <c r="A3449" s="2" t="s">
        <v>3343</v>
      </c>
      <c r="B3449" s="2" t="s">
        <v>132</v>
      </c>
      <c r="C3449" s="2">
        <v>1155.3800000000001</v>
      </c>
      <c r="D3449" s="2">
        <f>HYPERLINK("http://mcb-m6.bioreg.kyushu-u.ac.jp/M3/20110404/F50761/1223/1", 37.27)</f>
        <v>37.270000000000003</v>
      </c>
      <c r="E3449" s="2">
        <v>15.45</v>
      </c>
      <c r="F3449" s="2">
        <v>1</v>
      </c>
      <c r="G3449" s="2" t="s">
        <v>10</v>
      </c>
    </row>
    <row r="3450" spans="1:8" x14ac:dyDescent="0.2">
      <c r="A3450" s="2" t="s">
        <v>3343</v>
      </c>
      <c r="B3450" s="2" t="s">
        <v>210</v>
      </c>
      <c r="C3450" s="2">
        <v>1108.71</v>
      </c>
      <c r="D3450" s="2">
        <f>HYPERLINK("http://mcb-m6.bioreg.kyushu-u.ac.jp/M3/20110404/F50781/1209/1", 37.33)</f>
        <v>37.33</v>
      </c>
      <c r="E3450" s="2">
        <v>25.22</v>
      </c>
      <c r="F3450" s="2">
        <v>1</v>
      </c>
      <c r="G3450" s="2" t="s">
        <v>10</v>
      </c>
      <c r="H3450" s="2" t="s">
        <v>4910</v>
      </c>
    </row>
    <row r="3451" spans="1:8" x14ac:dyDescent="0.2">
      <c r="A3451" s="2" t="s">
        <v>3343</v>
      </c>
      <c r="B3451" s="2" t="s">
        <v>509</v>
      </c>
      <c r="C3451" s="2">
        <v>1434.02</v>
      </c>
      <c r="D3451" s="2">
        <f>HYPERLINK("http://mcb-m6.bioreg.kyushu-u.ac.jp/M3/20110404/F50760/1750/1", 37.46)</f>
        <v>37.46</v>
      </c>
      <c r="E3451" s="2">
        <v>18.18</v>
      </c>
      <c r="F3451" s="2">
        <v>1</v>
      </c>
      <c r="G3451" s="2" t="s">
        <v>10</v>
      </c>
    </row>
    <row r="3452" spans="1:8" x14ac:dyDescent="0.2">
      <c r="A3452" s="2" t="s">
        <v>3343</v>
      </c>
      <c r="B3452" s="2" t="s">
        <v>132</v>
      </c>
      <c r="C3452" s="2">
        <v>1155.4739999999999</v>
      </c>
      <c r="D3452" s="2">
        <f>HYPERLINK("http://mcb-m6.bioreg.kyushu-u.ac.jp/M3/20110404/F50758/1395/1", 37.87)</f>
        <v>37.869999999999997</v>
      </c>
      <c r="E3452" s="2">
        <v>20.46</v>
      </c>
      <c r="F3452" s="2">
        <v>1</v>
      </c>
      <c r="G3452" s="2" t="s">
        <v>10</v>
      </c>
    </row>
    <row r="3453" spans="1:8" x14ac:dyDescent="0.2">
      <c r="A3453" s="2" t="s">
        <v>3343</v>
      </c>
      <c r="B3453" s="2" t="s">
        <v>1189</v>
      </c>
      <c r="C3453" s="2">
        <v>1069.3389999999999</v>
      </c>
      <c r="D3453" s="2">
        <f>HYPERLINK("http://mcb-m6.bioreg.kyushu-u.ac.jp/M3/20110404/F50761/3001/1", 37.9)</f>
        <v>37.9</v>
      </c>
      <c r="E3453" s="2">
        <v>27.49</v>
      </c>
      <c r="F3453" s="2">
        <v>2</v>
      </c>
      <c r="G3453" s="2" t="s">
        <v>10</v>
      </c>
    </row>
    <row r="3454" spans="1:8" x14ac:dyDescent="0.2">
      <c r="A3454" s="2" t="s">
        <v>3343</v>
      </c>
      <c r="B3454" s="2" t="s">
        <v>328</v>
      </c>
      <c r="C3454" s="2">
        <v>1146.328</v>
      </c>
      <c r="D3454" s="2">
        <f>HYPERLINK("http://mcb-m6.bioreg.kyushu-u.ac.jp/M3/20110404/F50760/1207/1", 38.07)</f>
        <v>38.07</v>
      </c>
      <c r="E3454" s="2">
        <v>16.489999999999998</v>
      </c>
      <c r="F3454" s="2">
        <v>1</v>
      </c>
      <c r="G3454" s="2" t="s">
        <v>10</v>
      </c>
    </row>
    <row r="3455" spans="1:8" x14ac:dyDescent="0.2">
      <c r="A3455" s="2" t="s">
        <v>3343</v>
      </c>
      <c r="B3455" s="2" t="s">
        <v>132</v>
      </c>
      <c r="C3455" s="2">
        <v>1155.5550000000001</v>
      </c>
      <c r="D3455" s="2">
        <f>HYPERLINK("http://mcb-m6.bioreg.kyushu-u.ac.jp/M3/20110404/F50760/1229/1", 38.15)</f>
        <v>38.15</v>
      </c>
      <c r="E3455" s="2">
        <v>17.829999999999998</v>
      </c>
      <c r="F3455" s="2">
        <v>1</v>
      </c>
      <c r="G3455" s="2" t="s">
        <v>10</v>
      </c>
    </row>
    <row r="3456" spans="1:8" x14ac:dyDescent="0.2">
      <c r="A3456" s="2" t="s">
        <v>3343</v>
      </c>
      <c r="B3456" s="2" t="s">
        <v>509</v>
      </c>
      <c r="C3456" s="2">
        <v>1433.394</v>
      </c>
      <c r="D3456" s="2">
        <f>HYPERLINK("http://mcb-m6.bioreg.kyushu-u.ac.jp/M3/20110404/F50760/1743/1", 38.39)</f>
        <v>38.39</v>
      </c>
      <c r="E3456" s="2">
        <v>28.77</v>
      </c>
      <c r="F3456" s="2">
        <v>1</v>
      </c>
      <c r="G3456" s="2" t="s">
        <v>10</v>
      </c>
      <c r="H3456" s="2" t="s">
        <v>4931</v>
      </c>
    </row>
    <row r="3457" spans="1:8" x14ac:dyDescent="0.2">
      <c r="A3457" s="2" t="s">
        <v>3343</v>
      </c>
      <c r="B3457" s="2" t="s">
        <v>428</v>
      </c>
      <c r="C3457" s="2">
        <v>902.428</v>
      </c>
      <c r="D3457" s="2">
        <f>HYPERLINK("http://mcb-m6.bioreg.kyushu-u.ac.jp/M3/20110404/F50760/876/1", 38.83)</f>
        <v>38.83</v>
      </c>
      <c r="E3457" s="2">
        <v>17.53</v>
      </c>
      <c r="F3457" s="2">
        <v>1</v>
      </c>
      <c r="G3457" s="2" t="s">
        <v>10</v>
      </c>
    </row>
    <row r="3458" spans="1:8" x14ac:dyDescent="0.2">
      <c r="A3458" s="2" t="s">
        <v>3343</v>
      </c>
      <c r="B3458" s="2" t="s">
        <v>210</v>
      </c>
      <c r="C3458" s="2">
        <v>1092.403</v>
      </c>
      <c r="D3458" s="2">
        <f>HYPERLINK("http://mcb-m6.bioreg.kyushu-u.ac.jp/M3/20110404/F50760/1128/1", 39.62)</f>
        <v>39.619999999999997</v>
      </c>
      <c r="E3458" s="2">
        <v>16.55</v>
      </c>
      <c r="F3458" s="2">
        <v>1</v>
      </c>
      <c r="G3458" s="2" t="s">
        <v>10</v>
      </c>
    </row>
    <row r="3459" spans="1:8" x14ac:dyDescent="0.2">
      <c r="A3459" s="2" t="s">
        <v>3343</v>
      </c>
      <c r="B3459" s="2" t="s">
        <v>558</v>
      </c>
      <c r="C3459" s="2">
        <v>729.32259999999997</v>
      </c>
      <c r="D3459" s="2">
        <f>HYPERLINK("http://mcb-m6.bioreg.kyushu-u.ac.jp/M3/20110404/F50760/1809/1", 39.64)</f>
        <v>39.64</v>
      </c>
      <c r="E3459" s="2">
        <v>27.37</v>
      </c>
      <c r="F3459" s="2">
        <v>2</v>
      </c>
      <c r="G3459" s="2" t="s">
        <v>10</v>
      </c>
    </row>
    <row r="3460" spans="1:8" x14ac:dyDescent="0.2">
      <c r="A3460" s="2" t="s">
        <v>3343</v>
      </c>
      <c r="B3460" s="2" t="s">
        <v>325</v>
      </c>
      <c r="C3460" s="2">
        <v>498.7405</v>
      </c>
      <c r="D3460" s="2">
        <f>HYPERLINK("http://mcb-m6.bioreg.kyushu-u.ac.jp/M3/20110404/F50760/1887/1", 39.74)</f>
        <v>39.74</v>
      </c>
      <c r="E3460" s="2">
        <v>22.61</v>
      </c>
      <c r="F3460" s="2">
        <v>3</v>
      </c>
      <c r="G3460" s="2" t="s">
        <v>10</v>
      </c>
      <c r="H3460" s="2" t="s">
        <v>4925</v>
      </c>
    </row>
    <row r="3461" spans="1:8" x14ac:dyDescent="0.2">
      <c r="A3461" s="2" t="s">
        <v>3343</v>
      </c>
      <c r="B3461" s="2" t="s">
        <v>132</v>
      </c>
      <c r="C3461" s="2">
        <v>1155.5429999999999</v>
      </c>
      <c r="D3461" s="2">
        <f>HYPERLINK("http://mcb-m6.bioreg.kyushu-u.ac.jp/M3/20110404/F50760/1228/1", 39.95)</f>
        <v>39.950000000000003</v>
      </c>
      <c r="E3461" s="2">
        <v>23.79</v>
      </c>
      <c r="F3461" s="2">
        <v>1</v>
      </c>
      <c r="G3461" s="2" t="s">
        <v>10</v>
      </c>
    </row>
    <row r="3462" spans="1:8" x14ac:dyDescent="0.2">
      <c r="A3462" s="2" t="s">
        <v>3343</v>
      </c>
      <c r="B3462" s="2" t="s">
        <v>1189</v>
      </c>
      <c r="C3462" s="2">
        <v>1069.7260000000001</v>
      </c>
      <c r="D3462" s="2">
        <f>HYPERLINK("http://mcb-m6.bioreg.kyushu-u.ac.jp/M3/20110404/F50760/2824/1", 40.06)</f>
        <v>40.06</v>
      </c>
      <c r="E3462" s="2">
        <v>32.369999999999997</v>
      </c>
      <c r="F3462" s="2">
        <v>2</v>
      </c>
      <c r="G3462" s="2" t="s">
        <v>10</v>
      </c>
    </row>
    <row r="3463" spans="1:8" x14ac:dyDescent="0.2">
      <c r="A3463" s="2" t="s">
        <v>3343</v>
      </c>
      <c r="B3463" s="2" t="s">
        <v>428</v>
      </c>
      <c r="C3463" s="2">
        <v>902.43799999999999</v>
      </c>
      <c r="D3463" s="2">
        <f>HYPERLINK("http://mcb-m6.bioreg.kyushu-u.ac.jp/M3/20110404/F50760/879/1", 40.11)</f>
        <v>40.11</v>
      </c>
      <c r="E3463" s="2">
        <v>21.96</v>
      </c>
      <c r="F3463" s="2">
        <v>1</v>
      </c>
      <c r="G3463" s="2" t="s">
        <v>10</v>
      </c>
    </row>
    <row r="3464" spans="1:8" x14ac:dyDescent="0.2">
      <c r="A3464" s="2" t="s">
        <v>3343</v>
      </c>
      <c r="B3464" s="2" t="s">
        <v>210</v>
      </c>
      <c r="C3464" s="2">
        <v>1092.3409999999999</v>
      </c>
      <c r="D3464" s="2">
        <f>HYPERLINK("http://mcb-m6.bioreg.kyushu-u.ac.jp/M3/20110404/F50760/1127/1", 40.12)</f>
        <v>40.119999999999997</v>
      </c>
      <c r="E3464" s="2">
        <v>10.08</v>
      </c>
      <c r="F3464" s="2">
        <v>1</v>
      </c>
      <c r="G3464" s="2" t="s">
        <v>10</v>
      </c>
    </row>
    <row r="3465" spans="1:8" x14ac:dyDescent="0.2">
      <c r="A3465" s="2" t="s">
        <v>3343</v>
      </c>
      <c r="B3465" s="2" t="s">
        <v>428</v>
      </c>
      <c r="C3465" s="2">
        <v>902.48500000000001</v>
      </c>
      <c r="D3465" s="2">
        <f>HYPERLINK("http://mcb-m6.bioreg.kyushu-u.ac.jp/M3/20110404/F50761/810/1", 40.12)</f>
        <v>40.119999999999997</v>
      </c>
      <c r="E3465" s="2">
        <v>21.87</v>
      </c>
      <c r="F3465" s="2">
        <v>1</v>
      </c>
      <c r="G3465" s="2" t="s">
        <v>10</v>
      </c>
    </row>
    <row r="3466" spans="1:8" x14ac:dyDescent="0.2">
      <c r="A3466" s="2" t="s">
        <v>3343</v>
      </c>
      <c r="B3466" s="2" t="s">
        <v>428</v>
      </c>
      <c r="C3466" s="2">
        <v>902.46299999999997</v>
      </c>
      <c r="D3466" s="2">
        <f>HYPERLINK("http://mcb-m6.bioreg.kyushu-u.ac.jp/M3/20110404/F50760/882/1", 40.34)</f>
        <v>40.340000000000003</v>
      </c>
      <c r="E3466" s="2">
        <v>22.72</v>
      </c>
      <c r="F3466" s="2">
        <v>1</v>
      </c>
      <c r="G3466" s="2" t="s">
        <v>10</v>
      </c>
    </row>
    <row r="3467" spans="1:8" x14ac:dyDescent="0.2">
      <c r="A3467" s="2" t="s">
        <v>3343</v>
      </c>
      <c r="B3467" s="2" t="s">
        <v>704</v>
      </c>
      <c r="C3467" s="2">
        <v>610.81960000000004</v>
      </c>
      <c r="D3467" s="2">
        <f>HYPERLINK("http://mcb-m6.bioreg.kyushu-u.ac.jp/M3/20110404/F50758/1500/1", 40.57)</f>
        <v>40.57</v>
      </c>
      <c r="E3467" s="2">
        <v>21.03</v>
      </c>
      <c r="F3467" s="2">
        <v>2</v>
      </c>
      <c r="G3467" s="2" t="s">
        <v>10</v>
      </c>
      <c r="H3467" s="2" t="s">
        <v>4908</v>
      </c>
    </row>
    <row r="3468" spans="1:8" x14ac:dyDescent="0.2">
      <c r="A3468" s="2" t="s">
        <v>3343</v>
      </c>
      <c r="B3468" s="2" t="s">
        <v>428</v>
      </c>
      <c r="C3468" s="2">
        <v>902.51400000000001</v>
      </c>
      <c r="D3468" s="2">
        <f>HYPERLINK("http://mcb-m6.bioreg.kyushu-u.ac.jp/M3/20110404/F50781/873/1", 40.87)</f>
        <v>40.869999999999997</v>
      </c>
      <c r="E3468" s="2">
        <v>18.22</v>
      </c>
      <c r="F3468" s="2">
        <v>1</v>
      </c>
      <c r="G3468" s="2" t="s">
        <v>10</v>
      </c>
    </row>
    <row r="3469" spans="1:8" x14ac:dyDescent="0.2">
      <c r="A3469" s="2" t="s">
        <v>3343</v>
      </c>
      <c r="B3469" s="2" t="s">
        <v>328</v>
      </c>
      <c r="C3469" s="2">
        <v>1146.4390000000001</v>
      </c>
      <c r="D3469" s="2">
        <f>HYPERLINK("http://mcb-m6.bioreg.kyushu-u.ac.jp/M3/20110404/F50758/1381/1", 41.97)</f>
        <v>41.97</v>
      </c>
      <c r="E3469" s="2">
        <v>17.989999999999998</v>
      </c>
      <c r="F3469" s="2">
        <v>1</v>
      </c>
      <c r="G3469" s="2" t="s">
        <v>10</v>
      </c>
    </row>
    <row r="3470" spans="1:8" x14ac:dyDescent="0.2">
      <c r="A3470" s="2" t="s">
        <v>3343</v>
      </c>
      <c r="B3470" s="2" t="s">
        <v>1002</v>
      </c>
      <c r="C3470" s="2">
        <v>1148.0039999999999</v>
      </c>
      <c r="D3470" s="2">
        <f>HYPERLINK("http://mcb-m6.bioreg.kyushu-u.ac.jp/M3/20110404/F50761/3223/1", 42.2)</f>
        <v>42.2</v>
      </c>
      <c r="E3470" s="2">
        <v>36.04</v>
      </c>
      <c r="F3470" s="2">
        <v>2</v>
      </c>
      <c r="G3470" s="2" t="s">
        <v>10</v>
      </c>
    </row>
    <row r="3471" spans="1:8" x14ac:dyDescent="0.2">
      <c r="A3471" s="2" t="s">
        <v>3343</v>
      </c>
      <c r="B3471" s="2" t="s">
        <v>325</v>
      </c>
      <c r="C3471" s="2">
        <v>747.63210000000004</v>
      </c>
      <c r="D3471" s="2">
        <f>HYPERLINK("http://mcb-m6.bioreg.kyushu-u.ac.jp/M3/20110404/F50758/1948/1", 42.41)</f>
        <v>42.41</v>
      </c>
      <c r="E3471" s="2">
        <v>34.17</v>
      </c>
      <c r="F3471" s="2">
        <v>2</v>
      </c>
      <c r="G3471" s="2" t="s">
        <v>10</v>
      </c>
      <c r="H3471" s="2" t="s">
        <v>4925</v>
      </c>
    </row>
    <row r="3472" spans="1:8" x14ac:dyDescent="0.2">
      <c r="A3472" s="2" t="s">
        <v>3343</v>
      </c>
      <c r="B3472" s="2" t="s">
        <v>1002</v>
      </c>
      <c r="C3472" s="2">
        <v>765.52279999999996</v>
      </c>
      <c r="D3472" s="2">
        <f>HYPERLINK("http://mcb-m6.bioreg.kyushu-u.ac.jp/M3/20110404/F50760/3028/1", 42.53)</f>
        <v>42.53</v>
      </c>
      <c r="E3472" s="2">
        <v>29.27</v>
      </c>
      <c r="F3472" s="2">
        <v>3</v>
      </c>
      <c r="G3472" s="2" t="s">
        <v>10</v>
      </c>
    </row>
    <row r="3473" spans="1:8" x14ac:dyDescent="0.2">
      <c r="A3473" s="2" t="s">
        <v>3343</v>
      </c>
      <c r="B3473" s="2" t="s">
        <v>546</v>
      </c>
      <c r="C3473" s="2">
        <v>665.29319999999996</v>
      </c>
      <c r="D3473" s="2">
        <f>HYPERLINK("http://mcb-m6.bioreg.kyushu-u.ac.jp/M3/20110404/F50760/1506/2", 42.62)</f>
        <v>42.62</v>
      </c>
      <c r="E3473" s="2">
        <v>30.54</v>
      </c>
      <c r="F3473" s="2">
        <v>2</v>
      </c>
      <c r="G3473" s="2" t="s">
        <v>10</v>
      </c>
    </row>
    <row r="3474" spans="1:8" x14ac:dyDescent="0.2">
      <c r="A3474" s="2" t="s">
        <v>3343</v>
      </c>
      <c r="B3474" s="2" t="s">
        <v>1189</v>
      </c>
      <c r="C3474" s="2">
        <v>1069.4490000000001</v>
      </c>
      <c r="D3474" s="2">
        <f>HYPERLINK("http://mcb-m6.bioreg.kyushu-u.ac.jp/M3/20110404/F50781/2674/1", 42.91)</f>
        <v>42.91</v>
      </c>
      <c r="E3474" s="2">
        <v>38.33</v>
      </c>
      <c r="F3474" s="2">
        <v>2</v>
      </c>
      <c r="G3474" s="2" t="s">
        <v>10</v>
      </c>
    </row>
    <row r="3475" spans="1:8" x14ac:dyDescent="0.2">
      <c r="A3475" s="2" t="s">
        <v>3343</v>
      </c>
      <c r="B3475" s="2" t="s">
        <v>509</v>
      </c>
      <c r="C3475" s="2">
        <v>725.87919999999997</v>
      </c>
      <c r="D3475" s="2">
        <f>HYPERLINK("http://mcb-m6.bioreg.kyushu-u.ac.jp/M3/20110404/F50761/1790/1", 43.12)</f>
        <v>43.12</v>
      </c>
      <c r="E3475" s="2">
        <v>28.94</v>
      </c>
      <c r="F3475" s="2">
        <v>2</v>
      </c>
      <c r="G3475" s="2" t="s">
        <v>10</v>
      </c>
      <c r="H3475" s="2" t="s">
        <v>4927</v>
      </c>
    </row>
    <row r="3476" spans="1:8" x14ac:dyDescent="0.2">
      <c r="A3476" s="2" t="s">
        <v>3343</v>
      </c>
      <c r="B3476" s="2" t="s">
        <v>428</v>
      </c>
      <c r="C3476" s="2">
        <v>902.44899999999996</v>
      </c>
      <c r="D3476" s="2">
        <f>HYPERLINK("http://mcb-m6.bioreg.kyushu-u.ac.jp/M3/20110404/F50760/881/1", 43.36)</f>
        <v>43.36</v>
      </c>
      <c r="E3476" s="2">
        <v>22.09</v>
      </c>
      <c r="F3476" s="2">
        <v>1</v>
      </c>
      <c r="G3476" s="2" t="s">
        <v>10</v>
      </c>
    </row>
    <row r="3477" spans="1:8" x14ac:dyDescent="0.2">
      <c r="A3477" s="2" t="s">
        <v>3343</v>
      </c>
      <c r="B3477" s="2" t="s">
        <v>1189</v>
      </c>
      <c r="C3477" s="2">
        <v>1069.7429999999999</v>
      </c>
      <c r="D3477" s="2">
        <f>HYPERLINK("http://mcb-m6.bioreg.kyushu-u.ac.jp/M3/20110404/F50760/2825/1", 43.41)</f>
        <v>43.41</v>
      </c>
      <c r="E3477" s="2">
        <v>33.909999999999997</v>
      </c>
      <c r="F3477" s="2">
        <v>2</v>
      </c>
      <c r="G3477" s="2" t="s">
        <v>10</v>
      </c>
    </row>
    <row r="3478" spans="1:8" x14ac:dyDescent="0.2">
      <c r="A3478" s="2" t="s">
        <v>3343</v>
      </c>
      <c r="B3478" s="2" t="s">
        <v>328</v>
      </c>
      <c r="C3478" s="2">
        <v>1146.47</v>
      </c>
      <c r="D3478" s="2">
        <f>HYPERLINK("http://mcb-m6.bioreg.kyushu-u.ac.jp/M3/20110404/F50781/1246/1", 43.87)</f>
        <v>43.87</v>
      </c>
      <c r="E3478" s="2">
        <v>14.95</v>
      </c>
      <c r="F3478" s="2">
        <v>1</v>
      </c>
      <c r="G3478" s="2" t="s">
        <v>10</v>
      </c>
    </row>
    <row r="3479" spans="1:8" x14ac:dyDescent="0.2">
      <c r="A3479" s="2" t="s">
        <v>3343</v>
      </c>
      <c r="B3479" s="2" t="s">
        <v>546</v>
      </c>
      <c r="C3479" s="2">
        <v>1328.5340000000001</v>
      </c>
      <c r="D3479" s="2">
        <f>HYPERLINK("http://mcb-m6.bioreg.kyushu-u.ac.jp/M3/20110404/F50760/1501/2", 44.56)</f>
        <v>44.56</v>
      </c>
      <c r="E3479" s="2">
        <v>34.590000000000003</v>
      </c>
      <c r="F3479" s="2">
        <v>1</v>
      </c>
      <c r="G3479" s="2" t="s">
        <v>10</v>
      </c>
    </row>
    <row r="3480" spans="1:8" x14ac:dyDescent="0.2">
      <c r="A3480" s="2" t="s">
        <v>3343</v>
      </c>
      <c r="B3480" s="2" t="s">
        <v>704</v>
      </c>
      <c r="C3480" s="2">
        <v>611.33810000000005</v>
      </c>
      <c r="D3480" s="2">
        <f>HYPERLINK("http://mcb-m6.bioreg.kyushu-u.ac.jp/M3/20110404/F50760/1388/1", 44.83)</f>
        <v>44.83</v>
      </c>
      <c r="E3480" s="2">
        <v>13.56</v>
      </c>
      <c r="F3480" s="2">
        <v>2</v>
      </c>
      <c r="G3480" s="2" t="s">
        <v>10</v>
      </c>
      <c r="H3480" s="2" t="s">
        <v>4908</v>
      </c>
    </row>
    <row r="3481" spans="1:8" x14ac:dyDescent="0.2">
      <c r="A3481" s="2" t="s">
        <v>3343</v>
      </c>
      <c r="B3481" s="2" t="s">
        <v>344</v>
      </c>
      <c r="C3481" s="2">
        <v>613.32280000000003</v>
      </c>
      <c r="D3481" s="2">
        <f>HYPERLINK("http://mcb-m6.bioreg.kyushu-u.ac.jp/M3/20110404/F50760/2479/1", 45.36)</f>
        <v>45.36</v>
      </c>
      <c r="E3481" s="2">
        <v>25.73</v>
      </c>
      <c r="F3481" s="2">
        <v>3</v>
      </c>
      <c r="G3481" s="2" t="s">
        <v>10</v>
      </c>
    </row>
    <row r="3482" spans="1:8" x14ac:dyDescent="0.2">
      <c r="A3482" s="2" t="s">
        <v>3343</v>
      </c>
      <c r="B3482" s="2" t="s">
        <v>428</v>
      </c>
      <c r="C3482" s="2">
        <v>451.76659999999998</v>
      </c>
      <c r="D3482" s="2">
        <f>HYPERLINK("http://mcb-m6.bioreg.kyushu-u.ac.jp/M3/20110404/F50761/811/1", 45.36)</f>
        <v>45.36</v>
      </c>
      <c r="E3482" s="2">
        <v>16.54</v>
      </c>
      <c r="F3482" s="2">
        <v>2</v>
      </c>
      <c r="G3482" s="2" t="s">
        <v>10</v>
      </c>
    </row>
    <row r="3483" spans="1:8" x14ac:dyDescent="0.2">
      <c r="A3483" s="2" t="s">
        <v>3343</v>
      </c>
      <c r="B3483" s="2" t="s">
        <v>2359</v>
      </c>
      <c r="C3483" s="2">
        <v>678.79060000000004</v>
      </c>
      <c r="D3483" s="2">
        <f>HYPERLINK("http://mcb-m6.bioreg.kyushu-u.ac.jp/M3/20110404/F50760/1558/1", 45.47)</f>
        <v>45.47</v>
      </c>
      <c r="E3483" s="2">
        <v>27.87</v>
      </c>
      <c r="F3483" s="2">
        <v>2</v>
      </c>
      <c r="G3483" s="2" t="s">
        <v>10</v>
      </c>
    </row>
    <row r="3484" spans="1:8" x14ac:dyDescent="0.2">
      <c r="A3484" s="2" t="s">
        <v>3343</v>
      </c>
      <c r="B3484" s="2" t="s">
        <v>210</v>
      </c>
      <c r="C3484" s="2">
        <v>554.71619999999996</v>
      </c>
      <c r="D3484" s="2">
        <f>HYPERLINK("http://mcb-m6.bioreg.kyushu-u.ac.jp/M3/20110404/F50760/1149/1", 45.59)</f>
        <v>45.59</v>
      </c>
      <c r="E3484" s="2">
        <v>24.33</v>
      </c>
      <c r="F3484" s="2">
        <v>2</v>
      </c>
      <c r="G3484" s="2" t="s">
        <v>10</v>
      </c>
      <c r="H3484" s="2" t="s">
        <v>4910</v>
      </c>
    </row>
    <row r="3485" spans="1:8" x14ac:dyDescent="0.2">
      <c r="A3485" s="2" t="s">
        <v>3343</v>
      </c>
      <c r="B3485" s="2" t="s">
        <v>509</v>
      </c>
      <c r="C3485" s="2">
        <v>1432.5039999999999</v>
      </c>
      <c r="D3485" s="2">
        <f>HYPERLINK("http://mcb-m6.bioreg.kyushu-u.ac.jp/M3/20110404/F50760/1737/1", 46.01)</f>
        <v>46.01</v>
      </c>
      <c r="E3485" s="2">
        <v>30.7</v>
      </c>
      <c r="F3485" s="2">
        <v>1</v>
      </c>
      <c r="G3485" s="2" t="s">
        <v>10</v>
      </c>
      <c r="H3485" s="2" t="s">
        <v>4931</v>
      </c>
    </row>
    <row r="3486" spans="1:8" x14ac:dyDescent="0.2">
      <c r="A3486" s="2" t="s">
        <v>3343</v>
      </c>
      <c r="B3486" s="2" t="s">
        <v>428</v>
      </c>
      <c r="C3486" s="2">
        <v>451.9101</v>
      </c>
      <c r="D3486" s="2">
        <f>HYPERLINK("http://mcb-m6.bioreg.kyushu-u.ac.jp/M3/20110404/F50781/875/1", 46.06)</f>
        <v>46.06</v>
      </c>
      <c r="E3486" s="2">
        <v>15.19</v>
      </c>
      <c r="F3486" s="2">
        <v>2</v>
      </c>
      <c r="G3486" s="2" t="s">
        <v>10</v>
      </c>
    </row>
    <row r="3487" spans="1:8" x14ac:dyDescent="0.2">
      <c r="A3487" s="2" t="s">
        <v>3343</v>
      </c>
      <c r="B3487" s="2" t="s">
        <v>943</v>
      </c>
      <c r="C3487" s="2">
        <v>506.66609999999997</v>
      </c>
      <c r="D3487" s="2">
        <f>HYPERLINK("http://mcb-m6.bioreg.kyushu-u.ac.jp/M3/20110404/F50760/1039/1", 46.68)</f>
        <v>46.68</v>
      </c>
      <c r="E3487" s="2">
        <v>25.3</v>
      </c>
      <c r="F3487" s="2">
        <v>2</v>
      </c>
      <c r="G3487" s="2" t="s">
        <v>10</v>
      </c>
    </row>
    <row r="3488" spans="1:8" x14ac:dyDescent="0.2">
      <c r="A3488" s="2" t="s">
        <v>3343</v>
      </c>
      <c r="B3488" s="2" t="s">
        <v>546</v>
      </c>
      <c r="C3488" s="2">
        <v>665.29020000000003</v>
      </c>
      <c r="D3488" s="2">
        <f>HYPERLINK("http://mcb-m6.bioreg.kyushu-u.ac.jp/M3/20110404/F50760/1505/2", 46.69)</f>
        <v>46.69</v>
      </c>
      <c r="E3488" s="2">
        <v>33.69</v>
      </c>
      <c r="F3488" s="2">
        <v>2</v>
      </c>
      <c r="G3488" s="2" t="s">
        <v>10</v>
      </c>
    </row>
    <row r="3489" spans="1:8" x14ac:dyDescent="0.2">
      <c r="A3489" s="2" t="s">
        <v>3343</v>
      </c>
      <c r="B3489" s="2" t="s">
        <v>943</v>
      </c>
      <c r="C3489" s="2">
        <v>506.67660000000001</v>
      </c>
      <c r="D3489" s="2">
        <f>HYPERLINK("http://mcb-m6.bioreg.kyushu-u.ac.jp/M3/20110404/F50760/1041/1", 47.14)</f>
        <v>47.14</v>
      </c>
      <c r="E3489" s="2">
        <v>21.85</v>
      </c>
      <c r="F3489" s="2">
        <v>2</v>
      </c>
      <c r="G3489" s="2" t="s">
        <v>10</v>
      </c>
    </row>
    <row r="3490" spans="1:8" x14ac:dyDescent="0.2">
      <c r="A3490" s="2" t="s">
        <v>3343</v>
      </c>
      <c r="B3490" s="2" t="s">
        <v>943</v>
      </c>
      <c r="C3490" s="2">
        <v>506.8356</v>
      </c>
      <c r="D3490" s="2">
        <f>HYPERLINK("http://mcb-m6.bioreg.kyushu-u.ac.jp/M3/20110404/F50781/1082/1", 47.36)</f>
        <v>47.36</v>
      </c>
      <c r="E3490" s="2">
        <v>27.75</v>
      </c>
      <c r="F3490" s="2">
        <v>2</v>
      </c>
      <c r="G3490" s="2" t="s">
        <v>10</v>
      </c>
    </row>
    <row r="3491" spans="1:8" x14ac:dyDescent="0.2">
      <c r="A3491" s="2" t="s">
        <v>3343</v>
      </c>
      <c r="B3491" s="2" t="s">
        <v>704</v>
      </c>
      <c r="C3491" s="2">
        <v>610.77260000000001</v>
      </c>
      <c r="D3491" s="2">
        <f>HYPERLINK("http://mcb-m6.bioreg.kyushu-u.ac.jp/M3/20110404/F50760/1384/1", 47.61)</f>
        <v>47.61</v>
      </c>
      <c r="E3491" s="2">
        <v>17.47</v>
      </c>
      <c r="F3491" s="2">
        <v>2</v>
      </c>
      <c r="G3491" s="2" t="s">
        <v>10</v>
      </c>
      <c r="H3491" s="2" t="s">
        <v>4908</v>
      </c>
    </row>
    <row r="3492" spans="1:8" x14ac:dyDescent="0.2">
      <c r="A3492" s="2" t="s">
        <v>3343</v>
      </c>
      <c r="B3492" s="2" t="s">
        <v>704</v>
      </c>
      <c r="C3492" s="2">
        <v>610.75519999999995</v>
      </c>
      <c r="D3492" s="2">
        <f>HYPERLINK("http://mcb-m6.bioreg.kyushu-u.ac.jp/M3/20110404/F50757/1775/1", 47.69)</f>
        <v>47.69</v>
      </c>
      <c r="E3492" s="2">
        <v>18.329999999999998</v>
      </c>
      <c r="F3492" s="2">
        <v>2</v>
      </c>
      <c r="G3492" s="2" t="s">
        <v>10</v>
      </c>
      <c r="H3492" s="2" t="s">
        <v>4908</v>
      </c>
    </row>
    <row r="3493" spans="1:8" x14ac:dyDescent="0.2">
      <c r="A3493" s="2" t="s">
        <v>3343</v>
      </c>
      <c r="B3493" s="2" t="s">
        <v>328</v>
      </c>
      <c r="C3493" s="2">
        <v>1146.329</v>
      </c>
      <c r="D3493" s="2">
        <f>HYPERLINK("http://mcb-m6.bioreg.kyushu-u.ac.jp/M3/20110404/F50761/1211/1", 47.69)</f>
        <v>47.69</v>
      </c>
      <c r="E3493" s="2">
        <v>15.65</v>
      </c>
      <c r="F3493" s="2">
        <v>1</v>
      </c>
      <c r="G3493" s="2" t="s">
        <v>10</v>
      </c>
    </row>
    <row r="3494" spans="1:8" x14ac:dyDescent="0.2">
      <c r="A3494" s="2" t="s">
        <v>3343</v>
      </c>
      <c r="B3494" s="2" t="s">
        <v>344</v>
      </c>
      <c r="C3494" s="2">
        <v>919.92070000000001</v>
      </c>
      <c r="D3494" s="2">
        <f>HYPERLINK("http://mcb-m6.bioreg.kyushu-u.ac.jp/M3/20110404/F50761/2580/1", 47.83)</f>
        <v>47.83</v>
      </c>
      <c r="E3494" s="2">
        <v>32.97</v>
      </c>
      <c r="F3494" s="2">
        <v>2</v>
      </c>
      <c r="G3494" s="2" t="s">
        <v>10</v>
      </c>
    </row>
    <row r="3495" spans="1:8" x14ac:dyDescent="0.2">
      <c r="A3495" s="2" t="s">
        <v>3343</v>
      </c>
      <c r="B3495" s="2" t="s">
        <v>558</v>
      </c>
      <c r="C3495" s="2">
        <v>729.35419999999999</v>
      </c>
      <c r="D3495" s="2">
        <f>HYPERLINK("http://mcb-m6.bioreg.kyushu-u.ac.jp/M3/20110404/F50760/1811/1", 48.03)</f>
        <v>48.03</v>
      </c>
      <c r="E3495" s="2">
        <v>26.06</v>
      </c>
      <c r="F3495" s="2">
        <v>2</v>
      </c>
      <c r="G3495" s="2" t="s">
        <v>10</v>
      </c>
    </row>
    <row r="3496" spans="1:8" x14ac:dyDescent="0.2">
      <c r="A3496" s="2" t="s">
        <v>3343</v>
      </c>
      <c r="B3496" s="2" t="s">
        <v>428</v>
      </c>
      <c r="C3496" s="2">
        <v>452.23910000000001</v>
      </c>
      <c r="D3496" s="2">
        <f>HYPERLINK("http://mcb-m6.bioreg.kyushu-u.ac.jp/M3/20110404/F50760/890/1", 48.31)</f>
        <v>48.31</v>
      </c>
      <c r="E3496" s="2">
        <v>8.57</v>
      </c>
      <c r="F3496" s="2">
        <v>2</v>
      </c>
      <c r="G3496" s="2" t="s">
        <v>10</v>
      </c>
    </row>
    <row r="3497" spans="1:8" x14ac:dyDescent="0.2">
      <c r="A3497" s="2" t="s">
        <v>3343</v>
      </c>
      <c r="B3497" s="2" t="s">
        <v>558</v>
      </c>
      <c r="C3497" s="2">
        <v>1457.461</v>
      </c>
      <c r="D3497" s="2">
        <f>HYPERLINK("http://mcb-m6.bioreg.kyushu-u.ac.jp/M3/20110404/F50760/1803/1", 49.08)</f>
        <v>49.08</v>
      </c>
      <c r="E3497" s="2">
        <v>34.020000000000003</v>
      </c>
      <c r="F3497" s="2">
        <v>1</v>
      </c>
      <c r="G3497" s="2" t="s">
        <v>10</v>
      </c>
    </row>
    <row r="3498" spans="1:8" x14ac:dyDescent="0.2">
      <c r="A3498" s="2" t="s">
        <v>3343</v>
      </c>
      <c r="B3498" s="2" t="s">
        <v>558</v>
      </c>
      <c r="C3498" s="2">
        <v>1457.539</v>
      </c>
      <c r="D3498" s="2">
        <f>HYPERLINK("http://mcb-m6.bioreg.kyushu-u.ac.jp/M3/20110404/F50760/1807/1", 49.1)</f>
        <v>49.1</v>
      </c>
      <c r="E3498" s="2">
        <v>33.19</v>
      </c>
      <c r="F3498" s="2">
        <v>1</v>
      </c>
      <c r="G3498" s="2" t="s">
        <v>10</v>
      </c>
    </row>
    <row r="3499" spans="1:8" x14ac:dyDescent="0.2">
      <c r="A3499" s="2" t="s">
        <v>3343</v>
      </c>
      <c r="B3499" s="2" t="s">
        <v>428</v>
      </c>
      <c r="C3499" s="2">
        <v>451.70310000000001</v>
      </c>
      <c r="D3499" s="2">
        <f>HYPERLINK("http://mcb-m6.bioreg.kyushu-u.ac.jp/M3/20110404/F50760/874/1", 49.54)</f>
        <v>49.54</v>
      </c>
      <c r="E3499" s="2">
        <v>26.94</v>
      </c>
      <c r="F3499" s="2">
        <v>2</v>
      </c>
      <c r="G3499" s="2" t="s">
        <v>10</v>
      </c>
    </row>
    <row r="3500" spans="1:8" x14ac:dyDescent="0.2">
      <c r="A3500" s="2" t="s">
        <v>3343</v>
      </c>
      <c r="B3500" s="2" t="s">
        <v>428</v>
      </c>
      <c r="C3500" s="2">
        <v>451.7706</v>
      </c>
      <c r="D3500" s="2">
        <f>HYPERLINK("http://mcb-m6.bioreg.kyushu-u.ac.jp/M3/20110404/F50760/883/1", 50.56)</f>
        <v>50.56</v>
      </c>
      <c r="E3500" s="2">
        <v>28.26</v>
      </c>
      <c r="F3500" s="2">
        <v>2</v>
      </c>
      <c r="G3500" s="2" t="s">
        <v>10</v>
      </c>
    </row>
    <row r="3501" spans="1:8" x14ac:dyDescent="0.2">
      <c r="A3501" s="2" t="s">
        <v>3343</v>
      </c>
      <c r="B3501" s="2" t="s">
        <v>328</v>
      </c>
      <c r="C3501" s="2">
        <v>1146.33</v>
      </c>
      <c r="D3501" s="2">
        <f>HYPERLINK("http://mcb-m6.bioreg.kyushu-u.ac.jp/M3/20110404/F50760/1208/1", 50.59)</f>
        <v>50.59</v>
      </c>
      <c r="E3501" s="2">
        <v>19.27</v>
      </c>
      <c r="F3501" s="2">
        <v>1</v>
      </c>
      <c r="G3501" s="2" t="s">
        <v>10</v>
      </c>
    </row>
    <row r="3502" spans="1:8" x14ac:dyDescent="0.2">
      <c r="A3502" s="2" t="s">
        <v>3343</v>
      </c>
      <c r="B3502" s="2" t="s">
        <v>428</v>
      </c>
      <c r="C3502" s="2">
        <v>451.70960000000002</v>
      </c>
      <c r="D3502" s="2">
        <f>HYPERLINK("http://mcb-m6.bioreg.kyushu-u.ac.jp/M3/20110404/F50760/875/1", 50.83)</f>
        <v>50.83</v>
      </c>
      <c r="E3502" s="2">
        <v>20.190000000000001</v>
      </c>
      <c r="F3502" s="2">
        <v>2</v>
      </c>
      <c r="G3502" s="2" t="s">
        <v>10</v>
      </c>
    </row>
    <row r="3503" spans="1:8" x14ac:dyDescent="0.2">
      <c r="A3503" s="2" t="s">
        <v>3343</v>
      </c>
      <c r="B3503" s="2" t="s">
        <v>428</v>
      </c>
      <c r="C3503" s="2">
        <v>451.72660000000002</v>
      </c>
      <c r="D3503" s="2">
        <f>HYPERLINK("http://mcb-m6.bioreg.kyushu-u.ac.jp/M3/20110404/F50761/809/1", 50.86)</f>
        <v>50.86</v>
      </c>
      <c r="E3503" s="2">
        <v>24.6</v>
      </c>
      <c r="F3503" s="2">
        <v>2</v>
      </c>
      <c r="G3503" s="2" t="s">
        <v>10</v>
      </c>
    </row>
    <row r="3504" spans="1:8" x14ac:dyDescent="0.2">
      <c r="A3504" s="2" t="s">
        <v>3343</v>
      </c>
      <c r="B3504" s="2" t="s">
        <v>297</v>
      </c>
      <c r="C3504" s="2">
        <v>1186.307</v>
      </c>
      <c r="D3504" s="2">
        <f>HYPERLINK("http://mcb-m6.bioreg.kyushu-u.ac.jp/M3/20110404/F50760/1301/1", 50.89)</f>
        <v>50.89</v>
      </c>
      <c r="E3504" s="2">
        <v>37.35</v>
      </c>
      <c r="F3504" s="2">
        <v>1</v>
      </c>
      <c r="G3504" s="2" t="s">
        <v>10</v>
      </c>
    </row>
    <row r="3505" spans="1:8" x14ac:dyDescent="0.2">
      <c r="A3505" s="2" t="s">
        <v>3343</v>
      </c>
      <c r="B3505" s="2" t="s">
        <v>428</v>
      </c>
      <c r="C3505" s="2">
        <v>451.77159999999998</v>
      </c>
      <c r="D3505" s="2">
        <f>HYPERLINK("http://mcb-m6.bioreg.kyushu-u.ac.jp/M3/20110404/F50760/884/1", 51.81)</f>
        <v>51.81</v>
      </c>
      <c r="E3505" s="2">
        <v>25.86</v>
      </c>
      <c r="F3505" s="2">
        <v>2</v>
      </c>
      <c r="G3505" s="2" t="s">
        <v>10</v>
      </c>
    </row>
    <row r="3506" spans="1:8" x14ac:dyDescent="0.2">
      <c r="A3506" s="2" t="s">
        <v>3343</v>
      </c>
      <c r="B3506" s="2" t="s">
        <v>132</v>
      </c>
      <c r="C3506" s="2">
        <v>578.6866</v>
      </c>
      <c r="D3506" s="2">
        <f>HYPERLINK("http://mcb-m6.bioreg.kyushu-u.ac.jp/M3/20110404/F50760/1232/1", 51.97)</f>
        <v>51.97</v>
      </c>
      <c r="E3506" s="2">
        <v>23.86</v>
      </c>
      <c r="F3506" s="2">
        <v>2</v>
      </c>
      <c r="G3506" s="2" t="s">
        <v>10</v>
      </c>
    </row>
    <row r="3507" spans="1:8" x14ac:dyDescent="0.2">
      <c r="A3507" s="2" t="s">
        <v>3343</v>
      </c>
      <c r="B3507" s="2" t="s">
        <v>210</v>
      </c>
      <c r="C3507" s="2">
        <v>554.72609999999997</v>
      </c>
      <c r="D3507" s="2">
        <f>HYPERLINK("http://mcb-m6.bioreg.kyushu-u.ac.jp/M3/20110404/F50761/1146/1", 52.18)</f>
        <v>52.18</v>
      </c>
      <c r="E3507" s="2">
        <v>29.5</v>
      </c>
      <c r="F3507" s="2">
        <v>2</v>
      </c>
      <c r="G3507" s="2" t="s">
        <v>10</v>
      </c>
      <c r="H3507" s="2" t="s">
        <v>4910</v>
      </c>
    </row>
    <row r="3508" spans="1:8" x14ac:dyDescent="0.2">
      <c r="A3508" s="2" t="s">
        <v>3343</v>
      </c>
      <c r="B3508" s="2" t="s">
        <v>132</v>
      </c>
      <c r="C3508" s="2">
        <v>578.44069999999999</v>
      </c>
      <c r="D3508" s="2">
        <f>HYPERLINK("http://mcb-m6.bioreg.kyushu-u.ac.jp/M3/20110404/F50760/1231/1", 52.39)</f>
        <v>52.39</v>
      </c>
      <c r="E3508" s="2">
        <v>24.99</v>
      </c>
      <c r="F3508" s="2">
        <v>2</v>
      </c>
      <c r="G3508" s="2" t="s">
        <v>10</v>
      </c>
    </row>
    <row r="3509" spans="1:8" x14ac:dyDescent="0.2">
      <c r="A3509" s="2" t="s">
        <v>3343</v>
      </c>
      <c r="B3509" s="2" t="s">
        <v>1002</v>
      </c>
      <c r="C3509" s="2">
        <v>1147.386</v>
      </c>
      <c r="D3509" s="2">
        <f>HYPERLINK("http://mcb-m6.bioreg.kyushu-u.ac.jp/M3/20110404/F50760/3023/1", 52.97)</f>
        <v>52.97</v>
      </c>
      <c r="E3509" s="2">
        <v>44.63</v>
      </c>
      <c r="F3509" s="2">
        <v>2</v>
      </c>
      <c r="G3509" s="2" t="s">
        <v>10</v>
      </c>
    </row>
    <row r="3510" spans="1:8" x14ac:dyDescent="0.2">
      <c r="A3510" s="2" t="s">
        <v>3343</v>
      </c>
      <c r="B3510" s="2" t="s">
        <v>509</v>
      </c>
      <c r="C3510" s="2">
        <v>717.6807</v>
      </c>
      <c r="D3510" s="2">
        <f>HYPERLINK("http://mcb-m6.bioreg.kyushu-u.ac.jp/M3/20110404/F50760/1751/1", 53.54)</f>
        <v>53.54</v>
      </c>
      <c r="E3510" s="2">
        <v>30.43</v>
      </c>
      <c r="F3510" s="2">
        <v>2</v>
      </c>
      <c r="G3510" s="2" t="s">
        <v>10</v>
      </c>
    </row>
    <row r="3511" spans="1:8" x14ac:dyDescent="0.2">
      <c r="A3511" s="2" t="s">
        <v>3343</v>
      </c>
      <c r="B3511" s="2" t="s">
        <v>509</v>
      </c>
      <c r="C3511" s="2">
        <v>717.31769999999995</v>
      </c>
      <c r="D3511" s="2">
        <f>HYPERLINK("http://mcb-m6.bioreg.kyushu-u.ac.jp/M3/20110404/F50781/1742/1", 54.07)</f>
        <v>54.07</v>
      </c>
      <c r="E3511" s="2">
        <v>35.86</v>
      </c>
      <c r="F3511" s="2">
        <v>2</v>
      </c>
      <c r="G3511" s="2" t="s">
        <v>10</v>
      </c>
    </row>
    <row r="3512" spans="1:8" x14ac:dyDescent="0.2">
      <c r="A3512" s="2" t="s">
        <v>3343</v>
      </c>
      <c r="B3512" s="2" t="s">
        <v>1002</v>
      </c>
      <c r="C3512" s="2">
        <v>1148.1199999999999</v>
      </c>
      <c r="D3512" s="2">
        <f>HYPERLINK("http://mcb-m6.bioreg.kyushu-u.ac.jp/M3/20110404/F50781/2798/1", 55.2)</f>
        <v>55.2</v>
      </c>
      <c r="E3512" s="2">
        <v>41.94</v>
      </c>
      <c r="F3512" s="2">
        <v>2</v>
      </c>
      <c r="G3512" s="2" t="s">
        <v>10</v>
      </c>
    </row>
    <row r="3513" spans="1:8" x14ac:dyDescent="0.2">
      <c r="A3513" s="2" t="s">
        <v>3343</v>
      </c>
      <c r="B3513" s="2" t="s">
        <v>1002</v>
      </c>
      <c r="C3513" s="2">
        <v>765.77520000000004</v>
      </c>
      <c r="D3513" s="2">
        <f>HYPERLINK("http://mcb-m6.bioreg.kyushu-u.ac.jp/M3/20110404/F50781/2799/1", 55.83)</f>
        <v>55.83</v>
      </c>
      <c r="E3513" s="2">
        <v>42.27</v>
      </c>
      <c r="F3513" s="2">
        <v>3</v>
      </c>
      <c r="G3513" s="2" t="s">
        <v>10</v>
      </c>
    </row>
    <row r="3514" spans="1:8" x14ac:dyDescent="0.2">
      <c r="A3514" s="2" t="s">
        <v>3343</v>
      </c>
      <c r="B3514" s="2" t="s">
        <v>943</v>
      </c>
      <c r="C3514" s="2">
        <v>507.27659999999997</v>
      </c>
      <c r="D3514" s="2">
        <f>HYPERLINK("http://mcb-m6.bioreg.kyushu-u.ac.jp/M3/20110404/F50760/1049/1", 56.42)</f>
        <v>56.42</v>
      </c>
      <c r="E3514" s="2">
        <v>32.5</v>
      </c>
      <c r="F3514" s="2">
        <v>2</v>
      </c>
      <c r="G3514" s="2" t="s">
        <v>10</v>
      </c>
    </row>
    <row r="3515" spans="1:8" x14ac:dyDescent="0.2">
      <c r="A3515" s="2" t="s">
        <v>3343</v>
      </c>
      <c r="B3515" s="2" t="s">
        <v>509</v>
      </c>
      <c r="C3515" s="2">
        <v>1416.528</v>
      </c>
      <c r="D3515" s="2">
        <f>HYPERLINK("http://mcb-m6.bioreg.kyushu-u.ac.jp/M3/20110404/F50761/1700/1", 56.62)</f>
        <v>56.62</v>
      </c>
      <c r="E3515" s="2">
        <v>44.45</v>
      </c>
      <c r="F3515" s="2">
        <v>1</v>
      </c>
      <c r="G3515" s="2" t="s">
        <v>10</v>
      </c>
      <c r="H3515" s="2" t="s">
        <v>4904</v>
      </c>
    </row>
    <row r="3516" spans="1:8" x14ac:dyDescent="0.2">
      <c r="A3516" s="2" t="s">
        <v>3343</v>
      </c>
      <c r="B3516" s="2" t="s">
        <v>704</v>
      </c>
      <c r="C3516" s="2">
        <v>603.22969999999998</v>
      </c>
      <c r="D3516" s="2">
        <f>HYPERLINK("http://mcb-m6.bioreg.kyushu-u.ac.jp/M3/20110404/F50760/1349/1", 56.92)</f>
        <v>56.92</v>
      </c>
      <c r="E3516" s="2">
        <v>22.03</v>
      </c>
      <c r="F3516" s="2">
        <v>2</v>
      </c>
      <c r="G3516" s="2" t="s">
        <v>10</v>
      </c>
    </row>
    <row r="3517" spans="1:8" x14ac:dyDescent="0.2">
      <c r="A3517" s="2" t="s">
        <v>3343</v>
      </c>
      <c r="B3517" s="2" t="s">
        <v>509</v>
      </c>
      <c r="C3517" s="2">
        <v>708.3442</v>
      </c>
      <c r="D3517" s="2">
        <f>HYPERLINK("http://mcb-m6.bioreg.kyushu-u.ac.jp/M3/20110404/F50760/1671/1", 58.97)</f>
        <v>58.97</v>
      </c>
      <c r="E3517" s="2">
        <v>44.31</v>
      </c>
      <c r="F3517" s="2">
        <v>2</v>
      </c>
      <c r="G3517" s="2" t="s">
        <v>10</v>
      </c>
      <c r="H3517" s="2" t="s">
        <v>4904</v>
      </c>
    </row>
    <row r="3518" spans="1:8" x14ac:dyDescent="0.2">
      <c r="A3518" s="2" t="s">
        <v>3343</v>
      </c>
      <c r="B3518" s="2" t="s">
        <v>704</v>
      </c>
      <c r="C3518" s="2">
        <v>611.37959999999998</v>
      </c>
      <c r="D3518" s="2">
        <f>HYPERLINK("http://mcb-m6.bioreg.kyushu-u.ac.jp/M3/20110404/F50781/1405/1", 59.46)</f>
        <v>59.46</v>
      </c>
      <c r="E3518" s="2">
        <v>33.04</v>
      </c>
      <c r="F3518" s="2">
        <v>2</v>
      </c>
      <c r="G3518" s="2" t="s">
        <v>10</v>
      </c>
      <c r="H3518" s="2" t="s">
        <v>4908</v>
      </c>
    </row>
    <row r="3519" spans="1:8" x14ac:dyDescent="0.2">
      <c r="A3519" s="2" t="s">
        <v>3343</v>
      </c>
      <c r="B3519" s="2" t="s">
        <v>509</v>
      </c>
      <c r="C3519" s="2">
        <v>725.75570000000005</v>
      </c>
      <c r="D3519" s="2">
        <f>HYPERLINK("http://mcb-m6.bioreg.kyushu-u.ac.jp/M3/20110404/F50760/1792/1", 59.92)</f>
        <v>59.92</v>
      </c>
      <c r="E3519" s="2">
        <v>46.5</v>
      </c>
      <c r="F3519" s="2">
        <v>2</v>
      </c>
      <c r="G3519" s="2" t="s">
        <v>10</v>
      </c>
      <c r="H3519" s="2" t="s">
        <v>4927</v>
      </c>
    </row>
    <row r="3520" spans="1:8" x14ac:dyDescent="0.2">
      <c r="A3520" s="2" t="s">
        <v>3343</v>
      </c>
      <c r="B3520" s="2" t="s">
        <v>704</v>
      </c>
      <c r="C3520" s="2">
        <v>602.93769999999995</v>
      </c>
      <c r="D3520" s="2">
        <f>HYPERLINK("http://mcb-m6.bioreg.kyushu-u.ac.jp/M3/20110404/F50761/1332/1", 61.12)</f>
        <v>61.12</v>
      </c>
      <c r="E3520" s="2">
        <v>33.6</v>
      </c>
      <c r="F3520" s="2">
        <v>2</v>
      </c>
      <c r="G3520" s="2" t="s">
        <v>10</v>
      </c>
    </row>
    <row r="3521" spans="1:8" x14ac:dyDescent="0.2">
      <c r="A3521" s="2" t="s">
        <v>3343</v>
      </c>
      <c r="B3521" s="2" t="s">
        <v>132</v>
      </c>
      <c r="C3521" s="2">
        <v>578.74570000000006</v>
      </c>
      <c r="D3521" s="2">
        <f>HYPERLINK("http://mcb-m6.bioreg.kyushu-u.ac.jp/M3/20110404/F50758/1397/1", 61.19)</f>
        <v>61.19</v>
      </c>
      <c r="E3521" s="2">
        <v>35.35</v>
      </c>
      <c r="F3521" s="2">
        <v>2</v>
      </c>
      <c r="G3521" s="2" t="s">
        <v>10</v>
      </c>
    </row>
    <row r="3522" spans="1:8" x14ac:dyDescent="0.2">
      <c r="A3522" s="2" t="s">
        <v>3343</v>
      </c>
      <c r="B3522" s="2" t="s">
        <v>704</v>
      </c>
      <c r="C3522" s="2">
        <v>602.74620000000004</v>
      </c>
      <c r="D3522" s="2">
        <f>HYPERLINK("http://mcb-m6.bioreg.kyushu-u.ac.jp/M3/20110404/F50760/1342/1", 62.02)</f>
        <v>62.02</v>
      </c>
      <c r="E3522" s="2">
        <v>32.49</v>
      </c>
      <c r="F3522" s="2">
        <v>2</v>
      </c>
      <c r="G3522" s="2" t="s">
        <v>10</v>
      </c>
    </row>
    <row r="3523" spans="1:8" x14ac:dyDescent="0.2">
      <c r="A3523" s="2" t="s">
        <v>3343</v>
      </c>
      <c r="B3523" s="2" t="s">
        <v>509</v>
      </c>
      <c r="C3523" s="2">
        <v>1416.383</v>
      </c>
      <c r="D3523" s="2">
        <f>HYPERLINK("http://mcb-m6.bioreg.kyushu-u.ac.jp/M3/20110404/F50760/1673/1", 62.81)</f>
        <v>62.81</v>
      </c>
      <c r="E3523" s="2">
        <v>46.2</v>
      </c>
      <c r="F3523" s="2">
        <v>1</v>
      </c>
      <c r="G3523" s="2" t="s">
        <v>10</v>
      </c>
      <c r="H3523" s="2" t="s">
        <v>4904</v>
      </c>
    </row>
    <row r="3524" spans="1:8" x14ac:dyDescent="0.2">
      <c r="A3524" s="2" t="s">
        <v>3343</v>
      </c>
      <c r="B3524" s="2" t="s">
        <v>509</v>
      </c>
      <c r="C3524" s="2">
        <v>709.42110000000002</v>
      </c>
      <c r="D3524" s="2">
        <f>HYPERLINK("http://mcb-m6.bioreg.kyushu-u.ac.jp/M3/20110404/F50760/1683/1", 62.94)</f>
        <v>62.94</v>
      </c>
      <c r="E3524" s="2">
        <v>52.21</v>
      </c>
      <c r="F3524" s="2">
        <v>2</v>
      </c>
      <c r="G3524" s="2" t="s">
        <v>10</v>
      </c>
      <c r="H3524" s="2" t="s">
        <v>4904</v>
      </c>
    </row>
    <row r="3525" spans="1:8" x14ac:dyDescent="0.2">
      <c r="A3525" s="2" t="s">
        <v>3343</v>
      </c>
      <c r="B3525" s="2" t="s">
        <v>704</v>
      </c>
      <c r="C3525" s="2">
        <v>602.33069999999998</v>
      </c>
      <c r="D3525" s="2">
        <f>HYPERLINK("http://mcb-m6.bioreg.kyushu-u.ac.jp/M3/20110404/F50760/1335/1", 63.51)</f>
        <v>63.51</v>
      </c>
      <c r="E3525" s="2">
        <v>29.11</v>
      </c>
      <c r="F3525" s="2">
        <v>2</v>
      </c>
      <c r="G3525" s="2" t="s">
        <v>10</v>
      </c>
    </row>
    <row r="3526" spans="1:8" x14ac:dyDescent="0.2">
      <c r="A3526" s="2" t="s">
        <v>3343</v>
      </c>
      <c r="B3526" s="2" t="s">
        <v>558</v>
      </c>
      <c r="C3526" s="2">
        <v>729.84370000000001</v>
      </c>
      <c r="D3526" s="2">
        <f>HYPERLINK("http://mcb-m6.bioreg.kyushu-u.ac.jp/M3/20110404/F50758/1867/1", 63.7)</f>
        <v>63.7</v>
      </c>
      <c r="E3526" s="2">
        <v>51.07</v>
      </c>
      <c r="F3526" s="2">
        <v>2</v>
      </c>
      <c r="G3526" s="2" t="s">
        <v>10</v>
      </c>
    </row>
    <row r="3527" spans="1:8" x14ac:dyDescent="0.2">
      <c r="A3527" s="2" t="s">
        <v>3343</v>
      </c>
      <c r="B3527" s="2" t="s">
        <v>344</v>
      </c>
      <c r="C3527" s="2">
        <v>919.17819999999995</v>
      </c>
      <c r="D3527" s="2">
        <f>HYPERLINK("http://mcb-m6.bioreg.kyushu-u.ac.jp/M3/20110404/F50760/2476/1", 64.44)</f>
        <v>64.44</v>
      </c>
      <c r="E3527" s="2">
        <v>38.14</v>
      </c>
      <c r="F3527" s="2">
        <v>2</v>
      </c>
      <c r="G3527" s="2" t="s">
        <v>10</v>
      </c>
    </row>
    <row r="3528" spans="1:8" x14ac:dyDescent="0.2">
      <c r="A3528" s="2" t="s">
        <v>3343</v>
      </c>
      <c r="B3528" s="2" t="s">
        <v>558</v>
      </c>
      <c r="C3528" s="2">
        <v>729.8972</v>
      </c>
      <c r="D3528" s="2">
        <f>HYPERLINK("http://mcb-m6.bioreg.kyushu-u.ac.jp/M3/20110404/F50760/1814/1", 64.52)</f>
        <v>64.52</v>
      </c>
      <c r="E3528" s="2">
        <v>44.24</v>
      </c>
      <c r="F3528" s="2">
        <v>2</v>
      </c>
      <c r="G3528" s="2" t="s">
        <v>10</v>
      </c>
    </row>
    <row r="3529" spans="1:8" x14ac:dyDescent="0.2">
      <c r="A3529" s="2" t="s">
        <v>3343</v>
      </c>
      <c r="B3529" s="2" t="s">
        <v>344</v>
      </c>
      <c r="C3529" s="2">
        <v>919.31769999999995</v>
      </c>
      <c r="D3529" s="2">
        <f>HYPERLINK("http://mcb-m6.bioreg.kyushu-u.ac.jp/M3/20110404/F50760/2478/1", 65.15)</f>
        <v>65.150000000000006</v>
      </c>
      <c r="E3529" s="2">
        <v>45.14</v>
      </c>
      <c r="F3529" s="2">
        <v>2</v>
      </c>
      <c r="G3529" s="2" t="s">
        <v>10</v>
      </c>
    </row>
    <row r="3530" spans="1:8" x14ac:dyDescent="0.2">
      <c r="A3530" s="2" t="s">
        <v>3343</v>
      </c>
      <c r="B3530" s="2" t="s">
        <v>546</v>
      </c>
      <c r="C3530" s="2">
        <v>664.66610000000003</v>
      </c>
      <c r="D3530" s="2">
        <f>HYPERLINK("http://mcb-m6.bioreg.kyushu-u.ac.jp/M3/20110404/F50760/1494/2", 65.32)</f>
        <v>65.319999999999993</v>
      </c>
      <c r="E3530" s="2">
        <v>41.51</v>
      </c>
      <c r="F3530" s="2">
        <v>2</v>
      </c>
      <c r="G3530" s="2" t="s">
        <v>10</v>
      </c>
    </row>
    <row r="3531" spans="1:8" x14ac:dyDescent="0.2">
      <c r="A3531" s="2" t="s">
        <v>3343</v>
      </c>
      <c r="B3531" s="2" t="s">
        <v>509</v>
      </c>
      <c r="C3531" s="2">
        <v>708.88819999999998</v>
      </c>
      <c r="D3531" s="2">
        <f>HYPERLINK("http://mcb-m6.bioreg.kyushu-u.ac.jp/M3/20110404/F50760/1676/1", 65.39)</f>
        <v>65.39</v>
      </c>
      <c r="E3531" s="2">
        <v>48.99</v>
      </c>
      <c r="F3531" s="2">
        <v>2</v>
      </c>
      <c r="G3531" s="2" t="s">
        <v>10</v>
      </c>
      <c r="H3531" s="2" t="s">
        <v>4904</v>
      </c>
    </row>
    <row r="3532" spans="1:8" x14ac:dyDescent="0.2">
      <c r="A3532" s="2" t="s">
        <v>3343</v>
      </c>
      <c r="B3532" s="2" t="s">
        <v>704</v>
      </c>
      <c r="C3532" s="2">
        <v>602.70510000000002</v>
      </c>
      <c r="D3532" s="2">
        <f>HYPERLINK("http://mcb-m6.bioreg.kyushu-u.ac.jp/M3/20110404/F50760/1340/1", 65.54)</f>
        <v>65.540000000000006</v>
      </c>
      <c r="E3532" s="2">
        <v>24.71</v>
      </c>
      <c r="F3532" s="2">
        <v>2</v>
      </c>
      <c r="G3532" s="2" t="s">
        <v>10</v>
      </c>
    </row>
    <row r="3533" spans="1:8" x14ac:dyDescent="0.2">
      <c r="A3533" s="2" t="s">
        <v>3343</v>
      </c>
      <c r="B3533" s="2" t="s">
        <v>546</v>
      </c>
      <c r="C3533" s="2">
        <v>664.73220000000003</v>
      </c>
      <c r="D3533" s="2">
        <f>HYPERLINK("http://mcb-m6.bioreg.kyushu-u.ac.jp/M3/20110404/F50760/1497/2", 66.13)</f>
        <v>66.13</v>
      </c>
      <c r="E3533" s="2">
        <v>47.22</v>
      </c>
      <c r="F3533" s="2">
        <v>2</v>
      </c>
      <c r="G3533" s="2" t="s">
        <v>10</v>
      </c>
    </row>
    <row r="3534" spans="1:8" x14ac:dyDescent="0.2">
      <c r="A3534" s="2" t="s">
        <v>3343</v>
      </c>
      <c r="B3534" s="2" t="s">
        <v>704</v>
      </c>
      <c r="C3534" s="2">
        <v>610.78369999999995</v>
      </c>
      <c r="D3534" s="2">
        <f>HYPERLINK("http://mcb-m6.bioreg.kyushu-u.ac.jp/M3/20110404/F50760/1385/1", 69.36)</f>
        <v>69.36</v>
      </c>
      <c r="E3534" s="2">
        <v>39.369999999999997</v>
      </c>
      <c r="F3534" s="2">
        <v>2</v>
      </c>
      <c r="G3534" s="2" t="s">
        <v>10</v>
      </c>
      <c r="H3534" s="2" t="s">
        <v>4908</v>
      </c>
    </row>
    <row r="3535" spans="1:8" x14ac:dyDescent="0.2">
      <c r="A3535" s="2" t="s">
        <v>3343</v>
      </c>
      <c r="B3535" s="2" t="s">
        <v>328</v>
      </c>
      <c r="C3535" s="2">
        <v>573.66309999999999</v>
      </c>
      <c r="D3535" s="2">
        <f>HYPERLINK("http://mcb-m6.bioreg.kyushu-u.ac.jp/M3/20110404/F50761/1210/1", 70.02)</f>
        <v>70.02</v>
      </c>
      <c r="E3535" s="2">
        <v>28.53</v>
      </c>
      <c r="F3535" s="2">
        <v>2</v>
      </c>
      <c r="G3535" s="2" t="s">
        <v>10</v>
      </c>
    </row>
    <row r="3536" spans="1:8" x14ac:dyDescent="0.2">
      <c r="A3536" s="2" t="s">
        <v>3343</v>
      </c>
      <c r="B3536" s="2" t="s">
        <v>328</v>
      </c>
      <c r="C3536" s="2">
        <v>574.19759999999997</v>
      </c>
      <c r="D3536" s="2">
        <f>HYPERLINK("http://mcb-m6.bioreg.kyushu-u.ac.jp/M3/20110404/F50761/1213/1", 70.09)</f>
        <v>70.09</v>
      </c>
      <c r="E3536" s="2">
        <v>32.43</v>
      </c>
      <c r="F3536" s="2">
        <v>2</v>
      </c>
      <c r="G3536" s="2" t="s">
        <v>10</v>
      </c>
    </row>
    <row r="3537" spans="1:8" x14ac:dyDescent="0.2">
      <c r="A3537" s="2" t="s">
        <v>3343</v>
      </c>
      <c r="B3537" s="2" t="s">
        <v>558</v>
      </c>
      <c r="C3537" s="2">
        <v>729.33969999999999</v>
      </c>
      <c r="D3537" s="2">
        <f>HYPERLINK("http://mcb-m6.bioreg.kyushu-u.ac.jp/M3/20110404/F50760/1810/1", 70.96)</f>
        <v>70.959999999999994</v>
      </c>
      <c r="E3537" s="2">
        <v>58.06</v>
      </c>
      <c r="F3537" s="2">
        <v>2</v>
      </c>
      <c r="G3537" s="2" t="s">
        <v>10</v>
      </c>
    </row>
    <row r="3538" spans="1:8" x14ac:dyDescent="0.2">
      <c r="A3538" s="2" t="s">
        <v>3343</v>
      </c>
      <c r="B3538" s="2" t="s">
        <v>344</v>
      </c>
      <c r="C3538" s="2">
        <v>919.84310000000005</v>
      </c>
      <c r="D3538" s="2">
        <f>HYPERLINK("http://mcb-m6.bioreg.kyushu-u.ac.jp/M3/20110404/F50760/2482/1", 71.09)</f>
        <v>71.09</v>
      </c>
      <c r="E3538" s="2">
        <v>47.89</v>
      </c>
      <c r="F3538" s="2">
        <v>2</v>
      </c>
      <c r="G3538" s="2" t="s">
        <v>10</v>
      </c>
    </row>
    <row r="3539" spans="1:8" x14ac:dyDescent="0.2">
      <c r="A3539" s="2" t="s">
        <v>3343</v>
      </c>
      <c r="B3539" s="2" t="s">
        <v>943</v>
      </c>
      <c r="C3539" s="2">
        <v>506.69159999999999</v>
      </c>
      <c r="D3539" s="2">
        <f>HYPERLINK("http://mcb-m6.bioreg.kyushu-u.ac.jp/M3/20110404/F50760/1043/1", 71.48)</f>
        <v>71.48</v>
      </c>
      <c r="E3539" s="2">
        <v>45.1</v>
      </c>
      <c r="F3539" s="2">
        <v>2</v>
      </c>
      <c r="G3539" s="2" t="s">
        <v>10</v>
      </c>
    </row>
    <row r="3540" spans="1:8" x14ac:dyDescent="0.2">
      <c r="A3540" s="2" t="s">
        <v>3343</v>
      </c>
      <c r="B3540" s="2" t="s">
        <v>546</v>
      </c>
      <c r="C3540" s="2">
        <v>664.78970000000004</v>
      </c>
      <c r="D3540" s="2">
        <f>HYPERLINK("http://mcb-m6.bioreg.kyushu-u.ac.jp/M3/20110404/F50760/1502/2", 71.99)</f>
        <v>71.989999999999995</v>
      </c>
      <c r="E3540" s="2">
        <v>51.4</v>
      </c>
      <c r="F3540" s="2">
        <v>2</v>
      </c>
      <c r="G3540" s="2" t="s">
        <v>10</v>
      </c>
    </row>
    <row r="3541" spans="1:8" x14ac:dyDescent="0.2">
      <c r="A3541" s="2" t="s">
        <v>3343</v>
      </c>
      <c r="B3541" s="2" t="s">
        <v>325</v>
      </c>
      <c r="C3541" s="2">
        <v>1477.4490000000001</v>
      </c>
      <c r="D3541" s="2">
        <f>HYPERLINK("http://mcb-m6.bioreg.kyushu-u.ac.jp/M3/20110404/F50760/1847/1", 71.99)</f>
        <v>71.989999999999995</v>
      </c>
      <c r="E3541" s="2">
        <v>58.45</v>
      </c>
      <c r="F3541" s="2">
        <v>1</v>
      </c>
      <c r="G3541" s="2" t="s">
        <v>10</v>
      </c>
    </row>
    <row r="3542" spans="1:8" x14ac:dyDescent="0.2">
      <c r="A3542" s="2" t="s">
        <v>3343</v>
      </c>
      <c r="B3542" s="2" t="s">
        <v>344</v>
      </c>
      <c r="C3542" s="2">
        <v>919.44619999999998</v>
      </c>
      <c r="D3542" s="2">
        <f>HYPERLINK("http://mcb-m6.bioreg.kyushu-u.ac.jp/M3/20110404/F50781/2304/1", 72.07)</f>
        <v>72.069999999999993</v>
      </c>
      <c r="E3542" s="2">
        <v>46.71</v>
      </c>
      <c r="F3542" s="2">
        <v>2</v>
      </c>
      <c r="G3542" s="2" t="s">
        <v>10</v>
      </c>
    </row>
    <row r="3543" spans="1:8" x14ac:dyDescent="0.2">
      <c r="A3543" s="2" t="s">
        <v>3343</v>
      </c>
      <c r="B3543" s="2" t="s">
        <v>344</v>
      </c>
      <c r="C3543" s="2">
        <v>1837.5730000000001</v>
      </c>
      <c r="D3543" s="2">
        <f>HYPERLINK("http://mcb-m6.bioreg.kyushu-u.ac.jp/M3/20110404/F50760/2477/1", 72.97)</f>
        <v>72.97</v>
      </c>
      <c r="E3543" s="2">
        <v>54.9</v>
      </c>
      <c r="F3543" s="2">
        <v>1</v>
      </c>
      <c r="G3543" s="2" t="s">
        <v>10</v>
      </c>
    </row>
    <row r="3544" spans="1:8" x14ac:dyDescent="0.2">
      <c r="A3544" s="2" t="s">
        <v>3343</v>
      </c>
      <c r="B3544" s="2" t="s">
        <v>546</v>
      </c>
      <c r="C3544" s="2">
        <v>664.70510000000002</v>
      </c>
      <c r="D3544" s="2">
        <f>HYPERLINK("http://mcb-m6.bioreg.kyushu-u.ac.jp/M3/20110404/F50760/1496/2", 73.17)</f>
        <v>73.17</v>
      </c>
      <c r="E3544" s="2">
        <v>56.43</v>
      </c>
      <c r="F3544" s="2">
        <v>2</v>
      </c>
      <c r="G3544" s="2" t="s">
        <v>10</v>
      </c>
    </row>
    <row r="3545" spans="1:8" x14ac:dyDescent="0.2">
      <c r="A3545" s="2" t="s">
        <v>3343</v>
      </c>
      <c r="B3545" s="2" t="s">
        <v>1002</v>
      </c>
      <c r="C3545" s="2">
        <v>1147.422</v>
      </c>
      <c r="D3545" s="2">
        <f>HYPERLINK("http://mcb-m6.bioreg.kyushu-u.ac.jp/M3/20110404/F50761/3218/1", 73.47)</f>
        <v>73.47</v>
      </c>
      <c r="E3545" s="2">
        <v>67.03</v>
      </c>
      <c r="F3545" s="2">
        <v>2</v>
      </c>
      <c r="G3545" s="2" t="s">
        <v>10</v>
      </c>
    </row>
    <row r="3546" spans="1:8" x14ac:dyDescent="0.2">
      <c r="A3546" s="2" t="s">
        <v>3343</v>
      </c>
      <c r="B3546" s="2" t="s">
        <v>210</v>
      </c>
      <c r="C3546" s="2">
        <v>546.61320000000001</v>
      </c>
      <c r="D3546" s="2">
        <f>HYPERLINK("http://mcb-m6.bioreg.kyushu-u.ac.jp/M3/20110404/F50760/1126/1", 73.94)</f>
        <v>73.94</v>
      </c>
      <c r="E3546" s="2">
        <v>31.02</v>
      </c>
      <c r="F3546" s="2">
        <v>2</v>
      </c>
      <c r="G3546" s="2" t="s">
        <v>10</v>
      </c>
    </row>
    <row r="3547" spans="1:8" x14ac:dyDescent="0.2">
      <c r="A3547" s="2" t="s">
        <v>3343</v>
      </c>
      <c r="B3547" s="2" t="s">
        <v>558</v>
      </c>
      <c r="C3547" s="2">
        <v>729.37270000000001</v>
      </c>
      <c r="D3547" s="2">
        <f>HYPERLINK("http://mcb-m6.bioreg.kyushu-u.ac.jp/M3/20110404/F50761/1797/1", 74.06)</f>
        <v>74.06</v>
      </c>
      <c r="E3547" s="2">
        <v>58.97</v>
      </c>
      <c r="F3547" s="2">
        <v>2</v>
      </c>
      <c r="G3547" s="2" t="s">
        <v>10</v>
      </c>
    </row>
    <row r="3548" spans="1:8" x14ac:dyDescent="0.2">
      <c r="A3548" s="2" t="s">
        <v>3343</v>
      </c>
      <c r="B3548" s="2" t="s">
        <v>325</v>
      </c>
      <c r="C3548" s="2">
        <v>1493.4570000000001</v>
      </c>
      <c r="D3548" s="2">
        <f>HYPERLINK("http://mcb-m6.bioreg.kyushu-u.ac.jp/M3/20110404/F50760/1885/1", 74.27)</f>
        <v>74.27</v>
      </c>
      <c r="E3548" s="2">
        <v>60.69</v>
      </c>
      <c r="F3548" s="2">
        <v>1</v>
      </c>
      <c r="G3548" s="2" t="s">
        <v>10</v>
      </c>
      <c r="H3548" s="2" t="s">
        <v>4925</v>
      </c>
    </row>
    <row r="3549" spans="1:8" x14ac:dyDescent="0.2">
      <c r="A3549" s="2" t="s">
        <v>3343</v>
      </c>
      <c r="B3549" s="2" t="s">
        <v>558</v>
      </c>
      <c r="C3549" s="2">
        <v>729.35519999999997</v>
      </c>
      <c r="D3549" s="2">
        <f>HYPERLINK("http://mcb-m6.bioreg.kyushu-u.ac.jp/M3/20110404/F50781/1773/1", 74.43)</f>
        <v>74.430000000000007</v>
      </c>
      <c r="E3549" s="2">
        <v>54.48</v>
      </c>
      <c r="F3549" s="2">
        <v>2</v>
      </c>
      <c r="G3549" s="2" t="s">
        <v>10</v>
      </c>
    </row>
    <row r="3550" spans="1:8" x14ac:dyDescent="0.2">
      <c r="A3550" s="2" t="s">
        <v>3343</v>
      </c>
      <c r="B3550" s="2" t="s">
        <v>1002</v>
      </c>
      <c r="C3550" s="2">
        <v>1147.4190000000001</v>
      </c>
      <c r="D3550" s="2">
        <f>HYPERLINK("http://mcb-m6.bioreg.kyushu-u.ac.jp/M3/20110404/F50758/3051/1", 74.62)</f>
        <v>74.62</v>
      </c>
      <c r="E3550" s="2">
        <v>63.74</v>
      </c>
      <c r="F3550" s="2">
        <v>2</v>
      </c>
      <c r="G3550" s="2" t="s">
        <v>10</v>
      </c>
    </row>
    <row r="3551" spans="1:8" x14ac:dyDescent="0.2">
      <c r="A3551" s="2" t="s">
        <v>3343</v>
      </c>
      <c r="B3551" s="2" t="s">
        <v>1189</v>
      </c>
      <c r="C3551" s="2">
        <v>1069.704</v>
      </c>
      <c r="D3551" s="2">
        <f>HYPERLINK("http://mcb-m6.bioreg.kyushu-u.ac.jp/M3/20110404/F50758/2841/1", 75.9)</f>
        <v>75.900000000000006</v>
      </c>
      <c r="E3551" s="2">
        <v>64.31</v>
      </c>
      <c r="F3551" s="2">
        <v>2</v>
      </c>
      <c r="G3551" s="2" t="s">
        <v>10</v>
      </c>
    </row>
    <row r="3552" spans="1:8" x14ac:dyDescent="0.2">
      <c r="A3552" s="2" t="s">
        <v>3343</v>
      </c>
      <c r="B3552" s="2" t="s">
        <v>132</v>
      </c>
      <c r="C3552" s="2">
        <v>577.92470000000003</v>
      </c>
      <c r="D3552" s="2">
        <f>HYPERLINK("http://mcb-m6.bioreg.kyushu-u.ac.jp/M3/20110404/F50760/1225/1", 75.99)</f>
        <v>75.989999999999995</v>
      </c>
      <c r="E3552" s="2">
        <v>46.39</v>
      </c>
      <c r="F3552" s="2">
        <v>2</v>
      </c>
      <c r="G3552" s="2" t="s">
        <v>10</v>
      </c>
    </row>
    <row r="3553" spans="1:8" x14ac:dyDescent="0.2">
      <c r="A3553" s="2" t="s">
        <v>3343</v>
      </c>
      <c r="B3553" s="2" t="s">
        <v>210</v>
      </c>
      <c r="C3553" s="2">
        <v>547.12120000000004</v>
      </c>
      <c r="D3553" s="2">
        <f>HYPERLINK("http://mcb-m6.bioreg.kyushu-u.ac.jp/M3/20110404/F50781/1190/1", 76.33)</f>
        <v>76.33</v>
      </c>
      <c r="E3553" s="2">
        <v>39.25</v>
      </c>
      <c r="F3553" s="2">
        <v>2</v>
      </c>
      <c r="G3553" s="2" t="s">
        <v>10</v>
      </c>
    </row>
    <row r="3554" spans="1:8" x14ac:dyDescent="0.2">
      <c r="A3554" s="2" t="s">
        <v>3343</v>
      </c>
      <c r="B3554" s="2" t="s">
        <v>1002</v>
      </c>
      <c r="C3554" s="2">
        <v>1147.6130000000001</v>
      </c>
      <c r="D3554" s="2">
        <f>HYPERLINK("http://mcb-m6.bioreg.kyushu-u.ac.jp/M3/20110404/F50781/2796/1", 76.59)</f>
        <v>76.59</v>
      </c>
      <c r="E3554" s="2">
        <v>63.61</v>
      </c>
      <c r="F3554" s="2">
        <v>2</v>
      </c>
      <c r="G3554" s="2" t="s">
        <v>10</v>
      </c>
    </row>
    <row r="3555" spans="1:8" x14ac:dyDescent="0.2">
      <c r="A3555" s="2" t="s">
        <v>3343</v>
      </c>
      <c r="B3555" s="2" t="s">
        <v>328</v>
      </c>
      <c r="C3555" s="2">
        <v>573.68370000000004</v>
      </c>
      <c r="D3555" s="2">
        <f>HYPERLINK("http://mcb-m6.bioreg.kyushu-u.ac.jp/M3/20110404/F50760/1209/1", 76.69)</f>
        <v>76.69</v>
      </c>
      <c r="E3555" s="2">
        <v>41.14</v>
      </c>
      <c r="F3555" s="2">
        <v>2</v>
      </c>
      <c r="G3555" s="2" t="s">
        <v>10</v>
      </c>
    </row>
    <row r="3556" spans="1:8" x14ac:dyDescent="0.2">
      <c r="A3556" s="2" t="s">
        <v>3343</v>
      </c>
      <c r="B3556" s="2" t="s">
        <v>558</v>
      </c>
      <c r="C3556" s="2">
        <v>729.27260000000001</v>
      </c>
      <c r="D3556" s="2">
        <f>HYPERLINK("http://mcb-m6.bioreg.kyushu-u.ac.jp/M3/20110404/F50760/1806/1", 76.86)</f>
        <v>76.86</v>
      </c>
      <c r="E3556" s="2">
        <v>61.56</v>
      </c>
      <c r="F3556" s="2">
        <v>2</v>
      </c>
      <c r="G3556" s="2" t="s">
        <v>10</v>
      </c>
    </row>
    <row r="3557" spans="1:8" x14ac:dyDescent="0.2">
      <c r="A3557" s="2" t="s">
        <v>3343</v>
      </c>
      <c r="B3557" s="2" t="s">
        <v>344</v>
      </c>
      <c r="C3557" s="2">
        <v>919.96669999999995</v>
      </c>
      <c r="D3557" s="2">
        <f>HYPERLINK("http://mcb-m6.bioreg.kyushu-u.ac.jp/M3/20110404/F50781/2307/1", 76.94)</f>
        <v>76.94</v>
      </c>
      <c r="E3557" s="2">
        <v>54.54</v>
      </c>
      <c r="F3557" s="2">
        <v>2</v>
      </c>
      <c r="G3557" s="2" t="s">
        <v>10</v>
      </c>
    </row>
    <row r="3558" spans="1:8" x14ac:dyDescent="0.2">
      <c r="A3558" s="2" t="s">
        <v>3343</v>
      </c>
      <c r="B3558" s="2" t="s">
        <v>344</v>
      </c>
      <c r="C3558" s="2">
        <v>919.14260000000002</v>
      </c>
      <c r="D3558" s="2">
        <f>HYPERLINK("http://mcb-m6.bioreg.kyushu-u.ac.jp/M3/20110404/F50757/2478/1", 77.02)</f>
        <v>77.02</v>
      </c>
      <c r="E3558" s="2">
        <v>55.37</v>
      </c>
      <c r="F3558" s="2">
        <v>2</v>
      </c>
      <c r="G3558" s="2" t="s">
        <v>10</v>
      </c>
    </row>
    <row r="3559" spans="1:8" x14ac:dyDescent="0.2">
      <c r="A3559" s="2" t="s">
        <v>3343</v>
      </c>
      <c r="B3559" s="2" t="s">
        <v>132</v>
      </c>
      <c r="C3559" s="2">
        <v>578.22969999999998</v>
      </c>
      <c r="D3559" s="2">
        <f>HYPERLINK("http://mcb-m6.bioreg.kyushu-u.ac.jp/M3/20110404/F50781/1254/1", 78.43)</f>
        <v>78.430000000000007</v>
      </c>
      <c r="E3559" s="2">
        <v>48.72</v>
      </c>
      <c r="F3559" s="2">
        <v>2</v>
      </c>
      <c r="G3559" s="2" t="s">
        <v>10</v>
      </c>
    </row>
    <row r="3560" spans="1:8" x14ac:dyDescent="0.2">
      <c r="A3560" s="2" t="s">
        <v>3343</v>
      </c>
      <c r="B3560" s="2" t="s">
        <v>558</v>
      </c>
      <c r="C3560" s="2">
        <v>729.51620000000003</v>
      </c>
      <c r="D3560" s="2">
        <f>HYPERLINK("http://mcb-m6.bioreg.kyushu-u.ac.jp/M3/20110404/F50760/1812/1", 78.48)</f>
        <v>78.48</v>
      </c>
      <c r="E3560" s="2">
        <v>65.94</v>
      </c>
      <c r="F3560" s="2">
        <v>2</v>
      </c>
      <c r="G3560" s="2" t="s">
        <v>10</v>
      </c>
    </row>
    <row r="3561" spans="1:8" x14ac:dyDescent="0.2">
      <c r="A3561" s="2" t="s">
        <v>3343</v>
      </c>
      <c r="B3561" s="2" t="s">
        <v>558</v>
      </c>
      <c r="C3561" s="2">
        <v>729.31209999999999</v>
      </c>
      <c r="D3561" s="2">
        <f>HYPERLINK("http://mcb-m6.bioreg.kyushu-u.ac.jp/M3/20110404/F50760/1808/1", 78.59)</f>
        <v>78.59</v>
      </c>
      <c r="E3561" s="2">
        <v>65.55</v>
      </c>
      <c r="F3561" s="2">
        <v>2</v>
      </c>
      <c r="G3561" s="2" t="s">
        <v>10</v>
      </c>
    </row>
    <row r="3562" spans="1:8" x14ac:dyDescent="0.2">
      <c r="A3562" s="2" t="s">
        <v>3343</v>
      </c>
      <c r="B3562" s="2" t="s">
        <v>943</v>
      </c>
      <c r="C3562" s="2">
        <v>506.71210000000002</v>
      </c>
      <c r="D3562" s="2">
        <f>HYPERLINK("http://mcb-m6.bioreg.kyushu-u.ac.jp/M3/20110404/F50761/994/1", 78.76)</f>
        <v>78.760000000000005</v>
      </c>
      <c r="E3562" s="2">
        <v>56.41</v>
      </c>
      <c r="F3562" s="2">
        <v>2</v>
      </c>
      <c r="G3562" s="2" t="s">
        <v>10</v>
      </c>
    </row>
    <row r="3563" spans="1:8" x14ac:dyDescent="0.2">
      <c r="A3563" s="2" t="s">
        <v>3343</v>
      </c>
      <c r="B3563" s="2" t="s">
        <v>546</v>
      </c>
      <c r="C3563" s="2">
        <v>665.0172</v>
      </c>
      <c r="D3563" s="2">
        <f>HYPERLINK("http://mcb-m6.bioreg.kyushu-u.ac.jp/M3/20110404/F50781/1530/2", 79.35)</f>
        <v>79.349999999999994</v>
      </c>
      <c r="E3563" s="2">
        <v>60.31</v>
      </c>
      <c r="F3563" s="2">
        <v>2</v>
      </c>
      <c r="G3563" s="2" t="s">
        <v>10</v>
      </c>
    </row>
    <row r="3564" spans="1:8" x14ac:dyDescent="0.2">
      <c r="A3564" s="2" t="s">
        <v>3343</v>
      </c>
      <c r="B3564" s="2" t="s">
        <v>344</v>
      </c>
      <c r="C3564" s="2">
        <v>919.59469999999999</v>
      </c>
      <c r="D3564" s="2">
        <f>HYPERLINK("http://mcb-m6.bioreg.kyushu-u.ac.jp/M3/20110404/F50760/2480/1", 79.43)</f>
        <v>79.430000000000007</v>
      </c>
      <c r="E3564" s="2">
        <v>52.19</v>
      </c>
      <c r="F3564" s="2">
        <v>2</v>
      </c>
      <c r="G3564" s="2" t="s">
        <v>10</v>
      </c>
    </row>
    <row r="3565" spans="1:8" x14ac:dyDescent="0.2">
      <c r="A3565" s="2" t="s">
        <v>3343</v>
      </c>
      <c r="B3565" s="2" t="s">
        <v>325</v>
      </c>
      <c r="C3565" s="2">
        <v>747.32619999999997</v>
      </c>
      <c r="D3565" s="2">
        <f>HYPERLINK("http://mcb-m6.bioreg.kyushu-u.ac.jp/M3/20110404/F50781/1826/1", 79.79)</f>
        <v>79.790000000000006</v>
      </c>
      <c r="E3565" s="2">
        <v>68.06</v>
      </c>
      <c r="F3565" s="2">
        <v>2</v>
      </c>
      <c r="G3565" s="2" t="s">
        <v>10</v>
      </c>
      <c r="H3565" s="2" t="s">
        <v>4925</v>
      </c>
    </row>
    <row r="3566" spans="1:8" x14ac:dyDescent="0.2">
      <c r="A3566" s="2" t="s">
        <v>3343</v>
      </c>
      <c r="B3566" s="2" t="s">
        <v>132</v>
      </c>
      <c r="C3566" s="2">
        <v>578.21770000000004</v>
      </c>
      <c r="D3566" s="2">
        <f>HYPERLINK("http://mcb-m6.bioreg.kyushu-u.ac.jp/M3/20110404/F50761/1225/1", 80.71)</f>
        <v>80.709999999999994</v>
      </c>
      <c r="E3566" s="2">
        <v>52.91</v>
      </c>
      <c r="F3566" s="2">
        <v>2</v>
      </c>
      <c r="G3566" s="2" t="s">
        <v>10</v>
      </c>
    </row>
    <row r="3567" spans="1:8" x14ac:dyDescent="0.2">
      <c r="A3567" s="2" t="s">
        <v>3343</v>
      </c>
      <c r="B3567" s="2" t="s">
        <v>509</v>
      </c>
      <c r="C3567" s="2">
        <v>717.27009999999996</v>
      </c>
      <c r="D3567" s="2">
        <f>HYPERLINK("http://mcb-m6.bioreg.kyushu-u.ac.jp/M3/20110404/F50760/1747/1", 83.44)</f>
        <v>83.44</v>
      </c>
      <c r="E3567" s="2">
        <v>56.06</v>
      </c>
      <c r="F3567" s="2">
        <v>2</v>
      </c>
      <c r="G3567" s="2" t="s">
        <v>10</v>
      </c>
    </row>
    <row r="3568" spans="1:8" x14ac:dyDescent="0.2">
      <c r="A3568" s="2" t="s">
        <v>3343</v>
      </c>
      <c r="B3568" s="2" t="s">
        <v>546</v>
      </c>
      <c r="C3568" s="2">
        <v>664.75369999999998</v>
      </c>
      <c r="D3568" s="2">
        <f>HYPERLINK("http://mcb-m6.bioreg.kyushu-u.ac.jp/M3/20110404/F50760/1500/2", 83.58)</f>
        <v>83.58</v>
      </c>
      <c r="E3568" s="2">
        <v>68.44</v>
      </c>
      <c r="F3568" s="2">
        <v>2</v>
      </c>
      <c r="G3568" s="2" t="s">
        <v>10</v>
      </c>
    </row>
    <row r="3569" spans="1:8" x14ac:dyDescent="0.2">
      <c r="A3569" s="2" t="s">
        <v>3343</v>
      </c>
      <c r="B3569" s="2" t="s">
        <v>344</v>
      </c>
      <c r="C3569" s="2">
        <v>919.34559999999999</v>
      </c>
      <c r="D3569" s="2">
        <f>HYPERLINK("http://mcb-m6.bioreg.kyushu-u.ac.jp/M3/20110404/F50758/2503/1", 84.48)</f>
        <v>84.48</v>
      </c>
      <c r="E3569" s="2">
        <v>56.57</v>
      </c>
      <c r="F3569" s="2">
        <v>2</v>
      </c>
      <c r="G3569" s="2" t="s">
        <v>10</v>
      </c>
    </row>
    <row r="3570" spans="1:8" x14ac:dyDescent="0.2">
      <c r="A3570" s="2" t="s">
        <v>3343</v>
      </c>
      <c r="B3570" s="2" t="s">
        <v>325</v>
      </c>
      <c r="C3570" s="2">
        <v>747.70209999999997</v>
      </c>
      <c r="D3570" s="2">
        <f>HYPERLINK("http://mcb-m6.bioreg.kyushu-u.ac.jp/M3/20110404/F50760/1888/1", 84.56)</f>
        <v>84.56</v>
      </c>
      <c r="E3570" s="2">
        <v>70.98</v>
      </c>
      <c r="F3570" s="2">
        <v>2</v>
      </c>
      <c r="G3570" s="2" t="s">
        <v>10</v>
      </c>
      <c r="H3570" s="2" t="s">
        <v>4925</v>
      </c>
    </row>
    <row r="3571" spans="1:8" x14ac:dyDescent="0.2">
      <c r="A3571" s="2" t="s">
        <v>3343</v>
      </c>
      <c r="B3571" s="2" t="s">
        <v>509</v>
      </c>
      <c r="C3571" s="2">
        <v>725.35220000000004</v>
      </c>
      <c r="D3571" s="2">
        <f>HYPERLINK("http://mcb-m6.bioreg.kyushu-u.ac.jp/M3/20110404/F50781/1765/1", 86.47)</f>
        <v>86.47</v>
      </c>
      <c r="E3571" s="2">
        <v>71.39</v>
      </c>
      <c r="F3571" s="2">
        <v>2</v>
      </c>
      <c r="G3571" s="2" t="s">
        <v>10</v>
      </c>
      <c r="H3571" s="2" t="s">
        <v>4927</v>
      </c>
    </row>
    <row r="3572" spans="1:8" x14ac:dyDescent="0.2">
      <c r="A3572" s="2" t="s">
        <v>3343</v>
      </c>
      <c r="B3572" s="2" t="s">
        <v>344</v>
      </c>
      <c r="C3572" s="2">
        <v>920.00210000000004</v>
      </c>
      <c r="D3572" s="2">
        <f>HYPERLINK("http://mcb-m6.bioreg.kyushu-u.ac.jp/M3/20110404/F50760/2484/1", 87.09)</f>
        <v>87.09</v>
      </c>
      <c r="E3572" s="2">
        <v>65.349999999999994</v>
      </c>
      <c r="F3572" s="2">
        <v>2</v>
      </c>
      <c r="G3572" s="2" t="s">
        <v>10</v>
      </c>
    </row>
    <row r="3573" spans="1:8" x14ac:dyDescent="0.2">
      <c r="A3573" s="2" t="s">
        <v>3343</v>
      </c>
      <c r="B3573" s="2" t="s">
        <v>132</v>
      </c>
      <c r="C3573" s="2">
        <v>578.18119999999999</v>
      </c>
      <c r="D3573" s="2">
        <f>HYPERLINK("http://mcb-m6.bioreg.kyushu-u.ac.jp/M3/20110404/F50760/1226/1", 88.9)</f>
        <v>88.9</v>
      </c>
      <c r="E3573" s="2">
        <v>53.64</v>
      </c>
      <c r="F3573" s="2">
        <v>2</v>
      </c>
      <c r="G3573" s="2" t="s">
        <v>10</v>
      </c>
    </row>
    <row r="3574" spans="1:8" x14ac:dyDescent="0.2">
      <c r="A3574" s="2" t="s">
        <v>3343</v>
      </c>
      <c r="B3574" s="2" t="s">
        <v>1211</v>
      </c>
      <c r="C3574" s="2">
        <v>1153.269</v>
      </c>
      <c r="D3574" s="2">
        <f>HYPERLINK("http://mcb-m6.bioreg.kyushu-u.ac.jp/M3/20110404/F50761/3261/1", 88.92)</f>
        <v>88.92</v>
      </c>
      <c r="E3574" s="2">
        <v>80.819999999999993</v>
      </c>
      <c r="F3574" s="2">
        <v>2</v>
      </c>
      <c r="G3574" s="2" t="s">
        <v>10</v>
      </c>
    </row>
    <row r="3575" spans="1:8" x14ac:dyDescent="0.2">
      <c r="A3575" s="2" t="s">
        <v>3343</v>
      </c>
      <c r="B3575" s="2" t="s">
        <v>1002</v>
      </c>
      <c r="C3575" s="2">
        <v>1147.646</v>
      </c>
      <c r="D3575" s="2">
        <f>HYPERLINK("http://mcb-m6.bioreg.kyushu-u.ac.jp/M3/20110404/F50760/3026/1", 90.71)</f>
        <v>90.71</v>
      </c>
      <c r="E3575" s="2">
        <v>78.91</v>
      </c>
      <c r="F3575" s="2">
        <v>2</v>
      </c>
      <c r="G3575" s="2" t="s">
        <v>10</v>
      </c>
    </row>
    <row r="3576" spans="1:8" x14ac:dyDescent="0.2">
      <c r="A3576" s="2" t="s">
        <v>3343</v>
      </c>
      <c r="B3576" s="2" t="s">
        <v>344</v>
      </c>
      <c r="C3576" s="2">
        <v>919.90470000000005</v>
      </c>
      <c r="D3576" s="2">
        <f>HYPERLINK("http://mcb-m6.bioreg.kyushu-u.ac.jp/M3/20110404/F50772/2637/1", 91.03)</f>
        <v>91.03</v>
      </c>
      <c r="E3576" s="2">
        <v>57.88</v>
      </c>
      <c r="F3576" s="2">
        <v>2</v>
      </c>
      <c r="G3576" s="2" t="s">
        <v>10</v>
      </c>
    </row>
    <row r="3577" spans="1:8" x14ac:dyDescent="0.2">
      <c r="A3577" s="2" t="s">
        <v>3343</v>
      </c>
      <c r="B3577" s="2" t="s">
        <v>546</v>
      </c>
      <c r="C3577" s="2">
        <v>664.8116</v>
      </c>
      <c r="D3577" s="2">
        <f>HYPERLINK("http://mcb-m6.bioreg.kyushu-u.ac.jp/M3/20110404/F50760/1503/2", 91.88)</f>
        <v>91.88</v>
      </c>
      <c r="E3577" s="2">
        <v>77.069999999999993</v>
      </c>
      <c r="F3577" s="2">
        <v>2</v>
      </c>
      <c r="G3577" s="2" t="s">
        <v>10</v>
      </c>
    </row>
    <row r="3578" spans="1:8" x14ac:dyDescent="0.2">
      <c r="A3578" s="2" t="s">
        <v>3343</v>
      </c>
      <c r="B3578" s="2" t="s">
        <v>1189</v>
      </c>
      <c r="C3578" s="2">
        <v>1069.5809999999999</v>
      </c>
      <c r="D3578" s="2">
        <f>HYPERLINK("http://mcb-m6.bioreg.kyushu-u.ac.jp/M3/20110404/F50760/2823/1", 93.16)</f>
        <v>93.16</v>
      </c>
      <c r="E3578" s="2">
        <v>80.11</v>
      </c>
      <c r="F3578" s="2">
        <v>2</v>
      </c>
      <c r="G3578" s="2" t="s">
        <v>10</v>
      </c>
    </row>
    <row r="3579" spans="1:8" x14ac:dyDescent="0.2">
      <c r="A3579" s="2" t="s">
        <v>3343</v>
      </c>
      <c r="B3579" s="2" t="s">
        <v>325</v>
      </c>
      <c r="C3579" s="2">
        <v>739.83870000000002</v>
      </c>
      <c r="D3579" s="2">
        <f>HYPERLINK("http://mcb-m6.bioreg.kyushu-u.ac.jp/M3/20110404/F50781/1801/1", 94.09)</f>
        <v>94.09</v>
      </c>
      <c r="E3579" s="2">
        <v>80.63</v>
      </c>
      <c r="F3579" s="2">
        <v>2</v>
      </c>
      <c r="G3579" s="2" t="s">
        <v>10</v>
      </c>
    </row>
    <row r="3580" spans="1:8" x14ac:dyDescent="0.2">
      <c r="A3580" s="2" t="s">
        <v>3343</v>
      </c>
      <c r="B3580" s="2" t="s">
        <v>546</v>
      </c>
      <c r="C3580" s="2">
        <v>664.75319999999999</v>
      </c>
      <c r="D3580" s="2">
        <f>HYPERLINK("http://mcb-m6.bioreg.kyushu-u.ac.jp/M3/20110404/F50760/1499/2", 96.51)</f>
        <v>96.51</v>
      </c>
      <c r="E3580" s="2">
        <v>79.7</v>
      </c>
      <c r="F3580" s="2">
        <v>2</v>
      </c>
      <c r="G3580" s="2" t="s">
        <v>10</v>
      </c>
    </row>
    <row r="3581" spans="1:8" x14ac:dyDescent="0.2">
      <c r="A3581" s="2" t="s">
        <v>3343</v>
      </c>
      <c r="B3581" s="2" t="s">
        <v>1032</v>
      </c>
      <c r="C3581" s="2">
        <v>1163.9349999999999</v>
      </c>
      <c r="D3581" s="2">
        <f>HYPERLINK("http://mcb-m6.bioreg.kyushu-u.ac.jp/M3/20110404/F50761/3297/1", 103.26)</f>
        <v>103.26</v>
      </c>
      <c r="E3581" s="2">
        <v>92.71</v>
      </c>
      <c r="F3581" s="2">
        <v>2</v>
      </c>
      <c r="G3581" s="2" t="s">
        <v>10</v>
      </c>
    </row>
    <row r="3582" spans="1:8" x14ac:dyDescent="0.2">
      <c r="A3582" s="2" t="s">
        <v>3343</v>
      </c>
      <c r="B3582" s="2" t="s">
        <v>325</v>
      </c>
      <c r="C3582" s="2">
        <v>739.66560000000004</v>
      </c>
      <c r="D3582" s="2">
        <f>HYPERLINK("http://mcb-m6.bioreg.kyushu-u.ac.jp/M3/20110404/F50760/1850/1", 103.82)</f>
        <v>103.82</v>
      </c>
      <c r="E3582" s="2">
        <v>89.9</v>
      </c>
      <c r="F3582" s="2">
        <v>2</v>
      </c>
      <c r="G3582" s="2" t="s">
        <v>10</v>
      </c>
    </row>
    <row r="3583" spans="1:8" x14ac:dyDescent="0.2">
      <c r="A3583" s="2" t="s">
        <v>3343</v>
      </c>
      <c r="B3583" s="2" t="s">
        <v>325</v>
      </c>
      <c r="C3583" s="2">
        <v>739.31119999999999</v>
      </c>
      <c r="D3583" s="2">
        <f>HYPERLINK("http://mcb-m6.bioreg.kyushu-u.ac.jp/M3/20110404/F50781/1799/1", 104.24)</f>
        <v>104.24</v>
      </c>
      <c r="E3583" s="2">
        <v>89.47</v>
      </c>
      <c r="F3583" s="2">
        <v>2</v>
      </c>
      <c r="G3583" s="2" t="s">
        <v>10</v>
      </c>
    </row>
    <row r="3584" spans="1:8" x14ac:dyDescent="0.2">
      <c r="A3584" s="2" t="s">
        <v>3343</v>
      </c>
      <c r="B3584" s="2" t="s">
        <v>704</v>
      </c>
      <c r="C3584" s="2">
        <v>1220.5350000000001</v>
      </c>
      <c r="D3584" s="2">
        <f>HYPERLINK("http://mcb-m6.bioreg.kyushu-u.ac.jp/M3/20110421/F51058/1246/1", 35)</f>
        <v>35</v>
      </c>
      <c r="E3584" s="2">
        <v>16.239999999999998</v>
      </c>
      <c r="F3584" s="2">
        <v>1</v>
      </c>
      <c r="G3584" s="2" t="s">
        <v>11</v>
      </c>
      <c r="H3584" s="2" t="s">
        <v>4908</v>
      </c>
    </row>
    <row r="3585" spans="1:8" x14ac:dyDescent="0.2">
      <c r="A3585" s="2" t="s">
        <v>3343</v>
      </c>
      <c r="B3585" s="2" t="s">
        <v>210</v>
      </c>
      <c r="C3585" s="2">
        <v>1092.681</v>
      </c>
      <c r="D3585" s="2">
        <f>HYPERLINK("http://mcb-m6.bioreg.kyushu-u.ac.jp/M3/20110421/F51058/974/1", 36.86)</f>
        <v>36.86</v>
      </c>
      <c r="E3585" s="2">
        <v>10.81</v>
      </c>
      <c r="F3585" s="2">
        <v>1</v>
      </c>
      <c r="G3585" s="2" t="s">
        <v>11</v>
      </c>
    </row>
    <row r="3586" spans="1:8" x14ac:dyDescent="0.2">
      <c r="A3586" s="2" t="s">
        <v>3343</v>
      </c>
      <c r="B3586" s="2" t="s">
        <v>297</v>
      </c>
      <c r="C3586" s="2">
        <v>1186.595</v>
      </c>
      <c r="D3586" s="2">
        <f>HYPERLINK("http://mcb-m6.bioreg.kyushu-u.ac.jp/M3/20110421/F51058/1145/1", 38.04)</f>
        <v>38.04</v>
      </c>
      <c r="E3586" s="2">
        <v>21.36</v>
      </c>
      <c r="F3586" s="2">
        <v>1</v>
      </c>
      <c r="G3586" s="2" t="s">
        <v>11</v>
      </c>
    </row>
    <row r="3587" spans="1:8" x14ac:dyDescent="0.2">
      <c r="A3587" s="2" t="s">
        <v>3343</v>
      </c>
      <c r="B3587" s="2" t="s">
        <v>546</v>
      </c>
      <c r="C3587" s="2">
        <v>664.88459999999998</v>
      </c>
      <c r="D3587" s="2">
        <f>HYPERLINK("http://mcb-m6.bioreg.kyushu-u.ac.jp/M3/20110421/F51058/1419/2", 38.35)</f>
        <v>38.35</v>
      </c>
      <c r="E3587" s="2">
        <v>21.64</v>
      </c>
      <c r="F3587" s="2">
        <v>2</v>
      </c>
      <c r="G3587" s="2" t="s">
        <v>11</v>
      </c>
    </row>
    <row r="3588" spans="1:8" x14ac:dyDescent="0.2">
      <c r="A3588" s="2" t="s">
        <v>3343</v>
      </c>
      <c r="B3588" s="2" t="s">
        <v>428</v>
      </c>
      <c r="C3588" s="2">
        <v>452.12209999999999</v>
      </c>
      <c r="D3588" s="2">
        <f>HYPERLINK("http://mcb-m6.bioreg.kyushu-u.ac.jp/M3/20110421/F51058/525/1", 38.82)</f>
        <v>38.82</v>
      </c>
      <c r="E3588" s="2">
        <v>15.73</v>
      </c>
      <c r="F3588" s="2">
        <v>2</v>
      </c>
      <c r="G3588" s="2" t="s">
        <v>11</v>
      </c>
    </row>
    <row r="3589" spans="1:8" x14ac:dyDescent="0.2">
      <c r="A3589" s="2" t="s">
        <v>3343</v>
      </c>
      <c r="B3589" s="2" t="s">
        <v>704</v>
      </c>
      <c r="C3589" s="2">
        <v>611.03269999999998</v>
      </c>
      <c r="D3589" s="2">
        <f>HYPERLINK("http://mcb-m6.bioreg.kyushu-u.ac.jp/M3/20110421/F51014/1641/1", 40.03)</f>
        <v>40.03</v>
      </c>
      <c r="E3589" s="2">
        <v>18.71</v>
      </c>
      <c r="F3589" s="2">
        <v>2</v>
      </c>
      <c r="G3589" s="2" t="s">
        <v>11</v>
      </c>
      <c r="H3589" s="2" t="s">
        <v>4908</v>
      </c>
    </row>
    <row r="3590" spans="1:8" x14ac:dyDescent="0.2">
      <c r="A3590" s="2" t="s">
        <v>3343</v>
      </c>
      <c r="B3590" s="2" t="s">
        <v>428</v>
      </c>
      <c r="C3590" s="2">
        <v>902.63800000000003</v>
      </c>
      <c r="D3590" s="2">
        <f>HYPERLINK("http://mcb-m6.bioreg.kyushu-u.ac.jp/M3/20110421/F51058/520/1", 40.1)</f>
        <v>40.1</v>
      </c>
      <c r="E3590" s="2">
        <v>19.18</v>
      </c>
      <c r="F3590" s="2">
        <v>1</v>
      </c>
      <c r="G3590" s="2" t="s">
        <v>11</v>
      </c>
    </row>
    <row r="3591" spans="1:8" x14ac:dyDescent="0.2">
      <c r="A3591" s="2" t="s">
        <v>3343</v>
      </c>
      <c r="B3591" s="2" t="s">
        <v>132</v>
      </c>
      <c r="C3591" s="2">
        <v>578.28219999999999</v>
      </c>
      <c r="D3591" s="2">
        <f>HYPERLINK("http://mcb-m6.bioreg.kyushu-u.ac.jp/M3/20110421/F51058/1076/1", 40.5)</f>
        <v>40.5</v>
      </c>
      <c r="E3591" s="2">
        <v>20.78</v>
      </c>
      <c r="F3591" s="2">
        <v>2</v>
      </c>
      <c r="G3591" s="2" t="s">
        <v>11</v>
      </c>
    </row>
    <row r="3592" spans="1:8" x14ac:dyDescent="0.2">
      <c r="A3592" s="2" t="s">
        <v>3343</v>
      </c>
      <c r="B3592" s="2" t="s">
        <v>344</v>
      </c>
      <c r="C3592" s="2">
        <v>919.68119999999999</v>
      </c>
      <c r="D3592" s="2">
        <f>HYPERLINK("http://mcb-m6.bioreg.kyushu-u.ac.jp/M3/20110421/F51058/2646/1", 41.38)</f>
        <v>41.38</v>
      </c>
      <c r="E3592" s="2">
        <v>22.28</v>
      </c>
      <c r="F3592" s="2">
        <v>2</v>
      </c>
      <c r="G3592" s="2" t="s">
        <v>11</v>
      </c>
    </row>
    <row r="3593" spans="1:8" x14ac:dyDescent="0.2">
      <c r="A3593" s="2" t="s">
        <v>3343</v>
      </c>
      <c r="B3593" s="2" t="s">
        <v>132</v>
      </c>
      <c r="C3593" s="2">
        <v>578.89620000000002</v>
      </c>
      <c r="D3593" s="2">
        <f>HYPERLINK("http://mcb-m6.bioreg.kyushu-u.ac.jp/M3/20110421/F51058/1090/1", 41.56)</f>
        <v>41.56</v>
      </c>
      <c r="E3593" s="2">
        <v>23.87</v>
      </c>
      <c r="F3593" s="2">
        <v>2</v>
      </c>
      <c r="G3593" s="2" t="s">
        <v>11</v>
      </c>
    </row>
    <row r="3594" spans="1:8" x14ac:dyDescent="0.2">
      <c r="A3594" s="2" t="s">
        <v>3343</v>
      </c>
      <c r="B3594" s="2" t="s">
        <v>443</v>
      </c>
      <c r="C3594" s="2">
        <v>509.43310000000002</v>
      </c>
      <c r="D3594" s="2">
        <f>HYPERLINK("http://mcb-m6.bioreg.kyushu-u.ac.jp/M3/20110421/F51058/825/1", 41.9)</f>
        <v>41.9</v>
      </c>
      <c r="E3594" s="2">
        <v>16.04</v>
      </c>
      <c r="F3594" s="2">
        <v>2</v>
      </c>
      <c r="G3594" s="2" t="s">
        <v>11</v>
      </c>
    </row>
    <row r="3595" spans="1:8" x14ac:dyDescent="0.2">
      <c r="A3595" s="2" t="s">
        <v>3343</v>
      </c>
      <c r="B3595" s="2" t="s">
        <v>210</v>
      </c>
      <c r="C3595" s="2">
        <v>1108.511</v>
      </c>
      <c r="D3595" s="2">
        <f>HYPERLINK("http://mcb-m6.bioreg.kyushu-u.ac.jp/M3/20110421/F51058/997/1", 42.09)</f>
        <v>42.09</v>
      </c>
      <c r="E3595" s="2">
        <v>26.86</v>
      </c>
      <c r="F3595" s="2">
        <v>1</v>
      </c>
      <c r="G3595" s="2" t="s">
        <v>11</v>
      </c>
      <c r="H3595" s="2" t="s">
        <v>4910</v>
      </c>
    </row>
    <row r="3596" spans="1:8" x14ac:dyDescent="0.2">
      <c r="A3596" s="2" t="s">
        <v>3343</v>
      </c>
      <c r="B3596" s="2" t="s">
        <v>704</v>
      </c>
      <c r="C3596" s="2">
        <v>1204.663</v>
      </c>
      <c r="D3596" s="2">
        <f>HYPERLINK("http://mcb-m6.bioreg.kyushu-u.ac.jp/M3/20110421/F51058/1200/1", 42.13)</f>
        <v>42.13</v>
      </c>
      <c r="E3596" s="2">
        <v>17.47</v>
      </c>
      <c r="F3596" s="2">
        <v>1</v>
      </c>
      <c r="G3596" s="2" t="s">
        <v>11</v>
      </c>
    </row>
    <row r="3597" spans="1:8" x14ac:dyDescent="0.2">
      <c r="A3597" s="2" t="s">
        <v>3343</v>
      </c>
      <c r="B3597" s="2" t="s">
        <v>704</v>
      </c>
      <c r="C3597" s="2">
        <v>602.81209999999999</v>
      </c>
      <c r="D3597" s="2">
        <f>HYPERLINK("http://mcb-m6.bioreg.kyushu-u.ac.jp/M3/20110421/F51018/1510/1", 42.53)</f>
        <v>42.53</v>
      </c>
      <c r="E3597" s="2">
        <v>11.52</v>
      </c>
      <c r="F3597" s="2">
        <v>2</v>
      </c>
      <c r="G3597" s="2" t="s">
        <v>11</v>
      </c>
    </row>
    <row r="3598" spans="1:8" x14ac:dyDescent="0.2">
      <c r="A3598" s="2" t="s">
        <v>3343</v>
      </c>
      <c r="B3598" s="2" t="s">
        <v>704</v>
      </c>
      <c r="C3598" s="2">
        <v>610.7491</v>
      </c>
      <c r="D3598" s="2">
        <f>HYPERLINK("http://mcb-m6.bioreg.kyushu-u.ac.jp/M3/20110421/F51016/1760/1", 42.68)</f>
        <v>42.68</v>
      </c>
      <c r="E3598" s="2">
        <v>19.82</v>
      </c>
      <c r="F3598" s="2">
        <v>2</v>
      </c>
      <c r="G3598" s="2" t="s">
        <v>11</v>
      </c>
      <c r="H3598" s="2" t="s">
        <v>4908</v>
      </c>
    </row>
    <row r="3599" spans="1:8" x14ac:dyDescent="0.2">
      <c r="A3599" s="2" t="s">
        <v>3343</v>
      </c>
      <c r="B3599" s="2" t="s">
        <v>509</v>
      </c>
      <c r="C3599" s="2">
        <v>725.27419999999995</v>
      </c>
      <c r="D3599" s="2">
        <f>HYPERLINK("http://mcb-m6.bioreg.kyushu-u.ac.jp/M3/20110421/F51017/1955/1", 44.31)</f>
        <v>44.31</v>
      </c>
      <c r="E3599" s="2">
        <v>33.26</v>
      </c>
      <c r="F3599" s="2">
        <v>2</v>
      </c>
      <c r="G3599" s="2" t="s">
        <v>11</v>
      </c>
      <c r="H3599" s="2" t="s">
        <v>4927</v>
      </c>
    </row>
    <row r="3600" spans="1:8" x14ac:dyDescent="0.2">
      <c r="A3600" s="2" t="s">
        <v>3343</v>
      </c>
      <c r="B3600" s="2" t="s">
        <v>132</v>
      </c>
      <c r="C3600" s="2">
        <v>1155.595</v>
      </c>
      <c r="D3600" s="2">
        <f>HYPERLINK("http://mcb-m6.bioreg.kyushu-u.ac.jp/M3/20110421/F51058/1077/1", 44.37)</f>
        <v>44.37</v>
      </c>
      <c r="E3600" s="2">
        <v>23.07</v>
      </c>
      <c r="F3600" s="2">
        <v>1</v>
      </c>
      <c r="G3600" s="2" t="s">
        <v>11</v>
      </c>
    </row>
    <row r="3601" spans="1:8" x14ac:dyDescent="0.2">
      <c r="A3601" s="2" t="s">
        <v>3343</v>
      </c>
      <c r="B3601" s="2" t="s">
        <v>132</v>
      </c>
      <c r="C3601" s="2">
        <v>578.76070000000004</v>
      </c>
      <c r="D3601" s="2">
        <f>HYPERLINK("http://mcb-m6.bioreg.kyushu-u.ac.jp/M3/20110421/F51042/1015/1", 45.07)</f>
        <v>45.07</v>
      </c>
      <c r="E3601" s="2">
        <v>28.5</v>
      </c>
      <c r="F3601" s="2">
        <v>2</v>
      </c>
      <c r="G3601" s="2" t="s">
        <v>11</v>
      </c>
    </row>
    <row r="3602" spans="1:8" x14ac:dyDescent="0.2">
      <c r="A3602" s="2" t="s">
        <v>3343</v>
      </c>
      <c r="B3602" s="2" t="s">
        <v>132</v>
      </c>
      <c r="C3602" s="2">
        <v>578.78560000000004</v>
      </c>
      <c r="D3602" s="2">
        <f>HYPERLINK("http://mcb-m6.bioreg.kyushu-u.ac.jp/M3/20110421/F51037/1101/1", 45.89)</f>
        <v>45.89</v>
      </c>
      <c r="E3602" s="2">
        <v>21.15</v>
      </c>
      <c r="F3602" s="2">
        <v>2</v>
      </c>
      <c r="G3602" s="2" t="s">
        <v>11</v>
      </c>
    </row>
    <row r="3603" spans="1:8" x14ac:dyDescent="0.2">
      <c r="A3603" s="2" t="s">
        <v>3343</v>
      </c>
      <c r="B3603" s="2" t="s">
        <v>328</v>
      </c>
      <c r="C3603" s="2">
        <v>1146.48</v>
      </c>
      <c r="D3603" s="2">
        <f>HYPERLINK("http://mcb-m6.bioreg.kyushu-u.ac.jp/M3/20110421/F51058/1054/1", 46.06)</f>
        <v>46.06</v>
      </c>
      <c r="E3603" s="2">
        <v>15.3</v>
      </c>
      <c r="F3603" s="2">
        <v>1</v>
      </c>
      <c r="G3603" s="2" t="s">
        <v>11</v>
      </c>
    </row>
    <row r="3604" spans="1:8" x14ac:dyDescent="0.2">
      <c r="A3604" s="2" t="s">
        <v>3343</v>
      </c>
      <c r="B3604" s="2" t="s">
        <v>344</v>
      </c>
      <c r="C3604" s="2">
        <v>919.29359999999997</v>
      </c>
      <c r="D3604" s="2">
        <f>HYPERLINK("http://mcb-m6.bioreg.kyushu-u.ac.jp/M3/20110421/F51058/2640/1", 46.7)</f>
        <v>46.7</v>
      </c>
      <c r="E3604" s="2">
        <v>22.35</v>
      </c>
      <c r="F3604" s="2">
        <v>2</v>
      </c>
      <c r="G3604" s="2" t="s">
        <v>11</v>
      </c>
    </row>
    <row r="3605" spans="1:8" x14ac:dyDescent="0.2">
      <c r="A3605" s="2" t="s">
        <v>3343</v>
      </c>
      <c r="B3605" s="2" t="s">
        <v>325</v>
      </c>
      <c r="C3605" s="2">
        <v>498.55650000000003</v>
      </c>
      <c r="D3605" s="2">
        <f>HYPERLINK("http://mcb-m6.bioreg.kyushu-u.ac.jp/M3/20110421/F51058/1897/1", 46.78)</f>
        <v>46.78</v>
      </c>
      <c r="E3605" s="2">
        <v>19.16</v>
      </c>
      <c r="F3605" s="2">
        <v>3</v>
      </c>
      <c r="G3605" s="2" t="s">
        <v>11</v>
      </c>
      <c r="H3605" s="2" t="s">
        <v>4925</v>
      </c>
    </row>
    <row r="3606" spans="1:8" x14ac:dyDescent="0.2">
      <c r="A3606" s="2" t="s">
        <v>3343</v>
      </c>
      <c r="B3606" s="2" t="s">
        <v>344</v>
      </c>
      <c r="C3606" s="2">
        <v>919.35170000000005</v>
      </c>
      <c r="D3606" s="2">
        <f>HYPERLINK("http://mcb-m6.bioreg.kyushu-u.ac.jp/M3/20110421/F51058/2641/1", 47.3)</f>
        <v>47.3</v>
      </c>
      <c r="E3606" s="2">
        <v>32.76</v>
      </c>
      <c r="F3606" s="2">
        <v>2</v>
      </c>
      <c r="G3606" s="2" t="s">
        <v>11</v>
      </c>
    </row>
    <row r="3607" spans="1:8" x14ac:dyDescent="0.2">
      <c r="A3607" s="2" t="s">
        <v>3343</v>
      </c>
      <c r="B3607" s="2" t="s">
        <v>132</v>
      </c>
      <c r="C3607" s="2">
        <v>578.20619999999997</v>
      </c>
      <c r="D3607" s="2">
        <f>HYPERLINK("http://mcb-m6.bioreg.kyushu-u.ac.jp/M3/20110421/F51034/1226/1", 48.75)</f>
        <v>48.75</v>
      </c>
      <c r="E3607" s="2">
        <v>26.71</v>
      </c>
      <c r="F3607" s="2">
        <v>2</v>
      </c>
      <c r="G3607" s="2" t="s">
        <v>11</v>
      </c>
    </row>
    <row r="3608" spans="1:8" x14ac:dyDescent="0.2">
      <c r="A3608" s="2" t="s">
        <v>3343</v>
      </c>
      <c r="B3608" s="2" t="s">
        <v>132</v>
      </c>
      <c r="C3608" s="2">
        <v>578.37070000000006</v>
      </c>
      <c r="D3608" s="2">
        <f>HYPERLINK("http://mcb-m6.bioreg.kyushu-u.ac.jp/M3/20110421/F51058/1078/1", 48.94)</f>
        <v>48.94</v>
      </c>
      <c r="E3608" s="2">
        <v>25.93</v>
      </c>
      <c r="F3608" s="2">
        <v>2</v>
      </c>
      <c r="G3608" s="2" t="s">
        <v>11</v>
      </c>
    </row>
    <row r="3609" spans="1:8" x14ac:dyDescent="0.2">
      <c r="A3609" s="2" t="s">
        <v>3343</v>
      </c>
      <c r="B3609" s="2" t="s">
        <v>704</v>
      </c>
      <c r="C3609" s="2">
        <v>603.40060000000005</v>
      </c>
      <c r="D3609" s="2">
        <f>HYPERLINK("http://mcb-m6.bioreg.kyushu-u.ac.jp/M3/20110421/F51058/1203/1", 51.63)</f>
        <v>51.63</v>
      </c>
      <c r="E3609" s="2">
        <v>19.11</v>
      </c>
      <c r="F3609" s="2">
        <v>2</v>
      </c>
      <c r="G3609" s="2" t="s">
        <v>11</v>
      </c>
    </row>
    <row r="3610" spans="1:8" x14ac:dyDescent="0.2">
      <c r="A3610" s="2" t="s">
        <v>3343</v>
      </c>
      <c r="B3610" s="2" t="s">
        <v>509</v>
      </c>
      <c r="C3610" s="2">
        <v>717.89009999999996</v>
      </c>
      <c r="D3610" s="2">
        <f>HYPERLINK("http://mcb-m6.bioreg.kyushu-u.ac.jp/M3/20110421/F51058/1736/1", 52.25)</f>
        <v>52.25</v>
      </c>
      <c r="E3610" s="2">
        <v>35.79</v>
      </c>
      <c r="F3610" s="2">
        <v>2</v>
      </c>
      <c r="G3610" s="2" t="s">
        <v>11</v>
      </c>
    </row>
    <row r="3611" spans="1:8" x14ac:dyDescent="0.2">
      <c r="A3611" s="2" t="s">
        <v>3343</v>
      </c>
      <c r="B3611" s="2" t="s">
        <v>558</v>
      </c>
      <c r="C3611" s="2">
        <v>729.35109999999997</v>
      </c>
      <c r="D3611" s="2">
        <f>HYPERLINK("http://mcb-m6.bioreg.kyushu-u.ac.jp/M3/20110421/F51058/1797/1", 52.25)</f>
        <v>52.25</v>
      </c>
      <c r="E3611" s="2">
        <v>40.01</v>
      </c>
      <c r="F3611" s="2">
        <v>2</v>
      </c>
      <c r="G3611" s="2" t="s">
        <v>11</v>
      </c>
    </row>
    <row r="3612" spans="1:8" x14ac:dyDescent="0.2">
      <c r="A3612" s="2" t="s">
        <v>3343</v>
      </c>
      <c r="B3612" s="2" t="s">
        <v>344</v>
      </c>
      <c r="C3612" s="2">
        <v>919.38620000000003</v>
      </c>
      <c r="D3612" s="2">
        <f>HYPERLINK("http://mcb-m6.bioreg.kyushu-u.ac.jp/M3/20110421/F51058/2642/1", 52.74)</f>
        <v>52.74</v>
      </c>
      <c r="E3612" s="2">
        <v>24.81</v>
      </c>
      <c r="F3612" s="2">
        <v>2</v>
      </c>
      <c r="G3612" s="2" t="s">
        <v>11</v>
      </c>
    </row>
    <row r="3613" spans="1:8" x14ac:dyDescent="0.2">
      <c r="A3613" s="2" t="s">
        <v>3343</v>
      </c>
      <c r="B3613" s="2" t="s">
        <v>558</v>
      </c>
      <c r="C3613" s="2">
        <v>729.52509999999995</v>
      </c>
      <c r="D3613" s="2">
        <f>HYPERLINK("http://mcb-m6.bioreg.kyushu-u.ac.jp/M3/20110421/F51034/1990/1", 54.32)</f>
        <v>54.32</v>
      </c>
      <c r="E3613" s="2">
        <v>42</v>
      </c>
      <c r="F3613" s="2">
        <v>2</v>
      </c>
      <c r="G3613" s="2" t="s">
        <v>11</v>
      </c>
    </row>
    <row r="3614" spans="1:8" x14ac:dyDescent="0.2">
      <c r="A3614" s="2" t="s">
        <v>3343</v>
      </c>
      <c r="B3614" s="2" t="s">
        <v>1189</v>
      </c>
      <c r="C3614" s="2">
        <v>1070.106</v>
      </c>
      <c r="D3614" s="2">
        <f>HYPERLINK("http://mcb-m6.bioreg.kyushu-u.ac.jp/M3/20110421/F51058/3104/1", 54.75)</f>
        <v>54.75</v>
      </c>
      <c r="E3614" s="2">
        <v>35.340000000000003</v>
      </c>
      <c r="F3614" s="2">
        <v>2</v>
      </c>
      <c r="G3614" s="2" t="s">
        <v>11</v>
      </c>
    </row>
    <row r="3615" spans="1:8" x14ac:dyDescent="0.2">
      <c r="A3615" s="2" t="s">
        <v>3343</v>
      </c>
      <c r="B3615" s="2" t="s">
        <v>704</v>
      </c>
      <c r="C3615" s="2">
        <v>602.60059999999999</v>
      </c>
      <c r="D3615" s="2">
        <f>HYPERLINK("http://mcb-m6.bioreg.kyushu-u.ac.jp/M3/20110421/F51058/1198/1", 57.21)</f>
        <v>57.21</v>
      </c>
      <c r="E3615" s="2">
        <v>28.36</v>
      </c>
      <c r="F3615" s="2">
        <v>2</v>
      </c>
      <c r="G3615" s="2" t="s">
        <v>11</v>
      </c>
    </row>
    <row r="3616" spans="1:8" x14ac:dyDescent="0.2">
      <c r="A3616" s="2" t="s">
        <v>3343</v>
      </c>
      <c r="B3616" s="2" t="s">
        <v>509</v>
      </c>
      <c r="C3616" s="2">
        <v>709.31669999999997</v>
      </c>
      <c r="D3616" s="2">
        <f>HYPERLINK("http://mcb-m6.bioreg.kyushu-u.ac.jp/M3/20110421/F51058/1675/1", 57.37)</f>
        <v>57.37</v>
      </c>
      <c r="E3616" s="2">
        <v>33.79</v>
      </c>
      <c r="F3616" s="2">
        <v>2</v>
      </c>
      <c r="G3616" s="2" t="s">
        <v>11</v>
      </c>
      <c r="H3616" s="2" t="s">
        <v>4904</v>
      </c>
    </row>
    <row r="3617" spans="1:8" x14ac:dyDescent="0.2">
      <c r="A3617" s="2" t="s">
        <v>3343</v>
      </c>
      <c r="B3617" s="2" t="s">
        <v>428</v>
      </c>
      <c r="C3617" s="2">
        <v>451.9246</v>
      </c>
      <c r="D3617" s="2">
        <f>HYPERLINK("http://mcb-m6.bioreg.kyushu-u.ac.jp/M3/20110421/F51058/523/1", 58.12)</f>
        <v>58.12</v>
      </c>
      <c r="E3617" s="2">
        <v>28.26</v>
      </c>
      <c r="F3617" s="2">
        <v>2</v>
      </c>
      <c r="G3617" s="2" t="s">
        <v>11</v>
      </c>
    </row>
    <row r="3618" spans="1:8" x14ac:dyDescent="0.2">
      <c r="A3618" s="2" t="s">
        <v>3343</v>
      </c>
      <c r="B3618" s="2" t="s">
        <v>428</v>
      </c>
      <c r="C3618" s="2">
        <v>451.91210000000001</v>
      </c>
      <c r="D3618" s="2">
        <f>HYPERLINK("http://mcb-m6.bioreg.kyushu-u.ac.jp/M3/20110421/F51058/521/1", 58.16)</f>
        <v>58.16</v>
      </c>
      <c r="E3618" s="2">
        <v>31.22</v>
      </c>
      <c r="F3618" s="2">
        <v>2</v>
      </c>
      <c r="G3618" s="2" t="s">
        <v>11</v>
      </c>
    </row>
    <row r="3619" spans="1:8" x14ac:dyDescent="0.2">
      <c r="A3619" s="2" t="s">
        <v>3343</v>
      </c>
      <c r="B3619" s="2" t="s">
        <v>132</v>
      </c>
      <c r="C3619" s="2">
        <v>578.83010000000002</v>
      </c>
      <c r="D3619" s="2">
        <f>HYPERLINK("http://mcb-m6.bioreg.kyushu-u.ac.jp/M3/20110421/F51058/1086/1", 58.87)</f>
        <v>58.87</v>
      </c>
      <c r="E3619" s="2">
        <v>32.56</v>
      </c>
      <c r="F3619" s="2">
        <v>2</v>
      </c>
      <c r="G3619" s="2" t="s">
        <v>11</v>
      </c>
    </row>
    <row r="3620" spans="1:8" x14ac:dyDescent="0.2">
      <c r="A3620" s="2" t="s">
        <v>3343</v>
      </c>
      <c r="B3620" s="2" t="s">
        <v>509</v>
      </c>
      <c r="C3620" s="2">
        <v>1416.6279999999999</v>
      </c>
      <c r="D3620" s="2">
        <f>HYPERLINK("http://mcb-m6.bioreg.kyushu-u.ac.jp/M3/20110421/F51058/1669/1", 59.05)</f>
        <v>59.05</v>
      </c>
      <c r="E3620" s="2">
        <v>42.58</v>
      </c>
      <c r="F3620" s="2">
        <v>1</v>
      </c>
      <c r="G3620" s="2" t="s">
        <v>11</v>
      </c>
      <c r="H3620" s="2" t="s">
        <v>4904</v>
      </c>
    </row>
    <row r="3621" spans="1:8" x14ac:dyDescent="0.2">
      <c r="A3621" s="2" t="s">
        <v>3343</v>
      </c>
      <c r="B3621" s="2" t="s">
        <v>1002</v>
      </c>
      <c r="C3621" s="2">
        <v>1148.0640000000001</v>
      </c>
      <c r="D3621" s="2">
        <f>HYPERLINK("http://mcb-m6.bioreg.kyushu-u.ac.jp/M3/20110421/F51058/3283/1", 59.41)</f>
        <v>59.41</v>
      </c>
      <c r="E3621" s="2">
        <v>52.33</v>
      </c>
      <c r="F3621" s="2">
        <v>2</v>
      </c>
      <c r="G3621" s="2" t="s">
        <v>11</v>
      </c>
    </row>
    <row r="3622" spans="1:8" x14ac:dyDescent="0.2">
      <c r="A3622" s="2" t="s">
        <v>3343</v>
      </c>
      <c r="B3622" s="2" t="s">
        <v>132</v>
      </c>
      <c r="C3622" s="2">
        <v>578.40419999999995</v>
      </c>
      <c r="D3622" s="2">
        <f>HYPERLINK("http://mcb-m6.bioreg.kyushu-u.ac.jp/M3/20110421/F51058/1080/1", 59.99)</f>
        <v>59.99</v>
      </c>
      <c r="E3622" s="2">
        <v>42.8</v>
      </c>
      <c r="F3622" s="2">
        <v>2</v>
      </c>
      <c r="G3622" s="2" t="s">
        <v>11</v>
      </c>
    </row>
    <row r="3623" spans="1:8" x14ac:dyDescent="0.2">
      <c r="A3623" s="2" t="s">
        <v>3343</v>
      </c>
      <c r="B3623" s="2" t="s">
        <v>344</v>
      </c>
      <c r="C3623" s="2">
        <v>920.02670000000001</v>
      </c>
      <c r="D3623" s="2">
        <f>HYPERLINK("http://mcb-m6.bioreg.kyushu-u.ac.jp/M3/20110421/F51058/2647/1", 60.81)</f>
        <v>60.81</v>
      </c>
      <c r="E3623" s="2">
        <v>43.36</v>
      </c>
      <c r="F3623" s="2">
        <v>2</v>
      </c>
      <c r="G3623" s="2" t="s">
        <v>11</v>
      </c>
    </row>
    <row r="3624" spans="1:8" x14ac:dyDescent="0.2">
      <c r="A3624" s="2" t="s">
        <v>3343</v>
      </c>
      <c r="B3624" s="2" t="s">
        <v>210</v>
      </c>
      <c r="C3624" s="2">
        <v>555.16420000000005</v>
      </c>
      <c r="D3624" s="2">
        <f>HYPERLINK("http://mcb-m6.bioreg.kyushu-u.ac.jp/M3/20110421/F51058/999/1", 61.5)</f>
        <v>61.5</v>
      </c>
      <c r="E3624" s="2">
        <v>25.9</v>
      </c>
      <c r="F3624" s="2">
        <v>2</v>
      </c>
      <c r="G3624" s="2" t="s">
        <v>11</v>
      </c>
      <c r="H3624" s="2" t="s">
        <v>4910</v>
      </c>
    </row>
    <row r="3625" spans="1:8" x14ac:dyDescent="0.2">
      <c r="A3625" s="2" t="s">
        <v>3343</v>
      </c>
      <c r="B3625" s="2" t="s">
        <v>1496</v>
      </c>
      <c r="C3625" s="2">
        <v>967.46619999999996</v>
      </c>
      <c r="D3625" s="2">
        <f>HYPERLINK("http://mcb-m6.bioreg.kyushu-u.ac.jp/M3/20110421/F51058/2823/1", 61.93)</f>
        <v>61.93</v>
      </c>
      <c r="E3625" s="2">
        <v>42.86</v>
      </c>
      <c r="F3625" s="2">
        <v>2</v>
      </c>
      <c r="G3625" s="2" t="s">
        <v>11</v>
      </c>
    </row>
    <row r="3626" spans="1:8" x14ac:dyDescent="0.2">
      <c r="A3626" s="2" t="s">
        <v>3343</v>
      </c>
      <c r="B3626" s="2" t="s">
        <v>344</v>
      </c>
      <c r="C3626" s="2">
        <v>613.26319999999998</v>
      </c>
      <c r="D3626" s="2">
        <f>HYPERLINK("http://mcb-m6.bioreg.kyushu-u.ac.jp/M3/20110421/F51058/2643/1", 62.15)</f>
        <v>62.15</v>
      </c>
      <c r="E3626" s="2">
        <v>44.63</v>
      </c>
      <c r="F3626" s="2">
        <v>3</v>
      </c>
      <c r="G3626" s="2" t="s">
        <v>11</v>
      </c>
    </row>
    <row r="3627" spans="1:8" x14ac:dyDescent="0.2">
      <c r="A3627" s="2" t="s">
        <v>3343</v>
      </c>
      <c r="B3627" s="2" t="s">
        <v>1189</v>
      </c>
      <c r="C3627" s="2">
        <v>1069.2360000000001</v>
      </c>
      <c r="D3627" s="2">
        <f>HYPERLINK("http://mcb-m6.bioreg.kyushu-u.ac.jp/M3/20110421/F51017/3386/1", 62.95)</f>
        <v>62.95</v>
      </c>
      <c r="E3627" s="2">
        <v>48.94</v>
      </c>
      <c r="F3627" s="2">
        <v>2</v>
      </c>
      <c r="G3627" s="2" t="s">
        <v>11</v>
      </c>
    </row>
    <row r="3628" spans="1:8" x14ac:dyDescent="0.2">
      <c r="A3628" s="2" t="s">
        <v>3343</v>
      </c>
      <c r="B3628" s="2" t="s">
        <v>1002</v>
      </c>
      <c r="C3628" s="2">
        <v>1148.0899999999999</v>
      </c>
      <c r="D3628" s="2">
        <f>HYPERLINK("http://mcb-m6.bioreg.kyushu-u.ac.jp/M3/20110421/F51058/3284/1", 64.02)</f>
        <v>64.02</v>
      </c>
      <c r="E3628" s="2">
        <v>54.67</v>
      </c>
      <c r="F3628" s="2">
        <v>2</v>
      </c>
      <c r="G3628" s="2" t="s">
        <v>11</v>
      </c>
    </row>
    <row r="3629" spans="1:8" x14ac:dyDescent="0.2">
      <c r="A3629" s="2" t="s">
        <v>3343</v>
      </c>
      <c r="B3629" s="2" t="s">
        <v>546</v>
      </c>
      <c r="C3629" s="2">
        <v>664.7491</v>
      </c>
      <c r="D3629" s="2">
        <f>HYPERLINK("http://mcb-m6.bioreg.kyushu-u.ac.jp/M3/20110421/F51035/1505/2", 66.04)</f>
        <v>66.040000000000006</v>
      </c>
      <c r="E3629" s="2">
        <v>51.04</v>
      </c>
      <c r="F3629" s="2">
        <v>2</v>
      </c>
      <c r="G3629" s="2" t="s">
        <v>11</v>
      </c>
    </row>
    <row r="3630" spans="1:8" x14ac:dyDescent="0.2">
      <c r="A3630" s="2" t="s">
        <v>3343</v>
      </c>
      <c r="B3630" s="2" t="s">
        <v>546</v>
      </c>
      <c r="C3630" s="2">
        <v>665.41769999999997</v>
      </c>
      <c r="D3630" s="2">
        <f>HYPERLINK("http://mcb-m6.bioreg.kyushu-u.ac.jp/M3/20110421/F51058/1423/2", 66.06)</f>
        <v>66.06</v>
      </c>
      <c r="E3630" s="2">
        <v>51.35</v>
      </c>
      <c r="F3630" s="2">
        <v>2</v>
      </c>
      <c r="G3630" s="2" t="s">
        <v>11</v>
      </c>
    </row>
    <row r="3631" spans="1:8" x14ac:dyDescent="0.2">
      <c r="A3631" s="2" t="s">
        <v>3343</v>
      </c>
      <c r="B3631" s="2" t="s">
        <v>1002</v>
      </c>
      <c r="C3631" s="2">
        <v>1147.6849999999999</v>
      </c>
      <c r="D3631" s="2">
        <f>HYPERLINK("http://mcb-m6.bioreg.kyushu-u.ac.jp/M3/20110421/F51058/3280/1", 67.7)</f>
        <v>67.7</v>
      </c>
      <c r="E3631" s="2">
        <v>56.33</v>
      </c>
      <c r="F3631" s="2">
        <v>2</v>
      </c>
      <c r="G3631" s="2" t="s">
        <v>11</v>
      </c>
    </row>
    <row r="3632" spans="1:8" x14ac:dyDescent="0.2">
      <c r="A3632" s="2" t="s">
        <v>3343</v>
      </c>
      <c r="B3632" s="2" t="s">
        <v>546</v>
      </c>
      <c r="C3632" s="2">
        <v>664.82709999999997</v>
      </c>
      <c r="D3632" s="2">
        <f>HYPERLINK("http://mcb-m6.bioreg.kyushu-u.ac.jp/M3/20110421/F51058/1416/2", 68.52)</f>
        <v>68.52</v>
      </c>
      <c r="E3632" s="2">
        <v>58.41</v>
      </c>
      <c r="F3632" s="2">
        <v>2</v>
      </c>
      <c r="G3632" s="2" t="s">
        <v>11</v>
      </c>
    </row>
    <row r="3633" spans="1:8" x14ac:dyDescent="0.2">
      <c r="A3633" s="2" t="s">
        <v>3343</v>
      </c>
      <c r="B3633" s="2" t="s">
        <v>1189</v>
      </c>
      <c r="C3633" s="2">
        <v>1069.4690000000001</v>
      </c>
      <c r="D3633" s="2">
        <f>HYPERLINK("http://mcb-m6.bioreg.kyushu-u.ac.jp/M3/20110421/F51058/3100/1", 69.82)</f>
        <v>69.819999999999993</v>
      </c>
      <c r="E3633" s="2">
        <v>62.91</v>
      </c>
      <c r="F3633" s="2">
        <v>2</v>
      </c>
      <c r="G3633" s="2" t="s">
        <v>11</v>
      </c>
    </row>
    <row r="3634" spans="1:8" x14ac:dyDescent="0.2">
      <c r="A3634" s="2" t="s">
        <v>3343</v>
      </c>
      <c r="B3634" s="2" t="s">
        <v>1032</v>
      </c>
      <c r="C3634" s="2">
        <v>1163.442</v>
      </c>
      <c r="D3634" s="2">
        <f>HYPERLINK("http://mcb-m6.bioreg.kyushu-u.ac.jp/M3/20110421/F51058/3325/1", 70.29)</f>
        <v>70.290000000000006</v>
      </c>
      <c r="E3634" s="2">
        <v>58.41</v>
      </c>
      <c r="F3634" s="2">
        <v>2</v>
      </c>
      <c r="G3634" s="2" t="s">
        <v>11</v>
      </c>
    </row>
    <row r="3635" spans="1:8" x14ac:dyDescent="0.2">
      <c r="A3635" s="2" t="s">
        <v>3343</v>
      </c>
      <c r="B3635" s="2" t="s">
        <v>943</v>
      </c>
      <c r="C3635" s="2">
        <v>506.83609999999999</v>
      </c>
      <c r="D3635" s="2">
        <f>HYPERLINK("http://mcb-m6.bioreg.kyushu-u.ac.jp/M3/20110421/F51058/806/1", 71.63)</f>
        <v>71.63</v>
      </c>
      <c r="E3635" s="2">
        <v>48.91</v>
      </c>
      <c r="F3635" s="2">
        <v>2</v>
      </c>
      <c r="G3635" s="2" t="s">
        <v>11</v>
      </c>
    </row>
    <row r="3636" spans="1:8" x14ac:dyDescent="0.2">
      <c r="A3636" s="2" t="s">
        <v>3343</v>
      </c>
      <c r="B3636" s="2" t="s">
        <v>1002</v>
      </c>
      <c r="C3636" s="2">
        <v>1148.0630000000001</v>
      </c>
      <c r="D3636" s="2">
        <f>HYPERLINK("http://mcb-m6.bioreg.kyushu-u.ac.jp/M3/20110421/F51058/3282/1", 71.96)</f>
        <v>71.959999999999994</v>
      </c>
      <c r="E3636" s="2">
        <v>66.97</v>
      </c>
      <c r="F3636" s="2">
        <v>2</v>
      </c>
      <c r="G3636" s="2" t="s">
        <v>11</v>
      </c>
    </row>
    <row r="3637" spans="1:8" x14ac:dyDescent="0.2">
      <c r="A3637" s="2" t="s">
        <v>3343</v>
      </c>
      <c r="B3637" s="2" t="s">
        <v>546</v>
      </c>
      <c r="C3637" s="2">
        <v>664.83810000000005</v>
      </c>
      <c r="D3637" s="2">
        <f>HYPERLINK("http://mcb-m6.bioreg.kyushu-u.ac.jp/M3/20110421/F51058/1417/2", 72.13)</f>
        <v>72.13</v>
      </c>
      <c r="E3637" s="2">
        <v>59.08</v>
      </c>
      <c r="F3637" s="2">
        <v>2</v>
      </c>
      <c r="G3637" s="2" t="s">
        <v>11</v>
      </c>
    </row>
    <row r="3638" spans="1:8" x14ac:dyDescent="0.2">
      <c r="A3638" s="2" t="s">
        <v>3343</v>
      </c>
      <c r="B3638" s="2" t="s">
        <v>328</v>
      </c>
      <c r="C3638" s="2">
        <v>574.28369999999995</v>
      </c>
      <c r="D3638" s="2">
        <f>HYPERLINK("http://mcb-m6.bioreg.kyushu-u.ac.jp/M3/20110421/F51058/1057/1", 72.71)</f>
        <v>72.709999999999994</v>
      </c>
      <c r="E3638" s="2">
        <v>35.200000000000003</v>
      </c>
      <c r="F3638" s="2">
        <v>2</v>
      </c>
      <c r="G3638" s="2" t="s">
        <v>11</v>
      </c>
    </row>
    <row r="3639" spans="1:8" x14ac:dyDescent="0.2">
      <c r="A3639" s="2" t="s">
        <v>3343</v>
      </c>
      <c r="B3639" s="2" t="s">
        <v>325</v>
      </c>
      <c r="C3639" s="2">
        <v>747.81020000000001</v>
      </c>
      <c r="D3639" s="2">
        <f>HYPERLINK("http://mcb-m6.bioreg.kyushu-u.ac.jp/M3/20110421/F51058/1902/1", 72.87)</f>
        <v>72.87</v>
      </c>
      <c r="E3639" s="2">
        <v>54.71</v>
      </c>
      <c r="F3639" s="2">
        <v>2</v>
      </c>
      <c r="G3639" s="2" t="s">
        <v>11</v>
      </c>
      <c r="H3639" s="2" t="s">
        <v>4925</v>
      </c>
    </row>
    <row r="3640" spans="1:8" x14ac:dyDescent="0.2">
      <c r="A3640" s="2" t="s">
        <v>3343</v>
      </c>
      <c r="B3640" s="2" t="s">
        <v>325</v>
      </c>
      <c r="C3640" s="2">
        <v>747.59559999999999</v>
      </c>
      <c r="D3640" s="2">
        <f>HYPERLINK("http://mcb-m6.bioreg.kyushu-u.ac.jp/M3/20110421/F51058/1900/1", 73.05)</f>
        <v>73.05</v>
      </c>
      <c r="E3640" s="2">
        <v>61.56</v>
      </c>
      <c r="F3640" s="2">
        <v>2</v>
      </c>
      <c r="G3640" s="2" t="s">
        <v>11</v>
      </c>
      <c r="H3640" s="2" t="s">
        <v>4925</v>
      </c>
    </row>
    <row r="3641" spans="1:8" x14ac:dyDescent="0.2">
      <c r="A3641" s="2" t="s">
        <v>3343</v>
      </c>
      <c r="B3641" s="2" t="s">
        <v>546</v>
      </c>
      <c r="C3641" s="2">
        <v>664.8116</v>
      </c>
      <c r="D3641" s="2">
        <f>HYPERLINK("http://mcb-m6.bioreg.kyushu-u.ac.jp/M3/20110421/F51034/1577/2", 73.71)</f>
        <v>73.709999999999994</v>
      </c>
      <c r="E3641" s="2">
        <v>47.21</v>
      </c>
      <c r="F3641" s="2">
        <v>2</v>
      </c>
      <c r="G3641" s="2" t="s">
        <v>11</v>
      </c>
    </row>
    <row r="3642" spans="1:8" x14ac:dyDescent="0.2">
      <c r="A3642" s="2" t="s">
        <v>3343</v>
      </c>
      <c r="B3642" s="2" t="s">
        <v>132</v>
      </c>
      <c r="C3642" s="2">
        <v>578.15170000000001</v>
      </c>
      <c r="D3642" s="2">
        <f>HYPERLINK("http://mcb-m6.bioreg.kyushu-u.ac.jp/M3/20110421/F51018/1388/1", 73.88)</f>
        <v>73.88</v>
      </c>
      <c r="E3642" s="2">
        <v>43.98</v>
      </c>
      <c r="F3642" s="2">
        <v>2</v>
      </c>
      <c r="G3642" s="2" t="s">
        <v>11</v>
      </c>
    </row>
    <row r="3643" spans="1:8" x14ac:dyDescent="0.2">
      <c r="A3643" s="2" t="s">
        <v>3343</v>
      </c>
      <c r="B3643" s="2" t="s">
        <v>325</v>
      </c>
      <c r="C3643" s="2">
        <v>1477.4960000000001</v>
      </c>
      <c r="D3643" s="2">
        <f>HYPERLINK("http://mcb-m6.bioreg.kyushu-u.ac.jp/M3/20110421/F51058/1854/1", 74.15)</f>
        <v>74.150000000000006</v>
      </c>
      <c r="E3643" s="2">
        <v>62.34</v>
      </c>
      <c r="F3643" s="2">
        <v>1</v>
      </c>
      <c r="G3643" s="2" t="s">
        <v>11</v>
      </c>
    </row>
    <row r="3644" spans="1:8" x14ac:dyDescent="0.2">
      <c r="A3644" s="2" t="s">
        <v>3343</v>
      </c>
      <c r="B3644" s="2" t="s">
        <v>325</v>
      </c>
      <c r="C3644" s="2">
        <v>747.80970000000002</v>
      </c>
      <c r="D3644" s="2">
        <f>HYPERLINK("http://mcb-m6.bioreg.kyushu-u.ac.jp/M3/20110421/F51058/1901/1", 74.24)</f>
        <v>74.239999999999995</v>
      </c>
      <c r="E3644" s="2">
        <v>60.18</v>
      </c>
      <c r="F3644" s="2">
        <v>2</v>
      </c>
      <c r="G3644" s="2" t="s">
        <v>11</v>
      </c>
      <c r="H3644" s="2" t="s">
        <v>4925</v>
      </c>
    </row>
    <row r="3645" spans="1:8" x14ac:dyDescent="0.2">
      <c r="A3645" s="2" t="s">
        <v>3343</v>
      </c>
      <c r="B3645" s="2" t="s">
        <v>344</v>
      </c>
      <c r="C3645" s="2">
        <v>919.20619999999997</v>
      </c>
      <c r="D3645" s="2">
        <f>HYPERLINK("http://mcb-m6.bioreg.kyushu-u.ac.jp/M3/20110421/F51017/2944/1", 74.37)</f>
        <v>74.37</v>
      </c>
      <c r="E3645" s="2">
        <v>2.63</v>
      </c>
      <c r="F3645" s="2">
        <v>2</v>
      </c>
      <c r="G3645" s="2" t="s">
        <v>11</v>
      </c>
    </row>
    <row r="3646" spans="1:8" x14ac:dyDescent="0.2">
      <c r="A3646" s="2" t="s">
        <v>3343</v>
      </c>
      <c r="B3646" s="2" t="s">
        <v>325</v>
      </c>
      <c r="C3646" s="2">
        <v>747.6816</v>
      </c>
      <c r="D3646" s="2">
        <f>HYPERLINK("http://mcb-m6.bioreg.kyushu-u.ac.jp/M3/20110421/F51017/2088/1", 77.32)</f>
        <v>77.319999999999993</v>
      </c>
      <c r="E3646" s="2">
        <v>66.209999999999994</v>
      </c>
      <c r="F3646" s="2">
        <v>2</v>
      </c>
      <c r="G3646" s="2" t="s">
        <v>11</v>
      </c>
      <c r="H3646" s="2" t="s">
        <v>4925</v>
      </c>
    </row>
    <row r="3647" spans="1:8" x14ac:dyDescent="0.2">
      <c r="A3647" s="2" t="s">
        <v>3343</v>
      </c>
      <c r="B3647" s="2" t="s">
        <v>344</v>
      </c>
      <c r="C3647" s="2">
        <v>919.51760000000002</v>
      </c>
      <c r="D3647" s="2">
        <f>HYPERLINK("http://mcb-m6.bioreg.kyushu-u.ac.jp/M3/20110421/F51058/2645/1", 78.67)</f>
        <v>78.67</v>
      </c>
      <c r="E3647" s="2">
        <v>56.36</v>
      </c>
      <c r="F3647" s="2">
        <v>2</v>
      </c>
      <c r="G3647" s="2" t="s">
        <v>11</v>
      </c>
    </row>
    <row r="3648" spans="1:8" x14ac:dyDescent="0.2">
      <c r="A3648" s="2" t="s">
        <v>3343</v>
      </c>
      <c r="B3648" s="2" t="s">
        <v>325</v>
      </c>
      <c r="C3648" s="2">
        <v>1493.671</v>
      </c>
      <c r="D3648" s="2">
        <f>HYPERLINK("http://mcb-m6.bioreg.kyushu-u.ac.jp/M3/20110421/F51058/1899/1", 79.99)</f>
        <v>79.989999999999995</v>
      </c>
      <c r="E3648" s="2">
        <v>72.94</v>
      </c>
      <c r="F3648" s="2">
        <v>1</v>
      </c>
      <c r="G3648" s="2" t="s">
        <v>11</v>
      </c>
      <c r="H3648" s="2" t="s">
        <v>4925</v>
      </c>
    </row>
    <row r="3649" spans="1:8" x14ac:dyDescent="0.2">
      <c r="A3649" s="2" t="s">
        <v>3343</v>
      </c>
      <c r="B3649" s="2" t="s">
        <v>509</v>
      </c>
      <c r="C3649" s="2">
        <v>725.46370000000002</v>
      </c>
      <c r="D3649" s="2">
        <f>HYPERLINK("http://mcb-m6.bioreg.kyushu-u.ac.jp/M3/20110421/F51058/1780/1", 82.3)</f>
        <v>82.3</v>
      </c>
      <c r="E3649" s="2">
        <v>68.319999999999993</v>
      </c>
      <c r="F3649" s="2">
        <v>2</v>
      </c>
      <c r="G3649" s="2" t="s">
        <v>11</v>
      </c>
      <c r="H3649" s="2" t="s">
        <v>4927</v>
      </c>
    </row>
    <row r="3650" spans="1:8" x14ac:dyDescent="0.2">
      <c r="A3650" s="2" t="s">
        <v>3343</v>
      </c>
      <c r="B3650" s="2" t="s">
        <v>558</v>
      </c>
      <c r="C3650" s="2">
        <v>729.22519999999997</v>
      </c>
      <c r="D3650" s="2">
        <f>HYPERLINK("http://mcb-m6.bioreg.kyushu-u.ac.jp/M3/20110421/F51058/1794/1", 82.99)</f>
        <v>82.99</v>
      </c>
      <c r="E3650" s="2">
        <v>65.94</v>
      </c>
      <c r="F3650" s="2">
        <v>2</v>
      </c>
      <c r="G3650" s="2" t="s">
        <v>11</v>
      </c>
    </row>
    <row r="3651" spans="1:8" x14ac:dyDescent="0.2">
      <c r="A3651" s="2" t="s">
        <v>3343</v>
      </c>
      <c r="B3651" s="2" t="s">
        <v>546</v>
      </c>
      <c r="C3651" s="2">
        <v>664.91560000000004</v>
      </c>
      <c r="D3651" s="2">
        <f>HYPERLINK("http://mcb-m6.bioreg.kyushu-u.ac.jp/M3/20110421/F51058/1420/2", 85.88)</f>
        <v>85.88</v>
      </c>
      <c r="E3651" s="2">
        <v>67.84</v>
      </c>
      <c r="F3651" s="2">
        <v>2</v>
      </c>
      <c r="G3651" s="2" t="s">
        <v>11</v>
      </c>
    </row>
    <row r="3652" spans="1:8" x14ac:dyDescent="0.2">
      <c r="A3652" s="2" t="s">
        <v>3343</v>
      </c>
      <c r="B3652" s="2" t="s">
        <v>1002</v>
      </c>
      <c r="C3652" s="2">
        <v>1147.5170000000001</v>
      </c>
      <c r="D3652" s="2">
        <f>HYPERLINK("http://mcb-m6.bioreg.kyushu-u.ac.jp/M3/20110421/F51058/3279/1", 88.93)</f>
        <v>88.93</v>
      </c>
      <c r="E3652" s="2">
        <v>82.33</v>
      </c>
      <c r="F3652" s="2">
        <v>2</v>
      </c>
      <c r="G3652" s="2" t="s">
        <v>11</v>
      </c>
    </row>
    <row r="3653" spans="1:8" x14ac:dyDescent="0.2">
      <c r="A3653" s="2" t="s">
        <v>3343</v>
      </c>
      <c r="B3653" s="2" t="s">
        <v>325</v>
      </c>
      <c r="C3653" s="2">
        <v>739.29169999999999</v>
      </c>
      <c r="D3653" s="2">
        <f>HYPERLINK("http://mcb-m6.bioreg.kyushu-u.ac.jp/M3/20110421/F51058/1855/1", 89.19)</f>
        <v>89.19</v>
      </c>
      <c r="E3653" s="2">
        <v>76.790000000000006</v>
      </c>
      <c r="F3653" s="2">
        <v>2</v>
      </c>
      <c r="G3653" s="2" t="s">
        <v>11</v>
      </c>
    </row>
    <row r="3654" spans="1:8" x14ac:dyDescent="0.2">
      <c r="A3654" s="2" t="s">
        <v>3343</v>
      </c>
      <c r="B3654" s="2" t="s">
        <v>1189</v>
      </c>
      <c r="C3654" s="2">
        <v>1069.952</v>
      </c>
      <c r="D3654" s="2">
        <f>HYPERLINK("http://mcb-m6.bioreg.kyushu-u.ac.jp/M3/20110421/F51058/3103/1", 90.64)</f>
        <v>90.64</v>
      </c>
      <c r="E3654" s="2">
        <v>79.37</v>
      </c>
      <c r="F3654" s="2">
        <v>2</v>
      </c>
      <c r="G3654" s="2" t="s">
        <v>11</v>
      </c>
    </row>
    <row r="3655" spans="1:8" x14ac:dyDescent="0.2">
      <c r="A3655" s="2" t="s">
        <v>3343</v>
      </c>
      <c r="B3655" s="2" t="s">
        <v>344</v>
      </c>
      <c r="C3655" s="2">
        <v>919.51170000000002</v>
      </c>
      <c r="D3655" s="2">
        <f>HYPERLINK("http://mcb-m6.bioreg.kyushu-u.ac.jp/M3/20110421/F51058/2644/1", 93.17)</f>
        <v>93.17</v>
      </c>
      <c r="E3655" s="2">
        <v>72.010000000000005</v>
      </c>
      <c r="F3655" s="2">
        <v>2</v>
      </c>
      <c r="G3655" s="2" t="s">
        <v>11</v>
      </c>
    </row>
    <row r="3656" spans="1:8" x14ac:dyDescent="0.2">
      <c r="A3656" s="2" t="s">
        <v>3343</v>
      </c>
      <c r="B3656" s="2" t="s">
        <v>1032</v>
      </c>
      <c r="C3656" s="2">
        <v>1163.54</v>
      </c>
      <c r="D3656" s="2">
        <f>HYPERLINK("http://mcb-m6.bioreg.kyushu-u.ac.jp/M3/20110421/F51058/3328/1", 96.05)</f>
        <v>96.05</v>
      </c>
      <c r="E3656" s="2">
        <v>76.48</v>
      </c>
      <c r="F3656" s="2">
        <v>2</v>
      </c>
      <c r="G3656" s="2" t="s">
        <v>11</v>
      </c>
    </row>
    <row r="3657" spans="1:8" x14ac:dyDescent="0.2">
      <c r="A3657" s="2" t="s">
        <v>3343</v>
      </c>
      <c r="B3657" s="2" t="s">
        <v>1211</v>
      </c>
      <c r="C3657" s="2">
        <v>1161.577</v>
      </c>
      <c r="D3657" s="2">
        <f>HYPERLINK("http://mcb-m6.bioreg.kyushu-u.ac.jp/M3/20110421/F51058/3318/1", 96.3)</f>
        <v>96.3</v>
      </c>
      <c r="E3657" s="2">
        <v>79.53</v>
      </c>
      <c r="F3657" s="2">
        <v>2</v>
      </c>
      <c r="G3657" s="2" t="s">
        <v>11</v>
      </c>
      <c r="H3657" s="2" t="s">
        <v>4891</v>
      </c>
    </row>
    <row r="3658" spans="1:8" x14ac:dyDescent="0.2">
      <c r="A3658" s="2" t="s">
        <v>3343</v>
      </c>
      <c r="B3658" s="2" t="s">
        <v>1032</v>
      </c>
      <c r="C3658" s="2">
        <v>1163.97</v>
      </c>
      <c r="D3658" s="2">
        <f>HYPERLINK("http://mcb-m6.bioreg.kyushu-u.ac.jp/M3/20110421/F51058/3329/1", 100.62)</f>
        <v>100.62</v>
      </c>
      <c r="E3658" s="2">
        <v>86.3</v>
      </c>
      <c r="F3658" s="2">
        <v>2</v>
      </c>
      <c r="G3658" s="2" t="s">
        <v>11</v>
      </c>
    </row>
    <row r="3659" spans="1:8" x14ac:dyDescent="0.2">
      <c r="A3659" s="2" t="s">
        <v>3343</v>
      </c>
      <c r="B3659" s="2" t="s">
        <v>1189</v>
      </c>
      <c r="C3659" s="2">
        <v>1069.787</v>
      </c>
      <c r="D3659" s="2">
        <f>HYPERLINK("http://mcb-m6.bioreg.kyushu-u.ac.jp/M3/20110421/F51018/3143/1", 101.75)</f>
        <v>101.75</v>
      </c>
      <c r="E3659" s="2">
        <v>82.12</v>
      </c>
      <c r="F3659" s="2">
        <v>2</v>
      </c>
      <c r="G3659" s="2" t="s">
        <v>11</v>
      </c>
    </row>
    <row r="3660" spans="1:8" x14ac:dyDescent="0.2">
      <c r="A3660" s="2" t="s">
        <v>3343</v>
      </c>
      <c r="B3660" s="2" t="s">
        <v>1032</v>
      </c>
      <c r="C3660" s="2">
        <v>1163.4559999999999</v>
      </c>
      <c r="D3660" s="2">
        <f>HYPERLINK("http://mcb-m6.bioreg.kyushu-u.ac.jp/M3/20110421/F51058/3326/1", 106)</f>
        <v>106</v>
      </c>
      <c r="E3660" s="2">
        <v>88.19</v>
      </c>
      <c r="F3660" s="2">
        <v>2</v>
      </c>
      <c r="G3660" s="2" t="s">
        <v>11</v>
      </c>
    </row>
    <row r="3661" spans="1:8" x14ac:dyDescent="0.2">
      <c r="A3661" s="2" t="s">
        <v>3343</v>
      </c>
      <c r="B3661" s="2" t="s">
        <v>1189</v>
      </c>
      <c r="C3661" s="2">
        <v>1069.451</v>
      </c>
      <c r="D3661" s="2">
        <f>HYPERLINK("http://mcb-m6.bioreg.kyushu-u.ac.jp/M3/20110421/F51058/3099/1", 110.03)</f>
        <v>110.03</v>
      </c>
      <c r="E3661" s="2">
        <v>93.32</v>
      </c>
      <c r="F3661" s="2">
        <v>2</v>
      </c>
      <c r="G3661" s="2" t="s">
        <v>11</v>
      </c>
    </row>
    <row r="3662" spans="1:8" x14ac:dyDescent="0.2">
      <c r="A3662" s="2" t="s">
        <v>3343</v>
      </c>
      <c r="B3662" s="2" t="s">
        <v>1032</v>
      </c>
      <c r="C3662" s="2">
        <v>1164.163</v>
      </c>
      <c r="D3662" s="2">
        <f>HYPERLINK("http://mcb-m6.bioreg.kyushu-u.ac.jp/M3/20110421/F51058/3331/1", 112.17)</f>
        <v>112.17</v>
      </c>
      <c r="E3662" s="2">
        <v>94.74</v>
      </c>
      <c r="F3662" s="2">
        <v>2</v>
      </c>
      <c r="G3662" s="2" t="s">
        <v>11</v>
      </c>
    </row>
    <row r="3663" spans="1:8" x14ac:dyDescent="0.2">
      <c r="A3663" s="2" t="s">
        <v>3343</v>
      </c>
      <c r="B3663" s="2" t="s">
        <v>1032</v>
      </c>
      <c r="C3663" s="2">
        <v>1163.4739999999999</v>
      </c>
      <c r="D3663" s="2">
        <f>HYPERLINK("http://mcb-m6.bioreg.kyushu-u.ac.jp/M3/20110421/F51058/3327/1", 124.88)</f>
        <v>124.88</v>
      </c>
      <c r="E3663" s="2">
        <v>111.9</v>
      </c>
      <c r="F3663" s="2">
        <v>2</v>
      </c>
      <c r="G3663" s="2" t="s">
        <v>11</v>
      </c>
    </row>
    <row r="3664" spans="1:8" x14ac:dyDescent="0.2">
      <c r="A3664" s="2" t="s">
        <v>3343</v>
      </c>
      <c r="B3664" s="2" t="s">
        <v>1002</v>
      </c>
      <c r="C3664" s="2">
        <v>1147.5899999999999</v>
      </c>
      <c r="D3664" s="2">
        <f>HYPERLINK("http://mcb-m6.bioreg.kyushu-u.ac.jp/M3/20110421/F51059/3371/1", 35.03)</f>
        <v>35.03</v>
      </c>
      <c r="E3664" s="2">
        <v>28.54</v>
      </c>
      <c r="F3664" s="2">
        <v>2</v>
      </c>
      <c r="G3664" s="2" t="s">
        <v>12</v>
      </c>
    </row>
    <row r="3665" spans="1:8" x14ac:dyDescent="0.2">
      <c r="A3665" s="2" t="s">
        <v>3343</v>
      </c>
      <c r="B3665" s="2" t="s">
        <v>344</v>
      </c>
      <c r="C3665" s="2">
        <v>613.16020000000003</v>
      </c>
      <c r="D3665" s="2">
        <f>HYPERLINK("http://mcb-m6.bioreg.kyushu-u.ac.jp/M3/20110421/F51059/2613/1", 35.16)</f>
        <v>35.159999999999997</v>
      </c>
      <c r="E3665" s="2">
        <v>14.34</v>
      </c>
      <c r="F3665" s="2">
        <v>3</v>
      </c>
      <c r="G3665" s="2" t="s">
        <v>12</v>
      </c>
    </row>
    <row r="3666" spans="1:8" x14ac:dyDescent="0.2">
      <c r="A3666" s="2" t="s">
        <v>3343</v>
      </c>
      <c r="B3666" s="2" t="s">
        <v>558</v>
      </c>
      <c r="C3666" s="2">
        <v>729.50710000000004</v>
      </c>
      <c r="D3666" s="2">
        <f>HYPERLINK("http://mcb-m6.bioreg.kyushu-u.ac.jp/M3/20110421/F51059/1747/1", 36.6)</f>
        <v>36.6</v>
      </c>
      <c r="E3666" s="2">
        <v>26.63</v>
      </c>
      <c r="F3666" s="2">
        <v>2</v>
      </c>
      <c r="G3666" s="2" t="s">
        <v>12</v>
      </c>
    </row>
    <row r="3667" spans="1:8" x14ac:dyDescent="0.2">
      <c r="A3667" s="2" t="s">
        <v>3343</v>
      </c>
      <c r="B3667" s="2" t="s">
        <v>428</v>
      </c>
      <c r="C3667" s="2">
        <v>452.29809999999998</v>
      </c>
      <c r="D3667" s="2">
        <f>HYPERLINK("http://mcb-m6.bioreg.kyushu-u.ac.jp/M3/20110421/F51059/501/1", 38.1)</f>
        <v>38.1</v>
      </c>
      <c r="E3667" s="2">
        <v>8.17</v>
      </c>
      <c r="F3667" s="2">
        <v>2</v>
      </c>
      <c r="G3667" s="2" t="s">
        <v>12</v>
      </c>
    </row>
    <row r="3668" spans="1:8" x14ac:dyDescent="0.2">
      <c r="A3668" s="2" t="s">
        <v>3343</v>
      </c>
      <c r="B3668" s="2" t="s">
        <v>132</v>
      </c>
      <c r="C3668" s="2">
        <v>1155.6949999999999</v>
      </c>
      <c r="D3668" s="2">
        <f>HYPERLINK("http://mcb-m6.bioreg.kyushu-u.ac.jp/M3/20110421/F51059/993/1", 38.49)</f>
        <v>38.49</v>
      </c>
      <c r="E3668" s="2">
        <v>17.05</v>
      </c>
      <c r="F3668" s="2">
        <v>1</v>
      </c>
      <c r="G3668" s="2" t="s">
        <v>12</v>
      </c>
    </row>
    <row r="3669" spans="1:8" x14ac:dyDescent="0.2">
      <c r="A3669" s="2" t="s">
        <v>3343</v>
      </c>
      <c r="B3669" s="2" t="s">
        <v>509</v>
      </c>
      <c r="C3669" s="2">
        <v>725.40970000000004</v>
      </c>
      <c r="D3669" s="2">
        <f>HYPERLINK("http://mcb-m6.bioreg.kyushu-u.ac.jp/M3/20110421/F51023/2035/1", 39.2)</f>
        <v>39.200000000000003</v>
      </c>
      <c r="E3669" s="2">
        <v>28.25</v>
      </c>
      <c r="F3669" s="2">
        <v>2</v>
      </c>
      <c r="G3669" s="2" t="s">
        <v>12</v>
      </c>
      <c r="H3669" s="2" t="s">
        <v>4927</v>
      </c>
    </row>
    <row r="3670" spans="1:8" x14ac:dyDescent="0.2">
      <c r="A3670" s="2" t="s">
        <v>3343</v>
      </c>
      <c r="B3670" s="2" t="s">
        <v>328</v>
      </c>
      <c r="C3670" s="2">
        <v>1146.5160000000001</v>
      </c>
      <c r="D3670" s="2">
        <f>HYPERLINK("http://mcb-m6.bioreg.kyushu-u.ac.jp/M3/20110421/F51059/979/1", 41.02)</f>
        <v>41.02</v>
      </c>
      <c r="E3670" s="2">
        <v>12.9</v>
      </c>
      <c r="F3670" s="2">
        <v>1</v>
      </c>
      <c r="G3670" s="2" t="s">
        <v>12</v>
      </c>
    </row>
    <row r="3671" spans="1:8" x14ac:dyDescent="0.2">
      <c r="A3671" s="2" t="s">
        <v>3343</v>
      </c>
      <c r="B3671" s="2" t="s">
        <v>2359</v>
      </c>
      <c r="C3671" s="2">
        <v>678.86609999999996</v>
      </c>
      <c r="D3671" s="2">
        <f>HYPERLINK("http://mcb-m6.bioreg.kyushu-u.ac.jp/M3/20110421/F51061/1586/1", 42.02)</f>
        <v>42.02</v>
      </c>
      <c r="E3671" s="2">
        <v>23.67</v>
      </c>
      <c r="F3671" s="2">
        <v>2</v>
      </c>
      <c r="G3671" s="2" t="s">
        <v>12</v>
      </c>
    </row>
    <row r="3672" spans="1:8" x14ac:dyDescent="0.2">
      <c r="A3672" s="2" t="s">
        <v>3343</v>
      </c>
      <c r="B3672" s="2" t="s">
        <v>1032</v>
      </c>
      <c r="C3672" s="2">
        <v>1155.114</v>
      </c>
      <c r="D3672" s="2">
        <f>HYPERLINK("http://mcb-m6.bioreg.kyushu-u.ac.jp/M3/20110421/F51059/3395/1", 42.2)</f>
        <v>42.2</v>
      </c>
      <c r="E3672" s="2">
        <v>16.010000000000002</v>
      </c>
      <c r="F3672" s="2">
        <v>2</v>
      </c>
      <c r="G3672" s="2" t="s">
        <v>12</v>
      </c>
      <c r="H3672" s="2" t="s">
        <v>4904</v>
      </c>
    </row>
    <row r="3673" spans="1:8" x14ac:dyDescent="0.2">
      <c r="A3673" s="2" t="s">
        <v>3343</v>
      </c>
      <c r="B3673" s="2" t="s">
        <v>546</v>
      </c>
      <c r="C3673" s="2">
        <v>1328.626</v>
      </c>
      <c r="D3673" s="2">
        <f>HYPERLINK("http://mcb-m6.bioreg.kyushu-u.ac.jp/M3/20110421/F51059/1382/2", 43.08)</f>
        <v>43.08</v>
      </c>
      <c r="E3673" s="2">
        <v>32.03</v>
      </c>
      <c r="F3673" s="2">
        <v>1</v>
      </c>
      <c r="G3673" s="2" t="s">
        <v>12</v>
      </c>
    </row>
    <row r="3674" spans="1:8" x14ac:dyDescent="0.2">
      <c r="A3674" s="2" t="s">
        <v>3343</v>
      </c>
      <c r="B3674" s="2" t="s">
        <v>1002</v>
      </c>
      <c r="C3674" s="2">
        <v>765.46479999999997</v>
      </c>
      <c r="D3674" s="2">
        <f>HYPERLINK("http://mcb-m6.bioreg.kyushu-u.ac.jp/M3/20110421/F51061/2973/1", 43.57)</f>
        <v>43.57</v>
      </c>
      <c r="E3674" s="2">
        <v>29.09</v>
      </c>
      <c r="F3674" s="2">
        <v>3</v>
      </c>
      <c r="G3674" s="2" t="s">
        <v>12</v>
      </c>
    </row>
    <row r="3675" spans="1:8" x14ac:dyDescent="0.2">
      <c r="A3675" s="2" t="s">
        <v>3343</v>
      </c>
      <c r="B3675" s="2" t="s">
        <v>132</v>
      </c>
      <c r="C3675" s="2">
        <v>578.27120000000002</v>
      </c>
      <c r="D3675" s="2">
        <f>HYPERLINK("http://mcb-m6.bioreg.kyushu-u.ac.jp/M3/20110421/F51024/1474/1", 44.46)</f>
        <v>44.46</v>
      </c>
      <c r="E3675" s="2">
        <v>17.78</v>
      </c>
      <c r="F3675" s="2">
        <v>2</v>
      </c>
      <c r="G3675" s="2" t="s">
        <v>12</v>
      </c>
    </row>
    <row r="3676" spans="1:8" x14ac:dyDescent="0.2">
      <c r="A3676" s="2" t="s">
        <v>3343</v>
      </c>
      <c r="B3676" s="2" t="s">
        <v>132</v>
      </c>
      <c r="C3676" s="2">
        <v>578.30719999999997</v>
      </c>
      <c r="D3676" s="2">
        <f>HYPERLINK("http://mcb-m6.bioreg.kyushu-u.ac.jp/M3/20110421/F51045/1458/1", 45.37)</f>
        <v>45.37</v>
      </c>
      <c r="E3676" s="2">
        <v>23.25</v>
      </c>
      <c r="F3676" s="2">
        <v>2</v>
      </c>
      <c r="G3676" s="2" t="s">
        <v>12</v>
      </c>
    </row>
    <row r="3677" spans="1:8" x14ac:dyDescent="0.2">
      <c r="A3677" s="2" t="s">
        <v>3343</v>
      </c>
      <c r="B3677" s="2" t="s">
        <v>943</v>
      </c>
      <c r="C3677" s="2">
        <v>507.34010000000001</v>
      </c>
      <c r="D3677" s="2">
        <f>HYPERLINK("http://mcb-m6.bioreg.kyushu-u.ac.jp/M3/20110421/F51059/758/1", 47.14)</f>
        <v>47.14</v>
      </c>
      <c r="E3677" s="2">
        <v>8.64</v>
      </c>
      <c r="F3677" s="2">
        <v>2</v>
      </c>
      <c r="G3677" s="2" t="s">
        <v>12</v>
      </c>
    </row>
    <row r="3678" spans="1:8" x14ac:dyDescent="0.2">
      <c r="A3678" s="2" t="s">
        <v>3343</v>
      </c>
      <c r="B3678" s="2" t="s">
        <v>509</v>
      </c>
      <c r="C3678" s="2">
        <v>717.89419999999996</v>
      </c>
      <c r="D3678" s="2">
        <f>HYPERLINK("http://mcb-m6.bioreg.kyushu-u.ac.jp/M3/20110421/F51059/1691/1", 47.49)</f>
        <v>47.49</v>
      </c>
      <c r="E3678" s="2">
        <v>30.38</v>
      </c>
      <c r="F3678" s="2">
        <v>2</v>
      </c>
      <c r="G3678" s="2" t="s">
        <v>12</v>
      </c>
    </row>
    <row r="3679" spans="1:8" x14ac:dyDescent="0.2">
      <c r="A3679" s="2" t="s">
        <v>3343</v>
      </c>
      <c r="B3679" s="2" t="s">
        <v>704</v>
      </c>
      <c r="C3679" s="2">
        <v>610.62070000000006</v>
      </c>
      <c r="D3679" s="2">
        <f>HYPERLINK("http://mcb-m6.bioreg.kyushu-u.ac.jp/M3/20110421/F51059/1181/1", 49.54)</f>
        <v>49.54</v>
      </c>
      <c r="E3679" s="2">
        <v>25.18</v>
      </c>
      <c r="F3679" s="2">
        <v>2</v>
      </c>
      <c r="G3679" s="2" t="s">
        <v>12</v>
      </c>
      <c r="H3679" s="2" t="s">
        <v>4908</v>
      </c>
    </row>
    <row r="3680" spans="1:8" x14ac:dyDescent="0.2">
      <c r="A3680" s="2" t="s">
        <v>3343</v>
      </c>
      <c r="B3680" s="2" t="s">
        <v>210</v>
      </c>
      <c r="C3680" s="2">
        <v>554.79719999999998</v>
      </c>
      <c r="D3680" s="2">
        <f>HYPERLINK("http://mcb-m6.bioreg.kyushu-u.ac.jp/M3/20110421/F51059/910/1", 50.46)</f>
        <v>50.46</v>
      </c>
      <c r="E3680" s="2">
        <v>24.47</v>
      </c>
      <c r="F3680" s="2">
        <v>2</v>
      </c>
      <c r="G3680" s="2" t="s">
        <v>12</v>
      </c>
      <c r="H3680" s="2" t="s">
        <v>4910</v>
      </c>
    </row>
    <row r="3681" spans="1:8" x14ac:dyDescent="0.2">
      <c r="A3681" s="2" t="s">
        <v>3343</v>
      </c>
      <c r="B3681" s="2" t="s">
        <v>344</v>
      </c>
      <c r="C3681" s="2">
        <v>919.96370000000002</v>
      </c>
      <c r="D3681" s="2">
        <f>HYPERLINK("http://mcb-m6.bioreg.kyushu-u.ac.jp/M3/20110421/F51059/2622/1", 50.72)</f>
        <v>50.72</v>
      </c>
      <c r="E3681" s="2">
        <v>20.32</v>
      </c>
      <c r="F3681" s="2">
        <v>2</v>
      </c>
      <c r="G3681" s="2" t="s">
        <v>12</v>
      </c>
    </row>
    <row r="3682" spans="1:8" x14ac:dyDescent="0.2">
      <c r="A3682" s="2" t="s">
        <v>3343</v>
      </c>
      <c r="B3682" s="2" t="s">
        <v>132</v>
      </c>
      <c r="C3682" s="2">
        <v>578.30619999999999</v>
      </c>
      <c r="D3682" s="2">
        <f>HYPERLINK("http://mcb-m6.bioreg.kyushu-u.ac.jp/M3/20110421/F51050/1435/1", 51.07)</f>
        <v>51.07</v>
      </c>
      <c r="E3682" s="2">
        <v>31.75</v>
      </c>
      <c r="F3682" s="2">
        <v>2</v>
      </c>
      <c r="G3682" s="2" t="s">
        <v>12</v>
      </c>
    </row>
    <row r="3683" spans="1:8" x14ac:dyDescent="0.2">
      <c r="A3683" s="2" t="s">
        <v>3343</v>
      </c>
      <c r="B3683" s="2" t="s">
        <v>509</v>
      </c>
      <c r="C3683" s="2">
        <v>725.30769999999995</v>
      </c>
      <c r="D3683" s="2">
        <f>HYPERLINK("http://mcb-m6.bioreg.kyushu-u.ac.jp/M3/20110421/F51061/1897/1", 51.13)</f>
        <v>51.13</v>
      </c>
      <c r="E3683" s="2">
        <v>33.549999999999997</v>
      </c>
      <c r="F3683" s="2">
        <v>2</v>
      </c>
      <c r="G3683" s="2" t="s">
        <v>12</v>
      </c>
      <c r="H3683" s="2" t="s">
        <v>4927</v>
      </c>
    </row>
    <row r="3684" spans="1:8" x14ac:dyDescent="0.2">
      <c r="A3684" s="2" t="s">
        <v>3343</v>
      </c>
      <c r="B3684" s="2" t="s">
        <v>704</v>
      </c>
      <c r="C3684" s="2">
        <v>602.88670000000002</v>
      </c>
      <c r="D3684" s="2">
        <f>HYPERLINK("http://mcb-m6.bioreg.kyushu-u.ac.jp/M3/20110421/F51043/1394/1", 51.53)</f>
        <v>51.53</v>
      </c>
      <c r="E3684" s="2">
        <v>17.809999999999999</v>
      </c>
      <c r="F3684" s="2">
        <v>2</v>
      </c>
      <c r="G3684" s="2" t="s">
        <v>12</v>
      </c>
    </row>
    <row r="3685" spans="1:8" x14ac:dyDescent="0.2">
      <c r="A3685" s="2" t="s">
        <v>3343</v>
      </c>
      <c r="B3685" s="2" t="s">
        <v>428</v>
      </c>
      <c r="C3685" s="2">
        <v>451.85910000000001</v>
      </c>
      <c r="D3685" s="2">
        <f>HYPERLINK("http://mcb-m6.bioreg.kyushu-u.ac.jp/M3/20110421/F51059/492/1", 51.91)</f>
        <v>51.91</v>
      </c>
      <c r="E3685" s="2">
        <v>25.59</v>
      </c>
      <c r="F3685" s="2">
        <v>2</v>
      </c>
      <c r="G3685" s="2" t="s">
        <v>12</v>
      </c>
    </row>
    <row r="3686" spans="1:8" x14ac:dyDescent="0.2">
      <c r="A3686" s="2" t="s">
        <v>3343</v>
      </c>
      <c r="B3686" s="2" t="s">
        <v>344</v>
      </c>
      <c r="C3686" s="2">
        <v>919.54020000000003</v>
      </c>
      <c r="D3686" s="2">
        <f>HYPERLINK("http://mcb-m6.bioreg.kyushu-u.ac.jp/M3/20110421/F51059/2617/1", 52.52)</f>
        <v>52.52</v>
      </c>
      <c r="E3686" s="2">
        <v>35.68</v>
      </c>
      <c r="F3686" s="2">
        <v>2</v>
      </c>
      <c r="G3686" s="2" t="s">
        <v>12</v>
      </c>
    </row>
    <row r="3687" spans="1:8" x14ac:dyDescent="0.2">
      <c r="A3687" s="2" t="s">
        <v>3343</v>
      </c>
      <c r="B3687" s="2" t="s">
        <v>704</v>
      </c>
      <c r="C3687" s="2">
        <v>602.70719999999994</v>
      </c>
      <c r="D3687" s="2">
        <f>HYPERLINK("http://mcb-m6.bioreg.kyushu-u.ac.jp/M3/20110421/F51061/1357/1", 54.02)</f>
        <v>54.02</v>
      </c>
      <c r="E3687" s="2">
        <v>23.54</v>
      </c>
      <c r="F3687" s="2">
        <v>2</v>
      </c>
      <c r="G3687" s="2" t="s">
        <v>12</v>
      </c>
    </row>
    <row r="3688" spans="1:8" x14ac:dyDescent="0.2">
      <c r="A3688" s="2" t="s">
        <v>3343</v>
      </c>
      <c r="B3688" s="2" t="s">
        <v>509</v>
      </c>
      <c r="C3688" s="2">
        <v>717.74369999999999</v>
      </c>
      <c r="D3688" s="2">
        <f>HYPERLINK("http://mcb-m6.bioreg.kyushu-u.ac.jp/M3/20110421/F51059/1689/1", 54.06)</f>
        <v>54.06</v>
      </c>
      <c r="E3688" s="2">
        <v>29.77</v>
      </c>
      <c r="F3688" s="2">
        <v>2</v>
      </c>
      <c r="G3688" s="2" t="s">
        <v>12</v>
      </c>
    </row>
    <row r="3689" spans="1:8" x14ac:dyDescent="0.2">
      <c r="A3689" s="2" t="s">
        <v>3343</v>
      </c>
      <c r="B3689" s="2" t="s">
        <v>325</v>
      </c>
      <c r="C3689" s="2">
        <v>498.73320000000001</v>
      </c>
      <c r="D3689" s="2">
        <f>HYPERLINK("http://mcb-m6.bioreg.kyushu-u.ac.jp/M3/20110421/F51059/1844/1", 54.4)</f>
        <v>54.4</v>
      </c>
      <c r="E3689" s="2">
        <v>38.44</v>
      </c>
      <c r="F3689" s="2">
        <v>3</v>
      </c>
      <c r="G3689" s="2" t="s">
        <v>12</v>
      </c>
      <c r="H3689" s="2" t="s">
        <v>4925</v>
      </c>
    </row>
    <row r="3690" spans="1:8" x14ac:dyDescent="0.2">
      <c r="A3690" s="2" t="s">
        <v>3343</v>
      </c>
      <c r="B3690" s="2" t="s">
        <v>704</v>
      </c>
      <c r="C3690" s="2">
        <v>611.38120000000004</v>
      </c>
      <c r="D3690" s="2">
        <f>HYPERLINK("http://mcb-m6.bioreg.kyushu-u.ac.jp/M3/20110421/F51059/1190/1", 54.43)</f>
        <v>54.43</v>
      </c>
      <c r="E3690" s="2">
        <v>25.57</v>
      </c>
      <c r="F3690" s="2">
        <v>2</v>
      </c>
      <c r="G3690" s="2" t="s">
        <v>12</v>
      </c>
      <c r="H3690" s="2" t="s">
        <v>4908</v>
      </c>
    </row>
    <row r="3691" spans="1:8" x14ac:dyDescent="0.2">
      <c r="A3691" s="2" t="s">
        <v>3343</v>
      </c>
      <c r="B3691" s="2" t="s">
        <v>704</v>
      </c>
      <c r="C3691" s="2">
        <v>603.35109999999997</v>
      </c>
      <c r="D3691" s="2">
        <f>HYPERLINK("http://mcb-m6.bioreg.kyushu-u.ac.jp/M3/20110421/F51061/1361/1", 55.37)</f>
        <v>55.37</v>
      </c>
      <c r="E3691" s="2">
        <v>27.66</v>
      </c>
      <c r="F3691" s="2">
        <v>2</v>
      </c>
      <c r="G3691" s="2" t="s">
        <v>12</v>
      </c>
    </row>
    <row r="3692" spans="1:8" x14ac:dyDescent="0.2">
      <c r="A3692" s="2" t="s">
        <v>3343</v>
      </c>
      <c r="B3692" s="2" t="s">
        <v>704</v>
      </c>
      <c r="C3692" s="2">
        <v>610.92219999999998</v>
      </c>
      <c r="D3692" s="2">
        <f>HYPERLINK("http://mcb-m6.bioreg.kyushu-u.ac.jp/M3/20110421/F51043/1426/1", 55.74)</f>
        <v>55.74</v>
      </c>
      <c r="E3692" s="2">
        <v>33.229999999999997</v>
      </c>
      <c r="F3692" s="2">
        <v>2</v>
      </c>
      <c r="G3692" s="2" t="s">
        <v>12</v>
      </c>
      <c r="H3692" s="2" t="s">
        <v>4908</v>
      </c>
    </row>
    <row r="3693" spans="1:8" x14ac:dyDescent="0.2">
      <c r="A3693" s="2" t="s">
        <v>3343</v>
      </c>
      <c r="B3693" s="2" t="s">
        <v>132</v>
      </c>
      <c r="C3693" s="2">
        <v>578.84059999999999</v>
      </c>
      <c r="D3693" s="2">
        <f>HYPERLINK("http://mcb-m6.bioreg.kyushu-u.ac.jp/M3/20110421/F51048/1460/1", 57.85)</f>
        <v>57.85</v>
      </c>
      <c r="E3693" s="2">
        <v>35.83</v>
      </c>
      <c r="F3693" s="2">
        <v>2</v>
      </c>
      <c r="G3693" s="2" t="s">
        <v>12</v>
      </c>
    </row>
    <row r="3694" spans="1:8" x14ac:dyDescent="0.2">
      <c r="A3694" s="2" t="s">
        <v>3343</v>
      </c>
      <c r="B3694" s="2" t="s">
        <v>132</v>
      </c>
      <c r="C3694" s="2">
        <v>578.19759999999997</v>
      </c>
      <c r="D3694" s="2">
        <f>HYPERLINK("http://mcb-m6.bioreg.kyushu-u.ac.jp/M3/20110421/F51044/1222/1", 58.52)</f>
        <v>58.52</v>
      </c>
      <c r="E3694" s="2">
        <v>32.93</v>
      </c>
      <c r="F3694" s="2">
        <v>2</v>
      </c>
      <c r="G3694" s="2" t="s">
        <v>12</v>
      </c>
    </row>
    <row r="3695" spans="1:8" x14ac:dyDescent="0.2">
      <c r="A3695" s="2" t="s">
        <v>3343</v>
      </c>
      <c r="B3695" s="2" t="s">
        <v>546</v>
      </c>
      <c r="C3695" s="2">
        <v>665.02120000000002</v>
      </c>
      <c r="D3695" s="2">
        <f>HYPERLINK("http://mcb-m6.bioreg.kyushu-u.ac.jp/M3/20110421/F51047/1676/2", 58.6)</f>
        <v>58.6</v>
      </c>
      <c r="E3695" s="2">
        <v>39.880000000000003</v>
      </c>
      <c r="F3695" s="2">
        <v>2</v>
      </c>
      <c r="G3695" s="2" t="s">
        <v>12</v>
      </c>
    </row>
    <row r="3696" spans="1:8" x14ac:dyDescent="0.2">
      <c r="A3696" s="2" t="s">
        <v>3343</v>
      </c>
      <c r="B3696" s="2" t="s">
        <v>546</v>
      </c>
      <c r="C3696" s="2">
        <v>665.38620000000003</v>
      </c>
      <c r="D3696" s="2">
        <f>HYPERLINK("http://mcb-m6.bioreg.kyushu-u.ac.jp/M3/20110421/F51059/1387/2", 59.23)</f>
        <v>59.23</v>
      </c>
      <c r="E3696" s="2">
        <v>41.82</v>
      </c>
      <c r="F3696" s="2">
        <v>2</v>
      </c>
      <c r="G3696" s="2" t="s">
        <v>12</v>
      </c>
    </row>
    <row r="3697" spans="1:8" x14ac:dyDescent="0.2">
      <c r="A3697" s="2" t="s">
        <v>3343</v>
      </c>
      <c r="B3697" s="2" t="s">
        <v>704</v>
      </c>
      <c r="C3697" s="2">
        <v>602.8152</v>
      </c>
      <c r="D3697" s="2">
        <f>HYPERLINK("http://mcb-m6.bioreg.kyushu-u.ac.jp/M3/20110421/F51044/1342/1", 60.51)</f>
        <v>60.51</v>
      </c>
      <c r="E3697" s="2">
        <v>25.26</v>
      </c>
      <c r="F3697" s="2">
        <v>2</v>
      </c>
      <c r="G3697" s="2" t="s">
        <v>12</v>
      </c>
    </row>
    <row r="3698" spans="1:8" x14ac:dyDescent="0.2">
      <c r="A3698" s="2" t="s">
        <v>3343</v>
      </c>
      <c r="B3698" s="2" t="s">
        <v>1002</v>
      </c>
      <c r="C3698" s="2">
        <v>1147.508</v>
      </c>
      <c r="D3698" s="2">
        <f>HYPERLINK("http://mcb-m6.bioreg.kyushu-u.ac.jp/M3/20110421/F51059/3369/1", 60.8)</f>
        <v>60.8</v>
      </c>
      <c r="E3698" s="2">
        <v>50.08</v>
      </c>
      <c r="F3698" s="2">
        <v>2</v>
      </c>
      <c r="G3698" s="2" t="s">
        <v>12</v>
      </c>
    </row>
    <row r="3699" spans="1:8" x14ac:dyDescent="0.2">
      <c r="A3699" s="2" t="s">
        <v>3343</v>
      </c>
      <c r="B3699" s="2" t="s">
        <v>509</v>
      </c>
      <c r="C3699" s="2">
        <v>717.43119999999999</v>
      </c>
      <c r="D3699" s="2">
        <f>HYPERLINK("http://mcb-m6.bioreg.kyushu-u.ac.jp/M3/20110421/F51059/1686/1", 62.83)</f>
        <v>62.83</v>
      </c>
      <c r="E3699" s="2">
        <v>44.12</v>
      </c>
      <c r="F3699" s="2">
        <v>2</v>
      </c>
      <c r="G3699" s="2" t="s">
        <v>12</v>
      </c>
    </row>
    <row r="3700" spans="1:8" x14ac:dyDescent="0.2">
      <c r="A3700" s="2" t="s">
        <v>3343</v>
      </c>
      <c r="B3700" s="2" t="s">
        <v>1002</v>
      </c>
      <c r="C3700" s="2">
        <v>1147.6559999999999</v>
      </c>
      <c r="D3700" s="2">
        <f>HYPERLINK("http://mcb-m6.bioreg.kyushu-u.ac.jp/M3/20110421/F51061/2972/1", 63.54)</f>
        <v>63.54</v>
      </c>
      <c r="E3700" s="2">
        <v>55.28</v>
      </c>
      <c r="F3700" s="2">
        <v>2</v>
      </c>
      <c r="G3700" s="2" t="s">
        <v>12</v>
      </c>
    </row>
    <row r="3701" spans="1:8" x14ac:dyDescent="0.2">
      <c r="A3701" s="2" t="s">
        <v>3343</v>
      </c>
      <c r="B3701" s="2" t="s">
        <v>1032</v>
      </c>
      <c r="C3701" s="2">
        <v>1163.4390000000001</v>
      </c>
      <c r="D3701" s="2">
        <f>HYPERLINK("http://mcb-m6.bioreg.kyushu-u.ac.jp/M3/20110421/F51059/3412/1", 64.13)</f>
        <v>64.13</v>
      </c>
      <c r="E3701" s="2">
        <v>56.71</v>
      </c>
      <c r="F3701" s="2">
        <v>2</v>
      </c>
      <c r="G3701" s="2" t="s">
        <v>12</v>
      </c>
    </row>
    <row r="3702" spans="1:8" x14ac:dyDescent="0.2">
      <c r="A3702" s="2" t="s">
        <v>3343</v>
      </c>
      <c r="B3702" s="2" t="s">
        <v>132</v>
      </c>
      <c r="C3702" s="2">
        <v>578.80619999999999</v>
      </c>
      <c r="D3702" s="2">
        <f>HYPERLINK("http://mcb-m6.bioreg.kyushu-u.ac.jp/M3/20110421/F51061/1262/1", 65)</f>
        <v>65</v>
      </c>
      <c r="E3702" s="2">
        <v>32.9</v>
      </c>
      <c r="F3702" s="2">
        <v>2</v>
      </c>
      <c r="G3702" s="2" t="s">
        <v>12</v>
      </c>
    </row>
    <row r="3703" spans="1:8" x14ac:dyDescent="0.2">
      <c r="A3703" s="2" t="s">
        <v>3343</v>
      </c>
      <c r="B3703" s="2" t="s">
        <v>1189</v>
      </c>
      <c r="C3703" s="2">
        <v>1069.972</v>
      </c>
      <c r="D3703" s="2">
        <f>HYPERLINK("http://mcb-m6.bioreg.kyushu-u.ac.jp/M3/20110421/F51059/3172/1", 65.66)</f>
        <v>65.66</v>
      </c>
      <c r="E3703" s="2">
        <v>53.73</v>
      </c>
      <c r="F3703" s="2">
        <v>2</v>
      </c>
      <c r="G3703" s="2" t="s">
        <v>12</v>
      </c>
    </row>
    <row r="3704" spans="1:8" x14ac:dyDescent="0.2">
      <c r="A3704" s="2" t="s">
        <v>3343</v>
      </c>
      <c r="B3704" s="2" t="s">
        <v>509</v>
      </c>
      <c r="C3704" s="2">
        <v>717.62070000000006</v>
      </c>
      <c r="D3704" s="2">
        <f>HYPERLINK("http://mcb-m6.bioreg.kyushu-u.ac.jp/M3/20110421/F51061/1848/1", 67.62)</f>
        <v>67.62</v>
      </c>
      <c r="E3704" s="2">
        <v>47.49</v>
      </c>
      <c r="F3704" s="2">
        <v>2</v>
      </c>
      <c r="G3704" s="2" t="s">
        <v>12</v>
      </c>
    </row>
    <row r="3705" spans="1:8" x14ac:dyDescent="0.2">
      <c r="A3705" s="2" t="s">
        <v>3343</v>
      </c>
      <c r="B3705" s="2" t="s">
        <v>1496</v>
      </c>
      <c r="C3705" s="2">
        <v>967.5317</v>
      </c>
      <c r="D3705" s="2">
        <f>HYPERLINK("http://mcb-m6.bioreg.kyushu-u.ac.jp/M3/20110421/F51059/2842/1", 68.05)</f>
        <v>68.05</v>
      </c>
      <c r="E3705" s="2">
        <v>48.57</v>
      </c>
      <c r="F3705" s="2">
        <v>2</v>
      </c>
      <c r="G3705" s="2" t="s">
        <v>12</v>
      </c>
    </row>
    <row r="3706" spans="1:8" x14ac:dyDescent="0.2">
      <c r="A3706" s="2" t="s">
        <v>3343</v>
      </c>
      <c r="B3706" s="2" t="s">
        <v>546</v>
      </c>
      <c r="C3706" s="2">
        <v>664.74570000000006</v>
      </c>
      <c r="D3706" s="2">
        <f>HYPERLINK("http://mcb-m6.bioreg.kyushu-u.ac.jp/M3/20110421/F51023/1766/2", 70.45)</f>
        <v>70.45</v>
      </c>
      <c r="E3706" s="2">
        <v>50.23</v>
      </c>
      <c r="F3706" s="2">
        <v>2</v>
      </c>
      <c r="G3706" s="2" t="s">
        <v>12</v>
      </c>
    </row>
    <row r="3707" spans="1:8" x14ac:dyDescent="0.2">
      <c r="A3707" s="2" t="s">
        <v>3343</v>
      </c>
      <c r="B3707" s="2" t="s">
        <v>546</v>
      </c>
      <c r="C3707" s="2">
        <v>664.88620000000003</v>
      </c>
      <c r="D3707" s="2">
        <f>HYPERLINK("http://mcb-m6.bioreg.kyushu-u.ac.jp/M3/20110421/F51059/1385/2", 72)</f>
        <v>72</v>
      </c>
      <c r="E3707" s="2">
        <v>53.65</v>
      </c>
      <c r="F3707" s="2">
        <v>2</v>
      </c>
      <c r="G3707" s="2" t="s">
        <v>12</v>
      </c>
    </row>
    <row r="3708" spans="1:8" x14ac:dyDescent="0.2">
      <c r="A3708" s="2" t="s">
        <v>3343</v>
      </c>
      <c r="B3708" s="2" t="s">
        <v>325</v>
      </c>
      <c r="C3708" s="2">
        <v>747.62070000000006</v>
      </c>
      <c r="D3708" s="2">
        <f>HYPERLINK("http://mcb-m6.bioreg.kyushu-u.ac.jp/M3/20110421/F51061/2002/1", 72.94)</f>
        <v>72.94</v>
      </c>
      <c r="E3708" s="2">
        <v>52.55</v>
      </c>
      <c r="F3708" s="2">
        <v>2</v>
      </c>
      <c r="G3708" s="2" t="s">
        <v>12</v>
      </c>
      <c r="H3708" s="2" t="s">
        <v>4925</v>
      </c>
    </row>
    <row r="3709" spans="1:8" x14ac:dyDescent="0.2">
      <c r="A3709" s="2" t="s">
        <v>3343</v>
      </c>
      <c r="B3709" s="2" t="s">
        <v>546</v>
      </c>
      <c r="C3709" s="2">
        <v>664.86320000000001</v>
      </c>
      <c r="D3709" s="2">
        <f>HYPERLINK("http://mcb-m6.bioreg.kyushu-u.ac.jp/M3/20110421/F51059/1384/2", 73.95)</f>
        <v>73.95</v>
      </c>
      <c r="E3709" s="2">
        <v>58.45</v>
      </c>
      <c r="F3709" s="2">
        <v>2</v>
      </c>
      <c r="G3709" s="2" t="s">
        <v>12</v>
      </c>
    </row>
    <row r="3710" spans="1:8" x14ac:dyDescent="0.2">
      <c r="A3710" s="2" t="s">
        <v>3343</v>
      </c>
      <c r="B3710" s="2" t="s">
        <v>1002</v>
      </c>
      <c r="C3710" s="2">
        <v>1148.0930000000001</v>
      </c>
      <c r="D3710" s="2">
        <f>HYPERLINK("http://mcb-m6.bioreg.kyushu-u.ac.jp/M3/20110421/F51059/3374/1", 73.98)</f>
        <v>73.98</v>
      </c>
      <c r="E3710" s="2">
        <v>59.76</v>
      </c>
      <c r="F3710" s="2">
        <v>2</v>
      </c>
      <c r="G3710" s="2" t="s">
        <v>12</v>
      </c>
    </row>
    <row r="3711" spans="1:8" x14ac:dyDescent="0.2">
      <c r="A3711" s="2" t="s">
        <v>3343</v>
      </c>
      <c r="B3711" s="2" t="s">
        <v>344</v>
      </c>
      <c r="C3711" s="2">
        <v>919.44960000000003</v>
      </c>
      <c r="D3711" s="2">
        <f>HYPERLINK("http://mcb-m6.bioreg.kyushu-u.ac.jp/M3/20110421/F51059/2615/1", 75.11)</f>
        <v>75.11</v>
      </c>
      <c r="E3711" s="2">
        <v>53.64</v>
      </c>
      <c r="F3711" s="2">
        <v>2</v>
      </c>
      <c r="G3711" s="2" t="s">
        <v>12</v>
      </c>
    </row>
    <row r="3712" spans="1:8" x14ac:dyDescent="0.2">
      <c r="A3712" s="2" t="s">
        <v>3343</v>
      </c>
      <c r="B3712" s="2" t="s">
        <v>1189</v>
      </c>
      <c r="C3712" s="2">
        <v>1069.4390000000001</v>
      </c>
      <c r="D3712" s="2">
        <f>HYPERLINK("http://mcb-m6.bioreg.kyushu-u.ac.jp/M3/20110421/F51059/3170/1", 75.2)</f>
        <v>75.2</v>
      </c>
      <c r="E3712" s="2">
        <v>63.51</v>
      </c>
      <c r="F3712" s="2">
        <v>2</v>
      </c>
      <c r="G3712" s="2" t="s">
        <v>12</v>
      </c>
    </row>
    <row r="3713" spans="1:8" x14ac:dyDescent="0.2">
      <c r="A3713" s="2" t="s">
        <v>3343</v>
      </c>
      <c r="B3713" s="2" t="s">
        <v>1189</v>
      </c>
      <c r="C3713" s="2">
        <v>1069.396</v>
      </c>
      <c r="D3713" s="2">
        <f>HYPERLINK("http://mcb-m6.bioreg.kyushu-u.ac.jp/M3/20110421/F51024/3121/1", 76.15)</f>
        <v>76.150000000000006</v>
      </c>
      <c r="E3713" s="2">
        <v>65.06</v>
      </c>
      <c r="F3713" s="2">
        <v>2</v>
      </c>
      <c r="G3713" s="2" t="s">
        <v>12</v>
      </c>
    </row>
    <row r="3714" spans="1:8" x14ac:dyDescent="0.2">
      <c r="A3714" s="2" t="s">
        <v>3343</v>
      </c>
      <c r="B3714" s="2" t="s">
        <v>325</v>
      </c>
      <c r="C3714" s="2">
        <v>747.31920000000002</v>
      </c>
      <c r="D3714" s="2">
        <f>HYPERLINK("http://mcb-m6.bioreg.kyushu-u.ac.jp/M3/20110421/F51059/1840/1", 76.18)</f>
        <v>76.180000000000007</v>
      </c>
      <c r="E3714" s="2">
        <v>62.43</v>
      </c>
      <c r="F3714" s="2">
        <v>2</v>
      </c>
      <c r="G3714" s="2" t="s">
        <v>12</v>
      </c>
      <c r="H3714" s="2" t="s">
        <v>4925</v>
      </c>
    </row>
    <row r="3715" spans="1:8" x14ac:dyDescent="0.2">
      <c r="A3715" s="2" t="s">
        <v>3343</v>
      </c>
      <c r="B3715" s="2" t="s">
        <v>328</v>
      </c>
      <c r="C3715" s="2">
        <v>573.8442</v>
      </c>
      <c r="D3715" s="2">
        <f>HYPERLINK("http://mcb-m6.bioreg.kyushu-u.ac.jp/M3/20110421/F51059/980/1", 76.55)</f>
        <v>76.55</v>
      </c>
      <c r="E3715" s="2">
        <v>41.18</v>
      </c>
      <c r="F3715" s="2">
        <v>2</v>
      </c>
      <c r="G3715" s="2" t="s">
        <v>12</v>
      </c>
    </row>
    <row r="3716" spans="1:8" x14ac:dyDescent="0.2">
      <c r="A3716" s="2" t="s">
        <v>3343</v>
      </c>
      <c r="B3716" s="2" t="s">
        <v>558</v>
      </c>
      <c r="C3716" s="2">
        <v>729.3972</v>
      </c>
      <c r="D3716" s="2">
        <f>HYPERLINK("http://mcb-m6.bioreg.kyushu-u.ac.jp/M3/20110421/F51059/1746/1", 76.66)</f>
        <v>76.66</v>
      </c>
      <c r="E3716" s="2">
        <v>61.19</v>
      </c>
      <c r="F3716" s="2">
        <v>2</v>
      </c>
      <c r="G3716" s="2" t="s">
        <v>12</v>
      </c>
    </row>
    <row r="3717" spans="1:8" x14ac:dyDescent="0.2">
      <c r="A3717" s="2" t="s">
        <v>3343</v>
      </c>
      <c r="B3717" s="2" t="s">
        <v>546</v>
      </c>
      <c r="C3717" s="2">
        <v>664.75519999999995</v>
      </c>
      <c r="D3717" s="2">
        <f>HYPERLINK("http://mcb-m6.bioreg.kyushu-u.ac.jp/M3/20110421/F51044/1555/2", 77.92)</f>
        <v>77.92</v>
      </c>
      <c r="E3717" s="2">
        <v>65.42</v>
      </c>
      <c r="F3717" s="2">
        <v>2</v>
      </c>
      <c r="G3717" s="2" t="s">
        <v>12</v>
      </c>
    </row>
    <row r="3718" spans="1:8" x14ac:dyDescent="0.2">
      <c r="A3718" s="2" t="s">
        <v>3343</v>
      </c>
      <c r="B3718" s="2" t="s">
        <v>943</v>
      </c>
      <c r="C3718" s="2">
        <v>506.80059999999997</v>
      </c>
      <c r="D3718" s="2">
        <f>HYPERLINK("http://mcb-m6.bioreg.kyushu-u.ac.jp/M3/20110421/F51059/754/1", 78.76)</f>
        <v>78.760000000000005</v>
      </c>
      <c r="E3718" s="2">
        <v>56.13</v>
      </c>
      <c r="F3718" s="2">
        <v>2</v>
      </c>
      <c r="G3718" s="2" t="s">
        <v>12</v>
      </c>
    </row>
    <row r="3719" spans="1:8" x14ac:dyDescent="0.2">
      <c r="A3719" s="2" t="s">
        <v>3343</v>
      </c>
      <c r="B3719" s="2" t="s">
        <v>325</v>
      </c>
      <c r="C3719" s="2">
        <v>1477.6369999999999</v>
      </c>
      <c r="D3719" s="2">
        <f>HYPERLINK("http://mcb-m6.bioreg.kyushu-u.ac.jp/M3/20110421/F51059/1799/1", 80.05)</f>
        <v>80.05</v>
      </c>
      <c r="E3719" s="2">
        <v>66.88</v>
      </c>
      <c r="F3719" s="2">
        <v>1</v>
      </c>
      <c r="G3719" s="2" t="s">
        <v>12</v>
      </c>
    </row>
    <row r="3720" spans="1:8" x14ac:dyDescent="0.2">
      <c r="A3720" s="2" t="s">
        <v>3343</v>
      </c>
      <c r="B3720" s="2" t="s">
        <v>344</v>
      </c>
      <c r="C3720" s="2">
        <v>919.71669999999995</v>
      </c>
      <c r="D3720" s="2">
        <f>HYPERLINK("http://mcb-m6.bioreg.kyushu-u.ac.jp/M3/20110421/F51061/2565/1", 81.67)</f>
        <v>81.67</v>
      </c>
      <c r="E3720" s="2">
        <v>53.27</v>
      </c>
      <c r="F3720" s="2">
        <v>2</v>
      </c>
      <c r="G3720" s="2" t="s">
        <v>12</v>
      </c>
    </row>
    <row r="3721" spans="1:8" x14ac:dyDescent="0.2">
      <c r="A3721" s="2" t="s">
        <v>3343</v>
      </c>
      <c r="B3721" s="2" t="s">
        <v>509</v>
      </c>
      <c r="C3721" s="2">
        <v>725.9357</v>
      </c>
      <c r="D3721" s="2">
        <f>HYPERLINK("http://mcb-m6.bioreg.kyushu-u.ac.jp/M3/20110421/F51061/1900/1", 84.03)</f>
        <v>84.03</v>
      </c>
      <c r="E3721" s="2">
        <v>65.400000000000006</v>
      </c>
      <c r="F3721" s="2">
        <v>2</v>
      </c>
      <c r="G3721" s="2" t="s">
        <v>12</v>
      </c>
      <c r="H3721" s="2" t="s">
        <v>4927</v>
      </c>
    </row>
    <row r="3722" spans="1:8" x14ac:dyDescent="0.2">
      <c r="A3722" s="2" t="s">
        <v>3343</v>
      </c>
      <c r="B3722" s="2" t="s">
        <v>325</v>
      </c>
      <c r="C3722" s="2">
        <v>747.84860000000003</v>
      </c>
      <c r="D3722" s="2">
        <f>HYPERLINK("http://mcb-m6.bioreg.kyushu-u.ac.jp/M3/20110421/F51059/1845/1", 84.39)</f>
        <v>84.39</v>
      </c>
      <c r="E3722" s="2">
        <v>71.34</v>
      </c>
      <c r="F3722" s="2">
        <v>2</v>
      </c>
      <c r="G3722" s="2" t="s">
        <v>12</v>
      </c>
      <c r="H3722" s="2" t="s">
        <v>4925</v>
      </c>
    </row>
    <row r="3723" spans="1:8" x14ac:dyDescent="0.2">
      <c r="A3723" s="2" t="s">
        <v>3343</v>
      </c>
      <c r="B3723" s="2" t="s">
        <v>546</v>
      </c>
      <c r="C3723" s="2">
        <v>664.73770000000002</v>
      </c>
      <c r="D3723" s="2">
        <f>HYPERLINK("http://mcb-m6.bioreg.kyushu-u.ac.jp/M3/20110421/F51024/1778/2", 84.47)</f>
        <v>84.47</v>
      </c>
      <c r="E3723" s="2">
        <v>67.75</v>
      </c>
      <c r="F3723" s="2">
        <v>2</v>
      </c>
      <c r="G3723" s="2" t="s">
        <v>12</v>
      </c>
    </row>
    <row r="3724" spans="1:8" x14ac:dyDescent="0.2">
      <c r="A3724" s="2" t="s">
        <v>3343</v>
      </c>
      <c r="B3724" s="2" t="s">
        <v>1189</v>
      </c>
      <c r="C3724" s="2">
        <v>1070.0809999999999</v>
      </c>
      <c r="D3724" s="2">
        <f>HYPERLINK("http://mcb-m6.bioreg.kyushu-u.ac.jp/M3/20110421/F51044/3268/1", 84.78)</f>
        <v>84.78</v>
      </c>
      <c r="E3724" s="2">
        <v>71.05</v>
      </c>
      <c r="F3724" s="2">
        <v>2</v>
      </c>
      <c r="G3724" s="2" t="s">
        <v>12</v>
      </c>
    </row>
    <row r="3725" spans="1:8" x14ac:dyDescent="0.2">
      <c r="A3725" s="2" t="s">
        <v>3343</v>
      </c>
      <c r="B3725" s="2" t="s">
        <v>1002</v>
      </c>
      <c r="C3725" s="2">
        <v>1147.528</v>
      </c>
      <c r="D3725" s="2">
        <f>HYPERLINK("http://mcb-m6.bioreg.kyushu-u.ac.jp/M3/20110421/F51061/2971/1", 90.06)</f>
        <v>90.06</v>
      </c>
      <c r="E3725" s="2">
        <v>77.72</v>
      </c>
      <c r="F3725" s="2">
        <v>2</v>
      </c>
      <c r="G3725" s="2" t="s">
        <v>12</v>
      </c>
    </row>
    <row r="3726" spans="1:8" x14ac:dyDescent="0.2">
      <c r="A3726" s="2" t="s">
        <v>3343</v>
      </c>
      <c r="B3726" s="2" t="s">
        <v>325</v>
      </c>
      <c r="C3726" s="2">
        <v>747.8972</v>
      </c>
      <c r="D3726" s="2">
        <f>HYPERLINK("http://mcb-m6.bioreg.kyushu-u.ac.jp/M3/20110421/F51044/2097/1", 91.07)</f>
        <v>91.07</v>
      </c>
      <c r="E3726" s="2">
        <v>73.41</v>
      </c>
      <c r="F3726" s="2">
        <v>2</v>
      </c>
      <c r="G3726" s="2" t="s">
        <v>12</v>
      </c>
      <c r="H3726" s="2" t="s">
        <v>4925</v>
      </c>
    </row>
    <row r="3727" spans="1:8" x14ac:dyDescent="0.2">
      <c r="A3727" s="2" t="s">
        <v>3343</v>
      </c>
      <c r="B3727" s="2" t="s">
        <v>546</v>
      </c>
      <c r="C3727" s="2">
        <v>664.85419999999999</v>
      </c>
      <c r="D3727" s="2">
        <f>HYPERLINK("http://mcb-m6.bioreg.kyushu-u.ac.jp/M3/20110421/F51061/1516/2", 91.93)</f>
        <v>91.93</v>
      </c>
      <c r="E3727" s="2">
        <v>72.66</v>
      </c>
      <c r="F3727" s="2">
        <v>2</v>
      </c>
      <c r="G3727" s="2" t="s">
        <v>12</v>
      </c>
    </row>
    <row r="3728" spans="1:8" x14ac:dyDescent="0.2">
      <c r="A3728" s="2" t="s">
        <v>3343</v>
      </c>
      <c r="B3728" s="2" t="s">
        <v>1189</v>
      </c>
      <c r="C3728" s="2">
        <v>1070.056</v>
      </c>
      <c r="D3728" s="2">
        <f>HYPERLINK("http://mcb-m6.bioreg.kyushu-u.ac.jp/M3/20110421/F51061/2867/1", 94.83)</f>
        <v>94.83</v>
      </c>
      <c r="E3728" s="2">
        <v>84.21</v>
      </c>
      <c r="F3728" s="2">
        <v>2</v>
      </c>
      <c r="G3728" s="2" t="s">
        <v>12</v>
      </c>
    </row>
    <row r="3729" spans="1:8" x14ac:dyDescent="0.2">
      <c r="A3729" s="2" t="s">
        <v>3343</v>
      </c>
      <c r="B3729" s="2" t="s">
        <v>1032</v>
      </c>
      <c r="C3729" s="2">
        <v>1164.0419999999999</v>
      </c>
      <c r="D3729" s="2">
        <f>HYPERLINK("http://mcb-m6.bioreg.kyushu-u.ac.jp/M3/20110421/F51059/3417/1", 97.23)</f>
        <v>97.23</v>
      </c>
      <c r="E3729" s="2">
        <v>82.88</v>
      </c>
      <c r="F3729" s="2">
        <v>2</v>
      </c>
      <c r="G3729" s="2" t="s">
        <v>12</v>
      </c>
    </row>
    <row r="3730" spans="1:8" x14ac:dyDescent="0.2">
      <c r="A3730" s="2" t="s">
        <v>3343</v>
      </c>
      <c r="B3730" s="2" t="s">
        <v>1189</v>
      </c>
      <c r="C3730" s="2">
        <v>1069.8119999999999</v>
      </c>
      <c r="D3730" s="2">
        <f>HYPERLINK("http://mcb-m6.bioreg.kyushu-u.ac.jp/M3/20110421/F51023/2954/1", 99.63)</f>
        <v>99.63</v>
      </c>
      <c r="E3730" s="2">
        <v>87.49</v>
      </c>
      <c r="F3730" s="2">
        <v>2</v>
      </c>
      <c r="G3730" s="2" t="s">
        <v>12</v>
      </c>
    </row>
    <row r="3731" spans="1:8" x14ac:dyDescent="0.2">
      <c r="A3731" s="2" t="s">
        <v>3343</v>
      </c>
      <c r="B3731" s="2" t="s">
        <v>1211</v>
      </c>
      <c r="C3731" s="2">
        <v>1161.3800000000001</v>
      </c>
      <c r="D3731" s="2">
        <f>HYPERLINK("http://mcb-m6.bioreg.kyushu-u.ac.jp/M3/20110421/F51059/3404/1", 102.39)</f>
        <v>102.39</v>
      </c>
      <c r="E3731" s="2">
        <v>85.47</v>
      </c>
      <c r="F3731" s="2">
        <v>2</v>
      </c>
      <c r="G3731" s="2" t="s">
        <v>12</v>
      </c>
      <c r="H3731" s="2" t="s">
        <v>4891</v>
      </c>
    </row>
    <row r="3732" spans="1:8" x14ac:dyDescent="0.2">
      <c r="A3732" s="2" t="s">
        <v>3343</v>
      </c>
      <c r="B3732" s="2" t="s">
        <v>1032</v>
      </c>
      <c r="C3732" s="2">
        <v>1164.021</v>
      </c>
      <c r="D3732" s="2">
        <f>HYPERLINK("http://mcb-m6.bioreg.kyushu-u.ac.jp/M3/20110421/F51059/3416/1", 103.69)</f>
        <v>103.69</v>
      </c>
      <c r="E3732" s="2">
        <v>94.69</v>
      </c>
      <c r="F3732" s="2">
        <v>2</v>
      </c>
      <c r="G3732" s="2" t="s">
        <v>12</v>
      </c>
    </row>
    <row r="3733" spans="1:8" x14ac:dyDescent="0.2">
      <c r="A3733" s="2" t="s">
        <v>3343</v>
      </c>
      <c r="B3733" s="2" t="s">
        <v>1032</v>
      </c>
      <c r="C3733" s="2">
        <v>1164.018</v>
      </c>
      <c r="D3733" s="2">
        <f>HYPERLINK("http://mcb-m6.bioreg.kyushu-u.ac.jp/M3/20110421/F51061/2997/1", 105.66)</f>
        <v>105.66</v>
      </c>
      <c r="E3733" s="2">
        <v>91.95</v>
      </c>
      <c r="F3733" s="2">
        <v>2</v>
      </c>
      <c r="G3733" s="2" t="s">
        <v>12</v>
      </c>
    </row>
    <row r="3734" spans="1:8" x14ac:dyDescent="0.2">
      <c r="A3734" s="2" t="s">
        <v>3343</v>
      </c>
      <c r="B3734" s="2" t="s">
        <v>1032</v>
      </c>
      <c r="C3734" s="2">
        <v>1164.011</v>
      </c>
      <c r="D3734" s="2">
        <f>HYPERLINK("http://mcb-m6.bioreg.kyushu-u.ac.jp/M3/20110421/F51059/3415/1", 110.75)</f>
        <v>110.75</v>
      </c>
      <c r="E3734" s="2">
        <v>94.85</v>
      </c>
      <c r="F3734" s="2">
        <v>2</v>
      </c>
      <c r="G3734" s="2" t="s">
        <v>12</v>
      </c>
    </row>
    <row r="3735" spans="1:8" x14ac:dyDescent="0.2">
      <c r="A3735" s="2" t="s">
        <v>3343</v>
      </c>
      <c r="B3735" s="2" t="s">
        <v>1032</v>
      </c>
      <c r="C3735" s="2">
        <v>1163.9960000000001</v>
      </c>
      <c r="D3735" s="2">
        <f>HYPERLINK("http://mcb-m6.bioreg.kyushu-u.ac.jp/M3/20110421/F51059/3414/1", 111.21)</f>
        <v>111.21</v>
      </c>
      <c r="E3735" s="2">
        <v>99.64</v>
      </c>
      <c r="F3735" s="2">
        <v>2</v>
      </c>
      <c r="G3735" s="2" t="s">
        <v>12</v>
      </c>
    </row>
    <row r="3736" spans="1:8" x14ac:dyDescent="0.2">
      <c r="A3736" s="2" t="s">
        <v>3343</v>
      </c>
      <c r="B3736" s="2" t="s">
        <v>428</v>
      </c>
      <c r="C3736" s="2">
        <v>902.38900000000001</v>
      </c>
      <c r="D3736" s="2">
        <f>HYPERLINK("http://mcb-m6.bioreg.kyushu-u.ac.jp/M3/20110428/F51131/536/1", 35.42)</f>
        <v>35.42</v>
      </c>
      <c r="E3736" s="2">
        <v>16.399999999999999</v>
      </c>
      <c r="F3736" s="2">
        <v>1</v>
      </c>
      <c r="G3736" s="2" t="s">
        <v>13</v>
      </c>
    </row>
    <row r="3737" spans="1:8" x14ac:dyDescent="0.2">
      <c r="A3737" s="2" t="s">
        <v>3343</v>
      </c>
      <c r="B3737" s="2" t="s">
        <v>546</v>
      </c>
      <c r="C3737" s="2">
        <v>665.08720000000005</v>
      </c>
      <c r="D3737" s="2">
        <f>HYPERLINK("http://mcb-m6.bioreg.kyushu-u.ac.jp/M3/20110428/F51131/1394/2", 36.75)</f>
        <v>36.75</v>
      </c>
      <c r="E3737" s="2">
        <v>26.23</v>
      </c>
      <c r="F3737" s="2">
        <v>2</v>
      </c>
      <c r="G3737" s="2" t="s">
        <v>13</v>
      </c>
    </row>
    <row r="3738" spans="1:8" x14ac:dyDescent="0.2">
      <c r="A3738" s="2" t="s">
        <v>3343</v>
      </c>
      <c r="B3738" s="2" t="s">
        <v>132</v>
      </c>
      <c r="C3738" s="2">
        <v>1155.452</v>
      </c>
      <c r="D3738" s="2">
        <f>HYPERLINK("http://mcb-m6.bioreg.kyushu-u.ac.jp/M3/20110427/F51114/1262/1", 37.13)</f>
        <v>37.130000000000003</v>
      </c>
      <c r="E3738" s="2">
        <v>15.28</v>
      </c>
      <c r="F3738" s="2">
        <v>1</v>
      </c>
      <c r="G3738" s="2" t="s">
        <v>13</v>
      </c>
    </row>
    <row r="3739" spans="1:8" x14ac:dyDescent="0.2">
      <c r="A3739" s="2" t="s">
        <v>3343</v>
      </c>
      <c r="B3739" s="2" t="s">
        <v>509</v>
      </c>
      <c r="C3739" s="2">
        <v>717.78470000000004</v>
      </c>
      <c r="D3739" s="2">
        <f>HYPERLINK("http://mcb-m6.bioreg.kyushu-u.ac.jp/M3/20110428/F51131/1688/1", 40.13)</f>
        <v>40.130000000000003</v>
      </c>
      <c r="E3739" s="2">
        <v>24.37</v>
      </c>
      <c r="F3739" s="2">
        <v>2</v>
      </c>
      <c r="G3739" s="2" t="s">
        <v>13</v>
      </c>
    </row>
    <row r="3740" spans="1:8" x14ac:dyDescent="0.2">
      <c r="A3740" s="2" t="s">
        <v>3343</v>
      </c>
      <c r="B3740" s="2" t="s">
        <v>704</v>
      </c>
      <c r="C3740" s="2">
        <v>602.66560000000004</v>
      </c>
      <c r="D3740" s="2">
        <f>HYPERLINK("http://mcb-m6.bioreg.kyushu-u.ac.jp/M3/20110428/F51127/1218/1", 41.76)</f>
        <v>41.76</v>
      </c>
      <c r="E3740" s="2">
        <v>15</v>
      </c>
      <c r="F3740" s="2">
        <v>2</v>
      </c>
      <c r="G3740" s="2" t="s">
        <v>13</v>
      </c>
    </row>
    <row r="3741" spans="1:8" x14ac:dyDescent="0.2">
      <c r="A3741" s="2" t="s">
        <v>3343</v>
      </c>
      <c r="B3741" s="2" t="s">
        <v>704</v>
      </c>
      <c r="C3741" s="2">
        <v>1220.4000000000001</v>
      </c>
      <c r="D3741" s="2">
        <f>HYPERLINK("http://mcb-m6.bioreg.kyushu-u.ac.jp/M3/20110428/F51131/1214/1", 42.12)</f>
        <v>42.12</v>
      </c>
      <c r="E3741" s="2">
        <v>20.36</v>
      </c>
      <c r="F3741" s="2">
        <v>1</v>
      </c>
      <c r="G3741" s="2" t="s">
        <v>13</v>
      </c>
      <c r="H3741" s="2" t="s">
        <v>4908</v>
      </c>
    </row>
    <row r="3742" spans="1:8" x14ac:dyDescent="0.2">
      <c r="A3742" s="2" t="s">
        <v>3343</v>
      </c>
      <c r="B3742" s="2" t="s">
        <v>546</v>
      </c>
      <c r="C3742" s="2">
        <v>1328.4059999999999</v>
      </c>
      <c r="D3742" s="2">
        <f>HYPERLINK("http://mcb-m6.bioreg.kyushu-u.ac.jp/M3/20110428/F51131/1393/2", 43.45)</f>
        <v>43.45</v>
      </c>
      <c r="E3742" s="2">
        <v>34.79</v>
      </c>
      <c r="F3742" s="2">
        <v>1</v>
      </c>
      <c r="G3742" s="2" t="s">
        <v>13</v>
      </c>
    </row>
    <row r="3743" spans="1:8" x14ac:dyDescent="0.2">
      <c r="A3743" s="2" t="s">
        <v>3343</v>
      </c>
      <c r="B3743" s="2" t="s">
        <v>943</v>
      </c>
      <c r="C3743" s="2">
        <v>506.75459999999998</v>
      </c>
      <c r="D3743" s="2">
        <f>HYPERLINK("http://mcb-m6.bioreg.kyushu-u.ac.jp/M3/20110427/F51112/1071/1", 43.48)</f>
        <v>43.48</v>
      </c>
      <c r="E3743" s="2">
        <v>16.100000000000001</v>
      </c>
      <c r="F3743" s="2">
        <v>2</v>
      </c>
      <c r="G3743" s="2" t="s">
        <v>13</v>
      </c>
    </row>
    <row r="3744" spans="1:8" x14ac:dyDescent="0.2">
      <c r="A3744" s="2" t="s">
        <v>3343</v>
      </c>
      <c r="B3744" s="2" t="s">
        <v>509</v>
      </c>
      <c r="C3744" s="2">
        <v>708.69920000000002</v>
      </c>
      <c r="D3744" s="2">
        <f>HYPERLINK("http://mcb-m6.bioreg.kyushu-u.ac.jp/M3/20110428/F51131/1628/1", 44.64)</f>
        <v>44.64</v>
      </c>
      <c r="E3744" s="2">
        <v>28.17</v>
      </c>
      <c r="F3744" s="2">
        <v>2</v>
      </c>
      <c r="G3744" s="2" t="s">
        <v>13</v>
      </c>
      <c r="H3744" s="2" t="s">
        <v>4904</v>
      </c>
    </row>
    <row r="3745" spans="1:8" x14ac:dyDescent="0.2">
      <c r="A3745" s="2" t="s">
        <v>3343</v>
      </c>
      <c r="B3745" s="2" t="s">
        <v>325</v>
      </c>
      <c r="C3745" s="2">
        <v>747.11659999999995</v>
      </c>
      <c r="D3745" s="2">
        <f>HYPERLINK("http://mcb-m6.bioreg.kyushu-u.ac.jp/M3/20110428/F51132/2047/1", 44.81)</f>
        <v>44.81</v>
      </c>
      <c r="E3745" s="2">
        <v>38.01</v>
      </c>
      <c r="F3745" s="2">
        <v>2</v>
      </c>
      <c r="G3745" s="2" t="s">
        <v>13</v>
      </c>
      <c r="H3745" s="2" t="s">
        <v>4925</v>
      </c>
    </row>
    <row r="3746" spans="1:8" x14ac:dyDescent="0.2">
      <c r="A3746" s="2" t="s">
        <v>3343</v>
      </c>
      <c r="B3746" s="2" t="s">
        <v>546</v>
      </c>
      <c r="C3746" s="2">
        <v>665.28120000000001</v>
      </c>
      <c r="D3746" s="2">
        <f>HYPERLINK("http://mcb-m6.bioreg.kyushu-u.ac.jp/M3/20110428/F51131/1396/2", 45.59)</f>
        <v>45.59</v>
      </c>
      <c r="E3746" s="2">
        <v>28.61</v>
      </c>
      <c r="F3746" s="2">
        <v>2</v>
      </c>
      <c r="G3746" s="2" t="s">
        <v>13</v>
      </c>
    </row>
    <row r="3747" spans="1:8" x14ac:dyDescent="0.2">
      <c r="A3747" s="2" t="s">
        <v>3343</v>
      </c>
      <c r="B3747" s="2" t="s">
        <v>1032</v>
      </c>
      <c r="C3747" s="2">
        <v>1163.8589999999999</v>
      </c>
      <c r="D3747" s="2">
        <f>HYPERLINK("http://mcb-m6.bioreg.kyushu-u.ac.jp/M3/20110428/F51127/3652/1", 46.49)</f>
        <v>46.49</v>
      </c>
      <c r="E3747" s="2">
        <v>34.11</v>
      </c>
      <c r="F3747" s="2">
        <v>2</v>
      </c>
      <c r="G3747" s="2" t="s">
        <v>13</v>
      </c>
    </row>
    <row r="3748" spans="1:8" x14ac:dyDescent="0.2">
      <c r="A3748" s="2" t="s">
        <v>3343</v>
      </c>
      <c r="B3748" s="2" t="s">
        <v>704</v>
      </c>
      <c r="C3748" s="2">
        <v>602.62070000000006</v>
      </c>
      <c r="D3748" s="2">
        <f>HYPERLINK("http://mcb-m6.bioreg.kyushu-u.ac.jp/M3/20110427/F51114/1384/1", 46.55)</f>
        <v>46.55</v>
      </c>
      <c r="E3748" s="2">
        <v>17.93</v>
      </c>
      <c r="F3748" s="2">
        <v>2</v>
      </c>
      <c r="G3748" s="2" t="s">
        <v>13</v>
      </c>
    </row>
    <row r="3749" spans="1:8" x14ac:dyDescent="0.2">
      <c r="A3749" s="2" t="s">
        <v>3343</v>
      </c>
      <c r="B3749" s="2" t="s">
        <v>132</v>
      </c>
      <c r="C3749" s="2">
        <v>1155.4290000000001</v>
      </c>
      <c r="D3749" s="2">
        <f>HYPERLINK("http://mcb-m6.bioreg.kyushu-u.ac.jp/M3/20110428/F51131/1055/1", 47)</f>
        <v>47</v>
      </c>
      <c r="E3749" s="2">
        <v>27.15</v>
      </c>
      <c r="F3749" s="2">
        <v>1</v>
      </c>
      <c r="G3749" s="2" t="s">
        <v>13</v>
      </c>
    </row>
    <row r="3750" spans="1:8" x14ac:dyDescent="0.2">
      <c r="A3750" s="2" t="s">
        <v>3343</v>
      </c>
      <c r="B3750" s="2" t="s">
        <v>328</v>
      </c>
      <c r="C3750" s="2">
        <v>1146.194</v>
      </c>
      <c r="D3750" s="2">
        <f>HYPERLINK("http://mcb-m6.bioreg.kyushu-u.ac.jp/M3/20110428/F51131/1037/1", 47.9)</f>
        <v>47.9</v>
      </c>
      <c r="E3750" s="2">
        <v>4.7</v>
      </c>
      <c r="F3750" s="2">
        <v>1</v>
      </c>
      <c r="G3750" s="2" t="s">
        <v>13</v>
      </c>
    </row>
    <row r="3751" spans="1:8" x14ac:dyDescent="0.2">
      <c r="A3751" s="2" t="s">
        <v>3343</v>
      </c>
      <c r="B3751" s="2" t="s">
        <v>1189</v>
      </c>
      <c r="C3751" s="2">
        <v>713.7165</v>
      </c>
      <c r="D3751" s="2">
        <f>HYPERLINK("http://mcb-m6.bioreg.kyushu-u.ac.jp/M3/20110428/F51131/3130/1", 48.12)</f>
        <v>48.12</v>
      </c>
      <c r="E3751" s="2">
        <v>34.46</v>
      </c>
      <c r="F3751" s="2">
        <v>3</v>
      </c>
      <c r="G3751" s="2" t="s">
        <v>13</v>
      </c>
    </row>
    <row r="3752" spans="1:8" x14ac:dyDescent="0.2">
      <c r="A3752" s="2" t="s">
        <v>3343</v>
      </c>
      <c r="B3752" s="2" t="s">
        <v>704</v>
      </c>
      <c r="C3752" s="2">
        <v>611.09619999999995</v>
      </c>
      <c r="D3752" s="2">
        <f>HYPERLINK("http://mcb-m6.bioreg.kyushu-u.ac.jp/M3/20110428/F51131/1218/1", 49.43)</f>
        <v>49.43</v>
      </c>
      <c r="E3752" s="2">
        <v>11.19</v>
      </c>
      <c r="F3752" s="2">
        <v>2</v>
      </c>
      <c r="G3752" s="2" t="s">
        <v>13</v>
      </c>
      <c r="H3752" s="2" t="s">
        <v>4908</v>
      </c>
    </row>
    <row r="3753" spans="1:8" x14ac:dyDescent="0.2">
      <c r="A3753" s="2" t="s">
        <v>3343</v>
      </c>
      <c r="B3753" s="2" t="s">
        <v>1496</v>
      </c>
      <c r="C3753" s="2">
        <v>966.81820000000005</v>
      </c>
      <c r="D3753" s="2">
        <f>HYPERLINK("http://mcb-m6.bioreg.kyushu-u.ac.jp/M3/20110428/F51131/2846/1", 49.53)</f>
        <v>49.53</v>
      </c>
      <c r="E3753" s="2">
        <v>39.14</v>
      </c>
      <c r="F3753" s="2">
        <v>2</v>
      </c>
      <c r="G3753" s="2" t="s">
        <v>13</v>
      </c>
    </row>
    <row r="3754" spans="1:8" x14ac:dyDescent="0.2">
      <c r="A3754" s="2" t="s">
        <v>3343</v>
      </c>
      <c r="B3754" s="2" t="s">
        <v>325</v>
      </c>
      <c r="C3754" s="2">
        <v>492.95089999999999</v>
      </c>
      <c r="D3754" s="2">
        <f>HYPERLINK("http://mcb-m6.bioreg.kyushu-u.ac.jp/M3/20110428/F51131/1782/1", 49.58)</f>
        <v>49.58</v>
      </c>
      <c r="E3754" s="2">
        <v>29.67</v>
      </c>
      <c r="F3754" s="2">
        <v>3</v>
      </c>
      <c r="G3754" s="2" t="s">
        <v>13</v>
      </c>
    </row>
    <row r="3755" spans="1:8" x14ac:dyDescent="0.2">
      <c r="A3755" s="2" t="s">
        <v>3343</v>
      </c>
      <c r="B3755" s="2" t="s">
        <v>704</v>
      </c>
      <c r="C3755" s="2">
        <v>602.86159999999995</v>
      </c>
      <c r="D3755" s="2">
        <f>HYPERLINK("http://mcb-m6.bioreg.kyushu-u.ac.jp/M3/20110428/F51131/1179/1", 50.15)</f>
        <v>50.15</v>
      </c>
      <c r="E3755" s="2">
        <v>16.88</v>
      </c>
      <c r="F3755" s="2">
        <v>2</v>
      </c>
      <c r="G3755" s="2" t="s">
        <v>13</v>
      </c>
    </row>
    <row r="3756" spans="1:8" x14ac:dyDescent="0.2">
      <c r="A3756" s="2" t="s">
        <v>3343</v>
      </c>
      <c r="B3756" s="2" t="s">
        <v>428</v>
      </c>
      <c r="C3756" s="2">
        <v>451.71260000000001</v>
      </c>
      <c r="D3756" s="2">
        <f>HYPERLINK("http://mcb-m6.bioreg.kyushu-u.ac.jp/M3/20110428/F51131/538/1", 51.33)</f>
        <v>51.33</v>
      </c>
      <c r="E3756" s="2">
        <v>28.33</v>
      </c>
      <c r="F3756" s="2">
        <v>2</v>
      </c>
      <c r="G3756" s="2" t="s">
        <v>13</v>
      </c>
    </row>
    <row r="3757" spans="1:8" x14ac:dyDescent="0.2">
      <c r="A3757" s="2" t="s">
        <v>3343</v>
      </c>
      <c r="B3757" s="2" t="s">
        <v>132</v>
      </c>
      <c r="C3757" s="2">
        <v>578.74109999999996</v>
      </c>
      <c r="D3757" s="2">
        <f>HYPERLINK("http://mcb-m6.bioreg.kyushu-u.ac.jp/M3/20110428/F51133/1160/1", 51.42)</f>
        <v>51.42</v>
      </c>
      <c r="E3757" s="2">
        <v>30.85</v>
      </c>
      <c r="F3757" s="2">
        <v>2</v>
      </c>
      <c r="G3757" s="2" t="s">
        <v>13</v>
      </c>
    </row>
    <row r="3758" spans="1:8" x14ac:dyDescent="0.2">
      <c r="A3758" s="2" t="s">
        <v>3343</v>
      </c>
      <c r="B3758" s="2" t="s">
        <v>704</v>
      </c>
      <c r="C3758" s="2">
        <v>611.22810000000004</v>
      </c>
      <c r="D3758" s="2">
        <f>HYPERLINK("http://mcb-m6.bioreg.kyushu-u.ac.jp/M3/20110427/F51111/1605/1", 51.57)</f>
        <v>51.57</v>
      </c>
      <c r="E3758" s="2">
        <v>22.96</v>
      </c>
      <c r="F3758" s="2">
        <v>2</v>
      </c>
      <c r="G3758" s="2" t="s">
        <v>13</v>
      </c>
      <c r="H3758" s="2" t="s">
        <v>4908</v>
      </c>
    </row>
    <row r="3759" spans="1:8" x14ac:dyDescent="0.2">
      <c r="A3759" s="2" t="s">
        <v>3343</v>
      </c>
      <c r="B3759" s="2" t="s">
        <v>509</v>
      </c>
      <c r="C3759" s="2">
        <v>717.2731</v>
      </c>
      <c r="D3759" s="2">
        <f>HYPERLINK("http://mcb-m6.bioreg.kyushu-u.ac.jp/M3/20110427/F51113/1900/1", 51.87)</f>
        <v>51.87</v>
      </c>
      <c r="E3759" s="2">
        <v>27.31</v>
      </c>
      <c r="F3759" s="2">
        <v>2</v>
      </c>
      <c r="G3759" s="2" t="s">
        <v>13</v>
      </c>
    </row>
    <row r="3760" spans="1:8" x14ac:dyDescent="0.2">
      <c r="A3760" s="2" t="s">
        <v>3343</v>
      </c>
      <c r="B3760" s="2" t="s">
        <v>1189</v>
      </c>
      <c r="C3760" s="2">
        <v>1069.875</v>
      </c>
      <c r="D3760" s="2">
        <f>HYPERLINK("http://mcb-m6.bioreg.kyushu-u.ac.jp/M3/20110428/F51131/3128/1", 52.44)</f>
        <v>52.44</v>
      </c>
      <c r="E3760" s="2">
        <v>42.5</v>
      </c>
      <c r="F3760" s="2">
        <v>2</v>
      </c>
      <c r="G3760" s="2" t="s">
        <v>13</v>
      </c>
    </row>
    <row r="3761" spans="1:8" x14ac:dyDescent="0.2">
      <c r="A3761" s="2" t="s">
        <v>3343</v>
      </c>
      <c r="B3761" s="2" t="s">
        <v>328</v>
      </c>
      <c r="C3761" s="2">
        <v>573.60969999999998</v>
      </c>
      <c r="D3761" s="2">
        <f>HYPERLINK("http://mcb-m6.bioreg.kyushu-u.ac.jp/M3/20110428/F51131/1038/1", 52.62)</f>
        <v>52.62</v>
      </c>
      <c r="E3761" s="2">
        <v>11.48</v>
      </c>
      <c r="F3761" s="2">
        <v>2</v>
      </c>
      <c r="G3761" s="2" t="s">
        <v>13</v>
      </c>
    </row>
    <row r="3762" spans="1:8" x14ac:dyDescent="0.2">
      <c r="A3762" s="2" t="s">
        <v>3343</v>
      </c>
      <c r="B3762" s="2" t="s">
        <v>325</v>
      </c>
      <c r="C3762" s="2">
        <v>739.62159999999994</v>
      </c>
      <c r="D3762" s="2">
        <f>HYPERLINK("http://mcb-m6.bioreg.kyushu-u.ac.jp/M3/20110428/F51127/1872/1", 53.34)</f>
        <v>53.34</v>
      </c>
      <c r="E3762" s="2">
        <v>42.39</v>
      </c>
      <c r="F3762" s="2">
        <v>2</v>
      </c>
      <c r="G3762" s="2" t="s">
        <v>13</v>
      </c>
    </row>
    <row r="3763" spans="1:8" x14ac:dyDescent="0.2">
      <c r="A3763" s="2" t="s">
        <v>3343</v>
      </c>
      <c r="B3763" s="2" t="s">
        <v>546</v>
      </c>
      <c r="C3763" s="2">
        <v>664.59370000000001</v>
      </c>
      <c r="D3763" s="2">
        <f>HYPERLINK("http://mcb-m6.bioreg.kyushu-u.ac.jp/M3/20110428/F51127/1448/2", 53.36)</f>
        <v>53.36</v>
      </c>
      <c r="E3763" s="2">
        <v>37.880000000000003</v>
      </c>
      <c r="F3763" s="2">
        <v>2</v>
      </c>
      <c r="G3763" s="2" t="s">
        <v>13</v>
      </c>
    </row>
    <row r="3764" spans="1:8" x14ac:dyDescent="0.2">
      <c r="A3764" s="2" t="s">
        <v>3343</v>
      </c>
      <c r="B3764" s="2" t="s">
        <v>325</v>
      </c>
      <c r="C3764" s="2">
        <v>747.23519999999996</v>
      </c>
      <c r="D3764" s="2">
        <f>HYPERLINK("http://mcb-m6.bioreg.kyushu-u.ac.jp/M3/20110427/F51114/2090/1", 53.37)</f>
        <v>53.37</v>
      </c>
      <c r="E3764" s="2">
        <v>39.130000000000003</v>
      </c>
      <c r="F3764" s="2">
        <v>2</v>
      </c>
      <c r="G3764" s="2" t="s">
        <v>13</v>
      </c>
      <c r="H3764" s="2" t="s">
        <v>4925</v>
      </c>
    </row>
    <row r="3765" spans="1:8" x14ac:dyDescent="0.2">
      <c r="A3765" s="2" t="s">
        <v>3343</v>
      </c>
      <c r="B3765" s="2" t="s">
        <v>1002</v>
      </c>
      <c r="C3765" s="2">
        <v>1147.8820000000001</v>
      </c>
      <c r="D3765" s="2">
        <f>HYPERLINK("http://mcb-m6.bioreg.kyushu-u.ac.jp/M3/20110427/F51111/3351/1", 54.45)</f>
        <v>54.45</v>
      </c>
      <c r="E3765" s="2">
        <v>45.78</v>
      </c>
      <c r="F3765" s="2">
        <v>2</v>
      </c>
      <c r="G3765" s="2" t="s">
        <v>13</v>
      </c>
    </row>
    <row r="3766" spans="1:8" x14ac:dyDescent="0.2">
      <c r="A3766" s="2" t="s">
        <v>3343</v>
      </c>
      <c r="B3766" s="2" t="s">
        <v>1032</v>
      </c>
      <c r="C3766" s="2">
        <v>1163.3630000000001</v>
      </c>
      <c r="D3766" s="2">
        <f>HYPERLINK("http://mcb-m6.bioreg.kyushu-u.ac.jp/M3/20110428/F51131/3388/1", 54.88)</f>
        <v>54.88</v>
      </c>
      <c r="E3766" s="2">
        <v>50.63</v>
      </c>
      <c r="F3766" s="2">
        <v>2</v>
      </c>
      <c r="G3766" s="2" t="s">
        <v>13</v>
      </c>
    </row>
    <row r="3767" spans="1:8" x14ac:dyDescent="0.2">
      <c r="A3767" s="2" t="s">
        <v>3343</v>
      </c>
      <c r="B3767" s="2" t="s">
        <v>428</v>
      </c>
      <c r="C3767" s="2">
        <v>451.37810000000002</v>
      </c>
      <c r="D3767" s="2">
        <f>HYPERLINK("http://mcb-m6.bioreg.kyushu-u.ac.jp/M3/20110428/F51131/535/1", 55.42)</f>
        <v>55.42</v>
      </c>
      <c r="E3767" s="2">
        <v>27.98</v>
      </c>
      <c r="F3767" s="2">
        <v>2</v>
      </c>
      <c r="G3767" s="2" t="s">
        <v>13</v>
      </c>
    </row>
    <row r="3768" spans="1:8" x14ac:dyDescent="0.2">
      <c r="A3768" s="2" t="s">
        <v>3343</v>
      </c>
      <c r="B3768" s="2" t="s">
        <v>1496</v>
      </c>
      <c r="C3768" s="2">
        <v>645.23249999999996</v>
      </c>
      <c r="D3768" s="2">
        <f>HYPERLINK("http://mcb-m6.bioreg.kyushu-u.ac.jp/M3/20110428/F51131/2850/1", 56.01)</f>
        <v>56.01</v>
      </c>
      <c r="E3768" s="2">
        <v>41.4</v>
      </c>
      <c r="F3768" s="2">
        <v>3</v>
      </c>
      <c r="G3768" s="2" t="s">
        <v>13</v>
      </c>
    </row>
    <row r="3769" spans="1:8" x14ac:dyDescent="0.2">
      <c r="A3769" s="2" t="s">
        <v>3343</v>
      </c>
      <c r="B3769" s="2" t="s">
        <v>132</v>
      </c>
      <c r="C3769" s="2">
        <v>578.66610000000003</v>
      </c>
      <c r="D3769" s="2">
        <f>HYPERLINK("http://mcb-m6.bioreg.kyushu-u.ac.jp/M3/20110427/F51115/1336/1", 57.02)</f>
        <v>57.02</v>
      </c>
      <c r="E3769" s="2">
        <v>18.350000000000001</v>
      </c>
      <c r="F3769" s="2">
        <v>2</v>
      </c>
      <c r="G3769" s="2" t="s">
        <v>13</v>
      </c>
    </row>
    <row r="3770" spans="1:8" x14ac:dyDescent="0.2">
      <c r="A3770" s="2" t="s">
        <v>3343</v>
      </c>
      <c r="B3770" s="2" t="s">
        <v>132</v>
      </c>
      <c r="C3770" s="2">
        <v>578.61360000000002</v>
      </c>
      <c r="D3770" s="2">
        <f>HYPERLINK("http://mcb-m6.bioreg.kyushu-u.ac.jp/M3/20110427/F51108/1489/1", 57.86)</f>
        <v>57.86</v>
      </c>
      <c r="E3770" s="2">
        <v>25.87</v>
      </c>
      <c r="F3770" s="2">
        <v>2</v>
      </c>
      <c r="G3770" s="2" t="s">
        <v>13</v>
      </c>
    </row>
    <row r="3771" spans="1:8" x14ac:dyDescent="0.2">
      <c r="A3771" s="2" t="s">
        <v>3343</v>
      </c>
      <c r="B3771" s="2" t="s">
        <v>704</v>
      </c>
      <c r="C3771" s="2">
        <v>611.21370000000002</v>
      </c>
      <c r="D3771" s="2">
        <f>HYPERLINK("http://mcb-m6.bioreg.kyushu-u.ac.jp/M3/20110427/F51113/1454/1", 58.35)</f>
        <v>58.35</v>
      </c>
      <c r="E3771" s="2">
        <v>29.64</v>
      </c>
      <c r="F3771" s="2">
        <v>2</v>
      </c>
      <c r="G3771" s="2" t="s">
        <v>13</v>
      </c>
      <c r="H3771" s="2" t="s">
        <v>4908</v>
      </c>
    </row>
    <row r="3772" spans="1:8" x14ac:dyDescent="0.2">
      <c r="A3772" s="2" t="s">
        <v>3343</v>
      </c>
      <c r="B3772" s="2" t="s">
        <v>132</v>
      </c>
      <c r="C3772" s="2">
        <v>578.16610000000003</v>
      </c>
      <c r="D3772" s="2">
        <f>HYPERLINK("http://mcb-m6.bioreg.kyushu-u.ac.jp/M3/20110427/F51116/1346/1", 59.04)</f>
        <v>59.04</v>
      </c>
      <c r="E3772" s="2">
        <v>33.549999999999997</v>
      </c>
      <c r="F3772" s="2">
        <v>2</v>
      </c>
      <c r="G3772" s="2" t="s">
        <v>13</v>
      </c>
    </row>
    <row r="3773" spans="1:8" x14ac:dyDescent="0.2">
      <c r="A3773" s="2" t="s">
        <v>3343</v>
      </c>
      <c r="B3773" s="2" t="s">
        <v>546</v>
      </c>
      <c r="C3773" s="2">
        <v>665.13620000000003</v>
      </c>
      <c r="D3773" s="2">
        <f>HYPERLINK("http://mcb-m6.bioreg.kyushu-u.ac.jp/M3/20110427/F51112/1711/2", 59.82)</f>
        <v>59.82</v>
      </c>
      <c r="E3773" s="2">
        <v>42.48</v>
      </c>
      <c r="F3773" s="2">
        <v>2</v>
      </c>
      <c r="G3773" s="2" t="s">
        <v>13</v>
      </c>
    </row>
    <row r="3774" spans="1:8" x14ac:dyDescent="0.2">
      <c r="A3774" s="2" t="s">
        <v>3343</v>
      </c>
      <c r="B3774" s="2" t="s">
        <v>558</v>
      </c>
      <c r="C3774" s="2">
        <v>729.25670000000002</v>
      </c>
      <c r="D3774" s="2">
        <f>HYPERLINK("http://mcb-m6.bioreg.kyushu-u.ac.jp/M3/20110428/F51132/1926/1", 60.18)</f>
        <v>60.18</v>
      </c>
      <c r="E3774" s="2">
        <v>42.34</v>
      </c>
      <c r="F3774" s="2">
        <v>2</v>
      </c>
      <c r="G3774" s="2" t="s">
        <v>13</v>
      </c>
    </row>
    <row r="3775" spans="1:8" x14ac:dyDescent="0.2">
      <c r="A3775" s="2" t="s">
        <v>3343</v>
      </c>
      <c r="B3775" s="2" t="s">
        <v>943</v>
      </c>
      <c r="C3775" s="2">
        <v>506.8571</v>
      </c>
      <c r="D3775" s="2">
        <f>HYPERLINK("http://mcb-m6.bioreg.kyushu-u.ac.jp/M3/20110427/F51109/1436/1", 60.82)</f>
        <v>60.82</v>
      </c>
      <c r="E3775" s="2">
        <v>37.75</v>
      </c>
      <c r="F3775" s="2">
        <v>2</v>
      </c>
      <c r="G3775" s="2" t="s">
        <v>13</v>
      </c>
    </row>
    <row r="3776" spans="1:8" x14ac:dyDescent="0.2">
      <c r="A3776" s="2" t="s">
        <v>3343</v>
      </c>
      <c r="B3776" s="2" t="s">
        <v>210</v>
      </c>
      <c r="C3776" s="2">
        <v>554.58810000000005</v>
      </c>
      <c r="D3776" s="2">
        <f>HYPERLINK("http://mcb-m6.bioreg.kyushu-u.ac.jp/M3/20110428/F51131/972/1", 60.89)</f>
        <v>60.89</v>
      </c>
      <c r="E3776" s="2">
        <v>22.75</v>
      </c>
      <c r="F3776" s="2">
        <v>2</v>
      </c>
      <c r="G3776" s="2" t="s">
        <v>13</v>
      </c>
      <c r="H3776" s="2" t="s">
        <v>4910</v>
      </c>
    </row>
    <row r="3777" spans="1:8" x14ac:dyDescent="0.2">
      <c r="A3777" s="2" t="s">
        <v>3343</v>
      </c>
      <c r="B3777" s="2" t="s">
        <v>704</v>
      </c>
      <c r="C3777" s="2">
        <v>610.70759999999996</v>
      </c>
      <c r="D3777" s="2">
        <f>HYPERLINK("http://mcb-m6.bioreg.kyushu-u.ac.jp/M3/20110427/F51113/1450/1", 63.22)</f>
        <v>63.22</v>
      </c>
      <c r="E3777" s="2">
        <v>27.15</v>
      </c>
      <c r="F3777" s="2">
        <v>2</v>
      </c>
      <c r="G3777" s="2" t="s">
        <v>13</v>
      </c>
      <c r="H3777" s="2" t="s">
        <v>4908</v>
      </c>
    </row>
    <row r="3778" spans="1:8" x14ac:dyDescent="0.2">
      <c r="A3778" s="2" t="s">
        <v>3343</v>
      </c>
      <c r="B3778" s="2" t="s">
        <v>132</v>
      </c>
      <c r="C3778" s="2">
        <v>578.15920000000006</v>
      </c>
      <c r="D3778" s="2">
        <f>HYPERLINK("http://mcb-m6.bioreg.kyushu-u.ac.jp/M3/20110428/F51131/1054/1", 63.34)</f>
        <v>63.34</v>
      </c>
      <c r="E3778" s="2">
        <v>34.33</v>
      </c>
      <c r="F3778" s="2">
        <v>2</v>
      </c>
      <c r="G3778" s="2" t="s">
        <v>13</v>
      </c>
    </row>
    <row r="3779" spans="1:8" x14ac:dyDescent="0.2">
      <c r="A3779" s="2" t="s">
        <v>3343</v>
      </c>
      <c r="B3779" s="2" t="s">
        <v>344</v>
      </c>
      <c r="C3779" s="2">
        <v>919.39419999999996</v>
      </c>
      <c r="D3779" s="2">
        <f>HYPERLINK("http://mcb-m6.bioreg.kyushu-u.ac.jp/M3/20110427/F51109/2575/1", 63.72)</f>
        <v>63.72</v>
      </c>
      <c r="E3779" s="2">
        <v>43.49</v>
      </c>
      <c r="F3779" s="2">
        <v>2</v>
      </c>
      <c r="G3779" s="2" t="s">
        <v>13</v>
      </c>
    </row>
    <row r="3780" spans="1:8" x14ac:dyDescent="0.2">
      <c r="A3780" s="2" t="s">
        <v>3343</v>
      </c>
      <c r="B3780" s="2" t="s">
        <v>509</v>
      </c>
      <c r="C3780" s="2">
        <v>717.22770000000003</v>
      </c>
      <c r="D3780" s="2">
        <f>HYPERLINK("http://mcb-m6.bioreg.kyushu-u.ac.jp/M3/20110428/F51132/1867/1", 63.92)</f>
        <v>63.92</v>
      </c>
      <c r="E3780" s="2">
        <v>45.02</v>
      </c>
      <c r="F3780" s="2">
        <v>2</v>
      </c>
      <c r="G3780" s="2" t="s">
        <v>13</v>
      </c>
    </row>
    <row r="3781" spans="1:8" x14ac:dyDescent="0.2">
      <c r="A3781" s="2" t="s">
        <v>3343</v>
      </c>
      <c r="B3781" s="2" t="s">
        <v>558</v>
      </c>
      <c r="C3781" s="2">
        <v>729.78520000000003</v>
      </c>
      <c r="D3781" s="2">
        <f>HYPERLINK("http://mcb-m6.bioreg.kyushu-u.ac.jp/M3/20110427/F51113/1938/1", 64.33)</f>
        <v>64.33</v>
      </c>
      <c r="E3781" s="2">
        <v>47.06</v>
      </c>
      <c r="F3781" s="2">
        <v>2</v>
      </c>
      <c r="G3781" s="2" t="s">
        <v>13</v>
      </c>
    </row>
    <row r="3782" spans="1:8" x14ac:dyDescent="0.2">
      <c r="A3782" s="2" t="s">
        <v>3343</v>
      </c>
      <c r="B3782" s="2" t="s">
        <v>132</v>
      </c>
      <c r="C3782" s="2">
        <v>578.19759999999997</v>
      </c>
      <c r="D3782" s="2">
        <f>HYPERLINK("http://mcb-m6.bioreg.kyushu-u.ac.jp/M3/20110427/F51111/1455/1", 67.04)</f>
        <v>67.040000000000006</v>
      </c>
      <c r="E3782" s="2">
        <v>37.630000000000003</v>
      </c>
      <c r="F3782" s="2">
        <v>2</v>
      </c>
      <c r="G3782" s="2" t="s">
        <v>13</v>
      </c>
    </row>
    <row r="3783" spans="1:8" x14ac:dyDescent="0.2">
      <c r="A3783" s="2" t="s">
        <v>3343</v>
      </c>
      <c r="B3783" s="2" t="s">
        <v>558</v>
      </c>
      <c r="C3783" s="2">
        <v>729.70420000000001</v>
      </c>
      <c r="D3783" s="2">
        <f>HYPERLINK("http://mcb-m6.bioreg.kyushu-u.ac.jp/M3/20110427/F51114/1990/1", 67.18)</f>
        <v>67.180000000000007</v>
      </c>
      <c r="E3783" s="2">
        <v>49.34</v>
      </c>
      <c r="F3783" s="2">
        <v>2</v>
      </c>
      <c r="G3783" s="2" t="s">
        <v>13</v>
      </c>
    </row>
    <row r="3784" spans="1:8" x14ac:dyDescent="0.2">
      <c r="A3784" s="2" t="s">
        <v>3343</v>
      </c>
      <c r="B3784" s="2" t="s">
        <v>1189</v>
      </c>
      <c r="C3784" s="2">
        <v>1069.8119999999999</v>
      </c>
      <c r="D3784" s="2">
        <f>HYPERLINK("http://mcb-m6.bioreg.kyushu-u.ac.jp/M3/20110427/F51112/3198/1", 67.47)</f>
        <v>67.47</v>
      </c>
      <c r="E3784" s="2">
        <v>50.6</v>
      </c>
      <c r="F3784" s="2">
        <v>2</v>
      </c>
      <c r="G3784" s="2" t="s">
        <v>13</v>
      </c>
    </row>
    <row r="3785" spans="1:8" x14ac:dyDescent="0.2">
      <c r="A3785" s="2" t="s">
        <v>3343</v>
      </c>
      <c r="B3785" s="2" t="s">
        <v>704</v>
      </c>
      <c r="C3785" s="2">
        <v>602.72220000000004</v>
      </c>
      <c r="D3785" s="2">
        <f>HYPERLINK("http://mcb-m6.bioreg.kyushu-u.ac.jp/M3/20110427/F51113/1416/1", 67.51)</f>
        <v>67.510000000000005</v>
      </c>
      <c r="E3785" s="2">
        <v>14.67</v>
      </c>
      <c r="F3785" s="2">
        <v>2</v>
      </c>
      <c r="G3785" s="2" t="s">
        <v>13</v>
      </c>
    </row>
    <row r="3786" spans="1:8" x14ac:dyDescent="0.2">
      <c r="A3786" s="2" t="s">
        <v>3343</v>
      </c>
      <c r="B3786" s="2" t="s">
        <v>132</v>
      </c>
      <c r="C3786" s="2">
        <v>578.04909999999995</v>
      </c>
      <c r="D3786" s="2">
        <f>HYPERLINK("http://mcb-m6.bioreg.kyushu-u.ac.jp/M3/20110428/F51131/1051/1", 67.96)</f>
        <v>67.959999999999994</v>
      </c>
      <c r="E3786" s="2">
        <v>34.659999999999997</v>
      </c>
      <c r="F3786" s="2">
        <v>2</v>
      </c>
      <c r="G3786" s="2" t="s">
        <v>13</v>
      </c>
    </row>
    <row r="3787" spans="1:8" x14ac:dyDescent="0.2">
      <c r="A3787" s="2" t="s">
        <v>3343</v>
      </c>
      <c r="B3787" s="2" t="s">
        <v>546</v>
      </c>
      <c r="C3787" s="2">
        <v>664.91610000000003</v>
      </c>
      <c r="D3787" s="2">
        <f>HYPERLINK("http://mcb-m6.bioreg.kyushu-u.ac.jp/M3/20110427/F51111/1753/2", 68.16)</f>
        <v>68.16</v>
      </c>
      <c r="E3787" s="2">
        <v>54.93</v>
      </c>
      <c r="F3787" s="2">
        <v>2</v>
      </c>
      <c r="G3787" s="2" t="s">
        <v>13</v>
      </c>
    </row>
    <row r="3788" spans="1:8" x14ac:dyDescent="0.2">
      <c r="A3788" s="2" t="s">
        <v>3343</v>
      </c>
      <c r="B3788" s="2" t="s">
        <v>325</v>
      </c>
      <c r="C3788" s="2">
        <v>739.13959999999997</v>
      </c>
      <c r="D3788" s="2">
        <f>HYPERLINK("http://mcb-m6.bioreg.kyushu-u.ac.jp/M3/20110427/F51114/2044/1", 68.46)</f>
        <v>68.459999999999994</v>
      </c>
      <c r="E3788" s="2">
        <v>55.32</v>
      </c>
      <c r="F3788" s="2">
        <v>2</v>
      </c>
      <c r="G3788" s="2" t="s">
        <v>13</v>
      </c>
    </row>
    <row r="3789" spans="1:8" x14ac:dyDescent="0.2">
      <c r="A3789" s="2" t="s">
        <v>3343</v>
      </c>
      <c r="B3789" s="2" t="s">
        <v>509</v>
      </c>
      <c r="C3789" s="2">
        <v>1416.3979999999999</v>
      </c>
      <c r="D3789" s="2">
        <f>HYPERLINK("http://mcb-m6.bioreg.kyushu-u.ac.jp/M3/20110428/F51131/1629/1", 68.66)</f>
        <v>68.66</v>
      </c>
      <c r="E3789" s="2">
        <v>52.08</v>
      </c>
      <c r="F3789" s="2">
        <v>1</v>
      </c>
      <c r="G3789" s="2" t="s">
        <v>13</v>
      </c>
      <c r="H3789" s="2" t="s">
        <v>4904</v>
      </c>
    </row>
    <row r="3790" spans="1:8" x14ac:dyDescent="0.2">
      <c r="A3790" s="2" t="s">
        <v>3343</v>
      </c>
      <c r="B3790" s="2" t="s">
        <v>509</v>
      </c>
      <c r="C3790" s="2">
        <v>725.20259999999996</v>
      </c>
      <c r="D3790" s="2">
        <f>HYPERLINK("http://mcb-m6.bioreg.kyushu-u.ac.jp/M3/20110428/F51131/1725/1", 70.34)</f>
        <v>70.34</v>
      </c>
      <c r="E3790" s="2">
        <v>51.11</v>
      </c>
      <c r="F3790" s="2">
        <v>2</v>
      </c>
      <c r="G3790" s="2" t="s">
        <v>13</v>
      </c>
      <c r="H3790" s="2" t="s">
        <v>4927</v>
      </c>
    </row>
    <row r="3791" spans="1:8" x14ac:dyDescent="0.2">
      <c r="A3791" s="2" t="s">
        <v>3343</v>
      </c>
      <c r="B3791" s="2" t="s">
        <v>1002</v>
      </c>
      <c r="C3791" s="2">
        <v>1147.797</v>
      </c>
      <c r="D3791" s="2">
        <f>HYPERLINK("http://mcb-m6.bioreg.kyushu-u.ac.jp/M3/20110428/F51131/3339/1", 71.3)</f>
        <v>71.3</v>
      </c>
      <c r="E3791" s="2">
        <v>60.76</v>
      </c>
      <c r="F3791" s="2">
        <v>2</v>
      </c>
      <c r="G3791" s="2" t="s">
        <v>13</v>
      </c>
    </row>
    <row r="3792" spans="1:8" x14ac:dyDescent="0.2">
      <c r="A3792" s="2" t="s">
        <v>3343</v>
      </c>
      <c r="B3792" s="2" t="s">
        <v>344</v>
      </c>
      <c r="C3792" s="2">
        <v>919.44119999999998</v>
      </c>
      <c r="D3792" s="2">
        <f>HYPERLINK("http://mcb-m6.bioreg.kyushu-u.ac.jp/M3/20110428/F51131/2671/1", 71.98)</f>
        <v>71.98</v>
      </c>
      <c r="E3792" s="2">
        <v>47.23</v>
      </c>
      <c r="F3792" s="2">
        <v>2</v>
      </c>
      <c r="G3792" s="2" t="s">
        <v>13</v>
      </c>
    </row>
    <row r="3793" spans="1:7" x14ac:dyDescent="0.2">
      <c r="A3793" s="2" t="s">
        <v>3343</v>
      </c>
      <c r="B3793" s="2" t="s">
        <v>546</v>
      </c>
      <c r="C3793" s="2">
        <v>664.67769999999996</v>
      </c>
      <c r="D3793" s="2">
        <f>HYPERLINK("http://mcb-m6.bioreg.kyushu-u.ac.jp/M3/20110427/F51115/1621/2", 72.96)</f>
        <v>72.959999999999994</v>
      </c>
      <c r="E3793" s="2">
        <v>52.66</v>
      </c>
      <c r="F3793" s="2">
        <v>2</v>
      </c>
      <c r="G3793" s="2" t="s">
        <v>13</v>
      </c>
    </row>
    <row r="3794" spans="1:7" x14ac:dyDescent="0.2">
      <c r="A3794" s="2" t="s">
        <v>3343</v>
      </c>
      <c r="B3794" s="2" t="s">
        <v>546</v>
      </c>
      <c r="C3794" s="2">
        <v>665.15470000000005</v>
      </c>
      <c r="D3794" s="2">
        <f>HYPERLINK("http://mcb-m6.bioreg.kyushu-u.ac.jp/M3/20110427/F51108/1738/2", 73.51)</f>
        <v>73.510000000000005</v>
      </c>
      <c r="E3794" s="2">
        <v>57.06</v>
      </c>
      <c r="F3794" s="2">
        <v>2</v>
      </c>
      <c r="G3794" s="2" t="s">
        <v>13</v>
      </c>
    </row>
    <row r="3795" spans="1:7" x14ac:dyDescent="0.2">
      <c r="A3795" s="2" t="s">
        <v>3343</v>
      </c>
      <c r="B3795" s="2" t="s">
        <v>132</v>
      </c>
      <c r="C3795" s="2">
        <v>578.08510000000001</v>
      </c>
      <c r="D3795" s="2">
        <f>HYPERLINK("http://mcb-m6.bioreg.kyushu-u.ac.jp/M3/20110427/F51109/1637/1", 73.52)</f>
        <v>73.52</v>
      </c>
      <c r="E3795" s="2">
        <v>41.2</v>
      </c>
      <c r="F3795" s="2">
        <v>2</v>
      </c>
      <c r="G3795" s="2" t="s">
        <v>13</v>
      </c>
    </row>
    <row r="3796" spans="1:7" x14ac:dyDescent="0.2">
      <c r="A3796" s="2" t="s">
        <v>3343</v>
      </c>
      <c r="B3796" s="2" t="s">
        <v>344</v>
      </c>
      <c r="C3796" s="2">
        <v>613.17650000000003</v>
      </c>
      <c r="D3796" s="2">
        <f>HYPERLINK("http://mcb-m6.bioreg.kyushu-u.ac.jp/M3/20110428/F51131/2668/1", 73.53)</f>
        <v>73.53</v>
      </c>
      <c r="E3796" s="2">
        <v>49.52</v>
      </c>
      <c r="F3796" s="2">
        <v>3</v>
      </c>
      <c r="G3796" s="2" t="s">
        <v>13</v>
      </c>
    </row>
    <row r="3797" spans="1:7" x14ac:dyDescent="0.2">
      <c r="A3797" s="2" t="s">
        <v>3343</v>
      </c>
      <c r="B3797" s="2" t="s">
        <v>943</v>
      </c>
      <c r="C3797" s="2">
        <v>506.55610000000001</v>
      </c>
      <c r="D3797" s="2">
        <f>HYPERLINK("http://mcb-m6.bioreg.kyushu-u.ac.jp/M3/20110428/F51131/787/1", 73.81)</f>
        <v>73.81</v>
      </c>
      <c r="E3797" s="2">
        <v>49.13</v>
      </c>
      <c r="F3797" s="2">
        <v>2</v>
      </c>
      <c r="G3797" s="2" t="s">
        <v>13</v>
      </c>
    </row>
    <row r="3798" spans="1:7" x14ac:dyDescent="0.2">
      <c r="A3798" s="2" t="s">
        <v>3343</v>
      </c>
      <c r="B3798" s="2" t="s">
        <v>546</v>
      </c>
      <c r="C3798" s="2">
        <v>664.62369999999999</v>
      </c>
      <c r="D3798" s="2">
        <f>HYPERLINK("http://mcb-m6.bioreg.kyushu-u.ac.jp/M3/20110427/F51110/1883/2", 74.01)</f>
        <v>74.010000000000005</v>
      </c>
      <c r="E3798" s="2">
        <v>58.81</v>
      </c>
      <c r="F3798" s="2">
        <v>2</v>
      </c>
      <c r="G3798" s="2" t="s">
        <v>13</v>
      </c>
    </row>
    <row r="3799" spans="1:7" x14ac:dyDescent="0.2">
      <c r="A3799" s="2" t="s">
        <v>3343</v>
      </c>
      <c r="B3799" s="2" t="s">
        <v>132</v>
      </c>
      <c r="C3799" s="2">
        <v>578.18119999999999</v>
      </c>
      <c r="D3799" s="2">
        <f>HYPERLINK("http://mcb-m6.bioreg.kyushu-u.ac.jp/M3/20110427/F51112/1398/1", 74.32)</f>
        <v>74.319999999999993</v>
      </c>
      <c r="E3799" s="2">
        <v>45.61</v>
      </c>
      <c r="F3799" s="2">
        <v>2</v>
      </c>
      <c r="G3799" s="2" t="s">
        <v>13</v>
      </c>
    </row>
    <row r="3800" spans="1:7" x14ac:dyDescent="0.2">
      <c r="A3800" s="2" t="s">
        <v>3343</v>
      </c>
      <c r="B3800" s="2" t="s">
        <v>943</v>
      </c>
      <c r="C3800" s="2">
        <v>506.62009999999998</v>
      </c>
      <c r="D3800" s="2">
        <f>HYPERLINK("http://mcb-m6.bioreg.kyushu-u.ac.jp/M3/20110427/F51114/944/1", 74.64)</f>
        <v>74.64</v>
      </c>
      <c r="E3800" s="2">
        <v>49.69</v>
      </c>
      <c r="F3800" s="2">
        <v>2</v>
      </c>
      <c r="G3800" s="2" t="s">
        <v>13</v>
      </c>
    </row>
    <row r="3801" spans="1:7" x14ac:dyDescent="0.2">
      <c r="A3801" s="2" t="s">
        <v>3343</v>
      </c>
      <c r="B3801" s="2" t="s">
        <v>558</v>
      </c>
      <c r="C3801" s="2">
        <v>729.14760000000001</v>
      </c>
      <c r="D3801" s="2">
        <f>HYPERLINK("http://mcb-m6.bioreg.kyushu-u.ac.jp/M3/20110428/F51131/1739/1", 75.04)</f>
        <v>75.040000000000006</v>
      </c>
      <c r="E3801" s="2">
        <v>56.39</v>
      </c>
      <c r="F3801" s="2">
        <v>2</v>
      </c>
      <c r="G3801" s="2" t="s">
        <v>13</v>
      </c>
    </row>
    <row r="3802" spans="1:7" x14ac:dyDescent="0.2">
      <c r="A3802" s="2" t="s">
        <v>3343</v>
      </c>
      <c r="B3802" s="2" t="s">
        <v>325</v>
      </c>
      <c r="C3802" s="2">
        <v>739.35360000000003</v>
      </c>
      <c r="D3802" s="2">
        <f>HYPERLINK("http://mcb-m6.bioreg.kyushu-u.ac.jp/M3/20110428/F51132/1986/1", 75.52)</f>
        <v>75.52</v>
      </c>
      <c r="E3802" s="2">
        <v>61.65</v>
      </c>
      <c r="F3802" s="2">
        <v>2</v>
      </c>
      <c r="G3802" s="2" t="s">
        <v>13</v>
      </c>
    </row>
    <row r="3803" spans="1:7" x14ac:dyDescent="0.2">
      <c r="A3803" s="2" t="s">
        <v>3343</v>
      </c>
      <c r="B3803" s="2" t="s">
        <v>132</v>
      </c>
      <c r="C3803" s="2">
        <v>578.15369999999996</v>
      </c>
      <c r="D3803" s="2">
        <f>HYPERLINK("http://mcb-m6.bioreg.kyushu-u.ac.jp/M3/20110427/F51113/1302/1", 75.68)</f>
        <v>75.680000000000007</v>
      </c>
      <c r="E3803" s="2">
        <v>46.11</v>
      </c>
      <c r="F3803" s="2">
        <v>2</v>
      </c>
      <c r="G3803" s="2" t="s">
        <v>13</v>
      </c>
    </row>
    <row r="3804" spans="1:7" x14ac:dyDescent="0.2">
      <c r="A3804" s="2" t="s">
        <v>3343</v>
      </c>
      <c r="B3804" s="2" t="s">
        <v>344</v>
      </c>
      <c r="C3804" s="2">
        <v>919.3152</v>
      </c>
      <c r="D3804" s="2">
        <f>HYPERLINK("http://mcb-m6.bioreg.kyushu-u.ac.jp/M3/20110427/F51111/2921/1", 76.37)</f>
        <v>76.37</v>
      </c>
      <c r="E3804" s="2">
        <v>50.74</v>
      </c>
      <c r="F3804" s="2">
        <v>2</v>
      </c>
      <c r="G3804" s="2" t="s">
        <v>13</v>
      </c>
    </row>
    <row r="3805" spans="1:7" x14ac:dyDescent="0.2">
      <c r="A3805" s="2" t="s">
        <v>3343</v>
      </c>
      <c r="B3805" s="2" t="s">
        <v>344</v>
      </c>
      <c r="C3805" s="2">
        <v>919.16359999999997</v>
      </c>
      <c r="D3805" s="2">
        <f>HYPERLINK("http://mcb-m6.bioreg.kyushu-u.ac.jp/M3/20110428/F51131/2667/1", 76.42)</f>
        <v>76.42</v>
      </c>
      <c r="E3805" s="2">
        <v>55.42</v>
      </c>
      <c r="F3805" s="2">
        <v>2</v>
      </c>
      <c r="G3805" s="2" t="s">
        <v>13</v>
      </c>
    </row>
    <row r="3806" spans="1:7" x14ac:dyDescent="0.2">
      <c r="A3806" s="2" t="s">
        <v>3343</v>
      </c>
      <c r="B3806" s="2" t="s">
        <v>1002</v>
      </c>
      <c r="C3806" s="2">
        <v>1147.8589999999999</v>
      </c>
      <c r="D3806" s="2">
        <f>HYPERLINK("http://mcb-m6.bioreg.kyushu-u.ac.jp/M3/20110428/F51131/3342/1", 77.06)</f>
        <v>77.06</v>
      </c>
      <c r="E3806" s="2">
        <v>64.290000000000006</v>
      </c>
      <c r="F3806" s="2">
        <v>2</v>
      </c>
      <c r="G3806" s="2" t="s">
        <v>13</v>
      </c>
    </row>
    <row r="3807" spans="1:7" x14ac:dyDescent="0.2">
      <c r="A3807" s="2" t="s">
        <v>3343</v>
      </c>
      <c r="B3807" s="2" t="s">
        <v>344</v>
      </c>
      <c r="C3807" s="2">
        <v>919.20209999999997</v>
      </c>
      <c r="D3807" s="2">
        <f>HYPERLINK("http://mcb-m6.bioreg.kyushu-u.ac.jp/M3/20110427/F51112/2889/1", 77.23)</f>
        <v>77.23</v>
      </c>
      <c r="E3807" s="2">
        <v>45.98</v>
      </c>
      <c r="F3807" s="2">
        <v>2</v>
      </c>
      <c r="G3807" s="2" t="s">
        <v>13</v>
      </c>
    </row>
    <row r="3808" spans="1:7" x14ac:dyDescent="0.2">
      <c r="A3808" s="2" t="s">
        <v>3343</v>
      </c>
      <c r="B3808" s="2" t="s">
        <v>546</v>
      </c>
      <c r="C3808" s="2">
        <v>664.62070000000006</v>
      </c>
      <c r="D3808" s="2">
        <f>HYPERLINK("http://mcb-m6.bioreg.kyushu-u.ac.jp/M3/20110427/F51109/1858/2", 78.14)</f>
        <v>78.14</v>
      </c>
      <c r="E3808" s="2">
        <v>63.26</v>
      </c>
      <c r="F3808" s="2">
        <v>2</v>
      </c>
      <c r="G3808" s="2" t="s">
        <v>13</v>
      </c>
    </row>
    <row r="3809" spans="1:7" x14ac:dyDescent="0.2">
      <c r="A3809" s="2" t="s">
        <v>3343</v>
      </c>
      <c r="B3809" s="2" t="s">
        <v>546</v>
      </c>
      <c r="C3809" s="2">
        <v>664.76509999999996</v>
      </c>
      <c r="D3809" s="2">
        <f>HYPERLINK("http://mcb-m6.bioreg.kyushu-u.ac.jp/M3/20110427/F51113/1610/2", 78.19)</f>
        <v>78.19</v>
      </c>
      <c r="E3809" s="2">
        <v>61.22</v>
      </c>
      <c r="F3809" s="2">
        <v>2</v>
      </c>
      <c r="G3809" s="2" t="s">
        <v>13</v>
      </c>
    </row>
    <row r="3810" spans="1:7" x14ac:dyDescent="0.2">
      <c r="A3810" s="2" t="s">
        <v>3343</v>
      </c>
      <c r="B3810" s="2" t="s">
        <v>344</v>
      </c>
      <c r="C3810" s="2">
        <v>919.27070000000003</v>
      </c>
      <c r="D3810" s="2">
        <f>HYPERLINK("http://mcb-m6.bioreg.kyushu-u.ac.jp/M3/20110428/F51131/2669/1", 79.4)</f>
        <v>79.400000000000006</v>
      </c>
      <c r="E3810" s="2">
        <v>53.44</v>
      </c>
      <c r="F3810" s="2">
        <v>2</v>
      </c>
      <c r="G3810" s="2" t="s">
        <v>13</v>
      </c>
    </row>
    <row r="3811" spans="1:7" x14ac:dyDescent="0.2">
      <c r="A3811" s="2" t="s">
        <v>3343</v>
      </c>
      <c r="B3811" s="2" t="s">
        <v>344</v>
      </c>
      <c r="C3811" s="2">
        <v>919.83219999999994</v>
      </c>
      <c r="D3811" s="2">
        <f>HYPERLINK("http://mcb-m6.bioreg.kyushu-u.ac.jp/M3/20110428/F51131/2672/1", 79.75)</f>
        <v>79.75</v>
      </c>
      <c r="E3811" s="2">
        <v>55.33</v>
      </c>
      <c r="F3811" s="2">
        <v>2</v>
      </c>
      <c r="G3811" s="2" t="s">
        <v>13</v>
      </c>
    </row>
    <row r="3812" spans="1:7" x14ac:dyDescent="0.2">
      <c r="A3812" s="2" t="s">
        <v>3343</v>
      </c>
      <c r="B3812" s="2" t="s">
        <v>325</v>
      </c>
      <c r="C3812" s="2">
        <v>1477.463</v>
      </c>
      <c r="D3812" s="2">
        <f>HYPERLINK("http://mcb-m6.bioreg.kyushu-u.ac.jp/M3/20110427/F51114/2046/1", 79.93)</f>
        <v>79.930000000000007</v>
      </c>
      <c r="E3812" s="2">
        <v>65.23</v>
      </c>
      <c r="F3812" s="2">
        <v>1</v>
      </c>
      <c r="G3812" s="2" t="s">
        <v>13</v>
      </c>
    </row>
    <row r="3813" spans="1:7" x14ac:dyDescent="0.2">
      <c r="A3813" s="2" t="s">
        <v>3343</v>
      </c>
      <c r="B3813" s="2" t="s">
        <v>344</v>
      </c>
      <c r="C3813" s="2">
        <v>919.7097</v>
      </c>
      <c r="D3813" s="2">
        <f>HYPERLINK("http://mcb-m6.bioreg.kyushu-u.ac.jp/M3/20110427/F51113/2721/1", 80.6)</f>
        <v>80.599999999999994</v>
      </c>
      <c r="E3813" s="2">
        <v>47.9</v>
      </c>
      <c r="F3813" s="2">
        <v>2</v>
      </c>
      <c r="G3813" s="2" t="s">
        <v>13</v>
      </c>
    </row>
    <row r="3814" spans="1:7" x14ac:dyDescent="0.2">
      <c r="A3814" s="2" t="s">
        <v>3343</v>
      </c>
      <c r="B3814" s="2" t="s">
        <v>546</v>
      </c>
      <c r="C3814" s="2">
        <v>664.61109999999996</v>
      </c>
      <c r="D3814" s="2">
        <f>HYPERLINK("http://mcb-m6.bioreg.kyushu-u.ac.jp/M3/20110427/F51112/1710/2", 80.92)</f>
        <v>80.92</v>
      </c>
      <c r="E3814" s="2">
        <v>64.44</v>
      </c>
      <c r="F3814" s="2">
        <v>2</v>
      </c>
      <c r="G3814" s="2" t="s">
        <v>13</v>
      </c>
    </row>
    <row r="3815" spans="1:7" x14ac:dyDescent="0.2">
      <c r="A3815" s="2" t="s">
        <v>3343</v>
      </c>
      <c r="B3815" s="2" t="s">
        <v>344</v>
      </c>
      <c r="C3815" s="2">
        <v>919.22310000000004</v>
      </c>
      <c r="D3815" s="2">
        <f>HYPERLINK("http://mcb-m6.bioreg.kyushu-u.ac.jp/M3/20110427/F51108/2661/1", 81.15)</f>
        <v>81.150000000000006</v>
      </c>
      <c r="E3815" s="2">
        <v>54.75</v>
      </c>
      <c r="F3815" s="2">
        <v>2</v>
      </c>
      <c r="G3815" s="2" t="s">
        <v>13</v>
      </c>
    </row>
    <row r="3816" spans="1:7" x14ac:dyDescent="0.2">
      <c r="A3816" s="2" t="s">
        <v>3343</v>
      </c>
      <c r="B3816" s="2" t="s">
        <v>1002</v>
      </c>
      <c r="C3816" s="2">
        <v>1147.3240000000001</v>
      </c>
      <c r="D3816" s="2">
        <f>HYPERLINK("http://mcb-m6.bioreg.kyushu-u.ac.jp/M3/20110428/F51131/3335/1", 81.46)</f>
        <v>81.459999999999994</v>
      </c>
      <c r="E3816" s="2">
        <v>70.239999999999995</v>
      </c>
      <c r="F3816" s="2">
        <v>2</v>
      </c>
      <c r="G3816" s="2" t="s">
        <v>13</v>
      </c>
    </row>
    <row r="3817" spans="1:7" x14ac:dyDescent="0.2">
      <c r="A3817" s="2" t="s">
        <v>3343</v>
      </c>
      <c r="B3817" s="2" t="s">
        <v>1002</v>
      </c>
      <c r="C3817" s="2">
        <v>1147.33</v>
      </c>
      <c r="D3817" s="2">
        <f>HYPERLINK("http://mcb-m6.bioreg.kyushu-u.ac.jp/M3/20110427/F51113/3205/1", 82.42)</f>
        <v>82.42</v>
      </c>
      <c r="E3817" s="2">
        <v>70.489999999999995</v>
      </c>
      <c r="F3817" s="2">
        <v>2</v>
      </c>
      <c r="G3817" s="2" t="s">
        <v>13</v>
      </c>
    </row>
    <row r="3818" spans="1:7" x14ac:dyDescent="0.2">
      <c r="A3818" s="2" t="s">
        <v>3343</v>
      </c>
      <c r="B3818" s="2" t="s">
        <v>1002</v>
      </c>
      <c r="C3818" s="2">
        <v>1147.8779999999999</v>
      </c>
      <c r="D3818" s="2">
        <f>HYPERLINK("http://mcb-m6.bioreg.kyushu-u.ac.jp/M3/20110427/F51114/3641/1", 84.22)</f>
        <v>84.22</v>
      </c>
      <c r="E3818" s="2">
        <v>60.82</v>
      </c>
      <c r="F3818" s="2">
        <v>2</v>
      </c>
      <c r="G3818" s="2" t="s">
        <v>13</v>
      </c>
    </row>
    <row r="3819" spans="1:7" x14ac:dyDescent="0.2">
      <c r="A3819" s="2" t="s">
        <v>3343</v>
      </c>
      <c r="B3819" s="2" t="s">
        <v>546</v>
      </c>
      <c r="C3819" s="2">
        <v>664.64170000000001</v>
      </c>
      <c r="D3819" s="2">
        <f>HYPERLINK("http://mcb-m6.bioreg.kyushu-u.ac.jp/M3/20110428/F51131/1391/2", 84.77)</f>
        <v>84.77</v>
      </c>
      <c r="E3819" s="2">
        <v>69.489999999999995</v>
      </c>
      <c r="F3819" s="2">
        <v>2</v>
      </c>
      <c r="G3819" s="2" t="s">
        <v>13</v>
      </c>
    </row>
    <row r="3820" spans="1:7" x14ac:dyDescent="0.2">
      <c r="A3820" s="2" t="s">
        <v>3343</v>
      </c>
      <c r="B3820" s="2" t="s">
        <v>325</v>
      </c>
      <c r="C3820" s="2">
        <v>1477.2929999999999</v>
      </c>
      <c r="D3820" s="2">
        <f>HYPERLINK("http://mcb-m6.bioreg.kyushu-u.ac.jp/M3/20110428/F51131/1786/1", 85.4)</f>
        <v>85.4</v>
      </c>
      <c r="E3820" s="2">
        <v>69.7</v>
      </c>
      <c r="F3820" s="2">
        <v>1</v>
      </c>
      <c r="G3820" s="2" t="s">
        <v>13</v>
      </c>
    </row>
    <row r="3821" spans="1:7" x14ac:dyDescent="0.2">
      <c r="A3821" s="2" t="s">
        <v>3343</v>
      </c>
      <c r="B3821" s="2" t="s">
        <v>325</v>
      </c>
      <c r="C3821" s="2">
        <v>739.71370000000002</v>
      </c>
      <c r="D3821" s="2">
        <f>HYPERLINK("http://mcb-m6.bioreg.kyushu-u.ac.jp/M3/20110427/F51114/2049/1", 91.9)</f>
        <v>91.9</v>
      </c>
      <c r="E3821" s="2">
        <v>79.12</v>
      </c>
      <c r="F3821" s="2">
        <v>2</v>
      </c>
      <c r="G3821" s="2" t="s">
        <v>13</v>
      </c>
    </row>
    <row r="3822" spans="1:7" x14ac:dyDescent="0.2">
      <c r="A3822" s="2" t="s">
        <v>3343</v>
      </c>
      <c r="B3822" s="2" t="s">
        <v>1211</v>
      </c>
      <c r="C3822" s="2">
        <v>1153.48</v>
      </c>
      <c r="D3822" s="2">
        <f>HYPERLINK("http://mcb-m6.bioreg.kyushu-u.ac.jp/M3/20110428/F51131/3361/1", 94.13)</f>
        <v>94.13</v>
      </c>
      <c r="E3822" s="2">
        <v>80.45</v>
      </c>
      <c r="F3822" s="2">
        <v>2</v>
      </c>
      <c r="G3822" s="2" t="s">
        <v>13</v>
      </c>
    </row>
    <row r="3823" spans="1:7" x14ac:dyDescent="0.2">
      <c r="A3823" s="2" t="s">
        <v>3343</v>
      </c>
      <c r="B3823" s="2" t="s">
        <v>1189</v>
      </c>
      <c r="C3823" s="2">
        <v>1069.7760000000001</v>
      </c>
      <c r="D3823" s="2">
        <f>HYPERLINK("http://mcb-m6.bioreg.kyushu-u.ac.jp/M3/20110427/F51114/3435/1", 95.36)</f>
        <v>95.36</v>
      </c>
      <c r="E3823" s="2">
        <v>80.209999999999994</v>
      </c>
      <c r="F3823" s="2">
        <v>2</v>
      </c>
      <c r="G3823" s="2" t="s">
        <v>13</v>
      </c>
    </row>
    <row r="3824" spans="1:7" x14ac:dyDescent="0.2">
      <c r="A3824" s="2" t="s">
        <v>3343</v>
      </c>
      <c r="B3824" s="2" t="s">
        <v>1189</v>
      </c>
      <c r="C3824" s="2">
        <v>1069.7840000000001</v>
      </c>
      <c r="D3824" s="2">
        <f>HYPERLINK("http://mcb-m6.bioreg.kyushu-u.ac.jp/M3/20110427/F51113/3048/1", 96.01)</f>
        <v>96.01</v>
      </c>
      <c r="E3824" s="2">
        <v>84.74</v>
      </c>
      <c r="F3824" s="2">
        <v>2</v>
      </c>
      <c r="G3824" s="2" t="s">
        <v>13</v>
      </c>
    </row>
    <row r="3825" spans="1:7" x14ac:dyDescent="0.2">
      <c r="A3825" s="2" t="s">
        <v>3343</v>
      </c>
      <c r="B3825" s="2" t="s">
        <v>1002</v>
      </c>
      <c r="C3825" s="2">
        <v>1147.365</v>
      </c>
      <c r="D3825" s="2">
        <f>HYPERLINK("http://mcb-m6.bioreg.kyushu-u.ac.jp/M3/20110427/F51114/3637/1", 96.87)</f>
        <v>96.87</v>
      </c>
      <c r="E3825" s="2">
        <v>84.44</v>
      </c>
      <c r="F3825" s="2">
        <v>2</v>
      </c>
      <c r="G3825" s="2" t="s">
        <v>13</v>
      </c>
    </row>
    <row r="3826" spans="1:7" x14ac:dyDescent="0.2">
      <c r="A3826" s="2" t="s">
        <v>3343</v>
      </c>
      <c r="B3826" s="2" t="s">
        <v>1189</v>
      </c>
      <c r="C3826" s="2">
        <v>1069.26</v>
      </c>
      <c r="D3826" s="2">
        <f>HYPERLINK("http://mcb-m6.bioreg.kyushu-u.ac.jp/M3/20110427/F51114/3431/1", 97.73)</f>
        <v>97.73</v>
      </c>
      <c r="E3826" s="2">
        <v>85.68</v>
      </c>
      <c r="F3826" s="2">
        <v>2</v>
      </c>
      <c r="G3826" s="2" t="s">
        <v>13</v>
      </c>
    </row>
    <row r="3827" spans="1:7" x14ac:dyDescent="0.2">
      <c r="A3827" s="2" t="s">
        <v>3343</v>
      </c>
      <c r="B3827" s="2" t="s">
        <v>1032</v>
      </c>
      <c r="C3827" s="2">
        <v>1163.9369999999999</v>
      </c>
      <c r="D3827" s="2">
        <f>HYPERLINK("http://mcb-m6.bioreg.kyushu-u.ac.jp/M3/20110427/F51112/3381/1", 98.82)</f>
        <v>98.82</v>
      </c>
      <c r="E3827" s="2">
        <v>84.29</v>
      </c>
      <c r="F3827" s="2">
        <v>2</v>
      </c>
      <c r="G3827" s="2" t="s">
        <v>13</v>
      </c>
    </row>
    <row r="3828" spans="1:7" x14ac:dyDescent="0.2">
      <c r="A3828" s="2" t="s">
        <v>3343</v>
      </c>
      <c r="B3828" s="2" t="s">
        <v>1032</v>
      </c>
      <c r="C3828" s="2">
        <v>1163.8050000000001</v>
      </c>
      <c r="D3828" s="2">
        <f>HYPERLINK("http://mcb-m6.bioreg.kyushu-u.ac.jp/M3/20110428/F51131/3392/1", 98.83)</f>
        <v>98.83</v>
      </c>
      <c r="E3828" s="2">
        <v>77.94</v>
      </c>
      <c r="F3828" s="2">
        <v>2</v>
      </c>
      <c r="G3828" s="2" t="s">
        <v>13</v>
      </c>
    </row>
    <row r="3829" spans="1:7" x14ac:dyDescent="0.2">
      <c r="A3829" s="2" t="s">
        <v>3343</v>
      </c>
      <c r="B3829" s="2" t="s">
        <v>1189</v>
      </c>
      <c r="C3829" s="2">
        <v>1070.001</v>
      </c>
      <c r="D3829" s="2">
        <f>HYPERLINK("http://mcb-m6.bioreg.kyushu-u.ac.jp/M3/20110428/F51131/3129/1", 103.25)</f>
        <v>103.25</v>
      </c>
      <c r="E3829" s="2">
        <v>81.06</v>
      </c>
      <c r="F3829" s="2">
        <v>2</v>
      </c>
      <c r="G3829" s="2" t="s">
        <v>13</v>
      </c>
    </row>
    <row r="3830" spans="1:7" x14ac:dyDescent="0.2">
      <c r="A3830" s="2" t="s">
        <v>3343</v>
      </c>
      <c r="B3830" s="2" t="s">
        <v>1032</v>
      </c>
      <c r="C3830" s="2">
        <v>1164.19</v>
      </c>
      <c r="D3830" s="2">
        <f>HYPERLINK("http://mcb-m6.bioreg.kyushu-u.ac.jp/M3/20110428/F51131/3395/1", 103.62)</f>
        <v>103.62</v>
      </c>
      <c r="E3830" s="2">
        <v>91.54</v>
      </c>
      <c r="F3830" s="2">
        <v>2</v>
      </c>
      <c r="G3830" s="2" t="s">
        <v>13</v>
      </c>
    </row>
    <row r="3831" spans="1:7" x14ac:dyDescent="0.2">
      <c r="A3831" s="2" t="s">
        <v>3343</v>
      </c>
      <c r="B3831" s="2" t="s">
        <v>1032</v>
      </c>
      <c r="C3831" s="2">
        <v>1163.75</v>
      </c>
      <c r="D3831" s="2">
        <f>HYPERLINK("http://mcb-m6.bioreg.kyushu-u.ac.jp/M3/20110427/F51111/3371/1", 109.02)</f>
        <v>109.02</v>
      </c>
      <c r="E3831" s="2">
        <v>94.76</v>
      </c>
      <c r="F3831" s="2">
        <v>2</v>
      </c>
      <c r="G3831" s="2" t="s">
        <v>13</v>
      </c>
    </row>
    <row r="3832" spans="1:7" x14ac:dyDescent="0.2">
      <c r="A3832" s="2" t="s">
        <v>3343</v>
      </c>
      <c r="B3832" s="2" t="s">
        <v>1032</v>
      </c>
      <c r="C3832" s="2">
        <v>1163.2239999999999</v>
      </c>
      <c r="D3832" s="2">
        <f>HYPERLINK("http://mcb-m6.bioreg.kyushu-u.ac.jp/M3/20110428/F51131/3387/1", 116.26)</f>
        <v>116.26</v>
      </c>
      <c r="E3832" s="2">
        <v>92.66</v>
      </c>
      <c r="F3832" s="2">
        <v>2</v>
      </c>
      <c r="G3832" s="2" t="s">
        <v>13</v>
      </c>
    </row>
    <row r="3833" spans="1:7" x14ac:dyDescent="0.2">
      <c r="A3833" s="2" t="s">
        <v>3343</v>
      </c>
      <c r="B3833" s="2" t="s">
        <v>325</v>
      </c>
      <c r="C3833" s="2">
        <v>739.0566</v>
      </c>
      <c r="D3833" s="2">
        <f>HYPERLINK("http://mcb-m6.bioreg.kyushu-u.ac.jp/M3/20110428/F51131/1784/1", 117.88)</f>
        <v>117.88</v>
      </c>
      <c r="E3833" s="2">
        <v>89.17</v>
      </c>
      <c r="F3833" s="2">
        <v>2</v>
      </c>
      <c r="G3833" s="2" t="s">
        <v>13</v>
      </c>
    </row>
    <row r="3834" spans="1:7" x14ac:dyDescent="0.2">
      <c r="A3834" s="2" t="s">
        <v>3343</v>
      </c>
      <c r="B3834" s="2" t="s">
        <v>1032</v>
      </c>
      <c r="C3834" s="2">
        <v>1163.874</v>
      </c>
      <c r="D3834" s="2">
        <f>HYPERLINK("http://mcb-m6.bioreg.kyushu-u.ac.jp/M3/20110427/F51110/3183/1", 119.76)</f>
        <v>119.76</v>
      </c>
      <c r="E3834" s="2">
        <v>111.04</v>
      </c>
      <c r="F3834" s="2">
        <v>2</v>
      </c>
      <c r="G3834" s="2" t="s">
        <v>13</v>
      </c>
    </row>
    <row r="3835" spans="1:7" x14ac:dyDescent="0.2">
      <c r="A3835" s="2" t="s">
        <v>3343</v>
      </c>
      <c r="B3835" s="2" t="s">
        <v>1032</v>
      </c>
      <c r="C3835" s="2">
        <v>1163.6010000000001</v>
      </c>
      <c r="D3835" s="2">
        <f>HYPERLINK("http://mcb-m6.bioreg.kyushu-u.ac.jp/M3/20110428/F51131/3390/1", 119.93)</f>
        <v>119.93</v>
      </c>
      <c r="E3835" s="2">
        <v>108.02</v>
      </c>
      <c r="F3835" s="2">
        <v>2</v>
      </c>
      <c r="G3835" s="2" t="s">
        <v>13</v>
      </c>
    </row>
    <row r="3836" spans="1:7" x14ac:dyDescent="0.2">
      <c r="A3836" s="2" t="s">
        <v>3343</v>
      </c>
      <c r="B3836" s="2" t="s">
        <v>132</v>
      </c>
      <c r="C3836" s="2">
        <v>578.64919999999995</v>
      </c>
      <c r="D3836" s="2">
        <f>HYPERLINK("http://mcb-m6.bioreg.kyushu-u.ac.jp/M3/20110427/F51122/1588/1", 35.31)</f>
        <v>35.31</v>
      </c>
      <c r="E3836" s="2">
        <v>13.41</v>
      </c>
      <c r="F3836" s="2">
        <v>2</v>
      </c>
      <c r="G3836" s="2" t="s">
        <v>14</v>
      </c>
    </row>
    <row r="3837" spans="1:7" x14ac:dyDescent="0.2">
      <c r="A3837" s="2" t="s">
        <v>3343</v>
      </c>
      <c r="B3837" s="2" t="s">
        <v>704</v>
      </c>
      <c r="C3837" s="2">
        <v>1204.587</v>
      </c>
      <c r="D3837" s="2">
        <f>HYPERLINK("http://mcb-m6.bioreg.kyushu-u.ac.jp/M3/20110428/F51135/1311/1", 36.04)</f>
        <v>36.04</v>
      </c>
      <c r="E3837" s="2">
        <v>13.05</v>
      </c>
      <c r="F3837" s="2">
        <v>1</v>
      </c>
      <c r="G3837" s="2" t="s">
        <v>14</v>
      </c>
    </row>
    <row r="3838" spans="1:7" x14ac:dyDescent="0.2">
      <c r="A3838" s="2" t="s">
        <v>3343</v>
      </c>
      <c r="B3838" s="2" t="s">
        <v>1002</v>
      </c>
      <c r="C3838" s="2">
        <v>765.22349999999994</v>
      </c>
      <c r="D3838" s="2">
        <f>HYPERLINK("http://mcb-m6.bioreg.kyushu-u.ac.jp/M3/20110427/F51122/3099/1", 37.35)</f>
        <v>37.35</v>
      </c>
      <c r="E3838" s="2">
        <v>20.329999999999998</v>
      </c>
      <c r="F3838" s="2">
        <v>3</v>
      </c>
      <c r="G3838" s="2" t="s">
        <v>14</v>
      </c>
    </row>
    <row r="3839" spans="1:7" x14ac:dyDescent="0.2">
      <c r="A3839" s="2" t="s">
        <v>3343</v>
      </c>
      <c r="B3839" s="2" t="s">
        <v>132</v>
      </c>
      <c r="C3839" s="2">
        <v>1155.7080000000001</v>
      </c>
      <c r="D3839" s="2">
        <f>HYPERLINK("http://mcb-m6.bioreg.kyushu-u.ac.jp/M3/20110428/F51135/1209/1", 38.19)</f>
        <v>38.19</v>
      </c>
      <c r="E3839" s="2">
        <v>12.4</v>
      </c>
      <c r="F3839" s="2">
        <v>1</v>
      </c>
      <c r="G3839" s="2" t="s">
        <v>14</v>
      </c>
    </row>
    <row r="3840" spans="1:7" x14ac:dyDescent="0.2">
      <c r="A3840" s="2" t="s">
        <v>3343</v>
      </c>
      <c r="B3840" s="2" t="s">
        <v>1002</v>
      </c>
      <c r="C3840" s="2">
        <v>765.55780000000004</v>
      </c>
      <c r="D3840" s="2">
        <f>HYPERLINK("http://mcb-m6.bioreg.kyushu-u.ac.jp/M3/20110428/F51135/2987/1", 38.76)</f>
        <v>38.76</v>
      </c>
      <c r="E3840" s="2">
        <v>24.02</v>
      </c>
      <c r="F3840" s="2">
        <v>3</v>
      </c>
      <c r="G3840" s="2" t="s">
        <v>14</v>
      </c>
    </row>
    <row r="3841" spans="1:8" x14ac:dyDescent="0.2">
      <c r="A3841" s="2" t="s">
        <v>3343</v>
      </c>
      <c r="B3841" s="2" t="s">
        <v>704</v>
      </c>
      <c r="C3841" s="2">
        <v>611.11519999999996</v>
      </c>
      <c r="D3841" s="2">
        <f>HYPERLINK("http://mcb-m6.bioreg.kyushu-u.ac.jp/M3/20110428/F51126/1595/1", 38.79)</f>
        <v>38.79</v>
      </c>
      <c r="E3841" s="2">
        <v>13.65</v>
      </c>
      <c r="F3841" s="2">
        <v>2</v>
      </c>
      <c r="G3841" s="2" t="s">
        <v>14</v>
      </c>
      <c r="H3841" s="2" t="s">
        <v>4908</v>
      </c>
    </row>
    <row r="3842" spans="1:8" x14ac:dyDescent="0.2">
      <c r="A3842" s="2" t="s">
        <v>3343</v>
      </c>
      <c r="B3842" s="2" t="s">
        <v>1189</v>
      </c>
      <c r="C3842" s="2">
        <v>1069.8</v>
      </c>
      <c r="D3842" s="2">
        <f>HYPERLINK("http://mcb-m6.bioreg.kyushu-u.ac.jp/M3/20110428/F51128/3250/1", 39.77)</f>
        <v>39.770000000000003</v>
      </c>
      <c r="E3842" s="2">
        <v>26.76</v>
      </c>
      <c r="F3842" s="2">
        <v>2</v>
      </c>
      <c r="G3842" s="2" t="s">
        <v>14</v>
      </c>
    </row>
    <row r="3843" spans="1:8" x14ac:dyDescent="0.2">
      <c r="A3843" s="2" t="s">
        <v>3343</v>
      </c>
      <c r="B3843" s="2" t="s">
        <v>428</v>
      </c>
      <c r="C3843" s="2">
        <v>452.24610000000001</v>
      </c>
      <c r="D3843" s="2">
        <f>HYPERLINK("http://mcb-m6.bioreg.kyushu-u.ac.jp/M3/20110428/F51128/722/1", 39.91)</f>
        <v>39.909999999999997</v>
      </c>
      <c r="E3843" s="2">
        <v>11.73</v>
      </c>
      <c r="F3843" s="2">
        <v>2</v>
      </c>
      <c r="G3843" s="2" t="s">
        <v>14</v>
      </c>
    </row>
    <row r="3844" spans="1:8" x14ac:dyDescent="0.2">
      <c r="A3844" s="2" t="s">
        <v>3343</v>
      </c>
      <c r="B3844" s="2" t="s">
        <v>132</v>
      </c>
      <c r="C3844" s="2">
        <v>1155.461</v>
      </c>
      <c r="D3844" s="2">
        <f>HYPERLINK("http://mcb-m6.bioreg.kyushu-u.ac.jp/M3/20110427/F51122/1585/1", 40.03)</f>
        <v>40.03</v>
      </c>
      <c r="E3844" s="2">
        <v>20.88</v>
      </c>
      <c r="F3844" s="2">
        <v>1</v>
      </c>
      <c r="G3844" s="2" t="s">
        <v>14</v>
      </c>
    </row>
    <row r="3845" spans="1:8" x14ac:dyDescent="0.2">
      <c r="A3845" s="2" t="s">
        <v>3343</v>
      </c>
      <c r="B3845" s="2" t="s">
        <v>704</v>
      </c>
      <c r="C3845" s="2">
        <v>610.91110000000003</v>
      </c>
      <c r="D3845" s="2">
        <f>HYPERLINK("http://mcb-m6.bioreg.kyushu-u.ac.jp/M3/20110427/F51118/1708/1", 40.37)</f>
        <v>40.369999999999997</v>
      </c>
      <c r="E3845" s="2">
        <v>11.11</v>
      </c>
      <c r="F3845" s="2">
        <v>2</v>
      </c>
      <c r="G3845" s="2" t="s">
        <v>14</v>
      </c>
      <c r="H3845" s="2" t="s">
        <v>4908</v>
      </c>
    </row>
    <row r="3846" spans="1:8" x14ac:dyDescent="0.2">
      <c r="A3846" s="2" t="s">
        <v>3343</v>
      </c>
      <c r="B3846" s="2" t="s">
        <v>704</v>
      </c>
      <c r="C3846" s="2">
        <v>1220.586</v>
      </c>
      <c r="D3846" s="2">
        <f>HYPERLINK("http://mcb-m6.bioreg.kyushu-u.ac.jp/M3/20110428/F51135/1349/1", 41.61)</f>
        <v>41.61</v>
      </c>
      <c r="E3846" s="2">
        <v>23.23</v>
      </c>
      <c r="F3846" s="2">
        <v>1</v>
      </c>
      <c r="G3846" s="2" t="s">
        <v>14</v>
      </c>
      <c r="H3846" s="2" t="s">
        <v>4908</v>
      </c>
    </row>
    <row r="3847" spans="1:8" x14ac:dyDescent="0.2">
      <c r="A3847" s="2" t="s">
        <v>3343</v>
      </c>
      <c r="B3847" s="2" t="s">
        <v>546</v>
      </c>
      <c r="C3847" s="2">
        <v>1328.798</v>
      </c>
      <c r="D3847" s="2">
        <f>HYPERLINK("http://mcb-m6.bioreg.kyushu-u.ac.jp/M3/20110428/F51135/1475/2", 42.29)</f>
        <v>42.29</v>
      </c>
      <c r="E3847" s="2">
        <v>29.35</v>
      </c>
      <c r="F3847" s="2">
        <v>1</v>
      </c>
      <c r="G3847" s="2" t="s">
        <v>14</v>
      </c>
    </row>
    <row r="3848" spans="1:8" x14ac:dyDescent="0.2">
      <c r="A3848" s="2" t="s">
        <v>3343</v>
      </c>
      <c r="B3848" s="2" t="s">
        <v>132</v>
      </c>
      <c r="C3848" s="2">
        <v>1155.4590000000001</v>
      </c>
      <c r="D3848" s="2">
        <f>HYPERLINK("http://mcb-m6.bioreg.kyushu-u.ac.jp/M3/20110427/F51123/1335/1", 42.62)</f>
        <v>42.62</v>
      </c>
      <c r="E3848" s="2">
        <v>20.420000000000002</v>
      </c>
      <c r="F3848" s="2">
        <v>1</v>
      </c>
      <c r="G3848" s="2" t="s">
        <v>14</v>
      </c>
    </row>
    <row r="3849" spans="1:8" x14ac:dyDescent="0.2">
      <c r="A3849" s="2" t="s">
        <v>3343</v>
      </c>
      <c r="B3849" s="2" t="s">
        <v>509</v>
      </c>
      <c r="C3849" s="2">
        <v>709.24220000000003</v>
      </c>
      <c r="D3849" s="2">
        <f>HYPERLINK("http://mcb-m6.bioreg.kyushu-u.ac.jp/M3/20110427/F51123/1885/1", 43.07)</f>
        <v>43.07</v>
      </c>
      <c r="E3849" s="2">
        <v>29.16</v>
      </c>
      <c r="F3849" s="2">
        <v>2</v>
      </c>
      <c r="G3849" s="2" t="s">
        <v>14</v>
      </c>
      <c r="H3849" s="2" t="s">
        <v>4904</v>
      </c>
    </row>
    <row r="3850" spans="1:8" x14ac:dyDescent="0.2">
      <c r="A3850" s="2" t="s">
        <v>3343</v>
      </c>
      <c r="B3850" s="2" t="s">
        <v>7484</v>
      </c>
      <c r="C3850" s="2">
        <v>568.43119999999999</v>
      </c>
      <c r="D3850" s="2">
        <f>HYPERLINK("http://mcb-m6.bioreg.kyushu-u.ac.jp/M3/20110428/F51135/1184/1", 43.3)</f>
        <v>43.3</v>
      </c>
      <c r="E3850" s="2">
        <v>20.32</v>
      </c>
      <c r="F3850" s="2">
        <v>2</v>
      </c>
      <c r="G3850" s="2" t="s">
        <v>14</v>
      </c>
    </row>
    <row r="3851" spans="1:8" x14ac:dyDescent="0.2">
      <c r="A3851" s="2" t="s">
        <v>3343</v>
      </c>
      <c r="B3851" s="2" t="s">
        <v>509</v>
      </c>
      <c r="C3851" s="2">
        <v>725.71510000000001</v>
      </c>
      <c r="D3851" s="2">
        <f>HYPERLINK("http://mcb-m6.bioreg.kyushu-u.ac.jp/M3/20110427/F51123/1961/1", 43.81)</f>
        <v>43.81</v>
      </c>
      <c r="E3851" s="2">
        <v>31.95</v>
      </c>
      <c r="F3851" s="2">
        <v>2</v>
      </c>
      <c r="G3851" s="2" t="s">
        <v>14</v>
      </c>
      <c r="H3851" s="2" t="s">
        <v>4927</v>
      </c>
    </row>
    <row r="3852" spans="1:8" x14ac:dyDescent="0.2">
      <c r="A3852" s="2" t="s">
        <v>3343</v>
      </c>
      <c r="B3852" s="2" t="s">
        <v>704</v>
      </c>
      <c r="C3852" s="2">
        <v>611.19420000000002</v>
      </c>
      <c r="D3852" s="2">
        <f>HYPERLINK("http://mcb-m6.bioreg.kyushu-u.ac.jp/M3/20110427/F51120/1699/1", 47.68)</f>
        <v>47.68</v>
      </c>
      <c r="E3852" s="2">
        <v>16.579999999999998</v>
      </c>
      <c r="F3852" s="2">
        <v>2</v>
      </c>
      <c r="G3852" s="2" t="s">
        <v>14</v>
      </c>
      <c r="H3852" s="2" t="s">
        <v>4908</v>
      </c>
    </row>
    <row r="3853" spans="1:8" x14ac:dyDescent="0.2">
      <c r="A3853" s="2" t="s">
        <v>3343</v>
      </c>
      <c r="B3853" s="2" t="s">
        <v>509</v>
      </c>
      <c r="C3853" s="2">
        <v>725.40869999999995</v>
      </c>
      <c r="D3853" s="2">
        <f>HYPERLINK("http://mcb-m6.bioreg.kyushu-u.ac.jp/M3/20110428/F51135/1772/1", 47.79)</f>
        <v>47.79</v>
      </c>
      <c r="E3853" s="2">
        <v>29.91</v>
      </c>
      <c r="F3853" s="2">
        <v>2</v>
      </c>
      <c r="G3853" s="2" t="s">
        <v>14</v>
      </c>
      <c r="H3853" s="2" t="s">
        <v>4927</v>
      </c>
    </row>
    <row r="3854" spans="1:8" x14ac:dyDescent="0.2">
      <c r="A3854" s="2" t="s">
        <v>3343</v>
      </c>
      <c r="B3854" s="2" t="s">
        <v>704</v>
      </c>
      <c r="C3854" s="2">
        <v>603.12369999999999</v>
      </c>
      <c r="D3854" s="2">
        <f>HYPERLINK("http://mcb-m6.bioreg.kyushu-u.ac.jp/M3/20110427/F51123/1452/1", 47.86)</f>
        <v>47.86</v>
      </c>
      <c r="E3854" s="2">
        <v>16.73</v>
      </c>
      <c r="F3854" s="2">
        <v>2</v>
      </c>
      <c r="G3854" s="2" t="s">
        <v>14</v>
      </c>
    </row>
    <row r="3855" spans="1:8" x14ac:dyDescent="0.2">
      <c r="A3855" s="2" t="s">
        <v>3343</v>
      </c>
      <c r="B3855" s="2" t="s">
        <v>943</v>
      </c>
      <c r="C3855" s="2">
        <v>507.02809999999999</v>
      </c>
      <c r="D3855" s="2">
        <f>HYPERLINK("http://mcb-m6.bioreg.kyushu-u.ac.jp/M3/20110427/F51124/1082/1", 48.8)</f>
        <v>48.8</v>
      </c>
      <c r="E3855" s="2">
        <v>21.02</v>
      </c>
      <c r="F3855" s="2">
        <v>2</v>
      </c>
      <c r="G3855" s="2" t="s">
        <v>14</v>
      </c>
    </row>
    <row r="3856" spans="1:8" x14ac:dyDescent="0.2">
      <c r="A3856" s="2" t="s">
        <v>3343</v>
      </c>
      <c r="B3856" s="2" t="s">
        <v>704</v>
      </c>
      <c r="C3856" s="2">
        <v>610.68470000000002</v>
      </c>
      <c r="D3856" s="2">
        <f>HYPERLINK("http://mcb-m6.bioreg.kyushu-u.ac.jp/M3/20110427/F51124/1519/1", 49.11)</f>
        <v>49.11</v>
      </c>
      <c r="E3856" s="2">
        <v>3.74</v>
      </c>
      <c r="F3856" s="2">
        <v>2</v>
      </c>
      <c r="G3856" s="2" t="s">
        <v>14</v>
      </c>
      <c r="H3856" s="2" t="s">
        <v>4908</v>
      </c>
    </row>
    <row r="3857" spans="1:8" x14ac:dyDescent="0.2">
      <c r="A3857" s="2" t="s">
        <v>3343</v>
      </c>
      <c r="B3857" s="2" t="s">
        <v>704</v>
      </c>
      <c r="C3857" s="2">
        <v>602.67070000000001</v>
      </c>
      <c r="D3857" s="2">
        <f>HYPERLINK("http://mcb-m6.bioreg.kyushu-u.ac.jp/M3/20110428/F51128/1371/1", 49.41)</f>
        <v>49.41</v>
      </c>
      <c r="E3857" s="2">
        <v>12.2</v>
      </c>
      <c r="F3857" s="2">
        <v>2</v>
      </c>
      <c r="G3857" s="2" t="s">
        <v>14</v>
      </c>
    </row>
    <row r="3858" spans="1:8" x14ac:dyDescent="0.2">
      <c r="A3858" s="2" t="s">
        <v>3343</v>
      </c>
      <c r="B3858" s="2" t="s">
        <v>328</v>
      </c>
      <c r="C3858" s="2">
        <v>1146.655</v>
      </c>
      <c r="D3858" s="2">
        <f>HYPERLINK("http://mcb-m6.bioreg.kyushu-u.ac.jp/M3/20110428/F51135/1198/1", 49.74)</f>
        <v>49.74</v>
      </c>
      <c r="E3858" s="2">
        <v>16.059999999999999</v>
      </c>
      <c r="F3858" s="2">
        <v>1</v>
      </c>
      <c r="G3858" s="2" t="s">
        <v>14</v>
      </c>
    </row>
    <row r="3859" spans="1:8" x14ac:dyDescent="0.2">
      <c r="A3859" s="2" t="s">
        <v>3343</v>
      </c>
      <c r="B3859" s="2" t="s">
        <v>704</v>
      </c>
      <c r="C3859" s="2">
        <v>602.65309999999999</v>
      </c>
      <c r="D3859" s="2">
        <f>HYPERLINK("http://mcb-m6.bioreg.kyushu-u.ac.jp/M3/20110427/F51121/1598/1", 50.09)</f>
        <v>50.09</v>
      </c>
      <c r="E3859" s="2">
        <v>15.39</v>
      </c>
      <c r="F3859" s="2">
        <v>2</v>
      </c>
      <c r="G3859" s="2" t="s">
        <v>14</v>
      </c>
    </row>
    <row r="3860" spans="1:8" x14ac:dyDescent="0.2">
      <c r="A3860" s="2" t="s">
        <v>3343</v>
      </c>
      <c r="B3860" s="2" t="s">
        <v>1002</v>
      </c>
      <c r="C3860" s="2">
        <v>1148.1569999999999</v>
      </c>
      <c r="D3860" s="2">
        <f>HYPERLINK("http://mcb-m6.bioreg.kyushu-u.ac.jp/M3/20110428/F51135/2989/1", 51.12)</f>
        <v>51.12</v>
      </c>
      <c r="E3860" s="2">
        <v>37.96</v>
      </c>
      <c r="F3860" s="2">
        <v>2</v>
      </c>
      <c r="G3860" s="2" t="s">
        <v>14</v>
      </c>
    </row>
    <row r="3861" spans="1:8" x14ac:dyDescent="0.2">
      <c r="A3861" s="2" t="s">
        <v>3343</v>
      </c>
      <c r="B3861" s="2" t="s">
        <v>704</v>
      </c>
      <c r="C3861" s="2">
        <v>610.77809999999999</v>
      </c>
      <c r="D3861" s="2">
        <f>HYPERLINK("http://mcb-m6.bioreg.kyushu-u.ac.jp/M3/20110427/F51121/1619/1", 52.05)</f>
        <v>52.05</v>
      </c>
      <c r="E3861" s="2">
        <v>26.41</v>
      </c>
      <c r="F3861" s="2">
        <v>2</v>
      </c>
      <c r="G3861" s="2" t="s">
        <v>14</v>
      </c>
      <c r="H3861" s="2" t="s">
        <v>4908</v>
      </c>
    </row>
    <row r="3862" spans="1:8" x14ac:dyDescent="0.2">
      <c r="A3862" s="2" t="s">
        <v>3343</v>
      </c>
      <c r="B3862" s="2" t="s">
        <v>704</v>
      </c>
      <c r="C3862" s="2">
        <v>603.1327</v>
      </c>
      <c r="D3862" s="2">
        <f>HYPERLINK("http://mcb-m6.bioreg.kyushu-u.ac.jp/M3/20110427/F51122/1684/1", 52.52)</f>
        <v>52.52</v>
      </c>
      <c r="E3862" s="2">
        <v>19.760000000000002</v>
      </c>
      <c r="F3862" s="2">
        <v>2</v>
      </c>
      <c r="G3862" s="2" t="s">
        <v>14</v>
      </c>
    </row>
    <row r="3863" spans="1:8" x14ac:dyDescent="0.2">
      <c r="A3863" s="2" t="s">
        <v>3343</v>
      </c>
      <c r="B3863" s="2" t="s">
        <v>210</v>
      </c>
      <c r="C3863" s="2">
        <v>546.68409999999994</v>
      </c>
      <c r="D3863" s="2">
        <f>HYPERLINK("http://mcb-m6.bioreg.kyushu-u.ac.jp/M3/20110428/F51135/1123/1", 52.7)</f>
        <v>52.7</v>
      </c>
      <c r="E3863" s="2">
        <v>18.78</v>
      </c>
      <c r="F3863" s="2">
        <v>2</v>
      </c>
      <c r="G3863" s="2" t="s">
        <v>14</v>
      </c>
    </row>
    <row r="3864" spans="1:8" x14ac:dyDescent="0.2">
      <c r="A3864" s="2" t="s">
        <v>3343</v>
      </c>
      <c r="B3864" s="2" t="s">
        <v>1032</v>
      </c>
      <c r="C3864" s="2">
        <v>1163.809</v>
      </c>
      <c r="D3864" s="2">
        <f>HYPERLINK("http://mcb-m6.bioreg.kyushu-u.ac.jp/M3/20110428/F51128/3458/1", 53.37)</f>
        <v>53.37</v>
      </c>
      <c r="E3864" s="2">
        <v>43.5</v>
      </c>
      <c r="F3864" s="2">
        <v>2</v>
      </c>
      <c r="G3864" s="2" t="s">
        <v>14</v>
      </c>
    </row>
    <row r="3865" spans="1:8" x14ac:dyDescent="0.2">
      <c r="A3865" s="2" t="s">
        <v>3343</v>
      </c>
      <c r="B3865" s="2" t="s">
        <v>943</v>
      </c>
      <c r="C3865" s="2">
        <v>506.67110000000002</v>
      </c>
      <c r="D3865" s="2">
        <f>HYPERLINK("http://mcb-m6.bioreg.kyushu-u.ac.jp/M3/20110427/F51123/1050/1", 54.04)</f>
        <v>54.04</v>
      </c>
      <c r="E3865" s="2">
        <v>29.82</v>
      </c>
      <c r="F3865" s="2">
        <v>2</v>
      </c>
      <c r="G3865" s="2" t="s">
        <v>14</v>
      </c>
    </row>
    <row r="3866" spans="1:8" x14ac:dyDescent="0.2">
      <c r="A3866" s="2" t="s">
        <v>3343</v>
      </c>
      <c r="B3866" s="2" t="s">
        <v>704</v>
      </c>
      <c r="C3866" s="2">
        <v>611.19920000000002</v>
      </c>
      <c r="D3866" s="2">
        <f>HYPERLINK("http://mcb-m6.bioreg.kyushu-u.ac.jp/M3/20110427/F51123/1488/1", 54.85)</f>
        <v>54.85</v>
      </c>
      <c r="E3866" s="2">
        <v>24.17</v>
      </c>
      <c r="F3866" s="2">
        <v>2</v>
      </c>
      <c r="G3866" s="2" t="s">
        <v>14</v>
      </c>
      <c r="H3866" s="2" t="s">
        <v>4908</v>
      </c>
    </row>
    <row r="3867" spans="1:8" x14ac:dyDescent="0.2">
      <c r="A3867" s="2" t="s">
        <v>3343</v>
      </c>
      <c r="B3867" s="2" t="s">
        <v>344</v>
      </c>
      <c r="C3867" s="2">
        <v>919.44069999999999</v>
      </c>
      <c r="D3867" s="2">
        <f>HYPERLINK("http://mcb-m6.bioreg.kyushu-u.ac.jp/M3/20110428/F51135/2472/1", 54.97)</f>
        <v>54.97</v>
      </c>
      <c r="E3867" s="2">
        <v>36.299999999999997</v>
      </c>
      <c r="F3867" s="2">
        <v>2</v>
      </c>
      <c r="G3867" s="2" t="s">
        <v>14</v>
      </c>
    </row>
    <row r="3868" spans="1:8" x14ac:dyDescent="0.2">
      <c r="A3868" s="2" t="s">
        <v>3343</v>
      </c>
      <c r="B3868" s="2" t="s">
        <v>704</v>
      </c>
      <c r="C3868" s="2">
        <v>603.09619999999995</v>
      </c>
      <c r="D3868" s="2">
        <f>HYPERLINK("http://mcb-m6.bioreg.kyushu-u.ac.jp/M3/20110427/F51124/1487/1", 55.05)</f>
        <v>55.05</v>
      </c>
      <c r="E3868" s="2">
        <v>27.04</v>
      </c>
      <c r="F3868" s="2">
        <v>2</v>
      </c>
      <c r="G3868" s="2" t="s">
        <v>14</v>
      </c>
    </row>
    <row r="3869" spans="1:8" x14ac:dyDescent="0.2">
      <c r="A3869" s="2" t="s">
        <v>3343</v>
      </c>
      <c r="B3869" s="2" t="s">
        <v>132</v>
      </c>
      <c r="C3869" s="2">
        <v>578.20719999999994</v>
      </c>
      <c r="D3869" s="2">
        <f>HYPERLINK("http://mcb-m6.bioreg.kyushu-u.ac.jp/M3/20110427/F51120/1592/1", 55.28)</f>
        <v>55.28</v>
      </c>
      <c r="E3869" s="2">
        <v>33.76</v>
      </c>
      <c r="F3869" s="2">
        <v>2</v>
      </c>
      <c r="G3869" s="2" t="s">
        <v>14</v>
      </c>
    </row>
    <row r="3870" spans="1:8" x14ac:dyDescent="0.2">
      <c r="A3870" s="2" t="s">
        <v>3343</v>
      </c>
      <c r="B3870" s="2" t="s">
        <v>546</v>
      </c>
      <c r="C3870" s="2">
        <v>665.07209999999998</v>
      </c>
      <c r="D3870" s="2">
        <f>HYPERLINK("http://mcb-m6.bioreg.kyushu-u.ac.jp/M3/20110428/F51135/1476/2", 56.44)</f>
        <v>56.44</v>
      </c>
      <c r="E3870" s="2">
        <v>46.67</v>
      </c>
      <c r="F3870" s="2">
        <v>2</v>
      </c>
      <c r="G3870" s="2" t="s">
        <v>14</v>
      </c>
    </row>
    <row r="3871" spans="1:8" x14ac:dyDescent="0.2">
      <c r="A3871" s="2" t="s">
        <v>3343</v>
      </c>
      <c r="B3871" s="2" t="s">
        <v>509</v>
      </c>
      <c r="C3871" s="2">
        <v>717.26170000000002</v>
      </c>
      <c r="D3871" s="2">
        <f>HYPERLINK("http://mcb-m6.bioreg.kyushu-u.ac.jp/M3/20110427/F51123/1922/1", 56.49)</f>
        <v>56.49</v>
      </c>
      <c r="E3871" s="2">
        <v>39.729999999999997</v>
      </c>
      <c r="F3871" s="2">
        <v>2</v>
      </c>
      <c r="G3871" s="2" t="s">
        <v>14</v>
      </c>
    </row>
    <row r="3872" spans="1:8" x14ac:dyDescent="0.2">
      <c r="A3872" s="2" t="s">
        <v>3343</v>
      </c>
      <c r="B3872" s="2" t="s">
        <v>132</v>
      </c>
      <c r="C3872" s="2">
        <v>578.08420000000001</v>
      </c>
      <c r="D3872" s="2">
        <f>HYPERLINK("http://mcb-m6.bioreg.kyushu-u.ac.jp/M3/20110427/F51125/1479/1", 56.7)</f>
        <v>56.7</v>
      </c>
      <c r="E3872" s="2">
        <v>13.54</v>
      </c>
      <c r="F3872" s="2">
        <v>2</v>
      </c>
      <c r="G3872" s="2" t="s">
        <v>14</v>
      </c>
    </row>
    <row r="3873" spans="1:8" x14ac:dyDescent="0.2">
      <c r="A3873" s="2" t="s">
        <v>3343</v>
      </c>
      <c r="B3873" s="2" t="s">
        <v>132</v>
      </c>
      <c r="C3873" s="2">
        <v>578.65009999999995</v>
      </c>
      <c r="D3873" s="2">
        <f>HYPERLINK("http://mcb-m6.bioreg.kyushu-u.ac.jp/M3/20110428/F51128/1233/1", 57.38)</f>
        <v>57.38</v>
      </c>
      <c r="E3873" s="2">
        <v>23.91</v>
      </c>
      <c r="F3873" s="2">
        <v>2</v>
      </c>
      <c r="G3873" s="2" t="s">
        <v>14</v>
      </c>
    </row>
    <row r="3874" spans="1:8" x14ac:dyDescent="0.2">
      <c r="A3874" s="2" t="s">
        <v>3343</v>
      </c>
      <c r="B3874" s="2" t="s">
        <v>546</v>
      </c>
      <c r="C3874" s="2">
        <v>665.18119999999999</v>
      </c>
      <c r="D3874" s="2">
        <f>HYPERLINK("http://mcb-m6.bioreg.kyushu-u.ac.jp/M3/20110427/F51120/1799/2", 57.57)</f>
        <v>57.57</v>
      </c>
      <c r="E3874" s="2">
        <v>39.82</v>
      </c>
      <c r="F3874" s="2">
        <v>2</v>
      </c>
      <c r="G3874" s="2" t="s">
        <v>14</v>
      </c>
    </row>
    <row r="3875" spans="1:8" x14ac:dyDescent="0.2">
      <c r="A3875" s="2" t="s">
        <v>3343</v>
      </c>
      <c r="B3875" s="2" t="s">
        <v>1002</v>
      </c>
      <c r="C3875" s="2">
        <v>1147.934</v>
      </c>
      <c r="D3875" s="2">
        <f>HYPERLINK("http://mcb-m6.bioreg.kyushu-u.ac.jp/M3/20110427/F51121/2874/1", 57.9)</f>
        <v>57.9</v>
      </c>
      <c r="E3875" s="2">
        <v>48</v>
      </c>
      <c r="F3875" s="2">
        <v>2</v>
      </c>
      <c r="G3875" s="2" t="s">
        <v>14</v>
      </c>
    </row>
    <row r="3876" spans="1:8" x14ac:dyDescent="0.2">
      <c r="A3876" s="2" t="s">
        <v>3343</v>
      </c>
      <c r="B3876" s="2" t="s">
        <v>428</v>
      </c>
      <c r="C3876" s="2">
        <v>451.93959999999998</v>
      </c>
      <c r="D3876" s="2">
        <f>HYPERLINK("http://mcb-m6.bioreg.kyushu-u.ac.jp/M3/20110428/F51135/712/1", 58.23)</f>
        <v>58.23</v>
      </c>
      <c r="E3876" s="2">
        <v>29.47</v>
      </c>
      <c r="F3876" s="2">
        <v>2</v>
      </c>
      <c r="G3876" s="2" t="s">
        <v>14</v>
      </c>
    </row>
    <row r="3877" spans="1:8" x14ac:dyDescent="0.2">
      <c r="A3877" s="2" t="s">
        <v>3343</v>
      </c>
      <c r="B3877" s="2" t="s">
        <v>704</v>
      </c>
      <c r="C3877" s="2">
        <v>610.66920000000005</v>
      </c>
      <c r="D3877" s="2">
        <f>HYPERLINK("http://mcb-m6.bioreg.kyushu-u.ac.jp/M3/20110427/F51122/1706/1", 59.33)</f>
        <v>59.33</v>
      </c>
      <c r="E3877" s="2">
        <v>23.51</v>
      </c>
      <c r="F3877" s="2">
        <v>2</v>
      </c>
      <c r="G3877" s="2" t="s">
        <v>14</v>
      </c>
      <c r="H3877" s="2" t="s">
        <v>4908</v>
      </c>
    </row>
    <row r="3878" spans="1:8" x14ac:dyDescent="0.2">
      <c r="A3878" s="2" t="s">
        <v>3343</v>
      </c>
      <c r="B3878" s="2" t="s">
        <v>546</v>
      </c>
      <c r="C3878" s="2">
        <v>665.02369999999996</v>
      </c>
      <c r="D3878" s="2">
        <f>HYPERLINK("http://mcb-m6.bioreg.kyushu-u.ac.jp/M3/20110427/F51125/1761/2", 59.83)</f>
        <v>59.83</v>
      </c>
      <c r="E3878" s="2">
        <v>41.34</v>
      </c>
      <c r="F3878" s="2">
        <v>2</v>
      </c>
      <c r="G3878" s="2" t="s">
        <v>14</v>
      </c>
    </row>
    <row r="3879" spans="1:8" x14ac:dyDescent="0.2">
      <c r="A3879" s="2" t="s">
        <v>3343</v>
      </c>
      <c r="B3879" s="2" t="s">
        <v>704</v>
      </c>
      <c r="C3879" s="2">
        <v>611.35609999999997</v>
      </c>
      <c r="D3879" s="2">
        <f>HYPERLINK("http://mcb-m6.bioreg.kyushu-u.ac.jp/M3/20110428/F51135/1351/1", 60.53)</f>
        <v>60.53</v>
      </c>
      <c r="E3879" s="2">
        <v>26.21</v>
      </c>
      <c r="F3879" s="2">
        <v>2</v>
      </c>
      <c r="G3879" s="2" t="s">
        <v>14</v>
      </c>
      <c r="H3879" s="2" t="s">
        <v>4908</v>
      </c>
    </row>
    <row r="3880" spans="1:8" x14ac:dyDescent="0.2">
      <c r="A3880" s="2" t="s">
        <v>3343</v>
      </c>
      <c r="B3880" s="2" t="s">
        <v>325</v>
      </c>
      <c r="C3880" s="2">
        <v>1478.86</v>
      </c>
      <c r="D3880" s="2">
        <f>HYPERLINK("http://mcb-m6.bioreg.kyushu-u.ac.jp/M3/20110428/F51135/1831/1", 60.8)</f>
        <v>60.8</v>
      </c>
      <c r="E3880" s="2">
        <v>48.01</v>
      </c>
      <c r="F3880" s="2">
        <v>1</v>
      </c>
      <c r="G3880" s="2" t="s">
        <v>14</v>
      </c>
    </row>
    <row r="3881" spans="1:8" x14ac:dyDescent="0.2">
      <c r="A3881" s="2" t="s">
        <v>3343</v>
      </c>
      <c r="B3881" s="2" t="s">
        <v>344</v>
      </c>
      <c r="C3881" s="2">
        <v>919.68870000000004</v>
      </c>
      <c r="D3881" s="2">
        <f>HYPERLINK("http://mcb-m6.bioreg.kyushu-u.ac.jp/M3/20110428/F51135/2473/1", 61.07)</f>
        <v>61.07</v>
      </c>
      <c r="E3881" s="2">
        <v>38.840000000000003</v>
      </c>
      <c r="F3881" s="2">
        <v>2</v>
      </c>
      <c r="G3881" s="2" t="s">
        <v>14</v>
      </c>
    </row>
    <row r="3882" spans="1:8" x14ac:dyDescent="0.2">
      <c r="A3882" s="2" t="s">
        <v>3343</v>
      </c>
      <c r="B3882" s="2" t="s">
        <v>509</v>
      </c>
      <c r="C3882" s="2">
        <v>717.21559999999999</v>
      </c>
      <c r="D3882" s="2">
        <f>HYPERLINK("http://mcb-m6.bioreg.kyushu-u.ac.jp/M3/20110428/F51128/1855/1", 61.3)</f>
        <v>61.3</v>
      </c>
      <c r="E3882" s="2">
        <v>48.78</v>
      </c>
      <c r="F3882" s="2">
        <v>2</v>
      </c>
      <c r="G3882" s="2" t="s">
        <v>14</v>
      </c>
    </row>
    <row r="3883" spans="1:8" x14ac:dyDescent="0.2">
      <c r="A3883" s="2" t="s">
        <v>3343</v>
      </c>
      <c r="B3883" s="2" t="s">
        <v>943</v>
      </c>
      <c r="C3883" s="2">
        <v>507.12459999999999</v>
      </c>
      <c r="D3883" s="2">
        <f>HYPERLINK("http://mcb-m6.bioreg.kyushu-u.ac.jp/M3/20110427/F51121/1286/1", 63.36)</f>
        <v>63.36</v>
      </c>
      <c r="E3883" s="2">
        <v>37.909999999999997</v>
      </c>
      <c r="F3883" s="2">
        <v>2</v>
      </c>
      <c r="G3883" s="2" t="s">
        <v>14</v>
      </c>
    </row>
    <row r="3884" spans="1:8" x14ac:dyDescent="0.2">
      <c r="A3884" s="2" t="s">
        <v>3343</v>
      </c>
      <c r="B3884" s="2" t="s">
        <v>1002</v>
      </c>
      <c r="C3884" s="2">
        <v>1148.154</v>
      </c>
      <c r="D3884" s="2">
        <f>HYPERLINK("http://mcb-m6.bioreg.kyushu-u.ac.jp/M3/20110428/F51135/2988/1", 63.38)</f>
        <v>63.38</v>
      </c>
      <c r="E3884" s="2">
        <v>51.81</v>
      </c>
      <c r="F3884" s="2">
        <v>2</v>
      </c>
      <c r="G3884" s="2" t="s">
        <v>14</v>
      </c>
    </row>
    <row r="3885" spans="1:8" x14ac:dyDescent="0.2">
      <c r="A3885" s="2" t="s">
        <v>3343</v>
      </c>
      <c r="B3885" s="2" t="s">
        <v>509</v>
      </c>
      <c r="C3885" s="2">
        <v>717.75710000000004</v>
      </c>
      <c r="D3885" s="2">
        <f>HYPERLINK("http://mcb-m6.bioreg.kyushu-u.ac.jp/M3/20110428/F51135/1742/1", 63.44)</f>
        <v>63.44</v>
      </c>
      <c r="E3885" s="2">
        <v>45</v>
      </c>
      <c r="F3885" s="2">
        <v>2</v>
      </c>
      <c r="G3885" s="2" t="s">
        <v>14</v>
      </c>
    </row>
    <row r="3886" spans="1:8" x14ac:dyDescent="0.2">
      <c r="A3886" s="2" t="s">
        <v>3343</v>
      </c>
      <c r="B3886" s="2" t="s">
        <v>132</v>
      </c>
      <c r="C3886" s="2">
        <v>578.60310000000004</v>
      </c>
      <c r="D3886" s="2">
        <f>HYPERLINK("http://mcb-m6.bioreg.kyushu-u.ac.jp/M3/20110427/F51125/1482/1", 65.28)</f>
        <v>65.28</v>
      </c>
      <c r="E3886" s="2">
        <v>34.65</v>
      </c>
      <c r="F3886" s="2">
        <v>2</v>
      </c>
      <c r="G3886" s="2" t="s">
        <v>14</v>
      </c>
    </row>
    <row r="3887" spans="1:8" x14ac:dyDescent="0.2">
      <c r="A3887" s="2" t="s">
        <v>3343</v>
      </c>
      <c r="B3887" s="2" t="s">
        <v>704</v>
      </c>
      <c r="C3887" s="2">
        <v>610.83720000000005</v>
      </c>
      <c r="D3887" s="2">
        <f>HYPERLINK("http://mcb-m6.bioreg.kyushu-u.ac.jp/M3/20110428/F51135/1350/1", 65.46)</f>
        <v>65.459999999999994</v>
      </c>
      <c r="E3887" s="2">
        <v>34.340000000000003</v>
      </c>
      <c r="F3887" s="2">
        <v>2</v>
      </c>
      <c r="G3887" s="2" t="s">
        <v>14</v>
      </c>
      <c r="H3887" s="2" t="s">
        <v>4908</v>
      </c>
    </row>
    <row r="3888" spans="1:8" x14ac:dyDescent="0.2">
      <c r="A3888" s="2" t="s">
        <v>3343</v>
      </c>
      <c r="B3888" s="2" t="s">
        <v>132</v>
      </c>
      <c r="C3888" s="2">
        <v>578.36469999999997</v>
      </c>
      <c r="D3888" s="2">
        <f>HYPERLINK("http://mcb-m6.bioreg.kyushu-u.ac.jp/M3/20110428/F51130/1378/1", 65.65)</f>
        <v>65.650000000000006</v>
      </c>
      <c r="E3888" s="2">
        <v>36.94</v>
      </c>
      <c r="F3888" s="2">
        <v>2</v>
      </c>
      <c r="G3888" s="2" t="s">
        <v>14</v>
      </c>
    </row>
    <row r="3889" spans="1:8" x14ac:dyDescent="0.2">
      <c r="A3889" s="2" t="s">
        <v>3343</v>
      </c>
      <c r="B3889" s="2" t="s">
        <v>704</v>
      </c>
      <c r="C3889" s="2">
        <v>610.72220000000004</v>
      </c>
      <c r="D3889" s="2">
        <f>HYPERLINK("http://mcb-m6.bioreg.kyushu-u.ac.jp/M3/20110427/F51119/1823/1", 66.34)</f>
        <v>66.34</v>
      </c>
      <c r="E3889" s="2">
        <v>37.69</v>
      </c>
      <c r="F3889" s="2">
        <v>2</v>
      </c>
      <c r="G3889" s="2" t="s">
        <v>14</v>
      </c>
      <c r="H3889" s="2" t="s">
        <v>4908</v>
      </c>
    </row>
    <row r="3890" spans="1:8" x14ac:dyDescent="0.2">
      <c r="A3890" s="2" t="s">
        <v>3343</v>
      </c>
      <c r="B3890" s="2" t="s">
        <v>558</v>
      </c>
      <c r="C3890" s="2">
        <v>729.77620000000002</v>
      </c>
      <c r="D3890" s="2">
        <f>HYPERLINK("http://mcb-m6.bioreg.kyushu-u.ac.jp/M3/20110427/F51123/1980/1", 67.15)</f>
        <v>67.150000000000006</v>
      </c>
      <c r="E3890" s="2">
        <v>53.11</v>
      </c>
      <c r="F3890" s="2">
        <v>2</v>
      </c>
      <c r="G3890" s="2" t="s">
        <v>14</v>
      </c>
    </row>
    <row r="3891" spans="1:8" x14ac:dyDescent="0.2">
      <c r="A3891" s="2" t="s">
        <v>3343</v>
      </c>
      <c r="B3891" s="2" t="s">
        <v>132</v>
      </c>
      <c r="C3891" s="2">
        <v>578.55619999999999</v>
      </c>
      <c r="D3891" s="2">
        <f>HYPERLINK("http://mcb-m6.bioreg.kyushu-u.ac.jp/M3/20110428/F51135/1211/1", 69.71)</f>
        <v>69.709999999999994</v>
      </c>
      <c r="E3891" s="2">
        <v>39.57</v>
      </c>
      <c r="F3891" s="2">
        <v>2</v>
      </c>
      <c r="G3891" s="2" t="s">
        <v>14</v>
      </c>
    </row>
    <row r="3892" spans="1:8" x14ac:dyDescent="0.2">
      <c r="A3892" s="2" t="s">
        <v>3343</v>
      </c>
      <c r="B3892" s="2" t="s">
        <v>546</v>
      </c>
      <c r="C3892" s="2">
        <v>665.08370000000002</v>
      </c>
      <c r="D3892" s="2">
        <f>HYPERLINK("http://mcb-m6.bioreg.kyushu-u.ac.jp/M3/20110428/F51129/1606/2", 69.75)</f>
        <v>69.75</v>
      </c>
      <c r="E3892" s="2">
        <v>52.45</v>
      </c>
      <c r="F3892" s="2">
        <v>2</v>
      </c>
      <c r="G3892" s="2" t="s">
        <v>14</v>
      </c>
    </row>
    <row r="3893" spans="1:8" x14ac:dyDescent="0.2">
      <c r="A3893" s="2" t="s">
        <v>3343</v>
      </c>
      <c r="B3893" s="2" t="s">
        <v>943</v>
      </c>
      <c r="C3893" s="2">
        <v>506.79109999999997</v>
      </c>
      <c r="D3893" s="2">
        <f>HYPERLINK("http://mcb-m6.bioreg.kyushu-u.ac.jp/M3/20110428/F51135/991/1", 70.22)</f>
        <v>70.22</v>
      </c>
      <c r="E3893" s="2">
        <v>47.7</v>
      </c>
      <c r="F3893" s="2">
        <v>2</v>
      </c>
      <c r="G3893" s="2" t="s">
        <v>14</v>
      </c>
    </row>
    <row r="3894" spans="1:8" x14ac:dyDescent="0.2">
      <c r="A3894" s="2" t="s">
        <v>3343</v>
      </c>
      <c r="B3894" s="2" t="s">
        <v>132</v>
      </c>
      <c r="C3894" s="2">
        <v>578.09770000000003</v>
      </c>
      <c r="D3894" s="2">
        <f>HYPERLINK("http://mcb-m6.bioreg.kyushu-u.ac.jp/M3/20110427/F51122/1584/1", 70.33)</f>
        <v>70.33</v>
      </c>
      <c r="E3894" s="2">
        <v>39.04</v>
      </c>
      <c r="F3894" s="2">
        <v>2</v>
      </c>
      <c r="G3894" s="2" t="s">
        <v>14</v>
      </c>
    </row>
    <row r="3895" spans="1:8" x14ac:dyDescent="0.2">
      <c r="A3895" s="2" t="s">
        <v>3343</v>
      </c>
      <c r="B3895" s="2" t="s">
        <v>943</v>
      </c>
      <c r="C3895" s="2">
        <v>506.5641</v>
      </c>
      <c r="D3895" s="2">
        <f>HYPERLINK("http://mcb-m6.bioreg.kyushu-u.ac.jp/M3/20110428/F51128/942/1", 71.33)</f>
        <v>71.33</v>
      </c>
      <c r="E3895" s="2">
        <v>49.96</v>
      </c>
      <c r="F3895" s="2">
        <v>2</v>
      </c>
      <c r="G3895" s="2" t="s">
        <v>14</v>
      </c>
    </row>
    <row r="3896" spans="1:8" x14ac:dyDescent="0.2">
      <c r="A3896" s="2" t="s">
        <v>3343</v>
      </c>
      <c r="B3896" s="2" t="s">
        <v>509</v>
      </c>
      <c r="C3896" s="2">
        <v>725.65809999999999</v>
      </c>
      <c r="D3896" s="2">
        <f>HYPERLINK("http://mcb-m6.bioreg.kyushu-u.ac.jp/M3/20110427/F51122/2101/1", 71.41)</f>
        <v>71.41</v>
      </c>
      <c r="E3896" s="2">
        <v>54.76</v>
      </c>
      <c r="F3896" s="2">
        <v>2</v>
      </c>
      <c r="G3896" s="2" t="s">
        <v>14</v>
      </c>
      <c r="H3896" s="2" t="s">
        <v>4927</v>
      </c>
    </row>
    <row r="3897" spans="1:8" x14ac:dyDescent="0.2">
      <c r="A3897" s="2" t="s">
        <v>3343</v>
      </c>
      <c r="B3897" s="2" t="s">
        <v>325</v>
      </c>
      <c r="C3897" s="2">
        <v>747.57709999999997</v>
      </c>
      <c r="D3897" s="2">
        <f>HYPERLINK("http://mcb-m6.bioreg.kyushu-u.ac.jp/M3/20110427/F51122/2186/1", 71.56)</f>
        <v>71.56</v>
      </c>
      <c r="E3897" s="2">
        <v>52.85</v>
      </c>
      <c r="F3897" s="2">
        <v>2</v>
      </c>
      <c r="G3897" s="2" t="s">
        <v>14</v>
      </c>
      <c r="H3897" s="2" t="s">
        <v>4925</v>
      </c>
    </row>
    <row r="3898" spans="1:8" x14ac:dyDescent="0.2">
      <c r="A3898" s="2" t="s">
        <v>3343</v>
      </c>
      <c r="B3898" s="2" t="s">
        <v>328</v>
      </c>
      <c r="C3898" s="2">
        <v>574.32669999999996</v>
      </c>
      <c r="D3898" s="2">
        <f>HYPERLINK("http://mcb-m6.bioreg.kyushu-u.ac.jp/M3/20110428/F51135/1200/1", 73.14)</f>
        <v>73.14</v>
      </c>
      <c r="E3898" s="2">
        <v>39.03</v>
      </c>
      <c r="F3898" s="2">
        <v>2</v>
      </c>
      <c r="G3898" s="2" t="s">
        <v>14</v>
      </c>
    </row>
    <row r="3899" spans="1:8" x14ac:dyDescent="0.2">
      <c r="A3899" s="2" t="s">
        <v>3343</v>
      </c>
      <c r="B3899" s="2" t="s">
        <v>558</v>
      </c>
      <c r="C3899" s="2">
        <v>729.42359999999996</v>
      </c>
      <c r="D3899" s="2">
        <f>HYPERLINK("http://mcb-m6.bioreg.kyushu-u.ac.jp/M3/20110428/F51135/1785/1", 74.66)</f>
        <v>74.66</v>
      </c>
      <c r="E3899" s="2">
        <v>57.12</v>
      </c>
      <c r="F3899" s="2">
        <v>2</v>
      </c>
      <c r="G3899" s="2" t="s">
        <v>14</v>
      </c>
    </row>
    <row r="3900" spans="1:8" x14ac:dyDescent="0.2">
      <c r="A3900" s="2" t="s">
        <v>3343</v>
      </c>
      <c r="B3900" s="2" t="s">
        <v>1002</v>
      </c>
      <c r="C3900" s="2">
        <v>1147.8720000000001</v>
      </c>
      <c r="D3900" s="2">
        <f>HYPERLINK("http://mcb-m6.bioreg.kyushu-u.ac.jp/M3/20110427/F51123/3473/1", 75.2)</f>
        <v>75.2</v>
      </c>
      <c r="E3900" s="2">
        <v>65.66</v>
      </c>
      <c r="F3900" s="2">
        <v>2</v>
      </c>
      <c r="G3900" s="2" t="s">
        <v>14</v>
      </c>
    </row>
    <row r="3901" spans="1:8" x14ac:dyDescent="0.2">
      <c r="A3901" s="2" t="s">
        <v>3343</v>
      </c>
      <c r="B3901" s="2" t="s">
        <v>328</v>
      </c>
      <c r="C3901" s="2">
        <v>573.77809999999999</v>
      </c>
      <c r="D3901" s="2">
        <f>HYPERLINK("http://mcb-m6.bioreg.kyushu-u.ac.jp/M3/20110428/F51135/1197/1", 75.56)</f>
        <v>75.56</v>
      </c>
      <c r="E3901" s="2">
        <v>33.92</v>
      </c>
      <c r="F3901" s="2">
        <v>2</v>
      </c>
      <c r="G3901" s="2" t="s">
        <v>14</v>
      </c>
    </row>
    <row r="3902" spans="1:8" x14ac:dyDescent="0.2">
      <c r="A3902" s="2" t="s">
        <v>3343</v>
      </c>
      <c r="B3902" s="2" t="s">
        <v>325</v>
      </c>
      <c r="C3902" s="2">
        <v>739.05520000000001</v>
      </c>
      <c r="D3902" s="2">
        <f>HYPERLINK("http://mcb-m6.bioreg.kyushu-u.ac.jp/M3/20110427/F51122/2144/1", 75.78)</f>
        <v>75.78</v>
      </c>
      <c r="E3902" s="2">
        <v>64.2</v>
      </c>
      <c r="F3902" s="2">
        <v>2</v>
      </c>
      <c r="G3902" s="2" t="s">
        <v>14</v>
      </c>
    </row>
    <row r="3903" spans="1:8" x14ac:dyDescent="0.2">
      <c r="A3903" s="2" t="s">
        <v>3343</v>
      </c>
      <c r="B3903" s="2" t="s">
        <v>546</v>
      </c>
      <c r="C3903" s="2">
        <v>664.62919999999997</v>
      </c>
      <c r="D3903" s="2">
        <f>HYPERLINK("http://mcb-m6.bioreg.kyushu-u.ac.jp/M3/20110427/F51120/1797/2", 75.93)</f>
        <v>75.930000000000007</v>
      </c>
      <c r="E3903" s="2">
        <v>56.46</v>
      </c>
      <c r="F3903" s="2">
        <v>2</v>
      </c>
      <c r="G3903" s="2" t="s">
        <v>14</v>
      </c>
    </row>
    <row r="3904" spans="1:8" x14ac:dyDescent="0.2">
      <c r="A3904" s="2" t="s">
        <v>3343</v>
      </c>
      <c r="B3904" s="2" t="s">
        <v>943</v>
      </c>
      <c r="C3904" s="2">
        <v>506.67309999999998</v>
      </c>
      <c r="D3904" s="2">
        <f>HYPERLINK("http://mcb-m6.bioreg.kyushu-u.ac.jp/M3/20110427/F51122/1292/1", 76.16)</f>
        <v>76.16</v>
      </c>
      <c r="E3904" s="2">
        <v>44.33</v>
      </c>
      <c r="F3904" s="2">
        <v>2</v>
      </c>
      <c r="G3904" s="2" t="s">
        <v>14</v>
      </c>
    </row>
    <row r="3905" spans="1:8" x14ac:dyDescent="0.2">
      <c r="A3905" s="2" t="s">
        <v>3343</v>
      </c>
      <c r="B3905" s="2" t="s">
        <v>546</v>
      </c>
      <c r="C3905" s="2">
        <v>664.95119999999997</v>
      </c>
      <c r="D3905" s="2">
        <f>HYPERLINK("http://mcb-m6.bioreg.kyushu-u.ac.jp/M3/20110427/F51124/1663/2", 77.86)</f>
        <v>77.86</v>
      </c>
      <c r="E3905" s="2">
        <v>57.38</v>
      </c>
      <c r="F3905" s="2">
        <v>2</v>
      </c>
      <c r="G3905" s="2" t="s">
        <v>14</v>
      </c>
    </row>
    <row r="3906" spans="1:8" x14ac:dyDescent="0.2">
      <c r="A3906" s="2" t="s">
        <v>3343</v>
      </c>
      <c r="B3906" s="2" t="s">
        <v>546</v>
      </c>
      <c r="C3906" s="2">
        <v>665.14970000000005</v>
      </c>
      <c r="D3906" s="2">
        <f>HYPERLINK("http://mcb-m6.bioreg.kyushu-u.ac.jp/M3/20110428/F51135/1477/2", 78.3)</f>
        <v>78.3</v>
      </c>
      <c r="E3906" s="2">
        <v>53.76</v>
      </c>
      <c r="F3906" s="2">
        <v>2</v>
      </c>
      <c r="G3906" s="2" t="s">
        <v>14</v>
      </c>
    </row>
    <row r="3907" spans="1:8" x14ac:dyDescent="0.2">
      <c r="A3907" s="2" t="s">
        <v>3343</v>
      </c>
      <c r="B3907" s="2" t="s">
        <v>1002</v>
      </c>
      <c r="C3907" s="2">
        <v>1147.3150000000001</v>
      </c>
      <c r="D3907" s="2">
        <f>HYPERLINK("http://mcb-m6.bioreg.kyushu-u.ac.jp/M3/20110427/F51122/3098/1", 78.45)</f>
        <v>78.45</v>
      </c>
      <c r="E3907" s="2">
        <v>66.3</v>
      </c>
      <c r="F3907" s="2">
        <v>2</v>
      </c>
      <c r="G3907" s="2" t="s">
        <v>14</v>
      </c>
    </row>
    <row r="3908" spans="1:8" x14ac:dyDescent="0.2">
      <c r="A3908" s="2" t="s">
        <v>3343</v>
      </c>
      <c r="B3908" s="2" t="s">
        <v>1002</v>
      </c>
      <c r="C3908" s="2">
        <v>1147.3800000000001</v>
      </c>
      <c r="D3908" s="2">
        <f>HYPERLINK("http://mcb-m6.bioreg.kyushu-u.ac.jp/M3/20110428/F51128/3420/1", 78.71)</f>
        <v>78.709999999999994</v>
      </c>
      <c r="E3908" s="2">
        <v>69.180000000000007</v>
      </c>
      <c r="F3908" s="2">
        <v>2</v>
      </c>
      <c r="G3908" s="2" t="s">
        <v>14</v>
      </c>
    </row>
    <row r="3909" spans="1:8" x14ac:dyDescent="0.2">
      <c r="A3909" s="2" t="s">
        <v>3343</v>
      </c>
      <c r="B3909" s="2" t="s">
        <v>325</v>
      </c>
      <c r="C3909" s="2">
        <v>1477.7729999999999</v>
      </c>
      <c r="D3909" s="2">
        <f>HYPERLINK("http://mcb-m6.bioreg.kyushu-u.ac.jp/M3/20110428/F51135/1827/1", 80.07)</f>
        <v>80.069999999999993</v>
      </c>
      <c r="E3909" s="2">
        <v>66.760000000000005</v>
      </c>
      <c r="F3909" s="2">
        <v>1</v>
      </c>
      <c r="G3909" s="2" t="s">
        <v>14</v>
      </c>
    </row>
    <row r="3910" spans="1:8" x14ac:dyDescent="0.2">
      <c r="A3910" s="2" t="s">
        <v>3343</v>
      </c>
      <c r="B3910" s="2" t="s">
        <v>1002</v>
      </c>
      <c r="C3910" s="2">
        <v>1147.345</v>
      </c>
      <c r="D3910" s="2">
        <f>HYPERLINK("http://mcb-m6.bioreg.kyushu-u.ac.jp/M3/20110427/F51123/3471/1", 80.64)</f>
        <v>80.64</v>
      </c>
      <c r="E3910" s="2">
        <v>66.44</v>
      </c>
      <c r="F3910" s="2">
        <v>2</v>
      </c>
      <c r="G3910" s="2" t="s">
        <v>14</v>
      </c>
    </row>
    <row r="3911" spans="1:8" x14ac:dyDescent="0.2">
      <c r="A3911" s="2" t="s">
        <v>3343</v>
      </c>
      <c r="B3911" s="2" t="s">
        <v>344</v>
      </c>
      <c r="C3911" s="2">
        <v>919.67470000000003</v>
      </c>
      <c r="D3911" s="2">
        <f>HYPERLINK("http://mcb-m6.bioreg.kyushu-u.ac.jp/M3/20110427/F51121/2542/1", 80.68)</f>
        <v>80.680000000000007</v>
      </c>
      <c r="E3911" s="2">
        <v>53.47</v>
      </c>
      <c r="F3911" s="2">
        <v>2</v>
      </c>
      <c r="G3911" s="2" t="s">
        <v>14</v>
      </c>
    </row>
    <row r="3912" spans="1:8" x14ac:dyDescent="0.2">
      <c r="A3912" s="2" t="s">
        <v>3343</v>
      </c>
      <c r="B3912" s="2" t="s">
        <v>546</v>
      </c>
      <c r="C3912" s="2">
        <v>664.63509999999997</v>
      </c>
      <c r="D3912" s="2">
        <f>HYPERLINK("http://mcb-m6.bioreg.kyushu-u.ac.jp/M3/20110427/F51119/1921/2", 80.85)</f>
        <v>80.849999999999994</v>
      </c>
      <c r="E3912" s="2">
        <v>59.49</v>
      </c>
      <c r="F3912" s="2">
        <v>2</v>
      </c>
      <c r="G3912" s="2" t="s">
        <v>14</v>
      </c>
    </row>
    <row r="3913" spans="1:8" x14ac:dyDescent="0.2">
      <c r="A3913" s="2" t="s">
        <v>3343</v>
      </c>
      <c r="B3913" s="2" t="s">
        <v>344</v>
      </c>
      <c r="C3913" s="2">
        <v>919.50519999999995</v>
      </c>
      <c r="D3913" s="2">
        <f>HYPERLINK("http://mcb-m6.bioreg.kyushu-u.ac.jp/M3/20110427/F51122/2746/1", 81.01)</f>
        <v>81.010000000000005</v>
      </c>
      <c r="E3913" s="2">
        <v>53.59</v>
      </c>
      <c r="F3913" s="2">
        <v>2</v>
      </c>
      <c r="G3913" s="2" t="s">
        <v>14</v>
      </c>
    </row>
    <row r="3914" spans="1:8" x14ac:dyDescent="0.2">
      <c r="A3914" s="2" t="s">
        <v>3343</v>
      </c>
      <c r="B3914" s="2" t="s">
        <v>132</v>
      </c>
      <c r="C3914" s="2">
        <v>578.12459999999999</v>
      </c>
      <c r="D3914" s="2">
        <f>HYPERLINK("http://mcb-m6.bioreg.kyushu-u.ac.jp/M3/20110428/F51128/1232/1", 81.18)</f>
        <v>81.180000000000007</v>
      </c>
      <c r="E3914" s="2">
        <v>47.45</v>
      </c>
      <c r="F3914" s="2">
        <v>2</v>
      </c>
      <c r="G3914" s="2" t="s">
        <v>14</v>
      </c>
    </row>
    <row r="3915" spans="1:8" x14ac:dyDescent="0.2">
      <c r="A3915" s="2" t="s">
        <v>3343</v>
      </c>
      <c r="B3915" s="2" t="s">
        <v>546</v>
      </c>
      <c r="C3915" s="2">
        <v>664.59720000000004</v>
      </c>
      <c r="D3915" s="2">
        <f>HYPERLINK("http://mcb-m6.bioreg.kyushu-u.ac.jp/M3/20110428/F51128/1575/2", 81.18)</f>
        <v>81.180000000000007</v>
      </c>
      <c r="E3915" s="2">
        <v>64.040000000000006</v>
      </c>
      <c r="F3915" s="2">
        <v>2</v>
      </c>
      <c r="G3915" s="2" t="s">
        <v>14</v>
      </c>
    </row>
    <row r="3916" spans="1:8" x14ac:dyDescent="0.2">
      <c r="A3916" s="2" t="s">
        <v>3343</v>
      </c>
      <c r="B3916" s="2" t="s">
        <v>132</v>
      </c>
      <c r="C3916" s="2">
        <v>578.37019999999995</v>
      </c>
      <c r="D3916" s="2">
        <f>HYPERLINK("http://mcb-m6.bioreg.kyushu-u.ac.jp/M3/20110428/F51135/1210/1", 81.85)</f>
        <v>81.849999999999994</v>
      </c>
      <c r="E3916" s="2">
        <v>52.38</v>
      </c>
      <c r="F3916" s="2">
        <v>2</v>
      </c>
      <c r="G3916" s="2" t="s">
        <v>14</v>
      </c>
    </row>
    <row r="3917" spans="1:8" x14ac:dyDescent="0.2">
      <c r="A3917" s="2" t="s">
        <v>3343</v>
      </c>
      <c r="B3917" s="2" t="s">
        <v>546</v>
      </c>
      <c r="C3917" s="2">
        <v>665.06209999999999</v>
      </c>
      <c r="D3917" s="2">
        <f>HYPERLINK("http://mcb-m6.bioreg.kyushu-u.ac.jp/M3/20110427/F51122/1829/2", 83.94)</f>
        <v>83.94</v>
      </c>
      <c r="E3917" s="2">
        <v>61.74</v>
      </c>
      <c r="F3917" s="2">
        <v>2</v>
      </c>
      <c r="G3917" s="2" t="s">
        <v>14</v>
      </c>
    </row>
    <row r="3918" spans="1:8" x14ac:dyDescent="0.2">
      <c r="A3918" s="2" t="s">
        <v>3343</v>
      </c>
      <c r="B3918" s="2" t="s">
        <v>546</v>
      </c>
      <c r="C3918" s="2">
        <v>664.64009999999996</v>
      </c>
      <c r="D3918" s="2">
        <f>HYPERLINK("http://mcb-m6.bioreg.kyushu-u.ac.jp/M3/20110427/F51121/1721/2", 87.11)</f>
        <v>87.11</v>
      </c>
      <c r="E3918" s="2">
        <v>72.349999999999994</v>
      </c>
      <c r="F3918" s="2">
        <v>2</v>
      </c>
      <c r="G3918" s="2" t="s">
        <v>14</v>
      </c>
    </row>
    <row r="3919" spans="1:8" x14ac:dyDescent="0.2">
      <c r="A3919" s="2" t="s">
        <v>3343</v>
      </c>
      <c r="B3919" s="2" t="s">
        <v>325</v>
      </c>
      <c r="C3919" s="2">
        <v>747.44169999999997</v>
      </c>
      <c r="D3919" s="2">
        <f>HYPERLINK("http://mcb-m6.bioreg.kyushu-u.ac.jp/M3/20110427/F51123/2072/1", 88.85)</f>
        <v>88.85</v>
      </c>
      <c r="E3919" s="2">
        <v>75.86</v>
      </c>
      <c r="F3919" s="2">
        <v>2</v>
      </c>
      <c r="G3919" s="2" t="s">
        <v>14</v>
      </c>
      <c r="H3919" s="2" t="s">
        <v>4925</v>
      </c>
    </row>
    <row r="3920" spans="1:8" x14ac:dyDescent="0.2">
      <c r="A3920" s="2" t="s">
        <v>3343</v>
      </c>
      <c r="B3920" s="2" t="s">
        <v>1189</v>
      </c>
      <c r="C3920" s="2">
        <v>1069.8030000000001</v>
      </c>
      <c r="D3920" s="2">
        <f>HYPERLINK("http://mcb-m6.bioreg.kyushu-u.ac.jp/M3/20110427/F51123/3268/1", 91.5)</f>
        <v>91.5</v>
      </c>
      <c r="E3920" s="2">
        <v>74.459999999999994</v>
      </c>
      <c r="F3920" s="2">
        <v>2</v>
      </c>
      <c r="G3920" s="2" t="s">
        <v>14</v>
      </c>
    </row>
    <row r="3921" spans="1:8" x14ac:dyDescent="0.2">
      <c r="A3921" s="2" t="s">
        <v>3343</v>
      </c>
      <c r="B3921" s="2" t="s">
        <v>1189</v>
      </c>
      <c r="C3921" s="2">
        <v>1069.2919999999999</v>
      </c>
      <c r="D3921" s="2">
        <f>HYPERLINK("http://mcb-m6.bioreg.kyushu-u.ac.jp/M3/20110427/F51123/3266/1", 91.59)</f>
        <v>91.59</v>
      </c>
      <c r="E3921" s="2">
        <v>75.3</v>
      </c>
      <c r="F3921" s="2">
        <v>2</v>
      </c>
      <c r="G3921" s="2" t="s">
        <v>14</v>
      </c>
    </row>
    <row r="3922" spans="1:8" x14ac:dyDescent="0.2">
      <c r="A3922" s="2" t="s">
        <v>3343</v>
      </c>
      <c r="B3922" s="2" t="s">
        <v>325</v>
      </c>
      <c r="C3922" s="2">
        <v>747.90719999999999</v>
      </c>
      <c r="D3922" s="2">
        <f>HYPERLINK("http://mcb-m6.bioreg.kyushu-u.ac.jp/M3/20110428/F51135/1871/1", 97.02)</f>
        <v>97.02</v>
      </c>
      <c r="E3922" s="2">
        <v>71.37</v>
      </c>
      <c r="F3922" s="2">
        <v>2</v>
      </c>
      <c r="G3922" s="2" t="s">
        <v>14</v>
      </c>
      <c r="H3922" s="2" t="s">
        <v>4925</v>
      </c>
    </row>
    <row r="3923" spans="1:8" x14ac:dyDescent="0.2">
      <c r="A3923" s="2" t="s">
        <v>3343</v>
      </c>
      <c r="B3923" s="2" t="s">
        <v>325</v>
      </c>
      <c r="C3923" s="2">
        <v>739.34519999999998</v>
      </c>
      <c r="D3923" s="2">
        <f>HYPERLINK("http://mcb-m6.bioreg.kyushu-u.ac.jp/M3/20110428/F51135/1826/1", 102.96)</f>
        <v>102.96</v>
      </c>
      <c r="E3923" s="2">
        <v>90.63</v>
      </c>
      <c r="F3923" s="2">
        <v>2</v>
      </c>
      <c r="G3923" s="2" t="s">
        <v>14</v>
      </c>
    </row>
    <row r="3924" spans="1:8" x14ac:dyDescent="0.2">
      <c r="A3924" s="2" t="s">
        <v>3343</v>
      </c>
      <c r="B3924" s="2" t="s">
        <v>325</v>
      </c>
      <c r="C3924" s="2">
        <v>739.55870000000004</v>
      </c>
      <c r="D3924" s="2">
        <f>HYPERLINK("http://mcb-m6.bioreg.kyushu-u.ac.jp/M3/20110427/F51122/2147/1", 103.86)</f>
        <v>103.86</v>
      </c>
      <c r="E3924" s="2">
        <v>91.43</v>
      </c>
      <c r="F3924" s="2">
        <v>2</v>
      </c>
      <c r="G3924" s="2" t="s">
        <v>14</v>
      </c>
    </row>
    <row r="3925" spans="1:8" x14ac:dyDescent="0.2">
      <c r="A3925" s="2" t="s">
        <v>3343</v>
      </c>
      <c r="B3925" s="2" t="s">
        <v>325</v>
      </c>
      <c r="C3925" s="2">
        <v>739.85019999999997</v>
      </c>
      <c r="D3925" s="2">
        <f>HYPERLINK("http://mcb-m6.bioreg.kyushu-u.ac.jp/M3/20110428/F51135/1830/1", 103.88)</f>
        <v>103.88</v>
      </c>
      <c r="E3925" s="2">
        <v>92.47</v>
      </c>
      <c r="F3925" s="2">
        <v>2</v>
      </c>
      <c r="G3925" s="2" t="s">
        <v>14</v>
      </c>
    </row>
    <row r="3926" spans="1:8" x14ac:dyDescent="0.2">
      <c r="A3926" s="2" t="s">
        <v>3343</v>
      </c>
      <c r="B3926" s="2" t="s">
        <v>1189</v>
      </c>
      <c r="C3926" s="2">
        <v>1070.127</v>
      </c>
      <c r="D3926" s="2">
        <f>HYPERLINK("http://mcb-m6.bioreg.kyushu-u.ac.jp/M3/20110428/F51135/2838/1", 108.1)</f>
        <v>108.1</v>
      </c>
      <c r="E3926" s="2">
        <v>95.48</v>
      </c>
      <c r="F3926" s="2">
        <v>2</v>
      </c>
      <c r="G3926" s="2" t="s">
        <v>14</v>
      </c>
    </row>
    <row r="3927" spans="1:8" x14ac:dyDescent="0.2">
      <c r="A3927" s="2" t="s">
        <v>3343</v>
      </c>
      <c r="B3927" s="2" t="s">
        <v>1032</v>
      </c>
      <c r="C3927" s="2">
        <v>1164.1279999999999</v>
      </c>
      <c r="D3927" s="2">
        <f>HYPERLINK("http://mcb-m6.bioreg.kyushu-u.ac.jp/M3/20110428/F51135/3020/1", 109.54)</f>
        <v>109.54</v>
      </c>
      <c r="E3927" s="2">
        <v>97.79</v>
      </c>
      <c r="F3927" s="2">
        <v>2</v>
      </c>
      <c r="G3927" s="2" t="s">
        <v>14</v>
      </c>
    </row>
    <row r="3928" spans="1:8" x14ac:dyDescent="0.2">
      <c r="A3928" s="2" t="s">
        <v>3343</v>
      </c>
      <c r="B3928" s="2" t="s">
        <v>1032</v>
      </c>
      <c r="C3928" s="2">
        <v>1163.298</v>
      </c>
      <c r="D3928" s="2">
        <f>HYPERLINK("http://mcb-m6.bioreg.kyushu-u.ac.jp/M3/20110428/F51128/3454/1", 111.08)</f>
        <v>111.08</v>
      </c>
      <c r="E3928" s="2">
        <v>96.74</v>
      </c>
      <c r="F3928" s="2">
        <v>2</v>
      </c>
      <c r="G3928" s="2" t="s">
        <v>14</v>
      </c>
    </row>
    <row r="3929" spans="1:8" x14ac:dyDescent="0.2">
      <c r="A3929" s="2" t="s">
        <v>3343</v>
      </c>
      <c r="B3929" s="2" t="s">
        <v>1189</v>
      </c>
      <c r="C3929" s="2">
        <v>1069.2280000000001</v>
      </c>
      <c r="D3929" s="2">
        <f>HYPERLINK("http://mcb-m6.bioreg.kyushu-u.ac.jp/M3/20110427/F51122/2985/1", 112.05)</f>
        <v>112.05</v>
      </c>
      <c r="E3929" s="2">
        <v>98.32</v>
      </c>
      <c r="F3929" s="2">
        <v>2</v>
      </c>
      <c r="G3929" s="2" t="s">
        <v>14</v>
      </c>
    </row>
    <row r="3930" spans="1:8" x14ac:dyDescent="0.2">
      <c r="A3930" s="2" t="s">
        <v>3343</v>
      </c>
      <c r="B3930" s="2" t="s">
        <v>1189</v>
      </c>
      <c r="C3930" s="2">
        <v>1069.72</v>
      </c>
      <c r="D3930" s="2">
        <f>HYPERLINK("http://mcb-m6.bioreg.kyushu-u.ac.jp/M3/20110427/F51121/2770/1", 115.85)</f>
        <v>115.85</v>
      </c>
      <c r="E3930" s="2">
        <v>101.44</v>
      </c>
      <c r="F3930" s="2">
        <v>2</v>
      </c>
      <c r="G3930" s="2" t="s">
        <v>14</v>
      </c>
    </row>
    <row r="3931" spans="1:8" x14ac:dyDescent="0.2">
      <c r="A3931" s="2" t="s">
        <v>3343</v>
      </c>
      <c r="B3931" s="2" t="s">
        <v>1032</v>
      </c>
      <c r="C3931" s="2">
        <v>1163.9449999999999</v>
      </c>
      <c r="D3931" s="2">
        <f>HYPERLINK("http://mcb-m6.bioreg.kyushu-u.ac.jp/M3/20110428/F51135/3019/1", 119.08)</f>
        <v>119.08</v>
      </c>
      <c r="E3931" s="2">
        <v>108.41</v>
      </c>
      <c r="F3931" s="2">
        <v>2</v>
      </c>
      <c r="G3931" s="2" t="s">
        <v>14</v>
      </c>
    </row>
    <row r="3932" spans="1:8" x14ac:dyDescent="0.2">
      <c r="A3932" s="2" t="s">
        <v>3343</v>
      </c>
      <c r="B3932" s="2" t="s">
        <v>1189</v>
      </c>
      <c r="C3932" s="2">
        <v>1069.566</v>
      </c>
      <c r="D3932" s="2">
        <f>HYPERLINK("http://mcb-m6.bioreg.kyushu-u.ac.jp/M3/20110428/F51135/2835/1", 124.9)</f>
        <v>124.9</v>
      </c>
      <c r="E3932" s="2">
        <v>110.25</v>
      </c>
      <c r="F3932" s="2">
        <v>2</v>
      </c>
      <c r="G3932" s="2" t="s">
        <v>14</v>
      </c>
    </row>
    <row r="3933" spans="1:8" x14ac:dyDescent="0.2">
      <c r="A3933" s="2" t="s">
        <v>4050</v>
      </c>
      <c r="B3933" s="2" t="s">
        <v>1399</v>
      </c>
      <c r="C3933" s="2">
        <v>686.73770000000002</v>
      </c>
      <c r="D3933" s="2">
        <f>HYPERLINK("http://mcb-m6.bioreg.kyushu-u.ac.jp/M3/20110421/F51014/1879/1", 85.06)</f>
        <v>85.06</v>
      </c>
      <c r="E3933" s="2">
        <v>56.91</v>
      </c>
      <c r="F3933" s="2">
        <v>2</v>
      </c>
      <c r="G3933" s="2" t="s">
        <v>11</v>
      </c>
    </row>
    <row r="3934" spans="1:8" x14ac:dyDescent="0.2">
      <c r="A3934" s="2" t="s">
        <v>4050</v>
      </c>
      <c r="B3934" s="2" t="s">
        <v>1399</v>
      </c>
      <c r="C3934" s="2">
        <v>686.04169999999999</v>
      </c>
      <c r="D3934" s="2">
        <f>HYPERLINK("http://mcb-m6.bioreg.kyushu-u.ac.jp/M3/20110427/F51108/1823/1", 88.21)</f>
        <v>88.21</v>
      </c>
      <c r="E3934" s="2">
        <v>52.61</v>
      </c>
      <c r="F3934" s="2">
        <v>2</v>
      </c>
      <c r="G3934" s="2" t="s">
        <v>13</v>
      </c>
    </row>
    <row r="3935" spans="1:8" x14ac:dyDescent="0.2">
      <c r="A3935" s="2" t="s">
        <v>5660</v>
      </c>
      <c r="B3935" s="2" t="s">
        <v>5123</v>
      </c>
      <c r="C3935" s="2">
        <v>730.31619999999998</v>
      </c>
      <c r="D3935" s="2">
        <f>HYPERLINK("http://mcb-m6.bioreg.kyushu-u.ac.jp/M3/20110404/F50756/1916/1", 70.11)</f>
        <v>70.11</v>
      </c>
      <c r="E3935" s="2">
        <v>55.52</v>
      </c>
      <c r="F3935" s="2">
        <v>2</v>
      </c>
      <c r="G3935" s="2" t="s">
        <v>9</v>
      </c>
    </row>
    <row r="3936" spans="1:8" x14ac:dyDescent="0.2">
      <c r="A3936" s="2" t="s">
        <v>5660</v>
      </c>
      <c r="B3936" s="2" t="s">
        <v>5123</v>
      </c>
      <c r="C3936" s="2">
        <v>729.78809999999999</v>
      </c>
      <c r="D3936" s="2">
        <f>HYPERLINK("http://mcb-m6.bioreg.kyushu-u.ac.jp/M3/20110404/F50756/1915/1", 81.13)</f>
        <v>81.13</v>
      </c>
      <c r="E3936" s="2">
        <v>59.25</v>
      </c>
      <c r="F3936" s="2">
        <v>2</v>
      </c>
      <c r="G3936" s="2" t="s">
        <v>9</v>
      </c>
    </row>
    <row r="3937" spans="1:8" x14ac:dyDescent="0.2">
      <c r="A3937" s="2" t="s">
        <v>5660</v>
      </c>
      <c r="B3937" s="2" t="s">
        <v>5123</v>
      </c>
      <c r="C3937" s="2">
        <v>729.97770000000003</v>
      </c>
      <c r="D3937" s="2">
        <f>HYPERLINK("http://mcb-m6.bioreg.kyushu-u.ac.jp/M3/20110404/F50761/1798/1", 48.61)</f>
        <v>48.61</v>
      </c>
      <c r="E3937" s="2">
        <v>34.44</v>
      </c>
      <c r="F3937" s="2">
        <v>2</v>
      </c>
      <c r="G3937" s="2" t="s">
        <v>10</v>
      </c>
    </row>
    <row r="3938" spans="1:8" x14ac:dyDescent="0.2">
      <c r="A3938" s="2" t="s">
        <v>5660</v>
      </c>
      <c r="B3938" s="2" t="s">
        <v>5123</v>
      </c>
      <c r="C3938" s="2">
        <v>729.90920000000006</v>
      </c>
      <c r="D3938" s="2">
        <f>HYPERLINK("http://mcb-m6.bioreg.kyushu-u.ac.jp/M3/20110421/F51035/1930/1", 40.54)</f>
        <v>40.54</v>
      </c>
      <c r="E3938" s="2">
        <v>29.82</v>
      </c>
      <c r="F3938" s="2">
        <v>2</v>
      </c>
      <c r="G3938" s="2" t="s">
        <v>11</v>
      </c>
    </row>
    <row r="3939" spans="1:8" x14ac:dyDescent="0.2">
      <c r="A3939" s="2" t="s">
        <v>5660</v>
      </c>
      <c r="B3939" s="2" t="s">
        <v>5123</v>
      </c>
      <c r="C3939" s="2">
        <v>729.76009999999997</v>
      </c>
      <c r="D3939" s="2">
        <f>HYPERLINK("http://mcb-m6.bioreg.kyushu-u.ac.jp/M3/20110427/F51114/1991/1", 60.28)</f>
        <v>60.28</v>
      </c>
      <c r="E3939" s="2">
        <v>48.4</v>
      </c>
      <c r="F3939" s="2">
        <v>2</v>
      </c>
      <c r="G3939" s="2" t="s">
        <v>13</v>
      </c>
    </row>
    <row r="3940" spans="1:8" x14ac:dyDescent="0.2">
      <c r="A3940" s="2" t="s">
        <v>8037</v>
      </c>
      <c r="B3940" s="2" t="s">
        <v>7310</v>
      </c>
      <c r="C3940" s="2">
        <v>454.16809999999998</v>
      </c>
      <c r="D3940" s="2">
        <f>HYPERLINK("http://mcb-m6.bioreg.kyushu-u.ac.jp/M3/20110427/F51114/732/1", 37.85)</f>
        <v>37.85</v>
      </c>
      <c r="E3940" s="2">
        <v>11.43</v>
      </c>
      <c r="F3940" s="2">
        <v>2</v>
      </c>
      <c r="G3940" s="2" t="s">
        <v>13</v>
      </c>
      <c r="H3940" s="2" t="s">
        <v>4920</v>
      </c>
    </row>
    <row r="3941" spans="1:8" x14ac:dyDescent="0.2">
      <c r="A3941" s="2" t="s">
        <v>7613</v>
      </c>
      <c r="B3941" s="2" t="s">
        <v>6121</v>
      </c>
      <c r="C3941" s="2">
        <v>523.72919999999999</v>
      </c>
      <c r="D3941" s="2">
        <f>HYPERLINK("http://mcb-m6.bioreg.kyushu-u.ac.jp/M3/20110404/F50756/1094/1", 43.44)</f>
        <v>43.44</v>
      </c>
      <c r="E3941" s="2">
        <v>19.329999999999998</v>
      </c>
      <c r="F3941" s="2">
        <v>2</v>
      </c>
      <c r="G3941" s="2" t="s">
        <v>9</v>
      </c>
    </row>
    <row r="3942" spans="1:8" x14ac:dyDescent="0.2">
      <c r="A3942" s="2" t="s">
        <v>3771</v>
      </c>
      <c r="B3942" s="2" t="s">
        <v>794</v>
      </c>
      <c r="C3942" s="2">
        <v>620.84010000000001</v>
      </c>
      <c r="D3942" s="2">
        <f>HYPERLINK("http://mcb-m6.bioreg.kyushu-u.ac.jp/M3/20110404/F50756/2832/1", 59.24)</f>
        <v>59.24</v>
      </c>
      <c r="E3942" s="2">
        <v>18.489999999999998</v>
      </c>
      <c r="F3942" s="2">
        <v>3</v>
      </c>
      <c r="G3942" s="2" t="s">
        <v>9</v>
      </c>
    </row>
    <row r="3943" spans="1:8" x14ac:dyDescent="0.2">
      <c r="A3943" s="2" t="s">
        <v>3771</v>
      </c>
      <c r="B3943" s="2" t="s">
        <v>6501</v>
      </c>
      <c r="C3943" s="2">
        <v>725.93409999999994</v>
      </c>
      <c r="D3943" s="2">
        <f>HYPERLINK("http://mcb-m6.bioreg.kyushu-u.ac.jp/M3/20110404/F50756/1901/1", 71)</f>
        <v>71</v>
      </c>
      <c r="E3943" s="2">
        <v>43.03</v>
      </c>
      <c r="F3943" s="2">
        <v>2</v>
      </c>
      <c r="G3943" s="2" t="s">
        <v>9</v>
      </c>
    </row>
    <row r="3944" spans="1:8" x14ac:dyDescent="0.2">
      <c r="A3944" s="2" t="s">
        <v>3771</v>
      </c>
      <c r="B3944" s="2" t="s">
        <v>5344</v>
      </c>
      <c r="C3944" s="2">
        <v>648.19870000000003</v>
      </c>
      <c r="D3944" s="2">
        <f>HYPERLINK("http://mcb-m6.bioreg.kyushu-u.ac.jp/M3/20110404/F50756/1521/1", 74.91)</f>
        <v>74.91</v>
      </c>
      <c r="E3944" s="2">
        <v>50.37</v>
      </c>
      <c r="F3944" s="2">
        <v>2</v>
      </c>
      <c r="G3944" s="2" t="s">
        <v>9</v>
      </c>
    </row>
    <row r="3945" spans="1:8" x14ac:dyDescent="0.2">
      <c r="A3945" s="2" t="s">
        <v>3771</v>
      </c>
      <c r="B3945" s="2" t="s">
        <v>794</v>
      </c>
      <c r="C3945" s="2">
        <v>931.04520000000002</v>
      </c>
      <c r="D3945" s="2">
        <f>HYPERLINK("http://mcb-m6.bioreg.kyushu-u.ac.jp/M3/20110404/F50761/2617/1", 62.4)</f>
        <v>62.4</v>
      </c>
      <c r="E3945" s="2">
        <v>19.68</v>
      </c>
      <c r="F3945" s="2">
        <v>2</v>
      </c>
      <c r="G3945" s="2" t="s">
        <v>10</v>
      </c>
    </row>
    <row r="3946" spans="1:8" x14ac:dyDescent="0.2">
      <c r="A3946" s="2" t="s">
        <v>3771</v>
      </c>
      <c r="B3946" s="2" t="s">
        <v>794</v>
      </c>
      <c r="C3946" s="2">
        <v>930.35109999999997</v>
      </c>
      <c r="D3946" s="2">
        <f>HYPERLINK("http://mcb-m6.bioreg.kyushu-u.ac.jp/M3/20110404/F50761/2614/1", 70.96)</f>
        <v>70.959999999999994</v>
      </c>
      <c r="E3946" s="2">
        <v>56.57</v>
      </c>
      <c r="F3946" s="2">
        <v>2</v>
      </c>
      <c r="G3946" s="2" t="s">
        <v>10</v>
      </c>
    </row>
    <row r="3947" spans="1:8" x14ac:dyDescent="0.2">
      <c r="A3947" s="2" t="s">
        <v>3771</v>
      </c>
      <c r="B3947" s="2" t="s">
        <v>794</v>
      </c>
      <c r="C3947" s="2">
        <v>930.3972</v>
      </c>
      <c r="D3947" s="2">
        <f>HYPERLINK("http://mcb-m6.bioreg.kyushu-u.ac.jp/M3/20110421/F51034/2877/1", 77.42)</f>
        <v>77.42</v>
      </c>
      <c r="E3947" s="2">
        <v>37.26</v>
      </c>
      <c r="F3947" s="2">
        <v>2</v>
      </c>
      <c r="G3947" s="2" t="s">
        <v>11</v>
      </c>
    </row>
    <row r="3948" spans="1:8" x14ac:dyDescent="0.2">
      <c r="A3948" s="2" t="s">
        <v>3771</v>
      </c>
      <c r="B3948" s="2" t="s">
        <v>794</v>
      </c>
      <c r="C3948" s="2">
        <v>930.54570000000001</v>
      </c>
      <c r="D3948" s="2">
        <f>HYPERLINK("http://mcb-m6.bioreg.kyushu-u.ac.jp/M3/20110427/F51115/2732/1", 72.2)</f>
        <v>72.2</v>
      </c>
      <c r="E3948" s="2">
        <v>30.27</v>
      </c>
      <c r="F3948" s="2">
        <v>2</v>
      </c>
      <c r="G3948" s="2" t="s">
        <v>13</v>
      </c>
    </row>
    <row r="3949" spans="1:8" x14ac:dyDescent="0.2">
      <c r="A3949" s="2" t="s">
        <v>3771</v>
      </c>
      <c r="B3949" s="2" t="s">
        <v>5344</v>
      </c>
      <c r="C3949" s="2">
        <v>647.70259999999996</v>
      </c>
      <c r="D3949" s="2">
        <f>HYPERLINK("http://mcb-m6.bioreg.kyushu-u.ac.jp/M3/20110427/F51114/1551/1", 81.02)</f>
        <v>81.02</v>
      </c>
      <c r="E3949" s="2">
        <v>53.4</v>
      </c>
      <c r="F3949" s="2">
        <v>2</v>
      </c>
      <c r="G3949" s="2" t="s">
        <v>13</v>
      </c>
    </row>
    <row r="3950" spans="1:8" x14ac:dyDescent="0.2">
      <c r="A3950" s="2" t="s">
        <v>3771</v>
      </c>
      <c r="B3950" s="2" t="s">
        <v>6501</v>
      </c>
      <c r="C3950" s="2">
        <v>725.81460000000004</v>
      </c>
      <c r="D3950" s="2">
        <f>HYPERLINK("http://mcb-m6.bioreg.kyushu-u.ac.jp/M3/20110427/F51114/1968/1", 86.04)</f>
        <v>86.04</v>
      </c>
      <c r="E3950" s="2">
        <v>56.97</v>
      </c>
      <c r="F3950" s="2">
        <v>2</v>
      </c>
      <c r="G3950" s="2" t="s">
        <v>13</v>
      </c>
    </row>
    <row r="3951" spans="1:8" x14ac:dyDescent="0.2">
      <c r="A3951" s="2" t="s">
        <v>3771</v>
      </c>
      <c r="B3951" s="2" t="s">
        <v>794</v>
      </c>
      <c r="C3951" s="2">
        <v>930.32920000000001</v>
      </c>
      <c r="D3951" s="2">
        <f>HYPERLINK("http://mcb-m6.bioreg.kyushu-u.ac.jp/M3/20110427/F51114/2987/1", 97.93)</f>
        <v>97.93</v>
      </c>
      <c r="E3951" s="2">
        <v>82.83</v>
      </c>
      <c r="F3951" s="2">
        <v>2</v>
      </c>
      <c r="G3951" s="2" t="s">
        <v>13</v>
      </c>
    </row>
    <row r="3952" spans="1:8" x14ac:dyDescent="0.2">
      <c r="A3952" s="2" t="s">
        <v>3771</v>
      </c>
      <c r="B3952" s="2" t="s">
        <v>794</v>
      </c>
      <c r="C3952" s="2">
        <v>930.72559999999999</v>
      </c>
      <c r="D3952" s="2">
        <f>HYPERLINK("http://mcb-m6.bioreg.kyushu-u.ac.jp/M3/20110427/F51123/2868/1", 65.09)</f>
        <v>65.09</v>
      </c>
      <c r="E3952" s="2">
        <v>11.13</v>
      </c>
      <c r="F3952" s="2">
        <v>2</v>
      </c>
      <c r="G3952" s="2" t="s">
        <v>14</v>
      </c>
    </row>
    <row r="3953" spans="1:9" x14ac:dyDescent="0.2">
      <c r="A3953" s="2" t="s">
        <v>4278</v>
      </c>
      <c r="B3953" s="2" t="s">
        <v>1957</v>
      </c>
      <c r="C3953" s="2">
        <v>468.78109999999998</v>
      </c>
      <c r="D3953" s="2">
        <f>HYPERLINK("http://mcb-m6.bioreg.kyushu-u.ac.jp/M3/20110404/F50756/900/1", 60.95)</f>
        <v>60.95</v>
      </c>
      <c r="E3953" s="2">
        <v>24.34</v>
      </c>
      <c r="F3953" s="2">
        <v>2</v>
      </c>
      <c r="G3953" s="2" t="s">
        <v>9</v>
      </c>
    </row>
    <row r="3954" spans="1:9" x14ac:dyDescent="0.2">
      <c r="A3954" s="2" t="s">
        <v>4278</v>
      </c>
      <c r="B3954" s="2" t="s">
        <v>1957</v>
      </c>
      <c r="C3954" s="2">
        <v>468.8501</v>
      </c>
      <c r="D3954" s="2">
        <f>HYPERLINK("http://mcb-m6.bioreg.kyushu-u.ac.jp/M3/20110421/F51037/582/1", 47.31)</f>
        <v>47.31</v>
      </c>
      <c r="E3954" s="2">
        <v>22.88</v>
      </c>
      <c r="F3954" s="2">
        <v>2</v>
      </c>
      <c r="G3954" s="2" t="s">
        <v>11</v>
      </c>
    </row>
    <row r="3955" spans="1:9" x14ac:dyDescent="0.2">
      <c r="A3955" s="2" t="s">
        <v>4278</v>
      </c>
      <c r="B3955" s="2" t="s">
        <v>1957</v>
      </c>
      <c r="C3955" s="2">
        <v>468.62009999999998</v>
      </c>
      <c r="D3955" s="2">
        <f>HYPERLINK("http://mcb-m6.bioreg.kyushu-u.ac.jp/M3/20110427/F51114/798/1", 47.81)</f>
        <v>47.81</v>
      </c>
      <c r="E3955" s="2">
        <v>22.93</v>
      </c>
      <c r="F3955" s="2">
        <v>2</v>
      </c>
      <c r="G3955" s="2" t="s">
        <v>13</v>
      </c>
    </row>
    <row r="3956" spans="1:9" x14ac:dyDescent="0.2">
      <c r="A3956" s="2" t="s">
        <v>4278</v>
      </c>
      <c r="B3956" s="2" t="s">
        <v>7378</v>
      </c>
      <c r="C3956" s="2">
        <v>712.65369999999996</v>
      </c>
      <c r="D3956" s="2">
        <f>HYPERLINK("http://mcb-m6.bioreg.kyushu-u.ac.jp/M3/20110427/F51114/1891/1", 52.45)</f>
        <v>52.45</v>
      </c>
      <c r="E3956" s="2">
        <v>31.13</v>
      </c>
      <c r="F3956" s="2">
        <v>2</v>
      </c>
      <c r="G3956" s="2" t="s">
        <v>13</v>
      </c>
      <c r="I3956" s="2" t="s">
        <v>4905</v>
      </c>
    </row>
    <row r="3957" spans="1:9" x14ac:dyDescent="0.2">
      <c r="A3957" s="2" t="s">
        <v>5686</v>
      </c>
      <c r="B3957" s="2" t="s">
        <v>5212</v>
      </c>
      <c r="C3957" s="2">
        <v>551.16769999999997</v>
      </c>
      <c r="D3957" s="2">
        <f>HYPERLINK("http://mcb-m6.bioreg.kyushu-u.ac.jp/M3/20110404/F50756/1171/1", 45)</f>
        <v>45</v>
      </c>
      <c r="E3957" s="2">
        <v>22.01</v>
      </c>
      <c r="F3957" s="2">
        <v>2</v>
      </c>
      <c r="G3957" s="2" t="s">
        <v>9</v>
      </c>
      <c r="I3957" s="2" t="s">
        <v>4905</v>
      </c>
    </row>
    <row r="3958" spans="1:9" x14ac:dyDescent="0.2">
      <c r="A3958" s="2" t="s">
        <v>5686</v>
      </c>
      <c r="B3958" s="2" t="s">
        <v>5253</v>
      </c>
      <c r="C3958" s="2">
        <v>629.1952</v>
      </c>
      <c r="D3958" s="2">
        <f>HYPERLINK("http://mcb-m6.bioreg.kyushu-u.ac.jp/M3/20110427/F51114/1489/1", 38.84)</f>
        <v>38.840000000000003</v>
      </c>
      <c r="E3958" s="2">
        <v>15.43</v>
      </c>
      <c r="F3958" s="2">
        <v>2</v>
      </c>
      <c r="G3958" s="2" t="s">
        <v>13</v>
      </c>
      <c r="I3958" s="2" t="s">
        <v>4905</v>
      </c>
    </row>
    <row r="3959" spans="1:9" x14ac:dyDescent="0.2">
      <c r="A3959" s="2" t="s">
        <v>5686</v>
      </c>
      <c r="B3959" s="2" t="s">
        <v>5212</v>
      </c>
      <c r="C3959" s="2">
        <v>551.11410000000001</v>
      </c>
      <c r="D3959" s="2">
        <f>HYPERLINK("http://mcb-m6.bioreg.kyushu-u.ac.jp/M3/20110427/F51114/1165/1", 50.6)</f>
        <v>50.6</v>
      </c>
      <c r="E3959" s="2">
        <v>27.72</v>
      </c>
      <c r="F3959" s="2">
        <v>2</v>
      </c>
      <c r="G3959" s="2" t="s">
        <v>13</v>
      </c>
      <c r="I3959" s="2" t="s">
        <v>4905</v>
      </c>
    </row>
    <row r="3960" spans="1:9" x14ac:dyDescent="0.2">
      <c r="A3960" s="2" t="s">
        <v>5686</v>
      </c>
      <c r="B3960" s="2" t="s">
        <v>7412</v>
      </c>
      <c r="C3960" s="2">
        <v>1499.3520000000001</v>
      </c>
      <c r="D3960" s="2">
        <f>HYPERLINK("http://mcb-m6.bioreg.kyushu-u.ac.jp/M3/20110427/F51114/2105/1", 63.57)</f>
        <v>63.57</v>
      </c>
      <c r="E3960" s="2">
        <v>54.13</v>
      </c>
      <c r="F3960" s="2">
        <v>1</v>
      </c>
      <c r="G3960" s="2" t="s">
        <v>13</v>
      </c>
    </row>
    <row r="3961" spans="1:9" x14ac:dyDescent="0.2">
      <c r="A3961" s="2" t="s">
        <v>4056</v>
      </c>
      <c r="B3961" s="2" t="s">
        <v>1414</v>
      </c>
      <c r="C3961" s="2">
        <v>885.7482</v>
      </c>
      <c r="D3961" s="2">
        <f>HYPERLINK("http://mcb-m6.bioreg.kyushu-u.ac.jp/M3/20110421/F51039/2790/1", 82.63)</f>
        <v>82.63</v>
      </c>
      <c r="E3961" s="2">
        <v>69.33</v>
      </c>
      <c r="F3961" s="2">
        <v>2</v>
      </c>
      <c r="G3961" s="2" t="s">
        <v>11</v>
      </c>
    </row>
    <row r="3962" spans="1:9" x14ac:dyDescent="0.2">
      <c r="A3962" s="2" t="s">
        <v>4080</v>
      </c>
      <c r="B3962" s="2" t="s">
        <v>5992</v>
      </c>
      <c r="C3962" s="2">
        <v>975.423</v>
      </c>
      <c r="D3962" s="2">
        <f>HYPERLINK("http://mcb-m6.bioreg.kyushu-u.ac.jp/M3/20110404/F50756/970/1", 38.04)</f>
        <v>38.04</v>
      </c>
      <c r="E3962" s="2">
        <v>13.44</v>
      </c>
      <c r="F3962" s="2">
        <v>1</v>
      </c>
      <c r="G3962" s="2" t="s">
        <v>9</v>
      </c>
    </row>
    <row r="3963" spans="1:9" x14ac:dyDescent="0.2">
      <c r="A3963" s="2" t="s">
        <v>4080</v>
      </c>
      <c r="B3963" s="2" t="s">
        <v>1811</v>
      </c>
      <c r="C3963" s="2">
        <v>897.33399999999995</v>
      </c>
      <c r="D3963" s="2">
        <f>HYPERLINK("http://mcb-m6.bioreg.kyushu-u.ac.jp/M3/20110404/F50756/814/1", 45.93)</f>
        <v>45.93</v>
      </c>
      <c r="E3963" s="2">
        <v>15.81</v>
      </c>
      <c r="F3963" s="2">
        <v>1</v>
      </c>
      <c r="G3963" s="2" t="s">
        <v>9</v>
      </c>
      <c r="H3963" s="2" t="s">
        <v>4904</v>
      </c>
    </row>
    <row r="3964" spans="1:9" x14ac:dyDescent="0.2">
      <c r="A3964" s="2" t="s">
        <v>4080</v>
      </c>
      <c r="B3964" s="2" t="s">
        <v>1489</v>
      </c>
      <c r="C3964" s="2">
        <v>513.14869999999996</v>
      </c>
      <c r="D3964" s="2">
        <f>HYPERLINK("http://mcb-m6.bioreg.kyushu-u.ac.jp/M3/20110404/F50755/1083/1", 55.1)</f>
        <v>55.1</v>
      </c>
      <c r="E3964" s="2">
        <v>35.47</v>
      </c>
      <c r="F3964" s="2">
        <v>2</v>
      </c>
      <c r="G3964" s="2" t="s">
        <v>9</v>
      </c>
    </row>
    <row r="3965" spans="1:9" x14ac:dyDescent="0.2">
      <c r="A3965" s="2" t="s">
        <v>4080</v>
      </c>
      <c r="B3965" s="2" t="s">
        <v>1489</v>
      </c>
      <c r="C3965" s="2">
        <v>513.25819999999999</v>
      </c>
      <c r="D3965" s="2">
        <f>HYPERLINK("http://mcb-m6.bioreg.kyushu-u.ac.jp/M3/20110404/F50756/1047/1", 77.05)</f>
        <v>77.05</v>
      </c>
      <c r="E3965" s="2">
        <v>55.43</v>
      </c>
      <c r="F3965" s="2">
        <v>2</v>
      </c>
      <c r="G3965" s="2" t="s">
        <v>9</v>
      </c>
    </row>
    <row r="3966" spans="1:9" x14ac:dyDescent="0.2">
      <c r="A3966" s="2" t="s">
        <v>4080</v>
      </c>
      <c r="B3966" s="2" t="s">
        <v>1811</v>
      </c>
      <c r="C3966" s="2">
        <v>897.47900000000004</v>
      </c>
      <c r="D3966" s="2">
        <f>HYPERLINK("http://mcb-m6.bioreg.kyushu-u.ac.jp/M3/20110404/F50761/793/1", 45.99)</f>
        <v>45.99</v>
      </c>
      <c r="E3966" s="2">
        <v>15.84</v>
      </c>
      <c r="F3966" s="2">
        <v>1</v>
      </c>
      <c r="G3966" s="2" t="s">
        <v>10</v>
      </c>
      <c r="H3966" s="2" t="s">
        <v>4904</v>
      </c>
    </row>
    <row r="3967" spans="1:9" x14ac:dyDescent="0.2">
      <c r="A3967" s="2" t="s">
        <v>4080</v>
      </c>
      <c r="B3967" s="2" t="s">
        <v>1489</v>
      </c>
      <c r="C3967" s="2">
        <v>513.23969999999997</v>
      </c>
      <c r="D3967" s="2">
        <f>HYPERLINK("http://mcb-m6.bioreg.kyushu-u.ac.jp/M3/20110404/F50761/1016/1", 82.17)</f>
        <v>82.17</v>
      </c>
      <c r="E3967" s="2">
        <v>59.46</v>
      </c>
      <c r="F3967" s="2">
        <v>2</v>
      </c>
      <c r="G3967" s="2" t="s">
        <v>10</v>
      </c>
    </row>
    <row r="3968" spans="1:9" x14ac:dyDescent="0.2">
      <c r="A3968" s="2" t="s">
        <v>4080</v>
      </c>
      <c r="B3968" s="2" t="s">
        <v>1811</v>
      </c>
      <c r="C3968" s="2">
        <v>897.47400000000005</v>
      </c>
      <c r="D3968" s="2">
        <f>HYPERLINK("http://mcb-m6.bioreg.kyushu-u.ac.jp/M3/20110421/F51044/596/1", 46.05)</f>
        <v>46.05</v>
      </c>
      <c r="E3968" s="2">
        <v>15.81</v>
      </c>
      <c r="F3968" s="2">
        <v>1</v>
      </c>
      <c r="G3968" s="2" t="s">
        <v>12</v>
      </c>
      <c r="H3968" s="2" t="s">
        <v>4904</v>
      </c>
    </row>
    <row r="3969" spans="1:9" x14ac:dyDescent="0.2">
      <c r="A3969" s="2" t="s">
        <v>4080</v>
      </c>
      <c r="B3969" s="2" t="s">
        <v>1811</v>
      </c>
      <c r="C3969" s="2">
        <v>457.63709999999998</v>
      </c>
      <c r="D3969" s="2">
        <f>HYPERLINK("http://mcb-m6.bioreg.kyushu-u.ac.jp/M3/20110427/F51114/743/1", 37.14)</f>
        <v>37.14</v>
      </c>
      <c r="E3969" s="2">
        <v>15.16</v>
      </c>
      <c r="F3969" s="2">
        <v>2</v>
      </c>
      <c r="G3969" s="2" t="s">
        <v>13</v>
      </c>
    </row>
    <row r="3970" spans="1:9" x14ac:dyDescent="0.2">
      <c r="A3970" s="2" t="s">
        <v>4080</v>
      </c>
      <c r="B3970" s="2" t="s">
        <v>1811</v>
      </c>
      <c r="C3970" s="2">
        <v>458.15960000000001</v>
      </c>
      <c r="D3970" s="2">
        <f>HYPERLINK("http://mcb-m6.bioreg.kyushu-u.ac.jp/M3/20110427/F51114/744/2", 43.02)</f>
        <v>43.02</v>
      </c>
      <c r="E3970" s="2">
        <v>14.59</v>
      </c>
      <c r="F3970" s="2">
        <v>2</v>
      </c>
      <c r="G3970" s="2" t="s">
        <v>13</v>
      </c>
    </row>
    <row r="3971" spans="1:9" x14ac:dyDescent="0.2">
      <c r="A3971" s="2" t="s">
        <v>4080</v>
      </c>
      <c r="B3971" s="2" t="s">
        <v>1811</v>
      </c>
      <c r="C3971" s="2">
        <v>897.30799999999999</v>
      </c>
      <c r="D3971" s="2">
        <f>HYPERLINK("http://mcb-m6.bioreg.kyushu-u.ac.jp/M3/20110427/F51114/715/1", 50.63)</f>
        <v>50.63</v>
      </c>
      <c r="E3971" s="2">
        <v>19.079999999999998</v>
      </c>
      <c r="F3971" s="2">
        <v>1</v>
      </c>
      <c r="G3971" s="2" t="s">
        <v>13</v>
      </c>
      <c r="H3971" s="2" t="s">
        <v>4904</v>
      </c>
    </row>
    <row r="3972" spans="1:9" x14ac:dyDescent="0.2">
      <c r="A3972" s="2" t="s">
        <v>3600</v>
      </c>
      <c r="B3972" s="2" t="s">
        <v>1827</v>
      </c>
      <c r="C3972" s="2">
        <v>870.44600000000003</v>
      </c>
      <c r="D3972" s="2">
        <f>HYPERLINK("http://mcb-m6.bioreg.kyushu-u.ac.jp/M3/20110404/F50756/797/1", 41.16)</f>
        <v>41.16</v>
      </c>
      <c r="E3972" s="2">
        <v>9.7799999999999994</v>
      </c>
      <c r="F3972" s="2">
        <v>1</v>
      </c>
      <c r="G3972" s="2" t="s">
        <v>9</v>
      </c>
    </row>
    <row r="3973" spans="1:9" x14ac:dyDescent="0.2">
      <c r="A3973" s="2" t="s">
        <v>3600</v>
      </c>
      <c r="B3973" s="2" t="s">
        <v>6804</v>
      </c>
      <c r="C3973" s="2">
        <v>658.44709999999998</v>
      </c>
      <c r="D3973" s="2">
        <f>HYPERLINK("http://mcb-m6.bioreg.kyushu-u.ac.jp/M3/20110404/F50761/1490/1", 44.65)</f>
        <v>44.65</v>
      </c>
      <c r="E3973" s="2">
        <v>33.06</v>
      </c>
      <c r="F3973" s="2">
        <v>2</v>
      </c>
      <c r="G3973" s="2" t="s">
        <v>10</v>
      </c>
    </row>
    <row r="3974" spans="1:9" x14ac:dyDescent="0.2">
      <c r="A3974" s="2" t="s">
        <v>3600</v>
      </c>
      <c r="B3974" s="2" t="s">
        <v>1827</v>
      </c>
      <c r="C3974" s="2">
        <v>853.46400000000006</v>
      </c>
      <c r="D3974" s="2">
        <f>HYPERLINK("http://mcb-m6.bioreg.kyushu-u.ac.jp/M3/20110421/F51044/584/1", 37.9)</f>
        <v>37.9</v>
      </c>
      <c r="E3974" s="2">
        <v>17.489999999999998</v>
      </c>
      <c r="F3974" s="2">
        <v>1</v>
      </c>
      <c r="G3974" s="2" t="s">
        <v>12</v>
      </c>
      <c r="H3974" s="2" t="s">
        <v>4904</v>
      </c>
    </row>
    <row r="3975" spans="1:9" x14ac:dyDescent="0.2">
      <c r="A3975" s="2" t="s">
        <v>7843</v>
      </c>
      <c r="B3975" s="2" t="s">
        <v>6817</v>
      </c>
      <c r="C3975" s="2">
        <v>743.45010000000002</v>
      </c>
      <c r="D3975" s="2">
        <f>HYPERLINK("http://mcb-m6.bioreg.kyushu-u.ac.jp/M3/20110404/F50760/1865/1", 45.82)</f>
        <v>45.82</v>
      </c>
      <c r="E3975" s="2">
        <v>30.32</v>
      </c>
      <c r="F3975" s="2">
        <v>2</v>
      </c>
      <c r="G3975" s="2" t="s">
        <v>10</v>
      </c>
      <c r="I3975" s="2" t="s">
        <v>4905</v>
      </c>
    </row>
    <row r="3976" spans="1:9" x14ac:dyDescent="0.2">
      <c r="A3976" s="2" t="s">
        <v>7843</v>
      </c>
      <c r="B3976" s="2" t="s">
        <v>6963</v>
      </c>
      <c r="C3976" s="2">
        <v>540.16769999999997</v>
      </c>
      <c r="D3976" s="2">
        <f>HYPERLINK("http://mcb-m6.bioreg.kyushu-u.ac.jp/M3/20110404/F50760/1115/1", 67.24)</f>
        <v>67.239999999999995</v>
      </c>
      <c r="E3976" s="2">
        <v>54.3</v>
      </c>
      <c r="F3976" s="2">
        <v>2</v>
      </c>
      <c r="G3976" s="2" t="s">
        <v>10</v>
      </c>
    </row>
    <row r="3977" spans="1:9" x14ac:dyDescent="0.2">
      <c r="A3977" s="2" t="s">
        <v>7867</v>
      </c>
      <c r="B3977" s="2" t="s">
        <v>6862</v>
      </c>
      <c r="C3977" s="2">
        <v>716.95619999999997</v>
      </c>
      <c r="D3977" s="2">
        <f>HYPERLINK("http://mcb-m6.bioreg.kyushu-u.ac.jp/M3/20110404/F50773/1752/2", 50.7)</f>
        <v>50.7</v>
      </c>
      <c r="E3977" s="2">
        <v>32.81</v>
      </c>
      <c r="F3977" s="2">
        <v>2</v>
      </c>
      <c r="G3977" s="2" t="s">
        <v>10</v>
      </c>
    </row>
    <row r="3978" spans="1:9" x14ac:dyDescent="0.2">
      <c r="A3978" s="2" t="s">
        <v>7714</v>
      </c>
      <c r="B3978" s="2" t="s">
        <v>6412</v>
      </c>
      <c r="C3978" s="2">
        <v>712.11569999999995</v>
      </c>
      <c r="D3978" s="2">
        <f>HYPERLINK("http://mcb-m6.bioreg.kyushu-u.ac.jp/M3/20110404/F50753/1889/1", 60.93)</f>
        <v>60.93</v>
      </c>
      <c r="E3978" s="2">
        <v>35.81</v>
      </c>
      <c r="F3978" s="2">
        <v>2</v>
      </c>
      <c r="G3978" s="2" t="s">
        <v>9</v>
      </c>
    </row>
    <row r="3979" spans="1:9" x14ac:dyDescent="0.2">
      <c r="A3979" s="2" t="s">
        <v>7886</v>
      </c>
      <c r="B3979" s="2" t="s">
        <v>6948</v>
      </c>
      <c r="C3979" s="2">
        <v>656.26819999999998</v>
      </c>
      <c r="D3979" s="2">
        <f>HYPERLINK("http://mcb-m6.bioreg.kyushu-u.ac.jp/M3/20110404/F50760/1480/1", 64.25)</f>
        <v>64.25</v>
      </c>
      <c r="E3979" s="2">
        <v>37.99</v>
      </c>
      <c r="F3979" s="2">
        <v>2</v>
      </c>
      <c r="G3979" s="2" t="s">
        <v>10</v>
      </c>
    </row>
    <row r="3980" spans="1:9" x14ac:dyDescent="0.2">
      <c r="A3980" s="2" t="s">
        <v>4494</v>
      </c>
      <c r="B3980" s="2" t="s">
        <v>2471</v>
      </c>
      <c r="C3980" s="2">
        <v>765.25620000000004</v>
      </c>
      <c r="D3980" s="2">
        <f>HYPERLINK("http://mcb-m6.bioreg.kyushu-u.ac.jp/M3/20110404/F50755/2091/1", 42.43)</f>
        <v>42.43</v>
      </c>
      <c r="E3980" s="2">
        <v>16.989999999999998</v>
      </c>
      <c r="F3980" s="2">
        <v>2</v>
      </c>
      <c r="G3980" s="2" t="s">
        <v>9</v>
      </c>
    </row>
    <row r="3981" spans="1:9" x14ac:dyDescent="0.2">
      <c r="A3981" s="2" t="s">
        <v>4494</v>
      </c>
      <c r="B3981" s="2" t="s">
        <v>5053</v>
      </c>
      <c r="C3981" s="2">
        <v>866.45569999999998</v>
      </c>
      <c r="D3981" s="2">
        <f>HYPERLINK("http://mcb-m6.bioreg.kyushu-u.ac.jp/M3/20110404/F50755/2504/1", 60.42)</f>
        <v>60.42</v>
      </c>
      <c r="E3981" s="2">
        <v>53.5</v>
      </c>
      <c r="F3981" s="2">
        <v>2</v>
      </c>
      <c r="G3981" s="2" t="s">
        <v>9</v>
      </c>
    </row>
    <row r="3982" spans="1:9" x14ac:dyDescent="0.2">
      <c r="A3982" s="2" t="s">
        <v>5618</v>
      </c>
      <c r="B3982" s="2" t="s">
        <v>5247</v>
      </c>
      <c r="C3982" s="2">
        <v>652.65470000000005</v>
      </c>
      <c r="D3982" s="2">
        <f>HYPERLINK("http://mcb-m6.bioreg.kyushu-u.ac.jp/M3/20110404/F50755/1556/1", 64.49)</f>
        <v>64.489999999999995</v>
      </c>
      <c r="E3982" s="2">
        <v>48.26</v>
      </c>
      <c r="F3982" s="2">
        <v>2</v>
      </c>
      <c r="G3982" s="2" t="s">
        <v>9</v>
      </c>
    </row>
    <row r="3983" spans="1:9" x14ac:dyDescent="0.2">
      <c r="A3983" s="2" t="s">
        <v>3819</v>
      </c>
      <c r="B3983" s="2" t="s">
        <v>885</v>
      </c>
      <c r="C3983" s="2">
        <v>660.79970000000003</v>
      </c>
      <c r="D3983" s="2">
        <f>HYPERLINK("http://mcb-m6.bioreg.kyushu-u.ac.jp/M3/20110404/F50752/1838/1", 43.65)</f>
        <v>43.65</v>
      </c>
      <c r="E3983" s="2">
        <v>21.44</v>
      </c>
      <c r="F3983" s="2">
        <v>2</v>
      </c>
      <c r="G3983" s="2" t="s">
        <v>9</v>
      </c>
    </row>
    <row r="3984" spans="1:9" x14ac:dyDescent="0.2">
      <c r="A3984" s="2" t="s">
        <v>3819</v>
      </c>
      <c r="B3984" s="2" t="s">
        <v>6598</v>
      </c>
      <c r="C3984" s="2">
        <v>782.36019999999996</v>
      </c>
      <c r="D3984" s="2">
        <f>HYPERLINK("http://mcb-m6.bioreg.kyushu-u.ac.jp/M3/20110404/F50752/2249/1", 89.24)</f>
        <v>89.24</v>
      </c>
      <c r="E3984" s="2">
        <v>65.38</v>
      </c>
      <c r="F3984" s="2">
        <v>2</v>
      </c>
      <c r="G3984" s="2" t="s">
        <v>9</v>
      </c>
    </row>
    <row r="3985" spans="1:9" x14ac:dyDescent="0.2">
      <c r="A3985" s="2" t="s">
        <v>7687</v>
      </c>
      <c r="B3985" s="2" t="s">
        <v>6324</v>
      </c>
      <c r="C3985" s="2">
        <v>816.38070000000005</v>
      </c>
      <c r="D3985" s="2">
        <f>HYPERLINK("http://mcb-m6.bioreg.kyushu-u.ac.jp/M3/20110404/F50752/2343/1", 53.18)</f>
        <v>53.18</v>
      </c>
      <c r="E3985" s="2">
        <v>35.840000000000003</v>
      </c>
      <c r="F3985" s="2">
        <v>2</v>
      </c>
      <c r="G3985" s="2" t="s">
        <v>9</v>
      </c>
      <c r="I3985" s="2" t="s">
        <v>4906</v>
      </c>
    </row>
    <row r="3986" spans="1:9" x14ac:dyDescent="0.2">
      <c r="A3986" s="2" t="s">
        <v>5647</v>
      </c>
      <c r="B3986" s="2" t="s">
        <v>5090</v>
      </c>
      <c r="C3986" s="2">
        <v>853.28020000000004</v>
      </c>
      <c r="D3986" s="2">
        <f>HYPERLINK("http://mcb-m6.bioreg.kyushu-u.ac.jp/M3/20110427/F51113/2462/1", 73.59)</f>
        <v>73.59</v>
      </c>
      <c r="E3986" s="2">
        <v>56.35</v>
      </c>
      <c r="F3986" s="2">
        <v>2</v>
      </c>
      <c r="G3986" s="2" t="s">
        <v>13</v>
      </c>
      <c r="I3986" s="2" t="s">
        <v>4918</v>
      </c>
    </row>
    <row r="3987" spans="1:9" x14ac:dyDescent="0.2">
      <c r="A3987" s="2" t="s">
        <v>8050</v>
      </c>
      <c r="B3987" s="2" t="s">
        <v>7338</v>
      </c>
      <c r="C3987" s="2">
        <v>526.11609999999996</v>
      </c>
      <c r="D3987" s="2">
        <f>HYPERLINK("http://mcb-m6.bioreg.kyushu-u.ac.jp/M3/20110427/F51114/1056/1", 43.24)</f>
        <v>43.24</v>
      </c>
      <c r="E3987" s="2">
        <v>19.47</v>
      </c>
      <c r="F3987" s="2">
        <v>2</v>
      </c>
      <c r="G3987" s="2" t="s">
        <v>13</v>
      </c>
    </row>
    <row r="3988" spans="1:9" x14ac:dyDescent="0.2">
      <c r="A3988" s="2" t="s">
        <v>7553</v>
      </c>
      <c r="B3988" s="2" t="s">
        <v>5969</v>
      </c>
      <c r="C3988" s="2">
        <v>966.35299999999995</v>
      </c>
      <c r="D3988" s="2">
        <f>HYPERLINK("http://mcb-m6.bioreg.kyushu-u.ac.jp/M3/20110404/F50755/1001/1", 37.25)</f>
        <v>37.25</v>
      </c>
      <c r="E3988" s="2">
        <v>17.190000000000001</v>
      </c>
      <c r="F3988" s="2">
        <v>1</v>
      </c>
      <c r="G3988" s="2" t="s">
        <v>9</v>
      </c>
    </row>
    <row r="3989" spans="1:9" x14ac:dyDescent="0.2">
      <c r="A3989" s="2" t="s">
        <v>7577</v>
      </c>
      <c r="B3989" s="2" t="s">
        <v>6024</v>
      </c>
      <c r="C3989" s="2">
        <v>863.29269999999997</v>
      </c>
      <c r="D3989" s="2">
        <f>HYPERLINK("http://mcb-m6.bioreg.kyushu-u.ac.jp/M3/20110404/F50755/2490/1", 39.24)</f>
        <v>39.24</v>
      </c>
      <c r="E3989" s="2">
        <v>17.059999999999999</v>
      </c>
      <c r="F3989" s="2">
        <v>2</v>
      </c>
      <c r="G3989" s="2" t="s">
        <v>9</v>
      </c>
    </row>
    <row r="3990" spans="1:9" x14ac:dyDescent="0.2">
      <c r="A3990" s="2" t="s">
        <v>7577</v>
      </c>
      <c r="B3990" s="2" t="s">
        <v>6206</v>
      </c>
      <c r="C3990" s="2">
        <v>861.03120000000001</v>
      </c>
      <c r="D3990" s="2">
        <f>HYPERLINK("http://mcb-m6.bioreg.kyushu-u.ac.jp/M3/20110404/F50776/2097/1", 46.38)</f>
        <v>46.38</v>
      </c>
      <c r="E3990" s="2">
        <v>35.92</v>
      </c>
      <c r="F3990" s="2">
        <v>2</v>
      </c>
      <c r="G3990" s="2" t="s">
        <v>9</v>
      </c>
    </row>
    <row r="3991" spans="1:9" x14ac:dyDescent="0.2">
      <c r="A3991" s="2" t="s">
        <v>7577</v>
      </c>
      <c r="B3991" s="2" t="s">
        <v>6280</v>
      </c>
      <c r="C3991" s="2">
        <v>892.84670000000006</v>
      </c>
      <c r="D3991" s="2">
        <f>HYPERLINK("http://mcb-m6.bioreg.kyushu-u.ac.jp/M3/20110404/F50776/2193/1", 50.65)</f>
        <v>50.65</v>
      </c>
      <c r="E3991" s="2">
        <v>41.08</v>
      </c>
      <c r="F3991" s="2">
        <v>2</v>
      </c>
      <c r="G3991" s="2" t="s">
        <v>9</v>
      </c>
      <c r="I3991" s="2" t="s">
        <v>4914</v>
      </c>
    </row>
    <row r="3992" spans="1:9" x14ac:dyDescent="0.2">
      <c r="A3992" s="2" t="s">
        <v>7708</v>
      </c>
      <c r="B3992" s="2" t="s">
        <v>6390</v>
      </c>
      <c r="C3992" s="2">
        <v>794.71669999999995</v>
      </c>
      <c r="D3992" s="2">
        <f>HYPERLINK("http://mcb-m6.bioreg.kyushu-u.ac.jp/M3/20110404/F50755/2241/1", 58.69)</f>
        <v>58.69</v>
      </c>
      <c r="E3992" s="2">
        <v>46.32</v>
      </c>
      <c r="F3992" s="2">
        <v>2</v>
      </c>
      <c r="G3992" s="2" t="s">
        <v>9</v>
      </c>
      <c r="I3992" s="2" t="s">
        <v>4940</v>
      </c>
    </row>
    <row r="3993" spans="1:9" x14ac:dyDescent="0.2">
      <c r="A3993" s="2" t="s">
        <v>7708</v>
      </c>
      <c r="B3993" s="2" t="s">
        <v>6390</v>
      </c>
      <c r="C3993" s="2">
        <v>795.30970000000002</v>
      </c>
      <c r="D3993" s="2">
        <f>HYPERLINK("http://mcb-m6.bioreg.kyushu-u.ac.jp/M3/20110404/F50776/1941/1", 65.35)</f>
        <v>65.349999999999994</v>
      </c>
      <c r="E3993" s="2">
        <v>53.79</v>
      </c>
      <c r="F3993" s="2">
        <v>2</v>
      </c>
      <c r="G3993" s="2" t="s">
        <v>9</v>
      </c>
      <c r="I3993" s="2" t="s">
        <v>4940</v>
      </c>
    </row>
    <row r="3994" spans="1:9" x14ac:dyDescent="0.2">
      <c r="A3994" s="2" t="s">
        <v>7602</v>
      </c>
      <c r="B3994" s="2" t="s">
        <v>6087</v>
      </c>
      <c r="C3994" s="2">
        <v>819.01819999999998</v>
      </c>
      <c r="D3994" s="2">
        <f>HYPERLINK("http://mcb-m6.bioreg.kyushu-u.ac.jp/M3/20110404/F50776/1998/1", 41.73)</f>
        <v>41.73</v>
      </c>
      <c r="E3994" s="2">
        <v>29.14</v>
      </c>
      <c r="F3994" s="2">
        <v>2</v>
      </c>
      <c r="G3994" s="2" t="s">
        <v>9</v>
      </c>
    </row>
    <row r="3995" spans="1:9" x14ac:dyDescent="0.2">
      <c r="A3995" s="2" t="s">
        <v>7602</v>
      </c>
      <c r="B3995" s="2" t="s">
        <v>6391</v>
      </c>
      <c r="C3995" s="2">
        <v>821.95920000000001</v>
      </c>
      <c r="D3995" s="2">
        <f>HYPERLINK("http://mcb-m6.bioreg.kyushu-u.ac.jp/M3/20110404/F50755/2337/1", 58.71)</f>
        <v>58.71</v>
      </c>
      <c r="E3995" s="2">
        <v>34.69</v>
      </c>
      <c r="F3995" s="2">
        <v>2</v>
      </c>
      <c r="G3995" s="2" t="s">
        <v>9</v>
      </c>
    </row>
    <row r="3996" spans="1:9" x14ac:dyDescent="0.2">
      <c r="A3996" s="2" t="s">
        <v>7602</v>
      </c>
      <c r="B3996" s="2" t="s">
        <v>6392</v>
      </c>
      <c r="C3996" s="2">
        <v>626.20870000000002</v>
      </c>
      <c r="D3996" s="2">
        <f>HYPERLINK("http://mcb-m6.bioreg.kyushu-u.ac.jp/M3/20110404/F50755/1488/1", 58.99)</f>
        <v>58.99</v>
      </c>
      <c r="E3996" s="2">
        <v>46.66</v>
      </c>
      <c r="F3996" s="2">
        <v>2</v>
      </c>
      <c r="G3996" s="2" t="s">
        <v>9</v>
      </c>
    </row>
    <row r="3997" spans="1:9" x14ac:dyDescent="0.2">
      <c r="A3997" s="2" t="s">
        <v>7602</v>
      </c>
      <c r="B3997" s="2" t="s">
        <v>6087</v>
      </c>
      <c r="C3997" s="2">
        <v>819.33870000000002</v>
      </c>
      <c r="D3997" s="2">
        <f>HYPERLINK("http://mcb-m6.bioreg.kyushu-u.ac.jp/M3/20110404/F50755/2323/1", 76.26)</f>
        <v>76.260000000000005</v>
      </c>
      <c r="E3997" s="2">
        <v>48.95</v>
      </c>
      <c r="F3997" s="2">
        <v>2</v>
      </c>
      <c r="G3997" s="2" t="s">
        <v>9</v>
      </c>
    </row>
    <row r="3998" spans="1:9" x14ac:dyDescent="0.2">
      <c r="A3998" s="2" t="s">
        <v>3837</v>
      </c>
      <c r="B3998" s="2" t="s">
        <v>1162</v>
      </c>
      <c r="C3998" s="2">
        <v>873.08969999999999</v>
      </c>
      <c r="D3998" s="2">
        <f>HYPERLINK("http://mcb-m6.bioreg.kyushu-u.ac.jp/M3/20110404/F50756/2567/1", 69.65)</f>
        <v>69.650000000000006</v>
      </c>
      <c r="E3998" s="2">
        <v>46.99</v>
      </c>
      <c r="F3998" s="2">
        <v>2</v>
      </c>
      <c r="G3998" s="2" t="s">
        <v>9</v>
      </c>
    </row>
    <row r="3999" spans="1:9" x14ac:dyDescent="0.2">
      <c r="A3999" s="2" t="s">
        <v>3963</v>
      </c>
      <c r="B3999" s="2" t="s">
        <v>1185</v>
      </c>
      <c r="C3999" s="2">
        <v>898.20920000000001</v>
      </c>
      <c r="D3999" s="2">
        <f>HYPERLINK("http://mcb-m6.bioreg.kyushu-u.ac.jp/M3/20110404/F50756/2681/1", 54.91)</f>
        <v>54.91</v>
      </c>
      <c r="E3999" s="2">
        <v>38.39</v>
      </c>
      <c r="F3999" s="2">
        <v>2</v>
      </c>
      <c r="G3999" s="2" t="s">
        <v>9</v>
      </c>
    </row>
    <row r="4000" spans="1:9" x14ac:dyDescent="0.2">
      <c r="A4000" s="2" t="s">
        <v>3963</v>
      </c>
      <c r="B4000" s="2" t="s">
        <v>1185</v>
      </c>
      <c r="C4000" s="2">
        <v>898.78560000000004</v>
      </c>
      <c r="D4000" s="2">
        <f>HYPERLINK("http://mcb-m6.bioreg.kyushu-u.ac.jp/M3/20110404/F50756/2685/1", 59.38)</f>
        <v>59.38</v>
      </c>
      <c r="E4000" s="2">
        <v>48.41</v>
      </c>
      <c r="F4000" s="2">
        <v>2</v>
      </c>
      <c r="G4000" s="2" t="s">
        <v>9</v>
      </c>
    </row>
    <row r="4001" spans="1:9" x14ac:dyDescent="0.2">
      <c r="A4001" s="2" t="s">
        <v>3963</v>
      </c>
      <c r="B4001" s="2" t="s">
        <v>1185</v>
      </c>
      <c r="C4001" s="2">
        <v>898.76919999999996</v>
      </c>
      <c r="D4001" s="2">
        <f>HYPERLINK("http://mcb-m6.bioreg.kyushu-u.ac.jp/M3/20110427/F51114/2846/1", 80.69)</f>
        <v>80.69</v>
      </c>
      <c r="E4001" s="2">
        <v>55.27</v>
      </c>
      <c r="F4001" s="2">
        <v>2</v>
      </c>
      <c r="G4001" s="2" t="s">
        <v>13</v>
      </c>
    </row>
    <row r="4002" spans="1:9" x14ac:dyDescent="0.2">
      <c r="A4002" s="2" t="s">
        <v>4115</v>
      </c>
      <c r="B4002" s="2" t="s">
        <v>1613</v>
      </c>
      <c r="C4002" s="2">
        <v>829.34010000000001</v>
      </c>
      <c r="D4002" s="2">
        <f>HYPERLINK("http://mcb-m6.bioreg.kyushu-u.ac.jp/M3/20110404/F50761/2193/1", 114.76)</f>
        <v>114.76</v>
      </c>
      <c r="E4002" s="2">
        <v>97.63</v>
      </c>
      <c r="F4002" s="2">
        <v>2</v>
      </c>
      <c r="G4002" s="2" t="s">
        <v>10</v>
      </c>
    </row>
    <row r="4003" spans="1:9" x14ac:dyDescent="0.2">
      <c r="A4003" s="2" t="s">
        <v>3848</v>
      </c>
      <c r="B4003" s="2" t="s">
        <v>941</v>
      </c>
      <c r="C4003" s="2">
        <v>772.44569999999999</v>
      </c>
      <c r="D4003" s="2">
        <f>HYPERLINK("http://mcb-m6.bioreg.kyushu-u.ac.jp/M3/20110404/F50777/2059/1", 85.62)</f>
        <v>85.62</v>
      </c>
      <c r="E4003" s="2">
        <v>70.8</v>
      </c>
      <c r="F4003" s="2">
        <v>2</v>
      </c>
      <c r="G4003" s="2" t="s">
        <v>9</v>
      </c>
    </row>
    <row r="4004" spans="1:9" x14ac:dyDescent="0.2">
      <c r="A4004" s="2" t="s">
        <v>3848</v>
      </c>
      <c r="B4004" s="2" t="s">
        <v>6913</v>
      </c>
      <c r="C4004" s="2">
        <v>634.2441</v>
      </c>
      <c r="D4004" s="2">
        <f>HYPERLINK("http://mcb-m6.bioreg.kyushu-u.ac.jp/M3/20110404/F50774/1474/1", 58.23)</f>
        <v>58.23</v>
      </c>
      <c r="E4004" s="2">
        <v>34.880000000000003</v>
      </c>
      <c r="F4004" s="2">
        <v>2</v>
      </c>
      <c r="G4004" s="2" t="s">
        <v>10</v>
      </c>
    </row>
    <row r="4005" spans="1:9" x14ac:dyDescent="0.2">
      <c r="A4005" s="2" t="s">
        <v>4643</v>
      </c>
      <c r="B4005" s="2" t="s">
        <v>2800</v>
      </c>
      <c r="C4005" s="2">
        <v>674.30409999999995</v>
      </c>
      <c r="D4005" s="2">
        <f>HYPERLINK("http://mcb-m6.bioreg.kyushu-u.ac.jp/M3/20110421/F51043/1671/1", 41.16)</f>
        <v>41.16</v>
      </c>
      <c r="E4005" s="2">
        <v>19.739999999999998</v>
      </c>
      <c r="F4005" s="2">
        <v>2</v>
      </c>
      <c r="G4005" s="2" t="s">
        <v>12</v>
      </c>
      <c r="H4005" s="2" t="s">
        <v>4900</v>
      </c>
    </row>
    <row r="4006" spans="1:9" x14ac:dyDescent="0.2">
      <c r="A4006" s="2" t="s">
        <v>8023</v>
      </c>
      <c r="B4006" s="2" t="s">
        <v>7284</v>
      </c>
      <c r="C4006" s="2">
        <v>696.12120000000004</v>
      </c>
      <c r="D4006" s="2">
        <f>HYPERLINK("http://mcb-m6.bioreg.kyushu-u.ac.jp/M3/20110427/F51116/1821/1", 35.33)</f>
        <v>35.33</v>
      </c>
      <c r="E4006" s="2">
        <v>10.93</v>
      </c>
      <c r="F4006" s="2">
        <v>2</v>
      </c>
      <c r="G4006" s="2" t="s">
        <v>13</v>
      </c>
    </row>
    <row r="4007" spans="1:9" x14ac:dyDescent="0.2">
      <c r="A4007" s="2" t="s">
        <v>7760</v>
      </c>
      <c r="B4007" s="2" t="s">
        <v>6577</v>
      </c>
      <c r="C4007" s="2">
        <v>1134.2850000000001</v>
      </c>
      <c r="D4007" s="2">
        <f>HYPERLINK("http://mcb-m6.bioreg.kyushu-u.ac.jp/M3/20110404/F50753/3236/1", 83.93)</f>
        <v>83.93</v>
      </c>
      <c r="E4007" s="2">
        <v>63.95</v>
      </c>
      <c r="F4007" s="2">
        <v>2</v>
      </c>
      <c r="G4007" s="2" t="s">
        <v>9</v>
      </c>
    </row>
    <row r="4008" spans="1:9" x14ac:dyDescent="0.2">
      <c r="A4008" s="2" t="s">
        <v>7760</v>
      </c>
      <c r="B4008" s="2" t="s">
        <v>6577</v>
      </c>
      <c r="C4008" s="2">
        <v>1134.5050000000001</v>
      </c>
      <c r="D4008" s="2">
        <f>HYPERLINK("http://mcb-m6.bioreg.kyushu-u.ac.jp/M3/20110427/F51121/2855/1", 44)</f>
        <v>44</v>
      </c>
      <c r="E4008" s="2">
        <v>29.22</v>
      </c>
      <c r="F4008" s="2">
        <v>2</v>
      </c>
      <c r="G4008" s="2" t="s">
        <v>14</v>
      </c>
    </row>
    <row r="4009" spans="1:9" x14ac:dyDescent="0.2">
      <c r="A4009" s="2" t="s">
        <v>7637</v>
      </c>
      <c r="B4009" s="2" t="s">
        <v>6178</v>
      </c>
      <c r="C4009" s="2">
        <v>728.79269999999997</v>
      </c>
      <c r="D4009" s="2">
        <f>HYPERLINK("http://mcb-m6.bioreg.kyushu-u.ac.jp/M3/20110404/F50767/1666/1", 45.6)</f>
        <v>45.6</v>
      </c>
      <c r="E4009" s="2">
        <v>15.05</v>
      </c>
      <c r="F4009" s="2">
        <v>2</v>
      </c>
      <c r="G4009" s="2" t="s">
        <v>9</v>
      </c>
    </row>
    <row r="4010" spans="1:9" x14ac:dyDescent="0.2">
      <c r="A4010" s="2" t="s">
        <v>7637</v>
      </c>
      <c r="B4010" s="2" t="s">
        <v>6178</v>
      </c>
      <c r="C4010" s="2">
        <v>728.71310000000005</v>
      </c>
      <c r="D4010" s="2">
        <f>HYPERLINK("http://mcb-m6.bioreg.kyushu-u.ac.jp/M3/20110404/F50766/1478/1", 53.76)</f>
        <v>53.76</v>
      </c>
      <c r="E4010" s="2">
        <v>22.85</v>
      </c>
      <c r="F4010" s="2">
        <v>2</v>
      </c>
      <c r="G4010" s="2" t="s">
        <v>9</v>
      </c>
    </row>
    <row r="4011" spans="1:9" x14ac:dyDescent="0.2">
      <c r="A4011" s="2" t="s">
        <v>7934</v>
      </c>
      <c r="B4011" s="2" t="s">
        <v>7109</v>
      </c>
      <c r="C4011" s="2">
        <v>619.99270000000001</v>
      </c>
      <c r="D4011" s="2">
        <f>HYPERLINK("http://mcb-m6.bioreg.kyushu-u.ac.jp/M3/20110421/F51039/1481/1", 45.61)</f>
        <v>45.61</v>
      </c>
      <c r="E4011" s="2">
        <v>23.54</v>
      </c>
      <c r="F4011" s="2">
        <v>2</v>
      </c>
      <c r="G4011" s="2" t="s">
        <v>11</v>
      </c>
      <c r="I4011" s="2" t="s">
        <v>4905</v>
      </c>
    </row>
    <row r="4012" spans="1:9" x14ac:dyDescent="0.2">
      <c r="A4012" s="2" t="s">
        <v>8012</v>
      </c>
      <c r="B4012" s="2" t="s">
        <v>7250</v>
      </c>
      <c r="C4012" s="2">
        <v>531.63959999999997</v>
      </c>
      <c r="D4012" s="2">
        <f>HYPERLINK("http://mcb-m6.bioreg.kyushu-u.ac.jp/M3/20110421/F51021/972/1", 66.1)</f>
        <v>66.099999999999994</v>
      </c>
      <c r="E4012" s="2">
        <v>34.049999999999997</v>
      </c>
      <c r="F4012" s="2">
        <v>2</v>
      </c>
      <c r="G4012" s="2" t="s">
        <v>12</v>
      </c>
    </row>
    <row r="4013" spans="1:9" x14ac:dyDescent="0.2">
      <c r="A4013" s="2" t="s">
        <v>7686</v>
      </c>
      <c r="B4013" s="2" t="s">
        <v>6320</v>
      </c>
      <c r="C4013" s="2">
        <v>512.62120000000004</v>
      </c>
      <c r="D4013" s="2">
        <f>HYPERLINK("http://mcb-m6.bioreg.kyushu-u.ac.jp/M3/20110404/F50755/1080/1", 52.94)</f>
        <v>52.94</v>
      </c>
      <c r="E4013" s="2">
        <v>33.799999999999997</v>
      </c>
      <c r="F4013" s="2">
        <v>2</v>
      </c>
      <c r="G4013" s="2" t="s">
        <v>9</v>
      </c>
    </row>
    <row r="4014" spans="1:9" x14ac:dyDescent="0.2">
      <c r="A4014" s="2" t="s">
        <v>7686</v>
      </c>
      <c r="B4014" s="2" t="s">
        <v>6320</v>
      </c>
      <c r="C4014" s="2">
        <v>512.6866</v>
      </c>
      <c r="D4014" s="2">
        <f>HYPERLINK("http://mcb-m6.bioreg.kyushu-u.ac.jp/M3/20110404/F50760/1063/1", 37.93)</f>
        <v>37.93</v>
      </c>
      <c r="E4014" s="2">
        <v>20.62</v>
      </c>
      <c r="F4014" s="2">
        <v>2</v>
      </c>
      <c r="G4014" s="2" t="s">
        <v>10</v>
      </c>
    </row>
    <row r="4015" spans="1:9" x14ac:dyDescent="0.2">
      <c r="A4015" s="2" t="s">
        <v>7686</v>
      </c>
      <c r="B4015" s="2" t="s">
        <v>6824</v>
      </c>
      <c r="C4015" s="2">
        <v>929.30399999999997</v>
      </c>
      <c r="D4015" s="2">
        <f>HYPERLINK("http://mcb-m6.bioreg.kyushu-u.ac.jp/M3/20110404/F50760/944/1", 46.46)</f>
        <v>46.46</v>
      </c>
      <c r="E4015" s="2">
        <v>33.020000000000003</v>
      </c>
      <c r="F4015" s="2">
        <v>1</v>
      </c>
      <c r="G4015" s="2" t="s">
        <v>10</v>
      </c>
    </row>
    <row r="4016" spans="1:9" x14ac:dyDescent="0.2">
      <c r="A4016" s="2" t="s">
        <v>7686</v>
      </c>
      <c r="B4016" s="2" t="s">
        <v>7024</v>
      </c>
      <c r="C4016" s="2">
        <v>911.4357</v>
      </c>
      <c r="D4016" s="2">
        <f>HYPERLINK("http://mcb-m6.bioreg.kyushu-u.ac.jp/M3/20110404/F50760/2452/1", 82.85)</f>
        <v>82.85</v>
      </c>
      <c r="E4016" s="2">
        <v>53.59</v>
      </c>
      <c r="F4016" s="2">
        <v>2</v>
      </c>
      <c r="G4016" s="2" t="s">
        <v>10</v>
      </c>
    </row>
    <row r="4017" spans="1:9" x14ac:dyDescent="0.2">
      <c r="A4017" s="2" t="s">
        <v>4270</v>
      </c>
      <c r="B4017" s="2" t="s">
        <v>1940</v>
      </c>
      <c r="C4017" s="2">
        <v>753.29219999999998</v>
      </c>
      <c r="D4017" s="2">
        <f>HYPERLINK("http://mcb-m6.bioreg.kyushu-u.ac.jp/M3/20110404/F50755/2028/1", 83.79)</f>
        <v>83.79</v>
      </c>
      <c r="E4017" s="2">
        <v>49.76</v>
      </c>
      <c r="F4017" s="2">
        <v>2</v>
      </c>
      <c r="G4017" s="2" t="s">
        <v>9</v>
      </c>
    </row>
    <row r="4018" spans="1:9" x14ac:dyDescent="0.2">
      <c r="A4018" s="2" t="s">
        <v>4270</v>
      </c>
      <c r="B4018" s="2" t="s">
        <v>2934</v>
      </c>
      <c r="C4018" s="2">
        <v>951.46100000000001</v>
      </c>
      <c r="D4018" s="2">
        <f>HYPERLINK("http://mcb-m6.bioreg.kyushu-u.ac.jp/M3/20110404/F50760/977/1", 38.18)</f>
        <v>38.18</v>
      </c>
      <c r="E4018" s="2">
        <v>24.09</v>
      </c>
      <c r="F4018" s="2">
        <v>1</v>
      </c>
      <c r="G4018" s="2" t="s">
        <v>10</v>
      </c>
    </row>
    <row r="4019" spans="1:9" x14ac:dyDescent="0.2">
      <c r="A4019" s="2" t="s">
        <v>4270</v>
      </c>
      <c r="B4019" s="2" t="s">
        <v>1940</v>
      </c>
      <c r="C4019" s="2">
        <v>761.26120000000003</v>
      </c>
      <c r="D4019" s="2">
        <f>HYPERLINK("http://mcb-m6.bioreg.kyushu-u.ac.jp/M3/20110404/F50760/1939/1", 57.03)</f>
        <v>57.03</v>
      </c>
      <c r="E4019" s="2">
        <v>33.61</v>
      </c>
      <c r="F4019" s="2">
        <v>2</v>
      </c>
      <c r="G4019" s="2" t="s">
        <v>10</v>
      </c>
      <c r="H4019" s="2" t="s">
        <v>4915</v>
      </c>
    </row>
    <row r="4020" spans="1:9" x14ac:dyDescent="0.2">
      <c r="A4020" s="2" t="s">
        <v>4270</v>
      </c>
      <c r="B4020" s="2" t="s">
        <v>1940</v>
      </c>
      <c r="C4020" s="2">
        <v>753.33119999999997</v>
      </c>
      <c r="D4020" s="2">
        <f>HYPERLINK("http://mcb-m6.bioreg.kyushu-u.ac.jp/M3/20110404/F50760/1906/1", 59.28)</f>
        <v>59.28</v>
      </c>
      <c r="E4020" s="2">
        <v>40.119999999999997</v>
      </c>
      <c r="F4020" s="2">
        <v>2</v>
      </c>
      <c r="G4020" s="2" t="s">
        <v>10</v>
      </c>
    </row>
    <row r="4021" spans="1:9" x14ac:dyDescent="0.2">
      <c r="A4021" s="2" t="s">
        <v>4270</v>
      </c>
      <c r="B4021" s="2" t="s">
        <v>2934</v>
      </c>
      <c r="C4021" s="2">
        <v>476.25959999999998</v>
      </c>
      <c r="D4021" s="2">
        <f>HYPERLINK("http://mcb-m6.bioreg.kyushu-u.ac.jp/M3/20110421/F51059/629/1", 37.55)</f>
        <v>37.549999999999997</v>
      </c>
      <c r="E4021" s="2">
        <v>12.69</v>
      </c>
      <c r="F4021" s="2">
        <v>2</v>
      </c>
      <c r="G4021" s="2" t="s">
        <v>12</v>
      </c>
    </row>
    <row r="4022" spans="1:9" x14ac:dyDescent="0.2">
      <c r="A4022" s="2" t="s">
        <v>3756</v>
      </c>
      <c r="B4022" s="2" t="s">
        <v>2476</v>
      </c>
      <c r="C4022" s="2">
        <v>1020.24</v>
      </c>
      <c r="D4022" s="2">
        <f>HYPERLINK("http://mcb-m6.bioreg.kyushu-u.ac.jp/M3/20110404/F50763/2817/1", 96.94)</f>
        <v>96.94</v>
      </c>
      <c r="E4022" s="2">
        <v>88.84</v>
      </c>
      <c r="F4022" s="2">
        <v>2</v>
      </c>
      <c r="G4022" s="2" t="s">
        <v>9</v>
      </c>
      <c r="I4022" s="2" t="s">
        <v>4906</v>
      </c>
    </row>
    <row r="4023" spans="1:9" x14ac:dyDescent="0.2">
      <c r="A4023" s="2" t="s">
        <v>3756</v>
      </c>
      <c r="B4023" s="2" t="s">
        <v>6896</v>
      </c>
      <c r="C4023" s="2">
        <v>945.52170000000001</v>
      </c>
      <c r="D4023" s="2">
        <f>HYPERLINK("http://mcb-m6.bioreg.kyushu-u.ac.jp/M3/20110404/F50769/2503/1", 54.9)</f>
        <v>54.9</v>
      </c>
      <c r="E4023" s="2">
        <v>42.15</v>
      </c>
      <c r="F4023" s="2">
        <v>2</v>
      </c>
      <c r="G4023" s="2" t="s">
        <v>10</v>
      </c>
    </row>
    <row r="4024" spans="1:9" x14ac:dyDescent="0.2">
      <c r="A4024" s="2" t="s">
        <v>3756</v>
      </c>
      <c r="B4024" s="2" t="s">
        <v>2885</v>
      </c>
      <c r="C4024" s="2">
        <v>744.96510000000001</v>
      </c>
      <c r="D4024" s="2">
        <f>HYPERLINK("http://mcb-m6.bioreg.kyushu-u.ac.jp/M3/20110404/F50769/2003/1", 81.92)</f>
        <v>81.92</v>
      </c>
      <c r="E4024" s="2">
        <v>54.11</v>
      </c>
      <c r="F4024" s="2">
        <v>2</v>
      </c>
      <c r="G4024" s="2" t="s">
        <v>10</v>
      </c>
    </row>
    <row r="4025" spans="1:9" x14ac:dyDescent="0.2">
      <c r="A4025" s="2" t="s">
        <v>3756</v>
      </c>
      <c r="B4025" s="2" t="s">
        <v>2476</v>
      </c>
      <c r="C4025" s="2">
        <v>1020.0650000000001</v>
      </c>
      <c r="D4025" s="2">
        <f>HYPERLINK("http://mcb-m6.bioreg.kyushu-u.ac.jp/M3/20110428/F51127/3256/1", 51.91)</f>
        <v>51.91</v>
      </c>
      <c r="E4025" s="2">
        <v>44.38</v>
      </c>
      <c r="F4025" s="2">
        <v>2</v>
      </c>
      <c r="G4025" s="2" t="s">
        <v>13</v>
      </c>
      <c r="I4025" s="2" t="s">
        <v>4906</v>
      </c>
    </row>
    <row r="4026" spans="1:9" x14ac:dyDescent="0.2">
      <c r="A4026" s="2" t="s">
        <v>3756</v>
      </c>
      <c r="B4026" s="2" t="s">
        <v>2885</v>
      </c>
      <c r="C4026" s="2">
        <v>744.80520000000001</v>
      </c>
      <c r="D4026" s="2">
        <f>HYPERLINK("http://mcb-m6.bioreg.kyushu-u.ac.jp/M3/20110428/F51127/1904/1", 70.66)</f>
        <v>70.66</v>
      </c>
      <c r="E4026" s="2">
        <v>50.29</v>
      </c>
      <c r="F4026" s="2">
        <v>2</v>
      </c>
      <c r="G4026" s="2" t="s">
        <v>13</v>
      </c>
    </row>
    <row r="4027" spans="1:9" x14ac:dyDescent="0.2">
      <c r="A4027" s="2" t="s">
        <v>3644</v>
      </c>
      <c r="B4027" s="2" t="s">
        <v>569</v>
      </c>
      <c r="C4027" s="2">
        <v>615.83920000000001</v>
      </c>
      <c r="D4027" s="2">
        <f>HYPERLINK("http://mcb-m6.bioreg.kyushu-u.ac.jp/M3/20110421/F51042/1195/1", 66.07)</f>
        <v>66.069999999999993</v>
      </c>
      <c r="E4027" s="2">
        <v>46.63</v>
      </c>
      <c r="F4027" s="2">
        <v>2</v>
      </c>
      <c r="G4027" s="2" t="s">
        <v>11</v>
      </c>
    </row>
    <row r="4028" spans="1:9" x14ac:dyDescent="0.2">
      <c r="A4028" s="2" t="s">
        <v>3644</v>
      </c>
      <c r="B4028" s="2" t="s">
        <v>569</v>
      </c>
      <c r="C4028" s="2">
        <v>616.29909999999995</v>
      </c>
      <c r="D4028" s="2">
        <f>HYPERLINK("http://mcb-m6.bioreg.kyushu-u.ac.jp/M3/20110427/F51116/1499/1", 41.46)</f>
        <v>41.46</v>
      </c>
      <c r="E4028" s="2">
        <v>24.96</v>
      </c>
      <c r="F4028" s="2">
        <v>2</v>
      </c>
      <c r="G4028" s="2" t="s">
        <v>13</v>
      </c>
    </row>
    <row r="4029" spans="1:9" x14ac:dyDescent="0.2">
      <c r="A4029" s="2" t="s">
        <v>3644</v>
      </c>
      <c r="B4029" s="2" t="s">
        <v>569</v>
      </c>
      <c r="C4029" s="2">
        <v>615.64369999999997</v>
      </c>
      <c r="D4029" s="2">
        <f>HYPERLINK("http://mcb-m6.bioreg.kyushu-u.ac.jp/M3/20110427/F51115/1490/1", 81.27)</f>
        <v>81.27</v>
      </c>
      <c r="E4029" s="2">
        <v>54.35</v>
      </c>
      <c r="F4029" s="2">
        <v>2</v>
      </c>
      <c r="G4029" s="2" t="s">
        <v>13</v>
      </c>
    </row>
    <row r="4030" spans="1:9" x14ac:dyDescent="0.2">
      <c r="A4030" s="2" t="s">
        <v>3644</v>
      </c>
      <c r="B4030" s="2" t="s">
        <v>2939</v>
      </c>
      <c r="C4030" s="2">
        <v>728.7192</v>
      </c>
      <c r="D4030" s="2">
        <f>HYPERLINK("http://mcb-m6.bioreg.kyushu-u.ac.jp/M3/20110427/F51115/1932/1", 84.4)</f>
        <v>84.4</v>
      </c>
      <c r="E4030" s="2">
        <v>62.67</v>
      </c>
      <c r="F4030" s="2">
        <v>2</v>
      </c>
      <c r="G4030" s="2" t="s">
        <v>13</v>
      </c>
    </row>
    <row r="4031" spans="1:9" x14ac:dyDescent="0.2">
      <c r="A4031" s="2" t="s">
        <v>3644</v>
      </c>
      <c r="B4031" s="2" t="s">
        <v>569</v>
      </c>
      <c r="C4031" s="2">
        <v>615.97969999999998</v>
      </c>
      <c r="D4031" s="2">
        <f>HYPERLINK("http://mcb-m6.bioreg.kyushu-u.ac.jp/M3/20110427/F51124/1538/1", 39.04)</f>
        <v>39.04</v>
      </c>
      <c r="E4031" s="2">
        <v>10.91</v>
      </c>
      <c r="F4031" s="2">
        <v>2</v>
      </c>
      <c r="G4031" s="2" t="s">
        <v>14</v>
      </c>
    </row>
    <row r="4032" spans="1:9" x14ac:dyDescent="0.2">
      <c r="A4032" s="2" t="s">
        <v>7621</v>
      </c>
      <c r="B4032" s="2" t="s">
        <v>6140</v>
      </c>
      <c r="C4032" s="2">
        <v>549.92660000000001</v>
      </c>
      <c r="D4032" s="2">
        <f>HYPERLINK("http://mcb-m6.bioreg.kyushu-u.ac.jp/M3/20110404/F50752/1505/1", 44.15)</f>
        <v>44.15</v>
      </c>
      <c r="E4032" s="2">
        <v>12.76</v>
      </c>
      <c r="F4032" s="2">
        <v>2</v>
      </c>
      <c r="G4032" s="2" t="s">
        <v>9</v>
      </c>
      <c r="H4032" s="2" t="s">
        <v>4891</v>
      </c>
    </row>
    <row r="4033" spans="1:8" x14ac:dyDescent="0.2">
      <c r="A4033" s="2" t="s">
        <v>3792</v>
      </c>
      <c r="B4033" s="2" t="s">
        <v>2546</v>
      </c>
      <c r="C4033" s="2">
        <v>1006.4349999999999</v>
      </c>
      <c r="D4033" s="2">
        <f>HYPERLINK("http://mcb-m6.bioreg.kyushu-u.ac.jp/M3/20110404/F50752/1365/1", 38.24)</f>
        <v>38.24</v>
      </c>
      <c r="E4033" s="2">
        <v>20.440000000000001</v>
      </c>
      <c r="F4033" s="2">
        <v>1</v>
      </c>
      <c r="G4033" s="2" t="s">
        <v>9</v>
      </c>
    </row>
    <row r="4034" spans="1:8" x14ac:dyDescent="0.2">
      <c r="A4034" s="2" t="s">
        <v>3792</v>
      </c>
      <c r="B4034" s="2" t="s">
        <v>1227</v>
      </c>
      <c r="C4034" s="2">
        <v>827.42409999999995</v>
      </c>
      <c r="D4034" s="2">
        <f>HYPERLINK("http://mcb-m6.bioreg.kyushu-u.ac.jp/M3/20110404/F50752/2375/1", 62.53)</f>
        <v>62.53</v>
      </c>
      <c r="E4034" s="2">
        <v>46.89</v>
      </c>
      <c r="F4034" s="2">
        <v>2</v>
      </c>
      <c r="G4034" s="2" t="s">
        <v>9</v>
      </c>
      <c r="H4034" s="2" t="s">
        <v>4915</v>
      </c>
    </row>
    <row r="4035" spans="1:8" x14ac:dyDescent="0.2">
      <c r="A4035" s="2" t="s">
        <v>3792</v>
      </c>
      <c r="B4035" s="2" t="s">
        <v>1227</v>
      </c>
      <c r="C4035" s="2">
        <v>818.86519999999996</v>
      </c>
      <c r="D4035" s="2">
        <f>HYPERLINK("http://mcb-m6.bioreg.kyushu-u.ac.jp/M3/20110404/F50752/2356/1", 75.96)</f>
        <v>75.959999999999994</v>
      </c>
      <c r="E4035" s="2">
        <v>52.25</v>
      </c>
      <c r="F4035" s="2">
        <v>2</v>
      </c>
      <c r="G4035" s="2" t="s">
        <v>9</v>
      </c>
    </row>
    <row r="4036" spans="1:8" x14ac:dyDescent="0.2">
      <c r="A4036" s="2" t="s">
        <v>3792</v>
      </c>
      <c r="B4036" s="2" t="s">
        <v>1227</v>
      </c>
      <c r="C4036" s="2">
        <v>818.97360000000003</v>
      </c>
      <c r="D4036" s="2">
        <f>HYPERLINK("http://mcb-m6.bioreg.kyushu-u.ac.jp/M3/20110404/F50757/2273/1", 44.95)</f>
        <v>44.95</v>
      </c>
      <c r="E4036" s="2">
        <v>27.39</v>
      </c>
      <c r="F4036" s="2">
        <v>2</v>
      </c>
      <c r="G4036" s="2" t="s">
        <v>10</v>
      </c>
      <c r="H4036" s="2" t="s">
        <v>4961</v>
      </c>
    </row>
    <row r="4037" spans="1:8" x14ac:dyDescent="0.2">
      <c r="A4037" s="2" t="s">
        <v>3792</v>
      </c>
      <c r="B4037" s="2" t="s">
        <v>1227</v>
      </c>
      <c r="C4037" s="2">
        <v>826.79060000000004</v>
      </c>
      <c r="D4037" s="2">
        <f>HYPERLINK("http://mcb-m6.bioreg.kyushu-u.ac.jp/M3/20110404/F50757/2290/1", 49.64)</f>
        <v>49.64</v>
      </c>
      <c r="E4037" s="2">
        <v>33.83</v>
      </c>
      <c r="F4037" s="2">
        <v>2</v>
      </c>
      <c r="G4037" s="2" t="s">
        <v>10</v>
      </c>
      <c r="H4037" s="2" t="s">
        <v>4915</v>
      </c>
    </row>
    <row r="4038" spans="1:8" x14ac:dyDescent="0.2">
      <c r="A4038" s="2" t="s">
        <v>3792</v>
      </c>
      <c r="B4038" s="2" t="s">
        <v>1376</v>
      </c>
      <c r="C4038" s="2">
        <v>554.15620000000001</v>
      </c>
      <c r="D4038" s="2">
        <f>HYPERLINK("http://mcb-m6.bioreg.kyushu-u.ac.jp/M3/20110404/F50757/1628/1", 71.39)</f>
        <v>71.39</v>
      </c>
      <c r="E4038" s="2">
        <v>37</v>
      </c>
      <c r="F4038" s="2">
        <v>2</v>
      </c>
      <c r="G4038" s="2" t="s">
        <v>10</v>
      </c>
    </row>
    <row r="4039" spans="1:8" x14ac:dyDescent="0.2">
      <c r="A4039" s="2" t="s">
        <v>3792</v>
      </c>
      <c r="B4039" s="2" t="s">
        <v>2546</v>
      </c>
      <c r="C4039" s="2">
        <v>1006.375</v>
      </c>
      <c r="D4039" s="2">
        <f>HYPERLINK("http://mcb-m6.bioreg.kyushu-u.ac.jp/M3/20110421/F51016/1422/1", 38.26)</f>
        <v>38.26</v>
      </c>
      <c r="E4039" s="2">
        <v>17.46</v>
      </c>
      <c r="F4039" s="2">
        <v>1</v>
      </c>
      <c r="G4039" s="2" t="s">
        <v>11</v>
      </c>
    </row>
    <row r="4040" spans="1:8" x14ac:dyDescent="0.2">
      <c r="A4040" s="2" t="s">
        <v>3792</v>
      </c>
      <c r="B4040" s="2" t="s">
        <v>1227</v>
      </c>
      <c r="C4040" s="2">
        <v>827.05409999999995</v>
      </c>
      <c r="D4040" s="2">
        <f>HYPERLINK("http://mcb-m6.bioreg.kyushu-u.ac.jp/M3/20110421/F51016/2314/1", 48.53)</f>
        <v>48.53</v>
      </c>
      <c r="E4040" s="2">
        <v>31.62</v>
      </c>
      <c r="F4040" s="2">
        <v>2</v>
      </c>
      <c r="G4040" s="2" t="s">
        <v>11</v>
      </c>
      <c r="H4040" s="2" t="s">
        <v>4915</v>
      </c>
    </row>
    <row r="4041" spans="1:8" x14ac:dyDescent="0.2">
      <c r="A4041" s="2" t="s">
        <v>3792</v>
      </c>
      <c r="B4041" s="2" t="s">
        <v>1376</v>
      </c>
      <c r="C4041" s="2">
        <v>554.03120000000001</v>
      </c>
      <c r="D4041" s="2">
        <f>HYPERLINK("http://mcb-m6.bioreg.kyushu-u.ac.jp/M3/20110421/F51016/1556/1", 71.35)</f>
        <v>71.349999999999994</v>
      </c>
      <c r="E4041" s="2">
        <v>29.86</v>
      </c>
      <c r="F4041" s="2">
        <v>2</v>
      </c>
      <c r="G4041" s="2" t="s">
        <v>11</v>
      </c>
    </row>
    <row r="4042" spans="1:8" x14ac:dyDescent="0.2">
      <c r="A4042" s="2" t="s">
        <v>3792</v>
      </c>
      <c r="B4042" s="2" t="s">
        <v>1227</v>
      </c>
      <c r="C4042" s="2">
        <v>819.20069999999998</v>
      </c>
      <c r="D4042" s="2">
        <f>HYPERLINK("http://mcb-m6.bioreg.kyushu-u.ac.jp/M3/20110421/F51016/2286/1", 88.63)</f>
        <v>88.63</v>
      </c>
      <c r="E4042" s="2">
        <v>63.41</v>
      </c>
      <c r="F4042" s="2">
        <v>2</v>
      </c>
      <c r="G4042" s="2" t="s">
        <v>11</v>
      </c>
    </row>
    <row r="4043" spans="1:8" x14ac:dyDescent="0.2">
      <c r="A4043" s="2" t="s">
        <v>3792</v>
      </c>
      <c r="B4043" s="2" t="s">
        <v>1227</v>
      </c>
      <c r="C4043" s="2">
        <v>827.18709999999999</v>
      </c>
      <c r="D4043" s="2">
        <f>HYPERLINK("http://mcb-m6.bioreg.kyushu-u.ac.jp/M3/20110421/F51022/2156/1", 61.69)</f>
        <v>61.69</v>
      </c>
      <c r="E4043" s="2">
        <v>44.57</v>
      </c>
      <c r="F4043" s="2">
        <v>2</v>
      </c>
      <c r="G4043" s="2" t="s">
        <v>12</v>
      </c>
      <c r="H4043" s="2" t="s">
        <v>4915</v>
      </c>
    </row>
    <row r="4044" spans="1:8" x14ac:dyDescent="0.2">
      <c r="A4044" s="2" t="s">
        <v>3792</v>
      </c>
      <c r="B4044" s="2" t="s">
        <v>1376</v>
      </c>
      <c r="C4044" s="2">
        <v>554.41920000000005</v>
      </c>
      <c r="D4044" s="2">
        <f>HYPERLINK("http://mcb-m6.bioreg.kyushu-u.ac.jp/M3/20110427/F51110/1524/1", 47.25)</f>
        <v>47.25</v>
      </c>
      <c r="E4044" s="2">
        <v>25.33</v>
      </c>
      <c r="F4044" s="2">
        <v>2</v>
      </c>
      <c r="G4044" s="2" t="s">
        <v>13</v>
      </c>
    </row>
    <row r="4045" spans="1:8" x14ac:dyDescent="0.2">
      <c r="A4045" s="2" t="s">
        <v>3792</v>
      </c>
      <c r="B4045" s="2" t="s">
        <v>1376</v>
      </c>
      <c r="C4045" s="2">
        <v>554.12519999999995</v>
      </c>
      <c r="D4045" s="2">
        <f>HYPERLINK("http://mcb-m6.bioreg.kyushu-u.ac.jp/M3/20110427/F51110/1523/1", 48.06)</f>
        <v>48.06</v>
      </c>
      <c r="E4045" s="2">
        <v>23.49</v>
      </c>
      <c r="F4045" s="2">
        <v>2</v>
      </c>
      <c r="G4045" s="2" t="s">
        <v>13</v>
      </c>
    </row>
    <row r="4046" spans="1:8" x14ac:dyDescent="0.2">
      <c r="A4046" s="2" t="s">
        <v>3792</v>
      </c>
      <c r="B4046" s="2" t="s">
        <v>1376</v>
      </c>
      <c r="C4046" s="2">
        <v>554.16819999999996</v>
      </c>
      <c r="D4046" s="2">
        <f>HYPERLINK("http://mcb-m6.bioreg.kyushu-u.ac.jp/M3/20110427/F51109/1578/1", 63)</f>
        <v>63</v>
      </c>
      <c r="E4046" s="2">
        <v>38.049999999999997</v>
      </c>
      <c r="F4046" s="2">
        <v>2</v>
      </c>
      <c r="G4046" s="2" t="s">
        <v>13</v>
      </c>
    </row>
    <row r="4047" spans="1:8" x14ac:dyDescent="0.2">
      <c r="A4047" s="2" t="s">
        <v>3792</v>
      </c>
      <c r="B4047" s="2" t="s">
        <v>1227</v>
      </c>
      <c r="C4047" s="2">
        <v>819.25210000000004</v>
      </c>
      <c r="D4047" s="2">
        <f>HYPERLINK("http://mcb-m6.bioreg.kyushu-u.ac.jp/M3/20110427/F51110/2492/1", 75.14)</f>
        <v>75.14</v>
      </c>
      <c r="E4047" s="2">
        <v>56.63</v>
      </c>
      <c r="F4047" s="2">
        <v>2</v>
      </c>
      <c r="G4047" s="2" t="s">
        <v>13</v>
      </c>
    </row>
    <row r="4048" spans="1:8" x14ac:dyDescent="0.2">
      <c r="A4048" s="2" t="s">
        <v>3792</v>
      </c>
      <c r="B4048" s="2" t="s">
        <v>1376</v>
      </c>
      <c r="C4048" s="2">
        <v>554.06209999999999</v>
      </c>
      <c r="D4048" s="2">
        <f>HYPERLINK("http://mcb-m6.bioreg.kyushu-u.ac.jp/M3/20110427/F51119/1663/1", 63)</f>
        <v>63</v>
      </c>
      <c r="E4048" s="2">
        <v>37.130000000000003</v>
      </c>
      <c r="F4048" s="2">
        <v>2</v>
      </c>
      <c r="G4048" s="2" t="s">
        <v>14</v>
      </c>
    </row>
    <row r="4049" spans="1:8" x14ac:dyDescent="0.2">
      <c r="A4049" s="2" t="s">
        <v>3792</v>
      </c>
      <c r="B4049" s="2" t="s">
        <v>1227</v>
      </c>
      <c r="C4049" s="2">
        <v>827.03859999999997</v>
      </c>
      <c r="D4049" s="2">
        <f>HYPERLINK("http://mcb-m6.bioreg.kyushu-u.ac.jp/M3/20110427/F51119/2289/1", 63.8)</f>
        <v>63.8</v>
      </c>
      <c r="E4049" s="2">
        <v>47.36</v>
      </c>
      <c r="F4049" s="2">
        <v>2</v>
      </c>
      <c r="G4049" s="2" t="s">
        <v>14</v>
      </c>
      <c r="H4049" s="2" t="s">
        <v>4915</v>
      </c>
    </row>
    <row r="4050" spans="1:8" x14ac:dyDescent="0.2">
      <c r="A4050" s="2" t="s">
        <v>3593</v>
      </c>
      <c r="B4050" s="2" t="s">
        <v>483</v>
      </c>
      <c r="C4050" s="2">
        <v>1196.527</v>
      </c>
      <c r="D4050" s="2">
        <f>HYPERLINK("http://mcb-m6.bioreg.kyushu-u.ac.jp/M3/20110404/F50752/1651/1", 53.79)</f>
        <v>53.79</v>
      </c>
      <c r="E4050" s="2">
        <v>37.229999999999997</v>
      </c>
      <c r="F4050" s="2">
        <v>1</v>
      </c>
      <c r="G4050" s="2" t="s">
        <v>9</v>
      </c>
    </row>
    <row r="4051" spans="1:8" x14ac:dyDescent="0.2">
      <c r="A4051" s="2" t="s">
        <v>3593</v>
      </c>
      <c r="B4051" s="2" t="s">
        <v>1807</v>
      </c>
      <c r="C4051" s="2">
        <v>894.37099999999998</v>
      </c>
      <c r="D4051" s="2">
        <f>HYPERLINK("http://mcb-m6.bioreg.kyushu-u.ac.jp/M3/20110404/F50757/1321/1", 35.75)</f>
        <v>35.75</v>
      </c>
      <c r="E4051" s="2">
        <v>14.49</v>
      </c>
      <c r="F4051" s="2">
        <v>1</v>
      </c>
      <c r="G4051" s="2" t="s">
        <v>10</v>
      </c>
    </row>
    <row r="4052" spans="1:8" x14ac:dyDescent="0.2">
      <c r="A4052" s="2" t="s">
        <v>3593</v>
      </c>
      <c r="B4052" s="2" t="s">
        <v>483</v>
      </c>
      <c r="C4052" s="2">
        <v>1196.607</v>
      </c>
      <c r="D4052" s="2">
        <f>HYPERLINK("http://mcb-m6.bioreg.kyushu-u.ac.jp/M3/20110404/F50758/1466/1", 54.11)</f>
        <v>54.11</v>
      </c>
      <c r="E4052" s="2">
        <v>40.57</v>
      </c>
      <c r="F4052" s="2">
        <v>1</v>
      </c>
      <c r="G4052" s="2" t="s">
        <v>10</v>
      </c>
    </row>
    <row r="4053" spans="1:8" x14ac:dyDescent="0.2">
      <c r="A4053" s="2" t="s">
        <v>3593</v>
      </c>
      <c r="B4053" s="2" t="s">
        <v>483</v>
      </c>
      <c r="C4053" s="2">
        <v>1196.365</v>
      </c>
      <c r="D4053" s="2">
        <f>HYPERLINK("http://mcb-m6.bioreg.kyushu-u.ac.jp/M3/20110404/F50757/1737/1", 63.42)</f>
        <v>63.42</v>
      </c>
      <c r="E4053" s="2">
        <v>46.8</v>
      </c>
      <c r="F4053" s="2">
        <v>1</v>
      </c>
      <c r="G4053" s="2" t="s">
        <v>10</v>
      </c>
    </row>
    <row r="4054" spans="1:8" x14ac:dyDescent="0.2">
      <c r="A4054" s="2" t="s">
        <v>3593</v>
      </c>
      <c r="B4054" s="2" t="s">
        <v>483</v>
      </c>
      <c r="C4054" s="2">
        <v>599.19820000000004</v>
      </c>
      <c r="D4054" s="2">
        <f>HYPERLINK("http://mcb-m6.bioreg.kyushu-u.ac.jp/M3/20110404/F50757/1740/1", 63.73)</f>
        <v>63.73</v>
      </c>
      <c r="E4054" s="2">
        <v>44.33</v>
      </c>
      <c r="F4054" s="2">
        <v>2</v>
      </c>
      <c r="G4054" s="2" t="s">
        <v>10</v>
      </c>
    </row>
    <row r="4055" spans="1:8" x14ac:dyDescent="0.2">
      <c r="A4055" s="2" t="s">
        <v>3593</v>
      </c>
      <c r="B4055" s="2" t="s">
        <v>483</v>
      </c>
      <c r="C4055" s="2">
        <v>599.05619999999999</v>
      </c>
      <c r="D4055" s="2">
        <f>HYPERLINK("http://mcb-m6.bioreg.kyushu-u.ac.jp/M3/20110421/F51016/1724/1", 65.15)</f>
        <v>65.150000000000006</v>
      </c>
      <c r="E4055" s="2">
        <v>43.3</v>
      </c>
      <c r="F4055" s="2">
        <v>2</v>
      </c>
      <c r="G4055" s="2" t="s">
        <v>11</v>
      </c>
    </row>
    <row r="4056" spans="1:8" x14ac:dyDescent="0.2">
      <c r="A4056" s="2" t="s">
        <v>3571</v>
      </c>
      <c r="B4056" s="2" t="s">
        <v>439</v>
      </c>
      <c r="C4056" s="2">
        <v>1225.5029999999999</v>
      </c>
      <c r="D4056" s="2">
        <f>HYPERLINK("http://mcb-m6.bioreg.kyushu-u.ac.jp/M3/20110404/F50752/1713/1", 40.8)</f>
        <v>40.799999999999997</v>
      </c>
      <c r="E4056" s="2">
        <v>18.87</v>
      </c>
      <c r="F4056" s="2">
        <v>1</v>
      </c>
      <c r="G4056" s="2" t="s">
        <v>9</v>
      </c>
    </row>
    <row r="4057" spans="1:8" x14ac:dyDescent="0.2">
      <c r="A4057" s="2" t="s">
        <v>3571</v>
      </c>
      <c r="B4057" s="2" t="s">
        <v>439</v>
      </c>
      <c r="C4057" s="2">
        <v>613.54909999999995</v>
      </c>
      <c r="D4057" s="2">
        <f>HYPERLINK("http://mcb-m6.bioreg.kyushu-u.ac.jp/M3/20110404/F50753/1553/1", 45.15)</f>
        <v>45.15</v>
      </c>
      <c r="E4057" s="2">
        <v>27.84</v>
      </c>
      <c r="F4057" s="2">
        <v>2</v>
      </c>
      <c r="G4057" s="2" t="s">
        <v>9</v>
      </c>
    </row>
    <row r="4058" spans="1:8" x14ac:dyDescent="0.2">
      <c r="A4058" s="2" t="s">
        <v>3571</v>
      </c>
      <c r="B4058" s="2" t="s">
        <v>439</v>
      </c>
      <c r="C4058" s="2">
        <v>613.73969999999997</v>
      </c>
      <c r="D4058" s="2">
        <f>HYPERLINK("http://mcb-m6.bioreg.kyushu-u.ac.jp/M3/20110404/F50752/1715/1", 46.87)</f>
        <v>46.87</v>
      </c>
      <c r="E4058" s="2">
        <v>29.72</v>
      </c>
      <c r="F4058" s="2">
        <v>2</v>
      </c>
      <c r="G4058" s="2" t="s">
        <v>9</v>
      </c>
    </row>
    <row r="4059" spans="1:8" x14ac:dyDescent="0.2">
      <c r="A4059" s="2" t="s">
        <v>3571</v>
      </c>
      <c r="B4059" s="2" t="s">
        <v>439</v>
      </c>
      <c r="C4059" s="2">
        <v>1225.4480000000001</v>
      </c>
      <c r="D4059" s="2">
        <f>HYPERLINK("http://mcb-m6.bioreg.kyushu-u.ac.jp/M3/20110404/F50757/1785/1", 41.02)</f>
        <v>41.02</v>
      </c>
      <c r="E4059" s="2">
        <v>20.86</v>
      </c>
      <c r="F4059" s="2">
        <v>1</v>
      </c>
      <c r="G4059" s="2" t="s">
        <v>10</v>
      </c>
    </row>
    <row r="4060" spans="1:8" x14ac:dyDescent="0.2">
      <c r="A4060" s="2" t="s">
        <v>3571</v>
      </c>
      <c r="B4060" s="2" t="s">
        <v>439</v>
      </c>
      <c r="C4060" s="2">
        <v>1208.4970000000001</v>
      </c>
      <c r="D4060" s="2">
        <f>HYPERLINK("http://mcb-m6.bioreg.kyushu-u.ac.jp/M3/20110404/F50757/1754/1", 43.71)</f>
        <v>43.71</v>
      </c>
      <c r="E4060" s="2">
        <v>28.2</v>
      </c>
      <c r="F4060" s="2">
        <v>1</v>
      </c>
      <c r="G4060" s="2" t="s">
        <v>10</v>
      </c>
      <c r="H4060" s="2" t="s">
        <v>4904</v>
      </c>
    </row>
    <row r="4061" spans="1:8" x14ac:dyDescent="0.2">
      <c r="A4061" s="2" t="s">
        <v>3571</v>
      </c>
      <c r="B4061" s="2" t="s">
        <v>439</v>
      </c>
      <c r="C4061" s="2">
        <v>613.23519999999996</v>
      </c>
      <c r="D4061" s="2">
        <f>HYPERLINK("http://mcb-m6.bioreg.kyushu-u.ac.jp/M3/20110404/F50757/1786/1", 63.61)</f>
        <v>63.61</v>
      </c>
      <c r="E4061" s="2">
        <v>42.15</v>
      </c>
      <c r="F4061" s="2">
        <v>2</v>
      </c>
      <c r="G4061" s="2" t="s">
        <v>10</v>
      </c>
    </row>
    <row r="4062" spans="1:8" x14ac:dyDescent="0.2">
      <c r="A4062" s="2" t="s">
        <v>3571</v>
      </c>
      <c r="B4062" s="2" t="s">
        <v>439</v>
      </c>
      <c r="C4062" s="2">
        <v>613.74770000000001</v>
      </c>
      <c r="D4062" s="2">
        <f>HYPERLINK("http://mcb-m6.bioreg.kyushu-u.ac.jp/M3/20110404/F50757/1788/1", 73.53)</f>
        <v>73.53</v>
      </c>
      <c r="E4062" s="2">
        <v>53.03</v>
      </c>
      <c r="F4062" s="2">
        <v>2</v>
      </c>
      <c r="G4062" s="2" t="s">
        <v>10</v>
      </c>
    </row>
    <row r="4063" spans="1:8" x14ac:dyDescent="0.2">
      <c r="A4063" s="2" t="s">
        <v>3571</v>
      </c>
      <c r="B4063" s="2" t="s">
        <v>439</v>
      </c>
      <c r="C4063" s="2">
        <v>613.50319999999999</v>
      </c>
      <c r="D4063" s="2">
        <f>HYPERLINK("http://mcb-m6.bioreg.kyushu-u.ac.jp/M3/20110421/F51016/1770/1", 46.42)</f>
        <v>46.42</v>
      </c>
      <c r="E4063" s="2">
        <v>32.950000000000003</v>
      </c>
      <c r="F4063" s="2">
        <v>2</v>
      </c>
      <c r="G4063" s="2" t="s">
        <v>11</v>
      </c>
    </row>
    <row r="4064" spans="1:8" x14ac:dyDescent="0.2">
      <c r="A4064" s="2" t="s">
        <v>3571</v>
      </c>
      <c r="B4064" s="2" t="s">
        <v>439</v>
      </c>
      <c r="C4064" s="2">
        <v>613.23220000000003</v>
      </c>
      <c r="D4064" s="2">
        <f>HYPERLINK("http://mcb-m6.bioreg.kyushu-u.ac.jp/M3/20110421/F51022/1806/1", 73.62)</f>
        <v>73.62</v>
      </c>
      <c r="E4064" s="2">
        <v>50.48</v>
      </c>
      <c r="F4064" s="2">
        <v>2</v>
      </c>
      <c r="G4064" s="2" t="s">
        <v>12</v>
      </c>
    </row>
    <row r="4065" spans="1:8" x14ac:dyDescent="0.2">
      <c r="A4065" s="2" t="s">
        <v>3571</v>
      </c>
      <c r="B4065" s="2" t="s">
        <v>439</v>
      </c>
      <c r="C4065" s="2">
        <v>613.49109999999996</v>
      </c>
      <c r="D4065" s="2">
        <f>HYPERLINK("http://mcb-m6.bioreg.kyushu-u.ac.jp/M3/20110427/F51110/1755/1", 47.2)</f>
        <v>47.2</v>
      </c>
      <c r="E4065" s="2">
        <v>28.39</v>
      </c>
      <c r="F4065" s="2">
        <v>2</v>
      </c>
      <c r="G4065" s="2" t="s">
        <v>13</v>
      </c>
    </row>
    <row r="4066" spans="1:8" x14ac:dyDescent="0.2">
      <c r="A4066" s="2" t="s">
        <v>3571</v>
      </c>
      <c r="B4066" s="2" t="s">
        <v>883</v>
      </c>
      <c r="C4066" s="2">
        <v>680.82420000000002</v>
      </c>
      <c r="D4066" s="2">
        <f>HYPERLINK("http://mcb-m6.bioreg.kyushu-u.ac.jp/M3/20110427/F51119/1961/1", 45.03)</f>
        <v>45.03</v>
      </c>
      <c r="E4066" s="2">
        <v>17.760000000000002</v>
      </c>
      <c r="F4066" s="2">
        <v>2</v>
      </c>
      <c r="G4066" s="2" t="s">
        <v>14</v>
      </c>
    </row>
    <row r="4067" spans="1:8" x14ac:dyDescent="0.2">
      <c r="A4067" s="2" t="s">
        <v>3337</v>
      </c>
      <c r="B4067" s="2" t="s">
        <v>125</v>
      </c>
      <c r="C4067" s="2">
        <v>591.19569999999999</v>
      </c>
      <c r="D4067" s="2">
        <f>HYPERLINK("http://mcb-m6.bioreg.kyushu-u.ac.jp/M3/20110404/F50752/1611/1", 44.22)</f>
        <v>44.22</v>
      </c>
      <c r="E4067" s="2">
        <v>27.05</v>
      </c>
      <c r="F4067" s="2">
        <v>2</v>
      </c>
      <c r="G4067" s="2" t="s">
        <v>9</v>
      </c>
      <c r="H4067" s="2" t="s">
        <v>4896</v>
      </c>
    </row>
    <row r="4068" spans="1:8" x14ac:dyDescent="0.2">
      <c r="A4068" s="2" t="s">
        <v>3337</v>
      </c>
      <c r="B4068" s="2" t="s">
        <v>759</v>
      </c>
      <c r="C4068" s="2">
        <v>954.39</v>
      </c>
      <c r="D4068" s="2">
        <f>HYPERLINK("http://mcb-m6.bioreg.kyushu-u.ac.jp/M3/20110404/F50752/1269/1", 50.09)</f>
        <v>50.09</v>
      </c>
      <c r="E4068" s="2">
        <v>34.18</v>
      </c>
      <c r="F4068" s="2">
        <v>1</v>
      </c>
      <c r="G4068" s="2" t="s">
        <v>9</v>
      </c>
    </row>
    <row r="4069" spans="1:8" x14ac:dyDescent="0.2">
      <c r="A4069" s="2" t="s">
        <v>3337</v>
      </c>
      <c r="B4069" s="2" t="s">
        <v>125</v>
      </c>
      <c r="C4069" s="2">
        <v>582.81320000000005</v>
      </c>
      <c r="D4069" s="2">
        <f>HYPERLINK("http://mcb-m6.bioreg.kyushu-u.ac.jp/M3/20110404/F50752/1584/1", 67.57)</f>
        <v>67.569999999999993</v>
      </c>
      <c r="E4069" s="2">
        <v>48.98</v>
      </c>
      <c r="F4069" s="2">
        <v>2</v>
      </c>
      <c r="G4069" s="2" t="s">
        <v>9</v>
      </c>
    </row>
    <row r="4070" spans="1:8" x14ac:dyDescent="0.2">
      <c r="A4070" s="2" t="s">
        <v>3337</v>
      </c>
      <c r="B4070" s="2" t="s">
        <v>759</v>
      </c>
      <c r="C4070" s="2">
        <v>954.39300000000003</v>
      </c>
      <c r="D4070" s="2">
        <f>HYPERLINK("http://mcb-m6.bioreg.kyushu-u.ac.jp/M3/20110404/F50757/1425/1", 36.77)</f>
        <v>36.770000000000003</v>
      </c>
      <c r="E4070" s="2">
        <v>16.420000000000002</v>
      </c>
      <c r="F4070" s="2">
        <v>1</v>
      </c>
      <c r="G4070" s="2" t="s">
        <v>10</v>
      </c>
    </row>
    <row r="4071" spans="1:8" x14ac:dyDescent="0.2">
      <c r="A4071" s="2" t="s">
        <v>3337</v>
      </c>
      <c r="B4071" s="2" t="s">
        <v>125</v>
      </c>
      <c r="C4071" s="2">
        <v>1164.3879999999999</v>
      </c>
      <c r="D4071" s="2">
        <f>HYPERLINK("http://mcb-m6.bioreg.kyushu-u.ac.jp/M3/20110404/F50757/1685/1", 38.21)</f>
        <v>38.21</v>
      </c>
      <c r="E4071" s="2">
        <v>24.73</v>
      </c>
      <c r="F4071" s="2">
        <v>1</v>
      </c>
      <c r="G4071" s="2" t="s">
        <v>10</v>
      </c>
    </row>
    <row r="4072" spans="1:8" x14ac:dyDescent="0.2">
      <c r="A4072" s="2" t="s">
        <v>3337</v>
      </c>
      <c r="B4072" s="2" t="s">
        <v>759</v>
      </c>
      <c r="C4072" s="2">
        <v>477.80959999999999</v>
      </c>
      <c r="D4072" s="2">
        <f>HYPERLINK("http://mcb-m6.bioreg.kyushu-u.ac.jp/M3/20110404/F50757/1426/1", 42.33)</f>
        <v>42.33</v>
      </c>
      <c r="E4072" s="2">
        <v>21.84</v>
      </c>
      <c r="F4072" s="2">
        <v>2</v>
      </c>
      <c r="G4072" s="2" t="s">
        <v>10</v>
      </c>
    </row>
    <row r="4073" spans="1:8" x14ac:dyDescent="0.2">
      <c r="A4073" s="2" t="s">
        <v>3337</v>
      </c>
      <c r="B4073" s="2" t="s">
        <v>125</v>
      </c>
      <c r="C4073" s="2">
        <v>583.24369999999999</v>
      </c>
      <c r="D4073" s="2">
        <f>HYPERLINK("http://mcb-m6.bioreg.kyushu-u.ac.jp/M3/20110404/F50757/1689/1", 50.97)</f>
        <v>50.97</v>
      </c>
      <c r="E4073" s="2">
        <v>32.82</v>
      </c>
      <c r="F4073" s="2">
        <v>2</v>
      </c>
      <c r="G4073" s="2" t="s">
        <v>10</v>
      </c>
    </row>
    <row r="4074" spans="1:8" x14ac:dyDescent="0.2">
      <c r="A4074" s="2" t="s">
        <v>3337</v>
      </c>
      <c r="B4074" s="2" t="s">
        <v>125</v>
      </c>
      <c r="C4074" s="2">
        <v>590.68219999999997</v>
      </c>
      <c r="D4074" s="2">
        <f>HYPERLINK("http://mcb-m6.bioreg.kyushu-u.ac.jp/M3/20110421/F51016/1675/1", 54.87)</f>
        <v>54.87</v>
      </c>
      <c r="E4074" s="2">
        <v>31.36</v>
      </c>
      <c r="F4074" s="2">
        <v>2</v>
      </c>
      <c r="G4074" s="2" t="s">
        <v>11</v>
      </c>
      <c r="H4074" s="2" t="s">
        <v>4896</v>
      </c>
    </row>
    <row r="4075" spans="1:8" x14ac:dyDescent="0.2">
      <c r="A4075" s="2" t="s">
        <v>3337</v>
      </c>
      <c r="B4075" s="2" t="s">
        <v>125</v>
      </c>
      <c r="C4075" s="2">
        <v>582.80870000000004</v>
      </c>
      <c r="D4075" s="2">
        <f>HYPERLINK("http://mcb-m6.bioreg.kyushu-u.ac.jp/M3/20110421/F51016/1641/1", 61.8)</f>
        <v>61.8</v>
      </c>
      <c r="E4075" s="2">
        <v>37.51</v>
      </c>
      <c r="F4075" s="2">
        <v>2</v>
      </c>
      <c r="G4075" s="2" t="s">
        <v>11</v>
      </c>
    </row>
    <row r="4076" spans="1:8" x14ac:dyDescent="0.2">
      <c r="A4076" s="2" t="s">
        <v>3337</v>
      </c>
      <c r="B4076" s="2" t="s">
        <v>759</v>
      </c>
      <c r="C4076" s="2">
        <v>954.36300000000006</v>
      </c>
      <c r="D4076" s="2">
        <f>HYPERLINK("http://mcb-m6.bioreg.kyushu-u.ac.jp/M3/20110421/F51022/1578/1", 41.84)</f>
        <v>41.84</v>
      </c>
      <c r="E4076" s="2">
        <v>23.23</v>
      </c>
      <c r="F4076" s="2">
        <v>1</v>
      </c>
      <c r="G4076" s="2" t="s">
        <v>12</v>
      </c>
    </row>
    <row r="4077" spans="1:8" x14ac:dyDescent="0.2">
      <c r="A4077" s="2" t="s">
        <v>3763</v>
      </c>
      <c r="B4077" s="2" t="s">
        <v>779</v>
      </c>
      <c r="C4077" s="2">
        <v>833.43409999999994</v>
      </c>
      <c r="D4077" s="2">
        <f>HYPERLINK("http://mcb-m6.bioreg.kyushu-u.ac.jp/M3/20110404/F50772/2292/1", 63.67)</f>
        <v>63.67</v>
      </c>
      <c r="E4077" s="2">
        <v>50.01</v>
      </c>
      <c r="F4077" s="2">
        <v>2</v>
      </c>
      <c r="G4077" s="2" t="s">
        <v>10</v>
      </c>
    </row>
    <row r="4078" spans="1:8" x14ac:dyDescent="0.2">
      <c r="A4078" s="2" t="s">
        <v>3763</v>
      </c>
      <c r="B4078" s="2" t="s">
        <v>6965</v>
      </c>
      <c r="C4078" s="2">
        <v>962.44820000000004</v>
      </c>
      <c r="D4078" s="2">
        <f>HYPERLINK("http://mcb-m6.bioreg.kyushu-u.ac.jp/M3/20110404/F50772/2775/1", 68.03)</f>
        <v>68.03</v>
      </c>
      <c r="E4078" s="2">
        <v>50.47</v>
      </c>
      <c r="F4078" s="2">
        <v>2</v>
      </c>
      <c r="G4078" s="2" t="s">
        <v>10</v>
      </c>
    </row>
    <row r="4079" spans="1:8" x14ac:dyDescent="0.2">
      <c r="A4079" s="2" t="s">
        <v>3842</v>
      </c>
      <c r="B4079" s="2" t="s">
        <v>6850</v>
      </c>
      <c r="C4079" s="2">
        <v>508.33159999999998</v>
      </c>
      <c r="D4079" s="2">
        <f>HYPERLINK("http://mcb-m6.bioreg.kyushu-u.ac.jp/M3/20110404/F50772/1047/1", 50)</f>
        <v>50</v>
      </c>
      <c r="E4079" s="2">
        <v>22.87</v>
      </c>
      <c r="F4079" s="2">
        <v>2</v>
      </c>
      <c r="G4079" s="2" t="s">
        <v>10</v>
      </c>
    </row>
    <row r="4080" spans="1:8" x14ac:dyDescent="0.2">
      <c r="A4080" s="2" t="s">
        <v>3842</v>
      </c>
      <c r="B4080" s="2" t="s">
        <v>6939</v>
      </c>
      <c r="C4080" s="2">
        <v>555.24620000000004</v>
      </c>
      <c r="D4080" s="2">
        <f>HYPERLINK("http://mcb-m6.bioreg.kyushu-u.ac.jp/M3/20110404/F50772/1200/1", 62.73)</f>
        <v>62.73</v>
      </c>
      <c r="E4080" s="2">
        <v>44.07</v>
      </c>
      <c r="F4080" s="2">
        <v>2</v>
      </c>
      <c r="G4080" s="2" t="s">
        <v>10</v>
      </c>
    </row>
    <row r="4081" spans="1:9" x14ac:dyDescent="0.2">
      <c r="A4081" s="2" t="s">
        <v>3842</v>
      </c>
      <c r="B4081" s="2" t="s">
        <v>2689</v>
      </c>
      <c r="C4081" s="2">
        <v>593.97559999999999</v>
      </c>
      <c r="D4081" s="2">
        <f>HYPERLINK("http://mcb-m6.bioreg.kyushu-u.ac.jp/M3/20110421/F51025/1620/1", 37)</f>
        <v>37</v>
      </c>
      <c r="E4081" s="2">
        <v>18.78</v>
      </c>
      <c r="F4081" s="2">
        <v>2</v>
      </c>
      <c r="G4081" s="2" t="s">
        <v>12</v>
      </c>
    </row>
    <row r="4082" spans="1:9" x14ac:dyDescent="0.2">
      <c r="A4082" s="2" t="s">
        <v>4574</v>
      </c>
      <c r="B4082" s="2" t="s">
        <v>6203</v>
      </c>
      <c r="C4082" s="2">
        <v>727.34370000000001</v>
      </c>
      <c r="D4082" s="2">
        <f>HYPERLINK("http://mcb-m6.bioreg.kyushu-u.ac.jp/M3/20110404/F50766/1473/1", 46.3)</f>
        <v>46.3</v>
      </c>
      <c r="E4082" s="2">
        <v>34.64</v>
      </c>
      <c r="F4082" s="2">
        <v>2</v>
      </c>
      <c r="G4082" s="2" t="s">
        <v>9</v>
      </c>
    </row>
    <row r="4083" spans="1:9" x14ac:dyDescent="0.2">
      <c r="A4083" s="2" t="s">
        <v>4574</v>
      </c>
      <c r="B4083" s="2" t="s">
        <v>6714</v>
      </c>
      <c r="C4083" s="2">
        <v>518.50819999999999</v>
      </c>
      <c r="D4083" s="2">
        <f>HYPERLINK("http://mcb-m6.bioreg.kyushu-u.ac.jp/M3/20110404/F50772/1086/1", 37.34)</f>
        <v>37.340000000000003</v>
      </c>
      <c r="E4083" s="2">
        <v>8.51</v>
      </c>
      <c r="F4083" s="2">
        <v>2</v>
      </c>
      <c r="G4083" s="2" t="s">
        <v>10</v>
      </c>
    </row>
    <row r="4084" spans="1:9" x14ac:dyDescent="0.2">
      <c r="A4084" s="2" t="s">
        <v>4574</v>
      </c>
      <c r="B4084" s="2" t="s">
        <v>6840</v>
      </c>
      <c r="C4084" s="2">
        <v>826.58370000000002</v>
      </c>
      <c r="D4084" s="2">
        <f>HYPERLINK("http://mcb-m6.bioreg.kyushu-u.ac.jp/M3/20110404/F50771/2257/1", 48.7)</f>
        <v>48.7</v>
      </c>
      <c r="E4084" s="2">
        <v>29.8</v>
      </c>
      <c r="F4084" s="2">
        <v>2</v>
      </c>
      <c r="G4084" s="2" t="s">
        <v>10</v>
      </c>
    </row>
    <row r="4085" spans="1:9" x14ac:dyDescent="0.2">
      <c r="A4085" s="2" t="s">
        <v>4574</v>
      </c>
      <c r="B4085" s="2" t="s">
        <v>6926</v>
      </c>
      <c r="C4085" s="2">
        <v>568.87019999999995</v>
      </c>
      <c r="D4085" s="2">
        <f>HYPERLINK("http://mcb-m6.bioreg.kyushu-u.ac.jp/M3/20110404/F50772/1240/1", 60.37)</f>
        <v>60.37</v>
      </c>
      <c r="E4085" s="2">
        <v>27.72</v>
      </c>
      <c r="F4085" s="2">
        <v>2</v>
      </c>
      <c r="G4085" s="2" t="s">
        <v>10</v>
      </c>
    </row>
    <row r="4086" spans="1:9" x14ac:dyDescent="0.2">
      <c r="A4086" s="2" t="s">
        <v>4574</v>
      </c>
      <c r="B4086" s="2" t="s">
        <v>6929</v>
      </c>
      <c r="C4086" s="2">
        <v>632.82870000000003</v>
      </c>
      <c r="D4086" s="2">
        <f>HYPERLINK("http://mcb-m6.bioreg.kyushu-u.ac.jp/M3/20110404/F50772/1483/1", 61.02)</f>
        <v>61.02</v>
      </c>
      <c r="E4086" s="2">
        <v>28.73</v>
      </c>
      <c r="F4086" s="2">
        <v>2</v>
      </c>
      <c r="G4086" s="2" t="s">
        <v>10</v>
      </c>
    </row>
    <row r="4087" spans="1:9" x14ac:dyDescent="0.2">
      <c r="A4087" s="2" t="s">
        <v>4574</v>
      </c>
      <c r="B4087" s="2" t="s">
        <v>6975</v>
      </c>
      <c r="C4087" s="2">
        <v>691.22220000000004</v>
      </c>
      <c r="D4087" s="2">
        <f>HYPERLINK("http://mcb-m6.bioreg.kyushu-u.ac.jp/M3/20110404/F50772/1694/1", 69.51)</f>
        <v>69.510000000000005</v>
      </c>
      <c r="E4087" s="2">
        <v>47.45</v>
      </c>
      <c r="F4087" s="2">
        <v>2</v>
      </c>
      <c r="G4087" s="2" t="s">
        <v>10</v>
      </c>
    </row>
    <row r="4088" spans="1:9" x14ac:dyDescent="0.2">
      <c r="A4088" s="2" t="s">
        <v>4574</v>
      </c>
      <c r="B4088" s="2" t="s">
        <v>7001</v>
      </c>
      <c r="C4088" s="2">
        <v>655.84670000000006</v>
      </c>
      <c r="D4088" s="2">
        <f>HYPERLINK("http://mcb-m6.bioreg.kyushu-u.ac.jp/M3/20110404/F50772/1545/1", 76.95)</f>
        <v>76.95</v>
      </c>
      <c r="E4088" s="2">
        <v>62.47</v>
      </c>
      <c r="F4088" s="2">
        <v>2</v>
      </c>
      <c r="G4088" s="2" t="s">
        <v>10</v>
      </c>
    </row>
    <row r="4089" spans="1:9" x14ac:dyDescent="0.2">
      <c r="A4089" s="2" t="s">
        <v>4574</v>
      </c>
      <c r="B4089" s="2" t="s">
        <v>2768</v>
      </c>
      <c r="C4089" s="2">
        <v>1011.578</v>
      </c>
      <c r="D4089" s="2">
        <f>HYPERLINK("http://mcb-m6.bioreg.kyushu-u.ac.jp/M3/20110404/F50772/2908/1", 77.81)</f>
        <v>77.81</v>
      </c>
      <c r="E4089" s="2">
        <v>65.12</v>
      </c>
      <c r="F4089" s="2">
        <v>2</v>
      </c>
      <c r="G4089" s="2" t="s">
        <v>10</v>
      </c>
    </row>
    <row r="4090" spans="1:9" x14ac:dyDescent="0.2">
      <c r="A4090" s="2" t="s">
        <v>4574</v>
      </c>
      <c r="B4090" s="2" t="s">
        <v>7004</v>
      </c>
      <c r="C4090" s="2">
        <v>1160.6079999999999</v>
      </c>
      <c r="D4090" s="2">
        <f>HYPERLINK("http://mcb-m6.bioreg.kyushu-u.ac.jp/M3/20110404/F50772/3222/1", 77.81)</f>
        <v>77.81</v>
      </c>
      <c r="E4090" s="2">
        <v>69.5</v>
      </c>
      <c r="F4090" s="2">
        <v>2</v>
      </c>
      <c r="G4090" s="2" t="s">
        <v>10</v>
      </c>
      <c r="I4090" s="2" t="s">
        <v>4941</v>
      </c>
    </row>
    <row r="4091" spans="1:9" x14ac:dyDescent="0.2">
      <c r="A4091" s="2" t="s">
        <v>4574</v>
      </c>
      <c r="B4091" s="2" t="s">
        <v>6975</v>
      </c>
      <c r="C4091" s="2">
        <v>691.85109999999997</v>
      </c>
      <c r="D4091" s="2">
        <f>HYPERLINK("http://mcb-m6.bioreg.kyushu-u.ac.jp/M3/20110404/F50772/1698/1", 79.51)</f>
        <v>79.510000000000005</v>
      </c>
      <c r="E4091" s="2">
        <v>58.16</v>
      </c>
      <c r="F4091" s="2">
        <v>2</v>
      </c>
      <c r="G4091" s="2" t="s">
        <v>10</v>
      </c>
    </row>
    <row r="4092" spans="1:9" x14ac:dyDescent="0.2">
      <c r="A4092" s="2" t="s">
        <v>4574</v>
      </c>
      <c r="B4092" s="2" t="s">
        <v>2620</v>
      </c>
      <c r="C4092" s="2">
        <v>861.56320000000005</v>
      </c>
      <c r="D4092" s="2">
        <f>HYPERLINK("http://mcb-m6.bioreg.kyushu-u.ac.jp/M3/20110404/F50772/2384/1", 79.57)</f>
        <v>79.569999999999993</v>
      </c>
      <c r="E4092" s="2">
        <v>58.69</v>
      </c>
      <c r="F4092" s="2">
        <v>2</v>
      </c>
      <c r="G4092" s="2" t="s">
        <v>10</v>
      </c>
    </row>
    <row r="4093" spans="1:9" x14ac:dyDescent="0.2">
      <c r="A4093" s="2" t="s">
        <v>4574</v>
      </c>
      <c r="B4093" s="2" t="s">
        <v>7044</v>
      </c>
      <c r="C4093" s="2">
        <v>762.82320000000004</v>
      </c>
      <c r="D4093" s="2">
        <f>HYPERLINK("http://mcb-m6.bioreg.kyushu-u.ac.jp/M3/20110404/F50772/2015/1", 92.25)</f>
        <v>92.25</v>
      </c>
      <c r="E4093" s="2">
        <v>70.64</v>
      </c>
      <c r="F4093" s="2">
        <v>2</v>
      </c>
      <c r="G4093" s="2" t="s">
        <v>10</v>
      </c>
    </row>
    <row r="4094" spans="1:9" x14ac:dyDescent="0.2">
      <c r="A4094" s="2" t="s">
        <v>4574</v>
      </c>
      <c r="B4094" s="2" t="s">
        <v>7055</v>
      </c>
      <c r="C4094" s="2">
        <v>910.47059999999999</v>
      </c>
      <c r="D4094" s="2">
        <f>HYPERLINK("http://mcb-m6.bioreg.kyushu-u.ac.jp/M3/20110404/F50772/2585/1", 110.13)</f>
        <v>110.13</v>
      </c>
      <c r="E4094" s="2">
        <v>92.44</v>
      </c>
      <c r="F4094" s="2">
        <v>2</v>
      </c>
      <c r="G4094" s="2" t="s">
        <v>10</v>
      </c>
    </row>
    <row r="4095" spans="1:9" x14ac:dyDescent="0.2">
      <c r="A4095" s="2" t="s">
        <v>4574</v>
      </c>
      <c r="B4095" s="2" t="s">
        <v>2770</v>
      </c>
      <c r="C4095" s="2">
        <v>944.56669999999997</v>
      </c>
      <c r="D4095" s="2">
        <f>HYPERLINK("http://mcb-m6.bioreg.kyushu-u.ac.jp/M3/20110404/F50772/2711/1", 113.16)</f>
        <v>113.16</v>
      </c>
      <c r="E4095" s="2">
        <v>78.02</v>
      </c>
      <c r="F4095" s="2">
        <v>2</v>
      </c>
      <c r="G4095" s="2" t="s">
        <v>10</v>
      </c>
    </row>
    <row r="4096" spans="1:9" x14ac:dyDescent="0.2">
      <c r="A4096" s="2" t="s">
        <v>4574</v>
      </c>
      <c r="B4096" s="2" t="s">
        <v>7061</v>
      </c>
      <c r="C4096" s="2">
        <v>1025.739</v>
      </c>
      <c r="D4096" s="2">
        <f>HYPERLINK("http://mcb-m6.bioreg.kyushu-u.ac.jp/M3/20110404/F50772/2948/1", 123.02)</f>
        <v>123.02</v>
      </c>
      <c r="E4096" s="2">
        <v>104.15</v>
      </c>
      <c r="F4096" s="2">
        <v>2</v>
      </c>
      <c r="G4096" s="2" t="s">
        <v>10</v>
      </c>
    </row>
    <row r="4097" spans="1:9" x14ac:dyDescent="0.2">
      <c r="A4097" s="2" t="s">
        <v>8091</v>
      </c>
      <c r="B4097" s="2" t="s">
        <v>7432</v>
      </c>
      <c r="C4097" s="2">
        <v>880.55409999999995</v>
      </c>
      <c r="D4097" s="2">
        <f>HYPERLINK("http://mcb-m6.bioreg.kyushu-u.ac.jp/M3/20110428/F51127/2681/1", 81.86)</f>
        <v>81.86</v>
      </c>
      <c r="E4097" s="2">
        <v>62.88</v>
      </c>
      <c r="F4097" s="2">
        <v>2</v>
      </c>
      <c r="G4097" s="2" t="s">
        <v>13</v>
      </c>
    </row>
    <row r="4098" spans="1:9" x14ac:dyDescent="0.2">
      <c r="A4098" s="2" t="s">
        <v>3966</v>
      </c>
      <c r="B4098" s="2" t="s">
        <v>2134</v>
      </c>
      <c r="C4098" s="2">
        <v>583.14070000000004</v>
      </c>
      <c r="D4098" s="2">
        <f>HYPERLINK("http://mcb-m6.bioreg.kyushu-u.ac.jp/M3/20110404/F50756/1287/1", 36.19)</f>
        <v>36.19</v>
      </c>
      <c r="E4098" s="2">
        <v>19.23</v>
      </c>
      <c r="F4098" s="2">
        <v>2</v>
      </c>
      <c r="G4098" s="2" t="s">
        <v>9</v>
      </c>
    </row>
    <row r="4099" spans="1:9" x14ac:dyDescent="0.2">
      <c r="A4099" s="2" t="s">
        <v>3966</v>
      </c>
      <c r="B4099" s="2" t="s">
        <v>1598</v>
      </c>
      <c r="C4099" s="2">
        <v>763.70719999999994</v>
      </c>
      <c r="D4099" s="2">
        <f>HYPERLINK("http://mcb-m6.bioreg.kyushu-u.ac.jp/M3/20110404/F50761/1926/1", 69.13)</f>
        <v>69.13</v>
      </c>
      <c r="E4099" s="2">
        <v>44.52</v>
      </c>
      <c r="F4099" s="2">
        <v>2</v>
      </c>
      <c r="G4099" s="2" t="s">
        <v>10</v>
      </c>
    </row>
    <row r="4100" spans="1:9" x14ac:dyDescent="0.2">
      <c r="A4100" s="2" t="s">
        <v>3966</v>
      </c>
      <c r="B4100" s="2" t="s">
        <v>2134</v>
      </c>
      <c r="C4100" s="2">
        <v>583.24869999999999</v>
      </c>
      <c r="D4100" s="2">
        <f>HYPERLINK("http://mcb-m6.bioreg.kyushu-u.ac.jp/M3/20110404/F50761/1251/1", 78.31)</f>
        <v>78.31</v>
      </c>
      <c r="E4100" s="2">
        <v>48.76</v>
      </c>
      <c r="F4100" s="2">
        <v>2</v>
      </c>
      <c r="G4100" s="2" t="s">
        <v>10</v>
      </c>
    </row>
    <row r="4101" spans="1:9" x14ac:dyDescent="0.2">
      <c r="A4101" s="2" t="s">
        <v>3966</v>
      </c>
      <c r="B4101" s="2" t="s">
        <v>1598</v>
      </c>
      <c r="C4101" s="2">
        <v>763.79819999999995</v>
      </c>
      <c r="D4101" s="2">
        <f>HYPERLINK("http://mcb-m6.bioreg.kyushu-u.ac.jp/M3/20110421/F51034/2181/1", 36.57)</f>
        <v>36.57</v>
      </c>
      <c r="E4101" s="2">
        <v>17.309999999999999</v>
      </c>
      <c r="F4101" s="2">
        <v>2</v>
      </c>
      <c r="G4101" s="2" t="s">
        <v>11</v>
      </c>
    </row>
    <row r="4102" spans="1:9" x14ac:dyDescent="0.2">
      <c r="A4102" s="2" t="s">
        <v>3966</v>
      </c>
      <c r="B4102" s="2" t="s">
        <v>1598</v>
      </c>
      <c r="C4102" s="2">
        <v>763.71370000000002</v>
      </c>
      <c r="D4102" s="2">
        <f>HYPERLINK("http://mcb-m6.bioreg.kyushu-u.ac.jp/M3/20110427/F51114/2181/1", 42.93)</f>
        <v>42.93</v>
      </c>
      <c r="E4102" s="2">
        <v>23.92</v>
      </c>
      <c r="F4102" s="2">
        <v>2</v>
      </c>
      <c r="G4102" s="2" t="s">
        <v>13</v>
      </c>
    </row>
    <row r="4103" spans="1:9" x14ac:dyDescent="0.2">
      <c r="A4103" s="2" t="s">
        <v>7877</v>
      </c>
      <c r="B4103" s="2" t="s">
        <v>6895</v>
      </c>
      <c r="C4103" s="2">
        <v>762.83069999999998</v>
      </c>
      <c r="D4103" s="2">
        <f>HYPERLINK("http://mcb-m6.bioreg.kyushu-u.ac.jp/M3/20110404/F50761/1923/1", 54.84)</f>
        <v>54.84</v>
      </c>
      <c r="E4103" s="2">
        <v>31.73</v>
      </c>
      <c r="F4103" s="2">
        <v>2</v>
      </c>
      <c r="G4103" s="2" t="s">
        <v>10</v>
      </c>
      <c r="I4103" s="2" t="s">
        <v>4905</v>
      </c>
    </row>
    <row r="4104" spans="1:9" x14ac:dyDescent="0.2">
      <c r="A4104" s="2" t="s">
        <v>7639</v>
      </c>
      <c r="B4104" s="2" t="s">
        <v>6182</v>
      </c>
      <c r="C4104" s="2">
        <v>841.42020000000002</v>
      </c>
      <c r="D4104" s="2">
        <f>HYPERLINK("http://mcb-m6.bioreg.kyushu-u.ac.jp/M3/20110404/F50764/2234/1", 45.73)</f>
        <v>45.73</v>
      </c>
      <c r="E4104" s="2">
        <v>44.21</v>
      </c>
      <c r="F4104" s="2">
        <v>2</v>
      </c>
      <c r="G4104" s="2" t="s">
        <v>9</v>
      </c>
    </row>
    <row r="4105" spans="1:9" x14ac:dyDescent="0.2">
      <c r="A4105" s="2" t="s">
        <v>7639</v>
      </c>
      <c r="B4105" s="2" t="s">
        <v>6395</v>
      </c>
      <c r="C4105" s="2">
        <v>905.48659999999995</v>
      </c>
      <c r="D4105" s="2">
        <f>HYPERLINK("http://mcb-m6.bioreg.kyushu-u.ac.jp/M3/20110404/F50765/2493/1", 59.32)</f>
        <v>59.32</v>
      </c>
      <c r="E4105" s="2">
        <v>48.04</v>
      </c>
      <c r="F4105" s="2">
        <v>2</v>
      </c>
      <c r="G4105" s="2" t="s">
        <v>9</v>
      </c>
    </row>
    <row r="4106" spans="1:9" x14ac:dyDescent="0.2">
      <c r="A4106" s="2" t="s">
        <v>7639</v>
      </c>
      <c r="B4106" s="2" t="s">
        <v>6426</v>
      </c>
      <c r="C4106" s="2">
        <v>745.36159999999995</v>
      </c>
      <c r="D4106" s="2">
        <f>HYPERLINK("http://mcb-m6.bioreg.kyushu-u.ac.jp/M3/20110404/F50765/1875/1", 62.9)</f>
        <v>62.9</v>
      </c>
      <c r="E4106" s="2">
        <v>48.59</v>
      </c>
      <c r="F4106" s="2">
        <v>2</v>
      </c>
      <c r="G4106" s="2" t="s">
        <v>9</v>
      </c>
    </row>
    <row r="4107" spans="1:9" x14ac:dyDescent="0.2">
      <c r="A4107" s="2" t="s">
        <v>7639</v>
      </c>
      <c r="B4107" s="2" t="s">
        <v>6553</v>
      </c>
      <c r="C4107" s="2">
        <v>652.23320000000001</v>
      </c>
      <c r="D4107" s="2">
        <f>HYPERLINK("http://mcb-m6.bioreg.kyushu-u.ac.jp/M3/20110404/F50764/1482/1", 79.22)</f>
        <v>79.22</v>
      </c>
      <c r="E4107" s="2">
        <v>57.63</v>
      </c>
      <c r="F4107" s="2">
        <v>2</v>
      </c>
      <c r="G4107" s="2" t="s">
        <v>9</v>
      </c>
    </row>
    <row r="4108" spans="1:9" x14ac:dyDescent="0.2">
      <c r="A4108" s="2" t="s">
        <v>7837</v>
      </c>
      <c r="B4108" s="2" t="s">
        <v>6794</v>
      </c>
      <c r="C4108" s="2">
        <v>668.32820000000004</v>
      </c>
      <c r="D4108" s="2">
        <f>HYPERLINK("http://mcb-m6.bioreg.kyushu-u.ac.jp/M3/20110404/F50771/1559/1", 43.58)</f>
        <v>43.58</v>
      </c>
      <c r="E4108" s="2">
        <v>26.54</v>
      </c>
      <c r="F4108" s="2">
        <v>2</v>
      </c>
      <c r="G4108" s="2" t="s">
        <v>10</v>
      </c>
    </row>
    <row r="4109" spans="1:9" x14ac:dyDescent="0.2">
      <c r="A4109" s="2" t="s">
        <v>7837</v>
      </c>
      <c r="B4109" s="2" t="s">
        <v>7016</v>
      </c>
      <c r="C4109" s="2">
        <v>810.52419999999995</v>
      </c>
      <c r="D4109" s="2">
        <f>HYPERLINK("http://mcb-m6.bioreg.kyushu-u.ac.jp/M3/20110404/F50771/2202/1", 80.23)</f>
        <v>80.23</v>
      </c>
      <c r="E4109" s="2">
        <v>63.79</v>
      </c>
      <c r="F4109" s="2">
        <v>2</v>
      </c>
      <c r="G4109" s="2" t="s">
        <v>10</v>
      </c>
    </row>
    <row r="4110" spans="1:9" x14ac:dyDescent="0.2">
      <c r="A4110" s="2" t="s">
        <v>7727</v>
      </c>
      <c r="B4110" s="2" t="s">
        <v>6448</v>
      </c>
      <c r="C4110" s="2">
        <v>765.80769999999995</v>
      </c>
      <c r="D4110" s="2">
        <f>HYPERLINK("http://mcb-m6.bioreg.kyushu-u.ac.jp/M3/20110404/F50765/1953/1", 65.75)</f>
        <v>65.75</v>
      </c>
      <c r="E4110" s="2">
        <v>47.36</v>
      </c>
      <c r="F4110" s="2">
        <v>2</v>
      </c>
      <c r="G4110" s="2" t="s">
        <v>9</v>
      </c>
    </row>
    <row r="4111" spans="1:9" x14ac:dyDescent="0.2">
      <c r="A4111" s="2" t="s">
        <v>7963</v>
      </c>
      <c r="B4111" s="2" t="s">
        <v>7171</v>
      </c>
      <c r="C4111" s="2">
        <v>784.02419999999995</v>
      </c>
      <c r="D4111" s="2">
        <f>HYPERLINK("http://mcb-m6.bioreg.kyushu-u.ac.jp/M3/20110421/F51021/2315/1", 37.45)</f>
        <v>37.450000000000003</v>
      </c>
      <c r="E4111" s="2">
        <v>20.28</v>
      </c>
      <c r="F4111" s="2">
        <v>2</v>
      </c>
      <c r="G4111" s="2" t="s">
        <v>12</v>
      </c>
    </row>
    <row r="4112" spans="1:9" x14ac:dyDescent="0.2">
      <c r="A4112" s="2" t="s">
        <v>7521</v>
      </c>
      <c r="B4112" s="2" t="s">
        <v>5911</v>
      </c>
      <c r="C4112" s="2">
        <v>812.24519999999995</v>
      </c>
      <c r="D4112" s="2">
        <f>HYPERLINK("http://mcb-m6.bioreg.kyushu-u.ac.jp/M3/20110404/F50766/1983/1", 35.3)</f>
        <v>35.299999999999997</v>
      </c>
      <c r="E4112" s="2">
        <v>22.49</v>
      </c>
      <c r="F4112" s="2">
        <v>2</v>
      </c>
      <c r="G4112" s="2" t="s">
        <v>9</v>
      </c>
    </row>
    <row r="4113" spans="1:8" x14ac:dyDescent="0.2">
      <c r="A4113" s="2" t="s">
        <v>7521</v>
      </c>
      <c r="B4113" s="2" t="s">
        <v>6493</v>
      </c>
      <c r="C4113" s="2">
        <v>618.27189999999996</v>
      </c>
      <c r="D4113" s="2">
        <f>HYPERLINK("http://mcb-m6.bioreg.kyushu-u.ac.jp/M3/20110404/F50766/2618/1", 70.34)</f>
        <v>70.34</v>
      </c>
      <c r="E4113" s="2">
        <v>53.15</v>
      </c>
      <c r="F4113" s="2">
        <v>3</v>
      </c>
      <c r="G4113" s="2" t="s">
        <v>9</v>
      </c>
    </row>
    <row r="4114" spans="1:8" x14ac:dyDescent="0.2">
      <c r="A4114" s="2" t="s">
        <v>7521</v>
      </c>
      <c r="B4114" s="2" t="s">
        <v>6493</v>
      </c>
      <c r="C4114" s="2">
        <v>926.8972</v>
      </c>
      <c r="D4114" s="2">
        <f>HYPERLINK("http://mcb-m6.bioreg.kyushu-u.ac.jp/M3/20110404/F50767/2585/1", 91.59)</f>
        <v>91.59</v>
      </c>
      <c r="E4114" s="2">
        <v>79.819999999999993</v>
      </c>
      <c r="F4114" s="2">
        <v>2</v>
      </c>
      <c r="G4114" s="2" t="s">
        <v>9</v>
      </c>
    </row>
    <row r="4115" spans="1:8" x14ac:dyDescent="0.2">
      <c r="A4115" s="2" t="s">
        <v>4394</v>
      </c>
      <c r="B4115" s="2" t="s">
        <v>2238</v>
      </c>
      <c r="C4115" s="2">
        <v>898.33370000000002</v>
      </c>
      <c r="D4115" s="2">
        <f>HYPERLINK("http://mcb-m6.bioreg.kyushu-u.ac.jp/M3/20110421/F51040/2746/1", 35.2)</f>
        <v>35.200000000000003</v>
      </c>
      <c r="E4115" s="2">
        <v>17.62</v>
      </c>
      <c r="F4115" s="2">
        <v>2</v>
      </c>
      <c r="G4115" s="2" t="s">
        <v>11</v>
      </c>
      <c r="H4115" s="2" t="s">
        <v>4908</v>
      </c>
    </row>
    <row r="4116" spans="1:8" x14ac:dyDescent="0.2">
      <c r="A4116" s="2" t="s">
        <v>4394</v>
      </c>
      <c r="B4116" s="2" t="s">
        <v>2238</v>
      </c>
      <c r="C4116" s="2">
        <v>898.27560000000005</v>
      </c>
      <c r="D4116" s="2">
        <f>HYPERLINK("http://mcb-m6.bioreg.kyushu-u.ac.jp/M3/20110421/F51019/2659/1", 40.8)</f>
        <v>40.799999999999997</v>
      </c>
      <c r="E4116" s="2">
        <v>25.86</v>
      </c>
      <c r="F4116" s="2">
        <v>2</v>
      </c>
      <c r="G4116" s="2" t="s">
        <v>11</v>
      </c>
      <c r="H4116" s="2" t="s">
        <v>4908</v>
      </c>
    </row>
    <row r="4117" spans="1:8" x14ac:dyDescent="0.2">
      <c r="A4117" s="2" t="s">
        <v>4394</v>
      </c>
      <c r="B4117" s="2" t="s">
        <v>2238</v>
      </c>
      <c r="C4117" s="2">
        <v>897.8442</v>
      </c>
      <c r="D4117" s="2">
        <f>HYPERLINK("http://mcb-m6.bioreg.kyushu-u.ac.jp/M3/20110427/F51115/2622/1", 37.96)</f>
        <v>37.96</v>
      </c>
      <c r="E4117" s="2">
        <v>17.829999999999998</v>
      </c>
      <c r="F4117" s="2">
        <v>2</v>
      </c>
      <c r="G4117" s="2" t="s">
        <v>13</v>
      </c>
      <c r="H4117" s="2" t="s">
        <v>4908</v>
      </c>
    </row>
    <row r="4118" spans="1:8" x14ac:dyDescent="0.2">
      <c r="A4118" s="2" t="s">
        <v>4394</v>
      </c>
      <c r="B4118" s="2" t="s">
        <v>2238</v>
      </c>
      <c r="C4118" s="2">
        <v>897.6866</v>
      </c>
      <c r="D4118" s="2">
        <f>HYPERLINK("http://mcb-m6.bioreg.kyushu-u.ac.jp/M3/20110427/F51125/2734/1", 38.45)</f>
        <v>38.450000000000003</v>
      </c>
      <c r="E4118" s="2">
        <v>20.51</v>
      </c>
      <c r="F4118" s="2">
        <v>2</v>
      </c>
      <c r="G4118" s="2" t="s">
        <v>14</v>
      </c>
      <c r="H4118" s="2" t="s">
        <v>4908</v>
      </c>
    </row>
    <row r="4119" spans="1:8" x14ac:dyDescent="0.2">
      <c r="A4119" s="2" t="s">
        <v>4373</v>
      </c>
      <c r="B4119" s="2" t="s">
        <v>2203</v>
      </c>
      <c r="C4119" s="2">
        <v>531.16219999999998</v>
      </c>
      <c r="D4119" s="2">
        <f>HYPERLINK("http://mcb-m6.bioreg.kyushu-u.ac.jp/M3/20110404/F50754/1441/1", 50.63)</f>
        <v>50.63</v>
      </c>
      <c r="E4119" s="2">
        <v>17.41</v>
      </c>
      <c r="F4119" s="2">
        <v>2</v>
      </c>
      <c r="G4119" s="2" t="s">
        <v>9</v>
      </c>
    </row>
    <row r="4120" spans="1:8" x14ac:dyDescent="0.2">
      <c r="A4120" s="2" t="s">
        <v>7631</v>
      </c>
      <c r="B4120" s="2" t="s">
        <v>6168</v>
      </c>
      <c r="C4120" s="2">
        <v>707.46900000000005</v>
      </c>
      <c r="D4120" s="2">
        <f>HYPERLINK("http://mcb-m6.bioreg.kyushu-u.ac.jp/M3/20110404/F50752/976/1", 45.34)</f>
        <v>45.34</v>
      </c>
      <c r="E4120" s="2">
        <v>4.37</v>
      </c>
      <c r="F4120" s="2">
        <v>1</v>
      </c>
      <c r="G4120" s="2" t="s">
        <v>9</v>
      </c>
    </row>
    <row r="4121" spans="1:8" x14ac:dyDescent="0.2">
      <c r="A4121" s="2" t="s">
        <v>4102</v>
      </c>
      <c r="B4121" s="2" t="s">
        <v>1568</v>
      </c>
      <c r="C4121" s="2">
        <v>1064.2170000000001</v>
      </c>
      <c r="D4121" s="2">
        <f>HYPERLINK("http://mcb-m6.bioreg.kyushu-u.ac.jp/M3/20110404/F50753/3052/1", 79.36)</f>
        <v>79.36</v>
      </c>
      <c r="E4121" s="2">
        <v>61.41</v>
      </c>
      <c r="F4121" s="2">
        <v>2</v>
      </c>
      <c r="G4121" s="2" t="s">
        <v>9</v>
      </c>
    </row>
    <row r="4122" spans="1:8" x14ac:dyDescent="0.2">
      <c r="A4122" s="2" t="s">
        <v>4102</v>
      </c>
      <c r="B4122" s="2" t="s">
        <v>1568</v>
      </c>
      <c r="C4122" s="2">
        <v>1063.905</v>
      </c>
      <c r="D4122" s="2">
        <f>HYPERLINK("http://mcb-m6.bioreg.kyushu-u.ac.jp/M3/20110404/F50752/2907/1", 88.62)</f>
        <v>88.62</v>
      </c>
      <c r="E4122" s="2">
        <v>58.5</v>
      </c>
      <c r="F4122" s="2">
        <v>2</v>
      </c>
      <c r="G4122" s="2" t="s">
        <v>9</v>
      </c>
    </row>
    <row r="4123" spans="1:8" x14ac:dyDescent="0.2">
      <c r="A4123" s="2" t="s">
        <v>4102</v>
      </c>
      <c r="B4123" s="2" t="s">
        <v>1568</v>
      </c>
      <c r="C4123" s="2">
        <v>1063.884</v>
      </c>
      <c r="D4123" s="2">
        <f>HYPERLINK("http://mcb-m6.bioreg.kyushu-u.ac.jp/M3/20110404/F50757/2676/1", 85.68)</f>
        <v>85.68</v>
      </c>
      <c r="E4123" s="2">
        <v>62.83</v>
      </c>
      <c r="F4123" s="2">
        <v>2</v>
      </c>
      <c r="G4123" s="2" t="s">
        <v>10</v>
      </c>
    </row>
    <row r="4124" spans="1:8" x14ac:dyDescent="0.2">
      <c r="A4124" s="2" t="s">
        <v>4102</v>
      </c>
      <c r="B4124" s="2" t="s">
        <v>1568</v>
      </c>
      <c r="C4124" s="2">
        <v>1064.4000000000001</v>
      </c>
      <c r="D4124" s="2">
        <f>HYPERLINK("http://mcb-m6.bioreg.kyushu-u.ac.jp/M3/20110427/F51110/3062/1", 69.22)</f>
        <v>69.22</v>
      </c>
      <c r="E4124" s="2">
        <v>46.2</v>
      </c>
      <c r="F4124" s="2">
        <v>2</v>
      </c>
      <c r="G4124" s="2" t="s">
        <v>13</v>
      </c>
    </row>
    <row r="4125" spans="1:8" x14ac:dyDescent="0.2">
      <c r="A4125" s="2" t="s">
        <v>7676</v>
      </c>
      <c r="B4125" s="2" t="s">
        <v>6300</v>
      </c>
      <c r="C4125" s="2">
        <v>704.53060000000005</v>
      </c>
      <c r="D4125" s="2">
        <f>HYPERLINK("http://mcb-m6.bioreg.kyushu-u.ac.jp/M3/20110404/F50751/1989/1", 51.58)</f>
        <v>51.58</v>
      </c>
      <c r="E4125" s="2">
        <v>23.93</v>
      </c>
      <c r="F4125" s="2">
        <v>2</v>
      </c>
      <c r="G4125" s="2" t="s">
        <v>9</v>
      </c>
    </row>
    <row r="4126" spans="1:8" x14ac:dyDescent="0.2">
      <c r="A4126" s="2" t="s">
        <v>3599</v>
      </c>
      <c r="B4126" s="2" t="s">
        <v>490</v>
      </c>
      <c r="C4126" s="2">
        <v>525.62959999999998</v>
      </c>
      <c r="D4126" s="2">
        <f>HYPERLINK("http://mcb-m6.bioreg.kyushu-u.ac.jp/M3/20110427/F51108/1314/1", 58.22)</f>
        <v>58.22</v>
      </c>
      <c r="E4126" s="2">
        <v>36.869999999999997</v>
      </c>
      <c r="F4126" s="2">
        <v>2</v>
      </c>
      <c r="G4126" s="2" t="s">
        <v>13</v>
      </c>
    </row>
    <row r="4127" spans="1:8" x14ac:dyDescent="0.2">
      <c r="A4127" s="2" t="s">
        <v>4304</v>
      </c>
      <c r="B4127" s="2" t="s">
        <v>2042</v>
      </c>
      <c r="C4127" s="2">
        <v>494.05309999999997</v>
      </c>
      <c r="D4127" s="2">
        <f>HYPERLINK("http://mcb-m6.bioreg.kyushu-u.ac.jp/M3/20110404/F50752/1333/1", 49.91)</f>
        <v>49.91</v>
      </c>
      <c r="E4127" s="2">
        <v>22.71</v>
      </c>
      <c r="F4127" s="2">
        <v>2</v>
      </c>
      <c r="G4127" s="2" t="s">
        <v>9</v>
      </c>
    </row>
    <row r="4128" spans="1:8" x14ac:dyDescent="0.2">
      <c r="A4128" s="2" t="s">
        <v>4304</v>
      </c>
      <c r="B4128" s="2" t="s">
        <v>2042</v>
      </c>
      <c r="C4128" s="2">
        <v>493.72809999999998</v>
      </c>
      <c r="D4128" s="2">
        <f>HYPERLINK("http://mcb-m6.bioreg.kyushu-u.ac.jp/M3/20110404/F50753/1184/1", 65.83)</f>
        <v>65.83</v>
      </c>
      <c r="E4128" s="2">
        <v>30.66</v>
      </c>
      <c r="F4128" s="2">
        <v>2</v>
      </c>
      <c r="G4128" s="2" t="s">
        <v>9</v>
      </c>
    </row>
    <row r="4129" spans="1:8" x14ac:dyDescent="0.2">
      <c r="A4129" s="2" t="s">
        <v>3573</v>
      </c>
      <c r="B4129" s="2" t="s">
        <v>1585</v>
      </c>
      <c r="C4129" s="2">
        <v>972.23969999999997</v>
      </c>
      <c r="D4129" s="2">
        <f>HYPERLINK("http://mcb-m6.bioreg.kyushu-u.ac.jp/M3/20110404/F50753/2831/1", 88.46)</f>
        <v>88.46</v>
      </c>
      <c r="E4129" s="2">
        <v>71.95</v>
      </c>
      <c r="F4129" s="2">
        <v>2</v>
      </c>
      <c r="G4129" s="2" t="s">
        <v>9</v>
      </c>
    </row>
    <row r="4130" spans="1:8" x14ac:dyDescent="0.2">
      <c r="A4130" s="2" t="s">
        <v>3573</v>
      </c>
      <c r="B4130" s="2" t="s">
        <v>1585</v>
      </c>
      <c r="C4130" s="2">
        <v>972.02970000000005</v>
      </c>
      <c r="D4130" s="2">
        <f>HYPERLINK("http://mcb-m6.bioreg.kyushu-u.ac.jp/M3/20110404/F50752/2749/1", 104.45)</f>
        <v>104.45</v>
      </c>
      <c r="E4130" s="2">
        <v>90.78</v>
      </c>
      <c r="F4130" s="2">
        <v>2</v>
      </c>
      <c r="G4130" s="2" t="s">
        <v>9</v>
      </c>
    </row>
    <row r="4131" spans="1:8" x14ac:dyDescent="0.2">
      <c r="A4131" s="2" t="s">
        <v>3573</v>
      </c>
      <c r="B4131" s="2" t="s">
        <v>1585</v>
      </c>
      <c r="C4131" s="2">
        <v>972.33810000000005</v>
      </c>
      <c r="D4131" s="2">
        <f>HYPERLINK("http://mcb-m6.bioreg.kyushu-u.ac.jp/M3/20110427/F51111/3029/1", 96.01)</f>
        <v>96.01</v>
      </c>
      <c r="E4131" s="2">
        <v>83.04</v>
      </c>
      <c r="F4131" s="2">
        <v>2</v>
      </c>
      <c r="G4131" s="2" t="s">
        <v>13</v>
      </c>
    </row>
    <row r="4132" spans="1:8" x14ac:dyDescent="0.2">
      <c r="A4132" s="2" t="s">
        <v>7543</v>
      </c>
      <c r="B4132" s="2" t="s">
        <v>5948</v>
      </c>
      <c r="C4132" s="2">
        <v>822.01009999999997</v>
      </c>
      <c r="D4132" s="2">
        <f>HYPERLINK("http://mcb-m6.bioreg.kyushu-u.ac.jp/M3/20110404/F50777/2255/1", 36.63)</f>
        <v>36.630000000000003</v>
      </c>
      <c r="E4132" s="2">
        <v>23.13</v>
      </c>
      <c r="F4132" s="2">
        <v>2</v>
      </c>
      <c r="G4132" s="2" t="s">
        <v>9</v>
      </c>
    </row>
    <row r="4133" spans="1:8" x14ac:dyDescent="0.2">
      <c r="A4133" s="2" t="s">
        <v>8125</v>
      </c>
      <c r="B4133" s="2" t="s">
        <v>7510</v>
      </c>
      <c r="C4133" s="2">
        <v>959.40120000000002</v>
      </c>
      <c r="D4133" s="2">
        <f>HYPERLINK("http://mcb-m6.bioreg.kyushu-u.ac.jp/M3/20110428/F51129/2933/1", 82.77)</f>
        <v>82.77</v>
      </c>
      <c r="E4133" s="2">
        <v>70.87</v>
      </c>
      <c r="F4133" s="2">
        <v>2</v>
      </c>
      <c r="G4133" s="2" t="s">
        <v>14</v>
      </c>
      <c r="H4133" s="2" t="s">
        <v>4904</v>
      </c>
    </row>
    <row r="4134" spans="1:8" x14ac:dyDescent="0.2">
      <c r="A4134" s="2" t="s">
        <v>8013</v>
      </c>
      <c r="B4134" s="2" t="s">
        <v>7258</v>
      </c>
      <c r="C4134" s="2">
        <v>704.04610000000002</v>
      </c>
      <c r="D4134" s="2">
        <f>HYPERLINK("http://mcb-m6.bioreg.kyushu-u.ac.jp/M3/20110421/F51047/1910/1", 72.51)</f>
        <v>72.510000000000005</v>
      </c>
      <c r="E4134" s="2">
        <v>54.38</v>
      </c>
      <c r="F4134" s="2">
        <v>2</v>
      </c>
      <c r="G4134" s="2" t="s">
        <v>12</v>
      </c>
    </row>
    <row r="4135" spans="1:8" x14ac:dyDescent="0.2">
      <c r="A4135" s="2" t="s">
        <v>8013</v>
      </c>
      <c r="B4135" s="2" t="s">
        <v>7260</v>
      </c>
      <c r="C4135" s="2">
        <v>683.90620000000001</v>
      </c>
      <c r="D4135" s="2">
        <f>HYPERLINK("http://mcb-m6.bioreg.kyushu-u.ac.jp/M3/20110421/F51048/1852/1", 73.01)</f>
        <v>73.010000000000005</v>
      </c>
      <c r="E4135" s="2">
        <v>47.31</v>
      </c>
      <c r="F4135" s="2">
        <v>2</v>
      </c>
      <c r="G4135" s="2" t="s">
        <v>12</v>
      </c>
    </row>
    <row r="4136" spans="1:8" x14ac:dyDescent="0.2">
      <c r="A4136" s="2" t="s">
        <v>8013</v>
      </c>
      <c r="B4136" s="2" t="s">
        <v>7260</v>
      </c>
      <c r="C4136" s="2">
        <v>683.93320000000006</v>
      </c>
      <c r="D4136" s="2">
        <f>HYPERLINK("http://mcb-m6.bioreg.kyushu-u.ac.jp/M3/20110421/F51047/1772/1", 87.04)</f>
        <v>87.04</v>
      </c>
      <c r="E4136" s="2">
        <v>60.33</v>
      </c>
      <c r="F4136" s="2">
        <v>2</v>
      </c>
      <c r="G4136" s="2" t="s">
        <v>12</v>
      </c>
    </row>
    <row r="4137" spans="1:8" x14ac:dyDescent="0.2">
      <c r="A4137" s="2" t="s">
        <v>8095</v>
      </c>
      <c r="B4137" s="2" t="s">
        <v>7446</v>
      </c>
      <c r="C4137" s="2">
        <v>568.61360000000002</v>
      </c>
      <c r="D4137" s="2">
        <f>HYPERLINK("http://mcb-m6.bioreg.kyushu-u.ac.jp/M3/20110428/F51129/1286/1", 35.22)</f>
        <v>35.22</v>
      </c>
      <c r="E4137" s="2">
        <v>12.37</v>
      </c>
      <c r="F4137" s="2">
        <v>2</v>
      </c>
      <c r="G4137" s="2" t="s">
        <v>14</v>
      </c>
    </row>
    <row r="4138" spans="1:8" x14ac:dyDescent="0.2">
      <c r="A4138" s="4" t="s">
        <v>3706</v>
      </c>
      <c r="B4138" s="2" t="s">
        <v>687</v>
      </c>
      <c r="C4138" s="2">
        <v>507.77809999999999</v>
      </c>
      <c r="D4138" s="2">
        <f>HYPERLINK("http://mcb-m6.bioreg.kyushu-u.ac.jp/M3/20110404/F50778/850/1", 57.1)</f>
        <v>57.1</v>
      </c>
      <c r="E4138" s="2">
        <v>13.36</v>
      </c>
      <c r="F4138" s="2">
        <v>2</v>
      </c>
      <c r="G4138" s="2" t="s">
        <v>9</v>
      </c>
    </row>
    <row r="4139" spans="1:8" x14ac:dyDescent="0.2">
      <c r="A4139" s="4" t="s">
        <v>3706</v>
      </c>
      <c r="B4139" s="2" t="s">
        <v>687</v>
      </c>
      <c r="C4139" s="2">
        <v>508.28059999999999</v>
      </c>
      <c r="D4139" s="2">
        <f>HYPERLINK("http://mcb-m6.bioreg.kyushu-u.ac.jp/M3/20110421/F51040/963/1", 54.88)</f>
        <v>54.88</v>
      </c>
      <c r="E4139" s="2">
        <v>9.73</v>
      </c>
      <c r="F4139" s="2">
        <v>2</v>
      </c>
      <c r="G4139" s="2" t="s">
        <v>11</v>
      </c>
    </row>
    <row r="4140" spans="1:8" x14ac:dyDescent="0.2">
      <c r="A4140" s="2" t="s">
        <v>7865</v>
      </c>
      <c r="B4140" s="2" t="s">
        <v>6859</v>
      </c>
      <c r="C4140" s="2">
        <v>710.2106</v>
      </c>
      <c r="D4140" s="2">
        <f>HYPERLINK("http://mcb-m6.bioreg.kyushu-u.ac.jp/M3/20110404/F50758/1780/1", 50.49)</f>
        <v>50.49</v>
      </c>
      <c r="E4140" s="2">
        <v>41.71</v>
      </c>
      <c r="F4140" s="2">
        <v>2</v>
      </c>
      <c r="G4140" s="2" t="s">
        <v>10</v>
      </c>
    </row>
    <row r="4141" spans="1:8" x14ac:dyDescent="0.2">
      <c r="A4141" s="2" t="s">
        <v>4675</v>
      </c>
      <c r="B4141" s="2" t="s">
        <v>6066</v>
      </c>
      <c r="C4141" s="2">
        <v>704.33720000000005</v>
      </c>
      <c r="D4141" s="2">
        <f>HYPERLINK("http://mcb-m6.bioreg.kyushu-u.ac.jp/M3/20110404/F50765/1658/1", 40.67)</f>
        <v>40.67</v>
      </c>
      <c r="E4141" s="2">
        <v>27.09</v>
      </c>
      <c r="F4141" s="2">
        <v>2</v>
      </c>
      <c r="G4141" s="2" t="s">
        <v>9</v>
      </c>
    </row>
    <row r="4142" spans="1:8" x14ac:dyDescent="0.2">
      <c r="A4142" s="2" t="s">
        <v>4675</v>
      </c>
      <c r="B4142" s="2" t="s">
        <v>2844</v>
      </c>
      <c r="C4142" s="2">
        <v>762.98220000000003</v>
      </c>
      <c r="D4142" s="2">
        <f>HYPERLINK("http://mcb-m6.bioreg.kyushu-u.ac.jp/M3/20110404/F50765/1942/1", 42.39)</f>
        <v>42.39</v>
      </c>
      <c r="E4142" s="2">
        <v>29.02</v>
      </c>
      <c r="F4142" s="2">
        <v>2</v>
      </c>
      <c r="G4142" s="2" t="s">
        <v>9</v>
      </c>
    </row>
    <row r="4143" spans="1:8" x14ac:dyDescent="0.2">
      <c r="A4143" s="2" t="s">
        <v>3900</v>
      </c>
      <c r="B4143" s="2" t="s">
        <v>1050</v>
      </c>
      <c r="C4143" s="2">
        <v>770.03060000000005</v>
      </c>
      <c r="D4143" s="2">
        <f>HYPERLINK("http://mcb-m6.bioreg.kyushu-u.ac.jp/M3/20110421/F51037/2213/1", 56.68)</f>
        <v>56.68</v>
      </c>
      <c r="E4143" s="2">
        <v>44.66</v>
      </c>
      <c r="F4143" s="2">
        <v>2</v>
      </c>
      <c r="G4143" s="2" t="s">
        <v>11</v>
      </c>
    </row>
    <row r="4144" spans="1:8" x14ac:dyDescent="0.2">
      <c r="A4144" s="2" t="s">
        <v>3900</v>
      </c>
      <c r="B4144" s="2" t="s">
        <v>1537</v>
      </c>
      <c r="C4144" s="2">
        <v>749.74959999999999</v>
      </c>
      <c r="D4144" s="2">
        <f>HYPERLINK("http://mcb-m6.bioreg.kyushu-u.ac.jp/M3/20110421/F51035/2036/1", 58.89)</f>
        <v>58.89</v>
      </c>
      <c r="E4144" s="2">
        <v>44.38</v>
      </c>
      <c r="F4144" s="2">
        <v>2</v>
      </c>
      <c r="G4144" s="2" t="s">
        <v>11</v>
      </c>
    </row>
    <row r="4145" spans="1:9" x14ac:dyDescent="0.2">
      <c r="A4145" s="2" t="s">
        <v>3900</v>
      </c>
      <c r="B4145" s="2" t="s">
        <v>1050</v>
      </c>
      <c r="C4145" s="2">
        <v>769.88419999999996</v>
      </c>
      <c r="D4145" s="2">
        <f>HYPERLINK("http://mcb-m6.bioreg.kyushu-u.ac.jp/M3/20110421/F51035/2137/1", 64.7)</f>
        <v>64.7</v>
      </c>
      <c r="E4145" s="2">
        <v>50.3</v>
      </c>
      <c r="F4145" s="2">
        <v>2</v>
      </c>
      <c r="G4145" s="2" t="s">
        <v>11</v>
      </c>
    </row>
    <row r="4146" spans="1:9" x14ac:dyDescent="0.2">
      <c r="A4146" s="2" t="s">
        <v>3900</v>
      </c>
      <c r="B4146" s="2" t="s">
        <v>1537</v>
      </c>
      <c r="C4146" s="2">
        <v>750.03369999999995</v>
      </c>
      <c r="D4146" s="2">
        <f>HYPERLINK("http://mcb-m6.bioreg.kyushu-u.ac.jp/M3/20110428/F51127/1931/1", 77.7)</f>
        <v>77.7</v>
      </c>
      <c r="E4146" s="2">
        <v>58.45</v>
      </c>
      <c r="F4146" s="2">
        <v>2</v>
      </c>
      <c r="G4146" s="2" t="s">
        <v>13</v>
      </c>
    </row>
    <row r="4147" spans="1:9" x14ac:dyDescent="0.2">
      <c r="A4147" s="2" t="s">
        <v>3594</v>
      </c>
      <c r="B4147" s="2" t="s">
        <v>6023</v>
      </c>
      <c r="C4147" s="2">
        <v>608.66970000000003</v>
      </c>
      <c r="D4147" s="2">
        <f>HYPERLINK("http://mcb-m6.bioreg.kyushu-u.ac.jp/M3/20110404/F50753/1533/1", 39.22)</f>
        <v>39.22</v>
      </c>
      <c r="E4147" s="2">
        <v>8.24</v>
      </c>
      <c r="F4147" s="2">
        <v>2</v>
      </c>
      <c r="G4147" s="2" t="s">
        <v>9</v>
      </c>
    </row>
    <row r="4148" spans="1:9" x14ac:dyDescent="0.2">
      <c r="A4148" s="2" t="s">
        <v>3594</v>
      </c>
      <c r="B4148" s="2" t="s">
        <v>2429</v>
      </c>
      <c r="C4148" s="2">
        <v>712.17110000000002</v>
      </c>
      <c r="D4148" s="2">
        <f>HYPERLINK("http://mcb-m6.bioreg.kyushu-u.ac.jp/M3/20110404/F50753/1890/1", 77.22)</f>
        <v>77.22</v>
      </c>
      <c r="E4148" s="2">
        <v>32.979999999999997</v>
      </c>
      <c r="F4148" s="2">
        <v>2</v>
      </c>
      <c r="G4148" s="2" t="s">
        <v>9</v>
      </c>
    </row>
    <row r="4149" spans="1:9" x14ac:dyDescent="0.2">
      <c r="A4149" s="2" t="s">
        <v>3594</v>
      </c>
      <c r="B4149" s="2" t="s">
        <v>484</v>
      </c>
      <c r="C4149" s="2">
        <v>981.24220000000003</v>
      </c>
      <c r="D4149" s="2">
        <f>HYPERLINK("http://mcb-m6.bioreg.kyushu-u.ac.jp/M3/20110404/F50753/2861/1", 115.21)</f>
        <v>115.21</v>
      </c>
      <c r="E4149" s="2">
        <v>102.41</v>
      </c>
      <c r="F4149" s="2">
        <v>2</v>
      </c>
      <c r="G4149" s="2" t="s">
        <v>9</v>
      </c>
    </row>
    <row r="4150" spans="1:9" x14ac:dyDescent="0.2">
      <c r="A4150" s="2" t="s">
        <v>3594</v>
      </c>
      <c r="B4150" s="2" t="s">
        <v>2247</v>
      </c>
      <c r="C4150" s="2">
        <v>716.21420000000001</v>
      </c>
      <c r="D4150" s="2">
        <f>HYPERLINK("http://mcb-m6.bioreg.kyushu-u.ac.jp/M3/20110404/F50758/1805/1", 39.46)</f>
        <v>39.46</v>
      </c>
      <c r="E4150" s="2">
        <v>31.02</v>
      </c>
      <c r="F4150" s="2">
        <v>2</v>
      </c>
      <c r="G4150" s="2" t="s">
        <v>10</v>
      </c>
    </row>
    <row r="4151" spans="1:9" x14ac:dyDescent="0.2">
      <c r="A4151" s="2" t="s">
        <v>3594</v>
      </c>
      <c r="B4151" s="2" t="s">
        <v>1739</v>
      </c>
      <c r="C4151" s="2">
        <v>532.25210000000004</v>
      </c>
      <c r="D4151" s="2">
        <f>HYPERLINK("http://mcb-m6.bioreg.kyushu-u.ac.jp/M3/20110404/F50758/1301/1", 49.72)</f>
        <v>49.72</v>
      </c>
      <c r="E4151" s="2">
        <v>7.23</v>
      </c>
      <c r="F4151" s="2">
        <v>2</v>
      </c>
      <c r="G4151" s="2" t="s">
        <v>10</v>
      </c>
    </row>
    <row r="4152" spans="1:9" x14ac:dyDescent="0.2">
      <c r="A4152" s="2" t="s">
        <v>3594</v>
      </c>
      <c r="B4152" s="2" t="s">
        <v>2429</v>
      </c>
      <c r="C4152" s="2">
        <v>712.14319999999998</v>
      </c>
      <c r="D4152" s="2">
        <f>HYPERLINK("http://mcb-m6.bioreg.kyushu-u.ac.jp/M3/20110404/F50758/1785/1", 91)</f>
        <v>91</v>
      </c>
      <c r="E4152" s="2">
        <v>49.76</v>
      </c>
      <c r="F4152" s="2">
        <v>2</v>
      </c>
      <c r="G4152" s="2" t="s">
        <v>10</v>
      </c>
    </row>
    <row r="4153" spans="1:9" x14ac:dyDescent="0.2">
      <c r="A4153" s="2" t="s">
        <v>3594</v>
      </c>
      <c r="B4153" s="2" t="s">
        <v>484</v>
      </c>
      <c r="C4153" s="2">
        <v>981.39570000000003</v>
      </c>
      <c r="D4153" s="2">
        <f>HYPERLINK("http://mcb-m6.bioreg.kyushu-u.ac.jp/M3/20110404/F50758/2656/1", 125.32)</f>
        <v>125.32</v>
      </c>
      <c r="E4153" s="2">
        <v>106.99</v>
      </c>
      <c r="F4153" s="2">
        <v>2</v>
      </c>
      <c r="G4153" s="2" t="s">
        <v>10</v>
      </c>
    </row>
    <row r="4154" spans="1:9" x14ac:dyDescent="0.2">
      <c r="A4154" s="2" t="s">
        <v>3594</v>
      </c>
      <c r="B4154" s="2" t="s">
        <v>2247</v>
      </c>
      <c r="C4154" s="2">
        <v>724.18020000000001</v>
      </c>
      <c r="D4154" s="2">
        <f>HYPERLINK("http://mcb-m6.bioreg.kyushu-u.ac.jp/M3/20110421/F51017/1951/1", 43.66)</f>
        <v>43.66</v>
      </c>
      <c r="E4154" s="2">
        <v>28.1</v>
      </c>
      <c r="F4154" s="2">
        <v>2</v>
      </c>
      <c r="G4154" s="2" t="s">
        <v>11</v>
      </c>
      <c r="H4154" s="2" t="s">
        <v>4910</v>
      </c>
    </row>
    <row r="4155" spans="1:9" x14ac:dyDescent="0.2">
      <c r="A4155" s="2" t="s">
        <v>3594</v>
      </c>
      <c r="B4155" s="2" t="s">
        <v>2247</v>
      </c>
      <c r="C4155" s="2">
        <v>716.17070000000001</v>
      </c>
      <c r="D4155" s="2">
        <f>HYPERLINK("http://mcb-m6.bioreg.kyushu-u.ac.jp/M3/20110421/F51017/1908/1", 67.47)</f>
        <v>67.47</v>
      </c>
      <c r="E4155" s="2">
        <v>48.06</v>
      </c>
      <c r="F4155" s="2">
        <v>2</v>
      </c>
      <c r="G4155" s="2" t="s">
        <v>11</v>
      </c>
    </row>
    <row r="4156" spans="1:9" x14ac:dyDescent="0.2">
      <c r="A4156" s="2" t="s">
        <v>3594</v>
      </c>
      <c r="B4156" s="2" t="s">
        <v>1739</v>
      </c>
      <c r="C4156" s="2">
        <v>532.67110000000002</v>
      </c>
      <c r="D4156" s="2">
        <f>HYPERLINK("http://mcb-m6.bioreg.kyushu-u.ac.jp/M3/20110427/F51111/1275/1", 44.39)</f>
        <v>44.39</v>
      </c>
      <c r="E4156" s="2">
        <v>16.32</v>
      </c>
      <c r="F4156" s="2">
        <v>2</v>
      </c>
      <c r="G4156" s="2" t="s">
        <v>13</v>
      </c>
    </row>
    <row r="4157" spans="1:9" x14ac:dyDescent="0.2">
      <c r="A4157" s="2" t="s">
        <v>3594</v>
      </c>
      <c r="B4157" s="2" t="s">
        <v>484</v>
      </c>
      <c r="C4157" s="2">
        <v>981.32460000000003</v>
      </c>
      <c r="D4157" s="2">
        <f>HYPERLINK("http://mcb-m6.bioreg.kyushu-u.ac.jp/M3/20110427/F51111/3064/1", 100.41)</f>
        <v>100.41</v>
      </c>
      <c r="E4157" s="2">
        <v>88.46</v>
      </c>
      <c r="F4157" s="2">
        <v>2</v>
      </c>
      <c r="G4157" s="2" t="s">
        <v>13</v>
      </c>
    </row>
    <row r="4158" spans="1:9" x14ac:dyDescent="0.2">
      <c r="A4158" s="2" t="s">
        <v>3476</v>
      </c>
      <c r="B4158" s="2" t="s">
        <v>420</v>
      </c>
      <c r="C4158" s="2">
        <v>1071.365</v>
      </c>
      <c r="D4158" s="2">
        <f>HYPERLINK("http://mcb-m6.bioreg.kyushu-u.ac.jp/M3/20110404/F50756/3268/1", 105.1)</f>
        <v>105.1</v>
      </c>
      <c r="E4158" s="2">
        <v>89.02</v>
      </c>
      <c r="F4158" s="2">
        <v>2</v>
      </c>
      <c r="G4158" s="2" t="s">
        <v>9</v>
      </c>
    </row>
    <row r="4159" spans="1:9" x14ac:dyDescent="0.2">
      <c r="A4159" s="2" t="s">
        <v>3476</v>
      </c>
      <c r="B4159" s="2" t="s">
        <v>420</v>
      </c>
      <c r="C4159" s="2">
        <v>1071.557</v>
      </c>
      <c r="D4159" s="2">
        <f>HYPERLINK("http://mcb-m6.bioreg.kyushu-u.ac.jp/M3/20110421/F51044/3270/1", 88.15)</f>
        <v>88.15</v>
      </c>
      <c r="E4159" s="2">
        <v>71.84</v>
      </c>
      <c r="F4159" s="2">
        <v>2</v>
      </c>
      <c r="G4159" s="2" t="s">
        <v>12</v>
      </c>
    </row>
    <row r="4160" spans="1:9" x14ac:dyDescent="0.2">
      <c r="A4160" s="2" t="s">
        <v>7745</v>
      </c>
      <c r="B4160" s="2" t="s">
        <v>6524</v>
      </c>
      <c r="C4160" s="2">
        <v>1099.854</v>
      </c>
      <c r="D4160" s="2">
        <f>HYPERLINK("http://mcb-m6.bioreg.kyushu-u.ac.jp/M3/20110404/F50756/3354/1", 74.55)</f>
        <v>74.55</v>
      </c>
      <c r="E4160" s="2">
        <v>57.52</v>
      </c>
      <c r="F4160" s="2">
        <v>2</v>
      </c>
      <c r="G4160" s="2" t="s">
        <v>9</v>
      </c>
      <c r="I4160" s="2" t="s">
        <v>4923</v>
      </c>
    </row>
    <row r="4161" spans="1:9" x14ac:dyDescent="0.2">
      <c r="A4161" s="2" t="s">
        <v>7745</v>
      </c>
      <c r="B4161" s="2" t="s">
        <v>6524</v>
      </c>
      <c r="C4161" s="2">
        <v>1100.383</v>
      </c>
      <c r="D4161" s="2">
        <f>HYPERLINK("http://mcb-m6.bioreg.kyushu-u.ac.jp/M3/20110404/F50761/3076/1", 70.79)</f>
        <v>70.790000000000006</v>
      </c>
      <c r="E4161" s="2">
        <v>44.12</v>
      </c>
      <c r="F4161" s="2">
        <v>2</v>
      </c>
      <c r="G4161" s="2" t="s">
        <v>10</v>
      </c>
      <c r="I4161" s="2" t="s">
        <v>4923</v>
      </c>
    </row>
    <row r="4162" spans="1:9" x14ac:dyDescent="0.2">
      <c r="A4162" s="2" t="s">
        <v>7745</v>
      </c>
      <c r="B4162" s="2" t="s">
        <v>6524</v>
      </c>
      <c r="C4162" s="2">
        <v>1099.8320000000001</v>
      </c>
      <c r="D4162" s="2">
        <f>HYPERLINK("http://mcb-m6.bioreg.kyushu-u.ac.jp/M3/20110404/F50761/3073/1", 107.75)</f>
        <v>107.75</v>
      </c>
      <c r="E4162" s="2">
        <v>93.47</v>
      </c>
      <c r="F4162" s="2">
        <v>2</v>
      </c>
      <c r="G4162" s="2" t="s">
        <v>10</v>
      </c>
      <c r="I4162" s="2" t="s">
        <v>4923</v>
      </c>
    </row>
    <row r="4163" spans="1:9" x14ac:dyDescent="0.2">
      <c r="A4163" s="2" t="s">
        <v>4240</v>
      </c>
      <c r="B4163" s="2" t="s">
        <v>5915</v>
      </c>
      <c r="C4163" s="2">
        <v>803.19920000000002</v>
      </c>
      <c r="D4163" s="2">
        <f>HYPERLINK("http://mcb-m6.bioreg.kyushu-u.ac.jp/M3/20110404/F50762/2915/1", 35.42)</f>
        <v>35.42</v>
      </c>
      <c r="E4163" s="2">
        <v>20.84</v>
      </c>
      <c r="F4163" s="2">
        <v>3</v>
      </c>
      <c r="G4163" s="2" t="s">
        <v>9</v>
      </c>
      <c r="I4163" s="2" t="s">
        <v>4918</v>
      </c>
    </row>
    <row r="4164" spans="1:9" x14ac:dyDescent="0.2">
      <c r="A4164" s="2" t="s">
        <v>4240</v>
      </c>
      <c r="B4164" s="2" t="s">
        <v>6001</v>
      </c>
      <c r="C4164" s="2">
        <v>590.32209999999998</v>
      </c>
      <c r="D4164" s="2">
        <f>HYPERLINK("http://mcb-m6.bioreg.kyushu-u.ac.jp/M3/20110404/F50756/1312/1", 38.38)</f>
        <v>38.380000000000003</v>
      </c>
      <c r="E4164" s="2">
        <v>19.920000000000002</v>
      </c>
      <c r="F4164" s="2">
        <v>2</v>
      </c>
      <c r="G4164" s="2" t="s">
        <v>9</v>
      </c>
      <c r="I4164" s="2" t="s">
        <v>4899</v>
      </c>
    </row>
    <row r="4165" spans="1:9" x14ac:dyDescent="0.2">
      <c r="A4165" s="2" t="s">
        <v>4240</v>
      </c>
      <c r="B4165" s="2" t="s">
        <v>6381</v>
      </c>
      <c r="C4165" s="2">
        <v>889.96220000000005</v>
      </c>
      <c r="D4165" s="2">
        <f>HYPERLINK("http://mcb-m6.bioreg.kyushu-u.ac.jp/M3/20110404/F50756/2632/1", 57.64)</f>
        <v>57.64</v>
      </c>
      <c r="E4165" s="2">
        <v>20.54</v>
      </c>
      <c r="F4165" s="2">
        <v>2</v>
      </c>
      <c r="G4165" s="2" t="s">
        <v>9</v>
      </c>
    </row>
    <row r="4166" spans="1:9" x14ac:dyDescent="0.2">
      <c r="A4166" s="2" t="s">
        <v>4240</v>
      </c>
      <c r="B4166" s="2" t="s">
        <v>1863</v>
      </c>
      <c r="C4166" s="2">
        <v>1351.569</v>
      </c>
      <c r="D4166" s="2">
        <f>HYPERLINK("http://mcb-m6.bioreg.kyushu-u.ac.jp/M3/20110404/F50756/1625/1", 61.97)</f>
        <v>61.97</v>
      </c>
      <c r="E4166" s="2">
        <v>46.35</v>
      </c>
      <c r="F4166" s="2">
        <v>1</v>
      </c>
      <c r="G4166" s="2" t="s">
        <v>9</v>
      </c>
    </row>
    <row r="4167" spans="1:9" x14ac:dyDescent="0.2">
      <c r="A4167" s="2" t="s">
        <v>4240</v>
      </c>
      <c r="B4167" s="2" t="s">
        <v>6467</v>
      </c>
      <c r="C4167" s="2">
        <v>626.69209999999998</v>
      </c>
      <c r="D4167" s="2">
        <f>HYPERLINK("http://mcb-m6.bioreg.kyushu-u.ac.jp/M3/20110404/F50756/1454/1", 67.24)</f>
        <v>67.239999999999995</v>
      </c>
      <c r="E4167" s="2">
        <v>42.88</v>
      </c>
      <c r="F4167" s="2">
        <v>2</v>
      </c>
      <c r="G4167" s="2" t="s">
        <v>9</v>
      </c>
    </row>
    <row r="4168" spans="1:9" x14ac:dyDescent="0.2">
      <c r="A4168" s="2" t="s">
        <v>4240</v>
      </c>
      <c r="B4168" s="2" t="s">
        <v>6520</v>
      </c>
      <c r="C4168" s="2">
        <v>904.4307</v>
      </c>
      <c r="D4168" s="2">
        <f>HYPERLINK("http://mcb-m6.bioreg.kyushu-u.ac.jp/M3/20110404/F50756/2713/1", 73.85)</f>
        <v>73.849999999999994</v>
      </c>
      <c r="E4168" s="2">
        <v>57.85</v>
      </c>
      <c r="F4168" s="2">
        <v>2</v>
      </c>
      <c r="G4168" s="2" t="s">
        <v>9</v>
      </c>
    </row>
    <row r="4169" spans="1:9" x14ac:dyDescent="0.2">
      <c r="A4169" s="2" t="s">
        <v>4240</v>
      </c>
      <c r="B4169" s="2" t="s">
        <v>6381</v>
      </c>
      <c r="C4169" s="2">
        <v>889.42110000000002</v>
      </c>
      <c r="D4169" s="2">
        <f>HYPERLINK("http://mcb-m6.bioreg.kyushu-u.ac.jp/M3/20110404/F50756/2624/1", 80.47)</f>
        <v>80.47</v>
      </c>
      <c r="E4169" s="2">
        <v>39.1</v>
      </c>
      <c r="F4169" s="2">
        <v>2</v>
      </c>
      <c r="G4169" s="2" t="s">
        <v>9</v>
      </c>
    </row>
    <row r="4170" spans="1:9" x14ac:dyDescent="0.2">
      <c r="A4170" s="2" t="s">
        <v>4240</v>
      </c>
      <c r="B4170" s="2" t="s">
        <v>1863</v>
      </c>
      <c r="C4170" s="2">
        <v>676.24109999999996</v>
      </c>
      <c r="D4170" s="2">
        <f>HYPERLINK("http://mcb-m6.bioreg.kyushu-u.ac.jp/M3/20110404/F50756/1623/1", 80.74)</f>
        <v>80.739999999999995</v>
      </c>
      <c r="E4170" s="2">
        <v>47.55</v>
      </c>
      <c r="F4170" s="2">
        <v>2</v>
      </c>
      <c r="G4170" s="2" t="s">
        <v>9</v>
      </c>
    </row>
    <row r="4171" spans="1:9" x14ac:dyDescent="0.2">
      <c r="A4171" s="2" t="s">
        <v>4240</v>
      </c>
      <c r="B4171" s="2" t="s">
        <v>6381</v>
      </c>
      <c r="C4171" s="2">
        <v>889.39869999999996</v>
      </c>
      <c r="D4171" s="2">
        <f>HYPERLINK("http://mcb-m6.bioreg.kyushu-u.ac.jp/M3/20110404/F50761/2424/1", 45.54)</f>
        <v>45.54</v>
      </c>
      <c r="E4171" s="2">
        <v>5.49</v>
      </c>
      <c r="F4171" s="2">
        <v>2</v>
      </c>
      <c r="G4171" s="2" t="s">
        <v>10</v>
      </c>
    </row>
    <row r="4172" spans="1:9" x14ac:dyDescent="0.2">
      <c r="A4172" s="2" t="s">
        <v>4240</v>
      </c>
      <c r="B4172" s="2" t="s">
        <v>1863</v>
      </c>
      <c r="C4172" s="2">
        <v>1351.5050000000001</v>
      </c>
      <c r="D4172" s="2">
        <f>HYPERLINK("http://mcb-m6.bioreg.kyushu-u.ac.jp/M3/20110404/F50761/1554/1", 63.02)</f>
        <v>63.02</v>
      </c>
      <c r="E4172" s="2">
        <v>50.43</v>
      </c>
      <c r="F4172" s="2">
        <v>1</v>
      </c>
      <c r="G4172" s="2" t="s">
        <v>10</v>
      </c>
    </row>
    <row r="4173" spans="1:9" x14ac:dyDescent="0.2">
      <c r="A4173" s="2" t="s">
        <v>4240</v>
      </c>
      <c r="B4173" s="2" t="s">
        <v>7037</v>
      </c>
      <c r="C4173" s="2">
        <v>803.82820000000004</v>
      </c>
      <c r="D4173" s="2">
        <f>HYPERLINK("http://mcb-m6.bioreg.kyushu-u.ac.jp/M3/20110404/F50761/2109/1", 87.75)</f>
        <v>87.75</v>
      </c>
      <c r="E4173" s="2">
        <v>67.78</v>
      </c>
      <c r="F4173" s="2">
        <v>2</v>
      </c>
      <c r="G4173" s="2" t="s">
        <v>10</v>
      </c>
    </row>
    <row r="4174" spans="1:9" x14ac:dyDescent="0.2">
      <c r="A4174" s="2" t="s">
        <v>4240</v>
      </c>
      <c r="B4174" s="2" t="s">
        <v>6467</v>
      </c>
      <c r="C4174" s="2">
        <v>626.24659999999994</v>
      </c>
      <c r="D4174" s="2">
        <f>HYPERLINK("http://mcb-m6.bioreg.kyushu-u.ac.jp/M3/20110421/F51044/1437/1", 61.98)</f>
        <v>61.98</v>
      </c>
      <c r="E4174" s="2">
        <v>39.18</v>
      </c>
      <c r="F4174" s="2">
        <v>2</v>
      </c>
      <c r="G4174" s="2" t="s">
        <v>12</v>
      </c>
    </row>
    <row r="4175" spans="1:9" x14ac:dyDescent="0.2">
      <c r="A4175" s="2" t="s">
        <v>4240</v>
      </c>
      <c r="B4175" s="2" t="s">
        <v>1863</v>
      </c>
      <c r="C4175" s="2">
        <v>676.79359999999997</v>
      </c>
      <c r="D4175" s="2">
        <f>HYPERLINK("http://mcb-m6.bioreg.kyushu-u.ac.jp/M3/20110421/F51044/1627/1", 63.9)</f>
        <v>63.9</v>
      </c>
      <c r="E4175" s="2">
        <v>34.39</v>
      </c>
      <c r="F4175" s="2">
        <v>2</v>
      </c>
      <c r="G4175" s="2" t="s">
        <v>12</v>
      </c>
    </row>
    <row r="4176" spans="1:9" x14ac:dyDescent="0.2">
      <c r="A4176" s="2" t="s">
        <v>4240</v>
      </c>
      <c r="B4176" s="2" t="s">
        <v>1863</v>
      </c>
      <c r="C4176" s="2">
        <v>676.2482</v>
      </c>
      <c r="D4176" s="2">
        <f>HYPERLINK("http://mcb-m6.bioreg.kyushu-u.ac.jp/M3/20110421/F51044/1625/1", 74.59)</f>
        <v>74.59</v>
      </c>
      <c r="E4176" s="2">
        <v>44.72</v>
      </c>
      <c r="F4176" s="2">
        <v>2</v>
      </c>
      <c r="G4176" s="2" t="s">
        <v>12</v>
      </c>
    </row>
    <row r="4177" spans="1:9" x14ac:dyDescent="0.2">
      <c r="A4177" s="2" t="s">
        <v>4240</v>
      </c>
      <c r="B4177" s="2" t="s">
        <v>1863</v>
      </c>
      <c r="C4177" s="2">
        <v>676.29859999999996</v>
      </c>
      <c r="D4177" s="2">
        <f>HYPERLINK("http://mcb-m6.bioreg.kyushu-u.ac.jp/M3/20110427/F51123/1709/1", 43.76)</f>
        <v>43.76</v>
      </c>
      <c r="E4177" s="2">
        <v>20.02</v>
      </c>
      <c r="F4177" s="2">
        <v>2</v>
      </c>
      <c r="G4177" s="2" t="s">
        <v>14</v>
      </c>
    </row>
    <row r="4178" spans="1:9" x14ac:dyDescent="0.2">
      <c r="A4178" s="2" t="s">
        <v>7545</v>
      </c>
      <c r="B4178" s="2" t="s">
        <v>5950</v>
      </c>
      <c r="C4178" s="2">
        <v>521.27470000000005</v>
      </c>
      <c r="D4178" s="2">
        <f>HYPERLINK("http://mcb-m6.bioreg.kyushu-u.ac.jp/M3/20110404/F50756/1081/1", 36.74)</f>
        <v>36.74</v>
      </c>
      <c r="E4178" s="2">
        <v>15.26</v>
      </c>
      <c r="F4178" s="2">
        <v>2</v>
      </c>
      <c r="G4178" s="2" t="s">
        <v>9</v>
      </c>
    </row>
    <row r="4179" spans="1:9" x14ac:dyDescent="0.2">
      <c r="A4179" s="2" t="s">
        <v>7545</v>
      </c>
      <c r="B4179" s="2" t="s">
        <v>6031</v>
      </c>
      <c r="C4179" s="2">
        <v>563.22469999999998</v>
      </c>
      <c r="D4179" s="2">
        <f>HYPERLINK("http://mcb-m6.bioreg.kyushu-u.ac.jp/M3/20110404/F50756/1203/1", 39.44)</f>
        <v>39.44</v>
      </c>
      <c r="E4179" s="2">
        <v>16.329999999999998</v>
      </c>
      <c r="F4179" s="2">
        <v>2</v>
      </c>
      <c r="G4179" s="2" t="s">
        <v>9</v>
      </c>
      <c r="H4179" s="2" t="s">
        <v>4908</v>
      </c>
    </row>
    <row r="4180" spans="1:9" x14ac:dyDescent="0.2">
      <c r="A4180" s="2" t="s">
        <v>7545</v>
      </c>
      <c r="B4180" s="2" t="s">
        <v>6031</v>
      </c>
      <c r="C4180" s="2">
        <v>555.20820000000003</v>
      </c>
      <c r="D4180" s="2">
        <f>HYPERLINK("http://mcb-m6.bioreg.kyushu-u.ac.jp/M3/20110404/F50756/1179/1", 40.22)</f>
        <v>40.22</v>
      </c>
      <c r="E4180" s="2">
        <v>12.14</v>
      </c>
      <c r="F4180" s="2">
        <v>2</v>
      </c>
      <c r="G4180" s="2" t="s">
        <v>9</v>
      </c>
    </row>
    <row r="4181" spans="1:9" x14ac:dyDescent="0.2">
      <c r="A4181" s="2" t="s">
        <v>7545</v>
      </c>
      <c r="B4181" s="2" t="s">
        <v>6565</v>
      </c>
      <c r="C4181" s="2">
        <v>998.88120000000004</v>
      </c>
      <c r="D4181" s="2">
        <f>HYPERLINK("http://mcb-m6.bioreg.kyushu-u.ac.jp/M3/20110404/F50756/3065/1", 81.19)</f>
        <v>81.19</v>
      </c>
      <c r="E4181" s="2">
        <v>62.91</v>
      </c>
      <c r="F4181" s="2">
        <v>2</v>
      </c>
      <c r="G4181" s="2" t="s">
        <v>9</v>
      </c>
      <c r="H4181" s="2" t="s">
        <v>4907</v>
      </c>
    </row>
    <row r="4182" spans="1:9" x14ac:dyDescent="0.2">
      <c r="A4182" s="2" t="s">
        <v>7545</v>
      </c>
      <c r="B4182" s="2" t="s">
        <v>6650</v>
      </c>
      <c r="C4182" s="2">
        <v>950.33010000000002</v>
      </c>
      <c r="D4182" s="2">
        <f>HYPERLINK("http://mcb-m6.bioreg.kyushu-u.ac.jp/M3/20110404/F50756/2893/1", 107.52)</f>
        <v>107.52</v>
      </c>
      <c r="E4182" s="2">
        <v>79.3</v>
      </c>
      <c r="F4182" s="2">
        <v>2</v>
      </c>
      <c r="G4182" s="2" t="s">
        <v>9</v>
      </c>
      <c r="I4182" s="2" t="s">
        <v>4980</v>
      </c>
    </row>
    <row r="4183" spans="1:9" x14ac:dyDescent="0.2">
      <c r="A4183" s="2" t="s">
        <v>7545</v>
      </c>
      <c r="B4183" s="2" t="s">
        <v>6674</v>
      </c>
      <c r="C4183" s="2">
        <v>856.9991</v>
      </c>
      <c r="D4183" s="2">
        <f>HYPERLINK("http://mcb-m6.bioreg.kyushu-u.ac.jp/M3/20110404/F50761/2307/1", 35.04)</f>
        <v>35.04</v>
      </c>
      <c r="E4183" s="2">
        <v>21.15</v>
      </c>
      <c r="F4183" s="2">
        <v>2</v>
      </c>
      <c r="G4183" s="2" t="s">
        <v>10</v>
      </c>
    </row>
    <row r="4184" spans="1:9" x14ac:dyDescent="0.2">
      <c r="A4184" s="2" t="s">
        <v>7545</v>
      </c>
      <c r="B4184" s="2" t="s">
        <v>6031</v>
      </c>
      <c r="C4184" s="2">
        <v>555.66560000000004</v>
      </c>
      <c r="D4184" s="2">
        <f>HYPERLINK("http://mcb-m6.bioreg.kyushu-u.ac.jp/M3/20110404/F50761/1149/1", 55.21)</f>
        <v>55.21</v>
      </c>
      <c r="E4184" s="2">
        <v>34.229999999999997</v>
      </c>
      <c r="F4184" s="2">
        <v>2</v>
      </c>
      <c r="G4184" s="2" t="s">
        <v>10</v>
      </c>
    </row>
    <row r="4185" spans="1:9" x14ac:dyDescent="0.2">
      <c r="A4185" s="2" t="s">
        <v>7545</v>
      </c>
      <c r="B4185" s="2" t="s">
        <v>6650</v>
      </c>
      <c r="C4185" s="2">
        <v>950.21169999999995</v>
      </c>
      <c r="D4185" s="2">
        <f>HYPERLINK("http://mcb-m6.bioreg.kyushu-u.ac.jp/M3/20110404/F50761/2672/1", 112.37)</f>
        <v>112.37</v>
      </c>
      <c r="E4185" s="2">
        <v>89.23</v>
      </c>
      <c r="F4185" s="2">
        <v>2</v>
      </c>
      <c r="G4185" s="2" t="s">
        <v>10</v>
      </c>
      <c r="I4185" s="2" t="s">
        <v>4980</v>
      </c>
    </row>
    <row r="4186" spans="1:9" x14ac:dyDescent="0.2">
      <c r="A4186" s="2" t="s">
        <v>7545</v>
      </c>
      <c r="B4186" s="2" t="s">
        <v>6650</v>
      </c>
      <c r="C4186" s="2">
        <v>950.61720000000003</v>
      </c>
      <c r="D4186" s="2">
        <f>HYPERLINK("http://mcb-m6.bioreg.kyushu-u.ac.jp/M3/20110421/F51044/2938/1", 86.66)</f>
        <v>86.66</v>
      </c>
      <c r="E4186" s="2">
        <v>69.36</v>
      </c>
      <c r="F4186" s="2">
        <v>2</v>
      </c>
      <c r="G4186" s="2" t="s">
        <v>12</v>
      </c>
      <c r="I4186" s="2" t="s">
        <v>4980</v>
      </c>
    </row>
    <row r="4187" spans="1:9" x14ac:dyDescent="0.2">
      <c r="A4187" s="2" t="s">
        <v>7545</v>
      </c>
      <c r="B4187" s="2" t="s">
        <v>6650</v>
      </c>
      <c r="C4187" s="2">
        <v>950.74659999999994</v>
      </c>
      <c r="D4187" s="2">
        <f>HYPERLINK("http://mcb-m6.bioreg.kyushu-u.ac.jp/M3/20110427/F51123/2933/1", 72.34)</f>
        <v>72.34</v>
      </c>
      <c r="E4187" s="2">
        <v>54.77</v>
      </c>
      <c r="F4187" s="2">
        <v>2</v>
      </c>
      <c r="G4187" s="2" t="s">
        <v>14</v>
      </c>
      <c r="I4187" s="2" t="s">
        <v>4980</v>
      </c>
    </row>
    <row r="4188" spans="1:9" x14ac:dyDescent="0.2">
      <c r="A4188" s="2" t="s">
        <v>3720</v>
      </c>
      <c r="B4188" s="2" t="s">
        <v>1165</v>
      </c>
      <c r="C4188" s="2">
        <v>742.7491</v>
      </c>
      <c r="D4188" s="2">
        <f>HYPERLINK("http://mcb-m6.bioreg.kyushu-u.ac.jp/M3/20110404/F50753/2018/1", 88.18)</f>
        <v>88.18</v>
      </c>
      <c r="E4188" s="2">
        <v>65.41</v>
      </c>
      <c r="F4188" s="2">
        <v>2</v>
      </c>
      <c r="G4188" s="2" t="s">
        <v>9</v>
      </c>
    </row>
    <row r="4189" spans="1:9" x14ac:dyDescent="0.2">
      <c r="A4189" s="2" t="s">
        <v>3720</v>
      </c>
      <c r="B4189" s="2" t="s">
        <v>1165</v>
      </c>
      <c r="C4189" s="2">
        <v>742.59670000000006</v>
      </c>
      <c r="D4189" s="2">
        <f>HYPERLINK("http://mcb-m6.bioreg.kyushu-u.ac.jp/M3/20110404/F50758/1917/1", 61.54)</f>
        <v>61.54</v>
      </c>
      <c r="E4189" s="2">
        <v>46.29</v>
      </c>
      <c r="F4189" s="2">
        <v>2</v>
      </c>
      <c r="G4189" s="2" t="s">
        <v>10</v>
      </c>
    </row>
    <row r="4190" spans="1:9" x14ac:dyDescent="0.2">
      <c r="A4190" s="2" t="s">
        <v>3720</v>
      </c>
      <c r="B4190" s="2" t="s">
        <v>1165</v>
      </c>
      <c r="C4190" s="2">
        <v>742.77260000000001</v>
      </c>
      <c r="D4190" s="2">
        <f>HYPERLINK("http://mcb-m6.bioreg.kyushu-u.ac.jp/M3/20110427/F51113/2002/1", 39.44)</f>
        <v>39.44</v>
      </c>
      <c r="E4190" s="2">
        <v>27.2</v>
      </c>
      <c r="F4190" s="2">
        <v>2</v>
      </c>
      <c r="G4190" s="2" t="s">
        <v>13</v>
      </c>
    </row>
    <row r="4191" spans="1:9" x14ac:dyDescent="0.2">
      <c r="A4191" s="2" t="s">
        <v>3720</v>
      </c>
      <c r="B4191" s="2" t="s">
        <v>1165</v>
      </c>
      <c r="C4191" s="2">
        <v>742.85770000000002</v>
      </c>
      <c r="D4191" s="2">
        <f>HYPERLINK("http://mcb-m6.bioreg.kyushu-u.ac.jp/M3/20110427/F51111/2141/1", 68.8)</f>
        <v>68.8</v>
      </c>
      <c r="E4191" s="2">
        <v>43.59</v>
      </c>
      <c r="F4191" s="2">
        <v>2</v>
      </c>
      <c r="G4191" s="2" t="s">
        <v>13</v>
      </c>
    </row>
    <row r="4192" spans="1:9" x14ac:dyDescent="0.2">
      <c r="A4192" s="2" t="s">
        <v>3720</v>
      </c>
      <c r="B4192" s="2" t="s">
        <v>1165</v>
      </c>
      <c r="C4192" s="2">
        <v>743.36569999999995</v>
      </c>
      <c r="D4192" s="2">
        <f>HYPERLINK("http://mcb-m6.bioreg.kyushu-u.ac.jp/M3/20110427/F51111/2147/1", 70.38)</f>
        <v>70.38</v>
      </c>
      <c r="E4192" s="2">
        <v>56.07</v>
      </c>
      <c r="F4192" s="2">
        <v>2</v>
      </c>
      <c r="G4192" s="2" t="s">
        <v>13</v>
      </c>
    </row>
    <row r="4193" spans="1:8" x14ac:dyDescent="0.2">
      <c r="A4193" s="2" t="s">
        <v>3780</v>
      </c>
      <c r="B4193" s="2" t="s">
        <v>815</v>
      </c>
      <c r="C4193" s="2">
        <v>545.61360000000002</v>
      </c>
      <c r="D4193" s="2">
        <f>HYPERLINK("http://mcb-m6.bioreg.kyushu-u.ac.jp/M3/20110404/F50763/1225/1", 69.22)</f>
        <v>69.22</v>
      </c>
      <c r="E4193" s="2">
        <v>37.28</v>
      </c>
      <c r="F4193" s="2">
        <v>2</v>
      </c>
      <c r="G4193" s="2" t="s">
        <v>9</v>
      </c>
    </row>
    <row r="4194" spans="1:8" x14ac:dyDescent="0.2">
      <c r="A4194" s="2" t="s">
        <v>3780</v>
      </c>
      <c r="B4194" s="2" t="s">
        <v>815</v>
      </c>
      <c r="C4194" s="2">
        <v>546.13419999999996</v>
      </c>
      <c r="D4194" s="2">
        <f>HYPERLINK("http://mcb-m6.bioreg.kyushu-u.ac.jp/M3/20110404/F50771/1188/1", 37.9)</f>
        <v>37.9</v>
      </c>
      <c r="E4194" s="2">
        <v>8.6</v>
      </c>
      <c r="F4194" s="2">
        <v>2</v>
      </c>
      <c r="G4194" s="2" t="s">
        <v>10</v>
      </c>
    </row>
    <row r="4195" spans="1:8" x14ac:dyDescent="0.2">
      <c r="A4195" s="2" t="s">
        <v>3780</v>
      </c>
      <c r="B4195" s="2" t="s">
        <v>815</v>
      </c>
      <c r="C4195" s="2">
        <v>545.80070000000001</v>
      </c>
      <c r="D4195" s="2">
        <f>HYPERLINK("http://mcb-m6.bioreg.kyushu-u.ac.jp/M3/20110404/F50782/905/1", 57.57)</f>
        <v>57.57</v>
      </c>
      <c r="E4195" s="2">
        <v>26.76</v>
      </c>
      <c r="F4195" s="2">
        <v>2</v>
      </c>
      <c r="G4195" s="2" t="s">
        <v>10</v>
      </c>
    </row>
    <row r="4196" spans="1:8" x14ac:dyDescent="0.2">
      <c r="A4196" s="2" t="s">
        <v>3780</v>
      </c>
      <c r="B4196" s="2" t="s">
        <v>815</v>
      </c>
      <c r="C4196" s="2">
        <v>545.68619999999999</v>
      </c>
      <c r="D4196" s="2">
        <f>HYPERLINK("http://mcb-m6.bioreg.kyushu-u.ac.jp/M3/20110404/F50761/1126/1", 68.86)</f>
        <v>68.86</v>
      </c>
      <c r="E4196" s="2">
        <v>31.56</v>
      </c>
      <c r="F4196" s="2">
        <v>2</v>
      </c>
      <c r="G4196" s="2" t="s">
        <v>10</v>
      </c>
    </row>
    <row r="4197" spans="1:8" x14ac:dyDescent="0.2">
      <c r="A4197" s="2" t="s">
        <v>3780</v>
      </c>
      <c r="B4197" s="2" t="s">
        <v>815</v>
      </c>
      <c r="C4197" s="2">
        <v>545.59670000000006</v>
      </c>
      <c r="D4197" s="2">
        <f>HYPERLINK("http://mcb-m6.bioreg.kyushu-u.ac.jp/M3/20110404/F50775/1205/1", 68.97)</f>
        <v>68.97</v>
      </c>
      <c r="E4197" s="2">
        <v>35.54</v>
      </c>
      <c r="F4197" s="2">
        <v>2</v>
      </c>
      <c r="G4197" s="2" t="s">
        <v>10</v>
      </c>
    </row>
    <row r="4198" spans="1:8" x14ac:dyDescent="0.2">
      <c r="A4198" s="2" t="s">
        <v>3780</v>
      </c>
      <c r="B4198" s="2" t="s">
        <v>815</v>
      </c>
      <c r="C4198" s="2">
        <v>545.76319999999998</v>
      </c>
      <c r="D4198" s="2">
        <f>HYPERLINK("http://mcb-m6.bioreg.kyushu-u.ac.jp/M3/20110404/F50768/1228/1", 72.68)</f>
        <v>72.680000000000007</v>
      </c>
      <c r="E4198" s="2">
        <v>34.68</v>
      </c>
      <c r="F4198" s="2">
        <v>2</v>
      </c>
      <c r="G4198" s="2" t="s">
        <v>10</v>
      </c>
    </row>
    <row r="4199" spans="1:8" x14ac:dyDescent="0.2">
      <c r="A4199" s="2" t="s">
        <v>3780</v>
      </c>
      <c r="B4199" s="2" t="s">
        <v>815</v>
      </c>
      <c r="C4199" s="2">
        <v>545.87869999999998</v>
      </c>
      <c r="D4199" s="2">
        <f>HYPERLINK("http://mcb-m6.bioreg.kyushu-u.ac.jp/M3/20110421/F51020/1241/1", 36.74)</f>
        <v>36.74</v>
      </c>
      <c r="E4199" s="2">
        <v>16</v>
      </c>
      <c r="F4199" s="2">
        <v>2</v>
      </c>
      <c r="G4199" s="2" t="s">
        <v>11</v>
      </c>
    </row>
    <row r="4200" spans="1:8" x14ac:dyDescent="0.2">
      <c r="A4200" s="2" t="s">
        <v>3780</v>
      </c>
      <c r="B4200" s="2" t="s">
        <v>815</v>
      </c>
      <c r="C4200" s="2">
        <v>545.83870000000002</v>
      </c>
      <c r="D4200" s="2">
        <f>HYPERLINK("http://mcb-m6.bioreg.kyushu-u.ac.jp/M3/20110421/F51034/1110/1", 52.9)</f>
        <v>52.9</v>
      </c>
      <c r="E4200" s="2">
        <v>29.15</v>
      </c>
      <c r="F4200" s="2">
        <v>2</v>
      </c>
      <c r="G4200" s="2" t="s">
        <v>11</v>
      </c>
    </row>
    <row r="4201" spans="1:8" x14ac:dyDescent="0.2">
      <c r="A4201" s="2" t="s">
        <v>3780</v>
      </c>
      <c r="B4201" s="2" t="s">
        <v>815</v>
      </c>
      <c r="C4201" s="2">
        <v>546.31370000000004</v>
      </c>
      <c r="D4201" s="2">
        <f>HYPERLINK("http://mcb-m6.bioreg.kyushu-u.ac.jp/M3/20110421/F51039/1157/1", 53.73)</f>
        <v>53.73</v>
      </c>
      <c r="E4201" s="2">
        <v>26.35</v>
      </c>
      <c r="F4201" s="2">
        <v>2</v>
      </c>
      <c r="G4201" s="2" t="s">
        <v>11</v>
      </c>
    </row>
    <row r="4202" spans="1:8" x14ac:dyDescent="0.2">
      <c r="A4202" s="2" t="s">
        <v>3780</v>
      </c>
      <c r="B4202" s="2" t="s">
        <v>815</v>
      </c>
      <c r="C4202" s="2">
        <v>545.79970000000003</v>
      </c>
      <c r="D4202" s="2">
        <f>HYPERLINK("http://mcb-m6.bioreg.kyushu-u.ac.jp/M3/20110421/F51035/975/1", 57.83)</f>
        <v>57.83</v>
      </c>
      <c r="E4202" s="2">
        <v>27.14</v>
      </c>
      <c r="F4202" s="2">
        <v>2</v>
      </c>
      <c r="G4202" s="2" t="s">
        <v>11</v>
      </c>
    </row>
    <row r="4203" spans="1:8" x14ac:dyDescent="0.2">
      <c r="A4203" s="2" t="s">
        <v>3780</v>
      </c>
      <c r="B4203" s="2" t="s">
        <v>815</v>
      </c>
      <c r="C4203" s="2">
        <v>545.63919999999996</v>
      </c>
      <c r="D4203" s="2">
        <f>HYPERLINK("http://mcb-m6.bioreg.kyushu-u.ac.jp/M3/20110421/F51016/1532/1", 69)</f>
        <v>69</v>
      </c>
      <c r="E4203" s="2">
        <v>33.880000000000003</v>
      </c>
      <c r="F4203" s="2">
        <v>2</v>
      </c>
      <c r="G4203" s="2" t="s">
        <v>11</v>
      </c>
    </row>
    <row r="4204" spans="1:8" x14ac:dyDescent="0.2">
      <c r="A4204" s="2" t="s">
        <v>3780</v>
      </c>
      <c r="B4204" s="2" t="s">
        <v>815</v>
      </c>
      <c r="C4204" s="2">
        <v>546.36220000000003</v>
      </c>
      <c r="D4204" s="2">
        <f>HYPERLINK("http://mcb-m6.bioreg.kyushu-u.ac.jp/M3/20110421/F51047/1199/1", 36.29)</f>
        <v>36.29</v>
      </c>
      <c r="E4204" s="2">
        <v>8.65</v>
      </c>
      <c r="F4204" s="2">
        <v>2</v>
      </c>
      <c r="G4204" s="2" t="s">
        <v>12</v>
      </c>
    </row>
    <row r="4205" spans="1:8" x14ac:dyDescent="0.2">
      <c r="A4205" s="2" t="s">
        <v>3780</v>
      </c>
      <c r="B4205" s="2" t="s">
        <v>815</v>
      </c>
      <c r="C4205" s="2">
        <v>545.84059999999999</v>
      </c>
      <c r="D4205" s="2">
        <f>HYPERLINK("http://mcb-m6.bioreg.kyushu-u.ac.jp/M3/20110421/F51026/1435/1", 36.8)</f>
        <v>36.799999999999997</v>
      </c>
      <c r="E4205" s="2">
        <v>11.14</v>
      </c>
      <c r="F4205" s="2">
        <v>2</v>
      </c>
      <c r="G4205" s="2" t="s">
        <v>12</v>
      </c>
    </row>
    <row r="4206" spans="1:8" x14ac:dyDescent="0.2">
      <c r="A4206" s="2" t="s">
        <v>3780</v>
      </c>
      <c r="B4206" s="2" t="s">
        <v>815</v>
      </c>
      <c r="C4206" s="2">
        <v>546.27670000000001</v>
      </c>
      <c r="D4206" s="2">
        <f>HYPERLINK("http://mcb-m6.bioreg.kyushu-u.ac.jp/M3/20110421/F51061/1158/1", 59.18)</f>
        <v>59.18</v>
      </c>
      <c r="E4206" s="2">
        <v>28.81</v>
      </c>
      <c r="F4206" s="2">
        <v>2</v>
      </c>
      <c r="G4206" s="2" t="s">
        <v>12</v>
      </c>
    </row>
    <row r="4207" spans="1:8" x14ac:dyDescent="0.2">
      <c r="A4207" s="2" t="s">
        <v>3780</v>
      </c>
      <c r="B4207" s="2" t="s">
        <v>815</v>
      </c>
      <c r="C4207" s="2">
        <v>545.85360000000003</v>
      </c>
      <c r="D4207" s="2">
        <f>HYPERLINK("http://mcb-m6.bioreg.kyushu-u.ac.jp/M3/20110421/F51043/1142/1", 60.46)</f>
        <v>60.46</v>
      </c>
      <c r="E4207" s="2">
        <v>19.899999999999999</v>
      </c>
      <c r="F4207" s="2">
        <v>2</v>
      </c>
      <c r="G4207" s="2" t="s">
        <v>12</v>
      </c>
    </row>
    <row r="4208" spans="1:8" x14ac:dyDescent="0.2">
      <c r="A4208" s="2" t="s">
        <v>3780</v>
      </c>
      <c r="B4208" s="2" t="s">
        <v>815</v>
      </c>
      <c r="C4208" s="2">
        <v>553.72609999999997</v>
      </c>
      <c r="D4208" s="2">
        <f>HYPERLINK("http://mcb-m6.bioreg.kyushu-u.ac.jp/M3/20110421/F51021/1086/1", 65.6)</f>
        <v>65.599999999999994</v>
      </c>
      <c r="E4208" s="2">
        <v>40.07</v>
      </c>
      <c r="F4208" s="2">
        <v>2</v>
      </c>
      <c r="G4208" s="2" t="s">
        <v>12</v>
      </c>
      <c r="H4208" s="2" t="s">
        <v>4920</v>
      </c>
    </row>
    <row r="4209" spans="1:8" x14ac:dyDescent="0.2">
      <c r="A4209" s="2" t="s">
        <v>3780</v>
      </c>
      <c r="B4209" s="2" t="s">
        <v>815</v>
      </c>
      <c r="C4209" s="2">
        <v>545.81460000000004</v>
      </c>
      <c r="D4209" s="2">
        <f>HYPERLINK("http://mcb-m6.bioreg.kyushu-u.ac.jp/M3/20110421/F51045/1322/1", 68.64)</f>
        <v>68.64</v>
      </c>
      <c r="E4209" s="2">
        <v>28.19</v>
      </c>
      <c r="F4209" s="2">
        <v>2</v>
      </c>
      <c r="G4209" s="2" t="s">
        <v>12</v>
      </c>
    </row>
    <row r="4210" spans="1:8" x14ac:dyDescent="0.2">
      <c r="A4210" s="2" t="s">
        <v>3780</v>
      </c>
      <c r="B4210" s="2" t="s">
        <v>815</v>
      </c>
      <c r="C4210" s="2">
        <v>545.74469999999997</v>
      </c>
      <c r="D4210" s="2">
        <f>HYPERLINK("http://mcb-m6.bioreg.kyushu-u.ac.jp/M3/20110421/F51061/1156/1", 72.07)</f>
        <v>72.069999999999993</v>
      </c>
      <c r="E4210" s="2">
        <v>38.5</v>
      </c>
      <c r="F4210" s="2">
        <v>2</v>
      </c>
      <c r="G4210" s="2" t="s">
        <v>12</v>
      </c>
    </row>
    <row r="4211" spans="1:8" x14ac:dyDescent="0.2">
      <c r="A4211" s="2" t="s">
        <v>3780</v>
      </c>
      <c r="B4211" s="2" t="s">
        <v>815</v>
      </c>
      <c r="C4211" s="2">
        <v>553.52719999999999</v>
      </c>
      <c r="D4211" s="2">
        <f>HYPERLINK("http://mcb-m6.bioreg.kyushu-u.ac.jp/M3/20110427/F51115/1266/1", 36.07)</f>
        <v>36.07</v>
      </c>
      <c r="E4211" s="2">
        <v>11.64</v>
      </c>
      <c r="F4211" s="2">
        <v>2</v>
      </c>
      <c r="G4211" s="2" t="s">
        <v>13</v>
      </c>
      <c r="H4211" s="2" t="s">
        <v>4920</v>
      </c>
    </row>
    <row r="4212" spans="1:8" x14ac:dyDescent="0.2">
      <c r="A4212" s="2" t="s">
        <v>3780</v>
      </c>
      <c r="B4212" s="2" t="s">
        <v>815</v>
      </c>
      <c r="C4212" s="2">
        <v>553.6241</v>
      </c>
      <c r="D4212" s="2">
        <f>HYPERLINK("http://mcb-m6.bioreg.kyushu-u.ac.jp/M3/20110428/F51127/988/1", 43.69)</f>
        <v>43.69</v>
      </c>
      <c r="E4212" s="2">
        <v>22.05</v>
      </c>
      <c r="F4212" s="2">
        <v>2</v>
      </c>
      <c r="G4212" s="2" t="s">
        <v>13</v>
      </c>
      <c r="H4212" s="2" t="s">
        <v>4920</v>
      </c>
    </row>
    <row r="4213" spans="1:8" x14ac:dyDescent="0.2">
      <c r="A4213" s="2" t="s">
        <v>3780</v>
      </c>
      <c r="B4213" s="2" t="s">
        <v>815</v>
      </c>
      <c r="C4213" s="2">
        <v>545.66110000000003</v>
      </c>
      <c r="D4213" s="2">
        <f>HYPERLINK("http://mcb-m6.bioreg.kyushu-u.ac.jp/M3/20110427/F51111/1332/1", 48.41)</f>
        <v>48.41</v>
      </c>
      <c r="E4213" s="2">
        <v>23.79</v>
      </c>
      <c r="F4213" s="2">
        <v>2</v>
      </c>
      <c r="G4213" s="2" t="s">
        <v>13</v>
      </c>
    </row>
    <row r="4214" spans="1:8" x14ac:dyDescent="0.2">
      <c r="A4214" s="2" t="s">
        <v>3780</v>
      </c>
      <c r="B4214" s="2" t="s">
        <v>815</v>
      </c>
      <c r="C4214" s="2">
        <v>553.66020000000003</v>
      </c>
      <c r="D4214" s="2">
        <f>HYPERLINK("http://mcb-m6.bioreg.kyushu-u.ac.jp/M3/20110427/F51113/1232/1", 59.86)</f>
        <v>59.86</v>
      </c>
      <c r="E4214" s="2">
        <v>32.549999999999997</v>
      </c>
      <c r="F4214" s="2">
        <v>2</v>
      </c>
      <c r="G4214" s="2" t="s">
        <v>13</v>
      </c>
      <c r="H4214" s="2" t="s">
        <v>4920</v>
      </c>
    </row>
    <row r="4215" spans="1:8" x14ac:dyDescent="0.2">
      <c r="A4215" s="2" t="s">
        <v>3780</v>
      </c>
      <c r="B4215" s="2" t="s">
        <v>815</v>
      </c>
      <c r="C4215" s="2">
        <v>553.59519999999998</v>
      </c>
      <c r="D4215" s="2">
        <f>HYPERLINK("http://mcb-m6.bioreg.kyushu-u.ac.jp/M3/20110427/F51116/1250/1", 62)</f>
        <v>62</v>
      </c>
      <c r="E4215" s="2">
        <v>39.01</v>
      </c>
      <c r="F4215" s="2">
        <v>2</v>
      </c>
      <c r="G4215" s="2" t="s">
        <v>13</v>
      </c>
      <c r="H4215" s="2" t="s">
        <v>4920</v>
      </c>
    </row>
    <row r="4216" spans="1:8" x14ac:dyDescent="0.2">
      <c r="A4216" s="2" t="s">
        <v>3780</v>
      </c>
      <c r="B4216" s="2" t="s">
        <v>815</v>
      </c>
      <c r="C4216" s="2">
        <v>545.62959999999998</v>
      </c>
      <c r="D4216" s="2">
        <f>HYPERLINK("http://mcb-m6.bioreg.kyushu-u.ac.jp/M3/20110427/F51116/1217/1", 62.24)</f>
        <v>62.24</v>
      </c>
      <c r="E4216" s="2">
        <v>28.62</v>
      </c>
      <c r="F4216" s="2">
        <v>2</v>
      </c>
      <c r="G4216" s="2" t="s">
        <v>13</v>
      </c>
    </row>
    <row r="4217" spans="1:8" x14ac:dyDescent="0.2">
      <c r="A4217" s="2" t="s">
        <v>3780</v>
      </c>
      <c r="B4217" s="2" t="s">
        <v>815</v>
      </c>
      <c r="C4217" s="2">
        <v>553.57759999999996</v>
      </c>
      <c r="D4217" s="2">
        <f>HYPERLINK("http://mcb-m6.bioreg.kyushu-u.ac.jp/M3/20110427/F51114/1174/1", 65.02)</f>
        <v>65.02</v>
      </c>
      <c r="E4217" s="2">
        <v>39.130000000000003</v>
      </c>
      <c r="F4217" s="2">
        <v>2</v>
      </c>
      <c r="G4217" s="2" t="s">
        <v>13</v>
      </c>
      <c r="H4217" s="2" t="s">
        <v>4920</v>
      </c>
    </row>
    <row r="4218" spans="1:8" x14ac:dyDescent="0.2">
      <c r="A4218" s="2" t="s">
        <v>3780</v>
      </c>
      <c r="B4218" s="2" t="s">
        <v>815</v>
      </c>
      <c r="C4218" s="2">
        <v>545.65470000000005</v>
      </c>
      <c r="D4218" s="2">
        <f>HYPERLINK("http://mcb-m6.bioreg.kyushu-u.ac.jp/M3/20110427/F51113/1207/1", 72.57)</f>
        <v>72.569999999999993</v>
      </c>
      <c r="E4218" s="2">
        <v>36.21</v>
      </c>
      <c r="F4218" s="2">
        <v>2</v>
      </c>
      <c r="G4218" s="2" t="s">
        <v>13</v>
      </c>
    </row>
    <row r="4219" spans="1:8" x14ac:dyDescent="0.2">
      <c r="A4219" s="2" t="s">
        <v>3780</v>
      </c>
      <c r="B4219" s="2" t="s">
        <v>815</v>
      </c>
      <c r="C4219" s="2">
        <v>553.55719999999997</v>
      </c>
      <c r="D4219" s="2">
        <f>HYPERLINK("http://mcb-m6.bioreg.kyushu-u.ac.jp/M3/20110427/F51124/1288/1", 38.27)</f>
        <v>38.270000000000003</v>
      </c>
      <c r="E4219" s="2">
        <v>16.7</v>
      </c>
      <c r="F4219" s="2">
        <v>2</v>
      </c>
      <c r="G4219" s="2" t="s">
        <v>14</v>
      </c>
      <c r="H4219" s="2" t="s">
        <v>4920</v>
      </c>
    </row>
    <row r="4220" spans="1:8" x14ac:dyDescent="0.2">
      <c r="A4220" s="2" t="s">
        <v>3780</v>
      </c>
      <c r="B4220" s="2" t="s">
        <v>815</v>
      </c>
      <c r="C4220" s="2">
        <v>545.67269999999996</v>
      </c>
      <c r="D4220" s="2">
        <f>HYPERLINK("http://mcb-m6.bioreg.kyushu-u.ac.jp/M3/20110427/F51123/1225/1", 41.31)</f>
        <v>41.31</v>
      </c>
      <c r="E4220" s="2">
        <v>14.47</v>
      </c>
      <c r="F4220" s="2">
        <v>2</v>
      </c>
      <c r="G4220" s="2" t="s">
        <v>14</v>
      </c>
    </row>
    <row r="4221" spans="1:8" x14ac:dyDescent="0.2">
      <c r="A4221" s="2" t="s">
        <v>3780</v>
      </c>
      <c r="B4221" s="2" t="s">
        <v>815</v>
      </c>
      <c r="C4221" s="2">
        <v>554.12019999999995</v>
      </c>
      <c r="D4221" s="2">
        <f>HYPERLINK("http://mcb-m6.bioreg.kyushu-u.ac.jp/M3/20110427/F51123/1256/1", 53.33)</f>
        <v>53.33</v>
      </c>
      <c r="E4221" s="2">
        <v>27.55</v>
      </c>
      <c r="F4221" s="2">
        <v>2</v>
      </c>
      <c r="G4221" s="2" t="s">
        <v>14</v>
      </c>
      <c r="H4221" s="2" t="s">
        <v>4920</v>
      </c>
    </row>
    <row r="4222" spans="1:8" x14ac:dyDescent="0.2">
      <c r="A4222" s="2" t="s">
        <v>3780</v>
      </c>
      <c r="B4222" s="2" t="s">
        <v>815</v>
      </c>
      <c r="C4222" s="2">
        <v>553.61019999999996</v>
      </c>
      <c r="D4222" s="2">
        <f>HYPERLINK("http://mcb-m6.bioreg.kyushu-u.ac.jp/M3/20110427/F51120/1517/1", 54.21)</f>
        <v>54.21</v>
      </c>
      <c r="E4222" s="2">
        <v>28.89</v>
      </c>
      <c r="F4222" s="2">
        <v>2</v>
      </c>
      <c r="G4222" s="2" t="s">
        <v>14</v>
      </c>
      <c r="H4222" s="2" t="s">
        <v>4920</v>
      </c>
    </row>
    <row r="4223" spans="1:8" x14ac:dyDescent="0.2">
      <c r="A4223" s="2" t="s">
        <v>3780</v>
      </c>
      <c r="B4223" s="2" t="s">
        <v>815</v>
      </c>
      <c r="C4223" s="2">
        <v>545.56460000000004</v>
      </c>
      <c r="D4223" s="2">
        <f>HYPERLINK("http://mcb-m6.bioreg.kyushu-u.ac.jp/M3/20110427/F51122/1469/1", 60.11)</f>
        <v>60.11</v>
      </c>
      <c r="E4223" s="2">
        <v>29.82</v>
      </c>
      <c r="F4223" s="2">
        <v>2</v>
      </c>
      <c r="G4223" s="2" t="s">
        <v>14</v>
      </c>
    </row>
    <row r="4224" spans="1:8" x14ac:dyDescent="0.2">
      <c r="A4224" s="2" t="s">
        <v>3780</v>
      </c>
      <c r="B4224" s="2" t="s">
        <v>815</v>
      </c>
      <c r="C4224" s="2">
        <v>545.5702</v>
      </c>
      <c r="D4224" s="2">
        <f>HYPERLINK("http://mcb-m6.bioreg.kyushu-u.ac.jp/M3/20110428/F51128/1121/1", 64.06)</f>
        <v>64.06</v>
      </c>
      <c r="E4224" s="2">
        <v>33.58</v>
      </c>
      <c r="F4224" s="2">
        <v>2</v>
      </c>
      <c r="G4224" s="2" t="s">
        <v>14</v>
      </c>
    </row>
    <row r="4225" spans="1:9" x14ac:dyDescent="0.2">
      <c r="A4225" s="2" t="s">
        <v>3780</v>
      </c>
      <c r="B4225" s="2" t="s">
        <v>815</v>
      </c>
      <c r="C4225" s="2">
        <v>554.03769999999997</v>
      </c>
      <c r="D4225" s="2">
        <f>HYPERLINK("http://mcb-m6.bioreg.kyushu-u.ac.jp/M3/20110428/F51126/1368/1", 68.84)</f>
        <v>68.84</v>
      </c>
      <c r="E4225" s="2">
        <v>39.74</v>
      </c>
      <c r="F4225" s="2">
        <v>2</v>
      </c>
      <c r="G4225" s="2" t="s">
        <v>14</v>
      </c>
      <c r="H4225" s="2" t="s">
        <v>4920</v>
      </c>
    </row>
    <row r="4226" spans="1:9" x14ac:dyDescent="0.2">
      <c r="A4226" s="2" t="s">
        <v>3780</v>
      </c>
      <c r="B4226" s="2" t="s">
        <v>815</v>
      </c>
      <c r="C4226" s="2">
        <v>553.61469999999997</v>
      </c>
      <c r="D4226" s="2">
        <f>HYPERLINK("http://mcb-m6.bioreg.kyushu-u.ac.jp/M3/20110427/F51122/1504/1", 69.12)</f>
        <v>69.12</v>
      </c>
      <c r="E4226" s="2">
        <v>40.590000000000003</v>
      </c>
      <c r="F4226" s="2">
        <v>2</v>
      </c>
      <c r="G4226" s="2" t="s">
        <v>14</v>
      </c>
      <c r="H4226" s="2" t="s">
        <v>4920</v>
      </c>
    </row>
    <row r="4227" spans="1:9" x14ac:dyDescent="0.2">
      <c r="A4227" s="2" t="s">
        <v>3535</v>
      </c>
      <c r="B4227" s="2" t="s">
        <v>389</v>
      </c>
      <c r="C4227" s="2">
        <v>633.35670000000005</v>
      </c>
      <c r="D4227" s="2">
        <f>HYPERLINK("http://mcb-m6.bioreg.kyushu-u.ac.jp/M3/20110421/F51034/1470/1", 41.37)</f>
        <v>41.37</v>
      </c>
      <c r="E4227" s="2">
        <v>21.19</v>
      </c>
      <c r="F4227" s="2">
        <v>2</v>
      </c>
      <c r="G4227" s="2" t="s">
        <v>11</v>
      </c>
      <c r="H4227" s="2" t="s">
        <v>4908</v>
      </c>
      <c r="I4227" s="2" t="s">
        <v>4903</v>
      </c>
    </row>
    <row r="4228" spans="1:9" x14ac:dyDescent="0.2">
      <c r="A4228" s="2" t="s">
        <v>3535</v>
      </c>
      <c r="B4228" s="2" t="s">
        <v>389</v>
      </c>
      <c r="C4228" s="2">
        <v>633.28120000000001</v>
      </c>
      <c r="D4228" s="2">
        <f>HYPERLINK("http://mcb-m6.bioreg.kyushu-u.ac.jp/M3/20110421/F51021/1483/1", 41.26)</f>
        <v>41.26</v>
      </c>
      <c r="E4228" s="2">
        <v>24.43</v>
      </c>
      <c r="F4228" s="2">
        <v>2</v>
      </c>
      <c r="G4228" s="2" t="s">
        <v>12</v>
      </c>
      <c r="H4228" s="2" t="s">
        <v>4908</v>
      </c>
      <c r="I4228" s="2" t="s">
        <v>4903</v>
      </c>
    </row>
    <row r="4229" spans="1:9" x14ac:dyDescent="0.2">
      <c r="A4229" s="2" t="s">
        <v>4134</v>
      </c>
      <c r="B4229" s="2" t="s">
        <v>1677</v>
      </c>
      <c r="C4229" s="2">
        <v>902.77670000000001</v>
      </c>
      <c r="D4229" s="2">
        <f>HYPERLINK("http://mcb-m6.bioreg.kyushu-u.ac.jp/M3/20110404/F50756/2704/1", 40.18)</f>
        <v>40.18</v>
      </c>
      <c r="E4229" s="2">
        <v>34.86</v>
      </c>
      <c r="F4229" s="2">
        <v>2</v>
      </c>
      <c r="G4229" s="2" t="s">
        <v>9</v>
      </c>
    </row>
    <row r="4230" spans="1:9" x14ac:dyDescent="0.2">
      <c r="A4230" s="2" t="s">
        <v>4134</v>
      </c>
      <c r="B4230" s="2" t="s">
        <v>1677</v>
      </c>
      <c r="C4230" s="2">
        <v>903.27809999999999</v>
      </c>
      <c r="D4230" s="2">
        <f>HYPERLINK("http://mcb-m6.bioreg.kyushu-u.ac.jp/M3/20110404/F50756/2705/1", 104.64)</f>
        <v>104.64</v>
      </c>
      <c r="E4230" s="2">
        <v>97.2</v>
      </c>
      <c r="F4230" s="2">
        <v>2</v>
      </c>
      <c r="G4230" s="2" t="s">
        <v>9</v>
      </c>
    </row>
    <row r="4231" spans="1:9" x14ac:dyDescent="0.2">
      <c r="A4231" s="2" t="s">
        <v>4134</v>
      </c>
      <c r="B4231" s="2" t="s">
        <v>1677</v>
      </c>
      <c r="C4231" s="2">
        <v>903.33169999999996</v>
      </c>
      <c r="D4231" s="2">
        <f>HYPERLINK("http://mcb-m6.bioreg.kyushu-u.ac.jp/M3/20110404/F50761/2509/1", 97.35)</f>
        <v>97.35</v>
      </c>
      <c r="E4231" s="2">
        <v>82</v>
      </c>
      <c r="F4231" s="2">
        <v>2</v>
      </c>
      <c r="G4231" s="2" t="s">
        <v>10</v>
      </c>
    </row>
    <row r="4232" spans="1:9" x14ac:dyDescent="0.2">
      <c r="A4232" s="2" t="s">
        <v>4134</v>
      </c>
      <c r="B4232" s="2" t="s">
        <v>1677</v>
      </c>
      <c r="C4232" s="2">
        <v>903.43320000000006</v>
      </c>
      <c r="D4232" s="2">
        <f>HYPERLINK("http://mcb-m6.bioreg.kyushu-u.ac.jp/M3/20110421/F51044/2743/1", 107.7)</f>
        <v>107.7</v>
      </c>
      <c r="E4232" s="2">
        <v>94.07</v>
      </c>
      <c r="F4232" s="2">
        <v>2</v>
      </c>
      <c r="G4232" s="2" t="s">
        <v>12</v>
      </c>
    </row>
    <row r="4233" spans="1:9" x14ac:dyDescent="0.2">
      <c r="A4233" s="2" t="s">
        <v>4134</v>
      </c>
      <c r="B4233" s="2" t="s">
        <v>1677</v>
      </c>
      <c r="C4233" s="2">
        <v>903.05319999999995</v>
      </c>
      <c r="D4233" s="2">
        <f>HYPERLINK("http://mcb-m6.bioreg.kyushu-u.ac.jp/M3/20110427/F51114/2865/1", 132.53)</f>
        <v>132.53</v>
      </c>
      <c r="E4233" s="2">
        <v>115.1</v>
      </c>
      <c r="F4233" s="2">
        <v>2</v>
      </c>
      <c r="G4233" s="2" t="s">
        <v>13</v>
      </c>
    </row>
    <row r="4234" spans="1:9" x14ac:dyDescent="0.2">
      <c r="A4234" s="2" t="s">
        <v>4481</v>
      </c>
      <c r="B4234" s="2" t="s">
        <v>2431</v>
      </c>
      <c r="C4234" s="2">
        <v>736.93320000000006</v>
      </c>
      <c r="D4234" s="2">
        <f>HYPERLINK("http://mcb-m6.bioreg.kyushu-u.ac.jp/M3/20110404/F50756/1950/1", 85.98)</f>
        <v>85.98</v>
      </c>
      <c r="E4234" s="2">
        <v>71.849999999999994</v>
      </c>
      <c r="F4234" s="2">
        <v>2</v>
      </c>
      <c r="G4234" s="2" t="s">
        <v>9</v>
      </c>
    </row>
    <row r="4235" spans="1:9" x14ac:dyDescent="0.2">
      <c r="A4235" s="2" t="s">
        <v>4481</v>
      </c>
      <c r="B4235" s="2" t="s">
        <v>2431</v>
      </c>
      <c r="C4235" s="2">
        <v>736.33069999999998</v>
      </c>
      <c r="D4235" s="2">
        <f>HYPERLINK("http://mcb-m6.bioreg.kyushu-u.ac.jp/M3/20110404/F50756/1948/1", 100.99)</f>
        <v>100.99</v>
      </c>
      <c r="E4235" s="2">
        <v>86.88</v>
      </c>
      <c r="F4235" s="2">
        <v>2</v>
      </c>
      <c r="G4235" s="2" t="s">
        <v>9</v>
      </c>
    </row>
    <row r="4236" spans="1:9" x14ac:dyDescent="0.2">
      <c r="A4236" s="2" t="s">
        <v>4481</v>
      </c>
      <c r="B4236" s="2" t="s">
        <v>2431</v>
      </c>
      <c r="C4236" s="2">
        <v>736.61069999999995</v>
      </c>
      <c r="D4236" s="2">
        <f>HYPERLINK("http://mcb-m6.bioreg.kyushu-u.ac.jp/M3/20110404/F50762/1792/1", 106.78)</f>
        <v>106.78</v>
      </c>
      <c r="E4236" s="2">
        <v>90.71</v>
      </c>
      <c r="F4236" s="2">
        <v>2</v>
      </c>
      <c r="G4236" s="2" t="s">
        <v>9</v>
      </c>
    </row>
    <row r="4237" spans="1:9" x14ac:dyDescent="0.2">
      <c r="A4237" s="2" t="s">
        <v>4481</v>
      </c>
      <c r="B4237" s="2" t="s">
        <v>2431</v>
      </c>
      <c r="C4237" s="2">
        <v>736.16110000000003</v>
      </c>
      <c r="D4237" s="2">
        <f>HYPERLINK("http://mcb-m6.bioreg.kyushu-u.ac.jp/M3/20110404/F50761/1819/1", 65.62)</f>
        <v>65.62</v>
      </c>
      <c r="E4237" s="2">
        <v>44.07</v>
      </c>
      <c r="F4237" s="2">
        <v>2</v>
      </c>
      <c r="G4237" s="2" t="s">
        <v>10</v>
      </c>
    </row>
    <row r="4238" spans="1:9" x14ac:dyDescent="0.2">
      <c r="A4238" s="2" t="s">
        <v>4481</v>
      </c>
      <c r="B4238" s="2" t="s">
        <v>2431</v>
      </c>
      <c r="C4238" s="2">
        <v>736.3356</v>
      </c>
      <c r="D4238" s="2">
        <f>HYPERLINK("http://mcb-m6.bioreg.kyushu-u.ac.jp/M3/20110427/F51114/2025/1", 89.03)</f>
        <v>89.03</v>
      </c>
      <c r="E4238" s="2">
        <v>73.16</v>
      </c>
      <c r="F4238" s="2">
        <v>2</v>
      </c>
      <c r="G4238" s="2" t="s">
        <v>13</v>
      </c>
    </row>
    <row r="4239" spans="1:9" x14ac:dyDescent="0.2">
      <c r="A4239" s="2" t="s">
        <v>7845</v>
      </c>
      <c r="B4239" s="2" t="s">
        <v>6820</v>
      </c>
      <c r="C4239" s="2">
        <v>608.91520000000003</v>
      </c>
      <c r="D4239" s="2">
        <f>HYPERLINK("http://mcb-m6.bioreg.kyushu-u.ac.jp/M3/20110404/F50768/1412/1", 45.99)</f>
        <v>45.99</v>
      </c>
      <c r="E4239" s="2">
        <v>29.3</v>
      </c>
      <c r="F4239" s="2">
        <v>2</v>
      </c>
      <c r="G4239" s="2" t="s">
        <v>10</v>
      </c>
    </row>
    <row r="4240" spans="1:9" x14ac:dyDescent="0.2">
      <c r="A4240" s="2" t="s">
        <v>7845</v>
      </c>
      <c r="B4240" s="2" t="s">
        <v>6900</v>
      </c>
      <c r="C4240" s="2">
        <v>834.3356</v>
      </c>
      <c r="D4240" s="2">
        <f>HYPERLINK("http://mcb-m6.bioreg.kyushu-u.ac.jp/M3/20110404/F50768/2220/1", 55.21)</f>
        <v>55.21</v>
      </c>
      <c r="E4240" s="2">
        <v>43.38</v>
      </c>
      <c r="F4240" s="2">
        <v>2</v>
      </c>
      <c r="G4240" s="2" t="s">
        <v>10</v>
      </c>
    </row>
    <row r="4241" spans="1:9" x14ac:dyDescent="0.2">
      <c r="A4241" s="2" t="s">
        <v>7845</v>
      </c>
      <c r="B4241" s="2" t="s">
        <v>6900</v>
      </c>
      <c r="C4241" s="2">
        <v>834.0702</v>
      </c>
      <c r="D4241" s="2">
        <f>HYPERLINK("http://mcb-m6.bioreg.kyushu-u.ac.jp/M3/20110428/F51128/2426/1", 60.69)</f>
        <v>60.69</v>
      </c>
      <c r="E4241" s="2">
        <v>54.63</v>
      </c>
      <c r="F4241" s="2">
        <v>2</v>
      </c>
      <c r="G4241" s="2" t="s">
        <v>14</v>
      </c>
    </row>
    <row r="4242" spans="1:9" x14ac:dyDescent="0.2">
      <c r="A4242" s="2" t="s">
        <v>8080</v>
      </c>
      <c r="B4242" s="2" t="s">
        <v>7403</v>
      </c>
      <c r="C4242" s="2">
        <v>799.66970000000003</v>
      </c>
      <c r="D4242" s="2">
        <f>HYPERLINK("http://mcb-m6.bioreg.kyushu-u.ac.jp/M3/20110427/F51115/2261/1", 59.83)</f>
        <v>59.83</v>
      </c>
      <c r="E4242" s="2">
        <v>28.51</v>
      </c>
      <c r="F4242" s="2">
        <v>2</v>
      </c>
      <c r="G4242" s="2" t="s">
        <v>13</v>
      </c>
    </row>
    <row r="4243" spans="1:9" x14ac:dyDescent="0.2">
      <c r="A4243" s="2" t="s">
        <v>7641</v>
      </c>
      <c r="B4243" s="2" t="s">
        <v>6189</v>
      </c>
      <c r="C4243" s="2">
        <v>832.54300000000001</v>
      </c>
      <c r="D4243" s="2">
        <f>HYPERLINK("http://mcb-m6.bioreg.kyushu-u.ac.jp/M3/20110404/F50779/530/1", 45.97)</f>
        <v>45.97</v>
      </c>
      <c r="E4243" s="2">
        <v>24.94</v>
      </c>
      <c r="F4243" s="2">
        <v>1</v>
      </c>
      <c r="G4243" s="2" t="s">
        <v>9</v>
      </c>
    </row>
    <row r="4244" spans="1:9" x14ac:dyDescent="0.2">
      <c r="A4244" s="2" t="s">
        <v>4453</v>
      </c>
      <c r="B4244" s="2" t="s">
        <v>2363</v>
      </c>
      <c r="C4244" s="2">
        <v>1146.489</v>
      </c>
      <c r="D4244" s="2">
        <f>HYPERLINK("http://mcb-m6.bioreg.kyushu-u.ac.jp/M3/20110404/F50751/1631/1", 56.4)</f>
        <v>56.4</v>
      </c>
      <c r="E4244" s="2">
        <v>50.55</v>
      </c>
      <c r="F4244" s="2">
        <v>1</v>
      </c>
      <c r="G4244" s="2" t="s">
        <v>9</v>
      </c>
    </row>
    <row r="4245" spans="1:9" x14ac:dyDescent="0.2">
      <c r="A4245" s="2" t="s">
        <v>4500</v>
      </c>
      <c r="B4245" s="2" t="s">
        <v>2484</v>
      </c>
      <c r="C4245" s="2">
        <v>823.17859999999996</v>
      </c>
      <c r="D4245" s="2">
        <f>HYPERLINK("http://mcb-m6.bioreg.kyushu-u.ac.jp/M3/20110427/F51108/2363/1", 95.38)</f>
        <v>95.38</v>
      </c>
      <c r="E4245" s="2">
        <v>78.03</v>
      </c>
      <c r="F4245" s="2">
        <v>2</v>
      </c>
      <c r="G4245" s="2" t="s">
        <v>13</v>
      </c>
    </row>
    <row r="4246" spans="1:9" x14ac:dyDescent="0.2">
      <c r="A4246" s="2" t="s">
        <v>4625</v>
      </c>
      <c r="B4246" s="2" t="s">
        <v>6119</v>
      </c>
      <c r="C4246" s="2">
        <v>517.35419999999999</v>
      </c>
      <c r="D4246" s="2">
        <f>HYPERLINK("http://mcb-m6.bioreg.kyushu-u.ac.jp/M3/20110404/F50764/1052/1", 43.38)</f>
        <v>43.38</v>
      </c>
      <c r="E4246" s="2">
        <v>9.91</v>
      </c>
      <c r="F4246" s="2">
        <v>2</v>
      </c>
      <c r="G4246" s="2" t="s">
        <v>9</v>
      </c>
    </row>
    <row r="4247" spans="1:9" x14ac:dyDescent="0.2">
      <c r="A4247" s="4" t="s">
        <v>3777</v>
      </c>
      <c r="B4247" s="2" t="s">
        <v>804</v>
      </c>
      <c r="C4247" s="2">
        <v>685.69820000000004</v>
      </c>
      <c r="D4247" s="2">
        <f>HYPERLINK("http://mcb-m6.bioreg.kyushu-u.ac.jp/M3/20110404/F50755/1680/1", 71.29)</f>
        <v>71.290000000000006</v>
      </c>
      <c r="E4247" s="2">
        <v>54.5</v>
      </c>
      <c r="F4247" s="2">
        <v>2</v>
      </c>
      <c r="G4247" s="2" t="s">
        <v>9</v>
      </c>
    </row>
    <row r="4248" spans="1:9" x14ac:dyDescent="0.2">
      <c r="A4248" s="4" t="s">
        <v>3777</v>
      </c>
      <c r="B4248" s="2" t="s">
        <v>804</v>
      </c>
      <c r="C4248" s="2">
        <v>1369.557</v>
      </c>
      <c r="D4248" s="2">
        <f>HYPERLINK("http://mcb-m6.bioreg.kyushu-u.ac.jp/M3/20110404/F50755/1678/1", 71.44)</f>
        <v>71.44</v>
      </c>
      <c r="E4248" s="2">
        <v>43.71</v>
      </c>
      <c r="F4248" s="2">
        <v>1</v>
      </c>
      <c r="G4248" s="2" t="s">
        <v>9</v>
      </c>
    </row>
    <row r="4249" spans="1:9" x14ac:dyDescent="0.2">
      <c r="A4249" s="4" t="s">
        <v>3777</v>
      </c>
      <c r="B4249" s="2" t="s">
        <v>804</v>
      </c>
      <c r="C4249" s="2">
        <v>685.37159999999994</v>
      </c>
      <c r="D4249" s="2">
        <f>HYPERLINK("http://mcb-m6.bioreg.kyushu-u.ac.jp/M3/20110404/F50760/1576/1", 95.52)</f>
        <v>95.52</v>
      </c>
      <c r="E4249" s="2">
        <v>74.569999999999993</v>
      </c>
      <c r="F4249" s="2">
        <v>2</v>
      </c>
      <c r="G4249" s="2" t="s">
        <v>10</v>
      </c>
    </row>
    <row r="4250" spans="1:9" x14ac:dyDescent="0.2">
      <c r="A4250" s="4" t="s">
        <v>3777</v>
      </c>
      <c r="B4250" s="2" t="s">
        <v>804</v>
      </c>
      <c r="C4250" s="2">
        <v>685.33219999999994</v>
      </c>
      <c r="D4250" s="2">
        <f>HYPERLINK("http://mcb-m6.bioreg.kyushu-u.ac.jp/M3/20110421/F51024/1881/1", 70.07)</f>
        <v>70.069999999999993</v>
      </c>
      <c r="E4250" s="2">
        <v>50.92</v>
      </c>
      <c r="F4250" s="2">
        <v>2</v>
      </c>
      <c r="G4250" s="2" t="s">
        <v>12</v>
      </c>
    </row>
    <row r="4251" spans="1:9" x14ac:dyDescent="0.2">
      <c r="A4251" s="4" t="s">
        <v>3777</v>
      </c>
      <c r="B4251" s="2" t="s">
        <v>804</v>
      </c>
      <c r="C4251" s="2">
        <v>685.0607</v>
      </c>
      <c r="D4251" s="2">
        <f>HYPERLINK("http://mcb-m6.bioreg.kyushu-u.ac.jp/M3/20110427/F51122/1915/1", 48.78)</f>
        <v>48.78</v>
      </c>
      <c r="E4251" s="2">
        <v>33.229999999999997</v>
      </c>
      <c r="F4251" s="2">
        <v>2</v>
      </c>
      <c r="G4251" s="2" t="s">
        <v>14</v>
      </c>
    </row>
    <row r="4252" spans="1:9" x14ac:dyDescent="0.2">
      <c r="A4252" s="4" t="s">
        <v>3766</v>
      </c>
      <c r="B4252" s="2" t="s">
        <v>783</v>
      </c>
      <c r="C4252" s="2">
        <v>910.45619999999997</v>
      </c>
      <c r="D4252" s="2">
        <f>HYPERLINK("http://mcb-m6.bioreg.kyushu-u.ac.jp/M3/20110404/F50755/2687/1", 53.58)</f>
        <v>53.58</v>
      </c>
      <c r="E4252" s="2">
        <v>42.33</v>
      </c>
      <c r="F4252" s="2">
        <v>2</v>
      </c>
      <c r="G4252" s="2" t="s">
        <v>9</v>
      </c>
      <c r="I4252" s="2" t="s">
        <v>4929</v>
      </c>
    </row>
    <row r="4253" spans="1:9" x14ac:dyDescent="0.2">
      <c r="A4253" s="4" t="s">
        <v>3766</v>
      </c>
      <c r="B4253" s="2" t="s">
        <v>783</v>
      </c>
      <c r="C4253" s="2">
        <v>910.94960000000003</v>
      </c>
      <c r="D4253" s="2">
        <f>HYPERLINK("http://mcb-m6.bioreg.kyushu-u.ac.jp/M3/20110427/F51113/2674/1", 61.29)</f>
        <v>61.29</v>
      </c>
      <c r="E4253" s="2">
        <v>2.91</v>
      </c>
      <c r="F4253" s="2">
        <v>2</v>
      </c>
      <c r="G4253" s="2" t="s">
        <v>13</v>
      </c>
      <c r="I4253" s="2" t="s">
        <v>4929</v>
      </c>
    </row>
    <row r="4254" spans="1:9" x14ac:dyDescent="0.2">
      <c r="A4254" s="2" t="s">
        <v>7694</v>
      </c>
      <c r="B4254" s="2" t="s">
        <v>6351</v>
      </c>
      <c r="C4254" s="2">
        <v>864.62519999999995</v>
      </c>
      <c r="D4254" s="2">
        <f>HYPERLINK("http://mcb-m6.bioreg.kyushu-u.ac.jp/M3/20110404/F50766/2266/1", 55.85)</f>
        <v>55.85</v>
      </c>
      <c r="E4254" s="2">
        <v>44.02</v>
      </c>
      <c r="F4254" s="2">
        <v>2</v>
      </c>
      <c r="G4254" s="2" t="s">
        <v>9</v>
      </c>
    </row>
    <row r="4255" spans="1:9" x14ac:dyDescent="0.2">
      <c r="A4255" s="2" t="s">
        <v>7694</v>
      </c>
      <c r="B4255" s="2" t="s">
        <v>6351</v>
      </c>
      <c r="C4255" s="2">
        <v>864.36770000000001</v>
      </c>
      <c r="D4255" s="2">
        <f>HYPERLINK("http://mcb-m6.bioreg.kyushu-u.ac.jp/M3/20110404/F50772/2395/1", 72.31)</f>
        <v>72.31</v>
      </c>
      <c r="E4255" s="2">
        <v>59.95</v>
      </c>
      <c r="F4255" s="2">
        <v>2</v>
      </c>
      <c r="G4255" s="2" t="s">
        <v>10</v>
      </c>
    </row>
    <row r="4256" spans="1:9" x14ac:dyDescent="0.2">
      <c r="A4256" s="2" t="s">
        <v>7694</v>
      </c>
      <c r="B4256" s="2" t="s">
        <v>6351</v>
      </c>
      <c r="C4256" s="2">
        <v>872.45209999999997</v>
      </c>
      <c r="D4256" s="2">
        <f>HYPERLINK("http://mcb-m6.bioreg.kyushu-u.ac.jp/M3/20110404/F50772/2431/1", 79.06)</f>
        <v>79.06</v>
      </c>
      <c r="E4256" s="2">
        <v>60.58</v>
      </c>
      <c r="F4256" s="2">
        <v>2</v>
      </c>
      <c r="G4256" s="2" t="s">
        <v>10</v>
      </c>
      <c r="H4256" s="2" t="s">
        <v>4925</v>
      </c>
    </row>
    <row r="4257" spans="1:9" x14ac:dyDescent="0.2">
      <c r="A4257" s="2" t="s">
        <v>7694</v>
      </c>
      <c r="B4257" s="2" t="s">
        <v>6351</v>
      </c>
      <c r="C4257" s="2">
        <v>872.62919999999997</v>
      </c>
      <c r="D4257" s="2">
        <f>HYPERLINK("http://mcb-m6.bioreg.kyushu-u.ac.jp/M3/20110421/F51025/2468/1", 36.11)</f>
        <v>36.11</v>
      </c>
      <c r="E4257" s="2">
        <v>15.2</v>
      </c>
      <c r="F4257" s="2">
        <v>2</v>
      </c>
      <c r="G4257" s="2" t="s">
        <v>12</v>
      </c>
      <c r="H4257" s="2" t="s">
        <v>4925</v>
      </c>
    </row>
    <row r="4258" spans="1:9" x14ac:dyDescent="0.2">
      <c r="A4258" s="2" t="s">
        <v>7694</v>
      </c>
      <c r="B4258" s="2" t="s">
        <v>6351</v>
      </c>
      <c r="C4258" s="2">
        <v>864.51919999999996</v>
      </c>
      <c r="D4258" s="2">
        <f>HYPERLINK("http://mcb-m6.bioreg.kyushu-u.ac.jp/M3/20110421/F51025/2447/1", 36.85)</f>
        <v>36.85</v>
      </c>
      <c r="E4258" s="2">
        <v>19.989999999999998</v>
      </c>
      <c r="F4258" s="2">
        <v>2</v>
      </c>
      <c r="G4258" s="2" t="s">
        <v>12</v>
      </c>
    </row>
    <row r="4259" spans="1:9" x14ac:dyDescent="0.2">
      <c r="A4259" s="2" t="s">
        <v>7749</v>
      </c>
      <c r="B4259" s="2" t="s">
        <v>6528</v>
      </c>
      <c r="C4259" s="2">
        <v>837.27919999999995</v>
      </c>
      <c r="D4259" s="2">
        <f>HYPERLINK("http://mcb-m6.bioreg.kyushu-u.ac.jp/M3/20110404/F50766/2115/1", 74.92)</f>
        <v>74.92</v>
      </c>
      <c r="E4259" s="2">
        <v>49.81</v>
      </c>
      <c r="F4259" s="2">
        <v>2</v>
      </c>
      <c r="G4259" s="2" t="s">
        <v>9</v>
      </c>
    </row>
    <row r="4260" spans="1:9" x14ac:dyDescent="0.2">
      <c r="A4260" s="2" t="s">
        <v>7749</v>
      </c>
      <c r="B4260" s="2" t="s">
        <v>6528</v>
      </c>
      <c r="C4260" s="2">
        <v>836.60419999999999</v>
      </c>
      <c r="D4260" s="2">
        <f>HYPERLINK("http://mcb-m6.bioreg.kyushu-u.ac.jp/M3/20110404/F50766/2112/1", 100.47)</f>
        <v>100.47</v>
      </c>
      <c r="E4260" s="2">
        <v>70.14</v>
      </c>
      <c r="F4260" s="2">
        <v>2</v>
      </c>
      <c r="G4260" s="2" t="s">
        <v>9</v>
      </c>
    </row>
    <row r="4261" spans="1:9" x14ac:dyDescent="0.2">
      <c r="A4261" s="2" t="s">
        <v>7749</v>
      </c>
      <c r="B4261" s="2" t="s">
        <v>6528</v>
      </c>
      <c r="C4261" s="2">
        <v>837.24019999999996</v>
      </c>
      <c r="D4261" s="2">
        <f>HYPERLINK("http://mcb-m6.bioreg.kyushu-u.ac.jp/M3/20110404/F50772/2304/1", 77.49)</f>
        <v>77.489999999999995</v>
      </c>
      <c r="E4261" s="2">
        <v>55.26</v>
      </c>
      <c r="F4261" s="2">
        <v>2</v>
      </c>
      <c r="G4261" s="2" t="s">
        <v>10</v>
      </c>
    </row>
    <row r="4262" spans="1:9" x14ac:dyDescent="0.2">
      <c r="A4262" s="2" t="s">
        <v>7749</v>
      </c>
      <c r="B4262" s="2" t="s">
        <v>6528</v>
      </c>
      <c r="C4262" s="2">
        <v>837.21510000000001</v>
      </c>
      <c r="D4262" s="2">
        <f>HYPERLINK("http://mcb-m6.bioreg.kyushu-u.ac.jp/M3/20110421/F51025/2354/1", 60.66)</f>
        <v>60.66</v>
      </c>
      <c r="E4262" s="2">
        <v>37.049999999999997</v>
      </c>
      <c r="F4262" s="2">
        <v>2</v>
      </c>
      <c r="G4262" s="2" t="s">
        <v>12</v>
      </c>
    </row>
    <row r="4263" spans="1:9" x14ac:dyDescent="0.2">
      <c r="A4263" s="2" t="s">
        <v>7822</v>
      </c>
      <c r="B4263" s="2" t="s">
        <v>6767</v>
      </c>
      <c r="C4263" s="2">
        <v>659.85310000000004</v>
      </c>
      <c r="D4263" s="2">
        <f>HYPERLINK("http://mcb-m6.bioreg.kyushu-u.ac.jp/M3/20110404/F50771/1533/1", 41.04)</f>
        <v>41.04</v>
      </c>
      <c r="E4263" s="2">
        <v>17.829999999999998</v>
      </c>
      <c r="F4263" s="2">
        <v>2</v>
      </c>
      <c r="G4263" s="2" t="s">
        <v>10</v>
      </c>
    </row>
    <row r="4264" spans="1:9" x14ac:dyDescent="0.2">
      <c r="A4264" s="2" t="s">
        <v>7822</v>
      </c>
      <c r="B4264" s="2" t="s">
        <v>6767</v>
      </c>
      <c r="C4264" s="2">
        <v>659.9932</v>
      </c>
      <c r="D4264" s="2">
        <f>HYPERLINK("http://mcb-m6.bioreg.kyushu-u.ac.jp/M3/20110404/F50772/1553/1", 47.89)</f>
        <v>47.89</v>
      </c>
      <c r="E4264" s="2">
        <v>29.91</v>
      </c>
      <c r="F4264" s="2">
        <v>2</v>
      </c>
      <c r="G4264" s="2" t="s">
        <v>10</v>
      </c>
    </row>
    <row r="4265" spans="1:9" x14ac:dyDescent="0.2">
      <c r="A4265" s="2" t="s">
        <v>7822</v>
      </c>
      <c r="B4265" s="2" t="s">
        <v>6845</v>
      </c>
      <c r="C4265" s="2">
        <v>647.93119999999999</v>
      </c>
      <c r="D4265" s="2">
        <f>HYPERLINK("http://mcb-m6.bioreg.kyushu-u.ac.jp/M3/20110404/F50772/1524/1", 49.4)</f>
        <v>49.4</v>
      </c>
      <c r="E4265" s="2">
        <v>34.42</v>
      </c>
      <c r="F4265" s="2">
        <v>2</v>
      </c>
      <c r="G4265" s="2" t="s">
        <v>10</v>
      </c>
      <c r="I4265" s="2" t="s">
        <v>4898</v>
      </c>
    </row>
    <row r="4266" spans="1:9" x14ac:dyDescent="0.2">
      <c r="A4266" s="2" t="s">
        <v>7781</v>
      </c>
      <c r="B4266" s="2" t="s">
        <v>6668</v>
      </c>
      <c r="C4266" s="2">
        <v>981.14919999999995</v>
      </c>
      <c r="D4266" s="2">
        <f>HYPERLINK("http://mcb-m6.bioreg.kyushu-u.ac.jp/M3/20110404/F50766/2895/1", 127.62)</f>
        <v>127.62</v>
      </c>
      <c r="E4266" s="2">
        <v>108.3</v>
      </c>
      <c r="F4266" s="2">
        <v>2</v>
      </c>
      <c r="G4266" s="2" t="s">
        <v>9</v>
      </c>
    </row>
    <row r="4267" spans="1:9" x14ac:dyDescent="0.2">
      <c r="A4267" s="2" t="s">
        <v>7781</v>
      </c>
      <c r="B4267" s="2" t="s">
        <v>6668</v>
      </c>
      <c r="C4267" s="2">
        <v>981.50519999999995</v>
      </c>
      <c r="D4267" s="2">
        <f>HYPERLINK("http://mcb-m6.bioreg.kyushu-u.ac.jp/M3/20110404/F50772/2828/1", 141.24)</f>
        <v>141.24</v>
      </c>
      <c r="E4267" s="2">
        <v>125.03</v>
      </c>
      <c r="F4267" s="2">
        <v>2</v>
      </c>
      <c r="G4267" s="2" t="s">
        <v>10</v>
      </c>
    </row>
    <row r="4268" spans="1:9" x14ac:dyDescent="0.2">
      <c r="A4268" s="2" t="s">
        <v>4601</v>
      </c>
      <c r="B4268" s="2" t="s">
        <v>5930</v>
      </c>
      <c r="C4268" s="2">
        <v>707.32370000000003</v>
      </c>
      <c r="D4268" s="2">
        <f>HYPERLINK("http://mcb-m6.bioreg.kyushu-u.ac.jp/M3/20110404/F50766/1335/1", 36.1)</f>
        <v>36.1</v>
      </c>
      <c r="E4268" s="2">
        <v>14.1</v>
      </c>
      <c r="F4268" s="2">
        <v>2</v>
      </c>
      <c r="G4268" s="2" t="s">
        <v>9</v>
      </c>
    </row>
    <row r="4269" spans="1:9" x14ac:dyDescent="0.2">
      <c r="A4269" s="2" t="s">
        <v>4601</v>
      </c>
      <c r="B4269" s="2" t="s">
        <v>6271</v>
      </c>
      <c r="C4269" s="2">
        <v>1017.847</v>
      </c>
      <c r="D4269" s="2">
        <f>HYPERLINK("http://mcb-m6.bioreg.kyushu-u.ac.jp/M3/20110404/F50767/2952/1", 50.39)</f>
        <v>50.39</v>
      </c>
      <c r="E4269" s="2">
        <v>42.51</v>
      </c>
      <c r="F4269" s="2">
        <v>2</v>
      </c>
      <c r="G4269" s="2" t="s">
        <v>9</v>
      </c>
      <c r="H4269" s="2" t="s">
        <v>4919</v>
      </c>
    </row>
    <row r="4270" spans="1:9" x14ac:dyDescent="0.2">
      <c r="A4270" s="2" t="s">
        <v>4601</v>
      </c>
      <c r="B4270" s="2" t="s">
        <v>6294</v>
      </c>
      <c r="C4270" s="2">
        <v>1024.8900000000001</v>
      </c>
      <c r="D4270" s="2">
        <f>HYPERLINK("http://mcb-m6.bioreg.kyushu-u.ac.jp/M3/20110404/F50765/2894/1", 51.3)</f>
        <v>51.3</v>
      </c>
      <c r="E4270" s="2">
        <v>39.85</v>
      </c>
      <c r="F4270" s="2">
        <v>2</v>
      </c>
      <c r="G4270" s="2" t="s">
        <v>9</v>
      </c>
    </row>
    <row r="4271" spans="1:9" x14ac:dyDescent="0.2">
      <c r="A4271" s="2" t="s">
        <v>4601</v>
      </c>
      <c r="B4271" s="2" t="s">
        <v>6358</v>
      </c>
      <c r="C4271" s="2">
        <v>650.55719999999997</v>
      </c>
      <c r="D4271" s="2">
        <f>HYPERLINK("http://mcb-m6.bioreg.kyushu-u.ac.jp/M3/20110404/F50766/2867/1", 56.18)</f>
        <v>56.18</v>
      </c>
      <c r="E4271" s="2">
        <v>33.65</v>
      </c>
      <c r="F4271" s="2">
        <v>3</v>
      </c>
      <c r="G4271" s="2" t="s">
        <v>9</v>
      </c>
    </row>
    <row r="4272" spans="1:9" x14ac:dyDescent="0.2">
      <c r="A4272" s="2" t="s">
        <v>4601</v>
      </c>
      <c r="B4272" s="2" t="s">
        <v>6508</v>
      </c>
      <c r="C4272" s="2">
        <v>666.13819999999998</v>
      </c>
      <c r="D4272" s="2">
        <f>HYPERLINK("http://mcb-m6.bioreg.kyushu-u.ac.jp/M3/20110404/F50767/1308/1", 71.81)</f>
        <v>71.81</v>
      </c>
      <c r="E4272" s="2">
        <v>43.72</v>
      </c>
      <c r="F4272" s="2">
        <v>2</v>
      </c>
      <c r="G4272" s="2" t="s">
        <v>9</v>
      </c>
    </row>
    <row r="4273" spans="1:8" x14ac:dyDescent="0.2">
      <c r="A4273" s="2" t="s">
        <v>4601</v>
      </c>
      <c r="B4273" s="2" t="s">
        <v>6514</v>
      </c>
      <c r="C4273" s="2">
        <v>730.35919999999999</v>
      </c>
      <c r="D4273" s="2">
        <f>HYPERLINK("http://mcb-m6.bioreg.kyushu-u.ac.jp/M3/20110404/F50766/1495/1", 73.32)</f>
        <v>73.319999999999993</v>
      </c>
      <c r="E4273" s="2">
        <v>55.05</v>
      </c>
      <c r="F4273" s="2">
        <v>2</v>
      </c>
      <c r="G4273" s="2" t="s">
        <v>9</v>
      </c>
    </row>
    <row r="4274" spans="1:8" x14ac:dyDescent="0.2">
      <c r="A4274" s="2" t="s">
        <v>4601</v>
      </c>
      <c r="B4274" s="2" t="s">
        <v>6535</v>
      </c>
      <c r="C4274" s="2">
        <v>786.26760000000002</v>
      </c>
      <c r="D4274" s="2">
        <f>HYPERLINK("http://mcb-m6.bioreg.kyushu-u.ac.jp/M3/20110404/F50766/1846/1", 76.34)</f>
        <v>76.34</v>
      </c>
      <c r="E4274" s="2">
        <v>61.34</v>
      </c>
      <c r="F4274" s="2">
        <v>2</v>
      </c>
      <c r="G4274" s="2" t="s">
        <v>9</v>
      </c>
    </row>
    <row r="4275" spans="1:8" x14ac:dyDescent="0.2">
      <c r="A4275" s="2" t="s">
        <v>4601</v>
      </c>
      <c r="B4275" s="2" t="s">
        <v>6596</v>
      </c>
      <c r="C4275" s="2">
        <v>1024.8879999999999</v>
      </c>
      <c r="D4275" s="2">
        <f>HYPERLINK("http://mcb-m6.bioreg.kyushu-u.ac.jp/M3/20110404/F50766/3112/1", 88.62)</f>
        <v>88.62</v>
      </c>
      <c r="E4275" s="2">
        <v>59.1</v>
      </c>
      <c r="F4275" s="2">
        <v>2</v>
      </c>
      <c r="G4275" s="2" t="s">
        <v>9</v>
      </c>
    </row>
    <row r="4276" spans="1:8" x14ac:dyDescent="0.2">
      <c r="A4276" s="2" t="s">
        <v>4601</v>
      </c>
      <c r="B4276" s="2" t="s">
        <v>6358</v>
      </c>
      <c r="C4276" s="2">
        <v>975.80319999999995</v>
      </c>
      <c r="D4276" s="2">
        <f>HYPERLINK("http://mcb-m6.bioreg.kyushu-u.ac.jp/M3/20110404/F50766/2869/1", 92.34)</f>
        <v>92.34</v>
      </c>
      <c r="E4276" s="2">
        <v>73.739999999999995</v>
      </c>
      <c r="F4276" s="2">
        <v>2</v>
      </c>
      <c r="G4276" s="2" t="s">
        <v>9</v>
      </c>
    </row>
    <row r="4277" spans="1:8" x14ac:dyDescent="0.2">
      <c r="A4277" s="2" t="s">
        <v>4601</v>
      </c>
      <c r="B4277" s="2" t="s">
        <v>3212</v>
      </c>
      <c r="C4277" s="2">
        <v>935.27560000000005</v>
      </c>
      <c r="D4277" s="2">
        <f>HYPERLINK("http://mcb-m6.bioreg.kyushu-u.ac.jp/M3/20110404/F50766/2665/1", 97)</f>
        <v>97</v>
      </c>
      <c r="E4277" s="2">
        <v>84.24</v>
      </c>
      <c r="F4277" s="2">
        <v>2</v>
      </c>
      <c r="G4277" s="2" t="s">
        <v>9</v>
      </c>
    </row>
    <row r="4278" spans="1:8" x14ac:dyDescent="0.2">
      <c r="A4278" s="2" t="s">
        <v>4601</v>
      </c>
      <c r="B4278" s="2" t="s">
        <v>6514</v>
      </c>
      <c r="C4278" s="2">
        <v>729.79110000000003</v>
      </c>
      <c r="D4278" s="2">
        <f>HYPERLINK("http://mcb-m6.bioreg.kyushu-u.ac.jp/M3/20110404/F50766/1490/1", 97.92)</f>
        <v>97.92</v>
      </c>
      <c r="E4278" s="2">
        <v>79.48</v>
      </c>
      <c r="F4278" s="2">
        <v>2</v>
      </c>
      <c r="G4278" s="2" t="s">
        <v>9</v>
      </c>
    </row>
    <row r="4279" spans="1:8" x14ac:dyDescent="0.2">
      <c r="A4279" s="2" t="s">
        <v>4601</v>
      </c>
      <c r="B4279" s="2" t="s">
        <v>6271</v>
      </c>
      <c r="C4279" s="2">
        <v>1009.864</v>
      </c>
      <c r="D4279" s="2">
        <f>HYPERLINK("http://mcb-m6.bioreg.kyushu-u.ac.jp/M3/20110404/F50766/3044/1", 103.39)</f>
        <v>103.39</v>
      </c>
      <c r="E4279" s="2">
        <v>88.45</v>
      </c>
      <c r="F4279" s="2">
        <v>2</v>
      </c>
      <c r="G4279" s="2" t="s">
        <v>9</v>
      </c>
    </row>
    <row r="4280" spans="1:8" x14ac:dyDescent="0.2">
      <c r="A4280" s="2" t="s">
        <v>4601</v>
      </c>
      <c r="B4280" s="2" t="s">
        <v>6271</v>
      </c>
      <c r="C4280" s="2">
        <v>1009.275</v>
      </c>
      <c r="D4280" s="2">
        <f>HYPERLINK("http://mcb-m6.bioreg.kyushu-u.ac.jp/M3/20110404/F50766/3042/1", 103.56)</f>
        <v>103.56</v>
      </c>
      <c r="E4280" s="2">
        <v>87.14</v>
      </c>
      <c r="F4280" s="2">
        <v>2</v>
      </c>
      <c r="G4280" s="2" t="s">
        <v>9</v>
      </c>
    </row>
    <row r="4281" spans="1:8" x14ac:dyDescent="0.2">
      <c r="A4281" s="2" t="s">
        <v>4601</v>
      </c>
      <c r="B4281" s="2" t="s">
        <v>6358</v>
      </c>
      <c r="C4281" s="2">
        <v>975.85170000000005</v>
      </c>
      <c r="D4281" s="2">
        <f>HYPERLINK("http://mcb-m6.bioreg.kyushu-u.ac.jp/M3/20110404/F50767/2785/1", 108.12)</f>
        <v>108.12</v>
      </c>
      <c r="E4281" s="2">
        <v>94.1</v>
      </c>
      <c r="F4281" s="2">
        <v>2</v>
      </c>
      <c r="G4281" s="2" t="s">
        <v>9</v>
      </c>
    </row>
    <row r="4282" spans="1:8" x14ac:dyDescent="0.2">
      <c r="A4282" s="2" t="s">
        <v>4601</v>
      </c>
      <c r="B4282" s="2" t="s">
        <v>6669</v>
      </c>
      <c r="C4282" s="2">
        <v>959.96669999999995</v>
      </c>
      <c r="D4282" s="2">
        <f>HYPERLINK("http://mcb-m6.bioreg.kyushu-u.ac.jp/M3/20110404/F50766/2794/1", 128.73)</f>
        <v>128.72999999999999</v>
      </c>
      <c r="E4282" s="2">
        <v>117.01</v>
      </c>
      <c r="F4282" s="2">
        <v>2</v>
      </c>
      <c r="G4282" s="2" t="s">
        <v>9</v>
      </c>
    </row>
    <row r="4283" spans="1:8" x14ac:dyDescent="0.2">
      <c r="A4283" s="2" t="s">
        <v>4601</v>
      </c>
      <c r="B4283" s="2" t="s">
        <v>6669</v>
      </c>
      <c r="C4283" s="2">
        <v>959.77620000000002</v>
      </c>
      <c r="D4283" s="2">
        <f>HYPERLINK("http://mcb-m6.bioreg.kyushu-u.ac.jp/M3/20110404/F50767/2714/1", 140.25)</f>
        <v>140.25</v>
      </c>
      <c r="E4283" s="2">
        <v>133.41</v>
      </c>
      <c r="F4283" s="2">
        <v>2</v>
      </c>
      <c r="G4283" s="2" t="s">
        <v>9</v>
      </c>
    </row>
    <row r="4284" spans="1:8" x14ac:dyDescent="0.2">
      <c r="A4284" s="2" t="s">
        <v>4601</v>
      </c>
      <c r="B4284" s="2" t="s">
        <v>6271</v>
      </c>
      <c r="C4284" s="2">
        <v>1017.451</v>
      </c>
      <c r="D4284" s="2">
        <f>HYPERLINK("http://mcb-m6.bioreg.kyushu-u.ac.jp/M3/20110404/F50772/2921/1", 38.02)</f>
        <v>38.020000000000003</v>
      </c>
      <c r="E4284" s="2">
        <v>22.53</v>
      </c>
      <c r="F4284" s="2">
        <v>2</v>
      </c>
      <c r="G4284" s="2" t="s">
        <v>10</v>
      </c>
      <c r="H4284" s="2" t="s">
        <v>4919</v>
      </c>
    </row>
    <row r="4285" spans="1:8" x14ac:dyDescent="0.2">
      <c r="A4285" s="2" t="s">
        <v>4601</v>
      </c>
      <c r="B4285" s="2" t="s">
        <v>6508</v>
      </c>
      <c r="C4285" s="2">
        <v>658.29819999999995</v>
      </c>
      <c r="D4285" s="2">
        <f>HYPERLINK("http://mcb-m6.bioreg.kyushu-u.ac.jp/M3/20110404/F50772/1550/1", 38.69)</f>
        <v>38.69</v>
      </c>
      <c r="E4285" s="2">
        <v>23.27</v>
      </c>
      <c r="F4285" s="2">
        <v>2</v>
      </c>
      <c r="G4285" s="2" t="s">
        <v>10</v>
      </c>
      <c r="H4285" s="2" t="s">
        <v>4904</v>
      </c>
    </row>
    <row r="4286" spans="1:8" x14ac:dyDescent="0.2">
      <c r="A4286" s="2" t="s">
        <v>4601</v>
      </c>
      <c r="B4286" s="2" t="s">
        <v>3011</v>
      </c>
      <c r="C4286" s="2">
        <v>603.30520000000001</v>
      </c>
      <c r="D4286" s="2">
        <f>HYPERLINK("http://mcb-m6.bioreg.kyushu-u.ac.jp/M3/20110404/F50772/1363/1", 40.71)</f>
        <v>40.71</v>
      </c>
      <c r="E4286" s="2">
        <v>22.82</v>
      </c>
      <c r="F4286" s="2">
        <v>2</v>
      </c>
      <c r="G4286" s="2" t="s">
        <v>10</v>
      </c>
    </row>
    <row r="4287" spans="1:8" x14ac:dyDescent="0.2">
      <c r="A4287" s="2" t="s">
        <v>4601</v>
      </c>
      <c r="B4287" s="2" t="s">
        <v>3011</v>
      </c>
      <c r="C4287" s="2">
        <v>1205.491</v>
      </c>
      <c r="D4287" s="2">
        <f>HYPERLINK("http://mcb-m6.bioreg.kyushu-u.ac.jp/M3/20110404/F50772/1362/1", 42.43)</f>
        <v>42.43</v>
      </c>
      <c r="E4287" s="2">
        <v>22.2</v>
      </c>
      <c r="F4287" s="2">
        <v>1</v>
      </c>
      <c r="G4287" s="2" t="s">
        <v>10</v>
      </c>
    </row>
    <row r="4288" spans="1:8" x14ac:dyDescent="0.2">
      <c r="A4288" s="2" t="s">
        <v>4601</v>
      </c>
      <c r="B4288" s="2" t="s">
        <v>6875</v>
      </c>
      <c r="C4288" s="2">
        <v>686.60969999999998</v>
      </c>
      <c r="D4288" s="2">
        <f>HYPERLINK("http://mcb-m6.bioreg.kyushu-u.ac.jp/M3/20110404/F50772/1649/1", 52.33)</f>
        <v>52.33</v>
      </c>
      <c r="E4288" s="2">
        <v>29.16</v>
      </c>
      <c r="F4288" s="2">
        <v>2</v>
      </c>
      <c r="G4288" s="2" t="s">
        <v>10</v>
      </c>
    </row>
    <row r="4289" spans="1:8" x14ac:dyDescent="0.2">
      <c r="A4289" s="2" t="s">
        <v>4601</v>
      </c>
      <c r="B4289" s="2" t="s">
        <v>6891</v>
      </c>
      <c r="C4289" s="2">
        <v>992.00120000000004</v>
      </c>
      <c r="D4289" s="2">
        <f>HYPERLINK("http://mcb-m6.bioreg.kyushu-u.ac.jp/M3/20110404/F50773/2729/1", 54.49)</f>
        <v>54.49</v>
      </c>
      <c r="E4289" s="2">
        <v>47.86</v>
      </c>
      <c r="F4289" s="2">
        <v>2</v>
      </c>
      <c r="G4289" s="2" t="s">
        <v>10</v>
      </c>
    </row>
    <row r="4290" spans="1:8" x14ac:dyDescent="0.2">
      <c r="A4290" s="2" t="s">
        <v>4601</v>
      </c>
      <c r="B4290" s="2" t="s">
        <v>6905</v>
      </c>
      <c r="C4290" s="2">
        <v>580.52719999999999</v>
      </c>
      <c r="D4290" s="2">
        <f>HYPERLINK("http://mcb-m6.bioreg.kyushu-u.ac.jp/M3/20110404/F50772/1269/1", 55.65)</f>
        <v>55.65</v>
      </c>
      <c r="E4290" s="2">
        <v>9.49</v>
      </c>
      <c r="F4290" s="2">
        <v>2</v>
      </c>
      <c r="G4290" s="2" t="s">
        <v>10</v>
      </c>
    </row>
    <row r="4291" spans="1:8" x14ac:dyDescent="0.2">
      <c r="A4291" s="2" t="s">
        <v>4601</v>
      </c>
      <c r="B4291" s="2" t="s">
        <v>6908</v>
      </c>
      <c r="C4291" s="2">
        <v>602.90309999999999</v>
      </c>
      <c r="D4291" s="2">
        <f>HYPERLINK("http://mcb-m6.bioreg.kyushu-u.ac.jp/M3/20110404/F50772/1361/1", 56.53)</f>
        <v>56.53</v>
      </c>
      <c r="E4291" s="2">
        <v>36.79</v>
      </c>
      <c r="F4291" s="2">
        <v>2</v>
      </c>
      <c r="G4291" s="2" t="s">
        <v>10</v>
      </c>
    </row>
    <row r="4292" spans="1:8" x14ac:dyDescent="0.2">
      <c r="A4292" s="2" t="s">
        <v>4601</v>
      </c>
      <c r="B4292" s="2" t="s">
        <v>6969</v>
      </c>
      <c r="C4292" s="2">
        <v>843.47170000000006</v>
      </c>
      <c r="D4292" s="2">
        <f>HYPERLINK("http://mcb-m6.bioreg.kyushu-u.ac.jp/M3/20110404/F50772/2324/1", 68.53)</f>
        <v>68.53</v>
      </c>
      <c r="E4292" s="2">
        <v>56.59</v>
      </c>
      <c r="F4292" s="2">
        <v>2</v>
      </c>
      <c r="G4292" s="2" t="s">
        <v>10</v>
      </c>
      <c r="H4292" s="2" t="s">
        <v>4900</v>
      </c>
    </row>
    <row r="4293" spans="1:8" x14ac:dyDescent="0.2">
      <c r="A4293" s="2" t="s">
        <v>4601</v>
      </c>
      <c r="B4293" s="2" t="s">
        <v>6271</v>
      </c>
      <c r="C4293" s="2">
        <v>1017.925</v>
      </c>
      <c r="D4293" s="2">
        <f>HYPERLINK("http://mcb-m6.bioreg.kyushu-u.ac.jp/M3/20110404/F50773/2818/1", 69.64)</f>
        <v>69.64</v>
      </c>
      <c r="E4293" s="2">
        <v>57.82</v>
      </c>
      <c r="F4293" s="2">
        <v>2</v>
      </c>
      <c r="G4293" s="2" t="s">
        <v>10</v>
      </c>
      <c r="H4293" s="2" t="s">
        <v>4919</v>
      </c>
    </row>
    <row r="4294" spans="1:8" x14ac:dyDescent="0.2">
      <c r="A4294" s="2" t="s">
        <v>4601</v>
      </c>
      <c r="B4294" s="2" t="s">
        <v>6535</v>
      </c>
      <c r="C4294" s="2">
        <v>786.60820000000001</v>
      </c>
      <c r="D4294" s="2">
        <f>HYPERLINK("http://mcb-m6.bioreg.kyushu-u.ac.jp/M3/20110404/F50772/2131/1", 79.34)</f>
        <v>79.34</v>
      </c>
      <c r="E4294" s="2">
        <v>61.79</v>
      </c>
      <c r="F4294" s="2">
        <v>2</v>
      </c>
      <c r="G4294" s="2" t="s">
        <v>10</v>
      </c>
    </row>
    <row r="4295" spans="1:8" x14ac:dyDescent="0.2">
      <c r="A4295" s="2" t="s">
        <v>4601</v>
      </c>
      <c r="B4295" s="2" t="s">
        <v>6271</v>
      </c>
      <c r="C4295" s="2">
        <v>1017.975</v>
      </c>
      <c r="D4295" s="2">
        <f>HYPERLINK("http://mcb-m6.bioreg.kyushu-u.ac.jp/M3/20110404/F50772/2922/1", 84.08)</f>
        <v>84.08</v>
      </c>
      <c r="E4295" s="2">
        <v>73.14</v>
      </c>
      <c r="F4295" s="2">
        <v>2</v>
      </c>
      <c r="G4295" s="2" t="s">
        <v>10</v>
      </c>
      <c r="H4295" s="2" t="s">
        <v>4919</v>
      </c>
    </row>
    <row r="4296" spans="1:8" x14ac:dyDescent="0.2">
      <c r="A4296" s="2" t="s">
        <v>4601</v>
      </c>
      <c r="B4296" s="2" t="s">
        <v>6358</v>
      </c>
      <c r="C4296" s="2">
        <v>975.4932</v>
      </c>
      <c r="D4296" s="2">
        <f>HYPERLINK("http://mcb-m6.bioreg.kyushu-u.ac.jp/M3/20110404/F50772/2810/1", 89.22)</f>
        <v>89.22</v>
      </c>
      <c r="E4296" s="2">
        <v>71.5</v>
      </c>
      <c r="F4296" s="2">
        <v>2</v>
      </c>
      <c r="G4296" s="2" t="s">
        <v>10</v>
      </c>
    </row>
    <row r="4297" spans="1:8" x14ac:dyDescent="0.2">
      <c r="A4297" s="2" t="s">
        <v>4601</v>
      </c>
      <c r="B4297" s="2" t="s">
        <v>6508</v>
      </c>
      <c r="C4297" s="2">
        <v>666.53769999999997</v>
      </c>
      <c r="D4297" s="2">
        <f>HYPERLINK("http://mcb-m6.bioreg.kyushu-u.ac.jp/M3/20110404/F50772/1570/1", 92.61)</f>
        <v>92.61</v>
      </c>
      <c r="E4297" s="2">
        <v>57.78</v>
      </c>
      <c r="F4297" s="2">
        <v>2</v>
      </c>
      <c r="G4297" s="2" t="s">
        <v>10</v>
      </c>
    </row>
    <row r="4298" spans="1:8" x14ac:dyDescent="0.2">
      <c r="A4298" s="2" t="s">
        <v>4601</v>
      </c>
      <c r="B4298" s="2" t="s">
        <v>6358</v>
      </c>
      <c r="C4298" s="2">
        <v>975.40219999999999</v>
      </c>
      <c r="D4298" s="2">
        <f>HYPERLINK("http://mcb-m6.bioreg.kyushu-u.ac.jp/M3/20110404/F50773/2675/1", 98.61)</f>
        <v>98.61</v>
      </c>
      <c r="E4298" s="2">
        <v>84.65</v>
      </c>
      <c r="F4298" s="2">
        <v>2</v>
      </c>
      <c r="G4298" s="2" t="s">
        <v>10</v>
      </c>
    </row>
    <row r="4299" spans="1:8" x14ac:dyDescent="0.2">
      <c r="A4299" s="2" t="s">
        <v>4601</v>
      </c>
      <c r="B4299" s="2" t="s">
        <v>6514</v>
      </c>
      <c r="C4299" s="2">
        <v>729.98910000000001</v>
      </c>
      <c r="D4299" s="2">
        <f>HYPERLINK("http://mcb-m6.bioreg.kyushu-u.ac.jp/M3/20110404/F50772/1880/1", 107.14)</f>
        <v>107.14</v>
      </c>
      <c r="E4299" s="2">
        <v>92.16</v>
      </c>
      <c r="F4299" s="2">
        <v>2</v>
      </c>
      <c r="G4299" s="2" t="s">
        <v>10</v>
      </c>
    </row>
    <row r="4300" spans="1:8" x14ac:dyDescent="0.2">
      <c r="A4300" s="2" t="s">
        <v>4601</v>
      </c>
      <c r="B4300" s="2" t="s">
        <v>7054</v>
      </c>
      <c r="C4300" s="2">
        <v>1247.47</v>
      </c>
      <c r="D4300" s="2">
        <f>HYPERLINK("http://mcb-m6.bioreg.kyushu-u.ac.jp/M3/20110404/F50772/3362/1", 109.23)</f>
        <v>109.23</v>
      </c>
      <c r="E4300" s="2">
        <v>92.92</v>
      </c>
      <c r="F4300" s="2">
        <v>2</v>
      </c>
      <c r="G4300" s="2" t="s">
        <v>10</v>
      </c>
    </row>
    <row r="4301" spans="1:8" x14ac:dyDescent="0.2">
      <c r="A4301" s="2" t="s">
        <v>4601</v>
      </c>
      <c r="B4301" s="2" t="s">
        <v>3212</v>
      </c>
      <c r="C4301" s="2">
        <v>935.72860000000003</v>
      </c>
      <c r="D4301" s="2">
        <f>HYPERLINK("http://mcb-m6.bioreg.kyushu-u.ac.jp/M3/20110404/F50772/2690/1", 113.74)</f>
        <v>113.74</v>
      </c>
      <c r="E4301" s="2">
        <v>92.14</v>
      </c>
      <c r="F4301" s="2">
        <v>2</v>
      </c>
      <c r="G4301" s="2" t="s">
        <v>10</v>
      </c>
    </row>
    <row r="4302" spans="1:8" x14ac:dyDescent="0.2">
      <c r="A4302" s="2" t="s">
        <v>4601</v>
      </c>
      <c r="B4302" s="2" t="s">
        <v>6669</v>
      </c>
      <c r="C4302" s="2">
        <v>960.0027</v>
      </c>
      <c r="D4302" s="2">
        <f>HYPERLINK("http://mcb-m6.bioreg.kyushu-u.ac.jp/M3/20110404/F50772/2765/1", 159.57)</f>
        <v>159.57</v>
      </c>
      <c r="E4302" s="2">
        <v>147.28</v>
      </c>
      <c r="F4302" s="2">
        <v>2</v>
      </c>
      <c r="G4302" s="2" t="s">
        <v>10</v>
      </c>
    </row>
    <row r="4303" spans="1:8" x14ac:dyDescent="0.2">
      <c r="A4303" s="2" t="s">
        <v>4601</v>
      </c>
      <c r="B4303" s="2" t="s">
        <v>2694</v>
      </c>
      <c r="C4303" s="2">
        <v>766.34860000000003</v>
      </c>
      <c r="D4303" s="2">
        <f>HYPERLINK("http://mcb-m6.bioreg.kyushu-u.ac.jp/M3/20110421/F51040/2186/1", 48.44)</f>
        <v>48.44</v>
      </c>
      <c r="E4303" s="2">
        <v>25.44</v>
      </c>
      <c r="F4303" s="2">
        <v>2</v>
      </c>
      <c r="G4303" s="2" t="s">
        <v>11</v>
      </c>
    </row>
    <row r="4304" spans="1:8" x14ac:dyDescent="0.2">
      <c r="A4304" s="2" t="s">
        <v>4601</v>
      </c>
      <c r="B4304" s="2" t="s">
        <v>7243</v>
      </c>
      <c r="C4304" s="2">
        <v>801.8981</v>
      </c>
      <c r="D4304" s="2">
        <f>HYPERLINK("http://mcb-m6.bioreg.kyushu-u.ac.jp/M3/20110421/F51025/2225/1", 57.66)</f>
        <v>57.66</v>
      </c>
      <c r="E4304" s="2">
        <v>39.54</v>
      </c>
      <c r="F4304" s="2">
        <v>2</v>
      </c>
      <c r="G4304" s="2" t="s">
        <v>12</v>
      </c>
    </row>
    <row r="4305" spans="1:9" x14ac:dyDescent="0.2">
      <c r="A4305" s="2" t="s">
        <v>4601</v>
      </c>
      <c r="B4305" s="2" t="s">
        <v>6294</v>
      </c>
      <c r="C4305" s="2">
        <v>1024.3389999999999</v>
      </c>
      <c r="D4305" s="2">
        <f>HYPERLINK("http://mcb-m6.bioreg.kyushu-u.ac.jp/M3/20110421/F51025/2806/1", 70.54)</f>
        <v>70.540000000000006</v>
      </c>
      <c r="E4305" s="2">
        <v>53.03</v>
      </c>
      <c r="F4305" s="2">
        <v>2</v>
      </c>
      <c r="G4305" s="2" t="s">
        <v>12</v>
      </c>
    </row>
    <row r="4306" spans="1:9" x14ac:dyDescent="0.2">
      <c r="A4306" s="2" t="s">
        <v>4601</v>
      </c>
      <c r="B4306" s="2" t="s">
        <v>6271</v>
      </c>
      <c r="C4306" s="2">
        <v>1009.992</v>
      </c>
      <c r="D4306" s="2">
        <f>HYPERLINK("http://mcb-m6.bioreg.kyushu-u.ac.jp/M3/20110421/F51025/2793/1", 73.76)</f>
        <v>73.760000000000005</v>
      </c>
      <c r="E4306" s="2">
        <v>58.86</v>
      </c>
      <c r="F4306" s="2">
        <v>2</v>
      </c>
      <c r="G4306" s="2" t="s">
        <v>12</v>
      </c>
    </row>
    <row r="4307" spans="1:9" x14ac:dyDescent="0.2">
      <c r="A4307" s="2" t="s">
        <v>4601</v>
      </c>
      <c r="B4307" s="2" t="s">
        <v>3212</v>
      </c>
      <c r="C4307" s="2">
        <v>935.34059999999999</v>
      </c>
      <c r="D4307" s="2">
        <f>HYPERLINK("http://mcb-m6.bioreg.kyushu-u.ac.jp/M3/20110421/F51025/2640/1", 104.19)</f>
        <v>104.19</v>
      </c>
      <c r="E4307" s="2">
        <v>91.49</v>
      </c>
      <c r="F4307" s="2">
        <v>2</v>
      </c>
      <c r="G4307" s="2" t="s">
        <v>12</v>
      </c>
    </row>
    <row r="4308" spans="1:9" x14ac:dyDescent="0.2">
      <c r="A4308" s="2" t="s">
        <v>4601</v>
      </c>
      <c r="B4308" s="2" t="s">
        <v>6271</v>
      </c>
      <c r="C4308" s="2">
        <v>1009.349</v>
      </c>
      <c r="D4308" s="2">
        <f>HYPERLINK("http://mcb-m6.bioreg.kyushu-u.ac.jp/M3/20110421/F51025/2790/1", 109.86)</f>
        <v>109.86</v>
      </c>
      <c r="E4308" s="2">
        <v>89.38</v>
      </c>
      <c r="F4308" s="2">
        <v>2</v>
      </c>
      <c r="G4308" s="2" t="s">
        <v>12</v>
      </c>
    </row>
    <row r="4309" spans="1:9" x14ac:dyDescent="0.2">
      <c r="A4309" s="2" t="s">
        <v>4601</v>
      </c>
      <c r="B4309" s="2" t="s">
        <v>6669</v>
      </c>
      <c r="C4309" s="2">
        <v>960.33169999999996</v>
      </c>
      <c r="D4309" s="2">
        <f>HYPERLINK("http://mcb-m6.bioreg.kyushu-u.ac.jp/M3/20110421/F51025/2693/1", 117.85)</f>
        <v>117.85</v>
      </c>
      <c r="E4309" s="2">
        <v>104.55</v>
      </c>
      <c r="F4309" s="2">
        <v>2</v>
      </c>
      <c r="G4309" s="2" t="s">
        <v>12</v>
      </c>
    </row>
    <row r="4310" spans="1:9" x14ac:dyDescent="0.2">
      <c r="A4310" s="2" t="s">
        <v>4601</v>
      </c>
      <c r="B4310" s="2" t="s">
        <v>2694</v>
      </c>
      <c r="C4310" s="2">
        <v>765.68960000000004</v>
      </c>
      <c r="D4310" s="2">
        <f>HYPERLINK("http://mcb-m6.bioreg.kyushu-u.ac.jp/M3/20110427/F51125/2194/1", 48.46)</f>
        <v>48.46</v>
      </c>
      <c r="E4310" s="2">
        <v>29.23</v>
      </c>
      <c r="F4310" s="2">
        <v>2</v>
      </c>
      <c r="G4310" s="2" t="s">
        <v>14</v>
      </c>
    </row>
    <row r="4311" spans="1:9" x14ac:dyDescent="0.2">
      <c r="A4311" s="2" t="s">
        <v>4825</v>
      </c>
      <c r="B4311" s="2" t="s">
        <v>3083</v>
      </c>
      <c r="C4311" s="2">
        <v>478.25560000000002</v>
      </c>
      <c r="D4311" s="2">
        <f>HYPERLINK("http://mcb-m6.bioreg.kyushu-u.ac.jp/M3/20110404/F50766/434/1", 50.07)</f>
        <v>50.07</v>
      </c>
      <c r="E4311" s="2">
        <v>14.37</v>
      </c>
      <c r="F4311" s="2">
        <v>2</v>
      </c>
      <c r="G4311" s="2" t="s">
        <v>9</v>
      </c>
    </row>
    <row r="4312" spans="1:9" x14ac:dyDescent="0.2">
      <c r="A4312" s="2" t="s">
        <v>4825</v>
      </c>
      <c r="B4312" s="2" t="s">
        <v>3083</v>
      </c>
      <c r="C4312" s="2">
        <v>477.92259999999999</v>
      </c>
      <c r="D4312" s="2">
        <f>HYPERLINK("http://mcb-m6.bioreg.kyushu-u.ac.jp/M3/20110404/F50773/903/1", 39.55)</f>
        <v>39.549999999999997</v>
      </c>
      <c r="E4312" s="2">
        <v>15.54</v>
      </c>
      <c r="F4312" s="2">
        <v>2</v>
      </c>
      <c r="G4312" s="2" t="s">
        <v>10</v>
      </c>
    </row>
    <row r="4313" spans="1:9" x14ac:dyDescent="0.2">
      <c r="A4313" s="2" t="s">
        <v>4825</v>
      </c>
      <c r="B4313" s="2" t="s">
        <v>3083</v>
      </c>
      <c r="C4313" s="2">
        <v>477.78410000000002</v>
      </c>
      <c r="D4313" s="2">
        <f>HYPERLINK("http://mcb-m6.bioreg.kyushu-u.ac.jp/M3/20110404/F50770/1077/1", 50.35)</f>
        <v>50.35</v>
      </c>
      <c r="E4313" s="2">
        <v>26.74</v>
      </c>
      <c r="F4313" s="2">
        <v>2</v>
      </c>
      <c r="G4313" s="2" t="s">
        <v>10</v>
      </c>
    </row>
    <row r="4314" spans="1:9" x14ac:dyDescent="0.2">
      <c r="A4314" s="2" t="s">
        <v>4825</v>
      </c>
      <c r="B4314" s="2" t="s">
        <v>3083</v>
      </c>
      <c r="C4314" s="2">
        <v>954.596</v>
      </c>
      <c r="D4314" s="2">
        <f>HYPERLINK("http://mcb-m6.bioreg.kyushu-u.ac.jp/M3/20110404/F50772/938/1", 51.37)</f>
        <v>51.37</v>
      </c>
      <c r="E4314" s="2">
        <v>21.15</v>
      </c>
      <c r="F4314" s="2">
        <v>1</v>
      </c>
      <c r="G4314" s="2" t="s">
        <v>10</v>
      </c>
    </row>
    <row r="4315" spans="1:9" x14ac:dyDescent="0.2">
      <c r="A4315" s="2" t="s">
        <v>7611</v>
      </c>
      <c r="B4315" s="2" t="s">
        <v>6116</v>
      </c>
      <c r="C4315" s="2">
        <v>1434.827</v>
      </c>
      <c r="D4315" s="2">
        <f>HYPERLINK("http://mcb-m6.bioreg.kyushu-u.ac.jp/M3/20110404/F50766/1418/1", 43.25)</f>
        <v>43.25</v>
      </c>
      <c r="E4315" s="2">
        <v>14.14</v>
      </c>
      <c r="F4315" s="2">
        <v>1</v>
      </c>
      <c r="G4315" s="2" t="s">
        <v>9</v>
      </c>
      <c r="H4315" s="2" t="s">
        <v>4917</v>
      </c>
      <c r="I4315" s="2" t="s">
        <v>4903</v>
      </c>
    </row>
    <row r="4316" spans="1:9" x14ac:dyDescent="0.2">
      <c r="A4316" s="2" t="s">
        <v>3485</v>
      </c>
      <c r="B4316" s="2" t="s">
        <v>312</v>
      </c>
      <c r="C4316" s="2">
        <v>909.48220000000003</v>
      </c>
      <c r="D4316" s="2">
        <f>HYPERLINK("http://mcb-m6.bioreg.kyushu-u.ac.jp/M3/20110404/F50762/2333/1", 37.34)</f>
        <v>37.340000000000003</v>
      </c>
      <c r="E4316" s="2">
        <v>28.48</v>
      </c>
      <c r="F4316" s="2">
        <v>2</v>
      </c>
      <c r="G4316" s="2" t="s">
        <v>9</v>
      </c>
    </row>
    <row r="4317" spans="1:9" x14ac:dyDescent="0.2">
      <c r="A4317" s="2" t="s">
        <v>3485</v>
      </c>
      <c r="B4317" s="2" t="s">
        <v>312</v>
      </c>
      <c r="C4317" s="2">
        <v>909.8347</v>
      </c>
      <c r="D4317" s="2">
        <f>HYPERLINK("http://mcb-m6.bioreg.kyushu-u.ac.jp/M3/20110404/F50756/2734/1", 39.73)</f>
        <v>39.729999999999997</v>
      </c>
      <c r="E4317" s="2">
        <v>33.42</v>
      </c>
      <c r="F4317" s="2">
        <v>2</v>
      </c>
      <c r="G4317" s="2" t="s">
        <v>9</v>
      </c>
    </row>
    <row r="4318" spans="1:9" x14ac:dyDescent="0.2">
      <c r="A4318" s="2" t="s">
        <v>3485</v>
      </c>
      <c r="B4318" s="2" t="s">
        <v>312</v>
      </c>
      <c r="C4318" s="2">
        <v>909.38869999999997</v>
      </c>
      <c r="D4318" s="2">
        <f>HYPERLINK("http://mcb-m6.bioreg.kyushu-u.ac.jp/M3/20110404/F50763/2505/1", 78.66)</f>
        <v>78.66</v>
      </c>
      <c r="E4318" s="2">
        <v>70.209999999999994</v>
      </c>
      <c r="F4318" s="2">
        <v>2</v>
      </c>
      <c r="G4318" s="2" t="s">
        <v>9</v>
      </c>
    </row>
    <row r="4319" spans="1:9" x14ac:dyDescent="0.2">
      <c r="A4319" s="2" t="s">
        <v>3485</v>
      </c>
      <c r="B4319" s="2" t="s">
        <v>312</v>
      </c>
      <c r="C4319" s="2">
        <v>909.32069999999999</v>
      </c>
      <c r="D4319" s="2">
        <f>HYPERLINK("http://mcb-m6.bioreg.kyushu-u.ac.jp/M3/20110404/F50768/2455/1", 64.43)</f>
        <v>64.430000000000007</v>
      </c>
      <c r="E4319" s="2">
        <v>59.47</v>
      </c>
      <c r="F4319" s="2">
        <v>2</v>
      </c>
      <c r="G4319" s="2" t="s">
        <v>10</v>
      </c>
    </row>
    <row r="4320" spans="1:9" x14ac:dyDescent="0.2">
      <c r="A4320" s="2" t="s">
        <v>3485</v>
      </c>
      <c r="B4320" s="2" t="s">
        <v>312</v>
      </c>
      <c r="C4320" s="2">
        <v>909.84559999999999</v>
      </c>
      <c r="D4320" s="2">
        <f>HYPERLINK("http://mcb-m6.bioreg.kyushu-u.ac.jp/M3/20110404/F50768/2459/1", 67.31)</f>
        <v>67.31</v>
      </c>
      <c r="E4320" s="2">
        <v>56.18</v>
      </c>
      <c r="F4320" s="2">
        <v>2</v>
      </c>
      <c r="G4320" s="2" t="s">
        <v>10</v>
      </c>
    </row>
    <row r="4321" spans="1:9" x14ac:dyDescent="0.2">
      <c r="A4321" s="2" t="s">
        <v>3485</v>
      </c>
      <c r="B4321" s="2" t="s">
        <v>312</v>
      </c>
      <c r="C4321" s="2">
        <v>909.83870000000002</v>
      </c>
      <c r="D4321" s="2">
        <f>HYPERLINK("http://mcb-m6.bioreg.kyushu-u.ac.jp/M3/20110421/F51034/2775/1", 48.38)</f>
        <v>48.38</v>
      </c>
      <c r="E4321" s="2">
        <v>41.16</v>
      </c>
      <c r="F4321" s="2">
        <v>2</v>
      </c>
      <c r="G4321" s="2" t="s">
        <v>11</v>
      </c>
    </row>
    <row r="4322" spans="1:9" x14ac:dyDescent="0.2">
      <c r="A4322" s="2" t="s">
        <v>3485</v>
      </c>
      <c r="B4322" s="2" t="s">
        <v>312</v>
      </c>
      <c r="C4322" s="2">
        <v>909.51819999999998</v>
      </c>
      <c r="D4322" s="2">
        <f>HYPERLINK("http://mcb-m6.bioreg.kyushu-u.ac.jp/M3/20110421/F51043/2792/1", 61.06)</f>
        <v>61.06</v>
      </c>
      <c r="E4322" s="2">
        <v>51.42</v>
      </c>
      <c r="F4322" s="2">
        <v>2</v>
      </c>
      <c r="G4322" s="2" t="s">
        <v>12</v>
      </c>
    </row>
    <row r="4323" spans="1:9" x14ac:dyDescent="0.2">
      <c r="A4323" s="2" t="s">
        <v>3485</v>
      </c>
      <c r="B4323" s="2" t="s">
        <v>312</v>
      </c>
      <c r="C4323" s="2">
        <v>909.54020000000003</v>
      </c>
      <c r="D4323" s="2">
        <f>HYPERLINK("http://mcb-m6.bioreg.kyushu-u.ac.jp/M3/20110421/F51045/2840/1", 86.55)</f>
        <v>86.55</v>
      </c>
      <c r="E4323" s="2">
        <v>77.16</v>
      </c>
      <c r="F4323" s="2">
        <v>2</v>
      </c>
      <c r="G4323" s="2" t="s">
        <v>12</v>
      </c>
    </row>
    <row r="4324" spans="1:9" x14ac:dyDescent="0.2">
      <c r="A4324" s="2" t="s">
        <v>3485</v>
      </c>
      <c r="B4324" s="2" t="s">
        <v>312</v>
      </c>
      <c r="C4324" s="2">
        <v>909.44669999999996</v>
      </c>
      <c r="D4324" s="2">
        <f>HYPERLINK("http://mcb-m6.bioreg.kyushu-u.ac.jp/M3/20110428/F51127/2838/1", 45.53)</f>
        <v>45.53</v>
      </c>
      <c r="E4324" s="2">
        <v>36.11</v>
      </c>
      <c r="F4324" s="2">
        <v>2</v>
      </c>
      <c r="G4324" s="2" t="s">
        <v>13</v>
      </c>
    </row>
    <row r="4325" spans="1:9" x14ac:dyDescent="0.2">
      <c r="A4325" s="2" t="s">
        <v>3485</v>
      </c>
      <c r="B4325" s="2" t="s">
        <v>312</v>
      </c>
      <c r="C4325" s="2">
        <v>909.29020000000003</v>
      </c>
      <c r="D4325" s="2">
        <f>HYPERLINK("http://mcb-m6.bioreg.kyushu-u.ac.jp/M3/20110427/F51114/2888/1", 50.61)</f>
        <v>50.61</v>
      </c>
      <c r="E4325" s="2">
        <v>38.35</v>
      </c>
      <c r="F4325" s="2">
        <v>2</v>
      </c>
      <c r="G4325" s="2" t="s">
        <v>13</v>
      </c>
    </row>
    <row r="4326" spans="1:9" x14ac:dyDescent="0.2">
      <c r="A4326" s="2" t="s">
        <v>3485</v>
      </c>
      <c r="B4326" s="2" t="s">
        <v>312</v>
      </c>
      <c r="C4326" s="2">
        <v>909.73519999999996</v>
      </c>
      <c r="D4326" s="2">
        <f>HYPERLINK("http://mcb-m6.bioreg.kyushu-u.ac.jp/M3/20110427/F51123/2771/1", 39.39)</f>
        <v>39.39</v>
      </c>
      <c r="E4326" s="2">
        <v>24.5</v>
      </c>
      <c r="F4326" s="2">
        <v>2</v>
      </c>
      <c r="G4326" s="2" t="s">
        <v>14</v>
      </c>
    </row>
    <row r="4327" spans="1:9" x14ac:dyDescent="0.2">
      <c r="A4327" s="2" t="s">
        <v>7759</v>
      </c>
      <c r="B4327" s="2" t="s">
        <v>6573</v>
      </c>
      <c r="C4327" s="2">
        <v>844.73109999999997</v>
      </c>
      <c r="D4327" s="2">
        <f>HYPERLINK("http://mcb-m6.bioreg.kyushu-u.ac.jp/M3/20110404/F50756/2427/1", 83.05)</f>
        <v>83.05</v>
      </c>
      <c r="E4327" s="2">
        <v>64.78</v>
      </c>
      <c r="F4327" s="2">
        <v>2</v>
      </c>
      <c r="G4327" s="2" t="s">
        <v>9</v>
      </c>
    </row>
    <row r="4328" spans="1:9" x14ac:dyDescent="0.2">
      <c r="A4328" s="2" t="s">
        <v>7759</v>
      </c>
      <c r="B4328" s="2" t="s">
        <v>6573</v>
      </c>
      <c r="C4328" s="2">
        <v>844.73860000000002</v>
      </c>
      <c r="D4328" s="2">
        <f>HYPERLINK("http://mcb-m6.bioreg.kyushu-u.ac.jp/M3/20110427/F51114/2586/1", 96.05)</f>
        <v>96.05</v>
      </c>
      <c r="E4328" s="2">
        <v>81.12</v>
      </c>
      <c r="F4328" s="2">
        <v>2</v>
      </c>
      <c r="G4328" s="2" t="s">
        <v>13</v>
      </c>
    </row>
    <row r="4329" spans="1:9" x14ac:dyDescent="0.2">
      <c r="A4329" s="2" t="s">
        <v>8020</v>
      </c>
      <c r="B4329" s="2" t="s">
        <v>7281</v>
      </c>
      <c r="C4329" s="2">
        <v>804.14419999999996</v>
      </c>
      <c r="D4329" s="2">
        <f>HYPERLINK("http://mcb-m6.bioreg.kyushu-u.ac.jp/M3/20110427/F51115/2279/1", 35.16)</f>
        <v>35.159999999999997</v>
      </c>
      <c r="E4329" s="2">
        <v>14.3</v>
      </c>
      <c r="F4329" s="2">
        <v>2</v>
      </c>
      <c r="G4329" s="2" t="s">
        <v>13</v>
      </c>
    </row>
    <row r="4330" spans="1:9" x14ac:dyDescent="0.2">
      <c r="A4330" s="2" t="s">
        <v>3317</v>
      </c>
      <c r="B4330" s="2" t="s">
        <v>2912</v>
      </c>
      <c r="C4330" s="2">
        <v>1121.394</v>
      </c>
      <c r="D4330" s="2">
        <f>HYPERLINK("http://mcb-m6.bioreg.kyushu-u.ac.jp/M3/20110404/F50754/1506/1", 36.35)</f>
        <v>36.35</v>
      </c>
      <c r="E4330" s="2">
        <v>25.33</v>
      </c>
      <c r="F4330" s="2">
        <v>1</v>
      </c>
      <c r="G4330" s="2" t="s">
        <v>9</v>
      </c>
      <c r="I4330" s="2" t="s">
        <v>4923</v>
      </c>
    </row>
    <row r="4331" spans="1:9" x14ac:dyDescent="0.2">
      <c r="A4331" s="2" t="s">
        <v>3317</v>
      </c>
      <c r="B4331" s="2" t="s">
        <v>293</v>
      </c>
      <c r="C4331" s="2">
        <v>658.27760000000001</v>
      </c>
      <c r="D4331" s="2">
        <f>HYPERLINK("http://mcb-m6.bioreg.kyushu-u.ac.jp/M3/20110404/F50754/1814/1", 39.01)</f>
        <v>39.01</v>
      </c>
      <c r="E4331" s="2">
        <v>13.24</v>
      </c>
      <c r="F4331" s="2">
        <v>2</v>
      </c>
      <c r="G4331" s="2" t="s">
        <v>9</v>
      </c>
    </row>
    <row r="4332" spans="1:9" x14ac:dyDescent="0.2">
      <c r="A4332" s="2" t="s">
        <v>3317</v>
      </c>
      <c r="B4332" s="2" t="s">
        <v>235</v>
      </c>
      <c r="C4332" s="2">
        <v>572.6472</v>
      </c>
      <c r="D4332" s="2">
        <f>HYPERLINK("http://mcb-m6.bioreg.kyushu-u.ac.jp/M3/20110421/F51018/1363/1", 41.49)</f>
        <v>41.49</v>
      </c>
      <c r="E4332" s="2">
        <v>16.12</v>
      </c>
      <c r="F4332" s="2">
        <v>2</v>
      </c>
      <c r="G4332" s="2" t="s">
        <v>11</v>
      </c>
    </row>
    <row r="4333" spans="1:9" x14ac:dyDescent="0.2">
      <c r="A4333" s="2" t="s">
        <v>3317</v>
      </c>
      <c r="B4333" s="2" t="s">
        <v>293</v>
      </c>
      <c r="C4333" s="2">
        <v>658.48220000000003</v>
      </c>
      <c r="D4333" s="2">
        <f>HYPERLINK("http://mcb-m6.bioreg.kyushu-u.ac.jp/M3/20110421/F51018/1687/1", 65.04)</f>
        <v>65.040000000000006</v>
      </c>
      <c r="E4333" s="2">
        <v>39.03</v>
      </c>
      <c r="F4333" s="2">
        <v>2</v>
      </c>
      <c r="G4333" s="2" t="s">
        <v>11</v>
      </c>
    </row>
    <row r="4334" spans="1:9" x14ac:dyDescent="0.2">
      <c r="A4334" s="2" t="s">
        <v>3317</v>
      </c>
      <c r="B4334" s="2" t="s">
        <v>235</v>
      </c>
      <c r="C4334" s="2">
        <v>572.63710000000003</v>
      </c>
      <c r="D4334" s="2">
        <f>HYPERLINK("http://mcb-m6.bioreg.kyushu-u.ac.jp/M3/20110427/F51112/1375/1", 57.82)</f>
        <v>57.82</v>
      </c>
      <c r="E4334" s="2">
        <v>19.87</v>
      </c>
      <c r="F4334" s="2">
        <v>2</v>
      </c>
      <c r="G4334" s="2" t="s">
        <v>13</v>
      </c>
    </row>
    <row r="4335" spans="1:9" x14ac:dyDescent="0.2">
      <c r="A4335" s="2" t="s">
        <v>3317</v>
      </c>
      <c r="B4335" s="2" t="s">
        <v>293</v>
      </c>
      <c r="C4335" s="2">
        <v>658.17909999999995</v>
      </c>
      <c r="D4335" s="2">
        <f>HYPERLINK("http://mcb-m6.bioreg.kyushu-u.ac.jp/M3/20110427/F51112/1693/1", 60.23)</f>
        <v>60.23</v>
      </c>
      <c r="E4335" s="2">
        <v>40.24</v>
      </c>
      <c r="F4335" s="2">
        <v>2</v>
      </c>
      <c r="G4335" s="2" t="s">
        <v>13</v>
      </c>
    </row>
    <row r="4336" spans="1:9" x14ac:dyDescent="0.2">
      <c r="A4336" s="4" t="s">
        <v>3248</v>
      </c>
      <c r="B4336" s="2" t="s">
        <v>925</v>
      </c>
      <c r="C4336" s="2">
        <v>1243.4839999999999</v>
      </c>
      <c r="D4336" s="2">
        <f>HYPERLINK("http://mcb-m6.bioreg.kyushu-u.ac.jp/M3/20110404/F50754/1718/1", 40.97)</f>
        <v>40.97</v>
      </c>
      <c r="E4336" s="2">
        <v>17.88</v>
      </c>
      <c r="F4336" s="2">
        <v>1</v>
      </c>
      <c r="G4336" s="2" t="s">
        <v>9</v>
      </c>
    </row>
    <row r="4337" spans="1:9" x14ac:dyDescent="0.2">
      <c r="A4337" s="4" t="s">
        <v>3248</v>
      </c>
      <c r="B4337" s="2" t="s">
        <v>925</v>
      </c>
      <c r="C4337" s="2">
        <v>622.34220000000005</v>
      </c>
      <c r="D4337" s="2">
        <f>HYPERLINK("http://mcb-m6.bioreg.kyushu-u.ac.jp/M3/20110421/F51024/1670/1", 49.93)</f>
        <v>49.93</v>
      </c>
      <c r="E4337" s="2">
        <v>32.86</v>
      </c>
      <c r="F4337" s="2">
        <v>2</v>
      </c>
      <c r="G4337" s="2" t="s">
        <v>12</v>
      </c>
    </row>
    <row r="4338" spans="1:9" x14ac:dyDescent="0.2">
      <c r="A4338" s="4" t="s">
        <v>3248</v>
      </c>
      <c r="B4338" s="2" t="s">
        <v>849</v>
      </c>
      <c r="C4338" s="2">
        <v>864.34469999999999</v>
      </c>
      <c r="D4338" s="2">
        <f>HYPERLINK("http://mcb-m6.bioreg.kyushu-u.ac.jp/M3/20110427/F51122/2596/1", 49.18)</f>
        <v>49.18</v>
      </c>
      <c r="E4338" s="2">
        <v>34.65</v>
      </c>
      <c r="F4338" s="2">
        <v>2</v>
      </c>
      <c r="G4338" s="2" t="s">
        <v>14</v>
      </c>
    </row>
    <row r="4339" spans="1:9" x14ac:dyDescent="0.2">
      <c r="A4339" s="4" t="s">
        <v>3248</v>
      </c>
      <c r="B4339" s="2" t="s">
        <v>925</v>
      </c>
      <c r="C4339" s="2">
        <v>622.84270000000004</v>
      </c>
      <c r="D4339" s="2">
        <f>HYPERLINK("http://mcb-m6.bioreg.kyushu-u.ac.jp/M3/20110427/F51121/1646/1", 50.72)</f>
        <v>50.72</v>
      </c>
      <c r="E4339" s="2">
        <v>26.55</v>
      </c>
      <c r="F4339" s="2">
        <v>2</v>
      </c>
      <c r="G4339" s="2" t="s">
        <v>14</v>
      </c>
    </row>
    <row r="4340" spans="1:9" x14ac:dyDescent="0.2">
      <c r="A4340" s="2" t="s">
        <v>4265</v>
      </c>
      <c r="B4340" s="2" t="s">
        <v>1926</v>
      </c>
      <c r="C4340" s="2">
        <v>795.19169999999997</v>
      </c>
      <c r="D4340" s="2">
        <f>HYPERLINK("http://mcb-m6.bioreg.kyushu-u.ac.jp/M3/20110404/F50758/2109/1", 64.37)</f>
        <v>64.37</v>
      </c>
      <c r="E4340" s="2">
        <v>39.71</v>
      </c>
      <c r="F4340" s="2">
        <v>2</v>
      </c>
      <c r="G4340" s="2" t="s">
        <v>10</v>
      </c>
    </row>
    <row r="4341" spans="1:9" x14ac:dyDescent="0.2">
      <c r="A4341" s="2" t="s">
        <v>5696</v>
      </c>
      <c r="B4341" s="2" t="s">
        <v>6634</v>
      </c>
      <c r="C4341" s="2">
        <v>1043.547</v>
      </c>
      <c r="D4341" s="2">
        <f>HYPERLINK("http://mcb-m6.bioreg.kyushu-u.ac.jp/M3/20110404/F50778/3120/1", 100.5)</f>
        <v>100.5</v>
      </c>
      <c r="E4341" s="2">
        <v>91.42</v>
      </c>
      <c r="F4341" s="2">
        <v>2</v>
      </c>
      <c r="G4341" s="2" t="s">
        <v>9</v>
      </c>
      <c r="I4341" s="2" t="s">
        <v>4926</v>
      </c>
    </row>
    <row r="4342" spans="1:9" x14ac:dyDescent="0.2">
      <c r="A4342" s="2" t="s">
        <v>5696</v>
      </c>
      <c r="B4342" s="2" t="s">
        <v>7048</v>
      </c>
      <c r="C4342" s="2">
        <v>726.97310000000004</v>
      </c>
      <c r="D4342" s="2">
        <f>HYPERLINK("http://mcb-m6.bioreg.kyushu-u.ac.jp/M3/20110404/F50775/1907/1", 98.9)</f>
        <v>98.9</v>
      </c>
      <c r="E4342" s="2">
        <v>83.93</v>
      </c>
      <c r="F4342" s="2">
        <v>2</v>
      </c>
      <c r="G4342" s="2" t="s">
        <v>10</v>
      </c>
    </row>
    <row r="4343" spans="1:9" x14ac:dyDescent="0.2">
      <c r="A4343" s="2" t="s">
        <v>3434</v>
      </c>
      <c r="B4343" s="2" t="s">
        <v>242</v>
      </c>
      <c r="C4343" s="2">
        <v>626.17319999999995</v>
      </c>
      <c r="D4343" s="2">
        <f>HYPERLINK("http://mcb-m6.bioreg.kyushu-u.ac.jp/M3/20110421/F51014/1683/1", 37.03)</f>
        <v>37.03</v>
      </c>
      <c r="E4343" s="2">
        <v>20.38</v>
      </c>
      <c r="F4343" s="2">
        <v>2</v>
      </c>
      <c r="G4343" s="2" t="s">
        <v>11</v>
      </c>
    </row>
    <row r="4344" spans="1:9" x14ac:dyDescent="0.2">
      <c r="A4344" s="2" t="s">
        <v>7574</v>
      </c>
      <c r="B4344" s="2" t="s">
        <v>6018</v>
      </c>
      <c r="C4344" s="2">
        <v>668.76210000000003</v>
      </c>
      <c r="D4344" s="2">
        <f>HYPERLINK("http://mcb-m6.bioreg.kyushu-u.ac.jp/M3/20110404/F50756/1598/1", 38.95)</f>
        <v>38.950000000000003</v>
      </c>
      <c r="E4344" s="2">
        <v>29.46</v>
      </c>
      <c r="F4344" s="2">
        <v>2</v>
      </c>
      <c r="G4344" s="2" t="s">
        <v>9</v>
      </c>
    </row>
    <row r="4345" spans="1:9" x14ac:dyDescent="0.2">
      <c r="A4345" s="2" t="s">
        <v>7574</v>
      </c>
      <c r="B4345" s="2" t="s">
        <v>6603</v>
      </c>
      <c r="C4345" s="2">
        <v>842.29269999999997</v>
      </c>
      <c r="D4345" s="2">
        <f>HYPERLINK("http://mcb-m6.bioreg.kyushu-u.ac.jp/M3/20110404/F50756/2414/1", 90.91)</f>
        <v>90.91</v>
      </c>
      <c r="E4345" s="2">
        <v>72.319999999999993</v>
      </c>
      <c r="F4345" s="2">
        <v>2</v>
      </c>
      <c r="G4345" s="2" t="s">
        <v>9</v>
      </c>
    </row>
    <row r="4346" spans="1:9" x14ac:dyDescent="0.2">
      <c r="A4346" s="2" t="s">
        <v>7574</v>
      </c>
      <c r="B4346" s="2" t="s">
        <v>7435</v>
      </c>
      <c r="C4346" s="2">
        <v>866.69209999999998</v>
      </c>
      <c r="D4346" s="2">
        <f>HYPERLINK("http://mcb-m6.bioreg.kyushu-u.ac.jp/M3/20110427/F51114/2697/1", 83.13)</f>
        <v>83.13</v>
      </c>
      <c r="E4346" s="2">
        <v>68.760000000000005</v>
      </c>
      <c r="F4346" s="2">
        <v>2</v>
      </c>
      <c r="G4346" s="2" t="s">
        <v>13</v>
      </c>
    </row>
    <row r="4347" spans="1:9" x14ac:dyDescent="0.2">
      <c r="A4347" s="2" t="s">
        <v>7574</v>
      </c>
      <c r="B4347" s="2" t="s">
        <v>6603</v>
      </c>
      <c r="C4347" s="2">
        <v>842.66470000000004</v>
      </c>
      <c r="D4347" s="2">
        <f>HYPERLINK("http://mcb-m6.bioreg.kyushu-u.ac.jp/M3/20110427/F51114/2577/1", 98.74)</f>
        <v>98.74</v>
      </c>
      <c r="E4347" s="2">
        <v>79.28</v>
      </c>
      <c r="F4347" s="2">
        <v>2</v>
      </c>
      <c r="G4347" s="2" t="s">
        <v>13</v>
      </c>
    </row>
    <row r="4348" spans="1:9" x14ac:dyDescent="0.2">
      <c r="A4348" s="2" t="s">
        <v>3497</v>
      </c>
      <c r="B4348" s="2" t="s">
        <v>331</v>
      </c>
      <c r="C4348" s="2">
        <v>868.71770000000004</v>
      </c>
      <c r="D4348" s="2">
        <f>HYPERLINK("http://mcb-m6.bioreg.kyushu-u.ac.jp/M3/20110404/F50753/2497/1", 41.7)</f>
        <v>41.7</v>
      </c>
      <c r="E4348" s="2">
        <v>28.73</v>
      </c>
      <c r="F4348" s="2">
        <v>2</v>
      </c>
      <c r="G4348" s="2" t="s">
        <v>9</v>
      </c>
    </row>
    <row r="4349" spans="1:9" x14ac:dyDescent="0.2">
      <c r="A4349" s="2" t="s">
        <v>3497</v>
      </c>
      <c r="B4349" s="2" t="s">
        <v>7134</v>
      </c>
      <c r="C4349" s="2">
        <v>585.78219999999999</v>
      </c>
      <c r="D4349" s="2">
        <f>HYPERLINK("http://mcb-m6.bioreg.kyushu-u.ac.jp/M3/20110421/F51017/1284/1", 60.32)</f>
        <v>60.32</v>
      </c>
      <c r="E4349" s="2">
        <v>37.020000000000003</v>
      </c>
      <c r="F4349" s="2">
        <v>2</v>
      </c>
      <c r="G4349" s="2" t="s">
        <v>11</v>
      </c>
    </row>
    <row r="4350" spans="1:9" x14ac:dyDescent="0.2">
      <c r="A4350" s="2" t="s">
        <v>3283</v>
      </c>
      <c r="B4350" s="2" t="s">
        <v>63</v>
      </c>
      <c r="C4350" s="2">
        <v>871.1807</v>
      </c>
      <c r="D4350" s="2">
        <f>HYPERLINK("http://mcb-m6.bioreg.kyushu-u.ac.jp/M3/20110404/F50776/2119/1", 107.31)</f>
        <v>107.31</v>
      </c>
      <c r="E4350" s="2">
        <v>86.1</v>
      </c>
      <c r="F4350" s="2">
        <v>2</v>
      </c>
      <c r="G4350" s="2" t="s">
        <v>9</v>
      </c>
    </row>
    <row r="4351" spans="1:9" x14ac:dyDescent="0.2">
      <c r="A4351" s="2" t="s">
        <v>3283</v>
      </c>
      <c r="B4351" s="2" t="s">
        <v>63</v>
      </c>
      <c r="C4351" s="2">
        <v>871.40869999999995</v>
      </c>
      <c r="D4351" s="2">
        <f>HYPERLINK("http://mcb-m6.bioreg.kyushu-u.ac.jp/M3/20110404/F50781/2114/1", 86.12)</f>
        <v>86.12</v>
      </c>
      <c r="E4351" s="2">
        <v>65.56</v>
      </c>
      <c r="F4351" s="2">
        <v>2</v>
      </c>
      <c r="G4351" s="2" t="s">
        <v>10</v>
      </c>
    </row>
    <row r="4352" spans="1:9" x14ac:dyDescent="0.2">
      <c r="A4352" s="2" t="s">
        <v>3283</v>
      </c>
      <c r="B4352" s="2" t="s">
        <v>63</v>
      </c>
      <c r="C4352" s="2">
        <v>870.90060000000005</v>
      </c>
      <c r="D4352" s="2">
        <f>HYPERLINK("http://mcb-m6.bioreg.kyushu-u.ac.jp/M3/20110404/F50781/2109/1", 98.63)</f>
        <v>98.63</v>
      </c>
      <c r="E4352" s="2">
        <v>77.760000000000005</v>
      </c>
      <c r="F4352" s="2">
        <v>2</v>
      </c>
      <c r="G4352" s="2" t="s">
        <v>10</v>
      </c>
    </row>
    <row r="4353" spans="1:9" x14ac:dyDescent="0.2">
      <c r="A4353" s="2" t="s">
        <v>3283</v>
      </c>
      <c r="B4353" s="2" t="s">
        <v>63</v>
      </c>
      <c r="C4353" s="2">
        <v>870.96469999999999</v>
      </c>
      <c r="D4353" s="2">
        <f>HYPERLINK("http://mcb-m6.bioreg.kyushu-u.ac.jp/M3/20110421/F51058/2413/1", 93.83)</f>
        <v>93.83</v>
      </c>
      <c r="E4353" s="2">
        <v>79.040000000000006</v>
      </c>
      <c r="F4353" s="2">
        <v>2</v>
      </c>
      <c r="G4353" s="2" t="s">
        <v>11</v>
      </c>
    </row>
    <row r="4354" spans="1:9" x14ac:dyDescent="0.2">
      <c r="A4354" s="2" t="s">
        <v>3283</v>
      </c>
      <c r="B4354" s="2" t="s">
        <v>63</v>
      </c>
      <c r="C4354" s="2">
        <v>871.17470000000003</v>
      </c>
      <c r="D4354" s="2">
        <f>HYPERLINK("http://mcb-m6.bioreg.kyushu-u.ac.jp/M3/20110421/F51059/2352/1", 66.39)</f>
        <v>66.39</v>
      </c>
      <c r="E4354" s="2">
        <v>54.25</v>
      </c>
      <c r="F4354" s="2">
        <v>2</v>
      </c>
      <c r="G4354" s="2" t="s">
        <v>12</v>
      </c>
    </row>
    <row r="4355" spans="1:9" x14ac:dyDescent="0.2">
      <c r="A4355" s="2" t="s">
        <v>3283</v>
      </c>
      <c r="B4355" s="2" t="s">
        <v>63</v>
      </c>
      <c r="C4355" s="2">
        <v>871.23910000000001</v>
      </c>
      <c r="D4355" s="2">
        <f>HYPERLINK("http://mcb-m6.bioreg.kyushu-u.ac.jp/M3/20110427/F51113/2517/1", 47)</f>
        <v>47</v>
      </c>
      <c r="E4355" s="2">
        <v>38.25</v>
      </c>
      <c r="F4355" s="2">
        <v>2</v>
      </c>
      <c r="G4355" s="2" t="s">
        <v>13</v>
      </c>
    </row>
    <row r="4356" spans="1:9" x14ac:dyDescent="0.2">
      <c r="A4356" s="2" t="s">
        <v>3283</v>
      </c>
      <c r="B4356" s="2" t="s">
        <v>63</v>
      </c>
      <c r="C4356" s="2">
        <v>871.22770000000003</v>
      </c>
      <c r="D4356" s="2">
        <f>HYPERLINK("http://mcb-m6.bioreg.kyushu-u.ac.jp/M3/20110428/F51131/2443/1", 67.64)</f>
        <v>67.64</v>
      </c>
      <c r="E4356" s="2">
        <v>49.56</v>
      </c>
      <c r="F4356" s="2">
        <v>2</v>
      </c>
      <c r="G4356" s="2" t="s">
        <v>13</v>
      </c>
    </row>
    <row r="4357" spans="1:9" x14ac:dyDescent="0.2">
      <c r="A4357" s="2" t="s">
        <v>3283</v>
      </c>
      <c r="B4357" s="2" t="s">
        <v>63</v>
      </c>
      <c r="C4357" s="2">
        <v>870.71810000000005</v>
      </c>
      <c r="D4357" s="2">
        <f>HYPERLINK("http://mcb-m6.bioreg.kyushu-u.ac.jp/M3/20110428/F51131/2440/1", 93.67)</f>
        <v>93.67</v>
      </c>
      <c r="E4357" s="2">
        <v>74.95</v>
      </c>
      <c r="F4357" s="2">
        <v>2</v>
      </c>
      <c r="G4357" s="2" t="s">
        <v>13</v>
      </c>
    </row>
    <row r="4358" spans="1:9" x14ac:dyDescent="0.2">
      <c r="A4358" s="2" t="s">
        <v>3283</v>
      </c>
      <c r="B4358" s="2" t="s">
        <v>63</v>
      </c>
      <c r="C4358" s="2">
        <v>871.53560000000004</v>
      </c>
      <c r="D4358" s="2">
        <f>HYPERLINK("http://mcb-m6.bioreg.kyushu-u.ac.jp/M3/20110428/F51135/2293/1", 93.32)</f>
        <v>93.32</v>
      </c>
      <c r="E4358" s="2">
        <v>77.3</v>
      </c>
      <c r="F4358" s="2">
        <v>2</v>
      </c>
      <c r="G4358" s="2" t="s">
        <v>14</v>
      </c>
    </row>
    <row r="4359" spans="1:9" x14ac:dyDescent="0.2">
      <c r="A4359" s="2" t="s">
        <v>4332</v>
      </c>
      <c r="B4359" s="2" t="s">
        <v>2132</v>
      </c>
      <c r="C4359" s="2">
        <v>849.91970000000003</v>
      </c>
      <c r="D4359" s="2">
        <f>HYPERLINK("http://mcb-m6.bioreg.kyushu-u.ac.jp/M3/20110404/F50776/2064/1", 79.6)</f>
        <v>79.599999999999994</v>
      </c>
      <c r="E4359" s="2">
        <v>67.89</v>
      </c>
      <c r="F4359" s="2">
        <v>2</v>
      </c>
      <c r="G4359" s="2" t="s">
        <v>9</v>
      </c>
    </row>
    <row r="4360" spans="1:9" x14ac:dyDescent="0.2">
      <c r="A4360" s="2" t="s">
        <v>4332</v>
      </c>
      <c r="B4360" s="2" t="s">
        <v>2132</v>
      </c>
      <c r="C4360" s="2">
        <v>850.35170000000005</v>
      </c>
      <c r="D4360" s="2">
        <f>HYPERLINK("http://mcb-m6.bioreg.kyushu-u.ac.jp/M3/20110404/F50755/2437/1", 83.24)</f>
        <v>83.24</v>
      </c>
      <c r="E4360" s="2">
        <v>69.41</v>
      </c>
      <c r="F4360" s="2">
        <v>2</v>
      </c>
      <c r="G4360" s="2" t="s">
        <v>9</v>
      </c>
    </row>
    <row r="4361" spans="1:9" x14ac:dyDescent="0.2">
      <c r="A4361" s="2" t="s">
        <v>4332</v>
      </c>
      <c r="B4361" s="2" t="s">
        <v>2132</v>
      </c>
      <c r="C4361" s="2">
        <v>850.03020000000004</v>
      </c>
      <c r="D4361" s="2">
        <f>HYPERLINK("http://mcb-m6.bioreg.kyushu-u.ac.jp/M3/20110404/F50760/2190/1", 40.16)</f>
        <v>40.159999999999997</v>
      </c>
      <c r="E4361" s="2">
        <v>16.78</v>
      </c>
      <c r="F4361" s="2">
        <v>2</v>
      </c>
      <c r="G4361" s="2" t="s">
        <v>10</v>
      </c>
    </row>
    <row r="4362" spans="1:9" x14ac:dyDescent="0.2">
      <c r="A4362" s="2" t="s">
        <v>4332</v>
      </c>
      <c r="B4362" s="2" t="s">
        <v>2132</v>
      </c>
      <c r="C4362" s="2">
        <v>850.45759999999996</v>
      </c>
      <c r="D4362" s="2">
        <f>HYPERLINK("http://mcb-m6.bioreg.kyushu-u.ac.jp/M3/20110421/F51058/2344/1", 56.57)</f>
        <v>56.57</v>
      </c>
      <c r="E4362" s="2">
        <v>45.78</v>
      </c>
      <c r="F4362" s="2">
        <v>2</v>
      </c>
      <c r="G4362" s="2" t="s">
        <v>11</v>
      </c>
    </row>
    <row r="4363" spans="1:9" x14ac:dyDescent="0.2">
      <c r="A4363" s="2" t="s">
        <v>3987</v>
      </c>
      <c r="B4363" s="2" t="s">
        <v>1252</v>
      </c>
      <c r="C4363" s="2">
        <v>602.18769999999995</v>
      </c>
      <c r="D4363" s="2">
        <f>HYPERLINK("http://mcb-m6.bioreg.kyushu-u.ac.jp/M3/20110404/F50755/1391/1", 73.97)</f>
        <v>73.97</v>
      </c>
      <c r="E4363" s="2">
        <v>42.79</v>
      </c>
      <c r="F4363" s="2">
        <v>2</v>
      </c>
      <c r="G4363" s="2" t="s">
        <v>9</v>
      </c>
    </row>
    <row r="4364" spans="1:9" x14ac:dyDescent="0.2">
      <c r="A4364" s="2" t="s">
        <v>3987</v>
      </c>
      <c r="B4364" s="2" t="s">
        <v>1252</v>
      </c>
      <c r="C4364" s="2">
        <v>602.88819999999998</v>
      </c>
      <c r="D4364" s="2">
        <f>HYPERLINK("http://mcb-m6.bioreg.kyushu-u.ac.jp/M3/20110421/F51058/1201/1", 74.5)</f>
        <v>74.5</v>
      </c>
      <c r="E4364" s="2">
        <v>49.81</v>
      </c>
      <c r="F4364" s="2">
        <v>2</v>
      </c>
      <c r="G4364" s="2" t="s">
        <v>11</v>
      </c>
    </row>
    <row r="4365" spans="1:9" x14ac:dyDescent="0.2">
      <c r="A4365" s="2" t="s">
        <v>3987</v>
      </c>
      <c r="B4365" s="2" t="s">
        <v>1252</v>
      </c>
      <c r="C4365" s="2">
        <v>602.16420000000005</v>
      </c>
      <c r="D4365" s="2">
        <f>HYPERLINK("http://mcb-m6.bioreg.kyushu-u.ac.jp/M3/20110428/F51131/1174/1", 44.54)</f>
        <v>44.54</v>
      </c>
      <c r="E4365" s="2">
        <v>20.82</v>
      </c>
      <c r="F4365" s="2">
        <v>2</v>
      </c>
      <c r="G4365" s="2" t="s">
        <v>13</v>
      </c>
    </row>
    <row r="4366" spans="1:9" x14ac:dyDescent="0.2">
      <c r="A4366" s="2" t="s">
        <v>3987</v>
      </c>
      <c r="B4366" s="2" t="s">
        <v>1252</v>
      </c>
      <c r="C4366" s="2">
        <v>602.13459999999998</v>
      </c>
      <c r="D4366" s="2">
        <f>HYPERLINK("http://mcb-m6.bioreg.kyushu-u.ac.jp/M3/20110427/F51114/1379/1", 69.98)</f>
        <v>69.98</v>
      </c>
      <c r="E4366" s="2">
        <v>39.61</v>
      </c>
      <c r="F4366" s="2">
        <v>2</v>
      </c>
      <c r="G4366" s="2" t="s">
        <v>13</v>
      </c>
    </row>
    <row r="4367" spans="1:9" x14ac:dyDescent="0.2">
      <c r="A4367" s="2" t="s">
        <v>3987</v>
      </c>
      <c r="B4367" s="2" t="s">
        <v>1252</v>
      </c>
      <c r="C4367" s="2">
        <v>602.17859999999996</v>
      </c>
      <c r="D4367" s="2">
        <f>HYPERLINK("http://mcb-m6.bioreg.kyushu-u.ac.jp/M3/20110427/F51123/1449/1", 36.41)</f>
        <v>36.409999999999997</v>
      </c>
      <c r="E4367" s="2">
        <v>17.989999999999998</v>
      </c>
      <c r="F4367" s="2">
        <v>2</v>
      </c>
      <c r="G4367" s="2" t="s">
        <v>14</v>
      </c>
    </row>
    <row r="4368" spans="1:9" x14ac:dyDescent="0.2">
      <c r="A4368" s="2" t="s">
        <v>4100</v>
      </c>
      <c r="B4368" s="2" t="s">
        <v>1565</v>
      </c>
      <c r="C4368" s="2">
        <v>768.61320000000001</v>
      </c>
      <c r="D4368" s="2">
        <f>HYPERLINK("http://mcb-m6.bioreg.kyushu-u.ac.jp/M3/20110404/F50764/1988/1", 74.94)</f>
        <v>74.94</v>
      </c>
      <c r="E4368" s="2">
        <v>53.38</v>
      </c>
      <c r="F4368" s="2">
        <v>2</v>
      </c>
      <c r="G4368" s="2" t="s">
        <v>9</v>
      </c>
      <c r="I4368" s="2" t="s">
        <v>4942</v>
      </c>
    </row>
    <row r="4369" spans="1:9" x14ac:dyDescent="0.2">
      <c r="A4369" s="2" t="s">
        <v>3520</v>
      </c>
      <c r="B4369" s="2" t="s">
        <v>2756</v>
      </c>
      <c r="C4369" s="2">
        <v>744.64919999999995</v>
      </c>
      <c r="D4369" s="2">
        <f>HYPERLINK("http://mcb-m6.bioreg.kyushu-u.ac.jp/M3/20110404/F50764/1901/1", 46.93)</f>
        <v>46.93</v>
      </c>
      <c r="E4369" s="2">
        <v>3.26</v>
      </c>
      <c r="F4369" s="2">
        <v>2</v>
      </c>
      <c r="G4369" s="2" t="s">
        <v>9</v>
      </c>
    </row>
    <row r="4370" spans="1:9" x14ac:dyDescent="0.2">
      <c r="A4370" s="2" t="s">
        <v>3520</v>
      </c>
      <c r="B4370" s="2" t="s">
        <v>6335</v>
      </c>
      <c r="C4370" s="2">
        <v>854.97860000000003</v>
      </c>
      <c r="D4370" s="2">
        <f>HYPERLINK("http://mcb-m6.bioreg.kyushu-u.ac.jp/M3/20110404/F50764/2277/1", 53.81)</f>
        <v>53.81</v>
      </c>
      <c r="E4370" s="2">
        <v>43.24</v>
      </c>
      <c r="F4370" s="2">
        <v>2</v>
      </c>
      <c r="G4370" s="2" t="s">
        <v>9</v>
      </c>
    </row>
    <row r="4371" spans="1:9" x14ac:dyDescent="0.2">
      <c r="A4371" s="2" t="s">
        <v>3520</v>
      </c>
      <c r="B4371" s="2" t="s">
        <v>1919</v>
      </c>
      <c r="C4371" s="2">
        <v>640.2867</v>
      </c>
      <c r="D4371" s="2">
        <f>HYPERLINK("http://mcb-m6.bioreg.kyushu-u.ac.jp/M3/20110404/F50764/1449/1", 55.51)</f>
        <v>55.51</v>
      </c>
      <c r="E4371" s="2">
        <v>37.76</v>
      </c>
      <c r="F4371" s="2">
        <v>2</v>
      </c>
      <c r="G4371" s="2" t="s">
        <v>9</v>
      </c>
      <c r="H4371" s="2" t="s">
        <v>4904</v>
      </c>
    </row>
    <row r="4372" spans="1:9" x14ac:dyDescent="0.2">
      <c r="A4372" s="2" t="s">
        <v>3520</v>
      </c>
      <c r="B4372" s="2" t="s">
        <v>2279</v>
      </c>
      <c r="C4372" s="2">
        <v>708.28560000000004</v>
      </c>
      <c r="D4372" s="2">
        <f>HYPERLINK("http://mcb-m6.bioreg.kyushu-u.ac.jp/M3/20110404/F50764/1718/1", 66.23)</f>
        <v>66.23</v>
      </c>
      <c r="E4372" s="2">
        <v>50.95</v>
      </c>
      <c r="F4372" s="2">
        <v>2</v>
      </c>
      <c r="G4372" s="2" t="s">
        <v>9</v>
      </c>
      <c r="I4372" s="2" t="s">
        <v>4903</v>
      </c>
    </row>
    <row r="4373" spans="1:9" x14ac:dyDescent="0.2">
      <c r="A4373" s="2" t="s">
        <v>3520</v>
      </c>
      <c r="B4373" s="2" t="s">
        <v>850</v>
      </c>
      <c r="C4373" s="2">
        <v>560.24469999999997</v>
      </c>
      <c r="D4373" s="2">
        <f>HYPERLINK("http://mcb-m6.bioreg.kyushu-u.ac.jp/M3/20110404/F50764/1169/1", 69.2)</f>
        <v>69.2</v>
      </c>
      <c r="E4373" s="2">
        <v>29.69</v>
      </c>
      <c r="F4373" s="2">
        <v>2</v>
      </c>
      <c r="G4373" s="2" t="s">
        <v>9</v>
      </c>
    </row>
    <row r="4374" spans="1:9" x14ac:dyDescent="0.2">
      <c r="A4374" s="2" t="s">
        <v>3520</v>
      </c>
      <c r="B4374" s="2" t="s">
        <v>1609</v>
      </c>
      <c r="C4374" s="2">
        <v>798.24620000000004</v>
      </c>
      <c r="D4374" s="2">
        <f>HYPERLINK("http://mcb-m6.bioreg.kyushu-u.ac.jp/M3/20110404/F50764/2098/1", 69.41)</f>
        <v>69.41</v>
      </c>
      <c r="E4374" s="2">
        <v>42.53</v>
      </c>
      <c r="F4374" s="2">
        <v>2</v>
      </c>
      <c r="G4374" s="2" t="s">
        <v>9</v>
      </c>
      <c r="I4374" s="2" t="s">
        <v>4892</v>
      </c>
    </row>
    <row r="4375" spans="1:9" x14ac:dyDescent="0.2">
      <c r="A4375" s="2" t="s">
        <v>3520</v>
      </c>
      <c r="B4375" s="2" t="s">
        <v>1195</v>
      </c>
      <c r="C4375" s="2">
        <v>661.33969999999999</v>
      </c>
      <c r="D4375" s="2">
        <f>HYPERLINK("http://mcb-m6.bioreg.kyushu-u.ac.jp/M3/20110404/F50764/1509/1", 80.95)</f>
        <v>80.95</v>
      </c>
      <c r="E4375" s="2">
        <v>61.92</v>
      </c>
      <c r="F4375" s="2">
        <v>2</v>
      </c>
      <c r="G4375" s="2" t="s">
        <v>9</v>
      </c>
    </row>
    <row r="4376" spans="1:9" x14ac:dyDescent="0.2">
      <c r="A4376" s="2" t="s">
        <v>3520</v>
      </c>
      <c r="B4376" s="2" t="s">
        <v>1609</v>
      </c>
      <c r="C4376" s="2">
        <v>797.69920000000002</v>
      </c>
      <c r="D4376" s="2">
        <f>HYPERLINK("http://mcb-m6.bioreg.kyushu-u.ac.jp/M3/20110404/F50764/2095/1", 104.06)</f>
        <v>104.06</v>
      </c>
      <c r="E4376" s="2">
        <v>80.16</v>
      </c>
      <c r="F4376" s="2">
        <v>2</v>
      </c>
      <c r="G4376" s="2" t="s">
        <v>9</v>
      </c>
      <c r="I4376" s="2" t="s">
        <v>4892</v>
      </c>
    </row>
    <row r="4377" spans="1:9" x14ac:dyDescent="0.2">
      <c r="A4377" s="2" t="s">
        <v>3520</v>
      </c>
      <c r="B4377" s="2" t="s">
        <v>1195</v>
      </c>
      <c r="C4377" s="2">
        <v>661.07920000000001</v>
      </c>
      <c r="D4377" s="2">
        <f>HYPERLINK("http://mcb-m6.bioreg.kyushu-u.ac.jp/M3/20110404/F50770/1587/1", 59.7)</f>
        <v>59.7</v>
      </c>
      <c r="E4377" s="2">
        <v>33.700000000000003</v>
      </c>
      <c r="F4377" s="2">
        <v>2</v>
      </c>
      <c r="G4377" s="2" t="s">
        <v>10</v>
      </c>
    </row>
    <row r="4378" spans="1:9" x14ac:dyDescent="0.2">
      <c r="A4378" s="2" t="s">
        <v>3520</v>
      </c>
      <c r="B4378" s="2" t="s">
        <v>2756</v>
      </c>
      <c r="C4378" s="2">
        <v>744.78560000000004</v>
      </c>
      <c r="D4378" s="2">
        <f>HYPERLINK("http://mcb-m6.bioreg.kyushu-u.ac.jp/M3/20110404/F50770/1953/1", 60.84)</f>
        <v>60.84</v>
      </c>
      <c r="E4378" s="2">
        <v>10.77</v>
      </c>
      <c r="F4378" s="2">
        <v>2</v>
      </c>
      <c r="G4378" s="2" t="s">
        <v>10</v>
      </c>
    </row>
    <row r="4379" spans="1:9" x14ac:dyDescent="0.2">
      <c r="A4379" s="2" t="s">
        <v>3520</v>
      </c>
      <c r="B4379" s="2" t="s">
        <v>1609</v>
      </c>
      <c r="C4379" s="2">
        <v>798.24019999999996</v>
      </c>
      <c r="D4379" s="2">
        <f>HYPERLINK("http://mcb-m6.bioreg.kyushu-u.ac.jp/M3/20110404/F50770/2128/1", 95.06)</f>
        <v>95.06</v>
      </c>
      <c r="E4379" s="2">
        <v>72.22</v>
      </c>
      <c r="F4379" s="2">
        <v>2</v>
      </c>
      <c r="G4379" s="2" t="s">
        <v>10</v>
      </c>
      <c r="I4379" s="2" t="s">
        <v>4892</v>
      </c>
    </row>
    <row r="4380" spans="1:9" x14ac:dyDescent="0.2">
      <c r="A4380" s="2" t="s">
        <v>3520</v>
      </c>
      <c r="B4380" s="2" t="s">
        <v>1484</v>
      </c>
      <c r="C4380" s="2">
        <v>815.37919999999997</v>
      </c>
      <c r="D4380" s="2">
        <f>HYPERLINK("http://mcb-m6.bioreg.kyushu-u.ac.jp/M3/20110421/F51040/2434/1", 83.64)</f>
        <v>83.64</v>
      </c>
      <c r="E4380" s="2">
        <v>64.260000000000005</v>
      </c>
      <c r="F4380" s="2">
        <v>2</v>
      </c>
      <c r="G4380" s="2" t="s">
        <v>11</v>
      </c>
      <c r="I4380" s="2" t="s">
        <v>4906</v>
      </c>
    </row>
    <row r="4381" spans="1:9" x14ac:dyDescent="0.2">
      <c r="A4381" s="2" t="s">
        <v>4415</v>
      </c>
      <c r="B4381" s="2" t="s">
        <v>2276</v>
      </c>
      <c r="C4381" s="2">
        <v>740.35569999999996</v>
      </c>
      <c r="D4381" s="2">
        <f>HYPERLINK("http://mcb-m6.bioreg.kyushu-u.ac.jp/M3/20110404/F50764/1884/1", 74.33)</f>
        <v>74.33</v>
      </c>
      <c r="E4381" s="2">
        <v>51.72</v>
      </c>
      <c r="F4381" s="2">
        <v>2</v>
      </c>
      <c r="G4381" s="2" t="s">
        <v>9</v>
      </c>
    </row>
    <row r="4382" spans="1:9" x14ac:dyDescent="0.2">
      <c r="A4382" s="2" t="s">
        <v>4415</v>
      </c>
      <c r="B4382" s="2" t="s">
        <v>2276</v>
      </c>
      <c r="C4382" s="2">
        <v>740.23770000000002</v>
      </c>
      <c r="D4382" s="2">
        <f>HYPERLINK("http://mcb-m6.bioreg.kyushu-u.ac.jp/M3/20110404/F50770/1932/1", 85.04)</f>
        <v>85.04</v>
      </c>
      <c r="E4382" s="2">
        <v>67.8</v>
      </c>
      <c r="F4382" s="2">
        <v>2</v>
      </c>
      <c r="G4382" s="2" t="s">
        <v>10</v>
      </c>
    </row>
    <row r="4383" spans="1:9" x14ac:dyDescent="0.2">
      <c r="A4383" s="2" t="s">
        <v>4415</v>
      </c>
      <c r="B4383" s="2" t="s">
        <v>2276</v>
      </c>
      <c r="C4383" s="2">
        <v>740.90309999999999</v>
      </c>
      <c r="D4383" s="2">
        <f>HYPERLINK("http://mcb-m6.bioreg.kyushu-u.ac.jp/M3/20110421/F51040/2054/1", 58.77)</f>
        <v>58.77</v>
      </c>
      <c r="E4383" s="2">
        <v>24.57</v>
      </c>
      <c r="F4383" s="2">
        <v>2</v>
      </c>
      <c r="G4383" s="2" t="s">
        <v>11</v>
      </c>
    </row>
    <row r="4384" spans="1:9" x14ac:dyDescent="0.2">
      <c r="A4384" s="2" t="s">
        <v>3596</v>
      </c>
      <c r="B4384" s="2" t="s">
        <v>1220</v>
      </c>
      <c r="C4384" s="2">
        <v>1057.6120000000001</v>
      </c>
      <c r="D4384" s="2">
        <f>HYPERLINK("http://mcb-m6.bioreg.kyushu-u.ac.jp/M3/20110404/F50755/3088/1", 84.28)</f>
        <v>84.28</v>
      </c>
      <c r="E4384" s="2">
        <v>20.100000000000001</v>
      </c>
      <c r="F4384" s="2">
        <v>2</v>
      </c>
      <c r="G4384" s="2" t="s">
        <v>9</v>
      </c>
      <c r="I4384" s="2" t="s">
        <v>4934</v>
      </c>
    </row>
    <row r="4385" spans="1:9" x14ac:dyDescent="0.2">
      <c r="A4385" s="2" t="s">
        <v>4090</v>
      </c>
      <c r="B4385" s="2" t="s">
        <v>3074</v>
      </c>
      <c r="C4385" s="2">
        <v>977.3981</v>
      </c>
      <c r="D4385" s="2">
        <f>HYPERLINK("http://mcb-m6.bioreg.kyushu-u.ac.jp/M3/20110404/F50755/2888/1", 93.17)</f>
        <v>93.17</v>
      </c>
      <c r="E4385" s="2">
        <v>75.7</v>
      </c>
      <c r="F4385" s="2">
        <v>2</v>
      </c>
      <c r="G4385" s="2" t="s">
        <v>9</v>
      </c>
    </row>
    <row r="4386" spans="1:9" x14ac:dyDescent="0.2">
      <c r="A4386" s="2" t="s">
        <v>7705</v>
      </c>
      <c r="B4386" s="2" t="s">
        <v>6382</v>
      </c>
      <c r="C4386" s="2">
        <v>564.33320000000003</v>
      </c>
      <c r="D4386" s="2">
        <f>HYPERLINK("http://mcb-m6.bioreg.kyushu-u.ac.jp/M3/20110404/F50752/1537/1", 57.65)</f>
        <v>57.65</v>
      </c>
      <c r="E4386" s="2">
        <v>41.74</v>
      </c>
      <c r="F4386" s="2">
        <v>2</v>
      </c>
      <c r="G4386" s="2" t="s">
        <v>9</v>
      </c>
      <c r="I4386" s="2" t="s">
        <v>4893</v>
      </c>
    </row>
    <row r="4387" spans="1:9" x14ac:dyDescent="0.2">
      <c r="A4387" s="2" t="s">
        <v>7705</v>
      </c>
      <c r="B4387" s="2" t="s">
        <v>6432</v>
      </c>
      <c r="C4387" s="2">
        <v>717.23109999999997</v>
      </c>
      <c r="D4387" s="2">
        <f>HYPERLINK("http://mcb-m6.bioreg.kyushu-u.ac.jp/M3/20110404/F50752/2035/1", 63.65)</f>
        <v>63.65</v>
      </c>
      <c r="E4387" s="2">
        <v>50.26</v>
      </c>
      <c r="F4387" s="2">
        <v>2</v>
      </c>
      <c r="G4387" s="2" t="s">
        <v>9</v>
      </c>
    </row>
    <row r="4388" spans="1:9" x14ac:dyDescent="0.2">
      <c r="A4388" s="2" t="s">
        <v>7705</v>
      </c>
      <c r="B4388" s="2" t="s">
        <v>6432</v>
      </c>
      <c r="C4388" s="2">
        <v>717.4117</v>
      </c>
      <c r="D4388" s="2">
        <f>HYPERLINK("http://mcb-m6.bioreg.kyushu-u.ac.jp/M3/20110404/F50757/2034/1", 38.33)</f>
        <v>38.33</v>
      </c>
      <c r="E4388" s="2">
        <v>23.51</v>
      </c>
      <c r="F4388" s="2">
        <v>2</v>
      </c>
      <c r="G4388" s="2" t="s">
        <v>10</v>
      </c>
    </row>
    <row r="4389" spans="1:9" x14ac:dyDescent="0.2">
      <c r="A4389" s="2" t="s">
        <v>4213</v>
      </c>
      <c r="B4389" s="2" t="s">
        <v>1810</v>
      </c>
      <c r="C4389" s="2">
        <v>681.11220000000003</v>
      </c>
      <c r="D4389" s="2">
        <f>HYPERLINK("http://mcb-m6.bioreg.kyushu-u.ac.jp/M3/20110404/F50775/1652/1", 45.59)</f>
        <v>45.59</v>
      </c>
      <c r="E4389" s="2">
        <v>34.450000000000003</v>
      </c>
      <c r="F4389" s="2">
        <v>2</v>
      </c>
      <c r="G4389" s="2" t="s">
        <v>10</v>
      </c>
    </row>
    <row r="4390" spans="1:9" x14ac:dyDescent="0.2">
      <c r="A4390" s="2" t="s">
        <v>4213</v>
      </c>
      <c r="B4390" s="2" t="s">
        <v>2743</v>
      </c>
      <c r="C4390" s="2">
        <v>498.8211</v>
      </c>
      <c r="D4390" s="2">
        <f>HYPERLINK("http://mcb-m6.bioreg.kyushu-u.ac.jp/M3/20110404/F50774/1026/1", 49.23)</f>
        <v>49.23</v>
      </c>
      <c r="E4390" s="2">
        <v>22.17</v>
      </c>
      <c r="F4390" s="2">
        <v>2</v>
      </c>
      <c r="G4390" s="2" t="s">
        <v>10</v>
      </c>
    </row>
    <row r="4391" spans="1:9" x14ac:dyDescent="0.2">
      <c r="A4391" s="2" t="s">
        <v>4213</v>
      </c>
      <c r="B4391" s="2" t="s">
        <v>1810</v>
      </c>
      <c r="C4391" s="2">
        <v>1360.472</v>
      </c>
      <c r="D4391" s="2">
        <f>HYPERLINK("http://mcb-m6.bioreg.kyushu-u.ac.jp/M3/20110404/F50775/1650/1", 60.67)</f>
        <v>60.67</v>
      </c>
      <c r="E4391" s="2">
        <v>45.17</v>
      </c>
      <c r="F4391" s="2">
        <v>1</v>
      </c>
      <c r="G4391" s="2" t="s">
        <v>10</v>
      </c>
    </row>
    <row r="4392" spans="1:9" x14ac:dyDescent="0.2">
      <c r="A4392" s="2" t="s">
        <v>4213</v>
      </c>
      <c r="B4392" s="2" t="s">
        <v>2743</v>
      </c>
      <c r="C4392" s="2">
        <v>499.29309999999998</v>
      </c>
      <c r="D4392" s="2">
        <f>HYPERLINK("http://mcb-m6.bioreg.kyushu-u.ac.jp/M3/20110421/F51050/1124/1", 40.59)</f>
        <v>40.590000000000003</v>
      </c>
      <c r="E4392" s="2">
        <v>9.9499999999999993</v>
      </c>
      <c r="F4392" s="2">
        <v>2</v>
      </c>
      <c r="G4392" s="2" t="s">
        <v>12</v>
      </c>
    </row>
    <row r="4393" spans="1:9" x14ac:dyDescent="0.2">
      <c r="A4393" s="2" t="s">
        <v>4312</v>
      </c>
      <c r="B4393" s="2" t="s">
        <v>2111</v>
      </c>
      <c r="C4393" s="2">
        <v>736.7441</v>
      </c>
      <c r="D4393" s="2">
        <f>HYPERLINK("http://mcb-m6.bioreg.kyushu-u.ac.jp/M3/20110404/F50775/1945/1", 75.07)</f>
        <v>75.069999999999993</v>
      </c>
      <c r="E4393" s="2">
        <v>57.99</v>
      </c>
      <c r="F4393" s="2">
        <v>2</v>
      </c>
      <c r="G4393" s="2" t="s">
        <v>10</v>
      </c>
    </row>
    <row r="4394" spans="1:9" x14ac:dyDescent="0.2">
      <c r="A4394" s="2" t="s">
        <v>4312</v>
      </c>
      <c r="B4394" s="2" t="s">
        <v>2128</v>
      </c>
      <c r="C4394" s="2">
        <v>832.82510000000002</v>
      </c>
      <c r="D4394" s="2">
        <f>HYPERLINK("http://mcb-m6.bioreg.kyushu-u.ac.jp/M3/20110404/F50775/2308/1", 95.5)</f>
        <v>95.5</v>
      </c>
      <c r="E4394" s="2">
        <v>84.75</v>
      </c>
      <c r="F4394" s="2">
        <v>2</v>
      </c>
      <c r="G4394" s="2" t="s">
        <v>10</v>
      </c>
    </row>
    <row r="4395" spans="1:9" x14ac:dyDescent="0.2">
      <c r="A4395" s="2" t="s">
        <v>4312</v>
      </c>
      <c r="B4395" s="2" t="s">
        <v>7162</v>
      </c>
      <c r="C4395" s="2">
        <v>712.80399999999997</v>
      </c>
      <c r="D4395" s="2">
        <f>HYPERLINK("http://mcb-m6.bioreg.kyushu-u.ac.jp/M3/20110421/F51048/707/1", 36.46)</f>
        <v>36.46</v>
      </c>
      <c r="E4395" s="2">
        <v>13.52</v>
      </c>
      <c r="F4395" s="2">
        <v>1</v>
      </c>
      <c r="G4395" s="2" t="s">
        <v>12</v>
      </c>
    </row>
    <row r="4396" spans="1:9" x14ac:dyDescent="0.2">
      <c r="A4396" s="2" t="s">
        <v>4312</v>
      </c>
      <c r="B4396" s="2" t="s">
        <v>2128</v>
      </c>
      <c r="C4396" s="2">
        <v>833.3922</v>
      </c>
      <c r="D4396" s="2">
        <f>HYPERLINK("http://mcb-m6.bioreg.kyushu-u.ac.jp/M3/20110421/F51048/2657/1", 73.03)</f>
        <v>73.03</v>
      </c>
      <c r="E4396" s="2">
        <v>59.26</v>
      </c>
      <c r="F4396" s="2">
        <v>2</v>
      </c>
      <c r="G4396" s="2" t="s">
        <v>12</v>
      </c>
    </row>
    <row r="4397" spans="1:9" x14ac:dyDescent="0.2">
      <c r="A4397" s="2" t="s">
        <v>4208</v>
      </c>
      <c r="B4397" s="2" t="s">
        <v>2125</v>
      </c>
      <c r="C4397" s="2">
        <v>894.26919999999996</v>
      </c>
      <c r="D4397" s="2">
        <f>HYPERLINK("http://mcb-m6.bioreg.kyushu-u.ac.jp/M3/20110404/F50776/2200/1", 71.26)</f>
        <v>71.260000000000005</v>
      </c>
      <c r="E4397" s="2">
        <v>46.05</v>
      </c>
      <c r="F4397" s="2">
        <v>2</v>
      </c>
      <c r="G4397" s="2" t="s">
        <v>9</v>
      </c>
    </row>
    <row r="4398" spans="1:9" x14ac:dyDescent="0.2">
      <c r="A4398" s="2" t="s">
        <v>4208</v>
      </c>
      <c r="B4398" s="2" t="s">
        <v>1819</v>
      </c>
      <c r="C4398" s="2">
        <v>512.73770000000002</v>
      </c>
      <c r="D4398" s="2">
        <f>HYPERLINK("http://mcb-m6.bioreg.kyushu-u.ac.jp/M3/20110404/F50774/1073/1", 35.98)</f>
        <v>35.979999999999997</v>
      </c>
      <c r="E4398" s="2">
        <v>21.25</v>
      </c>
      <c r="F4398" s="2">
        <v>2</v>
      </c>
      <c r="G4398" s="2" t="s">
        <v>10</v>
      </c>
    </row>
    <row r="4399" spans="1:9" x14ac:dyDescent="0.2">
      <c r="A4399" s="2" t="s">
        <v>4208</v>
      </c>
      <c r="B4399" s="2" t="s">
        <v>2592</v>
      </c>
      <c r="C4399" s="2">
        <v>534.20870000000002</v>
      </c>
      <c r="D4399" s="2">
        <f>HYPERLINK("http://mcb-m6.bioreg.kyushu-u.ac.jp/M3/20110404/F50774/1154/1", 36.66)</f>
        <v>36.659999999999997</v>
      </c>
      <c r="E4399" s="2">
        <v>20.2</v>
      </c>
      <c r="F4399" s="2">
        <v>2</v>
      </c>
      <c r="G4399" s="2" t="s">
        <v>10</v>
      </c>
      <c r="I4399" s="2" t="s">
        <v>4892</v>
      </c>
    </row>
    <row r="4400" spans="1:9" x14ac:dyDescent="0.2">
      <c r="A4400" s="2" t="s">
        <v>4208</v>
      </c>
      <c r="B4400" s="2" t="s">
        <v>6737</v>
      </c>
      <c r="C4400" s="2">
        <v>914.34299999999996</v>
      </c>
      <c r="D4400" s="2">
        <f>HYPERLINK("http://mcb-m6.bioreg.kyushu-u.ac.jp/M3/20110404/F50775/835/1", 39.05)</f>
        <v>39.049999999999997</v>
      </c>
      <c r="E4400" s="2">
        <v>19.149999999999999</v>
      </c>
      <c r="F4400" s="2">
        <v>1</v>
      </c>
      <c r="G4400" s="2" t="s">
        <v>10</v>
      </c>
    </row>
    <row r="4401" spans="1:9" x14ac:dyDescent="0.2">
      <c r="A4401" s="2" t="s">
        <v>4208</v>
      </c>
      <c r="B4401" s="2" t="s">
        <v>2592</v>
      </c>
      <c r="C4401" s="2">
        <v>1067.4939999999999</v>
      </c>
      <c r="D4401" s="2">
        <f>HYPERLINK("http://mcb-m6.bioreg.kyushu-u.ac.jp/M3/20110404/F50775/1170/1", 40.04)</f>
        <v>40.04</v>
      </c>
      <c r="E4401" s="2">
        <v>26.21</v>
      </c>
      <c r="F4401" s="2">
        <v>1</v>
      </c>
      <c r="G4401" s="2" t="s">
        <v>10</v>
      </c>
      <c r="I4401" s="2" t="s">
        <v>4892</v>
      </c>
    </row>
    <row r="4402" spans="1:9" x14ac:dyDescent="0.2">
      <c r="A4402" s="2" t="s">
        <v>4208</v>
      </c>
      <c r="B4402" s="2" t="s">
        <v>1819</v>
      </c>
      <c r="C4402" s="2">
        <v>1024.4970000000001</v>
      </c>
      <c r="D4402" s="2">
        <f>HYPERLINK("http://mcb-m6.bioreg.kyushu-u.ac.jp/M3/20110404/F50775/1091/1", 40.08)</f>
        <v>40.08</v>
      </c>
      <c r="E4402" s="2">
        <v>24.56</v>
      </c>
      <c r="F4402" s="2">
        <v>1</v>
      </c>
      <c r="G4402" s="2" t="s">
        <v>10</v>
      </c>
    </row>
    <row r="4403" spans="1:9" x14ac:dyDescent="0.2">
      <c r="A4403" s="2" t="s">
        <v>4208</v>
      </c>
      <c r="B4403" s="2" t="s">
        <v>2629</v>
      </c>
      <c r="C4403" s="2">
        <v>1146.412</v>
      </c>
      <c r="D4403" s="2">
        <f>HYPERLINK("http://mcb-m6.bioreg.kyushu-u.ac.jp/M3/20110404/F50775/1274/1", 40.17)</f>
        <v>40.17</v>
      </c>
      <c r="E4403" s="2">
        <v>17.18</v>
      </c>
      <c r="F4403" s="2">
        <v>1</v>
      </c>
      <c r="G4403" s="2" t="s">
        <v>10</v>
      </c>
      <c r="I4403" s="2" t="s">
        <v>4890</v>
      </c>
    </row>
    <row r="4404" spans="1:9" x14ac:dyDescent="0.2">
      <c r="A4404" s="2" t="s">
        <v>4208</v>
      </c>
      <c r="B4404" s="2" t="s">
        <v>1945</v>
      </c>
      <c r="C4404" s="2">
        <v>1190.4749999999999</v>
      </c>
      <c r="D4404" s="2">
        <f>HYPERLINK("http://mcb-m6.bioreg.kyushu-u.ac.jp/M3/20110404/F50775/1374/1", 43.64)</f>
        <v>43.64</v>
      </c>
      <c r="E4404" s="2">
        <v>19.53</v>
      </c>
      <c r="F4404" s="2">
        <v>1</v>
      </c>
      <c r="G4404" s="2" t="s">
        <v>10</v>
      </c>
      <c r="I4404" s="2" t="s">
        <v>4899</v>
      </c>
    </row>
    <row r="4405" spans="1:9" x14ac:dyDescent="0.2">
      <c r="A4405" s="2" t="s">
        <v>4208</v>
      </c>
      <c r="B4405" s="2" t="s">
        <v>3057</v>
      </c>
      <c r="C4405" s="2">
        <v>581.82119999999998</v>
      </c>
      <c r="D4405" s="2">
        <f>HYPERLINK("http://mcb-m6.bioreg.kyushu-u.ac.jp/M3/20110404/F50775/1305/1", 45.56)</f>
        <v>45.56</v>
      </c>
      <c r="E4405" s="2">
        <v>19.739999999999998</v>
      </c>
      <c r="F4405" s="2">
        <v>2</v>
      </c>
      <c r="G4405" s="2" t="s">
        <v>10</v>
      </c>
      <c r="I4405" s="2" t="s">
        <v>4890</v>
      </c>
    </row>
    <row r="4406" spans="1:9" x14ac:dyDescent="0.2">
      <c r="A4406" s="2" t="s">
        <v>4208</v>
      </c>
      <c r="B4406" s="2" t="s">
        <v>1970</v>
      </c>
      <c r="C4406" s="2">
        <v>551.27070000000003</v>
      </c>
      <c r="D4406" s="2">
        <f>HYPERLINK("http://mcb-m6.bioreg.kyushu-u.ac.jp/M3/20110404/F50775/1227/1", 46.77)</f>
        <v>46.77</v>
      </c>
      <c r="E4406" s="2">
        <v>23.97</v>
      </c>
      <c r="F4406" s="2">
        <v>2</v>
      </c>
      <c r="G4406" s="2" t="s">
        <v>10</v>
      </c>
    </row>
    <row r="4407" spans="1:9" x14ac:dyDescent="0.2">
      <c r="A4407" s="2" t="s">
        <v>4208</v>
      </c>
      <c r="B4407" s="2" t="s">
        <v>2629</v>
      </c>
      <c r="C4407" s="2">
        <v>573.90520000000004</v>
      </c>
      <c r="D4407" s="2">
        <f>HYPERLINK("http://mcb-m6.bioreg.kyushu-u.ac.jp/M3/20110404/F50775/1275/1", 47.33)</f>
        <v>47.33</v>
      </c>
      <c r="E4407" s="2">
        <v>14.91</v>
      </c>
      <c r="F4407" s="2">
        <v>2</v>
      </c>
      <c r="G4407" s="2" t="s">
        <v>10</v>
      </c>
      <c r="I4407" s="2" t="s">
        <v>4890</v>
      </c>
    </row>
    <row r="4408" spans="1:9" x14ac:dyDescent="0.2">
      <c r="A4408" s="2" t="s">
        <v>4208</v>
      </c>
      <c r="B4408" s="2" t="s">
        <v>1877</v>
      </c>
      <c r="C4408" s="2">
        <v>643.0797</v>
      </c>
      <c r="D4408" s="2">
        <f>HYPERLINK("http://mcb-m6.bioreg.kyushu-u.ac.jp/M3/20110404/F50775/1523/1", 49.4)</f>
        <v>49.4</v>
      </c>
      <c r="E4408" s="2">
        <v>25.32</v>
      </c>
      <c r="F4408" s="2">
        <v>2</v>
      </c>
      <c r="G4408" s="2" t="s">
        <v>10</v>
      </c>
    </row>
    <row r="4409" spans="1:9" x14ac:dyDescent="0.2">
      <c r="A4409" s="2" t="s">
        <v>4208</v>
      </c>
      <c r="B4409" s="2" t="s">
        <v>2650</v>
      </c>
      <c r="C4409" s="2">
        <v>1350.953</v>
      </c>
      <c r="D4409" s="2">
        <f>HYPERLINK("http://mcb-m6.bioreg.kyushu-u.ac.jp/M3/20110404/F50775/1632/1", 50.52)</f>
        <v>50.52</v>
      </c>
      <c r="E4409" s="2">
        <v>26.05</v>
      </c>
      <c r="F4409" s="2">
        <v>1</v>
      </c>
      <c r="G4409" s="2" t="s">
        <v>10</v>
      </c>
    </row>
    <row r="4410" spans="1:9" x14ac:dyDescent="0.2">
      <c r="A4410" s="2" t="s">
        <v>4208</v>
      </c>
      <c r="B4410" s="2" t="s">
        <v>1877</v>
      </c>
      <c r="C4410" s="2">
        <v>1284.4760000000001</v>
      </c>
      <c r="D4410" s="2">
        <f>HYPERLINK("http://mcb-m6.bioreg.kyushu-u.ac.jp/M3/20110404/F50775/1522/1", 51.39)</f>
        <v>51.39</v>
      </c>
      <c r="E4410" s="2">
        <v>30.79</v>
      </c>
      <c r="F4410" s="2">
        <v>1</v>
      </c>
      <c r="G4410" s="2" t="s">
        <v>10</v>
      </c>
    </row>
    <row r="4411" spans="1:9" x14ac:dyDescent="0.2">
      <c r="A4411" s="2" t="s">
        <v>4208</v>
      </c>
      <c r="B4411" s="2" t="s">
        <v>1800</v>
      </c>
      <c r="C4411" s="2">
        <v>718.27470000000005</v>
      </c>
      <c r="D4411" s="2">
        <f>HYPERLINK("http://mcb-m6.bioreg.kyushu-u.ac.jp/M3/20110404/F50775/1875/1", 52.64)</f>
        <v>52.64</v>
      </c>
      <c r="E4411" s="2">
        <v>29.81</v>
      </c>
      <c r="F4411" s="2">
        <v>2</v>
      </c>
      <c r="G4411" s="2" t="s">
        <v>10</v>
      </c>
    </row>
    <row r="4412" spans="1:9" x14ac:dyDescent="0.2">
      <c r="A4412" s="2" t="s">
        <v>4208</v>
      </c>
      <c r="B4412" s="2" t="s">
        <v>2592</v>
      </c>
      <c r="C4412" s="2">
        <v>534.71619999999996</v>
      </c>
      <c r="D4412" s="2">
        <f>HYPERLINK("http://mcb-m6.bioreg.kyushu-u.ac.jp/M3/20110404/F50775/1175/1", 54.31)</f>
        <v>54.31</v>
      </c>
      <c r="E4412" s="2">
        <v>29.49</v>
      </c>
      <c r="F4412" s="2">
        <v>2</v>
      </c>
      <c r="G4412" s="2" t="s">
        <v>10</v>
      </c>
      <c r="I4412" s="2" t="s">
        <v>4892</v>
      </c>
    </row>
    <row r="4413" spans="1:9" x14ac:dyDescent="0.2">
      <c r="A4413" s="2" t="s">
        <v>4208</v>
      </c>
      <c r="B4413" s="2" t="s">
        <v>6737</v>
      </c>
      <c r="C4413" s="2">
        <v>458.23509999999999</v>
      </c>
      <c r="D4413" s="2">
        <f>HYPERLINK("http://mcb-m6.bioreg.kyushu-u.ac.jp/M3/20110404/F50775/845/1", 56.09)</f>
        <v>56.09</v>
      </c>
      <c r="E4413" s="2">
        <v>24.27</v>
      </c>
      <c r="F4413" s="2">
        <v>2</v>
      </c>
      <c r="G4413" s="2" t="s">
        <v>10</v>
      </c>
    </row>
    <row r="4414" spans="1:9" x14ac:dyDescent="0.2">
      <c r="A4414" s="2" t="s">
        <v>4208</v>
      </c>
      <c r="B4414" s="2" t="s">
        <v>6907</v>
      </c>
      <c r="C4414" s="2">
        <v>576.76210000000003</v>
      </c>
      <c r="D4414" s="2">
        <f>HYPERLINK("http://mcb-m6.bioreg.kyushu-u.ac.jp/M3/20110404/F50775/1284/1", 56.39)</f>
        <v>56.39</v>
      </c>
      <c r="E4414" s="2">
        <v>37.04</v>
      </c>
      <c r="F4414" s="2">
        <v>2</v>
      </c>
      <c r="G4414" s="2" t="s">
        <v>10</v>
      </c>
    </row>
    <row r="4415" spans="1:9" x14ac:dyDescent="0.2">
      <c r="A4415" s="2" t="s">
        <v>4208</v>
      </c>
      <c r="B4415" s="2" t="s">
        <v>1945</v>
      </c>
      <c r="C4415" s="2">
        <v>595.59860000000003</v>
      </c>
      <c r="D4415" s="2">
        <f>HYPERLINK("http://mcb-m6.bioreg.kyushu-u.ac.jp/M3/20110404/F50775/1371/1", 66.58)</f>
        <v>66.58</v>
      </c>
      <c r="E4415" s="2">
        <v>34.61</v>
      </c>
      <c r="F4415" s="2">
        <v>2</v>
      </c>
      <c r="G4415" s="2" t="s">
        <v>10</v>
      </c>
      <c r="I4415" s="2" t="s">
        <v>4899</v>
      </c>
    </row>
    <row r="4416" spans="1:9" x14ac:dyDescent="0.2">
      <c r="A4416" s="2" t="s">
        <v>4208</v>
      </c>
      <c r="B4416" s="2" t="s">
        <v>2650</v>
      </c>
      <c r="C4416" s="2">
        <v>683.74659999999994</v>
      </c>
      <c r="D4416" s="2">
        <f>HYPERLINK("http://mcb-m6.bioreg.kyushu-u.ac.jp/M3/20110404/F50775/1666/1", 71.97)</f>
        <v>71.97</v>
      </c>
      <c r="E4416" s="2">
        <v>35.479999999999997</v>
      </c>
      <c r="F4416" s="2">
        <v>2</v>
      </c>
      <c r="G4416" s="2" t="s">
        <v>10</v>
      </c>
      <c r="H4416" s="2" t="s">
        <v>4910</v>
      </c>
    </row>
    <row r="4417" spans="1:9" x14ac:dyDescent="0.2">
      <c r="A4417" s="2" t="s">
        <v>4208</v>
      </c>
      <c r="B4417" s="2" t="s">
        <v>6989</v>
      </c>
      <c r="C4417" s="2">
        <v>894.89319999999998</v>
      </c>
      <c r="D4417" s="2">
        <f>HYPERLINK("http://mcb-m6.bioreg.kyushu-u.ac.jp/M3/20110404/F50775/2496/1", 73.18)</f>
        <v>73.180000000000007</v>
      </c>
      <c r="E4417" s="2">
        <v>54.39</v>
      </c>
      <c r="F4417" s="2">
        <v>2</v>
      </c>
      <c r="G4417" s="2" t="s">
        <v>10</v>
      </c>
    </row>
    <row r="4418" spans="1:9" x14ac:dyDescent="0.2">
      <c r="A4418" s="2" t="s">
        <v>4208</v>
      </c>
      <c r="B4418" s="2" t="s">
        <v>2650</v>
      </c>
      <c r="C4418" s="2">
        <v>675.56569999999999</v>
      </c>
      <c r="D4418" s="2">
        <f>HYPERLINK("http://mcb-m6.bioreg.kyushu-u.ac.jp/M3/20110404/F50775/1628/1", 73.56)</f>
        <v>73.56</v>
      </c>
      <c r="E4418" s="2">
        <v>36.25</v>
      </c>
      <c r="F4418" s="2">
        <v>2</v>
      </c>
      <c r="G4418" s="2" t="s">
        <v>10</v>
      </c>
    </row>
    <row r="4419" spans="1:9" x14ac:dyDescent="0.2">
      <c r="A4419" s="2" t="s">
        <v>4208</v>
      </c>
      <c r="B4419" s="2" t="s">
        <v>2062</v>
      </c>
      <c r="C4419" s="2">
        <v>779.7577</v>
      </c>
      <c r="D4419" s="2">
        <f>HYPERLINK("http://mcb-m6.bioreg.kyushu-u.ac.jp/M3/20110404/F50774/2040/1", 73.89)</f>
        <v>73.89</v>
      </c>
      <c r="E4419" s="2">
        <v>51.22</v>
      </c>
      <c r="F4419" s="2">
        <v>2</v>
      </c>
      <c r="G4419" s="2" t="s">
        <v>10</v>
      </c>
    </row>
    <row r="4420" spans="1:9" x14ac:dyDescent="0.2">
      <c r="A4420" s="2" t="s">
        <v>4208</v>
      </c>
      <c r="B4420" s="2" t="s">
        <v>2776</v>
      </c>
      <c r="C4420" s="2">
        <v>647.00710000000004</v>
      </c>
      <c r="D4420" s="2">
        <f>HYPERLINK("http://mcb-m6.bioreg.kyushu-u.ac.jp/M3/20110404/F50775/1530/1", 74.35)</f>
        <v>74.349999999999994</v>
      </c>
      <c r="E4420" s="2">
        <v>61.31</v>
      </c>
      <c r="F4420" s="2">
        <v>2</v>
      </c>
      <c r="G4420" s="2" t="s">
        <v>10</v>
      </c>
      <c r="I4420" s="2" t="s">
        <v>4903</v>
      </c>
    </row>
    <row r="4421" spans="1:9" x14ac:dyDescent="0.2">
      <c r="A4421" s="2" t="s">
        <v>4208</v>
      </c>
      <c r="B4421" s="2" t="s">
        <v>2062</v>
      </c>
      <c r="C4421" s="2">
        <v>779.79669999999999</v>
      </c>
      <c r="D4421" s="2">
        <f>HYPERLINK("http://mcb-m6.bioreg.kyushu-u.ac.jp/M3/20110404/F50775/2114/1", 83.62)</f>
        <v>83.62</v>
      </c>
      <c r="E4421" s="2">
        <v>58.36</v>
      </c>
      <c r="F4421" s="2">
        <v>2</v>
      </c>
      <c r="G4421" s="2" t="s">
        <v>10</v>
      </c>
    </row>
    <row r="4422" spans="1:9" x14ac:dyDescent="0.2">
      <c r="A4422" s="2" t="s">
        <v>4208</v>
      </c>
      <c r="B4422" s="2" t="s">
        <v>7036</v>
      </c>
      <c r="C4422" s="2">
        <v>952.36519999999996</v>
      </c>
      <c r="D4422" s="2">
        <f>HYPERLINK("http://mcb-m6.bioreg.kyushu-u.ac.jp/M3/20110404/F50775/2669/1", 87.55)</f>
        <v>87.55</v>
      </c>
      <c r="E4422" s="2">
        <v>79.48</v>
      </c>
      <c r="F4422" s="2">
        <v>2</v>
      </c>
      <c r="G4422" s="2" t="s">
        <v>10</v>
      </c>
    </row>
    <row r="4423" spans="1:9" x14ac:dyDescent="0.2">
      <c r="A4423" s="2" t="s">
        <v>4208</v>
      </c>
      <c r="B4423" s="2" t="s">
        <v>6989</v>
      </c>
      <c r="C4423" s="2">
        <v>894.38019999999995</v>
      </c>
      <c r="D4423" s="2">
        <f>HYPERLINK("http://mcb-m6.bioreg.kyushu-u.ac.jp/M3/20110404/F50775/2491/1", 88.22)</f>
        <v>88.22</v>
      </c>
      <c r="E4423" s="2">
        <v>74.94</v>
      </c>
      <c r="F4423" s="2">
        <v>2</v>
      </c>
      <c r="G4423" s="2" t="s">
        <v>10</v>
      </c>
    </row>
    <row r="4424" spans="1:9" x14ac:dyDescent="0.2">
      <c r="A4424" s="2" t="s">
        <v>4208</v>
      </c>
      <c r="B4424" s="2" t="s">
        <v>2085</v>
      </c>
      <c r="C4424" s="2">
        <v>1305.566</v>
      </c>
      <c r="D4424" s="2">
        <f>HYPERLINK("http://mcb-m6.bioreg.kyushu-u.ac.jp/M3/20110404/F50775/3261/1", 115.44)</f>
        <v>115.44</v>
      </c>
      <c r="E4424" s="2">
        <v>99.56</v>
      </c>
      <c r="F4424" s="2">
        <v>2</v>
      </c>
      <c r="G4424" s="2" t="s">
        <v>10</v>
      </c>
    </row>
    <row r="4425" spans="1:9" x14ac:dyDescent="0.2">
      <c r="A4425" s="2" t="s">
        <v>4208</v>
      </c>
      <c r="B4425" s="2" t="s">
        <v>2557</v>
      </c>
      <c r="C4425" s="2">
        <v>962.57</v>
      </c>
      <c r="D4425" s="2">
        <f>HYPERLINK("http://mcb-m6.bioreg.kyushu-u.ac.jp/M3/20110421/F51048/992/1", 36.06)</f>
        <v>36.06</v>
      </c>
      <c r="E4425" s="2">
        <v>25.17</v>
      </c>
      <c r="F4425" s="2">
        <v>1</v>
      </c>
      <c r="G4425" s="2" t="s">
        <v>12</v>
      </c>
    </row>
    <row r="4426" spans="1:9" x14ac:dyDescent="0.2">
      <c r="A4426" s="2" t="s">
        <v>4208</v>
      </c>
      <c r="B4426" s="2" t="s">
        <v>3099</v>
      </c>
      <c r="C4426" s="2">
        <v>872.62400000000002</v>
      </c>
      <c r="D4426" s="2">
        <f>HYPERLINK("http://mcb-m6.bioreg.kyushu-u.ac.jp/M3/20110421/F51048/778/1", 38.95)</f>
        <v>38.950000000000003</v>
      </c>
      <c r="E4426" s="2">
        <v>15.08</v>
      </c>
      <c r="F4426" s="2">
        <v>1</v>
      </c>
      <c r="G4426" s="2" t="s">
        <v>12</v>
      </c>
    </row>
    <row r="4427" spans="1:9" x14ac:dyDescent="0.2">
      <c r="A4427" s="2" t="s">
        <v>4208</v>
      </c>
      <c r="B4427" s="2" t="s">
        <v>1800</v>
      </c>
      <c r="C4427" s="2">
        <v>718.38760000000002</v>
      </c>
      <c r="D4427" s="2">
        <f>HYPERLINK("http://mcb-m6.bioreg.kyushu-u.ac.jp/M3/20110421/F51048/2081/1", 48)</f>
        <v>48</v>
      </c>
      <c r="E4427" s="2">
        <v>29.82</v>
      </c>
      <c r="F4427" s="2">
        <v>2</v>
      </c>
      <c r="G4427" s="2" t="s">
        <v>12</v>
      </c>
    </row>
    <row r="4428" spans="1:9" x14ac:dyDescent="0.2">
      <c r="A4428" s="2" t="s">
        <v>4208</v>
      </c>
      <c r="B4428" s="2" t="s">
        <v>1800</v>
      </c>
      <c r="C4428" s="2">
        <v>718.90009999999995</v>
      </c>
      <c r="D4428" s="2">
        <f>HYPERLINK("http://mcb-m6.bioreg.kyushu-u.ac.jp/M3/20110421/F51048/2083/1", 60.75)</f>
        <v>60.75</v>
      </c>
      <c r="E4428" s="2">
        <v>36.119999999999997</v>
      </c>
      <c r="F4428" s="2">
        <v>2</v>
      </c>
      <c r="G4428" s="2" t="s">
        <v>12</v>
      </c>
    </row>
    <row r="4429" spans="1:9" x14ac:dyDescent="0.2">
      <c r="A4429" s="2" t="s">
        <v>4208</v>
      </c>
      <c r="B4429" s="2" t="s">
        <v>2776</v>
      </c>
      <c r="C4429" s="2">
        <v>647.2731</v>
      </c>
      <c r="D4429" s="2">
        <f>HYPERLINK("http://mcb-m6.bioreg.kyushu-u.ac.jp/M3/20110421/F51048/1712/1", 67.42)</f>
        <v>67.42</v>
      </c>
      <c r="E4429" s="2">
        <v>48.86</v>
      </c>
      <c r="F4429" s="2">
        <v>2</v>
      </c>
      <c r="G4429" s="2" t="s">
        <v>12</v>
      </c>
      <c r="I4429" s="2" t="s">
        <v>4903</v>
      </c>
    </row>
    <row r="4430" spans="1:9" x14ac:dyDescent="0.2">
      <c r="A4430" s="2" t="s">
        <v>4208</v>
      </c>
      <c r="B4430" s="2" t="s">
        <v>2650</v>
      </c>
      <c r="C4430" s="2">
        <v>675.8356</v>
      </c>
      <c r="D4430" s="2">
        <f>HYPERLINK("http://mcb-m6.bioreg.kyushu-u.ac.jp/M3/20110421/F51048/1804/1", 68.48)</f>
        <v>68.48</v>
      </c>
      <c r="E4430" s="2">
        <v>23.38</v>
      </c>
      <c r="F4430" s="2">
        <v>2</v>
      </c>
      <c r="G4430" s="2" t="s">
        <v>12</v>
      </c>
    </row>
    <row r="4431" spans="1:9" x14ac:dyDescent="0.2">
      <c r="A4431" s="2" t="s">
        <v>4208</v>
      </c>
      <c r="B4431" s="2" t="s">
        <v>2062</v>
      </c>
      <c r="C4431" s="2">
        <v>780.39419999999996</v>
      </c>
      <c r="D4431" s="2">
        <f>HYPERLINK("http://mcb-m6.bioreg.kyushu-u.ac.jp/M3/20110421/F51050/2286/1", 71.44)</f>
        <v>71.44</v>
      </c>
      <c r="E4431" s="2">
        <v>46.07</v>
      </c>
      <c r="F4431" s="2">
        <v>2</v>
      </c>
      <c r="G4431" s="2" t="s">
        <v>12</v>
      </c>
    </row>
    <row r="4432" spans="1:9" x14ac:dyDescent="0.2">
      <c r="A4432" s="2" t="s">
        <v>4208</v>
      </c>
      <c r="B4432" s="2" t="s">
        <v>2062</v>
      </c>
      <c r="C4432" s="2">
        <v>779.97270000000003</v>
      </c>
      <c r="D4432" s="2">
        <f>HYPERLINK("http://mcb-m6.bioreg.kyushu-u.ac.jp/M3/20110421/F51048/2400/1", 78.82)</f>
        <v>78.819999999999993</v>
      </c>
      <c r="E4432" s="2">
        <v>56.52</v>
      </c>
      <c r="F4432" s="2">
        <v>2</v>
      </c>
      <c r="G4432" s="2" t="s">
        <v>12</v>
      </c>
    </row>
    <row r="4433" spans="1:8" x14ac:dyDescent="0.2">
      <c r="A4433" s="2" t="s">
        <v>4208</v>
      </c>
      <c r="B4433" s="2" t="s">
        <v>2557</v>
      </c>
      <c r="C4433" s="2">
        <v>482.02710000000002</v>
      </c>
      <c r="D4433" s="2">
        <f>HYPERLINK("http://mcb-m6.bioreg.kyushu-u.ac.jp/M3/20110428/F51129/892/1", 51)</f>
        <v>51</v>
      </c>
      <c r="E4433" s="2">
        <v>33.049999999999997</v>
      </c>
      <c r="F4433" s="2">
        <v>2</v>
      </c>
      <c r="G4433" s="2" t="s">
        <v>14</v>
      </c>
    </row>
    <row r="4434" spans="1:8" x14ac:dyDescent="0.2">
      <c r="A4434" s="2" t="s">
        <v>7628</v>
      </c>
      <c r="B4434" s="2" t="s">
        <v>6159</v>
      </c>
      <c r="C4434" s="2">
        <v>909.53</v>
      </c>
      <c r="D4434" s="2">
        <f>HYPERLINK("http://mcb-m6.bioreg.kyushu-u.ac.jp/M3/20110404/F50751/1312/1", 44.83)</f>
        <v>44.83</v>
      </c>
      <c r="E4434" s="2">
        <v>17.600000000000001</v>
      </c>
      <c r="F4434" s="2">
        <v>1</v>
      </c>
      <c r="G4434" s="2" t="s">
        <v>9</v>
      </c>
    </row>
    <row r="4435" spans="1:8" x14ac:dyDescent="0.2">
      <c r="A4435" s="2" t="s">
        <v>7628</v>
      </c>
      <c r="B4435" s="2" t="s">
        <v>6159</v>
      </c>
      <c r="C4435" s="2">
        <v>909.16300000000001</v>
      </c>
      <c r="D4435" s="2">
        <f>HYPERLINK("http://mcb-m6.bioreg.kyushu-u.ac.jp/M3/20110421/F51014/1027/1", 44.92)</f>
        <v>44.92</v>
      </c>
      <c r="E4435" s="2">
        <v>10.97</v>
      </c>
      <c r="F4435" s="2">
        <v>1</v>
      </c>
      <c r="G4435" s="2" t="s">
        <v>11</v>
      </c>
    </row>
    <row r="4436" spans="1:8" x14ac:dyDescent="0.2">
      <c r="A4436" s="2" t="s">
        <v>7628</v>
      </c>
      <c r="B4436" s="2" t="s">
        <v>7116</v>
      </c>
      <c r="C4436" s="2">
        <v>533.79359999999997</v>
      </c>
      <c r="D4436" s="2">
        <f>HYPERLINK("http://mcb-m6.bioreg.kyushu-u.ac.jp/M3/20110421/F51014/1388/1", 48.26)</f>
        <v>48.26</v>
      </c>
      <c r="E4436" s="2">
        <v>0.33</v>
      </c>
      <c r="F4436" s="2">
        <v>2</v>
      </c>
      <c r="G4436" s="2" t="s">
        <v>11</v>
      </c>
    </row>
    <row r="4437" spans="1:8" x14ac:dyDescent="0.2">
      <c r="A4437" s="2" t="s">
        <v>7628</v>
      </c>
      <c r="B4437" s="2" t="s">
        <v>6159</v>
      </c>
      <c r="C4437" s="2">
        <v>454.9556</v>
      </c>
      <c r="D4437" s="2">
        <f>HYPERLINK("http://mcb-m6.bioreg.kyushu-u.ac.jp/M3/20110421/F51014/1026/1", 54.53)</f>
        <v>54.53</v>
      </c>
      <c r="E4437" s="2">
        <v>18.079999999999998</v>
      </c>
      <c r="F4437" s="2">
        <v>2</v>
      </c>
      <c r="G4437" s="2" t="s">
        <v>11</v>
      </c>
    </row>
    <row r="4438" spans="1:8" x14ac:dyDescent="0.2">
      <c r="A4438" s="2" t="s">
        <v>7628</v>
      </c>
      <c r="B4438" s="2" t="s">
        <v>7139</v>
      </c>
      <c r="C4438" s="2">
        <v>525.98220000000003</v>
      </c>
      <c r="D4438" s="2">
        <f>HYPERLINK("http://mcb-m6.bioreg.kyushu-u.ac.jp/M3/20110421/F51014/1358/1", 69.26)</f>
        <v>69.260000000000005</v>
      </c>
      <c r="E4438" s="2">
        <v>35.28</v>
      </c>
      <c r="F4438" s="2">
        <v>2</v>
      </c>
      <c r="G4438" s="2" t="s">
        <v>11</v>
      </c>
      <c r="H4438" s="2" t="s">
        <v>4917</v>
      </c>
    </row>
    <row r="4439" spans="1:8" x14ac:dyDescent="0.2">
      <c r="A4439" s="2" t="s">
        <v>7628</v>
      </c>
      <c r="B4439" s="2" t="s">
        <v>6159</v>
      </c>
      <c r="C4439" s="2">
        <v>909.29600000000005</v>
      </c>
      <c r="D4439" s="2">
        <f>HYPERLINK("http://mcb-m6.bioreg.kyushu-u.ac.jp/M3/20110421/F51021/634/1", 44.49)</f>
        <v>44.49</v>
      </c>
      <c r="E4439" s="2">
        <v>21.42</v>
      </c>
      <c r="F4439" s="2">
        <v>1</v>
      </c>
      <c r="G4439" s="2" t="s">
        <v>12</v>
      </c>
    </row>
    <row r="4440" spans="1:8" x14ac:dyDescent="0.2">
      <c r="A4440" s="2" t="s">
        <v>7628</v>
      </c>
      <c r="B4440" s="2" t="s">
        <v>6159</v>
      </c>
      <c r="C4440" s="2">
        <v>455.15359999999998</v>
      </c>
      <c r="D4440" s="2">
        <f>HYPERLINK("http://mcb-m6.bioreg.kyushu-u.ac.jp/M3/20110421/F51021/635/1", 44.92)</f>
        <v>44.92</v>
      </c>
      <c r="E4440" s="2">
        <v>18.13</v>
      </c>
      <c r="F4440" s="2">
        <v>2</v>
      </c>
      <c r="G4440" s="2" t="s">
        <v>12</v>
      </c>
    </row>
    <row r="4441" spans="1:8" x14ac:dyDescent="0.2">
      <c r="A4441" s="2" t="s">
        <v>7628</v>
      </c>
      <c r="B4441" s="2" t="s">
        <v>7139</v>
      </c>
      <c r="C4441" s="2">
        <v>526.20169999999996</v>
      </c>
      <c r="D4441" s="2">
        <f>HYPERLINK("http://mcb-m6.bioreg.kyushu-u.ac.jp/M3/20110421/F51021/946/1", 71.85)</f>
        <v>71.849999999999994</v>
      </c>
      <c r="E4441" s="2">
        <v>52.99</v>
      </c>
      <c r="F4441" s="2">
        <v>2</v>
      </c>
      <c r="G4441" s="2" t="s">
        <v>12</v>
      </c>
      <c r="H4441" s="2" t="s">
        <v>4917</v>
      </c>
    </row>
    <row r="4442" spans="1:8" x14ac:dyDescent="0.2">
      <c r="A4442" s="2" t="s">
        <v>7628</v>
      </c>
      <c r="B4442" s="2" t="s">
        <v>6159</v>
      </c>
      <c r="C4442" s="2">
        <v>455.01760000000002</v>
      </c>
      <c r="D4442" s="2">
        <f>HYPERLINK("http://mcb-m6.bioreg.kyushu-u.ac.jp/M3/20110427/F51108/1029/1", 56.23)</f>
        <v>56.23</v>
      </c>
      <c r="E4442" s="2">
        <v>25.03</v>
      </c>
      <c r="F4442" s="2">
        <v>2</v>
      </c>
      <c r="G4442" s="2" t="s">
        <v>13</v>
      </c>
    </row>
    <row r="4443" spans="1:8" x14ac:dyDescent="0.2">
      <c r="A4443" s="2" t="s">
        <v>7628</v>
      </c>
      <c r="B4443" s="2" t="s">
        <v>7139</v>
      </c>
      <c r="C4443" s="2">
        <v>526.09519999999998</v>
      </c>
      <c r="D4443" s="2">
        <f>HYPERLINK("http://mcb-m6.bioreg.kyushu-u.ac.jp/M3/20110427/F51108/1317/1", 59.7)</f>
        <v>59.7</v>
      </c>
      <c r="E4443" s="2">
        <v>33.340000000000003</v>
      </c>
      <c r="F4443" s="2">
        <v>2</v>
      </c>
      <c r="G4443" s="2" t="s">
        <v>13</v>
      </c>
      <c r="H4443" s="2" t="s">
        <v>4917</v>
      </c>
    </row>
    <row r="4444" spans="1:8" x14ac:dyDescent="0.2">
      <c r="A4444" s="2" t="s">
        <v>7628</v>
      </c>
      <c r="B4444" s="2" t="s">
        <v>7139</v>
      </c>
      <c r="C4444" s="2">
        <v>526.77970000000005</v>
      </c>
      <c r="D4444" s="2">
        <f>HYPERLINK("http://mcb-m6.bioreg.kyushu-u.ac.jp/M3/20110427/F51118/1473/1", 44.24)</f>
        <v>44.24</v>
      </c>
      <c r="E4444" s="2">
        <v>17.510000000000002</v>
      </c>
      <c r="F4444" s="2">
        <v>2</v>
      </c>
      <c r="G4444" s="2" t="s">
        <v>14</v>
      </c>
      <c r="H4444" s="2" t="s">
        <v>4917</v>
      </c>
    </row>
    <row r="4445" spans="1:8" x14ac:dyDescent="0.2">
      <c r="A4445" s="2" t="s">
        <v>7628</v>
      </c>
      <c r="B4445" s="2" t="s">
        <v>7139</v>
      </c>
      <c r="C4445" s="2">
        <v>526.12959999999998</v>
      </c>
      <c r="D4445" s="2">
        <f>HYPERLINK("http://mcb-m6.bioreg.kyushu-u.ac.jp/M3/20110427/F51118/1471/1", 55.96)</f>
        <v>55.96</v>
      </c>
      <c r="E4445" s="2">
        <v>29.99</v>
      </c>
      <c r="F4445" s="2">
        <v>2</v>
      </c>
      <c r="G4445" s="2" t="s">
        <v>14</v>
      </c>
      <c r="H4445" s="2" t="s">
        <v>4917</v>
      </c>
    </row>
    <row r="4446" spans="1:8" x14ac:dyDescent="0.2">
      <c r="A4446" s="2" t="s">
        <v>7523</v>
      </c>
      <c r="B4446" s="2" t="s">
        <v>5913</v>
      </c>
      <c r="C4446" s="2">
        <v>645.35770000000002</v>
      </c>
      <c r="D4446" s="2">
        <f>HYPERLINK("http://mcb-m6.bioreg.kyushu-u.ac.jp/M3/20110404/F50766/1054/1", 35.38)</f>
        <v>35.380000000000003</v>
      </c>
      <c r="E4446" s="2">
        <v>18.309999999999999</v>
      </c>
      <c r="F4446" s="2">
        <v>2</v>
      </c>
      <c r="G4446" s="2" t="s">
        <v>9</v>
      </c>
    </row>
    <row r="4447" spans="1:8" x14ac:dyDescent="0.2">
      <c r="A4447" s="2" t="s">
        <v>7523</v>
      </c>
      <c r="B4447" s="2" t="s">
        <v>7275</v>
      </c>
      <c r="C4447" s="2">
        <v>762.81769999999995</v>
      </c>
      <c r="D4447" s="2">
        <f>HYPERLINK("http://mcb-m6.bioreg.kyushu-u.ac.jp/M3/20110421/F51021/2212/1", 108.02)</f>
        <v>108.02</v>
      </c>
      <c r="E4447" s="2">
        <v>92.84</v>
      </c>
      <c r="F4447" s="2">
        <v>2</v>
      </c>
      <c r="G4447" s="2" t="s">
        <v>12</v>
      </c>
    </row>
    <row r="4448" spans="1:8" x14ac:dyDescent="0.2">
      <c r="A4448" s="2" t="s">
        <v>7996</v>
      </c>
      <c r="B4448" s="2" t="s">
        <v>7215</v>
      </c>
      <c r="C4448" s="2">
        <v>645.6617</v>
      </c>
      <c r="D4448" s="2">
        <f>HYPERLINK("http://mcb-m6.bioreg.kyushu-u.ac.jp/M3/20110421/F51021/1524/1", 47.59)</f>
        <v>47.59</v>
      </c>
      <c r="E4448" s="2">
        <v>16.329999999999998</v>
      </c>
      <c r="F4448" s="2">
        <v>2</v>
      </c>
      <c r="G4448" s="2" t="s">
        <v>12</v>
      </c>
    </row>
    <row r="4449" spans="1:7" x14ac:dyDescent="0.2">
      <c r="A4449" s="2" t="s">
        <v>4028</v>
      </c>
      <c r="B4449" s="2" t="s">
        <v>1344</v>
      </c>
      <c r="C4449" s="2">
        <v>666.05160000000001</v>
      </c>
      <c r="D4449" s="2">
        <f>HYPERLINK("http://mcb-m6.bioreg.kyushu-u.ac.jp/M3/20110428/F51127/1456/1", 43.59)</f>
        <v>43.59</v>
      </c>
      <c r="E4449" s="2">
        <v>24.48</v>
      </c>
      <c r="F4449" s="2">
        <v>2</v>
      </c>
      <c r="G4449" s="2" t="s">
        <v>13</v>
      </c>
    </row>
    <row r="4450" spans="1:7" x14ac:dyDescent="0.2">
      <c r="A4450" s="2" t="s">
        <v>3318</v>
      </c>
      <c r="B4450" s="2" t="s">
        <v>103</v>
      </c>
      <c r="C4450" s="2">
        <v>503.67059999999998</v>
      </c>
      <c r="D4450" s="2">
        <f>HYPERLINK("http://mcb-m6.bioreg.kyushu-u.ac.jp/M3/20110404/F50763/1102/1", 39.19)</f>
        <v>39.19</v>
      </c>
      <c r="E4450" s="2">
        <v>9.68</v>
      </c>
      <c r="F4450" s="2">
        <v>2</v>
      </c>
      <c r="G4450" s="2" t="s">
        <v>9</v>
      </c>
    </row>
    <row r="4451" spans="1:7" x14ac:dyDescent="0.2">
      <c r="A4451" s="2" t="s">
        <v>3834</v>
      </c>
      <c r="B4451" s="2" t="s">
        <v>908</v>
      </c>
      <c r="C4451" s="2">
        <v>760.33320000000003</v>
      </c>
      <c r="D4451" s="2">
        <f>HYPERLINK("http://mcb-m6.bioreg.kyushu-u.ac.jp/M3/20110404/F50758/1974/1", 40.5)</f>
        <v>40.5</v>
      </c>
      <c r="E4451" s="2">
        <v>19.649999999999999</v>
      </c>
      <c r="F4451" s="2">
        <v>2</v>
      </c>
      <c r="G4451" s="2" t="s">
        <v>10</v>
      </c>
    </row>
    <row r="4452" spans="1:7" x14ac:dyDescent="0.2">
      <c r="A4452" s="2" t="s">
        <v>8089</v>
      </c>
      <c r="B4452" s="2" t="s">
        <v>7425</v>
      </c>
      <c r="C4452" s="2">
        <v>715.1232</v>
      </c>
      <c r="D4452" s="2">
        <f>HYPERLINK("http://mcb-m6.bioreg.kyushu-u.ac.jp/M3/20110427/F51108/1963/1", 71.66)</f>
        <v>71.66</v>
      </c>
      <c r="E4452" s="2">
        <v>52.25</v>
      </c>
      <c r="F4452" s="2">
        <v>2</v>
      </c>
      <c r="G4452" s="2" t="s">
        <v>13</v>
      </c>
    </row>
    <row r="4453" spans="1:7" x14ac:dyDescent="0.2">
      <c r="A4453" s="2" t="s">
        <v>7776</v>
      </c>
      <c r="B4453" s="2" t="s">
        <v>6642</v>
      </c>
      <c r="C4453" s="2">
        <v>690.39869999999996</v>
      </c>
      <c r="D4453" s="2">
        <f>HYPERLINK("http://mcb-m6.bioreg.kyushu-u.ac.jp/M3/20110404/F50751/1943/1", 102.73)</f>
        <v>102.73</v>
      </c>
      <c r="E4453" s="2">
        <v>83.9</v>
      </c>
      <c r="F4453" s="2">
        <v>2</v>
      </c>
      <c r="G4453" s="2" t="s">
        <v>9</v>
      </c>
    </row>
    <row r="4454" spans="1:7" x14ac:dyDescent="0.2">
      <c r="A4454" s="2" t="s">
        <v>7776</v>
      </c>
      <c r="B4454" s="2" t="s">
        <v>7401</v>
      </c>
      <c r="C4454" s="2">
        <v>675.55070000000001</v>
      </c>
      <c r="D4454" s="2">
        <f>HYPERLINK("http://mcb-m6.bioreg.kyushu-u.ac.jp/M3/20110427/F51108/1777/1", 58.49)</f>
        <v>58.49</v>
      </c>
      <c r="E4454" s="2">
        <v>37.24</v>
      </c>
      <c r="F4454" s="2">
        <v>2</v>
      </c>
      <c r="G4454" s="2" t="s">
        <v>13</v>
      </c>
    </row>
    <row r="4455" spans="1:7" x14ac:dyDescent="0.2">
      <c r="A4455" s="2" t="s">
        <v>7776</v>
      </c>
      <c r="B4455" s="2" t="s">
        <v>6642</v>
      </c>
      <c r="C4455" s="2">
        <v>690.6327</v>
      </c>
      <c r="D4455" s="2">
        <f>HYPERLINK("http://mcb-m6.bioreg.kyushu-u.ac.jp/M3/20110427/F51108/1863/1", 94.95)</f>
        <v>94.95</v>
      </c>
      <c r="E4455" s="2">
        <v>71.77</v>
      </c>
      <c r="F4455" s="2">
        <v>2</v>
      </c>
      <c r="G4455" s="2" t="s">
        <v>13</v>
      </c>
    </row>
    <row r="4456" spans="1:7" x14ac:dyDescent="0.2">
      <c r="A4456" s="2" t="s">
        <v>4076</v>
      </c>
      <c r="B4456" s="2" t="s">
        <v>1478</v>
      </c>
      <c r="C4456" s="2">
        <v>965.33119999999997</v>
      </c>
      <c r="D4456" s="2">
        <f>HYPERLINK("http://mcb-m6.bioreg.kyushu-u.ac.jp/M3/20110421/F51037/3250/1", 107.03)</f>
        <v>107.03</v>
      </c>
      <c r="E4456" s="2">
        <v>95.78</v>
      </c>
      <c r="F4456" s="2">
        <v>2</v>
      </c>
      <c r="G4456" s="2" t="s">
        <v>11</v>
      </c>
    </row>
    <row r="4457" spans="1:7" x14ac:dyDescent="0.2">
      <c r="A4457" s="2" t="s">
        <v>4076</v>
      </c>
      <c r="B4457" s="2" t="s">
        <v>1478</v>
      </c>
      <c r="C4457" s="2">
        <v>965.20119999999997</v>
      </c>
      <c r="D4457" s="2">
        <f>HYPERLINK("http://mcb-m6.bioreg.kyushu-u.ac.jp/M3/20110428/F51132/2961/1", 91.32)</f>
        <v>91.32</v>
      </c>
      <c r="E4457" s="2">
        <v>71.48</v>
      </c>
      <c r="F4457" s="2">
        <v>2</v>
      </c>
      <c r="G4457" s="2" t="s">
        <v>13</v>
      </c>
    </row>
    <row r="4458" spans="1:7" x14ac:dyDescent="0.2">
      <c r="A4458" s="2" t="s">
        <v>3922</v>
      </c>
      <c r="B4458" s="2" t="s">
        <v>1098</v>
      </c>
      <c r="C4458" s="2">
        <v>847.42570000000001</v>
      </c>
      <c r="D4458" s="2">
        <f>HYPERLINK("http://mcb-m6.bioreg.kyushu-u.ac.jp/M3/20110404/F50777/2347/1", 66.41)</f>
        <v>66.41</v>
      </c>
      <c r="E4458" s="2">
        <v>57.09</v>
      </c>
      <c r="F4458" s="2">
        <v>2</v>
      </c>
      <c r="G4458" s="2" t="s">
        <v>9</v>
      </c>
    </row>
    <row r="4459" spans="1:7" x14ac:dyDescent="0.2">
      <c r="A4459" s="2" t="s">
        <v>3625</v>
      </c>
      <c r="B4459" s="2" t="s">
        <v>537</v>
      </c>
      <c r="C4459" s="2">
        <v>665.52509999999995</v>
      </c>
      <c r="D4459" s="2">
        <f>HYPERLINK("http://mcb-m6.bioreg.kyushu-u.ac.jp/M3/20110404/F50754/1831/1", 45.48)</f>
        <v>45.48</v>
      </c>
      <c r="E4459" s="2">
        <v>29.85</v>
      </c>
      <c r="F4459" s="2">
        <v>2</v>
      </c>
      <c r="G4459" s="2" t="s">
        <v>9</v>
      </c>
    </row>
    <row r="4460" spans="1:7" x14ac:dyDescent="0.2">
      <c r="A4460" s="2" t="s">
        <v>3625</v>
      </c>
      <c r="B4460" s="2" t="s">
        <v>537</v>
      </c>
      <c r="C4460" s="2">
        <v>665.74869999999999</v>
      </c>
      <c r="D4460" s="2">
        <f>HYPERLINK("http://mcb-m6.bioreg.kyushu-u.ac.jp/M3/20110404/F50755/1597/1", 53.14)</f>
        <v>53.14</v>
      </c>
      <c r="E4460" s="2">
        <v>27.07</v>
      </c>
      <c r="F4460" s="2">
        <v>2</v>
      </c>
      <c r="G4460" s="2" t="s">
        <v>9</v>
      </c>
    </row>
    <row r="4461" spans="1:7" x14ac:dyDescent="0.2">
      <c r="A4461" s="2" t="s">
        <v>3625</v>
      </c>
      <c r="B4461" s="2" t="s">
        <v>537</v>
      </c>
      <c r="C4461" s="2">
        <v>1329.45</v>
      </c>
      <c r="D4461" s="2">
        <f>HYPERLINK("http://mcb-m6.bioreg.kyushu-u.ac.jp/M3/20110404/F50766/1121/1", 54.7)</f>
        <v>54.7</v>
      </c>
      <c r="E4461" s="2">
        <v>34.450000000000003</v>
      </c>
      <c r="F4461" s="2">
        <v>1</v>
      </c>
      <c r="G4461" s="2" t="s">
        <v>9</v>
      </c>
    </row>
    <row r="4462" spans="1:7" x14ac:dyDescent="0.2">
      <c r="A4462" s="2" t="s">
        <v>3625</v>
      </c>
      <c r="B4462" s="2" t="s">
        <v>537</v>
      </c>
      <c r="C4462" s="2">
        <v>665.8732</v>
      </c>
      <c r="D4462" s="2">
        <f>HYPERLINK("http://mcb-m6.bioreg.kyushu-u.ac.jp/M3/20110404/F50765/1472/1", 61.9)</f>
        <v>61.9</v>
      </c>
      <c r="E4462" s="2">
        <v>39.520000000000003</v>
      </c>
      <c r="F4462" s="2">
        <v>2</v>
      </c>
      <c r="G4462" s="2" t="s">
        <v>9</v>
      </c>
    </row>
    <row r="4463" spans="1:7" x14ac:dyDescent="0.2">
      <c r="A4463" s="2" t="s">
        <v>3625</v>
      </c>
      <c r="B4463" s="2" t="s">
        <v>537</v>
      </c>
      <c r="C4463" s="2">
        <v>1329.559</v>
      </c>
      <c r="D4463" s="2">
        <f>HYPERLINK("http://mcb-m6.bioreg.kyushu-u.ac.jp/M3/20110404/F50763/1606/1", 67.68)</f>
        <v>67.680000000000007</v>
      </c>
      <c r="E4463" s="2">
        <v>51.13</v>
      </c>
      <c r="F4463" s="2">
        <v>1</v>
      </c>
      <c r="G4463" s="2" t="s">
        <v>9</v>
      </c>
    </row>
    <row r="4464" spans="1:7" x14ac:dyDescent="0.2">
      <c r="A4464" s="2" t="s">
        <v>3625</v>
      </c>
      <c r="B4464" s="2" t="s">
        <v>537</v>
      </c>
      <c r="C4464" s="2">
        <v>665.2482</v>
      </c>
      <c r="D4464" s="2">
        <f>HYPERLINK("http://mcb-m6.bioreg.kyushu-u.ac.jp/M3/20110404/F50756/1583/1", 69.75)</f>
        <v>69.75</v>
      </c>
      <c r="E4464" s="2">
        <v>43.03</v>
      </c>
      <c r="F4464" s="2">
        <v>2</v>
      </c>
      <c r="G4464" s="2" t="s">
        <v>9</v>
      </c>
    </row>
    <row r="4465" spans="1:7" x14ac:dyDescent="0.2">
      <c r="A4465" s="2" t="s">
        <v>3625</v>
      </c>
      <c r="B4465" s="2" t="s">
        <v>537</v>
      </c>
      <c r="C4465" s="2">
        <v>665.61159999999995</v>
      </c>
      <c r="D4465" s="2">
        <f>HYPERLINK("http://mcb-m6.bioreg.kyushu-u.ac.jp/M3/20110404/F50752/1847/1", 71.31)</f>
        <v>71.31</v>
      </c>
      <c r="E4465" s="2">
        <v>46.2</v>
      </c>
      <c r="F4465" s="2">
        <v>2</v>
      </c>
      <c r="G4465" s="2" t="s">
        <v>9</v>
      </c>
    </row>
    <row r="4466" spans="1:7" x14ac:dyDescent="0.2">
      <c r="A4466" s="2" t="s">
        <v>3625</v>
      </c>
      <c r="B4466" s="2" t="s">
        <v>537</v>
      </c>
      <c r="C4466" s="2">
        <v>665.16219999999998</v>
      </c>
      <c r="D4466" s="2">
        <f>HYPERLINK("http://mcb-m6.bioreg.kyushu-u.ac.jp/M3/20110404/F50767/1302/1", 88.34)</f>
        <v>88.34</v>
      </c>
      <c r="E4466" s="2">
        <v>67.03</v>
      </c>
      <c r="F4466" s="2">
        <v>2</v>
      </c>
      <c r="G4466" s="2" t="s">
        <v>9</v>
      </c>
    </row>
    <row r="4467" spans="1:7" x14ac:dyDescent="0.2">
      <c r="A4467" s="2" t="s">
        <v>3625</v>
      </c>
      <c r="B4467" s="2" t="s">
        <v>537</v>
      </c>
      <c r="C4467" s="2">
        <v>665.64670000000001</v>
      </c>
      <c r="D4467" s="2">
        <f>HYPERLINK("http://mcb-m6.bioreg.kyushu-u.ac.jp/M3/20110404/F50753/1707/1", 88.44)</f>
        <v>88.44</v>
      </c>
      <c r="E4467" s="2">
        <v>60.03</v>
      </c>
      <c r="F4467" s="2">
        <v>2</v>
      </c>
      <c r="G4467" s="2" t="s">
        <v>9</v>
      </c>
    </row>
    <row r="4468" spans="1:7" x14ac:dyDescent="0.2">
      <c r="A4468" s="2" t="s">
        <v>3625</v>
      </c>
      <c r="B4468" s="2" t="s">
        <v>537</v>
      </c>
      <c r="C4468" s="2">
        <v>665.29020000000003</v>
      </c>
      <c r="D4468" s="2">
        <f>HYPERLINK("http://mcb-m6.bioreg.kyushu-u.ac.jp/M3/20110404/F50763/1607/1", 91.5)</f>
        <v>91.5</v>
      </c>
      <c r="E4468" s="2">
        <v>65.56</v>
      </c>
      <c r="F4468" s="2">
        <v>2</v>
      </c>
      <c r="G4468" s="2" t="s">
        <v>9</v>
      </c>
    </row>
    <row r="4469" spans="1:7" x14ac:dyDescent="0.2">
      <c r="A4469" s="2" t="s">
        <v>3625</v>
      </c>
      <c r="B4469" s="2" t="s">
        <v>537</v>
      </c>
      <c r="C4469" s="2">
        <v>665.15970000000004</v>
      </c>
      <c r="D4469" s="2">
        <f>HYPERLINK("http://mcb-m6.bioreg.kyushu-u.ac.jp/M3/20110404/F50766/1118/1", 96.8)</f>
        <v>96.8</v>
      </c>
      <c r="E4469" s="2">
        <v>63.79</v>
      </c>
      <c r="F4469" s="2">
        <v>2</v>
      </c>
      <c r="G4469" s="2" t="s">
        <v>9</v>
      </c>
    </row>
    <row r="4470" spans="1:7" x14ac:dyDescent="0.2">
      <c r="A4470" s="2" t="s">
        <v>3625</v>
      </c>
      <c r="B4470" s="2" t="s">
        <v>537</v>
      </c>
      <c r="C4470" s="2">
        <v>1330.3889999999999</v>
      </c>
      <c r="D4470" s="2">
        <f>HYPERLINK("http://mcb-m6.bioreg.kyushu-u.ac.jp/M3/20110404/F50758/1622/1", 52.32)</f>
        <v>52.32</v>
      </c>
      <c r="E4470" s="2">
        <v>37.31</v>
      </c>
      <c r="F4470" s="2">
        <v>1</v>
      </c>
      <c r="G4470" s="2" t="s">
        <v>10</v>
      </c>
    </row>
    <row r="4471" spans="1:7" x14ac:dyDescent="0.2">
      <c r="A4471" s="2" t="s">
        <v>3625</v>
      </c>
      <c r="B4471" s="2" t="s">
        <v>537</v>
      </c>
      <c r="C4471" s="2">
        <v>1329.33</v>
      </c>
      <c r="D4471" s="2">
        <f>HYPERLINK("http://mcb-m6.bioreg.kyushu-u.ac.jp/M3/20110404/F50782/1400/1", 60.39)</f>
        <v>60.39</v>
      </c>
      <c r="E4471" s="2">
        <v>39.21</v>
      </c>
      <c r="F4471" s="2">
        <v>1</v>
      </c>
      <c r="G4471" s="2" t="s">
        <v>10</v>
      </c>
    </row>
    <row r="4472" spans="1:7" x14ac:dyDescent="0.2">
      <c r="A4472" s="2" t="s">
        <v>3625</v>
      </c>
      <c r="B4472" s="2" t="s">
        <v>537</v>
      </c>
      <c r="C4472" s="2">
        <v>665.19320000000005</v>
      </c>
      <c r="D4472" s="2">
        <f>HYPERLINK("http://mcb-m6.bioreg.kyushu-u.ac.jp/M3/20110404/F50768/1563/1", 69.72)</f>
        <v>69.72</v>
      </c>
      <c r="E4472" s="2">
        <v>47.31</v>
      </c>
      <c r="F4472" s="2">
        <v>2</v>
      </c>
      <c r="G4472" s="2" t="s">
        <v>10</v>
      </c>
    </row>
    <row r="4473" spans="1:7" x14ac:dyDescent="0.2">
      <c r="A4473" s="2" t="s">
        <v>3625</v>
      </c>
      <c r="B4473" s="2" t="s">
        <v>537</v>
      </c>
      <c r="C4473" s="2">
        <v>665.43219999999997</v>
      </c>
      <c r="D4473" s="2">
        <f>HYPERLINK("http://mcb-m6.bioreg.kyushu-u.ac.jp/M3/20110404/F50771/1545/1", 76.55)</f>
        <v>76.55</v>
      </c>
      <c r="E4473" s="2">
        <v>51.02</v>
      </c>
      <c r="F4473" s="2">
        <v>2</v>
      </c>
      <c r="G4473" s="2" t="s">
        <v>10</v>
      </c>
    </row>
    <row r="4474" spans="1:7" x14ac:dyDescent="0.2">
      <c r="A4474" s="2" t="s">
        <v>3625</v>
      </c>
      <c r="B4474" s="2" t="s">
        <v>537</v>
      </c>
      <c r="C4474" s="2">
        <v>665.27170000000001</v>
      </c>
      <c r="D4474" s="2">
        <f>HYPERLINK("http://mcb-m6.bioreg.kyushu-u.ac.jp/M3/20110404/F50769/1713/1", 83.57)</f>
        <v>83.57</v>
      </c>
      <c r="E4474" s="2">
        <v>60.94</v>
      </c>
      <c r="F4474" s="2">
        <v>2</v>
      </c>
      <c r="G4474" s="2" t="s">
        <v>10</v>
      </c>
    </row>
    <row r="4475" spans="1:7" x14ac:dyDescent="0.2">
      <c r="A4475" s="2" t="s">
        <v>3625</v>
      </c>
      <c r="B4475" s="2" t="s">
        <v>537</v>
      </c>
      <c r="C4475" s="2">
        <v>665.19759999999997</v>
      </c>
      <c r="D4475" s="2">
        <f>HYPERLINK("http://mcb-m6.bioreg.kyushu-u.ac.jp/M3/20110404/F50775/1576/1", 86.85)</f>
        <v>86.85</v>
      </c>
      <c r="E4475" s="2">
        <v>47.6</v>
      </c>
      <c r="F4475" s="2">
        <v>2</v>
      </c>
      <c r="G4475" s="2" t="s">
        <v>10</v>
      </c>
    </row>
    <row r="4476" spans="1:7" x14ac:dyDescent="0.2">
      <c r="A4476" s="2" t="s">
        <v>3625</v>
      </c>
      <c r="B4476" s="2" t="s">
        <v>537</v>
      </c>
      <c r="C4476" s="2">
        <v>665.22310000000004</v>
      </c>
      <c r="D4476" s="2">
        <f>HYPERLINK("http://mcb-m6.bioreg.kyushu-u.ac.jp/M3/20110404/F50758/1620/1", 88.55)</f>
        <v>88.55</v>
      </c>
      <c r="E4476" s="2">
        <v>66.84</v>
      </c>
      <c r="F4476" s="2">
        <v>2</v>
      </c>
      <c r="G4476" s="2" t="s">
        <v>10</v>
      </c>
    </row>
    <row r="4477" spans="1:7" x14ac:dyDescent="0.2">
      <c r="A4477" s="2" t="s">
        <v>3625</v>
      </c>
      <c r="B4477" s="2" t="s">
        <v>537</v>
      </c>
      <c r="C4477" s="2">
        <v>665.89570000000003</v>
      </c>
      <c r="D4477" s="2">
        <f>HYPERLINK("http://mcb-m6.bioreg.kyushu-u.ac.jp/M3/20110404/F50773/1480/1", 92.6)</f>
        <v>92.6</v>
      </c>
      <c r="E4477" s="2">
        <v>53.42</v>
      </c>
      <c r="F4477" s="2">
        <v>2</v>
      </c>
      <c r="G4477" s="2" t="s">
        <v>10</v>
      </c>
    </row>
    <row r="4478" spans="1:7" x14ac:dyDescent="0.2">
      <c r="A4478" s="2" t="s">
        <v>3625</v>
      </c>
      <c r="B4478" s="2" t="s">
        <v>537</v>
      </c>
      <c r="C4478" s="2">
        <v>665.71010000000001</v>
      </c>
      <c r="D4478" s="2">
        <f>HYPERLINK("http://mcb-m6.bioreg.kyushu-u.ac.jp/M3/20110404/F50775/1577/1", 92.78)</f>
        <v>92.78</v>
      </c>
      <c r="E4478" s="2">
        <v>66.19</v>
      </c>
      <c r="F4478" s="2">
        <v>2</v>
      </c>
      <c r="G4478" s="2" t="s">
        <v>10</v>
      </c>
    </row>
    <row r="4479" spans="1:7" x14ac:dyDescent="0.2">
      <c r="A4479" s="2" t="s">
        <v>3625</v>
      </c>
      <c r="B4479" s="2" t="s">
        <v>537</v>
      </c>
      <c r="C4479" s="2">
        <v>665.12070000000006</v>
      </c>
      <c r="D4479" s="2">
        <f>HYPERLINK("http://mcb-m6.bioreg.kyushu-u.ac.jp/M3/20110404/F50782/1399/1", 92.9)</f>
        <v>92.9</v>
      </c>
      <c r="E4479" s="2">
        <v>63.21</v>
      </c>
      <c r="F4479" s="2">
        <v>2</v>
      </c>
      <c r="G4479" s="2" t="s">
        <v>10</v>
      </c>
    </row>
    <row r="4480" spans="1:7" x14ac:dyDescent="0.2">
      <c r="A4480" s="2" t="s">
        <v>3625</v>
      </c>
      <c r="B4480" s="2" t="s">
        <v>537</v>
      </c>
      <c r="C4480" s="2">
        <v>665.24220000000003</v>
      </c>
      <c r="D4480" s="2">
        <f>HYPERLINK("http://mcb-m6.bioreg.kyushu-u.ac.jp/M3/20110421/F51035/1506/1", 41.5)</f>
        <v>41.5</v>
      </c>
      <c r="E4480" s="2">
        <v>26.46</v>
      </c>
      <c r="F4480" s="2">
        <v>2</v>
      </c>
      <c r="G4480" s="2" t="s">
        <v>11</v>
      </c>
    </row>
    <row r="4481" spans="1:7" x14ac:dyDescent="0.2">
      <c r="A4481" s="2" t="s">
        <v>3625</v>
      </c>
      <c r="B4481" s="2" t="s">
        <v>537</v>
      </c>
      <c r="C4481" s="2">
        <v>1330.433</v>
      </c>
      <c r="D4481" s="2">
        <f>HYPERLINK("http://mcb-m6.bioreg.kyushu-u.ac.jp/M3/20110421/F51035/1510/1", 42.28)</f>
        <v>42.28</v>
      </c>
      <c r="E4481" s="2">
        <v>21.06</v>
      </c>
      <c r="F4481" s="2">
        <v>1</v>
      </c>
      <c r="G4481" s="2" t="s">
        <v>11</v>
      </c>
    </row>
    <row r="4482" spans="1:7" x14ac:dyDescent="0.2">
      <c r="A4482" s="2" t="s">
        <v>3625</v>
      </c>
      <c r="B4482" s="2" t="s">
        <v>537</v>
      </c>
      <c r="C4482" s="2">
        <v>665.35360000000003</v>
      </c>
      <c r="D4482" s="2">
        <f>HYPERLINK("http://mcb-m6.bioreg.kyushu-u.ac.jp/M3/20110421/F51039/1616/1", 73.27)</f>
        <v>73.27</v>
      </c>
      <c r="E4482" s="2">
        <v>46.47</v>
      </c>
      <c r="F4482" s="2">
        <v>2</v>
      </c>
      <c r="G4482" s="2" t="s">
        <v>11</v>
      </c>
    </row>
    <row r="4483" spans="1:7" x14ac:dyDescent="0.2">
      <c r="A4483" s="2" t="s">
        <v>3625</v>
      </c>
      <c r="B4483" s="2" t="s">
        <v>537</v>
      </c>
      <c r="C4483" s="2">
        <v>665.28369999999995</v>
      </c>
      <c r="D4483" s="2">
        <f>HYPERLINK("http://mcb-m6.bioreg.kyushu-u.ac.jp/M3/20110421/F51034/1578/1", 73.57)</f>
        <v>73.569999999999993</v>
      </c>
      <c r="E4483" s="2">
        <v>45.43</v>
      </c>
      <c r="F4483" s="2">
        <v>2</v>
      </c>
      <c r="G4483" s="2" t="s">
        <v>11</v>
      </c>
    </row>
    <row r="4484" spans="1:7" x14ac:dyDescent="0.2">
      <c r="A4484" s="2" t="s">
        <v>3625</v>
      </c>
      <c r="B4484" s="2" t="s">
        <v>537</v>
      </c>
      <c r="C4484" s="2">
        <v>665.63760000000002</v>
      </c>
      <c r="D4484" s="2">
        <f>HYPERLINK("http://mcb-m6.bioreg.kyushu-u.ac.jp/M3/20110421/F51017/1601/1", 81.48)</f>
        <v>81.48</v>
      </c>
      <c r="E4484" s="2">
        <v>56.2</v>
      </c>
      <c r="F4484" s="2">
        <v>2</v>
      </c>
      <c r="G4484" s="2" t="s">
        <v>11</v>
      </c>
    </row>
    <row r="4485" spans="1:7" x14ac:dyDescent="0.2">
      <c r="A4485" s="2" t="s">
        <v>3625</v>
      </c>
      <c r="B4485" s="2" t="s">
        <v>537</v>
      </c>
      <c r="C4485" s="2">
        <v>665.12869999999998</v>
      </c>
      <c r="D4485" s="2">
        <f>HYPERLINK("http://mcb-m6.bioreg.kyushu-u.ac.jp/M3/20110421/F51017/1597/1", 86.77)</f>
        <v>86.77</v>
      </c>
      <c r="E4485" s="2">
        <v>65.430000000000007</v>
      </c>
      <c r="F4485" s="2">
        <v>2</v>
      </c>
      <c r="G4485" s="2" t="s">
        <v>11</v>
      </c>
    </row>
    <row r="4486" spans="1:7" x14ac:dyDescent="0.2">
      <c r="A4486" s="2" t="s">
        <v>3625</v>
      </c>
      <c r="B4486" s="2" t="s">
        <v>537</v>
      </c>
      <c r="C4486" s="2">
        <v>665.2491</v>
      </c>
      <c r="D4486" s="2">
        <f>HYPERLINK("http://mcb-m6.bioreg.kyushu-u.ac.jp/M3/20110421/F51040/1581/1", 88.52)</f>
        <v>88.52</v>
      </c>
      <c r="E4486" s="2">
        <v>62.38</v>
      </c>
      <c r="F4486" s="2">
        <v>2</v>
      </c>
      <c r="G4486" s="2" t="s">
        <v>11</v>
      </c>
    </row>
    <row r="4487" spans="1:7" x14ac:dyDescent="0.2">
      <c r="A4487" s="2" t="s">
        <v>3625</v>
      </c>
      <c r="B4487" s="2" t="s">
        <v>537</v>
      </c>
      <c r="C4487" s="2">
        <v>665.22559999999999</v>
      </c>
      <c r="D4487" s="2">
        <f>HYPERLINK("http://mcb-m6.bioreg.kyushu-u.ac.jp/M3/20110421/F51020/1644/1", 88.73)</f>
        <v>88.73</v>
      </c>
      <c r="E4487" s="2">
        <v>61.55</v>
      </c>
      <c r="F4487" s="2">
        <v>2</v>
      </c>
      <c r="G4487" s="2" t="s">
        <v>11</v>
      </c>
    </row>
    <row r="4488" spans="1:7" x14ac:dyDescent="0.2">
      <c r="A4488" s="2" t="s">
        <v>3625</v>
      </c>
      <c r="B4488" s="2" t="s">
        <v>537</v>
      </c>
      <c r="C4488" s="2">
        <v>665.41610000000003</v>
      </c>
      <c r="D4488" s="2">
        <f>HYPERLINK("http://mcb-m6.bioreg.kyushu-u.ac.jp/M3/20110421/F51021/1602/1", 36.86)</f>
        <v>36.86</v>
      </c>
      <c r="E4488" s="2">
        <v>16.68</v>
      </c>
      <c r="F4488" s="2">
        <v>2</v>
      </c>
      <c r="G4488" s="2" t="s">
        <v>12</v>
      </c>
    </row>
    <row r="4489" spans="1:7" x14ac:dyDescent="0.2">
      <c r="A4489" s="2" t="s">
        <v>3625</v>
      </c>
      <c r="B4489" s="2" t="s">
        <v>537</v>
      </c>
      <c r="C4489" s="2">
        <v>1330.365</v>
      </c>
      <c r="D4489" s="2">
        <f>HYPERLINK("http://mcb-m6.bioreg.kyushu-u.ac.jp/M3/20110421/F51021/1603/1", 56.91)</f>
        <v>56.91</v>
      </c>
      <c r="E4489" s="2">
        <v>36.049999999999997</v>
      </c>
      <c r="F4489" s="2">
        <v>1</v>
      </c>
      <c r="G4489" s="2" t="s">
        <v>12</v>
      </c>
    </row>
    <row r="4490" spans="1:7" x14ac:dyDescent="0.2">
      <c r="A4490" s="2" t="s">
        <v>3625</v>
      </c>
      <c r="B4490" s="2" t="s">
        <v>537</v>
      </c>
      <c r="C4490" s="2">
        <v>1329.425</v>
      </c>
      <c r="D4490" s="2">
        <f>HYPERLINK("http://mcb-m6.bioreg.kyushu-u.ac.jp/M3/20110421/F51021/1600/1", 59.98)</f>
        <v>59.98</v>
      </c>
      <c r="E4490" s="2">
        <v>42.21</v>
      </c>
      <c r="F4490" s="2">
        <v>1</v>
      </c>
      <c r="G4490" s="2" t="s">
        <v>12</v>
      </c>
    </row>
    <row r="4491" spans="1:7" x14ac:dyDescent="0.2">
      <c r="A4491" s="2" t="s">
        <v>3625</v>
      </c>
      <c r="B4491" s="2" t="s">
        <v>537</v>
      </c>
      <c r="C4491" s="2">
        <v>665.81209999999999</v>
      </c>
      <c r="D4491" s="2">
        <f>HYPERLINK("http://mcb-m6.bioreg.kyushu-u.ac.jp/M3/20110421/F51021/1604/1", 66.5)</f>
        <v>66.5</v>
      </c>
      <c r="E4491" s="2">
        <v>37.6</v>
      </c>
      <c r="F4491" s="2">
        <v>2</v>
      </c>
      <c r="G4491" s="2" t="s">
        <v>12</v>
      </c>
    </row>
    <row r="4492" spans="1:7" x14ac:dyDescent="0.2">
      <c r="A4492" s="2" t="s">
        <v>3625</v>
      </c>
      <c r="B4492" s="2" t="s">
        <v>537</v>
      </c>
      <c r="C4492" s="2">
        <v>665.12919999999997</v>
      </c>
      <c r="D4492" s="2">
        <f>HYPERLINK("http://mcb-m6.bioreg.kyushu-u.ac.jp/M3/20110421/F51021/1599/1", 76.02)</f>
        <v>76.02</v>
      </c>
      <c r="E4492" s="2">
        <v>55.47</v>
      </c>
      <c r="F4492" s="2">
        <v>2</v>
      </c>
      <c r="G4492" s="2" t="s">
        <v>12</v>
      </c>
    </row>
    <row r="4493" spans="1:7" x14ac:dyDescent="0.2">
      <c r="A4493" s="2" t="s">
        <v>3625</v>
      </c>
      <c r="B4493" s="2" t="s">
        <v>537</v>
      </c>
      <c r="C4493" s="2">
        <v>665.33010000000002</v>
      </c>
      <c r="D4493" s="2">
        <f>HYPERLINK("http://mcb-m6.bioreg.kyushu-u.ac.jp/M3/20110421/F51061/1518/1", 86.78)</f>
        <v>86.78</v>
      </c>
      <c r="E4493" s="2">
        <v>60.35</v>
      </c>
      <c r="F4493" s="2">
        <v>2</v>
      </c>
      <c r="G4493" s="2" t="s">
        <v>12</v>
      </c>
    </row>
    <row r="4494" spans="1:7" x14ac:dyDescent="0.2">
      <c r="A4494" s="2" t="s">
        <v>3625</v>
      </c>
      <c r="B4494" s="2" t="s">
        <v>537</v>
      </c>
      <c r="C4494" s="2">
        <v>665.34770000000003</v>
      </c>
      <c r="D4494" s="2">
        <f>HYPERLINK("http://mcb-m6.bioreg.kyushu-u.ac.jp/M3/20110421/F51045/1804/1", 88.18)</f>
        <v>88.18</v>
      </c>
      <c r="E4494" s="2">
        <v>64.95</v>
      </c>
      <c r="F4494" s="2">
        <v>2</v>
      </c>
      <c r="G4494" s="2" t="s">
        <v>12</v>
      </c>
    </row>
    <row r="4495" spans="1:7" x14ac:dyDescent="0.2">
      <c r="A4495" s="2" t="s">
        <v>3625</v>
      </c>
      <c r="B4495" s="2" t="s">
        <v>537</v>
      </c>
      <c r="C4495" s="2">
        <v>665.8492</v>
      </c>
      <c r="D4495" s="2">
        <f>HYPERLINK("http://mcb-m6.bioreg.kyushu-u.ac.jp/M3/20110421/F51045/1806/1", 88.79)</f>
        <v>88.79</v>
      </c>
      <c r="E4495" s="2">
        <v>58.93</v>
      </c>
      <c r="F4495" s="2">
        <v>2</v>
      </c>
      <c r="G4495" s="2" t="s">
        <v>12</v>
      </c>
    </row>
    <row r="4496" spans="1:7" x14ac:dyDescent="0.2">
      <c r="A4496" s="2" t="s">
        <v>3625</v>
      </c>
      <c r="B4496" s="2" t="s">
        <v>537</v>
      </c>
      <c r="C4496" s="2">
        <v>665.35270000000003</v>
      </c>
      <c r="D4496" s="2">
        <f>HYPERLINK("http://mcb-m6.bioreg.kyushu-u.ac.jp/M3/20110421/F51044/1559/1", 92.06)</f>
        <v>92.06</v>
      </c>
      <c r="E4496" s="2">
        <v>66.77</v>
      </c>
      <c r="F4496" s="2">
        <v>2</v>
      </c>
      <c r="G4496" s="2" t="s">
        <v>12</v>
      </c>
    </row>
    <row r="4497" spans="1:7" x14ac:dyDescent="0.2">
      <c r="A4497" s="2" t="s">
        <v>3625</v>
      </c>
      <c r="B4497" s="2" t="s">
        <v>537</v>
      </c>
      <c r="C4497" s="2">
        <v>665.3442</v>
      </c>
      <c r="D4497" s="2">
        <f>HYPERLINK("http://mcb-m6.bioreg.kyushu-u.ac.jp/M3/20110421/F51043/1618/1", 92.55)</f>
        <v>92.55</v>
      </c>
      <c r="E4497" s="2">
        <v>68.55</v>
      </c>
      <c r="F4497" s="2">
        <v>2</v>
      </c>
      <c r="G4497" s="2" t="s">
        <v>12</v>
      </c>
    </row>
    <row r="4498" spans="1:7" x14ac:dyDescent="0.2">
      <c r="A4498" s="2" t="s">
        <v>3625</v>
      </c>
      <c r="B4498" s="2" t="s">
        <v>537</v>
      </c>
      <c r="C4498" s="2">
        <v>665.09119999999996</v>
      </c>
      <c r="D4498" s="2">
        <f>HYPERLINK("http://mcb-m6.bioreg.kyushu-u.ac.jp/M3/20110427/F51110/1884/1", 41.32)</f>
        <v>41.32</v>
      </c>
      <c r="E4498" s="2">
        <v>26.64</v>
      </c>
      <c r="F4498" s="2">
        <v>2</v>
      </c>
      <c r="G4498" s="2" t="s">
        <v>13</v>
      </c>
    </row>
    <row r="4499" spans="1:7" x14ac:dyDescent="0.2">
      <c r="A4499" s="2" t="s">
        <v>3625</v>
      </c>
      <c r="B4499" s="2" t="s">
        <v>537</v>
      </c>
      <c r="C4499" s="2">
        <v>1329.3789999999999</v>
      </c>
      <c r="D4499" s="2">
        <f>HYPERLINK("http://mcb-m6.bioreg.kyushu-u.ac.jp/M3/20110427/F51110/1885/1", 53.53)</f>
        <v>53.53</v>
      </c>
      <c r="E4499" s="2">
        <v>33.880000000000003</v>
      </c>
      <c r="F4499" s="2">
        <v>1</v>
      </c>
      <c r="G4499" s="2" t="s">
        <v>13</v>
      </c>
    </row>
    <row r="4500" spans="1:7" x14ac:dyDescent="0.2">
      <c r="A4500" s="2" t="s">
        <v>3625</v>
      </c>
      <c r="B4500" s="2" t="s">
        <v>537</v>
      </c>
      <c r="C4500" s="2">
        <v>665.1472</v>
      </c>
      <c r="D4500" s="2">
        <f>HYPERLINK("http://mcb-m6.bioreg.kyushu-u.ac.jp/M3/20110427/F51112/1712/1", 69.19)</f>
        <v>69.19</v>
      </c>
      <c r="E4500" s="2">
        <v>50.83</v>
      </c>
      <c r="F4500" s="2">
        <v>2</v>
      </c>
      <c r="G4500" s="2" t="s">
        <v>13</v>
      </c>
    </row>
    <row r="4501" spans="1:7" x14ac:dyDescent="0.2">
      <c r="A4501" s="2" t="s">
        <v>3625</v>
      </c>
      <c r="B4501" s="2" t="s">
        <v>537</v>
      </c>
      <c r="C4501" s="2">
        <v>665.6567</v>
      </c>
      <c r="D4501" s="2">
        <f>HYPERLINK("http://mcb-m6.bioreg.kyushu-u.ac.jp/M3/20110427/F51110/1886/1", 71.71)</f>
        <v>71.709999999999994</v>
      </c>
      <c r="E4501" s="2">
        <v>43.27</v>
      </c>
      <c r="F4501" s="2">
        <v>2</v>
      </c>
      <c r="G4501" s="2" t="s">
        <v>13</v>
      </c>
    </row>
    <row r="4502" spans="1:7" x14ac:dyDescent="0.2">
      <c r="A4502" s="2" t="s">
        <v>3625</v>
      </c>
      <c r="B4502" s="2" t="s">
        <v>537</v>
      </c>
      <c r="C4502" s="2">
        <v>665.66269999999997</v>
      </c>
      <c r="D4502" s="2">
        <f>HYPERLINK("http://mcb-m6.bioreg.kyushu-u.ac.jp/M3/20110427/F51116/1643/1", 71.72)</f>
        <v>71.72</v>
      </c>
      <c r="E4502" s="2">
        <v>41.02</v>
      </c>
      <c r="F4502" s="2">
        <v>2</v>
      </c>
      <c r="G4502" s="2" t="s">
        <v>13</v>
      </c>
    </row>
    <row r="4503" spans="1:7" x14ac:dyDescent="0.2">
      <c r="A4503" s="2" t="s">
        <v>3625</v>
      </c>
      <c r="B4503" s="2" t="s">
        <v>537</v>
      </c>
      <c r="C4503" s="2">
        <v>665.18020000000001</v>
      </c>
      <c r="D4503" s="2">
        <f>HYPERLINK("http://mcb-m6.bioreg.kyushu-u.ac.jp/M3/20110427/F51113/1611/1", 72.9)</f>
        <v>72.900000000000006</v>
      </c>
      <c r="E4503" s="2">
        <v>37.909999999999997</v>
      </c>
      <c r="F4503" s="2">
        <v>2</v>
      </c>
      <c r="G4503" s="2" t="s">
        <v>13</v>
      </c>
    </row>
    <row r="4504" spans="1:7" x14ac:dyDescent="0.2">
      <c r="A4504" s="2" t="s">
        <v>3625</v>
      </c>
      <c r="B4504" s="2" t="s">
        <v>537</v>
      </c>
      <c r="C4504" s="2">
        <v>665.64970000000005</v>
      </c>
      <c r="D4504" s="2">
        <f>HYPERLINK("http://mcb-m6.bioreg.kyushu-u.ac.jp/M3/20110428/F51127/1455/1", 74.13)</f>
        <v>74.13</v>
      </c>
      <c r="E4504" s="2">
        <v>54.35</v>
      </c>
      <c r="F4504" s="2">
        <v>2</v>
      </c>
      <c r="G4504" s="2" t="s">
        <v>13</v>
      </c>
    </row>
    <row r="4505" spans="1:7" x14ac:dyDescent="0.2">
      <c r="A4505" s="2" t="s">
        <v>3625</v>
      </c>
      <c r="B4505" s="2" t="s">
        <v>537</v>
      </c>
      <c r="C4505" s="2">
        <v>665.17769999999996</v>
      </c>
      <c r="D4505" s="2">
        <f>HYPERLINK("http://mcb-m6.bioreg.kyushu-u.ac.jp/M3/20110427/F51115/1624/1", 88.41)</f>
        <v>88.41</v>
      </c>
      <c r="E4505" s="2">
        <v>65.41</v>
      </c>
      <c r="F4505" s="2">
        <v>2</v>
      </c>
      <c r="G4505" s="2" t="s">
        <v>13</v>
      </c>
    </row>
    <row r="4506" spans="1:7" x14ac:dyDescent="0.2">
      <c r="A4506" s="2" t="s">
        <v>3625</v>
      </c>
      <c r="B4506" s="2" t="s">
        <v>537</v>
      </c>
      <c r="C4506" s="2">
        <v>665.15470000000005</v>
      </c>
      <c r="D4506" s="2">
        <f>HYPERLINK("http://mcb-m6.bioreg.kyushu-u.ac.jp/M3/20110427/F51108/1737/1", 88.59)</f>
        <v>88.59</v>
      </c>
      <c r="E4506" s="2">
        <v>58.01</v>
      </c>
      <c r="F4506" s="2">
        <v>2</v>
      </c>
      <c r="G4506" s="2" t="s">
        <v>13</v>
      </c>
    </row>
    <row r="4507" spans="1:7" x14ac:dyDescent="0.2">
      <c r="A4507" s="2" t="s">
        <v>3625</v>
      </c>
      <c r="B4507" s="2" t="s">
        <v>537</v>
      </c>
      <c r="C4507" s="2">
        <v>665.1481</v>
      </c>
      <c r="D4507" s="2">
        <f>HYPERLINK("http://mcb-m6.bioreg.kyushu-u.ac.jp/M3/20110427/F51109/1859/1", 96.04)</f>
        <v>96.04</v>
      </c>
      <c r="E4507" s="2">
        <v>67.23</v>
      </c>
      <c r="F4507" s="2">
        <v>2</v>
      </c>
      <c r="G4507" s="2" t="s">
        <v>13</v>
      </c>
    </row>
    <row r="4508" spans="1:7" x14ac:dyDescent="0.2">
      <c r="A4508" s="2" t="s">
        <v>3625</v>
      </c>
      <c r="B4508" s="2" t="s">
        <v>537</v>
      </c>
      <c r="C4508" s="2">
        <v>665.35419999999999</v>
      </c>
      <c r="D4508" s="2">
        <f>HYPERLINK("http://mcb-m6.bioreg.kyushu-u.ac.jp/M3/20110427/F51117/1604/1", 105.03)</f>
        <v>105.03</v>
      </c>
      <c r="E4508" s="2">
        <v>73.89</v>
      </c>
      <c r="F4508" s="2">
        <v>2</v>
      </c>
      <c r="G4508" s="2" t="s">
        <v>13</v>
      </c>
    </row>
    <row r="4509" spans="1:7" x14ac:dyDescent="0.2">
      <c r="A4509" s="2" t="s">
        <v>3625</v>
      </c>
      <c r="B4509" s="2" t="s">
        <v>537</v>
      </c>
      <c r="C4509" s="2">
        <v>665.18269999999995</v>
      </c>
      <c r="D4509" s="2">
        <f>HYPERLINK("http://mcb-m6.bioreg.kyushu-u.ac.jp/M3/20110428/F51132/1549/1", 105.16)</f>
        <v>105.16</v>
      </c>
      <c r="E4509" s="2">
        <v>76.42</v>
      </c>
      <c r="F4509" s="2">
        <v>2</v>
      </c>
      <c r="G4509" s="2" t="s">
        <v>13</v>
      </c>
    </row>
    <row r="4510" spans="1:7" x14ac:dyDescent="0.2">
      <c r="A4510" s="2" t="s">
        <v>3625</v>
      </c>
      <c r="B4510" s="2" t="s">
        <v>537</v>
      </c>
      <c r="C4510" s="2">
        <v>665.66420000000005</v>
      </c>
      <c r="D4510" s="2">
        <f>HYPERLINK("http://mcb-m6.bioreg.kyushu-u.ac.jp/M3/20110427/F51120/1801/1", 70.18)</f>
        <v>70.180000000000007</v>
      </c>
      <c r="E4510" s="2">
        <v>37.9</v>
      </c>
      <c r="F4510" s="2">
        <v>2</v>
      </c>
      <c r="G4510" s="2" t="s">
        <v>14</v>
      </c>
    </row>
    <row r="4511" spans="1:7" x14ac:dyDescent="0.2">
      <c r="A4511" s="2" t="s">
        <v>3625</v>
      </c>
      <c r="B4511" s="2" t="s">
        <v>537</v>
      </c>
      <c r="C4511" s="2">
        <v>665.12220000000002</v>
      </c>
      <c r="D4511" s="2">
        <f>HYPERLINK("http://mcb-m6.bioreg.kyushu-u.ac.jp/M3/20110427/F51120/1798/1", 70.83)</f>
        <v>70.83</v>
      </c>
      <c r="E4511" s="2">
        <v>54.43</v>
      </c>
      <c r="F4511" s="2">
        <v>2</v>
      </c>
      <c r="G4511" s="2" t="s">
        <v>14</v>
      </c>
    </row>
    <row r="4512" spans="1:7" x14ac:dyDescent="0.2">
      <c r="A4512" s="2" t="s">
        <v>3625</v>
      </c>
      <c r="B4512" s="2" t="s">
        <v>537</v>
      </c>
      <c r="C4512" s="2">
        <v>665.12070000000006</v>
      </c>
      <c r="D4512" s="2">
        <f>HYPERLINK("http://mcb-m6.bioreg.kyushu-u.ac.jp/M3/20110427/F51123/1652/1", 73.69)</f>
        <v>73.69</v>
      </c>
      <c r="E4512" s="2">
        <v>41.94</v>
      </c>
      <c r="F4512" s="2">
        <v>2</v>
      </c>
      <c r="G4512" s="2" t="s">
        <v>14</v>
      </c>
    </row>
    <row r="4513" spans="1:7" x14ac:dyDescent="0.2">
      <c r="A4513" s="2" t="s">
        <v>3625</v>
      </c>
      <c r="B4513" s="2" t="s">
        <v>537</v>
      </c>
      <c r="C4513" s="2">
        <v>665.71770000000004</v>
      </c>
      <c r="D4513" s="2">
        <f>HYPERLINK("http://mcb-m6.bioreg.kyushu-u.ac.jp/M3/20110427/F51123/1656/1", 78.22)</f>
        <v>78.22</v>
      </c>
      <c r="E4513" s="2">
        <v>53.22</v>
      </c>
      <c r="F4513" s="2">
        <v>2</v>
      </c>
      <c r="G4513" s="2" t="s">
        <v>14</v>
      </c>
    </row>
    <row r="4514" spans="1:7" x14ac:dyDescent="0.2">
      <c r="A4514" s="2" t="s">
        <v>3625</v>
      </c>
      <c r="B4514" s="2" t="s">
        <v>537</v>
      </c>
      <c r="C4514" s="2">
        <v>665.32619999999997</v>
      </c>
      <c r="D4514" s="2">
        <f>HYPERLINK("http://mcb-m6.bioreg.kyushu-u.ac.jp/M3/20110427/F51125/1762/1", 87.97)</f>
        <v>87.97</v>
      </c>
      <c r="E4514" s="2">
        <v>62.41</v>
      </c>
      <c r="F4514" s="2">
        <v>2</v>
      </c>
      <c r="G4514" s="2" t="s">
        <v>14</v>
      </c>
    </row>
    <row r="4515" spans="1:7" x14ac:dyDescent="0.2">
      <c r="A4515" s="2" t="s">
        <v>3625</v>
      </c>
      <c r="B4515" s="2" t="s">
        <v>537</v>
      </c>
      <c r="C4515" s="2">
        <v>665.02670000000001</v>
      </c>
      <c r="D4515" s="2">
        <f>HYPERLINK("http://mcb-m6.bioreg.kyushu-u.ac.jp/M3/20110427/F51122/1827/1", 88.74)</f>
        <v>88.74</v>
      </c>
      <c r="E4515" s="2">
        <v>67.599999999999994</v>
      </c>
      <c r="F4515" s="2">
        <v>2</v>
      </c>
      <c r="G4515" s="2" t="s">
        <v>14</v>
      </c>
    </row>
    <row r="4516" spans="1:7" x14ac:dyDescent="0.2">
      <c r="A4516" s="2" t="s">
        <v>3625</v>
      </c>
      <c r="B4516" s="2" t="s">
        <v>537</v>
      </c>
      <c r="C4516" s="2">
        <v>665.70259999999996</v>
      </c>
      <c r="D4516" s="2">
        <f>HYPERLINK("http://mcb-m6.bioreg.kyushu-u.ac.jp/M3/20110428/F51130/1691/1", 95.04)</f>
        <v>95.04</v>
      </c>
      <c r="E4516" s="2">
        <v>67.319999999999993</v>
      </c>
      <c r="F4516" s="2">
        <v>2</v>
      </c>
      <c r="G4516" s="2" t="s">
        <v>14</v>
      </c>
    </row>
    <row r="4517" spans="1:7" x14ac:dyDescent="0.2">
      <c r="A4517" s="4" t="s">
        <v>3703</v>
      </c>
      <c r="B4517" s="2" t="s">
        <v>682</v>
      </c>
      <c r="C4517" s="2">
        <v>827.36199999999997</v>
      </c>
      <c r="D4517" s="2">
        <f>HYPERLINK("http://mcb-m6.bioreg.kyushu-u.ac.jp/M3/20110404/F50761/712/1", 41.33)</f>
        <v>41.33</v>
      </c>
      <c r="E4517" s="2">
        <v>11.04</v>
      </c>
      <c r="F4517" s="2">
        <v>1</v>
      </c>
      <c r="G4517" s="2" t="s">
        <v>10</v>
      </c>
    </row>
    <row r="4518" spans="1:7" x14ac:dyDescent="0.2">
      <c r="A4518" s="4" t="s">
        <v>3703</v>
      </c>
      <c r="B4518" s="2" t="s">
        <v>682</v>
      </c>
      <c r="C4518" s="2">
        <v>827.46699999999998</v>
      </c>
      <c r="D4518" s="2">
        <f>HYPERLINK("http://mcb-m6.bioreg.kyushu-u.ac.jp/M3/20110421/F51043/630/1", 37.76)</f>
        <v>37.76</v>
      </c>
      <c r="E4518" s="2">
        <v>11.7</v>
      </c>
      <c r="F4518" s="2">
        <v>1</v>
      </c>
      <c r="G4518" s="2" t="s">
        <v>12</v>
      </c>
    </row>
    <row r="4519" spans="1:7" x14ac:dyDescent="0.2">
      <c r="A4519" s="4" t="s">
        <v>3703</v>
      </c>
      <c r="B4519" s="2" t="s">
        <v>682</v>
      </c>
      <c r="C4519" s="2">
        <v>827.63900000000001</v>
      </c>
      <c r="D4519" s="2">
        <f>HYPERLINK("http://mcb-m6.bioreg.kyushu-u.ac.jp/M3/20110421/F51045/868/1", 40.46)</f>
        <v>40.46</v>
      </c>
      <c r="E4519" s="2">
        <v>12.79</v>
      </c>
      <c r="F4519" s="2">
        <v>1</v>
      </c>
      <c r="G4519" s="2" t="s">
        <v>12</v>
      </c>
    </row>
    <row r="4520" spans="1:7" x14ac:dyDescent="0.2">
      <c r="A4520" s="4" t="s">
        <v>3955</v>
      </c>
      <c r="B4520" s="2" t="s">
        <v>1163</v>
      </c>
      <c r="C4520" s="2">
        <v>541.66060000000004</v>
      </c>
      <c r="D4520" s="2">
        <f>HYPERLINK("http://mcb-m6.bioreg.kyushu-u.ac.jp/M3/20110421/F51021/1025/1", 62.47)</f>
        <v>62.47</v>
      </c>
      <c r="E4520" s="2">
        <v>32.86</v>
      </c>
      <c r="F4520" s="2">
        <v>2</v>
      </c>
      <c r="G4520" s="2" t="s">
        <v>12</v>
      </c>
    </row>
    <row r="4521" spans="1:7" x14ac:dyDescent="0.2">
      <c r="A4521" s="4" t="s">
        <v>3955</v>
      </c>
      <c r="B4521" s="2" t="s">
        <v>1163</v>
      </c>
      <c r="C4521" s="2">
        <v>541.8057</v>
      </c>
      <c r="D4521" s="2">
        <f>HYPERLINK("http://mcb-m6.bioreg.kyushu-u.ac.jp/M3/20110427/F51109/1544/1", 61.52)</f>
        <v>61.52</v>
      </c>
      <c r="E4521" s="2">
        <v>36.659999999999997</v>
      </c>
      <c r="F4521" s="2">
        <v>2</v>
      </c>
      <c r="G4521" s="2" t="s">
        <v>13</v>
      </c>
    </row>
    <row r="4522" spans="1:7" x14ac:dyDescent="0.2">
      <c r="A4522" s="4" t="s">
        <v>3955</v>
      </c>
      <c r="B4522" s="2" t="s">
        <v>1163</v>
      </c>
      <c r="C4522" s="2">
        <v>541.62710000000004</v>
      </c>
      <c r="D4522" s="2">
        <f>HYPERLINK("http://mcb-m6.bioreg.kyushu-u.ac.jp/M3/20110427/F51122/1460/1", 40.44)</f>
        <v>40.44</v>
      </c>
      <c r="E4522" s="2">
        <v>20.68</v>
      </c>
      <c r="F4522" s="2">
        <v>2</v>
      </c>
      <c r="G4522" s="2" t="s">
        <v>14</v>
      </c>
    </row>
    <row r="4523" spans="1:7" x14ac:dyDescent="0.2">
      <c r="A4523" s="4" t="s">
        <v>3955</v>
      </c>
      <c r="B4523" s="2" t="s">
        <v>1163</v>
      </c>
      <c r="C4523" s="2">
        <v>542.14570000000003</v>
      </c>
      <c r="D4523" s="2">
        <f>HYPERLINK("http://mcb-m6.bioreg.kyushu-u.ac.jp/M3/20110427/F51122/1463/1", 63.71)</f>
        <v>63.71</v>
      </c>
      <c r="E4523" s="2">
        <v>32.89</v>
      </c>
      <c r="F4523" s="2">
        <v>2</v>
      </c>
      <c r="G4523" s="2" t="s">
        <v>14</v>
      </c>
    </row>
    <row r="4524" spans="1:7" x14ac:dyDescent="0.2">
      <c r="A4524" s="2" t="s">
        <v>4293</v>
      </c>
      <c r="B4524" s="2" t="s">
        <v>1990</v>
      </c>
      <c r="C4524" s="2">
        <v>728.34469999999999</v>
      </c>
      <c r="D4524" s="2">
        <f>HYPERLINK("http://mcb-m6.bioreg.kyushu-u.ac.jp/M3/20110421/F51021/2004/1", 52.19)</f>
        <v>52.19</v>
      </c>
      <c r="E4524" s="2">
        <v>31.63</v>
      </c>
      <c r="F4524" s="2">
        <v>2</v>
      </c>
      <c r="G4524" s="2" t="s">
        <v>12</v>
      </c>
    </row>
    <row r="4525" spans="1:7" x14ac:dyDescent="0.2">
      <c r="A4525" s="2" t="s">
        <v>3563</v>
      </c>
      <c r="B4525" s="2" t="s">
        <v>426</v>
      </c>
      <c r="C4525" s="2">
        <v>739.37869999999998</v>
      </c>
      <c r="D4525" s="2">
        <f>HYPERLINK("http://mcb-m6.bioreg.kyushu-u.ac.jp/M3/20110404/F50763/1939/1", 54.54)</f>
        <v>54.54</v>
      </c>
      <c r="E4525" s="2">
        <v>28.85</v>
      </c>
      <c r="F4525" s="2">
        <v>2</v>
      </c>
      <c r="G4525" s="2" t="s">
        <v>9</v>
      </c>
    </row>
    <row r="4526" spans="1:7" x14ac:dyDescent="0.2">
      <c r="A4526" s="2" t="s">
        <v>3563</v>
      </c>
      <c r="B4526" s="2" t="s">
        <v>426</v>
      </c>
      <c r="C4526" s="2">
        <v>739.05820000000006</v>
      </c>
      <c r="D4526" s="2">
        <f>HYPERLINK("http://mcb-m6.bioreg.kyushu-u.ac.jp/M3/20110404/F50760/1846/1", 45.14)</f>
        <v>45.14</v>
      </c>
      <c r="E4526" s="2">
        <v>0.05</v>
      </c>
      <c r="F4526" s="2">
        <v>2</v>
      </c>
      <c r="G4526" s="2" t="s">
        <v>10</v>
      </c>
    </row>
    <row r="4527" spans="1:7" x14ac:dyDescent="0.2">
      <c r="A4527" s="2" t="s">
        <v>3563</v>
      </c>
      <c r="B4527" s="2" t="s">
        <v>426</v>
      </c>
      <c r="C4527" s="2">
        <v>739.35019999999997</v>
      </c>
      <c r="D4527" s="2">
        <f>HYPERLINK("http://mcb-m6.bioreg.kyushu-u.ac.jp/M3/20110421/F51026/2056/1", 45.15)</f>
        <v>45.15</v>
      </c>
      <c r="E4527" s="2">
        <v>17.55</v>
      </c>
      <c r="F4527" s="2">
        <v>2</v>
      </c>
      <c r="G4527" s="2" t="s">
        <v>12</v>
      </c>
    </row>
    <row r="4528" spans="1:7" x14ac:dyDescent="0.2">
      <c r="A4528" s="2" t="s">
        <v>4811</v>
      </c>
      <c r="B4528" s="2" t="s">
        <v>3061</v>
      </c>
      <c r="C4528" s="2">
        <v>803.20069999999998</v>
      </c>
      <c r="D4528" s="2">
        <f>HYPERLINK("http://mcb-m6.bioreg.kyushu-u.ac.jp/M3/20110404/F50763/2161/1", 47.84)</f>
        <v>47.84</v>
      </c>
      <c r="E4528" s="2">
        <v>43.17</v>
      </c>
      <c r="F4528" s="2">
        <v>2</v>
      </c>
      <c r="G4528" s="2" t="s">
        <v>9</v>
      </c>
    </row>
    <row r="4529" spans="1:8" x14ac:dyDescent="0.2">
      <c r="A4529" s="2" t="s">
        <v>4811</v>
      </c>
      <c r="B4529" s="2" t="s">
        <v>3061</v>
      </c>
      <c r="C4529" s="2">
        <v>803.1816</v>
      </c>
      <c r="D4529" s="2">
        <f>HYPERLINK("http://mcb-m6.bioreg.kyushu-u.ac.jp/M3/20110428/F51127/2267/1", 59.16)</f>
        <v>59.16</v>
      </c>
      <c r="E4529" s="2">
        <v>48.95</v>
      </c>
      <c r="F4529" s="2">
        <v>2</v>
      </c>
      <c r="G4529" s="2" t="s">
        <v>13</v>
      </c>
    </row>
    <row r="4530" spans="1:8" x14ac:dyDescent="0.2">
      <c r="A4530" s="2" t="s">
        <v>4728</v>
      </c>
      <c r="B4530" s="2" t="s">
        <v>2940</v>
      </c>
      <c r="C4530" s="2">
        <v>772.60469999999998</v>
      </c>
      <c r="D4530" s="2">
        <f>HYPERLINK("http://mcb-m6.bioreg.kyushu-u.ac.jp/M3/20110421/F51021/2256/1", 60.78)</f>
        <v>60.78</v>
      </c>
      <c r="E4530" s="2">
        <v>44.01</v>
      </c>
      <c r="F4530" s="2">
        <v>2</v>
      </c>
      <c r="G4530" s="2" t="s">
        <v>12</v>
      </c>
      <c r="H4530" s="2" t="s">
        <v>4919</v>
      </c>
    </row>
    <row r="4531" spans="1:8" x14ac:dyDescent="0.2">
      <c r="A4531" s="2" t="s">
        <v>3981</v>
      </c>
      <c r="B4531" s="2" t="s">
        <v>1233</v>
      </c>
      <c r="C4531" s="2">
        <v>817.77760000000001</v>
      </c>
      <c r="D4531" s="2">
        <f>HYPERLINK("http://mcb-m6.bioreg.kyushu-u.ac.jp/M3/20110404/F50755/2315/1", 61.49)</f>
        <v>61.49</v>
      </c>
      <c r="E4531" s="2">
        <v>50.71</v>
      </c>
      <c r="F4531" s="2">
        <v>2</v>
      </c>
      <c r="G4531" s="2" t="s">
        <v>9</v>
      </c>
    </row>
    <row r="4532" spans="1:8" x14ac:dyDescent="0.2">
      <c r="A4532" s="2" t="s">
        <v>5831</v>
      </c>
      <c r="B4532" s="2" t="s">
        <v>5927</v>
      </c>
      <c r="C4532" s="2">
        <v>1129.5229999999999</v>
      </c>
      <c r="D4532" s="2">
        <f>HYPERLINK("http://mcb-m6.bioreg.kyushu-u.ac.jp/M3/20110404/F50766/723/1", 36.03)</f>
        <v>36.03</v>
      </c>
      <c r="E4532" s="2">
        <v>10.46</v>
      </c>
      <c r="F4532" s="2">
        <v>1</v>
      </c>
      <c r="G4532" s="2" t="s">
        <v>9</v>
      </c>
    </row>
    <row r="4533" spans="1:8" x14ac:dyDescent="0.2">
      <c r="A4533" s="2" t="s">
        <v>5831</v>
      </c>
      <c r="B4533" s="2" t="s">
        <v>5515</v>
      </c>
      <c r="C4533" s="2">
        <v>973.48800000000006</v>
      </c>
      <c r="D4533" s="2">
        <f>HYPERLINK("http://mcb-m6.bioreg.kyushu-u.ac.jp/M3/20110404/F50766/465/2", 41.74)</f>
        <v>41.74</v>
      </c>
      <c r="E4533" s="2">
        <v>15.51</v>
      </c>
      <c r="F4533" s="2">
        <v>1</v>
      </c>
      <c r="G4533" s="2" t="s">
        <v>9</v>
      </c>
    </row>
    <row r="4534" spans="1:8" x14ac:dyDescent="0.2">
      <c r="A4534" s="2" t="s">
        <v>5831</v>
      </c>
      <c r="B4534" s="2" t="s">
        <v>5927</v>
      </c>
      <c r="C4534" s="2">
        <v>565.33169999999996</v>
      </c>
      <c r="D4534" s="2">
        <f>HYPERLINK("http://mcb-m6.bioreg.kyushu-u.ac.jp/M3/20110404/F50766/724/2", 44.68)</f>
        <v>44.68</v>
      </c>
      <c r="E4534" s="2">
        <v>14.64</v>
      </c>
      <c r="F4534" s="2">
        <v>2</v>
      </c>
      <c r="G4534" s="2" t="s">
        <v>9</v>
      </c>
    </row>
    <row r="4535" spans="1:8" x14ac:dyDescent="0.2">
      <c r="A4535" s="2" t="s">
        <v>5831</v>
      </c>
      <c r="B4535" s="2" t="s">
        <v>5515</v>
      </c>
      <c r="C4535" s="2">
        <v>487.15710000000001</v>
      </c>
      <c r="D4535" s="2">
        <f>HYPERLINK("http://mcb-m6.bioreg.kyushu-u.ac.jp/M3/20110404/F50766/463/1", 61.88)</f>
        <v>61.88</v>
      </c>
      <c r="E4535" s="2">
        <v>14.57</v>
      </c>
      <c r="F4535" s="2">
        <v>2</v>
      </c>
      <c r="G4535" s="2" t="s">
        <v>9</v>
      </c>
    </row>
    <row r="4536" spans="1:8" x14ac:dyDescent="0.2">
      <c r="A4536" s="2" t="s">
        <v>7614</v>
      </c>
      <c r="B4536" s="2" t="s">
        <v>6122</v>
      </c>
      <c r="C4536" s="2">
        <v>497.78680000000003</v>
      </c>
      <c r="D4536" s="2">
        <f>HYPERLINK("http://mcb-m6.bioreg.kyushu-u.ac.jp/M3/20110404/F50766/1592/1", 43.59)</f>
        <v>43.59</v>
      </c>
      <c r="E4536" s="2">
        <v>22.12</v>
      </c>
      <c r="F4536" s="2">
        <v>3</v>
      </c>
      <c r="G4536" s="2" t="s">
        <v>9</v>
      </c>
    </row>
    <row r="4537" spans="1:8" x14ac:dyDescent="0.2">
      <c r="A4537" s="2" t="s">
        <v>7614</v>
      </c>
      <c r="B4537" s="2" t="s">
        <v>6122</v>
      </c>
      <c r="C4537" s="2">
        <v>745.7577</v>
      </c>
      <c r="D4537" s="2">
        <f>HYPERLINK("http://mcb-m6.bioreg.kyushu-u.ac.jp/M3/20110404/F50766/1586/1", 66.17)</f>
        <v>66.17</v>
      </c>
      <c r="E4537" s="2">
        <v>38.29</v>
      </c>
      <c r="F4537" s="2">
        <v>2</v>
      </c>
      <c r="G4537" s="2" t="s">
        <v>9</v>
      </c>
    </row>
    <row r="4538" spans="1:8" x14ac:dyDescent="0.2">
      <c r="A4538" s="2" t="s">
        <v>7608</v>
      </c>
      <c r="B4538" s="2" t="s">
        <v>6109</v>
      </c>
      <c r="C4538" s="2">
        <v>1254.44</v>
      </c>
      <c r="D4538" s="2">
        <f>HYPERLINK("http://mcb-m6.bioreg.kyushu-u.ac.jp/M3/20110404/F50766/985/1", 42.9)</f>
        <v>42.9</v>
      </c>
      <c r="E4538" s="2">
        <v>26.36</v>
      </c>
      <c r="F4538" s="2">
        <v>1</v>
      </c>
      <c r="G4538" s="2" t="s">
        <v>9</v>
      </c>
    </row>
    <row r="4539" spans="1:8" x14ac:dyDescent="0.2">
      <c r="A4539" s="2" t="s">
        <v>7608</v>
      </c>
      <c r="B4539" s="2" t="s">
        <v>6180</v>
      </c>
      <c r="C4539" s="2">
        <v>508.71960000000001</v>
      </c>
      <c r="D4539" s="2">
        <f>HYPERLINK("http://mcb-m6.bioreg.kyushu-u.ac.jp/M3/20110404/F50766/546/1", 45.69)</f>
        <v>45.69</v>
      </c>
      <c r="E4539" s="2">
        <v>22.17</v>
      </c>
      <c r="F4539" s="2">
        <v>2</v>
      </c>
      <c r="G4539" s="2" t="s">
        <v>9</v>
      </c>
    </row>
    <row r="4540" spans="1:8" x14ac:dyDescent="0.2">
      <c r="A4540" s="2" t="s">
        <v>7608</v>
      </c>
      <c r="B4540" s="2" t="s">
        <v>6207</v>
      </c>
      <c r="C4540" s="2">
        <v>506.51560000000001</v>
      </c>
      <c r="D4540" s="2">
        <f>HYPERLINK("http://mcb-m6.bioreg.kyushu-u.ac.jp/M3/20110404/F50766/537/1", 46.42)</f>
        <v>46.42</v>
      </c>
      <c r="E4540" s="2">
        <v>12.35</v>
      </c>
      <c r="F4540" s="2">
        <v>2</v>
      </c>
      <c r="G4540" s="2" t="s">
        <v>9</v>
      </c>
    </row>
    <row r="4541" spans="1:8" x14ac:dyDescent="0.2">
      <c r="A4541" s="2" t="s">
        <v>7608</v>
      </c>
      <c r="B4541" s="2" t="s">
        <v>6215</v>
      </c>
      <c r="C4541" s="2">
        <v>1071.357</v>
      </c>
      <c r="D4541" s="2">
        <f>HYPERLINK("http://mcb-m6.bioreg.kyushu-u.ac.jp/M3/20110404/F50766/615/1", 46.99)</f>
        <v>46.99</v>
      </c>
      <c r="E4541" s="2">
        <v>13.86</v>
      </c>
      <c r="F4541" s="2">
        <v>1</v>
      </c>
      <c r="G4541" s="2" t="s">
        <v>9</v>
      </c>
    </row>
    <row r="4542" spans="1:8" x14ac:dyDescent="0.2">
      <c r="A4542" s="2" t="s">
        <v>7608</v>
      </c>
      <c r="B4542" s="2" t="s">
        <v>6207</v>
      </c>
      <c r="C4542" s="2">
        <v>506.01510000000002</v>
      </c>
      <c r="D4542" s="2">
        <f>HYPERLINK("http://mcb-m6.bioreg.kyushu-u.ac.jp/M3/20110404/F50766/533/1", 47.06)</f>
        <v>47.06</v>
      </c>
      <c r="E4542" s="2">
        <v>10.79</v>
      </c>
      <c r="F4542" s="2">
        <v>2</v>
      </c>
      <c r="G4542" s="2" t="s">
        <v>9</v>
      </c>
    </row>
    <row r="4543" spans="1:8" x14ac:dyDescent="0.2">
      <c r="A4543" s="2" t="s">
        <v>7608</v>
      </c>
      <c r="B4543" s="2" t="s">
        <v>6267</v>
      </c>
      <c r="C4543" s="2">
        <v>1127.8579999999999</v>
      </c>
      <c r="D4543" s="2">
        <f>HYPERLINK("http://mcb-m6.bioreg.kyushu-u.ac.jp/M3/20110404/F50766/722/1", 50.15)</f>
        <v>50.15</v>
      </c>
      <c r="E4543" s="2">
        <v>36.11</v>
      </c>
      <c r="F4543" s="2">
        <v>1</v>
      </c>
      <c r="G4543" s="2" t="s">
        <v>9</v>
      </c>
    </row>
    <row r="4544" spans="1:8" x14ac:dyDescent="0.2">
      <c r="A4544" s="2" t="s">
        <v>7608</v>
      </c>
      <c r="B4544" s="2" t="s">
        <v>6267</v>
      </c>
      <c r="C4544" s="2">
        <v>572.25959999999998</v>
      </c>
      <c r="D4544" s="2">
        <f>HYPERLINK("http://mcb-m6.bioreg.kyushu-u.ac.jp/M3/20110404/F50766/749/1", 51.26)</f>
        <v>51.26</v>
      </c>
      <c r="E4544" s="2">
        <v>35.369999999999997</v>
      </c>
      <c r="F4544" s="2">
        <v>2</v>
      </c>
      <c r="G4544" s="2" t="s">
        <v>9</v>
      </c>
      <c r="H4544" s="2" t="s">
        <v>4910</v>
      </c>
    </row>
    <row r="4545" spans="1:9" x14ac:dyDescent="0.2">
      <c r="A4545" s="2" t="s">
        <v>7608</v>
      </c>
      <c r="B4545" s="2" t="s">
        <v>6267</v>
      </c>
      <c r="C4545" s="2">
        <v>564.1857</v>
      </c>
      <c r="D4545" s="2">
        <f>HYPERLINK("http://mcb-m6.bioreg.kyushu-u.ac.jp/M3/20110404/F50766/721/1", 52.09)</f>
        <v>52.09</v>
      </c>
      <c r="E4545" s="2">
        <v>35.270000000000003</v>
      </c>
      <c r="F4545" s="2">
        <v>2</v>
      </c>
      <c r="G4545" s="2" t="s">
        <v>9</v>
      </c>
    </row>
    <row r="4546" spans="1:9" x14ac:dyDescent="0.2">
      <c r="A4546" s="2" t="s">
        <v>7608</v>
      </c>
      <c r="B4546" s="2" t="s">
        <v>6339</v>
      </c>
      <c r="C4546" s="2">
        <v>1222.9190000000001</v>
      </c>
      <c r="D4546" s="2">
        <f>HYPERLINK("http://mcb-m6.bioreg.kyushu-u.ac.jp/M3/20110404/F50766/919/1", 54.21)</f>
        <v>54.21</v>
      </c>
      <c r="E4546" s="2">
        <v>28.45</v>
      </c>
      <c r="F4546" s="2">
        <v>1</v>
      </c>
      <c r="G4546" s="2" t="s">
        <v>9</v>
      </c>
      <c r="I4546" s="2" t="s">
        <v>4898</v>
      </c>
    </row>
    <row r="4547" spans="1:9" x14ac:dyDescent="0.2">
      <c r="A4547" s="2" t="s">
        <v>7608</v>
      </c>
      <c r="B4547" s="2" t="s">
        <v>6429</v>
      </c>
      <c r="C4547" s="2">
        <v>570.29719999999998</v>
      </c>
      <c r="D4547" s="2">
        <f>HYPERLINK("http://mcb-m6.bioreg.kyushu-u.ac.jp/M3/20110404/F50766/742/1", 63.29)</f>
        <v>63.29</v>
      </c>
      <c r="E4547" s="2">
        <v>37.14</v>
      </c>
      <c r="F4547" s="2">
        <v>2</v>
      </c>
      <c r="G4547" s="2" t="s">
        <v>9</v>
      </c>
      <c r="I4547" s="2" t="s">
        <v>4905</v>
      </c>
    </row>
    <row r="4548" spans="1:9" x14ac:dyDescent="0.2">
      <c r="A4548" s="2" t="s">
        <v>7608</v>
      </c>
      <c r="B4548" s="2" t="s">
        <v>6339</v>
      </c>
      <c r="C4548" s="2">
        <v>611.74159999999995</v>
      </c>
      <c r="D4548" s="2">
        <f>HYPERLINK("http://mcb-m6.bioreg.kyushu-u.ac.jp/M3/20110404/F50767/1119/1", 70.53)</f>
        <v>70.53</v>
      </c>
      <c r="E4548" s="2">
        <v>54.27</v>
      </c>
      <c r="F4548" s="2">
        <v>2</v>
      </c>
      <c r="G4548" s="2" t="s">
        <v>9</v>
      </c>
      <c r="I4548" s="2" t="s">
        <v>4898</v>
      </c>
    </row>
    <row r="4549" spans="1:9" x14ac:dyDescent="0.2">
      <c r="A4549" s="2" t="s">
        <v>7608</v>
      </c>
      <c r="B4549" s="2" t="s">
        <v>6339</v>
      </c>
      <c r="C4549" s="2">
        <v>611.64260000000002</v>
      </c>
      <c r="D4549" s="2">
        <f>HYPERLINK("http://mcb-m6.bioreg.kyushu-u.ac.jp/M3/20110404/F50766/915/1", 74.25)</f>
        <v>74.25</v>
      </c>
      <c r="E4549" s="2">
        <v>56.42</v>
      </c>
      <c r="F4549" s="2">
        <v>2</v>
      </c>
      <c r="G4549" s="2" t="s">
        <v>9</v>
      </c>
      <c r="I4549" s="2" t="s">
        <v>4898</v>
      </c>
    </row>
    <row r="4550" spans="1:9" x14ac:dyDescent="0.2">
      <c r="A4550" s="2" t="s">
        <v>7608</v>
      </c>
      <c r="B4550" s="2" t="s">
        <v>6554</v>
      </c>
      <c r="C4550" s="2">
        <v>680.23860000000002</v>
      </c>
      <c r="D4550" s="2">
        <f>HYPERLINK("http://mcb-m6.bioreg.kyushu-u.ac.jp/M3/20110404/F50766/1192/1", 79.23)</f>
        <v>79.23</v>
      </c>
      <c r="E4550" s="2">
        <v>47.54</v>
      </c>
      <c r="F4550" s="2">
        <v>2</v>
      </c>
      <c r="G4550" s="2" t="s">
        <v>9</v>
      </c>
      <c r="I4550" s="2" t="s">
        <v>4893</v>
      </c>
    </row>
    <row r="4551" spans="1:9" x14ac:dyDescent="0.2">
      <c r="A4551" s="2" t="s">
        <v>7626</v>
      </c>
      <c r="B4551" s="2" t="s">
        <v>6156</v>
      </c>
      <c r="C4551" s="2">
        <v>811.21500000000003</v>
      </c>
      <c r="D4551" s="2">
        <f>HYPERLINK("http://mcb-m6.bioreg.kyushu-u.ac.jp/M3/20110404/F50766/327/1", 44.64)</f>
        <v>44.64</v>
      </c>
      <c r="E4551" s="2">
        <v>12.76</v>
      </c>
      <c r="F4551" s="2">
        <v>1</v>
      </c>
      <c r="G4551" s="2" t="s">
        <v>9</v>
      </c>
    </row>
    <row r="4552" spans="1:9" x14ac:dyDescent="0.2">
      <c r="A4552" s="2" t="s">
        <v>7626</v>
      </c>
      <c r="B4552" s="2" t="s">
        <v>6322</v>
      </c>
      <c r="C4552" s="2">
        <v>533.78470000000004</v>
      </c>
      <c r="D4552" s="2">
        <f>HYPERLINK("http://mcb-m6.bioreg.kyushu-u.ac.jp/M3/20110404/F50767/888/1", 53.01)</f>
        <v>53.01</v>
      </c>
      <c r="E4552" s="2">
        <v>33.950000000000003</v>
      </c>
      <c r="F4552" s="2">
        <v>2</v>
      </c>
      <c r="G4552" s="2" t="s">
        <v>9</v>
      </c>
    </row>
    <row r="4553" spans="1:9" x14ac:dyDescent="0.2">
      <c r="A4553" s="2" t="s">
        <v>7626</v>
      </c>
      <c r="B4553" s="2" t="s">
        <v>6322</v>
      </c>
      <c r="C4553" s="2">
        <v>1066.4380000000001</v>
      </c>
      <c r="D4553" s="2">
        <f>HYPERLINK("http://mcb-m6.bioreg.kyushu-u.ac.jp/M3/20110404/F50766/611/1", 58.34)</f>
        <v>58.34</v>
      </c>
      <c r="E4553" s="2">
        <v>33.22</v>
      </c>
      <c r="F4553" s="2">
        <v>1</v>
      </c>
      <c r="G4553" s="2" t="s">
        <v>9</v>
      </c>
    </row>
    <row r="4554" spans="1:9" x14ac:dyDescent="0.2">
      <c r="A4554" s="2" t="s">
        <v>5814</v>
      </c>
      <c r="B4554" s="2" t="s">
        <v>5484</v>
      </c>
      <c r="C4554" s="2">
        <v>505.02910000000003</v>
      </c>
      <c r="D4554" s="2">
        <f>HYPERLINK("http://mcb-m6.bioreg.kyushu-u.ac.jp/M3/20110404/F50766/528/1", 49.26)</f>
        <v>49.26</v>
      </c>
      <c r="E4554" s="2">
        <v>28.27</v>
      </c>
      <c r="F4554" s="2">
        <v>2</v>
      </c>
      <c r="G4554" s="2" t="s">
        <v>9</v>
      </c>
    </row>
    <row r="4555" spans="1:9" x14ac:dyDescent="0.2">
      <c r="A4555" s="2" t="s">
        <v>5846</v>
      </c>
      <c r="B4555" s="2" t="s">
        <v>6587</v>
      </c>
      <c r="C4555" s="2">
        <v>660.71720000000005</v>
      </c>
      <c r="D4555" s="2">
        <f>HYPERLINK("http://mcb-m6.bioreg.kyushu-u.ac.jp/M3/20110404/F50766/1105/1", 86.17)</f>
        <v>86.17</v>
      </c>
      <c r="E4555" s="2">
        <v>52.14</v>
      </c>
      <c r="F4555" s="2">
        <v>2</v>
      </c>
      <c r="G4555" s="2" t="s">
        <v>9</v>
      </c>
    </row>
    <row r="4556" spans="1:9" x14ac:dyDescent="0.2">
      <c r="A4556" s="2" t="s">
        <v>7541</v>
      </c>
      <c r="B4556" s="2" t="s">
        <v>5946</v>
      </c>
      <c r="C4556" s="2">
        <v>883.34220000000005</v>
      </c>
      <c r="D4556" s="2">
        <f>HYPERLINK("http://mcb-m6.bioreg.kyushu-u.ac.jp/M3/20110404/F50766/4279/1", 36.58)</f>
        <v>36.58</v>
      </c>
      <c r="E4556" s="2">
        <v>29.18</v>
      </c>
      <c r="F4556" s="2">
        <v>3</v>
      </c>
      <c r="G4556" s="2" t="s">
        <v>9</v>
      </c>
      <c r="I4556" s="2" t="s">
        <v>8126</v>
      </c>
    </row>
    <row r="4557" spans="1:9" x14ac:dyDescent="0.2">
      <c r="A4557" s="2" t="s">
        <v>4167</v>
      </c>
      <c r="B4557" s="2" t="s">
        <v>6108</v>
      </c>
      <c r="C4557" s="2">
        <v>769.82870000000003</v>
      </c>
      <c r="D4557" s="2">
        <f>HYPERLINK("http://mcb-m6.bioreg.kyushu-u.ac.jp/M3/20110404/F50763/2046/1", 42.87)</f>
        <v>42.87</v>
      </c>
      <c r="E4557" s="2">
        <v>30.04</v>
      </c>
      <c r="F4557" s="2">
        <v>2</v>
      </c>
      <c r="G4557" s="2" t="s">
        <v>9</v>
      </c>
      <c r="I4557" s="2" t="s">
        <v>4923</v>
      </c>
    </row>
    <row r="4558" spans="1:9" x14ac:dyDescent="0.2">
      <c r="A4558" s="2" t="s">
        <v>4167</v>
      </c>
      <c r="B4558" s="2" t="s">
        <v>6695</v>
      </c>
      <c r="C4558" s="2">
        <v>604.25210000000004</v>
      </c>
      <c r="D4558" s="2">
        <f>HYPERLINK("http://mcb-m6.bioreg.kyushu-u.ac.jp/M3/20110404/F50768/1396/1", 36.46)</f>
        <v>36.46</v>
      </c>
      <c r="E4558" s="2">
        <v>23.24</v>
      </c>
      <c r="F4558" s="2">
        <v>2</v>
      </c>
      <c r="G4558" s="2" t="s">
        <v>10</v>
      </c>
    </row>
    <row r="4559" spans="1:9" x14ac:dyDescent="0.2">
      <c r="A4559" s="2" t="s">
        <v>4167</v>
      </c>
      <c r="B4559" s="2" t="s">
        <v>1733</v>
      </c>
      <c r="C4559" s="2">
        <v>542.87570000000005</v>
      </c>
      <c r="D4559" s="2">
        <f>HYPERLINK("http://mcb-m6.bioreg.kyushu-u.ac.jp/M3/20110404/F50769/1392/1", 38.24)</f>
        <v>38.24</v>
      </c>
      <c r="E4559" s="2">
        <v>18</v>
      </c>
      <c r="F4559" s="2">
        <v>2</v>
      </c>
      <c r="G4559" s="2" t="s">
        <v>10</v>
      </c>
    </row>
    <row r="4560" spans="1:9" x14ac:dyDescent="0.2">
      <c r="A4560" s="2" t="s">
        <v>4167</v>
      </c>
      <c r="B4560" s="2" t="s">
        <v>6108</v>
      </c>
      <c r="C4560" s="2">
        <v>770.19460000000004</v>
      </c>
      <c r="D4560" s="2">
        <f>HYPERLINK("http://mcb-m6.bioreg.kyushu-u.ac.jp/M3/20110427/F51114/2219/1", 62.66)</f>
        <v>62.66</v>
      </c>
      <c r="E4560" s="2">
        <v>51.92</v>
      </c>
      <c r="F4560" s="2">
        <v>2</v>
      </c>
      <c r="G4560" s="2" t="s">
        <v>13</v>
      </c>
      <c r="I4560" s="2" t="s">
        <v>4923</v>
      </c>
    </row>
    <row r="4561" spans="1:9" x14ac:dyDescent="0.2">
      <c r="A4561" s="2" t="s">
        <v>4323</v>
      </c>
      <c r="B4561" s="2" t="s">
        <v>2104</v>
      </c>
      <c r="C4561" s="2">
        <v>858.8972</v>
      </c>
      <c r="D4561" s="2">
        <f>HYPERLINK("http://mcb-m6.bioreg.kyushu-u.ac.jp/M3/20110404/F50763/2333/1", 88.71)</f>
        <v>88.71</v>
      </c>
      <c r="E4561" s="2">
        <v>75.67</v>
      </c>
      <c r="F4561" s="2">
        <v>2</v>
      </c>
      <c r="G4561" s="2" t="s">
        <v>9</v>
      </c>
    </row>
    <row r="4562" spans="1:9" x14ac:dyDescent="0.2">
      <c r="A4562" s="2" t="s">
        <v>4323</v>
      </c>
      <c r="B4562" s="2" t="s">
        <v>2104</v>
      </c>
      <c r="C4562" s="2">
        <v>858.35860000000002</v>
      </c>
      <c r="D4562" s="2">
        <f>HYPERLINK("http://mcb-m6.bioreg.kyushu-u.ac.jp/M3/20110404/F50768/2288/1", 102.91)</f>
        <v>102.91</v>
      </c>
      <c r="E4562" s="2">
        <v>89.86</v>
      </c>
      <c r="F4562" s="2">
        <v>2</v>
      </c>
      <c r="G4562" s="2" t="s">
        <v>10</v>
      </c>
    </row>
    <row r="4563" spans="1:9" x14ac:dyDescent="0.2">
      <c r="A4563" s="2" t="s">
        <v>4323</v>
      </c>
      <c r="B4563" s="2" t="s">
        <v>7330</v>
      </c>
      <c r="C4563" s="2">
        <v>600.11069999999995</v>
      </c>
      <c r="D4563" s="2">
        <f>HYPERLINK("http://mcb-m6.bioreg.kyushu-u.ac.jp/M3/20110428/F51127/1207/1", 41.85)</f>
        <v>41.85</v>
      </c>
      <c r="E4563" s="2">
        <v>11.81</v>
      </c>
      <c r="F4563" s="2">
        <v>2</v>
      </c>
      <c r="G4563" s="2" t="s">
        <v>13</v>
      </c>
      <c r="I4563" s="2" t="s">
        <v>4898</v>
      </c>
    </row>
    <row r="4564" spans="1:9" x14ac:dyDescent="0.2">
      <c r="A4564" s="2" t="s">
        <v>4323</v>
      </c>
      <c r="B4564" s="2" t="s">
        <v>2104</v>
      </c>
      <c r="C4564" s="2">
        <v>858.6807</v>
      </c>
      <c r="D4564" s="2">
        <f>HYPERLINK("http://mcb-m6.bioreg.kyushu-u.ac.jp/M3/20110428/F51128/2546/1", 95.98)</f>
        <v>95.98</v>
      </c>
      <c r="E4564" s="2">
        <v>82.44</v>
      </c>
      <c r="F4564" s="2">
        <v>2</v>
      </c>
      <c r="G4564" s="2" t="s">
        <v>14</v>
      </c>
    </row>
    <row r="4565" spans="1:9" x14ac:dyDescent="0.2">
      <c r="A4565" s="2" t="s">
        <v>3609</v>
      </c>
      <c r="B4565" s="2" t="s">
        <v>508</v>
      </c>
      <c r="C4565" s="2">
        <v>739.09770000000003</v>
      </c>
      <c r="D4565" s="2">
        <f>HYPERLINK("http://mcb-m6.bioreg.kyushu-u.ac.jp/M3/20110427/F51109/2103/1", 64.52)</f>
        <v>64.52</v>
      </c>
      <c r="E4565" s="2">
        <v>44.34</v>
      </c>
      <c r="F4565" s="2">
        <v>2</v>
      </c>
      <c r="G4565" s="2" t="s">
        <v>13</v>
      </c>
      <c r="H4565" s="2" t="s">
        <v>4901</v>
      </c>
    </row>
    <row r="4566" spans="1:9" x14ac:dyDescent="0.2">
      <c r="A4566" s="2" t="s">
        <v>3932</v>
      </c>
      <c r="B4566" s="2" t="s">
        <v>1355</v>
      </c>
      <c r="C4566" s="2">
        <v>796.97270000000003</v>
      </c>
      <c r="D4566" s="2">
        <f>HYPERLINK("http://mcb-m6.bioreg.kyushu-u.ac.jp/M3/20110404/F50751/2244/1", 91.4)</f>
        <v>91.4</v>
      </c>
      <c r="E4566" s="2">
        <v>67.22</v>
      </c>
      <c r="F4566" s="2">
        <v>2</v>
      </c>
      <c r="G4566" s="2" t="s">
        <v>9</v>
      </c>
    </row>
    <row r="4567" spans="1:9" x14ac:dyDescent="0.2">
      <c r="A4567" s="2" t="s">
        <v>3932</v>
      </c>
      <c r="B4567" s="2" t="s">
        <v>1355</v>
      </c>
      <c r="C4567" s="2">
        <v>796.06410000000005</v>
      </c>
      <c r="D4567" s="2">
        <f>HYPERLINK("http://mcb-m6.bioreg.kyushu-u.ac.jp/M3/20110427/F51109/2266/1", 58.54)</f>
        <v>58.54</v>
      </c>
      <c r="E4567" s="2">
        <v>43</v>
      </c>
      <c r="F4567" s="2">
        <v>2</v>
      </c>
      <c r="G4567" s="2" t="s">
        <v>13</v>
      </c>
    </row>
    <row r="4568" spans="1:9" x14ac:dyDescent="0.2">
      <c r="A4568" s="2" t="s">
        <v>3932</v>
      </c>
      <c r="B4568" s="2" t="s">
        <v>1355</v>
      </c>
      <c r="C4568" s="2">
        <v>796.66669999999999</v>
      </c>
      <c r="D4568" s="2">
        <f>HYPERLINK("http://mcb-m6.bioreg.kyushu-u.ac.jp/M3/20110427/F51109/2269/1", 68.47)</f>
        <v>68.47</v>
      </c>
      <c r="E4568" s="2">
        <v>45.3</v>
      </c>
      <c r="F4568" s="2">
        <v>2</v>
      </c>
      <c r="G4568" s="2" t="s">
        <v>13</v>
      </c>
    </row>
    <row r="4569" spans="1:9" x14ac:dyDescent="0.2">
      <c r="A4569" s="2" t="s">
        <v>4030</v>
      </c>
      <c r="B4569" s="2" t="s">
        <v>1347</v>
      </c>
      <c r="C4569" s="2">
        <v>614.06709999999998</v>
      </c>
      <c r="D4569" s="2">
        <f>HYPERLINK("http://mcb-m6.bioreg.kyushu-u.ac.jp/M3/20110404/F50751/1732/1", 54.07)</f>
        <v>54.07</v>
      </c>
      <c r="E4569" s="2">
        <v>24.18</v>
      </c>
      <c r="F4569" s="2">
        <v>2</v>
      </c>
      <c r="G4569" s="2" t="s">
        <v>9</v>
      </c>
      <c r="H4569" s="2" t="s">
        <v>4896</v>
      </c>
    </row>
    <row r="4570" spans="1:9" x14ac:dyDescent="0.2">
      <c r="A4570" s="2" t="s">
        <v>4030</v>
      </c>
      <c r="B4570" s="2" t="s">
        <v>1347</v>
      </c>
      <c r="C4570" s="2">
        <v>605.97270000000003</v>
      </c>
      <c r="D4570" s="2">
        <f>HYPERLINK("http://mcb-m6.bioreg.kyushu-u.ac.jp/M3/20110404/F50751/1704/1", 81.03)</f>
        <v>81.03</v>
      </c>
      <c r="E4570" s="2">
        <v>45.58</v>
      </c>
      <c r="F4570" s="2">
        <v>2</v>
      </c>
      <c r="G4570" s="2" t="s">
        <v>9</v>
      </c>
    </row>
    <row r="4571" spans="1:9" x14ac:dyDescent="0.2">
      <c r="A4571" s="2" t="s">
        <v>4030</v>
      </c>
      <c r="B4571" s="2" t="s">
        <v>1347</v>
      </c>
      <c r="C4571" s="2">
        <v>605.72360000000003</v>
      </c>
      <c r="D4571" s="2">
        <f>HYPERLINK("http://mcb-m6.bioreg.kyushu-u.ac.jp/M3/20110427/F51108/1578/1", 40.78)</f>
        <v>40.78</v>
      </c>
      <c r="E4571" s="2">
        <v>20.62</v>
      </c>
      <c r="F4571" s="2">
        <v>2</v>
      </c>
      <c r="G4571" s="2" t="s">
        <v>13</v>
      </c>
    </row>
    <row r="4572" spans="1:9" x14ac:dyDescent="0.2">
      <c r="A4572" s="2" t="s">
        <v>4030</v>
      </c>
      <c r="B4572" s="2" t="s">
        <v>1347</v>
      </c>
      <c r="C4572" s="2">
        <v>606.23360000000002</v>
      </c>
      <c r="D4572" s="2">
        <f>HYPERLINK("http://mcb-m6.bioreg.kyushu-u.ac.jp/M3/20110427/F51108/1580/1", 60.15)</f>
        <v>60.15</v>
      </c>
      <c r="E4572" s="2">
        <v>30.1</v>
      </c>
      <c r="F4572" s="2">
        <v>2</v>
      </c>
      <c r="G4572" s="2" t="s">
        <v>13</v>
      </c>
    </row>
    <row r="4573" spans="1:9" x14ac:dyDescent="0.2">
      <c r="A4573" s="2" t="s">
        <v>4030</v>
      </c>
      <c r="B4573" s="2" t="s">
        <v>1347</v>
      </c>
      <c r="C4573" s="2">
        <v>605.85109999999997</v>
      </c>
      <c r="D4573" s="2">
        <f>HYPERLINK("http://mcb-m6.bioreg.kyushu-u.ac.jp/M3/20110428/F51134/1602/1", 81.44)</f>
        <v>81.44</v>
      </c>
      <c r="E4573" s="2">
        <v>48.29</v>
      </c>
      <c r="F4573" s="2">
        <v>2</v>
      </c>
      <c r="G4573" s="2" t="s">
        <v>14</v>
      </c>
    </row>
    <row r="4574" spans="1:9" x14ac:dyDescent="0.2">
      <c r="A4574" s="2" t="s">
        <v>7766</v>
      </c>
      <c r="B4574" s="2" t="s">
        <v>6600</v>
      </c>
      <c r="C4574" s="2">
        <v>894.3057</v>
      </c>
      <c r="D4574" s="2">
        <f>HYPERLINK("http://mcb-m6.bioreg.kyushu-u.ac.jp/M3/20110404/F50766/2432/1", 89.74)</f>
        <v>89.74</v>
      </c>
      <c r="E4574" s="2">
        <v>71.650000000000006</v>
      </c>
      <c r="F4574" s="2">
        <v>2</v>
      </c>
      <c r="G4574" s="2" t="s">
        <v>9</v>
      </c>
    </row>
    <row r="4575" spans="1:9" x14ac:dyDescent="0.2">
      <c r="A4575" s="2" t="s">
        <v>7658</v>
      </c>
      <c r="B4575" s="2" t="s">
        <v>6241</v>
      </c>
      <c r="C4575" s="2">
        <v>1052.2840000000001</v>
      </c>
      <c r="D4575" s="2">
        <f>HYPERLINK("http://mcb-m6.bioreg.kyushu-u.ac.jp/M3/20110404/F50766/3237/1", 48.38)</f>
        <v>48.38</v>
      </c>
      <c r="E4575" s="2">
        <v>33.83</v>
      </c>
      <c r="F4575" s="2">
        <v>2</v>
      </c>
      <c r="G4575" s="2" t="s">
        <v>9</v>
      </c>
      <c r="I4575" s="2" t="s">
        <v>4941</v>
      </c>
    </row>
    <row r="4576" spans="1:9" x14ac:dyDescent="0.2">
      <c r="A4576" s="2" t="s">
        <v>7658</v>
      </c>
      <c r="B4576" s="2" t="s">
        <v>6241</v>
      </c>
      <c r="C4576" s="2">
        <v>702.19119999999998</v>
      </c>
      <c r="D4576" s="2">
        <f>HYPERLINK("http://mcb-m6.bioreg.kyushu-u.ac.jp/M3/20110404/F50766/3241/1", 71.73)</f>
        <v>71.73</v>
      </c>
      <c r="E4576" s="2">
        <v>44.68</v>
      </c>
      <c r="F4576" s="2">
        <v>3</v>
      </c>
      <c r="G4576" s="2" t="s">
        <v>9</v>
      </c>
      <c r="I4576" s="2" t="s">
        <v>4941</v>
      </c>
    </row>
    <row r="4577" spans="1:9" x14ac:dyDescent="0.2">
      <c r="A4577" s="2" t="s">
        <v>7658</v>
      </c>
      <c r="B4577" s="2" t="s">
        <v>6241</v>
      </c>
      <c r="C4577" s="2">
        <v>1052.9480000000001</v>
      </c>
      <c r="D4577" s="2">
        <f>HYPERLINK("http://mcb-m6.bioreg.kyushu-u.ac.jp/M3/20110404/F50767/3063/1", 90.78)</f>
        <v>90.78</v>
      </c>
      <c r="E4577" s="2">
        <v>76.819999999999993</v>
      </c>
      <c r="F4577" s="2">
        <v>2</v>
      </c>
      <c r="G4577" s="2" t="s">
        <v>9</v>
      </c>
      <c r="I4577" s="2" t="s">
        <v>4941</v>
      </c>
    </row>
    <row r="4578" spans="1:9" x14ac:dyDescent="0.2">
      <c r="A4578" s="2" t="s">
        <v>7658</v>
      </c>
      <c r="B4578" s="2" t="s">
        <v>6241</v>
      </c>
      <c r="C4578" s="2">
        <v>1052.421</v>
      </c>
      <c r="D4578" s="2">
        <f>HYPERLINK("http://mcb-m6.bioreg.kyushu-u.ac.jp/M3/20110404/F50767/3061/1", 96.43)</f>
        <v>96.43</v>
      </c>
      <c r="E4578" s="2">
        <v>80.180000000000007</v>
      </c>
      <c r="F4578" s="2">
        <v>2</v>
      </c>
      <c r="G4578" s="2" t="s">
        <v>9</v>
      </c>
      <c r="I4578" s="2" t="s">
        <v>4941</v>
      </c>
    </row>
    <row r="4579" spans="1:9" x14ac:dyDescent="0.2">
      <c r="A4579" s="2" t="s">
        <v>7658</v>
      </c>
      <c r="B4579" s="2" t="s">
        <v>6241</v>
      </c>
      <c r="C4579" s="2">
        <v>1052.357</v>
      </c>
      <c r="D4579" s="2">
        <f>HYPERLINK("http://mcb-m6.bioreg.kyushu-u.ac.jp/M3/20110404/F50766/3239/1", 101.69)</f>
        <v>101.69</v>
      </c>
      <c r="E4579" s="2">
        <v>73.7</v>
      </c>
      <c r="F4579" s="2">
        <v>2</v>
      </c>
      <c r="G4579" s="2" t="s">
        <v>9</v>
      </c>
      <c r="I4579" s="2" t="s">
        <v>4941</v>
      </c>
    </row>
    <row r="4580" spans="1:9" x14ac:dyDescent="0.2">
      <c r="A4580" s="2" t="s">
        <v>7590</v>
      </c>
      <c r="B4580" s="2" t="s">
        <v>6059</v>
      </c>
      <c r="C4580" s="2">
        <v>628.21690000000001</v>
      </c>
      <c r="D4580" s="2">
        <f>HYPERLINK("http://mcb-m6.bioreg.kyushu-u.ac.jp/M3/20110404/F50766/2698/1", 40.51)</f>
        <v>40.51</v>
      </c>
      <c r="E4580" s="2">
        <v>19.96</v>
      </c>
      <c r="F4580" s="2">
        <v>3</v>
      </c>
      <c r="G4580" s="2" t="s">
        <v>9</v>
      </c>
    </row>
    <row r="4581" spans="1:9" x14ac:dyDescent="0.2">
      <c r="A4581" s="2" t="s">
        <v>7590</v>
      </c>
      <c r="B4581" s="2" t="s">
        <v>6059</v>
      </c>
      <c r="C4581" s="2">
        <v>1883.4849999999999</v>
      </c>
      <c r="D4581" s="2">
        <f>HYPERLINK("http://mcb-m6.bioreg.kyushu-u.ac.jp/M3/20110404/F50766/2700/1", 41.22)</f>
        <v>41.22</v>
      </c>
      <c r="E4581" s="2">
        <v>27.65</v>
      </c>
      <c r="F4581" s="2">
        <v>1</v>
      </c>
      <c r="G4581" s="2" t="s">
        <v>9</v>
      </c>
    </row>
    <row r="4582" spans="1:9" x14ac:dyDescent="0.2">
      <c r="A4582" s="2" t="s">
        <v>7590</v>
      </c>
      <c r="B4582" s="2" t="s">
        <v>6059</v>
      </c>
      <c r="C4582" s="2">
        <v>941.77670000000001</v>
      </c>
      <c r="D4582" s="2">
        <f>HYPERLINK("http://mcb-m6.bioreg.kyushu-u.ac.jp/M3/20110404/F50767/2636/1", 49.29)</f>
        <v>49.29</v>
      </c>
      <c r="E4582" s="2">
        <v>31.69</v>
      </c>
      <c r="F4582" s="2">
        <v>2</v>
      </c>
      <c r="G4582" s="2" t="s">
        <v>9</v>
      </c>
    </row>
    <row r="4583" spans="1:9" x14ac:dyDescent="0.2">
      <c r="A4583" s="2" t="s">
        <v>7590</v>
      </c>
      <c r="B4583" s="2" t="s">
        <v>6059</v>
      </c>
      <c r="C4583" s="2">
        <v>941.82820000000004</v>
      </c>
      <c r="D4583" s="2">
        <f>HYPERLINK("http://mcb-m6.bioreg.kyushu-u.ac.jp/M3/20110404/F50768/2577/1", 50.93)</f>
        <v>50.93</v>
      </c>
      <c r="E4583" s="2">
        <v>29.69</v>
      </c>
      <c r="F4583" s="2">
        <v>2</v>
      </c>
      <c r="G4583" s="2" t="s">
        <v>10</v>
      </c>
    </row>
    <row r="4584" spans="1:9" x14ac:dyDescent="0.2">
      <c r="A4584" s="2" t="s">
        <v>7625</v>
      </c>
      <c r="B4584" s="2" t="s">
        <v>6151</v>
      </c>
      <c r="C4584" s="2">
        <v>548.73419999999999</v>
      </c>
      <c r="D4584" s="2">
        <f>HYPERLINK("http://mcb-m6.bioreg.kyushu-u.ac.jp/M3/20110404/F50766/660/1", 44.54)</f>
        <v>44.54</v>
      </c>
      <c r="E4584" s="2">
        <v>19.04</v>
      </c>
      <c r="F4584" s="2">
        <v>2</v>
      </c>
      <c r="G4584" s="2" t="s">
        <v>9</v>
      </c>
      <c r="I4584" s="2" t="s">
        <v>8127</v>
      </c>
    </row>
    <row r="4585" spans="1:9" x14ac:dyDescent="0.2">
      <c r="A4585" s="2" t="s">
        <v>4009</v>
      </c>
      <c r="B4585" s="2" t="s">
        <v>1304</v>
      </c>
      <c r="C4585" s="2">
        <v>788.30520000000001</v>
      </c>
      <c r="D4585" s="2">
        <f>HYPERLINK("http://mcb-m6.bioreg.kyushu-u.ac.jp/M3/20110404/F50762/1988/1", 70.48)</f>
        <v>70.48</v>
      </c>
      <c r="E4585" s="2">
        <v>55.8</v>
      </c>
      <c r="F4585" s="2">
        <v>2</v>
      </c>
      <c r="G4585" s="2" t="s">
        <v>9</v>
      </c>
    </row>
    <row r="4586" spans="1:9" x14ac:dyDescent="0.2">
      <c r="A4586" s="2" t="s">
        <v>4009</v>
      </c>
      <c r="B4586" s="2" t="s">
        <v>2452</v>
      </c>
      <c r="C4586" s="2">
        <v>913.81020000000001</v>
      </c>
      <c r="D4586" s="2">
        <f>HYPERLINK("http://mcb-m6.bioreg.kyushu-u.ac.jp/M3/20110421/F51034/2797/1", 71.39)</f>
        <v>71.39</v>
      </c>
      <c r="E4586" s="2">
        <v>66.47</v>
      </c>
      <c r="F4586" s="2">
        <v>2</v>
      </c>
      <c r="G4586" s="2" t="s">
        <v>11</v>
      </c>
    </row>
    <row r="4587" spans="1:9" x14ac:dyDescent="0.2">
      <c r="A4587" s="2" t="s">
        <v>4009</v>
      </c>
      <c r="B4587" s="2" t="s">
        <v>1304</v>
      </c>
      <c r="C4587" s="2">
        <v>788.38170000000002</v>
      </c>
      <c r="D4587" s="2">
        <f>HYPERLINK("http://mcb-m6.bioreg.kyushu-u.ac.jp/M3/20110421/F51034/2277/1", 72.25)</f>
        <v>72.25</v>
      </c>
      <c r="E4587" s="2">
        <v>57.42</v>
      </c>
      <c r="F4587" s="2">
        <v>2</v>
      </c>
      <c r="G4587" s="2" t="s">
        <v>11</v>
      </c>
    </row>
    <row r="4588" spans="1:9" x14ac:dyDescent="0.2">
      <c r="A4588" s="2" t="s">
        <v>4009</v>
      </c>
      <c r="B4588" s="2" t="s">
        <v>2452</v>
      </c>
      <c r="C4588" s="2">
        <v>913.75710000000004</v>
      </c>
      <c r="D4588" s="2">
        <f>HYPERLINK("http://mcb-m6.bioreg.kyushu-u.ac.jp/M3/20110421/F51037/3034/1", 82.14)</f>
        <v>82.14</v>
      </c>
      <c r="E4588" s="2">
        <v>70.42</v>
      </c>
      <c r="F4588" s="2">
        <v>2</v>
      </c>
      <c r="G4588" s="2" t="s">
        <v>11</v>
      </c>
    </row>
    <row r="4589" spans="1:9" x14ac:dyDescent="0.2">
      <c r="A4589" s="2" t="s">
        <v>4009</v>
      </c>
      <c r="B4589" s="2" t="s">
        <v>2452</v>
      </c>
      <c r="C4589" s="2">
        <v>913.38919999999996</v>
      </c>
      <c r="D4589" s="2">
        <f>HYPERLINK("http://mcb-m6.bioreg.kyushu-u.ac.jp/M3/20110421/F51035/2824/1", 85.24)</f>
        <v>85.24</v>
      </c>
      <c r="E4589" s="2">
        <v>69.989999999999995</v>
      </c>
      <c r="F4589" s="2">
        <v>2</v>
      </c>
      <c r="G4589" s="2" t="s">
        <v>11</v>
      </c>
    </row>
    <row r="4590" spans="1:9" x14ac:dyDescent="0.2">
      <c r="A4590" s="2" t="s">
        <v>4009</v>
      </c>
      <c r="B4590" s="2" t="s">
        <v>1304</v>
      </c>
      <c r="C4590" s="2">
        <v>788.06410000000005</v>
      </c>
      <c r="D4590" s="2">
        <f>HYPERLINK("http://mcb-m6.bioreg.kyushu-u.ac.jp/M3/20110421/F51035/2225/1", 97.97)</f>
        <v>97.97</v>
      </c>
      <c r="E4590" s="2">
        <v>84.86</v>
      </c>
      <c r="F4590" s="2">
        <v>2</v>
      </c>
      <c r="G4590" s="2" t="s">
        <v>11</v>
      </c>
    </row>
    <row r="4591" spans="1:9" x14ac:dyDescent="0.2">
      <c r="A4591" s="2" t="s">
        <v>4009</v>
      </c>
      <c r="B4591" s="2" t="s">
        <v>2452</v>
      </c>
      <c r="C4591" s="2">
        <v>913.79610000000002</v>
      </c>
      <c r="D4591" s="2">
        <f>HYPERLINK("http://mcb-m6.bioreg.kyushu-u.ac.jp/M3/20110427/F51114/2912/1", 35.25)</f>
        <v>35.25</v>
      </c>
      <c r="E4591" s="2">
        <v>29.18</v>
      </c>
      <c r="F4591" s="2">
        <v>2</v>
      </c>
      <c r="G4591" s="2" t="s">
        <v>13</v>
      </c>
    </row>
    <row r="4592" spans="1:9" x14ac:dyDescent="0.2">
      <c r="A4592" s="2" t="s">
        <v>4009</v>
      </c>
      <c r="B4592" s="2" t="s">
        <v>5100</v>
      </c>
      <c r="C4592" s="2">
        <v>719.6277</v>
      </c>
      <c r="D4592" s="2">
        <f>HYPERLINK("http://mcb-m6.bioreg.kyushu-u.ac.jp/M3/20110428/F51127/1770/1", 44.56)</f>
        <v>44.56</v>
      </c>
      <c r="E4592" s="2">
        <v>23.17</v>
      </c>
      <c r="F4592" s="2">
        <v>2</v>
      </c>
      <c r="G4592" s="2" t="s">
        <v>13</v>
      </c>
    </row>
    <row r="4593" spans="1:9" x14ac:dyDescent="0.2">
      <c r="A4593" s="2" t="s">
        <v>4009</v>
      </c>
      <c r="B4593" s="2" t="s">
        <v>5100</v>
      </c>
      <c r="C4593" s="2">
        <v>719.1277</v>
      </c>
      <c r="D4593" s="2">
        <f>HYPERLINK("http://mcb-m6.bioreg.kyushu-u.ac.jp/M3/20110428/F51127/1766/1", 48.55)</f>
        <v>48.55</v>
      </c>
      <c r="E4593" s="2">
        <v>22.65</v>
      </c>
      <c r="F4593" s="2">
        <v>2</v>
      </c>
      <c r="G4593" s="2" t="s">
        <v>13</v>
      </c>
    </row>
    <row r="4594" spans="1:9" x14ac:dyDescent="0.2">
      <c r="A4594" s="2" t="s">
        <v>4009</v>
      </c>
      <c r="B4594" s="2" t="s">
        <v>5100</v>
      </c>
      <c r="C4594" s="2">
        <v>719.14070000000004</v>
      </c>
      <c r="D4594" s="2">
        <f>HYPERLINK("http://mcb-m6.bioreg.kyushu-u.ac.jp/M3/20110427/F51114/1936/1", 60.55)</f>
        <v>60.55</v>
      </c>
      <c r="E4594" s="2">
        <v>41.64</v>
      </c>
      <c r="F4594" s="2">
        <v>2</v>
      </c>
      <c r="G4594" s="2" t="s">
        <v>13</v>
      </c>
    </row>
    <row r="4595" spans="1:9" x14ac:dyDescent="0.2">
      <c r="A4595" s="2" t="s">
        <v>4009</v>
      </c>
      <c r="B4595" s="2" t="s">
        <v>1304</v>
      </c>
      <c r="C4595" s="2">
        <v>788.16560000000004</v>
      </c>
      <c r="D4595" s="2">
        <f>HYPERLINK("http://mcb-m6.bioreg.kyushu-u.ac.jp/M3/20110428/F51127/2171/1", 83.67)</f>
        <v>83.67</v>
      </c>
      <c r="E4595" s="2">
        <v>57.33</v>
      </c>
      <c r="F4595" s="2">
        <v>2</v>
      </c>
      <c r="G4595" s="2" t="s">
        <v>13</v>
      </c>
    </row>
    <row r="4596" spans="1:9" x14ac:dyDescent="0.2">
      <c r="A4596" s="2" t="s">
        <v>4009</v>
      </c>
      <c r="B4596" s="2" t="s">
        <v>1304</v>
      </c>
      <c r="C4596" s="2">
        <v>788.15060000000005</v>
      </c>
      <c r="D4596" s="2">
        <f>HYPERLINK("http://mcb-m6.bioreg.kyushu-u.ac.jp/M3/20110427/F51114/2331/1", 89.4)</f>
        <v>89.4</v>
      </c>
      <c r="E4596" s="2">
        <v>67.53</v>
      </c>
      <c r="F4596" s="2">
        <v>2</v>
      </c>
      <c r="G4596" s="2" t="s">
        <v>13</v>
      </c>
    </row>
    <row r="4597" spans="1:9" x14ac:dyDescent="0.2">
      <c r="A4597" s="2" t="s">
        <v>4257</v>
      </c>
      <c r="B4597" s="2" t="s">
        <v>5175</v>
      </c>
      <c r="C4597" s="2">
        <v>689.74109999999996</v>
      </c>
      <c r="D4597" s="2">
        <f>HYPERLINK("http://mcb-m6.bioreg.kyushu-u.ac.jp/M3/20110404/F50762/1602/1", 59.08)</f>
        <v>59.08</v>
      </c>
      <c r="E4597" s="2">
        <v>45.69</v>
      </c>
      <c r="F4597" s="2">
        <v>2</v>
      </c>
      <c r="G4597" s="2" t="s">
        <v>9</v>
      </c>
      <c r="I4597" s="2" t="s">
        <v>4926</v>
      </c>
    </row>
    <row r="4598" spans="1:9" x14ac:dyDescent="0.2">
      <c r="A4598" s="2" t="s">
        <v>4257</v>
      </c>
      <c r="B4598" s="2" t="s">
        <v>5175</v>
      </c>
      <c r="C4598" s="2">
        <v>689.19569999999999</v>
      </c>
      <c r="D4598" s="2">
        <f>HYPERLINK("http://mcb-m6.bioreg.kyushu-u.ac.jp/M3/20110404/F50762/1598/1", 60.2)</f>
        <v>60.2</v>
      </c>
      <c r="E4598" s="2">
        <v>49.73</v>
      </c>
      <c r="F4598" s="2">
        <v>2</v>
      </c>
      <c r="G4598" s="2" t="s">
        <v>9</v>
      </c>
      <c r="I4598" s="2" t="s">
        <v>4926</v>
      </c>
    </row>
    <row r="4599" spans="1:9" x14ac:dyDescent="0.2">
      <c r="A4599" s="2" t="s">
        <v>4257</v>
      </c>
      <c r="B4599" s="2" t="s">
        <v>1899</v>
      </c>
      <c r="C4599" s="2">
        <v>782.84010000000001</v>
      </c>
      <c r="D4599" s="2">
        <f>HYPERLINK("http://mcb-m6.bioreg.kyushu-u.ac.jp/M3/20110404/F50762/1970/1", 70.1)</f>
        <v>70.099999999999994</v>
      </c>
      <c r="E4599" s="2">
        <v>53.12</v>
      </c>
      <c r="F4599" s="2">
        <v>2</v>
      </c>
      <c r="G4599" s="2" t="s">
        <v>9</v>
      </c>
    </row>
    <row r="4600" spans="1:9" x14ac:dyDescent="0.2">
      <c r="A4600" s="2" t="s">
        <v>4257</v>
      </c>
      <c r="B4600" s="2" t="s">
        <v>1899</v>
      </c>
      <c r="C4600" s="2">
        <v>782.33259999999996</v>
      </c>
      <c r="D4600" s="2">
        <f>HYPERLINK("http://mcb-m6.bioreg.kyushu-u.ac.jp/M3/20110404/F50762/1968/1", 73.64)</f>
        <v>73.64</v>
      </c>
      <c r="E4600" s="2">
        <v>53.61</v>
      </c>
      <c r="F4600" s="2">
        <v>2</v>
      </c>
      <c r="G4600" s="2" t="s">
        <v>9</v>
      </c>
    </row>
    <row r="4601" spans="1:9" x14ac:dyDescent="0.2">
      <c r="A4601" s="2" t="s">
        <v>4257</v>
      </c>
      <c r="B4601" s="2" t="s">
        <v>1899</v>
      </c>
      <c r="C4601" s="2">
        <v>782.33510000000001</v>
      </c>
      <c r="D4601" s="2">
        <f>HYPERLINK("http://mcb-m6.bioreg.kyushu-u.ac.jp/M3/20110404/F50768/2056/1", 39.17)</f>
        <v>39.17</v>
      </c>
      <c r="E4601" s="2">
        <v>23.59</v>
      </c>
      <c r="F4601" s="2">
        <v>2</v>
      </c>
      <c r="G4601" s="2" t="s">
        <v>10</v>
      </c>
    </row>
    <row r="4602" spans="1:9" x14ac:dyDescent="0.2">
      <c r="A4602" s="2" t="s">
        <v>4257</v>
      </c>
      <c r="B4602" s="2" t="s">
        <v>1899</v>
      </c>
      <c r="C4602" s="2">
        <v>782.86720000000003</v>
      </c>
      <c r="D4602" s="2">
        <f>HYPERLINK("http://mcb-m6.bioreg.kyushu-u.ac.jp/M3/20110421/F51034/2246/1", 62.67)</f>
        <v>62.67</v>
      </c>
      <c r="E4602" s="2">
        <v>46.75</v>
      </c>
      <c r="F4602" s="2">
        <v>2</v>
      </c>
      <c r="G4602" s="2" t="s">
        <v>11</v>
      </c>
    </row>
    <row r="4603" spans="1:9" x14ac:dyDescent="0.2">
      <c r="A4603" s="2" t="s">
        <v>4257</v>
      </c>
      <c r="B4603" s="2" t="s">
        <v>1899</v>
      </c>
      <c r="C4603" s="2">
        <v>782.83870000000002</v>
      </c>
      <c r="D4603" s="2">
        <f>HYPERLINK("http://mcb-m6.bioreg.kyushu-u.ac.jp/M3/20110421/F51035/2195/1", 66.9)</f>
        <v>66.900000000000006</v>
      </c>
      <c r="E4603" s="2">
        <v>49.59</v>
      </c>
      <c r="F4603" s="2">
        <v>2</v>
      </c>
      <c r="G4603" s="2" t="s">
        <v>11</v>
      </c>
    </row>
    <row r="4604" spans="1:9" x14ac:dyDescent="0.2">
      <c r="A4604" s="2" t="s">
        <v>4257</v>
      </c>
      <c r="B4604" s="2" t="s">
        <v>1899</v>
      </c>
      <c r="C4604" s="2">
        <v>782.3972</v>
      </c>
      <c r="D4604" s="2">
        <f>HYPERLINK("http://mcb-m6.bioreg.kyushu-u.ac.jp/M3/20110421/F51034/2244/1", 71.22)</f>
        <v>71.22</v>
      </c>
      <c r="E4604" s="2">
        <v>51.18</v>
      </c>
      <c r="F4604" s="2">
        <v>2</v>
      </c>
      <c r="G4604" s="2" t="s">
        <v>11</v>
      </c>
    </row>
    <row r="4605" spans="1:9" x14ac:dyDescent="0.2">
      <c r="A4605" s="2" t="s">
        <v>4257</v>
      </c>
      <c r="B4605" s="2" t="s">
        <v>1899</v>
      </c>
      <c r="C4605" s="2">
        <v>782.30020000000002</v>
      </c>
      <c r="D4605" s="2">
        <f>HYPERLINK("http://mcb-m6.bioreg.kyushu-u.ac.jp/M3/20110421/F51035/2193/1", 89.1)</f>
        <v>89.1</v>
      </c>
      <c r="E4605" s="2">
        <v>69.459999999999994</v>
      </c>
      <c r="F4605" s="2">
        <v>2</v>
      </c>
      <c r="G4605" s="2" t="s">
        <v>11</v>
      </c>
    </row>
    <row r="4606" spans="1:9" x14ac:dyDescent="0.2">
      <c r="A4606" s="2" t="s">
        <v>4257</v>
      </c>
      <c r="B4606" s="2" t="s">
        <v>4998</v>
      </c>
      <c r="C4606" s="2">
        <v>1093.354</v>
      </c>
      <c r="D4606" s="2">
        <f>HYPERLINK("http://mcb-m6.bioreg.kyushu-u.ac.jp/M3/20110428/F51127/3442/1", 39.84)</f>
        <v>39.840000000000003</v>
      </c>
      <c r="E4606" s="2">
        <v>36.31</v>
      </c>
      <c r="F4606" s="2">
        <v>2</v>
      </c>
      <c r="G4606" s="2" t="s">
        <v>13</v>
      </c>
    </row>
    <row r="4607" spans="1:9" x14ac:dyDescent="0.2">
      <c r="A4607" s="2" t="s">
        <v>4257</v>
      </c>
      <c r="B4607" s="2" t="s">
        <v>4998</v>
      </c>
      <c r="C4607" s="2">
        <v>729.01210000000003</v>
      </c>
      <c r="D4607" s="2">
        <f>HYPERLINK("http://mcb-m6.bioreg.kyushu-u.ac.jp/M3/20110428/F51127/3439/1", 43.78)</f>
        <v>43.78</v>
      </c>
      <c r="E4607" s="2">
        <v>26.32</v>
      </c>
      <c r="F4607" s="2">
        <v>3</v>
      </c>
      <c r="G4607" s="2" t="s">
        <v>13</v>
      </c>
    </row>
    <row r="4608" spans="1:9" x14ac:dyDescent="0.2">
      <c r="A4608" s="2" t="s">
        <v>4257</v>
      </c>
      <c r="B4608" s="2" t="s">
        <v>7384</v>
      </c>
      <c r="C4608" s="2">
        <v>503.10160000000002</v>
      </c>
      <c r="D4608" s="2">
        <f>HYPERLINK("http://mcb-m6.bioreg.kyushu-u.ac.jp/M3/20110427/F51114/932/1", 53.21)</f>
        <v>53.21</v>
      </c>
      <c r="E4608" s="2">
        <v>26.19</v>
      </c>
      <c r="F4608" s="2">
        <v>2</v>
      </c>
      <c r="G4608" s="2" t="s">
        <v>13</v>
      </c>
    </row>
    <row r="4609" spans="1:7" x14ac:dyDescent="0.2">
      <c r="A4609" s="2" t="s">
        <v>4112</v>
      </c>
      <c r="B4609" s="2" t="s">
        <v>1599</v>
      </c>
      <c r="C4609" s="2">
        <v>939.28470000000004</v>
      </c>
      <c r="D4609" s="2">
        <f>HYPERLINK("http://mcb-m6.bioreg.kyushu-u.ac.jp/M3/20110404/F50763/2603/1", 60.47)</f>
        <v>60.47</v>
      </c>
      <c r="E4609" s="2">
        <v>49.48</v>
      </c>
      <c r="F4609" s="2">
        <v>2</v>
      </c>
      <c r="G4609" s="2" t="s">
        <v>9</v>
      </c>
    </row>
    <row r="4610" spans="1:7" x14ac:dyDescent="0.2">
      <c r="A4610" s="2" t="s">
        <v>4112</v>
      </c>
      <c r="B4610" s="2" t="s">
        <v>1599</v>
      </c>
      <c r="C4610" s="2">
        <v>939.46770000000004</v>
      </c>
      <c r="D4610" s="2">
        <f>HYPERLINK("http://mcb-m6.bioreg.kyushu-u.ac.jp/M3/20110404/F50762/2440/1", 88.84)</f>
        <v>88.84</v>
      </c>
      <c r="E4610" s="2">
        <v>73.959999999999994</v>
      </c>
      <c r="F4610" s="2">
        <v>2</v>
      </c>
      <c r="G4610" s="2" t="s">
        <v>9</v>
      </c>
    </row>
    <row r="4611" spans="1:7" x14ac:dyDescent="0.2">
      <c r="A4611" s="2" t="s">
        <v>4112</v>
      </c>
      <c r="B4611" s="2" t="s">
        <v>1599</v>
      </c>
      <c r="C4611" s="2">
        <v>939.01260000000002</v>
      </c>
      <c r="D4611" s="2">
        <f>HYPERLINK("http://mcb-m6.bioreg.kyushu-u.ac.jp/M3/20110421/F51034/2901/1", 85.35)</f>
        <v>85.35</v>
      </c>
      <c r="E4611" s="2">
        <v>59.35</v>
      </c>
      <c r="F4611" s="2">
        <v>2</v>
      </c>
      <c r="G4611" s="2" t="s">
        <v>11</v>
      </c>
    </row>
    <row r="4612" spans="1:7" x14ac:dyDescent="0.2">
      <c r="A4612" s="2" t="s">
        <v>4112</v>
      </c>
      <c r="B4612" s="2" t="s">
        <v>1599</v>
      </c>
      <c r="C4612" s="2">
        <v>938.65060000000005</v>
      </c>
      <c r="D4612" s="2">
        <f>HYPERLINK("http://mcb-m6.bioreg.kyushu-u.ac.jp/M3/20110428/F51127/2950/1", 72.83)</f>
        <v>72.83</v>
      </c>
      <c r="E4612" s="2">
        <v>56.41</v>
      </c>
      <c r="F4612" s="2">
        <v>2</v>
      </c>
      <c r="G4612" s="2" t="s">
        <v>13</v>
      </c>
    </row>
    <row r="4613" spans="1:7" x14ac:dyDescent="0.2">
      <c r="A4613" s="2" t="s">
        <v>4112</v>
      </c>
      <c r="B4613" s="2" t="s">
        <v>1599</v>
      </c>
      <c r="C4613" s="2">
        <v>938.76819999999998</v>
      </c>
      <c r="D4613" s="2">
        <f>HYPERLINK("http://mcb-m6.bioreg.kyushu-u.ac.jp/M3/20110427/F51114/3017/1", 92.22)</f>
        <v>92.22</v>
      </c>
      <c r="E4613" s="2">
        <v>74.510000000000005</v>
      </c>
      <c r="F4613" s="2">
        <v>2</v>
      </c>
      <c r="G4613" s="2" t="s">
        <v>13</v>
      </c>
    </row>
    <row r="4614" spans="1:7" x14ac:dyDescent="0.2">
      <c r="A4614" s="2" t="s">
        <v>4112</v>
      </c>
      <c r="B4614" s="2" t="s">
        <v>1599</v>
      </c>
      <c r="C4614" s="2">
        <v>939.19619999999998</v>
      </c>
      <c r="D4614" s="2">
        <f>HYPERLINK("http://mcb-m6.bioreg.kyushu-u.ac.jp/M3/20110428/F51127/2953/1", 110.72)</f>
        <v>110.72</v>
      </c>
      <c r="E4614" s="2">
        <v>92.8</v>
      </c>
      <c r="F4614" s="2">
        <v>2</v>
      </c>
      <c r="G4614" s="2" t="s">
        <v>13</v>
      </c>
    </row>
    <row r="4615" spans="1:7" x14ac:dyDescent="0.2">
      <c r="A4615" s="2" t="s">
        <v>4008</v>
      </c>
      <c r="B4615" s="2" t="s">
        <v>6050</v>
      </c>
      <c r="C4615" s="2">
        <v>662.32759999999996</v>
      </c>
      <c r="D4615" s="2">
        <f>HYPERLINK("http://mcb-m6.bioreg.kyushu-u.ac.jp/M3/20110404/F50762/1495/1", 40.24)</f>
        <v>40.24</v>
      </c>
      <c r="E4615" s="2">
        <v>13.54</v>
      </c>
      <c r="F4615" s="2">
        <v>2</v>
      </c>
      <c r="G4615" s="2" t="s">
        <v>9</v>
      </c>
    </row>
    <row r="4616" spans="1:7" x14ac:dyDescent="0.2">
      <c r="A4616" s="2" t="s">
        <v>4008</v>
      </c>
      <c r="B4616" s="2" t="s">
        <v>1303</v>
      </c>
      <c r="C4616" s="2">
        <v>851.74159999999995</v>
      </c>
      <c r="D4616" s="2">
        <f>HYPERLINK("http://mcb-m6.bioreg.kyushu-u.ac.jp/M3/20110404/F50762/2157/1", 41.82)</f>
        <v>41.82</v>
      </c>
      <c r="E4616" s="2">
        <v>26.95</v>
      </c>
      <c r="F4616" s="2">
        <v>2</v>
      </c>
      <c r="G4616" s="2" t="s">
        <v>9</v>
      </c>
    </row>
    <row r="4617" spans="1:7" x14ac:dyDescent="0.2">
      <c r="A4617" s="2" t="s">
        <v>4008</v>
      </c>
      <c r="B4617" s="2" t="s">
        <v>1303</v>
      </c>
      <c r="C4617" s="2">
        <v>852.30470000000003</v>
      </c>
      <c r="D4617" s="2">
        <f>HYPERLINK("http://mcb-m6.bioreg.kyushu-u.ac.jp/M3/20110404/F50762/2158/1", 84.6)</f>
        <v>84.6</v>
      </c>
      <c r="E4617" s="2">
        <v>63.94</v>
      </c>
      <c r="F4617" s="2">
        <v>2</v>
      </c>
      <c r="G4617" s="2" t="s">
        <v>9</v>
      </c>
    </row>
    <row r="4618" spans="1:7" x14ac:dyDescent="0.2">
      <c r="A4618" s="2" t="s">
        <v>4008</v>
      </c>
      <c r="B4618" s="2" t="s">
        <v>1605</v>
      </c>
      <c r="C4618" s="2">
        <v>958.39919999999995</v>
      </c>
      <c r="D4618" s="2">
        <f>HYPERLINK("http://mcb-m6.bioreg.kyushu-u.ac.jp/M3/20110404/F50762/2484/1", 88.83)</f>
        <v>88.83</v>
      </c>
      <c r="E4618" s="2">
        <v>77.180000000000007</v>
      </c>
      <c r="F4618" s="2">
        <v>2</v>
      </c>
      <c r="G4618" s="2" t="s">
        <v>9</v>
      </c>
    </row>
    <row r="4619" spans="1:7" x14ac:dyDescent="0.2">
      <c r="A4619" s="2" t="s">
        <v>4008</v>
      </c>
      <c r="B4619" s="2" t="s">
        <v>1605</v>
      </c>
      <c r="C4619" s="2">
        <v>957.87919999999997</v>
      </c>
      <c r="D4619" s="2">
        <f>HYPERLINK("http://mcb-m6.bioreg.kyushu-u.ac.jp/M3/20110404/F50768/2620/1", 81.98)</f>
        <v>81.98</v>
      </c>
      <c r="E4619" s="2">
        <v>62.52</v>
      </c>
      <c r="F4619" s="2">
        <v>2</v>
      </c>
      <c r="G4619" s="2" t="s">
        <v>10</v>
      </c>
    </row>
    <row r="4620" spans="1:7" x14ac:dyDescent="0.2">
      <c r="A4620" s="2" t="s">
        <v>4008</v>
      </c>
      <c r="B4620" s="2" t="s">
        <v>6050</v>
      </c>
      <c r="C4620" s="2">
        <v>662.45759999999996</v>
      </c>
      <c r="D4620" s="2">
        <f>HYPERLINK("http://mcb-m6.bioreg.kyushu-u.ac.jp/M3/20110421/F51035/1500/1", 35.23)</f>
        <v>35.229999999999997</v>
      </c>
      <c r="E4620" s="2">
        <v>13.25</v>
      </c>
      <c r="F4620" s="2">
        <v>2</v>
      </c>
      <c r="G4620" s="2" t="s">
        <v>11</v>
      </c>
    </row>
    <row r="4621" spans="1:7" x14ac:dyDescent="0.2">
      <c r="A4621" s="2" t="s">
        <v>4008</v>
      </c>
      <c r="B4621" s="2" t="s">
        <v>1303</v>
      </c>
      <c r="C4621" s="2">
        <v>852.44420000000002</v>
      </c>
      <c r="D4621" s="2">
        <f>HYPERLINK("http://mcb-m6.bioreg.kyushu-u.ac.jp/M3/20110421/F51035/2528/1", 78.87)</f>
        <v>78.87</v>
      </c>
      <c r="E4621" s="2">
        <v>58.52</v>
      </c>
      <c r="F4621" s="2">
        <v>2</v>
      </c>
      <c r="G4621" s="2" t="s">
        <v>11</v>
      </c>
    </row>
    <row r="4622" spans="1:7" x14ac:dyDescent="0.2">
      <c r="A4622" s="2" t="s">
        <v>4008</v>
      </c>
      <c r="B4622" s="2" t="s">
        <v>1605</v>
      </c>
      <c r="C4622" s="2">
        <v>958.46969999999999</v>
      </c>
      <c r="D4622" s="2">
        <f>HYPERLINK("http://mcb-m6.bioreg.kyushu-u.ac.jp/M3/20110421/F51035/2987/1", 88.85)</f>
        <v>88.85</v>
      </c>
      <c r="E4622" s="2">
        <v>73.3</v>
      </c>
      <c r="F4622" s="2">
        <v>2</v>
      </c>
      <c r="G4622" s="2" t="s">
        <v>11</v>
      </c>
    </row>
    <row r="4623" spans="1:7" x14ac:dyDescent="0.2">
      <c r="A4623" s="2" t="s">
        <v>4008</v>
      </c>
      <c r="B4623" s="2" t="s">
        <v>1605</v>
      </c>
      <c r="C4623" s="2">
        <v>957.99519999999995</v>
      </c>
      <c r="D4623" s="2">
        <f>HYPERLINK("http://mcb-m6.bioreg.kyushu-u.ac.jp/M3/20110421/F51034/2964/1", 100.14)</f>
        <v>100.14</v>
      </c>
      <c r="E4623" s="2">
        <v>84.01</v>
      </c>
      <c r="F4623" s="2">
        <v>2</v>
      </c>
      <c r="G4623" s="2" t="s">
        <v>11</v>
      </c>
    </row>
    <row r="4624" spans="1:7" x14ac:dyDescent="0.2">
      <c r="A4624" s="2" t="s">
        <v>4008</v>
      </c>
      <c r="B4624" s="2" t="s">
        <v>1605</v>
      </c>
      <c r="C4624" s="2">
        <v>958.53970000000004</v>
      </c>
      <c r="D4624" s="2">
        <f>HYPERLINK("http://mcb-m6.bioreg.kyushu-u.ac.jp/M3/20110421/F51034/2968/1", 101.52)</f>
        <v>101.52</v>
      </c>
      <c r="E4624" s="2">
        <v>86.47</v>
      </c>
      <c r="F4624" s="2">
        <v>2</v>
      </c>
      <c r="G4624" s="2" t="s">
        <v>11</v>
      </c>
    </row>
    <row r="4625" spans="1:7" x14ac:dyDescent="0.2">
      <c r="A4625" s="2" t="s">
        <v>4008</v>
      </c>
      <c r="B4625" s="2" t="s">
        <v>1605</v>
      </c>
      <c r="C4625" s="2">
        <v>639.02549999999997</v>
      </c>
      <c r="D4625" s="2">
        <f>HYPERLINK("http://mcb-m6.bioreg.kyushu-u.ac.jp/M3/20110427/F51114/3083/1", 39.52)</f>
        <v>39.520000000000003</v>
      </c>
      <c r="E4625" s="2">
        <v>26.16</v>
      </c>
      <c r="F4625" s="2">
        <v>3</v>
      </c>
      <c r="G4625" s="2" t="s">
        <v>13</v>
      </c>
    </row>
    <row r="4626" spans="1:7" x14ac:dyDescent="0.2">
      <c r="A4626" s="2" t="s">
        <v>4008</v>
      </c>
      <c r="B4626" s="2" t="s">
        <v>1605</v>
      </c>
      <c r="C4626" s="2">
        <v>958.24570000000006</v>
      </c>
      <c r="D4626" s="2">
        <f>HYPERLINK("http://mcb-m6.bioreg.kyushu-u.ac.jp/M3/20110427/F51114/3086/1", 84.97)</f>
        <v>84.97</v>
      </c>
      <c r="E4626" s="2">
        <v>66.319999999999993</v>
      </c>
      <c r="F4626" s="2">
        <v>2</v>
      </c>
      <c r="G4626" s="2" t="s">
        <v>13</v>
      </c>
    </row>
    <row r="4627" spans="1:7" x14ac:dyDescent="0.2">
      <c r="A4627" s="2" t="s">
        <v>4008</v>
      </c>
      <c r="B4627" s="2" t="s">
        <v>1605</v>
      </c>
      <c r="C4627" s="2">
        <v>958.24220000000003</v>
      </c>
      <c r="D4627" s="2">
        <f>HYPERLINK("http://mcb-m6.bioreg.kyushu-u.ac.jp/M3/20110428/F51127/3019/1", 93.45)</f>
        <v>93.45</v>
      </c>
      <c r="E4627" s="2">
        <v>77.16</v>
      </c>
      <c r="F4627" s="2">
        <v>2</v>
      </c>
      <c r="G4627" s="2" t="s">
        <v>13</v>
      </c>
    </row>
    <row r="4628" spans="1:7" x14ac:dyDescent="0.2">
      <c r="A4628" s="2" t="s">
        <v>4008</v>
      </c>
      <c r="B4628" s="2" t="s">
        <v>1303</v>
      </c>
      <c r="C4628" s="2">
        <v>851.65920000000006</v>
      </c>
      <c r="D4628" s="2">
        <f>HYPERLINK("http://mcb-m6.bioreg.kyushu-u.ac.jp/M3/20110428/F51127/2526/1", 96.32)</f>
        <v>96.32</v>
      </c>
      <c r="E4628" s="2">
        <v>63.1</v>
      </c>
      <c r="F4628" s="2">
        <v>2</v>
      </c>
      <c r="G4628" s="2" t="s">
        <v>13</v>
      </c>
    </row>
    <row r="4629" spans="1:7" x14ac:dyDescent="0.2">
      <c r="A4629" s="2" t="s">
        <v>4622</v>
      </c>
      <c r="B4629" s="2" t="s">
        <v>2749</v>
      </c>
      <c r="C4629" s="2">
        <v>722.21010000000001</v>
      </c>
      <c r="D4629" s="2">
        <f>HYPERLINK("http://mcb-m6.bioreg.kyushu-u.ac.jp/M3/20110427/F51113/1921/1", 48.71)</f>
        <v>48.71</v>
      </c>
      <c r="E4629" s="2">
        <v>24.59</v>
      </c>
      <c r="F4629" s="2">
        <v>2</v>
      </c>
      <c r="G4629" s="2" t="s">
        <v>13</v>
      </c>
    </row>
    <row r="4630" spans="1:7" x14ac:dyDescent="0.2">
      <c r="A4630" s="2" t="s">
        <v>7737</v>
      </c>
      <c r="B4630" s="2" t="s">
        <v>6476</v>
      </c>
      <c r="C4630" s="2">
        <v>791.85469999999998</v>
      </c>
      <c r="D4630" s="2">
        <f>HYPERLINK("http://mcb-m6.bioreg.kyushu-u.ac.jp/M3/20110404/F50755/2228/1", 68.22)</f>
        <v>68.22</v>
      </c>
      <c r="E4630" s="2">
        <v>52.44</v>
      </c>
      <c r="F4630" s="2">
        <v>2</v>
      </c>
      <c r="G4630" s="2" t="s">
        <v>9</v>
      </c>
    </row>
    <row r="4631" spans="1:7" x14ac:dyDescent="0.2">
      <c r="A4631" s="2" t="s">
        <v>3986</v>
      </c>
      <c r="B4631" s="2" t="s">
        <v>1667</v>
      </c>
      <c r="C4631" s="2">
        <v>543.83320000000003</v>
      </c>
      <c r="D4631" s="2">
        <f>HYPERLINK("http://mcb-m6.bioreg.kyushu-u.ac.jp/M3/20110404/F50755/2299/1", 63.44)</f>
        <v>63.44</v>
      </c>
      <c r="E4631" s="2">
        <v>50.48</v>
      </c>
      <c r="F4631" s="2">
        <v>3</v>
      </c>
      <c r="G4631" s="2" t="s">
        <v>9</v>
      </c>
    </row>
    <row r="4632" spans="1:7" x14ac:dyDescent="0.2">
      <c r="A4632" s="2" t="s">
        <v>3986</v>
      </c>
      <c r="B4632" s="2" t="s">
        <v>1667</v>
      </c>
      <c r="C4632" s="2">
        <v>814.76919999999996</v>
      </c>
      <c r="D4632" s="2">
        <f>HYPERLINK("http://mcb-m6.bioreg.kyushu-u.ac.jp/M3/20110404/F50755/2297/1", 99.36)</f>
        <v>99.36</v>
      </c>
      <c r="E4632" s="2">
        <v>82.77</v>
      </c>
      <c r="F4632" s="2">
        <v>2</v>
      </c>
      <c r="G4632" s="2" t="s">
        <v>9</v>
      </c>
    </row>
    <row r="4633" spans="1:7" x14ac:dyDescent="0.2">
      <c r="A4633" s="2" t="s">
        <v>3986</v>
      </c>
      <c r="B4633" s="2" t="s">
        <v>1667</v>
      </c>
      <c r="C4633" s="2">
        <v>815.34119999999996</v>
      </c>
      <c r="D4633" s="2">
        <f>HYPERLINK("http://mcb-m6.bioreg.kyushu-u.ac.jp/M3/20110404/F50755/2301/1", 108.62)</f>
        <v>108.62</v>
      </c>
      <c r="E4633" s="2">
        <v>86.94</v>
      </c>
      <c r="F4633" s="2">
        <v>2</v>
      </c>
      <c r="G4633" s="2" t="s">
        <v>9</v>
      </c>
    </row>
    <row r="4634" spans="1:7" x14ac:dyDescent="0.2">
      <c r="A4634" s="2" t="s">
        <v>3986</v>
      </c>
      <c r="B4634" s="2" t="s">
        <v>1667</v>
      </c>
      <c r="C4634" s="2">
        <v>814.78369999999995</v>
      </c>
      <c r="D4634" s="2">
        <f>HYPERLINK("http://mcb-m6.bioreg.kyushu-u.ac.jp/M3/20110404/F50754/2353/1", 114.26)</f>
        <v>114.26</v>
      </c>
      <c r="E4634" s="2">
        <v>102.69</v>
      </c>
      <c r="F4634" s="2">
        <v>2</v>
      </c>
      <c r="G4634" s="2" t="s">
        <v>9</v>
      </c>
    </row>
    <row r="4635" spans="1:7" x14ac:dyDescent="0.2">
      <c r="A4635" s="2" t="s">
        <v>3986</v>
      </c>
      <c r="B4635" s="2" t="s">
        <v>1667</v>
      </c>
      <c r="C4635" s="2">
        <v>815.18409999999994</v>
      </c>
      <c r="D4635" s="2">
        <f>HYPERLINK("http://mcb-m6.bioreg.kyushu-u.ac.jp/M3/20110404/F50760/2088/1", 45.06)</f>
        <v>45.06</v>
      </c>
      <c r="E4635" s="2">
        <v>31.55</v>
      </c>
      <c r="F4635" s="2">
        <v>2</v>
      </c>
      <c r="G4635" s="2" t="s">
        <v>10</v>
      </c>
    </row>
    <row r="4636" spans="1:7" x14ac:dyDescent="0.2">
      <c r="A4636" s="2" t="s">
        <v>3986</v>
      </c>
      <c r="B4636" s="2" t="s">
        <v>1667</v>
      </c>
      <c r="C4636" s="2">
        <v>814.82820000000004</v>
      </c>
      <c r="D4636" s="2">
        <f>HYPERLINK("http://mcb-m6.bioreg.kyushu-u.ac.jp/M3/20110404/F50760/2087/1", 98.91)</f>
        <v>98.91</v>
      </c>
      <c r="E4636" s="2">
        <v>78.83</v>
      </c>
      <c r="F4636" s="2">
        <v>2</v>
      </c>
      <c r="G4636" s="2" t="s">
        <v>10</v>
      </c>
    </row>
    <row r="4637" spans="1:7" x14ac:dyDescent="0.2">
      <c r="A4637" s="2" t="s">
        <v>3986</v>
      </c>
      <c r="B4637" s="2" t="s">
        <v>1667</v>
      </c>
      <c r="C4637" s="2">
        <v>815.35419999999999</v>
      </c>
      <c r="D4637" s="2">
        <f>HYPERLINK("http://mcb-m6.bioreg.kyushu-u.ac.jp/M3/20110421/F51024/2441/1", 86.71)</f>
        <v>86.71</v>
      </c>
      <c r="E4637" s="2">
        <v>69.989999999999995</v>
      </c>
      <c r="F4637" s="2">
        <v>2</v>
      </c>
      <c r="G4637" s="2" t="s">
        <v>12</v>
      </c>
    </row>
    <row r="4638" spans="1:7" x14ac:dyDescent="0.2">
      <c r="A4638" s="2" t="s">
        <v>3986</v>
      </c>
      <c r="B4638" s="2" t="s">
        <v>1667</v>
      </c>
      <c r="C4638" s="2">
        <v>814.8202</v>
      </c>
      <c r="D4638" s="2">
        <f>HYPERLINK("http://mcb-m6.bioreg.kyushu-u.ac.jp/M3/20110421/F51024/2439/1", 89.5)</f>
        <v>89.5</v>
      </c>
      <c r="E4638" s="2">
        <v>66.849999999999994</v>
      </c>
      <c r="F4638" s="2">
        <v>2</v>
      </c>
      <c r="G4638" s="2" t="s">
        <v>12</v>
      </c>
    </row>
    <row r="4639" spans="1:7" x14ac:dyDescent="0.2">
      <c r="A4639" s="2" t="s">
        <v>3986</v>
      </c>
      <c r="B4639" s="2" t="s">
        <v>1667</v>
      </c>
      <c r="C4639" s="2">
        <v>814.80319999999995</v>
      </c>
      <c r="D4639" s="2">
        <f>HYPERLINK("http://mcb-m6.bioreg.kyushu-u.ac.jp/M3/20110427/F51113/2322/1", 79.39)</f>
        <v>79.39</v>
      </c>
      <c r="E4639" s="2">
        <v>65.78</v>
      </c>
      <c r="F4639" s="2">
        <v>2</v>
      </c>
      <c r="G4639" s="2" t="s">
        <v>13</v>
      </c>
    </row>
    <row r="4640" spans="1:7" x14ac:dyDescent="0.2">
      <c r="A4640" s="2" t="s">
        <v>7815</v>
      </c>
      <c r="B4640" s="2" t="s">
        <v>6751</v>
      </c>
      <c r="C4640" s="2">
        <v>955.21669999999995</v>
      </c>
      <c r="D4640" s="2">
        <f>HYPERLINK("http://mcb-m6.bioreg.kyushu-u.ac.jp/M3/20110404/F50760/2572/1", 40.24)</f>
        <v>40.24</v>
      </c>
      <c r="E4640" s="2">
        <v>33.25</v>
      </c>
      <c r="F4640" s="2">
        <v>2</v>
      </c>
      <c r="G4640" s="2" t="s">
        <v>10</v>
      </c>
    </row>
    <row r="4641" spans="1:9" x14ac:dyDescent="0.2">
      <c r="A4641" s="2" t="s">
        <v>3785</v>
      </c>
      <c r="B4641" s="2" t="s">
        <v>822</v>
      </c>
      <c r="C4641" s="2">
        <v>1275.3030000000001</v>
      </c>
      <c r="D4641" s="2">
        <f>HYPERLINK("http://mcb-m6.bioreg.kyushu-u.ac.jp/M3/20110404/F50754/1760/1", 49.08)</f>
        <v>49.08</v>
      </c>
      <c r="E4641" s="2">
        <v>28.52</v>
      </c>
      <c r="F4641" s="2">
        <v>1</v>
      </c>
      <c r="G4641" s="2" t="s">
        <v>9</v>
      </c>
    </row>
    <row r="4642" spans="1:9" x14ac:dyDescent="0.2">
      <c r="A4642" s="2" t="s">
        <v>3785</v>
      </c>
      <c r="B4642" s="2" t="s">
        <v>822</v>
      </c>
      <c r="C4642" s="2">
        <v>1275.403</v>
      </c>
      <c r="D4642" s="2">
        <f>HYPERLINK("http://mcb-m6.bioreg.kyushu-u.ac.jp/M3/20110404/F50755/1518/1", 52.12)</f>
        <v>52.12</v>
      </c>
      <c r="E4642" s="2">
        <v>38.47</v>
      </c>
      <c r="F4642" s="2">
        <v>1</v>
      </c>
      <c r="G4642" s="2" t="s">
        <v>9</v>
      </c>
    </row>
    <row r="4643" spans="1:9" x14ac:dyDescent="0.2">
      <c r="A4643" s="2" t="s">
        <v>3785</v>
      </c>
      <c r="B4643" s="2" t="s">
        <v>822</v>
      </c>
      <c r="C4643" s="2">
        <v>638.01009999999997</v>
      </c>
      <c r="D4643" s="2">
        <f>HYPERLINK("http://mcb-m6.bioreg.kyushu-u.ac.jp/M3/20110404/F50754/1758/1", 59.05)</f>
        <v>59.05</v>
      </c>
      <c r="E4643" s="2">
        <v>35.53</v>
      </c>
      <c r="F4643" s="2">
        <v>2</v>
      </c>
      <c r="G4643" s="2" t="s">
        <v>9</v>
      </c>
    </row>
    <row r="4644" spans="1:9" x14ac:dyDescent="0.2">
      <c r="A4644" s="2" t="s">
        <v>3785</v>
      </c>
      <c r="B4644" s="2" t="s">
        <v>822</v>
      </c>
      <c r="C4644" s="2">
        <v>638.28859999999997</v>
      </c>
      <c r="D4644" s="2">
        <f>HYPERLINK("http://mcb-m6.bioreg.kyushu-u.ac.jp/M3/20110404/F50755/1519/1", 62.96)</f>
        <v>62.96</v>
      </c>
      <c r="E4644" s="2">
        <v>47.22</v>
      </c>
      <c r="F4644" s="2">
        <v>2</v>
      </c>
      <c r="G4644" s="2" t="s">
        <v>9</v>
      </c>
    </row>
    <row r="4645" spans="1:9" x14ac:dyDescent="0.2">
      <c r="A4645" s="2" t="s">
        <v>3785</v>
      </c>
      <c r="B4645" s="2" t="s">
        <v>822</v>
      </c>
      <c r="C4645" s="2">
        <v>638.30769999999995</v>
      </c>
      <c r="D4645" s="2">
        <f>HYPERLINK("http://mcb-m6.bioreg.kyushu-u.ac.jp/M3/20110404/F50760/1443/1", 72.81)</f>
        <v>72.81</v>
      </c>
      <c r="E4645" s="2">
        <v>53.64</v>
      </c>
      <c r="F4645" s="2">
        <v>2</v>
      </c>
      <c r="G4645" s="2" t="s">
        <v>10</v>
      </c>
    </row>
    <row r="4646" spans="1:9" x14ac:dyDescent="0.2">
      <c r="A4646" s="2" t="s">
        <v>3785</v>
      </c>
      <c r="B4646" s="2" t="s">
        <v>822</v>
      </c>
      <c r="C4646" s="2">
        <v>638.18910000000005</v>
      </c>
      <c r="D4646" s="2">
        <f>HYPERLINK("http://mcb-m6.bioreg.kyushu-u.ac.jp/M3/20110421/F51024/1713/1", 79.19)</f>
        <v>79.19</v>
      </c>
      <c r="E4646" s="2">
        <v>53.62</v>
      </c>
      <c r="F4646" s="2">
        <v>2</v>
      </c>
      <c r="G4646" s="2" t="s">
        <v>12</v>
      </c>
    </row>
    <row r="4647" spans="1:9" x14ac:dyDescent="0.2">
      <c r="A4647" s="2" t="s">
        <v>7671</v>
      </c>
      <c r="B4647" s="2" t="s">
        <v>6288</v>
      </c>
      <c r="C4647" s="2">
        <v>784.19619999999998</v>
      </c>
      <c r="D4647" s="2">
        <f>HYPERLINK("http://mcb-m6.bioreg.kyushu-u.ac.jp/M3/20110404/F50753/2182/1", 50.96)</f>
        <v>50.96</v>
      </c>
      <c r="E4647" s="2">
        <v>33.78</v>
      </c>
      <c r="F4647" s="2">
        <v>2</v>
      </c>
      <c r="G4647" s="2" t="s">
        <v>9</v>
      </c>
    </row>
    <row r="4648" spans="1:9" x14ac:dyDescent="0.2">
      <c r="A4648" s="2" t="s">
        <v>3247</v>
      </c>
      <c r="B4648" s="2" t="s">
        <v>6713</v>
      </c>
      <c r="C4648" s="2">
        <v>701.25869999999998</v>
      </c>
      <c r="D4648" s="2">
        <f>HYPERLINK("http://mcb-m6.bioreg.kyushu-u.ac.jp/M3/20110404/F50769/1846/1", 37.33)</f>
        <v>37.33</v>
      </c>
      <c r="E4648" s="2">
        <v>27.04</v>
      </c>
      <c r="F4648" s="2">
        <v>2</v>
      </c>
      <c r="G4648" s="2" t="s">
        <v>10</v>
      </c>
    </row>
    <row r="4649" spans="1:9" x14ac:dyDescent="0.2">
      <c r="A4649" s="2" t="s">
        <v>4396</v>
      </c>
      <c r="B4649" s="2" t="s">
        <v>2245</v>
      </c>
      <c r="C4649" s="2">
        <v>463.94810000000001</v>
      </c>
      <c r="D4649" s="2">
        <f>HYPERLINK("http://mcb-m6.bioreg.kyushu-u.ac.jp/M3/20110421/F51022/1546/1", 36.04)</f>
        <v>36.04</v>
      </c>
      <c r="E4649" s="2">
        <v>16.63</v>
      </c>
      <c r="F4649" s="2">
        <v>2</v>
      </c>
      <c r="G4649" s="2" t="s">
        <v>12</v>
      </c>
    </row>
    <row r="4650" spans="1:9" x14ac:dyDescent="0.2">
      <c r="A4650" s="2" t="s">
        <v>3640</v>
      </c>
      <c r="B4650" s="2" t="s">
        <v>559</v>
      </c>
      <c r="C4650" s="2">
        <v>967.54899999999998</v>
      </c>
      <c r="D4650" s="2">
        <f>HYPERLINK("http://mcb-m6.bioreg.kyushu-u.ac.jp/M3/20110404/F50752/1296/1", 35.13)</f>
        <v>35.130000000000003</v>
      </c>
      <c r="E4650" s="2">
        <v>23.43</v>
      </c>
      <c r="F4650" s="2">
        <v>1</v>
      </c>
      <c r="G4650" s="2" t="s">
        <v>9</v>
      </c>
      <c r="H4650" s="2" t="s">
        <v>4904</v>
      </c>
    </row>
    <row r="4651" spans="1:9" x14ac:dyDescent="0.2">
      <c r="A4651" s="2" t="s">
        <v>3640</v>
      </c>
      <c r="B4651" s="2" t="s">
        <v>2176</v>
      </c>
      <c r="C4651" s="2">
        <v>486.60410000000002</v>
      </c>
      <c r="D4651" s="2">
        <f>HYPERLINK("http://mcb-m6.bioreg.kyushu-u.ac.jp/M3/20110427/F51110/1235/1", 42.55)</f>
        <v>42.55</v>
      </c>
      <c r="E4651" s="2">
        <v>14.81</v>
      </c>
      <c r="F4651" s="2">
        <v>2</v>
      </c>
      <c r="G4651" s="2" t="s">
        <v>13</v>
      </c>
      <c r="I4651" s="2" t="s">
        <v>4899</v>
      </c>
    </row>
    <row r="4652" spans="1:9" x14ac:dyDescent="0.2">
      <c r="A4652" s="2" t="s">
        <v>3640</v>
      </c>
      <c r="B4652" s="2" t="s">
        <v>2096</v>
      </c>
      <c r="C4652" s="2">
        <v>751.70259999999996</v>
      </c>
      <c r="D4652" s="2">
        <f>HYPERLINK("http://mcb-m6.bioreg.kyushu-u.ac.jp/M3/20110427/F51110/2234/1", 79.72)</f>
        <v>79.72</v>
      </c>
      <c r="E4652" s="2">
        <v>59.55</v>
      </c>
      <c r="F4652" s="2">
        <v>2</v>
      </c>
      <c r="G4652" s="2" t="s">
        <v>13</v>
      </c>
      <c r="I4652" s="2" t="s">
        <v>4895</v>
      </c>
    </row>
    <row r="4653" spans="1:9" x14ac:dyDescent="0.2">
      <c r="A4653" s="2" t="s">
        <v>3716</v>
      </c>
      <c r="B4653" s="2" t="s">
        <v>1281</v>
      </c>
      <c r="C4653" s="2">
        <v>706.28809999999999</v>
      </c>
      <c r="D4653" s="2">
        <f>HYPERLINK("http://mcb-m6.bioreg.kyushu-u.ac.jp/M3/20110421/F51040/1852/1", 66.81)</f>
        <v>66.81</v>
      </c>
      <c r="E4653" s="2">
        <v>52.92</v>
      </c>
      <c r="F4653" s="2">
        <v>2</v>
      </c>
      <c r="G4653" s="2" t="s">
        <v>11</v>
      </c>
    </row>
    <row r="4654" spans="1:9" x14ac:dyDescent="0.2">
      <c r="A4654" s="2" t="s">
        <v>7530</v>
      </c>
      <c r="B4654" s="2" t="s">
        <v>5926</v>
      </c>
      <c r="C4654" s="2">
        <v>628.74270000000001</v>
      </c>
      <c r="D4654" s="2">
        <f>HYPERLINK("http://mcb-m6.bioreg.kyushu-u.ac.jp/M3/20110404/F50754/1732/1", 36.02)</f>
        <v>36.020000000000003</v>
      </c>
      <c r="E4654" s="2">
        <v>22.74</v>
      </c>
      <c r="F4654" s="2">
        <v>2</v>
      </c>
      <c r="G4654" s="2" t="s">
        <v>9</v>
      </c>
    </row>
    <row r="4655" spans="1:9" x14ac:dyDescent="0.2">
      <c r="A4655" s="2" t="s">
        <v>3949</v>
      </c>
      <c r="B4655" s="2" t="s">
        <v>2435</v>
      </c>
      <c r="C4655" s="2">
        <v>1091.7249999999999</v>
      </c>
      <c r="D4655" s="2">
        <f>HYPERLINK("http://mcb-m6.bioreg.kyushu-u.ac.jp/M3/20110404/F50751/1583/1", 38.1)</f>
        <v>38.1</v>
      </c>
      <c r="E4655" s="2">
        <v>24.45</v>
      </c>
      <c r="F4655" s="2">
        <v>1</v>
      </c>
      <c r="G4655" s="2" t="s">
        <v>9</v>
      </c>
    </row>
    <row r="4656" spans="1:9" x14ac:dyDescent="0.2">
      <c r="A4656" s="2" t="s">
        <v>3949</v>
      </c>
      <c r="B4656" s="2" t="s">
        <v>2180</v>
      </c>
      <c r="C4656" s="2">
        <v>627.49519999999995</v>
      </c>
      <c r="D4656" s="2">
        <f>HYPERLINK("http://mcb-m6.bioreg.kyushu-u.ac.jp/M3/20110404/F50751/1760/1", 61.95)</f>
        <v>61.95</v>
      </c>
      <c r="E4656" s="2">
        <v>31.16</v>
      </c>
      <c r="F4656" s="2">
        <v>2</v>
      </c>
      <c r="G4656" s="2" t="s">
        <v>9</v>
      </c>
    </row>
    <row r="4657" spans="1:9" x14ac:dyDescent="0.2">
      <c r="A4657" s="2" t="s">
        <v>3949</v>
      </c>
      <c r="B4657" s="2" t="s">
        <v>1151</v>
      </c>
      <c r="C4657" s="2">
        <v>847.98910000000001</v>
      </c>
      <c r="D4657" s="2">
        <f>HYPERLINK("http://mcb-m6.bioreg.kyushu-u.ac.jp/M3/20110404/F50751/2330/1", 69.41)</f>
        <v>69.41</v>
      </c>
      <c r="E4657" s="2">
        <v>56.68</v>
      </c>
      <c r="F4657" s="2">
        <v>2</v>
      </c>
      <c r="G4657" s="2" t="s">
        <v>9</v>
      </c>
    </row>
    <row r="4658" spans="1:9" x14ac:dyDescent="0.2">
      <c r="A4658" s="2" t="s">
        <v>3949</v>
      </c>
      <c r="B4658" s="2" t="s">
        <v>1362</v>
      </c>
      <c r="C4658" s="2">
        <v>720.06460000000004</v>
      </c>
      <c r="D4658" s="2">
        <f>HYPERLINK("http://mcb-m6.bioreg.kyushu-u.ac.jp/M3/20110404/F50751/2056/1", 79.69)</f>
        <v>79.69</v>
      </c>
      <c r="E4658" s="2">
        <v>63.79</v>
      </c>
      <c r="F4658" s="2">
        <v>2</v>
      </c>
      <c r="G4658" s="2" t="s">
        <v>9</v>
      </c>
    </row>
    <row r="4659" spans="1:9" x14ac:dyDescent="0.2">
      <c r="A4659" s="2" t="s">
        <v>3949</v>
      </c>
      <c r="B4659" s="2" t="s">
        <v>1222</v>
      </c>
      <c r="C4659" s="2">
        <v>691.2441</v>
      </c>
      <c r="D4659" s="2">
        <f>HYPERLINK("http://mcb-m6.bioreg.kyushu-u.ac.jp/M3/20110421/F51014/1905/1", 43.34)</f>
        <v>43.34</v>
      </c>
      <c r="E4659" s="2">
        <v>23.48</v>
      </c>
      <c r="F4659" s="2">
        <v>2</v>
      </c>
      <c r="G4659" s="2" t="s">
        <v>11</v>
      </c>
    </row>
    <row r="4660" spans="1:9" x14ac:dyDescent="0.2">
      <c r="A4660" s="2" t="s">
        <v>3949</v>
      </c>
      <c r="B4660" s="2" t="s">
        <v>1151</v>
      </c>
      <c r="C4660" s="2">
        <v>847.11869999999999</v>
      </c>
      <c r="D4660" s="2">
        <f>HYPERLINK("http://mcb-m6.bioreg.kyushu-u.ac.jp/M3/20110421/F51014/2520/1", 47.18)</f>
        <v>47.18</v>
      </c>
      <c r="E4660" s="2">
        <v>36.04</v>
      </c>
      <c r="F4660" s="2">
        <v>2</v>
      </c>
      <c r="G4660" s="2" t="s">
        <v>11</v>
      </c>
    </row>
    <row r="4661" spans="1:9" x14ac:dyDescent="0.2">
      <c r="A4661" s="2" t="s">
        <v>3949</v>
      </c>
      <c r="B4661" s="2" t="s">
        <v>2435</v>
      </c>
      <c r="C4661" s="2">
        <v>546.57460000000003</v>
      </c>
      <c r="D4661" s="2">
        <f>HYPERLINK("http://mcb-m6.bioreg.kyushu-u.ac.jp/M3/20110421/F51014/1425/1", 51.92)</f>
        <v>51.92</v>
      </c>
      <c r="E4661" s="2">
        <v>28.94</v>
      </c>
      <c r="F4661" s="2">
        <v>2</v>
      </c>
      <c r="G4661" s="2" t="s">
        <v>11</v>
      </c>
    </row>
    <row r="4662" spans="1:9" x14ac:dyDescent="0.2">
      <c r="A4662" s="2" t="s">
        <v>3949</v>
      </c>
      <c r="B4662" s="2" t="s">
        <v>1151</v>
      </c>
      <c r="C4662" s="2">
        <v>847.76009999999997</v>
      </c>
      <c r="D4662" s="2">
        <f>HYPERLINK("http://mcb-m6.bioreg.kyushu-u.ac.jp/M3/20110421/F51014/2522/1", 55.39)</f>
        <v>55.39</v>
      </c>
      <c r="E4662" s="2">
        <v>37.770000000000003</v>
      </c>
      <c r="F4662" s="2">
        <v>2</v>
      </c>
      <c r="G4662" s="2" t="s">
        <v>11</v>
      </c>
    </row>
    <row r="4663" spans="1:9" x14ac:dyDescent="0.2">
      <c r="A4663" s="2" t="s">
        <v>3949</v>
      </c>
      <c r="B4663" s="2" t="s">
        <v>1362</v>
      </c>
      <c r="C4663" s="2">
        <v>719.86720000000003</v>
      </c>
      <c r="D4663" s="2">
        <f>HYPERLINK("http://mcb-m6.bioreg.kyushu-u.ac.jp/M3/20110421/F51014/2045/1", 85.7)</f>
        <v>85.7</v>
      </c>
      <c r="E4663" s="2">
        <v>66.67</v>
      </c>
      <c r="F4663" s="2">
        <v>2</v>
      </c>
      <c r="G4663" s="2" t="s">
        <v>11</v>
      </c>
    </row>
    <row r="4664" spans="1:9" x14ac:dyDescent="0.2">
      <c r="A4664" s="2" t="s">
        <v>3949</v>
      </c>
      <c r="B4664" s="2" t="s">
        <v>2180</v>
      </c>
      <c r="C4664" s="2">
        <v>627.15869999999995</v>
      </c>
      <c r="D4664" s="2">
        <f>HYPERLINK("http://mcb-m6.bioreg.kyushu-u.ac.jp/M3/20110427/F51108/1643/1", 41.79)</f>
        <v>41.79</v>
      </c>
      <c r="E4664" s="2">
        <v>10.15</v>
      </c>
      <c r="F4664" s="2">
        <v>2</v>
      </c>
      <c r="G4664" s="2" t="s">
        <v>13</v>
      </c>
    </row>
    <row r="4665" spans="1:9" x14ac:dyDescent="0.2">
      <c r="A4665" s="2" t="s">
        <v>3949</v>
      </c>
      <c r="B4665" s="2" t="s">
        <v>2435</v>
      </c>
      <c r="C4665" s="2">
        <v>546.5566</v>
      </c>
      <c r="D4665" s="2">
        <f>HYPERLINK("http://mcb-m6.bioreg.kyushu-u.ac.jp/M3/20110427/F51108/1392/1", 52.13)</f>
        <v>52.13</v>
      </c>
      <c r="E4665" s="2">
        <v>29.26</v>
      </c>
      <c r="F4665" s="2">
        <v>2</v>
      </c>
      <c r="G4665" s="2" t="s">
        <v>13</v>
      </c>
    </row>
    <row r="4666" spans="1:9" x14ac:dyDescent="0.2">
      <c r="A4666" s="2" t="s">
        <v>3949</v>
      </c>
      <c r="B4666" s="2" t="s">
        <v>1151</v>
      </c>
      <c r="C4666" s="2">
        <v>847.14760000000001</v>
      </c>
      <c r="D4666" s="2">
        <f>HYPERLINK("http://mcb-m6.bioreg.kyushu-u.ac.jp/M3/20110427/F51108/2437/1", 55.23)</f>
        <v>55.23</v>
      </c>
      <c r="E4666" s="2">
        <v>36.43</v>
      </c>
      <c r="F4666" s="2">
        <v>2</v>
      </c>
      <c r="G4666" s="2" t="s">
        <v>13</v>
      </c>
    </row>
    <row r="4667" spans="1:9" x14ac:dyDescent="0.2">
      <c r="A4667" s="2" t="s">
        <v>3949</v>
      </c>
      <c r="B4667" s="2" t="s">
        <v>7405</v>
      </c>
      <c r="C4667" s="2">
        <v>484.6771</v>
      </c>
      <c r="D4667" s="2">
        <f>HYPERLINK("http://mcb-m6.bioreg.kyushu-u.ac.jp/M3/20110427/F51108/1160/1", 60.54)</f>
        <v>60.54</v>
      </c>
      <c r="E4667" s="2">
        <v>41.62</v>
      </c>
      <c r="F4667" s="2">
        <v>2</v>
      </c>
      <c r="G4667" s="2" t="s">
        <v>13</v>
      </c>
    </row>
    <row r="4668" spans="1:9" x14ac:dyDescent="0.2">
      <c r="A4668" s="2" t="s">
        <v>3949</v>
      </c>
      <c r="B4668" s="2" t="s">
        <v>1362</v>
      </c>
      <c r="C4668" s="2">
        <v>720.15260000000001</v>
      </c>
      <c r="D4668" s="2">
        <f>HYPERLINK("http://mcb-m6.bioreg.kyushu-u.ac.jp/M3/20110427/F51108/1986/1", 71.66)</f>
        <v>71.66</v>
      </c>
      <c r="E4668" s="2">
        <v>56.54</v>
      </c>
      <c r="F4668" s="2">
        <v>2</v>
      </c>
      <c r="G4668" s="2" t="s">
        <v>13</v>
      </c>
    </row>
    <row r="4669" spans="1:9" x14ac:dyDescent="0.2">
      <c r="A4669" s="2" t="s">
        <v>3507</v>
      </c>
      <c r="B4669" s="2" t="s">
        <v>6052</v>
      </c>
      <c r="C4669" s="2">
        <v>610.70259999999996</v>
      </c>
      <c r="D4669" s="2">
        <f>HYPERLINK("http://mcb-m6.bioreg.kyushu-u.ac.jp/M3/20110404/F50755/1428/1", 40.33)</f>
        <v>40.33</v>
      </c>
      <c r="E4669" s="2">
        <v>16.559999999999999</v>
      </c>
      <c r="F4669" s="2">
        <v>2</v>
      </c>
      <c r="G4669" s="2" t="s">
        <v>9</v>
      </c>
      <c r="I4669" s="2" t="s">
        <v>4890</v>
      </c>
    </row>
    <row r="4670" spans="1:9" x14ac:dyDescent="0.2">
      <c r="A4670" s="2" t="s">
        <v>3507</v>
      </c>
      <c r="B4670" s="2" t="s">
        <v>6133</v>
      </c>
      <c r="C4670" s="2">
        <v>467.68509999999998</v>
      </c>
      <c r="D4670" s="2">
        <f>HYPERLINK("http://mcb-m6.bioreg.kyushu-u.ac.jp/M3/20110404/F50755/951/1", 43.96)</f>
        <v>43.96</v>
      </c>
      <c r="E4670" s="2">
        <v>17.12</v>
      </c>
      <c r="F4670" s="2">
        <v>2</v>
      </c>
      <c r="G4670" s="2" t="s">
        <v>9</v>
      </c>
    </row>
    <row r="4671" spans="1:9" x14ac:dyDescent="0.2">
      <c r="A4671" s="2" t="s">
        <v>3507</v>
      </c>
      <c r="B4671" s="2" t="s">
        <v>5444</v>
      </c>
      <c r="C4671" s="2">
        <v>685.12660000000005</v>
      </c>
      <c r="D4671" s="2">
        <f>HYPERLINK("http://mcb-m6.bioreg.kyushu-u.ac.jp/M3/20110404/F50755/1677/1", 58.85)</f>
        <v>58.85</v>
      </c>
      <c r="E4671" s="2">
        <v>45.2</v>
      </c>
      <c r="F4671" s="2">
        <v>2</v>
      </c>
      <c r="G4671" s="2" t="s">
        <v>9</v>
      </c>
      <c r="I4671" s="2" t="s">
        <v>4899</v>
      </c>
    </row>
    <row r="4672" spans="1:9" x14ac:dyDescent="0.2">
      <c r="A4672" s="2" t="s">
        <v>3507</v>
      </c>
      <c r="B4672" s="2" t="s">
        <v>5410</v>
      </c>
      <c r="C4672" s="2">
        <v>683.27070000000003</v>
      </c>
      <c r="D4672" s="2">
        <f>HYPERLINK("http://mcb-m6.bioreg.kyushu-u.ac.jp/M3/20110404/F50755/1669/1", 63.31)</f>
        <v>63.31</v>
      </c>
      <c r="E4672" s="2">
        <v>46.98</v>
      </c>
      <c r="F4672" s="2">
        <v>2</v>
      </c>
      <c r="G4672" s="2" t="s">
        <v>9</v>
      </c>
      <c r="I4672" s="2" t="s">
        <v>4923</v>
      </c>
    </row>
    <row r="4673" spans="1:9" x14ac:dyDescent="0.2">
      <c r="A4673" s="2" t="s">
        <v>3507</v>
      </c>
      <c r="B4673" s="2" t="s">
        <v>1592</v>
      </c>
      <c r="C4673" s="2">
        <v>721.21310000000005</v>
      </c>
      <c r="D4673" s="2">
        <f>HYPERLINK("http://mcb-m6.bioreg.kyushu-u.ac.jp/M3/20110404/F50755/1862/1", 88.67)</f>
        <v>88.67</v>
      </c>
      <c r="E4673" s="2">
        <v>65.28</v>
      </c>
      <c r="F4673" s="2">
        <v>2</v>
      </c>
      <c r="G4673" s="2" t="s">
        <v>9</v>
      </c>
    </row>
    <row r="4674" spans="1:9" x14ac:dyDescent="0.2">
      <c r="A4674" s="2" t="s">
        <v>3507</v>
      </c>
      <c r="B4674" s="2" t="s">
        <v>2606</v>
      </c>
      <c r="C4674" s="2">
        <v>583.14260000000002</v>
      </c>
      <c r="D4674" s="2">
        <f>HYPERLINK("http://mcb-m6.bioreg.kyushu-u.ac.jp/M3/20110404/F50755/1306/1", 91.15)</f>
        <v>91.15</v>
      </c>
      <c r="E4674" s="2">
        <v>68.650000000000006</v>
      </c>
      <c r="F4674" s="2">
        <v>2</v>
      </c>
      <c r="G4674" s="2" t="s">
        <v>9</v>
      </c>
    </row>
    <row r="4675" spans="1:9" x14ac:dyDescent="0.2">
      <c r="A4675" s="2" t="s">
        <v>3507</v>
      </c>
      <c r="B4675" s="2" t="s">
        <v>345</v>
      </c>
      <c r="C4675" s="2">
        <v>899.29909999999995</v>
      </c>
      <c r="D4675" s="2">
        <f>HYPERLINK("http://mcb-m6.bioreg.kyushu-u.ac.jp/M3/20110404/F50760/2403/1", 84.23)</f>
        <v>84.23</v>
      </c>
      <c r="E4675" s="2">
        <v>61.72</v>
      </c>
      <c r="F4675" s="2">
        <v>2</v>
      </c>
      <c r="G4675" s="2" t="s">
        <v>10</v>
      </c>
    </row>
    <row r="4676" spans="1:9" x14ac:dyDescent="0.2">
      <c r="A4676" s="2" t="s">
        <v>3507</v>
      </c>
      <c r="B4676" s="2" t="s">
        <v>1592</v>
      </c>
      <c r="C4676" s="2">
        <v>720.87159999999994</v>
      </c>
      <c r="D4676" s="2">
        <f>HYPERLINK("http://mcb-m6.bioreg.kyushu-u.ac.jp/M3/20110404/F50760/1775/1", 95.31)</f>
        <v>95.31</v>
      </c>
      <c r="E4676" s="2">
        <v>76.040000000000006</v>
      </c>
      <c r="F4676" s="2">
        <v>2</v>
      </c>
      <c r="G4676" s="2" t="s">
        <v>10</v>
      </c>
    </row>
    <row r="4677" spans="1:9" x14ac:dyDescent="0.2">
      <c r="A4677" s="2" t="s">
        <v>3507</v>
      </c>
      <c r="B4677" s="2" t="s">
        <v>345</v>
      </c>
      <c r="C4677" s="2">
        <v>899.9547</v>
      </c>
      <c r="D4677" s="2">
        <f>HYPERLINK("http://mcb-m6.bioreg.kyushu-u.ac.jp/M3/20110421/F51058/2546/1", 39.85)</f>
        <v>39.85</v>
      </c>
      <c r="E4677" s="2">
        <v>30.68</v>
      </c>
      <c r="F4677" s="2">
        <v>2</v>
      </c>
      <c r="G4677" s="2" t="s">
        <v>11</v>
      </c>
    </row>
    <row r="4678" spans="1:9" x14ac:dyDescent="0.2">
      <c r="A4678" s="2" t="s">
        <v>3507</v>
      </c>
      <c r="B4678" s="2" t="s">
        <v>345</v>
      </c>
      <c r="C4678" s="2">
        <v>899.31569999999999</v>
      </c>
      <c r="D4678" s="2">
        <f>HYPERLINK("http://mcb-m6.bioreg.kyushu-u.ac.jp/M3/20110421/F51058/2536/1", 50.8)</f>
        <v>50.8</v>
      </c>
      <c r="E4678" s="2">
        <v>27.1</v>
      </c>
      <c r="F4678" s="2">
        <v>2</v>
      </c>
      <c r="G4678" s="2" t="s">
        <v>11</v>
      </c>
    </row>
    <row r="4679" spans="1:9" x14ac:dyDescent="0.2">
      <c r="A4679" s="2" t="s">
        <v>3507</v>
      </c>
      <c r="B4679" s="2" t="s">
        <v>345</v>
      </c>
      <c r="C4679" s="2">
        <v>899.38670000000002</v>
      </c>
      <c r="D4679" s="2">
        <f>HYPERLINK("http://mcb-m6.bioreg.kyushu-u.ac.jp/M3/20110421/F51059/2491/1", 45.63)</f>
        <v>45.63</v>
      </c>
      <c r="E4679" s="2">
        <v>33.06</v>
      </c>
      <c r="F4679" s="2">
        <v>2</v>
      </c>
      <c r="G4679" s="2" t="s">
        <v>12</v>
      </c>
    </row>
    <row r="4680" spans="1:9" x14ac:dyDescent="0.2">
      <c r="A4680" s="2" t="s">
        <v>3507</v>
      </c>
      <c r="B4680" s="2" t="s">
        <v>1592</v>
      </c>
      <c r="C4680" s="2">
        <v>721.41859999999997</v>
      </c>
      <c r="D4680" s="2">
        <f>HYPERLINK("http://mcb-m6.bioreg.kyushu-u.ac.jp/M3/20110421/F51059/1713/1", 97.47)</f>
        <v>97.47</v>
      </c>
      <c r="E4680" s="2">
        <v>72.39</v>
      </c>
      <c r="F4680" s="2">
        <v>2</v>
      </c>
      <c r="G4680" s="2" t="s">
        <v>12</v>
      </c>
    </row>
    <row r="4681" spans="1:9" x14ac:dyDescent="0.2">
      <c r="A4681" s="2" t="s">
        <v>3507</v>
      </c>
      <c r="B4681" s="2" t="s">
        <v>345</v>
      </c>
      <c r="C4681" s="2">
        <v>899.1807</v>
      </c>
      <c r="D4681" s="2">
        <f>HYPERLINK("http://mcb-m6.bioreg.kyushu-u.ac.jp/M3/20110428/F51131/2571/1", 64.38)</f>
        <v>64.38</v>
      </c>
      <c r="E4681" s="2">
        <v>46.46</v>
      </c>
      <c r="F4681" s="2">
        <v>2</v>
      </c>
      <c r="G4681" s="2" t="s">
        <v>13</v>
      </c>
    </row>
    <row r="4682" spans="1:9" x14ac:dyDescent="0.2">
      <c r="A4682" s="2" t="s">
        <v>7622</v>
      </c>
      <c r="B4682" s="2" t="s">
        <v>6141</v>
      </c>
      <c r="C4682" s="2">
        <v>619.07920000000001</v>
      </c>
      <c r="D4682" s="2">
        <f>HYPERLINK("http://mcb-m6.bioreg.kyushu-u.ac.jp/M3/20110404/F50753/1575/1", 44.15)</f>
        <v>44.15</v>
      </c>
      <c r="E4682" s="2">
        <v>24.4</v>
      </c>
      <c r="F4682" s="2">
        <v>2</v>
      </c>
      <c r="G4682" s="2" t="s">
        <v>9</v>
      </c>
    </row>
    <row r="4683" spans="1:9" x14ac:dyDescent="0.2">
      <c r="A4683" s="2" t="s">
        <v>7622</v>
      </c>
      <c r="B4683" s="2" t="s">
        <v>6266</v>
      </c>
      <c r="C4683" s="2">
        <v>933.19870000000003</v>
      </c>
      <c r="D4683" s="2">
        <f>HYPERLINK("http://mcb-m6.bioreg.kyushu-u.ac.jp/M3/20110404/F50753/2724/1", 50.15)</f>
        <v>50.15</v>
      </c>
      <c r="E4683" s="2">
        <v>40.94</v>
      </c>
      <c r="F4683" s="2">
        <v>2</v>
      </c>
      <c r="G4683" s="2" t="s">
        <v>9</v>
      </c>
      <c r="H4683" s="2" t="s">
        <v>4915</v>
      </c>
      <c r="I4683" s="2" t="s">
        <v>4914</v>
      </c>
    </row>
    <row r="4684" spans="1:9" x14ac:dyDescent="0.2">
      <c r="A4684" s="2" t="s">
        <v>4577</v>
      </c>
      <c r="B4684" s="2" t="s">
        <v>5973</v>
      </c>
      <c r="C4684" s="2">
        <v>540.34469999999999</v>
      </c>
      <c r="D4684" s="2">
        <f>HYPERLINK("http://mcb-m6.bioreg.kyushu-u.ac.jp/M3/20110404/F50755/1154/1", 37.38)</f>
        <v>37.380000000000003</v>
      </c>
      <c r="E4684" s="2">
        <v>11.28</v>
      </c>
      <c r="F4684" s="2">
        <v>2</v>
      </c>
      <c r="G4684" s="2" t="s">
        <v>9</v>
      </c>
    </row>
    <row r="4685" spans="1:9" x14ac:dyDescent="0.2">
      <c r="A4685" s="2" t="s">
        <v>4577</v>
      </c>
      <c r="B4685" s="2" t="s">
        <v>6273</v>
      </c>
      <c r="C4685" s="2">
        <v>803.8981</v>
      </c>
      <c r="D4685" s="2">
        <f>HYPERLINK("http://mcb-m6.bioreg.kyushu-u.ac.jp/M3/20110404/F50755/2268/1", 50.45)</f>
        <v>50.45</v>
      </c>
      <c r="E4685" s="2">
        <v>38.67</v>
      </c>
      <c r="F4685" s="2">
        <v>2</v>
      </c>
      <c r="G4685" s="2" t="s">
        <v>9</v>
      </c>
    </row>
    <row r="4686" spans="1:9" x14ac:dyDescent="0.2">
      <c r="A4686" s="2" t="s">
        <v>4577</v>
      </c>
      <c r="B4686" s="2" t="s">
        <v>6384</v>
      </c>
      <c r="C4686" s="2">
        <v>804.32920000000001</v>
      </c>
      <c r="D4686" s="2">
        <f>HYPERLINK("http://mcb-m6.bioreg.kyushu-u.ac.jp/M3/20110404/F50755/2269/1", 57.92)</f>
        <v>57.92</v>
      </c>
      <c r="E4686" s="2">
        <v>41.26</v>
      </c>
      <c r="F4686" s="2">
        <v>2</v>
      </c>
      <c r="G4686" s="2" t="s">
        <v>9</v>
      </c>
    </row>
    <row r="4687" spans="1:9" x14ac:dyDescent="0.2">
      <c r="A4687" s="2" t="s">
        <v>4577</v>
      </c>
      <c r="B4687" s="2" t="s">
        <v>2798</v>
      </c>
      <c r="C4687" s="2">
        <v>600.55909999999994</v>
      </c>
      <c r="D4687" s="2">
        <f>HYPERLINK("http://mcb-m6.bioreg.kyushu-u.ac.jp/M3/20110404/F50760/1327/1", 40.88)</f>
        <v>40.880000000000003</v>
      </c>
      <c r="E4687" s="2">
        <v>22.62</v>
      </c>
      <c r="F4687" s="2">
        <v>2</v>
      </c>
      <c r="G4687" s="2" t="s">
        <v>10</v>
      </c>
    </row>
    <row r="4688" spans="1:9" x14ac:dyDescent="0.2">
      <c r="A4688" s="2" t="s">
        <v>4577</v>
      </c>
      <c r="B4688" s="2" t="s">
        <v>6811</v>
      </c>
      <c r="C4688" s="2">
        <v>859.26099999999997</v>
      </c>
      <c r="D4688" s="2">
        <f>HYPERLINK("http://mcb-m6.bioreg.kyushu-u.ac.jp/M3/20110404/F50760/806/1", 45.14)</f>
        <v>45.14</v>
      </c>
      <c r="E4688" s="2">
        <v>21.36</v>
      </c>
      <c r="F4688" s="2">
        <v>1</v>
      </c>
      <c r="G4688" s="2" t="s">
        <v>10</v>
      </c>
    </row>
    <row r="4689" spans="1:9" x14ac:dyDescent="0.2">
      <c r="A4689" s="2" t="s">
        <v>4577</v>
      </c>
      <c r="B4689" s="2" t="s">
        <v>2630</v>
      </c>
      <c r="C4689" s="2">
        <v>561.15620000000001</v>
      </c>
      <c r="D4689" s="2">
        <f>HYPERLINK("http://mcb-m6.bioreg.kyushu-u.ac.jp/M3/20110404/F50760/1165/1", 62.18)</f>
        <v>62.18</v>
      </c>
      <c r="E4689" s="2">
        <v>32.97</v>
      </c>
      <c r="F4689" s="2">
        <v>2</v>
      </c>
      <c r="G4689" s="2" t="s">
        <v>10</v>
      </c>
      <c r="I4689" s="2" t="s">
        <v>4895</v>
      </c>
    </row>
    <row r="4690" spans="1:9" x14ac:dyDescent="0.2">
      <c r="A4690" s="2" t="s">
        <v>7863</v>
      </c>
      <c r="B4690" s="2" t="s">
        <v>6856</v>
      </c>
      <c r="C4690" s="2">
        <v>756.30909999999994</v>
      </c>
      <c r="D4690" s="2">
        <f>HYPERLINK("http://mcb-m6.bioreg.kyushu-u.ac.jp/M3/20110404/F50761/1895/1", 50.31)</f>
        <v>50.31</v>
      </c>
      <c r="E4690" s="2">
        <v>38</v>
      </c>
      <c r="F4690" s="2">
        <v>2</v>
      </c>
      <c r="G4690" s="2" t="s">
        <v>10</v>
      </c>
    </row>
    <row r="4691" spans="1:9" x14ac:dyDescent="0.2">
      <c r="A4691" s="2" t="s">
        <v>7575</v>
      </c>
      <c r="B4691" s="2" t="s">
        <v>6019</v>
      </c>
      <c r="C4691" s="2">
        <v>959.48</v>
      </c>
      <c r="D4691" s="2">
        <f>HYPERLINK("http://mcb-m6.bioreg.kyushu-u.ac.jp/M3/20110404/F50764/928/1", 39.01)</f>
        <v>39.01</v>
      </c>
      <c r="E4691" s="2">
        <v>23.15</v>
      </c>
      <c r="F4691" s="2">
        <v>1</v>
      </c>
      <c r="G4691" s="2" t="s">
        <v>9</v>
      </c>
    </row>
    <row r="4692" spans="1:9" x14ac:dyDescent="0.2">
      <c r="A4692" s="2" t="s">
        <v>7575</v>
      </c>
      <c r="B4692" s="2" t="s">
        <v>6825</v>
      </c>
      <c r="C4692" s="2">
        <v>772.47799999999995</v>
      </c>
      <c r="D4692" s="2">
        <f>HYPERLINK("http://mcb-m6.bioreg.kyushu-u.ac.jp/M3/20110404/F50770/832/1", 46.66)</f>
        <v>46.66</v>
      </c>
      <c r="E4692" s="2">
        <v>5.04</v>
      </c>
      <c r="F4692" s="2">
        <v>1</v>
      </c>
      <c r="G4692" s="2" t="s">
        <v>10</v>
      </c>
    </row>
    <row r="4693" spans="1:9" x14ac:dyDescent="0.2">
      <c r="A4693" s="2" t="s">
        <v>7586</v>
      </c>
      <c r="B4693" s="2" t="s">
        <v>6046</v>
      </c>
      <c r="C4693" s="2">
        <v>486.2371</v>
      </c>
      <c r="D4693" s="2">
        <f>HYPERLINK("http://mcb-m6.bioreg.kyushu-u.ac.jp/M3/20110404/F50764/950/1", 40.11)</f>
        <v>40.11</v>
      </c>
      <c r="E4693" s="2">
        <v>14.44</v>
      </c>
      <c r="F4693" s="2">
        <v>2</v>
      </c>
      <c r="G4693" s="2" t="s">
        <v>9</v>
      </c>
      <c r="H4693" s="2" t="s">
        <v>4908</v>
      </c>
    </row>
    <row r="4694" spans="1:9" x14ac:dyDescent="0.2">
      <c r="A4694" s="2" t="s">
        <v>7586</v>
      </c>
      <c r="B4694" s="2" t="s">
        <v>6095</v>
      </c>
      <c r="C4694" s="2">
        <v>1129.557</v>
      </c>
      <c r="D4694" s="2">
        <f>HYPERLINK("http://mcb-m6.bioreg.kyushu-u.ac.jp/M3/20110404/F50764/1181/1", 42.01)</f>
        <v>42.01</v>
      </c>
      <c r="E4694" s="2">
        <v>24.77</v>
      </c>
      <c r="F4694" s="2">
        <v>1</v>
      </c>
      <c r="G4694" s="2" t="s">
        <v>9</v>
      </c>
    </row>
    <row r="4695" spans="1:9" x14ac:dyDescent="0.2">
      <c r="A4695" s="2" t="s">
        <v>7586</v>
      </c>
      <c r="B4695" s="2" t="s">
        <v>6132</v>
      </c>
      <c r="C4695" s="2">
        <v>817.37099999999998</v>
      </c>
      <c r="D4695" s="2">
        <f>HYPERLINK("http://mcb-m6.bioreg.kyushu-u.ac.jp/M3/20110404/F50764/711/1", 43.91)</f>
        <v>43.91</v>
      </c>
      <c r="E4695" s="2">
        <v>19.48</v>
      </c>
      <c r="F4695" s="2">
        <v>1</v>
      </c>
      <c r="G4695" s="2" t="s">
        <v>9</v>
      </c>
    </row>
    <row r="4696" spans="1:9" x14ac:dyDescent="0.2">
      <c r="A4696" s="2" t="s">
        <v>7586</v>
      </c>
      <c r="B4696" s="2" t="s">
        <v>6192</v>
      </c>
      <c r="C4696" s="2">
        <v>641.32569999999998</v>
      </c>
      <c r="D4696" s="2">
        <f>HYPERLINK("http://mcb-m6.bioreg.kyushu-u.ac.jp/M3/20110404/F50764/1452/1", 46.11)</f>
        <v>46.11</v>
      </c>
      <c r="E4696" s="2">
        <v>31.56</v>
      </c>
      <c r="F4696" s="2">
        <v>2</v>
      </c>
      <c r="G4696" s="2" t="s">
        <v>9</v>
      </c>
    </row>
    <row r="4697" spans="1:9" x14ac:dyDescent="0.2">
      <c r="A4697" s="2" t="s">
        <v>7586</v>
      </c>
      <c r="B4697" s="2" t="s">
        <v>6201</v>
      </c>
      <c r="C4697" s="2">
        <v>756.28859999999997</v>
      </c>
      <c r="D4697" s="2">
        <f>HYPERLINK("http://mcb-m6.bioreg.kyushu-u.ac.jp/M3/20110404/F50764/1945/1", 46.26)</f>
        <v>46.26</v>
      </c>
      <c r="E4697" s="2">
        <v>29.49</v>
      </c>
      <c r="F4697" s="2">
        <v>2</v>
      </c>
      <c r="G4697" s="2" t="s">
        <v>9</v>
      </c>
      <c r="H4697" s="2" t="s">
        <v>4904</v>
      </c>
    </row>
    <row r="4698" spans="1:9" x14ac:dyDescent="0.2">
      <c r="A4698" s="2" t="s">
        <v>7586</v>
      </c>
      <c r="B4698" s="2" t="s">
        <v>6202</v>
      </c>
      <c r="C4698" s="2">
        <v>646.24369999999999</v>
      </c>
      <c r="D4698" s="2">
        <f>HYPERLINK("http://mcb-m6.bioreg.kyushu-u.ac.jp/M3/20110404/F50764/1465/1", 46.28)</f>
        <v>46.28</v>
      </c>
      <c r="E4698" s="2">
        <v>21.57</v>
      </c>
      <c r="F4698" s="2">
        <v>2</v>
      </c>
      <c r="G4698" s="2" t="s">
        <v>9</v>
      </c>
    </row>
    <row r="4699" spans="1:9" x14ac:dyDescent="0.2">
      <c r="A4699" s="2" t="s">
        <v>7586</v>
      </c>
      <c r="B4699" s="2" t="s">
        <v>6242</v>
      </c>
      <c r="C4699" s="2">
        <v>475.1216</v>
      </c>
      <c r="D4699" s="2">
        <f>HYPERLINK("http://mcb-m6.bioreg.kyushu-u.ac.jp/M3/20110404/F50764/895/1", 48.6)</f>
        <v>48.6</v>
      </c>
      <c r="E4699" s="2">
        <v>22.04</v>
      </c>
      <c r="F4699" s="2">
        <v>2</v>
      </c>
      <c r="G4699" s="2" t="s">
        <v>9</v>
      </c>
    </row>
    <row r="4700" spans="1:9" x14ac:dyDescent="0.2">
      <c r="A4700" s="2" t="s">
        <v>7586</v>
      </c>
      <c r="B4700" s="2" t="s">
        <v>6253</v>
      </c>
      <c r="C4700" s="2">
        <v>730.33259999999996</v>
      </c>
      <c r="D4700" s="2">
        <f>HYPERLINK("http://mcb-m6.bioreg.kyushu-u.ac.jp/M3/20110404/F50764/1838/1", 49.33)</f>
        <v>49.33</v>
      </c>
      <c r="E4700" s="2">
        <v>34.47</v>
      </c>
      <c r="F4700" s="2">
        <v>2</v>
      </c>
      <c r="G4700" s="2" t="s">
        <v>9</v>
      </c>
    </row>
    <row r="4701" spans="1:9" x14ac:dyDescent="0.2">
      <c r="A4701" s="2" t="s">
        <v>7586</v>
      </c>
      <c r="B4701" s="2" t="s">
        <v>6260</v>
      </c>
      <c r="C4701" s="2">
        <v>677.58870000000002</v>
      </c>
      <c r="D4701" s="2">
        <f>HYPERLINK("http://mcb-m6.bioreg.kyushu-u.ac.jp/M3/20110404/F50764/1559/1", 49.76)</f>
        <v>49.76</v>
      </c>
      <c r="E4701" s="2">
        <v>37.42</v>
      </c>
      <c r="F4701" s="2">
        <v>2</v>
      </c>
      <c r="G4701" s="2" t="s">
        <v>9</v>
      </c>
    </row>
    <row r="4702" spans="1:9" x14ac:dyDescent="0.2">
      <c r="A4702" s="2" t="s">
        <v>7586</v>
      </c>
      <c r="B4702" s="2" t="s">
        <v>6260</v>
      </c>
      <c r="C4702" s="2">
        <v>677.76260000000002</v>
      </c>
      <c r="D4702" s="2">
        <f>HYPERLINK("http://mcb-m6.bioreg.kyushu-u.ac.jp/M3/20110404/F50765/1518/1", 55.14)</f>
        <v>55.14</v>
      </c>
      <c r="E4702" s="2">
        <v>35.65</v>
      </c>
      <c r="F4702" s="2">
        <v>2</v>
      </c>
      <c r="G4702" s="2" t="s">
        <v>9</v>
      </c>
    </row>
    <row r="4703" spans="1:9" x14ac:dyDescent="0.2">
      <c r="A4703" s="2" t="s">
        <v>7586</v>
      </c>
      <c r="B4703" s="2" t="s">
        <v>6370</v>
      </c>
      <c r="C4703" s="2">
        <v>701.40719999999999</v>
      </c>
      <c r="D4703" s="2">
        <f>HYPERLINK("http://mcb-m6.bioreg.kyushu-u.ac.jp/M3/20110404/F50764/1693/1", 57.08)</f>
        <v>57.08</v>
      </c>
      <c r="E4703" s="2">
        <v>40.92</v>
      </c>
      <c r="F4703" s="2">
        <v>2</v>
      </c>
      <c r="G4703" s="2" t="s">
        <v>9</v>
      </c>
    </row>
    <row r="4704" spans="1:9" x14ac:dyDescent="0.2">
      <c r="A4704" s="2" t="s">
        <v>7586</v>
      </c>
      <c r="B4704" s="2" t="s">
        <v>6253</v>
      </c>
      <c r="C4704" s="2">
        <v>730.86770000000001</v>
      </c>
      <c r="D4704" s="2">
        <f>HYPERLINK("http://mcb-m6.bioreg.kyushu-u.ac.jp/M3/20110404/F50764/1845/1", 59.19)</f>
        <v>59.19</v>
      </c>
      <c r="E4704" s="2">
        <v>43.91</v>
      </c>
      <c r="F4704" s="2">
        <v>2</v>
      </c>
      <c r="G4704" s="2" t="s">
        <v>9</v>
      </c>
    </row>
    <row r="4705" spans="1:9" x14ac:dyDescent="0.2">
      <c r="A4705" s="2" t="s">
        <v>7586</v>
      </c>
      <c r="B4705" s="2" t="s">
        <v>6433</v>
      </c>
      <c r="C4705" s="2">
        <v>772.44119999999998</v>
      </c>
      <c r="D4705" s="2">
        <f>HYPERLINK("http://mcb-m6.bioreg.kyushu-u.ac.jp/M3/20110404/F50764/1996/1", 63.97)</f>
        <v>63.97</v>
      </c>
      <c r="E4705" s="2">
        <v>31.8</v>
      </c>
      <c r="F4705" s="2">
        <v>2</v>
      </c>
      <c r="G4705" s="2" t="s">
        <v>9</v>
      </c>
      <c r="I4705" s="2" t="s">
        <v>4923</v>
      </c>
    </row>
    <row r="4706" spans="1:9" x14ac:dyDescent="0.2">
      <c r="A4706" s="2" t="s">
        <v>7586</v>
      </c>
      <c r="B4706" s="2" t="s">
        <v>6451</v>
      </c>
      <c r="C4706" s="2">
        <v>668.0847</v>
      </c>
      <c r="D4706" s="2">
        <f>HYPERLINK("http://mcb-m6.bioreg.kyushu-u.ac.jp/M3/20110404/F50764/1532/1", 65.91)</f>
        <v>65.91</v>
      </c>
      <c r="E4706" s="2">
        <v>39.47</v>
      </c>
      <c r="F4706" s="2">
        <v>2</v>
      </c>
      <c r="G4706" s="2" t="s">
        <v>9</v>
      </c>
    </row>
    <row r="4707" spans="1:9" x14ac:dyDescent="0.2">
      <c r="A4707" s="2" t="s">
        <v>7586</v>
      </c>
      <c r="B4707" s="2" t="s">
        <v>6540</v>
      </c>
      <c r="C4707" s="2">
        <v>669.36770000000001</v>
      </c>
      <c r="D4707" s="2">
        <f>HYPERLINK("http://mcb-m6.bioreg.kyushu-u.ac.jp/M3/20110404/F50764/1538/1", 76.87)</f>
        <v>76.87</v>
      </c>
      <c r="E4707" s="2">
        <v>49.95</v>
      </c>
      <c r="F4707" s="2">
        <v>2</v>
      </c>
      <c r="G4707" s="2" t="s">
        <v>9</v>
      </c>
    </row>
    <row r="4708" spans="1:9" x14ac:dyDescent="0.2">
      <c r="A4708" s="2" t="s">
        <v>7586</v>
      </c>
      <c r="B4708" s="2" t="s">
        <v>6595</v>
      </c>
      <c r="C4708" s="2">
        <v>799.37220000000002</v>
      </c>
      <c r="D4708" s="2">
        <f>HYPERLINK("http://mcb-m6.bioreg.kyushu-u.ac.jp/M3/20110404/F50765/2107/1", 88.42)</f>
        <v>88.42</v>
      </c>
      <c r="E4708" s="2">
        <v>69.59</v>
      </c>
      <c r="F4708" s="2">
        <v>2</v>
      </c>
      <c r="G4708" s="2" t="s">
        <v>9</v>
      </c>
      <c r="I4708" s="2" t="s">
        <v>4918</v>
      </c>
    </row>
    <row r="4709" spans="1:9" x14ac:dyDescent="0.2">
      <c r="A4709" s="2" t="s">
        <v>7586</v>
      </c>
      <c r="B4709" s="2" t="s">
        <v>6595</v>
      </c>
      <c r="C4709" s="2">
        <v>799.43020000000001</v>
      </c>
      <c r="D4709" s="2">
        <f>HYPERLINK("http://mcb-m6.bioreg.kyushu-u.ac.jp/M3/20110404/F50764/2108/1", 96.04)</f>
        <v>96.04</v>
      </c>
      <c r="E4709" s="2">
        <v>77.5</v>
      </c>
      <c r="F4709" s="2">
        <v>2</v>
      </c>
      <c r="G4709" s="2" t="s">
        <v>9</v>
      </c>
      <c r="I4709" s="2" t="s">
        <v>4918</v>
      </c>
    </row>
    <row r="4710" spans="1:9" x14ac:dyDescent="0.2">
      <c r="A4710" s="2" t="s">
        <v>7586</v>
      </c>
      <c r="B4710" s="2" t="s">
        <v>6628</v>
      </c>
      <c r="C4710" s="2">
        <v>811.84370000000001</v>
      </c>
      <c r="D4710" s="2">
        <f>HYPERLINK("http://mcb-m6.bioreg.kyushu-u.ac.jp/M3/20110404/F50764/2144/1", 98.56)</f>
        <v>98.56</v>
      </c>
      <c r="E4710" s="2">
        <v>83.43</v>
      </c>
      <c r="F4710" s="2">
        <v>2</v>
      </c>
      <c r="G4710" s="2" t="s">
        <v>9</v>
      </c>
    </row>
    <row r="4711" spans="1:9" x14ac:dyDescent="0.2">
      <c r="A4711" s="2" t="s">
        <v>7586</v>
      </c>
      <c r="B4711" s="2" t="s">
        <v>6646</v>
      </c>
      <c r="C4711" s="2">
        <v>935.97559999999999</v>
      </c>
      <c r="D4711" s="2">
        <f>HYPERLINK("http://mcb-m6.bioreg.kyushu-u.ac.jp/M3/20110404/F50764/2569/1", 104.09)</f>
        <v>104.09</v>
      </c>
      <c r="E4711" s="2">
        <v>87.74</v>
      </c>
      <c r="F4711" s="2">
        <v>2</v>
      </c>
      <c r="G4711" s="2" t="s">
        <v>9</v>
      </c>
    </row>
    <row r="4712" spans="1:9" x14ac:dyDescent="0.2">
      <c r="A4712" s="2" t="s">
        <v>7586</v>
      </c>
      <c r="B4712" s="2" t="s">
        <v>6628</v>
      </c>
      <c r="C4712" s="2">
        <v>811.29769999999996</v>
      </c>
      <c r="D4712" s="2">
        <f>HYPERLINK("http://mcb-m6.bioreg.kyushu-u.ac.jp/M3/20110404/F50764/2143/1", 112.96)</f>
        <v>112.96</v>
      </c>
      <c r="E4712" s="2">
        <v>97.02</v>
      </c>
      <c r="F4712" s="2">
        <v>2</v>
      </c>
      <c r="G4712" s="2" t="s">
        <v>9</v>
      </c>
    </row>
    <row r="4713" spans="1:9" x14ac:dyDescent="0.2">
      <c r="A4713" s="2" t="s">
        <v>7586</v>
      </c>
      <c r="B4713" s="2" t="s">
        <v>6095</v>
      </c>
      <c r="C4713" s="2">
        <v>565.78610000000003</v>
      </c>
      <c r="D4713" s="2">
        <f>HYPERLINK("http://mcb-m6.bioreg.kyushu-u.ac.jp/M3/20110404/F50770/1328/1", 35.95)</f>
        <v>35.950000000000003</v>
      </c>
      <c r="E4713" s="2">
        <v>13.74</v>
      </c>
      <c r="F4713" s="2">
        <v>2</v>
      </c>
      <c r="G4713" s="2" t="s">
        <v>10</v>
      </c>
    </row>
    <row r="4714" spans="1:9" x14ac:dyDescent="0.2">
      <c r="A4714" s="2" t="s">
        <v>7586</v>
      </c>
      <c r="B4714" s="2" t="s">
        <v>6202</v>
      </c>
      <c r="C4714" s="2">
        <v>645.66819999999996</v>
      </c>
      <c r="D4714" s="2">
        <f>HYPERLINK("http://mcb-m6.bioreg.kyushu-u.ac.jp/M3/20110404/F50770/1549/1", 45.16)</f>
        <v>45.16</v>
      </c>
      <c r="E4714" s="2">
        <v>30.31</v>
      </c>
      <c r="F4714" s="2">
        <v>2</v>
      </c>
      <c r="G4714" s="2" t="s">
        <v>10</v>
      </c>
    </row>
    <row r="4715" spans="1:9" x14ac:dyDescent="0.2">
      <c r="A4715" s="2" t="s">
        <v>7586</v>
      </c>
      <c r="B4715" s="2" t="s">
        <v>6095</v>
      </c>
      <c r="C4715" s="2">
        <v>565.24659999999994</v>
      </c>
      <c r="D4715" s="2">
        <f>HYPERLINK("http://mcb-m6.bioreg.kyushu-u.ac.jp/M3/20110404/F50770/1327/1", 47.68)</f>
        <v>47.68</v>
      </c>
      <c r="E4715" s="2">
        <v>10.76</v>
      </c>
      <c r="F4715" s="2">
        <v>2</v>
      </c>
      <c r="G4715" s="2" t="s">
        <v>10</v>
      </c>
    </row>
    <row r="4716" spans="1:9" x14ac:dyDescent="0.2">
      <c r="A4716" s="2" t="s">
        <v>7586</v>
      </c>
      <c r="B4716" s="2" t="s">
        <v>6046</v>
      </c>
      <c r="C4716" s="2">
        <v>478.08960000000002</v>
      </c>
      <c r="D4716" s="2">
        <f>HYPERLINK("http://mcb-m6.bioreg.kyushu-u.ac.jp/M3/20110404/F50770/1083/1", 51.52)</f>
        <v>51.52</v>
      </c>
      <c r="E4716" s="2">
        <v>11.86</v>
      </c>
      <c r="F4716" s="2">
        <v>2</v>
      </c>
      <c r="G4716" s="2" t="s">
        <v>10</v>
      </c>
    </row>
    <row r="4717" spans="1:9" x14ac:dyDescent="0.2">
      <c r="A4717" s="2" t="s">
        <v>7586</v>
      </c>
      <c r="B4717" s="2" t="s">
        <v>6132</v>
      </c>
      <c r="C4717" s="2">
        <v>817.30100000000004</v>
      </c>
      <c r="D4717" s="2">
        <f>HYPERLINK("http://mcb-m6.bioreg.kyushu-u.ac.jp/M3/20110404/F50770/882/1", 53.04)</f>
        <v>53.04</v>
      </c>
      <c r="E4717" s="2">
        <v>21.26</v>
      </c>
      <c r="F4717" s="2">
        <v>1</v>
      </c>
      <c r="G4717" s="2" t="s">
        <v>10</v>
      </c>
    </row>
    <row r="4718" spans="1:9" x14ac:dyDescent="0.2">
      <c r="A4718" s="2" t="s">
        <v>7586</v>
      </c>
      <c r="B4718" s="2" t="s">
        <v>6192</v>
      </c>
      <c r="C4718" s="2">
        <v>641.27869999999996</v>
      </c>
      <c r="D4718" s="2">
        <f>HYPERLINK("http://mcb-m6.bioreg.kyushu-u.ac.jp/M3/20110404/F50770/1544/1", 56.86)</f>
        <v>56.86</v>
      </c>
      <c r="E4718" s="2">
        <v>39.07</v>
      </c>
      <c r="F4718" s="2">
        <v>2</v>
      </c>
      <c r="G4718" s="2" t="s">
        <v>10</v>
      </c>
    </row>
    <row r="4719" spans="1:9" x14ac:dyDescent="0.2">
      <c r="A4719" s="2" t="s">
        <v>7586</v>
      </c>
      <c r="B4719" s="2" t="s">
        <v>6540</v>
      </c>
      <c r="C4719" s="2">
        <v>669.80619999999999</v>
      </c>
      <c r="D4719" s="2">
        <f>HYPERLINK("http://mcb-m6.bioreg.kyushu-u.ac.jp/M3/20110404/F50770/1626/1", 57.62)</f>
        <v>57.62</v>
      </c>
      <c r="E4719" s="2">
        <v>29.28</v>
      </c>
      <c r="F4719" s="2">
        <v>2</v>
      </c>
      <c r="G4719" s="2" t="s">
        <v>10</v>
      </c>
    </row>
    <row r="4720" spans="1:9" x14ac:dyDescent="0.2">
      <c r="A4720" s="2" t="s">
        <v>7586</v>
      </c>
      <c r="B4720" s="2" t="s">
        <v>6260</v>
      </c>
      <c r="C4720" s="2">
        <v>677.26459999999997</v>
      </c>
      <c r="D4720" s="2">
        <f>HYPERLINK("http://mcb-m6.bioreg.kyushu-u.ac.jp/M3/20110404/F50770/1655/1", 71.84)</f>
        <v>71.84</v>
      </c>
      <c r="E4720" s="2">
        <v>54.07</v>
      </c>
      <c r="F4720" s="2">
        <v>2</v>
      </c>
      <c r="G4720" s="2" t="s">
        <v>10</v>
      </c>
    </row>
    <row r="4721" spans="1:9" x14ac:dyDescent="0.2">
      <c r="A4721" s="2" t="s">
        <v>7586</v>
      </c>
      <c r="B4721" s="2" t="s">
        <v>6260</v>
      </c>
      <c r="C4721" s="2">
        <v>677.79669999999999</v>
      </c>
      <c r="D4721" s="2">
        <f>HYPERLINK("http://mcb-m6.bioreg.kyushu-u.ac.jp/M3/20110404/F50770/1656/1", 71.92)</f>
        <v>71.92</v>
      </c>
      <c r="E4721" s="2">
        <v>56.37</v>
      </c>
      <c r="F4721" s="2">
        <v>2</v>
      </c>
      <c r="G4721" s="2" t="s">
        <v>10</v>
      </c>
    </row>
    <row r="4722" spans="1:9" x14ac:dyDescent="0.2">
      <c r="A4722" s="2" t="s">
        <v>7586</v>
      </c>
      <c r="B4722" s="2" t="s">
        <v>6595</v>
      </c>
      <c r="C4722" s="2">
        <v>799.71559999999999</v>
      </c>
      <c r="D4722" s="2">
        <f>HYPERLINK("http://mcb-m6.bioreg.kyushu-u.ac.jp/M3/20110404/F50770/2136/1", 94.09)</f>
        <v>94.09</v>
      </c>
      <c r="E4722" s="2">
        <v>68.58</v>
      </c>
      <c r="F4722" s="2">
        <v>2</v>
      </c>
      <c r="G4722" s="2" t="s">
        <v>10</v>
      </c>
      <c r="I4722" s="2" t="s">
        <v>4918</v>
      </c>
    </row>
    <row r="4723" spans="1:9" x14ac:dyDescent="0.2">
      <c r="A4723" s="2" t="s">
        <v>7586</v>
      </c>
      <c r="B4723" s="2" t="s">
        <v>6646</v>
      </c>
      <c r="C4723" s="2">
        <v>936.27869999999996</v>
      </c>
      <c r="D4723" s="2">
        <f>HYPERLINK("http://mcb-m6.bioreg.kyushu-u.ac.jp/M3/20110404/F50770/2506/1", 99.07)</f>
        <v>99.07</v>
      </c>
      <c r="E4723" s="2">
        <v>81.96</v>
      </c>
      <c r="F4723" s="2">
        <v>2</v>
      </c>
      <c r="G4723" s="2" t="s">
        <v>10</v>
      </c>
    </row>
    <row r="4724" spans="1:9" x14ac:dyDescent="0.2">
      <c r="A4724" s="2" t="s">
        <v>7586</v>
      </c>
      <c r="B4724" s="2" t="s">
        <v>6628</v>
      </c>
      <c r="C4724" s="2">
        <v>811.2432</v>
      </c>
      <c r="D4724" s="2">
        <f>HYPERLINK("http://mcb-m6.bioreg.kyushu-u.ac.jp/M3/20110404/F50770/2175/1", 120.3)</f>
        <v>120.3</v>
      </c>
      <c r="E4724" s="2">
        <v>95.09</v>
      </c>
      <c r="F4724" s="2">
        <v>2</v>
      </c>
      <c r="G4724" s="2" t="s">
        <v>10</v>
      </c>
    </row>
    <row r="4725" spans="1:9" x14ac:dyDescent="0.2">
      <c r="A4725" s="2" t="s">
        <v>3494</v>
      </c>
      <c r="B4725" s="2" t="s">
        <v>624</v>
      </c>
      <c r="C4725" s="2">
        <v>730.83619999999996</v>
      </c>
      <c r="D4725" s="2">
        <f>HYPERLINK("http://mcb-m6.bioreg.kyushu-u.ac.jp/M3/20110421/F51042/1859/1", 88.29)</f>
        <v>88.29</v>
      </c>
      <c r="E4725" s="2">
        <v>59.22</v>
      </c>
      <c r="F4725" s="2">
        <v>2</v>
      </c>
      <c r="G4725" s="2" t="s">
        <v>11</v>
      </c>
    </row>
    <row r="4726" spans="1:9" x14ac:dyDescent="0.2">
      <c r="A4726" s="2" t="s">
        <v>3959</v>
      </c>
      <c r="B4726" s="2" t="s">
        <v>3217</v>
      </c>
      <c r="C4726" s="2">
        <v>757.9941</v>
      </c>
      <c r="D4726" s="2">
        <f>HYPERLINK("http://mcb-m6.bioreg.kyushu-u.ac.jp/M3/20110404/F50753/2076/1", 62.95)</f>
        <v>62.95</v>
      </c>
      <c r="E4726" s="2">
        <v>46.01</v>
      </c>
      <c r="F4726" s="2">
        <v>2</v>
      </c>
      <c r="G4726" s="2" t="s">
        <v>9</v>
      </c>
      <c r="I4726" s="2" t="s">
        <v>4981</v>
      </c>
    </row>
    <row r="4727" spans="1:9" x14ac:dyDescent="0.2">
      <c r="A4727" s="2" t="s">
        <v>3959</v>
      </c>
      <c r="B4727" s="2" t="s">
        <v>1171</v>
      </c>
      <c r="C4727" s="2">
        <v>648.02419999999995</v>
      </c>
      <c r="D4727" s="2">
        <f>HYPERLINK("http://mcb-m6.bioreg.kyushu-u.ac.jp/M3/20110404/F50753/1648/1", 65.41)</f>
        <v>65.41</v>
      </c>
      <c r="E4727" s="2">
        <v>35.46</v>
      </c>
      <c r="F4727" s="2">
        <v>2</v>
      </c>
      <c r="G4727" s="2" t="s">
        <v>9</v>
      </c>
    </row>
    <row r="4728" spans="1:9" x14ac:dyDescent="0.2">
      <c r="A4728" s="2" t="s">
        <v>3959</v>
      </c>
      <c r="B4728" s="2" t="s">
        <v>1171</v>
      </c>
      <c r="C4728" s="2">
        <v>647.76319999999998</v>
      </c>
      <c r="D4728" s="2">
        <f>HYPERLINK("http://mcb-m6.bioreg.kyushu-u.ac.jp/M3/20110404/F50758/1575/1", 36.82)</f>
        <v>36.82</v>
      </c>
      <c r="E4728" s="2">
        <v>23</v>
      </c>
      <c r="F4728" s="2">
        <v>2</v>
      </c>
      <c r="G4728" s="2" t="s">
        <v>10</v>
      </c>
    </row>
    <row r="4729" spans="1:9" x14ac:dyDescent="0.2">
      <c r="A4729" s="2" t="s">
        <v>7558</v>
      </c>
      <c r="B4729" s="2" t="s">
        <v>5980</v>
      </c>
      <c r="C4729" s="2">
        <v>849.9692</v>
      </c>
      <c r="D4729" s="2">
        <f>HYPERLINK("http://mcb-m6.bioreg.kyushu-u.ac.jp/M3/20110404/F50764/2258/1", 37.58)</f>
        <v>37.58</v>
      </c>
      <c r="E4729" s="2">
        <v>22.49</v>
      </c>
      <c r="F4729" s="2">
        <v>2</v>
      </c>
      <c r="G4729" s="2" t="s">
        <v>9</v>
      </c>
    </row>
    <row r="4730" spans="1:9" x14ac:dyDescent="0.2">
      <c r="A4730" s="2" t="s">
        <v>3552</v>
      </c>
      <c r="B4730" s="2" t="s">
        <v>2465</v>
      </c>
      <c r="C4730" s="2">
        <v>817.14919999999995</v>
      </c>
      <c r="D4730" s="2">
        <f>HYPERLINK("http://mcb-m6.bioreg.kyushu-u.ac.jp/M3/20110427/F51114/2482/1", 69.61)</f>
        <v>69.61</v>
      </c>
      <c r="E4730" s="2">
        <v>50.84</v>
      </c>
      <c r="F4730" s="2">
        <v>2</v>
      </c>
      <c r="G4730" s="2" t="s">
        <v>13</v>
      </c>
    </row>
    <row r="4731" spans="1:9" x14ac:dyDescent="0.2">
      <c r="A4731" s="2" t="s">
        <v>3552</v>
      </c>
      <c r="B4731" s="2" t="s">
        <v>2465</v>
      </c>
      <c r="C4731" s="2">
        <v>817.71220000000005</v>
      </c>
      <c r="D4731" s="2">
        <f>HYPERLINK("http://mcb-m6.bioreg.kyushu-u.ac.jp/M3/20110427/F51114/2486/1", 87.5)</f>
        <v>87.5</v>
      </c>
      <c r="E4731" s="2">
        <v>68.540000000000006</v>
      </c>
      <c r="F4731" s="2">
        <v>2</v>
      </c>
      <c r="G4731" s="2" t="s">
        <v>13</v>
      </c>
    </row>
    <row r="4732" spans="1:9" x14ac:dyDescent="0.2">
      <c r="A4732" s="2" t="s">
        <v>4308</v>
      </c>
      <c r="B4732" s="2" t="s">
        <v>5956</v>
      </c>
      <c r="C4732" s="2">
        <v>598.88919999999996</v>
      </c>
      <c r="D4732" s="2">
        <f>HYPERLINK("http://mcb-m6.bioreg.kyushu-u.ac.jp/M3/20110404/F50762/1314/1", 36.93)</f>
        <v>36.93</v>
      </c>
      <c r="E4732" s="2">
        <v>18.7</v>
      </c>
      <c r="F4732" s="2">
        <v>2</v>
      </c>
      <c r="G4732" s="2" t="s">
        <v>9</v>
      </c>
    </row>
    <row r="4733" spans="1:9" x14ac:dyDescent="0.2">
      <c r="A4733" s="2" t="s">
        <v>7768</v>
      </c>
      <c r="B4733" s="2" t="s">
        <v>6612</v>
      </c>
      <c r="C4733" s="2">
        <v>997.97609999999997</v>
      </c>
      <c r="D4733" s="2">
        <f>HYPERLINK("http://mcb-m6.bioreg.kyushu-u.ac.jp/M3/20110404/F50778/2979/1", 93.41)</f>
        <v>93.41</v>
      </c>
      <c r="E4733" s="2">
        <v>66.540000000000006</v>
      </c>
      <c r="F4733" s="2">
        <v>2</v>
      </c>
      <c r="G4733" s="2" t="s">
        <v>9</v>
      </c>
    </row>
    <row r="4734" spans="1:9" x14ac:dyDescent="0.2">
      <c r="A4734" s="2" t="s">
        <v>7768</v>
      </c>
      <c r="B4734" s="2" t="s">
        <v>6612</v>
      </c>
      <c r="C4734" s="2">
        <v>997.96010000000001</v>
      </c>
      <c r="D4734" s="2">
        <f>HYPERLINK("http://mcb-m6.bioreg.kyushu-u.ac.jp/M3/20110404/F50775/2762/1", 81.33)</f>
        <v>81.33</v>
      </c>
      <c r="E4734" s="2">
        <v>59.1</v>
      </c>
      <c r="F4734" s="2">
        <v>2</v>
      </c>
      <c r="G4734" s="2" t="s">
        <v>10</v>
      </c>
    </row>
    <row r="4735" spans="1:9" x14ac:dyDescent="0.2">
      <c r="A4735" s="2" t="s">
        <v>3838</v>
      </c>
      <c r="B4735" s="2" t="s">
        <v>920</v>
      </c>
      <c r="C4735" s="2">
        <v>646.88120000000004</v>
      </c>
      <c r="D4735" s="2">
        <f>HYPERLINK("http://mcb-m6.bioreg.kyushu-u.ac.jp/M3/20110404/F50778/1364/1", 55.73)</f>
        <v>55.73</v>
      </c>
      <c r="E4735" s="2">
        <v>31.99</v>
      </c>
      <c r="F4735" s="2">
        <v>2</v>
      </c>
      <c r="G4735" s="2" t="s">
        <v>9</v>
      </c>
    </row>
    <row r="4736" spans="1:9" x14ac:dyDescent="0.2">
      <c r="A4736" s="2" t="s">
        <v>3838</v>
      </c>
      <c r="B4736" s="2" t="s">
        <v>920</v>
      </c>
      <c r="C4736" s="2">
        <v>646.86720000000003</v>
      </c>
      <c r="D4736" s="2">
        <f>HYPERLINK("http://mcb-m6.bioreg.kyushu-u.ac.jp/M3/20110404/F50775/1529/1", 47.84)</f>
        <v>47.84</v>
      </c>
      <c r="E4736" s="2">
        <v>28.61</v>
      </c>
      <c r="F4736" s="2">
        <v>2</v>
      </c>
      <c r="G4736" s="2" t="s">
        <v>10</v>
      </c>
    </row>
    <row r="4737" spans="1:9" x14ac:dyDescent="0.2">
      <c r="A4737" s="2" t="s">
        <v>3838</v>
      </c>
      <c r="B4737" s="2" t="s">
        <v>920</v>
      </c>
      <c r="C4737" s="2">
        <v>647.38419999999996</v>
      </c>
      <c r="D4737" s="2">
        <f>HYPERLINK("http://mcb-m6.bioreg.kyushu-u.ac.jp/M3/20110421/F51039/1575/1", 51.98)</f>
        <v>51.98</v>
      </c>
      <c r="E4737" s="2">
        <v>34.75</v>
      </c>
      <c r="F4737" s="2">
        <v>2</v>
      </c>
      <c r="G4737" s="2" t="s">
        <v>11</v>
      </c>
    </row>
    <row r="4738" spans="1:9" x14ac:dyDescent="0.2">
      <c r="A4738" s="2" t="s">
        <v>3601</v>
      </c>
      <c r="B4738" s="2" t="s">
        <v>6009</v>
      </c>
      <c r="C4738" s="2">
        <v>566.2559</v>
      </c>
      <c r="D4738" s="2">
        <f>HYPERLINK("http://mcb-m6.bioreg.kyushu-u.ac.jp/M3/20110404/F50778/2357/1", 38.59)</f>
        <v>38.590000000000003</v>
      </c>
      <c r="E4738" s="2">
        <v>23.68</v>
      </c>
      <c r="F4738" s="2">
        <v>3</v>
      </c>
      <c r="G4738" s="2" t="s">
        <v>9</v>
      </c>
    </row>
    <row r="4739" spans="1:9" x14ac:dyDescent="0.2">
      <c r="A4739" s="2" t="s">
        <v>3601</v>
      </c>
      <c r="B4739" s="2" t="s">
        <v>1673</v>
      </c>
      <c r="C4739" s="2">
        <v>900.24019999999996</v>
      </c>
      <c r="D4739" s="2">
        <f>HYPERLINK("http://mcb-m6.bioreg.kyushu-u.ac.jp/M3/20110404/F50777/2536/1", 40.43)</f>
        <v>40.43</v>
      </c>
      <c r="E4739" s="2">
        <v>31</v>
      </c>
      <c r="F4739" s="2">
        <v>2</v>
      </c>
      <c r="G4739" s="2" t="s">
        <v>9</v>
      </c>
    </row>
    <row r="4740" spans="1:9" x14ac:dyDescent="0.2">
      <c r="A4740" s="2" t="s">
        <v>3601</v>
      </c>
      <c r="B4740" s="2" t="s">
        <v>1170</v>
      </c>
      <c r="C4740" s="2">
        <v>763.29819999999995</v>
      </c>
      <c r="D4740" s="2">
        <f>HYPERLINK("http://mcb-m6.bioreg.kyushu-u.ac.jp/M3/20110404/F50778/1938/1", 55.1)</f>
        <v>55.1</v>
      </c>
      <c r="E4740" s="2">
        <v>42.42</v>
      </c>
      <c r="F4740" s="2">
        <v>2</v>
      </c>
      <c r="G4740" s="2" t="s">
        <v>9</v>
      </c>
    </row>
    <row r="4741" spans="1:9" x14ac:dyDescent="0.2">
      <c r="A4741" s="2" t="s">
        <v>3601</v>
      </c>
      <c r="B4741" s="2" t="s">
        <v>6389</v>
      </c>
      <c r="C4741" s="2">
        <v>566.25570000000005</v>
      </c>
      <c r="D4741" s="2">
        <f>HYPERLINK("http://mcb-m6.bioreg.kyushu-u.ac.jp/M3/20110404/F50778/1046/1", 58.59)</f>
        <v>58.59</v>
      </c>
      <c r="E4741" s="2">
        <v>28.37</v>
      </c>
      <c r="F4741" s="2">
        <v>2</v>
      </c>
      <c r="G4741" s="2" t="s">
        <v>9</v>
      </c>
    </row>
    <row r="4742" spans="1:9" x14ac:dyDescent="0.2">
      <c r="A4742" s="2" t="s">
        <v>3601</v>
      </c>
      <c r="B4742" s="2" t="s">
        <v>6480</v>
      </c>
      <c r="C4742" s="2">
        <v>755.8347</v>
      </c>
      <c r="D4742" s="2">
        <f>HYPERLINK("http://mcb-m6.bioreg.kyushu-u.ac.jp/M3/20110404/F50778/1907/1", 68.48)</f>
        <v>68.48</v>
      </c>
      <c r="E4742" s="2">
        <v>57.08</v>
      </c>
      <c r="F4742" s="2">
        <v>2</v>
      </c>
      <c r="G4742" s="2" t="s">
        <v>9</v>
      </c>
    </row>
    <row r="4743" spans="1:9" x14ac:dyDescent="0.2">
      <c r="A4743" s="2" t="s">
        <v>3601</v>
      </c>
      <c r="B4743" s="2" t="s">
        <v>1673</v>
      </c>
      <c r="C4743" s="2">
        <v>900.98170000000005</v>
      </c>
      <c r="D4743" s="2">
        <f>HYPERLINK("http://mcb-m6.bioreg.kyushu-u.ac.jp/M3/20110404/F50778/2599/1", 79.01)</f>
        <v>79.010000000000005</v>
      </c>
      <c r="E4743" s="2">
        <v>63.84</v>
      </c>
      <c r="F4743" s="2">
        <v>2</v>
      </c>
      <c r="G4743" s="2" t="s">
        <v>9</v>
      </c>
    </row>
    <row r="4744" spans="1:9" x14ac:dyDescent="0.2">
      <c r="A4744" s="2" t="s">
        <v>3601</v>
      </c>
      <c r="B4744" s="2" t="s">
        <v>6564</v>
      </c>
      <c r="C4744" s="2">
        <v>573.79269999999997</v>
      </c>
      <c r="D4744" s="2">
        <f>HYPERLINK("http://mcb-m6.bioreg.kyushu-u.ac.jp/M3/20110404/F50778/1064/1", 80.97)</f>
        <v>80.97</v>
      </c>
      <c r="E4744" s="2">
        <v>40.72</v>
      </c>
      <c r="F4744" s="2">
        <v>2</v>
      </c>
      <c r="G4744" s="2" t="s">
        <v>9</v>
      </c>
    </row>
    <row r="4745" spans="1:9" x14ac:dyDescent="0.2">
      <c r="A4745" s="2" t="s">
        <v>3601</v>
      </c>
      <c r="B4745" s="2" t="s">
        <v>6585</v>
      </c>
      <c r="C4745" s="2">
        <v>1003.8819999999999</v>
      </c>
      <c r="D4745" s="2">
        <f>HYPERLINK("http://mcb-m6.bioreg.kyushu-u.ac.jp/M3/20110404/F50778/3008/1", 86.07)</f>
        <v>86.07</v>
      </c>
      <c r="E4745" s="2">
        <v>70.53</v>
      </c>
      <c r="F4745" s="2">
        <v>2</v>
      </c>
      <c r="G4745" s="2" t="s">
        <v>9</v>
      </c>
      <c r="I4745" s="2" t="s">
        <v>4944</v>
      </c>
    </row>
    <row r="4746" spans="1:9" x14ac:dyDescent="0.2">
      <c r="A4746" s="2" t="s">
        <v>3601</v>
      </c>
      <c r="B4746" s="2" t="s">
        <v>1673</v>
      </c>
      <c r="C4746" s="2">
        <v>900.44420000000002</v>
      </c>
      <c r="D4746" s="2">
        <f>HYPERLINK("http://mcb-m6.bioreg.kyushu-u.ac.jp/M3/20110404/F50778/2596/1", 97.08)</f>
        <v>97.08</v>
      </c>
      <c r="E4746" s="2">
        <v>84.14</v>
      </c>
      <c r="F4746" s="2">
        <v>2</v>
      </c>
      <c r="G4746" s="2" t="s">
        <v>9</v>
      </c>
    </row>
    <row r="4747" spans="1:9" x14ac:dyDescent="0.2">
      <c r="A4747" s="2" t="s">
        <v>3601</v>
      </c>
      <c r="B4747" s="2" t="s">
        <v>493</v>
      </c>
      <c r="C4747" s="2">
        <v>828.38210000000004</v>
      </c>
      <c r="D4747" s="2">
        <f>HYPERLINK("http://mcb-m6.bioreg.kyushu-u.ac.jp/M3/20110404/F50778/2283/1", 104.25)</f>
        <v>104.25</v>
      </c>
      <c r="E4747" s="2">
        <v>86.63</v>
      </c>
      <c r="F4747" s="2">
        <v>2</v>
      </c>
      <c r="G4747" s="2" t="s">
        <v>9</v>
      </c>
    </row>
    <row r="4748" spans="1:9" x14ac:dyDescent="0.2">
      <c r="A4748" s="2" t="s">
        <v>3601</v>
      </c>
      <c r="B4748" s="2" t="s">
        <v>493</v>
      </c>
      <c r="C4748" s="2">
        <v>828.33069999999998</v>
      </c>
      <c r="D4748" s="2">
        <f>HYPERLINK("http://mcb-m6.bioreg.kyushu-u.ac.jp/M3/20110428/F51133/2365/1", 80.37)</f>
        <v>80.37</v>
      </c>
      <c r="E4748" s="2">
        <v>62.1</v>
      </c>
      <c r="F4748" s="2">
        <v>2</v>
      </c>
      <c r="G4748" s="2" t="s">
        <v>13</v>
      </c>
    </row>
    <row r="4749" spans="1:9" x14ac:dyDescent="0.2">
      <c r="A4749" s="2" t="s">
        <v>4545</v>
      </c>
      <c r="B4749" s="2" t="s">
        <v>2575</v>
      </c>
      <c r="C4749" s="2">
        <v>854.82820000000004</v>
      </c>
      <c r="D4749" s="2">
        <f>HYPERLINK("http://mcb-m6.bioreg.kyushu-u.ac.jp/M3/20110404/F50778/2397/1", 67.24)</f>
        <v>67.239999999999995</v>
      </c>
      <c r="E4749" s="2">
        <v>56.99</v>
      </c>
      <c r="F4749" s="2">
        <v>2</v>
      </c>
      <c r="G4749" s="2" t="s">
        <v>9</v>
      </c>
    </row>
    <row r="4750" spans="1:9" x14ac:dyDescent="0.2">
      <c r="A4750" s="2" t="s">
        <v>7726</v>
      </c>
      <c r="B4750" s="2" t="s">
        <v>6446</v>
      </c>
      <c r="C4750" s="2">
        <v>761.42909999999995</v>
      </c>
      <c r="D4750" s="2">
        <f>HYPERLINK("http://mcb-m6.bioreg.kyushu-u.ac.jp/M3/20110404/F50756/2059/1", 65.52)</f>
        <v>65.52</v>
      </c>
      <c r="E4750" s="2">
        <v>39.25</v>
      </c>
      <c r="F4750" s="2">
        <v>2</v>
      </c>
      <c r="G4750" s="2" t="s">
        <v>9</v>
      </c>
    </row>
    <row r="4751" spans="1:9" x14ac:dyDescent="0.2">
      <c r="A4751" s="2" t="s">
        <v>3595</v>
      </c>
      <c r="B4751" s="2" t="s">
        <v>1191</v>
      </c>
      <c r="C4751" s="2">
        <v>844.71420000000001</v>
      </c>
      <c r="D4751" s="2">
        <f>HYPERLINK("http://mcb-m6.bioreg.kyushu-u.ac.jp/M3/20110404/F50753/2405/1", 56.89)</f>
        <v>56.89</v>
      </c>
      <c r="E4751" s="2">
        <v>45.45</v>
      </c>
      <c r="F4751" s="2">
        <v>2</v>
      </c>
      <c r="G4751" s="2" t="s">
        <v>9</v>
      </c>
    </row>
    <row r="4752" spans="1:9" x14ac:dyDescent="0.2">
      <c r="A4752" s="2" t="s">
        <v>3595</v>
      </c>
      <c r="B4752" s="2" t="s">
        <v>1547</v>
      </c>
      <c r="C4752" s="2">
        <v>1004.106</v>
      </c>
      <c r="D4752" s="2">
        <f>HYPERLINK("http://mcb-m6.bioreg.kyushu-u.ac.jp/M3/20110404/F50753/2918/1", 119.04)</f>
        <v>119.04</v>
      </c>
      <c r="E4752" s="2">
        <v>103.46</v>
      </c>
      <c r="F4752" s="2">
        <v>2</v>
      </c>
      <c r="G4752" s="2" t="s">
        <v>9</v>
      </c>
      <c r="I4752" s="2" t="s">
        <v>4903</v>
      </c>
    </row>
    <row r="4753" spans="1:9" x14ac:dyDescent="0.2">
      <c r="A4753" s="2" t="s">
        <v>3595</v>
      </c>
      <c r="B4753" s="2" t="s">
        <v>1191</v>
      </c>
      <c r="C4753" s="2">
        <v>844.39570000000003</v>
      </c>
      <c r="D4753" s="2">
        <f>HYPERLINK("http://mcb-m6.bioreg.kyushu-u.ac.jp/M3/20110404/F50758/2264/1", 65.2)</f>
        <v>65.2</v>
      </c>
      <c r="E4753" s="2">
        <v>55.14</v>
      </c>
      <c r="F4753" s="2">
        <v>2</v>
      </c>
      <c r="G4753" s="2" t="s">
        <v>10</v>
      </c>
    </row>
    <row r="4754" spans="1:9" x14ac:dyDescent="0.2">
      <c r="A4754" s="2" t="s">
        <v>3595</v>
      </c>
      <c r="B4754" s="2" t="s">
        <v>485</v>
      </c>
      <c r="C4754" s="2">
        <v>696.13819999999998</v>
      </c>
      <c r="D4754" s="2">
        <f>HYPERLINK("http://mcb-m6.bioreg.kyushu-u.ac.jp/M3/20110421/F51017/1799/1", 56.89)</f>
        <v>56.89</v>
      </c>
      <c r="E4754" s="2">
        <v>45.13</v>
      </c>
      <c r="F4754" s="2">
        <v>2</v>
      </c>
      <c r="G4754" s="2" t="s">
        <v>11</v>
      </c>
      <c r="I4754" s="2" t="s">
        <v>4895</v>
      </c>
    </row>
    <row r="4755" spans="1:9" x14ac:dyDescent="0.2">
      <c r="A4755" s="2" t="s">
        <v>3595</v>
      </c>
      <c r="B4755" s="2" t="s">
        <v>485</v>
      </c>
      <c r="C4755" s="2">
        <v>695.6241</v>
      </c>
      <c r="D4755" s="2">
        <f>HYPERLINK("http://mcb-m6.bioreg.kyushu-u.ac.jp/M3/20110427/F51111/1930/1", 69.83)</f>
        <v>69.83</v>
      </c>
      <c r="E4755" s="2">
        <v>57.4</v>
      </c>
      <c r="F4755" s="2">
        <v>2</v>
      </c>
      <c r="G4755" s="2" t="s">
        <v>13</v>
      </c>
      <c r="I4755" s="2" t="s">
        <v>4895</v>
      </c>
    </row>
    <row r="4756" spans="1:9" x14ac:dyDescent="0.2">
      <c r="A4756" s="2" t="s">
        <v>3480</v>
      </c>
      <c r="B4756" s="2" t="s">
        <v>302</v>
      </c>
      <c r="C4756" s="2">
        <v>787.36220000000003</v>
      </c>
      <c r="D4756" s="2">
        <f>HYPERLINK("http://mcb-m6.bioreg.kyushu-u.ac.jp/M3/20110404/F50763/2109/1", 38.53)</f>
        <v>38.53</v>
      </c>
      <c r="E4756" s="2">
        <v>17.11</v>
      </c>
      <c r="F4756" s="2">
        <v>2</v>
      </c>
      <c r="G4756" s="2" t="s">
        <v>9</v>
      </c>
    </row>
    <row r="4757" spans="1:9" x14ac:dyDescent="0.2">
      <c r="A4757" s="2" t="s">
        <v>3480</v>
      </c>
      <c r="B4757" s="2" t="s">
        <v>6029</v>
      </c>
      <c r="C4757" s="2">
        <v>613.97720000000004</v>
      </c>
      <c r="D4757" s="2">
        <f>HYPERLINK("http://mcb-m6.bioreg.kyushu-u.ac.jp/M3/20110404/F50762/1373/1", 39.39)</f>
        <v>39.39</v>
      </c>
      <c r="E4757" s="2">
        <v>10.75</v>
      </c>
      <c r="F4757" s="2">
        <v>2</v>
      </c>
      <c r="G4757" s="2" t="s">
        <v>9</v>
      </c>
    </row>
    <row r="4758" spans="1:9" x14ac:dyDescent="0.2">
      <c r="A4758" s="2" t="s">
        <v>3480</v>
      </c>
      <c r="B4758" s="2" t="s">
        <v>653</v>
      </c>
      <c r="C4758" s="2">
        <v>475.81560000000002</v>
      </c>
      <c r="D4758" s="2">
        <f>HYPERLINK("http://mcb-m6.bioreg.kyushu-u.ac.jp/M3/20110404/F50763/992/1", 41.71)</f>
        <v>41.71</v>
      </c>
      <c r="E4758" s="2">
        <v>17.670000000000002</v>
      </c>
      <c r="F4758" s="2">
        <v>2</v>
      </c>
      <c r="G4758" s="2" t="s">
        <v>9</v>
      </c>
    </row>
    <row r="4759" spans="1:9" x14ac:dyDescent="0.2">
      <c r="A4759" s="2" t="s">
        <v>3480</v>
      </c>
      <c r="B4759" s="2" t="s">
        <v>6029</v>
      </c>
      <c r="C4759" s="2">
        <v>614.36869999999999</v>
      </c>
      <c r="D4759" s="2">
        <f>HYPERLINK("http://mcb-m6.bioreg.kyushu-u.ac.jp/M3/20110404/F50762/1376/1", 45.97)</f>
        <v>45.97</v>
      </c>
      <c r="E4759" s="2">
        <v>18.809999999999999</v>
      </c>
      <c r="F4759" s="2">
        <v>2</v>
      </c>
      <c r="G4759" s="2" t="s">
        <v>9</v>
      </c>
    </row>
    <row r="4760" spans="1:9" x14ac:dyDescent="0.2">
      <c r="A4760" s="2" t="s">
        <v>3480</v>
      </c>
      <c r="B4760" s="2" t="s">
        <v>653</v>
      </c>
      <c r="C4760" s="2">
        <v>475.80810000000002</v>
      </c>
      <c r="D4760" s="2">
        <f>HYPERLINK("http://mcb-m6.bioreg.kyushu-u.ac.jp/M3/20110404/F50762/905/1", 46.18)</f>
        <v>46.18</v>
      </c>
      <c r="E4760" s="2">
        <v>17.489999999999998</v>
      </c>
      <c r="F4760" s="2">
        <v>2</v>
      </c>
      <c r="G4760" s="2" t="s">
        <v>9</v>
      </c>
    </row>
    <row r="4761" spans="1:9" x14ac:dyDescent="0.2">
      <c r="A4761" s="2" t="s">
        <v>3480</v>
      </c>
      <c r="B4761" s="2" t="s">
        <v>302</v>
      </c>
      <c r="C4761" s="2">
        <v>786.78560000000004</v>
      </c>
      <c r="D4761" s="2">
        <f>HYPERLINK("http://mcb-m6.bioreg.kyushu-u.ac.jp/M3/20110404/F50762/1977/1", 47.27)</f>
        <v>47.27</v>
      </c>
      <c r="E4761" s="2">
        <v>25.98</v>
      </c>
      <c r="F4761" s="2">
        <v>2</v>
      </c>
      <c r="G4761" s="2" t="s">
        <v>9</v>
      </c>
    </row>
    <row r="4762" spans="1:9" x14ac:dyDescent="0.2">
      <c r="A4762" s="2" t="s">
        <v>3480</v>
      </c>
      <c r="B4762" s="2" t="s">
        <v>653</v>
      </c>
      <c r="C4762" s="2">
        <v>475.29309999999998</v>
      </c>
      <c r="D4762" s="2">
        <f>HYPERLINK("http://mcb-m6.bioreg.kyushu-u.ac.jp/M3/20110404/F50762/899/1", 47.95)</f>
        <v>47.95</v>
      </c>
      <c r="E4762" s="2">
        <v>21.05</v>
      </c>
      <c r="F4762" s="2">
        <v>2</v>
      </c>
      <c r="G4762" s="2" t="s">
        <v>9</v>
      </c>
    </row>
    <row r="4763" spans="1:9" x14ac:dyDescent="0.2">
      <c r="A4763" s="2" t="s">
        <v>3480</v>
      </c>
      <c r="B4763" s="2" t="s">
        <v>2890</v>
      </c>
      <c r="C4763" s="2">
        <v>507.13409999999999</v>
      </c>
      <c r="D4763" s="2">
        <f>HYPERLINK("http://mcb-m6.bioreg.kyushu-u.ac.jp/M3/20110404/F50762/1022/1", 49.47)</f>
        <v>49.47</v>
      </c>
      <c r="E4763" s="2">
        <v>28.71</v>
      </c>
      <c r="F4763" s="2">
        <v>2</v>
      </c>
      <c r="G4763" s="2" t="s">
        <v>9</v>
      </c>
    </row>
    <row r="4764" spans="1:9" x14ac:dyDescent="0.2">
      <c r="A4764" s="2" t="s">
        <v>3480</v>
      </c>
      <c r="B4764" s="2" t="s">
        <v>2890</v>
      </c>
      <c r="C4764" s="2">
        <v>506.70159999999998</v>
      </c>
      <c r="D4764" s="2">
        <f>HYPERLINK("http://mcb-m6.bioreg.kyushu-u.ac.jp/M3/20110404/F50763/1111/1", 54.68)</f>
        <v>54.68</v>
      </c>
      <c r="E4764" s="2">
        <v>34.61</v>
      </c>
      <c r="F4764" s="2">
        <v>2</v>
      </c>
      <c r="G4764" s="2" t="s">
        <v>9</v>
      </c>
    </row>
    <row r="4765" spans="1:9" x14ac:dyDescent="0.2">
      <c r="A4765" s="2" t="s">
        <v>3480</v>
      </c>
      <c r="B4765" s="2" t="s">
        <v>302</v>
      </c>
      <c r="C4765" s="2">
        <v>787.36519999999996</v>
      </c>
      <c r="D4765" s="2">
        <f>HYPERLINK("http://mcb-m6.bioreg.kyushu-u.ac.jp/M3/20110404/F50763/2110/1", 64.48)</f>
        <v>64.48</v>
      </c>
      <c r="E4765" s="2">
        <v>49.45</v>
      </c>
      <c r="F4765" s="2">
        <v>2</v>
      </c>
      <c r="G4765" s="2" t="s">
        <v>9</v>
      </c>
    </row>
    <row r="4766" spans="1:9" x14ac:dyDescent="0.2">
      <c r="A4766" s="2" t="s">
        <v>3480</v>
      </c>
      <c r="B4766" s="2" t="s">
        <v>6488</v>
      </c>
      <c r="C4766" s="2">
        <v>1048.07</v>
      </c>
      <c r="D4766" s="2">
        <f>HYPERLINK("http://mcb-m6.bioreg.kyushu-u.ac.jp/M3/20110404/F50762/2687/1", 69.77)</f>
        <v>69.77</v>
      </c>
      <c r="E4766" s="2">
        <v>56.52</v>
      </c>
      <c r="F4766" s="2">
        <v>2</v>
      </c>
      <c r="G4766" s="2" t="s">
        <v>9</v>
      </c>
    </row>
    <row r="4767" spans="1:9" x14ac:dyDescent="0.2">
      <c r="A4767" s="2" t="s">
        <v>3480</v>
      </c>
      <c r="B4767" s="2" t="s">
        <v>302</v>
      </c>
      <c r="C4767" s="2">
        <v>787.34010000000001</v>
      </c>
      <c r="D4767" s="2">
        <f>HYPERLINK("http://mcb-m6.bioreg.kyushu-u.ac.jp/M3/20110404/F50769/2120/1", 37.4)</f>
        <v>37.4</v>
      </c>
      <c r="E4767" s="2">
        <v>18.89</v>
      </c>
      <c r="F4767" s="2">
        <v>2</v>
      </c>
      <c r="G4767" s="2" t="s">
        <v>10</v>
      </c>
    </row>
    <row r="4768" spans="1:9" x14ac:dyDescent="0.2">
      <c r="A4768" s="2" t="s">
        <v>3480</v>
      </c>
      <c r="B4768" s="2" t="s">
        <v>6029</v>
      </c>
      <c r="C4768" s="2">
        <v>613.83810000000005</v>
      </c>
      <c r="D4768" s="2">
        <f>HYPERLINK("http://mcb-m6.bioreg.kyushu-u.ac.jp/M3/20110404/F50768/1438/1", 39.17)</f>
        <v>39.17</v>
      </c>
      <c r="E4768" s="2">
        <v>12.08</v>
      </c>
      <c r="F4768" s="2">
        <v>2</v>
      </c>
      <c r="G4768" s="2" t="s">
        <v>10</v>
      </c>
    </row>
    <row r="4769" spans="1:8" x14ac:dyDescent="0.2">
      <c r="A4769" s="2" t="s">
        <v>3480</v>
      </c>
      <c r="B4769" s="2" t="s">
        <v>653</v>
      </c>
      <c r="C4769" s="2">
        <v>475.8621</v>
      </c>
      <c r="D4769" s="2">
        <f>HYPERLINK("http://mcb-m6.bioreg.kyushu-u.ac.jp/M3/20110404/F50768/1020/1", 42.13)</f>
        <v>42.13</v>
      </c>
      <c r="E4769" s="2">
        <v>21.98</v>
      </c>
      <c r="F4769" s="2">
        <v>2</v>
      </c>
      <c r="G4769" s="2" t="s">
        <v>10</v>
      </c>
    </row>
    <row r="4770" spans="1:8" x14ac:dyDescent="0.2">
      <c r="A4770" s="2" t="s">
        <v>3480</v>
      </c>
      <c r="B4770" s="2" t="s">
        <v>653</v>
      </c>
      <c r="C4770" s="2">
        <v>475.7586</v>
      </c>
      <c r="D4770" s="2">
        <f>HYPERLINK("http://mcb-m6.bioreg.kyushu-u.ac.jp/M3/20110404/F50768/1013/1", 44.45)</f>
        <v>44.45</v>
      </c>
      <c r="E4770" s="2">
        <v>19.98</v>
      </c>
      <c r="F4770" s="2">
        <v>2</v>
      </c>
      <c r="G4770" s="2" t="s">
        <v>10</v>
      </c>
    </row>
    <row r="4771" spans="1:8" x14ac:dyDescent="0.2">
      <c r="A4771" s="2" t="s">
        <v>3480</v>
      </c>
      <c r="B4771" s="2" t="s">
        <v>6810</v>
      </c>
      <c r="C4771" s="2">
        <v>796.17660000000001</v>
      </c>
      <c r="D4771" s="2">
        <f>HYPERLINK("http://mcb-m6.bioreg.kyushu-u.ac.jp/M3/20110404/F50768/2095/1", 45.13)</f>
        <v>45.13</v>
      </c>
      <c r="E4771" s="2">
        <v>30.12</v>
      </c>
      <c r="F4771" s="2">
        <v>2</v>
      </c>
      <c r="G4771" s="2" t="s">
        <v>10</v>
      </c>
    </row>
    <row r="4772" spans="1:8" x14ac:dyDescent="0.2">
      <c r="A4772" s="2" t="s">
        <v>3480</v>
      </c>
      <c r="B4772" s="2" t="s">
        <v>302</v>
      </c>
      <c r="C4772" s="2">
        <v>787.19569999999999</v>
      </c>
      <c r="D4772" s="2">
        <f>HYPERLINK("http://mcb-m6.bioreg.kyushu-u.ac.jp/M3/20110404/F50768/2068/1", 53.8)</f>
        <v>53.8</v>
      </c>
      <c r="E4772" s="2">
        <v>32.56</v>
      </c>
      <c r="F4772" s="2">
        <v>2</v>
      </c>
      <c r="G4772" s="2" t="s">
        <v>10</v>
      </c>
    </row>
    <row r="4773" spans="1:8" x14ac:dyDescent="0.2">
      <c r="A4773" s="2" t="s">
        <v>3480</v>
      </c>
      <c r="B4773" s="2" t="s">
        <v>6029</v>
      </c>
      <c r="C4773" s="2">
        <v>613.82569999999998</v>
      </c>
      <c r="D4773" s="2">
        <f>HYPERLINK("http://mcb-m6.bioreg.kyushu-u.ac.jp/M3/20110404/F50768/1437/1", 53.99)</f>
        <v>53.99</v>
      </c>
      <c r="E4773" s="2">
        <v>26.48</v>
      </c>
      <c r="F4773" s="2">
        <v>2</v>
      </c>
      <c r="G4773" s="2" t="s">
        <v>10</v>
      </c>
    </row>
    <row r="4774" spans="1:8" x14ac:dyDescent="0.2">
      <c r="A4774" s="2" t="s">
        <v>3480</v>
      </c>
      <c r="B4774" s="2" t="s">
        <v>302</v>
      </c>
      <c r="C4774" s="2">
        <v>1572.5540000000001</v>
      </c>
      <c r="D4774" s="2">
        <f>HYPERLINK("http://mcb-m6.bioreg.kyushu-u.ac.jp/M3/20110404/F50768/2065/1", 60.31)</f>
        <v>60.31</v>
      </c>
      <c r="E4774" s="2">
        <v>42.21</v>
      </c>
      <c r="F4774" s="2">
        <v>1</v>
      </c>
      <c r="G4774" s="2" t="s">
        <v>10</v>
      </c>
    </row>
    <row r="4775" spans="1:8" x14ac:dyDescent="0.2">
      <c r="A4775" s="2" t="s">
        <v>3480</v>
      </c>
      <c r="B4775" s="2" t="s">
        <v>302</v>
      </c>
      <c r="C4775" s="2">
        <v>786.98220000000003</v>
      </c>
      <c r="D4775" s="2">
        <f>HYPERLINK("http://mcb-m6.bioreg.kyushu-u.ac.jp/M3/20110404/F50768/2066/1", 66)</f>
        <v>66</v>
      </c>
      <c r="E4775" s="2">
        <v>46.59</v>
      </c>
      <c r="F4775" s="2">
        <v>2</v>
      </c>
      <c r="G4775" s="2" t="s">
        <v>10</v>
      </c>
    </row>
    <row r="4776" spans="1:8" x14ac:dyDescent="0.2">
      <c r="A4776" s="2" t="s">
        <v>3480</v>
      </c>
      <c r="B4776" s="2" t="s">
        <v>2890</v>
      </c>
      <c r="C4776" s="2">
        <v>506.57760000000002</v>
      </c>
      <c r="D4776" s="2">
        <f>HYPERLINK("http://mcb-m6.bioreg.kyushu-u.ac.jp/M3/20110404/F50768/1103/1", 73.3)</f>
        <v>73.3</v>
      </c>
      <c r="E4776" s="2">
        <v>48.31</v>
      </c>
      <c r="F4776" s="2">
        <v>2</v>
      </c>
      <c r="G4776" s="2" t="s">
        <v>10</v>
      </c>
    </row>
    <row r="4777" spans="1:8" x14ac:dyDescent="0.2">
      <c r="A4777" s="2" t="s">
        <v>3480</v>
      </c>
      <c r="B4777" s="2" t="s">
        <v>6488</v>
      </c>
      <c r="C4777" s="2">
        <v>1055.8820000000001</v>
      </c>
      <c r="D4777" s="2">
        <f>HYPERLINK("http://mcb-m6.bioreg.kyushu-u.ac.jp/M3/20110404/F50768/2875/1", 97.63)</f>
        <v>97.63</v>
      </c>
      <c r="E4777" s="2">
        <v>88.38</v>
      </c>
      <c r="F4777" s="2">
        <v>2</v>
      </c>
      <c r="G4777" s="2" t="s">
        <v>10</v>
      </c>
      <c r="H4777" s="2" t="s">
        <v>4938</v>
      </c>
    </row>
    <row r="4778" spans="1:8" x14ac:dyDescent="0.2">
      <c r="A4778" s="2" t="s">
        <v>3480</v>
      </c>
      <c r="B4778" s="2" t="s">
        <v>6488</v>
      </c>
      <c r="C4778" s="2">
        <v>1047.3489999999999</v>
      </c>
      <c r="D4778" s="2">
        <f>HYPERLINK("http://mcb-m6.bioreg.kyushu-u.ac.jp/M3/20110404/F50768/2853/1", 111.01)</f>
        <v>111.01</v>
      </c>
      <c r="E4778" s="2">
        <v>95.87</v>
      </c>
      <c r="F4778" s="2">
        <v>2</v>
      </c>
      <c r="G4778" s="2" t="s">
        <v>10</v>
      </c>
    </row>
    <row r="4779" spans="1:8" x14ac:dyDescent="0.2">
      <c r="A4779" s="2" t="s">
        <v>3480</v>
      </c>
      <c r="B4779" s="2" t="s">
        <v>6488</v>
      </c>
      <c r="C4779" s="2">
        <v>1055.3610000000001</v>
      </c>
      <c r="D4779" s="2">
        <f>HYPERLINK("http://mcb-m6.bioreg.kyushu-u.ac.jp/M3/20110404/F50768/2872/1", 121.91)</f>
        <v>121.91</v>
      </c>
      <c r="E4779" s="2">
        <v>112.48</v>
      </c>
      <c r="F4779" s="2">
        <v>2</v>
      </c>
      <c r="G4779" s="2" t="s">
        <v>10</v>
      </c>
      <c r="H4779" s="2" t="s">
        <v>4938</v>
      </c>
    </row>
    <row r="4780" spans="1:8" x14ac:dyDescent="0.2">
      <c r="A4780" s="2" t="s">
        <v>3480</v>
      </c>
      <c r="B4780" s="2" t="s">
        <v>302</v>
      </c>
      <c r="C4780" s="2">
        <v>786.89970000000005</v>
      </c>
      <c r="D4780" s="2">
        <f>HYPERLINK("http://mcb-m6.bioreg.kyushu-u.ac.jp/M3/20110421/F51034/2270/1", 58.81)</f>
        <v>58.81</v>
      </c>
      <c r="E4780" s="2">
        <v>37.9</v>
      </c>
      <c r="F4780" s="2">
        <v>2</v>
      </c>
      <c r="G4780" s="2" t="s">
        <v>11</v>
      </c>
    </row>
    <row r="4781" spans="1:8" x14ac:dyDescent="0.2">
      <c r="A4781" s="2" t="s">
        <v>3480</v>
      </c>
      <c r="B4781" s="2" t="s">
        <v>653</v>
      </c>
      <c r="C4781" s="2">
        <v>475.41759999999999</v>
      </c>
      <c r="D4781" s="2">
        <f>HYPERLINK("http://mcb-m6.bioreg.kyushu-u.ac.jp/M3/20110421/F51043/805/1", 37.23)</f>
        <v>37.229999999999997</v>
      </c>
      <c r="E4781" s="2">
        <v>11.41</v>
      </c>
      <c r="F4781" s="2">
        <v>2</v>
      </c>
      <c r="G4781" s="2" t="s">
        <v>12</v>
      </c>
    </row>
    <row r="4782" spans="1:8" x14ac:dyDescent="0.2">
      <c r="A4782" s="2" t="s">
        <v>3480</v>
      </c>
      <c r="B4782" s="2" t="s">
        <v>653</v>
      </c>
      <c r="C4782" s="2">
        <v>475.12560000000002</v>
      </c>
      <c r="D4782" s="2">
        <f>HYPERLINK("http://mcb-m6.bioreg.kyushu-u.ac.jp/M3/20110421/F51043/799/1", 42.17)</f>
        <v>42.17</v>
      </c>
      <c r="E4782" s="2">
        <v>12.8</v>
      </c>
      <c r="F4782" s="2">
        <v>2</v>
      </c>
      <c r="G4782" s="2" t="s">
        <v>12</v>
      </c>
    </row>
    <row r="4783" spans="1:8" x14ac:dyDescent="0.2">
      <c r="A4783" s="2" t="s">
        <v>3480</v>
      </c>
      <c r="B4783" s="2" t="s">
        <v>302</v>
      </c>
      <c r="C4783" s="2">
        <v>787.30719999999997</v>
      </c>
      <c r="D4783" s="2">
        <f>HYPERLINK("http://mcb-m6.bioreg.kyushu-u.ac.jp/M3/20110421/F51045/2361/1", 47.44)</f>
        <v>47.44</v>
      </c>
      <c r="E4783" s="2">
        <v>28.24</v>
      </c>
      <c r="F4783" s="2">
        <v>2</v>
      </c>
      <c r="G4783" s="2" t="s">
        <v>12</v>
      </c>
    </row>
    <row r="4784" spans="1:8" x14ac:dyDescent="0.2">
      <c r="A4784" s="2" t="s">
        <v>3480</v>
      </c>
      <c r="B4784" s="2" t="s">
        <v>302</v>
      </c>
      <c r="C4784" s="2">
        <v>786.84969999999998</v>
      </c>
      <c r="D4784" s="2">
        <f>HYPERLINK("http://mcb-m6.bioreg.kyushu-u.ac.jp/M3/20110421/F51043/2299/1", 65.97)</f>
        <v>65.97</v>
      </c>
      <c r="E4784" s="2">
        <v>48.56</v>
      </c>
      <c r="F4784" s="2">
        <v>2</v>
      </c>
      <c r="G4784" s="2" t="s">
        <v>12</v>
      </c>
    </row>
    <row r="4785" spans="1:7" x14ac:dyDescent="0.2">
      <c r="A4785" s="2" t="s">
        <v>3480</v>
      </c>
      <c r="B4785" s="2" t="s">
        <v>6488</v>
      </c>
      <c r="C4785" s="2">
        <v>1047.971</v>
      </c>
      <c r="D4785" s="2">
        <f>HYPERLINK("http://mcb-m6.bioreg.kyushu-u.ac.jp/M3/20110421/F51043/3205/1", 74.87)</f>
        <v>74.87</v>
      </c>
      <c r="E4785" s="2">
        <v>53.06</v>
      </c>
      <c r="F4785" s="2">
        <v>2</v>
      </c>
      <c r="G4785" s="2" t="s">
        <v>12</v>
      </c>
    </row>
    <row r="4786" spans="1:7" x14ac:dyDescent="0.2">
      <c r="A4786" s="2" t="s">
        <v>3480</v>
      </c>
      <c r="B4786" s="2" t="s">
        <v>302</v>
      </c>
      <c r="C4786" s="2">
        <v>786.75019999999995</v>
      </c>
      <c r="D4786" s="2">
        <f>HYPERLINK("http://mcb-m6.bioreg.kyushu-u.ac.jp/M3/20110427/F51114/2323/1", 41.55)</f>
        <v>41.55</v>
      </c>
      <c r="E4786" s="2">
        <v>28.36</v>
      </c>
      <c r="F4786" s="2">
        <v>2</v>
      </c>
      <c r="G4786" s="2" t="s">
        <v>13</v>
      </c>
    </row>
    <row r="4787" spans="1:7" x14ac:dyDescent="0.2">
      <c r="A4787" s="2" t="s">
        <v>3480</v>
      </c>
      <c r="B4787" s="2" t="s">
        <v>653</v>
      </c>
      <c r="C4787" s="2">
        <v>475.1771</v>
      </c>
      <c r="D4787" s="2">
        <f>HYPERLINK("http://mcb-m6.bioreg.kyushu-u.ac.jp/M3/20110428/F51127/680/1", 48.01)</f>
        <v>48.01</v>
      </c>
      <c r="E4787" s="2">
        <v>24.71</v>
      </c>
      <c r="F4787" s="2">
        <v>2</v>
      </c>
      <c r="G4787" s="2" t="s">
        <v>13</v>
      </c>
    </row>
    <row r="4788" spans="1:7" x14ac:dyDescent="0.2">
      <c r="A4788" s="2" t="s">
        <v>3531</v>
      </c>
      <c r="B4788" s="2" t="s">
        <v>379</v>
      </c>
      <c r="C4788" s="2">
        <v>1371.578</v>
      </c>
      <c r="D4788" s="2">
        <f>HYPERLINK("http://mcb-m6.bioreg.kyushu-u.ac.jp/M3/20110404/F50762/1575/1", 38.18)</f>
        <v>38.18</v>
      </c>
      <c r="E4788" s="2">
        <v>25.26</v>
      </c>
      <c r="F4788" s="2">
        <v>1</v>
      </c>
      <c r="G4788" s="2" t="s">
        <v>9</v>
      </c>
    </row>
    <row r="4789" spans="1:7" x14ac:dyDescent="0.2">
      <c r="A4789" s="2" t="s">
        <v>3531</v>
      </c>
      <c r="B4789" s="2" t="s">
        <v>6003</v>
      </c>
      <c r="C4789" s="2">
        <v>1021.4160000000001</v>
      </c>
      <c r="D4789" s="2">
        <f>HYPERLINK("http://mcb-m6.bioreg.kyushu-u.ac.jp/M3/20110404/F50762/1036/1", 38.44)</f>
        <v>38.44</v>
      </c>
      <c r="E4789" s="2">
        <v>21.44</v>
      </c>
      <c r="F4789" s="2">
        <v>1</v>
      </c>
      <c r="G4789" s="2" t="s">
        <v>9</v>
      </c>
    </row>
    <row r="4790" spans="1:7" x14ac:dyDescent="0.2">
      <c r="A4790" s="2" t="s">
        <v>3531</v>
      </c>
      <c r="B4790" s="2" t="s">
        <v>379</v>
      </c>
      <c r="C4790" s="2">
        <v>686.29669999999999</v>
      </c>
      <c r="D4790" s="2">
        <f>HYPERLINK("http://mcb-m6.bioreg.kyushu-u.ac.jp/M3/20110404/F50756/1668/1", 39.91)</f>
        <v>39.909999999999997</v>
      </c>
      <c r="E4790" s="2">
        <v>19.829999999999998</v>
      </c>
      <c r="F4790" s="2">
        <v>2</v>
      </c>
      <c r="G4790" s="2" t="s">
        <v>9</v>
      </c>
    </row>
    <row r="4791" spans="1:7" x14ac:dyDescent="0.2">
      <c r="A4791" s="2" t="s">
        <v>3531</v>
      </c>
      <c r="B4791" s="2" t="s">
        <v>6003</v>
      </c>
      <c r="C4791" s="2">
        <v>511.1816</v>
      </c>
      <c r="D4791" s="2">
        <f>HYPERLINK("http://mcb-m6.bioreg.kyushu-u.ac.jp/M3/20110404/F50762/1034/1", 40.66)</f>
        <v>40.659999999999997</v>
      </c>
      <c r="E4791" s="2">
        <v>18.34</v>
      </c>
      <c r="F4791" s="2">
        <v>2</v>
      </c>
      <c r="G4791" s="2" t="s">
        <v>9</v>
      </c>
    </row>
    <row r="4792" spans="1:7" x14ac:dyDescent="0.2">
      <c r="A4792" s="2" t="s">
        <v>3531</v>
      </c>
      <c r="B4792" s="2" t="s">
        <v>379</v>
      </c>
      <c r="C4792" s="2">
        <v>685.81460000000004</v>
      </c>
      <c r="D4792" s="2">
        <f>HYPERLINK("http://mcb-m6.bioreg.kyushu-u.ac.jp/M3/20110404/F50754/1901/1", 40.85)</f>
        <v>40.85</v>
      </c>
      <c r="E4792" s="2">
        <v>14.69</v>
      </c>
      <c r="F4792" s="2">
        <v>2</v>
      </c>
      <c r="G4792" s="2" t="s">
        <v>9</v>
      </c>
    </row>
    <row r="4793" spans="1:7" x14ac:dyDescent="0.2">
      <c r="A4793" s="2" t="s">
        <v>3531</v>
      </c>
      <c r="B4793" s="2" t="s">
        <v>379</v>
      </c>
      <c r="C4793" s="2">
        <v>685.72119999999995</v>
      </c>
      <c r="D4793" s="2">
        <f>HYPERLINK("http://mcb-m6.bioreg.kyushu-u.ac.jp/M3/20110404/F50753/1776/1", 42.86)</f>
        <v>42.86</v>
      </c>
      <c r="E4793" s="2">
        <v>20.8</v>
      </c>
      <c r="F4793" s="2">
        <v>2</v>
      </c>
      <c r="G4793" s="2" t="s">
        <v>9</v>
      </c>
    </row>
    <row r="4794" spans="1:7" x14ac:dyDescent="0.2">
      <c r="A4794" s="2" t="s">
        <v>3531</v>
      </c>
      <c r="B4794" s="2" t="s">
        <v>469</v>
      </c>
      <c r="C4794" s="2">
        <v>576.16859999999997</v>
      </c>
      <c r="D4794" s="2">
        <f>HYPERLINK("http://mcb-m6.bioreg.kyushu-u.ac.jp/M3/20110404/F50753/1420/1", 49.01)</f>
        <v>49.01</v>
      </c>
      <c r="E4794" s="2">
        <v>34</v>
      </c>
      <c r="F4794" s="2">
        <v>2</v>
      </c>
      <c r="G4794" s="2" t="s">
        <v>9</v>
      </c>
    </row>
    <row r="4795" spans="1:7" x14ac:dyDescent="0.2">
      <c r="A4795" s="2" t="s">
        <v>3531</v>
      </c>
      <c r="B4795" s="2" t="s">
        <v>379</v>
      </c>
      <c r="C4795" s="2">
        <v>685.8827</v>
      </c>
      <c r="D4795" s="2">
        <f>HYPERLINK("http://mcb-m6.bioreg.kyushu-u.ac.jp/M3/20110404/F50763/1678/1", 51.28)</f>
        <v>51.28</v>
      </c>
      <c r="E4795" s="2">
        <v>34.01</v>
      </c>
      <c r="F4795" s="2">
        <v>2</v>
      </c>
      <c r="G4795" s="2" t="s">
        <v>9</v>
      </c>
    </row>
    <row r="4796" spans="1:7" x14ac:dyDescent="0.2">
      <c r="A4796" s="2" t="s">
        <v>3531</v>
      </c>
      <c r="B4796" s="2" t="s">
        <v>469</v>
      </c>
      <c r="C4796" s="2">
        <v>576.23860000000002</v>
      </c>
      <c r="D4796" s="2">
        <f>HYPERLINK("http://mcb-m6.bioreg.kyushu-u.ac.jp/M3/20110404/F50763/1311/1", 52.36)</f>
        <v>52.36</v>
      </c>
      <c r="E4796" s="2">
        <v>37.19</v>
      </c>
      <c r="F4796" s="2">
        <v>2</v>
      </c>
      <c r="G4796" s="2" t="s">
        <v>9</v>
      </c>
    </row>
    <row r="4797" spans="1:7" x14ac:dyDescent="0.2">
      <c r="A4797" s="2" t="s">
        <v>3531</v>
      </c>
      <c r="B4797" s="2" t="s">
        <v>469</v>
      </c>
      <c r="C4797" s="2">
        <v>576.16920000000005</v>
      </c>
      <c r="D4797" s="2">
        <f>HYPERLINK("http://mcb-m6.bioreg.kyushu-u.ac.jp/M3/20110404/F50754/1554/1", 57.25)</f>
        <v>57.25</v>
      </c>
      <c r="E4797" s="2">
        <v>44.28</v>
      </c>
      <c r="F4797" s="2">
        <v>2</v>
      </c>
      <c r="G4797" s="2" t="s">
        <v>9</v>
      </c>
    </row>
    <row r="4798" spans="1:7" x14ac:dyDescent="0.2">
      <c r="A4798" s="2" t="s">
        <v>3531</v>
      </c>
      <c r="B4798" s="2" t="s">
        <v>469</v>
      </c>
      <c r="C4798" s="2">
        <v>575.66219999999998</v>
      </c>
      <c r="D4798" s="2">
        <f>HYPERLINK("http://mcb-m6.bioreg.kyushu-u.ac.jp/M3/20110404/F50753/1417/1", 57.31)</f>
        <v>57.31</v>
      </c>
      <c r="E4798" s="2">
        <v>38.18</v>
      </c>
      <c r="F4798" s="2">
        <v>2</v>
      </c>
      <c r="G4798" s="2" t="s">
        <v>9</v>
      </c>
    </row>
    <row r="4799" spans="1:7" x14ac:dyDescent="0.2">
      <c r="A4799" s="2" t="s">
        <v>3531</v>
      </c>
      <c r="B4799" s="2" t="s">
        <v>379</v>
      </c>
      <c r="C4799" s="2">
        <v>1370.779</v>
      </c>
      <c r="D4799" s="2">
        <f>HYPERLINK("http://mcb-m6.bioreg.kyushu-u.ac.jp/M3/20110404/F50762/1573/1", 61.74)</f>
        <v>61.74</v>
      </c>
      <c r="E4799" s="2">
        <v>44.06</v>
      </c>
      <c r="F4799" s="2">
        <v>1</v>
      </c>
      <c r="G4799" s="2" t="s">
        <v>9</v>
      </c>
    </row>
    <row r="4800" spans="1:7" x14ac:dyDescent="0.2">
      <c r="A4800" s="2" t="s">
        <v>3531</v>
      </c>
      <c r="B4800" s="2" t="s">
        <v>469</v>
      </c>
      <c r="C4800" s="2">
        <v>576.29269999999997</v>
      </c>
      <c r="D4800" s="2">
        <f>HYPERLINK("http://mcb-m6.bioreg.kyushu-u.ac.jp/M3/20110404/F50756/1248/1", 62.37)</f>
        <v>62.37</v>
      </c>
      <c r="E4800" s="2">
        <v>44.51</v>
      </c>
      <c r="F4800" s="2">
        <v>2</v>
      </c>
      <c r="G4800" s="2" t="s">
        <v>9</v>
      </c>
    </row>
    <row r="4801" spans="1:8" x14ac:dyDescent="0.2">
      <c r="A4801" s="2" t="s">
        <v>3531</v>
      </c>
      <c r="B4801" s="2" t="s">
        <v>469</v>
      </c>
      <c r="C4801" s="2">
        <v>575.71969999999999</v>
      </c>
      <c r="D4801" s="2">
        <f>HYPERLINK("http://mcb-m6.bioreg.kyushu-u.ac.jp/M3/20110404/F50763/1307/1", 63.53)</f>
        <v>63.53</v>
      </c>
      <c r="E4801" s="2">
        <v>43.52</v>
      </c>
      <c r="F4801" s="2">
        <v>2</v>
      </c>
      <c r="G4801" s="2" t="s">
        <v>9</v>
      </c>
    </row>
    <row r="4802" spans="1:8" x14ac:dyDescent="0.2">
      <c r="A4802" s="2" t="s">
        <v>3531</v>
      </c>
      <c r="B4802" s="2" t="s">
        <v>469</v>
      </c>
      <c r="C4802" s="2">
        <v>575.73609999999996</v>
      </c>
      <c r="D4802" s="2">
        <f>HYPERLINK("http://mcb-m6.bioreg.kyushu-u.ac.jp/M3/20110404/F50762/1237/1", 63.98)</f>
        <v>63.98</v>
      </c>
      <c r="E4802" s="2">
        <v>42.13</v>
      </c>
      <c r="F4802" s="2">
        <v>2</v>
      </c>
      <c r="G4802" s="2" t="s">
        <v>9</v>
      </c>
    </row>
    <row r="4803" spans="1:8" x14ac:dyDescent="0.2">
      <c r="A4803" s="2" t="s">
        <v>3531</v>
      </c>
      <c r="B4803" s="2" t="s">
        <v>469</v>
      </c>
      <c r="C4803" s="2">
        <v>575.65869999999995</v>
      </c>
      <c r="D4803" s="2">
        <f>HYPERLINK("http://mcb-m6.bioreg.kyushu-u.ac.jp/M3/20110404/F50754/1548/1", 65.55)</f>
        <v>65.55</v>
      </c>
      <c r="E4803" s="2">
        <v>45.42</v>
      </c>
      <c r="F4803" s="2">
        <v>2</v>
      </c>
      <c r="G4803" s="2" t="s">
        <v>9</v>
      </c>
    </row>
    <row r="4804" spans="1:8" x14ac:dyDescent="0.2">
      <c r="A4804" s="2" t="s">
        <v>3531</v>
      </c>
      <c r="B4804" s="2" t="s">
        <v>379</v>
      </c>
      <c r="C4804" s="2">
        <v>685.88459999999998</v>
      </c>
      <c r="D4804" s="2">
        <f>HYPERLINK("http://mcb-m6.bioreg.kyushu-u.ac.jp/M3/20110404/F50762/1572/1", 69.42)</f>
        <v>69.42</v>
      </c>
      <c r="E4804" s="2">
        <v>45.01</v>
      </c>
      <c r="F4804" s="2">
        <v>2</v>
      </c>
      <c r="G4804" s="2" t="s">
        <v>9</v>
      </c>
    </row>
    <row r="4805" spans="1:8" x14ac:dyDescent="0.2">
      <c r="A4805" s="2" t="s">
        <v>3531</v>
      </c>
      <c r="B4805" s="2" t="s">
        <v>379</v>
      </c>
      <c r="C4805" s="2">
        <v>685.85820000000001</v>
      </c>
      <c r="D4805" s="2">
        <f>HYPERLINK("http://mcb-m6.bioreg.kyushu-u.ac.jp/M3/20110404/F50758/1683/1", 37.44)</f>
        <v>37.44</v>
      </c>
      <c r="E4805" s="2">
        <v>15.38</v>
      </c>
      <c r="F4805" s="2">
        <v>2</v>
      </c>
      <c r="G4805" s="2" t="s">
        <v>10</v>
      </c>
    </row>
    <row r="4806" spans="1:8" x14ac:dyDescent="0.2">
      <c r="A4806" s="2" t="s">
        <v>3531</v>
      </c>
      <c r="B4806" s="2" t="s">
        <v>6003</v>
      </c>
      <c r="C4806" s="2">
        <v>511.22109999999998</v>
      </c>
      <c r="D4806" s="2">
        <f>HYPERLINK("http://mcb-m6.bioreg.kyushu-u.ac.jp/M3/20110404/F50768/1123/1", 39.63)</f>
        <v>39.630000000000003</v>
      </c>
      <c r="E4806" s="2">
        <v>9.75</v>
      </c>
      <c r="F4806" s="2">
        <v>2</v>
      </c>
      <c r="G4806" s="2" t="s">
        <v>10</v>
      </c>
    </row>
    <row r="4807" spans="1:8" x14ac:dyDescent="0.2">
      <c r="A4807" s="2" t="s">
        <v>3531</v>
      </c>
      <c r="B4807" s="2" t="s">
        <v>379</v>
      </c>
      <c r="C4807" s="2">
        <v>685.86019999999996</v>
      </c>
      <c r="D4807" s="2">
        <f>HYPERLINK("http://mcb-m6.bioreg.kyushu-u.ac.jp/M3/20110404/F50761/1597/1", 39.78)</f>
        <v>39.78</v>
      </c>
      <c r="E4807" s="2">
        <v>19.78</v>
      </c>
      <c r="F4807" s="2">
        <v>2</v>
      </c>
      <c r="G4807" s="2" t="s">
        <v>10</v>
      </c>
    </row>
    <row r="4808" spans="1:8" x14ac:dyDescent="0.2">
      <c r="A4808" s="2" t="s">
        <v>3531</v>
      </c>
      <c r="B4808" s="2" t="s">
        <v>469</v>
      </c>
      <c r="C4808" s="2">
        <v>575.65120000000002</v>
      </c>
      <c r="D4808" s="2">
        <f>HYPERLINK("http://mcb-m6.bioreg.kyushu-u.ac.jp/M3/20110404/F50761/1216/1", 39.98)</f>
        <v>39.979999999999997</v>
      </c>
      <c r="E4808" s="2">
        <v>26.21</v>
      </c>
      <c r="F4808" s="2">
        <v>2</v>
      </c>
      <c r="G4808" s="2" t="s">
        <v>10</v>
      </c>
    </row>
    <row r="4809" spans="1:8" x14ac:dyDescent="0.2">
      <c r="A4809" s="2" t="s">
        <v>3531</v>
      </c>
      <c r="B4809" s="2" t="s">
        <v>6003</v>
      </c>
      <c r="C4809" s="2">
        <v>1021.407</v>
      </c>
      <c r="D4809" s="2">
        <f>HYPERLINK("http://mcb-m6.bioreg.kyushu-u.ac.jp/M3/20110404/F50768/1122/1", 41.24)</f>
        <v>41.24</v>
      </c>
      <c r="E4809" s="2">
        <v>24.27</v>
      </c>
      <c r="F4809" s="2">
        <v>1</v>
      </c>
      <c r="G4809" s="2" t="s">
        <v>10</v>
      </c>
    </row>
    <row r="4810" spans="1:8" x14ac:dyDescent="0.2">
      <c r="A4810" s="2" t="s">
        <v>3531</v>
      </c>
      <c r="B4810" s="2" t="s">
        <v>379</v>
      </c>
      <c r="C4810" s="2">
        <v>685.89760000000001</v>
      </c>
      <c r="D4810" s="2">
        <f>HYPERLINK("http://mcb-m6.bioreg.kyushu-u.ac.jp/M3/20110404/F50769/1779/1", 43.06)</f>
        <v>43.06</v>
      </c>
      <c r="E4810" s="2">
        <v>25.35</v>
      </c>
      <c r="F4810" s="2">
        <v>2</v>
      </c>
      <c r="G4810" s="2" t="s">
        <v>10</v>
      </c>
    </row>
    <row r="4811" spans="1:8" x14ac:dyDescent="0.2">
      <c r="A4811" s="2" t="s">
        <v>3531</v>
      </c>
      <c r="B4811" s="2" t="s">
        <v>469</v>
      </c>
      <c r="C4811" s="2">
        <v>576.18769999999995</v>
      </c>
      <c r="D4811" s="2">
        <f>HYPERLINK("http://mcb-m6.bioreg.kyushu-u.ac.jp/M3/20110404/F50761/1218/1", 51.95)</f>
        <v>51.95</v>
      </c>
      <c r="E4811" s="2">
        <v>37.64</v>
      </c>
      <c r="F4811" s="2">
        <v>2</v>
      </c>
      <c r="G4811" s="2" t="s">
        <v>10</v>
      </c>
    </row>
    <row r="4812" spans="1:8" x14ac:dyDescent="0.2">
      <c r="A4812" s="2" t="s">
        <v>3531</v>
      </c>
      <c r="B4812" s="2" t="s">
        <v>379</v>
      </c>
      <c r="C4812" s="2">
        <v>1370.66</v>
      </c>
      <c r="D4812" s="2">
        <f>HYPERLINK("http://mcb-m6.bioreg.kyushu-u.ac.jp/M3/20110404/F50768/1648/1", 52.02)</f>
        <v>52.02</v>
      </c>
      <c r="E4812" s="2">
        <v>26.09</v>
      </c>
      <c r="F4812" s="2">
        <v>1</v>
      </c>
      <c r="G4812" s="2" t="s">
        <v>10</v>
      </c>
    </row>
    <row r="4813" spans="1:8" x14ac:dyDescent="0.2">
      <c r="A4813" s="2" t="s">
        <v>3531</v>
      </c>
      <c r="B4813" s="2" t="s">
        <v>379</v>
      </c>
      <c r="C4813" s="2">
        <v>685.84059999999999</v>
      </c>
      <c r="D4813" s="2">
        <f>HYPERLINK("http://mcb-m6.bioreg.kyushu-u.ac.jp/M3/20110404/F50768/1649/1", 58.38)</f>
        <v>58.38</v>
      </c>
      <c r="E4813" s="2">
        <v>41.05</v>
      </c>
      <c r="F4813" s="2">
        <v>2</v>
      </c>
      <c r="G4813" s="2" t="s">
        <v>10</v>
      </c>
    </row>
    <row r="4814" spans="1:8" x14ac:dyDescent="0.2">
      <c r="A4814" s="2" t="s">
        <v>3531</v>
      </c>
      <c r="B4814" s="2" t="s">
        <v>469</v>
      </c>
      <c r="C4814" s="2">
        <v>575.72609999999997</v>
      </c>
      <c r="D4814" s="2">
        <f>HYPERLINK("http://mcb-m6.bioreg.kyushu-u.ac.jp/M3/20110404/F50768/1297/1", 67.83)</f>
        <v>67.83</v>
      </c>
      <c r="E4814" s="2">
        <v>46.97</v>
      </c>
      <c r="F4814" s="2">
        <v>2</v>
      </c>
      <c r="G4814" s="2" t="s">
        <v>10</v>
      </c>
    </row>
    <row r="4815" spans="1:8" x14ac:dyDescent="0.2">
      <c r="A4815" s="2" t="s">
        <v>3531</v>
      </c>
      <c r="B4815" s="2" t="s">
        <v>469</v>
      </c>
      <c r="C4815" s="2">
        <v>575.69370000000004</v>
      </c>
      <c r="D4815" s="2">
        <f>HYPERLINK("http://mcb-m6.bioreg.kyushu-u.ac.jp/M3/20110404/F50769/1456/1", 71.7)</f>
        <v>71.7</v>
      </c>
      <c r="E4815" s="2">
        <v>49.62</v>
      </c>
      <c r="F4815" s="2">
        <v>2</v>
      </c>
      <c r="G4815" s="2" t="s">
        <v>10</v>
      </c>
    </row>
    <row r="4816" spans="1:8" x14ac:dyDescent="0.2">
      <c r="A4816" s="2" t="s">
        <v>3531</v>
      </c>
      <c r="B4816" s="2" t="s">
        <v>3203</v>
      </c>
      <c r="C4816" s="2">
        <v>726.34270000000004</v>
      </c>
      <c r="D4816" s="2">
        <f>HYPERLINK("http://mcb-m6.bioreg.kyushu-u.ac.jp/M3/20110404/F50768/1850/1", 75.6)</f>
        <v>75.599999999999994</v>
      </c>
      <c r="E4816" s="2">
        <v>50.03</v>
      </c>
      <c r="F4816" s="2">
        <v>2</v>
      </c>
      <c r="G4816" s="2" t="s">
        <v>10</v>
      </c>
      <c r="H4816" s="2" t="s">
        <v>4917</v>
      </c>
    </row>
    <row r="4817" spans="1:7" x14ac:dyDescent="0.2">
      <c r="A4817" s="2" t="s">
        <v>3531</v>
      </c>
      <c r="B4817" s="2" t="s">
        <v>7003</v>
      </c>
      <c r="C4817" s="2">
        <v>743.79610000000002</v>
      </c>
      <c r="D4817" s="2">
        <f>HYPERLINK("http://mcb-m6.bioreg.kyushu-u.ac.jp/M3/20110404/F50768/1901/1", 77.02)</f>
        <v>77.02</v>
      </c>
      <c r="E4817" s="2">
        <v>49.28</v>
      </c>
      <c r="F4817" s="2">
        <v>2</v>
      </c>
      <c r="G4817" s="2" t="s">
        <v>10</v>
      </c>
    </row>
    <row r="4818" spans="1:7" x14ac:dyDescent="0.2">
      <c r="A4818" s="2" t="s">
        <v>3531</v>
      </c>
      <c r="B4818" s="2" t="s">
        <v>3203</v>
      </c>
      <c r="C4818" s="2">
        <v>718.77070000000003</v>
      </c>
      <c r="D4818" s="2">
        <f>HYPERLINK("http://mcb-m6.bioreg.kyushu-u.ac.jp/M3/20110404/F50768/1827/1", 84.61)</f>
        <v>84.61</v>
      </c>
      <c r="E4818" s="2">
        <v>60.74</v>
      </c>
      <c r="F4818" s="2">
        <v>2</v>
      </c>
      <c r="G4818" s="2" t="s">
        <v>10</v>
      </c>
    </row>
    <row r="4819" spans="1:7" x14ac:dyDescent="0.2">
      <c r="A4819" s="2" t="s">
        <v>3531</v>
      </c>
      <c r="B4819" s="2" t="s">
        <v>379</v>
      </c>
      <c r="C4819" s="2">
        <v>685.91970000000003</v>
      </c>
      <c r="D4819" s="2">
        <f>HYPERLINK("http://mcb-m6.bioreg.kyushu-u.ac.jp/M3/20110421/F51035/1624/1", 36.26)</f>
        <v>36.26</v>
      </c>
      <c r="E4819" s="2">
        <v>17.93</v>
      </c>
      <c r="F4819" s="2">
        <v>2</v>
      </c>
      <c r="G4819" s="2" t="s">
        <v>11</v>
      </c>
    </row>
    <row r="4820" spans="1:7" x14ac:dyDescent="0.2">
      <c r="A4820" s="2" t="s">
        <v>3531</v>
      </c>
      <c r="B4820" s="2" t="s">
        <v>469</v>
      </c>
      <c r="C4820" s="2">
        <v>576.27509999999995</v>
      </c>
      <c r="D4820" s="2">
        <f>HYPERLINK("http://mcb-m6.bioreg.kyushu-u.ac.jp/M3/20110421/F51034/1214/1", 51.96)</f>
        <v>51.96</v>
      </c>
      <c r="E4820" s="2">
        <v>36.799999999999997</v>
      </c>
      <c r="F4820" s="2">
        <v>2</v>
      </c>
      <c r="G4820" s="2" t="s">
        <v>11</v>
      </c>
    </row>
    <row r="4821" spans="1:7" x14ac:dyDescent="0.2">
      <c r="A4821" s="2" t="s">
        <v>3531</v>
      </c>
      <c r="B4821" s="2" t="s">
        <v>469</v>
      </c>
      <c r="C4821" s="2">
        <v>576.2432</v>
      </c>
      <c r="D4821" s="2">
        <f>HYPERLINK("http://mcb-m6.bioreg.kyushu-u.ac.jp/M3/20110421/F51035/1103/1", 53.98)</f>
        <v>53.98</v>
      </c>
      <c r="E4821" s="2">
        <v>34.159999999999997</v>
      </c>
      <c r="F4821" s="2">
        <v>2</v>
      </c>
      <c r="G4821" s="2" t="s">
        <v>11</v>
      </c>
    </row>
    <row r="4822" spans="1:7" x14ac:dyDescent="0.2">
      <c r="A4822" s="2" t="s">
        <v>3531</v>
      </c>
      <c r="B4822" s="2" t="s">
        <v>379</v>
      </c>
      <c r="C4822" s="2">
        <v>685.93520000000001</v>
      </c>
      <c r="D4822" s="2">
        <f>HYPERLINK("http://mcb-m6.bioreg.kyushu-u.ac.jp/M3/20110421/F51034/1699/1", 61.44)</f>
        <v>61.44</v>
      </c>
      <c r="E4822" s="2">
        <v>43.48</v>
      </c>
      <c r="F4822" s="2">
        <v>2</v>
      </c>
      <c r="G4822" s="2" t="s">
        <v>11</v>
      </c>
    </row>
    <row r="4823" spans="1:7" x14ac:dyDescent="0.2">
      <c r="A4823" s="2" t="s">
        <v>3531</v>
      </c>
      <c r="B4823" s="2" t="s">
        <v>469</v>
      </c>
      <c r="C4823" s="2">
        <v>575.72770000000003</v>
      </c>
      <c r="D4823" s="2">
        <f>HYPERLINK("http://mcb-m6.bioreg.kyushu-u.ac.jp/M3/20110421/F51034/1210/1", 70.21)</f>
        <v>70.209999999999994</v>
      </c>
      <c r="E4823" s="2">
        <v>48.23</v>
      </c>
      <c r="F4823" s="2">
        <v>2</v>
      </c>
      <c r="G4823" s="2" t="s">
        <v>11</v>
      </c>
    </row>
    <row r="4824" spans="1:7" x14ac:dyDescent="0.2">
      <c r="A4824" s="2" t="s">
        <v>3531</v>
      </c>
      <c r="B4824" s="2" t="s">
        <v>469</v>
      </c>
      <c r="C4824" s="2">
        <v>1150.5360000000001</v>
      </c>
      <c r="D4824" s="2">
        <f>HYPERLINK("http://mcb-m6.bioreg.kyushu-u.ac.jp/M3/20110421/F51043/1253/1", 39.58)</f>
        <v>39.58</v>
      </c>
      <c r="E4824" s="2">
        <v>18.079999999999998</v>
      </c>
      <c r="F4824" s="2">
        <v>1</v>
      </c>
      <c r="G4824" s="2" t="s">
        <v>12</v>
      </c>
    </row>
    <row r="4825" spans="1:7" x14ac:dyDescent="0.2">
      <c r="A4825" s="2" t="s">
        <v>3531</v>
      </c>
      <c r="B4825" s="2" t="s">
        <v>379</v>
      </c>
      <c r="C4825" s="2">
        <v>686.42610000000002</v>
      </c>
      <c r="D4825" s="2">
        <f>HYPERLINK("http://mcb-m6.bioreg.kyushu-u.ac.jp/M3/20110421/F51044/1693/1", 46.46)</f>
        <v>46.46</v>
      </c>
      <c r="E4825" s="2">
        <v>28.67</v>
      </c>
      <c r="F4825" s="2">
        <v>2</v>
      </c>
      <c r="G4825" s="2" t="s">
        <v>12</v>
      </c>
    </row>
    <row r="4826" spans="1:7" x14ac:dyDescent="0.2">
      <c r="A4826" s="2" t="s">
        <v>3531</v>
      </c>
      <c r="B4826" s="2" t="s">
        <v>379</v>
      </c>
      <c r="C4826" s="2">
        <v>685.92319999999995</v>
      </c>
      <c r="D4826" s="2">
        <f>HYPERLINK("http://mcb-m6.bioreg.kyushu-u.ac.jp/M3/20110421/F51044/1685/1", 57.63)</f>
        <v>57.63</v>
      </c>
      <c r="E4826" s="2">
        <v>38.119999999999997</v>
      </c>
      <c r="F4826" s="2">
        <v>2</v>
      </c>
      <c r="G4826" s="2" t="s">
        <v>12</v>
      </c>
    </row>
    <row r="4827" spans="1:7" x14ac:dyDescent="0.2">
      <c r="A4827" s="2" t="s">
        <v>3531</v>
      </c>
      <c r="B4827" s="2" t="s">
        <v>469</v>
      </c>
      <c r="C4827" s="2">
        <v>575.78610000000003</v>
      </c>
      <c r="D4827" s="2">
        <f>HYPERLINK("http://mcb-m6.bioreg.kyushu-u.ac.jp/M3/20110421/F51045/1442/1", 63.02)</f>
        <v>63.02</v>
      </c>
      <c r="E4827" s="2">
        <v>43.58</v>
      </c>
      <c r="F4827" s="2">
        <v>2</v>
      </c>
      <c r="G4827" s="2" t="s">
        <v>12</v>
      </c>
    </row>
    <row r="4828" spans="1:7" x14ac:dyDescent="0.2">
      <c r="A4828" s="2" t="s">
        <v>3531</v>
      </c>
      <c r="B4828" s="2" t="s">
        <v>469</v>
      </c>
      <c r="C4828" s="2">
        <v>575.79269999999997</v>
      </c>
      <c r="D4828" s="2">
        <f>HYPERLINK("http://mcb-m6.bioreg.kyushu-u.ac.jp/M3/20110421/F51044/1213/1", 65.83)</f>
        <v>65.83</v>
      </c>
      <c r="E4828" s="2">
        <v>45.69</v>
      </c>
      <c r="F4828" s="2">
        <v>2</v>
      </c>
      <c r="G4828" s="2" t="s">
        <v>12</v>
      </c>
    </row>
    <row r="4829" spans="1:7" x14ac:dyDescent="0.2">
      <c r="A4829" s="2" t="s">
        <v>3531</v>
      </c>
      <c r="B4829" s="2" t="s">
        <v>3203</v>
      </c>
      <c r="C4829" s="2">
        <v>718.52120000000002</v>
      </c>
      <c r="D4829" s="2">
        <f>HYPERLINK("http://mcb-m6.bioreg.kyushu-u.ac.jp/M3/20110421/F51043/1970/1", 66.09)</f>
        <v>66.09</v>
      </c>
      <c r="E4829" s="2">
        <v>36.74</v>
      </c>
      <c r="F4829" s="2">
        <v>2</v>
      </c>
      <c r="G4829" s="2" t="s">
        <v>12</v>
      </c>
    </row>
    <row r="4830" spans="1:7" x14ac:dyDescent="0.2">
      <c r="A4830" s="2" t="s">
        <v>3531</v>
      </c>
      <c r="B4830" s="2" t="s">
        <v>469</v>
      </c>
      <c r="C4830" s="2">
        <v>575.82209999999998</v>
      </c>
      <c r="D4830" s="2">
        <f>HYPERLINK("http://mcb-m6.bioreg.kyushu-u.ac.jp/M3/20110421/F51043/1254/1", 67.42)</f>
        <v>67.42</v>
      </c>
      <c r="E4830" s="2">
        <v>45.16</v>
      </c>
      <c r="F4830" s="2">
        <v>2</v>
      </c>
      <c r="G4830" s="2" t="s">
        <v>12</v>
      </c>
    </row>
    <row r="4831" spans="1:7" x14ac:dyDescent="0.2">
      <c r="A4831" s="2" t="s">
        <v>3531</v>
      </c>
      <c r="B4831" s="2" t="s">
        <v>469</v>
      </c>
      <c r="C4831" s="2">
        <v>575.66060000000004</v>
      </c>
      <c r="D4831" s="2">
        <f>HYPERLINK("http://mcb-m6.bioreg.kyushu-u.ac.jp/M3/20110428/F51127/1070/1", 35.29)</f>
        <v>35.29</v>
      </c>
      <c r="E4831" s="2">
        <v>15.34</v>
      </c>
      <c r="F4831" s="2">
        <v>2</v>
      </c>
      <c r="G4831" s="2" t="s">
        <v>13</v>
      </c>
    </row>
    <row r="4832" spans="1:7" x14ac:dyDescent="0.2">
      <c r="A4832" s="2" t="s">
        <v>3531</v>
      </c>
      <c r="B4832" s="2" t="s">
        <v>469</v>
      </c>
      <c r="C4832" s="2">
        <v>575.70820000000003</v>
      </c>
      <c r="D4832" s="2">
        <f>HYPERLINK("http://mcb-m6.bioreg.kyushu-u.ac.jp/M3/20110427/F51114/1252/1", 50.73)</f>
        <v>50.73</v>
      </c>
      <c r="E4832" s="2">
        <v>33.4</v>
      </c>
      <c r="F4832" s="2">
        <v>2</v>
      </c>
      <c r="G4832" s="2" t="s">
        <v>13</v>
      </c>
    </row>
    <row r="4833" spans="1:9" x14ac:dyDescent="0.2">
      <c r="A4833" s="2" t="s">
        <v>3531</v>
      </c>
      <c r="B4833" s="2" t="s">
        <v>379</v>
      </c>
      <c r="C4833" s="2">
        <v>685.73569999999995</v>
      </c>
      <c r="D4833" s="2">
        <f>HYPERLINK("http://mcb-m6.bioreg.kyushu-u.ac.jp/M3/20110428/F51127/1558/1", 56.82)</f>
        <v>56.82</v>
      </c>
      <c r="E4833" s="2">
        <v>38.22</v>
      </c>
      <c r="F4833" s="2">
        <v>2</v>
      </c>
      <c r="G4833" s="2" t="s">
        <v>13</v>
      </c>
    </row>
    <row r="4834" spans="1:9" x14ac:dyDescent="0.2">
      <c r="A4834" s="2" t="s">
        <v>3531</v>
      </c>
      <c r="B4834" s="2" t="s">
        <v>3203</v>
      </c>
      <c r="C4834" s="2">
        <v>718.15060000000005</v>
      </c>
      <c r="D4834" s="2">
        <f>HYPERLINK("http://mcb-m6.bioreg.kyushu-u.ac.jp/M3/20110428/F51127/1758/1", 72.93)</f>
        <v>72.930000000000007</v>
      </c>
      <c r="E4834" s="2">
        <v>52.51</v>
      </c>
      <c r="F4834" s="2">
        <v>2</v>
      </c>
      <c r="G4834" s="2" t="s">
        <v>13</v>
      </c>
    </row>
    <row r="4835" spans="1:9" x14ac:dyDescent="0.2">
      <c r="A4835" s="2" t="s">
        <v>3531</v>
      </c>
      <c r="B4835" s="2" t="s">
        <v>469</v>
      </c>
      <c r="C4835" s="2">
        <v>575.65060000000005</v>
      </c>
      <c r="D4835" s="2">
        <f>HYPERLINK("http://mcb-m6.bioreg.kyushu-u.ac.jp/M3/20110428/F51128/1219/1", 43.48)</f>
        <v>43.48</v>
      </c>
      <c r="E4835" s="2">
        <v>26.27</v>
      </c>
      <c r="F4835" s="2">
        <v>2</v>
      </c>
      <c r="G4835" s="2" t="s">
        <v>14</v>
      </c>
    </row>
    <row r="4836" spans="1:9" x14ac:dyDescent="0.2">
      <c r="A4836" s="2" t="s">
        <v>3531</v>
      </c>
      <c r="B4836" s="2" t="s">
        <v>379</v>
      </c>
      <c r="C4836" s="2">
        <v>685.72019999999998</v>
      </c>
      <c r="D4836" s="2">
        <f>HYPERLINK("http://mcb-m6.bioreg.kyushu-u.ac.jp/M3/20110428/F51128/1682/1", 53.5)</f>
        <v>53.5</v>
      </c>
      <c r="E4836" s="2">
        <v>30.85</v>
      </c>
      <c r="F4836" s="2">
        <v>2</v>
      </c>
      <c r="G4836" s="2" t="s">
        <v>14</v>
      </c>
    </row>
    <row r="4837" spans="1:9" x14ac:dyDescent="0.2">
      <c r="A4837" s="2" t="s">
        <v>7547</v>
      </c>
      <c r="B4837" s="2" t="s">
        <v>5957</v>
      </c>
      <c r="C4837" s="2">
        <v>461.33960000000002</v>
      </c>
      <c r="D4837" s="2">
        <f>HYPERLINK("http://mcb-m6.bioreg.kyushu-u.ac.jp/M3/20110404/F50762/847/1", 36.96)</f>
        <v>36.96</v>
      </c>
      <c r="E4837" s="2">
        <v>11.28</v>
      </c>
      <c r="F4837" s="2">
        <v>2</v>
      </c>
      <c r="G4837" s="2" t="s">
        <v>9</v>
      </c>
    </row>
    <row r="4838" spans="1:9" x14ac:dyDescent="0.2">
      <c r="A4838" s="2" t="s">
        <v>7547</v>
      </c>
      <c r="B4838" s="2" t="s">
        <v>5957</v>
      </c>
      <c r="C4838" s="2">
        <v>461.68360000000001</v>
      </c>
      <c r="D4838" s="2">
        <f>HYPERLINK("http://mcb-m6.bioreg.kyushu-u.ac.jp/M3/20110404/F50763/927/1", 47.52)</f>
        <v>47.52</v>
      </c>
      <c r="E4838" s="2">
        <v>16.420000000000002</v>
      </c>
      <c r="F4838" s="2">
        <v>2</v>
      </c>
      <c r="G4838" s="2" t="s">
        <v>9</v>
      </c>
    </row>
    <row r="4839" spans="1:9" x14ac:dyDescent="0.2">
      <c r="A4839" s="2" t="s">
        <v>7547</v>
      </c>
      <c r="B4839" s="2" t="s">
        <v>5957</v>
      </c>
      <c r="C4839" s="2">
        <v>461.67959999999999</v>
      </c>
      <c r="D4839" s="2">
        <f>HYPERLINK("http://mcb-m6.bioreg.kyushu-u.ac.jp/M3/20110404/F50768/964/1", 42.8)</f>
        <v>42.8</v>
      </c>
      <c r="E4839" s="2">
        <v>14.55</v>
      </c>
      <c r="F4839" s="2">
        <v>2</v>
      </c>
      <c r="G4839" s="2" t="s">
        <v>10</v>
      </c>
    </row>
    <row r="4840" spans="1:9" x14ac:dyDescent="0.2">
      <c r="A4840" s="2" t="s">
        <v>7782</v>
      </c>
      <c r="B4840" s="2" t="s">
        <v>6675</v>
      </c>
      <c r="C4840" s="2">
        <v>1065.33</v>
      </c>
      <c r="D4840" s="2">
        <f>HYPERLINK("http://mcb-m6.bioreg.kyushu-u.ac.jp/M3/20110404/F50769/1366/1", 35.07)</f>
        <v>35.07</v>
      </c>
      <c r="E4840" s="2">
        <v>14.97</v>
      </c>
      <c r="F4840" s="2">
        <v>1</v>
      </c>
      <c r="G4840" s="2" t="s">
        <v>10</v>
      </c>
    </row>
    <row r="4841" spans="1:9" x14ac:dyDescent="0.2">
      <c r="A4841" s="2" t="s">
        <v>7782</v>
      </c>
      <c r="B4841" s="2" t="s">
        <v>6675</v>
      </c>
      <c r="C4841" s="2">
        <v>1065.4559999999999</v>
      </c>
      <c r="D4841" s="2">
        <f>HYPERLINK("http://mcb-m6.bioreg.kyushu-u.ac.jp/M3/20110404/F50768/1193/1", 41.22)</f>
        <v>41.22</v>
      </c>
      <c r="E4841" s="2">
        <v>22.79</v>
      </c>
      <c r="F4841" s="2">
        <v>1</v>
      </c>
      <c r="G4841" s="2" t="s">
        <v>10</v>
      </c>
    </row>
    <row r="4842" spans="1:9" x14ac:dyDescent="0.2">
      <c r="A4842" s="2" t="s">
        <v>4830</v>
      </c>
      <c r="B4842" s="2" t="s">
        <v>3091</v>
      </c>
      <c r="C4842" s="2">
        <v>1032.2650000000001</v>
      </c>
      <c r="D4842" s="2">
        <f>HYPERLINK("http://mcb-m6.bioreg.kyushu-u.ac.jp/M3/20110404/F50762/2657/1", 54.03)</f>
        <v>54.03</v>
      </c>
      <c r="E4842" s="2">
        <v>44.48</v>
      </c>
      <c r="F4842" s="2">
        <v>2</v>
      </c>
      <c r="G4842" s="2" t="s">
        <v>9</v>
      </c>
    </row>
    <row r="4843" spans="1:9" x14ac:dyDescent="0.2">
      <c r="A4843" s="2" t="s">
        <v>4830</v>
      </c>
      <c r="B4843" s="2" t="s">
        <v>3091</v>
      </c>
      <c r="C4843" s="2">
        <v>1031.8910000000001</v>
      </c>
      <c r="D4843" s="2">
        <f>HYPERLINK("http://mcb-m6.bioreg.kyushu-u.ac.jp/M3/20110404/F50762/2655/1", 89.38)</f>
        <v>89.38</v>
      </c>
      <c r="E4843" s="2">
        <v>84.07</v>
      </c>
      <c r="F4843" s="2">
        <v>2</v>
      </c>
      <c r="G4843" s="2" t="s">
        <v>9</v>
      </c>
    </row>
    <row r="4844" spans="1:9" x14ac:dyDescent="0.2">
      <c r="A4844" s="2" t="s">
        <v>4830</v>
      </c>
      <c r="B4844" s="2" t="s">
        <v>3091</v>
      </c>
      <c r="C4844" s="2">
        <v>1032.4169999999999</v>
      </c>
      <c r="D4844" s="2">
        <f>HYPERLINK("http://mcb-m6.bioreg.kyushu-u.ac.jp/M3/20110404/F50768/2820/1", 74.84)</f>
        <v>74.84</v>
      </c>
      <c r="E4844" s="2">
        <v>60.96</v>
      </c>
      <c r="F4844" s="2">
        <v>2</v>
      </c>
      <c r="G4844" s="2" t="s">
        <v>10</v>
      </c>
    </row>
    <row r="4845" spans="1:9" x14ac:dyDescent="0.2">
      <c r="A4845" s="2" t="s">
        <v>4830</v>
      </c>
      <c r="B4845" s="2" t="s">
        <v>3091</v>
      </c>
      <c r="C4845" s="2">
        <v>1031.9100000000001</v>
      </c>
      <c r="D4845" s="2">
        <f>HYPERLINK("http://mcb-m6.bioreg.kyushu-u.ac.jp/M3/20110404/F50768/2817/1", 84.34)</f>
        <v>84.34</v>
      </c>
      <c r="E4845" s="2">
        <v>72.11</v>
      </c>
      <c r="F4845" s="2">
        <v>2</v>
      </c>
      <c r="G4845" s="2" t="s">
        <v>10</v>
      </c>
    </row>
    <row r="4846" spans="1:9" x14ac:dyDescent="0.2">
      <c r="A4846" s="2" t="s">
        <v>4830</v>
      </c>
      <c r="B4846" s="2" t="s">
        <v>3091</v>
      </c>
      <c r="C4846" s="2">
        <v>1032.463</v>
      </c>
      <c r="D4846" s="2">
        <f>HYPERLINK("http://mcb-m6.bioreg.kyushu-u.ac.jp/M3/20110421/F51043/3167/1", 82.26)</f>
        <v>82.26</v>
      </c>
      <c r="E4846" s="2">
        <v>71.319999999999993</v>
      </c>
      <c r="F4846" s="2">
        <v>2</v>
      </c>
      <c r="G4846" s="2" t="s">
        <v>12</v>
      </c>
    </row>
    <row r="4847" spans="1:9" x14ac:dyDescent="0.2">
      <c r="A4847" s="2" t="s">
        <v>3723</v>
      </c>
      <c r="B4847" s="2" t="s">
        <v>718</v>
      </c>
      <c r="C4847" s="2">
        <v>669.77009999999996</v>
      </c>
      <c r="D4847" s="2">
        <f>HYPERLINK("http://mcb-m6.bioreg.kyushu-u.ac.jp/M3/20110404/F50762/1510/1", 45.95)</f>
        <v>45.95</v>
      </c>
      <c r="E4847" s="2">
        <v>33.72</v>
      </c>
      <c r="F4847" s="2">
        <v>2</v>
      </c>
      <c r="G4847" s="2" t="s">
        <v>9</v>
      </c>
      <c r="I4847" s="2" t="s">
        <v>4892</v>
      </c>
    </row>
    <row r="4848" spans="1:9" x14ac:dyDescent="0.2">
      <c r="A4848" s="2" t="s">
        <v>3723</v>
      </c>
      <c r="B4848" s="2" t="s">
        <v>2021</v>
      </c>
      <c r="C4848" s="2">
        <v>605.73609999999996</v>
      </c>
      <c r="D4848" s="2">
        <f>HYPERLINK("http://mcb-m6.bioreg.kyushu-u.ac.jp/M3/20110404/F50756/1373/1", 50.07)</f>
        <v>50.07</v>
      </c>
      <c r="E4848" s="2">
        <v>29.56</v>
      </c>
      <c r="F4848" s="2">
        <v>2</v>
      </c>
      <c r="G4848" s="2" t="s">
        <v>9</v>
      </c>
      <c r="I4848" s="2" t="s">
        <v>4892</v>
      </c>
    </row>
    <row r="4849" spans="1:9" x14ac:dyDescent="0.2">
      <c r="A4849" s="2" t="s">
        <v>3723</v>
      </c>
      <c r="B4849" s="2" t="s">
        <v>2021</v>
      </c>
      <c r="C4849" s="2">
        <v>1210.569</v>
      </c>
      <c r="D4849" s="2">
        <f>HYPERLINK("http://mcb-m6.bioreg.kyushu-u.ac.jp/M3/20110404/F50763/1421/1", 51.07)</f>
        <v>51.07</v>
      </c>
      <c r="E4849" s="2">
        <v>38.950000000000003</v>
      </c>
      <c r="F4849" s="2">
        <v>1</v>
      </c>
      <c r="G4849" s="2" t="s">
        <v>9</v>
      </c>
      <c r="I4849" s="2" t="s">
        <v>4892</v>
      </c>
    </row>
    <row r="4850" spans="1:9" x14ac:dyDescent="0.2">
      <c r="A4850" s="2" t="s">
        <v>3723</v>
      </c>
      <c r="B4850" s="2" t="s">
        <v>2021</v>
      </c>
      <c r="C4850" s="2">
        <v>1210.498</v>
      </c>
      <c r="D4850" s="2">
        <f>HYPERLINK("http://mcb-m6.bioreg.kyushu-u.ac.jp/M3/20110404/F50762/1327/1", 51.14)</f>
        <v>51.14</v>
      </c>
      <c r="E4850" s="2">
        <v>38.880000000000003</v>
      </c>
      <c r="F4850" s="2">
        <v>1</v>
      </c>
      <c r="G4850" s="2" t="s">
        <v>9</v>
      </c>
      <c r="I4850" s="2" t="s">
        <v>4892</v>
      </c>
    </row>
    <row r="4851" spans="1:9" x14ac:dyDescent="0.2">
      <c r="A4851" s="2" t="s">
        <v>3723</v>
      </c>
      <c r="B4851" s="2" t="s">
        <v>718</v>
      </c>
      <c r="C4851" s="2">
        <v>670.29970000000003</v>
      </c>
      <c r="D4851" s="2">
        <f>HYPERLINK("http://mcb-m6.bioreg.kyushu-u.ac.jp/M3/20110404/F50762/1511/1", 81.65)</f>
        <v>81.650000000000006</v>
      </c>
      <c r="E4851" s="2">
        <v>58.8</v>
      </c>
      <c r="F4851" s="2">
        <v>2</v>
      </c>
      <c r="G4851" s="2" t="s">
        <v>9</v>
      </c>
      <c r="I4851" s="2" t="s">
        <v>4892</v>
      </c>
    </row>
    <row r="4852" spans="1:9" x14ac:dyDescent="0.2">
      <c r="A4852" s="2" t="s">
        <v>3723</v>
      </c>
      <c r="B4852" s="2" t="s">
        <v>2021</v>
      </c>
      <c r="C4852" s="2">
        <v>605.74270000000001</v>
      </c>
      <c r="D4852" s="2">
        <f>HYPERLINK("http://mcb-m6.bioreg.kyushu-u.ac.jp/M3/20110404/F50762/1326/1", 82.14)</f>
        <v>82.14</v>
      </c>
      <c r="E4852" s="2">
        <v>61.07</v>
      </c>
      <c r="F4852" s="2">
        <v>2</v>
      </c>
      <c r="G4852" s="2" t="s">
        <v>9</v>
      </c>
      <c r="I4852" s="2" t="s">
        <v>4892</v>
      </c>
    </row>
    <row r="4853" spans="1:9" x14ac:dyDescent="0.2">
      <c r="A4853" s="2" t="s">
        <v>3723</v>
      </c>
      <c r="B4853" s="2" t="s">
        <v>2021</v>
      </c>
      <c r="C4853" s="2">
        <v>605.85720000000003</v>
      </c>
      <c r="D4853" s="2">
        <f>HYPERLINK("http://mcb-m6.bioreg.kyushu-u.ac.jp/M3/20110404/F50763/1422/1", 82.14)</f>
        <v>82.14</v>
      </c>
      <c r="E4853" s="2">
        <v>62.54</v>
      </c>
      <c r="F4853" s="2">
        <v>2</v>
      </c>
      <c r="G4853" s="2" t="s">
        <v>9</v>
      </c>
      <c r="I4853" s="2" t="s">
        <v>4892</v>
      </c>
    </row>
    <row r="4854" spans="1:9" x14ac:dyDescent="0.2">
      <c r="A4854" s="2" t="s">
        <v>3723</v>
      </c>
      <c r="B4854" s="2" t="s">
        <v>718</v>
      </c>
      <c r="C4854" s="2">
        <v>670.25959999999998</v>
      </c>
      <c r="D4854" s="2">
        <f>HYPERLINK("http://mcb-m6.bioreg.kyushu-u.ac.jp/M3/20110404/F50769/1728/1", 39.19)</f>
        <v>39.19</v>
      </c>
      <c r="E4854" s="2">
        <v>27.43</v>
      </c>
      <c r="F4854" s="2">
        <v>2</v>
      </c>
      <c r="G4854" s="2" t="s">
        <v>10</v>
      </c>
      <c r="I4854" s="2" t="s">
        <v>4892</v>
      </c>
    </row>
    <row r="4855" spans="1:9" x14ac:dyDescent="0.2">
      <c r="A4855" s="2" t="s">
        <v>3723</v>
      </c>
      <c r="B4855" s="2" t="s">
        <v>2021</v>
      </c>
      <c r="C4855" s="2">
        <v>1210.4349999999999</v>
      </c>
      <c r="D4855" s="2">
        <f>HYPERLINK("http://mcb-m6.bioreg.kyushu-u.ac.jp/M3/20110404/F50758/1479/1", 39.55)</f>
        <v>39.549999999999997</v>
      </c>
      <c r="E4855" s="2">
        <v>27.58</v>
      </c>
      <c r="F4855" s="2">
        <v>1</v>
      </c>
      <c r="G4855" s="2" t="s">
        <v>10</v>
      </c>
      <c r="I4855" s="2" t="s">
        <v>4892</v>
      </c>
    </row>
    <row r="4856" spans="1:9" x14ac:dyDescent="0.2">
      <c r="A4856" s="2" t="s">
        <v>3723</v>
      </c>
      <c r="B4856" s="2" t="s">
        <v>2021</v>
      </c>
      <c r="C4856" s="2">
        <v>605.6866</v>
      </c>
      <c r="D4856" s="2">
        <f>HYPERLINK("http://mcb-m6.bioreg.kyushu-u.ac.jp/M3/20110404/F50761/1337/1", 49.28)</f>
        <v>49.28</v>
      </c>
      <c r="E4856" s="2">
        <v>28.62</v>
      </c>
      <c r="F4856" s="2">
        <v>2</v>
      </c>
      <c r="G4856" s="2" t="s">
        <v>10</v>
      </c>
      <c r="I4856" s="2" t="s">
        <v>4892</v>
      </c>
    </row>
    <row r="4857" spans="1:9" x14ac:dyDescent="0.2">
      <c r="A4857" s="2" t="s">
        <v>3723</v>
      </c>
      <c r="B4857" s="2" t="s">
        <v>2021</v>
      </c>
      <c r="C4857" s="2">
        <v>1211.0889999999999</v>
      </c>
      <c r="D4857" s="2">
        <f>HYPERLINK("http://mcb-m6.bioreg.kyushu-u.ac.jp/M3/20110404/F50769/1552/1", 50.63)</f>
        <v>50.63</v>
      </c>
      <c r="E4857" s="2">
        <v>38.840000000000003</v>
      </c>
      <c r="F4857" s="2">
        <v>1</v>
      </c>
      <c r="G4857" s="2" t="s">
        <v>10</v>
      </c>
      <c r="I4857" s="2" t="s">
        <v>4892</v>
      </c>
    </row>
    <row r="4858" spans="1:9" x14ac:dyDescent="0.2">
      <c r="A4858" s="2" t="s">
        <v>3723</v>
      </c>
      <c r="B4858" s="2" t="s">
        <v>2021</v>
      </c>
      <c r="C4858" s="2">
        <v>1210.5319999999999</v>
      </c>
      <c r="D4858" s="2">
        <f>HYPERLINK("http://mcb-m6.bioreg.kyushu-u.ac.jp/M3/20110404/F50768/1400/1", 54.43)</f>
        <v>54.43</v>
      </c>
      <c r="E4858" s="2">
        <v>42.14</v>
      </c>
      <c r="F4858" s="2">
        <v>1</v>
      </c>
      <c r="G4858" s="2" t="s">
        <v>10</v>
      </c>
      <c r="I4858" s="2" t="s">
        <v>4892</v>
      </c>
    </row>
    <row r="4859" spans="1:9" x14ac:dyDescent="0.2">
      <c r="A4859" s="2" t="s">
        <v>3723</v>
      </c>
      <c r="B4859" s="2" t="s">
        <v>2021</v>
      </c>
      <c r="C4859" s="2">
        <v>605.73270000000002</v>
      </c>
      <c r="D4859" s="2">
        <f>HYPERLINK("http://mcb-m6.bioreg.kyushu-u.ac.jp/M3/20110404/F50758/1480/1", 59.64)</f>
        <v>59.64</v>
      </c>
      <c r="E4859" s="2">
        <v>42.62</v>
      </c>
      <c r="F4859" s="2">
        <v>2</v>
      </c>
      <c r="G4859" s="2" t="s">
        <v>10</v>
      </c>
      <c r="I4859" s="2" t="s">
        <v>4892</v>
      </c>
    </row>
    <row r="4860" spans="1:9" x14ac:dyDescent="0.2">
      <c r="A4860" s="2" t="s">
        <v>3723</v>
      </c>
      <c r="B4860" s="2" t="s">
        <v>718</v>
      </c>
      <c r="C4860" s="2">
        <v>670.34860000000003</v>
      </c>
      <c r="D4860" s="2">
        <f>HYPERLINK("http://mcb-m6.bioreg.kyushu-u.ac.jp/M3/20110404/F50768/1589/1", 81.86)</f>
        <v>81.86</v>
      </c>
      <c r="E4860" s="2">
        <v>54.09</v>
      </c>
      <c r="F4860" s="2">
        <v>2</v>
      </c>
      <c r="G4860" s="2" t="s">
        <v>10</v>
      </c>
      <c r="I4860" s="2" t="s">
        <v>4892</v>
      </c>
    </row>
    <row r="4861" spans="1:9" x14ac:dyDescent="0.2">
      <c r="A4861" s="2" t="s">
        <v>3723</v>
      </c>
      <c r="B4861" s="2" t="s">
        <v>2021</v>
      </c>
      <c r="C4861" s="2">
        <v>605.71310000000005</v>
      </c>
      <c r="D4861" s="2">
        <f>HYPERLINK("http://mcb-m6.bioreg.kyushu-u.ac.jp/M3/20110404/F50768/1398/1", 85.58)</f>
        <v>85.58</v>
      </c>
      <c r="E4861" s="2">
        <v>62.5</v>
      </c>
      <c r="F4861" s="2">
        <v>2</v>
      </c>
      <c r="G4861" s="2" t="s">
        <v>10</v>
      </c>
      <c r="I4861" s="2" t="s">
        <v>4892</v>
      </c>
    </row>
    <row r="4862" spans="1:9" x14ac:dyDescent="0.2">
      <c r="A4862" s="2" t="s">
        <v>3723</v>
      </c>
      <c r="B4862" s="2" t="s">
        <v>718</v>
      </c>
      <c r="C4862" s="2">
        <v>669.87220000000002</v>
      </c>
      <c r="D4862" s="2">
        <f>HYPERLINK("http://mcb-m6.bioreg.kyushu-u.ac.jp/M3/20110421/F51044/1593/1", 46.11)</f>
        <v>46.11</v>
      </c>
      <c r="E4862" s="2">
        <v>34.53</v>
      </c>
      <c r="F4862" s="2">
        <v>2</v>
      </c>
      <c r="G4862" s="2" t="s">
        <v>12</v>
      </c>
      <c r="I4862" s="2" t="s">
        <v>4892</v>
      </c>
    </row>
    <row r="4863" spans="1:9" x14ac:dyDescent="0.2">
      <c r="A4863" s="2" t="s">
        <v>3723</v>
      </c>
      <c r="B4863" s="2" t="s">
        <v>718</v>
      </c>
      <c r="C4863" s="2">
        <v>669.95420000000001</v>
      </c>
      <c r="D4863" s="2">
        <f>HYPERLINK("http://mcb-m6.bioreg.kyushu-u.ac.jp/M3/20110421/F51043/1648/1", 47.55)</f>
        <v>47.55</v>
      </c>
      <c r="E4863" s="2">
        <v>35.07</v>
      </c>
      <c r="F4863" s="2">
        <v>2</v>
      </c>
      <c r="G4863" s="2" t="s">
        <v>12</v>
      </c>
      <c r="I4863" s="2" t="s">
        <v>4892</v>
      </c>
    </row>
    <row r="4864" spans="1:9" x14ac:dyDescent="0.2">
      <c r="A4864" s="2" t="s">
        <v>3723</v>
      </c>
      <c r="B4864" s="2" t="s">
        <v>2021</v>
      </c>
      <c r="C4864" s="2">
        <v>1210.5999999999999</v>
      </c>
      <c r="D4864" s="2">
        <f>HYPERLINK("http://mcb-m6.bioreg.kyushu-u.ac.jp/M3/20110421/F51043/1400/1", 50.92)</f>
        <v>50.92</v>
      </c>
      <c r="E4864" s="2">
        <v>29.51</v>
      </c>
      <c r="F4864" s="2">
        <v>1</v>
      </c>
      <c r="G4864" s="2" t="s">
        <v>12</v>
      </c>
      <c r="I4864" s="2" t="s">
        <v>4892</v>
      </c>
    </row>
    <row r="4865" spans="1:9" x14ac:dyDescent="0.2">
      <c r="A4865" s="2" t="s">
        <v>3723</v>
      </c>
      <c r="B4865" s="2" t="s">
        <v>718</v>
      </c>
      <c r="C4865" s="2">
        <v>670.45420000000001</v>
      </c>
      <c r="D4865" s="2">
        <f>HYPERLINK("http://mcb-m6.bioreg.kyushu-u.ac.jp/M3/20110421/F51043/1650/1", 63.4)</f>
        <v>63.4</v>
      </c>
      <c r="E4865" s="2">
        <v>38.83</v>
      </c>
      <c r="F4865" s="2">
        <v>2</v>
      </c>
      <c r="G4865" s="2" t="s">
        <v>12</v>
      </c>
      <c r="I4865" s="2" t="s">
        <v>4892</v>
      </c>
    </row>
    <row r="4866" spans="1:9" x14ac:dyDescent="0.2">
      <c r="A4866" s="2" t="s">
        <v>3723</v>
      </c>
      <c r="B4866" s="2" t="s">
        <v>2021</v>
      </c>
      <c r="C4866" s="2">
        <v>606.07619999999997</v>
      </c>
      <c r="D4866" s="2">
        <f>HYPERLINK("http://mcb-m6.bioreg.kyushu-u.ac.jp/M3/20110421/F51044/1352/1", 64.93)</f>
        <v>64.930000000000007</v>
      </c>
      <c r="E4866" s="2">
        <v>47.41</v>
      </c>
      <c r="F4866" s="2">
        <v>2</v>
      </c>
      <c r="G4866" s="2" t="s">
        <v>12</v>
      </c>
      <c r="I4866" s="2" t="s">
        <v>4892</v>
      </c>
    </row>
    <row r="4867" spans="1:9" x14ac:dyDescent="0.2">
      <c r="A4867" s="2" t="s">
        <v>3723</v>
      </c>
      <c r="B4867" s="2" t="s">
        <v>2021</v>
      </c>
      <c r="C4867" s="2">
        <v>605.78859999999997</v>
      </c>
      <c r="D4867" s="2">
        <f>HYPERLINK("http://mcb-m6.bioreg.kyushu-u.ac.jp/M3/20110421/F51045/1599/1", 79.34)</f>
        <v>79.34</v>
      </c>
      <c r="E4867" s="2">
        <v>59.76</v>
      </c>
      <c r="F4867" s="2">
        <v>2</v>
      </c>
      <c r="G4867" s="2" t="s">
        <v>12</v>
      </c>
      <c r="I4867" s="2" t="s">
        <v>4892</v>
      </c>
    </row>
    <row r="4868" spans="1:9" x14ac:dyDescent="0.2">
      <c r="A4868" s="2" t="s">
        <v>3723</v>
      </c>
      <c r="B4868" s="2" t="s">
        <v>2021</v>
      </c>
      <c r="C4868" s="2">
        <v>605.80820000000006</v>
      </c>
      <c r="D4868" s="2">
        <f>HYPERLINK("http://mcb-m6.bioreg.kyushu-u.ac.jp/M3/20110421/F51043/1401/1", 79.5)</f>
        <v>79.5</v>
      </c>
      <c r="E4868" s="2">
        <v>58.48</v>
      </c>
      <c r="F4868" s="2">
        <v>2</v>
      </c>
      <c r="G4868" s="2" t="s">
        <v>12</v>
      </c>
      <c r="I4868" s="2" t="s">
        <v>4892</v>
      </c>
    </row>
    <row r="4869" spans="1:9" x14ac:dyDescent="0.2">
      <c r="A4869" s="2" t="s">
        <v>3723</v>
      </c>
      <c r="B4869" s="2" t="s">
        <v>2021</v>
      </c>
      <c r="C4869" s="2">
        <v>605.69370000000004</v>
      </c>
      <c r="D4869" s="2">
        <f>HYPERLINK("http://mcb-m6.bioreg.kyushu-u.ac.jp/M3/20110428/F51127/1225/1", 73.92)</f>
        <v>73.92</v>
      </c>
      <c r="E4869" s="2">
        <v>49.38</v>
      </c>
      <c r="F4869" s="2">
        <v>2</v>
      </c>
      <c r="G4869" s="2" t="s">
        <v>13</v>
      </c>
      <c r="I4869" s="2" t="s">
        <v>4892</v>
      </c>
    </row>
    <row r="4870" spans="1:9" x14ac:dyDescent="0.2">
      <c r="A4870" s="2" t="s">
        <v>3723</v>
      </c>
      <c r="B4870" s="2" t="s">
        <v>2021</v>
      </c>
      <c r="C4870" s="2">
        <v>605.59310000000005</v>
      </c>
      <c r="D4870" s="2">
        <f>HYPERLINK("http://mcb-m6.bioreg.kyushu-u.ac.jp/M3/20110428/F51128/1376/1", 44.45)</f>
        <v>44.45</v>
      </c>
      <c r="E4870" s="2">
        <v>25.68</v>
      </c>
      <c r="F4870" s="2">
        <v>2</v>
      </c>
      <c r="G4870" s="2" t="s">
        <v>14</v>
      </c>
      <c r="I4870" s="2" t="s">
        <v>4892</v>
      </c>
    </row>
    <row r="4871" spans="1:9" x14ac:dyDescent="0.2">
      <c r="A4871" s="2" t="s">
        <v>7580</v>
      </c>
      <c r="B4871" s="2" t="s">
        <v>6033</v>
      </c>
      <c r="C4871" s="2">
        <v>560.80619999999999</v>
      </c>
      <c r="D4871" s="2">
        <f>HYPERLINK("http://mcb-m6.bioreg.kyushu-u.ac.jp/M3/20110404/F50765/1134/1", 39.7)</f>
        <v>39.700000000000003</v>
      </c>
      <c r="E4871" s="2">
        <v>8.68</v>
      </c>
      <c r="F4871" s="2">
        <v>2</v>
      </c>
      <c r="G4871" s="2" t="s">
        <v>9</v>
      </c>
    </row>
    <row r="4872" spans="1:9" x14ac:dyDescent="0.2">
      <c r="A4872" s="2" t="s">
        <v>4410</v>
      </c>
      <c r="B4872" s="2" t="s">
        <v>2460</v>
      </c>
      <c r="C4872" s="2">
        <v>765.44320000000005</v>
      </c>
      <c r="D4872" s="2">
        <f>HYPERLINK("http://mcb-m6.bioreg.kyushu-u.ac.jp/M3/20110404/F50767/1843/1", 53.56)</f>
        <v>53.56</v>
      </c>
      <c r="E4872" s="2">
        <v>34.19</v>
      </c>
      <c r="F4872" s="2">
        <v>2</v>
      </c>
      <c r="G4872" s="2" t="s">
        <v>9</v>
      </c>
    </row>
    <row r="4873" spans="1:9" x14ac:dyDescent="0.2">
      <c r="A4873" s="2" t="s">
        <v>4410</v>
      </c>
      <c r="B4873" s="2" t="s">
        <v>2460</v>
      </c>
      <c r="C4873" s="2">
        <v>765.24369999999999</v>
      </c>
      <c r="D4873" s="2">
        <f>HYPERLINK("http://mcb-m6.bioreg.kyushu-u.ac.jp/M3/20110404/F50771/1987/1", 72.66)</f>
        <v>72.66</v>
      </c>
      <c r="E4873" s="2">
        <v>52.27</v>
      </c>
      <c r="F4873" s="2">
        <v>2</v>
      </c>
      <c r="G4873" s="2" t="s">
        <v>10</v>
      </c>
    </row>
    <row r="4874" spans="1:9" x14ac:dyDescent="0.2">
      <c r="A4874" s="2" t="s">
        <v>5637</v>
      </c>
      <c r="B4874" s="2" t="s">
        <v>6289</v>
      </c>
      <c r="C4874" s="2">
        <v>726.26210000000003</v>
      </c>
      <c r="D4874" s="2">
        <f>HYPERLINK("http://mcb-m6.bioreg.kyushu-u.ac.jp/M3/20110404/F50753/1956/1", 51.02)</f>
        <v>51.02</v>
      </c>
      <c r="E4874" s="2">
        <v>29.14</v>
      </c>
      <c r="F4874" s="2">
        <v>2</v>
      </c>
      <c r="G4874" s="2" t="s">
        <v>9</v>
      </c>
    </row>
    <row r="4875" spans="1:9" x14ac:dyDescent="0.2">
      <c r="A4875" s="2" t="s">
        <v>5637</v>
      </c>
      <c r="B4875" s="2" t="s">
        <v>6422</v>
      </c>
      <c r="C4875" s="2">
        <v>790.21969999999999</v>
      </c>
      <c r="D4875" s="2">
        <f>HYPERLINK("http://mcb-m6.bioreg.kyushu-u.ac.jp/M3/20110404/F50753/2211/1", 62.24)</f>
        <v>62.24</v>
      </c>
      <c r="E4875" s="2">
        <v>40.28</v>
      </c>
      <c r="F4875" s="2">
        <v>2</v>
      </c>
      <c r="G4875" s="2" t="s">
        <v>9</v>
      </c>
    </row>
    <row r="4876" spans="1:9" x14ac:dyDescent="0.2">
      <c r="A4876" s="2" t="s">
        <v>5637</v>
      </c>
      <c r="B4876" s="2" t="s">
        <v>5065</v>
      </c>
      <c r="C4876" s="2">
        <v>800.77070000000003</v>
      </c>
      <c r="D4876" s="2">
        <f>HYPERLINK("http://mcb-m6.bioreg.kyushu-u.ac.jp/M3/20110404/F50753/2251/1", 66.09)</f>
        <v>66.09</v>
      </c>
      <c r="E4876" s="2">
        <v>42.99</v>
      </c>
      <c r="F4876" s="2">
        <v>2</v>
      </c>
      <c r="G4876" s="2" t="s">
        <v>9</v>
      </c>
    </row>
    <row r="4877" spans="1:9" x14ac:dyDescent="0.2">
      <c r="A4877" s="2" t="s">
        <v>5637</v>
      </c>
      <c r="B4877" s="2" t="s">
        <v>5065</v>
      </c>
      <c r="C4877" s="2">
        <v>808.72919999999999</v>
      </c>
      <c r="D4877" s="2">
        <f>HYPERLINK("http://mcb-m6.bioreg.kyushu-u.ac.jp/M3/20110404/F50753/2273/1", 84.01)</f>
        <v>84.01</v>
      </c>
      <c r="E4877" s="2">
        <v>63.94</v>
      </c>
      <c r="F4877" s="2">
        <v>2</v>
      </c>
      <c r="G4877" s="2" t="s">
        <v>9</v>
      </c>
      <c r="H4877" s="2" t="s">
        <v>4927</v>
      </c>
    </row>
    <row r="4878" spans="1:9" x14ac:dyDescent="0.2">
      <c r="A4878" s="2" t="s">
        <v>5637</v>
      </c>
      <c r="B4878" s="2" t="s">
        <v>5065</v>
      </c>
      <c r="C4878" s="2">
        <v>801.33219999999994</v>
      </c>
      <c r="D4878" s="2">
        <f>HYPERLINK("http://mcb-m6.bioreg.kyushu-u.ac.jp/M3/20110404/F50758/2142/1", 46.81)</f>
        <v>46.81</v>
      </c>
      <c r="E4878" s="2">
        <v>26.89</v>
      </c>
      <c r="F4878" s="2">
        <v>2</v>
      </c>
      <c r="G4878" s="2" t="s">
        <v>10</v>
      </c>
    </row>
    <row r="4879" spans="1:9" x14ac:dyDescent="0.2">
      <c r="A4879" s="2" t="s">
        <v>5637</v>
      </c>
      <c r="B4879" s="2" t="s">
        <v>6289</v>
      </c>
      <c r="C4879" s="2">
        <v>726.7432</v>
      </c>
      <c r="D4879" s="2">
        <f>HYPERLINK("http://mcb-m6.bioreg.kyushu-u.ac.jp/M3/20110404/F50758/1857/1", 48.54)</f>
        <v>48.54</v>
      </c>
      <c r="E4879" s="2">
        <v>29.32</v>
      </c>
      <c r="F4879" s="2">
        <v>2</v>
      </c>
      <c r="G4879" s="2" t="s">
        <v>10</v>
      </c>
    </row>
    <row r="4880" spans="1:9" x14ac:dyDescent="0.2">
      <c r="A4880" s="2" t="s">
        <v>5637</v>
      </c>
      <c r="B4880" s="2" t="s">
        <v>5065</v>
      </c>
      <c r="C4880" s="2">
        <v>800.82119999999998</v>
      </c>
      <c r="D4880" s="2">
        <f>HYPERLINK("http://mcb-m6.bioreg.kyushu-u.ac.jp/M3/20110404/F50758/2136/1", 53.93)</f>
        <v>53.93</v>
      </c>
      <c r="E4880" s="2">
        <v>40.81</v>
      </c>
      <c r="F4880" s="2">
        <v>2</v>
      </c>
      <c r="G4880" s="2" t="s">
        <v>10</v>
      </c>
    </row>
    <row r="4881" spans="1:9" x14ac:dyDescent="0.2">
      <c r="A4881" s="2" t="s">
        <v>5637</v>
      </c>
      <c r="B4881" s="2" t="s">
        <v>5065</v>
      </c>
      <c r="C4881" s="2">
        <v>808.81209999999999</v>
      </c>
      <c r="D4881" s="2">
        <f>HYPERLINK("http://mcb-m6.bioreg.kyushu-u.ac.jp/M3/20110404/F50758/2169/1", 73.75)</f>
        <v>73.75</v>
      </c>
      <c r="E4881" s="2">
        <v>55.62</v>
      </c>
      <c r="F4881" s="2">
        <v>2</v>
      </c>
      <c r="G4881" s="2" t="s">
        <v>10</v>
      </c>
      <c r="H4881" s="2" t="s">
        <v>4927</v>
      </c>
    </row>
    <row r="4882" spans="1:9" x14ac:dyDescent="0.2">
      <c r="A4882" s="2" t="s">
        <v>3702</v>
      </c>
      <c r="B4882" s="2" t="s">
        <v>681</v>
      </c>
      <c r="C4882" s="2">
        <v>483.43360000000001</v>
      </c>
      <c r="D4882" s="2">
        <f>HYPERLINK("http://mcb-m6.bioreg.kyushu-u.ac.jp/M3/20110404/F50753/1157/1", 47.21)</f>
        <v>47.21</v>
      </c>
      <c r="E4882" s="2">
        <v>19.18</v>
      </c>
      <c r="F4882" s="2">
        <v>2</v>
      </c>
      <c r="G4882" s="2" t="s">
        <v>9</v>
      </c>
    </row>
    <row r="4883" spans="1:9" x14ac:dyDescent="0.2">
      <c r="A4883" s="2" t="s">
        <v>3702</v>
      </c>
      <c r="B4883" s="2" t="s">
        <v>681</v>
      </c>
      <c r="C4883" s="2">
        <v>966.39</v>
      </c>
      <c r="D4883" s="2">
        <f>HYPERLINK("http://mcb-m6.bioreg.kyushu-u.ac.jp/M3/20110404/F50758/1182/1", 38.46)</f>
        <v>38.46</v>
      </c>
      <c r="E4883" s="2">
        <v>20.52</v>
      </c>
      <c r="F4883" s="2">
        <v>1</v>
      </c>
      <c r="G4883" s="2" t="s">
        <v>10</v>
      </c>
    </row>
    <row r="4884" spans="1:9" x14ac:dyDescent="0.2">
      <c r="A4884" s="2" t="s">
        <v>3702</v>
      </c>
      <c r="B4884" s="2" t="s">
        <v>681</v>
      </c>
      <c r="C4884" s="2">
        <v>483.5711</v>
      </c>
      <c r="D4884" s="2">
        <f>HYPERLINK("http://mcb-m6.bioreg.kyushu-u.ac.jp/M3/20110404/F50758/1181/1", 61.41)</f>
        <v>61.41</v>
      </c>
      <c r="E4884" s="2">
        <v>24.14</v>
      </c>
      <c r="F4884" s="2">
        <v>2</v>
      </c>
      <c r="G4884" s="2" t="s">
        <v>10</v>
      </c>
    </row>
    <row r="4885" spans="1:9" x14ac:dyDescent="0.2">
      <c r="A4885" s="2" t="s">
        <v>3702</v>
      </c>
      <c r="B4885" s="2" t="s">
        <v>681</v>
      </c>
      <c r="C4885" s="2">
        <v>483.59010000000001</v>
      </c>
      <c r="D4885" s="2">
        <f>HYPERLINK("http://mcb-m6.bioreg.kyushu-u.ac.jp/M3/20110427/F51111/1028/1", 51.6)</f>
        <v>51.6</v>
      </c>
      <c r="E4885" s="2">
        <v>20.07</v>
      </c>
      <c r="F4885" s="2">
        <v>2</v>
      </c>
      <c r="G4885" s="2" t="s">
        <v>13</v>
      </c>
    </row>
    <row r="4886" spans="1:9" x14ac:dyDescent="0.2">
      <c r="A4886" s="2" t="s">
        <v>7989</v>
      </c>
      <c r="B4886" s="2" t="s">
        <v>7208</v>
      </c>
      <c r="C4886" s="2">
        <v>882.01070000000004</v>
      </c>
      <c r="D4886" s="2">
        <f>HYPERLINK("http://mcb-m6.bioreg.kyushu-u.ac.jp/M3/20110421/F51045/2718/1", 45.96)</f>
        <v>45.96</v>
      </c>
      <c r="E4886" s="2">
        <v>30.77</v>
      </c>
      <c r="F4886" s="2">
        <v>2</v>
      </c>
      <c r="G4886" s="2" t="s">
        <v>12</v>
      </c>
    </row>
    <row r="4887" spans="1:9" x14ac:dyDescent="0.2">
      <c r="A4887" s="2" t="s">
        <v>4542</v>
      </c>
      <c r="B4887" s="2" t="s">
        <v>2570</v>
      </c>
      <c r="C4887" s="2">
        <v>786.79269999999997</v>
      </c>
      <c r="D4887" s="2">
        <f>HYPERLINK("http://mcb-m6.bioreg.kyushu-u.ac.jp/M3/20110404/F50756/2193/1", 54.01)</f>
        <v>54.01</v>
      </c>
      <c r="E4887" s="2">
        <v>24.44</v>
      </c>
      <c r="F4887" s="2">
        <v>2</v>
      </c>
      <c r="G4887" s="2" t="s">
        <v>9</v>
      </c>
    </row>
    <row r="4888" spans="1:9" x14ac:dyDescent="0.2">
      <c r="A4888" s="2" t="s">
        <v>4542</v>
      </c>
      <c r="B4888" s="2" t="s">
        <v>2570</v>
      </c>
      <c r="C4888" s="2">
        <v>786.71259999999995</v>
      </c>
      <c r="D4888" s="2">
        <f>HYPERLINK("http://mcb-m6.bioreg.kyushu-u.ac.jp/M3/20110404/F50761/2047/1", 40.79)</f>
        <v>40.79</v>
      </c>
      <c r="E4888" s="2">
        <v>30.33</v>
      </c>
      <c r="F4888" s="2">
        <v>2</v>
      </c>
      <c r="G4888" s="2" t="s">
        <v>10</v>
      </c>
    </row>
    <row r="4889" spans="1:9" x14ac:dyDescent="0.2">
      <c r="A4889" s="2" t="s">
        <v>5847</v>
      </c>
      <c r="B4889" s="2" t="s">
        <v>5540</v>
      </c>
      <c r="C4889" s="2">
        <v>486.22309999999999</v>
      </c>
      <c r="D4889" s="2">
        <f>HYPERLINK("http://mcb-m6.bioreg.kyushu-u.ac.jp/M3/20110404/F50756/962/1", 49.9)</f>
        <v>49.9</v>
      </c>
      <c r="E4889" s="2">
        <v>21.66</v>
      </c>
      <c r="F4889" s="2">
        <v>2</v>
      </c>
      <c r="G4889" s="2" t="s">
        <v>9</v>
      </c>
    </row>
    <row r="4890" spans="1:9" x14ac:dyDescent="0.2">
      <c r="A4890" s="2" t="s">
        <v>5847</v>
      </c>
      <c r="B4890" s="2" t="s">
        <v>5540</v>
      </c>
      <c r="C4890" s="2">
        <v>486.7346</v>
      </c>
      <c r="D4890" s="2">
        <f>HYPERLINK("http://mcb-m6.bioreg.kyushu-u.ac.jp/M3/20110404/F50754/1271/1", 58.48)</f>
        <v>58.48</v>
      </c>
      <c r="E4890" s="2">
        <v>17.329999999999998</v>
      </c>
      <c r="F4890" s="2">
        <v>2</v>
      </c>
      <c r="G4890" s="2" t="s">
        <v>9</v>
      </c>
    </row>
    <row r="4891" spans="1:9" x14ac:dyDescent="0.2">
      <c r="A4891" s="2" t="s">
        <v>5847</v>
      </c>
      <c r="B4891" s="2" t="s">
        <v>5540</v>
      </c>
      <c r="C4891" s="2">
        <v>486.21210000000002</v>
      </c>
      <c r="D4891" s="2">
        <f>HYPERLINK("http://mcb-m6.bioreg.kyushu-u.ac.jp/M3/20110404/F50762/947/1", 66.49)</f>
        <v>66.489999999999995</v>
      </c>
      <c r="E4891" s="2">
        <v>32.42</v>
      </c>
      <c r="F4891" s="2">
        <v>2</v>
      </c>
      <c r="G4891" s="2" t="s">
        <v>9</v>
      </c>
    </row>
    <row r="4892" spans="1:9" x14ac:dyDescent="0.2">
      <c r="A4892" s="2" t="s">
        <v>5847</v>
      </c>
      <c r="B4892" s="2" t="s">
        <v>5540</v>
      </c>
      <c r="C4892" s="2">
        <v>486.25560000000002</v>
      </c>
      <c r="D4892" s="2">
        <f>HYPERLINK("http://mcb-m6.bioreg.kyushu-u.ac.jp/M3/20110404/F50763/1038/1", 69.14)</f>
        <v>69.14</v>
      </c>
      <c r="E4892" s="2">
        <v>33.61</v>
      </c>
      <c r="F4892" s="2">
        <v>2</v>
      </c>
      <c r="G4892" s="2" t="s">
        <v>9</v>
      </c>
    </row>
    <row r="4893" spans="1:9" x14ac:dyDescent="0.2">
      <c r="A4893" s="2" t="s">
        <v>5847</v>
      </c>
      <c r="B4893" s="2" t="s">
        <v>5540</v>
      </c>
      <c r="C4893" s="2">
        <v>486.43360000000001</v>
      </c>
      <c r="D4893" s="2">
        <f>HYPERLINK("http://mcb-m6.bioreg.kyushu-u.ac.jp/M3/20110421/F51058/711/1", 37.44)</f>
        <v>37.44</v>
      </c>
      <c r="E4893" s="2">
        <v>12.1</v>
      </c>
      <c r="F4893" s="2">
        <v>2</v>
      </c>
      <c r="G4893" s="2" t="s">
        <v>11</v>
      </c>
    </row>
    <row r="4894" spans="1:9" x14ac:dyDescent="0.2">
      <c r="A4894" s="2" t="s">
        <v>5847</v>
      </c>
      <c r="B4894" s="2" t="s">
        <v>5540</v>
      </c>
      <c r="C4894" s="2">
        <v>486.6001</v>
      </c>
      <c r="D4894" s="2">
        <f>HYPERLINK("http://mcb-m6.bioreg.kyushu-u.ac.jp/M3/20110428/F51132/825/1", 38.98)</f>
        <v>38.979999999999997</v>
      </c>
      <c r="E4894" s="2">
        <v>14.44</v>
      </c>
      <c r="F4894" s="2">
        <v>2</v>
      </c>
      <c r="G4894" s="2" t="s">
        <v>13</v>
      </c>
    </row>
    <row r="4895" spans="1:9" x14ac:dyDescent="0.2">
      <c r="A4895" s="2" t="s">
        <v>7549</v>
      </c>
      <c r="B4895" s="2" t="s">
        <v>5961</v>
      </c>
      <c r="C4895" s="2">
        <v>535.14919999999995</v>
      </c>
      <c r="D4895" s="2">
        <f>HYPERLINK("http://mcb-m6.bioreg.kyushu-u.ac.jp/M3/20110404/F50762/1111/1", 37.08)</f>
        <v>37.08</v>
      </c>
      <c r="E4895" s="2">
        <v>13.4</v>
      </c>
      <c r="F4895" s="2">
        <v>2</v>
      </c>
      <c r="G4895" s="2" t="s">
        <v>9</v>
      </c>
      <c r="I4895" s="2" t="s">
        <v>4905</v>
      </c>
    </row>
    <row r="4896" spans="1:9" x14ac:dyDescent="0.2">
      <c r="A4896" s="2" t="s">
        <v>7549</v>
      </c>
      <c r="B4896" s="2" t="s">
        <v>6006</v>
      </c>
      <c r="C4896" s="2">
        <v>581.25210000000004</v>
      </c>
      <c r="D4896" s="2">
        <f>HYPERLINK("http://mcb-m6.bioreg.kyushu-u.ac.jp/M3/20110404/F50756/1280/1", 38.53)</f>
        <v>38.53</v>
      </c>
      <c r="E4896" s="2">
        <v>19.670000000000002</v>
      </c>
      <c r="F4896" s="2">
        <v>2</v>
      </c>
      <c r="G4896" s="2" t="s">
        <v>9</v>
      </c>
    </row>
    <row r="4897" spans="1:8" x14ac:dyDescent="0.2">
      <c r="A4897" s="2" t="s">
        <v>7549</v>
      </c>
      <c r="B4897" s="2" t="s">
        <v>6040</v>
      </c>
      <c r="C4897" s="2">
        <v>1276.4659999999999</v>
      </c>
      <c r="D4897" s="2">
        <f>HYPERLINK("http://mcb-m6.bioreg.kyushu-u.ac.jp/M3/20110404/F50762/1454/1", 39.89)</f>
        <v>39.89</v>
      </c>
      <c r="E4897" s="2">
        <v>20.399999999999999</v>
      </c>
      <c r="F4897" s="2">
        <v>1</v>
      </c>
      <c r="G4897" s="2" t="s">
        <v>9</v>
      </c>
    </row>
    <row r="4898" spans="1:8" x14ac:dyDescent="0.2">
      <c r="A4898" s="2" t="s">
        <v>7549</v>
      </c>
      <c r="B4898" s="2" t="s">
        <v>6145</v>
      </c>
      <c r="C4898" s="2">
        <v>992.96469999999999</v>
      </c>
      <c r="D4898" s="2">
        <f>HYPERLINK("http://mcb-m6.bioreg.kyushu-u.ac.jp/M3/20110404/F50762/2570/1", 44.25)</f>
        <v>44.25</v>
      </c>
      <c r="E4898" s="2">
        <v>31.28</v>
      </c>
      <c r="F4898" s="2">
        <v>2</v>
      </c>
      <c r="G4898" s="2" t="s">
        <v>9</v>
      </c>
      <c r="H4898" s="2" t="s">
        <v>4927</v>
      </c>
    </row>
    <row r="4899" spans="1:8" x14ac:dyDescent="0.2">
      <c r="A4899" s="2" t="s">
        <v>7549</v>
      </c>
      <c r="B4899" s="2" t="s">
        <v>6179</v>
      </c>
      <c r="C4899" s="2">
        <v>928.11320000000001</v>
      </c>
      <c r="D4899" s="2">
        <f>HYPERLINK("http://mcb-m6.bioreg.kyushu-u.ac.jp/M3/20110404/F50762/2408/1", 45.69)</f>
        <v>45.69</v>
      </c>
      <c r="E4899" s="2">
        <v>39.83</v>
      </c>
      <c r="F4899" s="2">
        <v>2</v>
      </c>
      <c r="G4899" s="2" t="s">
        <v>9</v>
      </c>
    </row>
    <row r="4900" spans="1:8" x14ac:dyDescent="0.2">
      <c r="A4900" s="2" t="s">
        <v>7549</v>
      </c>
      <c r="B4900" s="2" t="s">
        <v>6228</v>
      </c>
      <c r="C4900" s="2">
        <v>1302.5129999999999</v>
      </c>
      <c r="D4900" s="2">
        <f>HYPERLINK("http://mcb-m6.bioreg.kyushu-u.ac.jp/M3/20110404/F50762/1474/1", 47.6)</f>
        <v>47.6</v>
      </c>
      <c r="E4900" s="2">
        <v>34.090000000000003</v>
      </c>
      <c r="F4900" s="2">
        <v>1</v>
      </c>
      <c r="G4900" s="2" t="s">
        <v>9</v>
      </c>
    </row>
    <row r="4901" spans="1:8" x14ac:dyDescent="0.2">
      <c r="A4901" s="2" t="s">
        <v>7549</v>
      </c>
      <c r="B4901" s="2" t="s">
        <v>6145</v>
      </c>
      <c r="C4901" s="2">
        <v>985.53020000000004</v>
      </c>
      <c r="D4901" s="2">
        <f>HYPERLINK("http://mcb-m6.bioreg.kyushu-u.ac.jp/M3/20110404/F50762/2545/1", 47.79)</f>
        <v>47.79</v>
      </c>
      <c r="E4901" s="2">
        <v>36.049999999999997</v>
      </c>
      <c r="F4901" s="2">
        <v>2</v>
      </c>
      <c r="G4901" s="2" t="s">
        <v>9</v>
      </c>
    </row>
    <row r="4902" spans="1:8" x14ac:dyDescent="0.2">
      <c r="A4902" s="2" t="s">
        <v>7549</v>
      </c>
      <c r="B4902" s="2" t="s">
        <v>6313</v>
      </c>
      <c r="C4902" s="2">
        <v>871.04570000000001</v>
      </c>
      <c r="D4902" s="2">
        <f>HYPERLINK("http://mcb-m6.bioreg.kyushu-u.ac.jp/M3/20110404/F50762/2218/1", 52.31)</f>
        <v>52.31</v>
      </c>
      <c r="E4902" s="2">
        <v>39.31</v>
      </c>
      <c r="F4902" s="2">
        <v>2</v>
      </c>
      <c r="G4902" s="2" t="s">
        <v>9</v>
      </c>
    </row>
    <row r="4903" spans="1:8" x14ac:dyDescent="0.2">
      <c r="A4903" s="2" t="s">
        <v>7549</v>
      </c>
      <c r="B4903" s="2" t="s">
        <v>6228</v>
      </c>
      <c r="C4903" s="2">
        <v>652.29610000000002</v>
      </c>
      <c r="D4903" s="2">
        <f>HYPERLINK("http://mcb-m6.bioreg.kyushu-u.ac.jp/M3/20110404/F50762/1478/1", 75.93)</f>
        <v>75.930000000000007</v>
      </c>
      <c r="E4903" s="2">
        <v>51.39</v>
      </c>
      <c r="F4903" s="2">
        <v>2</v>
      </c>
      <c r="G4903" s="2" t="s">
        <v>9</v>
      </c>
    </row>
    <row r="4904" spans="1:8" x14ac:dyDescent="0.2">
      <c r="A4904" s="2" t="s">
        <v>7549</v>
      </c>
      <c r="B4904" s="2" t="s">
        <v>6532</v>
      </c>
      <c r="C4904" s="2">
        <v>806.23820000000001</v>
      </c>
      <c r="D4904" s="2">
        <f>HYPERLINK("http://mcb-m6.bioreg.kyushu-u.ac.jp/M3/20110404/F50762/2024/1", 76.09)</f>
        <v>76.09</v>
      </c>
      <c r="E4904" s="2">
        <v>53.11</v>
      </c>
      <c r="F4904" s="2">
        <v>2</v>
      </c>
      <c r="G4904" s="2" t="s">
        <v>9</v>
      </c>
    </row>
    <row r="4905" spans="1:8" x14ac:dyDescent="0.2">
      <c r="A4905" s="2" t="s">
        <v>7549</v>
      </c>
      <c r="B4905" s="2" t="s">
        <v>6228</v>
      </c>
      <c r="C4905" s="2">
        <v>651.76419999999996</v>
      </c>
      <c r="D4905" s="2">
        <f>HYPERLINK("http://mcb-m6.bioreg.kyushu-u.ac.jp/M3/20110404/F50762/1475/1", 81.79)</f>
        <v>81.790000000000006</v>
      </c>
      <c r="E4905" s="2">
        <v>58.84</v>
      </c>
      <c r="F4905" s="2">
        <v>2</v>
      </c>
      <c r="G4905" s="2" t="s">
        <v>9</v>
      </c>
    </row>
    <row r="4906" spans="1:8" x14ac:dyDescent="0.2">
      <c r="A4906" s="2" t="s">
        <v>7549</v>
      </c>
      <c r="B4906" s="2" t="s">
        <v>6580</v>
      </c>
      <c r="C4906" s="2">
        <v>1001.421</v>
      </c>
      <c r="D4906" s="2">
        <f>HYPERLINK("http://mcb-m6.bioreg.kyushu-u.ac.jp/M3/20110404/F50762/2586/1", 84.98)</f>
        <v>84.98</v>
      </c>
      <c r="E4906" s="2">
        <v>70.489999999999995</v>
      </c>
      <c r="F4906" s="2">
        <v>2</v>
      </c>
      <c r="G4906" s="2" t="s">
        <v>9</v>
      </c>
    </row>
    <row r="4907" spans="1:8" x14ac:dyDescent="0.2">
      <c r="A4907" s="2" t="s">
        <v>7549</v>
      </c>
      <c r="B4907" s="2" t="s">
        <v>6621</v>
      </c>
      <c r="C4907" s="2">
        <v>885.94709999999998</v>
      </c>
      <c r="D4907" s="2">
        <f>HYPERLINK("http://mcb-m6.bioreg.kyushu-u.ac.jp/M3/20110404/F50762/2255/1", 96.66)</f>
        <v>96.66</v>
      </c>
      <c r="E4907" s="2">
        <v>79.5</v>
      </c>
      <c r="F4907" s="2">
        <v>2</v>
      </c>
      <c r="G4907" s="2" t="s">
        <v>9</v>
      </c>
    </row>
    <row r="4908" spans="1:8" x14ac:dyDescent="0.2">
      <c r="A4908" s="2" t="s">
        <v>7549</v>
      </c>
      <c r="B4908" s="2" t="s">
        <v>6621</v>
      </c>
      <c r="C4908" s="2">
        <v>885.80359999999996</v>
      </c>
      <c r="D4908" s="2">
        <f>HYPERLINK("http://mcb-m6.bioreg.kyushu-u.ac.jp/M3/20110404/F50767/2393/1", 98.9)</f>
        <v>98.9</v>
      </c>
      <c r="E4908" s="2">
        <v>82.68</v>
      </c>
      <c r="F4908" s="2">
        <v>2</v>
      </c>
      <c r="G4908" s="2" t="s">
        <v>9</v>
      </c>
    </row>
    <row r="4909" spans="1:8" x14ac:dyDescent="0.2">
      <c r="A4909" s="2" t="s">
        <v>7549</v>
      </c>
      <c r="B4909" s="2" t="s">
        <v>6313</v>
      </c>
      <c r="C4909" s="2">
        <v>870.53970000000004</v>
      </c>
      <c r="D4909" s="2">
        <f>HYPERLINK("http://mcb-m6.bioreg.kyushu-u.ac.jp/M3/20110404/F50768/2332/1", 36.85)</f>
        <v>36.85</v>
      </c>
      <c r="E4909" s="2">
        <v>21.9</v>
      </c>
      <c r="F4909" s="2">
        <v>2</v>
      </c>
      <c r="G4909" s="2" t="s">
        <v>10</v>
      </c>
    </row>
    <row r="4910" spans="1:8" x14ac:dyDescent="0.2">
      <c r="A4910" s="2" t="s">
        <v>7549</v>
      </c>
      <c r="B4910" s="2" t="s">
        <v>6313</v>
      </c>
      <c r="C4910" s="2">
        <v>871.39419999999996</v>
      </c>
      <c r="D4910" s="2">
        <f>HYPERLINK("http://mcb-m6.bioreg.kyushu-u.ac.jp/M3/20110404/F50768/2339/1", 36.95)</f>
        <v>36.950000000000003</v>
      </c>
      <c r="E4910" s="2">
        <v>24.8</v>
      </c>
      <c r="F4910" s="2">
        <v>2</v>
      </c>
      <c r="G4910" s="2" t="s">
        <v>10</v>
      </c>
    </row>
    <row r="4911" spans="1:8" x14ac:dyDescent="0.2">
      <c r="A4911" s="2" t="s">
        <v>7549</v>
      </c>
      <c r="B4911" s="2" t="s">
        <v>6532</v>
      </c>
      <c r="C4911" s="2">
        <v>805.80870000000004</v>
      </c>
      <c r="D4911" s="2">
        <f>HYPERLINK("http://mcb-m6.bioreg.kyushu-u.ac.jp/M3/20110421/F51037/2421/1", 39.42)</f>
        <v>39.42</v>
      </c>
      <c r="E4911" s="2">
        <v>25.82</v>
      </c>
      <c r="F4911" s="2">
        <v>2</v>
      </c>
      <c r="G4911" s="2" t="s">
        <v>11</v>
      </c>
    </row>
    <row r="4912" spans="1:8" x14ac:dyDescent="0.2">
      <c r="A4912" s="2" t="s">
        <v>7549</v>
      </c>
      <c r="B4912" s="2" t="s">
        <v>7113</v>
      </c>
      <c r="C4912" s="2">
        <v>808.10109999999997</v>
      </c>
      <c r="D4912" s="2">
        <f>HYPERLINK("http://mcb-m6.bioreg.kyushu-u.ac.jp/M3/20110421/F51018/2412/1", 47.86)</f>
        <v>47.86</v>
      </c>
      <c r="E4912" s="2">
        <v>37.61</v>
      </c>
      <c r="F4912" s="2">
        <v>2</v>
      </c>
      <c r="G4912" s="2" t="s">
        <v>11</v>
      </c>
    </row>
    <row r="4913" spans="1:9" x14ac:dyDescent="0.2">
      <c r="A4913" s="2" t="s">
        <v>7549</v>
      </c>
      <c r="B4913" s="2" t="s">
        <v>6179</v>
      </c>
      <c r="C4913" s="2">
        <v>927.99220000000003</v>
      </c>
      <c r="D4913" s="2">
        <f>HYPERLINK("http://mcb-m6.bioreg.kyushu-u.ac.jp/M3/20110421/F51035/2897/1", 50.48)</f>
        <v>50.48</v>
      </c>
      <c r="E4913" s="2">
        <v>36.06</v>
      </c>
      <c r="F4913" s="2">
        <v>2</v>
      </c>
      <c r="G4913" s="2" t="s">
        <v>11</v>
      </c>
    </row>
    <row r="4914" spans="1:9" x14ac:dyDescent="0.2">
      <c r="A4914" s="2" t="s">
        <v>7549</v>
      </c>
      <c r="B4914" s="2" t="s">
        <v>6621</v>
      </c>
      <c r="C4914" s="2">
        <v>885.43470000000002</v>
      </c>
      <c r="D4914" s="2">
        <f>HYPERLINK("http://mcb-m6.bioreg.kyushu-u.ac.jp/M3/20110421/F51034/2650/1", 55.29)</f>
        <v>55.29</v>
      </c>
      <c r="E4914" s="2">
        <v>45.96</v>
      </c>
      <c r="F4914" s="2">
        <v>2</v>
      </c>
      <c r="G4914" s="2" t="s">
        <v>11</v>
      </c>
    </row>
    <row r="4915" spans="1:9" x14ac:dyDescent="0.2">
      <c r="A4915" s="2" t="s">
        <v>7549</v>
      </c>
      <c r="B4915" s="2" t="s">
        <v>6621</v>
      </c>
      <c r="C4915" s="2">
        <v>886.31920000000002</v>
      </c>
      <c r="D4915" s="2">
        <f>HYPERLINK("http://mcb-m6.bioreg.kyushu-u.ac.jp/M3/20110421/F51034/2654/1", 64.36)</f>
        <v>64.36</v>
      </c>
      <c r="E4915" s="2">
        <v>56.78</v>
      </c>
      <c r="F4915" s="2">
        <v>2</v>
      </c>
      <c r="G4915" s="2" t="s">
        <v>11</v>
      </c>
    </row>
    <row r="4916" spans="1:9" x14ac:dyDescent="0.2">
      <c r="A4916" s="2" t="s">
        <v>7549</v>
      </c>
      <c r="B4916" s="2" t="s">
        <v>6228</v>
      </c>
      <c r="C4916" s="2">
        <v>652.34469999999999</v>
      </c>
      <c r="D4916" s="2">
        <f>HYPERLINK("http://mcb-m6.bioreg.kyushu-u.ac.jp/M3/20110421/F51034/1541/1", 68.24)</f>
        <v>68.239999999999995</v>
      </c>
      <c r="E4916" s="2">
        <v>54.13</v>
      </c>
      <c r="F4916" s="2">
        <v>2</v>
      </c>
      <c r="G4916" s="2" t="s">
        <v>11</v>
      </c>
    </row>
    <row r="4917" spans="1:9" x14ac:dyDescent="0.2">
      <c r="A4917" s="2" t="s">
        <v>7549</v>
      </c>
      <c r="B4917" s="2" t="s">
        <v>6532</v>
      </c>
      <c r="C4917" s="2">
        <v>806.32119999999998</v>
      </c>
      <c r="D4917" s="2">
        <f>HYPERLINK("http://mcb-m6.bioreg.kyushu-u.ac.jp/M3/20110421/F51018/2407/1", 71.66)</f>
        <v>71.66</v>
      </c>
      <c r="E4917" s="2">
        <v>48.69</v>
      </c>
      <c r="F4917" s="2">
        <v>2</v>
      </c>
      <c r="G4917" s="2" t="s">
        <v>11</v>
      </c>
    </row>
    <row r="4918" spans="1:9" x14ac:dyDescent="0.2">
      <c r="A4918" s="2" t="s">
        <v>7549</v>
      </c>
      <c r="B4918" s="2" t="s">
        <v>7142</v>
      </c>
      <c r="C4918" s="2">
        <v>517.34770000000003</v>
      </c>
      <c r="D4918" s="2">
        <f>HYPERLINK("http://mcb-m6.bioreg.kyushu-u.ac.jp/M3/20110421/F51034/987/1", 73.98)</f>
        <v>73.98</v>
      </c>
      <c r="E4918" s="2">
        <v>39.76</v>
      </c>
      <c r="F4918" s="2">
        <v>2</v>
      </c>
      <c r="G4918" s="2" t="s">
        <v>11</v>
      </c>
    </row>
    <row r="4919" spans="1:9" x14ac:dyDescent="0.2">
      <c r="A4919" s="2" t="s">
        <v>7549</v>
      </c>
      <c r="B4919" s="2" t="s">
        <v>6532</v>
      </c>
      <c r="C4919" s="2">
        <v>805.92660000000001</v>
      </c>
      <c r="D4919" s="2">
        <f>HYPERLINK("http://mcb-m6.bioreg.kyushu-u.ac.jp/M3/20110421/F51034/2352/1", 85.25)</f>
        <v>85.25</v>
      </c>
      <c r="E4919" s="2">
        <v>57.64</v>
      </c>
      <c r="F4919" s="2">
        <v>2</v>
      </c>
      <c r="G4919" s="2" t="s">
        <v>11</v>
      </c>
    </row>
    <row r="4920" spans="1:9" x14ac:dyDescent="0.2">
      <c r="A4920" s="2" t="s">
        <v>7549</v>
      </c>
      <c r="B4920" s="2" t="s">
        <v>6621</v>
      </c>
      <c r="C4920" s="2">
        <v>885.96420000000001</v>
      </c>
      <c r="D4920" s="2">
        <f>HYPERLINK("http://mcb-m6.bioreg.kyushu-u.ac.jp/M3/20110421/F51035/2673/1", 99.15)</f>
        <v>99.15</v>
      </c>
      <c r="E4920" s="2">
        <v>84.77</v>
      </c>
      <c r="F4920" s="2">
        <v>2</v>
      </c>
      <c r="G4920" s="2" t="s">
        <v>11</v>
      </c>
    </row>
    <row r="4921" spans="1:9" x14ac:dyDescent="0.2">
      <c r="A4921" s="2" t="s">
        <v>7549</v>
      </c>
      <c r="B4921" s="2" t="s">
        <v>6621</v>
      </c>
      <c r="C4921" s="2">
        <v>885.96469999999999</v>
      </c>
      <c r="D4921" s="2">
        <f>HYPERLINK("http://mcb-m6.bioreg.kyushu-u.ac.jp/M3/20110421/F51034/2653/1", 104.4)</f>
        <v>104.4</v>
      </c>
      <c r="E4921" s="2">
        <v>88.18</v>
      </c>
      <c r="F4921" s="2">
        <v>2</v>
      </c>
      <c r="G4921" s="2" t="s">
        <v>11</v>
      </c>
    </row>
    <row r="4922" spans="1:9" x14ac:dyDescent="0.2">
      <c r="A4922" s="2" t="s">
        <v>7549</v>
      </c>
      <c r="B4922" s="2" t="s">
        <v>6621</v>
      </c>
      <c r="C4922" s="2">
        <v>886.50120000000004</v>
      </c>
      <c r="D4922" s="2">
        <f>HYPERLINK("http://mcb-m6.bioreg.kyushu-u.ac.jp/M3/20110421/F51035/2678/1", 107.26)</f>
        <v>107.26</v>
      </c>
      <c r="E4922" s="2">
        <v>90.02</v>
      </c>
      <c r="F4922" s="2">
        <v>2</v>
      </c>
      <c r="G4922" s="2" t="s">
        <v>11</v>
      </c>
    </row>
    <row r="4923" spans="1:9" x14ac:dyDescent="0.2">
      <c r="A4923" s="2" t="s">
        <v>7549</v>
      </c>
      <c r="B4923" s="2" t="s">
        <v>5961</v>
      </c>
      <c r="C4923" s="2">
        <v>1069.1659999999999</v>
      </c>
      <c r="D4923" s="2">
        <f>HYPERLINK("http://mcb-m6.bioreg.kyushu-u.ac.jp/M3/20110427/F51114/1098/1", 36.27)</f>
        <v>36.270000000000003</v>
      </c>
      <c r="E4923" s="2">
        <v>9.76</v>
      </c>
      <c r="F4923" s="2">
        <v>1</v>
      </c>
      <c r="G4923" s="2" t="s">
        <v>13</v>
      </c>
      <c r="I4923" s="2" t="s">
        <v>4905</v>
      </c>
    </row>
    <row r="4924" spans="1:9" x14ac:dyDescent="0.2">
      <c r="A4924" s="2" t="s">
        <v>7549</v>
      </c>
      <c r="B4924" s="2" t="s">
        <v>6621</v>
      </c>
      <c r="C4924" s="2">
        <v>590.86220000000003</v>
      </c>
      <c r="D4924" s="2">
        <f>HYPERLINK("http://mcb-m6.bioreg.kyushu-u.ac.jp/M3/20110427/F51114/2767/1", 41.28)</f>
        <v>41.28</v>
      </c>
      <c r="E4924" s="2">
        <v>28.72</v>
      </c>
      <c r="F4924" s="2">
        <v>3</v>
      </c>
      <c r="G4924" s="2" t="s">
        <v>13</v>
      </c>
    </row>
    <row r="4925" spans="1:9" x14ac:dyDescent="0.2">
      <c r="A4925" s="2" t="s">
        <v>7549</v>
      </c>
      <c r="B4925" s="2" t="s">
        <v>6179</v>
      </c>
      <c r="C4925" s="2">
        <v>927.88459999999998</v>
      </c>
      <c r="D4925" s="2">
        <f>HYPERLINK("http://mcb-m6.bioreg.kyushu-u.ac.jp/M3/20110427/F51114/2984/1", 42.4)</f>
        <v>42.4</v>
      </c>
      <c r="E4925" s="2">
        <v>31.4</v>
      </c>
      <c r="F4925" s="2">
        <v>2</v>
      </c>
      <c r="G4925" s="2" t="s">
        <v>13</v>
      </c>
    </row>
    <row r="4926" spans="1:9" x14ac:dyDescent="0.2">
      <c r="A4926" s="2" t="s">
        <v>7549</v>
      </c>
      <c r="B4926" s="2" t="s">
        <v>6313</v>
      </c>
      <c r="C4926" s="2">
        <v>870.36320000000001</v>
      </c>
      <c r="D4926" s="2">
        <f>HYPERLINK("http://mcb-m6.bioreg.kyushu-u.ac.jp/M3/20110428/F51127/2624/1", 43.35)</f>
        <v>43.35</v>
      </c>
      <c r="E4926" s="2">
        <v>24.49</v>
      </c>
      <c r="F4926" s="2">
        <v>2</v>
      </c>
      <c r="G4926" s="2" t="s">
        <v>13</v>
      </c>
    </row>
    <row r="4927" spans="1:9" x14ac:dyDescent="0.2">
      <c r="A4927" s="2" t="s">
        <v>7549</v>
      </c>
      <c r="B4927" s="2" t="s">
        <v>6145</v>
      </c>
      <c r="C4927" s="2">
        <v>657.22080000000005</v>
      </c>
      <c r="D4927" s="2">
        <f>HYPERLINK("http://mcb-m6.bioreg.kyushu-u.ac.jp/M3/20110427/F51114/3194/1", 44.72)</f>
        <v>44.72</v>
      </c>
      <c r="E4927" s="2">
        <v>27.48</v>
      </c>
      <c r="F4927" s="2">
        <v>3</v>
      </c>
      <c r="G4927" s="2" t="s">
        <v>13</v>
      </c>
    </row>
    <row r="4928" spans="1:9" x14ac:dyDescent="0.2">
      <c r="A4928" s="2" t="s">
        <v>7549</v>
      </c>
      <c r="B4928" s="2" t="s">
        <v>6145</v>
      </c>
      <c r="C4928" s="2">
        <v>985.41060000000004</v>
      </c>
      <c r="D4928" s="2">
        <f>HYPERLINK("http://mcb-m6.bioreg.kyushu-u.ac.jp/M3/20110428/F51127/3137/1", 46.98)</f>
        <v>46.98</v>
      </c>
      <c r="E4928" s="2">
        <v>36.71</v>
      </c>
      <c r="F4928" s="2">
        <v>2</v>
      </c>
      <c r="G4928" s="2" t="s">
        <v>13</v>
      </c>
    </row>
    <row r="4929" spans="1:7" x14ac:dyDescent="0.2">
      <c r="A4929" s="2" t="s">
        <v>7549</v>
      </c>
      <c r="B4929" s="2" t="s">
        <v>6145</v>
      </c>
      <c r="C4929" s="2">
        <v>985.34370000000001</v>
      </c>
      <c r="D4929" s="2">
        <f>HYPERLINK("http://mcb-m6.bioreg.kyushu-u.ac.jp/M3/20110427/F51114/3195/1", 52.38)</f>
        <v>52.38</v>
      </c>
      <c r="E4929" s="2">
        <v>36.79</v>
      </c>
      <c r="F4929" s="2">
        <v>2</v>
      </c>
      <c r="G4929" s="2" t="s">
        <v>13</v>
      </c>
    </row>
    <row r="4930" spans="1:7" x14ac:dyDescent="0.2">
      <c r="A4930" s="2" t="s">
        <v>7549</v>
      </c>
      <c r="B4930" s="2" t="s">
        <v>6532</v>
      </c>
      <c r="C4930" s="2">
        <v>806.22360000000003</v>
      </c>
      <c r="D4930" s="2">
        <f>HYPERLINK("http://mcb-m6.bioreg.kyushu-u.ac.jp/M3/20110428/F51127/2277/1", 53.66)</f>
        <v>53.66</v>
      </c>
      <c r="E4930" s="2">
        <v>28</v>
      </c>
      <c r="F4930" s="2">
        <v>2</v>
      </c>
      <c r="G4930" s="2" t="s">
        <v>13</v>
      </c>
    </row>
    <row r="4931" spans="1:7" x14ac:dyDescent="0.2">
      <c r="A4931" s="2" t="s">
        <v>7549</v>
      </c>
      <c r="B4931" s="2" t="s">
        <v>6532</v>
      </c>
      <c r="C4931" s="2">
        <v>805.6857</v>
      </c>
      <c r="D4931" s="2">
        <f>HYPERLINK("http://mcb-m6.bioreg.kyushu-u.ac.jp/M3/20110427/F51112/2411/1", 57.39)</f>
        <v>57.39</v>
      </c>
      <c r="E4931" s="2">
        <v>35.340000000000003</v>
      </c>
      <c r="F4931" s="2">
        <v>2</v>
      </c>
      <c r="G4931" s="2" t="s">
        <v>13</v>
      </c>
    </row>
    <row r="4932" spans="1:7" x14ac:dyDescent="0.2">
      <c r="A4932" s="2" t="s">
        <v>7549</v>
      </c>
      <c r="B4932" s="2" t="s">
        <v>6532</v>
      </c>
      <c r="C4932" s="2">
        <v>805.46370000000002</v>
      </c>
      <c r="D4932" s="2">
        <f>HYPERLINK("http://mcb-m6.bioreg.kyushu-u.ac.jp/M3/20110428/F51127/2272/1", 66.3)</f>
        <v>66.3</v>
      </c>
      <c r="E4932" s="2">
        <v>47.25</v>
      </c>
      <c r="F4932" s="2">
        <v>2</v>
      </c>
      <c r="G4932" s="2" t="s">
        <v>13</v>
      </c>
    </row>
    <row r="4933" spans="1:7" x14ac:dyDescent="0.2">
      <c r="A4933" s="2" t="s">
        <v>7549</v>
      </c>
      <c r="B4933" s="2" t="s">
        <v>6532</v>
      </c>
      <c r="C4933" s="2">
        <v>805.82709999999997</v>
      </c>
      <c r="D4933" s="2">
        <f>HYPERLINK("http://mcb-m6.bioreg.kyushu-u.ac.jp/M3/20110427/F51114/2424/1", 67.58)</f>
        <v>67.58</v>
      </c>
      <c r="E4933" s="2">
        <v>41.9</v>
      </c>
      <c r="F4933" s="2">
        <v>2</v>
      </c>
      <c r="G4933" s="2" t="s">
        <v>13</v>
      </c>
    </row>
    <row r="4934" spans="1:7" x14ac:dyDescent="0.2">
      <c r="A4934" s="2" t="s">
        <v>7549</v>
      </c>
      <c r="B4934" s="2" t="s">
        <v>6313</v>
      </c>
      <c r="C4934" s="2">
        <v>870.76070000000004</v>
      </c>
      <c r="D4934" s="2">
        <f>HYPERLINK("http://mcb-m6.bioreg.kyushu-u.ac.jp/M3/20110427/F51114/2716/1", 69.02)</f>
        <v>69.02</v>
      </c>
      <c r="E4934" s="2">
        <v>53.92</v>
      </c>
      <c r="F4934" s="2">
        <v>2</v>
      </c>
      <c r="G4934" s="2" t="s">
        <v>13</v>
      </c>
    </row>
    <row r="4935" spans="1:7" x14ac:dyDescent="0.2">
      <c r="A4935" s="2" t="s">
        <v>7549</v>
      </c>
      <c r="B4935" s="2" t="s">
        <v>6580</v>
      </c>
      <c r="C4935" s="2">
        <v>1001.155</v>
      </c>
      <c r="D4935" s="2">
        <f>HYPERLINK("http://mcb-m6.bioreg.kyushu-u.ac.jp/M3/20110427/F51114/3260/1", 69.07)</f>
        <v>69.069999999999993</v>
      </c>
      <c r="E4935" s="2">
        <v>52.11</v>
      </c>
      <c r="F4935" s="2">
        <v>2</v>
      </c>
      <c r="G4935" s="2" t="s">
        <v>13</v>
      </c>
    </row>
    <row r="4936" spans="1:7" x14ac:dyDescent="0.2">
      <c r="A4936" s="2" t="s">
        <v>7549</v>
      </c>
      <c r="B4936" s="2" t="s">
        <v>6145</v>
      </c>
      <c r="C4936" s="2">
        <v>984.82420000000002</v>
      </c>
      <c r="D4936" s="2">
        <f>HYPERLINK("http://mcb-m6.bioreg.kyushu-u.ac.jp/M3/20110427/F51114/3189/1", 71.52)</f>
        <v>71.52</v>
      </c>
      <c r="E4936" s="2">
        <v>53.22</v>
      </c>
      <c r="F4936" s="2">
        <v>2</v>
      </c>
      <c r="G4936" s="2" t="s">
        <v>13</v>
      </c>
    </row>
    <row r="4937" spans="1:7" x14ac:dyDescent="0.2">
      <c r="A4937" s="2" t="s">
        <v>7549</v>
      </c>
      <c r="B4937" s="2" t="s">
        <v>6532</v>
      </c>
      <c r="C4937" s="2">
        <v>806.23609999999996</v>
      </c>
      <c r="D4937" s="2">
        <f>HYPERLINK("http://mcb-m6.bioreg.kyushu-u.ac.jp/M3/20110427/F51112/2417/1", 72.92)</f>
        <v>72.92</v>
      </c>
      <c r="E4937" s="2">
        <v>50.33</v>
      </c>
      <c r="F4937" s="2">
        <v>2</v>
      </c>
      <c r="G4937" s="2" t="s">
        <v>13</v>
      </c>
    </row>
    <row r="4938" spans="1:7" x14ac:dyDescent="0.2">
      <c r="A4938" s="2" t="s">
        <v>7549</v>
      </c>
      <c r="B4938" s="2" t="s">
        <v>6006</v>
      </c>
      <c r="C4938" s="2">
        <v>580.41520000000003</v>
      </c>
      <c r="D4938" s="2">
        <f>HYPERLINK("http://mcb-m6.bioreg.kyushu-u.ac.jp/M3/20110427/F51114/1276/1", 77.58)</f>
        <v>77.58</v>
      </c>
      <c r="E4938" s="2">
        <v>51.58</v>
      </c>
      <c r="F4938" s="2">
        <v>2</v>
      </c>
      <c r="G4938" s="2" t="s">
        <v>13</v>
      </c>
    </row>
    <row r="4939" spans="1:7" x14ac:dyDescent="0.2">
      <c r="A4939" s="2" t="s">
        <v>7549</v>
      </c>
      <c r="B4939" s="2" t="s">
        <v>7113</v>
      </c>
      <c r="C4939" s="2">
        <v>808.28970000000004</v>
      </c>
      <c r="D4939" s="2">
        <f>HYPERLINK("http://mcb-m6.bioreg.kyushu-u.ac.jp/M3/20110428/F51127/2292/1", 81.49)</f>
        <v>81.489999999999995</v>
      </c>
      <c r="E4939" s="2">
        <v>67.56</v>
      </c>
      <c r="F4939" s="2">
        <v>2</v>
      </c>
      <c r="G4939" s="2" t="s">
        <v>13</v>
      </c>
    </row>
    <row r="4940" spans="1:7" x14ac:dyDescent="0.2">
      <c r="A4940" s="2" t="s">
        <v>7549</v>
      </c>
      <c r="B4940" s="2" t="s">
        <v>7113</v>
      </c>
      <c r="C4940" s="2">
        <v>807.54669999999999</v>
      </c>
      <c r="D4940" s="2">
        <f>HYPERLINK("http://mcb-m6.bioreg.kyushu-u.ac.jp/M3/20110428/F51127/2285/1", 90.62)</f>
        <v>90.62</v>
      </c>
      <c r="E4940" s="2">
        <v>73.760000000000005</v>
      </c>
      <c r="F4940" s="2">
        <v>2</v>
      </c>
      <c r="G4940" s="2" t="s">
        <v>13</v>
      </c>
    </row>
    <row r="4941" spans="1:7" x14ac:dyDescent="0.2">
      <c r="A4941" s="2" t="s">
        <v>7549</v>
      </c>
      <c r="B4941" s="2" t="s">
        <v>6228</v>
      </c>
      <c r="C4941" s="2">
        <v>651.66610000000003</v>
      </c>
      <c r="D4941" s="2">
        <f>HYPERLINK("http://mcb-m6.bioreg.kyushu-u.ac.jp/M3/20110427/F51114/1577/1", 92.34)</f>
        <v>92.34</v>
      </c>
      <c r="E4941" s="2">
        <v>65.67</v>
      </c>
      <c r="F4941" s="2">
        <v>2</v>
      </c>
      <c r="G4941" s="2" t="s">
        <v>13</v>
      </c>
    </row>
    <row r="4942" spans="1:7" x14ac:dyDescent="0.2">
      <c r="A4942" s="2" t="s">
        <v>7549</v>
      </c>
      <c r="B4942" s="2" t="s">
        <v>7113</v>
      </c>
      <c r="C4942" s="2">
        <v>808.30110000000002</v>
      </c>
      <c r="D4942" s="2">
        <f>HYPERLINK("http://mcb-m6.bioreg.kyushu-u.ac.jp/M3/20110427/F51114/2435/1", 98.08)</f>
        <v>98.08</v>
      </c>
      <c r="E4942" s="2">
        <v>77.19</v>
      </c>
      <c r="F4942" s="2">
        <v>2</v>
      </c>
      <c r="G4942" s="2" t="s">
        <v>13</v>
      </c>
    </row>
    <row r="4943" spans="1:7" x14ac:dyDescent="0.2">
      <c r="A4943" s="2" t="s">
        <v>7549</v>
      </c>
      <c r="B4943" s="2" t="s">
        <v>6621</v>
      </c>
      <c r="C4943" s="2">
        <v>885.80909999999994</v>
      </c>
      <c r="D4943" s="2">
        <f>HYPERLINK("http://mcb-m6.bioreg.kyushu-u.ac.jp/M3/20110427/F51114/2768/1", 101.3)</f>
        <v>101.3</v>
      </c>
      <c r="E4943" s="2">
        <v>90.07</v>
      </c>
      <c r="F4943" s="2">
        <v>2</v>
      </c>
      <c r="G4943" s="2" t="s">
        <v>13</v>
      </c>
    </row>
    <row r="4944" spans="1:7" x14ac:dyDescent="0.2">
      <c r="A4944" s="2" t="s">
        <v>7549</v>
      </c>
      <c r="B4944" s="2" t="s">
        <v>6621</v>
      </c>
      <c r="C4944" s="2">
        <v>886.01260000000002</v>
      </c>
      <c r="D4944" s="2">
        <f>HYPERLINK("http://mcb-m6.bioreg.kyushu-u.ac.jp/M3/20110427/F51112/2742/1", 103.58)</f>
        <v>103.58</v>
      </c>
      <c r="E4944" s="2">
        <v>86.17</v>
      </c>
      <c r="F4944" s="2">
        <v>2</v>
      </c>
      <c r="G4944" s="2" t="s">
        <v>13</v>
      </c>
    </row>
    <row r="4945" spans="1:7" x14ac:dyDescent="0.2">
      <c r="A4945" s="2" t="s">
        <v>7549</v>
      </c>
      <c r="B4945" s="2" t="s">
        <v>6621</v>
      </c>
      <c r="C4945" s="2">
        <v>885.81370000000004</v>
      </c>
      <c r="D4945" s="2">
        <f>HYPERLINK("http://mcb-m6.bioreg.kyushu-u.ac.jp/M3/20110428/F51127/2708/1", 104.24)</f>
        <v>104.24</v>
      </c>
      <c r="E4945" s="2">
        <v>90.11</v>
      </c>
      <c r="F4945" s="2">
        <v>2</v>
      </c>
      <c r="G4945" s="2" t="s">
        <v>13</v>
      </c>
    </row>
    <row r="4946" spans="1:7" x14ac:dyDescent="0.2">
      <c r="A4946" s="2" t="s">
        <v>7549</v>
      </c>
      <c r="B4946" s="2" t="s">
        <v>7113</v>
      </c>
      <c r="C4946" s="2">
        <v>807.78769999999997</v>
      </c>
      <c r="D4946" s="2">
        <f>HYPERLINK("http://mcb-m6.bioreg.kyushu-u.ac.jp/M3/20110427/F51114/2432/1", 104.88)</f>
        <v>104.88</v>
      </c>
      <c r="E4946" s="2">
        <v>88.17</v>
      </c>
      <c r="F4946" s="2">
        <v>2</v>
      </c>
      <c r="G4946" s="2" t="s">
        <v>13</v>
      </c>
    </row>
    <row r="4947" spans="1:7" x14ac:dyDescent="0.2">
      <c r="A4947" s="2" t="s">
        <v>4552</v>
      </c>
      <c r="B4947" s="2" t="s">
        <v>2611</v>
      </c>
      <c r="C4947" s="2">
        <v>700.35720000000003</v>
      </c>
      <c r="D4947" s="2">
        <f>HYPERLINK("http://mcb-m6.bioreg.kyushu-u.ac.jp/M3/20110421/F51039/1856/1", 59.47)</f>
        <v>59.47</v>
      </c>
      <c r="E4947" s="2">
        <v>39.94</v>
      </c>
      <c r="F4947" s="2">
        <v>2</v>
      </c>
      <c r="G4947" s="2" t="s">
        <v>11</v>
      </c>
    </row>
    <row r="4948" spans="1:7" x14ac:dyDescent="0.2">
      <c r="A4948" s="2" t="s">
        <v>4552</v>
      </c>
      <c r="B4948" s="2" t="s">
        <v>2611</v>
      </c>
      <c r="C4948" s="2">
        <v>699.91669999999999</v>
      </c>
      <c r="D4948" s="2">
        <f>HYPERLINK("http://mcb-m6.bioreg.kyushu-u.ac.jp/M3/20110421/F51040/1808/1", 81.65)</f>
        <v>81.650000000000006</v>
      </c>
      <c r="E4948" s="2">
        <v>53.18</v>
      </c>
      <c r="F4948" s="2">
        <v>2</v>
      </c>
      <c r="G4948" s="2" t="s">
        <v>11</v>
      </c>
    </row>
    <row r="4949" spans="1:7" x14ac:dyDescent="0.2">
      <c r="A4949" s="2" t="s">
        <v>4552</v>
      </c>
      <c r="B4949" s="2" t="s">
        <v>2611</v>
      </c>
      <c r="C4949" s="2">
        <v>699.80319999999995</v>
      </c>
      <c r="D4949" s="2">
        <f>HYPERLINK("http://mcb-m6.bioreg.kyushu-u.ac.jp/M3/20110421/F51050/1944/1", 86.28)</f>
        <v>86.28</v>
      </c>
      <c r="E4949" s="2">
        <v>65.19</v>
      </c>
      <c r="F4949" s="2">
        <v>2</v>
      </c>
      <c r="G4949" s="2" t="s">
        <v>12</v>
      </c>
    </row>
    <row r="4950" spans="1:7" x14ac:dyDescent="0.2">
      <c r="A4950" s="2" t="s">
        <v>4552</v>
      </c>
      <c r="B4950" s="2" t="s">
        <v>2583</v>
      </c>
      <c r="C4950" s="2">
        <v>844.35469999999998</v>
      </c>
      <c r="D4950" s="2">
        <f>HYPERLINK("http://mcb-m6.bioreg.kyushu-u.ac.jp/M3/20110428/F51133/2408/1", 47.96)</f>
        <v>47.96</v>
      </c>
      <c r="E4950" s="2">
        <v>13.14</v>
      </c>
      <c r="F4950" s="2">
        <v>2</v>
      </c>
      <c r="G4950" s="2" t="s">
        <v>13</v>
      </c>
    </row>
    <row r="4951" spans="1:7" x14ac:dyDescent="0.2">
      <c r="A4951" s="2" t="s">
        <v>4552</v>
      </c>
      <c r="B4951" s="2" t="s">
        <v>2583</v>
      </c>
      <c r="C4951" s="2">
        <v>844.27260000000001</v>
      </c>
      <c r="D4951" s="2">
        <f>HYPERLINK("http://mcb-m6.bioreg.kyushu-u.ac.jp/M3/20110428/F51130/2539/1", 36.04)</f>
        <v>36.04</v>
      </c>
      <c r="E4951" s="2">
        <v>19.809999999999999</v>
      </c>
      <c r="F4951" s="2">
        <v>2</v>
      </c>
      <c r="G4951" s="2" t="s">
        <v>14</v>
      </c>
    </row>
    <row r="4952" spans="1:7" x14ac:dyDescent="0.2">
      <c r="A4952" s="2" t="s">
        <v>4552</v>
      </c>
      <c r="B4952" s="2" t="s">
        <v>2611</v>
      </c>
      <c r="C4952" s="2">
        <v>699.66309999999999</v>
      </c>
      <c r="D4952" s="2">
        <f>HYPERLINK("http://mcb-m6.bioreg.kyushu-u.ac.jp/M3/20110428/F51130/1876/1", 68.24)</f>
        <v>68.239999999999995</v>
      </c>
      <c r="E4952" s="2">
        <v>45.63</v>
      </c>
      <c r="F4952" s="2">
        <v>2</v>
      </c>
      <c r="G4952" s="2" t="s">
        <v>14</v>
      </c>
    </row>
    <row r="4953" spans="1:7" x14ac:dyDescent="0.2">
      <c r="A4953" s="2" t="s">
        <v>7698</v>
      </c>
      <c r="B4953" s="2" t="s">
        <v>6361</v>
      </c>
      <c r="C4953" s="2">
        <v>824.46310000000005</v>
      </c>
      <c r="D4953" s="2">
        <f>HYPERLINK("http://mcb-m6.bioreg.kyushu-u.ac.jp/M3/20110404/F50778/2259/1", 56.37)</f>
        <v>56.37</v>
      </c>
      <c r="E4953" s="2">
        <v>42.53</v>
      </c>
      <c r="F4953" s="2">
        <v>2</v>
      </c>
      <c r="G4953" s="2" t="s">
        <v>9</v>
      </c>
    </row>
    <row r="4954" spans="1:7" x14ac:dyDescent="0.2">
      <c r="A4954" s="2" t="s">
        <v>7654</v>
      </c>
      <c r="B4954" s="2" t="s">
        <v>6233</v>
      </c>
      <c r="C4954" s="2">
        <v>721.38620000000003</v>
      </c>
      <c r="D4954" s="2">
        <f>HYPERLINK("http://mcb-m6.bioreg.kyushu-u.ac.jp/M3/20110404/F50778/1757/1", 47.9)</f>
        <v>47.9</v>
      </c>
      <c r="E4954" s="2">
        <v>34.049999999999997</v>
      </c>
      <c r="F4954" s="2">
        <v>2</v>
      </c>
      <c r="G4954" s="2" t="s">
        <v>9</v>
      </c>
    </row>
    <row r="4955" spans="1:7" x14ac:dyDescent="0.2">
      <c r="A4955" s="2" t="s">
        <v>3916</v>
      </c>
      <c r="B4955" s="2" t="s">
        <v>1249</v>
      </c>
      <c r="C4955" s="2">
        <v>1114.028</v>
      </c>
      <c r="D4955" s="2">
        <f>HYPERLINK("http://mcb-m6.bioreg.kyushu-u.ac.jp/M3/20110421/F51018/3235/1", 75.89)</f>
        <v>75.89</v>
      </c>
      <c r="E4955" s="2">
        <v>67.14</v>
      </c>
      <c r="F4955" s="2">
        <v>2</v>
      </c>
      <c r="G4955" s="2" t="s">
        <v>11</v>
      </c>
    </row>
    <row r="4956" spans="1:7" x14ac:dyDescent="0.2">
      <c r="A4956" s="2" t="s">
        <v>3916</v>
      </c>
      <c r="B4956" s="2" t="s">
        <v>1090</v>
      </c>
      <c r="C4956" s="2">
        <v>570.14419999999996</v>
      </c>
      <c r="D4956" s="2">
        <f>HYPERLINK("http://mcb-m6.bioreg.kyushu-u.ac.jp/M3/20110427/F51113/1281/1", 47.2)</f>
        <v>47.2</v>
      </c>
      <c r="E4956" s="2">
        <v>31.72</v>
      </c>
      <c r="F4956" s="2">
        <v>2</v>
      </c>
      <c r="G4956" s="2" t="s">
        <v>13</v>
      </c>
    </row>
    <row r="4957" spans="1:7" x14ac:dyDescent="0.2">
      <c r="A4957" s="2" t="s">
        <v>3916</v>
      </c>
      <c r="B4957" s="2" t="s">
        <v>1249</v>
      </c>
      <c r="C4957" s="2">
        <v>1113.8230000000001</v>
      </c>
      <c r="D4957" s="2">
        <f>HYPERLINK("http://mcb-m6.bioreg.kyushu-u.ac.jp/M3/20110427/F51113/3148/1", 83.92)</f>
        <v>83.92</v>
      </c>
      <c r="E4957" s="2">
        <v>77.69</v>
      </c>
      <c r="F4957" s="2">
        <v>2</v>
      </c>
      <c r="G4957" s="2" t="s">
        <v>13</v>
      </c>
    </row>
    <row r="4958" spans="1:7" x14ac:dyDescent="0.2">
      <c r="A4958" s="2" t="s">
        <v>3916</v>
      </c>
      <c r="B4958" s="2" t="s">
        <v>1249</v>
      </c>
      <c r="C4958" s="2">
        <v>1114.3630000000001</v>
      </c>
      <c r="D4958" s="2">
        <f>HYPERLINK("http://mcb-m6.bioreg.kyushu-u.ac.jp/M3/20110427/F51113/3150/1", 96.8)</f>
        <v>96.8</v>
      </c>
      <c r="E4958" s="2">
        <v>82.96</v>
      </c>
      <c r="F4958" s="2">
        <v>2</v>
      </c>
      <c r="G4958" s="2" t="s">
        <v>13</v>
      </c>
    </row>
    <row r="4959" spans="1:7" x14ac:dyDescent="0.2">
      <c r="A4959" s="2" t="s">
        <v>3999</v>
      </c>
      <c r="B4959" s="2" t="s">
        <v>1288</v>
      </c>
      <c r="C4959" s="2">
        <v>784.78610000000003</v>
      </c>
      <c r="D4959" s="2">
        <f>HYPERLINK("http://mcb-m6.bioreg.kyushu-u.ac.jp/M3/20110404/F50755/2195/1", 78.67)</f>
        <v>78.67</v>
      </c>
      <c r="E4959" s="2">
        <v>61.07</v>
      </c>
      <c r="F4959" s="2">
        <v>2</v>
      </c>
      <c r="G4959" s="2" t="s">
        <v>9</v>
      </c>
    </row>
    <row r="4960" spans="1:7" x14ac:dyDescent="0.2">
      <c r="A4960" s="2" t="s">
        <v>3999</v>
      </c>
      <c r="B4960" s="2" t="s">
        <v>1288</v>
      </c>
      <c r="C4960" s="2">
        <v>785.31209999999999</v>
      </c>
      <c r="D4960" s="2">
        <f>HYPERLINK("http://mcb-m6.bioreg.kyushu-u.ac.jp/M3/20110421/F51018/2324/1", 75.25)</f>
        <v>75.25</v>
      </c>
      <c r="E4960" s="2">
        <v>45.15</v>
      </c>
      <c r="F4960" s="2">
        <v>2</v>
      </c>
      <c r="G4960" s="2" t="s">
        <v>11</v>
      </c>
    </row>
    <row r="4961" spans="1:9" x14ac:dyDescent="0.2">
      <c r="A4961" s="2" t="s">
        <v>4002</v>
      </c>
      <c r="B4961" s="2" t="s">
        <v>6236</v>
      </c>
      <c r="C4961" s="2">
        <v>806.27599999999995</v>
      </c>
      <c r="D4961" s="2">
        <f>HYPERLINK("http://mcb-m6.bioreg.kyushu-u.ac.jp/M3/20110404/F50755/774/2", 47.96)</f>
        <v>47.96</v>
      </c>
      <c r="E4961" s="2">
        <v>5.09</v>
      </c>
      <c r="F4961" s="2">
        <v>1</v>
      </c>
      <c r="G4961" s="2" t="s">
        <v>9</v>
      </c>
    </row>
    <row r="4962" spans="1:9" x14ac:dyDescent="0.2">
      <c r="A4962" s="2" t="s">
        <v>4002</v>
      </c>
      <c r="B4962" s="2" t="s">
        <v>2050</v>
      </c>
      <c r="C4962" s="2">
        <v>466.12909999999999</v>
      </c>
      <c r="D4962" s="2">
        <f>HYPERLINK("http://mcb-m6.bioreg.kyushu-u.ac.jp/M3/20110404/F50755/946/1", 52.78)</f>
        <v>52.78</v>
      </c>
      <c r="E4962" s="2">
        <v>30.7</v>
      </c>
      <c r="F4962" s="2">
        <v>2</v>
      </c>
      <c r="G4962" s="2" t="s">
        <v>9</v>
      </c>
    </row>
    <row r="4963" spans="1:9" x14ac:dyDescent="0.2">
      <c r="A4963" s="2" t="s">
        <v>4002</v>
      </c>
      <c r="B4963" s="2" t="s">
        <v>2050</v>
      </c>
      <c r="C4963" s="2">
        <v>466.16559999999998</v>
      </c>
      <c r="D4963" s="2">
        <f>HYPERLINK("http://mcb-m6.bioreg.kyushu-u.ac.jp/M3/20110421/F51018/919/1", 64.2)</f>
        <v>64.2</v>
      </c>
      <c r="E4963" s="2">
        <v>35.869999999999997</v>
      </c>
      <c r="F4963" s="2">
        <v>2</v>
      </c>
      <c r="G4963" s="2" t="s">
        <v>11</v>
      </c>
    </row>
    <row r="4964" spans="1:9" x14ac:dyDescent="0.2">
      <c r="A4964" s="2" t="s">
        <v>4002</v>
      </c>
      <c r="B4964" s="2" t="s">
        <v>2050</v>
      </c>
      <c r="C4964" s="2">
        <v>466.12459999999999</v>
      </c>
      <c r="D4964" s="2">
        <f>HYPERLINK("http://mcb-m6.bioreg.kyushu-u.ac.jp/M3/20110427/F51113/890/1", 66.55)</f>
        <v>66.55</v>
      </c>
      <c r="E4964" s="2">
        <v>36.9</v>
      </c>
      <c r="F4964" s="2">
        <v>2</v>
      </c>
      <c r="G4964" s="2" t="s">
        <v>13</v>
      </c>
    </row>
    <row r="4965" spans="1:9" x14ac:dyDescent="0.2">
      <c r="A4965" s="2" t="s">
        <v>3860</v>
      </c>
      <c r="B4965" s="2" t="s">
        <v>969</v>
      </c>
      <c r="C4965" s="2">
        <v>910.85469999999998</v>
      </c>
      <c r="D4965" s="2">
        <f>HYPERLINK("http://mcb-m6.bioreg.kyushu-u.ac.jp/M3/20110404/F50755/2688/1", 38.81)</f>
        <v>38.81</v>
      </c>
      <c r="E4965" s="2">
        <v>23.61</v>
      </c>
      <c r="F4965" s="2">
        <v>2</v>
      </c>
      <c r="G4965" s="2" t="s">
        <v>9</v>
      </c>
    </row>
    <row r="4966" spans="1:9" x14ac:dyDescent="0.2">
      <c r="A4966" s="2" t="s">
        <v>7544</v>
      </c>
      <c r="B4966" s="2" t="s">
        <v>5949</v>
      </c>
      <c r="C4966" s="2">
        <v>584.72720000000004</v>
      </c>
      <c r="D4966" s="2">
        <f>HYPERLINK("http://mcb-m6.bioreg.kyushu-u.ac.jp/M3/20110404/F50762/1264/1", 36.71)</f>
        <v>36.71</v>
      </c>
      <c r="E4966" s="2">
        <v>18.14</v>
      </c>
      <c r="F4966" s="2">
        <v>2</v>
      </c>
      <c r="G4966" s="2" t="s">
        <v>9</v>
      </c>
    </row>
    <row r="4967" spans="1:9" x14ac:dyDescent="0.2">
      <c r="A4967" s="2" t="s">
        <v>5834</v>
      </c>
      <c r="B4967" s="2" t="s">
        <v>5521</v>
      </c>
      <c r="C4967" s="2">
        <v>644.57569999999998</v>
      </c>
      <c r="D4967" s="2">
        <f>HYPERLINK("http://mcb-m6.bioreg.kyushu-u.ac.jp/M3/20110427/F51113/1549/1", 46.08)</f>
        <v>46.08</v>
      </c>
      <c r="E4967" s="2">
        <v>22.96</v>
      </c>
      <c r="F4967" s="2">
        <v>2</v>
      </c>
      <c r="G4967" s="2" t="s">
        <v>13</v>
      </c>
      <c r="I4967" s="2" t="s">
        <v>4923</v>
      </c>
    </row>
    <row r="4968" spans="1:9" x14ac:dyDescent="0.2">
      <c r="A4968" s="2" t="s">
        <v>3796</v>
      </c>
      <c r="B4968" s="2" t="s">
        <v>1240</v>
      </c>
      <c r="C4968" s="2">
        <v>856.72019999999998</v>
      </c>
      <c r="D4968" s="2">
        <f>HYPERLINK("http://mcb-m6.bioreg.kyushu-u.ac.jp/M3/20110404/F50755/2460/1", 60.97)</f>
        <v>60.97</v>
      </c>
      <c r="E4968" s="2">
        <v>49.99</v>
      </c>
      <c r="F4968" s="2">
        <v>2</v>
      </c>
      <c r="G4968" s="2" t="s">
        <v>9</v>
      </c>
      <c r="I4968" s="2" t="s">
        <v>4909</v>
      </c>
    </row>
    <row r="4969" spans="1:9" x14ac:dyDescent="0.2">
      <c r="A4969" s="2" t="s">
        <v>3796</v>
      </c>
      <c r="B4969" s="2" t="s">
        <v>1240</v>
      </c>
      <c r="C4969" s="2">
        <v>856.80470000000003</v>
      </c>
      <c r="D4969" s="2">
        <f>HYPERLINK("http://mcb-m6.bioreg.kyushu-u.ac.jp/M3/20110404/F50760/2221/1", 38.72)</f>
        <v>38.72</v>
      </c>
      <c r="E4969" s="2">
        <v>27.64</v>
      </c>
      <c r="F4969" s="2">
        <v>2</v>
      </c>
      <c r="G4969" s="2" t="s">
        <v>10</v>
      </c>
      <c r="I4969" s="2" t="s">
        <v>4909</v>
      </c>
    </row>
    <row r="4970" spans="1:9" x14ac:dyDescent="0.2">
      <c r="A4970" s="2" t="s">
        <v>3811</v>
      </c>
      <c r="B4970" s="2" t="s">
        <v>871</v>
      </c>
      <c r="C4970" s="2">
        <v>715.21969999999999</v>
      </c>
      <c r="D4970" s="2">
        <f>HYPERLINK("http://mcb-m6.bioreg.kyushu-u.ac.jp/M3/20110421/F51018/1986/1", 64.42)</f>
        <v>64.42</v>
      </c>
      <c r="E4970" s="2">
        <v>52.54</v>
      </c>
      <c r="F4970" s="2">
        <v>2</v>
      </c>
      <c r="G4970" s="2" t="s">
        <v>11</v>
      </c>
      <c r="I4970" s="2" t="s">
        <v>4923</v>
      </c>
    </row>
    <row r="4971" spans="1:9" x14ac:dyDescent="0.2">
      <c r="A4971" s="2" t="s">
        <v>3811</v>
      </c>
      <c r="B4971" s="2" t="s">
        <v>871</v>
      </c>
      <c r="C4971" s="2">
        <v>715.22860000000003</v>
      </c>
      <c r="D4971" s="2">
        <f>HYPERLINK("http://mcb-m6.bioreg.kyushu-u.ac.jp/M3/20110427/F51113/1886/1", 61.26)</f>
        <v>61.26</v>
      </c>
      <c r="E4971" s="2">
        <v>41.72</v>
      </c>
      <c r="F4971" s="2">
        <v>2</v>
      </c>
      <c r="G4971" s="2" t="s">
        <v>13</v>
      </c>
      <c r="I4971" s="2" t="s">
        <v>4923</v>
      </c>
    </row>
    <row r="4972" spans="1:9" x14ac:dyDescent="0.2">
      <c r="A4972" s="2" t="s">
        <v>3811</v>
      </c>
      <c r="B4972" s="2" t="s">
        <v>871</v>
      </c>
      <c r="C4972" s="2">
        <v>714.69370000000004</v>
      </c>
      <c r="D4972" s="2">
        <f>HYPERLINK("http://mcb-m6.bioreg.kyushu-u.ac.jp/M3/20110427/F51113/1880/1", 77.95)</f>
        <v>77.95</v>
      </c>
      <c r="E4972" s="2">
        <v>62.41</v>
      </c>
      <c r="F4972" s="2">
        <v>2</v>
      </c>
      <c r="G4972" s="2" t="s">
        <v>13</v>
      </c>
      <c r="I4972" s="2" t="s">
        <v>4923</v>
      </c>
    </row>
    <row r="4973" spans="1:9" x14ac:dyDescent="0.2">
      <c r="A4973" s="2" t="s">
        <v>4404</v>
      </c>
      <c r="B4973" s="2" t="s">
        <v>5193</v>
      </c>
      <c r="C4973" s="2">
        <v>1063.3330000000001</v>
      </c>
      <c r="D4973" s="2">
        <f>HYPERLINK("http://mcb-m6.bioreg.kyushu-u.ac.jp/M3/20110421/F51019/3004/1", 94.01)</f>
        <v>94.01</v>
      </c>
      <c r="E4973" s="2">
        <v>73.41</v>
      </c>
      <c r="F4973" s="2">
        <v>2</v>
      </c>
      <c r="G4973" s="2" t="s">
        <v>11</v>
      </c>
    </row>
    <row r="4974" spans="1:9" x14ac:dyDescent="0.2">
      <c r="A4974" s="2" t="s">
        <v>4404</v>
      </c>
      <c r="B4974" s="2" t="s">
        <v>5193</v>
      </c>
      <c r="C4974" s="2">
        <v>1063.115</v>
      </c>
      <c r="D4974" s="2">
        <f>HYPERLINK("http://mcb-m6.bioreg.kyushu-u.ac.jp/M3/20110421/F51020/3071/1", 111.4)</f>
        <v>111.4</v>
      </c>
      <c r="E4974" s="2">
        <v>93.21</v>
      </c>
      <c r="F4974" s="2">
        <v>2</v>
      </c>
      <c r="G4974" s="2" t="s">
        <v>11</v>
      </c>
    </row>
    <row r="4975" spans="1:9" x14ac:dyDescent="0.2">
      <c r="A4975" s="2" t="s">
        <v>4404</v>
      </c>
      <c r="B4975" s="2" t="s">
        <v>7342</v>
      </c>
      <c r="C4975" s="2">
        <v>736.33219999999994</v>
      </c>
      <c r="D4975" s="2">
        <f>HYPERLINK("http://mcb-m6.bioreg.kyushu-u.ac.jp/M3/20110427/F51117/1965/1", 43.81)</f>
        <v>43.81</v>
      </c>
      <c r="E4975" s="2">
        <v>18.59</v>
      </c>
      <c r="F4975" s="2">
        <v>2</v>
      </c>
      <c r="G4975" s="2" t="s">
        <v>13</v>
      </c>
    </row>
    <row r="4976" spans="1:9" x14ac:dyDescent="0.2">
      <c r="A4976" s="2" t="s">
        <v>4404</v>
      </c>
      <c r="B4976" s="2" t="s">
        <v>5120</v>
      </c>
      <c r="C4976" s="2">
        <v>554.05909999999994</v>
      </c>
      <c r="D4976" s="2">
        <f>HYPERLINK("http://mcb-m6.bioreg.kyushu-u.ac.jp/M3/20110427/F51117/1201/1", 50.24)</f>
        <v>50.24</v>
      </c>
      <c r="E4976" s="2">
        <v>29.27</v>
      </c>
      <c r="F4976" s="2">
        <v>2</v>
      </c>
      <c r="G4976" s="2" t="s">
        <v>13</v>
      </c>
    </row>
    <row r="4977" spans="1:8" x14ac:dyDescent="0.2">
      <c r="A4977" s="2" t="s">
        <v>5652</v>
      </c>
      <c r="B4977" s="2" t="s">
        <v>5273</v>
      </c>
      <c r="C4977" s="2">
        <v>624.73320000000001</v>
      </c>
      <c r="D4977" s="2">
        <f>HYPERLINK("http://mcb-m6.bioreg.kyushu-u.ac.jp/M3/20110421/F51020/1551/1", 45.53)</f>
        <v>45.53</v>
      </c>
      <c r="E4977" s="2">
        <v>29.26</v>
      </c>
      <c r="F4977" s="2">
        <v>2</v>
      </c>
      <c r="G4977" s="2" t="s">
        <v>11</v>
      </c>
    </row>
    <row r="4978" spans="1:8" x14ac:dyDescent="0.2">
      <c r="A4978" s="2" t="s">
        <v>5652</v>
      </c>
      <c r="B4978" s="2" t="s">
        <v>5273</v>
      </c>
      <c r="C4978" s="2">
        <v>625.2731</v>
      </c>
      <c r="D4978" s="2">
        <f>HYPERLINK("http://mcb-m6.bioreg.kyushu-u.ac.jp/M3/20110421/F51020/1553/1", 62.75)</f>
        <v>62.75</v>
      </c>
      <c r="E4978" s="2">
        <v>42.49</v>
      </c>
      <c r="F4978" s="2">
        <v>2</v>
      </c>
      <c r="G4978" s="2" t="s">
        <v>11</v>
      </c>
    </row>
    <row r="4979" spans="1:8" x14ac:dyDescent="0.2">
      <c r="A4979" s="2" t="s">
        <v>5652</v>
      </c>
      <c r="B4979" s="2" t="s">
        <v>5118</v>
      </c>
      <c r="C4979" s="2">
        <v>730.76620000000003</v>
      </c>
      <c r="D4979" s="2">
        <f>HYPERLINK("http://mcb-m6.bioreg.kyushu-u.ac.jp/M3/20110421/F51020/1981/1", 89.6)</f>
        <v>89.6</v>
      </c>
      <c r="E4979" s="2">
        <v>63.41</v>
      </c>
      <c r="F4979" s="2">
        <v>2</v>
      </c>
      <c r="G4979" s="2" t="s">
        <v>11</v>
      </c>
    </row>
    <row r="4980" spans="1:8" x14ac:dyDescent="0.2">
      <c r="A4980" s="2" t="s">
        <v>5652</v>
      </c>
      <c r="B4980" s="2" t="s">
        <v>7296</v>
      </c>
      <c r="C4980" s="2">
        <v>620.16470000000004</v>
      </c>
      <c r="D4980" s="2">
        <f>HYPERLINK("http://mcb-m6.bioreg.kyushu-u.ac.jp/M3/20110427/F51117/1461/1", 36.24)</f>
        <v>36.24</v>
      </c>
      <c r="E4980" s="2">
        <v>20.100000000000001</v>
      </c>
      <c r="F4980" s="2">
        <v>2</v>
      </c>
      <c r="G4980" s="2" t="s">
        <v>13</v>
      </c>
    </row>
    <row r="4981" spans="1:8" x14ac:dyDescent="0.2">
      <c r="A4981" s="2" t="s">
        <v>5652</v>
      </c>
      <c r="B4981" s="2" t="s">
        <v>5273</v>
      </c>
      <c r="C4981" s="2">
        <v>624.72310000000004</v>
      </c>
      <c r="D4981" s="2">
        <f>HYPERLINK("http://mcb-m6.bioreg.kyushu-u.ac.jp/M3/20110427/F51117/1473/1", 37.06)</f>
        <v>37.06</v>
      </c>
      <c r="E4981" s="2">
        <v>12.03</v>
      </c>
      <c r="F4981" s="2">
        <v>2</v>
      </c>
      <c r="G4981" s="2" t="s">
        <v>13</v>
      </c>
    </row>
    <row r="4982" spans="1:8" x14ac:dyDescent="0.2">
      <c r="A4982" s="2" t="s">
        <v>7703</v>
      </c>
      <c r="B4982" s="2" t="s">
        <v>6375</v>
      </c>
      <c r="C4982" s="2">
        <v>1219.3820000000001</v>
      </c>
      <c r="D4982" s="2">
        <f>HYPERLINK("http://mcb-m6.bioreg.kyushu-u.ac.jp/M3/20110404/F50753/1546/1", 57.23)</f>
        <v>57.23</v>
      </c>
      <c r="E4982" s="2">
        <v>47.74</v>
      </c>
      <c r="F4982" s="2">
        <v>1</v>
      </c>
      <c r="G4982" s="2" t="s">
        <v>9</v>
      </c>
    </row>
    <row r="4983" spans="1:8" x14ac:dyDescent="0.2">
      <c r="A4983" s="2" t="s">
        <v>7539</v>
      </c>
      <c r="B4983" s="2" t="s">
        <v>5942</v>
      </c>
      <c r="C4983" s="2">
        <v>558.16110000000003</v>
      </c>
      <c r="D4983" s="2">
        <f>HYPERLINK("http://mcb-m6.bioreg.kyushu-u.ac.jp/M3/20110404/F50753/1362/1", 36.49)</f>
        <v>36.49</v>
      </c>
      <c r="E4983" s="2">
        <v>17.309999999999999</v>
      </c>
      <c r="F4983" s="2">
        <v>2</v>
      </c>
      <c r="G4983" s="2" t="s">
        <v>9</v>
      </c>
      <c r="H4983" s="2" t="s">
        <v>4904</v>
      </c>
    </row>
    <row r="4984" spans="1:8" x14ac:dyDescent="0.2">
      <c r="A4984" s="2" t="s">
        <v>7730</v>
      </c>
      <c r="B4984" s="2" t="s">
        <v>6458</v>
      </c>
      <c r="C4984" s="2">
        <v>610.65260000000001</v>
      </c>
      <c r="D4984" s="2">
        <f>HYPERLINK("http://mcb-m6.bioreg.kyushu-u.ac.jp/M3/20110404/F50753/1547/1", 66.13)</f>
        <v>66.13</v>
      </c>
      <c r="E4984" s="2">
        <v>43.83</v>
      </c>
      <c r="F4984" s="2">
        <v>2</v>
      </c>
      <c r="G4984" s="2" t="s">
        <v>9</v>
      </c>
    </row>
    <row r="4985" spans="1:8" x14ac:dyDescent="0.2">
      <c r="A4985" s="2" t="s">
        <v>4254</v>
      </c>
      <c r="B4985" s="2" t="s">
        <v>1890</v>
      </c>
      <c r="C4985" s="2">
        <v>654.44870000000003</v>
      </c>
      <c r="D4985" s="2">
        <f>HYPERLINK("http://mcb-m6.bioreg.kyushu-u.ac.jp/M3/20110404/F50751/1820/1", 48.4)</f>
        <v>48.4</v>
      </c>
      <c r="E4985" s="2">
        <v>29.01</v>
      </c>
      <c r="F4985" s="2">
        <v>2</v>
      </c>
      <c r="G4985" s="2" t="s">
        <v>9</v>
      </c>
    </row>
    <row r="4986" spans="1:8" x14ac:dyDescent="0.2">
      <c r="A4986" s="2" t="s">
        <v>4254</v>
      </c>
      <c r="B4986" s="2" t="s">
        <v>1890</v>
      </c>
      <c r="C4986" s="2">
        <v>654.17319999999995</v>
      </c>
      <c r="D4986" s="2">
        <f>HYPERLINK("http://mcb-m6.bioreg.kyushu-u.ac.jp/M3/20110421/F51014/1752/1", 47.25)</f>
        <v>47.25</v>
      </c>
      <c r="E4986" s="2">
        <v>19.16</v>
      </c>
      <c r="F4986" s="2">
        <v>2</v>
      </c>
      <c r="G4986" s="2" t="s">
        <v>11</v>
      </c>
    </row>
    <row r="4987" spans="1:8" x14ac:dyDescent="0.2">
      <c r="A4987" s="2" t="s">
        <v>4254</v>
      </c>
      <c r="B4987" s="2" t="s">
        <v>1890</v>
      </c>
      <c r="C4987" s="2">
        <v>654.88919999999996</v>
      </c>
      <c r="D4987" s="2">
        <f>HYPERLINK("http://mcb-m6.bioreg.kyushu-u.ac.jp/M3/20110427/F51108/1713/1", 62.29)</f>
        <v>62.29</v>
      </c>
      <c r="E4987" s="2">
        <v>39.85</v>
      </c>
      <c r="F4987" s="2">
        <v>2</v>
      </c>
      <c r="G4987" s="2" t="s">
        <v>13</v>
      </c>
    </row>
    <row r="4988" spans="1:8" x14ac:dyDescent="0.2">
      <c r="A4988" s="2" t="s">
        <v>8082</v>
      </c>
      <c r="B4988" s="2" t="s">
        <v>7406</v>
      </c>
      <c r="C4988" s="2">
        <v>588.18709999999999</v>
      </c>
      <c r="D4988" s="2">
        <f>HYPERLINK("http://mcb-m6.bioreg.kyushu-u.ac.jp/M3/20110427/F51108/1518/1", 61.58)</f>
        <v>61.58</v>
      </c>
      <c r="E4988" s="2">
        <v>2.58</v>
      </c>
      <c r="F4988" s="2">
        <v>2</v>
      </c>
      <c r="G4988" s="2" t="s">
        <v>13</v>
      </c>
    </row>
    <row r="4989" spans="1:8" x14ac:dyDescent="0.2">
      <c r="A4989" s="2" t="s">
        <v>3278</v>
      </c>
      <c r="B4989" s="2" t="s">
        <v>58</v>
      </c>
      <c r="C4989" s="2">
        <v>1106.8989999999999</v>
      </c>
      <c r="D4989" s="2">
        <f>HYPERLINK("http://mcb-m6.bioreg.kyushu-u.ac.jp/M3/20110404/F50765/3118/1", 40.09)</f>
        <v>40.090000000000003</v>
      </c>
      <c r="E4989" s="2">
        <v>10.66</v>
      </c>
      <c r="F4989" s="2">
        <v>2</v>
      </c>
      <c r="G4989" s="2" t="s">
        <v>9</v>
      </c>
    </row>
    <row r="4990" spans="1:8" x14ac:dyDescent="0.2">
      <c r="A4990" s="2" t="s">
        <v>3278</v>
      </c>
      <c r="B4990" s="2" t="s">
        <v>58</v>
      </c>
      <c r="C4990" s="2">
        <v>1107.027</v>
      </c>
      <c r="D4990" s="2">
        <f>HYPERLINK("http://mcb-m6.bioreg.kyushu-u.ac.jp/M3/20110404/F50752/2970/1", 41.08)</f>
        <v>41.08</v>
      </c>
      <c r="E4990" s="2">
        <v>14.3</v>
      </c>
      <c r="F4990" s="2">
        <v>2</v>
      </c>
      <c r="G4990" s="2" t="s">
        <v>9</v>
      </c>
    </row>
    <row r="4991" spans="1:8" x14ac:dyDescent="0.2">
      <c r="A4991" s="2" t="s">
        <v>3278</v>
      </c>
      <c r="B4991" s="2" t="s">
        <v>58</v>
      </c>
      <c r="C4991" s="2">
        <v>738.13589999999999</v>
      </c>
      <c r="D4991" s="2">
        <f>HYPERLINK("http://mcb-m6.bioreg.kyushu-u.ac.jp/M3/20110404/F50751/2732/1", 43.97)</f>
        <v>43.97</v>
      </c>
      <c r="E4991" s="2">
        <v>25.15</v>
      </c>
      <c r="F4991" s="2">
        <v>3</v>
      </c>
      <c r="G4991" s="2" t="s">
        <v>9</v>
      </c>
    </row>
    <row r="4992" spans="1:8" x14ac:dyDescent="0.2">
      <c r="A4992" s="2" t="s">
        <v>3278</v>
      </c>
      <c r="B4992" s="2" t="s">
        <v>58</v>
      </c>
      <c r="C4992" s="2">
        <v>1106.941</v>
      </c>
      <c r="D4992" s="2">
        <f>HYPERLINK("http://mcb-m6.bioreg.kyushu-u.ac.jp/M3/20110404/F50752/2967/1", 49.99)</f>
        <v>49.99</v>
      </c>
      <c r="E4992" s="2">
        <v>21.34</v>
      </c>
      <c r="F4992" s="2">
        <v>2</v>
      </c>
      <c r="G4992" s="2" t="s">
        <v>9</v>
      </c>
    </row>
    <row r="4993" spans="1:7" x14ac:dyDescent="0.2">
      <c r="A4993" s="2" t="s">
        <v>3278</v>
      </c>
      <c r="B4993" s="2" t="s">
        <v>58</v>
      </c>
      <c r="C4993" s="2">
        <v>1106.9359999999999</v>
      </c>
      <c r="D4993" s="2">
        <f>HYPERLINK("http://mcb-m6.bioreg.kyushu-u.ac.jp/M3/20110404/F50757/2724/1", 48.43)</f>
        <v>48.43</v>
      </c>
      <c r="E4993" s="2">
        <v>19.420000000000002</v>
      </c>
      <c r="F4993" s="2">
        <v>2</v>
      </c>
      <c r="G4993" s="2" t="s">
        <v>10</v>
      </c>
    </row>
    <row r="4994" spans="1:7" x14ac:dyDescent="0.2">
      <c r="A4994" s="2" t="s">
        <v>3278</v>
      </c>
      <c r="B4994" s="2" t="s">
        <v>58</v>
      </c>
      <c r="C4994" s="2">
        <v>1106.943</v>
      </c>
      <c r="D4994" s="2">
        <f>HYPERLINK("http://mcb-m6.bioreg.kyushu-u.ac.jp/M3/20110404/F50758/2950/1", 50.97)</f>
        <v>50.97</v>
      </c>
      <c r="E4994" s="2">
        <v>15.13</v>
      </c>
      <c r="F4994" s="2">
        <v>2</v>
      </c>
      <c r="G4994" s="2" t="s">
        <v>10</v>
      </c>
    </row>
    <row r="4995" spans="1:7" x14ac:dyDescent="0.2">
      <c r="A4995" s="2" t="s">
        <v>3278</v>
      </c>
      <c r="B4995" s="2" t="s">
        <v>58</v>
      </c>
      <c r="C4995" s="2">
        <v>738.35350000000005</v>
      </c>
      <c r="D4995" s="2">
        <f>HYPERLINK("http://mcb-m6.bioreg.kyushu-u.ac.jp/M3/20110421/F51042/3668/1", 35.15)</f>
        <v>35.15</v>
      </c>
      <c r="E4995" s="2">
        <v>12.67</v>
      </c>
      <c r="F4995" s="2">
        <v>3</v>
      </c>
      <c r="G4995" s="2" t="s">
        <v>11</v>
      </c>
    </row>
    <row r="4996" spans="1:7" x14ac:dyDescent="0.2">
      <c r="A4996" s="2" t="s">
        <v>3278</v>
      </c>
      <c r="B4996" s="2" t="s">
        <v>58</v>
      </c>
      <c r="C4996" s="2">
        <v>1106.7</v>
      </c>
      <c r="D4996" s="2">
        <f>HYPERLINK("http://mcb-m6.bioreg.kyushu-u.ac.jp/M3/20110421/F51034/3381/1", 39.93)</f>
        <v>39.93</v>
      </c>
      <c r="E4996" s="2">
        <v>12.43</v>
      </c>
      <c r="F4996" s="2">
        <v>2</v>
      </c>
      <c r="G4996" s="2" t="s">
        <v>11</v>
      </c>
    </row>
    <row r="4997" spans="1:7" x14ac:dyDescent="0.2">
      <c r="A4997" s="2" t="s">
        <v>3278</v>
      </c>
      <c r="B4997" s="2" t="s">
        <v>58</v>
      </c>
      <c r="C4997" s="2">
        <v>1106.7860000000001</v>
      </c>
      <c r="D4997" s="2">
        <f>HYPERLINK("http://mcb-m6.bioreg.kyushu-u.ac.jp/M3/20110421/F51020/3147/1", 43.48)</f>
        <v>43.48</v>
      </c>
      <c r="E4997" s="2">
        <v>21.32</v>
      </c>
      <c r="F4997" s="2">
        <v>2</v>
      </c>
      <c r="G4997" s="2" t="s">
        <v>11</v>
      </c>
    </row>
    <row r="4998" spans="1:7" x14ac:dyDescent="0.2">
      <c r="A4998" s="2" t="s">
        <v>3278</v>
      </c>
      <c r="B4998" s="2" t="s">
        <v>58</v>
      </c>
      <c r="C4998" s="2">
        <v>1106.8630000000001</v>
      </c>
      <c r="D4998" s="2">
        <f>HYPERLINK("http://mcb-m6.bioreg.kyushu-u.ac.jp/M3/20110421/F51016/2793/1", 48.19)</f>
        <v>48.19</v>
      </c>
      <c r="E4998" s="2">
        <v>9.7799999999999994</v>
      </c>
      <c r="F4998" s="2">
        <v>2</v>
      </c>
      <c r="G4998" s="2" t="s">
        <v>11</v>
      </c>
    </row>
    <row r="4999" spans="1:7" x14ac:dyDescent="0.2">
      <c r="A4999" s="2" t="s">
        <v>3278</v>
      </c>
      <c r="B4999" s="2" t="s">
        <v>58</v>
      </c>
      <c r="C4999" s="2">
        <v>1106.923</v>
      </c>
      <c r="D4999" s="2">
        <f>HYPERLINK("http://mcb-m6.bioreg.kyushu-u.ac.jp/M3/20110421/F51042/3667/1", 49.36)</f>
        <v>49.36</v>
      </c>
      <c r="E4999" s="2">
        <v>27.37</v>
      </c>
      <c r="F4999" s="2">
        <v>2</v>
      </c>
      <c r="G4999" s="2" t="s">
        <v>11</v>
      </c>
    </row>
    <row r="5000" spans="1:7" x14ac:dyDescent="0.2">
      <c r="A5000" s="2" t="s">
        <v>3278</v>
      </c>
      <c r="B5000" s="2" t="s">
        <v>58</v>
      </c>
      <c r="C5000" s="2">
        <v>1106.95</v>
      </c>
      <c r="D5000" s="2">
        <f>HYPERLINK("http://mcb-m6.bioreg.kyushu-u.ac.jp/M3/20110421/F51018/3218/1", 72.05)</f>
        <v>72.05</v>
      </c>
      <c r="E5000" s="2">
        <v>27.97</v>
      </c>
      <c r="F5000" s="2">
        <v>2</v>
      </c>
      <c r="G5000" s="2" t="s">
        <v>11</v>
      </c>
    </row>
    <row r="5001" spans="1:7" x14ac:dyDescent="0.2">
      <c r="A5001" s="2" t="s">
        <v>3278</v>
      </c>
      <c r="B5001" s="2" t="s">
        <v>58</v>
      </c>
      <c r="C5001" s="2">
        <v>738.20320000000004</v>
      </c>
      <c r="D5001" s="2">
        <f>HYPERLINK("http://mcb-m6.bioreg.kyushu-u.ac.jp/M3/20110421/F51021/3653/1", 40.8)</f>
        <v>40.799999999999997</v>
      </c>
      <c r="E5001" s="2">
        <v>21.18</v>
      </c>
      <c r="F5001" s="2">
        <v>3</v>
      </c>
      <c r="G5001" s="2" t="s">
        <v>12</v>
      </c>
    </row>
    <row r="5002" spans="1:7" x14ac:dyDescent="0.2">
      <c r="A5002" s="2" t="s">
        <v>3278</v>
      </c>
      <c r="B5002" s="2" t="s">
        <v>58</v>
      </c>
      <c r="C5002" s="2">
        <v>1106.944</v>
      </c>
      <c r="D5002" s="2">
        <f>HYPERLINK("http://mcb-m6.bioreg.kyushu-u.ac.jp/M3/20110421/F51025/2943/1", 49.71)</f>
        <v>49.71</v>
      </c>
      <c r="E5002" s="2">
        <v>25.92</v>
      </c>
      <c r="F5002" s="2">
        <v>2</v>
      </c>
      <c r="G5002" s="2" t="s">
        <v>12</v>
      </c>
    </row>
    <row r="5003" spans="1:7" x14ac:dyDescent="0.2">
      <c r="A5003" s="2" t="s">
        <v>3278</v>
      </c>
      <c r="B5003" s="2" t="s">
        <v>58</v>
      </c>
      <c r="C5003" s="2">
        <v>1106.877</v>
      </c>
      <c r="D5003" s="2">
        <f>HYPERLINK("http://mcb-m6.bioreg.kyushu-u.ac.jp/M3/20110421/F51021/3656/1", 57.31)</f>
        <v>57.31</v>
      </c>
      <c r="E5003" s="2">
        <v>18.329999999999998</v>
      </c>
      <c r="F5003" s="2">
        <v>2</v>
      </c>
      <c r="G5003" s="2" t="s">
        <v>12</v>
      </c>
    </row>
    <row r="5004" spans="1:7" x14ac:dyDescent="0.2">
      <c r="A5004" s="2" t="s">
        <v>3278</v>
      </c>
      <c r="B5004" s="2" t="s">
        <v>58</v>
      </c>
      <c r="C5004" s="2">
        <v>1106.798</v>
      </c>
      <c r="D5004" s="2">
        <f>HYPERLINK("http://mcb-m6.bioreg.kyushu-u.ac.jp/M3/20110421/F51021/3652/1", 68.7)</f>
        <v>68.7</v>
      </c>
      <c r="E5004" s="2">
        <v>25.94</v>
      </c>
      <c r="F5004" s="2">
        <v>2</v>
      </c>
      <c r="G5004" s="2" t="s">
        <v>12</v>
      </c>
    </row>
    <row r="5005" spans="1:7" x14ac:dyDescent="0.2">
      <c r="A5005" s="2" t="s">
        <v>3278</v>
      </c>
      <c r="B5005" s="2" t="s">
        <v>58</v>
      </c>
      <c r="C5005" s="2">
        <v>1106.807</v>
      </c>
      <c r="D5005" s="2">
        <f>HYPERLINK("http://mcb-m6.bioreg.kyushu-u.ac.jp/M3/20110427/F51114/3540/1", 37.04)</f>
        <v>37.04</v>
      </c>
      <c r="E5005" s="2">
        <v>11.79</v>
      </c>
      <c r="F5005" s="2">
        <v>2</v>
      </c>
      <c r="G5005" s="2" t="s">
        <v>13</v>
      </c>
    </row>
    <row r="5006" spans="1:7" x14ac:dyDescent="0.2">
      <c r="A5006" s="2" t="s">
        <v>3278</v>
      </c>
      <c r="B5006" s="2" t="s">
        <v>58</v>
      </c>
      <c r="C5006" s="2">
        <v>1106.8309999999999</v>
      </c>
      <c r="D5006" s="2">
        <f>HYPERLINK("http://mcb-m6.bioreg.kyushu-u.ac.jp/M3/20110428/F51127/3493/1", 37.65)</f>
        <v>37.65</v>
      </c>
      <c r="E5006" s="2">
        <v>13.28</v>
      </c>
      <c r="F5006" s="2">
        <v>2</v>
      </c>
      <c r="G5006" s="2" t="s">
        <v>13</v>
      </c>
    </row>
    <row r="5007" spans="1:7" x14ac:dyDescent="0.2">
      <c r="A5007" s="2" t="s">
        <v>3278</v>
      </c>
      <c r="B5007" s="2" t="s">
        <v>58</v>
      </c>
      <c r="C5007" s="2">
        <v>1106.81</v>
      </c>
      <c r="D5007" s="2">
        <f>HYPERLINK("http://mcb-m6.bioreg.kyushu-u.ac.jp/M3/20110428/F51131/3220/1", 44.7)</f>
        <v>44.7</v>
      </c>
      <c r="E5007" s="2">
        <v>10.61</v>
      </c>
      <c r="F5007" s="2">
        <v>2</v>
      </c>
      <c r="G5007" s="2" t="s">
        <v>13</v>
      </c>
    </row>
    <row r="5008" spans="1:7" x14ac:dyDescent="0.2">
      <c r="A5008" s="2" t="s">
        <v>3278</v>
      </c>
      <c r="B5008" s="2" t="s">
        <v>58</v>
      </c>
      <c r="C5008" s="2">
        <v>1106.873</v>
      </c>
      <c r="D5008" s="2">
        <f>HYPERLINK("http://mcb-m6.bioreg.kyushu-u.ac.jp/M3/20110427/F51109/2801/1", 52.42)</f>
        <v>52.42</v>
      </c>
      <c r="E5008" s="2">
        <v>28.82</v>
      </c>
      <c r="F5008" s="2">
        <v>2</v>
      </c>
      <c r="G5008" s="2" t="s">
        <v>13</v>
      </c>
    </row>
    <row r="5009" spans="1:9" x14ac:dyDescent="0.2">
      <c r="A5009" s="2" t="s">
        <v>3278</v>
      </c>
      <c r="B5009" s="2" t="s">
        <v>58</v>
      </c>
      <c r="C5009" s="2">
        <v>1106.857</v>
      </c>
      <c r="D5009" s="2">
        <f>HYPERLINK("http://mcb-m6.bioreg.kyushu-u.ac.jp/M3/20110427/F51108/3000/1", 52.44)</f>
        <v>52.44</v>
      </c>
      <c r="E5009" s="2">
        <v>11.29</v>
      </c>
      <c r="F5009" s="2">
        <v>2</v>
      </c>
      <c r="G5009" s="2" t="s">
        <v>13</v>
      </c>
    </row>
    <row r="5010" spans="1:9" x14ac:dyDescent="0.2">
      <c r="A5010" s="2" t="s">
        <v>3278</v>
      </c>
      <c r="B5010" s="2" t="s">
        <v>58</v>
      </c>
      <c r="C5010" s="2">
        <v>1106.8389999999999</v>
      </c>
      <c r="D5010" s="2">
        <f>HYPERLINK("http://mcb-m6.bioreg.kyushu-u.ac.jp/M3/20110428/F51128/3335/1", 35.15)</f>
        <v>35.15</v>
      </c>
      <c r="E5010" s="2">
        <v>14.88</v>
      </c>
      <c r="F5010" s="2">
        <v>2</v>
      </c>
      <c r="G5010" s="2" t="s">
        <v>14</v>
      </c>
    </row>
    <row r="5011" spans="1:9" x14ac:dyDescent="0.2">
      <c r="A5011" s="2" t="s">
        <v>3278</v>
      </c>
      <c r="B5011" s="2" t="s">
        <v>58</v>
      </c>
      <c r="C5011" s="2">
        <v>1106.8330000000001</v>
      </c>
      <c r="D5011" s="2">
        <f>HYPERLINK("http://mcb-m6.bioreg.kyushu-u.ac.jp/M3/20110427/F51124/3157/1", 43.61)</f>
        <v>43.61</v>
      </c>
      <c r="E5011" s="2">
        <v>17.32</v>
      </c>
      <c r="F5011" s="2">
        <v>2</v>
      </c>
      <c r="G5011" s="2" t="s">
        <v>14</v>
      </c>
    </row>
    <row r="5012" spans="1:9" x14ac:dyDescent="0.2">
      <c r="A5012" s="2" t="s">
        <v>3278</v>
      </c>
      <c r="B5012" s="2" t="s">
        <v>58</v>
      </c>
      <c r="C5012" s="2">
        <v>1106.9480000000001</v>
      </c>
      <c r="D5012" s="2">
        <f>HYPERLINK("http://mcb-m6.bioreg.kyushu-u.ac.jp/M3/20110427/F51118/2757/1", 43.66)</f>
        <v>43.66</v>
      </c>
      <c r="E5012" s="2">
        <v>15.51</v>
      </c>
      <c r="F5012" s="2">
        <v>2</v>
      </c>
      <c r="G5012" s="2" t="s">
        <v>14</v>
      </c>
    </row>
    <row r="5013" spans="1:9" x14ac:dyDescent="0.2">
      <c r="A5013" s="2" t="s">
        <v>3278</v>
      </c>
      <c r="B5013" s="2" t="s">
        <v>58</v>
      </c>
      <c r="C5013" s="2">
        <v>1106.76</v>
      </c>
      <c r="D5013" s="2">
        <f>HYPERLINK("http://mcb-m6.bioreg.kyushu-u.ac.jp/M3/20110427/F51125/3139/1", 45.36)</f>
        <v>45.36</v>
      </c>
      <c r="E5013" s="2">
        <v>19.14</v>
      </c>
      <c r="F5013" s="2">
        <v>2</v>
      </c>
      <c r="G5013" s="2" t="s">
        <v>14</v>
      </c>
    </row>
    <row r="5014" spans="1:9" x14ac:dyDescent="0.2">
      <c r="A5014" s="2" t="s">
        <v>3278</v>
      </c>
      <c r="B5014" s="2" t="s">
        <v>58</v>
      </c>
      <c r="C5014" s="2">
        <v>1106.9449999999999</v>
      </c>
      <c r="D5014" s="2">
        <f>HYPERLINK("http://mcb-m6.bioreg.kyushu-u.ac.jp/M3/20110428/F51129/3246/1", 45.37)</f>
        <v>45.37</v>
      </c>
      <c r="E5014" s="2">
        <v>19.45</v>
      </c>
      <c r="F5014" s="2">
        <v>2</v>
      </c>
      <c r="G5014" s="2" t="s">
        <v>14</v>
      </c>
    </row>
    <row r="5015" spans="1:9" x14ac:dyDescent="0.2">
      <c r="A5015" s="2" t="s">
        <v>3980</v>
      </c>
      <c r="B5015" s="2" t="s">
        <v>1230</v>
      </c>
      <c r="C5015" s="2">
        <v>630.55219999999997</v>
      </c>
      <c r="D5015" s="2">
        <f>HYPERLINK("http://mcb-m6.bioreg.kyushu-u.ac.jp/M3/20110404/F50752/1765/1", 81.41)</f>
        <v>81.41</v>
      </c>
      <c r="E5015" s="2">
        <v>62.28</v>
      </c>
      <c r="F5015" s="2">
        <v>2</v>
      </c>
      <c r="G5015" s="2" t="s">
        <v>9</v>
      </c>
    </row>
    <row r="5016" spans="1:9" x14ac:dyDescent="0.2">
      <c r="A5016" s="2" t="s">
        <v>4367</v>
      </c>
      <c r="B5016" s="2" t="s">
        <v>2194</v>
      </c>
      <c r="C5016" s="2">
        <v>733.93020000000001</v>
      </c>
      <c r="D5016" s="2">
        <f>HYPERLINK("http://mcb-m6.bioreg.kyushu-u.ac.jp/M3/20110421/F51021/2036/1", 44.87)</f>
        <v>44.87</v>
      </c>
      <c r="E5016" s="2">
        <v>33.92</v>
      </c>
      <c r="F5016" s="2">
        <v>2</v>
      </c>
      <c r="G5016" s="2" t="s">
        <v>12</v>
      </c>
      <c r="I5016" s="2" t="s">
        <v>4899</v>
      </c>
    </row>
    <row r="5017" spans="1:9" x14ac:dyDescent="0.2">
      <c r="A5017" s="2" t="s">
        <v>4367</v>
      </c>
      <c r="B5017" s="2" t="s">
        <v>2194</v>
      </c>
      <c r="C5017" s="2">
        <v>733.25210000000004</v>
      </c>
      <c r="D5017" s="2">
        <f>HYPERLINK("http://mcb-m6.bioreg.kyushu-u.ac.jp/M3/20110427/F51108/2022/1", 58.34)</f>
        <v>58.34</v>
      </c>
      <c r="E5017" s="2">
        <v>46.2</v>
      </c>
      <c r="F5017" s="2">
        <v>2</v>
      </c>
      <c r="G5017" s="2" t="s">
        <v>13</v>
      </c>
      <c r="I5017" s="2" t="s">
        <v>4899</v>
      </c>
    </row>
    <row r="5018" spans="1:9" x14ac:dyDescent="0.2">
      <c r="A5018" s="2" t="s">
        <v>3912</v>
      </c>
      <c r="B5018" s="2" t="s">
        <v>1083</v>
      </c>
      <c r="C5018" s="2">
        <v>755.26570000000004</v>
      </c>
      <c r="D5018" s="2">
        <f>HYPERLINK("http://mcb-m6.bioreg.kyushu-u.ac.jp/M3/20110427/F51111/2203/1", 37.12)</f>
        <v>37.119999999999997</v>
      </c>
      <c r="E5018" s="2">
        <v>21.24</v>
      </c>
      <c r="F5018" s="2">
        <v>2</v>
      </c>
      <c r="G5018" s="2" t="s">
        <v>13</v>
      </c>
    </row>
    <row r="5019" spans="1:9" x14ac:dyDescent="0.2">
      <c r="A5019" s="2" t="s">
        <v>7644</v>
      </c>
      <c r="B5019" s="2" t="s">
        <v>6195</v>
      </c>
      <c r="C5019" s="2">
        <v>927.21</v>
      </c>
      <c r="D5019" s="2">
        <f>HYPERLINK("http://mcb-m6.bioreg.kyushu-u.ac.jp/M3/20110404/F50753/1102/1", 46.18)</f>
        <v>46.18</v>
      </c>
      <c r="E5019" s="2">
        <v>16.05</v>
      </c>
      <c r="F5019" s="2">
        <v>1</v>
      </c>
      <c r="G5019" s="2" t="s">
        <v>9</v>
      </c>
    </row>
    <row r="5020" spans="1:9" x14ac:dyDescent="0.2">
      <c r="A5020" s="2" t="s">
        <v>7644</v>
      </c>
      <c r="B5020" s="2" t="s">
        <v>6659</v>
      </c>
      <c r="C5020" s="2">
        <v>1533.3119999999999</v>
      </c>
      <c r="D5020" s="2">
        <f>HYPERLINK("http://mcb-m6.bioreg.kyushu-u.ac.jp/M3/20110404/F50753/3725/1", 112.13)</f>
        <v>112.13</v>
      </c>
      <c r="E5020" s="2">
        <v>103.15</v>
      </c>
      <c r="F5020" s="2">
        <v>2</v>
      </c>
      <c r="G5020" s="2" t="s">
        <v>9</v>
      </c>
    </row>
    <row r="5021" spans="1:9" x14ac:dyDescent="0.2">
      <c r="A5021" s="2" t="s">
        <v>7644</v>
      </c>
      <c r="B5021" s="2" t="s">
        <v>6195</v>
      </c>
      <c r="C5021" s="2">
        <v>927.36500000000001</v>
      </c>
      <c r="D5021" s="2">
        <f>HYPERLINK("http://mcb-m6.bioreg.kyushu-u.ac.jp/M3/20110404/F50758/1132/1", 46.17)</f>
        <v>46.17</v>
      </c>
      <c r="E5021" s="2">
        <v>20.27</v>
      </c>
      <c r="F5021" s="2">
        <v>1</v>
      </c>
      <c r="G5021" s="2" t="s">
        <v>10</v>
      </c>
    </row>
    <row r="5022" spans="1:9" x14ac:dyDescent="0.2">
      <c r="A5022" s="2" t="s">
        <v>7644</v>
      </c>
      <c r="B5022" s="2" t="s">
        <v>6966</v>
      </c>
      <c r="C5022" s="2">
        <v>917.17610000000002</v>
      </c>
      <c r="D5022" s="2">
        <f>HYPERLINK("http://mcb-m6.bioreg.kyushu-u.ac.jp/M3/20110404/F50758/2494/1", 68.25)</f>
        <v>68.25</v>
      </c>
      <c r="E5022" s="2">
        <v>51.29</v>
      </c>
      <c r="F5022" s="2">
        <v>2</v>
      </c>
      <c r="G5022" s="2" t="s">
        <v>10</v>
      </c>
    </row>
    <row r="5023" spans="1:9" x14ac:dyDescent="0.2">
      <c r="A5023" s="2" t="s">
        <v>7644</v>
      </c>
      <c r="B5023" s="2" t="s">
        <v>6966</v>
      </c>
      <c r="C5023" s="2">
        <v>916.8152</v>
      </c>
      <c r="D5023" s="2">
        <f>HYPERLINK("http://mcb-m6.bioreg.kyushu-u.ac.jp/M3/20110421/F51017/2932/1", 57.86)</f>
        <v>57.86</v>
      </c>
      <c r="E5023" s="2">
        <v>41.58</v>
      </c>
      <c r="F5023" s="2">
        <v>2</v>
      </c>
      <c r="G5023" s="2" t="s">
        <v>11</v>
      </c>
    </row>
    <row r="5024" spans="1:9" x14ac:dyDescent="0.2">
      <c r="A5024" s="2" t="s">
        <v>7644</v>
      </c>
      <c r="B5024" s="2" t="s">
        <v>7271</v>
      </c>
      <c r="C5024" s="2">
        <v>808.39260000000002</v>
      </c>
      <c r="D5024" s="2">
        <f>HYPERLINK("http://mcb-m6.bioreg.kyushu-u.ac.jp/M3/20110421/F51023/2377/1", 86.03)</f>
        <v>86.03</v>
      </c>
      <c r="E5024" s="2">
        <v>64.88</v>
      </c>
      <c r="F5024" s="2">
        <v>2</v>
      </c>
      <c r="G5024" s="2" t="s">
        <v>12</v>
      </c>
    </row>
    <row r="5025" spans="1:7" x14ac:dyDescent="0.2">
      <c r="A5025" s="2" t="s">
        <v>7644</v>
      </c>
      <c r="B5025" s="2" t="s">
        <v>6966</v>
      </c>
      <c r="C5025" s="2">
        <v>916.94870000000003</v>
      </c>
      <c r="D5025" s="2">
        <f>HYPERLINK("http://mcb-m6.bioreg.kyushu-u.ac.jp/M3/20110427/F51112/2879/1", 35.92)</f>
        <v>35.92</v>
      </c>
      <c r="E5025" s="2">
        <v>23.21</v>
      </c>
      <c r="F5025" s="2">
        <v>2</v>
      </c>
      <c r="G5025" s="2" t="s">
        <v>13</v>
      </c>
    </row>
    <row r="5026" spans="1:7" x14ac:dyDescent="0.2">
      <c r="A5026" s="2" t="s">
        <v>7644</v>
      </c>
      <c r="B5026" s="2" t="s">
        <v>7271</v>
      </c>
      <c r="C5026" s="2">
        <v>539.31050000000005</v>
      </c>
      <c r="D5026" s="2">
        <f>HYPERLINK("http://mcb-m6.bioreg.kyushu-u.ac.jp/M3/20110427/F51111/2494/1", 42.03)</f>
        <v>42.03</v>
      </c>
      <c r="E5026" s="2">
        <v>23.08</v>
      </c>
      <c r="F5026" s="2">
        <v>3</v>
      </c>
      <c r="G5026" s="2" t="s">
        <v>13</v>
      </c>
    </row>
    <row r="5027" spans="1:7" x14ac:dyDescent="0.2">
      <c r="A5027" s="2" t="s">
        <v>7644</v>
      </c>
      <c r="B5027" s="2" t="s">
        <v>7271</v>
      </c>
      <c r="C5027" s="2">
        <v>808.32119999999998</v>
      </c>
      <c r="D5027" s="2">
        <f>HYPERLINK("http://mcb-m6.bioreg.kyushu-u.ac.jp/M3/20110427/F51111/2493/1", 92.92)</f>
        <v>92.92</v>
      </c>
      <c r="E5027" s="2">
        <v>68.12</v>
      </c>
      <c r="F5027" s="2">
        <v>2</v>
      </c>
      <c r="G5027" s="2" t="s">
        <v>13</v>
      </c>
    </row>
    <row r="5028" spans="1:7" x14ac:dyDescent="0.2">
      <c r="A5028" s="2" t="s">
        <v>7644</v>
      </c>
      <c r="B5028" s="2" t="s">
        <v>7271</v>
      </c>
      <c r="C5028" s="2">
        <v>807.78809999999999</v>
      </c>
      <c r="D5028" s="2">
        <f>HYPERLINK("http://mcb-m6.bioreg.kyushu-u.ac.jp/M3/20110427/F51111/2490/1", 99.37)</f>
        <v>99.37</v>
      </c>
      <c r="E5028" s="2">
        <v>82.09</v>
      </c>
      <c r="F5028" s="2">
        <v>2</v>
      </c>
      <c r="G5028" s="2" t="s">
        <v>13</v>
      </c>
    </row>
    <row r="5029" spans="1:7" x14ac:dyDescent="0.2">
      <c r="A5029" s="2" t="s">
        <v>7615</v>
      </c>
      <c r="B5029" s="2" t="s">
        <v>6125</v>
      </c>
      <c r="C5029" s="2">
        <v>931.20899999999995</v>
      </c>
      <c r="D5029" s="2">
        <f>HYPERLINK("http://mcb-m6.bioreg.kyushu-u.ac.jp/M3/20110404/F50753/1105/1", 43.65)</f>
        <v>43.65</v>
      </c>
      <c r="E5029" s="2">
        <v>9.09</v>
      </c>
      <c r="F5029" s="2">
        <v>1</v>
      </c>
      <c r="G5029" s="2" t="s">
        <v>9</v>
      </c>
    </row>
    <row r="5030" spans="1:7" x14ac:dyDescent="0.2">
      <c r="A5030" s="2" t="s">
        <v>7615</v>
      </c>
      <c r="B5030" s="2" t="s">
        <v>6464</v>
      </c>
      <c r="C5030" s="2">
        <v>899.57370000000003</v>
      </c>
      <c r="D5030" s="2">
        <f>HYPERLINK("http://mcb-m6.bioreg.kyushu-u.ac.jp/M3/20110404/F50753/2617/1", 66.56)</f>
        <v>66.56</v>
      </c>
      <c r="E5030" s="2">
        <v>56.2</v>
      </c>
      <c r="F5030" s="2">
        <v>2</v>
      </c>
      <c r="G5030" s="2" t="s">
        <v>9</v>
      </c>
    </row>
    <row r="5031" spans="1:7" x14ac:dyDescent="0.2">
      <c r="A5031" s="2" t="s">
        <v>7615</v>
      </c>
      <c r="B5031" s="2" t="s">
        <v>6125</v>
      </c>
      <c r="C5031" s="2">
        <v>931.47199999999998</v>
      </c>
      <c r="D5031" s="2">
        <f>HYPERLINK("http://mcb-m6.bioreg.kyushu-u.ac.jp/M3/20110404/F50758/1136/1", 43.08)</f>
        <v>43.08</v>
      </c>
      <c r="E5031" s="2">
        <v>23.6</v>
      </c>
      <c r="F5031" s="2">
        <v>1</v>
      </c>
      <c r="G5031" s="2" t="s">
        <v>10</v>
      </c>
    </row>
    <row r="5032" spans="1:7" x14ac:dyDescent="0.2">
      <c r="A5032" s="2" t="s">
        <v>7615</v>
      </c>
      <c r="B5032" s="2" t="s">
        <v>6125</v>
      </c>
      <c r="C5032" s="2">
        <v>466.6506</v>
      </c>
      <c r="D5032" s="2">
        <f>HYPERLINK("http://mcb-m6.bioreg.kyushu-u.ac.jp/M3/20110404/F50758/1137/1", 47.24)</f>
        <v>47.24</v>
      </c>
      <c r="E5032" s="2">
        <v>33.020000000000003</v>
      </c>
      <c r="F5032" s="2">
        <v>2</v>
      </c>
      <c r="G5032" s="2" t="s">
        <v>10</v>
      </c>
    </row>
    <row r="5033" spans="1:7" x14ac:dyDescent="0.2">
      <c r="A5033" s="2" t="s">
        <v>7615</v>
      </c>
      <c r="B5033" s="2" t="s">
        <v>6464</v>
      </c>
      <c r="C5033" s="2">
        <v>899.8827</v>
      </c>
      <c r="D5033" s="2">
        <f>HYPERLINK("http://mcb-m6.bioreg.kyushu-u.ac.jp/M3/20110421/F51017/2866/1", 59.22)</f>
        <v>59.22</v>
      </c>
      <c r="E5033" s="2">
        <v>46.1</v>
      </c>
      <c r="F5033" s="2">
        <v>2</v>
      </c>
      <c r="G5033" s="2" t="s">
        <v>11</v>
      </c>
    </row>
    <row r="5034" spans="1:7" x14ac:dyDescent="0.2">
      <c r="A5034" s="2" t="s">
        <v>7615</v>
      </c>
      <c r="B5034" s="2" t="s">
        <v>6464</v>
      </c>
      <c r="C5034" s="2">
        <v>899.3732</v>
      </c>
      <c r="D5034" s="2">
        <f>HYPERLINK("http://mcb-m6.bioreg.kyushu-u.ac.jp/M3/20110421/F51017/2862/1", 80.26)</f>
        <v>80.260000000000005</v>
      </c>
      <c r="E5034" s="2">
        <v>69.150000000000006</v>
      </c>
      <c r="F5034" s="2">
        <v>2</v>
      </c>
      <c r="G5034" s="2" t="s">
        <v>11</v>
      </c>
    </row>
    <row r="5035" spans="1:7" x14ac:dyDescent="0.2">
      <c r="A5035" s="2" t="s">
        <v>7615</v>
      </c>
      <c r="B5035" s="2" t="s">
        <v>6464</v>
      </c>
      <c r="C5035" s="2">
        <v>899.45119999999997</v>
      </c>
      <c r="D5035" s="2">
        <f>HYPERLINK("http://mcb-m6.bioreg.kyushu-u.ac.jp/M3/20110421/F51023/2644/1", 50.6)</f>
        <v>50.6</v>
      </c>
      <c r="E5035" s="2">
        <v>40.17</v>
      </c>
      <c r="F5035" s="2">
        <v>2</v>
      </c>
      <c r="G5035" s="2" t="s">
        <v>12</v>
      </c>
    </row>
    <row r="5036" spans="1:7" x14ac:dyDescent="0.2">
      <c r="A5036" s="2" t="s">
        <v>7615</v>
      </c>
      <c r="B5036" s="2" t="s">
        <v>6464</v>
      </c>
      <c r="C5036" s="2">
        <v>600.18910000000005</v>
      </c>
      <c r="D5036" s="2">
        <f>HYPERLINK("http://mcb-m6.bioreg.kyushu-u.ac.jp/M3/20110427/F51111/2859/1", 45.44)</f>
        <v>45.44</v>
      </c>
      <c r="E5036" s="2">
        <v>24.91</v>
      </c>
      <c r="F5036" s="2">
        <v>3</v>
      </c>
      <c r="G5036" s="2" t="s">
        <v>13</v>
      </c>
    </row>
    <row r="5037" spans="1:7" x14ac:dyDescent="0.2">
      <c r="A5037" s="2" t="s">
        <v>7615</v>
      </c>
      <c r="B5037" s="2" t="s">
        <v>6464</v>
      </c>
      <c r="C5037" s="2">
        <v>899.92219999999998</v>
      </c>
      <c r="D5037" s="2">
        <f>HYPERLINK("http://mcb-m6.bioreg.kyushu-u.ac.jp/M3/20110427/F51111/2862/1", 59.31)</f>
        <v>59.31</v>
      </c>
      <c r="E5037" s="2">
        <v>49.26</v>
      </c>
      <c r="F5037" s="2">
        <v>2</v>
      </c>
      <c r="G5037" s="2" t="s">
        <v>13</v>
      </c>
    </row>
    <row r="5038" spans="1:7" x14ac:dyDescent="0.2">
      <c r="A5038" s="2" t="s">
        <v>7713</v>
      </c>
      <c r="B5038" s="2" t="s">
        <v>6411</v>
      </c>
      <c r="C5038" s="2">
        <v>575.09169999999995</v>
      </c>
      <c r="D5038" s="2">
        <f>HYPERLINK("http://mcb-m6.bioreg.kyushu-u.ac.jp/M3/20110404/F50753/1414/1", 60.87)</f>
        <v>60.87</v>
      </c>
      <c r="E5038" s="2">
        <v>35.54</v>
      </c>
      <c r="F5038" s="2">
        <v>2</v>
      </c>
      <c r="G5038" s="2" t="s">
        <v>9</v>
      </c>
    </row>
    <row r="5039" spans="1:7" x14ac:dyDescent="0.2">
      <c r="A5039" s="2" t="s">
        <v>7713</v>
      </c>
      <c r="B5039" s="2" t="s">
        <v>6411</v>
      </c>
      <c r="C5039" s="2">
        <v>575.14509999999996</v>
      </c>
      <c r="D5039" s="2">
        <f>HYPERLINK("http://mcb-m6.bioreg.kyushu-u.ac.jp/M3/20110404/F50758/1385/1", 54.51)</f>
        <v>54.51</v>
      </c>
      <c r="E5039" s="2">
        <v>29.69</v>
      </c>
      <c r="F5039" s="2">
        <v>2</v>
      </c>
      <c r="G5039" s="2" t="s">
        <v>10</v>
      </c>
    </row>
    <row r="5040" spans="1:7" x14ac:dyDescent="0.2">
      <c r="A5040" s="2" t="s">
        <v>7713</v>
      </c>
      <c r="B5040" s="2" t="s">
        <v>6411</v>
      </c>
      <c r="C5040" s="2">
        <v>1149.329</v>
      </c>
      <c r="D5040" s="2">
        <f>HYPERLINK("http://mcb-m6.bioreg.kyushu-u.ac.jp/M3/20110421/F51017/1234/1", 37.23)</f>
        <v>37.229999999999997</v>
      </c>
      <c r="E5040" s="2">
        <v>24.69</v>
      </c>
      <c r="F5040" s="2">
        <v>1</v>
      </c>
      <c r="G5040" s="2" t="s">
        <v>11</v>
      </c>
    </row>
    <row r="5041" spans="1:7" x14ac:dyDescent="0.2">
      <c r="A5041" s="2" t="s">
        <v>7713</v>
      </c>
      <c r="B5041" s="2" t="s">
        <v>6411</v>
      </c>
      <c r="C5041" s="2">
        <v>575.11720000000003</v>
      </c>
      <c r="D5041" s="2">
        <f>HYPERLINK("http://mcb-m6.bioreg.kyushu-u.ac.jp/M3/20110421/F51017/1232/1", 42.09)</f>
        <v>42.09</v>
      </c>
      <c r="E5041" s="2">
        <v>23.54</v>
      </c>
      <c r="F5041" s="2">
        <v>2</v>
      </c>
      <c r="G5041" s="2" t="s">
        <v>11</v>
      </c>
    </row>
    <row r="5042" spans="1:7" x14ac:dyDescent="0.2">
      <c r="A5042" s="2" t="s">
        <v>7713</v>
      </c>
      <c r="B5042" s="2" t="s">
        <v>6411</v>
      </c>
      <c r="C5042" s="2">
        <v>575.15260000000001</v>
      </c>
      <c r="D5042" s="2">
        <f>HYPERLINK("http://mcb-m6.bioreg.kyushu-u.ac.jp/M3/20110421/F51023/1525/1", 63.64)</f>
        <v>63.64</v>
      </c>
      <c r="E5042" s="2">
        <v>42.15</v>
      </c>
      <c r="F5042" s="2">
        <v>2</v>
      </c>
      <c r="G5042" s="2" t="s">
        <v>12</v>
      </c>
    </row>
    <row r="5043" spans="1:7" x14ac:dyDescent="0.2">
      <c r="A5043" s="2" t="s">
        <v>7713</v>
      </c>
      <c r="B5043" s="2" t="s">
        <v>6411</v>
      </c>
      <c r="C5043" s="2">
        <v>575.09370000000001</v>
      </c>
      <c r="D5043" s="2">
        <f>HYPERLINK("http://mcb-m6.bioreg.kyushu-u.ac.jp/M3/20110427/F51112/1385/1", 53.31)</f>
        <v>53.31</v>
      </c>
      <c r="E5043" s="2">
        <v>30.09</v>
      </c>
      <c r="F5043" s="2">
        <v>2</v>
      </c>
      <c r="G5043" s="2" t="s">
        <v>13</v>
      </c>
    </row>
    <row r="5044" spans="1:7" x14ac:dyDescent="0.2">
      <c r="A5044" s="2" t="s">
        <v>7713</v>
      </c>
      <c r="B5044" s="2" t="s">
        <v>6411</v>
      </c>
      <c r="C5044" s="2">
        <v>575.23469999999998</v>
      </c>
      <c r="D5044" s="2">
        <f>HYPERLINK("http://mcb-m6.bioreg.kyushu-u.ac.jp/M3/20110427/F51111/1445/1", 61.91)</f>
        <v>61.91</v>
      </c>
      <c r="E5044" s="2">
        <v>33.06</v>
      </c>
      <c r="F5044" s="2">
        <v>2</v>
      </c>
      <c r="G5044" s="2" t="s">
        <v>13</v>
      </c>
    </row>
    <row r="5045" spans="1:7" x14ac:dyDescent="0.2">
      <c r="A5045" s="2" t="s">
        <v>4061</v>
      </c>
      <c r="B5045" s="2" t="s">
        <v>1426</v>
      </c>
      <c r="C5045" s="2">
        <v>987.07460000000003</v>
      </c>
      <c r="D5045" s="2">
        <f>HYPERLINK("http://mcb-m6.bioreg.kyushu-u.ac.jp/M3/20110404/F50756/3027/1", 54.38)</f>
        <v>54.38</v>
      </c>
      <c r="E5045" s="2">
        <v>43.47</v>
      </c>
      <c r="F5045" s="2">
        <v>2</v>
      </c>
      <c r="G5045" s="2" t="s">
        <v>9</v>
      </c>
    </row>
    <row r="5046" spans="1:7" x14ac:dyDescent="0.2">
      <c r="A5046" s="2" t="s">
        <v>4061</v>
      </c>
      <c r="B5046" s="2" t="s">
        <v>2114</v>
      </c>
      <c r="C5046" s="2">
        <v>975.55160000000001</v>
      </c>
      <c r="D5046" s="2">
        <f>HYPERLINK("http://mcb-m6.bioreg.kyushu-u.ac.jp/M3/20110404/F50756/2981/1", 73.12)</f>
        <v>73.12</v>
      </c>
      <c r="E5046" s="2">
        <v>57.9</v>
      </c>
      <c r="F5046" s="2">
        <v>2</v>
      </c>
      <c r="G5046" s="2" t="s">
        <v>9</v>
      </c>
    </row>
    <row r="5047" spans="1:7" x14ac:dyDescent="0.2">
      <c r="A5047" s="2" t="s">
        <v>4061</v>
      </c>
      <c r="B5047" s="2" t="s">
        <v>2114</v>
      </c>
      <c r="C5047" s="2">
        <v>974.90219999999999</v>
      </c>
      <c r="D5047" s="2">
        <f>HYPERLINK("http://mcb-m6.bioreg.kyushu-u.ac.jp/M3/20110404/F50762/2512/1", 79.53)</f>
        <v>79.53</v>
      </c>
      <c r="E5047" s="2">
        <v>63.33</v>
      </c>
      <c r="F5047" s="2">
        <v>2</v>
      </c>
      <c r="G5047" s="2" t="s">
        <v>9</v>
      </c>
    </row>
    <row r="5048" spans="1:7" x14ac:dyDescent="0.2">
      <c r="A5048" s="2" t="s">
        <v>4061</v>
      </c>
      <c r="B5048" s="2" t="s">
        <v>1492</v>
      </c>
      <c r="C5048" s="2">
        <v>759.15719999999999</v>
      </c>
      <c r="D5048" s="2">
        <f>HYPERLINK("http://mcb-m6.bioreg.kyushu-u.ac.jp/M3/20110404/F50761/1908/1", 44.92)</f>
        <v>44.92</v>
      </c>
      <c r="E5048" s="2">
        <v>29.23</v>
      </c>
      <c r="F5048" s="2">
        <v>2</v>
      </c>
      <c r="G5048" s="2" t="s">
        <v>10</v>
      </c>
    </row>
    <row r="5049" spans="1:7" x14ac:dyDescent="0.2">
      <c r="A5049" s="2" t="s">
        <v>4061</v>
      </c>
      <c r="B5049" s="2" t="s">
        <v>1426</v>
      </c>
      <c r="C5049" s="2">
        <v>987.4307</v>
      </c>
      <c r="D5049" s="2">
        <f>HYPERLINK("http://mcb-m6.bioreg.kyushu-u.ac.jp/M3/20110404/F50768/2691/1", 55.84)</f>
        <v>55.84</v>
      </c>
      <c r="E5049" s="2">
        <v>39.01</v>
      </c>
      <c r="F5049" s="2">
        <v>2</v>
      </c>
      <c r="G5049" s="2" t="s">
        <v>10</v>
      </c>
    </row>
    <row r="5050" spans="1:7" x14ac:dyDescent="0.2">
      <c r="A5050" s="2" t="s">
        <v>4061</v>
      </c>
      <c r="B5050" s="2" t="s">
        <v>2114</v>
      </c>
      <c r="C5050" s="2">
        <v>974.7867</v>
      </c>
      <c r="D5050" s="2">
        <f>HYPERLINK("http://mcb-m6.bioreg.kyushu-u.ac.jp/M3/20110404/F50768/2663/1", 85.08)</f>
        <v>85.08</v>
      </c>
      <c r="E5050" s="2">
        <v>72.040000000000006</v>
      </c>
      <c r="F5050" s="2">
        <v>2</v>
      </c>
      <c r="G5050" s="2" t="s">
        <v>10</v>
      </c>
    </row>
    <row r="5051" spans="1:7" x14ac:dyDescent="0.2">
      <c r="A5051" s="2" t="s">
        <v>4061</v>
      </c>
      <c r="B5051" s="2" t="s">
        <v>2114</v>
      </c>
      <c r="C5051" s="2">
        <v>975.34270000000004</v>
      </c>
      <c r="D5051" s="2">
        <f>HYPERLINK("http://mcb-m6.bioreg.kyushu-u.ac.jp/M3/20110404/F50761/2744/1", 93.37)</f>
        <v>93.37</v>
      </c>
      <c r="E5051" s="2">
        <v>75.08</v>
      </c>
      <c r="F5051" s="2">
        <v>2</v>
      </c>
      <c r="G5051" s="2" t="s">
        <v>10</v>
      </c>
    </row>
    <row r="5052" spans="1:7" x14ac:dyDescent="0.2">
      <c r="A5052" s="2" t="s">
        <v>4061</v>
      </c>
      <c r="B5052" s="2" t="s">
        <v>1492</v>
      </c>
      <c r="C5052" s="2">
        <v>759.31769999999995</v>
      </c>
      <c r="D5052" s="2">
        <f>HYPERLINK("http://mcb-m6.bioreg.kyushu-u.ac.jp/M3/20110421/F51034/2163/1", 59.74)</f>
        <v>59.74</v>
      </c>
      <c r="E5052" s="2">
        <v>46.49</v>
      </c>
      <c r="F5052" s="2">
        <v>2</v>
      </c>
      <c r="G5052" s="2" t="s">
        <v>11</v>
      </c>
    </row>
    <row r="5053" spans="1:7" x14ac:dyDescent="0.2">
      <c r="A5053" s="2" t="s">
        <v>4061</v>
      </c>
      <c r="B5053" s="2" t="s">
        <v>1492</v>
      </c>
      <c r="C5053" s="2">
        <v>759.37070000000006</v>
      </c>
      <c r="D5053" s="2">
        <f>HYPERLINK("http://mcb-m6.bioreg.kyushu-u.ac.jp/M3/20110421/F51044/2167/1", 83.14)</f>
        <v>83.14</v>
      </c>
      <c r="E5053" s="2">
        <v>63.93</v>
      </c>
      <c r="F5053" s="2">
        <v>2</v>
      </c>
      <c r="G5053" s="2" t="s">
        <v>12</v>
      </c>
    </row>
    <row r="5054" spans="1:7" x14ac:dyDescent="0.2">
      <c r="A5054" s="2" t="s">
        <v>4061</v>
      </c>
      <c r="B5054" s="2" t="s">
        <v>1492</v>
      </c>
      <c r="C5054" s="2">
        <v>759.19619999999998</v>
      </c>
      <c r="D5054" s="2">
        <f>HYPERLINK("http://mcb-m6.bioreg.kyushu-u.ac.jp/M3/20110427/F51114/2156/1", 73.89)</f>
        <v>73.89</v>
      </c>
      <c r="E5054" s="2">
        <v>56.79</v>
      </c>
      <c r="F5054" s="2">
        <v>2</v>
      </c>
      <c r="G5054" s="2" t="s">
        <v>13</v>
      </c>
    </row>
    <row r="5055" spans="1:7" x14ac:dyDescent="0.2">
      <c r="A5055" s="2" t="s">
        <v>4061</v>
      </c>
      <c r="B5055" s="2" t="s">
        <v>2114</v>
      </c>
      <c r="C5055" s="2">
        <v>975.23820000000001</v>
      </c>
      <c r="D5055" s="2">
        <f>HYPERLINK("http://mcb-m6.bioreg.kyushu-u.ac.jp/M3/20110427/F51114/3145/1", 90.04)</f>
        <v>90.04</v>
      </c>
      <c r="E5055" s="2">
        <v>69.06</v>
      </c>
      <c r="F5055" s="2">
        <v>2</v>
      </c>
      <c r="G5055" s="2" t="s">
        <v>13</v>
      </c>
    </row>
    <row r="5056" spans="1:7" x14ac:dyDescent="0.2">
      <c r="A5056" s="2" t="s">
        <v>4061</v>
      </c>
      <c r="B5056" s="2" t="s">
        <v>1492</v>
      </c>
      <c r="C5056" s="2">
        <v>759.69209999999998</v>
      </c>
      <c r="D5056" s="2">
        <f>HYPERLINK("http://mcb-m6.bioreg.kyushu-u.ac.jp/M3/20110427/F51123/2129/1", 54.9)</f>
        <v>54.9</v>
      </c>
      <c r="E5056" s="2">
        <v>39.72</v>
      </c>
      <c r="F5056" s="2">
        <v>2</v>
      </c>
      <c r="G5056" s="2" t="s">
        <v>14</v>
      </c>
    </row>
    <row r="5057" spans="1:9" x14ac:dyDescent="0.2">
      <c r="A5057" s="2" t="s">
        <v>4061</v>
      </c>
      <c r="B5057" s="2" t="s">
        <v>1492</v>
      </c>
      <c r="C5057" s="2">
        <v>759.13959999999997</v>
      </c>
      <c r="D5057" s="2">
        <f>HYPERLINK("http://mcb-m6.bioreg.kyushu-u.ac.jp/M3/20110427/F51123/2126/1", 82.47)</f>
        <v>82.47</v>
      </c>
      <c r="E5057" s="2">
        <v>63.15</v>
      </c>
      <c r="F5057" s="2">
        <v>2</v>
      </c>
      <c r="G5057" s="2" t="s">
        <v>14</v>
      </c>
    </row>
    <row r="5058" spans="1:9" x14ac:dyDescent="0.2">
      <c r="A5058" s="2" t="s">
        <v>4061</v>
      </c>
      <c r="B5058" s="2" t="s">
        <v>1426</v>
      </c>
      <c r="C5058" s="2">
        <v>986.87459999999999</v>
      </c>
      <c r="D5058" s="2">
        <f>HYPERLINK("http://mcb-m6.bioreg.kyushu-u.ac.jp/M3/20110427/F51123/3043/1", 95.07)</f>
        <v>95.07</v>
      </c>
      <c r="E5058" s="2">
        <v>75.7</v>
      </c>
      <c r="F5058" s="2">
        <v>2</v>
      </c>
      <c r="G5058" s="2" t="s">
        <v>14</v>
      </c>
    </row>
    <row r="5059" spans="1:9" x14ac:dyDescent="0.2">
      <c r="A5059" s="2" t="s">
        <v>4061</v>
      </c>
      <c r="B5059" s="2" t="s">
        <v>2114</v>
      </c>
      <c r="C5059" s="2">
        <v>975.28560000000004</v>
      </c>
      <c r="D5059" s="2">
        <f>HYPERLINK("http://mcb-m6.bioreg.kyushu-u.ac.jp/M3/20110427/F51123/3006/1", 96.04)</f>
        <v>96.04</v>
      </c>
      <c r="E5059" s="2">
        <v>83.8</v>
      </c>
      <c r="F5059" s="2">
        <v>2</v>
      </c>
      <c r="G5059" s="2" t="s">
        <v>14</v>
      </c>
    </row>
    <row r="5060" spans="1:9" x14ac:dyDescent="0.2">
      <c r="A5060" s="2" t="s">
        <v>4061</v>
      </c>
      <c r="B5060" s="2" t="s">
        <v>2114</v>
      </c>
      <c r="C5060" s="2">
        <v>974.78060000000005</v>
      </c>
      <c r="D5060" s="2">
        <f>HYPERLINK("http://mcb-m6.bioreg.kyushu-u.ac.jp/M3/20110427/F51123/3001/1", 120.13)</f>
        <v>120.13</v>
      </c>
      <c r="E5060" s="2">
        <v>97.87</v>
      </c>
      <c r="F5060" s="2">
        <v>2</v>
      </c>
      <c r="G5060" s="2" t="s">
        <v>14</v>
      </c>
    </row>
    <row r="5061" spans="1:9" x14ac:dyDescent="0.2">
      <c r="A5061" s="2" t="s">
        <v>4297</v>
      </c>
      <c r="B5061" s="2" t="s">
        <v>2009</v>
      </c>
      <c r="C5061" s="2">
        <v>582.7097</v>
      </c>
      <c r="D5061" s="2">
        <f>HYPERLINK("http://mcb-m6.bioreg.kyushu-u.ac.jp/M3/20110404/F50761/1248/1", 61.42)</f>
        <v>61.42</v>
      </c>
      <c r="E5061" s="2">
        <v>41.66</v>
      </c>
      <c r="F5061" s="2">
        <v>2</v>
      </c>
      <c r="G5061" s="2" t="s">
        <v>10</v>
      </c>
    </row>
    <row r="5062" spans="1:9" x14ac:dyDescent="0.2">
      <c r="A5062" s="2" t="s">
        <v>4297</v>
      </c>
      <c r="B5062" s="2" t="s">
        <v>2009</v>
      </c>
      <c r="C5062" s="2">
        <v>582.1232</v>
      </c>
      <c r="D5062" s="2">
        <f>HYPERLINK("http://mcb-m6.bioreg.kyushu-u.ac.jp/M3/20110427/F51114/1284/1", 84.11)</f>
        <v>84.11</v>
      </c>
      <c r="E5062" s="2">
        <v>52.12</v>
      </c>
      <c r="F5062" s="2">
        <v>2</v>
      </c>
      <c r="G5062" s="2" t="s">
        <v>13</v>
      </c>
    </row>
    <row r="5063" spans="1:9" x14ac:dyDescent="0.2">
      <c r="A5063" s="2" t="s">
        <v>7810</v>
      </c>
      <c r="B5063" s="2" t="s">
        <v>6744</v>
      </c>
      <c r="C5063" s="2">
        <v>459.8186</v>
      </c>
      <c r="D5063" s="2">
        <f>HYPERLINK("http://mcb-m6.bioreg.kyushu-u.ac.jp/M3/20110404/F50775/869/1", 39.6)</f>
        <v>39.6</v>
      </c>
      <c r="E5063" s="2">
        <v>11.53</v>
      </c>
      <c r="F5063" s="2">
        <v>2</v>
      </c>
      <c r="G5063" s="2" t="s">
        <v>10</v>
      </c>
    </row>
    <row r="5064" spans="1:9" x14ac:dyDescent="0.2">
      <c r="A5064" s="2" t="s">
        <v>4555</v>
      </c>
      <c r="B5064" s="2" t="s">
        <v>5925</v>
      </c>
      <c r="C5064" s="2">
        <v>707.92769999999996</v>
      </c>
      <c r="D5064" s="2">
        <f>HYPERLINK("http://mcb-m6.bioreg.kyushu-u.ac.jp/M3/20110404/F50778/1636/1", 36.01)</f>
        <v>36.01</v>
      </c>
      <c r="E5064" s="2">
        <v>18.25</v>
      </c>
      <c r="F5064" s="2">
        <v>2</v>
      </c>
      <c r="G5064" s="2" t="s">
        <v>9</v>
      </c>
    </row>
    <row r="5065" spans="1:9" x14ac:dyDescent="0.2">
      <c r="A5065" s="2" t="s">
        <v>4555</v>
      </c>
      <c r="B5065" s="2" t="s">
        <v>2586</v>
      </c>
      <c r="C5065" s="2">
        <v>638.25620000000004</v>
      </c>
      <c r="D5065" s="2">
        <f>HYPERLINK("http://mcb-m6.bioreg.kyushu-u.ac.jp/M3/20110404/F50778/1331/1", 81.57)</f>
        <v>81.569999999999993</v>
      </c>
      <c r="E5065" s="2">
        <v>66.48</v>
      </c>
      <c r="F5065" s="2">
        <v>2</v>
      </c>
      <c r="G5065" s="2" t="s">
        <v>9</v>
      </c>
    </row>
    <row r="5066" spans="1:9" x14ac:dyDescent="0.2">
      <c r="A5066" s="2" t="s">
        <v>4555</v>
      </c>
      <c r="B5066" s="2" t="s">
        <v>6860</v>
      </c>
      <c r="C5066" s="2">
        <v>800.62519999999995</v>
      </c>
      <c r="D5066" s="2">
        <f>HYPERLINK("http://mcb-m6.bioreg.kyushu-u.ac.jp/M3/20110404/F50775/2193/1", 50.5)</f>
        <v>50.5</v>
      </c>
      <c r="E5066" s="2">
        <v>35.950000000000003</v>
      </c>
      <c r="F5066" s="2">
        <v>2</v>
      </c>
      <c r="G5066" s="2" t="s">
        <v>10</v>
      </c>
      <c r="H5066" s="2" t="s">
        <v>4910</v>
      </c>
    </row>
    <row r="5067" spans="1:9" x14ac:dyDescent="0.2">
      <c r="A5067" s="2" t="s">
        <v>4555</v>
      </c>
      <c r="B5067" s="2" t="s">
        <v>5925</v>
      </c>
      <c r="C5067" s="2">
        <v>708.1866</v>
      </c>
      <c r="D5067" s="2">
        <f>HYPERLINK("http://mcb-m6.bioreg.kyushu-u.ac.jp/M3/20110404/F50775/1800/1", 55.63)</f>
        <v>55.63</v>
      </c>
      <c r="E5067" s="2">
        <v>33.75</v>
      </c>
      <c r="F5067" s="2">
        <v>2</v>
      </c>
      <c r="G5067" s="2" t="s">
        <v>10</v>
      </c>
    </row>
    <row r="5068" spans="1:9" x14ac:dyDescent="0.2">
      <c r="A5068" s="2" t="s">
        <v>4555</v>
      </c>
      <c r="B5068" s="2" t="s">
        <v>6959</v>
      </c>
      <c r="C5068" s="2">
        <v>579.76419999999996</v>
      </c>
      <c r="D5068" s="2">
        <f>HYPERLINK("http://mcb-m6.bioreg.kyushu-u.ac.jp/M3/20110404/F50775/1297/1", 66.42)</f>
        <v>66.42</v>
      </c>
      <c r="E5068" s="2">
        <v>41.87</v>
      </c>
      <c r="F5068" s="2">
        <v>2</v>
      </c>
      <c r="G5068" s="2" t="s">
        <v>10</v>
      </c>
    </row>
    <row r="5069" spans="1:9" x14ac:dyDescent="0.2">
      <c r="A5069" s="2" t="s">
        <v>4555</v>
      </c>
      <c r="B5069" s="2" t="s">
        <v>7033</v>
      </c>
      <c r="C5069" s="2">
        <v>580.7482</v>
      </c>
      <c r="D5069" s="2">
        <f>HYPERLINK("http://mcb-m6.bioreg.kyushu-u.ac.jp/M3/20110404/F50775/1300/1", 87.15)</f>
        <v>87.15</v>
      </c>
      <c r="E5069" s="2">
        <v>62.51</v>
      </c>
      <c r="F5069" s="2">
        <v>2</v>
      </c>
      <c r="G5069" s="2" t="s">
        <v>10</v>
      </c>
    </row>
    <row r="5070" spans="1:9" x14ac:dyDescent="0.2">
      <c r="A5070" s="2" t="s">
        <v>4150</v>
      </c>
      <c r="B5070" s="2" t="s">
        <v>5507</v>
      </c>
      <c r="C5070" s="2">
        <v>544.34010000000001</v>
      </c>
      <c r="D5070" s="2">
        <f>HYPERLINK("http://mcb-m6.bioreg.kyushu-u.ac.jp/M3/20110404/F50755/1162/1", 55.07)</f>
        <v>55.07</v>
      </c>
      <c r="E5070" s="2">
        <v>33.61</v>
      </c>
      <c r="F5070" s="2">
        <v>2</v>
      </c>
      <c r="G5070" s="2" t="s">
        <v>9</v>
      </c>
    </row>
    <row r="5071" spans="1:9" x14ac:dyDescent="0.2">
      <c r="A5071" s="2" t="s">
        <v>4150</v>
      </c>
      <c r="B5071" s="2" t="s">
        <v>6729</v>
      </c>
      <c r="C5071" s="2">
        <v>1089.46</v>
      </c>
      <c r="D5071" s="2">
        <f>HYPERLINK("http://mcb-m6.bioreg.kyushu-u.ac.jp/M3/20110404/F50760/2884/1", 38.23)</f>
        <v>38.229999999999997</v>
      </c>
      <c r="E5071" s="2">
        <v>28.86</v>
      </c>
      <c r="F5071" s="2">
        <v>2</v>
      </c>
      <c r="G5071" s="2" t="s">
        <v>10</v>
      </c>
    </row>
    <row r="5072" spans="1:9" x14ac:dyDescent="0.2">
      <c r="A5072" s="2" t="s">
        <v>4150</v>
      </c>
      <c r="B5072" s="2" t="s">
        <v>1702</v>
      </c>
      <c r="C5072" s="2">
        <v>837.21420000000001</v>
      </c>
      <c r="D5072" s="2">
        <f>HYPERLINK("http://mcb-m6.bioreg.kyushu-u.ac.jp/M3/20110428/F51131/2294/1", 65.14)</f>
        <v>65.14</v>
      </c>
      <c r="E5072" s="2">
        <v>45.07</v>
      </c>
      <c r="F5072" s="2">
        <v>2</v>
      </c>
      <c r="G5072" s="2" t="s">
        <v>13</v>
      </c>
      <c r="I5072" s="2" t="s">
        <v>4909</v>
      </c>
    </row>
    <row r="5073" spans="1:7" x14ac:dyDescent="0.2">
      <c r="A5073" s="2" t="s">
        <v>3738</v>
      </c>
      <c r="B5073" s="2" t="s">
        <v>740</v>
      </c>
      <c r="C5073" s="2">
        <v>806.78470000000004</v>
      </c>
      <c r="D5073" s="2">
        <f>HYPERLINK("http://mcb-m6.bioreg.kyushu-u.ac.jp/M3/20110404/F50752/2322/1", 49.15)</f>
        <v>49.15</v>
      </c>
      <c r="E5073" s="2">
        <v>27.28</v>
      </c>
      <c r="F5073" s="2">
        <v>2</v>
      </c>
      <c r="G5073" s="2" t="s">
        <v>9</v>
      </c>
    </row>
    <row r="5074" spans="1:7" x14ac:dyDescent="0.2">
      <c r="A5074" s="2" t="s">
        <v>3738</v>
      </c>
      <c r="B5074" s="2" t="s">
        <v>740</v>
      </c>
      <c r="C5074" s="2">
        <v>806.27560000000005</v>
      </c>
      <c r="D5074" s="2">
        <f>HYPERLINK("http://mcb-m6.bioreg.kyushu-u.ac.jp/M3/20110404/F50752/2315/1", 56.57)</f>
        <v>56.57</v>
      </c>
      <c r="E5074" s="2">
        <v>45.43</v>
      </c>
      <c r="F5074" s="2">
        <v>2</v>
      </c>
      <c r="G5074" s="2" t="s">
        <v>9</v>
      </c>
    </row>
    <row r="5075" spans="1:7" x14ac:dyDescent="0.2">
      <c r="A5075" s="2" t="s">
        <v>3738</v>
      </c>
      <c r="B5075" s="2" t="s">
        <v>740</v>
      </c>
      <c r="C5075" s="2">
        <v>806.65309999999999</v>
      </c>
      <c r="D5075" s="2">
        <f>HYPERLINK("http://mcb-m6.bioreg.kyushu-u.ac.jp/M3/20110404/F50757/2249/1", 66.99)</f>
        <v>66.989999999999995</v>
      </c>
      <c r="E5075" s="2">
        <v>40.79</v>
      </c>
      <c r="F5075" s="2">
        <v>2</v>
      </c>
      <c r="G5075" s="2" t="s">
        <v>10</v>
      </c>
    </row>
    <row r="5076" spans="1:7" x14ac:dyDescent="0.2">
      <c r="A5076" s="2" t="s">
        <v>3738</v>
      </c>
      <c r="B5076" s="2" t="s">
        <v>740</v>
      </c>
      <c r="C5076" s="2">
        <v>806.61469999999997</v>
      </c>
      <c r="D5076" s="2">
        <f>HYPERLINK("http://mcb-m6.bioreg.kyushu-u.ac.jp/M3/20110421/F51016/2258/1", 81.61)</f>
        <v>81.61</v>
      </c>
      <c r="E5076" s="2">
        <v>60.65</v>
      </c>
      <c r="F5076" s="2">
        <v>2</v>
      </c>
      <c r="G5076" s="2" t="s">
        <v>11</v>
      </c>
    </row>
    <row r="5077" spans="1:7" x14ac:dyDescent="0.2">
      <c r="A5077" s="2" t="s">
        <v>3738</v>
      </c>
      <c r="B5077" s="2" t="s">
        <v>740</v>
      </c>
      <c r="C5077" s="2">
        <v>806.72860000000003</v>
      </c>
      <c r="D5077" s="2">
        <f>HYPERLINK("http://mcb-m6.bioreg.kyushu-u.ac.jp/M3/20110427/F51110/2460/1", 63.73)</f>
        <v>63.73</v>
      </c>
      <c r="E5077" s="2">
        <v>39.01</v>
      </c>
      <c r="F5077" s="2">
        <v>2</v>
      </c>
      <c r="G5077" s="2" t="s">
        <v>13</v>
      </c>
    </row>
    <row r="5078" spans="1:7" x14ac:dyDescent="0.2">
      <c r="A5078" s="2" t="s">
        <v>7741</v>
      </c>
      <c r="B5078" s="2" t="s">
        <v>6511</v>
      </c>
      <c r="C5078" s="2">
        <v>838.98270000000002</v>
      </c>
      <c r="D5078" s="2">
        <f>HYPERLINK("http://mcb-m6.bioreg.kyushu-u.ac.jp/M3/20110404/F50754/2418/1", 72.78)</f>
        <v>72.78</v>
      </c>
      <c r="E5078" s="2">
        <v>45.56</v>
      </c>
      <c r="F5078" s="2">
        <v>2</v>
      </c>
      <c r="G5078" s="2" t="s">
        <v>9</v>
      </c>
    </row>
    <row r="5079" spans="1:7" x14ac:dyDescent="0.2">
      <c r="A5079" s="2" t="s">
        <v>7741</v>
      </c>
      <c r="B5079" s="2" t="s">
        <v>6511</v>
      </c>
      <c r="C5079" s="2">
        <v>838.23320000000001</v>
      </c>
      <c r="D5079" s="2">
        <f>HYPERLINK("http://mcb-m6.bioreg.kyushu-u.ac.jp/M3/20110427/F51113/2407/1", 83.38)</f>
        <v>83.38</v>
      </c>
      <c r="E5079" s="2">
        <v>56.32</v>
      </c>
      <c r="F5079" s="2">
        <v>2</v>
      </c>
      <c r="G5079" s="2" t="s">
        <v>13</v>
      </c>
    </row>
    <row r="5080" spans="1:7" x14ac:dyDescent="0.2">
      <c r="A5080" s="2" t="s">
        <v>7741</v>
      </c>
      <c r="B5080" s="2" t="s">
        <v>6511</v>
      </c>
      <c r="C5080" s="2">
        <v>838.78470000000004</v>
      </c>
      <c r="D5080" s="2">
        <f>HYPERLINK("http://mcb-m6.bioreg.kyushu-u.ac.jp/M3/20110427/F51113/2408/1", 86.32)</f>
        <v>86.32</v>
      </c>
      <c r="E5080" s="2">
        <v>50.45</v>
      </c>
      <c r="F5080" s="2">
        <v>2</v>
      </c>
      <c r="G5080" s="2" t="s">
        <v>13</v>
      </c>
    </row>
    <row r="5081" spans="1:7" x14ac:dyDescent="0.2">
      <c r="A5081" s="2" t="s">
        <v>8076</v>
      </c>
      <c r="B5081" s="2" t="s">
        <v>7393</v>
      </c>
      <c r="C5081" s="2">
        <v>870.80269999999996</v>
      </c>
      <c r="D5081" s="2">
        <f>HYPERLINK("http://mcb-m6.bioreg.kyushu-u.ac.jp/M3/20110427/F51112/2691/1", 55.32)</f>
        <v>55.32</v>
      </c>
      <c r="E5081" s="2">
        <v>35.74</v>
      </c>
      <c r="F5081" s="2">
        <v>2</v>
      </c>
      <c r="G5081" s="2" t="s">
        <v>13</v>
      </c>
    </row>
    <row r="5082" spans="1:7" x14ac:dyDescent="0.2">
      <c r="A5082" s="2" t="s">
        <v>3271</v>
      </c>
      <c r="B5082" s="2" t="s">
        <v>6107</v>
      </c>
      <c r="C5082" s="2">
        <v>667.29970000000003</v>
      </c>
      <c r="D5082" s="2">
        <f>HYPERLINK("http://mcb-m6.bioreg.kyushu-u.ac.jp/M3/20110404/F50765/1482/1", 42.86)</f>
        <v>42.86</v>
      </c>
      <c r="E5082" s="2">
        <v>24.36</v>
      </c>
      <c r="F5082" s="2">
        <v>2</v>
      </c>
      <c r="G5082" s="2" t="s">
        <v>9</v>
      </c>
    </row>
    <row r="5083" spans="1:7" x14ac:dyDescent="0.2">
      <c r="A5083" s="2" t="s">
        <v>3271</v>
      </c>
      <c r="B5083" s="2" t="s">
        <v>51</v>
      </c>
      <c r="C5083" s="2">
        <v>722.84720000000004</v>
      </c>
      <c r="D5083" s="2">
        <f>HYPERLINK("http://mcb-m6.bioreg.kyushu-u.ac.jp/M3/20110404/F50765/1760/1", 67.32)</f>
        <v>67.319999999999993</v>
      </c>
      <c r="E5083" s="2">
        <v>51.55</v>
      </c>
      <c r="F5083" s="2">
        <v>2</v>
      </c>
      <c r="G5083" s="2" t="s">
        <v>9</v>
      </c>
    </row>
    <row r="5084" spans="1:7" x14ac:dyDescent="0.2">
      <c r="A5084" s="2" t="s">
        <v>3271</v>
      </c>
      <c r="B5084" s="2" t="s">
        <v>6688</v>
      </c>
      <c r="C5084" s="2">
        <v>632.14120000000003</v>
      </c>
      <c r="D5084" s="2">
        <f>HYPERLINK("http://mcb-m6.bioreg.kyushu-u.ac.jp/M3/20110404/F50771/1442/1", 36.05)</f>
        <v>36.049999999999997</v>
      </c>
      <c r="E5084" s="2">
        <v>21.49</v>
      </c>
      <c r="F5084" s="2">
        <v>2</v>
      </c>
      <c r="G5084" s="2" t="s">
        <v>10</v>
      </c>
    </row>
    <row r="5085" spans="1:7" x14ac:dyDescent="0.2">
      <c r="A5085" s="2" t="s">
        <v>3271</v>
      </c>
      <c r="B5085" s="2" t="s">
        <v>6107</v>
      </c>
      <c r="C5085" s="2">
        <v>667.26670000000001</v>
      </c>
      <c r="D5085" s="2">
        <f>HYPERLINK("http://mcb-m6.bioreg.kyushu-u.ac.jp/M3/20110404/F50771/1554/1", 49.95)</f>
        <v>49.95</v>
      </c>
      <c r="E5085" s="2">
        <v>25.98</v>
      </c>
      <c r="F5085" s="2">
        <v>2</v>
      </c>
      <c r="G5085" s="2" t="s">
        <v>10</v>
      </c>
    </row>
    <row r="5086" spans="1:7" x14ac:dyDescent="0.2">
      <c r="A5086" s="2" t="s">
        <v>3271</v>
      </c>
      <c r="B5086" s="2" t="s">
        <v>6893</v>
      </c>
      <c r="C5086" s="2">
        <v>708.76760000000002</v>
      </c>
      <c r="D5086" s="2">
        <f>HYPERLINK("http://mcb-m6.bioreg.kyushu-u.ac.jp/M3/20110404/F50771/1746/1", 54.62)</f>
        <v>54.62</v>
      </c>
      <c r="E5086" s="2">
        <v>33.700000000000003</v>
      </c>
      <c r="F5086" s="2">
        <v>2</v>
      </c>
      <c r="G5086" s="2" t="s">
        <v>10</v>
      </c>
    </row>
    <row r="5087" spans="1:7" x14ac:dyDescent="0.2">
      <c r="A5087" s="2" t="s">
        <v>3271</v>
      </c>
      <c r="B5087" s="2" t="s">
        <v>3116</v>
      </c>
      <c r="C5087" s="2">
        <v>868.39620000000002</v>
      </c>
      <c r="D5087" s="2">
        <f>HYPERLINK("http://mcb-m6.bioreg.kyushu-u.ac.jp/M3/20110421/F51042/2693/1", 37.93)</f>
        <v>37.93</v>
      </c>
      <c r="E5087" s="2">
        <v>27.89</v>
      </c>
      <c r="F5087" s="2">
        <v>2</v>
      </c>
      <c r="G5087" s="2" t="s">
        <v>11</v>
      </c>
    </row>
    <row r="5088" spans="1:7" x14ac:dyDescent="0.2">
      <c r="A5088" s="2" t="s">
        <v>3271</v>
      </c>
      <c r="B5088" s="2" t="s">
        <v>5434</v>
      </c>
      <c r="C5088" s="2">
        <v>486.71960000000001</v>
      </c>
      <c r="D5088" s="2">
        <f>HYPERLINK("http://mcb-m6.bioreg.kyushu-u.ac.jp/M3/20110427/F51116/980/2", 35.64)</f>
        <v>35.64</v>
      </c>
      <c r="E5088" s="2">
        <v>11.43</v>
      </c>
      <c r="F5088" s="2">
        <v>2</v>
      </c>
      <c r="G5088" s="2" t="s">
        <v>13</v>
      </c>
    </row>
    <row r="5089" spans="1:7" x14ac:dyDescent="0.2">
      <c r="A5089" s="2" t="s">
        <v>4520</v>
      </c>
      <c r="B5089" s="2" t="s">
        <v>2535</v>
      </c>
      <c r="C5089" s="2">
        <v>634.86720000000003</v>
      </c>
      <c r="D5089" s="2">
        <f>HYPERLINK("http://mcb-m6.bioreg.kyushu-u.ac.jp/M3/20110404/F50782/1279/1", 55.07)</f>
        <v>55.07</v>
      </c>
      <c r="E5089" s="2">
        <v>34.92</v>
      </c>
      <c r="F5089" s="2">
        <v>2</v>
      </c>
      <c r="G5089" s="2" t="s">
        <v>10</v>
      </c>
    </row>
    <row r="5090" spans="1:7" x14ac:dyDescent="0.2">
      <c r="A5090" s="2" t="s">
        <v>4520</v>
      </c>
      <c r="B5090" s="2" t="s">
        <v>2535</v>
      </c>
      <c r="C5090" s="2">
        <v>634.29020000000003</v>
      </c>
      <c r="D5090" s="2">
        <f>HYPERLINK("http://mcb-m6.bioreg.kyushu-u.ac.jp/M3/20110421/F51040/1507/1", 64.08)</f>
        <v>64.08</v>
      </c>
      <c r="E5090" s="2">
        <v>45.74</v>
      </c>
      <c r="F5090" s="2">
        <v>2</v>
      </c>
      <c r="G5090" s="2" t="s">
        <v>11</v>
      </c>
    </row>
    <row r="5091" spans="1:7" x14ac:dyDescent="0.2">
      <c r="A5091" s="2" t="s">
        <v>4520</v>
      </c>
      <c r="B5091" s="2" t="s">
        <v>2535</v>
      </c>
      <c r="C5091" s="2">
        <v>634.2867</v>
      </c>
      <c r="D5091" s="2">
        <f>HYPERLINK("http://mcb-m6.bioreg.kyushu-u.ac.jp/M3/20110421/F51050/1657/1", 62.98)</f>
        <v>62.98</v>
      </c>
      <c r="E5091" s="2">
        <v>48.72</v>
      </c>
      <c r="F5091" s="2">
        <v>2</v>
      </c>
      <c r="G5091" s="2" t="s">
        <v>12</v>
      </c>
    </row>
    <row r="5092" spans="1:7" x14ac:dyDescent="0.2">
      <c r="A5092" s="2" t="s">
        <v>4520</v>
      </c>
      <c r="B5092" s="2" t="s">
        <v>2535</v>
      </c>
      <c r="C5092" s="2">
        <v>634.89970000000005</v>
      </c>
      <c r="D5092" s="2">
        <f>HYPERLINK("http://mcb-m6.bioreg.kyushu-u.ac.jp/M3/20110428/F51133/1357/1", 36.87)</f>
        <v>36.869999999999997</v>
      </c>
      <c r="E5092" s="2">
        <v>22.56</v>
      </c>
      <c r="F5092" s="2">
        <v>2</v>
      </c>
      <c r="G5092" s="2" t="s">
        <v>13</v>
      </c>
    </row>
    <row r="5093" spans="1:7" x14ac:dyDescent="0.2">
      <c r="A5093" s="2" t="s">
        <v>3698</v>
      </c>
      <c r="B5093" s="2" t="s">
        <v>671</v>
      </c>
      <c r="C5093" s="2">
        <v>886.39099999999996</v>
      </c>
      <c r="D5093" s="2">
        <f>HYPERLINK("http://mcb-m6.bioreg.kyushu-u.ac.jp/M3/20110404/F50769/1077/1", 36.07)</f>
        <v>36.07</v>
      </c>
      <c r="E5093" s="2">
        <v>26.69</v>
      </c>
      <c r="F5093" s="2">
        <v>1</v>
      </c>
      <c r="G5093" s="2" t="s">
        <v>10</v>
      </c>
    </row>
    <row r="5094" spans="1:7" x14ac:dyDescent="0.2">
      <c r="A5094" s="2" t="s">
        <v>3698</v>
      </c>
      <c r="B5094" s="2" t="s">
        <v>671</v>
      </c>
      <c r="C5094" s="2">
        <v>886.46600000000001</v>
      </c>
      <c r="D5094" s="2">
        <f>HYPERLINK("http://mcb-m6.bioreg.kyushu-u.ac.jp/M3/20110404/F50768/903/1", 40.76)</f>
        <v>40.76</v>
      </c>
      <c r="E5094" s="2">
        <v>27.39</v>
      </c>
      <c r="F5094" s="2">
        <v>1</v>
      </c>
      <c r="G5094" s="2" t="s">
        <v>10</v>
      </c>
    </row>
    <row r="5095" spans="1:7" x14ac:dyDescent="0.2">
      <c r="A5095" s="2" t="s">
        <v>3698</v>
      </c>
      <c r="B5095" s="2" t="s">
        <v>671</v>
      </c>
      <c r="C5095" s="2">
        <v>886.63499999999999</v>
      </c>
      <c r="D5095" s="2">
        <f>HYPERLINK("http://mcb-m6.bioreg.kyushu-u.ac.jp/M3/20110404/F50782/551/1", 43.8)</f>
        <v>43.8</v>
      </c>
      <c r="E5095" s="2">
        <v>25.42</v>
      </c>
      <c r="F5095" s="2">
        <v>1</v>
      </c>
      <c r="G5095" s="2" t="s">
        <v>10</v>
      </c>
    </row>
    <row r="5096" spans="1:7" x14ac:dyDescent="0.2">
      <c r="A5096" s="2" t="s">
        <v>3698</v>
      </c>
      <c r="B5096" s="2" t="s">
        <v>671</v>
      </c>
      <c r="C5096" s="2">
        <v>886.60500000000002</v>
      </c>
      <c r="D5096" s="2">
        <f>HYPERLINK("http://mcb-m6.bioreg.kyushu-u.ac.jp/M3/20110421/F51045/893/1", 36.46)</f>
        <v>36.46</v>
      </c>
      <c r="E5096" s="2">
        <v>24.62</v>
      </c>
      <c r="F5096" s="2">
        <v>1</v>
      </c>
      <c r="G5096" s="2" t="s">
        <v>12</v>
      </c>
    </row>
    <row r="5097" spans="1:7" x14ac:dyDescent="0.2">
      <c r="A5097" s="2" t="s">
        <v>3698</v>
      </c>
      <c r="B5097" s="2" t="s">
        <v>671</v>
      </c>
      <c r="C5097" s="2">
        <v>886.57299999999998</v>
      </c>
      <c r="D5097" s="2">
        <f>HYPERLINK("http://mcb-m6.bioreg.kyushu-u.ac.jp/M3/20110421/F51043/652/1", 44.28)</f>
        <v>44.28</v>
      </c>
      <c r="E5097" s="2">
        <v>26.6</v>
      </c>
      <c r="F5097" s="2">
        <v>1</v>
      </c>
      <c r="G5097" s="2" t="s">
        <v>12</v>
      </c>
    </row>
    <row r="5098" spans="1:7" x14ac:dyDescent="0.2">
      <c r="A5098" s="2" t="s">
        <v>3698</v>
      </c>
      <c r="B5098" s="2" t="s">
        <v>671</v>
      </c>
      <c r="C5098" s="2">
        <v>886.32500000000005</v>
      </c>
      <c r="D5098" s="2">
        <f>HYPERLINK("http://mcb-m6.bioreg.kyushu-u.ac.jp/M3/20110428/F51127/565/1", 46.44)</f>
        <v>46.44</v>
      </c>
      <c r="E5098" s="2">
        <v>30.15</v>
      </c>
      <c r="F5098" s="2">
        <v>1</v>
      </c>
      <c r="G5098" s="2" t="s">
        <v>13</v>
      </c>
    </row>
    <row r="5099" spans="1:7" x14ac:dyDescent="0.2">
      <c r="A5099" s="2" t="s">
        <v>3698</v>
      </c>
      <c r="B5099" s="2" t="s">
        <v>671</v>
      </c>
      <c r="C5099" s="2">
        <v>886.38699999999994</v>
      </c>
      <c r="D5099" s="2">
        <f>HYPERLINK("http://mcb-m6.bioreg.kyushu-u.ac.jp/M3/20110428/F51128/707/1", 43.93)</f>
        <v>43.93</v>
      </c>
      <c r="E5099" s="2">
        <v>24.92</v>
      </c>
      <c r="F5099" s="2">
        <v>1</v>
      </c>
      <c r="G5099" s="2" t="s">
        <v>14</v>
      </c>
    </row>
    <row r="5100" spans="1:7" x14ac:dyDescent="0.2">
      <c r="A5100" s="2" t="s">
        <v>3532</v>
      </c>
      <c r="B5100" s="2" t="s">
        <v>382</v>
      </c>
      <c r="C5100" s="2">
        <v>882.43899999999996</v>
      </c>
      <c r="D5100" s="2">
        <f>HYPERLINK("http://mcb-m6.bioreg.kyushu-u.ac.jp/M3/20110404/F50779/580/1", 35.61)</f>
        <v>35.61</v>
      </c>
      <c r="E5100" s="2">
        <v>24.99</v>
      </c>
      <c r="F5100" s="2">
        <v>1</v>
      </c>
      <c r="G5100" s="2" t="s">
        <v>9</v>
      </c>
    </row>
    <row r="5101" spans="1:7" x14ac:dyDescent="0.2">
      <c r="A5101" s="2" t="s">
        <v>3532</v>
      </c>
      <c r="B5101" s="2" t="s">
        <v>1948</v>
      </c>
      <c r="C5101" s="2">
        <v>671.40060000000005</v>
      </c>
      <c r="D5101" s="2">
        <f>HYPERLINK("http://mcb-m6.bioreg.kyushu-u.ac.jp/M3/20110404/F50779/1379/1", 60.4)</f>
        <v>60.4</v>
      </c>
      <c r="E5101" s="2">
        <v>43.52</v>
      </c>
      <c r="F5101" s="2">
        <v>2</v>
      </c>
      <c r="G5101" s="2" t="s">
        <v>9</v>
      </c>
    </row>
    <row r="5102" spans="1:7" x14ac:dyDescent="0.2">
      <c r="A5102" s="2" t="s">
        <v>3532</v>
      </c>
      <c r="B5102" s="2" t="s">
        <v>2406</v>
      </c>
      <c r="C5102" s="2">
        <v>904.26260000000002</v>
      </c>
      <c r="D5102" s="2">
        <f>HYPERLINK("http://mcb-m6.bioreg.kyushu-u.ac.jp/M3/20110404/F50779/2494/1", 64.12)</f>
        <v>64.12</v>
      </c>
      <c r="E5102" s="2">
        <v>56.54</v>
      </c>
      <c r="F5102" s="2">
        <v>2</v>
      </c>
      <c r="G5102" s="2" t="s">
        <v>9</v>
      </c>
    </row>
    <row r="5103" spans="1:7" x14ac:dyDescent="0.2">
      <c r="A5103" s="2" t="s">
        <v>3532</v>
      </c>
      <c r="B5103" s="2" t="s">
        <v>1326</v>
      </c>
      <c r="C5103" s="2">
        <v>572.33219999999994</v>
      </c>
      <c r="D5103" s="2">
        <f>HYPERLINK("http://mcb-m6.bioreg.kyushu-u.ac.jp/M3/20110404/F50779/995/1", 74.34)</f>
        <v>74.34</v>
      </c>
      <c r="E5103" s="2">
        <v>57.37</v>
      </c>
      <c r="F5103" s="2">
        <v>2</v>
      </c>
      <c r="G5103" s="2" t="s">
        <v>9</v>
      </c>
    </row>
    <row r="5104" spans="1:7" x14ac:dyDescent="0.2">
      <c r="A5104" s="2" t="s">
        <v>3532</v>
      </c>
      <c r="B5104" s="2" t="s">
        <v>2406</v>
      </c>
      <c r="C5104" s="2">
        <v>904.41970000000003</v>
      </c>
      <c r="D5104" s="2">
        <f>HYPERLINK("http://mcb-m6.bioreg.kyushu-u.ac.jp/M3/20110404/F50770/2411/1", 36.19)</f>
        <v>36.19</v>
      </c>
      <c r="E5104" s="2">
        <v>23.02</v>
      </c>
      <c r="F5104" s="2">
        <v>2</v>
      </c>
      <c r="G5104" s="2" t="s">
        <v>10</v>
      </c>
    </row>
    <row r="5105" spans="1:8" x14ac:dyDescent="0.2">
      <c r="A5105" s="2" t="s">
        <v>3532</v>
      </c>
      <c r="B5105" s="2" t="s">
        <v>5117</v>
      </c>
      <c r="C5105" s="2">
        <v>532.2731</v>
      </c>
      <c r="D5105" s="2">
        <f>HYPERLINK("http://mcb-m6.bioreg.kyushu-u.ac.jp/M3/20110404/F50782/863/1", 43.44)</f>
        <v>43.44</v>
      </c>
      <c r="E5105" s="2">
        <v>17.329999999999998</v>
      </c>
      <c r="F5105" s="2">
        <v>2</v>
      </c>
      <c r="G5105" s="2" t="s">
        <v>10</v>
      </c>
      <c r="H5105" s="2" t="s">
        <v>4901</v>
      </c>
    </row>
    <row r="5106" spans="1:8" x14ac:dyDescent="0.2">
      <c r="A5106" s="2" t="s">
        <v>3532</v>
      </c>
      <c r="B5106" s="2" t="s">
        <v>823</v>
      </c>
      <c r="C5106" s="2">
        <v>655.47879999999998</v>
      </c>
      <c r="D5106" s="2">
        <f>HYPERLINK("http://mcb-m6.bioreg.kyushu-u.ac.jp/M3/20110404/F50782/2953/1", 48.24)</f>
        <v>48.24</v>
      </c>
      <c r="E5106" s="2">
        <v>33.619999999999997</v>
      </c>
      <c r="F5106" s="2">
        <v>3</v>
      </c>
      <c r="G5106" s="2" t="s">
        <v>10</v>
      </c>
    </row>
    <row r="5107" spans="1:8" x14ac:dyDescent="0.2">
      <c r="A5107" s="2" t="s">
        <v>3532</v>
      </c>
      <c r="B5107" s="2" t="s">
        <v>382</v>
      </c>
      <c r="C5107" s="2">
        <v>882.47199999999998</v>
      </c>
      <c r="D5107" s="2">
        <f>HYPERLINK("http://mcb-m6.bioreg.kyushu-u.ac.jp/M3/20110404/F50782/548/1", 58.47)</f>
        <v>58.47</v>
      </c>
      <c r="E5107" s="2">
        <v>39.950000000000003</v>
      </c>
      <c r="F5107" s="2">
        <v>1</v>
      </c>
      <c r="G5107" s="2" t="s">
        <v>10</v>
      </c>
    </row>
    <row r="5108" spans="1:8" x14ac:dyDescent="0.2">
      <c r="A5108" s="2" t="s">
        <v>3532</v>
      </c>
      <c r="B5108" s="2" t="s">
        <v>823</v>
      </c>
      <c r="C5108" s="2">
        <v>982.21619999999996</v>
      </c>
      <c r="D5108" s="2">
        <f>HYPERLINK("http://mcb-m6.bioreg.kyushu-u.ac.jp/M3/20110404/F50782/2950/1", 72.01)</f>
        <v>72.010000000000005</v>
      </c>
      <c r="E5108" s="2">
        <v>61.64</v>
      </c>
      <c r="F5108" s="2">
        <v>2</v>
      </c>
      <c r="G5108" s="2" t="s">
        <v>10</v>
      </c>
    </row>
    <row r="5109" spans="1:8" x14ac:dyDescent="0.2">
      <c r="A5109" s="2" t="s">
        <v>3532</v>
      </c>
      <c r="B5109" s="2" t="s">
        <v>1326</v>
      </c>
      <c r="C5109" s="2">
        <v>572.38710000000003</v>
      </c>
      <c r="D5109" s="2">
        <f>HYPERLINK("http://mcb-m6.bioreg.kyushu-u.ac.jp/M3/20110404/F50782/986/1", 72.97)</f>
        <v>72.97</v>
      </c>
      <c r="E5109" s="2">
        <v>58.02</v>
      </c>
      <c r="F5109" s="2">
        <v>2</v>
      </c>
      <c r="G5109" s="2" t="s">
        <v>10</v>
      </c>
    </row>
    <row r="5110" spans="1:8" x14ac:dyDescent="0.2">
      <c r="A5110" s="2" t="s">
        <v>3532</v>
      </c>
      <c r="B5110" s="2" t="s">
        <v>2406</v>
      </c>
      <c r="C5110" s="2">
        <v>904.4357</v>
      </c>
      <c r="D5110" s="2">
        <f>HYPERLINK("http://mcb-m6.bioreg.kyushu-u.ac.jp/M3/20110404/F50782/2582/1", 93.01)</f>
        <v>93.01</v>
      </c>
      <c r="E5110" s="2">
        <v>61.13</v>
      </c>
      <c r="F5110" s="2">
        <v>2</v>
      </c>
      <c r="G5110" s="2" t="s">
        <v>10</v>
      </c>
    </row>
    <row r="5111" spans="1:8" x14ac:dyDescent="0.2">
      <c r="A5111" s="2" t="s">
        <v>3532</v>
      </c>
      <c r="B5111" s="2" t="s">
        <v>1326</v>
      </c>
      <c r="C5111" s="2">
        <v>572.3116</v>
      </c>
      <c r="D5111" s="2">
        <f>HYPERLINK("http://mcb-m6.bioreg.kyushu-u.ac.jp/M3/20110421/F51042/983/1", 52.69)</f>
        <v>52.69</v>
      </c>
      <c r="E5111" s="2">
        <v>39.43</v>
      </c>
      <c r="F5111" s="2">
        <v>2</v>
      </c>
      <c r="G5111" s="2" t="s">
        <v>11</v>
      </c>
    </row>
    <row r="5112" spans="1:8" x14ac:dyDescent="0.2">
      <c r="A5112" s="2" t="s">
        <v>3532</v>
      </c>
      <c r="B5112" s="2" t="s">
        <v>1948</v>
      </c>
      <c r="C5112" s="2">
        <v>671.28560000000004</v>
      </c>
      <c r="D5112" s="2">
        <f>HYPERLINK("http://mcb-m6.bioreg.kyushu-u.ac.jp/M3/20110421/F51040/1619/1", 71.78)</f>
        <v>71.78</v>
      </c>
      <c r="E5112" s="2">
        <v>48.53</v>
      </c>
      <c r="F5112" s="2">
        <v>2</v>
      </c>
      <c r="G5112" s="2" t="s">
        <v>11</v>
      </c>
    </row>
    <row r="5113" spans="1:8" x14ac:dyDescent="0.2">
      <c r="A5113" s="2" t="s">
        <v>3532</v>
      </c>
      <c r="B5113" s="2" t="s">
        <v>1300</v>
      </c>
      <c r="C5113" s="2">
        <v>626.82420000000002</v>
      </c>
      <c r="D5113" s="2">
        <f>HYPERLINK("http://mcb-m6.bioreg.kyushu-u.ac.jp/M3/20110421/F51042/1232/1", 72.95)</f>
        <v>72.95</v>
      </c>
      <c r="E5113" s="2">
        <v>54.96</v>
      </c>
      <c r="F5113" s="2">
        <v>2</v>
      </c>
      <c r="G5113" s="2" t="s">
        <v>11</v>
      </c>
    </row>
    <row r="5114" spans="1:8" x14ac:dyDescent="0.2">
      <c r="A5114" s="2" t="s">
        <v>3532</v>
      </c>
      <c r="B5114" s="2" t="s">
        <v>2406</v>
      </c>
      <c r="C5114" s="2">
        <v>904.33669999999995</v>
      </c>
      <c r="D5114" s="2">
        <f>HYPERLINK("http://mcb-m6.bioreg.kyushu-u.ac.jp/M3/20110421/F51042/2870/1", 77.4)</f>
        <v>77.400000000000006</v>
      </c>
      <c r="E5114" s="2">
        <v>62.93</v>
      </c>
      <c r="F5114" s="2">
        <v>2</v>
      </c>
      <c r="G5114" s="2" t="s">
        <v>11</v>
      </c>
    </row>
    <row r="5115" spans="1:8" x14ac:dyDescent="0.2">
      <c r="A5115" s="2" t="s">
        <v>3532</v>
      </c>
      <c r="B5115" s="2" t="s">
        <v>2406</v>
      </c>
      <c r="C5115" s="2">
        <v>904.37070000000006</v>
      </c>
      <c r="D5115" s="2">
        <f>HYPERLINK("http://mcb-m6.bioreg.kyushu-u.ac.jp/M3/20110421/F51040/2764/1", 82.11)</f>
        <v>82.11</v>
      </c>
      <c r="E5115" s="2">
        <v>61.24</v>
      </c>
      <c r="F5115" s="2">
        <v>2</v>
      </c>
      <c r="G5115" s="2" t="s">
        <v>11</v>
      </c>
    </row>
    <row r="5116" spans="1:8" x14ac:dyDescent="0.2">
      <c r="A5116" s="2" t="s">
        <v>3532</v>
      </c>
      <c r="B5116" s="2" t="s">
        <v>1300</v>
      </c>
      <c r="C5116" s="2">
        <v>626.64419999999996</v>
      </c>
      <c r="D5116" s="2">
        <f>HYPERLINK("http://mcb-m6.bioreg.kyushu-u.ac.jp/M3/20110421/F51040/1477/1", 94.44)</f>
        <v>94.44</v>
      </c>
      <c r="E5116" s="2">
        <v>76.55</v>
      </c>
      <c r="F5116" s="2">
        <v>2</v>
      </c>
      <c r="G5116" s="2" t="s">
        <v>11</v>
      </c>
    </row>
    <row r="5117" spans="1:8" x14ac:dyDescent="0.2">
      <c r="A5117" s="2" t="s">
        <v>3532</v>
      </c>
      <c r="B5117" s="2" t="s">
        <v>1326</v>
      </c>
      <c r="C5117" s="2">
        <v>572.90520000000004</v>
      </c>
      <c r="D5117" s="2">
        <f>HYPERLINK("http://mcb-m6.bioreg.kyushu-u.ac.jp/M3/20110421/F51050/1418/1", 48)</f>
        <v>48</v>
      </c>
      <c r="E5117" s="2">
        <v>2.87</v>
      </c>
      <c r="F5117" s="2">
        <v>2</v>
      </c>
      <c r="G5117" s="2" t="s">
        <v>12</v>
      </c>
    </row>
    <row r="5118" spans="1:8" x14ac:dyDescent="0.2">
      <c r="A5118" s="2" t="s">
        <v>3532</v>
      </c>
      <c r="B5118" s="2" t="s">
        <v>2406</v>
      </c>
      <c r="C5118" s="2">
        <v>904.31960000000004</v>
      </c>
      <c r="D5118" s="2">
        <f>HYPERLINK("http://mcb-m6.bioreg.kyushu-u.ac.jp/M3/20110421/F51050/2702/1", 60.44)</f>
        <v>60.44</v>
      </c>
      <c r="E5118" s="2">
        <v>10.83</v>
      </c>
      <c r="F5118" s="2">
        <v>2</v>
      </c>
      <c r="G5118" s="2" t="s">
        <v>12</v>
      </c>
    </row>
    <row r="5119" spans="1:8" x14ac:dyDescent="0.2">
      <c r="A5119" s="2" t="s">
        <v>3532</v>
      </c>
      <c r="B5119" s="2" t="s">
        <v>1300</v>
      </c>
      <c r="C5119" s="2">
        <v>626.84670000000006</v>
      </c>
      <c r="D5119" s="2">
        <f>HYPERLINK("http://mcb-m6.bioreg.kyushu-u.ac.jp/M3/20110421/F51050/1627/1", 65.66)</f>
        <v>65.66</v>
      </c>
      <c r="E5119" s="2">
        <v>47.82</v>
      </c>
      <c r="F5119" s="2">
        <v>2</v>
      </c>
      <c r="G5119" s="2" t="s">
        <v>12</v>
      </c>
    </row>
    <row r="5120" spans="1:8" x14ac:dyDescent="0.2">
      <c r="A5120" s="2" t="s">
        <v>3532</v>
      </c>
      <c r="B5120" s="2" t="s">
        <v>2406</v>
      </c>
      <c r="C5120" s="2">
        <v>904.97170000000006</v>
      </c>
      <c r="D5120" s="2">
        <f>HYPERLINK("http://mcb-m6.bioreg.kyushu-u.ac.jp/M3/20110421/F51050/2705/1", 75.47)</f>
        <v>75.47</v>
      </c>
      <c r="E5120" s="2">
        <v>57.13</v>
      </c>
      <c r="F5120" s="2">
        <v>2</v>
      </c>
      <c r="G5120" s="2" t="s">
        <v>12</v>
      </c>
    </row>
    <row r="5121" spans="1:7" x14ac:dyDescent="0.2">
      <c r="A5121" s="2" t="s">
        <v>3532</v>
      </c>
      <c r="B5121" s="2" t="s">
        <v>1948</v>
      </c>
      <c r="C5121" s="2">
        <v>671.47360000000003</v>
      </c>
      <c r="D5121" s="2">
        <f>HYPERLINK("http://mcb-m6.bioreg.kyushu-u.ac.jp/M3/20110421/F51050/1776/1", 81.5)</f>
        <v>81.5</v>
      </c>
      <c r="E5121" s="2">
        <v>58.07</v>
      </c>
      <c r="F5121" s="2">
        <v>2</v>
      </c>
      <c r="G5121" s="2" t="s">
        <v>12</v>
      </c>
    </row>
    <row r="5122" spans="1:7" x14ac:dyDescent="0.2">
      <c r="A5122" s="2" t="s">
        <v>3532</v>
      </c>
      <c r="B5122" s="2" t="s">
        <v>1326</v>
      </c>
      <c r="C5122" s="2">
        <v>572.26319999999998</v>
      </c>
      <c r="D5122" s="2">
        <f>HYPERLINK("http://mcb-m6.bioreg.kyushu-u.ac.jp/M3/20110428/F51133/1129/1", 69.46)</f>
        <v>69.459999999999994</v>
      </c>
      <c r="E5122" s="2">
        <v>50.76</v>
      </c>
      <c r="F5122" s="2">
        <v>2</v>
      </c>
      <c r="G5122" s="2" t="s">
        <v>13</v>
      </c>
    </row>
    <row r="5123" spans="1:7" x14ac:dyDescent="0.2">
      <c r="A5123" s="2" t="s">
        <v>3532</v>
      </c>
      <c r="B5123" s="2" t="s">
        <v>1948</v>
      </c>
      <c r="C5123" s="2">
        <v>671.67769999999996</v>
      </c>
      <c r="D5123" s="2">
        <f>HYPERLINK("http://mcb-m6.bioreg.kyushu-u.ac.jp/M3/20110428/F51133/1495/1", 70.28)</f>
        <v>70.28</v>
      </c>
      <c r="E5123" s="2">
        <v>45.5</v>
      </c>
      <c r="F5123" s="2">
        <v>2</v>
      </c>
      <c r="G5123" s="2" t="s">
        <v>13</v>
      </c>
    </row>
    <row r="5124" spans="1:7" x14ac:dyDescent="0.2">
      <c r="A5124" s="2" t="s">
        <v>3532</v>
      </c>
      <c r="B5124" s="2" t="s">
        <v>2406</v>
      </c>
      <c r="C5124" s="2">
        <v>904.27260000000001</v>
      </c>
      <c r="D5124" s="2">
        <f>HYPERLINK("http://mcb-m6.bioreg.kyushu-u.ac.jp/M3/20110428/F51133/2648/1", 70.83)</f>
        <v>70.83</v>
      </c>
      <c r="E5124" s="2">
        <v>58.48</v>
      </c>
      <c r="F5124" s="2">
        <v>2</v>
      </c>
      <c r="G5124" s="2" t="s">
        <v>13</v>
      </c>
    </row>
    <row r="5125" spans="1:7" x14ac:dyDescent="0.2">
      <c r="A5125" s="2" t="s">
        <v>3532</v>
      </c>
      <c r="B5125" s="2" t="s">
        <v>1326</v>
      </c>
      <c r="C5125" s="2">
        <v>572.27009999999996</v>
      </c>
      <c r="D5125" s="2">
        <f>HYPERLINK("http://mcb-m6.bioreg.kyushu-u.ac.jp/M3/20110427/F51115/1325/1", 73.46)</f>
        <v>73.459999999999994</v>
      </c>
      <c r="E5125" s="2">
        <v>56.38</v>
      </c>
      <c r="F5125" s="2">
        <v>2</v>
      </c>
      <c r="G5125" s="2" t="s">
        <v>13</v>
      </c>
    </row>
    <row r="5126" spans="1:7" x14ac:dyDescent="0.2">
      <c r="A5126" s="2" t="s">
        <v>3532</v>
      </c>
      <c r="B5126" s="2" t="s">
        <v>823</v>
      </c>
      <c r="C5126" s="2">
        <v>982.78420000000006</v>
      </c>
      <c r="D5126" s="2">
        <f>HYPERLINK("http://mcb-m6.bioreg.kyushu-u.ac.jp/M3/20110428/F51133/2871/1", 85.56)</f>
        <v>85.56</v>
      </c>
      <c r="E5126" s="2">
        <v>72.92</v>
      </c>
      <c r="F5126" s="2">
        <v>2</v>
      </c>
      <c r="G5126" s="2" t="s">
        <v>13</v>
      </c>
    </row>
    <row r="5127" spans="1:7" x14ac:dyDescent="0.2">
      <c r="A5127" s="2" t="s">
        <v>3532</v>
      </c>
      <c r="B5127" s="2" t="s">
        <v>5295</v>
      </c>
      <c r="C5127" s="2">
        <v>623.29319999999996</v>
      </c>
      <c r="D5127" s="2">
        <f>HYPERLINK("http://mcb-m6.bioreg.kyushu-u.ac.jp/M3/20110427/F51124/1561/1", 40.76)</f>
        <v>40.76</v>
      </c>
      <c r="E5127" s="2">
        <v>21.89</v>
      </c>
      <c r="F5127" s="2">
        <v>2</v>
      </c>
      <c r="G5127" s="2" t="s">
        <v>14</v>
      </c>
    </row>
    <row r="5128" spans="1:7" x14ac:dyDescent="0.2">
      <c r="A5128" s="2" t="s">
        <v>3532</v>
      </c>
      <c r="B5128" s="2" t="s">
        <v>2406</v>
      </c>
      <c r="C5128" s="2">
        <v>904.56669999999997</v>
      </c>
      <c r="D5128" s="2">
        <f>HYPERLINK("http://mcb-m6.bioreg.kyushu-u.ac.jp/M3/20110428/F51130/2808/1", 58.27)</f>
        <v>58.27</v>
      </c>
      <c r="E5128" s="2">
        <v>45.65</v>
      </c>
      <c r="F5128" s="2">
        <v>2</v>
      </c>
      <c r="G5128" s="2" t="s">
        <v>14</v>
      </c>
    </row>
    <row r="5129" spans="1:7" x14ac:dyDescent="0.2">
      <c r="A5129" s="2" t="s">
        <v>3532</v>
      </c>
      <c r="B5129" s="2" t="s">
        <v>1300</v>
      </c>
      <c r="C5129" s="2">
        <v>627.13459999999998</v>
      </c>
      <c r="D5129" s="2">
        <f>HYPERLINK("http://mcb-m6.bioreg.kyushu-u.ac.jp/M3/20110428/F51130/1578/1", 60.29)</f>
        <v>60.29</v>
      </c>
      <c r="E5129" s="2">
        <v>37.869999999999997</v>
      </c>
      <c r="F5129" s="2">
        <v>2</v>
      </c>
      <c r="G5129" s="2" t="s">
        <v>14</v>
      </c>
    </row>
    <row r="5130" spans="1:7" x14ac:dyDescent="0.2">
      <c r="A5130" s="2" t="s">
        <v>3532</v>
      </c>
      <c r="B5130" s="2" t="s">
        <v>1326</v>
      </c>
      <c r="C5130" s="2">
        <v>572.11320000000001</v>
      </c>
      <c r="D5130" s="2">
        <f>HYPERLINK("http://mcb-m6.bioreg.kyushu-u.ac.jp/M3/20110428/F51130/1343/1", 65.17)</f>
        <v>65.17</v>
      </c>
      <c r="E5130" s="2">
        <v>43.66</v>
      </c>
      <c r="F5130" s="2">
        <v>2</v>
      </c>
      <c r="G5130" s="2" t="s">
        <v>14</v>
      </c>
    </row>
    <row r="5131" spans="1:7" x14ac:dyDescent="0.2">
      <c r="A5131" s="2" t="s">
        <v>3532</v>
      </c>
      <c r="B5131" s="2" t="s">
        <v>1300</v>
      </c>
      <c r="C5131" s="2">
        <v>626.63210000000004</v>
      </c>
      <c r="D5131" s="2">
        <f>HYPERLINK("http://mcb-m6.bioreg.kyushu-u.ac.jp/M3/20110428/F51130/1576/1", 72.53)</f>
        <v>72.53</v>
      </c>
      <c r="E5131" s="2">
        <v>55.64</v>
      </c>
      <c r="F5131" s="2">
        <v>2</v>
      </c>
      <c r="G5131" s="2" t="s">
        <v>14</v>
      </c>
    </row>
    <row r="5132" spans="1:7" x14ac:dyDescent="0.2">
      <c r="A5132" s="2" t="s">
        <v>3532</v>
      </c>
      <c r="B5132" s="2" t="s">
        <v>1948</v>
      </c>
      <c r="C5132" s="2">
        <v>671.25869999999998</v>
      </c>
      <c r="D5132" s="2">
        <f>HYPERLINK("http://mcb-m6.bioreg.kyushu-u.ac.jp/M3/20110428/F51130/1723/1", 86.01)</f>
        <v>86.01</v>
      </c>
      <c r="E5132" s="2">
        <v>62.4</v>
      </c>
      <c r="F5132" s="2">
        <v>2</v>
      </c>
      <c r="G5132" s="2" t="s">
        <v>14</v>
      </c>
    </row>
    <row r="5133" spans="1:7" x14ac:dyDescent="0.2">
      <c r="A5133" s="2" t="s">
        <v>4883</v>
      </c>
      <c r="B5133" s="2" t="s">
        <v>3214</v>
      </c>
      <c r="C5133" s="2">
        <v>609.92520000000002</v>
      </c>
      <c r="D5133" s="2">
        <f>HYPERLINK("http://mcb-m6.bioreg.kyushu-u.ac.jp/M3/20110404/F50761/1355/1", 38.61)</f>
        <v>38.61</v>
      </c>
      <c r="E5133" s="2">
        <v>27.3</v>
      </c>
      <c r="F5133" s="2">
        <v>2</v>
      </c>
      <c r="G5133" s="2" t="s">
        <v>10</v>
      </c>
    </row>
    <row r="5134" spans="1:7" x14ac:dyDescent="0.2">
      <c r="A5134" s="2" t="s">
        <v>4883</v>
      </c>
      <c r="B5134" s="2" t="s">
        <v>3214</v>
      </c>
      <c r="C5134" s="2">
        <v>610.01009999999997</v>
      </c>
      <c r="D5134" s="2">
        <f>HYPERLINK("http://mcb-m6.bioreg.kyushu-u.ac.jp/M3/20110421/F51044/1377/1", 58.21)</f>
        <v>58.21</v>
      </c>
      <c r="E5134" s="2">
        <v>44.6</v>
      </c>
      <c r="F5134" s="2">
        <v>2</v>
      </c>
      <c r="G5134" s="2" t="s">
        <v>12</v>
      </c>
    </row>
    <row r="5135" spans="1:7" x14ac:dyDescent="0.2">
      <c r="A5135" s="2" t="s">
        <v>4883</v>
      </c>
      <c r="B5135" s="2" t="s">
        <v>3214</v>
      </c>
      <c r="C5135" s="2">
        <v>610.09370000000001</v>
      </c>
      <c r="D5135" s="2">
        <f>HYPERLINK("http://mcb-m6.bioreg.kyushu-u.ac.jp/M3/20110427/F51123/1483/1", 57.47)</f>
        <v>57.47</v>
      </c>
      <c r="E5135" s="2">
        <v>41.98</v>
      </c>
      <c r="F5135" s="2">
        <v>2</v>
      </c>
      <c r="G5135" s="2" t="s">
        <v>14</v>
      </c>
    </row>
    <row r="5136" spans="1:7" x14ac:dyDescent="0.2">
      <c r="A5136" s="2" t="s">
        <v>3765</v>
      </c>
      <c r="B5136" s="2" t="s">
        <v>5931</v>
      </c>
      <c r="C5136" s="2">
        <v>1037.4359999999999</v>
      </c>
      <c r="D5136" s="2">
        <f>HYPERLINK("http://mcb-m6.bioreg.kyushu-u.ac.jp/M3/20110404/F50752/1411/1", 36.17)</f>
        <v>36.17</v>
      </c>
      <c r="E5136" s="2">
        <v>12.08</v>
      </c>
      <c r="F5136" s="2">
        <v>1</v>
      </c>
      <c r="G5136" s="2" t="s">
        <v>9</v>
      </c>
    </row>
    <row r="5137" spans="1:8" x14ac:dyDescent="0.2">
      <c r="A5137" s="2" t="s">
        <v>3765</v>
      </c>
      <c r="B5137" s="2" t="s">
        <v>5931</v>
      </c>
      <c r="C5137" s="2">
        <v>1036.3589999999999</v>
      </c>
      <c r="D5137" s="2">
        <f>HYPERLINK("http://mcb-m6.bioreg.kyushu-u.ac.jp/M3/20110404/F50753/1248/1", 37.64)</f>
        <v>37.64</v>
      </c>
      <c r="E5137" s="2">
        <v>18.43</v>
      </c>
      <c r="F5137" s="2">
        <v>1</v>
      </c>
      <c r="G5137" s="2" t="s">
        <v>9</v>
      </c>
    </row>
    <row r="5138" spans="1:8" x14ac:dyDescent="0.2">
      <c r="A5138" s="2" t="s">
        <v>3765</v>
      </c>
      <c r="B5138" s="2" t="s">
        <v>782</v>
      </c>
      <c r="C5138" s="2">
        <v>564.58720000000005</v>
      </c>
      <c r="D5138" s="2">
        <f>HYPERLINK("http://mcb-m6.bioreg.kyushu-u.ac.jp/M3/20110404/F50753/1379/1", 59.51)</f>
        <v>59.51</v>
      </c>
      <c r="E5138" s="2">
        <v>38.549999999999997</v>
      </c>
      <c r="F5138" s="2">
        <v>2</v>
      </c>
      <c r="G5138" s="2" t="s">
        <v>9</v>
      </c>
    </row>
    <row r="5139" spans="1:8" x14ac:dyDescent="0.2">
      <c r="A5139" s="2" t="s">
        <v>3765</v>
      </c>
      <c r="B5139" s="2" t="s">
        <v>1986</v>
      </c>
      <c r="C5139" s="2">
        <v>774.22720000000004</v>
      </c>
      <c r="D5139" s="2">
        <f>HYPERLINK("http://mcb-m6.bioreg.kyushu-u.ac.jp/M3/20110421/F51017/2207/1", 95.54)</f>
        <v>95.54</v>
      </c>
      <c r="E5139" s="2">
        <v>74.37</v>
      </c>
      <c r="F5139" s="2">
        <v>2</v>
      </c>
      <c r="G5139" s="2" t="s">
        <v>11</v>
      </c>
      <c r="H5139" s="2" t="s">
        <v>4896</v>
      </c>
    </row>
    <row r="5140" spans="1:8" x14ac:dyDescent="0.2">
      <c r="A5140" s="2" t="s">
        <v>3765</v>
      </c>
      <c r="B5140" s="2" t="s">
        <v>1986</v>
      </c>
      <c r="C5140" s="2">
        <v>774.27760000000001</v>
      </c>
      <c r="D5140" s="2">
        <f>HYPERLINK("http://mcb-m6.bioreg.kyushu-u.ac.jp/M3/20110421/F51023/2240/1", 58.6)</f>
        <v>58.6</v>
      </c>
      <c r="E5140" s="2">
        <v>40.67</v>
      </c>
      <c r="F5140" s="2">
        <v>2</v>
      </c>
      <c r="G5140" s="2" t="s">
        <v>12</v>
      </c>
      <c r="H5140" s="2" t="s">
        <v>4896</v>
      </c>
    </row>
    <row r="5141" spans="1:8" x14ac:dyDescent="0.2">
      <c r="A5141" s="2" t="s">
        <v>3814</v>
      </c>
      <c r="B5141" s="2" t="s">
        <v>874</v>
      </c>
      <c r="C5141" s="2">
        <v>638.2817</v>
      </c>
      <c r="D5141" s="2">
        <f>HYPERLINK("http://mcb-m6.bioreg.kyushu-u.ac.jp/M3/20110404/F50778/1332/1", 61.14)</f>
        <v>61.14</v>
      </c>
      <c r="E5141" s="2">
        <v>41.12</v>
      </c>
      <c r="F5141" s="2">
        <v>2</v>
      </c>
      <c r="G5141" s="2" t="s">
        <v>9</v>
      </c>
    </row>
    <row r="5142" spans="1:8" x14ac:dyDescent="0.2">
      <c r="A5142" s="2" t="s">
        <v>3814</v>
      </c>
      <c r="B5142" s="2" t="s">
        <v>1570</v>
      </c>
      <c r="C5142" s="2">
        <v>773.41920000000005</v>
      </c>
      <c r="D5142" s="2">
        <f>HYPERLINK("http://mcb-m6.bioreg.kyushu-u.ac.jp/M3/20110404/F50775/2094/1", 62.66)</f>
        <v>62.66</v>
      </c>
      <c r="E5142" s="2">
        <v>44.21</v>
      </c>
      <c r="F5142" s="2">
        <v>2</v>
      </c>
      <c r="G5142" s="2" t="s">
        <v>10</v>
      </c>
    </row>
    <row r="5143" spans="1:8" x14ac:dyDescent="0.2">
      <c r="A5143" s="2" t="s">
        <v>3814</v>
      </c>
      <c r="B5143" s="2" t="s">
        <v>874</v>
      </c>
      <c r="C5143" s="2">
        <v>638.21420000000001</v>
      </c>
      <c r="D5143" s="2">
        <f>HYPERLINK("http://mcb-m6.bioreg.kyushu-u.ac.jp/M3/20110404/F50775/1513/1", 83.45)</f>
        <v>83.45</v>
      </c>
      <c r="E5143" s="2">
        <v>65.180000000000007</v>
      </c>
      <c r="F5143" s="2">
        <v>2</v>
      </c>
      <c r="G5143" s="2" t="s">
        <v>10</v>
      </c>
    </row>
    <row r="5144" spans="1:8" x14ac:dyDescent="0.2">
      <c r="A5144" s="2" t="s">
        <v>3814</v>
      </c>
      <c r="B5144" s="2" t="s">
        <v>1570</v>
      </c>
      <c r="C5144" s="2">
        <v>772.92319999999995</v>
      </c>
      <c r="D5144" s="2">
        <f>HYPERLINK("http://mcb-m6.bioreg.kyushu-u.ac.jp/M3/20110421/F51040/2220/1", 39.68)</f>
        <v>39.68</v>
      </c>
      <c r="E5144" s="2">
        <v>24.9</v>
      </c>
      <c r="F5144" s="2">
        <v>2</v>
      </c>
      <c r="G5144" s="2" t="s">
        <v>11</v>
      </c>
    </row>
    <row r="5145" spans="1:8" x14ac:dyDescent="0.2">
      <c r="A5145" s="2" t="s">
        <v>3814</v>
      </c>
      <c r="B5145" s="2" t="s">
        <v>874</v>
      </c>
      <c r="C5145" s="2">
        <v>638.49369999999999</v>
      </c>
      <c r="D5145" s="2">
        <f>HYPERLINK("http://mcb-m6.bioreg.kyushu-u.ac.jp/M3/20110421/F51040/1520/1", 62.88)</f>
        <v>62.88</v>
      </c>
      <c r="E5145" s="2">
        <v>47.47</v>
      </c>
      <c r="F5145" s="2">
        <v>2</v>
      </c>
      <c r="G5145" s="2" t="s">
        <v>11</v>
      </c>
    </row>
    <row r="5146" spans="1:8" x14ac:dyDescent="0.2">
      <c r="A5146" s="2" t="s">
        <v>3814</v>
      </c>
      <c r="B5146" s="2" t="s">
        <v>874</v>
      </c>
      <c r="C5146" s="2">
        <v>638.28470000000004</v>
      </c>
      <c r="D5146" s="2">
        <f>HYPERLINK("http://mcb-m6.bioreg.kyushu-u.ac.jp/M3/20110421/F51039/1549/1", 63.95)</f>
        <v>63.95</v>
      </c>
      <c r="E5146" s="2">
        <v>50.8</v>
      </c>
      <c r="F5146" s="2">
        <v>2</v>
      </c>
      <c r="G5146" s="2" t="s">
        <v>11</v>
      </c>
    </row>
    <row r="5147" spans="1:8" x14ac:dyDescent="0.2">
      <c r="A5147" s="2" t="s">
        <v>3814</v>
      </c>
      <c r="B5147" s="2" t="s">
        <v>1570</v>
      </c>
      <c r="C5147" s="2">
        <v>773.50459999999998</v>
      </c>
      <c r="D5147" s="2">
        <f>HYPERLINK("http://mcb-m6.bioreg.kyushu-u.ac.jp/M3/20110421/F51039/2270/1", 78.39)</f>
        <v>78.39</v>
      </c>
      <c r="E5147" s="2">
        <v>58.66</v>
      </c>
      <c r="F5147" s="2">
        <v>2</v>
      </c>
      <c r="G5147" s="2" t="s">
        <v>11</v>
      </c>
    </row>
    <row r="5148" spans="1:8" x14ac:dyDescent="0.2">
      <c r="A5148" s="2" t="s">
        <v>3814</v>
      </c>
      <c r="B5148" s="2" t="s">
        <v>874</v>
      </c>
      <c r="C5148" s="2">
        <v>638.3981</v>
      </c>
      <c r="D5148" s="2">
        <f>HYPERLINK("http://mcb-m6.bioreg.kyushu-u.ac.jp/M3/20110421/F51048/1691/1", 51.92)</f>
        <v>51.92</v>
      </c>
      <c r="E5148" s="2">
        <v>36.28</v>
      </c>
      <c r="F5148" s="2">
        <v>2</v>
      </c>
      <c r="G5148" s="2" t="s">
        <v>12</v>
      </c>
    </row>
    <row r="5149" spans="1:8" x14ac:dyDescent="0.2">
      <c r="A5149" s="2" t="s">
        <v>3814</v>
      </c>
      <c r="B5149" s="2" t="s">
        <v>874</v>
      </c>
      <c r="C5149" s="2">
        <v>638.11519999999996</v>
      </c>
      <c r="D5149" s="2">
        <f>HYPERLINK("http://mcb-m6.bioreg.kyushu-u.ac.jp/M3/20110428/F51133/1368/1", 67.23)</f>
        <v>67.23</v>
      </c>
      <c r="E5149" s="2">
        <v>44.18</v>
      </c>
      <c r="F5149" s="2">
        <v>2</v>
      </c>
      <c r="G5149" s="2" t="s">
        <v>13</v>
      </c>
    </row>
    <row r="5150" spans="1:8" x14ac:dyDescent="0.2">
      <c r="A5150" s="2" t="s">
        <v>5725</v>
      </c>
      <c r="B5150" s="2" t="s">
        <v>5305</v>
      </c>
      <c r="C5150" s="2">
        <v>743.43910000000005</v>
      </c>
      <c r="D5150" s="2">
        <f>HYPERLINK("http://mcb-m6.bioreg.kyushu-u.ac.jp/M3/20110421/F51040/2070/1", 87.63)</f>
        <v>87.63</v>
      </c>
      <c r="E5150" s="2">
        <v>63.36</v>
      </c>
      <c r="F5150" s="2">
        <v>2</v>
      </c>
      <c r="G5150" s="2" t="s">
        <v>11</v>
      </c>
    </row>
    <row r="5151" spans="1:8" x14ac:dyDescent="0.2">
      <c r="A5151" s="2" t="s">
        <v>7800</v>
      </c>
      <c r="B5151" s="2" t="s">
        <v>6719</v>
      </c>
      <c r="C5151" s="2">
        <v>655.28520000000003</v>
      </c>
      <c r="D5151" s="2">
        <f>HYPERLINK("http://mcb-m6.bioreg.kyushu-u.ac.jp/M3/20110404/F50768/1545/1", 37.73)</f>
        <v>37.729999999999997</v>
      </c>
      <c r="E5151" s="2">
        <v>20.170000000000002</v>
      </c>
      <c r="F5151" s="2">
        <v>2</v>
      </c>
      <c r="G5151" s="2" t="s">
        <v>10</v>
      </c>
    </row>
    <row r="5152" spans="1:8" x14ac:dyDescent="0.2">
      <c r="A5152" s="2" t="s">
        <v>8084</v>
      </c>
      <c r="B5152" s="2" t="s">
        <v>7411</v>
      </c>
      <c r="C5152" s="2">
        <v>830.28920000000005</v>
      </c>
      <c r="D5152" s="2">
        <f>HYPERLINK("http://mcb-m6.bioreg.kyushu-u.ac.jp/M3/20110427/F51112/2512/1", 62.28)</f>
        <v>62.28</v>
      </c>
      <c r="E5152" s="2">
        <v>47.93</v>
      </c>
      <c r="F5152" s="2">
        <v>2</v>
      </c>
      <c r="G5152" s="2" t="s">
        <v>13</v>
      </c>
    </row>
    <row r="5153" spans="1:9" x14ac:dyDescent="0.2">
      <c r="A5153" s="2" t="s">
        <v>4388</v>
      </c>
      <c r="B5153" s="2" t="s">
        <v>2226</v>
      </c>
      <c r="C5153" s="2">
        <v>886.54669999999999</v>
      </c>
      <c r="D5153" s="2">
        <f>HYPERLINK("http://mcb-m6.bioreg.kyushu-u.ac.jp/M3/20110404/F50777/2464/1", 42.3)</f>
        <v>42.3</v>
      </c>
      <c r="E5153" s="2">
        <v>33.92</v>
      </c>
      <c r="F5153" s="2">
        <v>2</v>
      </c>
      <c r="G5153" s="2" t="s">
        <v>9</v>
      </c>
    </row>
    <row r="5154" spans="1:9" x14ac:dyDescent="0.2">
      <c r="A5154" s="2" t="s">
        <v>4388</v>
      </c>
      <c r="B5154" s="2" t="s">
        <v>2226</v>
      </c>
      <c r="C5154" s="2">
        <v>886.47720000000004</v>
      </c>
      <c r="D5154" s="2">
        <f>HYPERLINK("http://mcb-m6.bioreg.kyushu-u.ac.jp/M3/20110404/F50762/2256/1", 55.91)</f>
        <v>55.91</v>
      </c>
      <c r="E5154" s="2">
        <v>40.33</v>
      </c>
      <c r="F5154" s="2">
        <v>2</v>
      </c>
      <c r="G5154" s="2" t="s">
        <v>9</v>
      </c>
    </row>
    <row r="5155" spans="1:9" x14ac:dyDescent="0.2">
      <c r="A5155" s="2" t="s">
        <v>4388</v>
      </c>
      <c r="B5155" s="2" t="s">
        <v>5203</v>
      </c>
      <c r="C5155" s="2">
        <v>1161.617</v>
      </c>
      <c r="D5155" s="2">
        <f>HYPERLINK("http://mcb-m6.bioreg.kyushu-u.ac.jp/M3/20110404/F50756/3552/1", 69.46)</f>
        <v>69.459999999999994</v>
      </c>
      <c r="E5155" s="2">
        <v>65.3</v>
      </c>
      <c r="F5155" s="2">
        <v>2</v>
      </c>
      <c r="G5155" s="2" t="s">
        <v>9</v>
      </c>
      <c r="I5155" s="2" t="s">
        <v>4941</v>
      </c>
    </row>
    <row r="5156" spans="1:9" x14ac:dyDescent="0.2">
      <c r="A5156" s="2" t="s">
        <v>4388</v>
      </c>
      <c r="B5156" s="2" t="s">
        <v>2226</v>
      </c>
      <c r="C5156" s="2">
        <v>886.86109999999996</v>
      </c>
      <c r="D5156" s="2">
        <f>HYPERLINK("http://mcb-m6.bioreg.kyushu-u.ac.jp/M3/20110404/F50756/2612/1", 83.29)</f>
        <v>83.29</v>
      </c>
      <c r="E5156" s="2">
        <v>66.41</v>
      </c>
      <c r="F5156" s="2">
        <v>2</v>
      </c>
      <c r="G5156" s="2" t="s">
        <v>9</v>
      </c>
    </row>
    <row r="5157" spans="1:9" x14ac:dyDescent="0.2">
      <c r="A5157" s="2" t="s">
        <v>4388</v>
      </c>
      <c r="B5157" s="2" t="s">
        <v>2226</v>
      </c>
      <c r="C5157" s="2">
        <v>886.45669999999996</v>
      </c>
      <c r="D5157" s="2">
        <f>HYPERLINK("http://mcb-m6.bioreg.kyushu-u.ac.jp/M3/20110404/F50763/2419/1", 91.46)</f>
        <v>91.46</v>
      </c>
      <c r="E5157" s="2">
        <v>65.69</v>
      </c>
      <c r="F5157" s="2">
        <v>2</v>
      </c>
      <c r="G5157" s="2" t="s">
        <v>9</v>
      </c>
    </row>
    <row r="5158" spans="1:9" x14ac:dyDescent="0.2">
      <c r="A5158" s="2" t="s">
        <v>4388</v>
      </c>
      <c r="B5158" s="2" t="s">
        <v>5203</v>
      </c>
      <c r="C5158" s="2">
        <v>1161.43</v>
      </c>
      <c r="D5158" s="2">
        <f>HYPERLINK("http://mcb-m6.bioreg.kyushu-u.ac.jp/M3/20110404/F50763/3089/1", 92.5)</f>
        <v>92.5</v>
      </c>
      <c r="E5158" s="2">
        <v>85.3</v>
      </c>
      <c r="F5158" s="2">
        <v>2</v>
      </c>
      <c r="G5158" s="2" t="s">
        <v>9</v>
      </c>
      <c r="I5158" s="2" t="s">
        <v>4941</v>
      </c>
    </row>
    <row r="5159" spans="1:9" x14ac:dyDescent="0.2">
      <c r="A5159" s="2" t="s">
        <v>4388</v>
      </c>
      <c r="B5159" s="2" t="s">
        <v>2226</v>
      </c>
      <c r="C5159" s="2">
        <v>886.96169999999995</v>
      </c>
      <c r="D5159" s="2">
        <f>HYPERLINK("http://mcb-m6.bioreg.kyushu-u.ac.jp/M3/20110421/F51035/2681/1", 71.13)</f>
        <v>71.13</v>
      </c>
      <c r="E5159" s="2">
        <v>46.66</v>
      </c>
      <c r="F5159" s="2">
        <v>2</v>
      </c>
      <c r="G5159" s="2" t="s">
        <v>11</v>
      </c>
    </row>
    <row r="5160" spans="1:9" x14ac:dyDescent="0.2">
      <c r="A5160" s="2" t="s">
        <v>4388</v>
      </c>
      <c r="B5160" s="2" t="s">
        <v>2226</v>
      </c>
      <c r="C5160" s="2">
        <v>591.6875</v>
      </c>
      <c r="D5160" s="2">
        <f>HYPERLINK("http://mcb-m6.bioreg.kyushu-u.ac.jp/M3/20110428/F51127/2714/1", 41.02)</f>
        <v>41.02</v>
      </c>
      <c r="E5160" s="2">
        <v>14.6</v>
      </c>
      <c r="F5160" s="2">
        <v>3</v>
      </c>
      <c r="G5160" s="2" t="s">
        <v>13</v>
      </c>
    </row>
    <row r="5161" spans="1:9" x14ac:dyDescent="0.2">
      <c r="A5161" s="2" t="s">
        <v>4388</v>
      </c>
      <c r="B5161" s="2" t="s">
        <v>5098</v>
      </c>
      <c r="C5161" s="2">
        <v>906.29319999999996</v>
      </c>
      <c r="D5161" s="2">
        <f>HYPERLINK("http://mcb-m6.bioreg.kyushu-u.ac.jp/M3/20110428/F51127/2825/1", 62.35)</f>
        <v>62.35</v>
      </c>
      <c r="E5161" s="2">
        <v>40.78</v>
      </c>
      <c r="F5161" s="2">
        <v>2</v>
      </c>
      <c r="G5161" s="2" t="s">
        <v>13</v>
      </c>
    </row>
    <row r="5162" spans="1:9" x14ac:dyDescent="0.2">
      <c r="A5162" s="2" t="s">
        <v>4388</v>
      </c>
      <c r="B5162" s="2" t="s">
        <v>5203</v>
      </c>
      <c r="C5162" s="2">
        <v>1160.6969999999999</v>
      </c>
      <c r="D5162" s="2">
        <f>HYPERLINK("http://mcb-m6.bioreg.kyushu-u.ac.jp/M3/20110428/F51127/3638/1", 96.2)</f>
        <v>96.2</v>
      </c>
      <c r="E5162" s="2">
        <v>86.8</v>
      </c>
      <c r="F5162" s="2">
        <v>2</v>
      </c>
      <c r="G5162" s="2" t="s">
        <v>13</v>
      </c>
      <c r="I5162" s="2" t="s">
        <v>4941</v>
      </c>
    </row>
    <row r="5163" spans="1:9" x14ac:dyDescent="0.2">
      <c r="A5163" s="2" t="s">
        <v>4388</v>
      </c>
      <c r="B5163" s="2" t="s">
        <v>5203</v>
      </c>
      <c r="C5163" s="2">
        <v>1161.277</v>
      </c>
      <c r="D5163" s="2">
        <f>HYPERLINK("http://mcb-m6.bioreg.kyushu-u.ac.jp/M3/20110428/F51127/3639/1", 127.83)</f>
        <v>127.83</v>
      </c>
      <c r="E5163" s="2">
        <v>117.18</v>
      </c>
      <c r="F5163" s="2">
        <v>2</v>
      </c>
      <c r="G5163" s="2" t="s">
        <v>13</v>
      </c>
      <c r="I5163" s="2" t="s">
        <v>4941</v>
      </c>
    </row>
    <row r="5164" spans="1:9" x14ac:dyDescent="0.2">
      <c r="A5164" s="2" t="s">
        <v>3859</v>
      </c>
      <c r="B5164" s="2" t="s">
        <v>6249</v>
      </c>
      <c r="C5164" s="2">
        <v>512.67719999999997</v>
      </c>
      <c r="D5164" s="2">
        <f>HYPERLINK("http://mcb-m6.bioreg.kyushu-u.ac.jp/M3/20110404/F50763/1132/1", 49.16)</f>
        <v>49.16</v>
      </c>
      <c r="E5164" s="2">
        <v>28.38</v>
      </c>
      <c r="F5164" s="2">
        <v>2</v>
      </c>
      <c r="G5164" s="2" t="s">
        <v>9</v>
      </c>
    </row>
    <row r="5165" spans="1:9" x14ac:dyDescent="0.2">
      <c r="A5165" s="2" t="s">
        <v>3859</v>
      </c>
      <c r="B5165" s="2" t="s">
        <v>967</v>
      </c>
      <c r="C5165" s="2">
        <v>848.97770000000003</v>
      </c>
      <c r="D5165" s="2">
        <f>HYPERLINK("http://mcb-m6.bioreg.kyushu-u.ac.jp/M3/20110421/F51035/2509/1", 38.3)</f>
        <v>38.299999999999997</v>
      </c>
      <c r="E5165" s="2">
        <v>22.51</v>
      </c>
      <c r="F5165" s="2">
        <v>2</v>
      </c>
      <c r="G5165" s="2" t="s">
        <v>11</v>
      </c>
    </row>
    <row r="5166" spans="1:9" x14ac:dyDescent="0.2">
      <c r="A5166" s="2" t="s">
        <v>3612</v>
      </c>
      <c r="B5166" s="2" t="s">
        <v>5195</v>
      </c>
      <c r="C5166" s="2">
        <v>1070.796</v>
      </c>
      <c r="D5166" s="2">
        <f>HYPERLINK("http://mcb-m6.bioreg.kyushu-u.ac.jp/M3/20110421/F51035/3350/1", 72.59)</f>
        <v>72.59</v>
      </c>
      <c r="E5166" s="2">
        <v>56.44</v>
      </c>
      <c r="F5166" s="2">
        <v>2</v>
      </c>
      <c r="G5166" s="2" t="s">
        <v>11</v>
      </c>
      <c r="I5166" s="2" t="s">
        <v>4923</v>
      </c>
    </row>
    <row r="5167" spans="1:9" x14ac:dyDescent="0.2">
      <c r="A5167" s="2" t="s">
        <v>3612</v>
      </c>
      <c r="B5167" s="2" t="s">
        <v>515</v>
      </c>
      <c r="C5167" s="2">
        <v>479.61709999999999</v>
      </c>
      <c r="D5167" s="2">
        <f>HYPERLINK("http://mcb-m6.bioreg.kyushu-u.ac.jp/M3/20110428/F51127/703/1", 36.32)</f>
        <v>36.32</v>
      </c>
      <c r="E5167" s="2">
        <v>10.66</v>
      </c>
      <c r="F5167" s="2">
        <v>2</v>
      </c>
      <c r="G5167" s="2" t="s">
        <v>13</v>
      </c>
    </row>
    <row r="5168" spans="1:9" x14ac:dyDescent="0.2">
      <c r="A5168" s="2" t="s">
        <v>3612</v>
      </c>
      <c r="B5168" s="2" t="s">
        <v>7317</v>
      </c>
      <c r="C5168" s="2">
        <v>1004.883</v>
      </c>
      <c r="D5168" s="2">
        <f>HYPERLINK("http://mcb-m6.bioreg.kyushu-u.ac.jp/M3/20110428/F51127/4182/1", 39.55)</f>
        <v>39.549999999999997</v>
      </c>
      <c r="E5168" s="2">
        <v>29.17</v>
      </c>
      <c r="F5168" s="2">
        <v>3</v>
      </c>
      <c r="G5168" s="2" t="s">
        <v>13</v>
      </c>
    </row>
    <row r="5169" spans="1:9" x14ac:dyDescent="0.2">
      <c r="A5169" s="2" t="s">
        <v>3612</v>
      </c>
      <c r="B5169" s="2" t="s">
        <v>7325</v>
      </c>
      <c r="C5169" s="2">
        <v>543.17660000000001</v>
      </c>
      <c r="D5169" s="2">
        <f>HYPERLINK("http://mcb-m6.bioreg.kyushu-u.ac.jp/M3/20110428/F51127/940/1", 40.4)</f>
        <v>40.4</v>
      </c>
      <c r="E5169" s="2">
        <v>13.5</v>
      </c>
      <c r="F5169" s="2">
        <v>2</v>
      </c>
      <c r="G5169" s="2" t="s">
        <v>13</v>
      </c>
    </row>
    <row r="5170" spans="1:9" x14ac:dyDescent="0.2">
      <c r="A5170" s="2" t="s">
        <v>3612</v>
      </c>
      <c r="B5170" s="2" t="s">
        <v>5034</v>
      </c>
      <c r="C5170" s="2">
        <v>754.10220000000004</v>
      </c>
      <c r="D5170" s="2">
        <f>HYPERLINK("http://mcb-m6.bioreg.kyushu-u.ac.jp/M3/20110428/F51127/1959/1", 63.73)</f>
        <v>63.73</v>
      </c>
      <c r="E5170" s="2">
        <v>52.46</v>
      </c>
      <c r="F5170" s="2">
        <v>2</v>
      </c>
      <c r="G5170" s="2" t="s">
        <v>13</v>
      </c>
      <c r="I5170" s="2" t="s">
        <v>4926</v>
      </c>
    </row>
    <row r="5171" spans="1:9" x14ac:dyDescent="0.2">
      <c r="A5171" s="2" t="s">
        <v>3612</v>
      </c>
      <c r="B5171" s="2" t="s">
        <v>5195</v>
      </c>
      <c r="C5171" s="2">
        <v>1070.7070000000001</v>
      </c>
      <c r="D5171" s="2">
        <f>HYPERLINK("http://mcb-m6.bioreg.kyushu-u.ac.jp/M3/20110428/F51127/3388/1", 108.33)</f>
        <v>108.33</v>
      </c>
      <c r="E5171" s="2">
        <v>92.17</v>
      </c>
      <c r="F5171" s="2">
        <v>2</v>
      </c>
      <c r="G5171" s="2" t="s">
        <v>13</v>
      </c>
      <c r="I5171" s="2" t="s">
        <v>4923</v>
      </c>
    </row>
    <row r="5172" spans="1:9" x14ac:dyDescent="0.2">
      <c r="A5172" s="2" t="s">
        <v>3612</v>
      </c>
      <c r="B5172" s="2" t="s">
        <v>5195</v>
      </c>
      <c r="C5172" s="2">
        <v>1070.145</v>
      </c>
      <c r="D5172" s="2">
        <f>HYPERLINK("http://mcb-m6.bioreg.kyushu-u.ac.jp/M3/20110428/F51127/3386/1", 132.03)</f>
        <v>132.03</v>
      </c>
      <c r="E5172" s="2">
        <v>111.02</v>
      </c>
      <c r="F5172" s="2">
        <v>2</v>
      </c>
      <c r="G5172" s="2" t="s">
        <v>13</v>
      </c>
      <c r="I5172" s="2" t="s">
        <v>4923</v>
      </c>
    </row>
    <row r="5173" spans="1:9" x14ac:dyDescent="0.2">
      <c r="A5173" s="2" t="s">
        <v>3544</v>
      </c>
      <c r="B5173" s="2" t="s">
        <v>893</v>
      </c>
      <c r="C5173" s="2">
        <v>969.44119999999998</v>
      </c>
      <c r="D5173" s="2">
        <f>HYPERLINK("http://mcb-m6.bioreg.kyushu-u.ac.jp/M3/20110404/F50763/2676/1", 36.51)</f>
        <v>36.51</v>
      </c>
      <c r="E5173" s="2">
        <v>34.049999999999997</v>
      </c>
      <c r="F5173" s="2">
        <v>2</v>
      </c>
      <c r="G5173" s="2" t="s">
        <v>9</v>
      </c>
    </row>
    <row r="5174" spans="1:9" x14ac:dyDescent="0.2">
      <c r="A5174" s="2" t="s">
        <v>3544</v>
      </c>
      <c r="B5174" s="2" t="s">
        <v>893</v>
      </c>
      <c r="C5174" s="2">
        <v>969.14419999999996</v>
      </c>
      <c r="D5174" s="2">
        <f>HYPERLINK("http://mcb-m6.bioreg.kyushu-u.ac.jp/M3/20110421/F51035/3027/1", 54.07)</f>
        <v>54.07</v>
      </c>
      <c r="E5174" s="2">
        <v>46.77</v>
      </c>
      <c r="F5174" s="2">
        <v>2</v>
      </c>
      <c r="G5174" s="2" t="s">
        <v>11</v>
      </c>
    </row>
    <row r="5175" spans="1:9" x14ac:dyDescent="0.2">
      <c r="A5175" s="2" t="s">
        <v>3544</v>
      </c>
      <c r="B5175" s="2" t="s">
        <v>893</v>
      </c>
      <c r="C5175" s="2">
        <v>969.8202</v>
      </c>
      <c r="D5175" s="2">
        <f>HYPERLINK("http://mcb-m6.bioreg.kyushu-u.ac.jp/M3/20110428/F51127/3069/1", 77.62)</f>
        <v>77.62</v>
      </c>
      <c r="E5175" s="2">
        <v>59.29</v>
      </c>
      <c r="F5175" s="2">
        <v>2</v>
      </c>
      <c r="G5175" s="2" t="s">
        <v>13</v>
      </c>
    </row>
    <row r="5176" spans="1:9" x14ac:dyDescent="0.2">
      <c r="A5176" s="2" t="s">
        <v>3544</v>
      </c>
      <c r="B5176" s="2" t="s">
        <v>893</v>
      </c>
      <c r="C5176" s="2">
        <v>969.23969999999997</v>
      </c>
      <c r="D5176" s="2">
        <f>HYPERLINK("http://mcb-m6.bioreg.kyushu-u.ac.jp/M3/20110428/F51127/3067/1", 95.57)</f>
        <v>95.57</v>
      </c>
      <c r="E5176" s="2">
        <v>82.49</v>
      </c>
      <c r="F5176" s="2">
        <v>2</v>
      </c>
      <c r="G5176" s="2" t="s">
        <v>13</v>
      </c>
    </row>
    <row r="5177" spans="1:9" x14ac:dyDescent="0.2">
      <c r="A5177" s="2" t="s">
        <v>3544</v>
      </c>
      <c r="B5177" s="2" t="s">
        <v>893</v>
      </c>
      <c r="C5177" s="2">
        <v>969.78560000000004</v>
      </c>
      <c r="D5177" s="2">
        <f>HYPERLINK("http://mcb-m6.bioreg.kyushu-u.ac.jp/M3/20110428/F51128/3015/1", 41.76)</f>
        <v>41.76</v>
      </c>
      <c r="E5177" s="2">
        <v>31.84</v>
      </c>
      <c r="F5177" s="2">
        <v>2</v>
      </c>
      <c r="G5177" s="2" t="s">
        <v>14</v>
      </c>
    </row>
    <row r="5178" spans="1:9" x14ac:dyDescent="0.2">
      <c r="A5178" s="2" t="s">
        <v>3286</v>
      </c>
      <c r="B5178" s="2" t="s">
        <v>896</v>
      </c>
      <c r="C5178" s="2">
        <v>870.22969999999998</v>
      </c>
      <c r="D5178" s="2">
        <f>HYPERLINK("http://mcb-m6.bioreg.kyushu-u.ac.jp/M3/20110428/F51127/2622/1", 44.73)</f>
        <v>44.73</v>
      </c>
      <c r="E5178" s="2">
        <v>30.49</v>
      </c>
      <c r="F5178" s="2">
        <v>2</v>
      </c>
      <c r="G5178" s="2" t="s">
        <v>13</v>
      </c>
    </row>
    <row r="5179" spans="1:9" x14ac:dyDescent="0.2">
      <c r="A5179" s="2" t="s">
        <v>7860</v>
      </c>
      <c r="B5179" s="2" t="s">
        <v>6847</v>
      </c>
      <c r="C5179" s="2">
        <v>837.82510000000002</v>
      </c>
      <c r="D5179" s="2">
        <f>HYPERLINK("http://mcb-m6.bioreg.kyushu-u.ac.jp/M3/20110404/F50768/2227/1", 49.73)</f>
        <v>49.73</v>
      </c>
      <c r="E5179" s="2">
        <v>31.98</v>
      </c>
      <c r="F5179" s="2">
        <v>2</v>
      </c>
      <c r="G5179" s="2" t="s">
        <v>10</v>
      </c>
    </row>
    <row r="5180" spans="1:9" x14ac:dyDescent="0.2">
      <c r="A5180" s="2" t="s">
        <v>7946</v>
      </c>
      <c r="B5180" s="2" t="s">
        <v>7145</v>
      </c>
      <c r="C5180" s="2">
        <v>1031.421</v>
      </c>
      <c r="D5180" s="2">
        <f>HYPERLINK("http://mcb-m6.bioreg.kyushu-u.ac.jp/M3/20110421/F51039/3262/1", 76.28)</f>
        <v>76.28</v>
      </c>
      <c r="E5180" s="2">
        <v>57.57</v>
      </c>
      <c r="F5180" s="2">
        <v>2</v>
      </c>
      <c r="G5180" s="2" t="s">
        <v>11</v>
      </c>
    </row>
    <row r="5181" spans="1:9" x14ac:dyDescent="0.2">
      <c r="A5181" s="4" t="s">
        <v>7798</v>
      </c>
      <c r="B5181" s="2" t="s">
        <v>6712</v>
      </c>
      <c r="C5181" s="2">
        <v>587.23910000000001</v>
      </c>
      <c r="D5181" s="2">
        <f>HYPERLINK("http://mcb-m6.bioreg.kyushu-u.ac.jp/M3/20110404/F50761/1265/1", 37.18)</f>
        <v>37.18</v>
      </c>
      <c r="E5181" s="2">
        <v>23.24</v>
      </c>
      <c r="F5181" s="2">
        <v>2</v>
      </c>
      <c r="G5181" s="2" t="s">
        <v>10</v>
      </c>
    </row>
    <row r="5182" spans="1:9" x14ac:dyDescent="0.2">
      <c r="A5182" s="4" t="s">
        <v>7798</v>
      </c>
      <c r="B5182" s="2" t="s">
        <v>6712</v>
      </c>
      <c r="C5182" s="2">
        <v>587.23609999999996</v>
      </c>
      <c r="D5182" s="2">
        <f>HYPERLINK("http://mcb-m6.bioreg.kyushu-u.ac.jp/M3/20110421/F51035/1156/1", 36.66)</f>
        <v>36.659999999999997</v>
      </c>
      <c r="E5182" s="2">
        <v>17.36</v>
      </c>
      <c r="F5182" s="2">
        <v>2</v>
      </c>
      <c r="G5182" s="2" t="s">
        <v>11</v>
      </c>
    </row>
    <row r="5183" spans="1:9" x14ac:dyDescent="0.2">
      <c r="A5183" s="2" t="s">
        <v>4734</v>
      </c>
      <c r="B5183" s="2" t="s">
        <v>2953</v>
      </c>
      <c r="C5183" s="2">
        <v>862.27369999999996</v>
      </c>
      <c r="D5183" s="2">
        <f>HYPERLINK("http://mcb-m6.bioreg.kyushu-u.ac.jp/M3/20110404/F50764/2298/1", 42.89)</f>
        <v>42.89</v>
      </c>
      <c r="E5183" s="2">
        <v>25.96</v>
      </c>
      <c r="F5183" s="2">
        <v>2</v>
      </c>
      <c r="G5183" s="2" t="s">
        <v>9</v>
      </c>
    </row>
    <row r="5184" spans="1:9" x14ac:dyDescent="0.2">
      <c r="A5184" s="2" t="s">
        <v>4734</v>
      </c>
      <c r="B5184" s="2" t="s">
        <v>2953</v>
      </c>
      <c r="C5184" s="2">
        <v>861.61410000000001</v>
      </c>
      <c r="D5184" s="2">
        <f>HYPERLINK("http://mcb-m6.bioreg.kyushu-u.ac.jp/M3/20110427/F51115/2484/1", 87.39)</f>
        <v>87.39</v>
      </c>
      <c r="E5184" s="2">
        <v>62.79</v>
      </c>
      <c r="F5184" s="2">
        <v>2</v>
      </c>
      <c r="G5184" s="2" t="s">
        <v>13</v>
      </c>
    </row>
    <row r="5185" spans="1:8" x14ac:dyDescent="0.2">
      <c r="A5185" s="2" t="s">
        <v>3536</v>
      </c>
      <c r="B5185" s="2" t="s">
        <v>390</v>
      </c>
      <c r="C5185" s="2">
        <v>715.58669999999995</v>
      </c>
      <c r="D5185" s="2">
        <f>HYPERLINK("http://mcb-m6.bioreg.kyushu-u.ac.jp/M3/20110404/F50764/1766/1", 92.69)</f>
        <v>92.69</v>
      </c>
      <c r="E5185" s="2">
        <v>54.42</v>
      </c>
      <c r="F5185" s="2">
        <v>2</v>
      </c>
      <c r="G5185" s="2" t="s">
        <v>9</v>
      </c>
    </row>
    <row r="5186" spans="1:8" x14ac:dyDescent="0.2">
      <c r="A5186" s="2" t="s">
        <v>3536</v>
      </c>
      <c r="B5186" s="2" t="s">
        <v>390</v>
      </c>
      <c r="C5186" s="2">
        <v>715.58810000000005</v>
      </c>
      <c r="D5186" s="2">
        <f>HYPERLINK("http://mcb-m6.bioreg.kyushu-u.ac.jp/M3/20110421/F51042/1744/1", 82.38)</f>
        <v>82.38</v>
      </c>
      <c r="E5186" s="2">
        <v>46.94</v>
      </c>
      <c r="F5186" s="2">
        <v>2</v>
      </c>
      <c r="G5186" s="2" t="s">
        <v>11</v>
      </c>
    </row>
    <row r="5187" spans="1:8" x14ac:dyDescent="0.2">
      <c r="A5187" s="2" t="s">
        <v>3536</v>
      </c>
      <c r="B5187" s="2" t="s">
        <v>390</v>
      </c>
      <c r="C5187" s="2">
        <v>715.22720000000004</v>
      </c>
      <c r="D5187" s="2">
        <f>HYPERLINK("http://mcb-m6.bioreg.kyushu-u.ac.jp/M3/20110427/F51115/1866/1", 85.3)</f>
        <v>85.3</v>
      </c>
      <c r="E5187" s="2">
        <v>50.9</v>
      </c>
      <c r="F5187" s="2">
        <v>2</v>
      </c>
      <c r="G5187" s="2" t="s">
        <v>13</v>
      </c>
    </row>
    <row r="5188" spans="1:8" x14ac:dyDescent="0.2">
      <c r="A5188" s="2" t="s">
        <v>3536</v>
      </c>
      <c r="B5188" s="2" t="s">
        <v>7440</v>
      </c>
      <c r="C5188" s="2">
        <v>713.75369999999998</v>
      </c>
      <c r="D5188" s="2">
        <f>HYPERLINK("http://mcb-m6.bioreg.kyushu-u.ac.jp/M3/20110427/F51115/1860/1", 96.06)</f>
        <v>96.06</v>
      </c>
      <c r="E5188" s="2">
        <v>70.2</v>
      </c>
      <c r="F5188" s="2">
        <v>2</v>
      </c>
      <c r="G5188" s="2" t="s">
        <v>13</v>
      </c>
    </row>
    <row r="5189" spans="1:8" x14ac:dyDescent="0.2">
      <c r="A5189" s="2" t="s">
        <v>3989</v>
      </c>
      <c r="B5189" s="2" t="s">
        <v>1260</v>
      </c>
      <c r="C5189" s="2">
        <v>608.73720000000003</v>
      </c>
      <c r="D5189" s="2">
        <f>HYPERLINK("http://mcb-m6.bioreg.kyushu-u.ac.jp/M3/20110427/F51113/1434/1", 65.97)</f>
        <v>65.97</v>
      </c>
      <c r="E5189" s="2">
        <v>33.880000000000003</v>
      </c>
      <c r="F5189" s="2">
        <v>2</v>
      </c>
      <c r="G5189" s="2" t="s">
        <v>13</v>
      </c>
    </row>
    <row r="5190" spans="1:8" x14ac:dyDescent="0.2">
      <c r="A5190" s="2" t="s">
        <v>3762</v>
      </c>
      <c r="B5190" s="2" t="s">
        <v>778</v>
      </c>
      <c r="C5190" s="2">
        <v>992.44299999999998</v>
      </c>
      <c r="D5190" s="2">
        <f>HYPERLINK("http://mcb-m6.bioreg.kyushu-u.ac.jp/M3/20110404/F50752/1345/1", 45.59)</f>
        <v>45.59</v>
      </c>
      <c r="E5190" s="2">
        <v>17.62</v>
      </c>
      <c r="F5190" s="2">
        <v>1</v>
      </c>
      <c r="G5190" s="2" t="s">
        <v>9</v>
      </c>
    </row>
    <row r="5191" spans="1:8" x14ac:dyDescent="0.2">
      <c r="A5191" s="2" t="s">
        <v>3762</v>
      </c>
      <c r="B5191" s="2" t="s">
        <v>1323</v>
      </c>
      <c r="C5191" s="2">
        <v>665.34169999999995</v>
      </c>
      <c r="D5191" s="2">
        <f>HYPERLINK("http://mcb-m6.bioreg.kyushu-u.ac.jp/M3/20110404/F50752/1845/1", 65.74)</f>
        <v>65.739999999999995</v>
      </c>
      <c r="E5191" s="2">
        <v>43.26</v>
      </c>
      <c r="F5191" s="2">
        <v>2</v>
      </c>
      <c r="G5191" s="2" t="s">
        <v>9</v>
      </c>
    </row>
    <row r="5192" spans="1:8" x14ac:dyDescent="0.2">
      <c r="A5192" s="2" t="s">
        <v>7716</v>
      </c>
      <c r="B5192" s="2" t="s">
        <v>6417</v>
      </c>
      <c r="C5192" s="2">
        <v>659.2867</v>
      </c>
      <c r="D5192" s="2">
        <f>HYPERLINK("http://mcb-m6.bioreg.kyushu-u.ac.jp/M3/20110404/F50755/1575/1", 61.62)</f>
        <v>61.62</v>
      </c>
      <c r="E5192" s="2">
        <v>39.69</v>
      </c>
      <c r="F5192" s="2">
        <v>2</v>
      </c>
      <c r="G5192" s="2" t="s">
        <v>9</v>
      </c>
    </row>
    <row r="5193" spans="1:8" x14ac:dyDescent="0.2">
      <c r="A5193" s="2" t="s">
        <v>7716</v>
      </c>
      <c r="B5193" s="2" t="s">
        <v>6584</v>
      </c>
      <c r="C5193" s="2">
        <v>850.22469999999998</v>
      </c>
      <c r="D5193" s="2">
        <f>HYPERLINK("http://mcb-m6.bioreg.kyushu-u.ac.jp/M3/20110404/F50755/2436/1", 85.94)</f>
        <v>85.94</v>
      </c>
      <c r="E5193" s="2">
        <v>69.41</v>
      </c>
      <c r="F5193" s="2">
        <v>2</v>
      </c>
      <c r="G5193" s="2" t="s">
        <v>9</v>
      </c>
      <c r="H5193" s="2" t="s">
        <v>4908</v>
      </c>
    </row>
    <row r="5194" spans="1:8" x14ac:dyDescent="0.2">
      <c r="A5194" s="2" t="s">
        <v>5774</v>
      </c>
      <c r="B5194" s="2" t="s">
        <v>6380</v>
      </c>
      <c r="C5194" s="2">
        <v>664.68960000000004</v>
      </c>
      <c r="D5194" s="2">
        <f>HYPERLINK("http://mcb-m6.bioreg.kyushu-u.ac.jp/M3/20110404/F50765/1470/1", 57.59)</f>
        <v>57.59</v>
      </c>
      <c r="E5194" s="2">
        <v>34</v>
      </c>
      <c r="F5194" s="2">
        <v>2</v>
      </c>
      <c r="G5194" s="2" t="s">
        <v>9</v>
      </c>
    </row>
    <row r="5195" spans="1:8" x14ac:dyDescent="0.2">
      <c r="A5195" s="2" t="s">
        <v>7939</v>
      </c>
      <c r="B5195" s="2" t="s">
        <v>7123</v>
      </c>
      <c r="C5195" s="2">
        <v>718.84010000000001</v>
      </c>
      <c r="D5195" s="2">
        <f>HYPERLINK("http://mcb-m6.bioreg.kyushu-u.ac.jp/M3/20110421/F51019/1968/1", 53.19)</f>
        <v>53.19</v>
      </c>
      <c r="E5195" s="2">
        <v>35.47</v>
      </c>
      <c r="F5195" s="2">
        <v>2</v>
      </c>
      <c r="G5195" s="2" t="s">
        <v>11</v>
      </c>
    </row>
    <row r="5196" spans="1:8" x14ac:dyDescent="0.2">
      <c r="A5196" s="2" t="s">
        <v>5736</v>
      </c>
      <c r="B5196" s="2" t="s">
        <v>5369</v>
      </c>
      <c r="C5196" s="2">
        <v>894.20669999999996</v>
      </c>
      <c r="D5196" s="2">
        <f>HYPERLINK("http://mcb-m6.bioreg.kyushu-u.ac.jp/M3/20110421/F51042/2814/1", 41.47)</f>
        <v>41.47</v>
      </c>
      <c r="E5196" s="2">
        <v>30.28</v>
      </c>
      <c r="F5196" s="2">
        <v>2</v>
      </c>
      <c r="G5196" s="2" t="s">
        <v>11</v>
      </c>
    </row>
    <row r="5197" spans="1:8" x14ac:dyDescent="0.2">
      <c r="A5197" s="2" t="s">
        <v>3245</v>
      </c>
      <c r="B5197" s="2" t="s">
        <v>25</v>
      </c>
      <c r="C5197" s="2">
        <v>1106.5150000000001</v>
      </c>
      <c r="D5197" s="2">
        <f>HYPERLINK("http://mcb-m6.bioreg.kyushu-u.ac.jp/M3/20110404/F50763/2994/1", 35.47)</f>
        <v>35.47</v>
      </c>
      <c r="E5197" s="2">
        <v>13.64</v>
      </c>
      <c r="F5197" s="2">
        <v>2</v>
      </c>
      <c r="G5197" s="2" t="s">
        <v>9</v>
      </c>
    </row>
    <row r="5198" spans="1:8" x14ac:dyDescent="0.2">
      <c r="A5198" s="2" t="s">
        <v>3245</v>
      </c>
      <c r="B5198" s="2" t="s">
        <v>25</v>
      </c>
      <c r="C5198" s="2">
        <v>1105.7239999999999</v>
      </c>
      <c r="D5198" s="2">
        <f>HYPERLINK("http://mcb-m6.bioreg.kyushu-u.ac.jp/M3/20110404/F50765/3111/1", 35.69)</f>
        <v>35.69</v>
      </c>
      <c r="E5198" s="2">
        <v>15.07</v>
      </c>
      <c r="F5198" s="2">
        <v>2</v>
      </c>
      <c r="G5198" s="2" t="s">
        <v>9</v>
      </c>
    </row>
    <row r="5199" spans="1:8" x14ac:dyDescent="0.2">
      <c r="A5199" s="2" t="s">
        <v>3245</v>
      </c>
      <c r="B5199" s="2" t="s">
        <v>25</v>
      </c>
      <c r="C5199" s="2">
        <v>1106.2280000000001</v>
      </c>
      <c r="D5199" s="2">
        <f>HYPERLINK("http://mcb-m6.bioreg.kyushu-u.ac.jp/M3/20110404/F50762/2793/1", 35.7)</f>
        <v>35.700000000000003</v>
      </c>
      <c r="E5199" s="2">
        <v>16.53</v>
      </c>
      <c r="F5199" s="2">
        <v>2</v>
      </c>
      <c r="G5199" s="2" t="s">
        <v>9</v>
      </c>
    </row>
    <row r="5200" spans="1:8" x14ac:dyDescent="0.2">
      <c r="A5200" s="2" t="s">
        <v>3245</v>
      </c>
      <c r="B5200" s="2" t="s">
        <v>25</v>
      </c>
      <c r="C5200" s="2">
        <v>1106.4749999999999</v>
      </c>
      <c r="D5200" s="2">
        <f>HYPERLINK("http://mcb-m6.bioreg.kyushu-u.ac.jp/M3/20110404/F50752/2964/1", 36.12)</f>
        <v>36.119999999999997</v>
      </c>
      <c r="E5200" s="2">
        <v>16.14</v>
      </c>
      <c r="F5200" s="2">
        <v>2</v>
      </c>
      <c r="G5200" s="2" t="s">
        <v>9</v>
      </c>
    </row>
    <row r="5201" spans="1:7" x14ac:dyDescent="0.2">
      <c r="A5201" s="2" t="s">
        <v>3245</v>
      </c>
      <c r="B5201" s="2" t="s">
        <v>25</v>
      </c>
      <c r="C5201" s="2">
        <v>737.5915</v>
      </c>
      <c r="D5201" s="2">
        <f>HYPERLINK("http://mcb-m6.bioreg.kyushu-u.ac.jp/M3/20110404/F50753/3154/1", 36.24)</f>
        <v>36.24</v>
      </c>
      <c r="E5201" s="2">
        <v>11.01</v>
      </c>
      <c r="F5201" s="2">
        <v>3</v>
      </c>
      <c r="G5201" s="2" t="s">
        <v>9</v>
      </c>
    </row>
    <row r="5202" spans="1:7" x14ac:dyDescent="0.2">
      <c r="A5202" s="2" t="s">
        <v>3245</v>
      </c>
      <c r="B5202" s="2" t="s">
        <v>25</v>
      </c>
      <c r="C5202" s="2">
        <v>1106.5440000000001</v>
      </c>
      <c r="D5202" s="2">
        <f>HYPERLINK("http://mcb-m6.bioreg.kyushu-u.ac.jp/M3/20110404/F50756/3384/1", 36.69)</f>
        <v>36.69</v>
      </c>
      <c r="E5202" s="2">
        <v>18.45</v>
      </c>
      <c r="F5202" s="2">
        <v>2</v>
      </c>
      <c r="G5202" s="2" t="s">
        <v>9</v>
      </c>
    </row>
    <row r="5203" spans="1:7" x14ac:dyDescent="0.2">
      <c r="A5203" s="2" t="s">
        <v>3245</v>
      </c>
      <c r="B5203" s="2" t="s">
        <v>25</v>
      </c>
      <c r="C5203" s="2">
        <v>1105.905</v>
      </c>
      <c r="D5203" s="2">
        <f>HYPERLINK("http://mcb-m6.bioreg.kyushu-u.ac.jp/M3/20110404/F50752/2956/1", 36.9)</f>
        <v>36.9</v>
      </c>
      <c r="E5203" s="2">
        <v>17.059999999999999</v>
      </c>
      <c r="F5203" s="2">
        <v>2</v>
      </c>
      <c r="G5203" s="2" t="s">
        <v>9</v>
      </c>
    </row>
    <row r="5204" spans="1:7" x14ac:dyDescent="0.2">
      <c r="A5204" s="2" t="s">
        <v>3245</v>
      </c>
      <c r="B5204" s="2" t="s">
        <v>25</v>
      </c>
      <c r="C5204" s="2">
        <v>1106.4549999999999</v>
      </c>
      <c r="D5204" s="2">
        <f>HYPERLINK("http://mcb-m6.bioreg.kyushu-u.ac.jp/M3/20110404/F50756/3382/1", 37.45)</f>
        <v>37.450000000000003</v>
      </c>
      <c r="E5204" s="2">
        <v>11.91</v>
      </c>
      <c r="F5204" s="2">
        <v>2</v>
      </c>
      <c r="G5204" s="2" t="s">
        <v>9</v>
      </c>
    </row>
    <row r="5205" spans="1:7" x14ac:dyDescent="0.2">
      <c r="A5205" s="2" t="s">
        <v>3245</v>
      </c>
      <c r="B5205" s="2" t="s">
        <v>25</v>
      </c>
      <c r="C5205" s="2">
        <v>738.04549999999995</v>
      </c>
      <c r="D5205" s="2">
        <f>HYPERLINK("http://mcb-m6.bioreg.kyushu-u.ac.jp/M3/20110404/F50756/3385/1", 37.51)</f>
        <v>37.51</v>
      </c>
      <c r="E5205" s="2">
        <v>15.95</v>
      </c>
      <c r="F5205" s="2">
        <v>3</v>
      </c>
      <c r="G5205" s="2" t="s">
        <v>9</v>
      </c>
    </row>
    <row r="5206" spans="1:7" x14ac:dyDescent="0.2">
      <c r="A5206" s="2" t="s">
        <v>3245</v>
      </c>
      <c r="B5206" s="2" t="s">
        <v>25</v>
      </c>
      <c r="C5206" s="2">
        <v>1106.319</v>
      </c>
      <c r="D5206" s="2">
        <f>HYPERLINK("http://mcb-m6.bioreg.kyushu-u.ac.jp/M3/20110404/F50778/3293/1", 38.38)</f>
        <v>38.380000000000003</v>
      </c>
      <c r="E5206" s="2">
        <v>17.72</v>
      </c>
      <c r="F5206" s="2">
        <v>2</v>
      </c>
      <c r="G5206" s="2" t="s">
        <v>9</v>
      </c>
    </row>
    <row r="5207" spans="1:7" x14ac:dyDescent="0.2">
      <c r="A5207" s="2" t="s">
        <v>3245</v>
      </c>
      <c r="B5207" s="2" t="s">
        <v>25</v>
      </c>
      <c r="C5207" s="2">
        <v>1105.9839999999999</v>
      </c>
      <c r="D5207" s="2">
        <f>HYPERLINK("http://mcb-m6.bioreg.kyushu-u.ac.jp/M3/20110404/F50763/2988/1", 38.93)</f>
        <v>38.93</v>
      </c>
      <c r="E5207" s="2">
        <v>17.77</v>
      </c>
      <c r="F5207" s="2">
        <v>2</v>
      </c>
      <c r="G5207" s="2" t="s">
        <v>9</v>
      </c>
    </row>
    <row r="5208" spans="1:7" x14ac:dyDescent="0.2">
      <c r="A5208" s="2" t="s">
        <v>3245</v>
      </c>
      <c r="B5208" s="2" t="s">
        <v>25</v>
      </c>
      <c r="C5208" s="2">
        <v>1106.088</v>
      </c>
      <c r="D5208" s="2">
        <f>HYPERLINK("http://mcb-m6.bioreg.kyushu-u.ac.jp/M3/20110404/F50751/2729/1", 39.53)</f>
        <v>39.53</v>
      </c>
      <c r="E5208" s="2">
        <v>22.96</v>
      </c>
      <c r="F5208" s="2">
        <v>2</v>
      </c>
      <c r="G5208" s="2" t="s">
        <v>9</v>
      </c>
    </row>
    <row r="5209" spans="1:7" x14ac:dyDescent="0.2">
      <c r="A5209" s="2" t="s">
        <v>3245</v>
      </c>
      <c r="B5209" s="2" t="s">
        <v>25</v>
      </c>
      <c r="C5209" s="2">
        <v>1106.433</v>
      </c>
      <c r="D5209" s="2">
        <f>HYPERLINK("http://mcb-m6.bioreg.kyushu-u.ac.jp/M3/20110404/F50755/3251/1", 39.91)</f>
        <v>39.909999999999997</v>
      </c>
      <c r="E5209" s="2">
        <v>15.81</v>
      </c>
      <c r="F5209" s="2">
        <v>2</v>
      </c>
      <c r="G5209" s="2" t="s">
        <v>9</v>
      </c>
    </row>
    <row r="5210" spans="1:7" x14ac:dyDescent="0.2">
      <c r="A5210" s="2" t="s">
        <v>3245</v>
      </c>
      <c r="B5210" s="2" t="s">
        <v>25</v>
      </c>
      <c r="C5210" s="2">
        <v>1105.847</v>
      </c>
      <c r="D5210" s="2">
        <f>HYPERLINK("http://mcb-m6.bioreg.kyushu-u.ac.jp/M3/20110404/F50754/3021/1", 40.06)</f>
        <v>40.06</v>
      </c>
      <c r="E5210" s="2">
        <v>24.13</v>
      </c>
      <c r="F5210" s="2">
        <v>2</v>
      </c>
      <c r="G5210" s="2" t="s">
        <v>9</v>
      </c>
    </row>
    <row r="5211" spans="1:7" x14ac:dyDescent="0.2">
      <c r="A5211" s="2" t="s">
        <v>3245</v>
      </c>
      <c r="B5211" s="2" t="s">
        <v>25</v>
      </c>
      <c r="C5211" s="2">
        <v>1105.883</v>
      </c>
      <c r="D5211" s="2">
        <f>HYPERLINK("http://mcb-m6.bioreg.kyushu-u.ac.jp/M3/20110404/F50754/3023/1", 40.25)</f>
        <v>40.25</v>
      </c>
      <c r="E5211" s="2">
        <v>17.86</v>
      </c>
      <c r="F5211" s="2">
        <v>2</v>
      </c>
      <c r="G5211" s="2" t="s">
        <v>9</v>
      </c>
    </row>
    <row r="5212" spans="1:7" x14ac:dyDescent="0.2">
      <c r="A5212" s="2" t="s">
        <v>3245</v>
      </c>
      <c r="B5212" s="2" t="s">
        <v>25</v>
      </c>
      <c r="C5212" s="2">
        <v>1105.8119999999999</v>
      </c>
      <c r="D5212" s="2">
        <f>HYPERLINK("http://mcb-m6.bioreg.kyushu-u.ac.jp/M3/20110404/F50753/3153/1", 40.29)</f>
        <v>40.29</v>
      </c>
      <c r="E5212" s="2">
        <v>28.33</v>
      </c>
      <c r="F5212" s="2">
        <v>2</v>
      </c>
      <c r="G5212" s="2" t="s">
        <v>9</v>
      </c>
    </row>
    <row r="5213" spans="1:7" x14ac:dyDescent="0.2">
      <c r="A5213" s="2" t="s">
        <v>3245</v>
      </c>
      <c r="B5213" s="2" t="s">
        <v>25</v>
      </c>
      <c r="C5213" s="2">
        <v>1105.9259999999999</v>
      </c>
      <c r="D5213" s="2">
        <f>HYPERLINK("http://mcb-m6.bioreg.kyushu-u.ac.jp/M3/20110404/F50754/3025/1", 40.88)</f>
        <v>40.880000000000003</v>
      </c>
      <c r="E5213" s="2">
        <v>16.45</v>
      </c>
      <c r="F5213" s="2">
        <v>2</v>
      </c>
      <c r="G5213" s="2" t="s">
        <v>9</v>
      </c>
    </row>
    <row r="5214" spans="1:7" x14ac:dyDescent="0.2">
      <c r="A5214" s="2" t="s">
        <v>3245</v>
      </c>
      <c r="B5214" s="2" t="s">
        <v>25</v>
      </c>
      <c r="C5214" s="2">
        <v>1106.29</v>
      </c>
      <c r="D5214" s="2">
        <f>HYPERLINK("http://mcb-m6.bioreg.kyushu-u.ac.jp/M3/20110404/F50753/3162/1", 41)</f>
        <v>41</v>
      </c>
      <c r="E5214" s="2">
        <v>13.37</v>
      </c>
      <c r="F5214" s="2">
        <v>2</v>
      </c>
      <c r="G5214" s="2" t="s">
        <v>9</v>
      </c>
    </row>
    <row r="5215" spans="1:7" x14ac:dyDescent="0.2">
      <c r="A5215" s="2" t="s">
        <v>3245</v>
      </c>
      <c r="B5215" s="2" t="s">
        <v>25</v>
      </c>
      <c r="C5215" s="2">
        <v>1106.4010000000001</v>
      </c>
      <c r="D5215" s="2">
        <f>HYPERLINK("http://mcb-m6.bioreg.kyushu-u.ac.jp/M3/20110404/F50755/3250/1", 41.04)</f>
        <v>41.04</v>
      </c>
      <c r="E5215" s="2">
        <v>13.22</v>
      </c>
      <c r="F5215" s="2">
        <v>2</v>
      </c>
      <c r="G5215" s="2" t="s">
        <v>9</v>
      </c>
    </row>
    <row r="5216" spans="1:7" x14ac:dyDescent="0.2">
      <c r="A5216" s="2" t="s">
        <v>3245</v>
      </c>
      <c r="B5216" s="2" t="s">
        <v>25</v>
      </c>
      <c r="C5216" s="2">
        <v>1106.4469999999999</v>
      </c>
      <c r="D5216" s="2">
        <f>HYPERLINK("http://mcb-m6.bioreg.kyushu-u.ac.jp/M3/20110404/F50756/3381/1", 43.57)</f>
        <v>43.57</v>
      </c>
      <c r="E5216" s="2">
        <v>21.18</v>
      </c>
      <c r="F5216" s="2">
        <v>2</v>
      </c>
      <c r="G5216" s="2" t="s">
        <v>9</v>
      </c>
    </row>
    <row r="5217" spans="1:7" x14ac:dyDescent="0.2">
      <c r="A5217" s="2" t="s">
        <v>3245</v>
      </c>
      <c r="B5217" s="2" t="s">
        <v>25</v>
      </c>
      <c r="C5217" s="2">
        <v>1105.9670000000001</v>
      </c>
      <c r="D5217" s="2">
        <f>HYPERLINK("http://mcb-m6.bioreg.kyushu-u.ac.jp/M3/20110404/F50752/2958/1", 43.99)</f>
        <v>43.99</v>
      </c>
      <c r="E5217" s="2">
        <v>26.55</v>
      </c>
      <c r="F5217" s="2">
        <v>2</v>
      </c>
      <c r="G5217" s="2" t="s">
        <v>9</v>
      </c>
    </row>
    <row r="5218" spans="1:7" x14ac:dyDescent="0.2">
      <c r="A5218" s="2" t="s">
        <v>3245</v>
      </c>
      <c r="B5218" s="2" t="s">
        <v>25</v>
      </c>
      <c r="C5218" s="2">
        <v>1105.816</v>
      </c>
      <c r="D5218" s="2">
        <f>HYPERLINK("http://mcb-m6.bioreg.kyushu-u.ac.jp/M3/20110404/F50756/3371/1", 44.43)</f>
        <v>44.43</v>
      </c>
      <c r="E5218" s="2">
        <v>25.17</v>
      </c>
      <c r="F5218" s="2">
        <v>2</v>
      </c>
      <c r="G5218" s="2" t="s">
        <v>9</v>
      </c>
    </row>
    <row r="5219" spans="1:7" x14ac:dyDescent="0.2">
      <c r="A5219" s="2" t="s">
        <v>3245</v>
      </c>
      <c r="B5219" s="2" t="s">
        <v>25</v>
      </c>
      <c r="C5219" s="2">
        <v>1106.5409999999999</v>
      </c>
      <c r="D5219" s="2">
        <f>HYPERLINK("http://mcb-m6.bioreg.kyushu-u.ac.jp/M3/20110404/F50751/2730/1", 44.53)</f>
        <v>44.53</v>
      </c>
      <c r="E5219" s="2">
        <v>27.76</v>
      </c>
      <c r="F5219" s="2">
        <v>2</v>
      </c>
      <c r="G5219" s="2" t="s">
        <v>9</v>
      </c>
    </row>
    <row r="5220" spans="1:7" x14ac:dyDescent="0.2">
      <c r="A5220" s="2" t="s">
        <v>3245</v>
      </c>
      <c r="B5220" s="2" t="s">
        <v>25</v>
      </c>
      <c r="C5220" s="2">
        <v>1106.2280000000001</v>
      </c>
      <c r="D5220" s="2">
        <f>HYPERLINK("http://mcb-m6.bioreg.kyushu-u.ac.jp/M3/20110404/F50756/3377/1", 45.1)</f>
        <v>45.1</v>
      </c>
      <c r="E5220" s="2">
        <v>28</v>
      </c>
      <c r="F5220" s="2">
        <v>2</v>
      </c>
      <c r="G5220" s="2" t="s">
        <v>9</v>
      </c>
    </row>
    <row r="5221" spans="1:7" x14ac:dyDescent="0.2">
      <c r="A5221" s="2" t="s">
        <v>3245</v>
      </c>
      <c r="B5221" s="2" t="s">
        <v>25</v>
      </c>
      <c r="C5221" s="2">
        <v>1106.646</v>
      </c>
      <c r="D5221" s="2">
        <f>HYPERLINK("http://mcb-m6.bioreg.kyushu-u.ac.jp/M3/20110404/F50755/3253/1", 45.34)</f>
        <v>45.34</v>
      </c>
      <c r="E5221" s="2">
        <v>16.54</v>
      </c>
      <c r="F5221" s="2">
        <v>2</v>
      </c>
      <c r="G5221" s="2" t="s">
        <v>9</v>
      </c>
    </row>
    <row r="5222" spans="1:7" x14ac:dyDescent="0.2">
      <c r="A5222" s="2" t="s">
        <v>3245</v>
      </c>
      <c r="B5222" s="2" t="s">
        <v>25</v>
      </c>
      <c r="C5222" s="2">
        <v>1106.3989999999999</v>
      </c>
      <c r="D5222" s="2">
        <f>HYPERLINK("http://mcb-m6.bioreg.kyushu-u.ac.jp/M3/20110404/F50754/3028/1", 46.27)</f>
        <v>46.27</v>
      </c>
      <c r="E5222" s="2">
        <v>22.81</v>
      </c>
      <c r="F5222" s="2">
        <v>2</v>
      </c>
      <c r="G5222" s="2" t="s">
        <v>9</v>
      </c>
    </row>
    <row r="5223" spans="1:7" x14ac:dyDescent="0.2">
      <c r="A5223" s="2" t="s">
        <v>3245</v>
      </c>
      <c r="B5223" s="2" t="s">
        <v>25</v>
      </c>
      <c r="C5223" s="2">
        <v>1105.962</v>
      </c>
      <c r="D5223" s="2">
        <f>HYPERLINK("http://mcb-m6.bioreg.kyushu-u.ac.jp/M3/20110404/F50755/3247/1", 46.56)</f>
        <v>46.56</v>
      </c>
      <c r="E5223" s="2">
        <v>29.08</v>
      </c>
      <c r="F5223" s="2">
        <v>2</v>
      </c>
      <c r="G5223" s="2" t="s">
        <v>9</v>
      </c>
    </row>
    <row r="5224" spans="1:7" x14ac:dyDescent="0.2">
      <c r="A5224" s="2" t="s">
        <v>3245</v>
      </c>
      <c r="B5224" s="2" t="s">
        <v>25</v>
      </c>
      <c r="C5224" s="2">
        <v>1106.5260000000001</v>
      </c>
      <c r="D5224" s="2">
        <f>HYPERLINK("http://mcb-m6.bioreg.kyushu-u.ac.jp/M3/20110404/F50756/3383/1", 46.83)</f>
        <v>46.83</v>
      </c>
      <c r="E5224" s="2">
        <v>21.61</v>
      </c>
      <c r="F5224" s="2">
        <v>2</v>
      </c>
      <c r="G5224" s="2" t="s">
        <v>9</v>
      </c>
    </row>
    <row r="5225" spans="1:7" x14ac:dyDescent="0.2">
      <c r="A5225" s="2" t="s">
        <v>3245</v>
      </c>
      <c r="B5225" s="2" t="s">
        <v>25</v>
      </c>
      <c r="C5225" s="2">
        <v>1105.873</v>
      </c>
      <c r="D5225" s="2">
        <f>HYPERLINK("http://mcb-m6.bioreg.kyushu-u.ac.jp/M3/20110404/F50756/3373/1", 48.79)</f>
        <v>48.79</v>
      </c>
      <c r="E5225" s="2">
        <v>38.340000000000003</v>
      </c>
      <c r="F5225" s="2">
        <v>2</v>
      </c>
      <c r="G5225" s="2" t="s">
        <v>9</v>
      </c>
    </row>
    <row r="5226" spans="1:7" x14ac:dyDescent="0.2">
      <c r="A5226" s="2" t="s">
        <v>3245</v>
      </c>
      <c r="B5226" s="2" t="s">
        <v>25</v>
      </c>
      <c r="C5226" s="2">
        <v>738.09389999999996</v>
      </c>
      <c r="D5226" s="2">
        <f>HYPERLINK("http://mcb-m6.bioreg.kyushu-u.ac.jp/M3/20110404/F50777/3065/1", 49.75)</f>
        <v>49.75</v>
      </c>
      <c r="E5226" s="2">
        <v>25.41</v>
      </c>
      <c r="F5226" s="2">
        <v>3</v>
      </c>
      <c r="G5226" s="2" t="s">
        <v>9</v>
      </c>
    </row>
    <row r="5227" spans="1:7" x14ac:dyDescent="0.2">
      <c r="A5227" s="2" t="s">
        <v>3245</v>
      </c>
      <c r="B5227" s="2" t="s">
        <v>25</v>
      </c>
      <c r="C5227" s="2">
        <v>1105.864</v>
      </c>
      <c r="D5227" s="2">
        <f>HYPERLINK("http://mcb-m6.bioreg.kyushu-u.ac.jp/M3/20110404/F50755/3242/1", 49.78)</f>
        <v>49.78</v>
      </c>
      <c r="E5227" s="2">
        <v>30.06</v>
      </c>
      <c r="F5227" s="2">
        <v>2</v>
      </c>
      <c r="G5227" s="2" t="s">
        <v>9</v>
      </c>
    </row>
    <row r="5228" spans="1:7" x14ac:dyDescent="0.2">
      <c r="A5228" s="2" t="s">
        <v>3245</v>
      </c>
      <c r="B5228" s="2" t="s">
        <v>25</v>
      </c>
      <c r="C5228" s="2">
        <v>1106.5</v>
      </c>
      <c r="D5228" s="2">
        <f>HYPERLINK("http://mcb-m6.bioreg.kyushu-u.ac.jp/M3/20110404/F50762/2796/1", 50.23)</f>
        <v>50.23</v>
      </c>
      <c r="E5228" s="2">
        <v>30.39</v>
      </c>
      <c r="F5228" s="2">
        <v>2</v>
      </c>
      <c r="G5228" s="2" t="s">
        <v>9</v>
      </c>
    </row>
    <row r="5229" spans="1:7" x14ac:dyDescent="0.2">
      <c r="A5229" s="2" t="s">
        <v>3245</v>
      </c>
      <c r="B5229" s="2" t="s">
        <v>25</v>
      </c>
      <c r="C5229" s="2">
        <v>1106.396</v>
      </c>
      <c r="D5229" s="2">
        <f>HYPERLINK("http://mcb-m6.bioreg.kyushu-u.ac.jp/M3/20110404/F50754/3027/1", 50.33)</f>
        <v>50.33</v>
      </c>
      <c r="E5229" s="2">
        <v>28.81</v>
      </c>
      <c r="F5229" s="2">
        <v>2</v>
      </c>
      <c r="G5229" s="2" t="s">
        <v>9</v>
      </c>
    </row>
    <row r="5230" spans="1:7" x14ac:dyDescent="0.2">
      <c r="A5230" s="2" t="s">
        <v>3245</v>
      </c>
      <c r="B5230" s="2" t="s">
        <v>25</v>
      </c>
      <c r="C5230" s="2">
        <v>1105.9870000000001</v>
      </c>
      <c r="D5230" s="2">
        <f>HYPERLINK("http://mcb-m6.bioreg.kyushu-u.ac.jp/M3/20110404/F50755/3248/1", 50.38)</f>
        <v>50.38</v>
      </c>
      <c r="E5230" s="2">
        <v>28.17</v>
      </c>
      <c r="F5230" s="2">
        <v>2</v>
      </c>
      <c r="G5230" s="2" t="s">
        <v>9</v>
      </c>
    </row>
    <row r="5231" spans="1:7" x14ac:dyDescent="0.2">
      <c r="A5231" s="2" t="s">
        <v>3245</v>
      </c>
      <c r="B5231" s="2" t="s">
        <v>25</v>
      </c>
      <c r="C5231" s="2">
        <v>1106.373</v>
      </c>
      <c r="D5231" s="2">
        <f>HYPERLINK("http://mcb-m6.bioreg.kyushu-u.ac.jp/M3/20110404/F50754/3026/1", 50.49)</f>
        <v>50.49</v>
      </c>
      <c r="E5231" s="2">
        <v>27.47</v>
      </c>
      <c r="F5231" s="2">
        <v>2</v>
      </c>
      <c r="G5231" s="2" t="s">
        <v>9</v>
      </c>
    </row>
    <row r="5232" spans="1:7" x14ac:dyDescent="0.2">
      <c r="A5232" s="2" t="s">
        <v>3245</v>
      </c>
      <c r="B5232" s="2" t="s">
        <v>25</v>
      </c>
      <c r="C5232" s="2">
        <v>737.79489999999998</v>
      </c>
      <c r="D5232" s="2">
        <f>HYPERLINK("http://mcb-m6.bioreg.kyushu-u.ac.jp/M3/20110404/F50753/3161/1", 51.08)</f>
        <v>51.08</v>
      </c>
      <c r="E5232" s="2">
        <v>25.1</v>
      </c>
      <c r="F5232" s="2">
        <v>3</v>
      </c>
      <c r="G5232" s="2" t="s">
        <v>9</v>
      </c>
    </row>
    <row r="5233" spans="1:7" x14ac:dyDescent="0.2">
      <c r="A5233" s="2" t="s">
        <v>3245</v>
      </c>
      <c r="B5233" s="2" t="s">
        <v>25</v>
      </c>
      <c r="C5233" s="2">
        <v>1106.5239999999999</v>
      </c>
      <c r="D5233" s="2">
        <f>HYPERLINK("http://mcb-m6.bioreg.kyushu-u.ac.jp/M3/20110404/F50762/2797/1", 51.22)</f>
        <v>51.22</v>
      </c>
      <c r="E5233" s="2">
        <v>34.590000000000003</v>
      </c>
      <c r="F5233" s="2">
        <v>2</v>
      </c>
      <c r="G5233" s="2" t="s">
        <v>9</v>
      </c>
    </row>
    <row r="5234" spans="1:7" x14ac:dyDescent="0.2">
      <c r="A5234" s="2" t="s">
        <v>3245</v>
      </c>
      <c r="B5234" s="2" t="s">
        <v>25</v>
      </c>
      <c r="C5234" s="2">
        <v>1106.03</v>
      </c>
      <c r="D5234" s="2">
        <f>HYPERLINK("http://mcb-m6.bioreg.kyushu-u.ac.jp/M3/20110404/F50765/3112/1", 51.35)</f>
        <v>51.35</v>
      </c>
      <c r="E5234" s="2">
        <v>29.48</v>
      </c>
      <c r="F5234" s="2">
        <v>2</v>
      </c>
      <c r="G5234" s="2" t="s">
        <v>9</v>
      </c>
    </row>
    <row r="5235" spans="1:7" x14ac:dyDescent="0.2">
      <c r="A5235" s="2" t="s">
        <v>3245</v>
      </c>
      <c r="B5235" s="2" t="s">
        <v>25</v>
      </c>
      <c r="C5235" s="2">
        <v>1106.2950000000001</v>
      </c>
      <c r="D5235" s="2">
        <f>HYPERLINK("http://mcb-m6.bioreg.kyushu-u.ac.jp/M3/20110404/F50753/3163/1", 52.07)</f>
        <v>52.07</v>
      </c>
      <c r="E5235" s="2">
        <v>27.22</v>
      </c>
      <c r="F5235" s="2">
        <v>2</v>
      </c>
      <c r="G5235" s="2" t="s">
        <v>9</v>
      </c>
    </row>
    <row r="5236" spans="1:7" x14ac:dyDescent="0.2">
      <c r="A5236" s="2" t="s">
        <v>3245</v>
      </c>
      <c r="B5236" s="2" t="s">
        <v>25</v>
      </c>
      <c r="C5236" s="2">
        <v>1106.4269999999999</v>
      </c>
      <c r="D5236" s="2">
        <f>HYPERLINK("http://mcb-m6.bioreg.kyushu-u.ac.jp/M3/20110404/F50766/3512/1", 52.73)</f>
        <v>52.73</v>
      </c>
      <c r="E5236" s="2">
        <v>25.23</v>
      </c>
      <c r="F5236" s="2">
        <v>2</v>
      </c>
      <c r="G5236" s="2" t="s">
        <v>9</v>
      </c>
    </row>
    <row r="5237" spans="1:7" x14ac:dyDescent="0.2">
      <c r="A5237" s="2" t="s">
        <v>3245</v>
      </c>
      <c r="B5237" s="2" t="s">
        <v>25</v>
      </c>
      <c r="C5237" s="2">
        <v>1106.1289999999999</v>
      </c>
      <c r="D5237" s="2">
        <f>HYPERLINK("http://mcb-m6.bioreg.kyushu-u.ac.jp/M3/20110404/F50753/3160/1", 53.84)</f>
        <v>53.84</v>
      </c>
      <c r="E5237" s="2">
        <v>32.36</v>
      </c>
      <c r="F5237" s="2">
        <v>2</v>
      </c>
      <c r="G5237" s="2" t="s">
        <v>9</v>
      </c>
    </row>
    <row r="5238" spans="1:7" x14ac:dyDescent="0.2">
      <c r="A5238" s="2" t="s">
        <v>3245</v>
      </c>
      <c r="B5238" s="2" t="s">
        <v>25</v>
      </c>
      <c r="C5238" s="2">
        <v>1106.356</v>
      </c>
      <c r="D5238" s="2">
        <f>HYPERLINK("http://mcb-m6.bioreg.kyushu-u.ac.jp/M3/20110404/F50755/3249/1", 56.14)</f>
        <v>56.14</v>
      </c>
      <c r="E5238" s="2">
        <v>31.41</v>
      </c>
      <c r="F5238" s="2">
        <v>2</v>
      </c>
      <c r="G5238" s="2" t="s">
        <v>9</v>
      </c>
    </row>
    <row r="5239" spans="1:7" x14ac:dyDescent="0.2">
      <c r="A5239" s="2" t="s">
        <v>3245</v>
      </c>
      <c r="B5239" s="2" t="s">
        <v>25</v>
      </c>
      <c r="C5239" s="2">
        <v>738.0729</v>
      </c>
      <c r="D5239" s="2">
        <f>HYPERLINK("http://mcb-m6.bioreg.kyushu-u.ac.jp/M3/20110404/F50756/3386/1", 57.49)</f>
        <v>57.49</v>
      </c>
      <c r="E5239" s="2">
        <v>33.950000000000003</v>
      </c>
      <c r="F5239" s="2">
        <v>3</v>
      </c>
      <c r="G5239" s="2" t="s">
        <v>9</v>
      </c>
    </row>
    <row r="5240" spans="1:7" x14ac:dyDescent="0.2">
      <c r="A5240" s="2" t="s">
        <v>3245</v>
      </c>
      <c r="B5240" s="2" t="s">
        <v>25</v>
      </c>
      <c r="C5240" s="2">
        <v>1106.335</v>
      </c>
      <c r="D5240" s="2">
        <f>HYPERLINK("http://mcb-m6.bioreg.kyushu-u.ac.jp/M3/20110404/F50766/3511/1", 58.17)</f>
        <v>58.17</v>
      </c>
      <c r="E5240" s="2">
        <v>31.34</v>
      </c>
      <c r="F5240" s="2">
        <v>2</v>
      </c>
      <c r="G5240" s="2" t="s">
        <v>9</v>
      </c>
    </row>
    <row r="5241" spans="1:7" x14ac:dyDescent="0.2">
      <c r="A5241" s="2" t="s">
        <v>3245</v>
      </c>
      <c r="B5241" s="2" t="s">
        <v>25</v>
      </c>
      <c r="C5241" s="2">
        <v>1106.383</v>
      </c>
      <c r="D5241" s="2">
        <f>HYPERLINK("http://mcb-m6.bioreg.kyushu-u.ac.jp/M3/20110404/F50767/3232/1", 61.52)</f>
        <v>61.52</v>
      </c>
      <c r="E5241" s="2">
        <v>46.2</v>
      </c>
      <c r="F5241" s="2">
        <v>2</v>
      </c>
      <c r="G5241" s="2" t="s">
        <v>9</v>
      </c>
    </row>
    <row r="5242" spans="1:7" x14ac:dyDescent="0.2">
      <c r="A5242" s="2" t="s">
        <v>3245</v>
      </c>
      <c r="B5242" s="2" t="s">
        <v>25</v>
      </c>
      <c r="C5242" s="2">
        <v>1106.48</v>
      </c>
      <c r="D5242" s="2">
        <f>HYPERLINK("http://mcb-m6.bioreg.kyushu-u.ac.jp/M3/20110404/F50764/2982/1", 62.23)</f>
        <v>62.23</v>
      </c>
      <c r="E5242" s="2">
        <v>43.05</v>
      </c>
      <c r="F5242" s="2">
        <v>2</v>
      </c>
      <c r="G5242" s="2" t="s">
        <v>9</v>
      </c>
    </row>
    <row r="5243" spans="1:7" x14ac:dyDescent="0.2">
      <c r="A5243" s="2" t="s">
        <v>3245</v>
      </c>
      <c r="B5243" s="2" t="s">
        <v>25</v>
      </c>
      <c r="C5243" s="2">
        <v>738.0258</v>
      </c>
      <c r="D5243" s="2">
        <f>HYPERLINK("http://mcb-m6.bioreg.kyushu-u.ac.jp/M3/20110404/F50779/3187/1", 62.79)</f>
        <v>62.79</v>
      </c>
      <c r="E5243" s="2">
        <v>38.15</v>
      </c>
      <c r="F5243" s="2">
        <v>3</v>
      </c>
      <c r="G5243" s="2" t="s">
        <v>9</v>
      </c>
    </row>
    <row r="5244" spans="1:7" x14ac:dyDescent="0.2">
      <c r="A5244" s="2" t="s">
        <v>3245</v>
      </c>
      <c r="B5244" s="2" t="s">
        <v>25</v>
      </c>
      <c r="C5244" s="2">
        <v>1105.8130000000001</v>
      </c>
      <c r="D5244" s="2">
        <f>HYPERLINK("http://mcb-m6.bioreg.kyushu-u.ac.jp/M3/20110404/F50766/3505/1", 63.19)</f>
        <v>63.19</v>
      </c>
      <c r="E5244" s="2">
        <v>40.049999999999997</v>
      </c>
      <c r="F5244" s="2">
        <v>2</v>
      </c>
      <c r="G5244" s="2" t="s">
        <v>9</v>
      </c>
    </row>
    <row r="5245" spans="1:7" x14ac:dyDescent="0.2">
      <c r="A5245" s="2" t="s">
        <v>3245</v>
      </c>
      <c r="B5245" s="2" t="s">
        <v>25</v>
      </c>
      <c r="C5245" s="2">
        <v>1106.636</v>
      </c>
      <c r="D5245" s="2">
        <f>HYPERLINK("http://mcb-m6.bioreg.kyushu-u.ac.jp/M3/20110404/F50751/2731/1", 65.76)</f>
        <v>65.760000000000005</v>
      </c>
      <c r="E5245" s="2">
        <v>15.36</v>
      </c>
      <c r="F5245" s="2">
        <v>2</v>
      </c>
      <c r="G5245" s="2" t="s">
        <v>9</v>
      </c>
    </row>
    <row r="5246" spans="1:7" x14ac:dyDescent="0.2">
      <c r="A5246" s="2" t="s">
        <v>3245</v>
      </c>
      <c r="B5246" s="2" t="s">
        <v>25</v>
      </c>
      <c r="C5246" s="2">
        <v>1106.08</v>
      </c>
      <c r="D5246" s="2">
        <f>HYPERLINK("http://mcb-m6.bioreg.kyushu-u.ac.jp/M3/20110404/F50753/3156/1", 66.56)</f>
        <v>66.56</v>
      </c>
      <c r="E5246" s="2">
        <v>41.19</v>
      </c>
      <c r="F5246" s="2">
        <v>2</v>
      </c>
      <c r="G5246" s="2" t="s">
        <v>9</v>
      </c>
    </row>
    <row r="5247" spans="1:7" x14ac:dyDescent="0.2">
      <c r="A5247" s="2" t="s">
        <v>3245</v>
      </c>
      <c r="B5247" s="2" t="s">
        <v>25</v>
      </c>
      <c r="C5247" s="2">
        <v>1105.921</v>
      </c>
      <c r="D5247" s="2">
        <f>HYPERLINK("http://mcb-m6.bioreg.kyushu-u.ac.jp/M3/20110404/F50755/3244/1", 67.1)</f>
        <v>67.099999999999994</v>
      </c>
      <c r="E5247" s="2">
        <v>50.83</v>
      </c>
      <c r="F5247" s="2">
        <v>2</v>
      </c>
      <c r="G5247" s="2" t="s">
        <v>9</v>
      </c>
    </row>
    <row r="5248" spans="1:7" x14ac:dyDescent="0.2">
      <c r="A5248" s="2" t="s">
        <v>3245</v>
      </c>
      <c r="B5248" s="2" t="s">
        <v>25</v>
      </c>
      <c r="C5248" s="2">
        <v>1106.364</v>
      </c>
      <c r="D5248" s="2">
        <f>HYPERLINK("http://mcb-m6.bioreg.kyushu-u.ac.jp/M3/20110404/F50753/3165/1", 67.12)</f>
        <v>67.12</v>
      </c>
      <c r="E5248" s="2">
        <v>27.37</v>
      </c>
      <c r="F5248" s="2">
        <v>2</v>
      </c>
      <c r="G5248" s="2" t="s">
        <v>9</v>
      </c>
    </row>
    <row r="5249" spans="1:7" x14ac:dyDescent="0.2">
      <c r="A5249" s="2" t="s">
        <v>3245</v>
      </c>
      <c r="B5249" s="2" t="s">
        <v>25</v>
      </c>
      <c r="C5249" s="2">
        <v>1106.393</v>
      </c>
      <c r="D5249" s="2">
        <f>HYPERLINK("http://mcb-m6.bioreg.kyushu-u.ac.jp/M3/20110404/F50752/2962/1", 69.64)</f>
        <v>69.64</v>
      </c>
      <c r="E5249" s="2">
        <v>48.51</v>
      </c>
      <c r="F5249" s="2">
        <v>2</v>
      </c>
      <c r="G5249" s="2" t="s">
        <v>9</v>
      </c>
    </row>
    <row r="5250" spans="1:7" x14ac:dyDescent="0.2">
      <c r="A5250" s="2" t="s">
        <v>3245</v>
      </c>
      <c r="B5250" s="2" t="s">
        <v>25</v>
      </c>
      <c r="C5250" s="2">
        <v>1106.1020000000001</v>
      </c>
      <c r="D5250" s="2">
        <f>HYPERLINK("http://mcb-m6.bioreg.kyushu-u.ac.jp/M3/20110404/F50753/3158/1", 70.58)</f>
        <v>70.58</v>
      </c>
      <c r="E5250" s="2">
        <v>30.29</v>
      </c>
      <c r="F5250" s="2">
        <v>2</v>
      </c>
      <c r="G5250" s="2" t="s">
        <v>9</v>
      </c>
    </row>
    <row r="5251" spans="1:7" x14ac:dyDescent="0.2">
      <c r="A5251" s="2" t="s">
        <v>3245</v>
      </c>
      <c r="B5251" s="2" t="s">
        <v>25</v>
      </c>
      <c r="C5251" s="2">
        <v>1105.8710000000001</v>
      </c>
      <c r="D5251" s="2">
        <f>HYPERLINK("http://mcb-m6.bioreg.kyushu-u.ac.jp/M3/20110404/F50752/2955/1", 71.6)</f>
        <v>71.599999999999994</v>
      </c>
      <c r="E5251" s="2">
        <v>45.44</v>
      </c>
      <c r="F5251" s="2">
        <v>2</v>
      </c>
      <c r="G5251" s="2" t="s">
        <v>9</v>
      </c>
    </row>
    <row r="5252" spans="1:7" x14ac:dyDescent="0.2">
      <c r="A5252" s="2" t="s">
        <v>3245</v>
      </c>
      <c r="B5252" s="2" t="s">
        <v>25</v>
      </c>
      <c r="C5252" s="2">
        <v>1105.95</v>
      </c>
      <c r="D5252" s="2">
        <f>HYPERLINK("http://mcb-m6.bioreg.kyushu-u.ac.jp/M3/20110404/F50752/2957/1", 73.6)</f>
        <v>73.599999999999994</v>
      </c>
      <c r="E5252" s="2">
        <v>53.72</v>
      </c>
      <c r="F5252" s="2">
        <v>2</v>
      </c>
      <c r="G5252" s="2" t="s">
        <v>9</v>
      </c>
    </row>
    <row r="5253" spans="1:7" x14ac:dyDescent="0.2">
      <c r="A5253" s="2" t="s">
        <v>3245</v>
      </c>
      <c r="B5253" s="2" t="s">
        <v>25</v>
      </c>
      <c r="C5253" s="2">
        <v>1105.8420000000001</v>
      </c>
      <c r="D5253" s="2">
        <f>HYPERLINK("http://mcb-m6.bioreg.kyushu-u.ac.jp/M3/20110404/F50754/3020/1", 73.78)</f>
        <v>73.78</v>
      </c>
      <c r="E5253" s="2">
        <v>55.77</v>
      </c>
      <c r="F5253" s="2">
        <v>2</v>
      </c>
      <c r="G5253" s="2" t="s">
        <v>9</v>
      </c>
    </row>
    <row r="5254" spans="1:7" x14ac:dyDescent="0.2">
      <c r="A5254" s="2" t="s">
        <v>3245</v>
      </c>
      <c r="B5254" s="2" t="s">
        <v>25</v>
      </c>
      <c r="C5254" s="2">
        <v>1106.097</v>
      </c>
      <c r="D5254" s="2">
        <f>HYPERLINK("http://mcb-m6.bioreg.kyushu-u.ac.jp/M3/20110404/F50777/3063/1", 75.14)</f>
        <v>75.14</v>
      </c>
      <c r="E5254" s="2">
        <v>41.04</v>
      </c>
      <c r="F5254" s="2">
        <v>2</v>
      </c>
      <c r="G5254" s="2" t="s">
        <v>9</v>
      </c>
    </row>
    <row r="5255" spans="1:7" x14ac:dyDescent="0.2">
      <c r="A5255" s="2" t="s">
        <v>3245</v>
      </c>
      <c r="B5255" s="2" t="s">
        <v>25</v>
      </c>
      <c r="C5255" s="2">
        <v>1105.8109999999999</v>
      </c>
      <c r="D5255" s="2">
        <f>HYPERLINK("http://mcb-m6.bioreg.kyushu-u.ac.jp/M3/20110404/F50753/3152/1", 81.47)</f>
        <v>81.47</v>
      </c>
      <c r="E5255" s="2">
        <v>61.94</v>
      </c>
      <c r="F5255" s="2">
        <v>2</v>
      </c>
      <c r="G5255" s="2" t="s">
        <v>9</v>
      </c>
    </row>
    <row r="5256" spans="1:7" x14ac:dyDescent="0.2">
      <c r="A5256" s="2" t="s">
        <v>3245</v>
      </c>
      <c r="B5256" s="2" t="s">
        <v>25</v>
      </c>
      <c r="C5256" s="2">
        <v>1106.3409999999999</v>
      </c>
      <c r="D5256" s="2">
        <f>HYPERLINK("http://mcb-m6.bioreg.kyushu-u.ac.jp/M3/20110404/F50753/3164/1", 81.49)</f>
        <v>81.489999999999995</v>
      </c>
      <c r="E5256" s="2">
        <v>60.72</v>
      </c>
      <c r="F5256" s="2">
        <v>2</v>
      </c>
      <c r="G5256" s="2" t="s">
        <v>9</v>
      </c>
    </row>
    <row r="5257" spans="1:7" x14ac:dyDescent="0.2">
      <c r="A5257" s="2" t="s">
        <v>3245</v>
      </c>
      <c r="B5257" s="2" t="s">
        <v>25</v>
      </c>
      <c r="C5257" s="2">
        <v>1105.825</v>
      </c>
      <c r="D5257" s="2">
        <f>HYPERLINK("http://mcb-m6.bioreg.kyushu-u.ac.jp/M3/20110404/F50767/3230/1", 85.45)</f>
        <v>85.45</v>
      </c>
      <c r="E5257" s="2">
        <v>59.87</v>
      </c>
      <c r="F5257" s="2">
        <v>2</v>
      </c>
      <c r="G5257" s="2" t="s">
        <v>9</v>
      </c>
    </row>
    <row r="5258" spans="1:7" x14ac:dyDescent="0.2">
      <c r="A5258" s="2" t="s">
        <v>3245</v>
      </c>
      <c r="B5258" s="2" t="s">
        <v>25</v>
      </c>
      <c r="C5258" s="2">
        <v>1106.3879999999999</v>
      </c>
      <c r="D5258" s="2">
        <f>HYPERLINK("http://mcb-m6.bioreg.kyushu-u.ac.jp/M3/20110404/F50752/2961/1", 87.71)</f>
        <v>87.71</v>
      </c>
      <c r="E5258" s="2">
        <v>40.61</v>
      </c>
      <c r="F5258" s="2">
        <v>2</v>
      </c>
      <c r="G5258" s="2" t="s">
        <v>9</v>
      </c>
    </row>
    <row r="5259" spans="1:7" x14ac:dyDescent="0.2">
      <c r="A5259" s="2" t="s">
        <v>3245</v>
      </c>
      <c r="B5259" s="2" t="s">
        <v>25</v>
      </c>
      <c r="C5259" s="2">
        <v>737.82619999999997</v>
      </c>
      <c r="D5259" s="2">
        <f>HYPERLINK("http://mcb-m6.bioreg.kyushu-u.ac.jp/M3/20110404/F50761/3092/1", 35.09)</f>
        <v>35.090000000000003</v>
      </c>
      <c r="E5259" s="2">
        <v>15.1</v>
      </c>
      <c r="F5259" s="2">
        <v>3</v>
      </c>
      <c r="G5259" s="2" t="s">
        <v>10</v>
      </c>
    </row>
    <row r="5260" spans="1:7" x14ac:dyDescent="0.2">
      <c r="A5260" s="2" t="s">
        <v>3245</v>
      </c>
      <c r="B5260" s="2" t="s">
        <v>25</v>
      </c>
      <c r="C5260" s="2">
        <v>1105.9829999999999</v>
      </c>
      <c r="D5260" s="2">
        <f>HYPERLINK("http://mcb-m6.bioreg.kyushu-u.ac.jp/M3/20110404/F50769/2762/1", 35.1)</f>
        <v>35.1</v>
      </c>
      <c r="E5260" s="2">
        <v>17.920000000000002</v>
      </c>
      <c r="F5260" s="2">
        <v>2</v>
      </c>
      <c r="G5260" s="2" t="s">
        <v>10</v>
      </c>
    </row>
    <row r="5261" spans="1:7" x14ac:dyDescent="0.2">
      <c r="A5261" s="2" t="s">
        <v>3245</v>
      </c>
      <c r="B5261" s="2" t="s">
        <v>25</v>
      </c>
      <c r="C5261" s="2">
        <v>1106.0150000000001</v>
      </c>
      <c r="D5261" s="2">
        <f>HYPERLINK("http://mcb-m6.bioreg.kyushu-u.ac.jp/M3/20110404/F50761/3089/1", 35.44)</f>
        <v>35.44</v>
      </c>
      <c r="E5261" s="2">
        <v>17.510000000000002</v>
      </c>
      <c r="F5261" s="2">
        <v>2</v>
      </c>
      <c r="G5261" s="2" t="s">
        <v>10</v>
      </c>
    </row>
    <row r="5262" spans="1:7" x14ac:dyDescent="0.2">
      <c r="A5262" s="2" t="s">
        <v>3245</v>
      </c>
      <c r="B5262" s="2" t="s">
        <v>25</v>
      </c>
      <c r="C5262" s="2">
        <v>1106.3409999999999</v>
      </c>
      <c r="D5262" s="2">
        <f>HYPERLINK("http://mcb-m6.bioreg.kyushu-u.ac.jp/M3/20110404/F50758/2945/1", 35.63)</f>
        <v>35.630000000000003</v>
      </c>
      <c r="E5262" s="2">
        <v>17.95</v>
      </c>
      <c r="F5262" s="2">
        <v>2</v>
      </c>
      <c r="G5262" s="2" t="s">
        <v>10</v>
      </c>
    </row>
    <row r="5263" spans="1:7" x14ac:dyDescent="0.2">
      <c r="A5263" s="2" t="s">
        <v>3245</v>
      </c>
      <c r="B5263" s="2" t="s">
        <v>25</v>
      </c>
      <c r="C5263" s="2">
        <v>1106.1780000000001</v>
      </c>
      <c r="D5263" s="2">
        <f>HYPERLINK("http://mcb-m6.bioreg.kyushu-u.ac.jp/M3/20110404/F50775/2992/1", 35.78)</f>
        <v>35.78</v>
      </c>
      <c r="E5263" s="2">
        <v>15.33</v>
      </c>
      <c r="F5263" s="2">
        <v>2</v>
      </c>
      <c r="G5263" s="2" t="s">
        <v>10</v>
      </c>
    </row>
    <row r="5264" spans="1:7" x14ac:dyDescent="0.2">
      <c r="A5264" s="2" t="s">
        <v>3245</v>
      </c>
      <c r="B5264" s="2" t="s">
        <v>25</v>
      </c>
      <c r="C5264" s="2">
        <v>1106.578</v>
      </c>
      <c r="D5264" s="2">
        <f>HYPERLINK("http://mcb-m6.bioreg.kyushu-u.ac.jp/M3/20110404/F50761/3097/1", 36.9)</f>
        <v>36.9</v>
      </c>
      <c r="E5264" s="2">
        <v>22.69</v>
      </c>
      <c r="F5264" s="2">
        <v>2</v>
      </c>
      <c r="G5264" s="2" t="s">
        <v>10</v>
      </c>
    </row>
    <row r="5265" spans="1:7" x14ac:dyDescent="0.2">
      <c r="A5265" s="2" t="s">
        <v>3245</v>
      </c>
      <c r="B5265" s="2" t="s">
        <v>25</v>
      </c>
      <c r="C5265" s="2">
        <v>1106.164</v>
      </c>
      <c r="D5265" s="2">
        <f>HYPERLINK("http://mcb-m6.bioreg.kyushu-u.ac.jp/M3/20110404/F50758/2939/1", 37.08)</f>
        <v>37.08</v>
      </c>
      <c r="E5265" s="2">
        <v>18.52</v>
      </c>
      <c r="F5265" s="2">
        <v>2</v>
      </c>
      <c r="G5265" s="2" t="s">
        <v>10</v>
      </c>
    </row>
    <row r="5266" spans="1:7" x14ac:dyDescent="0.2">
      <c r="A5266" s="2" t="s">
        <v>3245</v>
      </c>
      <c r="B5266" s="2" t="s">
        <v>25</v>
      </c>
      <c r="C5266" s="2">
        <v>737.76520000000005</v>
      </c>
      <c r="D5266" s="2">
        <f>HYPERLINK("http://mcb-m6.bioreg.kyushu-u.ac.jp/M3/20110404/F50757/2719/1", 37.13)</f>
        <v>37.130000000000003</v>
      </c>
      <c r="E5266" s="2">
        <v>13.59</v>
      </c>
      <c r="F5266" s="2">
        <v>3</v>
      </c>
      <c r="G5266" s="2" t="s">
        <v>10</v>
      </c>
    </row>
    <row r="5267" spans="1:7" x14ac:dyDescent="0.2">
      <c r="A5267" s="2" t="s">
        <v>3245</v>
      </c>
      <c r="B5267" s="2" t="s">
        <v>25</v>
      </c>
      <c r="C5267" s="2">
        <v>1106.134</v>
      </c>
      <c r="D5267" s="2">
        <f>HYPERLINK("http://mcb-m6.bioreg.kyushu-u.ac.jp/M3/20110404/F50758/2938/1", 38.1)</f>
        <v>38.1</v>
      </c>
      <c r="E5267" s="2">
        <v>10.94</v>
      </c>
      <c r="F5267" s="2">
        <v>2</v>
      </c>
      <c r="G5267" s="2" t="s">
        <v>10</v>
      </c>
    </row>
    <row r="5268" spans="1:7" x14ac:dyDescent="0.2">
      <c r="A5268" s="2" t="s">
        <v>3245</v>
      </c>
      <c r="B5268" s="2" t="s">
        <v>25</v>
      </c>
      <c r="C5268" s="2">
        <v>1105.9010000000001</v>
      </c>
      <c r="D5268" s="2">
        <f>HYPERLINK("http://mcb-m6.bioreg.kyushu-u.ac.jp/M3/20110404/F50760/2922/1", 38.21)</f>
        <v>38.21</v>
      </c>
      <c r="E5268" s="2">
        <v>16.63</v>
      </c>
      <c r="F5268" s="2">
        <v>2</v>
      </c>
      <c r="G5268" s="2" t="s">
        <v>10</v>
      </c>
    </row>
    <row r="5269" spans="1:7" x14ac:dyDescent="0.2">
      <c r="A5269" s="2" t="s">
        <v>3245</v>
      </c>
      <c r="B5269" s="2" t="s">
        <v>25</v>
      </c>
      <c r="C5269" s="2">
        <v>1105.9290000000001</v>
      </c>
      <c r="D5269" s="2">
        <f>HYPERLINK("http://mcb-m6.bioreg.kyushu-u.ac.jp/M3/20110404/F50757/2717/1", 38.32)</f>
        <v>38.32</v>
      </c>
      <c r="E5269" s="2">
        <v>21.11</v>
      </c>
      <c r="F5269" s="2">
        <v>2</v>
      </c>
      <c r="G5269" s="2" t="s">
        <v>10</v>
      </c>
    </row>
    <row r="5270" spans="1:7" x14ac:dyDescent="0.2">
      <c r="A5270" s="2" t="s">
        <v>3245</v>
      </c>
      <c r="B5270" s="2" t="s">
        <v>25</v>
      </c>
      <c r="C5270" s="2">
        <v>738.0865</v>
      </c>
      <c r="D5270" s="2">
        <f>HYPERLINK("http://mcb-m6.bioreg.kyushu-u.ac.jp/M3/20110404/F50781/2730/1", 41.03)</f>
        <v>41.03</v>
      </c>
      <c r="E5270" s="2">
        <v>26.03</v>
      </c>
      <c r="F5270" s="2">
        <v>3</v>
      </c>
      <c r="G5270" s="2" t="s">
        <v>10</v>
      </c>
    </row>
    <row r="5271" spans="1:7" x14ac:dyDescent="0.2">
      <c r="A5271" s="2" t="s">
        <v>3245</v>
      </c>
      <c r="B5271" s="2" t="s">
        <v>25</v>
      </c>
      <c r="C5271" s="2">
        <v>1106.425</v>
      </c>
      <c r="D5271" s="2">
        <f>HYPERLINK("http://mcb-m6.bioreg.kyushu-u.ac.jp/M3/20110404/F50761/3096/1", 41.51)</f>
        <v>41.51</v>
      </c>
      <c r="E5271" s="2">
        <v>17.29</v>
      </c>
      <c r="F5271" s="2">
        <v>2</v>
      </c>
      <c r="G5271" s="2" t="s">
        <v>10</v>
      </c>
    </row>
    <row r="5272" spans="1:7" x14ac:dyDescent="0.2">
      <c r="A5272" s="2" t="s">
        <v>3245</v>
      </c>
      <c r="B5272" s="2" t="s">
        <v>25</v>
      </c>
      <c r="C5272" s="2">
        <v>738.02719999999999</v>
      </c>
      <c r="D5272" s="2">
        <f>HYPERLINK("http://mcb-m6.bioreg.kyushu-u.ac.jp/M3/20110404/F50782/3317/1", 42.06)</f>
        <v>42.06</v>
      </c>
      <c r="E5272" s="2">
        <v>21.66</v>
      </c>
      <c r="F5272" s="2">
        <v>3</v>
      </c>
      <c r="G5272" s="2" t="s">
        <v>10</v>
      </c>
    </row>
    <row r="5273" spans="1:7" x14ac:dyDescent="0.2">
      <c r="A5273" s="2" t="s">
        <v>3245</v>
      </c>
      <c r="B5273" s="2" t="s">
        <v>25</v>
      </c>
      <c r="C5273" s="2">
        <v>737.75549999999998</v>
      </c>
      <c r="D5273" s="2">
        <f>HYPERLINK("http://mcb-m6.bioreg.kyushu-u.ac.jp/M3/20110404/F50781/2729/1", 42.31)</f>
        <v>42.31</v>
      </c>
      <c r="E5273" s="2">
        <v>21.72</v>
      </c>
      <c r="F5273" s="2">
        <v>3</v>
      </c>
      <c r="G5273" s="2" t="s">
        <v>10</v>
      </c>
    </row>
    <row r="5274" spans="1:7" x14ac:dyDescent="0.2">
      <c r="A5274" s="2" t="s">
        <v>3245</v>
      </c>
      <c r="B5274" s="2" t="s">
        <v>25</v>
      </c>
      <c r="C5274" s="2">
        <v>1105.99</v>
      </c>
      <c r="D5274" s="2">
        <f>HYPERLINK("http://mcb-m6.bioreg.kyushu-u.ac.jp/M3/20110404/F50757/2718/1", 42.79)</f>
        <v>42.79</v>
      </c>
      <c r="E5274" s="2">
        <v>23.09</v>
      </c>
      <c r="F5274" s="2">
        <v>2</v>
      </c>
      <c r="G5274" s="2" t="s">
        <v>10</v>
      </c>
    </row>
    <row r="5275" spans="1:7" x14ac:dyDescent="0.2">
      <c r="A5275" s="2" t="s">
        <v>3245</v>
      </c>
      <c r="B5275" s="2" t="s">
        <v>25</v>
      </c>
      <c r="C5275" s="2">
        <v>1106.328</v>
      </c>
      <c r="D5275" s="2">
        <f>HYPERLINK("http://mcb-m6.bioreg.kyushu-u.ac.jp/M3/20110404/F50769/2763/1", 42.81)</f>
        <v>42.81</v>
      </c>
      <c r="E5275" s="2">
        <v>27.03</v>
      </c>
      <c r="F5275" s="2">
        <v>2</v>
      </c>
      <c r="G5275" s="2" t="s">
        <v>10</v>
      </c>
    </row>
    <row r="5276" spans="1:7" x14ac:dyDescent="0.2">
      <c r="A5276" s="2" t="s">
        <v>3245</v>
      </c>
      <c r="B5276" s="2" t="s">
        <v>25</v>
      </c>
      <c r="C5276" s="2">
        <v>1105.9000000000001</v>
      </c>
      <c r="D5276" s="2">
        <f>HYPERLINK("http://mcb-m6.bioreg.kyushu-u.ac.jp/M3/20110404/F50761/3087/1", 43.36)</f>
        <v>43.36</v>
      </c>
      <c r="E5276" s="2">
        <v>27.06</v>
      </c>
      <c r="F5276" s="2">
        <v>2</v>
      </c>
      <c r="G5276" s="2" t="s">
        <v>10</v>
      </c>
    </row>
    <row r="5277" spans="1:7" x14ac:dyDescent="0.2">
      <c r="A5277" s="2" t="s">
        <v>3245</v>
      </c>
      <c r="B5277" s="2" t="s">
        <v>25</v>
      </c>
      <c r="C5277" s="2">
        <v>1106.556</v>
      </c>
      <c r="D5277" s="2">
        <f>HYPERLINK("http://mcb-m6.bioreg.kyushu-u.ac.jp/M3/20110404/F50772/3118/1", 43.61)</f>
        <v>43.61</v>
      </c>
      <c r="E5277" s="2">
        <v>15.1</v>
      </c>
      <c r="F5277" s="2">
        <v>2</v>
      </c>
      <c r="G5277" s="2" t="s">
        <v>10</v>
      </c>
    </row>
    <row r="5278" spans="1:7" x14ac:dyDescent="0.2">
      <c r="A5278" s="2" t="s">
        <v>3245</v>
      </c>
      <c r="B5278" s="2" t="s">
        <v>25</v>
      </c>
      <c r="C5278" s="2">
        <v>737.75519999999995</v>
      </c>
      <c r="D5278" s="2">
        <f>HYPERLINK("http://mcb-m6.bioreg.kyushu-u.ac.jp/M3/20110404/F50761/3091/1", 44.8)</f>
        <v>44.8</v>
      </c>
      <c r="E5278" s="2">
        <v>18.54</v>
      </c>
      <c r="F5278" s="2">
        <v>3</v>
      </c>
      <c r="G5278" s="2" t="s">
        <v>10</v>
      </c>
    </row>
    <row r="5279" spans="1:7" x14ac:dyDescent="0.2">
      <c r="A5279" s="2" t="s">
        <v>3245</v>
      </c>
      <c r="B5279" s="2" t="s">
        <v>25</v>
      </c>
      <c r="C5279" s="2">
        <v>1106.604</v>
      </c>
      <c r="D5279" s="2">
        <f>HYPERLINK("http://mcb-m6.bioreg.kyushu-u.ac.jp/M3/20110404/F50773/3026/1", 44.9)</f>
        <v>44.9</v>
      </c>
      <c r="E5279" s="2">
        <v>21.36</v>
      </c>
      <c r="F5279" s="2">
        <v>2</v>
      </c>
      <c r="G5279" s="2" t="s">
        <v>10</v>
      </c>
    </row>
    <row r="5280" spans="1:7" x14ac:dyDescent="0.2">
      <c r="A5280" s="2" t="s">
        <v>3245</v>
      </c>
      <c r="B5280" s="2" t="s">
        <v>25</v>
      </c>
      <c r="C5280" s="2">
        <v>1106.3630000000001</v>
      </c>
      <c r="D5280" s="2">
        <f>HYPERLINK("http://mcb-m6.bioreg.kyushu-u.ac.jp/M3/20110404/F50757/2720/1", 45.68)</f>
        <v>45.68</v>
      </c>
      <c r="E5280" s="2">
        <v>20.18</v>
      </c>
      <c r="F5280" s="2">
        <v>2</v>
      </c>
      <c r="G5280" s="2" t="s">
        <v>10</v>
      </c>
    </row>
    <row r="5281" spans="1:7" x14ac:dyDescent="0.2">
      <c r="A5281" s="2" t="s">
        <v>3245</v>
      </c>
      <c r="B5281" s="2" t="s">
        <v>25</v>
      </c>
      <c r="C5281" s="2">
        <v>737.91179999999997</v>
      </c>
      <c r="D5281" s="2">
        <f>HYPERLINK("http://mcb-m6.bioreg.kyushu-u.ac.jp/M3/20110404/F50761/3094/1", 48.45)</f>
        <v>48.45</v>
      </c>
      <c r="E5281" s="2">
        <v>22.11</v>
      </c>
      <c r="F5281" s="2">
        <v>3</v>
      </c>
      <c r="G5281" s="2" t="s">
        <v>10</v>
      </c>
    </row>
    <row r="5282" spans="1:7" x14ac:dyDescent="0.2">
      <c r="A5282" s="2" t="s">
        <v>3245</v>
      </c>
      <c r="B5282" s="2" t="s">
        <v>25</v>
      </c>
      <c r="C5282" s="2">
        <v>1106.4159999999999</v>
      </c>
      <c r="D5282" s="2">
        <f>HYPERLINK("http://mcb-m6.bioreg.kyushu-u.ac.jp/M3/20110404/F50760/2923/1", 48.61)</f>
        <v>48.61</v>
      </c>
      <c r="E5282" s="2">
        <v>29.18</v>
      </c>
      <c r="F5282" s="2">
        <v>2</v>
      </c>
      <c r="G5282" s="2" t="s">
        <v>10</v>
      </c>
    </row>
    <row r="5283" spans="1:7" x14ac:dyDescent="0.2">
      <c r="A5283" s="2" t="s">
        <v>3245</v>
      </c>
      <c r="B5283" s="2" t="s">
        <v>25</v>
      </c>
      <c r="C5283" s="2">
        <v>1105.877</v>
      </c>
      <c r="D5283" s="2">
        <f>HYPERLINK("http://mcb-m6.bioreg.kyushu-u.ac.jp/M3/20110404/F50761/3086/1", 48.77)</f>
        <v>48.77</v>
      </c>
      <c r="E5283" s="2">
        <v>35.69</v>
      </c>
      <c r="F5283" s="2">
        <v>2</v>
      </c>
      <c r="G5283" s="2" t="s">
        <v>10</v>
      </c>
    </row>
    <row r="5284" spans="1:7" x14ac:dyDescent="0.2">
      <c r="A5284" s="2" t="s">
        <v>3245</v>
      </c>
      <c r="B5284" s="2" t="s">
        <v>25</v>
      </c>
      <c r="C5284" s="2">
        <v>1106.43</v>
      </c>
      <c r="D5284" s="2">
        <f>HYPERLINK("http://mcb-m6.bioreg.kyushu-u.ac.jp/M3/20110404/F50768/2965/1", 50.01)</f>
        <v>50.01</v>
      </c>
      <c r="E5284" s="2">
        <v>29.18</v>
      </c>
      <c r="F5284" s="2">
        <v>2</v>
      </c>
      <c r="G5284" s="2" t="s">
        <v>10</v>
      </c>
    </row>
    <row r="5285" spans="1:7" x14ac:dyDescent="0.2">
      <c r="A5285" s="2" t="s">
        <v>3245</v>
      </c>
      <c r="B5285" s="2" t="s">
        <v>25</v>
      </c>
      <c r="C5285" s="2">
        <v>1105.742</v>
      </c>
      <c r="D5285" s="2">
        <f>HYPERLINK("http://mcb-m6.bioreg.kyushu-u.ac.jp/M3/20110404/F50758/2937/1", 50.18)</f>
        <v>50.18</v>
      </c>
      <c r="E5285" s="2">
        <v>22.77</v>
      </c>
      <c r="F5285" s="2">
        <v>2</v>
      </c>
      <c r="G5285" s="2" t="s">
        <v>10</v>
      </c>
    </row>
    <row r="5286" spans="1:7" x14ac:dyDescent="0.2">
      <c r="A5286" s="2" t="s">
        <v>3245</v>
      </c>
      <c r="B5286" s="2" t="s">
        <v>25</v>
      </c>
      <c r="C5286" s="2">
        <v>1106.539</v>
      </c>
      <c r="D5286" s="2">
        <f>HYPERLINK("http://mcb-m6.bioreg.kyushu-u.ac.jp/M3/20110404/F50773/3025/1", 50.68)</f>
        <v>50.68</v>
      </c>
      <c r="E5286" s="2">
        <v>36.85</v>
      </c>
      <c r="F5286" s="2">
        <v>2</v>
      </c>
      <c r="G5286" s="2" t="s">
        <v>10</v>
      </c>
    </row>
    <row r="5287" spans="1:7" x14ac:dyDescent="0.2">
      <c r="A5287" s="2" t="s">
        <v>3245</v>
      </c>
      <c r="B5287" s="2" t="s">
        <v>25</v>
      </c>
      <c r="C5287" s="2">
        <v>1105.6379999999999</v>
      </c>
      <c r="D5287" s="2">
        <f>HYPERLINK("http://mcb-m6.bioreg.kyushu-u.ac.jp/M3/20110404/F50758/2935/1", 52)</f>
        <v>52</v>
      </c>
      <c r="E5287" s="2">
        <v>33.44</v>
      </c>
      <c r="F5287" s="2">
        <v>2</v>
      </c>
      <c r="G5287" s="2" t="s">
        <v>10</v>
      </c>
    </row>
    <row r="5288" spans="1:7" x14ac:dyDescent="0.2">
      <c r="A5288" s="2" t="s">
        <v>3245</v>
      </c>
      <c r="B5288" s="2" t="s">
        <v>25</v>
      </c>
      <c r="C5288" s="2">
        <v>1105.8699999999999</v>
      </c>
      <c r="D5288" s="2">
        <f>HYPERLINK("http://mcb-m6.bioreg.kyushu-u.ac.jp/M3/20110404/F50760/2920/1", 52.63)</f>
        <v>52.63</v>
      </c>
      <c r="E5288" s="2">
        <v>31.18</v>
      </c>
      <c r="F5288" s="2">
        <v>2</v>
      </c>
      <c r="G5288" s="2" t="s">
        <v>10</v>
      </c>
    </row>
    <row r="5289" spans="1:7" x14ac:dyDescent="0.2">
      <c r="A5289" s="2" t="s">
        <v>3245</v>
      </c>
      <c r="B5289" s="2" t="s">
        <v>25</v>
      </c>
      <c r="C5289" s="2">
        <v>1106.434</v>
      </c>
      <c r="D5289" s="2">
        <f>HYPERLINK("http://mcb-m6.bioreg.kyushu-u.ac.jp/M3/20110404/F50757/2722/1", 53.12)</f>
        <v>53.12</v>
      </c>
      <c r="E5289" s="2">
        <v>31.84</v>
      </c>
      <c r="F5289" s="2">
        <v>2</v>
      </c>
      <c r="G5289" s="2" t="s">
        <v>10</v>
      </c>
    </row>
    <row r="5290" spans="1:7" x14ac:dyDescent="0.2">
      <c r="A5290" s="2" t="s">
        <v>3245</v>
      </c>
      <c r="B5290" s="2" t="s">
        <v>25</v>
      </c>
      <c r="C5290" s="2">
        <v>1105.4559999999999</v>
      </c>
      <c r="D5290" s="2">
        <f>HYPERLINK("http://mcb-m6.bioreg.kyushu-u.ac.jp/M3/20110404/F50768/2960/1", 53.17)</f>
        <v>53.17</v>
      </c>
      <c r="E5290" s="2">
        <v>34.700000000000003</v>
      </c>
      <c r="F5290" s="2">
        <v>2</v>
      </c>
      <c r="G5290" s="2" t="s">
        <v>10</v>
      </c>
    </row>
    <row r="5291" spans="1:7" x14ac:dyDescent="0.2">
      <c r="A5291" s="2" t="s">
        <v>3245</v>
      </c>
      <c r="B5291" s="2" t="s">
        <v>25</v>
      </c>
      <c r="C5291" s="2">
        <v>1106.405</v>
      </c>
      <c r="D5291" s="2">
        <f>HYPERLINK("http://mcb-m6.bioreg.kyushu-u.ac.jp/M3/20110404/F50761/3095/1", 53.31)</f>
        <v>53.31</v>
      </c>
      <c r="E5291" s="2">
        <v>29.06</v>
      </c>
      <c r="F5291" s="2">
        <v>2</v>
      </c>
      <c r="G5291" s="2" t="s">
        <v>10</v>
      </c>
    </row>
    <row r="5292" spans="1:7" x14ac:dyDescent="0.2">
      <c r="A5292" s="2" t="s">
        <v>3245</v>
      </c>
      <c r="B5292" s="2" t="s">
        <v>25</v>
      </c>
      <c r="C5292" s="2">
        <v>1106.232</v>
      </c>
      <c r="D5292" s="2">
        <f>HYPERLINK("http://mcb-m6.bioreg.kyushu-u.ac.jp/M3/20110404/F50758/2941/1", 53.4)</f>
        <v>53.4</v>
      </c>
      <c r="E5292" s="2">
        <v>25.27</v>
      </c>
      <c r="F5292" s="2">
        <v>2</v>
      </c>
      <c r="G5292" s="2" t="s">
        <v>10</v>
      </c>
    </row>
    <row r="5293" spans="1:7" x14ac:dyDescent="0.2">
      <c r="A5293" s="2" t="s">
        <v>3245</v>
      </c>
      <c r="B5293" s="2" t="s">
        <v>25</v>
      </c>
      <c r="C5293" s="2">
        <v>738.02350000000001</v>
      </c>
      <c r="D5293" s="2">
        <f>HYPERLINK("http://mcb-m6.bioreg.kyushu-u.ac.jp/M3/20110404/F50775/2994/1", 54.89)</f>
        <v>54.89</v>
      </c>
      <c r="E5293" s="2">
        <v>23.65</v>
      </c>
      <c r="F5293" s="2">
        <v>3</v>
      </c>
      <c r="G5293" s="2" t="s">
        <v>10</v>
      </c>
    </row>
    <row r="5294" spans="1:7" x14ac:dyDescent="0.2">
      <c r="A5294" s="2" t="s">
        <v>3245</v>
      </c>
      <c r="B5294" s="2" t="s">
        <v>25</v>
      </c>
      <c r="C5294" s="2">
        <v>737.61120000000005</v>
      </c>
      <c r="D5294" s="2">
        <f>HYPERLINK("http://mcb-m6.bioreg.kyushu-u.ac.jp/M3/20110404/F50769/2761/1", 55.44)</f>
        <v>55.44</v>
      </c>
      <c r="E5294" s="2">
        <v>33.450000000000003</v>
      </c>
      <c r="F5294" s="2">
        <v>3</v>
      </c>
      <c r="G5294" s="2" t="s">
        <v>10</v>
      </c>
    </row>
    <row r="5295" spans="1:7" x14ac:dyDescent="0.2">
      <c r="A5295" s="2" t="s">
        <v>3245</v>
      </c>
      <c r="B5295" s="2" t="s">
        <v>25</v>
      </c>
      <c r="C5295" s="2">
        <v>738.05650000000003</v>
      </c>
      <c r="D5295" s="2">
        <f>HYPERLINK("http://mcb-m6.bioreg.kyushu-u.ac.jp/M3/20110404/F50760/2925/1", 55.83)</f>
        <v>55.83</v>
      </c>
      <c r="E5295" s="2">
        <v>30.99</v>
      </c>
      <c r="F5295" s="2">
        <v>3</v>
      </c>
      <c r="G5295" s="2" t="s">
        <v>10</v>
      </c>
    </row>
    <row r="5296" spans="1:7" x14ac:dyDescent="0.2">
      <c r="A5296" s="2" t="s">
        <v>3245</v>
      </c>
      <c r="B5296" s="2" t="s">
        <v>25</v>
      </c>
      <c r="C5296" s="2">
        <v>737.58690000000001</v>
      </c>
      <c r="D5296" s="2">
        <f>HYPERLINK("http://mcb-m6.bioreg.kyushu-u.ac.jp/M3/20110404/F50760/2921/1", 55.88)</f>
        <v>55.88</v>
      </c>
      <c r="E5296" s="2">
        <v>34.840000000000003</v>
      </c>
      <c r="F5296" s="2">
        <v>3</v>
      </c>
      <c r="G5296" s="2" t="s">
        <v>10</v>
      </c>
    </row>
    <row r="5297" spans="1:7" x14ac:dyDescent="0.2">
      <c r="A5297" s="2" t="s">
        <v>3245</v>
      </c>
      <c r="B5297" s="2" t="s">
        <v>25</v>
      </c>
      <c r="C5297" s="2">
        <v>737.94680000000005</v>
      </c>
      <c r="D5297" s="2">
        <f>HYPERLINK("http://mcb-m6.bioreg.kyushu-u.ac.jp/M3/20110404/F50770/2852/1", 56.23)</f>
        <v>56.23</v>
      </c>
      <c r="E5297" s="2">
        <v>20.81</v>
      </c>
      <c r="F5297" s="2">
        <v>3</v>
      </c>
      <c r="G5297" s="2" t="s">
        <v>10</v>
      </c>
    </row>
    <row r="5298" spans="1:7" x14ac:dyDescent="0.2">
      <c r="A5298" s="2" t="s">
        <v>3245</v>
      </c>
      <c r="B5298" s="2" t="s">
        <v>25</v>
      </c>
      <c r="C5298" s="2">
        <v>1106.5509999999999</v>
      </c>
      <c r="D5298" s="2">
        <f>HYPERLINK("http://mcb-m6.bioreg.kyushu-u.ac.jp/M3/20110404/F50769/2765/1", 56.86)</f>
        <v>56.86</v>
      </c>
      <c r="E5298" s="2">
        <v>28.45</v>
      </c>
      <c r="F5298" s="2">
        <v>2</v>
      </c>
      <c r="G5298" s="2" t="s">
        <v>10</v>
      </c>
    </row>
    <row r="5299" spans="1:7" x14ac:dyDescent="0.2">
      <c r="A5299" s="2" t="s">
        <v>3245</v>
      </c>
      <c r="B5299" s="2" t="s">
        <v>25</v>
      </c>
      <c r="C5299" s="2">
        <v>1106.498</v>
      </c>
      <c r="D5299" s="2">
        <f>HYPERLINK("http://mcb-m6.bioreg.kyushu-u.ac.jp/M3/20110404/F50760/2924/1", 57.35)</f>
        <v>57.35</v>
      </c>
      <c r="E5299" s="2">
        <v>33.54</v>
      </c>
      <c r="F5299" s="2">
        <v>2</v>
      </c>
      <c r="G5299" s="2" t="s">
        <v>10</v>
      </c>
    </row>
    <row r="5300" spans="1:7" x14ac:dyDescent="0.2">
      <c r="A5300" s="2" t="s">
        <v>3245</v>
      </c>
      <c r="B5300" s="2" t="s">
        <v>25</v>
      </c>
      <c r="C5300" s="2">
        <v>1106.54</v>
      </c>
      <c r="D5300" s="2">
        <f>HYPERLINK("http://mcb-m6.bioreg.kyushu-u.ac.jp/M3/20110404/F50770/2853/1", 58.3)</f>
        <v>58.3</v>
      </c>
      <c r="E5300" s="2">
        <v>32.92</v>
      </c>
      <c r="F5300" s="2">
        <v>2</v>
      </c>
      <c r="G5300" s="2" t="s">
        <v>10</v>
      </c>
    </row>
    <row r="5301" spans="1:7" x14ac:dyDescent="0.2">
      <c r="A5301" s="2" t="s">
        <v>3245</v>
      </c>
      <c r="B5301" s="2" t="s">
        <v>25</v>
      </c>
      <c r="C5301" s="2">
        <v>1106.3910000000001</v>
      </c>
      <c r="D5301" s="2">
        <f>HYPERLINK("http://mcb-m6.bioreg.kyushu-u.ac.jp/M3/20110404/F50758/2946/1", 59.48)</f>
        <v>59.48</v>
      </c>
      <c r="E5301" s="2">
        <v>38.97</v>
      </c>
      <c r="F5301" s="2">
        <v>2</v>
      </c>
      <c r="G5301" s="2" t="s">
        <v>10</v>
      </c>
    </row>
    <row r="5302" spans="1:7" x14ac:dyDescent="0.2">
      <c r="A5302" s="2" t="s">
        <v>3245</v>
      </c>
      <c r="B5302" s="2" t="s">
        <v>25</v>
      </c>
      <c r="C5302" s="2">
        <v>1105.999</v>
      </c>
      <c r="D5302" s="2">
        <f>HYPERLINK("http://mcb-m6.bioreg.kyushu-u.ac.jp/M3/20110404/F50768/2963/1", 59.69)</f>
        <v>59.69</v>
      </c>
      <c r="E5302" s="2">
        <v>37.81</v>
      </c>
      <c r="F5302" s="2">
        <v>2</v>
      </c>
      <c r="G5302" s="2" t="s">
        <v>10</v>
      </c>
    </row>
    <row r="5303" spans="1:7" x14ac:dyDescent="0.2">
      <c r="A5303" s="2" t="s">
        <v>3245</v>
      </c>
      <c r="B5303" s="2" t="s">
        <v>25</v>
      </c>
      <c r="C5303" s="2">
        <v>738.06150000000002</v>
      </c>
      <c r="D5303" s="2">
        <f>HYPERLINK("http://mcb-m6.bioreg.kyushu-u.ac.jp/M3/20110404/F50758/2947/1", 60.24)</f>
        <v>60.24</v>
      </c>
      <c r="E5303" s="2">
        <v>30.25</v>
      </c>
      <c r="F5303" s="2">
        <v>3</v>
      </c>
      <c r="G5303" s="2" t="s">
        <v>10</v>
      </c>
    </row>
    <row r="5304" spans="1:7" x14ac:dyDescent="0.2">
      <c r="A5304" s="2" t="s">
        <v>3245</v>
      </c>
      <c r="B5304" s="2" t="s">
        <v>25</v>
      </c>
      <c r="C5304" s="2">
        <v>1105.9949999999999</v>
      </c>
      <c r="D5304" s="2">
        <f>HYPERLINK("http://mcb-m6.bioreg.kyushu-u.ac.jp/M3/20110404/F50772/3114/1", 60.5)</f>
        <v>60.5</v>
      </c>
      <c r="E5304" s="2">
        <v>36.42</v>
      </c>
      <c r="F5304" s="2">
        <v>2</v>
      </c>
      <c r="G5304" s="2" t="s">
        <v>10</v>
      </c>
    </row>
    <row r="5305" spans="1:7" x14ac:dyDescent="0.2">
      <c r="A5305" s="2" t="s">
        <v>3245</v>
      </c>
      <c r="B5305" s="2" t="s">
        <v>25</v>
      </c>
      <c r="C5305" s="2">
        <v>1106.326</v>
      </c>
      <c r="D5305" s="2">
        <f>HYPERLINK("http://mcb-m6.bioreg.kyushu-u.ac.jp/M3/20110404/F50758/2944/1", 65.93)</f>
        <v>65.930000000000007</v>
      </c>
      <c r="E5305" s="2">
        <v>29.88</v>
      </c>
      <c r="F5305" s="2">
        <v>2</v>
      </c>
      <c r="G5305" s="2" t="s">
        <v>10</v>
      </c>
    </row>
    <row r="5306" spans="1:7" x14ac:dyDescent="0.2">
      <c r="A5306" s="2" t="s">
        <v>3245</v>
      </c>
      <c r="B5306" s="2" t="s">
        <v>25</v>
      </c>
      <c r="C5306" s="2">
        <v>1106.0309999999999</v>
      </c>
      <c r="D5306" s="2">
        <f>HYPERLINK("http://mcb-m6.bioreg.kyushu-u.ac.jp/M3/20110404/F50770/2850/1", 66.46)</f>
        <v>66.459999999999994</v>
      </c>
      <c r="E5306" s="2">
        <v>45.35</v>
      </c>
      <c r="F5306" s="2">
        <v>2</v>
      </c>
      <c r="G5306" s="2" t="s">
        <v>10</v>
      </c>
    </row>
    <row r="5307" spans="1:7" x14ac:dyDescent="0.2">
      <c r="A5307" s="2" t="s">
        <v>3245</v>
      </c>
      <c r="B5307" s="2" t="s">
        <v>25</v>
      </c>
      <c r="C5307" s="2">
        <v>737.54719999999998</v>
      </c>
      <c r="D5307" s="2">
        <f>HYPERLINK("http://mcb-m6.bioreg.kyushu-u.ac.jp/M3/20110404/F50759/1993/1", 68.69)</f>
        <v>68.69</v>
      </c>
      <c r="E5307" s="2">
        <v>45.52</v>
      </c>
      <c r="F5307" s="2">
        <v>3</v>
      </c>
      <c r="G5307" s="2" t="s">
        <v>10</v>
      </c>
    </row>
    <row r="5308" spans="1:7" x14ac:dyDescent="0.2">
      <c r="A5308" s="2" t="s">
        <v>3245</v>
      </c>
      <c r="B5308" s="2" t="s">
        <v>25</v>
      </c>
      <c r="C5308" s="2">
        <v>1106.537</v>
      </c>
      <c r="D5308" s="2">
        <f>HYPERLINK("http://mcb-m6.bioreg.kyushu-u.ac.jp/M3/20110404/F50775/2995/1", 69.81)</f>
        <v>69.81</v>
      </c>
      <c r="E5308" s="2">
        <v>27.32</v>
      </c>
      <c r="F5308" s="2">
        <v>2</v>
      </c>
      <c r="G5308" s="2" t="s">
        <v>10</v>
      </c>
    </row>
    <row r="5309" spans="1:7" x14ac:dyDescent="0.2">
      <c r="A5309" s="2" t="s">
        <v>3245</v>
      </c>
      <c r="B5309" s="2" t="s">
        <v>25</v>
      </c>
      <c r="C5309" s="2">
        <v>1106.538</v>
      </c>
      <c r="D5309" s="2">
        <f>HYPERLINK("http://mcb-m6.bioreg.kyushu-u.ac.jp/M3/20110404/F50772/3117/1", 76.97)</f>
        <v>76.97</v>
      </c>
      <c r="E5309" s="2">
        <v>40.36</v>
      </c>
      <c r="F5309" s="2">
        <v>2</v>
      </c>
      <c r="G5309" s="2" t="s">
        <v>10</v>
      </c>
    </row>
    <row r="5310" spans="1:7" x14ac:dyDescent="0.2">
      <c r="A5310" s="2" t="s">
        <v>3245</v>
      </c>
      <c r="B5310" s="2" t="s">
        <v>25</v>
      </c>
      <c r="C5310" s="2">
        <v>1105.4780000000001</v>
      </c>
      <c r="D5310" s="2">
        <f>HYPERLINK("http://mcb-m6.bioreg.kyushu-u.ac.jp/M3/20110404/F50770/2846/1", 79.45)</f>
        <v>79.45</v>
      </c>
      <c r="E5310" s="2">
        <v>62.77</v>
      </c>
      <c r="F5310" s="2">
        <v>2</v>
      </c>
      <c r="G5310" s="2" t="s">
        <v>10</v>
      </c>
    </row>
    <row r="5311" spans="1:7" x14ac:dyDescent="0.2">
      <c r="A5311" s="2" t="s">
        <v>3245</v>
      </c>
      <c r="B5311" s="2" t="s">
        <v>25</v>
      </c>
      <c r="C5311" s="2">
        <v>1106.556</v>
      </c>
      <c r="D5311" s="2">
        <f>HYPERLINK("http://mcb-m6.bioreg.kyushu-u.ac.jp/M3/20110404/F50774/2877/1", 87.43)</f>
        <v>87.43</v>
      </c>
      <c r="E5311" s="2">
        <v>35.450000000000003</v>
      </c>
      <c r="F5311" s="2">
        <v>2</v>
      </c>
      <c r="G5311" s="2" t="s">
        <v>10</v>
      </c>
    </row>
    <row r="5312" spans="1:7" x14ac:dyDescent="0.2">
      <c r="A5312" s="2" t="s">
        <v>3245</v>
      </c>
      <c r="B5312" s="2" t="s">
        <v>25</v>
      </c>
      <c r="C5312" s="2">
        <v>1105.7239999999999</v>
      </c>
      <c r="D5312" s="2">
        <f>HYPERLINK("http://mcb-m6.bioreg.kyushu-u.ac.jp/M3/20110404/F50769/2760/1", 88.11)</f>
        <v>88.11</v>
      </c>
      <c r="E5312" s="2">
        <v>65.13</v>
      </c>
      <c r="F5312" s="2">
        <v>2</v>
      </c>
      <c r="G5312" s="2" t="s">
        <v>10</v>
      </c>
    </row>
    <row r="5313" spans="1:7" x14ac:dyDescent="0.2">
      <c r="A5313" s="2" t="s">
        <v>3245</v>
      </c>
      <c r="B5313" s="2" t="s">
        <v>25</v>
      </c>
      <c r="C5313" s="2">
        <v>1105.5719999999999</v>
      </c>
      <c r="D5313" s="2">
        <f>HYPERLINK("http://mcb-m6.bioreg.kyushu-u.ac.jp/M3/20110404/F50773/3019/1", 93.93)</f>
        <v>93.93</v>
      </c>
      <c r="E5313" s="2">
        <v>68.599999999999994</v>
      </c>
      <c r="F5313" s="2">
        <v>2</v>
      </c>
      <c r="G5313" s="2" t="s">
        <v>10</v>
      </c>
    </row>
    <row r="5314" spans="1:7" x14ac:dyDescent="0.2">
      <c r="A5314" s="2" t="s">
        <v>3245</v>
      </c>
      <c r="B5314" s="2" t="s">
        <v>25</v>
      </c>
      <c r="C5314" s="2">
        <v>1105.8910000000001</v>
      </c>
      <c r="D5314" s="2">
        <f>HYPERLINK("http://mcb-m6.bioreg.kyushu-u.ac.jp/M3/20110421/F51042/3652/1", 35.2)</f>
        <v>35.200000000000003</v>
      </c>
      <c r="E5314" s="2">
        <v>9.23</v>
      </c>
      <c r="F5314" s="2">
        <v>2</v>
      </c>
      <c r="G5314" s="2" t="s">
        <v>11</v>
      </c>
    </row>
    <row r="5315" spans="1:7" x14ac:dyDescent="0.2">
      <c r="A5315" s="2" t="s">
        <v>3245</v>
      </c>
      <c r="B5315" s="2" t="s">
        <v>25</v>
      </c>
      <c r="C5315" s="2">
        <v>1106.5450000000001</v>
      </c>
      <c r="D5315" s="2">
        <f>HYPERLINK("http://mcb-m6.bioreg.kyushu-u.ac.jp/M3/20110421/F51035/3440/1", 35.41)</f>
        <v>35.409999999999997</v>
      </c>
      <c r="E5315" s="2">
        <v>12.04</v>
      </c>
      <c r="F5315" s="2">
        <v>2</v>
      </c>
      <c r="G5315" s="2" t="s">
        <v>11</v>
      </c>
    </row>
    <row r="5316" spans="1:7" x14ac:dyDescent="0.2">
      <c r="A5316" s="2" t="s">
        <v>3245</v>
      </c>
      <c r="B5316" s="2" t="s">
        <v>25</v>
      </c>
      <c r="C5316" s="2">
        <v>737.82349999999997</v>
      </c>
      <c r="D5316" s="2">
        <f>HYPERLINK("http://mcb-m6.bioreg.kyushu-u.ac.jp/M3/20110421/F51017/3483/1", 36.16)</f>
        <v>36.159999999999997</v>
      </c>
      <c r="E5316" s="2">
        <v>13.33</v>
      </c>
      <c r="F5316" s="2">
        <v>3</v>
      </c>
      <c r="G5316" s="2" t="s">
        <v>11</v>
      </c>
    </row>
    <row r="5317" spans="1:7" x14ac:dyDescent="0.2">
      <c r="A5317" s="2" t="s">
        <v>3245</v>
      </c>
      <c r="B5317" s="2" t="s">
        <v>25</v>
      </c>
      <c r="C5317" s="2">
        <v>1105.8789999999999</v>
      </c>
      <c r="D5317" s="2">
        <f>HYPERLINK("http://mcb-m6.bioreg.kyushu-u.ac.jp/M3/20110421/F51042/3651/1", 37.65)</f>
        <v>37.65</v>
      </c>
      <c r="E5317" s="2">
        <v>28.57</v>
      </c>
      <c r="F5317" s="2">
        <v>2</v>
      </c>
      <c r="G5317" s="2" t="s">
        <v>11</v>
      </c>
    </row>
    <row r="5318" spans="1:7" x14ac:dyDescent="0.2">
      <c r="A5318" s="2" t="s">
        <v>3245</v>
      </c>
      <c r="B5318" s="2" t="s">
        <v>25</v>
      </c>
      <c r="C5318" s="2">
        <v>737.98379999999997</v>
      </c>
      <c r="D5318" s="2">
        <f>HYPERLINK("http://mcb-m6.bioreg.kyushu-u.ac.jp/M3/20110421/F51035/3438/1", 39.14)</f>
        <v>39.14</v>
      </c>
      <c r="E5318" s="2">
        <v>18.89</v>
      </c>
      <c r="F5318" s="2">
        <v>3</v>
      </c>
      <c r="G5318" s="2" t="s">
        <v>11</v>
      </c>
    </row>
    <row r="5319" spans="1:7" x14ac:dyDescent="0.2">
      <c r="A5319" s="2" t="s">
        <v>3245</v>
      </c>
      <c r="B5319" s="2" t="s">
        <v>25</v>
      </c>
      <c r="C5319" s="2">
        <v>1105.9079999999999</v>
      </c>
      <c r="D5319" s="2">
        <f>HYPERLINK("http://mcb-m6.bioreg.kyushu-u.ac.jp/M3/20110421/F51042/3653/1", 40.15)</f>
        <v>40.15</v>
      </c>
      <c r="E5319" s="2">
        <v>18.82</v>
      </c>
      <c r="F5319" s="2">
        <v>2</v>
      </c>
      <c r="G5319" s="2" t="s">
        <v>11</v>
      </c>
    </row>
    <row r="5320" spans="1:7" x14ac:dyDescent="0.2">
      <c r="A5320" s="2" t="s">
        <v>3245</v>
      </c>
      <c r="B5320" s="2" t="s">
        <v>25</v>
      </c>
      <c r="C5320" s="2">
        <v>738.05920000000003</v>
      </c>
      <c r="D5320" s="2">
        <f>HYPERLINK("http://mcb-m6.bioreg.kyushu-u.ac.jp/M3/20110421/F51020/3144/1", 42.06)</f>
        <v>42.06</v>
      </c>
      <c r="E5320" s="2">
        <v>18.46</v>
      </c>
      <c r="F5320" s="2">
        <v>3</v>
      </c>
      <c r="G5320" s="2" t="s">
        <v>11</v>
      </c>
    </row>
    <row r="5321" spans="1:7" x14ac:dyDescent="0.2">
      <c r="A5321" s="2" t="s">
        <v>3245</v>
      </c>
      <c r="B5321" s="2" t="s">
        <v>25</v>
      </c>
      <c r="C5321" s="2">
        <v>1106.4269999999999</v>
      </c>
      <c r="D5321" s="2">
        <f>HYPERLINK("http://mcb-m6.bioreg.kyushu-u.ac.jp/M3/20110421/F51019/3067/1", 42.27)</f>
        <v>42.27</v>
      </c>
      <c r="E5321" s="2">
        <v>21.76</v>
      </c>
      <c r="F5321" s="2">
        <v>2</v>
      </c>
      <c r="G5321" s="2" t="s">
        <v>11</v>
      </c>
    </row>
    <row r="5322" spans="1:7" x14ac:dyDescent="0.2">
      <c r="A5322" s="2" t="s">
        <v>3245</v>
      </c>
      <c r="B5322" s="2" t="s">
        <v>25</v>
      </c>
      <c r="C5322" s="2">
        <v>1106.5650000000001</v>
      </c>
      <c r="D5322" s="2">
        <f>HYPERLINK("http://mcb-m6.bioreg.kyushu-u.ac.jp/M3/20110421/F51018/3216/1", 43.11)</f>
        <v>43.11</v>
      </c>
      <c r="E5322" s="2">
        <v>26.93</v>
      </c>
      <c r="F5322" s="2">
        <v>2</v>
      </c>
      <c r="G5322" s="2" t="s">
        <v>11</v>
      </c>
    </row>
    <row r="5323" spans="1:7" x14ac:dyDescent="0.2">
      <c r="A5323" s="2" t="s">
        <v>3245</v>
      </c>
      <c r="B5323" s="2" t="s">
        <v>25</v>
      </c>
      <c r="C5323" s="2">
        <v>1105.915</v>
      </c>
      <c r="D5323" s="2">
        <f>HYPERLINK("http://mcb-m6.bioreg.kyushu-u.ac.jp/M3/20110421/F51037/3670/1", 43.62)</f>
        <v>43.62</v>
      </c>
      <c r="E5323" s="2">
        <v>24.94</v>
      </c>
      <c r="F5323" s="2">
        <v>2</v>
      </c>
      <c r="G5323" s="2" t="s">
        <v>11</v>
      </c>
    </row>
    <row r="5324" spans="1:7" x14ac:dyDescent="0.2">
      <c r="A5324" s="2" t="s">
        <v>3245</v>
      </c>
      <c r="B5324" s="2" t="s">
        <v>25</v>
      </c>
      <c r="C5324" s="2">
        <v>1106.374</v>
      </c>
      <c r="D5324" s="2">
        <f>HYPERLINK("http://mcb-m6.bioreg.kyushu-u.ac.jp/M3/20110421/F51058/3201/1", 44.45)</f>
        <v>44.45</v>
      </c>
      <c r="E5324" s="2">
        <v>31.06</v>
      </c>
      <c r="F5324" s="2">
        <v>2</v>
      </c>
      <c r="G5324" s="2" t="s">
        <v>11</v>
      </c>
    </row>
    <row r="5325" spans="1:7" x14ac:dyDescent="0.2">
      <c r="A5325" s="2" t="s">
        <v>3245</v>
      </c>
      <c r="B5325" s="2" t="s">
        <v>25</v>
      </c>
      <c r="C5325" s="2">
        <v>737.69380000000001</v>
      </c>
      <c r="D5325" s="2">
        <f>HYPERLINK("http://mcb-m6.bioreg.kyushu-u.ac.jp/M3/20110421/F51058/3199/1", 44.52)</f>
        <v>44.52</v>
      </c>
      <c r="E5325" s="2">
        <v>16.420000000000002</v>
      </c>
      <c r="F5325" s="2">
        <v>3</v>
      </c>
      <c r="G5325" s="2" t="s">
        <v>11</v>
      </c>
    </row>
    <row r="5326" spans="1:7" x14ac:dyDescent="0.2">
      <c r="A5326" s="2" t="s">
        <v>3245</v>
      </c>
      <c r="B5326" s="2" t="s">
        <v>25</v>
      </c>
      <c r="C5326" s="2">
        <v>1106.405</v>
      </c>
      <c r="D5326" s="2">
        <f>HYPERLINK("http://mcb-m6.bioreg.kyushu-u.ac.jp/M3/20110421/F51034/3379/1", 44.54)</f>
        <v>44.54</v>
      </c>
      <c r="E5326" s="2">
        <v>33.590000000000003</v>
      </c>
      <c r="F5326" s="2">
        <v>2</v>
      </c>
      <c r="G5326" s="2" t="s">
        <v>11</v>
      </c>
    </row>
    <row r="5327" spans="1:7" x14ac:dyDescent="0.2">
      <c r="A5327" s="2" t="s">
        <v>3245</v>
      </c>
      <c r="B5327" s="2" t="s">
        <v>25</v>
      </c>
      <c r="C5327" s="2">
        <v>737.73249999999996</v>
      </c>
      <c r="D5327" s="2">
        <f>HYPERLINK("http://mcb-m6.bioreg.kyushu-u.ac.jp/M3/20110421/F51019/3064/1", 45.13)</f>
        <v>45.13</v>
      </c>
      <c r="E5327" s="2">
        <v>22.15</v>
      </c>
      <c r="F5327" s="2">
        <v>3</v>
      </c>
      <c r="G5327" s="2" t="s">
        <v>11</v>
      </c>
    </row>
    <row r="5328" spans="1:7" x14ac:dyDescent="0.2">
      <c r="A5328" s="2" t="s">
        <v>3245</v>
      </c>
      <c r="B5328" s="2" t="s">
        <v>25</v>
      </c>
      <c r="C5328" s="2">
        <v>1105.914</v>
      </c>
      <c r="D5328" s="2">
        <f>HYPERLINK("http://mcb-m6.bioreg.kyushu-u.ac.jp/M3/20110421/F51019/3063/1", 45.54)</f>
        <v>45.54</v>
      </c>
      <c r="E5328" s="2">
        <v>31.29</v>
      </c>
      <c r="F5328" s="2">
        <v>2</v>
      </c>
      <c r="G5328" s="2" t="s">
        <v>11</v>
      </c>
    </row>
    <row r="5329" spans="1:7" x14ac:dyDescent="0.2">
      <c r="A5329" s="2" t="s">
        <v>3245</v>
      </c>
      <c r="B5329" s="2" t="s">
        <v>25</v>
      </c>
      <c r="C5329" s="2">
        <v>1105.9079999999999</v>
      </c>
      <c r="D5329" s="2">
        <f>HYPERLINK("http://mcb-m6.bioreg.kyushu-u.ac.jp/M3/20110421/F51040/3223/1", 45.57)</f>
        <v>45.57</v>
      </c>
      <c r="E5329" s="2">
        <v>25.21</v>
      </c>
      <c r="F5329" s="2">
        <v>2</v>
      </c>
      <c r="G5329" s="2" t="s">
        <v>11</v>
      </c>
    </row>
    <row r="5330" spans="1:7" x14ac:dyDescent="0.2">
      <c r="A5330" s="2" t="s">
        <v>3245</v>
      </c>
      <c r="B5330" s="2" t="s">
        <v>25</v>
      </c>
      <c r="C5330" s="2">
        <v>1106.4690000000001</v>
      </c>
      <c r="D5330" s="2">
        <f>HYPERLINK("http://mcb-m6.bioreg.kyushu-u.ac.jp/M3/20110421/F51042/3661/1", 45.63)</f>
        <v>45.63</v>
      </c>
      <c r="E5330" s="2">
        <v>17.309999999999999</v>
      </c>
      <c r="F5330" s="2">
        <v>2</v>
      </c>
      <c r="G5330" s="2" t="s">
        <v>11</v>
      </c>
    </row>
    <row r="5331" spans="1:7" x14ac:dyDescent="0.2">
      <c r="A5331" s="2" t="s">
        <v>3245</v>
      </c>
      <c r="B5331" s="2" t="s">
        <v>25</v>
      </c>
      <c r="C5331" s="2">
        <v>1106.422</v>
      </c>
      <c r="D5331" s="2">
        <f>HYPERLINK("http://mcb-m6.bioreg.kyushu-u.ac.jp/M3/20110421/F51037/3677/1", 46.1)</f>
        <v>46.1</v>
      </c>
      <c r="E5331" s="2">
        <v>24.52</v>
      </c>
      <c r="F5331" s="2">
        <v>2</v>
      </c>
      <c r="G5331" s="2" t="s">
        <v>11</v>
      </c>
    </row>
    <row r="5332" spans="1:7" x14ac:dyDescent="0.2">
      <c r="A5332" s="2" t="s">
        <v>3245</v>
      </c>
      <c r="B5332" s="2" t="s">
        <v>25</v>
      </c>
      <c r="C5332" s="2">
        <v>1105.896</v>
      </c>
      <c r="D5332" s="2">
        <f>HYPERLINK("http://mcb-m6.bioreg.kyushu-u.ac.jp/M3/20110421/F51037/3669/1", 46.58)</f>
        <v>46.58</v>
      </c>
      <c r="E5332" s="2">
        <v>26.64</v>
      </c>
      <c r="F5332" s="2">
        <v>2</v>
      </c>
      <c r="G5332" s="2" t="s">
        <v>11</v>
      </c>
    </row>
    <row r="5333" spans="1:7" x14ac:dyDescent="0.2">
      <c r="A5333" s="2" t="s">
        <v>3245</v>
      </c>
      <c r="B5333" s="2" t="s">
        <v>25</v>
      </c>
      <c r="C5333" s="2">
        <v>1105.886</v>
      </c>
      <c r="D5333" s="2">
        <f>HYPERLINK("http://mcb-m6.bioreg.kyushu-u.ac.jp/M3/20110421/F51039/3416/1", 46.66)</f>
        <v>46.66</v>
      </c>
      <c r="E5333" s="2">
        <v>26.39</v>
      </c>
      <c r="F5333" s="2">
        <v>2</v>
      </c>
      <c r="G5333" s="2" t="s">
        <v>11</v>
      </c>
    </row>
    <row r="5334" spans="1:7" x14ac:dyDescent="0.2">
      <c r="A5334" s="2" t="s">
        <v>3245</v>
      </c>
      <c r="B5334" s="2" t="s">
        <v>25</v>
      </c>
      <c r="C5334" s="2">
        <v>1106.48</v>
      </c>
      <c r="D5334" s="2">
        <f>HYPERLINK("http://mcb-m6.bioreg.kyushu-u.ac.jp/M3/20110421/F51035/3439/1", 47.82)</f>
        <v>47.82</v>
      </c>
      <c r="E5334" s="2">
        <v>29.63</v>
      </c>
      <c r="F5334" s="2">
        <v>2</v>
      </c>
      <c r="G5334" s="2" t="s">
        <v>11</v>
      </c>
    </row>
    <row r="5335" spans="1:7" x14ac:dyDescent="0.2">
      <c r="A5335" s="2" t="s">
        <v>3245</v>
      </c>
      <c r="B5335" s="2" t="s">
        <v>25</v>
      </c>
      <c r="C5335" s="2">
        <v>737.64319999999998</v>
      </c>
      <c r="D5335" s="2">
        <f>HYPERLINK("http://mcb-m6.bioreg.kyushu-u.ac.jp/M3/20110421/F51034/3378/1", 47.89)</f>
        <v>47.89</v>
      </c>
      <c r="E5335" s="2">
        <v>26.63</v>
      </c>
      <c r="F5335" s="2">
        <v>3</v>
      </c>
      <c r="G5335" s="2" t="s">
        <v>11</v>
      </c>
    </row>
    <row r="5336" spans="1:7" x14ac:dyDescent="0.2">
      <c r="A5336" s="2" t="s">
        <v>3245</v>
      </c>
      <c r="B5336" s="2" t="s">
        <v>25</v>
      </c>
      <c r="C5336" s="2">
        <v>1105.8800000000001</v>
      </c>
      <c r="D5336" s="2">
        <f>HYPERLINK("http://mcb-m6.bioreg.kyushu-u.ac.jp/M3/20110421/F51040/3221/1", 49.32)</f>
        <v>49.32</v>
      </c>
      <c r="E5336" s="2">
        <v>32.58</v>
      </c>
      <c r="F5336" s="2">
        <v>2</v>
      </c>
      <c r="G5336" s="2" t="s">
        <v>11</v>
      </c>
    </row>
    <row r="5337" spans="1:7" x14ac:dyDescent="0.2">
      <c r="A5337" s="2" t="s">
        <v>3245</v>
      </c>
      <c r="B5337" s="2" t="s">
        <v>25</v>
      </c>
      <c r="C5337" s="2">
        <v>1106.1579999999999</v>
      </c>
      <c r="D5337" s="2">
        <f>HYPERLINK("http://mcb-m6.bioreg.kyushu-u.ac.jp/M3/20110421/F51042/3656/1", 49.43)</f>
        <v>49.43</v>
      </c>
      <c r="E5337" s="2">
        <v>27.15</v>
      </c>
      <c r="F5337" s="2">
        <v>2</v>
      </c>
      <c r="G5337" s="2" t="s">
        <v>11</v>
      </c>
    </row>
    <row r="5338" spans="1:7" x14ac:dyDescent="0.2">
      <c r="A5338" s="2" t="s">
        <v>3245</v>
      </c>
      <c r="B5338" s="2" t="s">
        <v>25</v>
      </c>
      <c r="C5338" s="2">
        <v>1106.4059999999999</v>
      </c>
      <c r="D5338" s="2">
        <f>HYPERLINK("http://mcb-m6.bioreg.kyushu-u.ac.jp/M3/20110421/F51037/3675/1", 50.39)</f>
        <v>50.39</v>
      </c>
      <c r="E5338" s="2">
        <v>26.32</v>
      </c>
      <c r="F5338" s="2">
        <v>2</v>
      </c>
      <c r="G5338" s="2" t="s">
        <v>11</v>
      </c>
    </row>
    <row r="5339" spans="1:7" x14ac:dyDescent="0.2">
      <c r="A5339" s="2" t="s">
        <v>3245</v>
      </c>
      <c r="B5339" s="2" t="s">
        <v>25</v>
      </c>
      <c r="C5339" s="2">
        <v>1105.922</v>
      </c>
      <c r="D5339" s="2">
        <f>HYPERLINK("http://mcb-m6.bioreg.kyushu-u.ac.jp/M3/20110421/F51035/3429/1", 50.45)</f>
        <v>50.45</v>
      </c>
      <c r="E5339" s="2">
        <v>34</v>
      </c>
      <c r="F5339" s="2">
        <v>2</v>
      </c>
      <c r="G5339" s="2" t="s">
        <v>11</v>
      </c>
    </row>
    <row r="5340" spans="1:7" x14ac:dyDescent="0.2">
      <c r="A5340" s="2" t="s">
        <v>3245</v>
      </c>
      <c r="B5340" s="2" t="s">
        <v>25</v>
      </c>
      <c r="C5340" s="2">
        <v>737.53049999999996</v>
      </c>
      <c r="D5340" s="2">
        <f>HYPERLINK("http://mcb-m6.bioreg.kyushu-u.ac.jp/M3/20110421/F51037/3666/1", 50.95)</f>
        <v>50.95</v>
      </c>
      <c r="E5340" s="2">
        <v>32.590000000000003</v>
      </c>
      <c r="F5340" s="2">
        <v>3</v>
      </c>
      <c r="G5340" s="2" t="s">
        <v>11</v>
      </c>
    </row>
    <row r="5341" spans="1:7" x14ac:dyDescent="0.2">
      <c r="A5341" s="2" t="s">
        <v>3245</v>
      </c>
      <c r="B5341" s="2" t="s">
        <v>25</v>
      </c>
      <c r="C5341" s="2">
        <v>1105.8820000000001</v>
      </c>
      <c r="D5341" s="2">
        <f>HYPERLINK("http://mcb-m6.bioreg.kyushu-u.ac.jp/M3/20110421/F51019/3062/1", 50.99)</f>
        <v>50.99</v>
      </c>
      <c r="E5341" s="2">
        <v>34.47</v>
      </c>
      <c r="F5341" s="2">
        <v>2</v>
      </c>
      <c r="G5341" s="2" t="s">
        <v>11</v>
      </c>
    </row>
    <row r="5342" spans="1:7" x14ac:dyDescent="0.2">
      <c r="A5342" s="2" t="s">
        <v>3245</v>
      </c>
      <c r="B5342" s="2" t="s">
        <v>25</v>
      </c>
      <c r="C5342" s="2">
        <v>1105.954</v>
      </c>
      <c r="D5342" s="2">
        <f>HYPERLINK("http://mcb-m6.bioreg.kyushu-u.ac.jp/M3/20110421/F51037/3672/1", 51.17)</f>
        <v>51.17</v>
      </c>
      <c r="E5342" s="2">
        <v>33.31</v>
      </c>
      <c r="F5342" s="2">
        <v>2</v>
      </c>
      <c r="G5342" s="2" t="s">
        <v>11</v>
      </c>
    </row>
    <row r="5343" spans="1:7" x14ac:dyDescent="0.2">
      <c r="A5343" s="2" t="s">
        <v>3245</v>
      </c>
      <c r="B5343" s="2" t="s">
        <v>25</v>
      </c>
      <c r="C5343" s="2">
        <v>1105.8720000000001</v>
      </c>
      <c r="D5343" s="2">
        <f>HYPERLINK("http://mcb-m6.bioreg.kyushu-u.ac.jp/M3/20110421/F51019/3060/1", 51.82)</f>
        <v>51.82</v>
      </c>
      <c r="E5343" s="2">
        <v>32.06</v>
      </c>
      <c r="F5343" s="2">
        <v>2</v>
      </c>
      <c r="G5343" s="2" t="s">
        <v>11</v>
      </c>
    </row>
    <row r="5344" spans="1:7" x14ac:dyDescent="0.2">
      <c r="A5344" s="2" t="s">
        <v>3245</v>
      </c>
      <c r="B5344" s="2" t="s">
        <v>25</v>
      </c>
      <c r="C5344" s="2">
        <v>1106.442</v>
      </c>
      <c r="D5344" s="2">
        <f>HYPERLINK("http://mcb-m6.bioreg.kyushu-u.ac.jp/M3/20110421/F51034/3380/1", 51.95)</f>
        <v>51.95</v>
      </c>
      <c r="E5344" s="2">
        <v>32.32</v>
      </c>
      <c r="F5344" s="2">
        <v>2</v>
      </c>
      <c r="G5344" s="2" t="s">
        <v>11</v>
      </c>
    </row>
    <row r="5345" spans="1:7" x14ac:dyDescent="0.2">
      <c r="A5345" s="2" t="s">
        <v>3245</v>
      </c>
      <c r="B5345" s="2" t="s">
        <v>25</v>
      </c>
      <c r="C5345" s="2">
        <v>1106.4000000000001</v>
      </c>
      <c r="D5345" s="2">
        <f>HYPERLINK("http://mcb-m6.bioreg.kyushu-u.ac.jp/M3/20110421/F51019/3065/1", 51.97)</f>
        <v>51.97</v>
      </c>
      <c r="E5345" s="2">
        <v>31.76</v>
      </c>
      <c r="F5345" s="2">
        <v>2</v>
      </c>
      <c r="G5345" s="2" t="s">
        <v>11</v>
      </c>
    </row>
    <row r="5346" spans="1:7" x14ac:dyDescent="0.2">
      <c r="A5346" s="2" t="s">
        <v>3245</v>
      </c>
      <c r="B5346" s="2" t="s">
        <v>25</v>
      </c>
      <c r="C5346" s="2">
        <v>1105.8800000000001</v>
      </c>
      <c r="D5346" s="2">
        <f>HYPERLINK("http://mcb-m6.bioreg.kyushu-u.ac.jp/M3/20110421/F51018/3213/1", 52.02)</f>
        <v>52.02</v>
      </c>
      <c r="E5346" s="2">
        <v>32.619999999999997</v>
      </c>
      <c r="F5346" s="2">
        <v>2</v>
      </c>
      <c r="G5346" s="2" t="s">
        <v>11</v>
      </c>
    </row>
    <row r="5347" spans="1:7" x14ac:dyDescent="0.2">
      <c r="A5347" s="2" t="s">
        <v>3245</v>
      </c>
      <c r="B5347" s="2" t="s">
        <v>25</v>
      </c>
      <c r="C5347" s="2">
        <v>1106.135</v>
      </c>
      <c r="D5347" s="2">
        <f>HYPERLINK("http://mcb-m6.bioreg.kyushu-u.ac.jp/M3/20110421/F51020/3139/1", 52.15)</f>
        <v>52.15</v>
      </c>
      <c r="E5347" s="2">
        <v>30.16</v>
      </c>
      <c r="F5347" s="2">
        <v>2</v>
      </c>
      <c r="G5347" s="2" t="s">
        <v>11</v>
      </c>
    </row>
    <row r="5348" spans="1:7" x14ac:dyDescent="0.2">
      <c r="A5348" s="2" t="s">
        <v>3245</v>
      </c>
      <c r="B5348" s="2" t="s">
        <v>25</v>
      </c>
      <c r="C5348" s="2">
        <v>737.96220000000005</v>
      </c>
      <c r="D5348" s="2">
        <f>HYPERLINK("http://mcb-m6.bioreg.kyushu-u.ac.jp/M3/20110421/F51042/3660/1", 52.66)</f>
        <v>52.66</v>
      </c>
      <c r="E5348" s="2">
        <v>31.4</v>
      </c>
      <c r="F5348" s="2">
        <v>3</v>
      </c>
      <c r="G5348" s="2" t="s">
        <v>11</v>
      </c>
    </row>
    <row r="5349" spans="1:7" x14ac:dyDescent="0.2">
      <c r="A5349" s="2" t="s">
        <v>3245</v>
      </c>
      <c r="B5349" s="2" t="s">
        <v>25</v>
      </c>
      <c r="C5349" s="2">
        <v>1106.337</v>
      </c>
      <c r="D5349" s="2">
        <f>HYPERLINK("http://mcb-m6.bioreg.kyushu-u.ac.jp/M3/20110421/F51018/3215/1", 52.67)</f>
        <v>52.67</v>
      </c>
      <c r="E5349" s="2">
        <v>33.659999999999997</v>
      </c>
      <c r="F5349" s="2">
        <v>2</v>
      </c>
      <c r="G5349" s="2" t="s">
        <v>11</v>
      </c>
    </row>
    <row r="5350" spans="1:7" x14ac:dyDescent="0.2">
      <c r="A5350" s="2" t="s">
        <v>3245</v>
      </c>
      <c r="B5350" s="2" t="s">
        <v>25</v>
      </c>
      <c r="C5350" s="2">
        <v>1106.395</v>
      </c>
      <c r="D5350" s="2">
        <f>HYPERLINK("http://mcb-m6.bioreg.kyushu-u.ac.jp/M3/20110421/F51040/3228/1", 52.9)</f>
        <v>52.9</v>
      </c>
      <c r="E5350" s="2">
        <v>26.31</v>
      </c>
      <c r="F5350" s="2">
        <v>2</v>
      </c>
      <c r="G5350" s="2" t="s">
        <v>11</v>
      </c>
    </row>
    <row r="5351" spans="1:7" x14ac:dyDescent="0.2">
      <c r="A5351" s="2" t="s">
        <v>3245</v>
      </c>
      <c r="B5351" s="2" t="s">
        <v>25</v>
      </c>
      <c r="C5351" s="2">
        <v>737.94920000000002</v>
      </c>
      <c r="D5351" s="2">
        <f>HYPERLINK("http://mcb-m6.bioreg.kyushu-u.ac.jp/M3/20110421/F51037/3676/1", 53.54)</f>
        <v>53.54</v>
      </c>
      <c r="E5351" s="2">
        <v>19.690000000000001</v>
      </c>
      <c r="F5351" s="2">
        <v>3</v>
      </c>
      <c r="G5351" s="2" t="s">
        <v>11</v>
      </c>
    </row>
    <row r="5352" spans="1:7" x14ac:dyDescent="0.2">
      <c r="A5352" s="2" t="s">
        <v>3245</v>
      </c>
      <c r="B5352" s="2" t="s">
        <v>25</v>
      </c>
      <c r="C5352" s="2">
        <v>1105.9179999999999</v>
      </c>
      <c r="D5352" s="2">
        <f>HYPERLINK("http://mcb-m6.bioreg.kyushu-u.ac.jp/M3/20110421/F51037/3671/1", 53.56)</f>
        <v>53.56</v>
      </c>
      <c r="E5352" s="2">
        <v>27.18</v>
      </c>
      <c r="F5352" s="2">
        <v>2</v>
      </c>
      <c r="G5352" s="2" t="s">
        <v>11</v>
      </c>
    </row>
    <row r="5353" spans="1:7" x14ac:dyDescent="0.2">
      <c r="A5353" s="2" t="s">
        <v>3245</v>
      </c>
      <c r="B5353" s="2" t="s">
        <v>25</v>
      </c>
      <c r="C5353" s="2">
        <v>1106.43</v>
      </c>
      <c r="D5353" s="2">
        <f>HYPERLINK("http://mcb-m6.bioreg.kyushu-u.ac.jp/M3/20110421/F51040/3230/1", 53.79)</f>
        <v>53.79</v>
      </c>
      <c r="E5353" s="2">
        <v>30.69</v>
      </c>
      <c r="F5353" s="2">
        <v>2</v>
      </c>
      <c r="G5353" s="2" t="s">
        <v>11</v>
      </c>
    </row>
    <row r="5354" spans="1:7" x14ac:dyDescent="0.2">
      <c r="A5354" s="2" t="s">
        <v>3245</v>
      </c>
      <c r="B5354" s="2" t="s">
        <v>25</v>
      </c>
      <c r="C5354" s="2">
        <v>1105.979</v>
      </c>
      <c r="D5354" s="2">
        <f>HYPERLINK("http://mcb-m6.bioreg.kyushu-u.ac.jp/M3/20110421/F51042/3655/1", 54)</f>
        <v>54</v>
      </c>
      <c r="E5354" s="2">
        <v>30.32</v>
      </c>
      <c r="F5354" s="2">
        <v>2</v>
      </c>
      <c r="G5354" s="2" t="s">
        <v>11</v>
      </c>
    </row>
    <row r="5355" spans="1:7" x14ac:dyDescent="0.2">
      <c r="A5355" s="2" t="s">
        <v>3245</v>
      </c>
      <c r="B5355" s="2" t="s">
        <v>25</v>
      </c>
      <c r="C5355" s="2">
        <v>1105.9559999999999</v>
      </c>
      <c r="D5355" s="2">
        <f>HYPERLINK("http://mcb-m6.bioreg.kyushu-u.ac.jp/M3/20110421/F51035/3430/1", 54.11)</f>
        <v>54.11</v>
      </c>
      <c r="E5355" s="2">
        <v>34.36</v>
      </c>
      <c r="F5355" s="2">
        <v>2</v>
      </c>
      <c r="G5355" s="2" t="s">
        <v>11</v>
      </c>
    </row>
    <row r="5356" spans="1:7" x14ac:dyDescent="0.2">
      <c r="A5356" s="2" t="s">
        <v>3245</v>
      </c>
      <c r="B5356" s="2" t="s">
        <v>25</v>
      </c>
      <c r="C5356" s="2">
        <v>1105.7909999999999</v>
      </c>
      <c r="D5356" s="2">
        <f>HYPERLINK("http://mcb-m6.bioreg.kyushu-u.ac.jp/M3/20110421/F51017/3475/1", 54.39)</f>
        <v>54.39</v>
      </c>
      <c r="E5356" s="2">
        <v>32.659999999999997</v>
      </c>
      <c r="F5356" s="2">
        <v>2</v>
      </c>
      <c r="G5356" s="2" t="s">
        <v>11</v>
      </c>
    </row>
    <row r="5357" spans="1:7" x14ac:dyDescent="0.2">
      <c r="A5357" s="2" t="s">
        <v>3245</v>
      </c>
      <c r="B5357" s="2" t="s">
        <v>25</v>
      </c>
      <c r="C5357" s="2">
        <v>737.90049999999997</v>
      </c>
      <c r="D5357" s="2">
        <f>HYPERLINK("http://mcb-m6.bioreg.kyushu-u.ac.jp/M3/20110421/F51040/3227/1", 54.41)</f>
        <v>54.41</v>
      </c>
      <c r="E5357" s="2">
        <v>25.06</v>
      </c>
      <c r="F5357" s="2">
        <v>3</v>
      </c>
      <c r="G5357" s="2" t="s">
        <v>11</v>
      </c>
    </row>
    <row r="5358" spans="1:7" x14ac:dyDescent="0.2">
      <c r="A5358" s="2" t="s">
        <v>3245</v>
      </c>
      <c r="B5358" s="2" t="s">
        <v>25</v>
      </c>
      <c r="C5358" s="2">
        <v>1106.1990000000001</v>
      </c>
      <c r="D5358" s="2">
        <f>HYPERLINK("http://mcb-m6.bioreg.kyushu-u.ac.jp/M3/20110421/F51014/3046/1", 54.44)</f>
        <v>54.44</v>
      </c>
      <c r="E5358" s="2">
        <v>25.35</v>
      </c>
      <c r="F5358" s="2">
        <v>2</v>
      </c>
      <c r="G5358" s="2" t="s">
        <v>11</v>
      </c>
    </row>
    <row r="5359" spans="1:7" x14ac:dyDescent="0.2">
      <c r="A5359" s="2" t="s">
        <v>3245</v>
      </c>
      <c r="B5359" s="2" t="s">
        <v>25</v>
      </c>
      <c r="C5359" s="2">
        <v>1106.2629999999999</v>
      </c>
      <c r="D5359" s="2">
        <f>HYPERLINK("http://mcb-m6.bioreg.kyushu-u.ac.jp/M3/20110421/F51017/3484/1", 54.5)</f>
        <v>54.5</v>
      </c>
      <c r="E5359" s="2">
        <v>28.08</v>
      </c>
      <c r="F5359" s="2">
        <v>2</v>
      </c>
      <c r="G5359" s="2" t="s">
        <v>11</v>
      </c>
    </row>
    <row r="5360" spans="1:7" x14ac:dyDescent="0.2">
      <c r="A5360" s="2" t="s">
        <v>3245</v>
      </c>
      <c r="B5360" s="2" t="s">
        <v>25</v>
      </c>
      <c r="C5360" s="2">
        <v>1106.32</v>
      </c>
      <c r="D5360" s="2">
        <f>HYPERLINK("http://mcb-m6.bioreg.kyushu-u.ac.jp/M3/20110421/F51039/3420/1", 54.85)</f>
        <v>54.85</v>
      </c>
      <c r="E5360" s="2">
        <v>38.99</v>
      </c>
      <c r="F5360" s="2">
        <v>2</v>
      </c>
      <c r="G5360" s="2" t="s">
        <v>11</v>
      </c>
    </row>
    <row r="5361" spans="1:7" x14ac:dyDescent="0.2">
      <c r="A5361" s="2" t="s">
        <v>3245</v>
      </c>
      <c r="B5361" s="2" t="s">
        <v>25</v>
      </c>
      <c r="C5361" s="2">
        <v>1105.8520000000001</v>
      </c>
      <c r="D5361" s="2">
        <f>HYPERLINK("http://mcb-m6.bioreg.kyushu-u.ac.jp/M3/20110421/F51042/3650/1", 55.34)</f>
        <v>55.34</v>
      </c>
      <c r="E5361" s="2">
        <v>38.96</v>
      </c>
      <c r="F5361" s="2">
        <v>2</v>
      </c>
      <c r="G5361" s="2" t="s">
        <v>11</v>
      </c>
    </row>
    <row r="5362" spans="1:7" x14ac:dyDescent="0.2">
      <c r="A5362" s="2" t="s">
        <v>3245</v>
      </c>
      <c r="B5362" s="2" t="s">
        <v>25</v>
      </c>
      <c r="C5362" s="2">
        <v>1106.165</v>
      </c>
      <c r="D5362" s="2">
        <f>HYPERLINK("http://mcb-m6.bioreg.kyushu-u.ac.jp/M3/20110421/F51037/3674/1", 55.93)</f>
        <v>55.93</v>
      </c>
      <c r="E5362" s="2">
        <v>27.52</v>
      </c>
      <c r="F5362" s="2">
        <v>2</v>
      </c>
      <c r="G5362" s="2" t="s">
        <v>11</v>
      </c>
    </row>
    <row r="5363" spans="1:7" x14ac:dyDescent="0.2">
      <c r="A5363" s="2" t="s">
        <v>3245</v>
      </c>
      <c r="B5363" s="2" t="s">
        <v>25</v>
      </c>
      <c r="C5363" s="2">
        <v>1106.4939999999999</v>
      </c>
      <c r="D5363" s="2">
        <f>HYPERLINK("http://mcb-m6.bioreg.kyushu-u.ac.jp/M3/20110421/F51042/3662/1", 55.96)</f>
        <v>55.96</v>
      </c>
      <c r="E5363" s="2">
        <v>35.24</v>
      </c>
      <c r="F5363" s="2">
        <v>2</v>
      </c>
      <c r="G5363" s="2" t="s">
        <v>11</v>
      </c>
    </row>
    <row r="5364" spans="1:7" x14ac:dyDescent="0.2">
      <c r="A5364" s="2" t="s">
        <v>3245</v>
      </c>
      <c r="B5364" s="2" t="s">
        <v>25</v>
      </c>
      <c r="C5364" s="2">
        <v>1105.99</v>
      </c>
      <c r="D5364" s="2">
        <f>HYPERLINK("http://mcb-m6.bioreg.kyushu-u.ac.jp/M3/20110421/F51015/2710/1", 56.08)</f>
        <v>56.08</v>
      </c>
      <c r="E5364" s="2">
        <v>34.270000000000003</v>
      </c>
      <c r="F5364" s="2">
        <v>2</v>
      </c>
      <c r="G5364" s="2" t="s">
        <v>11</v>
      </c>
    </row>
    <row r="5365" spans="1:7" x14ac:dyDescent="0.2">
      <c r="A5365" s="2" t="s">
        <v>3245</v>
      </c>
      <c r="B5365" s="2" t="s">
        <v>25</v>
      </c>
      <c r="C5365" s="2">
        <v>1106.171</v>
      </c>
      <c r="D5365" s="2">
        <f>HYPERLINK("http://mcb-m6.bioreg.kyushu-u.ac.jp/M3/20110421/F51040/3225/1", 56.56)</f>
        <v>56.56</v>
      </c>
      <c r="E5365" s="2">
        <v>31.16</v>
      </c>
      <c r="F5365" s="2">
        <v>2</v>
      </c>
      <c r="G5365" s="2" t="s">
        <v>11</v>
      </c>
    </row>
    <row r="5366" spans="1:7" x14ac:dyDescent="0.2">
      <c r="A5366" s="2" t="s">
        <v>3245</v>
      </c>
      <c r="B5366" s="2" t="s">
        <v>25</v>
      </c>
      <c r="C5366" s="2">
        <v>738.05719999999997</v>
      </c>
      <c r="D5366" s="2">
        <f>HYPERLINK("http://mcb-m6.bioreg.kyushu-u.ac.jp/M3/20110421/F51042/3664/1", 56.74)</f>
        <v>56.74</v>
      </c>
      <c r="E5366" s="2">
        <v>33.67</v>
      </c>
      <c r="F5366" s="2">
        <v>3</v>
      </c>
      <c r="G5366" s="2" t="s">
        <v>11</v>
      </c>
    </row>
    <row r="5367" spans="1:7" x14ac:dyDescent="0.2">
      <c r="A5367" s="2" t="s">
        <v>3245</v>
      </c>
      <c r="B5367" s="2" t="s">
        <v>25</v>
      </c>
      <c r="C5367" s="2">
        <v>1105.904</v>
      </c>
      <c r="D5367" s="2">
        <f>HYPERLINK("http://mcb-m6.bioreg.kyushu-u.ac.jp/M3/20110421/F51040/3222/1", 57.79)</f>
        <v>57.79</v>
      </c>
      <c r="E5367" s="2">
        <v>30.21</v>
      </c>
      <c r="F5367" s="2">
        <v>2</v>
      </c>
      <c r="G5367" s="2" t="s">
        <v>11</v>
      </c>
    </row>
    <row r="5368" spans="1:7" x14ac:dyDescent="0.2">
      <c r="A5368" s="2" t="s">
        <v>3245</v>
      </c>
      <c r="B5368" s="2" t="s">
        <v>25</v>
      </c>
      <c r="C5368" s="2">
        <v>1106.1590000000001</v>
      </c>
      <c r="D5368" s="2">
        <f>HYPERLINK("http://mcb-m6.bioreg.kyushu-u.ac.jp/M3/20110421/F51039/3419/1", 57.85)</f>
        <v>57.85</v>
      </c>
      <c r="E5368" s="2">
        <v>38.31</v>
      </c>
      <c r="F5368" s="2">
        <v>2</v>
      </c>
      <c r="G5368" s="2" t="s">
        <v>11</v>
      </c>
    </row>
    <row r="5369" spans="1:7" x14ac:dyDescent="0.2">
      <c r="A5369" s="2" t="s">
        <v>3245</v>
      </c>
      <c r="B5369" s="2" t="s">
        <v>25</v>
      </c>
      <c r="C5369" s="2">
        <v>1106.2840000000001</v>
      </c>
      <c r="D5369" s="2">
        <f>HYPERLINK("http://mcb-m6.bioreg.kyushu-u.ac.jp/M3/20110421/F51016/2790/1", 60.04)</f>
        <v>60.04</v>
      </c>
      <c r="E5369" s="2">
        <v>21.47</v>
      </c>
      <c r="F5369" s="2">
        <v>2</v>
      </c>
      <c r="G5369" s="2" t="s">
        <v>11</v>
      </c>
    </row>
    <row r="5370" spans="1:7" x14ac:dyDescent="0.2">
      <c r="A5370" s="2" t="s">
        <v>3245</v>
      </c>
      <c r="B5370" s="2" t="s">
        <v>25</v>
      </c>
      <c r="C5370" s="2">
        <v>1105.7529999999999</v>
      </c>
      <c r="D5370" s="2">
        <f>HYPERLINK("http://mcb-m6.bioreg.kyushu-u.ac.jp/M3/20110421/F51017/3474/1", 60.86)</f>
        <v>60.86</v>
      </c>
      <c r="E5370" s="2">
        <v>39.9</v>
      </c>
      <c r="F5370" s="2">
        <v>2</v>
      </c>
      <c r="G5370" s="2" t="s">
        <v>11</v>
      </c>
    </row>
    <row r="5371" spans="1:7" x14ac:dyDescent="0.2">
      <c r="A5371" s="2" t="s">
        <v>3245</v>
      </c>
      <c r="B5371" s="2" t="s">
        <v>25</v>
      </c>
      <c r="C5371" s="2">
        <v>1105.511</v>
      </c>
      <c r="D5371" s="2">
        <f>HYPERLINK("http://mcb-m6.bioreg.kyushu-u.ac.jp/M3/20110421/F51058/3196/1", 62.26)</f>
        <v>62.26</v>
      </c>
      <c r="E5371" s="2">
        <v>45.18</v>
      </c>
      <c r="F5371" s="2">
        <v>2</v>
      </c>
      <c r="G5371" s="2" t="s">
        <v>11</v>
      </c>
    </row>
    <row r="5372" spans="1:7" x14ac:dyDescent="0.2">
      <c r="A5372" s="2" t="s">
        <v>3245</v>
      </c>
      <c r="B5372" s="2" t="s">
        <v>25</v>
      </c>
      <c r="C5372" s="2">
        <v>1105.9280000000001</v>
      </c>
      <c r="D5372" s="2">
        <f>HYPERLINK("http://mcb-m6.bioreg.kyushu-u.ac.jp/M3/20110421/F51039/3417/1", 63.85)</f>
        <v>63.85</v>
      </c>
      <c r="E5372" s="2">
        <v>37.28</v>
      </c>
      <c r="F5372" s="2">
        <v>2</v>
      </c>
      <c r="G5372" s="2" t="s">
        <v>11</v>
      </c>
    </row>
    <row r="5373" spans="1:7" x14ac:dyDescent="0.2">
      <c r="A5373" s="2" t="s">
        <v>3245</v>
      </c>
      <c r="B5373" s="2" t="s">
        <v>25</v>
      </c>
      <c r="C5373" s="2">
        <v>1106.3679999999999</v>
      </c>
      <c r="D5373" s="2">
        <f>HYPERLINK("http://mcb-m6.bioreg.kyushu-u.ac.jp/M3/20110421/F51020/3142/1", 63.9)</f>
        <v>63.9</v>
      </c>
      <c r="E5373" s="2">
        <v>29.04</v>
      </c>
      <c r="F5373" s="2">
        <v>2</v>
      </c>
      <c r="G5373" s="2" t="s">
        <v>11</v>
      </c>
    </row>
    <row r="5374" spans="1:7" x14ac:dyDescent="0.2">
      <c r="A5374" s="2" t="s">
        <v>3245</v>
      </c>
      <c r="B5374" s="2" t="s">
        <v>25</v>
      </c>
      <c r="C5374" s="2">
        <v>738.00319999999999</v>
      </c>
      <c r="D5374" s="2">
        <f>HYPERLINK("http://mcb-m6.bioreg.kyushu-u.ac.jp/M3/20110421/F51042/3663/1", 64.02)</f>
        <v>64.02</v>
      </c>
      <c r="E5374" s="2">
        <v>37.92</v>
      </c>
      <c r="F5374" s="2">
        <v>3</v>
      </c>
      <c r="G5374" s="2" t="s">
        <v>11</v>
      </c>
    </row>
    <row r="5375" spans="1:7" x14ac:dyDescent="0.2">
      <c r="A5375" s="2" t="s">
        <v>3245</v>
      </c>
      <c r="B5375" s="2" t="s">
        <v>25</v>
      </c>
      <c r="C5375" s="2">
        <v>737.8759</v>
      </c>
      <c r="D5375" s="2">
        <f>HYPERLINK("http://mcb-m6.bioreg.kyushu-u.ac.jp/M3/20110421/F51017/3486/1", 65.21)</f>
        <v>65.209999999999994</v>
      </c>
      <c r="E5375" s="2">
        <v>34.71</v>
      </c>
      <c r="F5375" s="2">
        <v>3</v>
      </c>
      <c r="G5375" s="2" t="s">
        <v>11</v>
      </c>
    </row>
    <row r="5376" spans="1:7" x14ac:dyDescent="0.2">
      <c r="A5376" s="2" t="s">
        <v>3245</v>
      </c>
      <c r="B5376" s="2" t="s">
        <v>25</v>
      </c>
      <c r="C5376" s="2">
        <v>737.53309999999999</v>
      </c>
      <c r="D5376" s="2">
        <f>HYPERLINK("http://mcb-m6.bioreg.kyushu-u.ac.jp/M3/20110421/F51014/3043/1", 65.57)</f>
        <v>65.569999999999993</v>
      </c>
      <c r="E5376" s="2">
        <v>40.119999999999997</v>
      </c>
      <c r="F5376" s="2">
        <v>3</v>
      </c>
      <c r="G5376" s="2" t="s">
        <v>11</v>
      </c>
    </row>
    <row r="5377" spans="1:7" x14ac:dyDescent="0.2">
      <c r="A5377" s="2" t="s">
        <v>3245</v>
      </c>
      <c r="B5377" s="2" t="s">
        <v>25</v>
      </c>
      <c r="C5377" s="2">
        <v>1106.4190000000001</v>
      </c>
      <c r="D5377" s="2">
        <f>HYPERLINK("http://mcb-m6.bioreg.kyushu-u.ac.jp/M3/20110421/F51040/3229/1", 65.7)</f>
        <v>65.7</v>
      </c>
      <c r="E5377" s="2">
        <v>47.14</v>
      </c>
      <c r="F5377" s="2">
        <v>2</v>
      </c>
      <c r="G5377" s="2" t="s">
        <v>11</v>
      </c>
    </row>
    <row r="5378" spans="1:7" x14ac:dyDescent="0.2">
      <c r="A5378" s="2" t="s">
        <v>3245</v>
      </c>
      <c r="B5378" s="2" t="s">
        <v>25</v>
      </c>
      <c r="C5378" s="2">
        <v>1105.797</v>
      </c>
      <c r="D5378" s="2">
        <f>HYPERLINK("http://mcb-m6.bioreg.kyushu-u.ac.jp/M3/20110421/F51020/3134/1", 65.91)</f>
        <v>65.91</v>
      </c>
      <c r="E5378" s="2">
        <v>45.3</v>
      </c>
      <c r="F5378" s="2">
        <v>2</v>
      </c>
      <c r="G5378" s="2" t="s">
        <v>11</v>
      </c>
    </row>
    <row r="5379" spans="1:7" x14ac:dyDescent="0.2">
      <c r="A5379" s="2" t="s">
        <v>3245</v>
      </c>
      <c r="B5379" s="2" t="s">
        <v>25</v>
      </c>
      <c r="C5379" s="2">
        <v>1105.864</v>
      </c>
      <c r="D5379" s="2">
        <f>HYPERLINK("http://mcb-m6.bioreg.kyushu-u.ac.jp/M3/20110421/F51020/3137/1", 66.74)</f>
        <v>66.739999999999995</v>
      </c>
      <c r="E5379" s="2">
        <v>42.89</v>
      </c>
      <c r="F5379" s="2">
        <v>2</v>
      </c>
      <c r="G5379" s="2" t="s">
        <v>11</v>
      </c>
    </row>
    <row r="5380" spans="1:7" x14ac:dyDescent="0.2">
      <c r="A5380" s="2" t="s">
        <v>3245</v>
      </c>
      <c r="B5380" s="2" t="s">
        <v>25</v>
      </c>
      <c r="C5380" s="2">
        <v>1106.077</v>
      </c>
      <c r="D5380" s="2">
        <f>HYPERLINK("http://mcb-m6.bioreg.kyushu-u.ac.jp/M3/20110421/F51017/3480/1", 67.69)</f>
        <v>67.69</v>
      </c>
      <c r="E5380" s="2">
        <v>48.22</v>
      </c>
      <c r="F5380" s="2">
        <v>2</v>
      </c>
      <c r="G5380" s="2" t="s">
        <v>11</v>
      </c>
    </row>
    <row r="5381" spans="1:7" x14ac:dyDescent="0.2">
      <c r="A5381" s="2" t="s">
        <v>3245</v>
      </c>
      <c r="B5381" s="2" t="s">
        <v>25</v>
      </c>
      <c r="C5381" s="2">
        <v>1106.403</v>
      </c>
      <c r="D5381" s="2">
        <f>HYPERLINK("http://mcb-m6.bioreg.kyushu-u.ac.jp/M3/20110421/F51035/3436/1", 67.91)</f>
        <v>67.91</v>
      </c>
      <c r="E5381" s="2">
        <v>35.08</v>
      </c>
      <c r="F5381" s="2">
        <v>2</v>
      </c>
      <c r="G5381" s="2" t="s">
        <v>11</v>
      </c>
    </row>
    <row r="5382" spans="1:7" x14ac:dyDescent="0.2">
      <c r="A5382" s="2" t="s">
        <v>3245</v>
      </c>
      <c r="B5382" s="2" t="s">
        <v>25</v>
      </c>
      <c r="C5382" s="2">
        <v>737.81880000000001</v>
      </c>
      <c r="D5382" s="2">
        <f>HYPERLINK("http://mcb-m6.bioreg.kyushu-u.ac.jp/M3/20110421/F51040/3226/1", 69.21)</f>
        <v>69.209999999999994</v>
      </c>
      <c r="E5382" s="2">
        <v>41.3</v>
      </c>
      <c r="F5382" s="2">
        <v>3</v>
      </c>
      <c r="G5382" s="2" t="s">
        <v>11</v>
      </c>
    </row>
    <row r="5383" spans="1:7" x14ac:dyDescent="0.2">
      <c r="A5383" s="2" t="s">
        <v>3245</v>
      </c>
      <c r="B5383" s="2" t="s">
        <v>25</v>
      </c>
      <c r="C5383" s="2">
        <v>1106.2570000000001</v>
      </c>
      <c r="D5383" s="2">
        <f>HYPERLINK("http://mcb-m6.bioreg.kyushu-u.ac.jp/M3/20110421/F51016/2788/1", 69.27)</f>
        <v>69.27</v>
      </c>
      <c r="E5383" s="2">
        <v>40.130000000000003</v>
      </c>
      <c r="F5383" s="2">
        <v>2</v>
      </c>
      <c r="G5383" s="2" t="s">
        <v>11</v>
      </c>
    </row>
    <row r="5384" spans="1:7" x14ac:dyDescent="0.2">
      <c r="A5384" s="2" t="s">
        <v>3245</v>
      </c>
      <c r="B5384" s="2" t="s">
        <v>25</v>
      </c>
      <c r="C5384" s="2">
        <v>738.0231</v>
      </c>
      <c r="D5384" s="2">
        <f>HYPERLINK("http://mcb-m6.bioreg.kyushu-u.ac.jp/M3/20110421/F51037/3679/1", 69.84)</f>
        <v>69.84</v>
      </c>
      <c r="E5384" s="2">
        <v>37.15</v>
      </c>
      <c r="F5384" s="2">
        <v>3</v>
      </c>
      <c r="G5384" s="2" t="s">
        <v>11</v>
      </c>
    </row>
    <row r="5385" spans="1:7" x14ac:dyDescent="0.2">
      <c r="A5385" s="2" t="s">
        <v>3245</v>
      </c>
      <c r="B5385" s="2" t="s">
        <v>25</v>
      </c>
      <c r="C5385" s="2">
        <v>1105.8499999999999</v>
      </c>
      <c r="D5385" s="2">
        <f>HYPERLINK("http://mcb-m6.bioreg.kyushu-u.ac.jp/M3/20110421/F51037/3668/1", 71.44)</f>
        <v>71.44</v>
      </c>
      <c r="E5385" s="2">
        <v>48.42</v>
      </c>
      <c r="F5385" s="2">
        <v>2</v>
      </c>
      <c r="G5385" s="2" t="s">
        <v>11</v>
      </c>
    </row>
    <row r="5386" spans="1:7" x14ac:dyDescent="0.2">
      <c r="A5386" s="2" t="s">
        <v>3245</v>
      </c>
      <c r="B5386" s="2" t="s">
        <v>25</v>
      </c>
      <c r="C5386" s="2">
        <v>1106.432</v>
      </c>
      <c r="D5386" s="2">
        <f>HYPERLINK("http://mcb-m6.bioreg.kyushu-u.ac.jp/M3/20110421/F51035/3437/1", 71.81)</f>
        <v>71.81</v>
      </c>
      <c r="E5386" s="2">
        <v>33.130000000000003</v>
      </c>
      <c r="F5386" s="2">
        <v>2</v>
      </c>
      <c r="G5386" s="2" t="s">
        <v>11</v>
      </c>
    </row>
    <row r="5387" spans="1:7" x14ac:dyDescent="0.2">
      <c r="A5387" s="2" t="s">
        <v>3245</v>
      </c>
      <c r="B5387" s="2" t="s">
        <v>25</v>
      </c>
      <c r="C5387" s="2">
        <v>1106.2940000000001</v>
      </c>
      <c r="D5387" s="2">
        <f>HYPERLINK("http://mcb-m6.bioreg.kyushu-u.ac.jp/M3/20110421/F51017/3485/1", 74.16)</f>
        <v>74.16</v>
      </c>
      <c r="E5387" s="2">
        <v>40.869999999999997</v>
      </c>
      <c r="F5387" s="2">
        <v>2</v>
      </c>
      <c r="G5387" s="2" t="s">
        <v>11</v>
      </c>
    </row>
    <row r="5388" spans="1:7" x14ac:dyDescent="0.2">
      <c r="A5388" s="2" t="s">
        <v>3245</v>
      </c>
      <c r="B5388" s="2" t="s">
        <v>25</v>
      </c>
      <c r="C5388" s="2">
        <v>1106.3589999999999</v>
      </c>
      <c r="D5388" s="2">
        <f>HYPERLINK("http://mcb-m6.bioreg.kyushu-u.ac.jp/M3/20110421/F51020/3141/1", 74.46)</f>
        <v>74.459999999999994</v>
      </c>
      <c r="E5388" s="2">
        <v>31.84</v>
      </c>
      <c r="F5388" s="2">
        <v>2</v>
      </c>
      <c r="G5388" s="2" t="s">
        <v>11</v>
      </c>
    </row>
    <row r="5389" spans="1:7" x14ac:dyDescent="0.2">
      <c r="A5389" s="2" t="s">
        <v>3245</v>
      </c>
      <c r="B5389" s="2" t="s">
        <v>25</v>
      </c>
      <c r="C5389" s="2">
        <v>1106.259</v>
      </c>
      <c r="D5389" s="2">
        <f>HYPERLINK("http://mcb-m6.bioreg.kyushu-u.ac.jp/M3/20110421/F51016/2789/1", 75.94)</f>
        <v>75.94</v>
      </c>
      <c r="E5389" s="2">
        <v>42.73</v>
      </c>
      <c r="F5389" s="2">
        <v>2</v>
      </c>
      <c r="G5389" s="2" t="s">
        <v>11</v>
      </c>
    </row>
    <row r="5390" spans="1:7" x14ac:dyDescent="0.2">
      <c r="A5390" s="2" t="s">
        <v>3245</v>
      </c>
      <c r="B5390" s="2" t="s">
        <v>25</v>
      </c>
      <c r="C5390" s="2">
        <v>1105.5540000000001</v>
      </c>
      <c r="D5390" s="2">
        <f>HYPERLINK("http://mcb-m6.bioreg.kyushu-u.ac.jp/M3/20110421/F51020/3132/1", 76.36)</f>
        <v>76.36</v>
      </c>
      <c r="E5390" s="2">
        <v>49.14</v>
      </c>
      <c r="F5390" s="2">
        <v>2</v>
      </c>
      <c r="G5390" s="2" t="s">
        <v>11</v>
      </c>
    </row>
    <row r="5391" spans="1:7" x14ac:dyDescent="0.2">
      <c r="A5391" s="2" t="s">
        <v>3245</v>
      </c>
      <c r="B5391" s="2" t="s">
        <v>25</v>
      </c>
      <c r="C5391" s="2">
        <v>1106.008</v>
      </c>
      <c r="D5391" s="2">
        <f>HYPERLINK("http://mcb-m6.bioreg.kyushu-u.ac.jp/M3/20110421/F51037/3673/1", 77.16)</f>
        <v>77.16</v>
      </c>
      <c r="E5391" s="2">
        <v>51.16</v>
      </c>
      <c r="F5391" s="2">
        <v>2</v>
      </c>
      <c r="G5391" s="2" t="s">
        <v>11</v>
      </c>
    </row>
    <row r="5392" spans="1:7" x14ac:dyDescent="0.2">
      <c r="A5392" s="2" t="s">
        <v>3245</v>
      </c>
      <c r="B5392" s="2" t="s">
        <v>25</v>
      </c>
      <c r="C5392" s="2">
        <v>1105.944</v>
      </c>
      <c r="D5392" s="2">
        <f>HYPERLINK("http://mcb-m6.bioreg.kyushu-u.ac.jp/M3/20110421/F51040/3224/1", 78.47)</f>
        <v>78.47</v>
      </c>
      <c r="E5392" s="2">
        <v>59.68</v>
      </c>
      <c r="F5392" s="2">
        <v>2</v>
      </c>
      <c r="G5392" s="2" t="s">
        <v>11</v>
      </c>
    </row>
    <row r="5393" spans="1:7" x14ac:dyDescent="0.2">
      <c r="A5393" s="2" t="s">
        <v>3245</v>
      </c>
      <c r="B5393" s="2" t="s">
        <v>25</v>
      </c>
      <c r="C5393" s="2">
        <v>1106.4090000000001</v>
      </c>
      <c r="D5393" s="2">
        <f>HYPERLINK("http://mcb-m6.bioreg.kyushu-u.ac.jp/M3/20110421/F51019/3066/1", 79.08)</f>
        <v>79.08</v>
      </c>
      <c r="E5393" s="2">
        <v>39.46</v>
      </c>
      <c r="F5393" s="2">
        <v>2</v>
      </c>
      <c r="G5393" s="2" t="s">
        <v>11</v>
      </c>
    </row>
    <row r="5394" spans="1:7" x14ac:dyDescent="0.2">
      <c r="A5394" s="2" t="s">
        <v>3245</v>
      </c>
      <c r="B5394" s="2" t="s">
        <v>25</v>
      </c>
      <c r="C5394" s="2">
        <v>738.05920000000003</v>
      </c>
      <c r="D5394" s="2">
        <f>HYPERLINK("http://mcb-m6.bioreg.kyushu-u.ac.jp/M3/20110421/F51040/3231/1", 79.81)</f>
        <v>79.81</v>
      </c>
      <c r="E5394" s="2">
        <v>42.14</v>
      </c>
      <c r="F5394" s="2">
        <v>3</v>
      </c>
      <c r="G5394" s="2" t="s">
        <v>11</v>
      </c>
    </row>
    <row r="5395" spans="1:7" x14ac:dyDescent="0.2">
      <c r="A5395" s="2" t="s">
        <v>3245</v>
      </c>
      <c r="B5395" s="2" t="s">
        <v>25</v>
      </c>
      <c r="C5395" s="2">
        <v>1106.48</v>
      </c>
      <c r="D5395" s="2">
        <f>HYPERLINK("http://mcb-m6.bioreg.kyushu-u.ac.jp/M3/20110421/F51020/3143/1", 80.17)</f>
        <v>80.17</v>
      </c>
      <c r="E5395" s="2">
        <v>35.31</v>
      </c>
      <c r="F5395" s="2">
        <v>2</v>
      </c>
      <c r="G5395" s="2" t="s">
        <v>11</v>
      </c>
    </row>
    <row r="5396" spans="1:7" x14ac:dyDescent="0.2">
      <c r="A5396" s="2" t="s">
        <v>3245</v>
      </c>
      <c r="B5396" s="2" t="s">
        <v>25</v>
      </c>
      <c r="C5396" s="2">
        <v>1105.8309999999999</v>
      </c>
      <c r="D5396" s="2">
        <f>HYPERLINK("http://mcb-m6.bioreg.kyushu-u.ac.jp/M3/20110421/F51015/2709/1", 82.02)</f>
        <v>82.02</v>
      </c>
      <c r="E5396" s="2">
        <v>57.99</v>
      </c>
      <c r="F5396" s="2">
        <v>2</v>
      </c>
      <c r="G5396" s="2" t="s">
        <v>11</v>
      </c>
    </row>
    <row r="5397" spans="1:7" x14ac:dyDescent="0.2">
      <c r="A5397" s="2" t="s">
        <v>3245</v>
      </c>
      <c r="B5397" s="2" t="s">
        <v>25</v>
      </c>
      <c r="C5397" s="2">
        <v>1105.8230000000001</v>
      </c>
      <c r="D5397" s="2">
        <f>HYPERLINK("http://mcb-m6.bioreg.kyushu-u.ac.jp/M3/20110421/F51034/3375/1", 82.8)</f>
        <v>82.8</v>
      </c>
      <c r="E5397" s="2">
        <v>59.19</v>
      </c>
      <c r="F5397" s="2">
        <v>2</v>
      </c>
      <c r="G5397" s="2" t="s">
        <v>11</v>
      </c>
    </row>
    <row r="5398" spans="1:7" x14ac:dyDescent="0.2">
      <c r="A5398" s="2" t="s">
        <v>3245</v>
      </c>
      <c r="B5398" s="2" t="s">
        <v>25</v>
      </c>
      <c r="C5398" s="2">
        <v>1105.9100000000001</v>
      </c>
      <c r="D5398" s="2">
        <f>HYPERLINK("http://mcb-m6.bioreg.kyushu-u.ac.jp/M3/20110421/F51034/3376/1", 82.91)</f>
        <v>82.91</v>
      </c>
      <c r="E5398" s="2">
        <v>67.69</v>
      </c>
      <c r="F5398" s="2">
        <v>2</v>
      </c>
      <c r="G5398" s="2" t="s">
        <v>11</v>
      </c>
    </row>
    <row r="5399" spans="1:7" x14ac:dyDescent="0.2">
      <c r="A5399" s="2" t="s">
        <v>3245</v>
      </c>
      <c r="B5399" s="2" t="s">
        <v>25</v>
      </c>
      <c r="C5399" s="2">
        <v>1105.7909999999999</v>
      </c>
      <c r="D5399" s="2">
        <f>HYPERLINK("http://mcb-m6.bioreg.kyushu-u.ac.jp/M3/20110421/F51015/2708/1", 83.18)</f>
        <v>83.18</v>
      </c>
      <c r="E5399" s="2">
        <v>57.75</v>
      </c>
      <c r="F5399" s="2">
        <v>2</v>
      </c>
      <c r="G5399" s="2" t="s">
        <v>11</v>
      </c>
    </row>
    <row r="5400" spans="1:7" x14ac:dyDescent="0.2">
      <c r="A5400" s="2" t="s">
        <v>3245</v>
      </c>
      <c r="B5400" s="2" t="s">
        <v>25</v>
      </c>
      <c r="C5400" s="2">
        <v>1105.828</v>
      </c>
      <c r="D5400" s="2">
        <f>HYPERLINK("http://mcb-m6.bioreg.kyushu-u.ac.jp/M3/20110421/F51020/3136/1", 84.49)</f>
        <v>84.49</v>
      </c>
      <c r="E5400" s="2">
        <v>54.1</v>
      </c>
      <c r="F5400" s="2">
        <v>2</v>
      </c>
      <c r="G5400" s="2" t="s">
        <v>11</v>
      </c>
    </row>
    <row r="5401" spans="1:7" x14ac:dyDescent="0.2">
      <c r="A5401" s="2" t="s">
        <v>3245</v>
      </c>
      <c r="B5401" s="2" t="s">
        <v>25</v>
      </c>
      <c r="C5401" s="2">
        <v>1105.827</v>
      </c>
      <c r="D5401" s="2">
        <f>HYPERLINK("http://mcb-m6.bioreg.kyushu-u.ac.jp/M3/20110421/F51037/3667/1", 87.2)</f>
        <v>87.2</v>
      </c>
      <c r="E5401" s="2">
        <v>68.78</v>
      </c>
      <c r="F5401" s="2">
        <v>2</v>
      </c>
      <c r="G5401" s="2" t="s">
        <v>11</v>
      </c>
    </row>
    <row r="5402" spans="1:7" x14ac:dyDescent="0.2">
      <c r="A5402" s="2" t="s">
        <v>3245</v>
      </c>
      <c r="B5402" s="2" t="s">
        <v>25</v>
      </c>
      <c r="C5402" s="2">
        <v>1105.7470000000001</v>
      </c>
      <c r="D5402" s="2">
        <f>HYPERLINK("http://mcb-m6.bioreg.kyushu-u.ac.jp/M3/20110421/F51017/3473/1", 88.27)</f>
        <v>88.27</v>
      </c>
      <c r="E5402" s="2">
        <v>67.150000000000006</v>
      </c>
      <c r="F5402" s="2">
        <v>2</v>
      </c>
      <c r="G5402" s="2" t="s">
        <v>11</v>
      </c>
    </row>
    <row r="5403" spans="1:7" x14ac:dyDescent="0.2">
      <c r="A5403" s="2" t="s">
        <v>3245</v>
      </c>
      <c r="B5403" s="2" t="s">
        <v>25</v>
      </c>
      <c r="C5403" s="2">
        <v>1106.402</v>
      </c>
      <c r="D5403" s="2">
        <f>HYPERLINK("http://mcb-m6.bioreg.kyushu-u.ac.jp/M3/20110421/F51042/3659/1", 90.75)</f>
        <v>90.75</v>
      </c>
      <c r="E5403" s="2">
        <v>42.32</v>
      </c>
      <c r="F5403" s="2">
        <v>2</v>
      </c>
      <c r="G5403" s="2" t="s">
        <v>11</v>
      </c>
    </row>
    <row r="5404" spans="1:7" x14ac:dyDescent="0.2">
      <c r="A5404" s="2" t="s">
        <v>3245</v>
      </c>
      <c r="B5404" s="2" t="s">
        <v>25</v>
      </c>
      <c r="C5404" s="2">
        <v>1105.684</v>
      </c>
      <c r="D5404" s="2">
        <f>HYPERLINK("http://mcb-m6.bioreg.kyushu-u.ac.jp/M3/20110421/F51016/2785/1", 92.59)</f>
        <v>92.59</v>
      </c>
      <c r="E5404" s="2">
        <v>64.84</v>
      </c>
      <c r="F5404" s="2">
        <v>2</v>
      </c>
      <c r="G5404" s="2" t="s">
        <v>11</v>
      </c>
    </row>
    <row r="5405" spans="1:7" x14ac:dyDescent="0.2">
      <c r="A5405" s="2" t="s">
        <v>3245</v>
      </c>
      <c r="B5405" s="2" t="s">
        <v>25</v>
      </c>
      <c r="C5405" s="2">
        <v>1105.8779999999999</v>
      </c>
      <c r="D5405" s="2">
        <f>HYPERLINK("http://mcb-m6.bioreg.kyushu-u.ac.jp/M3/20110421/F51019/3061/1", 97.81)</f>
        <v>97.81</v>
      </c>
      <c r="E5405" s="2">
        <v>72.64</v>
      </c>
      <c r="F5405" s="2">
        <v>2</v>
      </c>
      <c r="G5405" s="2" t="s">
        <v>11</v>
      </c>
    </row>
    <row r="5406" spans="1:7" x14ac:dyDescent="0.2">
      <c r="A5406" s="2" t="s">
        <v>3245</v>
      </c>
      <c r="B5406" s="2" t="s">
        <v>25</v>
      </c>
      <c r="C5406" s="2">
        <v>1106.278</v>
      </c>
      <c r="D5406" s="2">
        <f>HYPERLINK("http://mcb-m6.bioreg.kyushu-u.ac.jp/M3/20110421/F51014/3048/1", 98.02)</f>
        <v>98.02</v>
      </c>
      <c r="E5406" s="2">
        <v>38.19</v>
      </c>
      <c r="F5406" s="2">
        <v>2</v>
      </c>
      <c r="G5406" s="2" t="s">
        <v>11</v>
      </c>
    </row>
    <row r="5407" spans="1:7" x14ac:dyDescent="0.2">
      <c r="A5407" s="2" t="s">
        <v>3245</v>
      </c>
      <c r="B5407" s="2" t="s">
        <v>25</v>
      </c>
      <c r="C5407" s="2">
        <v>1105.6469999999999</v>
      </c>
      <c r="D5407" s="2">
        <f>HYPERLINK("http://mcb-m6.bioreg.kyushu-u.ac.jp/M3/20110421/F51014/3042/1", 98.09)</f>
        <v>98.09</v>
      </c>
      <c r="E5407" s="2">
        <v>64.95</v>
      </c>
      <c r="F5407" s="2">
        <v>2</v>
      </c>
      <c r="G5407" s="2" t="s">
        <v>11</v>
      </c>
    </row>
    <row r="5408" spans="1:7" x14ac:dyDescent="0.2">
      <c r="A5408" s="2" t="s">
        <v>3245</v>
      </c>
      <c r="B5408" s="2" t="s">
        <v>25</v>
      </c>
      <c r="C5408" s="2">
        <v>1106.1859999999999</v>
      </c>
      <c r="D5408" s="2">
        <f>HYPERLINK("http://mcb-m6.bioreg.kyushu-u.ac.jp/M3/20110421/F51014/3045/1", 100.4)</f>
        <v>100.4</v>
      </c>
      <c r="E5408" s="2">
        <v>42.85</v>
      </c>
      <c r="F5408" s="2">
        <v>2</v>
      </c>
      <c r="G5408" s="2" t="s">
        <v>11</v>
      </c>
    </row>
    <row r="5409" spans="1:7" x14ac:dyDescent="0.2">
      <c r="A5409" s="2" t="s">
        <v>3245</v>
      </c>
      <c r="B5409" s="2" t="s">
        <v>25</v>
      </c>
      <c r="C5409" s="2">
        <v>1106.318</v>
      </c>
      <c r="D5409" s="2">
        <f>HYPERLINK("http://mcb-m6.bioreg.kyushu-u.ac.jp/M3/20110421/F51020/3140/1", 102.94)</f>
        <v>102.94</v>
      </c>
      <c r="E5409" s="2">
        <v>47.56</v>
      </c>
      <c r="F5409" s="2">
        <v>2</v>
      </c>
      <c r="G5409" s="2" t="s">
        <v>11</v>
      </c>
    </row>
    <row r="5410" spans="1:7" x14ac:dyDescent="0.2">
      <c r="A5410" s="2" t="s">
        <v>3245</v>
      </c>
      <c r="B5410" s="2" t="s">
        <v>25</v>
      </c>
      <c r="C5410" s="2">
        <v>1106.211</v>
      </c>
      <c r="D5410" s="2">
        <f>HYPERLINK("http://mcb-m6.bioreg.kyushu-u.ac.jp/M3/20110421/F51014/3047/1", 104.52)</f>
        <v>104.52</v>
      </c>
      <c r="E5410" s="2">
        <v>49.15</v>
      </c>
      <c r="F5410" s="2">
        <v>2</v>
      </c>
      <c r="G5410" s="2" t="s">
        <v>11</v>
      </c>
    </row>
    <row r="5411" spans="1:7" x14ac:dyDescent="0.2">
      <c r="A5411" s="2" t="s">
        <v>3245</v>
      </c>
      <c r="B5411" s="2" t="s">
        <v>25</v>
      </c>
      <c r="C5411" s="2">
        <v>1106.356</v>
      </c>
      <c r="D5411" s="2">
        <f>HYPERLINK("http://mcb-m6.bioreg.kyushu-u.ac.jp/M3/20110421/F51015/2712/1", 104.72)</f>
        <v>104.72</v>
      </c>
      <c r="E5411" s="2">
        <v>48.01</v>
      </c>
      <c r="F5411" s="2">
        <v>2</v>
      </c>
      <c r="G5411" s="2" t="s">
        <v>11</v>
      </c>
    </row>
    <row r="5412" spans="1:7" x14ac:dyDescent="0.2">
      <c r="A5412" s="2" t="s">
        <v>3245</v>
      </c>
      <c r="B5412" s="2" t="s">
        <v>25</v>
      </c>
      <c r="C5412" s="2">
        <v>1105.8240000000001</v>
      </c>
      <c r="D5412" s="2">
        <f>HYPERLINK("http://mcb-m6.bioreg.kyushu-u.ac.jp/M3/20110421/F51014/3044/1", 106.59)</f>
        <v>106.59</v>
      </c>
      <c r="E5412" s="2">
        <v>79.62</v>
      </c>
      <c r="F5412" s="2">
        <v>2</v>
      </c>
      <c r="G5412" s="2" t="s">
        <v>11</v>
      </c>
    </row>
    <row r="5413" spans="1:7" x14ac:dyDescent="0.2">
      <c r="A5413" s="2" t="s">
        <v>3245</v>
      </c>
      <c r="B5413" s="2" t="s">
        <v>25</v>
      </c>
      <c r="C5413" s="2">
        <v>1105.645</v>
      </c>
      <c r="D5413" s="2">
        <f>HYPERLINK("http://mcb-m6.bioreg.kyushu-u.ac.jp/M3/20110421/F51014/3041/1", 113.23)</f>
        <v>113.23</v>
      </c>
      <c r="E5413" s="2">
        <v>83.58</v>
      </c>
      <c r="F5413" s="2">
        <v>2</v>
      </c>
      <c r="G5413" s="2" t="s">
        <v>11</v>
      </c>
    </row>
    <row r="5414" spans="1:7" x14ac:dyDescent="0.2">
      <c r="A5414" s="2" t="s">
        <v>3245</v>
      </c>
      <c r="B5414" s="2" t="s">
        <v>25</v>
      </c>
      <c r="C5414" s="2">
        <v>737.93449999999996</v>
      </c>
      <c r="D5414" s="2">
        <f>HYPERLINK("http://mcb-m6.bioreg.kyushu-u.ac.jp/M3/20110421/F51023/2998/1", 35.51)</f>
        <v>35.51</v>
      </c>
      <c r="E5414" s="2">
        <v>14.21</v>
      </c>
      <c r="F5414" s="2">
        <v>3</v>
      </c>
      <c r="G5414" s="2" t="s">
        <v>12</v>
      </c>
    </row>
    <row r="5415" spans="1:7" x14ac:dyDescent="0.2">
      <c r="A5415" s="2" t="s">
        <v>3245</v>
      </c>
      <c r="B5415" s="2" t="s">
        <v>25</v>
      </c>
      <c r="C5415" s="2">
        <v>1105.9760000000001</v>
      </c>
      <c r="D5415" s="2">
        <f>HYPERLINK("http://mcb-m6.bioreg.kyushu-u.ac.jp/M3/20110421/F51045/3277/1", 36.55)</f>
        <v>36.549999999999997</v>
      </c>
      <c r="E5415" s="2">
        <v>17.190000000000001</v>
      </c>
      <c r="F5415" s="2">
        <v>2</v>
      </c>
      <c r="G5415" s="2" t="s">
        <v>12</v>
      </c>
    </row>
    <row r="5416" spans="1:7" x14ac:dyDescent="0.2">
      <c r="A5416" s="2" t="s">
        <v>3245</v>
      </c>
      <c r="B5416" s="2" t="s">
        <v>25</v>
      </c>
      <c r="C5416" s="2">
        <v>1106.0740000000001</v>
      </c>
      <c r="D5416" s="2">
        <f>HYPERLINK("http://mcb-m6.bioreg.kyushu-u.ac.jp/M3/20110421/F51043/3305/1", 36.79)</f>
        <v>36.79</v>
      </c>
      <c r="E5416" s="2">
        <v>25.31</v>
      </c>
      <c r="F5416" s="2">
        <v>2</v>
      </c>
      <c r="G5416" s="2" t="s">
        <v>12</v>
      </c>
    </row>
    <row r="5417" spans="1:7" x14ac:dyDescent="0.2">
      <c r="A5417" s="2" t="s">
        <v>3245</v>
      </c>
      <c r="B5417" s="2" t="s">
        <v>25</v>
      </c>
      <c r="C5417" s="2">
        <v>1106.1369999999999</v>
      </c>
      <c r="D5417" s="2">
        <f>HYPERLINK("http://mcb-m6.bioreg.kyushu-u.ac.jp/M3/20110421/F51061/2915/1", 37.22)</f>
        <v>37.22</v>
      </c>
      <c r="E5417" s="2">
        <v>22.19</v>
      </c>
      <c r="F5417" s="2">
        <v>2</v>
      </c>
      <c r="G5417" s="2" t="s">
        <v>12</v>
      </c>
    </row>
    <row r="5418" spans="1:7" x14ac:dyDescent="0.2">
      <c r="A5418" s="2" t="s">
        <v>3245</v>
      </c>
      <c r="B5418" s="2" t="s">
        <v>25</v>
      </c>
      <c r="C5418" s="2">
        <v>1105.9380000000001</v>
      </c>
      <c r="D5418" s="2">
        <f>HYPERLINK("http://mcb-m6.bioreg.kyushu-u.ac.jp/M3/20110421/F51044/3353/1", 37.39)</f>
        <v>37.39</v>
      </c>
      <c r="E5418" s="2">
        <v>18.149999999999999</v>
      </c>
      <c r="F5418" s="2">
        <v>2</v>
      </c>
      <c r="G5418" s="2" t="s">
        <v>12</v>
      </c>
    </row>
    <row r="5419" spans="1:7" x14ac:dyDescent="0.2">
      <c r="A5419" s="2" t="s">
        <v>3245</v>
      </c>
      <c r="B5419" s="2" t="s">
        <v>25</v>
      </c>
      <c r="C5419" s="2">
        <v>1106.443</v>
      </c>
      <c r="D5419" s="2">
        <f>HYPERLINK("http://mcb-m6.bioreg.kyushu-u.ac.jp/M3/20110421/F51050/3121/1", 37.63)</f>
        <v>37.630000000000003</v>
      </c>
      <c r="E5419" s="2">
        <v>10.17</v>
      </c>
      <c r="F5419" s="2">
        <v>2</v>
      </c>
      <c r="G5419" s="2" t="s">
        <v>12</v>
      </c>
    </row>
    <row r="5420" spans="1:7" x14ac:dyDescent="0.2">
      <c r="A5420" s="2" t="s">
        <v>3245</v>
      </c>
      <c r="B5420" s="2" t="s">
        <v>25</v>
      </c>
      <c r="C5420" s="2">
        <v>1106.5709999999999</v>
      </c>
      <c r="D5420" s="2">
        <f>HYPERLINK("http://mcb-m6.bioreg.kyushu-u.ac.jp/M3/20110421/F51061/2917/1", 37.88)</f>
        <v>37.880000000000003</v>
      </c>
      <c r="E5420" s="2">
        <v>19.05</v>
      </c>
      <c r="F5420" s="2">
        <v>2</v>
      </c>
      <c r="G5420" s="2" t="s">
        <v>12</v>
      </c>
    </row>
    <row r="5421" spans="1:7" x14ac:dyDescent="0.2">
      <c r="A5421" s="2" t="s">
        <v>3245</v>
      </c>
      <c r="B5421" s="2" t="s">
        <v>25</v>
      </c>
      <c r="C5421" s="2">
        <v>1106.046</v>
      </c>
      <c r="D5421" s="2">
        <f>HYPERLINK("http://mcb-m6.bioreg.kyushu-u.ac.jp/M3/20110421/F51050/3118/1", 38.14)</f>
        <v>38.14</v>
      </c>
      <c r="E5421" s="2">
        <v>22.75</v>
      </c>
      <c r="F5421" s="2">
        <v>2</v>
      </c>
      <c r="G5421" s="2" t="s">
        <v>12</v>
      </c>
    </row>
    <row r="5422" spans="1:7" x14ac:dyDescent="0.2">
      <c r="A5422" s="2" t="s">
        <v>3245</v>
      </c>
      <c r="B5422" s="2" t="s">
        <v>25</v>
      </c>
      <c r="C5422" s="2">
        <v>1106.3779999999999</v>
      </c>
      <c r="D5422" s="2">
        <f>HYPERLINK("http://mcb-m6.bioreg.kyushu-u.ac.jp/M3/20110421/F51048/3325/1", 38.55)</f>
        <v>38.549999999999997</v>
      </c>
      <c r="E5422" s="2">
        <v>15.72</v>
      </c>
      <c r="F5422" s="2">
        <v>2</v>
      </c>
      <c r="G5422" s="2" t="s">
        <v>12</v>
      </c>
    </row>
    <row r="5423" spans="1:7" x14ac:dyDescent="0.2">
      <c r="A5423" s="2" t="s">
        <v>3245</v>
      </c>
      <c r="B5423" s="2" t="s">
        <v>25</v>
      </c>
      <c r="C5423" s="2">
        <v>1105.9359999999999</v>
      </c>
      <c r="D5423" s="2">
        <f>HYPERLINK("http://mcb-m6.bioreg.kyushu-u.ac.jp/M3/20110421/F51022/2410/1", 39.87)</f>
        <v>39.869999999999997</v>
      </c>
      <c r="E5423" s="2">
        <v>26.32</v>
      </c>
      <c r="F5423" s="2">
        <v>2</v>
      </c>
      <c r="G5423" s="2" t="s">
        <v>12</v>
      </c>
    </row>
    <row r="5424" spans="1:7" x14ac:dyDescent="0.2">
      <c r="A5424" s="2" t="s">
        <v>3245</v>
      </c>
      <c r="B5424" s="2" t="s">
        <v>25</v>
      </c>
      <c r="C5424" s="2">
        <v>737.70450000000005</v>
      </c>
      <c r="D5424" s="2">
        <f>HYPERLINK("http://mcb-m6.bioreg.kyushu-u.ac.jp/M3/20110421/F51059/3261/1", 40.13)</f>
        <v>40.130000000000003</v>
      </c>
      <c r="E5424" s="2">
        <v>23.38</v>
      </c>
      <c r="F5424" s="2">
        <v>3</v>
      </c>
      <c r="G5424" s="2" t="s">
        <v>12</v>
      </c>
    </row>
    <row r="5425" spans="1:7" x14ac:dyDescent="0.2">
      <c r="A5425" s="2" t="s">
        <v>3245</v>
      </c>
      <c r="B5425" s="2" t="s">
        <v>25</v>
      </c>
      <c r="C5425" s="2">
        <v>738.06150000000002</v>
      </c>
      <c r="D5425" s="2">
        <f>HYPERLINK("http://mcb-m6.bioreg.kyushu-u.ac.jp/M3/20110421/F51048/3326/1", 40.22)</f>
        <v>40.22</v>
      </c>
      <c r="E5425" s="2">
        <v>10.35</v>
      </c>
      <c r="F5425" s="2">
        <v>3</v>
      </c>
      <c r="G5425" s="2" t="s">
        <v>12</v>
      </c>
    </row>
    <row r="5426" spans="1:7" x14ac:dyDescent="0.2">
      <c r="A5426" s="2" t="s">
        <v>3245</v>
      </c>
      <c r="B5426" s="2" t="s">
        <v>25</v>
      </c>
      <c r="C5426" s="2">
        <v>1106.1579999999999</v>
      </c>
      <c r="D5426" s="2">
        <f>HYPERLINK("http://mcb-m6.bioreg.kyushu-u.ac.jp/M3/20110421/F51047/3284/1", 40.33)</f>
        <v>40.33</v>
      </c>
      <c r="E5426" s="2">
        <v>18.77</v>
      </c>
      <c r="F5426" s="2">
        <v>2</v>
      </c>
      <c r="G5426" s="2" t="s">
        <v>12</v>
      </c>
    </row>
    <row r="5427" spans="1:7" x14ac:dyDescent="0.2">
      <c r="A5427" s="2" t="s">
        <v>3245</v>
      </c>
      <c r="B5427" s="2" t="s">
        <v>25</v>
      </c>
      <c r="C5427" s="2">
        <v>1106.5350000000001</v>
      </c>
      <c r="D5427" s="2">
        <f>HYPERLINK("http://mcb-m6.bioreg.kyushu-u.ac.jp/M3/20110421/F51045/3282/1", 40.94)</f>
        <v>40.94</v>
      </c>
      <c r="E5427" s="2">
        <v>14.47</v>
      </c>
      <c r="F5427" s="2">
        <v>2</v>
      </c>
      <c r="G5427" s="2" t="s">
        <v>12</v>
      </c>
    </row>
    <row r="5428" spans="1:7" x14ac:dyDescent="0.2">
      <c r="A5428" s="2" t="s">
        <v>3245</v>
      </c>
      <c r="B5428" s="2" t="s">
        <v>25</v>
      </c>
      <c r="C5428" s="2">
        <v>1106.4169999999999</v>
      </c>
      <c r="D5428" s="2">
        <f>HYPERLINK("http://mcb-m6.bioreg.kyushu-u.ac.jp/M3/20110421/F51023/2999/1", 40.97)</f>
        <v>40.97</v>
      </c>
      <c r="E5428" s="2">
        <v>8.64</v>
      </c>
      <c r="F5428" s="2">
        <v>2</v>
      </c>
      <c r="G5428" s="2" t="s">
        <v>12</v>
      </c>
    </row>
    <row r="5429" spans="1:7" x14ac:dyDescent="0.2">
      <c r="A5429" s="2" t="s">
        <v>3245</v>
      </c>
      <c r="B5429" s="2" t="s">
        <v>25</v>
      </c>
      <c r="C5429" s="2">
        <v>1106.5630000000001</v>
      </c>
      <c r="D5429" s="2">
        <f>HYPERLINK("http://mcb-m6.bioreg.kyushu-u.ac.jp/M3/20110421/F51050/3123/1", 41.87)</f>
        <v>41.87</v>
      </c>
      <c r="E5429" s="2">
        <v>21.05</v>
      </c>
      <c r="F5429" s="2">
        <v>2</v>
      </c>
      <c r="G5429" s="2" t="s">
        <v>12</v>
      </c>
    </row>
    <row r="5430" spans="1:7" x14ac:dyDescent="0.2">
      <c r="A5430" s="2" t="s">
        <v>3245</v>
      </c>
      <c r="B5430" s="2" t="s">
        <v>25</v>
      </c>
      <c r="C5430" s="2">
        <v>737.89350000000002</v>
      </c>
      <c r="D5430" s="2">
        <f>HYPERLINK("http://mcb-m6.bioreg.kyushu-u.ac.jp/M3/20110421/F51043/3309/1", 42.31)</f>
        <v>42.31</v>
      </c>
      <c r="E5430" s="2">
        <v>20.27</v>
      </c>
      <c r="F5430" s="2">
        <v>3</v>
      </c>
      <c r="G5430" s="2" t="s">
        <v>12</v>
      </c>
    </row>
    <row r="5431" spans="1:7" x14ac:dyDescent="0.2">
      <c r="A5431" s="2" t="s">
        <v>3245</v>
      </c>
      <c r="B5431" s="2" t="s">
        <v>25</v>
      </c>
      <c r="C5431" s="2">
        <v>1105.883</v>
      </c>
      <c r="D5431" s="2">
        <f>HYPERLINK("http://mcb-m6.bioreg.kyushu-u.ac.jp/M3/20110421/F51026/2949/1", 42.39)</f>
        <v>42.39</v>
      </c>
      <c r="E5431" s="2">
        <v>25.99</v>
      </c>
      <c r="F5431" s="2">
        <v>2</v>
      </c>
      <c r="G5431" s="2" t="s">
        <v>12</v>
      </c>
    </row>
    <row r="5432" spans="1:7" x14ac:dyDescent="0.2">
      <c r="A5432" s="2" t="s">
        <v>3245</v>
      </c>
      <c r="B5432" s="2" t="s">
        <v>25</v>
      </c>
      <c r="C5432" s="2">
        <v>1106.585</v>
      </c>
      <c r="D5432" s="2">
        <f>HYPERLINK("http://mcb-m6.bioreg.kyushu-u.ac.jp/M3/20110421/F51043/3312/1", 42.8)</f>
        <v>42.8</v>
      </c>
      <c r="E5432" s="2">
        <v>20.21</v>
      </c>
      <c r="F5432" s="2">
        <v>2</v>
      </c>
      <c r="G5432" s="2" t="s">
        <v>12</v>
      </c>
    </row>
    <row r="5433" spans="1:7" x14ac:dyDescent="0.2">
      <c r="A5433" s="2" t="s">
        <v>3245</v>
      </c>
      <c r="B5433" s="2" t="s">
        <v>25</v>
      </c>
      <c r="C5433" s="2">
        <v>1106.45</v>
      </c>
      <c r="D5433" s="2">
        <f>HYPERLINK("http://mcb-m6.bioreg.kyushu-u.ac.jp/M3/20110421/F51044/3360/1", 43.72)</f>
        <v>43.72</v>
      </c>
      <c r="E5433" s="2">
        <v>21.34</v>
      </c>
      <c r="F5433" s="2">
        <v>2</v>
      </c>
      <c r="G5433" s="2" t="s">
        <v>12</v>
      </c>
    </row>
    <row r="5434" spans="1:7" x14ac:dyDescent="0.2">
      <c r="A5434" s="2" t="s">
        <v>3245</v>
      </c>
      <c r="B5434" s="2" t="s">
        <v>25</v>
      </c>
      <c r="C5434" s="2">
        <v>1106.6379999999999</v>
      </c>
      <c r="D5434" s="2">
        <f>HYPERLINK("http://mcb-m6.bioreg.kyushu-u.ac.jp/M3/20110421/F51048/3327/1", 44.3)</f>
        <v>44.3</v>
      </c>
      <c r="E5434" s="2">
        <v>11.81</v>
      </c>
      <c r="F5434" s="2">
        <v>2</v>
      </c>
      <c r="G5434" s="2" t="s">
        <v>12</v>
      </c>
    </row>
    <row r="5435" spans="1:7" x14ac:dyDescent="0.2">
      <c r="A5435" s="2" t="s">
        <v>3245</v>
      </c>
      <c r="B5435" s="2" t="s">
        <v>25</v>
      </c>
      <c r="C5435" s="2">
        <v>1106.569</v>
      </c>
      <c r="D5435" s="2">
        <f>HYPERLINK("http://mcb-m6.bioreg.kyushu-u.ac.jp/M3/20110421/F51043/3311/1", 45.65)</f>
        <v>45.65</v>
      </c>
      <c r="E5435" s="2">
        <v>22.33</v>
      </c>
      <c r="F5435" s="2">
        <v>2</v>
      </c>
      <c r="G5435" s="2" t="s">
        <v>12</v>
      </c>
    </row>
    <row r="5436" spans="1:7" x14ac:dyDescent="0.2">
      <c r="A5436" s="2" t="s">
        <v>3245</v>
      </c>
      <c r="B5436" s="2" t="s">
        <v>25</v>
      </c>
      <c r="C5436" s="2">
        <v>1106.4000000000001</v>
      </c>
      <c r="D5436" s="2">
        <f>HYPERLINK("http://mcb-m6.bioreg.kyushu-u.ac.jp/M3/20110421/F51026/2951/1", 45.67)</f>
        <v>45.67</v>
      </c>
      <c r="E5436" s="2">
        <v>29.7</v>
      </c>
      <c r="F5436" s="2">
        <v>2</v>
      </c>
      <c r="G5436" s="2" t="s">
        <v>12</v>
      </c>
    </row>
    <row r="5437" spans="1:7" x14ac:dyDescent="0.2">
      <c r="A5437" s="2" t="s">
        <v>3245</v>
      </c>
      <c r="B5437" s="2" t="s">
        <v>25</v>
      </c>
      <c r="C5437" s="2">
        <v>1106.596</v>
      </c>
      <c r="D5437" s="2">
        <f>HYPERLINK("http://mcb-m6.bioreg.kyushu-u.ac.jp/M3/20110421/F51043/3313/1", 45.98)</f>
        <v>45.98</v>
      </c>
      <c r="E5437" s="2">
        <v>25.31</v>
      </c>
      <c r="F5437" s="2">
        <v>2</v>
      </c>
      <c r="G5437" s="2" t="s">
        <v>12</v>
      </c>
    </row>
    <row r="5438" spans="1:7" x14ac:dyDescent="0.2">
      <c r="A5438" s="2" t="s">
        <v>3245</v>
      </c>
      <c r="B5438" s="2" t="s">
        <v>25</v>
      </c>
      <c r="C5438" s="2">
        <v>1106.011</v>
      </c>
      <c r="D5438" s="2">
        <f>HYPERLINK("http://mcb-m6.bioreg.kyushu-u.ac.jp/M3/20110421/F51045/3278/1", 46.12)</f>
        <v>46.12</v>
      </c>
      <c r="E5438" s="2">
        <v>21.05</v>
      </c>
      <c r="F5438" s="2">
        <v>2</v>
      </c>
      <c r="G5438" s="2" t="s">
        <v>12</v>
      </c>
    </row>
    <row r="5439" spans="1:7" x14ac:dyDescent="0.2">
      <c r="A5439" s="2" t="s">
        <v>3245</v>
      </c>
      <c r="B5439" s="2" t="s">
        <v>25</v>
      </c>
      <c r="C5439" s="2">
        <v>1106.461</v>
      </c>
      <c r="D5439" s="2">
        <f>HYPERLINK("http://mcb-m6.bioreg.kyushu-u.ac.jp/M3/20110421/F51044/3361/1", 46.44)</f>
        <v>46.44</v>
      </c>
      <c r="E5439" s="2">
        <v>21.49</v>
      </c>
      <c r="F5439" s="2">
        <v>2</v>
      </c>
      <c r="G5439" s="2" t="s">
        <v>12</v>
      </c>
    </row>
    <row r="5440" spans="1:7" x14ac:dyDescent="0.2">
      <c r="A5440" s="2" t="s">
        <v>3245</v>
      </c>
      <c r="B5440" s="2" t="s">
        <v>25</v>
      </c>
      <c r="C5440" s="2">
        <v>1105.5129999999999</v>
      </c>
      <c r="D5440" s="2">
        <f>HYPERLINK("http://mcb-m6.bioreg.kyushu-u.ac.jp/M3/20110421/F51061/2912/1", 47.74)</f>
        <v>47.74</v>
      </c>
      <c r="E5440" s="2">
        <v>30.5</v>
      </c>
      <c r="F5440" s="2">
        <v>2</v>
      </c>
      <c r="G5440" s="2" t="s">
        <v>12</v>
      </c>
    </row>
    <row r="5441" spans="1:7" x14ac:dyDescent="0.2">
      <c r="A5441" s="2" t="s">
        <v>3245</v>
      </c>
      <c r="B5441" s="2" t="s">
        <v>25</v>
      </c>
      <c r="C5441" s="2">
        <v>1105.93</v>
      </c>
      <c r="D5441" s="2">
        <f>HYPERLINK("http://mcb-m6.bioreg.kyushu-u.ac.jp/M3/20110421/F51023/2994/1", 47.9)</f>
        <v>47.9</v>
      </c>
      <c r="E5441" s="2">
        <v>27.64</v>
      </c>
      <c r="F5441" s="2">
        <v>2</v>
      </c>
      <c r="G5441" s="2" t="s">
        <v>12</v>
      </c>
    </row>
    <row r="5442" spans="1:7" x14ac:dyDescent="0.2">
      <c r="A5442" s="2" t="s">
        <v>3245</v>
      </c>
      <c r="B5442" s="2" t="s">
        <v>25</v>
      </c>
      <c r="C5442" s="2">
        <v>1106.1880000000001</v>
      </c>
      <c r="D5442" s="2">
        <f>HYPERLINK("http://mcb-m6.bioreg.kyushu-u.ac.jp/M3/20110421/F51024/3182/1", 48.36)</f>
        <v>48.36</v>
      </c>
      <c r="E5442" s="2">
        <v>23.97</v>
      </c>
      <c r="F5442" s="2">
        <v>2</v>
      </c>
      <c r="G5442" s="2" t="s">
        <v>12</v>
      </c>
    </row>
    <row r="5443" spans="1:7" x14ac:dyDescent="0.2">
      <c r="A5443" s="2" t="s">
        <v>3245</v>
      </c>
      <c r="B5443" s="2" t="s">
        <v>25</v>
      </c>
      <c r="C5443" s="2">
        <v>737.94320000000005</v>
      </c>
      <c r="D5443" s="2">
        <f>HYPERLINK("http://mcb-m6.bioreg.kyushu-u.ac.jp/M3/20110421/F51044/3359/1", 48.46)</f>
        <v>48.46</v>
      </c>
      <c r="E5443" s="2">
        <v>30.45</v>
      </c>
      <c r="F5443" s="2">
        <v>3</v>
      </c>
      <c r="G5443" s="2" t="s">
        <v>12</v>
      </c>
    </row>
    <row r="5444" spans="1:7" x14ac:dyDescent="0.2">
      <c r="A5444" s="2" t="s">
        <v>3245</v>
      </c>
      <c r="B5444" s="2" t="s">
        <v>25</v>
      </c>
      <c r="C5444" s="2">
        <v>737.40689999999995</v>
      </c>
      <c r="D5444" s="2">
        <f>HYPERLINK("http://mcb-m6.bioreg.kyushu-u.ac.jp/M3/20110421/F51021/3636/1", 48.77)</f>
        <v>48.77</v>
      </c>
      <c r="E5444" s="2">
        <v>24.06</v>
      </c>
      <c r="F5444" s="2">
        <v>3</v>
      </c>
      <c r="G5444" s="2" t="s">
        <v>12</v>
      </c>
    </row>
    <row r="5445" spans="1:7" x14ac:dyDescent="0.2">
      <c r="A5445" s="2" t="s">
        <v>3245</v>
      </c>
      <c r="B5445" s="2" t="s">
        <v>25</v>
      </c>
      <c r="C5445" s="2">
        <v>737.96220000000005</v>
      </c>
      <c r="D5445" s="2">
        <f>HYPERLINK("http://mcb-m6.bioreg.kyushu-u.ac.jp/M3/20110421/F51050/3120/1", 49.07)</f>
        <v>49.07</v>
      </c>
      <c r="E5445" s="2">
        <v>28.73</v>
      </c>
      <c r="F5445" s="2">
        <v>3</v>
      </c>
      <c r="G5445" s="2" t="s">
        <v>12</v>
      </c>
    </row>
    <row r="5446" spans="1:7" x14ac:dyDescent="0.2">
      <c r="A5446" s="2" t="s">
        <v>3245</v>
      </c>
      <c r="B5446" s="2" t="s">
        <v>25</v>
      </c>
      <c r="C5446" s="2">
        <v>1106.491</v>
      </c>
      <c r="D5446" s="2">
        <f>HYPERLINK("http://mcb-m6.bioreg.kyushu-u.ac.jp/M3/20110421/F51044/3363/1", 49.07)</f>
        <v>49.07</v>
      </c>
      <c r="E5446" s="2">
        <v>25.53</v>
      </c>
      <c r="F5446" s="2">
        <v>2</v>
      </c>
      <c r="G5446" s="2" t="s">
        <v>12</v>
      </c>
    </row>
    <row r="5447" spans="1:7" x14ac:dyDescent="0.2">
      <c r="A5447" s="2" t="s">
        <v>3245</v>
      </c>
      <c r="B5447" s="2" t="s">
        <v>25</v>
      </c>
      <c r="C5447" s="2">
        <v>1106.5540000000001</v>
      </c>
      <c r="D5447" s="2">
        <f>HYPERLINK("http://mcb-m6.bioreg.kyushu-u.ac.jp/M3/20110421/F51050/3122/1", 49.33)</f>
        <v>49.33</v>
      </c>
      <c r="E5447" s="2">
        <v>32.83</v>
      </c>
      <c r="F5447" s="2">
        <v>2</v>
      </c>
      <c r="G5447" s="2" t="s">
        <v>12</v>
      </c>
    </row>
    <row r="5448" spans="1:7" x14ac:dyDescent="0.2">
      <c r="A5448" s="2" t="s">
        <v>3245</v>
      </c>
      <c r="B5448" s="2" t="s">
        <v>25</v>
      </c>
      <c r="C5448" s="2">
        <v>1106.4559999999999</v>
      </c>
      <c r="D5448" s="2">
        <f>HYPERLINK("http://mcb-m6.bioreg.kyushu-u.ac.jp/M3/20110421/F51025/2938/1", 49.53)</f>
        <v>49.53</v>
      </c>
      <c r="E5448" s="2">
        <v>22.48</v>
      </c>
      <c r="F5448" s="2">
        <v>2</v>
      </c>
      <c r="G5448" s="2" t="s">
        <v>12</v>
      </c>
    </row>
    <row r="5449" spans="1:7" x14ac:dyDescent="0.2">
      <c r="A5449" s="2" t="s">
        <v>3245</v>
      </c>
      <c r="B5449" s="2" t="s">
        <v>25</v>
      </c>
      <c r="C5449" s="2">
        <v>738.10419999999999</v>
      </c>
      <c r="D5449" s="2">
        <f>HYPERLINK("http://mcb-m6.bioreg.kyushu-u.ac.jp/M3/20110421/F51043/3315/1", 49.78)</f>
        <v>49.78</v>
      </c>
      <c r="E5449" s="2">
        <v>28.18</v>
      </c>
      <c r="F5449" s="2">
        <v>3</v>
      </c>
      <c r="G5449" s="2" t="s">
        <v>12</v>
      </c>
    </row>
    <row r="5450" spans="1:7" x14ac:dyDescent="0.2">
      <c r="A5450" s="2" t="s">
        <v>3245</v>
      </c>
      <c r="B5450" s="2" t="s">
        <v>25</v>
      </c>
      <c r="C5450" s="2">
        <v>737.90049999999997</v>
      </c>
      <c r="D5450" s="2">
        <f>HYPERLINK("http://mcb-m6.bioreg.kyushu-u.ac.jp/M3/20110421/F51059/3265/1", 54.85)</f>
        <v>54.85</v>
      </c>
      <c r="E5450" s="2">
        <v>32.5</v>
      </c>
      <c r="F5450" s="2">
        <v>3</v>
      </c>
      <c r="G5450" s="2" t="s">
        <v>12</v>
      </c>
    </row>
    <row r="5451" spans="1:7" x14ac:dyDescent="0.2">
      <c r="A5451" s="2" t="s">
        <v>3245</v>
      </c>
      <c r="B5451" s="2" t="s">
        <v>25</v>
      </c>
      <c r="C5451" s="2">
        <v>1106.567</v>
      </c>
      <c r="D5451" s="2">
        <f>HYPERLINK("http://mcb-m6.bioreg.kyushu-u.ac.jp/M3/20110421/F51047/3286/1", 56.96)</f>
        <v>56.96</v>
      </c>
      <c r="E5451" s="2">
        <v>21.28</v>
      </c>
      <c r="F5451" s="2">
        <v>2</v>
      </c>
      <c r="G5451" s="2" t="s">
        <v>12</v>
      </c>
    </row>
    <row r="5452" spans="1:7" x14ac:dyDescent="0.2">
      <c r="A5452" s="2" t="s">
        <v>3245</v>
      </c>
      <c r="B5452" s="2" t="s">
        <v>25</v>
      </c>
      <c r="C5452" s="2">
        <v>1106.42</v>
      </c>
      <c r="D5452" s="2">
        <f>HYPERLINK("http://mcb-m6.bioreg.kyushu-u.ac.jp/M3/20110421/F51025/2937/1", 57.84)</f>
        <v>57.84</v>
      </c>
      <c r="E5452" s="2">
        <v>27.04</v>
      </c>
      <c r="F5452" s="2">
        <v>2</v>
      </c>
      <c r="G5452" s="2" t="s">
        <v>12</v>
      </c>
    </row>
    <row r="5453" spans="1:7" x14ac:dyDescent="0.2">
      <c r="A5453" s="2" t="s">
        <v>3245</v>
      </c>
      <c r="B5453" s="2" t="s">
        <v>25</v>
      </c>
      <c r="C5453" s="2">
        <v>1106.3789999999999</v>
      </c>
      <c r="D5453" s="2">
        <f>HYPERLINK("http://mcb-m6.bioreg.kyushu-u.ac.jp/M3/20110421/F51023/2997/1", 58.02)</f>
        <v>58.02</v>
      </c>
      <c r="E5453" s="2">
        <v>30.23</v>
      </c>
      <c r="F5453" s="2">
        <v>2</v>
      </c>
      <c r="G5453" s="2" t="s">
        <v>12</v>
      </c>
    </row>
    <row r="5454" spans="1:7" x14ac:dyDescent="0.2">
      <c r="A5454" s="2" t="s">
        <v>3245</v>
      </c>
      <c r="B5454" s="2" t="s">
        <v>25</v>
      </c>
      <c r="C5454" s="2">
        <v>1106.53</v>
      </c>
      <c r="D5454" s="2">
        <f>HYPERLINK("http://mcb-m6.bioreg.kyushu-u.ac.jp/M3/20110421/F51045/3281/1", 58.74)</f>
        <v>58.74</v>
      </c>
      <c r="E5454" s="2">
        <v>26.49</v>
      </c>
      <c r="F5454" s="2">
        <v>2</v>
      </c>
      <c r="G5454" s="2" t="s">
        <v>12</v>
      </c>
    </row>
    <row r="5455" spans="1:7" x14ac:dyDescent="0.2">
      <c r="A5455" s="2" t="s">
        <v>3245</v>
      </c>
      <c r="B5455" s="2" t="s">
        <v>25</v>
      </c>
      <c r="C5455" s="2">
        <v>737.40290000000005</v>
      </c>
      <c r="D5455" s="2">
        <f>HYPERLINK("http://mcb-m6.bioreg.kyushu-u.ac.jp/M3/20110421/F51021/3635/1", 58.98)</f>
        <v>58.98</v>
      </c>
      <c r="E5455" s="2">
        <v>41.37</v>
      </c>
      <c r="F5455" s="2">
        <v>3</v>
      </c>
      <c r="G5455" s="2" t="s">
        <v>12</v>
      </c>
    </row>
    <row r="5456" spans="1:7" x14ac:dyDescent="0.2">
      <c r="A5456" s="2" t="s">
        <v>3245</v>
      </c>
      <c r="B5456" s="2" t="s">
        <v>25</v>
      </c>
      <c r="C5456" s="2">
        <v>737.64480000000003</v>
      </c>
      <c r="D5456" s="2">
        <f>HYPERLINK("http://mcb-m6.bioreg.kyushu-u.ac.jp/M3/20110421/F51045/3276/1", 59.36)</f>
        <v>59.36</v>
      </c>
      <c r="E5456" s="2">
        <v>29.66</v>
      </c>
      <c r="F5456" s="2">
        <v>3</v>
      </c>
      <c r="G5456" s="2" t="s">
        <v>12</v>
      </c>
    </row>
    <row r="5457" spans="1:7" x14ac:dyDescent="0.2">
      <c r="A5457" s="2" t="s">
        <v>3245</v>
      </c>
      <c r="B5457" s="2" t="s">
        <v>25</v>
      </c>
      <c r="C5457" s="2">
        <v>737.58050000000003</v>
      </c>
      <c r="D5457" s="2">
        <f>HYPERLINK("http://mcb-m6.bioreg.kyushu-u.ac.jp/M3/20110421/F51021/3642/1", 60.55)</f>
        <v>60.55</v>
      </c>
      <c r="E5457" s="2">
        <v>39.549999999999997</v>
      </c>
      <c r="F5457" s="2">
        <v>3</v>
      </c>
      <c r="G5457" s="2" t="s">
        <v>12</v>
      </c>
    </row>
    <row r="5458" spans="1:7" x14ac:dyDescent="0.2">
      <c r="A5458" s="2" t="s">
        <v>3245</v>
      </c>
      <c r="B5458" s="2" t="s">
        <v>25</v>
      </c>
      <c r="C5458" s="2">
        <v>1106.3209999999999</v>
      </c>
      <c r="D5458" s="2">
        <f>HYPERLINK("http://mcb-m6.bioreg.kyushu-u.ac.jp/M3/20110421/F51025/2936/1", 61.06)</f>
        <v>61.06</v>
      </c>
      <c r="E5458" s="2">
        <v>44.15</v>
      </c>
      <c r="F5458" s="2">
        <v>2</v>
      </c>
      <c r="G5458" s="2" t="s">
        <v>12</v>
      </c>
    </row>
    <row r="5459" spans="1:7" x14ac:dyDescent="0.2">
      <c r="A5459" s="2" t="s">
        <v>3245</v>
      </c>
      <c r="B5459" s="2" t="s">
        <v>25</v>
      </c>
      <c r="C5459" s="2">
        <v>1105.5419999999999</v>
      </c>
      <c r="D5459" s="2">
        <f>HYPERLINK("http://mcb-m6.bioreg.kyushu-u.ac.jp/M3/20110421/F51050/3116/1", 62.83)</f>
        <v>62.83</v>
      </c>
      <c r="E5459" s="2">
        <v>45.1</v>
      </c>
      <c r="F5459" s="2">
        <v>2</v>
      </c>
      <c r="G5459" s="2" t="s">
        <v>12</v>
      </c>
    </row>
    <row r="5460" spans="1:7" x14ac:dyDescent="0.2">
      <c r="A5460" s="2" t="s">
        <v>3245</v>
      </c>
      <c r="B5460" s="2" t="s">
        <v>25</v>
      </c>
      <c r="C5460" s="2">
        <v>1105.5429999999999</v>
      </c>
      <c r="D5460" s="2">
        <f>HYPERLINK("http://mcb-m6.bioreg.kyushu-u.ac.jp/M3/20110421/F51043/3301/1", 63.73)</f>
        <v>63.73</v>
      </c>
      <c r="E5460" s="2">
        <v>43.94</v>
      </c>
      <c r="F5460" s="2">
        <v>2</v>
      </c>
      <c r="G5460" s="2" t="s">
        <v>12</v>
      </c>
    </row>
    <row r="5461" spans="1:7" x14ac:dyDescent="0.2">
      <c r="A5461" s="2" t="s">
        <v>3245</v>
      </c>
      <c r="B5461" s="2" t="s">
        <v>25</v>
      </c>
      <c r="C5461" s="2">
        <v>1105.5129999999999</v>
      </c>
      <c r="D5461" s="2">
        <f>HYPERLINK("http://mcb-m6.bioreg.kyushu-u.ac.jp/M3/20110421/F51048/3321/1", 64.11)</f>
        <v>64.11</v>
      </c>
      <c r="E5461" s="2">
        <v>38.14</v>
      </c>
      <c r="F5461" s="2">
        <v>2</v>
      </c>
      <c r="G5461" s="2" t="s">
        <v>12</v>
      </c>
    </row>
    <row r="5462" spans="1:7" x14ac:dyDescent="0.2">
      <c r="A5462" s="2" t="s">
        <v>3245</v>
      </c>
      <c r="B5462" s="2" t="s">
        <v>25</v>
      </c>
      <c r="C5462" s="2">
        <v>738.09360000000004</v>
      </c>
      <c r="D5462" s="2">
        <f>HYPERLINK("http://mcb-m6.bioreg.kyushu-u.ac.jp/M3/20110421/F51021/3650/1", 64.41)</f>
        <v>64.41</v>
      </c>
      <c r="E5462" s="2">
        <v>28.08</v>
      </c>
      <c r="F5462" s="2">
        <v>3</v>
      </c>
      <c r="G5462" s="2" t="s">
        <v>12</v>
      </c>
    </row>
    <row r="5463" spans="1:7" x14ac:dyDescent="0.2">
      <c r="A5463" s="2" t="s">
        <v>3245</v>
      </c>
      <c r="B5463" s="2" t="s">
        <v>25</v>
      </c>
      <c r="C5463" s="2">
        <v>1105.742</v>
      </c>
      <c r="D5463" s="2">
        <f>HYPERLINK("http://mcb-m6.bioreg.kyushu-u.ac.jp/M3/20110421/F51021/3637/1", 66.14)</f>
        <v>66.14</v>
      </c>
      <c r="E5463" s="2">
        <v>45.81</v>
      </c>
      <c r="F5463" s="2">
        <v>2</v>
      </c>
      <c r="G5463" s="2" t="s">
        <v>12</v>
      </c>
    </row>
    <row r="5464" spans="1:7" x14ac:dyDescent="0.2">
      <c r="A5464" s="2" t="s">
        <v>3245</v>
      </c>
      <c r="B5464" s="2" t="s">
        <v>25</v>
      </c>
      <c r="C5464" s="2">
        <v>1106.0309999999999</v>
      </c>
      <c r="D5464" s="2">
        <f>HYPERLINK("http://mcb-m6.bioreg.kyushu-u.ac.jp/M3/20110421/F51045/3279/1", 68.02)</f>
        <v>68.02</v>
      </c>
      <c r="E5464" s="2">
        <v>46.04</v>
      </c>
      <c r="F5464" s="2">
        <v>2</v>
      </c>
      <c r="G5464" s="2" t="s">
        <v>12</v>
      </c>
    </row>
    <row r="5465" spans="1:7" x14ac:dyDescent="0.2">
      <c r="A5465" s="2" t="s">
        <v>3245</v>
      </c>
      <c r="B5465" s="2" t="s">
        <v>25</v>
      </c>
      <c r="C5465" s="2">
        <v>1105.943</v>
      </c>
      <c r="D5465" s="2">
        <f>HYPERLINK("http://mcb-m6.bioreg.kyushu-u.ac.jp/M3/20110421/F51023/2995/1", 68.38)</f>
        <v>68.38</v>
      </c>
      <c r="E5465" s="2">
        <v>51.16</v>
      </c>
      <c r="F5465" s="2">
        <v>2</v>
      </c>
      <c r="G5465" s="2" t="s">
        <v>12</v>
      </c>
    </row>
    <row r="5466" spans="1:7" x14ac:dyDescent="0.2">
      <c r="A5466" s="2" t="s">
        <v>3245</v>
      </c>
      <c r="B5466" s="2" t="s">
        <v>25</v>
      </c>
      <c r="C5466" s="2">
        <v>1106.2360000000001</v>
      </c>
      <c r="D5466" s="2">
        <f>HYPERLINK("http://mcb-m6.bioreg.kyushu-u.ac.jp/M3/20110421/F51021/3645/1", 68.6)</f>
        <v>68.599999999999994</v>
      </c>
      <c r="E5466" s="2">
        <v>37.11</v>
      </c>
      <c r="F5466" s="2">
        <v>2</v>
      </c>
      <c r="G5466" s="2" t="s">
        <v>12</v>
      </c>
    </row>
    <row r="5467" spans="1:7" x14ac:dyDescent="0.2">
      <c r="A5467" s="2" t="s">
        <v>3245</v>
      </c>
      <c r="B5467" s="2" t="s">
        <v>25</v>
      </c>
      <c r="C5467" s="2">
        <v>1105.7739999999999</v>
      </c>
      <c r="D5467" s="2">
        <f>HYPERLINK("http://mcb-m6.bioreg.kyushu-u.ac.jp/M3/20110421/F51047/3280/1", 68.7)</f>
        <v>68.7</v>
      </c>
      <c r="E5467" s="2">
        <v>54.67</v>
      </c>
      <c r="F5467" s="2">
        <v>2</v>
      </c>
      <c r="G5467" s="2" t="s">
        <v>12</v>
      </c>
    </row>
    <row r="5468" spans="1:7" x14ac:dyDescent="0.2">
      <c r="A5468" s="2" t="s">
        <v>3245</v>
      </c>
      <c r="B5468" s="2" t="s">
        <v>25</v>
      </c>
      <c r="C5468" s="2">
        <v>737.78120000000001</v>
      </c>
      <c r="D5468" s="2">
        <f>HYPERLINK("http://mcb-m6.bioreg.kyushu-u.ac.jp/M3/20110421/F51021/3644/1", 68.8)</f>
        <v>68.8</v>
      </c>
      <c r="E5468" s="2">
        <v>38.78</v>
      </c>
      <c r="F5468" s="2">
        <v>3</v>
      </c>
      <c r="G5468" s="2" t="s">
        <v>12</v>
      </c>
    </row>
    <row r="5469" spans="1:7" x14ac:dyDescent="0.2">
      <c r="A5469" s="2" t="s">
        <v>3245</v>
      </c>
      <c r="B5469" s="2" t="s">
        <v>25</v>
      </c>
      <c r="C5469" s="2">
        <v>737.64559999999994</v>
      </c>
      <c r="D5469" s="2">
        <f>HYPERLINK("http://mcb-m6.bioreg.kyushu-u.ac.jp/M3/20110421/F51023/2996/1", 71.18)</f>
        <v>71.180000000000007</v>
      </c>
      <c r="E5469" s="2">
        <v>39.380000000000003</v>
      </c>
      <c r="F5469" s="2">
        <v>3</v>
      </c>
      <c r="G5469" s="2" t="s">
        <v>12</v>
      </c>
    </row>
    <row r="5470" spans="1:7" x14ac:dyDescent="0.2">
      <c r="A5470" s="2" t="s">
        <v>3245</v>
      </c>
      <c r="B5470" s="2" t="s">
        <v>25</v>
      </c>
      <c r="C5470" s="2">
        <v>1106.1289999999999</v>
      </c>
      <c r="D5470" s="2">
        <f>HYPERLINK("http://mcb-m6.bioreg.kyushu-u.ac.jp/M3/20110421/F51048/3323/1", 71.59)</f>
        <v>71.59</v>
      </c>
      <c r="E5470" s="2">
        <v>38.97</v>
      </c>
      <c r="F5470" s="2">
        <v>2</v>
      </c>
      <c r="G5470" s="2" t="s">
        <v>12</v>
      </c>
    </row>
    <row r="5471" spans="1:7" x14ac:dyDescent="0.2">
      <c r="A5471" s="2" t="s">
        <v>3245</v>
      </c>
      <c r="B5471" s="2" t="s">
        <v>25</v>
      </c>
      <c r="C5471" s="2">
        <v>1106.309</v>
      </c>
      <c r="D5471" s="2">
        <f>HYPERLINK("http://mcb-m6.bioreg.kyushu-u.ac.jp/M3/20110421/F51024/3183/1", 72.34)</f>
        <v>72.34</v>
      </c>
      <c r="E5471" s="2">
        <v>50.09</v>
      </c>
      <c r="F5471" s="2">
        <v>2</v>
      </c>
      <c r="G5471" s="2" t="s">
        <v>12</v>
      </c>
    </row>
    <row r="5472" spans="1:7" x14ac:dyDescent="0.2">
      <c r="A5472" s="2" t="s">
        <v>3245</v>
      </c>
      <c r="B5472" s="2" t="s">
        <v>25</v>
      </c>
      <c r="C5472" s="2">
        <v>1105.527</v>
      </c>
      <c r="D5472" s="2">
        <f>HYPERLINK("http://mcb-m6.bioreg.kyushu-u.ac.jp/M3/20110421/F51045/3272/1", 75.36)</f>
        <v>75.36</v>
      </c>
      <c r="E5472" s="2">
        <v>46.57</v>
      </c>
      <c r="F5472" s="2">
        <v>2</v>
      </c>
      <c r="G5472" s="2" t="s">
        <v>12</v>
      </c>
    </row>
    <row r="5473" spans="1:7" x14ac:dyDescent="0.2">
      <c r="A5473" s="2" t="s">
        <v>3245</v>
      </c>
      <c r="B5473" s="2" t="s">
        <v>25</v>
      </c>
      <c r="C5473" s="2">
        <v>1105.934</v>
      </c>
      <c r="D5473" s="2">
        <f>HYPERLINK("http://mcb-m6.bioreg.kyushu-u.ac.jp/M3/20110421/F51025/2935/1", 75.99)</f>
        <v>75.989999999999995</v>
      </c>
      <c r="E5473" s="2">
        <v>53.92</v>
      </c>
      <c r="F5473" s="2">
        <v>2</v>
      </c>
      <c r="G5473" s="2" t="s">
        <v>12</v>
      </c>
    </row>
    <row r="5474" spans="1:7" x14ac:dyDescent="0.2">
      <c r="A5474" s="2" t="s">
        <v>3245</v>
      </c>
      <c r="B5474" s="2" t="s">
        <v>25</v>
      </c>
      <c r="C5474" s="2">
        <v>1106.374</v>
      </c>
      <c r="D5474" s="2">
        <f>HYPERLINK("http://mcb-m6.bioreg.kyushu-u.ac.jp/M3/20110421/F51021/3649/1", 76.08)</f>
        <v>76.08</v>
      </c>
      <c r="E5474" s="2">
        <v>36.840000000000003</v>
      </c>
      <c r="F5474" s="2">
        <v>2</v>
      </c>
      <c r="G5474" s="2" t="s">
        <v>12</v>
      </c>
    </row>
    <row r="5475" spans="1:7" x14ac:dyDescent="0.2">
      <c r="A5475" s="2" t="s">
        <v>3245</v>
      </c>
      <c r="B5475" s="2" t="s">
        <v>25</v>
      </c>
      <c r="C5475" s="2">
        <v>1106.317</v>
      </c>
      <c r="D5475" s="2">
        <f>HYPERLINK("http://mcb-m6.bioreg.kyushu-u.ac.jp/M3/20110421/F51021/3647/1", 82.73)</f>
        <v>82.73</v>
      </c>
      <c r="E5475" s="2">
        <v>34.31</v>
      </c>
      <c r="F5475" s="2">
        <v>2</v>
      </c>
      <c r="G5475" s="2" t="s">
        <v>12</v>
      </c>
    </row>
    <row r="5476" spans="1:7" x14ac:dyDescent="0.2">
      <c r="A5476" s="2" t="s">
        <v>3245</v>
      </c>
      <c r="B5476" s="2" t="s">
        <v>25</v>
      </c>
      <c r="C5476" s="2">
        <v>1105.951</v>
      </c>
      <c r="D5476" s="2">
        <f>HYPERLINK("http://mcb-m6.bioreg.kyushu-u.ac.jp/M3/20110421/F51024/3179/1", 84.86)</f>
        <v>84.86</v>
      </c>
      <c r="E5476" s="2">
        <v>59.36</v>
      </c>
      <c r="F5476" s="2">
        <v>2</v>
      </c>
      <c r="G5476" s="2" t="s">
        <v>12</v>
      </c>
    </row>
    <row r="5477" spans="1:7" x14ac:dyDescent="0.2">
      <c r="A5477" s="2" t="s">
        <v>3245</v>
      </c>
      <c r="B5477" s="2" t="s">
        <v>25</v>
      </c>
      <c r="C5477" s="2">
        <v>1106.0619999999999</v>
      </c>
      <c r="D5477" s="2">
        <f>HYPERLINK("http://mcb-m6.bioreg.kyushu-u.ac.jp/M3/20110421/F51050/3119/1", 84.92)</f>
        <v>84.92</v>
      </c>
      <c r="E5477" s="2">
        <v>42.88</v>
      </c>
      <c r="F5477" s="2">
        <v>2</v>
      </c>
      <c r="G5477" s="2" t="s">
        <v>12</v>
      </c>
    </row>
    <row r="5478" spans="1:7" x14ac:dyDescent="0.2">
      <c r="A5478" s="2" t="s">
        <v>3245</v>
      </c>
      <c r="B5478" s="2" t="s">
        <v>25</v>
      </c>
      <c r="C5478" s="2">
        <v>1106.0150000000001</v>
      </c>
      <c r="D5478" s="2">
        <f>HYPERLINK("http://mcb-m6.bioreg.kyushu-u.ac.jp/M3/20110421/F51024/3180/1", 86.52)</f>
        <v>86.52</v>
      </c>
      <c r="E5478" s="2">
        <v>43.71</v>
      </c>
      <c r="F5478" s="2">
        <v>2</v>
      </c>
      <c r="G5478" s="2" t="s">
        <v>12</v>
      </c>
    </row>
    <row r="5479" spans="1:7" x14ac:dyDescent="0.2">
      <c r="A5479" s="2" t="s">
        <v>3245</v>
      </c>
      <c r="B5479" s="2" t="s">
        <v>25</v>
      </c>
      <c r="C5479" s="2">
        <v>1105.7660000000001</v>
      </c>
      <c r="D5479" s="2">
        <f>HYPERLINK("http://mcb-m6.bioreg.kyushu-u.ac.jp/M3/20110421/F51026/2948/1", 88.97)</f>
        <v>88.97</v>
      </c>
      <c r="E5479" s="2">
        <v>67.260000000000005</v>
      </c>
      <c r="F5479" s="2">
        <v>2</v>
      </c>
      <c r="G5479" s="2" t="s">
        <v>12</v>
      </c>
    </row>
    <row r="5480" spans="1:7" x14ac:dyDescent="0.2">
      <c r="A5480" s="2" t="s">
        <v>3245</v>
      </c>
      <c r="B5480" s="2" t="s">
        <v>25</v>
      </c>
      <c r="C5480" s="2">
        <v>1105.8150000000001</v>
      </c>
      <c r="D5480" s="2">
        <f>HYPERLINK("http://mcb-m6.bioreg.kyushu-u.ac.jp/M3/20110421/F51021/3641/1", 92.8)</f>
        <v>92.8</v>
      </c>
      <c r="E5480" s="2">
        <v>72.760000000000005</v>
      </c>
      <c r="F5480" s="2">
        <v>2</v>
      </c>
      <c r="G5480" s="2" t="s">
        <v>12</v>
      </c>
    </row>
    <row r="5481" spans="1:7" x14ac:dyDescent="0.2">
      <c r="A5481" s="2" t="s">
        <v>3245</v>
      </c>
      <c r="B5481" s="2" t="s">
        <v>25</v>
      </c>
      <c r="C5481" s="2">
        <v>1105.7909999999999</v>
      </c>
      <c r="D5481" s="2">
        <f>HYPERLINK("http://mcb-m6.bioreg.kyushu-u.ac.jp/M3/20110421/F51021/3640/1", 95.77)</f>
        <v>95.77</v>
      </c>
      <c r="E5481" s="2">
        <v>77.09</v>
      </c>
      <c r="F5481" s="2">
        <v>2</v>
      </c>
      <c r="G5481" s="2" t="s">
        <v>12</v>
      </c>
    </row>
    <row r="5482" spans="1:7" x14ac:dyDescent="0.2">
      <c r="A5482" s="2" t="s">
        <v>3245</v>
      </c>
      <c r="B5482" s="2" t="s">
        <v>25</v>
      </c>
      <c r="C5482" s="2">
        <v>1105.876</v>
      </c>
      <c r="D5482" s="2">
        <f>HYPERLINK("http://mcb-m6.bioreg.kyushu-u.ac.jp/M3/20110421/F51022/2409/1", 97.17)</f>
        <v>97.17</v>
      </c>
      <c r="E5482" s="2">
        <v>72.400000000000006</v>
      </c>
      <c r="F5482" s="2">
        <v>2</v>
      </c>
      <c r="G5482" s="2" t="s">
        <v>12</v>
      </c>
    </row>
    <row r="5483" spans="1:7" x14ac:dyDescent="0.2">
      <c r="A5483" s="2" t="s">
        <v>3245</v>
      </c>
      <c r="B5483" s="2" t="s">
        <v>25</v>
      </c>
      <c r="C5483" s="2">
        <v>1106.249</v>
      </c>
      <c r="D5483" s="2">
        <f>HYPERLINK("http://mcb-m6.bioreg.kyushu-u.ac.jp/M3/20110421/F51021/3646/1", 101.95)</f>
        <v>101.95</v>
      </c>
      <c r="E5483" s="2">
        <v>56.65</v>
      </c>
      <c r="F5483" s="2">
        <v>2</v>
      </c>
      <c r="G5483" s="2" t="s">
        <v>12</v>
      </c>
    </row>
    <row r="5484" spans="1:7" x14ac:dyDescent="0.2">
      <c r="A5484" s="2" t="s">
        <v>3245</v>
      </c>
      <c r="B5484" s="2" t="s">
        <v>25</v>
      </c>
      <c r="C5484" s="2">
        <v>1105.7539999999999</v>
      </c>
      <c r="D5484" s="2">
        <f>HYPERLINK("http://mcb-m6.bioreg.kyushu-u.ac.jp/M3/20110421/F51021/3638/1", 106.46)</f>
        <v>106.46</v>
      </c>
      <c r="E5484" s="2">
        <v>82.09</v>
      </c>
      <c r="F5484" s="2">
        <v>2</v>
      </c>
      <c r="G5484" s="2" t="s">
        <v>12</v>
      </c>
    </row>
    <row r="5485" spans="1:7" x14ac:dyDescent="0.2">
      <c r="A5485" s="2" t="s">
        <v>3245</v>
      </c>
      <c r="B5485" s="2" t="s">
        <v>25</v>
      </c>
      <c r="C5485" s="2">
        <v>1105.7670000000001</v>
      </c>
      <c r="D5485" s="2">
        <f>HYPERLINK("http://mcb-m6.bioreg.kyushu-u.ac.jp/M3/20110421/F51021/3639/1", 106.91)</f>
        <v>106.91</v>
      </c>
      <c r="E5485" s="2">
        <v>83.33</v>
      </c>
      <c r="F5485" s="2">
        <v>2</v>
      </c>
      <c r="G5485" s="2" t="s">
        <v>12</v>
      </c>
    </row>
    <row r="5486" spans="1:7" x14ac:dyDescent="0.2">
      <c r="A5486" s="2" t="s">
        <v>3245</v>
      </c>
      <c r="B5486" s="2" t="s">
        <v>25</v>
      </c>
      <c r="C5486" s="2">
        <v>737.58119999999997</v>
      </c>
      <c r="D5486" s="2">
        <f>HYPERLINK("http://mcb-m6.bioreg.kyushu-u.ac.jp/M3/20110427/F51117/3249/1", 35.44)</f>
        <v>35.44</v>
      </c>
      <c r="E5486" s="2">
        <v>11.69</v>
      </c>
      <c r="F5486" s="2">
        <v>3</v>
      </c>
      <c r="G5486" s="2" t="s">
        <v>13</v>
      </c>
    </row>
    <row r="5487" spans="1:7" x14ac:dyDescent="0.2">
      <c r="A5487" s="2" t="s">
        <v>3245</v>
      </c>
      <c r="B5487" s="2" t="s">
        <v>25</v>
      </c>
      <c r="C5487" s="2">
        <v>1105.865</v>
      </c>
      <c r="D5487" s="2">
        <f>HYPERLINK("http://mcb-m6.bioreg.kyushu-u.ac.jp/M3/20110427/F51113/3104/1", 36.61)</f>
        <v>36.61</v>
      </c>
      <c r="E5487" s="2">
        <v>20.350000000000001</v>
      </c>
      <c r="F5487" s="2">
        <v>2</v>
      </c>
      <c r="G5487" s="2" t="s">
        <v>13</v>
      </c>
    </row>
    <row r="5488" spans="1:7" x14ac:dyDescent="0.2">
      <c r="A5488" s="2" t="s">
        <v>3245</v>
      </c>
      <c r="B5488" s="2" t="s">
        <v>25</v>
      </c>
      <c r="C5488" s="2">
        <v>1106.1880000000001</v>
      </c>
      <c r="D5488" s="2">
        <f>HYPERLINK("http://mcb-m6.bioreg.kyushu-u.ac.jp/M3/20110427/F51117/3251/1", 36.92)</f>
        <v>36.92</v>
      </c>
      <c r="E5488" s="2">
        <v>14.93</v>
      </c>
      <c r="F5488" s="2">
        <v>2</v>
      </c>
      <c r="G5488" s="2" t="s">
        <v>13</v>
      </c>
    </row>
    <row r="5489" spans="1:7" x14ac:dyDescent="0.2">
      <c r="A5489" s="2" t="s">
        <v>3245</v>
      </c>
      <c r="B5489" s="2" t="s">
        <v>25</v>
      </c>
      <c r="C5489" s="2">
        <v>1106.3599999999999</v>
      </c>
      <c r="D5489" s="2">
        <f>HYPERLINK("http://mcb-m6.bioreg.kyushu-u.ac.jp/M3/20110427/F51115/3159/1", 37.46)</f>
        <v>37.46</v>
      </c>
      <c r="E5489" s="2">
        <v>26.71</v>
      </c>
      <c r="F5489" s="2">
        <v>2</v>
      </c>
      <c r="G5489" s="2" t="s">
        <v>13</v>
      </c>
    </row>
    <row r="5490" spans="1:7" x14ac:dyDescent="0.2">
      <c r="A5490" s="2" t="s">
        <v>3245</v>
      </c>
      <c r="B5490" s="2" t="s">
        <v>25</v>
      </c>
      <c r="C5490" s="2">
        <v>737.5231</v>
      </c>
      <c r="D5490" s="2">
        <f>HYPERLINK("http://mcb-m6.bioreg.kyushu-u.ac.jp/M3/20110427/F51111/3280/1", 37.53)</f>
        <v>37.53</v>
      </c>
      <c r="E5490" s="2">
        <v>16.809999999999999</v>
      </c>
      <c r="F5490" s="2">
        <v>3</v>
      </c>
      <c r="G5490" s="2" t="s">
        <v>13</v>
      </c>
    </row>
    <row r="5491" spans="1:7" x14ac:dyDescent="0.2">
      <c r="A5491" s="2" t="s">
        <v>3245</v>
      </c>
      <c r="B5491" s="2" t="s">
        <v>25</v>
      </c>
      <c r="C5491" s="2">
        <v>1105.8520000000001</v>
      </c>
      <c r="D5491" s="2">
        <f>HYPERLINK("http://mcb-m6.bioreg.kyushu-u.ac.jp/M3/20110427/F51110/3092/1", 38.57)</f>
        <v>38.57</v>
      </c>
      <c r="E5491" s="2">
        <v>20.07</v>
      </c>
      <c r="F5491" s="2">
        <v>2</v>
      </c>
      <c r="G5491" s="2" t="s">
        <v>13</v>
      </c>
    </row>
    <row r="5492" spans="1:7" x14ac:dyDescent="0.2">
      <c r="A5492" s="2" t="s">
        <v>3245</v>
      </c>
      <c r="B5492" s="2" t="s">
        <v>25</v>
      </c>
      <c r="C5492" s="2">
        <v>1106.4010000000001</v>
      </c>
      <c r="D5492" s="2">
        <f>HYPERLINK("http://mcb-m6.bioreg.kyushu-u.ac.jp/M3/20110427/F51116/3302/1", 39.4)</f>
        <v>39.4</v>
      </c>
      <c r="E5492" s="2">
        <v>30.52</v>
      </c>
      <c r="F5492" s="2">
        <v>2</v>
      </c>
      <c r="G5492" s="2" t="s">
        <v>13</v>
      </c>
    </row>
    <row r="5493" spans="1:7" x14ac:dyDescent="0.2">
      <c r="A5493" s="2" t="s">
        <v>3245</v>
      </c>
      <c r="B5493" s="2" t="s">
        <v>25</v>
      </c>
      <c r="C5493" s="2">
        <v>737.7672</v>
      </c>
      <c r="D5493" s="2">
        <f>HYPERLINK("http://mcb-m6.bioreg.kyushu-u.ac.jp/M3/20110427/F51114/3531/1", 39.76)</f>
        <v>39.76</v>
      </c>
      <c r="E5493" s="2">
        <v>18.2</v>
      </c>
      <c r="F5493" s="2">
        <v>3</v>
      </c>
      <c r="G5493" s="2" t="s">
        <v>13</v>
      </c>
    </row>
    <row r="5494" spans="1:7" x14ac:dyDescent="0.2">
      <c r="A5494" s="2" t="s">
        <v>3245</v>
      </c>
      <c r="B5494" s="2" t="s">
        <v>25</v>
      </c>
      <c r="C5494" s="2">
        <v>1106.1010000000001</v>
      </c>
      <c r="D5494" s="2">
        <f>HYPERLINK("http://mcb-m6.bioreg.kyushu-u.ac.jp/M3/20110427/F51116/3297/1", 39.93)</f>
        <v>39.93</v>
      </c>
      <c r="E5494" s="2">
        <v>20.22</v>
      </c>
      <c r="F5494" s="2">
        <v>2</v>
      </c>
      <c r="G5494" s="2" t="s">
        <v>13</v>
      </c>
    </row>
    <row r="5495" spans="1:7" x14ac:dyDescent="0.2">
      <c r="A5495" s="2" t="s">
        <v>3245</v>
      </c>
      <c r="B5495" s="2" t="s">
        <v>25</v>
      </c>
      <c r="C5495" s="2">
        <v>1106.3869999999999</v>
      </c>
      <c r="D5495" s="2">
        <f>HYPERLINK("http://mcb-m6.bioreg.kyushu-u.ac.jp/M3/20110427/F51113/3111/1", 40.45)</f>
        <v>40.450000000000003</v>
      </c>
      <c r="E5495" s="2">
        <v>13.65</v>
      </c>
      <c r="F5495" s="2">
        <v>2</v>
      </c>
      <c r="G5495" s="2" t="s">
        <v>13</v>
      </c>
    </row>
    <row r="5496" spans="1:7" x14ac:dyDescent="0.2">
      <c r="A5496" s="2" t="s">
        <v>3245</v>
      </c>
      <c r="B5496" s="2" t="s">
        <v>25</v>
      </c>
      <c r="C5496" s="2">
        <v>1105.7529999999999</v>
      </c>
      <c r="D5496" s="2">
        <f>HYPERLINK("http://mcb-m6.bioreg.kyushu-u.ac.jp/M3/20110428/F51127/3474/1", 40.73)</f>
        <v>40.729999999999997</v>
      </c>
      <c r="E5496" s="2">
        <v>17.98</v>
      </c>
      <c r="F5496" s="2">
        <v>2</v>
      </c>
      <c r="G5496" s="2" t="s">
        <v>13</v>
      </c>
    </row>
    <row r="5497" spans="1:7" x14ac:dyDescent="0.2">
      <c r="A5497" s="2" t="s">
        <v>3245</v>
      </c>
      <c r="B5497" s="2" t="s">
        <v>25</v>
      </c>
      <c r="C5497" s="2">
        <v>1106.396</v>
      </c>
      <c r="D5497" s="2">
        <f>HYPERLINK("http://mcb-m6.bioreg.kyushu-u.ac.jp/M3/20110427/F51116/3301/1", 40.79)</f>
        <v>40.79</v>
      </c>
      <c r="E5497" s="2">
        <v>20.54</v>
      </c>
      <c r="F5497" s="2">
        <v>2</v>
      </c>
      <c r="G5497" s="2" t="s">
        <v>13</v>
      </c>
    </row>
    <row r="5498" spans="1:7" x14ac:dyDescent="0.2">
      <c r="A5498" s="2" t="s">
        <v>3245</v>
      </c>
      <c r="B5498" s="2" t="s">
        <v>25</v>
      </c>
      <c r="C5498" s="2">
        <v>1106.356</v>
      </c>
      <c r="D5498" s="2">
        <f>HYPERLINK("http://mcb-m6.bioreg.kyushu-u.ac.jp/M3/20110428/F51132/3282/1", 40.83)</f>
        <v>40.83</v>
      </c>
      <c r="E5498" s="2">
        <v>15.83</v>
      </c>
      <c r="F5498" s="2">
        <v>2</v>
      </c>
      <c r="G5498" s="2" t="s">
        <v>13</v>
      </c>
    </row>
    <row r="5499" spans="1:7" x14ac:dyDescent="0.2">
      <c r="A5499" s="2" t="s">
        <v>3245</v>
      </c>
      <c r="B5499" s="2" t="s">
        <v>25</v>
      </c>
      <c r="C5499" s="2">
        <v>1106.384</v>
      </c>
      <c r="D5499" s="2">
        <f>HYPERLINK("http://mcb-m6.bioreg.kyushu-u.ac.jp/M3/20110427/F51111/3287/1", 41.68)</f>
        <v>41.68</v>
      </c>
      <c r="E5499" s="2">
        <v>20.71</v>
      </c>
      <c r="F5499" s="2">
        <v>2</v>
      </c>
      <c r="G5499" s="2" t="s">
        <v>13</v>
      </c>
    </row>
    <row r="5500" spans="1:7" x14ac:dyDescent="0.2">
      <c r="A5500" s="2" t="s">
        <v>3245</v>
      </c>
      <c r="B5500" s="2" t="s">
        <v>25</v>
      </c>
      <c r="C5500" s="2">
        <v>1106.384</v>
      </c>
      <c r="D5500" s="2">
        <f>HYPERLINK("http://mcb-m6.bioreg.kyushu-u.ac.jp/M3/20110428/F51127/3490/1", 42.88)</f>
        <v>42.88</v>
      </c>
      <c r="E5500" s="2">
        <v>20.12</v>
      </c>
      <c r="F5500" s="2">
        <v>2</v>
      </c>
      <c r="G5500" s="2" t="s">
        <v>13</v>
      </c>
    </row>
    <row r="5501" spans="1:7" x14ac:dyDescent="0.2">
      <c r="A5501" s="2" t="s">
        <v>3245</v>
      </c>
      <c r="B5501" s="2" t="s">
        <v>25</v>
      </c>
      <c r="C5501" s="2">
        <v>1105.8150000000001</v>
      </c>
      <c r="D5501" s="2">
        <f>HYPERLINK("http://mcb-m6.bioreg.kyushu-u.ac.jp/M3/20110428/F51132/3278/1", 43.04)</f>
        <v>43.04</v>
      </c>
      <c r="E5501" s="2">
        <v>22.19</v>
      </c>
      <c r="F5501" s="2">
        <v>2</v>
      </c>
      <c r="G5501" s="2" t="s">
        <v>13</v>
      </c>
    </row>
    <row r="5502" spans="1:7" x14ac:dyDescent="0.2">
      <c r="A5502" s="2" t="s">
        <v>3245</v>
      </c>
      <c r="B5502" s="2" t="s">
        <v>25</v>
      </c>
      <c r="C5502" s="2">
        <v>1106.3430000000001</v>
      </c>
      <c r="D5502" s="2">
        <f>HYPERLINK("http://mcb-m6.bioreg.kyushu-u.ac.jp/M3/20110427/F51114/3538/1", 45.28)</f>
        <v>45.28</v>
      </c>
      <c r="E5502" s="2">
        <v>30.52</v>
      </c>
      <c r="F5502" s="2">
        <v>2</v>
      </c>
      <c r="G5502" s="2" t="s">
        <v>13</v>
      </c>
    </row>
    <row r="5503" spans="1:7" x14ac:dyDescent="0.2">
      <c r="A5503" s="2" t="s">
        <v>3245</v>
      </c>
      <c r="B5503" s="2" t="s">
        <v>25</v>
      </c>
      <c r="C5503" s="2">
        <v>737.79020000000003</v>
      </c>
      <c r="D5503" s="2">
        <f>HYPERLINK("http://mcb-m6.bioreg.kyushu-u.ac.jp/M3/20110427/F51115/3157/1", 45.83)</f>
        <v>45.83</v>
      </c>
      <c r="E5503" s="2">
        <v>24.57</v>
      </c>
      <c r="F5503" s="2">
        <v>3</v>
      </c>
      <c r="G5503" s="2" t="s">
        <v>13</v>
      </c>
    </row>
    <row r="5504" spans="1:7" x14ac:dyDescent="0.2">
      <c r="A5504" s="2" t="s">
        <v>3245</v>
      </c>
      <c r="B5504" s="2" t="s">
        <v>25</v>
      </c>
      <c r="C5504" s="2">
        <v>737.85879999999997</v>
      </c>
      <c r="D5504" s="2">
        <f>HYPERLINK("http://mcb-m6.bioreg.kyushu-u.ac.jp/M3/20110427/F51112/3263/1", 45.9)</f>
        <v>45.9</v>
      </c>
      <c r="E5504" s="2">
        <v>18.010000000000002</v>
      </c>
      <c r="F5504" s="2">
        <v>3</v>
      </c>
      <c r="G5504" s="2" t="s">
        <v>13</v>
      </c>
    </row>
    <row r="5505" spans="1:7" x14ac:dyDescent="0.2">
      <c r="A5505" s="2" t="s">
        <v>3245</v>
      </c>
      <c r="B5505" s="2" t="s">
        <v>25</v>
      </c>
      <c r="C5505" s="2">
        <v>1105.796</v>
      </c>
      <c r="D5505" s="2">
        <f>HYPERLINK("http://mcb-m6.bioreg.kyushu-u.ac.jp/M3/20110427/F51112/3256/1", 45.99)</f>
        <v>45.99</v>
      </c>
      <c r="E5505" s="2">
        <v>22.28</v>
      </c>
      <c r="F5505" s="2">
        <v>2</v>
      </c>
      <c r="G5505" s="2" t="s">
        <v>13</v>
      </c>
    </row>
    <row r="5506" spans="1:7" x14ac:dyDescent="0.2">
      <c r="A5506" s="2" t="s">
        <v>3245</v>
      </c>
      <c r="B5506" s="2" t="s">
        <v>25</v>
      </c>
      <c r="C5506" s="2">
        <v>1105.8389999999999</v>
      </c>
      <c r="D5506" s="2">
        <f>HYPERLINK("http://mcb-m6.bioreg.kyushu-u.ac.jp/M3/20110427/F51109/2794/1", 46.49)</f>
        <v>46.49</v>
      </c>
      <c r="E5506" s="2">
        <v>37.18</v>
      </c>
      <c r="F5506" s="2">
        <v>2</v>
      </c>
      <c r="G5506" s="2" t="s">
        <v>13</v>
      </c>
    </row>
    <row r="5507" spans="1:7" x14ac:dyDescent="0.2">
      <c r="A5507" s="2" t="s">
        <v>3245</v>
      </c>
      <c r="B5507" s="2" t="s">
        <v>25</v>
      </c>
      <c r="C5507" s="2">
        <v>737.82449999999994</v>
      </c>
      <c r="D5507" s="2">
        <f>HYPERLINK("http://mcb-m6.bioreg.kyushu-u.ac.jp/M3/20110427/F51113/3108/1", 46.49)</f>
        <v>46.49</v>
      </c>
      <c r="E5507" s="2">
        <v>20.13</v>
      </c>
      <c r="F5507" s="2">
        <v>3</v>
      </c>
      <c r="G5507" s="2" t="s">
        <v>13</v>
      </c>
    </row>
    <row r="5508" spans="1:7" x14ac:dyDescent="0.2">
      <c r="A5508" s="2" t="s">
        <v>3245</v>
      </c>
      <c r="B5508" s="2" t="s">
        <v>25</v>
      </c>
      <c r="C5508" s="2">
        <v>737.56179999999995</v>
      </c>
      <c r="D5508" s="2">
        <f>HYPERLINK("http://mcb-m6.bioreg.kyushu-u.ac.jp/M3/20110427/F51110/3091/1", 46.56)</f>
        <v>46.56</v>
      </c>
      <c r="E5508" s="2">
        <v>25.61</v>
      </c>
      <c r="F5508" s="2">
        <v>3</v>
      </c>
      <c r="G5508" s="2" t="s">
        <v>13</v>
      </c>
    </row>
    <row r="5509" spans="1:7" x14ac:dyDescent="0.2">
      <c r="A5509" s="2" t="s">
        <v>3245</v>
      </c>
      <c r="B5509" s="2" t="s">
        <v>25</v>
      </c>
      <c r="C5509" s="2">
        <v>1105.8920000000001</v>
      </c>
      <c r="D5509" s="2">
        <f>HYPERLINK("http://mcb-m6.bioreg.kyushu-u.ac.jp/M3/20110427/F51116/3294/1", 46.99)</f>
        <v>46.99</v>
      </c>
      <c r="E5509" s="2">
        <v>28.05</v>
      </c>
      <c r="F5509" s="2">
        <v>2</v>
      </c>
      <c r="G5509" s="2" t="s">
        <v>13</v>
      </c>
    </row>
    <row r="5510" spans="1:7" x14ac:dyDescent="0.2">
      <c r="A5510" s="2" t="s">
        <v>3245</v>
      </c>
      <c r="B5510" s="2" t="s">
        <v>25</v>
      </c>
      <c r="C5510" s="2">
        <v>737.95249999999999</v>
      </c>
      <c r="D5510" s="2">
        <f>HYPERLINK("http://mcb-m6.bioreg.kyushu-u.ac.jp/M3/20110428/F51133/3189/1", 47.85)</f>
        <v>47.85</v>
      </c>
      <c r="E5510" s="2">
        <v>27.86</v>
      </c>
      <c r="F5510" s="2">
        <v>3</v>
      </c>
      <c r="G5510" s="2" t="s">
        <v>13</v>
      </c>
    </row>
    <row r="5511" spans="1:7" x14ac:dyDescent="0.2">
      <c r="A5511" s="2" t="s">
        <v>3245</v>
      </c>
      <c r="B5511" s="2" t="s">
        <v>25</v>
      </c>
      <c r="C5511" s="2">
        <v>1105.7940000000001</v>
      </c>
      <c r="D5511" s="2">
        <f>HYPERLINK("http://mcb-m6.bioreg.kyushu-u.ac.jp/M3/20110428/F51127/3476/1", 48.23)</f>
        <v>48.23</v>
      </c>
      <c r="E5511" s="2">
        <v>29.99</v>
      </c>
      <c r="F5511" s="2">
        <v>2</v>
      </c>
      <c r="G5511" s="2" t="s">
        <v>13</v>
      </c>
    </row>
    <row r="5512" spans="1:7" x14ac:dyDescent="0.2">
      <c r="A5512" s="2" t="s">
        <v>3245</v>
      </c>
      <c r="B5512" s="2" t="s">
        <v>25</v>
      </c>
      <c r="C5512" s="2">
        <v>1106.329</v>
      </c>
      <c r="D5512" s="2">
        <f>HYPERLINK("http://mcb-m6.bioreg.kyushu-u.ac.jp/M3/20110427/F51114/3537/1", 48.29)</f>
        <v>48.29</v>
      </c>
      <c r="E5512" s="2">
        <v>18.93</v>
      </c>
      <c r="F5512" s="2">
        <v>2</v>
      </c>
      <c r="G5512" s="2" t="s">
        <v>13</v>
      </c>
    </row>
    <row r="5513" spans="1:7" x14ac:dyDescent="0.2">
      <c r="A5513" s="2" t="s">
        <v>3245</v>
      </c>
      <c r="B5513" s="2" t="s">
        <v>25</v>
      </c>
      <c r="C5513" s="2">
        <v>1106.4349999999999</v>
      </c>
      <c r="D5513" s="2">
        <f>HYPERLINK("http://mcb-m6.bioreg.kyushu-u.ac.jp/M3/20110427/F51111/3288/1", 48.43)</f>
        <v>48.43</v>
      </c>
      <c r="E5513" s="2">
        <v>30.95</v>
      </c>
      <c r="F5513" s="2">
        <v>2</v>
      </c>
      <c r="G5513" s="2" t="s">
        <v>13</v>
      </c>
    </row>
    <row r="5514" spans="1:7" x14ac:dyDescent="0.2">
      <c r="A5514" s="2" t="s">
        <v>3245</v>
      </c>
      <c r="B5514" s="2" t="s">
        <v>25</v>
      </c>
      <c r="C5514" s="2">
        <v>1106.3520000000001</v>
      </c>
      <c r="D5514" s="2">
        <f>HYPERLINK("http://mcb-m6.bioreg.kyushu-u.ac.jp/M3/20110427/F51110/3097/1", 48.75)</f>
        <v>48.75</v>
      </c>
      <c r="E5514" s="2">
        <v>27.51</v>
      </c>
      <c r="F5514" s="2">
        <v>2</v>
      </c>
      <c r="G5514" s="2" t="s">
        <v>13</v>
      </c>
    </row>
    <row r="5515" spans="1:7" x14ac:dyDescent="0.2">
      <c r="A5515" s="2" t="s">
        <v>3245</v>
      </c>
      <c r="B5515" s="2" t="s">
        <v>25</v>
      </c>
      <c r="C5515" s="2">
        <v>1106.1020000000001</v>
      </c>
      <c r="D5515" s="2">
        <f>HYPERLINK("http://mcb-m6.bioreg.kyushu-u.ac.jp/M3/20110427/F51115/3155/1", 49.09)</f>
        <v>49.09</v>
      </c>
      <c r="E5515" s="2">
        <v>29.48</v>
      </c>
      <c r="F5515" s="2">
        <v>2</v>
      </c>
      <c r="G5515" s="2" t="s">
        <v>13</v>
      </c>
    </row>
    <row r="5516" spans="1:7" x14ac:dyDescent="0.2">
      <c r="A5516" s="2" t="s">
        <v>3245</v>
      </c>
      <c r="B5516" s="2" t="s">
        <v>25</v>
      </c>
      <c r="C5516" s="2">
        <v>1106.366</v>
      </c>
      <c r="D5516" s="2">
        <f>HYPERLINK("http://mcb-m6.bioreg.kyushu-u.ac.jp/M3/20110427/F51111/3286/1", 50.27)</f>
        <v>50.27</v>
      </c>
      <c r="E5516" s="2">
        <v>27.89</v>
      </c>
      <c r="F5516" s="2">
        <v>2</v>
      </c>
      <c r="G5516" s="2" t="s">
        <v>13</v>
      </c>
    </row>
    <row r="5517" spans="1:7" x14ac:dyDescent="0.2">
      <c r="A5517" s="2" t="s">
        <v>3245</v>
      </c>
      <c r="B5517" s="2" t="s">
        <v>25</v>
      </c>
      <c r="C5517" s="2">
        <v>1105.8409999999999</v>
      </c>
      <c r="D5517" s="2">
        <f>HYPERLINK("http://mcb-m6.bioreg.kyushu-u.ac.jp/M3/20110427/F51108/2992/1", 50.35)</f>
        <v>50.35</v>
      </c>
      <c r="E5517" s="2">
        <v>25.9</v>
      </c>
      <c r="F5517" s="2">
        <v>2</v>
      </c>
      <c r="G5517" s="2" t="s">
        <v>13</v>
      </c>
    </row>
    <row r="5518" spans="1:7" x14ac:dyDescent="0.2">
      <c r="A5518" s="2" t="s">
        <v>3245</v>
      </c>
      <c r="B5518" s="2" t="s">
        <v>25</v>
      </c>
      <c r="C5518" s="2">
        <v>1106.4090000000001</v>
      </c>
      <c r="D5518" s="2">
        <f>HYPERLINK("http://mcb-m6.bioreg.kyushu-u.ac.jp/M3/20110427/F51110/3099/1", 50.88)</f>
        <v>50.88</v>
      </c>
      <c r="E5518" s="2">
        <v>30.45</v>
      </c>
      <c r="F5518" s="2">
        <v>2</v>
      </c>
      <c r="G5518" s="2" t="s">
        <v>13</v>
      </c>
    </row>
    <row r="5519" spans="1:7" x14ac:dyDescent="0.2">
      <c r="A5519" s="2" t="s">
        <v>3245</v>
      </c>
      <c r="B5519" s="2" t="s">
        <v>25</v>
      </c>
      <c r="C5519" s="2">
        <v>737.82619999999997</v>
      </c>
      <c r="D5519" s="2">
        <f>HYPERLINK("http://mcb-m6.bioreg.kyushu-u.ac.jp/M3/20110427/F51110/3095/1", 51.18)</f>
        <v>51.18</v>
      </c>
      <c r="E5519" s="2">
        <v>33.57</v>
      </c>
      <c r="F5519" s="2">
        <v>3</v>
      </c>
      <c r="G5519" s="2" t="s">
        <v>13</v>
      </c>
    </row>
    <row r="5520" spans="1:7" x14ac:dyDescent="0.2">
      <c r="A5520" s="2" t="s">
        <v>3245</v>
      </c>
      <c r="B5520" s="2" t="s">
        <v>25</v>
      </c>
      <c r="C5520" s="2">
        <v>737.8922</v>
      </c>
      <c r="D5520" s="2">
        <f>HYPERLINK("http://mcb-m6.bioreg.kyushu-u.ac.jp/M3/20110428/F51127/3488/1", 51.71)</f>
        <v>51.71</v>
      </c>
      <c r="E5520" s="2">
        <v>24.2</v>
      </c>
      <c r="F5520" s="2">
        <v>3</v>
      </c>
      <c r="G5520" s="2" t="s">
        <v>13</v>
      </c>
    </row>
    <row r="5521" spans="1:7" x14ac:dyDescent="0.2">
      <c r="A5521" s="2" t="s">
        <v>3245</v>
      </c>
      <c r="B5521" s="2" t="s">
        <v>25</v>
      </c>
      <c r="C5521" s="2">
        <v>1106.3</v>
      </c>
      <c r="D5521" s="2">
        <f>HYPERLINK("http://mcb-m6.bioreg.kyushu-u.ac.jp/M3/20110427/F51110/3096/1", 53.92)</f>
        <v>53.92</v>
      </c>
      <c r="E5521" s="2">
        <v>33.81</v>
      </c>
      <c r="F5521" s="2">
        <v>2</v>
      </c>
      <c r="G5521" s="2" t="s">
        <v>13</v>
      </c>
    </row>
    <row r="5522" spans="1:7" x14ac:dyDescent="0.2">
      <c r="A5522" s="2" t="s">
        <v>3245</v>
      </c>
      <c r="B5522" s="2" t="s">
        <v>25</v>
      </c>
      <c r="C5522" s="2">
        <v>1105.7650000000001</v>
      </c>
      <c r="D5522" s="2">
        <f>HYPERLINK("http://mcb-m6.bioreg.kyushu-u.ac.jp/M3/20110427/F51108/2991/1", 53.93)</f>
        <v>53.93</v>
      </c>
      <c r="E5522" s="2">
        <v>32.58</v>
      </c>
      <c r="F5522" s="2">
        <v>2</v>
      </c>
      <c r="G5522" s="2" t="s">
        <v>13</v>
      </c>
    </row>
    <row r="5523" spans="1:7" x14ac:dyDescent="0.2">
      <c r="A5523" s="2" t="s">
        <v>3245</v>
      </c>
      <c r="B5523" s="2" t="s">
        <v>25</v>
      </c>
      <c r="C5523" s="2">
        <v>1105.8050000000001</v>
      </c>
      <c r="D5523" s="2">
        <f>HYPERLINK("http://mcb-m6.bioreg.kyushu-u.ac.jp/M3/20110428/F51131/3210/1", 54.12)</f>
        <v>54.12</v>
      </c>
      <c r="E5523" s="2">
        <v>34.78</v>
      </c>
      <c r="F5523" s="2">
        <v>2</v>
      </c>
      <c r="G5523" s="2" t="s">
        <v>13</v>
      </c>
    </row>
    <row r="5524" spans="1:7" x14ac:dyDescent="0.2">
      <c r="A5524" s="2" t="s">
        <v>3245</v>
      </c>
      <c r="B5524" s="2" t="s">
        <v>25</v>
      </c>
      <c r="C5524" s="2">
        <v>1105.8689999999999</v>
      </c>
      <c r="D5524" s="2">
        <f>HYPERLINK("http://mcb-m6.bioreg.kyushu-u.ac.jp/M3/20110427/F51113/3105/1", 55.16)</f>
        <v>55.16</v>
      </c>
      <c r="E5524" s="2">
        <v>33.08</v>
      </c>
      <c r="F5524" s="2">
        <v>2</v>
      </c>
      <c r="G5524" s="2" t="s">
        <v>13</v>
      </c>
    </row>
    <row r="5525" spans="1:7" x14ac:dyDescent="0.2">
      <c r="A5525" s="2" t="s">
        <v>3245</v>
      </c>
      <c r="B5525" s="2" t="s">
        <v>25</v>
      </c>
      <c r="C5525" s="2">
        <v>1106.0139999999999</v>
      </c>
      <c r="D5525" s="2">
        <f>HYPERLINK("http://mcb-m6.bioreg.kyushu-u.ac.jp/M3/20110427/F51111/3283/1", 55.23)</f>
        <v>55.23</v>
      </c>
      <c r="E5525" s="2">
        <v>32.979999999999997</v>
      </c>
      <c r="F5525" s="2">
        <v>2</v>
      </c>
      <c r="G5525" s="2" t="s">
        <v>13</v>
      </c>
    </row>
    <row r="5526" spans="1:7" x14ac:dyDescent="0.2">
      <c r="A5526" s="2" t="s">
        <v>3245</v>
      </c>
      <c r="B5526" s="2" t="s">
        <v>25</v>
      </c>
      <c r="C5526" s="2">
        <v>1106.347</v>
      </c>
      <c r="D5526" s="2">
        <f>HYPERLINK("http://mcb-m6.bioreg.kyushu-u.ac.jp/M3/20110428/F51133/3188/1", 56.3)</f>
        <v>56.3</v>
      </c>
      <c r="E5526" s="2">
        <v>25.18</v>
      </c>
      <c r="F5526" s="2">
        <v>2</v>
      </c>
      <c r="G5526" s="2" t="s">
        <v>13</v>
      </c>
    </row>
    <row r="5527" spans="1:7" x14ac:dyDescent="0.2">
      <c r="A5527" s="2" t="s">
        <v>3245</v>
      </c>
      <c r="B5527" s="2" t="s">
        <v>25</v>
      </c>
      <c r="C5527" s="2">
        <v>737.67790000000002</v>
      </c>
      <c r="D5527" s="2">
        <f>HYPERLINK("http://mcb-m6.bioreg.kyushu-u.ac.jp/M3/20110428/F51127/3481/1", 56.31)</f>
        <v>56.31</v>
      </c>
      <c r="E5527" s="2">
        <v>34.58</v>
      </c>
      <c r="F5527" s="2">
        <v>3</v>
      </c>
      <c r="G5527" s="2" t="s">
        <v>13</v>
      </c>
    </row>
    <row r="5528" spans="1:7" x14ac:dyDescent="0.2">
      <c r="A5528" s="2" t="s">
        <v>3245</v>
      </c>
      <c r="B5528" s="2" t="s">
        <v>25</v>
      </c>
      <c r="C5528" s="2">
        <v>1106.279</v>
      </c>
      <c r="D5528" s="2">
        <f>HYPERLINK("http://mcb-m6.bioreg.kyushu-u.ac.jp/M3/20110427/F51113/3109/1", 56.75)</f>
        <v>56.75</v>
      </c>
      <c r="E5528" s="2">
        <v>38.64</v>
      </c>
      <c r="F5528" s="2">
        <v>2</v>
      </c>
      <c r="G5528" s="2" t="s">
        <v>13</v>
      </c>
    </row>
    <row r="5529" spans="1:7" x14ac:dyDescent="0.2">
      <c r="A5529" s="2" t="s">
        <v>3245</v>
      </c>
      <c r="B5529" s="2" t="s">
        <v>25</v>
      </c>
      <c r="C5529" s="2">
        <v>737.87120000000004</v>
      </c>
      <c r="D5529" s="2">
        <f>HYPERLINK("http://mcb-m6.bioreg.kyushu-u.ac.jp/M3/20110427/F51116/3299/1", 56.92)</f>
        <v>56.92</v>
      </c>
      <c r="E5529" s="2">
        <v>36.520000000000003</v>
      </c>
      <c r="F5529" s="2">
        <v>3</v>
      </c>
      <c r="G5529" s="2" t="s">
        <v>13</v>
      </c>
    </row>
    <row r="5530" spans="1:7" x14ac:dyDescent="0.2">
      <c r="A5530" s="2" t="s">
        <v>3245</v>
      </c>
      <c r="B5530" s="2" t="s">
        <v>25</v>
      </c>
      <c r="C5530" s="2">
        <v>738.02250000000004</v>
      </c>
      <c r="D5530" s="2">
        <f>HYPERLINK("http://mcb-m6.bioreg.kyushu-u.ac.jp/M3/20110427/F51109/2799/1", 57.81)</f>
        <v>57.81</v>
      </c>
      <c r="E5530" s="2">
        <v>26.73</v>
      </c>
      <c r="F5530" s="2">
        <v>3</v>
      </c>
      <c r="G5530" s="2" t="s">
        <v>13</v>
      </c>
    </row>
    <row r="5531" spans="1:7" x14ac:dyDescent="0.2">
      <c r="A5531" s="2" t="s">
        <v>3245</v>
      </c>
      <c r="B5531" s="2" t="s">
        <v>25</v>
      </c>
      <c r="C5531" s="2">
        <v>737.74749999999995</v>
      </c>
      <c r="D5531" s="2">
        <f>HYPERLINK("http://mcb-m6.bioreg.kyushu-u.ac.jp/M3/20110427/F51116/3298/1", 59.43)</f>
        <v>59.43</v>
      </c>
      <c r="E5531" s="2">
        <v>36.56</v>
      </c>
      <c r="F5531" s="2">
        <v>3</v>
      </c>
      <c r="G5531" s="2" t="s">
        <v>13</v>
      </c>
    </row>
    <row r="5532" spans="1:7" x14ac:dyDescent="0.2">
      <c r="A5532" s="2" t="s">
        <v>3245</v>
      </c>
      <c r="B5532" s="2" t="s">
        <v>25</v>
      </c>
      <c r="C5532" s="2">
        <v>1105.798</v>
      </c>
      <c r="D5532" s="2">
        <f>HYPERLINK("http://mcb-m6.bioreg.kyushu-u.ac.jp/M3/20110427/F51109/2793/1", 59.74)</f>
        <v>59.74</v>
      </c>
      <c r="E5532" s="2">
        <v>39.53</v>
      </c>
      <c r="F5532" s="2">
        <v>2</v>
      </c>
      <c r="G5532" s="2" t="s">
        <v>13</v>
      </c>
    </row>
    <row r="5533" spans="1:7" x14ac:dyDescent="0.2">
      <c r="A5533" s="2" t="s">
        <v>3245</v>
      </c>
      <c r="B5533" s="2" t="s">
        <v>25</v>
      </c>
      <c r="C5533" s="2">
        <v>1106.319</v>
      </c>
      <c r="D5533" s="2">
        <f>HYPERLINK("http://mcb-m6.bioreg.kyushu-u.ac.jp/M3/20110428/F51131/3216/1", 60.25)</f>
        <v>60.25</v>
      </c>
      <c r="E5533" s="2">
        <v>35.04</v>
      </c>
      <c r="F5533" s="2">
        <v>2</v>
      </c>
      <c r="G5533" s="2" t="s">
        <v>13</v>
      </c>
    </row>
    <row r="5534" spans="1:7" x14ac:dyDescent="0.2">
      <c r="A5534" s="2" t="s">
        <v>3245</v>
      </c>
      <c r="B5534" s="2" t="s">
        <v>25</v>
      </c>
      <c r="C5534" s="2">
        <v>737.80579999999998</v>
      </c>
      <c r="D5534" s="2">
        <f>HYPERLINK("http://mcb-m6.bioreg.kyushu-u.ac.jp/M3/20110428/F51131/3215/1", 60.32)</f>
        <v>60.32</v>
      </c>
      <c r="E5534" s="2">
        <v>31.72</v>
      </c>
      <c r="F5534" s="2">
        <v>3</v>
      </c>
      <c r="G5534" s="2" t="s">
        <v>13</v>
      </c>
    </row>
    <row r="5535" spans="1:7" x14ac:dyDescent="0.2">
      <c r="A5535" s="2" t="s">
        <v>3245</v>
      </c>
      <c r="B5535" s="2" t="s">
        <v>25</v>
      </c>
      <c r="C5535" s="2">
        <v>1106.2750000000001</v>
      </c>
      <c r="D5535" s="2">
        <f>HYPERLINK("http://mcb-m6.bioreg.kyushu-u.ac.jp/M3/20110428/F51127/3486/1", 60.55)</f>
        <v>60.55</v>
      </c>
      <c r="E5535" s="2">
        <v>21.56</v>
      </c>
      <c r="F5535" s="2">
        <v>2</v>
      </c>
      <c r="G5535" s="2" t="s">
        <v>13</v>
      </c>
    </row>
    <row r="5536" spans="1:7" x14ac:dyDescent="0.2">
      <c r="A5536" s="2" t="s">
        <v>3245</v>
      </c>
      <c r="B5536" s="2" t="s">
        <v>25</v>
      </c>
      <c r="C5536" s="2">
        <v>737.57619999999997</v>
      </c>
      <c r="D5536" s="2">
        <f>HYPERLINK("http://mcb-m6.bioreg.kyushu-u.ac.jp/M3/20110427/F51115/3154/1", 60.92)</f>
        <v>60.92</v>
      </c>
      <c r="E5536" s="2">
        <v>38.67</v>
      </c>
      <c r="F5536" s="2">
        <v>3</v>
      </c>
      <c r="G5536" s="2" t="s">
        <v>13</v>
      </c>
    </row>
    <row r="5537" spans="1:7" x14ac:dyDescent="0.2">
      <c r="A5537" s="2" t="s">
        <v>3245</v>
      </c>
      <c r="B5537" s="2" t="s">
        <v>25</v>
      </c>
      <c r="C5537" s="2">
        <v>1105.903</v>
      </c>
      <c r="D5537" s="2">
        <f>HYPERLINK("http://mcb-m6.bioreg.kyushu-u.ac.jp/M3/20110427/F51116/3295/1", 60.94)</f>
        <v>60.94</v>
      </c>
      <c r="E5537" s="2">
        <v>48.08</v>
      </c>
      <c r="F5537" s="2">
        <v>2</v>
      </c>
      <c r="G5537" s="2" t="s">
        <v>13</v>
      </c>
    </row>
    <row r="5538" spans="1:7" x14ac:dyDescent="0.2">
      <c r="A5538" s="2" t="s">
        <v>3245</v>
      </c>
      <c r="B5538" s="2" t="s">
        <v>25</v>
      </c>
      <c r="C5538" s="2">
        <v>1106.115</v>
      </c>
      <c r="D5538" s="2">
        <f>HYPERLINK("http://mcb-m6.bioreg.kyushu-u.ac.jp/M3/20110427/F51109/2797/1", 61.41)</f>
        <v>61.41</v>
      </c>
      <c r="E5538" s="2">
        <v>35.08</v>
      </c>
      <c r="F5538" s="2">
        <v>2</v>
      </c>
      <c r="G5538" s="2" t="s">
        <v>13</v>
      </c>
    </row>
    <row r="5539" spans="1:7" x14ac:dyDescent="0.2">
      <c r="A5539" s="2" t="s">
        <v>3245</v>
      </c>
      <c r="B5539" s="2" t="s">
        <v>25</v>
      </c>
      <c r="C5539" s="2">
        <v>738.02059999999994</v>
      </c>
      <c r="D5539" s="2">
        <f>HYPERLINK("http://mcb-m6.bioreg.kyushu-u.ac.jp/M3/20110427/F51112/3266/1", 61.67)</f>
        <v>61.67</v>
      </c>
      <c r="E5539" s="2">
        <v>27.58</v>
      </c>
      <c r="F5539" s="2">
        <v>3</v>
      </c>
      <c r="G5539" s="2" t="s">
        <v>13</v>
      </c>
    </row>
    <row r="5540" spans="1:7" x14ac:dyDescent="0.2">
      <c r="A5540" s="2" t="s">
        <v>3245</v>
      </c>
      <c r="B5540" s="2" t="s">
        <v>25</v>
      </c>
      <c r="C5540" s="2">
        <v>1106.3009999999999</v>
      </c>
      <c r="D5540" s="2">
        <f>HYPERLINK("http://mcb-m6.bioreg.kyushu-u.ac.jp/M3/20110427/F51114/3535/1", 62.16)</f>
        <v>62.16</v>
      </c>
      <c r="E5540" s="2">
        <v>41.94</v>
      </c>
      <c r="F5540" s="2">
        <v>2</v>
      </c>
      <c r="G5540" s="2" t="s">
        <v>13</v>
      </c>
    </row>
    <row r="5541" spans="1:7" x14ac:dyDescent="0.2">
      <c r="A5541" s="2" t="s">
        <v>3245</v>
      </c>
      <c r="B5541" s="2" t="s">
        <v>25</v>
      </c>
      <c r="C5541" s="2">
        <v>1105.8900000000001</v>
      </c>
      <c r="D5541" s="2">
        <f>HYPERLINK("http://mcb-m6.bioreg.kyushu-u.ac.jp/M3/20110427/F51113/3106/1", 63.21)</f>
        <v>63.21</v>
      </c>
      <c r="E5541" s="2">
        <v>46.48</v>
      </c>
      <c r="F5541" s="2">
        <v>2</v>
      </c>
      <c r="G5541" s="2" t="s">
        <v>13</v>
      </c>
    </row>
    <row r="5542" spans="1:7" x14ac:dyDescent="0.2">
      <c r="A5542" s="2" t="s">
        <v>3245</v>
      </c>
      <c r="B5542" s="2" t="s">
        <v>25</v>
      </c>
      <c r="C5542" s="2">
        <v>737.65480000000002</v>
      </c>
      <c r="D5542" s="2">
        <f>HYPERLINK("http://mcb-m6.bioreg.kyushu-u.ac.jp/M3/20110428/F51131/3213/1", 63.8)</f>
        <v>63.8</v>
      </c>
      <c r="E5542" s="2">
        <v>36.840000000000003</v>
      </c>
      <c r="F5542" s="2">
        <v>3</v>
      </c>
      <c r="G5542" s="2" t="s">
        <v>13</v>
      </c>
    </row>
    <row r="5543" spans="1:7" x14ac:dyDescent="0.2">
      <c r="A5543" s="2" t="s">
        <v>3245</v>
      </c>
      <c r="B5543" s="2" t="s">
        <v>25</v>
      </c>
      <c r="C5543" s="2">
        <v>737.88520000000005</v>
      </c>
      <c r="D5543" s="2">
        <f>HYPERLINK("http://mcb-m6.bioreg.kyushu-u.ac.jp/M3/20110427/F51114/3536/1", 63.81)</f>
        <v>63.81</v>
      </c>
      <c r="E5543" s="2">
        <v>31.04</v>
      </c>
      <c r="F5543" s="2">
        <v>3</v>
      </c>
      <c r="G5543" s="2" t="s">
        <v>13</v>
      </c>
    </row>
    <row r="5544" spans="1:7" x14ac:dyDescent="0.2">
      <c r="A5544" s="2" t="s">
        <v>3245</v>
      </c>
      <c r="B5544" s="2" t="s">
        <v>25</v>
      </c>
      <c r="C5544" s="2">
        <v>737.89649999999995</v>
      </c>
      <c r="D5544" s="2">
        <f>HYPERLINK("http://mcb-m6.bioreg.kyushu-u.ac.jp/M3/20110427/F51116/3300/1", 64.78)</f>
        <v>64.78</v>
      </c>
      <c r="E5544" s="2">
        <v>43.83</v>
      </c>
      <c r="F5544" s="2">
        <v>3</v>
      </c>
      <c r="G5544" s="2" t="s">
        <v>13</v>
      </c>
    </row>
    <row r="5545" spans="1:7" x14ac:dyDescent="0.2">
      <c r="A5545" s="2" t="s">
        <v>3245</v>
      </c>
      <c r="B5545" s="2" t="s">
        <v>25</v>
      </c>
      <c r="C5545" s="2">
        <v>737.74109999999996</v>
      </c>
      <c r="D5545" s="2">
        <f>HYPERLINK("http://mcb-m6.bioreg.kyushu-u.ac.jp/M3/20110428/F51127/3482/1", 65.38)</f>
        <v>65.38</v>
      </c>
      <c r="E5545" s="2">
        <v>36.71</v>
      </c>
      <c r="F5545" s="2">
        <v>3</v>
      </c>
      <c r="G5545" s="2" t="s">
        <v>13</v>
      </c>
    </row>
    <row r="5546" spans="1:7" x14ac:dyDescent="0.2">
      <c r="A5546" s="2" t="s">
        <v>3245</v>
      </c>
      <c r="B5546" s="2" t="s">
        <v>25</v>
      </c>
      <c r="C5546" s="2">
        <v>1106.345</v>
      </c>
      <c r="D5546" s="2">
        <f>HYPERLINK("http://mcb-m6.bioreg.kyushu-u.ac.jp/M3/20110428/F51131/3217/1", 65.56)</f>
        <v>65.56</v>
      </c>
      <c r="E5546" s="2">
        <v>18.89</v>
      </c>
      <c r="F5546" s="2">
        <v>2</v>
      </c>
      <c r="G5546" s="2" t="s">
        <v>13</v>
      </c>
    </row>
    <row r="5547" spans="1:7" x14ac:dyDescent="0.2">
      <c r="A5547" s="2" t="s">
        <v>3245</v>
      </c>
      <c r="B5547" s="2" t="s">
        <v>25</v>
      </c>
      <c r="C5547" s="2">
        <v>737.62249999999995</v>
      </c>
      <c r="D5547" s="2">
        <f>HYPERLINK("http://mcb-m6.bioreg.kyushu-u.ac.jp/M3/20110427/F51109/2796/1", 65.7)</f>
        <v>65.7</v>
      </c>
      <c r="E5547" s="2">
        <v>40.130000000000003</v>
      </c>
      <c r="F5547" s="2">
        <v>3</v>
      </c>
      <c r="G5547" s="2" t="s">
        <v>13</v>
      </c>
    </row>
    <row r="5548" spans="1:7" x14ac:dyDescent="0.2">
      <c r="A5548" s="2" t="s">
        <v>3245</v>
      </c>
      <c r="B5548" s="2" t="s">
        <v>25</v>
      </c>
      <c r="C5548" s="2">
        <v>1106.3900000000001</v>
      </c>
      <c r="D5548" s="2">
        <f>HYPERLINK("http://mcb-m6.bioreg.kyushu-u.ac.jp/M3/20110427/F51112/3264/1", 65.8)</f>
        <v>65.8</v>
      </c>
      <c r="E5548" s="2">
        <v>38.659999999999997</v>
      </c>
      <c r="F5548" s="2">
        <v>2</v>
      </c>
      <c r="G5548" s="2" t="s">
        <v>13</v>
      </c>
    </row>
    <row r="5549" spans="1:7" x14ac:dyDescent="0.2">
      <c r="A5549" s="2" t="s">
        <v>3245</v>
      </c>
      <c r="B5549" s="2" t="s">
        <v>25</v>
      </c>
      <c r="C5549" s="2">
        <v>1105.857</v>
      </c>
      <c r="D5549" s="2">
        <f>HYPERLINK("http://mcb-m6.bioreg.kyushu-u.ac.jp/M3/20110427/F51112/3258/1", 66.75)</f>
        <v>66.75</v>
      </c>
      <c r="E5549" s="2">
        <v>39.78</v>
      </c>
      <c r="F5549" s="2">
        <v>2</v>
      </c>
      <c r="G5549" s="2" t="s">
        <v>13</v>
      </c>
    </row>
    <row r="5550" spans="1:7" x14ac:dyDescent="0.2">
      <c r="A5550" s="2" t="s">
        <v>3245</v>
      </c>
      <c r="B5550" s="2" t="s">
        <v>25</v>
      </c>
      <c r="C5550" s="2">
        <v>1106.395</v>
      </c>
      <c r="D5550" s="2">
        <f>HYPERLINK("http://mcb-m6.bioreg.kyushu-u.ac.jp/M3/20110427/F51112/3265/1", 68.68)</f>
        <v>68.680000000000007</v>
      </c>
      <c r="E5550" s="2">
        <v>35.79</v>
      </c>
      <c r="F5550" s="2">
        <v>2</v>
      </c>
      <c r="G5550" s="2" t="s">
        <v>13</v>
      </c>
    </row>
    <row r="5551" spans="1:7" x14ac:dyDescent="0.2">
      <c r="A5551" s="2" t="s">
        <v>3245</v>
      </c>
      <c r="B5551" s="2" t="s">
        <v>25</v>
      </c>
      <c r="C5551" s="2">
        <v>1106.356</v>
      </c>
      <c r="D5551" s="2">
        <f>HYPERLINK("http://mcb-m6.bioreg.kyushu-u.ac.jp/M3/20110428/F51127/3489/1", 68.7)</f>
        <v>68.7</v>
      </c>
      <c r="E5551" s="2">
        <v>26.23</v>
      </c>
      <c r="F5551" s="2">
        <v>2</v>
      </c>
      <c r="G5551" s="2" t="s">
        <v>13</v>
      </c>
    </row>
    <row r="5552" spans="1:7" x14ac:dyDescent="0.2">
      <c r="A5552" s="2" t="s">
        <v>3245</v>
      </c>
      <c r="B5552" s="2" t="s">
        <v>25</v>
      </c>
      <c r="C5552" s="2">
        <v>1106.299</v>
      </c>
      <c r="D5552" s="2">
        <f>HYPERLINK("http://mcb-m6.bioreg.kyushu-u.ac.jp/M3/20110427/F51109/2798/1", 68.76)</f>
        <v>68.760000000000005</v>
      </c>
      <c r="E5552" s="2">
        <v>40.06</v>
      </c>
      <c r="F5552" s="2">
        <v>2</v>
      </c>
      <c r="G5552" s="2" t="s">
        <v>13</v>
      </c>
    </row>
    <row r="5553" spans="1:7" x14ac:dyDescent="0.2">
      <c r="A5553" s="2" t="s">
        <v>3245</v>
      </c>
      <c r="B5553" s="2" t="s">
        <v>25</v>
      </c>
      <c r="C5553" s="2">
        <v>1106.479</v>
      </c>
      <c r="D5553" s="2">
        <f>HYPERLINK("http://mcb-m6.bioreg.kyushu-u.ac.jp/M3/20110428/F51132/3283/1", 71.99)</f>
        <v>71.989999999999995</v>
      </c>
      <c r="E5553" s="2">
        <v>46.9</v>
      </c>
      <c r="F5553" s="2">
        <v>2</v>
      </c>
      <c r="G5553" s="2" t="s">
        <v>13</v>
      </c>
    </row>
    <row r="5554" spans="1:7" x14ac:dyDescent="0.2">
      <c r="A5554" s="2" t="s">
        <v>3245</v>
      </c>
      <c r="B5554" s="2" t="s">
        <v>25</v>
      </c>
      <c r="C5554" s="2">
        <v>1106.404</v>
      </c>
      <c r="D5554" s="2">
        <f>HYPERLINK("http://mcb-m6.bioreg.kyushu-u.ac.jp/M3/20110427/F51117/3255/1", 73.1)</f>
        <v>73.099999999999994</v>
      </c>
      <c r="E5554" s="2">
        <v>32.46</v>
      </c>
      <c r="F5554" s="2">
        <v>2</v>
      </c>
      <c r="G5554" s="2" t="s">
        <v>13</v>
      </c>
    </row>
    <row r="5555" spans="1:7" x14ac:dyDescent="0.2">
      <c r="A5555" s="2" t="s">
        <v>3245</v>
      </c>
      <c r="B5555" s="2" t="s">
        <v>25</v>
      </c>
      <c r="C5555" s="2">
        <v>1106.3510000000001</v>
      </c>
      <c r="D5555" s="2">
        <f>HYPERLINK("http://mcb-m6.bioreg.kyushu-u.ac.jp/M3/20110427/F51117/3253/1", 73.56)</f>
        <v>73.56</v>
      </c>
      <c r="E5555" s="2">
        <v>43.74</v>
      </c>
      <c r="F5555" s="2">
        <v>2</v>
      </c>
      <c r="G5555" s="2" t="s">
        <v>13</v>
      </c>
    </row>
    <row r="5556" spans="1:7" x14ac:dyDescent="0.2">
      <c r="A5556" s="2" t="s">
        <v>3245</v>
      </c>
      <c r="B5556" s="2" t="s">
        <v>25</v>
      </c>
      <c r="C5556" s="2">
        <v>1106.375</v>
      </c>
      <c r="D5556" s="2">
        <f>HYPERLINK("http://mcb-m6.bioreg.kyushu-u.ac.jp/M3/20110427/F51113/3110/1", 74.14)</f>
        <v>74.14</v>
      </c>
      <c r="E5556" s="2">
        <v>42.39</v>
      </c>
      <c r="F5556" s="2">
        <v>2</v>
      </c>
      <c r="G5556" s="2" t="s">
        <v>13</v>
      </c>
    </row>
    <row r="5557" spans="1:7" x14ac:dyDescent="0.2">
      <c r="A5557" s="2" t="s">
        <v>3245</v>
      </c>
      <c r="B5557" s="2" t="s">
        <v>25</v>
      </c>
      <c r="C5557" s="2">
        <v>1106.192</v>
      </c>
      <c r="D5557" s="2">
        <f>HYPERLINK("http://mcb-m6.bioreg.kyushu-u.ac.jp/M3/20110428/F51127/3484/1", 74.33)</f>
        <v>74.33</v>
      </c>
      <c r="E5557" s="2">
        <v>36.479999999999997</v>
      </c>
      <c r="F5557" s="2">
        <v>2</v>
      </c>
      <c r="G5557" s="2" t="s">
        <v>13</v>
      </c>
    </row>
    <row r="5558" spans="1:7" x14ac:dyDescent="0.2">
      <c r="A5558" s="2" t="s">
        <v>3245</v>
      </c>
      <c r="B5558" s="2" t="s">
        <v>25</v>
      </c>
      <c r="C5558" s="2">
        <v>1105.7940000000001</v>
      </c>
      <c r="D5558" s="2">
        <f>HYPERLINK("http://mcb-m6.bioreg.kyushu-u.ac.jp/M3/20110427/F51111/3281/1", 75.04)</f>
        <v>75.040000000000006</v>
      </c>
      <c r="E5558" s="2">
        <v>48.55</v>
      </c>
      <c r="F5558" s="2">
        <v>2</v>
      </c>
      <c r="G5558" s="2" t="s">
        <v>13</v>
      </c>
    </row>
    <row r="5559" spans="1:7" x14ac:dyDescent="0.2">
      <c r="A5559" s="2" t="s">
        <v>3245</v>
      </c>
      <c r="B5559" s="2" t="s">
        <v>25</v>
      </c>
      <c r="C5559" s="2">
        <v>1106.374</v>
      </c>
      <c r="D5559" s="2">
        <f>HYPERLINK("http://mcb-m6.bioreg.kyushu-u.ac.jp/M3/20110427/F51108/2996/1", 76.59)</f>
        <v>76.59</v>
      </c>
      <c r="E5559" s="2">
        <v>42.42</v>
      </c>
      <c r="F5559" s="2">
        <v>2</v>
      </c>
      <c r="G5559" s="2" t="s">
        <v>13</v>
      </c>
    </row>
    <row r="5560" spans="1:7" x14ac:dyDescent="0.2">
      <c r="A5560" s="2" t="s">
        <v>3245</v>
      </c>
      <c r="B5560" s="2" t="s">
        <v>25</v>
      </c>
      <c r="C5560" s="2">
        <v>738.0145</v>
      </c>
      <c r="D5560" s="2">
        <f>HYPERLINK("http://mcb-m6.bioreg.kyushu-u.ac.jp/M3/20110427/F51108/2998/1", 77.25)</f>
        <v>77.25</v>
      </c>
      <c r="E5560" s="2">
        <v>38.630000000000003</v>
      </c>
      <c r="F5560" s="2">
        <v>3</v>
      </c>
      <c r="G5560" s="2" t="s">
        <v>13</v>
      </c>
    </row>
    <row r="5561" spans="1:7" x14ac:dyDescent="0.2">
      <c r="A5561" s="2" t="s">
        <v>3245</v>
      </c>
      <c r="B5561" s="2" t="s">
        <v>25</v>
      </c>
      <c r="C5561" s="2">
        <v>1106.3530000000001</v>
      </c>
      <c r="D5561" s="2">
        <f>HYPERLINK("http://mcb-m6.bioreg.kyushu-u.ac.jp/M3/20110427/F51110/3098/1", 77.55)</f>
        <v>77.55</v>
      </c>
      <c r="E5561" s="2">
        <v>30.83</v>
      </c>
      <c r="F5561" s="2">
        <v>2</v>
      </c>
      <c r="G5561" s="2" t="s">
        <v>13</v>
      </c>
    </row>
    <row r="5562" spans="1:7" x14ac:dyDescent="0.2">
      <c r="A5562" s="2" t="s">
        <v>3245</v>
      </c>
      <c r="B5562" s="2" t="s">
        <v>25</v>
      </c>
      <c r="C5562" s="2">
        <v>1106.3399999999999</v>
      </c>
      <c r="D5562" s="2">
        <f>HYPERLINK("http://mcb-m6.bioreg.kyushu-u.ac.jp/M3/20110427/F51111/3285/1", 78.3)</f>
        <v>78.3</v>
      </c>
      <c r="E5562" s="2">
        <v>36.4</v>
      </c>
      <c r="F5562" s="2">
        <v>2</v>
      </c>
      <c r="G5562" s="2" t="s">
        <v>13</v>
      </c>
    </row>
    <row r="5563" spans="1:7" x14ac:dyDescent="0.2">
      <c r="A5563" s="2" t="s">
        <v>3245</v>
      </c>
      <c r="B5563" s="2" t="s">
        <v>25</v>
      </c>
      <c r="C5563" s="2">
        <v>1105.8910000000001</v>
      </c>
      <c r="D5563" s="2">
        <f>HYPERLINK("http://mcb-m6.bioreg.kyushu-u.ac.jp/M3/20110427/F51112/3261/1", 81.55)</f>
        <v>81.55</v>
      </c>
      <c r="E5563" s="2">
        <v>47.82</v>
      </c>
      <c r="F5563" s="2">
        <v>2</v>
      </c>
      <c r="G5563" s="2" t="s">
        <v>13</v>
      </c>
    </row>
    <row r="5564" spans="1:7" x14ac:dyDescent="0.2">
      <c r="A5564" s="2" t="s">
        <v>3245</v>
      </c>
      <c r="B5564" s="2" t="s">
        <v>25</v>
      </c>
      <c r="C5564" s="2">
        <v>1106.2850000000001</v>
      </c>
      <c r="D5564" s="2">
        <f>HYPERLINK("http://mcb-m6.bioreg.kyushu-u.ac.jp/M3/20110427/F51115/3158/1", 82.39)</f>
        <v>82.39</v>
      </c>
      <c r="E5564" s="2">
        <v>43.44</v>
      </c>
      <c r="F5564" s="2">
        <v>2</v>
      </c>
      <c r="G5564" s="2" t="s">
        <v>13</v>
      </c>
    </row>
    <row r="5565" spans="1:7" x14ac:dyDescent="0.2">
      <c r="A5565" s="2" t="s">
        <v>3245</v>
      </c>
      <c r="B5565" s="2" t="s">
        <v>25</v>
      </c>
      <c r="C5565" s="2">
        <v>1106.2760000000001</v>
      </c>
      <c r="D5565" s="2">
        <f>HYPERLINK("http://mcb-m6.bioreg.kyushu-u.ac.jp/M3/20110428/F51127/3487/1", 84)</f>
        <v>84</v>
      </c>
      <c r="E5565" s="2">
        <v>40.71</v>
      </c>
      <c r="F5565" s="2">
        <v>2</v>
      </c>
      <c r="G5565" s="2" t="s">
        <v>13</v>
      </c>
    </row>
    <row r="5566" spans="1:7" x14ac:dyDescent="0.2">
      <c r="A5566" s="2" t="s">
        <v>3245</v>
      </c>
      <c r="B5566" s="2" t="s">
        <v>25</v>
      </c>
      <c r="C5566" s="2">
        <v>1106.25</v>
      </c>
      <c r="D5566" s="2">
        <f>HYPERLINK("http://mcb-m6.bioreg.kyushu-u.ac.jp/M3/20110427/F51108/2995/1", 84.06)</f>
        <v>84.06</v>
      </c>
      <c r="E5566" s="2">
        <v>28.2</v>
      </c>
      <c r="F5566" s="2">
        <v>2</v>
      </c>
      <c r="G5566" s="2" t="s">
        <v>13</v>
      </c>
    </row>
    <row r="5567" spans="1:7" x14ac:dyDescent="0.2">
      <c r="A5567" s="2" t="s">
        <v>3245</v>
      </c>
      <c r="B5567" s="2" t="s">
        <v>25</v>
      </c>
      <c r="C5567" s="2">
        <v>738.01059999999995</v>
      </c>
      <c r="D5567" s="2">
        <f>HYPERLINK("http://mcb-m6.bioreg.kyushu-u.ac.jp/M3/20110427/F51113/3113/1", 84.15)</f>
        <v>84.15</v>
      </c>
      <c r="E5567" s="2">
        <v>40.07</v>
      </c>
      <c r="F5567" s="2">
        <v>3</v>
      </c>
      <c r="G5567" s="2" t="s">
        <v>13</v>
      </c>
    </row>
    <row r="5568" spans="1:7" x14ac:dyDescent="0.2">
      <c r="A5568" s="2" t="s">
        <v>3245</v>
      </c>
      <c r="B5568" s="2" t="s">
        <v>25</v>
      </c>
      <c r="C5568" s="2">
        <v>1105.827</v>
      </c>
      <c r="D5568" s="2">
        <f>HYPERLINK("http://mcb-m6.bioreg.kyushu-u.ac.jp/M3/20110428/F51127/3478/1", 84.36)</f>
        <v>84.36</v>
      </c>
      <c r="E5568" s="2">
        <v>69.599999999999994</v>
      </c>
      <c r="F5568" s="2">
        <v>2</v>
      </c>
      <c r="G5568" s="2" t="s">
        <v>13</v>
      </c>
    </row>
    <row r="5569" spans="1:7" x14ac:dyDescent="0.2">
      <c r="A5569" s="2" t="s">
        <v>3245</v>
      </c>
      <c r="B5569" s="2" t="s">
        <v>25</v>
      </c>
      <c r="C5569" s="2">
        <v>1105.7439999999999</v>
      </c>
      <c r="D5569" s="2">
        <f>HYPERLINK("http://mcb-m6.bioreg.kyushu-u.ac.jp/M3/20110428/F51131/3209/1", 84.52)</f>
        <v>84.52</v>
      </c>
      <c r="E5569" s="2">
        <v>59.94</v>
      </c>
      <c r="F5569" s="2">
        <v>2</v>
      </c>
      <c r="G5569" s="2" t="s">
        <v>13</v>
      </c>
    </row>
    <row r="5570" spans="1:7" x14ac:dyDescent="0.2">
      <c r="A5570" s="2" t="s">
        <v>3245</v>
      </c>
      <c r="B5570" s="2" t="s">
        <v>25</v>
      </c>
      <c r="C5570" s="2">
        <v>1105.7560000000001</v>
      </c>
      <c r="D5570" s="2">
        <f>HYPERLINK("http://mcb-m6.bioreg.kyushu-u.ac.jp/M3/20110427/F51113/3102/1", 86.22)</f>
        <v>86.22</v>
      </c>
      <c r="E5570" s="2">
        <v>58.63</v>
      </c>
      <c r="F5570" s="2">
        <v>2</v>
      </c>
      <c r="G5570" s="2" t="s">
        <v>13</v>
      </c>
    </row>
    <row r="5571" spans="1:7" x14ac:dyDescent="0.2">
      <c r="A5571" s="2" t="s">
        <v>3245</v>
      </c>
      <c r="B5571" s="2" t="s">
        <v>25</v>
      </c>
      <c r="C5571" s="2">
        <v>1106.414</v>
      </c>
      <c r="D5571" s="2">
        <f>HYPERLINK("http://mcb-m6.bioreg.kyushu-u.ac.jp/M3/20110427/F51113/3112/1", 86.35)</f>
        <v>86.35</v>
      </c>
      <c r="E5571" s="2">
        <v>38.39</v>
      </c>
      <c r="F5571" s="2">
        <v>2</v>
      </c>
      <c r="G5571" s="2" t="s">
        <v>13</v>
      </c>
    </row>
    <row r="5572" spans="1:7" x14ac:dyDescent="0.2">
      <c r="A5572" s="2" t="s">
        <v>3245</v>
      </c>
      <c r="B5572" s="2" t="s">
        <v>25</v>
      </c>
      <c r="C5572" s="2">
        <v>1105.818</v>
      </c>
      <c r="D5572" s="2">
        <f>HYPERLINK("http://mcb-m6.bioreg.kyushu-u.ac.jp/M3/20110427/F51110/3090/1", 87.71)</f>
        <v>87.71</v>
      </c>
      <c r="E5572" s="2">
        <v>62.65</v>
      </c>
      <c r="F5572" s="2">
        <v>2</v>
      </c>
      <c r="G5572" s="2" t="s">
        <v>13</v>
      </c>
    </row>
    <row r="5573" spans="1:7" x14ac:dyDescent="0.2">
      <c r="A5573" s="2" t="s">
        <v>3245</v>
      </c>
      <c r="B5573" s="2" t="s">
        <v>25</v>
      </c>
      <c r="C5573" s="2">
        <v>1105.8779999999999</v>
      </c>
      <c r="D5573" s="2">
        <f>HYPERLINK("http://mcb-m6.bioreg.kyushu-u.ac.jp/M3/20110427/F51117/3250/1", 102.81)</f>
        <v>102.81</v>
      </c>
      <c r="E5573" s="2">
        <v>85.23</v>
      </c>
      <c r="F5573" s="2">
        <v>2</v>
      </c>
      <c r="G5573" s="2" t="s">
        <v>13</v>
      </c>
    </row>
    <row r="5574" spans="1:7" x14ac:dyDescent="0.2">
      <c r="A5574" s="2" t="s">
        <v>3245</v>
      </c>
      <c r="B5574" s="2" t="s">
        <v>25</v>
      </c>
      <c r="C5574" s="2">
        <v>1105.83</v>
      </c>
      <c r="D5574" s="2">
        <f>HYPERLINK("http://mcb-m6.bioreg.kyushu-u.ac.jp/M3/20110427/F51119/2685/1", 35.37)</f>
        <v>35.369999999999997</v>
      </c>
      <c r="E5574" s="2">
        <v>20.53</v>
      </c>
      <c r="F5574" s="2">
        <v>2</v>
      </c>
      <c r="G5574" s="2" t="s">
        <v>14</v>
      </c>
    </row>
    <row r="5575" spans="1:7" x14ac:dyDescent="0.2">
      <c r="A5575" s="2" t="s">
        <v>3245</v>
      </c>
      <c r="B5575" s="2" t="s">
        <v>25</v>
      </c>
      <c r="C5575" s="2">
        <v>1105.8330000000001</v>
      </c>
      <c r="D5575" s="2">
        <f>HYPERLINK("http://mcb-m6.bioreg.kyushu-u.ac.jp/M3/20110428/F51130/3271/1", 36.97)</f>
        <v>36.97</v>
      </c>
      <c r="E5575" s="2">
        <v>21.85</v>
      </c>
      <c r="F5575" s="2">
        <v>2</v>
      </c>
      <c r="G5575" s="2" t="s">
        <v>14</v>
      </c>
    </row>
    <row r="5576" spans="1:7" x14ac:dyDescent="0.2">
      <c r="A5576" s="2" t="s">
        <v>3245</v>
      </c>
      <c r="B5576" s="2" t="s">
        <v>25</v>
      </c>
      <c r="C5576" s="2">
        <v>738.06050000000005</v>
      </c>
      <c r="D5576" s="2">
        <f>HYPERLINK("http://mcb-m6.bioreg.kyushu-u.ac.jp/M3/20110428/F51128/3332/1", 37.7)</f>
        <v>37.700000000000003</v>
      </c>
      <c r="E5576" s="2">
        <v>17.98</v>
      </c>
      <c r="F5576" s="2">
        <v>3</v>
      </c>
      <c r="G5576" s="2" t="s">
        <v>14</v>
      </c>
    </row>
    <row r="5577" spans="1:7" x14ac:dyDescent="0.2">
      <c r="A5577" s="2" t="s">
        <v>3245</v>
      </c>
      <c r="B5577" s="2" t="s">
        <v>25</v>
      </c>
      <c r="C5577" s="2">
        <v>1106.2840000000001</v>
      </c>
      <c r="D5577" s="2">
        <f>HYPERLINK("http://mcb-m6.bioreg.kyushu-u.ac.jp/M3/20110427/F51124/3149/1", 37.84)</f>
        <v>37.840000000000003</v>
      </c>
      <c r="E5577" s="2">
        <v>30.22</v>
      </c>
      <c r="F5577" s="2">
        <v>2</v>
      </c>
      <c r="G5577" s="2" t="s">
        <v>14</v>
      </c>
    </row>
    <row r="5578" spans="1:7" x14ac:dyDescent="0.2">
      <c r="A5578" s="2" t="s">
        <v>3245</v>
      </c>
      <c r="B5578" s="2" t="s">
        <v>25</v>
      </c>
      <c r="C5578" s="2">
        <v>1106.329</v>
      </c>
      <c r="D5578" s="2">
        <f>HYPERLINK("http://mcb-m6.bioreg.kyushu-u.ac.jp/M3/20110427/F51121/2816/1", 37.88)</f>
        <v>37.880000000000003</v>
      </c>
      <c r="E5578" s="2">
        <v>14.48</v>
      </c>
      <c r="F5578" s="2">
        <v>2</v>
      </c>
      <c r="G5578" s="2" t="s">
        <v>14</v>
      </c>
    </row>
    <row r="5579" spans="1:7" x14ac:dyDescent="0.2">
      <c r="A5579" s="2" t="s">
        <v>3245</v>
      </c>
      <c r="B5579" s="2" t="s">
        <v>25</v>
      </c>
      <c r="C5579" s="2">
        <v>1105.7860000000001</v>
      </c>
      <c r="D5579" s="2">
        <f>HYPERLINK("http://mcb-m6.bioreg.kyushu-u.ac.jp/M3/20110428/F51128/3317/1", 38.06)</f>
        <v>38.06</v>
      </c>
      <c r="E5579" s="2">
        <v>21.44</v>
      </c>
      <c r="F5579" s="2">
        <v>2</v>
      </c>
      <c r="G5579" s="2" t="s">
        <v>14</v>
      </c>
    </row>
    <row r="5580" spans="1:7" x14ac:dyDescent="0.2">
      <c r="A5580" s="2" t="s">
        <v>3245</v>
      </c>
      <c r="B5580" s="2" t="s">
        <v>25</v>
      </c>
      <c r="C5580" s="2">
        <v>1105.8630000000001</v>
      </c>
      <c r="D5580" s="2">
        <f>HYPERLINK("http://mcb-m6.bioreg.kyushu-u.ac.jp/M3/20110428/F51129/3239/1", 39)</f>
        <v>39</v>
      </c>
      <c r="E5580" s="2">
        <v>20.79</v>
      </c>
      <c r="F5580" s="2">
        <v>2</v>
      </c>
      <c r="G5580" s="2" t="s">
        <v>14</v>
      </c>
    </row>
    <row r="5581" spans="1:7" x14ac:dyDescent="0.2">
      <c r="A5581" s="2" t="s">
        <v>3245</v>
      </c>
      <c r="B5581" s="2" t="s">
        <v>25</v>
      </c>
      <c r="C5581" s="2">
        <v>1106.58</v>
      </c>
      <c r="D5581" s="2">
        <f>HYPERLINK("http://mcb-m6.bioreg.kyushu-u.ac.jp/M3/20110428/F51135/2892/1", 40.05)</f>
        <v>40.049999999999997</v>
      </c>
      <c r="E5581" s="2">
        <v>13.39</v>
      </c>
      <c r="F5581" s="2">
        <v>2</v>
      </c>
      <c r="G5581" s="2" t="s">
        <v>14</v>
      </c>
    </row>
    <row r="5582" spans="1:7" x14ac:dyDescent="0.2">
      <c r="A5582" s="2" t="s">
        <v>3245</v>
      </c>
      <c r="B5582" s="2" t="s">
        <v>25</v>
      </c>
      <c r="C5582" s="2">
        <v>1105.979</v>
      </c>
      <c r="D5582" s="2">
        <f>HYPERLINK("http://mcb-m6.bioreg.kyushu-u.ac.jp/M3/20110427/F51118/2751/1", 40.3)</f>
        <v>40.299999999999997</v>
      </c>
      <c r="E5582" s="2">
        <v>17.03</v>
      </c>
      <c r="F5582" s="2">
        <v>2</v>
      </c>
      <c r="G5582" s="2" t="s">
        <v>14</v>
      </c>
    </row>
    <row r="5583" spans="1:7" x14ac:dyDescent="0.2">
      <c r="A5583" s="2" t="s">
        <v>3245</v>
      </c>
      <c r="B5583" s="2" t="s">
        <v>25</v>
      </c>
      <c r="C5583" s="2">
        <v>1105.8119999999999</v>
      </c>
      <c r="D5583" s="2">
        <f>HYPERLINK("http://mcb-m6.bioreg.kyushu-u.ac.jp/M3/20110427/F51122/3025/1", 40.82)</f>
        <v>40.82</v>
      </c>
      <c r="E5583" s="2">
        <v>19.850000000000001</v>
      </c>
      <c r="F5583" s="2">
        <v>2</v>
      </c>
      <c r="G5583" s="2" t="s">
        <v>14</v>
      </c>
    </row>
    <row r="5584" spans="1:7" x14ac:dyDescent="0.2">
      <c r="A5584" s="2" t="s">
        <v>3245</v>
      </c>
      <c r="B5584" s="2" t="s">
        <v>25</v>
      </c>
      <c r="C5584" s="2">
        <v>1106.1559999999999</v>
      </c>
      <c r="D5584" s="2">
        <f>HYPERLINK("http://mcb-m6.bioreg.kyushu-u.ac.jp/M3/20110428/F51130/3273/1", 40.84)</f>
        <v>40.840000000000003</v>
      </c>
      <c r="E5584" s="2">
        <v>26.53</v>
      </c>
      <c r="F5584" s="2">
        <v>2</v>
      </c>
      <c r="G5584" s="2" t="s">
        <v>14</v>
      </c>
    </row>
    <row r="5585" spans="1:7" x14ac:dyDescent="0.2">
      <c r="A5585" s="2" t="s">
        <v>3245</v>
      </c>
      <c r="B5585" s="2" t="s">
        <v>25</v>
      </c>
      <c r="C5585" s="2">
        <v>1105.865</v>
      </c>
      <c r="D5585" s="2">
        <f>HYPERLINK("http://mcb-m6.bioreg.kyushu-u.ac.jp/M3/20110427/F51118/2750/1", 40.92)</f>
        <v>40.92</v>
      </c>
      <c r="E5585" s="2">
        <v>12.96</v>
      </c>
      <c r="F5585" s="2">
        <v>2</v>
      </c>
      <c r="G5585" s="2" t="s">
        <v>14</v>
      </c>
    </row>
    <row r="5586" spans="1:7" x14ac:dyDescent="0.2">
      <c r="A5586" s="2" t="s">
        <v>3245</v>
      </c>
      <c r="B5586" s="2" t="s">
        <v>25</v>
      </c>
      <c r="C5586" s="2">
        <v>737.76279999999997</v>
      </c>
      <c r="D5586" s="2">
        <f>HYPERLINK("http://mcb-m6.bioreg.kyushu-u.ac.jp/M3/20110427/F51118/2752/1", 41.28)</f>
        <v>41.28</v>
      </c>
      <c r="E5586" s="2">
        <v>20.399999999999999</v>
      </c>
      <c r="F5586" s="2">
        <v>3</v>
      </c>
      <c r="G5586" s="2" t="s">
        <v>14</v>
      </c>
    </row>
    <row r="5587" spans="1:7" x14ac:dyDescent="0.2">
      <c r="A5587" s="2" t="s">
        <v>3245</v>
      </c>
      <c r="B5587" s="2" t="s">
        <v>25</v>
      </c>
      <c r="C5587" s="2">
        <v>1106.116</v>
      </c>
      <c r="D5587" s="2">
        <f>HYPERLINK("http://mcb-m6.bioreg.kyushu-u.ac.jp/M3/20110427/F51119/2688/1", 41.28)</f>
        <v>41.28</v>
      </c>
      <c r="E5587" s="2">
        <v>23.74</v>
      </c>
      <c r="F5587" s="2">
        <v>2</v>
      </c>
      <c r="G5587" s="2" t="s">
        <v>14</v>
      </c>
    </row>
    <row r="5588" spans="1:7" x14ac:dyDescent="0.2">
      <c r="A5588" s="2" t="s">
        <v>3245</v>
      </c>
      <c r="B5588" s="2" t="s">
        <v>25</v>
      </c>
      <c r="C5588" s="2">
        <v>1106.4090000000001</v>
      </c>
      <c r="D5588" s="2">
        <f>HYPERLINK("http://mcb-m6.bioreg.kyushu-u.ac.jp/M3/20110427/F51123/3362/1", 42.13)</f>
        <v>42.13</v>
      </c>
      <c r="E5588" s="2">
        <v>21.19</v>
      </c>
      <c r="F5588" s="2">
        <v>2</v>
      </c>
      <c r="G5588" s="2" t="s">
        <v>14</v>
      </c>
    </row>
    <row r="5589" spans="1:7" x14ac:dyDescent="0.2">
      <c r="A5589" s="2" t="s">
        <v>3245</v>
      </c>
      <c r="B5589" s="2" t="s">
        <v>25</v>
      </c>
      <c r="C5589" s="2">
        <v>1106.356</v>
      </c>
      <c r="D5589" s="2">
        <f>HYPERLINK("http://mcb-m6.bioreg.kyushu-u.ac.jp/M3/20110427/F51118/2754/1", 43.77)</f>
        <v>43.77</v>
      </c>
      <c r="E5589" s="2">
        <v>20.3</v>
      </c>
      <c r="F5589" s="2">
        <v>2</v>
      </c>
      <c r="G5589" s="2" t="s">
        <v>14</v>
      </c>
    </row>
    <row r="5590" spans="1:7" x14ac:dyDescent="0.2">
      <c r="A5590" s="2" t="s">
        <v>3245</v>
      </c>
      <c r="B5590" s="2" t="s">
        <v>25</v>
      </c>
      <c r="C5590" s="2">
        <v>737.36609999999996</v>
      </c>
      <c r="D5590" s="2">
        <f>HYPERLINK("http://mcb-m6.bioreg.kyushu-u.ac.jp/M3/20110427/F51121/2811/1", 44.15)</f>
        <v>44.15</v>
      </c>
      <c r="E5590" s="2">
        <v>23.07</v>
      </c>
      <c r="F5590" s="2">
        <v>3</v>
      </c>
      <c r="G5590" s="2" t="s">
        <v>14</v>
      </c>
    </row>
    <row r="5591" spans="1:7" x14ac:dyDescent="0.2">
      <c r="A5591" s="2" t="s">
        <v>3245</v>
      </c>
      <c r="B5591" s="2" t="s">
        <v>25</v>
      </c>
      <c r="C5591" s="2">
        <v>1106.3920000000001</v>
      </c>
      <c r="D5591" s="2">
        <f>HYPERLINK("http://mcb-m6.bioreg.kyushu-u.ac.jp/M3/20110427/F51119/2691/1", 44.47)</f>
        <v>44.47</v>
      </c>
      <c r="E5591" s="2">
        <v>23.23</v>
      </c>
      <c r="F5591" s="2">
        <v>2</v>
      </c>
      <c r="G5591" s="2" t="s">
        <v>14</v>
      </c>
    </row>
    <row r="5592" spans="1:7" x14ac:dyDescent="0.2">
      <c r="A5592" s="2" t="s">
        <v>3245</v>
      </c>
      <c r="B5592" s="2" t="s">
        <v>25</v>
      </c>
      <c r="C5592" s="2">
        <v>737.95590000000004</v>
      </c>
      <c r="D5592" s="2">
        <f>HYPERLINK("http://mcb-m6.bioreg.kyushu-u.ac.jp/M3/20110427/F51122/3030/1", 45.25)</f>
        <v>45.25</v>
      </c>
      <c r="E5592" s="2">
        <v>17.02</v>
      </c>
      <c r="F5592" s="2">
        <v>3</v>
      </c>
      <c r="G5592" s="2" t="s">
        <v>14</v>
      </c>
    </row>
    <row r="5593" spans="1:7" x14ac:dyDescent="0.2">
      <c r="A5593" s="2" t="s">
        <v>3245</v>
      </c>
      <c r="B5593" s="2" t="s">
        <v>25</v>
      </c>
      <c r="C5593" s="2">
        <v>737.85490000000004</v>
      </c>
      <c r="D5593" s="2">
        <f>HYPERLINK("http://mcb-m6.bioreg.kyushu-u.ac.jp/M3/20110427/F51123/3360/1", 46.24)</f>
        <v>46.24</v>
      </c>
      <c r="E5593" s="2">
        <v>26.45</v>
      </c>
      <c r="F5593" s="2">
        <v>3</v>
      </c>
      <c r="G5593" s="2" t="s">
        <v>14</v>
      </c>
    </row>
    <row r="5594" spans="1:7" x14ac:dyDescent="0.2">
      <c r="A5594" s="2" t="s">
        <v>3245</v>
      </c>
      <c r="B5594" s="2" t="s">
        <v>25</v>
      </c>
      <c r="C5594" s="2">
        <v>1105.7919999999999</v>
      </c>
      <c r="D5594" s="2">
        <f>HYPERLINK("http://mcb-m6.bioreg.kyushu-u.ac.jp/M3/20110428/F51128/3318/1", 46.26)</f>
        <v>46.26</v>
      </c>
      <c r="E5594" s="2">
        <v>32.82</v>
      </c>
      <c r="F5594" s="2">
        <v>2</v>
      </c>
      <c r="G5594" s="2" t="s">
        <v>14</v>
      </c>
    </row>
    <row r="5595" spans="1:7" x14ac:dyDescent="0.2">
      <c r="A5595" s="2" t="s">
        <v>3245</v>
      </c>
      <c r="B5595" s="2" t="s">
        <v>25</v>
      </c>
      <c r="C5595" s="2">
        <v>1105.8209999999999</v>
      </c>
      <c r="D5595" s="2">
        <f>HYPERLINK("http://mcb-m6.bioreg.kyushu-u.ac.jp/M3/20110428/F51129/3238/1", 46.93)</f>
        <v>46.93</v>
      </c>
      <c r="E5595" s="2">
        <v>28.68</v>
      </c>
      <c r="F5595" s="2">
        <v>2</v>
      </c>
      <c r="G5595" s="2" t="s">
        <v>14</v>
      </c>
    </row>
    <row r="5596" spans="1:7" x14ac:dyDescent="0.2">
      <c r="A5596" s="2" t="s">
        <v>3245</v>
      </c>
      <c r="B5596" s="2" t="s">
        <v>25</v>
      </c>
      <c r="C5596" s="2">
        <v>737.4325</v>
      </c>
      <c r="D5596" s="2">
        <f>HYPERLINK("http://mcb-m6.bioreg.kyushu-u.ac.jp/M3/20110428/F51130/3268/1", 48.06)</f>
        <v>48.06</v>
      </c>
      <c r="E5596" s="2">
        <v>14.84</v>
      </c>
      <c r="F5596" s="2">
        <v>3</v>
      </c>
      <c r="G5596" s="2" t="s">
        <v>14</v>
      </c>
    </row>
    <row r="5597" spans="1:7" x14ac:dyDescent="0.2">
      <c r="A5597" s="2" t="s">
        <v>3245</v>
      </c>
      <c r="B5597" s="2" t="s">
        <v>25</v>
      </c>
      <c r="C5597" s="2">
        <v>1106.433</v>
      </c>
      <c r="D5597" s="2">
        <f>HYPERLINK("http://mcb-m6.bioreg.kyushu-u.ac.jp/M3/20110427/F51123/3363/1", 48.81)</f>
        <v>48.81</v>
      </c>
      <c r="E5597" s="2">
        <v>15.27</v>
      </c>
      <c r="F5597" s="2">
        <v>2</v>
      </c>
      <c r="G5597" s="2" t="s">
        <v>14</v>
      </c>
    </row>
    <row r="5598" spans="1:7" x14ac:dyDescent="0.2">
      <c r="A5598" s="2" t="s">
        <v>3245</v>
      </c>
      <c r="B5598" s="2" t="s">
        <v>25</v>
      </c>
      <c r="C5598" s="2">
        <v>737.51310000000001</v>
      </c>
      <c r="D5598" s="2">
        <f>HYPERLINK("http://mcb-m6.bioreg.kyushu-u.ac.jp/M3/20110428/F51129/3237/1", 49.48)</f>
        <v>49.48</v>
      </c>
      <c r="E5598" s="2">
        <v>27.37</v>
      </c>
      <c r="F5598" s="2">
        <v>3</v>
      </c>
      <c r="G5598" s="2" t="s">
        <v>14</v>
      </c>
    </row>
    <row r="5599" spans="1:7" x14ac:dyDescent="0.2">
      <c r="A5599" s="2" t="s">
        <v>3245</v>
      </c>
      <c r="B5599" s="2" t="s">
        <v>25</v>
      </c>
      <c r="C5599" s="2">
        <v>1106.2940000000001</v>
      </c>
      <c r="D5599" s="2">
        <f>HYPERLINK("http://mcb-m6.bioreg.kyushu-u.ac.jp/M3/20110428/F51128/3328/1", 49.78)</f>
        <v>49.78</v>
      </c>
      <c r="E5599" s="2">
        <v>27.67</v>
      </c>
      <c r="F5599" s="2">
        <v>2</v>
      </c>
      <c r="G5599" s="2" t="s">
        <v>14</v>
      </c>
    </row>
    <row r="5600" spans="1:7" x14ac:dyDescent="0.2">
      <c r="A5600" s="2" t="s">
        <v>3245</v>
      </c>
      <c r="B5600" s="2" t="s">
        <v>25</v>
      </c>
      <c r="C5600" s="2">
        <v>737.83780000000002</v>
      </c>
      <c r="D5600" s="2">
        <f>HYPERLINK("http://mcb-m6.bioreg.kyushu-u.ac.jp/M3/20110428/F51130/3274/1", 50.38)</f>
        <v>50.38</v>
      </c>
      <c r="E5600" s="2">
        <v>27.8</v>
      </c>
      <c r="F5600" s="2">
        <v>3</v>
      </c>
      <c r="G5600" s="2" t="s">
        <v>14</v>
      </c>
    </row>
    <row r="5601" spans="1:7" x14ac:dyDescent="0.2">
      <c r="A5601" s="2" t="s">
        <v>3245</v>
      </c>
      <c r="B5601" s="2" t="s">
        <v>25</v>
      </c>
      <c r="C5601" s="2">
        <v>1106.3810000000001</v>
      </c>
      <c r="D5601" s="2">
        <f>HYPERLINK("http://mcb-m6.bioreg.kyushu-u.ac.jp/M3/20110427/F51119/2690/1", 50.57)</f>
        <v>50.57</v>
      </c>
      <c r="E5601" s="2">
        <v>19.18</v>
      </c>
      <c r="F5601" s="2">
        <v>2</v>
      </c>
      <c r="G5601" s="2" t="s">
        <v>14</v>
      </c>
    </row>
    <row r="5602" spans="1:7" x14ac:dyDescent="0.2">
      <c r="A5602" s="2" t="s">
        <v>3245</v>
      </c>
      <c r="B5602" s="2" t="s">
        <v>25</v>
      </c>
      <c r="C5602" s="2">
        <v>1106.289</v>
      </c>
      <c r="D5602" s="2">
        <f>HYPERLINK("http://mcb-m6.bioreg.kyushu-u.ac.jp/M3/20110427/F51125/3135/1", 50.86)</f>
        <v>50.86</v>
      </c>
      <c r="E5602" s="2">
        <v>21.2</v>
      </c>
      <c r="F5602" s="2">
        <v>2</v>
      </c>
      <c r="G5602" s="2" t="s">
        <v>14</v>
      </c>
    </row>
    <row r="5603" spans="1:7" x14ac:dyDescent="0.2">
      <c r="A5603" s="2" t="s">
        <v>3245</v>
      </c>
      <c r="B5603" s="2" t="s">
        <v>25</v>
      </c>
      <c r="C5603" s="2">
        <v>1105.796</v>
      </c>
      <c r="D5603" s="2">
        <f>HYPERLINK("http://mcb-m6.bioreg.kyushu-u.ac.jp/M3/20110427/F51122/3024/1", 51.47)</f>
        <v>51.47</v>
      </c>
      <c r="E5603" s="2">
        <v>27.59</v>
      </c>
      <c r="F5603" s="2">
        <v>2</v>
      </c>
      <c r="G5603" s="2" t="s">
        <v>14</v>
      </c>
    </row>
    <row r="5604" spans="1:7" x14ac:dyDescent="0.2">
      <c r="A5604" s="2" t="s">
        <v>3245</v>
      </c>
      <c r="B5604" s="2" t="s">
        <v>25</v>
      </c>
      <c r="C5604" s="2">
        <v>737.77679999999998</v>
      </c>
      <c r="D5604" s="2">
        <f>HYPERLINK("http://mcb-m6.bioreg.kyushu-u.ac.jp/M3/20110427/F51119/2689/1", 51.73)</f>
        <v>51.73</v>
      </c>
      <c r="E5604" s="2">
        <v>31.8</v>
      </c>
      <c r="F5604" s="2">
        <v>3</v>
      </c>
      <c r="G5604" s="2" t="s">
        <v>14</v>
      </c>
    </row>
    <row r="5605" spans="1:7" x14ac:dyDescent="0.2">
      <c r="A5605" s="2" t="s">
        <v>3245</v>
      </c>
      <c r="B5605" s="2" t="s">
        <v>25</v>
      </c>
      <c r="C5605" s="2">
        <v>737.81219999999996</v>
      </c>
      <c r="D5605" s="2">
        <f>HYPERLINK("http://mcb-m6.bioreg.kyushu-u.ac.jp/M3/20110428/F51128/3327/1", 52)</f>
        <v>52</v>
      </c>
      <c r="E5605" s="2">
        <v>26.5</v>
      </c>
      <c r="F5605" s="2">
        <v>3</v>
      </c>
      <c r="G5605" s="2" t="s">
        <v>14</v>
      </c>
    </row>
    <row r="5606" spans="1:7" x14ac:dyDescent="0.2">
      <c r="A5606" s="2" t="s">
        <v>3245</v>
      </c>
      <c r="B5606" s="2" t="s">
        <v>25</v>
      </c>
      <c r="C5606" s="2">
        <v>1106.3789999999999</v>
      </c>
      <c r="D5606" s="2">
        <f>HYPERLINK("http://mcb-m6.bioreg.kyushu-u.ac.jp/M3/20110427/F51120/2950/1", 52.82)</f>
        <v>52.82</v>
      </c>
      <c r="E5606" s="2">
        <v>28.78</v>
      </c>
      <c r="F5606" s="2">
        <v>2</v>
      </c>
      <c r="G5606" s="2" t="s">
        <v>14</v>
      </c>
    </row>
    <row r="5607" spans="1:7" x14ac:dyDescent="0.2">
      <c r="A5607" s="2" t="s">
        <v>3245</v>
      </c>
      <c r="B5607" s="2" t="s">
        <v>25</v>
      </c>
      <c r="C5607" s="2">
        <v>737.64350000000002</v>
      </c>
      <c r="D5607" s="2">
        <f>HYPERLINK("http://mcb-m6.bioreg.kyushu-u.ac.jp/M3/20110427/F51125/3132/1", 53.19)</f>
        <v>53.19</v>
      </c>
      <c r="E5607" s="2">
        <v>25.33</v>
      </c>
      <c r="F5607" s="2">
        <v>3</v>
      </c>
      <c r="G5607" s="2" t="s">
        <v>14</v>
      </c>
    </row>
    <row r="5608" spans="1:7" x14ac:dyDescent="0.2">
      <c r="A5608" s="2" t="s">
        <v>3245</v>
      </c>
      <c r="B5608" s="2" t="s">
        <v>25</v>
      </c>
      <c r="C5608" s="2">
        <v>738.1019</v>
      </c>
      <c r="D5608" s="2">
        <f>HYPERLINK("http://mcb-m6.bioreg.kyushu-u.ac.jp/M3/20110428/F51129/3244/1", 53.35)</f>
        <v>53.35</v>
      </c>
      <c r="E5608" s="2">
        <v>27.18</v>
      </c>
      <c r="F5608" s="2">
        <v>3</v>
      </c>
      <c r="G5608" s="2" t="s">
        <v>14</v>
      </c>
    </row>
    <row r="5609" spans="1:7" x14ac:dyDescent="0.2">
      <c r="A5609" s="2" t="s">
        <v>3245</v>
      </c>
      <c r="B5609" s="2" t="s">
        <v>25</v>
      </c>
      <c r="C5609" s="2">
        <v>738.07389999999998</v>
      </c>
      <c r="D5609" s="2">
        <f>HYPERLINK("http://mcb-m6.bioreg.kyushu-u.ac.jp/M3/20110427/F51118/2755/1", 53.69)</f>
        <v>53.69</v>
      </c>
      <c r="E5609" s="2">
        <v>27.72</v>
      </c>
      <c r="F5609" s="2">
        <v>3</v>
      </c>
      <c r="G5609" s="2" t="s">
        <v>14</v>
      </c>
    </row>
    <row r="5610" spans="1:7" x14ac:dyDescent="0.2">
      <c r="A5610" s="2" t="s">
        <v>3245</v>
      </c>
      <c r="B5610" s="2" t="s">
        <v>25</v>
      </c>
      <c r="C5610" s="2">
        <v>738.08479999999997</v>
      </c>
      <c r="D5610" s="2">
        <f>HYPERLINK("http://mcb-m6.bioreg.kyushu-u.ac.jp/M3/20110428/F51126/3155/1", 53.75)</f>
        <v>53.75</v>
      </c>
      <c r="E5610" s="2">
        <v>24.36</v>
      </c>
      <c r="F5610" s="2">
        <v>3</v>
      </c>
      <c r="G5610" s="2" t="s">
        <v>14</v>
      </c>
    </row>
    <row r="5611" spans="1:7" x14ac:dyDescent="0.2">
      <c r="A5611" s="2" t="s">
        <v>3245</v>
      </c>
      <c r="B5611" s="2" t="s">
        <v>25</v>
      </c>
      <c r="C5611" s="2">
        <v>1106.3240000000001</v>
      </c>
      <c r="D5611" s="2">
        <f>HYPERLINK("http://mcb-m6.bioreg.kyushu-u.ac.jp/M3/20110428/F51129/3242/1", 53.89)</f>
        <v>53.89</v>
      </c>
      <c r="E5611" s="2">
        <v>36.729999999999997</v>
      </c>
      <c r="F5611" s="2">
        <v>2</v>
      </c>
      <c r="G5611" s="2" t="s">
        <v>14</v>
      </c>
    </row>
    <row r="5612" spans="1:7" x14ac:dyDescent="0.2">
      <c r="A5612" s="2" t="s">
        <v>3245</v>
      </c>
      <c r="B5612" s="2" t="s">
        <v>25</v>
      </c>
      <c r="C5612" s="2">
        <v>1106.384</v>
      </c>
      <c r="D5612" s="2">
        <f>HYPERLINK("http://mcb-m6.bioreg.kyushu-u.ac.jp/M3/20110428/F51128/3330/1", 55.15)</f>
        <v>55.15</v>
      </c>
      <c r="E5612" s="2">
        <v>35.6</v>
      </c>
      <c r="F5612" s="2">
        <v>2</v>
      </c>
      <c r="G5612" s="2" t="s">
        <v>14</v>
      </c>
    </row>
    <row r="5613" spans="1:7" x14ac:dyDescent="0.2">
      <c r="A5613" s="2" t="s">
        <v>3245</v>
      </c>
      <c r="B5613" s="2" t="s">
        <v>25</v>
      </c>
      <c r="C5613" s="2">
        <v>737.54579999999999</v>
      </c>
      <c r="D5613" s="2">
        <f>HYPERLINK("http://mcb-m6.bioreg.kyushu-u.ac.jp/M3/20110427/F51123/3355/1", 55.93)</f>
        <v>55.93</v>
      </c>
      <c r="E5613" s="2">
        <v>34.43</v>
      </c>
      <c r="F5613" s="2">
        <v>3</v>
      </c>
      <c r="G5613" s="2" t="s">
        <v>14</v>
      </c>
    </row>
    <row r="5614" spans="1:7" x14ac:dyDescent="0.2">
      <c r="A5614" s="2" t="s">
        <v>3245</v>
      </c>
      <c r="B5614" s="2" t="s">
        <v>25</v>
      </c>
      <c r="C5614" s="2">
        <v>1106.086</v>
      </c>
      <c r="D5614" s="2">
        <f>HYPERLINK("http://mcb-m6.bioreg.kyushu-u.ac.jp/M3/20110427/F51125/3133/1", 56.56)</f>
        <v>56.56</v>
      </c>
      <c r="E5614" s="2">
        <v>36.380000000000003</v>
      </c>
      <c r="F5614" s="2">
        <v>2</v>
      </c>
      <c r="G5614" s="2" t="s">
        <v>14</v>
      </c>
    </row>
    <row r="5615" spans="1:7" x14ac:dyDescent="0.2">
      <c r="A5615" s="2" t="s">
        <v>3245</v>
      </c>
      <c r="B5615" s="2" t="s">
        <v>25</v>
      </c>
      <c r="C5615" s="2">
        <v>1106.3409999999999</v>
      </c>
      <c r="D5615" s="2">
        <f>HYPERLINK("http://mcb-m6.bioreg.kyushu-u.ac.jp/M3/20110428/F51130/3277/1", 57.05)</f>
        <v>57.05</v>
      </c>
      <c r="E5615" s="2">
        <v>32.909999999999997</v>
      </c>
      <c r="F5615" s="2">
        <v>2</v>
      </c>
      <c r="G5615" s="2" t="s">
        <v>14</v>
      </c>
    </row>
    <row r="5616" spans="1:7" x14ac:dyDescent="0.2">
      <c r="A5616" s="2" t="s">
        <v>3245</v>
      </c>
      <c r="B5616" s="2" t="s">
        <v>25</v>
      </c>
      <c r="C5616" s="2">
        <v>1106.3689999999999</v>
      </c>
      <c r="D5616" s="2">
        <f>HYPERLINK("http://mcb-m6.bioreg.kyushu-u.ac.jp/M3/20110427/F51124/3153/1", 57.43)</f>
        <v>57.43</v>
      </c>
      <c r="E5616" s="2">
        <v>31.99</v>
      </c>
      <c r="F5616" s="2">
        <v>2</v>
      </c>
      <c r="G5616" s="2" t="s">
        <v>14</v>
      </c>
    </row>
    <row r="5617" spans="1:7" x14ac:dyDescent="0.2">
      <c r="A5617" s="2" t="s">
        <v>3245</v>
      </c>
      <c r="B5617" s="2" t="s">
        <v>25</v>
      </c>
      <c r="C5617" s="2">
        <v>1105.8620000000001</v>
      </c>
      <c r="D5617" s="2">
        <f>HYPERLINK("http://mcb-m6.bioreg.kyushu-u.ac.jp/M3/20110428/F51128/3322/1", 58.13)</f>
        <v>58.13</v>
      </c>
      <c r="E5617" s="2">
        <v>31.39</v>
      </c>
      <c r="F5617" s="2">
        <v>2</v>
      </c>
      <c r="G5617" s="2" t="s">
        <v>14</v>
      </c>
    </row>
    <row r="5618" spans="1:7" x14ac:dyDescent="0.2">
      <c r="A5618" s="2" t="s">
        <v>3245</v>
      </c>
      <c r="B5618" s="2" t="s">
        <v>25</v>
      </c>
      <c r="C5618" s="2">
        <v>1106.3019999999999</v>
      </c>
      <c r="D5618" s="2">
        <f>HYPERLINK("http://mcb-m6.bioreg.kyushu-u.ac.jp/M3/20110428/F51126/3154/1", 59.29)</f>
        <v>59.29</v>
      </c>
      <c r="E5618" s="2">
        <v>28.31</v>
      </c>
      <c r="F5618" s="2">
        <v>2</v>
      </c>
      <c r="G5618" s="2" t="s">
        <v>14</v>
      </c>
    </row>
    <row r="5619" spans="1:7" x14ac:dyDescent="0.2">
      <c r="A5619" s="2" t="s">
        <v>3245</v>
      </c>
      <c r="B5619" s="2" t="s">
        <v>25</v>
      </c>
      <c r="C5619" s="2">
        <v>1106.133</v>
      </c>
      <c r="D5619" s="2">
        <f>HYPERLINK("http://mcb-m6.bioreg.kyushu-u.ac.jp/M3/20110428/F51126/3153/1", 62.36)</f>
        <v>62.36</v>
      </c>
      <c r="E5619" s="2">
        <v>37.299999999999997</v>
      </c>
      <c r="F5619" s="2">
        <v>2</v>
      </c>
      <c r="G5619" s="2" t="s">
        <v>14</v>
      </c>
    </row>
    <row r="5620" spans="1:7" x14ac:dyDescent="0.2">
      <c r="A5620" s="2" t="s">
        <v>3245</v>
      </c>
      <c r="B5620" s="2" t="s">
        <v>25</v>
      </c>
      <c r="C5620" s="2">
        <v>1106.3309999999999</v>
      </c>
      <c r="D5620" s="2">
        <f>HYPERLINK("http://mcb-m6.bioreg.kyushu-u.ac.jp/M3/20110427/F51122/3029/1", 63.24)</f>
        <v>63.24</v>
      </c>
      <c r="E5620" s="2">
        <v>30.63</v>
      </c>
      <c r="F5620" s="2">
        <v>2</v>
      </c>
      <c r="G5620" s="2" t="s">
        <v>14</v>
      </c>
    </row>
    <row r="5621" spans="1:7" x14ac:dyDescent="0.2">
      <c r="A5621" s="2" t="s">
        <v>3245</v>
      </c>
      <c r="B5621" s="2" t="s">
        <v>25</v>
      </c>
      <c r="C5621" s="2">
        <v>1105.886</v>
      </c>
      <c r="D5621" s="2">
        <f>HYPERLINK("http://mcb-m6.bioreg.kyushu-u.ac.jp/M3/20110427/F51121/2813/1", 63.27)</f>
        <v>63.27</v>
      </c>
      <c r="E5621" s="2">
        <v>30.2</v>
      </c>
      <c r="F5621" s="2">
        <v>2</v>
      </c>
      <c r="G5621" s="2" t="s">
        <v>14</v>
      </c>
    </row>
    <row r="5622" spans="1:7" x14ac:dyDescent="0.2">
      <c r="A5622" s="2" t="s">
        <v>3245</v>
      </c>
      <c r="B5622" s="2" t="s">
        <v>25</v>
      </c>
      <c r="C5622" s="2">
        <v>1106.3040000000001</v>
      </c>
      <c r="D5622" s="2">
        <f>HYPERLINK("http://mcb-m6.bioreg.kyushu-u.ac.jp/M3/20110427/F51124/3150/1", 63.32)</f>
        <v>63.32</v>
      </c>
      <c r="E5622" s="2">
        <v>26.07</v>
      </c>
      <c r="F5622" s="2">
        <v>2</v>
      </c>
      <c r="G5622" s="2" t="s">
        <v>14</v>
      </c>
    </row>
    <row r="5623" spans="1:7" x14ac:dyDescent="0.2">
      <c r="A5623" s="2" t="s">
        <v>3245</v>
      </c>
      <c r="B5623" s="2" t="s">
        <v>25</v>
      </c>
      <c r="C5623" s="2">
        <v>737.94119999999998</v>
      </c>
      <c r="D5623" s="2">
        <f>HYPERLINK("http://mcb-m6.bioreg.kyushu-u.ac.jp/M3/20110428/F51130/3278/1", 63.67)</f>
        <v>63.67</v>
      </c>
      <c r="E5623" s="2">
        <v>25.49</v>
      </c>
      <c r="F5623" s="2">
        <v>3</v>
      </c>
      <c r="G5623" s="2" t="s">
        <v>14</v>
      </c>
    </row>
    <row r="5624" spans="1:7" x14ac:dyDescent="0.2">
      <c r="A5624" s="2" t="s">
        <v>3245</v>
      </c>
      <c r="B5624" s="2" t="s">
        <v>25</v>
      </c>
      <c r="C5624" s="2">
        <v>737.95979999999997</v>
      </c>
      <c r="D5624" s="2">
        <f>HYPERLINK("http://mcb-m6.bioreg.kyushu-u.ac.jp/M3/20110427/F51124/3154/1", 65.04)</f>
        <v>65.040000000000006</v>
      </c>
      <c r="E5624" s="2">
        <v>35.950000000000003</v>
      </c>
      <c r="F5624" s="2">
        <v>3</v>
      </c>
      <c r="G5624" s="2" t="s">
        <v>14</v>
      </c>
    </row>
    <row r="5625" spans="1:7" x14ac:dyDescent="0.2">
      <c r="A5625" s="2" t="s">
        <v>3245</v>
      </c>
      <c r="B5625" s="2" t="s">
        <v>25</v>
      </c>
      <c r="C5625" s="2">
        <v>738.00279999999998</v>
      </c>
      <c r="D5625" s="2">
        <f>HYPERLINK("http://mcb-m6.bioreg.kyushu-u.ac.jp/M3/20110427/F51121/2819/1", 65.57)</f>
        <v>65.569999999999993</v>
      </c>
      <c r="E5625" s="2">
        <v>33.72</v>
      </c>
      <c r="F5625" s="2">
        <v>3</v>
      </c>
      <c r="G5625" s="2" t="s">
        <v>14</v>
      </c>
    </row>
    <row r="5626" spans="1:7" x14ac:dyDescent="0.2">
      <c r="A5626" s="2" t="s">
        <v>3245</v>
      </c>
      <c r="B5626" s="2" t="s">
        <v>25</v>
      </c>
      <c r="C5626" s="2">
        <v>1105.7550000000001</v>
      </c>
      <c r="D5626" s="2">
        <f>HYPERLINK("http://mcb-m6.bioreg.kyushu-u.ac.jp/M3/20110427/F51124/3143/1", 67.25)</f>
        <v>67.25</v>
      </c>
      <c r="E5626" s="2">
        <v>49.27</v>
      </c>
      <c r="F5626" s="2">
        <v>2</v>
      </c>
      <c r="G5626" s="2" t="s">
        <v>14</v>
      </c>
    </row>
    <row r="5627" spans="1:7" x14ac:dyDescent="0.2">
      <c r="A5627" s="2" t="s">
        <v>3245</v>
      </c>
      <c r="B5627" s="2" t="s">
        <v>25</v>
      </c>
      <c r="C5627" s="2">
        <v>1105.7729999999999</v>
      </c>
      <c r="D5627" s="2">
        <f>HYPERLINK("http://mcb-m6.bioreg.kyushu-u.ac.jp/M3/20110427/F51125/3130/1", 67.27)</f>
        <v>67.27</v>
      </c>
      <c r="E5627" s="2">
        <v>47.51</v>
      </c>
      <c r="F5627" s="2">
        <v>2</v>
      </c>
      <c r="G5627" s="2" t="s">
        <v>14</v>
      </c>
    </row>
    <row r="5628" spans="1:7" x14ac:dyDescent="0.2">
      <c r="A5628" s="2" t="s">
        <v>3245</v>
      </c>
      <c r="B5628" s="2" t="s">
        <v>25</v>
      </c>
      <c r="C5628" s="2">
        <v>1106.308</v>
      </c>
      <c r="D5628" s="2">
        <f>HYPERLINK("http://mcb-m6.bioreg.kyushu-u.ac.jp/M3/20110428/F51129/3241/1", 67.48)</f>
        <v>67.48</v>
      </c>
      <c r="E5628" s="2">
        <v>36.72</v>
      </c>
      <c r="F5628" s="2">
        <v>2</v>
      </c>
      <c r="G5628" s="2" t="s">
        <v>14</v>
      </c>
    </row>
    <row r="5629" spans="1:7" x14ac:dyDescent="0.2">
      <c r="A5629" s="2" t="s">
        <v>3245</v>
      </c>
      <c r="B5629" s="2" t="s">
        <v>25</v>
      </c>
      <c r="C5629" s="2">
        <v>1105.8240000000001</v>
      </c>
      <c r="D5629" s="2">
        <f>HYPERLINK("http://mcb-m6.bioreg.kyushu-u.ac.jp/M3/20110428/F51128/3321/1", 67.83)</f>
        <v>67.83</v>
      </c>
      <c r="E5629" s="2">
        <v>39.590000000000003</v>
      </c>
      <c r="F5629" s="2">
        <v>2</v>
      </c>
      <c r="G5629" s="2" t="s">
        <v>14</v>
      </c>
    </row>
    <row r="5630" spans="1:7" x14ac:dyDescent="0.2">
      <c r="A5630" s="2" t="s">
        <v>3245</v>
      </c>
      <c r="B5630" s="2" t="s">
        <v>25</v>
      </c>
      <c r="C5630" s="2">
        <v>1105.7719999999999</v>
      </c>
      <c r="D5630" s="2">
        <f>HYPERLINK("http://mcb-m6.bioreg.kyushu-u.ac.jp/M3/20110427/F51124/3145/1", 68.41)</f>
        <v>68.41</v>
      </c>
      <c r="E5630" s="2">
        <v>48.19</v>
      </c>
      <c r="F5630" s="2">
        <v>2</v>
      </c>
      <c r="G5630" s="2" t="s">
        <v>14</v>
      </c>
    </row>
    <row r="5631" spans="1:7" x14ac:dyDescent="0.2">
      <c r="A5631" s="2" t="s">
        <v>3245</v>
      </c>
      <c r="B5631" s="2" t="s">
        <v>25</v>
      </c>
      <c r="C5631" s="2">
        <v>1106.366</v>
      </c>
      <c r="D5631" s="2">
        <f>HYPERLINK("http://mcb-m6.bioreg.kyushu-u.ac.jp/M3/20110427/F51123/3361/1", 69.79)</f>
        <v>69.790000000000006</v>
      </c>
      <c r="E5631" s="2">
        <v>43.79</v>
      </c>
      <c r="F5631" s="2">
        <v>2</v>
      </c>
      <c r="G5631" s="2" t="s">
        <v>14</v>
      </c>
    </row>
    <row r="5632" spans="1:7" x14ac:dyDescent="0.2">
      <c r="A5632" s="2" t="s">
        <v>3245</v>
      </c>
      <c r="B5632" s="2" t="s">
        <v>25</v>
      </c>
      <c r="C5632" s="2">
        <v>1105.8920000000001</v>
      </c>
      <c r="D5632" s="2">
        <f>HYPERLINK("http://mcb-m6.bioreg.kyushu-u.ac.jp/M3/20110427/F51121/2814/1", 70.11)</f>
        <v>70.11</v>
      </c>
      <c r="E5632" s="2">
        <v>42.12</v>
      </c>
      <c r="F5632" s="2">
        <v>2</v>
      </c>
      <c r="G5632" s="2" t="s">
        <v>14</v>
      </c>
    </row>
    <row r="5633" spans="1:7" x14ac:dyDescent="0.2">
      <c r="A5633" s="2" t="s">
        <v>3245</v>
      </c>
      <c r="B5633" s="2" t="s">
        <v>25</v>
      </c>
      <c r="C5633" s="2">
        <v>1106.1120000000001</v>
      </c>
      <c r="D5633" s="2">
        <f>HYPERLINK("http://mcb-m6.bioreg.kyushu-u.ac.jp/M3/20110427/F51122/3026/1", 70.29)</f>
        <v>70.290000000000006</v>
      </c>
      <c r="E5633" s="2">
        <v>33.94</v>
      </c>
      <c r="F5633" s="2">
        <v>2</v>
      </c>
      <c r="G5633" s="2" t="s">
        <v>14</v>
      </c>
    </row>
    <row r="5634" spans="1:7" x14ac:dyDescent="0.2">
      <c r="A5634" s="2" t="s">
        <v>3245</v>
      </c>
      <c r="B5634" s="2" t="s">
        <v>25</v>
      </c>
      <c r="C5634" s="2">
        <v>737.82320000000004</v>
      </c>
      <c r="D5634" s="2">
        <f>HYPERLINK("http://mcb-m6.bioreg.kyushu-u.ac.jp/M3/20110427/F51121/2815/1", 70.41)</f>
        <v>70.41</v>
      </c>
      <c r="E5634" s="2">
        <v>42.81</v>
      </c>
      <c r="F5634" s="2">
        <v>3</v>
      </c>
      <c r="G5634" s="2" t="s">
        <v>14</v>
      </c>
    </row>
    <row r="5635" spans="1:7" x14ac:dyDescent="0.2">
      <c r="A5635" s="2" t="s">
        <v>3245</v>
      </c>
      <c r="B5635" s="2" t="s">
        <v>25</v>
      </c>
      <c r="C5635" s="2">
        <v>1106.0809999999999</v>
      </c>
      <c r="D5635" s="2">
        <f>HYPERLINK("http://mcb-m6.bioreg.kyushu-u.ac.jp/M3/20110428/F51126/3152/1", 70.5)</f>
        <v>70.5</v>
      </c>
      <c r="E5635" s="2">
        <v>39.04</v>
      </c>
      <c r="F5635" s="2">
        <v>2</v>
      </c>
      <c r="G5635" s="2" t="s">
        <v>14</v>
      </c>
    </row>
    <row r="5636" spans="1:7" x14ac:dyDescent="0.2">
      <c r="A5636" s="2" t="s">
        <v>3245</v>
      </c>
      <c r="B5636" s="2" t="s">
        <v>25</v>
      </c>
      <c r="C5636" s="2">
        <v>1105.7550000000001</v>
      </c>
      <c r="D5636" s="2">
        <f>HYPERLINK("http://mcb-m6.bioreg.kyushu-u.ac.jp/M3/20110427/F51122/3023/1", 70.76)</f>
        <v>70.760000000000005</v>
      </c>
      <c r="E5636" s="2">
        <v>48.27</v>
      </c>
      <c r="F5636" s="2">
        <v>2</v>
      </c>
      <c r="G5636" s="2" t="s">
        <v>14</v>
      </c>
    </row>
    <row r="5637" spans="1:7" x14ac:dyDescent="0.2">
      <c r="A5637" s="2" t="s">
        <v>3245</v>
      </c>
      <c r="B5637" s="2" t="s">
        <v>25</v>
      </c>
      <c r="C5637" s="2">
        <v>1105.712</v>
      </c>
      <c r="D5637" s="2">
        <f>HYPERLINK("http://mcb-m6.bioreg.kyushu-u.ac.jp/M3/20110428/F51126/3148/1", 70.86)</f>
        <v>70.86</v>
      </c>
      <c r="E5637" s="2">
        <v>47.06</v>
      </c>
      <c r="F5637" s="2">
        <v>2</v>
      </c>
      <c r="G5637" s="2" t="s">
        <v>14</v>
      </c>
    </row>
    <row r="5638" spans="1:7" x14ac:dyDescent="0.2">
      <c r="A5638" s="2" t="s">
        <v>3245</v>
      </c>
      <c r="B5638" s="2" t="s">
        <v>25</v>
      </c>
      <c r="C5638" s="2">
        <v>1106.3589999999999</v>
      </c>
      <c r="D5638" s="2">
        <f>HYPERLINK("http://mcb-m6.bioreg.kyushu-u.ac.jp/M3/20110427/F51121/2817/1", 71.24)</f>
        <v>71.239999999999995</v>
      </c>
      <c r="E5638" s="2">
        <v>32.880000000000003</v>
      </c>
      <c r="F5638" s="2">
        <v>2</v>
      </c>
      <c r="G5638" s="2" t="s">
        <v>14</v>
      </c>
    </row>
    <row r="5639" spans="1:7" x14ac:dyDescent="0.2">
      <c r="A5639" s="2" t="s">
        <v>3245</v>
      </c>
      <c r="B5639" s="2" t="s">
        <v>25</v>
      </c>
      <c r="C5639" s="2">
        <v>1106.258</v>
      </c>
      <c r="D5639" s="2">
        <f>HYPERLINK("http://mcb-m6.bioreg.kyushu-u.ac.jp/M3/20110428/F51130/3275/1", 72.33)</f>
        <v>72.33</v>
      </c>
      <c r="E5639" s="2">
        <v>48.58</v>
      </c>
      <c r="F5639" s="2">
        <v>2</v>
      </c>
      <c r="G5639" s="2" t="s">
        <v>14</v>
      </c>
    </row>
    <row r="5640" spans="1:7" x14ac:dyDescent="0.2">
      <c r="A5640" s="2" t="s">
        <v>3245</v>
      </c>
      <c r="B5640" s="2" t="s">
        <v>25</v>
      </c>
      <c r="C5640" s="2">
        <v>1105.8150000000001</v>
      </c>
      <c r="D5640" s="2">
        <f>HYPERLINK("http://mcb-m6.bioreg.kyushu-u.ac.jp/M3/20110428/F51128/3320/1", 72.39)</f>
        <v>72.39</v>
      </c>
      <c r="E5640" s="2">
        <v>48.36</v>
      </c>
      <c r="F5640" s="2">
        <v>2</v>
      </c>
      <c r="G5640" s="2" t="s">
        <v>14</v>
      </c>
    </row>
    <row r="5641" spans="1:7" x14ac:dyDescent="0.2">
      <c r="A5641" s="2" t="s">
        <v>3245</v>
      </c>
      <c r="B5641" s="2" t="s">
        <v>25</v>
      </c>
      <c r="C5641" s="2">
        <v>1105.6020000000001</v>
      </c>
      <c r="D5641" s="2">
        <f>HYPERLINK("http://mcb-m6.bioreg.kyushu-u.ac.jp/M3/20110428/F51135/2889/1", 72.64)</f>
        <v>72.64</v>
      </c>
      <c r="E5641" s="2">
        <v>50.91</v>
      </c>
      <c r="F5641" s="2">
        <v>2</v>
      </c>
      <c r="G5641" s="2" t="s">
        <v>14</v>
      </c>
    </row>
    <row r="5642" spans="1:7" x14ac:dyDescent="0.2">
      <c r="A5642" s="2" t="s">
        <v>3245</v>
      </c>
      <c r="B5642" s="2" t="s">
        <v>25</v>
      </c>
      <c r="C5642" s="2">
        <v>1105.816</v>
      </c>
      <c r="D5642" s="2">
        <f>HYPERLINK("http://mcb-m6.bioreg.kyushu-u.ac.jp/M3/20110427/F51125/3131/1", 72.92)</f>
        <v>72.92</v>
      </c>
      <c r="E5642" s="2">
        <v>44.86</v>
      </c>
      <c r="F5642" s="2">
        <v>2</v>
      </c>
      <c r="G5642" s="2" t="s">
        <v>14</v>
      </c>
    </row>
    <row r="5643" spans="1:7" x14ac:dyDescent="0.2">
      <c r="A5643" s="2" t="s">
        <v>3245</v>
      </c>
      <c r="B5643" s="2" t="s">
        <v>25</v>
      </c>
      <c r="C5643" s="2">
        <v>1106.326</v>
      </c>
      <c r="D5643" s="2">
        <f>HYPERLINK("http://mcb-m6.bioreg.kyushu-u.ac.jp/M3/20110428/F51128/3329/1", 73.53)</f>
        <v>73.53</v>
      </c>
      <c r="E5643" s="2">
        <v>42.74</v>
      </c>
      <c r="F5643" s="2">
        <v>2</v>
      </c>
      <c r="G5643" s="2" t="s">
        <v>14</v>
      </c>
    </row>
    <row r="5644" spans="1:7" x14ac:dyDescent="0.2">
      <c r="A5644" s="2" t="s">
        <v>3245</v>
      </c>
      <c r="B5644" s="2" t="s">
        <v>25</v>
      </c>
      <c r="C5644" s="2">
        <v>1106.2570000000001</v>
      </c>
      <c r="D5644" s="2">
        <f>HYPERLINK("http://mcb-m6.bioreg.kyushu-u.ac.jp/M3/20110427/F51124/3148/1", 74.15)</f>
        <v>74.150000000000006</v>
      </c>
      <c r="E5644" s="2">
        <v>32.58</v>
      </c>
      <c r="F5644" s="2">
        <v>2</v>
      </c>
      <c r="G5644" s="2" t="s">
        <v>14</v>
      </c>
    </row>
    <row r="5645" spans="1:7" x14ac:dyDescent="0.2">
      <c r="A5645" s="2" t="s">
        <v>3245</v>
      </c>
      <c r="B5645" s="2" t="s">
        <v>25</v>
      </c>
      <c r="C5645" s="2">
        <v>1106.3420000000001</v>
      </c>
      <c r="D5645" s="2">
        <f>HYPERLINK("http://mcb-m6.bioreg.kyushu-u.ac.jp/M3/20110427/F51124/3152/1", 75.04)</f>
        <v>75.040000000000006</v>
      </c>
      <c r="E5645" s="2">
        <v>23.69</v>
      </c>
      <c r="F5645" s="2">
        <v>2</v>
      </c>
      <c r="G5645" s="2" t="s">
        <v>14</v>
      </c>
    </row>
    <row r="5646" spans="1:7" x14ac:dyDescent="0.2">
      <c r="A5646" s="2" t="s">
        <v>3245</v>
      </c>
      <c r="B5646" s="2" t="s">
        <v>25</v>
      </c>
      <c r="C5646" s="2">
        <v>1106.3630000000001</v>
      </c>
      <c r="D5646" s="2">
        <f>HYPERLINK("http://mcb-m6.bioreg.kyushu-u.ac.jp/M3/20110427/F51121/2818/1", 75.15)</f>
        <v>75.150000000000006</v>
      </c>
      <c r="E5646" s="2">
        <v>34.69</v>
      </c>
      <c r="F5646" s="2">
        <v>2</v>
      </c>
      <c r="G5646" s="2" t="s">
        <v>14</v>
      </c>
    </row>
    <row r="5647" spans="1:7" x14ac:dyDescent="0.2">
      <c r="A5647" s="2" t="s">
        <v>3245</v>
      </c>
      <c r="B5647" s="2" t="s">
        <v>25</v>
      </c>
      <c r="C5647" s="2">
        <v>1106.3240000000001</v>
      </c>
      <c r="D5647" s="2">
        <f>HYPERLINK("http://mcb-m6.bioreg.kyushu-u.ac.jp/M3/20110427/F51122/3027/1", 79.2)</f>
        <v>79.2</v>
      </c>
      <c r="E5647" s="2">
        <v>38.44</v>
      </c>
      <c r="F5647" s="2">
        <v>2</v>
      </c>
      <c r="G5647" s="2" t="s">
        <v>14</v>
      </c>
    </row>
    <row r="5648" spans="1:7" x14ac:dyDescent="0.2">
      <c r="A5648" s="2" t="s">
        <v>3245</v>
      </c>
      <c r="B5648" s="2" t="s">
        <v>25</v>
      </c>
      <c r="C5648" s="2">
        <v>1106.24</v>
      </c>
      <c r="D5648" s="2">
        <f>HYPERLINK("http://mcb-m6.bioreg.kyushu-u.ac.jp/M3/20110427/F51125/3134/1", 81.12)</f>
        <v>81.12</v>
      </c>
      <c r="E5648" s="2">
        <v>30.66</v>
      </c>
      <c r="F5648" s="2">
        <v>2</v>
      </c>
      <c r="G5648" s="2" t="s">
        <v>14</v>
      </c>
    </row>
    <row r="5649" spans="1:9" x14ac:dyDescent="0.2">
      <c r="A5649" s="2" t="s">
        <v>3245</v>
      </c>
      <c r="B5649" s="2" t="s">
        <v>25</v>
      </c>
      <c r="C5649" s="2">
        <v>1105.82</v>
      </c>
      <c r="D5649" s="2">
        <f>HYPERLINK("http://mcb-m6.bioreg.kyushu-u.ac.jp/M3/20110428/F51126/3149/1", 82.61)</f>
        <v>82.61</v>
      </c>
      <c r="E5649" s="2">
        <v>57.81</v>
      </c>
      <c r="F5649" s="2">
        <v>2</v>
      </c>
      <c r="G5649" s="2" t="s">
        <v>14</v>
      </c>
    </row>
    <row r="5650" spans="1:9" x14ac:dyDescent="0.2">
      <c r="A5650" s="2" t="s">
        <v>3245</v>
      </c>
      <c r="B5650" s="2" t="s">
        <v>25</v>
      </c>
      <c r="C5650" s="2">
        <v>1105.837</v>
      </c>
      <c r="D5650" s="2">
        <f>HYPERLINK("http://mcb-m6.bioreg.kyushu-u.ac.jp/M3/20110427/F51124/3146/1", 83.16)</f>
        <v>83.16</v>
      </c>
      <c r="E5650" s="2">
        <v>59.5</v>
      </c>
      <c r="F5650" s="2">
        <v>2</v>
      </c>
      <c r="G5650" s="2" t="s">
        <v>14</v>
      </c>
    </row>
    <row r="5651" spans="1:9" x14ac:dyDescent="0.2">
      <c r="A5651" s="2" t="s">
        <v>3245</v>
      </c>
      <c r="B5651" s="2" t="s">
        <v>25</v>
      </c>
      <c r="C5651" s="2">
        <v>1106.146</v>
      </c>
      <c r="D5651" s="2">
        <f>HYPERLINK("http://mcb-m6.bioreg.kyushu-u.ac.jp/M3/20110428/F51135/2891/1", 85.07)</f>
        <v>85.07</v>
      </c>
      <c r="E5651" s="2">
        <v>33.24</v>
      </c>
      <c r="F5651" s="2">
        <v>2</v>
      </c>
      <c r="G5651" s="2" t="s">
        <v>14</v>
      </c>
    </row>
    <row r="5652" spans="1:9" x14ac:dyDescent="0.2">
      <c r="A5652" s="2" t="s">
        <v>3245</v>
      </c>
      <c r="B5652" s="2" t="s">
        <v>25</v>
      </c>
      <c r="C5652" s="2">
        <v>1106.2929999999999</v>
      </c>
      <c r="D5652" s="2">
        <f>HYPERLINK("http://mcb-m6.bioreg.kyushu-u.ac.jp/M3/20110428/F51130/3276/1", 87)</f>
        <v>87</v>
      </c>
      <c r="E5652" s="2">
        <v>37.770000000000003</v>
      </c>
      <c r="F5652" s="2">
        <v>2</v>
      </c>
      <c r="G5652" s="2" t="s">
        <v>14</v>
      </c>
    </row>
    <row r="5653" spans="1:9" x14ac:dyDescent="0.2">
      <c r="A5653" s="2" t="s">
        <v>3245</v>
      </c>
      <c r="B5653" s="2" t="s">
        <v>25</v>
      </c>
      <c r="C5653" s="2">
        <v>1105.932</v>
      </c>
      <c r="D5653" s="2">
        <f>HYPERLINK("http://mcb-m6.bioreg.kyushu-u.ac.jp/M3/20110428/F51134/2487/1", 88.4)</f>
        <v>88.4</v>
      </c>
      <c r="E5653" s="2">
        <v>66.959999999999994</v>
      </c>
      <c r="F5653" s="2">
        <v>2</v>
      </c>
      <c r="G5653" s="2" t="s">
        <v>14</v>
      </c>
    </row>
    <row r="5654" spans="1:9" x14ac:dyDescent="0.2">
      <c r="A5654" s="2" t="s">
        <v>3245</v>
      </c>
      <c r="B5654" s="2" t="s">
        <v>25</v>
      </c>
      <c r="C5654" s="2">
        <v>1105.8009999999999</v>
      </c>
      <c r="D5654" s="2">
        <f>HYPERLINK("http://mcb-m6.bioreg.kyushu-u.ac.jp/M3/20110427/F51121/2812/1", 90.71)</f>
        <v>90.71</v>
      </c>
      <c r="E5654" s="2">
        <v>62.6</v>
      </c>
      <c r="F5654" s="2">
        <v>2</v>
      </c>
      <c r="G5654" s="2" t="s">
        <v>14</v>
      </c>
    </row>
    <row r="5655" spans="1:9" x14ac:dyDescent="0.2">
      <c r="A5655" s="2" t="s">
        <v>3245</v>
      </c>
      <c r="B5655" s="2" t="s">
        <v>25</v>
      </c>
      <c r="C5655" s="2">
        <v>1105.779</v>
      </c>
      <c r="D5655" s="2">
        <f>HYPERLINK("http://mcb-m6.bioreg.kyushu-u.ac.jp/M3/20110428/F51130/3269/1", 90.83)</f>
        <v>90.83</v>
      </c>
      <c r="E5655" s="2">
        <v>72.48</v>
      </c>
      <c r="F5655" s="2">
        <v>2</v>
      </c>
      <c r="G5655" s="2" t="s">
        <v>14</v>
      </c>
    </row>
    <row r="5656" spans="1:9" x14ac:dyDescent="0.2">
      <c r="A5656" s="2" t="s">
        <v>3245</v>
      </c>
      <c r="B5656" s="2" t="s">
        <v>25</v>
      </c>
      <c r="C5656" s="2">
        <v>1105.8430000000001</v>
      </c>
      <c r="D5656" s="2">
        <f>HYPERLINK("http://mcb-m6.bioreg.kyushu-u.ac.jp/M3/20110427/F51120/2947/1", 92.28)</f>
        <v>92.28</v>
      </c>
      <c r="E5656" s="2">
        <v>68.77</v>
      </c>
      <c r="F5656" s="2">
        <v>2</v>
      </c>
      <c r="G5656" s="2" t="s">
        <v>14</v>
      </c>
    </row>
    <row r="5657" spans="1:9" x14ac:dyDescent="0.2">
      <c r="A5657" s="2" t="s">
        <v>3245</v>
      </c>
      <c r="B5657" s="2" t="s">
        <v>25</v>
      </c>
      <c r="C5657" s="2">
        <v>1105.8779999999999</v>
      </c>
      <c r="D5657" s="2">
        <f>HYPERLINK("http://mcb-m6.bioreg.kyushu-u.ac.jp/M3/20110427/F51119/2686/1", 93.41)</f>
        <v>93.41</v>
      </c>
      <c r="E5657" s="2">
        <v>72.08</v>
      </c>
      <c r="F5657" s="2">
        <v>2</v>
      </c>
      <c r="G5657" s="2" t="s">
        <v>14</v>
      </c>
    </row>
    <row r="5658" spans="1:9" x14ac:dyDescent="0.2">
      <c r="A5658" s="2" t="s">
        <v>3245</v>
      </c>
      <c r="B5658" s="2" t="s">
        <v>25</v>
      </c>
      <c r="C5658" s="2">
        <v>737.73350000000005</v>
      </c>
      <c r="D5658" s="2">
        <f>HYPERLINK("http://mcb-m6.bioreg.kyushu-u.ac.jp/M3/20110427/F51119/2687/1", 93.41)</f>
        <v>93.41</v>
      </c>
      <c r="E5658" s="2">
        <v>45.43</v>
      </c>
      <c r="F5658" s="2">
        <v>3</v>
      </c>
      <c r="G5658" s="2" t="s">
        <v>14</v>
      </c>
    </row>
    <row r="5659" spans="1:9" x14ac:dyDescent="0.2">
      <c r="A5659" s="2" t="s">
        <v>3245</v>
      </c>
      <c r="B5659" s="2" t="s">
        <v>25</v>
      </c>
      <c r="C5659" s="2">
        <v>1106.328</v>
      </c>
      <c r="D5659" s="2">
        <f>HYPERLINK("http://mcb-m6.bioreg.kyushu-u.ac.jp/M3/20110427/F51122/3028/1", 94.29)</f>
        <v>94.29</v>
      </c>
      <c r="E5659" s="2">
        <v>43.44</v>
      </c>
      <c r="F5659" s="2">
        <v>2</v>
      </c>
      <c r="G5659" s="2" t="s">
        <v>14</v>
      </c>
    </row>
    <row r="5660" spans="1:9" x14ac:dyDescent="0.2">
      <c r="A5660" s="2" t="s">
        <v>7785</v>
      </c>
      <c r="B5660" s="2" t="s">
        <v>6683</v>
      </c>
      <c r="C5660" s="2">
        <v>1034.751</v>
      </c>
      <c r="D5660" s="2">
        <f>HYPERLINK("http://mcb-m6.bioreg.kyushu-u.ac.jp/M3/20110404/F50761/2916/1", 35.61)</f>
        <v>35.61</v>
      </c>
      <c r="E5660" s="2">
        <v>25.39</v>
      </c>
      <c r="F5660" s="2">
        <v>2</v>
      </c>
      <c r="G5660" s="2" t="s">
        <v>10</v>
      </c>
      <c r="I5660" s="2" t="s">
        <v>4892</v>
      </c>
    </row>
    <row r="5661" spans="1:9" x14ac:dyDescent="0.2">
      <c r="A5661" s="2" t="s">
        <v>3493</v>
      </c>
      <c r="B5661" s="2" t="s">
        <v>1314</v>
      </c>
      <c r="C5661" s="2">
        <v>1001.251</v>
      </c>
      <c r="D5661" s="2">
        <f>HYPERLINK("http://mcb-m6.bioreg.kyushu-u.ac.jp/M3/20110427/F51113/2912/1", 108.47)</f>
        <v>108.47</v>
      </c>
      <c r="E5661" s="2">
        <v>88.23</v>
      </c>
      <c r="F5661" s="2">
        <v>2</v>
      </c>
      <c r="G5661" s="2" t="s">
        <v>13</v>
      </c>
    </row>
    <row r="5662" spans="1:9" x14ac:dyDescent="0.2">
      <c r="A5662" s="2" t="s">
        <v>3351</v>
      </c>
      <c r="B5662" s="2" t="s">
        <v>1130</v>
      </c>
      <c r="C5662" s="2">
        <v>1635.7</v>
      </c>
      <c r="D5662" s="2">
        <f>HYPERLINK("http://mcb-m6.bioreg.kyushu-u.ac.jp/M3/20110404/F50754/2363/1", 38.71)</f>
        <v>38.71</v>
      </c>
      <c r="E5662" s="2">
        <v>25.12</v>
      </c>
      <c r="F5662" s="2">
        <v>1</v>
      </c>
      <c r="G5662" s="2" t="s">
        <v>9</v>
      </c>
      <c r="H5662" s="2" t="s">
        <v>4904</v>
      </c>
    </row>
    <row r="5663" spans="1:9" x14ac:dyDescent="0.2">
      <c r="A5663" s="2" t="s">
        <v>3351</v>
      </c>
      <c r="B5663" s="2" t="s">
        <v>457</v>
      </c>
      <c r="C5663" s="2">
        <v>460.22160000000002</v>
      </c>
      <c r="D5663" s="2">
        <f>HYPERLINK("http://mcb-m6.bioreg.kyushu-u.ac.jp/M3/20110404/F50754/1164/1", 40.4)</f>
        <v>40.4</v>
      </c>
      <c r="E5663" s="2">
        <v>12.28</v>
      </c>
      <c r="F5663" s="2">
        <v>2</v>
      </c>
      <c r="G5663" s="2" t="s">
        <v>9</v>
      </c>
    </row>
    <row r="5664" spans="1:9" x14ac:dyDescent="0.2">
      <c r="A5664" s="2" t="s">
        <v>3351</v>
      </c>
      <c r="B5664" s="2" t="s">
        <v>141</v>
      </c>
      <c r="C5664" s="2">
        <v>1227.4690000000001</v>
      </c>
      <c r="D5664" s="2">
        <f>HYPERLINK("http://mcb-m6.bioreg.kyushu-u.ac.jp/M3/20110404/F50754/1699/1", 45.54)</f>
        <v>45.54</v>
      </c>
      <c r="E5664" s="2">
        <v>22.01</v>
      </c>
      <c r="F5664" s="2">
        <v>1</v>
      </c>
      <c r="G5664" s="2" t="s">
        <v>9</v>
      </c>
    </row>
    <row r="5665" spans="1:9" x14ac:dyDescent="0.2">
      <c r="A5665" s="2" t="s">
        <v>3351</v>
      </c>
      <c r="B5665" s="2" t="s">
        <v>1130</v>
      </c>
      <c r="C5665" s="2">
        <v>826.27170000000001</v>
      </c>
      <c r="D5665" s="2">
        <f>HYPERLINK("http://mcb-m6.bioreg.kyushu-u.ac.jp/M3/20110404/F50755/2349/1", 64.06)</f>
        <v>64.06</v>
      </c>
      <c r="E5665" s="2">
        <v>46.86</v>
      </c>
      <c r="F5665" s="2">
        <v>2</v>
      </c>
      <c r="G5665" s="2" t="s">
        <v>9</v>
      </c>
    </row>
    <row r="5666" spans="1:9" x14ac:dyDescent="0.2">
      <c r="A5666" s="2" t="s">
        <v>3351</v>
      </c>
      <c r="B5666" s="2" t="s">
        <v>141</v>
      </c>
      <c r="C5666" s="2">
        <v>614.61360000000002</v>
      </c>
      <c r="D5666" s="2">
        <f>HYPERLINK("http://mcb-m6.bioreg.kyushu-u.ac.jp/M3/20110404/F50755/1447/1", 67.03)</f>
        <v>67.03</v>
      </c>
      <c r="E5666" s="2">
        <v>42.61</v>
      </c>
      <c r="F5666" s="2">
        <v>2</v>
      </c>
      <c r="G5666" s="2" t="s">
        <v>9</v>
      </c>
    </row>
    <row r="5667" spans="1:9" x14ac:dyDescent="0.2">
      <c r="A5667" s="2" t="s">
        <v>3351</v>
      </c>
      <c r="B5667" s="2" t="s">
        <v>1130</v>
      </c>
      <c r="C5667" s="2">
        <v>818.13019999999995</v>
      </c>
      <c r="D5667" s="2">
        <f>HYPERLINK("http://mcb-m6.bioreg.kyushu-u.ac.jp/M3/20110404/F50754/2362/1", 67.91)</f>
        <v>67.91</v>
      </c>
      <c r="E5667" s="2">
        <v>49.86</v>
      </c>
      <c r="F5667" s="2">
        <v>2</v>
      </c>
      <c r="G5667" s="2" t="s">
        <v>9</v>
      </c>
      <c r="H5667" s="2" t="s">
        <v>4904</v>
      </c>
    </row>
    <row r="5668" spans="1:9" x14ac:dyDescent="0.2">
      <c r="A5668" s="2" t="s">
        <v>3351</v>
      </c>
      <c r="B5668" s="2" t="s">
        <v>2372</v>
      </c>
      <c r="C5668" s="2">
        <v>574.79909999999995</v>
      </c>
      <c r="D5668" s="2">
        <f>HYPERLINK("http://mcb-m6.bioreg.kyushu-u.ac.jp/M3/20110404/F50754/1544/1", 71.41)</f>
        <v>71.41</v>
      </c>
      <c r="E5668" s="2">
        <v>46.48</v>
      </c>
      <c r="F5668" s="2">
        <v>2</v>
      </c>
      <c r="G5668" s="2" t="s">
        <v>9</v>
      </c>
      <c r="H5668" s="2" t="s">
        <v>4920</v>
      </c>
      <c r="I5668" s="2" t="s">
        <v>4898</v>
      </c>
    </row>
    <row r="5669" spans="1:9" x14ac:dyDescent="0.2">
      <c r="A5669" s="2" t="s">
        <v>3351</v>
      </c>
      <c r="B5669" s="2" t="s">
        <v>141</v>
      </c>
      <c r="C5669" s="2">
        <v>614.10720000000003</v>
      </c>
      <c r="D5669" s="2">
        <f>HYPERLINK("http://mcb-m6.bioreg.kyushu-u.ac.jp/M3/20110404/F50754/1697/1", 83.52)</f>
        <v>83.52</v>
      </c>
      <c r="E5669" s="2">
        <v>50.31</v>
      </c>
      <c r="F5669" s="2">
        <v>2</v>
      </c>
      <c r="G5669" s="2" t="s">
        <v>9</v>
      </c>
    </row>
    <row r="5670" spans="1:9" x14ac:dyDescent="0.2">
      <c r="A5670" s="2" t="s">
        <v>3351</v>
      </c>
      <c r="B5670" s="2" t="s">
        <v>1668</v>
      </c>
      <c r="C5670" s="2">
        <v>893.2491</v>
      </c>
      <c r="D5670" s="2">
        <f>HYPERLINK("http://mcb-m6.bioreg.kyushu-u.ac.jp/M3/20110404/F50754/2580/1", 108.47)</f>
        <v>108.47</v>
      </c>
      <c r="E5670" s="2">
        <v>78.510000000000005</v>
      </c>
      <c r="F5670" s="2">
        <v>2</v>
      </c>
      <c r="G5670" s="2" t="s">
        <v>9</v>
      </c>
    </row>
    <row r="5671" spans="1:9" x14ac:dyDescent="0.2">
      <c r="A5671" s="2" t="s">
        <v>3351</v>
      </c>
      <c r="B5671" s="2" t="s">
        <v>1130</v>
      </c>
      <c r="C5671" s="2">
        <v>826.32209999999998</v>
      </c>
      <c r="D5671" s="2">
        <f>HYPERLINK("http://mcb-m6.bioreg.kyushu-u.ac.jp/M3/20110404/F50754/2389/1", 113)</f>
        <v>113</v>
      </c>
      <c r="E5671" s="2">
        <v>96.79</v>
      </c>
      <c r="F5671" s="2">
        <v>2</v>
      </c>
      <c r="G5671" s="2" t="s">
        <v>9</v>
      </c>
    </row>
    <row r="5672" spans="1:9" x14ac:dyDescent="0.2">
      <c r="A5672" s="2" t="s">
        <v>3351</v>
      </c>
      <c r="B5672" s="2" t="s">
        <v>1130</v>
      </c>
      <c r="C5672" s="2">
        <v>826.69119999999998</v>
      </c>
      <c r="D5672" s="2">
        <f>HYPERLINK("http://mcb-m6.bioreg.kyushu-u.ac.jp/M3/20110421/F51018/2480/1", 47.15)</f>
        <v>47.15</v>
      </c>
      <c r="E5672" s="2">
        <v>34.44</v>
      </c>
      <c r="F5672" s="2">
        <v>2</v>
      </c>
      <c r="G5672" s="2" t="s">
        <v>11</v>
      </c>
    </row>
    <row r="5673" spans="1:9" x14ac:dyDescent="0.2">
      <c r="A5673" s="2" t="s">
        <v>3351</v>
      </c>
      <c r="B5673" s="2" t="s">
        <v>1130</v>
      </c>
      <c r="C5673" s="2">
        <v>826.73659999999995</v>
      </c>
      <c r="D5673" s="2">
        <f>HYPERLINK("http://mcb-m6.bioreg.kyushu-u.ac.jp/M3/20110421/F51018/2481/1", 59.81)</f>
        <v>59.81</v>
      </c>
      <c r="E5673" s="2">
        <v>45.37</v>
      </c>
      <c r="F5673" s="2">
        <v>2</v>
      </c>
      <c r="G5673" s="2" t="s">
        <v>11</v>
      </c>
    </row>
    <row r="5674" spans="1:9" x14ac:dyDescent="0.2">
      <c r="A5674" s="2" t="s">
        <v>3351</v>
      </c>
      <c r="B5674" s="2" t="s">
        <v>2372</v>
      </c>
      <c r="C5674" s="2">
        <v>575.15369999999996</v>
      </c>
      <c r="D5674" s="2">
        <f>HYPERLINK("http://mcb-m6.bioreg.kyushu-u.ac.jp/M3/20110421/F51018/1372/1", 74.92)</f>
        <v>74.92</v>
      </c>
      <c r="E5674" s="2">
        <v>48.71</v>
      </c>
      <c r="F5674" s="2">
        <v>2</v>
      </c>
      <c r="G5674" s="2" t="s">
        <v>11</v>
      </c>
      <c r="H5674" s="2" t="s">
        <v>4920</v>
      </c>
      <c r="I5674" s="2" t="s">
        <v>4898</v>
      </c>
    </row>
    <row r="5675" spans="1:9" x14ac:dyDescent="0.2">
      <c r="A5675" s="2" t="s">
        <v>3351</v>
      </c>
      <c r="B5675" s="2" t="s">
        <v>1130</v>
      </c>
      <c r="C5675" s="2">
        <v>826.39620000000002</v>
      </c>
      <c r="D5675" s="2">
        <f>HYPERLINK("http://mcb-m6.bioreg.kyushu-u.ac.jp/M3/20110421/F51018/2479/1", 79.06)</f>
        <v>79.06</v>
      </c>
      <c r="E5675" s="2">
        <v>61.4</v>
      </c>
      <c r="F5675" s="2">
        <v>2</v>
      </c>
      <c r="G5675" s="2" t="s">
        <v>11</v>
      </c>
    </row>
    <row r="5676" spans="1:9" x14ac:dyDescent="0.2">
      <c r="A5676" s="2" t="s">
        <v>3351</v>
      </c>
      <c r="B5676" s="2" t="s">
        <v>1668</v>
      </c>
      <c r="C5676" s="2">
        <v>893.26509999999996</v>
      </c>
      <c r="D5676" s="2">
        <f>HYPERLINK("http://mcb-m6.bioreg.kyushu-u.ac.jp/M3/20110421/F51018/2719/1", 127.01)</f>
        <v>127.01</v>
      </c>
      <c r="E5676" s="2">
        <v>93.36</v>
      </c>
      <c r="F5676" s="2">
        <v>2</v>
      </c>
      <c r="G5676" s="2" t="s">
        <v>11</v>
      </c>
    </row>
    <row r="5677" spans="1:9" x14ac:dyDescent="0.2">
      <c r="A5677" s="2" t="s">
        <v>3351</v>
      </c>
      <c r="B5677" s="2" t="s">
        <v>141</v>
      </c>
      <c r="C5677" s="2">
        <v>614.1232</v>
      </c>
      <c r="D5677" s="2">
        <f>HYPERLINK("http://mcb-m6.bioreg.kyushu-u.ac.jp/M3/20110421/F51024/1648/1", 39.81)</f>
        <v>39.81</v>
      </c>
      <c r="E5677" s="2">
        <v>27.58</v>
      </c>
      <c r="F5677" s="2">
        <v>2</v>
      </c>
      <c r="G5677" s="2" t="s">
        <v>12</v>
      </c>
    </row>
    <row r="5678" spans="1:9" x14ac:dyDescent="0.2">
      <c r="A5678" s="2" t="s">
        <v>3351</v>
      </c>
      <c r="B5678" s="2" t="s">
        <v>1130</v>
      </c>
      <c r="C5678" s="2">
        <v>826.30769999999995</v>
      </c>
      <c r="D5678" s="2">
        <f>HYPERLINK("http://mcb-m6.bioreg.kyushu-u.ac.jp/M3/20110421/F51024/2483/1", 53.21)</f>
        <v>53.21</v>
      </c>
      <c r="E5678" s="2">
        <v>37.28</v>
      </c>
      <c r="F5678" s="2">
        <v>2</v>
      </c>
      <c r="G5678" s="2" t="s">
        <v>12</v>
      </c>
    </row>
    <row r="5679" spans="1:9" x14ac:dyDescent="0.2">
      <c r="A5679" s="2" t="s">
        <v>3351</v>
      </c>
      <c r="B5679" s="2" t="s">
        <v>1668</v>
      </c>
      <c r="C5679" s="2">
        <v>893.23360000000002</v>
      </c>
      <c r="D5679" s="2">
        <f>HYPERLINK("http://mcb-m6.bioreg.kyushu-u.ac.jp/M3/20110421/F51024/2730/1", 123.69)</f>
        <v>123.69</v>
      </c>
      <c r="E5679" s="2">
        <v>93.67</v>
      </c>
      <c r="F5679" s="2">
        <v>2</v>
      </c>
      <c r="G5679" s="2" t="s">
        <v>12</v>
      </c>
    </row>
    <row r="5680" spans="1:9" x14ac:dyDescent="0.2">
      <c r="A5680" s="2" t="s">
        <v>3351</v>
      </c>
      <c r="B5680" s="2" t="s">
        <v>1130</v>
      </c>
      <c r="C5680" s="2">
        <v>826.26459999999997</v>
      </c>
      <c r="D5680" s="2">
        <f>HYPERLINK("http://mcb-m6.bioreg.kyushu-u.ac.jp/M3/20110427/F51112/2495/1", 39.76)</f>
        <v>39.76</v>
      </c>
      <c r="E5680" s="2">
        <v>31.42</v>
      </c>
      <c r="F5680" s="2">
        <v>2</v>
      </c>
      <c r="G5680" s="2" t="s">
        <v>13</v>
      </c>
    </row>
    <row r="5681" spans="1:9" x14ac:dyDescent="0.2">
      <c r="A5681" s="2" t="s">
        <v>3351</v>
      </c>
      <c r="B5681" s="2" t="s">
        <v>2372</v>
      </c>
      <c r="C5681" s="2">
        <v>566.66819999999996</v>
      </c>
      <c r="D5681" s="2">
        <f>HYPERLINK("http://mcb-m6.bioreg.kyushu-u.ac.jp/M3/20110427/F51112/1350/1", 42.59)</f>
        <v>42.59</v>
      </c>
      <c r="E5681" s="2">
        <v>17.64</v>
      </c>
      <c r="F5681" s="2">
        <v>2</v>
      </c>
      <c r="G5681" s="2" t="s">
        <v>13</v>
      </c>
      <c r="I5681" s="2" t="s">
        <v>4898</v>
      </c>
    </row>
    <row r="5682" spans="1:9" x14ac:dyDescent="0.2">
      <c r="A5682" s="2" t="s">
        <v>3351</v>
      </c>
      <c r="B5682" s="2" t="s">
        <v>2372</v>
      </c>
      <c r="C5682" s="2">
        <v>574.58320000000003</v>
      </c>
      <c r="D5682" s="2">
        <f>HYPERLINK("http://mcb-m6.bioreg.kyushu-u.ac.jp/M3/20110427/F51112/1380/1", 42.71)</f>
        <v>42.71</v>
      </c>
      <c r="E5682" s="2">
        <v>27.5</v>
      </c>
      <c r="F5682" s="2">
        <v>2</v>
      </c>
      <c r="G5682" s="2" t="s">
        <v>13</v>
      </c>
      <c r="H5682" s="2" t="s">
        <v>4920</v>
      </c>
      <c r="I5682" s="2" t="s">
        <v>4898</v>
      </c>
    </row>
    <row r="5683" spans="1:9" x14ac:dyDescent="0.2">
      <c r="A5683" s="2" t="s">
        <v>3351</v>
      </c>
      <c r="B5683" s="2" t="s">
        <v>2372</v>
      </c>
      <c r="C5683" s="2">
        <v>566.69420000000002</v>
      </c>
      <c r="D5683" s="2">
        <f>HYPERLINK("http://mcb-m6.bioreg.kyushu-u.ac.jp/M3/20110427/F51113/1263/1", 49.09)</f>
        <v>49.09</v>
      </c>
      <c r="E5683" s="2">
        <v>30.48</v>
      </c>
      <c r="F5683" s="2">
        <v>2</v>
      </c>
      <c r="G5683" s="2" t="s">
        <v>13</v>
      </c>
      <c r="I5683" s="2" t="s">
        <v>4898</v>
      </c>
    </row>
    <row r="5684" spans="1:9" x14ac:dyDescent="0.2">
      <c r="A5684" s="2" t="s">
        <v>3351</v>
      </c>
      <c r="B5684" s="2" t="s">
        <v>141</v>
      </c>
      <c r="C5684" s="2">
        <v>1228.5039999999999</v>
      </c>
      <c r="D5684" s="2">
        <f>HYPERLINK("http://mcb-m6.bioreg.kyushu-u.ac.jp/M3/20110427/F51113/1473/1", 50.22)</f>
        <v>50.22</v>
      </c>
      <c r="E5684" s="2">
        <v>29.58</v>
      </c>
      <c r="F5684" s="2">
        <v>1</v>
      </c>
      <c r="G5684" s="2" t="s">
        <v>13</v>
      </c>
    </row>
    <row r="5685" spans="1:9" x14ac:dyDescent="0.2">
      <c r="A5685" s="2" t="s">
        <v>3351</v>
      </c>
      <c r="B5685" s="2" t="s">
        <v>141</v>
      </c>
      <c r="C5685" s="2">
        <v>1227.396</v>
      </c>
      <c r="D5685" s="2">
        <f>HYPERLINK("http://mcb-m6.bioreg.kyushu-u.ac.jp/M3/20110427/F51112/1568/1", 51.46)</f>
        <v>51.46</v>
      </c>
      <c r="E5685" s="2">
        <v>26.55</v>
      </c>
      <c r="F5685" s="2">
        <v>1</v>
      </c>
      <c r="G5685" s="2" t="s">
        <v>13</v>
      </c>
    </row>
    <row r="5686" spans="1:9" x14ac:dyDescent="0.2">
      <c r="A5686" s="2" t="s">
        <v>3351</v>
      </c>
      <c r="B5686" s="2" t="s">
        <v>141</v>
      </c>
      <c r="C5686" s="2">
        <v>614.07069999999999</v>
      </c>
      <c r="D5686" s="2">
        <f>HYPERLINK("http://mcb-m6.bioreg.kyushu-u.ac.jp/M3/20110427/F51112/1567/1", 56.22)</f>
        <v>56.22</v>
      </c>
      <c r="E5686" s="2">
        <v>37.24</v>
      </c>
      <c r="F5686" s="2">
        <v>2</v>
      </c>
      <c r="G5686" s="2" t="s">
        <v>13</v>
      </c>
    </row>
    <row r="5687" spans="1:9" x14ac:dyDescent="0.2">
      <c r="A5687" s="2" t="s">
        <v>3351</v>
      </c>
      <c r="B5687" s="2" t="s">
        <v>141</v>
      </c>
      <c r="C5687" s="2">
        <v>614.09670000000006</v>
      </c>
      <c r="D5687" s="2">
        <f>HYPERLINK("http://mcb-m6.bioreg.kyushu-u.ac.jp/M3/20110427/F51113/1471/1", 70.75)</f>
        <v>70.75</v>
      </c>
      <c r="E5687" s="2">
        <v>46.55</v>
      </c>
      <c r="F5687" s="2">
        <v>2</v>
      </c>
      <c r="G5687" s="2" t="s">
        <v>13</v>
      </c>
    </row>
    <row r="5688" spans="1:9" x14ac:dyDescent="0.2">
      <c r="A5688" s="2" t="s">
        <v>3351</v>
      </c>
      <c r="B5688" s="2" t="s">
        <v>1668</v>
      </c>
      <c r="C5688" s="2">
        <v>893.64760000000001</v>
      </c>
      <c r="D5688" s="2">
        <f>HYPERLINK("http://mcb-m6.bioreg.kyushu-u.ac.jp/M3/20110427/F51112/2792/1", 96.2)</f>
        <v>96.2</v>
      </c>
      <c r="E5688" s="2">
        <v>63.66</v>
      </c>
      <c r="F5688" s="2">
        <v>2</v>
      </c>
      <c r="G5688" s="2" t="s">
        <v>13</v>
      </c>
    </row>
    <row r="5689" spans="1:9" x14ac:dyDescent="0.2">
      <c r="A5689" s="2" t="s">
        <v>3351</v>
      </c>
      <c r="B5689" s="2" t="s">
        <v>1668</v>
      </c>
      <c r="C5689" s="2">
        <v>893.44269999999995</v>
      </c>
      <c r="D5689" s="2">
        <f>HYPERLINK("http://mcb-m6.bioreg.kyushu-u.ac.jp/M3/20110427/F51113/2611/1", 100.02)</f>
        <v>100.02</v>
      </c>
      <c r="E5689" s="2">
        <v>66.81</v>
      </c>
      <c r="F5689" s="2">
        <v>2</v>
      </c>
      <c r="G5689" s="2" t="s">
        <v>13</v>
      </c>
    </row>
    <row r="5690" spans="1:9" x14ac:dyDescent="0.2">
      <c r="A5690" s="2" t="s">
        <v>3351</v>
      </c>
      <c r="B5690" s="2" t="s">
        <v>141</v>
      </c>
      <c r="C5690" s="2">
        <v>614.24570000000006</v>
      </c>
      <c r="D5690" s="2">
        <f>HYPERLINK("http://mcb-m6.bioreg.kyushu-u.ac.jp/M3/20110427/F51121/1629/1", 55.5)</f>
        <v>55.5</v>
      </c>
      <c r="E5690" s="2">
        <v>40.56</v>
      </c>
      <c r="F5690" s="2">
        <v>2</v>
      </c>
      <c r="G5690" s="2" t="s">
        <v>14</v>
      </c>
    </row>
    <row r="5691" spans="1:9" x14ac:dyDescent="0.2">
      <c r="A5691" s="2" t="s">
        <v>3351</v>
      </c>
      <c r="B5691" s="2" t="s">
        <v>7503</v>
      </c>
      <c r="C5691" s="2">
        <v>630.0068</v>
      </c>
      <c r="D5691" s="2">
        <f>HYPERLINK("http://mcb-m6.bioreg.kyushu-u.ac.jp/M3/20110427/F51121/2587/1", 56.09)</f>
        <v>56.09</v>
      </c>
      <c r="E5691" s="2">
        <v>37.200000000000003</v>
      </c>
      <c r="F5691" s="2">
        <v>3</v>
      </c>
      <c r="G5691" s="2" t="s">
        <v>14</v>
      </c>
    </row>
    <row r="5692" spans="1:9" x14ac:dyDescent="0.2">
      <c r="A5692" s="2" t="s">
        <v>3351</v>
      </c>
      <c r="B5692" s="2" t="s">
        <v>1130</v>
      </c>
      <c r="C5692" s="2">
        <v>826.21870000000001</v>
      </c>
      <c r="D5692" s="2">
        <f>HYPERLINK("http://mcb-m6.bioreg.kyushu-u.ac.jp/M3/20110427/F51121/2284/1", 75.31)</f>
        <v>75.31</v>
      </c>
      <c r="E5692" s="2">
        <v>60.56</v>
      </c>
      <c r="F5692" s="2">
        <v>2</v>
      </c>
      <c r="G5692" s="2" t="s">
        <v>14</v>
      </c>
    </row>
    <row r="5693" spans="1:9" x14ac:dyDescent="0.2">
      <c r="A5693" s="2" t="s">
        <v>3351</v>
      </c>
      <c r="B5693" s="2" t="s">
        <v>1130</v>
      </c>
      <c r="C5693" s="2">
        <v>826.16060000000004</v>
      </c>
      <c r="D5693" s="2">
        <f>HYPERLINK("http://mcb-m6.bioreg.kyushu-u.ac.jp/M3/20110427/F51122/2478/1", 87.01)</f>
        <v>87.01</v>
      </c>
      <c r="E5693" s="2">
        <v>66.59</v>
      </c>
      <c r="F5693" s="2">
        <v>2</v>
      </c>
      <c r="G5693" s="2" t="s">
        <v>14</v>
      </c>
    </row>
    <row r="5694" spans="1:9" x14ac:dyDescent="0.2">
      <c r="A5694" s="2" t="s">
        <v>3351</v>
      </c>
      <c r="B5694" s="2" t="s">
        <v>1668</v>
      </c>
      <c r="C5694" s="2">
        <v>893.63620000000003</v>
      </c>
      <c r="D5694" s="2">
        <f>HYPERLINK("http://mcb-m6.bioreg.kyushu-u.ac.jp/M3/20110427/F51121/2483/1", 109.6)</f>
        <v>109.6</v>
      </c>
      <c r="E5694" s="2">
        <v>76.62</v>
      </c>
      <c r="F5694" s="2">
        <v>2</v>
      </c>
      <c r="G5694" s="2" t="s">
        <v>14</v>
      </c>
    </row>
    <row r="5695" spans="1:9" x14ac:dyDescent="0.2">
      <c r="A5695" s="2" t="s">
        <v>3345</v>
      </c>
      <c r="B5695" s="2" t="s">
        <v>134</v>
      </c>
      <c r="C5695" s="2">
        <v>508.59109999999998</v>
      </c>
      <c r="D5695" s="2">
        <f>HYPERLINK("http://mcb-m6.bioreg.kyushu-u.ac.jp/M3/20110404/F50754/1354/1", 36.45)</f>
        <v>36.450000000000003</v>
      </c>
      <c r="E5695" s="2">
        <v>16.53</v>
      </c>
      <c r="F5695" s="2">
        <v>2</v>
      </c>
      <c r="G5695" s="2" t="s">
        <v>9</v>
      </c>
    </row>
    <row r="5696" spans="1:9" x14ac:dyDescent="0.2">
      <c r="A5696" s="2" t="s">
        <v>3345</v>
      </c>
      <c r="B5696" s="2" t="s">
        <v>867</v>
      </c>
      <c r="C5696" s="2">
        <v>791.80020000000002</v>
      </c>
      <c r="D5696" s="2">
        <f>HYPERLINK("http://mcb-m6.bioreg.kyushu-u.ac.jp/M3/20110404/F50755/2226/1", 47.7)</f>
        <v>47.7</v>
      </c>
      <c r="E5696" s="2">
        <v>28.4</v>
      </c>
      <c r="F5696" s="2">
        <v>2</v>
      </c>
      <c r="G5696" s="2" t="s">
        <v>9</v>
      </c>
    </row>
    <row r="5697" spans="1:8" x14ac:dyDescent="0.2">
      <c r="A5697" s="2" t="s">
        <v>3345</v>
      </c>
      <c r="B5697" s="2" t="s">
        <v>867</v>
      </c>
      <c r="C5697" s="2">
        <v>791.85820000000001</v>
      </c>
      <c r="D5697" s="2">
        <f>HYPERLINK("http://mcb-m6.bioreg.kyushu-u.ac.jp/M3/20110404/F50754/2299/1", 47.82)</f>
        <v>47.82</v>
      </c>
      <c r="E5697" s="2">
        <v>24.93</v>
      </c>
      <c r="F5697" s="2">
        <v>2</v>
      </c>
      <c r="G5697" s="2" t="s">
        <v>9</v>
      </c>
    </row>
    <row r="5698" spans="1:8" x14ac:dyDescent="0.2">
      <c r="A5698" s="2" t="s">
        <v>3345</v>
      </c>
      <c r="B5698" s="2" t="s">
        <v>6276</v>
      </c>
      <c r="C5698" s="2">
        <v>1063.412</v>
      </c>
      <c r="D5698" s="2">
        <f>HYPERLINK("http://mcb-m6.bioreg.kyushu-u.ac.jp/M3/20110404/F50754/1445/1", 50.49)</f>
        <v>50.49</v>
      </c>
      <c r="E5698" s="2">
        <v>32.090000000000003</v>
      </c>
      <c r="F5698" s="2">
        <v>1</v>
      </c>
      <c r="G5698" s="2" t="s">
        <v>9</v>
      </c>
    </row>
    <row r="5699" spans="1:8" x14ac:dyDescent="0.2">
      <c r="A5699" s="2" t="s">
        <v>3345</v>
      </c>
      <c r="B5699" s="2" t="s">
        <v>785</v>
      </c>
      <c r="C5699" s="2">
        <v>744.00620000000004</v>
      </c>
      <c r="D5699" s="2">
        <f>HYPERLINK("http://mcb-m6.bioreg.kyushu-u.ac.jp/M3/20110404/F50754/3054/1", 55.48)</f>
        <v>55.48</v>
      </c>
      <c r="E5699" s="2">
        <v>40.57</v>
      </c>
      <c r="F5699" s="2">
        <v>3</v>
      </c>
      <c r="G5699" s="2" t="s">
        <v>9</v>
      </c>
    </row>
    <row r="5700" spans="1:8" x14ac:dyDescent="0.2">
      <c r="A5700" s="2" t="s">
        <v>3345</v>
      </c>
      <c r="B5700" s="2" t="s">
        <v>563</v>
      </c>
      <c r="C5700" s="2">
        <v>713.3777</v>
      </c>
      <c r="D5700" s="2">
        <f>HYPERLINK("http://mcb-m6.bioreg.kyushu-u.ac.jp/M3/20110404/F50755/1800/1", 71.08)</f>
        <v>71.08</v>
      </c>
      <c r="E5700" s="2">
        <v>47.05</v>
      </c>
      <c r="F5700" s="2">
        <v>2</v>
      </c>
      <c r="G5700" s="2" t="s">
        <v>9</v>
      </c>
    </row>
    <row r="5701" spans="1:8" x14ac:dyDescent="0.2">
      <c r="A5701" s="2" t="s">
        <v>3345</v>
      </c>
      <c r="B5701" s="2" t="s">
        <v>563</v>
      </c>
      <c r="C5701" s="2">
        <v>713.73969999999997</v>
      </c>
      <c r="D5701" s="2">
        <f>HYPERLINK("http://mcb-m6.bioreg.kyushu-u.ac.jp/M3/20110404/F50754/2014/1", 74.08)</f>
        <v>74.08</v>
      </c>
      <c r="E5701" s="2">
        <v>61.21</v>
      </c>
      <c r="F5701" s="2">
        <v>2</v>
      </c>
      <c r="G5701" s="2" t="s">
        <v>9</v>
      </c>
    </row>
    <row r="5702" spans="1:8" x14ac:dyDescent="0.2">
      <c r="A5702" s="2" t="s">
        <v>3345</v>
      </c>
      <c r="B5702" s="2" t="s">
        <v>563</v>
      </c>
      <c r="C5702" s="2">
        <v>721.26319999999998</v>
      </c>
      <c r="D5702" s="2">
        <f>HYPERLINK("http://mcb-m6.bioreg.kyushu-u.ac.jp/M3/20110404/F50754/2049/1", 83.52)</f>
        <v>83.52</v>
      </c>
      <c r="E5702" s="2">
        <v>65.209999999999994</v>
      </c>
      <c r="F5702" s="2">
        <v>2</v>
      </c>
      <c r="G5702" s="2" t="s">
        <v>9</v>
      </c>
      <c r="H5702" s="2" t="s">
        <v>4927</v>
      </c>
    </row>
    <row r="5703" spans="1:8" x14ac:dyDescent="0.2">
      <c r="A5703" s="2" t="s">
        <v>3345</v>
      </c>
      <c r="B5703" s="2" t="s">
        <v>785</v>
      </c>
      <c r="C5703" s="2">
        <v>1123.3109999999999</v>
      </c>
      <c r="D5703" s="2">
        <f>HYPERLINK("http://mcb-m6.bioreg.kyushu-u.ac.jp/M3/20110404/F50754/3070/1", 141.86)</f>
        <v>141.86000000000001</v>
      </c>
      <c r="E5703" s="2">
        <v>129.38</v>
      </c>
      <c r="F5703" s="2">
        <v>2</v>
      </c>
      <c r="G5703" s="2" t="s">
        <v>9</v>
      </c>
      <c r="H5703" s="2" t="s">
        <v>4908</v>
      </c>
    </row>
    <row r="5704" spans="1:8" x14ac:dyDescent="0.2">
      <c r="A5704" s="2" t="s">
        <v>3345</v>
      </c>
      <c r="B5704" s="2" t="s">
        <v>563</v>
      </c>
      <c r="C5704" s="2">
        <v>713.64469999999994</v>
      </c>
      <c r="D5704" s="2">
        <f>HYPERLINK("http://mcb-m6.bioreg.kyushu-u.ac.jp/M3/20110421/F51020/1906/1", 40.64)</f>
        <v>40.64</v>
      </c>
      <c r="E5704" s="2">
        <v>20.65</v>
      </c>
      <c r="F5704" s="2">
        <v>2</v>
      </c>
      <c r="G5704" s="2" t="s">
        <v>11</v>
      </c>
    </row>
    <row r="5705" spans="1:8" x14ac:dyDescent="0.2">
      <c r="A5705" s="2" t="s">
        <v>3345</v>
      </c>
      <c r="B5705" s="2" t="s">
        <v>563</v>
      </c>
      <c r="C5705" s="2">
        <v>721.66920000000005</v>
      </c>
      <c r="D5705" s="2">
        <f>HYPERLINK("http://mcb-m6.bioreg.kyushu-u.ac.jp/M3/20110421/F51018/2019/1", 52.46)</f>
        <v>52.46</v>
      </c>
      <c r="E5705" s="2">
        <v>30.19</v>
      </c>
      <c r="F5705" s="2">
        <v>2</v>
      </c>
      <c r="G5705" s="2" t="s">
        <v>11</v>
      </c>
      <c r="H5705" s="2" t="s">
        <v>4927</v>
      </c>
    </row>
    <row r="5706" spans="1:8" x14ac:dyDescent="0.2">
      <c r="A5706" s="2" t="s">
        <v>3345</v>
      </c>
      <c r="B5706" s="2" t="s">
        <v>563</v>
      </c>
      <c r="C5706" s="2">
        <v>713.23019999999997</v>
      </c>
      <c r="D5706" s="2">
        <f>HYPERLINK("http://mcb-m6.bioreg.kyushu-u.ac.jp/M3/20110421/F51018/1973/1", 52.69)</f>
        <v>52.69</v>
      </c>
      <c r="E5706" s="2">
        <v>40.08</v>
      </c>
      <c r="F5706" s="2">
        <v>2</v>
      </c>
      <c r="G5706" s="2" t="s">
        <v>11</v>
      </c>
    </row>
    <row r="5707" spans="1:8" x14ac:dyDescent="0.2">
      <c r="A5707" s="2" t="s">
        <v>3345</v>
      </c>
      <c r="B5707" s="2" t="s">
        <v>867</v>
      </c>
      <c r="C5707" s="2">
        <v>791.85220000000004</v>
      </c>
      <c r="D5707" s="2">
        <f>HYPERLINK("http://mcb-m6.bioreg.kyushu-u.ac.jp/M3/20110421/F51018/2353/1", 56.5)</f>
        <v>56.5</v>
      </c>
      <c r="E5707" s="2">
        <v>31.55</v>
      </c>
      <c r="F5707" s="2">
        <v>2</v>
      </c>
      <c r="G5707" s="2" t="s">
        <v>11</v>
      </c>
    </row>
    <row r="5708" spans="1:8" x14ac:dyDescent="0.2">
      <c r="A5708" s="2" t="s">
        <v>3345</v>
      </c>
      <c r="B5708" s="2" t="s">
        <v>563</v>
      </c>
      <c r="C5708" s="2">
        <v>721.95619999999997</v>
      </c>
      <c r="D5708" s="2">
        <f>HYPERLINK("http://mcb-m6.bioreg.kyushu-u.ac.jp/M3/20110421/F51019/1982/1", 57.25)</f>
        <v>57.25</v>
      </c>
      <c r="E5708" s="2">
        <v>34.31</v>
      </c>
      <c r="F5708" s="2">
        <v>2</v>
      </c>
      <c r="G5708" s="2" t="s">
        <v>11</v>
      </c>
      <c r="H5708" s="2" t="s">
        <v>4927</v>
      </c>
    </row>
    <row r="5709" spans="1:8" x14ac:dyDescent="0.2">
      <c r="A5709" s="2" t="s">
        <v>3345</v>
      </c>
      <c r="B5709" s="2" t="s">
        <v>563</v>
      </c>
      <c r="C5709" s="2">
        <v>713.27670000000001</v>
      </c>
      <c r="D5709" s="2">
        <f>HYPERLINK("http://mcb-m6.bioreg.kyushu-u.ac.jp/M3/20110421/F51019/1931/1", 59.28)</f>
        <v>59.28</v>
      </c>
      <c r="E5709" s="2">
        <v>43.8</v>
      </c>
      <c r="F5709" s="2">
        <v>2</v>
      </c>
      <c r="G5709" s="2" t="s">
        <v>11</v>
      </c>
    </row>
    <row r="5710" spans="1:8" x14ac:dyDescent="0.2">
      <c r="A5710" s="2" t="s">
        <v>3345</v>
      </c>
      <c r="B5710" s="2" t="s">
        <v>563</v>
      </c>
      <c r="C5710" s="2">
        <v>713.37120000000004</v>
      </c>
      <c r="D5710" s="2">
        <f>HYPERLINK("http://mcb-m6.bioreg.kyushu-u.ac.jp/M3/20110421/F51018/1974/1", 77)</f>
        <v>77</v>
      </c>
      <c r="E5710" s="2">
        <v>61</v>
      </c>
      <c r="F5710" s="2">
        <v>2</v>
      </c>
      <c r="G5710" s="2" t="s">
        <v>11</v>
      </c>
    </row>
    <row r="5711" spans="1:8" x14ac:dyDescent="0.2">
      <c r="A5711" s="2" t="s">
        <v>3345</v>
      </c>
      <c r="B5711" s="2" t="s">
        <v>563</v>
      </c>
      <c r="C5711" s="2">
        <v>721.34810000000004</v>
      </c>
      <c r="D5711" s="2">
        <f>HYPERLINK("http://mcb-m6.bioreg.kyushu-u.ac.jp/M3/20110421/F51018/2018/1", 84.75)</f>
        <v>84.75</v>
      </c>
      <c r="E5711" s="2">
        <v>58.63</v>
      </c>
      <c r="F5711" s="2">
        <v>2</v>
      </c>
      <c r="G5711" s="2" t="s">
        <v>11</v>
      </c>
      <c r="H5711" s="2" t="s">
        <v>4927</v>
      </c>
    </row>
    <row r="5712" spans="1:8" x14ac:dyDescent="0.2">
      <c r="A5712" s="2" t="s">
        <v>3345</v>
      </c>
      <c r="B5712" s="2" t="s">
        <v>785</v>
      </c>
      <c r="C5712" s="2">
        <v>1115.317</v>
      </c>
      <c r="D5712" s="2">
        <f>HYPERLINK("http://mcb-m6.bioreg.kyushu-u.ac.jp/M3/20110421/F51018/3243/1", 145.03)</f>
        <v>145.03</v>
      </c>
      <c r="E5712" s="2">
        <v>119.95</v>
      </c>
      <c r="F5712" s="2">
        <v>2</v>
      </c>
      <c r="G5712" s="2" t="s">
        <v>11</v>
      </c>
    </row>
    <row r="5713" spans="1:8" x14ac:dyDescent="0.2">
      <c r="A5713" s="2" t="s">
        <v>3345</v>
      </c>
      <c r="B5713" s="2" t="s">
        <v>867</v>
      </c>
      <c r="C5713" s="2">
        <v>792.31569999999999</v>
      </c>
      <c r="D5713" s="2">
        <f>HYPERLINK("http://mcb-m6.bioreg.kyushu-u.ac.jp/M3/20110421/F51025/2199/1", 46.54)</f>
        <v>46.54</v>
      </c>
      <c r="E5713" s="2">
        <v>24.08</v>
      </c>
      <c r="F5713" s="2">
        <v>2</v>
      </c>
      <c r="G5713" s="2" t="s">
        <v>12</v>
      </c>
    </row>
    <row r="5714" spans="1:8" x14ac:dyDescent="0.2">
      <c r="A5714" s="2" t="s">
        <v>3345</v>
      </c>
      <c r="B5714" s="2" t="s">
        <v>563</v>
      </c>
      <c r="C5714" s="2">
        <v>721.22860000000003</v>
      </c>
      <c r="D5714" s="2">
        <f>HYPERLINK("http://mcb-m6.bioreg.kyushu-u.ac.jp/M3/20110421/F51024/2056/1", 47.16)</f>
        <v>47.16</v>
      </c>
      <c r="E5714" s="2">
        <v>27.7</v>
      </c>
      <c r="F5714" s="2">
        <v>2</v>
      </c>
      <c r="G5714" s="2" t="s">
        <v>12</v>
      </c>
      <c r="H5714" s="2" t="s">
        <v>4927</v>
      </c>
    </row>
    <row r="5715" spans="1:8" x14ac:dyDescent="0.2">
      <c r="A5715" s="2" t="s">
        <v>3345</v>
      </c>
      <c r="B5715" s="2" t="s">
        <v>563</v>
      </c>
      <c r="C5715" s="2">
        <v>713.31410000000005</v>
      </c>
      <c r="D5715" s="2">
        <f>HYPERLINK("http://mcb-m6.bioreg.kyushu-u.ac.jp/M3/20110421/F51024/2020/1", 70.27)</f>
        <v>70.27</v>
      </c>
      <c r="E5715" s="2">
        <v>55.8</v>
      </c>
      <c r="F5715" s="2">
        <v>2</v>
      </c>
      <c r="G5715" s="2" t="s">
        <v>12</v>
      </c>
    </row>
    <row r="5716" spans="1:8" x14ac:dyDescent="0.2">
      <c r="A5716" s="2" t="s">
        <v>3345</v>
      </c>
      <c r="B5716" s="2" t="s">
        <v>563</v>
      </c>
      <c r="C5716" s="2">
        <v>721.76070000000004</v>
      </c>
      <c r="D5716" s="2">
        <f>HYPERLINK("http://mcb-m6.bioreg.kyushu-u.ac.jp/M3/20110421/F51024/2060/1", 76.13)</f>
        <v>76.13</v>
      </c>
      <c r="E5716" s="2">
        <v>50.1</v>
      </c>
      <c r="F5716" s="2">
        <v>2</v>
      </c>
      <c r="G5716" s="2" t="s">
        <v>12</v>
      </c>
      <c r="H5716" s="2" t="s">
        <v>4927</v>
      </c>
    </row>
    <row r="5717" spans="1:8" x14ac:dyDescent="0.2">
      <c r="A5717" s="2" t="s">
        <v>3345</v>
      </c>
      <c r="B5717" s="2" t="s">
        <v>563</v>
      </c>
      <c r="C5717" s="2">
        <v>713.10720000000003</v>
      </c>
      <c r="D5717" s="2">
        <f>HYPERLINK("http://mcb-m6.bioreg.kyushu-u.ac.jp/M3/20110427/F51113/1872/1", 41.28)</f>
        <v>41.28</v>
      </c>
      <c r="E5717" s="2">
        <v>28.87</v>
      </c>
      <c r="F5717" s="2">
        <v>2</v>
      </c>
      <c r="G5717" s="2" t="s">
        <v>13</v>
      </c>
    </row>
    <row r="5718" spans="1:8" x14ac:dyDescent="0.2">
      <c r="A5718" s="2" t="s">
        <v>3345</v>
      </c>
      <c r="B5718" s="2" t="s">
        <v>867</v>
      </c>
      <c r="C5718" s="2">
        <v>791.81410000000005</v>
      </c>
      <c r="D5718" s="2">
        <f>HYPERLINK("http://mcb-m6.bioreg.kyushu-u.ac.jp/M3/20110427/F51112/2344/1", 54.74)</f>
        <v>54.74</v>
      </c>
      <c r="E5718" s="2">
        <v>33.229999999999997</v>
      </c>
      <c r="F5718" s="2">
        <v>2</v>
      </c>
      <c r="G5718" s="2" t="s">
        <v>13</v>
      </c>
    </row>
    <row r="5719" spans="1:8" x14ac:dyDescent="0.2">
      <c r="A5719" s="2" t="s">
        <v>3345</v>
      </c>
      <c r="B5719" s="2" t="s">
        <v>785</v>
      </c>
      <c r="C5719" s="2">
        <v>1115.3720000000001</v>
      </c>
      <c r="D5719" s="2">
        <f>HYPERLINK("http://mcb-m6.bioreg.kyushu-u.ac.jp/M3/20110427/F51113/3153/1", 54.88)</f>
        <v>54.88</v>
      </c>
      <c r="E5719" s="2">
        <v>35.130000000000003</v>
      </c>
      <c r="F5719" s="2">
        <v>2</v>
      </c>
      <c r="G5719" s="2" t="s">
        <v>13</v>
      </c>
    </row>
    <row r="5720" spans="1:8" x14ac:dyDescent="0.2">
      <c r="A5720" s="2" t="s">
        <v>3345</v>
      </c>
      <c r="B5720" s="2" t="s">
        <v>134</v>
      </c>
      <c r="C5720" s="2">
        <v>508.22710000000001</v>
      </c>
      <c r="D5720" s="2">
        <f>HYPERLINK("http://mcb-m6.bioreg.kyushu-u.ac.jp/M3/20110427/F51112/1079/1", 55.5)</f>
        <v>55.5</v>
      </c>
      <c r="E5720" s="2">
        <v>24.89</v>
      </c>
      <c r="F5720" s="2">
        <v>2</v>
      </c>
      <c r="G5720" s="2" t="s">
        <v>13</v>
      </c>
    </row>
    <row r="5721" spans="1:8" x14ac:dyDescent="0.2">
      <c r="A5721" s="2" t="s">
        <v>3345</v>
      </c>
      <c r="B5721" s="2" t="s">
        <v>867</v>
      </c>
      <c r="C5721" s="2">
        <v>791.91920000000005</v>
      </c>
      <c r="D5721" s="2">
        <f>HYPERLINK("http://mcb-m6.bioreg.kyushu-u.ac.jp/M3/20110427/F51113/2234/1", 59.51)</f>
        <v>59.51</v>
      </c>
      <c r="E5721" s="2">
        <v>35.979999999999997</v>
      </c>
      <c r="F5721" s="2">
        <v>2</v>
      </c>
      <c r="G5721" s="2" t="s">
        <v>13</v>
      </c>
    </row>
    <row r="5722" spans="1:8" x14ac:dyDescent="0.2">
      <c r="A5722" s="2" t="s">
        <v>3345</v>
      </c>
      <c r="B5722" s="2" t="s">
        <v>785</v>
      </c>
      <c r="C5722" s="2">
        <v>1115.1289999999999</v>
      </c>
      <c r="D5722" s="2">
        <f>HYPERLINK("http://mcb-m6.bioreg.kyushu-u.ac.jp/M3/20110427/F51112/3297/1", 61.7)</f>
        <v>61.7</v>
      </c>
      <c r="E5722" s="2">
        <v>40.89</v>
      </c>
      <c r="F5722" s="2">
        <v>2</v>
      </c>
      <c r="G5722" s="2" t="s">
        <v>13</v>
      </c>
    </row>
    <row r="5723" spans="1:8" x14ac:dyDescent="0.2">
      <c r="A5723" s="2" t="s">
        <v>3345</v>
      </c>
      <c r="B5723" s="2" t="s">
        <v>563</v>
      </c>
      <c r="C5723" s="2">
        <v>721.22609999999997</v>
      </c>
      <c r="D5723" s="2">
        <f>HYPERLINK("http://mcb-m6.bioreg.kyushu-u.ac.jp/M3/20110427/F51113/1917/1", 82.8)</f>
        <v>82.8</v>
      </c>
      <c r="E5723" s="2">
        <v>60.76</v>
      </c>
      <c r="F5723" s="2">
        <v>2</v>
      </c>
      <c r="G5723" s="2" t="s">
        <v>13</v>
      </c>
      <c r="H5723" s="2" t="s">
        <v>4927</v>
      </c>
    </row>
    <row r="5724" spans="1:8" x14ac:dyDescent="0.2">
      <c r="A5724" s="2" t="s">
        <v>3345</v>
      </c>
      <c r="B5724" s="2" t="s">
        <v>563</v>
      </c>
      <c r="C5724" s="2">
        <v>721.13019999999995</v>
      </c>
      <c r="D5724" s="2">
        <f>HYPERLINK("http://mcb-m6.bioreg.kyushu-u.ac.jp/M3/20110427/F51112/2001/1", 84.69)</f>
        <v>84.69</v>
      </c>
      <c r="E5724" s="2">
        <v>62.95</v>
      </c>
      <c r="F5724" s="2">
        <v>2</v>
      </c>
      <c r="G5724" s="2" t="s">
        <v>13</v>
      </c>
      <c r="H5724" s="2" t="s">
        <v>4927</v>
      </c>
    </row>
    <row r="5725" spans="1:8" x14ac:dyDescent="0.2">
      <c r="A5725" s="2" t="s">
        <v>3345</v>
      </c>
      <c r="B5725" s="2" t="s">
        <v>563</v>
      </c>
      <c r="C5725" s="2">
        <v>713.72919999999999</v>
      </c>
      <c r="D5725" s="2">
        <f>HYPERLINK("http://mcb-m6.bioreg.kyushu-u.ac.jp/M3/20110427/F51112/1966/1", 91.28)</f>
        <v>91.28</v>
      </c>
      <c r="E5725" s="2">
        <v>75.03</v>
      </c>
      <c r="F5725" s="2">
        <v>2</v>
      </c>
      <c r="G5725" s="2" t="s">
        <v>13</v>
      </c>
    </row>
    <row r="5726" spans="1:8" x14ac:dyDescent="0.2">
      <c r="A5726" s="2" t="s">
        <v>3345</v>
      </c>
      <c r="B5726" s="2" t="s">
        <v>867</v>
      </c>
      <c r="C5726" s="2">
        <v>792.33420000000001</v>
      </c>
      <c r="D5726" s="2">
        <f>HYPERLINK("http://mcb-m6.bioreg.kyushu-u.ac.jp/M3/20110427/F51121/2192/1", 37.97)</f>
        <v>37.97</v>
      </c>
      <c r="E5726" s="2">
        <v>14.61</v>
      </c>
      <c r="F5726" s="2">
        <v>2</v>
      </c>
      <c r="G5726" s="2" t="s">
        <v>14</v>
      </c>
    </row>
    <row r="5727" spans="1:8" x14ac:dyDescent="0.2">
      <c r="A5727" s="2" t="s">
        <v>3345</v>
      </c>
      <c r="B5727" s="2" t="s">
        <v>867</v>
      </c>
      <c r="C5727" s="2">
        <v>792.10670000000005</v>
      </c>
      <c r="D5727" s="2">
        <f>HYPERLINK("http://mcb-m6.bioreg.kyushu-u.ac.jp/M3/20110427/F51122/2360/1", 42.99)</f>
        <v>42.99</v>
      </c>
      <c r="E5727" s="2">
        <v>18.88</v>
      </c>
      <c r="F5727" s="2">
        <v>2</v>
      </c>
      <c r="G5727" s="2" t="s">
        <v>14</v>
      </c>
    </row>
    <row r="5728" spans="1:8" x14ac:dyDescent="0.2">
      <c r="A5728" s="2" t="s">
        <v>3345</v>
      </c>
      <c r="B5728" s="2" t="s">
        <v>134</v>
      </c>
      <c r="C5728" s="2">
        <v>508.64159999999998</v>
      </c>
      <c r="D5728" s="2">
        <f>HYPERLINK("http://mcb-m6.bioreg.kyushu-u.ac.jp/M3/20110427/F51122/1304/1", 43.42)</f>
        <v>43.42</v>
      </c>
      <c r="E5728" s="2">
        <v>19.66</v>
      </c>
      <c r="F5728" s="2">
        <v>2</v>
      </c>
      <c r="G5728" s="2" t="s">
        <v>14</v>
      </c>
    </row>
    <row r="5729" spans="1:9" x14ac:dyDescent="0.2">
      <c r="A5729" s="2" t="s">
        <v>3345</v>
      </c>
      <c r="B5729" s="2" t="s">
        <v>563</v>
      </c>
      <c r="C5729" s="2">
        <v>721.70669999999996</v>
      </c>
      <c r="D5729" s="2">
        <f>HYPERLINK("http://mcb-m6.bioreg.kyushu-u.ac.jp/M3/20110427/F51122/2092/1", 55.98)</f>
        <v>55.98</v>
      </c>
      <c r="E5729" s="2">
        <v>28.23</v>
      </c>
      <c r="F5729" s="2">
        <v>2</v>
      </c>
      <c r="G5729" s="2" t="s">
        <v>14</v>
      </c>
      <c r="H5729" s="2" t="s">
        <v>4927</v>
      </c>
    </row>
    <row r="5730" spans="1:9" x14ac:dyDescent="0.2">
      <c r="A5730" s="2" t="s">
        <v>3345</v>
      </c>
      <c r="B5730" s="2" t="s">
        <v>563</v>
      </c>
      <c r="C5730" s="2">
        <v>713.38419999999996</v>
      </c>
      <c r="D5730" s="2">
        <f>HYPERLINK("http://mcb-m6.bioreg.kyushu-u.ac.jp/M3/20110427/F51122/2062/1", 68.28)</f>
        <v>68.28</v>
      </c>
      <c r="E5730" s="2">
        <v>52.81</v>
      </c>
      <c r="F5730" s="2">
        <v>2</v>
      </c>
      <c r="G5730" s="2" t="s">
        <v>14</v>
      </c>
    </row>
    <row r="5731" spans="1:9" x14ac:dyDescent="0.2">
      <c r="A5731" s="2" t="s">
        <v>3345</v>
      </c>
      <c r="B5731" s="2" t="s">
        <v>563</v>
      </c>
      <c r="C5731" s="2">
        <v>713.14120000000003</v>
      </c>
      <c r="D5731" s="2">
        <f>HYPERLINK("http://mcb-m6.bioreg.kyushu-u.ac.jp/M3/20110427/F51121/1905/1", 76.08)</f>
        <v>76.08</v>
      </c>
      <c r="E5731" s="2">
        <v>60.18</v>
      </c>
      <c r="F5731" s="2">
        <v>2</v>
      </c>
      <c r="G5731" s="2" t="s">
        <v>14</v>
      </c>
    </row>
    <row r="5732" spans="1:9" x14ac:dyDescent="0.2">
      <c r="A5732" s="2" t="s">
        <v>3345</v>
      </c>
      <c r="B5732" s="2" t="s">
        <v>563</v>
      </c>
      <c r="C5732" s="2">
        <v>721.09310000000005</v>
      </c>
      <c r="D5732" s="2">
        <f>HYPERLINK("http://mcb-m6.bioreg.kyushu-u.ac.jp/M3/20110427/F51121/1941/1", 90.39)</f>
        <v>90.39</v>
      </c>
      <c r="E5732" s="2">
        <v>70.510000000000005</v>
      </c>
      <c r="F5732" s="2">
        <v>2</v>
      </c>
      <c r="G5732" s="2" t="s">
        <v>14</v>
      </c>
      <c r="H5732" s="2" t="s">
        <v>4927</v>
      </c>
    </row>
    <row r="5733" spans="1:9" x14ac:dyDescent="0.2">
      <c r="A5733" s="2" t="s">
        <v>4800</v>
      </c>
      <c r="B5733" s="2" t="s">
        <v>3038</v>
      </c>
      <c r="C5733" s="2">
        <v>645.03560000000004</v>
      </c>
      <c r="D5733" s="2">
        <f>HYPERLINK("http://mcb-m6.bioreg.kyushu-u.ac.jp/M3/20110404/F50753/1641/1", 35.78)</f>
        <v>35.78</v>
      </c>
      <c r="E5733" s="2">
        <v>14.02</v>
      </c>
      <c r="F5733" s="2">
        <v>2</v>
      </c>
      <c r="G5733" s="2" t="s">
        <v>9</v>
      </c>
    </row>
    <row r="5734" spans="1:9" x14ac:dyDescent="0.2">
      <c r="A5734" s="2" t="s">
        <v>4800</v>
      </c>
      <c r="B5734" s="2" t="s">
        <v>3038</v>
      </c>
      <c r="C5734" s="2">
        <v>644.69820000000004</v>
      </c>
      <c r="D5734" s="2">
        <f>HYPERLINK("http://mcb-m6.bioreg.kyushu-u.ac.jp/M3/20110421/F51017/1515/1", 36.66)</f>
        <v>36.659999999999997</v>
      </c>
      <c r="E5734" s="2">
        <v>13.18</v>
      </c>
      <c r="F5734" s="2">
        <v>2</v>
      </c>
      <c r="G5734" s="2" t="s">
        <v>11</v>
      </c>
    </row>
    <row r="5735" spans="1:9" x14ac:dyDescent="0.2">
      <c r="A5735" s="2" t="s">
        <v>3906</v>
      </c>
      <c r="B5735" s="2" t="s">
        <v>1068</v>
      </c>
      <c r="C5735" s="2">
        <v>1221.4469999999999</v>
      </c>
      <c r="D5735" s="2">
        <f>HYPERLINK("http://mcb-m6.bioreg.kyushu-u.ac.jp/M3/20110404/F50755/1431/1", 46.09)</f>
        <v>46.09</v>
      </c>
      <c r="E5735" s="2">
        <v>17.68</v>
      </c>
      <c r="F5735" s="2">
        <v>1</v>
      </c>
      <c r="G5735" s="2" t="s">
        <v>9</v>
      </c>
    </row>
    <row r="5736" spans="1:9" x14ac:dyDescent="0.2">
      <c r="A5736" s="2" t="s">
        <v>3906</v>
      </c>
      <c r="B5736" s="2" t="s">
        <v>1068</v>
      </c>
      <c r="C5736" s="2">
        <v>1221.424</v>
      </c>
      <c r="D5736" s="2">
        <f>HYPERLINK("http://mcb-m6.bioreg.kyushu-u.ac.jp/M3/20110404/F50754/1688/1", 51.91)</f>
        <v>51.91</v>
      </c>
      <c r="E5736" s="2">
        <v>23.47</v>
      </c>
      <c r="F5736" s="2">
        <v>1</v>
      </c>
      <c r="G5736" s="2" t="s">
        <v>9</v>
      </c>
    </row>
    <row r="5737" spans="1:9" x14ac:dyDescent="0.2">
      <c r="A5737" s="2" t="s">
        <v>3906</v>
      </c>
      <c r="B5737" s="2" t="s">
        <v>1068</v>
      </c>
      <c r="C5737" s="2">
        <v>611.89170000000001</v>
      </c>
      <c r="D5737" s="2">
        <f>HYPERLINK("http://mcb-m6.bioreg.kyushu-u.ac.jp/M3/20110421/F51018/1554/1", 44.6)</f>
        <v>44.6</v>
      </c>
      <c r="E5737" s="2">
        <v>25.24</v>
      </c>
      <c r="F5737" s="2">
        <v>2</v>
      </c>
      <c r="G5737" s="2" t="s">
        <v>11</v>
      </c>
    </row>
    <row r="5738" spans="1:9" x14ac:dyDescent="0.2">
      <c r="A5738" s="2" t="s">
        <v>3906</v>
      </c>
      <c r="B5738" s="2" t="s">
        <v>1068</v>
      </c>
      <c r="C5738" s="2">
        <v>611.82510000000002</v>
      </c>
      <c r="D5738" s="2">
        <f>HYPERLINK("http://mcb-m6.bioreg.kyushu-u.ac.jp/M3/20110427/F51113/1457/1", 41.84)</f>
        <v>41.84</v>
      </c>
      <c r="E5738" s="2">
        <v>22.46</v>
      </c>
      <c r="F5738" s="2">
        <v>2</v>
      </c>
      <c r="G5738" s="2" t="s">
        <v>13</v>
      </c>
    </row>
    <row r="5739" spans="1:9" x14ac:dyDescent="0.2">
      <c r="A5739" s="2" t="s">
        <v>3906</v>
      </c>
      <c r="B5739" s="2" t="s">
        <v>1068</v>
      </c>
      <c r="C5739" s="2">
        <v>610.96119999999996</v>
      </c>
      <c r="D5739" s="2">
        <f>HYPERLINK("http://mcb-m6.bioreg.kyushu-u.ac.jp/M3/20110427/F51113/1452/1", 42.48)</f>
        <v>42.48</v>
      </c>
      <c r="E5739" s="2">
        <v>22.63</v>
      </c>
      <c r="F5739" s="2">
        <v>2</v>
      </c>
      <c r="G5739" s="2" t="s">
        <v>13</v>
      </c>
    </row>
    <row r="5740" spans="1:9" x14ac:dyDescent="0.2">
      <c r="A5740" s="2" t="s">
        <v>5597</v>
      </c>
      <c r="B5740" s="2" t="s">
        <v>5146</v>
      </c>
      <c r="C5740" s="2">
        <v>1274.5060000000001</v>
      </c>
      <c r="D5740" s="2">
        <f>HYPERLINK("http://mcb-m6.bioreg.kyushu-u.ac.jp/M3/20110404/F50767/1209/1", 35.11)</f>
        <v>35.11</v>
      </c>
      <c r="E5740" s="2">
        <v>28.85</v>
      </c>
      <c r="F5740" s="2">
        <v>1</v>
      </c>
      <c r="G5740" s="2" t="s">
        <v>9</v>
      </c>
    </row>
    <row r="5741" spans="1:9" x14ac:dyDescent="0.2">
      <c r="A5741" s="2" t="s">
        <v>5597</v>
      </c>
      <c r="B5741" s="2" t="s">
        <v>4997</v>
      </c>
      <c r="C5741" s="2">
        <v>997.16300000000001</v>
      </c>
      <c r="D5741" s="2">
        <f>HYPERLINK("http://mcb-m6.bioreg.kyushu-u.ac.jp/M3/20110404/F50754/1317/1", 36.43)</f>
        <v>36.43</v>
      </c>
      <c r="E5741" s="2">
        <v>17.84</v>
      </c>
      <c r="F5741" s="2">
        <v>1</v>
      </c>
      <c r="G5741" s="2" t="s">
        <v>9</v>
      </c>
    </row>
    <row r="5742" spans="1:9" x14ac:dyDescent="0.2">
      <c r="A5742" s="2" t="s">
        <v>5597</v>
      </c>
      <c r="B5742" s="2" t="s">
        <v>5963</v>
      </c>
      <c r="C5742" s="2">
        <v>672.71619999999996</v>
      </c>
      <c r="D5742" s="2">
        <f>HYPERLINK("http://mcb-m6.bioreg.kyushu-u.ac.jp/M3/20110404/F50767/1339/1", 37.09)</f>
        <v>37.090000000000003</v>
      </c>
      <c r="E5742" s="2">
        <v>25.71</v>
      </c>
      <c r="F5742" s="2">
        <v>2</v>
      </c>
      <c r="G5742" s="2" t="s">
        <v>9</v>
      </c>
      <c r="H5742" s="2" t="s">
        <v>4917</v>
      </c>
    </row>
    <row r="5743" spans="1:9" x14ac:dyDescent="0.2">
      <c r="A5743" s="2" t="s">
        <v>5597</v>
      </c>
      <c r="B5743" s="2" t="s">
        <v>5035</v>
      </c>
      <c r="C5743" s="2">
        <v>826.80070000000001</v>
      </c>
      <c r="D5743" s="2">
        <f>HYPERLINK("http://mcb-m6.bioreg.kyushu-u.ac.jp/M3/20110404/F50767/2146/1", 41.75)</f>
        <v>41.75</v>
      </c>
      <c r="E5743" s="2">
        <v>28.81</v>
      </c>
      <c r="F5743" s="2">
        <v>2</v>
      </c>
      <c r="G5743" s="2" t="s">
        <v>9</v>
      </c>
      <c r="I5743" s="2" t="s">
        <v>4892</v>
      </c>
    </row>
    <row r="5744" spans="1:9" x14ac:dyDescent="0.2">
      <c r="A5744" s="2" t="s">
        <v>5597</v>
      </c>
      <c r="B5744" s="2" t="s">
        <v>5049</v>
      </c>
      <c r="C5744" s="2">
        <v>626.80319999999995</v>
      </c>
      <c r="D5744" s="2">
        <f>HYPERLINK("http://mcb-m6.bioreg.kyushu-u.ac.jp/M3/20110404/F50767/1162/1", 45.34)</f>
        <v>45.34</v>
      </c>
      <c r="E5744" s="2">
        <v>29.85</v>
      </c>
      <c r="F5744" s="2">
        <v>2</v>
      </c>
      <c r="G5744" s="2" t="s">
        <v>9</v>
      </c>
    </row>
    <row r="5745" spans="1:9" x14ac:dyDescent="0.2">
      <c r="A5745" s="2" t="s">
        <v>5597</v>
      </c>
      <c r="B5745" s="2" t="s">
        <v>5011</v>
      </c>
      <c r="C5745" s="2">
        <v>674.62369999999999</v>
      </c>
      <c r="D5745" s="2">
        <f>HYPERLINK("http://mcb-m6.bioreg.kyushu-u.ac.jp/M3/20110404/F50767/1352/1", 45.86)</f>
        <v>45.86</v>
      </c>
      <c r="E5745" s="2">
        <v>24.43</v>
      </c>
      <c r="F5745" s="2">
        <v>2</v>
      </c>
      <c r="G5745" s="2" t="s">
        <v>9</v>
      </c>
    </row>
    <row r="5746" spans="1:9" x14ac:dyDescent="0.2">
      <c r="A5746" s="2" t="s">
        <v>5597</v>
      </c>
      <c r="B5746" s="2" t="s">
        <v>5355</v>
      </c>
      <c r="C5746" s="2">
        <v>1011.905</v>
      </c>
      <c r="D5746" s="2">
        <f>HYPERLINK("http://mcb-m6.bioreg.kyushu-u.ac.jp/M3/20110404/F50767/2937/1", 50.85)</f>
        <v>50.85</v>
      </c>
      <c r="E5746" s="2">
        <v>23</v>
      </c>
      <c r="F5746" s="2">
        <v>2</v>
      </c>
      <c r="G5746" s="2" t="s">
        <v>9</v>
      </c>
    </row>
    <row r="5747" spans="1:9" x14ac:dyDescent="0.2">
      <c r="A5747" s="2" t="s">
        <v>5597</v>
      </c>
      <c r="B5747" s="2" t="s">
        <v>5049</v>
      </c>
      <c r="C5747" s="2">
        <v>626.26819999999998</v>
      </c>
      <c r="D5747" s="2">
        <f>HYPERLINK("http://mcb-m6.bioreg.kyushu-u.ac.jp/M3/20110404/F50767/1161/1", 51.28)</f>
        <v>51.28</v>
      </c>
      <c r="E5747" s="2">
        <v>20.57</v>
      </c>
      <c r="F5747" s="2">
        <v>2</v>
      </c>
      <c r="G5747" s="2" t="s">
        <v>9</v>
      </c>
    </row>
    <row r="5748" spans="1:9" x14ac:dyDescent="0.2">
      <c r="A5748" s="2" t="s">
        <v>5597</v>
      </c>
      <c r="B5748" s="2" t="s">
        <v>6359</v>
      </c>
      <c r="C5748" s="2">
        <v>603.17909999999995</v>
      </c>
      <c r="D5748" s="2">
        <f>HYPERLINK("http://mcb-m6.bioreg.kyushu-u.ac.jp/M3/20110404/F50767/1076/1", 56.24)</f>
        <v>56.24</v>
      </c>
      <c r="E5748" s="2">
        <v>18.079999999999998</v>
      </c>
      <c r="F5748" s="2">
        <v>2</v>
      </c>
      <c r="G5748" s="2" t="s">
        <v>9</v>
      </c>
    </row>
    <row r="5749" spans="1:9" x14ac:dyDescent="0.2">
      <c r="A5749" s="2" t="s">
        <v>5597</v>
      </c>
      <c r="B5749" s="2" t="s">
        <v>5436</v>
      </c>
      <c r="C5749" s="2">
        <v>979.3</v>
      </c>
      <c r="D5749" s="2">
        <f>HYPERLINK("http://mcb-m6.bioreg.kyushu-u.ac.jp/M3/20110404/F50767/770/1", 63.26)</f>
        <v>63.26</v>
      </c>
      <c r="E5749" s="2">
        <v>34.94</v>
      </c>
      <c r="F5749" s="2">
        <v>1</v>
      </c>
      <c r="G5749" s="2" t="s">
        <v>9</v>
      </c>
    </row>
    <row r="5750" spans="1:9" x14ac:dyDescent="0.2">
      <c r="A5750" s="2" t="s">
        <v>5597</v>
      </c>
      <c r="B5750" s="2" t="s">
        <v>5371</v>
      </c>
      <c r="C5750" s="2">
        <v>773.08219999999994</v>
      </c>
      <c r="D5750" s="2">
        <f>HYPERLINK("http://mcb-m6.bioreg.kyushu-u.ac.jp/M3/20110404/F50767/1876/1", 65.34)</f>
        <v>65.34</v>
      </c>
      <c r="E5750" s="2">
        <v>43.47</v>
      </c>
      <c r="F5750" s="2">
        <v>2</v>
      </c>
      <c r="G5750" s="2" t="s">
        <v>9</v>
      </c>
    </row>
    <row r="5751" spans="1:9" x14ac:dyDescent="0.2">
      <c r="A5751" s="2" t="s">
        <v>5597</v>
      </c>
      <c r="B5751" s="2" t="s">
        <v>5146</v>
      </c>
      <c r="C5751" s="2">
        <v>637.19960000000003</v>
      </c>
      <c r="D5751" s="2">
        <f>HYPERLINK("http://mcb-m6.bioreg.kyushu-u.ac.jp/M3/20110404/F50767/1208/1", 67.09)</f>
        <v>67.09</v>
      </c>
      <c r="E5751" s="2">
        <v>48.32</v>
      </c>
      <c r="F5751" s="2">
        <v>2</v>
      </c>
      <c r="G5751" s="2" t="s">
        <v>9</v>
      </c>
    </row>
    <row r="5752" spans="1:9" x14ac:dyDescent="0.2">
      <c r="A5752" s="2" t="s">
        <v>5597</v>
      </c>
      <c r="B5752" s="2" t="s">
        <v>5963</v>
      </c>
      <c r="C5752" s="2">
        <v>665.19569999999999</v>
      </c>
      <c r="D5752" s="2">
        <f>HYPERLINK("http://mcb-m6.bioreg.kyushu-u.ac.jp/M3/20110404/F50767/1303/1", 70.08)</f>
        <v>70.08</v>
      </c>
      <c r="E5752" s="2">
        <v>54.76</v>
      </c>
      <c r="F5752" s="2">
        <v>2</v>
      </c>
      <c r="G5752" s="2" t="s">
        <v>9</v>
      </c>
    </row>
    <row r="5753" spans="1:9" x14ac:dyDescent="0.2">
      <c r="A5753" s="2" t="s">
        <v>5597</v>
      </c>
      <c r="B5753" s="2" t="s">
        <v>5190</v>
      </c>
      <c r="C5753" s="2">
        <v>818.59670000000006</v>
      </c>
      <c r="D5753" s="2">
        <f>HYPERLINK("http://mcb-m6.bioreg.kyushu-u.ac.jp/M3/20110404/F50767/2106/1", 71.1)</f>
        <v>71.099999999999994</v>
      </c>
      <c r="E5753" s="2">
        <v>47.13</v>
      </c>
      <c r="F5753" s="2">
        <v>2</v>
      </c>
      <c r="G5753" s="2" t="s">
        <v>9</v>
      </c>
    </row>
    <row r="5754" spans="1:9" x14ac:dyDescent="0.2">
      <c r="A5754" s="2" t="s">
        <v>5597</v>
      </c>
      <c r="B5754" s="2" t="s">
        <v>5135</v>
      </c>
      <c r="C5754" s="2">
        <v>849.82510000000002</v>
      </c>
      <c r="D5754" s="2">
        <f>HYPERLINK("http://mcb-m6.bioreg.kyushu-u.ac.jp/M3/20110404/F50767/2230/1", 74.46)</f>
        <v>74.459999999999994</v>
      </c>
      <c r="E5754" s="2">
        <v>55.87</v>
      </c>
      <c r="F5754" s="2">
        <v>2</v>
      </c>
      <c r="G5754" s="2" t="s">
        <v>9</v>
      </c>
    </row>
    <row r="5755" spans="1:9" x14ac:dyDescent="0.2">
      <c r="A5755" s="2" t="s">
        <v>5597</v>
      </c>
      <c r="B5755" s="2" t="s">
        <v>5355</v>
      </c>
      <c r="C5755" s="2">
        <v>1011.317</v>
      </c>
      <c r="D5755" s="2">
        <f>HYPERLINK("http://mcb-m6.bioreg.kyushu-u.ac.jp/M3/20110404/F50767/2933/1", 81.13)</f>
        <v>81.13</v>
      </c>
      <c r="E5755" s="2">
        <v>64.92</v>
      </c>
      <c r="F5755" s="2">
        <v>2</v>
      </c>
      <c r="G5755" s="2" t="s">
        <v>9</v>
      </c>
    </row>
    <row r="5756" spans="1:9" x14ac:dyDescent="0.2">
      <c r="A5756" s="2" t="s">
        <v>5597</v>
      </c>
      <c r="B5756" s="2" t="s">
        <v>5062</v>
      </c>
      <c r="C5756" s="2">
        <v>800.58169999999996</v>
      </c>
      <c r="D5756" s="2">
        <f>HYPERLINK("http://mcb-m6.bioreg.kyushu-u.ac.jp/M3/20110404/F50767/2027/1", 87.17)</f>
        <v>87.17</v>
      </c>
      <c r="E5756" s="2">
        <v>73.52</v>
      </c>
      <c r="F5756" s="2">
        <v>2</v>
      </c>
      <c r="G5756" s="2" t="s">
        <v>9</v>
      </c>
      <c r="I5756" s="2" t="s">
        <v>4895</v>
      </c>
    </row>
    <row r="5757" spans="1:9" x14ac:dyDescent="0.2">
      <c r="A5757" s="2" t="s">
        <v>5597</v>
      </c>
      <c r="B5757" s="2" t="s">
        <v>5181</v>
      </c>
      <c r="C5757" s="2">
        <v>794.81769999999995</v>
      </c>
      <c r="D5757" s="2">
        <f>HYPERLINK("http://mcb-m6.bioreg.kyushu-u.ac.jp/M3/20110404/F50767/2002/1", 93.36)</f>
        <v>93.36</v>
      </c>
      <c r="E5757" s="2">
        <v>72.12</v>
      </c>
      <c r="F5757" s="2">
        <v>2</v>
      </c>
      <c r="G5757" s="2" t="s">
        <v>9</v>
      </c>
    </row>
    <row r="5758" spans="1:9" x14ac:dyDescent="0.2">
      <c r="A5758" s="2" t="s">
        <v>5597</v>
      </c>
      <c r="B5758" s="2" t="s">
        <v>5197</v>
      </c>
      <c r="C5758" s="2">
        <v>989.27560000000005</v>
      </c>
      <c r="D5758" s="2">
        <f>HYPERLINK("http://mcb-m6.bioreg.kyushu-u.ac.jp/M3/20110404/F50767/2847/1", 93.49)</f>
        <v>93.49</v>
      </c>
      <c r="E5758" s="2">
        <v>66.31</v>
      </c>
      <c r="F5758" s="2">
        <v>2</v>
      </c>
      <c r="G5758" s="2" t="s">
        <v>9</v>
      </c>
      <c r="I5758" s="2" t="s">
        <v>4895</v>
      </c>
    </row>
    <row r="5759" spans="1:9" x14ac:dyDescent="0.2">
      <c r="A5759" s="2" t="s">
        <v>5597</v>
      </c>
      <c r="B5759" s="2" t="s">
        <v>6638</v>
      </c>
      <c r="C5759" s="2">
        <v>1070.3710000000001</v>
      </c>
      <c r="D5759" s="2">
        <f>HYPERLINK("http://mcb-m6.bioreg.kyushu-u.ac.jp/M3/20110404/F50767/3122/1", 100.76)</f>
        <v>100.76</v>
      </c>
      <c r="E5759" s="2">
        <v>90.82</v>
      </c>
      <c r="F5759" s="2">
        <v>2</v>
      </c>
      <c r="G5759" s="2" t="s">
        <v>9</v>
      </c>
    </row>
    <row r="5760" spans="1:9" x14ac:dyDescent="0.2">
      <c r="A5760" s="2" t="s">
        <v>5597</v>
      </c>
      <c r="B5760" s="2" t="s">
        <v>5073</v>
      </c>
      <c r="C5760" s="2">
        <v>964.21370000000002</v>
      </c>
      <c r="D5760" s="2">
        <f>HYPERLINK("http://mcb-m6.bioreg.kyushu-u.ac.jp/M3/20110404/F50754/2769/1", 120.78)</f>
        <v>120.78</v>
      </c>
      <c r="E5760" s="2">
        <v>91.38</v>
      </c>
      <c r="F5760" s="2">
        <v>2</v>
      </c>
      <c r="G5760" s="2" t="s">
        <v>9</v>
      </c>
    </row>
    <row r="5761" spans="1:9" x14ac:dyDescent="0.2">
      <c r="A5761" s="2" t="s">
        <v>5597</v>
      </c>
      <c r="B5761" s="2" t="s">
        <v>5062</v>
      </c>
      <c r="C5761" s="2">
        <v>800.50919999999996</v>
      </c>
      <c r="D5761" s="2">
        <f>HYPERLINK("http://mcb-m6.bioreg.kyushu-u.ac.jp/M3/20110404/F50774/2133/1", 36.26)</f>
        <v>36.26</v>
      </c>
      <c r="E5761" s="2">
        <v>22.9</v>
      </c>
      <c r="F5761" s="2">
        <v>2</v>
      </c>
      <c r="G5761" s="2" t="s">
        <v>10</v>
      </c>
      <c r="I5761" s="2" t="s">
        <v>4895</v>
      </c>
    </row>
    <row r="5762" spans="1:9" x14ac:dyDescent="0.2">
      <c r="A5762" s="2" t="s">
        <v>5597</v>
      </c>
      <c r="B5762" s="2" t="s">
        <v>5436</v>
      </c>
      <c r="C5762" s="2">
        <v>979.53899999999999</v>
      </c>
      <c r="D5762" s="2">
        <f>HYPERLINK("http://mcb-m6.bioreg.kyushu-u.ac.jp/M3/20110404/F50773/936/1", 39.82)</f>
        <v>39.82</v>
      </c>
      <c r="E5762" s="2">
        <v>14.54</v>
      </c>
      <c r="F5762" s="2">
        <v>1</v>
      </c>
      <c r="G5762" s="2" t="s">
        <v>10</v>
      </c>
    </row>
    <row r="5763" spans="1:9" x14ac:dyDescent="0.2">
      <c r="A5763" s="2" t="s">
        <v>5597</v>
      </c>
      <c r="B5763" s="2" t="s">
        <v>6359</v>
      </c>
      <c r="C5763" s="2">
        <v>1205.654</v>
      </c>
      <c r="D5763" s="2">
        <f>HYPERLINK("http://mcb-m6.bioreg.kyushu-u.ac.jp/M3/20110404/F50773/1263/1", 41.24)</f>
        <v>41.24</v>
      </c>
      <c r="E5763" s="2">
        <v>10.02</v>
      </c>
      <c r="F5763" s="2">
        <v>1</v>
      </c>
      <c r="G5763" s="2" t="s">
        <v>10</v>
      </c>
    </row>
    <row r="5764" spans="1:9" x14ac:dyDescent="0.2">
      <c r="A5764" s="2" t="s">
        <v>5597</v>
      </c>
      <c r="B5764" s="2" t="s">
        <v>5112</v>
      </c>
      <c r="C5764" s="2">
        <v>916.01009999999997</v>
      </c>
      <c r="D5764" s="2">
        <f>HYPERLINK("http://mcb-m6.bioreg.kyushu-u.ac.jp/M3/20110404/F50773/2485/1", 42.79)</f>
        <v>42.79</v>
      </c>
      <c r="E5764" s="2">
        <v>30.58</v>
      </c>
      <c r="F5764" s="2">
        <v>2</v>
      </c>
      <c r="G5764" s="2" t="s">
        <v>10</v>
      </c>
    </row>
    <row r="5765" spans="1:9" x14ac:dyDescent="0.2">
      <c r="A5765" s="2" t="s">
        <v>5597</v>
      </c>
      <c r="B5765" s="2" t="s">
        <v>5035</v>
      </c>
      <c r="C5765" s="2">
        <v>826.90809999999999</v>
      </c>
      <c r="D5765" s="2">
        <f>HYPERLINK("http://mcb-m6.bioreg.kyushu-u.ac.jp/M3/20110404/F50773/2162/1", 47.22)</f>
        <v>47.22</v>
      </c>
      <c r="E5765" s="2">
        <v>33.51</v>
      </c>
      <c r="F5765" s="2">
        <v>2</v>
      </c>
      <c r="G5765" s="2" t="s">
        <v>10</v>
      </c>
      <c r="I5765" s="2" t="s">
        <v>4892</v>
      </c>
    </row>
    <row r="5766" spans="1:9" x14ac:dyDescent="0.2">
      <c r="A5766" s="2" t="s">
        <v>5597</v>
      </c>
      <c r="B5766" s="2" t="s">
        <v>5122</v>
      </c>
      <c r="C5766" s="2">
        <v>833.05470000000003</v>
      </c>
      <c r="D5766" s="2">
        <f>HYPERLINK("http://mcb-m6.bioreg.kyushu-u.ac.jp/M3/20110404/F50773/2180/1", 57.06)</f>
        <v>57.06</v>
      </c>
      <c r="E5766" s="2">
        <v>42.17</v>
      </c>
      <c r="F5766" s="2">
        <v>2</v>
      </c>
      <c r="G5766" s="2" t="s">
        <v>10</v>
      </c>
    </row>
    <row r="5767" spans="1:9" x14ac:dyDescent="0.2">
      <c r="A5767" s="2" t="s">
        <v>5597</v>
      </c>
      <c r="B5767" s="2" t="s">
        <v>5011</v>
      </c>
      <c r="C5767" s="2">
        <v>674.74720000000002</v>
      </c>
      <c r="D5767" s="2">
        <f>HYPERLINK("http://mcb-m6.bioreg.kyushu-u.ac.jp/M3/20110404/F50773/1527/1", 59.87)</f>
        <v>59.87</v>
      </c>
      <c r="E5767" s="2">
        <v>37.67</v>
      </c>
      <c r="F5767" s="2">
        <v>2</v>
      </c>
      <c r="G5767" s="2" t="s">
        <v>10</v>
      </c>
    </row>
    <row r="5768" spans="1:9" x14ac:dyDescent="0.2">
      <c r="A5768" s="2" t="s">
        <v>5597</v>
      </c>
      <c r="B5768" s="2" t="s">
        <v>5135</v>
      </c>
      <c r="C5768" s="2">
        <v>850.4932</v>
      </c>
      <c r="D5768" s="2">
        <f>HYPERLINK("http://mcb-m6.bioreg.kyushu-u.ac.jp/M3/20110404/F50773/2245/1", 70.39)</f>
        <v>70.39</v>
      </c>
      <c r="E5768" s="2">
        <v>41.09</v>
      </c>
      <c r="F5768" s="2">
        <v>2</v>
      </c>
      <c r="G5768" s="2" t="s">
        <v>10</v>
      </c>
    </row>
    <row r="5769" spans="1:9" x14ac:dyDescent="0.2">
      <c r="A5769" s="2" t="s">
        <v>5597</v>
      </c>
      <c r="B5769" s="2" t="s">
        <v>5526</v>
      </c>
      <c r="C5769" s="2">
        <v>802.51509999999996</v>
      </c>
      <c r="D5769" s="2">
        <f>HYPERLINK("http://mcb-m6.bioreg.kyushu-u.ac.jp/M3/20110404/F50773/2080/1", 70.64)</f>
        <v>70.64</v>
      </c>
      <c r="E5769" s="2">
        <v>48.64</v>
      </c>
      <c r="F5769" s="2">
        <v>2</v>
      </c>
      <c r="G5769" s="2" t="s">
        <v>10</v>
      </c>
    </row>
    <row r="5770" spans="1:9" x14ac:dyDescent="0.2">
      <c r="A5770" s="2" t="s">
        <v>5597</v>
      </c>
      <c r="B5770" s="2" t="s">
        <v>5963</v>
      </c>
      <c r="C5770" s="2">
        <v>665.36609999999996</v>
      </c>
      <c r="D5770" s="2">
        <f>HYPERLINK("http://mcb-m6.bioreg.kyushu-u.ac.jp/M3/20110404/F50773/1477/1", 75.87)</f>
        <v>75.87</v>
      </c>
      <c r="E5770" s="2">
        <v>55.88</v>
      </c>
      <c r="F5770" s="2">
        <v>2</v>
      </c>
      <c r="G5770" s="2" t="s">
        <v>10</v>
      </c>
    </row>
    <row r="5771" spans="1:9" x14ac:dyDescent="0.2">
      <c r="A5771" s="2" t="s">
        <v>5597</v>
      </c>
      <c r="B5771" s="2" t="s">
        <v>5181</v>
      </c>
      <c r="C5771" s="2">
        <v>795.40309999999999</v>
      </c>
      <c r="D5771" s="2">
        <f>HYPERLINK("http://mcb-m6.bioreg.kyushu-u.ac.jp/M3/20110404/F50773/2054/1", 75.88)</f>
        <v>75.88</v>
      </c>
      <c r="E5771" s="2">
        <v>57.25</v>
      </c>
      <c r="F5771" s="2">
        <v>2</v>
      </c>
      <c r="G5771" s="2" t="s">
        <v>10</v>
      </c>
    </row>
    <row r="5772" spans="1:9" x14ac:dyDescent="0.2">
      <c r="A5772" s="2" t="s">
        <v>5597</v>
      </c>
      <c r="B5772" s="2" t="s">
        <v>6359</v>
      </c>
      <c r="C5772" s="2">
        <v>603.30470000000003</v>
      </c>
      <c r="D5772" s="2">
        <f>HYPERLINK("http://mcb-m6.bioreg.kyushu-u.ac.jp/M3/20110404/F50773/1262/1", 76.37)</f>
        <v>76.37</v>
      </c>
      <c r="E5772" s="2">
        <v>40.42</v>
      </c>
      <c r="F5772" s="2">
        <v>2</v>
      </c>
      <c r="G5772" s="2" t="s">
        <v>10</v>
      </c>
    </row>
    <row r="5773" spans="1:9" x14ac:dyDescent="0.2">
      <c r="A5773" s="2" t="s">
        <v>5597</v>
      </c>
      <c r="B5773" s="2" t="s">
        <v>5135</v>
      </c>
      <c r="C5773" s="2">
        <v>849.91920000000005</v>
      </c>
      <c r="D5773" s="2">
        <f>HYPERLINK("http://mcb-m6.bioreg.kyushu-u.ac.jp/M3/20110404/F50773/2239/1", 78.4)</f>
        <v>78.400000000000006</v>
      </c>
      <c r="E5773" s="2">
        <v>58.25</v>
      </c>
      <c r="F5773" s="2">
        <v>2</v>
      </c>
      <c r="G5773" s="2" t="s">
        <v>10</v>
      </c>
    </row>
    <row r="5774" spans="1:9" x14ac:dyDescent="0.2">
      <c r="A5774" s="2" t="s">
        <v>5597</v>
      </c>
      <c r="B5774" s="2" t="s">
        <v>5355</v>
      </c>
      <c r="C5774" s="2">
        <v>1011.4640000000001</v>
      </c>
      <c r="D5774" s="2">
        <f>HYPERLINK("http://mcb-m6.bioreg.kyushu-u.ac.jp/M3/20110404/F50773/2803/1", 102.98)</f>
        <v>102.98</v>
      </c>
      <c r="E5774" s="2">
        <v>88.95</v>
      </c>
      <c r="F5774" s="2">
        <v>2</v>
      </c>
      <c r="G5774" s="2" t="s">
        <v>10</v>
      </c>
    </row>
    <row r="5775" spans="1:9" x14ac:dyDescent="0.2">
      <c r="A5775" s="2" t="s">
        <v>5597</v>
      </c>
      <c r="B5775" s="2" t="s">
        <v>6638</v>
      </c>
      <c r="C5775" s="2">
        <v>1070.3219999999999</v>
      </c>
      <c r="D5775" s="2">
        <f>HYPERLINK("http://mcb-m6.bioreg.kyushu-u.ac.jp/M3/20110404/F50773/2954/1", 107.07)</f>
        <v>107.07</v>
      </c>
      <c r="E5775" s="2">
        <v>98.76</v>
      </c>
      <c r="F5775" s="2">
        <v>2</v>
      </c>
      <c r="G5775" s="2" t="s">
        <v>10</v>
      </c>
    </row>
    <row r="5776" spans="1:9" x14ac:dyDescent="0.2">
      <c r="A5776" s="2" t="s">
        <v>5597</v>
      </c>
      <c r="B5776" s="2" t="s">
        <v>5190</v>
      </c>
      <c r="C5776" s="2">
        <v>818.46510000000001</v>
      </c>
      <c r="D5776" s="2">
        <f>HYPERLINK("http://mcb-m6.bioreg.kyushu-u.ac.jp/M3/20110404/F50773/2139/1", 109.1)</f>
        <v>109.1</v>
      </c>
      <c r="E5776" s="2">
        <v>83.09</v>
      </c>
      <c r="F5776" s="2">
        <v>2</v>
      </c>
      <c r="G5776" s="2" t="s">
        <v>10</v>
      </c>
    </row>
    <row r="5777" spans="1:7" x14ac:dyDescent="0.2">
      <c r="A5777" s="2" t="s">
        <v>5597</v>
      </c>
      <c r="B5777" s="2" t="s">
        <v>5312</v>
      </c>
      <c r="C5777" s="2">
        <v>970.42819999999995</v>
      </c>
      <c r="D5777" s="2">
        <f>HYPERLINK("http://mcb-m6.bioreg.kyushu-u.ac.jp/M3/20110404/F50773/2663/1", 110.17)</f>
        <v>110.17</v>
      </c>
      <c r="E5777" s="2">
        <v>89.09</v>
      </c>
      <c r="F5777" s="2">
        <v>2</v>
      </c>
      <c r="G5777" s="2" t="s">
        <v>10</v>
      </c>
    </row>
    <row r="5778" spans="1:7" x14ac:dyDescent="0.2">
      <c r="A5778" s="2" t="s">
        <v>5597</v>
      </c>
      <c r="B5778" s="2" t="s">
        <v>5166</v>
      </c>
      <c r="C5778" s="2">
        <v>803.39009999999996</v>
      </c>
      <c r="D5778" s="2">
        <f>HYPERLINK("http://mcb-m6.bioreg.kyushu-u.ac.jp/M3/20110404/F50773/2084/1", 113.07)</f>
        <v>113.07</v>
      </c>
      <c r="E5778" s="2">
        <v>103.22</v>
      </c>
      <c r="F5778" s="2">
        <v>2</v>
      </c>
      <c r="G5778" s="2" t="s">
        <v>10</v>
      </c>
    </row>
    <row r="5779" spans="1:7" x14ac:dyDescent="0.2">
      <c r="A5779" s="2" t="s">
        <v>5597</v>
      </c>
      <c r="B5779" s="2" t="s">
        <v>7066</v>
      </c>
      <c r="C5779" s="2">
        <v>972.96669999999995</v>
      </c>
      <c r="D5779" s="2">
        <f>HYPERLINK("http://mcb-m6.bioreg.kyushu-u.ac.jp/M3/20110404/F50773/2669/1", 148.76)</f>
        <v>148.76</v>
      </c>
      <c r="E5779" s="2">
        <v>124.33</v>
      </c>
      <c r="F5779" s="2">
        <v>2</v>
      </c>
      <c r="G5779" s="2" t="s">
        <v>10</v>
      </c>
    </row>
    <row r="5780" spans="1:7" x14ac:dyDescent="0.2">
      <c r="A5780" s="2" t="s">
        <v>5597</v>
      </c>
      <c r="B5780" s="2" t="s">
        <v>5049</v>
      </c>
      <c r="C5780" s="2">
        <v>626.15260000000001</v>
      </c>
      <c r="D5780" s="2">
        <f>HYPERLINK("http://mcb-m6.bioreg.kyushu-u.ac.jp/M3/20110421/F51020/1556/1", 42.32)</f>
        <v>42.32</v>
      </c>
      <c r="E5780" s="2">
        <v>32.520000000000003</v>
      </c>
      <c r="F5780" s="2">
        <v>2</v>
      </c>
      <c r="G5780" s="2" t="s">
        <v>11</v>
      </c>
    </row>
    <row r="5781" spans="1:7" x14ac:dyDescent="0.2">
      <c r="A5781" s="2" t="s">
        <v>5597</v>
      </c>
      <c r="B5781" s="2" t="s">
        <v>5269</v>
      </c>
      <c r="C5781" s="2">
        <v>577.12270000000001</v>
      </c>
      <c r="D5781" s="2">
        <f>HYPERLINK("http://mcb-m6.bioreg.kyushu-u.ac.jp/M3/20110421/F51020/1360/1", 43.05)</f>
        <v>43.05</v>
      </c>
      <c r="E5781" s="2">
        <v>21.12</v>
      </c>
      <c r="F5781" s="2">
        <v>2</v>
      </c>
      <c r="G5781" s="2" t="s">
        <v>11</v>
      </c>
    </row>
    <row r="5782" spans="1:7" x14ac:dyDescent="0.2">
      <c r="A5782" s="2" t="s">
        <v>5597</v>
      </c>
      <c r="B5782" s="2" t="s">
        <v>5355</v>
      </c>
      <c r="C5782" s="2">
        <v>1011.076</v>
      </c>
      <c r="D5782" s="2">
        <f>HYPERLINK("http://mcb-m6.bioreg.kyushu-u.ac.jp/M3/20110421/F51020/2978/1", 50.43)</f>
        <v>50.43</v>
      </c>
      <c r="E5782" s="2">
        <v>36.26</v>
      </c>
      <c r="F5782" s="2">
        <v>2</v>
      </c>
      <c r="G5782" s="2" t="s">
        <v>11</v>
      </c>
    </row>
    <row r="5783" spans="1:7" x14ac:dyDescent="0.2">
      <c r="A5783" s="2" t="s">
        <v>5597</v>
      </c>
      <c r="B5783" s="2" t="s">
        <v>5146</v>
      </c>
      <c r="C5783" s="2">
        <v>637.19209999999998</v>
      </c>
      <c r="D5783" s="2">
        <f>HYPERLINK("http://mcb-m6.bioreg.kyushu-u.ac.jp/M3/20110421/F51020/1577/1", 55.84)</f>
        <v>55.84</v>
      </c>
      <c r="E5783" s="2">
        <v>36.380000000000003</v>
      </c>
      <c r="F5783" s="2">
        <v>2</v>
      </c>
      <c r="G5783" s="2" t="s">
        <v>11</v>
      </c>
    </row>
    <row r="5784" spans="1:7" x14ac:dyDescent="0.2">
      <c r="A5784" s="2" t="s">
        <v>5597</v>
      </c>
      <c r="B5784" s="2" t="s">
        <v>5011</v>
      </c>
      <c r="C5784" s="2">
        <v>674.62220000000002</v>
      </c>
      <c r="D5784" s="2">
        <f>HYPERLINK("http://mcb-m6.bioreg.kyushu-u.ac.jp/M3/20110421/F51020/1691/1", 57.84)</f>
        <v>57.84</v>
      </c>
      <c r="E5784" s="2">
        <v>32.299999999999997</v>
      </c>
      <c r="F5784" s="2">
        <v>2</v>
      </c>
      <c r="G5784" s="2" t="s">
        <v>11</v>
      </c>
    </row>
    <row r="5785" spans="1:7" x14ac:dyDescent="0.2">
      <c r="A5785" s="2" t="s">
        <v>5597</v>
      </c>
      <c r="B5785" s="2" t="s">
        <v>5112</v>
      </c>
      <c r="C5785" s="2">
        <v>916.26459999999997</v>
      </c>
      <c r="D5785" s="2">
        <f>HYPERLINK("http://mcb-m6.bioreg.kyushu-u.ac.jp/M3/20110421/F51020/2760/1", 60.91)</f>
        <v>60.91</v>
      </c>
      <c r="E5785" s="2">
        <v>46.47</v>
      </c>
      <c r="F5785" s="2">
        <v>2</v>
      </c>
      <c r="G5785" s="2" t="s">
        <v>11</v>
      </c>
    </row>
    <row r="5786" spans="1:7" x14ac:dyDescent="0.2">
      <c r="A5786" s="2" t="s">
        <v>5597</v>
      </c>
      <c r="B5786" s="2" t="s">
        <v>5355</v>
      </c>
      <c r="C5786" s="2">
        <v>1011.794</v>
      </c>
      <c r="D5786" s="2">
        <f>HYPERLINK("http://mcb-m6.bioreg.kyushu-u.ac.jp/M3/20110421/F51020/2980/1", 76.39)</f>
        <v>76.39</v>
      </c>
      <c r="E5786" s="2">
        <v>57.02</v>
      </c>
      <c r="F5786" s="2">
        <v>2</v>
      </c>
      <c r="G5786" s="2" t="s">
        <v>11</v>
      </c>
    </row>
    <row r="5787" spans="1:7" x14ac:dyDescent="0.2">
      <c r="A5787" s="2" t="s">
        <v>5597</v>
      </c>
      <c r="B5787" s="2" t="s">
        <v>5371</v>
      </c>
      <c r="C5787" s="2">
        <v>772.75459999999998</v>
      </c>
      <c r="D5787" s="2">
        <f>HYPERLINK("http://mcb-m6.bioreg.kyushu-u.ac.jp/M3/20110421/F51020/2180/1", 76.58)</f>
        <v>76.58</v>
      </c>
      <c r="E5787" s="2">
        <v>59.37</v>
      </c>
      <c r="F5787" s="2">
        <v>2</v>
      </c>
      <c r="G5787" s="2" t="s">
        <v>11</v>
      </c>
    </row>
    <row r="5788" spans="1:7" x14ac:dyDescent="0.2">
      <c r="A5788" s="2" t="s">
        <v>5597</v>
      </c>
      <c r="B5788" s="2" t="s">
        <v>5011</v>
      </c>
      <c r="C5788" s="2">
        <v>675.22609999999997</v>
      </c>
      <c r="D5788" s="2">
        <f>HYPERLINK("http://mcb-m6.bioreg.kyushu-u.ac.jp/M3/20110421/F51020/1698/1", 79.45)</f>
        <v>79.45</v>
      </c>
      <c r="E5788" s="2">
        <v>51.1</v>
      </c>
      <c r="F5788" s="2">
        <v>2</v>
      </c>
      <c r="G5788" s="2" t="s">
        <v>11</v>
      </c>
    </row>
    <row r="5789" spans="1:7" x14ac:dyDescent="0.2">
      <c r="A5789" s="2" t="s">
        <v>5597</v>
      </c>
      <c r="B5789" s="2" t="s">
        <v>5181</v>
      </c>
      <c r="C5789" s="2">
        <v>795.37570000000005</v>
      </c>
      <c r="D5789" s="2">
        <f>HYPERLINK("http://mcb-m6.bioreg.kyushu-u.ac.jp/M3/20110421/F51020/2275/1", 83.91)</f>
        <v>83.91</v>
      </c>
      <c r="E5789" s="2">
        <v>64.11</v>
      </c>
      <c r="F5789" s="2">
        <v>2</v>
      </c>
      <c r="G5789" s="2" t="s">
        <v>11</v>
      </c>
    </row>
    <row r="5790" spans="1:7" x14ac:dyDescent="0.2">
      <c r="A5790" s="2" t="s">
        <v>5597</v>
      </c>
      <c r="B5790" s="2" t="s">
        <v>5073</v>
      </c>
      <c r="C5790" s="2">
        <v>964.22919999999999</v>
      </c>
      <c r="D5790" s="2">
        <f>HYPERLINK("http://mcb-m6.bioreg.kyushu-u.ac.jp/M3/20110421/F51018/2911/1", 90.01)</f>
        <v>90.01</v>
      </c>
      <c r="E5790" s="2">
        <v>72.64</v>
      </c>
      <c r="F5790" s="2">
        <v>2</v>
      </c>
      <c r="G5790" s="2" t="s">
        <v>11</v>
      </c>
    </row>
    <row r="5791" spans="1:7" x14ac:dyDescent="0.2">
      <c r="A5791" s="2" t="s">
        <v>5597</v>
      </c>
      <c r="B5791" s="2" t="s">
        <v>5166</v>
      </c>
      <c r="C5791" s="2">
        <v>803.28120000000001</v>
      </c>
      <c r="D5791" s="2">
        <f>HYPERLINK("http://mcb-m6.bioreg.kyushu-u.ac.jp/M3/20110421/F51020/2314/1", 95.1)</f>
        <v>95.1</v>
      </c>
      <c r="E5791" s="2">
        <v>85.99</v>
      </c>
      <c r="F5791" s="2">
        <v>2</v>
      </c>
      <c r="G5791" s="2" t="s">
        <v>11</v>
      </c>
    </row>
    <row r="5792" spans="1:7" x14ac:dyDescent="0.2">
      <c r="A5792" s="2" t="s">
        <v>5597</v>
      </c>
      <c r="B5792" s="2" t="s">
        <v>5073</v>
      </c>
      <c r="C5792" s="2">
        <v>964.7491</v>
      </c>
      <c r="D5792" s="2">
        <f>HYPERLINK("http://mcb-m6.bioreg.kyushu-u.ac.jp/M3/20110421/F51018/2914/1", 98.17)</f>
        <v>98.17</v>
      </c>
      <c r="E5792" s="2">
        <v>69.8</v>
      </c>
      <c r="F5792" s="2">
        <v>2</v>
      </c>
      <c r="G5792" s="2" t="s">
        <v>11</v>
      </c>
    </row>
    <row r="5793" spans="1:9" x14ac:dyDescent="0.2">
      <c r="A5793" s="2" t="s">
        <v>5597</v>
      </c>
      <c r="B5793" s="2" t="s">
        <v>5182</v>
      </c>
      <c r="C5793" s="2">
        <v>978.17219999999998</v>
      </c>
      <c r="D5793" s="2">
        <f>HYPERLINK("http://mcb-m6.bioreg.kyushu-u.ac.jp/M3/20110421/F51020/2890/1", 103.1)</f>
        <v>103.1</v>
      </c>
      <c r="E5793" s="2">
        <v>92.01</v>
      </c>
      <c r="F5793" s="2">
        <v>2</v>
      </c>
      <c r="G5793" s="2" t="s">
        <v>11</v>
      </c>
    </row>
    <row r="5794" spans="1:9" x14ac:dyDescent="0.2">
      <c r="A5794" s="2" t="s">
        <v>5597</v>
      </c>
      <c r="B5794" s="2" t="s">
        <v>5073</v>
      </c>
      <c r="C5794" s="2">
        <v>964.72119999999995</v>
      </c>
      <c r="D5794" s="2">
        <f>HYPERLINK("http://mcb-m6.bioreg.kyushu-u.ac.jp/M3/20110421/F51024/2922/1", 95.48)</f>
        <v>95.48</v>
      </c>
      <c r="E5794" s="2">
        <v>67.14</v>
      </c>
      <c r="F5794" s="2">
        <v>2</v>
      </c>
      <c r="G5794" s="2" t="s">
        <v>12</v>
      </c>
    </row>
    <row r="5795" spans="1:9" x14ac:dyDescent="0.2">
      <c r="A5795" s="2" t="s">
        <v>5597</v>
      </c>
      <c r="B5795" s="2" t="s">
        <v>4997</v>
      </c>
      <c r="C5795" s="2">
        <v>997.33199999999999</v>
      </c>
      <c r="D5795" s="2">
        <f>HYPERLINK("http://mcb-m6.bioreg.kyushu-u.ac.jp/M3/20110427/F51112/1033/1", 38)</f>
        <v>38</v>
      </c>
      <c r="E5795" s="2">
        <v>19.87</v>
      </c>
      <c r="F5795" s="2">
        <v>1</v>
      </c>
      <c r="G5795" s="2" t="s">
        <v>13</v>
      </c>
    </row>
    <row r="5796" spans="1:9" x14ac:dyDescent="0.2">
      <c r="A5796" s="2" t="s">
        <v>5597</v>
      </c>
      <c r="B5796" s="2" t="s">
        <v>5049</v>
      </c>
      <c r="C5796" s="2">
        <v>626.2577</v>
      </c>
      <c r="D5796" s="2">
        <f>HYPERLINK("http://mcb-m6.bioreg.kyushu-u.ac.jp/M3/20110427/F51117/1475/1", 43.54)</f>
        <v>43.54</v>
      </c>
      <c r="E5796" s="2">
        <v>25.98</v>
      </c>
      <c r="F5796" s="2">
        <v>2</v>
      </c>
      <c r="G5796" s="2" t="s">
        <v>13</v>
      </c>
    </row>
    <row r="5797" spans="1:9" x14ac:dyDescent="0.2">
      <c r="A5797" s="2" t="s">
        <v>5597</v>
      </c>
      <c r="B5797" s="2" t="s">
        <v>5512</v>
      </c>
      <c r="C5797" s="2">
        <v>493.10759999999999</v>
      </c>
      <c r="D5797" s="2">
        <f>HYPERLINK("http://mcb-m6.bioreg.kyushu-u.ac.jp/M3/20110427/F51117/983/1", 45.14)</f>
        <v>45.14</v>
      </c>
      <c r="E5797" s="2">
        <v>25.16</v>
      </c>
      <c r="F5797" s="2">
        <v>2</v>
      </c>
      <c r="G5797" s="2" t="s">
        <v>13</v>
      </c>
    </row>
    <row r="5798" spans="1:9" x14ac:dyDescent="0.2">
      <c r="A5798" s="2" t="s">
        <v>5597</v>
      </c>
      <c r="B5798" s="2" t="s">
        <v>5589</v>
      </c>
      <c r="C5798" s="2">
        <v>577.10109999999997</v>
      </c>
      <c r="D5798" s="2">
        <f>HYPERLINK("http://mcb-m6.bioreg.kyushu-u.ac.jp/M3/20110427/F51112/1392/1", 50.02)</f>
        <v>50.02</v>
      </c>
      <c r="E5798" s="2">
        <v>31.94</v>
      </c>
      <c r="F5798" s="2">
        <v>2</v>
      </c>
      <c r="G5798" s="2" t="s">
        <v>13</v>
      </c>
    </row>
    <row r="5799" spans="1:9" x14ac:dyDescent="0.2">
      <c r="A5799" s="2" t="s">
        <v>5597</v>
      </c>
      <c r="B5799" s="2" t="s">
        <v>7377</v>
      </c>
      <c r="C5799" s="2">
        <v>558.75710000000004</v>
      </c>
      <c r="D5799" s="2">
        <f>HYPERLINK("http://mcb-m6.bioreg.kyushu-u.ac.jp/M3/20110427/F51117/1223/1", 52.43)</f>
        <v>52.43</v>
      </c>
      <c r="E5799" s="2">
        <v>10.53</v>
      </c>
      <c r="F5799" s="2">
        <v>2</v>
      </c>
      <c r="G5799" s="2" t="s">
        <v>13</v>
      </c>
    </row>
    <row r="5800" spans="1:9" x14ac:dyDescent="0.2">
      <c r="A5800" s="2" t="s">
        <v>5597</v>
      </c>
      <c r="B5800" s="2" t="s">
        <v>5112</v>
      </c>
      <c r="C5800" s="2">
        <v>915.77009999999996</v>
      </c>
      <c r="D5800" s="2">
        <f>HYPERLINK("http://mcb-m6.bioreg.kyushu-u.ac.jp/M3/20110427/F51117/2765/1", 56.02)</f>
        <v>56.02</v>
      </c>
      <c r="E5800" s="2">
        <v>36.54</v>
      </c>
      <c r="F5800" s="2">
        <v>2</v>
      </c>
      <c r="G5800" s="2" t="s">
        <v>13</v>
      </c>
    </row>
    <row r="5801" spans="1:9" x14ac:dyDescent="0.2">
      <c r="A5801" s="2" t="s">
        <v>5597</v>
      </c>
      <c r="B5801" s="2" t="s">
        <v>5011</v>
      </c>
      <c r="C5801" s="2">
        <v>674.70569999999998</v>
      </c>
      <c r="D5801" s="2">
        <f>HYPERLINK("http://mcb-m6.bioreg.kyushu-u.ac.jp/M3/20110427/F51117/1640/1", 57.81)</f>
        <v>57.81</v>
      </c>
      <c r="E5801" s="2">
        <v>36.89</v>
      </c>
      <c r="F5801" s="2">
        <v>2</v>
      </c>
      <c r="G5801" s="2" t="s">
        <v>13</v>
      </c>
    </row>
    <row r="5802" spans="1:9" x14ac:dyDescent="0.2">
      <c r="A5802" s="2" t="s">
        <v>5597</v>
      </c>
      <c r="B5802" s="2" t="s">
        <v>5135</v>
      </c>
      <c r="C5802" s="2">
        <v>849.82870000000003</v>
      </c>
      <c r="D5802" s="2">
        <f>HYPERLINK("http://mcb-m6.bioreg.kyushu-u.ac.jp/M3/20110427/F51117/2515/1", 59.16)</f>
        <v>59.16</v>
      </c>
      <c r="E5802" s="2">
        <v>42.18</v>
      </c>
      <c r="F5802" s="2">
        <v>2</v>
      </c>
      <c r="G5802" s="2" t="s">
        <v>13</v>
      </c>
    </row>
    <row r="5803" spans="1:9" x14ac:dyDescent="0.2">
      <c r="A5803" s="2" t="s">
        <v>5597</v>
      </c>
      <c r="B5803" s="2" t="s">
        <v>5355</v>
      </c>
      <c r="C5803" s="2">
        <v>1011.284</v>
      </c>
      <c r="D5803" s="2">
        <f>HYPERLINK("http://mcb-m6.bioreg.kyushu-u.ac.jp/M3/20110427/F51117/3014/1", 60.65)</f>
        <v>60.65</v>
      </c>
      <c r="E5803" s="2">
        <v>41.73</v>
      </c>
      <c r="F5803" s="2">
        <v>2</v>
      </c>
      <c r="G5803" s="2" t="s">
        <v>13</v>
      </c>
    </row>
    <row r="5804" spans="1:9" x14ac:dyDescent="0.2">
      <c r="A5804" s="2" t="s">
        <v>5597</v>
      </c>
      <c r="B5804" s="2" t="s">
        <v>5197</v>
      </c>
      <c r="C5804" s="2">
        <v>989.71870000000001</v>
      </c>
      <c r="D5804" s="2">
        <f>HYPERLINK("http://mcb-m6.bioreg.kyushu-u.ac.jp/M3/20110427/F51117/2957/1", 65.01)</f>
        <v>65.010000000000005</v>
      </c>
      <c r="E5804" s="2">
        <v>35.21</v>
      </c>
      <c r="F5804" s="2">
        <v>2</v>
      </c>
      <c r="G5804" s="2" t="s">
        <v>13</v>
      </c>
      <c r="I5804" s="2" t="s">
        <v>4895</v>
      </c>
    </row>
    <row r="5805" spans="1:9" x14ac:dyDescent="0.2">
      <c r="A5805" s="2" t="s">
        <v>5597</v>
      </c>
      <c r="B5805" s="2" t="s">
        <v>5146</v>
      </c>
      <c r="C5805" s="2">
        <v>637.13869999999997</v>
      </c>
      <c r="D5805" s="2">
        <f>HYPERLINK("http://mcb-m6.bioreg.kyushu-u.ac.jp/M3/20110427/F51117/1514/1", 69.77)</f>
        <v>69.77</v>
      </c>
      <c r="E5805" s="2">
        <v>51.25</v>
      </c>
      <c r="F5805" s="2">
        <v>2</v>
      </c>
      <c r="G5805" s="2" t="s">
        <v>13</v>
      </c>
    </row>
    <row r="5806" spans="1:9" x14ac:dyDescent="0.2">
      <c r="A5806" s="2" t="s">
        <v>5597</v>
      </c>
      <c r="B5806" s="2" t="s">
        <v>5355</v>
      </c>
      <c r="C5806" s="2">
        <v>1011.8049999999999</v>
      </c>
      <c r="D5806" s="2">
        <f>HYPERLINK("http://mcb-m6.bioreg.kyushu-u.ac.jp/M3/20110427/F51117/3017/1", 74.4)</f>
        <v>74.400000000000006</v>
      </c>
      <c r="E5806" s="2">
        <v>40.68</v>
      </c>
      <c r="F5806" s="2">
        <v>2</v>
      </c>
      <c r="G5806" s="2" t="s">
        <v>13</v>
      </c>
    </row>
    <row r="5807" spans="1:9" x14ac:dyDescent="0.2">
      <c r="A5807" s="2" t="s">
        <v>5597</v>
      </c>
      <c r="B5807" s="2" t="s">
        <v>5462</v>
      </c>
      <c r="C5807" s="2">
        <v>528.16719999999998</v>
      </c>
      <c r="D5807" s="2">
        <f>HYPERLINK("http://mcb-m6.bioreg.kyushu-u.ac.jp/M3/20110427/F51117/1116/1", 77.04)</f>
        <v>77.040000000000006</v>
      </c>
      <c r="E5807" s="2">
        <v>50.23</v>
      </c>
      <c r="F5807" s="2">
        <v>2</v>
      </c>
      <c r="G5807" s="2" t="s">
        <v>13</v>
      </c>
    </row>
    <row r="5808" spans="1:9" x14ac:dyDescent="0.2">
      <c r="A5808" s="2" t="s">
        <v>5597</v>
      </c>
      <c r="B5808" s="2" t="s">
        <v>5190</v>
      </c>
      <c r="C5808" s="2">
        <v>818.73820000000001</v>
      </c>
      <c r="D5808" s="2">
        <f>HYPERLINK("http://mcb-m6.bioreg.kyushu-u.ac.jp/M3/20110427/F51117/2376/1", 78.48)</f>
        <v>78.48</v>
      </c>
      <c r="E5808" s="2">
        <v>53.61</v>
      </c>
      <c r="F5808" s="2">
        <v>2</v>
      </c>
      <c r="G5808" s="2" t="s">
        <v>13</v>
      </c>
    </row>
    <row r="5809" spans="1:9" x14ac:dyDescent="0.2">
      <c r="A5809" s="2" t="s">
        <v>5597</v>
      </c>
      <c r="B5809" s="2" t="s">
        <v>5197</v>
      </c>
      <c r="C5809" s="2">
        <v>989.19209999999998</v>
      </c>
      <c r="D5809" s="2">
        <f>HYPERLINK("http://mcb-m6.bioreg.kyushu-u.ac.jp/M3/20110427/F51117/2954/1", 81.5)</f>
        <v>81.5</v>
      </c>
      <c r="E5809" s="2">
        <v>52.26</v>
      </c>
      <c r="F5809" s="2">
        <v>2</v>
      </c>
      <c r="G5809" s="2" t="s">
        <v>13</v>
      </c>
      <c r="I5809" s="2" t="s">
        <v>4895</v>
      </c>
    </row>
    <row r="5810" spans="1:9" x14ac:dyDescent="0.2">
      <c r="A5810" s="2" t="s">
        <v>5597</v>
      </c>
      <c r="B5810" s="2" t="s">
        <v>5182</v>
      </c>
      <c r="C5810" s="2">
        <v>978.20169999999996</v>
      </c>
      <c r="D5810" s="2">
        <f>HYPERLINK("http://mcb-m6.bioreg.kyushu-u.ac.jp/M3/20110427/F51117/2925/1", 82.78)</f>
        <v>82.78</v>
      </c>
      <c r="E5810" s="2">
        <v>70.87</v>
      </c>
      <c r="F5810" s="2">
        <v>2</v>
      </c>
      <c r="G5810" s="2" t="s">
        <v>13</v>
      </c>
    </row>
    <row r="5811" spans="1:9" x14ac:dyDescent="0.2">
      <c r="A5811" s="2" t="s">
        <v>5597</v>
      </c>
      <c r="B5811" s="2" t="s">
        <v>5181</v>
      </c>
      <c r="C5811" s="2">
        <v>794.77869999999996</v>
      </c>
      <c r="D5811" s="2">
        <f>HYPERLINK("http://mcb-m6.bioreg.kyushu-u.ac.jp/M3/20110427/F51117/2264/1", 86.23)</f>
        <v>86.23</v>
      </c>
      <c r="E5811" s="2">
        <v>66.61</v>
      </c>
      <c r="F5811" s="2">
        <v>2</v>
      </c>
      <c r="G5811" s="2" t="s">
        <v>13</v>
      </c>
    </row>
    <row r="5812" spans="1:9" x14ac:dyDescent="0.2">
      <c r="A5812" s="2" t="s">
        <v>5597</v>
      </c>
      <c r="B5812" s="2" t="s">
        <v>5166</v>
      </c>
      <c r="C5812" s="2">
        <v>803.48360000000002</v>
      </c>
      <c r="D5812" s="2">
        <f>HYPERLINK("http://mcb-m6.bioreg.kyushu-u.ac.jp/M3/20110427/F51117/2307/1", 86.64)</f>
        <v>86.64</v>
      </c>
      <c r="E5812" s="2">
        <v>79.14</v>
      </c>
      <c r="F5812" s="2">
        <v>2</v>
      </c>
      <c r="G5812" s="2" t="s">
        <v>13</v>
      </c>
    </row>
    <row r="5813" spans="1:9" x14ac:dyDescent="0.2">
      <c r="A5813" s="2" t="s">
        <v>5597</v>
      </c>
      <c r="B5813" s="2" t="s">
        <v>5182</v>
      </c>
      <c r="C5813" s="2">
        <v>978.72170000000006</v>
      </c>
      <c r="D5813" s="2">
        <f>HYPERLINK("http://mcb-m6.bioreg.kyushu-u.ac.jp/M3/20110427/F51117/2926/1", 89.71)</f>
        <v>89.71</v>
      </c>
      <c r="E5813" s="2">
        <v>78.58</v>
      </c>
      <c r="F5813" s="2">
        <v>2</v>
      </c>
      <c r="G5813" s="2" t="s">
        <v>13</v>
      </c>
    </row>
    <row r="5814" spans="1:9" x14ac:dyDescent="0.2">
      <c r="A5814" s="2" t="s">
        <v>5597</v>
      </c>
      <c r="B5814" s="2" t="s">
        <v>5312</v>
      </c>
      <c r="C5814" s="2">
        <v>970.26819999999998</v>
      </c>
      <c r="D5814" s="2">
        <f>HYPERLINK("http://mcb-m6.bioreg.kyushu-u.ac.jp/M3/20110427/F51117/2902/1", 93.61)</f>
        <v>93.61</v>
      </c>
      <c r="E5814" s="2">
        <v>75.98</v>
      </c>
      <c r="F5814" s="2">
        <v>2</v>
      </c>
      <c r="G5814" s="2" t="s">
        <v>13</v>
      </c>
    </row>
    <row r="5815" spans="1:9" x14ac:dyDescent="0.2">
      <c r="A5815" s="2" t="s">
        <v>5597</v>
      </c>
      <c r="B5815" s="2" t="s">
        <v>5184</v>
      </c>
      <c r="C5815" s="2">
        <v>818.22170000000006</v>
      </c>
      <c r="D5815" s="2">
        <f>HYPERLINK("http://mcb-m6.bioreg.kyushu-u.ac.jp/M3/20110427/F51117/2373/1", 118.05)</f>
        <v>118.05</v>
      </c>
      <c r="E5815" s="2">
        <v>91.13</v>
      </c>
      <c r="F5815" s="2">
        <v>2</v>
      </c>
      <c r="G5815" s="2" t="s">
        <v>13</v>
      </c>
      <c r="I5815" s="2" t="s">
        <v>4899</v>
      </c>
    </row>
    <row r="5816" spans="1:9" x14ac:dyDescent="0.2">
      <c r="A5816" s="2" t="s">
        <v>5597</v>
      </c>
      <c r="B5816" s="2" t="s">
        <v>5073</v>
      </c>
      <c r="C5816" s="2">
        <v>964.24069999999995</v>
      </c>
      <c r="D5816" s="2">
        <f>HYPERLINK("http://mcb-m6.bioreg.kyushu-u.ac.jp/M3/20110427/F51112/2991/1", 120.81)</f>
        <v>120.81</v>
      </c>
      <c r="E5816" s="2">
        <v>102.14</v>
      </c>
      <c r="F5816" s="2">
        <v>2</v>
      </c>
      <c r="G5816" s="2" t="s">
        <v>13</v>
      </c>
    </row>
    <row r="5817" spans="1:9" x14ac:dyDescent="0.2">
      <c r="A5817" s="2" t="s">
        <v>5597</v>
      </c>
      <c r="B5817" s="2" t="s">
        <v>4997</v>
      </c>
      <c r="C5817" s="2">
        <v>499.26459999999997</v>
      </c>
      <c r="D5817" s="2">
        <f>HYPERLINK("http://mcb-m6.bioreg.kyushu-u.ac.jp/M3/20110427/F51121/1249/1", 38.64)</f>
        <v>38.64</v>
      </c>
      <c r="E5817" s="2">
        <v>18.64</v>
      </c>
      <c r="F5817" s="2">
        <v>2</v>
      </c>
      <c r="G5817" s="2" t="s">
        <v>14</v>
      </c>
    </row>
    <row r="5818" spans="1:9" x14ac:dyDescent="0.2">
      <c r="A5818" s="2" t="s">
        <v>5597</v>
      </c>
      <c r="B5818" s="2" t="s">
        <v>5146</v>
      </c>
      <c r="C5818" s="2">
        <v>637.1191</v>
      </c>
      <c r="D5818" s="2">
        <f>HYPERLINK("http://mcb-m6.bioreg.kyushu-u.ac.jp/M3/20110428/F51126/1674/1", 46.13)</f>
        <v>46.13</v>
      </c>
      <c r="E5818" s="2">
        <v>18.21</v>
      </c>
      <c r="F5818" s="2">
        <v>2</v>
      </c>
      <c r="G5818" s="2" t="s">
        <v>14</v>
      </c>
    </row>
    <row r="5819" spans="1:9" x14ac:dyDescent="0.2">
      <c r="A5819" s="2" t="s">
        <v>5597</v>
      </c>
      <c r="B5819" s="2" t="s">
        <v>5112</v>
      </c>
      <c r="C5819" s="2">
        <v>916.13869999999997</v>
      </c>
      <c r="D5819" s="2">
        <f>HYPERLINK("http://mcb-m6.bioreg.kyushu-u.ac.jp/M3/20110428/F51126/2788/1", 57.21)</f>
        <v>57.21</v>
      </c>
      <c r="E5819" s="2">
        <v>41.03</v>
      </c>
      <c r="F5819" s="2">
        <v>2</v>
      </c>
      <c r="G5819" s="2" t="s">
        <v>14</v>
      </c>
    </row>
    <row r="5820" spans="1:9" x14ac:dyDescent="0.2">
      <c r="A5820" s="2" t="s">
        <v>5597</v>
      </c>
      <c r="B5820" s="2" t="s">
        <v>5011</v>
      </c>
      <c r="C5820" s="2">
        <v>675.12459999999999</v>
      </c>
      <c r="D5820" s="2">
        <f>HYPERLINK("http://mcb-m6.bioreg.kyushu-u.ac.jp/M3/20110428/F51126/1791/1", 66.43)</f>
        <v>66.430000000000007</v>
      </c>
      <c r="E5820" s="2">
        <v>41.54</v>
      </c>
      <c r="F5820" s="2">
        <v>2</v>
      </c>
      <c r="G5820" s="2" t="s">
        <v>14</v>
      </c>
    </row>
    <row r="5821" spans="1:9" x14ac:dyDescent="0.2">
      <c r="A5821" s="2" t="s">
        <v>5597</v>
      </c>
      <c r="B5821" s="2" t="s">
        <v>5166</v>
      </c>
      <c r="C5821" s="2">
        <v>803.63019999999995</v>
      </c>
      <c r="D5821" s="2">
        <f>HYPERLINK("http://mcb-m6.bioreg.kyushu-u.ac.jp/M3/20110428/F51126/2359/1", 89.29)</f>
        <v>89.29</v>
      </c>
      <c r="E5821" s="2">
        <v>77.47</v>
      </c>
      <c r="F5821" s="2">
        <v>2</v>
      </c>
      <c r="G5821" s="2" t="s">
        <v>14</v>
      </c>
    </row>
    <row r="5822" spans="1:9" x14ac:dyDescent="0.2">
      <c r="A5822" s="2" t="s">
        <v>5597</v>
      </c>
      <c r="B5822" s="2" t="s">
        <v>5166</v>
      </c>
      <c r="C5822" s="2">
        <v>803.12710000000004</v>
      </c>
      <c r="D5822" s="2">
        <f>HYPERLINK("http://mcb-m6.bioreg.kyushu-u.ac.jp/M3/20110428/F51126/2358/1", 99.04)</f>
        <v>99.04</v>
      </c>
      <c r="E5822" s="2">
        <v>87.04</v>
      </c>
      <c r="F5822" s="2">
        <v>2</v>
      </c>
      <c r="G5822" s="2" t="s">
        <v>14</v>
      </c>
    </row>
    <row r="5823" spans="1:9" x14ac:dyDescent="0.2">
      <c r="A5823" s="2" t="s">
        <v>5597</v>
      </c>
      <c r="B5823" s="2" t="s">
        <v>5073</v>
      </c>
      <c r="C5823" s="2">
        <v>964.67570000000001</v>
      </c>
      <c r="D5823" s="2">
        <f>HYPERLINK("http://mcb-m6.bioreg.kyushu-u.ac.jp/M3/20110427/F51121/2613/1", 100.56)</f>
        <v>100.56</v>
      </c>
      <c r="E5823" s="2">
        <v>72.180000000000007</v>
      </c>
      <c r="F5823" s="2">
        <v>2</v>
      </c>
      <c r="G5823" s="2" t="s">
        <v>14</v>
      </c>
    </row>
    <row r="5824" spans="1:9" x14ac:dyDescent="0.2">
      <c r="A5824" s="2" t="s">
        <v>5597</v>
      </c>
      <c r="B5824" s="2" t="s">
        <v>5182</v>
      </c>
      <c r="C5824" s="2">
        <v>978.12620000000004</v>
      </c>
      <c r="D5824" s="2">
        <f>HYPERLINK("http://mcb-m6.bioreg.kyushu-u.ac.jp/M3/20110428/F51126/2943/1", 103.18)</f>
        <v>103.18</v>
      </c>
      <c r="E5824" s="2">
        <v>91.1</v>
      </c>
      <c r="F5824" s="2">
        <v>2</v>
      </c>
      <c r="G5824" s="2" t="s">
        <v>14</v>
      </c>
    </row>
    <row r="5825" spans="1:9" x14ac:dyDescent="0.2">
      <c r="A5825" s="2" t="s">
        <v>5597</v>
      </c>
      <c r="B5825" s="2" t="s">
        <v>5184</v>
      </c>
      <c r="C5825" s="2">
        <v>818.20510000000002</v>
      </c>
      <c r="D5825" s="2">
        <f>HYPERLINK("http://mcb-m6.bioreg.kyushu-u.ac.jp/M3/20110428/F51126/2414/1", 106.36)</f>
        <v>106.36</v>
      </c>
      <c r="E5825" s="2">
        <v>79.91</v>
      </c>
      <c r="F5825" s="2">
        <v>2</v>
      </c>
      <c r="G5825" s="2" t="s">
        <v>14</v>
      </c>
      <c r="I5825" s="2" t="s">
        <v>4899</v>
      </c>
    </row>
    <row r="5826" spans="1:9" x14ac:dyDescent="0.2">
      <c r="A5826" s="2" t="s">
        <v>5597</v>
      </c>
      <c r="B5826" s="2" t="s">
        <v>5181</v>
      </c>
      <c r="C5826" s="2">
        <v>794.64509999999996</v>
      </c>
      <c r="D5826" s="2">
        <f>HYPERLINK("http://mcb-m6.bioreg.kyushu-u.ac.jp/M3/20110428/F51126/2316/1", 107.13)</f>
        <v>107.13</v>
      </c>
      <c r="E5826" s="2">
        <v>88.9</v>
      </c>
      <c r="F5826" s="2">
        <v>2</v>
      </c>
      <c r="G5826" s="2" t="s">
        <v>14</v>
      </c>
    </row>
    <row r="5827" spans="1:9" x14ac:dyDescent="0.2">
      <c r="A5827" s="2" t="s">
        <v>5713</v>
      </c>
      <c r="B5827" s="2" t="s">
        <v>5259</v>
      </c>
      <c r="C5827" s="2">
        <v>515.29110000000003</v>
      </c>
      <c r="D5827" s="2">
        <f>HYPERLINK("http://mcb-m6.bioreg.kyushu-u.ac.jp/M3/20110404/F50754/1393/1", 63.32)</f>
        <v>63.32</v>
      </c>
      <c r="E5827" s="2">
        <v>37.51</v>
      </c>
      <c r="F5827" s="2">
        <v>2</v>
      </c>
      <c r="G5827" s="2" t="s">
        <v>9</v>
      </c>
    </row>
    <row r="5828" spans="1:9" x14ac:dyDescent="0.2">
      <c r="A5828" s="2" t="s">
        <v>5713</v>
      </c>
      <c r="B5828" s="2" t="s">
        <v>5259</v>
      </c>
      <c r="C5828" s="2">
        <v>514.62519999999995</v>
      </c>
      <c r="D5828" s="2">
        <f>HYPERLINK("http://mcb-m6.bioreg.kyushu-u.ac.jp/M3/20110404/F50754/1383/1", 72.33)</f>
        <v>72.33</v>
      </c>
      <c r="E5828" s="2">
        <v>27.09</v>
      </c>
      <c r="F5828" s="2">
        <v>2</v>
      </c>
      <c r="G5828" s="2" t="s">
        <v>9</v>
      </c>
    </row>
    <row r="5829" spans="1:9" x14ac:dyDescent="0.2">
      <c r="A5829" s="2" t="s">
        <v>5713</v>
      </c>
      <c r="B5829" s="2" t="s">
        <v>5259</v>
      </c>
      <c r="C5829" s="2">
        <v>514.67859999999996</v>
      </c>
      <c r="D5829" s="2">
        <f>HYPERLINK("http://mcb-m6.bioreg.kyushu-u.ac.jp/M3/20110421/F51018/1151/1", 73.69)</f>
        <v>73.69</v>
      </c>
      <c r="E5829" s="2">
        <v>42.84</v>
      </c>
      <c r="F5829" s="2">
        <v>2</v>
      </c>
      <c r="G5829" s="2" t="s">
        <v>11</v>
      </c>
    </row>
    <row r="5830" spans="1:9" x14ac:dyDescent="0.2">
      <c r="A5830" s="2" t="s">
        <v>5713</v>
      </c>
      <c r="B5830" s="2" t="s">
        <v>5259</v>
      </c>
      <c r="C5830" s="2">
        <v>514.72609999999997</v>
      </c>
      <c r="D5830" s="2">
        <f>HYPERLINK("http://mcb-m6.bioreg.kyushu-u.ac.jp/M3/20110421/F51024/1241/1", 46.67)</f>
        <v>46.67</v>
      </c>
      <c r="E5830" s="2">
        <v>7.76</v>
      </c>
      <c r="F5830" s="2">
        <v>2</v>
      </c>
      <c r="G5830" s="2" t="s">
        <v>12</v>
      </c>
    </row>
    <row r="5831" spans="1:9" x14ac:dyDescent="0.2">
      <c r="A5831" s="2" t="s">
        <v>5713</v>
      </c>
      <c r="B5831" s="2" t="s">
        <v>5259</v>
      </c>
      <c r="C5831" s="2">
        <v>515.32169999999996</v>
      </c>
      <c r="D5831" s="2">
        <f>HYPERLINK("http://mcb-m6.bioreg.kyushu-u.ac.jp/M3/20110421/F51024/1243/1", 48.45)</f>
        <v>48.45</v>
      </c>
      <c r="E5831" s="2">
        <v>20.98</v>
      </c>
      <c r="F5831" s="2">
        <v>2</v>
      </c>
      <c r="G5831" s="2" t="s">
        <v>12</v>
      </c>
    </row>
    <row r="5832" spans="1:9" x14ac:dyDescent="0.2">
      <c r="A5832" s="2" t="s">
        <v>4726</v>
      </c>
      <c r="B5832" s="2" t="s">
        <v>2932</v>
      </c>
      <c r="C5832" s="2">
        <v>653.7731</v>
      </c>
      <c r="D5832" s="2">
        <f>HYPERLINK("http://mcb-m6.bioreg.kyushu-u.ac.jp/M3/20110404/F50765/1438/1", 59.95)</f>
        <v>59.95</v>
      </c>
      <c r="E5832" s="2">
        <v>46.61</v>
      </c>
      <c r="F5832" s="2">
        <v>2</v>
      </c>
      <c r="G5832" s="2" t="s">
        <v>9</v>
      </c>
    </row>
    <row r="5833" spans="1:9" x14ac:dyDescent="0.2">
      <c r="A5833" s="2" t="s">
        <v>7693</v>
      </c>
      <c r="B5833" s="2" t="s">
        <v>6347</v>
      </c>
      <c r="C5833" s="2">
        <v>752.65620000000001</v>
      </c>
      <c r="D5833" s="2">
        <f>HYPERLINK("http://mcb-m6.bioreg.kyushu-u.ac.jp/M3/20110404/F50766/1621/1", 55.65)</f>
        <v>55.65</v>
      </c>
      <c r="E5833" s="2">
        <v>39.94</v>
      </c>
      <c r="F5833" s="2">
        <v>2</v>
      </c>
      <c r="G5833" s="2" t="s">
        <v>9</v>
      </c>
    </row>
    <row r="5834" spans="1:9" x14ac:dyDescent="0.2">
      <c r="A5834" s="2" t="s">
        <v>7693</v>
      </c>
      <c r="B5834" s="2" t="s">
        <v>6347</v>
      </c>
      <c r="C5834" s="2">
        <v>752.24159999999995</v>
      </c>
      <c r="D5834" s="2">
        <f>HYPERLINK("http://mcb-m6.bioreg.kyushu-u.ac.jp/M3/20110404/F50767/1780/1", 79.61)</f>
        <v>79.61</v>
      </c>
      <c r="E5834" s="2">
        <v>61.24</v>
      </c>
      <c r="F5834" s="2">
        <v>2</v>
      </c>
      <c r="G5834" s="2" t="s">
        <v>9</v>
      </c>
    </row>
    <row r="5835" spans="1:9" x14ac:dyDescent="0.2">
      <c r="A5835" s="2" t="s">
        <v>7693</v>
      </c>
      <c r="B5835" s="2" t="s">
        <v>6347</v>
      </c>
      <c r="C5835" s="2">
        <v>752.66669999999999</v>
      </c>
      <c r="D5835" s="2">
        <f>HYPERLINK("http://mcb-m6.bioreg.kyushu-u.ac.jp/M3/20110404/F50772/1967/1", 52.5)</f>
        <v>52.5</v>
      </c>
      <c r="E5835" s="2">
        <v>36.65</v>
      </c>
      <c r="F5835" s="2">
        <v>2</v>
      </c>
      <c r="G5835" s="2" t="s">
        <v>10</v>
      </c>
    </row>
    <row r="5836" spans="1:9" x14ac:dyDescent="0.2">
      <c r="A5836" s="2" t="s">
        <v>7693</v>
      </c>
      <c r="B5836" s="2" t="s">
        <v>6347</v>
      </c>
      <c r="C5836" s="2">
        <v>752.64170000000001</v>
      </c>
      <c r="D5836" s="2">
        <f>HYPERLINK("http://mcb-m6.bioreg.kyushu-u.ac.jp/M3/20110421/F51020/2096/1", 39.65)</f>
        <v>39.65</v>
      </c>
      <c r="E5836" s="2">
        <v>26.31</v>
      </c>
      <c r="F5836" s="2">
        <v>2</v>
      </c>
      <c r="G5836" s="2" t="s">
        <v>11</v>
      </c>
    </row>
    <row r="5837" spans="1:9" x14ac:dyDescent="0.2">
      <c r="A5837" s="2" t="s">
        <v>7693</v>
      </c>
      <c r="B5837" s="2" t="s">
        <v>6347</v>
      </c>
      <c r="C5837" s="2">
        <v>752.69169999999997</v>
      </c>
      <c r="D5837" s="2">
        <f>HYPERLINK("http://mcb-m6.bioreg.kyushu-u.ac.jp/M3/20110421/F51019/2134/1", 76.08)</f>
        <v>76.08</v>
      </c>
      <c r="E5837" s="2">
        <v>58.49</v>
      </c>
      <c r="F5837" s="2">
        <v>2</v>
      </c>
      <c r="G5837" s="2" t="s">
        <v>11</v>
      </c>
    </row>
    <row r="5838" spans="1:9" x14ac:dyDescent="0.2">
      <c r="A5838" s="2" t="s">
        <v>7693</v>
      </c>
      <c r="B5838" s="2" t="s">
        <v>6347</v>
      </c>
      <c r="C5838" s="2">
        <v>752.72609999999997</v>
      </c>
      <c r="D5838" s="2">
        <f>HYPERLINK("http://mcb-m6.bioreg.kyushu-u.ac.jp/M3/20110421/F51025/2065/1", 61.46)</f>
        <v>61.46</v>
      </c>
      <c r="E5838" s="2">
        <v>43.46</v>
      </c>
      <c r="F5838" s="2">
        <v>2</v>
      </c>
      <c r="G5838" s="2" t="s">
        <v>12</v>
      </c>
    </row>
    <row r="5839" spans="1:9" x14ac:dyDescent="0.2">
      <c r="A5839" s="2" t="s">
        <v>7693</v>
      </c>
      <c r="B5839" s="2" t="s">
        <v>6347</v>
      </c>
      <c r="C5839" s="2">
        <v>752.72469999999998</v>
      </c>
      <c r="D5839" s="2">
        <f>HYPERLINK("http://mcb-m6.bioreg.kyushu-u.ac.jp/M3/20110421/F51026/2108/1", 63.19)</f>
        <v>63.19</v>
      </c>
      <c r="E5839" s="2">
        <v>40.36</v>
      </c>
      <c r="F5839" s="2">
        <v>2</v>
      </c>
      <c r="G5839" s="2" t="s">
        <v>12</v>
      </c>
    </row>
    <row r="5840" spans="1:9" x14ac:dyDescent="0.2">
      <c r="A5840" s="2" t="s">
        <v>7693</v>
      </c>
      <c r="B5840" s="2" t="s">
        <v>6347</v>
      </c>
      <c r="C5840" s="2">
        <v>752.21770000000004</v>
      </c>
      <c r="D5840" s="2">
        <f>HYPERLINK("http://mcb-m6.bioreg.kyushu-u.ac.jp/M3/20110421/F51025/2062/1", 76.89)</f>
        <v>76.89</v>
      </c>
      <c r="E5840" s="2">
        <v>60.1</v>
      </c>
      <c r="F5840" s="2">
        <v>2</v>
      </c>
      <c r="G5840" s="2" t="s">
        <v>12</v>
      </c>
    </row>
    <row r="5841" spans="1:8" x14ac:dyDescent="0.2">
      <c r="A5841" s="2" t="s">
        <v>7693</v>
      </c>
      <c r="B5841" s="2" t="s">
        <v>6347</v>
      </c>
      <c r="C5841" s="2">
        <v>752.54970000000003</v>
      </c>
      <c r="D5841" s="2">
        <f>HYPERLINK("http://mcb-m6.bioreg.kyushu-u.ac.jp/M3/20110427/F51125/2134/1", 36.95)</f>
        <v>36.950000000000003</v>
      </c>
      <c r="E5841" s="2">
        <v>21.64</v>
      </c>
      <c r="F5841" s="2">
        <v>2</v>
      </c>
      <c r="G5841" s="2" t="s">
        <v>14</v>
      </c>
    </row>
    <row r="5842" spans="1:8" x14ac:dyDescent="0.2">
      <c r="A5842" s="2" t="s">
        <v>7756</v>
      </c>
      <c r="B5842" s="2" t="s">
        <v>6562</v>
      </c>
      <c r="C5842" s="2">
        <v>613.75620000000004</v>
      </c>
      <c r="D5842" s="2">
        <f>HYPERLINK("http://mcb-m6.bioreg.kyushu-u.ac.jp/M3/20110404/F50767/1126/1", 80.54)</f>
        <v>80.540000000000006</v>
      </c>
      <c r="E5842" s="2">
        <v>40.31</v>
      </c>
      <c r="F5842" s="2">
        <v>2</v>
      </c>
      <c r="G5842" s="2" t="s">
        <v>9</v>
      </c>
    </row>
    <row r="5843" spans="1:8" x14ac:dyDescent="0.2">
      <c r="A5843" s="2" t="s">
        <v>7756</v>
      </c>
      <c r="B5843" s="2" t="s">
        <v>6562</v>
      </c>
      <c r="C5843" s="2">
        <v>614.1422</v>
      </c>
      <c r="D5843" s="2">
        <f>HYPERLINK("http://mcb-m6.bioreg.kyushu-u.ac.jp/M3/20110404/F50766/932/1", 97.54)</f>
        <v>97.54</v>
      </c>
      <c r="E5843" s="2">
        <v>48.14</v>
      </c>
      <c r="F5843" s="2">
        <v>2</v>
      </c>
      <c r="G5843" s="2" t="s">
        <v>9</v>
      </c>
    </row>
    <row r="5844" spans="1:8" x14ac:dyDescent="0.2">
      <c r="A5844" s="2" t="s">
        <v>7756</v>
      </c>
      <c r="B5844" s="2" t="s">
        <v>6562</v>
      </c>
      <c r="C5844" s="2">
        <v>613.86109999999996</v>
      </c>
      <c r="D5844" s="2">
        <f>HYPERLINK("http://mcb-m6.bioreg.kyushu-u.ac.jp/M3/20110404/F50772/1413/1", 79.22)</f>
        <v>79.22</v>
      </c>
      <c r="E5844" s="2">
        <v>23.85</v>
      </c>
      <c r="F5844" s="2">
        <v>2</v>
      </c>
      <c r="G5844" s="2" t="s">
        <v>10</v>
      </c>
    </row>
    <row r="5845" spans="1:8" x14ac:dyDescent="0.2">
      <c r="A5845" s="2" t="s">
        <v>7756</v>
      </c>
      <c r="B5845" s="2" t="s">
        <v>6562</v>
      </c>
      <c r="C5845" s="2">
        <v>613.76919999999996</v>
      </c>
      <c r="D5845" s="2">
        <f>HYPERLINK("http://mcb-m6.bioreg.kyushu-u.ac.jp/M3/20110404/F50773/1306/1", 108.93)</f>
        <v>108.93</v>
      </c>
      <c r="E5845" s="2">
        <v>49.54</v>
      </c>
      <c r="F5845" s="2">
        <v>2</v>
      </c>
      <c r="G5845" s="2" t="s">
        <v>10</v>
      </c>
    </row>
    <row r="5846" spans="1:8" x14ac:dyDescent="0.2">
      <c r="A5846" s="2" t="s">
        <v>7756</v>
      </c>
      <c r="B5846" s="2" t="s">
        <v>7103</v>
      </c>
      <c r="C5846" s="2">
        <v>504.85660000000001</v>
      </c>
      <c r="D5846" s="2">
        <f>HYPERLINK("http://mcb-m6.bioreg.kyushu-u.ac.jp/M3/20110421/F51020/1064/1", 42.83)</f>
        <v>42.83</v>
      </c>
      <c r="E5846" s="2">
        <v>10.029999999999999</v>
      </c>
      <c r="F5846" s="2">
        <v>2</v>
      </c>
      <c r="G5846" s="2" t="s">
        <v>11</v>
      </c>
    </row>
    <row r="5847" spans="1:8" x14ac:dyDescent="0.2">
      <c r="A5847" s="2" t="s">
        <v>7756</v>
      </c>
      <c r="B5847" s="2" t="s">
        <v>7103</v>
      </c>
      <c r="C5847" s="2">
        <v>504.70909999999998</v>
      </c>
      <c r="D5847" s="2">
        <f>HYPERLINK("http://mcb-m6.bioreg.kyushu-u.ac.jp/M3/20110421/F51026/1285/1", 46.13)</f>
        <v>46.13</v>
      </c>
      <c r="E5847" s="2">
        <v>19.309999999999999</v>
      </c>
      <c r="F5847" s="2">
        <v>2</v>
      </c>
      <c r="G5847" s="2" t="s">
        <v>12</v>
      </c>
    </row>
    <row r="5848" spans="1:8" x14ac:dyDescent="0.2">
      <c r="A5848" s="2" t="s">
        <v>7756</v>
      </c>
      <c r="B5848" s="2" t="s">
        <v>7103</v>
      </c>
      <c r="C5848" s="2">
        <v>504.07810000000001</v>
      </c>
      <c r="D5848" s="2">
        <f>HYPERLINK("http://mcb-m6.bioreg.kyushu-u.ac.jp/M3/20110427/F51117/1019/1", 40.88)</f>
        <v>40.880000000000003</v>
      </c>
      <c r="E5848" s="2">
        <v>14.6</v>
      </c>
      <c r="F5848" s="2">
        <v>2</v>
      </c>
      <c r="G5848" s="2" t="s">
        <v>13</v>
      </c>
    </row>
    <row r="5849" spans="1:8" x14ac:dyDescent="0.2">
      <c r="A5849" s="2" t="s">
        <v>7756</v>
      </c>
      <c r="B5849" s="2" t="s">
        <v>7103</v>
      </c>
      <c r="C5849" s="2">
        <v>504.66559999999998</v>
      </c>
      <c r="D5849" s="2">
        <f>HYPERLINK("http://mcb-m6.bioreg.kyushu-u.ac.jp/M3/20110427/F51117/1020/1", 48.9)</f>
        <v>48.9</v>
      </c>
      <c r="E5849" s="2">
        <v>25.82</v>
      </c>
      <c r="F5849" s="2">
        <v>2</v>
      </c>
      <c r="G5849" s="2" t="s">
        <v>13</v>
      </c>
    </row>
    <row r="5850" spans="1:8" x14ac:dyDescent="0.2">
      <c r="A5850" s="2" t="s">
        <v>4053</v>
      </c>
      <c r="B5850" s="2" t="s">
        <v>6076</v>
      </c>
      <c r="C5850" s="2">
        <v>1166.8630000000001</v>
      </c>
      <c r="D5850" s="2">
        <f>HYPERLINK("http://mcb-m6.bioreg.kyushu-u.ac.jp/M3/20110404/F50766/3788/1", 41.25)</f>
        <v>41.25</v>
      </c>
      <c r="E5850" s="2">
        <v>37.14</v>
      </c>
      <c r="F5850" s="2">
        <v>2</v>
      </c>
      <c r="G5850" s="2" t="s">
        <v>9</v>
      </c>
      <c r="H5850" s="2" t="s">
        <v>4904</v>
      </c>
    </row>
    <row r="5851" spans="1:8" x14ac:dyDescent="0.2">
      <c r="A5851" s="2" t="s">
        <v>4053</v>
      </c>
      <c r="B5851" s="2" t="s">
        <v>1409</v>
      </c>
      <c r="C5851" s="2">
        <v>708.69169999999997</v>
      </c>
      <c r="D5851" s="2">
        <f>HYPERLINK("http://mcb-m6.bioreg.kyushu-u.ac.jp/M3/20110404/F50766/1340/1", 69.42)</f>
        <v>69.42</v>
      </c>
      <c r="E5851" s="2">
        <v>51.84</v>
      </c>
      <c r="F5851" s="2">
        <v>2</v>
      </c>
      <c r="G5851" s="2" t="s">
        <v>9</v>
      </c>
    </row>
    <row r="5852" spans="1:8" x14ac:dyDescent="0.2">
      <c r="A5852" s="2" t="s">
        <v>4053</v>
      </c>
      <c r="B5852" s="2" t="s">
        <v>1409</v>
      </c>
      <c r="C5852" s="2">
        <v>708.18020000000001</v>
      </c>
      <c r="D5852" s="2">
        <f>HYPERLINK("http://mcb-m6.bioreg.kyushu-u.ac.jp/M3/20110404/F50766/1339/1", 73)</f>
        <v>73</v>
      </c>
      <c r="E5852" s="2">
        <v>52.41</v>
      </c>
      <c r="F5852" s="2">
        <v>2</v>
      </c>
      <c r="G5852" s="2" t="s">
        <v>9</v>
      </c>
    </row>
    <row r="5853" spans="1:8" x14ac:dyDescent="0.2">
      <c r="A5853" s="2" t="s">
        <v>4053</v>
      </c>
      <c r="B5853" s="2" t="s">
        <v>6555</v>
      </c>
      <c r="C5853" s="2">
        <v>947.04970000000003</v>
      </c>
      <c r="D5853" s="2">
        <f>HYPERLINK("http://mcb-m6.bioreg.kyushu-u.ac.jp/M3/20110404/F50767/2660/1", 79.24)</f>
        <v>79.239999999999995</v>
      </c>
      <c r="E5853" s="2">
        <v>64.900000000000006</v>
      </c>
      <c r="F5853" s="2">
        <v>2</v>
      </c>
      <c r="G5853" s="2" t="s">
        <v>9</v>
      </c>
    </row>
    <row r="5854" spans="1:8" x14ac:dyDescent="0.2">
      <c r="A5854" s="2" t="s">
        <v>4053</v>
      </c>
      <c r="B5854" s="2" t="s">
        <v>1409</v>
      </c>
      <c r="C5854" s="2">
        <v>708.47059999999999</v>
      </c>
      <c r="D5854" s="2">
        <f>HYPERLINK("http://mcb-m6.bioreg.kyushu-u.ac.jp/M3/20110404/F50773/1697/1", 66.88)</f>
        <v>66.88</v>
      </c>
      <c r="E5854" s="2">
        <v>49.02</v>
      </c>
      <c r="F5854" s="2">
        <v>2</v>
      </c>
      <c r="G5854" s="2" t="s">
        <v>10</v>
      </c>
    </row>
    <row r="5855" spans="1:8" x14ac:dyDescent="0.2">
      <c r="A5855" s="2" t="s">
        <v>4053</v>
      </c>
      <c r="B5855" s="2" t="s">
        <v>1409</v>
      </c>
      <c r="C5855" s="2">
        <v>708.51369999999997</v>
      </c>
      <c r="D5855" s="2">
        <f>HYPERLINK("http://mcb-m6.bioreg.kyushu-u.ac.jp/M3/20110404/F50772/1767/1", 98.79)</f>
        <v>98.79</v>
      </c>
      <c r="E5855" s="2">
        <v>72.14</v>
      </c>
      <c r="F5855" s="2">
        <v>2</v>
      </c>
      <c r="G5855" s="2" t="s">
        <v>10</v>
      </c>
    </row>
    <row r="5856" spans="1:8" x14ac:dyDescent="0.2">
      <c r="A5856" s="2" t="s">
        <v>4053</v>
      </c>
      <c r="B5856" s="2" t="s">
        <v>1409</v>
      </c>
      <c r="C5856" s="2">
        <v>708.26509999999996</v>
      </c>
      <c r="D5856" s="2">
        <f>HYPERLINK("http://mcb-m6.bioreg.kyushu-u.ac.jp/M3/20110421/F51019/1912/1", 49.11)</f>
        <v>49.11</v>
      </c>
      <c r="E5856" s="2">
        <v>35.08</v>
      </c>
      <c r="F5856" s="2">
        <v>2</v>
      </c>
      <c r="G5856" s="2" t="s">
        <v>11</v>
      </c>
    </row>
    <row r="5857" spans="1:9" x14ac:dyDescent="0.2">
      <c r="A5857" s="2" t="s">
        <v>4053</v>
      </c>
      <c r="B5857" s="2" t="s">
        <v>1409</v>
      </c>
      <c r="C5857" s="2">
        <v>708.80319999999995</v>
      </c>
      <c r="D5857" s="2">
        <f>HYPERLINK("http://mcb-m6.bioreg.kyushu-u.ac.jp/M3/20110421/F51019/1914/1", 80.77)</f>
        <v>80.77</v>
      </c>
      <c r="E5857" s="2">
        <v>61.11</v>
      </c>
      <c r="F5857" s="2">
        <v>2</v>
      </c>
      <c r="G5857" s="2" t="s">
        <v>11</v>
      </c>
    </row>
    <row r="5858" spans="1:9" x14ac:dyDescent="0.2">
      <c r="A5858" s="2" t="s">
        <v>4053</v>
      </c>
      <c r="B5858" s="2" t="s">
        <v>1409</v>
      </c>
      <c r="C5858" s="2">
        <v>708.52760000000001</v>
      </c>
      <c r="D5858" s="2">
        <f>HYPERLINK("http://mcb-m6.bioreg.kyushu-u.ac.jp/M3/20110421/F51020/1877/1", 83.98)</f>
        <v>83.98</v>
      </c>
      <c r="E5858" s="2">
        <v>72.959999999999994</v>
      </c>
      <c r="F5858" s="2">
        <v>2</v>
      </c>
      <c r="G5858" s="2" t="s">
        <v>11</v>
      </c>
    </row>
    <row r="5859" spans="1:9" x14ac:dyDescent="0.2">
      <c r="A5859" s="2" t="s">
        <v>4053</v>
      </c>
      <c r="B5859" s="2" t="s">
        <v>1409</v>
      </c>
      <c r="C5859" s="2">
        <v>708.19759999999997</v>
      </c>
      <c r="D5859" s="2">
        <f>HYPERLINK("http://mcb-m6.bioreg.kyushu-u.ac.jp/M3/20110421/F51025/1922/1", 42.94)</f>
        <v>42.94</v>
      </c>
      <c r="E5859" s="2">
        <v>26.89</v>
      </c>
      <c r="F5859" s="2">
        <v>2</v>
      </c>
      <c r="G5859" s="2" t="s">
        <v>12</v>
      </c>
    </row>
    <row r="5860" spans="1:9" x14ac:dyDescent="0.2">
      <c r="A5860" s="2" t="s">
        <v>4053</v>
      </c>
      <c r="B5860" s="2" t="s">
        <v>1409</v>
      </c>
      <c r="C5860" s="2">
        <v>708.27809999999999</v>
      </c>
      <c r="D5860" s="2">
        <f>HYPERLINK("http://mcb-m6.bioreg.kyushu-u.ac.jp/M3/20110421/F51026/1958/1", 49.46)</f>
        <v>49.46</v>
      </c>
      <c r="E5860" s="2">
        <v>38.54</v>
      </c>
      <c r="F5860" s="2">
        <v>2</v>
      </c>
      <c r="G5860" s="2" t="s">
        <v>12</v>
      </c>
    </row>
    <row r="5861" spans="1:9" x14ac:dyDescent="0.2">
      <c r="A5861" s="2" t="s">
        <v>4053</v>
      </c>
      <c r="B5861" s="2" t="s">
        <v>1409</v>
      </c>
      <c r="C5861" s="2">
        <v>708.23469999999998</v>
      </c>
      <c r="D5861" s="2">
        <f>HYPERLINK("http://mcb-m6.bioreg.kyushu-u.ac.jp/M3/20110421/F51026/1957/1", 73.5)</f>
        <v>73.5</v>
      </c>
      <c r="E5861" s="2">
        <v>60.75</v>
      </c>
      <c r="F5861" s="2">
        <v>2</v>
      </c>
      <c r="G5861" s="2" t="s">
        <v>12</v>
      </c>
    </row>
    <row r="5862" spans="1:9" x14ac:dyDescent="0.2">
      <c r="A5862" s="2" t="s">
        <v>4053</v>
      </c>
      <c r="B5862" s="2" t="s">
        <v>1409</v>
      </c>
      <c r="C5862" s="2">
        <v>708.28369999999995</v>
      </c>
      <c r="D5862" s="2">
        <f>HYPERLINK("http://mcb-m6.bioreg.kyushu-u.ac.jp/M3/20110427/F51117/1834/1", 79.47)</f>
        <v>79.47</v>
      </c>
      <c r="E5862" s="2">
        <v>62.53</v>
      </c>
      <c r="F5862" s="2">
        <v>2</v>
      </c>
      <c r="G5862" s="2" t="s">
        <v>13</v>
      </c>
    </row>
    <row r="5863" spans="1:9" x14ac:dyDescent="0.2">
      <c r="A5863" s="2" t="s">
        <v>4053</v>
      </c>
      <c r="B5863" s="2" t="s">
        <v>1409</v>
      </c>
      <c r="C5863" s="2">
        <v>708.78920000000005</v>
      </c>
      <c r="D5863" s="2">
        <f>HYPERLINK("http://mcb-m6.bioreg.kyushu-u.ac.jp/M3/20110427/F51117/1836/1", 84.02)</f>
        <v>84.02</v>
      </c>
      <c r="E5863" s="2">
        <v>66.77</v>
      </c>
      <c r="F5863" s="2">
        <v>2</v>
      </c>
      <c r="G5863" s="2" t="s">
        <v>13</v>
      </c>
    </row>
    <row r="5864" spans="1:9" x14ac:dyDescent="0.2">
      <c r="A5864" s="2" t="s">
        <v>4053</v>
      </c>
      <c r="B5864" s="2" t="s">
        <v>1409</v>
      </c>
      <c r="C5864" s="2">
        <v>708.0607</v>
      </c>
      <c r="D5864" s="2">
        <f>HYPERLINK("http://mcb-m6.bioreg.kyushu-u.ac.jp/M3/20110428/F51126/1924/1", 46.8)</f>
        <v>46.8</v>
      </c>
      <c r="E5864" s="2">
        <v>34.17</v>
      </c>
      <c r="F5864" s="2">
        <v>2</v>
      </c>
      <c r="G5864" s="2" t="s">
        <v>14</v>
      </c>
    </row>
    <row r="5865" spans="1:9" x14ac:dyDescent="0.2">
      <c r="A5865" s="2" t="s">
        <v>8093</v>
      </c>
      <c r="B5865" s="2" t="s">
        <v>7442</v>
      </c>
      <c r="C5865" s="2">
        <v>810.62570000000005</v>
      </c>
      <c r="D5865" s="2">
        <f>HYPERLINK("http://mcb-m6.bioreg.kyushu-u.ac.jp/M3/20110427/F51117/2335/1", 102.95)</f>
        <v>102.95</v>
      </c>
      <c r="E5865" s="2">
        <v>82.24</v>
      </c>
      <c r="F5865" s="2">
        <v>2</v>
      </c>
      <c r="G5865" s="2" t="s">
        <v>13</v>
      </c>
      <c r="I5865" s="2" t="s">
        <v>4893</v>
      </c>
    </row>
    <row r="5866" spans="1:9" x14ac:dyDescent="0.2">
      <c r="A5866" s="2" t="s">
        <v>4279</v>
      </c>
      <c r="B5866" s="2" t="s">
        <v>7111</v>
      </c>
      <c r="C5866" s="2">
        <v>486.26909999999998</v>
      </c>
      <c r="D5866" s="2">
        <f>HYPERLINK("http://mcb-m6.bioreg.kyushu-u.ac.jp/M3/20110421/F51020/979/1", 46.96)</f>
        <v>46.96</v>
      </c>
      <c r="E5866" s="2">
        <v>16.18</v>
      </c>
      <c r="F5866" s="2">
        <v>2</v>
      </c>
      <c r="G5866" s="2" t="s">
        <v>11</v>
      </c>
    </row>
    <row r="5867" spans="1:9" x14ac:dyDescent="0.2">
      <c r="A5867" s="2" t="s">
        <v>8088</v>
      </c>
      <c r="B5867" s="2" t="s">
        <v>7423</v>
      </c>
      <c r="C5867" s="2">
        <v>813.17110000000002</v>
      </c>
      <c r="D5867" s="2">
        <f>HYPERLINK("http://mcb-m6.bioreg.kyushu-u.ac.jp/M3/20110427/F51117/2352/1", 69.55)</f>
        <v>69.55</v>
      </c>
      <c r="E5867" s="2">
        <v>47.35</v>
      </c>
      <c r="F5867" s="2">
        <v>2</v>
      </c>
      <c r="G5867" s="2" t="s">
        <v>13</v>
      </c>
      <c r="I5867" s="2" t="s">
        <v>4957</v>
      </c>
    </row>
    <row r="5868" spans="1:9" x14ac:dyDescent="0.2">
      <c r="A5868" s="2" t="s">
        <v>8088</v>
      </c>
      <c r="B5868" s="2" t="s">
        <v>7423</v>
      </c>
      <c r="C5868" s="2">
        <v>813.30070000000001</v>
      </c>
      <c r="D5868" s="2">
        <f>HYPERLINK("http://mcb-m6.bioreg.kyushu-u.ac.jp/M3/20110428/F51126/2392/1", 35.74)</f>
        <v>35.74</v>
      </c>
      <c r="E5868" s="2">
        <v>15.26</v>
      </c>
      <c r="F5868" s="2">
        <v>2</v>
      </c>
      <c r="G5868" s="2" t="s">
        <v>14</v>
      </c>
      <c r="I5868" s="2" t="s">
        <v>4957</v>
      </c>
    </row>
    <row r="5869" spans="1:9" x14ac:dyDescent="0.2">
      <c r="A5869" s="2" t="s">
        <v>8088</v>
      </c>
      <c r="B5869" s="2" t="s">
        <v>7491</v>
      </c>
      <c r="C5869" s="2">
        <v>527.63959999999997</v>
      </c>
      <c r="D5869" s="2">
        <f>HYPERLINK("http://mcb-m6.bioreg.kyushu-u.ac.jp/M3/20110428/F51126/1266/1", 49.4)</f>
        <v>49.4</v>
      </c>
      <c r="E5869" s="2">
        <v>28.46</v>
      </c>
      <c r="F5869" s="2">
        <v>2</v>
      </c>
      <c r="G5869" s="2" t="s">
        <v>14</v>
      </c>
    </row>
    <row r="5870" spans="1:9" x14ac:dyDescent="0.2">
      <c r="A5870" s="2" t="s">
        <v>7811</v>
      </c>
      <c r="B5870" s="2" t="s">
        <v>6746</v>
      </c>
      <c r="C5870" s="2">
        <v>577.84270000000004</v>
      </c>
      <c r="D5870" s="2">
        <f>HYPERLINK("http://mcb-m6.bioreg.kyushu-u.ac.jp/M3/20110404/F50773/1179/1", 39.83)</f>
        <v>39.83</v>
      </c>
      <c r="E5870" s="2">
        <v>21.23</v>
      </c>
      <c r="F5870" s="2">
        <v>2</v>
      </c>
      <c r="G5870" s="2" t="s">
        <v>10</v>
      </c>
    </row>
    <row r="5871" spans="1:9" x14ac:dyDescent="0.2">
      <c r="A5871" s="2" t="s">
        <v>7811</v>
      </c>
      <c r="B5871" s="2" t="s">
        <v>6746</v>
      </c>
      <c r="C5871" s="2">
        <v>577.96720000000005</v>
      </c>
      <c r="D5871" s="2">
        <f>HYPERLINK("http://mcb-m6.bioreg.kyushu-u.ac.jp/M3/20110404/F50772/1262/1", 41.61)</f>
        <v>41.61</v>
      </c>
      <c r="E5871" s="2">
        <v>16.010000000000002</v>
      </c>
      <c r="F5871" s="2">
        <v>2</v>
      </c>
      <c r="G5871" s="2" t="s">
        <v>10</v>
      </c>
    </row>
    <row r="5872" spans="1:9" x14ac:dyDescent="0.2">
      <c r="A5872" s="2" t="s">
        <v>7811</v>
      </c>
      <c r="B5872" s="2" t="s">
        <v>6746</v>
      </c>
      <c r="C5872" s="2">
        <v>1154.7850000000001</v>
      </c>
      <c r="D5872" s="2">
        <f>HYPERLINK("http://mcb-m6.bioreg.kyushu-u.ac.jp/M3/20110404/F50772/1260/1", 67.05)</f>
        <v>67.05</v>
      </c>
      <c r="E5872" s="2">
        <v>47.75</v>
      </c>
      <c r="F5872" s="2">
        <v>1</v>
      </c>
      <c r="G5872" s="2" t="s">
        <v>10</v>
      </c>
    </row>
    <row r="5873" spans="1:7" x14ac:dyDescent="0.2">
      <c r="A5873" s="2" t="s">
        <v>3461</v>
      </c>
      <c r="B5873" s="2" t="s">
        <v>6099</v>
      </c>
      <c r="C5873" s="2">
        <v>484.16160000000002</v>
      </c>
      <c r="D5873" s="2">
        <f>HYPERLINK("http://mcb-m6.bioreg.kyushu-u.ac.jp/M3/20110404/F50766/451/1", 42.33)</f>
        <v>42.33</v>
      </c>
      <c r="E5873" s="2">
        <v>24.37</v>
      </c>
      <c r="F5873" s="2">
        <v>2</v>
      </c>
      <c r="G5873" s="2" t="s">
        <v>9</v>
      </c>
    </row>
    <row r="5874" spans="1:7" x14ac:dyDescent="0.2">
      <c r="A5874" s="2" t="s">
        <v>3461</v>
      </c>
      <c r="B5874" s="2" t="s">
        <v>6321</v>
      </c>
      <c r="C5874" s="2">
        <v>803.25959999999998</v>
      </c>
      <c r="D5874" s="2">
        <f>HYPERLINK("http://mcb-m6.bioreg.kyushu-u.ac.jp/M3/20110404/F50767/2042/1", 52.94)</f>
        <v>52.94</v>
      </c>
      <c r="E5874" s="2">
        <v>34.799999999999997</v>
      </c>
      <c r="F5874" s="2">
        <v>2</v>
      </c>
      <c r="G5874" s="2" t="s">
        <v>9</v>
      </c>
    </row>
    <row r="5875" spans="1:7" x14ac:dyDescent="0.2">
      <c r="A5875" s="2" t="s">
        <v>3461</v>
      </c>
      <c r="B5875" s="2" t="s">
        <v>5579</v>
      </c>
      <c r="C5875" s="2">
        <v>718.23069999999996</v>
      </c>
      <c r="D5875" s="2">
        <f>HYPERLINK("http://mcb-m6.bioreg.kyushu-u.ac.jp/M3/20110404/F50767/1613/1", 56.91)</f>
        <v>56.91</v>
      </c>
      <c r="E5875" s="2">
        <v>35.56</v>
      </c>
      <c r="F5875" s="2">
        <v>2</v>
      </c>
      <c r="G5875" s="2" t="s">
        <v>9</v>
      </c>
    </row>
    <row r="5876" spans="1:7" x14ac:dyDescent="0.2">
      <c r="A5876" s="2" t="s">
        <v>3461</v>
      </c>
      <c r="B5876" s="2" t="s">
        <v>2771</v>
      </c>
      <c r="C5876" s="2">
        <v>969.94870000000003</v>
      </c>
      <c r="D5876" s="2">
        <f>HYPERLINK("http://mcb-m6.bioreg.kyushu-u.ac.jp/M3/20110404/F50767/2758/1", 76.13)</f>
        <v>76.13</v>
      </c>
      <c r="E5876" s="2">
        <v>64.14</v>
      </c>
      <c r="F5876" s="2">
        <v>2</v>
      </c>
      <c r="G5876" s="2" t="s">
        <v>9</v>
      </c>
    </row>
    <row r="5877" spans="1:7" x14ac:dyDescent="0.2">
      <c r="A5877" s="2" t="s">
        <v>3461</v>
      </c>
      <c r="B5877" s="2" t="s">
        <v>6653</v>
      </c>
      <c r="C5877" s="2">
        <v>1272.8630000000001</v>
      </c>
      <c r="D5877" s="2">
        <f>HYPERLINK("http://mcb-m6.bioreg.kyushu-u.ac.jp/M3/20110404/F50766/4120/1", 108.91)</f>
        <v>108.91</v>
      </c>
      <c r="E5877" s="2">
        <v>103.68</v>
      </c>
      <c r="F5877" s="2">
        <v>2</v>
      </c>
      <c r="G5877" s="2" t="s">
        <v>9</v>
      </c>
    </row>
    <row r="5878" spans="1:7" x14ac:dyDescent="0.2">
      <c r="A5878" s="2" t="s">
        <v>3461</v>
      </c>
      <c r="B5878" s="2" t="s">
        <v>2771</v>
      </c>
      <c r="C5878" s="2">
        <v>969.28020000000004</v>
      </c>
      <c r="D5878" s="2">
        <f>HYPERLINK("http://mcb-m6.bioreg.kyushu-u.ac.jp/M3/20110404/F50766/2846/1", 116.05)</f>
        <v>116.05</v>
      </c>
      <c r="E5878" s="2">
        <v>96.03</v>
      </c>
      <c r="F5878" s="2">
        <v>2</v>
      </c>
      <c r="G5878" s="2" t="s">
        <v>9</v>
      </c>
    </row>
    <row r="5879" spans="1:7" x14ac:dyDescent="0.2">
      <c r="A5879" s="2" t="s">
        <v>3461</v>
      </c>
      <c r="B5879" s="2" t="s">
        <v>6718</v>
      </c>
      <c r="C5879" s="2">
        <v>1072.7059999999999</v>
      </c>
      <c r="D5879" s="2">
        <f>HYPERLINK("http://mcb-m6.bioreg.kyushu-u.ac.jp/M3/20110404/F50772/1149/1", 37.67)</f>
        <v>37.67</v>
      </c>
      <c r="E5879" s="2">
        <v>25.93</v>
      </c>
      <c r="F5879" s="2">
        <v>1</v>
      </c>
      <c r="G5879" s="2" t="s">
        <v>10</v>
      </c>
    </row>
    <row r="5880" spans="1:7" x14ac:dyDescent="0.2">
      <c r="A5880" s="2" t="s">
        <v>3461</v>
      </c>
      <c r="B5880" s="2" t="s">
        <v>5579</v>
      </c>
      <c r="C5880" s="2">
        <v>718.3492</v>
      </c>
      <c r="D5880" s="2">
        <f>HYPERLINK("http://mcb-m6.bioreg.kyushu-u.ac.jp/M3/20110404/F50773/1762/1", 55.04)</f>
        <v>55.04</v>
      </c>
      <c r="E5880" s="2">
        <v>33.700000000000003</v>
      </c>
      <c r="F5880" s="2">
        <v>2</v>
      </c>
      <c r="G5880" s="2" t="s">
        <v>10</v>
      </c>
    </row>
    <row r="5881" spans="1:7" x14ac:dyDescent="0.2">
      <c r="A5881" s="2" t="s">
        <v>3461</v>
      </c>
      <c r="B5881" s="2" t="s">
        <v>2771</v>
      </c>
      <c r="C5881" s="2">
        <v>969.75019999999995</v>
      </c>
      <c r="D5881" s="2">
        <f>HYPERLINK("http://mcb-m6.bioreg.kyushu-u.ac.jp/M3/20110404/F50774/2635/1", 57.14)</f>
        <v>57.14</v>
      </c>
      <c r="E5881" s="2">
        <v>46.94</v>
      </c>
      <c r="F5881" s="2">
        <v>2</v>
      </c>
      <c r="G5881" s="2" t="s">
        <v>10</v>
      </c>
    </row>
    <row r="5882" spans="1:7" x14ac:dyDescent="0.2">
      <c r="A5882" s="2" t="s">
        <v>3461</v>
      </c>
      <c r="B5882" s="2" t="s">
        <v>272</v>
      </c>
      <c r="C5882" s="2">
        <v>900.87220000000002</v>
      </c>
      <c r="D5882" s="2">
        <f>HYPERLINK("http://mcb-m6.bioreg.kyushu-u.ac.jp/M3/20110404/F50773/2432/1", 58.18)</f>
        <v>58.18</v>
      </c>
      <c r="E5882" s="2">
        <v>47.67</v>
      </c>
      <c r="F5882" s="2">
        <v>2</v>
      </c>
      <c r="G5882" s="2" t="s">
        <v>10</v>
      </c>
    </row>
    <row r="5883" spans="1:7" x14ac:dyDescent="0.2">
      <c r="A5883" s="2" t="s">
        <v>3461</v>
      </c>
      <c r="B5883" s="2" t="s">
        <v>2771</v>
      </c>
      <c r="C5883" s="2">
        <v>646.98850000000004</v>
      </c>
      <c r="D5883" s="2">
        <f>HYPERLINK("http://mcb-m6.bioreg.kyushu-u.ac.jp/M3/20110404/F50773/2661/1", 62.33)</f>
        <v>62.33</v>
      </c>
      <c r="E5883" s="2">
        <v>47.4</v>
      </c>
      <c r="F5883" s="2">
        <v>3</v>
      </c>
      <c r="G5883" s="2" t="s">
        <v>10</v>
      </c>
    </row>
    <row r="5884" spans="1:7" x14ac:dyDescent="0.2">
      <c r="A5884" s="2" t="s">
        <v>3461</v>
      </c>
      <c r="B5884" s="2" t="s">
        <v>2771</v>
      </c>
      <c r="C5884" s="2">
        <v>646.74620000000004</v>
      </c>
      <c r="D5884" s="2">
        <f>HYPERLINK("http://mcb-m6.bioreg.kyushu-u.ac.jp/M3/20110404/F50772/2797/1", 66.35)</f>
        <v>66.349999999999994</v>
      </c>
      <c r="E5884" s="2">
        <v>51.45</v>
      </c>
      <c r="F5884" s="2">
        <v>3</v>
      </c>
      <c r="G5884" s="2" t="s">
        <v>10</v>
      </c>
    </row>
    <row r="5885" spans="1:7" x14ac:dyDescent="0.2">
      <c r="A5885" s="2" t="s">
        <v>3461</v>
      </c>
      <c r="B5885" s="2" t="s">
        <v>5579</v>
      </c>
      <c r="C5885" s="2">
        <v>718.44569999999999</v>
      </c>
      <c r="D5885" s="2">
        <f>HYPERLINK("http://mcb-m6.bioreg.kyushu-u.ac.jp/M3/20110404/F50772/1832/1", 69.47)</f>
        <v>69.47</v>
      </c>
      <c r="E5885" s="2">
        <v>57.71</v>
      </c>
      <c r="F5885" s="2">
        <v>2</v>
      </c>
      <c r="G5885" s="2" t="s">
        <v>10</v>
      </c>
    </row>
    <row r="5886" spans="1:7" x14ac:dyDescent="0.2">
      <c r="A5886" s="2" t="s">
        <v>3461</v>
      </c>
      <c r="B5886" s="2" t="s">
        <v>272</v>
      </c>
      <c r="C5886" s="2">
        <v>901.08920000000001</v>
      </c>
      <c r="D5886" s="2">
        <f>HYPERLINK("http://mcb-m6.bioreg.kyushu-u.ac.jp/M3/20110404/F50772/2552/1", 73.24)</f>
        <v>73.239999999999995</v>
      </c>
      <c r="E5886" s="2">
        <v>63.09</v>
      </c>
      <c r="F5886" s="2">
        <v>2</v>
      </c>
      <c r="G5886" s="2" t="s">
        <v>10</v>
      </c>
    </row>
    <row r="5887" spans="1:7" x14ac:dyDescent="0.2">
      <c r="A5887" s="2" t="s">
        <v>3461</v>
      </c>
      <c r="B5887" s="2" t="s">
        <v>7008</v>
      </c>
      <c r="C5887" s="2">
        <v>957.95820000000003</v>
      </c>
      <c r="D5887" s="2">
        <f>HYPERLINK("http://mcb-m6.bioreg.kyushu-u.ac.jp/M3/20110404/F50772/2759/1", 78.58)</f>
        <v>78.58</v>
      </c>
      <c r="E5887" s="2">
        <v>60.51</v>
      </c>
      <c r="F5887" s="2">
        <v>2</v>
      </c>
      <c r="G5887" s="2" t="s">
        <v>10</v>
      </c>
    </row>
    <row r="5888" spans="1:7" x14ac:dyDescent="0.2">
      <c r="A5888" s="2" t="s">
        <v>3461</v>
      </c>
      <c r="B5888" s="2" t="s">
        <v>2771</v>
      </c>
      <c r="C5888" s="2">
        <v>969.64009999999996</v>
      </c>
      <c r="D5888" s="2">
        <f>HYPERLINK("http://mcb-m6.bioreg.kyushu-u.ac.jp/M3/20110404/F50773/2659/1", 79.37)</f>
        <v>79.37</v>
      </c>
      <c r="E5888" s="2">
        <v>66.540000000000006</v>
      </c>
      <c r="F5888" s="2">
        <v>2</v>
      </c>
      <c r="G5888" s="2" t="s">
        <v>10</v>
      </c>
    </row>
    <row r="5889" spans="1:7" x14ac:dyDescent="0.2">
      <c r="A5889" s="2" t="s">
        <v>3461</v>
      </c>
      <c r="B5889" s="2" t="s">
        <v>2771</v>
      </c>
      <c r="C5889" s="2">
        <v>969.5231</v>
      </c>
      <c r="D5889" s="2">
        <f>HYPERLINK("http://mcb-m6.bioreg.kyushu-u.ac.jp/M3/20110404/F50772/2796/1", 85.58)</f>
        <v>85.58</v>
      </c>
      <c r="E5889" s="2">
        <v>73.47</v>
      </c>
      <c r="F5889" s="2">
        <v>2</v>
      </c>
      <c r="G5889" s="2" t="s">
        <v>10</v>
      </c>
    </row>
    <row r="5890" spans="1:7" x14ac:dyDescent="0.2">
      <c r="A5890" s="2" t="s">
        <v>3461</v>
      </c>
      <c r="B5890" s="2" t="s">
        <v>7008</v>
      </c>
      <c r="C5890" s="2">
        <v>957.4452</v>
      </c>
      <c r="D5890" s="2">
        <f>HYPERLINK("http://mcb-m6.bioreg.kyushu-u.ac.jp/M3/20110404/F50772/2757/1", 88.45)</f>
        <v>88.45</v>
      </c>
      <c r="E5890" s="2">
        <v>77.930000000000007</v>
      </c>
      <c r="F5890" s="2">
        <v>2</v>
      </c>
      <c r="G5890" s="2" t="s">
        <v>10</v>
      </c>
    </row>
    <row r="5891" spans="1:7" x14ac:dyDescent="0.2">
      <c r="A5891" s="2" t="s">
        <v>3461</v>
      </c>
      <c r="B5891" s="2" t="s">
        <v>2771</v>
      </c>
      <c r="C5891" s="2">
        <v>970.05219999999997</v>
      </c>
      <c r="D5891" s="2">
        <f>HYPERLINK("http://mcb-m6.bioreg.kyushu-u.ac.jp/M3/20110404/F50772/2799/1", 90.86)</f>
        <v>90.86</v>
      </c>
      <c r="E5891" s="2">
        <v>72.67</v>
      </c>
      <c r="F5891" s="2">
        <v>2</v>
      </c>
      <c r="G5891" s="2" t="s">
        <v>10</v>
      </c>
    </row>
    <row r="5892" spans="1:7" x14ac:dyDescent="0.2">
      <c r="A5892" s="2" t="s">
        <v>3461</v>
      </c>
      <c r="B5892" s="2" t="s">
        <v>6653</v>
      </c>
      <c r="C5892" s="2">
        <v>1272.9939999999999</v>
      </c>
      <c r="D5892" s="2">
        <f>HYPERLINK("http://mcb-m6.bioreg.kyushu-u.ac.jp/M3/20110404/F50772/3389/1", 116.29)</f>
        <v>116.29</v>
      </c>
      <c r="E5892" s="2">
        <v>104.13</v>
      </c>
      <c r="F5892" s="2">
        <v>2</v>
      </c>
      <c r="G5892" s="2" t="s">
        <v>10</v>
      </c>
    </row>
    <row r="5893" spans="1:7" x14ac:dyDescent="0.2">
      <c r="A5893" s="2" t="s">
        <v>3461</v>
      </c>
      <c r="B5893" s="2" t="s">
        <v>272</v>
      </c>
      <c r="C5893" s="2">
        <v>900.87270000000001</v>
      </c>
      <c r="D5893" s="2">
        <f>HYPERLINK("http://mcb-m6.bioreg.kyushu-u.ac.jp/M3/20110421/F51020/2711/1", 50.43)</f>
        <v>50.43</v>
      </c>
      <c r="E5893" s="2">
        <v>40.42</v>
      </c>
      <c r="F5893" s="2">
        <v>2</v>
      </c>
      <c r="G5893" s="2" t="s">
        <v>11</v>
      </c>
    </row>
    <row r="5894" spans="1:7" x14ac:dyDescent="0.2">
      <c r="A5894" s="2" t="s">
        <v>3461</v>
      </c>
      <c r="B5894" s="2" t="s">
        <v>5579</v>
      </c>
      <c r="C5894" s="2">
        <v>717.69920000000002</v>
      </c>
      <c r="D5894" s="2">
        <f>HYPERLINK("http://mcb-m6.bioreg.kyushu-u.ac.jp/M3/20110421/F51020/1928/1", 70.2)</f>
        <v>70.2</v>
      </c>
      <c r="E5894" s="2">
        <v>57.44</v>
      </c>
      <c r="F5894" s="2">
        <v>2</v>
      </c>
      <c r="G5894" s="2" t="s">
        <v>11</v>
      </c>
    </row>
    <row r="5895" spans="1:7" x14ac:dyDescent="0.2">
      <c r="A5895" s="2" t="s">
        <v>3461</v>
      </c>
      <c r="B5895" s="2" t="s">
        <v>2037</v>
      </c>
      <c r="C5895" s="2">
        <v>701.29420000000005</v>
      </c>
      <c r="D5895" s="2">
        <f>HYPERLINK("http://mcb-m6.bioreg.kyushu-u.ac.jp/M3/20110421/F51020/1847/1", 70.94)</f>
        <v>70.94</v>
      </c>
      <c r="E5895" s="2">
        <v>32.479999999999997</v>
      </c>
      <c r="F5895" s="2">
        <v>2</v>
      </c>
      <c r="G5895" s="2" t="s">
        <v>11</v>
      </c>
    </row>
    <row r="5896" spans="1:7" x14ac:dyDescent="0.2">
      <c r="A5896" s="2" t="s">
        <v>3461</v>
      </c>
      <c r="B5896" s="2" t="s">
        <v>2037</v>
      </c>
      <c r="C5896" s="2">
        <v>700.6472</v>
      </c>
      <c r="D5896" s="2">
        <f>HYPERLINK("http://mcb-m6.bioreg.kyushu-u.ac.jp/M3/20110421/F51020/1844/1", 79.84)</f>
        <v>79.84</v>
      </c>
      <c r="E5896" s="2">
        <v>39.92</v>
      </c>
      <c r="F5896" s="2">
        <v>2</v>
      </c>
      <c r="G5896" s="2" t="s">
        <v>11</v>
      </c>
    </row>
    <row r="5897" spans="1:7" x14ac:dyDescent="0.2">
      <c r="A5897" s="2" t="s">
        <v>3461</v>
      </c>
      <c r="B5897" s="2" t="s">
        <v>5579</v>
      </c>
      <c r="C5897" s="2">
        <v>718.23170000000005</v>
      </c>
      <c r="D5897" s="2">
        <f>HYPERLINK("http://mcb-m6.bioreg.kyushu-u.ac.jp/M3/20110421/F51019/1966/1", 86.9)</f>
        <v>86.9</v>
      </c>
      <c r="E5897" s="2">
        <v>74.98</v>
      </c>
      <c r="F5897" s="2">
        <v>2</v>
      </c>
      <c r="G5897" s="2" t="s">
        <v>11</v>
      </c>
    </row>
    <row r="5898" spans="1:7" x14ac:dyDescent="0.2">
      <c r="A5898" s="2" t="s">
        <v>3461</v>
      </c>
      <c r="B5898" s="2" t="s">
        <v>5579</v>
      </c>
      <c r="C5898" s="2">
        <v>718.20370000000003</v>
      </c>
      <c r="D5898" s="2">
        <f>HYPERLINK("http://mcb-m6.bioreg.kyushu-u.ac.jp/M3/20110421/F51020/1933/1", 89.07)</f>
        <v>89.07</v>
      </c>
      <c r="E5898" s="2">
        <v>72.64</v>
      </c>
      <c r="F5898" s="2">
        <v>2</v>
      </c>
      <c r="G5898" s="2" t="s">
        <v>11</v>
      </c>
    </row>
    <row r="5899" spans="1:7" x14ac:dyDescent="0.2">
      <c r="A5899" s="2" t="s">
        <v>3461</v>
      </c>
      <c r="B5899" s="2" t="s">
        <v>2037</v>
      </c>
      <c r="C5899" s="2">
        <v>701.28219999999999</v>
      </c>
      <c r="D5899" s="2">
        <f>HYPERLINK("http://mcb-m6.bioreg.kyushu-u.ac.jp/M3/20110421/F51025/1902/1", 46.26)</f>
        <v>46.26</v>
      </c>
      <c r="E5899" s="2">
        <v>22.97</v>
      </c>
      <c r="F5899" s="2">
        <v>2</v>
      </c>
      <c r="G5899" s="2" t="s">
        <v>12</v>
      </c>
    </row>
    <row r="5900" spans="1:7" x14ac:dyDescent="0.2">
      <c r="A5900" s="2" t="s">
        <v>3461</v>
      </c>
      <c r="B5900" s="2" t="s">
        <v>5579</v>
      </c>
      <c r="C5900" s="2">
        <v>718.32169999999996</v>
      </c>
      <c r="D5900" s="2">
        <f>HYPERLINK("http://mcb-m6.bioreg.kyushu-u.ac.jp/M3/20110421/F51025/1957/1", 54.03)</f>
        <v>54.03</v>
      </c>
      <c r="E5900" s="2">
        <v>39.33</v>
      </c>
      <c r="F5900" s="2">
        <v>2</v>
      </c>
      <c r="G5900" s="2" t="s">
        <v>12</v>
      </c>
    </row>
    <row r="5901" spans="1:7" x14ac:dyDescent="0.2">
      <c r="A5901" s="2" t="s">
        <v>3461</v>
      </c>
      <c r="B5901" s="2" t="s">
        <v>7233</v>
      </c>
      <c r="C5901" s="2">
        <v>1171.5419999999999</v>
      </c>
      <c r="D5901" s="2">
        <f>HYPERLINK("http://mcb-m6.bioreg.kyushu-u.ac.jp/M3/20110421/F51025/3046/1", 54.62)</f>
        <v>54.62</v>
      </c>
      <c r="E5901" s="2">
        <v>48.24</v>
      </c>
      <c r="F5901" s="2">
        <v>2</v>
      </c>
      <c r="G5901" s="2" t="s">
        <v>12</v>
      </c>
    </row>
    <row r="5902" spans="1:7" x14ac:dyDescent="0.2">
      <c r="A5902" s="2" t="s">
        <v>3461</v>
      </c>
      <c r="B5902" s="2" t="s">
        <v>2037</v>
      </c>
      <c r="C5902" s="2">
        <v>700.7731</v>
      </c>
      <c r="D5902" s="2">
        <f>HYPERLINK("http://mcb-m6.bioreg.kyushu-u.ac.jp/M3/20110421/F51025/1900/1", 57.27)</f>
        <v>57.27</v>
      </c>
      <c r="E5902" s="2">
        <v>22.3</v>
      </c>
      <c r="F5902" s="2">
        <v>2</v>
      </c>
      <c r="G5902" s="2" t="s">
        <v>12</v>
      </c>
    </row>
    <row r="5903" spans="1:7" x14ac:dyDescent="0.2">
      <c r="A5903" s="2" t="s">
        <v>3461</v>
      </c>
      <c r="B5903" s="2" t="s">
        <v>272</v>
      </c>
      <c r="C5903" s="2">
        <v>900.8492</v>
      </c>
      <c r="D5903" s="2">
        <f>HYPERLINK("http://mcb-m6.bioreg.kyushu-u.ac.jp/M3/20110421/F51025/2554/1", 63.39)</f>
        <v>63.39</v>
      </c>
      <c r="E5903" s="2">
        <v>54.71</v>
      </c>
      <c r="F5903" s="2">
        <v>2</v>
      </c>
      <c r="G5903" s="2" t="s">
        <v>12</v>
      </c>
    </row>
    <row r="5904" spans="1:7" x14ac:dyDescent="0.2">
      <c r="A5904" s="2" t="s">
        <v>3461</v>
      </c>
      <c r="B5904" s="2" t="s">
        <v>5579</v>
      </c>
      <c r="C5904" s="2">
        <v>717.74019999999996</v>
      </c>
      <c r="D5904" s="2">
        <f>HYPERLINK("http://mcb-m6.bioreg.kyushu-u.ac.jp/M3/20110421/F51025/1951/1", 67.79)</f>
        <v>67.790000000000006</v>
      </c>
      <c r="E5904" s="2">
        <v>58.08</v>
      </c>
      <c r="F5904" s="2">
        <v>2</v>
      </c>
      <c r="G5904" s="2" t="s">
        <v>12</v>
      </c>
    </row>
    <row r="5905" spans="1:7" x14ac:dyDescent="0.2">
      <c r="A5905" s="2" t="s">
        <v>3461</v>
      </c>
      <c r="B5905" s="2" t="s">
        <v>5579</v>
      </c>
      <c r="C5905" s="2">
        <v>717.77170000000001</v>
      </c>
      <c r="D5905" s="2">
        <f>HYPERLINK("http://mcb-m6.bioreg.kyushu-u.ac.jp/M3/20110421/F51026/1988/1", 74.88)</f>
        <v>74.88</v>
      </c>
      <c r="E5905" s="2">
        <v>63.32</v>
      </c>
      <c r="F5905" s="2">
        <v>2</v>
      </c>
      <c r="G5905" s="2" t="s">
        <v>12</v>
      </c>
    </row>
    <row r="5906" spans="1:7" x14ac:dyDescent="0.2">
      <c r="A5906" s="2" t="s">
        <v>3461</v>
      </c>
      <c r="B5906" s="2" t="s">
        <v>272</v>
      </c>
      <c r="C5906" s="2">
        <v>901.34469999999999</v>
      </c>
      <c r="D5906" s="2">
        <f>HYPERLINK("http://mcb-m6.bioreg.kyushu-u.ac.jp/M3/20110427/F51117/2716/1", 47.52)</f>
        <v>47.52</v>
      </c>
      <c r="E5906" s="2">
        <v>38.159999999999997</v>
      </c>
      <c r="F5906" s="2">
        <v>2</v>
      </c>
      <c r="G5906" s="2" t="s">
        <v>13</v>
      </c>
    </row>
    <row r="5907" spans="1:7" x14ac:dyDescent="0.2">
      <c r="A5907" s="2" t="s">
        <v>3461</v>
      </c>
      <c r="B5907" s="2" t="s">
        <v>6321</v>
      </c>
      <c r="C5907" s="2">
        <v>803.32259999999997</v>
      </c>
      <c r="D5907" s="2">
        <f>HYPERLINK("http://mcb-m6.bioreg.kyushu-u.ac.jp/M3/20110427/F51115/2278/1", 48)</f>
        <v>48</v>
      </c>
      <c r="E5907" s="2">
        <v>33.4</v>
      </c>
      <c r="F5907" s="2">
        <v>2</v>
      </c>
      <c r="G5907" s="2" t="s">
        <v>13</v>
      </c>
    </row>
    <row r="5908" spans="1:7" x14ac:dyDescent="0.2">
      <c r="A5908" s="2" t="s">
        <v>3461</v>
      </c>
      <c r="B5908" s="2" t="s">
        <v>5579</v>
      </c>
      <c r="C5908" s="2">
        <v>717.67269999999996</v>
      </c>
      <c r="D5908" s="2">
        <f>HYPERLINK("http://mcb-m6.bioreg.kyushu-u.ac.jp/M3/20110427/F51117/1883/1", 50.9)</f>
        <v>50.9</v>
      </c>
      <c r="E5908" s="2">
        <v>40.24</v>
      </c>
      <c r="F5908" s="2">
        <v>2</v>
      </c>
      <c r="G5908" s="2" t="s">
        <v>13</v>
      </c>
    </row>
    <row r="5909" spans="1:7" x14ac:dyDescent="0.2">
      <c r="A5909" s="2" t="s">
        <v>3461</v>
      </c>
      <c r="B5909" s="2" t="s">
        <v>272</v>
      </c>
      <c r="C5909" s="2">
        <v>601.30579999999998</v>
      </c>
      <c r="D5909" s="2">
        <f>HYPERLINK("http://mcb-m6.bioreg.kyushu-u.ac.jp/M3/20110427/F51117/2717/1", 51.3)</f>
        <v>51.3</v>
      </c>
      <c r="E5909" s="2">
        <v>36.47</v>
      </c>
      <c r="F5909" s="2">
        <v>3</v>
      </c>
      <c r="G5909" s="2" t="s">
        <v>13</v>
      </c>
    </row>
    <row r="5910" spans="1:7" x14ac:dyDescent="0.2">
      <c r="A5910" s="2" t="s">
        <v>3461</v>
      </c>
      <c r="B5910" s="2" t="s">
        <v>7408</v>
      </c>
      <c r="C5910" s="2">
        <v>494.70859999999999</v>
      </c>
      <c r="D5910" s="2">
        <f>HYPERLINK("http://mcb-m6.bioreg.kyushu-u.ac.jp/M3/20110427/F51117/987/1", 61.59)</f>
        <v>61.59</v>
      </c>
      <c r="E5910" s="2">
        <v>26.34</v>
      </c>
      <c r="F5910" s="2">
        <v>2</v>
      </c>
      <c r="G5910" s="2" t="s">
        <v>13</v>
      </c>
    </row>
    <row r="5911" spans="1:7" x14ac:dyDescent="0.2">
      <c r="A5911" s="2" t="s">
        <v>3461</v>
      </c>
      <c r="B5911" s="2" t="s">
        <v>7008</v>
      </c>
      <c r="C5911" s="2">
        <v>957.81709999999998</v>
      </c>
      <c r="D5911" s="2">
        <f>HYPERLINK("http://mcb-m6.bioreg.kyushu-u.ac.jp/M3/20110427/F51117/2871/1", 83.13)</f>
        <v>83.13</v>
      </c>
      <c r="E5911" s="2">
        <v>67.89</v>
      </c>
      <c r="F5911" s="2">
        <v>2</v>
      </c>
      <c r="G5911" s="2" t="s">
        <v>13</v>
      </c>
    </row>
    <row r="5912" spans="1:7" x14ac:dyDescent="0.2">
      <c r="A5912" s="2" t="s">
        <v>3461</v>
      </c>
      <c r="B5912" s="2" t="s">
        <v>7008</v>
      </c>
      <c r="C5912" s="2">
        <v>957.74019999999996</v>
      </c>
      <c r="D5912" s="2">
        <f>HYPERLINK("http://mcb-m6.bioreg.kyushu-u.ac.jp/M3/20110427/F51116/2933/1", 90.94)</f>
        <v>90.94</v>
      </c>
      <c r="E5912" s="2">
        <v>60.27</v>
      </c>
      <c r="F5912" s="2">
        <v>2</v>
      </c>
      <c r="G5912" s="2" t="s">
        <v>13</v>
      </c>
    </row>
    <row r="5913" spans="1:7" x14ac:dyDescent="0.2">
      <c r="A5913" s="2" t="s">
        <v>3461</v>
      </c>
      <c r="B5913" s="2" t="s">
        <v>7233</v>
      </c>
      <c r="C5913" s="2">
        <v>1171.8779999999999</v>
      </c>
      <c r="D5913" s="2">
        <f>HYPERLINK("http://mcb-m6.bioreg.kyushu-u.ac.jp/M3/20110427/F51125/3241/1", 60.74)</f>
        <v>60.74</v>
      </c>
      <c r="E5913" s="2">
        <v>50.68</v>
      </c>
      <c r="F5913" s="2">
        <v>2</v>
      </c>
      <c r="G5913" s="2" t="s">
        <v>14</v>
      </c>
    </row>
    <row r="5914" spans="1:7" x14ac:dyDescent="0.2">
      <c r="A5914" s="2" t="s">
        <v>3461</v>
      </c>
      <c r="B5914" s="2" t="s">
        <v>7233</v>
      </c>
      <c r="C5914" s="2">
        <v>1171.2629999999999</v>
      </c>
      <c r="D5914" s="2">
        <f>HYPERLINK("http://mcb-m6.bioreg.kyushu-u.ac.jp/M3/20110428/F51126/3279/1", 67.91)</f>
        <v>67.91</v>
      </c>
      <c r="E5914" s="2">
        <v>56.43</v>
      </c>
      <c r="F5914" s="2">
        <v>2</v>
      </c>
      <c r="G5914" s="2" t="s">
        <v>14</v>
      </c>
    </row>
    <row r="5915" spans="1:7" x14ac:dyDescent="0.2">
      <c r="A5915" s="2" t="s">
        <v>3461</v>
      </c>
      <c r="B5915" s="2" t="s">
        <v>2771</v>
      </c>
      <c r="C5915" s="2">
        <v>969.82460000000003</v>
      </c>
      <c r="D5915" s="2">
        <f>HYPERLINK("http://mcb-m6.bioreg.kyushu-u.ac.jp/M3/20110428/F51126/2922/1", 69.28)</f>
        <v>69.28</v>
      </c>
      <c r="E5915" s="2">
        <v>50.17</v>
      </c>
      <c r="F5915" s="2">
        <v>2</v>
      </c>
      <c r="G5915" s="2" t="s">
        <v>14</v>
      </c>
    </row>
    <row r="5916" spans="1:7" x14ac:dyDescent="0.2">
      <c r="A5916" s="2" t="s">
        <v>3461</v>
      </c>
      <c r="B5916" s="2" t="s">
        <v>2771</v>
      </c>
      <c r="C5916" s="2">
        <v>969.29719999999998</v>
      </c>
      <c r="D5916" s="2">
        <f>HYPERLINK("http://mcb-m6.bioreg.kyushu-u.ac.jp/M3/20110428/F51126/2919/1", 75.51)</f>
        <v>75.510000000000005</v>
      </c>
      <c r="E5916" s="2">
        <v>60.49</v>
      </c>
      <c r="F5916" s="2">
        <v>2</v>
      </c>
      <c r="G5916" s="2" t="s">
        <v>14</v>
      </c>
    </row>
    <row r="5917" spans="1:7" x14ac:dyDescent="0.2">
      <c r="A5917" s="2" t="s">
        <v>3461</v>
      </c>
      <c r="B5917" s="2" t="s">
        <v>7233</v>
      </c>
      <c r="C5917" s="2">
        <v>1171.8230000000001</v>
      </c>
      <c r="D5917" s="2">
        <f>HYPERLINK("http://mcb-m6.bioreg.kyushu-u.ac.jp/M3/20110428/F51126/3280/1", 80.51)</f>
        <v>80.510000000000005</v>
      </c>
      <c r="E5917" s="2">
        <v>69.08</v>
      </c>
      <c r="F5917" s="2">
        <v>2</v>
      </c>
      <c r="G5917" s="2" t="s">
        <v>14</v>
      </c>
    </row>
    <row r="5918" spans="1:7" x14ac:dyDescent="0.2">
      <c r="A5918" s="2" t="s">
        <v>3461</v>
      </c>
      <c r="B5918" s="2" t="s">
        <v>5579</v>
      </c>
      <c r="C5918" s="2">
        <v>718.10569999999996</v>
      </c>
      <c r="D5918" s="2">
        <f>HYPERLINK("http://mcb-m6.bioreg.kyushu-u.ac.jp/M3/20110428/F51126/1977/1", 81.93)</f>
        <v>81.93</v>
      </c>
      <c r="E5918" s="2">
        <v>69.11</v>
      </c>
      <c r="F5918" s="2">
        <v>2</v>
      </c>
      <c r="G5918" s="2" t="s">
        <v>14</v>
      </c>
    </row>
    <row r="5919" spans="1:7" x14ac:dyDescent="0.2">
      <c r="A5919" s="2" t="s">
        <v>3461</v>
      </c>
      <c r="B5919" s="2" t="s">
        <v>5579</v>
      </c>
      <c r="C5919" s="2">
        <v>717.59969999999998</v>
      </c>
      <c r="D5919" s="2">
        <f>HYPERLINK("http://mcb-m6.bioreg.kyushu-u.ac.jp/M3/20110427/F51125/1979/1", 83.26)</f>
        <v>83.26</v>
      </c>
      <c r="E5919" s="2">
        <v>61.78</v>
      </c>
      <c r="F5919" s="2">
        <v>2</v>
      </c>
      <c r="G5919" s="2" t="s">
        <v>14</v>
      </c>
    </row>
    <row r="5920" spans="1:7" x14ac:dyDescent="0.2">
      <c r="A5920" s="2" t="s">
        <v>3461</v>
      </c>
      <c r="B5920" s="2" t="s">
        <v>7008</v>
      </c>
      <c r="C5920" s="2">
        <v>957.69870000000003</v>
      </c>
      <c r="D5920" s="2">
        <f>HYPERLINK("http://mcb-m6.bioreg.kyushu-u.ac.jp/M3/20110428/F51126/2896/1", 83.49)</f>
        <v>83.49</v>
      </c>
      <c r="E5920" s="2">
        <v>66.27</v>
      </c>
      <c r="F5920" s="2">
        <v>2</v>
      </c>
      <c r="G5920" s="2" t="s">
        <v>14</v>
      </c>
    </row>
    <row r="5921" spans="1:9" x14ac:dyDescent="0.2">
      <c r="A5921" s="2" t="s">
        <v>3461</v>
      </c>
      <c r="B5921" s="2" t="s">
        <v>7008</v>
      </c>
      <c r="C5921" s="2">
        <v>957.12959999999998</v>
      </c>
      <c r="D5921" s="2">
        <f>HYPERLINK("http://mcb-m6.bioreg.kyushu-u.ac.jp/M3/20110428/F51126/2893/1", 83.67)</f>
        <v>83.67</v>
      </c>
      <c r="E5921" s="2">
        <v>63.74</v>
      </c>
      <c r="F5921" s="2">
        <v>2</v>
      </c>
      <c r="G5921" s="2" t="s">
        <v>14</v>
      </c>
    </row>
    <row r="5922" spans="1:9" x14ac:dyDescent="0.2">
      <c r="A5922" s="2" t="s">
        <v>3461</v>
      </c>
      <c r="B5922" s="2" t="s">
        <v>5579</v>
      </c>
      <c r="C5922" s="2">
        <v>718.17219999999998</v>
      </c>
      <c r="D5922" s="2">
        <f>HYPERLINK("http://mcb-m6.bioreg.kyushu-u.ac.jp/M3/20110427/F51125/1983/1", 85.31)</f>
        <v>85.31</v>
      </c>
      <c r="E5922" s="2">
        <v>69.2</v>
      </c>
      <c r="F5922" s="2">
        <v>2</v>
      </c>
      <c r="G5922" s="2" t="s">
        <v>14</v>
      </c>
    </row>
    <row r="5923" spans="1:9" x14ac:dyDescent="0.2">
      <c r="A5923" s="2" t="s">
        <v>4026</v>
      </c>
      <c r="B5923" s="2" t="s">
        <v>5958</v>
      </c>
      <c r="C5923" s="2">
        <v>1234.1469999999999</v>
      </c>
      <c r="D5923" s="2">
        <f>HYPERLINK("http://mcb-m6.bioreg.kyushu-u.ac.jp/M3/20110404/F50766/4026/1", 36.97)</f>
        <v>36.97</v>
      </c>
      <c r="E5923" s="2">
        <v>29.8</v>
      </c>
      <c r="F5923" s="2">
        <v>2</v>
      </c>
      <c r="G5923" s="2" t="s">
        <v>9</v>
      </c>
    </row>
    <row r="5924" spans="1:9" x14ac:dyDescent="0.2">
      <c r="A5924" s="2" t="s">
        <v>4026</v>
      </c>
      <c r="B5924" s="2" t="s">
        <v>6154</v>
      </c>
      <c r="C5924" s="2">
        <v>686.87149999999997</v>
      </c>
      <c r="D5924" s="2">
        <f>HYPERLINK("http://mcb-m6.bioreg.kyushu-u.ac.jp/M3/20110404/F50766/3136/1", 44.59)</f>
        <v>44.59</v>
      </c>
      <c r="E5924" s="2">
        <v>33.18</v>
      </c>
      <c r="F5924" s="2">
        <v>3</v>
      </c>
      <c r="G5924" s="2" t="s">
        <v>9</v>
      </c>
      <c r="I5924" s="2" t="s">
        <v>4944</v>
      </c>
    </row>
    <row r="5925" spans="1:9" x14ac:dyDescent="0.2">
      <c r="A5925" s="2" t="s">
        <v>4026</v>
      </c>
      <c r="B5925" s="2" t="s">
        <v>1341</v>
      </c>
      <c r="C5925" s="2">
        <v>714.21220000000005</v>
      </c>
      <c r="D5925" s="2">
        <f>HYPERLINK("http://mcb-m6.bioreg.kyushu-u.ac.jp/M3/20110404/F50767/1575/1", 69.11)</f>
        <v>69.11</v>
      </c>
      <c r="E5925" s="2">
        <v>56.27</v>
      </c>
      <c r="F5925" s="2">
        <v>2</v>
      </c>
      <c r="G5925" s="2" t="s">
        <v>9</v>
      </c>
    </row>
    <row r="5926" spans="1:9" x14ac:dyDescent="0.2">
      <c r="A5926" s="2" t="s">
        <v>4026</v>
      </c>
      <c r="B5926" s="2" t="s">
        <v>1341</v>
      </c>
      <c r="C5926" s="2">
        <v>713.72559999999999</v>
      </c>
      <c r="D5926" s="2">
        <f>HYPERLINK("http://mcb-m6.bioreg.kyushu-u.ac.jp/M3/20110404/F50766/1376/1", 87.83)</f>
        <v>87.83</v>
      </c>
      <c r="E5926" s="2">
        <v>73.03</v>
      </c>
      <c r="F5926" s="2">
        <v>2</v>
      </c>
      <c r="G5926" s="2" t="s">
        <v>9</v>
      </c>
    </row>
    <row r="5927" spans="1:9" x14ac:dyDescent="0.2">
      <c r="A5927" s="2" t="s">
        <v>4026</v>
      </c>
      <c r="B5927" s="2" t="s">
        <v>6154</v>
      </c>
      <c r="C5927" s="2">
        <v>1029.3399999999999</v>
      </c>
      <c r="D5927" s="2">
        <f>HYPERLINK("http://mcb-m6.bioreg.kyushu-u.ac.jp/M3/20110404/F50766/3133/1", 93.55)</f>
        <v>93.55</v>
      </c>
      <c r="E5927" s="2">
        <v>77.52</v>
      </c>
      <c r="F5927" s="2">
        <v>2</v>
      </c>
      <c r="G5927" s="2" t="s">
        <v>9</v>
      </c>
      <c r="I5927" s="2" t="s">
        <v>4944</v>
      </c>
    </row>
    <row r="5928" spans="1:9" x14ac:dyDescent="0.2">
      <c r="A5928" s="2" t="s">
        <v>4026</v>
      </c>
      <c r="B5928" s="2" t="s">
        <v>1341</v>
      </c>
      <c r="C5928" s="2">
        <v>714.25959999999998</v>
      </c>
      <c r="D5928" s="2">
        <f>HYPERLINK("http://mcb-m6.bioreg.kyushu-u.ac.jp/M3/20110404/F50766/1379/1", 94.43)</f>
        <v>94.43</v>
      </c>
      <c r="E5928" s="2">
        <v>76.16</v>
      </c>
      <c r="F5928" s="2">
        <v>2</v>
      </c>
      <c r="G5928" s="2" t="s">
        <v>9</v>
      </c>
    </row>
    <row r="5929" spans="1:9" x14ac:dyDescent="0.2">
      <c r="A5929" s="2" t="s">
        <v>4026</v>
      </c>
      <c r="B5929" s="2" t="s">
        <v>2715</v>
      </c>
      <c r="C5929" s="2">
        <v>941.53470000000004</v>
      </c>
      <c r="D5929" s="2">
        <f>HYPERLINK("http://mcb-m6.bioreg.kyushu-u.ac.jp/M3/20110404/F50772/2706/1", 39.9)</f>
        <v>39.9</v>
      </c>
      <c r="E5929" s="2">
        <v>33.71</v>
      </c>
      <c r="F5929" s="2">
        <v>2</v>
      </c>
      <c r="G5929" s="2" t="s">
        <v>10</v>
      </c>
      <c r="I5929" s="2" t="s">
        <v>4898</v>
      </c>
    </row>
    <row r="5930" spans="1:9" x14ac:dyDescent="0.2">
      <c r="A5930" s="2" t="s">
        <v>4026</v>
      </c>
      <c r="B5930" s="2" t="s">
        <v>6809</v>
      </c>
      <c r="C5930" s="2">
        <v>547.83259999999996</v>
      </c>
      <c r="D5930" s="2">
        <f>HYPERLINK("http://mcb-m6.bioreg.kyushu-u.ac.jp/M3/20110404/F50772/1183/1", 45.08)</f>
        <v>45.08</v>
      </c>
      <c r="E5930" s="2">
        <v>4.21</v>
      </c>
      <c r="F5930" s="2">
        <v>2</v>
      </c>
      <c r="G5930" s="2" t="s">
        <v>10</v>
      </c>
    </row>
    <row r="5931" spans="1:9" x14ac:dyDescent="0.2">
      <c r="A5931" s="2" t="s">
        <v>4026</v>
      </c>
      <c r="B5931" s="2" t="s">
        <v>2715</v>
      </c>
      <c r="C5931" s="2">
        <v>941.99570000000006</v>
      </c>
      <c r="D5931" s="2">
        <f>HYPERLINK("http://mcb-m6.bioreg.kyushu-u.ac.jp/M3/20110404/F50773/2570/1", 66.13)</f>
        <v>66.13</v>
      </c>
      <c r="E5931" s="2">
        <v>51.43</v>
      </c>
      <c r="F5931" s="2">
        <v>2</v>
      </c>
      <c r="G5931" s="2" t="s">
        <v>10</v>
      </c>
      <c r="I5931" s="2" t="s">
        <v>4898</v>
      </c>
    </row>
    <row r="5932" spans="1:9" x14ac:dyDescent="0.2">
      <c r="A5932" s="2" t="s">
        <v>4026</v>
      </c>
      <c r="B5932" s="2" t="s">
        <v>5958</v>
      </c>
      <c r="C5932" s="2">
        <v>1234.597</v>
      </c>
      <c r="D5932" s="2">
        <f>HYPERLINK("http://mcb-m6.bioreg.kyushu-u.ac.jp/M3/20110404/F50772/3343/1", 78.66)</f>
        <v>78.66</v>
      </c>
      <c r="E5932" s="2">
        <v>71.3</v>
      </c>
      <c r="F5932" s="2">
        <v>2</v>
      </c>
      <c r="G5932" s="2" t="s">
        <v>10</v>
      </c>
    </row>
    <row r="5933" spans="1:9" x14ac:dyDescent="0.2">
      <c r="A5933" s="2" t="s">
        <v>4026</v>
      </c>
      <c r="B5933" s="2" t="s">
        <v>1341</v>
      </c>
      <c r="C5933" s="2">
        <v>1426.8920000000001</v>
      </c>
      <c r="D5933" s="2">
        <f>HYPERLINK("http://mcb-m6.bioreg.kyushu-u.ac.jp/M3/20110404/F50772/1800/1", 81.34)</f>
        <v>81.34</v>
      </c>
      <c r="E5933" s="2">
        <v>62.11</v>
      </c>
      <c r="F5933" s="2">
        <v>1</v>
      </c>
      <c r="G5933" s="2" t="s">
        <v>10</v>
      </c>
    </row>
    <row r="5934" spans="1:9" x14ac:dyDescent="0.2">
      <c r="A5934" s="2" t="s">
        <v>4026</v>
      </c>
      <c r="B5934" s="2" t="s">
        <v>2648</v>
      </c>
      <c r="C5934" s="2">
        <v>1129.606</v>
      </c>
      <c r="D5934" s="2">
        <f>HYPERLINK("http://mcb-m6.bioreg.kyushu-u.ac.jp/M3/20110404/F50772/3168/1", 85.75)</f>
        <v>85.75</v>
      </c>
      <c r="E5934" s="2">
        <v>78.27</v>
      </c>
      <c r="F5934" s="2">
        <v>2</v>
      </c>
      <c r="G5934" s="2" t="s">
        <v>10</v>
      </c>
      <c r="I5934" s="2" t="s">
        <v>4898</v>
      </c>
    </row>
    <row r="5935" spans="1:9" x14ac:dyDescent="0.2">
      <c r="A5935" s="2" t="s">
        <v>4026</v>
      </c>
      <c r="B5935" s="2" t="s">
        <v>2676</v>
      </c>
      <c r="C5935" s="2">
        <v>819.3202</v>
      </c>
      <c r="D5935" s="2">
        <f>HYPERLINK("http://mcb-m6.bioreg.kyushu-u.ac.jp/M3/20110404/F50772/2246/1", 88.94)</f>
        <v>88.94</v>
      </c>
      <c r="E5935" s="2">
        <v>66.78</v>
      </c>
      <c r="F5935" s="2">
        <v>2</v>
      </c>
      <c r="G5935" s="2" t="s">
        <v>10</v>
      </c>
      <c r="I5935" s="2" t="s">
        <v>4906</v>
      </c>
    </row>
    <row r="5936" spans="1:9" x14ac:dyDescent="0.2">
      <c r="A5936" s="2" t="s">
        <v>4026</v>
      </c>
      <c r="B5936" s="2" t="s">
        <v>1341</v>
      </c>
      <c r="C5936" s="2">
        <v>713.94960000000003</v>
      </c>
      <c r="D5936" s="2">
        <f>HYPERLINK("http://mcb-m6.bioreg.kyushu-u.ac.jp/M3/20110404/F50773/1733/1", 93.37)</f>
        <v>93.37</v>
      </c>
      <c r="E5936" s="2">
        <v>75.48</v>
      </c>
      <c r="F5936" s="2">
        <v>2</v>
      </c>
      <c r="G5936" s="2" t="s">
        <v>10</v>
      </c>
    </row>
    <row r="5937" spans="1:9" x14ac:dyDescent="0.2">
      <c r="A5937" s="2" t="s">
        <v>4026</v>
      </c>
      <c r="B5937" s="2" t="s">
        <v>1341</v>
      </c>
      <c r="C5937" s="2">
        <v>714.0027</v>
      </c>
      <c r="D5937" s="2">
        <f>HYPERLINK("http://mcb-m6.bioreg.kyushu-u.ac.jp/M3/20110404/F50772/1801/1", 111.65)</f>
        <v>111.65</v>
      </c>
      <c r="E5937" s="2">
        <v>94.26</v>
      </c>
      <c r="F5937" s="2">
        <v>2</v>
      </c>
      <c r="G5937" s="2" t="s">
        <v>10</v>
      </c>
    </row>
    <row r="5938" spans="1:9" x14ac:dyDescent="0.2">
      <c r="A5938" s="2" t="s">
        <v>4026</v>
      </c>
      <c r="B5938" s="2" t="s">
        <v>2715</v>
      </c>
      <c r="C5938" s="2">
        <v>941.26819999999998</v>
      </c>
      <c r="D5938" s="2">
        <f>HYPERLINK("http://mcb-m6.bioreg.kyushu-u.ac.jp/M3/20110421/F51020/2823/1", 76)</f>
        <v>76</v>
      </c>
      <c r="E5938" s="2">
        <v>61.23</v>
      </c>
      <c r="F5938" s="2">
        <v>2</v>
      </c>
      <c r="G5938" s="2" t="s">
        <v>11</v>
      </c>
      <c r="I5938" s="2" t="s">
        <v>4898</v>
      </c>
    </row>
    <row r="5939" spans="1:9" x14ac:dyDescent="0.2">
      <c r="A5939" s="2" t="s">
        <v>4026</v>
      </c>
      <c r="B5939" s="2" t="s">
        <v>2715</v>
      </c>
      <c r="C5939" s="2">
        <v>941.84559999999999</v>
      </c>
      <c r="D5939" s="2">
        <f>HYPERLINK("http://mcb-m6.bioreg.kyushu-u.ac.jp/M3/20110427/F51117/2825/1", 72.94)</f>
        <v>72.94</v>
      </c>
      <c r="E5939" s="2">
        <v>59.48</v>
      </c>
      <c r="F5939" s="2">
        <v>2</v>
      </c>
      <c r="G5939" s="2" t="s">
        <v>13</v>
      </c>
      <c r="I5939" s="2" t="s">
        <v>4898</v>
      </c>
    </row>
    <row r="5940" spans="1:9" x14ac:dyDescent="0.2">
      <c r="A5940" s="2" t="s">
        <v>4026</v>
      </c>
      <c r="B5940" s="2" t="s">
        <v>1341</v>
      </c>
      <c r="C5940" s="2">
        <v>714.13670000000002</v>
      </c>
      <c r="D5940" s="2">
        <f>HYPERLINK("http://mcb-m6.bioreg.kyushu-u.ac.jp/M3/20110427/F51117/1864/1", 92.5)</f>
        <v>92.5</v>
      </c>
      <c r="E5940" s="2">
        <v>75.510000000000005</v>
      </c>
      <c r="F5940" s="2">
        <v>2</v>
      </c>
      <c r="G5940" s="2" t="s">
        <v>13</v>
      </c>
    </row>
    <row r="5941" spans="1:9" x14ac:dyDescent="0.2">
      <c r="A5941" s="2" t="s">
        <v>4026</v>
      </c>
      <c r="B5941" s="2" t="s">
        <v>2715</v>
      </c>
      <c r="C5941" s="2">
        <v>941.18219999999997</v>
      </c>
      <c r="D5941" s="2">
        <f>HYPERLINK("http://mcb-m6.bioreg.kyushu-u.ac.jp/M3/20110428/F51126/2857/1", 40.67)</f>
        <v>40.67</v>
      </c>
      <c r="E5941" s="2">
        <v>23.75</v>
      </c>
      <c r="F5941" s="2">
        <v>2</v>
      </c>
      <c r="G5941" s="2" t="s">
        <v>14</v>
      </c>
      <c r="I5941" s="2" t="s">
        <v>4898</v>
      </c>
    </row>
    <row r="5942" spans="1:9" x14ac:dyDescent="0.2">
      <c r="A5942" s="2" t="s">
        <v>4026</v>
      </c>
      <c r="B5942" s="2" t="s">
        <v>2715</v>
      </c>
      <c r="C5942" s="2">
        <v>941.21810000000005</v>
      </c>
      <c r="D5942" s="2">
        <f>HYPERLINK("http://mcb-m6.bioreg.kyushu-u.ac.jp/M3/20110427/F51125/2849/1", 52.84)</f>
        <v>52.84</v>
      </c>
      <c r="E5942" s="2">
        <v>36.24</v>
      </c>
      <c r="F5942" s="2">
        <v>2</v>
      </c>
      <c r="G5942" s="2" t="s">
        <v>14</v>
      </c>
      <c r="I5942" s="2" t="s">
        <v>4898</v>
      </c>
    </row>
    <row r="5943" spans="1:9" x14ac:dyDescent="0.2">
      <c r="A5943" s="2" t="s">
        <v>4026</v>
      </c>
      <c r="B5943" s="2" t="s">
        <v>1341</v>
      </c>
      <c r="C5943" s="2">
        <v>713.77260000000001</v>
      </c>
      <c r="D5943" s="2">
        <f>HYPERLINK("http://mcb-m6.bioreg.kyushu-u.ac.jp/M3/20110427/F51125/1956/1", 64.49)</f>
        <v>64.489999999999995</v>
      </c>
      <c r="E5943" s="2">
        <v>50.28</v>
      </c>
      <c r="F5943" s="2">
        <v>2</v>
      </c>
      <c r="G5943" s="2" t="s">
        <v>14</v>
      </c>
    </row>
    <row r="5944" spans="1:9" x14ac:dyDescent="0.2">
      <c r="A5944" s="2" t="s">
        <v>4026</v>
      </c>
      <c r="B5944" s="2" t="s">
        <v>2715</v>
      </c>
      <c r="C5944" s="2">
        <v>941.17319999999995</v>
      </c>
      <c r="D5944" s="2">
        <f>HYPERLINK("http://mcb-m6.bioreg.kyushu-u.ac.jp/M3/20110427/F51124/2830/1", 68.48)</f>
        <v>68.48</v>
      </c>
      <c r="E5944" s="2">
        <v>49.09</v>
      </c>
      <c r="F5944" s="2">
        <v>2</v>
      </c>
      <c r="G5944" s="2" t="s">
        <v>14</v>
      </c>
      <c r="I5944" s="2" t="s">
        <v>4898</v>
      </c>
    </row>
    <row r="5945" spans="1:9" x14ac:dyDescent="0.2">
      <c r="A5945" s="2" t="s">
        <v>4026</v>
      </c>
      <c r="B5945" s="2" t="s">
        <v>1341</v>
      </c>
      <c r="C5945" s="2">
        <v>713.60109999999997</v>
      </c>
      <c r="D5945" s="2">
        <f>HYPERLINK("http://mcb-m6.bioreg.kyushu-u.ac.jp/M3/20110428/F51126/1949/1", 94.36)</f>
        <v>94.36</v>
      </c>
      <c r="E5945" s="2">
        <v>83.79</v>
      </c>
      <c r="F5945" s="2">
        <v>2</v>
      </c>
      <c r="G5945" s="2" t="s">
        <v>14</v>
      </c>
    </row>
    <row r="5946" spans="1:9" x14ac:dyDescent="0.2">
      <c r="A5946" s="2" t="s">
        <v>4026</v>
      </c>
      <c r="B5946" s="2" t="s">
        <v>2676</v>
      </c>
      <c r="C5946" s="2">
        <v>819.09969999999998</v>
      </c>
      <c r="D5946" s="2">
        <f>HYPERLINK("http://mcb-m6.bioreg.kyushu-u.ac.jp/M3/20110428/F51126/2418/1", 95.57)</f>
        <v>95.57</v>
      </c>
      <c r="E5946" s="2">
        <v>77.67</v>
      </c>
      <c r="F5946" s="2">
        <v>2</v>
      </c>
      <c r="G5946" s="2" t="s">
        <v>14</v>
      </c>
      <c r="I5946" s="2" t="s">
        <v>4906</v>
      </c>
    </row>
    <row r="5947" spans="1:9" x14ac:dyDescent="0.2">
      <c r="A5947" s="2" t="s">
        <v>4026</v>
      </c>
      <c r="B5947" s="2" t="s">
        <v>2648</v>
      </c>
      <c r="C5947" s="2">
        <v>1129.288</v>
      </c>
      <c r="D5947" s="2">
        <f>HYPERLINK("http://mcb-m6.bioreg.kyushu-u.ac.jp/M3/20110428/F51126/3205/1", 104.05)</f>
        <v>104.05</v>
      </c>
      <c r="E5947" s="2">
        <v>92.46</v>
      </c>
      <c r="F5947" s="2">
        <v>2</v>
      </c>
      <c r="G5947" s="2" t="s">
        <v>14</v>
      </c>
      <c r="I5947" s="2" t="s">
        <v>4898</v>
      </c>
    </row>
    <row r="5948" spans="1:9" x14ac:dyDescent="0.2">
      <c r="A5948" s="2" t="s">
        <v>3651</v>
      </c>
      <c r="B5948" s="2" t="s">
        <v>5459</v>
      </c>
      <c r="C5948" s="2">
        <v>1084.4780000000001</v>
      </c>
      <c r="D5948" s="2">
        <f>HYPERLINK("http://mcb-m6.bioreg.kyushu-u.ac.jp/M3/20110404/F50767/912/1", 40.53)</f>
        <v>40.53</v>
      </c>
      <c r="E5948" s="2">
        <v>22.19</v>
      </c>
      <c r="F5948" s="2">
        <v>1</v>
      </c>
      <c r="G5948" s="2" t="s">
        <v>9</v>
      </c>
    </row>
    <row r="5949" spans="1:9" x14ac:dyDescent="0.2">
      <c r="A5949" s="2" t="s">
        <v>3651</v>
      </c>
      <c r="B5949" s="2" t="s">
        <v>1976</v>
      </c>
      <c r="C5949" s="2">
        <v>643.32119999999998</v>
      </c>
      <c r="D5949" s="2">
        <f>HYPERLINK("http://mcb-m6.bioreg.kyushu-u.ac.jp/M3/20110404/F50766/1043/1", 42.52)</f>
        <v>42.52</v>
      </c>
      <c r="E5949" s="2">
        <v>13.95</v>
      </c>
      <c r="F5949" s="2">
        <v>2</v>
      </c>
      <c r="G5949" s="2" t="s">
        <v>9</v>
      </c>
    </row>
    <row r="5950" spans="1:9" x14ac:dyDescent="0.2">
      <c r="A5950" s="2" t="s">
        <v>3651</v>
      </c>
      <c r="B5950" s="2" t="s">
        <v>6211</v>
      </c>
      <c r="C5950" s="2">
        <v>717.65369999999996</v>
      </c>
      <c r="D5950" s="2">
        <f>HYPERLINK("http://mcb-m6.bioreg.kyushu-u.ac.jp/M3/20110404/F50766/1415/1", 46.8)</f>
        <v>46.8</v>
      </c>
      <c r="E5950" s="2">
        <v>31.55</v>
      </c>
      <c r="F5950" s="2">
        <v>2</v>
      </c>
      <c r="G5950" s="2" t="s">
        <v>9</v>
      </c>
    </row>
    <row r="5951" spans="1:9" x14ac:dyDescent="0.2">
      <c r="A5951" s="2" t="s">
        <v>3651</v>
      </c>
      <c r="B5951" s="2" t="s">
        <v>5459</v>
      </c>
      <c r="C5951" s="2">
        <v>542.6857</v>
      </c>
      <c r="D5951" s="2">
        <f>HYPERLINK("http://mcb-m6.bioreg.kyushu-u.ac.jp/M3/20110404/F50766/640/1", 54.89)</f>
        <v>54.89</v>
      </c>
      <c r="E5951" s="2">
        <v>31.25</v>
      </c>
      <c r="F5951" s="2">
        <v>2</v>
      </c>
      <c r="G5951" s="2" t="s">
        <v>9</v>
      </c>
    </row>
    <row r="5952" spans="1:9" x14ac:dyDescent="0.2">
      <c r="A5952" s="2" t="s">
        <v>3651</v>
      </c>
      <c r="B5952" s="2" t="s">
        <v>6348</v>
      </c>
      <c r="C5952" s="2">
        <v>771.86289999999997</v>
      </c>
      <c r="D5952" s="2">
        <f>HYPERLINK("http://mcb-m6.bioreg.kyushu-u.ac.jp/M3/20110404/F50766/3743/1", 55.75)</f>
        <v>55.75</v>
      </c>
      <c r="E5952" s="2">
        <v>47.11</v>
      </c>
      <c r="F5952" s="2">
        <v>3</v>
      </c>
      <c r="G5952" s="2" t="s">
        <v>9</v>
      </c>
    </row>
    <row r="5953" spans="1:9" x14ac:dyDescent="0.2">
      <c r="A5953" s="2" t="s">
        <v>3651</v>
      </c>
      <c r="B5953" s="2" t="s">
        <v>5459</v>
      </c>
      <c r="C5953" s="2">
        <v>542.28470000000004</v>
      </c>
      <c r="D5953" s="2">
        <f>HYPERLINK("http://mcb-m6.bioreg.kyushu-u.ac.jp/M3/20110404/F50767/911/1", 58.13)</f>
        <v>58.13</v>
      </c>
      <c r="E5953" s="2">
        <v>39.729999999999997</v>
      </c>
      <c r="F5953" s="2">
        <v>2</v>
      </c>
      <c r="G5953" s="2" t="s">
        <v>9</v>
      </c>
    </row>
    <row r="5954" spans="1:9" x14ac:dyDescent="0.2">
      <c r="A5954" s="2" t="s">
        <v>3651</v>
      </c>
      <c r="B5954" s="2" t="s">
        <v>6499</v>
      </c>
      <c r="C5954" s="2">
        <v>642.29970000000003</v>
      </c>
      <c r="D5954" s="2">
        <f>HYPERLINK("http://mcb-m6.bioreg.kyushu-u.ac.jp/M3/20110404/F50767/1219/1", 70.86)</f>
        <v>70.86</v>
      </c>
      <c r="E5954" s="2">
        <v>53.11</v>
      </c>
      <c r="F5954" s="2">
        <v>2</v>
      </c>
      <c r="G5954" s="2" t="s">
        <v>9</v>
      </c>
    </row>
    <row r="5955" spans="1:9" x14ac:dyDescent="0.2">
      <c r="A5955" s="2" t="s">
        <v>3651</v>
      </c>
      <c r="B5955" s="2" t="s">
        <v>1476</v>
      </c>
      <c r="C5955" s="2">
        <v>827.29570000000001</v>
      </c>
      <c r="D5955" s="2">
        <f>HYPERLINK("http://mcb-m6.bioreg.kyushu-u.ac.jp/M3/20110404/F50766/2063/1", 71.02)</f>
        <v>71.02</v>
      </c>
      <c r="E5955" s="2">
        <v>52.89</v>
      </c>
      <c r="F5955" s="2">
        <v>2</v>
      </c>
      <c r="G5955" s="2" t="s">
        <v>9</v>
      </c>
    </row>
    <row r="5956" spans="1:9" x14ac:dyDescent="0.2">
      <c r="A5956" s="2" t="s">
        <v>3651</v>
      </c>
      <c r="B5956" s="2" t="s">
        <v>6499</v>
      </c>
      <c r="C5956" s="2">
        <v>642.44069999999999</v>
      </c>
      <c r="D5956" s="2">
        <f>HYPERLINK("http://mcb-m6.bioreg.kyushu-u.ac.jp/M3/20110404/F50772/1508/1", 38.28)</f>
        <v>38.28</v>
      </c>
      <c r="E5956" s="2">
        <v>20.37</v>
      </c>
      <c r="F5956" s="2">
        <v>2</v>
      </c>
      <c r="G5956" s="2" t="s">
        <v>10</v>
      </c>
    </row>
    <row r="5957" spans="1:9" x14ac:dyDescent="0.2">
      <c r="A5957" s="2" t="s">
        <v>3651</v>
      </c>
      <c r="B5957" s="2" t="s">
        <v>6761</v>
      </c>
      <c r="C5957" s="2">
        <v>938.15800000000002</v>
      </c>
      <c r="D5957" s="2">
        <f>HYPERLINK("http://mcb-m6.bioreg.kyushu-u.ac.jp/M3/20110404/F50772/912/1", 40.79)</f>
        <v>40.79</v>
      </c>
      <c r="E5957" s="2">
        <v>10.199999999999999</v>
      </c>
      <c r="F5957" s="2">
        <v>1</v>
      </c>
      <c r="G5957" s="2" t="s">
        <v>10</v>
      </c>
    </row>
    <row r="5958" spans="1:9" x14ac:dyDescent="0.2">
      <c r="A5958" s="2" t="s">
        <v>3651</v>
      </c>
      <c r="B5958" s="2" t="s">
        <v>5459</v>
      </c>
      <c r="C5958" s="2">
        <v>1083.7329999999999</v>
      </c>
      <c r="D5958" s="2">
        <f>HYPERLINK("http://mcb-m6.bioreg.kyushu-u.ac.jp/M3/20110404/F50772/1165/1", 42.69)</f>
        <v>42.69</v>
      </c>
      <c r="E5958" s="2">
        <v>24.29</v>
      </c>
      <c r="F5958" s="2">
        <v>1</v>
      </c>
      <c r="G5958" s="2" t="s">
        <v>10</v>
      </c>
    </row>
    <row r="5959" spans="1:9" x14ac:dyDescent="0.2">
      <c r="A5959" s="2" t="s">
        <v>3651</v>
      </c>
      <c r="B5959" s="2" t="s">
        <v>6857</v>
      </c>
      <c r="C5959" s="2">
        <v>876.51419999999996</v>
      </c>
      <c r="D5959" s="2">
        <f>HYPERLINK("http://mcb-m6.bioreg.kyushu-u.ac.jp/M3/20110404/F50772/2449/1", 50.36)</f>
        <v>50.36</v>
      </c>
      <c r="E5959" s="2">
        <v>41.57</v>
      </c>
      <c r="F5959" s="2">
        <v>2</v>
      </c>
      <c r="G5959" s="2" t="s">
        <v>10</v>
      </c>
    </row>
    <row r="5960" spans="1:9" x14ac:dyDescent="0.2">
      <c r="A5960" s="2" t="s">
        <v>3651</v>
      </c>
      <c r="B5960" s="2" t="s">
        <v>1976</v>
      </c>
      <c r="C5960" s="2">
        <v>643.49069999999995</v>
      </c>
      <c r="D5960" s="2">
        <f>HYPERLINK("http://mcb-m6.bioreg.kyushu-u.ac.jp/M3/20110404/F50772/1511/1", 51.87)</f>
        <v>51.87</v>
      </c>
      <c r="E5960" s="2">
        <v>26.66</v>
      </c>
      <c r="F5960" s="2">
        <v>2</v>
      </c>
      <c r="G5960" s="2" t="s">
        <v>10</v>
      </c>
    </row>
    <row r="5961" spans="1:9" x14ac:dyDescent="0.2">
      <c r="A5961" s="2" t="s">
        <v>3651</v>
      </c>
      <c r="B5961" s="2" t="s">
        <v>6857</v>
      </c>
      <c r="C5961" s="2">
        <v>875.92110000000002</v>
      </c>
      <c r="D5961" s="2">
        <f>HYPERLINK("http://mcb-m6.bioreg.kyushu-u.ac.jp/M3/20110404/F50772/2444/1", 55.81)</f>
        <v>55.81</v>
      </c>
      <c r="E5961" s="2">
        <v>45.44</v>
      </c>
      <c r="F5961" s="2">
        <v>2</v>
      </c>
      <c r="G5961" s="2" t="s">
        <v>10</v>
      </c>
    </row>
    <row r="5962" spans="1:9" x14ac:dyDescent="0.2">
      <c r="A5962" s="2" t="s">
        <v>3651</v>
      </c>
      <c r="B5962" s="2" t="s">
        <v>5459</v>
      </c>
      <c r="C5962" s="2">
        <v>542.39620000000002</v>
      </c>
      <c r="D5962" s="2">
        <f>HYPERLINK("http://mcb-m6.bioreg.kyushu-u.ac.jp/M3/20110404/F50772/1166/1", 68.16)</f>
        <v>68.16</v>
      </c>
      <c r="E5962" s="2">
        <v>47.51</v>
      </c>
      <c r="F5962" s="2">
        <v>2</v>
      </c>
      <c r="G5962" s="2" t="s">
        <v>10</v>
      </c>
    </row>
    <row r="5963" spans="1:9" x14ac:dyDescent="0.2">
      <c r="A5963" s="2" t="s">
        <v>3651</v>
      </c>
      <c r="B5963" s="2" t="s">
        <v>6499</v>
      </c>
      <c r="C5963" s="2">
        <v>642.43320000000006</v>
      </c>
      <c r="D5963" s="2">
        <f>HYPERLINK("http://mcb-m6.bioreg.kyushu-u.ac.jp/M3/20110404/F50773/1401/1", 68.76)</f>
        <v>68.760000000000005</v>
      </c>
      <c r="E5963" s="2">
        <v>48.84</v>
      </c>
      <c r="F5963" s="2">
        <v>2</v>
      </c>
      <c r="G5963" s="2" t="s">
        <v>10</v>
      </c>
    </row>
    <row r="5964" spans="1:9" x14ac:dyDescent="0.2">
      <c r="A5964" s="2" t="s">
        <v>3651</v>
      </c>
      <c r="B5964" s="2" t="s">
        <v>5459</v>
      </c>
      <c r="C5964" s="2">
        <v>542.25710000000004</v>
      </c>
      <c r="D5964" s="2">
        <f>HYPERLINK("http://mcb-m6.bioreg.kyushu-u.ac.jp/M3/20110404/F50773/1092/1", 68.82)</f>
        <v>68.819999999999993</v>
      </c>
      <c r="E5964" s="2">
        <v>46.52</v>
      </c>
      <c r="F5964" s="2">
        <v>2</v>
      </c>
      <c r="G5964" s="2" t="s">
        <v>10</v>
      </c>
    </row>
    <row r="5965" spans="1:9" x14ac:dyDescent="0.2">
      <c r="A5965" s="2" t="s">
        <v>3651</v>
      </c>
      <c r="B5965" s="2" t="s">
        <v>6348</v>
      </c>
      <c r="C5965" s="2">
        <v>1157.0999999999999</v>
      </c>
      <c r="D5965" s="2">
        <f>HYPERLINK("http://mcb-m6.bioreg.kyushu-u.ac.jp/M3/20110404/F50772/3218/1", 77.08)</f>
        <v>77.08</v>
      </c>
      <c r="E5965" s="2">
        <v>71.25</v>
      </c>
      <c r="F5965" s="2">
        <v>2</v>
      </c>
      <c r="G5965" s="2" t="s">
        <v>10</v>
      </c>
    </row>
    <row r="5966" spans="1:9" x14ac:dyDescent="0.2">
      <c r="A5966" s="2" t="s">
        <v>3651</v>
      </c>
      <c r="B5966" s="2" t="s">
        <v>6348</v>
      </c>
      <c r="C5966" s="2">
        <v>1157.0139999999999</v>
      </c>
      <c r="D5966" s="2">
        <f>HYPERLINK("http://mcb-m6.bioreg.kyushu-u.ac.jp/M3/20110404/F50773/3131/1", 94.95)</f>
        <v>94.95</v>
      </c>
      <c r="E5966" s="2">
        <v>87.15</v>
      </c>
      <c r="F5966" s="2">
        <v>2</v>
      </c>
      <c r="G5966" s="2" t="s">
        <v>10</v>
      </c>
    </row>
    <row r="5967" spans="1:9" x14ac:dyDescent="0.2">
      <c r="A5967" s="2" t="s">
        <v>3651</v>
      </c>
      <c r="B5967" s="2" t="s">
        <v>1476</v>
      </c>
      <c r="C5967" s="2">
        <v>827.0607</v>
      </c>
      <c r="D5967" s="2">
        <f>HYPERLINK("http://mcb-m6.bioreg.kyushu-u.ac.jp/M3/20110404/F50772/2269/1", 106.88)</f>
        <v>106.88</v>
      </c>
      <c r="E5967" s="2">
        <v>78.52</v>
      </c>
      <c r="F5967" s="2">
        <v>2</v>
      </c>
      <c r="G5967" s="2" t="s">
        <v>10</v>
      </c>
    </row>
    <row r="5968" spans="1:9" x14ac:dyDescent="0.2">
      <c r="A5968" s="2" t="s">
        <v>3651</v>
      </c>
      <c r="B5968" s="2" t="s">
        <v>2449</v>
      </c>
      <c r="C5968" s="2">
        <v>926.52809999999999</v>
      </c>
      <c r="D5968" s="2">
        <f>HYPERLINK("http://mcb-m6.bioreg.kyushu-u.ac.jp/M3/20110404/F50772/2659/1", 141.14)</f>
        <v>141.13999999999999</v>
      </c>
      <c r="E5968" s="2">
        <v>130.91</v>
      </c>
      <c r="F5968" s="2">
        <v>2</v>
      </c>
      <c r="G5968" s="2" t="s">
        <v>10</v>
      </c>
      <c r="I5968" s="2" t="s">
        <v>4962</v>
      </c>
    </row>
    <row r="5969" spans="1:8" x14ac:dyDescent="0.2">
      <c r="A5969" s="2" t="s">
        <v>3651</v>
      </c>
      <c r="B5969" s="2" t="s">
        <v>1976</v>
      </c>
      <c r="C5969" s="2">
        <v>643.28859999999997</v>
      </c>
      <c r="D5969" s="2">
        <f>HYPERLINK("http://mcb-m6.bioreg.kyushu-u.ac.jp/M3/20110421/F51020/1586/1", 41.45)</f>
        <v>41.45</v>
      </c>
      <c r="E5969" s="2">
        <v>20.43</v>
      </c>
      <c r="F5969" s="2">
        <v>2</v>
      </c>
      <c r="G5969" s="2" t="s">
        <v>11</v>
      </c>
    </row>
    <row r="5970" spans="1:8" x14ac:dyDescent="0.2">
      <c r="A5970" s="2" t="s">
        <v>3651</v>
      </c>
      <c r="B5970" s="2" t="s">
        <v>1976</v>
      </c>
      <c r="C5970" s="2">
        <v>643.21619999999996</v>
      </c>
      <c r="D5970" s="2">
        <f>HYPERLINK("http://mcb-m6.bioreg.kyushu-u.ac.jp/M3/20110421/F51019/1658/1", 50.14)</f>
        <v>50.14</v>
      </c>
      <c r="E5970" s="2">
        <v>34.049999999999997</v>
      </c>
      <c r="F5970" s="2">
        <v>2</v>
      </c>
      <c r="G5970" s="2" t="s">
        <v>11</v>
      </c>
    </row>
    <row r="5971" spans="1:8" x14ac:dyDescent="0.2">
      <c r="A5971" s="2" t="s">
        <v>3651</v>
      </c>
      <c r="B5971" s="2" t="s">
        <v>1976</v>
      </c>
      <c r="C5971" s="2">
        <v>643.75710000000004</v>
      </c>
      <c r="D5971" s="2">
        <f>HYPERLINK("http://mcb-m6.bioreg.kyushu-u.ac.jp/M3/20110421/F51019/1659/1", 52.69)</f>
        <v>52.69</v>
      </c>
      <c r="E5971" s="2">
        <v>31.43</v>
      </c>
      <c r="F5971" s="2">
        <v>2</v>
      </c>
      <c r="G5971" s="2" t="s">
        <v>11</v>
      </c>
    </row>
    <row r="5972" spans="1:8" x14ac:dyDescent="0.2">
      <c r="A5972" s="2" t="s">
        <v>3651</v>
      </c>
      <c r="B5972" s="2" t="s">
        <v>6211</v>
      </c>
      <c r="C5972" s="2">
        <v>725.20169999999996</v>
      </c>
      <c r="D5972" s="2">
        <f>HYPERLINK("http://mcb-m6.bioreg.kyushu-u.ac.jp/M3/20110421/F51020/1959/1", 55.26)</f>
        <v>55.26</v>
      </c>
      <c r="E5972" s="2">
        <v>37.83</v>
      </c>
      <c r="F5972" s="2">
        <v>2</v>
      </c>
      <c r="G5972" s="2" t="s">
        <v>11</v>
      </c>
      <c r="H5972" s="2" t="s">
        <v>4925</v>
      </c>
    </row>
    <row r="5973" spans="1:8" x14ac:dyDescent="0.2">
      <c r="A5973" s="2" t="s">
        <v>3651</v>
      </c>
      <c r="B5973" s="2" t="s">
        <v>5459</v>
      </c>
      <c r="C5973" s="2">
        <v>542.26009999999997</v>
      </c>
      <c r="D5973" s="2">
        <f>HYPERLINK("http://mcb-m6.bioreg.kyushu-u.ac.jp/M3/20110421/F51020/1230/1", 65.94)</f>
        <v>65.94</v>
      </c>
      <c r="E5973" s="2">
        <v>45.55</v>
      </c>
      <c r="F5973" s="2">
        <v>2</v>
      </c>
      <c r="G5973" s="2" t="s">
        <v>11</v>
      </c>
    </row>
    <row r="5974" spans="1:8" x14ac:dyDescent="0.2">
      <c r="A5974" s="2" t="s">
        <v>3651</v>
      </c>
      <c r="B5974" s="2" t="s">
        <v>1476</v>
      </c>
      <c r="C5974" s="2">
        <v>826.8107</v>
      </c>
      <c r="D5974" s="2">
        <f>HYPERLINK("http://mcb-m6.bioreg.kyushu-u.ac.jp/M3/20110421/F51020/2412/1", 104.58)</f>
        <v>104.58</v>
      </c>
      <c r="E5974" s="2">
        <v>83.06</v>
      </c>
      <c r="F5974" s="2">
        <v>2</v>
      </c>
      <c r="G5974" s="2" t="s">
        <v>11</v>
      </c>
    </row>
    <row r="5975" spans="1:8" x14ac:dyDescent="0.2">
      <c r="A5975" s="2" t="s">
        <v>3651</v>
      </c>
      <c r="B5975" s="2" t="s">
        <v>1976</v>
      </c>
      <c r="C5975" s="2">
        <v>643.45370000000003</v>
      </c>
      <c r="D5975" s="2">
        <f>HYPERLINK("http://mcb-m6.bioreg.kyushu-u.ac.jp/M3/20110421/F51025/1766/1", 38.39)</f>
        <v>38.39</v>
      </c>
      <c r="E5975" s="2">
        <v>11.01</v>
      </c>
      <c r="F5975" s="2">
        <v>2</v>
      </c>
      <c r="G5975" s="2" t="s">
        <v>12</v>
      </c>
    </row>
    <row r="5976" spans="1:8" x14ac:dyDescent="0.2">
      <c r="A5976" s="2" t="s">
        <v>3651</v>
      </c>
      <c r="B5976" s="2" t="s">
        <v>6211</v>
      </c>
      <c r="C5976" s="2">
        <v>725.18870000000004</v>
      </c>
      <c r="D5976" s="2">
        <f>HYPERLINK("http://mcb-m6.bioreg.kyushu-u.ac.jp/M3/20110421/F51026/2011/1", 41.64)</f>
        <v>41.64</v>
      </c>
      <c r="E5976" s="2">
        <v>31.53</v>
      </c>
      <c r="F5976" s="2">
        <v>2</v>
      </c>
      <c r="G5976" s="2" t="s">
        <v>12</v>
      </c>
      <c r="H5976" s="2" t="s">
        <v>4925</v>
      </c>
    </row>
    <row r="5977" spans="1:8" x14ac:dyDescent="0.2">
      <c r="A5977" s="2" t="s">
        <v>3651</v>
      </c>
      <c r="B5977" s="2" t="s">
        <v>1976</v>
      </c>
      <c r="C5977" s="2">
        <v>643.5557</v>
      </c>
      <c r="D5977" s="2">
        <f>HYPERLINK("http://mcb-m6.bioreg.kyushu-u.ac.jp/M3/20110421/F51026/1763/1", 50.23)</f>
        <v>50.23</v>
      </c>
      <c r="E5977" s="2">
        <v>26.27</v>
      </c>
      <c r="F5977" s="2">
        <v>2</v>
      </c>
      <c r="G5977" s="2" t="s">
        <v>12</v>
      </c>
    </row>
    <row r="5978" spans="1:8" x14ac:dyDescent="0.2">
      <c r="A5978" s="2" t="s">
        <v>3651</v>
      </c>
      <c r="B5978" s="2" t="s">
        <v>6211</v>
      </c>
      <c r="C5978" s="2">
        <v>725.74770000000001</v>
      </c>
      <c r="D5978" s="2">
        <f>HYPERLINK("http://mcb-m6.bioreg.kyushu-u.ac.jp/M3/20110421/F51026/2012/1", 61)</f>
        <v>61</v>
      </c>
      <c r="E5978" s="2">
        <v>48.21</v>
      </c>
      <c r="F5978" s="2">
        <v>2</v>
      </c>
      <c r="G5978" s="2" t="s">
        <v>12</v>
      </c>
      <c r="H5978" s="2" t="s">
        <v>4925</v>
      </c>
    </row>
    <row r="5979" spans="1:8" x14ac:dyDescent="0.2">
      <c r="A5979" s="2" t="s">
        <v>3651</v>
      </c>
      <c r="B5979" s="2" t="s">
        <v>1476</v>
      </c>
      <c r="C5979" s="2">
        <v>827.47670000000005</v>
      </c>
      <c r="D5979" s="2">
        <f>HYPERLINK("http://mcb-m6.bioreg.kyushu-u.ac.jp/M3/20110421/F51044/2454/1", 67.91)</f>
        <v>67.91</v>
      </c>
      <c r="E5979" s="2">
        <v>53.15</v>
      </c>
      <c r="F5979" s="2">
        <v>2</v>
      </c>
      <c r="G5979" s="2" t="s">
        <v>12</v>
      </c>
    </row>
    <row r="5980" spans="1:8" x14ac:dyDescent="0.2">
      <c r="A5980" s="2" t="s">
        <v>3651</v>
      </c>
      <c r="B5980" s="2" t="s">
        <v>1476</v>
      </c>
      <c r="C5980" s="2">
        <v>827.13959999999997</v>
      </c>
      <c r="D5980" s="2">
        <f>HYPERLINK("http://mcb-m6.bioreg.kyushu-u.ac.jp/M3/20110421/F51025/2321/1", 70.93)</f>
        <v>70.930000000000007</v>
      </c>
      <c r="E5980" s="2">
        <v>49.75</v>
      </c>
      <c r="F5980" s="2">
        <v>2</v>
      </c>
      <c r="G5980" s="2" t="s">
        <v>12</v>
      </c>
    </row>
    <row r="5981" spans="1:8" x14ac:dyDescent="0.2">
      <c r="A5981" s="2" t="s">
        <v>3651</v>
      </c>
      <c r="B5981" s="2" t="s">
        <v>1476</v>
      </c>
      <c r="C5981" s="2">
        <v>827.29610000000002</v>
      </c>
      <c r="D5981" s="2">
        <f>HYPERLINK("http://mcb-m6.bioreg.kyushu-u.ac.jp/M3/20110421/F51026/2362/1", 74.89)</f>
        <v>74.89</v>
      </c>
      <c r="E5981" s="2">
        <v>56.57</v>
      </c>
      <c r="F5981" s="2">
        <v>2</v>
      </c>
      <c r="G5981" s="2" t="s">
        <v>12</v>
      </c>
    </row>
    <row r="5982" spans="1:8" x14ac:dyDescent="0.2">
      <c r="A5982" s="2" t="s">
        <v>3651</v>
      </c>
      <c r="B5982" s="2" t="s">
        <v>1476</v>
      </c>
      <c r="C5982" s="2">
        <v>826.79219999999998</v>
      </c>
      <c r="D5982" s="2">
        <f>HYPERLINK("http://mcb-m6.bioreg.kyushu-u.ac.jp/M3/20110421/F51026/2359/1", 102.52)</f>
        <v>102.52</v>
      </c>
      <c r="E5982" s="2">
        <v>76.959999999999994</v>
      </c>
      <c r="F5982" s="2">
        <v>2</v>
      </c>
      <c r="G5982" s="2" t="s">
        <v>12</v>
      </c>
    </row>
    <row r="5983" spans="1:8" x14ac:dyDescent="0.2">
      <c r="A5983" s="2" t="s">
        <v>3651</v>
      </c>
      <c r="B5983" s="2" t="s">
        <v>6499</v>
      </c>
      <c r="C5983" s="2">
        <v>642.7482</v>
      </c>
      <c r="D5983" s="2">
        <f>HYPERLINK("http://mcb-m6.bioreg.kyushu-u.ac.jp/M3/20110427/F51117/1533/1", 41.23)</f>
        <v>41.23</v>
      </c>
      <c r="E5983" s="2">
        <v>24.65</v>
      </c>
      <c r="F5983" s="2">
        <v>2</v>
      </c>
      <c r="G5983" s="2" t="s">
        <v>13</v>
      </c>
    </row>
    <row r="5984" spans="1:8" x14ac:dyDescent="0.2">
      <c r="A5984" s="2" t="s">
        <v>3651</v>
      </c>
      <c r="B5984" s="2" t="s">
        <v>1976</v>
      </c>
      <c r="C5984" s="2">
        <v>643.75019999999995</v>
      </c>
      <c r="D5984" s="2">
        <f>HYPERLINK("http://mcb-m6.bioreg.kyushu-u.ac.jp/M3/20110427/F51116/1577/1", 42.58)</f>
        <v>42.58</v>
      </c>
      <c r="E5984" s="2">
        <v>19.760000000000002</v>
      </c>
      <c r="F5984" s="2">
        <v>2</v>
      </c>
      <c r="G5984" s="2" t="s">
        <v>13</v>
      </c>
    </row>
    <row r="5985" spans="1:9" x14ac:dyDescent="0.2">
      <c r="A5985" s="2" t="s">
        <v>3651</v>
      </c>
      <c r="B5985" s="2" t="s">
        <v>581</v>
      </c>
      <c r="C5985" s="2">
        <v>550.59310000000005</v>
      </c>
      <c r="D5985" s="2">
        <f>HYPERLINK("http://mcb-m6.bioreg.kyushu-u.ac.jp/M3/20110427/F51117/1190/1", 49.76)</f>
        <v>49.76</v>
      </c>
      <c r="E5985" s="2">
        <v>25.99</v>
      </c>
      <c r="F5985" s="2">
        <v>2</v>
      </c>
      <c r="G5985" s="2" t="s">
        <v>13</v>
      </c>
    </row>
    <row r="5986" spans="1:9" x14ac:dyDescent="0.2">
      <c r="A5986" s="2" t="s">
        <v>3651</v>
      </c>
      <c r="B5986" s="2" t="s">
        <v>6499</v>
      </c>
      <c r="C5986" s="2">
        <v>642.24109999999996</v>
      </c>
      <c r="D5986" s="2">
        <f>HYPERLINK("http://mcb-m6.bioreg.kyushu-u.ac.jp/M3/20110427/F51117/1530/1", 50.04)</f>
        <v>50.04</v>
      </c>
      <c r="E5986" s="2">
        <v>35.99</v>
      </c>
      <c r="F5986" s="2">
        <v>2</v>
      </c>
      <c r="G5986" s="2" t="s">
        <v>13</v>
      </c>
    </row>
    <row r="5987" spans="1:9" x14ac:dyDescent="0.2">
      <c r="A5987" s="2" t="s">
        <v>3651</v>
      </c>
      <c r="B5987" s="2" t="s">
        <v>1476</v>
      </c>
      <c r="C5987" s="2">
        <v>826.71169999999995</v>
      </c>
      <c r="D5987" s="2">
        <f>HYPERLINK("http://mcb-m6.bioreg.kyushu-u.ac.jp/M3/20110427/F51115/2363/1", 53.37)</f>
        <v>53.37</v>
      </c>
      <c r="E5987" s="2">
        <v>38.92</v>
      </c>
      <c r="F5987" s="2">
        <v>2</v>
      </c>
      <c r="G5987" s="2" t="s">
        <v>13</v>
      </c>
    </row>
    <row r="5988" spans="1:9" x14ac:dyDescent="0.2">
      <c r="A5988" s="2" t="s">
        <v>3651</v>
      </c>
      <c r="B5988" s="2" t="s">
        <v>581</v>
      </c>
      <c r="C5988" s="2">
        <v>550.07460000000003</v>
      </c>
      <c r="D5988" s="2">
        <f>HYPERLINK("http://mcb-m6.bioreg.kyushu-u.ac.jp/M3/20110427/F51117/1188/1", 54.01)</f>
        <v>54.01</v>
      </c>
      <c r="E5988" s="2">
        <v>24.88</v>
      </c>
      <c r="F5988" s="2">
        <v>2</v>
      </c>
      <c r="G5988" s="2" t="s">
        <v>13</v>
      </c>
    </row>
    <row r="5989" spans="1:9" x14ac:dyDescent="0.2">
      <c r="A5989" s="2" t="s">
        <v>3651</v>
      </c>
      <c r="B5989" s="2" t="s">
        <v>1976</v>
      </c>
      <c r="C5989" s="2">
        <v>643.25160000000005</v>
      </c>
      <c r="D5989" s="2">
        <f>HYPERLINK("http://mcb-m6.bioreg.kyushu-u.ac.jp/M3/20110427/F51117/1536/1", 54.67)</f>
        <v>54.67</v>
      </c>
      <c r="E5989" s="2">
        <v>32.090000000000003</v>
      </c>
      <c r="F5989" s="2">
        <v>2</v>
      </c>
      <c r="G5989" s="2" t="s">
        <v>13</v>
      </c>
    </row>
    <row r="5990" spans="1:9" x14ac:dyDescent="0.2">
      <c r="A5990" s="2" t="s">
        <v>3651</v>
      </c>
      <c r="B5990" s="2" t="s">
        <v>1976</v>
      </c>
      <c r="C5990" s="2">
        <v>643.83219999999994</v>
      </c>
      <c r="D5990" s="2">
        <f>HYPERLINK("http://mcb-m6.bioreg.kyushu-u.ac.jp/M3/20110427/F51117/1539/1", 55.11)</f>
        <v>55.11</v>
      </c>
      <c r="E5990" s="2">
        <v>36.81</v>
      </c>
      <c r="F5990" s="2">
        <v>2</v>
      </c>
      <c r="G5990" s="2" t="s">
        <v>13</v>
      </c>
    </row>
    <row r="5991" spans="1:9" x14ac:dyDescent="0.2">
      <c r="A5991" s="2" t="s">
        <v>3651</v>
      </c>
      <c r="B5991" s="2" t="s">
        <v>1476</v>
      </c>
      <c r="C5991" s="2">
        <v>827.29020000000003</v>
      </c>
      <c r="D5991" s="2">
        <f>HYPERLINK("http://mcb-m6.bioreg.kyushu-u.ac.jp/M3/20110427/F51116/2471/1", 79.88)</f>
        <v>79.88</v>
      </c>
      <c r="E5991" s="2">
        <v>65.98</v>
      </c>
      <c r="F5991" s="2">
        <v>2</v>
      </c>
      <c r="G5991" s="2" t="s">
        <v>13</v>
      </c>
    </row>
    <row r="5992" spans="1:9" x14ac:dyDescent="0.2">
      <c r="A5992" s="2" t="s">
        <v>3651</v>
      </c>
      <c r="B5992" s="2" t="s">
        <v>2449</v>
      </c>
      <c r="C5992" s="2">
        <v>926.3356</v>
      </c>
      <c r="D5992" s="2">
        <f>HYPERLINK("http://mcb-m6.bioreg.kyushu-u.ac.jp/M3/20110427/F51117/2794/1", 135.05)</f>
        <v>135.05000000000001</v>
      </c>
      <c r="E5992" s="2">
        <v>116.95</v>
      </c>
      <c r="F5992" s="2">
        <v>2</v>
      </c>
      <c r="G5992" s="2" t="s">
        <v>13</v>
      </c>
      <c r="I5992" s="2" t="s">
        <v>4962</v>
      </c>
    </row>
    <row r="5993" spans="1:9" x14ac:dyDescent="0.2">
      <c r="A5993" s="2" t="s">
        <v>3651</v>
      </c>
      <c r="B5993" s="2" t="s">
        <v>5459</v>
      </c>
      <c r="C5993" s="2">
        <v>542.61969999999997</v>
      </c>
      <c r="D5993" s="2">
        <f>HYPERLINK("http://mcb-m6.bioreg.kyushu-u.ac.jp/M3/20110427/F51124/1251/1", 35.73)</f>
        <v>35.729999999999997</v>
      </c>
      <c r="E5993" s="2">
        <v>13.21</v>
      </c>
      <c r="F5993" s="2">
        <v>2</v>
      </c>
      <c r="G5993" s="2" t="s">
        <v>14</v>
      </c>
    </row>
    <row r="5994" spans="1:9" x14ac:dyDescent="0.2">
      <c r="A5994" s="2" t="s">
        <v>3651</v>
      </c>
      <c r="B5994" s="2" t="s">
        <v>1476</v>
      </c>
      <c r="C5994" s="2">
        <v>827.30269999999996</v>
      </c>
      <c r="D5994" s="2">
        <f>HYPERLINK("http://mcb-m6.bioreg.kyushu-u.ac.jp/M3/20110427/F51123/2454/1", 61.53)</f>
        <v>61.53</v>
      </c>
      <c r="E5994" s="2">
        <v>42.92</v>
      </c>
      <c r="F5994" s="2">
        <v>2</v>
      </c>
      <c r="G5994" s="2" t="s">
        <v>14</v>
      </c>
    </row>
    <row r="5995" spans="1:9" x14ac:dyDescent="0.2">
      <c r="A5995" s="2" t="s">
        <v>3651</v>
      </c>
      <c r="B5995" s="2" t="s">
        <v>1476</v>
      </c>
      <c r="C5995" s="2">
        <v>827.21119999999996</v>
      </c>
      <c r="D5995" s="2">
        <f>HYPERLINK("http://mcb-m6.bioreg.kyushu-u.ac.jp/M3/20110428/F51130/2483/1", 78.53)</f>
        <v>78.53</v>
      </c>
      <c r="E5995" s="2">
        <v>59.26</v>
      </c>
      <c r="F5995" s="2">
        <v>2</v>
      </c>
      <c r="G5995" s="2" t="s">
        <v>14</v>
      </c>
    </row>
    <row r="5996" spans="1:9" x14ac:dyDescent="0.2">
      <c r="A5996" s="2" t="s">
        <v>3651</v>
      </c>
      <c r="B5996" s="2" t="s">
        <v>1476</v>
      </c>
      <c r="C5996" s="2">
        <v>827.21669999999995</v>
      </c>
      <c r="D5996" s="2">
        <f>HYPERLINK("http://mcb-m6.bioreg.kyushu-u.ac.jp/M3/20110427/F51125/2460/1", 88.75)</f>
        <v>88.75</v>
      </c>
      <c r="E5996" s="2">
        <v>64.91</v>
      </c>
      <c r="F5996" s="2">
        <v>2</v>
      </c>
      <c r="G5996" s="2" t="s">
        <v>14</v>
      </c>
    </row>
    <row r="5997" spans="1:9" x14ac:dyDescent="0.2">
      <c r="A5997" s="2" t="s">
        <v>3651</v>
      </c>
      <c r="B5997" s="2" t="s">
        <v>1476</v>
      </c>
      <c r="C5997" s="2">
        <v>827.12159999999994</v>
      </c>
      <c r="D5997" s="2">
        <f>HYPERLINK("http://mcb-m6.bioreg.kyushu-u.ac.jp/M3/20110428/F51126/2451/1", 93.32)</f>
        <v>93.32</v>
      </c>
      <c r="E5997" s="2">
        <v>70.17</v>
      </c>
      <c r="F5997" s="2">
        <v>2</v>
      </c>
      <c r="G5997" s="2" t="s">
        <v>14</v>
      </c>
    </row>
    <row r="5998" spans="1:9" x14ac:dyDescent="0.2">
      <c r="A5998" s="2" t="s">
        <v>3432</v>
      </c>
      <c r="B5998" s="2" t="s">
        <v>5910</v>
      </c>
      <c r="C5998" s="2">
        <v>733.90949999999998</v>
      </c>
      <c r="D5998" s="2">
        <f>HYPERLINK("http://mcb-m6.bioreg.kyushu-u.ac.jp/M3/20110404/F50766/3488/1", 35.29)</f>
        <v>35.29</v>
      </c>
      <c r="E5998" s="2">
        <v>29.61</v>
      </c>
      <c r="F5998" s="2">
        <v>3</v>
      </c>
      <c r="G5998" s="2" t="s">
        <v>9</v>
      </c>
    </row>
    <row r="5999" spans="1:9" x14ac:dyDescent="0.2">
      <c r="A5999" s="2" t="s">
        <v>3432</v>
      </c>
      <c r="B5999" s="2" t="s">
        <v>5923</v>
      </c>
      <c r="C5999" s="2">
        <v>683.27919999999995</v>
      </c>
      <c r="D5999" s="2">
        <f>HYPERLINK("http://mcb-m6.bioreg.kyushu-u.ac.jp/M3/20110404/F50767/1390/1", 35.94)</f>
        <v>35.94</v>
      </c>
      <c r="E5999" s="2">
        <v>17.09</v>
      </c>
      <c r="F5999" s="2">
        <v>2</v>
      </c>
      <c r="G5999" s="2" t="s">
        <v>9</v>
      </c>
    </row>
    <row r="6000" spans="1:9" x14ac:dyDescent="0.2">
      <c r="A6000" s="2" t="s">
        <v>3432</v>
      </c>
      <c r="B6000" s="2" t="s">
        <v>1543</v>
      </c>
      <c r="C6000" s="2">
        <v>728.70420000000001</v>
      </c>
      <c r="D6000" s="2">
        <f>HYPERLINK("http://mcb-m6.bioreg.kyushu-u.ac.jp/M3/20110404/F50766/1477/1", 38.1)</f>
        <v>38.1</v>
      </c>
      <c r="E6000" s="2">
        <v>29.08</v>
      </c>
      <c r="F6000" s="2">
        <v>2</v>
      </c>
      <c r="G6000" s="2" t="s">
        <v>9</v>
      </c>
    </row>
    <row r="6001" spans="1:9" x14ac:dyDescent="0.2">
      <c r="A6001" s="2" t="s">
        <v>3432</v>
      </c>
      <c r="B6001" s="2" t="s">
        <v>6010</v>
      </c>
      <c r="C6001" s="2">
        <v>882.44709999999998</v>
      </c>
      <c r="D6001" s="2">
        <f>HYPERLINK("http://mcb-m6.bioreg.kyushu-u.ac.jp/M3/20110404/F50765/2405/1", 38.67)</f>
        <v>38.67</v>
      </c>
      <c r="E6001" s="2">
        <v>25.75</v>
      </c>
      <c r="F6001" s="2">
        <v>2</v>
      </c>
      <c r="G6001" s="2" t="s">
        <v>9</v>
      </c>
      <c r="I6001" s="2" t="s">
        <v>4895</v>
      </c>
    </row>
    <row r="6002" spans="1:9" x14ac:dyDescent="0.2">
      <c r="A6002" s="2" t="s">
        <v>3432</v>
      </c>
      <c r="B6002" s="2" t="s">
        <v>6043</v>
      </c>
      <c r="C6002" s="2">
        <v>850.31119999999999</v>
      </c>
      <c r="D6002" s="2">
        <f>HYPERLINK("http://mcb-m6.bioreg.kyushu-u.ac.jp/M3/20110404/F50767/2233/1", 40.02)</f>
        <v>40.020000000000003</v>
      </c>
      <c r="E6002" s="2">
        <v>20.309999999999999</v>
      </c>
      <c r="F6002" s="2">
        <v>2</v>
      </c>
      <c r="G6002" s="2" t="s">
        <v>9</v>
      </c>
    </row>
    <row r="6003" spans="1:9" x14ac:dyDescent="0.2">
      <c r="A6003" s="2" t="s">
        <v>3432</v>
      </c>
      <c r="B6003" s="2" t="s">
        <v>6073</v>
      </c>
      <c r="C6003" s="2">
        <v>602.34119999999996</v>
      </c>
      <c r="D6003" s="2">
        <f>HYPERLINK("http://mcb-m6.bioreg.kyushu-u.ac.jp/M3/20110404/F50766/872/1", 41)</f>
        <v>41</v>
      </c>
      <c r="E6003" s="2">
        <v>25.11</v>
      </c>
      <c r="F6003" s="2">
        <v>2</v>
      </c>
      <c r="G6003" s="2" t="s">
        <v>9</v>
      </c>
      <c r="I6003" s="2" t="s">
        <v>4903</v>
      </c>
    </row>
    <row r="6004" spans="1:9" x14ac:dyDescent="0.2">
      <c r="A6004" s="2" t="s">
        <v>3432</v>
      </c>
      <c r="B6004" s="2" t="s">
        <v>2722</v>
      </c>
      <c r="C6004" s="2">
        <v>922.04280000000006</v>
      </c>
      <c r="D6004" s="2">
        <f>HYPERLINK("http://mcb-m6.bioreg.kyushu-u.ac.jp/M3/20110404/F50766/4400/1", 41)</f>
        <v>41</v>
      </c>
      <c r="E6004" s="2">
        <v>36.99</v>
      </c>
      <c r="F6004" s="2">
        <v>3</v>
      </c>
      <c r="G6004" s="2" t="s">
        <v>9</v>
      </c>
      <c r="I6004" s="2" t="s">
        <v>4909</v>
      </c>
    </row>
    <row r="6005" spans="1:9" x14ac:dyDescent="0.2">
      <c r="A6005" s="2" t="s">
        <v>3432</v>
      </c>
      <c r="B6005" s="2" t="s">
        <v>2671</v>
      </c>
      <c r="C6005" s="2">
        <v>544.6191</v>
      </c>
      <c r="D6005" s="2">
        <f>HYPERLINK("http://mcb-m6.bioreg.kyushu-u.ac.jp/M3/20110404/F50766/646/1", 42.85)</f>
        <v>42.85</v>
      </c>
      <c r="E6005" s="2">
        <v>14.89</v>
      </c>
      <c r="F6005" s="2">
        <v>2</v>
      </c>
      <c r="G6005" s="2" t="s">
        <v>9</v>
      </c>
      <c r="I6005" s="2" t="s">
        <v>4899</v>
      </c>
    </row>
    <row r="6006" spans="1:9" x14ac:dyDescent="0.2">
      <c r="A6006" s="2" t="s">
        <v>3432</v>
      </c>
      <c r="B6006" s="2" t="s">
        <v>2140</v>
      </c>
      <c r="C6006" s="2">
        <v>750.88869999999997</v>
      </c>
      <c r="D6006" s="2">
        <f>HYPERLINK("http://mcb-m6.bioreg.kyushu-u.ac.jp/M3/20110404/F50766/1608/1", 43.23)</f>
        <v>43.23</v>
      </c>
      <c r="E6006" s="2">
        <v>25.88</v>
      </c>
      <c r="F6006" s="2">
        <v>2</v>
      </c>
      <c r="G6006" s="2" t="s">
        <v>9</v>
      </c>
    </row>
    <row r="6007" spans="1:9" x14ac:dyDescent="0.2">
      <c r="A6007" s="2" t="s">
        <v>3432</v>
      </c>
      <c r="B6007" s="2" t="s">
        <v>6135</v>
      </c>
      <c r="C6007" s="2">
        <v>1162.287</v>
      </c>
      <c r="D6007" s="2">
        <f>HYPERLINK("http://mcb-m6.bioreg.kyushu-u.ac.jp/M3/20110404/F50766/4965/1", 44.09)</f>
        <v>44.09</v>
      </c>
      <c r="E6007" s="2">
        <v>35.33</v>
      </c>
      <c r="F6007" s="2">
        <v>3</v>
      </c>
      <c r="G6007" s="2" t="s">
        <v>9</v>
      </c>
    </row>
    <row r="6008" spans="1:9" x14ac:dyDescent="0.2">
      <c r="A6008" s="2" t="s">
        <v>3432</v>
      </c>
      <c r="B6008" s="2" t="s">
        <v>781</v>
      </c>
      <c r="C6008" s="2">
        <v>620.74519999999995</v>
      </c>
      <c r="D6008" s="2">
        <f>HYPERLINK("http://mcb-m6.bioreg.kyushu-u.ac.jp/M3/20110404/F50767/1150/1", 44.55)</f>
        <v>44.55</v>
      </c>
      <c r="E6008" s="2">
        <v>29.97</v>
      </c>
      <c r="F6008" s="2">
        <v>2</v>
      </c>
      <c r="G6008" s="2" t="s">
        <v>9</v>
      </c>
    </row>
    <row r="6009" spans="1:9" x14ac:dyDescent="0.2">
      <c r="A6009" s="2" t="s">
        <v>3432</v>
      </c>
      <c r="B6009" s="2" t="s">
        <v>2672</v>
      </c>
      <c r="C6009" s="2">
        <v>646.05269999999996</v>
      </c>
      <c r="D6009" s="2">
        <f>HYPERLINK("http://mcb-m6.bioreg.kyushu-u.ac.jp/M3/20110404/F50767/1234/1", 45.71)</f>
        <v>45.71</v>
      </c>
      <c r="E6009" s="2">
        <v>31.16</v>
      </c>
      <c r="F6009" s="2">
        <v>2</v>
      </c>
      <c r="G6009" s="2" t="s">
        <v>9</v>
      </c>
    </row>
    <row r="6010" spans="1:9" x14ac:dyDescent="0.2">
      <c r="A6010" s="2" t="s">
        <v>3432</v>
      </c>
      <c r="B6010" s="2" t="s">
        <v>6186</v>
      </c>
      <c r="C6010" s="2">
        <v>846.00649999999996</v>
      </c>
      <c r="D6010" s="2">
        <f>HYPERLINK("http://mcb-m6.bioreg.kyushu-u.ac.jp/M3/20110404/F50766/4112/1", 45.83)</f>
        <v>45.83</v>
      </c>
      <c r="E6010" s="2">
        <v>36.46</v>
      </c>
      <c r="F6010" s="2">
        <v>3</v>
      </c>
      <c r="G6010" s="2" t="s">
        <v>9</v>
      </c>
      <c r="I6010" s="2" t="s">
        <v>4944</v>
      </c>
    </row>
    <row r="6011" spans="1:9" x14ac:dyDescent="0.2">
      <c r="A6011" s="2" t="s">
        <v>3432</v>
      </c>
      <c r="B6011" s="2" t="s">
        <v>6274</v>
      </c>
      <c r="C6011" s="2">
        <v>554.78309999999999</v>
      </c>
      <c r="D6011" s="2">
        <f>HYPERLINK("http://mcb-m6.bioreg.kyushu-u.ac.jp/M3/20110404/F50766/695/1", 50.45)</f>
        <v>50.45</v>
      </c>
      <c r="E6011" s="2">
        <v>23.53</v>
      </c>
      <c r="F6011" s="2">
        <v>2</v>
      </c>
      <c r="G6011" s="2" t="s">
        <v>9</v>
      </c>
    </row>
    <row r="6012" spans="1:9" x14ac:dyDescent="0.2">
      <c r="A6012" s="2" t="s">
        <v>3432</v>
      </c>
      <c r="B6012" s="2" t="s">
        <v>6314</v>
      </c>
      <c r="C6012" s="2">
        <v>632.06769999999995</v>
      </c>
      <c r="D6012" s="2">
        <f>HYPERLINK("http://mcb-m6.bioreg.kyushu-u.ac.jp/M3/20110404/F50767/1184/1", 52.38)</f>
        <v>52.38</v>
      </c>
      <c r="E6012" s="2">
        <v>34.81</v>
      </c>
      <c r="F6012" s="2">
        <v>2</v>
      </c>
      <c r="G6012" s="2" t="s">
        <v>9</v>
      </c>
    </row>
    <row r="6013" spans="1:9" x14ac:dyDescent="0.2">
      <c r="A6013" s="2" t="s">
        <v>3432</v>
      </c>
      <c r="B6013" s="2" t="s">
        <v>781</v>
      </c>
      <c r="C6013" s="2">
        <v>621.35519999999997</v>
      </c>
      <c r="D6013" s="2">
        <f>HYPERLINK("http://mcb-m6.bioreg.kyushu-u.ac.jp/M3/20110404/F50767/1153/1", 54.9)</f>
        <v>54.9</v>
      </c>
      <c r="E6013" s="2">
        <v>36.11</v>
      </c>
      <c r="F6013" s="2">
        <v>2</v>
      </c>
      <c r="G6013" s="2" t="s">
        <v>9</v>
      </c>
    </row>
    <row r="6014" spans="1:9" x14ac:dyDescent="0.2">
      <c r="A6014" s="2" t="s">
        <v>3432</v>
      </c>
      <c r="B6014" s="2" t="s">
        <v>2751</v>
      </c>
      <c r="C6014" s="2">
        <v>909.90309999999999</v>
      </c>
      <c r="D6014" s="2">
        <f>HYPERLINK("http://mcb-m6.bioreg.kyushu-u.ac.jp/M3/20110404/F50766/2511/1", 56.37)</f>
        <v>56.37</v>
      </c>
      <c r="E6014" s="2">
        <v>36.94</v>
      </c>
      <c r="F6014" s="2">
        <v>2</v>
      </c>
      <c r="G6014" s="2" t="s">
        <v>9</v>
      </c>
    </row>
    <row r="6015" spans="1:9" x14ac:dyDescent="0.2">
      <c r="A6015" s="2" t="s">
        <v>3432</v>
      </c>
      <c r="B6015" s="2" t="s">
        <v>781</v>
      </c>
      <c r="C6015" s="2">
        <v>620.60019999999997</v>
      </c>
      <c r="D6015" s="2">
        <f>HYPERLINK("http://mcb-m6.bioreg.kyushu-u.ac.jp/M3/20110404/F50766/956/1", 56.77)</f>
        <v>56.77</v>
      </c>
      <c r="E6015" s="2">
        <v>41.22</v>
      </c>
      <c r="F6015" s="2">
        <v>2</v>
      </c>
      <c r="G6015" s="2" t="s">
        <v>9</v>
      </c>
    </row>
    <row r="6016" spans="1:9" x14ac:dyDescent="0.2">
      <c r="A6016" s="2" t="s">
        <v>3432</v>
      </c>
      <c r="B6016" s="2" t="s">
        <v>6378</v>
      </c>
      <c r="C6016" s="2">
        <v>893.30820000000006</v>
      </c>
      <c r="D6016" s="2">
        <f>HYPERLINK("http://mcb-m6.bioreg.kyushu-u.ac.jp/M3/20110404/F50767/2433/1", 57.49)</f>
        <v>57.49</v>
      </c>
      <c r="E6016" s="2">
        <v>35.42</v>
      </c>
      <c r="F6016" s="2">
        <v>2</v>
      </c>
      <c r="G6016" s="2" t="s">
        <v>9</v>
      </c>
    </row>
    <row r="6017" spans="1:9" x14ac:dyDescent="0.2">
      <c r="A6017" s="2" t="s">
        <v>3432</v>
      </c>
      <c r="B6017" s="2" t="s">
        <v>631</v>
      </c>
      <c r="C6017" s="2">
        <v>823.82119999999998</v>
      </c>
      <c r="D6017" s="2">
        <f>HYPERLINK("http://mcb-m6.bioreg.kyushu-u.ac.jp/M3/20110404/F50767/2133/1", 57.62)</f>
        <v>57.62</v>
      </c>
      <c r="E6017" s="2">
        <v>42.38</v>
      </c>
      <c r="F6017" s="2">
        <v>2</v>
      </c>
      <c r="G6017" s="2" t="s">
        <v>9</v>
      </c>
    </row>
    <row r="6018" spans="1:9" x14ac:dyDescent="0.2">
      <c r="A6018" s="2" t="s">
        <v>3432</v>
      </c>
      <c r="B6018" s="2" t="s">
        <v>2687</v>
      </c>
      <c r="C6018" s="2">
        <v>871.04020000000003</v>
      </c>
      <c r="D6018" s="2">
        <f>HYPERLINK("http://mcb-m6.bioreg.kyushu-u.ac.jp/M3/20110404/F50767/2328/1", 58.68)</f>
        <v>58.68</v>
      </c>
      <c r="E6018" s="2">
        <v>41.15</v>
      </c>
      <c r="F6018" s="2">
        <v>2</v>
      </c>
      <c r="G6018" s="2" t="s">
        <v>9</v>
      </c>
    </row>
    <row r="6019" spans="1:9" x14ac:dyDescent="0.2">
      <c r="A6019" s="2" t="s">
        <v>3432</v>
      </c>
      <c r="B6019" s="2" t="s">
        <v>2687</v>
      </c>
      <c r="C6019" s="2">
        <v>870.89170000000001</v>
      </c>
      <c r="D6019" s="2">
        <f>HYPERLINK("http://mcb-m6.bioreg.kyushu-u.ac.jp/M3/20110404/F50766/2307/1", 59.51)</f>
        <v>59.51</v>
      </c>
      <c r="E6019" s="2">
        <v>40.549999999999997</v>
      </c>
      <c r="F6019" s="2">
        <v>2</v>
      </c>
      <c r="G6019" s="2" t="s">
        <v>9</v>
      </c>
    </row>
    <row r="6020" spans="1:9" x14ac:dyDescent="0.2">
      <c r="A6020" s="2" t="s">
        <v>3432</v>
      </c>
      <c r="B6020" s="2" t="s">
        <v>6378</v>
      </c>
      <c r="C6020" s="2">
        <v>892.80359999999996</v>
      </c>
      <c r="D6020" s="2">
        <f>HYPERLINK("http://mcb-m6.bioreg.kyushu-u.ac.jp/M3/20110404/F50766/2425/1", 60.17)</f>
        <v>60.17</v>
      </c>
      <c r="E6020" s="2">
        <v>41.77</v>
      </c>
      <c r="F6020" s="2">
        <v>2</v>
      </c>
      <c r="G6020" s="2" t="s">
        <v>9</v>
      </c>
    </row>
    <row r="6021" spans="1:9" x14ac:dyDescent="0.2">
      <c r="A6021" s="2" t="s">
        <v>3432</v>
      </c>
      <c r="B6021" s="2" t="s">
        <v>631</v>
      </c>
      <c r="C6021" s="2">
        <v>823.97609999999997</v>
      </c>
      <c r="D6021" s="2">
        <f>HYPERLINK("http://mcb-m6.bioreg.kyushu-u.ac.jp/M3/20110404/F50765/2205/1", 60.34)</f>
        <v>60.34</v>
      </c>
      <c r="E6021" s="2">
        <v>44.87</v>
      </c>
      <c r="F6021" s="2">
        <v>2</v>
      </c>
      <c r="G6021" s="2" t="s">
        <v>9</v>
      </c>
    </row>
    <row r="6022" spans="1:9" x14ac:dyDescent="0.2">
      <c r="A6022" s="2" t="s">
        <v>3432</v>
      </c>
      <c r="B6022" s="2" t="s">
        <v>1543</v>
      </c>
      <c r="C6022" s="2">
        <v>729.31269999999995</v>
      </c>
      <c r="D6022" s="2">
        <f>HYPERLINK("http://mcb-m6.bioreg.kyushu-u.ac.jp/M3/20110404/F50767/1667/1", 60.67)</f>
        <v>60.67</v>
      </c>
      <c r="E6022" s="2">
        <v>46.28</v>
      </c>
      <c r="F6022" s="2">
        <v>2</v>
      </c>
      <c r="G6022" s="2" t="s">
        <v>9</v>
      </c>
    </row>
    <row r="6023" spans="1:9" x14ac:dyDescent="0.2">
      <c r="A6023" s="2" t="s">
        <v>3432</v>
      </c>
      <c r="B6023" s="2" t="s">
        <v>631</v>
      </c>
      <c r="C6023" s="2">
        <v>549.6508</v>
      </c>
      <c r="D6023" s="2">
        <f>HYPERLINK("http://mcb-m6.bioreg.kyushu-u.ac.jp/M3/20110404/F50766/2045/1", 63.05)</f>
        <v>63.05</v>
      </c>
      <c r="E6023" s="2">
        <v>44.38</v>
      </c>
      <c r="F6023" s="2">
        <v>3</v>
      </c>
      <c r="G6023" s="2" t="s">
        <v>9</v>
      </c>
    </row>
    <row r="6024" spans="1:9" x14ac:dyDescent="0.2">
      <c r="A6024" s="2" t="s">
        <v>3432</v>
      </c>
      <c r="B6024" s="2" t="s">
        <v>631</v>
      </c>
      <c r="C6024" s="2">
        <v>824.37819999999999</v>
      </c>
      <c r="D6024" s="2">
        <f>HYPERLINK("http://mcb-m6.bioreg.kyushu-u.ac.jp/M3/20110404/F50767/2136/1", 64.4)</f>
        <v>64.400000000000006</v>
      </c>
      <c r="E6024" s="2">
        <v>48.56</v>
      </c>
      <c r="F6024" s="2">
        <v>2</v>
      </c>
      <c r="G6024" s="2" t="s">
        <v>9</v>
      </c>
    </row>
    <row r="6025" spans="1:9" x14ac:dyDescent="0.2">
      <c r="A6025" s="2" t="s">
        <v>3432</v>
      </c>
      <c r="B6025" s="2" t="s">
        <v>2140</v>
      </c>
      <c r="C6025" s="2">
        <v>751.27120000000002</v>
      </c>
      <c r="D6025" s="2">
        <f>HYPERLINK("http://mcb-m6.bioreg.kyushu-u.ac.jp/M3/20110404/F50767/1776/1", 64.9)</f>
        <v>64.900000000000006</v>
      </c>
      <c r="E6025" s="2">
        <v>43.76</v>
      </c>
      <c r="F6025" s="2">
        <v>2</v>
      </c>
      <c r="G6025" s="2" t="s">
        <v>9</v>
      </c>
    </row>
    <row r="6026" spans="1:9" x14ac:dyDescent="0.2">
      <c r="A6026" s="2" t="s">
        <v>3432</v>
      </c>
      <c r="B6026" s="2" t="s">
        <v>6442</v>
      </c>
      <c r="C6026" s="2">
        <v>1023.309</v>
      </c>
      <c r="D6026" s="2">
        <f>HYPERLINK("http://mcb-m6.bioreg.kyushu-u.ac.jp/M3/20110404/F50766/3105/1", 64.92)</f>
        <v>64.92</v>
      </c>
      <c r="E6026" s="2">
        <v>41.32</v>
      </c>
      <c r="F6026" s="2">
        <v>2</v>
      </c>
      <c r="G6026" s="2" t="s">
        <v>9</v>
      </c>
      <c r="I6026" s="2" t="s">
        <v>4893</v>
      </c>
    </row>
    <row r="6027" spans="1:9" x14ac:dyDescent="0.2">
      <c r="A6027" s="2" t="s">
        <v>3432</v>
      </c>
      <c r="B6027" s="2" t="s">
        <v>6314</v>
      </c>
      <c r="C6027" s="2">
        <v>631.81669999999997</v>
      </c>
      <c r="D6027" s="2">
        <f>HYPERLINK("http://mcb-m6.bioreg.kyushu-u.ac.jp/M3/20110404/F50766/1006/1", 65.39)</f>
        <v>65.39</v>
      </c>
      <c r="E6027" s="2">
        <v>49.8</v>
      </c>
      <c r="F6027" s="2">
        <v>2</v>
      </c>
      <c r="G6027" s="2" t="s">
        <v>9</v>
      </c>
    </row>
    <row r="6028" spans="1:9" x14ac:dyDescent="0.2">
      <c r="A6028" s="2" t="s">
        <v>3432</v>
      </c>
      <c r="B6028" s="2" t="s">
        <v>6473</v>
      </c>
      <c r="C6028" s="2">
        <v>540.19759999999997</v>
      </c>
      <c r="D6028" s="2">
        <f>HYPERLINK("http://mcb-m6.bioreg.kyushu-u.ac.jp/M3/20110404/F50766/628/1", 67.94)</f>
        <v>67.94</v>
      </c>
      <c r="E6028" s="2">
        <v>55.22</v>
      </c>
      <c r="F6028" s="2">
        <v>2</v>
      </c>
      <c r="G6028" s="2" t="s">
        <v>9</v>
      </c>
    </row>
    <row r="6029" spans="1:9" x14ac:dyDescent="0.2">
      <c r="A6029" s="2" t="s">
        <v>3432</v>
      </c>
      <c r="B6029" s="2" t="s">
        <v>2751</v>
      </c>
      <c r="C6029" s="2">
        <v>910.23910000000001</v>
      </c>
      <c r="D6029" s="2">
        <f>HYPERLINK("http://mcb-m6.bioreg.kyushu-u.ac.jp/M3/20110404/F50767/2510/1", 68.55)</f>
        <v>68.55</v>
      </c>
      <c r="E6029" s="2">
        <v>50.29</v>
      </c>
      <c r="F6029" s="2">
        <v>2</v>
      </c>
      <c r="G6029" s="2" t="s">
        <v>9</v>
      </c>
    </row>
    <row r="6030" spans="1:9" x14ac:dyDescent="0.2">
      <c r="A6030" s="2" t="s">
        <v>3432</v>
      </c>
      <c r="B6030" s="2" t="s">
        <v>240</v>
      </c>
      <c r="C6030" s="2">
        <v>656.61720000000003</v>
      </c>
      <c r="D6030" s="2">
        <f>HYPERLINK("http://mcb-m6.bioreg.kyushu-u.ac.jp/M3/20110404/F50766/1090/1", 68.73)</f>
        <v>68.73</v>
      </c>
      <c r="E6030" s="2">
        <v>51.43</v>
      </c>
      <c r="F6030" s="2">
        <v>2</v>
      </c>
      <c r="G6030" s="2" t="s">
        <v>9</v>
      </c>
    </row>
    <row r="6031" spans="1:9" x14ac:dyDescent="0.2">
      <c r="A6031" s="2" t="s">
        <v>3432</v>
      </c>
      <c r="B6031" s="2" t="s">
        <v>6442</v>
      </c>
      <c r="C6031" s="2">
        <v>1023.314</v>
      </c>
      <c r="D6031" s="2">
        <f>HYPERLINK("http://mcb-m6.bioreg.kyushu-u.ac.jp/M3/20110404/F50767/2969/1", 69.59)</f>
        <v>69.59</v>
      </c>
      <c r="E6031" s="2">
        <v>54.48</v>
      </c>
      <c r="F6031" s="2">
        <v>2</v>
      </c>
      <c r="G6031" s="2" t="s">
        <v>9</v>
      </c>
      <c r="I6031" s="2" t="s">
        <v>4893</v>
      </c>
    </row>
    <row r="6032" spans="1:9" x14ac:dyDescent="0.2">
      <c r="A6032" s="2" t="s">
        <v>3432</v>
      </c>
      <c r="B6032" s="2" t="s">
        <v>3181</v>
      </c>
      <c r="C6032" s="2">
        <v>613.22310000000004</v>
      </c>
      <c r="D6032" s="2">
        <f>HYPERLINK("http://mcb-m6.bioreg.kyushu-u.ac.jp/M3/20110404/F50767/1124/1", 71.05)</f>
        <v>71.05</v>
      </c>
      <c r="E6032" s="2">
        <v>51.63</v>
      </c>
      <c r="F6032" s="2">
        <v>2</v>
      </c>
      <c r="G6032" s="2" t="s">
        <v>9</v>
      </c>
    </row>
    <row r="6033" spans="1:7" x14ac:dyDescent="0.2">
      <c r="A6033" s="2" t="s">
        <v>3432</v>
      </c>
      <c r="B6033" s="2" t="s">
        <v>2140</v>
      </c>
      <c r="C6033" s="2">
        <v>751.38120000000004</v>
      </c>
      <c r="D6033" s="2">
        <f>HYPERLINK("http://mcb-m6.bioreg.kyushu-u.ac.jp/M3/20110404/F50765/1900/1", 75.25)</f>
        <v>75.25</v>
      </c>
      <c r="E6033" s="2">
        <v>48.65</v>
      </c>
      <c r="F6033" s="2">
        <v>2</v>
      </c>
      <c r="G6033" s="2" t="s">
        <v>9</v>
      </c>
    </row>
    <row r="6034" spans="1:7" x14ac:dyDescent="0.2">
      <c r="A6034" s="2" t="s">
        <v>3432</v>
      </c>
      <c r="B6034" s="2" t="s">
        <v>1097</v>
      </c>
      <c r="C6034" s="2">
        <v>760.76620000000003</v>
      </c>
      <c r="D6034" s="2">
        <f>HYPERLINK("http://mcb-m6.bioreg.kyushu-u.ac.jp/M3/20110404/F50766/1680/1", 76.66)</f>
        <v>76.66</v>
      </c>
      <c r="E6034" s="2">
        <v>47.01</v>
      </c>
      <c r="F6034" s="2">
        <v>2</v>
      </c>
      <c r="G6034" s="2" t="s">
        <v>9</v>
      </c>
    </row>
    <row r="6035" spans="1:7" x14ac:dyDescent="0.2">
      <c r="A6035" s="2" t="s">
        <v>3432</v>
      </c>
      <c r="B6035" s="2" t="s">
        <v>1543</v>
      </c>
      <c r="C6035" s="2">
        <v>728.75160000000005</v>
      </c>
      <c r="D6035" s="2">
        <f>HYPERLINK("http://mcb-m6.bioreg.kyushu-u.ac.jp/M3/20110404/F50767/1664/1", 77)</f>
        <v>77</v>
      </c>
      <c r="E6035" s="2">
        <v>58.59</v>
      </c>
      <c r="F6035" s="2">
        <v>2</v>
      </c>
      <c r="G6035" s="2" t="s">
        <v>9</v>
      </c>
    </row>
    <row r="6036" spans="1:7" x14ac:dyDescent="0.2">
      <c r="A6036" s="2" t="s">
        <v>3432</v>
      </c>
      <c r="B6036" s="2" t="s">
        <v>6542</v>
      </c>
      <c r="C6036" s="2">
        <v>1169.8219999999999</v>
      </c>
      <c r="D6036" s="2">
        <f>HYPERLINK("http://mcb-m6.bioreg.kyushu-u.ac.jp/M3/20110404/F50766/3806/1", 77.52)</f>
        <v>77.52</v>
      </c>
      <c r="E6036" s="2">
        <v>64.989999999999995</v>
      </c>
      <c r="F6036" s="2">
        <v>2</v>
      </c>
      <c r="G6036" s="2" t="s">
        <v>9</v>
      </c>
    </row>
    <row r="6037" spans="1:7" x14ac:dyDescent="0.2">
      <c r="A6037" s="2" t="s">
        <v>3432</v>
      </c>
      <c r="B6037" s="2" t="s">
        <v>1322</v>
      </c>
      <c r="C6037" s="2">
        <v>584.26210000000003</v>
      </c>
      <c r="D6037" s="2">
        <f>HYPERLINK("http://mcb-m6.bioreg.kyushu-u.ac.jp/M3/20110404/F50766/796/1", 77.95)</f>
        <v>77.95</v>
      </c>
      <c r="E6037" s="2">
        <v>61.77</v>
      </c>
      <c r="F6037" s="2">
        <v>2</v>
      </c>
      <c r="G6037" s="2" t="s">
        <v>9</v>
      </c>
    </row>
    <row r="6038" spans="1:7" x14ac:dyDescent="0.2">
      <c r="A6038" s="2" t="s">
        <v>3432</v>
      </c>
      <c r="B6038" s="2" t="s">
        <v>1097</v>
      </c>
      <c r="C6038" s="2">
        <v>760.29319999999996</v>
      </c>
      <c r="D6038" s="2">
        <f>HYPERLINK("http://mcb-m6.bioreg.kyushu-u.ac.jp/M3/20110404/F50767/1821/1", 82.51)</f>
        <v>82.51</v>
      </c>
      <c r="E6038" s="2">
        <v>61.7</v>
      </c>
      <c r="F6038" s="2">
        <v>2</v>
      </c>
      <c r="G6038" s="2" t="s">
        <v>9</v>
      </c>
    </row>
    <row r="6039" spans="1:7" x14ac:dyDescent="0.2">
      <c r="A6039" s="2" t="s">
        <v>3432</v>
      </c>
      <c r="B6039" s="2" t="s">
        <v>6135</v>
      </c>
      <c r="C6039" s="2">
        <v>1162.845</v>
      </c>
      <c r="D6039" s="2">
        <f>HYPERLINK("http://mcb-m6.bioreg.kyushu-u.ac.jp/M3/20110404/F50766/4967/1", 91.54)</f>
        <v>91.54</v>
      </c>
      <c r="E6039" s="2">
        <v>80.3</v>
      </c>
      <c r="F6039" s="2">
        <v>3</v>
      </c>
      <c r="G6039" s="2" t="s">
        <v>9</v>
      </c>
    </row>
    <row r="6040" spans="1:7" x14ac:dyDescent="0.2">
      <c r="A6040" s="2" t="s">
        <v>3432</v>
      </c>
      <c r="B6040" s="2" t="s">
        <v>631</v>
      </c>
      <c r="C6040" s="2">
        <v>823.71119999999996</v>
      </c>
      <c r="D6040" s="2">
        <f>HYPERLINK("http://mcb-m6.bioreg.kyushu-u.ac.jp/M3/20110404/F50766/2044/1", 97.4)</f>
        <v>97.4</v>
      </c>
      <c r="E6040" s="2">
        <v>76.72</v>
      </c>
      <c r="F6040" s="2">
        <v>2</v>
      </c>
      <c r="G6040" s="2" t="s">
        <v>9</v>
      </c>
    </row>
    <row r="6041" spans="1:7" x14ac:dyDescent="0.2">
      <c r="A6041" s="2" t="s">
        <v>3432</v>
      </c>
      <c r="B6041" s="2" t="s">
        <v>6651</v>
      </c>
      <c r="C6041" s="2">
        <v>1001.379</v>
      </c>
      <c r="D6041" s="2">
        <f>HYPERLINK("http://mcb-m6.bioreg.kyushu-u.ac.jp/M3/20110404/F50767/2893/1", 107.74)</f>
        <v>107.74</v>
      </c>
      <c r="E6041" s="2">
        <v>99.65</v>
      </c>
      <c r="F6041" s="2">
        <v>2</v>
      </c>
      <c r="G6041" s="2" t="s">
        <v>9</v>
      </c>
    </row>
    <row r="6042" spans="1:7" x14ac:dyDescent="0.2">
      <c r="A6042" s="2" t="s">
        <v>3432</v>
      </c>
      <c r="B6042" s="2" t="s">
        <v>1274</v>
      </c>
      <c r="C6042" s="2">
        <v>785.79819999999995</v>
      </c>
      <c r="D6042" s="2">
        <f>HYPERLINK("http://mcb-m6.bioreg.kyushu-u.ac.jp/M3/20110404/F50766/1840/1", 110.2)</f>
        <v>110.2</v>
      </c>
      <c r="E6042" s="2">
        <v>91.69</v>
      </c>
      <c r="F6042" s="2">
        <v>2</v>
      </c>
      <c r="G6042" s="2" t="s">
        <v>9</v>
      </c>
    </row>
    <row r="6043" spans="1:7" x14ac:dyDescent="0.2">
      <c r="A6043" s="2" t="s">
        <v>3432</v>
      </c>
      <c r="B6043" s="2" t="s">
        <v>6651</v>
      </c>
      <c r="C6043" s="2">
        <v>1001.327</v>
      </c>
      <c r="D6043" s="2">
        <f>HYPERLINK("http://mcb-m6.bioreg.kyushu-u.ac.jp/M3/20110404/F50766/2998/1", 126.64)</f>
        <v>126.64</v>
      </c>
      <c r="E6043" s="2">
        <v>106.16</v>
      </c>
      <c r="F6043" s="2">
        <v>2</v>
      </c>
      <c r="G6043" s="2" t="s">
        <v>9</v>
      </c>
    </row>
    <row r="6044" spans="1:7" x14ac:dyDescent="0.2">
      <c r="A6044" s="2" t="s">
        <v>3432</v>
      </c>
      <c r="B6044" s="2" t="s">
        <v>2696</v>
      </c>
      <c r="C6044" s="2">
        <v>801.97860000000003</v>
      </c>
      <c r="D6044" s="2">
        <f>HYPERLINK("http://mcb-m6.bioreg.kyushu-u.ac.jp/M3/20110404/F50773/2079/1", 35.58)</f>
        <v>35.58</v>
      </c>
      <c r="E6044" s="2">
        <v>22.09</v>
      </c>
      <c r="F6044" s="2">
        <v>2</v>
      </c>
      <c r="G6044" s="2" t="s">
        <v>10</v>
      </c>
    </row>
    <row r="6045" spans="1:7" x14ac:dyDescent="0.2">
      <c r="A6045" s="2" t="s">
        <v>3432</v>
      </c>
      <c r="B6045" s="2" t="s">
        <v>387</v>
      </c>
      <c r="C6045" s="2">
        <v>631.87819999999999</v>
      </c>
      <c r="D6045" s="2">
        <f>HYPERLINK("http://mcb-m6.bioreg.kyushu-u.ac.jp/M3/20110404/F50773/1370/1", 37.26)</f>
        <v>37.26</v>
      </c>
      <c r="E6045" s="2">
        <v>11.08</v>
      </c>
      <c r="F6045" s="2">
        <v>2</v>
      </c>
      <c r="G6045" s="2" t="s">
        <v>10</v>
      </c>
    </row>
    <row r="6046" spans="1:7" x14ac:dyDescent="0.2">
      <c r="A6046" s="2" t="s">
        <v>3432</v>
      </c>
      <c r="B6046" s="2" t="s">
        <v>781</v>
      </c>
      <c r="C6046" s="2">
        <v>620.33320000000003</v>
      </c>
      <c r="D6046" s="2">
        <f>HYPERLINK("http://mcb-m6.bioreg.kyushu-u.ac.jp/M3/20110404/F50773/1329/1", 37.75)</f>
        <v>37.75</v>
      </c>
      <c r="E6046" s="2">
        <v>20.350000000000001</v>
      </c>
      <c r="F6046" s="2">
        <v>2</v>
      </c>
      <c r="G6046" s="2" t="s">
        <v>10</v>
      </c>
    </row>
    <row r="6047" spans="1:7" x14ac:dyDescent="0.2">
      <c r="A6047" s="2" t="s">
        <v>3432</v>
      </c>
      <c r="B6047" s="2" t="s">
        <v>240</v>
      </c>
      <c r="C6047" s="2">
        <v>656.77970000000005</v>
      </c>
      <c r="D6047" s="2">
        <f>HYPERLINK("http://mcb-m6.bioreg.kyushu-u.ac.jp/M3/20110404/F50773/1450/1", 38.08)</f>
        <v>38.08</v>
      </c>
      <c r="E6047" s="2">
        <v>18.149999999999999</v>
      </c>
      <c r="F6047" s="2">
        <v>2</v>
      </c>
      <c r="G6047" s="2" t="s">
        <v>10</v>
      </c>
    </row>
    <row r="6048" spans="1:7" x14ac:dyDescent="0.2">
      <c r="A6048" s="2" t="s">
        <v>3432</v>
      </c>
      <c r="B6048" s="2" t="s">
        <v>652</v>
      </c>
      <c r="C6048" s="2">
        <v>1151.7380000000001</v>
      </c>
      <c r="D6048" s="2">
        <f>HYPERLINK("http://mcb-m6.bioreg.kyushu-u.ac.jp/M3/20110404/F50772/1256/1", 38.65)</f>
        <v>38.65</v>
      </c>
      <c r="E6048" s="2">
        <v>9.81</v>
      </c>
      <c r="F6048" s="2">
        <v>1</v>
      </c>
      <c r="G6048" s="2" t="s">
        <v>10</v>
      </c>
    </row>
    <row r="6049" spans="1:9" x14ac:dyDescent="0.2">
      <c r="A6049" s="2" t="s">
        <v>3432</v>
      </c>
      <c r="B6049" s="2" t="s">
        <v>631</v>
      </c>
      <c r="C6049" s="2">
        <v>824.25869999999998</v>
      </c>
      <c r="D6049" s="2">
        <f>HYPERLINK("http://mcb-m6.bioreg.kyushu-u.ac.jp/M3/20110404/F50770/2208/1", 38.96)</f>
        <v>38.96</v>
      </c>
      <c r="E6049" s="2">
        <v>12.97</v>
      </c>
      <c r="F6049" s="2">
        <v>2</v>
      </c>
      <c r="G6049" s="2" t="s">
        <v>10</v>
      </c>
    </row>
    <row r="6050" spans="1:9" x14ac:dyDescent="0.2">
      <c r="A6050" s="2" t="s">
        <v>3432</v>
      </c>
      <c r="B6050" s="2" t="s">
        <v>2687</v>
      </c>
      <c r="C6050" s="2">
        <v>871.09670000000006</v>
      </c>
      <c r="D6050" s="2">
        <f>HYPERLINK("http://mcb-m6.bioreg.kyushu-u.ac.jp/M3/20110404/F50772/2421/1", 40.47)</f>
        <v>40.47</v>
      </c>
      <c r="E6050" s="2">
        <v>27.56</v>
      </c>
      <c r="F6050" s="2">
        <v>2</v>
      </c>
      <c r="G6050" s="2" t="s">
        <v>10</v>
      </c>
    </row>
    <row r="6051" spans="1:9" x14ac:dyDescent="0.2">
      <c r="A6051" s="2" t="s">
        <v>3432</v>
      </c>
      <c r="B6051" s="2" t="s">
        <v>6010</v>
      </c>
      <c r="C6051" s="2">
        <v>882.42070000000001</v>
      </c>
      <c r="D6051" s="2">
        <f>HYPERLINK("http://mcb-m6.bioreg.kyushu-u.ac.jp/M3/20110404/F50773/2343/1", 40.67)</f>
        <v>40.67</v>
      </c>
      <c r="E6051" s="2">
        <v>30</v>
      </c>
      <c r="F6051" s="2">
        <v>2</v>
      </c>
      <c r="G6051" s="2" t="s">
        <v>10</v>
      </c>
      <c r="I6051" s="2" t="s">
        <v>4895</v>
      </c>
    </row>
    <row r="6052" spans="1:9" x14ac:dyDescent="0.2">
      <c r="A6052" s="2" t="s">
        <v>3432</v>
      </c>
      <c r="B6052" s="2" t="s">
        <v>6010</v>
      </c>
      <c r="C6052" s="2">
        <v>882.33119999999997</v>
      </c>
      <c r="D6052" s="2">
        <f>HYPERLINK("http://mcb-m6.bioreg.kyushu-u.ac.jp/M3/20110404/F50771/2446/1", 42.96)</f>
        <v>42.96</v>
      </c>
      <c r="E6052" s="2">
        <v>34.020000000000003</v>
      </c>
      <c r="F6052" s="2">
        <v>2</v>
      </c>
      <c r="G6052" s="2" t="s">
        <v>10</v>
      </c>
      <c r="I6052" s="2" t="s">
        <v>4895</v>
      </c>
    </row>
    <row r="6053" spans="1:9" x14ac:dyDescent="0.2">
      <c r="A6053" s="2" t="s">
        <v>3432</v>
      </c>
      <c r="B6053" s="2" t="s">
        <v>2672</v>
      </c>
      <c r="C6053" s="2">
        <v>646.40009999999995</v>
      </c>
      <c r="D6053" s="2">
        <f>HYPERLINK("http://mcb-m6.bioreg.kyushu-u.ac.jp/M3/20110404/F50773/1412/1", 47.05)</f>
        <v>47.05</v>
      </c>
      <c r="E6053" s="2">
        <v>28.37</v>
      </c>
      <c r="F6053" s="2">
        <v>2</v>
      </c>
      <c r="G6053" s="2" t="s">
        <v>10</v>
      </c>
    </row>
    <row r="6054" spans="1:9" x14ac:dyDescent="0.2">
      <c r="A6054" s="2" t="s">
        <v>3432</v>
      </c>
      <c r="B6054" s="2" t="s">
        <v>3181</v>
      </c>
      <c r="C6054" s="2">
        <v>1226.278</v>
      </c>
      <c r="D6054" s="2">
        <f>HYPERLINK("http://mcb-m6.bioreg.kyushu-u.ac.jp/M3/20110404/F50772/1412/1", 50.56)</f>
        <v>50.56</v>
      </c>
      <c r="E6054" s="2">
        <v>34.200000000000003</v>
      </c>
      <c r="F6054" s="2">
        <v>1</v>
      </c>
      <c r="G6054" s="2" t="s">
        <v>10</v>
      </c>
    </row>
    <row r="6055" spans="1:9" x14ac:dyDescent="0.2">
      <c r="A6055" s="2" t="s">
        <v>3432</v>
      </c>
      <c r="B6055" s="2" t="s">
        <v>1097</v>
      </c>
      <c r="C6055" s="2">
        <v>760.36019999999996</v>
      </c>
      <c r="D6055" s="2">
        <f>HYPERLINK("http://mcb-m6.bioreg.kyushu-u.ac.jp/M3/20110404/F50773/1911/1", 51.47)</f>
        <v>51.47</v>
      </c>
      <c r="E6055" s="2">
        <v>37.67</v>
      </c>
      <c r="F6055" s="2">
        <v>2</v>
      </c>
      <c r="G6055" s="2" t="s">
        <v>10</v>
      </c>
    </row>
    <row r="6056" spans="1:9" x14ac:dyDescent="0.2">
      <c r="A6056" s="2" t="s">
        <v>3432</v>
      </c>
      <c r="B6056" s="2" t="s">
        <v>6876</v>
      </c>
      <c r="C6056" s="2">
        <v>543.63120000000004</v>
      </c>
      <c r="D6056" s="2">
        <f>HYPERLINK("http://mcb-m6.bioreg.kyushu-u.ac.jp/M3/20110404/F50772/1171/1", 52.58)</f>
        <v>52.58</v>
      </c>
      <c r="E6056" s="2">
        <v>25.86</v>
      </c>
      <c r="F6056" s="2">
        <v>2</v>
      </c>
      <c r="G6056" s="2" t="s">
        <v>10</v>
      </c>
    </row>
    <row r="6057" spans="1:9" x14ac:dyDescent="0.2">
      <c r="A6057" s="2" t="s">
        <v>3432</v>
      </c>
      <c r="B6057" s="2" t="s">
        <v>6885</v>
      </c>
      <c r="C6057" s="2">
        <v>539.85569999999996</v>
      </c>
      <c r="D6057" s="2">
        <f>HYPERLINK("http://mcb-m6.bioreg.kyushu-u.ac.jp/M3/20110404/F50772/1158/1", 53.58)</f>
        <v>53.58</v>
      </c>
      <c r="E6057" s="2">
        <v>27.3</v>
      </c>
      <c r="F6057" s="2">
        <v>2</v>
      </c>
      <c r="G6057" s="2" t="s">
        <v>10</v>
      </c>
    </row>
    <row r="6058" spans="1:9" x14ac:dyDescent="0.2">
      <c r="A6058" s="2" t="s">
        <v>3432</v>
      </c>
      <c r="B6058" s="2" t="s">
        <v>6890</v>
      </c>
      <c r="C6058" s="2">
        <v>758.54219999999998</v>
      </c>
      <c r="D6058" s="2">
        <f>HYPERLINK("http://mcb-m6.bioreg.kyushu-u.ac.jp/M3/20110404/F50772/1996/1", 54.48)</f>
        <v>54.48</v>
      </c>
      <c r="E6058" s="2">
        <v>21.39</v>
      </c>
      <c r="F6058" s="2">
        <v>2</v>
      </c>
      <c r="G6058" s="2" t="s">
        <v>10</v>
      </c>
    </row>
    <row r="6059" spans="1:9" x14ac:dyDescent="0.2">
      <c r="A6059" s="2" t="s">
        <v>3432</v>
      </c>
      <c r="B6059" s="2" t="s">
        <v>6274</v>
      </c>
      <c r="C6059" s="2">
        <v>554.89369999999997</v>
      </c>
      <c r="D6059" s="2">
        <f>HYPERLINK("http://mcb-m6.bioreg.kyushu-u.ac.jp/M3/20110404/F50772/1199/1", 54.87)</f>
        <v>54.87</v>
      </c>
      <c r="E6059" s="2">
        <v>24.51</v>
      </c>
      <c r="F6059" s="2">
        <v>2</v>
      </c>
      <c r="G6059" s="2" t="s">
        <v>10</v>
      </c>
    </row>
    <row r="6060" spans="1:9" x14ac:dyDescent="0.2">
      <c r="A6060" s="2" t="s">
        <v>3432</v>
      </c>
      <c r="B6060" s="2" t="s">
        <v>6274</v>
      </c>
      <c r="C6060" s="2">
        <v>554.73320000000001</v>
      </c>
      <c r="D6060" s="2">
        <f>HYPERLINK("http://mcb-m6.bioreg.kyushu-u.ac.jp/M3/20110404/F50773/1116/1", 55.53)</f>
        <v>55.53</v>
      </c>
      <c r="E6060" s="2">
        <v>34.79</v>
      </c>
      <c r="F6060" s="2">
        <v>2</v>
      </c>
      <c r="G6060" s="2" t="s">
        <v>10</v>
      </c>
    </row>
    <row r="6061" spans="1:9" x14ac:dyDescent="0.2">
      <c r="A6061" s="2" t="s">
        <v>3432</v>
      </c>
      <c r="B6061" s="2" t="s">
        <v>6906</v>
      </c>
      <c r="C6061" s="2">
        <v>593.39670000000001</v>
      </c>
      <c r="D6061" s="2">
        <f>HYPERLINK("http://mcb-m6.bioreg.kyushu-u.ac.jp/M3/20110404/F50772/1318/1", 55.9)</f>
        <v>55.9</v>
      </c>
      <c r="E6061" s="2">
        <v>37.46</v>
      </c>
      <c r="F6061" s="2">
        <v>2</v>
      </c>
      <c r="G6061" s="2" t="s">
        <v>10</v>
      </c>
      <c r="I6061" s="2" t="s">
        <v>4914</v>
      </c>
    </row>
    <row r="6062" spans="1:9" x14ac:dyDescent="0.2">
      <c r="A6062" s="2" t="s">
        <v>3432</v>
      </c>
      <c r="B6062" s="2" t="s">
        <v>2140</v>
      </c>
      <c r="C6062" s="2">
        <v>751.1807</v>
      </c>
      <c r="D6062" s="2">
        <f>HYPERLINK("http://mcb-m6.bioreg.kyushu-u.ac.jp/M3/20110404/F50773/1875/1", 56.33)</f>
        <v>56.33</v>
      </c>
      <c r="E6062" s="2">
        <v>39.96</v>
      </c>
      <c r="F6062" s="2">
        <v>2</v>
      </c>
      <c r="G6062" s="2" t="s">
        <v>10</v>
      </c>
    </row>
    <row r="6063" spans="1:9" x14ac:dyDescent="0.2">
      <c r="A6063" s="2" t="s">
        <v>3432</v>
      </c>
      <c r="B6063" s="2" t="s">
        <v>2687</v>
      </c>
      <c r="C6063" s="2">
        <v>879.37620000000004</v>
      </c>
      <c r="D6063" s="2">
        <f>HYPERLINK("http://mcb-m6.bioreg.kyushu-u.ac.jp/M3/20110404/F50772/2463/1", 56.71)</f>
        <v>56.71</v>
      </c>
      <c r="E6063" s="2">
        <v>41.09</v>
      </c>
      <c r="F6063" s="2">
        <v>2</v>
      </c>
      <c r="G6063" s="2" t="s">
        <v>10</v>
      </c>
      <c r="H6063" s="2" t="s">
        <v>4910</v>
      </c>
    </row>
    <row r="6064" spans="1:9" x14ac:dyDescent="0.2">
      <c r="A6064" s="2" t="s">
        <v>3432</v>
      </c>
      <c r="B6064" s="2" t="s">
        <v>5923</v>
      </c>
      <c r="C6064" s="2">
        <v>682.91560000000004</v>
      </c>
      <c r="D6064" s="2">
        <f>HYPERLINK("http://mcb-m6.bioreg.kyushu-u.ac.jp/M3/20110404/F50773/1565/1", 57.13)</f>
        <v>57.13</v>
      </c>
      <c r="E6064" s="2">
        <v>38.130000000000003</v>
      </c>
      <c r="F6064" s="2">
        <v>2</v>
      </c>
      <c r="G6064" s="2" t="s">
        <v>10</v>
      </c>
    </row>
    <row r="6065" spans="1:7" x14ac:dyDescent="0.2">
      <c r="A6065" s="2" t="s">
        <v>3432</v>
      </c>
      <c r="B6065" s="2" t="s">
        <v>6911</v>
      </c>
      <c r="C6065" s="2">
        <v>651.51210000000003</v>
      </c>
      <c r="D6065" s="2">
        <f>HYPERLINK("http://mcb-m6.bioreg.kyushu-u.ac.jp/M3/20110404/F50772/1530/1", 57.21)</f>
        <v>57.21</v>
      </c>
      <c r="E6065" s="2">
        <v>36.04</v>
      </c>
      <c r="F6065" s="2">
        <v>2</v>
      </c>
      <c r="G6065" s="2" t="s">
        <v>10</v>
      </c>
    </row>
    <row r="6066" spans="1:7" x14ac:dyDescent="0.2">
      <c r="A6066" s="2" t="s">
        <v>3432</v>
      </c>
      <c r="B6066" s="2" t="s">
        <v>631</v>
      </c>
      <c r="C6066" s="2">
        <v>824.03369999999995</v>
      </c>
      <c r="D6066" s="2">
        <f>HYPERLINK("http://mcb-m6.bioreg.kyushu-u.ac.jp/M3/20110404/F50773/2154/1", 59.66)</f>
        <v>59.66</v>
      </c>
      <c r="E6066" s="2">
        <v>41.8</v>
      </c>
      <c r="F6066" s="2">
        <v>2</v>
      </c>
      <c r="G6066" s="2" t="s">
        <v>10</v>
      </c>
    </row>
    <row r="6067" spans="1:7" x14ac:dyDescent="0.2">
      <c r="A6067" s="2" t="s">
        <v>3432</v>
      </c>
      <c r="B6067" s="2" t="s">
        <v>1543</v>
      </c>
      <c r="C6067" s="2">
        <v>729.28219999999999</v>
      </c>
      <c r="D6067" s="2">
        <f>HYPERLINK("http://mcb-m6.bioreg.kyushu-u.ac.jp/M3/20110404/F50771/1847/1", 61.17)</f>
        <v>61.17</v>
      </c>
      <c r="E6067" s="2">
        <v>42.07</v>
      </c>
      <c r="F6067" s="2">
        <v>2</v>
      </c>
      <c r="G6067" s="2" t="s">
        <v>10</v>
      </c>
    </row>
    <row r="6068" spans="1:7" x14ac:dyDescent="0.2">
      <c r="A6068" s="2" t="s">
        <v>3432</v>
      </c>
      <c r="B6068" s="2" t="s">
        <v>2897</v>
      </c>
      <c r="C6068" s="2">
        <v>709.61770000000001</v>
      </c>
      <c r="D6068" s="2">
        <f>HYPERLINK("http://mcb-m6.bioreg.kyushu-u.ac.jp/M3/20110404/F50772/1773/1", 61.28)</f>
        <v>61.28</v>
      </c>
      <c r="E6068" s="2">
        <v>27.26</v>
      </c>
      <c r="F6068" s="2">
        <v>2</v>
      </c>
      <c r="G6068" s="2" t="s">
        <v>10</v>
      </c>
    </row>
    <row r="6069" spans="1:7" x14ac:dyDescent="0.2">
      <c r="A6069" s="2" t="s">
        <v>3432</v>
      </c>
      <c r="B6069" s="2" t="s">
        <v>631</v>
      </c>
      <c r="C6069" s="2">
        <v>549.75850000000003</v>
      </c>
      <c r="D6069" s="2">
        <f>HYPERLINK("http://mcb-m6.bioreg.kyushu-u.ac.jp/M3/20110404/F50772/2259/1", 63.96)</f>
        <v>63.96</v>
      </c>
      <c r="E6069" s="2">
        <v>44.87</v>
      </c>
      <c r="F6069" s="2">
        <v>3</v>
      </c>
      <c r="G6069" s="2" t="s">
        <v>10</v>
      </c>
    </row>
    <row r="6070" spans="1:7" x14ac:dyDescent="0.2">
      <c r="A6070" s="2" t="s">
        <v>3432</v>
      </c>
      <c r="B6070" s="2" t="s">
        <v>2696</v>
      </c>
      <c r="C6070" s="2">
        <v>802.04219999999998</v>
      </c>
      <c r="D6070" s="2">
        <f>HYPERLINK("http://mcb-m6.bioreg.kyushu-u.ac.jp/M3/20110404/F50772/2185/1", 64.6)</f>
        <v>64.599999999999994</v>
      </c>
      <c r="E6070" s="2">
        <v>42.08</v>
      </c>
      <c r="F6070" s="2">
        <v>2</v>
      </c>
      <c r="G6070" s="2" t="s">
        <v>10</v>
      </c>
    </row>
    <row r="6071" spans="1:7" x14ac:dyDescent="0.2">
      <c r="A6071" s="2" t="s">
        <v>3432</v>
      </c>
      <c r="B6071" s="2" t="s">
        <v>5923</v>
      </c>
      <c r="C6071" s="2">
        <v>682.97469999999998</v>
      </c>
      <c r="D6071" s="2">
        <f>HYPERLINK("http://mcb-m6.bioreg.kyushu-u.ac.jp/M3/20110404/F50772/1633/1", 66.24)</f>
        <v>66.239999999999995</v>
      </c>
      <c r="E6071" s="2">
        <v>43.78</v>
      </c>
      <c r="F6071" s="2">
        <v>2</v>
      </c>
      <c r="G6071" s="2" t="s">
        <v>10</v>
      </c>
    </row>
    <row r="6072" spans="1:7" x14ac:dyDescent="0.2">
      <c r="A6072" s="2" t="s">
        <v>3432</v>
      </c>
      <c r="B6072" s="2" t="s">
        <v>6958</v>
      </c>
      <c r="C6072" s="2">
        <v>690.52509999999995</v>
      </c>
      <c r="D6072" s="2">
        <f>HYPERLINK("http://mcb-m6.bioreg.kyushu-u.ac.jp/M3/20110404/F50773/1618/1", 66.32)</f>
        <v>66.319999999999993</v>
      </c>
      <c r="E6072" s="2">
        <v>52.05</v>
      </c>
      <c r="F6072" s="2">
        <v>2</v>
      </c>
      <c r="G6072" s="2" t="s">
        <v>10</v>
      </c>
    </row>
    <row r="6073" spans="1:7" x14ac:dyDescent="0.2">
      <c r="A6073" s="2" t="s">
        <v>3432</v>
      </c>
      <c r="B6073" s="2" t="s">
        <v>6542</v>
      </c>
      <c r="C6073" s="2">
        <v>1170.0989999999999</v>
      </c>
      <c r="D6073" s="2">
        <f>HYPERLINK("http://mcb-m6.bioreg.kyushu-u.ac.jp/M3/20110404/F50773/3155/1", 67.23)</f>
        <v>67.23</v>
      </c>
      <c r="E6073" s="2">
        <v>57.41</v>
      </c>
      <c r="F6073" s="2">
        <v>2</v>
      </c>
      <c r="G6073" s="2" t="s">
        <v>10</v>
      </c>
    </row>
    <row r="6074" spans="1:7" x14ac:dyDescent="0.2">
      <c r="A6074" s="2" t="s">
        <v>3432</v>
      </c>
      <c r="B6074" s="2" t="s">
        <v>6378</v>
      </c>
      <c r="C6074" s="2">
        <v>893.35720000000003</v>
      </c>
      <c r="D6074" s="2">
        <f>HYPERLINK("http://mcb-m6.bioreg.kyushu-u.ac.jp/M3/20110404/F50772/2519/1", 67.49)</f>
        <v>67.489999999999995</v>
      </c>
      <c r="E6074" s="2">
        <v>51.15</v>
      </c>
      <c r="F6074" s="2">
        <v>2</v>
      </c>
      <c r="G6074" s="2" t="s">
        <v>10</v>
      </c>
    </row>
    <row r="6075" spans="1:7" x14ac:dyDescent="0.2">
      <c r="A6075" s="2" t="s">
        <v>3432</v>
      </c>
      <c r="B6075" s="2" t="s">
        <v>6378</v>
      </c>
      <c r="C6075" s="2">
        <v>893.08510000000001</v>
      </c>
      <c r="D6075" s="2">
        <f>HYPERLINK("http://mcb-m6.bioreg.kyushu-u.ac.jp/M3/20110404/F50773/2398/1", 67.66)</f>
        <v>67.66</v>
      </c>
      <c r="E6075" s="2">
        <v>48</v>
      </c>
      <c r="F6075" s="2">
        <v>2</v>
      </c>
      <c r="G6075" s="2" t="s">
        <v>10</v>
      </c>
    </row>
    <row r="6076" spans="1:7" x14ac:dyDescent="0.2">
      <c r="A6076" s="2" t="s">
        <v>3432</v>
      </c>
      <c r="B6076" s="2" t="s">
        <v>781</v>
      </c>
      <c r="C6076" s="2">
        <v>620.85720000000003</v>
      </c>
      <c r="D6076" s="2">
        <f>HYPERLINK("http://mcb-m6.bioreg.kyushu-u.ac.jp/M3/20110404/F50772/1441/1", 68.56)</f>
        <v>68.56</v>
      </c>
      <c r="E6076" s="2">
        <v>50.29</v>
      </c>
      <c r="F6076" s="2">
        <v>2</v>
      </c>
      <c r="G6076" s="2" t="s">
        <v>10</v>
      </c>
    </row>
    <row r="6077" spans="1:7" x14ac:dyDescent="0.2">
      <c r="A6077" s="2" t="s">
        <v>3432</v>
      </c>
      <c r="B6077" s="2" t="s">
        <v>1322</v>
      </c>
      <c r="C6077" s="2">
        <v>584.4307</v>
      </c>
      <c r="D6077" s="2">
        <f>HYPERLINK("http://mcb-m6.bioreg.kyushu-u.ac.jp/M3/20110404/F50772/1285/1", 70.65)</f>
        <v>70.650000000000006</v>
      </c>
      <c r="E6077" s="2">
        <v>40.200000000000003</v>
      </c>
      <c r="F6077" s="2">
        <v>2</v>
      </c>
      <c r="G6077" s="2" t="s">
        <v>10</v>
      </c>
    </row>
    <row r="6078" spans="1:7" x14ac:dyDescent="0.2">
      <c r="A6078" s="2" t="s">
        <v>3432</v>
      </c>
      <c r="B6078" s="2" t="s">
        <v>3181</v>
      </c>
      <c r="C6078" s="2">
        <v>613.26070000000004</v>
      </c>
      <c r="D6078" s="2">
        <f>HYPERLINK("http://mcb-m6.bioreg.kyushu-u.ac.jp/M3/20110404/F50773/1305/1", 72.16)</f>
        <v>72.16</v>
      </c>
      <c r="E6078" s="2">
        <v>55.08</v>
      </c>
      <c r="F6078" s="2">
        <v>2</v>
      </c>
      <c r="G6078" s="2" t="s">
        <v>10</v>
      </c>
    </row>
    <row r="6079" spans="1:7" x14ac:dyDescent="0.2">
      <c r="A6079" s="2" t="s">
        <v>3432</v>
      </c>
      <c r="B6079" s="2" t="s">
        <v>1097</v>
      </c>
      <c r="C6079" s="2">
        <v>760.91060000000004</v>
      </c>
      <c r="D6079" s="2">
        <f>HYPERLINK("http://mcb-m6.bioreg.kyushu-u.ac.jp/M3/20110404/F50772/2006/1", 72.42)</f>
        <v>72.42</v>
      </c>
      <c r="E6079" s="2">
        <v>50.05</v>
      </c>
      <c r="F6079" s="2">
        <v>2</v>
      </c>
      <c r="G6079" s="2" t="s">
        <v>10</v>
      </c>
    </row>
    <row r="6080" spans="1:7" x14ac:dyDescent="0.2">
      <c r="A6080" s="2" t="s">
        <v>3432</v>
      </c>
      <c r="B6080" s="2" t="s">
        <v>3181</v>
      </c>
      <c r="C6080" s="2">
        <v>613.3057</v>
      </c>
      <c r="D6080" s="2">
        <f>HYPERLINK("http://mcb-m6.bioreg.kyushu-u.ac.jp/M3/20110404/F50772/1411/1", 73.01)</f>
        <v>73.010000000000005</v>
      </c>
      <c r="E6080" s="2">
        <v>54.11</v>
      </c>
      <c r="F6080" s="2">
        <v>2</v>
      </c>
      <c r="G6080" s="2" t="s">
        <v>10</v>
      </c>
    </row>
    <row r="6081" spans="1:9" x14ac:dyDescent="0.2">
      <c r="A6081" s="2" t="s">
        <v>3432</v>
      </c>
      <c r="B6081" s="2" t="s">
        <v>3181</v>
      </c>
      <c r="C6081" s="2">
        <v>613.83420000000001</v>
      </c>
      <c r="D6081" s="2">
        <f>HYPERLINK("http://mcb-m6.bioreg.kyushu-u.ac.jp/M3/20110404/F50773/1308/1", 73.07)</f>
        <v>73.069999999999993</v>
      </c>
      <c r="E6081" s="2">
        <v>56.63</v>
      </c>
      <c r="F6081" s="2">
        <v>2</v>
      </c>
      <c r="G6081" s="2" t="s">
        <v>10</v>
      </c>
    </row>
    <row r="6082" spans="1:9" x14ac:dyDescent="0.2">
      <c r="A6082" s="2" t="s">
        <v>3432</v>
      </c>
      <c r="B6082" s="2" t="s">
        <v>240</v>
      </c>
      <c r="C6082" s="2">
        <v>657.42570000000001</v>
      </c>
      <c r="D6082" s="2">
        <f>HYPERLINK("http://mcb-m6.bioreg.kyushu-u.ac.jp/M3/20110404/F50772/1549/1", 73.34)</f>
        <v>73.34</v>
      </c>
      <c r="E6082" s="2">
        <v>52.91</v>
      </c>
      <c r="F6082" s="2">
        <v>2</v>
      </c>
      <c r="G6082" s="2" t="s">
        <v>10</v>
      </c>
    </row>
    <row r="6083" spans="1:9" x14ac:dyDescent="0.2">
      <c r="A6083" s="2" t="s">
        <v>3432</v>
      </c>
      <c r="B6083" s="2" t="s">
        <v>387</v>
      </c>
      <c r="C6083" s="2">
        <v>631.39509999999996</v>
      </c>
      <c r="D6083" s="2">
        <f>HYPERLINK("http://mcb-m6.bioreg.kyushu-u.ac.jp/M3/20110404/F50772/1473/1", 76.66)</f>
        <v>76.66</v>
      </c>
      <c r="E6083" s="2">
        <v>52.37</v>
      </c>
      <c r="F6083" s="2">
        <v>2</v>
      </c>
      <c r="G6083" s="2" t="s">
        <v>10</v>
      </c>
    </row>
    <row r="6084" spans="1:9" x14ac:dyDescent="0.2">
      <c r="A6084" s="2" t="s">
        <v>3432</v>
      </c>
      <c r="B6084" s="2" t="s">
        <v>631</v>
      </c>
      <c r="C6084" s="2">
        <v>824.09670000000006</v>
      </c>
      <c r="D6084" s="2">
        <f>HYPERLINK("http://mcb-m6.bioreg.kyushu-u.ac.jp/M3/20110404/F50772/2258/1", 76.79)</f>
        <v>76.790000000000006</v>
      </c>
      <c r="E6084" s="2">
        <v>59.43</v>
      </c>
      <c r="F6084" s="2">
        <v>2</v>
      </c>
      <c r="G6084" s="2" t="s">
        <v>10</v>
      </c>
    </row>
    <row r="6085" spans="1:9" x14ac:dyDescent="0.2">
      <c r="A6085" s="2" t="s">
        <v>3432</v>
      </c>
      <c r="B6085" s="2" t="s">
        <v>6442</v>
      </c>
      <c r="C6085" s="2">
        <v>1023.494</v>
      </c>
      <c r="D6085" s="2">
        <f>HYPERLINK("http://mcb-m6.bioreg.kyushu-u.ac.jp/M3/20110404/F50773/2837/1", 81.19)</f>
        <v>81.19</v>
      </c>
      <c r="E6085" s="2">
        <v>54.62</v>
      </c>
      <c r="F6085" s="2">
        <v>2</v>
      </c>
      <c r="G6085" s="2" t="s">
        <v>10</v>
      </c>
      <c r="I6085" s="2" t="s">
        <v>4893</v>
      </c>
    </row>
    <row r="6086" spans="1:9" x14ac:dyDescent="0.2">
      <c r="A6086" s="2" t="s">
        <v>3432</v>
      </c>
      <c r="B6086" s="2" t="s">
        <v>1274</v>
      </c>
      <c r="C6086" s="2">
        <v>786.0367</v>
      </c>
      <c r="D6086" s="2">
        <f>HYPERLINK("http://mcb-m6.bioreg.kyushu-u.ac.jp/M3/20110404/F50772/2127/1", 82.14)</f>
        <v>82.14</v>
      </c>
      <c r="E6086" s="2">
        <v>66.25</v>
      </c>
      <c r="F6086" s="2">
        <v>2</v>
      </c>
      <c r="G6086" s="2" t="s">
        <v>10</v>
      </c>
    </row>
    <row r="6087" spans="1:9" x14ac:dyDescent="0.2">
      <c r="A6087" s="2" t="s">
        <v>3432</v>
      </c>
      <c r="B6087" s="2" t="s">
        <v>2140</v>
      </c>
      <c r="C6087" s="2">
        <v>1500.75</v>
      </c>
      <c r="D6087" s="2">
        <f>HYPERLINK("http://mcb-m6.bioreg.kyushu-u.ac.jp/M3/20110404/F50772/1960/1", 88.76)</f>
        <v>88.76</v>
      </c>
      <c r="E6087" s="2">
        <v>72.739999999999995</v>
      </c>
      <c r="F6087" s="2">
        <v>1</v>
      </c>
      <c r="G6087" s="2" t="s">
        <v>10</v>
      </c>
    </row>
    <row r="6088" spans="1:9" x14ac:dyDescent="0.2">
      <c r="A6088" s="2" t="s">
        <v>3432</v>
      </c>
      <c r="B6088" s="2" t="s">
        <v>1274</v>
      </c>
      <c r="C6088" s="2">
        <v>786.30269999999996</v>
      </c>
      <c r="D6088" s="2">
        <f>HYPERLINK("http://mcb-m6.bioreg.kyushu-u.ac.jp/M3/20110404/F50773/2020/1", 95.03)</f>
        <v>95.03</v>
      </c>
      <c r="E6088" s="2">
        <v>82.96</v>
      </c>
      <c r="F6088" s="2">
        <v>2</v>
      </c>
      <c r="G6088" s="2" t="s">
        <v>10</v>
      </c>
    </row>
    <row r="6089" spans="1:9" x14ac:dyDescent="0.2">
      <c r="A6089" s="2" t="s">
        <v>3432</v>
      </c>
      <c r="B6089" s="2" t="s">
        <v>6442</v>
      </c>
      <c r="C6089" s="2">
        <v>1023.465</v>
      </c>
      <c r="D6089" s="2">
        <f>HYPERLINK("http://mcb-m6.bioreg.kyushu-u.ac.jp/M3/20110404/F50772/2936/1", 97.66)</f>
        <v>97.66</v>
      </c>
      <c r="E6089" s="2">
        <v>74.08</v>
      </c>
      <c r="F6089" s="2">
        <v>2</v>
      </c>
      <c r="G6089" s="2" t="s">
        <v>10</v>
      </c>
      <c r="I6089" s="2" t="s">
        <v>4893</v>
      </c>
    </row>
    <row r="6090" spans="1:9" x14ac:dyDescent="0.2">
      <c r="A6090" s="2" t="s">
        <v>3432</v>
      </c>
      <c r="B6090" s="2" t="s">
        <v>6542</v>
      </c>
      <c r="C6090" s="2">
        <v>1170.1420000000001</v>
      </c>
      <c r="D6090" s="2">
        <f>HYPERLINK("http://mcb-m6.bioreg.kyushu-u.ac.jp/M3/20110404/F50772/3248/1", 98.99)</f>
        <v>98.99</v>
      </c>
      <c r="E6090" s="2">
        <v>83.67</v>
      </c>
      <c r="F6090" s="2">
        <v>2</v>
      </c>
      <c r="G6090" s="2" t="s">
        <v>10</v>
      </c>
    </row>
    <row r="6091" spans="1:9" x14ac:dyDescent="0.2">
      <c r="A6091" s="2" t="s">
        <v>3432</v>
      </c>
      <c r="B6091" s="2" t="s">
        <v>6651</v>
      </c>
      <c r="C6091" s="2">
        <v>1001.533</v>
      </c>
      <c r="D6091" s="2">
        <f>HYPERLINK("http://mcb-m6.bioreg.kyushu-u.ac.jp/M3/20110404/F50772/2883/1", 113.17)</f>
        <v>113.17</v>
      </c>
      <c r="E6091" s="2">
        <v>99.64</v>
      </c>
      <c r="F6091" s="2">
        <v>2</v>
      </c>
      <c r="G6091" s="2" t="s">
        <v>10</v>
      </c>
    </row>
    <row r="6092" spans="1:9" x14ac:dyDescent="0.2">
      <c r="A6092" s="2" t="s">
        <v>3432</v>
      </c>
      <c r="B6092" s="2" t="s">
        <v>6442</v>
      </c>
      <c r="C6092" s="2">
        <v>1022.923</v>
      </c>
      <c r="D6092" s="2">
        <f>HYPERLINK("http://mcb-m6.bioreg.kyushu-u.ac.jp/M3/20110404/F50772/2932/1", 120.94)</f>
        <v>120.94</v>
      </c>
      <c r="E6092" s="2">
        <v>99.29</v>
      </c>
      <c r="F6092" s="2">
        <v>2</v>
      </c>
      <c r="G6092" s="2" t="s">
        <v>10</v>
      </c>
      <c r="I6092" s="2" t="s">
        <v>4893</v>
      </c>
    </row>
    <row r="6093" spans="1:9" x14ac:dyDescent="0.2">
      <c r="A6093" s="2" t="s">
        <v>3432</v>
      </c>
      <c r="B6093" s="2" t="s">
        <v>7062</v>
      </c>
      <c r="C6093" s="2">
        <v>1188.06</v>
      </c>
      <c r="D6093" s="2">
        <f>HYPERLINK("http://mcb-m6.bioreg.kyushu-u.ac.jp/M3/20110404/F50772/3285/1", 124.96)</f>
        <v>124.96</v>
      </c>
      <c r="E6093" s="2">
        <v>115.57</v>
      </c>
      <c r="F6093" s="2">
        <v>2</v>
      </c>
      <c r="G6093" s="2" t="s">
        <v>10</v>
      </c>
      <c r="I6093" s="2" t="s">
        <v>4941</v>
      </c>
    </row>
    <row r="6094" spans="1:9" x14ac:dyDescent="0.2">
      <c r="A6094" s="2" t="s">
        <v>3432</v>
      </c>
      <c r="B6094" s="2" t="s">
        <v>387</v>
      </c>
      <c r="C6094" s="2">
        <v>631.89760000000001</v>
      </c>
      <c r="D6094" s="2">
        <f>HYPERLINK("http://mcb-m6.bioreg.kyushu-u.ac.jp/M3/20110421/F51042/1263/1", 41.4)</f>
        <v>41.4</v>
      </c>
      <c r="E6094" s="2">
        <v>23.28</v>
      </c>
      <c r="F6094" s="2">
        <v>2</v>
      </c>
      <c r="G6094" s="2" t="s">
        <v>11</v>
      </c>
    </row>
    <row r="6095" spans="1:9" x14ac:dyDescent="0.2">
      <c r="A6095" s="2" t="s">
        <v>3432</v>
      </c>
      <c r="B6095" s="2" t="s">
        <v>781</v>
      </c>
      <c r="C6095" s="2">
        <v>620.72059999999999</v>
      </c>
      <c r="D6095" s="2">
        <f>HYPERLINK("http://mcb-m6.bioreg.kyushu-u.ac.jp/M3/20110421/F51019/1605/1", 46.13)</f>
        <v>46.13</v>
      </c>
      <c r="E6095" s="2">
        <v>31.51</v>
      </c>
      <c r="F6095" s="2">
        <v>2</v>
      </c>
      <c r="G6095" s="2" t="s">
        <v>11</v>
      </c>
    </row>
    <row r="6096" spans="1:9" x14ac:dyDescent="0.2">
      <c r="A6096" s="2" t="s">
        <v>3432</v>
      </c>
      <c r="B6096" s="2" t="s">
        <v>1881</v>
      </c>
      <c r="C6096" s="2">
        <v>752.23019999999997</v>
      </c>
      <c r="D6096" s="2">
        <f>HYPERLINK("http://mcb-m6.bioreg.kyushu-u.ac.jp/M3/20110421/F51020/2093/1", 47.85)</f>
        <v>47.85</v>
      </c>
      <c r="E6096" s="2">
        <v>32.229999999999997</v>
      </c>
      <c r="F6096" s="2">
        <v>2</v>
      </c>
      <c r="G6096" s="2" t="s">
        <v>11</v>
      </c>
    </row>
    <row r="6097" spans="1:8" x14ac:dyDescent="0.2">
      <c r="A6097" s="2" t="s">
        <v>3432</v>
      </c>
      <c r="B6097" s="2" t="s">
        <v>240</v>
      </c>
      <c r="C6097" s="2">
        <v>656.62570000000005</v>
      </c>
      <c r="D6097" s="2">
        <f>HYPERLINK("http://mcb-m6.bioreg.kyushu-u.ac.jp/M3/20110421/F51020/1624/1", 48.1)</f>
        <v>48.1</v>
      </c>
      <c r="E6097" s="2">
        <v>24.33</v>
      </c>
      <c r="F6097" s="2">
        <v>2</v>
      </c>
      <c r="G6097" s="2" t="s">
        <v>11</v>
      </c>
    </row>
    <row r="6098" spans="1:8" x14ac:dyDescent="0.2">
      <c r="A6098" s="2" t="s">
        <v>3432</v>
      </c>
      <c r="B6098" s="2" t="s">
        <v>3181</v>
      </c>
      <c r="C6098" s="2">
        <v>613.36360000000002</v>
      </c>
      <c r="D6098" s="2">
        <f>HYPERLINK("http://mcb-m6.bioreg.kyushu-u.ac.jp/M3/20110421/F51020/1523/1", 51.14)</f>
        <v>51.14</v>
      </c>
      <c r="E6098" s="2">
        <v>32.01</v>
      </c>
      <c r="F6098" s="2">
        <v>2</v>
      </c>
      <c r="G6098" s="2" t="s">
        <v>11</v>
      </c>
    </row>
    <row r="6099" spans="1:8" x14ac:dyDescent="0.2">
      <c r="A6099" s="2" t="s">
        <v>3432</v>
      </c>
      <c r="B6099" s="2" t="s">
        <v>2687</v>
      </c>
      <c r="C6099" s="2">
        <v>879.35519999999997</v>
      </c>
      <c r="D6099" s="2">
        <f>HYPERLINK("http://mcb-m6.bioreg.kyushu-u.ac.jp/M3/20110421/F51020/2617/1", 52.42)</f>
        <v>52.42</v>
      </c>
      <c r="E6099" s="2">
        <v>36.5</v>
      </c>
      <c r="F6099" s="2">
        <v>2</v>
      </c>
      <c r="G6099" s="2" t="s">
        <v>11</v>
      </c>
      <c r="H6099" s="2" t="s">
        <v>4910</v>
      </c>
    </row>
    <row r="6100" spans="1:8" x14ac:dyDescent="0.2">
      <c r="A6100" s="2" t="s">
        <v>3432</v>
      </c>
      <c r="B6100" s="2" t="s">
        <v>3181</v>
      </c>
      <c r="C6100" s="2">
        <v>613.82870000000003</v>
      </c>
      <c r="D6100" s="2">
        <f>HYPERLINK("http://mcb-m6.bioreg.kyushu-u.ac.jp/M3/20110421/F51019/1592/1", 52.95)</f>
        <v>52.95</v>
      </c>
      <c r="E6100" s="2">
        <v>36.65</v>
      </c>
      <c r="F6100" s="2">
        <v>2</v>
      </c>
      <c r="G6100" s="2" t="s">
        <v>11</v>
      </c>
    </row>
    <row r="6101" spans="1:8" x14ac:dyDescent="0.2">
      <c r="A6101" s="2" t="s">
        <v>3432</v>
      </c>
      <c r="B6101" s="2" t="s">
        <v>387</v>
      </c>
      <c r="C6101" s="2">
        <v>631.59310000000005</v>
      </c>
      <c r="D6101" s="2">
        <f>HYPERLINK("http://mcb-m6.bioreg.kyushu-u.ac.jp/M3/20110421/F51019/1639/1", 55.78)</f>
        <v>55.78</v>
      </c>
      <c r="E6101" s="2">
        <v>43.75</v>
      </c>
      <c r="F6101" s="2">
        <v>2</v>
      </c>
      <c r="G6101" s="2" t="s">
        <v>11</v>
      </c>
    </row>
    <row r="6102" spans="1:8" x14ac:dyDescent="0.2">
      <c r="A6102" s="2" t="s">
        <v>3432</v>
      </c>
      <c r="B6102" s="2" t="s">
        <v>240</v>
      </c>
      <c r="C6102" s="2">
        <v>656.77120000000002</v>
      </c>
      <c r="D6102" s="2">
        <f>HYPERLINK("http://mcb-m6.bioreg.kyushu-u.ac.jp/M3/20110421/F51019/1690/1", 61.67)</f>
        <v>61.67</v>
      </c>
      <c r="E6102" s="2">
        <v>42.65</v>
      </c>
      <c r="F6102" s="2">
        <v>2</v>
      </c>
      <c r="G6102" s="2" t="s">
        <v>11</v>
      </c>
    </row>
    <row r="6103" spans="1:8" x14ac:dyDescent="0.2">
      <c r="A6103" s="2" t="s">
        <v>3432</v>
      </c>
      <c r="B6103" s="2" t="s">
        <v>1543</v>
      </c>
      <c r="C6103" s="2">
        <v>728.84010000000001</v>
      </c>
      <c r="D6103" s="2">
        <f>HYPERLINK("http://mcb-m6.bioreg.kyushu-u.ac.jp/M3/20110421/F51042/1843/1", 61.81)</f>
        <v>61.81</v>
      </c>
      <c r="E6103" s="2">
        <v>44.58</v>
      </c>
      <c r="F6103" s="2">
        <v>2</v>
      </c>
      <c r="G6103" s="2" t="s">
        <v>11</v>
      </c>
    </row>
    <row r="6104" spans="1:8" x14ac:dyDescent="0.2">
      <c r="A6104" s="2" t="s">
        <v>3432</v>
      </c>
      <c r="B6104" s="2" t="s">
        <v>781</v>
      </c>
      <c r="C6104" s="2">
        <v>620.76009999999997</v>
      </c>
      <c r="D6104" s="2">
        <f>HYPERLINK("http://mcb-m6.bioreg.kyushu-u.ac.jp/M3/20110421/F51020/1540/1", 63.02)</f>
        <v>63.02</v>
      </c>
      <c r="E6104" s="2">
        <v>46.97</v>
      </c>
      <c r="F6104" s="2">
        <v>2</v>
      </c>
      <c r="G6104" s="2" t="s">
        <v>11</v>
      </c>
    </row>
    <row r="6105" spans="1:8" x14ac:dyDescent="0.2">
      <c r="A6105" s="2" t="s">
        <v>3432</v>
      </c>
      <c r="B6105" s="2" t="s">
        <v>1543</v>
      </c>
      <c r="C6105" s="2">
        <v>729.38419999999996</v>
      </c>
      <c r="D6105" s="2">
        <f>HYPERLINK("http://mcb-m6.bioreg.kyushu-u.ac.jp/M3/20110421/F51042/1848/1", 66.11)</f>
        <v>66.11</v>
      </c>
      <c r="E6105" s="2">
        <v>48.87</v>
      </c>
      <c r="F6105" s="2">
        <v>2</v>
      </c>
      <c r="G6105" s="2" t="s">
        <v>11</v>
      </c>
    </row>
    <row r="6106" spans="1:8" x14ac:dyDescent="0.2">
      <c r="A6106" s="2" t="s">
        <v>3432</v>
      </c>
      <c r="B6106" s="2" t="s">
        <v>240</v>
      </c>
      <c r="C6106" s="2">
        <v>657.22860000000003</v>
      </c>
      <c r="D6106" s="2">
        <f>HYPERLINK("http://mcb-m6.bioreg.kyushu-u.ac.jp/M3/20110421/F51020/1626/1", 70.09)</f>
        <v>70.09</v>
      </c>
      <c r="E6106" s="2">
        <v>48.98</v>
      </c>
      <c r="F6106" s="2">
        <v>2</v>
      </c>
      <c r="G6106" s="2" t="s">
        <v>11</v>
      </c>
    </row>
    <row r="6107" spans="1:8" x14ac:dyDescent="0.2">
      <c r="A6107" s="2" t="s">
        <v>3432</v>
      </c>
      <c r="B6107" s="2" t="s">
        <v>1097</v>
      </c>
      <c r="C6107" s="2">
        <v>760.32619999999997</v>
      </c>
      <c r="D6107" s="2">
        <f>HYPERLINK("http://mcb-m6.bioreg.kyushu-u.ac.jp/M3/20110421/F51020/2134/1", 71.89)</f>
        <v>71.89</v>
      </c>
      <c r="E6107" s="2">
        <v>50.94</v>
      </c>
      <c r="F6107" s="2">
        <v>2</v>
      </c>
      <c r="G6107" s="2" t="s">
        <v>11</v>
      </c>
    </row>
    <row r="6108" spans="1:8" x14ac:dyDescent="0.2">
      <c r="A6108" s="2" t="s">
        <v>3432</v>
      </c>
      <c r="B6108" s="2" t="s">
        <v>2687</v>
      </c>
      <c r="C6108" s="2">
        <v>870.76260000000002</v>
      </c>
      <c r="D6108" s="2">
        <f>HYPERLINK("http://mcb-m6.bioreg.kyushu-u.ac.jp/M3/20110421/F51020/2588/1", 76.04)</f>
        <v>76.040000000000006</v>
      </c>
      <c r="E6108" s="2">
        <v>59.69</v>
      </c>
      <c r="F6108" s="2">
        <v>2</v>
      </c>
      <c r="G6108" s="2" t="s">
        <v>11</v>
      </c>
    </row>
    <row r="6109" spans="1:8" x14ac:dyDescent="0.2">
      <c r="A6109" s="2" t="s">
        <v>3432</v>
      </c>
      <c r="B6109" s="2" t="s">
        <v>2672</v>
      </c>
      <c r="C6109" s="2">
        <v>645.78120000000001</v>
      </c>
      <c r="D6109" s="2">
        <f>HYPERLINK("http://mcb-m6.bioreg.kyushu-u.ac.jp/M3/20110421/F51020/1590/1", 77.99)</f>
        <v>77.989999999999995</v>
      </c>
      <c r="E6109" s="2">
        <v>50.3</v>
      </c>
      <c r="F6109" s="2">
        <v>2</v>
      </c>
      <c r="G6109" s="2" t="s">
        <v>11</v>
      </c>
    </row>
    <row r="6110" spans="1:8" x14ac:dyDescent="0.2">
      <c r="A6110" s="2" t="s">
        <v>3432</v>
      </c>
      <c r="B6110" s="2" t="s">
        <v>2751</v>
      </c>
      <c r="C6110" s="2">
        <v>909.85969999999998</v>
      </c>
      <c r="D6110" s="2">
        <f>HYPERLINK("http://mcb-m6.bioreg.kyushu-u.ac.jp/M3/20110421/F51019/2696/1", 80.17)</f>
        <v>80.17</v>
      </c>
      <c r="E6110" s="2">
        <v>60.79</v>
      </c>
      <c r="F6110" s="2">
        <v>2</v>
      </c>
      <c r="G6110" s="2" t="s">
        <v>11</v>
      </c>
    </row>
    <row r="6111" spans="1:8" x14ac:dyDescent="0.2">
      <c r="A6111" s="2" t="s">
        <v>3432</v>
      </c>
      <c r="B6111" s="2" t="s">
        <v>1543</v>
      </c>
      <c r="C6111" s="2">
        <v>728.7491</v>
      </c>
      <c r="D6111" s="2">
        <f>HYPERLINK("http://mcb-m6.bioreg.kyushu-u.ac.jp/M3/20110421/F51020/1972/1", 83.5)</f>
        <v>83.5</v>
      </c>
      <c r="E6111" s="2">
        <v>63.33</v>
      </c>
      <c r="F6111" s="2">
        <v>2</v>
      </c>
      <c r="G6111" s="2" t="s">
        <v>11</v>
      </c>
    </row>
    <row r="6112" spans="1:8" x14ac:dyDescent="0.2">
      <c r="A6112" s="2" t="s">
        <v>3432</v>
      </c>
      <c r="B6112" s="2" t="s">
        <v>1274</v>
      </c>
      <c r="C6112" s="2">
        <v>786.16520000000003</v>
      </c>
      <c r="D6112" s="2">
        <f>HYPERLINK("http://mcb-m6.bioreg.kyushu-u.ac.jp/M3/20110421/F51019/2258/1", 86.33)</f>
        <v>86.33</v>
      </c>
      <c r="E6112" s="2">
        <v>65.599999999999994</v>
      </c>
      <c r="F6112" s="2">
        <v>2</v>
      </c>
      <c r="G6112" s="2" t="s">
        <v>11</v>
      </c>
    </row>
    <row r="6113" spans="1:9" x14ac:dyDescent="0.2">
      <c r="A6113" s="2" t="s">
        <v>3432</v>
      </c>
      <c r="B6113" s="2" t="s">
        <v>387</v>
      </c>
      <c r="C6113" s="2">
        <v>631.23220000000003</v>
      </c>
      <c r="D6113" s="2">
        <f>HYPERLINK("http://mcb-m6.bioreg.kyushu-u.ac.jp/M3/20110421/F51020/1566/1", 89.41)</f>
        <v>89.41</v>
      </c>
      <c r="E6113" s="2">
        <v>59.27</v>
      </c>
      <c r="F6113" s="2">
        <v>2</v>
      </c>
      <c r="G6113" s="2" t="s">
        <v>11</v>
      </c>
    </row>
    <row r="6114" spans="1:9" x14ac:dyDescent="0.2">
      <c r="A6114" s="2" t="s">
        <v>3432</v>
      </c>
      <c r="B6114" s="2" t="s">
        <v>1097</v>
      </c>
      <c r="C6114" s="2">
        <v>760.27809999999999</v>
      </c>
      <c r="D6114" s="2">
        <f>HYPERLINK("http://mcb-m6.bioreg.kyushu-u.ac.jp/M3/20110421/F51019/2170/1", 91.88)</f>
        <v>91.88</v>
      </c>
      <c r="E6114" s="2">
        <v>70.31</v>
      </c>
      <c r="F6114" s="2">
        <v>2</v>
      </c>
      <c r="G6114" s="2" t="s">
        <v>11</v>
      </c>
    </row>
    <row r="6115" spans="1:9" x14ac:dyDescent="0.2">
      <c r="A6115" s="2" t="s">
        <v>3432</v>
      </c>
      <c r="B6115" s="2" t="s">
        <v>781</v>
      </c>
      <c r="C6115" s="2">
        <v>620.78269999999998</v>
      </c>
      <c r="D6115" s="2">
        <f>HYPERLINK("http://mcb-m6.bioreg.kyushu-u.ac.jp/M3/20110421/F51025/1706/1", 36.19)</f>
        <v>36.19</v>
      </c>
      <c r="E6115" s="2">
        <v>20.399999999999999</v>
      </c>
      <c r="F6115" s="2">
        <v>2</v>
      </c>
      <c r="G6115" s="2" t="s">
        <v>12</v>
      </c>
    </row>
    <row r="6116" spans="1:9" x14ac:dyDescent="0.2">
      <c r="A6116" s="2" t="s">
        <v>3432</v>
      </c>
      <c r="B6116" s="2" t="s">
        <v>1543</v>
      </c>
      <c r="C6116" s="2">
        <v>729.42719999999997</v>
      </c>
      <c r="D6116" s="2">
        <f>HYPERLINK("http://mcb-m6.bioreg.kyushu-u.ac.jp/M3/20110421/F51026/2025/1", 37.09)</f>
        <v>37.090000000000003</v>
      </c>
      <c r="E6116" s="2">
        <v>23.18</v>
      </c>
      <c r="F6116" s="2">
        <v>2</v>
      </c>
      <c r="G6116" s="2" t="s">
        <v>12</v>
      </c>
    </row>
    <row r="6117" spans="1:9" x14ac:dyDescent="0.2">
      <c r="A6117" s="2" t="s">
        <v>3432</v>
      </c>
      <c r="B6117" s="2" t="s">
        <v>2751</v>
      </c>
      <c r="C6117" s="2">
        <v>607.06489999999997</v>
      </c>
      <c r="D6117" s="2">
        <f>HYPERLINK("http://mcb-m6.bioreg.kyushu-u.ac.jp/M3/20110421/F51026/2632/1", 37.1)</f>
        <v>37.1</v>
      </c>
      <c r="E6117" s="2">
        <v>31.29</v>
      </c>
      <c r="F6117" s="2">
        <v>3</v>
      </c>
      <c r="G6117" s="2" t="s">
        <v>12</v>
      </c>
    </row>
    <row r="6118" spans="1:9" x14ac:dyDescent="0.2">
      <c r="A6118" s="2" t="s">
        <v>3432</v>
      </c>
      <c r="B6118" s="2" t="s">
        <v>2687</v>
      </c>
      <c r="C6118" s="2">
        <v>870.98770000000002</v>
      </c>
      <c r="D6118" s="2">
        <f>HYPERLINK("http://mcb-m6.bioreg.kyushu-u.ac.jp/M3/20110421/F51025/2464/1", 41)</f>
        <v>41</v>
      </c>
      <c r="E6118" s="2">
        <v>22.09</v>
      </c>
      <c r="F6118" s="2">
        <v>2</v>
      </c>
      <c r="G6118" s="2" t="s">
        <v>12</v>
      </c>
    </row>
    <row r="6119" spans="1:9" x14ac:dyDescent="0.2">
      <c r="A6119" s="2" t="s">
        <v>3432</v>
      </c>
      <c r="B6119" s="2" t="s">
        <v>2671</v>
      </c>
      <c r="C6119" s="2">
        <v>544.79769999999996</v>
      </c>
      <c r="D6119" s="2">
        <f>HYPERLINK("http://mcb-m6.bioreg.kyushu-u.ac.jp/M3/20110421/F51026/1431/1", 43.97)</f>
        <v>43.97</v>
      </c>
      <c r="E6119" s="2">
        <v>23.69</v>
      </c>
      <c r="F6119" s="2">
        <v>2</v>
      </c>
      <c r="G6119" s="2" t="s">
        <v>12</v>
      </c>
      <c r="I6119" s="2" t="s">
        <v>4899</v>
      </c>
    </row>
    <row r="6120" spans="1:9" x14ac:dyDescent="0.2">
      <c r="A6120" s="2" t="s">
        <v>3432</v>
      </c>
      <c r="B6120" s="2" t="s">
        <v>2687</v>
      </c>
      <c r="C6120" s="2">
        <v>879.39869999999996</v>
      </c>
      <c r="D6120" s="2">
        <f>HYPERLINK("http://mcb-m6.bioreg.kyushu-u.ac.jp/M3/20110421/F51026/2523/1", 47.02)</f>
        <v>47.02</v>
      </c>
      <c r="E6120" s="2">
        <v>34.29</v>
      </c>
      <c r="F6120" s="2">
        <v>2</v>
      </c>
      <c r="G6120" s="2" t="s">
        <v>12</v>
      </c>
      <c r="H6120" s="2" t="s">
        <v>4910</v>
      </c>
    </row>
    <row r="6121" spans="1:9" x14ac:dyDescent="0.2">
      <c r="A6121" s="2" t="s">
        <v>3432</v>
      </c>
      <c r="B6121" s="2" t="s">
        <v>1097</v>
      </c>
      <c r="C6121" s="2">
        <v>760.22170000000006</v>
      </c>
      <c r="D6121" s="2">
        <f>HYPERLINK("http://mcb-m6.bioreg.kyushu-u.ac.jp/M3/20110421/F51025/2088/1", 51.19)</f>
        <v>51.19</v>
      </c>
      <c r="E6121" s="2">
        <v>34.409999999999997</v>
      </c>
      <c r="F6121" s="2">
        <v>2</v>
      </c>
      <c r="G6121" s="2" t="s">
        <v>12</v>
      </c>
    </row>
    <row r="6122" spans="1:9" x14ac:dyDescent="0.2">
      <c r="A6122" s="2" t="s">
        <v>3432</v>
      </c>
      <c r="B6122" s="2" t="s">
        <v>781</v>
      </c>
      <c r="C6122" s="2">
        <v>620.77369999999996</v>
      </c>
      <c r="D6122" s="2">
        <f>HYPERLINK("http://mcb-m6.bioreg.kyushu-u.ac.jp/M3/20110421/F51026/1705/1", 51.66)</f>
        <v>51.66</v>
      </c>
      <c r="E6122" s="2">
        <v>36.880000000000003</v>
      </c>
      <c r="F6122" s="2">
        <v>2</v>
      </c>
      <c r="G6122" s="2" t="s">
        <v>12</v>
      </c>
    </row>
    <row r="6123" spans="1:9" x14ac:dyDescent="0.2">
      <c r="A6123" s="2" t="s">
        <v>3432</v>
      </c>
      <c r="B6123" s="2" t="s">
        <v>781</v>
      </c>
      <c r="C6123" s="2">
        <v>621.30520000000001</v>
      </c>
      <c r="D6123" s="2">
        <f>HYPERLINK("http://mcb-m6.bioreg.kyushu-u.ac.jp/M3/20110421/F51025/1709/1", 52.11)</f>
        <v>52.11</v>
      </c>
      <c r="E6123" s="2">
        <v>24.83</v>
      </c>
      <c r="F6123" s="2">
        <v>2</v>
      </c>
      <c r="G6123" s="2" t="s">
        <v>12</v>
      </c>
    </row>
    <row r="6124" spans="1:9" x14ac:dyDescent="0.2">
      <c r="A6124" s="2" t="s">
        <v>3432</v>
      </c>
      <c r="B6124" s="2" t="s">
        <v>1543</v>
      </c>
      <c r="C6124" s="2">
        <v>728.77120000000002</v>
      </c>
      <c r="D6124" s="2">
        <f>HYPERLINK("http://mcb-m6.bioreg.kyushu-u.ac.jp/M3/20110421/F51026/2020/1", 54.05)</f>
        <v>54.05</v>
      </c>
      <c r="E6124" s="2">
        <v>35.43</v>
      </c>
      <c r="F6124" s="2">
        <v>2</v>
      </c>
      <c r="G6124" s="2" t="s">
        <v>12</v>
      </c>
    </row>
    <row r="6125" spans="1:9" x14ac:dyDescent="0.2">
      <c r="A6125" s="2" t="s">
        <v>3432</v>
      </c>
      <c r="B6125" s="2" t="s">
        <v>631</v>
      </c>
      <c r="C6125" s="2">
        <v>824.5222</v>
      </c>
      <c r="D6125" s="2">
        <f>HYPERLINK("http://mcb-m6.bioreg.kyushu-u.ac.jp/M3/20110421/F51025/2307/1", 57)</f>
        <v>57</v>
      </c>
      <c r="E6125" s="2">
        <v>40.61</v>
      </c>
      <c r="F6125" s="2">
        <v>2</v>
      </c>
      <c r="G6125" s="2" t="s">
        <v>12</v>
      </c>
    </row>
    <row r="6126" spans="1:9" x14ac:dyDescent="0.2">
      <c r="A6126" s="2" t="s">
        <v>3432</v>
      </c>
      <c r="B6126" s="2" t="s">
        <v>2687</v>
      </c>
      <c r="C6126" s="2">
        <v>870.90520000000004</v>
      </c>
      <c r="D6126" s="2">
        <f>HYPERLINK("http://mcb-m6.bioreg.kyushu-u.ac.jp/M3/20110421/F51026/2494/1", 57.91)</f>
        <v>57.91</v>
      </c>
      <c r="E6126" s="2">
        <v>37.76</v>
      </c>
      <c r="F6126" s="2">
        <v>2</v>
      </c>
      <c r="G6126" s="2" t="s">
        <v>12</v>
      </c>
    </row>
    <row r="6127" spans="1:9" x14ac:dyDescent="0.2">
      <c r="A6127" s="2" t="s">
        <v>3432</v>
      </c>
      <c r="B6127" s="2" t="s">
        <v>2672</v>
      </c>
      <c r="C6127" s="2">
        <v>645.83669999999995</v>
      </c>
      <c r="D6127" s="2">
        <f>HYPERLINK("http://mcb-m6.bioreg.kyushu-u.ac.jp/M3/20110421/F51026/1770/1", 59.94)</f>
        <v>59.94</v>
      </c>
      <c r="E6127" s="2">
        <v>42.05</v>
      </c>
      <c r="F6127" s="2">
        <v>2</v>
      </c>
      <c r="G6127" s="2" t="s">
        <v>12</v>
      </c>
    </row>
    <row r="6128" spans="1:9" x14ac:dyDescent="0.2">
      <c r="A6128" s="2" t="s">
        <v>3432</v>
      </c>
      <c r="B6128" s="2" t="s">
        <v>1543</v>
      </c>
      <c r="C6128" s="2">
        <v>729.41269999999997</v>
      </c>
      <c r="D6128" s="2">
        <f>HYPERLINK("http://mcb-m6.bioreg.kyushu-u.ac.jp/M3/20110421/F51026/2024/1", 62.02)</f>
        <v>62.02</v>
      </c>
      <c r="E6128" s="2">
        <v>45.77</v>
      </c>
      <c r="F6128" s="2">
        <v>2</v>
      </c>
      <c r="G6128" s="2" t="s">
        <v>12</v>
      </c>
    </row>
    <row r="6129" spans="1:9" x14ac:dyDescent="0.2">
      <c r="A6129" s="2" t="s">
        <v>3432</v>
      </c>
      <c r="B6129" s="2" t="s">
        <v>781</v>
      </c>
      <c r="C6129" s="2">
        <v>620.79020000000003</v>
      </c>
      <c r="D6129" s="2">
        <f>HYPERLINK("http://mcb-m6.bioreg.kyushu-u.ac.jp/M3/20110421/F51026/1706/1", 66.94)</f>
        <v>66.94</v>
      </c>
      <c r="E6129" s="2">
        <v>44.29</v>
      </c>
      <c r="F6129" s="2">
        <v>2</v>
      </c>
      <c r="G6129" s="2" t="s">
        <v>12</v>
      </c>
    </row>
    <row r="6130" spans="1:9" x14ac:dyDescent="0.2">
      <c r="A6130" s="2" t="s">
        <v>3432</v>
      </c>
      <c r="B6130" s="2" t="s">
        <v>1881</v>
      </c>
      <c r="C6130" s="2">
        <v>752.37369999999999</v>
      </c>
      <c r="D6130" s="2">
        <f>HYPERLINK("http://mcb-m6.bioreg.kyushu-u.ac.jp/M3/20110421/F51026/2104/1", 67.05)</f>
        <v>67.05</v>
      </c>
      <c r="E6130" s="2">
        <v>46.12</v>
      </c>
      <c r="F6130" s="2">
        <v>2</v>
      </c>
      <c r="G6130" s="2" t="s">
        <v>12</v>
      </c>
    </row>
    <row r="6131" spans="1:9" x14ac:dyDescent="0.2">
      <c r="A6131" s="2" t="s">
        <v>3432</v>
      </c>
      <c r="B6131" s="2" t="s">
        <v>631</v>
      </c>
      <c r="C6131" s="2">
        <v>823.85220000000004</v>
      </c>
      <c r="D6131" s="2">
        <f>HYPERLINK("http://mcb-m6.bioreg.kyushu-u.ac.jp/M3/20110421/F51025/2303/1", 71.82)</f>
        <v>71.819999999999993</v>
      </c>
      <c r="E6131" s="2">
        <v>48.96</v>
      </c>
      <c r="F6131" s="2">
        <v>2</v>
      </c>
      <c r="G6131" s="2" t="s">
        <v>12</v>
      </c>
    </row>
    <row r="6132" spans="1:9" x14ac:dyDescent="0.2">
      <c r="A6132" s="2" t="s">
        <v>3432</v>
      </c>
      <c r="B6132" s="2" t="s">
        <v>1543</v>
      </c>
      <c r="C6132" s="2">
        <v>728.8297</v>
      </c>
      <c r="D6132" s="2">
        <f>HYPERLINK("http://mcb-m6.bioreg.kyushu-u.ac.jp/M3/20110421/F51025/1984/1", 77.14)</f>
        <v>77.14</v>
      </c>
      <c r="E6132" s="2">
        <v>58.95</v>
      </c>
      <c r="F6132" s="2">
        <v>2</v>
      </c>
      <c r="G6132" s="2" t="s">
        <v>12</v>
      </c>
    </row>
    <row r="6133" spans="1:9" x14ac:dyDescent="0.2">
      <c r="A6133" s="2" t="s">
        <v>3432</v>
      </c>
      <c r="B6133" s="2" t="s">
        <v>1274</v>
      </c>
      <c r="C6133" s="2">
        <v>785.79859999999996</v>
      </c>
      <c r="D6133" s="2">
        <f>HYPERLINK("http://mcb-m6.bioreg.kyushu-u.ac.jp/M3/20110421/F51026/2219/1", 88.08)</f>
        <v>88.08</v>
      </c>
      <c r="E6133" s="2">
        <v>73.209999999999994</v>
      </c>
      <c r="F6133" s="2">
        <v>2</v>
      </c>
      <c r="G6133" s="2" t="s">
        <v>12</v>
      </c>
    </row>
    <row r="6134" spans="1:9" x14ac:dyDescent="0.2">
      <c r="A6134" s="2" t="s">
        <v>3432</v>
      </c>
      <c r="B6134" s="2" t="s">
        <v>1097</v>
      </c>
      <c r="C6134" s="2">
        <v>760.35360000000003</v>
      </c>
      <c r="D6134" s="2">
        <f>HYPERLINK("http://mcb-m6.bioreg.kyushu-u.ac.jp/M3/20110421/F51026/2140/1", 95.99)</f>
        <v>95.99</v>
      </c>
      <c r="E6134" s="2">
        <v>73.89</v>
      </c>
      <c r="F6134" s="2">
        <v>2</v>
      </c>
      <c r="G6134" s="2" t="s">
        <v>12</v>
      </c>
    </row>
    <row r="6135" spans="1:9" x14ac:dyDescent="0.2">
      <c r="A6135" s="2" t="s">
        <v>3432</v>
      </c>
      <c r="B6135" s="2" t="s">
        <v>1274</v>
      </c>
      <c r="C6135" s="2">
        <v>785.89009999999996</v>
      </c>
      <c r="D6135" s="2">
        <f>HYPERLINK("http://mcb-m6.bioreg.kyushu-u.ac.jp/M3/20110421/F51025/2171/1", 98.08)</f>
        <v>98.08</v>
      </c>
      <c r="E6135" s="2">
        <v>81.08</v>
      </c>
      <c r="F6135" s="2">
        <v>2</v>
      </c>
      <c r="G6135" s="2" t="s">
        <v>12</v>
      </c>
    </row>
    <row r="6136" spans="1:9" x14ac:dyDescent="0.2">
      <c r="A6136" s="2" t="s">
        <v>3432</v>
      </c>
      <c r="B6136" s="2" t="s">
        <v>6651</v>
      </c>
      <c r="C6136" s="2">
        <v>1001.789</v>
      </c>
      <c r="D6136" s="2">
        <f>HYPERLINK("http://mcb-m6.bioreg.kyushu-u.ac.jp/M3/20110421/F51026/2817/1", 110.44)</f>
        <v>110.44</v>
      </c>
      <c r="E6136" s="2">
        <v>100.95</v>
      </c>
      <c r="F6136" s="2">
        <v>2</v>
      </c>
      <c r="G6136" s="2" t="s">
        <v>12</v>
      </c>
    </row>
    <row r="6137" spans="1:9" x14ac:dyDescent="0.2">
      <c r="A6137" s="2" t="s">
        <v>3432</v>
      </c>
      <c r="B6137" s="2" t="s">
        <v>1543</v>
      </c>
      <c r="C6137" s="2">
        <v>729.19169999999997</v>
      </c>
      <c r="D6137" s="2">
        <f>HYPERLINK("http://mcb-m6.bioreg.kyushu-u.ac.jp/M3/20110427/F51117/1933/1", 38.2)</f>
        <v>38.200000000000003</v>
      </c>
      <c r="E6137" s="2">
        <v>14.55</v>
      </c>
      <c r="F6137" s="2">
        <v>2</v>
      </c>
      <c r="G6137" s="2" t="s">
        <v>13</v>
      </c>
    </row>
    <row r="6138" spans="1:9" x14ac:dyDescent="0.2">
      <c r="A6138" s="2" t="s">
        <v>3432</v>
      </c>
      <c r="B6138" s="2" t="s">
        <v>2687</v>
      </c>
      <c r="C6138" s="2">
        <v>870.66470000000004</v>
      </c>
      <c r="D6138" s="2">
        <f>HYPERLINK("http://mcb-m6.bioreg.kyushu-u.ac.jp/M3/20110427/F51117/2603/1", 39.6)</f>
        <v>39.6</v>
      </c>
      <c r="E6138" s="2">
        <v>30.2</v>
      </c>
      <c r="F6138" s="2">
        <v>2</v>
      </c>
      <c r="G6138" s="2" t="s">
        <v>13</v>
      </c>
    </row>
    <row r="6139" spans="1:9" x14ac:dyDescent="0.2">
      <c r="A6139" s="2" t="s">
        <v>3432</v>
      </c>
      <c r="B6139" s="2" t="s">
        <v>240</v>
      </c>
      <c r="C6139" s="2">
        <v>656.68910000000005</v>
      </c>
      <c r="D6139" s="2">
        <f>HYPERLINK("http://mcb-m6.bioreg.kyushu-u.ac.jp/M3/20110427/F51116/1619/1", 41.17)</f>
        <v>41.17</v>
      </c>
      <c r="E6139" s="2">
        <v>18.809999999999999</v>
      </c>
      <c r="F6139" s="2">
        <v>2</v>
      </c>
      <c r="G6139" s="2" t="s">
        <v>13</v>
      </c>
    </row>
    <row r="6140" spans="1:9" x14ac:dyDescent="0.2">
      <c r="A6140" s="2" t="s">
        <v>3432</v>
      </c>
      <c r="B6140" s="2" t="s">
        <v>6073</v>
      </c>
      <c r="C6140" s="2">
        <v>601.72469999999998</v>
      </c>
      <c r="D6140" s="2">
        <f>HYPERLINK("http://mcb-m6.bioreg.kyushu-u.ac.jp/M3/20110427/F51117/1391/1", 42.64)</f>
        <v>42.64</v>
      </c>
      <c r="E6140" s="2">
        <v>24.76</v>
      </c>
      <c r="F6140" s="2">
        <v>2</v>
      </c>
      <c r="G6140" s="2" t="s">
        <v>13</v>
      </c>
      <c r="I6140" s="2" t="s">
        <v>4903</v>
      </c>
    </row>
    <row r="6141" spans="1:9" x14ac:dyDescent="0.2">
      <c r="A6141" s="2" t="s">
        <v>3432</v>
      </c>
      <c r="B6141" s="2" t="s">
        <v>6958</v>
      </c>
      <c r="C6141" s="2">
        <v>690.30909999999994</v>
      </c>
      <c r="D6141" s="2">
        <f>HYPERLINK("http://mcb-m6.bioreg.kyushu-u.ac.jp/M3/20110427/F51117/1736/1", 43.86)</f>
        <v>43.86</v>
      </c>
      <c r="E6141" s="2">
        <v>32.869999999999997</v>
      </c>
      <c r="F6141" s="2">
        <v>2</v>
      </c>
      <c r="G6141" s="2" t="s">
        <v>13</v>
      </c>
    </row>
    <row r="6142" spans="1:9" x14ac:dyDescent="0.2">
      <c r="A6142" s="2" t="s">
        <v>3432</v>
      </c>
      <c r="B6142" s="2" t="s">
        <v>2672</v>
      </c>
      <c r="C6142" s="2">
        <v>645.67070000000001</v>
      </c>
      <c r="D6142" s="2">
        <f>HYPERLINK("http://mcb-m6.bioreg.kyushu-u.ac.jp/M3/20110427/F51116/1584/1", 46)</f>
        <v>46</v>
      </c>
      <c r="E6142" s="2">
        <v>28.65</v>
      </c>
      <c r="F6142" s="2">
        <v>2</v>
      </c>
      <c r="G6142" s="2" t="s">
        <v>13</v>
      </c>
    </row>
    <row r="6143" spans="1:9" x14ac:dyDescent="0.2">
      <c r="A6143" s="2" t="s">
        <v>3432</v>
      </c>
      <c r="B6143" s="2" t="s">
        <v>652</v>
      </c>
      <c r="C6143" s="2">
        <v>576.17570000000001</v>
      </c>
      <c r="D6143" s="2">
        <f>HYPERLINK("http://mcb-m6.bioreg.kyushu-u.ac.jp/M3/20110427/F51117/1287/1", 46.72)</f>
        <v>46.72</v>
      </c>
      <c r="E6143" s="2">
        <v>24.79</v>
      </c>
      <c r="F6143" s="2">
        <v>2</v>
      </c>
      <c r="G6143" s="2" t="s">
        <v>13</v>
      </c>
    </row>
    <row r="6144" spans="1:9" x14ac:dyDescent="0.2">
      <c r="A6144" s="2" t="s">
        <v>3432</v>
      </c>
      <c r="B6144" s="2" t="s">
        <v>2671</v>
      </c>
      <c r="C6144" s="2">
        <v>545.36159999999995</v>
      </c>
      <c r="D6144" s="2">
        <f>HYPERLINK("http://mcb-m6.bioreg.kyushu-u.ac.jp/M3/20110427/F51115/1239/1", 49.21)</f>
        <v>49.21</v>
      </c>
      <c r="E6144" s="2">
        <v>11.58</v>
      </c>
      <c r="F6144" s="2">
        <v>2</v>
      </c>
      <c r="G6144" s="2" t="s">
        <v>13</v>
      </c>
      <c r="I6144" s="2" t="s">
        <v>4899</v>
      </c>
    </row>
    <row r="6145" spans="1:7" x14ac:dyDescent="0.2">
      <c r="A6145" s="2" t="s">
        <v>3432</v>
      </c>
      <c r="B6145" s="2" t="s">
        <v>3181</v>
      </c>
      <c r="C6145" s="2">
        <v>613.04909999999995</v>
      </c>
      <c r="D6145" s="2">
        <f>HYPERLINK("http://mcb-m6.bioreg.kyushu-u.ac.jp/M3/20110427/F51116/1489/1", 57.71)</f>
        <v>57.71</v>
      </c>
      <c r="E6145" s="2">
        <v>41.79</v>
      </c>
      <c r="F6145" s="2">
        <v>2</v>
      </c>
      <c r="G6145" s="2" t="s">
        <v>13</v>
      </c>
    </row>
    <row r="6146" spans="1:7" x14ac:dyDescent="0.2">
      <c r="A6146" s="2" t="s">
        <v>3432</v>
      </c>
      <c r="B6146" s="2" t="s">
        <v>3181</v>
      </c>
      <c r="C6146" s="2">
        <v>613.13919999999996</v>
      </c>
      <c r="D6146" s="2">
        <f>HYPERLINK("http://mcb-m6.bioreg.kyushu-u.ac.jp/M3/20110427/F51117/1438/1", 62.21)</f>
        <v>62.21</v>
      </c>
      <c r="E6146" s="2">
        <v>41.21</v>
      </c>
      <c r="F6146" s="2">
        <v>2</v>
      </c>
      <c r="G6146" s="2" t="s">
        <v>13</v>
      </c>
    </row>
    <row r="6147" spans="1:7" x14ac:dyDescent="0.2">
      <c r="A6147" s="2" t="s">
        <v>3432</v>
      </c>
      <c r="B6147" s="2" t="s">
        <v>387</v>
      </c>
      <c r="C6147" s="2">
        <v>631.10310000000004</v>
      </c>
      <c r="D6147" s="2">
        <f>HYPERLINK("http://mcb-m6.bioreg.kyushu-u.ac.jp/M3/20110427/F51117/1496/1", 62.94)</f>
        <v>62.94</v>
      </c>
      <c r="E6147" s="2">
        <v>44.4</v>
      </c>
      <c r="F6147" s="2">
        <v>2</v>
      </c>
      <c r="G6147" s="2" t="s">
        <v>13</v>
      </c>
    </row>
    <row r="6148" spans="1:7" x14ac:dyDescent="0.2">
      <c r="A6148" s="2" t="s">
        <v>3432</v>
      </c>
      <c r="B6148" s="2" t="s">
        <v>1097</v>
      </c>
      <c r="C6148" s="2">
        <v>760.32669999999996</v>
      </c>
      <c r="D6148" s="2">
        <f>HYPERLINK("http://mcb-m6.bioreg.kyushu-u.ac.jp/M3/20110427/F51117/2083/1", 63.94)</f>
        <v>63.94</v>
      </c>
      <c r="E6148" s="2">
        <v>50.69</v>
      </c>
      <c r="F6148" s="2">
        <v>2</v>
      </c>
      <c r="G6148" s="2" t="s">
        <v>13</v>
      </c>
    </row>
    <row r="6149" spans="1:7" x14ac:dyDescent="0.2">
      <c r="A6149" s="2" t="s">
        <v>3432</v>
      </c>
      <c r="B6149" s="2" t="s">
        <v>1322</v>
      </c>
      <c r="C6149" s="2">
        <v>584.73360000000002</v>
      </c>
      <c r="D6149" s="2">
        <f>HYPERLINK("http://mcb-m6.bioreg.kyushu-u.ac.jp/M3/20110427/F51117/1321/1", 66.39)</f>
        <v>66.39</v>
      </c>
      <c r="E6149" s="2">
        <v>44.58</v>
      </c>
      <c r="F6149" s="2">
        <v>2</v>
      </c>
      <c r="G6149" s="2" t="s">
        <v>13</v>
      </c>
    </row>
    <row r="6150" spans="1:7" x14ac:dyDescent="0.2">
      <c r="A6150" s="2" t="s">
        <v>3432</v>
      </c>
      <c r="B6150" s="2" t="s">
        <v>1097</v>
      </c>
      <c r="C6150" s="2">
        <v>760.69069999999999</v>
      </c>
      <c r="D6150" s="2">
        <f>HYPERLINK("http://mcb-m6.bioreg.kyushu-u.ac.jp/M3/20110427/F51115/2066/1", 66.68)</f>
        <v>66.680000000000007</v>
      </c>
      <c r="E6150" s="2">
        <v>45.42</v>
      </c>
      <c r="F6150" s="2">
        <v>2</v>
      </c>
      <c r="G6150" s="2" t="s">
        <v>13</v>
      </c>
    </row>
    <row r="6151" spans="1:7" x14ac:dyDescent="0.2">
      <c r="A6151" s="2" t="s">
        <v>3432</v>
      </c>
      <c r="B6151" s="2" t="s">
        <v>6473</v>
      </c>
      <c r="C6151" s="2">
        <v>540.20669999999996</v>
      </c>
      <c r="D6151" s="2">
        <f>HYPERLINK("http://mcb-m6.bioreg.kyushu-u.ac.jp/M3/20110427/F51116/1202/1", 69.55)</f>
        <v>69.55</v>
      </c>
      <c r="E6151" s="2">
        <v>52.29</v>
      </c>
      <c r="F6151" s="2">
        <v>2</v>
      </c>
      <c r="G6151" s="2" t="s">
        <v>13</v>
      </c>
    </row>
    <row r="6152" spans="1:7" x14ac:dyDescent="0.2">
      <c r="A6152" s="2" t="s">
        <v>3432</v>
      </c>
      <c r="B6152" s="2" t="s">
        <v>781</v>
      </c>
      <c r="C6152" s="2">
        <v>621.18769999999995</v>
      </c>
      <c r="D6152" s="2">
        <f>HYPERLINK("http://mcb-m6.bioreg.kyushu-u.ac.jp/M3/20110427/F51117/1463/1", 69.99)</f>
        <v>69.989999999999995</v>
      </c>
      <c r="E6152" s="2">
        <v>45.83</v>
      </c>
      <c r="F6152" s="2">
        <v>2</v>
      </c>
      <c r="G6152" s="2" t="s">
        <v>13</v>
      </c>
    </row>
    <row r="6153" spans="1:7" x14ac:dyDescent="0.2">
      <c r="A6153" s="2" t="s">
        <v>3432</v>
      </c>
      <c r="B6153" s="2" t="s">
        <v>2696</v>
      </c>
      <c r="C6153" s="2">
        <v>801.8777</v>
      </c>
      <c r="D6153" s="2">
        <f>HYPERLINK("http://mcb-m6.bioreg.kyushu-u.ac.jp/M3/20110427/F51117/2300/1", 70.82)</f>
        <v>70.819999999999993</v>
      </c>
      <c r="E6153" s="2">
        <v>51.03</v>
      </c>
      <c r="F6153" s="2">
        <v>2</v>
      </c>
      <c r="G6153" s="2" t="s">
        <v>13</v>
      </c>
    </row>
    <row r="6154" spans="1:7" x14ac:dyDescent="0.2">
      <c r="A6154" s="2" t="s">
        <v>3432</v>
      </c>
      <c r="B6154" s="2" t="s">
        <v>2751</v>
      </c>
      <c r="C6154" s="2">
        <v>909.78020000000004</v>
      </c>
      <c r="D6154" s="2">
        <f>HYPERLINK("http://mcb-m6.bioreg.kyushu-u.ac.jp/M3/20110427/F51117/2741/1", 70.96)</f>
        <v>70.959999999999994</v>
      </c>
      <c r="E6154" s="2">
        <v>49.58</v>
      </c>
      <c r="F6154" s="2">
        <v>2</v>
      </c>
      <c r="G6154" s="2" t="s">
        <v>13</v>
      </c>
    </row>
    <row r="6155" spans="1:7" x14ac:dyDescent="0.2">
      <c r="A6155" s="2" t="s">
        <v>3432</v>
      </c>
      <c r="B6155" s="2" t="s">
        <v>1097</v>
      </c>
      <c r="C6155" s="2">
        <v>760.88210000000004</v>
      </c>
      <c r="D6155" s="2">
        <f>HYPERLINK("http://mcb-m6.bioreg.kyushu-u.ac.jp/M3/20110427/F51116/2151/1", 73.77)</f>
        <v>73.77</v>
      </c>
      <c r="E6155" s="2">
        <v>56.98</v>
      </c>
      <c r="F6155" s="2">
        <v>2</v>
      </c>
      <c r="G6155" s="2" t="s">
        <v>13</v>
      </c>
    </row>
    <row r="6156" spans="1:7" x14ac:dyDescent="0.2">
      <c r="A6156" s="2" t="s">
        <v>3432</v>
      </c>
      <c r="B6156" s="2" t="s">
        <v>2897</v>
      </c>
      <c r="C6156" s="2">
        <v>709.38120000000004</v>
      </c>
      <c r="D6156" s="2">
        <f>HYPERLINK("http://mcb-m6.bioreg.kyushu-u.ac.jp/M3/20110427/F51117/1841/1", 74.02)</f>
        <v>74.02</v>
      </c>
      <c r="E6156" s="2">
        <v>51.92</v>
      </c>
      <c r="F6156" s="2">
        <v>2</v>
      </c>
      <c r="G6156" s="2" t="s">
        <v>13</v>
      </c>
    </row>
    <row r="6157" spans="1:7" x14ac:dyDescent="0.2">
      <c r="A6157" s="2" t="s">
        <v>3432</v>
      </c>
      <c r="B6157" s="2" t="s">
        <v>631</v>
      </c>
      <c r="C6157" s="2">
        <v>823.97720000000004</v>
      </c>
      <c r="D6157" s="2">
        <f>HYPERLINK("http://mcb-m6.bioreg.kyushu-u.ac.jp/M3/20110427/F51117/2393/1", 74.07)</f>
        <v>74.069999999999993</v>
      </c>
      <c r="E6157" s="2">
        <v>55.96</v>
      </c>
      <c r="F6157" s="2">
        <v>2</v>
      </c>
      <c r="G6157" s="2" t="s">
        <v>13</v>
      </c>
    </row>
    <row r="6158" spans="1:7" x14ac:dyDescent="0.2">
      <c r="A6158" s="2" t="s">
        <v>3432</v>
      </c>
      <c r="B6158" s="2" t="s">
        <v>6314</v>
      </c>
      <c r="C6158" s="2">
        <v>631.76459999999997</v>
      </c>
      <c r="D6158" s="2">
        <f>HYPERLINK("http://mcb-m6.bioreg.kyushu-u.ac.jp/M3/20110427/F51117/1499/1", 75.76)</f>
        <v>75.760000000000005</v>
      </c>
      <c r="E6158" s="2">
        <v>56.94</v>
      </c>
      <c r="F6158" s="2">
        <v>2</v>
      </c>
      <c r="G6158" s="2" t="s">
        <v>13</v>
      </c>
    </row>
    <row r="6159" spans="1:7" x14ac:dyDescent="0.2">
      <c r="A6159" s="2" t="s">
        <v>3432</v>
      </c>
      <c r="B6159" s="2" t="s">
        <v>1097</v>
      </c>
      <c r="C6159" s="2">
        <v>760.31209999999999</v>
      </c>
      <c r="D6159" s="2">
        <f>HYPERLINK("http://mcb-m6.bioreg.kyushu-u.ac.jp/M3/20110427/F51116/2149/1", 76.37)</f>
        <v>76.37</v>
      </c>
      <c r="E6159" s="2">
        <v>62.55</v>
      </c>
      <c r="F6159" s="2">
        <v>2</v>
      </c>
      <c r="G6159" s="2" t="s">
        <v>13</v>
      </c>
    </row>
    <row r="6160" spans="1:7" x14ac:dyDescent="0.2">
      <c r="A6160" s="2" t="s">
        <v>3432</v>
      </c>
      <c r="B6160" s="2" t="s">
        <v>1274</v>
      </c>
      <c r="C6160" s="2">
        <v>786.27009999999996</v>
      </c>
      <c r="D6160" s="2">
        <f>HYPERLINK("http://mcb-m6.bioreg.kyushu-u.ac.jp/M3/20110427/F51117/2213/1", 82.14)</f>
        <v>82.14</v>
      </c>
      <c r="E6160" s="2">
        <v>68.75</v>
      </c>
      <c r="F6160" s="2">
        <v>2</v>
      </c>
      <c r="G6160" s="2" t="s">
        <v>13</v>
      </c>
    </row>
    <row r="6161" spans="1:9" x14ac:dyDescent="0.2">
      <c r="A6161" s="2" t="s">
        <v>3432</v>
      </c>
      <c r="B6161" s="2" t="s">
        <v>1881</v>
      </c>
      <c r="C6161" s="2">
        <v>752.13019999999995</v>
      </c>
      <c r="D6161" s="2">
        <f>HYPERLINK("http://mcb-m6.bioreg.kyushu-u.ac.jp/M3/20110427/F51117/2043/1", 95.7)</f>
        <v>95.7</v>
      </c>
      <c r="E6161" s="2">
        <v>74.180000000000007</v>
      </c>
      <c r="F6161" s="2">
        <v>2</v>
      </c>
      <c r="G6161" s="2" t="s">
        <v>13</v>
      </c>
    </row>
    <row r="6162" spans="1:9" x14ac:dyDescent="0.2">
      <c r="A6162" s="2" t="s">
        <v>3432</v>
      </c>
      <c r="B6162" s="2" t="s">
        <v>1274</v>
      </c>
      <c r="C6162" s="2">
        <v>786.4366</v>
      </c>
      <c r="D6162" s="2">
        <f>HYPERLINK("http://mcb-m6.bioreg.kyushu-u.ac.jp/M3/20110427/F51116/2290/1", 106.63)</f>
        <v>106.63</v>
      </c>
      <c r="E6162" s="2">
        <v>83.14</v>
      </c>
      <c r="F6162" s="2">
        <v>2</v>
      </c>
      <c r="G6162" s="2" t="s">
        <v>13</v>
      </c>
    </row>
    <row r="6163" spans="1:9" x14ac:dyDescent="0.2">
      <c r="A6163" s="2" t="s">
        <v>3432</v>
      </c>
      <c r="B6163" s="2" t="s">
        <v>6651</v>
      </c>
      <c r="C6163" s="2">
        <v>1001.326</v>
      </c>
      <c r="D6163" s="2">
        <f>HYPERLINK("http://mcb-m6.bioreg.kyushu-u.ac.jp/M3/20110427/F51117/2988/1", 131.91)</f>
        <v>131.91</v>
      </c>
      <c r="E6163" s="2">
        <v>123.46</v>
      </c>
      <c r="F6163" s="2">
        <v>2</v>
      </c>
      <c r="G6163" s="2" t="s">
        <v>13</v>
      </c>
    </row>
    <row r="6164" spans="1:9" x14ac:dyDescent="0.2">
      <c r="A6164" s="2" t="s">
        <v>3432</v>
      </c>
      <c r="B6164" s="2" t="s">
        <v>2140</v>
      </c>
      <c r="C6164" s="2">
        <v>750.6807</v>
      </c>
      <c r="D6164" s="2">
        <f>HYPERLINK("http://mcb-m6.bioreg.kyushu-u.ac.jp/M3/20110427/F51117/2037/1", 132.75)</f>
        <v>132.75</v>
      </c>
      <c r="E6164" s="2">
        <v>100.03</v>
      </c>
      <c r="F6164" s="2">
        <v>2</v>
      </c>
      <c r="G6164" s="2" t="s">
        <v>13</v>
      </c>
    </row>
    <row r="6165" spans="1:9" x14ac:dyDescent="0.2">
      <c r="A6165" s="2" t="s">
        <v>3432</v>
      </c>
      <c r="B6165" s="2" t="s">
        <v>6314</v>
      </c>
      <c r="C6165" s="2">
        <v>631.61469999999997</v>
      </c>
      <c r="D6165" s="2">
        <f>HYPERLINK("http://mcb-m6.bioreg.kyushu-u.ac.jp/M3/20110427/F51125/1682/1", 39.69)</f>
        <v>39.69</v>
      </c>
      <c r="E6165" s="2">
        <v>21.85</v>
      </c>
      <c r="F6165" s="2">
        <v>2</v>
      </c>
      <c r="G6165" s="2" t="s">
        <v>14</v>
      </c>
    </row>
    <row r="6166" spans="1:9" x14ac:dyDescent="0.2">
      <c r="A6166" s="2" t="s">
        <v>3432</v>
      </c>
      <c r="B6166" s="2" t="s">
        <v>6010</v>
      </c>
      <c r="C6166" s="2">
        <v>882.26170000000002</v>
      </c>
      <c r="D6166" s="2">
        <f>HYPERLINK("http://mcb-m6.bioreg.kyushu-u.ac.jp/M3/20110428/F51126/2657/1", 40.52)</f>
        <v>40.520000000000003</v>
      </c>
      <c r="E6166" s="2">
        <v>25.16</v>
      </c>
      <c r="F6166" s="2">
        <v>2</v>
      </c>
      <c r="G6166" s="2" t="s">
        <v>14</v>
      </c>
      <c r="I6166" s="2" t="s">
        <v>4895</v>
      </c>
    </row>
    <row r="6167" spans="1:9" x14ac:dyDescent="0.2">
      <c r="A6167" s="2" t="s">
        <v>3432</v>
      </c>
      <c r="B6167" s="2" t="s">
        <v>2696</v>
      </c>
      <c r="C6167" s="2">
        <v>802.23109999999997</v>
      </c>
      <c r="D6167" s="2">
        <f>HYPERLINK("http://mcb-m6.bioreg.kyushu-u.ac.jp/M3/20110428/F51126/2349/1", 47.4)</f>
        <v>47.4</v>
      </c>
      <c r="E6167" s="2">
        <v>31.37</v>
      </c>
      <c r="F6167" s="2">
        <v>2</v>
      </c>
      <c r="G6167" s="2" t="s">
        <v>14</v>
      </c>
    </row>
    <row r="6168" spans="1:9" x14ac:dyDescent="0.2">
      <c r="A6168" s="2" t="s">
        <v>3432</v>
      </c>
      <c r="B6168" s="2" t="s">
        <v>240</v>
      </c>
      <c r="C6168" s="2">
        <v>656.54610000000002</v>
      </c>
      <c r="D6168" s="2">
        <f>HYPERLINK("http://mcb-m6.bioreg.kyushu-u.ac.jp/M3/20110428/F51126/1734/1", 50.22)</f>
        <v>50.22</v>
      </c>
      <c r="E6168" s="2">
        <v>33.67</v>
      </c>
      <c r="F6168" s="2">
        <v>2</v>
      </c>
      <c r="G6168" s="2" t="s">
        <v>14</v>
      </c>
    </row>
    <row r="6169" spans="1:9" x14ac:dyDescent="0.2">
      <c r="A6169" s="2" t="s">
        <v>3432</v>
      </c>
      <c r="B6169" s="2" t="s">
        <v>2897</v>
      </c>
      <c r="C6169" s="2">
        <v>709.92409999999995</v>
      </c>
      <c r="D6169" s="2">
        <f>HYPERLINK("http://mcb-m6.bioreg.kyushu-u.ac.jp/M3/20110428/F51126/1932/1", 50.53)</f>
        <v>50.53</v>
      </c>
      <c r="E6169" s="2">
        <v>28.58</v>
      </c>
      <c r="F6169" s="2">
        <v>2</v>
      </c>
      <c r="G6169" s="2" t="s">
        <v>14</v>
      </c>
    </row>
    <row r="6170" spans="1:9" x14ac:dyDescent="0.2">
      <c r="A6170" s="2" t="s">
        <v>3432</v>
      </c>
      <c r="B6170" s="2" t="s">
        <v>3181</v>
      </c>
      <c r="C6170" s="2">
        <v>612.95920000000001</v>
      </c>
      <c r="D6170" s="2">
        <f>HYPERLINK("http://mcb-m6.bioreg.kyushu-u.ac.jp/M3/20110428/F51126/1600/1", 50.8)</f>
        <v>50.8</v>
      </c>
      <c r="E6170" s="2">
        <v>33.39</v>
      </c>
      <c r="F6170" s="2">
        <v>2</v>
      </c>
      <c r="G6170" s="2" t="s">
        <v>14</v>
      </c>
    </row>
    <row r="6171" spans="1:9" x14ac:dyDescent="0.2">
      <c r="A6171" s="2" t="s">
        <v>3432</v>
      </c>
      <c r="B6171" s="2" t="s">
        <v>2140</v>
      </c>
      <c r="C6171" s="2">
        <v>750.56769999999995</v>
      </c>
      <c r="D6171" s="2">
        <f>HYPERLINK("http://mcb-m6.bioreg.kyushu-u.ac.jp/M3/20110427/F51125/2125/1", 53.57)</f>
        <v>53.57</v>
      </c>
      <c r="E6171" s="2">
        <v>36.020000000000003</v>
      </c>
      <c r="F6171" s="2">
        <v>2</v>
      </c>
      <c r="G6171" s="2" t="s">
        <v>14</v>
      </c>
    </row>
    <row r="6172" spans="1:9" x14ac:dyDescent="0.2">
      <c r="A6172" s="2" t="s">
        <v>3432</v>
      </c>
      <c r="B6172" s="2" t="s">
        <v>6442</v>
      </c>
      <c r="C6172" s="2">
        <v>1022.703</v>
      </c>
      <c r="D6172" s="2">
        <f>HYPERLINK("http://mcb-m6.bioreg.kyushu-u.ac.jp/M3/20110428/F51126/3037/1", 54.78)</f>
        <v>54.78</v>
      </c>
      <c r="E6172" s="2">
        <v>31.93</v>
      </c>
      <c r="F6172" s="2">
        <v>2</v>
      </c>
      <c r="G6172" s="2" t="s">
        <v>14</v>
      </c>
      <c r="I6172" s="2" t="s">
        <v>4893</v>
      </c>
    </row>
    <row r="6173" spans="1:9" x14ac:dyDescent="0.2">
      <c r="A6173" s="2" t="s">
        <v>3432</v>
      </c>
      <c r="B6173" s="2" t="s">
        <v>6010</v>
      </c>
      <c r="C6173" s="2">
        <v>882.3057</v>
      </c>
      <c r="D6173" s="2">
        <f>HYPERLINK("http://mcb-m6.bioreg.kyushu-u.ac.jp/M3/20110427/F51125/2663/1", 55.59)</f>
        <v>55.59</v>
      </c>
      <c r="E6173" s="2">
        <v>41.26</v>
      </c>
      <c r="F6173" s="2">
        <v>2</v>
      </c>
      <c r="G6173" s="2" t="s">
        <v>14</v>
      </c>
      <c r="I6173" s="2" t="s">
        <v>4895</v>
      </c>
    </row>
    <row r="6174" spans="1:9" x14ac:dyDescent="0.2">
      <c r="A6174" s="2" t="s">
        <v>3432</v>
      </c>
      <c r="B6174" s="2" t="s">
        <v>6274</v>
      </c>
      <c r="C6174" s="2">
        <v>555.12919999999997</v>
      </c>
      <c r="D6174" s="2">
        <f>HYPERLINK("http://mcb-m6.bioreg.kyushu-u.ac.jp/M3/20110427/F51125/1397/1", 55.69)</f>
        <v>55.69</v>
      </c>
      <c r="E6174" s="2">
        <v>29.02</v>
      </c>
      <c r="F6174" s="2">
        <v>2</v>
      </c>
      <c r="G6174" s="2" t="s">
        <v>14</v>
      </c>
    </row>
    <row r="6175" spans="1:9" x14ac:dyDescent="0.2">
      <c r="A6175" s="2" t="s">
        <v>3432</v>
      </c>
      <c r="B6175" s="2" t="s">
        <v>240</v>
      </c>
      <c r="C6175" s="2">
        <v>657.05359999999996</v>
      </c>
      <c r="D6175" s="2">
        <f>HYPERLINK("http://mcb-m6.bioreg.kyushu-u.ac.jp/M3/20110428/F51126/1736/1", 56.63)</f>
        <v>56.63</v>
      </c>
      <c r="E6175" s="2">
        <v>38.4</v>
      </c>
      <c r="F6175" s="2">
        <v>2</v>
      </c>
      <c r="G6175" s="2" t="s">
        <v>14</v>
      </c>
    </row>
    <row r="6176" spans="1:9" x14ac:dyDescent="0.2">
      <c r="A6176" s="2" t="s">
        <v>3432</v>
      </c>
      <c r="B6176" s="2" t="s">
        <v>1881</v>
      </c>
      <c r="C6176" s="2">
        <v>752.17769999999996</v>
      </c>
      <c r="D6176" s="2">
        <f>HYPERLINK("http://mcb-m6.bioreg.kyushu-u.ac.jp/M3/20110427/F51124/2065/1", 57.3)</f>
        <v>57.3</v>
      </c>
      <c r="E6176" s="2">
        <v>33.89</v>
      </c>
      <c r="F6176" s="2">
        <v>2</v>
      </c>
      <c r="G6176" s="2" t="s">
        <v>14</v>
      </c>
    </row>
    <row r="6177" spans="1:9" x14ac:dyDescent="0.2">
      <c r="A6177" s="2" t="s">
        <v>3432</v>
      </c>
      <c r="B6177" s="2" t="s">
        <v>2672</v>
      </c>
      <c r="C6177" s="2">
        <v>645.55219999999997</v>
      </c>
      <c r="D6177" s="2">
        <f>HYPERLINK("http://mcb-m6.bioreg.kyushu-u.ac.jp/M3/20110427/F51125/1715/1", 59.94)</f>
        <v>59.94</v>
      </c>
      <c r="E6177" s="2">
        <v>40.29</v>
      </c>
      <c r="F6177" s="2">
        <v>2</v>
      </c>
      <c r="G6177" s="2" t="s">
        <v>14</v>
      </c>
    </row>
    <row r="6178" spans="1:9" x14ac:dyDescent="0.2">
      <c r="A6178" s="2" t="s">
        <v>3432</v>
      </c>
      <c r="B6178" s="2" t="s">
        <v>7506</v>
      </c>
      <c r="C6178" s="2">
        <v>529.73519999999996</v>
      </c>
      <c r="D6178" s="2">
        <f>HYPERLINK("http://mcb-m6.bioreg.kyushu-u.ac.jp/M3/20110428/F51126/1276/1", 60.67)</f>
        <v>60.67</v>
      </c>
      <c r="E6178" s="2">
        <v>10.74</v>
      </c>
      <c r="F6178" s="2">
        <v>2</v>
      </c>
      <c r="G6178" s="2" t="s">
        <v>14</v>
      </c>
      <c r="I6178" s="2" t="s">
        <v>4892</v>
      </c>
    </row>
    <row r="6179" spans="1:9" x14ac:dyDescent="0.2">
      <c r="A6179" s="2" t="s">
        <v>3432</v>
      </c>
      <c r="B6179" s="2" t="s">
        <v>781</v>
      </c>
      <c r="C6179" s="2">
        <v>621.08969999999999</v>
      </c>
      <c r="D6179" s="2">
        <f>HYPERLINK("http://mcb-m6.bioreg.kyushu-u.ac.jp/M3/20110427/F51125/1657/1", 61.98)</f>
        <v>61.98</v>
      </c>
      <c r="E6179" s="2">
        <v>44.01</v>
      </c>
      <c r="F6179" s="2">
        <v>2</v>
      </c>
      <c r="G6179" s="2" t="s">
        <v>14</v>
      </c>
    </row>
    <row r="6180" spans="1:9" x14ac:dyDescent="0.2">
      <c r="A6180" s="2" t="s">
        <v>3432</v>
      </c>
      <c r="B6180" s="2" t="s">
        <v>1097</v>
      </c>
      <c r="C6180" s="2">
        <v>760.18709999999999</v>
      </c>
      <c r="D6180" s="2">
        <f>HYPERLINK("http://mcb-m6.bioreg.kyushu-u.ac.jp/M3/20110427/F51125/2175/1", 63.26)</f>
        <v>63.26</v>
      </c>
      <c r="E6180" s="2">
        <v>42.63</v>
      </c>
      <c r="F6180" s="2">
        <v>2</v>
      </c>
      <c r="G6180" s="2" t="s">
        <v>14</v>
      </c>
    </row>
    <row r="6181" spans="1:9" x14ac:dyDescent="0.2">
      <c r="A6181" s="2" t="s">
        <v>3432</v>
      </c>
      <c r="B6181" s="2" t="s">
        <v>240</v>
      </c>
      <c r="C6181" s="2">
        <v>656.52809999999999</v>
      </c>
      <c r="D6181" s="2">
        <f>HYPERLINK("http://mcb-m6.bioreg.kyushu-u.ac.jp/M3/20110427/F51125/1747/1", 63.7)</f>
        <v>63.7</v>
      </c>
      <c r="E6181" s="2">
        <v>43.92</v>
      </c>
      <c r="F6181" s="2">
        <v>2</v>
      </c>
      <c r="G6181" s="2" t="s">
        <v>14</v>
      </c>
    </row>
    <row r="6182" spans="1:9" x14ac:dyDescent="0.2">
      <c r="A6182" s="2" t="s">
        <v>3432</v>
      </c>
      <c r="B6182" s="2" t="s">
        <v>2671</v>
      </c>
      <c r="C6182" s="2">
        <v>545.09059999999999</v>
      </c>
      <c r="D6182" s="2">
        <f>HYPERLINK("http://mcb-m6.bioreg.kyushu-u.ac.jp/M3/20110427/F51124/1258/1", 63.9)</f>
        <v>63.9</v>
      </c>
      <c r="E6182" s="2">
        <v>33.840000000000003</v>
      </c>
      <c r="F6182" s="2">
        <v>2</v>
      </c>
      <c r="G6182" s="2" t="s">
        <v>14</v>
      </c>
      <c r="I6182" s="2" t="s">
        <v>4899</v>
      </c>
    </row>
    <row r="6183" spans="1:9" x14ac:dyDescent="0.2">
      <c r="A6183" s="2" t="s">
        <v>3432</v>
      </c>
      <c r="B6183" s="2" t="s">
        <v>2672</v>
      </c>
      <c r="C6183" s="2">
        <v>646.07420000000002</v>
      </c>
      <c r="D6183" s="2">
        <f>HYPERLINK("http://mcb-m6.bioreg.kyushu-u.ac.jp/M3/20110427/F51125/1716/1", 64.67)</f>
        <v>64.67</v>
      </c>
      <c r="E6183" s="2">
        <v>48.1</v>
      </c>
      <c r="F6183" s="2">
        <v>2</v>
      </c>
      <c r="G6183" s="2" t="s">
        <v>14</v>
      </c>
    </row>
    <row r="6184" spans="1:9" x14ac:dyDescent="0.2">
      <c r="A6184" s="2" t="s">
        <v>3432</v>
      </c>
      <c r="B6184" s="2" t="s">
        <v>2672</v>
      </c>
      <c r="C6184" s="2">
        <v>646.00019999999995</v>
      </c>
      <c r="D6184" s="2">
        <f>HYPERLINK("http://mcb-m6.bioreg.kyushu-u.ac.jp/M3/20110428/F51126/1697/1", 68.46)</f>
        <v>68.459999999999994</v>
      </c>
      <c r="E6184" s="2">
        <v>50.86</v>
      </c>
      <c r="F6184" s="2">
        <v>2</v>
      </c>
      <c r="G6184" s="2" t="s">
        <v>14</v>
      </c>
    </row>
    <row r="6185" spans="1:9" x14ac:dyDescent="0.2">
      <c r="A6185" s="2" t="s">
        <v>3432</v>
      </c>
      <c r="B6185" s="2" t="s">
        <v>2751</v>
      </c>
      <c r="C6185" s="2">
        <v>910.23519999999996</v>
      </c>
      <c r="D6185" s="2">
        <f>HYPERLINK("http://mcb-m6.bioreg.kyushu-u.ac.jp/M3/20110427/F51124/2727/1", 71.65)</f>
        <v>71.650000000000006</v>
      </c>
      <c r="E6185" s="2">
        <v>52.4</v>
      </c>
      <c r="F6185" s="2">
        <v>2</v>
      </c>
      <c r="G6185" s="2" t="s">
        <v>14</v>
      </c>
    </row>
    <row r="6186" spans="1:9" x14ac:dyDescent="0.2">
      <c r="A6186" s="2" t="s">
        <v>3432</v>
      </c>
      <c r="B6186" s="2" t="s">
        <v>2751</v>
      </c>
      <c r="C6186" s="2">
        <v>909.88459999999998</v>
      </c>
      <c r="D6186" s="2">
        <f>HYPERLINK("http://mcb-m6.bioreg.kyushu-u.ac.jp/M3/20110428/F51126/2759/1", 73.97)</f>
        <v>73.97</v>
      </c>
      <c r="E6186" s="2">
        <v>50.32</v>
      </c>
      <c r="F6186" s="2">
        <v>2</v>
      </c>
      <c r="G6186" s="2" t="s">
        <v>14</v>
      </c>
    </row>
    <row r="6187" spans="1:9" x14ac:dyDescent="0.2">
      <c r="A6187" s="2" t="s">
        <v>3432</v>
      </c>
      <c r="B6187" s="2" t="s">
        <v>1097</v>
      </c>
      <c r="C6187" s="2">
        <v>760.17970000000003</v>
      </c>
      <c r="D6187" s="2">
        <f>HYPERLINK("http://mcb-m6.bioreg.kyushu-u.ac.jp/M3/20110428/F51126/2160/1", 75.05)</f>
        <v>75.05</v>
      </c>
      <c r="E6187" s="2">
        <v>54.96</v>
      </c>
      <c r="F6187" s="2">
        <v>2</v>
      </c>
      <c r="G6187" s="2" t="s">
        <v>14</v>
      </c>
    </row>
    <row r="6188" spans="1:9" x14ac:dyDescent="0.2">
      <c r="A6188" s="2" t="s">
        <v>3432</v>
      </c>
      <c r="B6188" s="2" t="s">
        <v>781</v>
      </c>
      <c r="C6188" s="2">
        <v>620.57370000000003</v>
      </c>
      <c r="D6188" s="2">
        <f>HYPERLINK("http://mcb-m6.bioreg.kyushu-u.ac.jp/M3/20110427/F51125/1652/1", 78.95)</f>
        <v>78.95</v>
      </c>
      <c r="E6188" s="2">
        <v>54.59</v>
      </c>
      <c r="F6188" s="2">
        <v>2</v>
      </c>
      <c r="G6188" s="2" t="s">
        <v>14</v>
      </c>
    </row>
    <row r="6189" spans="1:9" x14ac:dyDescent="0.2">
      <c r="A6189" s="2" t="s">
        <v>3432</v>
      </c>
      <c r="B6189" s="2" t="s">
        <v>781</v>
      </c>
      <c r="C6189" s="2">
        <v>620.61410000000001</v>
      </c>
      <c r="D6189" s="2">
        <f>HYPERLINK("http://mcb-m6.bioreg.kyushu-u.ac.jp/M3/20110428/F51126/1624/1", 80.88)</f>
        <v>80.88</v>
      </c>
      <c r="E6189" s="2">
        <v>62.24</v>
      </c>
      <c r="F6189" s="2">
        <v>2</v>
      </c>
      <c r="G6189" s="2" t="s">
        <v>14</v>
      </c>
    </row>
    <row r="6190" spans="1:9" x14ac:dyDescent="0.2">
      <c r="A6190" s="2" t="s">
        <v>3432</v>
      </c>
      <c r="B6190" s="2" t="s">
        <v>1097</v>
      </c>
      <c r="C6190" s="2">
        <v>760.5942</v>
      </c>
      <c r="D6190" s="2">
        <f>HYPERLINK("http://mcb-m6.bioreg.kyushu-u.ac.jp/M3/20110427/F51124/2105/1", 82.35)</f>
        <v>82.35</v>
      </c>
      <c r="E6190" s="2">
        <v>54.92</v>
      </c>
      <c r="F6190" s="2">
        <v>2</v>
      </c>
      <c r="G6190" s="2" t="s">
        <v>14</v>
      </c>
    </row>
    <row r="6191" spans="1:9" x14ac:dyDescent="0.2">
      <c r="A6191" s="2" t="s">
        <v>3432</v>
      </c>
      <c r="B6191" s="2" t="s">
        <v>1274</v>
      </c>
      <c r="C6191" s="2">
        <v>785.56269999999995</v>
      </c>
      <c r="D6191" s="2">
        <f>HYPERLINK("http://mcb-m6.bioreg.kyushu-u.ac.jp/M3/20110427/F51125/2290/1", 84.39)</f>
        <v>84.39</v>
      </c>
      <c r="E6191" s="2">
        <v>64.239999999999995</v>
      </c>
      <c r="F6191" s="2">
        <v>2</v>
      </c>
      <c r="G6191" s="2" t="s">
        <v>14</v>
      </c>
    </row>
    <row r="6192" spans="1:9" x14ac:dyDescent="0.2">
      <c r="A6192" s="2" t="s">
        <v>3432</v>
      </c>
      <c r="B6192" s="2" t="s">
        <v>1097</v>
      </c>
      <c r="C6192" s="2">
        <v>760.74019999999996</v>
      </c>
      <c r="D6192" s="2">
        <f>HYPERLINK("http://mcb-m6.bioreg.kyushu-u.ac.jp/M3/20110428/F51126/2163/1", 85.57)</f>
        <v>85.57</v>
      </c>
      <c r="E6192" s="2">
        <v>64.38</v>
      </c>
      <c r="F6192" s="2">
        <v>2</v>
      </c>
      <c r="G6192" s="2" t="s">
        <v>14</v>
      </c>
    </row>
    <row r="6193" spans="1:7" x14ac:dyDescent="0.2">
      <c r="A6193" s="2" t="s">
        <v>3432</v>
      </c>
      <c r="B6193" s="2" t="s">
        <v>387</v>
      </c>
      <c r="C6193" s="2">
        <v>631.18470000000002</v>
      </c>
      <c r="D6193" s="2">
        <f>HYPERLINK("http://mcb-m6.bioreg.kyushu-u.ac.jp/M3/20110428/F51126/1661/1", 86.17)</f>
        <v>86.17</v>
      </c>
      <c r="E6193" s="2">
        <v>62.3</v>
      </c>
      <c r="F6193" s="2">
        <v>2</v>
      </c>
      <c r="G6193" s="2" t="s">
        <v>14</v>
      </c>
    </row>
    <row r="6194" spans="1:7" x14ac:dyDescent="0.2">
      <c r="A6194" s="2" t="s">
        <v>3432</v>
      </c>
      <c r="B6194" s="2" t="s">
        <v>1881</v>
      </c>
      <c r="C6194" s="2">
        <v>752.09169999999995</v>
      </c>
      <c r="D6194" s="2">
        <f>HYPERLINK("http://mcb-m6.bioreg.kyushu-u.ac.jp/M3/20110427/F51125/2130/1", 86.65)</f>
        <v>86.65</v>
      </c>
      <c r="E6194" s="2">
        <v>64.849999999999994</v>
      </c>
      <c r="F6194" s="2">
        <v>2</v>
      </c>
      <c r="G6194" s="2" t="s">
        <v>14</v>
      </c>
    </row>
    <row r="6195" spans="1:7" x14ac:dyDescent="0.2">
      <c r="A6195" s="2" t="s">
        <v>3432</v>
      </c>
      <c r="B6195" s="2" t="s">
        <v>1274</v>
      </c>
      <c r="C6195" s="2">
        <v>785.98069999999996</v>
      </c>
      <c r="D6195" s="2">
        <f>HYPERLINK("http://mcb-m6.bioreg.kyushu-u.ac.jp/M3/20110428/F51126/2268/1", 89.34)</f>
        <v>89.34</v>
      </c>
      <c r="E6195" s="2">
        <v>72.89</v>
      </c>
      <c r="F6195" s="2">
        <v>2</v>
      </c>
      <c r="G6195" s="2" t="s">
        <v>14</v>
      </c>
    </row>
    <row r="6196" spans="1:7" x14ac:dyDescent="0.2">
      <c r="A6196" s="2" t="s">
        <v>3432</v>
      </c>
      <c r="B6196" s="2" t="s">
        <v>1274</v>
      </c>
      <c r="C6196" s="2">
        <v>786.19269999999995</v>
      </c>
      <c r="D6196" s="2">
        <f>HYPERLINK("http://mcb-m6.bioreg.kyushu-u.ac.jp/M3/20110427/F51125/2291/1", 93.11)</f>
        <v>93.11</v>
      </c>
      <c r="E6196" s="2">
        <v>68.42</v>
      </c>
      <c r="F6196" s="2">
        <v>2</v>
      </c>
      <c r="G6196" s="2" t="s">
        <v>14</v>
      </c>
    </row>
    <row r="6197" spans="1:7" x14ac:dyDescent="0.2">
      <c r="A6197" s="2" t="s">
        <v>3432</v>
      </c>
      <c r="B6197" s="2" t="s">
        <v>2140</v>
      </c>
      <c r="C6197" s="2">
        <v>751.0566</v>
      </c>
      <c r="D6197" s="2">
        <f>HYPERLINK("http://mcb-m6.bioreg.kyushu-u.ac.jp/M3/20110428/F51126/2114/1", 98.96)</f>
        <v>98.96</v>
      </c>
      <c r="E6197" s="2">
        <v>70.040000000000006</v>
      </c>
      <c r="F6197" s="2">
        <v>2</v>
      </c>
      <c r="G6197" s="2" t="s">
        <v>14</v>
      </c>
    </row>
    <row r="6198" spans="1:7" x14ac:dyDescent="0.2">
      <c r="A6198" s="2" t="s">
        <v>7748</v>
      </c>
      <c r="B6198" s="2" t="s">
        <v>6527</v>
      </c>
      <c r="C6198" s="2">
        <v>988.30650000000003</v>
      </c>
      <c r="D6198" s="2">
        <f>HYPERLINK("http://mcb-m6.bioreg.kyushu-u.ac.jp/M3/20110404/F50766/4612/1", 74.61)</f>
        <v>74.61</v>
      </c>
      <c r="E6198" s="2">
        <v>60.98</v>
      </c>
      <c r="F6198" s="2">
        <v>3</v>
      </c>
      <c r="G6198" s="2" t="s">
        <v>9</v>
      </c>
    </row>
    <row r="6199" spans="1:7" x14ac:dyDescent="0.2">
      <c r="A6199" s="2" t="s">
        <v>4295</v>
      </c>
      <c r="B6199" s="2" t="s">
        <v>2004</v>
      </c>
      <c r="C6199" s="2">
        <v>690.16970000000003</v>
      </c>
      <c r="D6199" s="2">
        <f>HYPERLINK("http://mcb-m6.bioreg.kyushu-u.ac.jp/M3/20110421/F51021/1781/1", 47.51)</f>
        <v>47.51</v>
      </c>
      <c r="E6199" s="2">
        <v>37.03</v>
      </c>
      <c r="F6199" s="2">
        <v>2</v>
      </c>
      <c r="G6199" s="2" t="s">
        <v>12</v>
      </c>
    </row>
    <row r="6200" spans="1:7" x14ac:dyDescent="0.2">
      <c r="A6200" s="2" t="s">
        <v>4295</v>
      </c>
      <c r="B6200" s="2" t="s">
        <v>2004</v>
      </c>
      <c r="C6200" s="2">
        <v>690.33320000000003</v>
      </c>
      <c r="D6200" s="2">
        <f>HYPERLINK("http://mcb-m6.bioreg.kyushu-u.ac.jp/M3/20110421/F51021/1783/1", 48.43)</f>
        <v>48.43</v>
      </c>
      <c r="E6200" s="2">
        <v>35.67</v>
      </c>
      <c r="F6200" s="2">
        <v>2</v>
      </c>
      <c r="G6200" s="2" t="s">
        <v>12</v>
      </c>
    </row>
    <row r="6201" spans="1:7" x14ac:dyDescent="0.2">
      <c r="A6201" s="2" t="s">
        <v>3455</v>
      </c>
      <c r="B6201" s="2" t="s">
        <v>266</v>
      </c>
      <c r="C6201" s="2">
        <v>610.63760000000002</v>
      </c>
      <c r="D6201" s="2">
        <f>HYPERLINK("http://mcb-m6.bioreg.kyushu-u.ac.jp/M3/20110404/F50766/906/1", 53.47)</f>
        <v>53.47</v>
      </c>
      <c r="E6201" s="2">
        <v>14.09</v>
      </c>
      <c r="F6201" s="2">
        <v>2</v>
      </c>
      <c r="G6201" s="2" t="s">
        <v>9</v>
      </c>
    </row>
    <row r="6202" spans="1:7" x14ac:dyDescent="0.2">
      <c r="A6202" s="2" t="s">
        <v>3455</v>
      </c>
      <c r="B6202" s="2" t="s">
        <v>2120</v>
      </c>
      <c r="C6202" s="2">
        <v>1044.289</v>
      </c>
      <c r="D6202" s="2">
        <f>HYPERLINK("http://mcb-m6.bioreg.kyushu-u.ac.jp/M3/20110404/F50766/3198/1", 88.75)</f>
        <v>88.75</v>
      </c>
      <c r="E6202" s="2">
        <v>73.47</v>
      </c>
      <c r="F6202" s="2">
        <v>2</v>
      </c>
      <c r="G6202" s="2" t="s">
        <v>9</v>
      </c>
    </row>
    <row r="6203" spans="1:7" x14ac:dyDescent="0.2">
      <c r="A6203" s="2" t="s">
        <v>3455</v>
      </c>
      <c r="B6203" s="2" t="s">
        <v>266</v>
      </c>
      <c r="C6203" s="2">
        <v>610.73519999999996</v>
      </c>
      <c r="D6203" s="2">
        <f>HYPERLINK("http://mcb-m6.bioreg.kyushu-u.ac.jp/M3/20110404/F50761/1360/1", 45.24)</f>
        <v>45.24</v>
      </c>
      <c r="E6203" s="2">
        <v>29.03</v>
      </c>
      <c r="F6203" s="2">
        <v>2</v>
      </c>
      <c r="G6203" s="2" t="s">
        <v>10</v>
      </c>
    </row>
    <row r="6204" spans="1:7" x14ac:dyDescent="0.2">
      <c r="A6204" s="2" t="s">
        <v>3455</v>
      </c>
      <c r="B6204" s="2" t="s">
        <v>266</v>
      </c>
      <c r="C6204" s="2">
        <v>1220.3689999999999</v>
      </c>
      <c r="D6204" s="2">
        <f>HYPERLINK("http://mcb-m6.bioreg.kyushu-u.ac.jp/M3/20110421/F51021/1380/1", 41.66)</f>
        <v>41.66</v>
      </c>
      <c r="E6204" s="2">
        <v>21.95</v>
      </c>
      <c r="F6204" s="2">
        <v>1</v>
      </c>
      <c r="G6204" s="2" t="s">
        <v>12</v>
      </c>
    </row>
    <row r="6205" spans="1:7" x14ac:dyDescent="0.2">
      <c r="A6205" s="2" t="s">
        <v>3455</v>
      </c>
      <c r="B6205" s="2" t="s">
        <v>7191</v>
      </c>
      <c r="C6205" s="2">
        <v>571.73419999999999</v>
      </c>
      <c r="D6205" s="2">
        <f>HYPERLINK("http://mcb-m6.bioreg.kyushu-u.ac.jp/M3/20110421/F51021/1170/2", 41.74)</f>
        <v>41.74</v>
      </c>
      <c r="E6205" s="2">
        <v>15.93</v>
      </c>
      <c r="F6205" s="2">
        <v>2</v>
      </c>
      <c r="G6205" s="2" t="s">
        <v>12</v>
      </c>
    </row>
    <row r="6206" spans="1:7" x14ac:dyDescent="0.2">
      <c r="A6206" s="2" t="s">
        <v>3455</v>
      </c>
      <c r="B6206" s="2" t="s">
        <v>7191</v>
      </c>
      <c r="C6206" s="2">
        <v>571.2192</v>
      </c>
      <c r="D6206" s="2">
        <f>HYPERLINK("http://mcb-m6.bioreg.kyushu-u.ac.jp/M3/20110421/F51021/1164/2", 53.33)</f>
        <v>53.33</v>
      </c>
      <c r="E6206" s="2">
        <v>25.96</v>
      </c>
      <c r="F6206" s="2">
        <v>2</v>
      </c>
      <c r="G6206" s="2" t="s">
        <v>12</v>
      </c>
    </row>
    <row r="6207" spans="1:7" x14ac:dyDescent="0.2">
      <c r="A6207" s="2" t="s">
        <v>3455</v>
      </c>
      <c r="B6207" s="2" t="s">
        <v>7239</v>
      </c>
      <c r="C6207" s="2">
        <v>621.27260000000001</v>
      </c>
      <c r="D6207" s="2">
        <f>HYPERLINK("http://mcb-m6.bioreg.kyushu-u.ac.jp/M3/20110421/F51021/1429/1", 56.93)</f>
        <v>56.93</v>
      </c>
      <c r="E6207" s="2">
        <v>27.78</v>
      </c>
      <c r="F6207" s="2">
        <v>2</v>
      </c>
      <c r="G6207" s="2" t="s">
        <v>12</v>
      </c>
    </row>
    <row r="6208" spans="1:7" x14ac:dyDescent="0.2">
      <c r="A6208" s="2" t="s">
        <v>3455</v>
      </c>
      <c r="B6208" s="2" t="s">
        <v>266</v>
      </c>
      <c r="C6208" s="2">
        <v>611.32870000000003</v>
      </c>
      <c r="D6208" s="2">
        <f>HYPERLINK("http://mcb-m6.bioreg.kyushu-u.ac.jp/M3/20110421/F51021/1383/1", 65.05)</f>
        <v>65.05</v>
      </c>
      <c r="E6208" s="2">
        <v>45.03</v>
      </c>
      <c r="F6208" s="2">
        <v>2</v>
      </c>
      <c r="G6208" s="2" t="s">
        <v>12</v>
      </c>
    </row>
    <row r="6209" spans="1:7" x14ac:dyDescent="0.2">
      <c r="A6209" s="2" t="s">
        <v>3455</v>
      </c>
      <c r="B6209" s="2" t="s">
        <v>266</v>
      </c>
      <c r="C6209" s="2">
        <v>610.75819999999999</v>
      </c>
      <c r="D6209" s="2">
        <f>HYPERLINK("http://mcb-m6.bioreg.kyushu-u.ac.jp/M3/20110421/F51021/1381/1", 80.18)</f>
        <v>80.180000000000007</v>
      </c>
      <c r="E6209" s="2">
        <v>55.14</v>
      </c>
      <c r="F6209" s="2">
        <v>2</v>
      </c>
      <c r="G6209" s="2" t="s">
        <v>12</v>
      </c>
    </row>
    <row r="6210" spans="1:7" x14ac:dyDescent="0.2">
      <c r="A6210" s="2" t="s">
        <v>3455</v>
      </c>
      <c r="B6210" s="2" t="s">
        <v>2120</v>
      </c>
      <c r="C6210" s="2">
        <v>1044.2139999999999</v>
      </c>
      <c r="D6210" s="2">
        <f>HYPERLINK("http://mcb-m6.bioreg.kyushu-u.ac.jp/M3/20110421/F51021/3488/1", 115.54)</f>
        <v>115.54</v>
      </c>
      <c r="E6210" s="2">
        <v>92.56</v>
      </c>
      <c r="F6210" s="2">
        <v>2</v>
      </c>
      <c r="G6210" s="2" t="s">
        <v>12</v>
      </c>
    </row>
    <row r="6211" spans="1:7" x14ac:dyDescent="0.2">
      <c r="A6211" s="2" t="s">
        <v>3455</v>
      </c>
      <c r="B6211" s="2" t="s">
        <v>2120</v>
      </c>
      <c r="C6211" s="2">
        <v>1044.7260000000001</v>
      </c>
      <c r="D6211" s="2">
        <f>HYPERLINK("http://mcb-m6.bioreg.kyushu-u.ac.jp/M3/20110421/F51021/3493/1", 125.21)</f>
        <v>125.21</v>
      </c>
      <c r="E6211" s="2">
        <v>102.79</v>
      </c>
      <c r="F6211" s="2">
        <v>2</v>
      </c>
      <c r="G6211" s="2" t="s">
        <v>12</v>
      </c>
    </row>
    <row r="6212" spans="1:7" x14ac:dyDescent="0.2">
      <c r="A6212" s="2" t="s">
        <v>8069</v>
      </c>
      <c r="B6212" s="2" t="s">
        <v>7380</v>
      </c>
      <c r="C6212" s="2">
        <v>598.70870000000002</v>
      </c>
      <c r="D6212" s="2">
        <f>HYPERLINK("http://mcb-m6.bioreg.kyushu-u.ac.jp/M3/20110427/F51108/1560/1", 52.66)</f>
        <v>52.66</v>
      </c>
      <c r="E6212" s="2">
        <v>28.82</v>
      </c>
      <c r="F6212" s="2">
        <v>2</v>
      </c>
      <c r="G6212" s="2" t="s">
        <v>13</v>
      </c>
    </row>
    <row r="6213" spans="1:7" x14ac:dyDescent="0.2">
      <c r="A6213" s="2" t="s">
        <v>3667</v>
      </c>
      <c r="B6213" s="2" t="s">
        <v>607</v>
      </c>
      <c r="C6213" s="2">
        <v>729.37300000000005</v>
      </c>
      <c r="D6213" s="2">
        <f>HYPERLINK("http://mcb-m6.bioreg.kyushu-u.ac.jp/M3/20110404/F50776/736/1", 46.52)</f>
        <v>46.52</v>
      </c>
      <c r="E6213" s="2">
        <v>7.25</v>
      </c>
      <c r="F6213" s="2">
        <v>1</v>
      </c>
      <c r="G6213" s="2" t="s">
        <v>9</v>
      </c>
    </row>
    <row r="6214" spans="1:7" x14ac:dyDescent="0.2">
      <c r="A6214" s="2" t="s">
        <v>3667</v>
      </c>
      <c r="B6214" s="2" t="s">
        <v>607</v>
      </c>
      <c r="C6214" s="2">
        <v>729.52800000000002</v>
      </c>
      <c r="D6214" s="2">
        <f>HYPERLINK("http://mcb-m6.bioreg.kyushu-u.ac.jp/M3/20110404/F50772/670/1", 46.53)</f>
        <v>46.53</v>
      </c>
      <c r="E6214" s="2">
        <v>7.24</v>
      </c>
      <c r="F6214" s="2">
        <v>1</v>
      </c>
      <c r="G6214" s="2" t="s">
        <v>10</v>
      </c>
    </row>
    <row r="6215" spans="1:7" x14ac:dyDescent="0.2">
      <c r="A6215" s="2" t="s">
        <v>3667</v>
      </c>
      <c r="B6215" s="2" t="s">
        <v>607</v>
      </c>
      <c r="C6215" s="2">
        <v>729.40099999999995</v>
      </c>
      <c r="D6215" s="2">
        <f>HYPERLINK("http://mcb-m6.bioreg.kyushu-u.ac.jp/M3/20110404/F50773/654/1", 46.62)</f>
        <v>46.62</v>
      </c>
      <c r="E6215" s="2">
        <v>7.24</v>
      </c>
      <c r="F6215" s="2">
        <v>1</v>
      </c>
      <c r="G6215" s="2" t="s">
        <v>10</v>
      </c>
    </row>
    <row r="6216" spans="1:7" x14ac:dyDescent="0.2">
      <c r="A6216" s="2" t="s">
        <v>3667</v>
      </c>
      <c r="B6216" s="2" t="s">
        <v>607</v>
      </c>
      <c r="C6216" s="2">
        <v>729.33799999999997</v>
      </c>
      <c r="D6216" s="2">
        <f>HYPERLINK("http://mcb-m6.bioreg.kyushu-u.ac.jp/M3/20110404/F50775/670/1", 46.83)</f>
        <v>46.83</v>
      </c>
      <c r="E6216" s="2">
        <v>7.23</v>
      </c>
      <c r="F6216" s="2">
        <v>1</v>
      </c>
      <c r="G6216" s="2" t="s">
        <v>10</v>
      </c>
    </row>
    <row r="6217" spans="1:7" x14ac:dyDescent="0.2">
      <c r="A6217" s="2" t="s">
        <v>3667</v>
      </c>
      <c r="B6217" s="2" t="s">
        <v>607</v>
      </c>
      <c r="C6217" s="2">
        <v>729.22699999999998</v>
      </c>
      <c r="D6217" s="2">
        <f>HYPERLINK("http://mcb-m6.bioreg.kyushu-u.ac.jp/M3/20110428/F51127/484/1", 46.49)</f>
        <v>46.49</v>
      </c>
      <c r="E6217" s="2">
        <v>7.24</v>
      </c>
      <c r="F6217" s="2">
        <v>1</v>
      </c>
      <c r="G6217" s="2" t="s">
        <v>13</v>
      </c>
    </row>
    <row r="6218" spans="1:7" x14ac:dyDescent="0.2">
      <c r="A6218" s="2" t="s">
        <v>3667</v>
      </c>
      <c r="B6218" s="2" t="s">
        <v>607</v>
      </c>
      <c r="C6218" s="2">
        <v>729.22900000000004</v>
      </c>
      <c r="D6218" s="2">
        <f>HYPERLINK("http://mcb-m6.bioreg.kyushu-u.ac.jp/M3/20110427/F51114/607/1", 46.76)</f>
        <v>46.76</v>
      </c>
      <c r="E6218" s="2">
        <v>7.24</v>
      </c>
      <c r="F6218" s="2">
        <v>1</v>
      </c>
      <c r="G6218" s="2" t="s">
        <v>13</v>
      </c>
    </row>
    <row r="6219" spans="1:7" x14ac:dyDescent="0.2">
      <c r="A6219" s="2" t="s">
        <v>3667</v>
      </c>
      <c r="B6219" s="2" t="s">
        <v>607</v>
      </c>
      <c r="C6219" s="2">
        <v>729.18399999999997</v>
      </c>
      <c r="D6219" s="2">
        <f>HYPERLINK("http://mcb-m6.bioreg.kyushu-u.ac.jp/M3/20110428/F51132/530/1", 46.77)</f>
        <v>46.77</v>
      </c>
      <c r="E6219" s="2">
        <v>7.24</v>
      </c>
      <c r="F6219" s="2">
        <v>1</v>
      </c>
      <c r="G6219" s="2" t="s">
        <v>13</v>
      </c>
    </row>
    <row r="6220" spans="1:7" x14ac:dyDescent="0.2">
      <c r="A6220" s="2" t="s">
        <v>4294</v>
      </c>
      <c r="B6220" s="2" t="s">
        <v>2000</v>
      </c>
      <c r="C6220" s="2">
        <v>596.13670000000002</v>
      </c>
      <c r="D6220" s="2">
        <f>HYPERLINK("http://mcb-m6.bioreg.kyushu-u.ac.jp/M3/20110427/F51108/1554/1", 50.43)</f>
        <v>50.43</v>
      </c>
      <c r="E6220" s="2">
        <v>30.05</v>
      </c>
      <c r="F6220" s="2">
        <v>2</v>
      </c>
      <c r="G6220" s="2" t="s">
        <v>13</v>
      </c>
    </row>
    <row r="6221" spans="1:7" x14ac:dyDescent="0.2">
      <c r="A6221" s="2" t="s">
        <v>3285</v>
      </c>
      <c r="B6221" s="2" t="s">
        <v>65</v>
      </c>
      <c r="C6221" s="2">
        <v>1302.6099999999999</v>
      </c>
      <c r="D6221" s="2">
        <f>HYPERLINK("http://mcb-m6.bioreg.kyushu-u.ac.jp/M3/20110404/F50755/1553/1", 38.2)</f>
        <v>38.200000000000003</v>
      </c>
      <c r="E6221" s="2">
        <v>12.63</v>
      </c>
      <c r="F6221" s="2">
        <v>1</v>
      </c>
      <c r="G6221" s="2" t="s">
        <v>9</v>
      </c>
    </row>
    <row r="6222" spans="1:7" x14ac:dyDescent="0.2">
      <c r="A6222" s="2" t="s">
        <v>3285</v>
      </c>
      <c r="B6222" s="2" t="s">
        <v>65</v>
      </c>
      <c r="C6222" s="2">
        <v>1302.6020000000001</v>
      </c>
      <c r="D6222" s="2">
        <f>HYPERLINK("http://mcb-m6.bioreg.kyushu-u.ac.jp/M3/20110404/F50756/1535/1", 39.19)</f>
        <v>39.19</v>
      </c>
      <c r="E6222" s="2">
        <v>21</v>
      </c>
      <c r="F6222" s="2">
        <v>1</v>
      </c>
      <c r="G6222" s="2" t="s">
        <v>9</v>
      </c>
    </row>
    <row r="6223" spans="1:7" x14ac:dyDescent="0.2">
      <c r="A6223" s="2" t="s">
        <v>3285</v>
      </c>
      <c r="B6223" s="2" t="s">
        <v>65</v>
      </c>
      <c r="C6223" s="2">
        <v>652.02009999999996</v>
      </c>
      <c r="D6223" s="2">
        <f>HYPERLINK("http://mcb-m6.bioreg.kyushu-u.ac.jp/M3/20110404/F50764/1481/1", 49.49)</f>
        <v>49.49</v>
      </c>
      <c r="E6223" s="2">
        <v>30.5</v>
      </c>
      <c r="F6223" s="2">
        <v>2</v>
      </c>
      <c r="G6223" s="2" t="s">
        <v>9</v>
      </c>
    </row>
    <row r="6224" spans="1:7" x14ac:dyDescent="0.2">
      <c r="A6224" s="2" t="s">
        <v>3285</v>
      </c>
      <c r="B6224" s="2" t="s">
        <v>65</v>
      </c>
      <c r="C6224" s="2">
        <v>1302.5429999999999</v>
      </c>
      <c r="D6224" s="2">
        <f>HYPERLINK("http://mcb-m6.bioreg.kyushu-u.ac.jp/M3/20110404/F50763/1571/1", 50.62)</f>
        <v>50.62</v>
      </c>
      <c r="E6224" s="2">
        <v>34.11</v>
      </c>
      <c r="F6224" s="2">
        <v>1</v>
      </c>
      <c r="G6224" s="2" t="s">
        <v>9</v>
      </c>
    </row>
    <row r="6225" spans="1:7" x14ac:dyDescent="0.2">
      <c r="A6225" s="2" t="s">
        <v>3285</v>
      </c>
      <c r="B6225" s="2" t="s">
        <v>65</v>
      </c>
      <c r="C6225" s="2">
        <v>652.23569999999995</v>
      </c>
      <c r="D6225" s="2">
        <f>HYPERLINK("http://mcb-m6.bioreg.kyushu-u.ac.jp/M3/20110404/F50763/1573/1", 55.46)</f>
        <v>55.46</v>
      </c>
      <c r="E6225" s="2">
        <v>33.29</v>
      </c>
      <c r="F6225" s="2">
        <v>2</v>
      </c>
      <c r="G6225" s="2" t="s">
        <v>9</v>
      </c>
    </row>
    <row r="6226" spans="1:7" x14ac:dyDescent="0.2">
      <c r="A6226" s="2" t="s">
        <v>3285</v>
      </c>
      <c r="B6226" s="2" t="s">
        <v>65</v>
      </c>
      <c r="C6226" s="2">
        <v>652.3347</v>
      </c>
      <c r="D6226" s="2">
        <f>HYPERLINK("http://mcb-m6.bioreg.kyushu-u.ac.jp/M3/20110404/F50765/1431/1", 70.17)</f>
        <v>70.17</v>
      </c>
      <c r="E6226" s="2">
        <v>52.14</v>
      </c>
      <c r="F6226" s="2">
        <v>2</v>
      </c>
      <c r="G6226" s="2" t="s">
        <v>9</v>
      </c>
    </row>
    <row r="6227" spans="1:7" x14ac:dyDescent="0.2">
      <c r="A6227" s="2" t="s">
        <v>3285</v>
      </c>
      <c r="B6227" s="2" t="s">
        <v>65</v>
      </c>
      <c r="C6227" s="2">
        <v>652.18910000000005</v>
      </c>
      <c r="D6227" s="2">
        <f>HYPERLINK("http://mcb-m6.bioreg.kyushu-u.ac.jp/M3/20110404/F50753/1666/1", 85.3)</f>
        <v>85.3</v>
      </c>
      <c r="E6227" s="2">
        <v>53.35</v>
      </c>
      <c r="F6227" s="2">
        <v>2</v>
      </c>
      <c r="G6227" s="2" t="s">
        <v>9</v>
      </c>
    </row>
    <row r="6228" spans="1:7" x14ac:dyDescent="0.2">
      <c r="A6228" s="2" t="s">
        <v>3285</v>
      </c>
      <c r="B6228" s="2" t="s">
        <v>65</v>
      </c>
      <c r="C6228" s="2">
        <v>652.02009999999996</v>
      </c>
      <c r="D6228" s="2">
        <f>HYPERLINK("http://mcb-m6.bioreg.kyushu-u.ac.jp/M3/20110404/F50762/1477/1", 86.22)</f>
        <v>86.22</v>
      </c>
      <c r="E6228" s="2">
        <v>59.69</v>
      </c>
      <c r="F6228" s="2">
        <v>2</v>
      </c>
      <c r="G6228" s="2" t="s">
        <v>9</v>
      </c>
    </row>
    <row r="6229" spans="1:7" x14ac:dyDescent="0.2">
      <c r="A6229" s="2" t="s">
        <v>3285</v>
      </c>
      <c r="B6229" s="2" t="s">
        <v>65</v>
      </c>
      <c r="C6229" s="2">
        <v>652.2731</v>
      </c>
      <c r="D6229" s="2">
        <f>HYPERLINK("http://mcb-m6.bioreg.kyushu-u.ac.jp/M3/20110404/F50776/1466/1", 88.11)</f>
        <v>88.11</v>
      </c>
      <c r="E6229" s="2">
        <v>57.31</v>
      </c>
      <c r="F6229" s="2">
        <v>2</v>
      </c>
      <c r="G6229" s="2" t="s">
        <v>9</v>
      </c>
    </row>
    <row r="6230" spans="1:7" x14ac:dyDescent="0.2">
      <c r="A6230" s="2" t="s">
        <v>3285</v>
      </c>
      <c r="B6230" s="2" t="s">
        <v>65</v>
      </c>
      <c r="C6230" s="2">
        <v>651.83010000000002</v>
      </c>
      <c r="D6230" s="2">
        <f>HYPERLINK("http://mcb-m6.bioreg.kyushu-u.ac.jp/M3/20110404/F50752/1821/1", 92.13)</f>
        <v>92.13</v>
      </c>
      <c r="E6230" s="2">
        <v>28.17</v>
      </c>
      <c r="F6230" s="2">
        <v>2</v>
      </c>
      <c r="G6230" s="2" t="s">
        <v>9</v>
      </c>
    </row>
    <row r="6231" spans="1:7" x14ac:dyDescent="0.2">
      <c r="A6231" s="2" t="s">
        <v>3285</v>
      </c>
      <c r="B6231" s="2" t="s">
        <v>65</v>
      </c>
      <c r="C6231" s="2">
        <v>651.76819999999998</v>
      </c>
      <c r="D6231" s="2">
        <f>HYPERLINK("http://mcb-m6.bioreg.kyushu-u.ac.jp/M3/20110404/F50756/1534/1", 95.92)</f>
        <v>95.92</v>
      </c>
      <c r="E6231" s="2">
        <v>35.24</v>
      </c>
      <c r="F6231" s="2">
        <v>2</v>
      </c>
      <c r="G6231" s="2" t="s">
        <v>9</v>
      </c>
    </row>
    <row r="6232" spans="1:7" x14ac:dyDescent="0.2">
      <c r="A6232" s="2" t="s">
        <v>3285</v>
      </c>
      <c r="B6232" s="2" t="s">
        <v>65</v>
      </c>
      <c r="C6232" s="2">
        <v>651.67359999999996</v>
      </c>
      <c r="D6232" s="2">
        <f>HYPERLINK("http://mcb-m6.bioreg.kyushu-u.ac.jp/M3/20110404/F50753/1660/1", 102.04)</f>
        <v>102.04</v>
      </c>
      <c r="E6232" s="2">
        <v>6.03</v>
      </c>
      <c r="F6232" s="2">
        <v>2</v>
      </c>
      <c r="G6232" s="2" t="s">
        <v>9</v>
      </c>
    </row>
    <row r="6233" spans="1:7" x14ac:dyDescent="0.2">
      <c r="A6233" s="2" t="s">
        <v>3285</v>
      </c>
      <c r="B6233" s="2" t="s">
        <v>65</v>
      </c>
      <c r="C6233" s="2">
        <v>651.76319999999998</v>
      </c>
      <c r="D6233" s="2">
        <f>HYPERLINK("http://mcb-m6.bioreg.kyushu-u.ac.jp/M3/20110404/F50778/1385/1", 104.2)</f>
        <v>104.2</v>
      </c>
      <c r="E6233" s="2">
        <v>54.46</v>
      </c>
      <c r="F6233" s="2">
        <v>2</v>
      </c>
      <c r="G6233" s="2" t="s">
        <v>9</v>
      </c>
    </row>
    <row r="6234" spans="1:7" x14ac:dyDescent="0.2">
      <c r="A6234" s="2" t="s">
        <v>3285</v>
      </c>
      <c r="B6234" s="2" t="s">
        <v>65</v>
      </c>
      <c r="C6234" s="2">
        <v>651.78269999999998</v>
      </c>
      <c r="D6234" s="2">
        <f>HYPERLINK("http://mcb-m6.bioreg.kyushu-u.ac.jp/M3/20110404/F50767/1254/1", 104.98)</f>
        <v>104.98</v>
      </c>
      <c r="E6234" s="2">
        <v>38.04</v>
      </c>
      <c r="F6234" s="2">
        <v>2</v>
      </c>
      <c r="G6234" s="2" t="s">
        <v>9</v>
      </c>
    </row>
    <row r="6235" spans="1:7" x14ac:dyDescent="0.2">
      <c r="A6235" s="2" t="s">
        <v>3285</v>
      </c>
      <c r="B6235" s="2" t="s">
        <v>65</v>
      </c>
      <c r="C6235" s="2">
        <v>651.7731</v>
      </c>
      <c r="D6235" s="2">
        <f>HYPERLINK("http://mcb-m6.bioreg.kyushu-u.ac.jp/M3/20110404/F50777/1517/1", 108.1)</f>
        <v>108.1</v>
      </c>
      <c r="E6235" s="2">
        <v>42.01</v>
      </c>
      <c r="F6235" s="2">
        <v>2</v>
      </c>
      <c r="G6235" s="2" t="s">
        <v>9</v>
      </c>
    </row>
    <row r="6236" spans="1:7" x14ac:dyDescent="0.2">
      <c r="A6236" s="2" t="s">
        <v>3285</v>
      </c>
      <c r="B6236" s="2" t="s">
        <v>65</v>
      </c>
      <c r="C6236" s="2">
        <v>651.78470000000004</v>
      </c>
      <c r="D6236" s="2">
        <f>HYPERLINK("http://mcb-m6.bioreg.kyushu-u.ac.jp/M3/20110404/F50763/1572/1", 108.44)</f>
        <v>108.44</v>
      </c>
      <c r="E6236" s="2">
        <v>42.07</v>
      </c>
      <c r="F6236" s="2">
        <v>2</v>
      </c>
      <c r="G6236" s="2" t="s">
        <v>9</v>
      </c>
    </row>
    <row r="6237" spans="1:7" x14ac:dyDescent="0.2">
      <c r="A6237" s="2" t="s">
        <v>3285</v>
      </c>
      <c r="B6237" s="2" t="s">
        <v>65</v>
      </c>
      <c r="C6237" s="2">
        <v>652.26570000000004</v>
      </c>
      <c r="D6237" s="2">
        <f>HYPERLINK("http://mcb-m6.bioreg.kyushu-u.ac.jp/M3/20110404/F50779/1318/1", 111.97)</f>
        <v>111.97</v>
      </c>
      <c r="E6237" s="2">
        <v>77.75</v>
      </c>
      <c r="F6237" s="2">
        <v>2</v>
      </c>
      <c r="G6237" s="2" t="s">
        <v>9</v>
      </c>
    </row>
    <row r="6238" spans="1:7" x14ac:dyDescent="0.2">
      <c r="A6238" s="2" t="s">
        <v>3285</v>
      </c>
      <c r="B6238" s="2" t="s">
        <v>65</v>
      </c>
      <c r="C6238" s="2">
        <v>1302.5909999999999</v>
      </c>
      <c r="D6238" s="2">
        <f>HYPERLINK("http://mcb-m6.bioreg.kyushu-u.ac.jp/M3/20110404/F50773/1433/1", 46.1)</f>
        <v>46.1</v>
      </c>
      <c r="E6238" s="2">
        <v>26.09</v>
      </c>
      <c r="F6238" s="2">
        <v>1</v>
      </c>
      <c r="G6238" s="2" t="s">
        <v>10</v>
      </c>
    </row>
    <row r="6239" spans="1:7" x14ac:dyDescent="0.2">
      <c r="A6239" s="2" t="s">
        <v>3285</v>
      </c>
      <c r="B6239" s="2" t="s">
        <v>65</v>
      </c>
      <c r="C6239" s="2">
        <v>1302.4580000000001</v>
      </c>
      <c r="D6239" s="2">
        <f>HYPERLINK("http://mcb-m6.bioreg.kyushu-u.ac.jp/M3/20110404/F50769/1689/1", 50.6)</f>
        <v>50.6</v>
      </c>
      <c r="E6239" s="2">
        <v>33.340000000000003</v>
      </c>
      <c r="F6239" s="2">
        <v>1</v>
      </c>
      <c r="G6239" s="2" t="s">
        <v>10</v>
      </c>
    </row>
    <row r="6240" spans="1:7" x14ac:dyDescent="0.2">
      <c r="A6240" s="2" t="s">
        <v>3285</v>
      </c>
      <c r="B6240" s="2" t="s">
        <v>65</v>
      </c>
      <c r="C6240" s="2">
        <v>652.13019999999995</v>
      </c>
      <c r="D6240" s="2">
        <f>HYPERLINK("http://mcb-m6.bioreg.kyushu-u.ac.jp/M3/20110404/F50757/1861/1", 55.04)</f>
        <v>55.04</v>
      </c>
      <c r="E6240" s="2">
        <v>38.049999999999997</v>
      </c>
      <c r="F6240" s="2">
        <v>2</v>
      </c>
      <c r="G6240" s="2" t="s">
        <v>10</v>
      </c>
    </row>
    <row r="6241" spans="1:7" x14ac:dyDescent="0.2">
      <c r="A6241" s="2" t="s">
        <v>3285</v>
      </c>
      <c r="B6241" s="2" t="s">
        <v>65</v>
      </c>
      <c r="C6241" s="2">
        <v>651.95870000000002</v>
      </c>
      <c r="D6241" s="2">
        <f>HYPERLINK("http://mcb-m6.bioreg.kyushu-u.ac.jp/M3/20110404/F50775/1542/1", 57.89)</f>
        <v>57.89</v>
      </c>
      <c r="E6241" s="2">
        <v>29.12</v>
      </c>
      <c r="F6241" s="2">
        <v>2</v>
      </c>
      <c r="G6241" s="2" t="s">
        <v>10</v>
      </c>
    </row>
    <row r="6242" spans="1:7" x14ac:dyDescent="0.2">
      <c r="A6242" s="2" t="s">
        <v>3285</v>
      </c>
      <c r="B6242" s="2" t="s">
        <v>65</v>
      </c>
      <c r="C6242" s="2">
        <v>651.75369999999998</v>
      </c>
      <c r="D6242" s="2">
        <f>HYPERLINK("http://mcb-m6.bioreg.kyushu-u.ac.jp/M3/20110404/F50758/1591/1", 63.55)</f>
        <v>63.55</v>
      </c>
      <c r="E6242" s="2">
        <v>11.69</v>
      </c>
      <c r="F6242" s="2">
        <v>2</v>
      </c>
      <c r="G6242" s="2" t="s">
        <v>10</v>
      </c>
    </row>
    <row r="6243" spans="1:7" x14ac:dyDescent="0.2">
      <c r="A6243" s="2" t="s">
        <v>3285</v>
      </c>
      <c r="B6243" s="2" t="s">
        <v>65</v>
      </c>
      <c r="C6243" s="2">
        <v>652.3107</v>
      </c>
      <c r="D6243" s="2">
        <f>HYPERLINK("http://mcb-m6.bioreg.kyushu-u.ac.jp/M3/20110404/F50771/1510/1", 89.9)</f>
        <v>89.9</v>
      </c>
      <c r="E6243" s="2">
        <v>63.67</v>
      </c>
      <c r="F6243" s="2">
        <v>2</v>
      </c>
      <c r="G6243" s="2" t="s">
        <v>10</v>
      </c>
    </row>
    <row r="6244" spans="1:7" x14ac:dyDescent="0.2">
      <c r="A6244" s="2" t="s">
        <v>3285</v>
      </c>
      <c r="B6244" s="2" t="s">
        <v>65</v>
      </c>
      <c r="C6244" s="2">
        <v>651.60770000000002</v>
      </c>
      <c r="D6244" s="2">
        <f>HYPERLINK("http://mcb-m6.bioreg.kyushu-u.ac.jp/M3/20110404/F50760/1469/1", 90.33)</f>
        <v>90.33</v>
      </c>
      <c r="E6244" s="2">
        <v>5</v>
      </c>
      <c r="F6244" s="2">
        <v>2</v>
      </c>
      <c r="G6244" s="2" t="s">
        <v>10</v>
      </c>
    </row>
    <row r="6245" spans="1:7" x14ac:dyDescent="0.2">
      <c r="A6245" s="2" t="s">
        <v>3285</v>
      </c>
      <c r="B6245" s="2" t="s">
        <v>65</v>
      </c>
      <c r="C6245" s="2">
        <v>651.78470000000004</v>
      </c>
      <c r="D6245" s="2">
        <f>HYPERLINK("http://mcb-m6.bioreg.kyushu-u.ac.jp/M3/20110404/F50761/1469/1", 96.4)</f>
        <v>96.4</v>
      </c>
      <c r="E6245" s="2">
        <v>34.72</v>
      </c>
      <c r="F6245" s="2">
        <v>2</v>
      </c>
      <c r="G6245" s="2" t="s">
        <v>10</v>
      </c>
    </row>
    <row r="6246" spans="1:7" x14ac:dyDescent="0.2">
      <c r="A6246" s="2" t="s">
        <v>3285</v>
      </c>
      <c r="B6246" s="2" t="s">
        <v>65</v>
      </c>
      <c r="C6246" s="2">
        <v>651.83969999999999</v>
      </c>
      <c r="D6246" s="2">
        <f>HYPERLINK("http://mcb-m6.bioreg.kyushu-u.ac.jp/M3/20110404/F50769/1690/1", 105.28)</f>
        <v>105.28</v>
      </c>
      <c r="E6246" s="2">
        <v>38.1</v>
      </c>
      <c r="F6246" s="2">
        <v>2</v>
      </c>
      <c r="G6246" s="2" t="s">
        <v>10</v>
      </c>
    </row>
    <row r="6247" spans="1:7" x14ac:dyDescent="0.2">
      <c r="A6247" s="2" t="s">
        <v>3285</v>
      </c>
      <c r="B6247" s="2" t="s">
        <v>65</v>
      </c>
      <c r="C6247" s="2">
        <v>652.25319999999999</v>
      </c>
      <c r="D6247" s="2">
        <f>HYPERLINK("http://mcb-m6.bioreg.kyushu-u.ac.jp/M3/20110404/F50773/1435/1", 107.97)</f>
        <v>107.97</v>
      </c>
      <c r="E6247" s="2">
        <v>79.790000000000006</v>
      </c>
      <c r="F6247" s="2">
        <v>2</v>
      </c>
      <c r="G6247" s="2" t="s">
        <v>10</v>
      </c>
    </row>
    <row r="6248" spans="1:7" x14ac:dyDescent="0.2">
      <c r="A6248" s="2" t="s">
        <v>3285</v>
      </c>
      <c r="B6248" s="2" t="s">
        <v>65</v>
      </c>
      <c r="C6248" s="2">
        <v>652.15009999999995</v>
      </c>
      <c r="D6248" s="2">
        <f>HYPERLINK("http://mcb-m6.bioreg.kyushu-u.ac.jp/M3/20110404/F50760/1471/1", 108.54)</f>
        <v>108.54</v>
      </c>
      <c r="E6248" s="2">
        <v>71.41</v>
      </c>
      <c r="F6248" s="2">
        <v>2</v>
      </c>
      <c r="G6248" s="2" t="s">
        <v>10</v>
      </c>
    </row>
    <row r="6249" spans="1:7" x14ac:dyDescent="0.2">
      <c r="A6249" s="2" t="s">
        <v>3285</v>
      </c>
      <c r="B6249" s="2" t="s">
        <v>65</v>
      </c>
      <c r="C6249" s="2">
        <v>652.1866</v>
      </c>
      <c r="D6249" s="2">
        <f>HYPERLINK("http://mcb-m6.bioreg.kyushu-u.ac.jp/M3/20110404/F50770/1565/1", 108.63)</f>
        <v>108.63</v>
      </c>
      <c r="E6249" s="2">
        <v>74.16</v>
      </c>
      <c r="F6249" s="2">
        <v>2</v>
      </c>
      <c r="G6249" s="2" t="s">
        <v>10</v>
      </c>
    </row>
    <row r="6250" spans="1:7" x14ac:dyDescent="0.2">
      <c r="A6250" s="2" t="s">
        <v>3285</v>
      </c>
      <c r="B6250" s="2" t="s">
        <v>65</v>
      </c>
      <c r="C6250" s="2">
        <v>652.27009999999996</v>
      </c>
      <c r="D6250" s="2">
        <f>HYPERLINK("http://mcb-m6.bioreg.kyushu-u.ac.jp/M3/20110404/F50772/1533/1", 112.08)</f>
        <v>112.08</v>
      </c>
      <c r="E6250" s="2">
        <v>77.150000000000006</v>
      </c>
      <c r="F6250" s="2">
        <v>2</v>
      </c>
      <c r="G6250" s="2" t="s">
        <v>10</v>
      </c>
    </row>
    <row r="6251" spans="1:7" x14ac:dyDescent="0.2">
      <c r="A6251" s="2" t="s">
        <v>3285</v>
      </c>
      <c r="B6251" s="2" t="s">
        <v>65</v>
      </c>
      <c r="C6251" s="2">
        <v>651.80470000000003</v>
      </c>
      <c r="D6251" s="2">
        <f>HYPERLINK("http://mcb-m6.bioreg.kyushu-u.ac.jp/M3/20110404/F50768/1537/1", 112.92)</f>
        <v>112.92</v>
      </c>
      <c r="E6251" s="2">
        <v>39.47</v>
      </c>
      <c r="F6251" s="2">
        <v>2</v>
      </c>
      <c r="G6251" s="2" t="s">
        <v>10</v>
      </c>
    </row>
    <row r="6252" spans="1:7" x14ac:dyDescent="0.2">
      <c r="A6252" s="2" t="s">
        <v>3285</v>
      </c>
      <c r="B6252" s="2" t="s">
        <v>65</v>
      </c>
      <c r="C6252" s="2">
        <v>651.80319999999995</v>
      </c>
      <c r="D6252" s="2">
        <f>HYPERLINK("http://mcb-m6.bioreg.kyushu-u.ac.jp/M3/20110404/F50774/1512/1", 117.96)</f>
        <v>117.96</v>
      </c>
      <c r="E6252" s="2">
        <v>57.37</v>
      </c>
      <c r="F6252" s="2">
        <v>2</v>
      </c>
      <c r="G6252" s="2" t="s">
        <v>10</v>
      </c>
    </row>
    <row r="6253" spans="1:7" x14ac:dyDescent="0.2">
      <c r="A6253" s="2" t="s">
        <v>3285</v>
      </c>
      <c r="B6253" s="2" t="s">
        <v>65</v>
      </c>
      <c r="C6253" s="2">
        <v>1302.473</v>
      </c>
      <c r="D6253" s="2">
        <f>HYPERLINK("http://mcb-m6.bioreg.kyushu-u.ac.jp/M3/20110421/F51042/1350/1", 38.94)</f>
        <v>38.94</v>
      </c>
      <c r="E6253" s="2">
        <v>14.28</v>
      </c>
      <c r="F6253" s="2">
        <v>1</v>
      </c>
      <c r="G6253" s="2" t="s">
        <v>11</v>
      </c>
    </row>
    <row r="6254" spans="1:7" x14ac:dyDescent="0.2">
      <c r="A6254" s="2" t="s">
        <v>3285</v>
      </c>
      <c r="B6254" s="2" t="s">
        <v>65</v>
      </c>
      <c r="C6254" s="2">
        <v>651.78420000000006</v>
      </c>
      <c r="D6254" s="2">
        <f>HYPERLINK("http://mcb-m6.bioreg.kyushu-u.ac.jp/M3/20110421/F51040/1551/1", 53.99)</f>
        <v>53.99</v>
      </c>
      <c r="E6254" s="2">
        <v>28.66</v>
      </c>
      <c r="F6254" s="2">
        <v>2</v>
      </c>
      <c r="G6254" s="2" t="s">
        <v>11</v>
      </c>
    </row>
    <row r="6255" spans="1:7" x14ac:dyDescent="0.2">
      <c r="A6255" s="2" t="s">
        <v>3285</v>
      </c>
      <c r="B6255" s="2" t="s">
        <v>65</v>
      </c>
      <c r="C6255" s="2">
        <v>651.77009999999996</v>
      </c>
      <c r="D6255" s="2">
        <f>HYPERLINK("http://mcb-m6.bioreg.kyushu-u.ac.jp/M3/20110421/F51034/1535/1", 64.79)</f>
        <v>64.790000000000006</v>
      </c>
      <c r="E6255" s="2">
        <v>9.7100000000000009</v>
      </c>
      <c r="F6255" s="2">
        <v>2</v>
      </c>
      <c r="G6255" s="2" t="s">
        <v>11</v>
      </c>
    </row>
    <row r="6256" spans="1:7" x14ac:dyDescent="0.2">
      <c r="A6256" s="2" t="s">
        <v>3285</v>
      </c>
      <c r="B6256" s="2" t="s">
        <v>65</v>
      </c>
      <c r="C6256" s="2">
        <v>651.73910000000001</v>
      </c>
      <c r="D6256" s="2">
        <f>HYPERLINK("http://mcb-m6.bioreg.kyushu-u.ac.jp/M3/20110421/F51042/1349/1", 80.51)</f>
        <v>80.510000000000005</v>
      </c>
      <c r="E6256" s="2">
        <v>30.42</v>
      </c>
      <c r="F6256" s="2">
        <v>2</v>
      </c>
      <c r="G6256" s="2" t="s">
        <v>11</v>
      </c>
    </row>
    <row r="6257" spans="1:7" x14ac:dyDescent="0.2">
      <c r="A6257" s="2" t="s">
        <v>3285</v>
      </c>
      <c r="B6257" s="2" t="s">
        <v>65</v>
      </c>
      <c r="C6257" s="2">
        <v>652.26760000000002</v>
      </c>
      <c r="D6257" s="2">
        <f>HYPERLINK("http://mcb-m6.bioreg.kyushu-u.ac.jp/M3/20110421/F51042/1352/1", 85.02)</f>
        <v>85.02</v>
      </c>
      <c r="E6257" s="2">
        <v>57.6</v>
      </c>
      <c r="F6257" s="2">
        <v>2</v>
      </c>
      <c r="G6257" s="2" t="s">
        <v>11</v>
      </c>
    </row>
    <row r="6258" spans="1:7" x14ac:dyDescent="0.2">
      <c r="A6258" s="2" t="s">
        <v>3285</v>
      </c>
      <c r="B6258" s="2" t="s">
        <v>65</v>
      </c>
      <c r="C6258" s="2">
        <v>651.62570000000005</v>
      </c>
      <c r="D6258" s="2">
        <f>HYPERLINK("http://mcb-m6.bioreg.kyushu-u.ac.jp/M3/20110421/F51018/1667/1", 86.04)</f>
        <v>86.04</v>
      </c>
      <c r="E6258" s="2">
        <v>18.38</v>
      </c>
      <c r="F6258" s="2">
        <v>2</v>
      </c>
      <c r="G6258" s="2" t="s">
        <v>11</v>
      </c>
    </row>
    <row r="6259" spans="1:7" x14ac:dyDescent="0.2">
      <c r="A6259" s="2" t="s">
        <v>3285</v>
      </c>
      <c r="B6259" s="2" t="s">
        <v>65</v>
      </c>
      <c r="C6259" s="2">
        <v>651.77470000000005</v>
      </c>
      <c r="D6259" s="2">
        <f>HYPERLINK("http://mcb-m6.bioreg.kyushu-u.ac.jp/M3/20110421/F51035/1458/1", 86.13)</f>
        <v>86.13</v>
      </c>
      <c r="E6259" s="2">
        <v>31.96</v>
      </c>
      <c r="F6259" s="2">
        <v>2</v>
      </c>
      <c r="G6259" s="2" t="s">
        <v>11</v>
      </c>
    </row>
    <row r="6260" spans="1:7" x14ac:dyDescent="0.2">
      <c r="A6260" s="2" t="s">
        <v>3285</v>
      </c>
      <c r="B6260" s="2" t="s">
        <v>65</v>
      </c>
      <c r="C6260" s="2">
        <v>652.17909999999995</v>
      </c>
      <c r="D6260" s="2">
        <f>HYPERLINK("http://mcb-m6.bioreg.kyushu-u.ac.jp/M3/20110421/F51035/1461/1", 91.11)</f>
        <v>91.11</v>
      </c>
      <c r="E6260" s="2">
        <v>51.57</v>
      </c>
      <c r="F6260" s="2">
        <v>2</v>
      </c>
      <c r="G6260" s="2" t="s">
        <v>11</v>
      </c>
    </row>
    <row r="6261" spans="1:7" x14ac:dyDescent="0.2">
      <c r="A6261" s="2" t="s">
        <v>3285</v>
      </c>
      <c r="B6261" s="2" t="s">
        <v>65</v>
      </c>
      <c r="C6261" s="2">
        <v>652.13670000000002</v>
      </c>
      <c r="D6261" s="2">
        <f>HYPERLINK("http://mcb-m6.bioreg.kyushu-u.ac.jp/M3/20110421/F51014/1747/1", 91.13)</f>
        <v>91.13</v>
      </c>
      <c r="E6261" s="2">
        <v>66.3</v>
      </c>
      <c r="F6261" s="2">
        <v>2</v>
      </c>
      <c r="G6261" s="2" t="s">
        <v>11</v>
      </c>
    </row>
    <row r="6262" spans="1:7" x14ac:dyDescent="0.2">
      <c r="A6262" s="2" t="s">
        <v>3285</v>
      </c>
      <c r="B6262" s="2" t="s">
        <v>65</v>
      </c>
      <c r="C6262" s="2">
        <v>651.76459999999997</v>
      </c>
      <c r="D6262" s="2">
        <f>HYPERLINK("http://mcb-m6.bioreg.kyushu-u.ac.jp/M3/20110421/F51037/1483/1", 96.52)</f>
        <v>96.52</v>
      </c>
      <c r="E6262" s="2">
        <v>30.13</v>
      </c>
      <c r="F6262" s="2">
        <v>2</v>
      </c>
      <c r="G6262" s="2" t="s">
        <v>11</v>
      </c>
    </row>
    <row r="6263" spans="1:7" x14ac:dyDescent="0.2">
      <c r="A6263" s="2" t="s">
        <v>3285</v>
      </c>
      <c r="B6263" s="2" t="s">
        <v>65</v>
      </c>
      <c r="C6263" s="2">
        <v>651.80359999999996</v>
      </c>
      <c r="D6263" s="2">
        <f>HYPERLINK("http://mcb-m6.bioreg.kyushu-u.ac.jp/M3/20110421/F51016/1826/1", 97.53)</f>
        <v>97.53</v>
      </c>
      <c r="E6263" s="2">
        <v>15.25</v>
      </c>
      <c r="F6263" s="2">
        <v>2</v>
      </c>
      <c r="G6263" s="2" t="s">
        <v>11</v>
      </c>
    </row>
    <row r="6264" spans="1:7" x14ac:dyDescent="0.2">
      <c r="A6264" s="2" t="s">
        <v>3285</v>
      </c>
      <c r="B6264" s="2" t="s">
        <v>65</v>
      </c>
      <c r="C6264" s="2">
        <v>651.67970000000003</v>
      </c>
      <c r="D6264" s="2">
        <f>HYPERLINK("http://mcb-m6.bioreg.kyushu-u.ac.jp/M3/20110421/F51015/1756/1", 99.29)</f>
        <v>99.29</v>
      </c>
      <c r="E6264" s="2">
        <v>31.08</v>
      </c>
      <c r="F6264" s="2">
        <v>2</v>
      </c>
      <c r="G6264" s="2" t="s">
        <v>11</v>
      </c>
    </row>
    <row r="6265" spans="1:7" x14ac:dyDescent="0.2">
      <c r="A6265" s="2" t="s">
        <v>3285</v>
      </c>
      <c r="B6265" s="2" t="s">
        <v>65</v>
      </c>
      <c r="C6265" s="2">
        <v>652.17470000000003</v>
      </c>
      <c r="D6265" s="2">
        <f>HYPERLINK("http://mcb-m6.bioreg.kyushu-u.ac.jp/M3/20110421/F51020/1609/1", 105.36)</f>
        <v>105.36</v>
      </c>
      <c r="E6265" s="2">
        <v>71.010000000000005</v>
      </c>
      <c r="F6265" s="2">
        <v>2</v>
      </c>
      <c r="G6265" s="2" t="s">
        <v>11</v>
      </c>
    </row>
    <row r="6266" spans="1:7" x14ac:dyDescent="0.2">
      <c r="A6266" s="2" t="s">
        <v>3285</v>
      </c>
      <c r="B6266" s="2" t="s">
        <v>65</v>
      </c>
      <c r="C6266" s="2">
        <v>651.83510000000001</v>
      </c>
      <c r="D6266" s="2">
        <f>HYPERLINK("http://mcb-m6.bioreg.kyushu-u.ac.jp/M3/20110421/F51058/1378/1", 111.58)</f>
        <v>111.58</v>
      </c>
      <c r="E6266" s="2">
        <v>48.79</v>
      </c>
      <c r="F6266" s="2">
        <v>2</v>
      </c>
      <c r="G6266" s="2" t="s">
        <v>11</v>
      </c>
    </row>
    <row r="6267" spans="1:7" x14ac:dyDescent="0.2">
      <c r="A6267" s="2" t="s">
        <v>3285</v>
      </c>
      <c r="B6267" s="2" t="s">
        <v>65</v>
      </c>
      <c r="C6267" s="2">
        <v>652.09810000000004</v>
      </c>
      <c r="D6267" s="2">
        <f>HYPERLINK("http://mcb-m6.bioreg.kyushu-u.ac.jp/M3/20110421/F51019/1676/1", 123.32)</f>
        <v>123.32</v>
      </c>
      <c r="E6267" s="2">
        <v>95.52</v>
      </c>
      <c r="F6267" s="2">
        <v>2</v>
      </c>
      <c r="G6267" s="2" t="s">
        <v>11</v>
      </c>
    </row>
    <row r="6268" spans="1:7" x14ac:dyDescent="0.2">
      <c r="A6268" s="2" t="s">
        <v>3285</v>
      </c>
      <c r="B6268" s="2" t="s">
        <v>65</v>
      </c>
      <c r="C6268" s="2">
        <v>652.35109999999997</v>
      </c>
      <c r="D6268" s="2">
        <f>HYPERLINK("http://mcb-m6.bioreg.kyushu-u.ac.jp/M3/20110421/F51039/1592/1", 123.34)</f>
        <v>123.34</v>
      </c>
      <c r="E6268" s="2">
        <v>93.58</v>
      </c>
      <c r="F6268" s="2">
        <v>2</v>
      </c>
      <c r="G6268" s="2" t="s">
        <v>11</v>
      </c>
    </row>
    <row r="6269" spans="1:7" x14ac:dyDescent="0.2">
      <c r="A6269" s="2" t="s">
        <v>3285</v>
      </c>
      <c r="B6269" s="2" t="s">
        <v>65</v>
      </c>
      <c r="C6269" s="2">
        <v>651.92769999999996</v>
      </c>
      <c r="D6269" s="2">
        <f>HYPERLINK("http://mcb-m6.bioreg.kyushu-u.ac.jp/M3/20110421/F51050/1703/1", 37.46)</f>
        <v>37.46</v>
      </c>
      <c r="E6269" s="2">
        <v>12.01</v>
      </c>
      <c r="F6269" s="2">
        <v>2</v>
      </c>
      <c r="G6269" s="2" t="s">
        <v>12</v>
      </c>
    </row>
    <row r="6270" spans="1:7" x14ac:dyDescent="0.2">
      <c r="A6270" s="2" t="s">
        <v>3285</v>
      </c>
      <c r="B6270" s="2" t="s">
        <v>65</v>
      </c>
      <c r="C6270" s="2">
        <v>1302.6120000000001</v>
      </c>
      <c r="D6270" s="2">
        <f>HYPERLINK("http://mcb-m6.bioreg.kyushu-u.ac.jp/M3/20110421/F51061/1496/1", 41.91)</f>
        <v>41.91</v>
      </c>
      <c r="E6270" s="2">
        <v>24.27</v>
      </c>
      <c r="F6270" s="2">
        <v>1</v>
      </c>
      <c r="G6270" s="2" t="s">
        <v>12</v>
      </c>
    </row>
    <row r="6271" spans="1:7" x14ac:dyDescent="0.2">
      <c r="A6271" s="2" t="s">
        <v>3285</v>
      </c>
      <c r="B6271" s="2" t="s">
        <v>65</v>
      </c>
      <c r="C6271" s="2">
        <v>1302.558</v>
      </c>
      <c r="D6271" s="2">
        <f>HYPERLINK("http://mcb-m6.bioreg.kyushu-u.ac.jp/M3/20110421/F51043/1570/1", 41.97)</f>
        <v>41.97</v>
      </c>
      <c r="E6271" s="2">
        <v>22.06</v>
      </c>
      <c r="F6271" s="2">
        <v>1</v>
      </c>
      <c r="G6271" s="2" t="s">
        <v>12</v>
      </c>
    </row>
    <row r="6272" spans="1:7" x14ac:dyDescent="0.2">
      <c r="A6272" s="2" t="s">
        <v>3285</v>
      </c>
      <c r="B6272" s="2" t="s">
        <v>65</v>
      </c>
      <c r="C6272" s="2">
        <v>652.13070000000005</v>
      </c>
      <c r="D6272" s="2">
        <f>HYPERLINK("http://mcb-m6.bioreg.kyushu-u.ac.jp/M3/20110421/F51061/1498/1", 58.1)</f>
        <v>58.1</v>
      </c>
      <c r="E6272" s="2">
        <v>37.51</v>
      </c>
      <c r="F6272" s="2">
        <v>2</v>
      </c>
      <c r="G6272" s="2" t="s">
        <v>12</v>
      </c>
    </row>
    <row r="6273" spans="1:7" x14ac:dyDescent="0.2">
      <c r="A6273" s="2" t="s">
        <v>3285</v>
      </c>
      <c r="B6273" s="2" t="s">
        <v>65</v>
      </c>
      <c r="C6273" s="2">
        <v>1302.8009999999999</v>
      </c>
      <c r="D6273" s="2">
        <f>HYPERLINK("http://mcb-m6.bioreg.kyushu-u.ac.jp/M3/20110421/F51021/1551/1", 61.06)</f>
        <v>61.06</v>
      </c>
      <c r="E6273" s="2">
        <v>7.2</v>
      </c>
      <c r="F6273" s="2">
        <v>1</v>
      </c>
      <c r="G6273" s="2" t="s">
        <v>12</v>
      </c>
    </row>
    <row r="6274" spans="1:7" x14ac:dyDescent="0.2">
      <c r="A6274" s="2" t="s">
        <v>3285</v>
      </c>
      <c r="B6274" s="2" t="s">
        <v>65</v>
      </c>
      <c r="C6274" s="2">
        <v>652.29669999999999</v>
      </c>
      <c r="D6274" s="2">
        <f>HYPERLINK("http://mcb-m6.bioreg.kyushu-u.ac.jp/M3/20110421/F51059/1346/1", 63.2)</f>
        <v>63.2</v>
      </c>
      <c r="E6274" s="2">
        <v>37.72</v>
      </c>
      <c r="F6274" s="2">
        <v>2</v>
      </c>
      <c r="G6274" s="2" t="s">
        <v>12</v>
      </c>
    </row>
    <row r="6275" spans="1:7" x14ac:dyDescent="0.2">
      <c r="A6275" s="2" t="s">
        <v>3285</v>
      </c>
      <c r="B6275" s="2" t="s">
        <v>65</v>
      </c>
      <c r="C6275" s="2">
        <v>651.68020000000001</v>
      </c>
      <c r="D6275" s="2">
        <f>HYPERLINK("http://mcb-m6.bioreg.kyushu-u.ac.jp/M3/20110421/F51024/1741/1", 68.37)</f>
        <v>68.37</v>
      </c>
      <c r="E6275" s="2">
        <v>25.97</v>
      </c>
      <c r="F6275" s="2">
        <v>2</v>
      </c>
      <c r="G6275" s="2" t="s">
        <v>12</v>
      </c>
    </row>
    <row r="6276" spans="1:7" x14ac:dyDescent="0.2">
      <c r="A6276" s="2" t="s">
        <v>3285</v>
      </c>
      <c r="B6276" s="2" t="s">
        <v>65</v>
      </c>
      <c r="C6276" s="2">
        <v>652.36019999999996</v>
      </c>
      <c r="D6276" s="2">
        <f>HYPERLINK("http://mcb-m6.bioreg.kyushu-u.ac.jp/M3/20110421/F51043/1574/1", 68.99)</f>
        <v>68.989999999999995</v>
      </c>
      <c r="E6276" s="2">
        <v>43.97</v>
      </c>
      <c r="F6276" s="2">
        <v>2</v>
      </c>
      <c r="G6276" s="2" t="s">
        <v>12</v>
      </c>
    </row>
    <row r="6277" spans="1:7" x14ac:dyDescent="0.2">
      <c r="A6277" s="2" t="s">
        <v>3285</v>
      </c>
      <c r="B6277" s="2" t="s">
        <v>65</v>
      </c>
      <c r="C6277" s="2">
        <v>652.17859999999996</v>
      </c>
      <c r="D6277" s="2">
        <f>HYPERLINK("http://mcb-m6.bioreg.kyushu-u.ac.jp/M3/20110421/F51025/1788/1", 77)</f>
        <v>77</v>
      </c>
      <c r="E6277" s="2">
        <v>51.75</v>
      </c>
      <c r="F6277" s="2">
        <v>2</v>
      </c>
      <c r="G6277" s="2" t="s">
        <v>12</v>
      </c>
    </row>
    <row r="6278" spans="1:7" x14ac:dyDescent="0.2">
      <c r="A6278" s="2" t="s">
        <v>3285</v>
      </c>
      <c r="B6278" s="2" t="s">
        <v>65</v>
      </c>
      <c r="C6278" s="2">
        <v>652.14970000000005</v>
      </c>
      <c r="D6278" s="2">
        <f>HYPERLINK("http://mcb-m6.bioreg.kyushu-u.ac.jp/M3/20110421/F51048/1723/1", 90.89)</f>
        <v>90.89</v>
      </c>
      <c r="E6278" s="2">
        <v>54.57</v>
      </c>
      <c r="F6278" s="2">
        <v>2</v>
      </c>
      <c r="G6278" s="2" t="s">
        <v>12</v>
      </c>
    </row>
    <row r="6279" spans="1:7" x14ac:dyDescent="0.2">
      <c r="A6279" s="2" t="s">
        <v>3285</v>
      </c>
      <c r="B6279" s="2" t="s">
        <v>65</v>
      </c>
      <c r="C6279" s="2">
        <v>651.96469999999999</v>
      </c>
      <c r="D6279" s="2">
        <f>HYPERLINK("http://mcb-m6.bioreg.kyushu-u.ac.jp/M3/20110421/F51061/1497/1", 95.68)</f>
        <v>95.68</v>
      </c>
      <c r="E6279" s="2">
        <v>43.56</v>
      </c>
      <c r="F6279" s="2">
        <v>2</v>
      </c>
      <c r="G6279" s="2" t="s">
        <v>12</v>
      </c>
    </row>
    <row r="6280" spans="1:7" x14ac:dyDescent="0.2">
      <c r="A6280" s="2" t="s">
        <v>3285</v>
      </c>
      <c r="B6280" s="2" t="s">
        <v>65</v>
      </c>
      <c r="C6280" s="2">
        <v>652.26969999999994</v>
      </c>
      <c r="D6280" s="2">
        <f>HYPERLINK("http://mcb-m6.bioreg.kyushu-u.ac.jp/M3/20110421/F51047/1627/1", 100.91)</f>
        <v>100.91</v>
      </c>
      <c r="E6280" s="2">
        <v>78.040000000000006</v>
      </c>
      <c r="F6280" s="2">
        <v>2</v>
      </c>
      <c r="G6280" s="2" t="s">
        <v>12</v>
      </c>
    </row>
    <row r="6281" spans="1:7" x14ac:dyDescent="0.2">
      <c r="A6281" s="2" t="s">
        <v>3285</v>
      </c>
      <c r="B6281" s="2" t="s">
        <v>65</v>
      </c>
      <c r="C6281" s="2">
        <v>651.85670000000005</v>
      </c>
      <c r="D6281" s="2">
        <f>HYPERLINK("http://mcb-m6.bioreg.kyushu-u.ac.jp/M3/20110421/F51043/1571/1", 101.54)</f>
        <v>101.54</v>
      </c>
      <c r="E6281" s="2">
        <v>47.55</v>
      </c>
      <c r="F6281" s="2">
        <v>2</v>
      </c>
      <c r="G6281" s="2" t="s">
        <v>12</v>
      </c>
    </row>
    <row r="6282" spans="1:7" x14ac:dyDescent="0.2">
      <c r="A6282" s="2" t="s">
        <v>3285</v>
      </c>
      <c r="B6282" s="2" t="s">
        <v>65</v>
      </c>
      <c r="C6282" s="2">
        <v>651.71469999999999</v>
      </c>
      <c r="D6282" s="2">
        <f>HYPERLINK("http://mcb-m6.bioreg.kyushu-u.ac.jp/M3/20110421/F51026/1778/1", 104.69)</f>
        <v>104.69</v>
      </c>
      <c r="E6282" s="2">
        <v>35.130000000000003</v>
      </c>
      <c r="F6282" s="2">
        <v>2</v>
      </c>
      <c r="G6282" s="2" t="s">
        <v>12</v>
      </c>
    </row>
    <row r="6283" spans="1:7" x14ac:dyDescent="0.2">
      <c r="A6283" s="2" t="s">
        <v>3285</v>
      </c>
      <c r="B6283" s="2" t="s">
        <v>65</v>
      </c>
      <c r="C6283" s="2">
        <v>651.78060000000005</v>
      </c>
      <c r="D6283" s="2">
        <f>HYPERLINK("http://mcb-m6.bioreg.kyushu-u.ac.jp/M3/20110421/F51045/1757/1", 107.93)</f>
        <v>107.93</v>
      </c>
      <c r="E6283" s="2">
        <v>41.61</v>
      </c>
      <c r="F6283" s="2">
        <v>2</v>
      </c>
      <c r="G6283" s="2" t="s">
        <v>12</v>
      </c>
    </row>
    <row r="6284" spans="1:7" x14ac:dyDescent="0.2">
      <c r="A6284" s="2" t="s">
        <v>3285</v>
      </c>
      <c r="B6284" s="2" t="s">
        <v>65</v>
      </c>
      <c r="C6284" s="2">
        <v>652.26210000000003</v>
      </c>
      <c r="D6284" s="2">
        <f>HYPERLINK("http://mcb-m6.bioreg.kyushu-u.ac.jp/M3/20110421/F51026/1783/1", 108.39)</f>
        <v>108.39</v>
      </c>
      <c r="E6284" s="2">
        <v>77.44</v>
      </c>
      <c r="F6284" s="2">
        <v>2</v>
      </c>
      <c r="G6284" s="2" t="s">
        <v>12</v>
      </c>
    </row>
    <row r="6285" spans="1:7" x14ac:dyDescent="0.2">
      <c r="A6285" s="2" t="s">
        <v>3285</v>
      </c>
      <c r="B6285" s="2" t="s">
        <v>65</v>
      </c>
      <c r="C6285" s="2">
        <v>652.21469999999999</v>
      </c>
      <c r="D6285" s="2">
        <f>HYPERLINK("http://mcb-m6.bioreg.kyushu-u.ac.jp/M3/20110421/F51024/1746/1", 115.66)</f>
        <v>115.66</v>
      </c>
      <c r="E6285" s="2">
        <v>81.39</v>
      </c>
      <c r="F6285" s="2">
        <v>2</v>
      </c>
      <c r="G6285" s="2" t="s">
        <v>12</v>
      </c>
    </row>
    <row r="6286" spans="1:7" x14ac:dyDescent="0.2">
      <c r="A6286" s="2" t="s">
        <v>3285</v>
      </c>
      <c r="B6286" s="2" t="s">
        <v>65</v>
      </c>
      <c r="C6286" s="2">
        <v>1303.5160000000001</v>
      </c>
      <c r="D6286" s="2">
        <f>HYPERLINK("http://mcb-m6.bioreg.kyushu-u.ac.jp/M3/20110427/F51113/1576/1", 36.99)</f>
        <v>36.99</v>
      </c>
      <c r="E6286" s="2">
        <v>17.45</v>
      </c>
      <c r="F6286" s="2">
        <v>1</v>
      </c>
      <c r="G6286" s="2" t="s">
        <v>13</v>
      </c>
    </row>
    <row r="6287" spans="1:7" x14ac:dyDescent="0.2">
      <c r="A6287" s="2" t="s">
        <v>3285</v>
      </c>
      <c r="B6287" s="2" t="s">
        <v>65</v>
      </c>
      <c r="C6287" s="2">
        <v>1302.4390000000001</v>
      </c>
      <c r="D6287" s="2">
        <f>HYPERLINK("http://mcb-m6.bioreg.kyushu-u.ac.jp/M3/20110427/F51116/1599/1", 38.95)</f>
        <v>38.950000000000003</v>
      </c>
      <c r="E6287" s="2">
        <v>13.37</v>
      </c>
      <c r="F6287" s="2">
        <v>1</v>
      </c>
      <c r="G6287" s="2" t="s">
        <v>13</v>
      </c>
    </row>
    <row r="6288" spans="1:7" x14ac:dyDescent="0.2">
      <c r="A6288" s="2" t="s">
        <v>3285</v>
      </c>
      <c r="B6288" s="2" t="s">
        <v>65</v>
      </c>
      <c r="C6288" s="2">
        <v>1302.511</v>
      </c>
      <c r="D6288" s="2">
        <f>HYPERLINK("http://mcb-m6.bioreg.kyushu-u.ac.jp/M3/20110427/F51117/1560/1", 49.35)</f>
        <v>49.35</v>
      </c>
      <c r="E6288" s="2">
        <v>17.07</v>
      </c>
      <c r="F6288" s="2">
        <v>1</v>
      </c>
      <c r="G6288" s="2" t="s">
        <v>13</v>
      </c>
    </row>
    <row r="6289" spans="1:7" x14ac:dyDescent="0.2">
      <c r="A6289" s="2" t="s">
        <v>3285</v>
      </c>
      <c r="B6289" s="2" t="s">
        <v>65</v>
      </c>
      <c r="C6289" s="2">
        <v>651.58870000000002</v>
      </c>
      <c r="D6289" s="2">
        <f>HYPERLINK("http://mcb-m6.bioreg.kyushu-u.ac.jp/M3/20110427/F51108/1695/1", 51.98)</f>
        <v>51.98</v>
      </c>
      <c r="E6289" s="2">
        <v>8.6999999999999993</v>
      </c>
      <c r="F6289" s="2">
        <v>2</v>
      </c>
      <c r="G6289" s="2" t="s">
        <v>13</v>
      </c>
    </row>
    <row r="6290" spans="1:7" x14ac:dyDescent="0.2">
      <c r="A6290" s="2" t="s">
        <v>3285</v>
      </c>
      <c r="B6290" s="2" t="s">
        <v>65</v>
      </c>
      <c r="C6290" s="2">
        <v>652.05870000000004</v>
      </c>
      <c r="D6290" s="2">
        <f>HYPERLINK("http://mcb-m6.bioreg.kyushu-u.ac.jp/M3/20110427/F51110/1857/1", 65.2)</f>
        <v>65.2</v>
      </c>
      <c r="E6290" s="2">
        <v>39.11</v>
      </c>
      <c r="F6290" s="2">
        <v>2</v>
      </c>
      <c r="G6290" s="2" t="s">
        <v>13</v>
      </c>
    </row>
    <row r="6291" spans="1:7" x14ac:dyDescent="0.2">
      <c r="A6291" s="2" t="s">
        <v>3285</v>
      </c>
      <c r="B6291" s="2" t="s">
        <v>65</v>
      </c>
      <c r="C6291" s="2">
        <v>651.65920000000006</v>
      </c>
      <c r="D6291" s="2">
        <f>HYPERLINK("http://mcb-m6.bioreg.kyushu-u.ac.jp/M3/20110427/F51113/1569/1", 86.1)</f>
        <v>86.1</v>
      </c>
      <c r="E6291" s="2">
        <v>28.85</v>
      </c>
      <c r="F6291" s="2">
        <v>2</v>
      </c>
      <c r="G6291" s="2" t="s">
        <v>13</v>
      </c>
    </row>
    <row r="6292" spans="1:7" x14ac:dyDescent="0.2">
      <c r="A6292" s="2" t="s">
        <v>3285</v>
      </c>
      <c r="B6292" s="2" t="s">
        <v>65</v>
      </c>
      <c r="C6292" s="2">
        <v>652.17110000000002</v>
      </c>
      <c r="D6292" s="2">
        <f>HYPERLINK("http://mcb-m6.bioreg.kyushu-u.ac.jp/M3/20110427/F51111/1714/1", 91.56)</f>
        <v>91.56</v>
      </c>
      <c r="E6292" s="2">
        <v>52.66</v>
      </c>
      <c r="F6292" s="2">
        <v>2</v>
      </c>
      <c r="G6292" s="2" t="s">
        <v>13</v>
      </c>
    </row>
    <row r="6293" spans="1:7" x14ac:dyDescent="0.2">
      <c r="A6293" s="2" t="s">
        <v>3285</v>
      </c>
      <c r="B6293" s="2" t="s">
        <v>65</v>
      </c>
      <c r="C6293" s="2">
        <v>651.74019999999996</v>
      </c>
      <c r="D6293" s="2">
        <f>HYPERLINK("http://mcb-m6.bioreg.kyushu-u.ac.jp/M3/20110428/F51133/1403/1", 92.68)</f>
        <v>92.68</v>
      </c>
      <c r="E6293" s="2">
        <v>14.3</v>
      </c>
      <c r="F6293" s="2">
        <v>2</v>
      </c>
      <c r="G6293" s="2" t="s">
        <v>13</v>
      </c>
    </row>
    <row r="6294" spans="1:7" x14ac:dyDescent="0.2">
      <c r="A6294" s="2" t="s">
        <v>3285</v>
      </c>
      <c r="B6294" s="2" t="s">
        <v>65</v>
      </c>
      <c r="C6294" s="2">
        <v>651.71119999999996</v>
      </c>
      <c r="D6294" s="2">
        <f>HYPERLINK("http://mcb-m6.bioreg.kyushu-u.ac.jp/M3/20110427/F51109/1835/1", 95.34)</f>
        <v>95.34</v>
      </c>
      <c r="E6294" s="2">
        <v>42.71</v>
      </c>
      <c r="F6294" s="2">
        <v>2</v>
      </c>
      <c r="G6294" s="2" t="s">
        <v>13</v>
      </c>
    </row>
    <row r="6295" spans="1:7" x14ac:dyDescent="0.2">
      <c r="A6295" s="2" t="s">
        <v>3285</v>
      </c>
      <c r="B6295" s="2" t="s">
        <v>65</v>
      </c>
      <c r="C6295" s="2">
        <v>651.64570000000003</v>
      </c>
      <c r="D6295" s="2">
        <f>HYPERLINK("http://mcb-m6.bioreg.kyushu-u.ac.jp/M3/20110427/F51117/1558/1", 108.15)</f>
        <v>108.15</v>
      </c>
      <c r="E6295" s="2">
        <v>19.5</v>
      </c>
      <c r="F6295" s="2">
        <v>2</v>
      </c>
      <c r="G6295" s="2" t="s">
        <v>13</v>
      </c>
    </row>
    <row r="6296" spans="1:7" x14ac:dyDescent="0.2">
      <c r="A6296" s="2" t="s">
        <v>3285</v>
      </c>
      <c r="B6296" s="2" t="s">
        <v>65</v>
      </c>
      <c r="C6296" s="2">
        <v>651.68370000000004</v>
      </c>
      <c r="D6296" s="2">
        <f>HYPERLINK("http://mcb-m6.bioreg.kyushu-u.ac.jp/M3/20110427/F51115/1581/1", 123.36)</f>
        <v>123.36</v>
      </c>
      <c r="E6296" s="2">
        <v>22.29</v>
      </c>
      <c r="F6296" s="2">
        <v>2</v>
      </c>
      <c r="G6296" s="2" t="s">
        <v>13</v>
      </c>
    </row>
    <row r="6297" spans="1:7" x14ac:dyDescent="0.2">
      <c r="A6297" s="2" t="s">
        <v>3285</v>
      </c>
      <c r="B6297" s="2" t="s">
        <v>65</v>
      </c>
      <c r="C6297" s="2">
        <v>1303.4380000000001</v>
      </c>
      <c r="D6297" s="2">
        <f>HYPERLINK("http://mcb-m6.bioreg.kyushu-u.ac.jp/M3/20110427/F51124/1625/1", 43.11)</f>
        <v>43.11</v>
      </c>
      <c r="E6297" s="2">
        <v>22.76</v>
      </c>
      <c r="F6297" s="2">
        <v>1</v>
      </c>
      <c r="G6297" s="2" t="s">
        <v>14</v>
      </c>
    </row>
    <row r="6298" spans="1:7" x14ac:dyDescent="0.2">
      <c r="A6298" s="2" t="s">
        <v>3285</v>
      </c>
      <c r="B6298" s="2" t="s">
        <v>65</v>
      </c>
      <c r="C6298" s="2">
        <v>1302.413</v>
      </c>
      <c r="D6298" s="2">
        <f>HYPERLINK("http://mcb-m6.bioreg.kyushu-u.ac.jp/M3/20110427/F51122/1800/1", 50.72)</f>
        <v>50.72</v>
      </c>
      <c r="E6298" s="2">
        <v>16.77</v>
      </c>
      <c r="F6298" s="2">
        <v>1</v>
      </c>
      <c r="G6298" s="2" t="s">
        <v>14</v>
      </c>
    </row>
    <row r="6299" spans="1:7" x14ac:dyDescent="0.2">
      <c r="A6299" s="2" t="s">
        <v>3285</v>
      </c>
      <c r="B6299" s="2" t="s">
        <v>65</v>
      </c>
      <c r="C6299" s="2">
        <v>1303.3699999999999</v>
      </c>
      <c r="D6299" s="2">
        <f>HYPERLINK("http://mcb-m6.bioreg.kyushu-u.ac.jp/M3/20110427/F51120/1771/1", 50.91)</f>
        <v>50.91</v>
      </c>
      <c r="E6299" s="2">
        <v>32.6</v>
      </c>
      <c r="F6299" s="2">
        <v>1</v>
      </c>
      <c r="G6299" s="2" t="s">
        <v>14</v>
      </c>
    </row>
    <row r="6300" spans="1:7" x14ac:dyDescent="0.2">
      <c r="A6300" s="2" t="s">
        <v>3285</v>
      </c>
      <c r="B6300" s="2" t="s">
        <v>65</v>
      </c>
      <c r="C6300" s="2">
        <v>651.57209999999998</v>
      </c>
      <c r="D6300" s="2">
        <f>HYPERLINK("http://mcb-m6.bioreg.kyushu-u.ac.jp/M3/20110427/F51118/1782/1", 72.65)</f>
        <v>72.650000000000006</v>
      </c>
      <c r="E6300" s="2">
        <v>10.94</v>
      </c>
      <c r="F6300" s="2">
        <v>2</v>
      </c>
      <c r="G6300" s="2" t="s">
        <v>14</v>
      </c>
    </row>
    <row r="6301" spans="1:7" x14ac:dyDescent="0.2">
      <c r="A6301" s="2" t="s">
        <v>3285</v>
      </c>
      <c r="B6301" s="2" t="s">
        <v>65</v>
      </c>
      <c r="C6301" s="2">
        <v>651.87220000000002</v>
      </c>
      <c r="D6301" s="2">
        <f>HYPERLINK("http://mcb-m6.bioreg.kyushu-u.ac.jp/M3/20110428/F51135/1448/1", 84.55)</f>
        <v>84.55</v>
      </c>
      <c r="E6301" s="2">
        <v>46.64</v>
      </c>
      <c r="F6301" s="2">
        <v>2</v>
      </c>
      <c r="G6301" s="2" t="s">
        <v>14</v>
      </c>
    </row>
    <row r="6302" spans="1:7" x14ac:dyDescent="0.2">
      <c r="A6302" s="2" t="s">
        <v>3285</v>
      </c>
      <c r="B6302" s="2" t="s">
        <v>65</v>
      </c>
      <c r="C6302" s="2">
        <v>651.67859999999996</v>
      </c>
      <c r="D6302" s="2">
        <f>HYPERLINK("http://mcb-m6.bioreg.kyushu-u.ac.jp/M3/20110427/F51124/1621/1", 91.2)</f>
        <v>91.2</v>
      </c>
      <c r="E6302" s="2">
        <v>14.72</v>
      </c>
      <c r="F6302" s="2">
        <v>2</v>
      </c>
      <c r="G6302" s="2" t="s">
        <v>14</v>
      </c>
    </row>
    <row r="6303" spans="1:7" x14ac:dyDescent="0.2">
      <c r="A6303" s="2" t="s">
        <v>3285</v>
      </c>
      <c r="B6303" s="2" t="s">
        <v>65</v>
      </c>
      <c r="C6303" s="2">
        <v>651.61019999999996</v>
      </c>
      <c r="D6303" s="2">
        <f>HYPERLINK("http://mcb-m6.bioreg.kyushu-u.ac.jp/M3/20110427/F51120/1762/1", 91.58)</f>
        <v>91.58</v>
      </c>
      <c r="E6303" s="2">
        <v>30.91</v>
      </c>
      <c r="F6303" s="2">
        <v>2</v>
      </c>
      <c r="G6303" s="2" t="s">
        <v>14</v>
      </c>
    </row>
    <row r="6304" spans="1:7" x14ac:dyDescent="0.2">
      <c r="A6304" s="2" t="s">
        <v>3285</v>
      </c>
      <c r="B6304" s="2" t="s">
        <v>65</v>
      </c>
      <c r="C6304" s="2">
        <v>651.6866</v>
      </c>
      <c r="D6304" s="2">
        <f>HYPERLINK("http://mcb-m6.bioreg.kyushu-u.ac.jp/M3/20110428/F51130/1653/1", 91.95)</f>
        <v>91.95</v>
      </c>
      <c r="E6304" s="2">
        <v>10.3</v>
      </c>
      <c r="F6304" s="2">
        <v>2</v>
      </c>
      <c r="G6304" s="2" t="s">
        <v>14</v>
      </c>
    </row>
    <row r="6305" spans="1:7" x14ac:dyDescent="0.2">
      <c r="A6305" s="2" t="s">
        <v>3285</v>
      </c>
      <c r="B6305" s="2" t="s">
        <v>65</v>
      </c>
      <c r="C6305" s="2">
        <v>652.02919999999995</v>
      </c>
      <c r="D6305" s="2">
        <f>HYPERLINK("http://mcb-m6.bioreg.kyushu-u.ac.jp/M3/20110428/F51126/1716/1", 95.72)</f>
        <v>95.72</v>
      </c>
      <c r="E6305" s="2">
        <v>58.43</v>
      </c>
      <c r="F6305" s="2">
        <v>2</v>
      </c>
      <c r="G6305" s="2" t="s">
        <v>14</v>
      </c>
    </row>
    <row r="6306" spans="1:7" x14ac:dyDescent="0.2">
      <c r="A6306" s="2" t="s">
        <v>3285</v>
      </c>
      <c r="B6306" s="2" t="s">
        <v>65</v>
      </c>
      <c r="C6306" s="2">
        <v>652.13959999999997</v>
      </c>
      <c r="D6306" s="2">
        <f>HYPERLINK("http://mcb-m6.bioreg.kyushu-u.ac.jp/M3/20110428/F51128/1545/1", 96.47)</f>
        <v>96.47</v>
      </c>
      <c r="E6306" s="2">
        <v>62.72</v>
      </c>
      <c r="F6306" s="2">
        <v>2</v>
      </c>
      <c r="G6306" s="2" t="s">
        <v>14</v>
      </c>
    </row>
    <row r="6307" spans="1:7" x14ac:dyDescent="0.2">
      <c r="A6307" s="2" t="s">
        <v>3285</v>
      </c>
      <c r="B6307" s="2" t="s">
        <v>65</v>
      </c>
      <c r="C6307" s="2">
        <v>651.52170000000001</v>
      </c>
      <c r="D6307" s="2">
        <f>HYPERLINK("http://mcb-m6.bioreg.kyushu-u.ac.jp/M3/20110428/F51126/1711/1", 97.57)</f>
        <v>97.57</v>
      </c>
      <c r="E6307" s="2">
        <v>15.14</v>
      </c>
      <c r="F6307" s="2">
        <v>2</v>
      </c>
      <c r="G6307" s="2" t="s">
        <v>14</v>
      </c>
    </row>
    <row r="6308" spans="1:7" x14ac:dyDescent="0.2">
      <c r="A6308" s="2" t="s">
        <v>3285</v>
      </c>
      <c r="B6308" s="2" t="s">
        <v>65</v>
      </c>
      <c r="C6308" s="2">
        <v>651.98659999999995</v>
      </c>
      <c r="D6308" s="2">
        <f>HYPERLINK("http://mcb-m6.bioreg.kyushu-u.ac.jp/M3/20110427/F51125/1732/1", 102.19)</f>
        <v>102.19</v>
      </c>
      <c r="E6308" s="2">
        <v>59.29</v>
      </c>
      <c r="F6308" s="2">
        <v>2</v>
      </c>
      <c r="G6308" s="2" t="s">
        <v>14</v>
      </c>
    </row>
    <row r="6309" spans="1:7" x14ac:dyDescent="0.2">
      <c r="A6309" s="2" t="s">
        <v>3285</v>
      </c>
      <c r="B6309" s="2" t="s">
        <v>65</v>
      </c>
      <c r="C6309" s="2">
        <v>652.11519999999996</v>
      </c>
      <c r="D6309" s="2">
        <f>HYPERLINK("http://mcb-m6.bioreg.kyushu-u.ac.jp/M3/20110427/F51120/1767/1", 102.4)</f>
        <v>102.4</v>
      </c>
      <c r="E6309" s="2">
        <v>73.7</v>
      </c>
      <c r="F6309" s="2">
        <v>2</v>
      </c>
      <c r="G6309" s="2" t="s">
        <v>14</v>
      </c>
    </row>
    <row r="6310" spans="1:7" x14ac:dyDescent="0.2">
      <c r="A6310" s="2" t="s">
        <v>3285</v>
      </c>
      <c r="B6310" s="2" t="s">
        <v>65</v>
      </c>
      <c r="C6310" s="2">
        <v>651.6472</v>
      </c>
      <c r="D6310" s="2">
        <f>HYPERLINK("http://mcb-m6.bioreg.kyushu-u.ac.jp/M3/20110427/F51123/1602/1", 104.99)</f>
        <v>104.99</v>
      </c>
      <c r="E6310" s="2">
        <v>35.4</v>
      </c>
      <c r="F6310" s="2">
        <v>2</v>
      </c>
      <c r="G6310" s="2" t="s">
        <v>14</v>
      </c>
    </row>
    <row r="6311" spans="1:7" x14ac:dyDescent="0.2">
      <c r="A6311" s="2" t="s">
        <v>3285</v>
      </c>
      <c r="B6311" s="2" t="s">
        <v>65</v>
      </c>
      <c r="C6311" s="2">
        <v>651.62959999999998</v>
      </c>
      <c r="D6311" s="2">
        <f>HYPERLINK("http://mcb-m6.bioreg.kyushu-u.ac.jp/M3/20110428/F51128/1540/1", 112.35)</f>
        <v>112.35</v>
      </c>
      <c r="E6311" s="2">
        <v>4.62</v>
      </c>
      <c r="F6311" s="2">
        <v>2</v>
      </c>
      <c r="G6311" s="2" t="s">
        <v>14</v>
      </c>
    </row>
    <row r="6312" spans="1:7" x14ac:dyDescent="0.2">
      <c r="A6312" s="2" t="s">
        <v>3285</v>
      </c>
      <c r="B6312" s="2" t="s">
        <v>65</v>
      </c>
      <c r="C6312" s="2">
        <v>651.63070000000005</v>
      </c>
      <c r="D6312" s="2">
        <f>HYPERLINK("http://mcb-m6.bioreg.kyushu-u.ac.jp/M3/20110428/F51129/1567/1", 116.14)</f>
        <v>116.14</v>
      </c>
      <c r="E6312" s="2">
        <v>28.47</v>
      </c>
      <c r="F6312" s="2">
        <v>2</v>
      </c>
      <c r="G6312" s="2" t="s">
        <v>14</v>
      </c>
    </row>
    <row r="6313" spans="1:7" x14ac:dyDescent="0.2">
      <c r="A6313" s="2" t="s">
        <v>3285</v>
      </c>
      <c r="B6313" s="2" t="s">
        <v>65</v>
      </c>
      <c r="C6313" s="2">
        <v>651.73419999999999</v>
      </c>
      <c r="D6313" s="2">
        <f>HYPERLINK("http://mcb-m6.bioreg.kyushu-u.ac.jp/M3/20110428/F51134/1702/1", 123.88)</f>
        <v>123.88</v>
      </c>
      <c r="E6313" s="2">
        <v>41.69</v>
      </c>
      <c r="F6313" s="2">
        <v>2</v>
      </c>
      <c r="G6313" s="2" t="s">
        <v>14</v>
      </c>
    </row>
    <row r="6314" spans="1:7" x14ac:dyDescent="0.2">
      <c r="A6314" s="2" t="s">
        <v>4307</v>
      </c>
      <c r="B6314" s="2" t="s">
        <v>2046</v>
      </c>
      <c r="C6314" s="2">
        <v>632.18870000000004</v>
      </c>
      <c r="D6314" s="2">
        <f>HYPERLINK("http://mcb-m6.bioreg.kyushu-u.ac.jp/M3/20110404/F50766/1013/1", 36.28)</f>
        <v>36.28</v>
      </c>
      <c r="E6314" s="2">
        <v>27.05</v>
      </c>
      <c r="F6314" s="2">
        <v>2</v>
      </c>
      <c r="G6314" s="2" t="s">
        <v>9</v>
      </c>
    </row>
    <row r="6315" spans="1:7" x14ac:dyDescent="0.2">
      <c r="A6315" s="2" t="s">
        <v>7954</v>
      </c>
      <c r="B6315" s="2" t="s">
        <v>7158</v>
      </c>
      <c r="C6315" s="2">
        <v>753.85670000000005</v>
      </c>
      <c r="D6315" s="2">
        <f>HYPERLINK("http://mcb-m6.bioreg.kyushu-u.ac.jp/M3/20110421/F51021/2162/1", 35.84)</f>
        <v>35.840000000000003</v>
      </c>
      <c r="E6315" s="2">
        <v>18.14</v>
      </c>
      <c r="F6315" s="2">
        <v>2</v>
      </c>
      <c r="G6315" s="2" t="s">
        <v>12</v>
      </c>
    </row>
    <row r="6316" spans="1:7" x14ac:dyDescent="0.2">
      <c r="A6316" s="2" t="s">
        <v>7973</v>
      </c>
      <c r="B6316" s="2" t="s">
        <v>7185</v>
      </c>
      <c r="C6316" s="2">
        <v>972.35599999999999</v>
      </c>
      <c r="D6316" s="2">
        <f>HYPERLINK("http://mcb-m6.bioreg.kyushu-u.ac.jp/M3/20110421/F51021/771/1", 39.84)</f>
        <v>39.840000000000003</v>
      </c>
      <c r="E6316" s="2">
        <v>12.06</v>
      </c>
      <c r="F6316" s="2">
        <v>1</v>
      </c>
      <c r="G6316" s="2" t="s">
        <v>12</v>
      </c>
    </row>
    <row r="6317" spans="1:7" x14ac:dyDescent="0.2">
      <c r="A6317" s="2" t="s">
        <v>7973</v>
      </c>
      <c r="B6317" s="2" t="s">
        <v>7185</v>
      </c>
      <c r="C6317" s="2">
        <v>486.6841</v>
      </c>
      <c r="D6317" s="2">
        <f>HYPERLINK("http://mcb-m6.bioreg.kyushu-u.ac.jp/M3/20110421/F51021/772/1", 61.93)</f>
        <v>61.93</v>
      </c>
      <c r="E6317" s="2">
        <v>19.899999999999999</v>
      </c>
      <c r="F6317" s="2">
        <v>2</v>
      </c>
      <c r="G6317" s="2" t="s">
        <v>12</v>
      </c>
    </row>
    <row r="6318" spans="1:7" x14ac:dyDescent="0.2">
      <c r="A6318" s="2" t="s">
        <v>7973</v>
      </c>
      <c r="B6318" s="2" t="s">
        <v>7249</v>
      </c>
      <c r="C6318" s="2">
        <v>658.82669999999996</v>
      </c>
      <c r="D6318" s="2">
        <f>HYPERLINK("http://mcb-m6.bioreg.kyushu-u.ac.jp/M3/20110421/F51021/1582/1", 64.86)</f>
        <v>64.86</v>
      </c>
      <c r="E6318" s="2">
        <v>34.44</v>
      </c>
      <c r="F6318" s="2">
        <v>2</v>
      </c>
      <c r="G6318" s="2" t="s">
        <v>12</v>
      </c>
    </row>
    <row r="6319" spans="1:7" x14ac:dyDescent="0.2">
      <c r="A6319" s="2" t="s">
        <v>4144</v>
      </c>
      <c r="B6319" s="2" t="s">
        <v>1695</v>
      </c>
      <c r="C6319" s="2">
        <v>847.90369999999996</v>
      </c>
      <c r="D6319" s="2">
        <f>HYPERLINK("http://mcb-m6.bioreg.kyushu-u.ac.jp/M3/20110421/F51021/2672/1", 74.63)</f>
        <v>74.63</v>
      </c>
      <c r="E6319" s="2">
        <v>7.91</v>
      </c>
      <c r="F6319" s="2">
        <v>2</v>
      </c>
      <c r="G6319" s="2" t="s">
        <v>12</v>
      </c>
    </row>
    <row r="6320" spans="1:7" x14ac:dyDescent="0.2">
      <c r="A6320" s="2" t="s">
        <v>4301</v>
      </c>
      <c r="B6320" s="2" t="s">
        <v>2032</v>
      </c>
      <c r="C6320" s="2">
        <v>611.70820000000003</v>
      </c>
      <c r="D6320" s="2">
        <f>HYPERLINK("http://mcb-m6.bioreg.kyushu-u.ac.jp/M3/20110421/F51021/1385/1", 47.86)</f>
        <v>47.86</v>
      </c>
      <c r="E6320" s="2">
        <v>26.51</v>
      </c>
      <c r="F6320" s="2">
        <v>2</v>
      </c>
      <c r="G6320" s="2" t="s">
        <v>12</v>
      </c>
    </row>
    <row r="6321" spans="1:9" x14ac:dyDescent="0.2">
      <c r="A6321" s="2" t="s">
        <v>4301</v>
      </c>
      <c r="B6321" s="2" t="s">
        <v>2054</v>
      </c>
      <c r="C6321" s="2">
        <v>675.8347</v>
      </c>
      <c r="D6321" s="2">
        <f>HYPERLINK("http://mcb-m6.bioreg.kyushu-u.ac.jp/M3/20110421/F51021/1663/1", 71.62)</f>
        <v>71.62</v>
      </c>
      <c r="E6321" s="2">
        <v>49.96</v>
      </c>
      <c r="F6321" s="2">
        <v>2</v>
      </c>
      <c r="G6321" s="2" t="s">
        <v>12</v>
      </c>
    </row>
    <row r="6322" spans="1:9" x14ac:dyDescent="0.2">
      <c r="A6322" s="2" t="s">
        <v>4301</v>
      </c>
      <c r="B6322" s="2" t="s">
        <v>2054</v>
      </c>
      <c r="C6322" s="2">
        <v>675.72559999999999</v>
      </c>
      <c r="D6322" s="2">
        <f>HYPERLINK("http://mcb-m6.bioreg.kyushu-u.ac.jp/M3/20110427/F51122/1868/1", 77.98)</f>
        <v>77.98</v>
      </c>
      <c r="E6322" s="2">
        <v>55.47</v>
      </c>
      <c r="F6322" s="2">
        <v>2</v>
      </c>
      <c r="G6322" s="2" t="s">
        <v>14</v>
      </c>
    </row>
    <row r="6323" spans="1:9" x14ac:dyDescent="0.2">
      <c r="A6323" s="2" t="s">
        <v>7550</v>
      </c>
      <c r="B6323" s="2" t="s">
        <v>5964</v>
      </c>
      <c r="C6323" s="2">
        <v>613.79219999999998</v>
      </c>
      <c r="D6323" s="2">
        <f>HYPERLINK("http://mcb-m6.bioreg.kyushu-u.ac.jp/M3/20110404/F50766/928/1", 37.12)</f>
        <v>37.119999999999997</v>
      </c>
      <c r="E6323" s="2">
        <v>21.94</v>
      </c>
      <c r="F6323" s="2">
        <v>2</v>
      </c>
      <c r="G6323" s="2" t="s">
        <v>9</v>
      </c>
    </row>
    <row r="6324" spans="1:9" x14ac:dyDescent="0.2">
      <c r="A6324" s="2" t="s">
        <v>7550</v>
      </c>
      <c r="B6324" s="2" t="s">
        <v>5999</v>
      </c>
      <c r="C6324" s="2">
        <v>1091.4100000000001</v>
      </c>
      <c r="D6324" s="2">
        <f>HYPERLINK("http://mcb-m6.bioreg.kyushu-u.ac.jp/M3/20110404/F50766/653/1", 38.25)</f>
        <v>38.25</v>
      </c>
      <c r="E6324" s="2">
        <v>11.25</v>
      </c>
      <c r="F6324" s="2">
        <v>1</v>
      </c>
      <c r="G6324" s="2" t="s">
        <v>9</v>
      </c>
      <c r="I6324" s="2" t="s">
        <v>4923</v>
      </c>
    </row>
    <row r="6325" spans="1:9" x14ac:dyDescent="0.2">
      <c r="A6325" s="2" t="s">
        <v>7550</v>
      </c>
      <c r="B6325" s="2" t="s">
        <v>6113</v>
      </c>
      <c r="C6325" s="2">
        <v>613.21969999999999</v>
      </c>
      <c r="D6325" s="2">
        <f>HYPERLINK("http://mcb-m6.bioreg.kyushu-u.ac.jp/M3/20110404/F50766/925/1", 43.01)</f>
        <v>43.01</v>
      </c>
      <c r="E6325" s="2">
        <v>12.92</v>
      </c>
      <c r="F6325" s="2">
        <v>2</v>
      </c>
      <c r="G6325" s="2" t="s">
        <v>9</v>
      </c>
    </row>
    <row r="6326" spans="1:9" x14ac:dyDescent="0.2">
      <c r="A6326" s="2" t="s">
        <v>7550</v>
      </c>
      <c r="B6326" s="2" t="s">
        <v>6282</v>
      </c>
      <c r="C6326" s="2">
        <v>547.2097</v>
      </c>
      <c r="D6326" s="2">
        <f>HYPERLINK("http://mcb-m6.bioreg.kyushu-u.ac.jp/M3/20110404/F50766/654/1", 50.72)</f>
        <v>50.72</v>
      </c>
      <c r="E6326" s="2">
        <v>30.32</v>
      </c>
      <c r="F6326" s="2">
        <v>2</v>
      </c>
      <c r="G6326" s="2" t="s">
        <v>9</v>
      </c>
    </row>
    <row r="6327" spans="1:9" x14ac:dyDescent="0.2">
      <c r="A6327" s="2" t="s">
        <v>7550</v>
      </c>
      <c r="B6327" s="2" t="s">
        <v>5999</v>
      </c>
      <c r="C6327" s="2">
        <v>545.65970000000004</v>
      </c>
      <c r="D6327" s="2">
        <f>HYPERLINK("http://mcb-m6.bioreg.kyushu-u.ac.jp/M3/20110404/F50766/651/1", 76.62)</f>
        <v>76.62</v>
      </c>
      <c r="E6327" s="2">
        <v>43.21</v>
      </c>
      <c r="F6327" s="2">
        <v>2</v>
      </c>
      <c r="G6327" s="2" t="s">
        <v>9</v>
      </c>
      <c r="I6327" s="2" t="s">
        <v>4923</v>
      </c>
    </row>
    <row r="6328" spans="1:9" x14ac:dyDescent="0.2">
      <c r="A6328" s="2" t="s">
        <v>7550</v>
      </c>
      <c r="B6328" s="2" t="s">
        <v>6541</v>
      </c>
      <c r="C6328" s="2">
        <v>811.78420000000006</v>
      </c>
      <c r="D6328" s="2">
        <f>HYPERLINK("http://mcb-m6.bioreg.kyushu-u.ac.jp/M3/20110404/F50766/1982/1", 77.28)</f>
        <v>77.28</v>
      </c>
      <c r="E6328" s="2">
        <v>61.12</v>
      </c>
      <c r="F6328" s="2">
        <v>2</v>
      </c>
      <c r="G6328" s="2" t="s">
        <v>9</v>
      </c>
    </row>
    <row r="6329" spans="1:9" x14ac:dyDescent="0.2">
      <c r="A6329" s="2" t="s">
        <v>8019</v>
      </c>
      <c r="B6329" s="2" t="s">
        <v>7279</v>
      </c>
      <c r="C6329" s="2">
        <v>594.40250000000003</v>
      </c>
      <c r="D6329" s="2">
        <f>HYPERLINK("http://mcb-m6.bioreg.kyushu-u.ac.jp/M3/20110427/F51112/2777/1", 35.04)</f>
        <v>35.04</v>
      </c>
      <c r="E6329" s="2">
        <v>11.4</v>
      </c>
      <c r="F6329" s="2">
        <v>3</v>
      </c>
      <c r="G6329" s="2" t="s">
        <v>13</v>
      </c>
    </row>
    <row r="6330" spans="1:9" x14ac:dyDescent="0.2">
      <c r="A6330" s="2" t="s">
        <v>4132</v>
      </c>
      <c r="B6330" s="2" t="s">
        <v>5345</v>
      </c>
      <c r="C6330" s="2">
        <v>578.66719999999998</v>
      </c>
      <c r="D6330" s="2">
        <f>HYPERLINK("http://mcb-m6.bioreg.kyushu-u.ac.jp/M3/20110404/F50753/1431/1", 47.94)</f>
        <v>47.94</v>
      </c>
      <c r="E6330" s="2">
        <v>21.17</v>
      </c>
      <c r="F6330" s="2">
        <v>2</v>
      </c>
      <c r="G6330" s="2" t="s">
        <v>9</v>
      </c>
    </row>
    <row r="6331" spans="1:9" x14ac:dyDescent="0.2">
      <c r="A6331" s="2" t="s">
        <v>4132</v>
      </c>
      <c r="B6331" s="2" t="s">
        <v>1662</v>
      </c>
      <c r="C6331" s="2">
        <v>863.67319999999995</v>
      </c>
      <c r="D6331" s="2">
        <f>HYPERLINK("http://mcb-m6.bioreg.kyushu-u.ac.jp/M3/20110404/F50753/2479/1", 64.74)</f>
        <v>64.739999999999995</v>
      </c>
      <c r="E6331" s="2">
        <v>51.63</v>
      </c>
      <c r="F6331" s="2">
        <v>2</v>
      </c>
      <c r="G6331" s="2" t="s">
        <v>9</v>
      </c>
    </row>
    <row r="6332" spans="1:9" x14ac:dyDescent="0.2">
      <c r="A6332" s="2" t="s">
        <v>4132</v>
      </c>
      <c r="B6332" s="2" t="s">
        <v>1662</v>
      </c>
      <c r="C6332" s="2">
        <v>863.83119999999997</v>
      </c>
      <c r="D6332" s="2">
        <f>HYPERLINK("http://mcb-m6.bioreg.kyushu-u.ac.jp/M3/20110404/F50758/2318/1", 88.67)</f>
        <v>88.67</v>
      </c>
      <c r="E6332" s="2">
        <v>73.53</v>
      </c>
      <c r="F6332" s="2">
        <v>2</v>
      </c>
      <c r="G6332" s="2" t="s">
        <v>10</v>
      </c>
    </row>
    <row r="6333" spans="1:9" x14ac:dyDescent="0.2">
      <c r="A6333" s="2" t="s">
        <v>4132</v>
      </c>
      <c r="B6333" s="2" t="s">
        <v>1662</v>
      </c>
      <c r="C6333" s="2">
        <v>863.66669999999999</v>
      </c>
      <c r="D6333" s="2">
        <f>HYPERLINK("http://mcb-m6.bioreg.kyushu-u.ac.jp/M3/20110421/F51017/2675/1", 122.9)</f>
        <v>122.9</v>
      </c>
      <c r="E6333" s="2">
        <v>98.78</v>
      </c>
      <c r="F6333" s="2">
        <v>2</v>
      </c>
      <c r="G6333" s="2" t="s">
        <v>11</v>
      </c>
    </row>
    <row r="6334" spans="1:9" x14ac:dyDescent="0.2">
      <c r="A6334" s="2" t="s">
        <v>4132</v>
      </c>
      <c r="B6334" s="2" t="s">
        <v>1662</v>
      </c>
      <c r="C6334" s="2">
        <v>863.86220000000003</v>
      </c>
      <c r="D6334" s="2">
        <f>HYPERLINK("http://mcb-m6.bioreg.kyushu-u.ac.jp/M3/20110421/F51023/2535/1", 84.29)</f>
        <v>84.29</v>
      </c>
      <c r="E6334" s="2">
        <v>72.72</v>
      </c>
      <c r="F6334" s="2">
        <v>2</v>
      </c>
      <c r="G6334" s="2" t="s">
        <v>12</v>
      </c>
    </row>
    <row r="6335" spans="1:9" x14ac:dyDescent="0.2">
      <c r="A6335" s="2" t="s">
        <v>4132</v>
      </c>
      <c r="B6335" s="2" t="s">
        <v>1662</v>
      </c>
      <c r="C6335" s="2">
        <v>863.69960000000003</v>
      </c>
      <c r="D6335" s="2">
        <f>HYPERLINK("http://mcb-m6.bioreg.kyushu-u.ac.jp/M3/20110427/F51111/2708/1", 129.57)</f>
        <v>129.57</v>
      </c>
      <c r="E6335" s="2">
        <v>102.34</v>
      </c>
      <c r="F6335" s="2">
        <v>2</v>
      </c>
      <c r="G6335" s="2" t="s">
        <v>13</v>
      </c>
    </row>
    <row r="6336" spans="1:9" x14ac:dyDescent="0.2">
      <c r="A6336" s="2" t="s">
        <v>3615</v>
      </c>
      <c r="B6336" s="2" t="s">
        <v>521</v>
      </c>
      <c r="C6336" s="2">
        <v>711.31669999999997</v>
      </c>
      <c r="D6336" s="2">
        <f>HYPERLINK("http://mcb-m6.bioreg.kyushu-u.ac.jp/M3/20110421/F51047/1957/1", 39.83)</f>
        <v>39.83</v>
      </c>
      <c r="E6336" s="2">
        <v>25.78</v>
      </c>
      <c r="F6336" s="2">
        <v>2</v>
      </c>
      <c r="G6336" s="2" t="s">
        <v>12</v>
      </c>
    </row>
    <row r="6337" spans="1:9" x14ac:dyDescent="0.2">
      <c r="A6337" s="2" t="s">
        <v>3615</v>
      </c>
      <c r="B6337" s="2" t="s">
        <v>521</v>
      </c>
      <c r="C6337" s="2">
        <v>711.27470000000005</v>
      </c>
      <c r="D6337" s="2">
        <f>HYPERLINK("http://mcb-m6.bioreg.kyushu-u.ac.jp/M3/20110421/F51026/1965/1", 46.02)</f>
        <v>46.02</v>
      </c>
      <c r="E6337" s="2">
        <v>30.35</v>
      </c>
      <c r="F6337" s="2">
        <v>2</v>
      </c>
      <c r="G6337" s="2" t="s">
        <v>12</v>
      </c>
    </row>
    <row r="6338" spans="1:9" x14ac:dyDescent="0.2">
      <c r="A6338" s="2" t="s">
        <v>3615</v>
      </c>
      <c r="B6338" s="2" t="s">
        <v>521</v>
      </c>
      <c r="C6338" s="2">
        <v>711.38019999999995</v>
      </c>
      <c r="D6338" s="2">
        <f>HYPERLINK("http://mcb-m6.bioreg.kyushu-u.ac.jp/M3/20110421/F51043/1912/1", 82.56)</f>
        <v>82.56</v>
      </c>
      <c r="E6338" s="2">
        <v>66.17</v>
      </c>
      <c r="F6338" s="2">
        <v>2</v>
      </c>
      <c r="G6338" s="2" t="s">
        <v>12</v>
      </c>
    </row>
    <row r="6339" spans="1:9" x14ac:dyDescent="0.2">
      <c r="A6339" s="2" t="s">
        <v>3615</v>
      </c>
      <c r="B6339" s="2" t="s">
        <v>521</v>
      </c>
      <c r="C6339" s="2">
        <v>1421.3630000000001</v>
      </c>
      <c r="D6339" s="2">
        <f>HYPERLINK("http://mcb-m6.bioreg.kyushu-u.ac.jp/M3/20110427/F51116/1892/1", 44.02)</f>
        <v>44.02</v>
      </c>
      <c r="E6339" s="2">
        <v>32.94</v>
      </c>
      <c r="F6339" s="2">
        <v>1</v>
      </c>
      <c r="G6339" s="2" t="s">
        <v>13</v>
      </c>
    </row>
    <row r="6340" spans="1:9" x14ac:dyDescent="0.2">
      <c r="A6340" s="2" t="s">
        <v>3615</v>
      </c>
      <c r="B6340" s="2" t="s">
        <v>521</v>
      </c>
      <c r="C6340" s="2">
        <v>1421.3969999999999</v>
      </c>
      <c r="D6340" s="2">
        <f>HYPERLINK("http://mcb-m6.bioreg.kyushu-u.ac.jp/M3/20110427/F51118/1953/1", 35.01)</f>
        <v>35.01</v>
      </c>
      <c r="E6340" s="2">
        <v>22.92</v>
      </c>
      <c r="F6340" s="2">
        <v>1</v>
      </c>
      <c r="G6340" s="2" t="s">
        <v>14</v>
      </c>
    </row>
    <row r="6341" spans="1:9" x14ac:dyDescent="0.2">
      <c r="A6341" s="2" t="s">
        <v>3615</v>
      </c>
      <c r="B6341" s="2" t="s">
        <v>521</v>
      </c>
      <c r="C6341" s="2">
        <v>711.05160000000001</v>
      </c>
      <c r="D6341" s="2">
        <f>HYPERLINK("http://mcb-m6.bioreg.kyushu-u.ac.jp/M3/20110427/F51125/1945/1", 43.45)</f>
        <v>43.45</v>
      </c>
      <c r="E6341" s="2">
        <v>19.47</v>
      </c>
      <c r="F6341" s="2">
        <v>2</v>
      </c>
      <c r="G6341" s="2" t="s">
        <v>14</v>
      </c>
    </row>
    <row r="6342" spans="1:9" x14ac:dyDescent="0.2">
      <c r="A6342" s="2" t="s">
        <v>3615</v>
      </c>
      <c r="B6342" s="2" t="s">
        <v>521</v>
      </c>
      <c r="C6342" s="2">
        <v>710.86270000000002</v>
      </c>
      <c r="D6342" s="2">
        <f>HYPERLINK("http://mcb-m6.bioreg.kyushu-u.ac.jp/M3/20110427/F51120/1980/1", 47.84)</f>
        <v>47.84</v>
      </c>
      <c r="E6342" s="2">
        <v>26.35</v>
      </c>
      <c r="F6342" s="2">
        <v>2</v>
      </c>
      <c r="G6342" s="2" t="s">
        <v>14</v>
      </c>
    </row>
    <row r="6343" spans="1:9" x14ac:dyDescent="0.2">
      <c r="A6343" s="2" t="s">
        <v>3615</v>
      </c>
      <c r="B6343" s="2" t="s">
        <v>521</v>
      </c>
      <c r="C6343" s="2">
        <v>711.11019999999996</v>
      </c>
      <c r="D6343" s="2">
        <f>HYPERLINK("http://mcb-m6.bioreg.kyushu-u.ac.jp/M3/20110427/F51119/2034/1", 55.71)</f>
        <v>55.71</v>
      </c>
      <c r="E6343" s="2">
        <v>32.950000000000003</v>
      </c>
      <c r="F6343" s="2">
        <v>2</v>
      </c>
      <c r="G6343" s="2" t="s">
        <v>14</v>
      </c>
    </row>
    <row r="6344" spans="1:9" x14ac:dyDescent="0.2">
      <c r="A6344" s="2" t="s">
        <v>3919</v>
      </c>
      <c r="B6344" s="2" t="s">
        <v>1094</v>
      </c>
      <c r="C6344" s="2">
        <v>740.60310000000004</v>
      </c>
      <c r="D6344" s="2">
        <f>HYPERLINK("http://mcb-m6.bioreg.kyushu-u.ac.jp/M3/20110404/F50777/1921/1", 61.75)</f>
        <v>61.75</v>
      </c>
      <c r="E6344" s="2">
        <v>34.35</v>
      </c>
      <c r="F6344" s="2">
        <v>2</v>
      </c>
      <c r="G6344" s="2" t="s">
        <v>9</v>
      </c>
    </row>
    <row r="6345" spans="1:9" x14ac:dyDescent="0.2">
      <c r="A6345" s="2" t="s">
        <v>3919</v>
      </c>
      <c r="B6345" s="2" t="s">
        <v>5005</v>
      </c>
      <c r="C6345" s="2">
        <v>875.46720000000005</v>
      </c>
      <c r="D6345" s="2">
        <f>HYPERLINK("http://mcb-m6.bioreg.kyushu-u.ac.jp/M3/20110404/F50777/2435/1", 77.69)</f>
        <v>77.69</v>
      </c>
      <c r="E6345" s="2">
        <v>59.08</v>
      </c>
      <c r="F6345" s="2">
        <v>2</v>
      </c>
      <c r="G6345" s="2" t="s">
        <v>9</v>
      </c>
      <c r="I6345" s="2" t="s">
        <v>5884</v>
      </c>
    </row>
    <row r="6346" spans="1:9" x14ac:dyDescent="0.2">
      <c r="A6346" s="2" t="s">
        <v>3919</v>
      </c>
      <c r="B6346" s="2" t="s">
        <v>1094</v>
      </c>
      <c r="C6346" s="2">
        <v>740.21619999999996</v>
      </c>
      <c r="D6346" s="2">
        <f>HYPERLINK("http://mcb-m6.bioreg.kyushu-u.ac.jp/M3/20110404/F50774/1883/1", 40.78)</f>
        <v>40.78</v>
      </c>
      <c r="E6346" s="2">
        <v>12.65</v>
      </c>
      <c r="F6346" s="2">
        <v>2</v>
      </c>
      <c r="G6346" s="2" t="s">
        <v>10</v>
      </c>
    </row>
    <row r="6347" spans="1:9" x14ac:dyDescent="0.2">
      <c r="A6347" s="2" t="s">
        <v>3919</v>
      </c>
      <c r="B6347" s="2" t="s">
        <v>5005</v>
      </c>
      <c r="C6347" s="2">
        <v>875.38670000000002</v>
      </c>
      <c r="D6347" s="2">
        <f>HYPERLINK("http://mcb-m6.bioreg.kyushu-u.ac.jp/M3/20110404/F50774/2361/1", 74.45)</f>
        <v>74.45</v>
      </c>
      <c r="E6347" s="2">
        <v>58.17</v>
      </c>
      <c r="F6347" s="2">
        <v>2</v>
      </c>
      <c r="G6347" s="2" t="s">
        <v>10</v>
      </c>
      <c r="I6347" s="2" t="s">
        <v>5884</v>
      </c>
    </row>
    <row r="6348" spans="1:9" x14ac:dyDescent="0.2">
      <c r="A6348" s="2" t="s">
        <v>3919</v>
      </c>
      <c r="B6348" s="2" t="s">
        <v>1094</v>
      </c>
      <c r="C6348" s="2">
        <v>740.39760000000001</v>
      </c>
      <c r="D6348" s="2">
        <f>HYPERLINK("http://mcb-m6.bioreg.kyushu-u.ac.jp/M3/20110404/F50774/1885/1", 90.67)</f>
        <v>90.67</v>
      </c>
      <c r="E6348" s="2">
        <v>66.73</v>
      </c>
      <c r="F6348" s="2">
        <v>2</v>
      </c>
      <c r="G6348" s="2" t="s">
        <v>10</v>
      </c>
    </row>
    <row r="6349" spans="1:9" x14ac:dyDescent="0.2">
      <c r="A6349" s="2" t="s">
        <v>3919</v>
      </c>
      <c r="B6349" s="2" t="s">
        <v>1094</v>
      </c>
      <c r="C6349" s="2">
        <v>740.33870000000002</v>
      </c>
      <c r="D6349" s="2">
        <f>HYPERLINK("http://mcb-m6.bioreg.kyushu-u.ac.jp/M3/20110421/F51037/2004/1", 43.81)</f>
        <v>43.81</v>
      </c>
      <c r="E6349" s="2">
        <v>31.12</v>
      </c>
      <c r="F6349" s="2">
        <v>2</v>
      </c>
      <c r="G6349" s="2" t="s">
        <v>11</v>
      </c>
    </row>
    <row r="6350" spans="1:9" x14ac:dyDescent="0.2">
      <c r="A6350" s="2" t="s">
        <v>3919</v>
      </c>
      <c r="B6350" s="2" t="s">
        <v>1094</v>
      </c>
      <c r="C6350" s="2">
        <v>740.44269999999995</v>
      </c>
      <c r="D6350" s="2">
        <f>HYPERLINK("http://mcb-m6.bioreg.kyushu-u.ac.jp/M3/20110421/F51037/2009/1", 48.24)</f>
        <v>48.24</v>
      </c>
      <c r="E6350" s="2">
        <v>29.78</v>
      </c>
      <c r="F6350" s="2">
        <v>2</v>
      </c>
      <c r="G6350" s="2" t="s">
        <v>11</v>
      </c>
    </row>
    <row r="6351" spans="1:9" x14ac:dyDescent="0.2">
      <c r="A6351" s="2" t="s">
        <v>3919</v>
      </c>
      <c r="B6351" s="2" t="s">
        <v>1094</v>
      </c>
      <c r="C6351" s="2">
        <v>740.84519999999998</v>
      </c>
      <c r="D6351" s="2">
        <f>HYPERLINK("http://mcb-m6.bioreg.kyushu-u.ac.jp/M3/20110421/F51037/2014/1", 49.79)</f>
        <v>49.79</v>
      </c>
      <c r="E6351" s="2">
        <v>28.43</v>
      </c>
      <c r="F6351" s="2">
        <v>2</v>
      </c>
      <c r="G6351" s="2" t="s">
        <v>11</v>
      </c>
    </row>
    <row r="6352" spans="1:9" x14ac:dyDescent="0.2">
      <c r="A6352" s="2" t="s">
        <v>3919</v>
      </c>
      <c r="B6352" s="2" t="s">
        <v>1094</v>
      </c>
      <c r="C6352" s="2">
        <v>740.32169999999996</v>
      </c>
      <c r="D6352" s="2">
        <f>HYPERLINK("http://mcb-m6.bioreg.kyushu-u.ac.jp/M3/20110421/F51037/2001/1", 49.94)</f>
        <v>49.94</v>
      </c>
      <c r="E6352" s="2">
        <v>33.700000000000003</v>
      </c>
      <c r="F6352" s="2">
        <v>2</v>
      </c>
      <c r="G6352" s="2" t="s">
        <v>11</v>
      </c>
    </row>
    <row r="6353" spans="1:7" x14ac:dyDescent="0.2">
      <c r="A6353" s="2" t="s">
        <v>3919</v>
      </c>
      <c r="B6353" s="2" t="s">
        <v>1094</v>
      </c>
      <c r="C6353" s="2">
        <v>740.30769999999995</v>
      </c>
      <c r="D6353" s="2">
        <f>HYPERLINK("http://mcb-m6.bioreg.kyushu-u.ac.jp/M3/20110421/F51037/2000/1", 63.65)</f>
        <v>63.65</v>
      </c>
      <c r="E6353" s="2">
        <v>40.369999999999997</v>
      </c>
      <c r="F6353" s="2">
        <v>2</v>
      </c>
      <c r="G6353" s="2" t="s">
        <v>11</v>
      </c>
    </row>
    <row r="6354" spans="1:7" x14ac:dyDescent="0.2">
      <c r="A6354" s="2" t="s">
        <v>3919</v>
      </c>
      <c r="B6354" s="2" t="s">
        <v>1094</v>
      </c>
      <c r="C6354" s="2">
        <v>740.85019999999997</v>
      </c>
      <c r="D6354" s="2">
        <f>HYPERLINK("http://mcb-m6.bioreg.kyushu-u.ac.jp/M3/20110421/F51037/2015/1", 65.71)</f>
        <v>65.709999999999994</v>
      </c>
      <c r="E6354" s="2">
        <v>45.32</v>
      </c>
      <c r="F6354" s="2">
        <v>2</v>
      </c>
      <c r="G6354" s="2" t="s">
        <v>11</v>
      </c>
    </row>
    <row r="6355" spans="1:7" x14ac:dyDescent="0.2">
      <c r="A6355" s="2" t="s">
        <v>3919</v>
      </c>
      <c r="B6355" s="2" t="s">
        <v>1094</v>
      </c>
      <c r="C6355" s="2">
        <v>740.85720000000003</v>
      </c>
      <c r="D6355" s="2">
        <f>HYPERLINK("http://mcb-m6.bioreg.kyushu-u.ac.jp/M3/20110421/F51037/2016/1", 67.5)</f>
        <v>67.5</v>
      </c>
      <c r="E6355" s="2">
        <v>45.51</v>
      </c>
      <c r="F6355" s="2">
        <v>2</v>
      </c>
      <c r="G6355" s="2" t="s">
        <v>11</v>
      </c>
    </row>
    <row r="6356" spans="1:7" x14ac:dyDescent="0.2">
      <c r="A6356" s="2" t="s">
        <v>3919</v>
      </c>
      <c r="B6356" s="2" t="s">
        <v>1094</v>
      </c>
      <c r="C6356" s="2">
        <v>740.55070000000001</v>
      </c>
      <c r="D6356" s="2">
        <f>HYPERLINK("http://mcb-m6.bioreg.kyushu-u.ac.jp/M3/20110421/F51035/1996/1", 71.31)</f>
        <v>71.31</v>
      </c>
      <c r="E6356" s="2">
        <v>52.23</v>
      </c>
      <c r="F6356" s="2">
        <v>2</v>
      </c>
      <c r="G6356" s="2" t="s">
        <v>11</v>
      </c>
    </row>
    <row r="6357" spans="1:7" x14ac:dyDescent="0.2">
      <c r="A6357" s="2" t="s">
        <v>3919</v>
      </c>
      <c r="B6357" s="2" t="s">
        <v>1094</v>
      </c>
      <c r="C6357" s="2">
        <v>740.55070000000001</v>
      </c>
      <c r="D6357" s="2">
        <f>HYPERLINK("http://mcb-m6.bioreg.kyushu-u.ac.jp/M3/20110421/F51037/2011/1", 77.15)</f>
        <v>77.150000000000006</v>
      </c>
      <c r="E6357" s="2">
        <v>48.79</v>
      </c>
      <c r="F6357" s="2">
        <v>2</v>
      </c>
      <c r="G6357" s="2" t="s">
        <v>11</v>
      </c>
    </row>
    <row r="6358" spans="1:7" x14ac:dyDescent="0.2">
      <c r="A6358" s="2" t="s">
        <v>3919</v>
      </c>
      <c r="B6358" s="2" t="s">
        <v>1094</v>
      </c>
      <c r="C6358" s="2">
        <v>740.46370000000002</v>
      </c>
      <c r="D6358" s="2">
        <f>HYPERLINK("http://mcb-m6.bioreg.kyushu-u.ac.jp/M3/20110421/F51018/2116/1", 80.35)</f>
        <v>80.349999999999994</v>
      </c>
      <c r="E6358" s="2">
        <v>59.67</v>
      </c>
      <c r="F6358" s="2">
        <v>2</v>
      </c>
      <c r="G6358" s="2" t="s">
        <v>11</v>
      </c>
    </row>
    <row r="6359" spans="1:7" x14ac:dyDescent="0.2">
      <c r="A6359" s="2" t="s">
        <v>3919</v>
      </c>
      <c r="B6359" s="2" t="s">
        <v>1094</v>
      </c>
      <c r="C6359" s="2">
        <v>740.79570000000001</v>
      </c>
      <c r="D6359" s="2">
        <f>HYPERLINK("http://mcb-m6.bioreg.kyushu-u.ac.jp/M3/20110421/F51037/2013/1", 82.65)</f>
        <v>82.65</v>
      </c>
      <c r="E6359" s="2">
        <v>60.44</v>
      </c>
      <c r="F6359" s="2">
        <v>2</v>
      </c>
      <c r="G6359" s="2" t="s">
        <v>11</v>
      </c>
    </row>
    <row r="6360" spans="1:7" x14ac:dyDescent="0.2">
      <c r="A6360" s="2" t="s">
        <v>3919</v>
      </c>
      <c r="B6360" s="2" t="s">
        <v>1094</v>
      </c>
      <c r="C6360" s="2">
        <v>740.26210000000003</v>
      </c>
      <c r="D6360" s="2">
        <f>HYPERLINK("http://mcb-m6.bioreg.kyushu-u.ac.jp/M3/20110421/F51037/1999/1", 83.32)</f>
        <v>83.32</v>
      </c>
      <c r="E6360" s="2">
        <v>62.97</v>
      </c>
      <c r="F6360" s="2">
        <v>2</v>
      </c>
      <c r="G6360" s="2" t="s">
        <v>11</v>
      </c>
    </row>
    <row r="6361" spans="1:7" x14ac:dyDescent="0.2">
      <c r="A6361" s="2" t="s">
        <v>3919</v>
      </c>
      <c r="B6361" s="2" t="s">
        <v>1094</v>
      </c>
      <c r="C6361" s="2">
        <v>740.34370000000001</v>
      </c>
      <c r="D6361" s="2">
        <f>HYPERLINK("http://mcb-m6.bioreg.kyushu-u.ac.jp/M3/20110421/F51037/2006/1", 83.77)</f>
        <v>83.77</v>
      </c>
      <c r="E6361" s="2">
        <v>66.09</v>
      </c>
      <c r="F6361" s="2">
        <v>2</v>
      </c>
      <c r="G6361" s="2" t="s">
        <v>11</v>
      </c>
    </row>
    <row r="6362" spans="1:7" x14ac:dyDescent="0.2">
      <c r="A6362" s="2" t="s">
        <v>3919</v>
      </c>
      <c r="B6362" s="2" t="s">
        <v>1094</v>
      </c>
      <c r="C6362" s="2">
        <v>740.34270000000004</v>
      </c>
      <c r="D6362" s="2">
        <f>HYPERLINK("http://mcb-m6.bioreg.kyushu-u.ac.jp/M3/20110421/F51037/2005/1", 89.6)</f>
        <v>89.6</v>
      </c>
      <c r="E6362" s="2">
        <v>55.46</v>
      </c>
      <c r="F6362" s="2">
        <v>2</v>
      </c>
      <c r="G6362" s="2" t="s">
        <v>11</v>
      </c>
    </row>
    <row r="6363" spans="1:7" x14ac:dyDescent="0.2">
      <c r="A6363" s="2" t="s">
        <v>3919</v>
      </c>
      <c r="B6363" s="2" t="s">
        <v>1094</v>
      </c>
      <c r="C6363" s="2">
        <v>740.41359999999997</v>
      </c>
      <c r="D6363" s="2">
        <f>HYPERLINK("http://mcb-m6.bioreg.kyushu-u.ac.jp/M3/20110421/F51047/2136/1", 51.47)</f>
        <v>51.47</v>
      </c>
      <c r="E6363" s="2">
        <v>32.26</v>
      </c>
      <c r="F6363" s="2">
        <v>2</v>
      </c>
      <c r="G6363" s="2" t="s">
        <v>12</v>
      </c>
    </row>
    <row r="6364" spans="1:7" x14ac:dyDescent="0.2">
      <c r="A6364" s="2" t="s">
        <v>3919</v>
      </c>
      <c r="B6364" s="2" t="s">
        <v>1094</v>
      </c>
      <c r="C6364" s="2">
        <v>740.82820000000004</v>
      </c>
      <c r="D6364" s="2">
        <f>HYPERLINK("http://mcb-m6.bioreg.kyushu-u.ac.jp/M3/20110421/F51044/2055/1", 78.4)</f>
        <v>78.400000000000006</v>
      </c>
      <c r="E6364" s="2">
        <v>60.69</v>
      </c>
      <c r="F6364" s="2">
        <v>2</v>
      </c>
      <c r="G6364" s="2" t="s">
        <v>12</v>
      </c>
    </row>
    <row r="6365" spans="1:7" x14ac:dyDescent="0.2">
      <c r="A6365" s="2" t="s">
        <v>3919</v>
      </c>
      <c r="B6365" s="2" t="s">
        <v>1094</v>
      </c>
      <c r="C6365" s="2">
        <v>740.50869999999998</v>
      </c>
      <c r="D6365" s="2">
        <f>HYPERLINK("http://mcb-m6.bioreg.kyushu-u.ac.jp/M3/20110421/F51047/2140/1", 80.59)</f>
        <v>80.59</v>
      </c>
      <c r="E6365" s="2">
        <v>60.35</v>
      </c>
      <c r="F6365" s="2">
        <v>2</v>
      </c>
      <c r="G6365" s="2" t="s">
        <v>12</v>
      </c>
    </row>
    <row r="6366" spans="1:7" x14ac:dyDescent="0.2">
      <c r="A6366" s="2" t="s">
        <v>3919</v>
      </c>
      <c r="B6366" s="2" t="s">
        <v>1094</v>
      </c>
      <c r="C6366" s="2">
        <v>740.93409999999994</v>
      </c>
      <c r="D6366" s="2">
        <f>HYPERLINK("http://mcb-m6.bioreg.kyushu-u.ac.jp/M3/20110421/F51045/2174/1", 87.03)</f>
        <v>87.03</v>
      </c>
      <c r="E6366" s="2">
        <v>65.83</v>
      </c>
      <c r="F6366" s="2">
        <v>2</v>
      </c>
      <c r="G6366" s="2" t="s">
        <v>12</v>
      </c>
    </row>
    <row r="6367" spans="1:7" x14ac:dyDescent="0.2">
      <c r="A6367" s="2" t="s">
        <v>3919</v>
      </c>
      <c r="B6367" s="2" t="s">
        <v>1094</v>
      </c>
      <c r="C6367" s="2">
        <v>740.94920000000002</v>
      </c>
      <c r="D6367" s="2">
        <f>HYPERLINK("http://mcb-m6.bioreg.kyushu-u.ac.jp/M3/20110421/F51050/2141/1", 89.66)</f>
        <v>89.66</v>
      </c>
      <c r="E6367" s="2">
        <v>57.21</v>
      </c>
      <c r="F6367" s="2">
        <v>2</v>
      </c>
      <c r="G6367" s="2" t="s">
        <v>12</v>
      </c>
    </row>
    <row r="6368" spans="1:7" x14ac:dyDescent="0.2">
      <c r="A6368" s="2" t="s">
        <v>3919</v>
      </c>
      <c r="B6368" s="2" t="s">
        <v>1094</v>
      </c>
      <c r="C6368" s="2">
        <v>740.45510000000002</v>
      </c>
      <c r="D6368" s="2">
        <f>HYPERLINK("http://mcb-m6.bioreg.kyushu-u.ac.jp/M3/20110428/F51132/1998/1", 47.3)</f>
        <v>47.3</v>
      </c>
      <c r="E6368" s="2">
        <v>29.69</v>
      </c>
      <c r="F6368" s="2">
        <v>2</v>
      </c>
      <c r="G6368" s="2" t="s">
        <v>13</v>
      </c>
    </row>
    <row r="6369" spans="1:7" x14ac:dyDescent="0.2">
      <c r="A6369" s="2" t="s">
        <v>3919</v>
      </c>
      <c r="B6369" s="2" t="s">
        <v>1094</v>
      </c>
      <c r="C6369" s="2">
        <v>740.6567</v>
      </c>
      <c r="D6369" s="2">
        <f>HYPERLINK("http://mcb-m6.bioreg.kyushu-u.ac.jp/M3/20110428/F51132/2001/1", 47.53)</f>
        <v>47.53</v>
      </c>
      <c r="E6369" s="2">
        <v>21.66</v>
      </c>
      <c r="F6369" s="2">
        <v>2</v>
      </c>
      <c r="G6369" s="2" t="s">
        <v>13</v>
      </c>
    </row>
    <row r="6370" spans="1:7" x14ac:dyDescent="0.2">
      <c r="A6370" s="2" t="s">
        <v>3919</v>
      </c>
      <c r="B6370" s="2" t="s">
        <v>1094</v>
      </c>
      <c r="C6370" s="2">
        <v>740.28420000000006</v>
      </c>
      <c r="D6370" s="2">
        <f>HYPERLINK("http://mcb-m6.bioreg.kyushu-u.ac.jp/M3/20110428/F51132/1994/1", 51.72)</f>
        <v>51.72</v>
      </c>
      <c r="E6370" s="2">
        <v>35.58</v>
      </c>
      <c r="F6370" s="2">
        <v>2</v>
      </c>
      <c r="G6370" s="2" t="s">
        <v>13</v>
      </c>
    </row>
    <row r="6371" spans="1:7" x14ac:dyDescent="0.2">
      <c r="A6371" s="2" t="s">
        <v>3919</v>
      </c>
      <c r="B6371" s="2" t="s">
        <v>1094</v>
      </c>
      <c r="C6371" s="2">
        <v>740.80909999999994</v>
      </c>
      <c r="D6371" s="2">
        <f>HYPERLINK("http://mcb-m6.bioreg.kyushu-u.ac.jp/M3/20110428/F51132/2003/1", 61.6)</f>
        <v>61.6</v>
      </c>
      <c r="E6371" s="2">
        <v>42.94</v>
      </c>
      <c r="F6371" s="2">
        <v>2</v>
      </c>
      <c r="G6371" s="2" t="s">
        <v>13</v>
      </c>
    </row>
    <row r="6372" spans="1:7" x14ac:dyDescent="0.2">
      <c r="A6372" s="2" t="s">
        <v>3919</v>
      </c>
      <c r="B6372" s="2" t="s">
        <v>1094</v>
      </c>
      <c r="C6372" s="2">
        <v>740.16669999999999</v>
      </c>
      <c r="D6372" s="2">
        <f>HYPERLINK("http://mcb-m6.bioreg.kyushu-u.ac.jp/M3/20110428/F51132/1992/1", 64.83)</f>
        <v>64.83</v>
      </c>
      <c r="E6372" s="2">
        <v>43.75</v>
      </c>
      <c r="F6372" s="2">
        <v>2</v>
      </c>
      <c r="G6372" s="2" t="s">
        <v>13</v>
      </c>
    </row>
    <row r="6373" spans="1:7" x14ac:dyDescent="0.2">
      <c r="A6373" s="2" t="s">
        <v>3919</v>
      </c>
      <c r="B6373" s="2" t="s">
        <v>1094</v>
      </c>
      <c r="C6373" s="2">
        <v>740.28020000000004</v>
      </c>
      <c r="D6373" s="2">
        <f>HYPERLINK("http://mcb-m6.bioreg.kyushu-u.ac.jp/M3/20110427/F51117/1987/1", 68.17)</f>
        <v>68.17</v>
      </c>
      <c r="E6373" s="2">
        <v>50.96</v>
      </c>
      <c r="F6373" s="2">
        <v>2</v>
      </c>
      <c r="G6373" s="2" t="s">
        <v>13</v>
      </c>
    </row>
    <row r="6374" spans="1:7" x14ac:dyDescent="0.2">
      <c r="A6374" s="2" t="s">
        <v>3919</v>
      </c>
      <c r="B6374" s="2" t="s">
        <v>1094</v>
      </c>
      <c r="C6374" s="2">
        <v>740.81460000000004</v>
      </c>
      <c r="D6374" s="2">
        <f>HYPERLINK("http://mcb-m6.bioreg.kyushu-u.ac.jp/M3/20110427/F51115/1983/1", 76.65)</f>
        <v>76.650000000000006</v>
      </c>
      <c r="E6374" s="2">
        <v>56.47</v>
      </c>
      <c r="F6374" s="2">
        <v>2</v>
      </c>
      <c r="G6374" s="2" t="s">
        <v>13</v>
      </c>
    </row>
    <row r="6375" spans="1:7" x14ac:dyDescent="0.2">
      <c r="A6375" s="2" t="s">
        <v>3919</v>
      </c>
      <c r="B6375" s="2" t="s">
        <v>1094</v>
      </c>
      <c r="C6375" s="2">
        <v>740.18709999999999</v>
      </c>
      <c r="D6375" s="2">
        <f>HYPERLINK("http://mcb-m6.bioreg.kyushu-u.ac.jp/M3/20110428/F51131/1793/1", 83.86)</f>
        <v>83.86</v>
      </c>
      <c r="E6375" s="2">
        <v>56.63</v>
      </c>
      <c r="F6375" s="2">
        <v>2</v>
      </c>
      <c r="G6375" s="2" t="s">
        <v>13</v>
      </c>
    </row>
    <row r="6376" spans="1:7" x14ac:dyDescent="0.2">
      <c r="A6376" s="2" t="s">
        <v>3919</v>
      </c>
      <c r="B6376" s="2" t="s">
        <v>1094</v>
      </c>
      <c r="C6376" s="2">
        <v>740.39509999999996</v>
      </c>
      <c r="D6376" s="2">
        <f>HYPERLINK("http://mcb-m6.bioreg.kyushu-u.ac.jp/M3/20110428/F51135/1834/1", 38.2)</f>
        <v>38.200000000000003</v>
      </c>
      <c r="E6376" s="2">
        <v>24.32</v>
      </c>
      <c r="F6376" s="2">
        <v>2</v>
      </c>
      <c r="G6376" s="2" t="s">
        <v>14</v>
      </c>
    </row>
    <row r="6377" spans="1:7" x14ac:dyDescent="0.2">
      <c r="A6377" s="2" t="s">
        <v>3919</v>
      </c>
      <c r="B6377" s="2" t="s">
        <v>1094</v>
      </c>
      <c r="C6377" s="2">
        <v>740.47360000000003</v>
      </c>
      <c r="D6377" s="2">
        <f>HYPERLINK("http://mcb-m6.bioreg.kyushu-u.ac.jp/M3/20110428/F51129/2047/1", 47.35)</f>
        <v>47.35</v>
      </c>
      <c r="E6377" s="2">
        <v>27.62</v>
      </c>
      <c r="F6377" s="2">
        <v>2</v>
      </c>
      <c r="G6377" s="2" t="s">
        <v>14</v>
      </c>
    </row>
    <row r="6378" spans="1:7" x14ac:dyDescent="0.2">
      <c r="A6378" s="2" t="s">
        <v>3919</v>
      </c>
      <c r="B6378" s="2" t="s">
        <v>1094</v>
      </c>
      <c r="C6378" s="2">
        <v>740.48569999999995</v>
      </c>
      <c r="D6378" s="2">
        <f>HYPERLINK("http://mcb-m6.bioreg.kyushu-u.ac.jp/M3/20110428/F51129/2048/1", 47.54)</f>
        <v>47.54</v>
      </c>
      <c r="E6378" s="2">
        <v>31.61</v>
      </c>
      <c r="F6378" s="2">
        <v>2</v>
      </c>
      <c r="G6378" s="2" t="s">
        <v>14</v>
      </c>
    </row>
    <row r="6379" spans="1:7" x14ac:dyDescent="0.2">
      <c r="A6379" s="2" t="s">
        <v>3919</v>
      </c>
      <c r="B6379" s="2" t="s">
        <v>1094</v>
      </c>
      <c r="C6379" s="2">
        <v>740.29669999999999</v>
      </c>
      <c r="D6379" s="2">
        <f>HYPERLINK("http://mcb-m6.bioreg.kyushu-u.ac.jp/M3/20110428/F51129/2044/1", 63.22)</f>
        <v>63.22</v>
      </c>
      <c r="E6379" s="2">
        <v>40.46</v>
      </c>
      <c r="F6379" s="2">
        <v>2</v>
      </c>
      <c r="G6379" s="2" t="s">
        <v>14</v>
      </c>
    </row>
    <row r="6380" spans="1:7" x14ac:dyDescent="0.2">
      <c r="A6380" s="2" t="s">
        <v>3919</v>
      </c>
      <c r="B6380" s="2" t="s">
        <v>1094</v>
      </c>
      <c r="C6380" s="2">
        <v>740.22559999999999</v>
      </c>
      <c r="D6380" s="2">
        <f>HYPERLINK("http://mcb-m6.bioreg.kyushu-u.ac.jp/M3/20110428/F51128/1957/1", 71.26)</f>
        <v>71.260000000000005</v>
      </c>
      <c r="E6380" s="2">
        <v>44.82</v>
      </c>
      <c r="F6380" s="2">
        <v>2</v>
      </c>
      <c r="G6380" s="2" t="s">
        <v>14</v>
      </c>
    </row>
    <row r="6381" spans="1:7" x14ac:dyDescent="0.2">
      <c r="A6381" s="2" t="s">
        <v>3919</v>
      </c>
      <c r="B6381" s="2" t="s">
        <v>1094</v>
      </c>
      <c r="C6381" s="2">
        <v>740.63369999999998</v>
      </c>
      <c r="D6381" s="2">
        <f>HYPERLINK("http://mcb-m6.bioreg.kyushu-u.ac.jp/M3/20110427/F51125/2073/1", 75.29)</f>
        <v>75.290000000000006</v>
      </c>
      <c r="E6381" s="2">
        <v>58.5</v>
      </c>
      <c r="F6381" s="2">
        <v>2</v>
      </c>
      <c r="G6381" s="2" t="s">
        <v>14</v>
      </c>
    </row>
    <row r="6382" spans="1:7" x14ac:dyDescent="0.2">
      <c r="A6382" s="2" t="s">
        <v>3919</v>
      </c>
      <c r="B6382" s="2" t="s">
        <v>1094</v>
      </c>
      <c r="C6382" s="2">
        <v>740.77919999999995</v>
      </c>
      <c r="D6382" s="2">
        <f>HYPERLINK("http://mcb-m6.bioreg.kyushu-u.ac.jp/M3/20110428/F51128/1961/1", 77.91)</f>
        <v>77.91</v>
      </c>
      <c r="E6382" s="2">
        <v>52.6</v>
      </c>
      <c r="F6382" s="2">
        <v>2</v>
      </c>
      <c r="G6382" s="2" t="s">
        <v>14</v>
      </c>
    </row>
    <row r="6383" spans="1:7" x14ac:dyDescent="0.2">
      <c r="A6383" s="2" t="s">
        <v>3919</v>
      </c>
      <c r="B6383" s="2" t="s">
        <v>1094</v>
      </c>
      <c r="C6383" s="2">
        <v>740.69370000000004</v>
      </c>
      <c r="D6383" s="2">
        <f>HYPERLINK("http://mcb-m6.bioreg.kyushu-u.ac.jp/M3/20110427/F51122/2154/1", 78.15)</f>
        <v>78.150000000000006</v>
      </c>
      <c r="E6383" s="2">
        <v>45.72</v>
      </c>
      <c r="F6383" s="2">
        <v>2</v>
      </c>
      <c r="G6383" s="2" t="s">
        <v>14</v>
      </c>
    </row>
    <row r="6384" spans="1:7" x14ac:dyDescent="0.2">
      <c r="A6384" s="2" t="s">
        <v>3919</v>
      </c>
      <c r="B6384" s="2" t="s">
        <v>1094</v>
      </c>
      <c r="C6384" s="2">
        <v>740.21370000000002</v>
      </c>
      <c r="D6384" s="2">
        <f>HYPERLINK("http://mcb-m6.bioreg.kyushu-u.ac.jp/M3/20110428/F51129/2043/1", 97.23)</f>
        <v>97.23</v>
      </c>
      <c r="E6384" s="2">
        <v>73.92</v>
      </c>
      <c r="F6384" s="2">
        <v>2</v>
      </c>
      <c r="G6384" s="2" t="s">
        <v>14</v>
      </c>
    </row>
    <row r="6385" spans="1:9" x14ac:dyDescent="0.2">
      <c r="A6385" s="2" t="s">
        <v>3356</v>
      </c>
      <c r="B6385" s="2" t="s">
        <v>5160</v>
      </c>
      <c r="C6385" s="2">
        <v>665.73170000000005</v>
      </c>
      <c r="D6385" s="2">
        <f>HYPERLINK("http://mcb-m6.bioreg.kyushu-u.ac.jp/M3/20110421/F51018/1702/1", 69.07)</f>
        <v>69.069999999999993</v>
      </c>
      <c r="E6385" s="2">
        <v>46.04</v>
      </c>
      <c r="F6385" s="2">
        <v>2</v>
      </c>
      <c r="G6385" s="2" t="s">
        <v>11</v>
      </c>
    </row>
    <row r="6386" spans="1:9" x14ac:dyDescent="0.2">
      <c r="A6386" s="2" t="s">
        <v>3356</v>
      </c>
      <c r="B6386" s="2" t="s">
        <v>5160</v>
      </c>
      <c r="C6386" s="2">
        <v>665.73069999999996</v>
      </c>
      <c r="D6386" s="2">
        <f>HYPERLINK("http://mcb-m6.bioreg.kyushu-u.ac.jp/M3/20110427/F51111/1757/1", 58.39)</f>
        <v>58.39</v>
      </c>
      <c r="E6386" s="2">
        <v>32.659999999999997</v>
      </c>
      <c r="F6386" s="2">
        <v>2</v>
      </c>
      <c r="G6386" s="2" t="s">
        <v>13</v>
      </c>
    </row>
    <row r="6387" spans="1:9" x14ac:dyDescent="0.2">
      <c r="A6387" s="2" t="s">
        <v>3356</v>
      </c>
      <c r="B6387" s="2" t="s">
        <v>5445</v>
      </c>
      <c r="C6387" s="2">
        <v>729.28</v>
      </c>
      <c r="D6387" s="2">
        <f>HYPERLINK("http://mcb-m6.bioreg.kyushu-u.ac.jp/M3/20110427/F51123/720/1", 46.72)</f>
        <v>46.72</v>
      </c>
      <c r="E6387" s="2">
        <v>7.23</v>
      </c>
      <c r="F6387" s="2">
        <v>1</v>
      </c>
      <c r="G6387" s="2" t="s">
        <v>14</v>
      </c>
    </row>
    <row r="6388" spans="1:9" x14ac:dyDescent="0.2">
      <c r="A6388" s="2" t="s">
        <v>4291</v>
      </c>
      <c r="B6388" s="2" t="s">
        <v>1987</v>
      </c>
      <c r="C6388" s="2">
        <v>911.01120000000003</v>
      </c>
      <c r="D6388" s="2">
        <f>HYPERLINK("http://mcb-m6.bioreg.kyushu-u.ac.jp/M3/20110428/F51127/2841/1", 38.76)</f>
        <v>38.76</v>
      </c>
      <c r="E6388" s="2">
        <v>15.97</v>
      </c>
      <c r="F6388" s="2">
        <v>2</v>
      </c>
      <c r="G6388" s="2" t="s">
        <v>13</v>
      </c>
    </row>
    <row r="6389" spans="1:9" x14ac:dyDescent="0.2">
      <c r="A6389" s="2" t="s">
        <v>4291</v>
      </c>
      <c r="B6389" s="2" t="s">
        <v>2099</v>
      </c>
      <c r="C6389" s="2">
        <v>735.26260000000002</v>
      </c>
      <c r="D6389" s="2">
        <f>HYPERLINK("http://mcb-m6.bioreg.kyushu-u.ac.jp/M3/20110428/F51127/1847/1", 78.2)</f>
        <v>78.2</v>
      </c>
      <c r="E6389" s="2">
        <v>61.17</v>
      </c>
      <c r="F6389" s="2">
        <v>2</v>
      </c>
      <c r="G6389" s="2" t="s">
        <v>13</v>
      </c>
    </row>
    <row r="6390" spans="1:9" x14ac:dyDescent="0.2">
      <c r="A6390" s="2" t="s">
        <v>4291</v>
      </c>
      <c r="B6390" s="2" t="s">
        <v>2099</v>
      </c>
      <c r="C6390" s="2">
        <v>734.79060000000004</v>
      </c>
      <c r="D6390" s="2">
        <f>HYPERLINK("http://mcb-m6.bioreg.kyushu-u.ac.jp/M3/20110428/F51128/1929/1", 59.66)</f>
        <v>59.66</v>
      </c>
      <c r="E6390" s="2">
        <v>42.51</v>
      </c>
      <c r="F6390" s="2">
        <v>2</v>
      </c>
      <c r="G6390" s="2" t="s">
        <v>14</v>
      </c>
    </row>
    <row r="6391" spans="1:9" x14ac:dyDescent="0.2">
      <c r="A6391" s="2" t="s">
        <v>7894</v>
      </c>
      <c r="B6391" s="2" t="s">
        <v>6972</v>
      </c>
      <c r="C6391" s="2">
        <v>704.80219999999997</v>
      </c>
      <c r="D6391" s="2">
        <f>HYPERLINK("http://mcb-m6.bioreg.kyushu-u.ac.jp/M3/20110404/F50757/1991/1", 69.24)</f>
        <v>69.239999999999995</v>
      </c>
      <c r="E6391" s="2">
        <v>49.35</v>
      </c>
      <c r="F6391" s="2">
        <v>2</v>
      </c>
      <c r="G6391" s="2" t="s">
        <v>10</v>
      </c>
      <c r="I6391" s="2" t="s">
        <v>4899</v>
      </c>
    </row>
    <row r="6392" spans="1:9" x14ac:dyDescent="0.2">
      <c r="A6392" s="2" t="s">
        <v>3843</v>
      </c>
      <c r="B6392" s="2" t="s">
        <v>934</v>
      </c>
      <c r="C6392" s="2">
        <v>580.59619999999995</v>
      </c>
      <c r="D6392" s="2">
        <f>HYPERLINK("http://mcb-m6.bioreg.kyushu-u.ac.jp/M3/20110404/F50753/1437/1", 49.32)</f>
        <v>49.32</v>
      </c>
      <c r="E6392" s="2">
        <v>15.39</v>
      </c>
      <c r="F6392" s="2">
        <v>2</v>
      </c>
      <c r="G6392" s="2" t="s">
        <v>9</v>
      </c>
    </row>
    <row r="6393" spans="1:9" x14ac:dyDescent="0.2">
      <c r="A6393" s="2" t="s">
        <v>3843</v>
      </c>
      <c r="B6393" s="2" t="s">
        <v>2807</v>
      </c>
      <c r="C6393" s="2">
        <v>585.16920000000005</v>
      </c>
      <c r="D6393" s="2">
        <f>HYPERLINK("http://mcb-m6.bioreg.kyushu-u.ac.jp/M3/20110404/F50753/1451/1", 49.34)</f>
        <v>49.34</v>
      </c>
      <c r="E6393" s="2">
        <v>29.54</v>
      </c>
      <c r="F6393" s="2">
        <v>2</v>
      </c>
      <c r="G6393" s="2" t="s">
        <v>9</v>
      </c>
    </row>
    <row r="6394" spans="1:9" x14ac:dyDescent="0.2">
      <c r="A6394" s="2" t="s">
        <v>3843</v>
      </c>
      <c r="B6394" s="2" t="s">
        <v>1145</v>
      </c>
      <c r="C6394" s="2">
        <v>680.7432</v>
      </c>
      <c r="D6394" s="2">
        <f>HYPERLINK("http://mcb-m6.bioreg.kyushu-u.ac.jp/M3/20110404/F50753/1762/1", 81.57)</f>
        <v>81.569999999999993</v>
      </c>
      <c r="E6394" s="2">
        <v>58.22</v>
      </c>
      <c r="F6394" s="2">
        <v>2</v>
      </c>
      <c r="G6394" s="2" t="s">
        <v>9</v>
      </c>
    </row>
    <row r="6395" spans="1:9" x14ac:dyDescent="0.2">
      <c r="A6395" s="2" t="s">
        <v>3843</v>
      </c>
      <c r="B6395" s="2" t="s">
        <v>1441</v>
      </c>
      <c r="C6395" s="2">
        <v>643.40260000000001</v>
      </c>
      <c r="D6395" s="2">
        <f>HYPERLINK("http://mcb-m6.bioreg.kyushu-u.ac.jp/M3/20110404/F50753/1638/1", 95.49)</f>
        <v>95.49</v>
      </c>
      <c r="E6395" s="2">
        <v>72.11</v>
      </c>
      <c r="F6395" s="2">
        <v>2</v>
      </c>
      <c r="G6395" s="2" t="s">
        <v>9</v>
      </c>
    </row>
    <row r="6396" spans="1:9" x14ac:dyDescent="0.2">
      <c r="A6396" s="2" t="s">
        <v>3843</v>
      </c>
      <c r="B6396" s="2" t="s">
        <v>6661</v>
      </c>
      <c r="C6396" s="2">
        <v>990.28369999999995</v>
      </c>
      <c r="D6396" s="2">
        <f>HYPERLINK("http://mcb-m6.bioreg.kyushu-u.ac.jp/M3/20110404/F50753/2881/1", 113.81)</f>
        <v>113.81</v>
      </c>
      <c r="E6396" s="2">
        <v>99.77</v>
      </c>
      <c r="F6396" s="2">
        <v>2</v>
      </c>
      <c r="G6396" s="2" t="s">
        <v>9</v>
      </c>
    </row>
    <row r="6397" spans="1:9" x14ac:dyDescent="0.2">
      <c r="A6397" s="2" t="s">
        <v>3843</v>
      </c>
      <c r="B6397" s="2" t="s">
        <v>934</v>
      </c>
      <c r="C6397" s="2">
        <v>580.58119999999997</v>
      </c>
      <c r="D6397" s="2">
        <f>HYPERLINK("http://mcb-m6.bioreg.kyushu-u.ac.jp/M3/20110404/F50758/1403/1", 53.83)</f>
        <v>53.83</v>
      </c>
      <c r="E6397" s="2">
        <v>29.87</v>
      </c>
      <c r="F6397" s="2">
        <v>2</v>
      </c>
      <c r="G6397" s="2" t="s">
        <v>10</v>
      </c>
    </row>
    <row r="6398" spans="1:9" x14ac:dyDescent="0.2">
      <c r="A6398" s="2" t="s">
        <v>3843</v>
      </c>
      <c r="B6398" s="2" t="s">
        <v>1145</v>
      </c>
      <c r="C6398" s="2">
        <v>681.11410000000001</v>
      </c>
      <c r="D6398" s="2">
        <f>HYPERLINK("http://mcb-m6.bioreg.kyushu-u.ac.jp/M3/20110404/F50758/1668/1", 59.33)</f>
        <v>59.33</v>
      </c>
      <c r="E6398" s="2">
        <v>41.32</v>
      </c>
      <c r="F6398" s="2">
        <v>2</v>
      </c>
      <c r="G6398" s="2" t="s">
        <v>10</v>
      </c>
    </row>
    <row r="6399" spans="1:9" x14ac:dyDescent="0.2">
      <c r="A6399" s="2" t="s">
        <v>3843</v>
      </c>
      <c r="B6399" s="2" t="s">
        <v>1441</v>
      </c>
      <c r="C6399" s="2">
        <v>643.25459999999998</v>
      </c>
      <c r="D6399" s="2">
        <f>HYPERLINK("http://mcb-m6.bioreg.kyushu-u.ac.jp/M3/20110404/F50758/1567/1", 94.72)</f>
        <v>94.72</v>
      </c>
      <c r="E6399" s="2">
        <v>73.45</v>
      </c>
      <c r="F6399" s="2">
        <v>2</v>
      </c>
      <c r="G6399" s="2" t="s">
        <v>10</v>
      </c>
    </row>
    <row r="6400" spans="1:9" x14ac:dyDescent="0.2">
      <c r="A6400" s="2" t="s">
        <v>3843</v>
      </c>
      <c r="B6400" s="2" t="s">
        <v>6661</v>
      </c>
      <c r="C6400" s="2">
        <v>990.4357</v>
      </c>
      <c r="D6400" s="2">
        <f>HYPERLINK("http://mcb-m6.bioreg.kyushu-u.ac.jp/M3/20110404/F50758/2667/1", 105.77)</f>
        <v>105.77</v>
      </c>
      <c r="E6400" s="2">
        <v>98.63</v>
      </c>
      <c r="F6400" s="2">
        <v>2</v>
      </c>
      <c r="G6400" s="2" t="s">
        <v>10</v>
      </c>
    </row>
    <row r="6401" spans="1:9" x14ac:dyDescent="0.2">
      <c r="A6401" s="2" t="s">
        <v>3843</v>
      </c>
      <c r="B6401" s="2" t="s">
        <v>6661</v>
      </c>
      <c r="C6401" s="2">
        <v>989.78970000000004</v>
      </c>
      <c r="D6401" s="2">
        <f>HYPERLINK("http://mcb-m6.bioreg.kyushu-u.ac.jp/M3/20110404/F50758/2666/1", 114.37)</f>
        <v>114.37</v>
      </c>
      <c r="E6401" s="2">
        <v>102.19</v>
      </c>
      <c r="F6401" s="2">
        <v>2</v>
      </c>
      <c r="G6401" s="2" t="s">
        <v>10</v>
      </c>
    </row>
    <row r="6402" spans="1:9" x14ac:dyDescent="0.2">
      <c r="A6402" s="2" t="s">
        <v>3843</v>
      </c>
      <c r="B6402" s="2" t="s">
        <v>934</v>
      </c>
      <c r="C6402" s="2">
        <v>580.67020000000002</v>
      </c>
      <c r="D6402" s="2">
        <f>HYPERLINK("http://mcb-m6.bioreg.kyushu-u.ac.jp/M3/20110421/F51017/1262/1", 41.26)</f>
        <v>41.26</v>
      </c>
      <c r="E6402" s="2">
        <v>24.69</v>
      </c>
      <c r="F6402" s="2">
        <v>2</v>
      </c>
      <c r="G6402" s="2" t="s">
        <v>11</v>
      </c>
    </row>
    <row r="6403" spans="1:9" x14ac:dyDescent="0.2">
      <c r="A6403" s="2" t="s">
        <v>3843</v>
      </c>
      <c r="B6403" s="2" t="s">
        <v>2807</v>
      </c>
      <c r="C6403" s="2">
        <v>585.87369999999999</v>
      </c>
      <c r="D6403" s="2">
        <f>HYPERLINK("http://mcb-m6.bioreg.kyushu-u.ac.jp/M3/20110421/F51023/1562/1", 37.92)</f>
        <v>37.92</v>
      </c>
      <c r="E6403" s="2">
        <v>20.83</v>
      </c>
      <c r="F6403" s="2">
        <v>2</v>
      </c>
      <c r="G6403" s="2" t="s">
        <v>12</v>
      </c>
    </row>
    <row r="6404" spans="1:9" x14ac:dyDescent="0.2">
      <c r="A6404" s="2" t="s">
        <v>3843</v>
      </c>
      <c r="B6404" s="2" t="s">
        <v>1441</v>
      </c>
      <c r="C6404" s="2">
        <v>643.20259999999996</v>
      </c>
      <c r="D6404" s="2">
        <f>HYPERLINK("http://mcb-m6.bioreg.kyushu-u.ac.jp/M3/20110427/F51111/1688/1", 89.38)</f>
        <v>89.38</v>
      </c>
      <c r="E6404" s="2">
        <v>69.569999999999993</v>
      </c>
      <c r="F6404" s="2">
        <v>2</v>
      </c>
      <c r="G6404" s="2" t="s">
        <v>13</v>
      </c>
    </row>
    <row r="6405" spans="1:9" x14ac:dyDescent="0.2">
      <c r="A6405" s="2" t="s">
        <v>4101</v>
      </c>
      <c r="B6405" s="2" t="s">
        <v>1566</v>
      </c>
      <c r="C6405" s="2">
        <v>764.80219999999997</v>
      </c>
      <c r="D6405" s="2">
        <f>HYPERLINK("http://mcb-m6.bioreg.kyushu-u.ac.jp/M3/20110427/F51108/2139/1", 106.42)</f>
        <v>106.42</v>
      </c>
      <c r="E6405" s="2">
        <v>82.56</v>
      </c>
      <c r="F6405" s="2">
        <v>2</v>
      </c>
      <c r="G6405" s="2" t="s">
        <v>13</v>
      </c>
    </row>
    <row r="6406" spans="1:9" x14ac:dyDescent="0.2">
      <c r="A6406" s="2" t="s">
        <v>3570</v>
      </c>
      <c r="B6406" s="2" t="s">
        <v>476</v>
      </c>
      <c r="C6406" s="2">
        <v>664.69960000000003</v>
      </c>
      <c r="D6406" s="2">
        <f>HYPERLINK("http://mcb-m6.bioreg.kyushu-u.ac.jp/M3/20110404/F50777/1563/1", 50.78)</f>
        <v>50.78</v>
      </c>
      <c r="E6406" s="2">
        <v>18.21</v>
      </c>
      <c r="F6406" s="2">
        <v>2</v>
      </c>
      <c r="G6406" s="2" t="s">
        <v>9</v>
      </c>
    </row>
    <row r="6407" spans="1:9" x14ac:dyDescent="0.2">
      <c r="A6407" s="2" t="s">
        <v>3570</v>
      </c>
      <c r="B6407" s="2" t="s">
        <v>476</v>
      </c>
      <c r="C6407" s="2">
        <v>664.75070000000005</v>
      </c>
      <c r="D6407" s="2">
        <f>HYPERLINK("http://mcb-m6.bioreg.kyushu-u.ac.jp/M3/20110404/F50763/1605/1", 51.63)</f>
        <v>51.63</v>
      </c>
      <c r="E6407" s="2">
        <v>13.69</v>
      </c>
      <c r="F6407" s="2">
        <v>2</v>
      </c>
      <c r="G6407" s="2" t="s">
        <v>9</v>
      </c>
    </row>
    <row r="6408" spans="1:9" x14ac:dyDescent="0.2">
      <c r="A6408" s="2" t="s">
        <v>3570</v>
      </c>
      <c r="B6408" s="2" t="s">
        <v>1081</v>
      </c>
      <c r="C6408" s="2">
        <v>943.32119999999998</v>
      </c>
      <c r="D6408" s="2">
        <f>HYPERLINK("http://mcb-m6.bioreg.kyushu-u.ac.jp/M3/20110404/F50763/2616/1", 86.53)</f>
        <v>86.53</v>
      </c>
      <c r="E6408" s="2">
        <v>76.760000000000005</v>
      </c>
      <c r="F6408" s="2">
        <v>2</v>
      </c>
      <c r="G6408" s="2" t="s">
        <v>9</v>
      </c>
      <c r="I6408" s="2" t="s">
        <v>4898</v>
      </c>
    </row>
    <row r="6409" spans="1:9" x14ac:dyDescent="0.2">
      <c r="A6409" s="2" t="s">
        <v>3570</v>
      </c>
      <c r="B6409" s="2" t="s">
        <v>476</v>
      </c>
      <c r="C6409" s="2">
        <v>664.73969999999997</v>
      </c>
      <c r="D6409" s="2">
        <f>HYPERLINK("http://mcb-m6.bioreg.kyushu-u.ac.jp/M3/20110421/F51035/1504/1", 41.94)</f>
        <v>41.94</v>
      </c>
      <c r="E6409" s="2">
        <v>15.14</v>
      </c>
      <c r="F6409" s="2">
        <v>2</v>
      </c>
      <c r="G6409" s="2" t="s">
        <v>11</v>
      </c>
    </row>
    <row r="6410" spans="1:9" x14ac:dyDescent="0.2">
      <c r="A6410" s="2" t="s">
        <v>3570</v>
      </c>
      <c r="B6410" s="2" t="s">
        <v>438</v>
      </c>
      <c r="C6410" s="2">
        <v>537.76760000000002</v>
      </c>
      <c r="D6410" s="2">
        <f>HYPERLINK("http://mcb-m6.bioreg.kyushu-u.ac.jp/M3/20110421/F51037/910/1", 45.45)</f>
        <v>45.45</v>
      </c>
      <c r="E6410" s="2">
        <v>21.15</v>
      </c>
      <c r="F6410" s="2">
        <v>2</v>
      </c>
      <c r="G6410" s="2" t="s">
        <v>11</v>
      </c>
    </row>
    <row r="6411" spans="1:9" x14ac:dyDescent="0.2">
      <c r="A6411" s="2" t="s">
        <v>3570</v>
      </c>
      <c r="B6411" s="2" t="s">
        <v>438</v>
      </c>
      <c r="C6411" s="2">
        <v>538.39670000000001</v>
      </c>
      <c r="D6411" s="2">
        <f>HYPERLINK("http://mcb-m6.bioreg.kyushu-u.ac.jp/M3/20110421/F51035/950/1", 48.09)</f>
        <v>48.09</v>
      </c>
      <c r="E6411" s="2">
        <v>23.7</v>
      </c>
      <c r="F6411" s="2">
        <v>2</v>
      </c>
      <c r="G6411" s="2" t="s">
        <v>11</v>
      </c>
    </row>
    <row r="6412" spans="1:9" x14ac:dyDescent="0.2">
      <c r="A6412" s="2" t="s">
        <v>3570</v>
      </c>
      <c r="B6412" s="2" t="s">
        <v>1292</v>
      </c>
      <c r="C6412" s="2">
        <v>812.86609999999996</v>
      </c>
      <c r="D6412" s="2">
        <f>HYPERLINK("http://mcb-m6.bioreg.kyushu-u.ac.jp/M3/20110421/F51035/2351/1", 59.94)</f>
        <v>59.94</v>
      </c>
      <c r="E6412" s="2">
        <v>36.450000000000003</v>
      </c>
      <c r="F6412" s="2">
        <v>2</v>
      </c>
      <c r="G6412" s="2" t="s">
        <v>11</v>
      </c>
    </row>
    <row r="6413" spans="1:9" x14ac:dyDescent="0.2">
      <c r="A6413" s="2" t="s">
        <v>3570</v>
      </c>
      <c r="B6413" s="2" t="s">
        <v>1292</v>
      </c>
      <c r="C6413" s="2">
        <v>812.85969999999998</v>
      </c>
      <c r="D6413" s="2">
        <f>HYPERLINK("http://mcb-m6.bioreg.kyushu-u.ac.jp/M3/20110421/F51037/2467/1", 63.15)</f>
        <v>63.15</v>
      </c>
      <c r="E6413" s="2">
        <v>39.909999999999997</v>
      </c>
      <c r="F6413" s="2">
        <v>2</v>
      </c>
      <c r="G6413" s="2" t="s">
        <v>11</v>
      </c>
    </row>
    <row r="6414" spans="1:9" x14ac:dyDescent="0.2">
      <c r="A6414" s="2" t="s">
        <v>3570</v>
      </c>
      <c r="B6414" s="2" t="s">
        <v>1263</v>
      </c>
      <c r="C6414" s="2">
        <v>531.72770000000003</v>
      </c>
      <c r="D6414" s="2">
        <f>HYPERLINK("http://mcb-m6.bioreg.kyushu-u.ac.jp/M3/20110428/F51127/901/1", 41.9)</f>
        <v>41.9</v>
      </c>
      <c r="E6414" s="2">
        <v>19.3</v>
      </c>
      <c r="F6414" s="2">
        <v>2</v>
      </c>
      <c r="G6414" s="2" t="s">
        <v>13</v>
      </c>
    </row>
    <row r="6415" spans="1:9" x14ac:dyDescent="0.2">
      <c r="A6415" s="2" t="s">
        <v>3570</v>
      </c>
      <c r="B6415" s="2" t="s">
        <v>663</v>
      </c>
      <c r="C6415" s="2">
        <v>780.32320000000004</v>
      </c>
      <c r="D6415" s="2">
        <f>HYPERLINK("http://mcb-m6.bioreg.kyushu-u.ac.jp/M3/20110428/F51127/2104/1", 48.27)</f>
        <v>48.27</v>
      </c>
      <c r="E6415" s="2">
        <v>28.42</v>
      </c>
      <c r="F6415" s="2">
        <v>2</v>
      </c>
      <c r="G6415" s="2" t="s">
        <v>13</v>
      </c>
    </row>
    <row r="6416" spans="1:9" x14ac:dyDescent="0.2">
      <c r="A6416" s="2" t="s">
        <v>3570</v>
      </c>
      <c r="B6416" s="2" t="s">
        <v>438</v>
      </c>
      <c r="C6416" s="2">
        <v>537.73569999999995</v>
      </c>
      <c r="D6416" s="2">
        <f>HYPERLINK("http://mcb-m6.bioreg.kyushu-u.ac.jp/M3/20110428/F51127/919/1", 58.97)</f>
        <v>58.97</v>
      </c>
      <c r="E6416" s="2">
        <v>29.09</v>
      </c>
      <c r="F6416" s="2">
        <v>2</v>
      </c>
      <c r="G6416" s="2" t="s">
        <v>13</v>
      </c>
    </row>
    <row r="6417" spans="1:9" x14ac:dyDescent="0.2">
      <c r="A6417" s="2" t="s">
        <v>3570</v>
      </c>
      <c r="B6417" s="2" t="s">
        <v>1292</v>
      </c>
      <c r="C6417" s="2">
        <v>812.95820000000003</v>
      </c>
      <c r="D6417" s="2">
        <f>HYPERLINK("http://mcb-m6.bioreg.kyushu-u.ac.jp/M3/20110428/F51127/2315/1", 61.62)</f>
        <v>61.62</v>
      </c>
      <c r="E6417" s="2">
        <v>35.44</v>
      </c>
      <c r="F6417" s="2">
        <v>2</v>
      </c>
      <c r="G6417" s="2" t="s">
        <v>13</v>
      </c>
    </row>
    <row r="6418" spans="1:9" x14ac:dyDescent="0.2">
      <c r="A6418" s="2" t="s">
        <v>3570</v>
      </c>
      <c r="B6418" s="2" t="s">
        <v>1292</v>
      </c>
      <c r="C6418" s="2">
        <v>812.67110000000002</v>
      </c>
      <c r="D6418" s="2">
        <f>HYPERLINK("http://mcb-m6.bioreg.kyushu-u.ac.jp/M3/20110428/F51132/2416/1", 64.31)</f>
        <v>64.31</v>
      </c>
      <c r="E6418" s="2">
        <v>43.06</v>
      </c>
      <c r="F6418" s="2">
        <v>2</v>
      </c>
      <c r="G6418" s="2" t="s">
        <v>13</v>
      </c>
    </row>
    <row r="6419" spans="1:9" x14ac:dyDescent="0.2">
      <c r="A6419" s="2" t="s">
        <v>3570</v>
      </c>
      <c r="B6419" s="2" t="s">
        <v>1081</v>
      </c>
      <c r="C6419" s="2">
        <v>943.74720000000002</v>
      </c>
      <c r="D6419" s="2">
        <f>HYPERLINK("http://mcb-m6.bioreg.kyushu-u.ac.jp/M3/20110428/F51127/2973/1", 80.27)</f>
        <v>80.27</v>
      </c>
      <c r="E6419" s="2">
        <v>66.25</v>
      </c>
      <c r="F6419" s="2">
        <v>2</v>
      </c>
      <c r="G6419" s="2" t="s">
        <v>13</v>
      </c>
      <c r="I6419" s="2" t="s">
        <v>4898</v>
      </c>
    </row>
    <row r="6420" spans="1:9" x14ac:dyDescent="0.2">
      <c r="A6420" s="2" t="s">
        <v>8014</v>
      </c>
      <c r="B6420" s="2" t="s">
        <v>7261</v>
      </c>
      <c r="C6420" s="2">
        <v>721.40869999999995</v>
      </c>
      <c r="D6420" s="2">
        <f>HYPERLINK("http://mcb-m6.bioreg.kyushu-u.ac.jp/M3/20110421/F51048/2096/1", 75.43)</f>
        <v>75.430000000000007</v>
      </c>
      <c r="E6420" s="2">
        <v>59.26</v>
      </c>
      <c r="F6420" s="2">
        <v>2</v>
      </c>
      <c r="G6420" s="2" t="s">
        <v>12</v>
      </c>
      <c r="I6420" s="2" t="s">
        <v>5890</v>
      </c>
    </row>
    <row r="6421" spans="1:9" x14ac:dyDescent="0.2">
      <c r="A6421" s="2" t="s">
        <v>8014</v>
      </c>
      <c r="B6421" s="2" t="s">
        <v>7495</v>
      </c>
      <c r="C6421" s="2">
        <v>847.03970000000004</v>
      </c>
      <c r="D6421" s="2">
        <f>HYPERLINK("http://mcb-m6.bioreg.kyushu-u.ac.jp/M3/20110428/F51129/2551/1", 51.2)</f>
        <v>51.2</v>
      </c>
      <c r="E6421" s="2">
        <v>30.91</v>
      </c>
      <c r="F6421" s="2">
        <v>2</v>
      </c>
      <c r="G6421" s="2" t="s">
        <v>14</v>
      </c>
      <c r="I6421" s="2" t="s">
        <v>4897</v>
      </c>
    </row>
    <row r="6422" spans="1:9" x14ac:dyDescent="0.2">
      <c r="A6422" s="2" t="s">
        <v>8014</v>
      </c>
      <c r="B6422" s="2" t="s">
        <v>7511</v>
      </c>
      <c r="C6422" s="2">
        <v>886.8116</v>
      </c>
      <c r="D6422" s="2">
        <f>HYPERLINK("http://mcb-m6.bioreg.kyushu-u.ac.jp/M3/20110428/F51129/2702/1", 82.9)</f>
        <v>82.9</v>
      </c>
      <c r="E6422" s="2">
        <v>74.09</v>
      </c>
      <c r="F6422" s="2">
        <v>2</v>
      </c>
      <c r="G6422" s="2" t="s">
        <v>14</v>
      </c>
    </row>
    <row r="6423" spans="1:9" x14ac:dyDescent="0.2">
      <c r="A6423" s="2" t="s">
        <v>8014</v>
      </c>
      <c r="B6423" s="2" t="s">
        <v>7513</v>
      </c>
      <c r="C6423" s="2">
        <v>884.16819999999996</v>
      </c>
      <c r="D6423" s="2">
        <f>HYPERLINK("http://mcb-m6.bioreg.kyushu-u.ac.jp/M3/20110428/F51129/2695/1", 86.4)</f>
        <v>86.4</v>
      </c>
      <c r="E6423" s="2">
        <v>70.03</v>
      </c>
      <c r="F6423" s="2">
        <v>2</v>
      </c>
      <c r="G6423" s="2" t="s">
        <v>14</v>
      </c>
      <c r="I6423" s="2" t="s">
        <v>5899</v>
      </c>
    </row>
    <row r="6424" spans="1:9" x14ac:dyDescent="0.2">
      <c r="A6424" s="2" t="s">
        <v>4048</v>
      </c>
      <c r="B6424" s="2" t="s">
        <v>1395</v>
      </c>
      <c r="C6424" s="2">
        <v>912.72220000000004</v>
      </c>
      <c r="D6424" s="2">
        <f>HYPERLINK("http://mcb-m6.bioreg.kyushu-u.ac.jp/M3/20110404/F50753/2656/1", 87.17)</f>
        <v>87.17</v>
      </c>
      <c r="E6424" s="2">
        <v>75.2</v>
      </c>
      <c r="F6424" s="2">
        <v>2</v>
      </c>
      <c r="G6424" s="2" t="s">
        <v>9</v>
      </c>
    </row>
    <row r="6425" spans="1:9" x14ac:dyDescent="0.2">
      <c r="A6425" s="2" t="s">
        <v>7606</v>
      </c>
      <c r="B6425" s="2" t="s">
        <v>6100</v>
      </c>
      <c r="C6425" s="2">
        <v>758.23609999999996</v>
      </c>
      <c r="D6425" s="2">
        <f>HYPERLINK("http://mcb-m6.bioreg.kyushu-u.ac.jp/M3/20110404/F50753/2079/1", 42.47)</f>
        <v>42.47</v>
      </c>
      <c r="E6425" s="2">
        <v>17.88</v>
      </c>
      <c r="F6425" s="2">
        <v>2</v>
      </c>
      <c r="G6425" s="2" t="s">
        <v>9</v>
      </c>
    </row>
    <row r="6426" spans="1:9" x14ac:dyDescent="0.2">
      <c r="A6426" s="2" t="s">
        <v>3862</v>
      </c>
      <c r="B6426" s="2" t="s">
        <v>1373</v>
      </c>
      <c r="C6426" s="2">
        <v>675.65920000000006</v>
      </c>
      <c r="D6426" s="2">
        <f>HYPERLINK("http://mcb-m6.bioreg.kyushu-u.ac.jp/M3/20110427/F51113/1663/1", 72.54)</f>
        <v>72.540000000000006</v>
      </c>
      <c r="E6426" s="2">
        <v>49.38</v>
      </c>
      <c r="F6426" s="2">
        <v>2</v>
      </c>
      <c r="G6426" s="2" t="s">
        <v>13</v>
      </c>
    </row>
    <row r="6427" spans="1:9" x14ac:dyDescent="0.2">
      <c r="A6427" s="2" t="s">
        <v>3958</v>
      </c>
      <c r="B6427" s="2" t="s">
        <v>2010</v>
      </c>
      <c r="C6427" s="2">
        <v>675.63120000000004</v>
      </c>
      <c r="D6427" s="2">
        <f>HYPERLINK("http://mcb-m6.bioreg.kyushu-u.ac.jp/M3/20110404/F50756/1620/1", 67.22)</f>
        <v>67.22</v>
      </c>
      <c r="E6427" s="2">
        <v>30.01</v>
      </c>
      <c r="F6427" s="2">
        <v>2</v>
      </c>
      <c r="G6427" s="2" t="s">
        <v>9</v>
      </c>
    </row>
    <row r="6428" spans="1:9" x14ac:dyDescent="0.2">
      <c r="A6428" s="2" t="s">
        <v>3958</v>
      </c>
      <c r="B6428" s="2" t="s">
        <v>1169</v>
      </c>
      <c r="C6428" s="2">
        <v>726.34969999999998</v>
      </c>
      <c r="D6428" s="2">
        <f>HYPERLINK("http://mcb-m6.bioreg.kyushu-u.ac.jp/M3/20110404/F50756/1904/1", 95.62)</f>
        <v>95.62</v>
      </c>
      <c r="E6428" s="2">
        <v>72.39</v>
      </c>
      <c r="F6428" s="2">
        <v>2</v>
      </c>
      <c r="G6428" s="2" t="s">
        <v>9</v>
      </c>
    </row>
    <row r="6429" spans="1:9" x14ac:dyDescent="0.2">
      <c r="A6429" s="2" t="s">
        <v>3958</v>
      </c>
      <c r="B6429" s="2" t="s">
        <v>1169</v>
      </c>
      <c r="C6429" s="2">
        <v>726.73069999999996</v>
      </c>
      <c r="D6429" s="2">
        <f>HYPERLINK("http://mcb-m6.bioreg.kyushu-u.ac.jp/M3/20110404/F50761/1792/1", 60.91)</f>
        <v>60.91</v>
      </c>
      <c r="E6429" s="2">
        <v>46.34</v>
      </c>
      <c r="F6429" s="2">
        <v>2</v>
      </c>
      <c r="G6429" s="2" t="s">
        <v>10</v>
      </c>
    </row>
    <row r="6430" spans="1:9" x14ac:dyDescent="0.2">
      <c r="A6430" s="2" t="s">
        <v>3958</v>
      </c>
      <c r="B6430" s="2" t="s">
        <v>1169</v>
      </c>
      <c r="C6430" s="2">
        <v>726.44669999999996</v>
      </c>
      <c r="D6430" s="2">
        <f>HYPERLINK("http://mcb-m6.bioreg.kyushu-u.ac.jp/M3/20110421/F51044/1963/1", 92.43)</f>
        <v>92.43</v>
      </c>
      <c r="E6430" s="2">
        <v>77.48</v>
      </c>
      <c r="F6430" s="2">
        <v>2</v>
      </c>
      <c r="G6430" s="2" t="s">
        <v>12</v>
      </c>
    </row>
    <row r="6431" spans="1:9" x14ac:dyDescent="0.2">
      <c r="A6431" s="2" t="s">
        <v>3958</v>
      </c>
      <c r="B6431" s="2" t="s">
        <v>2010</v>
      </c>
      <c r="C6431" s="2">
        <v>675.69709999999998</v>
      </c>
      <c r="D6431" s="2">
        <f>HYPERLINK("http://mcb-m6.bioreg.kyushu-u.ac.jp/M3/20110427/F51114/1689/1", 45.06)</f>
        <v>45.06</v>
      </c>
      <c r="E6431" s="2">
        <v>20.64</v>
      </c>
      <c r="F6431" s="2">
        <v>2</v>
      </c>
      <c r="G6431" s="2" t="s">
        <v>13</v>
      </c>
    </row>
    <row r="6432" spans="1:9" x14ac:dyDescent="0.2">
      <c r="A6432" s="2" t="s">
        <v>3958</v>
      </c>
      <c r="B6432" s="2" t="s">
        <v>1169</v>
      </c>
      <c r="C6432" s="2">
        <v>726.77120000000002</v>
      </c>
      <c r="D6432" s="2">
        <f>HYPERLINK("http://mcb-m6.bioreg.kyushu-u.ac.jp/M3/20110428/F51131/1730/1", 46.64)</f>
        <v>46.64</v>
      </c>
      <c r="E6432" s="2">
        <v>29.56</v>
      </c>
      <c r="F6432" s="2">
        <v>2</v>
      </c>
      <c r="G6432" s="2" t="s">
        <v>13</v>
      </c>
    </row>
    <row r="6433" spans="1:9" x14ac:dyDescent="0.2">
      <c r="A6433" s="2" t="s">
        <v>3958</v>
      </c>
      <c r="B6433" s="2" t="s">
        <v>7367</v>
      </c>
      <c r="C6433" s="2">
        <v>714.23770000000002</v>
      </c>
      <c r="D6433" s="2">
        <f>HYPERLINK("http://mcb-m6.bioreg.kyushu-u.ac.jp/M3/20110427/F51114/1904/1", 48.09)</f>
        <v>48.09</v>
      </c>
      <c r="E6433" s="2">
        <v>11.14</v>
      </c>
      <c r="F6433" s="2">
        <v>2</v>
      </c>
      <c r="G6433" s="2" t="s">
        <v>13</v>
      </c>
    </row>
    <row r="6434" spans="1:9" x14ac:dyDescent="0.2">
      <c r="A6434" s="2" t="s">
        <v>3958</v>
      </c>
      <c r="B6434" s="2" t="s">
        <v>1169</v>
      </c>
      <c r="C6434" s="2">
        <v>726.1182</v>
      </c>
      <c r="D6434" s="2">
        <f>HYPERLINK("http://mcb-m6.bioreg.kyushu-u.ac.jp/M3/20110427/F51123/1965/1", 38.77)</f>
        <v>38.770000000000003</v>
      </c>
      <c r="E6434" s="2">
        <v>24.37</v>
      </c>
      <c r="F6434" s="2">
        <v>2</v>
      </c>
      <c r="G6434" s="2" t="s">
        <v>14</v>
      </c>
    </row>
    <row r="6435" spans="1:9" x14ac:dyDescent="0.2">
      <c r="A6435" s="2" t="s">
        <v>8041</v>
      </c>
      <c r="B6435" s="2" t="s">
        <v>7319</v>
      </c>
      <c r="C6435" s="2">
        <v>625.57870000000003</v>
      </c>
      <c r="D6435" s="2">
        <f>HYPERLINK("http://mcb-m6.bioreg.kyushu-u.ac.jp/M3/20110427/F51114/1475/1", 39.64)</f>
        <v>39.64</v>
      </c>
      <c r="E6435" s="2">
        <v>16.079999999999998</v>
      </c>
      <c r="F6435" s="2">
        <v>2</v>
      </c>
      <c r="G6435" s="2" t="s">
        <v>13</v>
      </c>
      <c r="I6435" s="2" t="s">
        <v>4902</v>
      </c>
    </row>
    <row r="6436" spans="1:9" x14ac:dyDescent="0.2">
      <c r="A6436" s="2" t="s">
        <v>3821</v>
      </c>
      <c r="B6436" s="2" t="s">
        <v>2370</v>
      </c>
      <c r="C6436" s="2">
        <v>732.25459999999998</v>
      </c>
      <c r="D6436" s="2">
        <f>HYPERLINK("http://mcb-m6.bioreg.kyushu-u.ac.jp/M3/20110404/F50756/1926/1", 60.72)</f>
        <v>60.72</v>
      </c>
      <c r="E6436" s="2">
        <v>45.76</v>
      </c>
      <c r="F6436" s="2">
        <v>2</v>
      </c>
      <c r="G6436" s="2" t="s">
        <v>9</v>
      </c>
    </row>
    <row r="6437" spans="1:9" x14ac:dyDescent="0.2">
      <c r="A6437" s="2" t="s">
        <v>8064</v>
      </c>
      <c r="B6437" s="2" t="s">
        <v>7366</v>
      </c>
      <c r="C6437" s="2">
        <v>611.63570000000004</v>
      </c>
      <c r="D6437" s="2">
        <f>HYPERLINK("http://mcb-m6.bioreg.kyushu-u.ac.jp/M3/20110427/F51114/1425/1", 47.88)</f>
        <v>47.88</v>
      </c>
      <c r="E6437" s="2">
        <v>27.8</v>
      </c>
      <c r="F6437" s="2">
        <v>2</v>
      </c>
      <c r="G6437" s="2" t="s">
        <v>13</v>
      </c>
      <c r="I6437" s="2" t="s">
        <v>8148</v>
      </c>
    </row>
    <row r="6438" spans="1:9" x14ac:dyDescent="0.2">
      <c r="A6438" s="2" t="s">
        <v>4296</v>
      </c>
      <c r="B6438" s="2" t="s">
        <v>6425</v>
      </c>
      <c r="C6438" s="2">
        <v>562.81269999999995</v>
      </c>
      <c r="D6438" s="2">
        <f>HYPERLINK("http://mcb-m6.bioreg.kyushu-u.ac.jp/M3/20110404/F50756/1202/1", 62.68)</f>
        <v>62.68</v>
      </c>
      <c r="E6438" s="2">
        <v>37.69</v>
      </c>
      <c r="F6438" s="2">
        <v>2</v>
      </c>
      <c r="G6438" s="2" t="s">
        <v>9</v>
      </c>
    </row>
    <row r="6439" spans="1:9" x14ac:dyDescent="0.2">
      <c r="A6439" s="2" t="s">
        <v>7596</v>
      </c>
      <c r="B6439" s="2" t="s">
        <v>6072</v>
      </c>
      <c r="C6439" s="2">
        <v>1072.4179999999999</v>
      </c>
      <c r="D6439" s="2">
        <f>HYPERLINK("http://mcb-m6.bioreg.kyushu-u.ac.jp/M3/20110404/F50777/1121/1", 40.98)</f>
        <v>40.98</v>
      </c>
      <c r="E6439" s="2">
        <v>10.25</v>
      </c>
      <c r="F6439" s="2">
        <v>1</v>
      </c>
      <c r="G6439" s="2" t="s">
        <v>9</v>
      </c>
    </row>
    <row r="6440" spans="1:9" x14ac:dyDescent="0.2">
      <c r="A6440" s="2" t="s">
        <v>4031</v>
      </c>
      <c r="B6440" s="2" t="s">
        <v>7353</v>
      </c>
      <c r="C6440" s="2">
        <v>639.87620000000004</v>
      </c>
      <c r="D6440" s="2">
        <f>HYPERLINK("http://mcb-m6.bioreg.kyushu-u.ac.jp/M3/20110427/F51112/1647/1", 45.63)</f>
        <v>45.63</v>
      </c>
      <c r="E6440" s="2">
        <v>24.38</v>
      </c>
      <c r="F6440" s="2">
        <v>2</v>
      </c>
      <c r="G6440" s="2" t="s">
        <v>13</v>
      </c>
    </row>
    <row r="6441" spans="1:9" x14ac:dyDescent="0.2">
      <c r="A6441" s="2" t="s">
        <v>3349</v>
      </c>
      <c r="B6441" s="2" t="s">
        <v>1340</v>
      </c>
      <c r="C6441" s="2">
        <v>768.38819999999998</v>
      </c>
      <c r="D6441" s="2">
        <f>HYPERLINK("http://mcb-m6.bioreg.kyushu-u.ac.jp/M3/20110421/F51018/2255/1", 65.87)</f>
        <v>65.87</v>
      </c>
      <c r="E6441" s="2">
        <v>53.01</v>
      </c>
      <c r="F6441" s="2">
        <v>2</v>
      </c>
      <c r="G6441" s="2" t="s">
        <v>11</v>
      </c>
    </row>
    <row r="6442" spans="1:9" x14ac:dyDescent="0.2">
      <c r="A6442" s="2" t="s">
        <v>3349</v>
      </c>
      <c r="B6442" s="2" t="s">
        <v>1190</v>
      </c>
      <c r="C6442" s="2">
        <v>587.74220000000003</v>
      </c>
      <c r="D6442" s="2">
        <f>HYPERLINK("http://mcb-m6.bioreg.kyushu-u.ac.jp/M3/20110427/F51112/1439/1", 60.98)</f>
        <v>60.98</v>
      </c>
      <c r="E6442" s="2">
        <v>31.69</v>
      </c>
      <c r="F6442" s="2">
        <v>2</v>
      </c>
      <c r="G6442" s="2" t="s">
        <v>13</v>
      </c>
    </row>
    <row r="6443" spans="1:9" x14ac:dyDescent="0.2">
      <c r="A6443" s="2" t="s">
        <v>4839</v>
      </c>
      <c r="B6443" s="2" t="s">
        <v>3106</v>
      </c>
      <c r="C6443" s="2">
        <v>584.1952</v>
      </c>
      <c r="D6443" s="2">
        <f>HYPERLINK("http://mcb-m6.bioreg.kyushu-u.ac.jp/M3/20110404/F50755/1310/1", 35.08)</f>
        <v>35.08</v>
      </c>
      <c r="E6443" s="2">
        <v>15.25</v>
      </c>
      <c r="F6443" s="2">
        <v>2</v>
      </c>
      <c r="G6443" s="2" t="s">
        <v>9</v>
      </c>
      <c r="H6443" s="2" t="s">
        <v>4904</v>
      </c>
    </row>
    <row r="6444" spans="1:9" x14ac:dyDescent="0.2">
      <c r="A6444" s="2" t="s">
        <v>4839</v>
      </c>
      <c r="B6444" s="2" t="s">
        <v>3106</v>
      </c>
      <c r="C6444" s="2">
        <v>584.6241</v>
      </c>
      <c r="D6444" s="2">
        <f>HYPERLINK("http://mcb-m6.bioreg.kyushu-u.ac.jp/M3/20110428/F51131/1093/1", 37.73)</f>
        <v>37.729999999999997</v>
      </c>
      <c r="E6444" s="2">
        <v>18.440000000000001</v>
      </c>
      <c r="F6444" s="2">
        <v>2</v>
      </c>
      <c r="G6444" s="2" t="s">
        <v>13</v>
      </c>
      <c r="H6444" s="2" t="s">
        <v>4904</v>
      </c>
    </row>
    <row r="6445" spans="1:9" x14ac:dyDescent="0.2">
      <c r="A6445" s="2" t="s">
        <v>4839</v>
      </c>
      <c r="B6445" s="2" t="s">
        <v>3106</v>
      </c>
      <c r="C6445" s="2">
        <v>584.10860000000002</v>
      </c>
      <c r="D6445" s="2">
        <f>HYPERLINK("http://mcb-m6.bioreg.kyushu-u.ac.jp/M3/20110428/F51131/1091/1", 46.5)</f>
        <v>46.5</v>
      </c>
      <c r="E6445" s="2">
        <v>18.57</v>
      </c>
      <c r="F6445" s="2">
        <v>2</v>
      </c>
      <c r="G6445" s="2" t="s">
        <v>13</v>
      </c>
      <c r="H6445" s="2" t="s">
        <v>4904</v>
      </c>
    </row>
    <row r="6446" spans="1:9" x14ac:dyDescent="0.2">
      <c r="A6446" s="2" t="s">
        <v>4839</v>
      </c>
      <c r="B6446" s="2" t="s">
        <v>3106</v>
      </c>
      <c r="C6446" s="2">
        <v>584.72720000000004</v>
      </c>
      <c r="D6446" s="2">
        <f>HYPERLINK("http://mcb-m6.bioreg.kyushu-u.ac.jp/M3/20110428/F51135/1229/1", 38.69)</f>
        <v>38.69</v>
      </c>
      <c r="E6446" s="2">
        <v>10.050000000000001</v>
      </c>
      <c r="F6446" s="2">
        <v>2</v>
      </c>
      <c r="G6446" s="2" t="s">
        <v>14</v>
      </c>
      <c r="H6446" s="2" t="s">
        <v>4904</v>
      </c>
    </row>
    <row r="6447" spans="1:9" x14ac:dyDescent="0.2">
      <c r="A6447" s="2" t="s">
        <v>3730</v>
      </c>
      <c r="B6447" s="2" t="s">
        <v>6013</v>
      </c>
      <c r="C6447" s="2">
        <v>714.29859999999996</v>
      </c>
      <c r="D6447" s="2">
        <f>HYPERLINK("http://mcb-m6.bioreg.kyushu-u.ac.jp/M3/20110404/F50777/1797/1", 38.78)</f>
        <v>38.78</v>
      </c>
      <c r="E6447" s="2">
        <v>27.72</v>
      </c>
      <c r="F6447" s="2">
        <v>2</v>
      </c>
      <c r="G6447" s="2" t="s">
        <v>9</v>
      </c>
    </row>
    <row r="6448" spans="1:9" x14ac:dyDescent="0.2">
      <c r="A6448" s="2" t="s">
        <v>3730</v>
      </c>
      <c r="B6448" s="2" t="s">
        <v>2078</v>
      </c>
      <c r="C6448" s="2">
        <v>877.48360000000002</v>
      </c>
      <c r="D6448" s="2">
        <f>HYPERLINK("http://mcb-m6.bioreg.kyushu-u.ac.jp/M3/20110404/F50777/2443/1", 47.56)</f>
        <v>47.56</v>
      </c>
      <c r="E6448" s="2">
        <v>29.91</v>
      </c>
      <c r="F6448" s="2">
        <v>2</v>
      </c>
      <c r="G6448" s="2" t="s">
        <v>9</v>
      </c>
    </row>
    <row r="6449" spans="1:7" x14ac:dyDescent="0.2">
      <c r="A6449" s="2" t="s">
        <v>3730</v>
      </c>
      <c r="B6449" s="2" t="s">
        <v>728</v>
      </c>
      <c r="C6449" s="2">
        <v>632.89120000000003</v>
      </c>
      <c r="D6449" s="2">
        <f>HYPERLINK("http://mcb-m6.bioreg.kyushu-u.ac.jp/M3/20110404/F50777/1459/1", 65.14)</f>
        <v>65.14</v>
      </c>
      <c r="E6449" s="2">
        <v>49.19</v>
      </c>
      <c r="F6449" s="2">
        <v>2</v>
      </c>
      <c r="G6449" s="2" t="s">
        <v>9</v>
      </c>
    </row>
    <row r="6450" spans="1:7" x14ac:dyDescent="0.2">
      <c r="A6450" s="2" t="s">
        <v>3730</v>
      </c>
      <c r="B6450" s="2" t="s">
        <v>7128</v>
      </c>
      <c r="C6450" s="2">
        <v>558.26509999999996</v>
      </c>
      <c r="D6450" s="2">
        <f>HYPERLINK("http://mcb-m6.bioreg.kyushu-u.ac.jp/M3/20110421/F51037/1014/1", 58.16)</f>
        <v>58.16</v>
      </c>
      <c r="E6450" s="2">
        <v>29.36</v>
      </c>
      <c r="F6450" s="2">
        <v>2</v>
      </c>
      <c r="G6450" s="2" t="s">
        <v>11</v>
      </c>
    </row>
    <row r="6451" spans="1:7" x14ac:dyDescent="0.2">
      <c r="A6451" s="2" t="s">
        <v>3730</v>
      </c>
      <c r="B6451" s="2" t="s">
        <v>2318</v>
      </c>
      <c r="C6451" s="2">
        <v>649.76869999999997</v>
      </c>
      <c r="D6451" s="2">
        <f>HYPERLINK("http://mcb-m6.bioreg.kyushu-u.ac.jp/M3/20110421/F51037/1475/1", 77.61)</f>
        <v>77.61</v>
      </c>
      <c r="E6451" s="2">
        <v>64.06</v>
      </c>
      <c r="F6451" s="2">
        <v>2</v>
      </c>
      <c r="G6451" s="2" t="s">
        <v>11</v>
      </c>
    </row>
    <row r="6452" spans="1:7" x14ac:dyDescent="0.2">
      <c r="A6452" s="2" t="s">
        <v>3260</v>
      </c>
      <c r="B6452" s="2" t="s">
        <v>2959</v>
      </c>
      <c r="C6452" s="2">
        <v>906.79669999999999</v>
      </c>
      <c r="D6452" s="2">
        <f>HYPERLINK("http://mcb-m6.bioreg.kyushu-u.ac.jp/M3/20110421/F51017/2895/1", 76.28)</f>
        <v>76.28</v>
      </c>
      <c r="E6452" s="2">
        <v>60.74</v>
      </c>
      <c r="F6452" s="2">
        <v>2</v>
      </c>
      <c r="G6452" s="2" t="s">
        <v>11</v>
      </c>
    </row>
    <row r="6453" spans="1:7" x14ac:dyDescent="0.2">
      <c r="A6453" s="2" t="s">
        <v>3260</v>
      </c>
      <c r="B6453" s="2" t="s">
        <v>2959</v>
      </c>
      <c r="C6453" s="2">
        <v>907.27509999999995</v>
      </c>
      <c r="D6453" s="2">
        <f>HYPERLINK("http://mcb-m6.bioreg.kyushu-u.ac.jp/M3/20110427/F51111/2876/1", 92.55)</f>
        <v>92.55</v>
      </c>
      <c r="E6453" s="2">
        <v>68.77</v>
      </c>
      <c r="F6453" s="2">
        <v>2</v>
      </c>
      <c r="G6453" s="2" t="s">
        <v>13</v>
      </c>
    </row>
    <row r="6454" spans="1:7" x14ac:dyDescent="0.2">
      <c r="A6454" s="2" t="s">
        <v>3626</v>
      </c>
      <c r="B6454" s="2" t="s">
        <v>801</v>
      </c>
      <c r="C6454" s="2">
        <v>466.98559999999998</v>
      </c>
      <c r="D6454" s="2">
        <f>HYPERLINK("http://mcb-m6.bioreg.kyushu-u.ac.jp/M3/20110404/F50753/1107/1", 36.02)</f>
        <v>36.020000000000003</v>
      </c>
      <c r="E6454" s="2">
        <v>9.6999999999999993</v>
      </c>
      <c r="F6454" s="2">
        <v>2</v>
      </c>
      <c r="G6454" s="2" t="s">
        <v>9</v>
      </c>
    </row>
    <row r="6455" spans="1:7" x14ac:dyDescent="0.2">
      <c r="A6455" s="2" t="s">
        <v>3626</v>
      </c>
      <c r="B6455" s="2" t="s">
        <v>538</v>
      </c>
      <c r="C6455" s="2">
        <v>745.16219999999998</v>
      </c>
      <c r="D6455" s="2">
        <f>HYPERLINK("http://mcb-m6.bioreg.kyushu-u.ac.jp/M3/20110404/F50753/2032/1", 47.49)</f>
        <v>47.49</v>
      </c>
      <c r="E6455" s="2">
        <v>27.3</v>
      </c>
      <c r="F6455" s="2">
        <v>2</v>
      </c>
      <c r="G6455" s="2" t="s">
        <v>9</v>
      </c>
    </row>
    <row r="6456" spans="1:7" x14ac:dyDescent="0.2">
      <c r="A6456" s="2" t="s">
        <v>3626</v>
      </c>
      <c r="B6456" s="2" t="s">
        <v>1518</v>
      </c>
      <c r="C6456" s="2">
        <v>636.83879999999999</v>
      </c>
      <c r="D6456" s="2">
        <f>HYPERLINK("http://mcb-m6.bioreg.kyushu-u.ac.jp/M3/20110404/F50753/2781/1", 55.54)</f>
        <v>55.54</v>
      </c>
      <c r="E6456" s="2">
        <v>40.270000000000003</v>
      </c>
      <c r="F6456" s="2">
        <v>3</v>
      </c>
      <c r="G6456" s="2" t="s">
        <v>9</v>
      </c>
    </row>
    <row r="6457" spans="1:7" x14ac:dyDescent="0.2">
      <c r="A6457" s="2" t="s">
        <v>3626</v>
      </c>
      <c r="B6457" s="2" t="s">
        <v>2486</v>
      </c>
      <c r="C6457" s="2">
        <v>873.65809999999999</v>
      </c>
      <c r="D6457" s="2">
        <f>HYPERLINK("http://mcb-m6.bioreg.kyushu-u.ac.jp/M3/20110404/F50753/2510/1", 63.22)</f>
        <v>63.22</v>
      </c>
      <c r="E6457" s="2">
        <v>37.32</v>
      </c>
      <c r="F6457" s="2">
        <v>2</v>
      </c>
      <c r="G6457" s="2" t="s">
        <v>9</v>
      </c>
    </row>
    <row r="6458" spans="1:7" x14ac:dyDescent="0.2">
      <c r="A6458" s="2" t="s">
        <v>3626</v>
      </c>
      <c r="B6458" s="2" t="s">
        <v>1488</v>
      </c>
      <c r="C6458" s="2">
        <v>877.45169999999996</v>
      </c>
      <c r="D6458" s="2">
        <f>HYPERLINK("http://mcb-m6.bioreg.kyushu-u.ac.jp/M3/20110404/F50752/2500/1", 76.07)</f>
        <v>76.069999999999993</v>
      </c>
      <c r="E6458" s="2">
        <v>60.52</v>
      </c>
      <c r="F6458" s="2">
        <v>2</v>
      </c>
      <c r="G6458" s="2" t="s">
        <v>9</v>
      </c>
    </row>
    <row r="6459" spans="1:7" x14ac:dyDescent="0.2">
      <c r="A6459" s="2" t="s">
        <v>3626</v>
      </c>
      <c r="B6459" s="2" t="s">
        <v>2486</v>
      </c>
      <c r="C6459" s="2">
        <v>873.13670000000002</v>
      </c>
      <c r="D6459" s="2">
        <f>HYPERLINK("http://mcb-m6.bioreg.kyushu-u.ac.jp/M3/20110404/F50753/2509/1", 109.96)</f>
        <v>109.96</v>
      </c>
      <c r="E6459" s="2">
        <v>87.13</v>
      </c>
      <c r="F6459" s="2">
        <v>2</v>
      </c>
      <c r="G6459" s="2" t="s">
        <v>9</v>
      </c>
    </row>
    <row r="6460" spans="1:7" x14ac:dyDescent="0.2">
      <c r="A6460" s="2" t="s">
        <v>3626</v>
      </c>
      <c r="B6460" s="2" t="s">
        <v>801</v>
      </c>
      <c r="C6460" s="2">
        <v>467.06459999999998</v>
      </c>
      <c r="D6460" s="2">
        <f>HYPERLINK("http://mcb-m6.bioreg.kyushu-u.ac.jp/M3/20110404/F50757/1389/1", 36.55)</f>
        <v>36.549999999999997</v>
      </c>
      <c r="E6460" s="2">
        <v>16.53</v>
      </c>
      <c r="F6460" s="2">
        <v>2</v>
      </c>
      <c r="G6460" s="2" t="s">
        <v>10</v>
      </c>
    </row>
    <row r="6461" spans="1:7" x14ac:dyDescent="0.2">
      <c r="A6461" s="2" t="s">
        <v>3626</v>
      </c>
      <c r="B6461" s="2" t="s">
        <v>968</v>
      </c>
      <c r="C6461" s="2">
        <v>559.10469999999998</v>
      </c>
      <c r="D6461" s="2">
        <f>HYPERLINK("http://mcb-m6.bioreg.kyushu-u.ac.jp/M3/20110404/F50757/1647/1", 36.93)</f>
        <v>36.93</v>
      </c>
      <c r="E6461" s="2">
        <v>15.16</v>
      </c>
      <c r="F6461" s="2">
        <v>2</v>
      </c>
      <c r="G6461" s="2" t="s">
        <v>10</v>
      </c>
    </row>
    <row r="6462" spans="1:7" x14ac:dyDescent="0.2">
      <c r="A6462" s="2" t="s">
        <v>3626</v>
      </c>
      <c r="B6462" s="2" t="s">
        <v>968</v>
      </c>
      <c r="C6462" s="2">
        <v>559.27560000000005</v>
      </c>
      <c r="D6462" s="2">
        <f>HYPERLINK("http://mcb-m6.bioreg.kyushu-u.ac.jp/M3/20110404/F50758/1351/1", 52.67)</f>
        <v>52.67</v>
      </c>
      <c r="E6462" s="2">
        <v>21.47</v>
      </c>
      <c r="F6462" s="2">
        <v>2</v>
      </c>
      <c r="G6462" s="2" t="s">
        <v>10</v>
      </c>
    </row>
    <row r="6463" spans="1:7" x14ac:dyDescent="0.2">
      <c r="A6463" s="2" t="s">
        <v>3626</v>
      </c>
      <c r="B6463" s="2" t="s">
        <v>801</v>
      </c>
      <c r="C6463" s="2">
        <v>467.18959999999998</v>
      </c>
      <c r="D6463" s="2">
        <f>HYPERLINK("http://mcb-m6.bioreg.kyushu-u.ac.jp/M3/20110404/F50758/1143/1", 57.98)</f>
        <v>57.98</v>
      </c>
      <c r="E6463" s="2">
        <v>18.559999999999999</v>
      </c>
      <c r="F6463" s="2">
        <v>2</v>
      </c>
      <c r="G6463" s="2" t="s">
        <v>10</v>
      </c>
    </row>
    <row r="6464" spans="1:7" x14ac:dyDescent="0.2">
      <c r="A6464" s="2" t="s">
        <v>3626</v>
      </c>
      <c r="B6464" s="2" t="s">
        <v>801</v>
      </c>
      <c r="C6464" s="2">
        <v>466.6651</v>
      </c>
      <c r="D6464" s="2">
        <f>HYPERLINK("http://mcb-m6.bioreg.kyushu-u.ac.jp/M3/20110404/F50758/1138/1", 61.37)</f>
        <v>61.37</v>
      </c>
      <c r="E6464" s="2">
        <v>33.56</v>
      </c>
      <c r="F6464" s="2">
        <v>2</v>
      </c>
      <c r="G6464" s="2" t="s">
        <v>10</v>
      </c>
    </row>
    <row r="6465" spans="1:8" x14ac:dyDescent="0.2">
      <c r="A6465" s="2" t="s">
        <v>3626</v>
      </c>
      <c r="B6465" s="2" t="s">
        <v>2486</v>
      </c>
      <c r="C6465" s="2">
        <v>873.41669999999999</v>
      </c>
      <c r="D6465" s="2">
        <f>HYPERLINK("http://mcb-m6.bioreg.kyushu-u.ac.jp/M3/20110404/F50758/2345/1", 67.93)</f>
        <v>67.930000000000007</v>
      </c>
      <c r="E6465" s="2">
        <v>52.57</v>
      </c>
      <c r="F6465" s="2">
        <v>2</v>
      </c>
      <c r="G6465" s="2" t="s">
        <v>10</v>
      </c>
    </row>
    <row r="6466" spans="1:8" x14ac:dyDescent="0.2">
      <c r="A6466" s="2" t="s">
        <v>3626</v>
      </c>
      <c r="B6466" s="2" t="s">
        <v>1518</v>
      </c>
      <c r="C6466" s="2">
        <v>955.40809999999999</v>
      </c>
      <c r="D6466" s="2">
        <f>HYPERLINK("http://mcb-m6.bioreg.kyushu-u.ac.jp/M3/20110404/F50758/2597/1", 81.66)</f>
        <v>81.66</v>
      </c>
      <c r="E6466" s="2">
        <v>65.599999999999994</v>
      </c>
      <c r="F6466" s="2">
        <v>2</v>
      </c>
      <c r="G6466" s="2" t="s">
        <v>10</v>
      </c>
    </row>
    <row r="6467" spans="1:8" x14ac:dyDescent="0.2">
      <c r="A6467" s="2" t="s">
        <v>3626</v>
      </c>
      <c r="B6467" s="2" t="s">
        <v>1488</v>
      </c>
      <c r="C6467" s="2">
        <v>876.76419999999996</v>
      </c>
      <c r="D6467" s="2">
        <f>HYPERLINK("http://mcb-m6.bioreg.kyushu-u.ac.jp/M3/20110404/F50758/2354/1", 92.88)</f>
        <v>92.88</v>
      </c>
      <c r="E6467" s="2">
        <v>59.41</v>
      </c>
      <c r="F6467" s="2">
        <v>2</v>
      </c>
      <c r="G6467" s="2" t="s">
        <v>10</v>
      </c>
    </row>
    <row r="6468" spans="1:8" x14ac:dyDescent="0.2">
      <c r="A6468" s="2" t="s">
        <v>3626</v>
      </c>
      <c r="B6468" s="2" t="s">
        <v>2486</v>
      </c>
      <c r="C6468" s="2">
        <v>873.09010000000001</v>
      </c>
      <c r="D6468" s="2">
        <f>HYPERLINK("http://mcb-m6.bioreg.kyushu-u.ac.jp/M3/20110421/F51017/2728/1", 67.83)</f>
        <v>67.83</v>
      </c>
      <c r="E6468" s="2">
        <v>46</v>
      </c>
      <c r="F6468" s="2">
        <v>2</v>
      </c>
      <c r="G6468" s="2" t="s">
        <v>11</v>
      </c>
    </row>
    <row r="6469" spans="1:8" x14ac:dyDescent="0.2">
      <c r="A6469" s="2" t="s">
        <v>3626</v>
      </c>
      <c r="B6469" s="2" t="s">
        <v>1518</v>
      </c>
      <c r="C6469" s="2">
        <v>637.04349999999999</v>
      </c>
      <c r="D6469" s="2">
        <f>HYPERLINK("http://mcb-m6.bioreg.kyushu-u.ac.jp/M3/20110421/F51017/3045/1", 78.22)</f>
        <v>78.22</v>
      </c>
      <c r="E6469" s="2">
        <v>58.76</v>
      </c>
      <c r="F6469" s="2">
        <v>3</v>
      </c>
      <c r="G6469" s="2" t="s">
        <v>11</v>
      </c>
    </row>
    <row r="6470" spans="1:8" x14ac:dyDescent="0.2">
      <c r="A6470" s="2" t="s">
        <v>3626</v>
      </c>
      <c r="B6470" s="2" t="s">
        <v>1488</v>
      </c>
      <c r="C6470" s="2">
        <v>877.26570000000004</v>
      </c>
      <c r="D6470" s="2">
        <f>HYPERLINK("http://mcb-m6.bioreg.kyushu-u.ac.jp/M3/20110421/F51017/2747/1", 79.73)</f>
        <v>79.73</v>
      </c>
      <c r="E6470" s="2">
        <v>56.36</v>
      </c>
      <c r="F6470" s="2">
        <v>2</v>
      </c>
      <c r="G6470" s="2" t="s">
        <v>11</v>
      </c>
    </row>
    <row r="6471" spans="1:8" x14ac:dyDescent="0.2">
      <c r="A6471" s="2" t="s">
        <v>3626</v>
      </c>
      <c r="B6471" s="2" t="s">
        <v>1518</v>
      </c>
      <c r="C6471" s="2">
        <v>954.9452</v>
      </c>
      <c r="D6471" s="2">
        <f>HYPERLINK("http://mcb-m6.bioreg.kyushu-u.ac.jp/M3/20110421/F51017/3043/1", 87.07)</f>
        <v>87.07</v>
      </c>
      <c r="E6471" s="2">
        <v>71.69</v>
      </c>
      <c r="F6471" s="2">
        <v>2</v>
      </c>
      <c r="G6471" s="2" t="s">
        <v>11</v>
      </c>
    </row>
    <row r="6472" spans="1:8" x14ac:dyDescent="0.2">
      <c r="A6472" s="2" t="s">
        <v>3626</v>
      </c>
      <c r="B6472" s="2" t="s">
        <v>1488</v>
      </c>
      <c r="C6472" s="2">
        <v>876.7491</v>
      </c>
      <c r="D6472" s="2">
        <f>HYPERLINK("http://mcb-m6.bioreg.kyushu-u.ac.jp/M3/20110421/F51017/2745/1", 90.28)</f>
        <v>90.28</v>
      </c>
      <c r="E6472" s="2">
        <v>71.19</v>
      </c>
      <c r="F6472" s="2">
        <v>2</v>
      </c>
      <c r="G6472" s="2" t="s">
        <v>11</v>
      </c>
    </row>
    <row r="6473" spans="1:8" x14ac:dyDescent="0.2">
      <c r="A6473" s="2" t="s">
        <v>3626</v>
      </c>
      <c r="B6473" s="2" t="s">
        <v>2486</v>
      </c>
      <c r="C6473" s="2">
        <v>873.65419999999995</v>
      </c>
      <c r="D6473" s="2">
        <f>HYPERLINK("http://mcb-m6.bioreg.kyushu-u.ac.jp/M3/20110421/F51017/2736/1", 95.24)</f>
        <v>95.24</v>
      </c>
      <c r="E6473" s="2">
        <v>73.239999999999995</v>
      </c>
      <c r="F6473" s="2">
        <v>2</v>
      </c>
      <c r="G6473" s="2" t="s">
        <v>11</v>
      </c>
    </row>
    <row r="6474" spans="1:8" x14ac:dyDescent="0.2">
      <c r="A6474" s="2" t="s">
        <v>3626</v>
      </c>
      <c r="B6474" s="2" t="s">
        <v>1488</v>
      </c>
      <c r="C6474" s="2">
        <v>877.33069999999998</v>
      </c>
      <c r="D6474" s="2">
        <f>HYPERLINK("http://mcb-m6.bioreg.kyushu-u.ac.jp/M3/20110421/F51023/2573/1", 85.53)</f>
        <v>85.53</v>
      </c>
      <c r="E6474" s="2">
        <v>64.25</v>
      </c>
      <c r="F6474" s="2">
        <v>2</v>
      </c>
      <c r="G6474" s="2" t="s">
        <v>12</v>
      </c>
    </row>
    <row r="6475" spans="1:8" x14ac:dyDescent="0.2">
      <c r="A6475" s="2" t="s">
        <v>3626</v>
      </c>
      <c r="B6475" s="2" t="s">
        <v>538</v>
      </c>
      <c r="C6475" s="2">
        <v>745.78920000000005</v>
      </c>
      <c r="D6475" s="2">
        <f>HYPERLINK("http://mcb-m6.bioreg.kyushu-u.ac.jp/M3/20110427/F51111/2164/1", 41.33)</f>
        <v>41.33</v>
      </c>
      <c r="E6475" s="2">
        <v>21.83</v>
      </c>
      <c r="F6475" s="2">
        <v>2</v>
      </c>
      <c r="G6475" s="2" t="s">
        <v>13</v>
      </c>
    </row>
    <row r="6476" spans="1:8" x14ac:dyDescent="0.2">
      <c r="A6476" s="2" t="s">
        <v>3626</v>
      </c>
      <c r="B6476" s="2" t="s">
        <v>801</v>
      </c>
      <c r="C6476" s="2">
        <v>475.1456</v>
      </c>
      <c r="D6476" s="2">
        <f>HYPERLINK("http://mcb-m6.bioreg.kyushu-u.ac.jp/M3/20110427/F51111/999/1", 52.79)</f>
        <v>52.79</v>
      </c>
      <c r="E6476" s="2">
        <v>18.77</v>
      </c>
      <c r="F6476" s="2">
        <v>2</v>
      </c>
      <c r="G6476" s="2" t="s">
        <v>13</v>
      </c>
      <c r="H6476" s="2" t="s">
        <v>4917</v>
      </c>
    </row>
    <row r="6477" spans="1:8" x14ac:dyDescent="0.2">
      <c r="A6477" s="2" t="s">
        <v>3626</v>
      </c>
      <c r="B6477" s="2" t="s">
        <v>1488</v>
      </c>
      <c r="C6477" s="2">
        <v>876.77560000000005</v>
      </c>
      <c r="D6477" s="2">
        <f>HYPERLINK("http://mcb-m6.bioreg.kyushu-u.ac.jp/M3/20110427/F51111/2756/1", 82.9)</f>
        <v>82.9</v>
      </c>
      <c r="E6477" s="2">
        <v>60.8</v>
      </c>
      <c r="F6477" s="2">
        <v>2</v>
      </c>
      <c r="G6477" s="2" t="s">
        <v>13</v>
      </c>
    </row>
    <row r="6478" spans="1:8" x14ac:dyDescent="0.2">
      <c r="A6478" s="2" t="s">
        <v>3626</v>
      </c>
      <c r="B6478" s="2" t="s">
        <v>1488</v>
      </c>
      <c r="C6478" s="2">
        <v>877.27470000000005</v>
      </c>
      <c r="D6478" s="2">
        <f>HYPERLINK("http://mcb-m6.bioreg.kyushu-u.ac.jp/M3/20110427/F51120/2574/1", 90.54)</f>
        <v>90.54</v>
      </c>
      <c r="E6478" s="2">
        <v>69.11</v>
      </c>
      <c r="F6478" s="2">
        <v>2</v>
      </c>
      <c r="G6478" s="2" t="s">
        <v>14</v>
      </c>
    </row>
    <row r="6479" spans="1:8" x14ac:dyDescent="0.2">
      <c r="A6479" s="2" t="s">
        <v>3626</v>
      </c>
      <c r="B6479" s="2" t="s">
        <v>1488</v>
      </c>
      <c r="C6479" s="2">
        <v>876.75459999999998</v>
      </c>
      <c r="D6479" s="2">
        <f>HYPERLINK("http://mcb-m6.bioreg.kyushu-u.ac.jp/M3/20110427/F51120/2572/1", 100.23)</f>
        <v>100.23</v>
      </c>
      <c r="E6479" s="2">
        <v>78.17</v>
      </c>
      <c r="F6479" s="2">
        <v>2</v>
      </c>
      <c r="G6479" s="2" t="s">
        <v>14</v>
      </c>
    </row>
    <row r="6480" spans="1:8" x14ac:dyDescent="0.2">
      <c r="A6480" s="2" t="s">
        <v>3390</v>
      </c>
      <c r="B6480" s="2" t="s">
        <v>1506</v>
      </c>
      <c r="C6480" s="2">
        <v>853.34619999999995</v>
      </c>
      <c r="D6480" s="2">
        <f>HYPERLINK("http://mcb-m6.bioreg.kyushu-u.ac.jp/M3/20110404/F50755/2454/1", 57.42)</f>
        <v>57.42</v>
      </c>
      <c r="E6480" s="2">
        <v>35.450000000000003</v>
      </c>
      <c r="F6480" s="2">
        <v>2</v>
      </c>
      <c r="G6480" s="2" t="s">
        <v>9</v>
      </c>
    </row>
    <row r="6481" spans="1:7" x14ac:dyDescent="0.2">
      <c r="A6481" s="2" t="s">
        <v>3390</v>
      </c>
      <c r="B6481" s="2" t="s">
        <v>1624</v>
      </c>
      <c r="C6481" s="2">
        <v>793.75319999999999</v>
      </c>
      <c r="D6481" s="2">
        <f>HYPERLINK("http://mcb-m6.bioreg.kyushu-u.ac.jp/M3/20110404/F50754/2304/1", 79.94)</f>
        <v>79.94</v>
      </c>
      <c r="E6481" s="2">
        <v>66.78</v>
      </c>
      <c r="F6481" s="2">
        <v>2</v>
      </c>
      <c r="G6481" s="2" t="s">
        <v>9</v>
      </c>
    </row>
    <row r="6482" spans="1:7" x14ac:dyDescent="0.2">
      <c r="A6482" s="2" t="s">
        <v>3390</v>
      </c>
      <c r="B6482" s="2" t="s">
        <v>1506</v>
      </c>
      <c r="C6482" s="2">
        <v>852.74069999999995</v>
      </c>
      <c r="D6482" s="2">
        <f>HYPERLINK("http://mcb-m6.bioreg.kyushu-u.ac.jp/M3/20110427/F51113/2459/1", 101.01)</f>
        <v>101.01</v>
      </c>
      <c r="E6482" s="2">
        <v>79.819999999999993</v>
      </c>
      <c r="F6482" s="2">
        <v>2</v>
      </c>
      <c r="G6482" s="2" t="s">
        <v>13</v>
      </c>
    </row>
    <row r="6483" spans="1:7" x14ac:dyDescent="0.2">
      <c r="A6483" s="2" t="s">
        <v>3363</v>
      </c>
      <c r="B6483" s="2" t="s">
        <v>1270</v>
      </c>
      <c r="C6483" s="2">
        <v>591.13919999999996</v>
      </c>
      <c r="D6483" s="2">
        <f>HYPERLINK("http://mcb-m6.bioreg.kyushu-u.ac.jp/M3/20110404/F50754/1602/1", 74.63)</f>
        <v>74.63</v>
      </c>
      <c r="E6483" s="2">
        <v>45.93</v>
      </c>
      <c r="F6483" s="2">
        <v>2</v>
      </c>
      <c r="G6483" s="2" t="s">
        <v>9</v>
      </c>
    </row>
    <row r="6484" spans="1:7" x14ac:dyDescent="0.2">
      <c r="A6484" s="2" t="s">
        <v>3363</v>
      </c>
      <c r="B6484" s="2" t="s">
        <v>1270</v>
      </c>
      <c r="C6484" s="2">
        <v>590.92610000000002</v>
      </c>
      <c r="D6484" s="2">
        <f>HYPERLINK("http://mcb-m6.bioreg.kyushu-u.ac.jp/M3/20110421/F51024/1536/1", 68.5)</f>
        <v>68.5</v>
      </c>
      <c r="E6484" s="2">
        <v>39.950000000000003</v>
      </c>
      <c r="F6484" s="2">
        <v>2</v>
      </c>
      <c r="G6484" s="2" t="s">
        <v>12</v>
      </c>
    </row>
    <row r="6485" spans="1:7" x14ac:dyDescent="0.2">
      <c r="A6485" s="2" t="s">
        <v>3363</v>
      </c>
      <c r="B6485" s="2" t="s">
        <v>1270</v>
      </c>
      <c r="C6485" s="2">
        <v>590.68020000000001</v>
      </c>
      <c r="D6485" s="2">
        <f>HYPERLINK("http://mcb-m6.bioreg.kyushu-u.ac.jp/M3/20110427/F51113/1349/1", 45.11)</f>
        <v>45.11</v>
      </c>
      <c r="E6485" s="2">
        <v>24.91</v>
      </c>
      <c r="F6485" s="2">
        <v>2</v>
      </c>
      <c r="G6485" s="2" t="s">
        <v>13</v>
      </c>
    </row>
    <row r="6486" spans="1:7" x14ac:dyDescent="0.2">
      <c r="A6486" s="2" t="s">
        <v>3363</v>
      </c>
      <c r="B6486" s="2" t="s">
        <v>1270</v>
      </c>
      <c r="C6486" s="2">
        <v>590.58420000000001</v>
      </c>
      <c r="D6486" s="2">
        <f>HYPERLINK("http://mcb-m6.bioreg.kyushu-u.ac.jp/M3/20110427/F51122/1624/1", 43.99)</f>
        <v>43.99</v>
      </c>
      <c r="E6486" s="2">
        <v>26.03</v>
      </c>
      <c r="F6486" s="2">
        <v>2</v>
      </c>
      <c r="G6486" s="2" t="s">
        <v>14</v>
      </c>
    </row>
    <row r="6487" spans="1:7" x14ac:dyDescent="0.2">
      <c r="A6487" s="2" t="s">
        <v>3363</v>
      </c>
      <c r="B6487" s="2" t="s">
        <v>1270</v>
      </c>
      <c r="C6487" s="2">
        <v>591.11659999999995</v>
      </c>
      <c r="D6487" s="2">
        <f>HYPERLINK("http://mcb-m6.bioreg.kyushu-u.ac.jp/M3/20110427/F51122/1628/1", 76.69)</f>
        <v>76.69</v>
      </c>
      <c r="E6487" s="2">
        <v>51.06</v>
      </c>
      <c r="F6487" s="2">
        <v>2</v>
      </c>
      <c r="G6487" s="2" t="s">
        <v>14</v>
      </c>
    </row>
    <row r="6488" spans="1:7" x14ac:dyDescent="0.2">
      <c r="A6488" s="2" t="s">
        <v>7650</v>
      </c>
      <c r="B6488" s="2" t="s">
        <v>6222</v>
      </c>
      <c r="C6488" s="2">
        <v>793.49099999999999</v>
      </c>
      <c r="D6488" s="2">
        <f>HYPERLINK("http://mcb-m6.bioreg.kyushu-u.ac.jp/M3/20110404/F50751/1203/1", 47.18)</f>
        <v>47.18</v>
      </c>
      <c r="E6488" s="2">
        <v>23.26</v>
      </c>
      <c r="F6488" s="2">
        <v>1</v>
      </c>
      <c r="G6488" s="2" t="s">
        <v>9</v>
      </c>
    </row>
    <row r="6489" spans="1:7" x14ac:dyDescent="0.2">
      <c r="A6489" s="2" t="s">
        <v>7666</v>
      </c>
      <c r="B6489" s="2" t="s">
        <v>6275</v>
      </c>
      <c r="C6489" s="2">
        <v>786.30110000000002</v>
      </c>
      <c r="D6489" s="2">
        <f>HYPERLINK("http://mcb-m6.bioreg.kyushu-u.ac.jp/M3/20110404/F50755/2204/1", 50.47)</f>
        <v>50.47</v>
      </c>
      <c r="E6489" s="2">
        <v>35.770000000000003</v>
      </c>
      <c r="F6489" s="2">
        <v>2</v>
      </c>
      <c r="G6489" s="2" t="s">
        <v>9</v>
      </c>
    </row>
    <row r="6490" spans="1:7" x14ac:dyDescent="0.2">
      <c r="A6490" s="2" t="s">
        <v>7666</v>
      </c>
      <c r="B6490" s="2" t="s">
        <v>6275</v>
      </c>
      <c r="C6490" s="2">
        <v>786.07870000000003</v>
      </c>
      <c r="D6490" s="2">
        <f>HYPERLINK("http://mcb-m6.bioreg.kyushu-u.ac.jp/M3/20110404/F50754/2269/1", 100.24)</f>
        <v>100.24</v>
      </c>
      <c r="E6490" s="2">
        <v>86.06</v>
      </c>
      <c r="F6490" s="2">
        <v>2</v>
      </c>
      <c r="G6490" s="2" t="s">
        <v>9</v>
      </c>
    </row>
    <row r="6491" spans="1:7" x14ac:dyDescent="0.2">
      <c r="A6491" s="2" t="s">
        <v>4027</v>
      </c>
      <c r="B6491" s="2" t="s">
        <v>1342</v>
      </c>
      <c r="C6491" s="2">
        <v>757.88070000000005</v>
      </c>
      <c r="D6491" s="2">
        <f>HYPERLINK("http://mcb-m6.bioreg.kyushu-u.ac.jp/M3/20110404/F50778/1918/1", 35.11)</f>
        <v>35.11</v>
      </c>
      <c r="E6491" s="2">
        <v>19.77</v>
      </c>
      <c r="F6491" s="2">
        <v>2</v>
      </c>
      <c r="G6491" s="2" t="s">
        <v>9</v>
      </c>
    </row>
    <row r="6492" spans="1:7" x14ac:dyDescent="0.2">
      <c r="A6492" s="2" t="s">
        <v>4027</v>
      </c>
      <c r="B6492" s="2" t="s">
        <v>1342</v>
      </c>
      <c r="C6492" s="2">
        <v>757.28920000000005</v>
      </c>
      <c r="D6492" s="2">
        <f>HYPERLINK("http://mcb-m6.bioreg.kyushu-u.ac.jp/M3/20110404/F50777/2014/1", 62.97)</f>
        <v>62.97</v>
      </c>
      <c r="E6492" s="2">
        <v>44.52</v>
      </c>
      <c r="F6492" s="2">
        <v>2</v>
      </c>
      <c r="G6492" s="2" t="s">
        <v>9</v>
      </c>
    </row>
    <row r="6493" spans="1:7" x14ac:dyDescent="0.2">
      <c r="A6493" s="2" t="s">
        <v>4027</v>
      </c>
      <c r="B6493" s="2" t="s">
        <v>1342</v>
      </c>
      <c r="C6493" s="2">
        <v>1513.761</v>
      </c>
      <c r="D6493" s="2">
        <f>HYPERLINK("http://mcb-m6.bioreg.kyushu-u.ac.jp/M3/20110404/F50778/1913/1", 78.35)</f>
        <v>78.349999999999994</v>
      </c>
      <c r="E6493" s="2">
        <v>61.18</v>
      </c>
      <c r="F6493" s="2">
        <v>1</v>
      </c>
      <c r="G6493" s="2" t="s">
        <v>9</v>
      </c>
    </row>
    <row r="6494" spans="1:7" x14ac:dyDescent="0.2">
      <c r="A6494" s="2" t="s">
        <v>4027</v>
      </c>
      <c r="B6494" s="2" t="s">
        <v>1342</v>
      </c>
      <c r="C6494" s="2">
        <v>757.70719999999994</v>
      </c>
      <c r="D6494" s="2">
        <f>HYPERLINK("http://mcb-m6.bioreg.kyushu-u.ac.jp/M3/20110404/F50778/1917/1", 106.35)</f>
        <v>106.35</v>
      </c>
      <c r="E6494" s="2">
        <v>76.75</v>
      </c>
      <c r="F6494" s="2">
        <v>2</v>
      </c>
      <c r="G6494" s="2" t="s">
        <v>9</v>
      </c>
    </row>
    <row r="6495" spans="1:7" x14ac:dyDescent="0.2">
      <c r="A6495" s="2" t="s">
        <v>4027</v>
      </c>
      <c r="B6495" s="2" t="s">
        <v>1342</v>
      </c>
      <c r="C6495" s="2">
        <v>757.37819999999999</v>
      </c>
      <c r="D6495" s="2">
        <f>HYPERLINK("http://mcb-m6.bioreg.kyushu-u.ac.jp/M3/20110421/F51037/2142/1", 46.46)</f>
        <v>46.46</v>
      </c>
      <c r="E6495" s="2">
        <v>26.95</v>
      </c>
      <c r="F6495" s="2">
        <v>2</v>
      </c>
      <c r="G6495" s="2" t="s">
        <v>11</v>
      </c>
    </row>
    <row r="6496" spans="1:7" x14ac:dyDescent="0.2">
      <c r="A6496" s="2" t="s">
        <v>4027</v>
      </c>
      <c r="B6496" s="2" t="s">
        <v>1342</v>
      </c>
      <c r="C6496" s="2">
        <v>757.33259999999996</v>
      </c>
      <c r="D6496" s="2">
        <f>HYPERLINK("http://mcb-m6.bioreg.kyushu-u.ac.jp/M3/20110421/F51040/2152/1", 74.53)</f>
        <v>74.53</v>
      </c>
      <c r="E6496" s="2">
        <v>45.73</v>
      </c>
      <c r="F6496" s="2">
        <v>2</v>
      </c>
      <c r="G6496" s="2" t="s">
        <v>11</v>
      </c>
    </row>
    <row r="6497" spans="1:7" x14ac:dyDescent="0.2">
      <c r="A6497" s="2" t="s">
        <v>4027</v>
      </c>
      <c r="B6497" s="2" t="s">
        <v>1342</v>
      </c>
      <c r="C6497" s="2">
        <v>757.44420000000002</v>
      </c>
      <c r="D6497" s="2">
        <f>HYPERLINK("http://mcb-m6.bioreg.kyushu-u.ac.jp/M3/20110421/F51048/2311/1", 75.58)</f>
        <v>75.58</v>
      </c>
      <c r="E6497" s="2">
        <v>48.71</v>
      </c>
      <c r="F6497" s="2">
        <v>2</v>
      </c>
      <c r="G6497" s="2" t="s">
        <v>12</v>
      </c>
    </row>
    <row r="6498" spans="1:7" x14ac:dyDescent="0.2">
      <c r="A6498" s="2" t="s">
        <v>4027</v>
      </c>
      <c r="B6498" s="2" t="s">
        <v>1342</v>
      </c>
      <c r="C6498" s="2">
        <v>757.76070000000004</v>
      </c>
      <c r="D6498" s="2">
        <f>HYPERLINK("http://mcb-m6.bioreg.kyushu-u.ac.jp/M3/20110428/F51127/1977/1", 52.16)</f>
        <v>52.16</v>
      </c>
      <c r="E6498" s="2">
        <v>30.09</v>
      </c>
      <c r="F6498" s="2">
        <v>2</v>
      </c>
      <c r="G6498" s="2" t="s">
        <v>13</v>
      </c>
    </row>
    <row r="6499" spans="1:7" x14ac:dyDescent="0.2">
      <c r="A6499" s="2" t="s">
        <v>3495</v>
      </c>
      <c r="B6499" s="2" t="s">
        <v>329</v>
      </c>
      <c r="C6499" s="2">
        <v>1124.193</v>
      </c>
      <c r="D6499" s="2">
        <f>HYPERLINK("http://mcb-m6.bioreg.kyushu-u.ac.jp/M3/20110404/F50754/3071/1", 87.52)</f>
        <v>87.52</v>
      </c>
      <c r="E6499" s="2">
        <v>72.83</v>
      </c>
      <c r="F6499" s="2">
        <v>2</v>
      </c>
      <c r="G6499" s="2" t="s">
        <v>9</v>
      </c>
    </row>
    <row r="6500" spans="1:7" x14ac:dyDescent="0.2">
      <c r="A6500" s="2" t="s">
        <v>3495</v>
      </c>
      <c r="B6500" s="2" t="s">
        <v>329</v>
      </c>
      <c r="C6500" s="2">
        <v>1123.8900000000001</v>
      </c>
      <c r="D6500" s="2">
        <f>HYPERLINK("http://mcb-m6.bioreg.kyushu-u.ac.jp/M3/20110421/F51018/3256/1", 105.06)</f>
        <v>105.06</v>
      </c>
      <c r="E6500" s="2">
        <v>93.99</v>
      </c>
      <c r="F6500" s="2">
        <v>2</v>
      </c>
      <c r="G6500" s="2" t="s">
        <v>11</v>
      </c>
    </row>
    <row r="6501" spans="1:7" x14ac:dyDescent="0.2">
      <c r="A6501" s="2" t="s">
        <v>3495</v>
      </c>
      <c r="B6501" s="2" t="s">
        <v>329</v>
      </c>
      <c r="C6501" s="2">
        <v>1124.614</v>
      </c>
      <c r="D6501" s="2">
        <f>HYPERLINK("http://mcb-m6.bioreg.kyushu-u.ac.jp/M3/20110427/F51113/3168/1", 37.93)</f>
        <v>37.93</v>
      </c>
      <c r="E6501" s="2">
        <v>28.45</v>
      </c>
      <c r="F6501" s="2">
        <v>2</v>
      </c>
      <c r="G6501" s="2" t="s">
        <v>13</v>
      </c>
    </row>
    <row r="6502" spans="1:7" x14ac:dyDescent="0.2">
      <c r="A6502" s="2" t="s">
        <v>3495</v>
      </c>
      <c r="B6502" s="2" t="s">
        <v>329</v>
      </c>
      <c r="C6502" s="2">
        <v>749.96780000000001</v>
      </c>
      <c r="D6502" s="2">
        <f>HYPERLINK("http://mcb-m6.bioreg.kyushu-u.ac.jp/M3/20110427/F51112/3315/1", 40.62)</f>
        <v>40.619999999999997</v>
      </c>
      <c r="E6502" s="2">
        <v>30.79</v>
      </c>
      <c r="F6502" s="2">
        <v>3</v>
      </c>
      <c r="G6502" s="2" t="s">
        <v>13</v>
      </c>
    </row>
    <row r="6503" spans="1:7" x14ac:dyDescent="0.2">
      <c r="A6503" s="2" t="s">
        <v>3495</v>
      </c>
      <c r="B6503" s="2" t="s">
        <v>329</v>
      </c>
      <c r="C6503" s="2">
        <v>1124.3219999999999</v>
      </c>
      <c r="D6503" s="2">
        <f>HYPERLINK("http://mcb-m6.bioreg.kyushu-u.ac.jp/M3/20110427/F51111/3323/1", 81.27)</f>
        <v>81.27</v>
      </c>
      <c r="E6503" s="2">
        <v>73.010000000000005</v>
      </c>
      <c r="F6503" s="2">
        <v>2</v>
      </c>
      <c r="G6503" s="2" t="s">
        <v>13</v>
      </c>
    </row>
    <row r="6504" spans="1:7" x14ac:dyDescent="0.2">
      <c r="A6504" s="2" t="s">
        <v>3495</v>
      </c>
      <c r="B6504" s="2" t="s">
        <v>329</v>
      </c>
      <c r="C6504" s="2">
        <v>1124.27</v>
      </c>
      <c r="D6504" s="2">
        <f>HYPERLINK("http://mcb-m6.bioreg.kyushu-u.ac.jp/M3/20110427/F51112/3314/1", 98.37)</f>
        <v>98.37</v>
      </c>
      <c r="E6504" s="2">
        <v>86.42</v>
      </c>
      <c r="F6504" s="2">
        <v>2</v>
      </c>
      <c r="G6504" s="2" t="s">
        <v>13</v>
      </c>
    </row>
    <row r="6505" spans="1:7" x14ac:dyDescent="0.2">
      <c r="A6505" s="2" t="s">
        <v>3495</v>
      </c>
      <c r="B6505" s="2" t="s">
        <v>329</v>
      </c>
      <c r="C6505" s="2">
        <v>1124.271</v>
      </c>
      <c r="D6505" s="2">
        <f>HYPERLINK("http://mcb-m6.bioreg.kyushu-u.ac.jp/M3/20110427/F51121/2851/1", 81.21)</f>
        <v>81.209999999999994</v>
      </c>
      <c r="E6505" s="2">
        <v>66.650000000000006</v>
      </c>
      <c r="F6505" s="2">
        <v>2</v>
      </c>
      <c r="G6505" s="2" t="s">
        <v>14</v>
      </c>
    </row>
    <row r="6506" spans="1:7" x14ac:dyDescent="0.2">
      <c r="A6506" s="2" t="s">
        <v>3235</v>
      </c>
      <c r="B6506" s="2" t="s">
        <v>15</v>
      </c>
      <c r="C6506" s="2">
        <v>849.27509999999995</v>
      </c>
      <c r="D6506" s="2">
        <f>HYPERLINK("http://mcb-m6.bioreg.kyushu-u.ac.jp/M3/20110404/F50754/2442/1", 38.92)</f>
        <v>38.92</v>
      </c>
      <c r="E6506" s="2">
        <v>10.91</v>
      </c>
      <c r="F6506" s="2">
        <v>2</v>
      </c>
      <c r="G6506" s="2" t="s">
        <v>9</v>
      </c>
    </row>
    <row r="6507" spans="1:7" x14ac:dyDescent="0.2">
      <c r="A6507" s="2" t="s">
        <v>3361</v>
      </c>
      <c r="B6507" s="2" t="s">
        <v>2035</v>
      </c>
      <c r="C6507" s="2">
        <v>493.71660000000003</v>
      </c>
      <c r="D6507" s="2">
        <f>HYPERLINK("http://mcb-m6.bioreg.kyushu-u.ac.jp/M3/20110404/F50776/1017/1", 38.08)</f>
        <v>38.08</v>
      </c>
      <c r="E6507" s="2">
        <v>12.59</v>
      </c>
      <c r="F6507" s="2">
        <v>2</v>
      </c>
      <c r="G6507" s="2" t="s">
        <v>9</v>
      </c>
    </row>
    <row r="6508" spans="1:7" x14ac:dyDescent="0.2">
      <c r="A6508" s="2" t="s">
        <v>3361</v>
      </c>
      <c r="B6508" s="2" t="s">
        <v>1313</v>
      </c>
      <c r="C6508" s="2">
        <v>821.8691</v>
      </c>
      <c r="D6508" s="2">
        <f>HYPERLINK("http://mcb-m6.bioreg.kyushu-u.ac.jp/M3/20110404/F50776/2004/1", 39.3)</f>
        <v>39.299999999999997</v>
      </c>
      <c r="E6508" s="2">
        <v>23.88</v>
      </c>
      <c r="F6508" s="2">
        <v>2</v>
      </c>
      <c r="G6508" s="2" t="s">
        <v>9</v>
      </c>
    </row>
    <row r="6509" spans="1:7" x14ac:dyDescent="0.2">
      <c r="A6509" s="2" t="s">
        <v>3361</v>
      </c>
      <c r="B6509" s="2" t="s">
        <v>1056</v>
      </c>
      <c r="C6509" s="2">
        <v>1030.105</v>
      </c>
      <c r="D6509" s="2">
        <f>HYPERLINK("http://mcb-m6.bioreg.kyushu-u.ac.jp/M3/20110404/F50776/2664/1", 42.04)</f>
        <v>42.04</v>
      </c>
      <c r="E6509" s="2">
        <v>27.22</v>
      </c>
      <c r="F6509" s="2">
        <v>2</v>
      </c>
      <c r="G6509" s="2" t="s">
        <v>9</v>
      </c>
    </row>
    <row r="6510" spans="1:7" x14ac:dyDescent="0.2">
      <c r="A6510" s="2" t="s">
        <v>3361</v>
      </c>
      <c r="B6510" s="2" t="s">
        <v>1405</v>
      </c>
      <c r="C6510" s="2">
        <v>638.17769999999996</v>
      </c>
      <c r="D6510" s="2">
        <f>HYPERLINK("http://mcb-m6.bioreg.kyushu-u.ac.jp/M3/20110404/F50762/1451/1", 43.45)</f>
        <v>43.45</v>
      </c>
      <c r="E6510" s="2">
        <v>16.86</v>
      </c>
      <c r="F6510" s="2">
        <v>2</v>
      </c>
      <c r="G6510" s="2" t="s">
        <v>9</v>
      </c>
    </row>
    <row r="6511" spans="1:7" x14ac:dyDescent="0.2">
      <c r="A6511" s="2" t="s">
        <v>3361</v>
      </c>
      <c r="B6511" s="2" t="s">
        <v>609</v>
      </c>
      <c r="C6511" s="2">
        <v>943.471</v>
      </c>
      <c r="D6511" s="2">
        <f>HYPERLINK("http://mcb-m6.bioreg.kyushu-u.ac.jp/M3/20110404/F50756/919/1", 43.47)</f>
        <v>43.47</v>
      </c>
      <c r="E6511" s="2">
        <v>22.41</v>
      </c>
      <c r="F6511" s="2">
        <v>1</v>
      </c>
      <c r="G6511" s="2" t="s">
        <v>9</v>
      </c>
    </row>
    <row r="6512" spans="1:7" x14ac:dyDescent="0.2">
      <c r="A6512" s="2" t="s">
        <v>3361</v>
      </c>
      <c r="B6512" s="2" t="s">
        <v>629</v>
      </c>
      <c r="C6512" s="2">
        <v>1216.626</v>
      </c>
      <c r="D6512" s="2">
        <f>HYPERLINK("http://mcb-m6.bioreg.kyushu-u.ac.jp/M3/20110404/F50776/1354/1", 43.92)</f>
        <v>43.92</v>
      </c>
      <c r="E6512" s="2">
        <v>29.14</v>
      </c>
      <c r="F6512" s="2">
        <v>1</v>
      </c>
      <c r="G6512" s="2" t="s">
        <v>9</v>
      </c>
    </row>
    <row r="6513" spans="1:8" x14ac:dyDescent="0.2">
      <c r="A6513" s="2" t="s">
        <v>3361</v>
      </c>
      <c r="B6513" s="2" t="s">
        <v>629</v>
      </c>
      <c r="C6513" s="2">
        <v>1216.501</v>
      </c>
      <c r="D6513" s="2">
        <f>HYPERLINK("http://mcb-m6.bioreg.kyushu-u.ac.jp/M3/20110404/F50756/1388/1", 48.99)</f>
        <v>48.99</v>
      </c>
      <c r="E6513" s="2">
        <v>25.25</v>
      </c>
      <c r="F6513" s="2">
        <v>1</v>
      </c>
      <c r="G6513" s="2" t="s">
        <v>9</v>
      </c>
    </row>
    <row r="6514" spans="1:8" x14ac:dyDescent="0.2">
      <c r="A6514" s="2" t="s">
        <v>3361</v>
      </c>
      <c r="B6514" s="2" t="s">
        <v>878</v>
      </c>
      <c r="C6514" s="2">
        <v>1146.578</v>
      </c>
      <c r="D6514" s="2">
        <f>HYPERLINK("http://mcb-m6.bioreg.kyushu-u.ac.jp/M3/20110404/F50756/1235/1", 50.14)</f>
        <v>50.14</v>
      </c>
      <c r="E6514" s="2">
        <v>16.22</v>
      </c>
      <c r="F6514" s="2">
        <v>1</v>
      </c>
      <c r="G6514" s="2" t="s">
        <v>9</v>
      </c>
    </row>
    <row r="6515" spans="1:8" x14ac:dyDescent="0.2">
      <c r="A6515" s="2" t="s">
        <v>3361</v>
      </c>
      <c r="B6515" s="2" t="s">
        <v>1405</v>
      </c>
      <c r="C6515" s="2">
        <v>638.03120000000001</v>
      </c>
      <c r="D6515" s="2">
        <f>HYPERLINK("http://mcb-m6.bioreg.kyushu-u.ac.jp/M3/20110404/F50754/1759/1", 52.1)</f>
        <v>52.1</v>
      </c>
      <c r="E6515" s="2">
        <v>33.090000000000003</v>
      </c>
      <c r="F6515" s="2">
        <v>2</v>
      </c>
      <c r="G6515" s="2" t="s">
        <v>9</v>
      </c>
    </row>
    <row r="6516" spans="1:8" x14ac:dyDescent="0.2">
      <c r="A6516" s="2" t="s">
        <v>3361</v>
      </c>
      <c r="B6516" s="2" t="s">
        <v>609</v>
      </c>
      <c r="C6516" s="2">
        <v>943.66700000000003</v>
      </c>
      <c r="D6516" s="2">
        <f>HYPERLINK("http://mcb-m6.bioreg.kyushu-u.ac.jp/M3/20110404/F50776/946/1", 52.97)</f>
        <v>52.97</v>
      </c>
      <c r="E6516" s="2">
        <v>30.31</v>
      </c>
      <c r="F6516" s="2">
        <v>1</v>
      </c>
      <c r="G6516" s="2" t="s">
        <v>9</v>
      </c>
    </row>
    <row r="6517" spans="1:8" x14ac:dyDescent="0.2">
      <c r="A6517" s="2" t="s">
        <v>3361</v>
      </c>
      <c r="B6517" s="2" t="s">
        <v>864</v>
      </c>
      <c r="C6517" s="2">
        <v>1391.452</v>
      </c>
      <c r="D6517" s="2">
        <f>HYPERLINK("http://mcb-m6.bioreg.kyushu-u.ac.jp/M3/20110404/F50756/1722/1", 53.07)</f>
        <v>53.07</v>
      </c>
      <c r="E6517" s="2">
        <v>36.29</v>
      </c>
      <c r="F6517" s="2">
        <v>1</v>
      </c>
      <c r="G6517" s="2" t="s">
        <v>9</v>
      </c>
    </row>
    <row r="6518" spans="1:8" x14ac:dyDescent="0.2">
      <c r="A6518" s="2" t="s">
        <v>3361</v>
      </c>
      <c r="B6518" s="2" t="s">
        <v>1371</v>
      </c>
      <c r="C6518" s="2">
        <v>1128.54</v>
      </c>
      <c r="D6518" s="2">
        <f>HYPERLINK("http://mcb-m6.bioreg.kyushu-u.ac.jp/M3/20110404/F50776/1184/1", 53.3)</f>
        <v>53.3</v>
      </c>
      <c r="E6518" s="2">
        <v>29.15</v>
      </c>
      <c r="F6518" s="2">
        <v>1</v>
      </c>
      <c r="G6518" s="2" t="s">
        <v>9</v>
      </c>
    </row>
    <row r="6519" spans="1:8" x14ac:dyDescent="0.2">
      <c r="A6519" s="2" t="s">
        <v>3361</v>
      </c>
      <c r="B6519" s="2" t="s">
        <v>816</v>
      </c>
      <c r="C6519" s="2">
        <v>773.78219999999999</v>
      </c>
      <c r="D6519" s="2">
        <f>HYPERLINK("http://mcb-m6.bioreg.kyushu-u.ac.jp/M3/20110404/F50776/1879/1", 54.06)</f>
        <v>54.06</v>
      </c>
      <c r="E6519" s="2">
        <v>32.99</v>
      </c>
      <c r="F6519" s="2">
        <v>2</v>
      </c>
      <c r="G6519" s="2" t="s">
        <v>9</v>
      </c>
      <c r="H6519" s="2" t="s">
        <v>4927</v>
      </c>
    </row>
    <row r="6520" spans="1:8" x14ac:dyDescent="0.2">
      <c r="A6520" s="2" t="s">
        <v>3361</v>
      </c>
      <c r="B6520" s="2" t="s">
        <v>878</v>
      </c>
      <c r="C6520" s="2">
        <v>1146.356</v>
      </c>
      <c r="D6520" s="2">
        <f>HYPERLINK("http://mcb-m6.bioreg.kyushu-u.ac.jp/M3/20110404/F50776/1215/1", 56.29)</f>
        <v>56.29</v>
      </c>
      <c r="E6520" s="2">
        <v>33.979999999999997</v>
      </c>
      <c r="F6520" s="2">
        <v>1</v>
      </c>
      <c r="G6520" s="2" t="s">
        <v>9</v>
      </c>
    </row>
    <row r="6521" spans="1:8" x14ac:dyDescent="0.2">
      <c r="A6521" s="2" t="s">
        <v>3361</v>
      </c>
      <c r="B6521" s="2" t="s">
        <v>736</v>
      </c>
      <c r="C6521" s="2">
        <v>1091.8979999999999</v>
      </c>
      <c r="D6521" s="2">
        <f>HYPERLINK("http://mcb-m6.bioreg.kyushu-u.ac.jp/M3/20110404/F50756/1158/1", 58.66)</f>
        <v>58.66</v>
      </c>
      <c r="E6521" s="2">
        <v>30.74</v>
      </c>
      <c r="F6521" s="2">
        <v>1</v>
      </c>
      <c r="G6521" s="2" t="s">
        <v>9</v>
      </c>
    </row>
    <row r="6522" spans="1:8" x14ac:dyDescent="0.2">
      <c r="A6522" s="2" t="s">
        <v>3361</v>
      </c>
      <c r="B6522" s="2" t="s">
        <v>816</v>
      </c>
      <c r="C6522" s="2">
        <v>766.32069999999999</v>
      </c>
      <c r="D6522" s="2">
        <f>HYPERLINK("http://mcb-m6.bioreg.kyushu-u.ac.jp/M3/20110404/F50756/2089/1", 58.79)</f>
        <v>58.79</v>
      </c>
      <c r="E6522" s="2">
        <v>39.29</v>
      </c>
      <c r="F6522" s="2">
        <v>2</v>
      </c>
      <c r="G6522" s="2" t="s">
        <v>9</v>
      </c>
    </row>
    <row r="6523" spans="1:8" x14ac:dyDescent="0.2">
      <c r="A6523" s="2" t="s">
        <v>3361</v>
      </c>
      <c r="B6523" s="2" t="s">
        <v>1998</v>
      </c>
      <c r="C6523" s="2">
        <v>756.72170000000006</v>
      </c>
      <c r="D6523" s="2">
        <f>HYPERLINK("http://mcb-m6.bioreg.kyushu-u.ac.jp/M3/20110404/F50756/2040/1", 60.81)</f>
        <v>60.81</v>
      </c>
      <c r="E6523" s="2">
        <v>47.46</v>
      </c>
      <c r="F6523" s="2">
        <v>2</v>
      </c>
      <c r="G6523" s="2" t="s">
        <v>9</v>
      </c>
    </row>
    <row r="6524" spans="1:8" x14ac:dyDescent="0.2">
      <c r="A6524" s="2" t="s">
        <v>3361</v>
      </c>
      <c r="B6524" s="2" t="s">
        <v>578</v>
      </c>
      <c r="C6524" s="2">
        <v>896.9366</v>
      </c>
      <c r="D6524" s="2">
        <f>HYPERLINK("http://mcb-m6.bioreg.kyushu-u.ac.jp/M3/20110404/F50776/2217/1", 62.53)</f>
        <v>62.53</v>
      </c>
      <c r="E6524" s="2">
        <v>42.59</v>
      </c>
      <c r="F6524" s="2">
        <v>2</v>
      </c>
      <c r="G6524" s="2" t="s">
        <v>9</v>
      </c>
    </row>
    <row r="6525" spans="1:8" x14ac:dyDescent="0.2">
      <c r="A6525" s="2" t="s">
        <v>3361</v>
      </c>
      <c r="B6525" s="2" t="s">
        <v>709</v>
      </c>
      <c r="C6525" s="2">
        <v>518.50919999999996</v>
      </c>
      <c r="D6525" s="2">
        <f>HYPERLINK("http://mcb-m6.bioreg.kyushu-u.ac.jp/M3/20110404/F50776/1091/1", 62.96)</f>
        <v>62.96</v>
      </c>
      <c r="E6525" s="2">
        <v>37.340000000000003</v>
      </c>
      <c r="F6525" s="2">
        <v>2</v>
      </c>
      <c r="G6525" s="2" t="s">
        <v>9</v>
      </c>
    </row>
    <row r="6526" spans="1:8" x14ac:dyDescent="0.2">
      <c r="A6526" s="2" t="s">
        <v>3361</v>
      </c>
      <c r="B6526" s="2" t="s">
        <v>578</v>
      </c>
      <c r="C6526" s="2">
        <v>896.9067</v>
      </c>
      <c r="D6526" s="2">
        <f>HYPERLINK("http://mcb-m6.bioreg.kyushu-u.ac.jp/M3/20110404/F50756/2670/1", 64.6)</f>
        <v>64.599999999999994</v>
      </c>
      <c r="E6526" s="2">
        <v>46.72</v>
      </c>
      <c r="F6526" s="2">
        <v>2</v>
      </c>
      <c r="G6526" s="2" t="s">
        <v>9</v>
      </c>
    </row>
    <row r="6527" spans="1:8" x14ac:dyDescent="0.2">
      <c r="A6527" s="2" t="s">
        <v>3361</v>
      </c>
      <c r="B6527" s="2" t="s">
        <v>736</v>
      </c>
      <c r="C6527" s="2">
        <v>1091.45</v>
      </c>
      <c r="D6527" s="2">
        <f>HYPERLINK("http://mcb-m6.bioreg.kyushu-u.ac.jp/M3/20110404/F50776/1148/1", 65.07)</f>
        <v>65.069999999999993</v>
      </c>
      <c r="E6527" s="2">
        <v>31.32</v>
      </c>
      <c r="F6527" s="2">
        <v>1</v>
      </c>
      <c r="G6527" s="2" t="s">
        <v>9</v>
      </c>
    </row>
    <row r="6528" spans="1:8" x14ac:dyDescent="0.2">
      <c r="A6528" s="2" t="s">
        <v>3361</v>
      </c>
      <c r="B6528" s="2" t="s">
        <v>736</v>
      </c>
      <c r="C6528" s="2">
        <v>546.2672</v>
      </c>
      <c r="D6528" s="2">
        <f>HYPERLINK("http://mcb-m6.bioreg.kyushu-u.ac.jp/M3/20110404/F50756/1157/1", 68.19)</f>
        <v>68.19</v>
      </c>
      <c r="E6528" s="2">
        <v>29.5</v>
      </c>
      <c r="F6528" s="2">
        <v>2</v>
      </c>
      <c r="G6528" s="2" t="s">
        <v>9</v>
      </c>
    </row>
    <row r="6529" spans="1:8" x14ac:dyDescent="0.2">
      <c r="A6529" s="2" t="s">
        <v>3361</v>
      </c>
      <c r="B6529" s="2" t="s">
        <v>709</v>
      </c>
      <c r="C6529" s="2">
        <v>518.10419999999999</v>
      </c>
      <c r="D6529" s="2">
        <f>HYPERLINK("http://mcb-m6.bioreg.kyushu-u.ac.jp/M3/20110404/F50756/1065/1", 72.15)</f>
        <v>72.150000000000006</v>
      </c>
      <c r="E6529" s="2">
        <v>42.89</v>
      </c>
      <c r="F6529" s="2">
        <v>2</v>
      </c>
      <c r="G6529" s="2" t="s">
        <v>9</v>
      </c>
    </row>
    <row r="6530" spans="1:8" x14ac:dyDescent="0.2">
      <c r="A6530" s="2" t="s">
        <v>3361</v>
      </c>
      <c r="B6530" s="2" t="s">
        <v>1313</v>
      </c>
      <c r="C6530" s="2">
        <v>821.82069999999999</v>
      </c>
      <c r="D6530" s="2">
        <f>HYPERLINK("http://mcb-m6.bioreg.kyushu-u.ac.jp/M3/20110404/F50756/2348/1", 73.18)</f>
        <v>73.180000000000007</v>
      </c>
      <c r="E6530" s="2">
        <v>51.43</v>
      </c>
      <c r="F6530" s="2">
        <v>2</v>
      </c>
      <c r="G6530" s="2" t="s">
        <v>9</v>
      </c>
    </row>
    <row r="6531" spans="1:8" x14ac:dyDescent="0.2">
      <c r="A6531" s="2" t="s">
        <v>3361</v>
      </c>
      <c r="B6531" s="2" t="s">
        <v>1405</v>
      </c>
      <c r="C6531" s="2">
        <v>637.85310000000004</v>
      </c>
      <c r="D6531" s="2">
        <f>HYPERLINK("http://mcb-m6.bioreg.kyushu-u.ac.jp/M3/20110404/F50756/1488/1", 76.31)</f>
        <v>76.31</v>
      </c>
      <c r="E6531" s="2">
        <v>46.59</v>
      </c>
      <c r="F6531" s="2">
        <v>2</v>
      </c>
      <c r="G6531" s="2" t="s">
        <v>9</v>
      </c>
    </row>
    <row r="6532" spans="1:8" x14ac:dyDescent="0.2">
      <c r="A6532" s="2" t="s">
        <v>3361</v>
      </c>
      <c r="B6532" s="2" t="s">
        <v>309</v>
      </c>
      <c r="C6532" s="2">
        <v>822.2242</v>
      </c>
      <c r="D6532" s="2">
        <f>HYPERLINK("http://mcb-m6.bioreg.kyushu-u.ac.jp/M3/20110404/F50776/2006/1", 77.65)</f>
        <v>77.650000000000006</v>
      </c>
      <c r="E6532" s="2">
        <v>62.21</v>
      </c>
      <c r="F6532" s="2">
        <v>2</v>
      </c>
      <c r="G6532" s="2" t="s">
        <v>9</v>
      </c>
    </row>
    <row r="6533" spans="1:8" x14ac:dyDescent="0.2">
      <c r="A6533" s="2" t="s">
        <v>3361</v>
      </c>
      <c r="B6533" s="2" t="s">
        <v>1998</v>
      </c>
      <c r="C6533" s="2">
        <v>756.3057</v>
      </c>
      <c r="D6533" s="2">
        <f>HYPERLINK("http://mcb-m6.bioreg.kyushu-u.ac.jp/M3/20110404/F50776/1824/1", 79.98)</f>
        <v>79.98</v>
      </c>
      <c r="E6533" s="2">
        <v>66.41</v>
      </c>
      <c r="F6533" s="2">
        <v>2</v>
      </c>
      <c r="G6533" s="2" t="s">
        <v>9</v>
      </c>
    </row>
    <row r="6534" spans="1:8" x14ac:dyDescent="0.2">
      <c r="A6534" s="2" t="s">
        <v>3361</v>
      </c>
      <c r="B6534" s="2" t="s">
        <v>975</v>
      </c>
      <c r="C6534" s="2">
        <v>880.65170000000001</v>
      </c>
      <c r="D6534" s="2">
        <f>HYPERLINK("http://mcb-m6.bioreg.kyushu-u.ac.jp/M3/20110404/F50776/2144/1", 81.56)</f>
        <v>81.56</v>
      </c>
      <c r="E6534" s="2">
        <v>59.55</v>
      </c>
      <c r="F6534" s="2">
        <v>2</v>
      </c>
      <c r="G6534" s="2" t="s">
        <v>9</v>
      </c>
    </row>
    <row r="6535" spans="1:8" x14ac:dyDescent="0.2">
      <c r="A6535" s="2" t="s">
        <v>3361</v>
      </c>
      <c r="B6535" s="2" t="s">
        <v>864</v>
      </c>
      <c r="C6535" s="2">
        <v>696.33969999999999</v>
      </c>
      <c r="D6535" s="2">
        <f>HYPERLINK("http://mcb-m6.bioreg.kyushu-u.ac.jp/M3/20110404/F50776/1633/1", 96.87)</f>
        <v>96.87</v>
      </c>
      <c r="E6535" s="2">
        <v>87.23</v>
      </c>
      <c r="F6535" s="2">
        <v>2</v>
      </c>
      <c r="G6535" s="2" t="s">
        <v>9</v>
      </c>
    </row>
    <row r="6536" spans="1:8" x14ac:dyDescent="0.2">
      <c r="A6536" s="2" t="s">
        <v>3361</v>
      </c>
      <c r="B6536" s="2" t="s">
        <v>816</v>
      </c>
      <c r="C6536" s="2">
        <v>773.65009999999995</v>
      </c>
      <c r="D6536" s="2">
        <f>HYPERLINK("http://mcb-m6.bioreg.kyushu-u.ac.jp/M3/20110404/F50756/2125/1", 98.48)</f>
        <v>98.48</v>
      </c>
      <c r="E6536" s="2">
        <v>75.28</v>
      </c>
      <c r="F6536" s="2">
        <v>2</v>
      </c>
      <c r="G6536" s="2" t="s">
        <v>9</v>
      </c>
      <c r="H6536" s="2" t="s">
        <v>4927</v>
      </c>
    </row>
    <row r="6537" spans="1:8" x14ac:dyDescent="0.2">
      <c r="A6537" s="2" t="s">
        <v>3361</v>
      </c>
      <c r="B6537" s="2" t="s">
        <v>2035</v>
      </c>
      <c r="C6537" s="2">
        <v>493.73309999999998</v>
      </c>
      <c r="D6537" s="2">
        <f>HYPERLINK("http://mcb-m6.bioreg.kyushu-u.ac.jp/M3/20110404/F50761/961/1", 38.73)</f>
        <v>38.729999999999997</v>
      </c>
      <c r="E6537" s="2">
        <v>10.8</v>
      </c>
      <c r="F6537" s="2">
        <v>2</v>
      </c>
      <c r="G6537" s="2" t="s">
        <v>10</v>
      </c>
    </row>
    <row r="6538" spans="1:8" x14ac:dyDescent="0.2">
      <c r="A6538" s="2" t="s">
        <v>3361</v>
      </c>
      <c r="B6538" s="2" t="s">
        <v>629</v>
      </c>
      <c r="C6538" s="2">
        <v>1216.4169999999999</v>
      </c>
      <c r="D6538" s="2">
        <f>HYPERLINK("http://mcb-m6.bioreg.kyushu-u.ac.jp/M3/20110404/F50761/1349/1", 42.52)</f>
        <v>42.52</v>
      </c>
      <c r="E6538" s="2">
        <v>22.5</v>
      </c>
      <c r="F6538" s="2">
        <v>1</v>
      </c>
      <c r="G6538" s="2" t="s">
        <v>10</v>
      </c>
    </row>
    <row r="6539" spans="1:8" x14ac:dyDescent="0.2">
      <c r="A6539" s="2" t="s">
        <v>3361</v>
      </c>
      <c r="B6539" s="2" t="s">
        <v>609</v>
      </c>
      <c r="C6539" s="2">
        <v>943.61699999999996</v>
      </c>
      <c r="D6539" s="2">
        <f>HYPERLINK("http://mcb-m6.bioreg.kyushu-u.ac.jp/M3/20110404/F50781/960/1", 42.82)</f>
        <v>42.82</v>
      </c>
      <c r="E6539" s="2">
        <v>11.55</v>
      </c>
      <c r="F6539" s="2">
        <v>1</v>
      </c>
      <c r="G6539" s="2" t="s">
        <v>10</v>
      </c>
    </row>
    <row r="6540" spans="1:8" x14ac:dyDescent="0.2">
      <c r="A6540" s="2" t="s">
        <v>3361</v>
      </c>
      <c r="B6540" s="2" t="s">
        <v>1313</v>
      </c>
      <c r="C6540" s="2">
        <v>821.84119999999996</v>
      </c>
      <c r="D6540" s="2">
        <f>HYPERLINK("http://mcb-m6.bioreg.kyushu-u.ac.jp/M3/20110404/F50761/2167/1", 46.71)</f>
        <v>46.71</v>
      </c>
      <c r="E6540" s="2">
        <v>35.01</v>
      </c>
      <c r="F6540" s="2">
        <v>2</v>
      </c>
      <c r="G6540" s="2" t="s">
        <v>10</v>
      </c>
    </row>
    <row r="6541" spans="1:8" x14ac:dyDescent="0.2">
      <c r="A6541" s="2" t="s">
        <v>3361</v>
      </c>
      <c r="B6541" s="2" t="s">
        <v>629</v>
      </c>
      <c r="C6541" s="2">
        <v>1216.569</v>
      </c>
      <c r="D6541" s="2">
        <f>HYPERLINK("http://mcb-m6.bioreg.kyushu-u.ac.jp/M3/20110404/F50781/1384/1", 48.74)</f>
        <v>48.74</v>
      </c>
      <c r="E6541" s="2">
        <v>32.479999999999997</v>
      </c>
      <c r="F6541" s="2">
        <v>1</v>
      </c>
      <c r="G6541" s="2" t="s">
        <v>10</v>
      </c>
    </row>
    <row r="6542" spans="1:8" x14ac:dyDescent="0.2">
      <c r="A6542" s="2" t="s">
        <v>3361</v>
      </c>
      <c r="B6542" s="2" t="s">
        <v>1371</v>
      </c>
      <c r="C6542" s="2">
        <v>564.83810000000005</v>
      </c>
      <c r="D6542" s="2">
        <f>HYPERLINK("http://mcb-m6.bioreg.kyushu-u.ac.jp/M3/20110404/F50761/1176/1", 49.84)</f>
        <v>49.84</v>
      </c>
      <c r="E6542" s="2">
        <v>30.19</v>
      </c>
      <c r="F6542" s="2">
        <v>2</v>
      </c>
      <c r="G6542" s="2" t="s">
        <v>10</v>
      </c>
    </row>
    <row r="6543" spans="1:8" x14ac:dyDescent="0.2">
      <c r="A6543" s="2" t="s">
        <v>3361</v>
      </c>
      <c r="B6543" s="2" t="s">
        <v>878</v>
      </c>
      <c r="C6543" s="2">
        <v>573.50519999999995</v>
      </c>
      <c r="D6543" s="2">
        <f>HYPERLINK("http://mcb-m6.bioreg.kyushu-u.ac.jp/M3/20110404/F50781/1245/1", 59.03)</f>
        <v>59.03</v>
      </c>
      <c r="E6543" s="2">
        <v>38.049999999999997</v>
      </c>
      <c r="F6543" s="2">
        <v>2</v>
      </c>
      <c r="G6543" s="2" t="s">
        <v>10</v>
      </c>
    </row>
    <row r="6544" spans="1:8" x14ac:dyDescent="0.2">
      <c r="A6544" s="2" t="s">
        <v>3361</v>
      </c>
      <c r="B6544" s="2" t="s">
        <v>736</v>
      </c>
      <c r="C6544" s="2">
        <v>1091.3979999999999</v>
      </c>
      <c r="D6544" s="2">
        <f>HYPERLINK("http://mcb-m6.bioreg.kyushu-u.ac.jp/M3/20110404/F50761/1128/1", 59.15)</f>
        <v>59.15</v>
      </c>
      <c r="E6544" s="2">
        <v>30.75</v>
      </c>
      <c r="F6544" s="2">
        <v>1</v>
      </c>
      <c r="G6544" s="2" t="s">
        <v>10</v>
      </c>
    </row>
    <row r="6545" spans="1:7" x14ac:dyDescent="0.2">
      <c r="A6545" s="2" t="s">
        <v>3361</v>
      </c>
      <c r="B6545" s="2" t="s">
        <v>736</v>
      </c>
      <c r="C6545" s="2">
        <v>1091.575</v>
      </c>
      <c r="D6545" s="2">
        <f>HYPERLINK("http://mcb-m6.bioreg.kyushu-u.ac.jp/M3/20110404/F50781/1188/1", 59.16)</f>
        <v>59.16</v>
      </c>
      <c r="E6545" s="2">
        <v>30.73</v>
      </c>
      <c r="F6545" s="2">
        <v>1</v>
      </c>
      <c r="G6545" s="2" t="s">
        <v>10</v>
      </c>
    </row>
    <row r="6546" spans="1:7" x14ac:dyDescent="0.2">
      <c r="A6546" s="2" t="s">
        <v>3361</v>
      </c>
      <c r="B6546" s="2" t="s">
        <v>629</v>
      </c>
      <c r="C6546" s="2">
        <v>608.7722</v>
      </c>
      <c r="D6546" s="2">
        <f>HYPERLINK("http://mcb-m6.bioreg.kyushu-u.ac.jp/M3/20110404/F50761/1350/1", 65.8)</f>
        <v>65.8</v>
      </c>
      <c r="E6546" s="2">
        <v>38.520000000000003</v>
      </c>
      <c r="F6546" s="2">
        <v>2</v>
      </c>
      <c r="G6546" s="2" t="s">
        <v>10</v>
      </c>
    </row>
    <row r="6547" spans="1:7" x14ac:dyDescent="0.2">
      <c r="A6547" s="2" t="s">
        <v>3361</v>
      </c>
      <c r="B6547" s="2" t="s">
        <v>309</v>
      </c>
      <c r="C6547" s="2">
        <v>822.41110000000003</v>
      </c>
      <c r="D6547" s="2">
        <f>HYPERLINK("http://mcb-m6.bioreg.kyushu-u.ac.jp/M3/20110404/F50781/2027/1", 78.4)</f>
        <v>78.400000000000006</v>
      </c>
      <c r="E6547" s="2">
        <v>61.09</v>
      </c>
      <c r="F6547" s="2">
        <v>2</v>
      </c>
      <c r="G6547" s="2" t="s">
        <v>10</v>
      </c>
    </row>
    <row r="6548" spans="1:7" x14ac:dyDescent="0.2">
      <c r="A6548" s="2" t="s">
        <v>3361</v>
      </c>
      <c r="B6548" s="2" t="s">
        <v>1405</v>
      </c>
      <c r="C6548" s="2">
        <v>637.76459999999997</v>
      </c>
      <c r="D6548" s="2">
        <f>HYPERLINK("http://mcb-m6.bioreg.kyushu-u.ac.jp/M3/20110404/F50761/1432/1", 80.69)</f>
        <v>80.69</v>
      </c>
      <c r="E6548" s="2">
        <v>53.72</v>
      </c>
      <c r="F6548" s="2">
        <v>2</v>
      </c>
      <c r="G6548" s="2" t="s">
        <v>10</v>
      </c>
    </row>
    <row r="6549" spans="1:7" x14ac:dyDescent="0.2">
      <c r="A6549" s="2" t="s">
        <v>3361</v>
      </c>
      <c r="B6549" s="2" t="s">
        <v>309</v>
      </c>
      <c r="C6549" s="2">
        <v>822.71669999999995</v>
      </c>
      <c r="D6549" s="2">
        <f>HYPERLINK("http://mcb-m6.bioreg.kyushu-u.ac.jp/M3/20110421/F51018/2462/1", 39.17)</f>
        <v>39.17</v>
      </c>
      <c r="E6549" s="2">
        <v>25.79</v>
      </c>
      <c r="F6549" s="2">
        <v>2</v>
      </c>
      <c r="G6549" s="2" t="s">
        <v>11</v>
      </c>
    </row>
    <row r="6550" spans="1:7" x14ac:dyDescent="0.2">
      <c r="A6550" s="2" t="s">
        <v>3361</v>
      </c>
      <c r="B6550" s="2" t="s">
        <v>629</v>
      </c>
      <c r="C6550" s="2">
        <v>1216.5989999999999</v>
      </c>
      <c r="D6550" s="2">
        <f>HYPERLINK("http://mcb-m6.bioreg.kyushu-u.ac.jp/M3/20110421/F51058/1228/1", 47.48)</f>
        <v>47.48</v>
      </c>
      <c r="E6550" s="2">
        <v>28.98</v>
      </c>
      <c r="F6550" s="2">
        <v>1</v>
      </c>
      <c r="G6550" s="2" t="s">
        <v>11</v>
      </c>
    </row>
    <row r="6551" spans="1:7" x14ac:dyDescent="0.2">
      <c r="A6551" s="2" t="s">
        <v>3361</v>
      </c>
      <c r="B6551" s="2" t="s">
        <v>309</v>
      </c>
      <c r="C6551" s="2">
        <v>822.36770000000001</v>
      </c>
      <c r="D6551" s="2">
        <f>HYPERLINK("http://mcb-m6.bioreg.kyushu-u.ac.jp/M3/20110421/F51034/2426/1", 49.27)</f>
        <v>49.27</v>
      </c>
      <c r="E6551" s="2">
        <v>33.17</v>
      </c>
      <c r="F6551" s="2">
        <v>2</v>
      </c>
      <c r="G6551" s="2" t="s">
        <v>11</v>
      </c>
    </row>
    <row r="6552" spans="1:7" x14ac:dyDescent="0.2">
      <c r="A6552" s="2" t="s">
        <v>3361</v>
      </c>
      <c r="B6552" s="2" t="s">
        <v>153</v>
      </c>
      <c r="C6552" s="2">
        <v>673.01819999999998</v>
      </c>
      <c r="D6552" s="2">
        <f>HYPERLINK("http://mcb-m6.bioreg.kyushu-u.ac.jp/M3/20110421/F51058/1462/1", 60.12)</f>
        <v>60.12</v>
      </c>
      <c r="E6552" s="2">
        <v>41.07</v>
      </c>
      <c r="F6552" s="2">
        <v>2</v>
      </c>
      <c r="G6552" s="2" t="s">
        <v>11</v>
      </c>
    </row>
    <row r="6553" spans="1:7" x14ac:dyDescent="0.2">
      <c r="A6553" s="2" t="s">
        <v>3361</v>
      </c>
      <c r="B6553" s="2" t="s">
        <v>878</v>
      </c>
      <c r="C6553" s="2">
        <v>574.35310000000004</v>
      </c>
      <c r="D6553" s="2">
        <f>HYPERLINK("http://mcb-m6.bioreg.kyushu-u.ac.jp/M3/20110421/F51058/1058/1", 65.09)</f>
        <v>65.09</v>
      </c>
      <c r="E6553" s="2">
        <v>35.229999999999997</v>
      </c>
      <c r="F6553" s="2">
        <v>2</v>
      </c>
      <c r="G6553" s="2" t="s">
        <v>11</v>
      </c>
    </row>
    <row r="6554" spans="1:7" x14ac:dyDescent="0.2">
      <c r="A6554" s="2" t="s">
        <v>3361</v>
      </c>
      <c r="B6554" s="2" t="s">
        <v>629</v>
      </c>
      <c r="C6554" s="2">
        <v>608.88710000000003</v>
      </c>
      <c r="D6554" s="2">
        <f>HYPERLINK("http://mcb-m6.bioreg.kyushu-u.ac.jp/M3/20110421/F51034/1368/1", 67.15)</f>
        <v>67.150000000000006</v>
      </c>
      <c r="E6554" s="2">
        <v>39.56</v>
      </c>
      <c r="F6554" s="2">
        <v>2</v>
      </c>
      <c r="G6554" s="2" t="s">
        <v>11</v>
      </c>
    </row>
    <row r="6555" spans="1:7" x14ac:dyDescent="0.2">
      <c r="A6555" s="2" t="s">
        <v>3361</v>
      </c>
      <c r="B6555" s="2" t="s">
        <v>629</v>
      </c>
      <c r="C6555" s="2">
        <v>608.95510000000002</v>
      </c>
      <c r="D6555" s="2">
        <f>HYPERLINK("http://mcb-m6.bioreg.kyushu-u.ac.jp/M3/20110421/F51058/1230/1", 69.17)</f>
        <v>69.17</v>
      </c>
      <c r="E6555" s="2">
        <v>47.18</v>
      </c>
      <c r="F6555" s="2">
        <v>2</v>
      </c>
      <c r="G6555" s="2" t="s">
        <v>11</v>
      </c>
    </row>
    <row r="6556" spans="1:7" x14ac:dyDescent="0.2">
      <c r="A6556" s="2" t="s">
        <v>3361</v>
      </c>
      <c r="B6556" s="2" t="s">
        <v>309</v>
      </c>
      <c r="C6556" s="2">
        <v>822.47559999999999</v>
      </c>
      <c r="D6556" s="2">
        <f>HYPERLINK("http://mcb-m6.bioreg.kyushu-u.ac.jp/M3/20110421/F51058/2262/1", 81.02)</f>
        <v>81.02</v>
      </c>
      <c r="E6556" s="2">
        <v>62.22</v>
      </c>
      <c r="F6556" s="2">
        <v>2</v>
      </c>
      <c r="G6556" s="2" t="s">
        <v>11</v>
      </c>
    </row>
    <row r="6557" spans="1:7" x14ac:dyDescent="0.2">
      <c r="A6557" s="2" t="s">
        <v>3361</v>
      </c>
      <c r="B6557" s="2" t="s">
        <v>629</v>
      </c>
      <c r="C6557" s="2">
        <v>609.41470000000004</v>
      </c>
      <c r="D6557" s="2">
        <f>HYPERLINK("http://mcb-m6.bioreg.kyushu-u.ac.jp/M3/20110421/F51044/1365/1", 39.91)</f>
        <v>39.909999999999997</v>
      </c>
      <c r="E6557" s="2">
        <v>19.73</v>
      </c>
      <c r="F6557" s="2">
        <v>2</v>
      </c>
      <c r="G6557" s="2" t="s">
        <v>12</v>
      </c>
    </row>
    <row r="6558" spans="1:7" x14ac:dyDescent="0.2">
      <c r="A6558" s="2" t="s">
        <v>3361</v>
      </c>
      <c r="B6558" s="2" t="s">
        <v>309</v>
      </c>
      <c r="C6558" s="2">
        <v>822.64970000000005</v>
      </c>
      <c r="D6558" s="2">
        <f>HYPERLINK("http://mcb-m6.bioreg.kyushu-u.ac.jp/M3/20110421/F51059/2173/1", 71.56)</f>
        <v>71.56</v>
      </c>
      <c r="E6558" s="2">
        <v>58.37</v>
      </c>
      <c r="F6558" s="2">
        <v>2</v>
      </c>
      <c r="G6558" s="2" t="s">
        <v>12</v>
      </c>
    </row>
    <row r="6559" spans="1:7" x14ac:dyDescent="0.2">
      <c r="A6559" s="2" t="s">
        <v>3361</v>
      </c>
      <c r="B6559" s="2" t="s">
        <v>7280</v>
      </c>
      <c r="C6559" s="2">
        <v>766.22649999999999</v>
      </c>
      <c r="D6559" s="2">
        <f>HYPERLINK("http://mcb-m6.bioreg.kyushu-u.ac.jp/M3/20110428/F51131/3347/1", 35.06)</f>
        <v>35.06</v>
      </c>
      <c r="E6559" s="2">
        <v>23.87</v>
      </c>
      <c r="F6559" s="2">
        <v>3</v>
      </c>
      <c r="G6559" s="2" t="s">
        <v>13</v>
      </c>
    </row>
    <row r="6560" spans="1:7" x14ac:dyDescent="0.2">
      <c r="A6560" s="2" t="s">
        <v>3361</v>
      </c>
      <c r="B6560" s="2" t="s">
        <v>1371</v>
      </c>
      <c r="C6560" s="2">
        <v>564.70069999999998</v>
      </c>
      <c r="D6560" s="2">
        <f>HYPERLINK("http://mcb-m6.bioreg.kyushu-u.ac.jp/M3/20110427/F51114/1206/1", 39.62)</f>
        <v>39.619999999999997</v>
      </c>
      <c r="E6560" s="2">
        <v>24.08</v>
      </c>
      <c r="F6560" s="2">
        <v>2</v>
      </c>
      <c r="G6560" s="2" t="s">
        <v>13</v>
      </c>
    </row>
    <row r="6561" spans="1:7" x14ac:dyDescent="0.2">
      <c r="A6561" s="2" t="s">
        <v>3361</v>
      </c>
      <c r="B6561" s="2" t="s">
        <v>736</v>
      </c>
      <c r="C6561" s="2">
        <v>546.05719999999997</v>
      </c>
      <c r="D6561" s="2">
        <f>HYPERLINK("http://mcb-m6.bioreg.kyushu-u.ac.jp/M3/20110427/F51114/1142/1", 44.2)</f>
        <v>44.2</v>
      </c>
      <c r="E6561" s="2">
        <v>17.64</v>
      </c>
      <c r="F6561" s="2">
        <v>2</v>
      </c>
      <c r="G6561" s="2" t="s">
        <v>13</v>
      </c>
    </row>
    <row r="6562" spans="1:7" x14ac:dyDescent="0.2">
      <c r="A6562" s="2" t="s">
        <v>3361</v>
      </c>
      <c r="B6562" s="2" t="s">
        <v>709</v>
      </c>
      <c r="C6562" s="2">
        <v>518.01869999999997</v>
      </c>
      <c r="D6562" s="2">
        <f>HYPERLINK("http://mcb-m6.bioreg.kyushu-u.ac.jp/M3/20110428/F51131/839/1", 49.1)</f>
        <v>49.1</v>
      </c>
      <c r="E6562" s="2">
        <v>22.66</v>
      </c>
      <c r="F6562" s="2">
        <v>2</v>
      </c>
      <c r="G6562" s="2" t="s">
        <v>13</v>
      </c>
    </row>
    <row r="6563" spans="1:7" x14ac:dyDescent="0.2">
      <c r="A6563" s="2" t="s">
        <v>3361</v>
      </c>
      <c r="B6563" s="2" t="s">
        <v>692</v>
      </c>
      <c r="C6563" s="2">
        <v>596.59770000000003</v>
      </c>
      <c r="D6563" s="2">
        <f>HYPERLINK("http://mcb-m6.bioreg.kyushu-u.ac.jp/M3/20110428/F51131/1149/1", 49.13)</f>
        <v>49.13</v>
      </c>
      <c r="E6563" s="2">
        <v>14.13</v>
      </c>
      <c r="F6563" s="2">
        <v>2</v>
      </c>
      <c r="G6563" s="2" t="s">
        <v>13</v>
      </c>
    </row>
    <row r="6564" spans="1:7" x14ac:dyDescent="0.2">
      <c r="A6564" s="2" t="s">
        <v>3361</v>
      </c>
      <c r="B6564" s="2" t="s">
        <v>1313</v>
      </c>
      <c r="C6564" s="2">
        <v>548.30909999999994</v>
      </c>
      <c r="D6564" s="2">
        <f>HYPERLINK("http://mcb-m6.bioreg.kyushu-u.ac.jp/M3/20110428/F51131/2243/1", 51.17)</f>
        <v>51.17</v>
      </c>
      <c r="E6564" s="2">
        <v>36.01</v>
      </c>
      <c r="F6564" s="2">
        <v>3</v>
      </c>
      <c r="G6564" s="2" t="s">
        <v>13</v>
      </c>
    </row>
    <row r="6565" spans="1:7" x14ac:dyDescent="0.2">
      <c r="A6565" s="2" t="s">
        <v>3361</v>
      </c>
      <c r="B6565" s="2" t="s">
        <v>709</v>
      </c>
      <c r="C6565" s="2">
        <v>518.45510000000002</v>
      </c>
      <c r="D6565" s="2">
        <f>HYPERLINK("http://mcb-m6.bioreg.kyushu-u.ac.jp/M3/20110427/F51114/1009/1", 57.34)</f>
        <v>57.34</v>
      </c>
      <c r="E6565" s="2">
        <v>39.14</v>
      </c>
      <c r="F6565" s="2">
        <v>2</v>
      </c>
      <c r="G6565" s="2" t="s">
        <v>13</v>
      </c>
    </row>
    <row r="6566" spans="1:7" x14ac:dyDescent="0.2">
      <c r="A6566" s="2" t="s">
        <v>3361</v>
      </c>
      <c r="B6566" s="2" t="s">
        <v>975</v>
      </c>
      <c r="C6566" s="2">
        <v>880.19069999999999</v>
      </c>
      <c r="D6566" s="2">
        <f>HYPERLINK("http://mcb-m6.bioreg.kyushu-u.ac.jp/M3/20110428/F51131/2478/1", 60.57)</f>
        <v>60.57</v>
      </c>
      <c r="E6566" s="2">
        <v>45.81</v>
      </c>
      <c r="F6566" s="2">
        <v>2</v>
      </c>
      <c r="G6566" s="2" t="s">
        <v>13</v>
      </c>
    </row>
    <row r="6567" spans="1:7" x14ac:dyDescent="0.2">
      <c r="A6567" s="2" t="s">
        <v>3361</v>
      </c>
      <c r="B6567" s="2" t="s">
        <v>1313</v>
      </c>
      <c r="C6567" s="2">
        <v>821.26170000000002</v>
      </c>
      <c r="D6567" s="2">
        <f>HYPERLINK("http://mcb-m6.bioreg.kyushu-u.ac.jp/M3/20110428/F51131/2240/1", 63.1)</f>
        <v>63.1</v>
      </c>
      <c r="E6567" s="2">
        <v>49.08</v>
      </c>
      <c r="F6567" s="2">
        <v>2</v>
      </c>
      <c r="G6567" s="2" t="s">
        <v>13</v>
      </c>
    </row>
    <row r="6568" spans="1:7" x14ac:dyDescent="0.2">
      <c r="A6568" s="2" t="s">
        <v>3361</v>
      </c>
      <c r="B6568" s="2" t="s">
        <v>1371</v>
      </c>
      <c r="C6568" s="2">
        <v>565.05359999999996</v>
      </c>
      <c r="D6568" s="2">
        <f>HYPERLINK("http://mcb-m6.bioreg.kyushu-u.ac.jp/M3/20110428/F51131/997/1", 67.14)</f>
        <v>67.14</v>
      </c>
      <c r="E6568" s="2">
        <v>33.64</v>
      </c>
      <c r="F6568" s="2">
        <v>2</v>
      </c>
      <c r="G6568" s="2" t="s">
        <v>13</v>
      </c>
    </row>
    <row r="6569" spans="1:7" x14ac:dyDescent="0.2">
      <c r="A6569" s="2" t="s">
        <v>3361</v>
      </c>
      <c r="B6569" s="2" t="s">
        <v>629</v>
      </c>
      <c r="C6569" s="2">
        <v>608.67269999999996</v>
      </c>
      <c r="D6569" s="2">
        <f>HYPERLINK("http://mcb-m6.bioreg.kyushu-u.ac.jp/M3/20110428/F51131/1201/1", 67.63)</f>
        <v>67.63</v>
      </c>
      <c r="E6569" s="2">
        <v>34.119999999999997</v>
      </c>
      <c r="F6569" s="2">
        <v>2</v>
      </c>
      <c r="G6569" s="2" t="s">
        <v>13</v>
      </c>
    </row>
    <row r="6570" spans="1:7" x14ac:dyDescent="0.2">
      <c r="A6570" s="2" t="s">
        <v>3361</v>
      </c>
      <c r="B6570" s="2" t="s">
        <v>1405</v>
      </c>
      <c r="C6570" s="2">
        <v>637.76509999999996</v>
      </c>
      <c r="D6570" s="2">
        <f>HYPERLINK("http://mcb-m6.bioreg.kyushu-u.ac.jp/M3/20110427/F51114/1516/1", 70.05)</f>
        <v>70.05</v>
      </c>
      <c r="E6570" s="2">
        <v>40.26</v>
      </c>
      <c r="F6570" s="2">
        <v>2</v>
      </c>
      <c r="G6570" s="2" t="s">
        <v>13</v>
      </c>
    </row>
    <row r="6571" spans="1:7" x14ac:dyDescent="0.2">
      <c r="A6571" s="2" t="s">
        <v>3361</v>
      </c>
      <c r="B6571" s="2" t="s">
        <v>816</v>
      </c>
      <c r="C6571" s="2">
        <v>765.55870000000004</v>
      </c>
      <c r="D6571" s="2">
        <f>HYPERLINK("http://mcb-m6.bioreg.kyushu-u.ac.jp/M3/20110428/F51131/1948/1", 72.01)</f>
        <v>72.010000000000005</v>
      </c>
      <c r="E6571" s="2">
        <v>49.12</v>
      </c>
      <c r="F6571" s="2">
        <v>2</v>
      </c>
      <c r="G6571" s="2" t="s">
        <v>13</v>
      </c>
    </row>
    <row r="6572" spans="1:7" x14ac:dyDescent="0.2">
      <c r="A6572" s="2" t="s">
        <v>3361</v>
      </c>
      <c r="B6572" s="2" t="s">
        <v>309</v>
      </c>
      <c r="C6572" s="2">
        <v>822.73069999999996</v>
      </c>
      <c r="D6572" s="2">
        <f>HYPERLINK("http://mcb-m6.bioreg.kyushu-u.ac.jp/M3/20110428/F51131/2245/1", 73.79)</f>
        <v>73.790000000000006</v>
      </c>
      <c r="E6572" s="2">
        <v>54.86</v>
      </c>
      <c r="F6572" s="2">
        <v>2</v>
      </c>
      <c r="G6572" s="2" t="s">
        <v>13</v>
      </c>
    </row>
    <row r="6573" spans="1:7" x14ac:dyDescent="0.2">
      <c r="A6573" s="2" t="s">
        <v>3361</v>
      </c>
      <c r="B6573" s="2" t="s">
        <v>1405</v>
      </c>
      <c r="C6573" s="2">
        <v>637.66819999999996</v>
      </c>
      <c r="D6573" s="2">
        <f>HYPERLINK("http://mcb-m6.bioreg.kyushu-u.ac.jp/M3/20110428/F51131/1307/1", 73.82)</f>
        <v>73.819999999999993</v>
      </c>
      <c r="E6573" s="2">
        <v>47.12</v>
      </c>
      <c r="F6573" s="2">
        <v>2</v>
      </c>
      <c r="G6573" s="2" t="s">
        <v>13</v>
      </c>
    </row>
    <row r="6574" spans="1:7" x14ac:dyDescent="0.2">
      <c r="A6574" s="2" t="s">
        <v>3361</v>
      </c>
      <c r="B6574" s="2" t="s">
        <v>1405</v>
      </c>
      <c r="C6574" s="2">
        <v>638.17219999999998</v>
      </c>
      <c r="D6574" s="2">
        <f>HYPERLINK("http://mcb-m6.bioreg.kyushu-u.ac.jp/M3/20110428/F51131/1309/1", 75.58)</f>
        <v>75.58</v>
      </c>
      <c r="E6574" s="2">
        <v>44.32</v>
      </c>
      <c r="F6574" s="2">
        <v>2</v>
      </c>
      <c r="G6574" s="2" t="s">
        <v>13</v>
      </c>
    </row>
    <row r="6575" spans="1:7" x14ac:dyDescent="0.2">
      <c r="A6575" s="2" t="s">
        <v>3361</v>
      </c>
      <c r="B6575" s="2" t="s">
        <v>864</v>
      </c>
      <c r="C6575" s="2">
        <v>696.59969999999998</v>
      </c>
      <c r="D6575" s="2">
        <f>HYPERLINK("http://mcb-m6.bioreg.kyushu-u.ac.jp/M3/20110428/F51131/1577/1", 89.81)</f>
        <v>89.81</v>
      </c>
      <c r="E6575" s="2">
        <v>76.349999999999994</v>
      </c>
      <c r="F6575" s="2">
        <v>2</v>
      </c>
      <c r="G6575" s="2" t="s">
        <v>13</v>
      </c>
    </row>
    <row r="6576" spans="1:7" x14ac:dyDescent="0.2">
      <c r="A6576" s="2" t="s">
        <v>3361</v>
      </c>
      <c r="B6576" s="2" t="s">
        <v>309</v>
      </c>
      <c r="C6576" s="2">
        <v>822.67219999999998</v>
      </c>
      <c r="D6576" s="2">
        <f>HYPERLINK("http://mcb-m6.bioreg.kyushu-u.ac.jp/M3/20110427/F51123/2432/1", 39.71)</f>
        <v>39.71</v>
      </c>
      <c r="E6576" s="2">
        <v>24.85</v>
      </c>
      <c r="F6576" s="2">
        <v>2</v>
      </c>
      <c r="G6576" s="2" t="s">
        <v>14</v>
      </c>
    </row>
    <row r="6577" spans="1:9" x14ac:dyDescent="0.2">
      <c r="A6577" s="2" t="s">
        <v>4099</v>
      </c>
      <c r="B6577" s="2" t="s">
        <v>1562</v>
      </c>
      <c r="C6577" s="2">
        <v>742.33259999999996</v>
      </c>
      <c r="D6577" s="2">
        <f>HYPERLINK("http://mcb-m6.bioreg.kyushu-u.ac.jp/M3/20110404/F50758/1916/1", 72.62)</f>
        <v>72.62</v>
      </c>
      <c r="E6577" s="2">
        <v>48.64</v>
      </c>
      <c r="F6577" s="2">
        <v>2</v>
      </c>
      <c r="G6577" s="2" t="s">
        <v>10</v>
      </c>
    </row>
    <row r="6578" spans="1:9" x14ac:dyDescent="0.2">
      <c r="A6578" s="2" t="s">
        <v>4066</v>
      </c>
      <c r="B6578" s="2" t="s">
        <v>1442</v>
      </c>
      <c r="C6578" s="2">
        <v>686.14070000000004</v>
      </c>
      <c r="D6578" s="2">
        <f>HYPERLINK("http://mcb-m6.bioreg.kyushu-u.ac.jp/M3/20110404/F50751/1923/1", 51.39)</f>
        <v>51.39</v>
      </c>
      <c r="E6578" s="2">
        <v>38.61</v>
      </c>
      <c r="F6578" s="2">
        <v>2</v>
      </c>
      <c r="G6578" s="2" t="s">
        <v>9</v>
      </c>
    </row>
    <row r="6579" spans="1:9" x14ac:dyDescent="0.2">
      <c r="A6579" s="2" t="s">
        <v>4066</v>
      </c>
      <c r="B6579" s="2" t="s">
        <v>1442</v>
      </c>
      <c r="C6579" s="2">
        <v>685.86869999999999</v>
      </c>
      <c r="D6579" s="2">
        <f>HYPERLINK("http://mcb-m6.bioreg.kyushu-u.ac.jp/M3/20110421/F51014/1873/1", 92.76)</f>
        <v>92.76</v>
      </c>
      <c r="E6579" s="2">
        <v>72.2</v>
      </c>
      <c r="F6579" s="2">
        <v>2</v>
      </c>
      <c r="G6579" s="2" t="s">
        <v>11</v>
      </c>
    </row>
    <row r="6580" spans="1:9" x14ac:dyDescent="0.2">
      <c r="A6580" s="2" t="s">
        <v>4066</v>
      </c>
      <c r="B6580" s="2" t="s">
        <v>1442</v>
      </c>
      <c r="C6580" s="2">
        <v>685.86770000000001</v>
      </c>
      <c r="D6580" s="2">
        <f>HYPERLINK("http://mcb-m6.bioreg.kyushu-u.ac.jp/M3/20110421/F51021/1745/1", 84.28)</f>
        <v>84.28</v>
      </c>
      <c r="E6580" s="2">
        <v>67.64</v>
      </c>
      <c r="F6580" s="2">
        <v>2</v>
      </c>
      <c r="G6580" s="2" t="s">
        <v>12</v>
      </c>
    </row>
    <row r="6581" spans="1:9" x14ac:dyDescent="0.2">
      <c r="A6581" s="2" t="s">
        <v>4066</v>
      </c>
      <c r="B6581" s="2" t="s">
        <v>1442</v>
      </c>
      <c r="C6581" s="2">
        <v>685.81769999999995</v>
      </c>
      <c r="D6581" s="2">
        <f>HYPERLINK("http://mcb-m6.bioreg.kyushu-u.ac.jp/M3/20110427/F51108/1821/1", 85.37)</f>
        <v>85.37</v>
      </c>
      <c r="E6581" s="2">
        <v>62.74</v>
      </c>
      <c r="F6581" s="2">
        <v>2</v>
      </c>
      <c r="G6581" s="2" t="s">
        <v>13</v>
      </c>
    </row>
    <row r="6582" spans="1:9" x14ac:dyDescent="0.2">
      <c r="A6582" s="2" t="s">
        <v>4066</v>
      </c>
      <c r="B6582" s="2" t="s">
        <v>1442</v>
      </c>
      <c r="C6582" s="2">
        <v>685.67359999999996</v>
      </c>
      <c r="D6582" s="2">
        <f>HYPERLINK("http://mcb-m6.bioreg.kyushu-u.ac.jp/M3/20110427/F51118/1869/1", 45.57)</f>
        <v>45.57</v>
      </c>
      <c r="E6582" s="2">
        <v>30.14</v>
      </c>
      <c r="F6582" s="2">
        <v>2</v>
      </c>
      <c r="G6582" s="2" t="s">
        <v>14</v>
      </c>
    </row>
    <row r="6583" spans="1:9" x14ac:dyDescent="0.2">
      <c r="A6583" s="2" t="s">
        <v>7623</v>
      </c>
      <c r="B6583" s="2" t="s">
        <v>6142</v>
      </c>
      <c r="C6583" s="2">
        <v>621.84770000000003</v>
      </c>
      <c r="D6583" s="2">
        <f>HYPERLINK("http://mcb-m6.bioreg.kyushu-u.ac.jp/M3/20110404/F50756/1444/1", 44.15)</f>
        <v>44.15</v>
      </c>
      <c r="E6583" s="2">
        <v>21.85</v>
      </c>
      <c r="F6583" s="2">
        <v>2</v>
      </c>
      <c r="G6583" s="2" t="s">
        <v>9</v>
      </c>
    </row>
    <row r="6584" spans="1:9" x14ac:dyDescent="0.2">
      <c r="A6584" s="2" t="s">
        <v>7623</v>
      </c>
      <c r="B6584" s="2" t="s">
        <v>6455</v>
      </c>
      <c r="C6584" s="2">
        <v>560.06020000000001</v>
      </c>
      <c r="D6584" s="2">
        <f>HYPERLINK("http://mcb-m6.bioreg.kyushu-u.ac.jp/M3/20110404/F50756/1188/1", 66.01)</f>
        <v>66.010000000000005</v>
      </c>
      <c r="E6584" s="2">
        <v>22.09</v>
      </c>
      <c r="F6584" s="2">
        <v>2</v>
      </c>
      <c r="G6584" s="2" t="s">
        <v>9</v>
      </c>
    </row>
    <row r="6585" spans="1:9" x14ac:dyDescent="0.2">
      <c r="A6585" s="2" t="s">
        <v>4606</v>
      </c>
      <c r="B6585" s="2" t="s">
        <v>2710</v>
      </c>
      <c r="C6585" s="2">
        <v>758.04169999999999</v>
      </c>
      <c r="D6585" s="2">
        <f>HYPERLINK("http://mcb-m6.bioreg.kyushu-u.ac.jp/M3/20110404/F50756/2045/1", 101.61)</f>
        <v>101.61</v>
      </c>
      <c r="E6585" s="2">
        <v>77.12</v>
      </c>
      <c r="F6585" s="2">
        <v>2</v>
      </c>
      <c r="G6585" s="2" t="s">
        <v>9</v>
      </c>
    </row>
    <row r="6586" spans="1:9" x14ac:dyDescent="0.2">
      <c r="A6586" s="2" t="s">
        <v>4606</v>
      </c>
      <c r="B6586" s="2" t="s">
        <v>2710</v>
      </c>
      <c r="C6586" s="2">
        <v>757.82920000000001</v>
      </c>
      <c r="D6586" s="2">
        <f>HYPERLINK("http://mcb-m6.bioreg.kyushu-u.ac.jp/M3/20110404/F50761/1901/1", 39.84)</f>
        <v>39.840000000000003</v>
      </c>
      <c r="E6586" s="2">
        <v>28.48</v>
      </c>
      <c r="F6586" s="2">
        <v>2</v>
      </c>
      <c r="G6586" s="2" t="s">
        <v>10</v>
      </c>
    </row>
    <row r="6587" spans="1:9" x14ac:dyDescent="0.2">
      <c r="A6587" s="2" t="s">
        <v>4606</v>
      </c>
      <c r="B6587" s="2" t="s">
        <v>2710</v>
      </c>
      <c r="C6587" s="2">
        <v>758.36220000000003</v>
      </c>
      <c r="D6587" s="2">
        <f>HYPERLINK("http://mcb-m6.bioreg.kyushu-u.ac.jp/M3/20110404/F50761/1904/1", 105.45)</f>
        <v>105.45</v>
      </c>
      <c r="E6587" s="2">
        <v>82.65</v>
      </c>
      <c r="F6587" s="2">
        <v>2</v>
      </c>
      <c r="G6587" s="2" t="s">
        <v>10</v>
      </c>
    </row>
    <row r="6588" spans="1:9" x14ac:dyDescent="0.2">
      <c r="A6588" s="2" t="s">
        <v>4627</v>
      </c>
      <c r="B6588" s="2" t="s">
        <v>6373</v>
      </c>
      <c r="C6588" s="2">
        <v>685.45820000000003</v>
      </c>
      <c r="D6588" s="2">
        <f>HYPERLINK("http://mcb-m6.bioreg.kyushu-u.ac.jp/M3/20110404/F50754/1899/1", 57.19)</f>
        <v>57.19</v>
      </c>
      <c r="E6588" s="2">
        <v>29.43</v>
      </c>
      <c r="F6588" s="2">
        <v>2</v>
      </c>
      <c r="G6588" s="2" t="s">
        <v>9</v>
      </c>
    </row>
    <row r="6589" spans="1:9" x14ac:dyDescent="0.2">
      <c r="A6589" s="2" t="s">
        <v>4627</v>
      </c>
      <c r="B6589" s="2" t="s">
        <v>2769</v>
      </c>
      <c r="C6589" s="2">
        <v>854.74220000000003</v>
      </c>
      <c r="D6589" s="2">
        <f>HYPERLINK("http://mcb-m6.bioreg.kyushu-u.ac.jp/M3/20110421/F51018/2573/1", 71.49)</f>
        <v>71.489999999999995</v>
      </c>
      <c r="E6589" s="2">
        <v>55.45</v>
      </c>
      <c r="F6589" s="2">
        <v>2</v>
      </c>
      <c r="G6589" s="2" t="s">
        <v>11</v>
      </c>
      <c r="I6589" s="2" t="s">
        <v>4895</v>
      </c>
    </row>
    <row r="6590" spans="1:9" x14ac:dyDescent="0.2">
      <c r="A6590" s="2" t="s">
        <v>3768</v>
      </c>
      <c r="B6590" s="2" t="s">
        <v>789</v>
      </c>
      <c r="C6590" s="2">
        <v>623.82169999999996</v>
      </c>
      <c r="D6590" s="2">
        <f>HYPERLINK("http://mcb-m6.bioreg.kyushu-u.ac.jp/M3/20110404/F50753/1588/1", 53.66)</f>
        <v>53.66</v>
      </c>
      <c r="E6590" s="2">
        <v>31.24</v>
      </c>
      <c r="F6590" s="2">
        <v>2</v>
      </c>
      <c r="G6590" s="2" t="s">
        <v>9</v>
      </c>
    </row>
    <row r="6591" spans="1:9" x14ac:dyDescent="0.2">
      <c r="A6591" s="2" t="s">
        <v>3768</v>
      </c>
      <c r="B6591" s="2" t="s">
        <v>993</v>
      </c>
      <c r="C6591" s="2">
        <v>677.60270000000003</v>
      </c>
      <c r="D6591" s="2">
        <f>HYPERLINK("http://mcb-m6.bioreg.kyushu-u.ac.jp/M3/20110404/F50753/1746/1", 88.68)</f>
        <v>88.68</v>
      </c>
      <c r="E6591" s="2">
        <v>61.82</v>
      </c>
      <c r="F6591" s="2">
        <v>2</v>
      </c>
      <c r="G6591" s="2" t="s">
        <v>9</v>
      </c>
    </row>
    <row r="6592" spans="1:9" x14ac:dyDescent="0.2">
      <c r="A6592" s="2" t="s">
        <v>3768</v>
      </c>
      <c r="B6592" s="2" t="s">
        <v>993</v>
      </c>
      <c r="C6592" s="2">
        <v>678.11659999999995</v>
      </c>
      <c r="D6592" s="2">
        <f>HYPERLINK("http://mcb-m6.bioreg.kyushu-u.ac.jp/M3/20110404/F50753/1747/1", 89.19)</f>
        <v>89.19</v>
      </c>
      <c r="E6592" s="2">
        <v>62.33</v>
      </c>
      <c r="F6592" s="2">
        <v>2</v>
      </c>
      <c r="G6592" s="2" t="s">
        <v>9</v>
      </c>
    </row>
    <row r="6593" spans="1:9" x14ac:dyDescent="0.2">
      <c r="A6593" s="2" t="s">
        <v>5697</v>
      </c>
      <c r="B6593" s="2" t="s">
        <v>5231</v>
      </c>
      <c r="C6593" s="2">
        <v>642.68820000000005</v>
      </c>
      <c r="D6593" s="2">
        <f>HYPERLINK("http://mcb-m6.bioreg.kyushu-u.ac.jp/M3/20110404/F50753/1635/1", 45.36)</f>
        <v>45.36</v>
      </c>
      <c r="E6593" s="2">
        <v>24.01</v>
      </c>
      <c r="F6593" s="2">
        <v>2</v>
      </c>
      <c r="G6593" s="2" t="s">
        <v>9</v>
      </c>
      <c r="H6593" s="2" t="s">
        <v>4917</v>
      </c>
      <c r="I6593" s="2" t="s">
        <v>4893</v>
      </c>
    </row>
    <row r="6594" spans="1:9" x14ac:dyDescent="0.2">
      <c r="A6594" s="2" t="s">
        <v>5697</v>
      </c>
      <c r="B6594" s="2" t="s">
        <v>5231</v>
      </c>
      <c r="C6594" s="2">
        <v>635.17660000000001</v>
      </c>
      <c r="D6594" s="2">
        <f>HYPERLINK("http://mcb-m6.bioreg.kyushu-u.ac.jp/M3/20110404/F50758/1550/1", 42.02)</f>
        <v>42.02</v>
      </c>
      <c r="E6594" s="2">
        <v>18.28</v>
      </c>
      <c r="F6594" s="2">
        <v>2</v>
      </c>
      <c r="G6594" s="2" t="s">
        <v>10</v>
      </c>
      <c r="I6594" s="2" t="s">
        <v>4893</v>
      </c>
    </row>
    <row r="6595" spans="1:9" x14ac:dyDescent="0.2">
      <c r="A6595" s="2" t="s">
        <v>3691</v>
      </c>
      <c r="B6595" s="2" t="s">
        <v>6405</v>
      </c>
      <c r="C6595" s="2">
        <v>563.2577</v>
      </c>
      <c r="D6595" s="2">
        <f>HYPERLINK("http://mcb-m6.bioreg.kyushu-u.ac.jp/M3/20110404/F50756/1204/1", 60.62)</f>
        <v>60.62</v>
      </c>
      <c r="E6595" s="2">
        <v>38.659999999999997</v>
      </c>
      <c r="F6595" s="2">
        <v>2</v>
      </c>
      <c r="G6595" s="2" t="s">
        <v>9</v>
      </c>
    </row>
    <row r="6596" spans="1:9" x14ac:dyDescent="0.2">
      <c r="A6596" s="2" t="s">
        <v>3691</v>
      </c>
      <c r="B6596" s="2" t="s">
        <v>661</v>
      </c>
      <c r="C6596" s="2">
        <v>831.13459999999998</v>
      </c>
      <c r="D6596" s="2">
        <f>HYPERLINK("http://mcb-m6.bioreg.kyushu-u.ac.jp/M3/20110404/F50756/2381/1", 66.33)</f>
        <v>66.33</v>
      </c>
      <c r="E6596" s="2">
        <v>47.23</v>
      </c>
      <c r="F6596" s="2">
        <v>2</v>
      </c>
      <c r="G6596" s="2" t="s">
        <v>9</v>
      </c>
      <c r="H6596" s="2" t="s">
        <v>4900</v>
      </c>
    </row>
    <row r="6597" spans="1:9" x14ac:dyDescent="0.2">
      <c r="A6597" s="2" t="s">
        <v>3691</v>
      </c>
      <c r="B6597" s="2" t="s">
        <v>661</v>
      </c>
      <c r="C6597" s="2">
        <v>822.71619999999996</v>
      </c>
      <c r="D6597" s="2">
        <f>HYPERLINK("http://mcb-m6.bioreg.kyushu-u.ac.jp/M3/20110404/F50756/2349/1", 70.19)</f>
        <v>70.19</v>
      </c>
      <c r="E6597" s="2">
        <v>50.05</v>
      </c>
      <c r="F6597" s="2">
        <v>2</v>
      </c>
      <c r="G6597" s="2" t="s">
        <v>9</v>
      </c>
    </row>
    <row r="6598" spans="1:9" x14ac:dyDescent="0.2">
      <c r="A6598" s="2" t="s">
        <v>3691</v>
      </c>
      <c r="B6598" s="2" t="s">
        <v>6537</v>
      </c>
      <c r="C6598" s="2">
        <v>700.37159999999994</v>
      </c>
      <c r="D6598" s="2">
        <f>HYPERLINK("http://mcb-m6.bioreg.kyushu-u.ac.jp/M3/20110404/F50756/1740/1", 76.35)</f>
        <v>76.349999999999994</v>
      </c>
      <c r="E6598" s="2">
        <v>59.22</v>
      </c>
      <c r="F6598" s="2">
        <v>2</v>
      </c>
      <c r="G6598" s="2" t="s">
        <v>9</v>
      </c>
    </row>
    <row r="6599" spans="1:9" x14ac:dyDescent="0.2">
      <c r="A6599" s="2" t="s">
        <v>3691</v>
      </c>
      <c r="B6599" s="2" t="s">
        <v>3075</v>
      </c>
      <c r="C6599" s="2">
        <v>852.45069999999998</v>
      </c>
      <c r="D6599" s="2">
        <f>HYPERLINK("http://mcb-m6.bioreg.kyushu-u.ac.jp/M3/20110404/F50756/2468/1", 83.79)</f>
        <v>83.79</v>
      </c>
      <c r="E6599" s="2">
        <v>67.34</v>
      </c>
      <c r="F6599" s="2">
        <v>2</v>
      </c>
      <c r="G6599" s="2" t="s">
        <v>9</v>
      </c>
    </row>
    <row r="6600" spans="1:9" x14ac:dyDescent="0.2">
      <c r="A6600" s="2" t="s">
        <v>3691</v>
      </c>
      <c r="B6600" s="2" t="s">
        <v>3075</v>
      </c>
      <c r="C6600" s="2">
        <v>851.84310000000005</v>
      </c>
      <c r="D6600" s="2">
        <f>HYPERLINK("http://mcb-m6.bioreg.kyushu-u.ac.jp/M3/20110404/F50756/2467/1", 90.8)</f>
        <v>90.8</v>
      </c>
      <c r="E6600" s="2">
        <v>77.099999999999994</v>
      </c>
      <c r="F6600" s="2">
        <v>2</v>
      </c>
      <c r="G6600" s="2" t="s">
        <v>9</v>
      </c>
    </row>
    <row r="6601" spans="1:9" x14ac:dyDescent="0.2">
      <c r="A6601" s="2" t="s">
        <v>3691</v>
      </c>
      <c r="B6601" s="2" t="s">
        <v>661</v>
      </c>
      <c r="C6601" s="2">
        <v>830.97559999999999</v>
      </c>
      <c r="D6601" s="2">
        <f>HYPERLINK("http://mcb-m6.bioreg.kyushu-u.ac.jp/M3/20110404/F50761/2200/1", 55.87)</f>
        <v>55.87</v>
      </c>
      <c r="E6601" s="2">
        <v>23.26</v>
      </c>
      <c r="F6601" s="2">
        <v>2</v>
      </c>
      <c r="G6601" s="2" t="s">
        <v>10</v>
      </c>
      <c r="H6601" s="2" t="s">
        <v>4900</v>
      </c>
    </row>
    <row r="6602" spans="1:9" x14ac:dyDescent="0.2">
      <c r="A6602" s="2" t="s">
        <v>3691</v>
      </c>
      <c r="B6602" s="2" t="s">
        <v>661</v>
      </c>
      <c r="C6602" s="2">
        <v>823.4316</v>
      </c>
      <c r="D6602" s="2">
        <f>HYPERLINK("http://mcb-m6.bioreg.kyushu-u.ac.jp/M3/20110404/F50761/2172/1", 70.69)</f>
        <v>70.69</v>
      </c>
      <c r="E6602" s="2">
        <v>59.55</v>
      </c>
      <c r="F6602" s="2">
        <v>2</v>
      </c>
      <c r="G6602" s="2" t="s">
        <v>10</v>
      </c>
    </row>
    <row r="6603" spans="1:9" x14ac:dyDescent="0.2">
      <c r="A6603" s="2" t="s">
        <v>3691</v>
      </c>
      <c r="B6603" s="2" t="s">
        <v>661</v>
      </c>
      <c r="C6603" s="2">
        <v>822.81669999999997</v>
      </c>
      <c r="D6603" s="2">
        <f>HYPERLINK("http://mcb-m6.bioreg.kyushu-u.ac.jp/M3/20110404/F50761/2171/1", 100)</f>
        <v>100</v>
      </c>
      <c r="E6603" s="2">
        <v>86.94</v>
      </c>
      <c r="F6603" s="2">
        <v>2</v>
      </c>
      <c r="G6603" s="2" t="s">
        <v>10</v>
      </c>
    </row>
    <row r="6604" spans="1:9" x14ac:dyDescent="0.2">
      <c r="A6604" s="2" t="s">
        <v>3691</v>
      </c>
      <c r="B6604" s="2" t="s">
        <v>661</v>
      </c>
      <c r="C6604" s="2">
        <v>831.25670000000002</v>
      </c>
      <c r="D6604" s="2">
        <f>HYPERLINK("http://mcb-m6.bioreg.kyushu-u.ac.jp/M3/20110421/F51034/2472/1", 48.13)</f>
        <v>48.13</v>
      </c>
      <c r="E6604" s="2">
        <v>41.82</v>
      </c>
      <c r="F6604" s="2">
        <v>2</v>
      </c>
      <c r="G6604" s="2" t="s">
        <v>11</v>
      </c>
      <c r="H6604" s="2" t="s">
        <v>4900</v>
      </c>
    </row>
    <row r="6605" spans="1:9" x14ac:dyDescent="0.2">
      <c r="A6605" s="2" t="s">
        <v>3691</v>
      </c>
      <c r="B6605" s="2" t="s">
        <v>661</v>
      </c>
      <c r="C6605" s="2">
        <v>830.91219999999998</v>
      </c>
      <c r="D6605" s="2">
        <f>HYPERLINK("http://mcb-m6.bioreg.kyushu-u.ac.jp/M3/20110421/F51044/2473/1", 61.79)</f>
        <v>61.79</v>
      </c>
      <c r="E6605" s="2">
        <v>39.24</v>
      </c>
      <c r="F6605" s="2">
        <v>2</v>
      </c>
      <c r="G6605" s="2" t="s">
        <v>12</v>
      </c>
      <c r="H6605" s="2" t="s">
        <v>4900</v>
      </c>
    </row>
    <row r="6606" spans="1:9" x14ac:dyDescent="0.2">
      <c r="A6606" s="2" t="s">
        <v>3691</v>
      </c>
      <c r="B6606" s="2" t="s">
        <v>7287</v>
      </c>
      <c r="C6606" s="2">
        <v>883.4307</v>
      </c>
      <c r="D6606" s="2">
        <f>HYPERLINK("http://mcb-m6.bioreg.kyushu-u.ac.jp/M3/20110427/F51114/2758/1", 35.72)</f>
        <v>35.72</v>
      </c>
      <c r="E6606" s="2">
        <v>20.99</v>
      </c>
      <c r="F6606" s="2">
        <v>2</v>
      </c>
      <c r="G6606" s="2" t="s">
        <v>13</v>
      </c>
    </row>
    <row r="6607" spans="1:9" x14ac:dyDescent="0.2">
      <c r="A6607" s="2" t="s">
        <v>3691</v>
      </c>
      <c r="B6607" s="2" t="s">
        <v>832</v>
      </c>
      <c r="C6607" s="2">
        <v>846.74959999999999</v>
      </c>
      <c r="D6607" s="2">
        <f>HYPERLINK("http://mcb-m6.bioreg.kyushu-u.ac.jp/M3/20110427/F51114/2599/1", 36.2)</f>
        <v>36.200000000000003</v>
      </c>
      <c r="E6607" s="2">
        <v>21.73</v>
      </c>
      <c r="F6607" s="2">
        <v>2</v>
      </c>
      <c r="G6607" s="2" t="s">
        <v>13</v>
      </c>
    </row>
    <row r="6608" spans="1:9" x14ac:dyDescent="0.2">
      <c r="A6608" s="2" t="s">
        <v>3691</v>
      </c>
      <c r="B6608" s="2" t="s">
        <v>6405</v>
      </c>
      <c r="C6608" s="2">
        <v>563.11159999999995</v>
      </c>
      <c r="D6608" s="2">
        <f>HYPERLINK("http://mcb-m6.bioreg.kyushu-u.ac.jp/M3/20110427/F51114/1200/1", 43.37)</f>
        <v>43.37</v>
      </c>
      <c r="E6608" s="2">
        <v>11.62</v>
      </c>
      <c r="F6608" s="2">
        <v>2</v>
      </c>
      <c r="G6608" s="2" t="s">
        <v>13</v>
      </c>
    </row>
    <row r="6609" spans="1:8" x14ac:dyDescent="0.2">
      <c r="A6609" s="2" t="s">
        <v>3691</v>
      </c>
      <c r="B6609" s="2" t="s">
        <v>6537</v>
      </c>
      <c r="C6609" s="2">
        <v>700.16920000000005</v>
      </c>
      <c r="D6609" s="2">
        <f>HYPERLINK("http://mcb-m6.bioreg.kyushu-u.ac.jp/M3/20110427/F51114/1830/1", 51.04)</f>
        <v>51.04</v>
      </c>
      <c r="E6609" s="2">
        <v>30.67</v>
      </c>
      <c r="F6609" s="2">
        <v>2</v>
      </c>
      <c r="G6609" s="2" t="s">
        <v>13</v>
      </c>
    </row>
    <row r="6610" spans="1:8" x14ac:dyDescent="0.2">
      <c r="A6610" s="2" t="s">
        <v>3691</v>
      </c>
      <c r="B6610" s="2" t="s">
        <v>661</v>
      </c>
      <c r="C6610" s="2">
        <v>830.76070000000004</v>
      </c>
      <c r="D6610" s="2">
        <f>HYPERLINK("http://mcb-m6.bioreg.kyushu-u.ac.jp/M3/20110427/F51114/2544/1", 52.45)</f>
        <v>52.45</v>
      </c>
      <c r="E6610" s="2">
        <v>14.01</v>
      </c>
      <c r="F6610" s="2">
        <v>2</v>
      </c>
      <c r="G6610" s="2" t="s">
        <v>13</v>
      </c>
      <c r="H6610" s="2" t="s">
        <v>4900</v>
      </c>
    </row>
    <row r="6611" spans="1:8" x14ac:dyDescent="0.2">
      <c r="A6611" s="2" t="s">
        <v>3691</v>
      </c>
      <c r="B6611" s="2" t="s">
        <v>661</v>
      </c>
      <c r="C6611" s="2">
        <v>831.28610000000003</v>
      </c>
      <c r="D6611" s="2">
        <f>HYPERLINK("http://mcb-m6.bioreg.kyushu-u.ac.jp/M3/20110427/F51114/2547/1", 53.71)</f>
        <v>53.71</v>
      </c>
      <c r="E6611" s="2">
        <v>42.35</v>
      </c>
      <c r="F6611" s="2">
        <v>2</v>
      </c>
      <c r="G6611" s="2" t="s">
        <v>13</v>
      </c>
      <c r="H6611" s="2" t="s">
        <v>4900</v>
      </c>
    </row>
    <row r="6612" spans="1:8" x14ac:dyDescent="0.2">
      <c r="A6612" s="2" t="s">
        <v>3691</v>
      </c>
      <c r="B6612" s="2" t="s">
        <v>714</v>
      </c>
      <c r="C6612" s="2">
        <v>546.51070000000004</v>
      </c>
      <c r="D6612" s="2">
        <f>HYPERLINK("http://mcb-m6.bioreg.kyushu-u.ac.jp/M3/20110427/F51114/1149/1", 59.91)</f>
        <v>59.91</v>
      </c>
      <c r="E6612" s="2">
        <v>32.659999999999997</v>
      </c>
      <c r="F6612" s="2">
        <v>2</v>
      </c>
      <c r="G6612" s="2" t="s">
        <v>13</v>
      </c>
    </row>
    <row r="6613" spans="1:8" x14ac:dyDescent="0.2">
      <c r="A6613" s="2" t="s">
        <v>3691</v>
      </c>
      <c r="B6613" s="2" t="s">
        <v>3075</v>
      </c>
      <c r="C6613" s="2">
        <v>851.78859999999997</v>
      </c>
      <c r="D6613" s="2">
        <f>HYPERLINK("http://mcb-m6.bioreg.kyushu-u.ac.jp/M3/20110427/F51114/2635/1", 85.17)</f>
        <v>85.17</v>
      </c>
      <c r="E6613" s="2">
        <v>70.59</v>
      </c>
      <c r="F6613" s="2">
        <v>2</v>
      </c>
      <c r="G6613" s="2" t="s">
        <v>13</v>
      </c>
    </row>
    <row r="6614" spans="1:8" x14ac:dyDescent="0.2">
      <c r="A6614" s="2" t="s">
        <v>3691</v>
      </c>
      <c r="B6614" s="2" t="s">
        <v>661</v>
      </c>
      <c r="C6614" s="2">
        <v>822.81669999999997</v>
      </c>
      <c r="D6614" s="2">
        <f>HYPERLINK("http://mcb-m6.bioreg.kyushu-u.ac.jp/M3/20110427/F51114/2513/1", 98.74)</f>
        <v>98.74</v>
      </c>
      <c r="E6614" s="2">
        <v>83.07</v>
      </c>
      <c r="F6614" s="2">
        <v>2</v>
      </c>
      <c r="G6614" s="2" t="s">
        <v>13</v>
      </c>
    </row>
    <row r="6615" spans="1:8" x14ac:dyDescent="0.2">
      <c r="A6615" s="2" t="s">
        <v>3691</v>
      </c>
      <c r="B6615" s="2" t="s">
        <v>661</v>
      </c>
      <c r="C6615" s="2">
        <v>830.87710000000004</v>
      </c>
      <c r="D6615" s="2">
        <f>HYPERLINK("http://mcb-m6.bioreg.kyushu-u.ac.jp/M3/20110427/F51123/2473/1", 44.93)</f>
        <v>44.93</v>
      </c>
      <c r="E6615" s="2">
        <v>26.84</v>
      </c>
      <c r="F6615" s="2">
        <v>2</v>
      </c>
      <c r="G6615" s="2" t="s">
        <v>14</v>
      </c>
      <c r="H6615" s="2" t="s">
        <v>4900</v>
      </c>
    </row>
    <row r="6616" spans="1:8" x14ac:dyDescent="0.2">
      <c r="A6616" s="2" t="s">
        <v>3691</v>
      </c>
      <c r="B6616" s="2" t="s">
        <v>714</v>
      </c>
      <c r="C6616" s="2">
        <v>547.23720000000003</v>
      </c>
      <c r="D6616" s="2">
        <f>HYPERLINK("http://mcb-m6.bioreg.kyushu-u.ac.jp/M3/20110427/F51123/1232/1", 46.21)</f>
        <v>46.21</v>
      </c>
      <c r="E6616" s="2">
        <v>25.5</v>
      </c>
      <c r="F6616" s="2">
        <v>2</v>
      </c>
      <c r="G6616" s="2" t="s">
        <v>14</v>
      </c>
    </row>
    <row r="6617" spans="1:8" x14ac:dyDescent="0.2">
      <c r="A6617" s="2" t="s">
        <v>3691</v>
      </c>
      <c r="B6617" s="2" t="s">
        <v>661</v>
      </c>
      <c r="C6617" s="2">
        <v>823.26760000000002</v>
      </c>
      <c r="D6617" s="2">
        <f>HYPERLINK("http://mcb-m6.bioreg.kyushu-u.ac.jp/M3/20110427/F51123/2436/1", 79.41)</f>
        <v>79.41</v>
      </c>
      <c r="E6617" s="2">
        <v>65.459999999999994</v>
      </c>
      <c r="F6617" s="2">
        <v>2</v>
      </c>
      <c r="G6617" s="2" t="s">
        <v>14</v>
      </c>
    </row>
    <row r="6618" spans="1:8" x14ac:dyDescent="0.2">
      <c r="A6618" s="2" t="s">
        <v>7767</v>
      </c>
      <c r="B6618" s="2" t="s">
        <v>6601</v>
      </c>
      <c r="C6618" s="2">
        <v>733.40620000000001</v>
      </c>
      <c r="D6618" s="2">
        <f>HYPERLINK("http://mcb-m6.bioreg.kyushu-u.ac.jp/M3/20110404/F50777/1889/1", 89.79)</f>
        <v>89.79</v>
      </c>
      <c r="E6618" s="2">
        <v>72.75</v>
      </c>
      <c r="F6618" s="2">
        <v>2</v>
      </c>
      <c r="G6618" s="2" t="s">
        <v>9</v>
      </c>
    </row>
    <row r="6619" spans="1:8" x14ac:dyDescent="0.2">
      <c r="A6619" s="2" t="s">
        <v>7767</v>
      </c>
      <c r="B6619" s="2" t="s">
        <v>6601</v>
      </c>
      <c r="C6619" s="2">
        <v>733.90120000000002</v>
      </c>
      <c r="D6619" s="2">
        <f>HYPERLINK("http://mcb-m6.bioreg.kyushu-u.ac.jp/M3/20110404/F50774/1865/1", 67.03)</f>
        <v>67.03</v>
      </c>
      <c r="E6619" s="2">
        <v>47.1</v>
      </c>
      <c r="F6619" s="2">
        <v>2</v>
      </c>
      <c r="G6619" s="2" t="s">
        <v>10</v>
      </c>
    </row>
    <row r="6620" spans="1:8" x14ac:dyDescent="0.2">
      <c r="A6620" s="2" t="s">
        <v>7767</v>
      </c>
      <c r="B6620" s="2" t="s">
        <v>6601</v>
      </c>
      <c r="C6620" s="2">
        <v>733.84010000000001</v>
      </c>
      <c r="D6620" s="2">
        <f>HYPERLINK("http://mcb-m6.bioreg.kyushu-u.ac.jp/M3/20110421/F51037/1963/1", 35.9)</f>
        <v>35.9</v>
      </c>
      <c r="E6620" s="2">
        <v>19.84</v>
      </c>
      <c r="F6620" s="2">
        <v>2</v>
      </c>
      <c r="G6620" s="2" t="s">
        <v>11</v>
      </c>
    </row>
    <row r="6621" spans="1:8" x14ac:dyDescent="0.2">
      <c r="A6621" s="2" t="s">
        <v>3827</v>
      </c>
      <c r="B6621" s="2" t="s">
        <v>899</v>
      </c>
      <c r="C6621" s="2">
        <v>1228.4639999999999</v>
      </c>
      <c r="D6621" s="2">
        <f>HYPERLINK("http://mcb-m6.bioreg.kyushu-u.ac.jp/M3/20110404/F50777/1394/1", 39.18)</f>
        <v>39.18</v>
      </c>
      <c r="E6621" s="2">
        <v>21.56</v>
      </c>
      <c r="F6621" s="2">
        <v>1</v>
      </c>
      <c r="G6621" s="2" t="s">
        <v>9</v>
      </c>
    </row>
    <row r="6622" spans="1:8" x14ac:dyDescent="0.2">
      <c r="A6622" s="2" t="s">
        <v>3827</v>
      </c>
      <c r="B6622" s="2" t="s">
        <v>899</v>
      </c>
      <c r="C6622" s="2">
        <v>615.2577</v>
      </c>
      <c r="D6622" s="2">
        <f>HYPERLINK("http://mcb-m6.bioreg.kyushu-u.ac.jp/M3/20110404/F50777/1395/1", 42.19)</f>
        <v>42.19</v>
      </c>
      <c r="E6622" s="2">
        <v>21.56</v>
      </c>
      <c r="F6622" s="2">
        <v>2</v>
      </c>
      <c r="G6622" s="2" t="s">
        <v>9</v>
      </c>
    </row>
    <row r="6623" spans="1:8" x14ac:dyDescent="0.2">
      <c r="A6623" s="2" t="s">
        <v>3827</v>
      </c>
      <c r="B6623" s="2" t="s">
        <v>899</v>
      </c>
      <c r="C6623" s="2">
        <v>1228.623</v>
      </c>
      <c r="D6623" s="2">
        <f>HYPERLINK("http://mcb-m6.bioreg.kyushu-u.ac.jp/M3/20110404/F50774/1415/1", 39.53)</f>
        <v>39.53</v>
      </c>
      <c r="E6623" s="2">
        <v>25.3</v>
      </c>
      <c r="F6623" s="2">
        <v>1</v>
      </c>
      <c r="G6623" s="2" t="s">
        <v>10</v>
      </c>
    </row>
    <row r="6624" spans="1:8" x14ac:dyDescent="0.2">
      <c r="A6624" s="2" t="s">
        <v>3827</v>
      </c>
      <c r="B6624" s="2" t="s">
        <v>899</v>
      </c>
      <c r="C6624" s="2">
        <v>614.78610000000003</v>
      </c>
      <c r="D6624" s="2">
        <f>HYPERLINK("http://mcb-m6.bioreg.kyushu-u.ac.jp/M3/20110404/F50774/1414/1", 68.21)</f>
        <v>68.209999999999994</v>
      </c>
      <c r="E6624" s="2">
        <v>47.12</v>
      </c>
      <c r="F6624" s="2">
        <v>2</v>
      </c>
      <c r="G6624" s="2" t="s">
        <v>10</v>
      </c>
    </row>
    <row r="6625" spans="1:7" x14ac:dyDescent="0.2">
      <c r="A6625" s="2" t="s">
        <v>3827</v>
      </c>
      <c r="B6625" s="2" t="s">
        <v>899</v>
      </c>
      <c r="C6625" s="2">
        <v>1228.5029999999999</v>
      </c>
      <c r="D6625" s="2">
        <f>HYPERLINK("http://mcb-m6.bioreg.kyushu-u.ac.jp/M3/20110421/F51037/1319/1", 39.22)</f>
        <v>39.22</v>
      </c>
      <c r="E6625" s="2">
        <v>23.76</v>
      </c>
      <c r="F6625" s="2">
        <v>1</v>
      </c>
      <c r="G6625" s="2" t="s">
        <v>11</v>
      </c>
    </row>
    <row r="6626" spans="1:7" x14ac:dyDescent="0.2">
      <c r="A6626" s="2" t="s">
        <v>3827</v>
      </c>
      <c r="B6626" s="2" t="s">
        <v>899</v>
      </c>
      <c r="C6626" s="2">
        <v>614.83969999999999</v>
      </c>
      <c r="D6626" s="2">
        <f>HYPERLINK("http://mcb-m6.bioreg.kyushu-u.ac.jp/M3/20110421/F51037/1322/1", 53.37)</f>
        <v>53.37</v>
      </c>
      <c r="E6626" s="2">
        <v>34.46</v>
      </c>
      <c r="F6626" s="2">
        <v>2</v>
      </c>
      <c r="G6626" s="2" t="s">
        <v>11</v>
      </c>
    </row>
    <row r="6627" spans="1:7" x14ac:dyDescent="0.2">
      <c r="A6627" s="2" t="s">
        <v>3827</v>
      </c>
      <c r="B6627" s="2" t="s">
        <v>899</v>
      </c>
      <c r="C6627" s="2">
        <v>615.33810000000005</v>
      </c>
      <c r="D6627" s="2">
        <f>HYPERLINK("http://mcb-m6.bioreg.kyushu-u.ac.jp/M3/20110421/F51039/1463/1", 54.27)</f>
        <v>54.27</v>
      </c>
      <c r="E6627" s="2">
        <v>32.81</v>
      </c>
      <c r="F6627" s="2">
        <v>2</v>
      </c>
      <c r="G6627" s="2" t="s">
        <v>11</v>
      </c>
    </row>
    <row r="6628" spans="1:7" x14ac:dyDescent="0.2">
      <c r="A6628" s="2" t="s">
        <v>3827</v>
      </c>
      <c r="B6628" s="2" t="s">
        <v>899</v>
      </c>
      <c r="C6628" s="2">
        <v>614.67909999999995</v>
      </c>
      <c r="D6628" s="2">
        <f>HYPERLINK("http://mcb-m6.bioreg.kyushu-u.ac.jp/M3/20110421/F51037/1317/1", 63.14)</f>
        <v>63.14</v>
      </c>
      <c r="E6628" s="2">
        <v>44.11</v>
      </c>
      <c r="F6628" s="2">
        <v>2</v>
      </c>
      <c r="G6628" s="2" t="s">
        <v>11</v>
      </c>
    </row>
    <row r="6629" spans="1:7" x14ac:dyDescent="0.2">
      <c r="A6629" s="2" t="s">
        <v>3827</v>
      </c>
      <c r="B6629" s="2" t="s">
        <v>899</v>
      </c>
      <c r="C6629" s="2">
        <v>614.76919999999996</v>
      </c>
      <c r="D6629" s="2">
        <f>HYPERLINK("http://mcb-m6.bioreg.kyushu-u.ac.jp/M3/20110421/F51039/1461/1", 64.6)</f>
        <v>64.599999999999994</v>
      </c>
      <c r="E6629" s="2">
        <v>45.06</v>
      </c>
      <c r="F6629" s="2">
        <v>2</v>
      </c>
      <c r="G6629" s="2" t="s">
        <v>11</v>
      </c>
    </row>
    <row r="6630" spans="1:7" x14ac:dyDescent="0.2">
      <c r="A6630" s="2" t="s">
        <v>3827</v>
      </c>
      <c r="B6630" s="2" t="s">
        <v>899</v>
      </c>
      <c r="C6630" s="2">
        <v>1228.739</v>
      </c>
      <c r="D6630" s="2">
        <f>HYPERLINK("http://mcb-m6.bioreg.kyushu-u.ac.jp/M3/20110421/F51047/1515/1", 48.35)</f>
        <v>48.35</v>
      </c>
      <c r="E6630" s="2">
        <v>19.829999999999998</v>
      </c>
      <c r="F6630" s="2">
        <v>1</v>
      </c>
      <c r="G6630" s="2" t="s">
        <v>12</v>
      </c>
    </row>
    <row r="6631" spans="1:7" x14ac:dyDescent="0.2">
      <c r="A6631" s="2" t="s">
        <v>3827</v>
      </c>
      <c r="B6631" s="2" t="s">
        <v>899</v>
      </c>
      <c r="C6631" s="2">
        <v>614.99369999999999</v>
      </c>
      <c r="D6631" s="2">
        <f>HYPERLINK("http://mcb-m6.bioreg.kyushu-u.ac.jp/M3/20110421/F51047/1516/1", 58.76)</f>
        <v>58.76</v>
      </c>
      <c r="E6631" s="2">
        <v>34.229999999999997</v>
      </c>
      <c r="F6631" s="2">
        <v>2</v>
      </c>
      <c r="G6631" s="2" t="s">
        <v>12</v>
      </c>
    </row>
    <row r="6632" spans="1:7" x14ac:dyDescent="0.2">
      <c r="A6632" s="2" t="s">
        <v>3827</v>
      </c>
      <c r="B6632" s="2" t="s">
        <v>899</v>
      </c>
      <c r="C6632" s="2">
        <v>614.87570000000005</v>
      </c>
      <c r="D6632" s="2">
        <f>HYPERLINK("http://mcb-m6.bioreg.kyushu-u.ac.jp/M3/20110421/F51048/1625/1", 59.64)</f>
        <v>59.64</v>
      </c>
      <c r="E6632" s="2">
        <v>28.38</v>
      </c>
      <c r="F6632" s="2">
        <v>2</v>
      </c>
      <c r="G6632" s="2" t="s">
        <v>12</v>
      </c>
    </row>
    <row r="6633" spans="1:7" x14ac:dyDescent="0.2">
      <c r="A6633" s="2" t="s">
        <v>3827</v>
      </c>
      <c r="B6633" s="2" t="s">
        <v>899</v>
      </c>
      <c r="C6633" s="2">
        <v>615.11969999999997</v>
      </c>
      <c r="D6633" s="2">
        <f>HYPERLINK("http://mcb-m6.bioreg.kyushu-u.ac.jp/M3/20110428/F51132/1407/1", 68.81)</f>
        <v>68.81</v>
      </c>
      <c r="E6633" s="2">
        <v>43.52</v>
      </c>
      <c r="F6633" s="2">
        <v>2</v>
      </c>
      <c r="G6633" s="2" t="s">
        <v>13</v>
      </c>
    </row>
    <row r="6634" spans="1:7" x14ac:dyDescent="0.2">
      <c r="A6634" s="2" t="s">
        <v>3827</v>
      </c>
      <c r="B6634" s="2" t="s">
        <v>899</v>
      </c>
      <c r="C6634" s="2">
        <v>614.60569999999996</v>
      </c>
      <c r="D6634" s="2">
        <f>HYPERLINK("http://mcb-m6.bioreg.kyushu-u.ac.jp/M3/20110428/F51132/1406/1", 79.55)</f>
        <v>79.55</v>
      </c>
      <c r="E6634" s="2">
        <v>58.79</v>
      </c>
      <c r="F6634" s="2">
        <v>2</v>
      </c>
      <c r="G6634" s="2" t="s">
        <v>13</v>
      </c>
    </row>
    <row r="6635" spans="1:7" x14ac:dyDescent="0.2">
      <c r="A6635" s="2" t="s">
        <v>3827</v>
      </c>
      <c r="B6635" s="2" t="s">
        <v>899</v>
      </c>
      <c r="C6635" s="2">
        <v>614.58510000000001</v>
      </c>
      <c r="D6635" s="2">
        <f>HYPERLINK("http://mcb-m6.bioreg.kyushu-u.ac.jp/M3/20110428/F51129/1475/1", 68.76)</f>
        <v>68.760000000000005</v>
      </c>
      <c r="E6635" s="2">
        <v>46.38</v>
      </c>
      <c r="F6635" s="2">
        <v>2</v>
      </c>
      <c r="G6635" s="2" t="s">
        <v>14</v>
      </c>
    </row>
    <row r="6636" spans="1:7" x14ac:dyDescent="0.2">
      <c r="A6636" s="2" t="s">
        <v>3482</v>
      </c>
      <c r="B6636" s="2" t="s">
        <v>304</v>
      </c>
      <c r="C6636" s="2">
        <v>830.85569999999996</v>
      </c>
      <c r="D6636" s="2">
        <f>HYPERLINK("http://mcb-m6.bioreg.kyushu-u.ac.jp/M3/20110404/F50779/2184/1", 62.12)</f>
        <v>62.12</v>
      </c>
      <c r="E6636" s="2">
        <v>51.17</v>
      </c>
      <c r="F6636" s="2">
        <v>2</v>
      </c>
      <c r="G6636" s="2" t="s">
        <v>9</v>
      </c>
    </row>
    <row r="6637" spans="1:7" x14ac:dyDescent="0.2">
      <c r="A6637" s="2" t="s">
        <v>3482</v>
      </c>
      <c r="B6637" s="2" t="s">
        <v>304</v>
      </c>
      <c r="C6637" s="2">
        <v>554.27779999999996</v>
      </c>
      <c r="D6637" s="2">
        <f>HYPERLINK("http://mcb-m6.bioreg.kyushu-u.ac.jp/M3/20110404/F50777/2300/1", 63.88)</f>
        <v>63.88</v>
      </c>
      <c r="E6637" s="2">
        <v>36.58</v>
      </c>
      <c r="F6637" s="2">
        <v>3</v>
      </c>
      <c r="G6637" s="2" t="s">
        <v>9</v>
      </c>
    </row>
    <row r="6638" spans="1:7" x14ac:dyDescent="0.2">
      <c r="A6638" s="2" t="s">
        <v>3482</v>
      </c>
      <c r="B6638" s="2" t="s">
        <v>304</v>
      </c>
      <c r="C6638" s="2">
        <v>830.46969999999999</v>
      </c>
      <c r="D6638" s="2">
        <f>HYPERLINK("http://mcb-m6.bioreg.kyushu-u.ac.jp/M3/20110404/F50763/2253/1", 76.28)</f>
        <v>76.28</v>
      </c>
      <c r="E6638" s="2">
        <v>59.96</v>
      </c>
      <c r="F6638" s="2">
        <v>2</v>
      </c>
      <c r="G6638" s="2" t="s">
        <v>9</v>
      </c>
    </row>
    <row r="6639" spans="1:7" x14ac:dyDescent="0.2">
      <c r="A6639" s="2" t="s">
        <v>3482</v>
      </c>
      <c r="B6639" s="2" t="s">
        <v>304</v>
      </c>
      <c r="C6639" s="2">
        <v>830.51170000000002</v>
      </c>
      <c r="D6639" s="2">
        <f>HYPERLINK("http://mcb-m6.bioreg.kyushu-u.ac.jp/M3/20110404/F50767/2160/1", 81.91)</f>
        <v>81.91</v>
      </c>
      <c r="E6639" s="2">
        <v>66.2</v>
      </c>
      <c r="F6639" s="2">
        <v>2</v>
      </c>
      <c r="G6639" s="2" t="s">
        <v>9</v>
      </c>
    </row>
    <row r="6640" spans="1:7" x14ac:dyDescent="0.2">
      <c r="A6640" s="2" t="s">
        <v>3482</v>
      </c>
      <c r="B6640" s="2" t="s">
        <v>304</v>
      </c>
      <c r="C6640" s="2">
        <v>830.92859999999996</v>
      </c>
      <c r="D6640" s="2">
        <f>HYPERLINK("http://mcb-m6.bioreg.kyushu-u.ac.jp/M3/20110404/F50777/2301/1", 108.11)</f>
        <v>108.11</v>
      </c>
      <c r="E6640" s="2">
        <v>86.88</v>
      </c>
      <c r="F6640" s="2">
        <v>2</v>
      </c>
      <c r="G6640" s="2" t="s">
        <v>9</v>
      </c>
    </row>
    <row r="6641" spans="1:7" x14ac:dyDescent="0.2">
      <c r="A6641" s="2" t="s">
        <v>3482</v>
      </c>
      <c r="B6641" s="2" t="s">
        <v>304</v>
      </c>
      <c r="C6641" s="2">
        <v>830.38819999999998</v>
      </c>
      <c r="D6641" s="2">
        <f>HYPERLINK("http://mcb-m6.bioreg.kyushu-u.ac.jp/M3/20110404/F50778/2291/1", 111.31)</f>
        <v>111.31</v>
      </c>
      <c r="E6641" s="2">
        <v>89.45</v>
      </c>
      <c r="F6641" s="2">
        <v>2</v>
      </c>
      <c r="G6641" s="2" t="s">
        <v>9</v>
      </c>
    </row>
    <row r="6642" spans="1:7" x14ac:dyDescent="0.2">
      <c r="A6642" s="2" t="s">
        <v>3482</v>
      </c>
      <c r="B6642" s="2" t="s">
        <v>304</v>
      </c>
      <c r="C6642" s="2">
        <v>830.36469999999997</v>
      </c>
      <c r="D6642" s="2">
        <f>HYPERLINK("http://mcb-m6.bioreg.kyushu-u.ac.jp/M3/20110404/F50777/2296/1", 124.51)</f>
        <v>124.51</v>
      </c>
      <c r="E6642" s="2">
        <v>100.28</v>
      </c>
      <c r="F6642" s="2">
        <v>2</v>
      </c>
      <c r="G6642" s="2" t="s">
        <v>9</v>
      </c>
    </row>
    <row r="6643" spans="1:7" x14ac:dyDescent="0.2">
      <c r="A6643" s="2" t="s">
        <v>3482</v>
      </c>
      <c r="B6643" s="2" t="s">
        <v>304</v>
      </c>
      <c r="C6643" s="2">
        <v>554.10320000000002</v>
      </c>
      <c r="D6643" s="2">
        <f>HYPERLINK("http://mcb-m6.bioreg.kyushu-u.ac.jp/M3/20110404/F50774/2242/1", 61)</f>
        <v>61</v>
      </c>
      <c r="E6643" s="2">
        <v>38.770000000000003</v>
      </c>
      <c r="F6643" s="2">
        <v>3</v>
      </c>
      <c r="G6643" s="2" t="s">
        <v>10</v>
      </c>
    </row>
    <row r="6644" spans="1:7" x14ac:dyDescent="0.2">
      <c r="A6644" s="2" t="s">
        <v>3482</v>
      </c>
      <c r="B6644" s="2" t="s">
        <v>304</v>
      </c>
      <c r="C6644" s="2">
        <v>1659.6790000000001</v>
      </c>
      <c r="D6644" s="2">
        <f>HYPERLINK("http://mcb-m6.bioreg.kyushu-u.ac.jp/M3/20110404/F50774/2236/1", 97.72)</f>
        <v>97.72</v>
      </c>
      <c r="E6644" s="2">
        <v>82.52</v>
      </c>
      <c r="F6644" s="2">
        <v>1</v>
      </c>
      <c r="G6644" s="2" t="s">
        <v>10</v>
      </c>
    </row>
    <row r="6645" spans="1:7" x14ac:dyDescent="0.2">
      <c r="A6645" s="2" t="s">
        <v>3482</v>
      </c>
      <c r="B6645" s="2" t="s">
        <v>304</v>
      </c>
      <c r="C6645" s="2">
        <v>554.08820000000003</v>
      </c>
      <c r="D6645" s="2">
        <f>HYPERLINK("http://mcb-m6.bioreg.kyushu-u.ac.jp/M3/20110421/F51037/2592/1", 37.18)</f>
        <v>37.18</v>
      </c>
      <c r="E6645" s="2">
        <v>21.85</v>
      </c>
      <c r="F6645" s="2">
        <v>3</v>
      </c>
      <c r="G6645" s="2" t="s">
        <v>11</v>
      </c>
    </row>
    <row r="6646" spans="1:7" x14ac:dyDescent="0.2">
      <c r="A6646" s="2" t="s">
        <v>3482</v>
      </c>
      <c r="B6646" s="2" t="s">
        <v>304</v>
      </c>
      <c r="C6646" s="2">
        <v>830.79420000000005</v>
      </c>
      <c r="D6646" s="2">
        <f>HYPERLINK("http://mcb-m6.bioreg.kyushu-u.ac.jp/M3/20110421/F51037/2593/1", 56.38)</f>
        <v>56.38</v>
      </c>
      <c r="E6646" s="2">
        <v>49.1</v>
      </c>
      <c r="F6646" s="2">
        <v>2</v>
      </c>
      <c r="G6646" s="2" t="s">
        <v>11</v>
      </c>
    </row>
    <row r="6647" spans="1:7" x14ac:dyDescent="0.2">
      <c r="A6647" s="2" t="s">
        <v>3482</v>
      </c>
      <c r="B6647" s="2" t="s">
        <v>304</v>
      </c>
      <c r="C6647" s="2">
        <v>830.2527</v>
      </c>
      <c r="D6647" s="2">
        <f>HYPERLINK("http://mcb-m6.bioreg.kyushu-u.ac.jp/M3/20110421/F51039/2570/1", 91.3)</f>
        <v>91.3</v>
      </c>
      <c r="E6647" s="2">
        <v>78.150000000000006</v>
      </c>
      <c r="F6647" s="2">
        <v>2</v>
      </c>
      <c r="G6647" s="2" t="s">
        <v>11</v>
      </c>
    </row>
    <row r="6648" spans="1:7" x14ac:dyDescent="0.2">
      <c r="A6648" s="2" t="s">
        <v>3482</v>
      </c>
      <c r="B6648" s="2" t="s">
        <v>304</v>
      </c>
      <c r="C6648" s="2">
        <v>830.98109999999997</v>
      </c>
      <c r="D6648" s="2">
        <f>HYPERLINK("http://mcb-m6.bioreg.kyushu-u.ac.jp/M3/20110421/F51047/2546/1", 92.44)</f>
        <v>92.44</v>
      </c>
      <c r="E6648" s="2">
        <v>68.41</v>
      </c>
      <c r="F6648" s="2">
        <v>2</v>
      </c>
      <c r="G6648" s="2" t="s">
        <v>12</v>
      </c>
    </row>
    <row r="6649" spans="1:7" x14ac:dyDescent="0.2">
      <c r="A6649" s="2" t="s">
        <v>3482</v>
      </c>
      <c r="B6649" s="2" t="s">
        <v>304</v>
      </c>
      <c r="C6649" s="2">
        <v>830.46010000000001</v>
      </c>
      <c r="D6649" s="2">
        <f>HYPERLINK("http://mcb-m6.bioreg.kyushu-u.ac.jp/M3/20110421/F51047/2544/1", 93.06)</f>
        <v>93.06</v>
      </c>
      <c r="E6649" s="2">
        <v>69.040000000000006</v>
      </c>
      <c r="F6649" s="2">
        <v>2</v>
      </c>
      <c r="G6649" s="2" t="s">
        <v>12</v>
      </c>
    </row>
    <row r="6650" spans="1:7" x14ac:dyDescent="0.2">
      <c r="A6650" s="2" t="s">
        <v>3482</v>
      </c>
      <c r="B6650" s="2" t="s">
        <v>304</v>
      </c>
      <c r="C6650" s="2">
        <v>830.4316</v>
      </c>
      <c r="D6650" s="2">
        <f>HYPERLINK("http://mcb-m6.bioreg.kyushu-u.ac.jp/M3/20110421/F51048/2647/1", 115.34)</f>
        <v>115.34</v>
      </c>
      <c r="E6650" s="2">
        <v>96.39</v>
      </c>
      <c r="F6650" s="2">
        <v>2</v>
      </c>
      <c r="G6650" s="2" t="s">
        <v>12</v>
      </c>
    </row>
    <row r="6651" spans="1:7" x14ac:dyDescent="0.2">
      <c r="A6651" s="2" t="s">
        <v>3482</v>
      </c>
      <c r="B6651" s="2" t="s">
        <v>304</v>
      </c>
      <c r="C6651" s="2">
        <v>830.19370000000004</v>
      </c>
      <c r="D6651" s="2">
        <f>HYPERLINK("http://mcb-m6.bioreg.kyushu-u.ac.jp/M3/20110428/F51132/2500/1", 56.2)</f>
        <v>56.2</v>
      </c>
      <c r="E6651" s="2">
        <v>47.64</v>
      </c>
      <c r="F6651" s="2">
        <v>2</v>
      </c>
      <c r="G6651" s="2" t="s">
        <v>13</v>
      </c>
    </row>
    <row r="6652" spans="1:7" x14ac:dyDescent="0.2">
      <c r="A6652" s="2" t="s">
        <v>3482</v>
      </c>
      <c r="B6652" s="2" t="s">
        <v>304</v>
      </c>
      <c r="C6652" s="2">
        <v>830.26260000000002</v>
      </c>
      <c r="D6652" s="2">
        <f>HYPERLINK("http://mcb-m6.bioreg.kyushu-u.ac.jp/M3/20110428/F51133/2372/1", 107.58)</f>
        <v>107.58</v>
      </c>
      <c r="E6652" s="2">
        <v>82.7</v>
      </c>
      <c r="F6652" s="2">
        <v>2</v>
      </c>
      <c r="G6652" s="2" t="s">
        <v>13</v>
      </c>
    </row>
    <row r="6653" spans="1:7" x14ac:dyDescent="0.2">
      <c r="A6653" s="2" t="s">
        <v>3482</v>
      </c>
      <c r="B6653" s="2" t="s">
        <v>304</v>
      </c>
      <c r="C6653" s="2">
        <v>830.61469999999997</v>
      </c>
      <c r="D6653" s="2">
        <f>HYPERLINK("http://mcb-m6.bioreg.kyushu-u.ac.jp/M3/20110428/F51129/2509/1", 108.67)</f>
        <v>108.67</v>
      </c>
      <c r="E6653" s="2">
        <v>89.77</v>
      </c>
      <c r="F6653" s="2">
        <v>2</v>
      </c>
      <c r="G6653" s="2" t="s">
        <v>14</v>
      </c>
    </row>
    <row r="6654" spans="1:7" x14ac:dyDescent="0.2">
      <c r="A6654" s="2" t="s">
        <v>3482</v>
      </c>
      <c r="B6654" s="2" t="s">
        <v>304</v>
      </c>
      <c r="C6654" s="2">
        <v>830.09770000000003</v>
      </c>
      <c r="D6654" s="2">
        <f>HYPERLINK("http://mcb-m6.bioreg.kyushu-u.ac.jp/M3/20110428/F51129/2507/1", 126.94)</f>
        <v>126.94</v>
      </c>
      <c r="E6654" s="2">
        <v>99.15</v>
      </c>
      <c r="F6654" s="2">
        <v>2</v>
      </c>
      <c r="G6654" s="2" t="s">
        <v>14</v>
      </c>
    </row>
    <row r="6655" spans="1:7" x14ac:dyDescent="0.2">
      <c r="A6655" s="2" t="s">
        <v>3853</v>
      </c>
      <c r="B6655" s="2" t="s">
        <v>955</v>
      </c>
      <c r="C6655" s="2">
        <v>509.23509999999999</v>
      </c>
      <c r="D6655" s="2">
        <f>HYPERLINK("http://mcb-m6.bioreg.kyushu-u.ac.jp/M3/20110404/F50777/1030/1", 74.13)</f>
        <v>74.13</v>
      </c>
      <c r="E6655" s="2">
        <v>23.89</v>
      </c>
      <c r="F6655" s="2">
        <v>2</v>
      </c>
      <c r="G6655" s="2" t="s">
        <v>9</v>
      </c>
    </row>
    <row r="6656" spans="1:7" x14ac:dyDescent="0.2">
      <c r="A6656" s="2" t="s">
        <v>3853</v>
      </c>
      <c r="B6656" s="2" t="s">
        <v>6686</v>
      </c>
      <c r="C6656" s="2">
        <v>804.23900000000003</v>
      </c>
      <c r="D6656" s="2">
        <f>HYPERLINK("http://mcb-m6.bioreg.kyushu-u.ac.jp/M3/20110404/F50758/960/1", 35.8)</f>
        <v>35.799999999999997</v>
      </c>
      <c r="E6656" s="2">
        <v>17.260000000000002</v>
      </c>
      <c r="F6656" s="2">
        <v>1</v>
      </c>
      <c r="G6656" s="2" t="s">
        <v>10</v>
      </c>
    </row>
    <row r="6657" spans="1:7" x14ac:dyDescent="0.2">
      <c r="A6657" s="2" t="s">
        <v>3853</v>
      </c>
      <c r="B6657" s="2" t="s">
        <v>955</v>
      </c>
      <c r="C6657" s="2">
        <v>509.26209999999998</v>
      </c>
      <c r="D6657" s="2">
        <f>HYPERLINK("http://mcb-m6.bioreg.kyushu-u.ac.jp/M3/20110421/F51037/772/1", 42.47)</f>
        <v>42.47</v>
      </c>
      <c r="E6657" s="2">
        <v>12.98</v>
      </c>
      <c r="F6657" s="2">
        <v>2</v>
      </c>
      <c r="G6657" s="2" t="s">
        <v>11</v>
      </c>
    </row>
    <row r="6658" spans="1:7" x14ac:dyDescent="0.2">
      <c r="A6658" s="2" t="s">
        <v>3853</v>
      </c>
      <c r="B6658" s="2" t="s">
        <v>955</v>
      </c>
      <c r="C6658" s="2">
        <v>509.42360000000002</v>
      </c>
      <c r="D6658" s="2">
        <f>HYPERLINK("http://mcb-m6.bioreg.kyushu-u.ac.jp/M3/20110421/F51047/1036/1", 70.86)</f>
        <v>70.86</v>
      </c>
      <c r="E6658" s="2">
        <v>20.6</v>
      </c>
      <c r="F6658" s="2">
        <v>2</v>
      </c>
      <c r="G6658" s="2" t="s">
        <v>12</v>
      </c>
    </row>
    <row r="6659" spans="1:7" x14ac:dyDescent="0.2">
      <c r="A6659" s="2" t="s">
        <v>3853</v>
      </c>
      <c r="B6659" s="2" t="s">
        <v>955</v>
      </c>
      <c r="C6659" s="2">
        <v>509.17259999999999</v>
      </c>
      <c r="D6659" s="2">
        <f>HYPERLINK("http://mcb-m6.bioreg.kyushu-u.ac.jp/M3/20110428/F51132/952/1", 60.69)</f>
        <v>60.69</v>
      </c>
      <c r="E6659" s="2">
        <v>27.11</v>
      </c>
      <c r="F6659" s="2">
        <v>2</v>
      </c>
      <c r="G6659" s="2" t="s">
        <v>13</v>
      </c>
    </row>
    <row r="6660" spans="1:7" x14ac:dyDescent="0.2">
      <c r="A6660" s="2" t="s">
        <v>3797</v>
      </c>
      <c r="B6660" s="2" t="s">
        <v>845</v>
      </c>
      <c r="C6660" s="2">
        <v>1487.6479999999999</v>
      </c>
      <c r="D6660" s="2">
        <f>HYPERLINK("http://mcb-m6.bioreg.kyushu-u.ac.jp/M3/20110404/F50777/1950/1", 43.13)</f>
        <v>43.13</v>
      </c>
      <c r="E6660" s="2">
        <v>40.659999999999997</v>
      </c>
      <c r="F6660" s="2">
        <v>1</v>
      </c>
      <c r="G6660" s="2" t="s">
        <v>9</v>
      </c>
    </row>
    <row r="6661" spans="1:7" x14ac:dyDescent="0.2">
      <c r="A6661" s="2" t="s">
        <v>3797</v>
      </c>
      <c r="B6661" s="2" t="s">
        <v>845</v>
      </c>
      <c r="C6661" s="2">
        <v>744.7731</v>
      </c>
      <c r="D6661" s="2">
        <f>HYPERLINK("http://mcb-m6.bioreg.kyushu-u.ac.jp/M3/20110404/F50767/1750/1", 43.7)</f>
        <v>43.7</v>
      </c>
      <c r="E6661" s="2">
        <v>31.31</v>
      </c>
      <c r="F6661" s="2">
        <v>2</v>
      </c>
      <c r="G6661" s="2" t="s">
        <v>9</v>
      </c>
    </row>
    <row r="6662" spans="1:7" x14ac:dyDescent="0.2">
      <c r="A6662" s="2" t="s">
        <v>3797</v>
      </c>
      <c r="B6662" s="2" t="s">
        <v>845</v>
      </c>
      <c r="C6662" s="2">
        <v>744.28269999999998</v>
      </c>
      <c r="D6662" s="2">
        <f>HYPERLINK("http://mcb-m6.bioreg.kyushu-u.ac.jp/M3/20110404/F50763/1961/1", 65.8)</f>
        <v>65.8</v>
      </c>
      <c r="E6662" s="2">
        <v>51.99</v>
      </c>
      <c r="F6662" s="2">
        <v>2</v>
      </c>
      <c r="G6662" s="2" t="s">
        <v>9</v>
      </c>
    </row>
    <row r="6663" spans="1:7" x14ac:dyDescent="0.2">
      <c r="A6663" s="2" t="s">
        <v>3797</v>
      </c>
      <c r="B6663" s="2" t="s">
        <v>845</v>
      </c>
      <c r="C6663" s="2">
        <v>744.25369999999998</v>
      </c>
      <c r="D6663" s="2">
        <f>HYPERLINK("http://mcb-m6.bioreg.kyushu-u.ac.jp/M3/20110404/F50777/1948/1", 84.48)</f>
        <v>84.48</v>
      </c>
      <c r="E6663" s="2">
        <v>67.02</v>
      </c>
      <c r="F6663" s="2">
        <v>2</v>
      </c>
      <c r="G6663" s="2" t="s">
        <v>9</v>
      </c>
    </row>
    <row r="6664" spans="1:7" x14ac:dyDescent="0.2">
      <c r="A6664" s="2" t="s">
        <v>3797</v>
      </c>
      <c r="B6664" s="2" t="s">
        <v>845</v>
      </c>
      <c r="C6664" s="2">
        <v>1487.625</v>
      </c>
      <c r="D6664" s="2">
        <f>HYPERLINK("http://mcb-m6.bioreg.kyushu-u.ac.jp/M3/20110404/F50774/1913/1", 38.7)</f>
        <v>38.700000000000003</v>
      </c>
      <c r="E6664" s="2">
        <v>33.9</v>
      </c>
      <c r="F6664" s="2">
        <v>1</v>
      </c>
      <c r="G6664" s="2" t="s">
        <v>10</v>
      </c>
    </row>
    <row r="6665" spans="1:7" x14ac:dyDescent="0.2">
      <c r="A6665" s="2" t="s">
        <v>3797</v>
      </c>
      <c r="B6665" s="2" t="s">
        <v>845</v>
      </c>
      <c r="C6665" s="2">
        <v>744.45619999999997</v>
      </c>
      <c r="D6665" s="2">
        <f>HYPERLINK("http://mcb-m6.bioreg.kyushu-u.ac.jp/M3/20110404/F50772/1935/1", 67.09)</f>
        <v>67.09</v>
      </c>
      <c r="E6665" s="2">
        <v>46.7</v>
      </c>
      <c r="F6665" s="2">
        <v>2</v>
      </c>
      <c r="G6665" s="2" t="s">
        <v>10</v>
      </c>
    </row>
    <row r="6666" spans="1:7" x14ac:dyDescent="0.2">
      <c r="A6666" s="2" t="s">
        <v>3797</v>
      </c>
      <c r="B6666" s="2" t="s">
        <v>845</v>
      </c>
      <c r="C6666" s="2">
        <v>1487.5050000000001</v>
      </c>
      <c r="D6666" s="2">
        <f>HYPERLINK("http://mcb-m6.bioreg.kyushu-u.ac.jp/M3/20110421/F51037/2040/1", 35.09)</f>
        <v>35.090000000000003</v>
      </c>
      <c r="E6666" s="2">
        <v>34.35</v>
      </c>
      <c r="F6666" s="2">
        <v>1</v>
      </c>
      <c r="G6666" s="2" t="s">
        <v>11</v>
      </c>
    </row>
    <row r="6667" spans="1:7" x14ac:dyDescent="0.2">
      <c r="A6667" s="2" t="s">
        <v>3797</v>
      </c>
      <c r="B6667" s="2" t="s">
        <v>845</v>
      </c>
      <c r="C6667" s="2">
        <v>744.18409999999994</v>
      </c>
      <c r="D6667" s="2">
        <f>HYPERLINK("http://mcb-m6.bioreg.kyushu-u.ac.jp/M3/20110421/F51039/2087/1", 35.95)</f>
        <v>35.950000000000003</v>
      </c>
      <c r="E6667" s="2">
        <v>19.649999999999999</v>
      </c>
      <c r="F6667" s="2">
        <v>2</v>
      </c>
      <c r="G6667" s="2" t="s">
        <v>11</v>
      </c>
    </row>
    <row r="6668" spans="1:7" x14ac:dyDescent="0.2">
      <c r="A6668" s="2" t="s">
        <v>3797</v>
      </c>
      <c r="B6668" s="2" t="s">
        <v>845</v>
      </c>
      <c r="C6668" s="2">
        <v>744.13170000000002</v>
      </c>
      <c r="D6668" s="2">
        <f>HYPERLINK("http://mcb-m6.bioreg.kyushu-u.ac.jp/M3/20110421/F51017/2065/1", 39.34)</f>
        <v>39.340000000000003</v>
      </c>
      <c r="E6668" s="2">
        <v>24.97</v>
      </c>
      <c r="F6668" s="2">
        <v>2</v>
      </c>
      <c r="G6668" s="2" t="s">
        <v>11</v>
      </c>
    </row>
    <row r="6669" spans="1:7" x14ac:dyDescent="0.2">
      <c r="A6669" s="2" t="s">
        <v>3797</v>
      </c>
      <c r="B6669" s="2" t="s">
        <v>845</v>
      </c>
      <c r="C6669" s="2">
        <v>744.80319999999995</v>
      </c>
      <c r="D6669" s="2">
        <f>HYPERLINK("http://mcb-m6.bioreg.kyushu-u.ac.jp/M3/20110421/F51037/2049/1", 48.74)</f>
        <v>48.74</v>
      </c>
      <c r="E6669" s="2">
        <v>32.409999999999997</v>
      </c>
      <c r="F6669" s="2">
        <v>2</v>
      </c>
      <c r="G6669" s="2" t="s">
        <v>11</v>
      </c>
    </row>
    <row r="6670" spans="1:7" x14ac:dyDescent="0.2">
      <c r="A6670" s="2" t="s">
        <v>3797</v>
      </c>
      <c r="B6670" s="2" t="s">
        <v>845</v>
      </c>
      <c r="C6670" s="2">
        <v>744.25570000000005</v>
      </c>
      <c r="D6670" s="2">
        <f>HYPERLINK("http://mcb-m6.bioreg.kyushu-u.ac.jp/M3/20110421/F51040/2077/1", 57.37)</f>
        <v>57.37</v>
      </c>
      <c r="E6670" s="2">
        <v>37.64</v>
      </c>
      <c r="F6670" s="2">
        <v>2</v>
      </c>
      <c r="G6670" s="2" t="s">
        <v>11</v>
      </c>
    </row>
    <row r="6671" spans="1:7" x14ac:dyDescent="0.2">
      <c r="A6671" s="2" t="s">
        <v>3797</v>
      </c>
      <c r="B6671" s="2" t="s">
        <v>845</v>
      </c>
      <c r="C6671" s="2">
        <v>744.30110000000002</v>
      </c>
      <c r="D6671" s="2">
        <f>HYPERLINK("http://mcb-m6.bioreg.kyushu-u.ac.jp/M3/20110421/F51037/2044/1", 64.78)</f>
        <v>64.78</v>
      </c>
      <c r="E6671" s="2">
        <v>45.74</v>
      </c>
      <c r="F6671" s="2">
        <v>2</v>
      </c>
      <c r="G6671" s="2" t="s">
        <v>11</v>
      </c>
    </row>
    <row r="6672" spans="1:7" x14ac:dyDescent="0.2">
      <c r="A6672" s="2" t="s">
        <v>3797</v>
      </c>
      <c r="B6672" s="2" t="s">
        <v>845</v>
      </c>
      <c r="C6672" s="2">
        <v>744.32569999999998</v>
      </c>
      <c r="D6672" s="2">
        <f>HYPERLINK("http://mcb-m6.bioreg.kyushu-u.ac.jp/M3/20110421/F51044/2075/1", 37.57)</f>
        <v>37.57</v>
      </c>
      <c r="E6672" s="2">
        <v>29.21</v>
      </c>
      <c r="F6672" s="2">
        <v>2</v>
      </c>
      <c r="G6672" s="2" t="s">
        <v>12</v>
      </c>
    </row>
    <row r="6673" spans="1:7" x14ac:dyDescent="0.2">
      <c r="A6673" s="2" t="s">
        <v>3797</v>
      </c>
      <c r="B6673" s="2" t="s">
        <v>845</v>
      </c>
      <c r="C6673" s="2">
        <v>744.41669999999999</v>
      </c>
      <c r="D6673" s="2">
        <f>HYPERLINK("http://mcb-m6.bioreg.kyushu-u.ac.jp/M3/20110421/F51048/2215/1", 90.88)</f>
        <v>90.88</v>
      </c>
      <c r="E6673" s="2">
        <v>72.959999999999994</v>
      </c>
      <c r="F6673" s="2">
        <v>2</v>
      </c>
      <c r="G6673" s="2" t="s">
        <v>12</v>
      </c>
    </row>
    <row r="6674" spans="1:7" x14ac:dyDescent="0.2">
      <c r="A6674" s="2" t="s">
        <v>3797</v>
      </c>
      <c r="B6674" s="2" t="s">
        <v>845</v>
      </c>
      <c r="C6674" s="2">
        <v>744.59619999999995</v>
      </c>
      <c r="D6674" s="2">
        <f>HYPERLINK("http://mcb-m6.bioreg.kyushu-u.ac.jp/M3/20110428/F51127/1901/1", 39.82)</f>
        <v>39.82</v>
      </c>
      <c r="E6674" s="2">
        <v>28.9</v>
      </c>
      <c r="F6674" s="2">
        <v>2</v>
      </c>
      <c r="G6674" s="2" t="s">
        <v>13</v>
      </c>
    </row>
    <row r="6675" spans="1:7" x14ac:dyDescent="0.2">
      <c r="A6675" s="2" t="s">
        <v>3797</v>
      </c>
      <c r="B6675" s="2" t="s">
        <v>845</v>
      </c>
      <c r="C6675" s="2">
        <v>744.41060000000004</v>
      </c>
      <c r="D6675" s="2">
        <f>HYPERLINK("http://mcb-m6.bioreg.kyushu-u.ac.jp/M3/20110428/F51133/1926/1", 42.88)</f>
        <v>42.88</v>
      </c>
      <c r="E6675" s="2">
        <v>23.49</v>
      </c>
      <c r="F6675" s="2">
        <v>2</v>
      </c>
      <c r="G6675" s="2" t="s">
        <v>13</v>
      </c>
    </row>
    <row r="6676" spans="1:7" x14ac:dyDescent="0.2">
      <c r="A6676" s="2" t="s">
        <v>3797</v>
      </c>
      <c r="B6676" s="2" t="s">
        <v>845</v>
      </c>
      <c r="C6676" s="2">
        <v>744.15419999999995</v>
      </c>
      <c r="D6676" s="2">
        <f>HYPERLINK("http://mcb-m6.bioreg.kyushu-u.ac.jp/M3/20110427/F51114/2076/1", 58.64)</f>
        <v>58.64</v>
      </c>
      <c r="E6676" s="2">
        <v>42.01</v>
      </c>
      <c r="F6676" s="2">
        <v>2</v>
      </c>
      <c r="G6676" s="2" t="s">
        <v>13</v>
      </c>
    </row>
    <row r="6677" spans="1:7" x14ac:dyDescent="0.2">
      <c r="A6677" s="2" t="s">
        <v>3797</v>
      </c>
      <c r="B6677" s="2" t="s">
        <v>845</v>
      </c>
      <c r="C6677" s="2">
        <v>744.09969999999998</v>
      </c>
      <c r="D6677" s="2">
        <f>HYPERLINK("http://mcb-m6.bioreg.kyushu-u.ac.jp/M3/20110427/F51112/2103/1", 59.82)</f>
        <v>59.82</v>
      </c>
      <c r="E6677" s="2">
        <v>46.45</v>
      </c>
      <c r="F6677" s="2">
        <v>2</v>
      </c>
      <c r="G6677" s="2" t="s">
        <v>13</v>
      </c>
    </row>
    <row r="6678" spans="1:7" x14ac:dyDescent="0.2">
      <c r="A6678" s="2" t="s">
        <v>3797</v>
      </c>
      <c r="B6678" s="2" t="s">
        <v>845</v>
      </c>
      <c r="C6678" s="2">
        <v>744.21119999999996</v>
      </c>
      <c r="D6678" s="2">
        <f>HYPERLINK("http://mcb-m6.bioreg.kyushu-u.ac.jp/M3/20110427/F51117/2004/1", 62.67)</f>
        <v>62.67</v>
      </c>
      <c r="E6678" s="2">
        <v>40.89</v>
      </c>
      <c r="F6678" s="2">
        <v>2</v>
      </c>
      <c r="G6678" s="2" t="s">
        <v>13</v>
      </c>
    </row>
    <row r="6679" spans="1:7" x14ac:dyDescent="0.2">
      <c r="A6679" s="2" t="s">
        <v>3797</v>
      </c>
      <c r="B6679" s="2" t="s">
        <v>845</v>
      </c>
      <c r="C6679" s="2">
        <v>744.08259999999996</v>
      </c>
      <c r="D6679" s="2">
        <f>HYPERLINK("http://mcb-m6.bioreg.kyushu-u.ac.jp/M3/20110428/F51127/1897/1", 65.88)</f>
        <v>65.88</v>
      </c>
      <c r="E6679" s="2">
        <v>40.200000000000003</v>
      </c>
      <c r="F6679" s="2">
        <v>2</v>
      </c>
      <c r="G6679" s="2" t="s">
        <v>13</v>
      </c>
    </row>
    <row r="6680" spans="1:7" x14ac:dyDescent="0.2">
      <c r="A6680" s="2" t="s">
        <v>3797</v>
      </c>
      <c r="B6680" s="2" t="s">
        <v>845</v>
      </c>
      <c r="C6680" s="2">
        <v>744.59469999999999</v>
      </c>
      <c r="D6680" s="2">
        <f>HYPERLINK("http://mcb-m6.bioreg.kyushu-u.ac.jp/M3/20110428/F51131/1822/1", 70.97)</f>
        <v>70.97</v>
      </c>
      <c r="E6680" s="2">
        <v>51.36</v>
      </c>
      <c r="F6680" s="2">
        <v>2</v>
      </c>
      <c r="G6680" s="2" t="s">
        <v>13</v>
      </c>
    </row>
    <row r="6681" spans="1:7" x14ac:dyDescent="0.2">
      <c r="A6681" s="2" t="s">
        <v>3797</v>
      </c>
      <c r="B6681" s="2" t="s">
        <v>845</v>
      </c>
      <c r="C6681" s="2">
        <v>744.6902</v>
      </c>
      <c r="D6681" s="2">
        <f>HYPERLINK("http://mcb-m6.bioreg.kyushu-u.ac.jp/M3/20110427/F51114/2079/1", 81.56)</f>
        <v>81.56</v>
      </c>
      <c r="E6681" s="2">
        <v>68.2</v>
      </c>
      <c r="F6681" s="2">
        <v>2</v>
      </c>
      <c r="G6681" s="2" t="s">
        <v>13</v>
      </c>
    </row>
    <row r="6682" spans="1:7" x14ac:dyDescent="0.2">
      <c r="A6682" s="2" t="s">
        <v>3797</v>
      </c>
      <c r="B6682" s="2" t="s">
        <v>845</v>
      </c>
      <c r="C6682" s="2">
        <v>744.12660000000005</v>
      </c>
      <c r="D6682" s="2">
        <f>HYPERLINK("http://mcb-m6.bioreg.kyushu-u.ac.jp/M3/20110428/F51132/2028/1", 84.5)</f>
        <v>84.5</v>
      </c>
      <c r="E6682" s="2">
        <v>66.55</v>
      </c>
      <c r="F6682" s="2">
        <v>2</v>
      </c>
      <c r="G6682" s="2" t="s">
        <v>13</v>
      </c>
    </row>
    <row r="6683" spans="1:7" x14ac:dyDescent="0.2">
      <c r="A6683" s="2" t="s">
        <v>3797</v>
      </c>
      <c r="B6683" s="2" t="s">
        <v>845</v>
      </c>
      <c r="C6683" s="2">
        <v>744.01120000000003</v>
      </c>
      <c r="D6683" s="2">
        <f>HYPERLINK("http://mcb-m6.bioreg.kyushu-u.ac.jp/M3/20110427/F51125/2095/1", 41.54)</f>
        <v>41.54</v>
      </c>
      <c r="E6683" s="2">
        <v>19.239999999999998</v>
      </c>
      <c r="F6683" s="2">
        <v>2</v>
      </c>
      <c r="G6683" s="2" t="s">
        <v>14</v>
      </c>
    </row>
    <row r="6684" spans="1:7" x14ac:dyDescent="0.2">
      <c r="A6684" s="2" t="s">
        <v>3797</v>
      </c>
      <c r="B6684" s="2" t="s">
        <v>845</v>
      </c>
      <c r="C6684" s="2">
        <v>744.2192</v>
      </c>
      <c r="D6684" s="2">
        <f>HYPERLINK("http://mcb-m6.bioreg.kyushu-u.ac.jp/M3/20110428/F51128/1978/1", 42.06)</f>
        <v>42.06</v>
      </c>
      <c r="E6684" s="2">
        <v>20.5</v>
      </c>
      <c r="F6684" s="2">
        <v>2</v>
      </c>
      <c r="G6684" s="2" t="s">
        <v>14</v>
      </c>
    </row>
    <row r="6685" spans="1:7" x14ac:dyDescent="0.2">
      <c r="A6685" s="2" t="s">
        <v>3797</v>
      </c>
      <c r="B6685" s="2" t="s">
        <v>845</v>
      </c>
      <c r="C6685" s="2">
        <v>744.11159999999995</v>
      </c>
      <c r="D6685" s="2">
        <f>HYPERLINK("http://mcb-m6.bioreg.kyushu-u.ac.jp/M3/20110428/F51129/2078/1", 69.61)</f>
        <v>69.61</v>
      </c>
      <c r="E6685" s="2">
        <v>48.64</v>
      </c>
      <c r="F6685" s="2">
        <v>2</v>
      </c>
      <c r="G6685" s="2" t="s">
        <v>14</v>
      </c>
    </row>
    <row r="6686" spans="1:7" x14ac:dyDescent="0.2">
      <c r="A6686" s="2" t="s">
        <v>7681</v>
      </c>
      <c r="B6686" s="2" t="s">
        <v>6311</v>
      </c>
      <c r="C6686" s="2">
        <v>502.86660000000001</v>
      </c>
      <c r="D6686" s="2">
        <f>HYPERLINK("http://mcb-m6.bioreg.kyushu-u.ac.jp/M3/20110404/F50777/1006/1", 52.23)</f>
        <v>52.23</v>
      </c>
      <c r="E6686" s="2">
        <v>11.87</v>
      </c>
      <c r="F6686" s="2">
        <v>2</v>
      </c>
      <c r="G6686" s="2" t="s">
        <v>9</v>
      </c>
    </row>
    <row r="6687" spans="1:7" x14ac:dyDescent="0.2">
      <c r="A6687" s="2" t="s">
        <v>7681</v>
      </c>
      <c r="B6687" s="2" t="s">
        <v>6457</v>
      </c>
      <c r="C6687" s="2">
        <v>644.26509999999996</v>
      </c>
      <c r="D6687" s="2">
        <f>HYPERLINK("http://mcb-m6.bioreg.kyushu-u.ac.jp/M3/20110404/F50777/1492/1", 66.07)</f>
        <v>66.069999999999993</v>
      </c>
      <c r="E6687" s="2">
        <v>48.07</v>
      </c>
      <c r="F6687" s="2">
        <v>2</v>
      </c>
      <c r="G6687" s="2" t="s">
        <v>9</v>
      </c>
    </row>
    <row r="6688" spans="1:7" x14ac:dyDescent="0.2">
      <c r="A6688" s="2" t="s">
        <v>7681</v>
      </c>
      <c r="B6688" s="2" t="s">
        <v>6311</v>
      </c>
      <c r="C6688" s="2">
        <v>502.35759999999999</v>
      </c>
      <c r="D6688" s="2">
        <f>HYPERLINK("http://mcb-m6.bioreg.kyushu-u.ac.jp/M3/20110421/F51037/736/1", 60.12)</f>
        <v>60.12</v>
      </c>
      <c r="E6688" s="2">
        <v>19.18</v>
      </c>
      <c r="F6688" s="2">
        <v>2</v>
      </c>
      <c r="G6688" s="2" t="s">
        <v>11</v>
      </c>
    </row>
    <row r="6689" spans="1:9" x14ac:dyDescent="0.2">
      <c r="A6689" s="2" t="s">
        <v>7681</v>
      </c>
      <c r="B6689" s="2" t="s">
        <v>6457</v>
      </c>
      <c r="C6689" s="2">
        <v>644.73969999999997</v>
      </c>
      <c r="D6689" s="2">
        <f>HYPERLINK("http://mcb-m6.bioreg.kyushu-u.ac.jp/M3/20110428/F51132/1487/1", 66.09)</f>
        <v>66.09</v>
      </c>
      <c r="E6689" s="2">
        <v>52.57</v>
      </c>
      <c r="F6689" s="2">
        <v>2</v>
      </c>
      <c r="G6689" s="2" t="s">
        <v>13</v>
      </c>
    </row>
    <row r="6690" spans="1:9" x14ac:dyDescent="0.2">
      <c r="A6690" s="2" t="s">
        <v>7721</v>
      </c>
      <c r="B6690" s="2" t="s">
        <v>6438</v>
      </c>
      <c r="C6690" s="2">
        <v>838.29769999999996</v>
      </c>
      <c r="D6690" s="2">
        <f>HYPERLINK("http://mcb-m6.bioreg.kyushu-u.ac.jp/M3/20110404/F50777/2326/1", 64.76)</f>
        <v>64.760000000000005</v>
      </c>
      <c r="E6690" s="2">
        <v>53.15</v>
      </c>
      <c r="F6690" s="2">
        <v>2</v>
      </c>
      <c r="G6690" s="2" t="s">
        <v>9</v>
      </c>
    </row>
    <row r="6691" spans="1:9" x14ac:dyDescent="0.2">
      <c r="A6691" s="2" t="s">
        <v>7721</v>
      </c>
      <c r="B6691" s="2" t="s">
        <v>6626</v>
      </c>
      <c r="C6691" s="2">
        <v>599.19370000000004</v>
      </c>
      <c r="D6691" s="2">
        <f>HYPERLINK("http://mcb-m6.bioreg.kyushu-u.ac.jp/M3/20110404/F50777/1317/1", 97.88)</f>
        <v>97.88</v>
      </c>
      <c r="E6691" s="2">
        <v>61.68</v>
      </c>
      <c r="F6691" s="2">
        <v>2</v>
      </c>
      <c r="G6691" s="2" t="s">
        <v>9</v>
      </c>
    </row>
    <row r="6692" spans="1:9" x14ac:dyDescent="0.2">
      <c r="A6692" s="2" t="s">
        <v>7721</v>
      </c>
      <c r="B6692" s="2" t="s">
        <v>6438</v>
      </c>
      <c r="C6692" s="2">
        <v>838.90560000000005</v>
      </c>
      <c r="D6692" s="2">
        <f>HYPERLINK("http://mcb-m6.bioreg.kyushu-u.ac.jp/M3/20110404/F50774/2262/1", 59.42)</f>
        <v>59.42</v>
      </c>
      <c r="E6692" s="2">
        <v>45.03</v>
      </c>
      <c r="F6692" s="2">
        <v>2</v>
      </c>
      <c r="G6692" s="2" t="s">
        <v>10</v>
      </c>
    </row>
    <row r="6693" spans="1:9" x14ac:dyDescent="0.2">
      <c r="A6693" s="2" t="s">
        <v>7721</v>
      </c>
      <c r="B6693" s="2" t="s">
        <v>6438</v>
      </c>
      <c r="C6693" s="2">
        <v>838.91970000000003</v>
      </c>
      <c r="D6693" s="2">
        <f>HYPERLINK("http://mcb-m6.bioreg.kyushu-u.ac.jp/M3/20110421/F51037/2638/1", 66.54)</f>
        <v>66.540000000000006</v>
      </c>
      <c r="E6693" s="2">
        <v>45.36</v>
      </c>
      <c r="F6693" s="2">
        <v>2</v>
      </c>
      <c r="G6693" s="2" t="s">
        <v>11</v>
      </c>
    </row>
    <row r="6694" spans="1:9" x14ac:dyDescent="0.2">
      <c r="A6694" s="2" t="s">
        <v>7721</v>
      </c>
      <c r="B6694" s="2" t="s">
        <v>6438</v>
      </c>
      <c r="C6694" s="2">
        <v>838.39620000000002</v>
      </c>
      <c r="D6694" s="2">
        <f>HYPERLINK("http://mcb-m6.bioreg.kyushu-u.ac.jp/M3/20110421/F51037/2637/1", 80.65)</f>
        <v>80.650000000000006</v>
      </c>
      <c r="E6694" s="2">
        <v>58.4</v>
      </c>
      <c r="F6694" s="2">
        <v>2</v>
      </c>
      <c r="G6694" s="2" t="s">
        <v>11</v>
      </c>
    </row>
    <row r="6695" spans="1:9" x14ac:dyDescent="0.2">
      <c r="A6695" s="2" t="s">
        <v>7721</v>
      </c>
      <c r="B6695" s="2" t="s">
        <v>6626</v>
      </c>
      <c r="C6695" s="2">
        <v>599.05769999999995</v>
      </c>
      <c r="D6695" s="2">
        <f>HYPERLINK("http://mcb-m6.bioreg.kyushu-u.ac.jp/M3/20110428/F51132/1341/1", 39.27)</f>
        <v>39.270000000000003</v>
      </c>
      <c r="E6695" s="2">
        <v>20.7</v>
      </c>
      <c r="F6695" s="2">
        <v>2</v>
      </c>
      <c r="G6695" s="2" t="s">
        <v>13</v>
      </c>
    </row>
    <row r="6696" spans="1:9" x14ac:dyDescent="0.2">
      <c r="A6696" s="2" t="s">
        <v>7913</v>
      </c>
      <c r="B6696" s="2" t="s">
        <v>7078</v>
      </c>
      <c r="C6696" s="2">
        <v>847.29219999999998</v>
      </c>
      <c r="D6696" s="2">
        <f>HYPERLINK("http://mcb-m6.bioreg.kyushu-u.ac.jp/M3/20110421/F51037/2675/1", 36.74)</f>
        <v>36.74</v>
      </c>
      <c r="E6696" s="2">
        <v>21.16</v>
      </c>
      <c r="F6696" s="2">
        <v>2</v>
      </c>
      <c r="G6696" s="2" t="s">
        <v>11</v>
      </c>
      <c r="H6696" s="2" t="s">
        <v>4896</v>
      </c>
    </row>
    <row r="6697" spans="1:9" x14ac:dyDescent="0.2">
      <c r="A6697" s="2" t="s">
        <v>4632</v>
      </c>
      <c r="B6697" s="2" t="s">
        <v>2786</v>
      </c>
      <c r="C6697" s="2">
        <v>836.70320000000004</v>
      </c>
      <c r="D6697" s="2">
        <f>HYPERLINK("http://mcb-m6.bioreg.kyushu-u.ac.jp/M3/20110421/F51037/2624/1", 86.05)</f>
        <v>86.05</v>
      </c>
      <c r="E6697" s="2">
        <v>76.989999999999995</v>
      </c>
      <c r="F6697" s="2">
        <v>2</v>
      </c>
      <c r="G6697" s="2" t="s">
        <v>11</v>
      </c>
    </row>
    <row r="6698" spans="1:9" x14ac:dyDescent="0.2">
      <c r="A6698" s="2" t="s">
        <v>4632</v>
      </c>
      <c r="B6698" s="2" t="s">
        <v>2786</v>
      </c>
      <c r="C6698" s="2">
        <v>836.38919999999996</v>
      </c>
      <c r="D6698" s="2">
        <f>HYPERLINK("http://mcb-m6.bioreg.kyushu-u.ac.jp/M3/20110421/F51035/2462/1", 120.08)</f>
        <v>120.08</v>
      </c>
      <c r="E6698" s="2">
        <v>100.94</v>
      </c>
      <c r="F6698" s="2">
        <v>2</v>
      </c>
      <c r="G6698" s="2" t="s">
        <v>11</v>
      </c>
    </row>
    <row r="6699" spans="1:9" x14ac:dyDescent="0.2">
      <c r="A6699" s="2" t="s">
        <v>4632</v>
      </c>
      <c r="B6699" s="2" t="s">
        <v>7399</v>
      </c>
      <c r="C6699" s="2">
        <v>626.23519999999996</v>
      </c>
      <c r="D6699" s="2">
        <f>HYPERLINK("http://mcb-m6.bioreg.kyushu-u.ac.jp/M3/20110428/F51127/1304/1", 58)</f>
        <v>58</v>
      </c>
      <c r="E6699" s="2">
        <v>38.26</v>
      </c>
      <c r="F6699" s="2">
        <v>2</v>
      </c>
      <c r="G6699" s="2" t="s">
        <v>13</v>
      </c>
    </row>
    <row r="6700" spans="1:9" x14ac:dyDescent="0.2">
      <c r="A6700" s="2" t="s">
        <v>4632</v>
      </c>
      <c r="B6700" s="2" t="s">
        <v>2786</v>
      </c>
      <c r="C6700" s="2">
        <v>836.79610000000002</v>
      </c>
      <c r="D6700" s="2">
        <f>HYPERLINK("http://mcb-m6.bioreg.kyushu-u.ac.jp/M3/20110428/F51127/2447/1", 95.37)</f>
        <v>95.37</v>
      </c>
      <c r="E6700" s="2">
        <v>79.59</v>
      </c>
      <c r="F6700" s="2">
        <v>2</v>
      </c>
      <c r="G6700" s="2" t="s">
        <v>13</v>
      </c>
    </row>
    <row r="6701" spans="1:9" x14ac:dyDescent="0.2">
      <c r="A6701" s="2" t="s">
        <v>7993</v>
      </c>
      <c r="B6701" s="2" t="s">
        <v>7212</v>
      </c>
      <c r="C6701" s="2">
        <v>625.18870000000004</v>
      </c>
      <c r="D6701" s="2">
        <f>HYPERLINK("http://mcb-m6.bioreg.kyushu-u.ac.jp/M3/20110421/F51021/1447/2", 47.01)</f>
        <v>47.01</v>
      </c>
      <c r="E6701" s="2">
        <v>28.97</v>
      </c>
      <c r="F6701" s="2">
        <v>2</v>
      </c>
      <c r="G6701" s="2" t="s">
        <v>12</v>
      </c>
      <c r="H6701" s="2" t="s">
        <v>4915</v>
      </c>
    </row>
    <row r="6702" spans="1:9" x14ac:dyDescent="0.2">
      <c r="A6702" s="2" t="s">
        <v>7993</v>
      </c>
      <c r="B6702" s="2" t="s">
        <v>7235</v>
      </c>
      <c r="C6702" s="2">
        <v>862.32759999999996</v>
      </c>
      <c r="D6702" s="2">
        <f>HYPERLINK("http://mcb-m6.bioreg.kyushu-u.ac.jp/M3/20110421/F51021/2748/2", 54.95)</f>
        <v>54.95</v>
      </c>
      <c r="E6702" s="2">
        <v>36.14</v>
      </c>
      <c r="F6702" s="2">
        <v>2</v>
      </c>
      <c r="G6702" s="2" t="s">
        <v>12</v>
      </c>
    </row>
    <row r="6703" spans="1:9" x14ac:dyDescent="0.2">
      <c r="A6703" s="2" t="s">
        <v>7993</v>
      </c>
      <c r="B6703" s="2" t="s">
        <v>7235</v>
      </c>
      <c r="C6703" s="2">
        <v>870.00459999999998</v>
      </c>
      <c r="D6703" s="2">
        <f>HYPERLINK("http://mcb-m6.bioreg.kyushu-u.ac.jp/M3/20110421/F51021/2781/2", 75.56)</f>
        <v>75.56</v>
      </c>
      <c r="E6703" s="2">
        <v>56.74</v>
      </c>
      <c r="F6703" s="2">
        <v>2</v>
      </c>
      <c r="G6703" s="2" t="s">
        <v>12</v>
      </c>
      <c r="H6703" s="2" t="s">
        <v>4927</v>
      </c>
    </row>
    <row r="6704" spans="1:9" x14ac:dyDescent="0.2">
      <c r="A6704" s="2" t="s">
        <v>8009</v>
      </c>
      <c r="B6704" s="2" t="s">
        <v>7242</v>
      </c>
      <c r="C6704" s="2">
        <v>641.26869999999997</v>
      </c>
      <c r="D6704" s="2">
        <f>HYPERLINK("http://mcb-m6.bioreg.kyushu-u.ac.jp/M3/20110421/F51022/1839/1", 57.11)</f>
        <v>57.11</v>
      </c>
      <c r="E6704" s="2">
        <v>36.68</v>
      </c>
      <c r="F6704" s="2">
        <v>2</v>
      </c>
      <c r="G6704" s="2" t="s">
        <v>12</v>
      </c>
      <c r="I6704" s="2" t="s">
        <v>4903</v>
      </c>
    </row>
    <row r="6705" spans="1:7" x14ac:dyDescent="0.2">
      <c r="A6705" s="2" t="s">
        <v>3534</v>
      </c>
      <c r="B6705" s="2" t="s">
        <v>6137</v>
      </c>
      <c r="C6705" s="2">
        <v>580.28369999999995</v>
      </c>
      <c r="D6705" s="2">
        <f>HYPERLINK("http://mcb-m6.bioreg.kyushu-u.ac.jp/M3/20110404/F50763/1326/1", 44.11)</f>
        <v>44.11</v>
      </c>
      <c r="E6705" s="2">
        <v>21.34</v>
      </c>
      <c r="F6705" s="2">
        <v>2</v>
      </c>
      <c r="G6705" s="2" t="s">
        <v>9</v>
      </c>
    </row>
    <row r="6706" spans="1:7" x14ac:dyDescent="0.2">
      <c r="A6706" s="2" t="s">
        <v>3534</v>
      </c>
      <c r="B6706" s="2" t="s">
        <v>1845</v>
      </c>
      <c r="C6706" s="2">
        <v>725.97969999999998</v>
      </c>
      <c r="D6706" s="2">
        <f>HYPERLINK("http://mcb-m6.bioreg.kyushu-u.ac.jp/M3/20110404/F50763/1890/1", 53.07)</f>
        <v>53.07</v>
      </c>
      <c r="E6706" s="2">
        <v>31.94</v>
      </c>
      <c r="F6706" s="2">
        <v>2</v>
      </c>
      <c r="G6706" s="2" t="s">
        <v>9</v>
      </c>
    </row>
    <row r="6707" spans="1:7" x14ac:dyDescent="0.2">
      <c r="A6707" s="2" t="s">
        <v>3534</v>
      </c>
      <c r="B6707" s="2" t="s">
        <v>1416</v>
      </c>
      <c r="C6707" s="2">
        <v>640.33759999999995</v>
      </c>
      <c r="D6707" s="2">
        <f>HYPERLINK("http://mcb-m6.bioreg.kyushu-u.ac.jp/M3/20110404/F50763/1540/1", 74.91)</f>
        <v>74.91</v>
      </c>
      <c r="E6707" s="2">
        <v>53.4</v>
      </c>
      <c r="F6707" s="2">
        <v>2</v>
      </c>
      <c r="G6707" s="2" t="s">
        <v>9</v>
      </c>
    </row>
    <row r="6708" spans="1:7" x14ac:dyDescent="0.2">
      <c r="A6708" s="2" t="s">
        <v>3534</v>
      </c>
      <c r="B6708" s="2" t="s">
        <v>1845</v>
      </c>
      <c r="C6708" s="2">
        <v>726.40520000000004</v>
      </c>
      <c r="D6708" s="2">
        <f>HYPERLINK("http://mcb-m6.bioreg.kyushu-u.ac.jp/M3/20110404/F50768/1851/1", 42.79)</f>
        <v>42.79</v>
      </c>
      <c r="E6708" s="2">
        <v>26</v>
      </c>
      <c r="F6708" s="2">
        <v>2</v>
      </c>
      <c r="G6708" s="2" t="s">
        <v>10</v>
      </c>
    </row>
    <row r="6709" spans="1:7" x14ac:dyDescent="0.2">
      <c r="A6709" s="2" t="s">
        <v>3534</v>
      </c>
      <c r="B6709" s="2" t="s">
        <v>2412</v>
      </c>
      <c r="C6709" s="2">
        <v>487.11360000000002</v>
      </c>
      <c r="D6709" s="2">
        <f>HYPERLINK("http://mcb-m6.bioreg.kyushu-u.ac.jp/M3/20110421/F51035/711/1", 57.15)</f>
        <v>57.15</v>
      </c>
      <c r="E6709" s="2">
        <v>16.899999999999999</v>
      </c>
      <c r="F6709" s="2">
        <v>2</v>
      </c>
      <c r="G6709" s="2" t="s">
        <v>11</v>
      </c>
    </row>
    <row r="6710" spans="1:7" x14ac:dyDescent="0.2">
      <c r="A6710" s="2" t="s">
        <v>3534</v>
      </c>
      <c r="B6710" s="2" t="s">
        <v>1416</v>
      </c>
      <c r="C6710" s="2">
        <v>640.40719999999999</v>
      </c>
      <c r="D6710" s="2">
        <f>HYPERLINK("http://mcb-m6.bioreg.kyushu-u.ac.jp/M3/20110421/F51035/1419/1", 77.79)</f>
        <v>77.790000000000006</v>
      </c>
      <c r="E6710" s="2">
        <v>54.45</v>
      </c>
      <c r="F6710" s="2">
        <v>2</v>
      </c>
      <c r="G6710" s="2" t="s">
        <v>11</v>
      </c>
    </row>
    <row r="6711" spans="1:7" x14ac:dyDescent="0.2">
      <c r="A6711" s="2" t="s">
        <v>3534</v>
      </c>
      <c r="B6711" s="2" t="s">
        <v>1273</v>
      </c>
      <c r="C6711" s="2">
        <v>1102.53</v>
      </c>
      <c r="D6711" s="2">
        <f>HYPERLINK("http://mcb-m6.bioreg.kyushu-u.ac.jp/M3/20110421/F51035/3416/1", 78.87)</f>
        <v>78.87</v>
      </c>
      <c r="E6711" s="2">
        <v>71.239999999999995</v>
      </c>
      <c r="F6711" s="2">
        <v>2</v>
      </c>
      <c r="G6711" s="2" t="s">
        <v>11</v>
      </c>
    </row>
    <row r="6712" spans="1:7" x14ac:dyDescent="0.2">
      <c r="A6712" s="2" t="s">
        <v>3534</v>
      </c>
      <c r="B6712" s="2" t="s">
        <v>2412</v>
      </c>
      <c r="C6712" s="2">
        <v>487.1936</v>
      </c>
      <c r="D6712" s="2">
        <f>HYPERLINK("http://mcb-m6.bioreg.kyushu-u.ac.jp/M3/20110421/F51043/871/1", 36.26)</f>
        <v>36.26</v>
      </c>
      <c r="E6712" s="2">
        <v>9.92</v>
      </c>
      <c r="F6712" s="2">
        <v>2</v>
      </c>
      <c r="G6712" s="2" t="s">
        <v>12</v>
      </c>
    </row>
    <row r="6713" spans="1:7" x14ac:dyDescent="0.2">
      <c r="A6713" s="2" t="s">
        <v>3534</v>
      </c>
      <c r="B6713" s="2" t="s">
        <v>1416</v>
      </c>
      <c r="C6713" s="2">
        <v>640.00419999999997</v>
      </c>
      <c r="D6713" s="2">
        <f>HYPERLINK("http://mcb-m6.bioreg.kyushu-u.ac.jp/M3/20110421/F51043/1534/1", 73.37)</f>
        <v>73.37</v>
      </c>
      <c r="E6713" s="2">
        <v>51.7</v>
      </c>
      <c r="F6713" s="2">
        <v>2</v>
      </c>
      <c r="G6713" s="2" t="s">
        <v>12</v>
      </c>
    </row>
    <row r="6714" spans="1:7" x14ac:dyDescent="0.2">
      <c r="A6714" s="2" t="s">
        <v>3534</v>
      </c>
      <c r="B6714" s="2" t="s">
        <v>7390</v>
      </c>
      <c r="C6714" s="2">
        <v>876.23109999999997</v>
      </c>
      <c r="D6714" s="2">
        <f>HYPERLINK("http://mcb-m6.bioreg.kyushu-u.ac.jp/M3/20110428/F51127/2653/1", 54.87)</f>
        <v>54.87</v>
      </c>
      <c r="E6714" s="2">
        <v>40.369999999999997</v>
      </c>
      <c r="F6714" s="2">
        <v>2</v>
      </c>
      <c r="G6714" s="2" t="s">
        <v>13</v>
      </c>
    </row>
    <row r="6715" spans="1:7" x14ac:dyDescent="0.2">
      <c r="A6715" s="2" t="s">
        <v>3534</v>
      </c>
      <c r="B6715" s="2" t="s">
        <v>1416</v>
      </c>
      <c r="C6715" s="2">
        <v>639.60109999999997</v>
      </c>
      <c r="D6715" s="2">
        <f>HYPERLINK("http://mcb-m6.bioreg.kyushu-u.ac.jp/M3/20110428/F51127/1356/1", 69.26)</f>
        <v>69.260000000000005</v>
      </c>
      <c r="E6715" s="2">
        <v>46.11</v>
      </c>
      <c r="F6715" s="2">
        <v>2</v>
      </c>
      <c r="G6715" s="2" t="s">
        <v>13</v>
      </c>
    </row>
    <row r="6716" spans="1:7" x14ac:dyDescent="0.2">
      <c r="A6716" s="2" t="s">
        <v>3534</v>
      </c>
      <c r="B6716" s="2" t="s">
        <v>1273</v>
      </c>
      <c r="C6716" s="2">
        <v>1102.184</v>
      </c>
      <c r="D6716" s="2">
        <f>HYPERLINK("http://mcb-m6.bioreg.kyushu-u.ac.jp/M3/20110428/F51127/3462/1", 92.37)</f>
        <v>92.37</v>
      </c>
      <c r="E6716" s="2">
        <v>82.49</v>
      </c>
      <c r="F6716" s="2">
        <v>2</v>
      </c>
      <c r="G6716" s="2" t="s">
        <v>13</v>
      </c>
    </row>
    <row r="6717" spans="1:7" x14ac:dyDescent="0.2">
      <c r="A6717" s="2" t="s">
        <v>3534</v>
      </c>
      <c r="B6717" s="2" t="s">
        <v>1416</v>
      </c>
      <c r="C6717" s="2">
        <v>639.65620000000001</v>
      </c>
      <c r="D6717" s="2">
        <f>HYPERLINK("http://mcb-m6.bioreg.kyushu-u.ac.jp/M3/20110428/F51128/1501/1", 70.98)</f>
        <v>70.98</v>
      </c>
      <c r="E6717" s="2">
        <v>48.31</v>
      </c>
      <c r="F6717" s="2">
        <v>2</v>
      </c>
      <c r="G6717" s="2" t="s">
        <v>14</v>
      </c>
    </row>
    <row r="6718" spans="1:7" x14ac:dyDescent="0.2">
      <c r="A6718" s="2" t="s">
        <v>7722</v>
      </c>
      <c r="B6718" s="2" t="s">
        <v>6441</v>
      </c>
      <c r="C6718" s="2">
        <v>874.47119999999995</v>
      </c>
      <c r="D6718" s="2">
        <f>HYPERLINK("http://mcb-m6.bioreg.kyushu-u.ac.jp/M3/20110404/F50752/2495/1", 64.91)</f>
        <v>64.91</v>
      </c>
      <c r="E6718" s="2">
        <v>55.53</v>
      </c>
      <c r="F6718" s="2">
        <v>2</v>
      </c>
      <c r="G6718" s="2" t="s">
        <v>9</v>
      </c>
    </row>
    <row r="6719" spans="1:7" x14ac:dyDescent="0.2">
      <c r="A6719" s="2" t="s">
        <v>3874</v>
      </c>
      <c r="B6719" s="2" t="s">
        <v>2469</v>
      </c>
      <c r="C6719" s="2">
        <v>763.2867</v>
      </c>
      <c r="D6719" s="2">
        <f>HYPERLINK("http://mcb-m6.bioreg.kyushu-u.ac.jp/M3/20110404/F50775/2049/1", 49.76)</f>
        <v>49.76</v>
      </c>
      <c r="E6719" s="2">
        <v>44.11</v>
      </c>
      <c r="F6719" s="2">
        <v>2</v>
      </c>
      <c r="G6719" s="2" t="s">
        <v>10</v>
      </c>
    </row>
    <row r="6720" spans="1:7" x14ac:dyDescent="0.2">
      <c r="A6720" s="2" t="s">
        <v>3874</v>
      </c>
      <c r="B6720" s="2" t="s">
        <v>1658</v>
      </c>
      <c r="C6720" s="2">
        <v>941.92020000000002</v>
      </c>
      <c r="D6720" s="2">
        <f>HYPERLINK("http://mcb-m6.bioreg.kyushu-u.ac.jp/M3/20110404/F50775/2646/1", 100.85)</f>
        <v>100.85</v>
      </c>
      <c r="E6720" s="2">
        <v>81.88</v>
      </c>
      <c r="F6720" s="2">
        <v>2</v>
      </c>
      <c r="G6720" s="2" t="s">
        <v>10</v>
      </c>
    </row>
    <row r="6721" spans="1:9" x14ac:dyDescent="0.2">
      <c r="A6721" s="2" t="s">
        <v>3874</v>
      </c>
      <c r="B6721" s="2" t="s">
        <v>1157</v>
      </c>
      <c r="C6721" s="2">
        <v>565.22119999999995</v>
      </c>
      <c r="D6721" s="2">
        <f>HYPERLINK("http://mcb-m6.bioreg.kyushu-u.ac.jp/M3/20110421/F51042/950/1", 36.05)</f>
        <v>36.049999999999997</v>
      </c>
      <c r="E6721" s="2">
        <v>22.76</v>
      </c>
      <c r="F6721" s="2">
        <v>2</v>
      </c>
      <c r="G6721" s="2" t="s">
        <v>11</v>
      </c>
    </row>
    <row r="6722" spans="1:9" x14ac:dyDescent="0.2">
      <c r="A6722" s="2" t="s">
        <v>3874</v>
      </c>
      <c r="B6722" s="2" t="s">
        <v>7112</v>
      </c>
      <c r="C6722" s="2">
        <v>590.72119999999995</v>
      </c>
      <c r="D6722" s="2">
        <f>HYPERLINK("http://mcb-m6.bioreg.kyushu-u.ac.jp/M3/20110421/F51039/1339/1", 47.29)</f>
        <v>47.29</v>
      </c>
      <c r="E6722" s="2">
        <v>28.38</v>
      </c>
      <c r="F6722" s="2">
        <v>2</v>
      </c>
      <c r="G6722" s="2" t="s">
        <v>11</v>
      </c>
      <c r="I6722" s="2" t="s">
        <v>4890</v>
      </c>
    </row>
    <row r="6723" spans="1:9" x14ac:dyDescent="0.2">
      <c r="A6723" s="2" t="s">
        <v>3874</v>
      </c>
      <c r="B6723" s="2" t="s">
        <v>997</v>
      </c>
      <c r="C6723" s="2">
        <v>646.1327</v>
      </c>
      <c r="D6723" s="2">
        <f>HYPERLINK("http://mcb-m6.bioreg.kyushu-u.ac.jp/M3/20110421/F51039/1570/1", 57.32)</f>
        <v>57.32</v>
      </c>
      <c r="E6723" s="2">
        <v>42.92</v>
      </c>
      <c r="F6723" s="2">
        <v>2</v>
      </c>
      <c r="G6723" s="2" t="s">
        <v>11</v>
      </c>
    </row>
    <row r="6724" spans="1:9" x14ac:dyDescent="0.2">
      <c r="A6724" s="2" t="s">
        <v>3874</v>
      </c>
      <c r="B6724" s="2" t="s">
        <v>2469</v>
      </c>
      <c r="C6724" s="2">
        <v>763.0797</v>
      </c>
      <c r="D6724" s="2">
        <f>HYPERLINK("http://mcb-m6.bioreg.kyushu-u.ac.jp/M3/20110421/F51039/2203/1", 68.14)</f>
        <v>68.14</v>
      </c>
      <c r="E6724" s="2">
        <v>52.59</v>
      </c>
      <c r="F6724" s="2">
        <v>2</v>
      </c>
      <c r="G6724" s="2" t="s">
        <v>11</v>
      </c>
    </row>
    <row r="6725" spans="1:9" x14ac:dyDescent="0.2">
      <c r="A6725" s="2" t="s">
        <v>3874</v>
      </c>
      <c r="B6725" s="2" t="s">
        <v>1658</v>
      </c>
      <c r="C6725" s="2">
        <v>941.93219999999997</v>
      </c>
      <c r="D6725" s="2">
        <f>HYPERLINK("http://mcb-m6.bioreg.kyushu-u.ac.jp/M3/20110421/F51039/3015/1", 100.72)</f>
        <v>100.72</v>
      </c>
      <c r="E6725" s="2">
        <v>84.23</v>
      </c>
      <c r="F6725" s="2">
        <v>2</v>
      </c>
      <c r="G6725" s="2" t="s">
        <v>11</v>
      </c>
    </row>
    <row r="6726" spans="1:9" x14ac:dyDescent="0.2">
      <c r="A6726" s="2" t="s">
        <v>3874</v>
      </c>
      <c r="B6726" s="2" t="s">
        <v>1658</v>
      </c>
      <c r="C6726" s="2">
        <v>942.46810000000005</v>
      </c>
      <c r="D6726" s="2">
        <f>HYPERLINK("http://mcb-m6.bioreg.kyushu-u.ac.jp/M3/20110421/F51039/3016/1", 106.66)</f>
        <v>106.66</v>
      </c>
      <c r="E6726" s="2">
        <v>94.29</v>
      </c>
      <c r="F6726" s="2">
        <v>2</v>
      </c>
      <c r="G6726" s="2" t="s">
        <v>11</v>
      </c>
    </row>
    <row r="6727" spans="1:9" x14ac:dyDescent="0.2">
      <c r="A6727" s="2" t="s">
        <v>3874</v>
      </c>
      <c r="B6727" s="2" t="s">
        <v>2601</v>
      </c>
      <c r="C6727" s="2">
        <v>679.7722</v>
      </c>
      <c r="D6727" s="2">
        <f>HYPERLINK("http://mcb-m6.bioreg.kyushu-u.ac.jp/M3/20110421/F51048/1827/1", 41.4)</f>
        <v>41.4</v>
      </c>
      <c r="E6727" s="2">
        <v>23.52</v>
      </c>
      <c r="F6727" s="2">
        <v>2</v>
      </c>
      <c r="G6727" s="2" t="s">
        <v>12</v>
      </c>
    </row>
    <row r="6728" spans="1:9" x14ac:dyDescent="0.2">
      <c r="A6728" s="2" t="s">
        <v>3874</v>
      </c>
      <c r="B6728" s="2" t="s">
        <v>2469</v>
      </c>
      <c r="C6728" s="2">
        <v>763.05409999999995</v>
      </c>
      <c r="D6728" s="2">
        <f>HYPERLINK("http://mcb-m6.bioreg.kyushu-u.ac.jp/M3/20110428/F51132/2137/1", 44)</f>
        <v>44</v>
      </c>
      <c r="E6728" s="2">
        <v>36.72</v>
      </c>
      <c r="F6728" s="2">
        <v>2</v>
      </c>
      <c r="G6728" s="2" t="s">
        <v>13</v>
      </c>
    </row>
    <row r="6729" spans="1:9" x14ac:dyDescent="0.2">
      <c r="A6729" s="2" t="s">
        <v>5649</v>
      </c>
      <c r="B6729" s="2" t="s">
        <v>5093</v>
      </c>
      <c r="C6729" s="2">
        <v>668.7817</v>
      </c>
      <c r="D6729" s="2">
        <f>HYPERLINK("http://mcb-m6.bioreg.kyushu-u.ac.jp/M3/20110404/F50775/1607/1", 44.18)</f>
        <v>44.18</v>
      </c>
      <c r="E6729" s="2">
        <v>20.96</v>
      </c>
      <c r="F6729" s="2">
        <v>2</v>
      </c>
      <c r="G6729" s="2" t="s">
        <v>10</v>
      </c>
    </row>
    <row r="6730" spans="1:9" x14ac:dyDescent="0.2">
      <c r="A6730" s="2" t="s">
        <v>5649</v>
      </c>
      <c r="B6730" s="2" t="s">
        <v>5093</v>
      </c>
      <c r="C6730" s="2">
        <v>668.77809999999999</v>
      </c>
      <c r="D6730" s="2">
        <f>HYPERLINK("http://mcb-m6.bioreg.kyushu-u.ac.jp/M3/20110421/F51039/1642/1", 64.42)</f>
        <v>64.42</v>
      </c>
      <c r="E6730" s="2">
        <v>52.9</v>
      </c>
      <c r="F6730" s="2">
        <v>2</v>
      </c>
      <c r="G6730" s="2" t="s">
        <v>11</v>
      </c>
    </row>
    <row r="6731" spans="1:9" x14ac:dyDescent="0.2">
      <c r="A6731" s="2" t="s">
        <v>3607</v>
      </c>
      <c r="B6731" s="2" t="s">
        <v>2947</v>
      </c>
      <c r="C6731" s="2">
        <v>622.22559999999999</v>
      </c>
      <c r="D6731" s="2">
        <f>HYPERLINK("http://mcb-m6.bioreg.kyushu-u.ac.jp/M3/20110404/F50777/1418/1", 69.34)</f>
        <v>69.34</v>
      </c>
      <c r="E6731" s="2">
        <v>42.78</v>
      </c>
      <c r="F6731" s="2">
        <v>2</v>
      </c>
      <c r="G6731" s="2" t="s">
        <v>9</v>
      </c>
    </row>
    <row r="6732" spans="1:9" x14ac:dyDescent="0.2">
      <c r="A6732" s="2" t="s">
        <v>3749</v>
      </c>
      <c r="B6732" s="2" t="s">
        <v>1383</v>
      </c>
      <c r="C6732" s="2">
        <v>753.23270000000002</v>
      </c>
      <c r="D6732" s="2">
        <f>HYPERLINK("http://mcb-m6.bioreg.kyushu-u.ac.jp/M3/20110404/F50756/2026/1", 79.38)</f>
        <v>79.38</v>
      </c>
      <c r="E6732" s="2">
        <v>59.74</v>
      </c>
      <c r="F6732" s="2">
        <v>2</v>
      </c>
      <c r="G6732" s="2" t="s">
        <v>9</v>
      </c>
      <c r="I6732" s="2" t="s">
        <v>4903</v>
      </c>
    </row>
    <row r="6733" spans="1:9" x14ac:dyDescent="0.2">
      <c r="A6733" s="2" t="s">
        <v>3749</v>
      </c>
      <c r="B6733" s="2" t="s">
        <v>1383</v>
      </c>
      <c r="C6733" s="2">
        <v>752.72119999999995</v>
      </c>
      <c r="D6733" s="2">
        <f>HYPERLINK("http://mcb-m6.bioreg.kyushu-u.ac.jp/M3/20110404/F50761/1881/1", 80.78)</f>
        <v>80.78</v>
      </c>
      <c r="E6733" s="2">
        <v>61.02</v>
      </c>
      <c r="F6733" s="2">
        <v>2</v>
      </c>
      <c r="G6733" s="2" t="s">
        <v>10</v>
      </c>
      <c r="I6733" s="2" t="s">
        <v>4903</v>
      </c>
    </row>
    <row r="6734" spans="1:9" x14ac:dyDescent="0.2">
      <c r="A6734" s="2" t="s">
        <v>3749</v>
      </c>
      <c r="B6734" s="2" t="s">
        <v>1383</v>
      </c>
      <c r="C6734" s="2">
        <v>752.78520000000003</v>
      </c>
      <c r="D6734" s="2">
        <f>HYPERLINK("http://mcb-m6.bioreg.kyushu-u.ac.jp/M3/20110421/F51034/2115/1", 76.89)</f>
        <v>76.89</v>
      </c>
      <c r="E6734" s="2">
        <v>54.5</v>
      </c>
      <c r="F6734" s="2">
        <v>2</v>
      </c>
      <c r="G6734" s="2" t="s">
        <v>11</v>
      </c>
      <c r="I6734" s="2" t="s">
        <v>4903</v>
      </c>
    </row>
    <row r="6735" spans="1:9" x14ac:dyDescent="0.2">
      <c r="A6735" s="2" t="s">
        <v>3749</v>
      </c>
      <c r="B6735" s="2" t="s">
        <v>1383</v>
      </c>
      <c r="C6735" s="2">
        <v>753.1816</v>
      </c>
      <c r="D6735" s="2">
        <f>HYPERLINK("http://mcb-m6.bioreg.kyushu-u.ac.jp/M3/20110421/F51044/2127/1", 53.68)</f>
        <v>53.68</v>
      </c>
      <c r="E6735" s="2">
        <v>38.47</v>
      </c>
      <c r="F6735" s="2">
        <v>2</v>
      </c>
      <c r="G6735" s="2" t="s">
        <v>12</v>
      </c>
      <c r="I6735" s="2" t="s">
        <v>4903</v>
      </c>
    </row>
    <row r="6736" spans="1:9" x14ac:dyDescent="0.2">
      <c r="A6736" s="2" t="s">
        <v>3749</v>
      </c>
      <c r="B6736" s="2" t="s">
        <v>756</v>
      </c>
      <c r="C6736" s="2">
        <v>478.72609999999997</v>
      </c>
      <c r="D6736" s="2">
        <f>HYPERLINK("http://mcb-m6.bioreg.kyushu-u.ac.jp/M3/20110427/F51114/835/1", 54.32)</f>
        <v>54.32</v>
      </c>
      <c r="E6736" s="2">
        <v>26.61</v>
      </c>
      <c r="F6736" s="2">
        <v>2</v>
      </c>
      <c r="G6736" s="2" t="s">
        <v>13</v>
      </c>
    </row>
    <row r="6737" spans="1:9" x14ac:dyDescent="0.2">
      <c r="A6737" s="2" t="s">
        <v>3749</v>
      </c>
      <c r="B6737" s="2" t="s">
        <v>1383</v>
      </c>
      <c r="C6737" s="2">
        <v>752.58169999999996</v>
      </c>
      <c r="D6737" s="2">
        <f>HYPERLINK("http://mcb-m6.bioreg.kyushu-u.ac.jp/M3/20110427/F51114/2121/1", 71.11)</f>
        <v>71.11</v>
      </c>
      <c r="E6737" s="2">
        <v>51.76</v>
      </c>
      <c r="F6737" s="2">
        <v>2</v>
      </c>
      <c r="G6737" s="2" t="s">
        <v>13</v>
      </c>
      <c r="I6737" s="2" t="s">
        <v>4903</v>
      </c>
    </row>
    <row r="6738" spans="1:9" x14ac:dyDescent="0.2">
      <c r="A6738" s="2" t="s">
        <v>4330</v>
      </c>
      <c r="B6738" s="2" t="s">
        <v>2129</v>
      </c>
      <c r="C6738" s="2">
        <v>999.35059999999999</v>
      </c>
      <c r="D6738" s="2">
        <f>HYPERLINK("http://mcb-m6.bioreg.kyushu-u.ac.jp/M3/20110404/F50756/3070/1", 73.63)</f>
        <v>73.63</v>
      </c>
      <c r="E6738" s="2">
        <v>59.36</v>
      </c>
      <c r="F6738" s="2">
        <v>2</v>
      </c>
      <c r="G6738" s="2" t="s">
        <v>9</v>
      </c>
    </row>
    <row r="6739" spans="1:9" x14ac:dyDescent="0.2">
      <c r="A6739" s="2" t="s">
        <v>4330</v>
      </c>
      <c r="B6739" s="2" t="s">
        <v>2129</v>
      </c>
      <c r="C6739" s="2">
        <v>998.86159999999995</v>
      </c>
      <c r="D6739" s="2">
        <f>HYPERLINK("http://mcb-m6.bioreg.kyushu-u.ac.jp/M3/20110404/F50761/2829/1", 73.73)</f>
        <v>73.73</v>
      </c>
      <c r="E6739" s="2">
        <v>61.1</v>
      </c>
      <c r="F6739" s="2">
        <v>2</v>
      </c>
      <c r="G6739" s="2" t="s">
        <v>10</v>
      </c>
    </row>
    <row r="6740" spans="1:9" x14ac:dyDescent="0.2">
      <c r="A6740" s="2" t="s">
        <v>4330</v>
      </c>
      <c r="B6740" s="2" t="s">
        <v>2129</v>
      </c>
      <c r="C6740" s="2">
        <v>999.27009999999996</v>
      </c>
      <c r="D6740" s="2">
        <f>HYPERLINK("http://mcb-m6.bioreg.kyushu-u.ac.jp/M3/20110421/F51034/3094/1", 77.95)</f>
        <v>77.95</v>
      </c>
      <c r="E6740" s="2">
        <v>64.33</v>
      </c>
      <c r="F6740" s="2">
        <v>2</v>
      </c>
      <c r="G6740" s="2" t="s">
        <v>11</v>
      </c>
    </row>
    <row r="6741" spans="1:9" x14ac:dyDescent="0.2">
      <c r="A6741" s="2" t="s">
        <v>4330</v>
      </c>
      <c r="B6741" s="2" t="s">
        <v>2129</v>
      </c>
      <c r="C6741" s="2">
        <v>999.48569999999995</v>
      </c>
      <c r="D6741" s="2">
        <f>HYPERLINK("http://mcb-m6.bioreg.kyushu-u.ac.jp/M3/20110427/F51114/3255/1", 68.99)</f>
        <v>68.989999999999995</v>
      </c>
      <c r="E6741" s="2">
        <v>56.34</v>
      </c>
      <c r="F6741" s="2">
        <v>2</v>
      </c>
      <c r="G6741" s="2" t="s">
        <v>13</v>
      </c>
    </row>
    <row r="6742" spans="1:9" x14ac:dyDescent="0.2">
      <c r="A6742" s="2" t="s">
        <v>4426</v>
      </c>
      <c r="B6742" s="2" t="s">
        <v>2300</v>
      </c>
      <c r="C6742" s="2">
        <v>1096.425</v>
      </c>
      <c r="D6742" s="2">
        <f>HYPERLINK("http://mcb-m6.bioreg.kyushu-u.ac.jp/M3/20110404/F50752/1504/1", 51.76)</f>
        <v>51.76</v>
      </c>
      <c r="E6742" s="2">
        <v>30.47</v>
      </c>
      <c r="F6742" s="2">
        <v>1</v>
      </c>
      <c r="G6742" s="2" t="s">
        <v>9</v>
      </c>
    </row>
    <row r="6743" spans="1:9" x14ac:dyDescent="0.2">
      <c r="A6743" s="2" t="s">
        <v>3324</v>
      </c>
      <c r="B6743" s="2" t="s">
        <v>1224</v>
      </c>
      <c r="C6743" s="2">
        <v>844.96420000000001</v>
      </c>
      <c r="D6743" s="2">
        <f>HYPERLINK("http://mcb-m6.bioreg.kyushu-u.ac.jp/M3/20110404/F50756/2430/1", 37.23)</f>
        <v>37.229999999999997</v>
      </c>
      <c r="E6743" s="2">
        <v>22.66</v>
      </c>
      <c r="F6743" s="2">
        <v>2</v>
      </c>
      <c r="G6743" s="2" t="s">
        <v>9</v>
      </c>
    </row>
    <row r="6744" spans="1:9" x14ac:dyDescent="0.2">
      <c r="A6744" s="2" t="s">
        <v>3324</v>
      </c>
      <c r="B6744" s="2" t="s">
        <v>1133</v>
      </c>
      <c r="C6744" s="2">
        <v>651.16769999999997</v>
      </c>
      <c r="D6744" s="2">
        <f>HYPERLINK("http://mcb-m6.bioreg.kyushu-u.ac.jp/M3/20110404/F50756/1532/1", 53.64)</f>
        <v>53.64</v>
      </c>
      <c r="E6744" s="2">
        <v>39.31</v>
      </c>
      <c r="F6744" s="2">
        <v>2</v>
      </c>
      <c r="G6744" s="2" t="s">
        <v>9</v>
      </c>
    </row>
    <row r="6745" spans="1:9" x14ac:dyDescent="0.2">
      <c r="A6745" s="2" t="s">
        <v>3324</v>
      </c>
      <c r="B6745" s="2" t="s">
        <v>6505</v>
      </c>
      <c r="C6745" s="2">
        <v>693.53769999999997</v>
      </c>
      <c r="D6745" s="2">
        <f>HYPERLINK("http://mcb-m6.bioreg.kyushu-u.ac.jp/M3/20110404/F50756/1709/1", 71.72)</f>
        <v>71.72</v>
      </c>
      <c r="E6745" s="2">
        <v>59.62</v>
      </c>
      <c r="F6745" s="2">
        <v>2</v>
      </c>
      <c r="G6745" s="2" t="s">
        <v>9</v>
      </c>
    </row>
    <row r="6746" spans="1:9" x14ac:dyDescent="0.2">
      <c r="A6746" s="2" t="s">
        <v>3324</v>
      </c>
      <c r="B6746" s="2" t="s">
        <v>1224</v>
      </c>
      <c r="C6746" s="2">
        <v>844.28060000000005</v>
      </c>
      <c r="D6746" s="2">
        <f>HYPERLINK("http://mcb-m6.bioreg.kyushu-u.ac.jp/M3/20110404/F50756/2424/1", 80.69)</f>
        <v>80.69</v>
      </c>
      <c r="E6746" s="2">
        <v>62.65</v>
      </c>
      <c r="F6746" s="2">
        <v>2</v>
      </c>
      <c r="G6746" s="2" t="s">
        <v>9</v>
      </c>
    </row>
    <row r="6747" spans="1:9" x14ac:dyDescent="0.2">
      <c r="A6747" s="2" t="s">
        <v>3324</v>
      </c>
      <c r="B6747" s="2" t="s">
        <v>110</v>
      </c>
      <c r="C6747" s="2">
        <v>530.60109999999997</v>
      </c>
      <c r="D6747" s="2">
        <f>HYPERLINK("http://mcb-m6.bioreg.kyushu-u.ac.jp/M3/20110427/F51114/1074/1", 59.35)</f>
        <v>59.35</v>
      </c>
      <c r="E6747" s="2">
        <v>43.04</v>
      </c>
      <c r="F6747" s="2">
        <v>2</v>
      </c>
      <c r="G6747" s="2" t="s">
        <v>13</v>
      </c>
    </row>
    <row r="6748" spans="1:9" x14ac:dyDescent="0.2">
      <c r="A6748" s="2" t="s">
        <v>3324</v>
      </c>
      <c r="B6748" s="2" t="s">
        <v>1224</v>
      </c>
      <c r="C6748" s="2">
        <v>844.47170000000006</v>
      </c>
      <c r="D6748" s="2">
        <f>HYPERLINK("http://mcb-m6.bioreg.kyushu-u.ac.jp/M3/20110427/F51114/2584/1", 61.14)</f>
        <v>61.14</v>
      </c>
      <c r="E6748" s="2">
        <v>45.16</v>
      </c>
      <c r="F6748" s="2">
        <v>2</v>
      </c>
      <c r="G6748" s="2" t="s">
        <v>13</v>
      </c>
    </row>
    <row r="6749" spans="1:9" x14ac:dyDescent="0.2">
      <c r="A6749" s="2" t="s">
        <v>3324</v>
      </c>
      <c r="B6749" s="2" t="s">
        <v>1133</v>
      </c>
      <c r="C6749" s="2">
        <v>651.19920000000002</v>
      </c>
      <c r="D6749" s="2">
        <f>HYPERLINK("http://mcb-m6.bioreg.kyushu-u.ac.jp/M3/20110427/F51114/1572/1", 65.34)</f>
        <v>65.34</v>
      </c>
      <c r="E6749" s="2">
        <v>49.23</v>
      </c>
      <c r="F6749" s="2">
        <v>2</v>
      </c>
      <c r="G6749" s="2" t="s">
        <v>13</v>
      </c>
    </row>
    <row r="6750" spans="1:9" x14ac:dyDescent="0.2">
      <c r="A6750" s="2" t="s">
        <v>7797</v>
      </c>
      <c r="B6750" s="2" t="s">
        <v>6711</v>
      </c>
      <c r="C6750" s="2">
        <v>781.78970000000004</v>
      </c>
      <c r="D6750" s="2">
        <f>HYPERLINK("http://mcb-m6.bioreg.kyushu-u.ac.jp/M3/20110404/F50761/2023/1", 37.17)</f>
        <v>37.17</v>
      </c>
      <c r="E6750" s="2">
        <v>25.77</v>
      </c>
      <c r="F6750" s="2">
        <v>2</v>
      </c>
      <c r="G6750" s="2" t="s">
        <v>10</v>
      </c>
      <c r="I6750" s="2" t="s">
        <v>4905</v>
      </c>
    </row>
    <row r="6751" spans="1:9" x14ac:dyDescent="0.2">
      <c r="A6751" s="2" t="s">
        <v>4879</v>
      </c>
      <c r="B6751" s="2" t="s">
        <v>5907</v>
      </c>
      <c r="C6751" s="2">
        <v>551.70719999999994</v>
      </c>
      <c r="D6751" s="2">
        <f>HYPERLINK("http://mcb-m6.bioreg.kyushu-u.ac.jp/M3/20110404/F50767/931/1", 35.13)</f>
        <v>35.130000000000003</v>
      </c>
      <c r="E6751" s="2">
        <v>19.559999999999999</v>
      </c>
      <c r="F6751" s="2">
        <v>2</v>
      </c>
      <c r="G6751" s="2" t="s">
        <v>9</v>
      </c>
    </row>
    <row r="6752" spans="1:9" x14ac:dyDescent="0.2">
      <c r="A6752" s="2" t="s">
        <v>4879</v>
      </c>
      <c r="B6752" s="2" t="s">
        <v>5933</v>
      </c>
      <c r="C6752" s="2">
        <v>656.84670000000006</v>
      </c>
      <c r="D6752" s="2">
        <f>HYPERLINK("http://mcb-m6.bioreg.kyushu-u.ac.jp/M3/20110404/F50767/1275/1", 36.18)</f>
        <v>36.18</v>
      </c>
      <c r="E6752" s="2">
        <v>25.08</v>
      </c>
      <c r="F6752" s="2">
        <v>2</v>
      </c>
      <c r="G6752" s="2" t="s">
        <v>9</v>
      </c>
    </row>
    <row r="6753" spans="1:9" x14ac:dyDescent="0.2">
      <c r="A6753" s="2" t="s">
        <v>4879</v>
      </c>
      <c r="B6753" s="2" t="s">
        <v>6045</v>
      </c>
      <c r="C6753" s="2">
        <v>942.05619999999999</v>
      </c>
      <c r="D6753" s="2">
        <f>HYPERLINK("http://mcb-m6.bioreg.kyushu-u.ac.jp/M3/20110404/F50767/2637/1", 40.07)</f>
        <v>40.07</v>
      </c>
      <c r="E6753" s="2">
        <v>31.76</v>
      </c>
      <c r="F6753" s="2">
        <v>2</v>
      </c>
      <c r="G6753" s="2" t="s">
        <v>9</v>
      </c>
    </row>
    <row r="6754" spans="1:9" x14ac:dyDescent="0.2">
      <c r="A6754" s="2" t="s">
        <v>4879</v>
      </c>
      <c r="B6754" s="2" t="s">
        <v>6084</v>
      </c>
      <c r="C6754" s="2">
        <v>567.15869999999995</v>
      </c>
      <c r="D6754" s="2">
        <f>HYPERLINK("http://mcb-m6.bioreg.kyushu-u.ac.jp/M3/20110404/F50767/961/1", 41.66)</f>
        <v>41.66</v>
      </c>
      <c r="E6754" s="2">
        <v>10.94</v>
      </c>
      <c r="F6754" s="2">
        <v>2</v>
      </c>
      <c r="G6754" s="2" t="s">
        <v>9</v>
      </c>
    </row>
    <row r="6755" spans="1:9" x14ac:dyDescent="0.2">
      <c r="A6755" s="2" t="s">
        <v>4879</v>
      </c>
      <c r="B6755" s="2" t="s">
        <v>6139</v>
      </c>
      <c r="C6755" s="2">
        <v>705.77670000000001</v>
      </c>
      <c r="D6755" s="2">
        <f>HYPERLINK("http://mcb-m6.bioreg.kyushu-u.ac.jp/M3/20110404/F50766/1331/1", 44.11)</f>
        <v>44.11</v>
      </c>
      <c r="E6755" s="2">
        <v>14.45</v>
      </c>
      <c r="F6755" s="2">
        <v>2</v>
      </c>
      <c r="G6755" s="2" t="s">
        <v>9</v>
      </c>
    </row>
    <row r="6756" spans="1:9" x14ac:dyDescent="0.2">
      <c r="A6756" s="2" t="s">
        <v>4879</v>
      </c>
      <c r="B6756" s="2" t="s">
        <v>6238</v>
      </c>
      <c r="C6756" s="2">
        <v>1025.3119999999999</v>
      </c>
      <c r="D6756" s="2">
        <f>HYPERLINK("http://mcb-m6.bioreg.kyushu-u.ac.jp/M3/20110404/F50766/4697/1", 48.24)</f>
        <v>48.24</v>
      </c>
      <c r="E6756" s="2">
        <v>38.83</v>
      </c>
      <c r="F6756" s="2">
        <v>3</v>
      </c>
      <c r="G6756" s="2" t="s">
        <v>9</v>
      </c>
      <c r="I6756" s="2" t="s">
        <v>4906</v>
      </c>
    </row>
    <row r="6757" spans="1:9" x14ac:dyDescent="0.2">
      <c r="A6757" s="2" t="s">
        <v>4879</v>
      </c>
      <c r="B6757" s="2" t="s">
        <v>6269</v>
      </c>
      <c r="C6757" s="2">
        <v>839.73109999999997</v>
      </c>
      <c r="D6757" s="2">
        <f>HYPERLINK("http://mcb-m6.bioreg.kyushu-u.ac.jp/M3/20110404/F50767/2186/1", 50.21)</f>
        <v>50.21</v>
      </c>
      <c r="E6757" s="2">
        <v>34.39</v>
      </c>
      <c r="F6757" s="2">
        <v>2</v>
      </c>
      <c r="G6757" s="2" t="s">
        <v>9</v>
      </c>
    </row>
    <row r="6758" spans="1:9" x14ac:dyDescent="0.2">
      <c r="A6758" s="2" t="s">
        <v>4879</v>
      </c>
      <c r="B6758" s="2" t="s">
        <v>3201</v>
      </c>
      <c r="C6758" s="2">
        <v>681.30409999999995</v>
      </c>
      <c r="D6758" s="2">
        <f>HYPERLINK("http://mcb-m6.bioreg.kyushu-u.ac.jp/M3/20110404/F50767/1382/1", 50.9)</f>
        <v>50.9</v>
      </c>
      <c r="E6758" s="2">
        <v>35.11</v>
      </c>
      <c r="F6758" s="2">
        <v>2</v>
      </c>
      <c r="G6758" s="2" t="s">
        <v>9</v>
      </c>
    </row>
    <row r="6759" spans="1:9" x14ac:dyDescent="0.2">
      <c r="A6759" s="2" t="s">
        <v>4879</v>
      </c>
      <c r="B6759" s="2" t="s">
        <v>6306</v>
      </c>
      <c r="C6759" s="2">
        <v>705.80820000000006</v>
      </c>
      <c r="D6759" s="2">
        <f>HYPERLINK("http://mcb-m6.bioreg.kyushu-u.ac.jp/M3/20110404/F50767/1516/1", 51.97)</f>
        <v>51.97</v>
      </c>
      <c r="E6759" s="2">
        <v>8.01</v>
      </c>
      <c r="F6759" s="2">
        <v>2</v>
      </c>
      <c r="G6759" s="2" t="s">
        <v>9</v>
      </c>
    </row>
    <row r="6760" spans="1:9" x14ac:dyDescent="0.2">
      <c r="A6760" s="2" t="s">
        <v>4879</v>
      </c>
      <c r="B6760" s="2" t="s">
        <v>6340</v>
      </c>
      <c r="C6760" s="2">
        <v>687.71669999999995</v>
      </c>
      <c r="D6760" s="2">
        <f>HYPERLINK("http://mcb-m6.bioreg.kyushu-u.ac.jp/M3/20110404/F50767/1428/1", 54.21)</f>
        <v>54.21</v>
      </c>
      <c r="E6760" s="2">
        <v>43.19</v>
      </c>
      <c r="F6760" s="2">
        <v>2</v>
      </c>
      <c r="G6760" s="2" t="s">
        <v>9</v>
      </c>
    </row>
    <row r="6761" spans="1:9" x14ac:dyDescent="0.2">
      <c r="A6761" s="2" t="s">
        <v>4879</v>
      </c>
      <c r="B6761" s="2" t="s">
        <v>6397</v>
      </c>
      <c r="C6761" s="2">
        <v>696.71720000000005</v>
      </c>
      <c r="D6761" s="2">
        <f>HYPERLINK("http://mcb-m6.bioreg.kyushu-u.ac.jp/M3/20110404/F50766/1275/1", 59.6)</f>
        <v>59.6</v>
      </c>
      <c r="E6761" s="2">
        <v>42.92</v>
      </c>
      <c r="F6761" s="2">
        <v>2</v>
      </c>
      <c r="G6761" s="2" t="s">
        <v>9</v>
      </c>
    </row>
    <row r="6762" spans="1:9" x14ac:dyDescent="0.2">
      <c r="A6762" s="2" t="s">
        <v>4879</v>
      </c>
      <c r="B6762" s="2" t="s">
        <v>6404</v>
      </c>
      <c r="C6762" s="2">
        <v>903.77009999999996</v>
      </c>
      <c r="D6762" s="2">
        <f>HYPERLINK("http://mcb-m6.bioreg.kyushu-u.ac.jp/M3/20110404/F50767/2485/1", 60.48)</f>
        <v>60.48</v>
      </c>
      <c r="E6762" s="2">
        <v>38.76</v>
      </c>
      <c r="F6762" s="2">
        <v>2</v>
      </c>
      <c r="G6762" s="2" t="s">
        <v>9</v>
      </c>
    </row>
    <row r="6763" spans="1:9" x14ac:dyDescent="0.2">
      <c r="A6763" s="2" t="s">
        <v>4879</v>
      </c>
      <c r="B6763" s="2" t="s">
        <v>5366</v>
      </c>
      <c r="C6763" s="2">
        <v>943.93520000000001</v>
      </c>
      <c r="D6763" s="2">
        <f>HYPERLINK("http://mcb-m6.bioreg.kyushu-u.ac.jp/M3/20110404/F50767/2643/1", 60.5)</f>
        <v>60.5</v>
      </c>
      <c r="E6763" s="2">
        <v>51.65</v>
      </c>
      <c r="F6763" s="2">
        <v>2</v>
      </c>
      <c r="G6763" s="2" t="s">
        <v>9</v>
      </c>
      <c r="I6763" s="2" t="s">
        <v>5899</v>
      </c>
    </row>
    <row r="6764" spans="1:9" x14ac:dyDescent="0.2">
      <c r="A6764" s="2" t="s">
        <v>4879</v>
      </c>
      <c r="B6764" s="2" t="s">
        <v>6421</v>
      </c>
      <c r="C6764" s="2">
        <v>965.3066</v>
      </c>
      <c r="D6764" s="2">
        <f>HYPERLINK("http://mcb-m6.bioreg.kyushu-u.ac.jp/M3/20110404/F50767/2736/1", 62.21)</f>
        <v>62.21</v>
      </c>
      <c r="E6764" s="2">
        <v>44.89</v>
      </c>
      <c r="F6764" s="2">
        <v>2</v>
      </c>
      <c r="G6764" s="2" t="s">
        <v>9</v>
      </c>
    </row>
    <row r="6765" spans="1:9" x14ac:dyDescent="0.2">
      <c r="A6765" s="2" t="s">
        <v>4879</v>
      </c>
      <c r="B6765" s="2" t="s">
        <v>6494</v>
      </c>
      <c r="C6765" s="2">
        <v>671.24220000000003</v>
      </c>
      <c r="D6765" s="2">
        <f>HYPERLINK("http://mcb-m6.bioreg.kyushu-u.ac.jp/M3/20110404/F50767/1332/1", 70.34)</f>
        <v>70.34</v>
      </c>
      <c r="E6765" s="2">
        <v>57.27</v>
      </c>
      <c r="F6765" s="2">
        <v>2</v>
      </c>
      <c r="G6765" s="2" t="s">
        <v>9</v>
      </c>
    </row>
    <row r="6766" spans="1:9" x14ac:dyDescent="0.2">
      <c r="A6766" s="2" t="s">
        <v>4879</v>
      </c>
      <c r="B6766" s="2" t="s">
        <v>6404</v>
      </c>
      <c r="C6766" s="2">
        <v>903.91359999999997</v>
      </c>
      <c r="D6766" s="2">
        <f>HYPERLINK("http://mcb-m6.bioreg.kyushu-u.ac.jp/M3/20110404/F50766/2483/1", 70.97)</f>
        <v>70.97</v>
      </c>
      <c r="E6766" s="2">
        <v>59.66</v>
      </c>
      <c r="F6766" s="2">
        <v>2</v>
      </c>
      <c r="G6766" s="2" t="s">
        <v>9</v>
      </c>
    </row>
    <row r="6767" spans="1:9" x14ac:dyDescent="0.2">
      <c r="A6767" s="2" t="s">
        <v>4879</v>
      </c>
      <c r="B6767" s="2" t="s">
        <v>6139</v>
      </c>
      <c r="C6767" s="2">
        <v>713.82510000000002</v>
      </c>
      <c r="D6767" s="2">
        <f>HYPERLINK("http://mcb-m6.bioreg.kyushu-u.ac.jp/M3/20110404/F50767/1573/1", 71.11)</f>
        <v>71.11</v>
      </c>
      <c r="E6767" s="2">
        <v>53.38</v>
      </c>
      <c r="F6767" s="2">
        <v>2</v>
      </c>
      <c r="G6767" s="2" t="s">
        <v>9</v>
      </c>
      <c r="H6767" s="2" t="s">
        <v>4908</v>
      </c>
    </row>
    <row r="6768" spans="1:9" x14ac:dyDescent="0.2">
      <c r="A6768" s="2" t="s">
        <v>4879</v>
      </c>
      <c r="B6768" s="2" t="s">
        <v>6515</v>
      </c>
      <c r="C6768" s="2">
        <v>801.14319999999998</v>
      </c>
      <c r="D6768" s="2">
        <f>HYPERLINK("http://mcb-m6.bioreg.kyushu-u.ac.jp/M3/20110404/F50767/2029/1", 73.47)</f>
        <v>73.47</v>
      </c>
      <c r="E6768" s="2">
        <v>64.97</v>
      </c>
      <c r="F6768" s="2">
        <v>2</v>
      </c>
      <c r="G6768" s="2" t="s">
        <v>9</v>
      </c>
    </row>
    <row r="6769" spans="1:9" x14ac:dyDescent="0.2">
      <c r="A6769" s="2" t="s">
        <v>4879</v>
      </c>
      <c r="B6769" s="2" t="s">
        <v>6518</v>
      </c>
      <c r="C6769" s="2">
        <v>884.42660000000001</v>
      </c>
      <c r="D6769" s="2">
        <f>HYPERLINK("http://mcb-m6.bioreg.kyushu-u.ac.jp/M3/20110404/F50767/2389/1", 73.69)</f>
        <v>73.69</v>
      </c>
      <c r="E6769" s="2">
        <v>55.62</v>
      </c>
      <c r="F6769" s="2">
        <v>2</v>
      </c>
      <c r="G6769" s="2" t="s">
        <v>9</v>
      </c>
    </row>
    <row r="6770" spans="1:9" x14ac:dyDescent="0.2">
      <c r="A6770" s="2" t="s">
        <v>4879</v>
      </c>
      <c r="B6770" s="2" t="s">
        <v>3201</v>
      </c>
      <c r="C6770" s="2">
        <v>681.19960000000003</v>
      </c>
      <c r="D6770" s="2">
        <f>HYPERLINK("http://mcb-m6.bioreg.kyushu-u.ac.jp/M3/20110404/F50766/1198/1", 89.51)</f>
        <v>89.51</v>
      </c>
      <c r="E6770" s="2">
        <v>66.17</v>
      </c>
      <c r="F6770" s="2">
        <v>2</v>
      </c>
      <c r="G6770" s="2" t="s">
        <v>9</v>
      </c>
    </row>
    <row r="6771" spans="1:9" x14ac:dyDescent="0.2">
      <c r="A6771" s="2" t="s">
        <v>4879</v>
      </c>
      <c r="B6771" s="2" t="s">
        <v>6665</v>
      </c>
      <c r="C6771" s="2">
        <v>1035.3589999999999</v>
      </c>
      <c r="D6771" s="2">
        <f>HYPERLINK("http://mcb-m6.bioreg.kyushu-u.ac.jp/M3/20110404/F50767/3018/1", 123.68)</f>
        <v>123.68</v>
      </c>
      <c r="E6771" s="2">
        <v>105.81</v>
      </c>
      <c r="F6771" s="2">
        <v>2</v>
      </c>
      <c r="G6771" s="2" t="s">
        <v>9</v>
      </c>
    </row>
    <row r="6772" spans="1:9" x14ac:dyDescent="0.2">
      <c r="A6772" s="2" t="s">
        <v>4879</v>
      </c>
      <c r="B6772" s="2" t="s">
        <v>5366</v>
      </c>
      <c r="C6772" s="2">
        <v>943.4357</v>
      </c>
      <c r="D6772" s="2">
        <f>HYPERLINK("http://mcb-m6.bioreg.kyushu-u.ac.jp/M3/20110404/F50773/2572/1", 58.51)</f>
        <v>58.51</v>
      </c>
      <c r="E6772" s="2">
        <v>51.47</v>
      </c>
      <c r="F6772" s="2">
        <v>2</v>
      </c>
      <c r="G6772" s="2" t="s">
        <v>10</v>
      </c>
      <c r="I6772" s="2" t="s">
        <v>5899</v>
      </c>
    </row>
    <row r="6773" spans="1:9" x14ac:dyDescent="0.2">
      <c r="A6773" s="2" t="s">
        <v>4879</v>
      </c>
      <c r="B6773" s="2" t="s">
        <v>6990</v>
      </c>
      <c r="C6773" s="2">
        <v>1046.8779999999999</v>
      </c>
      <c r="D6773" s="2">
        <f>HYPERLINK("http://mcb-m6.bioreg.kyushu-u.ac.jp/M3/20110404/F50773/2897/1", 73.67)</f>
        <v>73.67</v>
      </c>
      <c r="E6773" s="2">
        <v>66.569999999999993</v>
      </c>
      <c r="F6773" s="2">
        <v>2</v>
      </c>
      <c r="G6773" s="2" t="s">
        <v>10</v>
      </c>
      <c r="I6773" s="2" t="s">
        <v>4890</v>
      </c>
    </row>
    <row r="6774" spans="1:9" x14ac:dyDescent="0.2">
      <c r="A6774" s="2" t="s">
        <v>4879</v>
      </c>
      <c r="B6774" s="2" t="s">
        <v>6269</v>
      </c>
      <c r="C6774" s="2">
        <v>840.09310000000005</v>
      </c>
      <c r="D6774" s="2">
        <f>HYPERLINK("http://mcb-m6.bioreg.kyushu-u.ac.jp/M3/20110404/F50772/2315/1", 86.17)</f>
        <v>86.17</v>
      </c>
      <c r="E6774" s="2">
        <v>72.42</v>
      </c>
      <c r="F6774" s="2">
        <v>2</v>
      </c>
      <c r="G6774" s="2" t="s">
        <v>10</v>
      </c>
    </row>
    <row r="6775" spans="1:9" x14ac:dyDescent="0.2">
      <c r="A6775" s="2" t="s">
        <v>4879</v>
      </c>
      <c r="B6775" s="2" t="s">
        <v>6269</v>
      </c>
      <c r="C6775" s="2">
        <v>839.80470000000003</v>
      </c>
      <c r="D6775" s="2">
        <f>HYPERLINK("http://mcb-m6.bioreg.kyushu-u.ac.jp/M3/20110427/F51117/2463/1", 49.17)</f>
        <v>49.17</v>
      </c>
      <c r="E6775" s="2">
        <v>38.72</v>
      </c>
      <c r="F6775" s="2">
        <v>2</v>
      </c>
      <c r="G6775" s="2" t="s">
        <v>13</v>
      </c>
    </row>
    <row r="6776" spans="1:9" x14ac:dyDescent="0.2">
      <c r="A6776" s="2" t="s">
        <v>4879</v>
      </c>
      <c r="B6776" s="2" t="s">
        <v>3201</v>
      </c>
      <c r="C6776" s="2">
        <v>681.45010000000002</v>
      </c>
      <c r="D6776" s="2">
        <f>HYPERLINK("http://mcb-m6.bioreg.kyushu-u.ac.jp/M3/20110427/F51116/1720/1", 60.75)</f>
        <v>60.75</v>
      </c>
      <c r="E6776" s="2">
        <v>44.1</v>
      </c>
      <c r="F6776" s="2">
        <v>2</v>
      </c>
      <c r="G6776" s="2" t="s">
        <v>13</v>
      </c>
    </row>
    <row r="6777" spans="1:9" x14ac:dyDescent="0.2">
      <c r="A6777" s="2" t="s">
        <v>7571</v>
      </c>
      <c r="B6777" s="2" t="s">
        <v>6014</v>
      </c>
      <c r="C6777" s="2">
        <v>1018.175</v>
      </c>
      <c r="D6777" s="2">
        <f>HYPERLINK("http://mcb-m6.bioreg.kyushu-u.ac.jp/M3/20110404/F50753/1225/1", 38.79)</f>
        <v>38.79</v>
      </c>
      <c r="E6777" s="2">
        <v>16.8</v>
      </c>
      <c r="F6777" s="2">
        <v>1</v>
      </c>
      <c r="G6777" s="2" t="s">
        <v>9</v>
      </c>
    </row>
    <row r="6778" spans="1:9" x14ac:dyDescent="0.2">
      <c r="A6778" s="2" t="s">
        <v>7571</v>
      </c>
      <c r="B6778" s="2" t="s">
        <v>6277</v>
      </c>
      <c r="C6778" s="2">
        <v>609.71469999999999</v>
      </c>
      <c r="D6778" s="2">
        <f>HYPERLINK("http://mcb-m6.bioreg.kyushu-u.ac.jp/M3/20110404/F50753/1541/1", 50.6)</f>
        <v>50.6</v>
      </c>
      <c r="E6778" s="2">
        <v>24.65</v>
      </c>
      <c r="F6778" s="2">
        <v>2</v>
      </c>
      <c r="G6778" s="2" t="s">
        <v>9</v>
      </c>
    </row>
    <row r="6779" spans="1:9" x14ac:dyDescent="0.2">
      <c r="A6779" s="2" t="s">
        <v>3761</v>
      </c>
      <c r="B6779" s="2" t="s">
        <v>777</v>
      </c>
      <c r="C6779" s="2">
        <v>475.86709999999999</v>
      </c>
      <c r="D6779" s="2">
        <f>HYPERLINK("http://mcb-m6.bioreg.kyushu-u.ac.jp/M3/20110427/F51111/1004/1", 39.07)</f>
        <v>39.07</v>
      </c>
      <c r="E6779" s="2">
        <v>14.4</v>
      </c>
      <c r="F6779" s="2">
        <v>2</v>
      </c>
      <c r="G6779" s="2" t="s">
        <v>13</v>
      </c>
    </row>
    <row r="6780" spans="1:9" x14ac:dyDescent="0.2">
      <c r="A6780" s="2" t="s">
        <v>3634</v>
      </c>
      <c r="B6780" s="2" t="s">
        <v>550</v>
      </c>
      <c r="C6780" s="2">
        <v>617.5992</v>
      </c>
      <c r="D6780" s="2">
        <f>HYPERLINK("http://mcb-m6.bioreg.kyushu-u.ac.jp/M3/20110404/F50753/1571/1", 41.84)</f>
        <v>41.84</v>
      </c>
      <c r="E6780" s="2">
        <v>19.440000000000001</v>
      </c>
      <c r="F6780" s="2">
        <v>2</v>
      </c>
      <c r="G6780" s="2" t="s">
        <v>9</v>
      </c>
    </row>
    <row r="6781" spans="1:9" x14ac:dyDescent="0.2">
      <c r="A6781" s="2" t="s">
        <v>3634</v>
      </c>
      <c r="B6781" s="2" t="s">
        <v>2534</v>
      </c>
      <c r="C6781" s="2">
        <v>479.04809999999998</v>
      </c>
      <c r="D6781" s="2">
        <f>HYPERLINK("http://mcb-m6.bioreg.kyushu-u.ac.jp/M3/20110404/F50753/1151/1", 44.63)</f>
        <v>44.63</v>
      </c>
      <c r="E6781" s="2">
        <v>12.02</v>
      </c>
      <c r="F6781" s="2">
        <v>2</v>
      </c>
      <c r="G6781" s="2" t="s">
        <v>9</v>
      </c>
    </row>
    <row r="6782" spans="1:9" x14ac:dyDescent="0.2">
      <c r="A6782" s="2" t="s">
        <v>3634</v>
      </c>
      <c r="B6782" s="2" t="s">
        <v>2534</v>
      </c>
      <c r="C6782" s="2">
        <v>479.14109999999999</v>
      </c>
      <c r="D6782" s="2">
        <f>HYPERLINK("http://mcb-m6.bioreg.kyushu-u.ac.jp/M3/20110404/F50758/1174/1", 35.27)</f>
        <v>35.270000000000003</v>
      </c>
      <c r="E6782" s="2">
        <v>13.09</v>
      </c>
      <c r="F6782" s="2">
        <v>2</v>
      </c>
      <c r="G6782" s="2" t="s">
        <v>10</v>
      </c>
    </row>
    <row r="6783" spans="1:9" x14ac:dyDescent="0.2">
      <c r="A6783" s="2" t="s">
        <v>3239</v>
      </c>
      <c r="B6783" s="2" t="s">
        <v>19</v>
      </c>
      <c r="C6783" s="2">
        <v>631.6232</v>
      </c>
      <c r="D6783" s="2">
        <f>HYPERLINK("http://mcb-m6.bioreg.kyushu-u.ac.jp/M3/20110404/F50752/1771/1", 85.54)</f>
        <v>85.54</v>
      </c>
      <c r="E6783" s="2">
        <v>54.4</v>
      </c>
      <c r="F6783" s="2">
        <v>2</v>
      </c>
      <c r="G6783" s="2" t="s">
        <v>9</v>
      </c>
    </row>
    <row r="6784" spans="1:9" x14ac:dyDescent="0.2">
      <c r="A6784" s="2" t="s">
        <v>3239</v>
      </c>
      <c r="B6784" s="2" t="s">
        <v>19</v>
      </c>
      <c r="C6784" s="2">
        <v>631.45169999999996</v>
      </c>
      <c r="D6784" s="2">
        <f>HYPERLINK("http://mcb-m6.bioreg.kyushu-u.ac.jp/M3/20110404/F50751/1771/1", 97.67)</f>
        <v>97.67</v>
      </c>
      <c r="E6784" s="2">
        <v>58.75</v>
      </c>
      <c r="F6784" s="2">
        <v>2</v>
      </c>
      <c r="G6784" s="2" t="s">
        <v>9</v>
      </c>
    </row>
    <row r="6785" spans="1:9" x14ac:dyDescent="0.2">
      <c r="A6785" s="2" t="s">
        <v>3239</v>
      </c>
      <c r="B6785" s="2" t="s">
        <v>19</v>
      </c>
      <c r="C6785" s="2">
        <v>631.34720000000004</v>
      </c>
      <c r="D6785" s="2">
        <f>HYPERLINK("http://mcb-m6.bioreg.kyushu-u.ac.jp/M3/20110427/F51109/1792/1", 88.72)</f>
        <v>88.72</v>
      </c>
      <c r="E6785" s="2">
        <v>56.53</v>
      </c>
      <c r="F6785" s="2">
        <v>2</v>
      </c>
      <c r="G6785" s="2" t="s">
        <v>13</v>
      </c>
    </row>
    <row r="6786" spans="1:9" x14ac:dyDescent="0.2">
      <c r="A6786" s="2" t="s">
        <v>3541</v>
      </c>
      <c r="B6786" s="2" t="s">
        <v>396</v>
      </c>
      <c r="C6786" s="2">
        <v>966.57399999999996</v>
      </c>
      <c r="D6786" s="2">
        <f>HYPERLINK("http://mcb-m6.bioreg.kyushu-u.ac.jp/M3/20110404/F50751/1424/1", 46.52)</f>
        <v>46.52</v>
      </c>
      <c r="E6786" s="2">
        <v>10.3</v>
      </c>
      <c r="F6786" s="2">
        <v>1</v>
      </c>
      <c r="G6786" s="2" t="s">
        <v>9</v>
      </c>
    </row>
    <row r="6787" spans="1:9" x14ac:dyDescent="0.2">
      <c r="A6787" s="2" t="s">
        <v>7559</v>
      </c>
      <c r="B6787" s="2" t="s">
        <v>5985</v>
      </c>
      <c r="C6787" s="2">
        <v>834.87270000000001</v>
      </c>
      <c r="D6787" s="2">
        <f>HYPERLINK("http://mcb-m6.bioreg.kyushu-u.ac.jp/M3/20110404/F50753/2374/1", 37.78)</f>
        <v>37.78</v>
      </c>
      <c r="E6787" s="2">
        <v>25.72</v>
      </c>
      <c r="F6787" s="2">
        <v>2</v>
      </c>
      <c r="G6787" s="2" t="s">
        <v>9</v>
      </c>
      <c r="I6787" s="2" t="s">
        <v>4906</v>
      </c>
    </row>
    <row r="6788" spans="1:9" x14ac:dyDescent="0.2">
      <c r="A6788" s="2" t="s">
        <v>4599</v>
      </c>
      <c r="B6788" s="2" t="s">
        <v>6543</v>
      </c>
      <c r="C6788" s="2">
        <v>605.77670000000001</v>
      </c>
      <c r="D6788" s="2">
        <f>HYPERLINK("http://mcb-m6.bioreg.kyushu-u.ac.jp/M3/20110404/F50777/1340/1", 77.7)</f>
        <v>77.7</v>
      </c>
      <c r="E6788" s="2">
        <v>46.37</v>
      </c>
      <c r="F6788" s="2">
        <v>2</v>
      </c>
      <c r="G6788" s="2" t="s">
        <v>9</v>
      </c>
      <c r="I6788" s="2" t="s">
        <v>4899</v>
      </c>
    </row>
    <row r="6789" spans="1:9" x14ac:dyDescent="0.2">
      <c r="A6789" s="2" t="s">
        <v>4599</v>
      </c>
      <c r="B6789" s="2" t="s">
        <v>6543</v>
      </c>
      <c r="C6789" s="2">
        <v>606.06769999999995</v>
      </c>
      <c r="D6789" s="2">
        <f>HYPERLINK("http://mcb-m6.bioreg.kyushu-u.ac.jp/M3/20110421/F51047/1464/1", 39.07)</f>
        <v>39.07</v>
      </c>
      <c r="E6789" s="2">
        <v>22.67</v>
      </c>
      <c r="F6789" s="2">
        <v>2</v>
      </c>
      <c r="G6789" s="2" t="s">
        <v>12</v>
      </c>
      <c r="I6789" s="2" t="s">
        <v>4899</v>
      </c>
    </row>
    <row r="6790" spans="1:9" x14ac:dyDescent="0.2">
      <c r="A6790" s="2" t="s">
        <v>4599</v>
      </c>
      <c r="B6790" s="2" t="s">
        <v>6543</v>
      </c>
      <c r="C6790" s="2">
        <v>605.95119999999997</v>
      </c>
      <c r="D6790" s="2">
        <f>HYPERLINK("http://mcb-m6.bioreg.kyushu-u.ac.jp/M3/20110421/F51048/1577/1", 41.93)</f>
        <v>41.93</v>
      </c>
      <c r="E6790" s="2">
        <v>20.11</v>
      </c>
      <c r="F6790" s="2">
        <v>2</v>
      </c>
      <c r="G6790" s="2" t="s">
        <v>12</v>
      </c>
      <c r="I6790" s="2" t="s">
        <v>4899</v>
      </c>
    </row>
    <row r="6791" spans="1:9" x14ac:dyDescent="0.2">
      <c r="A6791" s="2" t="s">
        <v>3801</v>
      </c>
      <c r="B6791" s="2" t="s">
        <v>6070</v>
      </c>
      <c r="C6791" s="2">
        <v>572.21169999999995</v>
      </c>
      <c r="D6791" s="2">
        <f>HYPERLINK("http://mcb-m6.bioreg.kyushu-u.ac.jp/M3/20110404/F50754/1537/1", 40.83)</f>
        <v>40.83</v>
      </c>
      <c r="E6791" s="2">
        <v>14.61</v>
      </c>
      <c r="F6791" s="2">
        <v>2</v>
      </c>
      <c r="G6791" s="2" t="s">
        <v>9</v>
      </c>
    </row>
    <row r="6792" spans="1:9" x14ac:dyDescent="0.2">
      <c r="A6792" s="2" t="s">
        <v>3801</v>
      </c>
      <c r="B6792" s="2" t="s">
        <v>1712</v>
      </c>
      <c r="C6792" s="2">
        <v>795.68709999999999</v>
      </c>
      <c r="D6792" s="2">
        <f>HYPERLINK("http://mcb-m6.bioreg.kyushu-u.ac.jp/M3/20110404/F50754/2307/1", 45.47)</f>
        <v>45.47</v>
      </c>
      <c r="E6792" s="2">
        <v>32.5</v>
      </c>
      <c r="F6792" s="2">
        <v>2</v>
      </c>
      <c r="G6792" s="2" t="s">
        <v>9</v>
      </c>
      <c r="H6792" s="2" t="s">
        <v>4900</v>
      </c>
    </row>
    <row r="6793" spans="1:9" x14ac:dyDescent="0.2">
      <c r="A6793" s="2" t="s">
        <v>3801</v>
      </c>
      <c r="B6793" s="2" t="s">
        <v>1712</v>
      </c>
      <c r="C6793" s="2">
        <v>787.61720000000003</v>
      </c>
      <c r="D6793" s="2">
        <f>HYPERLINK("http://mcb-m6.bioreg.kyushu-u.ac.jp/M3/20110404/F50753/2194/1", 49.82)</f>
        <v>49.82</v>
      </c>
      <c r="E6793" s="2">
        <v>34.26</v>
      </c>
      <c r="F6793" s="2">
        <v>2</v>
      </c>
      <c r="G6793" s="2" t="s">
        <v>9</v>
      </c>
    </row>
    <row r="6794" spans="1:9" x14ac:dyDescent="0.2">
      <c r="A6794" s="2" t="s">
        <v>3801</v>
      </c>
      <c r="B6794" s="2" t="s">
        <v>854</v>
      </c>
      <c r="C6794" s="2">
        <v>1470.5519999999999</v>
      </c>
      <c r="D6794" s="2">
        <f>HYPERLINK("http://mcb-m6.bioreg.kyushu-u.ac.jp/M3/20110404/F50754/2100/1", 55.9)</f>
        <v>55.9</v>
      </c>
      <c r="E6794" s="2">
        <v>43.86</v>
      </c>
      <c r="F6794" s="2">
        <v>1</v>
      </c>
      <c r="G6794" s="2" t="s">
        <v>9</v>
      </c>
    </row>
    <row r="6795" spans="1:9" x14ac:dyDescent="0.2">
      <c r="A6795" s="2" t="s">
        <v>3801</v>
      </c>
      <c r="B6795" s="2" t="s">
        <v>1712</v>
      </c>
      <c r="C6795" s="2">
        <v>787.32370000000003</v>
      </c>
      <c r="D6795" s="2">
        <f>HYPERLINK("http://mcb-m6.bioreg.kyushu-u.ac.jp/M3/20110404/F50754/2274/1", 63.87)</f>
        <v>63.87</v>
      </c>
      <c r="E6795" s="2">
        <v>53.3</v>
      </c>
      <c r="F6795" s="2">
        <v>2</v>
      </c>
      <c r="G6795" s="2" t="s">
        <v>9</v>
      </c>
    </row>
    <row r="6796" spans="1:9" x14ac:dyDescent="0.2">
      <c r="A6796" s="2" t="s">
        <v>3801</v>
      </c>
      <c r="B6796" s="2" t="s">
        <v>854</v>
      </c>
      <c r="C6796" s="2">
        <v>736.42719999999997</v>
      </c>
      <c r="D6796" s="2">
        <f>HYPERLINK("http://mcb-m6.bioreg.kyushu-u.ac.jp/M3/20110404/F50758/1894/1", 61.48)</f>
        <v>61.48</v>
      </c>
      <c r="E6796" s="2">
        <v>33.39</v>
      </c>
      <c r="F6796" s="2">
        <v>2</v>
      </c>
      <c r="G6796" s="2" t="s">
        <v>10</v>
      </c>
    </row>
    <row r="6797" spans="1:9" x14ac:dyDescent="0.2">
      <c r="A6797" s="2" t="s">
        <v>3801</v>
      </c>
      <c r="B6797" s="2" t="s">
        <v>854</v>
      </c>
      <c r="C6797" s="2">
        <v>735.68320000000006</v>
      </c>
      <c r="D6797" s="2">
        <f>HYPERLINK("http://mcb-m6.bioreg.kyushu-u.ac.jp/M3/20110421/F51017/2003/1", 44.69)</f>
        <v>44.69</v>
      </c>
      <c r="E6797" s="2">
        <v>13.39</v>
      </c>
      <c r="F6797" s="2">
        <v>2</v>
      </c>
      <c r="G6797" s="2" t="s">
        <v>11</v>
      </c>
    </row>
    <row r="6798" spans="1:9" x14ac:dyDescent="0.2">
      <c r="A6798" s="2" t="s">
        <v>3801</v>
      </c>
      <c r="B6798" s="2" t="s">
        <v>854</v>
      </c>
      <c r="C6798" s="2">
        <v>736.16610000000003</v>
      </c>
      <c r="D6798" s="2">
        <f>HYPERLINK("http://mcb-m6.bioreg.kyushu-u.ac.jp/M3/20110421/F51024/2123/1", 60.05)</f>
        <v>60.05</v>
      </c>
      <c r="E6798" s="2">
        <v>37.549999999999997</v>
      </c>
      <c r="F6798" s="2">
        <v>2</v>
      </c>
      <c r="G6798" s="2" t="s">
        <v>12</v>
      </c>
    </row>
    <row r="6799" spans="1:9" x14ac:dyDescent="0.2">
      <c r="A6799" s="2" t="s">
        <v>3801</v>
      </c>
      <c r="B6799" s="2" t="s">
        <v>854</v>
      </c>
      <c r="C6799" s="2">
        <v>736.12070000000006</v>
      </c>
      <c r="D6799" s="2">
        <f>HYPERLINK("http://mcb-m6.bioreg.kyushu-u.ac.jp/M3/20110421/F51023/2073/1", 74.69)</f>
        <v>74.69</v>
      </c>
      <c r="E6799" s="2">
        <v>49.01</v>
      </c>
      <c r="F6799" s="2">
        <v>2</v>
      </c>
      <c r="G6799" s="2" t="s">
        <v>12</v>
      </c>
    </row>
    <row r="6800" spans="1:9" x14ac:dyDescent="0.2">
      <c r="A6800" s="2" t="s">
        <v>3801</v>
      </c>
      <c r="B6800" s="2" t="s">
        <v>1712</v>
      </c>
      <c r="C6800" s="2">
        <v>787.87919999999997</v>
      </c>
      <c r="D6800" s="2">
        <f>HYPERLINK("http://mcb-m6.bioreg.kyushu-u.ac.jp/M3/20110427/F51111/2371/1", 41.34)</f>
        <v>41.34</v>
      </c>
      <c r="E6800" s="2">
        <v>31.75</v>
      </c>
      <c r="F6800" s="2">
        <v>2</v>
      </c>
      <c r="G6800" s="2" t="s">
        <v>13</v>
      </c>
    </row>
    <row r="6801" spans="1:9" x14ac:dyDescent="0.2">
      <c r="A6801" s="2" t="s">
        <v>3629</v>
      </c>
      <c r="B6801" s="2" t="s">
        <v>542</v>
      </c>
      <c r="C6801" s="2">
        <v>934.28599999999994</v>
      </c>
      <c r="D6801" s="2">
        <f>HYPERLINK("http://mcb-m6.bioreg.kyushu-u.ac.jp/M3/20110404/F50754/1200/1", 35.79)</f>
        <v>35.79</v>
      </c>
      <c r="E6801" s="2">
        <v>8.0299999999999994</v>
      </c>
      <c r="F6801" s="2">
        <v>1</v>
      </c>
      <c r="G6801" s="2" t="s">
        <v>9</v>
      </c>
      <c r="I6801" s="2" t="s">
        <v>4890</v>
      </c>
    </row>
    <row r="6802" spans="1:9" x14ac:dyDescent="0.2">
      <c r="A6802" s="2" t="s">
        <v>3629</v>
      </c>
      <c r="B6802" s="2" t="s">
        <v>5988</v>
      </c>
      <c r="C6802" s="2">
        <v>888.30799999999999</v>
      </c>
      <c r="D6802" s="2">
        <f>HYPERLINK("http://mcb-m6.bioreg.kyushu-u.ac.jp/M3/20110404/F50754/1121/1", 37.79)</f>
        <v>37.79</v>
      </c>
      <c r="E6802" s="2">
        <v>11.16</v>
      </c>
      <c r="F6802" s="2">
        <v>1</v>
      </c>
      <c r="G6802" s="2" t="s">
        <v>9</v>
      </c>
    </row>
    <row r="6803" spans="1:9" x14ac:dyDescent="0.2">
      <c r="A6803" s="2" t="s">
        <v>3629</v>
      </c>
      <c r="B6803" s="2" t="s">
        <v>1936</v>
      </c>
      <c r="C6803" s="2">
        <v>888.32799999999997</v>
      </c>
      <c r="D6803" s="2">
        <f>HYPERLINK("http://mcb-m6.bioreg.kyushu-u.ac.jp/M3/20110404/F50754/1122/1", 39.62)</f>
        <v>39.619999999999997</v>
      </c>
      <c r="E6803" s="2">
        <v>11.18</v>
      </c>
      <c r="F6803" s="2">
        <v>1</v>
      </c>
      <c r="G6803" s="2" t="s">
        <v>9</v>
      </c>
    </row>
    <row r="6804" spans="1:9" x14ac:dyDescent="0.2">
      <c r="A6804" s="2" t="s">
        <v>3629</v>
      </c>
      <c r="B6804" s="2" t="s">
        <v>734</v>
      </c>
      <c r="C6804" s="2">
        <v>1288.4590000000001</v>
      </c>
      <c r="D6804" s="2">
        <f>HYPERLINK("http://mcb-m6.bioreg.kyushu-u.ac.jp/M3/20110404/F50754/1776/1", 40.99)</f>
        <v>40.99</v>
      </c>
      <c r="E6804" s="2">
        <v>26.19</v>
      </c>
      <c r="F6804" s="2">
        <v>1</v>
      </c>
      <c r="G6804" s="2" t="s">
        <v>9</v>
      </c>
      <c r="I6804" s="2" t="s">
        <v>4899</v>
      </c>
    </row>
    <row r="6805" spans="1:9" x14ac:dyDescent="0.2">
      <c r="A6805" s="2" t="s">
        <v>3629</v>
      </c>
      <c r="B6805" s="2" t="s">
        <v>1235</v>
      </c>
      <c r="C6805" s="2">
        <v>787.13509999999997</v>
      </c>
      <c r="D6805" s="2">
        <f>HYPERLINK("http://mcb-m6.bioreg.kyushu-u.ac.jp/M3/20110404/F50753/2192/1", 46.48)</f>
        <v>46.48</v>
      </c>
      <c r="E6805" s="2">
        <v>35.26</v>
      </c>
      <c r="F6805" s="2">
        <v>2</v>
      </c>
      <c r="G6805" s="2" t="s">
        <v>9</v>
      </c>
    </row>
    <row r="6806" spans="1:9" x14ac:dyDescent="0.2">
      <c r="A6806" s="2" t="s">
        <v>3629</v>
      </c>
      <c r="B6806" s="2" t="s">
        <v>1367</v>
      </c>
      <c r="C6806" s="2">
        <v>712.16859999999997</v>
      </c>
      <c r="D6806" s="2">
        <f>HYPERLINK("http://mcb-m6.bioreg.kyushu-u.ac.jp/M3/20110404/F50755/1792/1", 52.46)</f>
        <v>52.46</v>
      </c>
      <c r="E6806" s="2">
        <v>37.53</v>
      </c>
      <c r="F6806" s="2">
        <v>2</v>
      </c>
      <c r="G6806" s="2" t="s">
        <v>9</v>
      </c>
    </row>
    <row r="6807" spans="1:9" x14ac:dyDescent="0.2">
      <c r="A6807" s="2" t="s">
        <v>3629</v>
      </c>
      <c r="B6807" s="2" t="s">
        <v>1137</v>
      </c>
      <c r="C6807" s="2">
        <v>546.64120000000003</v>
      </c>
      <c r="D6807" s="2">
        <f>HYPERLINK("http://mcb-m6.bioreg.kyushu-u.ac.jp/M3/20110404/F50754/1472/1", 57.7)</f>
        <v>57.7</v>
      </c>
      <c r="E6807" s="2">
        <v>28.53</v>
      </c>
      <c r="F6807" s="2">
        <v>2</v>
      </c>
      <c r="G6807" s="2" t="s">
        <v>9</v>
      </c>
    </row>
    <row r="6808" spans="1:9" x14ac:dyDescent="0.2">
      <c r="A6808" s="2" t="s">
        <v>3629</v>
      </c>
      <c r="B6808" s="2" t="s">
        <v>1137</v>
      </c>
      <c r="C6808" s="2">
        <v>546.55970000000002</v>
      </c>
      <c r="D6808" s="2">
        <f>HYPERLINK("http://mcb-m6.bioreg.kyushu-u.ac.jp/M3/20110404/F50753/1330/1", 64.1)</f>
        <v>64.099999999999994</v>
      </c>
      <c r="E6808" s="2">
        <v>30.1</v>
      </c>
      <c r="F6808" s="2">
        <v>2</v>
      </c>
      <c r="G6808" s="2" t="s">
        <v>9</v>
      </c>
    </row>
    <row r="6809" spans="1:9" x14ac:dyDescent="0.2">
      <c r="A6809" s="2" t="s">
        <v>3629</v>
      </c>
      <c r="B6809" s="2" t="s">
        <v>1235</v>
      </c>
      <c r="C6809" s="2">
        <v>786.62120000000004</v>
      </c>
      <c r="D6809" s="2">
        <f>HYPERLINK("http://mcb-m6.bioreg.kyushu-u.ac.jp/M3/20110404/F50753/2190/1", 67.36)</f>
        <v>67.36</v>
      </c>
      <c r="E6809" s="2">
        <v>48.58</v>
      </c>
      <c r="F6809" s="2">
        <v>2</v>
      </c>
      <c r="G6809" s="2" t="s">
        <v>9</v>
      </c>
    </row>
    <row r="6810" spans="1:9" x14ac:dyDescent="0.2">
      <c r="A6810" s="2" t="s">
        <v>3629</v>
      </c>
      <c r="B6810" s="2" t="s">
        <v>1367</v>
      </c>
      <c r="C6810" s="2">
        <v>712.32510000000002</v>
      </c>
      <c r="D6810" s="2">
        <f>HYPERLINK("http://mcb-m6.bioreg.kyushu-u.ac.jp/M3/20110404/F50754/2008/1", 82.44)</f>
        <v>82.44</v>
      </c>
      <c r="E6810" s="2">
        <v>55.67</v>
      </c>
      <c r="F6810" s="2">
        <v>2</v>
      </c>
      <c r="G6810" s="2" t="s">
        <v>9</v>
      </c>
    </row>
    <row r="6811" spans="1:9" x14ac:dyDescent="0.2">
      <c r="A6811" s="2" t="s">
        <v>3629</v>
      </c>
      <c r="B6811" s="2" t="s">
        <v>1235</v>
      </c>
      <c r="C6811" s="2">
        <v>786.76120000000003</v>
      </c>
      <c r="D6811" s="2">
        <f>HYPERLINK("http://mcb-m6.bioreg.kyushu-u.ac.jp/M3/20110404/F50754/2272/1", 90.9)</f>
        <v>90.9</v>
      </c>
      <c r="E6811" s="2">
        <v>75.349999999999994</v>
      </c>
      <c r="F6811" s="2">
        <v>2</v>
      </c>
      <c r="G6811" s="2" t="s">
        <v>9</v>
      </c>
    </row>
    <row r="6812" spans="1:9" x14ac:dyDescent="0.2">
      <c r="A6812" s="2" t="s">
        <v>3629</v>
      </c>
      <c r="B6812" s="2" t="s">
        <v>1367</v>
      </c>
      <c r="C6812" s="2">
        <v>712.05020000000002</v>
      </c>
      <c r="D6812" s="2">
        <f>HYPERLINK("http://mcb-m6.bioreg.kyushu-u.ac.jp/M3/20110404/F50753/1888/1", 96.22)</f>
        <v>96.22</v>
      </c>
      <c r="E6812" s="2">
        <v>59.66</v>
      </c>
      <c r="F6812" s="2">
        <v>2</v>
      </c>
      <c r="G6812" s="2" t="s">
        <v>9</v>
      </c>
    </row>
    <row r="6813" spans="1:9" x14ac:dyDescent="0.2">
      <c r="A6813" s="2" t="s">
        <v>3629</v>
      </c>
      <c r="B6813" s="2" t="s">
        <v>1936</v>
      </c>
      <c r="C6813" s="2">
        <v>887.35500000000002</v>
      </c>
      <c r="D6813" s="2">
        <f>HYPERLINK("http://mcb-m6.bioreg.kyushu-u.ac.jp/M3/20110404/F50758/1056/1", 35.87)</f>
        <v>35.869999999999997</v>
      </c>
      <c r="E6813" s="2">
        <v>9.24</v>
      </c>
      <c r="F6813" s="2">
        <v>1</v>
      </c>
      <c r="G6813" s="2" t="s">
        <v>10</v>
      </c>
    </row>
    <row r="6814" spans="1:9" x14ac:dyDescent="0.2">
      <c r="A6814" s="2" t="s">
        <v>3629</v>
      </c>
      <c r="B6814" s="2" t="s">
        <v>6710</v>
      </c>
      <c r="C6814" s="2">
        <v>896.322</v>
      </c>
      <c r="D6814" s="2">
        <f>HYPERLINK("http://mcb-m6.bioreg.kyushu-u.ac.jp/M3/20110404/F50758/1060/1", 37.15)</f>
        <v>37.15</v>
      </c>
      <c r="E6814" s="2">
        <v>20</v>
      </c>
      <c r="F6814" s="2">
        <v>1</v>
      </c>
      <c r="G6814" s="2" t="s">
        <v>10</v>
      </c>
    </row>
    <row r="6815" spans="1:9" x14ac:dyDescent="0.2">
      <c r="A6815" s="2" t="s">
        <v>3629</v>
      </c>
      <c r="B6815" s="2" t="s">
        <v>542</v>
      </c>
      <c r="C6815" s="2">
        <v>935.37099999999998</v>
      </c>
      <c r="D6815" s="2">
        <f>HYPERLINK("http://mcb-m6.bioreg.kyushu-u.ac.jp/M3/20110404/F50758/1147/1", 46.16)</f>
        <v>46.16</v>
      </c>
      <c r="E6815" s="2">
        <v>9.77</v>
      </c>
      <c r="F6815" s="2">
        <v>1</v>
      </c>
      <c r="G6815" s="2" t="s">
        <v>10</v>
      </c>
      <c r="I6815" s="2" t="s">
        <v>4890</v>
      </c>
    </row>
    <row r="6816" spans="1:9" x14ac:dyDescent="0.2">
      <c r="A6816" s="2" t="s">
        <v>3629</v>
      </c>
      <c r="B6816" s="2" t="s">
        <v>734</v>
      </c>
      <c r="C6816" s="2">
        <v>1288.5039999999999</v>
      </c>
      <c r="D6816" s="2">
        <f>HYPERLINK("http://mcb-m6.bioreg.kyushu-u.ac.jp/M3/20110404/F50758/1570/1", 51.74)</f>
        <v>51.74</v>
      </c>
      <c r="E6816" s="2">
        <v>36.96</v>
      </c>
      <c r="F6816" s="2">
        <v>1</v>
      </c>
      <c r="G6816" s="2" t="s">
        <v>10</v>
      </c>
      <c r="I6816" s="2" t="s">
        <v>4899</v>
      </c>
    </row>
    <row r="6817" spans="1:7" x14ac:dyDescent="0.2">
      <c r="A6817" s="2" t="s">
        <v>3629</v>
      </c>
      <c r="B6817" s="2" t="s">
        <v>1137</v>
      </c>
      <c r="C6817" s="2">
        <v>546.65809999999999</v>
      </c>
      <c r="D6817" s="2">
        <f>HYPERLINK("http://mcb-m6.bioreg.kyushu-u.ac.jp/M3/20110404/F50758/1328/1", 55.39)</f>
        <v>55.39</v>
      </c>
      <c r="E6817" s="2">
        <v>20.32</v>
      </c>
      <c r="F6817" s="2">
        <v>2</v>
      </c>
      <c r="G6817" s="2" t="s">
        <v>10</v>
      </c>
    </row>
    <row r="6818" spans="1:7" x14ac:dyDescent="0.2">
      <c r="A6818" s="2" t="s">
        <v>3629</v>
      </c>
      <c r="B6818" s="2" t="s">
        <v>1235</v>
      </c>
      <c r="C6818" s="2">
        <v>786.95759999999996</v>
      </c>
      <c r="D6818" s="2">
        <f>HYPERLINK("http://mcb-m6.bioreg.kyushu-u.ac.jp/M3/20110404/F50758/2069/1", 76.43)</f>
        <v>76.430000000000007</v>
      </c>
      <c r="E6818" s="2">
        <v>58.57</v>
      </c>
      <c r="F6818" s="2">
        <v>2</v>
      </c>
      <c r="G6818" s="2" t="s">
        <v>10</v>
      </c>
    </row>
    <row r="6819" spans="1:7" x14ac:dyDescent="0.2">
      <c r="A6819" s="2" t="s">
        <v>3629</v>
      </c>
      <c r="B6819" s="2" t="s">
        <v>1367</v>
      </c>
      <c r="C6819" s="2">
        <v>712.75819999999999</v>
      </c>
      <c r="D6819" s="2">
        <f>HYPERLINK("http://mcb-m6.bioreg.kyushu-u.ac.jp/M3/20110404/F50758/1788/1", 78.94)</f>
        <v>78.94</v>
      </c>
      <c r="E6819" s="2">
        <v>49.09</v>
      </c>
      <c r="F6819" s="2">
        <v>2</v>
      </c>
      <c r="G6819" s="2" t="s">
        <v>10</v>
      </c>
    </row>
    <row r="6820" spans="1:7" x14ac:dyDescent="0.2">
      <c r="A6820" s="2" t="s">
        <v>3629</v>
      </c>
      <c r="B6820" s="2" t="s">
        <v>1367</v>
      </c>
      <c r="C6820" s="2">
        <v>712.25710000000004</v>
      </c>
      <c r="D6820" s="2">
        <f>HYPERLINK("http://mcb-m6.bioreg.kyushu-u.ac.jp/M3/20110404/F50758/1786/1", 89.62)</f>
        <v>89.62</v>
      </c>
      <c r="E6820" s="2">
        <v>63.56</v>
      </c>
      <c r="F6820" s="2">
        <v>2</v>
      </c>
      <c r="G6820" s="2" t="s">
        <v>10</v>
      </c>
    </row>
    <row r="6821" spans="1:7" x14ac:dyDescent="0.2">
      <c r="A6821" s="2" t="s">
        <v>3629</v>
      </c>
      <c r="B6821" s="2" t="s">
        <v>1367</v>
      </c>
      <c r="C6821" s="2">
        <v>712.61659999999995</v>
      </c>
      <c r="D6821" s="2">
        <f>HYPERLINK("http://mcb-m6.bioreg.kyushu-u.ac.jp/M3/20110421/F51017/1888/1", 50.53)</f>
        <v>50.53</v>
      </c>
      <c r="E6821" s="2">
        <v>31.19</v>
      </c>
      <c r="F6821" s="2">
        <v>2</v>
      </c>
      <c r="G6821" s="2" t="s">
        <v>11</v>
      </c>
    </row>
    <row r="6822" spans="1:7" x14ac:dyDescent="0.2">
      <c r="A6822" s="2" t="s">
        <v>3629</v>
      </c>
      <c r="B6822" s="2" t="s">
        <v>1137</v>
      </c>
      <c r="C6822" s="2">
        <v>547.12620000000004</v>
      </c>
      <c r="D6822" s="2">
        <f>HYPERLINK("http://mcb-m6.bioreg.kyushu-u.ac.jp/M3/20110421/F51017/1124/1", 58.73)</f>
        <v>58.73</v>
      </c>
      <c r="E6822" s="2">
        <v>26.32</v>
      </c>
      <c r="F6822" s="2">
        <v>2</v>
      </c>
      <c r="G6822" s="2" t="s">
        <v>11</v>
      </c>
    </row>
    <row r="6823" spans="1:7" x14ac:dyDescent="0.2">
      <c r="A6823" s="2" t="s">
        <v>3629</v>
      </c>
      <c r="B6823" s="2" t="s">
        <v>1367</v>
      </c>
      <c r="C6823" s="2">
        <v>712.2192</v>
      </c>
      <c r="D6823" s="2">
        <f>HYPERLINK("http://mcb-m6.bioreg.kyushu-u.ac.jp/M3/20110421/F51024/2011/1", 44.08)</f>
        <v>44.08</v>
      </c>
      <c r="E6823" s="2">
        <v>26.55</v>
      </c>
      <c r="F6823" s="2">
        <v>2</v>
      </c>
      <c r="G6823" s="2" t="s">
        <v>12</v>
      </c>
    </row>
    <row r="6824" spans="1:7" x14ac:dyDescent="0.2">
      <c r="A6824" s="2" t="s">
        <v>3629</v>
      </c>
      <c r="B6824" s="2" t="s">
        <v>1137</v>
      </c>
      <c r="C6824" s="2">
        <v>547.16359999999997</v>
      </c>
      <c r="D6824" s="2">
        <f>HYPERLINK("http://mcb-m6.bioreg.kyushu-u.ac.jp/M3/20110421/F51023/1434/1", 45.95)</f>
        <v>45.95</v>
      </c>
      <c r="E6824" s="2">
        <v>19.09</v>
      </c>
      <c r="F6824" s="2">
        <v>2</v>
      </c>
      <c r="G6824" s="2" t="s">
        <v>12</v>
      </c>
    </row>
    <row r="6825" spans="1:7" x14ac:dyDescent="0.2">
      <c r="A6825" s="2" t="s">
        <v>3629</v>
      </c>
      <c r="B6825" s="2" t="s">
        <v>1235</v>
      </c>
      <c r="C6825" s="2">
        <v>787.31320000000005</v>
      </c>
      <c r="D6825" s="2">
        <f>HYPERLINK("http://mcb-m6.bioreg.kyushu-u.ac.jp/M3/20110421/F51023/2290/1", 65.19)</f>
        <v>65.19</v>
      </c>
      <c r="E6825" s="2">
        <v>54.15</v>
      </c>
      <c r="F6825" s="2">
        <v>2</v>
      </c>
      <c r="G6825" s="2" t="s">
        <v>12</v>
      </c>
    </row>
    <row r="6826" spans="1:7" x14ac:dyDescent="0.2">
      <c r="A6826" s="2" t="s">
        <v>3629</v>
      </c>
      <c r="B6826" s="2" t="s">
        <v>1367</v>
      </c>
      <c r="C6826" s="2">
        <v>712.27809999999999</v>
      </c>
      <c r="D6826" s="2">
        <f>HYPERLINK("http://mcb-m6.bioreg.kyushu-u.ac.jp/M3/20110421/F51023/1975/1", 73.06)</f>
        <v>73.06</v>
      </c>
      <c r="E6826" s="2">
        <v>51.71</v>
      </c>
      <c r="F6826" s="2">
        <v>2</v>
      </c>
      <c r="G6826" s="2" t="s">
        <v>12</v>
      </c>
    </row>
    <row r="6827" spans="1:7" x14ac:dyDescent="0.2">
      <c r="A6827" s="2" t="s">
        <v>3629</v>
      </c>
      <c r="B6827" s="2" t="s">
        <v>1367</v>
      </c>
      <c r="C6827" s="2">
        <v>712.13120000000004</v>
      </c>
      <c r="D6827" s="2">
        <f>HYPERLINK("http://mcb-m6.bioreg.kyushu-u.ac.jp/M3/20110427/F51112/1955/1", 61.03)</f>
        <v>61.03</v>
      </c>
      <c r="E6827" s="2">
        <v>42.9</v>
      </c>
      <c r="F6827" s="2">
        <v>2</v>
      </c>
      <c r="G6827" s="2" t="s">
        <v>13</v>
      </c>
    </row>
    <row r="6828" spans="1:7" x14ac:dyDescent="0.2">
      <c r="A6828" s="2" t="s">
        <v>3629</v>
      </c>
      <c r="B6828" s="2" t="s">
        <v>1367</v>
      </c>
      <c r="C6828" s="2">
        <v>712.68409999999994</v>
      </c>
      <c r="D6828" s="2">
        <f>HYPERLINK("http://mcb-m6.bioreg.kyushu-u.ac.jp/M3/20110427/F51111/2005/1", 73.38)</f>
        <v>73.38</v>
      </c>
      <c r="E6828" s="2">
        <v>38.39</v>
      </c>
      <c r="F6828" s="2">
        <v>2</v>
      </c>
      <c r="G6828" s="2" t="s">
        <v>13</v>
      </c>
    </row>
    <row r="6829" spans="1:7" x14ac:dyDescent="0.2">
      <c r="A6829" s="2" t="s">
        <v>3629</v>
      </c>
      <c r="B6829" s="2" t="s">
        <v>1367</v>
      </c>
      <c r="C6829" s="2">
        <v>712.73770000000002</v>
      </c>
      <c r="D6829" s="2">
        <f>HYPERLINK("http://mcb-m6.bioreg.kyushu-u.ac.jp/M3/20110427/F51112/1958/1", 75.87)</f>
        <v>75.87</v>
      </c>
      <c r="E6829" s="2">
        <v>49.07</v>
      </c>
      <c r="F6829" s="2">
        <v>2</v>
      </c>
      <c r="G6829" s="2" t="s">
        <v>13</v>
      </c>
    </row>
    <row r="6830" spans="1:7" x14ac:dyDescent="0.2">
      <c r="A6830" s="2" t="s">
        <v>3526</v>
      </c>
      <c r="B6830" s="2" t="s">
        <v>1153</v>
      </c>
      <c r="C6830" s="2">
        <v>692.85569999999996</v>
      </c>
      <c r="D6830" s="2">
        <f>HYPERLINK("http://mcb-m6.bioreg.kyushu-u.ac.jp/M3/20110404/F50763/1733/1", 61.47)</f>
        <v>61.47</v>
      </c>
      <c r="E6830" s="2">
        <v>36.270000000000003</v>
      </c>
      <c r="F6830" s="2">
        <v>2</v>
      </c>
      <c r="G6830" s="2" t="s">
        <v>9</v>
      </c>
    </row>
    <row r="6831" spans="1:7" x14ac:dyDescent="0.2">
      <c r="A6831" s="2" t="s">
        <v>3526</v>
      </c>
      <c r="B6831" s="2" t="s">
        <v>1153</v>
      </c>
      <c r="C6831" s="2">
        <v>692.24770000000001</v>
      </c>
      <c r="D6831" s="2">
        <f>HYPERLINK("http://mcb-m6.bioreg.kyushu-u.ac.jp/M3/20110404/F50762/1621/1", 78.71)</f>
        <v>78.709999999999994</v>
      </c>
      <c r="E6831" s="2">
        <v>61.84</v>
      </c>
      <c r="F6831" s="2">
        <v>2</v>
      </c>
      <c r="G6831" s="2" t="s">
        <v>9</v>
      </c>
    </row>
    <row r="6832" spans="1:7" x14ac:dyDescent="0.2">
      <c r="A6832" s="2" t="s">
        <v>3526</v>
      </c>
      <c r="B6832" s="2" t="s">
        <v>1153</v>
      </c>
      <c r="C6832" s="2">
        <v>692.75620000000004</v>
      </c>
      <c r="D6832" s="2">
        <f>HYPERLINK("http://mcb-m6.bioreg.kyushu-u.ac.jp/M3/20110404/F50762/1624/1", 81.09)</f>
        <v>81.09</v>
      </c>
      <c r="E6832" s="2">
        <v>59.43</v>
      </c>
      <c r="F6832" s="2">
        <v>2</v>
      </c>
      <c r="G6832" s="2" t="s">
        <v>9</v>
      </c>
    </row>
    <row r="6833" spans="1:9" x14ac:dyDescent="0.2">
      <c r="A6833" s="2" t="s">
        <v>3526</v>
      </c>
      <c r="B6833" s="2" t="s">
        <v>371</v>
      </c>
      <c r="C6833" s="2">
        <v>1029.963</v>
      </c>
      <c r="D6833" s="2">
        <f>HYPERLINK("http://mcb-m6.bioreg.kyushu-u.ac.jp/M3/20110404/F50762/2650/1", 118.21)</f>
        <v>118.21</v>
      </c>
      <c r="E6833" s="2">
        <v>107.3</v>
      </c>
      <c r="F6833" s="2">
        <v>2</v>
      </c>
      <c r="G6833" s="2" t="s">
        <v>9</v>
      </c>
      <c r="I6833" s="2" t="s">
        <v>4922</v>
      </c>
    </row>
    <row r="6834" spans="1:9" x14ac:dyDescent="0.2">
      <c r="A6834" s="2" t="s">
        <v>3526</v>
      </c>
      <c r="B6834" s="2" t="s">
        <v>1153</v>
      </c>
      <c r="C6834" s="2">
        <v>1383.491</v>
      </c>
      <c r="D6834" s="2">
        <f>HYPERLINK("http://mcb-m6.bioreg.kyushu-u.ac.jp/M3/20110404/F50768/1703/1", 66.05)</f>
        <v>66.05</v>
      </c>
      <c r="E6834" s="2">
        <v>55.59</v>
      </c>
      <c r="F6834" s="2">
        <v>1</v>
      </c>
      <c r="G6834" s="2" t="s">
        <v>10</v>
      </c>
    </row>
    <row r="6835" spans="1:9" x14ac:dyDescent="0.2">
      <c r="A6835" s="2" t="s">
        <v>3526</v>
      </c>
      <c r="B6835" s="2" t="s">
        <v>1153</v>
      </c>
      <c r="C6835" s="2">
        <v>692.79769999999996</v>
      </c>
      <c r="D6835" s="2">
        <f>HYPERLINK("http://mcb-m6.bioreg.kyushu-u.ac.jp/M3/20110404/F50768/1705/1", 85.15)</f>
        <v>85.15</v>
      </c>
      <c r="E6835" s="2">
        <v>63.58</v>
      </c>
      <c r="F6835" s="2">
        <v>2</v>
      </c>
      <c r="G6835" s="2" t="s">
        <v>10</v>
      </c>
    </row>
    <row r="6836" spans="1:9" x14ac:dyDescent="0.2">
      <c r="A6836" s="2" t="s">
        <v>3526</v>
      </c>
      <c r="B6836" s="2" t="s">
        <v>1153</v>
      </c>
      <c r="C6836" s="2">
        <v>692.19209999999998</v>
      </c>
      <c r="D6836" s="2">
        <f>HYPERLINK("http://mcb-m6.bioreg.kyushu-u.ac.jp/M3/20110404/F50768/1702/1", 87.19)</f>
        <v>87.19</v>
      </c>
      <c r="E6836" s="2">
        <v>67.53</v>
      </c>
      <c r="F6836" s="2">
        <v>2</v>
      </c>
      <c r="G6836" s="2" t="s">
        <v>10</v>
      </c>
    </row>
    <row r="6837" spans="1:9" x14ac:dyDescent="0.2">
      <c r="A6837" s="2" t="s">
        <v>3526</v>
      </c>
      <c r="B6837" s="2" t="s">
        <v>371</v>
      </c>
      <c r="C6837" s="2">
        <v>1029.4760000000001</v>
      </c>
      <c r="D6837" s="2">
        <f>HYPERLINK("http://mcb-m6.bioreg.kyushu-u.ac.jp/M3/20110404/F50768/2810/1", 118.84)</f>
        <v>118.84</v>
      </c>
      <c r="E6837" s="2">
        <v>109.03</v>
      </c>
      <c r="F6837" s="2">
        <v>2</v>
      </c>
      <c r="G6837" s="2" t="s">
        <v>10</v>
      </c>
      <c r="I6837" s="2" t="s">
        <v>4922</v>
      </c>
    </row>
    <row r="6838" spans="1:9" x14ac:dyDescent="0.2">
      <c r="A6838" s="2" t="s">
        <v>3526</v>
      </c>
      <c r="B6838" s="2" t="s">
        <v>1153</v>
      </c>
      <c r="C6838" s="2">
        <v>692.33870000000002</v>
      </c>
      <c r="D6838" s="2">
        <f>HYPERLINK("http://mcb-m6.bioreg.kyushu-u.ac.jp/M3/20110421/F51035/1684/1", 71.2)</f>
        <v>71.2</v>
      </c>
      <c r="E6838" s="2">
        <v>48.79</v>
      </c>
      <c r="F6838" s="2">
        <v>2</v>
      </c>
      <c r="G6838" s="2" t="s">
        <v>11</v>
      </c>
    </row>
    <row r="6839" spans="1:9" x14ac:dyDescent="0.2">
      <c r="A6839" s="2" t="s">
        <v>3526</v>
      </c>
      <c r="B6839" s="2" t="s">
        <v>1153</v>
      </c>
      <c r="C6839" s="2">
        <v>692.59810000000004</v>
      </c>
      <c r="D6839" s="2">
        <f>HYPERLINK("http://mcb-m6.bioreg.kyushu-u.ac.jp/M3/20110421/F51043/1802/1", 76.73)</f>
        <v>76.73</v>
      </c>
      <c r="E6839" s="2">
        <v>60.13</v>
      </c>
      <c r="F6839" s="2">
        <v>2</v>
      </c>
      <c r="G6839" s="2" t="s">
        <v>12</v>
      </c>
    </row>
    <row r="6840" spans="1:9" x14ac:dyDescent="0.2">
      <c r="A6840" s="2" t="s">
        <v>3526</v>
      </c>
      <c r="B6840" s="2" t="s">
        <v>1153</v>
      </c>
      <c r="C6840" s="2">
        <v>692.31020000000001</v>
      </c>
      <c r="D6840" s="2">
        <f>HYPERLINK("http://mcb-m6.bioreg.kyushu-u.ac.jp/M3/20110421/F51045/1958/1", 100.15)</f>
        <v>100.15</v>
      </c>
      <c r="E6840" s="2">
        <v>72.31</v>
      </c>
      <c r="F6840" s="2">
        <v>2</v>
      </c>
      <c r="G6840" s="2" t="s">
        <v>12</v>
      </c>
    </row>
    <row r="6841" spans="1:9" x14ac:dyDescent="0.2">
      <c r="A6841" s="2" t="s">
        <v>3526</v>
      </c>
      <c r="B6841" s="2" t="s">
        <v>1740</v>
      </c>
      <c r="C6841" s="2">
        <v>688.60770000000002</v>
      </c>
      <c r="D6841" s="2">
        <f>HYPERLINK("http://mcb-m6.bioreg.kyushu-u.ac.jp/M3/20110428/F51128/1705/1", 45.04)</f>
        <v>45.04</v>
      </c>
      <c r="E6841" s="2">
        <v>22.91</v>
      </c>
      <c r="F6841" s="2">
        <v>2</v>
      </c>
      <c r="G6841" s="2" t="s">
        <v>14</v>
      </c>
      <c r="I6841" s="2" t="s">
        <v>4947</v>
      </c>
    </row>
    <row r="6842" spans="1:9" x14ac:dyDescent="0.2">
      <c r="A6842" s="2" t="s">
        <v>3526</v>
      </c>
      <c r="B6842" s="2" t="s">
        <v>1967</v>
      </c>
      <c r="C6842" s="2">
        <v>1091.8320000000001</v>
      </c>
      <c r="D6842" s="2">
        <f>HYPERLINK("http://mcb-m6.bioreg.kyushu-u.ac.jp/M3/20110428/F51128/3290/1", 66.14)</f>
        <v>66.14</v>
      </c>
      <c r="E6842" s="2">
        <v>50.42</v>
      </c>
      <c r="F6842" s="2">
        <v>2</v>
      </c>
      <c r="G6842" s="2" t="s">
        <v>14</v>
      </c>
    </row>
    <row r="6843" spans="1:9" x14ac:dyDescent="0.2">
      <c r="A6843" s="2" t="s">
        <v>3526</v>
      </c>
      <c r="B6843" s="2" t="s">
        <v>1153</v>
      </c>
      <c r="C6843" s="2">
        <v>692.56669999999997</v>
      </c>
      <c r="D6843" s="2">
        <f>HYPERLINK("http://mcb-m6.bioreg.kyushu-u.ac.jp/M3/20110428/F51128/1729/1", 84.91)</f>
        <v>84.91</v>
      </c>
      <c r="E6843" s="2">
        <v>61.33</v>
      </c>
      <c r="F6843" s="2">
        <v>2</v>
      </c>
      <c r="G6843" s="2" t="s">
        <v>14</v>
      </c>
    </row>
    <row r="6844" spans="1:9" x14ac:dyDescent="0.2">
      <c r="A6844" s="2" t="s">
        <v>4122</v>
      </c>
      <c r="B6844" s="2" t="s">
        <v>5534</v>
      </c>
      <c r="C6844" s="2">
        <v>687.92909999999995</v>
      </c>
      <c r="D6844" s="2">
        <f>HYPERLINK("http://mcb-m6.bioreg.kyushu-u.ac.jp/M3/20110404/F50763/1699/1", 38.28)</f>
        <v>38.28</v>
      </c>
      <c r="E6844" s="2">
        <v>22.99</v>
      </c>
      <c r="F6844" s="2">
        <v>2</v>
      </c>
      <c r="G6844" s="2" t="s">
        <v>9</v>
      </c>
      <c r="I6844" s="2" t="s">
        <v>4926</v>
      </c>
    </row>
    <row r="6845" spans="1:9" x14ac:dyDescent="0.2">
      <c r="A6845" s="2" t="s">
        <v>4122</v>
      </c>
      <c r="B6845" s="2" t="s">
        <v>1630</v>
      </c>
      <c r="C6845" s="2">
        <v>1018.693</v>
      </c>
      <c r="D6845" s="2">
        <f>HYPERLINK("http://mcb-m6.bioreg.kyushu-u.ac.jp/M3/20110404/F50763/2812/1", 105.44)</f>
        <v>105.44</v>
      </c>
      <c r="E6845" s="2">
        <v>94.22</v>
      </c>
      <c r="F6845" s="2">
        <v>2</v>
      </c>
      <c r="G6845" s="2" t="s">
        <v>9</v>
      </c>
    </row>
    <row r="6846" spans="1:9" x14ac:dyDescent="0.2">
      <c r="A6846" s="2" t="s">
        <v>4122</v>
      </c>
      <c r="B6846" s="2" t="s">
        <v>1630</v>
      </c>
      <c r="C6846" s="2">
        <v>1019.37</v>
      </c>
      <c r="D6846" s="2">
        <f>HYPERLINK("http://mcb-m6.bioreg.kyushu-u.ac.jp/M3/20110421/F51035/3209/1", 87.97)</f>
        <v>87.97</v>
      </c>
      <c r="E6846" s="2">
        <v>78.11</v>
      </c>
      <c r="F6846" s="2">
        <v>2</v>
      </c>
      <c r="G6846" s="2" t="s">
        <v>11</v>
      </c>
    </row>
    <row r="6847" spans="1:9" x14ac:dyDescent="0.2">
      <c r="A6847" s="2" t="s">
        <v>4122</v>
      </c>
      <c r="B6847" s="2" t="s">
        <v>1630</v>
      </c>
      <c r="C6847" s="2">
        <v>1018.857</v>
      </c>
      <c r="D6847" s="2">
        <f>HYPERLINK("http://mcb-m6.bioreg.kyushu-u.ac.jp/M3/20110421/F51035/3204/1", 92.61)</f>
        <v>92.61</v>
      </c>
      <c r="E6847" s="2">
        <v>77.87</v>
      </c>
      <c r="F6847" s="2">
        <v>2</v>
      </c>
      <c r="G6847" s="2" t="s">
        <v>11</v>
      </c>
    </row>
    <row r="6848" spans="1:9" x14ac:dyDescent="0.2">
      <c r="A6848" s="2" t="s">
        <v>4122</v>
      </c>
      <c r="B6848" s="2" t="s">
        <v>1630</v>
      </c>
      <c r="C6848" s="2">
        <v>1018.6950000000001</v>
      </c>
      <c r="D6848" s="2">
        <f>HYPERLINK("http://mcb-m6.bioreg.kyushu-u.ac.jp/M3/20110428/F51127/3249/1", 101.71)</f>
        <v>101.71</v>
      </c>
      <c r="E6848" s="2">
        <v>91.51</v>
      </c>
      <c r="F6848" s="2">
        <v>2</v>
      </c>
      <c r="G6848" s="2" t="s">
        <v>13</v>
      </c>
    </row>
    <row r="6849" spans="1:8" x14ac:dyDescent="0.2">
      <c r="A6849" s="2" t="s">
        <v>3823</v>
      </c>
      <c r="B6849" s="2" t="s">
        <v>894</v>
      </c>
      <c r="C6849" s="2">
        <v>854.82460000000003</v>
      </c>
      <c r="D6849" s="2">
        <f>HYPERLINK("http://mcb-m6.bioreg.kyushu-u.ac.jp/M3/20110404/F50756/2481/1", 61.16)</f>
        <v>61.16</v>
      </c>
      <c r="E6849" s="2">
        <v>46.62</v>
      </c>
      <c r="F6849" s="2">
        <v>2</v>
      </c>
      <c r="G6849" s="2" t="s">
        <v>9</v>
      </c>
    </row>
    <row r="6850" spans="1:8" x14ac:dyDescent="0.2">
      <c r="A6850" s="2" t="s">
        <v>3823</v>
      </c>
      <c r="B6850" s="2" t="s">
        <v>894</v>
      </c>
      <c r="C6850" s="2">
        <v>855.38570000000004</v>
      </c>
      <c r="D6850" s="2">
        <f>HYPERLINK("http://mcb-m6.bioreg.kyushu-u.ac.jp/M3/20110404/F50761/2300/1", 47.47)</f>
        <v>47.47</v>
      </c>
      <c r="E6850" s="2">
        <v>32.22</v>
      </c>
      <c r="F6850" s="2">
        <v>2</v>
      </c>
      <c r="G6850" s="2" t="s">
        <v>10</v>
      </c>
    </row>
    <row r="6851" spans="1:8" x14ac:dyDescent="0.2">
      <c r="A6851" s="2" t="s">
        <v>3751</v>
      </c>
      <c r="B6851" s="2" t="s">
        <v>6007</v>
      </c>
      <c r="C6851" s="2">
        <v>768.25019999999995</v>
      </c>
      <c r="D6851" s="2">
        <f>HYPERLINK("http://mcb-m6.bioreg.kyushu-u.ac.jp/M3/20110404/F50756/2103/1", 38.53)</f>
        <v>38.53</v>
      </c>
      <c r="E6851" s="2">
        <v>29.62</v>
      </c>
      <c r="F6851" s="2">
        <v>2</v>
      </c>
      <c r="G6851" s="2" t="s">
        <v>9</v>
      </c>
    </row>
    <row r="6852" spans="1:8" x14ac:dyDescent="0.2">
      <c r="A6852" s="2" t="s">
        <v>5734</v>
      </c>
      <c r="B6852" s="2" t="s">
        <v>6407</v>
      </c>
      <c r="C6852" s="2">
        <v>728.14980000000003</v>
      </c>
      <c r="D6852" s="2">
        <f>HYPERLINK("http://mcb-m6.bioreg.kyushu-u.ac.jp/M3/20110404/F50764/2950/1", 60.68)</f>
        <v>60.68</v>
      </c>
      <c r="E6852" s="2">
        <v>36.6</v>
      </c>
      <c r="F6852" s="2">
        <v>3</v>
      </c>
      <c r="G6852" s="2" t="s">
        <v>9</v>
      </c>
    </row>
    <row r="6853" spans="1:8" x14ac:dyDescent="0.2">
      <c r="A6853" s="2" t="s">
        <v>5734</v>
      </c>
      <c r="B6853" s="2" t="s">
        <v>5323</v>
      </c>
      <c r="C6853" s="2">
        <v>710.33169999999996</v>
      </c>
      <c r="D6853" s="2">
        <f>HYPERLINK("http://mcb-m6.bioreg.kyushu-u.ac.jp/M3/20110404/F50764/1731/1", 98.54)</f>
        <v>98.54</v>
      </c>
      <c r="E6853" s="2">
        <v>79.459999999999994</v>
      </c>
      <c r="F6853" s="2">
        <v>2</v>
      </c>
      <c r="G6853" s="2" t="s">
        <v>9</v>
      </c>
    </row>
    <row r="6854" spans="1:8" x14ac:dyDescent="0.2">
      <c r="A6854" s="2" t="s">
        <v>5734</v>
      </c>
      <c r="B6854" s="2" t="s">
        <v>6635</v>
      </c>
      <c r="C6854" s="2">
        <v>1139.7429999999999</v>
      </c>
      <c r="D6854" s="2">
        <f>HYPERLINK("http://mcb-m6.bioreg.kyushu-u.ac.jp/M3/20110404/F50764/3043/1", 100.54)</f>
        <v>100.54</v>
      </c>
      <c r="E6854" s="2">
        <v>86.23</v>
      </c>
      <c r="F6854" s="2">
        <v>2</v>
      </c>
      <c r="G6854" s="2" t="s">
        <v>9</v>
      </c>
    </row>
    <row r="6855" spans="1:8" x14ac:dyDescent="0.2">
      <c r="A6855" s="2" t="s">
        <v>5734</v>
      </c>
      <c r="B6855" s="2" t="s">
        <v>5323</v>
      </c>
      <c r="C6855" s="2">
        <v>709.82370000000003</v>
      </c>
      <c r="D6855" s="2">
        <f>HYPERLINK("http://mcb-m6.bioreg.kyushu-u.ac.jp/M3/20110404/F50770/1802/1", 103.94)</f>
        <v>103.94</v>
      </c>
      <c r="E6855" s="2">
        <v>83.35</v>
      </c>
      <c r="F6855" s="2">
        <v>2</v>
      </c>
      <c r="G6855" s="2" t="s">
        <v>10</v>
      </c>
    </row>
    <row r="6856" spans="1:8" x14ac:dyDescent="0.2">
      <c r="A6856" s="2" t="s">
        <v>5734</v>
      </c>
      <c r="B6856" s="2" t="s">
        <v>6635</v>
      </c>
      <c r="C6856" s="2">
        <v>1139.819</v>
      </c>
      <c r="D6856" s="2">
        <f>HYPERLINK("http://mcb-m6.bioreg.kyushu-u.ac.jp/M3/20110404/F50770/2903/1", 124)</f>
        <v>124</v>
      </c>
      <c r="E6856" s="2">
        <v>98.68</v>
      </c>
      <c r="F6856" s="2">
        <v>2</v>
      </c>
      <c r="G6856" s="2" t="s">
        <v>10</v>
      </c>
    </row>
    <row r="6857" spans="1:8" x14ac:dyDescent="0.2">
      <c r="A6857" s="2" t="s">
        <v>5734</v>
      </c>
      <c r="B6857" s="2" t="s">
        <v>7369</v>
      </c>
      <c r="C6857" s="2">
        <v>535.1277</v>
      </c>
      <c r="D6857" s="2">
        <f>HYPERLINK("http://mcb-m6.bioreg.kyushu-u.ac.jp/M3/20110427/F51115/1207/1", 48.43)</f>
        <v>48.43</v>
      </c>
      <c r="E6857" s="2">
        <v>20.53</v>
      </c>
      <c r="F6857" s="2">
        <v>2</v>
      </c>
      <c r="G6857" s="2" t="s">
        <v>13</v>
      </c>
    </row>
    <row r="6858" spans="1:8" x14ac:dyDescent="0.2">
      <c r="A6858" s="2" t="s">
        <v>5734</v>
      </c>
      <c r="B6858" s="2" t="s">
        <v>7428</v>
      </c>
      <c r="C6858" s="2">
        <v>630.73720000000003</v>
      </c>
      <c r="D6858" s="2">
        <f>HYPERLINK("http://mcb-m6.bioreg.kyushu-u.ac.jp/M3/20110427/F51115/1531/1", 78.3)</f>
        <v>78.3</v>
      </c>
      <c r="E6858" s="2">
        <v>54.62</v>
      </c>
      <c r="F6858" s="2">
        <v>2</v>
      </c>
      <c r="G6858" s="2" t="s">
        <v>13</v>
      </c>
    </row>
    <row r="6859" spans="1:8" x14ac:dyDescent="0.2">
      <c r="A6859" s="2" t="s">
        <v>5734</v>
      </c>
      <c r="B6859" s="2" t="s">
        <v>7428</v>
      </c>
      <c r="C6859" s="2">
        <v>630.63369999999998</v>
      </c>
      <c r="D6859" s="2">
        <f>HYPERLINK("http://mcb-m6.bioreg.kyushu-u.ac.jp/M3/20110427/F51124/1575/1", 70.3)</f>
        <v>70.3</v>
      </c>
      <c r="E6859" s="2">
        <v>41.5</v>
      </c>
      <c r="F6859" s="2">
        <v>2</v>
      </c>
      <c r="G6859" s="2" t="s">
        <v>14</v>
      </c>
    </row>
    <row r="6860" spans="1:8" x14ac:dyDescent="0.2">
      <c r="A6860" s="2" t="s">
        <v>5734</v>
      </c>
      <c r="B6860" s="2" t="s">
        <v>6407</v>
      </c>
      <c r="C6860" s="2">
        <v>728.00379999999996</v>
      </c>
      <c r="D6860" s="2">
        <f>HYPERLINK("http://mcb-m6.bioreg.kyushu-u.ac.jp/M3/20110427/F51124/3118/1", 84.84)</f>
        <v>84.84</v>
      </c>
      <c r="E6860" s="2">
        <v>68.87</v>
      </c>
      <c r="F6860" s="2">
        <v>3</v>
      </c>
      <c r="G6860" s="2" t="s">
        <v>14</v>
      </c>
    </row>
    <row r="6861" spans="1:8" x14ac:dyDescent="0.2">
      <c r="A6861" s="2" t="s">
        <v>5734</v>
      </c>
      <c r="B6861" s="2" t="s">
        <v>6635</v>
      </c>
      <c r="C6861" s="2">
        <v>1139.172</v>
      </c>
      <c r="D6861" s="2">
        <f>HYPERLINK("http://mcb-m6.bioreg.kyushu-u.ac.jp/M3/20110427/F51124/3218/1", 104.31)</f>
        <v>104.31</v>
      </c>
      <c r="E6861" s="2">
        <v>85.43</v>
      </c>
      <c r="F6861" s="2">
        <v>2</v>
      </c>
      <c r="G6861" s="2" t="s">
        <v>14</v>
      </c>
    </row>
    <row r="6862" spans="1:8" x14ac:dyDescent="0.2">
      <c r="A6862" s="2" t="s">
        <v>5691</v>
      </c>
      <c r="B6862" s="2" t="s">
        <v>5965</v>
      </c>
      <c r="C6862" s="2">
        <v>864.28099999999995</v>
      </c>
      <c r="D6862" s="2">
        <f>HYPERLINK("http://mcb-m6.bioreg.kyushu-u.ac.jp/M3/20110404/F50764/771/1", 37.17)</f>
        <v>37.17</v>
      </c>
      <c r="E6862" s="2">
        <v>21.24</v>
      </c>
      <c r="F6862" s="2">
        <v>1</v>
      </c>
      <c r="G6862" s="2" t="s">
        <v>9</v>
      </c>
    </row>
    <row r="6863" spans="1:8" x14ac:dyDescent="0.2">
      <c r="A6863" s="2" t="s">
        <v>5691</v>
      </c>
      <c r="B6863" s="2" t="s">
        <v>6302</v>
      </c>
      <c r="C6863" s="2">
        <v>518.38319999999999</v>
      </c>
      <c r="D6863" s="2">
        <f>HYPERLINK("http://mcb-m6.bioreg.kyushu-u.ac.jp/M3/20110404/F50764/1056/1", 51.7)</f>
        <v>51.7</v>
      </c>
      <c r="E6863" s="2">
        <v>28.46</v>
      </c>
      <c r="F6863" s="2">
        <v>2</v>
      </c>
      <c r="G6863" s="2" t="s">
        <v>9</v>
      </c>
      <c r="H6863" s="2" t="s">
        <v>4915</v>
      </c>
    </row>
    <row r="6864" spans="1:8" x14ac:dyDescent="0.2">
      <c r="A6864" s="2" t="s">
        <v>5691</v>
      </c>
      <c r="B6864" s="2" t="s">
        <v>6450</v>
      </c>
      <c r="C6864" s="2">
        <v>691.53279999999995</v>
      </c>
      <c r="D6864" s="2">
        <f>HYPERLINK("http://mcb-m6.bioreg.kyushu-u.ac.jp/M3/20110404/F50764/2834/1", 65.9)</f>
        <v>65.900000000000006</v>
      </c>
      <c r="E6864" s="2">
        <v>48.82</v>
      </c>
      <c r="F6864" s="2">
        <v>3</v>
      </c>
      <c r="G6864" s="2" t="s">
        <v>9</v>
      </c>
    </row>
    <row r="6865" spans="1:8" x14ac:dyDescent="0.2">
      <c r="A6865" s="2" t="s">
        <v>5691</v>
      </c>
      <c r="B6865" s="2" t="s">
        <v>5336</v>
      </c>
      <c r="C6865" s="2">
        <v>873.84519999999998</v>
      </c>
      <c r="D6865" s="2">
        <f>HYPERLINK("http://mcb-m6.bioreg.kyushu-u.ac.jp/M3/20110404/F50764/2342/1", 89.37)</f>
        <v>89.37</v>
      </c>
      <c r="E6865" s="2">
        <v>63.41</v>
      </c>
      <c r="F6865" s="2">
        <v>2</v>
      </c>
      <c r="G6865" s="2" t="s">
        <v>9</v>
      </c>
    </row>
    <row r="6866" spans="1:8" x14ac:dyDescent="0.2">
      <c r="A6866" s="2" t="s">
        <v>5691</v>
      </c>
      <c r="B6866" s="2" t="s">
        <v>6450</v>
      </c>
      <c r="C6866" s="2">
        <v>1036.53</v>
      </c>
      <c r="D6866" s="2">
        <f>HYPERLINK("http://mcb-m6.bioreg.kyushu-u.ac.jp/M3/20110404/F50764/2833/1", 96.47)</f>
        <v>96.47</v>
      </c>
      <c r="E6866" s="2">
        <v>85.04</v>
      </c>
      <c r="F6866" s="2">
        <v>2</v>
      </c>
      <c r="G6866" s="2" t="s">
        <v>9</v>
      </c>
    </row>
    <row r="6867" spans="1:8" x14ac:dyDescent="0.2">
      <c r="A6867" s="2" t="s">
        <v>5691</v>
      </c>
      <c r="B6867" s="2" t="s">
        <v>6302</v>
      </c>
      <c r="C6867" s="2">
        <v>518.42660000000001</v>
      </c>
      <c r="D6867" s="2">
        <f>HYPERLINK("http://mcb-m6.bioreg.kyushu-u.ac.jp/M3/20110404/F50770/1198/1", 36.77)</f>
        <v>36.770000000000003</v>
      </c>
      <c r="E6867" s="2">
        <v>15.2</v>
      </c>
      <c r="F6867" s="2">
        <v>2</v>
      </c>
      <c r="G6867" s="2" t="s">
        <v>10</v>
      </c>
      <c r="H6867" s="2" t="s">
        <v>4915</v>
      </c>
    </row>
    <row r="6868" spans="1:8" x14ac:dyDescent="0.2">
      <c r="A6868" s="2" t="s">
        <v>5691</v>
      </c>
      <c r="B6868" s="2" t="s">
        <v>5965</v>
      </c>
      <c r="C6868" s="2">
        <v>864.26099999999997</v>
      </c>
      <c r="D6868" s="2">
        <f>HYPERLINK("http://mcb-m6.bioreg.kyushu-u.ac.jp/M3/20110404/F50770/936/1", 45.33)</f>
        <v>45.33</v>
      </c>
      <c r="E6868" s="2">
        <v>31.05</v>
      </c>
      <c r="F6868" s="2">
        <v>1</v>
      </c>
      <c r="G6868" s="2" t="s">
        <v>10</v>
      </c>
    </row>
    <row r="6869" spans="1:8" x14ac:dyDescent="0.2">
      <c r="A6869" s="2" t="s">
        <v>5691</v>
      </c>
      <c r="B6869" s="2" t="s">
        <v>6865</v>
      </c>
      <c r="C6869" s="2">
        <v>1065.326</v>
      </c>
      <c r="D6869" s="2">
        <f>HYPERLINK("http://mcb-m6.bioreg.kyushu-u.ac.jp/M3/20110404/F50770/1257/1", 50.94)</f>
        <v>50.94</v>
      </c>
      <c r="E6869" s="2">
        <v>29.01</v>
      </c>
      <c r="F6869" s="2">
        <v>1</v>
      </c>
      <c r="G6869" s="2" t="s">
        <v>10</v>
      </c>
    </row>
    <row r="6870" spans="1:8" x14ac:dyDescent="0.2">
      <c r="A6870" s="2" t="s">
        <v>5691</v>
      </c>
      <c r="B6870" s="2" t="s">
        <v>5336</v>
      </c>
      <c r="C6870" s="2">
        <v>873.96310000000005</v>
      </c>
      <c r="D6870" s="2">
        <f>HYPERLINK("http://mcb-m6.bioreg.kyushu-u.ac.jp/M3/20110404/F50771/2418/1", 80.66)</f>
        <v>80.66</v>
      </c>
      <c r="E6870" s="2">
        <v>60.23</v>
      </c>
      <c r="F6870" s="2">
        <v>2</v>
      </c>
      <c r="G6870" s="2" t="s">
        <v>10</v>
      </c>
    </row>
    <row r="6871" spans="1:8" x14ac:dyDescent="0.2">
      <c r="A6871" s="2" t="s">
        <v>5691</v>
      </c>
      <c r="B6871" s="2" t="s">
        <v>5336</v>
      </c>
      <c r="C6871" s="2">
        <v>873.42520000000002</v>
      </c>
      <c r="D6871" s="2">
        <f>HYPERLINK("http://mcb-m6.bioreg.kyushu-u.ac.jp/M3/20110404/F50771/2416/1", 86.68)</f>
        <v>86.68</v>
      </c>
      <c r="E6871" s="2">
        <v>65.44</v>
      </c>
      <c r="F6871" s="2">
        <v>2</v>
      </c>
      <c r="G6871" s="2" t="s">
        <v>10</v>
      </c>
    </row>
    <row r="6872" spans="1:8" x14ac:dyDescent="0.2">
      <c r="A6872" s="2" t="s">
        <v>5691</v>
      </c>
      <c r="B6872" s="2" t="s">
        <v>6450</v>
      </c>
      <c r="C6872" s="2">
        <v>1036.893</v>
      </c>
      <c r="D6872" s="2">
        <f>HYPERLINK("http://mcb-m6.bioreg.kyushu-u.ac.jp/M3/20110404/F50770/2743/1", 86.78)</f>
        <v>86.78</v>
      </c>
      <c r="E6872" s="2">
        <v>74.81</v>
      </c>
      <c r="F6872" s="2">
        <v>2</v>
      </c>
      <c r="G6872" s="2" t="s">
        <v>10</v>
      </c>
    </row>
    <row r="6873" spans="1:8" x14ac:dyDescent="0.2">
      <c r="A6873" s="2" t="s">
        <v>5691</v>
      </c>
      <c r="B6873" s="2" t="s">
        <v>5336</v>
      </c>
      <c r="C6873" s="2">
        <v>873.89260000000002</v>
      </c>
      <c r="D6873" s="2">
        <f>HYPERLINK("http://mcb-m6.bioreg.kyushu-u.ac.jp/M3/20110404/F50770/2327/1", 87.97)</f>
        <v>87.97</v>
      </c>
      <c r="E6873" s="2">
        <v>61.33</v>
      </c>
      <c r="F6873" s="2">
        <v>2</v>
      </c>
      <c r="G6873" s="2" t="s">
        <v>10</v>
      </c>
    </row>
    <row r="6874" spans="1:8" x14ac:dyDescent="0.2">
      <c r="A6874" s="2" t="s">
        <v>5691</v>
      </c>
      <c r="B6874" s="2" t="s">
        <v>5336</v>
      </c>
      <c r="C6874" s="2">
        <v>873.29819999999995</v>
      </c>
      <c r="D6874" s="2">
        <f>HYPERLINK("http://mcb-m6.bioreg.kyushu-u.ac.jp/M3/20110404/F50770/2322/1", 99.11)</f>
        <v>99.11</v>
      </c>
      <c r="E6874" s="2">
        <v>81.73</v>
      </c>
      <c r="F6874" s="2">
        <v>2</v>
      </c>
      <c r="G6874" s="2" t="s">
        <v>10</v>
      </c>
    </row>
    <row r="6875" spans="1:8" x14ac:dyDescent="0.2">
      <c r="A6875" s="2" t="s">
        <v>5691</v>
      </c>
      <c r="B6875" s="2" t="s">
        <v>6450</v>
      </c>
      <c r="C6875" s="2">
        <v>1036.377</v>
      </c>
      <c r="D6875" s="2">
        <f>HYPERLINK("http://mcb-m6.bioreg.kyushu-u.ac.jp/M3/20110404/F50770/2741/1", 112.57)</f>
        <v>112.57</v>
      </c>
      <c r="E6875" s="2">
        <v>102.58</v>
      </c>
      <c r="F6875" s="2">
        <v>2</v>
      </c>
      <c r="G6875" s="2" t="s">
        <v>10</v>
      </c>
    </row>
    <row r="6876" spans="1:8" x14ac:dyDescent="0.2">
      <c r="A6876" s="2" t="s">
        <v>5691</v>
      </c>
      <c r="B6876" s="2" t="s">
        <v>6450</v>
      </c>
      <c r="C6876" s="2">
        <v>691.23180000000002</v>
      </c>
      <c r="D6876" s="2">
        <f>HYPERLINK("http://mcb-m6.bioreg.kyushu-u.ac.jp/M3/20110427/F51115/3010/1", 73.43)</f>
        <v>73.430000000000007</v>
      </c>
      <c r="E6876" s="2">
        <v>61.07</v>
      </c>
      <c r="F6876" s="2">
        <v>3</v>
      </c>
      <c r="G6876" s="2" t="s">
        <v>13</v>
      </c>
    </row>
    <row r="6877" spans="1:8" x14ac:dyDescent="0.2">
      <c r="A6877" s="2" t="s">
        <v>5691</v>
      </c>
      <c r="B6877" s="2" t="s">
        <v>5336</v>
      </c>
      <c r="C6877" s="2">
        <v>873.32820000000004</v>
      </c>
      <c r="D6877" s="2">
        <f>HYPERLINK("http://mcb-m6.bioreg.kyushu-u.ac.jp/M3/20110427/F51115/2526/1", 75.55)</f>
        <v>75.55</v>
      </c>
      <c r="E6877" s="2">
        <v>54.58</v>
      </c>
      <c r="F6877" s="2">
        <v>2</v>
      </c>
      <c r="G6877" s="2" t="s">
        <v>13</v>
      </c>
    </row>
    <row r="6878" spans="1:8" x14ac:dyDescent="0.2">
      <c r="A6878" s="2" t="s">
        <v>5691</v>
      </c>
      <c r="B6878" s="2" t="s">
        <v>6450</v>
      </c>
      <c r="C6878" s="2">
        <v>1036.854</v>
      </c>
      <c r="D6878" s="2">
        <f>HYPERLINK("http://mcb-m6.bioreg.kyushu-u.ac.jp/M3/20110427/F51115/3011/1", 93.33)</f>
        <v>93.33</v>
      </c>
      <c r="E6878" s="2">
        <v>79.39</v>
      </c>
      <c r="F6878" s="2">
        <v>2</v>
      </c>
      <c r="G6878" s="2" t="s">
        <v>13</v>
      </c>
    </row>
    <row r="6879" spans="1:8" x14ac:dyDescent="0.2">
      <c r="A6879" s="2" t="s">
        <v>5691</v>
      </c>
      <c r="B6879" s="2" t="s">
        <v>7441</v>
      </c>
      <c r="C6879" s="2">
        <v>925.84559999999999</v>
      </c>
      <c r="D6879" s="2">
        <f>HYPERLINK("http://mcb-m6.bioreg.kyushu-u.ac.jp/M3/20110427/F51115/2720/1", 98.43)</f>
        <v>98.43</v>
      </c>
      <c r="E6879" s="2">
        <v>86.02</v>
      </c>
      <c r="F6879" s="2">
        <v>2</v>
      </c>
      <c r="G6879" s="2" t="s">
        <v>13</v>
      </c>
    </row>
    <row r="6880" spans="1:8" x14ac:dyDescent="0.2">
      <c r="A6880" s="2" t="s">
        <v>5691</v>
      </c>
      <c r="B6880" s="2" t="s">
        <v>5336</v>
      </c>
      <c r="C6880" s="2">
        <v>873.17319999999995</v>
      </c>
      <c r="D6880" s="2">
        <f>HYPERLINK("http://mcb-m6.bioreg.kyushu-u.ac.jp/M3/20110427/F51125/2634/1", 50.48)</f>
        <v>50.48</v>
      </c>
      <c r="E6880" s="2">
        <v>35.31</v>
      </c>
      <c r="F6880" s="2">
        <v>2</v>
      </c>
      <c r="G6880" s="2" t="s">
        <v>14</v>
      </c>
    </row>
    <row r="6881" spans="1:9" x14ac:dyDescent="0.2">
      <c r="A6881" s="2" t="s">
        <v>5691</v>
      </c>
      <c r="B6881" s="2" t="s">
        <v>7499</v>
      </c>
      <c r="C6881" s="2">
        <v>546.03369999999995</v>
      </c>
      <c r="D6881" s="2">
        <f>HYPERLINK("http://mcb-m6.bioreg.kyushu-u.ac.jp/M3/20110427/F51124/1264/1", 53.32)</f>
        <v>53.32</v>
      </c>
      <c r="E6881" s="2">
        <v>38.39</v>
      </c>
      <c r="F6881" s="2">
        <v>2</v>
      </c>
      <c r="G6881" s="2" t="s">
        <v>14</v>
      </c>
      <c r="I6881" s="2" t="s">
        <v>4903</v>
      </c>
    </row>
    <row r="6882" spans="1:9" x14ac:dyDescent="0.2">
      <c r="A6882" s="2" t="s">
        <v>5691</v>
      </c>
      <c r="B6882" s="2" t="s">
        <v>5336</v>
      </c>
      <c r="C6882" s="2">
        <v>873.20420000000001</v>
      </c>
      <c r="D6882" s="2">
        <f>HYPERLINK("http://mcb-m6.bioreg.kyushu-u.ac.jp/M3/20110427/F51124/2583/1", 85.49)</f>
        <v>85.49</v>
      </c>
      <c r="E6882" s="2">
        <v>64.599999999999994</v>
      </c>
      <c r="F6882" s="2">
        <v>2</v>
      </c>
      <c r="G6882" s="2" t="s">
        <v>14</v>
      </c>
    </row>
    <row r="6883" spans="1:9" x14ac:dyDescent="0.2">
      <c r="A6883" s="2" t="s">
        <v>5691</v>
      </c>
      <c r="B6883" s="2" t="s">
        <v>6450</v>
      </c>
      <c r="C6883" s="2">
        <v>1036.2639999999999</v>
      </c>
      <c r="D6883" s="2">
        <f>HYPERLINK("http://mcb-m6.bioreg.kyushu-u.ac.jp/M3/20110427/F51124/3043/1", 105.41)</f>
        <v>105.41</v>
      </c>
      <c r="E6883" s="2">
        <v>89.36</v>
      </c>
      <c r="F6883" s="2">
        <v>2</v>
      </c>
      <c r="G6883" s="2" t="s">
        <v>14</v>
      </c>
    </row>
    <row r="6884" spans="1:9" x14ac:dyDescent="0.2">
      <c r="A6884" s="2" t="s">
        <v>7773</v>
      </c>
      <c r="B6884" s="2" t="s">
        <v>6625</v>
      </c>
      <c r="C6884" s="2">
        <v>938.44920000000002</v>
      </c>
      <c r="D6884" s="2">
        <f>HYPERLINK("http://mcb-m6.bioreg.kyushu-u.ac.jp/M3/20110404/F50764/2576/1", 97.87)</f>
        <v>97.87</v>
      </c>
      <c r="E6884" s="2">
        <v>83.91</v>
      </c>
      <c r="F6884" s="2">
        <v>2</v>
      </c>
      <c r="G6884" s="2" t="s">
        <v>9</v>
      </c>
    </row>
    <row r="6885" spans="1:9" x14ac:dyDescent="0.2">
      <c r="A6885" s="2" t="s">
        <v>7773</v>
      </c>
      <c r="B6885" s="2" t="s">
        <v>6625</v>
      </c>
      <c r="C6885" s="2">
        <v>938.42660000000001</v>
      </c>
      <c r="D6885" s="2">
        <f>HYPERLINK("http://mcb-m6.bioreg.kyushu-u.ac.jp/M3/20110404/F50770/2510/1", 104.81)</f>
        <v>104.81</v>
      </c>
      <c r="E6885" s="2">
        <v>90.25</v>
      </c>
      <c r="F6885" s="2">
        <v>2</v>
      </c>
      <c r="G6885" s="2" t="s">
        <v>10</v>
      </c>
    </row>
    <row r="6886" spans="1:9" x14ac:dyDescent="0.2">
      <c r="A6886" s="2" t="s">
        <v>7773</v>
      </c>
      <c r="B6886" s="2" t="s">
        <v>6625</v>
      </c>
      <c r="C6886" s="2">
        <v>938.75459999999998</v>
      </c>
      <c r="D6886" s="2">
        <f>HYPERLINK("http://mcb-m6.bioreg.kyushu-u.ac.jp/M3/20110427/F51115/2750/1", 105.17)</f>
        <v>105.17</v>
      </c>
      <c r="E6886" s="2">
        <v>87.63</v>
      </c>
      <c r="F6886" s="2">
        <v>2</v>
      </c>
      <c r="G6886" s="2" t="s">
        <v>13</v>
      </c>
    </row>
    <row r="6887" spans="1:9" x14ac:dyDescent="0.2">
      <c r="A6887" s="2" t="s">
        <v>7773</v>
      </c>
      <c r="B6887" s="2" t="s">
        <v>6625</v>
      </c>
      <c r="C6887" s="2">
        <v>938.27369999999996</v>
      </c>
      <c r="D6887" s="2">
        <f>HYPERLINK("http://mcb-m6.bioreg.kyushu-u.ac.jp/M3/20110427/F51124/2815/1", 113.1)</f>
        <v>113.1</v>
      </c>
      <c r="E6887" s="2">
        <v>97.45</v>
      </c>
      <c r="F6887" s="2">
        <v>2</v>
      </c>
      <c r="G6887" s="2" t="s">
        <v>14</v>
      </c>
    </row>
    <row r="6888" spans="1:9" x14ac:dyDescent="0.2">
      <c r="A6888" s="2" t="s">
        <v>7773</v>
      </c>
      <c r="B6888" s="2" t="s">
        <v>6625</v>
      </c>
      <c r="C6888" s="2">
        <v>938.19169999999997</v>
      </c>
      <c r="D6888" s="2">
        <f>HYPERLINK("http://mcb-m6.bioreg.kyushu-u.ac.jp/M3/20110427/F51125/2840/1", 125.13)</f>
        <v>125.13</v>
      </c>
      <c r="E6888" s="2">
        <v>105.77</v>
      </c>
      <c r="F6888" s="2">
        <v>2</v>
      </c>
      <c r="G6888" s="2" t="s">
        <v>14</v>
      </c>
    </row>
    <row r="6889" spans="1:9" x14ac:dyDescent="0.2">
      <c r="A6889" s="2" t="s">
        <v>4621</v>
      </c>
      <c r="B6889" s="2" t="s">
        <v>6138</v>
      </c>
      <c r="C6889" s="2">
        <v>580.28369999999995</v>
      </c>
      <c r="D6889" s="2">
        <f>HYPERLINK("http://mcb-m6.bioreg.kyushu-u.ac.jp/M3/20110404/F50763/1326/2", 44.11)</f>
        <v>44.11</v>
      </c>
      <c r="E6889" s="2">
        <v>21.34</v>
      </c>
      <c r="F6889" s="2">
        <v>2</v>
      </c>
      <c r="G6889" s="2" t="s">
        <v>9</v>
      </c>
    </row>
    <row r="6890" spans="1:9" x14ac:dyDescent="0.2">
      <c r="A6890" s="2" t="s">
        <v>4621</v>
      </c>
      <c r="B6890" s="2" t="s">
        <v>6932</v>
      </c>
      <c r="C6890" s="2">
        <v>657.42859999999996</v>
      </c>
      <c r="D6890" s="2">
        <f>HYPERLINK("http://mcb-m6.bioreg.kyushu-u.ac.jp/M3/20110404/F50781/1515/1", 61.76)</f>
        <v>61.76</v>
      </c>
      <c r="E6890" s="2">
        <v>38.409999999999997</v>
      </c>
      <c r="F6890" s="2">
        <v>2</v>
      </c>
      <c r="G6890" s="2" t="s">
        <v>10</v>
      </c>
    </row>
    <row r="6891" spans="1:9" x14ac:dyDescent="0.2">
      <c r="A6891" s="2" t="s">
        <v>4621</v>
      </c>
      <c r="B6891" s="2" t="s">
        <v>6932</v>
      </c>
      <c r="C6891" s="2">
        <v>657.94420000000002</v>
      </c>
      <c r="D6891" s="2">
        <f>HYPERLINK("http://mcb-m6.bioreg.kyushu-u.ac.jp/M3/20110404/F50781/1517/1", 79.16)</f>
        <v>79.16</v>
      </c>
      <c r="E6891" s="2">
        <v>48.18</v>
      </c>
      <c r="F6891" s="2">
        <v>2</v>
      </c>
      <c r="G6891" s="2" t="s">
        <v>10</v>
      </c>
    </row>
    <row r="6892" spans="1:9" x14ac:dyDescent="0.2">
      <c r="A6892" s="2" t="s">
        <v>7775</v>
      </c>
      <c r="B6892" s="2" t="s">
        <v>6632</v>
      </c>
      <c r="C6892" s="2">
        <v>682.89120000000003</v>
      </c>
      <c r="D6892" s="2">
        <f>HYPERLINK("http://mcb-m6.bioreg.kyushu-u.ac.jp/M3/20110404/F50751/1912/1", 99.64)</f>
        <v>99.64</v>
      </c>
      <c r="E6892" s="2">
        <v>76.209999999999994</v>
      </c>
      <c r="F6892" s="2">
        <v>2</v>
      </c>
      <c r="G6892" s="2" t="s">
        <v>9</v>
      </c>
    </row>
    <row r="6893" spans="1:9" x14ac:dyDescent="0.2">
      <c r="A6893" s="2" t="s">
        <v>7855</v>
      </c>
      <c r="B6893" s="2" t="s">
        <v>6834</v>
      </c>
      <c r="C6893" s="2">
        <v>686.07420000000002</v>
      </c>
      <c r="D6893" s="2">
        <f>HYPERLINK("http://mcb-m6.bioreg.kyushu-u.ac.jp/M3/20110404/F50772/1647/1", 48.24)</f>
        <v>48.24</v>
      </c>
      <c r="E6893" s="2">
        <v>37.08</v>
      </c>
      <c r="F6893" s="2">
        <v>2</v>
      </c>
      <c r="G6893" s="2" t="s">
        <v>10</v>
      </c>
    </row>
    <row r="6894" spans="1:9" x14ac:dyDescent="0.2">
      <c r="A6894" s="2" t="s">
        <v>7740</v>
      </c>
      <c r="B6894" s="2" t="s">
        <v>6506</v>
      </c>
      <c r="C6894" s="2">
        <v>869.36069999999995</v>
      </c>
      <c r="D6894" s="2">
        <f>HYPERLINK("http://mcb-m6.bioreg.kyushu-u.ac.jp/M3/20110404/F50764/2323/1", 71.74)</f>
        <v>71.739999999999995</v>
      </c>
      <c r="E6894" s="2">
        <v>61.93</v>
      </c>
      <c r="F6894" s="2">
        <v>2</v>
      </c>
      <c r="G6894" s="2" t="s">
        <v>9</v>
      </c>
    </row>
    <row r="6895" spans="1:9" x14ac:dyDescent="0.2">
      <c r="A6895" s="2" t="s">
        <v>3302</v>
      </c>
      <c r="B6895" s="2" t="s">
        <v>83</v>
      </c>
      <c r="C6895" s="2">
        <v>670.90719999999999</v>
      </c>
      <c r="D6895" s="2">
        <f>HYPERLINK("http://mcb-m6.bioreg.kyushu-u.ac.jp/M3/20110404/F50763/1629/1", 39.98)</f>
        <v>39.979999999999997</v>
      </c>
      <c r="E6895" s="2">
        <v>16.79</v>
      </c>
      <c r="F6895" s="2">
        <v>2</v>
      </c>
      <c r="G6895" s="2" t="s">
        <v>9</v>
      </c>
      <c r="H6895" s="2" t="s">
        <v>4904</v>
      </c>
    </row>
    <row r="6896" spans="1:9" x14ac:dyDescent="0.2">
      <c r="A6896" s="2" t="s">
        <v>3302</v>
      </c>
      <c r="B6896" s="2" t="s">
        <v>83</v>
      </c>
      <c r="C6896" s="2">
        <v>679.40309999999999</v>
      </c>
      <c r="D6896" s="2">
        <f>HYPERLINK("http://mcb-m6.bioreg.kyushu-u.ac.jp/M3/20110404/F50761/1572/1", 38.98)</f>
        <v>38.979999999999997</v>
      </c>
      <c r="E6896" s="2">
        <v>8.17</v>
      </c>
      <c r="F6896" s="2">
        <v>2</v>
      </c>
      <c r="G6896" s="2" t="s">
        <v>10</v>
      </c>
    </row>
    <row r="6897" spans="1:8" x14ac:dyDescent="0.2">
      <c r="A6897" s="2" t="s">
        <v>3302</v>
      </c>
      <c r="B6897" s="2" t="s">
        <v>83</v>
      </c>
      <c r="C6897" s="2">
        <v>671.00620000000004</v>
      </c>
      <c r="D6897" s="2">
        <f>HYPERLINK("http://mcb-m6.bioreg.kyushu-u.ac.jp/M3/20110404/F50782/1427/1", 40.82)</f>
        <v>40.82</v>
      </c>
      <c r="E6897" s="2">
        <v>22.12</v>
      </c>
      <c r="F6897" s="2">
        <v>2</v>
      </c>
      <c r="G6897" s="2" t="s">
        <v>10</v>
      </c>
      <c r="H6897" s="2" t="s">
        <v>4904</v>
      </c>
    </row>
    <row r="6898" spans="1:8" x14ac:dyDescent="0.2">
      <c r="A6898" s="2" t="s">
        <v>3302</v>
      </c>
      <c r="B6898" s="2" t="s">
        <v>1107</v>
      </c>
      <c r="C6898" s="2">
        <v>601.79719999999998</v>
      </c>
      <c r="D6898" s="2">
        <f>HYPERLINK("http://mcb-m6.bioreg.kyushu-u.ac.jp/M3/20110404/F50761/1328/1", 76.81)</f>
        <v>76.81</v>
      </c>
      <c r="E6898" s="2">
        <v>53.27</v>
      </c>
      <c r="F6898" s="2">
        <v>2</v>
      </c>
      <c r="G6898" s="2" t="s">
        <v>10</v>
      </c>
    </row>
    <row r="6899" spans="1:8" x14ac:dyDescent="0.2">
      <c r="A6899" s="2" t="s">
        <v>3302</v>
      </c>
      <c r="B6899" s="2" t="s">
        <v>83</v>
      </c>
      <c r="C6899" s="2">
        <v>670.81960000000004</v>
      </c>
      <c r="D6899" s="2">
        <f>HYPERLINK("http://mcb-m6.bioreg.kyushu-u.ac.jp/M3/20110421/F51020/1679/1", 42.31)</f>
        <v>42.31</v>
      </c>
      <c r="E6899" s="2">
        <v>22.14</v>
      </c>
      <c r="F6899" s="2">
        <v>2</v>
      </c>
      <c r="G6899" s="2" t="s">
        <v>11</v>
      </c>
      <c r="H6899" s="2" t="s">
        <v>4904</v>
      </c>
    </row>
    <row r="6900" spans="1:8" x14ac:dyDescent="0.2">
      <c r="A6900" s="2" t="s">
        <v>3302</v>
      </c>
      <c r="B6900" s="2" t="s">
        <v>83</v>
      </c>
      <c r="C6900" s="2">
        <v>670.90769999999998</v>
      </c>
      <c r="D6900" s="2">
        <f>HYPERLINK("http://mcb-m6.bioreg.kyushu-u.ac.jp/M3/20110421/F51035/1541/1", 46.62)</f>
        <v>46.62</v>
      </c>
      <c r="E6900" s="2">
        <v>23.58</v>
      </c>
      <c r="F6900" s="2">
        <v>2</v>
      </c>
      <c r="G6900" s="2" t="s">
        <v>11</v>
      </c>
      <c r="H6900" s="2" t="s">
        <v>4904</v>
      </c>
    </row>
    <row r="6901" spans="1:8" x14ac:dyDescent="0.2">
      <c r="A6901" s="2" t="s">
        <v>3302</v>
      </c>
      <c r="B6901" s="2" t="s">
        <v>1107</v>
      </c>
      <c r="C6901" s="2">
        <v>601.88959999999997</v>
      </c>
      <c r="D6901" s="2">
        <f>HYPERLINK("http://mcb-m6.bioreg.kyushu-u.ac.jp/M3/20110421/F51034/1340/1", 83.8)</f>
        <v>83.8</v>
      </c>
      <c r="E6901" s="2">
        <v>59.35</v>
      </c>
      <c r="F6901" s="2">
        <v>2</v>
      </c>
      <c r="G6901" s="2" t="s">
        <v>11</v>
      </c>
    </row>
    <row r="6902" spans="1:8" x14ac:dyDescent="0.2">
      <c r="A6902" s="2" t="s">
        <v>3302</v>
      </c>
      <c r="B6902" s="2" t="s">
        <v>83</v>
      </c>
      <c r="C6902" s="2">
        <v>671.05870000000004</v>
      </c>
      <c r="D6902" s="2">
        <f>HYPERLINK("http://mcb-m6.bioreg.kyushu-u.ac.jp/M3/20110421/F51043/1657/1", 36.18)</f>
        <v>36.18</v>
      </c>
      <c r="E6902" s="2">
        <v>16.73</v>
      </c>
      <c r="F6902" s="2">
        <v>2</v>
      </c>
      <c r="G6902" s="2" t="s">
        <v>12</v>
      </c>
      <c r="H6902" s="2" t="s">
        <v>4904</v>
      </c>
    </row>
    <row r="6903" spans="1:8" x14ac:dyDescent="0.2">
      <c r="A6903" s="2" t="s">
        <v>3302</v>
      </c>
      <c r="B6903" s="2" t="s">
        <v>83</v>
      </c>
      <c r="C6903" s="2">
        <v>670.78219999999999</v>
      </c>
      <c r="D6903" s="2">
        <f>HYPERLINK("http://mcb-m6.bioreg.kyushu-u.ac.jp/M3/20110421/F51021/1633/1", 40.22)</f>
        <v>40.22</v>
      </c>
      <c r="E6903" s="2">
        <v>18.88</v>
      </c>
      <c r="F6903" s="2">
        <v>2</v>
      </c>
      <c r="G6903" s="2" t="s">
        <v>12</v>
      </c>
      <c r="H6903" s="2" t="s">
        <v>4904</v>
      </c>
    </row>
    <row r="6904" spans="1:8" x14ac:dyDescent="0.2">
      <c r="A6904" s="2" t="s">
        <v>3302</v>
      </c>
      <c r="B6904" s="2" t="s">
        <v>83</v>
      </c>
      <c r="C6904" s="2">
        <v>670.88509999999997</v>
      </c>
      <c r="D6904" s="2">
        <f>HYPERLINK("http://mcb-m6.bioreg.kyushu-u.ac.jp/M3/20110421/F51044/1599/1", 40.75)</f>
        <v>40.75</v>
      </c>
      <c r="E6904" s="2">
        <v>21.24</v>
      </c>
      <c r="F6904" s="2">
        <v>2</v>
      </c>
      <c r="G6904" s="2" t="s">
        <v>12</v>
      </c>
      <c r="H6904" s="2" t="s">
        <v>4904</v>
      </c>
    </row>
    <row r="6905" spans="1:8" x14ac:dyDescent="0.2">
      <c r="A6905" s="2" t="s">
        <v>3302</v>
      </c>
      <c r="B6905" s="2" t="s">
        <v>83</v>
      </c>
      <c r="C6905" s="2">
        <v>670.92859999999996</v>
      </c>
      <c r="D6905" s="2">
        <f>HYPERLINK("http://mcb-m6.bioreg.kyushu-u.ac.jp/M3/20110421/F51061/1553/1", 48.86)</f>
        <v>48.86</v>
      </c>
      <c r="E6905" s="2">
        <v>26.93</v>
      </c>
      <c r="F6905" s="2">
        <v>2</v>
      </c>
      <c r="G6905" s="2" t="s">
        <v>12</v>
      </c>
      <c r="H6905" s="2" t="s">
        <v>4904</v>
      </c>
    </row>
    <row r="6906" spans="1:8" x14ac:dyDescent="0.2">
      <c r="A6906" s="2" t="s">
        <v>3302</v>
      </c>
      <c r="B6906" s="2" t="s">
        <v>1107</v>
      </c>
      <c r="C6906" s="2">
        <v>601.49570000000006</v>
      </c>
      <c r="D6906" s="2">
        <f>HYPERLINK("http://mcb-m6.bioreg.kyushu-u.ac.jp/M3/20110421/F51043/1387/1", 62.55)</f>
        <v>62.55</v>
      </c>
      <c r="E6906" s="2">
        <v>32.020000000000003</v>
      </c>
      <c r="F6906" s="2">
        <v>2</v>
      </c>
      <c r="G6906" s="2" t="s">
        <v>12</v>
      </c>
    </row>
    <row r="6907" spans="1:8" x14ac:dyDescent="0.2">
      <c r="A6907" s="2" t="s">
        <v>3302</v>
      </c>
      <c r="B6907" s="2" t="s">
        <v>1107</v>
      </c>
      <c r="C6907" s="2">
        <v>601.08759999999995</v>
      </c>
      <c r="D6907" s="2">
        <f>HYPERLINK("http://mcb-m6.bioreg.kyushu-u.ac.jp/M3/20110421/F51021/1332/1", 65.72)</f>
        <v>65.72</v>
      </c>
      <c r="E6907" s="2">
        <v>40.79</v>
      </c>
      <c r="F6907" s="2">
        <v>2</v>
      </c>
      <c r="G6907" s="2" t="s">
        <v>12</v>
      </c>
    </row>
    <row r="6908" spans="1:8" x14ac:dyDescent="0.2">
      <c r="A6908" s="2" t="s">
        <v>3302</v>
      </c>
      <c r="B6908" s="2" t="s">
        <v>1107</v>
      </c>
      <c r="C6908" s="2">
        <v>601.84010000000001</v>
      </c>
      <c r="D6908" s="2">
        <f>HYPERLINK("http://mcb-m6.bioreg.kyushu-u.ac.jp/M3/20110421/F51044/1338/1", 67.43)</f>
        <v>67.430000000000007</v>
      </c>
      <c r="E6908" s="2">
        <v>42.33</v>
      </c>
      <c r="F6908" s="2">
        <v>2</v>
      </c>
      <c r="G6908" s="2" t="s">
        <v>12</v>
      </c>
    </row>
    <row r="6909" spans="1:8" x14ac:dyDescent="0.2">
      <c r="A6909" s="2" t="s">
        <v>3302</v>
      </c>
      <c r="B6909" s="2" t="s">
        <v>83</v>
      </c>
      <c r="C6909" s="2">
        <v>671.27919999999995</v>
      </c>
      <c r="D6909" s="2">
        <f>HYPERLINK("http://mcb-m6.bioreg.kyushu-u.ac.jp/M3/20110427/F51109/1877/1", 35.86)</f>
        <v>35.86</v>
      </c>
      <c r="E6909" s="2">
        <v>10.61</v>
      </c>
      <c r="F6909" s="2">
        <v>2</v>
      </c>
      <c r="G6909" s="2" t="s">
        <v>13</v>
      </c>
      <c r="H6909" s="2" t="s">
        <v>4904</v>
      </c>
    </row>
    <row r="6910" spans="1:8" x14ac:dyDescent="0.2">
      <c r="A6910" s="2" t="s">
        <v>3302</v>
      </c>
      <c r="B6910" s="2" t="s">
        <v>83</v>
      </c>
      <c r="C6910" s="2">
        <v>671.18870000000004</v>
      </c>
      <c r="D6910" s="2">
        <f>HYPERLINK("http://mcb-m6.bioreg.kyushu-u.ac.jp/M3/20110427/F51112/1734/1", 36.19)</f>
        <v>36.19</v>
      </c>
      <c r="E6910" s="2">
        <v>15.18</v>
      </c>
      <c r="F6910" s="2">
        <v>2</v>
      </c>
      <c r="G6910" s="2" t="s">
        <v>13</v>
      </c>
      <c r="H6910" s="2" t="s">
        <v>4904</v>
      </c>
    </row>
    <row r="6911" spans="1:8" x14ac:dyDescent="0.2">
      <c r="A6911" s="2" t="s">
        <v>3302</v>
      </c>
      <c r="B6911" s="2" t="s">
        <v>83</v>
      </c>
      <c r="C6911" s="2">
        <v>670.73170000000005</v>
      </c>
      <c r="D6911" s="2">
        <f>HYPERLINK("http://mcb-m6.bioreg.kyushu-u.ac.jp/M3/20110427/F51115/1646/1", 38.09)</f>
        <v>38.090000000000003</v>
      </c>
      <c r="E6911" s="2">
        <v>23.32</v>
      </c>
      <c r="F6911" s="2">
        <v>2</v>
      </c>
      <c r="G6911" s="2" t="s">
        <v>13</v>
      </c>
      <c r="H6911" s="2" t="s">
        <v>4904</v>
      </c>
    </row>
    <row r="6912" spans="1:8" x14ac:dyDescent="0.2">
      <c r="A6912" s="2" t="s">
        <v>3302</v>
      </c>
      <c r="B6912" s="2" t="s">
        <v>83</v>
      </c>
      <c r="C6912" s="2">
        <v>670.74720000000002</v>
      </c>
      <c r="D6912" s="2">
        <f>HYPERLINK("http://mcb-m6.bioreg.kyushu-u.ac.jp/M3/20110427/F51117/1626/1", 39.32)</f>
        <v>39.32</v>
      </c>
      <c r="E6912" s="2">
        <v>24.19</v>
      </c>
      <c r="F6912" s="2">
        <v>2</v>
      </c>
      <c r="G6912" s="2" t="s">
        <v>13</v>
      </c>
      <c r="H6912" s="2" t="s">
        <v>4904</v>
      </c>
    </row>
    <row r="6913" spans="1:9" x14ac:dyDescent="0.2">
      <c r="A6913" s="2" t="s">
        <v>3302</v>
      </c>
      <c r="B6913" s="2" t="s">
        <v>83</v>
      </c>
      <c r="C6913" s="2">
        <v>679.33219999999994</v>
      </c>
      <c r="D6913" s="2">
        <f>HYPERLINK("http://mcb-m6.bioreg.kyushu-u.ac.jp/M3/20110427/F51114/1713/1", 39.39)</f>
        <v>39.39</v>
      </c>
      <c r="E6913" s="2">
        <v>18.350000000000001</v>
      </c>
      <c r="F6913" s="2">
        <v>2</v>
      </c>
      <c r="G6913" s="2" t="s">
        <v>13</v>
      </c>
    </row>
    <row r="6914" spans="1:9" x14ac:dyDescent="0.2">
      <c r="A6914" s="2" t="s">
        <v>3302</v>
      </c>
      <c r="B6914" s="2" t="s">
        <v>83</v>
      </c>
      <c r="C6914" s="2">
        <v>670.74069999999995</v>
      </c>
      <c r="D6914" s="2">
        <f>HYPERLINK("http://mcb-m6.bioreg.kyushu-u.ac.jp/M3/20110427/F51108/1761/1", 40.93)</f>
        <v>40.93</v>
      </c>
      <c r="E6914" s="2">
        <v>12.35</v>
      </c>
      <c r="F6914" s="2">
        <v>2</v>
      </c>
      <c r="G6914" s="2" t="s">
        <v>13</v>
      </c>
      <c r="H6914" s="2" t="s">
        <v>4904</v>
      </c>
    </row>
    <row r="6915" spans="1:9" x14ac:dyDescent="0.2">
      <c r="A6915" s="2" t="s">
        <v>3302</v>
      </c>
      <c r="B6915" s="2" t="s">
        <v>83</v>
      </c>
      <c r="C6915" s="2">
        <v>670.82759999999996</v>
      </c>
      <c r="D6915" s="2">
        <f>HYPERLINK("http://mcb-m6.bioreg.kyushu-u.ac.jp/M3/20110427/F51116/1670/1", 43.85)</f>
        <v>43.85</v>
      </c>
      <c r="E6915" s="2">
        <v>26.12</v>
      </c>
      <c r="F6915" s="2">
        <v>2</v>
      </c>
      <c r="G6915" s="2" t="s">
        <v>13</v>
      </c>
      <c r="H6915" s="2" t="s">
        <v>4904</v>
      </c>
    </row>
    <row r="6916" spans="1:9" x14ac:dyDescent="0.2">
      <c r="A6916" s="2" t="s">
        <v>3302</v>
      </c>
      <c r="B6916" s="2" t="s">
        <v>83</v>
      </c>
      <c r="C6916" s="2">
        <v>670.44209999999998</v>
      </c>
      <c r="D6916" s="2">
        <f>HYPERLINK("http://mcb-m6.bioreg.kyushu-u.ac.jp/M3/20110428/F51126/1773/1", 36.71)</f>
        <v>36.71</v>
      </c>
      <c r="E6916" s="2">
        <v>19.18</v>
      </c>
      <c r="F6916" s="2">
        <v>2</v>
      </c>
      <c r="G6916" s="2" t="s">
        <v>14</v>
      </c>
      <c r="H6916" s="2" t="s">
        <v>4904</v>
      </c>
    </row>
    <row r="6917" spans="1:9" x14ac:dyDescent="0.2">
      <c r="A6917" s="2" t="s">
        <v>3302</v>
      </c>
      <c r="B6917" s="2" t="s">
        <v>83</v>
      </c>
      <c r="C6917" s="2">
        <v>670.83119999999997</v>
      </c>
      <c r="D6917" s="2">
        <f>HYPERLINK("http://mcb-m6.bioreg.kyushu-u.ac.jp/M3/20110427/F51120/1821/1", 37.94)</f>
        <v>37.94</v>
      </c>
      <c r="E6917" s="2">
        <v>18.100000000000001</v>
      </c>
      <c r="F6917" s="2">
        <v>2</v>
      </c>
      <c r="G6917" s="2" t="s">
        <v>14</v>
      </c>
      <c r="H6917" s="2" t="s">
        <v>4904</v>
      </c>
    </row>
    <row r="6918" spans="1:9" x14ac:dyDescent="0.2">
      <c r="A6918" s="2" t="s">
        <v>3302</v>
      </c>
      <c r="B6918" s="2" t="s">
        <v>83</v>
      </c>
      <c r="C6918" s="2">
        <v>671.25670000000002</v>
      </c>
      <c r="D6918" s="2">
        <f>HYPERLINK("http://mcb-m6.bioreg.kyushu-u.ac.jp/M3/20110427/F51123/1688/1", 38.67)</f>
        <v>38.67</v>
      </c>
      <c r="E6918" s="2">
        <v>15.8</v>
      </c>
      <c r="F6918" s="2">
        <v>2</v>
      </c>
      <c r="G6918" s="2" t="s">
        <v>14</v>
      </c>
      <c r="H6918" s="2" t="s">
        <v>4904</v>
      </c>
    </row>
    <row r="6919" spans="1:9" x14ac:dyDescent="0.2">
      <c r="A6919" s="2" t="s">
        <v>3302</v>
      </c>
      <c r="B6919" s="2" t="s">
        <v>83</v>
      </c>
      <c r="C6919" s="2">
        <v>671.23910000000001</v>
      </c>
      <c r="D6919" s="2">
        <f>HYPERLINK("http://mcb-m6.bioreg.kyushu-u.ac.jp/M3/20110427/F51122/1854/1", 41.57)</f>
        <v>41.57</v>
      </c>
      <c r="E6919" s="2">
        <v>24.02</v>
      </c>
      <c r="F6919" s="2">
        <v>2</v>
      </c>
      <c r="G6919" s="2" t="s">
        <v>14</v>
      </c>
      <c r="H6919" s="2" t="s">
        <v>4904</v>
      </c>
    </row>
    <row r="6920" spans="1:9" x14ac:dyDescent="0.2">
      <c r="A6920" s="2" t="s">
        <v>3302</v>
      </c>
      <c r="B6920" s="2" t="s">
        <v>83</v>
      </c>
      <c r="C6920" s="2">
        <v>671.27760000000001</v>
      </c>
      <c r="D6920" s="2">
        <f>HYPERLINK("http://mcb-m6.bioreg.kyushu-u.ac.jp/M3/20110427/F51124/1698/1", 43.28)</f>
        <v>43.28</v>
      </c>
      <c r="E6920" s="2">
        <v>14.51</v>
      </c>
      <c r="F6920" s="2">
        <v>2</v>
      </c>
      <c r="G6920" s="2" t="s">
        <v>14</v>
      </c>
      <c r="H6920" s="2" t="s">
        <v>4904</v>
      </c>
    </row>
    <row r="6921" spans="1:9" x14ac:dyDescent="0.2">
      <c r="A6921" s="2" t="s">
        <v>7829</v>
      </c>
      <c r="B6921" s="2" t="s">
        <v>6777</v>
      </c>
      <c r="C6921" s="2">
        <v>599.83370000000002</v>
      </c>
      <c r="D6921" s="2">
        <f>HYPERLINK("http://mcb-m6.bioreg.kyushu-u.ac.jp/M3/20110404/F50774/1357/1", 41.78)</f>
        <v>41.78</v>
      </c>
      <c r="E6921" s="2">
        <v>21.58</v>
      </c>
      <c r="F6921" s="2">
        <v>2</v>
      </c>
      <c r="G6921" s="2" t="s">
        <v>10</v>
      </c>
      <c r="I6921" s="2" t="s">
        <v>4903</v>
      </c>
    </row>
    <row r="6922" spans="1:9" x14ac:dyDescent="0.2">
      <c r="A6922" s="2" t="s">
        <v>7829</v>
      </c>
      <c r="B6922" s="2" t="s">
        <v>7223</v>
      </c>
      <c r="C6922" s="2">
        <v>529.12959999999998</v>
      </c>
      <c r="D6922" s="2">
        <f>HYPERLINK("http://mcb-m6.bioreg.kyushu-u.ac.jp/M3/20110421/F51047/1130/1", 50.3)</f>
        <v>50.3</v>
      </c>
      <c r="E6922" s="2">
        <v>20.66</v>
      </c>
      <c r="F6922" s="2">
        <v>2</v>
      </c>
      <c r="G6922" s="2" t="s">
        <v>12</v>
      </c>
      <c r="I6922" s="2" t="s">
        <v>4892</v>
      </c>
    </row>
    <row r="6923" spans="1:9" x14ac:dyDescent="0.2">
      <c r="A6923" s="2" t="s">
        <v>7829</v>
      </c>
      <c r="B6923" s="2" t="s">
        <v>7482</v>
      </c>
      <c r="C6923" s="2">
        <v>579.17610000000002</v>
      </c>
      <c r="D6923" s="2">
        <f>HYPERLINK("http://mcb-m6.bioreg.kyushu-u.ac.jp/M3/20110428/F51129/1326/1", 41.62)</f>
        <v>41.62</v>
      </c>
      <c r="E6923" s="2">
        <v>24.49</v>
      </c>
      <c r="F6923" s="2">
        <v>2</v>
      </c>
      <c r="G6923" s="2" t="s">
        <v>14</v>
      </c>
      <c r="I6923" s="2" t="s">
        <v>4892</v>
      </c>
    </row>
    <row r="6924" spans="1:9" x14ac:dyDescent="0.2">
      <c r="A6924" s="2" t="s">
        <v>7772</v>
      </c>
      <c r="B6924" s="2" t="s">
        <v>6623</v>
      </c>
      <c r="C6924" s="2">
        <v>897.70320000000004</v>
      </c>
      <c r="D6924" s="2">
        <f>HYPERLINK("http://mcb-m6.bioreg.kyushu-u.ac.jp/M3/20110404/F50766/2448/1", 97.08)</f>
        <v>97.08</v>
      </c>
      <c r="E6924" s="2">
        <v>74.67</v>
      </c>
      <c r="F6924" s="2">
        <v>2</v>
      </c>
      <c r="G6924" s="2" t="s">
        <v>9</v>
      </c>
    </row>
    <row r="6925" spans="1:9" x14ac:dyDescent="0.2">
      <c r="A6925" s="2" t="s">
        <v>3419</v>
      </c>
      <c r="B6925" s="2" t="s">
        <v>1316</v>
      </c>
      <c r="C6925" s="2">
        <v>1137.335</v>
      </c>
      <c r="D6925" s="2">
        <f>HYPERLINK("http://mcb-m6.bioreg.kyushu-u.ac.jp/M3/20110404/F50756/1217/1", 41.69)</f>
        <v>41.69</v>
      </c>
      <c r="E6925" s="2">
        <v>28.61</v>
      </c>
      <c r="F6925" s="2">
        <v>1</v>
      </c>
      <c r="G6925" s="2" t="s">
        <v>9</v>
      </c>
    </row>
    <row r="6926" spans="1:9" x14ac:dyDescent="0.2">
      <c r="A6926" s="2" t="s">
        <v>3419</v>
      </c>
      <c r="B6926" s="2" t="s">
        <v>1931</v>
      </c>
      <c r="C6926" s="2">
        <v>605.28309999999999</v>
      </c>
      <c r="D6926" s="2">
        <f>HYPERLINK("http://mcb-m6.bioreg.kyushu-u.ac.jp/M3/20110404/F50756/1371/1", 42.94)</f>
        <v>42.94</v>
      </c>
      <c r="E6926" s="2">
        <v>10.39</v>
      </c>
      <c r="F6926" s="2">
        <v>2</v>
      </c>
      <c r="G6926" s="2" t="s">
        <v>9</v>
      </c>
      <c r="H6926" s="2" t="s">
        <v>4915</v>
      </c>
    </row>
    <row r="6927" spans="1:9" x14ac:dyDescent="0.2">
      <c r="A6927" s="2" t="s">
        <v>3419</v>
      </c>
      <c r="B6927" s="2" t="s">
        <v>1931</v>
      </c>
      <c r="C6927" s="2">
        <v>597.2097</v>
      </c>
      <c r="D6927" s="2">
        <f>HYPERLINK("http://mcb-m6.bioreg.kyushu-u.ac.jp/M3/20110404/F50756/1340/1", 44.25)</f>
        <v>44.25</v>
      </c>
      <c r="E6927" s="2">
        <v>24.02</v>
      </c>
      <c r="F6927" s="2">
        <v>2</v>
      </c>
      <c r="G6927" s="2" t="s">
        <v>9</v>
      </c>
    </row>
    <row r="6928" spans="1:9" x14ac:dyDescent="0.2">
      <c r="A6928" s="2" t="s">
        <v>3419</v>
      </c>
      <c r="B6928" s="2" t="s">
        <v>1886</v>
      </c>
      <c r="C6928" s="2">
        <v>931.82709999999997</v>
      </c>
      <c r="D6928" s="2">
        <f>HYPERLINK("http://mcb-m6.bioreg.kyushu-u.ac.jp/M3/20110404/F50756/2835/1", 46.47)</f>
        <v>46.47</v>
      </c>
      <c r="E6928" s="2">
        <v>28.63</v>
      </c>
      <c r="F6928" s="2">
        <v>2</v>
      </c>
      <c r="G6928" s="2" t="s">
        <v>9</v>
      </c>
    </row>
    <row r="6929" spans="1:9" x14ac:dyDescent="0.2">
      <c r="A6929" s="2" t="s">
        <v>3419</v>
      </c>
      <c r="B6929" s="2" t="s">
        <v>221</v>
      </c>
      <c r="C6929" s="2">
        <v>465.10509999999999</v>
      </c>
      <c r="D6929" s="2">
        <f>HYPERLINK("http://mcb-m6.bioreg.kyushu-u.ac.jp/M3/20110404/F50756/883/1", 52.1)</f>
        <v>52.1</v>
      </c>
      <c r="E6929" s="2">
        <v>24.17</v>
      </c>
      <c r="F6929" s="2">
        <v>2</v>
      </c>
      <c r="G6929" s="2" t="s">
        <v>9</v>
      </c>
      <c r="I6929" s="2" t="s">
        <v>4903</v>
      </c>
    </row>
    <row r="6930" spans="1:9" x14ac:dyDescent="0.2">
      <c r="A6930" s="2" t="s">
        <v>3419</v>
      </c>
      <c r="B6930" s="2" t="s">
        <v>6549</v>
      </c>
      <c r="C6930" s="2">
        <v>813.26170000000002</v>
      </c>
      <c r="D6930" s="2">
        <f>HYPERLINK("http://mcb-m6.bioreg.kyushu-u.ac.jp/M3/20110404/F50756/2308/1", 78.8)</f>
        <v>78.8</v>
      </c>
      <c r="E6930" s="2">
        <v>55</v>
      </c>
      <c r="F6930" s="2">
        <v>2</v>
      </c>
      <c r="G6930" s="2" t="s">
        <v>9</v>
      </c>
    </row>
    <row r="6931" spans="1:9" x14ac:dyDescent="0.2">
      <c r="A6931" s="2" t="s">
        <v>3419</v>
      </c>
      <c r="B6931" s="2" t="s">
        <v>1538</v>
      </c>
      <c r="C6931" s="2">
        <v>669.46119999999996</v>
      </c>
      <c r="D6931" s="2">
        <f>HYPERLINK("http://mcb-m6.bioreg.kyushu-u.ac.jp/M3/20110404/F50756/1600/1", 86.68)</f>
        <v>86.68</v>
      </c>
      <c r="E6931" s="2">
        <v>67.44</v>
      </c>
      <c r="F6931" s="2">
        <v>2</v>
      </c>
      <c r="G6931" s="2" t="s">
        <v>9</v>
      </c>
      <c r="I6931" s="2" t="s">
        <v>4902</v>
      </c>
    </row>
    <row r="6932" spans="1:9" x14ac:dyDescent="0.2">
      <c r="A6932" s="2" t="s">
        <v>3419</v>
      </c>
      <c r="B6932" s="2" t="s">
        <v>221</v>
      </c>
      <c r="C6932" s="2">
        <v>465.1651</v>
      </c>
      <c r="D6932" s="2">
        <f>HYPERLINK("http://mcb-m6.bioreg.kyushu-u.ac.jp/M3/20110404/F50761/869/1", 46.17)</f>
        <v>46.17</v>
      </c>
      <c r="E6932" s="2">
        <v>21.71</v>
      </c>
      <c r="F6932" s="2">
        <v>2</v>
      </c>
      <c r="G6932" s="2" t="s">
        <v>10</v>
      </c>
      <c r="I6932" s="2" t="s">
        <v>4903</v>
      </c>
    </row>
    <row r="6933" spans="1:9" x14ac:dyDescent="0.2">
      <c r="A6933" s="2" t="s">
        <v>3419</v>
      </c>
      <c r="B6933" s="2" t="s">
        <v>1931</v>
      </c>
      <c r="C6933" s="2">
        <v>597.30970000000002</v>
      </c>
      <c r="D6933" s="2">
        <f>HYPERLINK("http://mcb-m6.bioreg.kyushu-u.ac.jp/M3/20110404/F50761/1303/1", 48.21)</f>
        <v>48.21</v>
      </c>
      <c r="E6933" s="2">
        <v>23.24</v>
      </c>
      <c r="F6933" s="2">
        <v>2</v>
      </c>
      <c r="G6933" s="2" t="s">
        <v>10</v>
      </c>
    </row>
    <row r="6934" spans="1:9" x14ac:dyDescent="0.2">
      <c r="A6934" s="2" t="s">
        <v>3419</v>
      </c>
      <c r="B6934" s="2" t="s">
        <v>5017</v>
      </c>
      <c r="C6934" s="2">
        <v>881.0865</v>
      </c>
      <c r="D6934" s="2">
        <f>HYPERLINK("http://mcb-m6.bioreg.kyushu-u.ac.jp/M3/20110404/F50761/3563/1", 51.56)</f>
        <v>51.56</v>
      </c>
      <c r="E6934" s="2">
        <v>41.39</v>
      </c>
      <c r="F6934" s="2">
        <v>3</v>
      </c>
      <c r="G6934" s="2" t="s">
        <v>10</v>
      </c>
    </row>
    <row r="6935" spans="1:9" x14ac:dyDescent="0.2">
      <c r="A6935" s="2" t="s">
        <v>3419</v>
      </c>
      <c r="B6935" s="2" t="s">
        <v>1316</v>
      </c>
      <c r="C6935" s="2">
        <v>569.21669999999995</v>
      </c>
      <c r="D6935" s="2">
        <f>HYPERLINK("http://mcb-m6.bioreg.kyushu-u.ac.jp/M3/20110421/F51034/1190/1", 66.53)</f>
        <v>66.53</v>
      </c>
      <c r="E6935" s="2">
        <v>50.29</v>
      </c>
      <c r="F6935" s="2">
        <v>2</v>
      </c>
      <c r="G6935" s="2" t="s">
        <v>11</v>
      </c>
    </row>
    <row r="6936" spans="1:9" x14ac:dyDescent="0.2">
      <c r="A6936" s="2" t="s">
        <v>3419</v>
      </c>
      <c r="B6936" s="2" t="s">
        <v>1886</v>
      </c>
      <c r="C6936" s="2">
        <v>932.19460000000004</v>
      </c>
      <c r="D6936" s="2">
        <f>HYPERLINK("http://mcb-m6.bioreg.kyushu-u.ac.jp/M3/20110427/F51114/2997/1", 39.48)</f>
        <v>39.479999999999997</v>
      </c>
      <c r="E6936" s="2">
        <v>25.5</v>
      </c>
      <c r="F6936" s="2">
        <v>2</v>
      </c>
      <c r="G6936" s="2" t="s">
        <v>13</v>
      </c>
    </row>
    <row r="6937" spans="1:9" x14ac:dyDescent="0.2">
      <c r="A6937" s="2" t="s">
        <v>3419</v>
      </c>
      <c r="B6937" s="2" t="s">
        <v>221</v>
      </c>
      <c r="C6937" s="2">
        <v>465.55860000000001</v>
      </c>
      <c r="D6937" s="2">
        <f>HYPERLINK("http://mcb-m6.bioreg.kyushu-u.ac.jp/M3/20110427/F51114/786/1", 47.28)</f>
        <v>47.28</v>
      </c>
      <c r="E6937" s="2">
        <v>23.33</v>
      </c>
      <c r="F6937" s="2">
        <v>2</v>
      </c>
      <c r="G6937" s="2" t="s">
        <v>13</v>
      </c>
      <c r="I6937" s="2" t="s">
        <v>4903</v>
      </c>
    </row>
    <row r="6938" spans="1:9" x14ac:dyDescent="0.2">
      <c r="A6938" s="2" t="s">
        <v>3419</v>
      </c>
      <c r="B6938" s="2" t="s">
        <v>6549</v>
      </c>
      <c r="C6938" s="2">
        <v>813.26369999999997</v>
      </c>
      <c r="D6938" s="2">
        <f>HYPERLINK("http://mcb-m6.bioreg.kyushu-u.ac.jp/M3/20110427/F51114/2460/1", 51.11)</f>
        <v>51.11</v>
      </c>
      <c r="E6938" s="2">
        <v>26.51</v>
      </c>
      <c r="F6938" s="2">
        <v>2</v>
      </c>
      <c r="G6938" s="2" t="s">
        <v>13</v>
      </c>
    </row>
    <row r="6939" spans="1:9" x14ac:dyDescent="0.2">
      <c r="A6939" s="2" t="s">
        <v>3419</v>
      </c>
      <c r="B6939" s="2" t="s">
        <v>1931</v>
      </c>
      <c r="C6939" s="2">
        <v>597.12019999999995</v>
      </c>
      <c r="D6939" s="2">
        <f>HYPERLINK("http://mcb-m6.bioreg.kyushu-u.ac.jp/M3/20110427/F51114/1358/1", 54.74)</f>
        <v>54.74</v>
      </c>
      <c r="E6939" s="2">
        <v>34.799999999999997</v>
      </c>
      <c r="F6939" s="2">
        <v>2</v>
      </c>
      <c r="G6939" s="2" t="s">
        <v>13</v>
      </c>
    </row>
    <row r="6940" spans="1:9" x14ac:dyDescent="0.2">
      <c r="A6940" s="2" t="s">
        <v>3419</v>
      </c>
      <c r="B6940" s="2" t="s">
        <v>1316</v>
      </c>
      <c r="C6940" s="2">
        <v>569.12660000000005</v>
      </c>
      <c r="D6940" s="2">
        <f>HYPERLINK("http://mcb-m6.bioreg.kyushu-u.ac.jp/M3/20110427/F51114/1227/1", 69.52)</f>
        <v>69.52</v>
      </c>
      <c r="E6940" s="2">
        <v>52.07</v>
      </c>
      <c r="F6940" s="2">
        <v>2</v>
      </c>
      <c r="G6940" s="2" t="s">
        <v>13</v>
      </c>
    </row>
    <row r="6941" spans="1:9" x14ac:dyDescent="0.2">
      <c r="A6941" s="2" t="s">
        <v>3697</v>
      </c>
      <c r="B6941" s="2" t="s">
        <v>670</v>
      </c>
      <c r="C6941" s="2">
        <v>459.89359999999999</v>
      </c>
      <c r="D6941" s="2">
        <f>HYPERLINK("http://mcb-m6.bioreg.kyushu-u.ac.jp/M3/20110404/F50753/1077/1", 41.86)</f>
        <v>41.86</v>
      </c>
      <c r="E6941" s="2">
        <v>12.34</v>
      </c>
      <c r="F6941" s="2">
        <v>2</v>
      </c>
      <c r="G6941" s="2" t="s">
        <v>9</v>
      </c>
    </row>
    <row r="6942" spans="1:9" x14ac:dyDescent="0.2">
      <c r="A6942" s="2" t="s">
        <v>3697</v>
      </c>
      <c r="B6942" s="2" t="s">
        <v>6816</v>
      </c>
      <c r="C6942" s="2">
        <v>511.07510000000002</v>
      </c>
      <c r="D6942" s="2">
        <f>HYPERLINK("http://mcb-m6.bioreg.kyushu-u.ac.jp/M3/20110404/F50758/1240/1", 45.79)</f>
        <v>45.79</v>
      </c>
      <c r="E6942" s="2">
        <v>30.62</v>
      </c>
      <c r="F6942" s="2">
        <v>2</v>
      </c>
      <c r="G6942" s="2" t="s">
        <v>10</v>
      </c>
    </row>
    <row r="6943" spans="1:9" x14ac:dyDescent="0.2">
      <c r="A6943" s="2" t="s">
        <v>7664</v>
      </c>
      <c r="B6943" s="2" t="s">
        <v>6264</v>
      </c>
      <c r="C6943" s="2">
        <v>761.94420000000002</v>
      </c>
      <c r="D6943" s="2">
        <f>HYPERLINK("http://mcb-m6.bioreg.kyushu-u.ac.jp/M3/20110404/F50754/2184/1", 50.01)</f>
        <v>50.01</v>
      </c>
      <c r="E6943" s="2">
        <v>33.770000000000003</v>
      </c>
      <c r="F6943" s="2">
        <v>2</v>
      </c>
      <c r="G6943" s="2" t="s">
        <v>9</v>
      </c>
    </row>
    <row r="6944" spans="1:9" x14ac:dyDescent="0.2">
      <c r="A6944" s="2" t="s">
        <v>3466</v>
      </c>
      <c r="B6944" s="2" t="s">
        <v>961</v>
      </c>
      <c r="C6944" s="2">
        <v>949.65060000000005</v>
      </c>
      <c r="D6944" s="2">
        <f>HYPERLINK("http://mcb-m6.bioreg.kyushu-u.ac.jp/M3/20110404/F50762/2464/1", 75.46)</f>
        <v>75.459999999999994</v>
      </c>
      <c r="E6944" s="2">
        <v>65.31</v>
      </c>
      <c r="F6944" s="2">
        <v>2</v>
      </c>
      <c r="G6944" s="2" t="s">
        <v>9</v>
      </c>
      <c r="I6944" s="2" t="s">
        <v>4924</v>
      </c>
    </row>
    <row r="6945" spans="1:9" x14ac:dyDescent="0.2">
      <c r="A6945" s="2" t="s">
        <v>3466</v>
      </c>
      <c r="B6945" s="2" t="s">
        <v>961</v>
      </c>
      <c r="C6945" s="2">
        <v>949.99159999999995</v>
      </c>
      <c r="D6945" s="2">
        <f>HYPERLINK("http://mcb-m6.bioreg.kyushu-u.ac.jp/M3/20110421/F51043/2937/1", 72.78)</f>
        <v>72.78</v>
      </c>
      <c r="E6945" s="2">
        <v>0.25</v>
      </c>
      <c r="F6945" s="2">
        <v>2</v>
      </c>
      <c r="G6945" s="2" t="s">
        <v>12</v>
      </c>
      <c r="I6945" s="2" t="s">
        <v>4924</v>
      </c>
    </row>
    <row r="6946" spans="1:9" x14ac:dyDescent="0.2">
      <c r="A6946" s="2" t="s">
        <v>3466</v>
      </c>
      <c r="B6946" s="2" t="s">
        <v>961</v>
      </c>
      <c r="C6946" s="2">
        <v>949.30769999999995</v>
      </c>
      <c r="D6946" s="2">
        <f>HYPERLINK("http://mcb-m6.bioreg.kyushu-u.ac.jp/M3/20110427/F51114/3060/1", 60.63)</f>
        <v>60.63</v>
      </c>
      <c r="E6946" s="2">
        <v>49.18</v>
      </c>
      <c r="F6946" s="2">
        <v>2</v>
      </c>
      <c r="G6946" s="2" t="s">
        <v>13</v>
      </c>
      <c r="I6946" s="2" t="s">
        <v>4924</v>
      </c>
    </row>
    <row r="6947" spans="1:9" x14ac:dyDescent="0.2">
      <c r="A6947" s="2" t="s">
        <v>4075</v>
      </c>
      <c r="B6947" s="2" t="s">
        <v>1473</v>
      </c>
      <c r="C6947" s="2">
        <v>1108.4839999999999</v>
      </c>
      <c r="D6947" s="2">
        <f>HYPERLINK("http://mcb-m6.bioreg.kyushu-u.ac.jp/M3/20110404/F50776/2800/2", 49.49)</f>
        <v>49.49</v>
      </c>
      <c r="E6947" s="2">
        <v>34.729999999999997</v>
      </c>
      <c r="F6947" s="2">
        <v>2</v>
      </c>
      <c r="G6947" s="2" t="s">
        <v>9</v>
      </c>
    </row>
    <row r="6948" spans="1:9" x14ac:dyDescent="0.2">
      <c r="A6948" s="2" t="s">
        <v>4075</v>
      </c>
      <c r="B6948" s="2" t="s">
        <v>1473</v>
      </c>
      <c r="C6948" s="2">
        <v>1115.771</v>
      </c>
      <c r="D6948" s="2">
        <f>HYPERLINK("http://mcb-m6.bioreg.kyushu-u.ac.jp/M3/20110404/F50755/3294/2", 58.82)</f>
        <v>58.82</v>
      </c>
      <c r="E6948" s="2">
        <v>53.36</v>
      </c>
      <c r="F6948" s="2">
        <v>2</v>
      </c>
      <c r="G6948" s="2" t="s">
        <v>9</v>
      </c>
      <c r="H6948" s="2" t="s">
        <v>4907</v>
      </c>
    </row>
    <row r="6949" spans="1:9" x14ac:dyDescent="0.2">
      <c r="A6949" s="2" t="s">
        <v>4075</v>
      </c>
      <c r="B6949" s="2" t="s">
        <v>1473</v>
      </c>
      <c r="C6949" s="2">
        <v>1116.423</v>
      </c>
      <c r="D6949" s="2">
        <f>HYPERLINK("http://mcb-m6.bioreg.kyushu-u.ac.jp/M3/20110404/F50776/2825/2", 66.67)</f>
        <v>66.67</v>
      </c>
      <c r="E6949" s="2">
        <v>58.23</v>
      </c>
      <c r="F6949" s="2">
        <v>2</v>
      </c>
      <c r="G6949" s="2" t="s">
        <v>9</v>
      </c>
      <c r="H6949" s="2" t="s">
        <v>4907</v>
      </c>
    </row>
    <row r="6950" spans="1:9" x14ac:dyDescent="0.2">
      <c r="A6950" s="2" t="s">
        <v>4075</v>
      </c>
      <c r="B6950" s="2" t="s">
        <v>1473</v>
      </c>
      <c r="C6950" s="2">
        <v>1108.067</v>
      </c>
      <c r="D6950" s="2">
        <f>HYPERLINK("http://mcb-m6.bioreg.kyushu-u.ac.jp/M3/20110404/F50776/2797/2", 86.26)</f>
        <v>86.26</v>
      </c>
      <c r="E6950" s="2">
        <v>77.92</v>
      </c>
      <c r="F6950" s="2">
        <v>2</v>
      </c>
      <c r="G6950" s="2" t="s">
        <v>9</v>
      </c>
    </row>
    <row r="6951" spans="1:9" x14ac:dyDescent="0.2">
      <c r="A6951" s="2" t="s">
        <v>4075</v>
      </c>
      <c r="B6951" s="2" t="s">
        <v>1473</v>
      </c>
      <c r="C6951" s="2">
        <v>1116.338</v>
      </c>
      <c r="D6951" s="2">
        <f>HYPERLINK("http://mcb-m6.bioreg.kyushu-u.ac.jp/M3/20110404/F50751/2751/2", 97.86)</f>
        <v>97.86</v>
      </c>
      <c r="E6951" s="2">
        <v>90.42</v>
      </c>
      <c r="F6951" s="2">
        <v>2</v>
      </c>
      <c r="G6951" s="2" t="s">
        <v>9</v>
      </c>
      <c r="H6951" s="2" t="s">
        <v>4907</v>
      </c>
    </row>
    <row r="6952" spans="1:9" x14ac:dyDescent="0.2">
      <c r="A6952" s="2" t="s">
        <v>4075</v>
      </c>
      <c r="B6952" s="2" t="s">
        <v>1473</v>
      </c>
      <c r="C6952" s="2">
        <v>1116.2449999999999</v>
      </c>
      <c r="D6952" s="2">
        <f>HYPERLINK("http://mcb-m6.bioreg.kyushu-u.ac.jp/M3/20110404/F50754/3058/2", 100)</f>
        <v>100</v>
      </c>
      <c r="E6952" s="2">
        <v>92.49</v>
      </c>
      <c r="F6952" s="2">
        <v>2</v>
      </c>
      <c r="G6952" s="2" t="s">
        <v>9</v>
      </c>
      <c r="H6952" s="2" t="s">
        <v>4907</v>
      </c>
    </row>
    <row r="6953" spans="1:9" x14ac:dyDescent="0.2">
      <c r="A6953" s="2" t="s">
        <v>4075</v>
      </c>
      <c r="B6953" s="2" t="s">
        <v>1546</v>
      </c>
      <c r="C6953" s="2">
        <v>1180.001</v>
      </c>
      <c r="D6953" s="2">
        <f>HYPERLINK("http://mcb-m6.bioreg.kyushu-u.ac.jp/M3/20110404/F50776/2937/2", 117.83)</f>
        <v>117.83</v>
      </c>
      <c r="E6953" s="2">
        <v>109.74</v>
      </c>
      <c r="F6953" s="2">
        <v>2</v>
      </c>
      <c r="G6953" s="2" t="s">
        <v>9</v>
      </c>
      <c r="H6953" s="2" t="s">
        <v>4938</v>
      </c>
    </row>
    <row r="6954" spans="1:9" x14ac:dyDescent="0.2">
      <c r="A6954" s="2" t="s">
        <v>4075</v>
      </c>
      <c r="B6954" s="2" t="s">
        <v>1546</v>
      </c>
      <c r="C6954" s="2">
        <v>1172.056</v>
      </c>
      <c r="D6954" s="2">
        <f>HYPERLINK("http://mcb-m6.bioreg.kyushu-u.ac.jp/M3/20110404/F50776/2920/2", 122.27)</f>
        <v>122.27</v>
      </c>
      <c r="E6954" s="2">
        <v>111.28</v>
      </c>
      <c r="F6954" s="2">
        <v>2</v>
      </c>
      <c r="G6954" s="2" t="s">
        <v>9</v>
      </c>
    </row>
    <row r="6955" spans="1:9" x14ac:dyDescent="0.2">
      <c r="A6955" s="2" t="s">
        <v>4075</v>
      </c>
      <c r="B6955" s="2" t="s">
        <v>1473</v>
      </c>
      <c r="C6955" s="2">
        <v>1115.895</v>
      </c>
      <c r="D6955" s="2">
        <f>HYPERLINK("http://mcb-m6.bioreg.kyushu-u.ac.jp/M3/20110404/F50776/2823/2", 132.12)</f>
        <v>132.12</v>
      </c>
      <c r="E6955" s="2">
        <v>124.78</v>
      </c>
      <c r="F6955" s="2">
        <v>2</v>
      </c>
      <c r="G6955" s="2" t="s">
        <v>9</v>
      </c>
      <c r="H6955" s="2" t="s">
        <v>4907</v>
      </c>
    </row>
    <row r="6956" spans="1:9" x14ac:dyDescent="0.2">
      <c r="A6956" s="2" t="s">
        <v>4075</v>
      </c>
      <c r="B6956" s="2" t="s">
        <v>1546</v>
      </c>
      <c r="C6956" s="2">
        <v>782.05679999999995</v>
      </c>
      <c r="D6956" s="2">
        <f>HYPERLINK("http://mcb-m6.bioreg.kyushu-u.ac.jp/M3/20110404/F50782/3500/2", 55.61)</f>
        <v>55.61</v>
      </c>
      <c r="E6956" s="2">
        <v>44.13</v>
      </c>
      <c r="F6956" s="2">
        <v>3</v>
      </c>
      <c r="G6956" s="2" t="s">
        <v>10</v>
      </c>
    </row>
    <row r="6957" spans="1:9" x14ac:dyDescent="0.2">
      <c r="A6957" s="2" t="s">
        <v>4075</v>
      </c>
      <c r="B6957" s="2" t="s">
        <v>1546</v>
      </c>
      <c r="C6957" s="2">
        <v>787.12080000000003</v>
      </c>
      <c r="D6957" s="2">
        <f>HYPERLINK("http://mcb-m6.bioreg.kyushu-u.ac.jp/M3/20110404/F50781/2843/2", 80.3)</f>
        <v>80.3</v>
      </c>
      <c r="E6957" s="2">
        <v>63</v>
      </c>
      <c r="F6957" s="2">
        <v>3</v>
      </c>
      <c r="G6957" s="2" t="s">
        <v>10</v>
      </c>
      <c r="H6957" s="2" t="s">
        <v>4938</v>
      </c>
    </row>
    <row r="6958" spans="1:9" x14ac:dyDescent="0.2">
      <c r="A6958" s="2" t="s">
        <v>4075</v>
      </c>
      <c r="B6958" s="2" t="s">
        <v>1546</v>
      </c>
      <c r="C6958" s="2">
        <v>1180.587</v>
      </c>
      <c r="D6958" s="2">
        <f>HYPERLINK("http://mcb-m6.bioreg.kyushu-u.ac.jp/M3/20110404/F50781/2845/2", 91.52)</f>
        <v>91.52</v>
      </c>
      <c r="E6958" s="2">
        <v>77.709999999999994</v>
      </c>
      <c r="F6958" s="2">
        <v>2</v>
      </c>
      <c r="G6958" s="2" t="s">
        <v>10</v>
      </c>
      <c r="H6958" s="2" t="s">
        <v>4938</v>
      </c>
    </row>
    <row r="6959" spans="1:9" x14ac:dyDescent="0.2">
      <c r="A6959" s="2" t="s">
        <v>4075</v>
      </c>
      <c r="B6959" s="2" t="s">
        <v>1546</v>
      </c>
      <c r="C6959" s="2">
        <v>1172.6320000000001</v>
      </c>
      <c r="D6959" s="2">
        <f>HYPERLINK("http://mcb-m6.bioreg.kyushu-u.ac.jp/M3/20110404/F50781/2831/2", 103.58)</f>
        <v>103.58</v>
      </c>
      <c r="E6959" s="2">
        <v>87.06</v>
      </c>
      <c r="F6959" s="2">
        <v>2</v>
      </c>
      <c r="G6959" s="2" t="s">
        <v>10</v>
      </c>
    </row>
    <row r="6960" spans="1:9" x14ac:dyDescent="0.2">
      <c r="A6960" s="2" t="s">
        <v>4075</v>
      </c>
      <c r="B6960" s="2" t="s">
        <v>1546</v>
      </c>
      <c r="C6960" s="2">
        <v>1180.001</v>
      </c>
      <c r="D6960" s="2">
        <f>HYPERLINK("http://mcb-m6.bioreg.kyushu-u.ac.jp/M3/20110404/F50781/2842/2", 122.9)</f>
        <v>122.9</v>
      </c>
      <c r="E6960" s="2">
        <v>113.13</v>
      </c>
      <c r="F6960" s="2">
        <v>2</v>
      </c>
      <c r="G6960" s="2" t="s">
        <v>10</v>
      </c>
      <c r="H6960" s="2" t="s">
        <v>4938</v>
      </c>
    </row>
    <row r="6961" spans="1:8" x14ac:dyDescent="0.2">
      <c r="A6961" s="2" t="s">
        <v>4075</v>
      </c>
      <c r="B6961" s="2" t="s">
        <v>1473</v>
      </c>
      <c r="C6961" s="2">
        <v>1115.9090000000001</v>
      </c>
      <c r="D6961" s="2">
        <f>HYPERLINK("http://mcb-m6.bioreg.kyushu-u.ac.jp/M3/20110404/F50781/2757/2", 129.27)</f>
        <v>129.27000000000001</v>
      </c>
      <c r="E6961" s="2">
        <v>117.56</v>
      </c>
      <c r="F6961" s="2">
        <v>2</v>
      </c>
      <c r="G6961" s="2" t="s">
        <v>10</v>
      </c>
      <c r="H6961" s="2" t="s">
        <v>4907</v>
      </c>
    </row>
    <row r="6962" spans="1:8" x14ac:dyDescent="0.2">
      <c r="A6962" s="2" t="s">
        <v>4075</v>
      </c>
      <c r="B6962" s="2" t="s">
        <v>1473</v>
      </c>
      <c r="C6962" s="2">
        <v>1116.4179999999999</v>
      </c>
      <c r="D6962" s="2">
        <f>HYPERLINK("http://mcb-m6.bioreg.kyushu-u.ac.jp/M3/20110404/F50781/2759/2", 151.63)</f>
        <v>151.63</v>
      </c>
      <c r="E6962" s="2">
        <v>141.1</v>
      </c>
      <c r="F6962" s="2">
        <v>2</v>
      </c>
      <c r="G6962" s="2" t="s">
        <v>10</v>
      </c>
      <c r="H6962" s="2" t="s">
        <v>4907</v>
      </c>
    </row>
    <row r="6963" spans="1:8" x14ac:dyDescent="0.2">
      <c r="A6963" s="2" t="s">
        <v>4075</v>
      </c>
      <c r="B6963" s="2" t="s">
        <v>1473</v>
      </c>
      <c r="C6963" s="2">
        <v>1108.402</v>
      </c>
      <c r="D6963" s="2">
        <f>HYPERLINK("http://mcb-m6.bioreg.kyushu-u.ac.jp/M3/20110421/F51058/3209/2", 93.26)</f>
        <v>93.26</v>
      </c>
      <c r="E6963" s="2">
        <v>84.18</v>
      </c>
      <c r="F6963" s="2">
        <v>2</v>
      </c>
      <c r="G6963" s="2" t="s">
        <v>11</v>
      </c>
    </row>
    <row r="6964" spans="1:8" x14ac:dyDescent="0.2">
      <c r="A6964" s="2" t="s">
        <v>4075</v>
      </c>
      <c r="B6964" s="2" t="s">
        <v>1473</v>
      </c>
      <c r="C6964" s="2">
        <v>1116.1569999999999</v>
      </c>
      <c r="D6964" s="2">
        <f>HYPERLINK("http://mcb-m6.bioreg.kyushu-u.ac.jp/M3/20110421/F51058/3228/2", 128.26)</f>
        <v>128.26</v>
      </c>
      <c r="E6964" s="2">
        <v>121.04</v>
      </c>
      <c r="F6964" s="2">
        <v>2</v>
      </c>
      <c r="G6964" s="2" t="s">
        <v>11</v>
      </c>
      <c r="H6964" s="2" t="s">
        <v>4907</v>
      </c>
    </row>
    <row r="6965" spans="1:8" x14ac:dyDescent="0.2">
      <c r="A6965" s="2" t="s">
        <v>4075</v>
      </c>
      <c r="B6965" s="2" t="s">
        <v>1546</v>
      </c>
      <c r="C6965" s="2">
        <v>786.88850000000002</v>
      </c>
      <c r="D6965" s="2">
        <f>HYPERLINK("http://mcb-m6.bioreg.kyushu-u.ac.jp/M3/20110421/F51059/3465/2", 44.23)</f>
        <v>44.23</v>
      </c>
      <c r="E6965" s="2">
        <v>35.71</v>
      </c>
      <c r="F6965" s="2">
        <v>3</v>
      </c>
      <c r="G6965" s="2" t="s">
        <v>12</v>
      </c>
      <c r="H6965" s="2" t="s">
        <v>4938</v>
      </c>
    </row>
    <row r="6966" spans="1:8" x14ac:dyDescent="0.2">
      <c r="A6966" s="2" t="s">
        <v>4075</v>
      </c>
      <c r="B6966" s="2" t="s">
        <v>1473</v>
      </c>
      <c r="C6966" s="2">
        <v>1116.1880000000001</v>
      </c>
      <c r="D6966" s="2">
        <f>HYPERLINK("http://mcb-m6.bioreg.kyushu-u.ac.jp/M3/20110421/F51021/3691/2", 45.66)</f>
        <v>45.66</v>
      </c>
      <c r="E6966" s="2">
        <v>37.020000000000003</v>
      </c>
      <c r="F6966" s="2">
        <v>2</v>
      </c>
      <c r="G6966" s="2" t="s">
        <v>12</v>
      </c>
      <c r="H6966" s="2" t="s">
        <v>4907</v>
      </c>
    </row>
    <row r="6967" spans="1:8" x14ac:dyDescent="0.2">
      <c r="A6967" s="2" t="s">
        <v>4075</v>
      </c>
      <c r="B6967" s="2" t="s">
        <v>1473</v>
      </c>
      <c r="C6967" s="2">
        <v>1115.9490000000001</v>
      </c>
      <c r="D6967" s="2">
        <f>HYPERLINK("http://mcb-m6.bioreg.kyushu-u.ac.jp/M3/20110421/F51024/3207/2", 56.11)</f>
        <v>56.11</v>
      </c>
      <c r="E6967" s="2">
        <v>51.52</v>
      </c>
      <c r="F6967" s="2">
        <v>2</v>
      </c>
      <c r="G6967" s="2" t="s">
        <v>12</v>
      </c>
      <c r="H6967" s="2" t="s">
        <v>4907</v>
      </c>
    </row>
    <row r="6968" spans="1:8" x14ac:dyDescent="0.2">
      <c r="A6968" s="2" t="s">
        <v>4075</v>
      </c>
      <c r="B6968" s="2" t="s">
        <v>1473</v>
      </c>
      <c r="C6968" s="2">
        <v>1108.4639999999999</v>
      </c>
      <c r="D6968" s="2">
        <f>HYPERLINK("http://mcb-m6.bioreg.kyushu-u.ac.jp/M3/20110421/F51044/3373/2", 64.43)</f>
        <v>64.430000000000007</v>
      </c>
      <c r="E6968" s="2">
        <v>58.32</v>
      </c>
      <c r="F6968" s="2">
        <v>2</v>
      </c>
      <c r="G6968" s="2" t="s">
        <v>12</v>
      </c>
    </row>
    <row r="6969" spans="1:8" x14ac:dyDescent="0.2">
      <c r="A6969" s="2" t="s">
        <v>4075</v>
      </c>
      <c r="B6969" s="2" t="s">
        <v>1473</v>
      </c>
      <c r="C6969" s="2">
        <v>1108.482</v>
      </c>
      <c r="D6969" s="2">
        <f>HYPERLINK("http://mcb-m6.bioreg.kyushu-u.ac.jp/M3/20110421/F51061/2926/2", 85.95)</f>
        <v>85.95</v>
      </c>
      <c r="E6969" s="2">
        <v>72.56</v>
      </c>
      <c r="F6969" s="2">
        <v>2</v>
      </c>
      <c r="G6969" s="2" t="s">
        <v>12</v>
      </c>
    </row>
    <row r="6970" spans="1:8" x14ac:dyDescent="0.2">
      <c r="A6970" s="2" t="s">
        <v>4075</v>
      </c>
      <c r="B6970" s="2" t="s">
        <v>1473</v>
      </c>
      <c r="C6970" s="2">
        <v>1116.5989999999999</v>
      </c>
      <c r="D6970" s="2">
        <f>HYPERLINK("http://mcb-m6.bioreg.kyushu-u.ac.jp/M3/20110421/F51059/3305/2", 125.77)</f>
        <v>125.77</v>
      </c>
      <c r="E6970" s="2">
        <v>116</v>
      </c>
      <c r="F6970" s="2">
        <v>2</v>
      </c>
      <c r="G6970" s="2" t="s">
        <v>12</v>
      </c>
      <c r="H6970" s="2" t="s">
        <v>4907</v>
      </c>
    </row>
    <row r="6971" spans="1:8" x14ac:dyDescent="0.2">
      <c r="A6971" s="2" t="s">
        <v>4075</v>
      </c>
      <c r="B6971" s="2" t="s">
        <v>1473</v>
      </c>
      <c r="C6971" s="2">
        <v>1116.289</v>
      </c>
      <c r="D6971" s="2">
        <f>HYPERLINK("http://mcb-m6.bioreg.kyushu-u.ac.jp/M3/20110421/F51044/3394/2", 132.62)</f>
        <v>132.62</v>
      </c>
      <c r="E6971" s="2">
        <v>122.2</v>
      </c>
      <c r="F6971" s="2">
        <v>2</v>
      </c>
      <c r="G6971" s="2" t="s">
        <v>12</v>
      </c>
      <c r="H6971" s="2" t="s">
        <v>4907</v>
      </c>
    </row>
    <row r="6972" spans="1:8" x14ac:dyDescent="0.2">
      <c r="A6972" s="2" t="s">
        <v>4075</v>
      </c>
      <c r="B6972" s="2" t="s">
        <v>1473</v>
      </c>
      <c r="C6972" s="2">
        <v>1116.23</v>
      </c>
      <c r="D6972" s="2">
        <f>HYPERLINK("http://mcb-m6.bioreg.kyushu-u.ac.jp/M3/20110421/F51061/2945/2", 138.92)</f>
        <v>138.91999999999999</v>
      </c>
      <c r="E6972" s="2">
        <v>129.05000000000001</v>
      </c>
      <c r="F6972" s="2">
        <v>2</v>
      </c>
      <c r="G6972" s="2" t="s">
        <v>12</v>
      </c>
      <c r="H6972" s="2" t="s">
        <v>4907</v>
      </c>
    </row>
    <row r="6973" spans="1:8" x14ac:dyDescent="0.2">
      <c r="A6973" s="2" t="s">
        <v>4075</v>
      </c>
      <c r="B6973" s="2" t="s">
        <v>1473</v>
      </c>
      <c r="C6973" s="2">
        <v>1108.2940000000001</v>
      </c>
      <c r="D6973" s="2">
        <f>HYPERLINK("http://mcb-m6.bioreg.kyushu-u.ac.jp/M3/20110428/F51132/3288/2", 46.71)</f>
        <v>46.71</v>
      </c>
      <c r="E6973" s="2">
        <v>37.76</v>
      </c>
      <c r="F6973" s="2">
        <v>2</v>
      </c>
      <c r="G6973" s="2" t="s">
        <v>13</v>
      </c>
    </row>
    <row r="6974" spans="1:8" x14ac:dyDescent="0.2">
      <c r="A6974" s="2" t="s">
        <v>4075</v>
      </c>
      <c r="B6974" s="2" t="s">
        <v>1546</v>
      </c>
      <c r="C6974" s="2">
        <v>1171.8920000000001</v>
      </c>
      <c r="D6974" s="2">
        <f>HYPERLINK("http://mcb-m6.bioreg.kyushu-u.ac.jp/M3/20110428/F51131/3426/2", 103.37)</f>
        <v>103.37</v>
      </c>
      <c r="E6974" s="2">
        <v>88.45</v>
      </c>
      <c r="F6974" s="2">
        <v>2</v>
      </c>
      <c r="G6974" s="2" t="s">
        <v>13</v>
      </c>
    </row>
    <row r="6975" spans="1:8" x14ac:dyDescent="0.2">
      <c r="A6975" s="2" t="s">
        <v>4075</v>
      </c>
      <c r="B6975" s="2" t="s">
        <v>1473</v>
      </c>
      <c r="C6975" s="2">
        <v>1108.165</v>
      </c>
      <c r="D6975" s="2">
        <f>HYPERLINK("http://mcb-m6.bioreg.kyushu-u.ac.jp/M3/20110428/F51131/3228/2", 111.47)</f>
        <v>111.47</v>
      </c>
      <c r="E6975" s="2">
        <v>96.03</v>
      </c>
      <c r="F6975" s="2">
        <v>2</v>
      </c>
      <c r="G6975" s="2" t="s">
        <v>13</v>
      </c>
    </row>
    <row r="6976" spans="1:8" x14ac:dyDescent="0.2">
      <c r="A6976" s="2" t="s">
        <v>4075</v>
      </c>
      <c r="B6976" s="2" t="s">
        <v>1473</v>
      </c>
      <c r="C6976" s="2">
        <v>1116.1389999999999</v>
      </c>
      <c r="D6976" s="2">
        <f>HYPERLINK("http://mcb-m6.bioreg.kyushu-u.ac.jp/M3/20110428/F51131/3258/2", 141.82)</f>
        <v>141.82</v>
      </c>
      <c r="E6976" s="2">
        <v>126.6</v>
      </c>
      <c r="F6976" s="2">
        <v>2</v>
      </c>
      <c r="G6976" s="2" t="s">
        <v>13</v>
      </c>
      <c r="H6976" s="2" t="s">
        <v>4907</v>
      </c>
    </row>
    <row r="6977" spans="1:8" x14ac:dyDescent="0.2">
      <c r="A6977" s="2" t="s">
        <v>4075</v>
      </c>
      <c r="B6977" s="2" t="s">
        <v>1473</v>
      </c>
      <c r="C6977" s="2">
        <v>744.58360000000005</v>
      </c>
      <c r="D6977" s="2">
        <f>HYPERLINK("http://mcb-m6.bioreg.kyushu-u.ac.jp/M3/20110427/F51123/3407/2", 48.69)</f>
        <v>48.69</v>
      </c>
      <c r="E6977" s="2">
        <v>36.07</v>
      </c>
      <c r="F6977" s="2">
        <v>3</v>
      </c>
      <c r="G6977" s="2" t="s">
        <v>14</v>
      </c>
      <c r="H6977" s="2" t="s">
        <v>4907</v>
      </c>
    </row>
    <row r="6978" spans="1:8" x14ac:dyDescent="0.2">
      <c r="A6978" s="2" t="s">
        <v>4075</v>
      </c>
      <c r="B6978" s="2" t="s">
        <v>1546</v>
      </c>
      <c r="C6978" s="2">
        <v>787.28819999999996</v>
      </c>
      <c r="D6978" s="2">
        <f>HYPERLINK("http://mcb-m6.bioreg.kyushu-u.ac.jp/M3/20110427/F51123/3531/2", 48.78)</f>
        <v>48.78</v>
      </c>
      <c r="E6978" s="2">
        <v>41.27</v>
      </c>
      <c r="F6978" s="2">
        <v>3</v>
      </c>
      <c r="G6978" s="2" t="s">
        <v>14</v>
      </c>
      <c r="H6978" s="2" t="s">
        <v>4938</v>
      </c>
    </row>
    <row r="6979" spans="1:8" x14ac:dyDescent="0.2">
      <c r="A6979" s="2" t="s">
        <v>4075</v>
      </c>
      <c r="B6979" s="2" t="s">
        <v>1473</v>
      </c>
      <c r="C6979" s="2">
        <v>1108.3150000000001</v>
      </c>
      <c r="D6979" s="2">
        <f>HYPERLINK("http://mcb-m6.bioreg.kyushu-u.ac.jp/M3/20110428/F51129/3254/2", 59.03)</f>
        <v>59.03</v>
      </c>
      <c r="E6979" s="2">
        <v>50.23</v>
      </c>
      <c r="F6979" s="2">
        <v>2</v>
      </c>
      <c r="G6979" s="2" t="s">
        <v>14</v>
      </c>
    </row>
    <row r="6980" spans="1:8" x14ac:dyDescent="0.2">
      <c r="A6980" s="2" t="s">
        <v>4075</v>
      </c>
      <c r="B6980" s="2" t="s">
        <v>1473</v>
      </c>
      <c r="C6980" s="2">
        <v>1115.761</v>
      </c>
      <c r="D6980" s="2">
        <f>HYPERLINK("http://mcb-m6.bioreg.kyushu-u.ac.jp/M3/20110427/F51123/3402/2", 72.99)</f>
        <v>72.989999999999995</v>
      </c>
      <c r="E6980" s="2">
        <v>56.64</v>
      </c>
      <c r="F6980" s="2">
        <v>2</v>
      </c>
      <c r="G6980" s="2" t="s">
        <v>14</v>
      </c>
      <c r="H6980" s="2" t="s">
        <v>4907</v>
      </c>
    </row>
    <row r="6981" spans="1:8" x14ac:dyDescent="0.2">
      <c r="A6981" s="2" t="s">
        <v>4075</v>
      </c>
      <c r="B6981" s="2" t="s">
        <v>1473</v>
      </c>
      <c r="C6981" s="2">
        <v>1116.2850000000001</v>
      </c>
      <c r="D6981" s="2">
        <f>HYPERLINK("http://mcb-m6.bioreg.kyushu-u.ac.jp/M3/20110428/F51126/3181/2", 77.1)</f>
        <v>77.099999999999994</v>
      </c>
      <c r="E6981" s="2">
        <v>66.680000000000007</v>
      </c>
      <c r="F6981" s="2">
        <v>2</v>
      </c>
      <c r="G6981" s="2" t="s">
        <v>14</v>
      </c>
      <c r="H6981" s="2" t="s">
        <v>4907</v>
      </c>
    </row>
    <row r="6982" spans="1:8" x14ac:dyDescent="0.2">
      <c r="A6982" s="2" t="s">
        <v>4075</v>
      </c>
      <c r="B6982" s="2" t="s">
        <v>1473</v>
      </c>
      <c r="C6982" s="2">
        <v>1116.307</v>
      </c>
      <c r="D6982" s="2">
        <f>HYPERLINK("http://mcb-m6.bioreg.kyushu-u.ac.jp/M3/20110428/F51128/3366/2", 79.87)</f>
        <v>79.87</v>
      </c>
      <c r="E6982" s="2">
        <v>67.400000000000006</v>
      </c>
      <c r="F6982" s="2">
        <v>2</v>
      </c>
      <c r="G6982" s="2" t="s">
        <v>14</v>
      </c>
      <c r="H6982" s="2" t="s">
        <v>4907</v>
      </c>
    </row>
    <row r="6983" spans="1:8" x14ac:dyDescent="0.2">
      <c r="A6983" s="2" t="s">
        <v>4075</v>
      </c>
      <c r="B6983" s="2" t="s">
        <v>1473</v>
      </c>
      <c r="C6983" s="2">
        <v>1116.31</v>
      </c>
      <c r="D6983" s="2">
        <f>HYPERLINK("http://mcb-m6.bioreg.kyushu-u.ac.jp/M3/20110427/F51123/3406/2", 89.09)</f>
        <v>89.09</v>
      </c>
      <c r="E6983" s="2">
        <v>81.72</v>
      </c>
      <c r="F6983" s="2">
        <v>2</v>
      </c>
      <c r="G6983" s="2" t="s">
        <v>14</v>
      </c>
      <c r="H6983" s="2" t="s">
        <v>4907</v>
      </c>
    </row>
    <row r="6984" spans="1:8" x14ac:dyDescent="0.2">
      <c r="A6984" s="2" t="s">
        <v>4075</v>
      </c>
      <c r="B6984" s="2" t="s">
        <v>1473</v>
      </c>
      <c r="C6984" s="2">
        <v>1108.2539999999999</v>
      </c>
      <c r="D6984" s="2">
        <f>HYPERLINK("http://mcb-m6.bioreg.kyushu-u.ac.jp/M3/20110427/F51123/3373/2", 96.67)</f>
        <v>96.67</v>
      </c>
      <c r="E6984" s="2">
        <v>85.78</v>
      </c>
      <c r="F6984" s="2">
        <v>2</v>
      </c>
      <c r="G6984" s="2" t="s">
        <v>14</v>
      </c>
    </row>
    <row r="6985" spans="1:8" x14ac:dyDescent="0.2">
      <c r="A6985" s="2" t="s">
        <v>4075</v>
      </c>
      <c r="B6985" s="2" t="s">
        <v>1473</v>
      </c>
      <c r="C6985" s="2">
        <v>1115.721</v>
      </c>
      <c r="D6985" s="2">
        <f>HYPERLINK("http://mcb-m6.bioreg.kyushu-u.ac.jp/M3/20110428/F51128/3363/2", 109.54)</f>
        <v>109.54</v>
      </c>
      <c r="E6985" s="2">
        <v>98.2</v>
      </c>
      <c r="F6985" s="2">
        <v>2</v>
      </c>
      <c r="G6985" s="2" t="s">
        <v>14</v>
      </c>
      <c r="H6985" s="2" t="s">
        <v>4907</v>
      </c>
    </row>
    <row r="6986" spans="1:8" x14ac:dyDescent="0.2">
      <c r="A6986" s="2" t="s">
        <v>4075</v>
      </c>
      <c r="B6986" s="2" t="s">
        <v>1473</v>
      </c>
      <c r="C6986" s="2">
        <v>1115.809</v>
      </c>
      <c r="D6986" s="2">
        <f>HYPERLINK("http://mcb-m6.bioreg.kyushu-u.ac.jp/M3/20110427/F51124/3181/2", 111.99)</f>
        <v>111.99</v>
      </c>
      <c r="E6986" s="2">
        <v>101.83</v>
      </c>
      <c r="F6986" s="2">
        <v>2</v>
      </c>
      <c r="G6986" s="2" t="s">
        <v>14</v>
      </c>
      <c r="H6986" s="2" t="s">
        <v>4907</v>
      </c>
    </row>
    <row r="6987" spans="1:8" x14ac:dyDescent="0.2">
      <c r="A6987" s="2" t="s">
        <v>4075</v>
      </c>
      <c r="B6987" s="2" t="s">
        <v>1473</v>
      </c>
      <c r="C6987" s="2">
        <v>1116.5060000000001</v>
      </c>
      <c r="D6987" s="2">
        <f>HYPERLINK("http://mcb-m6.bioreg.kyushu-u.ac.jp/M3/20110428/F51135/2933/2", 151.49)</f>
        <v>151.49</v>
      </c>
      <c r="E6987" s="2">
        <v>141.25</v>
      </c>
      <c r="F6987" s="2">
        <v>2</v>
      </c>
      <c r="G6987" s="2" t="s">
        <v>14</v>
      </c>
      <c r="H6987" s="2" t="s">
        <v>4907</v>
      </c>
    </row>
    <row r="6988" spans="1:8" x14ac:dyDescent="0.2">
      <c r="A6988" s="2" t="s">
        <v>3330</v>
      </c>
      <c r="B6988" s="2" t="s">
        <v>117</v>
      </c>
      <c r="C6988" s="2">
        <v>1029.422</v>
      </c>
      <c r="D6988" s="2">
        <f>HYPERLINK("http://mcb-m6.bioreg.kyushu-u.ac.jp/M3/20110404/F50752/1397/1", 38.06)</f>
        <v>38.06</v>
      </c>
      <c r="E6988" s="2">
        <v>17.260000000000002</v>
      </c>
      <c r="F6988" s="2">
        <v>1</v>
      </c>
      <c r="G6988" s="2" t="s">
        <v>9</v>
      </c>
    </row>
    <row r="6989" spans="1:8" x14ac:dyDescent="0.2">
      <c r="A6989" s="2" t="s">
        <v>3330</v>
      </c>
      <c r="B6989" s="2" t="s">
        <v>3040</v>
      </c>
      <c r="C6989" s="2">
        <v>579.30769999999995</v>
      </c>
      <c r="D6989" s="2">
        <f>HYPERLINK("http://mcb-m6.bioreg.kyushu-u.ac.jp/M3/20110404/F50752/1573/1", 45.77)</f>
        <v>45.77</v>
      </c>
      <c r="E6989" s="2">
        <v>19.329999999999998</v>
      </c>
      <c r="F6989" s="2">
        <v>2</v>
      </c>
      <c r="G6989" s="2" t="s">
        <v>9</v>
      </c>
    </row>
    <row r="6990" spans="1:8" x14ac:dyDescent="0.2">
      <c r="A6990" s="2" t="s">
        <v>3496</v>
      </c>
      <c r="B6990" s="2" t="s">
        <v>330</v>
      </c>
      <c r="C6990" s="2">
        <v>669.75319999999999</v>
      </c>
      <c r="D6990" s="2">
        <f>HYPERLINK("http://mcb-m6.bioreg.kyushu-u.ac.jp/M3/20110404/F50757/1900/1", 67.41)</f>
        <v>67.41</v>
      </c>
      <c r="E6990" s="2">
        <v>42.94</v>
      </c>
      <c r="F6990" s="2">
        <v>2</v>
      </c>
      <c r="G6990" s="2" t="s">
        <v>10</v>
      </c>
    </row>
    <row r="6991" spans="1:8" x14ac:dyDescent="0.2">
      <c r="A6991" s="2" t="s">
        <v>3496</v>
      </c>
      <c r="B6991" s="2" t="s">
        <v>330</v>
      </c>
      <c r="C6991" s="2">
        <v>669.78470000000004</v>
      </c>
      <c r="D6991" s="2">
        <f>HYPERLINK("http://mcb-m6.bioreg.kyushu-u.ac.jp/M3/20110421/F51016/1874/1", 43.35)</f>
        <v>43.35</v>
      </c>
      <c r="E6991" s="2">
        <v>27.45</v>
      </c>
      <c r="F6991" s="2">
        <v>2</v>
      </c>
      <c r="G6991" s="2" t="s">
        <v>11</v>
      </c>
    </row>
    <row r="6992" spans="1:8" x14ac:dyDescent="0.2">
      <c r="A6992" s="2" t="s">
        <v>8038</v>
      </c>
      <c r="B6992" s="2" t="s">
        <v>7311</v>
      </c>
      <c r="C6992" s="2">
        <v>459.85559999999998</v>
      </c>
      <c r="D6992" s="2">
        <f>HYPERLINK("http://mcb-m6.bioreg.kyushu-u.ac.jp/M3/20110427/F51112/872/1", 37.89)</f>
        <v>37.89</v>
      </c>
      <c r="E6992" s="2">
        <v>11.32</v>
      </c>
      <c r="F6992" s="2">
        <v>2</v>
      </c>
      <c r="G6992" s="2" t="s">
        <v>13</v>
      </c>
    </row>
    <row r="6993" spans="1:9" x14ac:dyDescent="0.2">
      <c r="A6993" s="2" t="s">
        <v>8068</v>
      </c>
      <c r="B6993" s="2" t="s">
        <v>7379</v>
      </c>
      <c r="C6993" s="2">
        <v>909.42409999999995</v>
      </c>
      <c r="D6993" s="2">
        <f>HYPERLINK("http://mcb-m6.bioreg.kyushu-u.ac.jp/M3/20110427/F51112/2850/1", 52.57)</f>
        <v>52.57</v>
      </c>
      <c r="E6993" s="2">
        <v>42.32</v>
      </c>
      <c r="F6993" s="2">
        <v>2</v>
      </c>
      <c r="G6993" s="2" t="s">
        <v>13</v>
      </c>
    </row>
    <row r="6994" spans="1:9" x14ac:dyDescent="0.2">
      <c r="A6994" s="2" t="s">
        <v>7977</v>
      </c>
      <c r="B6994" s="2" t="s">
        <v>7189</v>
      </c>
      <c r="C6994" s="2">
        <v>927.02980000000002</v>
      </c>
      <c r="D6994" s="2">
        <f>HYPERLINK("http://mcb-m6.bioreg.kyushu-u.ac.jp/M3/20110421/F51021/4141/1", 41.14)</f>
        <v>41.14</v>
      </c>
      <c r="E6994" s="2">
        <v>26.91</v>
      </c>
      <c r="F6994" s="2">
        <v>3</v>
      </c>
      <c r="G6994" s="2" t="s">
        <v>12</v>
      </c>
    </row>
    <row r="6995" spans="1:9" x14ac:dyDescent="0.2">
      <c r="A6995" s="2" t="s">
        <v>3616</v>
      </c>
      <c r="B6995" s="2" t="s">
        <v>3173</v>
      </c>
      <c r="C6995" s="2">
        <v>514.53120000000001</v>
      </c>
      <c r="D6995" s="2">
        <f>HYPERLINK("http://mcb-m6.bioreg.kyushu-u.ac.jp/M3/20110427/F51110/1361/1", 46.54)</f>
        <v>46.54</v>
      </c>
      <c r="E6995" s="2">
        <v>15.12</v>
      </c>
      <c r="F6995" s="2">
        <v>2</v>
      </c>
      <c r="G6995" s="2" t="s">
        <v>13</v>
      </c>
      <c r="I6995" s="2" t="s">
        <v>4903</v>
      </c>
    </row>
    <row r="6996" spans="1:9" x14ac:dyDescent="0.2">
      <c r="A6996" s="2" t="s">
        <v>3616</v>
      </c>
      <c r="B6996" s="2" t="s">
        <v>3173</v>
      </c>
      <c r="C6996" s="2">
        <v>515.26919999999996</v>
      </c>
      <c r="D6996" s="2">
        <f>HYPERLINK("http://mcb-m6.bioreg.kyushu-u.ac.jp/M3/20110427/F51110/1365/1", 48.92)</f>
        <v>48.92</v>
      </c>
      <c r="E6996" s="2">
        <v>10.08</v>
      </c>
      <c r="F6996" s="2">
        <v>2</v>
      </c>
      <c r="G6996" s="2" t="s">
        <v>13</v>
      </c>
      <c r="I6996" s="2" t="s">
        <v>4903</v>
      </c>
    </row>
    <row r="6997" spans="1:9" x14ac:dyDescent="0.2">
      <c r="A6997" s="2" t="s">
        <v>3616</v>
      </c>
      <c r="B6997" s="2" t="s">
        <v>7395</v>
      </c>
      <c r="C6997" s="2">
        <v>479.48860000000002</v>
      </c>
      <c r="D6997" s="2">
        <f>HYPERLINK("http://mcb-m6.bioreg.kyushu-u.ac.jp/M3/20110427/F51109/1348/1", 56.47)</f>
        <v>56.47</v>
      </c>
      <c r="E6997" s="2">
        <v>27.2</v>
      </c>
      <c r="F6997" s="2">
        <v>2</v>
      </c>
      <c r="G6997" s="2" t="s">
        <v>13</v>
      </c>
      <c r="I6997" s="2" t="s">
        <v>4893</v>
      </c>
    </row>
    <row r="6998" spans="1:9" x14ac:dyDescent="0.2">
      <c r="A6998" s="2" t="s">
        <v>4508</v>
      </c>
      <c r="B6998" s="2" t="s">
        <v>2515</v>
      </c>
      <c r="C6998" s="2">
        <v>888.04269999999997</v>
      </c>
      <c r="D6998" s="2">
        <f>HYPERLINK("http://mcb-m6.bioreg.kyushu-u.ac.jp/M3/20110427/F51109/2486/1", 110.75)</f>
        <v>110.75</v>
      </c>
      <c r="E6998" s="2">
        <v>92.75</v>
      </c>
      <c r="F6998" s="2">
        <v>2</v>
      </c>
      <c r="G6998" s="2" t="s">
        <v>13</v>
      </c>
      <c r="I6998" s="2" t="s">
        <v>4967</v>
      </c>
    </row>
    <row r="6999" spans="1:9" x14ac:dyDescent="0.2">
      <c r="A6999" s="2" t="s">
        <v>4130</v>
      </c>
      <c r="B6999" s="2" t="s">
        <v>1654</v>
      </c>
      <c r="C6999" s="2">
        <v>976.22360000000003</v>
      </c>
      <c r="D6999" s="2">
        <f>HYPERLINK("http://mcb-m6.bioreg.kyushu-u.ac.jp/M3/20110404/F50766/2872/1", 89.09)</f>
        <v>89.09</v>
      </c>
      <c r="E6999" s="2">
        <v>66.95</v>
      </c>
      <c r="F6999" s="2">
        <v>2</v>
      </c>
      <c r="G6999" s="2" t="s">
        <v>9</v>
      </c>
    </row>
    <row r="7000" spans="1:9" x14ac:dyDescent="0.2">
      <c r="A7000" s="2" t="s">
        <v>4130</v>
      </c>
      <c r="B7000" s="2" t="s">
        <v>6977</v>
      </c>
      <c r="C7000" s="2">
        <v>640.49369999999999</v>
      </c>
      <c r="D7000" s="2">
        <f>HYPERLINK("http://mcb-m6.bioreg.kyushu-u.ac.jp/M3/20110404/F50772/1504/1", 70)</f>
        <v>70</v>
      </c>
      <c r="E7000" s="2">
        <v>53.86</v>
      </c>
      <c r="F7000" s="2">
        <v>2</v>
      </c>
      <c r="G7000" s="2" t="s">
        <v>10</v>
      </c>
    </row>
    <row r="7001" spans="1:9" x14ac:dyDescent="0.2">
      <c r="A7001" s="2" t="s">
        <v>4130</v>
      </c>
      <c r="B7001" s="2" t="s">
        <v>7042</v>
      </c>
      <c r="C7001" s="2">
        <v>656.41610000000003</v>
      </c>
      <c r="D7001" s="2">
        <f>HYPERLINK("http://mcb-m6.bioreg.kyushu-u.ac.jp/M3/20110404/F50772/1546/1", 91.2)</f>
        <v>91.2</v>
      </c>
      <c r="E7001" s="2">
        <v>69.52</v>
      </c>
      <c r="F7001" s="2">
        <v>2</v>
      </c>
      <c r="G7001" s="2" t="s">
        <v>10</v>
      </c>
    </row>
    <row r="7002" spans="1:9" x14ac:dyDescent="0.2">
      <c r="A7002" s="2" t="s">
        <v>4130</v>
      </c>
      <c r="B7002" s="2" t="s">
        <v>1654</v>
      </c>
      <c r="C7002" s="2">
        <v>976.3827</v>
      </c>
      <c r="D7002" s="2">
        <f>HYPERLINK("http://mcb-m6.bioreg.kyushu-u.ac.jp/M3/20110421/F51025/2725/1", 108.99)</f>
        <v>108.99</v>
      </c>
      <c r="E7002" s="2">
        <v>90.41</v>
      </c>
      <c r="F7002" s="2">
        <v>2</v>
      </c>
      <c r="G7002" s="2" t="s">
        <v>12</v>
      </c>
    </row>
    <row r="7003" spans="1:9" x14ac:dyDescent="0.2">
      <c r="A7003" s="2" t="s">
        <v>3782</v>
      </c>
      <c r="B7003" s="2" t="s">
        <v>835</v>
      </c>
      <c r="C7003" s="2">
        <v>930.55470000000003</v>
      </c>
      <c r="D7003" s="2">
        <f>HYPERLINK("http://mcb-m6.bioreg.kyushu-u.ac.jp/M3/20110404/F50765/2590/1", 42.35)</f>
        <v>42.35</v>
      </c>
      <c r="E7003" s="2">
        <v>30.97</v>
      </c>
      <c r="F7003" s="2">
        <v>2</v>
      </c>
      <c r="G7003" s="2" t="s">
        <v>9</v>
      </c>
      <c r="I7003" s="2" t="s">
        <v>4895</v>
      </c>
    </row>
    <row r="7004" spans="1:9" x14ac:dyDescent="0.2">
      <c r="A7004" s="2" t="s">
        <v>3782</v>
      </c>
      <c r="B7004" s="2" t="s">
        <v>2681</v>
      </c>
      <c r="C7004" s="2">
        <v>848.7441</v>
      </c>
      <c r="D7004" s="2">
        <f>HYPERLINK("http://mcb-m6.bioreg.kyushu-u.ac.jp/M3/20110404/F50765/2290/1", 74.36)</f>
        <v>74.36</v>
      </c>
      <c r="E7004" s="2">
        <v>58.99</v>
      </c>
      <c r="F7004" s="2">
        <v>2</v>
      </c>
      <c r="G7004" s="2" t="s">
        <v>9</v>
      </c>
      <c r="I7004" s="2" t="s">
        <v>4890</v>
      </c>
    </row>
    <row r="7005" spans="1:9" x14ac:dyDescent="0.2">
      <c r="A7005" s="2" t="s">
        <v>3782</v>
      </c>
      <c r="B7005" s="2" t="s">
        <v>1262</v>
      </c>
      <c r="C7005" s="2">
        <v>730.33870000000002</v>
      </c>
      <c r="D7005" s="2">
        <f>HYPERLINK("http://mcb-m6.bioreg.kyushu-u.ac.jp/M3/20110404/F50765/1794/1", 74.84)</f>
        <v>74.84</v>
      </c>
      <c r="E7005" s="2">
        <v>48.16</v>
      </c>
      <c r="F7005" s="2">
        <v>2</v>
      </c>
      <c r="G7005" s="2" t="s">
        <v>9</v>
      </c>
    </row>
    <row r="7006" spans="1:9" x14ac:dyDescent="0.2">
      <c r="A7006" s="2" t="s">
        <v>3782</v>
      </c>
      <c r="B7006" s="2" t="s">
        <v>2442</v>
      </c>
      <c r="C7006" s="2">
        <v>1025.913</v>
      </c>
      <c r="D7006" s="2">
        <f>HYPERLINK("http://mcb-m6.bioreg.kyushu-u.ac.jp/M3/20110404/F50765/2902/1", 82.49)</f>
        <v>82.49</v>
      </c>
      <c r="E7006" s="2">
        <v>68.62</v>
      </c>
      <c r="F7006" s="2">
        <v>2</v>
      </c>
      <c r="G7006" s="2" t="s">
        <v>9</v>
      </c>
      <c r="I7006" s="2" t="s">
        <v>4903</v>
      </c>
    </row>
    <row r="7007" spans="1:9" x14ac:dyDescent="0.2">
      <c r="A7007" s="2" t="s">
        <v>3782</v>
      </c>
      <c r="B7007" s="2" t="s">
        <v>1641</v>
      </c>
      <c r="C7007" s="2">
        <v>715.36360000000002</v>
      </c>
      <c r="D7007" s="2">
        <f>HYPERLINK("http://mcb-m6.bioreg.kyushu-u.ac.jp/M3/20110404/F50767/1580/1", 87.9)</f>
        <v>87.9</v>
      </c>
      <c r="E7007" s="2">
        <v>68.66</v>
      </c>
      <c r="F7007" s="2">
        <v>2</v>
      </c>
      <c r="G7007" s="2" t="s">
        <v>9</v>
      </c>
    </row>
    <row r="7008" spans="1:9" x14ac:dyDescent="0.2">
      <c r="A7008" s="2" t="s">
        <v>3782</v>
      </c>
      <c r="B7008" s="2" t="s">
        <v>1287</v>
      </c>
      <c r="C7008" s="2">
        <v>662.81619999999998</v>
      </c>
      <c r="D7008" s="2">
        <f>HYPERLINK("http://mcb-m6.bioreg.kyushu-u.ac.jp/M3/20110404/F50765/1466/1", 88.51)</f>
        <v>88.51</v>
      </c>
      <c r="E7008" s="2">
        <v>65.84</v>
      </c>
      <c r="F7008" s="2">
        <v>2</v>
      </c>
      <c r="G7008" s="2" t="s">
        <v>9</v>
      </c>
    </row>
    <row r="7009" spans="1:9" x14ac:dyDescent="0.2">
      <c r="A7009" s="2" t="s">
        <v>3782</v>
      </c>
      <c r="B7009" s="2" t="s">
        <v>1641</v>
      </c>
      <c r="C7009" s="2">
        <v>715.45259999999996</v>
      </c>
      <c r="D7009" s="2">
        <f>HYPERLINK("http://mcb-m6.bioreg.kyushu-u.ac.jp/M3/20110404/F50765/1716/1", 109.13)</f>
        <v>109.13</v>
      </c>
      <c r="E7009" s="2">
        <v>86.31</v>
      </c>
      <c r="F7009" s="2">
        <v>2</v>
      </c>
      <c r="G7009" s="2" t="s">
        <v>9</v>
      </c>
    </row>
    <row r="7010" spans="1:9" x14ac:dyDescent="0.2">
      <c r="A7010" s="2" t="s">
        <v>3782</v>
      </c>
      <c r="B7010" s="2" t="s">
        <v>2146</v>
      </c>
      <c r="C7010" s="2">
        <v>774.45259999999996</v>
      </c>
      <c r="D7010" s="2">
        <f>HYPERLINK("http://mcb-m6.bioreg.kyushu-u.ac.jp/M3/20110404/F50765/1983/1", 131.97)</f>
        <v>131.97</v>
      </c>
      <c r="E7010" s="2">
        <v>114.04</v>
      </c>
      <c r="F7010" s="2">
        <v>2</v>
      </c>
      <c r="G7010" s="2" t="s">
        <v>9</v>
      </c>
    </row>
    <row r="7011" spans="1:9" x14ac:dyDescent="0.2">
      <c r="A7011" s="2" t="s">
        <v>3782</v>
      </c>
      <c r="B7011" s="2" t="s">
        <v>2232</v>
      </c>
      <c r="C7011" s="2">
        <v>524.62710000000004</v>
      </c>
      <c r="D7011" s="2">
        <f>HYPERLINK("http://mcb-m6.bioreg.kyushu-u.ac.jp/M3/20110404/F50771/1112/1", 37.36)</f>
        <v>37.36</v>
      </c>
      <c r="E7011" s="2">
        <v>16.75</v>
      </c>
      <c r="F7011" s="2">
        <v>2</v>
      </c>
      <c r="G7011" s="2" t="s">
        <v>10</v>
      </c>
    </row>
    <row r="7012" spans="1:9" x14ac:dyDescent="0.2">
      <c r="A7012" s="2" t="s">
        <v>3782</v>
      </c>
      <c r="B7012" s="2" t="s">
        <v>6720</v>
      </c>
      <c r="C7012" s="2">
        <v>1193.348</v>
      </c>
      <c r="D7012" s="2">
        <f>HYPERLINK("http://mcb-m6.bioreg.kyushu-u.ac.jp/M3/20110404/F50771/1318/1", 37.74)</f>
        <v>37.74</v>
      </c>
      <c r="E7012" s="2">
        <v>12.94</v>
      </c>
      <c r="F7012" s="2">
        <v>1</v>
      </c>
      <c r="G7012" s="2" t="s">
        <v>10</v>
      </c>
    </row>
    <row r="7013" spans="1:9" x14ac:dyDescent="0.2">
      <c r="A7013" s="2" t="s">
        <v>3782</v>
      </c>
      <c r="B7013" s="2" t="s">
        <v>818</v>
      </c>
      <c r="C7013" s="2">
        <v>738.79219999999998</v>
      </c>
      <c r="D7013" s="2">
        <f>HYPERLINK("http://mcb-m6.bioreg.kyushu-u.ac.jp/M3/20110404/F50771/1888/1", 39.02)</f>
        <v>39.020000000000003</v>
      </c>
      <c r="E7013" s="2">
        <v>25.24</v>
      </c>
      <c r="F7013" s="2">
        <v>2</v>
      </c>
      <c r="G7013" s="2" t="s">
        <v>10</v>
      </c>
    </row>
    <row r="7014" spans="1:9" x14ac:dyDescent="0.2">
      <c r="A7014" s="2" t="s">
        <v>3782</v>
      </c>
      <c r="B7014" s="2" t="s">
        <v>2256</v>
      </c>
      <c r="C7014" s="2">
        <v>875.75819999999999</v>
      </c>
      <c r="D7014" s="2">
        <f>HYPERLINK("http://mcb-m6.bioreg.kyushu-u.ac.jp/M3/20110404/F50771/2424/1", 39.8)</f>
        <v>39.799999999999997</v>
      </c>
      <c r="E7014" s="2">
        <v>30.21</v>
      </c>
      <c r="F7014" s="2">
        <v>2</v>
      </c>
      <c r="G7014" s="2" t="s">
        <v>10</v>
      </c>
    </row>
    <row r="7015" spans="1:9" x14ac:dyDescent="0.2">
      <c r="A7015" s="2" t="s">
        <v>3782</v>
      </c>
      <c r="B7015" s="2" t="s">
        <v>2921</v>
      </c>
      <c r="C7015" s="2">
        <v>1075.2719999999999</v>
      </c>
      <c r="D7015" s="2">
        <f>HYPERLINK("http://mcb-m6.bioreg.kyushu-u.ac.jp/M3/20110404/F50771/1166/1", 44.53)</f>
        <v>44.53</v>
      </c>
      <c r="E7015" s="2">
        <v>32.49</v>
      </c>
      <c r="F7015" s="2">
        <v>1</v>
      </c>
      <c r="G7015" s="2" t="s">
        <v>10</v>
      </c>
    </row>
    <row r="7016" spans="1:9" x14ac:dyDescent="0.2">
      <c r="A7016" s="2" t="s">
        <v>3782</v>
      </c>
      <c r="B7016" s="2" t="s">
        <v>6945</v>
      </c>
      <c r="C7016" s="2">
        <v>815.43470000000002</v>
      </c>
      <c r="D7016" s="2">
        <f>HYPERLINK("http://mcb-m6.bioreg.kyushu-u.ac.jp/M3/20110404/F50773/2125/1", 63.81)</f>
        <v>63.81</v>
      </c>
      <c r="E7016" s="2">
        <v>25.69</v>
      </c>
      <c r="F7016" s="2">
        <v>2</v>
      </c>
      <c r="G7016" s="2" t="s">
        <v>10</v>
      </c>
    </row>
    <row r="7017" spans="1:9" x14ac:dyDescent="0.2">
      <c r="A7017" s="2" t="s">
        <v>3782</v>
      </c>
      <c r="B7017" s="2" t="s">
        <v>1287</v>
      </c>
      <c r="C7017" s="2">
        <v>662.73770000000002</v>
      </c>
      <c r="D7017" s="2">
        <f>HYPERLINK("http://mcb-m6.bioreg.kyushu-u.ac.jp/M3/20110404/F50771/1540/1", 88.29)</f>
        <v>88.29</v>
      </c>
      <c r="E7017" s="2">
        <v>62.8</v>
      </c>
      <c r="F7017" s="2">
        <v>2</v>
      </c>
      <c r="G7017" s="2" t="s">
        <v>10</v>
      </c>
    </row>
    <row r="7018" spans="1:9" x14ac:dyDescent="0.2">
      <c r="A7018" s="2" t="s">
        <v>3782</v>
      </c>
      <c r="B7018" s="2" t="s">
        <v>1641</v>
      </c>
      <c r="C7018" s="2">
        <v>715.3297</v>
      </c>
      <c r="D7018" s="2">
        <f>HYPERLINK("http://mcb-m6.bioreg.kyushu-u.ac.jp/M3/20110404/F50771/1777/1", 105.42)</f>
        <v>105.42</v>
      </c>
      <c r="E7018" s="2">
        <v>87.91</v>
      </c>
      <c r="F7018" s="2">
        <v>2</v>
      </c>
      <c r="G7018" s="2" t="s">
        <v>10</v>
      </c>
    </row>
    <row r="7019" spans="1:9" x14ac:dyDescent="0.2">
      <c r="A7019" s="2" t="s">
        <v>3782</v>
      </c>
      <c r="B7019" s="2" t="s">
        <v>2146</v>
      </c>
      <c r="C7019" s="2">
        <v>774.28560000000004</v>
      </c>
      <c r="D7019" s="2">
        <f>HYPERLINK("http://mcb-m6.bioreg.kyushu-u.ac.jp/M3/20110404/F50771/2023/1", 115.19)</f>
        <v>115.19</v>
      </c>
      <c r="E7019" s="2">
        <v>97.71</v>
      </c>
      <c r="F7019" s="2">
        <v>2</v>
      </c>
      <c r="G7019" s="2" t="s">
        <v>10</v>
      </c>
    </row>
    <row r="7020" spans="1:9" x14ac:dyDescent="0.2">
      <c r="A7020" s="2" t="s">
        <v>3782</v>
      </c>
      <c r="B7020" s="2" t="s">
        <v>818</v>
      </c>
      <c r="C7020" s="2">
        <v>738.91769999999997</v>
      </c>
      <c r="D7020" s="2">
        <f>HYPERLINK("http://mcb-m6.bioreg.kyushu-u.ac.jp/M3/20110421/F51042/1905/1", 40.06)</f>
        <v>40.06</v>
      </c>
      <c r="E7020" s="2">
        <v>27.29</v>
      </c>
      <c r="F7020" s="2">
        <v>2</v>
      </c>
      <c r="G7020" s="2" t="s">
        <v>11</v>
      </c>
    </row>
    <row r="7021" spans="1:9" x14ac:dyDescent="0.2">
      <c r="A7021" s="2" t="s">
        <v>3782</v>
      </c>
      <c r="B7021" s="2" t="s">
        <v>818</v>
      </c>
      <c r="C7021" s="2">
        <v>738.70510000000002</v>
      </c>
      <c r="D7021" s="2">
        <f>HYPERLINK("http://mcb-m6.bioreg.kyushu-u.ac.jp/M3/20110421/F51019/2056/1", 45.76)</f>
        <v>45.76</v>
      </c>
      <c r="E7021" s="2">
        <v>31.7</v>
      </c>
      <c r="F7021" s="2">
        <v>2</v>
      </c>
      <c r="G7021" s="2" t="s">
        <v>11</v>
      </c>
    </row>
    <row r="7022" spans="1:9" x14ac:dyDescent="0.2">
      <c r="A7022" s="2" t="s">
        <v>3782</v>
      </c>
      <c r="B7022" s="2" t="s">
        <v>835</v>
      </c>
      <c r="C7022" s="2">
        <v>930.65920000000006</v>
      </c>
      <c r="D7022" s="2">
        <f>HYPERLINK("http://mcb-m6.bioreg.kyushu-u.ac.jp/M3/20110421/F51019/2768/1", 56.69)</f>
        <v>56.69</v>
      </c>
      <c r="E7022" s="2">
        <v>33.99</v>
      </c>
      <c r="F7022" s="2">
        <v>2</v>
      </c>
      <c r="G7022" s="2" t="s">
        <v>11</v>
      </c>
      <c r="I7022" s="2" t="s">
        <v>4895</v>
      </c>
    </row>
    <row r="7023" spans="1:9" x14ac:dyDescent="0.2">
      <c r="A7023" s="2" t="s">
        <v>3782</v>
      </c>
      <c r="B7023" s="2" t="s">
        <v>1262</v>
      </c>
      <c r="C7023" s="2">
        <v>729.84810000000004</v>
      </c>
      <c r="D7023" s="2">
        <f>HYPERLINK("http://mcb-m6.bioreg.kyushu-u.ac.jp/M3/20110421/F51019/2011/1", 75)</f>
        <v>75</v>
      </c>
      <c r="E7023" s="2">
        <v>49.74</v>
      </c>
      <c r="F7023" s="2">
        <v>2</v>
      </c>
      <c r="G7023" s="2" t="s">
        <v>11</v>
      </c>
    </row>
    <row r="7024" spans="1:9" x14ac:dyDescent="0.2">
      <c r="A7024" s="2" t="s">
        <v>3782</v>
      </c>
      <c r="B7024" s="2" t="s">
        <v>1287</v>
      </c>
      <c r="C7024" s="2">
        <v>663.35109999999997</v>
      </c>
      <c r="D7024" s="2">
        <f>HYPERLINK("http://mcb-m6.bioreg.kyushu-u.ac.jp/M3/20110421/F51042/1420/1", 84.27)</f>
        <v>84.27</v>
      </c>
      <c r="E7024" s="2">
        <v>62.53</v>
      </c>
      <c r="F7024" s="2">
        <v>2</v>
      </c>
      <c r="G7024" s="2" t="s">
        <v>11</v>
      </c>
    </row>
    <row r="7025" spans="1:9" x14ac:dyDescent="0.2">
      <c r="A7025" s="2" t="s">
        <v>3782</v>
      </c>
      <c r="B7025" s="2" t="s">
        <v>1287</v>
      </c>
      <c r="C7025" s="2">
        <v>662.94069999999999</v>
      </c>
      <c r="D7025" s="2">
        <f>HYPERLINK("http://mcb-m6.bioreg.kyushu-u.ac.jp/M3/20110421/F51025/1813/1", 84.17)</f>
        <v>84.17</v>
      </c>
      <c r="E7025" s="2">
        <v>65.069999999999993</v>
      </c>
      <c r="F7025" s="2">
        <v>2</v>
      </c>
      <c r="G7025" s="2" t="s">
        <v>12</v>
      </c>
    </row>
    <row r="7026" spans="1:9" x14ac:dyDescent="0.2">
      <c r="A7026" s="2" t="s">
        <v>3782</v>
      </c>
      <c r="B7026" s="2" t="s">
        <v>7297</v>
      </c>
      <c r="C7026" s="2">
        <v>663.26570000000004</v>
      </c>
      <c r="D7026" s="2">
        <f>HYPERLINK("http://mcb-m6.bioreg.kyushu-u.ac.jp/M3/20110427/F51116/1636/1", 36.29)</f>
        <v>36.29</v>
      </c>
      <c r="E7026" s="2">
        <v>17.16</v>
      </c>
      <c r="F7026" s="2">
        <v>2</v>
      </c>
      <c r="G7026" s="2" t="s">
        <v>13</v>
      </c>
    </row>
    <row r="7027" spans="1:9" x14ac:dyDescent="0.2">
      <c r="A7027" s="2" t="s">
        <v>3782</v>
      </c>
      <c r="B7027" s="2" t="s">
        <v>818</v>
      </c>
      <c r="C7027" s="2">
        <v>739.18520000000001</v>
      </c>
      <c r="D7027" s="2">
        <f>HYPERLINK("http://mcb-m6.bioreg.kyushu-u.ac.jp/M3/20110427/F51115/1972/1", 37.7)</f>
        <v>37.700000000000003</v>
      </c>
      <c r="E7027" s="2">
        <v>24.03</v>
      </c>
      <c r="F7027" s="2">
        <v>2</v>
      </c>
      <c r="G7027" s="2" t="s">
        <v>13</v>
      </c>
    </row>
    <row r="7028" spans="1:9" x14ac:dyDescent="0.2">
      <c r="A7028" s="2" t="s">
        <v>3782</v>
      </c>
      <c r="B7028" s="2" t="s">
        <v>835</v>
      </c>
      <c r="C7028" s="2">
        <v>930.27620000000002</v>
      </c>
      <c r="D7028" s="2">
        <f>HYPERLINK("http://mcb-m6.bioreg.kyushu-u.ac.jp/M3/20110427/F51115/2729/1", 65.4)</f>
        <v>65.400000000000006</v>
      </c>
      <c r="E7028" s="2">
        <v>53.43</v>
      </c>
      <c r="F7028" s="2">
        <v>2</v>
      </c>
      <c r="G7028" s="2" t="s">
        <v>13</v>
      </c>
      <c r="I7028" s="2" t="s">
        <v>4895</v>
      </c>
    </row>
    <row r="7029" spans="1:9" x14ac:dyDescent="0.2">
      <c r="A7029" s="2" t="s">
        <v>3782</v>
      </c>
      <c r="B7029" s="2" t="s">
        <v>835</v>
      </c>
      <c r="C7029" s="2">
        <v>930.19960000000003</v>
      </c>
      <c r="D7029" s="2">
        <f>HYPERLINK("http://mcb-m6.bioreg.kyushu-u.ac.jp/M3/20110427/F51116/2866/1", 72.45)</f>
        <v>72.45</v>
      </c>
      <c r="E7029" s="2">
        <v>65.34</v>
      </c>
      <c r="F7029" s="2">
        <v>2</v>
      </c>
      <c r="G7029" s="2" t="s">
        <v>13</v>
      </c>
      <c r="I7029" s="2" t="s">
        <v>4895</v>
      </c>
    </row>
    <row r="7030" spans="1:9" x14ac:dyDescent="0.2">
      <c r="A7030" s="2" t="s">
        <v>3782</v>
      </c>
      <c r="B7030" s="2" t="s">
        <v>2681</v>
      </c>
      <c r="C7030" s="2">
        <v>848.6902</v>
      </c>
      <c r="D7030" s="2">
        <f>HYPERLINK("http://mcb-m6.bioreg.kyushu-u.ac.jp/M3/20110427/F51116/2560/1", 76.38)</f>
        <v>76.38</v>
      </c>
      <c r="E7030" s="2">
        <v>57.34</v>
      </c>
      <c r="F7030" s="2">
        <v>2</v>
      </c>
      <c r="G7030" s="2" t="s">
        <v>13</v>
      </c>
      <c r="I7030" s="2" t="s">
        <v>4890</v>
      </c>
    </row>
    <row r="7031" spans="1:9" x14ac:dyDescent="0.2">
      <c r="A7031" s="2" t="s">
        <v>3782</v>
      </c>
      <c r="B7031" s="2" t="s">
        <v>2146</v>
      </c>
      <c r="C7031" s="2">
        <v>774.22559999999999</v>
      </c>
      <c r="D7031" s="2">
        <f>HYPERLINK("http://mcb-m6.bioreg.kyushu-u.ac.jp/M3/20110427/F51115/2108/1", 76.59)</f>
        <v>76.59</v>
      </c>
      <c r="E7031" s="2">
        <v>60.3</v>
      </c>
      <c r="F7031" s="2">
        <v>2</v>
      </c>
      <c r="G7031" s="2" t="s">
        <v>13</v>
      </c>
    </row>
    <row r="7032" spans="1:9" x14ac:dyDescent="0.2">
      <c r="A7032" s="2" t="s">
        <v>3782</v>
      </c>
      <c r="B7032" s="2" t="s">
        <v>1287</v>
      </c>
      <c r="C7032" s="2">
        <v>662.75819999999999</v>
      </c>
      <c r="D7032" s="2">
        <f>HYPERLINK("http://mcb-m6.bioreg.kyushu-u.ac.jp/M3/20110427/F51116/1635/1", 81.16)</f>
        <v>81.16</v>
      </c>
      <c r="E7032" s="2">
        <v>59.95</v>
      </c>
      <c r="F7032" s="2">
        <v>2</v>
      </c>
      <c r="G7032" s="2" t="s">
        <v>13</v>
      </c>
    </row>
    <row r="7033" spans="1:9" x14ac:dyDescent="0.2">
      <c r="A7033" s="2" t="s">
        <v>3782</v>
      </c>
      <c r="B7033" s="2" t="s">
        <v>1287</v>
      </c>
      <c r="C7033" s="2">
        <v>662.65520000000004</v>
      </c>
      <c r="D7033" s="2">
        <f>HYPERLINK("http://mcb-m6.bioreg.kyushu-u.ac.jp/M3/20110427/F51115/1615/1", 88.38)</f>
        <v>88.38</v>
      </c>
      <c r="E7033" s="2">
        <v>66.09</v>
      </c>
      <c r="F7033" s="2">
        <v>2</v>
      </c>
      <c r="G7033" s="2" t="s">
        <v>13</v>
      </c>
    </row>
    <row r="7034" spans="1:9" x14ac:dyDescent="0.2">
      <c r="A7034" s="2" t="s">
        <v>3782</v>
      </c>
      <c r="B7034" s="2" t="s">
        <v>2442</v>
      </c>
      <c r="C7034" s="2">
        <v>1025.5150000000001</v>
      </c>
      <c r="D7034" s="2">
        <f>HYPERLINK("http://mcb-m6.bioreg.kyushu-u.ac.jp/M3/20110427/F51116/3123/1", 93.25)</f>
        <v>93.25</v>
      </c>
      <c r="E7034" s="2">
        <v>77.94</v>
      </c>
      <c r="F7034" s="2">
        <v>2</v>
      </c>
      <c r="G7034" s="2" t="s">
        <v>13</v>
      </c>
      <c r="I7034" s="2" t="s">
        <v>4903</v>
      </c>
    </row>
    <row r="7035" spans="1:9" x14ac:dyDescent="0.2">
      <c r="A7035" s="2" t="s">
        <v>3782</v>
      </c>
      <c r="B7035" s="2" t="s">
        <v>2146</v>
      </c>
      <c r="C7035" s="2">
        <v>774.30619999999999</v>
      </c>
      <c r="D7035" s="2">
        <f>HYPERLINK("http://mcb-m6.bioreg.kyushu-u.ac.jp/M3/20110427/F51116/2209/1", 123.32)</f>
        <v>123.32</v>
      </c>
      <c r="E7035" s="2">
        <v>103.51</v>
      </c>
      <c r="F7035" s="2">
        <v>2</v>
      </c>
      <c r="G7035" s="2" t="s">
        <v>13</v>
      </c>
    </row>
    <row r="7036" spans="1:9" x14ac:dyDescent="0.2">
      <c r="A7036" s="2" t="s">
        <v>3782</v>
      </c>
      <c r="B7036" s="2" t="s">
        <v>1892</v>
      </c>
      <c r="C7036" s="2">
        <v>629.74159999999995</v>
      </c>
      <c r="D7036" s="2">
        <f>HYPERLINK("http://mcb-m6.bioreg.kyushu-u.ac.jp/M3/20110427/F51125/1676/1", 36.01)</f>
        <v>36.01</v>
      </c>
      <c r="E7036" s="2">
        <v>14.86</v>
      </c>
      <c r="F7036" s="2">
        <v>2</v>
      </c>
      <c r="G7036" s="2" t="s">
        <v>14</v>
      </c>
    </row>
    <row r="7037" spans="1:9" x14ac:dyDescent="0.2">
      <c r="A7037" s="2" t="s">
        <v>3782</v>
      </c>
      <c r="B7037" s="2" t="s">
        <v>818</v>
      </c>
      <c r="C7037" s="2">
        <v>739.04520000000002</v>
      </c>
      <c r="D7037" s="2">
        <f>HYPERLINK("http://mcb-m6.bioreg.kyushu-u.ac.jp/M3/20110427/F51125/2066/1", 48.11)</f>
        <v>48.11</v>
      </c>
      <c r="E7037" s="2">
        <v>21.26</v>
      </c>
      <c r="F7037" s="2">
        <v>2</v>
      </c>
      <c r="G7037" s="2" t="s">
        <v>14</v>
      </c>
    </row>
    <row r="7038" spans="1:9" x14ac:dyDescent="0.2">
      <c r="A7038" s="2" t="s">
        <v>3782</v>
      </c>
      <c r="B7038" s="2" t="s">
        <v>2681</v>
      </c>
      <c r="C7038" s="2">
        <v>848.64919999999995</v>
      </c>
      <c r="D7038" s="2">
        <f>HYPERLINK("http://mcb-m6.bioreg.kyushu-u.ac.jp/M3/20110427/F51125/2540/1", 69.09)</f>
        <v>69.09</v>
      </c>
      <c r="E7038" s="2">
        <v>52.46</v>
      </c>
      <c r="F7038" s="2">
        <v>2</v>
      </c>
      <c r="G7038" s="2" t="s">
        <v>14</v>
      </c>
      <c r="I7038" s="2" t="s">
        <v>4890</v>
      </c>
    </row>
    <row r="7039" spans="1:9" x14ac:dyDescent="0.2">
      <c r="A7039" s="2" t="s">
        <v>3782</v>
      </c>
      <c r="B7039" s="2" t="s">
        <v>835</v>
      </c>
      <c r="C7039" s="2">
        <v>930.86519999999996</v>
      </c>
      <c r="D7039" s="2">
        <f>HYPERLINK("http://mcb-m6.bioreg.kyushu-u.ac.jp/M3/20110427/F51125/2827/1", 75.7)</f>
        <v>75.7</v>
      </c>
      <c r="E7039" s="2">
        <v>61.84</v>
      </c>
      <c r="F7039" s="2">
        <v>2</v>
      </c>
      <c r="G7039" s="2" t="s">
        <v>14</v>
      </c>
      <c r="I7039" s="2" t="s">
        <v>4895</v>
      </c>
    </row>
    <row r="7040" spans="1:9" x14ac:dyDescent="0.2">
      <c r="A7040" s="2" t="s">
        <v>3782</v>
      </c>
      <c r="B7040" s="2" t="s">
        <v>835</v>
      </c>
      <c r="C7040" s="2">
        <v>930.06709999999998</v>
      </c>
      <c r="D7040" s="2">
        <f>HYPERLINK("http://mcb-m6.bioreg.kyushu-u.ac.jp/M3/20110427/F51125/2823/1", 83.43)</f>
        <v>83.43</v>
      </c>
      <c r="E7040" s="2">
        <v>67.599999999999994</v>
      </c>
      <c r="F7040" s="2">
        <v>2</v>
      </c>
      <c r="G7040" s="2" t="s">
        <v>14</v>
      </c>
      <c r="I7040" s="2" t="s">
        <v>4895</v>
      </c>
    </row>
    <row r="7041" spans="1:9" x14ac:dyDescent="0.2">
      <c r="A7041" s="2" t="s">
        <v>3782</v>
      </c>
      <c r="B7041" s="2" t="s">
        <v>1287</v>
      </c>
      <c r="C7041" s="2">
        <v>662.83219999999994</v>
      </c>
      <c r="D7041" s="2">
        <f>HYPERLINK("http://mcb-m6.bioreg.kyushu-u.ac.jp/M3/20110427/F51125/1758/1", 92.17)</f>
        <v>92.17</v>
      </c>
      <c r="E7041" s="2">
        <v>71.27</v>
      </c>
      <c r="F7041" s="2">
        <v>2</v>
      </c>
      <c r="G7041" s="2" t="s">
        <v>14</v>
      </c>
    </row>
    <row r="7042" spans="1:9" x14ac:dyDescent="0.2">
      <c r="A7042" s="2" t="s">
        <v>7794</v>
      </c>
      <c r="B7042" s="2" t="s">
        <v>6701</v>
      </c>
      <c r="C7042" s="2">
        <v>675.36159999999995</v>
      </c>
      <c r="D7042" s="2">
        <f>HYPERLINK("http://mcb-m6.bioreg.kyushu-u.ac.jp/M3/20110404/F50761/1548/1", 36.84)</f>
        <v>36.840000000000003</v>
      </c>
      <c r="E7042" s="2">
        <v>19.57</v>
      </c>
      <c r="F7042" s="2">
        <v>2</v>
      </c>
      <c r="G7042" s="2" t="s">
        <v>10</v>
      </c>
    </row>
    <row r="7043" spans="1:9" x14ac:dyDescent="0.2">
      <c r="A7043" s="2" t="s">
        <v>8011</v>
      </c>
      <c r="B7043" s="2" t="s">
        <v>7247</v>
      </c>
      <c r="C7043" s="2">
        <v>914.71969999999999</v>
      </c>
      <c r="D7043" s="2">
        <f>HYPERLINK("http://mcb-m6.bioreg.kyushu-u.ac.jp/M3/20110421/F51044/2796/1", 62.36)</f>
        <v>62.36</v>
      </c>
      <c r="E7043" s="2">
        <v>57.83</v>
      </c>
      <c r="F7043" s="2">
        <v>2</v>
      </c>
      <c r="G7043" s="2" t="s">
        <v>12</v>
      </c>
    </row>
    <row r="7044" spans="1:9" x14ac:dyDescent="0.2">
      <c r="A7044" s="2" t="s">
        <v>8011</v>
      </c>
      <c r="B7044" s="2" t="s">
        <v>7247</v>
      </c>
      <c r="C7044" s="2">
        <v>914.69169999999997</v>
      </c>
      <c r="D7044" s="2">
        <f>HYPERLINK("http://mcb-m6.bioreg.kyushu-u.ac.jp/M3/20110427/F51123/2806/1", 60.79)</f>
        <v>60.79</v>
      </c>
      <c r="E7044" s="2">
        <v>49.39</v>
      </c>
      <c r="F7044" s="2">
        <v>2</v>
      </c>
      <c r="G7044" s="2" t="s">
        <v>14</v>
      </c>
    </row>
    <row r="7045" spans="1:9" x14ac:dyDescent="0.2">
      <c r="A7045" s="2" t="s">
        <v>7861</v>
      </c>
      <c r="B7045" s="2" t="s">
        <v>6849</v>
      </c>
      <c r="C7045" s="2">
        <v>681.29060000000004</v>
      </c>
      <c r="D7045" s="2">
        <f>HYPERLINK("http://mcb-m6.bioreg.kyushu-u.ac.jp/M3/20110404/F50768/1633/1", 50)</f>
        <v>50</v>
      </c>
      <c r="E7045" s="2">
        <v>34.31</v>
      </c>
      <c r="F7045" s="2">
        <v>2</v>
      </c>
      <c r="G7045" s="2" t="s">
        <v>10</v>
      </c>
    </row>
    <row r="7046" spans="1:9" x14ac:dyDescent="0.2">
      <c r="A7046" s="2" t="s">
        <v>4391</v>
      </c>
      <c r="B7046" s="2" t="s">
        <v>2231</v>
      </c>
      <c r="C7046" s="2">
        <v>930.01499999999999</v>
      </c>
      <c r="D7046" s="2">
        <f>HYPERLINK("http://mcb-m6.bioreg.kyushu-u.ac.jp/M3/20110421/F51014/1078/1", 43.59)</f>
        <v>43.59</v>
      </c>
      <c r="E7046" s="2">
        <v>34.54</v>
      </c>
      <c r="F7046" s="2">
        <v>1</v>
      </c>
      <c r="G7046" s="2" t="s">
        <v>11</v>
      </c>
    </row>
    <row r="7047" spans="1:9" x14ac:dyDescent="0.2">
      <c r="A7047" s="2" t="s">
        <v>4391</v>
      </c>
      <c r="B7047" s="2" t="s">
        <v>2231</v>
      </c>
      <c r="C7047" s="2">
        <v>930.22</v>
      </c>
      <c r="D7047" s="2">
        <f>HYPERLINK("http://mcb-m6.bioreg.kyushu-u.ac.jp/M3/20110427/F51108/1091/1", 40.85)</f>
        <v>40.85</v>
      </c>
      <c r="E7047" s="2">
        <v>26.96</v>
      </c>
      <c r="F7047" s="2">
        <v>1</v>
      </c>
      <c r="G7047" s="2" t="s">
        <v>13</v>
      </c>
    </row>
    <row r="7048" spans="1:9" x14ac:dyDescent="0.2">
      <c r="A7048" s="2" t="s">
        <v>4416</v>
      </c>
      <c r="B7048" s="2" t="s">
        <v>2277</v>
      </c>
      <c r="C7048" s="2">
        <v>611.71010000000001</v>
      </c>
      <c r="D7048" s="2">
        <f>HYPERLINK("http://mcb-m6.bioreg.kyushu-u.ac.jp/M3/20110421/F51014/1644/1", 52.57)</f>
        <v>52.57</v>
      </c>
      <c r="E7048" s="2">
        <v>26.61</v>
      </c>
      <c r="F7048" s="2">
        <v>2</v>
      </c>
      <c r="G7048" s="2" t="s">
        <v>11</v>
      </c>
      <c r="I7048" s="2" t="s">
        <v>4892</v>
      </c>
    </row>
    <row r="7049" spans="1:9" x14ac:dyDescent="0.2">
      <c r="A7049" s="2" t="s">
        <v>4469</v>
      </c>
      <c r="B7049" s="2" t="s">
        <v>2408</v>
      </c>
      <c r="C7049" s="2">
        <v>680.63819999999998</v>
      </c>
      <c r="D7049" s="2">
        <f>HYPERLINK("http://mcb-m6.bioreg.kyushu-u.ac.jp/M3/20110421/F51021/1709/1", 55.55)</f>
        <v>55.55</v>
      </c>
      <c r="E7049" s="2">
        <v>33.96</v>
      </c>
      <c r="F7049" s="2">
        <v>2</v>
      </c>
      <c r="G7049" s="2" t="s">
        <v>12</v>
      </c>
    </row>
    <row r="7050" spans="1:9" x14ac:dyDescent="0.2">
      <c r="A7050" s="2" t="s">
        <v>3841</v>
      </c>
      <c r="B7050" s="2" t="s">
        <v>931</v>
      </c>
      <c r="C7050" s="2">
        <v>563.55989999999997</v>
      </c>
      <c r="D7050" s="2">
        <f>HYPERLINK("http://mcb-m6.bioreg.kyushu-u.ac.jp/M3/20110404/F50753/2406/1", 37.3)</f>
        <v>37.299999999999997</v>
      </c>
      <c r="E7050" s="2">
        <v>23.21</v>
      </c>
      <c r="F7050" s="2">
        <v>3</v>
      </c>
      <c r="G7050" s="2" t="s">
        <v>9</v>
      </c>
    </row>
    <row r="7051" spans="1:9" x14ac:dyDescent="0.2">
      <c r="A7051" s="2" t="s">
        <v>3841</v>
      </c>
      <c r="B7051" s="2" t="s">
        <v>2242</v>
      </c>
      <c r="C7051" s="2">
        <v>471.01459999999997</v>
      </c>
      <c r="D7051" s="2">
        <f>HYPERLINK("http://mcb-m6.bioreg.kyushu-u.ac.jp/M3/20110404/F50753/1122/1", 40.5)</f>
        <v>40.5</v>
      </c>
      <c r="E7051" s="2">
        <v>16.09</v>
      </c>
      <c r="F7051" s="2">
        <v>2</v>
      </c>
      <c r="G7051" s="2" t="s">
        <v>9</v>
      </c>
    </row>
    <row r="7052" spans="1:9" x14ac:dyDescent="0.2">
      <c r="A7052" s="2" t="s">
        <v>3841</v>
      </c>
      <c r="B7052" s="2" t="s">
        <v>931</v>
      </c>
      <c r="C7052" s="2">
        <v>845.24620000000004</v>
      </c>
      <c r="D7052" s="2">
        <f>HYPERLINK("http://mcb-m6.bioreg.kyushu-u.ac.jp/M3/20110404/F50753/2408/1", 72.49)</f>
        <v>72.489999999999995</v>
      </c>
      <c r="E7052" s="2">
        <v>52.44</v>
      </c>
      <c r="F7052" s="2">
        <v>2</v>
      </c>
      <c r="G7052" s="2" t="s">
        <v>9</v>
      </c>
    </row>
    <row r="7053" spans="1:9" x14ac:dyDescent="0.2">
      <c r="A7053" s="2" t="s">
        <v>3841</v>
      </c>
      <c r="B7053" s="2" t="s">
        <v>931</v>
      </c>
      <c r="C7053" s="2">
        <v>844.79819999999995</v>
      </c>
      <c r="D7053" s="2">
        <f>HYPERLINK("http://mcb-m6.bioreg.kyushu-u.ac.jp/M3/20110404/F50754/2428/1", 86.24)</f>
        <v>86.24</v>
      </c>
      <c r="E7053" s="2">
        <v>59.98</v>
      </c>
      <c r="F7053" s="2">
        <v>2</v>
      </c>
      <c r="G7053" s="2" t="s">
        <v>9</v>
      </c>
    </row>
    <row r="7054" spans="1:9" x14ac:dyDescent="0.2">
      <c r="A7054" s="2" t="s">
        <v>3841</v>
      </c>
      <c r="B7054" s="2" t="s">
        <v>931</v>
      </c>
      <c r="C7054" s="2">
        <v>844.83870000000002</v>
      </c>
      <c r="D7054" s="2">
        <f>HYPERLINK("http://mcb-m6.bioreg.kyushu-u.ac.jp/M3/20110404/F50758/2265/1", 75.51)</f>
        <v>75.510000000000005</v>
      </c>
      <c r="E7054" s="2">
        <v>60.36</v>
      </c>
      <c r="F7054" s="2">
        <v>2</v>
      </c>
      <c r="G7054" s="2" t="s">
        <v>10</v>
      </c>
    </row>
    <row r="7055" spans="1:9" x14ac:dyDescent="0.2">
      <c r="A7055" s="2" t="s">
        <v>3841</v>
      </c>
      <c r="B7055" s="2" t="s">
        <v>931</v>
      </c>
      <c r="C7055" s="2">
        <v>844.75570000000005</v>
      </c>
      <c r="D7055" s="2">
        <f>HYPERLINK("http://mcb-m6.bioreg.kyushu-u.ac.jp/M3/20110421/F51017/2591/1", 80.35)</f>
        <v>80.349999999999994</v>
      </c>
      <c r="E7055" s="2">
        <v>63.44</v>
      </c>
      <c r="F7055" s="2">
        <v>2</v>
      </c>
      <c r="G7055" s="2" t="s">
        <v>11</v>
      </c>
    </row>
    <row r="7056" spans="1:9" x14ac:dyDescent="0.2">
      <c r="A7056" s="2" t="s">
        <v>3841</v>
      </c>
      <c r="B7056" s="2" t="s">
        <v>931</v>
      </c>
      <c r="C7056" s="2">
        <v>845.3691</v>
      </c>
      <c r="D7056" s="2">
        <f>HYPERLINK("http://mcb-m6.bioreg.kyushu-u.ac.jp/M3/20110421/F51017/2593/1", 84.19)</f>
        <v>84.19</v>
      </c>
      <c r="E7056" s="2">
        <v>69.3</v>
      </c>
      <c r="F7056" s="2">
        <v>2</v>
      </c>
      <c r="G7056" s="2" t="s">
        <v>11</v>
      </c>
    </row>
    <row r="7057" spans="1:8" x14ac:dyDescent="0.2">
      <c r="A7057" s="2" t="s">
        <v>3841</v>
      </c>
      <c r="B7057" s="2" t="s">
        <v>931</v>
      </c>
      <c r="C7057" s="2">
        <v>844.82259999999997</v>
      </c>
      <c r="D7057" s="2">
        <f>HYPERLINK("http://mcb-m6.bioreg.kyushu-u.ac.jp/M3/20110427/F51111/2638/1", 80.04)</f>
        <v>80.040000000000006</v>
      </c>
      <c r="E7057" s="2">
        <v>62.55</v>
      </c>
      <c r="F7057" s="2">
        <v>2</v>
      </c>
      <c r="G7057" s="2" t="s">
        <v>13</v>
      </c>
    </row>
    <row r="7058" spans="1:8" x14ac:dyDescent="0.2">
      <c r="A7058" s="2" t="s">
        <v>7689</v>
      </c>
      <c r="B7058" s="2" t="s">
        <v>6332</v>
      </c>
      <c r="C7058" s="2">
        <v>732.16309999999999</v>
      </c>
      <c r="D7058" s="2">
        <f>HYPERLINK("http://mcb-m6.bioreg.kyushu-u.ac.jp/M3/20110404/F50752/2082/1", 53.63)</f>
        <v>53.63</v>
      </c>
      <c r="E7058" s="2">
        <v>42.65</v>
      </c>
      <c r="F7058" s="2">
        <v>2</v>
      </c>
      <c r="G7058" s="2" t="s">
        <v>9</v>
      </c>
    </row>
    <row r="7059" spans="1:8" x14ac:dyDescent="0.2">
      <c r="A7059" s="2" t="s">
        <v>7689</v>
      </c>
      <c r="B7059" s="2" t="s">
        <v>6332</v>
      </c>
      <c r="C7059" s="2">
        <v>740.1191</v>
      </c>
      <c r="D7059" s="2">
        <f>HYPERLINK("http://mcb-m6.bioreg.kyushu-u.ac.jp/M3/20110404/F50752/2109/1", 57.12)</f>
        <v>57.12</v>
      </c>
      <c r="E7059" s="2">
        <v>44.51</v>
      </c>
      <c r="F7059" s="2">
        <v>2</v>
      </c>
      <c r="G7059" s="2" t="s">
        <v>9</v>
      </c>
      <c r="H7059" s="2" t="s">
        <v>4925</v>
      </c>
    </row>
    <row r="7060" spans="1:8" x14ac:dyDescent="0.2">
      <c r="A7060" s="2" t="s">
        <v>7689</v>
      </c>
      <c r="B7060" s="2" t="s">
        <v>6332</v>
      </c>
      <c r="C7060" s="2">
        <v>740.27919999999995</v>
      </c>
      <c r="D7060" s="2">
        <f>HYPERLINK("http://mcb-m6.bioreg.kyushu-u.ac.jp/M3/20110404/F50757/2097/1", 47.14)</f>
        <v>47.14</v>
      </c>
      <c r="E7060" s="2">
        <v>32.49</v>
      </c>
      <c r="F7060" s="2">
        <v>2</v>
      </c>
      <c r="G7060" s="2" t="s">
        <v>10</v>
      </c>
      <c r="H7060" s="2" t="s">
        <v>4925</v>
      </c>
    </row>
    <row r="7061" spans="1:8" x14ac:dyDescent="0.2">
      <c r="A7061" s="2" t="s">
        <v>7689</v>
      </c>
      <c r="B7061" s="2" t="s">
        <v>6332</v>
      </c>
      <c r="C7061" s="2">
        <v>731.78520000000003</v>
      </c>
      <c r="D7061" s="2">
        <f>HYPERLINK("http://mcb-m6.bioreg.kyushu-u.ac.jp/M3/20110421/F51016/2047/1", 53.76)</f>
        <v>53.76</v>
      </c>
      <c r="E7061" s="2">
        <v>41.78</v>
      </c>
      <c r="F7061" s="2">
        <v>2</v>
      </c>
      <c r="G7061" s="2" t="s">
        <v>11</v>
      </c>
    </row>
    <row r="7062" spans="1:8" x14ac:dyDescent="0.2">
      <c r="A7062" s="2" t="s">
        <v>7689</v>
      </c>
      <c r="B7062" s="2" t="s">
        <v>6332</v>
      </c>
      <c r="C7062" s="2">
        <v>740.25160000000005</v>
      </c>
      <c r="D7062" s="2">
        <f>HYPERLINK("http://mcb-m6.bioreg.kyushu-u.ac.jp/M3/20110421/F51016/2079/1", 89.93)</f>
        <v>89.93</v>
      </c>
      <c r="E7062" s="2">
        <v>73.67</v>
      </c>
      <c r="F7062" s="2">
        <v>2</v>
      </c>
      <c r="G7062" s="2" t="s">
        <v>11</v>
      </c>
      <c r="H7062" s="2" t="s">
        <v>4925</v>
      </c>
    </row>
    <row r="7063" spans="1:8" x14ac:dyDescent="0.2">
      <c r="A7063" s="2" t="s">
        <v>7689</v>
      </c>
      <c r="B7063" s="2" t="s">
        <v>6332</v>
      </c>
      <c r="C7063" s="2">
        <v>740.28420000000006</v>
      </c>
      <c r="D7063" s="2">
        <f>HYPERLINK("http://mcb-m6.bioreg.kyushu-u.ac.jp/M3/20110421/F51022/2015/1", 60.27)</f>
        <v>60.27</v>
      </c>
      <c r="E7063" s="2">
        <v>45.04</v>
      </c>
      <c r="F7063" s="2">
        <v>2</v>
      </c>
      <c r="G7063" s="2" t="s">
        <v>12</v>
      </c>
      <c r="H7063" s="2" t="s">
        <v>4925</v>
      </c>
    </row>
    <row r="7064" spans="1:8" x14ac:dyDescent="0.2">
      <c r="A7064" s="2" t="s">
        <v>7689</v>
      </c>
      <c r="B7064" s="2" t="s">
        <v>6332</v>
      </c>
      <c r="C7064" s="2">
        <v>740.26969999999994</v>
      </c>
      <c r="D7064" s="2">
        <f>HYPERLINK("http://mcb-m6.bioreg.kyushu-u.ac.jp/M3/20110427/F51110/2169/1", 42.29)</f>
        <v>42.29</v>
      </c>
      <c r="E7064" s="2">
        <v>31.68</v>
      </c>
      <c r="F7064" s="2">
        <v>2</v>
      </c>
      <c r="G7064" s="2" t="s">
        <v>13</v>
      </c>
      <c r="H7064" s="2" t="s">
        <v>4925</v>
      </c>
    </row>
    <row r="7065" spans="1:8" x14ac:dyDescent="0.2">
      <c r="A7065" s="2" t="s">
        <v>7689</v>
      </c>
      <c r="B7065" s="2" t="s">
        <v>6332</v>
      </c>
      <c r="C7065" s="2">
        <v>740.20169999999996</v>
      </c>
      <c r="D7065" s="2">
        <f>HYPERLINK("http://mcb-m6.bioreg.kyushu-u.ac.jp/M3/20110427/F51119/2114/1", 46.61)</f>
        <v>46.61</v>
      </c>
      <c r="E7065" s="2">
        <v>33.9</v>
      </c>
      <c r="F7065" s="2">
        <v>2</v>
      </c>
      <c r="G7065" s="2" t="s">
        <v>14</v>
      </c>
      <c r="H7065" s="2" t="s">
        <v>4925</v>
      </c>
    </row>
    <row r="7066" spans="1:8" x14ac:dyDescent="0.2">
      <c r="A7066" s="2" t="s">
        <v>7674</v>
      </c>
      <c r="B7066" s="2" t="s">
        <v>6296</v>
      </c>
      <c r="C7066" s="2">
        <v>493.8741</v>
      </c>
      <c r="D7066" s="2">
        <f>HYPERLINK("http://mcb-m6.bioreg.kyushu-u.ac.jp/M3/20110404/F50752/1331/1", 51.33)</f>
        <v>51.33</v>
      </c>
      <c r="E7066" s="2">
        <v>16.5</v>
      </c>
      <c r="F7066" s="2">
        <v>2</v>
      </c>
      <c r="G7066" s="2" t="s">
        <v>9</v>
      </c>
    </row>
    <row r="7067" spans="1:8" x14ac:dyDescent="0.2">
      <c r="A7067" s="2" t="s">
        <v>7986</v>
      </c>
      <c r="B7067" s="2" t="s">
        <v>7205</v>
      </c>
      <c r="C7067" s="2">
        <v>505.2346</v>
      </c>
      <c r="D7067" s="2">
        <f>HYPERLINK("http://mcb-m6.bioreg.kyushu-u.ac.jp/M3/20110421/F51021/860/1", 44.03)</f>
        <v>44.03</v>
      </c>
      <c r="E7067" s="2">
        <v>23.75</v>
      </c>
      <c r="F7067" s="2">
        <v>2</v>
      </c>
      <c r="G7067" s="2" t="s">
        <v>12</v>
      </c>
    </row>
    <row r="7068" spans="1:8" x14ac:dyDescent="0.2">
      <c r="A7068" s="2" t="s">
        <v>3475</v>
      </c>
      <c r="B7068" s="2" t="s">
        <v>292</v>
      </c>
      <c r="C7068" s="2">
        <v>500.2801</v>
      </c>
      <c r="D7068" s="2">
        <f>HYPERLINK("http://mcb-m6.bioreg.kyushu-u.ac.jp/M3/20110404/F50763/1085/1", 42.76)</f>
        <v>42.76</v>
      </c>
      <c r="E7068" s="2">
        <v>15.6</v>
      </c>
      <c r="F7068" s="2">
        <v>2</v>
      </c>
      <c r="G7068" s="2" t="s">
        <v>9</v>
      </c>
    </row>
    <row r="7069" spans="1:8" x14ac:dyDescent="0.2">
      <c r="A7069" s="2" t="s">
        <v>3475</v>
      </c>
      <c r="B7069" s="2" t="s">
        <v>2473</v>
      </c>
      <c r="C7069" s="2">
        <v>532.74659999999994</v>
      </c>
      <c r="D7069" s="2">
        <f>HYPERLINK("http://mcb-m6.bioreg.kyushu-u.ac.jp/M3/20110404/F50763/1188/1", 53.76)</f>
        <v>53.76</v>
      </c>
      <c r="E7069" s="2">
        <v>25.97</v>
      </c>
      <c r="F7069" s="2">
        <v>2</v>
      </c>
      <c r="G7069" s="2" t="s">
        <v>9</v>
      </c>
    </row>
    <row r="7070" spans="1:8" x14ac:dyDescent="0.2">
      <c r="A7070" s="2" t="s">
        <v>3475</v>
      </c>
      <c r="B7070" s="2" t="s">
        <v>1180</v>
      </c>
      <c r="C7070" s="2">
        <v>966.87070000000006</v>
      </c>
      <c r="D7070" s="2">
        <f>HYPERLINK("http://mcb-m6.bioreg.kyushu-u.ac.jp/M3/20110404/F50777/2755/1", 65.13)</f>
        <v>65.13</v>
      </c>
      <c r="E7070" s="2">
        <v>46.13</v>
      </c>
      <c r="F7070" s="2">
        <v>2</v>
      </c>
      <c r="G7070" s="2" t="s">
        <v>9</v>
      </c>
    </row>
    <row r="7071" spans="1:8" x14ac:dyDescent="0.2">
      <c r="A7071" s="2" t="s">
        <v>3475</v>
      </c>
      <c r="B7071" s="2" t="s">
        <v>292</v>
      </c>
      <c r="C7071" s="2">
        <v>500.27109999999999</v>
      </c>
      <c r="D7071" s="2">
        <f>HYPERLINK("http://mcb-m6.bioreg.kyushu-u.ac.jp/M3/20110421/F51035/761/1", 41.06)</f>
        <v>41.06</v>
      </c>
      <c r="E7071" s="2">
        <v>11.9</v>
      </c>
      <c r="F7071" s="2">
        <v>2</v>
      </c>
      <c r="G7071" s="2" t="s">
        <v>11</v>
      </c>
    </row>
    <row r="7072" spans="1:8" x14ac:dyDescent="0.2">
      <c r="A7072" s="2" t="s">
        <v>3475</v>
      </c>
      <c r="B7072" s="2" t="s">
        <v>7117</v>
      </c>
      <c r="C7072" s="2">
        <v>678.02120000000002</v>
      </c>
      <c r="D7072" s="2">
        <f>HYPERLINK("http://mcb-m6.bioreg.kyushu-u.ac.jp/M3/20110421/F51037/1612/1", 48.35)</f>
        <v>48.35</v>
      </c>
      <c r="E7072" s="2">
        <v>29.07</v>
      </c>
      <c r="F7072" s="2">
        <v>2</v>
      </c>
      <c r="G7072" s="2" t="s">
        <v>11</v>
      </c>
    </row>
    <row r="7073" spans="1:7" x14ac:dyDescent="0.2">
      <c r="A7073" s="2" t="s">
        <v>3475</v>
      </c>
      <c r="B7073" s="2" t="s">
        <v>1180</v>
      </c>
      <c r="C7073" s="2">
        <v>967.44069999999999</v>
      </c>
      <c r="D7073" s="2">
        <f>HYPERLINK("http://mcb-m6.bioreg.kyushu-u.ac.jp/M3/20110421/F51039/3076/1", 54.52)</f>
        <v>54.52</v>
      </c>
      <c r="E7073" s="2">
        <v>46.05</v>
      </c>
      <c r="F7073" s="2">
        <v>2</v>
      </c>
      <c r="G7073" s="2" t="s">
        <v>11</v>
      </c>
    </row>
    <row r="7074" spans="1:7" x14ac:dyDescent="0.2">
      <c r="A7074" s="2" t="s">
        <v>3475</v>
      </c>
      <c r="B7074" s="2" t="s">
        <v>2473</v>
      </c>
      <c r="C7074" s="2">
        <v>532.75070000000005</v>
      </c>
      <c r="D7074" s="2">
        <f>HYPERLINK("http://mcb-m6.bioreg.kyushu-u.ac.jp/M3/20110421/F51018/1234/1", 61.54)</f>
        <v>61.54</v>
      </c>
      <c r="E7074" s="2">
        <v>39.119999999999997</v>
      </c>
      <c r="F7074" s="2">
        <v>2</v>
      </c>
      <c r="G7074" s="2" t="s">
        <v>11</v>
      </c>
    </row>
    <row r="7075" spans="1:7" x14ac:dyDescent="0.2">
      <c r="A7075" s="2" t="s">
        <v>3475</v>
      </c>
      <c r="B7075" s="2" t="s">
        <v>2473</v>
      </c>
      <c r="C7075" s="2">
        <v>532.69619999999998</v>
      </c>
      <c r="D7075" s="2">
        <f>HYPERLINK("http://mcb-m6.bioreg.kyushu-u.ac.jp/M3/20110421/F51035/921/1", 62.05)</f>
        <v>62.05</v>
      </c>
      <c r="E7075" s="2">
        <v>38.479999999999997</v>
      </c>
      <c r="F7075" s="2">
        <v>2</v>
      </c>
      <c r="G7075" s="2" t="s">
        <v>11</v>
      </c>
    </row>
    <row r="7076" spans="1:7" x14ac:dyDescent="0.2">
      <c r="A7076" s="2" t="s">
        <v>3475</v>
      </c>
      <c r="B7076" s="2" t="s">
        <v>2473</v>
      </c>
      <c r="C7076" s="2">
        <v>532.75210000000004</v>
      </c>
      <c r="D7076" s="2">
        <f>HYPERLINK("http://mcb-m6.bioreg.kyushu-u.ac.jp/M3/20110421/F51037/887/1", 74.54)</f>
        <v>74.540000000000006</v>
      </c>
      <c r="E7076" s="2">
        <v>43.53</v>
      </c>
      <c r="F7076" s="2">
        <v>2</v>
      </c>
      <c r="G7076" s="2" t="s">
        <v>11</v>
      </c>
    </row>
    <row r="7077" spans="1:7" x14ac:dyDescent="0.2">
      <c r="A7077" s="2" t="s">
        <v>3475</v>
      </c>
      <c r="B7077" s="2" t="s">
        <v>1180</v>
      </c>
      <c r="C7077" s="2">
        <v>966.83320000000003</v>
      </c>
      <c r="D7077" s="2">
        <f>HYPERLINK("http://mcb-m6.bioreg.kyushu-u.ac.jp/M3/20110421/F51037/3252/1", 104.21)</f>
        <v>104.21</v>
      </c>
      <c r="E7077" s="2">
        <v>81.510000000000005</v>
      </c>
      <c r="F7077" s="2">
        <v>2</v>
      </c>
      <c r="G7077" s="2" t="s">
        <v>11</v>
      </c>
    </row>
    <row r="7078" spans="1:7" x14ac:dyDescent="0.2">
      <c r="A7078" s="2" t="s">
        <v>3475</v>
      </c>
      <c r="B7078" s="2" t="s">
        <v>2473</v>
      </c>
      <c r="C7078" s="2">
        <v>532.53560000000004</v>
      </c>
      <c r="D7078" s="2">
        <f>HYPERLINK("http://mcb-m6.bioreg.kyushu-u.ac.jp/M3/20110427/F51114/1084/1", 40.14)</f>
        <v>40.14</v>
      </c>
      <c r="E7078" s="2">
        <v>18.670000000000002</v>
      </c>
      <c r="F7078" s="2">
        <v>2</v>
      </c>
      <c r="G7078" s="2" t="s">
        <v>13</v>
      </c>
    </row>
    <row r="7079" spans="1:7" x14ac:dyDescent="0.2">
      <c r="A7079" s="2" t="s">
        <v>3475</v>
      </c>
      <c r="B7079" s="2" t="s">
        <v>2473</v>
      </c>
      <c r="C7079" s="2">
        <v>532.61320000000001</v>
      </c>
      <c r="D7079" s="2">
        <f>HYPERLINK("http://mcb-m6.bioreg.kyushu-u.ac.jp/M3/20110428/F51132/1079/1", 43.61)</f>
        <v>43.61</v>
      </c>
      <c r="E7079" s="2">
        <v>15.1</v>
      </c>
      <c r="F7079" s="2">
        <v>2</v>
      </c>
      <c r="G7079" s="2" t="s">
        <v>13</v>
      </c>
    </row>
    <row r="7080" spans="1:7" x14ac:dyDescent="0.2">
      <c r="A7080" s="2" t="s">
        <v>3475</v>
      </c>
      <c r="B7080" s="2" t="s">
        <v>292</v>
      </c>
      <c r="C7080" s="2">
        <v>500.16109999999998</v>
      </c>
      <c r="D7080" s="2">
        <f>HYPERLINK("http://mcb-m6.bioreg.kyushu-u.ac.jp/M3/20110428/F51127/758/1", 46.21)</f>
        <v>46.21</v>
      </c>
      <c r="E7080" s="2">
        <v>22.21</v>
      </c>
      <c r="F7080" s="2">
        <v>2</v>
      </c>
      <c r="G7080" s="2" t="s">
        <v>13</v>
      </c>
    </row>
    <row r="7081" spans="1:7" x14ac:dyDescent="0.2">
      <c r="A7081" s="2" t="s">
        <v>3475</v>
      </c>
      <c r="B7081" s="2" t="s">
        <v>2918</v>
      </c>
      <c r="C7081" s="2">
        <v>602.67769999999996</v>
      </c>
      <c r="D7081" s="2">
        <f>HYPERLINK("http://mcb-m6.bioreg.kyushu-u.ac.jp/M3/20110428/F51127/1219/1", 55.6)</f>
        <v>55.6</v>
      </c>
      <c r="E7081" s="2">
        <v>41.22</v>
      </c>
      <c r="F7081" s="2">
        <v>2</v>
      </c>
      <c r="G7081" s="2" t="s">
        <v>13</v>
      </c>
    </row>
    <row r="7082" spans="1:7" x14ac:dyDescent="0.2">
      <c r="A7082" s="2" t="s">
        <v>3475</v>
      </c>
      <c r="B7082" s="2" t="s">
        <v>1180</v>
      </c>
      <c r="C7082" s="2">
        <v>966.8297</v>
      </c>
      <c r="D7082" s="2">
        <f>HYPERLINK("http://mcb-m6.bioreg.kyushu-u.ac.jp/M3/20110428/F51132/2966/1", 72.13)</f>
        <v>72.13</v>
      </c>
      <c r="E7082" s="2">
        <v>53.11</v>
      </c>
      <c r="F7082" s="2">
        <v>2</v>
      </c>
      <c r="G7082" s="2" t="s">
        <v>13</v>
      </c>
    </row>
    <row r="7083" spans="1:7" x14ac:dyDescent="0.2">
      <c r="A7083" s="2" t="s">
        <v>3475</v>
      </c>
      <c r="B7083" s="2" t="s">
        <v>2473</v>
      </c>
      <c r="C7083" s="2">
        <v>532.0566</v>
      </c>
      <c r="D7083" s="2">
        <f>HYPERLINK("http://mcb-m6.bioreg.kyushu-u.ac.jp/M3/20110428/F51127/903/1", 75.16)</f>
        <v>75.16</v>
      </c>
      <c r="E7083" s="2">
        <v>43.46</v>
      </c>
      <c r="F7083" s="2">
        <v>2</v>
      </c>
      <c r="G7083" s="2" t="s">
        <v>13</v>
      </c>
    </row>
    <row r="7084" spans="1:7" x14ac:dyDescent="0.2">
      <c r="A7084" s="2" t="s">
        <v>3475</v>
      </c>
      <c r="B7084" s="2" t="s">
        <v>2473</v>
      </c>
      <c r="C7084" s="2">
        <v>532.55909999999994</v>
      </c>
      <c r="D7084" s="2">
        <f>HYPERLINK("http://mcb-m6.bioreg.kyushu-u.ac.jp/M3/20110428/F51127/905/1", 77.83)</f>
        <v>77.83</v>
      </c>
      <c r="E7084" s="2">
        <v>45.13</v>
      </c>
      <c r="F7084" s="2">
        <v>2</v>
      </c>
      <c r="G7084" s="2" t="s">
        <v>13</v>
      </c>
    </row>
    <row r="7085" spans="1:7" x14ac:dyDescent="0.2">
      <c r="A7085" s="2" t="s">
        <v>3475</v>
      </c>
      <c r="B7085" s="2" t="s">
        <v>292</v>
      </c>
      <c r="C7085" s="2">
        <v>500.19310000000002</v>
      </c>
      <c r="D7085" s="2">
        <f>HYPERLINK("http://mcb-m6.bioreg.kyushu-u.ac.jp/M3/20110428/F51128/911/1", 43.66)</f>
        <v>43.66</v>
      </c>
      <c r="E7085" s="2">
        <v>9.1</v>
      </c>
      <c r="F7085" s="2">
        <v>2</v>
      </c>
      <c r="G7085" s="2" t="s">
        <v>14</v>
      </c>
    </row>
    <row r="7086" spans="1:7" x14ac:dyDescent="0.2">
      <c r="A7086" s="2" t="s">
        <v>3475</v>
      </c>
      <c r="B7086" s="2" t="s">
        <v>1180</v>
      </c>
      <c r="C7086" s="2">
        <v>966.79110000000003</v>
      </c>
      <c r="D7086" s="2">
        <f>HYPERLINK("http://mcb-m6.bioreg.kyushu-u.ac.jp/M3/20110428/F51129/2949/1", 71.99)</f>
        <v>71.989999999999995</v>
      </c>
      <c r="E7086" s="2">
        <v>55.07</v>
      </c>
      <c r="F7086" s="2">
        <v>2</v>
      </c>
      <c r="G7086" s="2" t="s">
        <v>14</v>
      </c>
    </row>
    <row r="7087" spans="1:7" x14ac:dyDescent="0.2">
      <c r="A7087" s="2" t="s">
        <v>7825</v>
      </c>
      <c r="B7087" s="2" t="s">
        <v>6770</v>
      </c>
      <c r="C7087" s="2">
        <v>985.47400000000005</v>
      </c>
      <c r="D7087" s="2">
        <f>HYPERLINK("http://mcb-m6.bioreg.kyushu-u.ac.jp/M3/20110404/F50757/1472/1", 41.35)</f>
        <v>41.35</v>
      </c>
      <c r="E7087" s="2">
        <v>25.16</v>
      </c>
      <c r="F7087" s="2">
        <v>1</v>
      </c>
      <c r="G7087" s="2" t="s">
        <v>10</v>
      </c>
    </row>
    <row r="7088" spans="1:7" x14ac:dyDescent="0.2">
      <c r="A7088" s="2" t="s">
        <v>3787</v>
      </c>
      <c r="B7088" s="2" t="s">
        <v>1333</v>
      </c>
      <c r="C7088" s="2">
        <v>1186.712</v>
      </c>
      <c r="D7088" s="2">
        <f>HYPERLINK("http://mcb-m6.bioreg.kyushu-u.ac.jp/M3/20110404/F50751/1667/1", 39.29)</f>
        <v>39.29</v>
      </c>
      <c r="E7088" s="2">
        <v>23.63</v>
      </c>
      <c r="F7088" s="2">
        <v>1</v>
      </c>
      <c r="G7088" s="2" t="s">
        <v>9</v>
      </c>
    </row>
    <row r="7089" spans="1:8" x14ac:dyDescent="0.2">
      <c r="A7089" s="2" t="s">
        <v>3787</v>
      </c>
      <c r="B7089" s="2" t="s">
        <v>1333</v>
      </c>
      <c r="C7089" s="2">
        <v>594.36019999999996</v>
      </c>
      <c r="D7089" s="2">
        <f>HYPERLINK("http://mcb-m6.bioreg.kyushu-u.ac.jp/M3/20110404/F50752/1630/1", 43.48)</f>
        <v>43.48</v>
      </c>
      <c r="E7089" s="2">
        <v>24.02</v>
      </c>
      <c r="F7089" s="2">
        <v>2</v>
      </c>
      <c r="G7089" s="2" t="s">
        <v>9</v>
      </c>
    </row>
    <row r="7090" spans="1:8" x14ac:dyDescent="0.2">
      <c r="A7090" s="2" t="s">
        <v>3787</v>
      </c>
      <c r="B7090" s="2" t="s">
        <v>1821</v>
      </c>
      <c r="C7090" s="2">
        <v>634.90560000000005</v>
      </c>
      <c r="D7090" s="2">
        <f>HYPERLINK("http://mcb-m6.bioreg.kyushu-u.ac.jp/M3/20110404/F50752/1778/1", 46)</f>
        <v>46</v>
      </c>
      <c r="E7090" s="2">
        <v>26.73</v>
      </c>
      <c r="F7090" s="2">
        <v>2</v>
      </c>
      <c r="G7090" s="2" t="s">
        <v>9</v>
      </c>
    </row>
    <row r="7091" spans="1:8" x14ac:dyDescent="0.2">
      <c r="A7091" s="2" t="s">
        <v>3787</v>
      </c>
      <c r="B7091" s="2" t="s">
        <v>827</v>
      </c>
      <c r="C7091" s="2">
        <v>505.37009999999998</v>
      </c>
      <c r="D7091" s="2">
        <f>HYPERLINK("http://mcb-m6.bioreg.kyushu-u.ac.jp/M3/20110404/F50751/1502/1", 58.65)</f>
        <v>58.65</v>
      </c>
      <c r="E7091" s="2">
        <v>19.72</v>
      </c>
      <c r="F7091" s="2">
        <v>2</v>
      </c>
      <c r="G7091" s="2" t="s">
        <v>9</v>
      </c>
    </row>
    <row r="7092" spans="1:8" x14ac:dyDescent="0.2">
      <c r="A7092" s="2" t="s">
        <v>3787</v>
      </c>
      <c r="B7092" s="2" t="s">
        <v>1333</v>
      </c>
      <c r="C7092" s="2">
        <v>593.85820000000001</v>
      </c>
      <c r="D7092" s="2">
        <f>HYPERLINK("http://mcb-m6.bioreg.kyushu-u.ac.jp/M3/20110404/F50751/1666/1", 86.37)</f>
        <v>86.37</v>
      </c>
      <c r="E7092" s="2">
        <v>51.76</v>
      </c>
      <c r="F7092" s="2">
        <v>2</v>
      </c>
      <c r="G7092" s="2" t="s">
        <v>9</v>
      </c>
    </row>
    <row r="7093" spans="1:8" x14ac:dyDescent="0.2">
      <c r="A7093" s="2" t="s">
        <v>3787</v>
      </c>
      <c r="B7093" s="2" t="s">
        <v>1333</v>
      </c>
      <c r="C7093" s="2">
        <v>594.03020000000004</v>
      </c>
      <c r="D7093" s="2">
        <f>HYPERLINK("http://mcb-m6.bioreg.kyushu-u.ac.jp/M3/20110421/F51014/1584/1", 54.64)</f>
        <v>54.64</v>
      </c>
      <c r="E7093" s="2">
        <v>29.85</v>
      </c>
      <c r="F7093" s="2">
        <v>2</v>
      </c>
      <c r="G7093" s="2" t="s">
        <v>11</v>
      </c>
    </row>
    <row r="7094" spans="1:8" x14ac:dyDescent="0.2">
      <c r="A7094" s="2" t="s">
        <v>3787</v>
      </c>
      <c r="B7094" s="2" t="s">
        <v>1821</v>
      </c>
      <c r="C7094" s="2">
        <v>634.51369999999997</v>
      </c>
      <c r="D7094" s="2">
        <f>HYPERLINK("http://mcb-m6.bioreg.kyushu-u.ac.jp/M3/20110421/F51014/1699/1", 60.43)</f>
        <v>60.43</v>
      </c>
      <c r="E7094" s="2">
        <v>19.2</v>
      </c>
      <c r="F7094" s="2">
        <v>2</v>
      </c>
      <c r="G7094" s="2" t="s">
        <v>11</v>
      </c>
    </row>
    <row r="7095" spans="1:8" x14ac:dyDescent="0.2">
      <c r="A7095" s="2" t="s">
        <v>3787</v>
      </c>
      <c r="B7095" s="2" t="s">
        <v>1821</v>
      </c>
      <c r="C7095" s="2">
        <v>634.84310000000005</v>
      </c>
      <c r="D7095" s="2">
        <f>HYPERLINK("http://mcb-m6.bioreg.kyushu-u.ac.jp/M3/20110421/F51061/1472/1", 44.74)</f>
        <v>44.74</v>
      </c>
      <c r="E7095" s="2">
        <v>17.27</v>
      </c>
      <c r="F7095" s="2">
        <v>2</v>
      </c>
      <c r="G7095" s="2" t="s">
        <v>12</v>
      </c>
    </row>
    <row r="7096" spans="1:8" x14ac:dyDescent="0.2">
      <c r="A7096" s="2" t="s">
        <v>3787</v>
      </c>
      <c r="B7096" s="2" t="s">
        <v>1333</v>
      </c>
      <c r="C7096" s="2">
        <v>594.09370000000001</v>
      </c>
      <c r="D7096" s="2">
        <f>HYPERLINK("http://mcb-m6.bioreg.kyushu-u.ac.jp/M3/20110427/F51108/1538/1", 51.29)</f>
        <v>51.29</v>
      </c>
      <c r="E7096" s="2">
        <v>32.340000000000003</v>
      </c>
      <c r="F7096" s="2">
        <v>2</v>
      </c>
      <c r="G7096" s="2" t="s">
        <v>13</v>
      </c>
    </row>
    <row r="7097" spans="1:8" x14ac:dyDescent="0.2">
      <c r="A7097" s="2" t="s">
        <v>3883</v>
      </c>
      <c r="B7097" s="2" t="s">
        <v>1021</v>
      </c>
      <c r="C7097" s="2">
        <v>795.31960000000004</v>
      </c>
      <c r="D7097" s="2">
        <f>HYPERLINK("http://mcb-m6.bioreg.kyushu-u.ac.jp/M3/20110404/F50761/2080/1", 37.48)</f>
        <v>37.479999999999997</v>
      </c>
      <c r="E7097" s="2">
        <v>26.17</v>
      </c>
      <c r="F7097" s="2">
        <v>2</v>
      </c>
      <c r="G7097" s="2" t="s">
        <v>10</v>
      </c>
    </row>
    <row r="7098" spans="1:8" x14ac:dyDescent="0.2">
      <c r="A7098" s="2" t="s">
        <v>3883</v>
      </c>
      <c r="B7098" s="2" t="s">
        <v>1237</v>
      </c>
      <c r="C7098" s="2">
        <v>712.39620000000002</v>
      </c>
      <c r="D7098" s="2">
        <f>HYPERLINK("http://mcb-m6.bioreg.kyushu-u.ac.jp/M3/20110404/F50761/1725/1", 63.52)</f>
        <v>63.52</v>
      </c>
      <c r="E7098" s="2">
        <v>48.67</v>
      </c>
      <c r="F7098" s="2">
        <v>2</v>
      </c>
      <c r="G7098" s="2" t="s">
        <v>10</v>
      </c>
    </row>
    <row r="7099" spans="1:8" x14ac:dyDescent="0.2">
      <c r="A7099" s="2" t="s">
        <v>3883</v>
      </c>
      <c r="B7099" s="2" t="s">
        <v>1021</v>
      </c>
      <c r="C7099" s="2">
        <v>794.98220000000003</v>
      </c>
      <c r="D7099" s="2">
        <f>HYPERLINK("http://mcb-m6.bioreg.kyushu-u.ac.jp/M3/20110404/F50781/1965/1", 81.96)</f>
        <v>81.96</v>
      </c>
      <c r="E7099" s="2">
        <v>51.47</v>
      </c>
      <c r="F7099" s="2">
        <v>2</v>
      </c>
      <c r="G7099" s="2" t="s">
        <v>10</v>
      </c>
    </row>
    <row r="7100" spans="1:8" x14ac:dyDescent="0.2">
      <c r="A7100" s="2" t="s">
        <v>4386</v>
      </c>
      <c r="B7100" s="2" t="s">
        <v>2224</v>
      </c>
      <c r="C7100" s="2">
        <v>680.72810000000004</v>
      </c>
      <c r="D7100" s="2">
        <f>HYPERLINK("http://mcb-m6.bioreg.kyushu-u.ac.jp/M3/20110427/F51123/1738/1", 45.41)</f>
        <v>45.41</v>
      </c>
      <c r="E7100" s="2">
        <v>34.17</v>
      </c>
      <c r="F7100" s="2">
        <v>2</v>
      </c>
      <c r="G7100" s="2" t="s">
        <v>14</v>
      </c>
    </row>
    <row r="7101" spans="1:8" x14ac:dyDescent="0.2">
      <c r="A7101" s="2" t="s">
        <v>7805</v>
      </c>
      <c r="B7101" s="2" t="s">
        <v>6733</v>
      </c>
      <c r="C7101" s="2">
        <v>725.45510000000002</v>
      </c>
      <c r="D7101" s="2">
        <f>HYPERLINK("http://mcb-m6.bioreg.kyushu-u.ac.jp/M3/20110404/F50781/1766/1", 38.42)</f>
        <v>38.42</v>
      </c>
      <c r="E7101" s="2">
        <v>26.05</v>
      </c>
      <c r="F7101" s="2">
        <v>2</v>
      </c>
      <c r="G7101" s="2" t="s">
        <v>10</v>
      </c>
      <c r="H7101" s="2" t="s">
        <v>4900</v>
      </c>
    </row>
    <row r="7102" spans="1:8" x14ac:dyDescent="0.2">
      <c r="A7102" s="2" t="s">
        <v>7805</v>
      </c>
      <c r="B7102" s="2" t="s">
        <v>6733</v>
      </c>
      <c r="C7102" s="2">
        <v>717.40260000000001</v>
      </c>
      <c r="D7102" s="2">
        <f>HYPERLINK("http://mcb-m6.bioreg.kyushu-u.ac.jp/M3/20110404/F50781/1743/1", 53.31)</f>
        <v>53.31</v>
      </c>
      <c r="E7102" s="2">
        <v>35.880000000000003</v>
      </c>
      <c r="F7102" s="2">
        <v>2</v>
      </c>
      <c r="G7102" s="2" t="s">
        <v>10</v>
      </c>
    </row>
    <row r="7103" spans="1:8" x14ac:dyDescent="0.2">
      <c r="A7103" s="2" t="s">
        <v>3280</v>
      </c>
      <c r="B7103" s="2" t="s">
        <v>60</v>
      </c>
      <c r="C7103" s="2">
        <v>709.91269999999997</v>
      </c>
      <c r="D7103" s="2">
        <f>HYPERLINK("http://mcb-m6.bioreg.kyushu-u.ac.jp/M3/20110404/F50781/1702/1", 41.95)</f>
        <v>41.95</v>
      </c>
      <c r="E7103" s="2">
        <v>22.15</v>
      </c>
      <c r="F7103" s="2">
        <v>2</v>
      </c>
      <c r="G7103" s="2" t="s">
        <v>10</v>
      </c>
    </row>
    <row r="7104" spans="1:8" x14ac:dyDescent="0.2">
      <c r="A7104" s="2" t="s">
        <v>4017</v>
      </c>
      <c r="B7104" s="2" t="s">
        <v>2057</v>
      </c>
      <c r="C7104" s="2">
        <v>680.24959999999999</v>
      </c>
      <c r="D7104" s="2">
        <f>HYPERLINK("http://mcb-m6.bioreg.kyushu-u.ac.jp/M3/20110404/F50756/1643/1", 67.7)</f>
        <v>67.7</v>
      </c>
      <c r="E7104" s="2">
        <v>54.83</v>
      </c>
      <c r="F7104" s="2">
        <v>2</v>
      </c>
      <c r="G7104" s="2" t="s">
        <v>9</v>
      </c>
    </row>
    <row r="7105" spans="1:9" x14ac:dyDescent="0.2">
      <c r="A7105" s="2" t="s">
        <v>4017</v>
      </c>
      <c r="B7105" s="2" t="s">
        <v>6705</v>
      </c>
      <c r="C7105" s="2">
        <v>845.42399999999998</v>
      </c>
      <c r="D7105" s="2">
        <f>HYPERLINK("http://mcb-m6.bioreg.kyushu-u.ac.jp/M3/20110404/F50761/736/1", 37.01)</f>
        <v>37.01</v>
      </c>
      <c r="E7105" s="2">
        <v>18.37</v>
      </c>
      <c r="F7105" s="2">
        <v>1</v>
      </c>
      <c r="G7105" s="2" t="s">
        <v>10</v>
      </c>
    </row>
    <row r="7106" spans="1:9" x14ac:dyDescent="0.2">
      <c r="A7106" s="2" t="s">
        <v>4017</v>
      </c>
      <c r="B7106" s="2" t="s">
        <v>2057</v>
      </c>
      <c r="C7106" s="2">
        <v>680.21220000000005</v>
      </c>
      <c r="D7106" s="2">
        <f>HYPERLINK("http://mcb-m6.bioreg.kyushu-u.ac.jp/M3/20110404/F50761/1578/1", 88.94)</f>
        <v>88.94</v>
      </c>
      <c r="E7106" s="2">
        <v>75.5</v>
      </c>
      <c r="F7106" s="2">
        <v>2</v>
      </c>
      <c r="G7106" s="2" t="s">
        <v>10</v>
      </c>
    </row>
    <row r="7107" spans="1:9" x14ac:dyDescent="0.2">
      <c r="A7107" s="2" t="s">
        <v>4017</v>
      </c>
      <c r="B7107" s="2" t="s">
        <v>1325</v>
      </c>
      <c r="C7107" s="2">
        <v>862.85770000000002</v>
      </c>
      <c r="D7107" s="2">
        <f>HYPERLINK("http://mcb-m6.bioreg.kyushu-u.ac.jp/M3/20110404/F50781/2095/1", 91.77)</f>
        <v>91.77</v>
      </c>
      <c r="E7107" s="2">
        <v>82.67</v>
      </c>
      <c r="F7107" s="2">
        <v>2</v>
      </c>
      <c r="G7107" s="2" t="s">
        <v>10</v>
      </c>
      <c r="I7107" s="2" t="s">
        <v>4906</v>
      </c>
    </row>
    <row r="7108" spans="1:9" x14ac:dyDescent="0.2">
      <c r="A7108" s="2" t="s">
        <v>4017</v>
      </c>
      <c r="B7108" s="2" t="s">
        <v>2057</v>
      </c>
      <c r="C7108" s="2">
        <v>680.27509999999995</v>
      </c>
      <c r="D7108" s="2">
        <f>HYPERLINK("http://mcb-m6.bioreg.kyushu-u.ac.jp/M3/20110404/F50781/1589/1", 106.64)</f>
        <v>106.64</v>
      </c>
      <c r="E7108" s="2">
        <v>92.78</v>
      </c>
      <c r="F7108" s="2">
        <v>2</v>
      </c>
      <c r="G7108" s="2" t="s">
        <v>10</v>
      </c>
    </row>
    <row r="7109" spans="1:9" x14ac:dyDescent="0.2">
      <c r="A7109" s="2" t="s">
        <v>4017</v>
      </c>
      <c r="B7109" s="2" t="s">
        <v>2057</v>
      </c>
      <c r="C7109" s="2">
        <v>680.44669999999996</v>
      </c>
      <c r="D7109" s="2">
        <f>HYPERLINK("http://mcb-m6.bioreg.kyushu-u.ac.jp/M3/20110421/F51058/1508/1", 103.42)</f>
        <v>103.42</v>
      </c>
      <c r="E7109" s="2">
        <v>91.66</v>
      </c>
      <c r="F7109" s="2">
        <v>2</v>
      </c>
      <c r="G7109" s="2" t="s">
        <v>11</v>
      </c>
    </row>
    <row r="7110" spans="1:9" x14ac:dyDescent="0.2">
      <c r="A7110" s="2" t="s">
        <v>4017</v>
      </c>
      <c r="B7110" s="2" t="s">
        <v>2057</v>
      </c>
      <c r="C7110" s="2">
        <v>680.16819999999996</v>
      </c>
      <c r="D7110" s="2">
        <f>HYPERLINK("http://mcb-m6.bioreg.kyushu-u.ac.jp/M3/20110428/F51131/1475/1", 85.65)</f>
        <v>85.65</v>
      </c>
      <c r="E7110" s="2">
        <v>72.8</v>
      </c>
      <c r="F7110" s="2">
        <v>2</v>
      </c>
      <c r="G7110" s="2" t="s">
        <v>13</v>
      </c>
    </row>
    <row r="7111" spans="1:9" x14ac:dyDescent="0.2">
      <c r="A7111" s="2" t="s">
        <v>4017</v>
      </c>
      <c r="B7111" s="2" t="s">
        <v>2057</v>
      </c>
      <c r="C7111" s="2">
        <v>680.15060000000005</v>
      </c>
      <c r="D7111" s="2">
        <f>HYPERLINK("http://mcb-m6.bioreg.kyushu-u.ac.jp/M3/20110427/F51123/1733/1", 56.41)</f>
        <v>56.41</v>
      </c>
      <c r="E7111" s="2">
        <v>41.72</v>
      </c>
      <c r="F7111" s="2">
        <v>2</v>
      </c>
      <c r="G7111" s="2" t="s">
        <v>14</v>
      </c>
    </row>
    <row r="7112" spans="1:9" x14ac:dyDescent="0.2">
      <c r="A7112" s="2" t="s">
        <v>3542</v>
      </c>
      <c r="B7112" s="2" t="s">
        <v>397</v>
      </c>
      <c r="C7112" s="2">
        <v>894.40170000000001</v>
      </c>
      <c r="D7112" s="2">
        <f>HYPERLINK("http://mcb-m6.bioreg.kyushu-u.ac.jp/M3/20110404/F50752/2562/1", 44.65)</f>
        <v>44.65</v>
      </c>
      <c r="E7112" s="2">
        <v>11.71</v>
      </c>
      <c r="F7112" s="2">
        <v>2</v>
      </c>
      <c r="G7112" s="2" t="s">
        <v>9</v>
      </c>
    </row>
    <row r="7113" spans="1:9" x14ac:dyDescent="0.2">
      <c r="A7113" s="2" t="s">
        <v>3542</v>
      </c>
      <c r="B7113" s="2" t="s">
        <v>397</v>
      </c>
      <c r="C7113" s="2">
        <v>894.60969999999998</v>
      </c>
      <c r="D7113" s="2">
        <f>HYPERLINK("http://mcb-m6.bioreg.kyushu-u.ac.jp/M3/20110404/F50762/2296/1", 58.92)</f>
        <v>58.92</v>
      </c>
      <c r="E7113" s="2">
        <v>35.79</v>
      </c>
      <c r="F7113" s="2">
        <v>2</v>
      </c>
      <c r="G7113" s="2" t="s">
        <v>9</v>
      </c>
    </row>
    <row r="7114" spans="1:9" x14ac:dyDescent="0.2">
      <c r="A7114" s="2" t="s">
        <v>3542</v>
      </c>
      <c r="B7114" s="2" t="s">
        <v>397</v>
      </c>
      <c r="C7114" s="2">
        <v>894.72170000000006</v>
      </c>
      <c r="D7114" s="2">
        <f>HYPERLINK("http://mcb-m6.bioreg.kyushu-u.ac.jp/M3/20110404/F50754/2587/1", 59.23)</f>
        <v>59.23</v>
      </c>
      <c r="E7114" s="2">
        <v>29.51</v>
      </c>
      <c r="F7114" s="2">
        <v>2</v>
      </c>
      <c r="G7114" s="2" t="s">
        <v>9</v>
      </c>
    </row>
    <row r="7115" spans="1:9" x14ac:dyDescent="0.2">
      <c r="A7115" s="2" t="s">
        <v>3542</v>
      </c>
      <c r="B7115" s="2" t="s">
        <v>397</v>
      </c>
      <c r="C7115" s="2">
        <v>894.36609999999996</v>
      </c>
      <c r="D7115" s="2">
        <f>HYPERLINK("http://mcb-m6.bioreg.kyushu-u.ac.jp/M3/20110404/F50776/2201/1", 61.45)</f>
        <v>61.45</v>
      </c>
      <c r="E7115" s="2">
        <v>41.1</v>
      </c>
      <c r="F7115" s="2">
        <v>2</v>
      </c>
      <c r="G7115" s="2" t="s">
        <v>9</v>
      </c>
    </row>
    <row r="7116" spans="1:9" x14ac:dyDescent="0.2">
      <c r="A7116" s="2" t="s">
        <v>3542</v>
      </c>
      <c r="B7116" s="2" t="s">
        <v>397</v>
      </c>
      <c r="C7116" s="2">
        <v>894.9117</v>
      </c>
      <c r="D7116" s="2">
        <f>HYPERLINK("http://mcb-m6.bioreg.kyushu-u.ac.jp/M3/20110404/F50764/2420/1", 88.02)</f>
        <v>88.02</v>
      </c>
      <c r="E7116" s="2">
        <v>41.03</v>
      </c>
      <c r="F7116" s="2">
        <v>2</v>
      </c>
      <c r="G7116" s="2" t="s">
        <v>9</v>
      </c>
    </row>
    <row r="7117" spans="1:9" x14ac:dyDescent="0.2">
      <c r="A7117" s="2" t="s">
        <v>3542</v>
      </c>
      <c r="B7117" s="2" t="s">
        <v>397</v>
      </c>
      <c r="C7117" s="2">
        <v>894.15620000000001</v>
      </c>
      <c r="D7117" s="2">
        <f>HYPERLINK("http://mcb-m6.bioreg.kyushu-u.ac.jp/M3/20110404/F50768/2416/1", 50.85)</f>
        <v>50.85</v>
      </c>
      <c r="E7117" s="2">
        <v>22.74</v>
      </c>
      <c r="F7117" s="2">
        <v>2</v>
      </c>
      <c r="G7117" s="2" t="s">
        <v>10</v>
      </c>
    </row>
    <row r="7118" spans="1:9" x14ac:dyDescent="0.2">
      <c r="A7118" s="2" t="s">
        <v>3542</v>
      </c>
      <c r="B7118" s="2" t="s">
        <v>397</v>
      </c>
      <c r="C7118" s="2">
        <v>894.32069999999999</v>
      </c>
      <c r="D7118" s="2">
        <f>HYPERLINK("http://mcb-m6.bioreg.kyushu-u.ac.jp/M3/20110404/F50757/2417/1", 51.95)</f>
        <v>51.95</v>
      </c>
      <c r="E7118" s="2">
        <v>12.97</v>
      </c>
      <c r="F7118" s="2">
        <v>2</v>
      </c>
      <c r="G7118" s="2" t="s">
        <v>10</v>
      </c>
    </row>
    <row r="7119" spans="1:9" x14ac:dyDescent="0.2">
      <c r="A7119" s="2" t="s">
        <v>3542</v>
      </c>
      <c r="B7119" s="2" t="s">
        <v>397</v>
      </c>
      <c r="C7119" s="2">
        <v>894.26869999999997</v>
      </c>
      <c r="D7119" s="2">
        <f>HYPERLINK("http://mcb-m6.bioreg.kyushu-u.ac.jp/M3/20110404/F50771/2491/1", 63.93)</f>
        <v>63.93</v>
      </c>
      <c r="E7119" s="2">
        <v>19.66</v>
      </c>
      <c r="F7119" s="2">
        <v>2</v>
      </c>
      <c r="G7119" s="2" t="s">
        <v>10</v>
      </c>
    </row>
    <row r="7120" spans="1:9" x14ac:dyDescent="0.2">
      <c r="A7120" s="2" t="s">
        <v>3542</v>
      </c>
      <c r="B7120" s="2" t="s">
        <v>397</v>
      </c>
      <c r="C7120" s="2">
        <v>894.81020000000001</v>
      </c>
      <c r="D7120" s="2">
        <f>HYPERLINK("http://mcb-m6.bioreg.kyushu-u.ac.jp/M3/20110404/F50775/2494/1", 64.43)</f>
        <v>64.430000000000007</v>
      </c>
      <c r="E7120" s="2">
        <v>37.49</v>
      </c>
      <c r="F7120" s="2">
        <v>2</v>
      </c>
      <c r="G7120" s="2" t="s">
        <v>10</v>
      </c>
    </row>
    <row r="7121" spans="1:7" x14ac:dyDescent="0.2">
      <c r="A7121" s="2" t="s">
        <v>3542</v>
      </c>
      <c r="B7121" s="2" t="s">
        <v>397</v>
      </c>
      <c r="C7121" s="2">
        <v>894.44709999999998</v>
      </c>
      <c r="D7121" s="2">
        <f>HYPERLINK("http://mcb-m6.bioreg.kyushu-u.ac.jp/M3/20110404/F50770/2383/1", 64.7)</f>
        <v>64.7</v>
      </c>
      <c r="E7121" s="2">
        <v>21.81</v>
      </c>
      <c r="F7121" s="2">
        <v>2</v>
      </c>
      <c r="G7121" s="2" t="s">
        <v>10</v>
      </c>
    </row>
    <row r="7122" spans="1:7" x14ac:dyDescent="0.2">
      <c r="A7122" s="2" t="s">
        <v>3542</v>
      </c>
      <c r="B7122" s="2" t="s">
        <v>397</v>
      </c>
      <c r="C7122" s="2">
        <v>894.36220000000003</v>
      </c>
      <c r="D7122" s="2">
        <f>HYPERLINK("http://mcb-m6.bioreg.kyushu-u.ac.jp/M3/20110404/F50772/2523/1", 89.58)</f>
        <v>89.58</v>
      </c>
      <c r="E7122" s="2">
        <v>47.6</v>
      </c>
      <c r="F7122" s="2">
        <v>2</v>
      </c>
      <c r="G7122" s="2" t="s">
        <v>10</v>
      </c>
    </row>
    <row r="7123" spans="1:7" x14ac:dyDescent="0.2">
      <c r="A7123" s="2" t="s">
        <v>3542</v>
      </c>
      <c r="B7123" s="2" t="s">
        <v>397</v>
      </c>
      <c r="C7123" s="2">
        <v>894.65920000000006</v>
      </c>
      <c r="D7123" s="2">
        <f>HYPERLINK("http://mcb-m6.bioreg.kyushu-u.ac.jp/M3/20110421/F51035/2744/1", 44.79)</f>
        <v>44.79</v>
      </c>
      <c r="E7123" s="2">
        <v>22.85</v>
      </c>
      <c r="F7123" s="2">
        <v>2</v>
      </c>
      <c r="G7123" s="2" t="s">
        <v>11</v>
      </c>
    </row>
    <row r="7124" spans="1:7" x14ac:dyDescent="0.2">
      <c r="A7124" s="2" t="s">
        <v>3542</v>
      </c>
      <c r="B7124" s="2" t="s">
        <v>397</v>
      </c>
      <c r="C7124" s="2">
        <v>894.19709999999998</v>
      </c>
      <c r="D7124" s="2">
        <f>HYPERLINK("http://mcb-m6.bioreg.kyushu-u.ac.jp/M3/20110421/F51020/2680/1", 46.02)</f>
        <v>46.02</v>
      </c>
      <c r="E7124" s="2">
        <v>2.77</v>
      </c>
      <c r="F7124" s="2">
        <v>2</v>
      </c>
      <c r="G7124" s="2" t="s">
        <v>11</v>
      </c>
    </row>
    <row r="7125" spans="1:7" x14ac:dyDescent="0.2">
      <c r="A7125" s="2" t="s">
        <v>3542</v>
      </c>
      <c r="B7125" s="2" t="s">
        <v>397</v>
      </c>
      <c r="C7125" s="2">
        <v>894.35419999999999</v>
      </c>
      <c r="D7125" s="2">
        <f>HYPERLINK("http://mcb-m6.bioreg.kyushu-u.ac.jp/M3/20110421/F51040/2730/1", 51.75)</f>
        <v>51.75</v>
      </c>
      <c r="E7125" s="2">
        <v>15.75</v>
      </c>
      <c r="F7125" s="2">
        <v>2</v>
      </c>
      <c r="G7125" s="2" t="s">
        <v>11</v>
      </c>
    </row>
    <row r="7126" spans="1:7" x14ac:dyDescent="0.2">
      <c r="A7126" s="2" t="s">
        <v>3542</v>
      </c>
      <c r="B7126" s="2" t="s">
        <v>397</v>
      </c>
      <c r="C7126" s="2">
        <v>894.34310000000005</v>
      </c>
      <c r="D7126" s="2">
        <f>HYPERLINK("http://mcb-m6.bioreg.kyushu-u.ac.jp/M3/20110421/F51034/2708/1", 54.09)</f>
        <v>54.09</v>
      </c>
      <c r="E7126" s="2">
        <v>12.96</v>
      </c>
      <c r="F7126" s="2">
        <v>2</v>
      </c>
      <c r="G7126" s="2" t="s">
        <v>11</v>
      </c>
    </row>
    <row r="7127" spans="1:7" x14ac:dyDescent="0.2">
      <c r="A7127" s="2" t="s">
        <v>3542</v>
      </c>
      <c r="B7127" s="2" t="s">
        <v>397</v>
      </c>
      <c r="C7127" s="2">
        <v>894.77509999999995</v>
      </c>
      <c r="D7127" s="2">
        <f>HYPERLINK("http://mcb-m6.bioreg.kyushu-u.ac.jp/M3/20110421/F51019/2641/1", 59.8)</f>
        <v>59.8</v>
      </c>
      <c r="E7127" s="2">
        <v>22.94</v>
      </c>
      <c r="F7127" s="2">
        <v>2</v>
      </c>
      <c r="G7127" s="2" t="s">
        <v>11</v>
      </c>
    </row>
    <row r="7128" spans="1:7" x14ac:dyDescent="0.2">
      <c r="A7128" s="2" t="s">
        <v>3542</v>
      </c>
      <c r="B7128" s="2" t="s">
        <v>397</v>
      </c>
      <c r="C7128" s="2">
        <v>894.80070000000001</v>
      </c>
      <c r="D7128" s="2">
        <f>HYPERLINK("http://mcb-m6.bioreg.kyushu-u.ac.jp/M3/20110421/F51018/2727/1", 63.31)</f>
        <v>63.31</v>
      </c>
      <c r="E7128" s="2">
        <v>41.13</v>
      </c>
      <c r="F7128" s="2">
        <v>2</v>
      </c>
      <c r="G7128" s="2" t="s">
        <v>11</v>
      </c>
    </row>
    <row r="7129" spans="1:7" x14ac:dyDescent="0.2">
      <c r="A7129" s="2" t="s">
        <v>3542</v>
      </c>
      <c r="B7129" s="2" t="s">
        <v>397</v>
      </c>
      <c r="C7129" s="2">
        <v>894.23419999999999</v>
      </c>
      <c r="D7129" s="2">
        <f>HYPERLINK("http://mcb-m6.bioreg.kyushu-u.ac.jp/M3/20110421/F51042/2815/1", 68.01)</f>
        <v>68.010000000000005</v>
      </c>
      <c r="E7129" s="2">
        <v>6.41</v>
      </c>
      <c r="F7129" s="2">
        <v>2</v>
      </c>
      <c r="G7129" s="2" t="s">
        <v>11</v>
      </c>
    </row>
    <row r="7130" spans="1:7" x14ac:dyDescent="0.2">
      <c r="A7130" s="2" t="s">
        <v>3542</v>
      </c>
      <c r="B7130" s="2" t="s">
        <v>397</v>
      </c>
      <c r="C7130" s="2">
        <v>894.76260000000002</v>
      </c>
      <c r="D7130" s="2">
        <f>HYPERLINK("http://mcb-m6.bioreg.kyushu-u.ac.jp/M3/20110421/F51039/2841/1", 73.98)</f>
        <v>73.98</v>
      </c>
      <c r="E7130" s="2">
        <v>40.44</v>
      </c>
      <c r="F7130" s="2">
        <v>2</v>
      </c>
      <c r="G7130" s="2" t="s">
        <v>11</v>
      </c>
    </row>
    <row r="7131" spans="1:7" x14ac:dyDescent="0.2">
      <c r="A7131" s="2" t="s">
        <v>3542</v>
      </c>
      <c r="B7131" s="2" t="s">
        <v>397</v>
      </c>
      <c r="C7131" s="2">
        <v>894.41110000000003</v>
      </c>
      <c r="D7131" s="2">
        <f>HYPERLINK("http://mcb-m6.bioreg.kyushu-u.ac.jp/M3/20110421/F51017/2834/1", 79.67)</f>
        <v>79.67</v>
      </c>
      <c r="E7131" s="2">
        <v>9.7899999999999991</v>
      </c>
      <c r="F7131" s="2">
        <v>2</v>
      </c>
      <c r="G7131" s="2" t="s">
        <v>11</v>
      </c>
    </row>
    <row r="7132" spans="1:7" x14ac:dyDescent="0.2">
      <c r="A7132" s="2" t="s">
        <v>3542</v>
      </c>
      <c r="B7132" s="2" t="s">
        <v>397</v>
      </c>
      <c r="C7132" s="2">
        <v>894.31460000000004</v>
      </c>
      <c r="D7132" s="2">
        <f>HYPERLINK("http://mcb-m6.bioreg.kyushu-u.ac.jp/M3/20110421/F51016/2510/1", 80.88)</f>
        <v>80.88</v>
      </c>
      <c r="E7132" s="2">
        <v>1.96</v>
      </c>
      <c r="F7132" s="2">
        <v>2</v>
      </c>
      <c r="G7132" s="2" t="s">
        <v>11</v>
      </c>
    </row>
    <row r="7133" spans="1:7" x14ac:dyDescent="0.2">
      <c r="A7133" s="2" t="s">
        <v>3542</v>
      </c>
      <c r="B7133" s="2" t="s">
        <v>397</v>
      </c>
      <c r="C7133" s="2">
        <v>894.07669999999996</v>
      </c>
      <c r="D7133" s="2">
        <f>HYPERLINK("http://mcb-m6.bioreg.kyushu-u.ac.jp/M3/20110421/F51039/2838/1", 89.63)</f>
        <v>89.63</v>
      </c>
      <c r="E7133" s="2">
        <v>13.62</v>
      </c>
      <c r="F7133" s="2">
        <v>2</v>
      </c>
      <c r="G7133" s="2" t="s">
        <v>11</v>
      </c>
    </row>
    <row r="7134" spans="1:7" x14ac:dyDescent="0.2">
      <c r="A7134" s="2" t="s">
        <v>3542</v>
      </c>
      <c r="B7134" s="2" t="s">
        <v>397</v>
      </c>
      <c r="C7134" s="2">
        <v>894.52070000000003</v>
      </c>
      <c r="D7134" s="2">
        <f>HYPERLINK("http://mcb-m6.bioreg.kyushu-u.ac.jp/M3/20110421/F51014/2664/1", 92.55)</f>
        <v>92.55</v>
      </c>
      <c r="E7134" s="2">
        <v>11.38</v>
      </c>
      <c r="F7134" s="2">
        <v>2</v>
      </c>
      <c r="G7134" s="2" t="s">
        <v>11</v>
      </c>
    </row>
    <row r="7135" spans="1:7" x14ac:dyDescent="0.2">
      <c r="A7135" s="2" t="s">
        <v>3542</v>
      </c>
      <c r="B7135" s="2" t="s">
        <v>397</v>
      </c>
      <c r="C7135" s="2">
        <v>894.77369999999996</v>
      </c>
      <c r="D7135" s="2">
        <f>HYPERLINK("http://mcb-m6.bioreg.kyushu-u.ac.jp/M3/20110421/F51048/2857/1", 39.07)</f>
        <v>39.07</v>
      </c>
      <c r="E7135" s="2">
        <v>20.440000000000001</v>
      </c>
      <c r="F7135" s="2">
        <v>2</v>
      </c>
      <c r="G7135" s="2" t="s">
        <v>12</v>
      </c>
    </row>
    <row r="7136" spans="1:7" x14ac:dyDescent="0.2">
      <c r="A7136" s="2" t="s">
        <v>3542</v>
      </c>
      <c r="B7136" s="2" t="s">
        <v>397</v>
      </c>
      <c r="C7136" s="2">
        <v>894.89369999999997</v>
      </c>
      <c r="D7136" s="2">
        <f>HYPERLINK("http://mcb-m6.bioreg.kyushu-u.ac.jp/M3/20110421/F51045/2783/1", 44.59)</f>
        <v>44.59</v>
      </c>
      <c r="E7136" s="2">
        <v>27.29</v>
      </c>
      <c r="F7136" s="2">
        <v>2</v>
      </c>
      <c r="G7136" s="2" t="s">
        <v>12</v>
      </c>
    </row>
    <row r="7137" spans="1:7" x14ac:dyDescent="0.2">
      <c r="A7137" s="2" t="s">
        <v>3542</v>
      </c>
      <c r="B7137" s="2" t="s">
        <v>397</v>
      </c>
      <c r="C7137" s="2">
        <v>894.37019999999995</v>
      </c>
      <c r="D7137" s="2">
        <f>HYPERLINK("http://mcb-m6.bioreg.kyushu-u.ac.jp/M3/20110421/F51023/2627/1", 45.36)</f>
        <v>45.36</v>
      </c>
      <c r="E7137" s="2">
        <v>23.36</v>
      </c>
      <c r="F7137" s="2">
        <v>2</v>
      </c>
      <c r="G7137" s="2" t="s">
        <v>12</v>
      </c>
    </row>
    <row r="7138" spans="1:7" x14ac:dyDescent="0.2">
      <c r="A7138" s="2" t="s">
        <v>3542</v>
      </c>
      <c r="B7138" s="2" t="s">
        <v>397</v>
      </c>
      <c r="C7138" s="2">
        <v>894.6241</v>
      </c>
      <c r="D7138" s="2">
        <f>HYPERLINK("http://mcb-m6.bioreg.kyushu-u.ac.jp/M3/20110421/F51050/2672/1", 52.15)</f>
        <v>52.15</v>
      </c>
      <c r="E7138" s="2">
        <v>27.1</v>
      </c>
      <c r="F7138" s="2">
        <v>2</v>
      </c>
      <c r="G7138" s="2" t="s">
        <v>12</v>
      </c>
    </row>
    <row r="7139" spans="1:7" x14ac:dyDescent="0.2">
      <c r="A7139" s="2" t="s">
        <v>3542</v>
      </c>
      <c r="B7139" s="2" t="s">
        <v>397</v>
      </c>
      <c r="C7139" s="2">
        <v>894.55719999999997</v>
      </c>
      <c r="D7139" s="2">
        <f>HYPERLINK("http://mcb-m6.bioreg.kyushu-u.ac.jp/M3/20110421/F51047/2791/1", 52.57)</f>
        <v>52.57</v>
      </c>
      <c r="E7139" s="2">
        <v>29.03</v>
      </c>
      <c r="F7139" s="2">
        <v>2</v>
      </c>
      <c r="G7139" s="2" t="s">
        <v>12</v>
      </c>
    </row>
    <row r="7140" spans="1:7" x14ac:dyDescent="0.2">
      <c r="A7140" s="2" t="s">
        <v>3542</v>
      </c>
      <c r="B7140" s="2" t="s">
        <v>397</v>
      </c>
      <c r="C7140" s="2">
        <v>894.50019999999995</v>
      </c>
      <c r="D7140" s="2">
        <f>HYPERLINK("http://mcb-m6.bioreg.kyushu-u.ac.jp/M3/20110421/F51043/2739/1", 53.95)</f>
        <v>53.95</v>
      </c>
      <c r="E7140" s="2">
        <v>29.49</v>
      </c>
      <c r="F7140" s="2">
        <v>2</v>
      </c>
      <c r="G7140" s="2" t="s">
        <v>12</v>
      </c>
    </row>
    <row r="7141" spans="1:7" x14ac:dyDescent="0.2">
      <c r="A7141" s="2" t="s">
        <v>3542</v>
      </c>
      <c r="B7141" s="2" t="s">
        <v>397</v>
      </c>
      <c r="C7141" s="2">
        <v>895.04110000000003</v>
      </c>
      <c r="D7141" s="2">
        <f>HYPERLINK("http://mcb-m6.bioreg.kyushu-u.ac.jp/M3/20110421/F51043/2742/1", 55.82)</f>
        <v>55.82</v>
      </c>
      <c r="E7141" s="2">
        <v>36.57</v>
      </c>
      <c r="F7141" s="2">
        <v>2</v>
      </c>
      <c r="G7141" s="2" t="s">
        <v>12</v>
      </c>
    </row>
    <row r="7142" spans="1:7" x14ac:dyDescent="0.2">
      <c r="A7142" s="2" t="s">
        <v>3542</v>
      </c>
      <c r="B7142" s="2" t="s">
        <v>397</v>
      </c>
      <c r="C7142" s="2">
        <v>894.88120000000004</v>
      </c>
      <c r="D7142" s="2">
        <f>HYPERLINK("http://mcb-m6.bioreg.kyushu-u.ac.jp/M3/20110421/F51026/2580/1", 57.71)</f>
        <v>57.71</v>
      </c>
      <c r="E7142" s="2">
        <v>34.75</v>
      </c>
      <c r="F7142" s="2">
        <v>2</v>
      </c>
      <c r="G7142" s="2" t="s">
        <v>12</v>
      </c>
    </row>
    <row r="7143" spans="1:7" x14ac:dyDescent="0.2">
      <c r="A7143" s="2" t="s">
        <v>3542</v>
      </c>
      <c r="B7143" s="2" t="s">
        <v>397</v>
      </c>
      <c r="C7143" s="2">
        <v>894.29610000000002</v>
      </c>
      <c r="D7143" s="2">
        <f>HYPERLINK("http://mcb-m6.bioreg.kyushu-u.ac.jp/M3/20110421/F51024/2732/1", 74.22)</f>
        <v>74.22</v>
      </c>
      <c r="E7143" s="2">
        <v>8.2899999999999991</v>
      </c>
      <c r="F7143" s="2">
        <v>2</v>
      </c>
      <c r="G7143" s="2" t="s">
        <v>12</v>
      </c>
    </row>
    <row r="7144" spans="1:7" x14ac:dyDescent="0.2">
      <c r="A7144" s="2" t="s">
        <v>3542</v>
      </c>
      <c r="B7144" s="2" t="s">
        <v>397</v>
      </c>
      <c r="C7144" s="2">
        <v>894.19960000000003</v>
      </c>
      <c r="D7144" s="2">
        <f>HYPERLINK("http://mcb-m6.bioreg.kyushu-u.ac.jp/M3/20110421/F51021/2905/1", 75.11)</f>
        <v>75.11</v>
      </c>
      <c r="E7144" s="2">
        <v>14.37</v>
      </c>
      <c r="F7144" s="2">
        <v>2</v>
      </c>
      <c r="G7144" s="2" t="s">
        <v>12</v>
      </c>
    </row>
    <row r="7145" spans="1:7" x14ac:dyDescent="0.2">
      <c r="A7145" s="2" t="s">
        <v>3542</v>
      </c>
      <c r="B7145" s="2" t="s">
        <v>397</v>
      </c>
      <c r="C7145" s="2">
        <v>894.22469999999998</v>
      </c>
      <c r="D7145" s="2">
        <f>HYPERLINK("http://mcb-m6.bioreg.kyushu-u.ac.jp/M3/20110421/F51025/2530/1", 82.41)</f>
        <v>82.41</v>
      </c>
      <c r="E7145" s="2">
        <v>4.92</v>
      </c>
      <c r="F7145" s="2">
        <v>2</v>
      </c>
      <c r="G7145" s="2" t="s">
        <v>12</v>
      </c>
    </row>
    <row r="7146" spans="1:7" x14ac:dyDescent="0.2">
      <c r="A7146" s="2" t="s">
        <v>3542</v>
      </c>
      <c r="B7146" s="2" t="s">
        <v>397</v>
      </c>
      <c r="C7146" s="2">
        <v>894.58370000000002</v>
      </c>
      <c r="D7146" s="2">
        <f>HYPERLINK("http://mcb-m6.bioreg.kyushu-u.ac.jp/M3/20110421/F51044/2703/1", 87.04)</f>
        <v>87.04</v>
      </c>
      <c r="E7146" s="2">
        <v>26.94</v>
      </c>
      <c r="F7146" s="2">
        <v>2</v>
      </c>
      <c r="G7146" s="2" t="s">
        <v>12</v>
      </c>
    </row>
    <row r="7147" spans="1:7" x14ac:dyDescent="0.2">
      <c r="A7147" s="2" t="s">
        <v>3542</v>
      </c>
      <c r="B7147" s="2" t="s">
        <v>397</v>
      </c>
      <c r="C7147" s="2">
        <v>894.1866</v>
      </c>
      <c r="D7147" s="2">
        <f>HYPERLINK("http://mcb-m6.bioreg.kyushu-u.ac.jp/M3/20110427/F51108/2590/1", 36.32)</f>
        <v>36.32</v>
      </c>
      <c r="E7147" s="2">
        <v>15.64</v>
      </c>
      <c r="F7147" s="2">
        <v>2</v>
      </c>
      <c r="G7147" s="2" t="s">
        <v>13</v>
      </c>
    </row>
    <row r="7148" spans="1:7" x14ac:dyDescent="0.2">
      <c r="A7148" s="2" t="s">
        <v>3542</v>
      </c>
      <c r="B7148" s="2" t="s">
        <v>397</v>
      </c>
      <c r="C7148" s="2">
        <v>894.62710000000004</v>
      </c>
      <c r="D7148" s="2">
        <f>HYPERLINK("http://mcb-m6.bioreg.kyushu-u.ac.jp/M3/20110427/F51109/2517/1", 38.47)</f>
        <v>38.47</v>
      </c>
      <c r="E7148" s="2">
        <v>14.97</v>
      </c>
      <c r="F7148" s="2">
        <v>2</v>
      </c>
      <c r="G7148" s="2" t="s">
        <v>13</v>
      </c>
    </row>
    <row r="7149" spans="1:7" x14ac:dyDescent="0.2">
      <c r="A7149" s="2" t="s">
        <v>3542</v>
      </c>
      <c r="B7149" s="2" t="s">
        <v>397</v>
      </c>
      <c r="C7149" s="2">
        <v>894.20010000000002</v>
      </c>
      <c r="D7149" s="2">
        <f>HYPERLINK("http://mcb-m6.bioreg.kyushu-u.ac.jp/M3/20110427/F51112/2796/1", 44.42)</f>
        <v>44.42</v>
      </c>
      <c r="E7149" s="2">
        <v>8.25</v>
      </c>
      <c r="F7149" s="2">
        <v>2</v>
      </c>
      <c r="G7149" s="2" t="s">
        <v>13</v>
      </c>
    </row>
    <row r="7150" spans="1:7" x14ac:dyDescent="0.2">
      <c r="A7150" s="2" t="s">
        <v>3542</v>
      </c>
      <c r="B7150" s="2" t="s">
        <v>397</v>
      </c>
      <c r="C7150" s="2">
        <v>894.53920000000005</v>
      </c>
      <c r="D7150" s="2">
        <f>HYPERLINK("http://mcb-m6.bioreg.kyushu-u.ac.jp/M3/20110427/F51117/2686/1", 64.27)</f>
        <v>64.27</v>
      </c>
      <c r="E7150" s="2">
        <v>14.06</v>
      </c>
      <c r="F7150" s="2">
        <v>2</v>
      </c>
      <c r="G7150" s="2" t="s">
        <v>13</v>
      </c>
    </row>
    <row r="7151" spans="1:7" x14ac:dyDescent="0.2">
      <c r="A7151" s="2" t="s">
        <v>3542</v>
      </c>
      <c r="B7151" s="2" t="s">
        <v>397</v>
      </c>
      <c r="C7151" s="2">
        <v>894.08370000000002</v>
      </c>
      <c r="D7151" s="2">
        <f>HYPERLINK("http://mcb-m6.bioreg.kyushu-u.ac.jp/M3/20110428/F51127/2763/1", 69.92)</f>
        <v>69.92</v>
      </c>
      <c r="E7151" s="2">
        <v>5.91</v>
      </c>
      <c r="F7151" s="2">
        <v>2</v>
      </c>
      <c r="G7151" s="2" t="s">
        <v>13</v>
      </c>
    </row>
    <row r="7152" spans="1:7" x14ac:dyDescent="0.2">
      <c r="A7152" s="2" t="s">
        <v>3542</v>
      </c>
      <c r="B7152" s="2" t="s">
        <v>397</v>
      </c>
      <c r="C7152" s="2">
        <v>894.21370000000002</v>
      </c>
      <c r="D7152" s="2">
        <f>HYPERLINK("http://mcb-m6.bioreg.kyushu-u.ac.jp/M3/20110427/F51116/2755/1", 91.99)</f>
        <v>91.99</v>
      </c>
      <c r="E7152" s="2">
        <v>10.26</v>
      </c>
      <c r="F7152" s="2">
        <v>2</v>
      </c>
      <c r="G7152" s="2" t="s">
        <v>13</v>
      </c>
    </row>
    <row r="7153" spans="1:7" x14ac:dyDescent="0.2">
      <c r="A7153" s="2" t="s">
        <v>3542</v>
      </c>
      <c r="B7153" s="2" t="s">
        <v>397</v>
      </c>
      <c r="C7153" s="2">
        <v>894.17909999999995</v>
      </c>
      <c r="D7153" s="2">
        <f>HYPERLINK("http://mcb-m6.bioreg.kyushu-u.ac.jp/M3/20110428/F51128/2724/1", 50.06)</f>
        <v>50.06</v>
      </c>
      <c r="E7153" s="2">
        <v>3.55</v>
      </c>
      <c r="F7153" s="2">
        <v>2</v>
      </c>
      <c r="G7153" s="2" t="s">
        <v>14</v>
      </c>
    </row>
    <row r="7154" spans="1:7" x14ac:dyDescent="0.2">
      <c r="A7154" s="2" t="s">
        <v>3542</v>
      </c>
      <c r="B7154" s="2" t="s">
        <v>397</v>
      </c>
      <c r="C7154" s="2">
        <v>894.52560000000005</v>
      </c>
      <c r="D7154" s="2">
        <f>HYPERLINK("http://mcb-m6.bioreg.kyushu-u.ac.jp/M3/20110428/F51135/2366/1", 64.08)</f>
        <v>64.08</v>
      </c>
      <c r="E7154" s="2">
        <v>30.28</v>
      </c>
      <c r="F7154" s="2">
        <v>2</v>
      </c>
      <c r="G7154" s="2" t="s">
        <v>14</v>
      </c>
    </row>
    <row r="7155" spans="1:7" x14ac:dyDescent="0.2">
      <c r="A7155" s="2" t="s">
        <v>3542</v>
      </c>
      <c r="B7155" s="2" t="s">
        <v>397</v>
      </c>
      <c r="C7155" s="2">
        <v>894.66020000000003</v>
      </c>
      <c r="D7155" s="2">
        <f>HYPERLINK("http://mcb-m6.bioreg.kyushu-u.ac.jp/M3/20110427/F51123/2713/1", 65.31)</f>
        <v>65.31</v>
      </c>
      <c r="E7155" s="2">
        <v>34.83</v>
      </c>
      <c r="F7155" s="2">
        <v>2</v>
      </c>
      <c r="G7155" s="2" t="s">
        <v>14</v>
      </c>
    </row>
    <row r="7156" spans="1:7" x14ac:dyDescent="0.2">
      <c r="A7156" s="2" t="s">
        <v>3542</v>
      </c>
      <c r="B7156" s="2" t="s">
        <v>397</v>
      </c>
      <c r="C7156" s="2">
        <v>894.70510000000002</v>
      </c>
      <c r="D7156" s="2">
        <f>HYPERLINK("http://mcb-m6.bioreg.kyushu-u.ac.jp/M3/20110427/F51124/2672/1", 72.77)</f>
        <v>72.77</v>
      </c>
      <c r="E7156" s="2">
        <v>36.369999999999997</v>
      </c>
      <c r="F7156" s="2">
        <v>2</v>
      </c>
      <c r="G7156" s="2" t="s">
        <v>14</v>
      </c>
    </row>
    <row r="7157" spans="1:7" x14ac:dyDescent="0.2">
      <c r="A7157" s="2" t="s">
        <v>3542</v>
      </c>
      <c r="B7157" s="2" t="s">
        <v>397</v>
      </c>
      <c r="C7157" s="2">
        <v>894.50160000000005</v>
      </c>
      <c r="D7157" s="2">
        <f>HYPERLINK("http://mcb-m6.bioreg.kyushu-u.ac.jp/M3/20110427/F51118/2473/1", 74.93)</f>
        <v>74.930000000000007</v>
      </c>
      <c r="E7157" s="2">
        <v>8.6</v>
      </c>
      <c r="F7157" s="2">
        <v>2</v>
      </c>
      <c r="G7157" s="2" t="s">
        <v>14</v>
      </c>
    </row>
    <row r="7158" spans="1:7" x14ac:dyDescent="0.2">
      <c r="A7158" s="2" t="s">
        <v>3542</v>
      </c>
      <c r="B7158" s="2" t="s">
        <v>397</v>
      </c>
      <c r="C7158" s="2">
        <v>894.63819999999998</v>
      </c>
      <c r="D7158" s="2">
        <f>HYPERLINK("http://mcb-m6.bioreg.kyushu-u.ac.jp/M3/20110427/F51122/2691/1", 78.58)</f>
        <v>78.58</v>
      </c>
      <c r="E7158" s="2">
        <v>41.57</v>
      </c>
      <c r="F7158" s="2">
        <v>2</v>
      </c>
      <c r="G7158" s="2" t="s">
        <v>14</v>
      </c>
    </row>
    <row r="7159" spans="1:7" x14ac:dyDescent="0.2">
      <c r="A7159" s="2" t="s">
        <v>4315</v>
      </c>
      <c r="B7159" s="2" t="s">
        <v>2082</v>
      </c>
      <c r="C7159" s="2">
        <v>762.31269999999995</v>
      </c>
      <c r="D7159" s="2">
        <f>HYPERLINK("http://mcb-m6.bioreg.kyushu-u.ac.jp/M3/20110404/F50756/2065/1", 35.06)</f>
        <v>35.06</v>
      </c>
      <c r="E7159" s="2">
        <v>24.88</v>
      </c>
      <c r="F7159" s="2">
        <v>2</v>
      </c>
      <c r="G7159" s="2" t="s">
        <v>9</v>
      </c>
    </row>
    <row r="7160" spans="1:7" x14ac:dyDescent="0.2">
      <c r="A7160" s="2" t="s">
        <v>4315</v>
      </c>
      <c r="B7160" s="2" t="s">
        <v>2082</v>
      </c>
      <c r="C7160" s="2">
        <v>762.83420000000001</v>
      </c>
      <c r="D7160" s="2">
        <f>HYPERLINK("http://mcb-m6.bioreg.kyushu-u.ac.jp/M3/20110404/F50755/2075/1", 61.59)</f>
        <v>61.59</v>
      </c>
      <c r="E7160" s="2">
        <v>34.869999999999997</v>
      </c>
      <c r="F7160" s="2">
        <v>2</v>
      </c>
      <c r="G7160" s="2" t="s">
        <v>9</v>
      </c>
    </row>
    <row r="7161" spans="1:7" x14ac:dyDescent="0.2">
      <c r="A7161" s="2" t="s">
        <v>4315</v>
      </c>
      <c r="B7161" s="2" t="s">
        <v>2082</v>
      </c>
      <c r="C7161" s="2">
        <v>762.38819999999998</v>
      </c>
      <c r="D7161" s="2">
        <f>HYPERLINK("http://mcb-m6.bioreg.kyushu-u.ac.jp/M3/20110404/F50765/1940/1", 89.39)</f>
        <v>89.39</v>
      </c>
      <c r="E7161" s="2">
        <v>73.400000000000006</v>
      </c>
      <c r="F7161" s="2">
        <v>2</v>
      </c>
      <c r="G7161" s="2" t="s">
        <v>9</v>
      </c>
    </row>
    <row r="7162" spans="1:7" x14ac:dyDescent="0.2">
      <c r="A7162" s="2" t="s">
        <v>4315</v>
      </c>
      <c r="B7162" s="2" t="s">
        <v>2082</v>
      </c>
      <c r="C7162" s="2">
        <v>762.5847</v>
      </c>
      <c r="D7162" s="2">
        <f>HYPERLINK("http://mcb-m6.bioreg.kyushu-u.ac.jp/M3/20110404/F50773/1920/1", 62.91)</f>
        <v>62.91</v>
      </c>
      <c r="E7162" s="2">
        <v>33.76</v>
      </c>
      <c r="F7162" s="2">
        <v>2</v>
      </c>
      <c r="G7162" s="2" t="s">
        <v>10</v>
      </c>
    </row>
    <row r="7163" spans="1:7" x14ac:dyDescent="0.2">
      <c r="A7163" s="2" t="s">
        <v>4315</v>
      </c>
      <c r="B7163" s="2" t="s">
        <v>2082</v>
      </c>
      <c r="C7163" s="2">
        <v>762.86469999999997</v>
      </c>
      <c r="D7163" s="2">
        <f>HYPERLINK("http://mcb-m6.bioreg.kyushu-u.ac.jp/M3/20110421/F51039/2202/1", 44.11)</f>
        <v>44.11</v>
      </c>
      <c r="E7163" s="2">
        <v>25.66</v>
      </c>
      <c r="F7163" s="2">
        <v>2</v>
      </c>
      <c r="G7163" s="2" t="s">
        <v>11</v>
      </c>
    </row>
    <row r="7164" spans="1:7" x14ac:dyDescent="0.2">
      <c r="A7164" s="2" t="s">
        <v>4315</v>
      </c>
      <c r="B7164" s="2" t="s">
        <v>2082</v>
      </c>
      <c r="C7164" s="2">
        <v>762.32259999999997</v>
      </c>
      <c r="D7164" s="2">
        <f>HYPERLINK("http://mcb-m6.bioreg.kyushu-u.ac.jp/M3/20110421/F51042/2033/1", 61.07)</f>
        <v>61.07</v>
      </c>
      <c r="E7164" s="2">
        <v>50.44</v>
      </c>
      <c r="F7164" s="2">
        <v>2</v>
      </c>
      <c r="G7164" s="2" t="s">
        <v>11</v>
      </c>
    </row>
    <row r="7165" spans="1:7" x14ac:dyDescent="0.2">
      <c r="A7165" s="2" t="s">
        <v>4315</v>
      </c>
      <c r="B7165" s="2" t="s">
        <v>2082</v>
      </c>
      <c r="C7165" s="2">
        <v>762.47220000000004</v>
      </c>
      <c r="D7165" s="2">
        <f>HYPERLINK("http://mcb-m6.bioreg.kyushu-u.ac.jp/M3/20110421/F51048/2331/1", 58.92)</f>
        <v>58.92</v>
      </c>
      <c r="E7165" s="2">
        <v>34.130000000000003</v>
      </c>
      <c r="F7165" s="2">
        <v>2</v>
      </c>
      <c r="G7165" s="2" t="s">
        <v>12</v>
      </c>
    </row>
    <row r="7166" spans="1:7" x14ac:dyDescent="0.2">
      <c r="A7166" s="2" t="s">
        <v>4315</v>
      </c>
      <c r="B7166" s="2" t="s">
        <v>2082</v>
      </c>
      <c r="C7166" s="2">
        <v>762.31410000000005</v>
      </c>
      <c r="D7166" s="2">
        <f>HYPERLINK("http://mcb-m6.bioreg.kyushu-u.ac.jp/M3/20110427/F51117/2092/1", 68.7)</f>
        <v>68.7</v>
      </c>
      <c r="E7166" s="2">
        <v>55.27</v>
      </c>
      <c r="F7166" s="2">
        <v>2</v>
      </c>
      <c r="G7166" s="2" t="s">
        <v>13</v>
      </c>
    </row>
    <row r="7167" spans="1:7" x14ac:dyDescent="0.2">
      <c r="A7167" s="2" t="s">
        <v>4315</v>
      </c>
      <c r="B7167" s="2" t="s">
        <v>2082</v>
      </c>
      <c r="C7167" s="2">
        <v>762.32510000000002</v>
      </c>
      <c r="D7167" s="2">
        <f>HYPERLINK("http://mcb-m6.bioreg.kyushu-u.ac.jp/M3/20110427/F51115/2072/1", 68.92)</f>
        <v>68.92</v>
      </c>
      <c r="E7167" s="2">
        <v>48.27</v>
      </c>
      <c r="F7167" s="2">
        <v>2</v>
      </c>
      <c r="G7167" s="2" t="s">
        <v>13</v>
      </c>
    </row>
    <row r="7168" spans="1:7" x14ac:dyDescent="0.2">
      <c r="A7168" s="2" t="s">
        <v>4315</v>
      </c>
      <c r="B7168" s="2" t="s">
        <v>2082</v>
      </c>
      <c r="C7168" s="2">
        <v>762.18409999999994</v>
      </c>
      <c r="D7168" s="2">
        <f>HYPERLINK("http://mcb-m6.bioreg.kyushu-u.ac.jp/M3/20110427/F51116/2158/1", 70.77)</f>
        <v>70.77</v>
      </c>
      <c r="E7168" s="2">
        <v>49.6</v>
      </c>
      <c r="F7168" s="2">
        <v>2</v>
      </c>
      <c r="G7168" s="2" t="s">
        <v>13</v>
      </c>
    </row>
    <row r="7169" spans="1:7" x14ac:dyDescent="0.2">
      <c r="A7169" s="2" t="s">
        <v>4365</v>
      </c>
      <c r="B7169" s="2" t="s">
        <v>2191</v>
      </c>
      <c r="C7169" s="2">
        <v>1081.5519999999999</v>
      </c>
      <c r="D7169" s="2">
        <f>HYPERLINK("http://mcb-m6.bioreg.kyushu-u.ac.jp/M3/20110404/F50777/1134/1", 35.4)</f>
        <v>35.4</v>
      </c>
      <c r="E7169" s="2">
        <v>19.97</v>
      </c>
      <c r="F7169" s="2">
        <v>1</v>
      </c>
      <c r="G7169" s="2" t="s">
        <v>9</v>
      </c>
    </row>
    <row r="7170" spans="1:7" x14ac:dyDescent="0.2">
      <c r="A7170" s="2" t="s">
        <v>4365</v>
      </c>
      <c r="B7170" s="2" t="s">
        <v>2191</v>
      </c>
      <c r="C7170" s="2">
        <v>1081.5219999999999</v>
      </c>
      <c r="D7170" s="2">
        <f>HYPERLINK("http://mcb-m6.bioreg.kyushu-u.ac.jp/M3/20110404/F50764/1127/1", 35.47)</f>
        <v>35.47</v>
      </c>
      <c r="E7170" s="2">
        <v>22.63</v>
      </c>
      <c r="F7170" s="2">
        <v>1</v>
      </c>
      <c r="G7170" s="2" t="s">
        <v>9</v>
      </c>
    </row>
    <row r="7171" spans="1:7" x14ac:dyDescent="0.2">
      <c r="A7171" s="2" t="s">
        <v>4365</v>
      </c>
      <c r="B7171" s="2" t="s">
        <v>2191</v>
      </c>
      <c r="C7171" s="2">
        <v>541.21469999999999</v>
      </c>
      <c r="D7171" s="2">
        <f>HYPERLINK("http://mcb-m6.bioreg.kyushu-u.ac.jp/M3/20110404/F50756/1147/1", 43.59)</f>
        <v>43.59</v>
      </c>
      <c r="E7171" s="2">
        <v>25.8</v>
      </c>
      <c r="F7171" s="2">
        <v>2</v>
      </c>
      <c r="G7171" s="2" t="s">
        <v>9</v>
      </c>
    </row>
    <row r="7172" spans="1:7" x14ac:dyDescent="0.2">
      <c r="A7172" s="2" t="s">
        <v>4365</v>
      </c>
      <c r="B7172" s="2" t="s">
        <v>2191</v>
      </c>
      <c r="C7172" s="2">
        <v>541.22559999999999</v>
      </c>
      <c r="D7172" s="2">
        <f>HYPERLINK("http://mcb-m6.bioreg.kyushu-u.ac.jp/M3/20110404/F50765/1081/1", 50.23)</f>
        <v>50.23</v>
      </c>
      <c r="E7172" s="2">
        <v>30.43</v>
      </c>
      <c r="F7172" s="2">
        <v>2</v>
      </c>
      <c r="G7172" s="2" t="s">
        <v>9</v>
      </c>
    </row>
    <row r="7173" spans="1:7" x14ac:dyDescent="0.2">
      <c r="A7173" s="2" t="s">
        <v>4365</v>
      </c>
      <c r="B7173" s="2" t="s">
        <v>2191</v>
      </c>
      <c r="C7173" s="2">
        <v>541.06709999999998</v>
      </c>
      <c r="D7173" s="2">
        <f>HYPERLINK("http://mcb-m6.bioreg.kyushu-u.ac.jp/M3/20110404/F50753/1317/1", 50.39)</f>
        <v>50.39</v>
      </c>
      <c r="E7173" s="2">
        <v>27.2</v>
      </c>
      <c r="F7173" s="2">
        <v>2</v>
      </c>
      <c r="G7173" s="2" t="s">
        <v>9</v>
      </c>
    </row>
    <row r="7174" spans="1:7" x14ac:dyDescent="0.2">
      <c r="A7174" s="2" t="s">
        <v>4365</v>
      </c>
      <c r="B7174" s="2" t="s">
        <v>2191</v>
      </c>
      <c r="C7174" s="2">
        <v>541.18619999999999</v>
      </c>
      <c r="D7174" s="2">
        <f>HYPERLINK("http://mcb-m6.bioreg.kyushu-u.ac.jp/M3/20110404/F50755/1156/1", 50.9)</f>
        <v>50.9</v>
      </c>
      <c r="E7174" s="2">
        <v>31.26</v>
      </c>
      <c r="F7174" s="2">
        <v>2</v>
      </c>
      <c r="G7174" s="2" t="s">
        <v>9</v>
      </c>
    </row>
    <row r="7175" spans="1:7" x14ac:dyDescent="0.2">
      <c r="A7175" s="2" t="s">
        <v>4365</v>
      </c>
      <c r="B7175" s="2" t="s">
        <v>2191</v>
      </c>
      <c r="C7175" s="2">
        <v>541.07320000000004</v>
      </c>
      <c r="D7175" s="2">
        <f>HYPERLINK("http://mcb-m6.bioreg.kyushu-u.ac.jp/M3/20110404/F50754/1458/1", 59.72)</f>
        <v>59.72</v>
      </c>
      <c r="E7175" s="2">
        <v>41.29</v>
      </c>
      <c r="F7175" s="2">
        <v>2</v>
      </c>
      <c r="G7175" s="2" t="s">
        <v>9</v>
      </c>
    </row>
    <row r="7176" spans="1:7" x14ac:dyDescent="0.2">
      <c r="A7176" s="2" t="s">
        <v>4365</v>
      </c>
      <c r="B7176" s="2" t="s">
        <v>2191</v>
      </c>
      <c r="C7176" s="2">
        <v>541.15369999999996</v>
      </c>
      <c r="D7176" s="2">
        <f>HYPERLINK("http://mcb-m6.bioreg.kyushu-u.ac.jp/M3/20110404/F50767/907/1", 62.13)</f>
        <v>62.13</v>
      </c>
      <c r="E7176" s="2">
        <v>43.43</v>
      </c>
      <c r="F7176" s="2">
        <v>2</v>
      </c>
      <c r="G7176" s="2" t="s">
        <v>9</v>
      </c>
    </row>
    <row r="7177" spans="1:7" x14ac:dyDescent="0.2">
      <c r="A7177" s="2" t="s">
        <v>4365</v>
      </c>
      <c r="B7177" s="2" t="s">
        <v>2191</v>
      </c>
      <c r="C7177" s="2">
        <v>541.7047</v>
      </c>
      <c r="D7177" s="2">
        <f>HYPERLINK("http://mcb-m6.bioreg.kyushu-u.ac.jp/M3/20110404/F50764/1128/1", 63.23)</f>
        <v>63.23</v>
      </c>
      <c r="E7177" s="2">
        <v>36.909999999999997</v>
      </c>
      <c r="F7177" s="2">
        <v>2</v>
      </c>
      <c r="G7177" s="2" t="s">
        <v>9</v>
      </c>
    </row>
    <row r="7178" spans="1:7" x14ac:dyDescent="0.2">
      <c r="A7178" s="2" t="s">
        <v>4365</v>
      </c>
      <c r="B7178" s="2" t="s">
        <v>2191</v>
      </c>
      <c r="C7178" s="2">
        <v>541.12270000000001</v>
      </c>
      <c r="D7178" s="2">
        <f>HYPERLINK("http://mcb-m6.bioreg.kyushu-u.ac.jp/M3/20110404/F50771/1173/1", 57.32)</f>
        <v>57.32</v>
      </c>
      <c r="E7178" s="2">
        <v>36.64</v>
      </c>
      <c r="F7178" s="2">
        <v>2</v>
      </c>
      <c r="G7178" s="2" t="s">
        <v>10</v>
      </c>
    </row>
    <row r="7179" spans="1:7" x14ac:dyDescent="0.2">
      <c r="A7179" s="2" t="s">
        <v>4365</v>
      </c>
      <c r="B7179" s="2" t="s">
        <v>2191</v>
      </c>
      <c r="C7179" s="2">
        <v>541.25160000000005</v>
      </c>
      <c r="D7179" s="2">
        <f>HYPERLINK("http://mcb-m6.bioreg.kyushu-u.ac.jp/M3/20110404/F50773/1090/1", 58.89)</f>
        <v>58.89</v>
      </c>
      <c r="E7179" s="2">
        <v>39.97</v>
      </c>
      <c r="F7179" s="2">
        <v>2</v>
      </c>
      <c r="G7179" s="2" t="s">
        <v>10</v>
      </c>
    </row>
    <row r="7180" spans="1:7" x14ac:dyDescent="0.2">
      <c r="A7180" s="2" t="s">
        <v>4365</v>
      </c>
      <c r="B7180" s="2" t="s">
        <v>2191</v>
      </c>
      <c r="C7180" s="2">
        <v>541.1857</v>
      </c>
      <c r="D7180" s="2">
        <f>HYPERLINK("http://mcb-m6.bioreg.kyushu-u.ac.jp/M3/20110404/F50760/1119/1", 59.42)</f>
        <v>59.42</v>
      </c>
      <c r="E7180" s="2">
        <v>40.17</v>
      </c>
      <c r="F7180" s="2">
        <v>2</v>
      </c>
      <c r="G7180" s="2" t="s">
        <v>10</v>
      </c>
    </row>
    <row r="7181" spans="1:7" x14ac:dyDescent="0.2">
      <c r="A7181" s="2" t="s">
        <v>4365</v>
      </c>
      <c r="B7181" s="2" t="s">
        <v>2191</v>
      </c>
      <c r="C7181" s="2">
        <v>541.18870000000004</v>
      </c>
      <c r="D7181" s="2">
        <f>HYPERLINK("http://mcb-m6.bioreg.kyushu-u.ac.jp/M3/20110404/F50770/1282/1", 61.92)</f>
        <v>61.92</v>
      </c>
      <c r="E7181" s="2">
        <v>42.6</v>
      </c>
      <c r="F7181" s="2">
        <v>2</v>
      </c>
      <c r="G7181" s="2" t="s">
        <v>10</v>
      </c>
    </row>
    <row r="7182" spans="1:7" x14ac:dyDescent="0.2">
      <c r="A7182" s="2" t="s">
        <v>4365</v>
      </c>
      <c r="B7182" s="2" t="s">
        <v>2191</v>
      </c>
      <c r="C7182" s="2">
        <v>541.35360000000003</v>
      </c>
      <c r="D7182" s="2">
        <f>HYPERLINK("http://mcb-m6.bioreg.kyushu-u.ac.jp/M3/20110404/F50772/1164/1", 64.97)</f>
        <v>64.97</v>
      </c>
      <c r="E7182" s="2">
        <v>44.16</v>
      </c>
      <c r="F7182" s="2">
        <v>2</v>
      </c>
      <c r="G7182" s="2" t="s">
        <v>10</v>
      </c>
    </row>
    <row r="7183" spans="1:7" x14ac:dyDescent="0.2">
      <c r="A7183" s="2" t="s">
        <v>4365</v>
      </c>
      <c r="B7183" s="2" t="s">
        <v>2191</v>
      </c>
      <c r="C7183" s="2">
        <v>541.33969999999999</v>
      </c>
      <c r="D7183" s="2">
        <f>HYPERLINK("http://mcb-m6.bioreg.kyushu-u.ac.jp/M3/20110421/F51034/1094/1", 41.75)</f>
        <v>41.75</v>
      </c>
      <c r="E7183" s="2">
        <v>17.559999999999999</v>
      </c>
      <c r="F7183" s="2">
        <v>2</v>
      </c>
      <c r="G7183" s="2" t="s">
        <v>11</v>
      </c>
    </row>
    <row r="7184" spans="1:7" x14ac:dyDescent="0.2">
      <c r="A7184" s="2" t="s">
        <v>4365</v>
      </c>
      <c r="B7184" s="2" t="s">
        <v>2191</v>
      </c>
      <c r="C7184" s="2">
        <v>541.17319999999995</v>
      </c>
      <c r="D7184" s="2">
        <f>HYPERLINK("http://mcb-m6.bioreg.kyushu-u.ac.jp/M3/20110421/F51018/1261/1", 52.45)</f>
        <v>52.45</v>
      </c>
      <c r="E7184" s="2">
        <v>31.82</v>
      </c>
      <c r="F7184" s="2">
        <v>2</v>
      </c>
      <c r="G7184" s="2" t="s">
        <v>11</v>
      </c>
    </row>
    <row r="7185" spans="1:7" x14ac:dyDescent="0.2">
      <c r="A7185" s="2" t="s">
        <v>4365</v>
      </c>
      <c r="B7185" s="2" t="s">
        <v>2191</v>
      </c>
      <c r="C7185" s="2">
        <v>541.68520000000001</v>
      </c>
      <c r="D7185" s="2">
        <f>HYPERLINK("http://mcb-m6.bioreg.kyushu-u.ac.jp/M3/20110421/F51018/1262/1", 52.71)</f>
        <v>52.71</v>
      </c>
      <c r="E7185" s="2">
        <v>32.619999999999997</v>
      </c>
      <c r="F7185" s="2">
        <v>2</v>
      </c>
      <c r="G7185" s="2" t="s">
        <v>11</v>
      </c>
    </row>
    <row r="7186" spans="1:7" x14ac:dyDescent="0.2">
      <c r="A7186" s="2" t="s">
        <v>4365</v>
      </c>
      <c r="B7186" s="2" t="s">
        <v>2191</v>
      </c>
      <c r="C7186" s="2">
        <v>541.28769999999997</v>
      </c>
      <c r="D7186" s="2">
        <f>HYPERLINK("http://mcb-m6.bioreg.kyushu-u.ac.jp/M3/20110421/F51040/1127/1", 63.25)</f>
        <v>63.25</v>
      </c>
      <c r="E7186" s="2">
        <v>43.86</v>
      </c>
      <c r="F7186" s="2">
        <v>2</v>
      </c>
      <c r="G7186" s="2" t="s">
        <v>11</v>
      </c>
    </row>
    <row r="7187" spans="1:7" x14ac:dyDescent="0.2">
      <c r="A7187" s="2" t="s">
        <v>4365</v>
      </c>
      <c r="B7187" s="2" t="s">
        <v>2191</v>
      </c>
      <c r="C7187" s="2">
        <v>541.66769999999997</v>
      </c>
      <c r="D7187" s="2">
        <f>HYPERLINK("http://mcb-m6.bioreg.kyushu-u.ac.jp/M3/20110427/F51117/1164/1", 45.4)</f>
        <v>45.4</v>
      </c>
      <c r="E7187" s="2">
        <v>17.420000000000002</v>
      </c>
      <c r="F7187" s="2">
        <v>2</v>
      </c>
      <c r="G7187" s="2" t="s">
        <v>13</v>
      </c>
    </row>
    <row r="7188" spans="1:7" x14ac:dyDescent="0.2">
      <c r="A7188" s="2" t="s">
        <v>4365</v>
      </c>
      <c r="B7188" s="2" t="s">
        <v>2191</v>
      </c>
      <c r="C7188" s="2">
        <v>541.08370000000002</v>
      </c>
      <c r="D7188" s="2">
        <f>HYPERLINK("http://mcb-m6.bioreg.kyushu-u.ac.jp/M3/20110427/F51112/1243/1", 55.46)</f>
        <v>55.46</v>
      </c>
      <c r="E7188" s="2">
        <v>36.21</v>
      </c>
      <c r="F7188" s="2">
        <v>2</v>
      </c>
      <c r="G7188" s="2" t="s">
        <v>13</v>
      </c>
    </row>
    <row r="7189" spans="1:7" x14ac:dyDescent="0.2">
      <c r="A7189" s="2" t="s">
        <v>4365</v>
      </c>
      <c r="B7189" s="2" t="s">
        <v>2191</v>
      </c>
      <c r="C7189" s="2">
        <v>541.12959999999998</v>
      </c>
      <c r="D7189" s="2">
        <f>HYPERLINK("http://mcb-m6.bioreg.kyushu-u.ac.jp/M3/20110427/F51115/1228/1", 61.27)</f>
        <v>61.27</v>
      </c>
      <c r="E7189" s="2">
        <v>38.65</v>
      </c>
      <c r="F7189" s="2">
        <v>2</v>
      </c>
      <c r="G7189" s="2" t="s">
        <v>13</v>
      </c>
    </row>
    <row r="7190" spans="1:7" x14ac:dyDescent="0.2">
      <c r="A7190" s="2" t="s">
        <v>4365</v>
      </c>
      <c r="B7190" s="2" t="s">
        <v>2191</v>
      </c>
      <c r="C7190" s="2">
        <v>541.62019999999995</v>
      </c>
      <c r="D7190" s="2">
        <f>HYPERLINK("http://mcb-m6.bioreg.kyushu-u.ac.jp/M3/20110427/F51123/1210/1", 35.98)</f>
        <v>35.979999999999997</v>
      </c>
      <c r="E7190" s="2">
        <v>20.04</v>
      </c>
      <c r="F7190" s="2">
        <v>2</v>
      </c>
      <c r="G7190" s="2" t="s">
        <v>14</v>
      </c>
    </row>
    <row r="7191" spans="1:7" x14ac:dyDescent="0.2">
      <c r="A7191" s="2" t="s">
        <v>4845</v>
      </c>
      <c r="B7191" s="2" t="s">
        <v>3117</v>
      </c>
      <c r="C7191" s="2">
        <v>534.25919999999996</v>
      </c>
      <c r="D7191" s="2">
        <f>HYPERLINK("http://mcb-m6.bioreg.kyushu-u.ac.jp/M3/20110404/F50777/1112/1", 43.81)</f>
        <v>43.81</v>
      </c>
      <c r="E7191" s="2">
        <v>11.98</v>
      </c>
      <c r="F7191" s="2">
        <v>2</v>
      </c>
      <c r="G7191" s="2" t="s">
        <v>9</v>
      </c>
    </row>
    <row r="7192" spans="1:7" x14ac:dyDescent="0.2">
      <c r="A7192" s="2" t="s">
        <v>4845</v>
      </c>
      <c r="B7192" s="2" t="s">
        <v>3117</v>
      </c>
      <c r="C7192" s="2">
        <v>534.87660000000005</v>
      </c>
      <c r="D7192" s="2">
        <f>HYPERLINK("http://mcb-m6.bioreg.kyushu-u.ac.jp/M3/20110404/F50779/887/1", 49.12)</f>
        <v>49.12</v>
      </c>
      <c r="E7192" s="2">
        <v>15.34</v>
      </c>
      <c r="F7192" s="2">
        <v>2</v>
      </c>
      <c r="G7192" s="2" t="s">
        <v>9</v>
      </c>
    </row>
    <row r="7193" spans="1:7" x14ac:dyDescent="0.2">
      <c r="A7193" s="2" t="s">
        <v>4845</v>
      </c>
      <c r="B7193" s="2" t="s">
        <v>3117</v>
      </c>
      <c r="C7193" s="2">
        <v>534.31460000000004</v>
      </c>
      <c r="D7193" s="2">
        <f>HYPERLINK("http://mcb-m6.bioreg.kyushu-u.ac.jp/M3/20110404/F50755/1142/1", 53.49)</f>
        <v>53.49</v>
      </c>
      <c r="E7193" s="2">
        <v>20.77</v>
      </c>
      <c r="F7193" s="2">
        <v>2</v>
      </c>
      <c r="G7193" s="2" t="s">
        <v>9</v>
      </c>
    </row>
    <row r="7194" spans="1:7" x14ac:dyDescent="0.2">
      <c r="A7194" s="2" t="s">
        <v>4845</v>
      </c>
      <c r="B7194" s="2" t="s">
        <v>3117</v>
      </c>
      <c r="C7194" s="2">
        <v>534.59059999999999</v>
      </c>
      <c r="D7194" s="2">
        <f>HYPERLINK("http://mcb-m6.bioreg.kyushu-u.ac.jp/M3/20110404/F50778/945/1", 54.26)</f>
        <v>54.26</v>
      </c>
      <c r="E7194" s="2">
        <v>23.29</v>
      </c>
      <c r="F7194" s="2">
        <v>2</v>
      </c>
      <c r="G7194" s="2" t="s">
        <v>9</v>
      </c>
    </row>
    <row r="7195" spans="1:7" x14ac:dyDescent="0.2">
      <c r="A7195" s="2" t="s">
        <v>4845</v>
      </c>
      <c r="B7195" s="2" t="s">
        <v>3117</v>
      </c>
      <c r="C7195" s="2">
        <v>534.80520000000001</v>
      </c>
      <c r="D7195" s="2">
        <f>HYPERLINK("http://mcb-m6.bioreg.kyushu-u.ac.jp/M3/20110404/F50765/1060/1", 54.32)</f>
        <v>54.32</v>
      </c>
      <c r="E7195" s="2">
        <v>23.24</v>
      </c>
      <c r="F7195" s="2">
        <v>2</v>
      </c>
      <c r="G7195" s="2" t="s">
        <v>9</v>
      </c>
    </row>
    <row r="7196" spans="1:7" x14ac:dyDescent="0.2">
      <c r="A7196" s="2" t="s">
        <v>4845</v>
      </c>
      <c r="B7196" s="2" t="s">
        <v>3117</v>
      </c>
      <c r="C7196" s="2">
        <v>534.27170000000001</v>
      </c>
      <c r="D7196" s="2">
        <f>HYPERLINK("http://mcb-m6.bioreg.kyushu-u.ac.jp/M3/20110404/F50756/1129/1", 55.32)</f>
        <v>55.32</v>
      </c>
      <c r="E7196" s="2">
        <v>27.19</v>
      </c>
      <c r="F7196" s="2">
        <v>2</v>
      </c>
      <c r="G7196" s="2" t="s">
        <v>9</v>
      </c>
    </row>
    <row r="7197" spans="1:7" x14ac:dyDescent="0.2">
      <c r="A7197" s="2" t="s">
        <v>4845</v>
      </c>
      <c r="B7197" s="2" t="s">
        <v>3117</v>
      </c>
      <c r="C7197" s="2">
        <v>534.13819999999998</v>
      </c>
      <c r="D7197" s="2">
        <f>HYPERLINK("http://mcb-m6.bioreg.kyushu-u.ac.jp/M3/20110404/F50753/1302/1", 55.76)</f>
        <v>55.76</v>
      </c>
      <c r="E7197" s="2">
        <v>19.09</v>
      </c>
      <c r="F7197" s="2">
        <v>2</v>
      </c>
      <c r="G7197" s="2" t="s">
        <v>9</v>
      </c>
    </row>
    <row r="7198" spans="1:7" x14ac:dyDescent="0.2">
      <c r="A7198" s="2" t="s">
        <v>4845</v>
      </c>
      <c r="B7198" s="2" t="s">
        <v>3117</v>
      </c>
      <c r="C7198" s="2">
        <v>534.42070000000001</v>
      </c>
      <c r="D7198" s="2">
        <f>HYPERLINK("http://mcb-m6.bioreg.kyushu-u.ac.jp/M3/20110404/F50764/1114/1", 64.58)</f>
        <v>64.58</v>
      </c>
      <c r="E7198" s="2">
        <v>30.3</v>
      </c>
      <c r="F7198" s="2">
        <v>2</v>
      </c>
      <c r="G7198" s="2" t="s">
        <v>9</v>
      </c>
    </row>
    <row r="7199" spans="1:7" x14ac:dyDescent="0.2">
      <c r="A7199" s="2" t="s">
        <v>4845</v>
      </c>
      <c r="B7199" s="2" t="s">
        <v>3117</v>
      </c>
      <c r="C7199" s="2">
        <v>1067.6869999999999</v>
      </c>
      <c r="D7199" s="2">
        <f>HYPERLINK("http://mcb-m6.bioreg.kyushu-u.ac.jp/M3/20110404/F50773/1075/1", 37.52)</f>
        <v>37.520000000000003</v>
      </c>
      <c r="E7199" s="2">
        <v>11.86</v>
      </c>
      <c r="F7199" s="2">
        <v>1</v>
      </c>
      <c r="G7199" s="2" t="s">
        <v>10</v>
      </c>
    </row>
    <row r="7200" spans="1:7" x14ac:dyDescent="0.2">
      <c r="A7200" s="2" t="s">
        <v>4845</v>
      </c>
      <c r="B7200" s="2" t="s">
        <v>3117</v>
      </c>
      <c r="C7200" s="2">
        <v>1067.3520000000001</v>
      </c>
      <c r="D7200" s="2">
        <f>HYPERLINK("http://mcb-m6.bioreg.kyushu-u.ac.jp/M3/20110404/F50770/1259/1", 38.21)</f>
        <v>38.21</v>
      </c>
      <c r="E7200" s="2">
        <v>10.55</v>
      </c>
      <c r="F7200" s="2">
        <v>1</v>
      </c>
      <c r="G7200" s="2" t="s">
        <v>10</v>
      </c>
    </row>
    <row r="7201" spans="1:7" x14ac:dyDescent="0.2">
      <c r="A7201" s="2" t="s">
        <v>4845</v>
      </c>
      <c r="B7201" s="2" t="s">
        <v>3117</v>
      </c>
      <c r="C7201" s="2">
        <v>534.30409999999995</v>
      </c>
      <c r="D7201" s="2">
        <f>HYPERLINK("http://mcb-m6.bioreg.kyushu-u.ac.jp/M3/20110404/F50761/1099/1", 52.8)</f>
        <v>52.8</v>
      </c>
      <c r="E7201" s="2">
        <v>26.37</v>
      </c>
      <c r="F7201" s="2">
        <v>2</v>
      </c>
      <c r="G7201" s="2" t="s">
        <v>10</v>
      </c>
    </row>
    <row r="7202" spans="1:7" x14ac:dyDescent="0.2">
      <c r="A7202" s="2" t="s">
        <v>4845</v>
      </c>
      <c r="B7202" s="2" t="s">
        <v>3117</v>
      </c>
      <c r="C7202" s="2">
        <v>534.25419999999997</v>
      </c>
      <c r="D7202" s="2">
        <f>HYPERLINK("http://mcb-m6.bioreg.kyushu-u.ac.jp/M3/20110404/F50774/1155/1", 53.21)</f>
        <v>53.21</v>
      </c>
      <c r="E7202" s="2">
        <v>27.76</v>
      </c>
      <c r="F7202" s="2">
        <v>2</v>
      </c>
      <c r="G7202" s="2" t="s">
        <v>10</v>
      </c>
    </row>
    <row r="7203" spans="1:7" x14ac:dyDescent="0.2">
      <c r="A7203" s="2" t="s">
        <v>4845</v>
      </c>
      <c r="B7203" s="2" t="s">
        <v>3117</v>
      </c>
      <c r="C7203" s="2">
        <v>534.3116</v>
      </c>
      <c r="D7203" s="2">
        <f>HYPERLINK("http://mcb-m6.bioreg.kyushu-u.ac.jp/M3/20110404/F50773/1074/1", 55.56)</f>
        <v>55.56</v>
      </c>
      <c r="E7203" s="2">
        <v>23.23</v>
      </c>
      <c r="F7203" s="2">
        <v>2</v>
      </c>
      <c r="G7203" s="2" t="s">
        <v>10</v>
      </c>
    </row>
    <row r="7204" spans="1:7" x14ac:dyDescent="0.2">
      <c r="A7204" s="2" t="s">
        <v>4845</v>
      </c>
      <c r="B7204" s="2" t="s">
        <v>3117</v>
      </c>
      <c r="C7204" s="2">
        <v>534.8827</v>
      </c>
      <c r="D7204" s="2">
        <f>HYPERLINK("http://mcb-m6.bioreg.kyushu-u.ac.jp/M3/20110404/F50758/1309/1", 57.13)</f>
        <v>57.13</v>
      </c>
      <c r="E7204" s="2">
        <v>26.36</v>
      </c>
      <c r="F7204" s="2">
        <v>2</v>
      </c>
      <c r="G7204" s="2" t="s">
        <v>10</v>
      </c>
    </row>
    <row r="7205" spans="1:7" x14ac:dyDescent="0.2">
      <c r="A7205" s="2" t="s">
        <v>4845</v>
      </c>
      <c r="B7205" s="2" t="s">
        <v>3117</v>
      </c>
      <c r="C7205" s="2">
        <v>534.20759999999996</v>
      </c>
      <c r="D7205" s="2">
        <f>HYPERLINK("http://mcb-m6.bioreg.kyushu-u.ac.jp/M3/20110404/F50771/1148/1", 67.33)</f>
        <v>67.33</v>
      </c>
      <c r="E7205" s="2">
        <v>33.130000000000003</v>
      </c>
      <c r="F7205" s="2">
        <v>2</v>
      </c>
      <c r="G7205" s="2" t="s">
        <v>10</v>
      </c>
    </row>
    <row r="7206" spans="1:7" x14ac:dyDescent="0.2">
      <c r="A7206" s="2" t="s">
        <v>4845</v>
      </c>
      <c r="B7206" s="2" t="s">
        <v>3117</v>
      </c>
      <c r="C7206" s="2">
        <v>534.4547</v>
      </c>
      <c r="D7206" s="2">
        <f>HYPERLINK("http://mcb-m6.bioreg.kyushu-u.ac.jp/M3/20110404/F50772/1146/1", 70.44)</f>
        <v>70.44</v>
      </c>
      <c r="E7206" s="2">
        <v>35.86</v>
      </c>
      <c r="F7206" s="2">
        <v>2</v>
      </c>
      <c r="G7206" s="2" t="s">
        <v>10</v>
      </c>
    </row>
    <row r="7207" spans="1:7" x14ac:dyDescent="0.2">
      <c r="A7207" s="2" t="s">
        <v>4845</v>
      </c>
      <c r="B7207" s="2" t="s">
        <v>3117</v>
      </c>
      <c r="C7207" s="2">
        <v>534.29060000000004</v>
      </c>
      <c r="D7207" s="2">
        <f>HYPERLINK("http://mcb-m6.bioreg.kyushu-u.ac.jp/M3/20110404/F50770/1260/1", 70.52)</f>
        <v>70.52</v>
      </c>
      <c r="E7207" s="2">
        <v>36.43</v>
      </c>
      <c r="F7207" s="2">
        <v>2</v>
      </c>
      <c r="G7207" s="2" t="s">
        <v>10</v>
      </c>
    </row>
    <row r="7208" spans="1:7" x14ac:dyDescent="0.2">
      <c r="A7208" s="2" t="s">
        <v>4845</v>
      </c>
      <c r="B7208" s="2" t="s">
        <v>3117</v>
      </c>
      <c r="C7208" s="2">
        <v>534.82759999999996</v>
      </c>
      <c r="D7208" s="2">
        <f>HYPERLINK("http://mcb-m6.bioreg.kyushu-u.ac.jp/M3/20110427/F51112/1222/1", 51.75)</f>
        <v>51.75</v>
      </c>
      <c r="E7208" s="2">
        <v>17.7</v>
      </c>
      <c r="F7208" s="2">
        <v>2</v>
      </c>
      <c r="G7208" s="2" t="s">
        <v>13</v>
      </c>
    </row>
    <row r="7209" spans="1:7" x14ac:dyDescent="0.2">
      <c r="A7209" s="2" t="s">
        <v>4845</v>
      </c>
      <c r="B7209" s="2" t="s">
        <v>3117</v>
      </c>
      <c r="C7209" s="2">
        <v>534.05409999999995</v>
      </c>
      <c r="D7209" s="2">
        <f>HYPERLINK("http://mcb-m6.bioreg.kyushu-u.ac.jp/M3/20110427/F51113/1166/1", 55.8)</f>
        <v>55.8</v>
      </c>
      <c r="E7209" s="2">
        <v>25.11</v>
      </c>
      <c r="F7209" s="2">
        <v>2</v>
      </c>
      <c r="G7209" s="2" t="s">
        <v>13</v>
      </c>
    </row>
    <row r="7210" spans="1:7" x14ac:dyDescent="0.2">
      <c r="A7210" s="2" t="s">
        <v>4845</v>
      </c>
      <c r="B7210" s="2" t="s">
        <v>3117</v>
      </c>
      <c r="C7210" s="2">
        <v>534.25959999999998</v>
      </c>
      <c r="D7210" s="2">
        <f>HYPERLINK("http://mcb-m6.bioreg.kyushu-u.ac.jp/M3/20110427/F51111/1285/1", 58.58)</f>
        <v>58.58</v>
      </c>
      <c r="E7210" s="2">
        <v>27.81</v>
      </c>
      <c r="F7210" s="2">
        <v>2</v>
      </c>
      <c r="G7210" s="2" t="s">
        <v>13</v>
      </c>
    </row>
    <row r="7211" spans="1:7" x14ac:dyDescent="0.2">
      <c r="A7211" s="2" t="s">
        <v>4845</v>
      </c>
      <c r="B7211" s="2" t="s">
        <v>3117</v>
      </c>
      <c r="C7211" s="2">
        <v>534.67470000000003</v>
      </c>
      <c r="D7211" s="2">
        <f>HYPERLINK("http://mcb-m6.bioreg.kyushu-u.ac.jp/M3/20110427/F51123/1182/1", 39.46)</f>
        <v>39.46</v>
      </c>
      <c r="E7211" s="2">
        <v>10.87</v>
      </c>
      <c r="F7211" s="2">
        <v>2</v>
      </c>
      <c r="G7211" s="2" t="s">
        <v>14</v>
      </c>
    </row>
    <row r="7212" spans="1:7" x14ac:dyDescent="0.2">
      <c r="A7212" s="2" t="s">
        <v>4058</v>
      </c>
      <c r="B7212" s="2" t="s">
        <v>1417</v>
      </c>
      <c r="C7212" s="2">
        <v>844.77620000000002</v>
      </c>
      <c r="D7212" s="2">
        <f>HYPERLINK("http://mcb-m6.bioreg.kyushu-u.ac.jp/M3/20110421/F51039/2623/1", 54.71)</f>
        <v>54.71</v>
      </c>
      <c r="E7212" s="2">
        <v>30.04</v>
      </c>
      <c r="F7212" s="2">
        <v>2</v>
      </c>
      <c r="G7212" s="2" t="s">
        <v>11</v>
      </c>
    </row>
    <row r="7213" spans="1:7" x14ac:dyDescent="0.2">
      <c r="A7213" s="2" t="s">
        <v>3590</v>
      </c>
      <c r="B7213" s="2" t="s">
        <v>501</v>
      </c>
      <c r="C7213" s="2">
        <v>686.37620000000004</v>
      </c>
      <c r="D7213" s="2">
        <f>HYPERLINK("http://mcb-m6.bioreg.kyushu-u.ac.jp/M3/20110404/F50763/1681/1", 42.81)</f>
        <v>42.81</v>
      </c>
      <c r="E7213" s="2">
        <v>17.61</v>
      </c>
      <c r="F7213" s="2">
        <v>2</v>
      </c>
      <c r="G7213" s="2" t="s">
        <v>9</v>
      </c>
    </row>
    <row r="7214" spans="1:7" x14ac:dyDescent="0.2">
      <c r="A7214" s="2" t="s">
        <v>3590</v>
      </c>
      <c r="B7214" s="2" t="s">
        <v>3231</v>
      </c>
      <c r="C7214" s="2">
        <v>713.23220000000003</v>
      </c>
      <c r="D7214" s="2">
        <f>HYPERLINK("http://mcb-m6.bioreg.kyushu-u.ac.jp/M3/20110404/F50763/1831/1", 76.29)</f>
        <v>76.290000000000006</v>
      </c>
      <c r="E7214" s="2">
        <v>65.38</v>
      </c>
      <c r="F7214" s="2">
        <v>2</v>
      </c>
      <c r="G7214" s="2" t="s">
        <v>9</v>
      </c>
    </row>
    <row r="7215" spans="1:7" x14ac:dyDescent="0.2">
      <c r="A7215" s="2" t="s">
        <v>3590</v>
      </c>
      <c r="B7215" s="2" t="s">
        <v>501</v>
      </c>
      <c r="C7215" s="2">
        <v>686.81320000000005</v>
      </c>
      <c r="D7215" s="2">
        <f>HYPERLINK("http://mcb-m6.bioreg.kyushu-u.ac.jp/M3/20110404/F50769/1786/1", 47.28)</f>
        <v>47.28</v>
      </c>
      <c r="E7215" s="2">
        <v>12.73</v>
      </c>
      <c r="F7215" s="2">
        <v>2</v>
      </c>
      <c r="G7215" s="2" t="s">
        <v>10</v>
      </c>
    </row>
    <row r="7216" spans="1:7" x14ac:dyDescent="0.2">
      <c r="A7216" s="2" t="s">
        <v>3590</v>
      </c>
      <c r="B7216" s="2" t="s">
        <v>501</v>
      </c>
      <c r="C7216" s="2">
        <v>686.36360000000002</v>
      </c>
      <c r="D7216" s="2">
        <f>HYPERLINK("http://mcb-m6.bioreg.kyushu-u.ac.jp/M3/20110404/F50782/1477/1", 54.59)</f>
        <v>54.59</v>
      </c>
      <c r="E7216" s="2">
        <v>27.35</v>
      </c>
      <c r="F7216" s="2">
        <v>2</v>
      </c>
      <c r="G7216" s="2" t="s">
        <v>10</v>
      </c>
    </row>
    <row r="7217" spans="1:9" x14ac:dyDescent="0.2">
      <c r="A7217" s="2" t="s">
        <v>3590</v>
      </c>
      <c r="B7217" s="2" t="s">
        <v>501</v>
      </c>
      <c r="C7217" s="2">
        <v>686.44759999999997</v>
      </c>
      <c r="D7217" s="2">
        <f>HYPERLINK("http://mcb-m6.bioreg.kyushu-u.ac.jp/M3/20110421/F51035/1628/1", 43.95)</f>
        <v>43.95</v>
      </c>
      <c r="E7217" s="2">
        <v>16.440000000000001</v>
      </c>
      <c r="F7217" s="2">
        <v>2</v>
      </c>
      <c r="G7217" s="2" t="s">
        <v>11</v>
      </c>
    </row>
    <row r="7218" spans="1:9" x14ac:dyDescent="0.2">
      <c r="A7218" s="2" t="s">
        <v>3590</v>
      </c>
      <c r="B7218" s="2" t="s">
        <v>501</v>
      </c>
      <c r="C7218" s="2">
        <v>686.98820000000001</v>
      </c>
      <c r="D7218" s="2">
        <f>HYPERLINK("http://mcb-m6.bioreg.kyushu-u.ac.jp/M3/20110421/F51045/1922/1", 37.98)</f>
        <v>37.979999999999997</v>
      </c>
      <c r="E7218" s="2">
        <v>11.24</v>
      </c>
      <c r="F7218" s="2">
        <v>2</v>
      </c>
      <c r="G7218" s="2" t="s">
        <v>12</v>
      </c>
    </row>
    <row r="7219" spans="1:9" x14ac:dyDescent="0.2">
      <c r="A7219" s="2" t="s">
        <v>3590</v>
      </c>
      <c r="B7219" s="2" t="s">
        <v>475</v>
      </c>
      <c r="C7219" s="2">
        <v>597.68820000000005</v>
      </c>
      <c r="D7219" s="2">
        <f>HYPERLINK("http://mcb-m6.bioreg.kyushu-u.ac.jp/M3/20110421/F51021/1316/1", 51.16)</f>
        <v>51.16</v>
      </c>
      <c r="E7219" s="2">
        <v>35.68</v>
      </c>
      <c r="F7219" s="2">
        <v>2</v>
      </c>
      <c r="G7219" s="2" t="s">
        <v>12</v>
      </c>
    </row>
    <row r="7220" spans="1:9" x14ac:dyDescent="0.2">
      <c r="A7220" s="2" t="s">
        <v>3590</v>
      </c>
      <c r="B7220" s="2" t="s">
        <v>7230</v>
      </c>
      <c r="C7220" s="2">
        <v>486.63209999999998</v>
      </c>
      <c r="D7220" s="2">
        <f>HYPERLINK("http://mcb-m6.bioreg.kyushu-u.ac.jp/M3/20110421/F51021/770/1", 53.1)</f>
        <v>53.1</v>
      </c>
      <c r="E7220" s="2">
        <v>38.89</v>
      </c>
      <c r="F7220" s="2">
        <v>2</v>
      </c>
      <c r="G7220" s="2" t="s">
        <v>12</v>
      </c>
    </row>
    <row r="7221" spans="1:9" x14ac:dyDescent="0.2">
      <c r="A7221" s="2" t="s">
        <v>3590</v>
      </c>
      <c r="B7221" s="2" t="s">
        <v>685</v>
      </c>
      <c r="C7221" s="2">
        <v>621.6816</v>
      </c>
      <c r="D7221" s="2">
        <f>HYPERLINK("http://mcb-m6.bioreg.kyushu-u.ac.jp/M3/20110421/F51021/1431/1", 63.76)</f>
        <v>63.76</v>
      </c>
      <c r="E7221" s="2">
        <v>40.21</v>
      </c>
      <c r="F7221" s="2">
        <v>2</v>
      </c>
      <c r="G7221" s="2" t="s">
        <v>12</v>
      </c>
    </row>
    <row r="7222" spans="1:9" x14ac:dyDescent="0.2">
      <c r="A7222" s="2" t="s">
        <v>3590</v>
      </c>
      <c r="B7222" s="2" t="s">
        <v>475</v>
      </c>
      <c r="C7222" s="2">
        <v>598.20510000000002</v>
      </c>
      <c r="D7222" s="2">
        <f>HYPERLINK("http://mcb-m6.bioreg.kyushu-u.ac.jp/M3/20110421/F51021/1318/1", 66.37)</f>
        <v>66.37</v>
      </c>
      <c r="E7222" s="2">
        <v>35.86</v>
      </c>
      <c r="F7222" s="2">
        <v>2</v>
      </c>
      <c r="G7222" s="2" t="s">
        <v>12</v>
      </c>
    </row>
    <row r="7223" spans="1:9" x14ac:dyDescent="0.2">
      <c r="A7223" s="2" t="s">
        <v>3590</v>
      </c>
      <c r="B7223" s="2" t="s">
        <v>501</v>
      </c>
      <c r="C7223" s="2">
        <v>686.66610000000003</v>
      </c>
      <c r="D7223" s="2">
        <f>HYPERLINK("http://mcb-m6.bioreg.kyushu-u.ac.jp/M3/20110427/F51116/1750/1", 41.8)</f>
        <v>41.8</v>
      </c>
      <c r="E7223" s="2">
        <v>15.13</v>
      </c>
      <c r="F7223" s="2">
        <v>2</v>
      </c>
      <c r="G7223" s="2" t="s">
        <v>13</v>
      </c>
    </row>
    <row r="7224" spans="1:9" x14ac:dyDescent="0.2">
      <c r="A7224" s="2" t="s">
        <v>3590</v>
      </c>
      <c r="B7224" s="2" t="s">
        <v>475</v>
      </c>
      <c r="C7224" s="2">
        <v>597.83010000000002</v>
      </c>
      <c r="D7224" s="2">
        <f>HYPERLINK("http://mcb-m6.bioreg.kyushu-u.ac.jp/M3/20110427/F51112/1505/1", 56.82)</f>
        <v>56.82</v>
      </c>
      <c r="E7224" s="2">
        <v>29.5</v>
      </c>
      <c r="F7224" s="2">
        <v>2</v>
      </c>
      <c r="G7224" s="2" t="s">
        <v>13</v>
      </c>
    </row>
    <row r="7225" spans="1:9" x14ac:dyDescent="0.2">
      <c r="A7225" s="2" t="s">
        <v>3590</v>
      </c>
      <c r="B7225" s="2" t="s">
        <v>475</v>
      </c>
      <c r="C7225" s="2">
        <v>597.62660000000005</v>
      </c>
      <c r="D7225" s="2">
        <f>HYPERLINK("http://mcb-m6.bioreg.kyushu-u.ac.jp/M3/20110427/F51114/1360/1", 70)</f>
        <v>70</v>
      </c>
      <c r="E7225" s="2">
        <v>44.92</v>
      </c>
      <c r="F7225" s="2">
        <v>2</v>
      </c>
      <c r="G7225" s="2" t="s">
        <v>13</v>
      </c>
    </row>
    <row r="7226" spans="1:9" x14ac:dyDescent="0.2">
      <c r="A7226" s="2" t="s">
        <v>3590</v>
      </c>
      <c r="B7226" s="2" t="s">
        <v>7489</v>
      </c>
      <c r="C7226" s="2">
        <v>537.7482</v>
      </c>
      <c r="D7226" s="2">
        <f>HYPERLINK("http://mcb-m6.bioreg.kyushu-u.ac.jp/M3/20110428/F51128/1090/1", 47.76)</f>
        <v>47.76</v>
      </c>
      <c r="E7226" s="2">
        <v>14.97</v>
      </c>
      <c r="F7226" s="2">
        <v>2</v>
      </c>
      <c r="G7226" s="2" t="s">
        <v>14</v>
      </c>
    </row>
    <row r="7227" spans="1:9" x14ac:dyDescent="0.2">
      <c r="A7227" s="2" t="s">
        <v>3590</v>
      </c>
      <c r="B7227" s="2" t="s">
        <v>475</v>
      </c>
      <c r="C7227" s="2">
        <v>597.81619999999998</v>
      </c>
      <c r="D7227" s="2">
        <f>HYPERLINK("http://mcb-m6.bioreg.kyushu-u.ac.jp/M3/20110427/F51120/1657/1", 62.22)</f>
        <v>62.22</v>
      </c>
      <c r="E7227" s="2">
        <v>37.71</v>
      </c>
      <c r="F7227" s="2">
        <v>2</v>
      </c>
      <c r="G7227" s="2" t="s">
        <v>14</v>
      </c>
    </row>
    <row r="7228" spans="1:9" x14ac:dyDescent="0.2">
      <c r="A7228" s="2" t="s">
        <v>3371</v>
      </c>
      <c r="B7228" s="2" t="s">
        <v>300</v>
      </c>
      <c r="C7228" s="2">
        <v>450.24610000000001</v>
      </c>
      <c r="D7228" s="2">
        <f>HYPERLINK("http://mcb-m6.bioreg.kyushu-u.ac.jp/M3/20110404/F50754/1127/1", 42.38)</f>
        <v>42.38</v>
      </c>
      <c r="E7228" s="2">
        <v>13.33</v>
      </c>
      <c r="F7228" s="2">
        <v>2</v>
      </c>
      <c r="G7228" s="2" t="s">
        <v>9</v>
      </c>
    </row>
    <row r="7229" spans="1:9" x14ac:dyDescent="0.2">
      <c r="A7229" s="2" t="s">
        <v>3550</v>
      </c>
      <c r="B7229" s="2" t="s">
        <v>407</v>
      </c>
      <c r="C7229" s="2">
        <v>1264.42</v>
      </c>
      <c r="D7229" s="2">
        <f>HYPERLINK("http://mcb-m6.bioreg.kyushu-u.ac.jp/M3/20110404/F50754/1743/1", 41.28)</f>
        <v>41.28</v>
      </c>
      <c r="E7229" s="2">
        <v>23.88</v>
      </c>
      <c r="F7229" s="2">
        <v>1</v>
      </c>
      <c r="G7229" s="2" t="s">
        <v>9</v>
      </c>
    </row>
    <row r="7230" spans="1:9" x14ac:dyDescent="0.2">
      <c r="A7230" s="2" t="s">
        <v>3550</v>
      </c>
      <c r="B7230" s="2" t="s">
        <v>6530</v>
      </c>
      <c r="C7230" s="2">
        <v>938.75070000000005</v>
      </c>
      <c r="D7230" s="2">
        <f>HYPERLINK("http://mcb-m6.bioreg.kyushu-u.ac.jp/M3/20110404/F50754/2720/1", 75.81)</f>
        <v>75.81</v>
      </c>
      <c r="E7230" s="2">
        <v>60.58</v>
      </c>
      <c r="F7230" s="2">
        <v>2</v>
      </c>
      <c r="G7230" s="2" t="s">
        <v>9</v>
      </c>
      <c r="H7230" s="2" t="s">
        <v>4927</v>
      </c>
      <c r="I7230" s="2" t="s">
        <v>4893</v>
      </c>
    </row>
    <row r="7231" spans="1:9" x14ac:dyDescent="0.2">
      <c r="A7231" s="2" t="s">
        <v>3550</v>
      </c>
      <c r="B7231" s="2" t="s">
        <v>407</v>
      </c>
      <c r="C7231" s="2">
        <v>632.76459999999997</v>
      </c>
      <c r="D7231" s="2">
        <f>HYPERLINK("http://mcb-m6.bioreg.kyushu-u.ac.jp/M3/20110421/F51018/1619/1", 55.87)</f>
        <v>55.87</v>
      </c>
      <c r="E7231" s="2">
        <v>40.33</v>
      </c>
      <c r="F7231" s="2">
        <v>2</v>
      </c>
      <c r="G7231" s="2" t="s">
        <v>11</v>
      </c>
    </row>
    <row r="7232" spans="1:9" x14ac:dyDescent="0.2">
      <c r="A7232" s="2" t="s">
        <v>3550</v>
      </c>
      <c r="B7232" s="2" t="s">
        <v>407</v>
      </c>
      <c r="C7232" s="2">
        <v>632.26459999999997</v>
      </c>
      <c r="D7232" s="2">
        <f>HYPERLINK("http://mcb-m6.bioreg.kyushu-u.ac.jp/M3/20110421/F51023/1689/1", 37.04)</f>
        <v>37.04</v>
      </c>
      <c r="E7232" s="2">
        <v>20.260000000000002</v>
      </c>
      <c r="F7232" s="2">
        <v>2</v>
      </c>
      <c r="G7232" s="2" t="s">
        <v>12</v>
      </c>
    </row>
    <row r="7233" spans="1:9" x14ac:dyDescent="0.2">
      <c r="A7233" s="2" t="s">
        <v>3550</v>
      </c>
      <c r="B7233" s="2" t="s">
        <v>407</v>
      </c>
      <c r="C7233" s="2">
        <v>632.1952</v>
      </c>
      <c r="D7233" s="2">
        <f>HYPERLINK("http://mcb-m6.bioreg.kyushu-u.ac.jp/M3/20110421/F51024/1695/1", 69.3)</f>
        <v>69.3</v>
      </c>
      <c r="E7233" s="2">
        <v>47.77</v>
      </c>
      <c r="F7233" s="2">
        <v>2</v>
      </c>
      <c r="G7233" s="2" t="s">
        <v>12</v>
      </c>
    </row>
    <row r="7234" spans="1:9" x14ac:dyDescent="0.2">
      <c r="A7234" s="2" t="s">
        <v>3550</v>
      </c>
      <c r="B7234" s="2" t="s">
        <v>407</v>
      </c>
      <c r="C7234" s="2">
        <v>632.62620000000004</v>
      </c>
      <c r="D7234" s="2">
        <f>HYPERLINK("http://mcb-m6.bioreg.kyushu-u.ac.jp/M3/20110427/F51121/1664/1", 67.16)</f>
        <v>67.16</v>
      </c>
      <c r="E7234" s="2">
        <v>46.34</v>
      </c>
      <c r="F7234" s="2">
        <v>2</v>
      </c>
      <c r="G7234" s="2" t="s">
        <v>14</v>
      </c>
    </row>
    <row r="7235" spans="1:9" x14ac:dyDescent="0.2">
      <c r="A7235" s="2" t="s">
        <v>4629</v>
      </c>
      <c r="B7235" s="2" t="s">
        <v>2781</v>
      </c>
      <c r="C7235" s="2">
        <v>985.62710000000004</v>
      </c>
      <c r="D7235" s="2">
        <f>HYPERLINK("http://mcb-m6.bioreg.kyushu-u.ac.jp/M3/20110421/F51021/3285/1", 111.01)</f>
        <v>111.01</v>
      </c>
      <c r="E7235" s="2">
        <v>92.41</v>
      </c>
      <c r="F7235" s="2">
        <v>2</v>
      </c>
      <c r="G7235" s="2" t="s">
        <v>12</v>
      </c>
      <c r="I7235" s="2" t="s">
        <v>4906</v>
      </c>
    </row>
    <row r="7236" spans="1:9" x14ac:dyDescent="0.2">
      <c r="A7236" s="2" t="s">
        <v>4629</v>
      </c>
      <c r="B7236" s="2" t="s">
        <v>2781</v>
      </c>
      <c r="C7236" s="2">
        <v>985.15620000000001</v>
      </c>
      <c r="D7236" s="2">
        <f>HYPERLINK("http://mcb-m6.bioreg.kyushu-u.ac.jp/M3/20110427/F51108/2805/1", 106.24)</f>
        <v>106.24</v>
      </c>
      <c r="E7236" s="2">
        <v>88.22</v>
      </c>
      <c r="F7236" s="2">
        <v>2</v>
      </c>
      <c r="G7236" s="2" t="s">
        <v>13</v>
      </c>
      <c r="I7236" s="2" t="s">
        <v>4906</v>
      </c>
    </row>
    <row r="7237" spans="1:9" x14ac:dyDescent="0.2">
      <c r="A7237" s="2" t="s">
        <v>4703</v>
      </c>
      <c r="B7237" s="2" t="s">
        <v>2883</v>
      </c>
      <c r="C7237" s="2">
        <v>562.13869999999997</v>
      </c>
      <c r="D7237" s="2">
        <f>HYPERLINK("http://mcb-m6.bioreg.kyushu-u.ac.jp/M3/20110421/F51048/1407/1", 47.98)</f>
        <v>47.98</v>
      </c>
      <c r="E7237" s="2">
        <v>21.58</v>
      </c>
      <c r="F7237" s="2">
        <v>2</v>
      </c>
      <c r="G7237" s="2" t="s">
        <v>12</v>
      </c>
    </row>
    <row r="7238" spans="1:9" x14ac:dyDescent="0.2">
      <c r="A7238" s="2" t="s">
        <v>4703</v>
      </c>
      <c r="B7238" s="2" t="s">
        <v>2883</v>
      </c>
      <c r="C7238" s="2">
        <v>561.68870000000004</v>
      </c>
      <c r="D7238" s="2">
        <f>HYPERLINK("http://mcb-m6.bioreg.kyushu-u.ac.jp/M3/20110428/F51129/1263/1", 54.32)</f>
        <v>54.32</v>
      </c>
      <c r="E7238" s="2">
        <v>36.5</v>
      </c>
      <c r="F7238" s="2">
        <v>2</v>
      </c>
      <c r="G7238" s="2" t="s">
        <v>14</v>
      </c>
    </row>
    <row r="7239" spans="1:9" x14ac:dyDescent="0.2">
      <c r="A7239" s="2" t="s">
        <v>3764</v>
      </c>
      <c r="B7239" s="2" t="s">
        <v>7149</v>
      </c>
      <c r="C7239" s="2">
        <v>709.16669999999999</v>
      </c>
      <c r="D7239" s="2">
        <f>HYPERLINK("http://mcb-m6.bioreg.kyushu-u.ac.jp/M3/20110421/F51014/1990/1", 91.73)</f>
        <v>91.73</v>
      </c>
      <c r="E7239" s="2">
        <v>67.94</v>
      </c>
      <c r="F7239" s="2">
        <v>2</v>
      </c>
      <c r="G7239" s="2" t="s">
        <v>11</v>
      </c>
    </row>
    <row r="7240" spans="1:9" x14ac:dyDescent="0.2">
      <c r="A7240" s="2" t="s">
        <v>3764</v>
      </c>
      <c r="B7240" s="2" t="s">
        <v>780</v>
      </c>
      <c r="C7240" s="2">
        <v>887.32460000000003</v>
      </c>
      <c r="D7240" s="2">
        <f>HYPERLINK("http://mcb-m6.bioreg.kyushu-u.ac.jp/M3/20110421/F51021/2861/1", 91.03)</f>
        <v>91.03</v>
      </c>
      <c r="E7240" s="2">
        <v>66.62</v>
      </c>
      <c r="F7240" s="2">
        <v>2</v>
      </c>
      <c r="G7240" s="2" t="s">
        <v>12</v>
      </c>
    </row>
    <row r="7241" spans="1:9" x14ac:dyDescent="0.2">
      <c r="A7241" s="2" t="s">
        <v>3764</v>
      </c>
      <c r="B7241" s="2" t="s">
        <v>780</v>
      </c>
      <c r="C7241" s="2">
        <v>591.59349999999995</v>
      </c>
      <c r="D7241" s="2">
        <f>HYPERLINK("http://mcb-m6.bioreg.kyushu-u.ac.jp/M3/20110427/F51108/2548/1", 56.99)</f>
        <v>56.99</v>
      </c>
      <c r="E7241" s="2">
        <v>33.340000000000003</v>
      </c>
      <c r="F7241" s="2">
        <v>3</v>
      </c>
      <c r="G7241" s="2" t="s">
        <v>13</v>
      </c>
    </row>
    <row r="7242" spans="1:9" x14ac:dyDescent="0.2">
      <c r="A7242" s="2" t="s">
        <v>3764</v>
      </c>
      <c r="B7242" s="2" t="s">
        <v>7149</v>
      </c>
      <c r="C7242" s="2">
        <v>709.06960000000004</v>
      </c>
      <c r="D7242" s="2">
        <f>HYPERLINK("http://mcb-m6.bioreg.kyushu-u.ac.jp/M3/20110427/F51108/1933/1", 84.43)</f>
        <v>84.43</v>
      </c>
      <c r="E7242" s="2">
        <v>62.81</v>
      </c>
      <c r="F7242" s="2">
        <v>2</v>
      </c>
      <c r="G7242" s="2" t="s">
        <v>13</v>
      </c>
    </row>
    <row r="7243" spans="1:9" x14ac:dyDescent="0.2">
      <c r="A7243" s="2" t="s">
        <v>3764</v>
      </c>
      <c r="B7243" s="2" t="s">
        <v>780</v>
      </c>
      <c r="C7243" s="2">
        <v>886.77760000000001</v>
      </c>
      <c r="D7243" s="2">
        <f>HYPERLINK("http://mcb-m6.bioreg.kyushu-u.ac.jp/M3/20110427/F51108/2547/1", 94.11)</f>
        <v>94.11</v>
      </c>
      <c r="E7243" s="2">
        <v>69.64</v>
      </c>
      <c r="F7243" s="2">
        <v>2</v>
      </c>
      <c r="G7243" s="2" t="s">
        <v>13</v>
      </c>
    </row>
    <row r="7244" spans="1:9" x14ac:dyDescent="0.2">
      <c r="A7244" s="2" t="s">
        <v>4046</v>
      </c>
      <c r="B7244" s="2" t="s">
        <v>1619</v>
      </c>
      <c r="C7244" s="2">
        <v>925.64319999999998</v>
      </c>
      <c r="D7244" s="2">
        <f>HYPERLINK("http://mcb-m6.bioreg.kyushu-u.ac.jp/M3/20110421/F51014/3294/1", 65.65)</f>
        <v>65.650000000000006</v>
      </c>
      <c r="E7244" s="2">
        <v>51.23</v>
      </c>
      <c r="F7244" s="2">
        <v>3</v>
      </c>
      <c r="G7244" s="2" t="s">
        <v>11</v>
      </c>
    </row>
    <row r="7245" spans="1:9" x14ac:dyDescent="0.2">
      <c r="A7245" s="2" t="s">
        <v>4046</v>
      </c>
      <c r="B7245" s="2" t="s">
        <v>1391</v>
      </c>
      <c r="C7245" s="2">
        <v>1242.2470000000001</v>
      </c>
      <c r="D7245" s="2">
        <f>HYPERLINK("http://mcb-m6.bioreg.kyushu-u.ac.jp/M3/20110421/F51014/1669/1", 85.8)</f>
        <v>85.8</v>
      </c>
      <c r="E7245" s="2">
        <v>63.77</v>
      </c>
      <c r="F7245" s="2">
        <v>1</v>
      </c>
      <c r="G7245" s="2" t="s">
        <v>11</v>
      </c>
    </row>
    <row r="7246" spans="1:9" x14ac:dyDescent="0.2">
      <c r="A7246" s="2" t="s">
        <v>4046</v>
      </c>
      <c r="B7246" s="2" t="s">
        <v>1391</v>
      </c>
      <c r="C7246" s="2">
        <v>621.52120000000002</v>
      </c>
      <c r="D7246" s="2">
        <f>HYPERLINK("http://mcb-m6.bioreg.kyushu-u.ac.jp/M3/20110421/F51014/1667/1", 89.75)</f>
        <v>89.75</v>
      </c>
      <c r="E7246" s="2">
        <v>65.33</v>
      </c>
      <c r="F7246" s="2">
        <v>2</v>
      </c>
      <c r="G7246" s="2" t="s">
        <v>11</v>
      </c>
    </row>
    <row r="7247" spans="1:9" x14ac:dyDescent="0.2">
      <c r="A7247" s="2" t="s">
        <v>4046</v>
      </c>
      <c r="B7247" s="2" t="s">
        <v>2137</v>
      </c>
      <c r="C7247" s="2">
        <v>934.70510000000002</v>
      </c>
      <c r="D7247" s="2">
        <f>HYPERLINK("http://mcb-m6.bioreg.kyushu-u.ac.jp/M3/20110421/F51014/2764/1", 102.31)</f>
        <v>102.31</v>
      </c>
      <c r="E7247" s="2">
        <v>75.599999999999994</v>
      </c>
      <c r="F7247" s="2">
        <v>2</v>
      </c>
      <c r="G7247" s="2" t="s">
        <v>11</v>
      </c>
    </row>
    <row r="7248" spans="1:9" x14ac:dyDescent="0.2">
      <c r="A7248" s="2" t="s">
        <v>4046</v>
      </c>
      <c r="B7248" s="2" t="s">
        <v>1619</v>
      </c>
      <c r="C7248" s="2">
        <v>1387.67</v>
      </c>
      <c r="D7248" s="2">
        <f>HYPERLINK("http://mcb-m6.bioreg.kyushu-u.ac.jp/M3/20110421/F51014/3293/1", 115.69)</f>
        <v>115.69</v>
      </c>
      <c r="E7248" s="2">
        <v>104.68</v>
      </c>
      <c r="F7248" s="2">
        <v>2</v>
      </c>
      <c r="G7248" s="2" t="s">
        <v>11</v>
      </c>
    </row>
    <row r="7249" spans="1:9" x14ac:dyDescent="0.2">
      <c r="A7249" s="2" t="s">
        <v>4046</v>
      </c>
      <c r="B7249" s="2" t="s">
        <v>2137</v>
      </c>
      <c r="C7249" s="2">
        <v>935.29610000000002</v>
      </c>
      <c r="D7249" s="2">
        <f>HYPERLINK("http://mcb-m6.bioreg.kyushu-u.ac.jp/M3/20110421/F51014/2768/1", 129.06)</f>
        <v>129.06</v>
      </c>
      <c r="E7249" s="2">
        <v>106.53</v>
      </c>
      <c r="F7249" s="2">
        <v>2</v>
      </c>
      <c r="G7249" s="2" t="s">
        <v>11</v>
      </c>
    </row>
    <row r="7250" spans="1:9" x14ac:dyDescent="0.2">
      <c r="A7250" s="2" t="s">
        <v>4046</v>
      </c>
      <c r="B7250" s="2" t="s">
        <v>1391</v>
      </c>
      <c r="C7250" s="2">
        <v>621.56769999999995</v>
      </c>
      <c r="D7250" s="2">
        <f>HYPERLINK("http://mcb-m6.bioreg.kyushu-u.ac.jp/M3/20110421/F51021/1430/1", 35.95)</f>
        <v>35.950000000000003</v>
      </c>
      <c r="E7250" s="2">
        <v>25.92</v>
      </c>
      <c r="F7250" s="2">
        <v>2</v>
      </c>
      <c r="G7250" s="2" t="s">
        <v>12</v>
      </c>
    </row>
    <row r="7251" spans="1:9" x14ac:dyDescent="0.2">
      <c r="A7251" s="2" t="s">
        <v>4046</v>
      </c>
      <c r="B7251" s="2" t="s">
        <v>2137</v>
      </c>
      <c r="C7251" s="2">
        <v>935.00519999999995</v>
      </c>
      <c r="D7251" s="2">
        <f>HYPERLINK("http://mcb-m6.bioreg.kyushu-u.ac.jp/M3/20110421/F51021/3093/1", 92.76)</f>
        <v>92.76</v>
      </c>
      <c r="E7251" s="2">
        <v>71.22</v>
      </c>
      <c r="F7251" s="2">
        <v>2</v>
      </c>
      <c r="G7251" s="2" t="s">
        <v>12</v>
      </c>
    </row>
    <row r="7252" spans="1:9" x14ac:dyDescent="0.2">
      <c r="A7252" s="2" t="s">
        <v>4046</v>
      </c>
      <c r="B7252" s="2" t="s">
        <v>1391</v>
      </c>
      <c r="C7252" s="2">
        <v>621.69420000000002</v>
      </c>
      <c r="D7252" s="2">
        <f>HYPERLINK("http://mcb-m6.bioreg.kyushu-u.ac.jp/M3/20110427/F51108/1628/1", 49.91)</f>
        <v>49.91</v>
      </c>
      <c r="E7252" s="2">
        <v>35.72</v>
      </c>
      <c r="F7252" s="2">
        <v>2</v>
      </c>
      <c r="G7252" s="2" t="s">
        <v>13</v>
      </c>
    </row>
    <row r="7253" spans="1:9" x14ac:dyDescent="0.2">
      <c r="A7253" s="2" t="s">
        <v>4046</v>
      </c>
      <c r="B7253" s="2" t="s">
        <v>1391</v>
      </c>
      <c r="C7253" s="2">
        <v>1242.3699999999999</v>
      </c>
      <c r="D7253" s="2">
        <f>HYPERLINK("http://mcb-m6.bioreg.kyushu-u.ac.jp/M3/20110427/F51108/1627/1", 79.69)</f>
        <v>79.69</v>
      </c>
      <c r="E7253" s="2">
        <v>59.59</v>
      </c>
      <c r="F7253" s="2">
        <v>1</v>
      </c>
      <c r="G7253" s="2" t="s">
        <v>13</v>
      </c>
    </row>
    <row r="7254" spans="1:9" x14ac:dyDescent="0.2">
      <c r="A7254" s="2" t="s">
        <v>4046</v>
      </c>
      <c r="B7254" s="2" t="s">
        <v>2137</v>
      </c>
      <c r="C7254" s="2">
        <v>934.98109999999997</v>
      </c>
      <c r="D7254" s="2">
        <f>HYPERLINK("http://mcb-m6.bioreg.kyushu-u.ac.jp/M3/20110427/F51108/2695/1", 80.86)</f>
        <v>80.86</v>
      </c>
      <c r="E7254" s="2">
        <v>57.11</v>
      </c>
      <c r="F7254" s="2">
        <v>2</v>
      </c>
      <c r="G7254" s="2" t="s">
        <v>13</v>
      </c>
    </row>
    <row r="7255" spans="1:9" x14ac:dyDescent="0.2">
      <c r="A7255" s="2" t="s">
        <v>4046</v>
      </c>
      <c r="B7255" s="2" t="s">
        <v>1391</v>
      </c>
      <c r="C7255" s="2">
        <v>621.67819999999995</v>
      </c>
      <c r="D7255" s="2">
        <f>HYPERLINK("http://mcb-m6.bioreg.kyushu-u.ac.jp/M3/20110427/F51118/1732/1", 37.12)</f>
        <v>37.119999999999997</v>
      </c>
      <c r="E7255" s="2">
        <v>16.37</v>
      </c>
      <c r="F7255" s="2">
        <v>2</v>
      </c>
      <c r="G7255" s="2" t="s">
        <v>14</v>
      </c>
    </row>
    <row r="7256" spans="1:9" x14ac:dyDescent="0.2">
      <c r="A7256" s="2" t="s">
        <v>3907</v>
      </c>
      <c r="B7256" s="2" t="s">
        <v>1469</v>
      </c>
      <c r="C7256" s="2">
        <v>955.54859999999996</v>
      </c>
      <c r="D7256" s="2">
        <f>HYPERLINK("http://mcb-m6.bioreg.kyushu-u.ac.jp/M3/20110427/F51113/2795/1", 58.05)</f>
        <v>58.05</v>
      </c>
      <c r="E7256" s="2">
        <v>49.58</v>
      </c>
      <c r="F7256" s="2">
        <v>2</v>
      </c>
      <c r="G7256" s="2" t="s">
        <v>13</v>
      </c>
      <c r="I7256" s="2" t="s">
        <v>4892</v>
      </c>
    </row>
    <row r="7257" spans="1:9" x14ac:dyDescent="0.2">
      <c r="A7257" s="2" t="s">
        <v>7864</v>
      </c>
      <c r="B7257" s="2" t="s">
        <v>6858</v>
      </c>
      <c r="C7257" s="2">
        <v>925.2527</v>
      </c>
      <c r="D7257" s="2">
        <f>HYPERLINK("http://mcb-m6.bioreg.kyushu-u.ac.jp/M3/20110404/F50775/2597/1", 50.4)</f>
        <v>50.4</v>
      </c>
      <c r="E7257" s="2">
        <v>39.43</v>
      </c>
      <c r="F7257" s="2">
        <v>2</v>
      </c>
      <c r="G7257" s="2" t="s">
        <v>10</v>
      </c>
    </row>
    <row r="7258" spans="1:9" x14ac:dyDescent="0.2">
      <c r="A7258" s="2" t="s">
        <v>7864</v>
      </c>
      <c r="B7258" s="2" t="s">
        <v>6858</v>
      </c>
      <c r="C7258" s="2">
        <v>925.96510000000001</v>
      </c>
      <c r="D7258" s="2">
        <f>HYPERLINK("http://mcb-m6.bioreg.kyushu-u.ac.jp/M3/20110404/F50775/2600/1", 50.86)</f>
        <v>50.86</v>
      </c>
      <c r="E7258" s="2">
        <v>31.49</v>
      </c>
      <c r="F7258" s="2">
        <v>2</v>
      </c>
      <c r="G7258" s="2" t="s">
        <v>10</v>
      </c>
    </row>
    <row r="7259" spans="1:9" x14ac:dyDescent="0.2">
      <c r="A7259" s="2" t="s">
        <v>7864</v>
      </c>
      <c r="B7259" s="2" t="s">
        <v>6858</v>
      </c>
      <c r="C7259" s="2">
        <v>925.44709999999998</v>
      </c>
      <c r="D7259" s="2">
        <f>HYPERLINK("http://mcb-m6.bioreg.kyushu-u.ac.jp/M3/20110421/F51050/2770/1", 86.44)</f>
        <v>86.44</v>
      </c>
      <c r="E7259" s="2">
        <v>74.81</v>
      </c>
      <c r="F7259" s="2">
        <v>2</v>
      </c>
      <c r="G7259" s="2" t="s">
        <v>12</v>
      </c>
    </row>
    <row r="7260" spans="1:9" x14ac:dyDescent="0.2">
      <c r="A7260" s="2" t="s">
        <v>7970</v>
      </c>
      <c r="B7260" s="2" t="s">
        <v>7181</v>
      </c>
      <c r="C7260" s="2">
        <v>555.88319999999999</v>
      </c>
      <c r="D7260" s="2">
        <f>HYPERLINK("http://mcb-m6.bioreg.kyushu-u.ac.jp/M3/20110421/F51050/1365/1", 38.77)</f>
        <v>38.770000000000003</v>
      </c>
      <c r="E7260" s="2">
        <v>18.809999999999999</v>
      </c>
      <c r="F7260" s="2">
        <v>2</v>
      </c>
      <c r="G7260" s="2" t="s">
        <v>12</v>
      </c>
    </row>
    <row r="7261" spans="1:9" x14ac:dyDescent="0.2">
      <c r="A7261" s="2" t="s">
        <v>7970</v>
      </c>
      <c r="B7261" s="2" t="s">
        <v>7231</v>
      </c>
      <c r="C7261" s="2">
        <v>753.91669999999999</v>
      </c>
      <c r="D7261" s="2">
        <f>HYPERLINK("http://mcb-m6.bioreg.kyushu-u.ac.jp/M3/20110421/F51050/2194/1", 53.19)</f>
        <v>53.19</v>
      </c>
      <c r="E7261" s="2">
        <v>40.450000000000003</v>
      </c>
      <c r="F7261" s="2">
        <v>2</v>
      </c>
      <c r="G7261" s="2" t="s">
        <v>12</v>
      </c>
      <c r="I7261" s="2" t="s">
        <v>4895</v>
      </c>
    </row>
    <row r="7262" spans="1:9" x14ac:dyDescent="0.2">
      <c r="A7262" s="2" t="s">
        <v>7970</v>
      </c>
      <c r="B7262" s="2" t="s">
        <v>7251</v>
      </c>
      <c r="C7262" s="2">
        <v>771.34270000000004</v>
      </c>
      <c r="D7262" s="2">
        <f>HYPERLINK("http://mcb-m6.bioreg.kyushu-u.ac.jp/M3/20110421/F51050/2267/1", 66.42)</f>
        <v>66.42</v>
      </c>
      <c r="E7262" s="2">
        <v>51.36</v>
      </c>
      <c r="F7262" s="2">
        <v>2</v>
      </c>
      <c r="G7262" s="2" t="s">
        <v>12</v>
      </c>
    </row>
    <row r="7263" spans="1:9" x14ac:dyDescent="0.2">
      <c r="A7263" s="2" t="s">
        <v>3908</v>
      </c>
      <c r="B7263" s="2" t="s">
        <v>1072</v>
      </c>
      <c r="C7263" s="2">
        <v>966.02070000000003</v>
      </c>
      <c r="D7263" s="2">
        <f>HYPERLINK("http://mcb-m6.bioreg.kyushu-u.ac.jp/M3/20110404/F50766/2829/1", 93.25)</f>
        <v>93.25</v>
      </c>
      <c r="E7263" s="2">
        <v>70.010000000000005</v>
      </c>
      <c r="F7263" s="2">
        <v>2</v>
      </c>
      <c r="G7263" s="2" t="s">
        <v>9</v>
      </c>
    </row>
    <row r="7264" spans="1:9" x14ac:dyDescent="0.2">
      <c r="A7264" s="2" t="s">
        <v>3908</v>
      </c>
      <c r="B7264" s="2" t="s">
        <v>1072</v>
      </c>
      <c r="C7264" s="2">
        <v>966.27419999999995</v>
      </c>
      <c r="D7264" s="2">
        <f>HYPERLINK("http://mcb-m6.bioreg.kyushu-u.ac.jp/M3/20110421/F51014/2833/1", 67.03)</f>
        <v>67.03</v>
      </c>
      <c r="E7264" s="2">
        <v>50.35</v>
      </c>
      <c r="F7264" s="2">
        <v>2</v>
      </c>
      <c r="G7264" s="2" t="s">
        <v>11</v>
      </c>
    </row>
    <row r="7265" spans="1:9" x14ac:dyDescent="0.2">
      <c r="A7265" s="2" t="s">
        <v>5775</v>
      </c>
      <c r="B7265" s="2" t="s">
        <v>6474</v>
      </c>
      <c r="C7265" s="2">
        <v>838.44709999999998</v>
      </c>
      <c r="D7265" s="2">
        <f>HYPERLINK("http://mcb-m6.bioreg.kyushu-u.ac.jp/M3/20110404/F50764/2224/1", 68.04)</f>
        <v>68.040000000000006</v>
      </c>
      <c r="E7265" s="2">
        <v>47.7</v>
      </c>
      <c r="F7265" s="2">
        <v>2</v>
      </c>
      <c r="G7265" s="2" t="s">
        <v>9</v>
      </c>
      <c r="I7265" s="2" t="s">
        <v>4890</v>
      </c>
    </row>
    <row r="7266" spans="1:9" x14ac:dyDescent="0.2">
      <c r="A7266" s="2" t="s">
        <v>4290</v>
      </c>
      <c r="B7266" s="2" t="s">
        <v>1985</v>
      </c>
      <c r="C7266" s="2">
        <v>919.34770000000003</v>
      </c>
      <c r="D7266" s="2">
        <f>HYPERLINK("http://mcb-m6.bioreg.kyushu-u.ac.jp/M3/20110404/F50769/2437/1", 74)</f>
        <v>74</v>
      </c>
      <c r="E7266" s="2">
        <v>65.95</v>
      </c>
      <c r="F7266" s="2">
        <v>2</v>
      </c>
      <c r="G7266" s="2" t="s">
        <v>10</v>
      </c>
    </row>
    <row r="7267" spans="1:9" x14ac:dyDescent="0.2">
      <c r="A7267" s="2" t="s">
        <v>4290</v>
      </c>
      <c r="B7267" s="2" t="s">
        <v>1985</v>
      </c>
      <c r="C7267" s="2">
        <v>919.39970000000005</v>
      </c>
      <c r="D7267" s="2">
        <f>HYPERLINK("http://mcb-m6.bioreg.kyushu-u.ac.jp/M3/20110421/F51045/2881/1", 78.76)</f>
        <v>78.760000000000005</v>
      </c>
      <c r="E7267" s="2">
        <v>70.62</v>
      </c>
      <c r="F7267" s="2">
        <v>2</v>
      </c>
      <c r="G7267" s="2" t="s">
        <v>12</v>
      </c>
    </row>
    <row r="7268" spans="1:9" x14ac:dyDescent="0.2">
      <c r="A7268" s="2" t="s">
        <v>7643</v>
      </c>
      <c r="B7268" s="2" t="s">
        <v>6194</v>
      </c>
      <c r="C7268" s="2">
        <v>453.2756</v>
      </c>
      <c r="D7268" s="2">
        <f>HYPERLINK("http://mcb-m6.bioreg.kyushu-u.ac.jp/M3/20110404/F50751/1299/1", 46.17)</f>
        <v>46.17</v>
      </c>
      <c r="E7268" s="2">
        <v>10.130000000000001</v>
      </c>
      <c r="F7268" s="2">
        <v>2</v>
      </c>
      <c r="G7268" s="2" t="s">
        <v>9</v>
      </c>
      <c r="I7268" s="2" t="s">
        <v>4905</v>
      </c>
    </row>
    <row r="7269" spans="1:9" x14ac:dyDescent="0.2">
      <c r="A7269" s="2" t="s">
        <v>3950</v>
      </c>
      <c r="B7269" s="2" t="s">
        <v>6510</v>
      </c>
      <c r="C7269" s="2">
        <v>694.24570000000006</v>
      </c>
      <c r="D7269" s="2">
        <f>HYPERLINK("http://mcb-m6.bioreg.kyushu-u.ac.jp/M3/20110404/F50754/1941/1", 72.71)</f>
        <v>72.709999999999994</v>
      </c>
      <c r="E7269" s="2">
        <v>57.41</v>
      </c>
      <c r="F7269" s="2">
        <v>2</v>
      </c>
      <c r="G7269" s="2" t="s">
        <v>9</v>
      </c>
    </row>
    <row r="7270" spans="1:9" x14ac:dyDescent="0.2">
      <c r="A7270" s="2" t="s">
        <v>7684</v>
      </c>
      <c r="B7270" s="2" t="s">
        <v>6317</v>
      </c>
      <c r="C7270" s="2">
        <v>978.00919999999996</v>
      </c>
      <c r="D7270" s="2">
        <f>HYPERLINK("http://mcb-m6.bioreg.kyushu-u.ac.jp/M3/20110404/F50756/2991/1", 52.78)</f>
        <v>52.78</v>
      </c>
      <c r="E7270" s="2">
        <v>44</v>
      </c>
      <c r="F7270" s="2">
        <v>2</v>
      </c>
      <c r="G7270" s="2" t="s">
        <v>9</v>
      </c>
    </row>
    <row r="7271" spans="1:9" x14ac:dyDescent="0.2">
      <c r="A7271" s="2" t="s">
        <v>4215</v>
      </c>
      <c r="B7271" s="2" t="s">
        <v>1814</v>
      </c>
      <c r="C7271" s="2">
        <v>831.26919999999996</v>
      </c>
      <c r="D7271" s="2">
        <f>HYPERLINK("http://mcb-m6.bioreg.kyushu-u.ac.jp/M3/20110427/F51113/2390/1", 43.88)</f>
        <v>43.88</v>
      </c>
      <c r="E7271" s="2">
        <v>22.61</v>
      </c>
      <c r="F7271" s="2">
        <v>2</v>
      </c>
      <c r="G7271" s="2" t="s">
        <v>13</v>
      </c>
    </row>
    <row r="7272" spans="1:9" x14ac:dyDescent="0.2">
      <c r="A7272" s="2" t="s">
        <v>8067</v>
      </c>
      <c r="B7272" s="2" t="s">
        <v>7376</v>
      </c>
      <c r="C7272" s="2">
        <v>582.72519999999997</v>
      </c>
      <c r="D7272" s="2">
        <f>HYPERLINK("http://mcb-m6.bioreg.kyushu-u.ac.jp/M3/20110427/F51115/1352/1", 51.81)</f>
        <v>51.81</v>
      </c>
      <c r="E7272" s="2">
        <v>30.67</v>
      </c>
      <c r="F7272" s="2">
        <v>2</v>
      </c>
      <c r="G7272" s="2" t="s">
        <v>13</v>
      </c>
    </row>
    <row r="7273" spans="1:9" x14ac:dyDescent="0.2">
      <c r="A7273" s="2" t="s">
        <v>3755</v>
      </c>
      <c r="B7273" s="2" t="s">
        <v>6196</v>
      </c>
      <c r="C7273" s="2">
        <v>631.39970000000005</v>
      </c>
      <c r="D7273" s="2">
        <f>HYPERLINK("http://mcb-m6.bioreg.kyushu-u.ac.jp/M3/20110404/F50764/1426/1", 46.19)</f>
        <v>46.19</v>
      </c>
      <c r="E7273" s="2">
        <v>18.13</v>
      </c>
      <c r="F7273" s="2">
        <v>2</v>
      </c>
      <c r="G7273" s="2" t="s">
        <v>9</v>
      </c>
    </row>
    <row r="7274" spans="1:9" x14ac:dyDescent="0.2">
      <c r="A7274" s="2" t="s">
        <v>3755</v>
      </c>
      <c r="B7274" s="2" t="s">
        <v>2031</v>
      </c>
      <c r="C7274" s="2">
        <v>794.25959999999998</v>
      </c>
      <c r="D7274" s="2">
        <f>HYPERLINK("http://mcb-m6.bioreg.kyushu-u.ac.jp/M3/20110404/F50764/2084/1", 56.82)</f>
        <v>56.82</v>
      </c>
      <c r="E7274" s="2">
        <v>41.29</v>
      </c>
      <c r="F7274" s="2">
        <v>2</v>
      </c>
      <c r="G7274" s="2" t="s">
        <v>9</v>
      </c>
    </row>
    <row r="7275" spans="1:9" x14ac:dyDescent="0.2">
      <c r="A7275" s="2" t="s">
        <v>3755</v>
      </c>
      <c r="B7275" s="2" t="s">
        <v>5447</v>
      </c>
      <c r="C7275" s="2">
        <v>812.33619999999996</v>
      </c>
      <c r="D7275" s="2">
        <f>HYPERLINK("http://mcb-m6.bioreg.kyushu-u.ac.jp/M3/20110404/F50764/2146/1", 84.29)</f>
        <v>84.29</v>
      </c>
      <c r="E7275" s="2">
        <v>68.63</v>
      </c>
      <c r="F7275" s="2">
        <v>2</v>
      </c>
      <c r="G7275" s="2" t="s">
        <v>9</v>
      </c>
    </row>
    <row r="7276" spans="1:9" x14ac:dyDescent="0.2">
      <c r="A7276" s="2" t="s">
        <v>3755</v>
      </c>
      <c r="B7276" s="2" t="s">
        <v>5447</v>
      </c>
      <c r="C7276" s="2">
        <v>820.39469999999994</v>
      </c>
      <c r="D7276" s="2">
        <f>HYPERLINK("http://mcb-m6.bioreg.kyushu-u.ac.jp/M3/20110404/F50764/2169/1", 84.33)</f>
        <v>84.33</v>
      </c>
      <c r="E7276" s="2">
        <v>65.16</v>
      </c>
      <c r="F7276" s="2">
        <v>2</v>
      </c>
      <c r="G7276" s="2" t="s">
        <v>9</v>
      </c>
      <c r="H7276" s="2" t="s">
        <v>4925</v>
      </c>
    </row>
    <row r="7277" spans="1:9" x14ac:dyDescent="0.2">
      <c r="A7277" s="2" t="s">
        <v>3755</v>
      </c>
      <c r="B7277" s="2" t="s">
        <v>6581</v>
      </c>
      <c r="C7277" s="2">
        <v>863.8057</v>
      </c>
      <c r="D7277" s="2">
        <f>HYPERLINK("http://mcb-m6.bioreg.kyushu-u.ac.jp/M3/20110404/F50764/2300/1", 85.27)</f>
        <v>85.27</v>
      </c>
      <c r="E7277" s="2">
        <v>72.92</v>
      </c>
      <c r="F7277" s="2">
        <v>2</v>
      </c>
      <c r="G7277" s="2" t="s">
        <v>9</v>
      </c>
    </row>
    <row r="7278" spans="1:9" x14ac:dyDescent="0.2">
      <c r="A7278" s="2" t="s">
        <v>3755</v>
      </c>
      <c r="B7278" s="2" t="s">
        <v>2031</v>
      </c>
      <c r="C7278" s="2">
        <v>794.2817</v>
      </c>
      <c r="D7278" s="2">
        <f>HYPERLINK("http://mcb-m6.bioreg.kyushu-u.ac.jp/M3/20110404/F50770/2118/1", 60.43)</f>
        <v>60.43</v>
      </c>
      <c r="E7278" s="2">
        <v>46.8</v>
      </c>
      <c r="F7278" s="2">
        <v>2</v>
      </c>
      <c r="G7278" s="2" t="s">
        <v>10</v>
      </c>
    </row>
    <row r="7279" spans="1:9" x14ac:dyDescent="0.2">
      <c r="A7279" s="2" t="s">
        <v>3755</v>
      </c>
      <c r="B7279" s="2" t="s">
        <v>2030</v>
      </c>
      <c r="C7279" s="2">
        <v>684.25570000000005</v>
      </c>
      <c r="D7279" s="2">
        <f>HYPERLINK("http://mcb-m6.bioreg.kyushu-u.ac.jp/M3/20110404/F50770/1691/1", 67.91)</f>
        <v>67.91</v>
      </c>
      <c r="E7279" s="2">
        <v>38.14</v>
      </c>
      <c r="F7279" s="2">
        <v>2</v>
      </c>
      <c r="G7279" s="2" t="s">
        <v>10</v>
      </c>
      <c r="I7279" s="2" t="s">
        <v>4898</v>
      </c>
    </row>
    <row r="7280" spans="1:9" x14ac:dyDescent="0.2">
      <c r="A7280" s="2" t="s">
        <v>3755</v>
      </c>
      <c r="B7280" s="2" t="s">
        <v>5447</v>
      </c>
      <c r="C7280" s="2">
        <v>812.31119999999999</v>
      </c>
      <c r="D7280" s="2">
        <f>HYPERLINK("http://mcb-m6.bioreg.kyushu-u.ac.jp/M3/20110404/F50770/2180/1", 108.1)</f>
        <v>108.1</v>
      </c>
      <c r="E7280" s="2">
        <v>90.55</v>
      </c>
      <c r="F7280" s="2">
        <v>2</v>
      </c>
      <c r="G7280" s="2" t="s">
        <v>10</v>
      </c>
    </row>
    <row r="7281" spans="1:9" x14ac:dyDescent="0.2">
      <c r="A7281" s="2" t="s">
        <v>3755</v>
      </c>
      <c r="B7281" s="2" t="s">
        <v>767</v>
      </c>
      <c r="C7281" s="2">
        <v>490.13659999999999</v>
      </c>
      <c r="D7281" s="2">
        <f>HYPERLINK("http://mcb-m6.bioreg.kyushu-u.ac.jp/M3/20110421/F51040/864/1", 44.66)</f>
        <v>44.66</v>
      </c>
      <c r="E7281" s="2">
        <v>19.14</v>
      </c>
      <c r="F7281" s="2">
        <v>2</v>
      </c>
      <c r="G7281" s="2" t="s">
        <v>11</v>
      </c>
    </row>
    <row r="7282" spans="1:9" x14ac:dyDescent="0.2">
      <c r="A7282" s="2" t="s">
        <v>3755</v>
      </c>
      <c r="B7282" s="2" t="s">
        <v>2031</v>
      </c>
      <c r="C7282" s="2">
        <v>794.87570000000005</v>
      </c>
      <c r="D7282" s="2">
        <f>HYPERLINK("http://mcb-m6.bioreg.kyushu-u.ac.jp/M3/20110421/F51042/2247/1", 78.24)</f>
        <v>78.239999999999995</v>
      </c>
      <c r="E7282" s="2">
        <v>59.87</v>
      </c>
      <c r="F7282" s="2">
        <v>2</v>
      </c>
      <c r="G7282" s="2" t="s">
        <v>11</v>
      </c>
    </row>
    <row r="7283" spans="1:9" x14ac:dyDescent="0.2">
      <c r="A7283" s="2" t="s">
        <v>3755</v>
      </c>
      <c r="B7283" s="2" t="s">
        <v>2030</v>
      </c>
      <c r="C7283" s="2">
        <v>684.26419999999996</v>
      </c>
      <c r="D7283" s="2">
        <f>HYPERLINK("http://mcb-m6.bioreg.kyushu-u.ac.jp/M3/20110427/F51115/1703/1", 51.18)</f>
        <v>51.18</v>
      </c>
      <c r="E7283" s="2">
        <v>26.4</v>
      </c>
      <c r="F7283" s="2">
        <v>2</v>
      </c>
      <c r="G7283" s="2" t="s">
        <v>13</v>
      </c>
      <c r="I7283" s="2" t="s">
        <v>4898</v>
      </c>
    </row>
    <row r="7284" spans="1:9" x14ac:dyDescent="0.2">
      <c r="A7284" s="2" t="s">
        <v>3755</v>
      </c>
      <c r="B7284" s="2" t="s">
        <v>2031</v>
      </c>
      <c r="C7284" s="2">
        <v>794.17769999999996</v>
      </c>
      <c r="D7284" s="2">
        <f>HYPERLINK("http://mcb-m6.bioreg.kyushu-u.ac.jp/M3/20110427/F51115/2225/1", 68.42)</f>
        <v>68.42</v>
      </c>
      <c r="E7284" s="2">
        <v>51.54</v>
      </c>
      <c r="F7284" s="2">
        <v>2</v>
      </c>
      <c r="G7284" s="2" t="s">
        <v>13</v>
      </c>
    </row>
    <row r="7285" spans="1:9" x14ac:dyDescent="0.2">
      <c r="A7285" s="2" t="s">
        <v>3755</v>
      </c>
      <c r="B7285" s="2" t="s">
        <v>2280</v>
      </c>
      <c r="C7285" s="2">
        <v>819.26459999999997</v>
      </c>
      <c r="D7285" s="2">
        <f>HYPERLINK("http://mcb-m6.bioreg.kyushu-u.ac.jp/M3/20110427/F51115/2337/1", 69.49)</f>
        <v>69.489999999999995</v>
      </c>
      <c r="E7285" s="2">
        <v>37.89</v>
      </c>
      <c r="F7285" s="2">
        <v>2</v>
      </c>
      <c r="G7285" s="2" t="s">
        <v>13</v>
      </c>
      <c r="I7285" s="2" t="s">
        <v>4918</v>
      </c>
    </row>
    <row r="7286" spans="1:9" x14ac:dyDescent="0.2">
      <c r="A7286" s="2" t="s">
        <v>3755</v>
      </c>
      <c r="B7286" s="2" t="s">
        <v>2031</v>
      </c>
      <c r="C7286" s="2">
        <v>794.67859999999996</v>
      </c>
      <c r="D7286" s="2">
        <f>HYPERLINK("http://mcb-m6.bioreg.kyushu-u.ac.jp/M3/20110427/F51115/2230/1", 80.46)</f>
        <v>80.459999999999994</v>
      </c>
      <c r="E7286" s="2">
        <v>66.930000000000007</v>
      </c>
      <c r="F7286" s="2">
        <v>2</v>
      </c>
      <c r="G7286" s="2" t="s">
        <v>13</v>
      </c>
    </row>
    <row r="7287" spans="1:9" x14ac:dyDescent="0.2">
      <c r="A7287" s="2" t="s">
        <v>3755</v>
      </c>
      <c r="B7287" s="2" t="s">
        <v>5447</v>
      </c>
      <c r="C7287" s="2">
        <v>812.27170000000001</v>
      </c>
      <c r="D7287" s="2">
        <f>HYPERLINK("http://mcb-m6.bioreg.kyushu-u.ac.jp/M3/20110427/F51115/2310/1", 94.01)</f>
        <v>94.01</v>
      </c>
      <c r="E7287" s="2">
        <v>70.040000000000006</v>
      </c>
      <c r="F7287" s="2">
        <v>2</v>
      </c>
      <c r="G7287" s="2" t="s">
        <v>13</v>
      </c>
    </row>
    <row r="7288" spans="1:9" x14ac:dyDescent="0.2">
      <c r="A7288" s="2" t="s">
        <v>3755</v>
      </c>
      <c r="B7288" s="2" t="s">
        <v>7481</v>
      </c>
      <c r="C7288" s="2">
        <v>550.80020000000002</v>
      </c>
      <c r="D7288" s="2">
        <f>HYPERLINK("http://mcb-m6.bioreg.kyushu-u.ac.jp/M3/20110427/F51124/1279/1", 40.69)</f>
        <v>40.69</v>
      </c>
      <c r="E7288" s="2">
        <v>15.53</v>
      </c>
      <c r="F7288" s="2">
        <v>2</v>
      </c>
      <c r="G7288" s="2" t="s">
        <v>14</v>
      </c>
    </row>
    <row r="7289" spans="1:9" x14ac:dyDescent="0.2">
      <c r="A7289" s="2" t="s">
        <v>3755</v>
      </c>
      <c r="B7289" s="2" t="s">
        <v>5447</v>
      </c>
      <c r="C7289" s="2">
        <v>812.69320000000005</v>
      </c>
      <c r="D7289" s="2">
        <f>HYPERLINK("http://mcb-m6.bioreg.kyushu-u.ac.jp/M3/20110427/F51124/2355/1", 40.8)</f>
        <v>40.799999999999997</v>
      </c>
      <c r="E7289" s="2">
        <v>20.88</v>
      </c>
      <c r="F7289" s="2">
        <v>2</v>
      </c>
      <c r="G7289" s="2" t="s">
        <v>14</v>
      </c>
    </row>
    <row r="7290" spans="1:9" x14ac:dyDescent="0.2">
      <c r="A7290" s="2" t="s">
        <v>4335</v>
      </c>
      <c r="B7290" s="2" t="s">
        <v>2147</v>
      </c>
      <c r="C7290" s="2">
        <v>754.58969999999999</v>
      </c>
      <c r="D7290" s="2">
        <f>HYPERLINK("http://mcb-m6.bioreg.kyushu-u.ac.jp/M3/20110427/F51114/2137/1", 84.95)</f>
        <v>84.95</v>
      </c>
      <c r="E7290" s="2">
        <v>64.150000000000006</v>
      </c>
      <c r="F7290" s="2">
        <v>2</v>
      </c>
      <c r="G7290" s="2" t="s">
        <v>13</v>
      </c>
    </row>
    <row r="7291" spans="1:9" x14ac:dyDescent="0.2">
      <c r="A7291" s="2" t="s">
        <v>7952</v>
      </c>
      <c r="B7291" s="2" t="s">
        <v>7156</v>
      </c>
      <c r="C7291" s="2">
        <v>814.28309999999999</v>
      </c>
      <c r="D7291" s="2">
        <f>HYPERLINK("http://mcb-m6.bioreg.kyushu-u.ac.jp/M3/20110421/F51021/2486/1", 35.51)</f>
        <v>35.51</v>
      </c>
      <c r="E7291" s="2">
        <v>15.96</v>
      </c>
      <c r="F7291" s="2">
        <v>2</v>
      </c>
      <c r="G7291" s="2" t="s">
        <v>12</v>
      </c>
    </row>
    <row r="7292" spans="1:9" x14ac:dyDescent="0.2">
      <c r="A7292" s="2" t="s">
        <v>7699</v>
      </c>
      <c r="B7292" s="2" t="s">
        <v>6364</v>
      </c>
      <c r="C7292" s="2">
        <v>548.38710000000003</v>
      </c>
      <c r="D7292" s="2">
        <f>HYPERLINK("http://mcb-m6.bioreg.kyushu-u.ac.jp/M3/20110404/F50752/1503/1", 56.62)</f>
        <v>56.62</v>
      </c>
      <c r="E7292" s="2">
        <v>14.2</v>
      </c>
      <c r="F7292" s="2">
        <v>2</v>
      </c>
      <c r="G7292" s="2" t="s">
        <v>9</v>
      </c>
    </row>
    <row r="7293" spans="1:9" x14ac:dyDescent="0.2">
      <c r="A7293" s="2" t="s">
        <v>3447</v>
      </c>
      <c r="B7293" s="2" t="s">
        <v>257</v>
      </c>
      <c r="C7293" s="2">
        <v>1455.5940000000001</v>
      </c>
      <c r="D7293" s="2">
        <f>HYPERLINK("http://mcb-m6.bioreg.kyushu-u.ac.jp/M3/20110404/F50752/2065/1", 64.61)</f>
        <v>64.61</v>
      </c>
      <c r="E7293" s="2">
        <v>52.63</v>
      </c>
      <c r="F7293" s="2">
        <v>1</v>
      </c>
      <c r="G7293" s="2" t="s">
        <v>9</v>
      </c>
      <c r="I7293" s="2" t="s">
        <v>4914</v>
      </c>
    </row>
    <row r="7294" spans="1:9" x14ac:dyDescent="0.2">
      <c r="A7294" s="2" t="s">
        <v>4119</v>
      </c>
      <c r="B7294" s="2" t="s">
        <v>1626</v>
      </c>
      <c r="C7294" s="2">
        <v>801.79719999999998</v>
      </c>
      <c r="D7294" s="2">
        <f>HYPERLINK("http://mcb-m6.bioreg.kyushu-u.ac.jp/M3/20110404/F50752/2310/2", 60.91)</f>
        <v>60.91</v>
      </c>
      <c r="E7294" s="2">
        <v>38.5</v>
      </c>
      <c r="F7294" s="2">
        <v>2</v>
      </c>
      <c r="G7294" s="2" t="s">
        <v>9</v>
      </c>
      <c r="I7294" s="2" t="s">
        <v>4923</v>
      </c>
    </row>
    <row r="7295" spans="1:9" x14ac:dyDescent="0.2">
      <c r="A7295" s="2" t="s">
        <v>4119</v>
      </c>
      <c r="B7295" s="2" t="s">
        <v>1626</v>
      </c>
      <c r="C7295" s="2">
        <v>802.16269999999997</v>
      </c>
      <c r="D7295" s="2">
        <f>HYPERLINK("http://mcb-m6.bioreg.kyushu-u.ac.jp/M3/20110404/F50757/2238/2", 69.05)</f>
        <v>69.05</v>
      </c>
      <c r="E7295" s="2">
        <v>45.11</v>
      </c>
      <c r="F7295" s="2">
        <v>2</v>
      </c>
      <c r="G7295" s="2" t="s">
        <v>10</v>
      </c>
      <c r="I7295" s="2" t="s">
        <v>4923</v>
      </c>
    </row>
    <row r="7296" spans="1:9" x14ac:dyDescent="0.2">
      <c r="A7296" s="2" t="s">
        <v>3250</v>
      </c>
      <c r="B7296" s="2" t="s">
        <v>102</v>
      </c>
      <c r="C7296" s="2">
        <v>1215.4659999999999</v>
      </c>
      <c r="D7296" s="2">
        <f>HYPERLINK("http://mcb-m6.bioreg.kyushu-u.ac.jp/M3/20110404/F50765/1272/1", 35.13)</f>
        <v>35.130000000000003</v>
      </c>
      <c r="E7296" s="2">
        <v>21.27</v>
      </c>
      <c r="F7296" s="2">
        <v>1</v>
      </c>
      <c r="G7296" s="2" t="s">
        <v>9</v>
      </c>
    </row>
    <row r="7297" spans="1:9" x14ac:dyDescent="0.2">
      <c r="A7297" s="2" t="s">
        <v>3250</v>
      </c>
      <c r="B7297" s="2" t="s">
        <v>90</v>
      </c>
      <c r="C7297" s="2">
        <v>716.78219999999999</v>
      </c>
      <c r="D7297" s="2">
        <f>HYPERLINK("http://mcb-m6.bioreg.kyushu-u.ac.jp/M3/20110404/F50756/1840/1", 35.27)</f>
        <v>35.270000000000003</v>
      </c>
      <c r="E7297" s="2">
        <v>22.87</v>
      </c>
      <c r="F7297" s="2">
        <v>2</v>
      </c>
      <c r="G7297" s="2" t="s">
        <v>9</v>
      </c>
    </row>
    <row r="7298" spans="1:9" x14ac:dyDescent="0.2">
      <c r="A7298" s="2" t="s">
        <v>3250</v>
      </c>
      <c r="B7298" s="2" t="s">
        <v>311</v>
      </c>
      <c r="C7298" s="2">
        <v>607.3347</v>
      </c>
      <c r="D7298" s="2">
        <f>HYPERLINK("http://mcb-m6.bioreg.kyushu-u.ac.jp/M3/20110404/F50779/1135/1", 35.46)</f>
        <v>35.46</v>
      </c>
      <c r="E7298" s="2">
        <v>14.21</v>
      </c>
      <c r="F7298" s="2">
        <v>2</v>
      </c>
      <c r="G7298" s="2" t="s">
        <v>9</v>
      </c>
      <c r="H7298" s="2" t="s">
        <v>4908</v>
      </c>
    </row>
    <row r="7299" spans="1:9" x14ac:dyDescent="0.2">
      <c r="A7299" s="2" t="s">
        <v>3250</v>
      </c>
      <c r="B7299" s="2" t="s">
        <v>772</v>
      </c>
      <c r="C7299" s="2">
        <v>595.91920000000005</v>
      </c>
      <c r="D7299" s="2">
        <f>HYPERLINK("http://mcb-m6.bioreg.kyushu-u.ac.jp/M3/20110404/F50756/1335/1", 35.69)</f>
        <v>35.69</v>
      </c>
      <c r="E7299" s="2">
        <v>19.149999999999999</v>
      </c>
      <c r="F7299" s="2">
        <v>2</v>
      </c>
      <c r="G7299" s="2" t="s">
        <v>9</v>
      </c>
    </row>
    <row r="7300" spans="1:9" x14ac:dyDescent="0.2">
      <c r="A7300" s="2" t="s">
        <v>3250</v>
      </c>
      <c r="B7300" s="2" t="s">
        <v>772</v>
      </c>
      <c r="C7300" s="2">
        <v>595.68370000000004</v>
      </c>
      <c r="D7300" s="2">
        <f>HYPERLINK("http://mcb-m6.bioreg.kyushu-u.ac.jp/M3/20110404/F50779/1084/1", 35.99)</f>
        <v>35.99</v>
      </c>
      <c r="E7300" s="2">
        <v>8.93</v>
      </c>
      <c r="F7300" s="2">
        <v>2</v>
      </c>
      <c r="G7300" s="2" t="s">
        <v>9</v>
      </c>
    </row>
    <row r="7301" spans="1:9" x14ac:dyDescent="0.2">
      <c r="A7301" s="2" t="s">
        <v>3250</v>
      </c>
      <c r="B7301" s="2" t="s">
        <v>772</v>
      </c>
      <c r="C7301" s="2">
        <v>596.16920000000005</v>
      </c>
      <c r="D7301" s="2">
        <f>HYPERLINK("http://mcb-m6.bioreg.kyushu-u.ac.jp/M3/20110404/F50755/1364/1", 35.99)</f>
        <v>35.99</v>
      </c>
      <c r="E7301" s="2">
        <v>22.22</v>
      </c>
      <c r="F7301" s="2">
        <v>2</v>
      </c>
      <c r="G7301" s="2" t="s">
        <v>9</v>
      </c>
    </row>
    <row r="7302" spans="1:9" x14ac:dyDescent="0.2">
      <c r="A7302" s="2" t="s">
        <v>3250</v>
      </c>
      <c r="B7302" s="2" t="s">
        <v>142</v>
      </c>
      <c r="C7302" s="2">
        <v>847.34299999999996</v>
      </c>
      <c r="D7302" s="2">
        <f>HYPERLINK("http://mcb-m6.bioreg.kyushu-u.ac.jp/M3/20110404/F50754/1079/1", 35.99)</f>
        <v>35.99</v>
      </c>
      <c r="E7302" s="2">
        <v>17.260000000000002</v>
      </c>
      <c r="F7302" s="2">
        <v>1</v>
      </c>
      <c r="G7302" s="2" t="s">
        <v>9</v>
      </c>
    </row>
    <row r="7303" spans="1:9" x14ac:dyDescent="0.2">
      <c r="A7303" s="2" t="s">
        <v>3250</v>
      </c>
      <c r="B7303" s="2" t="s">
        <v>503</v>
      </c>
      <c r="C7303" s="2">
        <v>544.89480000000003</v>
      </c>
      <c r="D7303" s="2">
        <f>HYPERLINK("http://mcb-m6.bioreg.kyushu-u.ac.jp/M3/20110404/F50778/2215/1", 36.03)</f>
        <v>36.03</v>
      </c>
      <c r="E7303" s="2">
        <v>17.52</v>
      </c>
      <c r="F7303" s="2">
        <v>3</v>
      </c>
      <c r="G7303" s="2" t="s">
        <v>9</v>
      </c>
      <c r="H7303" s="2" t="s">
        <v>4907</v>
      </c>
    </row>
    <row r="7304" spans="1:9" x14ac:dyDescent="0.2">
      <c r="A7304" s="2" t="s">
        <v>3250</v>
      </c>
      <c r="B7304" s="2" t="s">
        <v>102</v>
      </c>
      <c r="C7304" s="2">
        <v>1215.9449999999999</v>
      </c>
      <c r="D7304" s="2">
        <f>HYPERLINK("http://mcb-m6.bioreg.kyushu-u.ac.jp/M3/20110404/F50762/1341/1", 36.18)</f>
        <v>36.18</v>
      </c>
      <c r="E7304" s="2">
        <v>20.100000000000001</v>
      </c>
      <c r="F7304" s="2">
        <v>1</v>
      </c>
      <c r="G7304" s="2" t="s">
        <v>9</v>
      </c>
    </row>
    <row r="7305" spans="1:9" x14ac:dyDescent="0.2">
      <c r="A7305" s="2" t="s">
        <v>3250</v>
      </c>
      <c r="B7305" s="2" t="s">
        <v>351</v>
      </c>
      <c r="C7305" s="2">
        <v>861.40899999999999</v>
      </c>
      <c r="D7305" s="2">
        <f>HYPERLINK("http://mcb-m6.bioreg.kyushu-u.ac.jp/M3/20110404/F50756/792/1", 36.31)</f>
        <v>36.31</v>
      </c>
      <c r="E7305" s="2">
        <v>18.3</v>
      </c>
      <c r="F7305" s="2">
        <v>1</v>
      </c>
      <c r="G7305" s="2" t="s">
        <v>9</v>
      </c>
      <c r="I7305" s="2" t="s">
        <v>4899</v>
      </c>
    </row>
    <row r="7306" spans="1:9" x14ac:dyDescent="0.2">
      <c r="A7306" s="2" t="s">
        <v>3250</v>
      </c>
      <c r="B7306" s="2" t="s">
        <v>102</v>
      </c>
      <c r="C7306" s="2">
        <v>1231.5070000000001</v>
      </c>
      <c r="D7306" s="2">
        <f>HYPERLINK("http://mcb-m6.bioreg.kyushu-u.ac.jp/M3/20110404/F50779/1189/1", 36.38)</f>
        <v>36.380000000000003</v>
      </c>
      <c r="E7306" s="2">
        <v>17.739999999999998</v>
      </c>
      <c r="F7306" s="2">
        <v>1</v>
      </c>
      <c r="G7306" s="2" t="s">
        <v>9</v>
      </c>
      <c r="H7306" s="2" t="s">
        <v>4900</v>
      </c>
    </row>
    <row r="7307" spans="1:9" x14ac:dyDescent="0.2">
      <c r="A7307" s="2" t="s">
        <v>3250</v>
      </c>
      <c r="B7307" s="2" t="s">
        <v>351</v>
      </c>
      <c r="C7307" s="2">
        <v>861.32799999999997</v>
      </c>
      <c r="D7307" s="2">
        <f>HYPERLINK("http://mcb-m6.bioreg.kyushu-u.ac.jp/M3/20110404/F50754/1096/1", 36.51)</f>
        <v>36.51</v>
      </c>
      <c r="E7307" s="2">
        <v>15.36</v>
      </c>
      <c r="F7307" s="2">
        <v>1</v>
      </c>
      <c r="G7307" s="2" t="s">
        <v>9</v>
      </c>
      <c r="I7307" s="2" t="s">
        <v>4899</v>
      </c>
    </row>
    <row r="7308" spans="1:9" x14ac:dyDescent="0.2">
      <c r="A7308" s="2" t="s">
        <v>3250</v>
      </c>
      <c r="B7308" s="2" t="s">
        <v>351</v>
      </c>
      <c r="C7308" s="2">
        <v>861.47699999999998</v>
      </c>
      <c r="D7308" s="2">
        <f>HYPERLINK("http://mcb-m6.bioreg.kyushu-u.ac.jp/M3/20110404/F50763/844/1", 36.51)</f>
        <v>36.51</v>
      </c>
      <c r="E7308" s="2">
        <v>12.7</v>
      </c>
      <c r="F7308" s="2">
        <v>1</v>
      </c>
      <c r="G7308" s="2" t="s">
        <v>9</v>
      </c>
      <c r="I7308" s="2" t="s">
        <v>4899</v>
      </c>
    </row>
    <row r="7309" spans="1:9" x14ac:dyDescent="0.2">
      <c r="A7309" s="2" t="s">
        <v>3250</v>
      </c>
      <c r="B7309" s="2" t="s">
        <v>351</v>
      </c>
      <c r="C7309" s="2">
        <v>861.47199999999998</v>
      </c>
      <c r="D7309" s="2">
        <f>HYPERLINK("http://mcb-m6.bioreg.kyushu-u.ac.jp/M3/20110404/F50776/844/1", 36.56)</f>
        <v>36.56</v>
      </c>
      <c r="E7309" s="2">
        <v>15.27</v>
      </c>
      <c r="F7309" s="2">
        <v>1</v>
      </c>
      <c r="G7309" s="2" t="s">
        <v>9</v>
      </c>
      <c r="I7309" s="2" t="s">
        <v>4899</v>
      </c>
    </row>
    <row r="7310" spans="1:9" x14ac:dyDescent="0.2">
      <c r="A7310" s="2" t="s">
        <v>3250</v>
      </c>
      <c r="B7310" s="2" t="s">
        <v>102</v>
      </c>
      <c r="C7310" s="2">
        <v>1215.5830000000001</v>
      </c>
      <c r="D7310" s="2">
        <f>HYPERLINK("http://mcb-m6.bioreg.kyushu-u.ac.jp/M3/20110404/F50779/1141/1", 36.57)</f>
        <v>36.57</v>
      </c>
      <c r="E7310" s="2">
        <v>20.04</v>
      </c>
      <c r="F7310" s="2">
        <v>1</v>
      </c>
      <c r="G7310" s="2" t="s">
        <v>9</v>
      </c>
    </row>
    <row r="7311" spans="1:9" x14ac:dyDescent="0.2">
      <c r="A7311" s="2" t="s">
        <v>3250</v>
      </c>
      <c r="B7311" s="2" t="s">
        <v>617</v>
      </c>
      <c r="C7311" s="2">
        <v>694.84810000000004</v>
      </c>
      <c r="D7311" s="2">
        <f>HYPERLINK("http://mcb-m6.bioreg.kyushu-u.ac.jp/M3/20110404/F50767/1463/1", 36.61)</f>
        <v>36.61</v>
      </c>
      <c r="E7311" s="2">
        <v>19.559999999999999</v>
      </c>
      <c r="F7311" s="2">
        <v>2</v>
      </c>
      <c r="G7311" s="2" t="s">
        <v>9</v>
      </c>
      <c r="H7311" s="2" t="s">
        <v>4919</v>
      </c>
    </row>
    <row r="7312" spans="1:9" x14ac:dyDescent="0.2">
      <c r="A7312" s="2" t="s">
        <v>3250</v>
      </c>
      <c r="B7312" s="2" t="s">
        <v>102</v>
      </c>
      <c r="C7312" s="2">
        <v>1215.4739999999999</v>
      </c>
      <c r="D7312" s="2">
        <f>HYPERLINK("http://mcb-m6.bioreg.kyushu-u.ac.jp/M3/20110404/F50754/1667/1", 36.68)</f>
        <v>36.68</v>
      </c>
      <c r="E7312" s="2">
        <v>17.239999999999998</v>
      </c>
      <c r="F7312" s="2">
        <v>1</v>
      </c>
      <c r="G7312" s="2" t="s">
        <v>9</v>
      </c>
    </row>
    <row r="7313" spans="1:9" x14ac:dyDescent="0.2">
      <c r="A7313" s="2" t="s">
        <v>3250</v>
      </c>
      <c r="B7313" s="2" t="s">
        <v>351</v>
      </c>
      <c r="C7313" s="2">
        <v>861.40800000000002</v>
      </c>
      <c r="D7313" s="2">
        <f>HYPERLINK("http://mcb-m6.bioreg.kyushu-u.ac.jp/M3/20110404/F50766/356/1", 36.69)</f>
        <v>36.69</v>
      </c>
      <c r="E7313" s="2">
        <v>15.32</v>
      </c>
      <c r="F7313" s="2">
        <v>1</v>
      </c>
      <c r="G7313" s="2" t="s">
        <v>9</v>
      </c>
      <c r="I7313" s="2" t="s">
        <v>4899</v>
      </c>
    </row>
    <row r="7314" spans="1:9" x14ac:dyDescent="0.2">
      <c r="A7314" s="2" t="s">
        <v>3250</v>
      </c>
      <c r="B7314" s="2" t="s">
        <v>142</v>
      </c>
      <c r="C7314" s="2">
        <v>847.31399999999996</v>
      </c>
      <c r="D7314" s="2">
        <f>HYPERLINK("http://mcb-m6.bioreg.kyushu-u.ac.jp/M3/20110404/F50776/834/1", 36.71)</f>
        <v>36.71</v>
      </c>
      <c r="E7314" s="2">
        <v>13</v>
      </c>
      <c r="F7314" s="2">
        <v>1</v>
      </c>
      <c r="G7314" s="2" t="s">
        <v>9</v>
      </c>
    </row>
    <row r="7315" spans="1:9" x14ac:dyDescent="0.2">
      <c r="A7315" s="2" t="s">
        <v>3250</v>
      </c>
      <c r="B7315" s="2" t="s">
        <v>481</v>
      </c>
      <c r="C7315" s="2">
        <v>1417.52</v>
      </c>
      <c r="D7315" s="2">
        <f>HYPERLINK("http://mcb-m6.bioreg.kyushu-u.ac.jp/M3/20110404/F50752/2009/1", 36.9)</f>
        <v>36.9</v>
      </c>
      <c r="E7315" s="2">
        <v>24.38</v>
      </c>
      <c r="F7315" s="2">
        <v>1</v>
      </c>
      <c r="G7315" s="2" t="s">
        <v>9</v>
      </c>
      <c r="I7315" s="2" t="s">
        <v>4898</v>
      </c>
    </row>
    <row r="7316" spans="1:9" x14ac:dyDescent="0.2">
      <c r="A7316" s="2" t="s">
        <v>3250</v>
      </c>
      <c r="B7316" s="2" t="s">
        <v>102</v>
      </c>
      <c r="C7316" s="2">
        <v>1215.3</v>
      </c>
      <c r="D7316" s="2">
        <f>HYPERLINK("http://mcb-m6.bioreg.kyushu-u.ac.jp/M3/20110404/F50753/1529/1", 36.93)</f>
        <v>36.93</v>
      </c>
      <c r="E7316" s="2">
        <v>8.1999999999999993</v>
      </c>
      <c r="F7316" s="2">
        <v>1</v>
      </c>
      <c r="G7316" s="2" t="s">
        <v>9</v>
      </c>
    </row>
    <row r="7317" spans="1:9" x14ac:dyDescent="0.2">
      <c r="A7317" s="2" t="s">
        <v>3250</v>
      </c>
      <c r="B7317" s="2" t="s">
        <v>617</v>
      </c>
      <c r="C7317" s="2">
        <v>458.20749999999998</v>
      </c>
      <c r="D7317" s="2">
        <f>HYPERLINK("http://mcb-m6.bioreg.kyushu-u.ac.jp/M3/20110404/F50779/1435/1", 37.09)</f>
        <v>37.090000000000003</v>
      </c>
      <c r="E7317" s="2">
        <v>14.29</v>
      </c>
      <c r="F7317" s="2">
        <v>3</v>
      </c>
      <c r="G7317" s="2" t="s">
        <v>9</v>
      </c>
    </row>
    <row r="7318" spans="1:9" x14ac:dyDescent="0.2">
      <c r="A7318" s="2" t="s">
        <v>3250</v>
      </c>
      <c r="B7318" s="2" t="s">
        <v>102</v>
      </c>
      <c r="C7318" s="2">
        <v>1231.4269999999999</v>
      </c>
      <c r="D7318" s="2">
        <f>HYPERLINK("http://mcb-m6.bioreg.kyushu-u.ac.jp/M3/20110404/F50765/1309/1", 37.09)</f>
        <v>37.090000000000003</v>
      </c>
      <c r="E7318" s="2">
        <v>21.34</v>
      </c>
      <c r="F7318" s="2">
        <v>1</v>
      </c>
      <c r="G7318" s="2" t="s">
        <v>9</v>
      </c>
      <c r="H7318" s="2" t="s">
        <v>4900</v>
      </c>
    </row>
    <row r="7319" spans="1:9" x14ac:dyDescent="0.2">
      <c r="A7319" s="2" t="s">
        <v>3250</v>
      </c>
      <c r="B7319" s="2" t="s">
        <v>142</v>
      </c>
      <c r="C7319" s="2">
        <v>847.28399999999999</v>
      </c>
      <c r="D7319" s="2">
        <f>HYPERLINK("http://mcb-m6.bioreg.kyushu-u.ac.jp/M3/20110404/F50763/821/1", 37.47)</f>
        <v>37.47</v>
      </c>
      <c r="E7319" s="2">
        <v>14.11</v>
      </c>
      <c r="F7319" s="2">
        <v>1</v>
      </c>
      <c r="G7319" s="2" t="s">
        <v>9</v>
      </c>
    </row>
    <row r="7320" spans="1:9" x14ac:dyDescent="0.2">
      <c r="A7320" s="2" t="s">
        <v>3250</v>
      </c>
      <c r="B7320" s="2" t="s">
        <v>142</v>
      </c>
      <c r="C7320" s="2">
        <v>847.51800000000003</v>
      </c>
      <c r="D7320" s="2">
        <f>HYPERLINK("http://mcb-m6.bioreg.kyushu-u.ac.jp/M3/20110404/F50766/348/1", 37.51)</f>
        <v>37.51</v>
      </c>
      <c r="E7320" s="2">
        <v>12.23</v>
      </c>
      <c r="F7320" s="2">
        <v>1</v>
      </c>
      <c r="G7320" s="2" t="s">
        <v>9</v>
      </c>
    </row>
    <row r="7321" spans="1:9" x14ac:dyDescent="0.2">
      <c r="A7321" s="2" t="s">
        <v>3250</v>
      </c>
      <c r="B7321" s="2" t="s">
        <v>102</v>
      </c>
      <c r="C7321" s="2">
        <v>1231.45</v>
      </c>
      <c r="D7321" s="2">
        <f>HYPERLINK("http://mcb-m6.bioreg.kyushu-u.ac.jp/M3/20110404/F50763/1468/1", 37.53)</f>
        <v>37.53</v>
      </c>
      <c r="E7321" s="2">
        <v>15.27</v>
      </c>
      <c r="F7321" s="2">
        <v>1</v>
      </c>
      <c r="G7321" s="2" t="s">
        <v>9</v>
      </c>
      <c r="H7321" s="2" t="s">
        <v>4900</v>
      </c>
    </row>
    <row r="7322" spans="1:9" x14ac:dyDescent="0.2">
      <c r="A7322" s="2" t="s">
        <v>3250</v>
      </c>
      <c r="B7322" s="2" t="s">
        <v>102</v>
      </c>
      <c r="C7322" s="2">
        <v>1231.518</v>
      </c>
      <c r="D7322" s="2">
        <f>HYPERLINK("http://mcb-m6.bioreg.kyushu-u.ac.jp/M3/20110404/F50778/1248/1", 37.74)</f>
        <v>37.74</v>
      </c>
      <c r="E7322" s="2">
        <v>18.95</v>
      </c>
      <c r="F7322" s="2">
        <v>1</v>
      </c>
      <c r="G7322" s="2" t="s">
        <v>9</v>
      </c>
      <c r="H7322" s="2" t="s">
        <v>4900</v>
      </c>
    </row>
    <row r="7323" spans="1:9" x14ac:dyDescent="0.2">
      <c r="A7323" s="2" t="s">
        <v>3250</v>
      </c>
      <c r="B7323" s="2" t="s">
        <v>356</v>
      </c>
      <c r="C7323" s="2">
        <v>544.38480000000004</v>
      </c>
      <c r="D7323" s="2">
        <f>HYPERLINK("http://mcb-m6.bioreg.kyushu-u.ac.jp/M3/20110404/F50763/2198/1", 37.74)</f>
        <v>37.74</v>
      </c>
      <c r="E7323" s="2">
        <v>24.53</v>
      </c>
      <c r="F7323" s="2">
        <v>3</v>
      </c>
      <c r="G7323" s="2" t="s">
        <v>9</v>
      </c>
    </row>
    <row r="7324" spans="1:9" x14ac:dyDescent="0.2">
      <c r="A7324" s="2" t="s">
        <v>3250</v>
      </c>
      <c r="B7324" s="2" t="s">
        <v>5991</v>
      </c>
      <c r="C7324" s="2">
        <v>971.99480000000005</v>
      </c>
      <c r="D7324" s="2">
        <f>HYPERLINK("http://mcb-m6.bioreg.kyushu-u.ac.jp/M3/20110404/F50778/3948/1", 38.02)</f>
        <v>38.020000000000003</v>
      </c>
      <c r="E7324" s="2">
        <v>31.47</v>
      </c>
      <c r="F7324" s="2">
        <v>3</v>
      </c>
      <c r="G7324" s="2" t="s">
        <v>9</v>
      </c>
      <c r="I7324" s="2" t="s">
        <v>4895</v>
      </c>
    </row>
    <row r="7325" spans="1:9" x14ac:dyDescent="0.2">
      <c r="A7325" s="2" t="s">
        <v>3250</v>
      </c>
      <c r="B7325" s="2" t="s">
        <v>142</v>
      </c>
      <c r="C7325" s="2">
        <v>847.27499999999998</v>
      </c>
      <c r="D7325" s="2">
        <f>HYPERLINK("http://mcb-m6.bioreg.kyushu-u.ac.jp/M3/20110404/F50755/822/1", 38.11)</f>
        <v>38.11</v>
      </c>
      <c r="E7325" s="2">
        <v>16.98</v>
      </c>
      <c r="F7325" s="2">
        <v>1</v>
      </c>
      <c r="G7325" s="2" t="s">
        <v>9</v>
      </c>
    </row>
    <row r="7326" spans="1:9" x14ac:dyDescent="0.2">
      <c r="A7326" s="2" t="s">
        <v>3250</v>
      </c>
      <c r="B7326" s="2" t="s">
        <v>481</v>
      </c>
      <c r="C7326" s="2">
        <v>709.39009999999996</v>
      </c>
      <c r="D7326" s="2">
        <f>HYPERLINK("http://mcb-m6.bioreg.kyushu-u.ac.jp/M3/20110404/F50778/1646/1", 38.15)</f>
        <v>38.15</v>
      </c>
      <c r="E7326" s="2">
        <v>23.51</v>
      </c>
      <c r="F7326" s="2">
        <v>2</v>
      </c>
      <c r="G7326" s="2" t="s">
        <v>9</v>
      </c>
      <c r="I7326" s="2" t="s">
        <v>4898</v>
      </c>
    </row>
    <row r="7327" spans="1:9" x14ac:dyDescent="0.2">
      <c r="A7327" s="2" t="s">
        <v>3250</v>
      </c>
      <c r="B7327" s="2" t="s">
        <v>617</v>
      </c>
      <c r="C7327" s="2">
        <v>686.85310000000004</v>
      </c>
      <c r="D7327" s="2">
        <f>HYPERLINK("http://mcb-m6.bioreg.kyushu-u.ac.jp/M3/20110404/F50777/1649/1", 38.18)</f>
        <v>38.18</v>
      </c>
      <c r="E7327" s="2">
        <v>17.809999999999999</v>
      </c>
      <c r="F7327" s="2">
        <v>2</v>
      </c>
      <c r="G7327" s="2" t="s">
        <v>9</v>
      </c>
    </row>
    <row r="7328" spans="1:9" x14ac:dyDescent="0.2">
      <c r="A7328" s="2" t="s">
        <v>3250</v>
      </c>
      <c r="B7328" s="2" t="s">
        <v>102</v>
      </c>
      <c r="C7328" s="2">
        <v>1215.492</v>
      </c>
      <c r="D7328" s="2">
        <f>HYPERLINK("http://mcb-m6.bioreg.kyushu-u.ac.jp/M3/20110404/F50777/1359/1", 38.19)</f>
        <v>38.19</v>
      </c>
      <c r="E7328" s="2">
        <v>21.95</v>
      </c>
      <c r="F7328" s="2">
        <v>1</v>
      </c>
      <c r="G7328" s="2" t="s">
        <v>9</v>
      </c>
    </row>
    <row r="7329" spans="1:9" x14ac:dyDescent="0.2">
      <c r="A7329" s="2" t="s">
        <v>3250</v>
      </c>
      <c r="B7329" s="2" t="s">
        <v>90</v>
      </c>
      <c r="C7329" s="2">
        <v>717.2527</v>
      </c>
      <c r="D7329" s="2">
        <f>HYPERLINK("http://mcb-m6.bioreg.kyushu-u.ac.jp/M3/20110404/F50756/1847/1", 38.3)</f>
        <v>38.299999999999997</v>
      </c>
      <c r="E7329" s="2">
        <v>16.88</v>
      </c>
      <c r="F7329" s="2">
        <v>2</v>
      </c>
      <c r="G7329" s="2" t="s">
        <v>9</v>
      </c>
    </row>
    <row r="7330" spans="1:9" x14ac:dyDescent="0.2">
      <c r="A7330" s="2" t="s">
        <v>3250</v>
      </c>
      <c r="B7330" s="2" t="s">
        <v>311</v>
      </c>
      <c r="C7330" s="2">
        <v>1212.402</v>
      </c>
      <c r="D7330" s="2">
        <f>HYPERLINK("http://mcb-m6.bioreg.kyushu-u.ac.jp/M3/20110404/F50763/1426/1", 38.37)</f>
        <v>38.369999999999997</v>
      </c>
      <c r="E7330" s="2">
        <v>21.37</v>
      </c>
      <c r="F7330" s="2">
        <v>1</v>
      </c>
      <c r="G7330" s="2" t="s">
        <v>9</v>
      </c>
      <c r="H7330" s="2" t="s">
        <v>4908</v>
      </c>
    </row>
    <row r="7331" spans="1:9" x14ac:dyDescent="0.2">
      <c r="A7331" s="2" t="s">
        <v>3250</v>
      </c>
      <c r="B7331" s="2" t="s">
        <v>351</v>
      </c>
      <c r="C7331" s="2">
        <v>861.64200000000005</v>
      </c>
      <c r="D7331" s="2">
        <f>HYPERLINK("http://mcb-m6.bioreg.kyushu-u.ac.jp/M3/20110404/F50751/1257/1", 38.6)</f>
        <v>38.6</v>
      </c>
      <c r="E7331" s="2">
        <v>12.23</v>
      </c>
      <c r="F7331" s="2">
        <v>1</v>
      </c>
      <c r="G7331" s="2" t="s">
        <v>9</v>
      </c>
      <c r="I7331" s="2" t="s">
        <v>4899</v>
      </c>
    </row>
    <row r="7332" spans="1:9" x14ac:dyDescent="0.2">
      <c r="A7332" s="2" t="s">
        <v>3250</v>
      </c>
      <c r="B7332" s="2" t="s">
        <v>90</v>
      </c>
      <c r="C7332" s="2">
        <v>717.29669999999999</v>
      </c>
      <c r="D7332" s="2">
        <f>HYPERLINK("http://mcb-m6.bioreg.kyushu-u.ac.jp/M3/20110404/F50764/1782/1", 38.6)</f>
        <v>38.6</v>
      </c>
      <c r="E7332" s="2">
        <v>18.02</v>
      </c>
      <c r="F7332" s="2">
        <v>2</v>
      </c>
      <c r="G7332" s="2" t="s">
        <v>9</v>
      </c>
    </row>
    <row r="7333" spans="1:9" x14ac:dyDescent="0.2">
      <c r="A7333" s="2" t="s">
        <v>3250</v>
      </c>
      <c r="B7333" s="2" t="s">
        <v>1065</v>
      </c>
      <c r="C7333" s="2">
        <v>1433.6659999999999</v>
      </c>
      <c r="D7333" s="2">
        <f>HYPERLINK("http://mcb-m6.bioreg.kyushu-u.ac.jp/M3/20110404/F50751/2043/1", 38.62)</f>
        <v>38.619999999999997</v>
      </c>
      <c r="E7333" s="2">
        <v>25.95</v>
      </c>
      <c r="F7333" s="2">
        <v>1</v>
      </c>
      <c r="G7333" s="2" t="s">
        <v>9</v>
      </c>
      <c r="I7333" s="2" t="s">
        <v>4892</v>
      </c>
    </row>
    <row r="7334" spans="1:9" x14ac:dyDescent="0.2">
      <c r="A7334" s="2" t="s">
        <v>3250</v>
      </c>
      <c r="B7334" s="2" t="s">
        <v>1065</v>
      </c>
      <c r="C7334" s="2">
        <v>717.1816</v>
      </c>
      <c r="D7334" s="2">
        <f>HYPERLINK("http://mcb-m6.bioreg.kyushu-u.ac.jp/M3/20110404/F50754/2032/1", 38.69)</f>
        <v>38.69</v>
      </c>
      <c r="E7334" s="2">
        <v>27.71</v>
      </c>
      <c r="F7334" s="2">
        <v>2</v>
      </c>
      <c r="G7334" s="2" t="s">
        <v>9</v>
      </c>
      <c r="I7334" s="2" t="s">
        <v>4892</v>
      </c>
    </row>
    <row r="7335" spans="1:9" x14ac:dyDescent="0.2">
      <c r="A7335" s="2" t="s">
        <v>3250</v>
      </c>
      <c r="B7335" s="2" t="s">
        <v>365</v>
      </c>
      <c r="C7335" s="2">
        <v>848.6191</v>
      </c>
      <c r="D7335" s="2">
        <f>HYPERLINK("http://mcb-m6.bioreg.kyushu-u.ac.jp/M3/20110404/F50779/2240/1", 38.75)</f>
        <v>38.75</v>
      </c>
      <c r="E7335" s="2">
        <v>26.05</v>
      </c>
      <c r="F7335" s="2">
        <v>2</v>
      </c>
      <c r="G7335" s="2" t="s">
        <v>9</v>
      </c>
    </row>
    <row r="7336" spans="1:9" x14ac:dyDescent="0.2">
      <c r="A7336" s="2" t="s">
        <v>3250</v>
      </c>
      <c r="B7336" s="2" t="s">
        <v>356</v>
      </c>
      <c r="C7336" s="2">
        <v>815.85969999999998</v>
      </c>
      <c r="D7336" s="2">
        <f>HYPERLINK("http://mcb-m6.bioreg.kyushu-u.ac.jp/M3/20110404/F50778/2203/1", 38.77)</f>
        <v>38.770000000000003</v>
      </c>
      <c r="E7336" s="2">
        <v>26.5</v>
      </c>
      <c r="F7336" s="2">
        <v>2</v>
      </c>
      <c r="G7336" s="2" t="s">
        <v>9</v>
      </c>
    </row>
    <row r="7337" spans="1:9" x14ac:dyDescent="0.2">
      <c r="A7337" s="2" t="s">
        <v>3250</v>
      </c>
      <c r="B7337" s="2" t="s">
        <v>6017</v>
      </c>
      <c r="C7337" s="2">
        <v>798.11189999999999</v>
      </c>
      <c r="D7337" s="2">
        <f>HYPERLINK("http://mcb-m6.bioreg.kyushu-u.ac.jp/M3/20110404/F50779/3415/1", 38.93)</f>
        <v>38.93</v>
      </c>
      <c r="E7337" s="2">
        <v>19.86</v>
      </c>
      <c r="F7337" s="2">
        <v>3</v>
      </c>
      <c r="G7337" s="2" t="s">
        <v>9</v>
      </c>
      <c r="I7337" s="2" t="s">
        <v>4895</v>
      </c>
    </row>
    <row r="7338" spans="1:9" x14ac:dyDescent="0.2">
      <c r="A7338" s="2" t="s">
        <v>3250</v>
      </c>
      <c r="B7338" s="2" t="s">
        <v>503</v>
      </c>
      <c r="C7338" s="2">
        <v>1631.701</v>
      </c>
      <c r="D7338" s="2">
        <f>HYPERLINK("http://mcb-m6.bioreg.kyushu-u.ac.jp/M3/20110404/F50779/2114/1", 38.96)</f>
        <v>38.96</v>
      </c>
      <c r="E7338" s="2">
        <v>29.49</v>
      </c>
      <c r="F7338" s="2">
        <v>1</v>
      </c>
      <c r="G7338" s="2" t="s">
        <v>9</v>
      </c>
      <c r="H7338" s="2" t="s">
        <v>4907</v>
      </c>
    </row>
    <row r="7339" spans="1:9" x14ac:dyDescent="0.2">
      <c r="A7339" s="2" t="s">
        <v>3250</v>
      </c>
      <c r="B7339" s="2" t="s">
        <v>356</v>
      </c>
      <c r="C7339" s="2">
        <v>815.80070000000001</v>
      </c>
      <c r="D7339" s="2">
        <f>HYPERLINK("http://mcb-m6.bioreg.kyushu-u.ac.jp/M3/20110404/F50755/2306/1", 38.98)</f>
        <v>38.979999999999997</v>
      </c>
      <c r="E7339" s="2">
        <v>31.63</v>
      </c>
      <c r="F7339" s="2">
        <v>2</v>
      </c>
      <c r="G7339" s="2" t="s">
        <v>9</v>
      </c>
    </row>
    <row r="7340" spans="1:9" x14ac:dyDescent="0.2">
      <c r="A7340" s="2" t="s">
        <v>3250</v>
      </c>
      <c r="B7340" s="2" t="s">
        <v>142</v>
      </c>
      <c r="C7340" s="2">
        <v>847.50900000000001</v>
      </c>
      <c r="D7340" s="2">
        <f>HYPERLINK("http://mcb-m6.bioreg.kyushu-u.ac.jp/M3/20110404/F50779/547/1", 39.02)</f>
        <v>39.020000000000003</v>
      </c>
      <c r="E7340" s="2">
        <v>12.85</v>
      </c>
      <c r="F7340" s="2">
        <v>1</v>
      </c>
      <c r="G7340" s="2" t="s">
        <v>9</v>
      </c>
    </row>
    <row r="7341" spans="1:9" x14ac:dyDescent="0.2">
      <c r="A7341" s="2" t="s">
        <v>3250</v>
      </c>
      <c r="B7341" s="2" t="s">
        <v>311</v>
      </c>
      <c r="C7341" s="2">
        <v>598.89319999999998</v>
      </c>
      <c r="D7341" s="2">
        <f>HYPERLINK("http://mcb-m6.bioreg.kyushu-u.ac.jp/M3/20110404/F50779/1100/1", 39.25)</f>
        <v>39.25</v>
      </c>
      <c r="E7341" s="2">
        <v>25.87</v>
      </c>
      <c r="F7341" s="2">
        <v>2</v>
      </c>
      <c r="G7341" s="2" t="s">
        <v>9</v>
      </c>
    </row>
    <row r="7342" spans="1:9" x14ac:dyDescent="0.2">
      <c r="A7342" s="2" t="s">
        <v>3250</v>
      </c>
      <c r="B7342" s="2" t="s">
        <v>356</v>
      </c>
      <c r="C7342" s="2">
        <v>815.67070000000001</v>
      </c>
      <c r="D7342" s="2">
        <f>HYPERLINK("http://mcb-m6.bioreg.kyushu-u.ac.jp/M3/20110404/F50755/2304/1", 39.27)</f>
        <v>39.270000000000003</v>
      </c>
      <c r="E7342" s="2">
        <v>28.19</v>
      </c>
      <c r="F7342" s="2">
        <v>2</v>
      </c>
      <c r="G7342" s="2" t="s">
        <v>9</v>
      </c>
    </row>
    <row r="7343" spans="1:9" x14ac:dyDescent="0.2">
      <c r="A7343" s="2" t="s">
        <v>3250</v>
      </c>
      <c r="B7343" s="2" t="s">
        <v>77</v>
      </c>
      <c r="C7343" s="2">
        <v>1148.442</v>
      </c>
      <c r="D7343" s="2">
        <f>HYPERLINK("http://mcb-m6.bioreg.kyushu-u.ac.jp/M3/20110404/F50767/979/1", 39.29)</f>
        <v>39.29</v>
      </c>
      <c r="E7343" s="2">
        <v>16.690000000000001</v>
      </c>
      <c r="F7343" s="2">
        <v>1</v>
      </c>
      <c r="G7343" s="2" t="s">
        <v>9</v>
      </c>
    </row>
    <row r="7344" spans="1:9" x14ac:dyDescent="0.2">
      <c r="A7344" s="2" t="s">
        <v>3250</v>
      </c>
      <c r="B7344" s="2" t="s">
        <v>6027</v>
      </c>
      <c r="C7344" s="2">
        <v>711.89570000000003</v>
      </c>
      <c r="D7344" s="2">
        <f>HYPERLINK("http://mcb-m6.bioreg.kyushu-u.ac.jp/M3/20110404/F50778/1663/1", 39.33)</f>
        <v>39.33</v>
      </c>
      <c r="E7344" s="2">
        <v>26.04</v>
      </c>
      <c r="F7344" s="2">
        <v>2</v>
      </c>
      <c r="G7344" s="2" t="s">
        <v>9</v>
      </c>
    </row>
    <row r="7345" spans="1:9" x14ac:dyDescent="0.2">
      <c r="A7345" s="2" t="s">
        <v>3250</v>
      </c>
      <c r="B7345" s="2" t="s">
        <v>102</v>
      </c>
      <c r="C7345" s="2">
        <v>1215.3119999999999</v>
      </c>
      <c r="D7345" s="2">
        <f>HYPERLINK("http://mcb-m6.bioreg.kyushu-u.ac.jp/M3/20110404/F50776/1353/1", 39.39)</f>
        <v>39.39</v>
      </c>
      <c r="E7345" s="2">
        <v>23.14</v>
      </c>
      <c r="F7345" s="2">
        <v>1</v>
      </c>
      <c r="G7345" s="2" t="s">
        <v>9</v>
      </c>
    </row>
    <row r="7346" spans="1:9" x14ac:dyDescent="0.2">
      <c r="A7346" s="2" t="s">
        <v>3250</v>
      </c>
      <c r="B7346" s="2" t="s">
        <v>175</v>
      </c>
      <c r="C7346" s="2">
        <v>523.26819999999998</v>
      </c>
      <c r="D7346" s="2">
        <f>HYPERLINK("http://mcb-m6.bioreg.kyushu-u.ac.jp/M3/20110404/F50756/2181/1", 39.41)</f>
        <v>39.409999999999997</v>
      </c>
      <c r="E7346" s="2">
        <v>21.89</v>
      </c>
      <c r="F7346" s="2">
        <v>3</v>
      </c>
      <c r="G7346" s="2" t="s">
        <v>9</v>
      </c>
      <c r="I7346" s="2" t="s">
        <v>4893</v>
      </c>
    </row>
    <row r="7347" spans="1:9" x14ac:dyDescent="0.2">
      <c r="A7347" s="2" t="s">
        <v>3250</v>
      </c>
      <c r="B7347" s="2" t="s">
        <v>77</v>
      </c>
      <c r="C7347" s="2">
        <v>1148.4880000000001</v>
      </c>
      <c r="D7347" s="2">
        <f>HYPERLINK("http://mcb-m6.bioreg.kyushu-u.ac.jp/M3/20110404/F50777/1213/1", 39.42)</f>
        <v>39.42</v>
      </c>
      <c r="E7347" s="2">
        <v>20.45</v>
      </c>
      <c r="F7347" s="2">
        <v>1</v>
      </c>
      <c r="G7347" s="2" t="s">
        <v>9</v>
      </c>
    </row>
    <row r="7348" spans="1:9" x14ac:dyDescent="0.2">
      <c r="A7348" s="2" t="s">
        <v>3250</v>
      </c>
      <c r="B7348" s="2" t="s">
        <v>772</v>
      </c>
      <c r="C7348" s="2">
        <v>1190.51</v>
      </c>
      <c r="D7348" s="2">
        <f>HYPERLINK("http://mcb-m6.bioreg.kyushu-u.ac.jp/M3/20110404/F50754/1625/1", 39.48)</f>
        <v>39.479999999999997</v>
      </c>
      <c r="E7348" s="2">
        <v>17.059999999999999</v>
      </c>
      <c r="F7348" s="2">
        <v>1</v>
      </c>
      <c r="G7348" s="2" t="s">
        <v>9</v>
      </c>
    </row>
    <row r="7349" spans="1:9" x14ac:dyDescent="0.2">
      <c r="A7349" s="2" t="s">
        <v>3250</v>
      </c>
      <c r="B7349" s="2" t="s">
        <v>481</v>
      </c>
      <c r="C7349" s="2">
        <v>1417.318</v>
      </c>
      <c r="D7349" s="2">
        <f>HYPERLINK("http://mcb-m6.bioreg.kyushu-u.ac.jp/M3/20110404/F50777/1766/1", 39.51)</f>
        <v>39.51</v>
      </c>
      <c r="E7349" s="2">
        <v>21.11</v>
      </c>
      <c r="F7349" s="2">
        <v>1</v>
      </c>
      <c r="G7349" s="2" t="s">
        <v>9</v>
      </c>
      <c r="I7349" s="2" t="s">
        <v>4898</v>
      </c>
    </row>
    <row r="7350" spans="1:9" x14ac:dyDescent="0.2">
      <c r="A7350" s="2" t="s">
        <v>3250</v>
      </c>
      <c r="B7350" s="2" t="s">
        <v>356</v>
      </c>
      <c r="C7350" s="2">
        <v>815.66560000000004</v>
      </c>
      <c r="D7350" s="2">
        <f>HYPERLINK("http://mcb-m6.bioreg.kyushu-u.ac.jp/M3/20110404/F50766/2000/1", 39.59)</f>
        <v>39.590000000000003</v>
      </c>
      <c r="E7350" s="2">
        <v>24.67</v>
      </c>
      <c r="F7350" s="2">
        <v>2</v>
      </c>
      <c r="G7350" s="2" t="s">
        <v>9</v>
      </c>
    </row>
    <row r="7351" spans="1:9" x14ac:dyDescent="0.2">
      <c r="A7351" s="2" t="s">
        <v>3250</v>
      </c>
      <c r="B7351" s="2" t="s">
        <v>356</v>
      </c>
      <c r="C7351" s="2">
        <v>815.86109999999996</v>
      </c>
      <c r="D7351" s="2">
        <f>HYPERLINK("http://mcb-m6.bioreg.kyushu-u.ac.jp/M3/20110404/F50762/2052/1", 39.77)</f>
        <v>39.770000000000003</v>
      </c>
      <c r="E7351" s="2">
        <v>30.98</v>
      </c>
      <c r="F7351" s="2">
        <v>2</v>
      </c>
      <c r="G7351" s="2" t="s">
        <v>9</v>
      </c>
    </row>
    <row r="7352" spans="1:9" x14ac:dyDescent="0.2">
      <c r="A7352" s="2" t="s">
        <v>3250</v>
      </c>
      <c r="B7352" s="2" t="s">
        <v>311</v>
      </c>
      <c r="C7352" s="2">
        <v>1197.039</v>
      </c>
      <c r="D7352" s="2">
        <f>HYPERLINK("http://mcb-m6.bioreg.kyushu-u.ac.jp/M3/20110404/F50779/1104/1", 39.78)</f>
        <v>39.78</v>
      </c>
      <c r="E7352" s="2">
        <v>26.77</v>
      </c>
      <c r="F7352" s="2">
        <v>1</v>
      </c>
      <c r="G7352" s="2" t="s">
        <v>9</v>
      </c>
    </row>
    <row r="7353" spans="1:9" x14ac:dyDescent="0.2">
      <c r="A7353" s="2" t="s">
        <v>3250</v>
      </c>
      <c r="B7353" s="2" t="s">
        <v>365</v>
      </c>
      <c r="C7353" s="2">
        <v>848.71810000000005</v>
      </c>
      <c r="D7353" s="2">
        <f>HYPERLINK("http://mcb-m6.bioreg.kyushu-u.ac.jp/M3/20110404/F50753/2418/1", 39.81)</f>
        <v>39.81</v>
      </c>
      <c r="E7353" s="2">
        <v>25.78</v>
      </c>
      <c r="F7353" s="2">
        <v>2</v>
      </c>
      <c r="G7353" s="2" t="s">
        <v>9</v>
      </c>
    </row>
    <row r="7354" spans="1:9" x14ac:dyDescent="0.2">
      <c r="A7354" s="2" t="s">
        <v>3250</v>
      </c>
      <c r="B7354" s="2" t="s">
        <v>772</v>
      </c>
      <c r="C7354" s="2">
        <v>1190.5519999999999</v>
      </c>
      <c r="D7354" s="2">
        <f>HYPERLINK("http://mcb-m6.bioreg.kyushu-u.ac.jp/M3/20110404/F50762/1304/1", 40.09)</f>
        <v>40.090000000000003</v>
      </c>
      <c r="E7354" s="2">
        <v>17.7</v>
      </c>
      <c r="F7354" s="2">
        <v>1</v>
      </c>
      <c r="G7354" s="2" t="s">
        <v>9</v>
      </c>
    </row>
    <row r="7355" spans="1:9" x14ac:dyDescent="0.2">
      <c r="A7355" s="2" t="s">
        <v>3250</v>
      </c>
      <c r="B7355" s="2" t="s">
        <v>102</v>
      </c>
      <c r="C7355" s="2">
        <v>1231.385</v>
      </c>
      <c r="D7355" s="2">
        <f>HYPERLINK("http://mcb-m6.bioreg.kyushu-u.ac.jp/M3/20110404/F50754/1709/1", 40.1)</f>
        <v>40.1</v>
      </c>
      <c r="E7355" s="2">
        <v>18.27</v>
      </c>
      <c r="F7355" s="2">
        <v>1</v>
      </c>
      <c r="G7355" s="2" t="s">
        <v>9</v>
      </c>
      <c r="H7355" s="2" t="s">
        <v>4900</v>
      </c>
    </row>
    <row r="7356" spans="1:9" x14ac:dyDescent="0.2">
      <c r="A7356" s="2" t="s">
        <v>3250</v>
      </c>
      <c r="B7356" s="2" t="s">
        <v>351</v>
      </c>
      <c r="C7356" s="2">
        <v>861.38699999999994</v>
      </c>
      <c r="D7356" s="2">
        <f>HYPERLINK("http://mcb-m6.bioreg.kyushu-u.ac.jp/M3/20110404/F50755/841/1", 40.16)</f>
        <v>40.159999999999997</v>
      </c>
      <c r="E7356" s="2">
        <v>17.27</v>
      </c>
      <c r="F7356" s="2">
        <v>1</v>
      </c>
      <c r="G7356" s="2" t="s">
        <v>9</v>
      </c>
      <c r="I7356" s="2" t="s">
        <v>4899</v>
      </c>
    </row>
    <row r="7357" spans="1:9" x14ac:dyDescent="0.2">
      <c r="A7357" s="2" t="s">
        <v>3250</v>
      </c>
      <c r="B7357" s="2" t="s">
        <v>365</v>
      </c>
      <c r="C7357" s="2">
        <v>1697.73</v>
      </c>
      <c r="D7357" s="2">
        <f>HYPERLINK("http://mcb-m6.bioreg.kyushu-u.ac.jp/M3/20110404/F50777/2354/1", 40.31)</f>
        <v>40.31</v>
      </c>
      <c r="E7357" s="2">
        <v>29.05</v>
      </c>
      <c r="F7357" s="2">
        <v>1</v>
      </c>
      <c r="G7357" s="2" t="s">
        <v>9</v>
      </c>
    </row>
    <row r="7358" spans="1:9" x14ac:dyDescent="0.2">
      <c r="A7358" s="2" t="s">
        <v>3250</v>
      </c>
      <c r="B7358" s="2" t="s">
        <v>1065</v>
      </c>
      <c r="C7358" s="2">
        <v>716.95870000000002</v>
      </c>
      <c r="D7358" s="2">
        <f>HYPERLINK("http://mcb-m6.bioreg.kyushu-u.ac.jp/M3/20110404/F50767/1599/1", 40.33)</f>
        <v>40.33</v>
      </c>
      <c r="E7358" s="2">
        <v>8.44</v>
      </c>
      <c r="F7358" s="2">
        <v>2</v>
      </c>
      <c r="G7358" s="2" t="s">
        <v>9</v>
      </c>
      <c r="I7358" s="2" t="s">
        <v>4892</v>
      </c>
    </row>
    <row r="7359" spans="1:9" x14ac:dyDescent="0.2">
      <c r="A7359" s="2" t="s">
        <v>3250</v>
      </c>
      <c r="B7359" s="2" t="s">
        <v>481</v>
      </c>
      <c r="C7359" s="2">
        <v>1417.4359999999999</v>
      </c>
      <c r="D7359" s="2">
        <f>HYPERLINK("http://mcb-m6.bioreg.kyushu-u.ac.jp/M3/20110404/F50767/1535/1", 40.68)</f>
        <v>40.68</v>
      </c>
      <c r="E7359" s="2">
        <v>26.49</v>
      </c>
      <c r="F7359" s="2">
        <v>1</v>
      </c>
      <c r="G7359" s="2" t="s">
        <v>9</v>
      </c>
      <c r="I7359" s="2" t="s">
        <v>4898</v>
      </c>
    </row>
    <row r="7360" spans="1:9" x14ac:dyDescent="0.2">
      <c r="A7360" s="2" t="s">
        <v>3250</v>
      </c>
      <c r="B7360" s="2" t="s">
        <v>30</v>
      </c>
      <c r="C7360" s="2">
        <v>964.96310000000005</v>
      </c>
      <c r="D7360" s="2">
        <f>HYPERLINK("http://mcb-m6.bioreg.kyushu-u.ac.jp/M3/20110404/F50778/2862/1", 40.71)</f>
        <v>40.71</v>
      </c>
      <c r="E7360" s="2">
        <v>33.51</v>
      </c>
      <c r="F7360" s="2">
        <v>2</v>
      </c>
      <c r="G7360" s="2" t="s">
        <v>9</v>
      </c>
      <c r="I7360" s="2" t="s">
        <v>4894</v>
      </c>
    </row>
    <row r="7361" spans="1:9" x14ac:dyDescent="0.2">
      <c r="A7361" s="2" t="s">
        <v>3250</v>
      </c>
      <c r="B7361" s="2" t="s">
        <v>6027</v>
      </c>
      <c r="C7361" s="2">
        <v>1422.799</v>
      </c>
      <c r="D7361" s="2">
        <f>HYPERLINK("http://mcb-m6.bioreg.kyushu-u.ac.jp/M3/20110404/F50779/1581/1", 40.83)</f>
        <v>40.83</v>
      </c>
      <c r="E7361" s="2">
        <v>19.27</v>
      </c>
      <c r="F7361" s="2">
        <v>1</v>
      </c>
      <c r="G7361" s="2" t="s">
        <v>9</v>
      </c>
    </row>
    <row r="7362" spans="1:9" x14ac:dyDescent="0.2">
      <c r="A7362" s="2" t="s">
        <v>3250</v>
      </c>
      <c r="B7362" s="2" t="s">
        <v>102</v>
      </c>
      <c r="C7362" s="2">
        <v>1231.521</v>
      </c>
      <c r="D7362" s="2">
        <f>HYPERLINK("http://mcb-m6.bioreg.kyushu-u.ac.jp/M3/20110404/F50767/1134/1", 40.93)</f>
        <v>40.93</v>
      </c>
      <c r="E7362" s="2">
        <v>19.059999999999999</v>
      </c>
      <c r="F7362" s="2">
        <v>1</v>
      </c>
      <c r="G7362" s="2" t="s">
        <v>9</v>
      </c>
      <c r="H7362" s="2" t="s">
        <v>4900</v>
      </c>
    </row>
    <row r="7363" spans="1:9" x14ac:dyDescent="0.2">
      <c r="A7363" s="2" t="s">
        <v>3250</v>
      </c>
      <c r="B7363" s="2" t="s">
        <v>175</v>
      </c>
      <c r="C7363" s="2">
        <v>523.29989999999998</v>
      </c>
      <c r="D7363" s="2">
        <f>HYPERLINK("http://mcb-m6.bioreg.kyushu-u.ac.jp/M3/20110404/F50779/1963/1", 40.96)</f>
        <v>40.96</v>
      </c>
      <c r="E7363" s="2">
        <v>23.91</v>
      </c>
      <c r="F7363" s="2">
        <v>3</v>
      </c>
      <c r="G7363" s="2" t="s">
        <v>9</v>
      </c>
      <c r="I7363" s="2" t="s">
        <v>4893</v>
      </c>
    </row>
    <row r="7364" spans="1:9" x14ac:dyDescent="0.2">
      <c r="A7364" s="2" t="s">
        <v>3250</v>
      </c>
      <c r="B7364" s="2" t="s">
        <v>772</v>
      </c>
      <c r="C7364" s="2">
        <v>1190.5050000000001</v>
      </c>
      <c r="D7364" s="2">
        <f>HYPERLINK("http://mcb-m6.bioreg.kyushu-u.ac.jp/M3/20110404/F50767/1046/1", 40.97)</f>
        <v>40.97</v>
      </c>
      <c r="E7364" s="2">
        <v>16.89</v>
      </c>
      <c r="F7364" s="2">
        <v>1</v>
      </c>
      <c r="G7364" s="2" t="s">
        <v>9</v>
      </c>
    </row>
    <row r="7365" spans="1:9" x14ac:dyDescent="0.2">
      <c r="A7365" s="2" t="s">
        <v>3250</v>
      </c>
      <c r="B7365" s="2" t="s">
        <v>365</v>
      </c>
      <c r="C7365" s="2">
        <v>848.80870000000004</v>
      </c>
      <c r="D7365" s="2">
        <f>HYPERLINK("http://mcb-m6.bioreg.kyushu-u.ac.jp/M3/20110404/F50756/2447/1", 40.99)</f>
        <v>40.99</v>
      </c>
      <c r="E7365" s="2">
        <v>21.93</v>
      </c>
      <c r="F7365" s="2">
        <v>2</v>
      </c>
      <c r="G7365" s="2" t="s">
        <v>9</v>
      </c>
    </row>
    <row r="7366" spans="1:9" x14ac:dyDescent="0.2">
      <c r="A7366" s="2" t="s">
        <v>3250</v>
      </c>
      <c r="B7366" s="2" t="s">
        <v>102</v>
      </c>
      <c r="C7366" s="2">
        <v>608.04219999999998</v>
      </c>
      <c r="D7366" s="2">
        <f>HYPERLINK("http://mcb-m6.bioreg.kyushu-u.ac.jp/M3/20110404/F50753/1527/1", 41.03)</f>
        <v>41.03</v>
      </c>
      <c r="E7366" s="2">
        <v>26.28</v>
      </c>
      <c r="F7366" s="2">
        <v>2</v>
      </c>
      <c r="G7366" s="2" t="s">
        <v>9</v>
      </c>
    </row>
    <row r="7367" spans="1:9" x14ac:dyDescent="0.2">
      <c r="A7367" s="2" t="s">
        <v>3250</v>
      </c>
      <c r="B7367" s="2" t="s">
        <v>311</v>
      </c>
      <c r="C7367" s="2">
        <v>1197.2149999999999</v>
      </c>
      <c r="D7367" s="2">
        <f>HYPERLINK("http://mcb-m6.bioreg.kyushu-u.ac.jp/M3/20110404/F50766/864/1", 41.15)</f>
        <v>41.15</v>
      </c>
      <c r="E7367" s="2">
        <v>23.28</v>
      </c>
      <c r="F7367" s="2">
        <v>1</v>
      </c>
      <c r="G7367" s="2" t="s">
        <v>9</v>
      </c>
    </row>
    <row r="7368" spans="1:9" x14ac:dyDescent="0.2">
      <c r="A7368" s="2" t="s">
        <v>3250</v>
      </c>
      <c r="B7368" s="2" t="s">
        <v>617</v>
      </c>
      <c r="C7368" s="2">
        <v>694.43910000000005</v>
      </c>
      <c r="D7368" s="2">
        <f>HYPERLINK("http://mcb-m6.bioreg.kyushu-u.ac.jp/M3/20110404/F50778/1572/1", 41.35)</f>
        <v>41.35</v>
      </c>
      <c r="E7368" s="2">
        <v>21.46</v>
      </c>
      <c r="F7368" s="2">
        <v>2</v>
      </c>
      <c r="G7368" s="2" t="s">
        <v>9</v>
      </c>
      <c r="H7368" s="2" t="s">
        <v>4919</v>
      </c>
    </row>
    <row r="7369" spans="1:9" x14ac:dyDescent="0.2">
      <c r="A7369" s="2" t="s">
        <v>3250</v>
      </c>
      <c r="B7369" s="2" t="s">
        <v>77</v>
      </c>
      <c r="C7369" s="2">
        <v>1148.55</v>
      </c>
      <c r="D7369" s="2">
        <f>HYPERLINK("http://mcb-m6.bioreg.kyushu-u.ac.jp/M3/20110404/F50763/1304/1", 41.38)</f>
        <v>41.38</v>
      </c>
      <c r="E7369" s="2">
        <v>25.84</v>
      </c>
      <c r="F7369" s="2">
        <v>1</v>
      </c>
      <c r="G7369" s="2" t="s">
        <v>9</v>
      </c>
    </row>
    <row r="7370" spans="1:9" x14ac:dyDescent="0.2">
      <c r="A7370" s="2" t="s">
        <v>3250</v>
      </c>
      <c r="B7370" s="2" t="s">
        <v>772</v>
      </c>
      <c r="C7370" s="2">
        <v>595.88419999999996</v>
      </c>
      <c r="D7370" s="2">
        <f>HYPERLINK("http://mcb-m6.bioreg.kyushu-u.ac.jp/M3/20110404/F50767/1048/1", 41.38)</f>
        <v>41.38</v>
      </c>
      <c r="E7370" s="2">
        <v>15.06</v>
      </c>
      <c r="F7370" s="2">
        <v>2</v>
      </c>
      <c r="G7370" s="2" t="s">
        <v>9</v>
      </c>
    </row>
    <row r="7371" spans="1:9" x14ac:dyDescent="0.2">
      <c r="A7371" s="2" t="s">
        <v>3250</v>
      </c>
      <c r="B7371" s="2" t="s">
        <v>503</v>
      </c>
      <c r="C7371" s="2">
        <v>539.39120000000003</v>
      </c>
      <c r="D7371" s="2">
        <f>HYPERLINK("http://mcb-m6.bioreg.kyushu-u.ac.jp/M3/20110404/F50767/2061/1", 41.38)</f>
        <v>41.38</v>
      </c>
      <c r="E7371" s="2">
        <v>24.61</v>
      </c>
      <c r="F7371" s="2">
        <v>3</v>
      </c>
      <c r="G7371" s="2" t="s">
        <v>9</v>
      </c>
    </row>
    <row r="7372" spans="1:9" x14ac:dyDescent="0.2">
      <c r="A7372" s="2" t="s">
        <v>3250</v>
      </c>
      <c r="B7372" s="2" t="s">
        <v>481</v>
      </c>
      <c r="C7372" s="2">
        <v>1418.6110000000001</v>
      </c>
      <c r="D7372" s="2">
        <f>HYPERLINK("http://mcb-m6.bioreg.kyushu-u.ac.jp/M3/20110404/F50762/1697/1", 41.49)</f>
        <v>41.49</v>
      </c>
      <c r="E7372" s="2">
        <v>32.25</v>
      </c>
      <c r="F7372" s="2">
        <v>1</v>
      </c>
      <c r="G7372" s="2" t="s">
        <v>9</v>
      </c>
      <c r="I7372" s="2" t="s">
        <v>4898</v>
      </c>
    </row>
    <row r="7373" spans="1:9" x14ac:dyDescent="0.2">
      <c r="A7373" s="2" t="s">
        <v>3250</v>
      </c>
      <c r="B7373" s="2" t="s">
        <v>365</v>
      </c>
      <c r="C7373" s="2">
        <v>848.90520000000004</v>
      </c>
      <c r="D7373" s="2">
        <f>HYPERLINK("http://mcb-m6.bioreg.kyushu-u.ac.jp/M3/20110404/F50763/2300/1", 41.79)</f>
        <v>41.79</v>
      </c>
      <c r="E7373" s="2">
        <v>20.63</v>
      </c>
      <c r="F7373" s="2">
        <v>2</v>
      </c>
      <c r="G7373" s="2" t="s">
        <v>9</v>
      </c>
    </row>
    <row r="7374" spans="1:9" x14ac:dyDescent="0.2">
      <c r="A7374" s="2" t="s">
        <v>3250</v>
      </c>
      <c r="B7374" s="2" t="s">
        <v>1581</v>
      </c>
      <c r="C7374" s="2">
        <v>765.45420000000001</v>
      </c>
      <c r="D7374" s="2">
        <f>HYPERLINK("http://mcb-m6.bioreg.kyushu-u.ac.jp/M3/20110404/F50776/2878/1", 41.87)</f>
        <v>41.87</v>
      </c>
      <c r="E7374" s="2">
        <v>32.72</v>
      </c>
      <c r="F7374" s="2">
        <v>3</v>
      </c>
      <c r="G7374" s="2" t="s">
        <v>9</v>
      </c>
      <c r="I7374" s="2" t="s">
        <v>4895</v>
      </c>
    </row>
    <row r="7375" spans="1:9" x14ac:dyDescent="0.2">
      <c r="A7375" s="2" t="s">
        <v>3250</v>
      </c>
      <c r="B7375" s="2" t="s">
        <v>398</v>
      </c>
      <c r="C7375" s="2">
        <v>640.33619999999996</v>
      </c>
      <c r="D7375" s="2">
        <f>HYPERLINK("http://mcb-m6.bioreg.kyushu-u.ac.jp/M3/20110404/F50779/1274/1", 41.94)</f>
        <v>41.94</v>
      </c>
      <c r="E7375" s="2">
        <v>16.3</v>
      </c>
      <c r="F7375" s="2">
        <v>2</v>
      </c>
      <c r="G7375" s="2" t="s">
        <v>9</v>
      </c>
    </row>
    <row r="7376" spans="1:9" x14ac:dyDescent="0.2">
      <c r="A7376" s="2" t="s">
        <v>3250</v>
      </c>
      <c r="B7376" s="2" t="s">
        <v>30</v>
      </c>
      <c r="C7376" s="2">
        <v>1928.8230000000001</v>
      </c>
      <c r="D7376" s="2">
        <f>HYPERLINK("http://mcb-m6.bioreg.kyushu-u.ac.jp/M3/20110404/F50779/2736/1", 42.01)</f>
        <v>42.01</v>
      </c>
      <c r="E7376" s="2">
        <v>37.36</v>
      </c>
      <c r="F7376" s="2">
        <v>1</v>
      </c>
      <c r="G7376" s="2" t="s">
        <v>9</v>
      </c>
      <c r="I7376" s="2" t="s">
        <v>4894</v>
      </c>
    </row>
    <row r="7377" spans="1:9" x14ac:dyDescent="0.2">
      <c r="A7377" s="2" t="s">
        <v>3250</v>
      </c>
      <c r="B7377" s="2" t="s">
        <v>311</v>
      </c>
      <c r="C7377" s="2">
        <v>1212.402</v>
      </c>
      <c r="D7377" s="2">
        <f>HYPERLINK("http://mcb-m6.bioreg.kyushu-u.ac.jp/M3/20110404/F50777/1350/1", 42.08)</f>
        <v>42.08</v>
      </c>
      <c r="E7377" s="2">
        <v>25.23</v>
      </c>
      <c r="F7377" s="2">
        <v>1</v>
      </c>
      <c r="G7377" s="2" t="s">
        <v>9</v>
      </c>
      <c r="H7377" s="2" t="s">
        <v>4908</v>
      </c>
    </row>
    <row r="7378" spans="1:9" x14ac:dyDescent="0.2">
      <c r="A7378" s="2" t="s">
        <v>3250</v>
      </c>
      <c r="B7378" s="2" t="s">
        <v>365</v>
      </c>
      <c r="C7378" s="2">
        <v>848.73170000000005</v>
      </c>
      <c r="D7378" s="2">
        <f>HYPERLINK("http://mcb-m6.bioreg.kyushu-u.ac.jp/M3/20110404/F50766/2153/1", 42.2)</f>
        <v>42.2</v>
      </c>
      <c r="E7378" s="2">
        <v>26.61</v>
      </c>
      <c r="F7378" s="2">
        <v>2</v>
      </c>
      <c r="G7378" s="2" t="s">
        <v>9</v>
      </c>
    </row>
    <row r="7379" spans="1:9" x14ac:dyDescent="0.2">
      <c r="A7379" s="2" t="s">
        <v>3250</v>
      </c>
      <c r="B7379" s="2" t="s">
        <v>77</v>
      </c>
      <c r="C7379" s="2">
        <v>1148.492</v>
      </c>
      <c r="D7379" s="2">
        <f>HYPERLINK("http://mcb-m6.bioreg.kyushu-u.ac.jp/M3/20110404/F50776/1217/1", 42.47)</f>
        <v>42.47</v>
      </c>
      <c r="E7379" s="2">
        <v>22.18</v>
      </c>
      <c r="F7379" s="2">
        <v>1</v>
      </c>
      <c r="G7379" s="2" t="s">
        <v>9</v>
      </c>
    </row>
    <row r="7380" spans="1:9" x14ac:dyDescent="0.2">
      <c r="A7380" s="2" t="s">
        <v>3250</v>
      </c>
      <c r="B7380" s="2" t="s">
        <v>102</v>
      </c>
      <c r="C7380" s="2">
        <v>1231.3340000000001</v>
      </c>
      <c r="D7380" s="2">
        <f>HYPERLINK("http://mcb-m6.bioreg.kyushu-u.ac.jp/M3/20110404/F50755/1456/1", 42.55)</f>
        <v>42.55</v>
      </c>
      <c r="E7380" s="2">
        <v>17.21</v>
      </c>
      <c r="F7380" s="2">
        <v>1</v>
      </c>
      <c r="G7380" s="2" t="s">
        <v>9</v>
      </c>
      <c r="H7380" s="2" t="s">
        <v>4900</v>
      </c>
    </row>
    <row r="7381" spans="1:9" x14ac:dyDescent="0.2">
      <c r="A7381" s="2" t="s">
        <v>3250</v>
      </c>
      <c r="B7381" s="2" t="s">
        <v>102</v>
      </c>
      <c r="C7381" s="2">
        <v>1231.3689999999999</v>
      </c>
      <c r="D7381" s="2">
        <f>HYPERLINK("http://mcb-m6.bioreg.kyushu-u.ac.jp/M3/20110404/F50753/1565/1", 42.66)</f>
        <v>42.66</v>
      </c>
      <c r="E7381" s="2">
        <v>18.86</v>
      </c>
      <c r="F7381" s="2">
        <v>1</v>
      </c>
      <c r="G7381" s="2" t="s">
        <v>9</v>
      </c>
      <c r="H7381" s="2" t="s">
        <v>4900</v>
      </c>
    </row>
    <row r="7382" spans="1:9" x14ac:dyDescent="0.2">
      <c r="A7382" s="2" t="s">
        <v>3250</v>
      </c>
      <c r="B7382" s="2" t="s">
        <v>77</v>
      </c>
      <c r="C7382" s="2">
        <v>1149.0039999999999</v>
      </c>
      <c r="D7382" s="2">
        <f>HYPERLINK("http://mcb-m6.bioreg.kyushu-u.ac.jp/M3/20110404/F50755/1249/1", 42.72)</f>
        <v>42.72</v>
      </c>
      <c r="E7382" s="2">
        <v>16.66</v>
      </c>
      <c r="F7382" s="2">
        <v>1</v>
      </c>
      <c r="G7382" s="2" t="s">
        <v>9</v>
      </c>
    </row>
    <row r="7383" spans="1:9" x14ac:dyDescent="0.2">
      <c r="A7383" s="2" t="s">
        <v>3250</v>
      </c>
      <c r="B7383" s="2" t="s">
        <v>311</v>
      </c>
      <c r="C7383" s="2">
        <v>1212.5419999999999</v>
      </c>
      <c r="D7383" s="2">
        <f>HYPERLINK("http://mcb-m6.bioreg.kyushu-u.ac.jp/M3/20110404/F50779/1132/1", 42.9)</f>
        <v>42.9</v>
      </c>
      <c r="E7383" s="2">
        <v>25.92</v>
      </c>
      <c r="F7383" s="2">
        <v>1</v>
      </c>
      <c r="G7383" s="2" t="s">
        <v>9</v>
      </c>
      <c r="H7383" s="2" t="s">
        <v>4908</v>
      </c>
    </row>
    <row r="7384" spans="1:9" x14ac:dyDescent="0.2">
      <c r="A7384" s="2" t="s">
        <v>3250</v>
      </c>
      <c r="B7384" s="2" t="s">
        <v>467</v>
      </c>
      <c r="C7384" s="2">
        <v>691.5367</v>
      </c>
      <c r="D7384" s="2">
        <f>HYPERLINK("http://mcb-m6.bioreg.kyushu-u.ac.jp/M3/20110404/F50766/1259/1", 42.97)</f>
        <v>42.97</v>
      </c>
      <c r="E7384" s="2">
        <v>13.11</v>
      </c>
      <c r="F7384" s="2">
        <v>2</v>
      </c>
      <c r="G7384" s="2" t="s">
        <v>9</v>
      </c>
    </row>
    <row r="7385" spans="1:9" x14ac:dyDescent="0.2">
      <c r="A7385" s="2" t="s">
        <v>3250</v>
      </c>
      <c r="B7385" s="2" t="s">
        <v>1065</v>
      </c>
      <c r="C7385" s="2">
        <v>716.86360000000002</v>
      </c>
      <c r="D7385" s="2">
        <f>HYPERLINK("http://mcb-m6.bioreg.kyushu-u.ac.jp/M3/20110404/F50778/1712/1", 43.02)</f>
        <v>43.02</v>
      </c>
      <c r="E7385" s="2">
        <v>35.590000000000003</v>
      </c>
      <c r="F7385" s="2">
        <v>2</v>
      </c>
      <c r="G7385" s="2" t="s">
        <v>9</v>
      </c>
      <c r="I7385" s="2" t="s">
        <v>4892</v>
      </c>
    </row>
    <row r="7386" spans="1:9" x14ac:dyDescent="0.2">
      <c r="A7386" s="2" t="s">
        <v>3250</v>
      </c>
      <c r="B7386" s="2" t="s">
        <v>503</v>
      </c>
      <c r="C7386" s="2">
        <v>539.16650000000004</v>
      </c>
      <c r="D7386" s="2">
        <f>HYPERLINK("http://mcb-m6.bioreg.kyushu-u.ac.jp/M3/20110404/F50756/2287/1", 43.04)</f>
        <v>43.04</v>
      </c>
      <c r="E7386" s="2">
        <v>25</v>
      </c>
      <c r="F7386" s="2">
        <v>3</v>
      </c>
      <c r="G7386" s="2" t="s">
        <v>9</v>
      </c>
    </row>
    <row r="7387" spans="1:9" x14ac:dyDescent="0.2">
      <c r="A7387" s="2" t="s">
        <v>3250</v>
      </c>
      <c r="B7387" s="2" t="s">
        <v>398</v>
      </c>
      <c r="C7387" s="2">
        <v>640.8152</v>
      </c>
      <c r="D7387" s="2">
        <f>HYPERLINK("http://mcb-m6.bioreg.kyushu-u.ac.jp/M3/20110404/F50765/1391/1", 43.15)</f>
        <v>43.15</v>
      </c>
      <c r="E7387" s="2">
        <v>24.53</v>
      </c>
      <c r="F7387" s="2">
        <v>2</v>
      </c>
      <c r="G7387" s="2" t="s">
        <v>9</v>
      </c>
    </row>
    <row r="7388" spans="1:9" x14ac:dyDescent="0.2">
      <c r="A7388" s="2" t="s">
        <v>3250</v>
      </c>
      <c r="B7388" s="2" t="s">
        <v>356</v>
      </c>
      <c r="C7388" s="2">
        <v>815.78369999999995</v>
      </c>
      <c r="D7388" s="2">
        <f>HYPERLINK("http://mcb-m6.bioreg.kyushu-u.ac.jp/M3/20110404/F50753/2302/1", 43.26)</f>
        <v>43.26</v>
      </c>
      <c r="E7388" s="2">
        <v>28.39</v>
      </c>
      <c r="F7388" s="2">
        <v>2</v>
      </c>
      <c r="G7388" s="2" t="s">
        <v>9</v>
      </c>
    </row>
    <row r="7389" spans="1:9" x14ac:dyDescent="0.2">
      <c r="A7389" s="2" t="s">
        <v>3250</v>
      </c>
      <c r="B7389" s="2" t="s">
        <v>1888</v>
      </c>
      <c r="C7389" s="2">
        <v>912.55</v>
      </c>
      <c r="D7389" s="2">
        <f>HYPERLINK("http://mcb-m6.bioreg.kyushu-u.ac.jp/M3/20110404/F50778/649/1", 43.33)</f>
        <v>43.33</v>
      </c>
      <c r="E7389" s="2">
        <v>23.92</v>
      </c>
      <c r="F7389" s="2">
        <v>1</v>
      </c>
      <c r="G7389" s="2" t="s">
        <v>9</v>
      </c>
    </row>
    <row r="7390" spans="1:9" x14ac:dyDescent="0.2">
      <c r="A7390" s="2" t="s">
        <v>3250</v>
      </c>
      <c r="B7390" s="2" t="s">
        <v>77</v>
      </c>
      <c r="C7390" s="2">
        <v>1148.423</v>
      </c>
      <c r="D7390" s="2">
        <f>HYPERLINK("http://mcb-m6.bioreg.kyushu-u.ac.jp/M3/20110404/F50756/1239/1", 43.34)</f>
        <v>43.34</v>
      </c>
      <c r="E7390" s="2">
        <v>21.66</v>
      </c>
      <c r="F7390" s="2">
        <v>1</v>
      </c>
      <c r="G7390" s="2" t="s">
        <v>9</v>
      </c>
    </row>
    <row r="7391" spans="1:9" x14ac:dyDescent="0.2">
      <c r="A7391" s="2" t="s">
        <v>3250</v>
      </c>
      <c r="B7391" s="2" t="s">
        <v>398</v>
      </c>
      <c r="C7391" s="2">
        <v>640.38170000000002</v>
      </c>
      <c r="D7391" s="2">
        <f>HYPERLINK("http://mcb-m6.bioreg.kyushu-u.ac.jp/M3/20110404/F50778/1340/1", 43.36)</f>
        <v>43.36</v>
      </c>
      <c r="E7391" s="2">
        <v>22.7</v>
      </c>
      <c r="F7391" s="2">
        <v>2</v>
      </c>
      <c r="G7391" s="2" t="s">
        <v>9</v>
      </c>
    </row>
    <row r="7392" spans="1:9" x14ac:dyDescent="0.2">
      <c r="A7392" s="2" t="s">
        <v>3250</v>
      </c>
      <c r="B7392" s="2" t="s">
        <v>90</v>
      </c>
      <c r="C7392" s="2">
        <v>717.21510000000001</v>
      </c>
      <c r="D7392" s="2">
        <f>HYPERLINK("http://mcb-m6.bioreg.kyushu-u.ac.jp/M3/20110404/F50778/1721/1", 43.37)</f>
        <v>43.37</v>
      </c>
      <c r="E7392" s="2">
        <v>23.11</v>
      </c>
      <c r="F7392" s="2">
        <v>2</v>
      </c>
      <c r="G7392" s="2" t="s">
        <v>9</v>
      </c>
    </row>
    <row r="7393" spans="1:9" x14ac:dyDescent="0.2">
      <c r="A7393" s="2" t="s">
        <v>3250</v>
      </c>
      <c r="B7393" s="2" t="s">
        <v>90</v>
      </c>
      <c r="C7393" s="2">
        <v>717.00120000000004</v>
      </c>
      <c r="D7393" s="2">
        <f>HYPERLINK("http://mcb-m6.bioreg.kyushu-u.ac.jp/M3/20110404/F50756/1844/1", 43.38)</f>
        <v>43.38</v>
      </c>
      <c r="E7393" s="2">
        <v>16.78</v>
      </c>
      <c r="F7393" s="2">
        <v>2</v>
      </c>
      <c r="G7393" s="2" t="s">
        <v>9</v>
      </c>
    </row>
    <row r="7394" spans="1:9" x14ac:dyDescent="0.2">
      <c r="A7394" s="2" t="s">
        <v>3250</v>
      </c>
      <c r="B7394" s="2" t="s">
        <v>311</v>
      </c>
      <c r="C7394" s="2">
        <v>1212.617</v>
      </c>
      <c r="D7394" s="2">
        <f>HYPERLINK("http://mcb-m6.bioreg.kyushu-u.ac.jp/M3/20110404/F50764/1330/1", 43.45)</f>
        <v>43.45</v>
      </c>
      <c r="E7394" s="2">
        <v>26.54</v>
      </c>
      <c r="F7394" s="2">
        <v>1</v>
      </c>
      <c r="G7394" s="2" t="s">
        <v>9</v>
      </c>
      <c r="H7394" s="2" t="s">
        <v>4908</v>
      </c>
    </row>
    <row r="7395" spans="1:9" x14ac:dyDescent="0.2">
      <c r="A7395" s="2" t="s">
        <v>3250</v>
      </c>
      <c r="B7395" s="2" t="s">
        <v>77</v>
      </c>
      <c r="C7395" s="2">
        <v>1149.0329999999999</v>
      </c>
      <c r="D7395" s="2">
        <f>HYPERLINK("http://mcb-m6.bioreg.kyushu-u.ac.jp/M3/20110404/F50765/1168/1", 43.48)</f>
        <v>43.48</v>
      </c>
      <c r="E7395" s="2">
        <v>23.25</v>
      </c>
      <c r="F7395" s="2">
        <v>1</v>
      </c>
      <c r="G7395" s="2" t="s">
        <v>9</v>
      </c>
    </row>
    <row r="7396" spans="1:9" x14ac:dyDescent="0.2">
      <c r="A7396" s="2" t="s">
        <v>3250</v>
      </c>
      <c r="B7396" s="2" t="s">
        <v>311</v>
      </c>
      <c r="C7396" s="2">
        <v>1196.415</v>
      </c>
      <c r="D7396" s="2">
        <f>HYPERLINK("http://mcb-m6.bioreg.kyushu-u.ac.jp/M3/20110404/F50756/1347/1", 43.52)</f>
        <v>43.52</v>
      </c>
      <c r="E7396" s="2">
        <v>29.92</v>
      </c>
      <c r="F7396" s="2">
        <v>1</v>
      </c>
      <c r="G7396" s="2" t="s">
        <v>9</v>
      </c>
    </row>
    <row r="7397" spans="1:9" x14ac:dyDescent="0.2">
      <c r="A7397" s="2" t="s">
        <v>3250</v>
      </c>
      <c r="B7397" s="2" t="s">
        <v>6017</v>
      </c>
      <c r="C7397" s="2">
        <v>797.98419999999999</v>
      </c>
      <c r="D7397" s="2">
        <f>HYPERLINK("http://mcb-m6.bioreg.kyushu-u.ac.jp/M3/20110404/F50778/3525/1", 43.62)</f>
        <v>43.62</v>
      </c>
      <c r="E7397" s="2">
        <v>30.49</v>
      </c>
      <c r="F7397" s="2">
        <v>3</v>
      </c>
      <c r="G7397" s="2" t="s">
        <v>9</v>
      </c>
      <c r="I7397" s="2" t="s">
        <v>4895</v>
      </c>
    </row>
    <row r="7398" spans="1:9" x14ac:dyDescent="0.2">
      <c r="A7398" s="2" t="s">
        <v>3250</v>
      </c>
      <c r="B7398" s="2" t="s">
        <v>503</v>
      </c>
      <c r="C7398" s="2">
        <v>1631.7260000000001</v>
      </c>
      <c r="D7398" s="2">
        <f>HYPERLINK("http://mcb-m6.bioreg.kyushu-u.ac.jp/M3/20110404/F50778/2208/1", 43.68)</f>
        <v>43.68</v>
      </c>
      <c r="E7398" s="2">
        <v>29.39</v>
      </c>
      <c r="F7398" s="2">
        <v>1</v>
      </c>
      <c r="G7398" s="2" t="s">
        <v>9</v>
      </c>
      <c r="H7398" s="2" t="s">
        <v>4907</v>
      </c>
    </row>
    <row r="7399" spans="1:9" x14ac:dyDescent="0.2">
      <c r="A7399" s="2" t="s">
        <v>3250</v>
      </c>
      <c r="B7399" s="2" t="s">
        <v>604</v>
      </c>
      <c r="C7399" s="2">
        <v>520.69759999999997</v>
      </c>
      <c r="D7399" s="2">
        <f>HYPERLINK("http://mcb-m6.bioreg.kyushu-u.ac.jp/M3/20110404/F50777/1058/1", 43.7)</f>
        <v>43.7</v>
      </c>
      <c r="E7399" s="2">
        <v>13.63</v>
      </c>
      <c r="F7399" s="2">
        <v>2</v>
      </c>
      <c r="G7399" s="2" t="s">
        <v>9</v>
      </c>
    </row>
    <row r="7400" spans="1:9" x14ac:dyDescent="0.2">
      <c r="A7400" s="2" t="s">
        <v>3250</v>
      </c>
      <c r="B7400" s="2" t="s">
        <v>561</v>
      </c>
      <c r="C7400" s="2">
        <v>1323.461</v>
      </c>
      <c r="D7400" s="2">
        <f>HYPERLINK("http://mcb-m6.bioreg.kyushu-u.ac.jp/M3/20110404/F50767/1293/1", 43.86)</f>
        <v>43.86</v>
      </c>
      <c r="E7400" s="2">
        <v>29.78</v>
      </c>
      <c r="F7400" s="2">
        <v>1</v>
      </c>
      <c r="G7400" s="2" t="s">
        <v>9</v>
      </c>
      <c r="H7400" s="2" t="s">
        <v>4919</v>
      </c>
    </row>
    <row r="7401" spans="1:9" x14ac:dyDescent="0.2">
      <c r="A7401" s="2" t="s">
        <v>3250</v>
      </c>
      <c r="B7401" s="2" t="s">
        <v>481</v>
      </c>
      <c r="C7401" s="2">
        <v>1417.6130000000001</v>
      </c>
      <c r="D7401" s="2">
        <f>HYPERLINK("http://mcb-m6.bioreg.kyushu-u.ac.jp/M3/20110404/F50751/2000/1", 43.98)</f>
        <v>43.98</v>
      </c>
      <c r="E7401" s="2">
        <v>30.22</v>
      </c>
      <c r="F7401" s="2">
        <v>1</v>
      </c>
      <c r="G7401" s="2" t="s">
        <v>9</v>
      </c>
      <c r="I7401" s="2" t="s">
        <v>4898</v>
      </c>
    </row>
    <row r="7402" spans="1:9" x14ac:dyDescent="0.2">
      <c r="A7402" s="2" t="s">
        <v>3250</v>
      </c>
      <c r="B7402" s="2" t="s">
        <v>311</v>
      </c>
      <c r="C7402" s="2">
        <v>1212.462</v>
      </c>
      <c r="D7402" s="2">
        <f>HYPERLINK("http://mcb-m6.bioreg.kyushu-u.ac.jp/M3/20110404/F50778/1195/1", 44.26)</f>
        <v>44.26</v>
      </c>
      <c r="E7402" s="2">
        <v>29.19</v>
      </c>
      <c r="F7402" s="2">
        <v>1</v>
      </c>
      <c r="G7402" s="2" t="s">
        <v>9</v>
      </c>
      <c r="H7402" s="2" t="s">
        <v>4908</v>
      </c>
    </row>
    <row r="7403" spans="1:9" x14ac:dyDescent="0.2">
      <c r="A7403" s="2" t="s">
        <v>3250</v>
      </c>
      <c r="B7403" s="2" t="s">
        <v>1065</v>
      </c>
      <c r="C7403" s="2">
        <v>1433.67</v>
      </c>
      <c r="D7403" s="2">
        <f>HYPERLINK("http://mcb-m6.bioreg.kyushu-u.ac.jp/M3/20110404/F50778/1725/1", 44.27)</f>
        <v>44.27</v>
      </c>
      <c r="E7403" s="2">
        <v>30.11</v>
      </c>
      <c r="F7403" s="2">
        <v>1</v>
      </c>
      <c r="G7403" s="2" t="s">
        <v>9</v>
      </c>
      <c r="I7403" s="2" t="s">
        <v>4892</v>
      </c>
    </row>
    <row r="7404" spans="1:9" x14ac:dyDescent="0.2">
      <c r="A7404" s="2" t="s">
        <v>3250</v>
      </c>
      <c r="B7404" s="2" t="s">
        <v>561</v>
      </c>
      <c r="C7404" s="2">
        <v>1307.3810000000001</v>
      </c>
      <c r="D7404" s="2">
        <f>HYPERLINK("http://mcb-m6.bioreg.kyushu-u.ac.jp/M3/20110404/F50766/1076/1", 44.4)</f>
        <v>44.4</v>
      </c>
      <c r="E7404" s="2">
        <v>24.31</v>
      </c>
      <c r="F7404" s="2">
        <v>1</v>
      </c>
      <c r="G7404" s="2" t="s">
        <v>9</v>
      </c>
    </row>
    <row r="7405" spans="1:9" x14ac:dyDescent="0.2">
      <c r="A7405" s="2" t="s">
        <v>3250</v>
      </c>
      <c r="B7405" s="2" t="s">
        <v>772</v>
      </c>
      <c r="C7405" s="2">
        <v>1190.69</v>
      </c>
      <c r="D7405" s="2">
        <f>HYPERLINK("http://mcb-m6.bioreg.kyushu-u.ac.jp/M3/20110404/F50776/1301/1", 44.42)</f>
        <v>44.42</v>
      </c>
      <c r="E7405" s="2">
        <v>12.72</v>
      </c>
      <c r="F7405" s="2">
        <v>1</v>
      </c>
      <c r="G7405" s="2" t="s">
        <v>9</v>
      </c>
    </row>
    <row r="7406" spans="1:9" x14ac:dyDescent="0.2">
      <c r="A7406" s="2" t="s">
        <v>3250</v>
      </c>
      <c r="B7406" s="2" t="s">
        <v>604</v>
      </c>
      <c r="C7406" s="2">
        <v>520.56920000000002</v>
      </c>
      <c r="D7406" s="2">
        <f>HYPERLINK("http://mcb-m6.bioreg.kyushu-u.ac.jp/M3/20110404/F50779/828/1", 44.58)</f>
        <v>44.58</v>
      </c>
      <c r="E7406" s="2">
        <v>8</v>
      </c>
      <c r="F7406" s="2">
        <v>2</v>
      </c>
      <c r="G7406" s="2" t="s">
        <v>9</v>
      </c>
    </row>
    <row r="7407" spans="1:9" x14ac:dyDescent="0.2">
      <c r="A7407" s="2" t="s">
        <v>3250</v>
      </c>
      <c r="B7407" s="2" t="s">
        <v>398</v>
      </c>
      <c r="C7407" s="2">
        <v>640.2867</v>
      </c>
      <c r="D7407" s="2">
        <f>HYPERLINK("http://mcb-m6.bioreg.kyushu-u.ac.jp/M3/20110404/F50756/1496/1", 44.58)</f>
        <v>44.58</v>
      </c>
      <c r="E7407" s="2">
        <v>25.45</v>
      </c>
      <c r="F7407" s="2">
        <v>2</v>
      </c>
      <c r="G7407" s="2" t="s">
        <v>9</v>
      </c>
    </row>
    <row r="7408" spans="1:9" x14ac:dyDescent="0.2">
      <c r="A7408" s="2" t="s">
        <v>3250</v>
      </c>
      <c r="B7408" s="2" t="s">
        <v>398</v>
      </c>
      <c r="C7408" s="2">
        <v>640.60109999999997</v>
      </c>
      <c r="D7408" s="2">
        <f>HYPERLINK("http://mcb-m6.bioreg.kyushu-u.ac.jp/M3/20110404/F50777/1480/1", 44.9)</f>
        <v>44.9</v>
      </c>
      <c r="E7408" s="2">
        <v>24.54</v>
      </c>
      <c r="F7408" s="2">
        <v>2</v>
      </c>
      <c r="G7408" s="2" t="s">
        <v>9</v>
      </c>
    </row>
    <row r="7409" spans="1:9" x14ac:dyDescent="0.2">
      <c r="A7409" s="2" t="s">
        <v>3250</v>
      </c>
      <c r="B7409" s="2" t="s">
        <v>467</v>
      </c>
      <c r="C7409" s="2">
        <v>691.81020000000001</v>
      </c>
      <c r="D7409" s="2">
        <f>HYPERLINK("http://mcb-m6.bioreg.kyushu-u.ac.jp/M3/20110404/F50779/1474/1", 44.94)</f>
        <v>44.94</v>
      </c>
      <c r="E7409" s="2">
        <v>18.62</v>
      </c>
      <c r="F7409" s="2">
        <v>2</v>
      </c>
      <c r="G7409" s="2" t="s">
        <v>9</v>
      </c>
    </row>
    <row r="7410" spans="1:9" x14ac:dyDescent="0.2">
      <c r="A7410" s="2" t="s">
        <v>3250</v>
      </c>
      <c r="B7410" s="2" t="s">
        <v>503</v>
      </c>
      <c r="C7410" s="2">
        <v>808.86270000000002</v>
      </c>
      <c r="D7410" s="2">
        <f>HYPERLINK("http://mcb-m6.bioreg.kyushu-u.ac.jp/M3/20110404/F50779/2071/1", 45.02)</f>
        <v>45.02</v>
      </c>
      <c r="E7410" s="2">
        <v>29</v>
      </c>
      <c r="F7410" s="2">
        <v>2</v>
      </c>
      <c r="G7410" s="2" t="s">
        <v>9</v>
      </c>
    </row>
    <row r="7411" spans="1:9" x14ac:dyDescent="0.2">
      <c r="A7411" s="2" t="s">
        <v>3250</v>
      </c>
      <c r="B7411" s="2" t="s">
        <v>77</v>
      </c>
      <c r="C7411" s="2">
        <v>1148.4970000000001</v>
      </c>
      <c r="D7411" s="2">
        <f>HYPERLINK("http://mcb-m6.bioreg.kyushu-u.ac.jp/M3/20110404/F50766/758/1", 45.08)</f>
        <v>45.08</v>
      </c>
      <c r="E7411" s="2">
        <v>25.96</v>
      </c>
      <c r="F7411" s="2">
        <v>1</v>
      </c>
      <c r="G7411" s="2" t="s">
        <v>9</v>
      </c>
    </row>
    <row r="7412" spans="1:9" x14ac:dyDescent="0.2">
      <c r="A7412" s="2" t="s">
        <v>3250</v>
      </c>
      <c r="B7412" s="2" t="s">
        <v>561</v>
      </c>
      <c r="C7412" s="2">
        <v>1323.614</v>
      </c>
      <c r="D7412" s="2">
        <f>HYPERLINK("http://mcb-m6.bioreg.kyushu-u.ac.jp/M3/20110404/F50765/1465/1", 45.09)</f>
        <v>45.09</v>
      </c>
      <c r="E7412" s="2">
        <v>23.73</v>
      </c>
      <c r="F7412" s="2">
        <v>1</v>
      </c>
      <c r="G7412" s="2" t="s">
        <v>9</v>
      </c>
      <c r="H7412" s="2" t="s">
        <v>4919</v>
      </c>
    </row>
    <row r="7413" spans="1:9" x14ac:dyDescent="0.2">
      <c r="A7413" s="2" t="s">
        <v>3250</v>
      </c>
      <c r="B7413" s="2" t="s">
        <v>772</v>
      </c>
      <c r="C7413" s="2">
        <v>596.32169999999996</v>
      </c>
      <c r="D7413" s="2">
        <f>HYPERLINK("http://mcb-m6.bioreg.kyushu-u.ac.jp/M3/20110404/F50779/1090/1", 45.11)</f>
        <v>45.11</v>
      </c>
      <c r="E7413" s="2">
        <v>27.32</v>
      </c>
      <c r="F7413" s="2">
        <v>2</v>
      </c>
      <c r="G7413" s="2" t="s">
        <v>9</v>
      </c>
    </row>
    <row r="7414" spans="1:9" x14ac:dyDescent="0.2">
      <c r="A7414" s="2" t="s">
        <v>3250</v>
      </c>
      <c r="B7414" s="2" t="s">
        <v>561</v>
      </c>
      <c r="C7414" s="2">
        <v>1307.6110000000001</v>
      </c>
      <c r="D7414" s="2">
        <f>HYPERLINK("http://mcb-m6.bioreg.kyushu-u.ac.jp/M3/20110404/F50767/1266/1", 45.12)</f>
        <v>45.12</v>
      </c>
      <c r="E7414" s="2">
        <v>23.33</v>
      </c>
      <c r="F7414" s="2">
        <v>1</v>
      </c>
      <c r="G7414" s="2" t="s">
        <v>9</v>
      </c>
    </row>
    <row r="7415" spans="1:9" x14ac:dyDescent="0.2">
      <c r="A7415" s="2" t="s">
        <v>3250</v>
      </c>
      <c r="B7415" s="2" t="s">
        <v>1065</v>
      </c>
      <c r="C7415" s="2">
        <v>717.32119999999998</v>
      </c>
      <c r="D7415" s="2">
        <f>HYPERLINK("http://mcb-m6.bioreg.kyushu-u.ac.jp/M3/20110404/F50767/1604/1", 45.17)</f>
        <v>45.17</v>
      </c>
      <c r="E7415" s="2">
        <v>31.64</v>
      </c>
      <c r="F7415" s="2">
        <v>2</v>
      </c>
      <c r="G7415" s="2" t="s">
        <v>9</v>
      </c>
      <c r="I7415" s="2" t="s">
        <v>4892</v>
      </c>
    </row>
    <row r="7416" spans="1:9" x14ac:dyDescent="0.2">
      <c r="A7416" s="2" t="s">
        <v>3250</v>
      </c>
      <c r="B7416" s="2" t="s">
        <v>356</v>
      </c>
      <c r="C7416" s="2">
        <v>815.8066</v>
      </c>
      <c r="D7416" s="2">
        <f>HYPERLINK("http://mcb-m6.bioreg.kyushu-u.ac.jp/M3/20110404/F50767/2089/1", 45.27)</f>
        <v>45.27</v>
      </c>
      <c r="E7416" s="2">
        <v>31.17</v>
      </c>
      <c r="F7416" s="2">
        <v>2</v>
      </c>
      <c r="G7416" s="2" t="s">
        <v>9</v>
      </c>
    </row>
    <row r="7417" spans="1:9" x14ac:dyDescent="0.2">
      <c r="A7417" s="2" t="s">
        <v>3250</v>
      </c>
      <c r="B7417" s="2" t="s">
        <v>90</v>
      </c>
      <c r="C7417" s="2">
        <v>717.35969999999998</v>
      </c>
      <c r="D7417" s="2">
        <f>HYPERLINK("http://mcb-m6.bioreg.kyushu-u.ac.jp/M3/20110404/F50762/1745/1", 45.44)</f>
        <v>45.44</v>
      </c>
      <c r="E7417" s="2">
        <v>28.24</v>
      </c>
      <c r="F7417" s="2">
        <v>2</v>
      </c>
      <c r="G7417" s="2" t="s">
        <v>9</v>
      </c>
    </row>
    <row r="7418" spans="1:9" x14ac:dyDescent="0.2">
      <c r="A7418" s="2" t="s">
        <v>3250</v>
      </c>
      <c r="B7418" s="2" t="s">
        <v>175</v>
      </c>
      <c r="C7418" s="2">
        <v>1568.28</v>
      </c>
      <c r="D7418" s="2">
        <f>HYPERLINK("http://mcb-m6.bioreg.kyushu-u.ac.jp/M3/20110404/F50779/1965/1", 45.51)</f>
        <v>45.51</v>
      </c>
      <c r="E7418" s="2">
        <v>24.12</v>
      </c>
      <c r="F7418" s="2">
        <v>1</v>
      </c>
      <c r="G7418" s="2" t="s">
        <v>9</v>
      </c>
      <c r="I7418" s="2" t="s">
        <v>4893</v>
      </c>
    </row>
    <row r="7419" spans="1:9" x14ac:dyDescent="0.2">
      <c r="A7419" s="2" t="s">
        <v>3250</v>
      </c>
      <c r="B7419" s="2" t="s">
        <v>90</v>
      </c>
      <c r="C7419" s="2">
        <v>717.28060000000005</v>
      </c>
      <c r="D7419" s="2">
        <f>HYPERLINK("http://mcb-m6.bioreg.kyushu-u.ac.jp/M3/20110404/F50755/1832/1", 45.53)</f>
        <v>45.53</v>
      </c>
      <c r="E7419" s="2">
        <v>9.2899999999999991</v>
      </c>
      <c r="F7419" s="2">
        <v>2</v>
      </c>
      <c r="G7419" s="2" t="s">
        <v>9</v>
      </c>
    </row>
    <row r="7420" spans="1:9" x14ac:dyDescent="0.2">
      <c r="A7420" s="2" t="s">
        <v>3250</v>
      </c>
      <c r="B7420" s="2" t="s">
        <v>467</v>
      </c>
      <c r="C7420" s="2">
        <v>691.63760000000002</v>
      </c>
      <c r="D7420" s="2">
        <f>HYPERLINK("http://mcb-m6.bioreg.kyushu-u.ac.jp/M3/20110404/F50767/1448/1", 45.56)</f>
        <v>45.56</v>
      </c>
      <c r="E7420" s="2">
        <v>21.3</v>
      </c>
      <c r="F7420" s="2">
        <v>2</v>
      </c>
      <c r="G7420" s="2" t="s">
        <v>9</v>
      </c>
    </row>
    <row r="7421" spans="1:9" x14ac:dyDescent="0.2">
      <c r="A7421" s="2" t="s">
        <v>3250</v>
      </c>
      <c r="B7421" s="2" t="s">
        <v>175</v>
      </c>
      <c r="C7421" s="2">
        <v>523.10249999999996</v>
      </c>
      <c r="D7421" s="2">
        <f>HYPERLINK("http://mcb-m6.bioreg.kyushu-u.ac.jp/M3/20110404/F50766/1831/1", 45.57)</f>
        <v>45.57</v>
      </c>
      <c r="E7421" s="2">
        <v>25.35</v>
      </c>
      <c r="F7421" s="2">
        <v>3</v>
      </c>
      <c r="G7421" s="2" t="s">
        <v>9</v>
      </c>
      <c r="I7421" s="2" t="s">
        <v>4893</v>
      </c>
    </row>
    <row r="7422" spans="1:9" x14ac:dyDescent="0.2">
      <c r="A7422" s="2" t="s">
        <v>3250</v>
      </c>
      <c r="B7422" s="2" t="s">
        <v>467</v>
      </c>
      <c r="C7422" s="2">
        <v>692.2441</v>
      </c>
      <c r="D7422" s="2">
        <f>HYPERLINK("http://mcb-m6.bioreg.kyushu-u.ac.jp/M3/20110404/F50764/1647/1", 45.61)</f>
        <v>45.61</v>
      </c>
      <c r="E7422" s="2">
        <v>26.32</v>
      </c>
      <c r="F7422" s="2">
        <v>2</v>
      </c>
      <c r="G7422" s="2" t="s">
        <v>9</v>
      </c>
    </row>
    <row r="7423" spans="1:9" x14ac:dyDescent="0.2">
      <c r="A7423" s="2" t="s">
        <v>3250</v>
      </c>
      <c r="B7423" s="2" t="s">
        <v>102</v>
      </c>
      <c r="C7423" s="2">
        <v>1215.5550000000001</v>
      </c>
      <c r="D7423" s="2">
        <f>HYPERLINK("http://mcb-m6.bioreg.kyushu-u.ac.jp/M3/20110404/F50764/1336/1", 45.79)</f>
        <v>45.79</v>
      </c>
      <c r="E7423" s="2">
        <v>29.56</v>
      </c>
      <c r="F7423" s="2">
        <v>1</v>
      </c>
      <c r="G7423" s="2" t="s">
        <v>9</v>
      </c>
    </row>
    <row r="7424" spans="1:9" x14ac:dyDescent="0.2">
      <c r="A7424" s="2" t="s">
        <v>3250</v>
      </c>
      <c r="B7424" s="2" t="s">
        <v>102</v>
      </c>
      <c r="C7424" s="2">
        <v>1215.492</v>
      </c>
      <c r="D7424" s="2">
        <f>HYPERLINK("http://mcb-m6.bioreg.kyushu-u.ac.jp/M3/20110404/F50763/1433/1", 45.89)</f>
        <v>45.89</v>
      </c>
      <c r="E7424" s="2">
        <v>31.31</v>
      </c>
      <c r="F7424" s="2">
        <v>1</v>
      </c>
      <c r="G7424" s="2" t="s">
        <v>9</v>
      </c>
    </row>
    <row r="7425" spans="1:9" x14ac:dyDescent="0.2">
      <c r="A7425" s="2" t="s">
        <v>3250</v>
      </c>
      <c r="B7425" s="2" t="s">
        <v>77</v>
      </c>
      <c r="C7425" s="2">
        <v>1148.4469999999999</v>
      </c>
      <c r="D7425" s="2">
        <f>HYPERLINK("http://mcb-m6.bioreg.kyushu-u.ac.jp/M3/20110404/F50762/1232/1", 45.95)</f>
        <v>45.95</v>
      </c>
      <c r="E7425" s="2">
        <v>25.34</v>
      </c>
      <c r="F7425" s="2">
        <v>1</v>
      </c>
      <c r="G7425" s="2" t="s">
        <v>9</v>
      </c>
    </row>
    <row r="7426" spans="1:9" x14ac:dyDescent="0.2">
      <c r="A7426" s="2" t="s">
        <v>3250</v>
      </c>
      <c r="B7426" s="2" t="s">
        <v>398</v>
      </c>
      <c r="C7426" s="2">
        <v>640.33870000000002</v>
      </c>
      <c r="D7426" s="2">
        <f>HYPERLINK("http://mcb-m6.bioreg.kyushu-u.ac.jp/M3/20110404/F50762/1458/1", 46)</f>
        <v>46</v>
      </c>
      <c r="E7426" s="2">
        <v>27.07</v>
      </c>
      <c r="F7426" s="2">
        <v>2</v>
      </c>
      <c r="G7426" s="2" t="s">
        <v>9</v>
      </c>
    </row>
    <row r="7427" spans="1:9" x14ac:dyDescent="0.2">
      <c r="A7427" s="2" t="s">
        <v>3250</v>
      </c>
      <c r="B7427" s="2" t="s">
        <v>102</v>
      </c>
      <c r="C7427" s="2">
        <v>616.06769999999995</v>
      </c>
      <c r="D7427" s="2">
        <f>HYPERLINK("http://mcb-m6.bioreg.kyushu-u.ac.jp/M3/20110404/F50753/1564/1", 46.19)</f>
        <v>46.19</v>
      </c>
      <c r="E7427" s="2">
        <v>26.33</v>
      </c>
      <c r="F7427" s="2">
        <v>2</v>
      </c>
      <c r="G7427" s="2" t="s">
        <v>9</v>
      </c>
      <c r="H7427" s="2" t="s">
        <v>4900</v>
      </c>
    </row>
    <row r="7428" spans="1:9" x14ac:dyDescent="0.2">
      <c r="A7428" s="2" t="s">
        <v>3250</v>
      </c>
      <c r="B7428" s="2" t="s">
        <v>102</v>
      </c>
      <c r="C7428" s="2">
        <v>1215.635</v>
      </c>
      <c r="D7428" s="2">
        <f>HYPERLINK("http://mcb-m6.bioreg.kyushu-u.ac.jp/M3/20110404/F50778/1203/1", 46.21)</f>
        <v>46.21</v>
      </c>
      <c r="E7428" s="2">
        <v>30.63</v>
      </c>
      <c r="F7428" s="2">
        <v>1</v>
      </c>
      <c r="G7428" s="2" t="s">
        <v>9</v>
      </c>
    </row>
    <row r="7429" spans="1:9" x14ac:dyDescent="0.2">
      <c r="A7429" s="2" t="s">
        <v>3250</v>
      </c>
      <c r="B7429" s="2" t="s">
        <v>617</v>
      </c>
      <c r="C7429" s="2">
        <v>686.30219999999997</v>
      </c>
      <c r="D7429" s="2">
        <f>HYPERLINK("http://mcb-m6.bioreg.kyushu-u.ac.jp/M3/20110404/F50767/1408/1", 46.21)</f>
        <v>46.21</v>
      </c>
      <c r="E7429" s="2">
        <v>24.97</v>
      </c>
      <c r="F7429" s="2">
        <v>2</v>
      </c>
      <c r="G7429" s="2" t="s">
        <v>9</v>
      </c>
    </row>
    <row r="7430" spans="1:9" x14ac:dyDescent="0.2">
      <c r="A7430" s="2" t="s">
        <v>3250</v>
      </c>
      <c r="B7430" s="2" t="s">
        <v>356</v>
      </c>
      <c r="C7430" s="2">
        <v>816.23360000000002</v>
      </c>
      <c r="D7430" s="2">
        <f>HYPERLINK("http://mcb-m6.bioreg.kyushu-u.ac.jp/M3/20110404/F50755/2308/1", 46.35)</f>
        <v>46.35</v>
      </c>
      <c r="E7430" s="2">
        <v>33.86</v>
      </c>
      <c r="F7430" s="2">
        <v>2</v>
      </c>
      <c r="G7430" s="2" t="s">
        <v>9</v>
      </c>
    </row>
    <row r="7431" spans="1:9" x14ac:dyDescent="0.2">
      <c r="A7431" s="2" t="s">
        <v>3250</v>
      </c>
      <c r="B7431" s="2" t="s">
        <v>365</v>
      </c>
      <c r="C7431" s="2">
        <v>848.5702</v>
      </c>
      <c r="D7431" s="2">
        <f>HYPERLINK("http://mcb-m6.bioreg.kyushu-u.ac.jp/M3/20110404/F50756/2445/1", 46.38)</f>
        <v>46.38</v>
      </c>
      <c r="E7431" s="2">
        <v>30.15</v>
      </c>
      <c r="F7431" s="2">
        <v>2</v>
      </c>
      <c r="G7431" s="2" t="s">
        <v>9</v>
      </c>
    </row>
    <row r="7432" spans="1:9" x14ac:dyDescent="0.2">
      <c r="A7432" s="2" t="s">
        <v>3250</v>
      </c>
      <c r="B7432" s="2" t="s">
        <v>90</v>
      </c>
      <c r="C7432" s="2">
        <v>716.81209999999999</v>
      </c>
      <c r="D7432" s="2">
        <f>HYPERLINK("http://mcb-m6.bioreg.kyushu-u.ac.jp/M3/20110404/F50779/1627/1", 46.39)</f>
        <v>46.39</v>
      </c>
      <c r="E7432" s="2">
        <v>3.56</v>
      </c>
      <c r="F7432" s="2">
        <v>2</v>
      </c>
      <c r="G7432" s="2" t="s">
        <v>9</v>
      </c>
    </row>
    <row r="7433" spans="1:9" x14ac:dyDescent="0.2">
      <c r="A7433" s="2" t="s">
        <v>3250</v>
      </c>
      <c r="B7433" s="2" t="s">
        <v>90</v>
      </c>
      <c r="C7433" s="2">
        <v>717.3202</v>
      </c>
      <c r="D7433" s="2">
        <f>HYPERLINK("http://mcb-m6.bioreg.kyushu-u.ac.jp/M3/20110404/F50763/1857/1", 46.45)</f>
        <v>46.45</v>
      </c>
      <c r="E7433" s="2">
        <v>18.079999999999998</v>
      </c>
      <c r="F7433" s="2">
        <v>2</v>
      </c>
      <c r="G7433" s="2" t="s">
        <v>9</v>
      </c>
    </row>
    <row r="7434" spans="1:9" x14ac:dyDescent="0.2">
      <c r="A7434" s="2" t="s">
        <v>3250</v>
      </c>
      <c r="B7434" s="2" t="s">
        <v>617</v>
      </c>
      <c r="C7434" s="2">
        <v>686.41920000000005</v>
      </c>
      <c r="D7434" s="2">
        <f>HYPERLINK("http://mcb-m6.bioreg.kyushu-u.ac.jp/M3/20110404/F50778/1535/1", 46.47)</f>
        <v>46.47</v>
      </c>
      <c r="E7434" s="2">
        <v>31.28</v>
      </c>
      <c r="F7434" s="2">
        <v>2</v>
      </c>
      <c r="G7434" s="2" t="s">
        <v>9</v>
      </c>
    </row>
    <row r="7435" spans="1:9" x14ac:dyDescent="0.2">
      <c r="A7435" s="2" t="s">
        <v>3250</v>
      </c>
      <c r="B7435" s="2" t="s">
        <v>311</v>
      </c>
      <c r="C7435" s="2">
        <v>1212.473</v>
      </c>
      <c r="D7435" s="2">
        <f>HYPERLINK("http://mcb-m6.bioreg.kyushu-u.ac.jp/M3/20110404/F50767/1089/1", 46.63)</f>
        <v>46.63</v>
      </c>
      <c r="E7435" s="2">
        <v>29.66</v>
      </c>
      <c r="F7435" s="2">
        <v>1</v>
      </c>
      <c r="G7435" s="2" t="s">
        <v>9</v>
      </c>
      <c r="H7435" s="2" t="s">
        <v>4908</v>
      </c>
    </row>
    <row r="7436" spans="1:9" x14ac:dyDescent="0.2">
      <c r="A7436" s="2" t="s">
        <v>3250</v>
      </c>
      <c r="B7436" s="2" t="s">
        <v>102</v>
      </c>
      <c r="C7436" s="2">
        <v>1232.6949999999999</v>
      </c>
      <c r="D7436" s="2">
        <f>HYPERLINK("http://mcb-m6.bioreg.kyushu-u.ac.jp/M3/20110404/F50776/1395/1", 46.68)</f>
        <v>46.68</v>
      </c>
      <c r="E7436" s="2">
        <v>26.35</v>
      </c>
      <c r="F7436" s="2">
        <v>1</v>
      </c>
      <c r="G7436" s="2" t="s">
        <v>9</v>
      </c>
      <c r="H7436" s="2" t="s">
        <v>4900</v>
      </c>
    </row>
    <row r="7437" spans="1:9" x14ac:dyDescent="0.2">
      <c r="A7437" s="2" t="s">
        <v>3250</v>
      </c>
      <c r="B7437" s="2" t="s">
        <v>1065</v>
      </c>
      <c r="C7437" s="2">
        <v>716.82669999999996</v>
      </c>
      <c r="D7437" s="2">
        <f>HYPERLINK("http://mcb-m6.bioreg.kyushu-u.ac.jp/M3/20110404/F50779/1631/1", 46.7)</f>
        <v>46.7</v>
      </c>
      <c r="E7437" s="2">
        <v>14.29</v>
      </c>
      <c r="F7437" s="2">
        <v>2</v>
      </c>
      <c r="G7437" s="2" t="s">
        <v>9</v>
      </c>
      <c r="I7437" s="2" t="s">
        <v>4892</v>
      </c>
    </row>
    <row r="7438" spans="1:9" x14ac:dyDescent="0.2">
      <c r="A7438" s="2" t="s">
        <v>3250</v>
      </c>
      <c r="B7438" s="2" t="s">
        <v>543</v>
      </c>
      <c r="C7438" s="2">
        <v>927.18960000000004</v>
      </c>
      <c r="D7438" s="2">
        <f>HYPERLINK("http://mcb-m6.bioreg.kyushu-u.ac.jp/M3/20110404/F50756/2824/1", 46.74)</f>
        <v>46.74</v>
      </c>
      <c r="E7438" s="2">
        <v>34.979999999999997</v>
      </c>
      <c r="F7438" s="2">
        <v>2</v>
      </c>
      <c r="G7438" s="2" t="s">
        <v>9</v>
      </c>
    </row>
    <row r="7439" spans="1:9" x14ac:dyDescent="0.2">
      <c r="A7439" s="2" t="s">
        <v>3250</v>
      </c>
      <c r="B7439" s="2" t="s">
        <v>311</v>
      </c>
      <c r="C7439" s="2">
        <v>1196.2719999999999</v>
      </c>
      <c r="D7439" s="2">
        <f>HYPERLINK("http://mcb-m6.bioreg.kyushu-u.ac.jp/M3/20110404/F50766/860/1", 46.76)</f>
        <v>46.76</v>
      </c>
      <c r="E7439" s="2">
        <v>30.35</v>
      </c>
      <c r="F7439" s="2">
        <v>1</v>
      </c>
      <c r="G7439" s="2" t="s">
        <v>9</v>
      </c>
    </row>
    <row r="7440" spans="1:9" x14ac:dyDescent="0.2">
      <c r="A7440" s="2" t="s">
        <v>3250</v>
      </c>
      <c r="B7440" s="2" t="s">
        <v>102</v>
      </c>
      <c r="C7440" s="2">
        <v>1232.421</v>
      </c>
      <c r="D7440" s="2">
        <f>HYPERLINK("http://mcb-m6.bioreg.kyushu-u.ac.jp/M3/20110404/F50762/1398/1", 46.77)</f>
        <v>46.77</v>
      </c>
      <c r="E7440" s="2">
        <v>31.2</v>
      </c>
      <c r="F7440" s="2">
        <v>1</v>
      </c>
      <c r="G7440" s="2" t="s">
        <v>9</v>
      </c>
      <c r="H7440" s="2" t="s">
        <v>4900</v>
      </c>
    </row>
    <row r="7441" spans="1:9" x14ac:dyDescent="0.2">
      <c r="A7441" s="2" t="s">
        <v>3250</v>
      </c>
      <c r="B7441" s="2" t="s">
        <v>772</v>
      </c>
      <c r="C7441" s="2">
        <v>1190.645</v>
      </c>
      <c r="D7441" s="2">
        <f>HYPERLINK("http://mcb-m6.bioreg.kyushu-u.ac.jp/M3/20110404/F50777/1303/1", 46.82)</f>
        <v>46.82</v>
      </c>
      <c r="E7441" s="2">
        <v>22.73</v>
      </c>
      <c r="F7441" s="2">
        <v>1</v>
      </c>
      <c r="G7441" s="2" t="s">
        <v>9</v>
      </c>
    </row>
    <row r="7442" spans="1:9" x14ac:dyDescent="0.2">
      <c r="A7442" s="2" t="s">
        <v>3250</v>
      </c>
      <c r="B7442" s="2" t="s">
        <v>5991</v>
      </c>
      <c r="C7442" s="2">
        <v>971.90179999999998</v>
      </c>
      <c r="D7442" s="2">
        <f>HYPERLINK("http://mcb-m6.bioreg.kyushu-u.ac.jp/M3/20110404/F50779/3844/1", 46.84)</f>
        <v>46.84</v>
      </c>
      <c r="E7442" s="2">
        <v>36.56</v>
      </c>
      <c r="F7442" s="2">
        <v>3</v>
      </c>
      <c r="G7442" s="2" t="s">
        <v>9</v>
      </c>
      <c r="I7442" s="2" t="s">
        <v>4895</v>
      </c>
    </row>
    <row r="7443" spans="1:9" x14ac:dyDescent="0.2">
      <c r="A7443" s="2" t="s">
        <v>3250</v>
      </c>
      <c r="B7443" s="2" t="s">
        <v>561</v>
      </c>
      <c r="C7443" s="2">
        <v>654.49959999999999</v>
      </c>
      <c r="D7443" s="2">
        <f>HYPERLINK("http://mcb-m6.bioreg.kyushu-u.ac.jp/M3/20110404/F50778/1396/1", 47.22)</f>
        <v>47.22</v>
      </c>
      <c r="E7443" s="2">
        <v>31.3</v>
      </c>
      <c r="F7443" s="2">
        <v>2</v>
      </c>
      <c r="G7443" s="2" t="s">
        <v>9</v>
      </c>
    </row>
    <row r="7444" spans="1:9" x14ac:dyDescent="0.2">
      <c r="A7444" s="2" t="s">
        <v>3250</v>
      </c>
      <c r="B7444" s="2" t="s">
        <v>5991</v>
      </c>
      <c r="C7444" s="2">
        <v>972.07510000000002</v>
      </c>
      <c r="D7444" s="2">
        <f>HYPERLINK("http://mcb-m6.bioreg.kyushu-u.ac.jp/M3/20110404/F50767/3952/1", 47.42)</f>
        <v>47.42</v>
      </c>
      <c r="E7444" s="2">
        <v>39.630000000000003</v>
      </c>
      <c r="F7444" s="2">
        <v>3</v>
      </c>
      <c r="G7444" s="2" t="s">
        <v>9</v>
      </c>
      <c r="I7444" s="2" t="s">
        <v>4895</v>
      </c>
    </row>
    <row r="7445" spans="1:9" x14ac:dyDescent="0.2">
      <c r="A7445" s="2" t="s">
        <v>3250</v>
      </c>
      <c r="B7445" s="2" t="s">
        <v>90</v>
      </c>
      <c r="C7445" s="2">
        <v>716.88070000000005</v>
      </c>
      <c r="D7445" s="2">
        <f>HYPERLINK("http://mcb-m6.bioreg.kyushu-u.ac.jp/M3/20110404/F50752/2034/1", 47.44)</f>
        <v>47.44</v>
      </c>
      <c r="E7445" s="2">
        <v>34.9</v>
      </c>
      <c r="F7445" s="2">
        <v>2</v>
      </c>
      <c r="G7445" s="2" t="s">
        <v>9</v>
      </c>
    </row>
    <row r="7446" spans="1:9" x14ac:dyDescent="0.2">
      <c r="A7446" s="2" t="s">
        <v>3250</v>
      </c>
      <c r="B7446" s="2" t="s">
        <v>772</v>
      </c>
      <c r="C7446" s="2">
        <v>1191.633</v>
      </c>
      <c r="D7446" s="2">
        <f>HYPERLINK("http://mcb-m6.bioreg.kyushu-u.ac.jp/M3/20110404/F50776/1303/1", 47.49)</f>
        <v>47.49</v>
      </c>
      <c r="E7446" s="2">
        <v>22.2</v>
      </c>
      <c r="F7446" s="2">
        <v>1</v>
      </c>
      <c r="G7446" s="2" t="s">
        <v>9</v>
      </c>
    </row>
    <row r="7447" spans="1:9" x14ac:dyDescent="0.2">
      <c r="A7447" s="2" t="s">
        <v>3250</v>
      </c>
      <c r="B7447" s="2" t="s">
        <v>102</v>
      </c>
      <c r="C7447" s="2">
        <v>1215.4760000000001</v>
      </c>
      <c r="D7447" s="2">
        <f>HYPERLINK("http://mcb-m6.bioreg.kyushu-u.ac.jp/M3/20110404/F50767/1097/1", 47.64)</f>
        <v>47.64</v>
      </c>
      <c r="E7447" s="2">
        <v>29.74</v>
      </c>
      <c r="F7447" s="2">
        <v>1</v>
      </c>
      <c r="G7447" s="2" t="s">
        <v>9</v>
      </c>
    </row>
    <row r="7448" spans="1:9" x14ac:dyDescent="0.2">
      <c r="A7448" s="2" t="s">
        <v>3250</v>
      </c>
      <c r="B7448" s="2" t="s">
        <v>30</v>
      </c>
      <c r="C7448" s="2">
        <v>643.93719999999996</v>
      </c>
      <c r="D7448" s="2">
        <f>HYPERLINK("http://mcb-m6.bioreg.kyushu-u.ac.jp/M3/20110404/F50778/2866/1", 47.72)</f>
        <v>47.72</v>
      </c>
      <c r="E7448" s="2">
        <v>33.840000000000003</v>
      </c>
      <c r="F7448" s="2">
        <v>3</v>
      </c>
      <c r="G7448" s="2" t="s">
        <v>9</v>
      </c>
      <c r="I7448" s="2" t="s">
        <v>4894</v>
      </c>
    </row>
    <row r="7449" spans="1:9" x14ac:dyDescent="0.2">
      <c r="A7449" s="2" t="s">
        <v>3250</v>
      </c>
      <c r="B7449" s="2" t="s">
        <v>503</v>
      </c>
      <c r="C7449" s="2">
        <v>544.95820000000003</v>
      </c>
      <c r="D7449" s="2">
        <f>HYPERLINK("http://mcb-m6.bioreg.kyushu-u.ac.jp/M3/20110404/F50766/2013/1", 47.81)</f>
        <v>47.81</v>
      </c>
      <c r="E7449" s="2">
        <v>25.5</v>
      </c>
      <c r="F7449" s="2">
        <v>3</v>
      </c>
      <c r="G7449" s="2" t="s">
        <v>9</v>
      </c>
      <c r="H7449" s="2" t="s">
        <v>4907</v>
      </c>
    </row>
    <row r="7450" spans="1:9" x14ac:dyDescent="0.2">
      <c r="A7450" s="2" t="s">
        <v>3250</v>
      </c>
      <c r="B7450" s="2" t="s">
        <v>77</v>
      </c>
      <c r="C7450" s="2">
        <v>1148.316</v>
      </c>
      <c r="D7450" s="2">
        <f>HYPERLINK("http://mcb-m6.bioreg.kyushu-u.ac.jp/M3/20110404/F50753/1411/1", 47.97)</f>
        <v>47.97</v>
      </c>
      <c r="E7450" s="2">
        <v>22.24</v>
      </c>
      <c r="F7450" s="2">
        <v>1</v>
      </c>
      <c r="G7450" s="2" t="s">
        <v>9</v>
      </c>
    </row>
    <row r="7451" spans="1:9" x14ac:dyDescent="0.2">
      <c r="A7451" s="2" t="s">
        <v>3250</v>
      </c>
      <c r="B7451" s="2" t="s">
        <v>1065</v>
      </c>
      <c r="C7451" s="2">
        <v>478.2122</v>
      </c>
      <c r="D7451" s="2">
        <f>HYPERLINK("http://mcb-m6.bioreg.kyushu-u.ac.jp/M3/20110404/F50779/1628/1", 48.09)</f>
        <v>48.09</v>
      </c>
      <c r="E7451" s="2">
        <v>25.66</v>
      </c>
      <c r="F7451" s="2">
        <v>3</v>
      </c>
      <c r="G7451" s="2" t="s">
        <v>9</v>
      </c>
      <c r="I7451" s="2" t="s">
        <v>4892</v>
      </c>
    </row>
    <row r="7452" spans="1:9" x14ac:dyDescent="0.2">
      <c r="A7452" s="2" t="s">
        <v>3250</v>
      </c>
      <c r="B7452" s="2" t="s">
        <v>481</v>
      </c>
      <c r="C7452" s="2">
        <v>1417.4949999999999</v>
      </c>
      <c r="D7452" s="2">
        <f>HYPERLINK("http://mcb-m6.bioreg.kyushu-u.ac.jp/M3/20110404/F50755/1778/1", 48.1)</f>
        <v>48.1</v>
      </c>
      <c r="E7452" s="2">
        <v>34</v>
      </c>
      <c r="F7452" s="2">
        <v>1</v>
      </c>
      <c r="G7452" s="2" t="s">
        <v>9</v>
      </c>
      <c r="I7452" s="2" t="s">
        <v>4898</v>
      </c>
    </row>
    <row r="7453" spans="1:9" x14ac:dyDescent="0.2">
      <c r="A7453" s="2" t="s">
        <v>3250</v>
      </c>
      <c r="B7453" s="2" t="s">
        <v>481</v>
      </c>
      <c r="C7453" s="2">
        <v>1417.4949999999999</v>
      </c>
      <c r="D7453" s="2">
        <f>HYPERLINK("http://mcb-m6.bioreg.kyushu-u.ac.jp/M3/20110404/F50766/1344/1", 48.1)</f>
        <v>48.1</v>
      </c>
      <c r="E7453" s="2">
        <v>38.42</v>
      </c>
      <c r="F7453" s="2">
        <v>1</v>
      </c>
      <c r="G7453" s="2" t="s">
        <v>9</v>
      </c>
      <c r="I7453" s="2" t="s">
        <v>4898</v>
      </c>
    </row>
    <row r="7454" spans="1:9" x14ac:dyDescent="0.2">
      <c r="A7454" s="2" t="s">
        <v>3250</v>
      </c>
      <c r="B7454" s="2" t="s">
        <v>481</v>
      </c>
      <c r="C7454" s="2">
        <v>1417.2819999999999</v>
      </c>
      <c r="D7454" s="2">
        <f>HYPERLINK("http://mcb-m6.bioreg.kyushu-u.ac.jp/M3/20110404/F50754/1993/1", 48.27)</f>
        <v>48.27</v>
      </c>
      <c r="E7454" s="2">
        <v>36.159999999999997</v>
      </c>
      <c r="F7454" s="2">
        <v>1</v>
      </c>
      <c r="G7454" s="2" t="s">
        <v>9</v>
      </c>
      <c r="I7454" s="2" t="s">
        <v>4898</v>
      </c>
    </row>
    <row r="7455" spans="1:9" x14ac:dyDescent="0.2">
      <c r="A7455" s="2" t="s">
        <v>3250</v>
      </c>
      <c r="B7455" s="2" t="s">
        <v>90</v>
      </c>
      <c r="C7455" s="2">
        <v>717.17610000000002</v>
      </c>
      <c r="D7455" s="2">
        <f>HYPERLINK("http://mcb-m6.bioreg.kyushu-u.ac.jp/M3/20110404/F50755/1824/1", 48.33)</f>
        <v>48.33</v>
      </c>
      <c r="E7455" s="2">
        <v>17.940000000000001</v>
      </c>
      <c r="F7455" s="2">
        <v>2</v>
      </c>
      <c r="G7455" s="2" t="s">
        <v>9</v>
      </c>
    </row>
    <row r="7456" spans="1:9" x14ac:dyDescent="0.2">
      <c r="A7456" s="2" t="s">
        <v>3250</v>
      </c>
      <c r="B7456" s="2" t="s">
        <v>175</v>
      </c>
      <c r="C7456" s="2">
        <v>784.71969999999999</v>
      </c>
      <c r="D7456" s="2">
        <f>HYPERLINK("http://mcb-m6.bioreg.kyushu-u.ac.jp/M3/20110404/F50763/2100/1", 48.35)</f>
        <v>48.35</v>
      </c>
      <c r="E7456" s="2">
        <v>36</v>
      </c>
      <c r="F7456" s="2">
        <v>2</v>
      </c>
      <c r="G7456" s="2" t="s">
        <v>9</v>
      </c>
      <c r="I7456" s="2" t="s">
        <v>4893</v>
      </c>
    </row>
    <row r="7457" spans="1:9" x14ac:dyDescent="0.2">
      <c r="A7457" s="2" t="s">
        <v>3250</v>
      </c>
      <c r="B7457" s="2" t="s">
        <v>77</v>
      </c>
      <c r="C7457" s="2">
        <v>1148.3489999999999</v>
      </c>
      <c r="D7457" s="2">
        <f>HYPERLINK("http://mcb-m6.bioreg.kyushu-u.ac.jp/M3/20110404/F50754/1543/1", 48.39)</f>
        <v>48.39</v>
      </c>
      <c r="E7457" s="2">
        <v>31.78</v>
      </c>
      <c r="F7457" s="2">
        <v>1</v>
      </c>
      <c r="G7457" s="2" t="s">
        <v>9</v>
      </c>
    </row>
    <row r="7458" spans="1:9" x14ac:dyDescent="0.2">
      <c r="A7458" s="2" t="s">
        <v>3250</v>
      </c>
      <c r="B7458" s="2" t="s">
        <v>772</v>
      </c>
      <c r="C7458" s="2">
        <v>1190.5450000000001</v>
      </c>
      <c r="D7458" s="2">
        <f>HYPERLINK("http://mcb-m6.bioreg.kyushu-u.ac.jp/M3/20110404/F50765/1224/1", 48.39)</f>
        <v>48.39</v>
      </c>
      <c r="E7458" s="2">
        <v>24.33</v>
      </c>
      <c r="F7458" s="2">
        <v>1</v>
      </c>
      <c r="G7458" s="2" t="s">
        <v>9</v>
      </c>
    </row>
    <row r="7459" spans="1:9" x14ac:dyDescent="0.2">
      <c r="A7459" s="2" t="s">
        <v>3250</v>
      </c>
      <c r="B7459" s="2" t="s">
        <v>467</v>
      </c>
      <c r="C7459" s="2">
        <v>691.89570000000003</v>
      </c>
      <c r="D7459" s="2">
        <f>HYPERLINK("http://mcb-m6.bioreg.kyushu-u.ac.jp/M3/20110404/F50767/1451/1", 48.42)</f>
        <v>48.42</v>
      </c>
      <c r="E7459" s="2">
        <v>25.01</v>
      </c>
      <c r="F7459" s="2">
        <v>2</v>
      </c>
      <c r="G7459" s="2" t="s">
        <v>9</v>
      </c>
    </row>
    <row r="7460" spans="1:9" x14ac:dyDescent="0.2">
      <c r="A7460" s="2" t="s">
        <v>3250</v>
      </c>
      <c r="B7460" s="2" t="s">
        <v>311</v>
      </c>
      <c r="C7460" s="2">
        <v>1212.433</v>
      </c>
      <c r="D7460" s="2">
        <f>HYPERLINK("http://mcb-m6.bioreg.kyushu-u.ac.jp/M3/20110404/F50756/1376/1", 48.44)</f>
        <v>48.44</v>
      </c>
      <c r="E7460" s="2">
        <v>25.79</v>
      </c>
      <c r="F7460" s="2">
        <v>1</v>
      </c>
      <c r="G7460" s="2" t="s">
        <v>9</v>
      </c>
      <c r="H7460" s="2" t="s">
        <v>4908</v>
      </c>
    </row>
    <row r="7461" spans="1:9" x14ac:dyDescent="0.2">
      <c r="A7461" s="2" t="s">
        <v>3250</v>
      </c>
      <c r="B7461" s="2" t="s">
        <v>543</v>
      </c>
      <c r="C7461" s="2">
        <v>926.80470000000003</v>
      </c>
      <c r="D7461" s="2">
        <f>HYPERLINK("http://mcb-m6.bioreg.kyushu-u.ac.jp/M3/20110404/F50779/2591/1", 48.46)</f>
        <v>48.46</v>
      </c>
      <c r="E7461" s="2">
        <v>37.28</v>
      </c>
      <c r="F7461" s="2">
        <v>2</v>
      </c>
      <c r="G7461" s="2" t="s">
        <v>9</v>
      </c>
    </row>
    <row r="7462" spans="1:9" x14ac:dyDescent="0.2">
      <c r="A7462" s="2" t="s">
        <v>3250</v>
      </c>
      <c r="B7462" s="2" t="s">
        <v>77</v>
      </c>
      <c r="C7462" s="2">
        <v>1148.595</v>
      </c>
      <c r="D7462" s="2">
        <f>HYPERLINK("http://mcb-m6.bioreg.kyushu-u.ac.jp/M3/20110404/F50764/1210/1", 48.47)</f>
        <v>48.47</v>
      </c>
      <c r="E7462" s="2">
        <v>20.09</v>
      </c>
      <c r="F7462" s="2">
        <v>1</v>
      </c>
      <c r="G7462" s="2" t="s">
        <v>9</v>
      </c>
    </row>
    <row r="7463" spans="1:9" x14ac:dyDescent="0.2">
      <c r="A7463" s="2" t="s">
        <v>3250</v>
      </c>
      <c r="B7463" s="2" t="s">
        <v>77</v>
      </c>
      <c r="C7463" s="2">
        <v>574.76509999999996</v>
      </c>
      <c r="D7463" s="2">
        <f>HYPERLINK("http://mcb-m6.bioreg.kyushu-u.ac.jp/M3/20110404/F50779/1002/1", 48.55)</f>
        <v>48.55</v>
      </c>
      <c r="E7463" s="2">
        <v>17.52</v>
      </c>
      <c r="F7463" s="2">
        <v>2</v>
      </c>
      <c r="G7463" s="2" t="s">
        <v>9</v>
      </c>
    </row>
    <row r="7464" spans="1:9" x14ac:dyDescent="0.2">
      <c r="A7464" s="2" t="s">
        <v>3250</v>
      </c>
      <c r="B7464" s="2" t="s">
        <v>1888</v>
      </c>
      <c r="C7464" s="2">
        <v>456.74709999999999</v>
      </c>
      <c r="D7464" s="2">
        <f>HYPERLINK("http://mcb-m6.bioreg.kyushu-u.ac.jp/M3/20110404/F50778/647/1", 48.57)</f>
        <v>48.57</v>
      </c>
      <c r="E7464" s="2">
        <v>8.0500000000000007</v>
      </c>
      <c r="F7464" s="2">
        <v>2</v>
      </c>
      <c r="G7464" s="2" t="s">
        <v>9</v>
      </c>
    </row>
    <row r="7465" spans="1:9" x14ac:dyDescent="0.2">
      <c r="A7465" s="2" t="s">
        <v>3250</v>
      </c>
      <c r="B7465" s="2" t="s">
        <v>604</v>
      </c>
      <c r="C7465" s="2">
        <v>520.86220000000003</v>
      </c>
      <c r="D7465" s="2">
        <f>HYPERLINK("http://mcb-m6.bioreg.kyushu-u.ac.jp/M3/20110404/F50778/898/1", 48.65)</f>
        <v>48.65</v>
      </c>
      <c r="E7465" s="2">
        <v>10.41</v>
      </c>
      <c r="F7465" s="2">
        <v>2</v>
      </c>
      <c r="G7465" s="2" t="s">
        <v>9</v>
      </c>
    </row>
    <row r="7466" spans="1:9" x14ac:dyDescent="0.2">
      <c r="A7466" s="2" t="s">
        <v>3250</v>
      </c>
      <c r="B7466" s="2" t="s">
        <v>772</v>
      </c>
      <c r="C7466" s="2">
        <v>1190.675</v>
      </c>
      <c r="D7466" s="2">
        <f>HYPERLINK("http://mcb-m6.bioreg.kyushu-u.ac.jp/M3/20110404/F50778/1147/1", 48.73)</f>
        <v>48.73</v>
      </c>
      <c r="E7466" s="2">
        <v>10.199999999999999</v>
      </c>
      <c r="F7466" s="2">
        <v>1</v>
      </c>
      <c r="G7466" s="2" t="s">
        <v>9</v>
      </c>
    </row>
    <row r="7467" spans="1:9" x14ac:dyDescent="0.2">
      <c r="A7467" s="2" t="s">
        <v>3250</v>
      </c>
      <c r="B7467" s="2" t="s">
        <v>311</v>
      </c>
      <c r="C7467" s="2">
        <v>1196.5450000000001</v>
      </c>
      <c r="D7467" s="2">
        <f>HYPERLINK("http://mcb-m6.bioreg.kyushu-u.ac.jp/M3/20110404/F50762/1312/1", 48.81)</f>
        <v>48.81</v>
      </c>
      <c r="E7467" s="2">
        <v>35.79</v>
      </c>
      <c r="F7467" s="2">
        <v>1</v>
      </c>
      <c r="G7467" s="2" t="s">
        <v>9</v>
      </c>
    </row>
    <row r="7468" spans="1:9" x14ac:dyDescent="0.2">
      <c r="A7468" s="2" t="s">
        <v>3250</v>
      </c>
      <c r="B7468" s="2" t="s">
        <v>503</v>
      </c>
      <c r="C7468" s="2">
        <v>539.61019999999996</v>
      </c>
      <c r="D7468" s="2">
        <f>HYPERLINK("http://mcb-m6.bioreg.kyushu-u.ac.jp/M3/20110404/F50779/2073/1", 48.9)</f>
        <v>48.9</v>
      </c>
      <c r="E7468" s="2">
        <v>32.369999999999997</v>
      </c>
      <c r="F7468" s="2">
        <v>3</v>
      </c>
      <c r="G7468" s="2" t="s">
        <v>9</v>
      </c>
    </row>
    <row r="7469" spans="1:9" x14ac:dyDescent="0.2">
      <c r="A7469" s="2" t="s">
        <v>3250</v>
      </c>
      <c r="B7469" s="2" t="s">
        <v>561</v>
      </c>
      <c r="C7469" s="2">
        <v>1324.4459999999999</v>
      </c>
      <c r="D7469" s="2">
        <f>HYPERLINK("http://mcb-m6.bioreg.kyushu-u.ac.jp/M3/20110404/F50755/1584/1", 48.96)</f>
        <v>48.96</v>
      </c>
      <c r="E7469" s="2">
        <v>33.06</v>
      </c>
      <c r="F7469" s="2">
        <v>1</v>
      </c>
      <c r="G7469" s="2" t="s">
        <v>9</v>
      </c>
      <c r="H7469" s="2" t="s">
        <v>4919</v>
      </c>
    </row>
    <row r="7470" spans="1:9" x14ac:dyDescent="0.2">
      <c r="A7470" s="2" t="s">
        <v>3250</v>
      </c>
      <c r="B7470" s="2" t="s">
        <v>311</v>
      </c>
      <c r="C7470" s="2">
        <v>1196.415</v>
      </c>
      <c r="D7470" s="2">
        <f>HYPERLINK("http://mcb-m6.bioreg.kyushu-u.ac.jp/M3/20110404/F50763/1400/1", 49.01)</f>
        <v>49.01</v>
      </c>
      <c r="E7470" s="2">
        <v>35.15</v>
      </c>
      <c r="F7470" s="2">
        <v>1</v>
      </c>
      <c r="G7470" s="2" t="s">
        <v>9</v>
      </c>
    </row>
    <row r="7471" spans="1:9" x14ac:dyDescent="0.2">
      <c r="A7471" s="2" t="s">
        <v>3250</v>
      </c>
      <c r="B7471" s="2" t="s">
        <v>311</v>
      </c>
      <c r="C7471" s="2">
        <v>1196.402</v>
      </c>
      <c r="D7471" s="2">
        <f>HYPERLINK("http://mcb-m6.bioreg.kyushu-u.ac.jp/M3/20110404/F50765/1236/1", 49.02)</f>
        <v>49.02</v>
      </c>
      <c r="E7471" s="2">
        <v>35.5</v>
      </c>
      <c r="F7471" s="2">
        <v>1</v>
      </c>
      <c r="G7471" s="2" t="s">
        <v>9</v>
      </c>
    </row>
    <row r="7472" spans="1:9" x14ac:dyDescent="0.2">
      <c r="A7472" s="2" t="s">
        <v>3250</v>
      </c>
      <c r="B7472" s="2" t="s">
        <v>1065</v>
      </c>
      <c r="C7472" s="2">
        <v>716.90920000000006</v>
      </c>
      <c r="D7472" s="2">
        <f>HYPERLINK("http://mcb-m6.bioreg.kyushu-u.ac.jp/M3/20110404/F50779/1634/1", 49.07)</f>
        <v>49.07</v>
      </c>
      <c r="E7472" s="2">
        <v>34.19</v>
      </c>
      <c r="F7472" s="2">
        <v>2</v>
      </c>
      <c r="G7472" s="2" t="s">
        <v>9</v>
      </c>
      <c r="I7472" s="2" t="s">
        <v>4892</v>
      </c>
    </row>
    <row r="7473" spans="1:8" x14ac:dyDescent="0.2">
      <c r="A7473" s="2" t="s">
        <v>3250</v>
      </c>
      <c r="B7473" s="2" t="s">
        <v>6027</v>
      </c>
      <c r="C7473" s="2">
        <v>711.94169999999997</v>
      </c>
      <c r="D7473" s="2">
        <f>HYPERLINK("http://mcb-m6.bioreg.kyushu-u.ac.jp/M3/20110404/F50779/1582/1", 49.11)</f>
        <v>49.11</v>
      </c>
      <c r="E7473" s="2">
        <v>25.67</v>
      </c>
      <c r="F7473" s="2">
        <v>2</v>
      </c>
      <c r="G7473" s="2" t="s">
        <v>9</v>
      </c>
    </row>
    <row r="7474" spans="1:8" x14ac:dyDescent="0.2">
      <c r="A7474" s="2" t="s">
        <v>3250</v>
      </c>
      <c r="B7474" s="2" t="s">
        <v>356</v>
      </c>
      <c r="C7474" s="2">
        <v>815.85519999999997</v>
      </c>
      <c r="D7474" s="2">
        <f>HYPERLINK("http://mcb-m6.bioreg.kyushu-u.ac.jp/M3/20110404/F50777/2230/1", 49.19)</f>
        <v>49.19</v>
      </c>
      <c r="E7474" s="2">
        <v>35.35</v>
      </c>
      <c r="F7474" s="2">
        <v>2</v>
      </c>
      <c r="G7474" s="2" t="s">
        <v>9</v>
      </c>
    </row>
    <row r="7475" spans="1:8" x14ac:dyDescent="0.2">
      <c r="A7475" s="2" t="s">
        <v>3250</v>
      </c>
      <c r="B7475" s="2" t="s">
        <v>604</v>
      </c>
      <c r="C7475" s="2">
        <v>520.8297</v>
      </c>
      <c r="D7475" s="2">
        <f>HYPERLINK("http://mcb-m6.bioreg.kyushu-u.ac.jp/M3/20110404/F50778/897/1", 49.32)</f>
        <v>49.32</v>
      </c>
      <c r="E7475" s="2">
        <v>3.32</v>
      </c>
      <c r="F7475" s="2">
        <v>2</v>
      </c>
      <c r="G7475" s="2" t="s">
        <v>9</v>
      </c>
    </row>
    <row r="7476" spans="1:8" x14ac:dyDescent="0.2">
      <c r="A7476" s="2" t="s">
        <v>3250</v>
      </c>
      <c r="B7476" s="2" t="s">
        <v>604</v>
      </c>
      <c r="C7476" s="2">
        <v>520.77760000000001</v>
      </c>
      <c r="D7476" s="2">
        <f>HYPERLINK("http://mcb-m6.bioreg.kyushu-u.ac.jp/M3/20110404/F50756/1075/1", 49.38)</f>
        <v>49.38</v>
      </c>
      <c r="E7476" s="2">
        <v>11.07</v>
      </c>
      <c r="F7476" s="2">
        <v>2</v>
      </c>
      <c r="G7476" s="2" t="s">
        <v>9</v>
      </c>
    </row>
    <row r="7477" spans="1:8" x14ac:dyDescent="0.2">
      <c r="A7477" s="2" t="s">
        <v>3250</v>
      </c>
      <c r="B7477" s="2" t="s">
        <v>102</v>
      </c>
      <c r="C7477" s="2">
        <v>616.10059999999999</v>
      </c>
      <c r="D7477" s="2">
        <f>HYPERLINK("http://mcb-m6.bioreg.kyushu-u.ac.jp/M3/20110404/F50766/938/1", 49.41)</f>
        <v>49.41</v>
      </c>
      <c r="E7477" s="2">
        <v>30.27</v>
      </c>
      <c r="F7477" s="2">
        <v>2</v>
      </c>
      <c r="G7477" s="2" t="s">
        <v>9</v>
      </c>
      <c r="H7477" s="2" t="s">
        <v>4900</v>
      </c>
    </row>
    <row r="7478" spans="1:8" x14ac:dyDescent="0.2">
      <c r="A7478" s="2" t="s">
        <v>3250</v>
      </c>
      <c r="B7478" s="2" t="s">
        <v>90</v>
      </c>
      <c r="C7478" s="2">
        <v>716.81709999999998</v>
      </c>
      <c r="D7478" s="2">
        <f>HYPERLINK("http://mcb-m6.bioreg.kyushu-u.ac.jp/M3/20110404/F50767/1597/1", 49.43)</f>
        <v>49.43</v>
      </c>
      <c r="E7478" s="2">
        <v>22.75</v>
      </c>
      <c r="F7478" s="2">
        <v>2</v>
      </c>
      <c r="G7478" s="2" t="s">
        <v>9</v>
      </c>
    </row>
    <row r="7479" spans="1:8" x14ac:dyDescent="0.2">
      <c r="A7479" s="2" t="s">
        <v>3250</v>
      </c>
      <c r="B7479" s="2" t="s">
        <v>102</v>
      </c>
      <c r="C7479" s="2">
        <v>608.15470000000005</v>
      </c>
      <c r="D7479" s="2">
        <f>HYPERLINK("http://mcb-m6.bioreg.kyushu-u.ac.jp/M3/20110404/F50776/1352/1", 49.55)</f>
        <v>49.55</v>
      </c>
      <c r="E7479" s="2">
        <v>34.6</v>
      </c>
      <c r="F7479" s="2">
        <v>2</v>
      </c>
      <c r="G7479" s="2" t="s">
        <v>9</v>
      </c>
    </row>
    <row r="7480" spans="1:8" x14ac:dyDescent="0.2">
      <c r="A7480" s="2" t="s">
        <v>3250</v>
      </c>
      <c r="B7480" s="2" t="s">
        <v>772</v>
      </c>
      <c r="C7480" s="2">
        <v>595.71469999999999</v>
      </c>
      <c r="D7480" s="2">
        <f>HYPERLINK("http://mcb-m6.bioreg.kyushu-u.ac.jp/M3/20110404/F50778/1144/1", 49.56)</f>
        <v>49.56</v>
      </c>
      <c r="E7480" s="2">
        <v>34.69</v>
      </c>
      <c r="F7480" s="2">
        <v>2</v>
      </c>
      <c r="G7480" s="2" t="s">
        <v>9</v>
      </c>
    </row>
    <row r="7481" spans="1:8" x14ac:dyDescent="0.2">
      <c r="A7481" s="2" t="s">
        <v>3250</v>
      </c>
      <c r="B7481" s="2" t="s">
        <v>6027</v>
      </c>
      <c r="C7481" s="2">
        <v>474.96749999999997</v>
      </c>
      <c r="D7481" s="2">
        <f>HYPERLINK("http://mcb-m6.bioreg.kyushu-u.ac.jp/M3/20110404/F50779/1583/1", 49.64)</f>
        <v>49.64</v>
      </c>
      <c r="E7481" s="2">
        <v>24.17</v>
      </c>
      <c r="F7481" s="2">
        <v>3</v>
      </c>
      <c r="G7481" s="2" t="s">
        <v>9</v>
      </c>
    </row>
    <row r="7482" spans="1:8" x14ac:dyDescent="0.2">
      <c r="A7482" s="2" t="s">
        <v>3250</v>
      </c>
      <c r="B7482" s="2" t="s">
        <v>561</v>
      </c>
      <c r="C7482" s="2">
        <v>1307.548</v>
      </c>
      <c r="D7482" s="2">
        <f>HYPERLINK("http://mcb-m6.bioreg.kyushu-u.ac.jp/M3/20110404/F50779/1326/1", 49.76)</f>
        <v>49.76</v>
      </c>
      <c r="E7482" s="2">
        <v>31.89</v>
      </c>
      <c r="F7482" s="2">
        <v>1</v>
      </c>
      <c r="G7482" s="2" t="s">
        <v>9</v>
      </c>
    </row>
    <row r="7483" spans="1:8" x14ac:dyDescent="0.2">
      <c r="A7483" s="2" t="s">
        <v>3250</v>
      </c>
      <c r="B7483" s="2" t="s">
        <v>617</v>
      </c>
      <c r="C7483" s="2">
        <v>686.89120000000003</v>
      </c>
      <c r="D7483" s="2">
        <f>HYPERLINK("http://mcb-m6.bioreg.kyushu-u.ac.jp/M3/20110404/F50779/1438/1", 49.77)</f>
        <v>49.77</v>
      </c>
      <c r="E7483" s="2">
        <v>30.96</v>
      </c>
      <c r="F7483" s="2">
        <v>2</v>
      </c>
      <c r="G7483" s="2" t="s">
        <v>9</v>
      </c>
    </row>
    <row r="7484" spans="1:8" x14ac:dyDescent="0.2">
      <c r="A7484" s="2" t="s">
        <v>3250</v>
      </c>
      <c r="B7484" s="2" t="s">
        <v>90</v>
      </c>
      <c r="C7484" s="2">
        <v>716.6232</v>
      </c>
      <c r="D7484" s="2">
        <f>HYPERLINK("http://mcb-m6.bioreg.kyushu-u.ac.jp/M3/20110404/F50753/1912/1", 49.79)</f>
        <v>49.79</v>
      </c>
      <c r="E7484" s="2">
        <v>13.02</v>
      </c>
      <c r="F7484" s="2">
        <v>2</v>
      </c>
      <c r="G7484" s="2" t="s">
        <v>9</v>
      </c>
    </row>
    <row r="7485" spans="1:8" x14ac:dyDescent="0.2">
      <c r="A7485" s="2" t="s">
        <v>3250</v>
      </c>
      <c r="B7485" s="2" t="s">
        <v>77</v>
      </c>
      <c r="C7485" s="2">
        <v>1148.6420000000001</v>
      </c>
      <c r="D7485" s="2">
        <f>HYPERLINK("http://mcb-m6.bioreg.kyushu-u.ac.jp/M3/20110404/F50778/1069/1", 50)</f>
        <v>50</v>
      </c>
      <c r="E7485" s="2">
        <v>29.67</v>
      </c>
      <c r="F7485" s="2">
        <v>1</v>
      </c>
      <c r="G7485" s="2" t="s">
        <v>9</v>
      </c>
    </row>
    <row r="7486" spans="1:8" x14ac:dyDescent="0.2">
      <c r="A7486" s="2" t="s">
        <v>3250</v>
      </c>
      <c r="B7486" s="2" t="s">
        <v>503</v>
      </c>
      <c r="C7486" s="2">
        <v>808.76969999999994</v>
      </c>
      <c r="D7486" s="2">
        <f>HYPERLINK("http://mcb-m6.bioreg.kyushu-u.ac.jp/M3/20110404/F50778/2170/1", 50.03)</f>
        <v>50.03</v>
      </c>
      <c r="E7486" s="2">
        <v>33.130000000000003</v>
      </c>
      <c r="F7486" s="2">
        <v>2</v>
      </c>
      <c r="G7486" s="2" t="s">
        <v>9</v>
      </c>
    </row>
    <row r="7487" spans="1:8" x14ac:dyDescent="0.2">
      <c r="A7487" s="2" t="s">
        <v>3250</v>
      </c>
      <c r="B7487" s="2" t="s">
        <v>102</v>
      </c>
      <c r="C7487" s="2">
        <v>1231.4849999999999</v>
      </c>
      <c r="D7487" s="2">
        <f>HYPERLINK("http://mcb-m6.bioreg.kyushu-u.ac.jp/M3/20110404/F50764/1381/1", 50.05)</f>
        <v>50.05</v>
      </c>
      <c r="E7487" s="2">
        <v>27.79</v>
      </c>
      <c r="F7487" s="2">
        <v>1</v>
      </c>
      <c r="G7487" s="2" t="s">
        <v>9</v>
      </c>
      <c r="H7487" s="2" t="s">
        <v>4900</v>
      </c>
    </row>
    <row r="7488" spans="1:8" x14ac:dyDescent="0.2">
      <c r="A7488" s="2" t="s">
        <v>3250</v>
      </c>
      <c r="B7488" s="2" t="s">
        <v>604</v>
      </c>
      <c r="C7488" s="2">
        <v>520.89760000000001</v>
      </c>
      <c r="D7488" s="2">
        <f>HYPERLINK("http://mcb-m6.bioreg.kyushu-u.ac.jp/M3/20110404/F50779/839/1", 50.18)</f>
        <v>50.18</v>
      </c>
      <c r="E7488" s="2">
        <v>11.93</v>
      </c>
      <c r="F7488" s="2">
        <v>2</v>
      </c>
      <c r="G7488" s="2" t="s">
        <v>9</v>
      </c>
    </row>
    <row r="7489" spans="1:9" x14ac:dyDescent="0.2">
      <c r="A7489" s="2" t="s">
        <v>3250</v>
      </c>
      <c r="B7489" s="2" t="s">
        <v>102</v>
      </c>
      <c r="C7489" s="2">
        <v>1215.3800000000001</v>
      </c>
      <c r="D7489" s="2">
        <f>HYPERLINK("http://mcb-m6.bioreg.kyushu-u.ac.jp/M3/20110404/F50756/1385/1", 50.27)</f>
        <v>50.27</v>
      </c>
      <c r="E7489" s="2">
        <v>37.299999999999997</v>
      </c>
      <c r="F7489" s="2">
        <v>1</v>
      </c>
      <c r="G7489" s="2" t="s">
        <v>9</v>
      </c>
    </row>
    <row r="7490" spans="1:9" x14ac:dyDescent="0.2">
      <c r="A7490" s="2" t="s">
        <v>3250</v>
      </c>
      <c r="B7490" s="2" t="s">
        <v>356</v>
      </c>
      <c r="C7490" s="2">
        <v>816.25419999999997</v>
      </c>
      <c r="D7490" s="2">
        <f>HYPERLINK("http://mcb-m6.bioreg.kyushu-u.ac.jp/M3/20110404/F50767/2094/1", 50.31)</f>
        <v>50.31</v>
      </c>
      <c r="E7490" s="2">
        <v>31.78</v>
      </c>
      <c r="F7490" s="2">
        <v>2</v>
      </c>
      <c r="G7490" s="2" t="s">
        <v>9</v>
      </c>
    </row>
    <row r="7491" spans="1:9" x14ac:dyDescent="0.2">
      <c r="A7491" s="2" t="s">
        <v>3250</v>
      </c>
      <c r="B7491" s="2" t="s">
        <v>561</v>
      </c>
      <c r="C7491" s="2">
        <v>1323.34</v>
      </c>
      <c r="D7491" s="2">
        <f>HYPERLINK("http://mcb-m6.bioreg.kyushu-u.ac.jp/M3/20110404/F50766/1108/1", 50.69)</f>
        <v>50.69</v>
      </c>
      <c r="E7491" s="2">
        <v>28.95</v>
      </c>
      <c r="F7491" s="2">
        <v>1</v>
      </c>
      <c r="G7491" s="2" t="s">
        <v>9</v>
      </c>
      <c r="H7491" s="2" t="s">
        <v>4919</v>
      </c>
    </row>
    <row r="7492" spans="1:9" x14ac:dyDescent="0.2">
      <c r="A7492" s="2" t="s">
        <v>3250</v>
      </c>
      <c r="B7492" s="2" t="s">
        <v>1888</v>
      </c>
      <c r="C7492" s="2">
        <v>456.61860000000001</v>
      </c>
      <c r="D7492" s="2">
        <f>HYPERLINK("http://mcb-m6.bioreg.kyushu-u.ac.jp/M3/20110404/F50767/646/1", 50.77)</f>
        <v>50.77</v>
      </c>
      <c r="E7492" s="2">
        <v>10.23</v>
      </c>
      <c r="F7492" s="2">
        <v>2</v>
      </c>
      <c r="G7492" s="2" t="s">
        <v>9</v>
      </c>
    </row>
    <row r="7493" spans="1:9" x14ac:dyDescent="0.2">
      <c r="A7493" s="2" t="s">
        <v>3250</v>
      </c>
      <c r="B7493" s="2" t="s">
        <v>356</v>
      </c>
      <c r="C7493" s="2">
        <v>816.23360000000002</v>
      </c>
      <c r="D7493" s="2">
        <f>HYPERLINK("http://mcb-m6.bioreg.kyushu-u.ac.jp/M3/20110404/F50755/2309/1", 50.83)</f>
        <v>50.83</v>
      </c>
      <c r="E7493" s="2">
        <v>34.17</v>
      </c>
      <c r="F7493" s="2">
        <v>2</v>
      </c>
      <c r="G7493" s="2" t="s">
        <v>9</v>
      </c>
    </row>
    <row r="7494" spans="1:9" x14ac:dyDescent="0.2">
      <c r="A7494" s="2" t="s">
        <v>3250</v>
      </c>
      <c r="B7494" s="2" t="s">
        <v>604</v>
      </c>
      <c r="C7494" s="2">
        <v>521.08619999999996</v>
      </c>
      <c r="D7494" s="2">
        <f>HYPERLINK("http://mcb-m6.bioreg.kyushu-u.ac.jp/M3/20110404/F50779/840/1", 50.86)</f>
        <v>50.86</v>
      </c>
      <c r="E7494" s="2">
        <v>4.32</v>
      </c>
      <c r="F7494" s="2">
        <v>2</v>
      </c>
      <c r="G7494" s="2" t="s">
        <v>9</v>
      </c>
    </row>
    <row r="7495" spans="1:9" x14ac:dyDescent="0.2">
      <c r="A7495" s="2" t="s">
        <v>3250</v>
      </c>
      <c r="B7495" s="2" t="s">
        <v>90</v>
      </c>
      <c r="C7495" s="2">
        <v>716.78610000000003</v>
      </c>
      <c r="D7495" s="2">
        <f>HYPERLINK("http://mcb-m6.bioreg.kyushu-u.ac.jp/M3/20110404/F50779/1623/1", 50.92)</f>
        <v>50.92</v>
      </c>
      <c r="E7495" s="2">
        <v>34.82</v>
      </c>
      <c r="F7495" s="2">
        <v>2</v>
      </c>
      <c r="G7495" s="2" t="s">
        <v>9</v>
      </c>
    </row>
    <row r="7496" spans="1:9" x14ac:dyDescent="0.2">
      <c r="A7496" s="2" t="s">
        <v>3250</v>
      </c>
      <c r="B7496" s="2" t="s">
        <v>398</v>
      </c>
      <c r="C7496" s="2">
        <v>640.3057</v>
      </c>
      <c r="D7496" s="2">
        <f>HYPERLINK("http://mcb-m6.bioreg.kyushu-u.ac.jp/M3/20110404/F50767/1217/1", 50.98)</f>
        <v>50.98</v>
      </c>
      <c r="E7496" s="2">
        <v>27.4</v>
      </c>
      <c r="F7496" s="2">
        <v>2</v>
      </c>
      <c r="G7496" s="2" t="s">
        <v>9</v>
      </c>
    </row>
    <row r="7497" spans="1:9" x14ac:dyDescent="0.2">
      <c r="A7497" s="2" t="s">
        <v>3250</v>
      </c>
      <c r="B7497" s="2" t="s">
        <v>561</v>
      </c>
      <c r="C7497" s="2">
        <v>1324.6420000000001</v>
      </c>
      <c r="D7497" s="2">
        <f>HYPERLINK("http://mcb-m6.bioreg.kyushu-u.ac.jp/M3/20110404/F50779/1350/1", 51.1)</f>
        <v>51.1</v>
      </c>
      <c r="E7497" s="2">
        <v>35.39</v>
      </c>
      <c r="F7497" s="2">
        <v>1</v>
      </c>
      <c r="G7497" s="2" t="s">
        <v>9</v>
      </c>
      <c r="H7497" s="2" t="s">
        <v>4919</v>
      </c>
    </row>
    <row r="7498" spans="1:9" x14ac:dyDescent="0.2">
      <c r="A7498" s="2" t="s">
        <v>3250</v>
      </c>
      <c r="B7498" s="2" t="s">
        <v>481</v>
      </c>
      <c r="C7498" s="2">
        <v>709.62220000000002</v>
      </c>
      <c r="D7498" s="2">
        <f>HYPERLINK("http://mcb-m6.bioreg.kyushu-u.ac.jp/M3/20110404/F50779/1564/1", 51.42)</f>
        <v>51.42</v>
      </c>
      <c r="E7498" s="2">
        <v>36.1</v>
      </c>
      <c r="F7498" s="2">
        <v>2</v>
      </c>
      <c r="G7498" s="2" t="s">
        <v>9</v>
      </c>
      <c r="I7498" s="2" t="s">
        <v>4898</v>
      </c>
    </row>
    <row r="7499" spans="1:9" x14ac:dyDescent="0.2">
      <c r="A7499" s="2" t="s">
        <v>3250</v>
      </c>
      <c r="B7499" s="2" t="s">
        <v>1888</v>
      </c>
      <c r="C7499" s="2">
        <v>456.30610000000001</v>
      </c>
      <c r="D7499" s="2">
        <f>HYPERLINK("http://mcb-m6.bioreg.kyushu-u.ac.jp/M3/20110404/F50763/894/1", 51.43)</f>
        <v>51.43</v>
      </c>
      <c r="E7499" s="2">
        <v>18.14</v>
      </c>
      <c r="F7499" s="2">
        <v>2</v>
      </c>
      <c r="G7499" s="2" t="s">
        <v>9</v>
      </c>
    </row>
    <row r="7500" spans="1:9" x14ac:dyDescent="0.2">
      <c r="A7500" s="2" t="s">
        <v>3250</v>
      </c>
      <c r="B7500" s="2" t="s">
        <v>311</v>
      </c>
      <c r="C7500" s="2">
        <v>1196.877</v>
      </c>
      <c r="D7500" s="2">
        <f>HYPERLINK("http://mcb-m6.bioreg.kyushu-u.ac.jp/M3/20110404/F50767/1059/1", 51.44)</f>
        <v>51.44</v>
      </c>
      <c r="E7500" s="2">
        <v>38.76</v>
      </c>
      <c r="F7500" s="2">
        <v>1</v>
      </c>
      <c r="G7500" s="2" t="s">
        <v>9</v>
      </c>
    </row>
    <row r="7501" spans="1:9" x14ac:dyDescent="0.2">
      <c r="A7501" s="2" t="s">
        <v>3250</v>
      </c>
      <c r="B7501" s="2" t="s">
        <v>561</v>
      </c>
      <c r="C7501" s="2">
        <v>1323.5630000000001</v>
      </c>
      <c r="D7501" s="2">
        <f>HYPERLINK("http://mcb-m6.bioreg.kyushu-u.ac.jp/M3/20110404/F50763/1598/1", 51.46)</f>
        <v>51.46</v>
      </c>
      <c r="E7501" s="2">
        <v>34.17</v>
      </c>
      <c r="F7501" s="2">
        <v>1</v>
      </c>
      <c r="G7501" s="2" t="s">
        <v>9</v>
      </c>
      <c r="H7501" s="2" t="s">
        <v>4919</v>
      </c>
    </row>
    <row r="7502" spans="1:9" x14ac:dyDescent="0.2">
      <c r="A7502" s="2" t="s">
        <v>3250</v>
      </c>
      <c r="B7502" s="2" t="s">
        <v>77</v>
      </c>
      <c r="C7502" s="2">
        <v>574.35609999999997</v>
      </c>
      <c r="D7502" s="2">
        <f>HYPERLINK("http://mcb-m6.bioreg.kyushu-u.ac.jp/M3/20110404/F50756/1238/1", 51.57)</f>
        <v>51.57</v>
      </c>
      <c r="E7502" s="2">
        <v>15.43</v>
      </c>
      <c r="F7502" s="2">
        <v>2</v>
      </c>
      <c r="G7502" s="2" t="s">
        <v>9</v>
      </c>
    </row>
    <row r="7503" spans="1:9" x14ac:dyDescent="0.2">
      <c r="A7503" s="2" t="s">
        <v>3250</v>
      </c>
      <c r="B7503" s="2" t="s">
        <v>311</v>
      </c>
      <c r="C7503" s="2">
        <v>1196.4649999999999</v>
      </c>
      <c r="D7503" s="2">
        <f>HYPERLINK("http://mcb-m6.bioreg.kyushu-u.ac.jp/M3/20110404/F50764/1304/1", 51.7)</f>
        <v>51.7</v>
      </c>
      <c r="E7503" s="2">
        <v>35.89</v>
      </c>
      <c r="F7503" s="2">
        <v>1</v>
      </c>
      <c r="G7503" s="2" t="s">
        <v>9</v>
      </c>
    </row>
    <row r="7504" spans="1:9" x14ac:dyDescent="0.2">
      <c r="A7504" s="2" t="s">
        <v>3250</v>
      </c>
      <c r="B7504" s="2" t="s">
        <v>543</v>
      </c>
      <c r="C7504" s="2">
        <v>926.92319999999995</v>
      </c>
      <c r="D7504" s="2">
        <f>HYPERLINK("http://mcb-m6.bioreg.kyushu-u.ac.jp/M3/20110404/F50767/2587/1", 51.7)</f>
        <v>51.7</v>
      </c>
      <c r="E7504" s="2">
        <v>39.43</v>
      </c>
      <c r="F7504" s="2">
        <v>2</v>
      </c>
      <c r="G7504" s="2" t="s">
        <v>9</v>
      </c>
    </row>
    <row r="7505" spans="1:9" x14ac:dyDescent="0.2">
      <c r="A7505" s="2" t="s">
        <v>3250</v>
      </c>
      <c r="B7505" s="2" t="s">
        <v>561</v>
      </c>
      <c r="C7505" s="2">
        <v>654.30020000000002</v>
      </c>
      <c r="D7505" s="2">
        <f>HYPERLINK("http://mcb-m6.bioreg.kyushu-u.ac.jp/M3/20110404/F50756/1544/1", 51.72)</f>
        <v>51.72</v>
      </c>
      <c r="E7505" s="2">
        <v>35.36</v>
      </c>
      <c r="F7505" s="2">
        <v>2</v>
      </c>
      <c r="G7505" s="2" t="s">
        <v>9</v>
      </c>
    </row>
    <row r="7506" spans="1:9" x14ac:dyDescent="0.2">
      <c r="A7506" s="2" t="s">
        <v>3250</v>
      </c>
      <c r="B7506" s="2" t="s">
        <v>398</v>
      </c>
      <c r="C7506" s="2">
        <v>640.28520000000003</v>
      </c>
      <c r="D7506" s="2">
        <f>HYPERLINK("http://mcb-m6.bioreg.kyushu-u.ac.jp/M3/20110404/F50765/1389/1", 51.73)</f>
        <v>51.73</v>
      </c>
      <c r="E7506" s="2">
        <v>32.9</v>
      </c>
      <c r="F7506" s="2">
        <v>2</v>
      </c>
      <c r="G7506" s="2" t="s">
        <v>9</v>
      </c>
    </row>
    <row r="7507" spans="1:9" x14ac:dyDescent="0.2">
      <c r="A7507" s="2" t="s">
        <v>3250</v>
      </c>
      <c r="B7507" s="2" t="s">
        <v>311</v>
      </c>
      <c r="C7507" s="2">
        <v>1196.5070000000001</v>
      </c>
      <c r="D7507" s="2">
        <f>HYPERLINK("http://mcb-m6.bioreg.kyushu-u.ac.jp/M3/20110404/F50777/1316/1", 51.79)</f>
        <v>51.79</v>
      </c>
      <c r="E7507" s="2">
        <v>37.840000000000003</v>
      </c>
      <c r="F7507" s="2">
        <v>1</v>
      </c>
      <c r="G7507" s="2" t="s">
        <v>9</v>
      </c>
    </row>
    <row r="7508" spans="1:9" x14ac:dyDescent="0.2">
      <c r="A7508" s="2" t="s">
        <v>3250</v>
      </c>
      <c r="B7508" s="2" t="s">
        <v>1065</v>
      </c>
      <c r="C7508" s="2">
        <v>716.88919999999996</v>
      </c>
      <c r="D7508" s="2">
        <f>HYPERLINK("http://mcb-m6.bioreg.kyushu-u.ac.jp/M3/20110404/F50751/2039/1", 51.8)</f>
        <v>51.8</v>
      </c>
      <c r="E7508" s="2">
        <v>19.940000000000001</v>
      </c>
      <c r="F7508" s="2">
        <v>2</v>
      </c>
      <c r="G7508" s="2" t="s">
        <v>9</v>
      </c>
      <c r="I7508" s="2" t="s">
        <v>4892</v>
      </c>
    </row>
    <row r="7509" spans="1:9" x14ac:dyDescent="0.2">
      <c r="A7509" s="2" t="s">
        <v>3250</v>
      </c>
      <c r="B7509" s="2" t="s">
        <v>467</v>
      </c>
      <c r="C7509" s="2">
        <v>692.27719999999999</v>
      </c>
      <c r="D7509" s="2">
        <f>HYPERLINK("http://mcb-m6.bioreg.kyushu-u.ac.jp/M3/20110404/F50778/1566/1", 51.88)</f>
        <v>51.88</v>
      </c>
      <c r="E7509" s="2">
        <v>22.14</v>
      </c>
      <c r="F7509" s="2">
        <v>2</v>
      </c>
      <c r="G7509" s="2" t="s">
        <v>9</v>
      </c>
    </row>
    <row r="7510" spans="1:9" x14ac:dyDescent="0.2">
      <c r="A7510" s="2" t="s">
        <v>3250</v>
      </c>
      <c r="B7510" s="2" t="s">
        <v>503</v>
      </c>
      <c r="C7510" s="2">
        <v>1615.787</v>
      </c>
      <c r="D7510" s="2">
        <f>HYPERLINK("http://mcb-m6.bioreg.kyushu-u.ac.jp/M3/20110404/F50778/2168/1", 52.06)</f>
        <v>52.06</v>
      </c>
      <c r="E7510" s="2">
        <v>38.6</v>
      </c>
      <c r="F7510" s="2">
        <v>1</v>
      </c>
      <c r="G7510" s="2" t="s">
        <v>9</v>
      </c>
    </row>
    <row r="7511" spans="1:9" x14ac:dyDescent="0.2">
      <c r="A7511" s="2" t="s">
        <v>3250</v>
      </c>
      <c r="B7511" s="2" t="s">
        <v>90</v>
      </c>
      <c r="C7511" s="2">
        <v>716.71559999999999</v>
      </c>
      <c r="D7511" s="2">
        <f>HYPERLINK("http://mcb-m6.bioreg.kyushu-u.ac.jp/M3/20110404/F50767/1592/1", 52.17)</f>
        <v>52.17</v>
      </c>
      <c r="E7511" s="2">
        <v>24.76</v>
      </c>
      <c r="F7511" s="2">
        <v>2</v>
      </c>
      <c r="G7511" s="2" t="s">
        <v>9</v>
      </c>
    </row>
    <row r="7512" spans="1:9" x14ac:dyDescent="0.2">
      <c r="A7512" s="2" t="s">
        <v>3250</v>
      </c>
      <c r="B7512" s="2" t="s">
        <v>604</v>
      </c>
      <c r="C7512" s="2">
        <v>520.80970000000002</v>
      </c>
      <c r="D7512" s="2">
        <f>HYPERLINK("http://mcb-m6.bioreg.kyushu-u.ac.jp/M3/20110404/F50779/834/1", 52.34)</f>
        <v>52.34</v>
      </c>
      <c r="E7512" s="2">
        <v>17.440000000000001</v>
      </c>
      <c r="F7512" s="2">
        <v>2</v>
      </c>
      <c r="G7512" s="2" t="s">
        <v>9</v>
      </c>
    </row>
    <row r="7513" spans="1:9" x14ac:dyDescent="0.2">
      <c r="A7513" s="2" t="s">
        <v>3250</v>
      </c>
      <c r="B7513" s="2" t="s">
        <v>561</v>
      </c>
      <c r="C7513" s="2">
        <v>1307.3620000000001</v>
      </c>
      <c r="D7513" s="2">
        <f>HYPERLINK("http://mcb-m6.bioreg.kyushu-u.ac.jp/M3/20110404/F50753/1676/1", 52.44)</f>
        <v>52.44</v>
      </c>
      <c r="E7513" s="2">
        <v>27.48</v>
      </c>
      <c r="F7513" s="2">
        <v>1</v>
      </c>
      <c r="G7513" s="2" t="s">
        <v>9</v>
      </c>
    </row>
    <row r="7514" spans="1:9" x14ac:dyDescent="0.2">
      <c r="A7514" s="2" t="s">
        <v>3250</v>
      </c>
      <c r="B7514" s="2" t="s">
        <v>772</v>
      </c>
      <c r="C7514" s="2">
        <v>1190.4559999999999</v>
      </c>
      <c r="D7514" s="2">
        <f>HYPERLINK("http://mcb-m6.bioreg.kyushu-u.ac.jp/M3/20110404/F50753/1488/1", 52.51)</f>
        <v>52.51</v>
      </c>
      <c r="E7514" s="2">
        <v>20.32</v>
      </c>
      <c r="F7514" s="2">
        <v>1</v>
      </c>
      <c r="G7514" s="2" t="s">
        <v>9</v>
      </c>
    </row>
    <row r="7515" spans="1:9" x14ac:dyDescent="0.2">
      <c r="A7515" s="2" t="s">
        <v>3250</v>
      </c>
      <c r="B7515" s="2" t="s">
        <v>503</v>
      </c>
      <c r="C7515" s="2">
        <v>1616.606</v>
      </c>
      <c r="D7515" s="2">
        <f>HYPERLINK("http://mcb-m6.bioreg.kyushu-u.ac.jp/M3/20110404/F50767/2063/1", 52.6)</f>
        <v>52.6</v>
      </c>
      <c r="E7515" s="2">
        <v>48.47</v>
      </c>
      <c r="F7515" s="2">
        <v>1</v>
      </c>
      <c r="G7515" s="2" t="s">
        <v>9</v>
      </c>
    </row>
    <row r="7516" spans="1:9" x14ac:dyDescent="0.2">
      <c r="A7516" s="2" t="s">
        <v>3250</v>
      </c>
      <c r="B7516" s="2" t="s">
        <v>561</v>
      </c>
      <c r="C7516" s="2">
        <v>662.04570000000001</v>
      </c>
      <c r="D7516" s="2">
        <f>HYPERLINK("http://mcb-m6.bioreg.kyushu-u.ac.jp/M3/20110404/F50754/1820/1", 52.64)</f>
        <v>52.64</v>
      </c>
      <c r="E7516" s="2">
        <v>30.24</v>
      </c>
      <c r="F7516" s="2">
        <v>2</v>
      </c>
      <c r="G7516" s="2" t="s">
        <v>9</v>
      </c>
      <c r="H7516" s="2" t="s">
        <v>4919</v>
      </c>
    </row>
    <row r="7517" spans="1:9" x14ac:dyDescent="0.2">
      <c r="A7517" s="2" t="s">
        <v>3250</v>
      </c>
      <c r="B7517" s="2" t="s">
        <v>503</v>
      </c>
      <c r="C7517" s="2">
        <v>544.52149999999995</v>
      </c>
      <c r="D7517" s="2">
        <f>HYPERLINK("http://mcb-m6.bioreg.kyushu-u.ac.jp/M3/20110404/F50779/2113/1", 52.7)</f>
        <v>52.7</v>
      </c>
      <c r="E7517" s="2">
        <v>33.520000000000003</v>
      </c>
      <c r="F7517" s="2">
        <v>3</v>
      </c>
      <c r="G7517" s="2" t="s">
        <v>9</v>
      </c>
      <c r="H7517" s="2" t="s">
        <v>4907</v>
      </c>
    </row>
    <row r="7518" spans="1:9" x14ac:dyDescent="0.2">
      <c r="A7518" s="2" t="s">
        <v>3250</v>
      </c>
      <c r="B7518" s="2" t="s">
        <v>481</v>
      </c>
      <c r="C7518" s="2">
        <v>1417.6179999999999</v>
      </c>
      <c r="D7518" s="2">
        <f>HYPERLINK("http://mcb-m6.bioreg.kyushu-u.ac.jp/M3/20110404/F50779/1560/1", 52.76)</f>
        <v>52.76</v>
      </c>
      <c r="E7518" s="2">
        <v>41.37</v>
      </c>
      <c r="F7518" s="2">
        <v>1</v>
      </c>
      <c r="G7518" s="2" t="s">
        <v>9</v>
      </c>
      <c r="I7518" s="2" t="s">
        <v>4898</v>
      </c>
    </row>
    <row r="7519" spans="1:9" x14ac:dyDescent="0.2">
      <c r="A7519" s="2" t="s">
        <v>3250</v>
      </c>
      <c r="B7519" s="2" t="s">
        <v>481</v>
      </c>
      <c r="C7519" s="2">
        <v>709.84619999999995</v>
      </c>
      <c r="D7519" s="2">
        <f>HYPERLINK("http://mcb-m6.bioreg.kyushu-u.ac.jp/M3/20110404/F50778/1649/1", 52.79)</f>
        <v>52.79</v>
      </c>
      <c r="E7519" s="2">
        <v>35.67</v>
      </c>
      <c r="F7519" s="2">
        <v>2</v>
      </c>
      <c r="G7519" s="2" t="s">
        <v>9</v>
      </c>
      <c r="I7519" s="2" t="s">
        <v>4898</v>
      </c>
    </row>
    <row r="7520" spans="1:9" x14ac:dyDescent="0.2">
      <c r="A7520" s="2" t="s">
        <v>3250</v>
      </c>
      <c r="B7520" s="2" t="s">
        <v>5991</v>
      </c>
      <c r="C7520" s="2">
        <v>971.94889999999998</v>
      </c>
      <c r="D7520" s="2">
        <f>HYPERLINK("http://mcb-m6.bioreg.kyushu-u.ac.jp/M3/20110404/F50778/3947/1", 52.93)</f>
        <v>52.93</v>
      </c>
      <c r="E7520" s="2">
        <v>43.48</v>
      </c>
      <c r="F7520" s="2">
        <v>3</v>
      </c>
      <c r="G7520" s="2" t="s">
        <v>9</v>
      </c>
      <c r="I7520" s="2" t="s">
        <v>4895</v>
      </c>
    </row>
    <row r="7521" spans="1:9" x14ac:dyDescent="0.2">
      <c r="A7521" s="2" t="s">
        <v>3250</v>
      </c>
      <c r="B7521" s="2" t="s">
        <v>467</v>
      </c>
      <c r="C7521" s="2">
        <v>1382.557</v>
      </c>
      <c r="D7521" s="2">
        <f>HYPERLINK("http://mcb-m6.bioreg.kyushu-u.ac.jp/M3/20110404/F50763/1720/1", 53.1)</f>
        <v>53.1</v>
      </c>
      <c r="E7521" s="2">
        <v>39.78</v>
      </c>
      <c r="F7521" s="2">
        <v>1</v>
      </c>
      <c r="G7521" s="2" t="s">
        <v>9</v>
      </c>
    </row>
    <row r="7522" spans="1:9" x14ac:dyDescent="0.2">
      <c r="A7522" s="2" t="s">
        <v>3250</v>
      </c>
      <c r="B7522" s="2" t="s">
        <v>888</v>
      </c>
      <c r="C7522" s="2">
        <v>810.83720000000005</v>
      </c>
      <c r="D7522" s="2">
        <f>HYPERLINK("http://mcb-m6.bioreg.kyushu-u.ac.jp/M3/20110404/F50767/3538/1", 53.14)</f>
        <v>53.14</v>
      </c>
      <c r="E7522" s="2">
        <v>42.38</v>
      </c>
      <c r="F7522" s="2">
        <v>3</v>
      </c>
      <c r="G7522" s="2" t="s">
        <v>9</v>
      </c>
      <c r="I7522" s="2" t="s">
        <v>4895</v>
      </c>
    </row>
    <row r="7523" spans="1:9" x14ac:dyDescent="0.2">
      <c r="A7523" s="2" t="s">
        <v>3250</v>
      </c>
      <c r="B7523" s="2" t="s">
        <v>365</v>
      </c>
      <c r="C7523" s="2">
        <v>849.08510000000001</v>
      </c>
      <c r="D7523" s="2">
        <f>HYPERLINK("http://mcb-m6.bioreg.kyushu-u.ac.jp/M3/20110404/F50762/2146/1", 53.25)</f>
        <v>53.25</v>
      </c>
      <c r="E7523" s="2">
        <v>39.549999999999997</v>
      </c>
      <c r="F7523" s="2">
        <v>2</v>
      </c>
      <c r="G7523" s="2" t="s">
        <v>9</v>
      </c>
    </row>
    <row r="7524" spans="1:9" x14ac:dyDescent="0.2">
      <c r="A7524" s="2" t="s">
        <v>3250</v>
      </c>
      <c r="B7524" s="2" t="s">
        <v>77</v>
      </c>
      <c r="C7524" s="2">
        <v>574.54420000000005</v>
      </c>
      <c r="D7524" s="2">
        <f>HYPERLINK("http://mcb-m6.bioreg.kyushu-u.ac.jp/M3/20110404/F50767/976/1", 53.26)</f>
        <v>53.26</v>
      </c>
      <c r="E7524" s="2">
        <v>32.97</v>
      </c>
      <c r="F7524" s="2">
        <v>2</v>
      </c>
      <c r="G7524" s="2" t="s">
        <v>9</v>
      </c>
    </row>
    <row r="7525" spans="1:9" x14ac:dyDescent="0.2">
      <c r="A7525" s="2" t="s">
        <v>3250</v>
      </c>
      <c r="B7525" s="2" t="s">
        <v>365</v>
      </c>
      <c r="C7525" s="2">
        <v>1697.9110000000001</v>
      </c>
      <c r="D7525" s="2">
        <f>HYPERLINK("http://mcb-m6.bioreg.kyushu-u.ac.jp/M3/20110404/F50779/2248/1", 53.28)</f>
        <v>53.28</v>
      </c>
      <c r="E7525" s="2">
        <v>44.4</v>
      </c>
      <c r="F7525" s="2">
        <v>1</v>
      </c>
      <c r="G7525" s="2" t="s">
        <v>9</v>
      </c>
    </row>
    <row r="7526" spans="1:9" x14ac:dyDescent="0.2">
      <c r="A7526" s="2" t="s">
        <v>3250</v>
      </c>
      <c r="B7526" s="2" t="s">
        <v>6027</v>
      </c>
      <c r="C7526" s="2">
        <v>712.44209999999998</v>
      </c>
      <c r="D7526" s="2">
        <f>HYPERLINK("http://mcb-m6.bioreg.kyushu-u.ac.jp/M3/20110404/F50779/1586/1", 53.39)</f>
        <v>53.39</v>
      </c>
      <c r="E7526" s="2">
        <v>30.87</v>
      </c>
      <c r="F7526" s="2">
        <v>2</v>
      </c>
      <c r="G7526" s="2" t="s">
        <v>9</v>
      </c>
    </row>
    <row r="7527" spans="1:9" x14ac:dyDescent="0.2">
      <c r="A7527" s="2" t="s">
        <v>3250</v>
      </c>
      <c r="B7527" s="2" t="s">
        <v>888</v>
      </c>
      <c r="C7527" s="2">
        <v>811.19349999999997</v>
      </c>
      <c r="D7527" s="2">
        <f>HYPERLINK("http://mcb-m6.bioreg.kyushu-u.ac.jp/M3/20110404/F50779/3452/1", 53.73)</f>
        <v>53.73</v>
      </c>
      <c r="E7527" s="2">
        <v>42.02</v>
      </c>
      <c r="F7527" s="2">
        <v>3</v>
      </c>
      <c r="G7527" s="2" t="s">
        <v>9</v>
      </c>
      <c r="I7527" s="2" t="s">
        <v>4895</v>
      </c>
    </row>
    <row r="7528" spans="1:9" x14ac:dyDescent="0.2">
      <c r="A7528" s="2" t="s">
        <v>3250</v>
      </c>
      <c r="B7528" s="2" t="s">
        <v>356</v>
      </c>
      <c r="C7528" s="2">
        <v>1631.8230000000001</v>
      </c>
      <c r="D7528" s="2">
        <f>HYPERLINK("http://mcb-m6.bioreg.kyushu-u.ac.jp/M3/20110404/F50778/2210/1", 54)</f>
        <v>54</v>
      </c>
      <c r="E7528" s="2">
        <v>37.6</v>
      </c>
      <c r="F7528" s="2">
        <v>1</v>
      </c>
      <c r="G7528" s="2" t="s">
        <v>9</v>
      </c>
    </row>
    <row r="7529" spans="1:9" x14ac:dyDescent="0.2">
      <c r="A7529" s="2" t="s">
        <v>3250</v>
      </c>
      <c r="B7529" s="2" t="s">
        <v>617</v>
      </c>
      <c r="C7529" s="2">
        <v>686.36869999999999</v>
      </c>
      <c r="D7529" s="2">
        <f>HYPERLINK("http://mcb-m6.bioreg.kyushu-u.ac.jp/M3/20110404/F50779/1430/1", 54.01)</f>
        <v>54.01</v>
      </c>
      <c r="E7529" s="2">
        <v>34.22</v>
      </c>
      <c r="F7529" s="2">
        <v>2</v>
      </c>
      <c r="G7529" s="2" t="s">
        <v>9</v>
      </c>
    </row>
    <row r="7530" spans="1:9" x14ac:dyDescent="0.2">
      <c r="A7530" s="2" t="s">
        <v>3250</v>
      </c>
      <c r="B7530" s="2" t="s">
        <v>365</v>
      </c>
      <c r="C7530" s="2">
        <v>849.34860000000003</v>
      </c>
      <c r="D7530" s="2">
        <f>HYPERLINK("http://mcb-m6.bioreg.kyushu-u.ac.jp/M3/20110404/F50764/2253/1", 54.02)</f>
        <v>54.02</v>
      </c>
      <c r="E7530" s="2">
        <v>38.65</v>
      </c>
      <c r="F7530" s="2">
        <v>2</v>
      </c>
      <c r="G7530" s="2" t="s">
        <v>9</v>
      </c>
    </row>
    <row r="7531" spans="1:9" x14ac:dyDescent="0.2">
      <c r="A7531" s="2" t="s">
        <v>3250</v>
      </c>
      <c r="B7531" s="2" t="s">
        <v>365</v>
      </c>
      <c r="C7531" s="2">
        <v>848.87220000000002</v>
      </c>
      <c r="D7531" s="2">
        <f>HYPERLINK("http://mcb-m6.bioreg.kyushu-u.ac.jp/M3/20110404/F50765/2291/1", 54.32)</f>
        <v>54.32</v>
      </c>
      <c r="E7531" s="2">
        <v>38.56</v>
      </c>
      <c r="F7531" s="2">
        <v>2</v>
      </c>
      <c r="G7531" s="2" t="s">
        <v>9</v>
      </c>
    </row>
    <row r="7532" spans="1:9" x14ac:dyDescent="0.2">
      <c r="A7532" s="2" t="s">
        <v>3250</v>
      </c>
      <c r="B7532" s="2" t="s">
        <v>175</v>
      </c>
      <c r="C7532" s="2">
        <v>784.3356</v>
      </c>
      <c r="D7532" s="2">
        <f>HYPERLINK("http://mcb-m6.bioreg.kyushu-u.ac.jp/M3/20110404/F50776/1913/1", 54.35)</f>
        <v>54.35</v>
      </c>
      <c r="E7532" s="2">
        <v>39.24</v>
      </c>
      <c r="F7532" s="2">
        <v>2</v>
      </c>
      <c r="G7532" s="2" t="s">
        <v>9</v>
      </c>
      <c r="I7532" s="2" t="s">
        <v>4893</v>
      </c>
    </row>
    <row r="7533" spans="1:9" x14ac:dyDescent="0.2">
      <c r="A7533" s="2" t="s">
        <v>3250</v>
      </c>
      <c r="B7533" s="2" t="s">
        <v>561</v>
      </c>
      <c r="C7533" s="2">
        <v>662.89369999999997</v>
      </c>
      <c r="D7533" s="2">
        <f>HYPERLINK("http://mcb-m6.bioreg.kyushu-u.ac.jp/M3/20110404/F50755/1585/1", 54.36)</f>
        <v>54.36</v>
      </c>
      <c r="E7533" s="2">
        <v>37.99</v>
      </c>
      <c r="F7533" s="2">
        <v>2</v>
      </c>
      <c r="G7533" s="2" t="s">
        <v>9</v>
      </c>
      <c r="H7533" s="2" t="s">
        <v>4919</v>
      </c>
    </row>
    <row r="7534" spans="1:9" x14ac:dyDescent="0.2">
      <c r="A7534" s="2" t="s">
        <v>3250</v>
      </c>
      <c r="B7534" s="2" t="s">
        <v>772</v>
      </c>
      <c r="C7534" s="2">
        <v>1190.4880000000001</v>
      </c>
      <c r="D7534" s="2">
        <f>HYPERLINK("http://mcb-m6.bioreg.kyushu-u.ac.jp/M3/20110404/F50763/1386/1", 54.56)</f>
        <v>54.56</v>
      </c>
      <c r="E7534" s="2">
        <v>20.71</v>
      </c>
      <c r="F7534" s="2">
        <v>1</v>
      </c>
      <c r="G7534" s="2" t="s">
        <v>9</v>
      </c>
    </row>
    <row r="7535" spans="1:9" x14ac:dyDescent="0.2">
      <c r="A7535" s="2" t="s">
        <v>3250</v>
      </c>
      <c r="B7535" s="2" t="s">
        <v>6017</v>
      </c>
      <c r="C7535" s="2">
        <v>803.07920000000001</v>
      </c>
      <c r="D7535" s="2">
        <f>HYPERLINK("http://mcb-m6.bioreg.kyushu-u.ac.jp/M3/20110404/F50779/3426/1", 54.64)</f>
        <v>54.64</v>
      </c>
      <c r="E7535" s="2">
        <v>34.67</v>
      </c>
      <c r="F7535" s="2">
        <v>3</v>
      </c>
      <c r="G7535" s="2" t="s">
        <v>9</v>
      </c>
      <c r="H7535" s="2" t="s">
        <v>4907</v>
      </c>
      <c r="I7535" s="2" t="s">
        <v>4895</v>
      </c>
    </row>
    <row r="7536" spans="1:9" x14ac:dyDescent="0.2">
      <c r="A7536" s="2" t="s">
        <v>3250</v>
      </c>
      <c r="B7536" s="2" t="s">
        <v>772</v>
      </c>
      <c r="C7536" s="2">
        <v>1190.4849999999999</v>
      </c>
      <c r="D7536" s="2">
        <f>HYPERLINK("http://mcb-m6.bioreg.kyushu-u.ac.jp/M3/20110404/F50755/1362/1", 54.69)</f>
        <v>54.69</v>
      </c>
      <c r="E7536" s="2">
        <v>30.35</v>
      </c>
      <c r="F7536" s="2">
        <v>1</v>
      </c>
      <c r="G7536" s="2" t="s">
        <v>9</v>
      </c>
    </row>
    <row r="7537" spans="1:9" x14ac:dyDescent="0.2">
      <c r="A7537" s="2" t="s">
        <v>3250</v>
      </c>
      <c r="B7537" s="2" t="s">
        <v>30</v>
      </c>
      <c r="C7537" s="2">
        <v>643.66780000000006</v>
      </c>
      <c r="D7537" s="2">
        <f>HYPERLINK("http://mcb-m6.bioreg.kyushu-u.ac.jp/M3/20110404/F50779/2741/1", 54.78)</f>
        <v>54.78</v>
      </c>
      <c r="E7537" s="2">
        <v>28.15</v>
      </c>
      <c r="F7537" s="2">
        <v>3</v>
      </c>
      <c r="G7537" s="2" t="s">
        <v>9</v>
      </c>
      <c r="I7537" s="2" t="s">
        <v>4894</v>
      </c>
    </row>
    <row r="7538" spans="1:9" x14ac:dyDescent="0.2">
      <c r="A7538" s="2" t="s">
        <v>3250</v>
      </c>
      <c r="B7538" s="2" t="s">
        <v>561</v>
      </c>
      <c r="C7538" s="2">
        <v>1323.664</v>
      </c>
      <c r="D7538" s="2">
        <f>HYPERLINK("http://mcb-m6.bioreg.kyushu-u.ac.jp/M3/20110404/F50764/1511/1", 54.8)</f>
        <v>54.8</v>
      </c>
      <c r="E7538" s="2">
        <v>38.590000000000003</v>
      </c>
      <c r="F7538" s="2">
        <v>1</v>
      </c>
      <c r="G7538" s="2" t="s">
        <v>9</v>
      </c>
      <c r="H7538" s="2" t="s">
        <v>4919</v>
      </c>
    </row>
    <row r="7539" spans="1:9" x14ac:dyDescent="0.2">
      <c r="A7539" s="2" t="s">
        <v>3250</v>
      </c>
      <c r="B7539" s="2" t="s">
        <v>467</v>
      </c>
      <c r="C7539" s="2">
        <v>692.21969999999999</v>
      </c>
      <c r="D7539" s="2">
        <f>HYPERLINK("http://mcb-m6.bioreg.kyushu-u.ac.jp/M3/20110404/F50767/1456/1", 55.09)</f>
        <v>55.09</v>
      </c>
      <c r="E7539" s="2">
        <v>29.92</v>
      </c>
      <c r="F7539" s="2">
        <v>2</v>
      </c>
      <c r="G7539" s="2" t="s">
        <v>9</v>
      </c>
    </row>
    <row r="7540" spans="1:9" x14ac:dyDescent="0.2">
      <c r="A7540" s="2" t="s">
        <v>3250</v>
      </c>
      <c r="B7540" s="2" t="s">
        <v>365</v>
      </c>
      <c r="C7540" s="2">
        <v>848.76419999999996</v>
      </c>
      <c r="D7540" s="2">
        <f>HYPERLINK("http://mcb-m6.bioreg.kyushu-u.ac.jp/M3/20110404/F50754/2441/1", 55.14)</f>
        <v>55.14</v>
      </c>
      <c r="E7540" s="2">
        <v>43.22</v>
      </c>
      <c r="F7540" s="2">
        <v>2</v>
      </c>
      <c r="G7540" s="2" t="s">
        <v>9</v>
      </c>
    </row>
    <row r="7541" spans="1:9" x14ac:dyDescent="0.2">
      <c r="A7541" s="2" t="s">
        <v>3250</v>
      </c>
      <c r="B7541" s="2" t="s">
        <v>175</v>
      </c>
      <c r="C7541" s="2">
        <v>784.21259999999995</v>
      </c>
      <c r="D7541" s="2">
        <f>HYPERLINK("http://mcb-m6.bioreg.kyushu-u.ac.jp/M3/20110404/F50766/1833/1", 55.27)</f>
        <v>55.27</v>
      </c>
      <c r="E7541" s="2">
        <v>42.73</v>
      </c>
      <c r="F7541" s="2">
        <v>2</v>
      </c>
      <c r="G7541" s="2" t="s">
        <v>9</v>
      </c>
      <c r="I7541" s="2" t="s">
        <v>4893</v>
      </c>
    </row>
    <row r="7542" spans="1:9" x14ac:dyDescent="0.2">
      <c r="A7542" s="2" t="s">
        <v>3250</v>
      </c>
      <c r="B7542" s="2" t="s">
        <v>365</v>
      </c>
      <c r="C7542" s="2">
        <v>849.34519999999998</v>
      </c>
      <c r="D7542" s="2">
        <f>HYPERLINK("http://mcb-m6.bioreg.kyushu-u.ac.jp/M3/20110404/F50778/2362/1", 55.56)</f>
        <v>55.56</v>
      </c>
      <c r="E7542" s="2">
        <v>38.799999999999997</v>
      </c>
      <c r="F7542" s="2">
        <v>2</v>
      </c>
      <c r="G7542" s="2" t="s">
        <v>9</v>
      </c>
    </row>
    <row r="7543" spans="1:9" x14ac:dyDescent="0.2">
      <c r="A7543" s="2" t="s">
        <v>3250</v>
      </c>
      <c r="B7543" s="2" t="s">
        <v>77</v>
      </c>
      <c r="C7543" s="2">
        <v>574.9316</v>
      </c>
      <c r="D7543" s="2">
        <f>HYPERLINK("http://mcb-m6.bioreg.kyushu-u.ac.jp/M3/20110404/F50765/1167/1", 55.6)</f>
        <v>55.6</v>
      </c>
      <c r="E7543" s="2">
        <v>39.53</v>
      </c>
      <c r="F7543" s="2">
        <v>2</v>
      </c>
      <c r="G7543" s="2" t="s">
        <v>9</v>
      </c>
    </row>
    <row r="7544" spans="1:9" x14ac:dyDescent="0.2">
      <c r="A7544" s="2" t="s">
        <v>3250</v>
      </c>
      <c r="B7544" s="2" t="s">
        <v>543</v>
      </c>
      <c r="C7544" s="2">
        <v>927.16859999999997</v>
      </c>
      <c r="D7544" s="2">
        <f>HYPERLINK("http://mcb-m6.bioreg.kyushu-u.ac.jp/M3/20110404/F50762/2407/1", 55.62)</f>
        <v>55.62</v>
      </c>
      <c r="E7544" s="2">
        <v>44.01</v>
      </c>
      <c r="F7544" s="2">
        <v>2</v>
      </c>
      <c r="G7544" s="2" t="s">
        <v>9</v>
      </c>
    </row>
    <row r="7545" spans="1:9" x14ac:dyDescent="0.2">
      <c r="A7545" s="2" t="s">
        <v>3250</v>
      </c>
      <c r="B7545" s="2" t="s">
        <v>467</v>
      </c>
      <c r="C7545" s="2">
        <v>692.35109999999997</v>
      </c>
      <c r="D7545" s="2">
        <f>HYPERLINK("http://mcb-m6.bioreg.kyushu-u.ac.jp/M3/20110404/F50779/1482/1", 55.74)</f>
        <v>55.74</v>
      </c>
      <c r="E7545" s="2">
        <v>26.53</v>
      </c>
      <c r="F7545" s="2">
        <v>2</v>
      </c>
      <c r="G7545" s="2" t="s">
        <v>9</v>
      </c>
    </row>
    <row r="7546" spans="1:9" x14ac:dyDescent="0.2">
      <c r="A7546" s="2" t="s">
        <v>3250</v>
      </c>
      <c r="B7546" s="2" t="s">
        <v>481</v>
      </c>
      <c r="C7546" s="2">
        <v>1417.498</v>
      </c>
      <c r="D7546" s="2">
        <f>HYPERLINK("http://mcb-m6.bioreg.kyushu-u.ac.jp/M3/20110404/F50762/1693/1", 55.74)</f>
        <v>55.74</v>
      </c>
      <c r="E7546" s="2">
        <v>45.82</v>
      </c>
      <c r="F7546" s="2">
        <v>1</v>
      </c>
      <c r="G7546" s="2" t="s">
        <v>9</v>
      </c>
      <c r="I7546" s="2" t="s">
        <v>4898</v>
      </c>
    </row>
    <row r="7547" spans="1:9" x14ac:dyDescent="0.2">
      <c r="A7547" s="2" t="s">
        <v>3250</v>
      </c>
      <c r="B7547" s="2" t="s">
        <v>175</v>
      </c>
      <c r="C7547" s="2">
        <v>784.29570000000001</v>
      </c>
      <c r="D7547" s="2">
        <f>HYPERLINK("http://mcb-m6.bioreg.kyushu-u.ac.jp/M3/20110404/F50767/1948/1", 55.92)</f>
        <v>55.92</v>
      </c>
      <c r="E7547" s="2">
        <v>40.56</v>
      </c>
      <c r="F7547" s="2">
        <v>2</v>
      </c>
      <c r="G7547" s="2" t="s">
        <v>9</v>
      </c>
      <c r="I7547" s="2" t="s">
        <v>4893</v>
      </c>
    </row>
    <row r="7548" spans="1:9" x14ac:dyDescent="0.2">
      <c r="A7548" s="2" t="s">
        <v>3250</v>
      </c>
      <c r="B7548" s="2" t="s">
        <v>772</v>
      </c>
      <c r="C7548" s="2">
        <v>1190.56</v>
      </c>
      <c r="D7548" s="2">
        <f>HYPERLINK("http://mcb-m6.bioreg.kyushu-u.ac.jp/M3/20110404/F50764/1289/1", 55.98)</f>
        <v>55.98</v>
      </c>
      <c r="E7548" s="2">
        <v>19.95</v>
      </c>
      <c r="F7548" s="2">
        <v>1</v>
      </c>
      <c r="G7548" s="2" t="s">
        <v>9</v>
      </c>
    </row>
    <row r="7549" spans="1:9" x14ac:dyDescent="0.2">
      <c r="A7549" s="2" t="s">
        <v>3250</v>
      </c>
      <c r="B7549" s="2" t="s">
        <v>604</v>
      </c>
      <c r="C7549" s="2">
        <v>520.82119999999998</v>
      </c>
      <c r="D7549" s="2">
        <f>HYPERLINK("http://mcb-m6.bioreg.kyushu-u.ac.jp/M3/20110404/F50778/895/1", 56.03)</f>
        <v>56.03</v>
      </c>
      <c r="E7549" s="2">
        <v>5.94</v>
      </c>
      <c r="F7549" s="2">
        <v>2</v>
      </c>
      <c r="G7549" s="2" t="s">
        <v>9</v>
      </c>
    </row>
    <row r="7550" spans="1:9" x14ac:dyDescent="0.2">
      <c r="A7550" s="2" t="s">
        <v>3250</v>
      </c>
      <c r="B7550" s="2" t="s">
        <v>365</v>
      </c>
      <c r="C7550" s="2">
        <v>848.91719999999998</v>
      </c>
      <c r="D7550" s="2">
        <f>HYPERLINK("http://mcb-m6.bioreg.kyushu-u.ac.jp/M3/20110404/F50778/2359/1", 56.06)</f>
        <v>56.06</v>
      </c>
      <c r="E7550" s="2">
        <v>40.24</v>
      </c>
      <c r="F7550" s="2">
        <v>2</v>
      </c>
      <c r="G7550" s="2" t="s">
        <v>9</v>
      </c>
    </row>
    <row r="7551" spans="1:9" x14ac:dyDescent="0.2">
      <c r="A7551" s="2" t="s">
        <v>3250</v>
      </c>
      <c r="B7551" s="2" t="s">
        <v>1065</v>
      </c>
      <c r="C7551" s="2">
        <v>717.14469999999994</v>
      </c>
      <c r="D7551" s="2">
        <f>HYPERLINK("http://mcb-m6.bioreg.kyushu-u.ac.jp/M3/20110404/F50753/1923/1", 56.21)</f>
        <v>56.21</v>
      </c>
      <c r="E7551" s="2">
        <v>40.67</v>
      </c>
      <c r="F7551" s="2">
        <v>2</v>
      </c>
      <c r="G7551" s="2" t="s">
        <v>9</v>
      </c>
      <c r="I7551" s="2" t="s">
        <v>4892</v>
      </c>
    </row>
    <row r="7552" spans="1:9" x14ac:dyDescent="0.2">
      <c r="A7552" s="2" t="s">
        <v>3250</v>
      </c>
      <c r="B7552" s="2" t="s">
        <v>481</v>
      </c>
      <c r="C7552" s="2">
        <v>709.34270000000004</v>
      </c>
      <c r="D7552" s="2">
        <f>HYPERLINK("http://mcb-m6.bioreg.kyushu-u.ac.jp/M3/20110404/F50778/1644/1", 56.33)</f>
        <v>56.33</v>
      </c>
      <c r="E7552" s="2">
        <v>39.47</v>
      </c>
      <c r="F7552" s="2">
        <v>2</v>
      </c>
      <c r="G7552" s="2" t="s">
        <v>9</v>
      </c>
      <c r="I7552" s="2" t="s">
        <v>4898</v>
      </c>
    </row>
    <row r="7553" spans="1:9" x14ac:dyDescent="0.2">
      <c r="A7553" s="2" t="s">
        <v>3250</v>
      </c>
      <c r="B7553" s="2" t="s">
        <v>90</v>
      </c>
      <c r="C7553" s="2">
        <v>717.35969999999998</v>
      </c>
      <c r="D7553" s="2">
        <f>HYPERLINK("http://mcb-m6.bioreg.kyushu-u.ac.jp/M3/20110404/F50779/1641/1", 56.42)</f>
        <v>56.42</v>
      </c>
      <c r="E7553" s="2">
        <v>33.22</v>
      </c>
      <c r="F7553" s="2">
        <v>2</v>
      </c>
      <c r="G7553" s="2" t="s">
        <v>9</v>
      </c>
    </row>
    <row r="7554" spans="1:9" x14ac:dyDescent="0.2">
      <c r="A7554" s="2" t="s">
        <v>3250</v>
      </c>
      <c r="B7554" s="2" t="s">
        <v>561</v>
      </c>
      <c r="C7554" s="2">
        <v>1307.6569999999999</v>
      </c>
      <c r="D7554" s="2">
        <f>HYPERLINK("http://mcb-m6.bioreg.kyushu-u.ac.jp/M3/20110404/F50778/1394/1", 56.52)</f>
        <v>56.52</v>
      </c>
      <c r="E7554" s="2">
        <v>43.23</v>
      </c>
      <c r="F7554" s="2">
        <v>1</v>
      </c>
      <c r="G7554" s="2" t="s">
        <v>9</v>
      </c>
    </row>
    <row r="7555" spans="1:9" x14ac:dyDescent="0.2">
      <c r="A7555" s="2" t="s">
        <v>3250</v>
      </c>
      <c r="B7555" s="2" t="s">
        <v>772</v>
      </c>
      <c r="C7555" s="2">
        <v>596.14319999999998</v>
      </c>
      <c r="D7555" s="2">
        <f>HYPERLINK("http://mcb-m6.bioreg.kyushu-u.ac.jp/M3/20110404/F50767/1049/1", 56.54)</f>
        <v>56.54</v>
      </c>
      <c r="E7555" s="2">
        <v>30.67</v>
      </c>
      <c r="F7555" s="2">
        <v>2</v>
      </c>
      <c r="G7555" s="2" t="s">
        <v>9</v>
      </c>
    </row>
    <row r="7556" spans="1:9" x14ac:dyDescent="0.2">
      <c r="A7556" s="2" t="s">
        <v>3250</v>
      </c>
      <c r="B7556" s="2" t="s">
        <v>90</v>
      </c>
      <c r="C7556" s="2">
        <v>716.92359999999996</v>
      </c>
      <c r="D7556" s="2">
        <f>HYPERLINK("http://mcb-m6.bioreg.kyushu-u.ac.jp/M3/20110404/F50778/1716/1", 56.7)</f>
        <v>56.7</v>
      </c>
      <c r="E7556" s="2">
        <v>41.15</v>
      </c>
      <c r="F7556" s="2">
        <v>2</v>
      </c>
      <c r="G7556" s="2" t="s">
        <v>9</v>
      </c>
    </row>
    <row r="7557" spans="1:9" x14ac:dyDescent="0.2">
      <c r="A7557" s="2" t="s">
        <v>3250</v>
      </c>
      <c r="B7557" s="2" t="s">
        <v>90</v>
      </c>
      <c r="C7557" s="2">
        <v>716.76260000000002</v>
      </c>
      <c r="D7557" s="2">
        <f>HYPERLINK("http://mcb-m6.bioreg.kyushu-u.ac.jp/M3/20110404/F50756/1838/1", 56.74)</f>
        <v>56.74</v>
      </c>
      <c r="E7557" s="2">
        <v>20.38</v>
      </c>
      <c r="F7557" s="2">
        <v>2</v>
      </c>
      <c r="G7557" s="2" t="s">
        <v>9</v>
      </c>
    </row>
    <row r="7558" spans="1:9" x14ac:dyDescent="0.2">
      <c r="A7558" s="2" t="s">
        <v>3250</v>
      </c>
      <c r="B7558" s="2" t="s">
        <v>90</v>
      </c>
      <c r="C7558" s="2">
        <v>717.22270000000003</v>
      </c>
      <c r="D7558" s="2">
        <f>HYPERLINK("http://mcb-m6.bioreg.kyushu-u.ac.jp/M3/20110404/F50756/1846/1", 56.83)</f>
        <v>56.83</v>
      </c>
      <c r="E7558" s="2">
        <v>34.619999999999997</v>
      </c>
      <c r="F7558" s="2">
        <v>2</v>
      </c>
      <c r="G7558" s="2" t="s">
        <v>9</v>
      </c>
    </row>
    <row r="7559" spans="1:9" x14ac:dyDescent="0.2">
      <c r="A7559" s="2" t="s">
        <v>3250</v>
      </c>
      <c r="B7559" s="2" t="s">
        <v>30</v>
      </c>
      <c r="C7559" s="2">
        <v>643.92880000000002</v>
      </c>
      <c r="D7559" s="2">
        <f>HYPERLINK("http://mcb-m6.bioreg.kyushu-u.ac.jp/M3/20110404/F50779/2745/1", 56.89)</f>
        <v>56.89</v>
      </c>
      <c r="E7559" s="2">
        <v>40.17</v>
      </c>
      <c r="F7559" s="2">
        <v>3</v>
      </c>
      <c r="G7559" s="2" t="s">
        <v>9</v>
      </c>
      <c r="I7559" s="2" t="s">
        <v>4894</v>
      </c>
    </row>
    <row r="7560" spans="1:9" x14ac:dyDescent="0.2">
      <c r="A7560" s="2" t="s">
        <v>3250</v>
      </c>
      <c r="B7560" s="2" t="s">
        <v>481</v>
      </c>
      <c r="C7560" s="2">
        <v>1417.2840000000001</v>
      </c>
      <c r="D7560" s="2">
        <f>HYPERLINK("http://mcb-m6.bioreg.kyushu-u.ac.jp/M3/20110404/F50753/1878/1", 57.32)</f>
        <v>57.32</v>
      </c>
      <c r="E7560" s="2">
        <v>42.1</v>
      </c>
      <c r="F7560" s="2">
        <v>1</v>
      </c>
      <c r="G7560" s="2" t="s">
        <v>9</v>
      </c>
      <c r="I7560" s="2" t="s">
        <v>4898</v>
      </c>
    </row>
    <row r="7561" spans="1:9" x14ac:dyDescent="0.2">
      <c r="A7561" s="2" t="s">
        <v>3250</v>
      </c>
      <c r="B7561" s="2" t="s">
        <v>1065</v>
      </c>
      <c r="C7561" s="2">
        <v>1433.499</v>
      </c>
      <c r="D7561" s="2">
        <f>HYPERLINK("http://mcb-m6.bioreg.kyushu-u.ac.jp/M3/20110404/F50765/1729/1", 57.38)</f>
        <v>57.38</v>
      </c>
      <c r="E7561" s="2">
        <v>42.21</v>
      </c>
      <c r="F7561" s="2">
        <v>1</v>
      </c>
      <c r="G7561" s="2" t="s">
        <v>9</v>
      </c>
      <c r="I7561" s="2" t="s">
        <v>4892</v>
      </c>
    </row>
    <row r="7562" spans="1:9" x14ac:dyDescent="0.2">
      <c r="A7562" s="2" t="s">
        <v>3250</v>
      </c>
      <c r="B7562" s="2" t="s">
        <v>102</v>
      </c>
      <c r="C7562" s="2">
        <v>608.10820000000001</v>
      </c>
      <c r="D7562" s="2">
        <f>HYPERLINK("http://mcb-m6.bioreg.kyushu-u.ac.jp/M3/20110404/F50766/890/1", 57.39)</f>
        <v>57.39</v>
      </c>
      <c r="E7562" s="2">
        <v>37.4</v>
      </c>
      <c r="F7562" s="2">
        <v>2</v>
      </c>
      <c r="G7562" s="2" t="s">
        <v>9</v>
      </c>
    </row>
    <row r="7563" spans="1:9" x14ac:dyDescent="0.2">
      <c r="A7563" s="2" t="s">
        <v>3250</v>
      </c>
      <c r="B7563" s="2" t="s">
        <v>561</v>
      </c>
      <c r="C7563" s="2">
        <v>654.08320000000003</v>
      </c>
      <c r="D7563" s="2">
        <f>HYPERLINK("http://mcb-m6.bioreg.kyushu-u.ac.jp/M3/20110404/F50766/1075/1", 57.44)</f>
        <v>57.44</v>
      </c>
      <c r="E7563" s="2">
        <v>33.909999999999997</v>
      </c>
      <c r="F7563" s="2">
        <v>2</v>
      </c>
      <c r="G7563" s="2" t="s">
        <v>9</v>
      </c>
    </row>
    <row r="7564" spans="1:9" x14ac:dyDescent="0.2">
      <c r="A7564" s="2" t="s">
        <v>3250</v>
      </c>
      <c r="B7564" s="2" t="s">
        <v>543</v>
      </c>
      <c r="C7564" s="2">
        <v>926.95719999999994</v>
      </c>
      <c r="D7564" s="2">
        <f>HYPERLINK("http://mcb-m6.bioreg.kyushu-u.ac.jp/M3/20110404/F50765/2581/1", 57.57)</f>
        <v>57.57</v>
      </c>
      <c r="E7564" s="2">
        <v>42.34</v>
      </c>
      <c r="F7564" s="2">
        <v>2</v>
      </c>
      <c r="G7564" s="2" t="s">
        <v>9</v>
      </c>
    </row>
    <row r="7565" spans="1:9" x14ac:dyDescent="0.2">
      <c r="A7565" s="2" t="s">
        <v>3250</v>
      </c>
      <c r="B7565" s="2" t="s">
        <v>311</v>
      </c>
      <c r="C7565" s="2">
        <v>599.25959999999998</v>
      </c>
      <c r="D7565" s="2">
        <f>HYPERLINK("http://mcb-m6.bioreg.kyushu-u.ac.jp/M3/20110404/F50756/1350/1", 57.64)</f>
        <v>57.64</v>
      </c>
      <c r="E7565" s="2">
        <v>35.880000000000003</v>
      </c>
      <c r="F7565" s="2">
        <v>2</v>
      </c>
      <c r="G7565" s="2" t="s">
        <v>9</v>
      </c>
    </row>
    <row r="7566" spans="1:9" x14ac:dyDescent="0.2">
      <c r="A7566" s="2" t="s">
        <v>3250</v>
      </c>
      <c r="B7566" s="2" t="s">
        <v>561</v>
      </c>
      <c r="C7566" s="2">
        <v>1323.614</v>
      </c>
      <c r="D7566" s="2">
        <f>HYPERLINK("http://mcb-m6.bioreg.kyushu-u.ac.jp/M3/20110404/F50778/1423/1", 57.81)</f>
        <v>57.81</v>
      </c>
      <c r="E7566" s="2">
        <v>35.64</v>
      </c>
      <c r="F7566" s="2">
        <v>1</v>
      </c>
      <c r="G7566" s="2" t="s">
        <v>9</v>
      </c>
      <c r="H7566" s="2" t="s">
        <v>4919</v>
      </c>
    </row>
    <row r="7567" spans="1:9" x14ac:dyDescent="0.2">
      <c r="A7567" s="2" t="s">
        <v>3250</v>
      </c>
      <c r="B7567" s="2" t="s">
        <v>365</v>
      </c>
      <c r="C7567" s="2">
        <v>849.33619999999996</v>
      </c>
      <c r="D7567" s="2">
        <f>HYPERLINK("http://mcb-m6.bioreg.kyushu-u.ac.jp/M3/20110404/F50752/2442/1", 57.81)</f>
        <v>57.81</v>
      </c>
      <c r="E7567" s="2">
        <v>41.04</v>
      </c>
      <c r="F7567" s="2">
        <v>2</v>
      </c>
      <c r="G7567" s="2" t="s">
        <v>9</v>
      </c>
    </row>
    <row r="7568" spans="1:9" x14ac:dyDescent="0.2">
      <c r="A7568" s="2" t="s">
        <v>3250</v>
      </c>
      <c r="B7568" s="2" t="s">
        <v>1581</v>
      </c>
      <c r="C7568" s="2">
        <v>765.47280000000001</v>
      </c>
      <c r="D7568" s="2">
        <f>HYPERLINK("http://mcb-m6.bioreg.kyushu-u.ac.jp/M3/20110404/F50778/3397/1", 57.98)</f>
        <v>57.98</v>
      </c>
      <c r="E7568" s="2">
        <v>40.159999999999997</v>
      </c>
      <c r="F7568" s="2">
        <v>3</v>
      </c>
      <c r="G7568" s="2" t="s">
        <v>9</v>
      </c>
      <c r="I7568" s="2" t="s">
        <v>4895</v>
      </c>
    </row>
    <row r="7569" spans="1:9" x14ac:dyDescent="0.2">
      <c r="A7569" s="2" t="s">
        <v>3250</v>
      </c>
      <c r="B7569" s="2" t="s">
        <v>90</v>
      </c>
      <c r="C7569" s="2">
        <v>717.06119999999999</v>
      </c>
      <c r="D7569" s="2">
        <f>HYPERLINK("http://mcb-m6.bioreg.kyushu-u.ac.jp/M3/20110404/F50778/1719/1", 58.06)</f>
        <v>58.06</v>
      </c>
      <c r="E7569" s="2">
        <v>13.13</v>
      </c>
      <c r="F7569" s="2">
        <v>2</v>
      </c>
      <c r="G7569" s="2" t="s">
        <v>9</v>
      </c>
    </row>
    <row r="7570" spans="1:9" x14ac:dyDescent="0.2">
      <c r="A7570" s="2" t="s">
        <v>3250</v>
      </c>
      <c r="B7570" s="2" t="s">
        <v>365</v>
      </c>
      <c r="C7570" s="2">
        <v>849.33259999999996</v>
      </c>
      <c r="D7570" s="2">
        <f>HYPERLINK("http://mcb-m6.bioreg.kyushu-u.ac.jp/M3/20110404/F50763/2301/1", 58.06)</f>
        <v>58.06</v>
      </c>
      <c r="E7570" s="2">
        <v>42.82</v>
      </c>
      <c r="F7570" s="2">
        <v>2</v>
      </c>
      <c r="G7570" s="2" t="s">
        <v>9</v>
      </c>
    </row>
    <row r="7571" spans="1:9" x14ac:dyDescent="0.2">
      <c r="A7571" s="2" t="s">
        <v>3250</v>
      </c>
      <c r="B7571" s="2" t="s">
        <v>175</v>
      </c>
      <c r="C7571" s="2">
        <v>784.54610000000002</v>
      </c>
      <c r="D7571" s="2">
        <f>HYPERLINK("http://mcb-m6.bioreg.kyushu-u.ac.jp/M3/20110404/F50765/2037/1", 58.06)</f>
        <v>58.06</v>
      </c>
      <c r="E7571" s="2">
        <v>42.96</v>
      </c>
      <c r="F7571" s="2">
        <v>2</v>
      </c>
      <c r="G7571" s="2" t="s">
        <v>9</v>
      </c>
      <c r="I7571" s="2" t="s">
        <v>4893</v>
      </c>
    </row>
    <row r="7572" spans="1:9" x14ac:dyDescent="0.2">
      <c r="A7572" s="2" t="s">
        <v>3250</v>
      </c>
      <c r="B7572" s="2" t="s">
        <v>888</v>
      </c>
      <c r="C7572" s="2">
        <v>811.44119999999998</v>
      </c>
      <c r="D7572" s="2">
        <f>HYPERLINK("http://mcb-m6.bioreg.kyushu-u.ac.jp/M3/20110404/F50779/3454/1", 58.15)</f>
        <v>58.15</v>
      </c>
      <c r="E7572" s="2">
        <v>44.51</v>
      </c>
      <c r="F7572" s="2">
        <v>3</v>
      </c>
      <c r="G7572" s="2" t="s">
        <v>9</v>
      </c>
      <c r="I7572" s="2" t="s">
        <v>4895</v>
      </c>
    </row>
    <row r="7573" spans="1:9" x14ac:dyDescent="0.2">
      <c r="A7573" s="2" t="s">
        <v>3250</v>
      </c>
      <c r="B7573" s="2" t="s">
        <v>772</v>
      </c>
      <c r="C7573" s="2">
        <v>1190.6369999999999</v>
      </c>
      <c r="D7573" s="2">
        <f>HYPERLINK("http://mcb-m6.bioreg.kyushu-u.ac.jp/M3/20110404/F50779/1089/1", 58.21)</f>
        <v>58.21</v>
      </c>
      <c r="E7573" s="2">
        <v>27.22</v>
      </c>
      <c r="F7573" s="2">
        <v>1</v>
      </c>
      <c r="G7573" s="2" t="s">
        <v>9</v>
      </c>
    </row>
    <row r="7574" spans="1:9" x14ac:dyDescent="0.2">
      <c r="A7574" s="2" t="s">
        <v>3250</v>
      </c>
      <c r="B7574" s="2" t="s">
        <v>102</v>
      </c>
      <c r="C7574" s="2">
        <v>608.53520000000003</v>
      </c>
      <c r="D7574" s="2">
        <f>HYPERLINK("http://mcb-m6.bioreg.kyushu-u.ac.jp/M3/20110404/F50752/1689/1", 58.23)</f>
        <v>58.23</v>
      </c>
      <c r="E7574" s="2">
        <v>37.200000000000003</v>
      </c>
      <c r="F7574" s="2">
        <v>2</v>
      </c>
      <c r="G7574" s="2" t="s">
        <v>9</v>
      </c>
    </row>
    <row r="7575" spans="1:9" x14ac:dyDescent="0.2">
      <c r="A7575" s="2" t="s">
        <v>3250</v>
      </c>
      <c r="B7575" s="2" t="s">
        <v>77</v>
      </c>
      <c r="C7575" s="2">
        <v>1148.549</v>
      </c>
      <c r="D7575" s="2">
        <f>HYPERLINK("http://mcb-m6.bioreg.kyushu-u.ac.jp/M3/20110404/F50779/1003/1", 58.26)</f>
        <v>58.26</v>
      </c>
      <c r="E7575" s="2">
        <v>35.72</v>
      </c>
      <c r="F7575" s="2">
        <v>1</v>
      </c>
      <c r="G7575" s="2" t="s">
        <v>9</v>
      </c>
    </row>
    <row r="7576" spans="1:9" x14ac:dyDescent="0.2">
      <c r="A7576" s="2" t="s">
        <v>3250</v>
      </c>
      <c r="B7576" s="2" t="s">
        <v>90</v>
      </c>
      <c r="C7576" s="2">
        <v>717.01009999999997</v>
      </c>
      <c r="D7576" s="2">
        <f>HYPERLINK("http://mcb-m6.bioreg.kyushu-u.ac.jp/M3/20110404/F50764/1780/1", 58.42)</f>
        <v>58.42</v>
      </c>
      <c r="E7576" s="2">
        <v>38.5</v>
      </c>
      <c r="F7576" s="2">
        <v>2</v>
      </c>
      <c r="G7576" s="2" t="s">
        <v>9</v>
      </c>
    </row>
    <row r="7577" spans="1:9" x14ac:dyDescent="0.2">
      <c r="A7577" s="2" t="s">
        <v>3250</v>
      </c>
      <c r="B7577" s="2" t="s">
        <v>30</v>
      </c>
      <c r="C7577" s="2">
        <v>643.86580000000004</v>
      </c>
      <c r="D7577" s="2">
        <f>HYPERLINK("http://mcb-m6.bioreg.kyushu-u.ac.jp/M3/20110404/F50766/2826/1", 58.51)</f>
        <v>58.51</v>
      </c>
      <c r="E7577" s="2">
        <v>35.869999999999997</v>
      </c>
      <c r="F7577" s="2">
        <v>3</v>
      </c>
      <c r="G7577" s="2" t="s">
        <v>9</v>
      </c>
      <c r="I7577" s="2" t="s">
        <v>4894</v>
      </c>
    </row>
    <row r="7578" spans="1:9" x14ac:dyDescent="0.2">
      <c r="A7578" s="2" t="s">
        <v>3250</v>
      </c>
      <c r="B7578" s="2" t="s">
        <v>1065</v>
      </c>
      <c r="C7578" s="2">
        <v>716.81020000000001</v>
      </c>
      <c r="D7578" s="2">
        <f>HYPERLINK("http://mcb-m6.bioreg.kyushu-u.ac.jp/M3/20110404/F50779/1626/1", 58.55)</f>
        <v>58.55</v>
      </c>
      <c r="E7578" s="2">
        <v>49.56</v>
      </c>
      <c r="F7578" s="2">
        <v>2</v>
      </c>
      <c r="G7578" s="2" t="s">
        <v>9</v>
      </c>
      <c r="I7578" s="2" t="s">
        <v>4892</v>
      </c>
    </row>
    <row r="7579" spans="1:9" x14ac:dyDescent="0.2">
      <c r="A7579" s="2" t="s">
        <v>3250</v>
      </c>
      <c r="B7579" s="2" t="s">
        <v>503</v>
      </c>
      <c r="C7579" s="2">
        <v>1616.27</v>
      </c>
      <c r="D7579" s="2">
        <f>HYPERLINK("http://mcb-m6.bioreg.kyushu-u.ac.jp/M3/20110404/F50779/2069/1", 58.63)</f>
        <v>58.63</v>
      </c>
      <c r="E7579" s="2">
        <v>48.58</v>
      </c>
      <c r="F7579" s="2">
        <v>1</v>
      </c>
      <c r="G7579" s="2" t="s">
        <v>9</v>
      </c>
    </row>
    <row r="7580" spans="1:9" x14ac:dyDescent="0.2">
      <c r="A7580" s="2" t="s">
        <v>3250</v>
      </c>
      <c r="B7580" s="2" t="s">
        <v>1065</v>
      </c>
      <c r="C7580" s="2">
        <v>1432.7380000000001</v>
      </c>
      <c r="D7580" s="2">
        <f>HYPERLINK("http://mcb-m6.bioreg.kyushu-u.ac.jp/M3/20110404/F50764/1777/1", 58.63)</f>
        <v>58.63</v>
      </c>
      <c r="E7580" s="2">
        <v>39.799999999999997</v>
      </c>
      <c r="F7580" s="2">
        <v>1</v>
      </c>
      <c r="G7580" s="2" t="s">
        <v>9</v>
      </c>
      <c r="I7580" s="2" t="s">
        <v>4892</v>
      </c>
    </row>
    <row r="7581" spans="1:9" x14ac:dyDescent="0.2">
      <c r="A7581" s="2" t="s">
        <v>3250</v>
      </c>
      <c r="B7581" s="2" t="s">
        <v>1065</v>
      </c>
      <c r="C7581" s="2">
        <v>1432.4680000000001</v>
      </c>
      <c r="D7581" s="2">
        <f>HYPERLINK("http://mcb-m6.bioreg.kyushu-u.ac.jp/M3/20110404/F50756/1837/1", 58.67)</f>
        <v>58.67</v>
      </c>
      <c r="E7581" s="2">
        <v>46.6</v>
      </c>
      <c r="F7581" s="2">
        <v>1</v>
      </c>
      <c r="G7581" s="2" t="s">
        <v>9</v>
      </c>
      <c r="I7581" s="2" t="s">
        <v>4892</v>
      </c>
    </row>
    <row r="7582" spans="1:9" x14ac:dyDescent="0.2">
      <c r="A7582" s="2" t="s">
        <v>3250</v>
      </c>
      <c r="B7582" s="2" t="s">
        <v>772</v>
      </c>
      <c r="C7582" s="2">
        <v>1190.3219999999999</v>
      </c>
      <c r="D7582" s="2">
        <f>HYPERLINK("http://mcb-m6.bioreg.kyushu-u.ac.jp/M3/20110404/F50766/848/1", 58.92)</f>
        <v>58.92</v>
      </c>
      <c r="E7582" s="2">
        <v>28.39</v>
      </c>
      <c r="F7582" s="2">
        <v>1</v>
      </c>
      <c r="G7582" s="2" t="s">
        <v>9</v>
      </c>
    </row>
    <row r="7583" spans="1:9" x14ac:dyDescent="0.2">
      <c r="A7583" s="2" t="s">
        <v>3250</v>
      </c>
      <c r="B7583" s="2" t="s">
        <v>6017</v>
      </c>
      <c r="C7583" s="2">
        <v>1203.694</v>
      </c>
      <c r="D7583" s="2">
        <f>HYPERLINK("http://mcb-m6.bioreg.kyushu-u.ac.jp/M3/20110404/F50779/3424/1", 58.94)</f>
        <v>58.94</v>
      </c>
      <c r="E7583" s="2">
        <v>53.99</v>
      </c>
      <c r="F7583" s="2">
        <v>2</v>
      </c>
      <c r="G7583" s="2" t="s">
        <v>9</v>
      </c>
      <c r="H7583" s="2" t="s">
        <v>4907</v>
      </c>
      <c r="I7583" s="2" t="s">
        <v>4895</v>
      </c>
    </row>
    <row r="7584" spans="1:9" x14ac:dyDescent="0.2">
      <c r="A7584" s="2" t="s">
        <v>3250</v>
      </c>
      <c r="B7584" s="2" t="s">
        <v>503</v>
      </c>
      <c r="C7584" s="2">
        <v>1616.7329999999999</v>
      </c>
      <c r="D7584" s="2">
        <f>HYPERLINK("http://mcb-m6.bioreg.kyushu-u.ac.jp/M3/20110404/F50778/2173/1", 59.02)</f>
        <v>59.02</v>
      </c>
      <c r="E7584" s="2">
        <v>54.18</v>
      </c>
      <c r="F7584" s="2">
        <v>1</v>
      </c>
      <c r="G7584" s="2" t="s">
        <v>9</v>
      </c>
    </row>
    <row r="7585" spans="1:9" x14ac:dyDescent="0.2">
      <c r="A7585" s="2" t="s">
        <v>3250</v>
      </c>
      <c r="B7585" s="2" t="s">
        <v>311</v>
      </c>
      <c r="C7585" s="2">
        <v>606.68910000000005</v>
      </c>
      <c r="D7585" s="2">
        <f>HYPERLINK("http://mcb-m6.bioreg.kyushu-u.ac.jp/M3/20110404/F50777/1349/1", 59.12)</f>
        <v>59.12</v>
      </c>
      <c r="E7585" s="2">
        <v>41.77</v>
      </c>
      <c r="F7585" s="2">
        <v>2</v>
      </c>
      <c r="G7585" s="2" t="s">
        <v>9</v>
      </c>
      <c r="H7585" s="2" t="s">
        <v>4908</v>
      </c>
    </row>
    <row r="7586" spans="1:9" x14ac:dyDescent="0.2">
      <c r="A7586" s="2" t="s">
        <v>3250</v>
      </c>
      <c r="B7586" s="2" t="s">
        <v>1665</v>
      </c>
      <c r="C7586" s="2">
        <v>765.02819999999997</v>
      </c>
      <c r="D7586" s="2">
        <f>HYPERLINK("http://mcb-m6.bioreg.kyushu-u.ac.jp/M3/20110404/F50779/3272/1", 59.16)</f>
        <v>59.16</v>
      </c>
      <c r="E7586" s="2">
        <v>48.08</v>
      </c>
      <c r="F7586" s="2">
        <v>3</v>
      </c>
      <c r="G7586" s="2" t="s">
        <v>9</v>
      </c>
    </row>
    <row r="7587" spans="1:9" x14ac:dyDescent="0.2">
      <c r="A7587" s="2" t="s">
        <v>3250</v>
      </c>
      <c r="B7587" s="2" t="s">
        <v>356</v>
      </c>
      <c r="C7587" s="2">
        <v>815.68910000000005</v>
      </c>
      <c r="D7587" s="2">
        <f>HYPERLINK("http://mcb-m6.bioreg.kyushu-u.ac.jp/M3/20110404/F50767/2087/1", 59.34)</f>
        <v>59.34</v>
      </c>
      <c r="E7587" s="2">
        <v>40.28</v>
      </c>
      <c r="F7587" s="2">
        <v>2</v>
      </c>
      <c r="G7587" s="2" t="s">
        <v>9</v>
      </c>
    </row>
    <row r="7588" spans="1:9" x14ac:dyDescent="0.2">
      <c r="A7588" s="2" t="s">
        <v>3250</v>
      </c>
      <c r="B7588" s="2" t="s">
        <v>311</v>
      </c>
      <c r="C7588" s="2">
        <v>598.5702</v>
      </c>
      <c r="D7588" s="2">
        <f>HYPERLINK("http://mcb-m6.bioreg.kyushu-u.ac.jp/M3/20110404/F50766/859/1", 59.35)</f>
        <v>59.35</v>
      </c>
      <c r="E7588" s="2">
        <v>44.05</v>
      </c>
      <c r="F7588" s="2">
        <v>2</v>
      </c>
      <c r="G7588" s="2" t="s">
        <v>9</v>
      </c>
    </row>
    <row r="7589" spans="1:9" x14ac:dyDescent="0.2">
      <c r="A7589" s="2" t="s">
        <v>3250</v>
      </c>
      <c r="B7589" s="2" t="s">
        <v>467</v>
      </c>
      <c r="C7589" s="2">
        <v>1383.5250000000001</v>
      </c>
      <c r="D7589" s="2">
        <f>HYPERLINK("http://mcb-m6.bioreg.kyushu-u.ac.jp/M3/20110404/F50764/1648/1", 59.56)</f>
        <v>59.56</v>
      </c>
      <c r="E7589" s="2">
        <v>49.09</v>
      </c>
      <c r="F7589" s="2">
        <v>1</v>
      </c>
      <c r="G7589" s="2" t="s">
        <v>9</v>
      </c>
    </row>
    <row r="7590" spans="1:9" x14ac:dyDescent="0.2">
      <c r="A7590" s="2" t="s">
        <v>3250</v>
      </c>
      <c r="B7590" s="2" t="s">
        <v>772</v>
      </c>
      <c r="C7590" s="2">
        <v>595.67070000000001</v>
      </c>
      <c r="D7590" s="2">
        <f>HYPERLINK("http://mcb-m6.bioreg.kyushu-u.ac.jp/M3/20110404/F50765/1223/1", 59.6)</f>
        <v>59.6</v>
      </c>
      <c r="E7590" s="2">
        <v>38.54</v>
      </c>
      <c r="F7590" s="2">
        <v>2</v>
      </c>
      <c r="G7590" s="2" t="s">
        <v>9</v>
      </c>
    </row>
    <row r="7591" spans="1:9" x14ac:dyDescent="0.2">
      <c r="A7591" s="2" t="s">
        <v>3250</v>
      </c>
      <c r="B7591" s="2" t="s">
        <v>481</v>
      </c>
      <c r="C7591" s="2">
        <v>1417.5309999999999</v>
      </c>
      <c r="D7591" s="2">
        <f>HYPERLINK("http://mcb-m6.bioreg.kyushu-u.ac.jp/M3/20110404/F50765/1680/1", 59.6)</f>
        <v>59.6</v>
      </c>
      <c r="E7591" s="2">
        <v>47.84</v>
      </c>
      <c r="F7591" s="2">
        <v>1</v>
      </c>
      <c r="G7591" s="2" t="s">
        <v>9</v>
      </c>
      <c r="I7591" s="2" t="s">
        <v>4898</v>
      </c>
    </row>
    <row r="7592" spans="1:9" x14ac:dyDescent="0.2">
      <c r="A7592" s="2" t="s">
        <v>3250</v>
      </c>
      <c r="B7592" s="2" t="s">
        <v>90</v>
      </c>
      <c r="C7592" s="2">
        <v>716.9117</v>
      </c>
      <c r="D7592" s="2">
        <f>HYPERLINK("http://mcb-m6.bioreg.kyushu-u.ac.jp/M3/20110404/F50755/1822/1", 59.71)</f>
        <v>59.71</v>
      </c>
      <c r="E7592" s="2">
        <v>34.799999999999997</v>
      </c>
      <c r="F7592" s="2">
        <v>2</v>
      </c>
      <c r="G7592" s="2" t="s">
        <v>9</v>
      </c>
    </row>
    <row r="7593" spans="1:9" x14ac:dyDescent="0.2">
      <c r="A7593" s="2" t="s">
        <v>3250</v>
      </c>
      <c r="B7593" s="2" t="s">
        <v>356</v>
      </c>
      <c r="C7593" s="2">
        <v>816.4932</v>
      </c>
      <c r="D7593" s="2">
        <f>HYPERLINK("http://mcb-m6.bioreg.kyushu-u.ac.jp/M3/20110404/F50755/2310/1", 59.71)</f>
        <v>59.71</v>
      </c>
      <c r="E7593" s="2">
        <v>46.69</v>
      </c>
      <c r="F7593" s="2">
        <v>2</v>
      </c>
      <c r="G7593" s="2" t="s">
        <v>9</v>
      </c>
    </row>
    <row r="7594" spans="1:9" x14ac:dyDescent="0.2">
      <c r="A7594" s="2" t="s">
        <v>3250</v>
      </c>
      <c r="B7594" s="2" t="s">
        <v>1065</v>
      </c>
      <c r="C7594" s="2">
        <v>1433.3689999999999</v>
      </c>
      <c r="D7594" s="2">
        <f>HYPERLINK("http://mcb-m6.bioreg.kyushu-u.ac.jp/M3/20110404/F50766/1409/1", 59.83)</f>
        <v>59.83</v>
      </c>
      <c r="E7594" s="2">
        <v>41.89</v>
      </c>
      <c r="F7594" s="2">
        <v>1</v>
      </c>
      <c r="G7594" s="2" t="s">
        <v>9</v>
      </c>
      <c r="I7594" s="2" t="s">
        <v>4892</v>
      </c>
    </row>
    <row r="7595" spans="1:9" x14ac:dyDescent="0.2">
      <c r="A7595" s="2" t="s">
        <v>3250</v>
      </c>
      <c r="B7595" s="2" t="s">
        <v>77</v>
      </c>
      <c r="C7595" s="2">
        <v>574.71510000000001</v>
      </c>
      <c r="D7595" s="2">
        <f>HYPERLINK("http://mcb-m6.bioreg.kyushu-u.ac.jp/M3/20110404/F50764/1209/1", 59.87)</f>
        <v>59.87</v>
      </c>
      <c r="E7595" s="2">
        <v>31.98</v>
      </c>
      <c r="F7595" s="2">
        <v>2</v>
      </c>
      <c r="G7595" s="2" t="s">
        <v>9</v>
      </c>
    </row>
    <row r="7596" spans="1:9" x14ac:dyDescent="0.2">
      <c r="A7596" s="2" t="s">
        <v>3250</v>
      </c>
      <c r="B7596" s="2" t="s">
        <v>398</v>
      </c>
      <c r="C7596" s="2">
        <v>640.36109999999996</v>
      </c>
      <c r="D7596" s="2">
        <f>HYPERLINK("http://mcb-m6.bioreg.kyushu-u.ac.jp/M3/20110404/F50764/1450/1", 59.95)</f>
        <v>59.95</v>
      </c>
      <c r="E7596" s="2">
        <v>38</v>
      </c>
      <c r="F7596" s="2">
        <v>2</v>
      </c>
      <c r="G7596" s="2" t="s">
        <v>9</v>
      </c>
    </row>
    <row r="7597" spans="1:9" x14ac:dyDescent="0.2">
      <c r="A7597" s="2" t="s">
        <v>3250</v>
      </c>
      <c r="B7597" s="2" t="s">
        <v>365</v>
      </c>
      <c r="C7597" s="2">
        <v>1697.617</v>
      </c>
      <c r="D7597" s="2">
        <f>HYPERLINK("http://mcb-m6.bioreg.kyushu-u.ac.jp/M3/20110404/F50766/2159/1", 59.95)</f>
        <v>59.95</v>
      </c>
      <c r="E7597" s="2">
        <v>41.23</v>
      </c>
      <c r="F7597" s="2">
        <v>1</v>
      </c>
      <c r="G7597" s="2" t="s">
        <v>9</v>
      </c>
    </row>
    <row r="7598" spans="1:9" x14ac:dyDescent="0.2">
      <c r="A7598" s="2" t="s">
        <v>3250</v>
      </c>
      <c r="B7598" s="2" t="s">
        <v>481</v>
      </c>
      <c r="C7598" s="2">
        <v>709.32870000000003</v>
      </c>
      <c r="D7598" s="2">
        <f>HYPERLINK("http://mcb-m6.bioreg.kyushu-u.ac.jp/M3/20110404/F50779/1562/1", 60.05)</f>
        <v>60.05</v>
      </c>
      <c r="E7598" s="2">
        <v>44.15</v>
      </c>
      <c r="F7598" s="2">
        <v>2</v>
      </c>
      <c r="G7598" s="2" t="s">
        <v>9</v>
      </c>
      <c r="I7598" s="2" t="s">
        <v>4898</v>
      </c>
    </row>
    <row r="7599" spans="1:9" x14ac:dyDescent="0.2">
      <c r="A7599" s="2" t="s">
        <v>3250</v>
      </c>
      <c r="B7599" s="2" t="s">
        <v>561</v>
      </c>
      <c r="C7599" s="2">
        <v>1323.482</v>
      </c>
      <c r="D7599" s="2">
        <f>HYPERLINK("http://mcb-m6.bioreg.kyushu-u.ac.jp/M3/20110404/F50753/1699/1", 60.28)</f>
        <v>60.28</v>
      </c>
      <c r="E7599" s="2">
        <v>38.11</v>
      </c>
      <c r="F7599" s="2">
        <v>1</v>
      </c>
      <c r="G7599" s="2" t="s">
        <v>9</v>
      </c>
      <c r="H7599" s="2" t="s">
        <v>4919</v>
      </c>
    </row>
    <row r="7600" spans="1:9" x14ac:dyDescent="0.2">
      <c r="A7600" s="2" t="s">
        <v>3250</v>
      </c>
      <c r="B7600" s="2" t="s">
        <v>543</v>
      </c>
      <c r="C7600" s="2">
        <v>927.00519999999995</v>
      </c>
      <c r="D7600" s="2">
        <f>HYPERLINK("http://mcb-m6.bioreg.kyushu-u.ac.jp/M3/20110404/F50763/2572/1", 60.32)</f>
        <v>60.32</v>
      </c>
      <c r="E7600" s="2">
        <v>46.8</v>
      </c>
      <c r="F7600" s="2">
        <v>2</v>
      </c>
      <c r="G7600" s="2" t="s">
        <v>9</v>
      </c>
    </row>
    <row r="7601" spans="1:9" x14ac:dyDescent="0.2">
      <c r="A7601" s="2" t="s">
        <v>3250</v>
      </c>
      <c r="B7601" s="2" t="s">
        <v>311</v>
      </c>
      <c r="C7601" s="2">
        <v>606.73220000000003</v>
      </c>
      <c r="D7601" s="2">
        <f>HYPERLINK("http://mcb-m6.bioreg.kyushu-u.ac.jp/M3/20110404/F50756/1377/1", 60.34)</f>
        <v>60.34</v>
      </c>
      <c r="E7601" s="2">
        <v>35.04</v>
      </c>
      <c r="F7601" s="2">
        <v>2</v>
      </c>
      <c r="G7601" s="2" t="s">
        <v>9</v>
      </c>
      <c r="H7601" s="2" t="s">
        <v>4908</v>
      </c>
    </row>
    <row r="7602" spans="1:9" x14ac:dyDescent="0.2">
      <c r="A7602" s="2" t="s">
        <v>3250</v>
      </c>
      <c r="B7602" s="2" t="s">
        <v>481</v>
      </c>
      <c r="C7602" s="2">
        <v>1417.626</v>
      </c>
      <c r="D7602" s="2">
        <f>HYPERLINK("http://mcb-m6.bioreg.kyushu-u.ac.jp/M3/20110404/F50778/1643/1", 60.41)</f>
        <v>60.41</v>
      </c>
      <c r="E7602" s="2">
        <v>48.53</v>
      </c>
      <c r="F7602" s="2">
        <v>1</v>
      </c>
      <c r="G7602" s="2" t="s">
        <v>9</v>
      </c>
      <c r="I7602" s="2" t="s">
        <v>4898</v>
      </c>
    </row>
    <row r="7603" spans="1:9" x14ac:dyDescent="0.2">
      <c r="A7603" s="2" t="s">
        <v>3250</v>
      </c>
      <c r="B7603" s="2" t="s">
        <v>467</v>
      </c>
      <c r="C7603" s="2">
        <v>1382.59</v>
      </c>
      <c r="D7603" s="2">
        <f>HYPERLINK("http://mcb-m6.bioreg.kyushu-u.ac.jp/M3/20110404/F50778/1562/1", 60.61)</f>
        <v>60.61</v>
      </c>
      <c r="E7603" s="2">
        <v>45.69</v>
      </c>
      <c r="F7603" s="2">
        <v>1</v>
      </c>
      <c r="G7603" s="2" t="s">
        <v>9</v>
      </c>
    </row>
    <row r="7604" spans="1:9" x14ac:dyDescent="0.2">
      <c r="A7604" s="2" t="s">
        <v>3250</v>
      </c>
      <c r="B7604" s="2" t="s">
        <v>5991</v>
      </c>
      <c r="C7604" s="2">
        <v>1457.675</v>
      </c>
      <c r="D7604" s="2">
        <f>HYPERLINK("http://mcb-m6.bioreg.kyushu-u.ac.jp/M3/20110404/F50779/3846/1", 60.66)</f>
        <v>60.66</v>
      </c>
      <c r="E7604" s="2">
        <v>40.97</v>
      </c>
      <c r="F7604" s="2">
        <v>2</v>
      </c>
      <c r="G7604" s="2" t="s">
        <v>9</v>
      </c>
      <c r="I7604" s="2" t="s">
        <v>4895</v>
      </c>
    </row>
    <row r="7605" spans="1:9" x14ac:dyDescent="0.2">
      <c r="A7605" s="2" t="s">
        <v>3250</v>
      </c>
      <c r="B7605" s="2" t="s">
        <v>356</v>
      </c>
      <c r="C7605" s="2">
        <v>1631.547</v>
      </c>
      <c r="D7605" s="2">
        <f>HYPERLINK("http://mcb-m6.bioreg.kyushu-u.ac.jp/M3/20110404/F50767/2096/1", 60.66)</f>
        <v>60.66</v>
      </c>
      <c r="E7605" s="2">
        <v>50.47</v>
      </c>
      <c r="F7605" s="2">
        <v>1</v>
      </c>
      <c r="G7605" s="2" t="s">
        <v>9</v>
      </c>
    </row>
    <row r="7606" spans="1:9" x14ac:dyDescent="0.2">
      <c r="A7606" s="2" t="s">
        <v>3250</v>
      </c>
      <c r="B7606" s="2" t="s">
        <v>365</v>
      </c>
      <c r="C7606" s="2">
        <v>848.83010000000002</v>
      </c>
      <c r="D7606" s="2">
        <f>HYPERLINK("http://mcb-m6.bioreg.kyushu-u.ac.jp/M3/20110404/F50763/2299/1", 60.73)</f>
        <v>60.73</v>
      </c>
      <c r="E7606" s="2">
        <v>43.42</v>
      </c>
      <c r="F7606" s="2">
        <v>2</v>
      </c>
      <c r="G7606" s="2" t="s">
        <v>9</v>
      </c>
    </row>
    <row r="7607" spans="1:9" x14ac:dyDescent="0.2">
      <c r="A7607" s="2" t="s">
        <v>3250</v>
      </c>
      <c r="B7607" s="2" t="s">
        <v>311</v>
      </c>
      <c r="C7607" s="2">
        <v>598.84010000000001</v>
      </c>
      <c r="D7607" s="2">
        <f>HYPERLINK("http://mcb-m6.bioreg.kyushu-u.ac.jp/M3/20110404/F50762/1313/1", 60.8)</f>
        <v>60.8</v>
      </c>
      <c r="E7607" s="2">
        <v>42.03</v>
      </c>
      <c r="F7607" s="2">
        <v>2</v>
      </c>
      <c r="G7607" s="2" t="s">
        <v>9</v>
      </c>
    </row>
    <row r="7608" spans="1:9" x14ac:dyDescent="0.2">
      <c r="A7608" s="2" t="s">
        <v>3250</v>
      </c>
      <c r="B7608" s="2" t="s">
        <v>90</v>
      </c>
      <c r="C7608" s="2">
        <v>717.30319999999995</v>
      </c>
      <c r="D7608" s="2">
        <f>HYPERLINK("http://mcb-m6.bioreg.kyushu-u.ac.jp/M3/20110404/F50763/1856/1", 60.93)</f>
        <v>60.93</v>
      </c>
      <c r="E7608" s="2">
        <v>39.51</v>
      </c>
      <c r="F7608" s="2">
        <v>2</v>
      </c>
      <c r="G7608" s="2" t="s">
        <v>9</v>
      </c>
    </row>
    <row r="7609" spans="1:9" x14ac:dyDescent="0.2">
      <c r="A7609" s="2" t="s">
        <v>3250</v>
      </c>
      <c r="B7609" s="2" t="s">
        <v>543</v>
      </c>
      <c r="C7609" s="2">
        <v>927.51260000000002</v>
      </c>
      <c r="D7609" s="2">
        <f>HYPERLINK("http://mcb-m6.bioreg.kyushu-u.ac.jp/M3/20110404/F50777/2647/1", 60.96)</f>
        <v>60.96</v>
      </c>
      <c r="E7609" s="2">
        <v>47.27</v>
      </c>
      <c r="F7609" s="2">
        <v>2</v>
      </c>
      <c r="G7609" s="2" t="s">
        <v>9</v>
      </c>
    </row>
    <row r="7610" spans="1:9" x14ac:dyDescent="0.2">
      <c r="A7610" s="2" t="s">
        <v>3250</v>
      </c>
      <c r="B7610" s="2" t="s">
        <v>356</v>
      </c>
      <c r="C7610" s="2">
        <v>815.93269999999995</v>
      </c>
      <c r="D7610" s="2">
        <f>HYPERLINK("http://mcb-m6.bioreg.kyushu-u.ac.jp/M3/20110404/F50779/2106/1", 61.2)</f>
        <v>61.2</v>
      </c>
      <c r="E7610" s="2">
        <v>45.79</v>
      </c>
      <c r="F7610" s="2">
        <v>2</v>
      </c>
      <c r="G7610" s="2" t="s">
        <v>9</v>
      </c>
    </row>
    <row r="7611" spans="1:9" x14ac:dyDescent="0.2">
      <c r="A7611" s="2" t="s">
        <v>3250</v>
      </c>
      <c r="B7611" s="2" t="s">
        <v>5991</v>
      </c>
      <c r="C7611" s="2">
        <v>971.91049999999996</v>
      </c>
      <c r="D7611" s="2">
        <f>HYPERLINK("http://mcb-m6.bioreg.kyushu-u.ac.jp/M3/20110404/F50779/3845/1", 61.24)</f>
        <v>61.24</v>
      </c>
      <c r="E7611" s="2">
        <v>46.06</v>
      </c>
      <c r="F7611" s="2">
        <v>3</v>
      </c>
      <c r="G7611" s="2" t="s">
        <v>9</v>
      </c>
      <c r="I7611" s="2" t="s">
        <v>4895</v>
      </c>
    </row>
    <row r="7612" spans="1:9" x14ac:dyDescent="0.2">
      <c r="A7612" s="2" t="s">
        <v>3250</v>
      </c>
      <c r="B7612" s="2" t="s">
        <v>365</v>
      </c>
      <c r="C7612" s="2">
        <v>849.04970000000003</v>
      </c>
      <c r="D7612" s="2">
        <f>HYPERLINK("http://mcb-m6.bioreg.kyushu-u.ac.jp/M3/20110404/F50779/2246/1", 61.27)</f>
        <v>61.27</v>
      </c>
      <c r="E7612" s="2">
        <v>43.5</v>
      </c>
      <c r="F7612" s="2">
        <v>2</v>
      </c>
      <c r="G7612" s="2" t="s">
        <v>9</v>
      </c>
    </row>
    <row r="7613" spans="1:9" x14ac:dyDescent="0.2">
      <c r="A7613" s="2" t="s">
        <v>3250</v>
      </c>
      <c r="B7613" s="2" t="s">
        <v>311</v>
      </c>
      <c r="C7613" s="2">
        <v>599.32259999999997</v>
      </c>
      <c r="D7613" s="2">
        <f>HYPERLINK("http://mcb-m6.bioreg.kyushu-u.ac.jp/M3/20110404/F50764/1308/1", 61.52)</f>
        <v>61.52</v>
      </c>
      <c r="E7613" s="2">
        <v>42.24</v>
      </c>
      <c r="F7613" s="2">
        <v>2</v>
      </c>
      <c r="G7613" s="2" t="s">
        <v>9</v>
      </c>
    </row>
    <row r="7614" spans="1:9" x14ac:dyDescent="0.2">
      <c r="A7614" s="2" t="s">
        <v>3250</v>
      </c>
      <c r="B7614" s="2" t="s">
        <v>365</v>
      </c>
      <c r="C7614" s="2">
        <v>849.12120000000004</v>
      </c>
      <c r="D7614" s="2">
        <f>HYPERLINK("http://mcb-m6.bioreg.kyushu-u.ac.jp/M3/20110404/F50765/2294/1", 61.64)</f>
        <v>61.64</v>
      </c>
      <c r="E7614" s="2">
        <v>48.73</v>
      </c>
      <c r="F7614" s="2">
        <v>2</v>
      </c>
      <c r="G7614" s="2" t="s">
        <v>9</v>
      </c>
    </row>
    <row r="7615" spans="1:9" x14ac:dyDescent="0.2">
      <c r="A7615" s="2" t="s">
        <v>3250</v>
      </c>
      <c r="B7615" s="2" t="s">
        <v>30</v>
      </c>
      <c r="C7615" s="2">
        <v>964.93769999999995</v>
      </c>
      <c r="D7615" s="2">
        <f>HYPERLINK("http://mcb-m6.bioreg.kyushu-u.ac.jp/M3/20110404/F50778/2860/1", 62.32)</f>
        <v>62.32</v>
      </c>
      <c r="E7615" s="2">
        <v>56.08</v>
      </c>
      <c r="F7615" s="2">
        <v>2</v>
      </c>
      <c r="G7615" s="2" t="s">
        <v>9</v>
      </c>
      <c r="I7615" s="2" t="s">
        <v>4894</v>
      </c>
    </row>
    <row r="7616" spans="1:9" x14ac:dyDescent="0.2">
      <c r="A7616" s="2" t="s">
        <v>3250</v>
      </c>
      <c r="B7616" s="2" t="s">
        <v>604</v>
      </c>
      <c r="C7616" s="2">
        <v>520.87220000000002</v>
      </c>
      <c r="D7616" s="2">
        <f>HYPERLINK("http://mcb-m6.bioreg.kyushu-u.ac.jp/M3/20110404/F50779/838/1", 62.42)</f>
        <v>62.42</v>
      </c>
      <c r="E7616" s="2">
        <v>19.09</v>
      </c>
      <c r="F7616" s="2">
        <v>2</v>
      </c>
      <c r="G7616" s="2" t="s">
        <v>9</v>
      </c>
    </row>
    <row r="7617" spans="1:9" x14ac:dyDescent="0.2">
      <c r="A7617" s="2" t="s">
        <v>3250</v>
      </c>
      <c r="B7617" s="2" t="s">
        <v>772</v>
      </c>
      <c r="C7617" s="2">
        <v>595.74770000000001</v>
      </c>
      <c r="D7617" s="2">
        <f>HYPERLINK("http://mcb-m6.bioreg.kyushu-u.ac.jp/M3/20110404/F50779/1086/1", 62.8)</f>
        <v>62.8</v>
      </c>
      <c r="E7617" s="2">
        <v>32.020000000000003</v>
      </c>
      <c r="F7617" s="2">
        <v>2</v>
      </c>
      <c r="G7617" s="2" t="s">
        <v>9</v>
      </c>
    </row>
    <row r="7618" spans="1:9" x14ac:dyDescent="0.2">
      <c r="A7618" s="2" t="s">
        <v>3250</v>
      </c>
      <c r="B7618" s="2" t="s">
        <v>467</v>
      </c>
      <c r="C7618" s="2">
        <v>691.6866</v>
      </c>
      <c r="D7618" s="2">
        <f>HYPERLINK("http://mcb-m6.bioreg.kyushu-u.ac.jp/M3/20110404/F50755/1710/1", 62.85)</f>
        <v>62.85</v>
      </c>
      <c r="E7618" s="2">
        <v>38.94</v>
      </c>
      <c r="F7618" s="2">
        <v>2</v>
      </c>
      <c r="G7618" s="2" t="s">
        <v>9</v>
      </c>
    </row>
    <row r="7619" spans="1:9" x14ac:dyDescent="0.2">
      <c r="A7619" s="2" t="s">
        <v>3250</v>
      </c>
      <c r="B7619" s="2" t="s">
        <v>365</v>
      </c>
      <c r="C7619" s="2">
        <v>1696.7929999999999</v>
      </c>
      <c r="D7619" s="2">
        <f>HYPERLINK("http://mcb-m6.bioreg.kyushu-u.ac.jp/M3/20110404/F50779/2242/1", 62.91)</f>
        <v>62.91</v>
      </c>
      <c r="E7619" s="2">
        <v>51.3</v>
      </c>
      <c r="F7619" s="2">
        <v>1</v>
      </c>
      <c r="G7619" s="2" t="s">
        <v>9</v>
      </c>
    </row>
    <row r="7620" spans="1:9" x14ac:dyDescent="0.2">
      <c r="A7620" s="2" t="s">
        <v>3250</v>
      </c>
      <c r="B7620" s="2" t="s">
        <v>90</v>
      </c>
      <c r="C7620" s="2">
        <v>716.77070000000003</v>
      </c>
      <c r="D7620" s="2">
        <f>HYPERLINK("http://mcb-m6.bioreg.kyushu-u.ac.jp/M3/20110404/F50764/1774/1", 62.94)</f>
        <v>62.94</v>
      </c>
      <c r="E7620" s="2">
        <v>38.72</v>
      </c>
      <c r="F7620" s="2">
        <v>2</v>
      </c>
      <c r="G7620" s="2" t="s">
        <v>9</v>
      </c>
    </row>
    <row r="7621" spans="1:9" x14ac:dyDescent="0.2">
      <c r="A7621" s="2" t="s">
        <v>3250</v>
      </c>
      <c r="B7621" s="2" t="s">
        <v>561</v>
      </c>
      <c r="C7621" s="2">
        <v>654.74019999999996</v>
      </c>
      <c r="D7621" s="2">
        <f>HYPERLINK("http://mcb-m6.bioreg.kyushu-u.ac.jp/M3/20110404/F50779/1327/1", 63.06)</f>
        <v>63.06</v>
      </c>
      <c r="E7621" s="2">
        <v>45.23</v>
      </c>
      <c r="F7621" s="2">
        <v>2</v>
      </c>
      <c r="G7621" s="2" t="s">
        <v>9</v>
      </c>
    </row>
    <row r="7622" spans="1:9" x14ac:dyDescent="0.2">
      <c r="A7622" s="2" t="s">
        <v>3250</v>
      </c>
      <c r="B7622" s="2" t="s">
        <v>481</v>
      </c>
      <c r="C7622" s="2">
        <v>1417.577</v>
      </c>
      <c r="D7622" s="2">
        <f>HYPERLINK("http://mcb-m6.bioreg.kyushu-u.ac.jp/M3/20110404/F50764/1725/1", 63.15)</f>
        <v>63.15</v>
      </c>
      <c r="E7622" s="2">
        <v>50.17</v>
      </c>
      <c r="F7622" s="2">
        <v>1</v>
      </c>
      <c r="G7622" s="2" t="s">
        <v>9</v>
      </c>
      <c r="I7622" s="2" t="s">
        <v>4898</v>
      </c>
    </row>
    <row r="7623" spans="1:9" x14ac:dyDescent="0.2">
      <c r="A7623" s="2" t="s">
        <v>3250</v>
      </c>
      <c r="B7623" s="2" t="s">
        <v>481</v>
      </c>
      <c r="C7623" s="2">
        <v>1417.5840000000001</v>
      </c>
      <c r="D7623" s="2">
        <f>HYPERLINK("http://mcb-m6.bioreg.kyushu-u.ac.jp/M3/20110404/F50763/1807/1", 63.19)</f>
        <v>63.19</v>
      </c>
      <c r="E7623" s="2">
        <v>51.57</v>
      </c>
      <c r="F7623" s="2">
        <v>1</v>
      </c>
      <c r="G7623" s="2" t="s">
        <v>9</v>
      </c>
      <c r="I7623" s="2" t="s">
        <v>4898</v>
      </c>
    </row>
    <row r="7624" spans="1:9" x14ac:dyDescent="0.2">
      <c r="A7624" s="2" t="s">
        <v>3250</v>
      </c>
      <c r="B7624" s="2" t="s">
        <v>543</v>
      </c>
      <c r="C7624" s="2">
        <v>927.03120000000001</v>
      </c>
      <c r="D7624" s="2">
        <f>HYPERLINK("http://mcb-m6.bioreg.kyushu-u.ac.jp/M3/20110404/F50764/2545/1", 63.2)</f>
        <v>63.2</v>
      </c>
      <c r="E7624" s="2">
        <v>46.62</v>
      </c>
      <c r="F7624" s="2">
        <v>2</v>
      </c>
      <c r="G7624" s="2" t="s">
        <v>9</v>
      </c>
    </row>
    <row r="7625" spans="1:9" x14ac:dyDescent="0.2">
      <c r="A7625" s="2" t="s">
        <v>3250</v>
      </c>
      <c r="B7625" s="2" t="s">
        <v>1065</v>
      </c>
      <c r="C7625" s="2">
        <v>1432.558</v>
      </c>
      <c r="D7625" s="2">
        <f>HYPERLINK("http://mcb-m6.bioreg.kyushu-u.ac.jp/M3/20110404/F50767/1596/1", 63.42)</f>
        <v>63.42</v>
      </c>
      <c r="E7625" s="2">
        <v>47.92</v>
      </c>
      <c r="F7625" s="2">
        <v>1</v>
      </c>
      <c r="G7625" s="2" t="s">
        <v>9</v>
      </c>
      <c r="I7625" s="2" t="s">
        <v>4892</v>
      </c>
    </row>
    <row r="7626" spans="1:9" x14ac:dyDescent="0.2">
      <c r="A7626" s="2" t="s">
        <v>3250</v>
      </c>
      <c r="B7626" s="2" t="s">
        <v>90</v>
      </c>
      <c r="C7626" s="2">
        <v>717.38760000000002</v>
      </c>
      <c r="D7626" s="2">
        <f>HYPERLINK("http://mcb-m6.bioreg.kyushu-u.ac.jp/M3/20110404/F50754/2033/1", 63.59)</f>
        <v>63.59</v>
      </c>
      <c r="E7626" s="2">
        <v>37.36</v>
      </c>
      <c r="F7626" s="2">
        <v>2</v>
      </c>
      <c r="G7626" s="2" t="s">
        <v>9</v>
      </c>
    </row>
    <row r="7627" spans="1:9" x14ac:dyDescent="0.2">
      <c r="A7627" s="2" t="s">
        <v>3250</v>
      </c>
      <c r="B7627" s="2" t="s">
        <v>543</v>
      </c>
      <c r="C7627" s="2">
        <v>927.17110000000002</v>
      </c>
      <c r="D7627" s="2">
        <f>HYPERLINK("http://mcb-m6.bioreg.kyushu-u.ac.jp/M3/20110404/F50756/2823/1", 63.68)</f>
        <v>63.68</v>
      </c>
      <c r="E7627" s="2">
        <v>51.31</v>
      </c>
      <c r="F7627" s="2">
        <v>2</v>
      </c>
      <c r="G7627" s="2" t="s">
        <v>9</v>
      </c>
    </row>
    <row r="7628" spans="1:9" x14ac:dyDescent="0.2">
      <c r="A7628" s="2" t="s">
        <v>3250</v>
      </c>
      <c r="B7628" s="2" t="s">
        <v>90</v>
      </c>
      <c r="C7628" s="2">
        <v>717.21559999999999</v>
      </c>
      <c r="D7628" s="2">
        <f>HYPERLINK("http://mcb-m6.bioreg.kyushu-u.ac.jp/M3/20110404/F50778/1722/1", 63.82)</f>
        <v>63.82</v>
      </c>
      <c r="E7628" s="2">
        <v>27.57</v>
      </c>
      <c r="F7628" s="2">
        <v>2</v>
      </c>
      <c r="G7628" s="2" t="s">
        <v>9</v>
      </c>
    </row>
    <row r="7629" spans="1:9" x14ac:dyDescent="0.2">
      <c r="A7629" s="2" t="s">
        <v>3250</v>
      </c>
      <c r="B7629" s="2" t="s">
        <v>365</v>
      </c>
      <c r="C7629" s="2">
        <v>849.23860000000002</v>
      </c>
      <c r="D7629" s="2">
        <f>HYPERLINK("http://mcb-m6.bioreg.kyushu-u.ac.jp/M3/20110404/F50767/2221/1", 63.85)</f>
        <v>63.85</v>
      </c>
      <c r="E7629" s="2">
        <v>47.88</v>
      </c>
      <c r="F7629" s="2">
        <v>2</v>
      </c>
      <c r="G7629" s="2" t="s">
        <v>9</v>
      </c>
    </row>
    <row r="7630" spans="1:9" x14ac:dyDescent="0.2">
      <c r="A7630" s="2" t="s">
        <v>3250</v>
      </c>
      <c r="B7630" s="2" t="s">
        <v>311</v>
      </c>
      <c r="C7630" s="2">
        <v>606.64869999999996</v>
      </c>
      <c r="D7630" s="2">
        <f>HYPERLINK("http://mcb-m6.bioreg.kyushu-u.ac.jp/M3/20110404/F50763/1425/1", 63.92)</f>
        <v>63.92</v>
      </c>
      <c r="E7630" s="2">
        <v>39.71</v>
      </c>
      <c r="F7630" s="2">
        <v>2</v>
      </c>
      <c r="G7630" s="2" t="s">
        <v>9</v>
      </c>
      <c r="H7630" s="2" t="s">
        <v>4908</v>
      </c>
    </row>
    <row r="7631" spans="1:9" x14ac:dyDescent="0.2">
      <c r="A7631" s="2" t="s">
        <v>3250</v>
      </c>
      <c r="B7631" s="2" t="s">
        <v>356</v>
      </c>
      <c r="C7631" s="2">
        <v>816.3116</v>
      </c>
      <c r="D7631" s="2">
        <f>HYPERLINK("http://mcb-m6.bioreg.kyushu-u.ac.jp/M3/20110404/F50756/2322/1", 63.93)</f>
        <v>63.93</v>
      </c>
      <c r="E7631" s="2">
        <v>45.5</v>
      </c>
      <c r="F7631" s="2">
        <v>2</v>
      </c>
      <c r="G7631" s="2" t="s">
        <v>9</v>
      </c>
    </row>
    <row r="7632" spans="1:9" x14ac:dyDescent="0.2">
      <c r="A7632" s="2" t="s">
        <v>3250</v>
      </c>
      <c r="B7632" s="2" t="s">
        <v>175</v>
      </c>
      <c r="C7632" s="2">
        <v>784.59370000000001</v>
      </c>
      <c r="D7632" s="2">
        <f>HYPERLINK("http://mcb-m6.bioreg.kyushu-u.ac.jp/M3/20110404/F50756/2183/1", 63.98)</f>
        <v>63.98</v>
      </c>
      <c r="E7632" s="2">
        <v>49.66</v>
      </c>
      <c r="F7632" s="2">
        <v>2</v>
      </c>
      <c r="G7632" s="2" t="s">
        <v>9</v>
      </c>
      <c r="I7632" s="2" t="s">
        <v>4893</v>
      </c>
    </row>
    <row r="7633" spans="1:9" x14ac:dyDescent="0.2">
      <c r="A7633" s="2" t="s">
        <v>3250</v>
      </c>
      <c r="B7633" s="2" t="s">
        <v>6017</v>
      </c>
      <c r="C7633" s="2">
        <v>803.27750000000003</v>
      </c>
      <c r="D7633" s="2">
        <f>HYPERLINK("http://mcb-m6.bioreg.kyushu-u.ac.jp/M3/20110404/F50779/3427/1", 64.13)</f>
        <v>64.13</v>
      </c>
      <c r="E7633" s="2">
        <v>39.299999999999997</v>
      </c>
      <c r="F7633" s="2">
        <v>3</v>
      </c>
      <c r="G7633" s="2" t="s">
        <v>9</v>
      </c>
      <c r="H7633" s="2" t="s">
        <v>4907</v>
      </c>
      <c r="I7633" s="2" t="s">
        <v>4895</v>
      </c>
    </row>
    <row r="7634" spans="1:9" x14ac:dyDescent="0.2">
      <c r="A7634" s="2" t="s">
        <v>3250</v>
      </c>
      <c r="B7634" s="2" t="s">
        <v>1255</v>
      </c>
      <c r="C7634" s="2">
        <v>1273.9449999999999</v>
      </c>
      <c r="D7634" s="2">
        <f>HYPERLINK("http://mcb-m6.bioreg.kyushu-u.ac.jp/M3/20110404/F50777/3343/1", 64.19)</f>
        <v>64.19</v>
      </c>
      <c r="E7634" s="2">
        <v>55.37</v>
      </c>
      <c r="F7634" s="2">
        <v>2</v>
      </c>
      <c r="G7634" s="2" t="s">
        <v>9</v>
      </c>
      <c r="I7634" s="2" t="s">
        <v>4906</v>
      </c>
    </row>
    <row r="7635" spans="1:9" x14ac:dyDescent="0.2">
      <c r="A7635" s="2" t="s">
        <v>3250</v>
      </c>
      <c r="B7635" s="2" t="s">
        <v>772</v>
      </c>
      <c r="C7635" s="2">
        <v>595.68020000000001</v>
      </c>
      <c r="D7635" s="2">
        <f>HYPERLINK("http://mcb-m6.bioreg.kyushu-u.ac.jp/M3/20110404/F50754/1624/1", 64.41)</f>
        <v>64.41</v>
      </c>
      <c r="E7635" s="2">
        <v>38.06</v>
      </c>
      <c r="F7635" s="2">
        <v>2</v>
      </c>
      <c r="G7635" s="2" t="s">
        <v>9</v>
      </c>
    </row>
    <row r="7636" spans="1:9" x14ac:dyDescent="0.2">
      <c r="A7636" s="2" t="s">
        <v>3250</v>
      </c>
      <c r="B7636" s="2" t="s">
        <v>365</v>
      </c>
      <c r="C7636" s="2">
        <v>848.85569999999996</v>
      </c>
      <c r="D7636" s="2">
        <f>HYPERLINK("http://mcb-m6.bioreg.kyushu-u.ac.jp/M3/20110404/F50777/2353/1", 64.41)</f>
        <v>64.41</v>
      </c>
      <c r="E7636" s="2">
        <v>49.42</v>
      </c>
      <c r="F7636" s="2">
        <v>2</v>
      </c>
      <c r="G7636" s="2" t="s">
        <v>9</v>
      </c>
    </row>
    <row r="7637" spans="1:9" x14ac:dyDescent="0.2">
      <c r="A7637" s="2" t="s">
        <v>3250</v>
      </c>
      <c r="B7637" s="2" t="s">
        <v>1665</v>
      </c>
      <c r="C7637" s="2">
        <v>765.19709999999998</v>
      </c>
      <c r="D7637" s="2">
        <f>HYPERLINK("http://mcb-m6.bioreg.kyushu-u.ac.jp/M3/20110404/F50778/3391/1", 64.63)</f>
        <v>64.63</v>
      </c>
      <c r="E7637" s="2">
        <v>52.03</v>
      </c>
      <c r="F7637" s="2">
        <v>3</v>
      </c>
      <c r="G7637" s="2" t="s">
        <v>9</v>
      </c>
    </row>
    <row r="7638" spans="1:9" x14ac:dyDescent="0.2">
      <c r="A7638" s="2" t="s">
        <v>3250</v>
      </c>
      <c r="B7638" s="2" t="s">
        <v>356</v>
      </c>
      <c r="C7638" s="2">
        <v>1630.6880000000001</v>
      </c>
      <c r="D7638" s="2">
        <f>HYPERLINK("http://mcb-m6.bioreg.kyushu-u.ac.jp/M3/20110404/F50767/2090/1", 64.79)</f>
        <v>64.790000000000006</v>
      </c>
      <c r="E7638" s="2">
        <v>54.09</v>
      </c>
      <c r="F7638" s="2">
        <v>1</v>
      </c>
      <c r="G7638" s="2" t="s">
        <v>9</v>
      </c>
    </row>
    <row r="7639" spans="1:9" x14ac:dyDescent="0.2">
      <c r="A7639" s="2" t="s">
        <v>3250</v>
      </c>
      <c r="B7639" s="2" t="s">
        <v>1065</v>
      </c>
      <c r="C7639" s="2">
        <v>1432.6780000000001</v>
      </c>
      <c r="D7639" s="2">
        <f>HYPERLINK("http://mcb-m6.bioreg.kyushu-u.ac.jp/M3/20110404/F50778/1711/1", 65.03)</f>
        <v>65.03</v>
      </c>
      <c r="E7639" s="2">
        <v>51.38</v>
      </c>
      <c r="F7639" s="2">
        <v>1</v>
      </c>
      <c r="G7639" s="2" t="s">
        <v>9</v>
      </c>
      <c r="I7639" s="2" t="s">
        <v>4892</v>
      </c>
    </row>
    <row r="7640" spans="1:9" x14ac:dyDescent="0.2">
      <c r="A7640" s="2" t="s">
        <v>3250</v>
      </c>
      <c r="B7640" s="2" t="s">
        <v>1065</v>
      </c>
      <c r="C7640" s="2">
        <v>1432.6420000000001</v>
      </c>
      <c r="D7640" s="2">
        <f>HYPERLINK("http://mcb-m6.bioreg.kyushu-u.ac.jp/M3/20110404/F50779/1630/1", 65.04)</f>
        <v>65.040000000000006</v>
      </c>
      <c r="E7640" s="2">
        <v>41.33</v>
      </c>
      <c r="F7640" s="2">
        <v>1</v>
      </c>
      <c r="G7640" s="2" t="s">
        <v>9</v>
      </c>
      <c r="I7640" s="2" t="s">
        <v>4892</v>
      </c>
    </row>
    <row r="7641" spans="1:9" x14ac:dyDescent="0.2">
      <c r="A7641" s="2" t="s">
        <v>3250</v>
      </c>
      <c r="B7641" s="2" t="s">
        <v>481</v>
      </c>
      <c r="C7641" s="2">
        <v>709.87710000000004</v>
      </c>
      <c r="D7641" s="2">
        <f>HYPERLINK("http://mcb-m6.bioreg.kyushu-u.ac.jp/M3/20110404/F50764/1728/1", 65.2)</f>
        <v>65.2</v>
      </c>
      <c r="E7641" s="2">
        <v>46.24</v>
      </c>
      <c r="F7641" s="2">
        <v>2</v>
      </c>
      <c r="G7641" s="2" t="s">
        <v>9</v>
      </c>
      <c r="I7641" s="2" t="s">
        <v>4898</v>
      </c>
    </row>
    <row r="7642" spans="1:9" x14ac:dyDescent="0.2">
      <c r="A7642" s="2" t="s">
        <v>3250</v>
      </c>
      <c r="B7642" s="2" t="s">
        <v>77</v>
      </c>
      <c r="C7642" s="2">
        <v>575.1182</v>
      </c>
      <c r="D7642" s="2">
        <f>HYPERLINK("http://mcb-m6.bioreg.kyushu-u.ac.jp/M3/20110404/F50756/1241/1", 65.21)</f>
        <v>65.209999999999994</v>
      </c>
      <c r="E7642" s="2">
        <v>40.14</v>
      </c>
      <c r="F7642" s="2">
        <v>2</v>
      </c>
      <c r="G7642" s="2" t="s">
        <v>9</v>
      </c>
    </row>
    <row r="7643" spans="1:9" x14ac:dyDescent="0.2">
      <c r="A7643" s="2" t="s">
        <v>3250</v>
      </c>
      <c r="B7643" s="2" t="s">
        <v>90</v>
      </c>
      <c r="C7643" s="2">
        <v>716.90309999999999</v>
      </c>
      <c r="D7643" s="2">
        <f>HYPERLINK("http://mcb-m6.bioreg.kyushu-u.ac.jp/M3/20110404/F50778/1714/1", 65.39)</f>
        <v>65.39</v>
      </c>
      <c r="E7643" s="2">
        <v>36.04</v>
      </c>
      <c r="F7643" s="2">
        <v>2</v>
      </c>
      <c r="G7643" s="2" t="s">
        <v>9</v>
      </c>
    </row>
    <row r="7644" spans="1:9" x14ac:dyDescent="0.2">
      <c r="A7644" s="2" t="s">
        <v>3250</v>
      </c>
      <c r="B7644" s="2" t="s">
        <v>467</v>
      </c>
      <c r="C7644" s="2">
        <v>692.0797</v>
      </c>
      <c r="D7644" s="2">
        <f>HYPERLINK("http://mcb-m6.bioreg.kyushu-u.ac.jp/M3/20110404/F50778/1565/1", 65.56)</f>
        <v>65.56</v>
      </c>
      <c r="E7644" s="2">
        <v>39.46</v>
      </c>
      <c r="F7644" s="2">
        <v>2</v>
      </c>
      <c r="G7644" s="2" t="s">
        <v>9</v>
      </c>
    </row>
    <row r="7645" spans="1:9" x14ac:dyDescent="0.2">
      <c r="A7645" s="2" t="s">
        <v>3250</v>
      </c>
      <c r="B7645" s="2" t="s">
        <v>467</v>
      </c>
      <c r="C7645" s="2">
        <v>1382.4839999999999</v>
      </c>
      <c r="D7645" s="2">
        <f>HYPERLINK("http://mcb-m6.bioreg.kyushu-u.ac.jp/M3/20110404/F50752/1957/1", 65.6)</f>
        <v>65.599999999999994</v>
      </c>
      <c r="E7645" s="2">
        <v>52.76</v>
      </c>
      <c r="F7645" s="2">
        <v>1</v>
      </c>
      <c r="G7645" s="2" t="s">
        <v>9</v>
      </c>
    </row>
    <row r="7646" spans="1:9" x14ac:dyDescent="0.2">
      <c r="A7646" s="2" t="s">
        <v>3250</v>
      </c>
      <c r="B7646" s="2" t="s">
        <v>90</v>
      </c>
      <c r="C7646" s="2">
        <v>717.43370000000004</v>
      </c>
      <c r="D7646" s="2">
        <f>HYPERLINK("http://mcb-m6.bioreg.kyushu-u.ac.jp/M3/20110404/F50779/1644/1", 65.61)</f>
        <v>65.61</v>
      </c>
      <c r="E7646" s="2">
        <v>35.840000000000003</v>
      </c>
      <c r="F7646" s="2">
        <v>2</v>
      </c>
      <c r="G7646" s="2" t="s">
        <v>9</v>
      </c>
    </row>
    <row r="7647" spans="1:9" x14ac:dyDescent="0.2">
      <c r="A7647" s="2" t="s">
        <v>3250</v>
      </c>
      <c r="B7647" s="2" t="s">
        <v>365</v>
      </c>
      <c r="C7647" s="2">
        <v>1697.874</v>
      </c>
      <c r="D7647" s="2">
        <f>HYPERLINK("http://mcb-m6.bioreg.kyushu-u.ac.jp/M3/20110404/F50778/2363/1", 65.62)</f>
        <v>65.62</v>
      </c>
      <c r="E7647" s="2">
        <v>53.44</v>
      </c>
      <c r="F7647" s="2">
        <v>1</v>
      </c>
      <c r="G7647" s="2" t="s">
        <v>9</v>
      </c>
    </row>
    <row r="7648" spans="1:9" x14ac:dyDescent="0.2">
      <c r="A7648" s="2" t="s">
        <v>3250</v>
      </c>
      <c r="B7648" s="2" t="s">
        <v>503</v>
      </c>
      <c r="C7648" s="2">
        <v>816.34270000000004</v>
      </c>
      <c r="D7648" s="2">
        <f>HYPERLINK("http://mcb-m6.bioreg.kyushu-u.ac.jp/M3/20110404/F50763/2201/1", 65.66)</f>
        <v>65.66</v>
      </c>
      <c r="E7648" s="2">
        <v>55.25</v>
      </c>
      <c r="F7648" s="2">
        <v>2</v>
      </c>
      <c r="G7648" s="2" t="s">
        <v>9</v>
      </c>
      <c r="H7648" s="2" t="s">
        <v>4907</v>
      </c>
    </row>
    <row r="7649" spans="1:9" x14ac:dyDescent="0.2">
      <c r="A7649" s="2" t="s">
        <v>3250</v>
      </c>
      <c r="B7649" s="2" t="s">
        <v>90</v>
      </c>
      <c r="C7649" s="2">
        <v>717.40060000000005</v>
      </c>
      <c r="D7649" s="2">
        <f>HYPERLINK("http://mcb-m6.bioreg.kyushu-u.ac.jp/M3/20110404/F50764/1784/1", 65.68)</f>
        <v>65.680000000000007</v>
      </c>
      <c r="E7649" s="2">
        <v>42.95</v>
      </c>
      <c r="F7649" s="2">
        <v>2</v>
      </c>
      <c r="G7649" s="2" t="s">
        <v>9</v>
      </c>
    </row>
    <row r="7650" spans="1:9" x14ac:dyDescent="0.2">
      <c r="A7650" s="2" t="s">
        <v>3250</v>
      </c>
      <c r="B7650" s="2" t="s">
        <v>888</v>
      </c>
      <c r="C7650" s="2">
        <v>810.76580000000001</v>
      </c>
      <c r="D7650" s="2">
        <f>HYPERLINK("http://mcb-m6.bioreg.kyushu-u.ac.jp/M3/20110404/F50778/3562/1", 65.8)</f>
        <v>65.8</v>
      </c>
      <c r="E7650" s="2">
        <v>56.17</v>
      </c>
      <c r="F7650" s="2">
        <v>3</v>
      </c>
      <c r="G7650" s="2" t="s">
        <v>9</v>
      </c>
      <c r="I7650" s="2" t="s">
        <v>4895</v>
      </c>
    </row>
    <row r="7651" spans="1:9" x14ac:dyDescent="0.2">
      <c r="A7651" s="2" t="s">
        <v>3250</v>
      </c>
      <c r="B7651" s="2" t="s">
        <v>102</v>
      </c>
      <c r="C7651" s="2">
        <v>616.16520000000003</v>
      </c>
      <c r="D7651" s="2">
        <f>HYPERLINK("http://mcb-m6.bioreg.kyushu-u.ac.jp/M3/20110404/F50755/1455/1", 65.95)</f>
        <v>65.95</v>
      </c>
      <c r="E7651" s="2">
        <v>42.95</v>
      </c>
      <c r="F7651" s="2">
        <v>2</v>
      </c>
      <c r="G7651" s="2" t="s">
        <v>9</v>
      </c>
      <c r="H7651" s="2" t="s">
        <v>4900</v>
      </c>
    </row>
    <row r="7652" spans="1:9" x14ac:dyDescent="0.2">
      <c r="A7652" s="2" t="s">
        <v>3250</v>
      </c>
      <c r="B7652" s="2" t="s">
        <v>90</v>
      </c>
      <c r="C7652" s="2">
        <v>716.93709999999999</v>
      </c>
      <c r="D7652" s="2">
        <f>HYPERLINK("http://mcb-m6.bioreg.kyushu-u.ac.jp/M3/20110404/F50763/1852/1", 66)</f>
        <v>66</v>
      </c>
      <c r="E7652" s="2">
        <v>46.8</v>
      </c>
      <c r="F7652" s="2">
        <v>2</v>
      </c>
      <c r="G7652" s="2" t="s">
        <v>9</v>
      </c>
    </row>
    <row r="7653" spans="1:9" x14ac:dyDescent="0.2">
      <c r="A7653" s="2" t="s">
        <v>3250</v>
      </c>
      <c r="B7653" s="2" t="s">
        <v>561</v>
      </c>
      <c r="C7653" s="2">
        <v>1323.6880000000001</v>
      </c>
      <c r="D7653" s="2">
        <f>HYPERLINK("http://mcb-m6.bioreg.kyushu-u.ac.jp/M3/20110404/F50779/1346/1", 66.01)</f>
        <v>66.010000000000005</v>
      </c>
      <c r="E7653" s="2">
        <v>49.64</v>
      </c>
      <c r="F7653" s="2">
        <v>1</v>
      </c>
      <c r="G7653" s="2" t="s">
        <v>9</v>
      </c>
      <c r="H7653" s="2" t="s">
        <v>4919</v>
      </c>
    </row>
    <row r="7654" spans="1:9" x14ac:dyDescent="0.2">
      <c r="A7654" s="2" t="s">
        <v>3250</v>
      </c>
      <c r="B7654" s="2" t="s">
        <v>102</v>
      </c>
      <c r="C7654" s="2">
        <v>616.19820000000004</v>
      </c>
      <c r="D7654" s="2">
        <f>HYPERLINK("http://mcb-m6.bioreg.kyushu-u.ac.jp/M3/20110404/F50762/1392/1", 66.04)</f>
        <v>66.040000000000006</v>
      </c>
      <c r="E7654" s="2">
        <v>41</v>
      </c>
      <c r="F7654" s="2">
        <v>2</v>
      </c>
      <c r="G7654" s="2" t="s">
        <v>9</v>
      </c>
      <c r="H7654" s="2" t="s">
        <v>4900</v>
      </c>
    </row>
    <row r="7655" spans="1:9" x14ac:dyDescent="0.2">
      <c r="A7655" s="2" t="s">
        <v>3250</v>
      </c>
      <c r="B7655" s="2" t="s">
        <v>365</v>
      </c>
      <c r="C7655" s="2">
        <v>1696.6469999999999</v>
      </c>
      <c r="D7655" s="2">
        <f>HYPERLINK("http://mcb-m6.bioreg.kyushu-u.ac.jp/M3/20110404/F50767/2219/1", 66.05)</f>
        <v>66.05</v>
      </c>
      <c r="E7655" s="2">
        <v>53.12</v>
      </c>
      <c r="F7655" s="2">
        <v>1</v>
      </c>
      <c r="G7655" s="2" t="s">
        <v>9</v>
      </c>
    </row>
    <row r="7656" spans="1:9" x14ac:dyDescent="0.2">
      <c r="A7656" s="2" t="s">
        <v>3250</v>
      </c>
      <c r="B7656" s="2" t="s">
        <v>77</v>
      </c>
      <c r="C7656" s="2">
        <v>574.6191</v>
      </c>
      <c r="D7656" s="2">
        <f>HYPERLINK("http://mcb-m6.bioreg.kyushu-u.ac.jp/M3/20110404/F50754/1542/1", 66.55)</f>
        <v>66.55</v>
      </c>
      <c r="E7656" s="2">
        <v>40.9</v>
      </c>
      <c r="F7656" s="2">
        <v>2</v>
      </c>
      <c r="G7656" s="2" t="s">
        <v>9</v>
      </c>
    </row>
    <row r="7657" spans="1:9" x14ac:dyDescent="0.2">
      <c r="A7657" s="2" t="s">
        <v>3250</v>
      </c>
      <c r="B7657" s="2" t="s">
        <v>561</v>
      </c>
      <c r="C7657" s="2">
        <v>654.3356</v>
      </c>
      <c r="D7657" s="2">
        <f>HYPERLINK("http://mcb-m6.bioreg.kyushu-u.ac.jp/M3/20110404/F50778/1395/1", 66.57)</f>
        <v>66.569999999999993</v>
      </c>
      <c r="E7657" s="2">
        <v>48.48</v>
      </c>
      <c r="F7657" s="2">
        <v>2</v>
      </c>
      <c r="G7657" s="2" t="s">
        <v>9</v>
      </c>
    </row>
    <row r="7658" spans="1:9" x14ac:dyDescent="0.2">
      <c r="A7658" s="2" t="s">
        <v>3250</v>
      </c>
      <c r="B7658" s="2" t="s">
        <v>481</v>
      </c>
      <c r="C7658" s="2">
        <v>709.53120000000001</v>
      </c>
      <c r="D7658" s="2">
        <f>HYPERLINK("http://mcb-m6.bioreg.kyushu-u.ac.jp/M3/20110404/F50755/1782/1", 66.7)</f>
        <v>66.7</v>
      </c>
      <c r="E7658" s="2">
        <v>45.47</v>
      </c>
      <c r="F7658" s="2">
        <v>2</v>
      </c>
      <c r="G7658" s="2" t="s">
        <v>9</v>
      </c>
      <c r="I7658" s="2" t="s">
        <v>4898</v>
      </c>
    </row>
    <row r="7659" spans="1:9" x14ac:dyDescent="0.2">
      <c r="A7659" s="2" t="s">
        <v>3250</v>
      </c>
      <c r="B7659" s="2" t="s">
        <v>543</v>
      </c>
      <c r="C7659" s="2">
        <v>927.00670000000002</v>
      </c>
      <c r="D7659" s="2">
        <f>HYPERLINK("http://mcb-m6.bioreg.kyushu-u.ac.jp/M3/20110404/F50777/2642/1", 66.74)</f>
        <v>66.739999999999995</v>
      </c>
      <c r="E7659" s="2">
        <v>47.77</v>
      </c>
      <c r="F7659" s="2">
        <v>2</v>
      </c>
      <c r="G7659" s="2" t="s">
        <v>9</v>
      </c>
    </row>
    <row r="7660" spans="1:9" x14ac:dyDescent="0.2">
      <c r="A7660" s="2" t="s">
        <v>3250</v>
      </c>
      <c r="B7660" s="2" t="s">
        <v>543</v>
      </c>
      <c r="C7660" s="2">
        <v>927.06619999999998</v>
      </c>
      <c r="D7660" s="2">
        <f>HYPERLINK("http://mcb-m6.bioreg.kyushu-u.ac.jp/M3/20110404/F50778/2722/1", 66.83)</f>
        <v>66.83</v>
      </c>
      <c r="E7660" s="2">
        <v>52.91</v>
      </c>
      <c r="F7660" s="2">
        <v>2</v>
      </c>
      <c r="G7660" s="2" t="s">
        <v>9</v>
      </c>
    </row>
    <row r="7661" spans="1:9" x14ac:dyDescent="0.2">
      <c r="A7661" s="2" t="s">
        <v>3250</v>
      </c>
      <c r="B7661" s="2" t="s">
        <v>356</v>
      </c>
      <c r="C7661" s="2">
        <v>815.90869999999995</v>
      </c>
      <c r="D7661" s="2">
        <f>HYPERLINK("http://mcb-m6.bioreg.kyushu-u.ac.jp/M3/20110404/F50763/2197/1", 66.87)</f>
        <v>66.87</v>
      </c>
      <c r="E7661" s="2">
        <v>47.44</v>
      </c>
      <c r="F7661" s="2">
        <v>2</v>
      </c>
      <c r="G7661" s="2" t="s">
        <v>9</v>
      </c>
    </row>
    <row r="7662" spans="1:9" x14ac:dyDescent="0.2">
      <c r="A7662" s="2" t="s">
        <v>3250</v>
      </c>
      <c r="B7662" s="2" t="s">
        <v>365</v>
      </c>
      <c r="C7662" s="2">
        <v>848.70820000000003</v>
      </c>
      <c r="D7662" s="2">
        <f>HYPERLINK("http://mcb-m6.bioreg.kyushu-u.ac.jp/M3/20110404/F50767/2217/1", 67)</f>
        <v>67</v>
      </c>
      <c r="E7662" s="2">
        <v>51.55</v>
      </c>
      <c r="F7662" s="2">
        <v>2</v>
      </c>
      <c r="G7662" s="2" t="s">
        <v>9</v>
      </c>
    </row>
    <row r="7663" spans="1:9" x14ac:dyDescent="0.2">
      <c r="A7663" s="2" t="s">
        <v>3250</v>
      </c>
      <c r="B7663" s="2" t="s">
        <v>481</v>
      </c>
      <c r="C7663" s="2">
        <v>1417.5920000000001</v>
      </c>
      <c r="D7663" s="2">
        <f>HYPERLINK("http://mcb-m6.bioreg.kyushu-u.ac.jp/M3/20110404/F50756/1797/1", 67.03)</f>
        <v>67.03</v>
      </c>
      <c r="E7663" s="2">
        <v>55.21</v>
      </c>
      <c r="F7663" s="2">
        <v>1</v>
      </c>
      <c r="G7663" s="2" t="s">
        <v>9</v>
      </c>
      <c r="I7663" s="2" t="s">
        <v>4898</v>
      </c>
    </row>
    <row r="7664" spans="1:9" x14ac:dyDescent="0.2">
      <c r="A7664" s="2" t="s">
        <v>3250</v>
      </c>
      <c r="B7664" s="2" t="s">
        <v>311</v>
      </c>
      <c r="C7664" s="2">
        <v>598.75519999999995</v>
      </c>
      <c r="D7664" s="2">
        <f>HYPERLINK("http://mcb-m6.bioreg.kyushu-u.ac.jp/M3/20110404/F50756/1348/1", 67.14)</f>
        <v>67.14</v>
      </c>
      <c r="E7664" s="2">
        <v>45.41</v>
      </c>
      <c r="F7664" s="2">
        <v>2</v>
      </c>
      <c r="G7664" s="2" t="s">
        <v>9</v>
      </c>
    </row>
    <row r="7665" spans="1:9" x14ac:dyDescent="0.2">
      <c r="A7665" s="2" t="s">
        <v>3250</v>
      </c>
      <c r="B7665" s="2" t="s">
        <v>1665</v>
      </c>
      <c r="C7665" s="2">
        <v>1147.5899999999999</v>
      </c>
      <c r="D7665" s="2">
        <f>HYPERLINK("http://mcb-m6.bioreg.kyushu-u.ac.jp/M3/20110404/F50778/3393/1", 67.27)</f>
        <v>67.27</v>
      </c>
      <c r="E7665" s="2">
        <v>59.33</v>
      </c>
      <c r="F7665" s="2">
        <v>2</v>
      </c>
      <c r="G7665" s="2" t="s">
        <v>9</v>
      </c>
    </row>
    <row r="7666" spans="1:9" x14ac:dyDescent="0.2">
      <c r="A7666" s="2" t="s">
        <v>3250</v>
      </c>
      <c r="B7666" s="2" t="s">
        <v>503</v>
      </c>
      <c r="C7666" s="2">
        <v>816.85720000000003</v>
      </c>
      <c r="D7666" s="2">
        <f>HYPERLINK("http://mcb-m6.bioreg.kyushu-u.ac.jp/M3/20110404/F50756/2325/1", 67.33)</f>
        <v>67.33</v>
      </c>
      <c r="E7666" s="2">
        <v>53.34</v>
      </c>
      <c r="F7666" s="2">
        <v>2</v>
      </c>
      <c r="G7666" s="2" t="s">
        <v>9</v>
      </c>
      <c r="H7666" s="2" t="s">
        <v>4907</v>
      </c>
    </row>
    <row r="7667" spans="1:9" x14ac:dyDescent="0.2">
      <c r="A7667" s="2" t="s">
        <v>3250</v>
      </c>
      <c r="B7667" s="2" t="s">
        <v>1255</v>
      </c>
      <c r="C7667" s="2">
        <v>1273.9459999999999</v>
      </c>
      <c r="D7667" s="2">
        <f>HYPERLINK("http://mcb-m6.bioreg.kyushu-u.ac.jp/M3/20110404/F50765/3442/1", 67.47)</f>
        <v>67.47</v>
      </c>
      <c r="E7667" s="2">
        <v>54.63</v>
      </c>
      <c r="F7667" s="2">
        <v>2</v>
      </c>
      <c r="G7667" s="2" t="s">
        <v>9</v>
      </c>
      <c r="I7667" s="2" t="s">
        <v>4906</v>
      </c>
    </row>
    <row r="7668" spans="1:9" x14ac:dyDescent="0.2">
      <c r="A7668" s="2" t="s">
        <v>3250</v>
      </c>
      <c r="B7668" s="2" t="s">
        <v>102</v>
      </c>
      <c r="C7668" s="2">
        <v>616.71370000000002</v>
      </c>
      <c r="D7668" s="2">
        <f>HYPERLINK("http://mcb-m6.bioreg.kyushu-u.ac.jp/M3/20110404/F50777/1402/1", 67.51)</f>
        <v>67.510000000000005</v>
      </c>
      <c r="E7668" s="2">
        <v>50.53</v>
      </c>
      <c r="F7668" s="2">
        <v>2</v>
      </c>
      <c r="G7668" s="2" t="s">
        <v>9</v>
      </c>
      <c r="H7668" s="2" t="s">
        <v>4900</v>
      </c>
    </row>
    <row r="7669" spans="1:9" x14ac:dyDescent="0.2">
      <c r="A7669" s="2" t="s">
        <v>3250</v>
      </c>
      <c r="B7669" s="2" t="s">
        <v>467</v>
      </c>
      <c r="C7669" s="2">
        <v>692.22059999999999</v>
      </c>
      <c r="D7669" s="2">
        <f>HYPERLINK("http://mcb-m6.bioreg.kyushu-u.ac.jp/M3/20110404/F50763/1725/1", 67.61)</f>
        <v>67.61</v>
      </c>
      <c r="E7669" s="2">
        <v>42.08</v>
      </c>
      <c r="F7669" s="2">
        <v>2</v>
      </c>
      <c r="G7669" s="2" t="s">
        <v>9</v>
      </c>
    </row>
    <row r="7670" spans="1:9" x14ac:dyDescent="0.2">
      <c r="A7670" s="2" t="s">
        <v>3250</v>
      </c>
      <c r="B7670" s="2" t="s">
        <v>175</v>
      </c>
      <c r="C7670" s="2">
        <v>784.70619999999997</v>
      </c>
      <c r="D7670" s="2">
        <f>HYPERLINK("http://mcb-m6.bioreg.kyushu-u.ac.jp/M3/20110404/F50779/1966/1", 67.64)</f>
        <v>67.64</v>
      </c>
      <c r="E7670" s="2">
        <v>49.86</v>
      </c>
      <c r="F7670" s="2">
        <v>2</v>
      </c>
      <c r="G7670" s="2" t="s">
        <v>9</v>
      </c>
      <c r="I7670" s="2" t="s">
        <v>4893</v>
      </c>
    </row>
    <row r="7671" spans="1:9" x14ac:dyDescent="0.2">
      <c r="A7671" s="2" t="s">
        <v>3250</v>
      </c>
      <c r="B7671" s="2" t="s">
        <v>365</v>
      </c>
      <c r="C7671" s="2">
        <v>1696.6780000000001</v>
      </c>
      <c r="D7671" s="2">
        <f>HYPERLINK("http://mcb-m6.bioreg.kyushu-u.ac.jp/M3/20110404/F50766/2155/1", 67.65)</f>
        <v>67.650000000000006</v>
      </c>
      <c r="E7671" s="2">
        <v>45.12</v>
      </c>
      <c r="F7671" s="2">
        <v>1</v>
      </c>
      <c r="G7671" s="2" t="s">
        <v>9</v>
      </c>
    </row>
    <row r="7672" spans="1:9" x14ac:dyDescent="0.2">
      <c r="A7672" s="2" t="s">
        <v>3250</v>
      </c>
      <c r="B7672" s="2" t="s">
        <v>1065</v>
      </c>
      <c r="C7672" s="2">
        <v>717.36609999999996</v>
      </c>
      <c r="D7672" s="2">
        <f>HYPERLINK("http://mcb-m6.bioreg.kyushu-u.ac.jp/M3/20110404/F50779/1642/1", 67.74)</f>
        <v>67.739999999999995</v>
      </c>
      <c r="E7672" s="2">
        <v>57.77</v>
      </c>
      <c r="F7672" s="2">
        <v>2</v>
      </c>
      <c r="G7672" s="2" t="s">
        <v>9</v>
      </c>
      <c r="I7672" s="2" t="s">
        <v>4892</v>
      </c>
    </row>
    <row r="7673" spans="1:9" x14ac:dyDescent="0.2">
      <c r="A7673" s="2" t="s">
        <v>3250</v>
      </c>
      <c r="B7673" s="2" t="s">
        <v>467</v>
      </c>
      <c r="C7673" s="2">
        <v>1383.4280000000001</v>
      </c>
      <c r="D7673" s="2">
        <f>HYPERLINK("http://mcb-m6.bioreg.kyushu-u.ac.jp/M3/20110404/F50753/1816/1", 67.77)</f>
        <v>67.77</v>
      </c>
      <c r="E7673" s="2">
        <v>46.82</v>
      </c>
      <c r="F7673" s="2">
        <v>1</v>
      </c>
      <c r="G7673" s="2" t="s">
        <v>9</v>
      </c>
    </row>
    <row r="7674" spans="1:9" x14ac:dyDescent="0.2">
      <c r="A7674" s="2" t="s">
        <v>3250</v>
      </c>
      <c r="B7674" s="2" t="s">
        <v>467</v>
      </c>
      <c r="C7674" s="2">
        <v>692.3732</v>
      </c>
      <c r="D7674" s="2">
        <f>HYPERLINK("http://mcb-m6.bioreg.kyushu-u.ac.jp/M3/20110404/F50779/1484/1", 67.78)</f>
        <v>67.78</v>
      </c>
      <c r="E7674" s="2">
        <v>44.98</v>
      </c>
      <c r="F7674" s="2">
        <v>2</v>
      </c>
      <c r="G7674" s="2" t="s">
        <v>9</v>
      </c>
    </row>
    <row r="7675" spans="1:9" x14ac:dyDescent="0.2">
      <c r="A7675" s="2" t="s">
        <v>3250</v>
      </c>
      <c r="B7675" s="2" t="s">
        <v>1581</v>
      </c>
      <c r="C7675" s="2">
        <v>765.5231</v>
      </c>
      <c r="D7675" s="2">
        <f>HYPERLINK("http://mcb-m6.bioreg.kyushu-u.ac.jp/M3/20110404/F50779/3280/1", 67.92)</f>
        <v>67.92</v>
      </c>
      <c r="E7675" s="2">
        <v>50.13</v>
      </c>
      <c r="F7675" s="2">
        <v>3</v>
      </c>
      <c r="G7675" s="2" t="s">
        <v>9</v>
      </c>
      <c r="I7675" s="2" t="s">
        <v>4895</v>
      </c>
    </row>
    <row r="7676" spans="1:9" x14ac:dyDescent="0.2">
      <c r="A7676" s="2" t="s">
        <v>3250</v>
      </c>
      <c r="B7676" s="2" t="s">
        <v>1665</v>
      </c>
      <c r="C7676" s="2">
        <v>1147.5150000000001</v>
      </c>
      <c r="D7676" s="2">
        <f>HYPERLINK("http://mcb-m6.bioreg.kyushu-u.ac.jp/M3/20110404/F50765/3224/1", 68.13)</f>
        <v>68.13</v>
      </c>
      <c r="E7676" s="2">
        <v>64.28</v>
      </c>
      <c r="F7676" s="2">
        <v>2</v>
      </c>
      <c r="G7676" s="2" t="s">
        <v>9</v>
      </c>
    </row>
    <row r="7677" spans="1:9" x14ac:dyDescent="0.2">
      <c r="A7677" s="2" t="s">
        <v>3250</v>
      </c>
      <c r="B7677" s="2" t="s">
        <v>356</v>
      </c>
      <c r="C7677" s="2">
        <v>816.26260000000002</v>
      </c>
      <c r="D7677" s="2">
        <f>HYPERLINK("http://mcb-m6.bioreg.kyushu-u.ac.jp/M3/20110404/F50767/2095/1", 68.25)</f>
        <v>68.25</v>
      </c>
      <c r="E7677" s="2">
        <v>52.55</v>
      </c>
      <c r="F7677" s="2">
        <v>2</v>
      </c>
      <c r="G7677" s="2" t="s">
        <v>9</v>
      </c>
    </row>
    <row r="7678" spans="1:9" x14ac:dyDescent="0.2">
      <c r="A7678" s="2" t="s">
        <v>3250</v>
      </c>
      <c r="B7678" s="2" t="s">
        <v>467</v>
      </c>
      <c r="C7678" s="2">
        <v>1383.53</v>
      </c>
      <c r="D7678" s="2">
        <f>HYPERLINK("http://mcb-m6.bioreg.kyushu-u.ac.jp/M3/20110404/F50763/1726/1", 68.29)</f>
        <v>68.290000000000006</v>
      </c>
      <c r="E7678" s="2">
        <v>51.97</v>
      </c>
      <c r="F7678" s="2">
        <v>1</v>
      </c>
      <c r="G7678" s="2" t="s">
        <v>9</v>
      </c>
    </row>
    <row r="7679" spans="1:9" x14ac:dyDescent="0.2">
      <c r="A7679" s="2" t="s">
        <v>3250</v>
      </c>
      <c r="B7679" s="2" t="s">
        <v>1065</v>
      </c>
      <c r="C7679" s="2">
        <v>1432.3620000000001</v>
      </c>
      <c r="D7679" s="2">
        <f>HYPERLINK("http://mcb-m6.bioreg.kyushu-u.ac.jp/M3/20110404/F50753/1918/1", 68.37)</f>
        <v>68.37</v>
      </c>
      <c r="E7679" s="2">
        <v>46.76</v>
      </c>
      <c r="F7679" s="2">
        <v>1</v>
      </c>
      <c r="G7679" s="2" t="s">
        <v>9</v>
      </c>
      <c r="I7679" s="2" t="s">
        <v>4892</v>
      </c>
    </row>
    <row r="7680" spans="1:9" x14ac:dyDescent="0.2">
      <c r="A7680" s="2" t="s">
        <v>3250</v>
      </c>
      <c r="B7680" s="2" t="s">
        <v>365</v>
      </c>
      <c r="C7680" s="2">
        <v>849.03809999999999</v>
      </c>
      <c r="D7680" s="2">
        <f>HYPERLINK("http://mcb-m6.bioreg.kyushu-u.ac.jp/M3/20110404/F50751/2333/1", 68.38)</f>
        <v>68.38</v>
      </c>
      <c r="E7680" s="2">
        <v>51.02</v>
      </c>
      <c r="F7680" s="2">
        <v>2</v>
      </c>
      <c r="G7680" s="2" t="s">
        <v>9</v>
      </c>
    </row>
    <row r="7681" spans="1:9" x14ac:dyDescent="0.2">
      <c r="A7681" s="2" t="s">
        <v>3250</v>
      </c>
      <c r="B7681" s="2" t="s">
        <v>365</v>
      </c>
      <c r="C7681" s="2">
        <v>1696.7819999999999</v>
      </c>
      <c r="D7681" s="2">
        <f>HYPERLINK("http://mcb-m6.bioreg.kyushu-u.ac.jp/M3/20110404/F50778/2358/1", 68.42)</f>
        <v>68.42</v>
      </c>
      <c r="E7681" s="2">
        <v>48.08</v>
      </c>
      <c r="F7681" s="2">
        <v>1</v>
      </c>
      <c r="G7681" s="2" t="s">
        <v>9</v>
      </c>
    </row>
    <row r="7682" spans="1:9" x14ac:dyDescent="0.2">
      <c r="A7682" s="2" t="s">
        <v>3250</v>
      </c>
      <c r="B7682" s="2" t="s">
        <v>1255</v>
      </c>
      <c r="C7682" s="2">
        <v>1273.92</v>
      </c>
      <c r="D7682" s="2">
        <f>HYPERLINK("http://mcb-m6.bioreg.kyushu-u.ac.jp/M3/20110404/F50764/3232/1", 68.51)</f>
        <v>68.510000000000005</v>
      </c>
      <c r="E7682" s="2">
        <v>57.7</v>
      </c>
      <c r="F7682" s="2">
        <v>2</v>
      </c>
      <c r="G7682" s="2" t="s">
        <v>9</v>
      </c>
      <c r="I7682" s="2" t="s">
        <v>4906</v>
      </c>
    </row>
    <row r="7683" spans="1:9" x14ac:dyDescent="0.2">
      <c r="A7683" s="2" t="s">
        <v>3250</v>
      </c>
      <c r="B7683" s="2" t="s">
        <v>102</v>
      </c>
      <c r="C7683" s="2">
        <v>616.64009999999996</v>
      </c>
      <c r="D7683" s="2">
        <f>HYPERLINK("http://mcb-m6.bioreg.kyushu-u.ac.jp/M3/20110404/F50763/1470/1", 68.56)</f>
        <v>68.56</v>
      </c>
      <c r="E7683" s="2">
        <v>51.33</v>
      </c>
      <c r="F7683" s="2">
        <v>2</v>
      </c>
      <c r="G7683" s="2" t="s">
        <v>9</v>
      </c>
      <c r="H7683" s="2" t="s">
        <v>4900</v>
      </c>
    </row>
    <row r="7684" spans="1:9" x14ac:dyDescent="0.2">
      <c r="A7684" s="2" t="s">
        <v>3250</v>
      </c>
      <c r="B7684" s="2" t="s">
        <v>467</v>
      </c>
      <c r="C7684" s="2">
        <v>1382.6659999999999</v>
      </c>
      <c r="D7684" s="2">
        <f>HYPERLINK("http://mcb-m6.bioreg.kyushu-u.ac.jp/M3/20110404/F50765/1597/1", 68.59)</f>
        <v>68.59</v>
      </c>
      <c r="E7684" s="2">
        <v>50.63</v>
      </c>
      <c r="F7684" s="2">
        <v>1</v>
      </c>
      <c r="G7684" s="2" t="s">
        <v>9</v>
      </c>
    </row>
    <row r="7685" spans="1:9" x14ac:dyDescent="0.2">
      <c r="A7685" s="2" t="s">
        <v>3250</v>
      </c>
      <c r="B7685" s="2" t="s">
        <v>503</v>
      </c>
      <c r="C7685" s="2">
        <v>816.95870000000002</v>
      </c>
      <c r="D7685" s="2">
        <f>HYPERLINK("http://mcb-m6.bioreg.kyushu-u.ac.jp/M3/20110404/F50777/2238/1", 68.6)</f>
        <v>68.599999999999994</v>
      </c>
      <c r="E7685" s="2">
        <v>57.06</v>
      </c>
      <c r="F7685" s="2">
        <v>2</v>
      </c>
      <c r="G7685" s="2" t="s">
        <v>9</v>
      </c>
      <c r="H7685" s="2" t="s">
        <v>4907</v>
      </c>
    </row>
    <row r="7686" spans="1:9" x14ac:dyDescent="0.2">
      <c r="A7686" s="2" t="s">
        <v>3250</v>
      </c>
      <c r="B7686" s="2" t="s">
        <v>467</v>
      </c>
      <c r="C7686" s="2">
        <v>1382.527</v>
      </c>
      <c r="D7686" s="2">
        <f>HYPERLINK("http://mcb-m6.bioreg.kyushu-u.ac.jp/M3/20110404/F50776/1611/1", 68.71)</f>
        <v>68.709999999999994</v>
      </c>
      <c r="E7686" s="2">
        <v>54.37</v>
      </c>
      <c r="F7686" s="2">
        <v>1</v>
      </c>
      <c r="G7686" s="2" t="s">
        <v>9</v>
      </c>
    </row>
    <row r="7687" spans="1:9" x14ac:dyDescent="0.2">
      <c r="A7687" s="2" t="s">
        <v>3250</v>
      </c>
      <c r="B7687" s="2" t="s">
        <v>467</v>
      </c>
      <c r="C7687" s="2">
        <v>1382.5319999999999</v>
      </c>
      <c r="D7687" s="2">
        <f>HYPERLINK("http://mcb-m6.bioreg.kyushu-u.ac.jp/M3/20110404/F50764/1645/1", 68.72)</f>
        <v>68.72</v>
      </c>
      <c r="E7687" s="2">
        <v>49.69</v>
      </c>
      <c r="F7687" s="2">
        <v>1</v>
      </c>
      <c r="G7687" s="2" t="s">
        <v>9</v>
      </c>
    </row>
    <row r="7688" spans="1:9" x14ac:dyDescent="0.2">
      <c r="A7688" s="2" t="s">
        <v>3250</v>
      </c>
      <c r="B7688" s="2" t="s">
        <v>90</v>
      </c>
      <c r="C7688" s="2">
        <v>716.91420000000005</v>
      </c>
      <c r="D7688" s="2">
        <f>HYPERLINK("http://mcb-m6.bioreg.kyushu-u.ac.jp/M3/20110404/F50756/1843/1", 68.73)</f>
        <v>68.73</v>
      </c>
      <c r="E7688" s="2">
        <v>24.59</v>
      </c>
      <c r="F7688" s="2">
        <v>2</v>
      </c>
      <c r="G7688" s="2" t="s">
        <v>9</v>
      </c>
    </row>
    <row r="7689" spans="1:9" x14ac:dyDescent="0.2">
      <c r="A7689" s="2" t="s">
        <v>3250</v>
      </c>
      <c r="B7689" s="2" t="s">
        <v>467</v>
      </c>
      <c r="C7689" s="2">
        <v>1382.471</v>
      </c>
      <c r="D7689" s="2">
        <f>HYPERLINK("http://mcb-m6.bioreg.kyushu-u.ac.jp/M3/20110404/F50755/1712/1", 68.76)</f>
        <v>68.760000000000005</v>
      </c>
      <c r="E7689" s="2">
        <v>53.37</v>
      </c>
      <c r="F7689" s="2">
        <v>1</v>
      </c>
      <c r="G7689" s="2" t="s">
        <v>9</v>
      </c>
    </row>
    <row r="7690" spans="1:9" x14ac:dyDescent="0.2">
      <c r="A7690" s="2" t="s">
        <v>3250</v>
      </c>
      <c r="B7690" s="2" t="s">
        <v>102</v>
      </c>
      <c r="C7690" s="2">
        <v>608.67909999999995</v>
      </c>
      <c r="D7690" s="2">
        <f>HYPERLINK("http://mcb-m6.bioreg.kyushu-u.ac.jp/M3/20110404/F50777/1362/1", 69.03)</f>
        <v>69.03</v>
      </c>
      <c r="E7690" s="2">
        <v>48.24</v>
      </c>
      <c r="F7690" s="2">
        <v>2</v>
      </c>
      <c r="G7690" s="2" t="s">
        <v>9</v>
      </c>
    </row>
    <row r="7691" spans="1:9" x14ac:dyDescent="0.2">
      <c r="A7691" s="2" t="s">
        <v>3250</v>
      </c>
      <c r="B7691" s="2" t="s">
        <v>356</v>
      </c>
      <c r="C7691" s="2">
        <v>816.44209999999998</v>
      </c>
      <c r="D7691" s="2">
        <f>HYPERLINK("http://mcb-m6.bioreg.kyushu-u.ac.jp/M3/20110404/F50765/2180/1", 69.07)</f>
        <v>69.069999999999993</v>
      </c>
      <c r="E7691" s="2">
        <v>55.41</v>
      </c>
      <c r="F7691" s="2">
        <v>2</v>
      </c>
      <c r="G7691" s="2" t="s">
        <v>9</v>
      </c>
    </row>
    <row r="7692" spans="1:9" x14ac:dyDescent="0.2">
      <c r="A7692" s="2" t="s">
        <v>3250</v>
      </c>
      <c r="B7692" s="2" t="s">
        <v>1665</v>
      </c>
      <c r="C7692" s="2">
        <v>1147.6320000000001</v>
      </c>
      <c r="D7692" s="2">
        <f>HYPERLINK("http://mcb-m6.bioreg.kyushu-u.ac.jp/M3/20110404/F50766/3684/1", 69.16)</f>
        <v>69.16</v>
      </c>
      <c r="E7692" s="2">
        <v>61.23</v>
      </c>
      <c r="F7692" s="2">
        <v>2</v>
      </c>
      <c r="G7692" s="2" t="s">
        <v>9</v>
      </c>
    </row>
    <row r="7693" spans="1:9" x14ac:dyDescent="0.2">
      <c r="A7693" s="2" t="s">
        <v>3250</v>
      </c>
      <c r="B7693" s="2" t="s">
        <v>365</v>
      </c>
      <c r="C7693" s="2">
        <v>849.31769999999995</v>
      </c>
      <c r="D7693" s="2">
        <f>HYPERLINK("http://mcb-m6.bioreg.kyushu-u.ac.jp/M3/20110404/F50756/2452/1", 69.18)</f>
        <v>69.180000000000007</v>
      </c>
      <c r="E7693" s="2">
        <v>56.63</v>
      </c>
      <c r="F7693" s="2">
        <v>2</v>
      </c>
      <c r="G7693" s="2" t="s">
        <v>9</v>
      </c>
    </row>
    <row r="7694" spans="1:9" x14ac:dyDescent="0.2">
      <c r="A7694" s="2" t="s">
        <v>3250</v>
      </c>
      <c r="B7694" s="2" t="s">
        <v>311</v>
      </c>
      <c r="C7694" s="2">
        <v>606.83320000000003</v>
      </c>
      <c r="D7694" s="2">
        <f>HYPERLINK("http://mcb-m6.bioreg.kyushu-u.ac.jp/M3/20110404/F50779/1133/1", 69.19)</f>
        <v>69.19</v>
      </c>
      <c r="E7694" s="2">
        <v>40.909999999999997</v>
      </c>
      <c r="F7694" s="2">
        <v>2</v>
      </c>
      <c r="G7694" s="2" t="s">
        <v>9</v>
      </c>
      <c r="H7694" s="2" t="s">
        <v>4908</v>
      </c>
    </row>
    <row r="7695" spans="1:9" x14ac:dyDescent="0.2">
      <c r="A7695" s="2" t="s">
        <v>3250</v>
      </c>
      <c r="B7695" s="2" t="s">
        <v>561</v>
      </c>
      <c r="C7695" s="2">
        <v>654.28060000000005</v>
      </c>
      <c r="D7695" s="2">
        <f>HYPERLINK("http://mcb-m6.bioreg.kyushu-u.ac.jp/M3/20110404/F50755/1561/1", 69.43)</f>
        <v>69.430000000000007</v>
      </c>
      <c r="E7695" s="2">
        <v>45.8</v>
      </c>
      <c r="F7695" s="2">
        <v>2</v>
      </c>
      <c r="G7695" s="2" t="s">
        <v>9</v>
      </c>
    </row>
    <row r="7696" spans="1:9" x14ac:dyDescent="0.2">
      <c r="A7696" s="2" t="s">
        <v>3250</v>
      </c>
      <c r="B7696" s="2" t="s">
        <v>90</v>
      </c>
      <c r="C7696" s="2">
        <v>717.21220000000005</v>
      </c>
      <c r="D7696" s="2">
        <f>HYPERLINK("http://mcb-m6.bioreg.kyushu-u.ac.jp/M3/20110404/F50767/1601/1", 69.54)</f>
        <v>69.540000000000006</v>
      </c>
      <c r="E7696" s="2">
        <v>47.67</v>
      </c>
      <c r="F7696" s="2">
        <v>2</v>
      </c>
      <c r="G7696" s="2" t="s">
        <v>9</v>
      </c>
    </row>
    <row r="7697" spans="1:9" x14ac:dyDescent="0.2">
      <c r="A7697" s="2" t="s">
        <v>3250</v>
      </c>
      <c r="B7697" s="2" t="s">
        <v>77</v>
      </c>
      <c r="C7697" s="2">
        <v>575.36410000000001</v>
      </c>
      <c r="D7697" s="2">
        <f>HYPERLINK("http://mcb-m6.bioreg.kyushu-u.ac.jp/M3/20110404/F50778/1071/1", 69.61)</f>
        <v>69.61</v>
      </c>
      <c r="E7697" s="2">
        <v>39.53</v>
      </c>
      <c r="F7697" s="2">
        <v>2</v>
      </c>
      <c r="G7697" s="2" t="s">
        <v>9</v>
      </c>
    </row>
    <row r="7698" spans="1:9" x14ac:dyDescent="0.2">
      <c r="A7698" s="2" t="s">
        <v>3250</v>
      </c>
      <c r="B7698" s="2" t="s">
        <v>1255</v>
      </c>
      <c r="C7698" s="2">
        <v>1274.154</v>
      </c>
      <c r="D7698" s="2">
        <f>HYPERLINK("http://mcb-m6.bioreg.kyushu-u.ac.jp/M3/20110404/F50762/2995/1", 69.74)</f>
        <v>69.739999999999995</v>
      </c>
      <c r="E7698" s="2">
        <v>59.41</v>
      </c>
      <c r="F7698" s="2">
        <v>2</v>
      </c>
      <c r="G7698" s="2" t="s">
        <v>9</v>
      </c>
      <c r="I7698" s="2" t="s">
        <v>4906</v>
      </c>
    </row>
    <row r="7699" spans="1:9" x14ac:dyDescent="0.2">
      <c r="A7699" s="2" t="s">
        <v>3250</v>
      </c>
      <c r="B7699" s="2" t="s">
        <v>5991</v>
      </c>
      <c r="C7699" s="2">
        <v>976.99450000000002</v>
      </c>
      <c r="D7699" s="2">
        <f>HYPERLINK("http://mcb-m6.bioreg.kyushu-u.ac.jp/M3/20110404/F50767/3963/1", 69.79)</f>
        <v>69.790000000000006</v>
      </c>
      <c r="E7699" s="2">
        <v>65.84</v>
      </c>
      <c r="F7699" s="2">
        <v>3</v>
      </c>
      <c r="G7699" s="2" t="s">
        <v>9</v>
      </c>
      <c r="H7699" s="2" t="s">
        <v>8132</v>
      </c>
      <c r="I7699" s="2" t="s">
        <v>4895</v>
      </c>
    </row>
    <row r="7700" spans="1:9" x14ac:dyDescent="0.2">
      <c r="A7700" s="2" t="s">
        <v>3250</v>
      </c>
      <c r="B7700" s="2" t="s">
        <v>467</v>
      </c>
      <c r="C7700" s="2">
        <v>1382.5119999999999</v>
      </c>
      <c r="D7700" s="2">
        <f>HYPERLINK("http://mcb-m6.bioreg.kyushu-u.ac.jp/M3/20110404/F50756/1702/1", 69.8)</f>
        <v>69.8</v>
      </c>
      <c r="E7700" s="2">
        <v>51.15</v>
      </c>
      <c r="F7700" s="2">
        <v>1</v>
      </c>
      <c r="G7700" s="2" t="s">
        <v>9</v>
      </c>
    </row>
    <row r="7701" spans="1:9" x14ac:dyDescent="0.2">
      <c r="A7701" s="2" t="s">
        <v>3250</v>
      </c>
      <c r="B7701" s="2" t="s">
        <v>543</v>
      </c>
      <c r="C7701" s="2">
        <v>927.57259999999997</v>
      </c>
      <c r="D7701" s="2">
        <f>HYPERLINK("http://mcb-m6.bioreg.kyushu-u.ac.jp/M3/20110404/F50778/2725/1", 70.21)</f>
        <v>70.209999999999994</v>
      </c>
      <c r="E7701" s="2">
        <v>53.14</v>
      </c>
      <c r="F7701" s="2">
        <v>2</v>
      </c>
      <c r="G7701" s="2" t="s">
        <v>9</v>
      </c>
    </row>
    <row r="7702" spans="1:9" x14ac:dyDescent="0.2">
      <c r="A7702" s="2" t="s">
        <v>3250</v>
      </c>
      <c r="B7702" s="2" t="s">
        <v>90</v>
      </c>
      <c r="C7702" s="2">
        <v>1433.567</v>
      </c>
      <c r="D7702" s="2">
        <f>HYPERLINK("http://mcb-m6.bioreg.kyushu-u.ac.jp/M3/20110404/F50776/1707/1", 70.25)</f>
        <v>70.25</v>
      </c>
      <c r="E7702" s="2">
        <v>53.99</v>
      </c>
      <c r="F7702" s="2">
        <v>1</v>
      </c>
      <c r="G7702" s="2" t="s">
        <v>9</v>
      </c>
    </row>
    <row r="7703" spans="1:9" x14ac:dyDescent="0.2">
      <c r="A7703" s="2" t="s">
        <v>3250</v>
      </c>
      <c r="B7703" s="2" t="s">
        <v>311</v>
      </c>
      <c r="C7703" s="2">
        <v>598.80319999999995</v>
      </c>
      <c r="D7703" s="2">
        <f>HYPERLINK("http://mcb-m6.bioreg.kyushu-u.ac.jp/M3/20110404/F50765/1237/1", 70.38)</f>
        <v>70.38</v>
      </c>
      <c r="E7703" s="2">
        <v>48.42</v>
      </c>
      <c r="F7703" s="2">
        <v>2</v>
      </c>
      <c r="G7703" s="2" t="s">
        <v>9</v>
      </c>
    </row>
    <row r="7704" spans="1:9" x14ac:dyDescent="0.2">
      <c r="A7704" s="2" t="s">
        <v>3250</v>
      </c>
      <c r="B7704" s="2" t="s">
        <v>467</v>
      </c>
      <c r="C7704" s="2">
        <v>691.6902</v>
      </c>
      <c r="D7704" s="2">
        <f>HYPERLINK("http://mcb-m6.bioreg.kyushu-u.ac.jp/M3/20110404/F50756/1701/1", 70.65)</f>
        <v>70.650000000000006</v>
      </c>
      <c r="E7704" s="2">
        <v>45.26</v>
      </c>
      <c r="F7704" s="2">
        <v>2</v>
      </c>
      <c r="G7704" s="2" t="s">
        <v>9</v>
      </c>
    </row>
    <row r="7705" spans="1:9" x14ac:dyDescent="0.2">
      <c r="A7705" s="2" t="s">
        <v>3250</v>
      </c>
      <c r="B7705" s="2" t="s">
        <v>175</v>
      </c>
      <c r="C7705" s="2">
        <v>784.42359999999996</v>
      </c>
      <c r="D7705" s="2">
        <f>HYPERLINK("http://mcb-m6.bioreg.kyushu-u.ac.jp/M3/20110404/F50778/2063/1", 70.69)</f>
        <v>70.69</v>
      </c>
      <c r="E7705" s="2">
        <v>52.04</v>
      </c>
      <c r="F7705" s="2">
        <v>2</v>
      </c>
      <c r="G7705" s="2" t="s">
        <v>9</v>
      </c>
      <c r="I7705" s="2" t="s">
        <v>4893</v>
      </c>
    </row>
    <row r="7706" spans="1:9" x14ac:dyDescent="0.2">
      <c r="A7706" s="2" t="s">
        <v>3250</v>
      </c>
      <c r="B7706" s="2" t="s">
        <v>561</v>
      </c>
      <c r="C7706" s="2">
        <v>662.78610000000003</v>
      </c>
      <c r="D7706" s="2">
        <f>HYPERLINK("http://mcb-m6.bioreg.kyushu-u.ac.jp/M3/20110404/F50777/1560/1", 70.77)</f>
        <v>70.77</v>
      </c>
      <c r="E7706" s="2">
        <v>55.24</v>
      </c>
      <c r="F7706" s="2">
        <v>2</v>
      </c>
      <c r="G7706" s="2" t="s">
        <v>9</v>
      </c>
      <c r="H7706" s="2" t="s">
        <v>4919</v>
      </c>
    </row>
    <row r="7707" spans="1:9" x14ac:dyDescent="0.2">
      <c r="A7707" s="2" t="s">
        <v>3250</v>
      </c>
      <c r="B7707" s="2" t="s">
        <v>365</v>
      </c>
      <c r="C7707" s="2">
        <v>848.98969999999997</v>
      </c>
      <c r="D7707" s="2">
        <f>HYPERLINK("http://mcb-m6.bioreg.kyushu-u.ac.jp/M3/20110404/F50779/2245/1", 70.81)</f>
        <v>70.81</v>
      </c>
      <c r="E7707" s="2">
        <v>52.56</v>
      </c>
      <c r="F7707" s="2">
        <v>2</v>
      </c>
      <c r="G7707" s="2" t="s">
        <v>9</v>
      </c>
    </row>
    <row r="7708" spans="1:9" x14ac:dyDescent="0.2">
      <c r="A7708" s="2" t="s">
        <v>3250</v>
      </c>
      <c r="B7708" s="2" t="s">
        <v>503</v>
      </c>
      <c r="C7708" s="2">
        <v>816.95119999999997</v>
      </c>
      <c r="D7708" s="2">
        <f>HYPERLINK("http://mcb-m6.bioreg.kyushu-u.ac.jp/M3/20110404/F50764/2157/1", 70.92)</f>
        <v>70.92</v>
      </c>
      <c r="E7708" s="2">
        <v>55.55</v>
      </c>
      <c r="F7708" s="2">
        <v>2</v>
      </c>
      <c r="G7708" s="2" t="s">
        <v>9</v>
      </c>
      <c r="H7708" s="2" t="s">
        <v>4907</v>
      </c>
    </row>
    <row r="7709" spans="1:9" x14ac:dyDescent="0.2">
      <c r="A7709" s="2" t="s">
        <v>3250</v>
      </c>
      <c r="B7709" s="2" t="s">
        <v>90</v>
      </c>
      <c r="C7709" s="2">
        <v>717.16819999999996</v>
      </c>
      <c r="D7709" s="2">
        <f>HYPERLINK("http://mcb-m6.bioreg.kyushu-u.ac.jp/M3/20110404/F50779/1638/1", 71)</f>
        <v>71</v>
      </c>
      <c r="E7709" s="2">
        <v>48.61</v>
      </c>
      <c r="F7709" s="2">
        <v>2</v>
      </c>
      <c r="G7709" s="2" t="s">
        <v>9</v>
      </c>
    </row>
    <row r="7710" spans="1:9" x14ac:dyDescent="0.2">
      <c r="A7710" s="2" t="s">
        <v>3250</v>
      </c>
      <c r="B7710" s="2" t="s">
        <v>834</v>
      </c>
      <c r="C7710" s="2">
        <v>622.05319999999995</v>
      </c>
      <c r="D7710" s="2">
        <f>HYPERLINK("http://mcb-m6.bioreg.kyushu-u.ac.jp/M3/20110404/F50776/1400/1", 71.24)</f>
        <v>71.239999999999995</v>
      </c>
      <c r="E7710" s="2">
        <v>53.93</v>
      </c>
      <c r="F7710" s="2">
        <v>2</v>
      </c>
      <c r="G7710" s="2" t="s">
        <v>9</v>
      </c>
    </row>
    <row r="7711" spans="1:9" x14ac:dyDescent="0.2">
      <c r="A7711" s="2" t="s">
        <v>3250</v>
      </c>
      <c r="B7711" s="2" t="s">
        <v>561</v>
      </c>
      <c r="C7711" s="2">
        <v>662.28610000000003</v>
      </c>
      <c r="D7711" s="2">
        <f>HYPERLINK("http://mcb-m6.bioreg.kyushu-u.ac.jp/M3/20110404/F50755/1583/1", 71.29)</f>
        <v>71.290000000000006</v>
      </c>
      <c r="E7711" s="2">
        <v>56.2</v>
      </c>
      <c r="F7711" s="2">
        <v>2</v>
      </c>
      <c r="G7711" s="2" t="s">
        <v>9</v>
      </c>
      <c r="H7711" s="2" t="s">
        <v>4919</v>
      </c>
    </row>
    <row r="7712" spans="1:9" x14ac:dyDescent="0.2">
      <c r="A7712" s="2" t="s">
        <v>3250</v>
      </c>
      <c r="B7712" s="2" t="s">
        <v>1665</v>
      </c>
      <c r="C7712" s="2">
        <v>765.28650000000005</v>
      </c>
      <c r="D7712" s="2">
        <f>HYPERLINK("http://mcb-m6.bioreg.kyushu-u.ac.jp/M3/20110404/F50766/3682/1", 71.32)</f>
        <v>71.319999999999993</v>
      </c>
      <c r="E7712" s="2">
        <v>55.94</v>
      </c>
      <c r="F7712" s="2">
        <v>3</v>
      </c>
      <c r="G7712" s="2" t="s">
        <v>9</v>
      </c>
    </row>
    <row r="7713" spans="1:9" x14ac:dyDescent="0.2">
      <c r="A7713" s="2" t="s">
        <v>3250</v>
      </c>
      <c r="B7713" s="2" t="s">
        <v>561</v>
      </c>
      <c r="C7713" s="2">
        <v>662.81619999999998</v>
      </c>
      <c r="D7713" s="2">
        <f>HYPERLINK("http://mcb-m6.bioreg.kyushu-u.ac.jp/M3/20110404/F50762/1496/1", 71.39)</f>
        <v>71.39</v>
      </c>
      <c r="E7713" s="2">
        <v>50.86</v>
      </c>
      <c r="F7713" s="2">
        <v>2</v>
      </c>
      <c r="G7713" s="2" t="s">
        <v>9</v>
      </c>
      <c r="H7713" s="2" t="s">
        <v>4919</v>
      </c>
    </row>
    <row r="7714" spans="1:9" x14ac:dyDescent="0.2">
      <c r="A7714" s="2" t="s">
        <v>3250</v>
      </c>
      <c r="B7714" s="2" t="s">
        <v>1065</v>
      </c>
      <c r="C7714" s="2">
        <v>1432.5260000000001</v>
      </c>
      <c r="D7714" s="2">
        <f>HYPERLINK("http://mcb-m6.bioreg.kyushu-u.ac.jp/M3/20110404/F50763/1850/1", 71.43)</f>
        <v>71.430000000000007</v>
      </c>
      <c r="E7714" s="2">
        <v>52.48</v>
      </c>
      <c r="F7714" s="2">
        <v>1</v>
      </c>
      <c r="G7714" s="2" t="s">
        <v>9</v>
      </c>
      <c r="I7714" s="2" t="s">
        <v>4892</v>
      </c>
    </row>
    <row r="7715" spans="1:9" x14ac:dyDescent="0.2">
      <c r="A7715" s="2" t="s">
        <v>3250</v>
      </c>
      <c r="B7715" s="2" t="s">
        <v>561</v>
      </c>
      <c r="C7715" s="2">
        <v>654.22919999999999</v>
      </c>
      <c r="D7715" s="2">
        <f>HYPERLINK("http://mcb-m6.bioreg.kyushu-u.ac.jp/M3/20110404/F50767/1265/1", 71.51)</f>
        <v>71.510000000000005</v>
      </c>
      <c r="E7715" s="2">
        <v>52.45</v>
      </c>
      <c r="F7715" s="2">
        <v>2</v>
      </c>
      <c r="G7715" s="2" t="s">
        <v>9</v>
      </c>
    </row>
    <row r="7716" spans="1:9" x14ac:dyDescent="0.2">
      <c r="A7716" s="2" t="s">
        <v>3250</v>
      </c>
      <c r="B7716" s="2" t="s">
        <v>102</v>
      </c>
      <c r="C7716" s="2">
        <v>616.30160000000001</v>
      </c>
      <c r="D7716" s="2">
        <f>HYPERLINK("http://mcb-m6.bioreg.kyushu-u.ac.jp/M3/20110404/F50764/1382/1", 71.65)</f>
        <v>71.650000000000006</v>
      </c>
      <c r="E7716" s="2">
        <v>48.85</v>
      </c>
      <c r="F7716" s="2">
        <v>2</v>
      </c>
      <c r="G7716" s="2" t="s">
        <v>9</v>
      </c>
      <c r="H7716" s="2" t="s">
        <v>4900</v>
      </c>
    </row>
    <row r="7717" spans="1:9" x14ac:dyDescent="0.2">
      <c r="A7717" s="2" t="s">
        <v>3250</v>
      </c>
      <c r="B7717" s="2" t="s">
        <v>467</v>
      </c>
      <c r="C7717" s="2">
        <v>1382.546</v>
      </c>
      <c r="D7717" s="2">
        <f>HYPERLINK("http://mcb-m6.bioreg.kyushu-u.ac.jp/M3/20110404/F50777/1678/1", 71.96)</f>
        <v>71.959999999999994</v>
      </c>
      <c r="E7717" s="2">
        <v>57.79</v>
      </c>
      <c r="F7717" s="2">
        <v>1</v>
      </c>
      <c r="G7717" s="2" t="s">
        <v>9</v>
      </c>
    </row>
    <row r="7718" spans="1:9" x14ac:dyDescent="0.2">
      <c r="A7718" s="2" t="s">
        <v>3250</v>
      </c>
      <c r="B7718" s="2" t="s">
        <v>467</v>
      </c>
      <c r="C7718" s="2">
        <v>1382.4690000000001</v>
      </c>
      <c r="D7718" s="2">
        <f>HYPERLINK("http://mcb-m6.bioreg.kyushu-u.ac.jp/M3/20110404/F50767/1449/1", 72)</f>
        <v>72</v>
      </c>
      <c r="E7718" s="2">
        <v>57.34</v>
      </c>
      <c r="F7718" s="2">
        <v>1</v>
      </c>
      <c r="G7718" s="2" t="s">
        <v>9</v>
      </c>
    </row>
    <row r="7719" spans="1:9" x14ac:dyDescent="0.2">
      <c r="A7719" s="2" t="s">
        <v>3250</v>
      </c>
      <c r="B7719" s="2" t="s">
        <v>467</v>
      </c>
      <c r="C7719" s="2">
        <v>1382.4079999999999</v>
      </c>
      <c r="D7719" s="2">
        <f>HYPERLINK("http://mcb-m6.bioreg.kyushu-u.ac.jp/M3/20110404/F50766/1261/1", 72.01)</f>
        <v>72.010000000000005</v>
      </c>
      <c r="E7719" s="2">
        <v>56.27</v>
      </c>
      <c r="F7719" s="2">
        <v>1</v>
      </c>
      <c r="G7719" s="2" t="s">
        <v>9</v>
      </c>
    </row>
    <row r="7720" spans="1:9" x14ac:dyDescent="0.2">
      <c r="A7720" s="2" t="s">
        <v>3250</v>
      </c>
      <c r="B7720" s="2" t="s">
        <v>102</v>
      </c>
      <c r="C7720" s="2">
        <v>608.73360000000002</v>
      </c>
      <c r="D7720" s="2">
        <f>HYPERLINK("http://mcb-m6.bioreg.kyushu-u.ac.jp/M3/20110404/F50764/1340/1", 72.2)</f>
        <v>72.2</v>
      </c>
      <c r="E7720" s="2">
        <v>53.18</v>
      </c>
      <c r="F7720" s="2">
        <v>2</v>
      </c>
      <c r="G7720" s="2" t="s">
        <v>9</v>
      </c>
    </row>
    <row r="7721" spans="1:9" x14ac:dyDescent="0.2">
      <c r="A7721" s="2" t="s">
        <v>3250</v>
      </c>
      <c r="B7721" s="2" t="s">
        <v>175</v>
      </c>
      <c r="C7721" s="2">
        <v>784.27509999999995</v>
      </c>
      <c r="D7721" s="2">
        <f>HYPERLINK("http://mcb-m6.bioreg.kyushu-u.ac.jp/M3/20110404/F50777/2107/1", 72.31)</f>
        <v>72.31</v>
      </c>
      <c r="E7721" s="2">
        <v>61.45</v>
      </c>
      <c r="F7721" s="2">
        <v>2</v>
      </c>
      <c r="G7721" s="2" t="s">
        <v>9</v>
      </c>
      <c r="I7721" s="2" t="s">
        <v>4893</v>
      </c>
    </row>
    <row r="7722" spans="1:9" x14ac:dyDescent="0.2">
      <c r="A7722" s="2" t="s">
        <v>3250</v>
      </c>
      <c r="B7722" s="2" t="s">
        <v>467</v>
      </c>
      <c r="C7722" s="2">
        <v>1382.547</v>
      </c>
      <c r="D7722" s="2">
        <f>HYPERLINK("http://mcb-m6.bioreg.kyushu-u.ac.jp/M3/20110404/F50779/1473/1", 72.74)</f>
        <v>72.739999999999995</v>
      </c>
      <c r="E7722" s="2">
        <v>57.3</v>
      </c>
      <c r="F7722" s="2">
        <v>1</v>
      </c>
      <c r="G7722" s="2" t="s">
        <v>9</v>
      </c>
    </row>
    <row r="7723" spans="1:9" x14ac:dyDescent="0.2">
      <c r="A7723" s="2" t="s">
        <v>3250</v>
      </c>
      <c r="B7723" s="2" t="s">
        <v>102</v>
      </c>
      <c r="C7723" s="2">
        <v>616.81960000000004</v>
      </c>
      <c r="D7723" s="2">
        <f>HYPERLINK("http://mcb-m6.bioreg.kyushu-u.ac.jp/M3/20110404/F50778/1252/1", 72.81)</f>
        <v>72.81</v>
      </c>
      <c r="E7723" s="2">
        <v>55.5</v>
      </c>
      <c r="F7723" s="2">
        <v>2</v>
      </c>
      <c r="G7723" s="2" t="s">
        <v>9</v>
      </c>
      <c r="H7723" s="2" t="s">
        <v>4900</v>
      </c>
    </row>
    <row r="7724" spans="1:9" x14ac:dyDescent="0.2">
      <c r="A7724" s="2" t="s">
        <v>3250</v>
      </c>
      <c r="B7724" s="2" t="s">
        <v>503</v>
      </c>
      <c r="C7724" s="2">
        <v>808.43119999999999</v>
      </c>
      <c r="D7724" s="2">
        <f>HYPERLINK("http://mcb-m6.bioreg.kyushu-u.ac.jp/M3/20110404/F50764/2134/1", 73.19)</f>
        <v>73.19</v>
      </c>
      <c r="E7724" s="2">
        <v>56.58</v>
      </c>
      <c r="F7724" s="2">
        <v>2</v>
      </c>
      <c r="G7724" s="2" t="s">
        <v>9</v>
      </c>
    </row>
    <row r="7725" spans="1:9" x14ac:dyDescent="0.2">
      <c r="A7725" s="2" t="s">
        <v>3250</v>
      </c>
      <c r="B7725" s="2" t="s">
        <v>90</v>
      </c>
      <c r="C7725" s="2">
        <v>1432.7260000000001</v>
      </c>
      <c r="D7725" s="2">
        <f>HYPERLINK("http://mcb-m6.bioreg.kyushu-u.ac.jp/M3/20110404/F50779/1633/1", 73.28)</f>
        <v>73.28</v>
      </c>
      <c r="E7725" s="2">
        <v>60.26</v>
      </c>
      <c r="F7725" s="2">
        <v>1</v>
      </c>
      <c r="G7725" s="2" t="s">
        <v>9</v>
      </c>
    </row>
    <row r="7726" spans="1:9" x14ac:dyDescent="0.2">
      <c r="A7726" s="2" t="s">
        <v>3250</v>
      </c>
      <c r="B7726" s="2" t="s">
        <v>102</v>
      </c>
      <c r="C7726" s="2">
        <v>608.10720000000003</v>
      </c>
      <c r="D7726" s="2">
        <f>HYPERLINK("http://mcb-m6.bioreg.kyushu-u.ac.jp/M3/20110404/F50754/1666/1", 73.36)</f>
        <v>73.36</v>
      </c>
      <c r="E7726" s="2">
        <v>53.82</v>
      </c>
      <c r="F7726" s="2">
        <v>2</v>
      </c>
      <c r="G7726" s="2" t="s">
        <v>9</v>
      </c>
    </row>
    <row r="7727" spans="1:9" x14ac:dyDescent="0.2">
      <c r="A7727" s="2" t="s">
        <v>3250</v>
      </c>
      <c r="B7727" s="2" t="s">
        <v>30</v>
      </c>
      <c r="C7727" s="2">
        <v>965.24069999999995</v>
      </c>
      <c r="D7727" s="2">
        <f>HYPERLINK("http://mcb-m6.bioreg.kyushu-u.ac.jp/M3/20110404/F50766/2825/1", 73.91)</f>
        <v>73.91</v>
      </c>
      <c r="E7727" s="2">
        <v>65.180000000000007</v>
      </c>
      <c r="F7727" s="2">
        <v>2</v>
      </c>
      <c r="G7727" s="2" t="s">
        <v>9</v>
      </c>
      <c r="I7727" s="2" t="s">
        <v>4894</v>
      </c>
    </row>
    <row r="7728" spans="1:9" x14ac:dyDescent="0.2">
      <c r="A7728" s="2" t="s">
        <v>3250</v>
      </c>
      <c r="B7728" s="2" t="s">
        <v>90</v>
      </c>
      <c r="C7728" s="2">
        <v>1433.0530000000001</v>
      </c>
      <c r="D7728" s="2">
        <f>HYPERLINK("http://mcb-m6.bioreg.kyushu-u.ac.jp/M3/20110404/F50763/1853/1", 73.97)</f>
        <v>73.97</v>
      </c>
      <c r="E7728" s="2">
        <v>64.05</v>
      </c>
      <c r="F7728" s="2">
        <v>1</v>
      </c>
      <c r="G7728" s="2" t="s">
        <v>9</v>
      </c>
    </row>
    <row r="7729" spans="1:9" x14ac:dyDescent="0.2">
      <c r="A7729" s="2" t="s">
        <v>3250</v>
      </c>
      <c r="B7729" s="2" t="s">
        <v>503</v>
      </c>
      <c r="C7729" s="2">
        <v>816.43119999999999</v>
      </c>
      <c r="D7729" s="2">
        <f>HYPERLINK("http://mcb-m6.bioreg.kyushu-u.ac.jp/M3/20110404/F50777/2232/1", 74.01)</f>
        <v>74.010000000000005</v>
      </c>
      <c r="E7729" s="2">
        <v>63.63</v>
      </c>
      <c r="F7729" s="2">
        <v>2</v>
      </c>
      <c r="G7729" s="2" t="s">
        <v>9</v>
      </c>
      <c r="H7729" s="2" t="s">
        <v>4907</v>
      </c>
    </row>
    <row r="7730" spans="1:9" x14ac:dyDescent="0.2">
      <c r="A7730" s="2" t="s">
        <v>3250</v>
      </c>
      <c r="B7730" s="2" t="s">
        <v>77</v>
      </c>
      <c r="C7730" s="2">
        <v>574.63319999999999</v>
      </c>
      <c r="D7730" s="2">
        <f>HYPERLINK("http://mcb-m6.bioreg.kyushu-u.ac.jp/M3/20110404/F50755/1246/1", 74.62)</f>
        <v>74.62</v>
      </c>
      <c r="E7730" s="2">
        <v>43.94</v>
      </c>
      <c r="F7730" s="2">
        <v>2</v>
      </c>
      <c r="G7730" s="2" t="s">
        <v>9</v>
      </c>
    </row>
    <row r="7731" spans="1:9" x14ac:dyDescent="0.2">
      <c r="A7731" s="2" t="s">
        <v>3250</v>
      </c>
      <c r="B7731" s="2" t="s">
        <v>1065</v>
      </c>
      <c r="C7731" s="2">
        <v>717.03809999999999</v>
      </c>
      <c r="D7731" s="2">
        <f>HYPERLINK("http://mcb-m6.bioreg.kyushu-u.ac.jp/M3/20110404/F50763/1854/1", 74.63)</f>
        <v>74.63</v>
      </c>
      <c r="E7731" s="2">
        <v>64.260000000000005</v>
      </c>
      <c r="F7731" s="2">
        <v>2</v>
      </c>
      <c r="G7731" s="2" t="s">
        <v>9</v>
      </c>
      <c r="I7731" s="2" t="s">
        <v>4892</v>
      </c>
    </row>
    <row r="7732" spans="1:9" x14ac:dyDescent="0.2">
      <c r="A7732" s="2" t="s">
        <v>3250</v>
      </c>
      <c r="B7732" s="2" t="s">
        <v>5991</v>
      </c>
      <c r="C7732" s="2">
        <v>976.78189999999995</v>
      </c>
      <c r="D7732" s="2">
        <f>HYPERLINK("http://mcb-m6.bioreg.kyushu-u.ac.jp/M3/20110404/F50779/3855/1", 74.64)</f>
        <v>74.64</v>
      </c>
      <c r="E7732" s="2">
        <v>65</v>
      </c>
      <c r="F7732" s="2">
        <v>3</v>
      </c>
      <c r="G7732" s="2" t="s">
        <v>9</v>
      </c>
      <c r="H7732" s="2" t="s">
        <v>8132</v>
      </c>
      <c r="I7732" s="2" t="s">
        <v>4895</v>
      </c>
    </row>
    <row r="7733" spans="1:9" x14ac:dyDescent="0.2">
      <c r="A7733" s="2" t="s">
        <v>3250</v>
      </c>
      <c r="B7733" s="2" t="s">
        <v>102</v>
      </c>
      <c r="C7733" s="2">
        <v>608.50419999999997</v>
      </c>
      <c r="D7733" s="2">
        <f>HYPERLINK("http://mcb-m6.bioreg.kyushu-u.ac.jp/M3/20110404/F50765/1275/1", 74.66)</f>
        <v>74.66</v>
      </c>
      <c r="E7733" s="2">
        <v>58.68</v>
      </c>
      <c r="F7733" s="2">
        <v>2</v>
      </c>
      <c r="G7733" s="2" t="s">
        <v>9</v>
      </c>
    </row>
    <row r="7734" spans="1:9" x14ac:dyDescent="0.2">
      <c r="A7734" s="2" t="s">
        <v>3250</v>
      </c>
      <c r="B7734" s="2" t="s">
        <v>30</v>
      </c>
      <c r="C7734" s="2">
        <v>964.91110000000003</v>
      </c>
      <c r="D7734" s="2">
        <f>HYPERLINK("http://mcb-m6.bioreg.kyushu-u.ac.jp/M3/20110404/F50776/2460/1", 74.73)</f>
        <v>74.73</v>
      </c>
      <c r="E7734" s="2">
        <v>65.92</v>
      </c>
      <c r="F7734" s="2">
        <v>2</v>
      </c>
      <c r="G7734" s="2" t="s">
        <v>9</v>
      </c>
      <c r="I7734" s="2" t="s">
        <v>4894</v>
      </c>
    </row>
    <row r="7735" spans="1:9" x14ac:dyDescent="0.2">
      <c r="A7735" s="2" t="s">
        <v>3250</v>
      </c>
      <c r="B7735" s="2" t="s">
        <v>467</v>
      </c>
      <c r="C7735" s="2">
        <v>1382.6369999999999</v>
      </c>
      <c r="D7735" s="2">
        <f>HYPERLINK("http://mcb-m6.bioreg.kyushu-u.ac.jp/M3/20110404/F50751/1946/1", 74.97)</f>
        <v>74.97</v>
      </c>
      <c r="E7735" s="2">
        <v>55.1</v>
      </c>
      <c r="F7735" s="2">
        <v>1</v>
      </c>
      <c r="G7735" s="2" t="s">
        <v>9</v>
      </c>
    </row>
    <row r="7736" spans="1:9" x14ac:dyDescent="0.2">
      <c r="A7736" s="2" t="s">
        <v>3250</v>
      </c>
      <c r="B7736" s="2" t="s">
        <v>772</v>
      </c>
      <c r="C7736" s="2">
        <v>595.61410000000001</v>
      </c>
      <c r="D7736" s="2">
        <f>HYPERLINK("http://mcb-m6.bioreg.kyushu-u.ac.jp/M3/20110404/F50767/1044/1", 75.29)</f>
        <v>75.290000000000006</v>
      </c>
      <c r="E7736" s="2">
        <v>48.68</v>
      </c>
      <c r="F7736" s="2">
        <v>2</v>
      </c>
      <c r="G7736" s="2" t="s">
        <v>9</v>
      </c>
    </row>
    <row r="7737" spans="1:9" x14ac:dyDescent="0.2">
      <c r="A7737" s="2" t="s">
        <v>3250</v>
      </c>
      <c r="B7737" s="2" t="s">
        <v>561</v>
      </c>
      <c r="C7737" s="2">
        <v>662.45069999999998</v>
      </c>
      <c r="D7737" s="2">
        <f>HYPERLINK("http://mcb-m6.bioreg.kyushu-u.ac.jp/M3/20110404/F50779/1348/1", 75.32)</f>
        <v>75.319999999999993</v>
      </c>
      <c r="E7737" s="2">
        <v>54.51</v>
      </c>
      <c r="F7737" s="2">
        <v>2</v>
      </c>
      <c r="G7737" s="2" t="s">
        <v>9</v>
      </c>
      <c r="H7737" s="2" t="s">
        <v>4919</v>
      </c>
    </row>
    <row r="7738" spans="1:9" x14ac:dyDescent="0.2">
      <c r="A7738" s="2" t="s">
        <v>3250</v>
      </c>
      <c r="B7738" s="2" t="s">
        <v>102</v>
      </c>
      <c r="C7738" s="2">
        <v>616.24770000000001</v>
      </c>
      <c r="D7738" s="2">
        <f>HYPERLINK("http://mcb-m6.bioreg.kyushu-u.ac.jp/M3/20110404/F50778/1247/1", 75.38)</f>
        <v>75.38</v>
      </c>
      <c r="E7738" s="2">
        <v>57.94</v>
      </c>
      <c r="F7738" s="2">
        <v>2</v>
      </c>
      <c r="G7738" s="2" t="s">
        <v>9</v>
      </c>
      <c r="H7738" s="2" t="s">
        <v>4900</v>
      </c>
    </row>
    <row r="7739" spans="1:9" x14ac:dyDescent="0.2">
      <c r="A7739" s="2" t="s">
        <v>3250</v>
      </c>
      <c r="B7739" s="2" t="s">
        <v>467</v>
      </c>
      <c r="C7739" s="2">
        <v>1383.105</v>
      </c>
      <c r="D7739" s="2">
        <f>HYPERLINK("http://mcb-m6.bioreg.kyushu-u.ac.jp/M3/20110404/F50762/1619/1", 75.58)</f>
        <v>75.58</v>
      </c>
      <c r="E7739" s="2">
        <v>62.5</v>
      </c>
      <c r="F7739" s="2">
        <v>1</v>
      </c>
      <c r="G7739" s="2" t="s">
        <v>9</v>
      </c>
    </row>
    <row r="7740" spans="1:9" x14ac:dyDescent="0.2">
      <c r="A7740" s="2" t="s">
        <v>3250</v>
      </c>
      <c r="B7740" s="2" t="s">
        <v>467</v>
      </c>
      <c r="C7740" s="2">
        <v>1382.3340000000001</v>
      </c>
      <c r="D7740" s="2">
        <f>HYPERLINK("http://mcb-m6.bioreg.kyushu-u.ac.jp/M3/20110404/F50753/1810/1", 75.65)</f>
        <v>75.650000000000006</v>
      </c>
      <c r="E7740" s="2">
        <v>59.22</v>
      </c>
      <c r="F7740" s="2">
        <v>1</v>
      </c>
      <c r="G7740" s="2" t="s">
        <v>9</v>
      </c>
    </row>
    <row r="7741" spans="1:9" x14ac:dyDescent="0.2">
      <c r="A7741" s="2" t="s">
        <v>3250</v>
      </c>
      <c r="B7741" s="2" t="s">
        <v>481</v>
      </c>
      <c r="C7741" s="2">
        <v>709.56820000000005</v>
      </c>
      <c r="D7741" s="2">
        <f>HYPERLINK("http://mcb-m6.bioreg.kyushu-u.ac.jp/M3/20110404/F50751/2002/1", 75.68)</f>
        <v>75.680000000000007</v>
      </c>
      <c r="E7741" s="2">
        <v>55.67</v>
      </c>
      <c r="F7741" s="2">
        <v>2</v>
      </c>
      <c r="G7741" s="2" t="s">
        <v>9</v>
      </c>
      <c r="I7741" s="2" t="s">
        <v>4898</v>
      </c>
    </row>
    <row r="7742" spans="1:9" x14ac:dyDescent="0.2">
      <c r="A7742" s="2" t="s">
        <v>3250</v>
      </c>
      <c r="B7742" s="2" t="s">
        <v>365</v>
      </c>
      <c r="C7742" s="2">
        <v>848.87869999999998</v>
      </c>
      <c r="D7742" s="2">
        <f>HYPERLINK("http://mcb-m6.bioreg.kyushu-u.ac.jp/M3/20110404/F50779/2241/1", 75.9)</f>
        <v>75.900000000000006</v>
      </c>
      <c r="E7742" s="2">
        <v>56.57</v>
      </c>
      <c r="F7742" s="2">
        <v>2</v>
      </c>
      <c r="G7742" s="2" t="s">
        <v>9</v>
      </c>
    </row>
    <row r="7743" spans="1:9" x14ac:dyDescent="0.2">
      <c r="A7743" s="2" t="s">
        <v>3250</v>
      </c>
      <c r="B7743" s="2" t="s">
        <v>503</v>
      </c>
      <c r="C7743" s="2">
        <v>816.35919999999999</v>
      </c>
      <c r="D7743" s="2">
        <f>HYPERLINK("http://mcb-m6.bioreg.kyushu-u.ac.jp/M3/20110404/F50767/2098/1", 76.36)</f>
        <v>76.36</v>
      </c>
      <c r="E7743" s="2">
        <v>64.38</v>
      </c>
      <c r="F7743" s="2">
        <v>2</v>
      </c>
      <c r="G7743" s="2" t="s">
        <v>9</v>
      </c>
      <c r="H7743" s="2" t="s">
        <v>4907</v>
      </c>
    </row>
    <row r="7744" spans="1:9" x14ac:dyDescent="0.2">
      <c r="A7744" s="2" t="s">
        <v>3250</v>
      </c>
      <c r="B7744" s="2" t="s">
        <v>5991</v>
      </c>
      <c r="C7744" s="2">
        <v>977.30319999999995</v>
      </c>
      <c r="D7744" s="2">
        <f>HYPERLINK("http://mcb-m6.bioreg.kyushu-u.ac.jp/M3/20110404/F50778/3953/1", 76.39)</f>
        <v>76.39</v>
      </c>
      <c r="E7744" s="2">
        <v>68.58</v>
      </c>
      <c r="F7744" s="2">
        <v>3</v>
      </c>
      <c r="G7744" s="2" t="s">
        <v>9</v>
      </c>
      <c r="H7744" s="2" t="s">
        <v>8132</v>
      </c>
      <c r="I7744" s="2" t="s">
        <v>4895</v>
      </c>
    </row>
    <row r="7745" spans="1:9" x14ac:dyDescent="0.2">
      <c r="A7745" s="2" t="s">
        <v>3250</v>
      </c>
      <c r="B7745" s="2" t="s">
        <v>481</v>
      </c>
      <c r="C7745" s="2">
        <v>709.33219999999994</v>
      </c>
      <c r="D7745" s="2">
        <f>HYPERLINK("http://mcb-m6.bioreg.kyushu-u.ac.jp/M3/20110404/F50766/1347/1", 76.4)</f>
        <v>76.400000000000006</v>
      </c>
      <c r="E7745" s="2">
        <v>55.16</v>
      </c>
      <c r="F7745" s="2">
        <v>2</v>
      </c>
      <c r="G7745" s="2" t="s">
        <v>9</v>
      </c>
      <c r="I7745" s="2" t="s">
        <v>4898</v>
      </c>
    </row>
    <row r="7746" spans="1:9" x14ac:dyDescent="0.2">
      <c r="A7746" s="2" t="s">
        <v>3250</v>
      </c>
      <c r="B7746" s="2" t="s">
        <v>772</v>
      </c>
      <c r="C7746" s="2">
        <v>596.12459999999999</v>
      </c>
      <c r="D7746" s="2">
        <f>HYPERLINK("http://mcb-m6.bioreg.kyushu-u.ac.jp/M3/20110404/F50764/1290/1", 76.54)</f>
        <v>76.540000000000006</v>
      </c>
      <c r="E7746" s="2">
        <v>52.9</v>
      </c>
      <c r="F7746" s="2">
        <v>2</v>
      </c>
      <c r="G7746" s="2" t="s">
        <v>9</v>
      </c>
    </row>
    <row r="7747" spans="1:9" x14ac:dyDescent="0.2">
      <c r="A7747" s="2" t="s">
        <v>3250</v>
      </c>
      <c r="B7747" s="2" t="s">
        <v>1065</v>
      </c>
      <c r="C7747" s="2">
        <v>716.96469999999999</v>
      </c>
      <c r="D7747" s="2">
        <f>HYPERLINK("http://mcb-m6.bioreg.kyushu-u.ac.jp/M3/20110404/F50766/1407/1", 76.6)</f>
        <v>76.599999999999994</v>
      </c>
      <c r="E7747" s="2">
        <v>57.87</v>
      </c>
      <c r="F7747" s="2">
        <v>2</v>
      </c>
      <c r="G7747" s="2" t="s">
        <v>9</v>
      </c>
      <c r="I7747" s="2" t="s">
        <v>4892</v>
      </c>
    </row>
    <row r="7748" spans="1:9" x14ac:dyDescent="0.2">
      <c r="A7748" s="2" t="s">
        <v>3250</v>
      </c>
      <c r="B7748" s="2" t="s">
        <v>90</v>
      </c>
      <c r="C7748" s="2">
        <v>717.24620000000004</v>
      </c>
      <c r="D7748" s="2">
        <f>HYPERLINK("http://mcb-m6.bioreg.kyushu-u.ac.jp/M3/20110404/F50778/1723/1", 76.77)</f>
        <v>76.77</v>
      </c>
      <c r="E7748" s="2">
        <v>51.92</v>
      </c>
      <c r="F7748" s="2">
        <v>2</v>
      </c>
      <c r="G7748" s="2" t="s">
        <v>9</v>
      </c>
    </row>
    <row r="7749" spans="1:9" x14ac:dyDescent="0.2">
      <c r="A7749" s="2" t="s">
        <v>3250</v>
      </c>
      <c r="B7749" s="2" t="s">
        <v>772</v>
      </c>
      <c r="C7749" s="2">
        <v>596.01170000000002</v>
      </c>
      <c r="D7749" s="2">
        <f>HYPERLINK("http://mcb-m6.bioreg.kyushu-u.ac.jp/M3/20110404/F50753/1492/1", 76.82)</f>
        <v>76.819999999999993</v>
      </c>
      <c r="E7749" s="2">
        <v>50.05</v>
      </c>
      <c r="F7749" s="2">
        <v>2</v>
      </c>
      <c r="G7749" s="2" t="s">
        <v>9</v>
      </c>
    </row>
    <row r="7750" spans="1:9" x14ac:dyDescent="0.2">
      <c r="A7750" s="2" t="s">
        <v>3250</v>
      </c>
      <c r="B7750" s="2" t="s">
        <v>481</v>
      </c>
      <c r="C7750" s="2">
        <v>709.44069999999999</v>
      </c>
      <c r="D7750" s="2">
        <f>HYPERLINK("http://mcb-m6.bioreg.kyushu-u.ac.jp/M3/20110404/F50778/1648/1", 76.85)</f>
        <v>76.849999999999994</v>
      </c>
      <c r="E7750" s="2">
        <v>55.6</v>
      </c>
      <c r="F7750" s="2">
        <v>2</v>
      </c>
      <c r="G7750" s="2" t="s">
        <v>9</v>
      </c>
      <c r="I7750" s="2" t="s">
        <v>4898</v>
      </c>
    </row>
    <row r="7751" spans="1:9" x14ac:dyDescent="0.2">
      <c r="A7751" s="2" t="s">
        <v>3250</v>
      </c>
      <c r="B7751" s="2" t="s">
        <v>102</v>
      </c>
      <c r="C7751" s="2">
        <v>608.21010000000001</v>
      </c>
      <c r="D7751" s="2">
        <f>HYPERLINK("http://mcb-m6.bioreg.kyushu-u.ac.jp/M3/20110404/F50767/1095/1", 76.95)</f>
        <v>76.95</v>
      </c>
      <c r="E7751" s="2">
        <v>59.65</v>
      </c>
      <c r="F7751" s="2">
        <v>2</v>
      </c>
      <c r="G7751" s="2" t="s">
        <v>9</v>
      </c>
    </row>
    <row r="7752" spans="1:9" x14ac:dyDescent="0.2">
      <c r="A7752" s="2" t="s">
        <v>3250</v>
      </c>
      <c r="B7752" s="2" t="s">
        <v>467</v>
      </c>
      <c r="C7752" s="2">
        <v>1382.4739999999999</v>
      </c>
      <c r="D7752" s="2">
        <f>HYPERLINK("http://mcb-m6.bioreg.kyushu-u.ac.jp/M3/20110404/F50754/1932/1", 76.96)</f>
        <v>76.959999999999994</v>
      </c>
      <c r="E7752" s="2">
        <v>57.88</v>
      </c>
      <c r="F7752" s="2">
        <v>1</v>
      </c>
      <c r="G7752" s="2" t="s">
        <v>9</v>
      </c>
    </row>
    <row r="7753" spans="1:9" x14ac:dyDescent="0.2">
      <c r="A7753" s="2" t="s">
        <v>3250</v>
      </c>
      <c r="B7753" s="2" t="s">
        <v>467</v>
      </c>
      <c r="C7753" s="2">
        <v>1383.607</v>
      </c>
      <c r="D7753" s="2">
        <f>HYPERLINK("http://mcb-m6.bioreg.kyushu-u.ac.jp/M3/20110404/F50779/1481/1", 77.15)</f>
        <v>77.150000000000006</v>
      </c>
      <c r="E7753" s="2">
        <v>66.58</v>
      </c>
      <c r="F7753" s="2">
        <v>1</v>
      </c>
      <c r="G7753" s="2" t="s">
        <v>9</v>
      </c>
    </row>
    <row r="7754" spans="1:9" x14ac:dyDescent="0.2">
      <c r="A7754" s="2" t="s">
        <v>3250</v>
      </c>
      <c r="B7754" s="2" t="s">
        <v>77</v>
      </c>
      <c r="C7754" s="2">
        <v>574.72919999999999</v>
      </c>
      <c r="D7754" s="2">
        <f>HYPERLINK("http://mcb-m6.bioreg.kyushu-u.ac.jp/M3/20110404/F50779/1001/1", 77.2)</f>
        <v>77.2</v>
      </c>
      <c r="E7754" s="2">
        <v>47.3</v>
      </c>
      <c r="F7754" s="2">
        <v>2</v>
      </c>
      <c r="G7754" s="2" t="s">
        <v>9</v>
      </c>
    </row>
    <row r="7755" spans="1:9" x14ac:dyDescent="0.2">
      <c r="A7755" s="2" t="s">
        <v>3250</v>
      </c>
      <c r="B7755" s="2" t="s">
        <v>503</v>
      </c>
      <c r="C7755" s="2">
        <v>816.44619999999998</v>
      </c>
      <c r="D7755" s="2">
        <f>HYPERLINK("http://mcb-m6.bioreg.kyushu-u.ac.jp/M3/20110404/F50778/2212/1", 77.23)</f>
        <v>77.23</v>
      </c>
      <c r="E7755" s="2">
        <v>62.16</v>
      </c>
      <c r="F7755" s="2">
        <v>2</v>
      </c>
      <c r="G7755" s="2" t="s">
        <v>9</v>
      </c>
      <c r="H7755" s="2" t="s">
        <v>4907</v>
      </c>
    </row>
    <row r="7756" spans="1:9" x14ac:dyDescent="0.2">
      <c r="A7756" s="2" t="s">
        <v>3250</v>
      </c>
      <c r="B7756" s="2" t="s">
        <v>90</v>
      </c>
      <c r="C7756" s="2">
        <v>717.07569999999998</v>
      </c>
      <c r="D7756" s="2">
        <f>HYPERLINK("http://mcb-m6.bioreg.kyushu-u.ac.jp/M3/20110404/F50751/2042/1", 77.31)</f>
        <v>77.31</v>
      </c>
      <c r="E7756" s="2">
        <v>60.76</v>
      </c>
      <c r="F7756" s="2">
        <v>2</v>
      </c>
      <c r="G7756" s="2" t="s">
        <v>9</v>
      </c>
    </row>
    <row r="7757" spans="1:9" x14ac:dyDescent="0.2">
      <c r="A7757" s="2" t="s">
        <v>3250</v>
      </c>
      <c r="B7757" s="2" t="s">
        <v>561</v>
      </c>
      <c r="C7757" s="2">
        <v>654.05520000000001</v>
      </c>
      <c r="D7757" s="2">
        <f>HYPERLINK("http://mcb-m6.bioreg.kyushu-u.ac.jp/M3/20110404/F50753/1672/1", 77.39)</f>
        <v>77.39</v>
      </c>
      <c r="E7757" s="2">
        <v>51.94</v>
      </c>
      <c r="F7757" s="2">
        <v>2</v>
      </c>
      <c r="G7757" s="2" t="s">
        <v>9</v>
      </c>
    </row>
    <row r="7758" spans="1:9" x14ac:dyDescent="0.2">
      <c r="A7758" s="2" t="s">
        <v>3250</v>
      </c>
      <c r="B7758" s="2" t="s">
        <v>1065</v>
      </c>
      <c r="C7758" s="2">
        <v>716.90869999999995</v>
      </c>
      <c r="D7758" s="2">
        <f>HYPERLINK("http://mcb-m6.bioreg.kyushu-u.ac.jp/M3/20110404/F50778/1715/1", 77.54)</f>
        <v>77.540000000000006</v>
      </c>
      <c r="E7758" s="2">
        <v>66.38</v>
      </c>
      <c r="F7758" s="2">
        <v>2</v>
      </c>
      <c r="G7758" s="2" t="s">
        <v>9</v>
      </c>
      <c r="I7758" s="2" t="s">
        <v>4892</v>
      </c>
    </row>
    <row r="7759" spans="1:9" x14ac:dyDescent="0.2">
      <c r="A7759" s="2" t="s">
        <v>3250</v>
      </c>
      <c r="B7759" s="2" t="s">
        <v>77</v>
      </c>
      <c r="C7759" s="2">
        <v>574.68910000000005</v>
      </c>
      <c r="D7759" s="2">
        <f>HYPERLINK("http://mcb-m6.bioreg.kyushu-u.ac.jp/M3/20110404/F50766/757/1", 77.77)</f>
        <v>77.77</v>
      </c>
      <c r="E7759" s="2">
        <v>52.16</v>
      </c>
      <c r="F7759" s="2">
        <v>2</v>
      </c>
      <c r="G7759" s="2" t="s">
        <v>9</v>
      </c>
    </row>
    <row r="7760" spans="1:9" x14ac:dyDescent="0.2">
      <c r="A7760" s="2" t="s">
        <v>3250</v>
      </c>
      <c r="B7760" s="2" t="s">
        <v>356</v>
      </c>
      <c r="C7760" s="2">
        <v>1630.825</v>
      </c>
      <c r="D7760" s="2">
        <f>HYPERLINK("http://mcb-m6.bioreg.kyushu-u.ac.jp/M3/20110404/F50779/2104/1", 78.03)</f>
        <v>78.03</v>
      </c>
      <c r="E7760" s="2">
        <v>59.9</v>
      </c>
      <c r="F7760" s="2">
        <v>1</v>
      </c>
      <c r="G7760" s="2" t="s">
        <v>9</v>
      </c>
    </row>
    <row r="7761" spans="1:9" x14ac:dyDescent="0.2">
      <c r="A7761" s="2" t="s">
        <v>3250</v>
      </c>
      <c r="B7761" s="2" t="s">
        <v>481</v>
      </c>
      <c r="C7761" s="2">
        <v>709.11109999999996</v>
      </c>
      <c r="D7761" s="2">
        <f>HYPERLINK("http://mcb-m6.bioreg.kyushu-u.ac.jp/M3/20110404/F50753/1875/1", 78.06)</f>
        <v>78.06</v>
      </c>
      <c r="E7761" s="2">
        <v>57.05</v>
      </c>
      <c r="F7761" s="2">
        <v>2</v>
      </c>
      <c r="G7761" s="2" t="s">
        <v>9</v>
      </c>
      <c r="I7761" s="2" t="s">
        <v>4898</v>
      </c>
    </row>
    <row r="7762" spans="1:9" x14ac:dyDescent="0.2">
      <c r="A7762" s="2" t="s">
        <v>3250</v>
      </c>
      <c r="B7762" s="2" t="s">
        <v>30</v>
      </c>
      <c r="C7762" s="2">
        <v>965.46720000000005</v>
      </c>
      <c r="D7762" s="2">
        <f>HYPERLINK("http://mcb-m6.bioreg.kyushu-u.ac.jp/M3/20110404/F50778/2867/1", 78.16)</f>
        <v>78.16</v>
      </c>
      <c r="E7762" s="2">
        <v>72.7</v>
      </c>
      <c r="F7762" s="2">
        <v>2</v>
      </c>
      <c r="G7762" s="2" t="s">
        <v>9</v>
      </c>
      <c r="I7762" s="2" t="s">
        <v>4894</v>
      </c>
    </row>
    <row r="7763" spans="1:9" x14ac:dyDescent="0.2">
      <c r="A7763" s="2" t="s">
        <v>3250</v>
      </c>
      <c r="B7763" s="2" t="s">
        <v>561</v>
      </c>
      <c r="C7763" s="2">
        <v>654.25160000000005</v>
      </c>
      <c r="D7763" s="2">
        <f>HYPERLINK("http://mcb-m6.bioreg.kyushu-u.ac.jp/M3/20110404/F50778/1393/1", 78.24)</f>
        <v>78.239999999999995</v>
      </c>
      <c r="E7763" s="2">
        <v>58.41</v>
      </c>
      <c r="F7763" s="2">
        <v>2</v>
      </c>
      <c r="G7763" s="2" t="s">
        <v>9</v>
      </c>
    </row>
    <row r="7764" spans="1:9" x14ac:dyDescent="0.2">
      <c r="A7764" s="2" t="s">
        <v>3250</v>
      </c>
      <c r="B7764" s="2" t="s">
        <v>365</v>
      </c>
      <c r="C7764" s="2">
        <v>848.93269999999995</v>
      </c>
      <c r="D7764" s="2">
        <f>HYPERLINK("http://mcb-m6.bioreg.kyushu-u.ac.jp/M3/20110404/F50778/2360/1", 78.25)</f>
        <v>78.25</v>
      </c>
      <c r="E7764" s="2">
        <v>63.41</v>
      </c>
      <c r="F7764" s="2">
        <v>2</v>
      </c>
      <c r="G7764" s="2" t="s">
        <v>9</v>
      </c>
    </row>
    <row r="7765" spans="1:9" x14ac:dyDescent="0.2">
      <c r="A7765" s="2" t="s">
        <v>3250</v>
      </c>
      <c r="B7765" s="2" t="s">
        <v>356</v>
      </c>
      <c r="C7765" s="2">
        <v>815.8777</v>
      </c>
      <c r="D7765" s="2">
        <f>HYPERLINK("http://mcb-m6.bioreg.kyushu-u.ac.jp/M3/20110404/F50779/2103/1", 78.64)</f>
        <v>78.64</v>
      </c>
      <c r="E7765" s="2">
        <v>62.4</v>
      </c>
      <c r="F7765" s="2">
        <v>2</v>
      </c>
      <c r="G7765" s="2" t="s">
        <v>9</v>
      </c>
    </row>
    <row r="7766" spans="1:9" x14ac:dyDescent="0.2">
      <c r="A7766" s="2" t="s">
        <v>3250</v>
      </c>
      <c r="B7766" s="2" t="s">
        <v>481</v>
      </c>
      <c r="C7766" s="2">
        <v>709.33920000000001</v>
      </c>
      <c r="D7766" s="2">
        <f>HYPERLINK("http://mcb-m6.bioreg.kyushu-u.ac.jp/M3/20110404/F50776/1671/1", 78.74)</f>
        <v>78.739999999999995</v>
      </c>
      <c r="E7766" s="2">
        <v>60.21</v>
      </c>
      <c r="F7766" s="2">
        <v>2</v>
      </c>
      <c r="G7766" s="2" t="s">
        <v>9</v>
      </c>
      <c r="I7766" s="2" t="s">
        <v>4898</v>
      </c>
    </row>
    <row r="7767" spans="1:9" x14ac:dyDescent="0.2">
      <c r="A7767" s="2" t="s">
        <v>3250</v>
      </c>
      <c r="B7767" s="2" t="s">
        <v>467</v>
      </c>
      <c r="C7767" s="2">
        <v>692.33420000000001</v>
      </c>
      <c r="D7767" s="2">
        <f>HYPERLINK("http://mcb-m6.bioreg.kyushu-u.ac.jp/M3/20110404/F50763/1730/1", 78.83)</f>
        <v>78.83</v>
      </c>
      <c r="E7767" s="2">
        <v>50.75</v>
      </c>
      <c r="F7767" s="2">
        <v>2</v>
      </c>
      <c r="G7767" s="2" t="s">
        <v>9</v>
      </c>
    </row>
    <row r="7768" spans="1:9" x14ac:dyDescent="0.2">
      <c r="A7768" s="2" t="s">
        <v>3250</v>
      </c>
      <c r="B7768" s="2" t="s">
        <v>365</v>
      </c>
      <c r="C7768" s="2">
        <v>848.95870000000002</v>
      </c>
      <c r="D7768" s="2">
        <f>HYPERLINK("http://mcb-m6.bioreg.kyushu-u.ac.jp/M3/20110404/F50779/2244/1", 79.02)</f>
        <v>79.02</v>
      </c>
      <c r="E7768" s="2">
        <v>61.4</v>
      </c>
      <c r="F7768" s="2">
        <v>2</v>
      </c>
      <c r="G7768" s="2" t="s">
        <v>9</v>
      </c>
    </row>
    <row r="7769" spans="1:9" x14ac:dyDescent="0.2">
      <c r="A7769" s="2" t="s">
        <v>3250</v>
      </c>
      <c r="B7769" s="2" t="s">
        <v>503</v>
      </c>
      <c r="C7769" s="2">
        <v>816.46370000000002</v>
      </c>
      <c r="D7769" s="2">
        <f>HYPERLINK("http://mcb-m6.bioreg.kyushu-u.ac.jp/M3/20110404/F50776/1993/1", 79.02)</f>
        <v>79.02</v>
      </c>
      <c r="E7769" s="2">
        <v>55.68</v>
      </c>
      <c r="F7769" s="2">
        <v>2</v>
      </c>
      <c r="G7769" s="2" t="s">
        <v>9</v>
      </c>
      <c r="H7769" s="2" t="s">
        <v>4907</v>
      </c>
    </row>
    <row r="7770" spans="1:9" x14ac:dyDescent="0.2">
      <c r="A7770" s="2" t="s">
        <v>3250</v>
      </c>
      <c r="B7770" s="2" t="s">
        <v>543</v>
      </c>
      <c r="C7770" s="2">
        <v>927.1567</v>
      </c>
      <c r="D7770" s="2">
        <f>HYPERLINK("http://mcb-m6.bioreg.kyushu-u.ac.jp/M3/20110404/F50779/2595/1", 79.12)</f>
        <v>79.12</v>
      </c>
      <c r="E7770" s="2">
        <v>62.43</v>
      </c>
      <c r="F7770" s="2">
        <v>2</v>
      </c>
      <c r="G7770" s="2" t="s">
        <v>9</v>
      </c>
    </row>
    <row r="7771" spans="1:9" x14ac:dyDescent="0.2">
      <c r="A7771" s="2" t="s">
        <v>3250</v>
      </c>
      <c r="B7771" s="2" t="s">
        <v>102</v>
      </c>
      <c r="C7771" s="2">
        <v>608.44669999999996</v>
      </c>
      <c r="D7771" s="2">
        <f>HYPERLINK("http://mcb-m6.bioreg.kyushu-u.ac.jp/M3/20110404/F50763/1435/1", 79.36)</f>
        <v>79.36</v>
      </c>
      <c r="E7771" s="2">
        <v>63.17</v>
      </c>
      <c r="F7771" s="2">
        <v>2</v>
      </c>
      <c r="G7771" s="2" t="s">
        <v>9</v>
      </c>
    </row>
    <row r="7772" spans="1:9" x14ac:dyDescent="0.2">
      <c r="A7772" s="2" t="s">
        <v>3250</v>
      </c>
      <c r="B7772" s="2" t="s">
        <v>1581</v>
      </c>
      <c r="C7772" s="2">
        <v>1147.473</v>
      </c>
      <c r="D7772" s="2">
        <f>HYPERLINK("http://mcb-m6.bioreg.kyushu-u.ac.jp/M3/20110404/F50765/3223/1", 79.46)</f>
        <v>79.459999999999994</v>
      </c>
      <c r="E7772" s="2">
        <v>68.88</v>
      </c>
      <c r="F7772" s="2">
        <v>2</v>
      </c>
      <c r="G7772" s="2" t="s">
        <v>9</v>
      </c>
      <c r="I7772" s="2" t="s">
        <v>4895</v>
      </c>
    </row>
    <row r="7773" spans="1:9" x14ac:dyDescent="0.2">
      <c r="A7773" s="2" t="s">
        <v>3250</v>
      </c>
      <c r="B7773" s="2" t="s">
        <v>503</v>
      </c>
      <c r="C7773" s="2">
        <v>816.4941</v>
      </c>
      <c r="D7773" s="2">
        <f>HYPERLINK("http://mcb-m6.bioreg.kyushu-u.ac.jp/M3/20110404/F50765/2181/1", 79.48)</f>
        <v>79.48</v>
      </c>
      <c r="E7773" s="2">
        <v>66.12</v>
      </c>
      <c r="F7773" s="2">
        <v>2</v>
      </c>
      <c r="G7773" s="2" t="s">
        <v>9</v>
      </c>
      <c r="H7773" s="2" t="s">
        <v>4907</v>
      </c>
    </row>
    <row r="7774" spans="1:9" x14ac:dyDescent="0.2">
      <c r="A7774" s="2" t="s">
        <v>3250</v>
      </c>
      <c r="B7774" s="2" t="s">
        <v>503</v>
      </c>
      <c r="C7774" s="2">
        <v>816.46469999999999</v>
      </c>
      <c r="D7774" s="2">
        <f>HYPERLINK("http://mcb-m6.bioreg.kyushu-u.ac.jp/M3/20110404/F50779/2117/1", 79.52)</f>
        <v>79.52</v>
      </c>
      <c r="E7774" s="2">
        <v>71.8</v>
      </c>
      <c r="F7774" s="2">
        <v>2</v>
      </c>
      <c r="G7774" s="2" t="s">
        <v>9</v>
      </c>
      <c r="H7774" s="2" t="s">
        <v>4907</v>
      </c>
    </row>
    <row r="7775" spans="1:9" x14ac:dyDescent="0.2">
      <c r="A7775" s="2" t="s">
        <v>3250</v>
      </c>
      <c r="B7775" s="2" t="s">
        <v>888</v>
      </c>
      <c r="C7775" s="2">
        <v>811.29110000000003</v>
      </c>
      <c r="D7775" s="2">
        <f>HYPERLINK("http://mcb-m6.bioreg.kyushu-u.ac.jp/M3/20110404/F50778/3564/1", 79.64)</f>
        <v>79.64</v>
      </c>
      <c r="E7775" s="2">
        <v>66.78</v>
      </c>
      <c r="F7775" s="2">
        <v>3</v>
      </c>
      <c r="G7775" s="2" t="s">
        <v>9</v>
      </c>
      <c r="I7775" s="2" t="s">
        <v>4895</v>
      </c>
    </row>
    <row r="7776" spans="1:9" x14ac:dyDescent="0.2">
      <c r="A7776" s="2" t="s">
        <v>3250</v>
      </c>
      <c r="B7776" s="2" t="s">
        <v>90</v>
      </c>
      <c r="C7776" s="2">
        <v>1432.374</v>
      </c>
      <c r="D7776" s="2">
        <f>HYPERLINK("http://mcb-m6.bioreg.kyushu-u.ac.jp/M3/20110404/F50766/1402/1", 79.84)</f>
        <v>79.84</v>
      </c>
      <c r="E7776" s="2">
        <v>63.63</v>
      </c>
      <c r="F7776" s="2">
        <v>1</v>
      </c>
      <c r="G7776" s="2" t="s">
        <v>9</v>
      </c>
    </row>
    <row r="7777" spans="1:9" x14ac:dyDescent="0.2">
      <c r="A7777" s="2" t="s">
        <v>3250</v>
      </c>
      <c r="B7777" s="2" t="s">
        <v>102</v>
      </c>
      <c r="C7777" s="2">
        <v>608.00710000000004</v>
      </c>
      <c r="D7777" s="2">
        <f>HYPERLINK("http://mcb-m6.bioreg.kyushu-u.ac.jp/M3/20110404/F50779/1138/1", 79.93)</f>
        <v>79.930000000000007</v>
      </c>
      <c r="E7777" s="2">
        <v>63.86</v>
      </c>
      <c r="F7777" s="2">
        <v>2</v>
      </c>
      <c r="G7777" s="2" t="s">
        <v>9</v>
      </c>
    </row>
    <row r="7778" spans="1:9" x14ac:dyDescent="0.2">
      <c r="A7778" s="2" t="s">
        <v>3250</v>
      </c>
      <c r="B7778" s="2" t="s">
        <v>102</v>
      </c>
      <c r="C7778" s="2">
        <v>608.19069999999999</v>
      </c>
      <c r="D7778" s="2">
        <f>HYPERLINK("http://mcb-m6.bioreg.kyushu-u.ac.jp/M3/20110404/F50755/1412/1", 79.98)</f>
        <v>79.98</v>
      </c>
      <c r="E7778" s="2">
        <v>64.98</v>
      </c>
      <c r="F7778" s="2">
        <v>2</v>
      </c>
      <c r="G7778" s="2" t="s">
        <v>9</v>
      </c>
    </row>
    <row r="7779" spans="1:9" x14ac:dyDescent="0.2">
      <c r="A7779" s="2" t="s">
        <v>3250</v>
      </c>
      <c r="B7779" s="2" t="s">
        <v>90</v>
      </c>
      <c r="C7779" s="2">
        <v>1432.6780000000001</v>
      </c>
      <c r="D7779" s="2">
        <f>HYPERLINK("http://mcb-m6.bioreg.kyushu-u.ac.jp/M3/20110404/F50751/2038/1", 80.01)</f>
        <v>80.010000000000005</v>
      </c>
      <c r="E7779" s="2">
        <v>66.959999999999994</v>
      </c>
      <c r="F7779" s="2">
        <v>1</v>
      </c>
      <c r="G7779" s="2" t="s">
        <v>9</v>
      </c>
    </row>
    <row r="7780" spans="1:9" x14ac:dyDescent="0.2">
      <c r="A7780" s="2" t="s">
        <v>3250</v>
      </c>
      <c r="B7780" s="2" t="s">
        <v>90</v>
      </c>
      <c r="C7780" s="2">
        <v>1432.595</v>
      </c>
      <c r="D7780" s="2">
        <f>HYPERLINK("http://mcb-m6.bioreg.kyushu-u.ac.jp/M3/20110404/F50779/1625/1", 80.04)</f>
        <v>80.040000000000006</v>
      </c>
      <c r="E7780" s="2">
        <v>70.209999999999994</v>
      </c>
      <c r="F7780" s="2">
        <v>1</v>
      </c>
      <c r="G7780" s="2" t="s">
        <v>9</v>
      </c>
    </row>
    <row r="7781" spans="1:9" x14ac:dyDescent="0.2">
      <c r="A7781" s="2" t="s">
        <v>3250</v>
      </c>
      <c r="B7781" s="2" t="s">
        <v>90</v>
      </c>
      <c r="C7781" s="2">
        <v>1432.597</v>
      </c>
      <c r="D7781" s="2">
        <f>HYPERLINK("http://mcb-m6.bioreg.kyushu-u.ac.jp/M3/20110404/F50778/1710/1", 80.05)</f>
        <v>80.05</v>
      </c>
      <c r="E7781" s="2">
        <v>66.19</v>
      </c>
      <c r="F7781" s="2">
        <v>1</v>
      </c>
      <c r="G7781" s="2" t="s">
        <v>9</v>
      </c>
    </row>
    <row r="7782" spans="1:9" x14ac:dyDescent="0.2">
      <c r="A7782" s="2" t="s">
        <v>3250</v>
      </c>
      <c r="B7782" s="2" t="s">
        <v>90</v>
      </c>
      <c r="C7782" s="2">
        <v>1432.317</v>
      </c>
      <c r="D7782" s="2">
        <f>HYPERLINK("http://mcb-m6.bioreg.kyushu-u.ac.jp/M3/20110404/F50753/1916/1", 80.08)</f>
        <v>80.08</v>
      </c>
      <c r="E7782" s="2">
        <v>64.44</v>
      </c>
      <c r="F7782" s="2">
        <v>1</v>
      </c>
      <c r="G7782" s="2" t="s">
        <v>9</v>
      </c>
    </row>
    <row r="7783" spans="1:9" x14ac:dyDescent="0.2">
      <c r="A7783" s="2" t="s">
        <v>3250</v>
      </c>
      <c r="B7783" s="2" t="s">
        <v>102</v>
      </c>
      <c r="C7783" s="2">
        <v>608.3066</v>
      </c>
      <c r="D7783" s="2">
        <f>HYPERLINK("http://mcb-m6.bioreg.kyushu-u.ac.jp/M3/20110404/F50778/1201/1", 80.14)</f>
        <v>80.14</v>
      </c>
      <c r="E7783" s="2">
        <v>61.9</v>
      </c>
      <c r="F7783" s="2">
        <v>2</v>
      </c>
      <c r="G7783" s="2" t="s">
        <v>9</v>
      </c>
    </row>
    <row r="7784" spans="1:9" x14ac:dyDescent="0.2">
      <c r="A7784" s="2" t="s">
        <v>3250</v>
      </c>
      <c r="B7784" s="2" t="s">
        <v>30</v>
      </c>
      <c r="C7784" s="2">
        <v>964.74270000000001</v>
      </c>
      <c r="D7784" s="2">
        <f>HYPERLINK("http://mcb-m6.bioreg.kyushu-u.ac.jp/M3/20110404/F50767/2733/1", 80.23)</f>
        <v>80.23</v>
      </c>
      <c r="E7784" s="2">
        <v>68.900000000000006</v>
      </c>
      <c r="F7784" s="2">
        <v>2</v>
      </c>
      <c r="G7784" s="2" t="s">
        <v>9</v>
      </c>
      <c r="I7784" s="2" t="s">
        <v>4894</v>
      </c>
    </row>
    <row r="7785" spans="1:9" x14ac:dyDescent="0.2">
      <c r="A7785" s="2" t="s">
        <v>3250</v>
      </c>
      <c r="B7785" s="2" t="s">
        <v>102</v>
      </c>
      <c r="C7785" s="2">
        <v>616.19370000000004</v>
      </c>
      <c r="D7785" s="2">
        <f>HYPERLINK("http://mcb-m6.bioreg.kyushu-u.ac.jp/M3/20110404/F50777/1401/1", 80.27)</f>
        <v>80.27</v>
      </c>
      <c r="E7785" s="2">
        <v>62.95</v>
      </c>
      <c r="F7785" s="2">
        <v>2</v>
      </c>
      <c r="G7785" s="2" t="s">
        <v>9</v>
      </c>
      <c r="H7785" s="2" t="s">
        <v>4900</v>
      </c>
    </row>
    <row r="7786" spans="1:9" x14ac:dyDescent="0.2">
      <c r="A7786" s="2" t="s">
        <v>3250</v>
      </c>
      <c r="B7786" s="2" t="s">
        <v>102</v>
      </c>
      <c r="C7786" s="2">
        <v>616.33119999999997</v>
      </c>
      <c r="D7786" s="2">
        <f>HYPERLINK("http://mcb-m6.bioreg.kyushu-u.ac.jp/M3/20110404/F50765/1311/1", 80.32)</f>
        <v>80.319999999999993</v>
      </c>
      <c r="E7786" s="2">
        <v>62.94</v>
      </c>
      <c r="F7786" s="2">
        <v>2</v>
      </c>
      <c r="G7786" s="2" t="s">
        <v>9</v>
      </c>
      <c r="H7786" s="2" t="s">
        <v>4900</v>
      </c>
    </row>
    <row r="7787" spans="1:9" x14ac:dyDescent="0.2">
      <c r="A7787" s="2" t="s">
        <v>3250</v>
      </c>
      <c r="B7787" s="2" t="s">
        <v>90</v>
      </c>
      <c r="C7787" s="2">
        <v>1432.6010000000001</v>
      </c>
      <c r="D7787" s="2">
        <f>HYPERLINK("http://mcb-m6.bioreg.kyushu-u.ac.jp/M3/20110404/F50764/1775/1", 80.38)</f>
        <v>80.38</v>
      </c>
      <c r="E7787" s="2">
        <v>63.37</v>
      </c>
      <c r="F7787" s="2">
        <v>1</v>
      </c>
      <c r="G7787" s="2" t="s">
        <v>9</v>
      </c>
    </row>
    <row r="7788" spans="1:9" x14ac:dyDescent="0.2">
      <c r="A7788" s="2" t="s">
        <v>3250</v>
      </c>
      <c r="B7788" s="2" t="s">
        <v>481</v>
      </c>
      <c r="C7788" s="2">
        <v>709.41269999999997</v>
      </c>
      <c r="D7788" s="2">
        <f>HYPERLINK("http://mcb-m6.bioreg.kyushu-u.ac.jp/M3/20110404/F50752/2011/1", 80.4)</f>
        <v>80.400000000000006</v>
      </c>
      <c r="E7788" s="2">
        <v>60.36</v>
      </c>
      <c r="F7788" s="2">
        <v>2</v>
      </c>
      <c r="G7788" s="2" t="s">
        <v>9</v>
      </c>
      <c r="I7788" s="2" t="s">
        <v>4898</v>
      </c>
    </row>
    <row r="7789" spans="1:9" x14ac:dyDescent="0.2">
      <c r="A7789" s="2" t="s">
        <v>3250</v>
      </c>
      <c r="B7789" s="2" t="s">
        <v>90</v>
      </c>
      <c r="C7789" s="2">
        <v>717.26509999999996</v>
      </c>
      <c r="D7789" s="2">
        <f>HYPERLINK("http://mcb-m6.bioreg.kyushu-u.ac.jp/M3/20110404/F50765/1731/1", 80.5)</f>
        <v>80.5</v>
      </c>
      <c r="E7789" s="2">
        <v>55.91</v>
      </c>
      <c r="F7789" s="2">
        <v>2</v>
      </c>
      <c r="G7789" s="2" t="s">
        <v>9</v>
      </c>
    </row>
    <row r="7790" spans="1:9" x14ac:dyDescent="0.2">
      <c r="A7790" s="2" t="s">
        <v>3250</v>
      </c>
      <c r="B7790" s="2" t="s">
        <v>1065</v>
      </c>
      <c r="C7790" s="2">
        <v>716.93709999999999</v>
      </c>
      <c r="D7790" s="2">
        <f>HYPERLINK("http://mcb-m6.bioreg.kyushu-u.ac.jp/M3/20110404/F50765/1727/1", 80.59)</f>
        <v>80.59</v>
      </c>
      <c r="E7790" s="2">
        <v>68.64</v>
      </c>
      <c r="F7790" s="2">
        <v>2</v>
      </c>
      <c r="G7790" s="2" t="s">
        <v>9</v>
      </c>
      <c r="I7790" s="2" t="s">
        <v>4892</v>
      </c>
    </row>
    <row r="7791" spans="1:9" x14ac:dyDescent="0.2">
      <c r="A7791" s="2" t="s">
        <v>3250</v>
      </c>
      <c r="B7791" s="2" t="s">
        <v>503</v>
      </c>
      <c r="C7791" s="2">
        <v>816.27509999999995</v>
      </c>
      <c r="D7791" s="2">
        <f>HYPERLINK("http://mcb-m6.bioreg.kyushu-u.ac.jp/M3/20110404/F50756/2320/1", 80.98)</f>
        <v>80.98</v>
      </c>
      <c r="E7791" s="2">
        <v>70.44</v>
      </c>
      <c r="F7791" s="2">
        <v>2</v>
      </c>
      <c r="G7791" s="2" t="s">
        <v>9</v>
      </c>
      <c r="H7791" s="2" t="s">
        <v>4907</v>
      </c>
    </row>
    <row r="7792" spans="1:9" x14ac:dyDescent="0.2">
      <c r="A7792" s="2" t="s">
        <v>3250</v>
      </c>
      <c r="B7792" s="2" t="s">
        <v>503</v>
      </c>
      <c r="C7792" s="2">
        <v>808.82920000000001</v>
      </c>
      <c r="D7792" s="2">
        <f>HYPERLINK("http://mcb-m6.bioreg.kyushu-u.ac.jp/M3/20110404/F50754/2335/1", 80.99)</f>
        <v>80.989999999999995</v>
      </c>
      <c r="E7792" s="2">
        <v>66.89</v>
      </c>
      <c r="F7792" s="2">
        <v>2</v>
      </c>
      <c r="G7792" s="2" t="s">
        <v>9</v>
      </c>
    </row>
    <row r="7793" spans="1:9" x14ac:dyDescent="0.2">
      <c r="A7793" s="2" t="s">
        <v>3250</v>
      </c>
      <c r="B7793" s="2" t="s">
        <v>561</v>
      </c>
      <c r="C7793" s="2">
        <v>662.36109999999996</v>
      </c>
      <c r="D7793" s="2">
        <f>HYPERLINK("http://mcb-m6.bioreg.kyushu-u.ac.jp/M3/20110404/F50778/1425/1", 81.07)</f>
        <v>81.069999999999993</v>
      </c>
      <c r="E7793" s="2">
        <v>57.94</v>
      </c>
      <c r="F7793" s="2">
        <v>2</v>
      </c>
      <c r="G7793" s="2" t="s">
        <v>9</v>
      </c>
      <c r="H7793" s="2" t="s">
        <v>4919</v>
      </c>
    </row>
    <row r="7794" spans="1:9" x14ac:dyDescent="0.2">
      <c r="A7794" s="2" t="s">
        <v>3250</v>
      </c>
      <c r="B7794" s="2" t="s">
        <v>561</v>
      </c>
      <c r="C7794" s="2">
        <v>662.33259999999996</v>
      </c>
      <c r="D7794" s="2">
        <f>HYPERLINK("http://mcb-m6.bioreg.kyushu-u.ac.jp/M3/20110404/F50753/1700/1", 81.11)</f>
        <v>81.11</v>
      </c>
      <c r="E7794" s="2">
        <v>59.83</v>
      </c>
      <c r="F7794" s="2">
        <v>2</v>
      </c>
      <c r="G7794" s="2" t="s">
        <v>9</v>
      </c>
      <c r="H7794" s="2" t="s">
        <v>4919</v>
      </c>
    </row>
    <row r="7795" spans="1:9" x14ac:dyDescent="0.2">
      <c r="A7795" s="2" t="s">
        <v>3250</v>
      </c>
      <c r="B7795" s="2" t="s">
        <v>90</v>
      </c>
      <c r="C7795" s="2">
        <v>1432.557</v>
      </c>
      <c r="D7795" s="2">
        <f>HYPERLINK("http://mcb-m6.bioreg.kyushu-u.ac.jp/M3/20110404/F50767/1595/1", 81.17)</f>
        <v>81.17</v>
      </c>
      <c r="E7795" s="2">
        <v>64.19</v>
      </c>
      <c r="F7795" s="2">
        <v>1</v>
      </c>
      <c r="G7795" s="2" t="s">
        <v>9</v>
      </c>
    </row>
    <row r="7796" spans="1:9" x14ac:dyDescent="0.2">
      <c r="A7796" s="2" t="s">
        <v>3250</v>
      </c>
      <c r="B7796" s="2" t="s">
        <v>1581</v>
      </c>
      <c r="C7796" s="2">
        <v>1147.421</v>
      </c>
      <c r="D7796" s="2">
        <f>HYPERLINK("http://mcb-m6.bioreg.kyushu-u.ac.jp/M3/20110404/F50767/3362/1", 81.17)</f>
        <v>81.17</v>
      </c>
      <c r="E7796" s="2">
        <v>72.13</v>
      </c>
      <c r="F7796" s="2">
        <v>2</v>
      </c>
      <c r="G7796" s="2" t="s">
        <v>9</v>
      </c>
      <c r="I7796" s="2" t="s">
        <v>4895</v>
      </c>
    </row>
    <row r="7797" spans="1:9" x14ac:dyDescent="0.2">
      <c r="A7797" s="2" t="s">
        <v>3250</v>
      </c>
      <c r="B7797" s="2" t="s">
        <v>6017</v>
      </c>
      <c r="C7797" s="2">
        <v>1204.617</v>
      </c>
      <c r="D7797" s="2">
        <f>HYPERLINK("http://mcb-m6.bioreg.kyushu-u.ac.jp/M3/20110404/F50779/3429/1", 81.38)</f>
        <v>81.38</v>
      </c>
      <c r="E7797" s="2">
        <v>68.209999999999994</v>
      </c>
      <c r="F7797" s="2">
        <v>2</v>
      </c>
      <c r="G7797" s="2" t="s">
        <v>9</v>
      </c>
      <c r="H7797" s="2" t="s">
        <v>4907</v>
      </c>
      <c r="I7797" s="2" t="s">
        <v>4895</v>
      </c>
    </row>
    <row r="7798" spans="1:9" x14ac:dyDescent="0.2">
      <c r="A7798" s="2" t="s">
        <v>3250</v>
      </c>
      <c r="B7798" s="2" t="s">
        <v>90</v>
      </c>
      <c r="C7798" s="2">
        <v>716.85360000000003</v>
      </c>
      <c r="D7798" s="2">
        <f>HYPERLINK("http://mcb-m6.bioreg.kyushu-u.ac.jp/M3/20110404/F50753/1920/1", 81.53)</f>
        <v>81.53</v>
      </c>
      <c r="E7798" s="2">
        <v>57.55</v>
      </c>
      <c r="F7798" s="2">
        <v>2</v>
      </c>
      <c r="G7798" s="2" t="s">
        <v>9</v>
      </c>
    </row>
    <row r="7799" spans="1:9" x14ac:dyDescent="0.2">
      <c r="A7799" s="2" t="s">
        <v>3250</v>
      </c>
      <c r="B7799" s="2" t="s">
        <v>356</v>
      </c>
      <c r="C7799" s="2">
        <v>815.85310000000004</v>
      </c>
      <c r="D7799" s="2">
        <f>HYPERLINK("http://mcb-m6.bioreg.kyushu-u.ac.jp/M3/20110404/F50778/2201/1", 81.54)</f>
        <v>81.540000000000006</v>
      </c>
      <c r="E7799" s="2">
        <v>61.86</v>
      </c>
      <c r="F7799" s="2">
        <v>2</v>
      </c>
      <c r="G7799" s="2" t="s">
        <v>9</v>
      </c>
    </row>
    <row r="7800" spans="1:9" x14ac:dyDescent="0.2">
      <c r="A7800" s="2" t="s">
        <v>3250</v>
      </c>
      <c r="B7800" s="2" t="s">
        <v>356</v>
      </c>
      <c r="C7800" s="2">
        <v>816.48419999999999</v>
      </c>
      <c r="D7800" s="2">
        <f>HYPERLINK("http://mcb-m6.bioreg.kyushu-u.ac.jp/M3/20110404/F50763/2204/1", 81.65)</f>
        <v>81.650000000000006</v>
      </c>
      <c r="E7800" s="2">
        <v>59.6</v>
      </c>
      <c r="F7800" s="2">
        <v>2</v>
      </c>
      <c r="G7800" s="2" t="s">
        <v>9</v>
      </c>
    </row>
    <row r="7801" spans="1:9" x14ac:dyDescent="0.2">
      <c r="A7801" s="2" t="s">
        <v>3250</v>
      </c>
      <c r="B7801" s="2" t="s">
        <v>90</v>
      </c>
      <c r="C7801" s="2">
        <v>717.20759999999996</v>
      </c>
      <c r="D7801" s="2">
        <f>HYPERLINK("http://mcb-m6.bioreg.kyushu-u.ac.jp/M3/20110404/F50755/1829/1", 81.67)</f>
        <v>81.67</v>
      </c>
      <c r="E7801" s="2">
        <v>61.02</v>
      </c>
      <c r="F7801" s="2">
        <v>2</v>
      </c>
      <c r="G7801" s="2" t="s">
        <v>9</v>
      </c>
    </row>
    <row r="7802" spans="1:9" x14ac:dyDescent="0.2">
      <c r="A7802" s="2" t="s">
        <v>3250</v>
      </c>
      <c r="B7802" s="2" t="s">
        <v>6017</v>
      </c>
      <c r="C7802" s="2">
        <v>803.28189999999995</v>
      </c>
      <c r="D7802" s="2">
        <f>HYPERLINK("http://mcb-m6.bioreg.kyushu-u.ac.jp/M3/20110404/F50778/3535/1", 81.86)</f>
        <v>81.86</v>
      </c>
      <c r="E7802" s="2">
        <v>53.59</v>
      </c>
      <c r="F7802" s="2">
        <v>3</v>
      </c>
      <c r="G7802" s="2" t="s">
        <v>9</v>
      </c>
      <c r="H7802" s="2" t="s">
        <v>4907</v>
      </c>
      <c r="I7802" s="2" t="s">
        <v>4895</v>
      </c>
    </row>
    <row r="7803" spans="1:9" x14ac:dyDescent="0.2">
      <c r="A7803" s="2" t="s">
        <v>3250</v>
      </c>
      <c r="B7803" s="2" t="s">
        <v>467</v>
      </c>
      <c r="C7803" s="2">
        <v>692.03610000000003</v>
      </c>
      <c r="D7803" s="2">
        <f>HYPERLINK("http://mcb-m6.bioreg.kyushu-u.ac.jp/M3/20110404/F50778/1564/1", 82.14)</f>
        <v>82.14</v>
      </c>
      <c r="E7803" s="2">
        <v>56.99</v>
      </c>
      <c r="F7803" s="2">
        <v>2</v>
      </c>
      <c r="G7803" s="2" t="s">
        <v>9</v>
      </c>
    </row>
    <row r="7804" spans="1:9" x14ac:dyDescent="0.2">
      <c r="A7804" s="2" t="s">
        <v>3250</v>
      </c>
      <c r="B7804" s="2" t="s">
        <v>561</v>
      </c>
      <c r="C7804" s="2">
        <v>662.20169999999996</v>
      </c>
      <c r="D7804" s="2">
        <f>HYPERLINK("http://mcb-m6.bioreg.kyushu-u.ac.jp/M3/20110404/F50756/1573/1", 82.16)</f>
        <v>82.16</v>
      </c>
      <c r="E7804" s="2">
        <v>64.400000000000006</v>
      </c>
      <c r="F7804" s="2">
        <v>2</v>
      </c>
      <c r="G7804" s="2" t="s">
        <v>9</v>
      </c>
      <c r="H7804" s="2" t="s">
        <v>4919</v>
      </c>
    </row>
    <row r="7805" spans="1:9" x14ac:dyDescent="0.2">
      <c r="A7805" s="2" t="s">
        <v>3250</v>
      </c>
      <c r="B7805" s="2" t="s">
        <v>90</v>
      </c>
      <c r="C7805" s="2">
        <v>1432.606</v>
      </c>
      <c r="D7805" s="2">
        <f>HYPERLINK("http://mcb-m6.bioreg.kyushu-u.ac.jp/M3/20110404/F50762/1741/1", 82.16)</f>
        <v>82.16</v>
      </c>
      <c r="E7805" s="2">
        <v>70.19</v>
      </c>
      <c r="F7805" s="2">
        <v>1</v>
      </c>
      <c r="G7805" s="2" t="s">
        <v>9</v>
      </c>
    </row>
    <row r="7806" spans="1:9" x14ac:dyDescent="0.2">
      <c r="A7806" s="2" t="s">
        <v>3250</v>
      </c>
      <c r="B7806" s="2" t="s">
        <v>6017</v>
      </c>
      <c r="C7806" s="2">
        <v>797.75480000000005</v>
      </c>
      <c r="D7806" s="2">
        <f>HYPERLINK("http://mcb-m6.bioreg.kyushu-u.ac.jp/M3/20110404/F50779/3411/1", 82.22)</f>
        <v>82.22</v>
      </c>
      <c r="E7806" s="2">
        <v>63.84</v>
      </c>
      <c r="F7806" s="2">
        <v>3</v>
      </c>
      <c r="G7806" s="2" t="s">
        <v>9</v>
      </c>
      <c r="I7806" s="2" t="s">
        <v>4895</v>
      </c>
    </row>
    <row r="7807" spans="1:9" x14ac:dyDescent="0.2">
      <c r="A7807" s="2" t="s">
        <v>3250</v>
      </c>
      <c r="B7807" s="2" t="s">
        <v>467</v>
      </c>
      <c r="C7807" s="2">
        <v>692.37159999999994</v>
      </c>
      <c r="D7807" s="2">
        <f>HYPERLINK("http://mcb-m6.bioreg.kyushu-u.ac.jp/M3/20110404/F50779/1483/1", 82.6)</f>
        <v>82.6</v>
      </c>
      <c r="E7807" s="2">
        <v>57.87</v>
      </c>
      <c r="F7807" s="2">
        <v>2</v>
      </c>
      <c r="G7807" s="2" t="s">
        <v>9</v>
      </c>
    </row>
    <row r="7808" spans="1:9" x14ac:dyDescent="0.2">
      <c r="A7808" s="2" t="s">
        <v>3250</v>
      </c>
      <c r="B7808" s="2" t="s">
        <v>102</v>
      </c>
      <c r="C7808" s="2">
        <v>608.20759999999996</v>
      </c>
      <c r="D7808" s="2">
        <f>HYPERLINK("http://mcb-m6.bioreg.kyushu-u.ac.jp/M3/20110404/F50764/1335/1", 82.63)</f>
        <v>82.63</v>
      </c>
      <c r="E7808" s="2">
        <v>66.88</v>
      </c>
      <c r="F7808" s="2">
        <v>2</v>
      </c>
      <c r="G7808" s="2" t="s">
        <v>9</v>
      </c>
    </row>
    <row r="7809" spans="1:9" x14ac:dyDescent="0.2">
      <c r="A7809" s="2" t="s">
        <v>3250</v>
      </c>
      <c r="B7809" s="2" t="s">
        <v>90</v>
      </c>
      <c r="C7809" s="2">
        <v>716.84619999999995</v>
      </c>
      <c r="D7809" s="2">
        <f>HYPERLINK("http://mcb-m6.bioreg.kyushu-u.ac.jp/M3/20110404/F50779/1632/1", 82.66)</f>
        <v>82.66</v>
      </c>
      <c r="E7809" s="2">
        <v>58.85</v>
      </c>
      <c r="F7809" s="2">
        <v>2</v>
      </c>
      <c r="G7809" s="2" t="s">
        <v>9</v>
      </c>
    </row>
    <row r="7810" spans="1:9" x14ac:dyDescent="0.2">
      <c r="A7810" s="2" t="s">
        <v>3250</v>
      </c>
      <c r="B7810" s="2" t="s">
        <v>102</v>
      </c>
      <c r="C7810" s="2">
        <v>608.20669999999996</v>
      </c>
      <c r="D7810" s="2">
        <f>HYPERLINK("http://mcb-m6.bioreg.kyushu-u.ac.jp/M3/20110404/F50762/1339/1", 82.66)</f>
        <v>82.66</v>
      </c>
      <c r="E7810" s="2">
        <v>67.66</v>
      </c>
      <c r="F7810" s="2">
        <v>2</v>
      </c>
      <c r="G7810" s="2" t="s">
        <v>9</v>
      </c>
    </row>
    <row r="7811" spans="1:9" x14ac:dyDescent="0.2">
      <c r="A7811" s="2" t="s">
        <v>3250</v>
      </c>
      <c r="B7811" s="2" t="s">
        <v>503</v>
      </c>
      <c r="C7811" s="2">
        <v>808.87369999999999</v>
      </c>
      <c r="D7811" s="2">
        <f>HYPERLINK("http://mcb-m6.bioreg.kyushu-u.ac.jp/M3/20110404/F50777/2214/1", 82.96)</f>
        <v>82.96</v>
      </c>
      <c r="E7811" s="2">
        <v>68.569999999999993</v>
      </c>
      <c r="F7811" s="2">
        <v>2</v>
      </c>
      <c r="G7811" s="2" t="s">
        <v>9</v>
      </c>
    </row>
    <row r="7812" spans="1:9" x14ac:dyDescent="0.2">
      <c r="A7812" s="2" t="s">
        <v>3250</v>
      </c>
      <c r="B7812" s="2" t="s">
        <v>467</v>
      </c>
      <c r="C7812" s="2">
        <v>691.65309999999999</v>
      </c>
      <c r="D7812" s="2">
        <f>HYPERLINK("http://mcb-m6.bioreg.kyushu-u.ac.jp/M3/20110404/F50776/1610/1", 83.02)</f>
        <v>83.02</v>
      </c>
      <c r="E7812" s="2">
        <v>54.85</v>
      </c>
      <c r="F7812" s="2">
        <v>2</v>
      </c>
      <c r="G7812" s="2" t="s">
        <v>9</v>
      </c>
    </row>
    <row r="7813" spans="1:9" x14ac:dyDescent="0.2">
      <c r="A7813" s="2" t="s">
        <v>3250</v>
      </c>
      <c r="B7813" s="2" t="s">
        <v>1065</v>
      </c>
      <c r="C7813" s="2">
        <v>1432.395</v>
      </c>
      <c r="D7813" s="2">
        <f>HYPERLINK("http://mcb-m6.bioreg.kyushu-u.ac.jp/M3/20110404/F50766/1403/1", 83.31)</f>
        <v>83.31</v>
      </c>
      <c r="E7813" s="2">
        <v>61.61</v>
      </c>
      <c r="F7813" s="2">
        <v>1</v>
      </c>
      <c r="G7813" s="2" t="s">
        <v>9</v>
      </c>
      <c r="I7813" s="2" t="s">
        <v>4892</v>
      </c>
    </row>
    <row r="7814" spans="1:9" x14ac:dyDescent="0.2">
      <c r="A7814" s="2" t="s">
        <v>3250</v>
      </c>
      <c r="B7814" s="2" t="s">
        <v>772</v>
      </c>
      <c r="C7814" s="2">
        <v>595.94920000000002</v>
      </c>
      <c r="D7814" s="2">
        <f>HYPERLINK("http://mcb-m6.bioreg.kyushu-u.ac.jp/M3/20110404/F50763/1389/1", 83.38)</f>
        <v>83.38</v>
      </c>
      <c r="E7814" s="2">
        <v>54.15</v>
      </c>
      <c r="F7814" s="2">
        <v>2</v>
      </c>
      <c r="G7814" s="2" t="s">
        <v>9</v>
      </c>
    </row>
    <row r="7815" spans="1:9" x14ac:dyDescent="0.2">
      <c r="A7815" s="2" t="s">
        <v>3250</v>
      </c>
      <c r="B7815" s="2" t="s">
        <v>90</v>
      </c>
      <c r="C7815" s="2">
        <v>1432.4770000000001</v>
      </c>
      <c r="D7815" s="2">
        <f>HYPERLINK("http://mcb-m6.bioreg.kyushu-u.ac.jp/M3/20110404/F50754/2025/1", 83.45)</f>
        <v>83.45</v>
      </c>
      <c r="E7815" s="2">
        <v>70.849999999999994</v>
      </c>
      <c r="F7815" s="2">
        <v>1</v>
      </c>
      <c r="G7815" s="2" t="s">
        <v>9</v>
      </c>
    </row>
    <row r="7816" spans="1:9" x14ac:dyDescent="0.2">
      <c r="A7816" s="2" t="s">
        <v>3250</v>
      </c>
      <c r="B7816" s="2" t="s">
        <v>365</v>
      </c>
      <c r="C7816" s="2">
        <v>1696.694</v>
      </c>
      <c r="D7816" s="2">
        <f>HYPERLINK("http://mcb-m6.bioreg.kyushu-u.ac.jp/M3/20110404/F50756/2448/1", 83.81)</f>
        <v>83.81</v>
      </c>
      <c r="E7816" s="2">
        <v>66.739999999999995</v>
      </c>
      <c r="F7816" s="2">
        <v>1</v>
      </c>
      <c r="G7816" s="2" t="s">
        <v>9</v>
      </c>
    </row>
    <row r="7817" spans="1:9" x14ac:dyDescent="0.2">
      <c r="A7817" s="2" t="s">
        <v>3250</v>
      </c>
      <c r="B7817" s="2" t="s">
        <v>30</v>
      </c>
      <c r="C7817" s="2">
        <v>965.38419999999996</v>
      </c>
      <c r="D7817" s="2">
        <f>HYPERLINK("http://mcb-m6.bioreg.kyushu-u.ac.jp/M3/20110404/F50779/2744/1", 83.83)</f>
        <v>83.83</v>
      </c>
      <c r="E7817" s="2">
        <v>78.099999999999994</v>
      </c>
      <c r="F7817" s="2">
        <v>2</v>
      </c>
      <c r="G7817" s="2" t="s">
        <v>9</v>
      </c>
      <c r="I7817" s="2" t="s">
        <v>4894</v>
      </c>
    </row>
    <row r="7818" spans="1:9" x14ac:dyDescent="0.2">
      <c r="A7818" s="2" t="s">
        <v>3250</v>
      </c>
      <c r="B7818" s="2" t="s">
        <v>90</v>
      </c>
      <c r="C7818" s="2">
        <v>1432.586</v>
      </c>
      <c r="D7818" s="2">
        <f>HYPERLINK("http://mcb-m6.bioreg.kyushu-u.ac.jp/M3/20110404/F50765/1726/1", 83.94)</f>
        <v>83.94</v>
      </c>
      <c r="E7818" s="2">
        <v>74.33</v>
      </c>
      <c r="F7818" s="2">
        <v>1</v>
      </c>
      <c r="G7818" s="2" t="s">
        <v>9</v>
      </c>
    </row>
    <row r="7819" spans="1:9" x14ac:dyDescent="0.2">
      <c r="A7819" s="2" t="s">
        <v>3250</v>
      </c>
      <c r="B7819" s="2" t="s">
        <v>1065</v>
      </c>
      <c r="C7819" s="2">
        <v>716.81709999999998</v>
      </c>
      <c r="D7819" s="2">
        <f>HYPERLINK("http://mcb-m6.bioreg.kyushu-u.ac.jp/M3/20110404/F50756/1842/1", 84.01)</f>
        <v>84.01</v>
      </c>
      <c r="E7819" s="2">
        <v>72.88</v>
      </c>
      <c r="F7819" s="2">
        <v>2</v>
      </c>
      <c r="G7819" s="2" t="s">
        <v>9</v>
      </c>
      <c r="I7819" s="2" t="s">
        <v>4892</v>
      </c>
    </row>
    <row r="7820" spans="1:9" x14ac:dyDescent="0.2">
      <c r="A7820" s="2" t="s">
        <v>3250</v>
      </c>
      <c r="B7820" s="2" t="s">
        <v>90</v>
      </c>
      <c r="C7820" s="2">
        <v>1432.54</v>
      </c>
      <c r="D7820" s="2">
        <f>HYPERLINK("http://mcb-m6.bioreg.kyushu-u.ac.jp/M3/20110404/F50756/1839/1", 84.09)</f>
        <v>84.09</v>
      </c>
      <c r="E7820" s="2">
        <v>67.53</v>
      </c>
      <c r="F7820" s="2">
        <v>1</v>
      </c>
      <c r="G7820" s="2" t="s">
        <v>9</v>
      </c>
    </row>
    <row r="7821" spans="1:9" x14ac:dyDescent="0.2">
      <c r="A7821" s="2" t="s">
        <v>3250</v>
      </c>
      <c r="B7821" s="2" t="s">
        <v>1065</v>
      </c>
      <c r="C7821" s="2">
        <v>716.89869999999996</v>
      </c>
      <c r="D7821" s="2">
        <f>HYPERLINK("http://mcb-m6.bioreg.kyushu-u.ac.jp/M3/20110404/F50776/1705/1", 84.13)</f>
        <v>84.13</v>
      </c>
      <c r="E7821" s="2">
        <v>69.77</v>
      </c>
      <c r="F7821" s="2">
        <v>2</v>
      </c>
      <c r="G7821" s="2" t="s">
        <v>9</v>
      </c>
      <c r="I7821" s="2" t="s">
        <v>4892</v>
      </c>
    </row>
    <row r="7822" spans="1:9" x14ac:dyDescent="0.2">
      <c r="A7822" s="2" t="s">
        <v>3250</v>
      </c>
      <c r="B7822" s="2" t="s">
        <v>1065</v>
      </c>
      <c r="C7822" s="2">
        <v>716.87959999999998</v>
      </c>
      <c r="D7822" s="2">
        <f>HYPERLINK("http://mcb-m6.bioreg.kyushu-u.ac.jp/M3/20110404/F50777/1813/1", 84.16)</f>
        <v>84.16</v>
      </c>
      <c r="E7822" s="2">
        <v>72.930000000000007</v>
      </c>
      <c r="F7822" s="2">
        <v>2</v>
      </c>
      <c r="G7822" s="2" t="s">
        <v>9</v>
      </c>
      <c r="I7822" s="2" t="s">
        <v>4892</v>
      </c>
    </row>
    <row r="7823" spans="1:9" x14ac:dyDescent="0.2">
      <c r="A7823" s="2" t="s">
        <v>3250</v>
      </c>
      <c r="B7823" s="2" t="s">
        <v>1065</v>
      </c>
      <c r="C7823" s="2">
        <v>716.8202</v>
      </c>
      <c r="D7823" s="2">
        <f>HYPERLINK("http://mcb-m6.bioreg.kyushu-u.ac.jp/M3/20110404/F50767/1598/1", 84.17)</f>
        <v>84.17</v>
      </c>
      <c r="E7823" s="2">
        <v>72.930000000000007</v>
      </c>
      <c r="F7823" s="2">
        <v>2</v>
      </c>
      <c r="G7823" s="2" t="s">
        <v>9</v>
      </c>
      <c r="I7823" s="2" t="s">
        <v>4892</v>
      </c>
    </row>
    <row r="7824" spans="1:9" x14ac:dyDescent="0.2">
      <c r="A7824" s="2" t="s">
        <v>3250</v>
      </c>
      <c r="B7824" s="2" t="s">
        <v>356</v>
      </c>
      <c r="C7824" s="2">
        <v>816.29219999999998</v>
      </c>
      <c r="D7824" s="2">
        <f>HYPERLINK("http://mcb-m6.bioreg.kyushu-u.ac.jp/M3/20110404/F50756/2321/1", 84.24)</f>
        <v>84.24</v>
      </c>
      <c r="E7824" s="2">
        <v>68.38</v>
      </c>
      <c r="F7824" s="2">
        <v>2</v>
      </c>
      <c r="G7824" s="2" t="s">
        <v>9</v>
      </c>
    </row>
    <row r="7825" spans="1:9" x14ac:dyDescent="0.2">
      <c r="A7825" s="2" t="s">
        <v>3250</v>
      </c>
      <c r="B7825" s="2" t="s">
        <v>481</v>
      </c>
      <c r="C7825" s="2">
        <v>709.53020000000004</v>
      </c>
      <c r="D7825" s="2">
        <f>HYPERLINK("http://mcb-m6.bioreg.kyushu-u.ac.jp/M3/20110404/F50756/1801/1", 84.48)</f>
        <v>84.48</v>
      </c>
      <c r="E7825" s="2">
        <v>67.56</v>
      </c>
      <c r="F7825" s="2">
        <v>2</v>
      </c>
      <c r="G7825" s="2" t="s">
        <v>9</v>
      </c>
      <c r="I7825" s="2" t="s">
        <v>4898</v>
      </c>
    </row>
    <row r="7826" spans="1:9" x14ac:dyDescent="0.2">
      <c r="A7826" s="2" t="s">
        <v>3250</v>
      </c>
      <c r="B7826" s="2" t="s">
        <v>356</v>
      </c>
      <c r="C7826" s="2">
        <v>816.41269999999997</v>
      </c>
      <c r="D7826" s="2">
        <f>HYPERLINK("http://mcb-m6.bioreg.kyushu-u.ac.jp/M3/20110404/F50779/2115/1", 84.75)</f>
        <v>84.75</v>
      </c>
      <c r="E7826" s="2">
        <v>70.98</v>
      </c>
      <c r="F7826" s="2">
        <v>2</v>
      </c>
      <c r="G7826" s="2" t="s">
        <v>9</v>
      </c>
    </row>
    <row r="7827" spans="1:9" x14ac:dyDescent="0.2">
      <c r="A7827" s="2" t="s">
        <v>3250</v>
      </c>
      <c r="B7827" s="2" t="s">
        <v>1581</v>
      </c>
      <c r="C7827" s="2">
        <v>1148.0650000000001</v>
      </c>
      <c r="D7827" s="2">
        <f>HYPERLINK("http://mcb-m6.bioreg.kyushu-u.ac.jp/M3/20110404/F50779/3282/1", 84.8)</f>
        <v>84.8</v>
      </c>
      <c r="E7827" s="2">
        <v>74.239999999999995</v>
      </c>
      <c r="F7827" s="2">
        <v>2</v>
      </c>
      <c r="G7827" s="2" t="s">
        <v>9</v>
      </c>
      <c r="I7827" s="2" t="s">
        <v>4895</v>
      </c>
    </row>
    <row r="7828" spans="1:9" x14ac:dyDescent="0.2">
      <c r="A7828" s="2" t="s">
        <v>3250</v>
      </c>
      <c r="B7828" s="2" t="s">
        <v>30</v>
      </c>
      <c r="C7828" s="2">
        <v>964.88869999999997</v>
      </c>
      <c r="D7828" s="2">
        <f>HYPERLINK("http://mcb-m6.bioreg.kyushu-u.ac.jp/M3/20110404/F50767/2734/1", 85.2)</f>
        <v>85.2</v>
      </c>
      <c r="E7828" s="2">
        <v>75.180000000000007</v>
      </c>
      <c r="F7828" s="2">
        <v>2</v>
      </c>
      <c r="G7828" s="2" t="s">
        <v>9</v>
      </c>
      <c r="I7828" s="2" t="s">
        <v>4894</v>
      </c>
    </row>
    <row r="7829" spans="1:9" x14ac:dyDescent="0.2">
      <c r="A7829" s="2" t="s">
        <v>3250</v>
      </c>
      <c r="B7829" s="2" t="s">
        <v>1065</v>
      </c>
      <c r="C7829" s="2">
        <v>716.65219999999999</v>
      </c>
      <c r="D7829" s="2">
        <f>HYPERLINK("http://mcb-m6.bioreg.kyushu-u.ac.jp/M3/20110404/F50753/1914/1", 85.41)</f>
        <v>85.41</v>
      </c>
      <c r="E7829" s="2">
        <v>67.27</v>
      </c>
      <c r="F7829" s="2">
        <v>2</v>
      </c>
      <c r="G7829" s="2" t="s">
        <v>9</v>
      </c>
      <c r="I7829" s="2" t="s">
        <v>4892</v>
      </c>
    </row>
    <row r="7830" spans="1:9" x14ac:dyDescent="0.2">
      <c r="A7830" s="2" t="s">
        <v>3250</v>
      </c>
      <c r="B7830" s="2" t="s">
        <v>77</v>
      </c>
      <c r="C7830" s="2">
        <v>574.77869999999996</v>
      </c>
      <c r="D7830" s="2">
        <f>HYPERLINK("http://mcb-m6.bioreg.kyushu-u.ac.jp/M3/20110404/F50778/1067/1", 85.49)</f>
        <v>85.49</v>
      </c>
      <c r="E7830" s="2">
        <v>58.44</v>
      </c>
      <c r="F7830" s="2">
        <v>2</v>
      </c>
      <c r="G7830" s="2" t="s">
        <v>9</v>
      </c>
    </row>
    <row r="7831" spans="1:9" x14ac:dyDescent="0.2">
      <c r="A7831" s="2" t="s">
        <v>3250</v>
      </c>
      <c r="B7831" s="2" t="s">
        <v>481</v>
      </c>
      <c r="C7831" s="2">
        <v>709.65060000000005</v>
      </c>
      <c r="D7831" s="2">
        <f>HYPERLINK("http://mcb-m6.bioreg.kyushu-u.ac.jp/M3/20110404/F50763/1810/1", 85.51)</f>
        <v>85.51</v>
      </c>
      <c r="E7831" s="2">
        <v>67.88</v>
      </c>
      <c r="F7831" s="2">
        <v>2</v>
      </c>
      <c r="G7831" s="2" t="s">
        <v>9</v>
      </c>
      <c r="I7831" s="2" t="s">
        <v>4898</v>
      </c>
    </row>
    <row r="7832" spans="1:9" x14ac:dyDescent="0.2">
      <c r="A7832" s="2" t="s">
        <v>3250</v>
      </c>
      <c r="B7832" s="2" t="s">
        <v>467</v>
      </c>
      <c r="C7832" s="2">
        <v>691.98820000000001</v>
      </c>
      <c r="D7832" s="2">
        <f>HYPERLINK("http://mcb-m6.bioreg.kyushu-u.ac.jp/M3/20110404/F50753/1812/1", 85.61)</f>
        <v>85.61</v>
      </c>
      <c r="E7832" s="2">
        <v>55.84</v>
      </c>
      <c r="F7832" s="2">
        <v>2</v>
      </c>
      <c r="G7832" s="2" t="s">
        <v>9</v>
      </c>
    </row>
    <row r="7833" spans="1:9" x14ac:dyDescent="0.2">
      <c r="A7833" s="2" t="s">
        <v>3250</v>
      </c>
      <c r="B7833" s="2" t="s">
        <v>356</v>
      </c>
      <c r="C7833" s="2">
        <v>1630.8050000000001</v>
      </c>
      <c r="D7833" s="2">
        <f>HYPERLINK("http://mcb-m6.bioreg.kyushu-u.ac.jp/M3/20110404/F50778/2206/1", 85.94)</f>
        <v>85.94</v>
      </c>
      <c r="E7833" s="2">
        <v>66.66</v>
      </c>
      <c r="F7833" s="2">
        <v>1</v>
      </c>
      <c r="G7833" s="2" t="s">
        <v>9</v>
      </c>
    </row>
    <row r="7834" spans="1:9" x14ac:dyDescent="0.2">
      <c r="A7834" s="2" t="s">
        <v>3250</v>
      </c>
      <c r="B7834" s="2" t="s">
        <v>467</v>
      </c>
      <c r="C7834" s="2">
        <v>692.27120000000002</v>
      </c>
      <c r="D7834" s="2">
        <f>HYPERLINK("http://mcb-m6.bioreg.kyushu-u.ac.jp/M3/20110404/F50765/1599/1", 86.03)</f>
        <v>86.03</v>
      </c>
      <c r="E7834" s="2">
        <v>58.38</v>
      </c>
      <c r="F7834" s="2">
        <v>2</v>
      </c>
      <c r="G7834" s="2" t="s">
        <v>9</v>
      </c>
    </row>
    <row r="7835" spans="1:9" x14ac:dyDescent="0.2">
      <c r="A7835" s="2" t="s">
        <v>3250</v>
      </c>
      <c r="B7835" s="2" t="s">
        <v>30</v>
      </c>
      <c r="C7835" s="2">
        <v>965.47059999999999</v>
      </c>
      <c r="D7835" s="2">
        <f>HYPERLINK("http://mcb-m6.bioreg.kyushu-u.ac.jp/M3/20110404/F50779/2747/1", 86.19)</f>
        <v>86.19</v>
      </c>
      <c r="E7835" s="2">
        <v>78.239999999999995</v>
      </c>
      <c r="F7835" s="2">
        <v>2</v>
      </c>
      <c r="G7835" s="2" t="s">
        <v>9</v>
      </c>
      <c r="I7835" s="2" t="s">
        <v>4894</v>
      </c>
    </row>
    <row r="7836" spans="1:9" x14ac:dyDescent="0.2">
      <c r="A7836" s="2" t="s">
        <v>3250</v>
      </c>
      <c r="B7836" s="2" t="s">
        <v>90</v>
      </c>
      <c r="C7836" s="2">
        <v>717.07619999999997</v>
      </c>
      <c r="D7836" s="2">
        <f>HYPERLINK("http://mcb-m6.bioreg.kyushu-u.ac.jp/M3/20110404/F50753/1922/1", 86.34)</f>
        <v>86.34</v>
      </c>
      <c r="E7836" s="2">
        <v>63.93</v>
      </c>
      <c r="F7836" s="2">
        <v>2</v>
      </c>
      <c r="G7836" s="2" t="s">
        <v>9</v>
      </c>
    </row>
    <row r="7837" spans="1:9" x14ac:dyDescent="0.2">
      <c r="A7837" s="2" t="s">
        <v>3250</v>
      </c>
      <c r="B7837" s="2" t="s">
        <v>503</v>
      </c>
      <c r="C7837" s="2">
        <v>808.80160000000001</v>
      </c>
      <c r="D7837" s="2">
        <f>HYPERLINK("http://mcb-m6.bioreg.kyushu-u.ac.jp/M3/20110404/F50756/2290/1", 86.76)</f>
        <v>86.76</v>
      </c>
      <c r="E7837" s="2">
        <v>70.680000000000007</v>
      </c>
      <c r="F7837" s="2">
        <v>2</v>
      </c>
      <c r="G7837" s="2" t="s">
        <v>9</v>
      </c>
    </row>
    <row r="7838" spans="1:9" x14ac:dyDescent="0.2">
      <c r="A7838" s="2" t="s">
        <v>3250</v>
      </c>
      <c r="B7838" s="2" t="s">
        <v>30</v>
      </c>
      <c r="C7838" s="2">
        <v>964.96559999999999</v>
      </c>
      <c r="D7838" s="2">
        <f>HYPERLINK("http://mcb-m6.bioreg.kyushu-u.ac.jp/M3/20110404/F50779/2740/1", 86.97)</f>
        <v>86.97</v>
      </c>
      <c r="E7838" s="2">
        <v>75.099999999999994</v>
      </c>
      <c r="F7838" s="2">
        <v>2</v>
      </c>
      <c r="G7838" s="2" t="s">
        <v>9</v>
      </c>
      <c r="I7838" s="2" t="s">
        <v>4894</v>
      </c>
    </row>
    <row r="7839" spans="1:9" x14ac:dyDescent="0.2">
      <c r="A7839" s="2" t="s">
        <v>3250</v>
      </c>
      <c r="B7839" s="2" t="s">
        <v>888</v>
      </c>
      <c r="C7839" s="2">
        <v>1216.556</v>
      </c>
      <c r="D7839" s="2">
        <f>HYPERLINK("http://mcb-m6.bioreg.kyushu-u.ac.jp/M3/20110404/F50778/3565/1", 87.24)</f>
        <v>87.24</v>
      </c>
      <c r="E7839" s="2">
        <v>78.959999999999994</v>
      </c>
      <c r="F7839" s="2">
        <v>2</v>
      </c>
      <c r="G7839" s="2" t="s">
        <v>9</v>
      </c>
      <c r="I7839" s="2" t="s">
        <v>4895</v>
      </c>
    </row>
    <row r="7840" spans="1:9" x14ac:dyDescent="0.2">
      <c r="A7840" s="2" t="s">
        <v>3250</v>
      </c>
      <c r="B7840" s="2" t="s">
        <v>90</v>
      </c>
      <c r="C7840" s="2">
        <v>1432.491</v>
      </c>
      <c r="D7840" s="2">
        <f>HYPERLINK("http://mcb-m6.bioreg.kyushu-u.ac.jp/M3/20110404/F50755/1819/1", 87.26)</f>
        <v>87.26</v>
      </c>
      <c r="E7840" s="2">
        <v>72.56</v>
      </c>
      <c r="F7840" s="2">
        <v>1</v>
      </c>
      <c r="G7840" s="2" t="s">
        <v>9</v>
      </c>
    </row>
    <row r="7841" spans="1:9" x14ac:dyDescent="0.2">
      <c r="A7841" s="2" t="s">
        <v>3250</v>
      </c>
      <c r="B7841" s="2" t="s">
        <v>1581</v>
      </c>
      <c r="C7841" s="2">
        <v>1147.5619999999999</v>
      </c>
      <c r="D7841" s="2">
        <f>HYPERLINK("http://mcb-m6.bioreg.kyushu-u.ac.jp/M3/20110404/F50779/3275/1", 87.27)</f>
        <v>87.27</v>
      </c>
      <c r="E7841" s="2">
        <v>76.150000000000006</v>
      </c>
      <c r="F7841" s="2">
        <v>2</v>
      </c>
      <c r="G7841" s="2" t="s">
        <v>9</v>
      </c>
      <c r="I7841" s="2" t="s">
        <v>4895</v>
      </c>
    </row>
    <row r="7842" spans="1:9" x14ac:dyDescent="0.2">
      <c r="A7842" s="2" t="s">
        <v>3250</v>
      </c>
      <c r="B7842" s="2" t="s">
        <v>561</v>
      </c>
      <c r="C7842" s="2">
        <v>654.16610000000003</v>
      </c>
      <c r="D7842" s="2">
        <f>HYPERLINK("http://mcb-m6.bioreg.kyushu-u.ac.jp/M3/20110404/F50754/1807/1", 87.28)</f>
        <v>87.28</v>
      </c>
      <c r="E7842" s="2">
        <v>61.57</v>
      </c>
      <c r="F7842" s="2">
        <v>2</v>
      </c>
      <c r="G7842" s="2" t="s">
        <v>9</v>
      </c>
    </row>
    <row r="7843" spans="1:9" x14ac:dyDescent="0.2">
      <c r="A7843" s="2" t="s">
        <v>3250</v>
      </c>
      <c r="B7843" s="2" t="s">
        <v>1065</v>
      </c>
      <c r="C7843" s="2">
        <v>717.04859999999996</v>
      </c>
      <c r="D7843" s="2">
        <f>HYPERLINK("http://mcb-m6.bioreg.kyushu-u.ac.jp/M3/20110404/F50751/2041/1", 87.69)</f>
        <v>87.69</v>
      </c>
      <c r="E7843" s="2">
        <v>76.42</v>
      </c>
      <c r="F7843" s="2">
        <v>2</v>
      </c>
      <c r="G7843" s="2" t="s">
        <v>9</v>
      </c>
      <c r="I7843" s="2" t="s">
        <v>4892</v>
      </c>
    </row>
    <row r="7844" spans="1:9" x14ac:dyDescent="0.2">
      <c r="A7844" s="2" t="s">
        <v>3250</v>
      </c>
      <c r="B7844" s="2" t="s">
        <v>503</v>
      </c>
      <c r="C7844" s="2">
        <v>808.86159999999995</v>
      </c>
      <c r="D7844" s="2">
        <f>HYPERLINK("http://mcb-m6.bioreg.kyushu-u.ac.jp/M3/20110404/F50778/2171/1", 87.82)</f>
        <v>87.82</v>
      </c>
      <c r="E7844" s="2">
        <v>75.930000000000007</v>
      </c>
      <c r="F7844" s="2">
        <v>2</v>
      </c>
      <c r="G7844" s="2" t="s">
        <v>9</v>
      </c>
    </row>
    <row r="7845" spans="1:9" x14ac:dyDescent="0.2">
      <c r="A7845" s="2" t="s">
        <v>3250</v>
      </c>
      <c r="B7845" s="2" t="s">
        <v>1065</v>
      </c>
      <c r="C7845" s="2">
        <v>716.76969999999994</v>
      </c>
      <c r="D7845" s="2">
        <f>HYPERLINK("http://mcb-m6.bioreg.kyushu-u.ac.jp/M3/20110404/F50755/1821/1", 87.86)</f>
        <v>87.86</v>
      </c>
      <c r="E7845" s="2">
        <v>74.7</v>
      </c>
      <c r="F7845" s="2">
        <v>2</v>
      </c>
      <c r="G7845" s="2" t="s">
        <v>9</v>
      </c>
      <c r="I7845" s="2" t="s">
        <v>4892</v>
      </c>
    </row>
    <row r="7846" spans="1:9" x14ac:dyDescent="0.2">
      <c r="A7846" s="2" t="s">
        <v>3250</v>
      </c>
      <c r="B7846" s="2" t="s">
        <v>481</v>
      </c>
      <c r="C7846" s="2">
        <v>709.29169999999999</v>
      </c>
      <c r="D7846" s="2">
        <f>HYPERLINK("http://mcb-m6.bioreg.kyushu-u.ac.jp/M3/20110404/F50767/1537/1", 87.89)</f>
        <v>87.89</v>
      </c>
      <c r="E7846" s="2">
        <v>65.33</v>
      </c>
      <c r="F7846" s="2">
        <v>2</v>
      </c>
      <c r="G7846" s="2" t="s">
        <v>9</v>
      </c>
      <c r="I7846" s="2" t="s">
        <v>4898</v>
      </c>
    </row>
    <row r="7847" spans="1:9" x14ac:dyDescent="0.2">
      <c r="A7847" s="2" t="s">
        <v>3250</v>
      </c>
      <c r="B7847" s="2" t="s">
        <v>561</v>
      </c>
      <c r="C7847" s="2">
        <v>654.25959999999998</v>
      </c>
      <c r="D7847" s="2">
        <f>HYPERLINK("http://mcb-m6.bioreg.kyushu-u.ac.jp/M3/20110404/F50779/1324/1", 88.21)</f>
        <v>88.21</v>
      </c>
      <c r="E7847" s="2">
        <v>64.63</v>
      </c>
      <c r="F7847" s="2">
        <v>2</v>
      </c>
      <c r="G7847" s="2" t="s">
        <v>9</v>
      </c>
    </row>
    <row r="7848" spans="1:9" x14ac:dyDescent="0.2">
      <c r="A7848" s="2" t="s">
        <v>3250</v>
      </c>
      <c r="B7848" s="2" t="s">
        <v>561</v>
      </c>
      <c r="C7848" s="2">
        <v>662.2192</v>
      </c>
      <c r="D7848" s="2">
        <f>HYPERLINK("http://mcb-m6.bioreg.kyushu-u.ac.jp/M3/20110404/F50752/1840/1", 88.31)</f>
        <v>88.31</v>
      </c>
      <c r="E7848" s="2">
        <v>72.510000000000005</v>
      </c>
      <c r="F7848" s="2">
        <v>2</v>
      </c>
      <c r="G7848" s="2" t="s">
        <v>9</v>
      </c>
      <c r="H7848" s="2" t="s">
        <v>4919</v>
      </c>
    </row>
    <row r="7849" spans="1:9" x14ac:dyDescent="0.2">
      <c r="A7849" s="2" t="s">
        <v>3250</v>
      </c>
      <c r="B7849" s="2" t="s">
        <v>561</v>
      </c>
      <c r="C7849" s="2">
        <v>662.22170000000006</v>
      </c>
      <c r="D7849" s="2">
        <f>HYPERLINK("http://mcb-m6.bioreg.kyushu-u.ac.jp/M3/20110404/F50766/1109/1", 88.58)</f>
        <v>88.58</v>
      </c>
      <c r="E7849" s="2">
        <v>72.02</v>
      </c>
      <c r="F7849" s="2">
        <v>2</v>
      </c>
      <c r="G7849" s="2" t="s">
        <v>9</v>
      </c>
      <c r="H7849" s="2" t="s">
        <v>4919</v>
      </c>
    </row>
    <row r="7850" spans="1:9" x14ac:dyDescent="0.2">
      <c r="A7850" s="2" t="s">
        <v>3250</v>
      </c>
      <c r="B7850" s="2" t="s">
        <v>102</v>
      </c>
      <c r="C7850" s="2">
        <v>616.28769999999997</v>
      </c>
      <c r="D7850" s="2">
        <f>HYPERLINK("http://mcb-m6.bioreg.kyushu-u.ac.jp/M3/20110404/F50779/1191/1", 88.81)</f>
        <v>88.81</v>
      </c>
      <c r="E7850" s="2">
        <v>71.48</v>
      </c>
      <c r="F7850" s="2">
        <v>2</v>
      </c>
      <c r="G7850" s="2" t="s">
        <v>9</v>
      </c>
      <c r="H7850" s="2" t="s">
        <v>4900</v>
      </c>
    </row>
    <row r="7851" spans="1:9" x14ac:dyDescent="0.2">
      <c r="A7851" s="2" t="s">
        <v>3250</v>
      </c>
      <c r="B7851" s="2" t="s">
        <v>503</v>
      </c>
      <c r="C7851" s="2">
        <v>808.35220000000004</v>
      </c>
      <c r="D7851" s="2">
        <f>HYPERLINK("http://mcb-m6.bioreg.kyushu-u.ac.jp/M3/20110404/F50767/2060/1", 88.95)</f>
        <v>88.95</v>
      </c>
      <c r="E7851" s="2">
        <v>82.06</v>
      </c>
      <c r="F7851" s="2">
        <v>2</v>
      </c>
      <c r="G7851" s="2" t="s">
        <v>9</v>
      </c>
    </row>
    <row r="7852" spans="1:9" x14ac:dyDescent="0.2">
      <c r="A7852" s="2" t="s">
        <v>3250</v>
      </c>
      <c r="B7852" s="2" t="s">
        <v>90</v>
      </c>
      <c r="C7852" s="2">
        <v>717.30409999999995</v>
      </c>
      <c r="D7852" s="2">
        <f>HYPERLINK("http://mcb-m6.bioreg.kyushu-u.ac.jp/M3/20110404/F50779/1639/1", 89.19)</f>
        <v>89.19</v>
      </c>
      <c r="E7852" s="2">
        <v>64.930000000000007</v>
      </c>
      <c r="F7852" s="2">
        <v>2</v>
      </c>
      <c r="G7852" s="2" t="s">
        <v>9</v>
      </c>
    </row>
    <row r="7853" spans="1:9" x14ac:dyDescent="0.2">
      <c r="A7853" s="2" t="s">
        <v>3250</v>
      </c>
      <c r="B7853" s="2" t="s">
        <v>356</v>
      </c>
      <c r="C7853" s="2">
        <v>816.17769999999996</v>
      </c>
      <c r="D7853" s="2">
        <f>HYPERLINK("http://mcb-m6.bioreg.kyushu-u.ac.jp/M3/20110404/F50776/1992/1", 89.21)</f>
        <v>89.21</v>
      </c>
      <c r="E7853" s="2">
        <v>72.91</v>
      </c>
      <c r="F7853" s="2">
        <v>2</v>
      </c>
      <c r="G7853" s="2" t="s">
        <v>9</v>
      </c>
    </row>
    <row r="7854" spans="1:9" x14ac:dyDescent="0.2">
      <c r="A7854" s="2" t="s">
        <v>3250</v>
      </c>
      <c r="B7854" s="2" t="s">
        <v>1255</v>
      </c>
      <c r="C7854" s="2">
        <v>1274.2059999999999</v>
      </c>
      <c r="D7854" s="2">
        <f>HYPERLINK("http://mcb-m6.bioreg.kyushu-u.ac.jp/M3/20110404/F50763/3242/1", 89.37)</f>
        <v>89.37</v>
      </c>
      <c r="E7854" s="2">
        <v>83.43</v>
      </c>
      <c r="F7854" s="2">
        <v>2</v>
      </c>
      <c r="G7854" s="2" t="s">
        <v>9</v>
      </c>
      <c r="I7854" s="2" t="s">
        <v>4906</v>
      </c>
    </row>
    <row r="7855" spans="1:9" x14ac:dyDescent="0.2">
      <c r="A7855" s="2" t="s">
        <v>3250</v>
      </c>
      <c r="B7855" s="2" t="s">
        <v>503</v>
      </c>
      <c r="C7855" s="2">
        <v>808.23860000000002</v>
      </c>
      <c r="D7855" s="2">
        <f>HYPERLINK("http://mcb-m6.bioreg.kyushu-u.ac.jp/M3/20110404/F50766/1962/1", 89.53)</f>
        <v>89.53</v>
      </c>
      <c r="E7855" s="2">
        <v>74.099999999999994</v>
      </c>
      <c r="F7855" s="2">
        <v>2</v>
      </c>
      <c r="G7855" s="2" t="s">
        <v>9</v>
      </c>
    </row>
    <row r="7856" spans="1:9" x14ac:dyDescent="0.2">
      <c r="A7856" s="2" t="s">
        <v>3250</v>
      </c>
      <c r="B7856" s="2" t="s">
        <v>481</v>
      </c>
      <c r="C7856" s="2">
        <v>709.21720000000005</v>
      </c>
      <c r="D7856" s="2">
        <f>HYPERLINK("http://mcb-m6.bioreg.kyushu-u.ac.jp/M3/20110404/F50754/1994/1", 89.67)</f>
        <v>89.67</v>
      </c>
      <c r="E7856" s="2">
        <v>70.16</v>
      </c>
      <c r="F7856" s="2">
        <v>2</v>
      </c>
      <c r="G7856" s="2" t="s">
        <v>9</v>
      </c>
      <c r="I7856" s="2" t="s">
        <v>4898</v>
      </c>
    </row>
    <row r="7857" spans="1:9" x14ac:dyDescent="0.2">
      <c r="A7857" s="2" t="s">
        <v>3250</v>
      </c>
      <c r="B7857" s="2" t="s">
        <v>30</v>
      </c>
      <c r="C7857" s="2">
        <v>964.96669999999995</v>
      </c>
      <c r="D7857" s="2">
        <f>HYPERLINK("http://mcb-m6.bioreg.kyushu-u.ac.jp/M3/20110404/F50778/2863/1", 89.93)</f>
        <v>89.93</v>
      </c>
      <c r="E7857" s="2">
        <v>76.67</v>
      </c>
      <c r="F7857" s="2">
        <v>2</v>
      </c>
      <c r="G7857" s="2" t="s">
        <v>9</v>
      </c>
      <c r="I7857" s="2" t="s">
        <v>4894</v>
      </c>
    </row>
    <row r="7858" spans="1:9" x14ac:dyDescent="0.2">
      <c r="A7858" s="2" t="s">
        <v>3250</v>
      </c>
      <c r="B7858" s="2" t="s">
        <v>90</v>
      </c>
      <c r="C7858" s="2">
        <v>716.67909999999995</v>
      </c>
      <c r="D7858" s="2">
        <f>HYPERLINK("http://mcb-m6.bioreg.kyushu-u.ac.jp/M3/20110404/F50755/1818/1", 89.97)</f>
        <v>89.97</v>
      </c>
      <c r="E7858" s="2">
        <v>60.01</v>
      </c>
      <c r="F7858" s="2">
        <v>2</v>
      </c>
      <c r="G7858" s="2" t="s">
        <v>9</v>
      </c>
    </row>
    <row r="7859" spans="1:9" x14ac:dyDescent="0.2">
      <c r="A7859" s="2" t="s">
        <v>3250</v>
      </c>
      <c r="B7859" s="2" t="s">
        <v>90</v>
      </c>
      <c r="C7859" s="2">
        <v>717.07259999999997</v>
      </c>
      <c r="D7859" s="2">
        <f>HYPERLINK("http://mcb-m6.bioreg.kyushu-u.ac.jp/M3/20110404/F50778/1720/1", 90.08)</f>
        <v>90.08</v>
      </c>
      <c r="E7859" s="2">
        <v>66.17</v>
      </c>
      <c r="F7859" s="2">
        <v>2</v>
      </c>
      <c r="G7859" s="2" t="s">
        <v>9</v>
      </c>
    </row>
    <row r="7860" spans="1:9" x14ac:dyDescent="0.2">
      <c r="A7860" s="2" t="s">
        <v>3250</v>
      </c>
      <c r="B7860" s="2" t="s">
        <v>1581</v>
      </c>
      <c r="C7860" s="2">
        <v>1147.934</v>
      </c>
      <c r="D7860" s="2">
        <f>HYPERLINK("http://mcb-m6.bioreg.kyushu-u.ac.jp/M3/20110404/F50767/3367/1", 90.14)</f>
        <v>90.14</v>
      </c>
      <c r="E7860" s="2">
        <v>81.349999999999994</v>
      </c>
      <c r="F7860" s="2">
        <v>2</v>
      </c>
      <c r="G7860" s="2" t="s">
        <v>9</v>
      </c>
      <c r="I7860" s="2" t="s">
        <v>4895</v>
      </c>
    </row>
    <row r="7861" spans="1:9" x14ac:dyDescent="0.2">
      <c r="A7861" s="2" t="s">
        <v>3250</v>
      </c>
      <c r="B7861" s="2" t="s">
        <v>356</v>
      </c>
      <c r="C7861" s="2">
        <v>816.49069999999995</v>
      </c>
      <c r="D7861" s="2">
        <f>HYPERLINK("http://mcb-m6.bioreg.kyushu-u.ac.jp/M3/20110404/F50779/2118/1", 90.27)</f>
        <v>90.27</v>
      </c>
      <c r="E7861" s="2">
        <v>74.97</v>
      </c>
      <c r="F7861" s="2">
        <v>2</v>
      </c>
      <c r="G7861" s="2" t="s">
        <v>9</v>
      </c>
    </row>
    <row r="7862" spans="1:9" x14ac:dyDescent="0.2">
      <c r="A7862" s="2" t="s">
        <v>3250</v>
      </c>
      <c r="B7862" s="2" t="s">
        <v>467</v>
      </c>
      <c r="C7862" s="2">
        <v>692.16359999999997</v>
      </c>
      <c r="D7862" s="2">
        <f>HYPERLINK("http://mcb-m6.bioreg.kyushu-u.ac.jp/M3/20110404/F50776/1615/1", 90.41)</f>
        <v>90.41</v>
      </c>
      <c r="E7862" s="2">
        <v>59.29</v>
      </c>
      <c r="F7862" s="2">
        <v>2</v>
      </c>
      <c r="G7862" s="2" t="s">
        <v>9</v>
      </c>
    </row>
    <row r="7863" spans="1:9" x14ac:dyDescent="0.2">
      <c r="A7863" s="2" t="s">
        <v>3250</v>
      </c>
      <c r="B7863" s="2" t="s">
        <v>90</v>
      </c>
      <c r="C7863" s="2">
        <v>717.25710000000004</v>
      </c>
      <c r="D7863" s="2">
        <f>HYPERLINK("http://mcb-m6.bioreg.kyushu-u.ac.jp/M3/20110404/F50765/1730/1", 90.79)</f>
        <v>90.79</v>
      </c>
      <c r="E7863" s="2">
        <v>65.14</v>
      </c>
      <c r="F7863" s="2">
        <v>2</v>
      </c>
      <c r="G7863" s="2" t="s">
        <v>9</v>
      </c>
    </row>
    <row r="7864" spans="1:9" x14ac:dyDescent="0.2">
      <c r="A7864" s="2" t="s">
        <v>3250</v>
      </c>
      <c r="B7864" s="2" t="s">
        <v>1665</v>
      </c>
      <c r="C7864" s="2">
        <v>1147.52</v>
      </c>
      <c r="D7864" s="2">
        <f>HYPERLINK("http://mcb-m6.bioreg.kyushu-u.ac.jp/M3/20110404/F50767/3363/1", 90.9)</f>
        <v>90.9</v>
      </c>
      <c r="E7864" s="2">
        <v>81.3</v>
      </c>
      <c r="F7864" s="2">
        <v>2</v>
      </c>
      <c r="G7864" s="2" t="s">
        <v>9</v>
      </c>
    </row>
    <row r="7865" spans="1:9" x14ac:dyDescent="0.2">
      <c r="A7865" s="2" t="s">
        <v>3250</v>
      </c>
      <c r="B7865" s="2" t="s">
        <v>90</v>
      </c>
      <c r="C7865" s="2">
        <v>717.19920000000002</v>
      </c>
      <c r="D7865" s="2">
        <f>HYPERLINK("http://mcb-m6.bioreg.kyushu-u.ac.jp/M3/20110404/F50767/1600/1", 91.02)</f>
        <v>91.02</v>
      </c>
      <c r="E7865" s="2">
        <v>70.900000000000006</v>
      </c>
      <c r="F7865" s="2">
        <v>2</v>
      </c>
      <c r="G7865" s="2" t="s">
        <v>9</v>
      </c>
    </row>
    <row r="7866" spans="1:9" x14ac:dyDescent="0.2">
      <c r="A7866" s="2" t="s">
        <v>3250</v>
      </c>
      <c r="B7866" s="2" t="s">
        <v>481</v>
      </c>
      <c r="C7866" s="2">
        <v>709.17169999999999</v>
      </c>
      <c r="D7866" s="2">
        <f>HYPERLINK("http://mcb-m6.bioreg.kyushu-u.ac.jp/M3/20110404/F50777/1767/1", 91.46)</f>
        <v>91.46</v>
      </c>
      <c r="E7866" s="2">
        <v>67.69</v>
      </c>
      <c r="F7866" s="2">
        <v>2</v>
      </c>
      <c r="G7866" s="2" t="s">
        <v>9</v>
      </c>
      <c r="I7866" s="2" t="s">
        <v>4898</v>
      </c>
    </row>
    <row r="7867" spans="1:9" x14ac:dyDescent="0.2">
      <c r="A7867" s="2" t="s">
        <v>3250</v>
      </c>
      <c r="B7867" s="2" t="s">
        <v>503</v>
      </c>
      <c r="C7867" s="2">
        <v>808.44960000000003</v>
      </c>
      <c r="D7867" s="2">
        <f>HYPERLINK("http://mcb-m6.bioreg.kyushu-u.ac.jp/M3/20110404/F50763/2180/1", 91.49)</f>
        <v>91.49</v>
      </c>
      <c r="E7867" s="2">
        <v>78.73</v>
      </c>
      <c r="F7867" s="2">
        <v>2</v>
      </c>
      <c r="G7867" s="2" t="s">
        <v>9</v>
      </c>
    </row>
    <row r="7868" spans="1:9" x14ac:dyDescent="0.2">
      <c r="A7868" s="2" t="s">
        <v>3250</v>
      </c>
      <c r="B7868" s="2" t="s">
        <v>1065</v>
      </c>
      <c r="C7868" s="2">
        <v>716.99720000000002</v>
      </c>
      <c r="D7868" s="2">
        <f>HYPERLINK("http://mcb-m6.bioreg.kyushu-u.ac.jp/M3/20110404/F50764/1779/1", 91.55)</f>
        <v>91.55</v>
      </c>
      <c r="E7868" s="2">
        <v>78.63</v>
      </c>
      <c r="F7868" s="2">
        <v>2</v>
      </c>
      <c r="G7868" s="2" t="s">
        <v>9</v>
      </c>
      <c r="I7868" s="2" t="s">
        <v>4892</v>
      </c>
    </row>
    <row r="7869" spans="1:9" x14ac:dyDescent="0.2">
      <c r="A7869" s="2" t="s">
        <v>3250</v>
      </c>
      <c r="B7869" s="2" t="s">
        <v>561</v>
      </c>
      <c r="C7869" s="2">
        <v>662.29769999999996</v>
      </c>
      <c r="D7869" s="2">
        <f>HYPERLINK("http://mcb-m6.bioreg.kyushu-u.ac.jp/M3/20110404/F50765/1464/1", 91.59)</f>
        <v>91.59</v>
      </c>
      <c r="E7869" s="2">
        <v>77.349999999999994</v>
      </c>
      <c r="F7869" s="2">
        <v>2</v>
      </c>
      <c r="G7869" s="2" t="s">
        <v>9</v>
      </c>
      <c r="H7869" s="2" t="s">
        <v>4919</v>
      </c>
    </row>
    <row r="7870" spans="1:9" x14ac:dyDescent="0.2">
      <c r="A7870" s="2" t="s">
        <v>3250</v>
      </c>
      <c r="B7870" s="2" t="s">
        <v>561</v>
      </c>
      <c r="C7870" s="2">
        <v>662.28060000000005</v>
      </c>
      <c r="D7870" s="2">
        <f>HYPERLINK("http://mcb-m6.bioreg.kyushu-u.ac.jp/M3/20110404/F50767/1294/1", 91.6)</f>
        <v>91.6</v>
      </c>
      <c r="E7870" s="2">
        <v>68.930000000000007</v>
      </c>
      <c r="F7870" s="2">
        <v>2</v>
      </c>
      <c r="G7870" s="2" t="s">
        <v>9</v>
      </c>
      <c r="H7870" s="2" t="s">
        <v>4919</v>
      </c>
    </row>
    <row r="7871" spans="1:9" x14ac:dyDescent="0.2">
      <c r="A7871" s="2" t="s">
        <v>3250</v>
      </c>
      <c r="B7871" s="2" t="s">
        <v>561</v>
      </c>
      <c r="C7871" s="2">
        <v>662.41470000000004</v>
      </c>
      <c r="D7871" s="2">
        <f>HYPERLINK("http://mcb-m6.bioreg.kyushu-u.ac.jp/M3/20110404/F50751/1835/1", 91.63)</f>
        <v>91.63</v>
      </c>
      <c r="E7871" s="2">
        <v>70.73</v>
      </c>
      <c r="F7871" s="2">
        <v>2</v>
      </c>
      <c r="G7871" s="2" t="s">
        <v>9</v>
      </c>
      <c r="H7871" s="2" t="s">
        <v>4919</v>
      </c>
    </row>
    <row r="7872" spans="1:9" x14ac:dyDescent="0.2">
      <c r="A7872" s="2" t="s">
        <v>3250</v>
      </c>
      <c r="B7872" s="2" t="s">
        <v>561</v>
      </c>
      <c r="C7872" s="2">
        <v>654.29570000000001</v>
      </c>
      <c r="D7872" s="2">
        <f>HYPERLINK("http://mcb-m6.bioreg.kyushu-u.ac.jp/M3/20110404/F50763/1580/1", 91.68)</f>
        <v>91.68</v>
      </c>
      <c r="E7872" s="2">
        <v>67.14</v>
      </c>
      <c r="F7872" s="2">
        <v>2</v>
      </c>
      <c r="G7872" s="2" t="s">
        <v>9</v>
      </c>
    </row>
    <row r="7873" spans="1:9" x14ac:dyDescent="0.2">
      <c r="A7873" s="2" t="s">
        <v>3250</v>
      </c>
      <c r="B7873" s="2" t="s">
        <v>561</v>
      </c>
      <c r="C7873" s="2">
        <v>662.28560000000004</v>
      </c>
      <c r="D7873" s="2">
        <f>HYPERLINK("http://mcb-m6.bioreg.kyushu-u.ac.jp/M3/20110404/F50762/1494/1", 91.71)</f>
        <v>91.71</v>
      </c>
      <c r="E7873" s="2">
        <v>70.739999999999995</v>
      </c>
      <c r="F7873" s="2">
        <v>2</v>
      </c>
      <c r="G7873" s="2" t="s">
        <v>9</v>
      </c>
      <c r="H7873" s="2" t="s">
        <v>4919</v>
      </c>
    </row>
    <row r="7874" spans="1:9" x14ac:dyDescent="0.2">
      <c r="A7874" s="2" t="s">
        <v>3250</v>
      </c>
      <c r="B7874" s="2" t="s">
        <v>561</v>
      </c>
      <c r="C7874" s="2">
        <v>662.41769999999997</v>
      </c>
      <c r="D7874" s="2">
        <f>HYPERLINK("http://mcb-m6.bioreg.kyushu-u.ac.jp/M3/20110404/F50776/1490/1", 91.73)</f>
        <v>91.73</v>
      </c>
      <c r="E7874" s="2">
        <v>70.69</v>
      </c>
      <c r="F7874" s="2">
        <v>2</v>
      </c>
      <c r="G7874" s="2" t="s">
        <v>9</v>
      </c>
      <c r="H7874" s="2" t="s">
        <v>4919</v>
      </c>
    </row>
    <row r="7875" spans="1:9" x14ac:dyDescent="0.2">
      <c r="A7875" s="2" t="s">
        <v>3250</v>
      </c>
      <c r="B7875" s="2" t="s">
        <v>561</v>
      </c>
      <c r="C7875" s="2">
        <v>662.23569999999995</v>
      </c>
      <c r="D7875" s="2">
        <f>HYPERLINK("http://mcb-m6.bioreg.kyushu-u.ac.jp/M3/20110404/F50763/1597/1", 91.75)</f>
        <v>91.75</v>
      </c>
      <c r="E7875" s="2">
        <v>76.56</v>
      </c>
      <c r="F7875" s="2">
        <v>2</v>
      </c>
      <c r="G7875" s="2" t="s">
        <v>9</v>
      </c>
      <c r="H7875" s="2" t="s">
        <v>4919</v>
      </c>
    </row>
    <row r="7876" spans="1:9" x14ac:dyDescent="0.2">
      <c r="A7876" s="2" t="s">
        <v>3250</v>
      </c>
      <c r="B7876" s="2" t="s">
        <v>561</v>
      </c>
      <c r="C7876" s="2">
        <v>662.22360000000003</v>
      </c>
      <c r="D7876" s="2">
        <f>HYPERLINK("http://mcb-m6.bioreg.kyushu-u.ac.jp/M3/20110404/F50777/1557/1", 91.86)</f>
        <v>91.86</v>
      </c>
      <c r="E7876" s="2">
        <v>67.989999999999995</v>
      </c>
      <c r="F7876" s="2">
        <v>2</v>
      </c>
      <c r="G7876" s="2" t="s">
        <v>9</v>
      </c>
      <c r="H7876" s="2" t="s">
        <v>4919</v>
      </c>
    </row>
    <row r="7877" spans="1:9" x14ac:dyDescent="0.2">
      <c r="A7877" s="2" t="s">
        <v>3250</v>
      </c>
      <c r="B7877" s="2" t="s">
        <v>561</v>
      </c>
      <c r="C7877" s="2">
        <v>654.14170000000001</v>
      </c>
      <c r="D7877" s="2">
        <f>HYPERLINK("http://mcb-m6.bioreg.kyushu-u.ac.jp/M3/20110404/F50752/1829/1", 92.52)</f>
        <v>92.52</v>
      </c>
      <c r="E7877" s="2">
        <v>72.040000000000006</v>
      </c>
      <c r="F7877" s="2">
        <v>2</v>
      </c>
      <c r="G7877" s="2" t="s">
        <v>9</v>
      </c>
    </row>
    <row r="7878" spans="1:9" x14ac:dyDescent="0.2">
      <c r="A7878" s="2" t="s">
        <v>3250</v>
      </c>
      <c r="B7878" s="2" t="s">
        <v>467</v>
      </c>
      <c r="C7878" s="2">
        <v>691.70820000000003</v>
      </c>
      <c r="D7878" s="2">
        <f>HYPERLINK("http://mcb-m6.bioreg.kyushu-u.ac.jp/M3/20110404/F50765/1595/1", 92.58)</f>
        <v>92.58</v>
      </c>
      <c r="E7878" s="2">
        <v>58.6</v>
      </c>
      <c r="F7878" s="2">
        <v>2</v>
      </c>
      <c r="G7878" s="2" t="s">
        <v>9</v>
      </c>
    </row>
    <row r="7879" spans="1:9" x14ac:dyDescent="0.2">
      <c r="A7879" s="2" t="s">
        <v>3250</v>
      </c>
      <c r="B7879" s="2" t="s">
        <v>772</v>
      </c>
      <c r="C7879" s="2">
        <v>595.6277</v>
      </c>
      <c r="D7879" s="2">
        <f>HYPERLINK("http://mcb-m6.bioreg.kyushu-u.ac.jp/M3/20110404/F50762/1303/1", 92.71)</f>
        <v>92.71</v>
      </c>
      <c r="E7879" s="2">
        <v>60.41</v>
      </c>
      <c r="F7879" s="2">
        <v>2</v>
      </c>
      <c r="G7879" s="2" t="s">
        <v>9</v>
      </c>
    </row>
    <row r="7880" spans="1:9" x14ac:dyDescent="0.2">
      <c r="A7880" s="2" t="s">
        <v>3250</v>
      </c>
      <c r="B7880" s="2" t="s">
        <v>1065</v>
      </c>
      <c r="C7880" s="2">
        <v>716.80719999999997</v>
      </c>
      <c r="D7880" s="2">
        <f>HYPERLINK("http://mcb-m6.bioreg.kyushu-u.ac.jp/M3/20110404/F50752/2033/1", 93.08)</f>
        <v>93.08</v>
      </c>
      <c r="E7880" s="2">
        <v>79.17</v>
      </c>
      <c r="F7880" s="2">
        <v>2</v>
      </c>
      <c r="G7880" s="2" t="s">
        <v>9</v>
      </c>
      <c r="I7880" s="2" t="s">
        <v>4892</v>
      </c>
    </row>
    <row r="7881" spans="1:9" x14ac:dyDescent="0.2">
      <c r="A7881" s="2" t="s">
        <v>3250</v>
      </c>
      <c r="B7881" s="2" t="s">
        <v>90</v>
      </c>
      <c r="C7881" s="2">
        <v>1432.5609999999999</v>
      </c>
      <c r="D7881" s="2">
        <f>HYPERLINK("http://mcb-m6.bioreg.kyushu-u.ac.jp/M3/20110404/F50777/1812/1", 93.27)</f>
        <v>93.27</v>
      </c>
      <c r="E7881" s="2">
        <v>75.94</v>
      </c>
      <c r="F7881" s="2">
        <v>1</v>
      </c>
      <c r="G7881" s="2" t="s">
        <v>9</v>
      </c>
    </row>
    <row r="7882" spans="1:9" x14ac:dyDescent="0.2">
      <c r="A7882" s="2" t="s">
        <v>3250</v>
      </c>
      <c r="B7882" s="2" t="s">
        <v>90</v>
      </c>
      <c r="C7882" s="2">
        <v>716.82370000000003</v>
      </c>
      <c r="D7882" s="2">
        <f>HYPERLINK("http://mcb-m6.bioreg.kyushu-u.ac.jp/M3/20110404/F50779/1629/1", 93.29)</f>
        <v>93.29</v>
      </c>
      <c r="E7882" s="2">
        <v>68.489999999999995</v>
      </c>
      <c r="F7882" s="2">
        <v>2</v>
      </c>
      <c r="G7882" s="2" t="s">
        <v>9</v>
      </c>
    </row>
    <row r="7883" spans="1:9" x14ac:dyDescent="0.2">
      <c r="A7883" s="2" t="s">
        <v>3250</v>
      </c>
      <c r="B7883" s="2" t="s">
        <v>503</v>
      </c>
      <c r="C7883" s="2">
        <v>808.25819999999999</v>
      </c>
      <c r="D7883" s="2">
        <f>HYPERLINK("http://mcb-m6.bioreg.kyushu-u.ac.jp/M3/20110404/F50755/2282/1", 93.62)</f>
        <v>93.62</v>
      </c>
      <c r="E7883" s="2">
        <v>85.07</v>
      </c>
      <c r="F7883" s="2">
        <v>2</v>
      </c>
      <c r="G7883" s="2" t="s">
        <v>9</v>
      </c>
    </row>
    <row r="7884" spans="1:9" x14ac:dyDescent="0.2">
      <c r="A7884" s="2" t="s">
        <v>3250</v>
      </c>
      <c r="B7884" s="2" t="s">
        <v>90</v>
      </c>
      <c r="C7884" s="2">
        <v>717.23170000000005</v>
      </c>
      <c r="D7884" s="2">
        <f>HYPERLINK("http://mcb-m6.bioreg.kyushu-u.ac.jp/M3/20110404/F50767/1602/1", 93.7)</f>
        <v>93.7</v>
      </c>
      <c r="E7884" s="2">
        <v>71.739999999999995</v>
      </c>
      <c r="F7884" s="2">
        <v>2</v>
      </c>
      <c r="G7884" s="2" t="s">
        <v>9</v>
      </c>
    </row>
    <row r="7885" spans="1:9" x14ac:dyDescent="0.2">
      <c r="A7885" s="2" t="s">
        <v>3250</v>
      </c>
      <c r="B7885" s="2" t="s">
        <v>90</v>
      </c>
      <c r="C7885" s="2">
        <v>716.78970000000004</v>
      </c>
      <c r="D7885" s="2">
        <f>HYPERLINK("http://mcb-m6.bioreg.kyushu-u.ac.jp/M3/20110404/F50763/1851/1", 93.82)</f>
        <v>93.82</v>
      </c>
      <c r="E7885" s="2">
        <v>66.459999999999994</v>
      </c>
      <c r="F7885" s="2">
        <v>2</v>
      </c>
      <c r="G7885" s="2" t="s">
        <v>9</v>
      </c>
    </row>
    <row r="7886" spans="1:9" x14ac:dyDescent="0.2">
      <c r="A7886" s="2" t="s">
        <v>3250</v>
      </c>
      <c r="B7886" s="2" t="s">
        <v>356</v>
      </c>
      <c r="C7886" s="2">
        <v>816.44619999999998</v>
      </c>
      <c r="D7886" s="2">
        <f>HYPERLINK("http://mcb-m6.bioreg.kyushu-u.ac.jp/M3/20110404/F50779/2116/1", 94.71)</f>
        <v>94.71</v>
      </c>
      <c r="E7886" s="2">
        <v>76.3</v>
      </c>
      <c r="F7886" s="2">
        <v>2</v>
      </c>
      <c r="G7886" s="2" t="s">
        <v>9</v>
      </c>
    </row>
    <row r="7887" spans="1:9" x14ac:dyDescent="0.2">
      <c r="A7887" s="2" t="s">
        <v>3250</v>
      </c>
      <c r="B7887" s="2" t="s">
        <v>90</v>
      </c>
      <c r="C7887" s="2">
        <v>716.96969999999999</v>
      </c>
      <c r="D7887" s="2">
        <f>HYPERLINK("http://mcb-m6.bioreg.kyushu-u.ac.jp/M3/20110404/F50779/1637/1", 95.21)</f>
        <v>95.21</v>
      </c>
      <c r="E7887" s="2">
        <v>68.53</v>
      </c>
      <c r="F7887" s="2">
        <v>2</v>
      </c>
      <c r="G7887" s="2" t="s">
        <v>9</v>
      </c>
    </row>
    <row r="7888" spans="1:9" x14ac:dyDescent="0.2">
      <c r="A7888" s="2" t="s">
        <v>3250</v>
      </c>
      <c r="B7888" s="2" t="s">
        <v>888</v>
      </c>
      <c r="C7888" s="2">
        <v>1216.0530000000001</v>
      </c>
      <c r="D7888" s="2">
        <f>HYPERLINK("http://mcb-m6.bioreg.kyushu-u.ac.jp/M3/20110404/F50778/3563/1", 95.46)</f>
        <v>95.46</v>
      </c>
      <c r="E7888" s="2">
        <v>89.01</v>
      </c>
      <c r="F7888" s="2">
        <v>2</v>
      </c>
      <c r="G7888" s="2" t="s">
        <v>9</v>
      </c>
      <c r="I7888" s="2" t="s">
        <v>4895</v>
      </c>
    </row>
    <row r="7889" spans="1:9" x14ac:dyDescent="0.2">
      <c r="A7889" s="2" t="s">
        <v>3250</v>
      </c>
      <c r="B7889" s="2" t="s">
        <v>90</v>
      </c>
      <c r="C7889" s="2">
        <v>717.03610000000003</v>
      </c>
      <c r="D7889" s="2">
        <f>HYPERLINK("http://mcb-m6.bioreg.kyushu-u.ac.jp/M3/20110404/F50764/1781/1", 95.69)</f>
        <v>95.69</v>
      </c>
      <c r="E7889" s="2">
        <v>67.760000000000005</v>
      </c>
      <c r="F7889" s="2">
        <v>2</v>
      </c>
      <c r="G7889" s="2" t="s">
        <v>9</v>
      </c>
    </row>
    <row r="7890" spans="1:9" x14ac:dyDescent="0.2">
      <c r="A7890" s="2" t="s">
        <v>3250</v>
      </c>
      <c r="B7890" s="2" t="s">
        <v>503</v>
      </c>
      <c r="C7890" s="2">
        <v>808.44820000000004</v>
      </c>
      <c r="D7890" s="2">
        <f>HYPERLINK("http://mcb-m6.bioreg.kyushu-u.ac.jp/M3/20110404/F50765/2151/1", 95.77)</f>
        <v>95.77</v>
      </c>
      <c r="E7890" s="2">
        <v>75.650000000000006</v>
      </c>
      <c r="F7890" s="2">
        <v>2</v>
      </c>
      <c r="G7890" s="2" t="s">
        <v>9</v>
      </c>
    </row>
    <row r="7891" spans="1:9" x14ac:dyDescent="0.2">
      <c r="A7891" s="2" t="s">
        <v>3250</v>
      </c>
      <c r="B7891" s="2" t="s">
        <v>481</v>
      </c>
      <c r="C7891" s="2">
        <v>709.34059999999999</v>
      </c>
      <c r="D7891" s="2">
        <f>HYPERLINK("http://mcb-m6.bioreg.kyushu-u.ac.jp/M3/20110404/F50765/1681/1", 96.16)</f>
        <v>96.16</v>
      </c>
      <c r="E7891" s="2">
        <v>73.02</v>
      </c>
      <c r="F7891" s="2">
        <v>2</v>
      </c>
      <c r="G7891" s="2" t="s">
        <v>9</v>
      </c>
      <c r="I7891" s="2" t="s">
        <v>4898</v>
      </c>
    </row>
    <row r="7892" spans="1:9" x14ac:dyDescent="0.2">
      <c r="A7892" s="2" t="s">
        <v>3250</v>
      </c>
      <c r="B7892" s="2" t="s">
        <v>467</v>
      </c>
      <c r="C7892" s="2">
        <v>691.9357</v>
      </c>
      <c r="D7892" s="2">
        <f>HYPERLINK("http://mcb-m6.bioreg.kyushu-u.ac.jp/M3/20110404/F50767/1452/1", 96.39)</f>
        <v>96.39</v>
      </c>
      <c r="E7892" s="2">
        <v>61.29</v>
      </c>
      <c r="F7892" s="2">
        <v>2</v>
      </c>
      <c r="G7892" s="2" t="s">
        <v>9</v>
      </c>
    </row>
    <row r="7893" spans="1:9" x14ac:dyDescent="0.2">
      <c r="A7893" s="2" t="s">
        <v>3250</v>
      </c>
      <c r="B7893" s="2" t="s">
        <v>561</v>
      </c>
      <c r="C7893" s="2">
        <v>662.30160000000001</v>
      </c>
      <c r="D7893" s="2">
        <f>HYPERLINK("http://mcb-m6.bioreg.kyushu-u.ac.jp/M3/20110404/F50779/1345/1", 96.46)</f>
        <v>96.46</v>
      </c>
      <c r="E7893" s="2">
        <v>75.31</v>
      </c>
      <c r="F7893" s="2">
        <v>2</v>
      </c>
      <c r="G7893" s="2" t="s">
        <v>9</v>
      </c>
      <c r="H7893" s="2" t="s">
        <v>4919</v>
      </c>
    </row>
    <row r="7894" spans="1:9" x14ac:dyDescent="0.2">
      <c r="A7894" s="2" t="s">
        <v>3250</v>
      </c>
      <c r="B7894" s="2" t="s">
        <v>1065</v>
      </c>
      <c r="C7894" s="2">
        <v>716.74720000000002</v>
      </c>
      <c r="D7894" s="2">
        <f>HYPERLINK("http://mcb-m6.bioreg.kyushu-u.ac.jp/M3/20110404/F50754/2026/1", 96.7)</f>
        <v>96.7</v>
      </c>
      <c r="E7894" s="2">
        <v>84.16</v>
      </c>
      <c r="F7894" s="2">
        <v>2</v>
      </c>
      <c r="G7894" s="2" t="s">
        <v>9</v>
      </c>
      <c r="I7894" s="2" t="s">
        <v>4892</v>
      </c>
    </row>
    <row r="7895" spans="1:9" x14ac:dyDescent="0.2">
      <c r="A7895" s="2" t="s">
        <v>3250</v>
      </c>
      <c r="B7895" s="2" t="s">
        <v>503</v>
      </c>
      <c r="C7895" s="2">
        <v>808.52170000000001</v>
      </c>
      <c r="D7895" s="2">
        <f>HYPERLINK("http://mcb-m6.bioreg.kyushu-u.ac.jp/M3/20110404/F50779/2068/1", 96.91)</f>
        <v>96.91</v>
      </c>
      <c r="E7895" s="2">
        <v>84.91</v>
      </c>
      <c r="F7895" s="2">
        <v>2</v>
      </c>
      <c r="G7895" s="2" t="s">
        <v>9</v>
      </c>
    </row>
    <row r="7896" spans="1:9" x14ac:dyDescent="0.2">
      <c r="A7896" s="2" t="s">
        <v>3250</v>
      </c>
      <c r="B7896" s="2" t="s">
        <v>90</v>
      </c>
      <c r="C7896" s="2">
        <v>716.75959999999998</v>
      </c>
      <c r="D7896" s="2">
        <f>HYPERLINK("http://mcb-m6.bioreg.kyushu-u.ac.jp/M3/20110404/F50767/1594/1", 97.74)</f>
        <v>97.74</v>
      </c>
      <c r="E7896" s="2">
        <v>74.819999999999993</v>
      </c>
      <c r="F7896" s="2">
        <v>2</v>
      </c>
      <c r="G7896" s="2" t="s">
        <v>9</v>
      </c>
    </row>
    <row r="7897" spans="1:9" x14ac:dyDescent="0.2">
      <c r="A7897" s="2" t="s">
        <v>3250</v>
      </c>
      <c r="B7897" s="2" t="s">
        <v>1665</v>
      </c>
      <c r="C7897" s="2">
        <v>1147.6179999999999</v>
      </c>
      <c r="D7897" s="2">
        <f>HYPERLINK("http://mcb-m6.bioreg.kyushu-u.ac.jp/M3/20110404/F50778/3394/1", 98.04)</f>
        <v>98.04</v>
      </c>
      <c r="E7897" s="2">
        <v>91.74</v>
      </c>
      <c r="F7897" s="2">
        <v>2</v>
      </c>
      <c r="G7897" s="2" t="s">
        <v>9</v>
      </c>
    </row>
    <row r="7898" spans="1:9" x14ac:dyDescent="0.2">
      <c r="A7898" s="2" t="s">
        <v>3250</v>
      </c>
      <c r="B7898" s="2" t="s">
        <v>1665</v>
      </c>
      <c r="C7898" s="2">
        <v>1147.6310000000001</v>
      </c>
      <c r="D7898" s="2">
        <f>HYPERLINK("http://mcb-m6.bioreg.kyushu-u.ac.jp/M3/20110404/F50778/3395/1", 98.4)</f>
        <v>98.4</v>
      </c>
      <c r="E7898" s="2">
        <v>86.28</v>
      </c>
      <c r="F7898" s="2">
        <v>2</v>
      </c>
      <c r="G7898" s="2" t="s">
        <v>9</v>
      </c>
    </row>
    <row r="7899" spans="1:9" x14ac:dyDescent="0.2">
      <c r="A7899" s="2" t="s">
        <v>3250</v>
      </c>
      <c r="B7899" s="2" t="s">
        <v>467</v>
      </c>
      <c r="C7899" s="2">
        <v>692.0702</v>
      </c>
      <c r="D7899" s="2">
        <f>HYPERLINK("http://mcb-m6.bioreg.kyushu-u.ac.jp/M3/20110404/F50777/1684/1", 98.49)</f>
        <v>98.49</v>
      </c>
      <c r="E7899" s="2">
        <v>68.489999999999995</v>
      </c>
      <c r="F7899" s="2">
        <v>2</v>
      </c>
      <c r="G7899" s="2" t="s">
        <v>9</v>
      </c>
    </row>
    <row r="7900" spans="1:9" x14ac:dyDescent="0.2">
      <c r="A7900" s="2" t="s">
        <v>3250</v>
      </c>
      <c r="B7900" s="2" t="s">
        <v>467</v>
      </c>
      <c r="C7900" s="2">
        <v>692.1191</v>
      </c>
      <c r="D7900" s="2">
        <f>HYPERLINK("http://mcb-m6.bioreg.kyushu-u.ac.jp/M3/20110404/F50762/1620/1", 98.59)</f>
        <v>98.59</v>
      </c>
      <c r="E7900" s="2">
        <v>67.680000000000007</v>
      </c>
      <c r="F7900" s="2">
        <v>2</v>
      </c>
      <c r="G7900" s="2" t="s">
        <v>9</v>
      </c>
    </row>
    <row r="7901" spans="1:9" x14ac:dyDescent="0.2">
      <c r="A7901" s="2" t="s">
        <v>3250</v>
      </c>
      <c r="B7901" s="2" t="s">
        <v>467</v>
      </c>
      <c r="C7901" s="2">
        <v>692.24570000000006</v>
      </c>
      <c r="D7901" s="2">
        <f>HYPERLINK("http://mcb-m6.bioreg.kyushu-u.ac.jp/M3/20110404/F50779/1480/1", 98.6)</f>
        <v>98.6</v>
      </c>
      <c r="E7901" s="2">
        <v>69.94</v>
      </c>
      <c r="F7901" s="2">
        <v>2</v>
      </c>
      <c r="G7901" s="2" t="s">
        <v>9</v>
      </c>
    </row>
    <row r="7902" spans="1:9" x14ac:dyDescent="0.2">
      <c r="A7902" s="2" t="s">
        <v>3250</v>
      </c>
      <c r="B7902" s="2" t="s">
        <v>467</v>
      </c>
      <c r="C7902" s="2">
        <v>691.72609999999997</v>
      </c>
      <c r="D7902" s="2">
        <f>HYPERLINK("http://mcb-m6.bioreg.kyushu-u.ac.jp/M3/20110404/F50764/1643/1", 98.7)</f>
        <v>98.7</v>
      </c>
      <c r="E7902" s="2">
        <v>67.38</v>
      </c>
      <c r="F7902" s="2">
        <v>2</v>
      </c>
      <c r="G7902" s="2" t="s">
        <v>9</v>
      </c>
    </row>
    <row r="7903" spans="1:9" x14ac:dyDescent="0.2">
      <c r="A7903" s="2" t="s">
        <v>3250</v>
      </c>
      <c r="B7903" s="2" t="s">
        <v>467</v>
      </c>
      <c r="C7903" s="2">
        <v>692.22119999999995</v>
      </c>
      <c r="D7903" s="2">
        <f>HYPERLINK("http://mcb-m6.bioreg.kyushu-u.ac.jp/M3/20110404/F50752/1959/1", 98.76)</f>
        <v>98.76</v>
      </c>
      <c r="E7903" s="2">
        <v>64.94</v>
      </c>
      <c r="F7903" s="2">
        <v>2</v>
      </c>
      <c r="G7903" s="2" t="s">
        <v>9</v>
      </c>
    </row>
    <row r="7904" spans="1:9" x14ac:dyDescent="0.2">
      <c r="A7904" s="2" t="s">
        <v>3250</v>
      </c>
      <c r="B7904" s="2" t="s">
        <v>90</v>
      </c>
      <c r="C7904" s="2">
        <v>716.58619999999996</v>
      </c>
      <c r="D7904" s="2">
        <f>HYPERLINK("http://mcb-m6.bioreg.kyushu-u.ac.jp/M3/20110404/F50766/1399/1", 99.28)</f>
        <v>99.28</v>
      </c>
      <c r="E7904" s="2">
        <v>63.5</v>
      </c>
      <c r="F7904" s="2">
        <v>2</v>
      </c>
      <c r="G7904" s="2" t="s">
        <v>9</v>
      </c>
    </row>
    <row r="7905" spans="1:9" x14ac:dyDescent="0.2">
      <c r="A7905" s="2" t="s">
        <v>3250</v>
      </c>
      <c r="B7905" s="2" t="s">
        <v>356</v>
      </c>
      <c r="C7905" s="2">
        <v>544.67250000000001</v>
      </c>
      <c r="D7905" s="2">
        <f>HYPERLINK("http://mcb-m6.bioreg.kyushu-u.ac.jp/M3/20110404/F50779/2119/1", 100.02)</f>
        <v>100.02</v>
      </c>
      <c r="E7905" s="2">
        <v>86.48</v>
      </c>
      <c r="F7905" s="2">
        <v>3</v>
      </c>
      <c r="G7905" s="2" t="s">
        <v>9</v>
      </c>
    </row>
    <row r="7906" spans="1:9" x14ac:dyDescent="0.2">
      <c r="A7906" s="2" t="s">
        <v>3250</v>
      </c>
      <c r="B7906" s="2" t="s">
        <v>561</v>
      </c>
      <c r="C7906" s="2">
        <v>654.58069999999998</v>
      </c>
      <c r="D7906" s="2">
        <f>HYPERLINK("http://mcb-m6.bioreg.kyushu-u.ac.jp/M3/20110404/F50753/1678/1", 100.4)</f>
        <v>100.4</v>
      </c>
      <c r="E7906" s="2">
        <v>82.12</v>
      </c>
      <c r="F7906" s="2">
        <v>2</v>
      </c>
      <c r="G7906" s="2" t="s">
        <v>9</v>
      </c>
    </row>
    <row r="7907" spans="1:9" x14ac:dyDescent="0.2">
      <c r="A7907" s="2" t="s">
        <v>3250</v>
      </c>
      <c r="B7907" s="2" t="s">
        <v>90</v>
      </c>
      <c r="C7907" s="2">
        <v>717.30269999999996</v>
      </c>
      <c r="D7907" s="2">
        <f>HYPERLINK("http://mcb-m6.bioreg.kyushu-u.ac.jp/M3/20110404/F50764/1783/1", 100.42)</f>
        <v>100.42</v>
      </c>
      <c r="E7907" s="2">
        <v>77.62</v>
      </c>
      <c r="F7907" s="2">
        <v>2</v>
      </c>
      <c r="G7907" s="2" t="s">
        <v>9</v>
      </c>
    </row>
    <row r="7908" spans="1:9" x14ac:dyDescent="0.2">
      <c r="A7908" s="2" t="s">
        <v>3250</v>
      </c>
      <c r="B7908" s="2" t="s">
        <v>356</v>
      </c>
      <c r="C7908" s="2">
        <v>816.20169999999996</v>
      </c>
      <c r="D7908" s="2">
        <f>HYPERLINK("http://mcb-m6.bioreg.kyushu-u.ac.jp/M3/20110404/F50766/2008/1", 100.44)</f>
        <v>100.44</v>
      </c>
      <c r="E7908" s="2">
        <v>71.790000000000006</v>
      </c>
      <c r="F7908" s="2">
        <v>2</v>
      </c>
      <c r="G7908" s="2" t="s">
        <v>9</v>
      </c>
    </row>
    <row r="7909" spans="1:9" x14ac:dyDescent="0.2">
      <c r="A7909" s="2" t="s">
        <v>3250</v>
      </c>
      <c r="B7909" s="2" t="s">
        <v>467</v>
      </c>
      <c r="C7909" s="2">
        <v>692.21510000000001</v>
      </c>
      <c r="D7909" s="2">
        <f>HYPERLINK("http://mcb-m6.bioreg.kyushu-u.ac.jp/M3/20110404/F50754/1935/1", 100.66)</f>
        <v>100.66</v>
      </c>
      <c r="E7909" s="2">
        <v>70.25</v>
      </c>
      <c r="F7909" s="2">
        <v>2</v>
      </c>
      <c r="G7909" s="2" t="s">
        <v>9</v>
      </c>
    </row>
    <row r="7910" spans="1:9" x14ac:dyDescent="0.2">
      <c r="A7910" s="2" t="s">
        <v>3250</v>
      </c>
      <c r="B7910" s="2" t="s">
        <v>6017</v>
      </c>
      <c r="C7910" s="2">
        <v>1196.635</v>
      </c>
      <c r="D7910" s="2">
        <f>HYPERLINK("http://mcb-m6.bioreg.kyushu-u.ac.jp/M3/20110404/F50779/3414/1", 100.76)</f>
        <v>100.76</v>
      </c>
      <c r="E7910" s="2">
        <v>83.23</v>
      </c>
      <c r="F7910" s="2">
        <v>2</v>
      </c>
      <c r="G7910" s="2" t="s">
        <v>9</v>
      </c>
      <c r="I7910" s="2" t="s">
        <v>4895</v>
      </c>
    </row>
    <row r="7911" spans="1:9" x14ac:dyDescent="0.2">
      <c r="A7911" s="2" t="s">
        <v>3250</v>
      </c>
      <c r="B7911" s="2" t="s">
        <v>90</v>
      </c>
      <c r="C7911" s="2">
        <v>1432.702</v>
      </c>
      <c r="D7911" s="2">
        <f>HYPERLINK("http://mcb-m6.bioreg.kyushu-u.ac.jp/M3/20110404/F50776/1704/1", 100.88)</f>
        <v>100.88</v>
      </c>
      <c r="E7911" s="2">
        <v>83.91</v>
      </c>
      <c r="F7911" s="2">
        <v>1</v>
      </c>
      <c r="G7911" s="2" t="s">
        <v>9</v>
      </c>
    </row>
    <row r="7912" spans="1:9" x14ac:dyDescent="0.2">
      <c r="A7912" s="2" t="s">
        <v>3250</v>
      </c>
      <c r="B7912" s="2" t="s">
        <v>503</v>
      </c>
      <c r="C7912" s="2">
        <v>808.12519999999995</v>
      </c>
      <c r="D7912" s="2">
        <f>HYPERLINK("http://mcb-m6.bioreg.kyushu-u.ac.jp/M3/20110404/F50778/2166/1", 101.18)</f>
        <v>101.18</v>
      </c>
      <c r="E7912" s="2">
        <v>86.35</v>
      </c>
      <c r="F7912" s="2">
        <v>2</v>
      </c>
      <c r="G7912" s="2" t="s">
        <v>9</v>
      </c>
    </row>
    <row r="7913" spans="1:9" x14ac:dyDescent="0.2">
      <c r="A7913" s="2" t="s">
        <v>3250</v>
      </c>
      <c r="B7913" s="2" t="s">
        <v>561</v>
      </c>
      <c r="C7913" s="2">
        <v>654.35310000000004</v>
      </c>
      <c r="D7913" s="2">
        <f>HYPERLINK("http://mcb-m6.bioreg.kyushu-u.ac.jp/M3/20110404/F50764/1490/1", 101.56)</f>
        <v>101.56</v>
      </c>
      <c r="E7913" s="2">
        <v>77.14</v>
      </c>
      <c r="F7913" s="2">
        <v>2</v>
      </c>
      <c r="G7913" s="2" t="s">
        <v>9</v>
      </c>
    </row>
    <row r="7914" spans="1:9" x14ac:dyDescent="0.2">
      <c r="A7914" s="2" t="s">
        <v>3250</v>
      </c>
      <c r="B7914" s="2" t="s">
        <v>356</v>
      </c>
      <c r="C7914" s="2">
        <v>816.3682</v>
      </c>
      <c r="D7914" s="2">
        <f>HYPERLINK("http://mcb-m6.bioreg.kyushu-u.ac.jp/M3/20110404/F50778/2209/1", 101.64)</f>
        <v>101.64</v>
      </c>
      <c r="E7914" s="2">
        <v>80.959999999999994</v>
      </c>
      <c r="F7914" s="2">
        <v>2</v>
      </c>
      <c r="G7914" s="2" t="s">
        <v>9</v>
      </c>
    </row>
    <row r="7915" spans="1:9" x14ac:dyDescent="0.2">
      <c r="A7915" s="2" t="s">
        <v>3250</v>
      </c>
      <c r="B7915" s="2" t="s">
        <v>888</v>
      </c>
      <c r="C7915" s="2">
        <v>1216.491</v>
      </c>
      <c r="D7915" s="2">
        <f>HYPERLINK("http://mcb-m6.bioreg.kyushu-u.ac.jp/M3/20110404/F50776/2986/1", 101.87)</f>
        <v>101.87</v>
      </c>
      <c r="E7915" s="2">
        <v>92.1</v>
      </c>
      <c r="F7915" s="2">
        <v>2</v>
      </c>
      <c r="G7915" s="2" t="s">
        <v>9</v>
      </c>
      <c r="I7915" s="2" t="s">
        <v>4895</v>
      </c>
    </row>
    <row r="7916" spans="1:9" x14ac:dyDescent="0.2">
      <c r="A7916" s="2" t="s">
        <v>3250</v>
      </c>
      <c r="B7916" s="2" t="s">
        <v>467</v>
      </c>
      <c r="C7916" s="2">
        <v>691.8777</v>
      </c>
      <c r="D7916" s="2">
        <f>HYPERLINK("http://mcb-m6.bioreg.kyushu-u.ac.jp/M3/20110404/F50751/1947/1", 101.9)</f>
        <v>101.9</v>
      </c>
      <c r="E7916" s="2">
        <v>67.510000000000005</v>
      </c>
      <c r="F7916" s="2">
        <v>2</v>
      </c>
      <c r="G7916" s="2" t="s">
        <v>9</v>
      </c>
    </row>
    <row r="7917" spans="1:9" x14ac:dyDescent="0.2">
      <c r="A7917" s="2" t="s">
        <v>3250</v>
      </c>
      <c r="B7917" s="2" t="s">
        <v>467</v>
      </c>
      <c r="C7917" s="2">
        <v>691.72270000000003</v>
      </c>
      <c r="D7917" s="2">
        <f>HYPERLINK("http://mcb-m6.bioreg.kyushu-u.ac.jp/M3/20110404/F50779/1471/1", 103.78)</f>
        <v>103.78</v>
      </c>
      <c r="E7917" s="2">
        <v>70.84</v>
      </c>
      <c r="F7917" s="2">
        <v>2</v>
      </c>
      <c r="G7917" s="2" t="s">
        <v>9</v>
      </c>
    </row>
    <row r="7918" spans="1:9" x14ac:dyDescent="0.2">
      <c r="A7918" s="2" t="s">
        <v>3250</v>
      </c>
      <c r="B7918" s="2" t="s">
        <v>481</v>
      </c>
      <c r="C7918" s="2">
        <v>709.32209999999998</v>
      </c>
      <c r="D7918" s="2">
        <f>HYPERLINK("http://mcb-m6.bioreg.kyushu-u.ac.jp/M3/20110404/F50779/1561/1", 103.94)</f>
        <v>103.94</v>
      </c>
      <c r="E7918" s="2">
        <v>82.31</v>
      </c>
      <c r="F7918" s="2">
        <v>2</v>
      </c>
      <c r="G7918" s="2" t="s">
        <v>9</v>
      </c>
      <c r="I7918" s="2" t="s">
        <v>4898</v>
      </c>
    </row>
    <row r="7919" spans="1:9" x14ac:dyDescent="0.2">
      <c r="A7919" s="2" t="s">
        <v>3250</v>
      </c>
      <c r="B7919" s="2" t="s">
        <v>503</v>
      </c>
      <c r="C7919" s="2">
        <v>808.19870000000003</v>
      </c>
      <c r="D7919" s="2">
        <f>HYPERLINK("http://mcb-m6.bioreg.kyushu-u.ac.jp/M3/20110404/F50777/2211/1", 104.88)</f>
        <v>104.88</v>
      </c>
      <c r="E7919" s="2">
        <v>89.96</v>
      </c>
      <c r="F7919" s="2">
        <v>2</v>
      </c>
      <c r="G7919" s="2" t="s">
        <v>9</v>
      </c>
    </row>
    <row r="7920" spans="1:9" x14ac:dyDescent="0.2">
      <c r="A7920" s="2" t="s">
        <v>3250</v>
      </c>
      <c r="B7920" s="2" t="s">
        <v>1665</v>
      </c>
      <c r="C7920" s="2">
        <v>1147.683</v>
      </c>
      <c r="D7920" s="2">
        <f>HYPERLINK("http://mcb-m6.bioreg.kyushu-u.ac.jp/M3/20110404/F50779/3279/1", 105.43)</f>
        <v>105.43</v>
      </c>
      <c r="E7920" s="2">
        <v>93.62</v>
      </c>
      <c r="F7920" s="2">
        <v>2</v>
      </c>
      <c r="G7920" s="2" t="s">
        <v>9</v>
      </c>
    </row>
    <row r="7921" spans="1:9" x14ac:dyDescent="0.2">
      <c r="A7921" s="2" t="s">
        <v>3250</v>
      </c>
      <c r="B7921" s="2" t="s">
        <v>888</v>
      </c>
      <c r="C7921" s="2">
        <v>1216.4449999999999</v>
      </c>
      <c r="D7921" s="2">
        <f>HYPERLINK("http://mcb-m6.bioreg.kyushu-u.ac.jp/M3/20110404/F50767/3539/1", 106.35)</f>
        <v>106.35</v>
      </c>
      <c r="E7921" s="2">
        <v>96.37</v>
      </c>
      <c r="F7921" s="2">
        <v>2</v>
      </c>
      <c r="G7921" s="2" t="s">
        <v>9</v>
      </c>
      <c r="I7921" s="2" t="s">
        <v>4895</v>
      </c>
    </row>
    <row r="7922" spans="1:9" x14ac:dyDescent="0.2">
      <c r="A7922" s="2" t="s">
        <v>3250</v>
      </c>
      <c r="B7922" s="2" t="s">
        <v>503</v>
      </c>
      <c r="C7922" s="2">
        <v>808.3202</v>
      </c>
      <c r="D7922" s="2">
        <f>HYPERLINK("http://mcb-m6.bioreg.kyushu-u.ac.jp/M3/20110404/F50754/2333/1", 106.76)</f>
        <v>106.76</v>
      </c>
      <c r="E7922" s="2">
        <v>93.52</v>
      </c>
      <c r="F7922" s="2">
        <v>2</v>
      </c>
      <c r="G7922" s="2" t="s">
        <v>9</v>
      </c>
    </row>
    <row r="7923" spans="1:9" x14ac:dyDescent="0.2">
      <c r="A7923" s="2" t="s">
        <v>3250</v>
      </c>
      <c r="B7923" s="2" t="s">
        <v>467</v>
      </c>
      <c r="C7923" s="2">
        <v>691.65620000000001</v>
      </c>
      <c r="D7923" s="2">
        <f>HYPERLINK("http://mcb-m6.bioreg.kyushu-u.ac.jp/M3/20110404/F50754/1931/1", 106.77)</f>
        <v>106.77</v>
      </c>
      <c r="E7923" s="2">
        <v>73.59</v>
      </c>
      <c r="F7923" s="2">
        <v>2</v>
      </c>
      <c r="G7923" s="2" t="s">
        <v>9</v>
      </c>
    </row>
    <row r="7924" spans="1:9" x14ac:dyDescent="0.2">
      <c r="A7924" s="2" t="s">
        <v>3250</v>
      </c>
      <c r="B7924" s="2" t="s">
        <v>1581</v>
      </c>
      <c r="C7924" s="2">
        <v>1147.4100000000001</v>
      </c>
      <c r="D7924" s="2">
        <f>HYPERLINK("http://mcb-m6.bioreg.kyushu-u.ac.jp/M3/20110404/F50756/3509/1", 106.81)</f>
        <v>106.81</v>
      </c>
      <c r="E7924" s="2">
        <v>98.45</v>
      </c>
      <c r="F7924" s="2">
        <v>2</v>
      </c>
      <c r="G7924" s="2" t="s">
        <v>9</v>
      </c>
      <c r="I7924" s="2" t="s">
        <v>4895</v>
      </c>
    </row>
    <row r="7925" spans="1:9" x14ac:dyDescent="0.2">
      <c r="A7925" s="2" t="s">
        <v>3250</v>
      </c>
      <c r="B7925" s="2" t="s">
        <v>888</v>
      </c>
      <c r="C7925" s="2">
        <v>1216.027</v>
      </c>
      <c r="D7925" s="2">
        <f>HYPERLINK("http://mcb-m6.bioreg.kyushu-u.ac.jp/M3/20110404/F50779/3451/1", 107.11)</f>
        <v>107.11</v>
      </c>
      <c r="E7925" s="2">
        <v>99.98</v>
      </c>
      <c r="F7925" s="2">
        <v>2</v>
      </c>
      <c r="G7925" s="2" t="s">
        <v>9</v>
      </c>
      <c r="I7925" s="2" t="s">
        <v>4895</v>
      </c>
    </row>
    <row r="7926" spans="1:9" x14ac:dyDescent="0.2">
      <c r="A7926" s="2" t="s">
        <v>3250</v>
      </c>
      <c r="B7926" s="2" t="s">
        <v>356</v>
      </c>
      <c r="C7926" s="2">
        <v>815.78560000000004</v>
      </c>
      <c r="D7926" s="2">
        <f>HYPERLINK("http://mcb-m6.bioreg.kyushu-u.ac.jp/M3/20110404/F50756/2316/1", 108.76)</f>
        <v>108.76</v>
      </c>
      <c r="E7926" s="2">
        <v>91.04</v>
      </c>
      <c r="F7926" s="2">
        <v>2</v>
      </c>
      <c r="G7926" s="2" t="s">
        <v>9</v>
      </c>
    </row>
    <row r="7927" spans="1:9" x14ac:dyDescent="0.2">
      <c r="A7927" s="2" t="s">
        <v>3250</v>
      </c>
      <c r="B7927" s="2" t="s">
        <v>503</v>
      </c>
      <c r="C7927" s="2">
        <v>808.39009999999996</v>
      </c>
      <c r="D7927" s="2">
        <f>HYPERLINK("http://mcb-m6.bioreg.kyushu-u.ac.jp/M3/20110404/F50776/1981/1", 109.44)</f>
        <v>109.44</v>
      </c>
      <c r="E7927" s="2">
        <v>95.48</v>
      </c>
      <c r="F7927" s="2">
        <v>2</v>
      </c>
      <c r="G7927" s="2" t="s">
        <v>9</v>
      </c>
    </row>
    <row r="7928" spans="1:9" x14ac:dyDescent="0.2">
      <c r="A7928" s="2" t="s">
        <v>3250</v>
      </c>
      <c r="B7928" s="2" t="s">
        <v>1581</v>
      </c>
      <c r="C7928" s="2">
        <v>1147.807</v>
      </c>
      <c r="D7928" s="2">
        <f>HYPERLINK("http://mcb-m6.bioreg.kyushu-u.ac.jp/M3/20110404/F50778/3398/1", 110.02)</f>
        <v>110.02</v>
      </c>
      <c r="E7928" s="2">
        <v>102.4</v>
      </c>
      <c r="F7928" s="2">
        <v>2</v>
      </c>
      <c r="G7928" s="2" t="s">
        <v>9</v>
      </c>
      <c r="I7928" s="2" t="s">
        <v>4895</v>
      </c>
    </row>
    <row r="7929" spans="1:9" x14ac:dyDescent="0.2">
      <c r="A7929" s="2" t="s">
        <v>3250</v>
      </c>
      <c r="B7929" s="2" t="s">
        <v>356</v>
      </c>
      <c r="C7929" s="2">
        <v>815.87919999999997</v>
      </c>
      <c r="D7929" s="2">
        <f>HYPERLINK("http://mcb-m6.bioreg.kyushu-u.ac.jp/M3/20110404/F50778/2204/1", 110.59)</f>
        <v>110.59</v>
      </c>
      <c r="E7929" s="2">
        <v>93.48</v>
      </c>
      <c r="F7929" s="2">
        <v>2</v>
      </c>
      <c r="G7929" s="2" t="s">
        <v>9</v>
      </c>
    </row>
    <row r="7930" spans="1:9" x14ac:dyDescent="0.2">
      <c r="A7930" s="2" t="s">
        <v>3250</v>
      </c>
      <c r="B7930" s="2" t="s">
        <v>90</v>
      </c>
      <c r="C7930" s="2">
        <v>716.86469999999997</v>
      </c>
      <c r="D7930" s="2">
        <f>HYPERLINK("http://mcb-m6.bioreg.kyushu-u.ac.jp/M3/20110404/F50754/2030/1", 111.58)</f>
        <v>111.58</v>
      </c>
      <c r="E7930" s="2">
        <v>89.14</v>
      </c>
      <c r="F7930" s="2">
        <v>2</v>
      </c>
      <c r="G7930" s="2" t="s">
        <v>9</v>
      </c>
    </row>
    <row r="7931" spans="1:9" x14ac:dyDescent="0.2">
      <c r="A7931" s="2" t="s">
        <v>3250</v>
      </c>
      <c r="B7931" s="2" t="s">
        <v>90</v>
      </c>
      <c r="C7931" s="2">
        <v>716.71469999999999</v>
      </c>
      <c r="D7931" s="2">
        <f>HYPERLINK("http://mcb-m6.bioreg.kyushu-u.ac.jp/M3/20110404/F50776/1703/1", 113.94)</f>
        <v>113.94</v>
      </c>
      <c r="E7931" s="2">
        <v>89.49</v>
      </c>
      <c r="F7931" s="2">
        <v>2</v>
      </c>
      <c r="G7931" s="2" t="s">
        <v>9</v>
      </c>
    </row>
    <row r="7932" spans="1:9" x14ac:dyDescent="0.2">
      <c r="A7932" s="2" t="s">
        <v>3250</v>
      </c>
      <c r="B7932" s="2" t="s">
        <v>1665</v>
      </c>
      <c r="C7932" s="2">
        <v>1147.5889999999999</v>
      </c>
      <c r="D7932" s="2">
        <f>HYPERLINK("http://mcb-m6.bioreg.kyushu-u.ac.jp/M3/20110404/F50779/3277/1", 116.89)</f>
        <v>116.89</v>
      </c>
      <c r="E7932" s="2">
        <v>105.29</v>
      </c>
      <c r="F7932" s="2">
        <v>2</v>
      </c>
      <c r="G7932" s="2" t="s">
        <v>9</v>
      </c>
    </row>
    <row r="7933" spans="1:9" x14ac:dyDescent="0.2">
      <c r="A7933" s="2" t="s">
        <v>3250</v>
      </c>
      <c r="B7933" s="2" t="s">
        <v>1665</v>
      </c>
      <c r="C7933" s="2">
        <v>1147.5809999999999</v>
      </c>
      <c r="D7933" s="2">
        <f>HYPERLINK("http://mcb-m6.bioreg.kyushu-u.ac.jp/M3/20110404/F50779/3276/1", 116.94)</f>
        <v>116.94</v>
      </c>
      <c r="E7933" s="2">
        <v>105.57</v>
      </c>
      <c r="F7933" s="2">
        <v>2</v>
      </c>
      <c r="G7933" s="2" t="s">
        <v>9</v>
      </c>
    </row>
    <row r="7934" spans="1:9" x14ac:dyDescent="0.2">
      <c r="A7934" s="2" t="s">
        <v>3250</v>
      </c>
      <c r="B7934" s="2" t="s">
        <v>356</v>
      </c>
      <c r="C7934" s="2">
        <v>816.18769999999995</v>
      </c>
      <c r="D7934" s="2">
        <f>HYPERLINK("http://mcb-m6.bioreg.kyushu-u.ac.jp/M3/20110404/F50779/2111/1", 117.19)</f>
        <v>117.19</v>
      </c>
      <c r="E7934" s="2">
        <v>98.97</v>
      </c>
      <c r="F7934" s="2">
        <v>2</v>
      </c>
      <c r="G7934" s="2" t="s">
        <v>9</v>
      </c>
    </row>
    <row r="7935" spans="1:9" x14ac:dyDescent="0.2">
      <c r="A7935" s="2" t="s">
        <v>3250</v>
      </c>
      <c r="B7935" s="2" t="s">
        <v>356</v>
      </c>
      <c r="C7935" s="2">
        <v>815.69820000000004</v>
      </c>
      <c r="D7935" s="2">
        <f>HYPERLINK("http://mcb-m6.bioreg.kyushu-u.ac.jp/M3/20110404/F50754/2356/1", 117.72)</f>
        <v>117.72</v>
      </c>
      <c r="E7935" s="2">
        <v>98.48</v>
      </c>
      <c r="F7935" s="2">
        <v>2</v>
      </c>
      <c r="G7935" s="2" t="s">
        <v>9</v>
      </c>
    </row>
    <row r="7936" spans="1:9" x14ac:dyDescent="0.2">
      <c r="A7936" s="2" t="s">
        <v>3250</v>
      </c>
      <c r="B7936" s="2" t="s">
        <v>90</v>
      </c>
      <c r="C7936" s="2">
        <v>717.22469999999998</v>
      </c>
      <c r="D7936" s="2">
        <f>HYPERLINK("http://mcb-m6.bioreg.kyushu-u.ac.jp/M3/20110404/F50776/1706/1", 122.08)</f>
        <v>122.08</v>
      </c>
      <c r="E7936" s="2">
        <v>97.15</v>
      </c>
      <c r="F7936" s="2">
        <v>2</v>
      </c>
      <c r="G7936" s="2" t="s">
        <v>9</v>
      </c>
    </row>
    <row r="7937" spans="1:9" x14ac:dyDescent="0.2">
      <c r="A7937" s="2" t="s">
        <v>3250</v>
      </c>
      <c r="B7937" s="2" t="s">
        <v>356</v>
      </c>
      <c r="C7937" s="2">
        <v>816.28610000000003</v>
      </c>
      <c r="D7937" s="2">
        <f>HYPERLINK("http://mcb-m6.bioreg.kyushu-u.ac.jp/M3/20110404/F50764/2153/1", 122.83)</f>
        <v>122.83</v>
      </c>
      <c r="E7937" s="2">
        <v>99.2</v>
      </c>
      <c r="F7937" s="2">
        <v>2</v>
      </c>
      <c r="G7937" s="2" t="s">
        <v>9</v>
      </c>
    </row>
    <row r="7938" spans="1:9" x14ac:dyDescent="0.2">
      <c r="A7938" s="2" t="s">
        <v>3250</v>
      </c>
      <c r="B7938" s="2" t="s">
        <v>356</v>
      </c>
      <c r="C7938" s="2">
        <v>815.8827</v>
      </c>
      <c r="D7938" s="2">
        <f>HYPERLINK("http://mcb-m6.bioreg.kyushu-u.ac.jp/M3/20110404/F50767/2092/1", 125.75)</f>
        <v>125.75</v>
      </c>
      <c r="E7938" s="2">
        <v>106.37</v>
      </c>
      <c r="F7938" s="2">
        <v>2</v>
      </c>
      <c r="G7938" s="2" t="s">
        <v>9</v>
      </c>
    </row>
    <row r="7939" spans="1:9" x14ac:dyDescent="0.2">
      <c r="A7939" s="2" t="s">
        <v>3250</v>
      </c>
      <c r="B7939" s="2" t="s">
        <v>356</v>
      </c>
      <c r="C7939" s="2">
        <v>816.28420000000006</v>
      </c>
      <c r="D7939" s="2">
        <f>HYPERLINK("http://mcb-m6.bioreg.kyushu-u.ac.jp/M3/20110404/F50752/2342/1", 126.95)</f>
        <v>126.95</v>
      </c>
      <c r="E7939" s="2">
        <v>106.94</v>
      </c>
      <c r="F7939" s="2">
        <v>2</v>
      </c>
      <c r="G7939" s="2" t="s">
        <v>9</v>
      </c>
    </row>
    <row r="7940" spans="1:9" x14ac:dyDescent="0.2">
      <c r="A7940" s="2" t="s">
        <v>3250</v>
      </c>
      <c r="B7940" s="2" t="s">
        <v>1665</v>
      </c>
      <c r="C7940" s="2">
        <v>1146.992</v>
      </c>
      <c r="D7940" s="2">
        <f>HYPERLINK("http://mcb-m6.bioreg.kyushu-u.ac.jp/M3/20110404/F50753/3273/1", 127.67)</f>
        <v>127.67</v>
      </c>
      <c r="E7940" s="2">
        <v>112.66</v>
      </c>
      <c r="F7940" s="2">
        <v>2</v>
      </c>
      <c r="G7940" s="2" t="s">
        <v>9</v>
      </c>
    </row>
    <row r="7941" spans="1:9" x14ac:dyDescent="0.2">
      <c r="A7941" s="2" t="s">
        <v>3250</v>
      </c>
      <c r="B7941" s="2" t="s">
        <v>1665</v>
      </c>
      <c r="C7941" s="2">
        <v>1147.6220000000001</v>
      </c>
      <c r="D7941" s="2">
        <f>HYPERLINK("http://mcb-m6.bioreg.kyushu-u.ac.jp/M3/20110404/F50779/3278/1", 137.61)</f>
        <v>137.61000000000001</v>
      </c>
      <c r="E7941" s="2">
        <v>124.26</v>
      </c>
      <c r="F7941" s="2">
        <v>2</v>
      </c>
      <c r="G7941" s="2" t="s">
        <v>9</v>
      </c>
    </row>
    <row r="7942" spans="1:9" x14ac:dyDescent="0.2">
      <c r="A7942" s="2" t="s">
        <v>3250</v>
      </c>
      <c r="B7942" s="2" t="s">
        <v>1665</v>
      </c>
      <c r="C7942" s="2">
        <v>1147.001</v>
      </c>
      <c r="D7942" s="2">
        <f>HYPERLINK("http://mcb-m6.bioreg.kyushu-u.ac.jp/M3/20110404/F50767/3359/1", 138.25)</f>
        <v>138.25</v>
      </c>
      <c r="E7942" s="2">
        <v>122.38</v>
      </c>
      <c r="F7942" s="2">
        <v>2</v>
      </c>
      <c r="G7942" s="2" t="s">
        <v>9</v>
      </c>
    </row>
    <row r="7943" spans="1:9" x14ac:dyDescent="0.2">
      <c r="A7943" s="2" t="s">
        <v>3250</v>
      </c>
      <c r="B7943" s="2" t="s">
        <v>1665</v>
      </c>
      <c r="C7943" s="2">
        <v>1147.085</v>
      </c>
      <c r="D7943" s="2">
        <f>HYPERLINK("http://mcb-m6.bioreg.kyushu-u.ac.jp/M3/20110404/F50779/3273/1", 152.42)</f>
        <v>152.41999999999999</v>
      </c>
      <c r="E7943" s="2">
        <v>136.01</v>
      </c>
      <c r="F7943" s="2">
        <v>2</v>
      </c>
      <c r="G7943" s="2" t="s">
        <v>9</v>
      </c>
    </row>
    <row r="7944" spans="1:9" x14ac:dyDescent="0.2">
      <c r="A7944" s="2" t="s">
        <v>3250</v>
      </c>
      <c r="B7944" s="2" t="s">
        <v>834</v>
      </c>
      <c r="C7944" s="2">
        <v>1243.7360000000001</v>
      </c>
      <c r="D7944" s="2">
        <f>HYPERLINK("http://mcb-m6.bioreg.kyushu-u.ac.jp/M3/20110404/F50772/1446/1", 35.32)</f>
        <v>35.32</v>
      </c>
      <c r="E7944" s="2">
        <v>18.73</v>
      </c>
      <c r="F7944" s="2">
        <v>1</v>
      </c>
      <c r="G7944" s="2" t="s">
        <v>10</v>
      </c>
    </row>
    <row r="7945" spans="1:9" x14ac:dyDescent="0.2">
      <c r="A7945" s="2" t="s">
        <v>3250</v>
      </c>
      <c r="B7945" s="2" t="s">
        <v>90</v>
      </c>
      <c r="C7945" s="2">
        <v>716.73170000000005</v>
      </c>
      <c r="D7945" s="2">
        <f>HYPERLINK("http://mcb-m6.bioreg.kyushu-u.ac.jp/M3/20110404/F50770/1844/1", 35.44)</f>
        <v>35.44</v>
      </c>
      <c r="E7945" s="2">
        <v>10.08</v>
      </c>
      <c r="F7945" s="2">
        <v>2</v>
      </c>
      <c r="G7945" s="2" t="s">
        <v>10</v>
      </c>
    </row>
    <row r="7946" spans="1:9" x14ac:dyDescent="0.2">
      <c r="A7946" s="2" t="s">
        <v>3250</v>
      </c>
      <c r="B7946" s="2" t="s">
        <v>6017</v>
      </c>
      <c r="C7946" s="2">
        <v>797.61379999999997</v>
      </c>
      <c r="D7946" s="2">
        <f>HYPERLINK("http://mcb-m6.bioreg.kyushu-u.ac.jp/M3/20110404/F50782/3553/1", 35.51)</f>
        <v>35.51</v>
      </c>
      <c r="E7946" s="2">
        <v>21.21</v>
      </c>
      <c r="F7946" s="2">
        <v>3</v>
      </c>
      <c r="G7946" s="2" t="s">
        <v>10</v>
      </c>
      <c r="I7946" s="2" t="s">
        <v>4895</v>
      </c>
    </row>
    <row r="7947" spans="1:9" x14ac:dyDescent="0.2">
      <c r="A7947" s="2" t="s">
        <v>3250</v>
      </c>
      <c r="B7947" s="2" t="s">
        <v>102</v>
      </c>
      <c r="C7947" s="2">
        <v>1215.461</v>
      </c>
      <c r="D7947" s="2">
        <f>HYPERLINK("http://mcb-m6.bioreg.kyushu-u.ac.jp/M3/20110404/F50774/1376/1", 35.82)</f>
        <v>35.82</v>
      </c>
      <c r="E7947" s="2">
        <v>19.28</v>
      </c>
      <c r="F7947" s="2">
        <v>1</v>
      </c>
      <c r="G7947" s="2" t="s">
        <v>10</v>
      </c>
    </row>
    <row r="7948" spans="1:9" x14ac:dyDescent="0.2">
      <c r="A7948" s="2" t="s">
        <v>3250</v>
      </c>
      <c r="B7948" s="2" t="s">
        <v>604</v>
      </c>
      <c r="C7948" s="2">
        <v>520.85860000000002</v>
      </c>
      <c r="D7948" s="2">
        <f>HYPERLINK("http://mcb-m6.bioreg.kyushu-u.ac.jp/M3/20110404/F50773/1019/1", 35.84)</f>
        <v>35.840000000000003</v>
      </c>
      <c r="E7948" s="2">
        <v>8.4</v>
      </c>
      <c r="F7948" s="2">
        <v>2</v>
      </c>
      <c r="G7948" s="2" t="s">
        <v>10</v>
      </c>
    </row>
    <row r="7949" spans="1:9" x14ac:dyDescent="0.2">
      <c r="A7949" s="2" t="s">
        <v>3250</v>
      </c>
      <c r="B7949" s="2" t="s">
        <v>311</v>
      </c>
      <c r="C7949" s="2">
        <v>1213.5219999999999</v>
      </c>
      <c r="D7949" s="2">
        <f>HYPERLINK("http://mcb-m6.bioreg.kyushu-u.ac.jp/M3/20110404/F50774/1372/1", 35.9)</f>
        <v>35.9</v>
      </c>
      <c r="E7949" s="2">
        <v>18.579999999999998</v>
      </c>
      <c r="F7949" s="2">
        <v>1</v>
      </c>
      <c r="G7949" s="2" t="s">
        <v>10</v>
      </c>
      <c r="H7949" s="2" t="s">
        <v>4908</v>
      </c>
    </row>
    <row r="7950" spans="1:9" x14ac:dyDescent="0.2">
      <c r="A7950" s="2" t="s">
        <v>3250</v>
      </c>
      <c r="B7950" s="2" t="s">
        <v>1787</v>
      </c>
      <c r="C7950" s="2">
        <v>1175.6669999999999</v>
      </c>
      <c r="D7950" s="2">
        <f>HYPERLINK("http://mcb-m6.bioreg.kyushu-u.ac.jp/M3/20110404/F50775/1325/1", 35.97)</f>
        <v>35.97</v>
      </c>
      <c r="E7950" s="2">
        <v>20.81</v>
      </c>
      <c r="F7950" s="2">
        <v>1</v>
      </c>
      <c r="G7950" s="2" t="s">
        <v>10</v>
      </c>
      <c r="I7950" s="2" t="s">
        <v>4895</v>
      </c>
    </row>
    <row r="7951" spans="1:9" x14ac:dyDescent="0.2">
      <c r="A7951" s="2" t="s">
        <v>3250</v>
      </c>
      <c r="B7951" s="2" t="s">
        <v>398</v>
      </c>
      <c r="C7951" s="2">
        <v>640.32759999999996</v>
      </c>
      <c r="D7951" s="2">
        <f>HYPERLINK("http://mcb-m6.bioreg.kyushu-u.ac.jp/M3/20110404/F50769/1663/1", 35.97)</f>
        <v>35.97</v>
      </c>
      <c r="E7951" s="2">
        <v>17.04</v>
      </c>
      <c r="F7951" s="2">
        <v>2</v>
      </c>
      <c r="G7951" s="2" t="s">
        <v>10</v>
      </c>
    </row>
    <row r="7952" spans="1:9" x14ac:dyDescent="0.2">
      <c r="A7952" s="2" t="s">
        <v>3250</v>
      </c>
      <c r="B7952" s="2" t="s">
        <v>102</v>
      </c>
      <c r="C7952" s="2">
        <v>1215.4000000000001</v>
      </c>
      <c r="D7952" s="2">
        <f>HYPERLINK("http://mcb-m6.bioreg.kyushu-u.ac.jp/M3/20110404/F50775/1413/1", 36.02)</f>
        <v>36.020000000000003</v>
      </c>
      <c r="E7952" s="2">
        <v>21.98</v>
      </c>
      <c r="F7952" s="2">
        <v>1</v>
      </c>
      <c r="G7952" s="2" t="s">
        <v>10</v>
      </c>
    </row>
    <row r="7953" spans="1:9" x14ac:dyDescent="0.2">
      <c r="A7953" s="2" t="s">
        <v>3250</v>
      </c>
      <c r="B7953" s="2" t="s">
        <v>543</v>
      </c>
      <c r="C7953" s="2">
        <v>927.4402</v>
      </c>
      <c r="D7953" s="2">
        <f>HYPERLINK("http://mcb-m6.bioreg.kyushu-u.ac.jp/M3/20110404/F50773/2527/1", 36.14)</f>
        <v>36.14</v>
      </c>
      <c r="E7953" s="2">
        <v>17.28</v>
      </c>
      <c r="F7953" s="2">
        <v>2</v>
      </c>
      <c r="G7953" s="2" t="s">
        <v>10</v>
      </c>
    </row>
    <row r="7954" spans="1:9" x14ac:dyDescent="0.2">
      <c r="A7954" s="2" t="s">
        <v>3250</v>
      </c>
      <c r="B7954" s="2" t="s">
        <v>175</v>
      </c>
      <c r="C7954" s="2">
        <v>784.95619999999997</v>
      </c>
      <c r="D7954" s="2">
        <f>HYPERLINK("http://mcb-m6.bioreg.kyushu-u.ac.jp/M3/20110404/F50761/2037/1", 36.24)</f>
        <v>36.24</v>
      </c>
      <c r="E7954" s="2">
        <v>20.5</v>
      </c>
      <c r="F7954" s="2">
        <v>2</v>
      </c>
      <c r="G7954" s="2" t="s">
        <v>10</v>
      </c>
      <c r="I7954" s="2" t="s">
        <v>4893</v>
      </c>
    </row>
    <row r="7955" spans="1:9" x14ac:dyDescent="0.2">
      <c r="A7955" s="2" t="s">
        <v>3250</v>
      </c>
      <c r="B7955" s="2" t="s">
        <v>834</v>
      </c>
      <c r="C7955" s="2">
        <v>1242.5139999999999</v>
      </c>
      <c r="D7955" s="2">
        <f>HYPERLINK("http://mcb-m6.bioreg.kyushu-u.ac.jp/M3/20110404/F50769/1602/1", 36.38)</f>
        <v>36.380000000000003</v>
      </c>
      <c r="E7955" s="2">
        <v>23.72</v>
      </c>
      <c r="F7955" s="2">
        <v>1</v>
      </c>
      <c r="G7955" s="2" t="s">
        <v>10</v>
      </c>
    </row>
    <row r="7956" spans="1:9" x14ac:dyDescent="0.2">
      <c r="A7956" s="2" t="s">
        <v>3250</v>
      </c>
      <c r="B7956" s="2" t="s">
        <v>351</v>
      </c>
      <c r="C7956" s="2">
        <v>861.80799999999999</v>
      </c>
      <c r="D7956" s="2">
        <f>HYPERLINK("http://mcb-m6.bioreg.kyushu-u.ac.jp/M3/20110404/F50771/832/1", 36.54)</f>
        <v>36.54</v>
      </c>
      <c r="E7956" s="2">
        <v>15.28</v>
      </c>
      <c r="F7956" s="2">
        <v>1</v>
      </c>
      <c r="G7956" s="2" t="s">
        <v>10</v>
      </c>
      <c r="I7956" s="2" t="s">
        <v>4899</v>
      </c>
    </row>
    <row r="7957" spans="1:9" x14ac:dyDescent="0.2">
      <c r="A7957" s="2" t="s">
        <v>3250</v>
      </c>
      <c r="B7957" s="2" t="s">
        <v>30</v>
      </c>
      <c r="C7957" s="2">
        <v>643.94090000000006</v>
      </c>
      <c r="D7957" s="2">
        <f>HYPERLINK("http://mcb-m6.bioreg.kyushu-u.ac.jp/M3/20110404/F50782/2882/1", 36.62)</f>
        <v>36.619999999999997</v>
      </c>
      <c r="E7957" s="2">
        <v>17.52</v>
      </c>
      <c r="F7957" s="2">
        <v>3</v>
      </c>
      <c r="G7957" s="2" t="s">
        <v>10</v>
      </c>
      <c r="I7957" s="2" t="s">
        <v>4894</v>
      </c>
    </row>
    <row r="7958" spans="1:9" x14ac:dyDescent="0.2">
      <c r="A7958" s="2" t="s">
        <v>3250</v>
      </c>
      <c r="B7958" s="2" t="s">
        <v>351</v>
      </c>
      <c r="C7958" s="2">
        <v>861.53899999999999</v>
      </c>
      <c r="D7958" s="2">
        <f>HYPERLINK("http://mcb-m6.bioreg.kyushu-u.ac.jp/M3/20110404/F50782/531/1", 36.63)</f>
        <v>36.630000000000003</v>
      </c>
      <c r="E7958" s="2">
        <v>9.31</v>
      </c>
      <c r="F7958" s="2">
        <v>1</v>
      </c>
      <c r="G7958" s="2" t="s">
        <v>10</v>
      </c>
      <c r="I7958" s="2" t="s">
        <v>4899</v>
      </c>
    </row>
    <row r="7959" spans="1:9" x14ac:dyDescent="0.2">
      <c r="A7959" s="2" t="s">
        <v>3250</v>
      </c>
      <c r="B7959" s="2" t="s">
        <v>6027</v>
      </c>
      <c r="C7959" s="2">
        <v>474.85419999999999</v>
      </c>
      <c r="D7959" s="2">
        <f>HYPERLINK("http://mcb-m6.bioreg.kyushu-u.ac.jp/M3/20110404/F50782/1612/1", 36.73)</f>
        <v>36.729999999999997</v>
      </c>
      <c r="E7959" s="2">
        <v>14.65</v>
      </c>
      <c r="F7959" s="2">
        <v>3</v>
      </c>
      <c r="G7959" s="2" t="s">
        <v>10</v>
      </c>
    </row>
    <row r="7960" spans="1:9" x14ac:dyDescent="0.2">
      <c r="A7960" s="2" t="s">
        <v>3250</v>
      </c>
      <c r="B7960" s="2" t="s">
        <v>365</v>
      </c>
      <c r="C7960" s="2">
        <v>849.56669999999997</v>
      </c>
      <c r="D7960" s="2">
        <f>HYPERLINK("http://mcb-m6.bioreg.kyushu-u.ac.jp/M3/20110404/F50782/2325/1", 37.34)</f>
        <v>37.340000000000003</v>
      </c>
      <c r="E7960" s="2">
        <v>20.83</v>
      </c>
      <c r="F7960" s="2">
        <v>2</v>
      </c>
      <c r="G7960" s="2" t="s">
        <v>10</v>
      </c>
    </row>
    <row r="7961" spans="1:9" x14ac:dyDescent="0.2">
      <c r="A7961" s="2" t="s">
        <v>3250</v>
      </c>
      <c r="B7961" s="2" t="s">
        <v>102</v>
      </c>
      <c r="C7961" s="2">
        <v>1231.4480000000001</v>
      </c>
      <c r="D7961" s="2">
        <f>HYPERLINK("http://mcb-m6.bioreg.kyushu-u.ac.jp/M3/20110404/F50775/1447/1", 37.45)</f>
        <v>37.450000000000003</v>
      </c>
      <c r="E7961" s="2">
        <v>15.7</v>
      </c>
      <c r="F7961" s="2">
        <v>1</v>
      </c>
      <c r="G7961" s="2" t="s">
        <v>10</v>
      </c>
      <c r="H7961" s="2" t="s">
        <v>4900</v>
      </c>
    </row>
    <row r="7962" spans="1:9" x14ac:dyDescent="0.2">
      <c r="A7962" s="2" t="s">
        <v>3250</v>
      </c>
      <c r="B7962" s="2" t="s">
        <v>102</v>
      </c>
      <c r="C7962" s="2">
        <v>1231.5029999999999</v>
      </c>
      <c r="D7962" s="2">
        <f>HYPERLINK("http://mcb-m6.bioreg.kyushu-u.ac.jp/M3/20110404/F50773/1318/1", 37.47)</f>
        <v>37.47</v>
      </c>
      <c r="E7962" s="2">
        <v>23.74</v>
      </c>
      <c r="F7962" s="2">
        <v>1</v>
      </c>
      <c r="G7962" s="2" t="s">
        <v>10</v>
      </c>
      <c r="H7962" s="2" t="s">
        <v>4900</v>
      </c>
    </row>
    <row r="7963" spans="1:9" x14ac:dyDescent="0.2">
      <c r="A7963" s="2" t="s">
        <v>3250</v>
      </c>
      <c r="B7963" s="2" t="s">
        <v>142</v>
      </c>
      <c r="C7963" s="2">
        <v>847.48</v>
      </c>
      <c r="D7963" s="2">
        <f>HYPERLINK("http://mcb-m6.bioreg.kyushu-u.ac.jp/M3/20110404/F50782/518/1", 37.68)</f>
        <v>37.68</v>
      </c>
      <c r="E7963" s="2">
        <v>14.11</v>
      </c>
      <c r="F7963" s="2">
        <v>1</v>
      </c>
      <c r="G7963" s="2" t="s">
        <v>10</v>
      </c>
    </row>
    <row r="7964" spans="1:9" x14ac:dyDescent="0.2">
      <c r="A7964" s="2" t="s">
        <v>3250</v>
      </c>
      <c r="B7964" s="2" t="s">
        <v>561</v>
      </c>
      <c r="C7964" s="2">
        <v>654.11469999999997</v>
      </c>
      <c r="D7964" s="2">
        <f>HYPERLINK("http://mcb-m6.bioreg.kyushu-u.ac.jp/M3/20110404/F50782/1360/1", 37.85)</f>
        <v>37.85</v>
      </c>
      <c r="E7964" s="2">
        <v>19.32</v>
      </c>
      <c r="F7964" s="2">
        <v>2</v>
      </c>
      <c r="G7964" s="2" t="s">
        <v>10</v>
      </c>
    </row>
    <row r="7965" spans="1:9" x14ac:dyDescent="0.2">
      <c r="A7965" s="2" t="s">
        <v>3250</v>
      </c>
      <c r="B7965" s="2" t="s">
        <v>77</v>
      </c>
      <c r="C7965" s="2">
        <v>1149.4179999999999</v>
      </c>
      <c r="D7965" s="2">
        <f>HYPERLINK("http://mcb-m6.bioreg.kyushu-u.ac.jp/M3/20110404/F50775/1280/1", 37.94)</f>
        <v>37.94</v>
      </c>
      <c r="E7965" s="2">
        <v>21.49</v>
      </c>
      <c r="F7965" s="2">
        <v>1</v>
      </c>
      <c r="G7965" s="2" t="s">
        <v>10</v>
      </c>
    </row>
    <row r="7966" spans="1:9" x14ac:dyDescent="0.2">
      <c r="A7966" s="2" t="s">
        <v>3250</v>
      </c>
      <c r="B7966" s="2" t="s">
        <v>365</v>
      </c>
      <c r="C7966" s="2">
        <v>849.26869999999997</v>
      </c>
      <c r="D7966" s="2">
        <f>HYPERLINK("http://mcb-m6.bioreg.kyushu-u.ac.jp/M3/20110404/F50758/2276/1", 38.06)</f>
        <v>38.06</v>
      </c>
      <c r="E7966" s="2">
        <v>24.65</v>
      </c>
      <c r="F7966" s="2">
        <v>2</v>
      </c>
      <c r="G7966" s="2" t="s">
        <v>10</v>
      </c>
    </row>
    <row r="7967" spans="1:9" x14ac:dyDescent="0.2">
      <c r="A7967" s="2" t="s">
        <v>3250</v>
      </c>
      <c r="B7967" s="2" t="s">
        <v>772</v>
      </c>
      <c r="C7967" s="2">
        <v>595.7432</v>
      </c>
      <c r="D7967" s="2">
        <f>HYPERLINK("http://mcb-m6.bioreg.kyushu-u.ac.jp/M3/20110404/F50761/1296/1", 38.15)</f>
        <v>38.15</v>
      </c>
      <c r="E7967" s="2">
        <v>19.68</v>
      </c>
      <c r="F7967" s="2">
        <v>2</v>
      </c>
      <c r="G7967" s="2" t="s">
        <v>10</v>
      </c>
    </row>
    <row r="7968" spans="1:9" x14ac:dyDescent="0.2">
      <c r="A7968" s="2" t="s">
        <v>3250</v>
      </c>
      <c r="B7968" s="2" t="s">
        <v>311</v>
      </c>
      <c r="C7968" s="2">
        <v>1212.547</v>
      </c>
      <c r="D7968" s="2">
        <f>HYPERLINK("http://mcb-m6.bioreg.kyushu-u.ac.jp/M3/20110404/F50769/1554/1", 38.16)</f>
        <v>38.159999999999997</v>
      </c>
      <c r="E7968" s="2">
        <v>15</v>
      </c>
      <c r="F7968" s="2">
        <v>1</v>
      </c>
      <c r="G7968" s="2" t="s">
        <v>10</v>
      </c>
      <c r="H7968" s="2" t="s">
        <v>4908</v>
      </c>
    </row>
    <row r="7969" spans="1:9" x14ac:dyDescent="0.2">
      <c r="A7969" s="2" t="s">
        <v>3250</v>
      </c>
      <c r="B7969" s="2" t="s">
        <v>142</v>
      </c>
      <c r="C7969" s="2">
        <v>847.31700000000001</v>
      </c>
      <c r="D7969" s="2">
        <f>HYPERLINK("http://mcb-m6.bioreg.kyushu-u.ac.jp/M3/20110404/F50771/821/1", 38.23)</f>
        <v>38.229999999999997</v>
      </c>
      <c r="E7969" s="2">
        <v>16.93</v>
      </c>
      <c r="F7969" s="2">
        <v>1</v>
      </c>
      <c r="G7969" s="2" t="s">
        <v>10</v>
      </c>
    </row>
    <row r="7970" spans="1:9" x14ac:dyDescent="0.2">
      <c r="A7970" s="2" t="s">
        <v>3250</v>
      </c>
      <c r="B7970" s="2" t="s">
        <v>1787</v>
      </c>
      <c r="C7970" s="2">
        <v>1175.501</v>
      </c>
      <c r="D7970" s="2">
        <f>HYPERLINK("http://mcb-m6.bioreg.kyushu-u.ac.jp/M3/20110404/F50770/1374/1", 38.24)</f>
        <v>38.24</v>
      </c>
      <c r="E7970" s="2">
        <v>24.59</v>
      </c>
      <c r="F7970" s="2">
        <v>1</v>
      </c>
      <c r="G7970" s="2" t="s">
        <v>10</v>
      </c>
      <c r="I7970" s="2" t="s">
        <v>4895</v>
      </c>
    </row>
    <row r="7971" spans="1:9" x14ac:dyDescent="0.2">
      <c r="A7971" s="2" t="s">
        <v>3250</v>
      </c>
      <c r="B7971" s="2" t="s">
        <v>1765</v>
      </c>
      <c r="C7971" s="2">
        <v>761.33259999999996</v>
      </c>
      <c r="D7971" s="2">
        <f>HYPERLINK("http://mcb-m6.bioreg.kyushu-u.ac.jp/M3/20110404/F50771/1972/1", 38.29)</f>
        <v>38.29</v>
      </c>
      <c r="E7971" s="2">
        <v>27.17</v>
      </c>
      <c r="F7971" s="2">
        <v>2</v>
      </c>
      <c r="G7971" s="2" t="s">
        <v>10</v>
      </c>
    </row>
    <row r="7972" spans="1:9" x14ac:dyDescent="0.2">
      <c r="A7972" s="2" t="s">
        <v>3250</v>
      </c>
      <c r="B7972" s="2" t="s">
        <v>604</v>
      </c>
      <c r="C7972" s="2">
        <v>520.76210000000003</v>
      </c>
      <c r="D7972" s="2">
        <f>HYPERLINK("http://mcb-m6.bioreg.kyushu-u.ac.jp/M3/20110404/F50770/1204/1", 38.32)</f>
        <v>38.32</v>
      </c>
      <c r="E7972" s="2">
        <v>10.51</v>
      </c>
      <c r="F7972" s="2">
        <v>2</v>
      </c>
      <c r="G7972" s="2" t="s">
        <v>10</v>
      </c>
    </row>
    <row r="7973" spans="1:9" x14ac:dyDescent="0.2">
      <c r="A7973" s="2" t="s">
        <v>3250</v>
      </c>
      <c r="B7973" s="2" t="s">
        <v>604</v>
      </c>
      <c r="C7973" s="2">
        <v>520.66110000000003</v>
      </c>
      <c r="D7973" s="2">
        <f>HYPERLINK("http://mcb-m6.bioreg.kyushu-u.ac.jp/M3/20110404/F50768/1152/1", 38.34)</f>
        <v>38.340000000000003</v>
      </c>
      <c r="E7973" s="2">
        <v>16.559999999999999</v>
      </c>
      <c r="F7973" s="2">
        <v>2</v>
      </c>
      <c r="G7973" s="2" t="s">
        <v>10</v>
      </c>
    </row>
    <row r="7974" spans="1:9" x14ac:dyDescent="0.2">
      <c r="A7974" s="2" t="s">
        <v>3250</v>
      </c>
      <c r="B7974" s="2" t="s">
        <v>503</v>
      </c>
      <c r="C7974" s="2">
        <v>544.62879999999996</v>
      </c>
      <c r="D7974" s="2">
        <f>HYPERLINK("http://mcb-m6.bioreg.kyushu-u.ac.jp/M3/20110404/F50782/2195/1", 38.39)</f>
        <v>38.39</v>
      </c>
      <c r="E7974" s="2">
        <v>12.09</v>
      </c>
      <c r="F7974" s="2">
        <v>3</v>
      </c>
      <c r="G7974" s="2" t="s">
        <v>10</v>
      </c>
      <c r="H7974" s="2" t="s">
        <v>4907</v>
      </c>
    </row>
    <row r="7975" spans="1:9" x14ac:dyDescent="0.2">
      <c r="A7975" s="2" t="s">
        <v>3250</v>
      </c>
      <c r="B7975" s="2" t="s">
        <v>543</v>
      </c>
      <c r="C7975" s="2">
        <v>927.53920000000005</v>
      </c>
      <c r="D7975" s="2">
        <f>HYPERLINK("http://mcb-m6.bioreg.kyushu-u.ac.jp/M3/20110404/F50782/2702/1", 38.68)</f>
        <v>38.68</v>
      </c>
      <c r="E7975" s="2">
        <v>22.79</v>
      </c>
      <c r="F7975" s="2">
        <v>2</v>
      </c>
      <c r="G7975" s="2" t="s">
        <v>10</v>
      </c>
    </row>
    <row r="7976" spans="1:9" x14ac:dyDescent="0.2">
      <c r="A7976" s="2" t="s">
        <v>3250</v>
      </c>
      <c r="B7976" s="2" t="s">
        <v>102</v>
      </c>
      <c r="C7976" s="2">
        <v>1215.279</v>
      </c>
      <c r="D7976" s="2">
        <f>HYPERLINK("http://mcb-m6.bioreg.kyushu-u.ac.jp/M3/20110404/F50771/1357/1", 38.71)</f>
        <v>38.71</v>
      </c>
      <c r="E7976" s="2">
        <v>21.15</v>
      </c>
      <c r="F7976" s="2">
        <v>1</v>
      </c>
      <c r="G7976" s="2" t="s">
        <v>10</v>
      </c>
    </row>
    <row r="7977" spans="1:9" x14ac:dyDescent="0.2">
      <c r="A7977" s="2" t="s">
        <v>3250</v>
      </c>
      <c r="B7977" s="2" t="s">
        <v>90</v>
      </c>
      <c r="C7977" s="2">
        <v>716.75319999999999</v>
      </c>
      <c r="D7977" s="2">
        <f>HYPERLINK("http://mcb-m6.bioreg.kyushu-u.ac.jp/M3/20110404/F50760/1736/1", 38.76)</f>
        <v>38.76</v>
      </c>
      <c r="E7977" s="2">
        <v>22.96</v>
      </c>
      <c r="F7977" s="2">
        <v>2</v>
      </c>
      <c r="G7977" s="2" t="s">
        <v>10</v>
      </c>
    </row>
    <row r="7978" spans="1:9" x14ac:dyDescent="0.2">
      <c r="A7978" s="2" t="s">
        <v>3250</v>
      </c>
      <c r="B7978" s="2" t="s">
        <v>90</v>
      </c>
      <c r="C7978" s="2">
        <v>716.69420000000002</v>
      </c>
      <c r="D7978" s="2">
        <f>HYPERLINK("http://mcb-m6.bioreg.kyushu-u.ac.jp/M3/20110404/F50770/1842/1", 38.83)</f>
        <v>38.83</v>
      </c>
      <c r="E7978" s="2">
        <v>23.16</v>
      </c>
      <c r="F7978" s="2">
        <v>2</v>
      </c>
      <c r="G7978" s="2" t="s">
        <v>10</v>
      </c>
    </row>
    <row r="7979" spans="1:9" x14ac:dyDescent="0.2">
      <c r="A7979" s="2" t="s">
        <v>3250</v>
      </c>
      <c r="B7979" s="2" t="s">
        <v>503</v>
      </c>
      <c r="C7979" s="2">
        <v>816.37959999999998</v>
      </c>
      <c r="D7979" s="2">
        <f>HYPERLINK("http://mcb-m6.bioreg.kyushu-u.ac.jp/M3/20110404/F50760/2096/1", 38.86)</f>
        <v>38.86</v>
      </c>
      <c r="E7979" s="2">
        <v>29.88</v>
      </c>
      <c r="F7979" s="2">
        <v>2</v>
      </c>
      <c r="G7979" s="2" t="s">
        <v>10</v>
      </c>
      <c r="H7979" s="2" t="s">
        <v>4907</v>
      </c>
    </row>
    <row r="7980" spans="1:9" x14ac:dyDescent="0.2">
      <c r="A7980" s="2" t="s">
        <v>3250</v>
      </c>
      <c r="B7980" s="2" t="s">
        <v>102</v>
      </c>
      <c r="C7980" s="2">
        <v>1215.4469999999999</v>
      </c>
      <c r="D7980" s="2">
        <f>HYPERLINK("http://mcb-m6.bioreg.kyushu-u.ac.jp/M3/20110404/F50769/1561/1", 38.95)</f>
        <v>38.950000000000003</v>
      </c>
      <c r="E7980" s="2">
        <v>22.56</v>
      </c>
      <c r="F7980" s="2">
        <v>1</v>
      </c>
      <c r="G7980" s="2" t="s">
        <v>10</v>
      </c>
    </row>
    <row r="7981" spans="1:9" x14ac:dyDescent="0.2">
      <c r="A7981" s="2" t="s">
        <v>3250</v>
      </c>
      <c r="B7981" s="2" t="s">
        <v>351</v>
      </c>
      <c r="C7981" s="2">
        <v>861.63199999999995</v>
      </c>
      <c r="D7981" s="2">
        <f>HYPERLINK("http://mcb-m6.bioreg.kyushu-u.ac.jp/M3/20110404/F50772/788/1", 38.98)</f>
        <v>38.979999999999997</v>
      </c>
      <c r="E7981" s="2">
        <v>14.81</v>
      </c>
      <c r="F7981" s="2">
        <v>1</v>
      </c>
      <c r="G7981" s="2" t="s">
        <v>10</v>
      </c>
      <c r="I7981" s="2" t="s">
        <v>4899</v>
      </c>
    </row>
    <row r="7982" spans="1:9" x14ac:dyDescent="0.2">
      <c r="A7982" s="2" t="s">
        <v>3250</v>
      </c>
      <c r="B7982" s="2" t="s">
        <v>30</v>
      </c>
      <c r="C7982" s="2">
        <v>964.80470000000003</v>
      </c>
      <c r="D7982" s="2">
        <f>HYPERLINK("http://mcb-m6.bioreg.kyushu-u.ac.jp/M3/20110404/F50782/2877/1", 39.06)</f>
        <v>39.06</v>
      </c>
      <c r="E7982" s="2">
        <v>28.96</v>
      </c>
      <c r="F7982" s="2">
        <v>2</v>
      </c>
      <c r="G7982" s="2" t="s">
        <v>10</v>
      </c>
      <c r="I7982" s="2" t="s">
        <v>4894</v>
      </c>
    </row>
    <row r="7983" spans="1:9" x14ac:dyDescent="0.2">
      <c r="A7983" s="2" t="s">
        <v>3250</v>
      </c>
      <c r="B7983" s="2" t="s">
        <v>1787</v>
      </c>
      <c r="C7983" s="2">
        <v>1175.546</v>
      </c>
      <c r="D7983" s="2">
        <f>HYPERLINK("http://mcb-m6.bioreg.kyushu-u.ac.jp/M3/20110404/F50769/1481/1", 39.09)</f>
        <v>39.090000000000003</v>
      </c>
      <c r="E7983" s="2">
        <v>21.33</v>
      </c>
      <c r="F7983" s="2">
        <v>1</v>
      </c>
      <c r="G7983" s="2" t="s">
        <v>10</v>
      </c>
      <c r="I7983" s="2" t="s">
        <v>4895</v>
      </c>
    </row>
    <row r="7984" spans="1:9" x14ac:dyDescent="0.2">
      <c r="A7984" s="2" t="s">
        <v>3250</v>
      </c>
      <c r="B7984" s="2" t="s">
        <v>543</v>
      </c>
      <c r="C7984" s="2">
        <v>926.87220000000002</v>
      </c>
      <c r="D7984" s="2">
        <f>HYPERLINK("http://mcb-m6.bioreg.kyushu-u.ac.jp/M3/20110404/F50768/2530/1", 39.52)</f>
        <v>39.520000000000003</v>
      </c>
      <c r="E7984" s="2">
        <v>21.33</v>
      </c>
      <c r="F7984" s="2">
        <v>2</v>
      </c>
      <c r="G7984" s="2" t="s">
        <v>10</v>
      </c>
    </row>
    <row r="7985" spans="1:9" x14ac:dyDescent="0.2">
      <c r="A7985" s="2" t="s">
        <v>3250</v>
      </c>
      <c r="B7985" s="2" t="s">
        <v>1875</v>
      </c>
      <c r="C7985" s="2">
        <v>780.32320000000004</v>
      </c>
      <c r="D7985" s="2">
        <f>HYPERLINK("http://mcb-m6.bioreg.kyushu-u.ac.jp/M3/20110404/F50761/2013/1", 39.54)</f>
        <v>39.54</v>
      </c>
      <c r="E7985" s="2">
        <v>34.409999999999997</v>
      </c>
      <c r="F7985" s="2">
        <v>2</v>
      </c>
      <c r="G7985" s="2" t="s">
        <v>10</v>
      </c>
      <c r="H7985" s="2" t="s">
        <v>4920</v>
      </c>
    </row>
    <row r="7986" spans="1:9" x14ac:dyDescent="0.2">
      <c r="A7986" s="2" t="s">
        <v>3250</v>
      </c>
      <c r="B7986" s="2" t="s">
        <v>3010</v>
      </c>
      <c r="C7986" s="2">
        <v>466.46460000000002</v>
      </c>
      <c r="D7986" s="2">
        <f>HYPERLINK("http://mcb-m6.bioreg.kyushu-u.ac.jp/M3/20110404/F50775/907/1", 39.85)</f>
        <v>39.85</v>
      </c>
      <c r="E7986" s="2">
        <v>11.48</v>
      </c>
      <c r="F7986" s="2">
        <v>2</v>
      </c>
      <c r="G7986" s="2" t="s">
        <v>10</v>
      </c>
    </row>
    <row r="7987" spans="1:9" x14ac:dyDescent="0.2">
      <c r="A7987" s="2" t="s">
        <v>3250</v>
      </c>
      <c r="B7987" s="2" t="s">
        <v>481</v>
      </c>
      <c r="C7987" s="2">
        <v>709.02560000000005</v>
      </c>
      <c r="D7987" s="2">
        <f>HYPERLINK("http://mcb-m6.bioreg.kyushu-u.ac.jp/M3/20110404/F50782/1593/1", 40)</f>
        <v>40</v>
      </c>
      <c r="E7987" s="2">
        <v>21.55</v>
      </c>
      <c r="F7987" s="2">
        <v>2</v>
      </c>
      <c r="G7987" s="2" t="s">
        <v>10</v>
      </c>
      <c r="I7987" s="2" t="s">
        <v>4898</v>
      </c>
    </row>
    <row r="7988" spans="1:9" x14ac:dyDescent="0.2">
      <c r="A7988" s="2" t="s">
        <v>3250</v>
      </c>
      <c r="B7988" s="2" t="s">
        <v>90</v>
      </c>
      <c r="C7988" s="2">
        <v>716.7577</v>
      </c>
      <c r="D7988" s="2">
        <f>HYPERLINK("http://mcb-m6.bioreg.kyushu-u.ac.jp/M3/20110404/F50770/1845/1", 40.17)</f>
        <v>40.17</v>
      </c>
      <c r="E7988" s="2">
        <v>16.93</v>
      </c>
      <c r="F7988" s="2">
        <v>2</v>
      </c>
      <c r="G7988" s="2" t="s">
        <v>10</v>
      </c>
    </row>
    <row r="7989" spans="1:9" x14ac:dyDescent="0.2">
      <c r="A7989" s="2" t="s">
        <v>3250</v>
      </c>
      <c r="B7989" s="2" t="s">
        <v>503</v>
      </c>
      <c r="C7989" s="2">
        <v>1631.894</v>
      </c>
      <c r="D7989" s="2">
        <f>HYPERLINK("http://mcb-m6.bioreg.kyushu-u.ac.jp/M3/20110404/F50782/2196/1", 40.18)</f>
        <v>40.18</v>
      </c>
      <c r="E7989" s="2">
        <v>21.98</v>
      </c>
      <c r="F7989" s="2">
        <v>1</v>
      </c>
      <c r="G7989" s="2" t="s">
        <v>10</v>
      </c>
      <c r="H7989" s="2" t="s">
        <v>4907</v>
      </c>
    </row>
    <row r="7990" spans="1:9" x14ac:dyDescent="0.2">
      <c r="A7990" s="2" t="s">
        <v>3250</v>
      </c>
      <c r="B7990" s="2" t="s">
        <v>30</v>
      </c>
      <c r="C7990" s="2">
        <v>643.67790000000002</v>
      </c>
      <c r="D7990" s="2">
        <f>HYPERLINK("http://mcb-m6.bioreg.kyushu-u.ac.jp/M3/20110404/F50782/2880/1", 40.3)</f>
        <v>40.299999999999997</v>
      </c>
      <c r="E7990" s="2">
        <v>13.2</v>
      </c>
      <c r="F7990" s="2">
        <v>3</v>
      </c>
      <c r="G7990" s="2" t="s">
        <v>10</v>
      </c>
      <c r="I7990" s="2" t="s">
        <v>4894</v>
      </c>
    </row>
    <row r="7991" spans="1:9" x14ac:dyDescent="0.2">
      <c r="A7991" s="2" t="s">
        <v>3250</v>
      </c>
      <c r="B7991" s="2" t="s">
        <v>102</v>
      </c>
      <c r="C7991" s="2">
        <v>1215.4590000000001</v>
      </c>
      <c r="D7991" s="2">
        <f>HYPERLINK("http://mcb-m6.bioreg.kyushu-u.ac.jp/M3/20110404/F50768/1411/1", 40.36)</f>
        <v>40.36</v>
      </c>
      <c r="E7991" s="2">
        <v>23.2</v>
      </c>
      <c r="F7991" s="2">
        <v>1</v>
      </c>
      <c r="G7991" s="2" t="s">
        <v>10</v>
      </c>
    </row>
    <row r="7992" spans="1:9" x14ac:dyDescent="0.2">
      <c r="A7992" s="2" t="s">
        <v>3250</v>
      </c>
      <c r="B7992" s="2" t="s">
        <v>772</v>
      </c>
      <c r="C7992" s="2">
        <v>595.84059999999999</v>
      </c>
      <c r="D7992" s="2">
        <f>HYPERLINK("http://mcb-m6.bioreg.kyushu-u.ac.jp/M3/20110404/F50782/1090/1", 40.39)</f>
        <v>40.39</v>
      </c>
      <c r="E7992" s="2">
        <v>26.12</v>
      </c>
      <c r="F7992" s="2">
        <v>2</v>
      </c>
      <c r="G7992" s="2" t="s">
        <v>10</v>
      </c>
    </row>
    <row r="7993" spans="1:9" x14ac:dyDescent="0.2">
      <c r="A7993" s="2" t="s">
        <v>3250</v>
      </c>
      <c r="B7993" s="2" t="s">
        <v>1787</v>
      </c>
      <c r="C7993" s="2">
        <v>1175.617</v>
      </c>
      <c r="D7993" s="2">
        <f>HYPERLINK("http://mcb-m6.bioreg.kyushu-u.ac.jp/M3/20110404/F50773/1200/1", 40.39)</f>
        <v>40.39</v>
      </c>
      <c r="E7993" s="2">
        <v>21.56</v>
      </c>
      <c r="F7993" s="2">
        <v>1</v>
      </c>
      <c r="G7993" s="2" t="s">
        <v>10</v>
      </c>
      <c r="I7993" s="2" t="s">
        <v>4895</v>
      </c>
    </row>
    <row r="7994" spans="1:9" x14ac:dyDescent="0.2">
      <c r="A7994" s="2" t="s">
        <v>3250</v>
      </c>
      <c r="B7994" s="2" t="s">
        <v>1787</v>
      </c>
      <c r="C7994" s="2">
        <v>1175.4639999999999</v>
      </c>
      <c r="D7994" s="2">
        <f>HYPERLINK("http://mcb-m6.bioreg.kyushu-u.ac.jp/M3/20110404/F50761/1267/1", 40.57)</f>
        <v>40.57</v>
      </c>
      <c r="E7994" s="2">
        <v>21.36</v>
      </c>
      <c r="F7994" s="2">
        <v>1</v>
      </c>
      <c r="G7994" s="2" t="s">
        <v>10</v>
      </c>
      <c r="I7994" s="2" t="s">
        <v>4895</v>
      </c>
    </row>
    <row r="7995" spans="1:9" x14ac:dyDescent="0.2">
      <c r="A7995" s="2" t="s">
        <v>3250</v>
      </c>
      <c r="B7995" s="2" t="s">
        <v>77</v>
      </c>
      <c r="C7995" s="2">
        <v>1148.52</v>
      </c>
      <c r="D7995" s="2">
        <f>HYPERLINK("http://mcb-m6.bioreg.kyushu-u.ac.jp/M3/20110404/F50773/1167/1", 40.64)</f>
        <v>40.64</v>
      </c>
      <c r="E7995" s="2">
        <v>24.81</v>
      </c>
      <c r="F7995" s="2">
        <v>1</v>
      </c>
      <c r="G7995" s="2" t="s">
        <v>10</v>
      </c>
    </row>
    <row r="7996" spans="1:9" x14ac:dyDescent="0.2">
      <c r="A7996" s="2" t="s">
        <v>3250</v>
      </c>
      <c r="B7996" s="2" t="s">
        <v>365</v>
      </c>
      <c r="C7996" s="2">
        <v>849.53809999999999</v>
      </c>
      <c r="D7996" s="2">
        <f>HYPERLINK("http://mcb-m6.bioreg.kyushu-u.ac.jp/M3/20110404/F50782/2324/1", 40.84)</f>
        <v>40.840000000000003</v>
      </c>
      <c r="E7996" s="2">
        <v>26.48</v>
      </c>
      <c r="F7996" s="2">
        <v>2</v>
      </c>
      <c r="G7996" s="2" t="s">
        <v>10</v>
      </c>
    </row>
    <row r="7997" spans="1:9" x14ac:dyDescent="0.2">
      <c r="A7997" s="2" t="s">
        <v>3250</v>
      </c>
      <c r="B7997" s="2" t="s">
        <v>102</v>
      </c>
      <c r="C7997" s="2">
        <v>1215.4680000000001</v>
      </c>
      <c r="D7997" s="2">
        <f>HYPERLINK("http://mcb-m6.bioreg.kyushu-u.ac.jp/M3/20110404/F50758/1487/1", 40.89)</f>
        <v>40.89</v>
      </c>
      <c r="E7997" s="2">
        <v>24.62</v>
      </c>
      <c r="F7997" s="2">
        <v>1</v>
      </c>
      <c r="G7997" s="2" t="s">
        <v>10</v>
      </c>
    </row>
    <row r="7998" spans="1:9" x14ac:dyDescent="0.2">
      <c r="A7998" s="2" t="s">
        <v>3250</v>
      </c>
      <c r="B7998" s="2" t="s">
        <v>77</v>
      </c>
      <c r="C7998" s="2">
        <v>1148.4970000000001</v>
      </c>
      <c r="D7998" s="2">
        <f>HYPERLINK("http://mcb-m6.bioreg.kyushu-u.ac.jp/M3/20110404/F50768/1294/1", 40.91)</f>
        <v>40.909999999999997</v>
      </c>
      <c r="E7998" s="2">
        <v>22.16</v>
      </c>
      <c r="F7998" s="2">
        <v>1</v>
      </c>
      <c r="G7998" s="2" t="s">
        <v>10</v>
      </c>
    </row>
    <row r="7999" spans="1:9" x14ac:dyDescent="0.2">
      <c r="A7999" s="2" t="s">
        <v>3250</v>
      </c>
      <c r="B7999" s="2" t="s">
        <v>503</v>
      </c>
      <c r="C7999" s="2">
        <v>816.28309999999999</v>
      </c>
      <c r="D7999" s="2">
        <f>HYPERLINK("http://mcb-m6.bioreg.kyushu-u.ac.jp/M3/20110404/F50760/2093/1", 40.92)</f>
        <v>40.92</v>
      </c>
      <c r="E7999" s="2">
        <v>32.17</v>
      </c>
      <c r="F7999" s="2">
        <v>2</v>
      </c>
      <c r="G7999" s="2" t="s">
        <v>10</v>
      </c>
      <c r="H7999" s="2" t="s">
        <v>4907</v>
      </c>
    </row>
    <row r="8000" spans="1:9" x14ac:dyDescent="0.2">
      <c r="A8000" s="2" t="s">
        <v>3250</v>
      </c>
      <c r="B8000" s="2" t="s">
        <v>311</v>
      </c>
      <c r="C8000" s="2">
        <v>1197.0340000000001</v>
      </c>
      <c r="D8000" s="2">
        <f>HYPERLINK("http://mcb-m6.bioreg.kyushu-u.ac.jp/M3/20110404/F50773/1250/1", 41.3)</f>
        <v>41.3</v>
      </c>
      <c r="E8000" s="2">
        <v>25.77</v>
      </c>
      <c r="F8000" s="2">
        <v>1</v>
      </c>
      <c r="G8000" s="2" t="s">
        <v>10</v>
      </c>
    </row>
    <row r="8001" spans="1:9" x14ac:dyDescent="0.2">
      <c r="A8001" s="2" t="s">
        <v>3250</v>
      </c>
      <c r="B8001" s="2" t="s">
        <v>30</v>
      </c>
      <c r="C8001" s="2">
        <v>964.86019999999996</v>
      </c>
      <c r="D8001" s="2">
        <f>HYPERLINK("http://mcb-m6.bioreg.kyushu-u.ac.jp/M3/20110404/F50782/2878/1", 41.52)</f>
        <v>41.52</v>
      </c>
      <c r="E8001" s="2">
        <v>37.869999999999997</v>
      </c>
      <c r="F8001" s="2">
        <v>2</v>
      </c>
      <c r="G8001" s="2" t="s">
        <v>10</v>
      </c>
      <c r="I8001" s="2" t="s">
        <v>4894</v>
      </c>
    </row>
    <row r="8002" spans="1:9" x14ac:dyDescent="0.2">
      <c r="A8002" s="2" t="s">
        <v>3250</v>
      </c>
      <c r="B8002" s="2" t="s">
        <v>311</v>
      </c>
      <c r="C8002" s="2">
        <v>1196.4880000000001</v>
      </c>
      <c r="D8002" s="2">
        <f>HYPERLINK("http://mcb-m6.bioreg.kyushu-u.ac.jp/M3/20110404/F50774/1351/1", 41.71)</f>
        <v>41.71</v>
      </c>
      <c r="E8002" s="2">
        <v>28.18</v>
      </c>
      <c r="F8002" s="2">
        <v>1</v>
      </c>
      <c r="G8002" s="2" t="s">
        <v>10</v>
      </c>
    </row>
    <row r="8003" spans="1:9" x14ac:dyDescent="0.2">
      <c r="A8003" s="2" t="s">
        <v>3250</v>
      </c>
      <c r="B8003" s="2" t="s">
        <v>503</v>
      </c>
      <c r="C8003" s="2">
        <v>808.8057</v>
      </c>
      <c r="D8003" s="2">
        <f>HYPERLINK("http://mcb-m6.bioreg.kyushu-u.ac.jp/M3/20110404/F50761/2122/1", 41.71)</f>
        <v>41.71</v>
      </c>
      <c r="E8003" s="2">
        <v>29.56</v>
      </c>
      <c r="F8003" s="2">
        <v>2</v>
      </c>
      <c r="G8003" s="2" t="s">
        <v>10</v>
      </c>
    </row>
    <row r="8004" spans="1:9" x14ac:dyDescent="0.2">
      <c r="A8004" s="2" t="s">
        <v>3250</v>
      </c>
      <c r="B8004" s="2" t="s">
        <v>481</v>
      </c>
      <c r="C8004" s="2">
        <v>709.34270000000004</v>
      </c>
      <c r="D8004" s="2">
        <f>HYPERLINK("http://mcb-m6.bioreg.kyushu-u.ac.jp/M3/20110404/F50782/1596/1", 41.89)</f>
        <v>41.89</v>
      </c>
      <c r="E8004" s="2">
        <v>25.84</v>
      </c>
      <c r="F8004" s="2">
        <v>2</v>
      </c>
      <c r="G8004" s="2" t="s">
        <v>10</v>
      </c>
      <c r="I8004" s="2" t="s">
        <v>4898</v>
      </c>
    </row>
    <row r="8005" spans="1:9" x14ac:dyDescent="0.2">
      <c r="A8005" s="2" t="s">
        <v>3250</v>
      </c>
      <c r="B8005" s="2" t="s">
        <v>503</v>
      </c>
      <c r="C8005" s="2">
        <v>539.66049999999996</v>
      </c>
      <c r="D8005" s="2">
        <f>HYPERLINK("http://mcb-m6.bioreg.kyushu-u.ac.jp/M3/20110404/F50782/2146/1", 41.89)</f>
        <v>41.89</v>
      </c>
      <c r="E8005" s="2">
        <v>27.71</v>
      </c>
      <c r="F8005" s="2">
        <v>3</v>
      </c>
      <c r="G8005" s="2" t="s">
        <v>10</v>
      </c>
    </row>
    <row r="8006" spans="1:9" x14ac:dyDescent="0.2">
      <c r="A8006" s="2" t="s">
        <v>3250</v>
      </c>
      <c r="B8006" s="2" t="s">
        <v>1875</v>
      </c>
      <c r="C8006" s="2">
        <v>772.79319999999996</v>
      </c>
      <c r="D8006" s="2">
        <f>HYPERLINK("http://mcb-m6.bioreg.kyushu-u.ac.jp/M3/20110404/F50761/1984/1", 42.07)</f>
        <v>42.07</v>
      </c>
      <c r="E8006" s="2">
        <v>26.28</v>
      </c>
      <c r="F8006" s="2">
        <v>2</v>
      </c>
      <c r="G8006" s="2" t="s">
        <v>10</v>
      </c>
    </row>
    <row r="8007" spans="1:9" x14ac:dyDescent="0.2">
      <c r="A8007" s="2" t="s">
        <v>3250</v>
      </c>
      <c r="B8007" s="2" t="s">
        <v>617</v>
      </c>
      <c r="C8007" s="2">
        <v>686.92409999999995</v>
      </c>
      <c r="D8007" s="2">
        <f>HYPERLINK("http://mcb-m6.bioreg.kyushu-u.ac.jp/M3/20110404/F50770/1710/1", 42.2)</f>
        <v>42.2</v>
      </c>
      <c r="E8007" s="2">
        <v>30.77</v>
      </c>
      <c r="F8007" s="2">
        <v>2</v>
      </c>
      <c r="G8007" s="2" t="s">
        <v>10</v>
      </c>
    </row>
    <row r="8008" spans="1:9" x14ac:dyDescent="0.2">
      <c r="A8008" s="2" t="s">
        <v>3250</v>
      </c>
      <c r="B8008" s="2" t="s">
        <v>481</v>
      </c>
      <c r="C8008" s="2">
        <v>1417.539</v>
      </c>
      <c r="D8008" s="2">
        <f>HYPERLINK("http://mcb-m6.bioreg.kyushu-u.ac.jp/M3/20110404/F50775/1808/1", 42.29)</f>
        <v>42.29</v>
      </c>
      <c r="E8008" s="2">
        <v>23.57</v>
      </c>
      <c r="F8008" s="2">
        <v>1</v>
      </c>
      <c r="G8008" s="2" t="s">
        <v>10</v>
      </c>
      <c r="I8008" s="2" t="s">
        <v>4898</v>
      </c>
    </row>
    <row r="8009" spans="1:9" x14ac:dyDescent="0.2">
      <c r="A8009" s="2" t="s">
        <v>3250</v>
      </c>
      <c r="B8009" s="2" t="s">
        <v>77</v>
      </c>
      <c r="C8009" s="2">
        <v>1148.4290000000001</v>
      </c>
      <c r="D8009" s="2">
        <f>HYPERLINK("http://mcb-m6.bioreg.kyushu-u.ac.jp/M3/20110404/F50761/1214/1", 42.45)</f>
        <v>42.45</v>
      </c>
      <c r="E8009" s="2">
        <v>23.14</v>
      </c>
      <c r="F8009" s="2">
        <v>1</v>
      </c>
      <c r="G8009" s="2" t="s">
        <v>10</v>
      </c>
    </row>
    <row r="8010" spans="1:9" x14ac:dyDescent="0.2">
      <c r="A8010" s="2" t="s">
        <v>3250</v>
      </c>
      <c r="B8010" s="2" t="s">
        <v>1875</v>
      </c>
      <c r="C8010" s="2">
        <v>788.20119999999997</v>
      </c>
      <c r="D8010" s="2">
        <f>HYPERLINK("http://mcb-m6.bioreg.kyushu-u.ac.jp/M3/20110404/F50771/2099/1", 42.54)</f>
        <v>42.54</v>
      </c>
      <c r="E8010" s="2">
        <v>25.56</v>
      </c>
      <c r="F8010" s="2">
        <v>2</v>
      </c>
      <c r="G8010" s="2" t="s">
        <v>10</v>
      </c>
      <c r="H8010" s="2" t="s">
        <v>4953</v>
      </c>
    </row>
    <row r="8011" spans="1:9" x14ac:dyDescent="0.2">
      <c r="A8011" s="2" t="s">
        <v>3250</v>
      </c>
      <c r="B8011" s="2" t="s">
        <v>311</v>
      </c>
      <c r="C8011" s="2">
        <v>1196.402</v>
      </c>
      <c r="D8011" s="2">
        <f>HYPERLINK("http://mcb-m6.bioreg.kyushu-u.ac.jp/M3/20110404/F50769/1534/1", 42.62)</f>
        <v>42.62</v>
      </c>
      <c r="E8011" s="2">
        <v>28.6</v>
      </c>
      <c r="F8011" s="2">
        <v>1</v>
      </c>
      <c r="G8011" s="2" t="s">
        <v>10</v>
      </c>
    </row>
    <row r="8012" spans="1:9" x14ac:dyDescent="0.2">
      <c r="A8012" s="2" t="s">
        <v>3250</v>
      </c>
      <c r="B8012" s="2" t="s">
        <v>617</v>
      </c>
      <c r="C8012" s="2">
        <v>686.35270000000003</v>
      </c>
      <c r="D8012" s="2">
        <f>HYPERLINK("http://mcb-m6.bioreg.kyushu-u.ac.jp/M3/20110404/F50773/1587/1", 42.78)</f>
        <v>42.78</v>
      </c>
      <c r="E8012" s="2">
        <v>21.42</v>
      </c>
      <c r="F8012" s="2">
        <v>2</v>
      </c>
      <c r="G8012" s="2" t="s">
        <v>10</v>
      </c>
    </row>
    <row r="8013" spans="1:9" x14ac:dyDescent="0.2">
      <c r="A8013" s="2" t="s">
        <v>3250</v>
      </c>
      <c r="B8013" s="2" t="s">
        <v>1875</v>
      </c>
      <c r="C8013" s="2">
        <v>772.89869999999996</v>
      </c>
      <c r="D8013" s="2">
        <f>HYPERLINK("http://mcb-m6.bioreg.kyushu-u.ac.jp/M3/20110404/F50771/2018/1", 42.85)</f>
        <v>42.85</v>
      </c>
      <c r="E8013" s="2">
        <v>28.21</v>
      </c>
      <c r="F8013" s="2">
        <v>2</v>
      </c>
      <c r="G8013" s="2" t="s">
        <v>10</v>
      </c>
    </row>
    <row r="8014" spans="1:9" x14ac:dyDescent="0.2">
      <c r="A8014" s="2" t="s">
        <v>3250</v>
      </c>
      <c r="B8014" s="2" t="s">
        <v>481</v>
      </c>
      <c r="C8014" s="2">
        <v>1418.5550000000001</v>
      </c>
      <c r="D8014" s="2">
        <f>HYPERLINK("http://mcb-m6.bioreg.kyushu-u.ac.jp/M3/20110404/F50770/1801/1", 42.88)</f>
        <v>42.88</v>
      </c>
      <c r="E8014" s="2">
        <v>29.54</v>
      </c>
      <c r="F8014" s="2">
        <v>1</v>
      </c>
      <c r="G8014" s="2" t="s">
        <v>10</v>
      </c>
      <c r="I8014" s="2" t="s">
        <v>4898</v>
      </c>
    </row>
    <row r="8015" spans="1:9" x14ac:dyDescent="0.2">
      <c r="A8015" s="2" t="s">
        <v>3250</v>
      </c>
      <c r="B8015" s="2" t="s">
        <v>604</v>
      </c>
      <c r="C8015" s="2">
        <v>520.73720000000003</v>
      </c>
      <c r="D8015" s="2">
        <f>HYPERLINK("http://mcb-m6.bioreg.kyushu-u.ac.jp/M3/20110404/F50768/1153/1", 42.95)</f>
        <v>42.95</v>
      </c>
      <c r="E8015" s="2">
        <v>17.28</v>
      </c>
      <c r="F8015" s="2">
        <v>2</v>
      </c>
      <c r="G8015" s="2" t="s">
        <v>10</v>
      </c>
    </row>
    <row r="8016" spans="1:9" x14ac:dyDescent="0.2">
      <c r="A8016" s="2" t="s">
        <v>3250</v>
      </c>
      <c r="B8016" s="2" t="s">
        <v>77</v>
      </c>
      <c r="C8016" s="2">
        <v>575.29909999999995</v>
      </c>
      <c r="D8016" s="2">
        <f>HYPERLINK("http://mcb-m6.bioreg.kyushu-u.ac.jp/M3/20110404/F50782/999/1", 43)</f>
        <v>43</v>
      </c>
      <c r="E8016" s="2">
        <v>24.26</v>
      </c>
      <c r="F8016" s="2">
        <v>2</v>
      </c>
      <c r="G8016" s="2" t="s">
        <v>10</v>
      </c>
    </row>
    <row r="8017" spans="1:9" x14ac:dyDescent="0.2">
      <c r="A8017" s="2" t="s">
        <v>3250</v>
      </c>
      <c r="B8017" s="2" t="s">
        <v>77</v>
      </c>
      <c r="C8017" s="2">
        <v>1148.5920000000001</v>
      </c>
      <c r="D8017" s="2">
        <f>HYPERLINK("http://mcb-m6.bioreg.kyushu-u.ac.jp/M3/20110404/F50769/1453/1", 43.01)</f>
        <v>43.01</v>
      </c>
      <c r="E8017" s="2">
        <v>21.78</v>
      </c>
      <c r="F8017" s="2">
        <v>1</v>
      </c>
      <c r="G8017" s="2" t="s">
        <v>10</v>
      </c>
    </row>
    <row r="8018" spans="1:9" x14ac:dyDescent="0.2">
      <c r="A8018" s="2" t="s">
        <v>3250</v>
      </c>
      <c r="B8018" s="2" t="s">
        <v>398</v>
      </c>
      <c r="C8018" s="2">
        <v>1279.5940000000001</v>
      </c>
      <c r="D8018" s="2">
        <f>HYPERLINK("http://mcb-m6.bioreg.kyushu-u.ac.jp/M3/20110404/F50770/1541/1", 43.11)</f>
        <v>43.11</v>
      </c>
      <c r="E8018" s="2">
        <v>18.920000000000002</v>
      </c>
      <c r="F8018" s="2">
        <v>1</v>
      </c>
      <c r="G8018" s="2" t="s">
        <v>10</v>
      </c>
    </row>
    <row r="8019" spans="1:9" x14ac:dyDescent="0.2">
      <c r="A8019" s="2" t="s">
        <v>3250</v>
      </c>
      <c r="B8019" s="2" t="s">
        <v>834</v>
      </c>
      <c r="C8019" s="2">
        <v>1242.5709999999999</v>
      </c>
      <c r="D8019" s="2">
        <f>HYPERLINK("http://mcb-m6.bioreg.kyushu-u.ac.jp/M3/20110404/F50770/1492/1", 43.2)</f>
        <v>43.2</v>
      </c>
      <c r="E8019" s="2">
        <v>30.19</v>
      </c>
      <c r="F8019" s="2">
        <v>1</v>
      </c>
      <c r="G8019" s="2" t="s">
        <v>10</v>
      </c>
    </row>
    <row r="8020" spans="1:9" x14ac:dyDescent="0.2">
      <c r="A8020" s="2" t="s">
        <v>3250</v>
      </c>
      <c r="B8020" s="2" t="s">
        <v>467</v>
      </c>
      <c r="C8020" s="2">
        <v>692.09810000000004</v>
      </c>
      <c r="D8020" s="2">
        <f>HYPERLINK("http://mcb-m6.bioreg.kyushu-u.ac.jp/M3/20110404/F50773/1630/1", 43.47)</f>
        <v>43.47</v>
      </c>
      <c r="E8020" s="2">
        <v>13.17</v>
      </c>
      <c r="F8020" s="2">
        <v>2</v>
      </c>
      <c r="G8020" s="2" t="s">
        <v>10</v>
      </c>
    </row>
    <row r="8021" spans="1:9" x14ac:dyDescent="0.2">
      <c r="A8021" s="2" t="s">
        <v>3250</v>
      </c>
      <c r="B8021" s="2" t="s">
        <v>90</v>
      </c>
      <c r="C8021" s="2">
        <v>717.27869999999996</v>
      </c>
      <c r="D8021" s="2">
        <f>HYPERLINK("http://mcb-m6.bioreg.kyushu-u.ac.jp/M3/20110404/F50771/1795/1", 43.52)</f>
        <v>43.52</v>
      </c>
      <c r="E8021" s="2">
        <v>25.28</v>
      </c>
      <c r="F8021" s="2">
        <v>2</v>
      </c>
      <c r="G8021" s="2" t="s">
        <v>10</v>
      </c>
    </row>
    <row r="8022" spans="1:9" x14ac:dyDescent="0.2">
      <c r="A8022" s="2" t="s">
        <v>3250</v>
      </c>
      <c r="B8022" s="2" t="s">
        <v>77</v>
      </c>
      <c r="C8022" s="2">
        <v>1148.8119999999999</v>
      </c>
      <c r="D8022" s="2">
        <f>HYPERLINK("http://mcb-m6.bioreg.kyushu-u.ac.jp/M3/20110404/F50772/1251/1", 43.68)</f>
        <v>43.68</v>
      </c>
      <c r="E8022" s="2">
        <v>17.03</v>
      </c>
      <c r="F8022" s="2">
        <v>1</v>
      </c>
      <c r="G8022" s="2" t="s">
        <v>10</v>
      </c>
    </row>
    <row r="8023" spans="1:9" x14ac:dyDescent="0.2">
      <c r="A8023" s="2" t="s">
        <v>3250</v>
      </c>
      <c r="B8023" s="2" t="s">
        <v>834</v>
      </c>
      <c r="C8023" s="2">
        <v>1242.6669999999999</v>
      </c>
      <c r="D8023" s="2">
        <f>HYPERLINK("http://mcb-m6.bioreg.kyushu-u.ac.jp/M3/20110404/F50782/1217/1", 43.74)</f>
        <v>43.74</v>
      </c>
      <c r="E8023" s="2">
        <v>30.86</v>
      </c>
      <c r="F8023" s="2">
        <v>1</v>
      </c>
      <c r="G8023" s="2" t="s">
        <v>10</v>
      </c>
    </row>
    <row r="8024" spans="1:9" x14ac:dyDescent="0.2">
      <c r="A8024" s="2" t="s">
        <v>3250</v>
      </c>
      <c r="B8024" s="2" t="s">
        <v>77</v>
      </c>
      <c r="C8024" s="2">
        <v>1149.0920000000001</v>
      </c>
      <c r="D8024" s="2">
        <f>HYPERLINK("http://mcb-m6.bioreg.kyushu-u.ac.jp/M3/20110404/F50781/1248/1", 43.75)</f>
        <v>43.75</v>
      </c>
      <c r="E8024" s="2">
        <v>23.13</v>
      </c>
      <c r="F8024" s="2">
        <v>1</v>
      </c>
      <c r="G8024" s="2" t="s">
        <v>10</v>
      </c>
    </row>
    <row r="8025" spans="1:9" x14ac:dyDescent="0.2">
      <c r="A8025" s="2" t="s">
        <v>3250</v>
      </c>
      <c r="B8025" s="2" t="s">
        <v>772</v>
      </c>
      <c r="C8025" s="2">
        <v>1190.432</v>
      </c>
      <c r="D8025" s="2">
        <f>HYPERLINK("http://mcb-m6.bioreg.kyushu-u.ac.jp/M3/20110404/F50760/1309/1", 43.91)</f>
        <v>43.91</v>
      </c>
      <c r="E8025" s="2">
        <v>9.77</v>
      </c>
      <c r="F8025" s="2">
        <v>1</v>
      </c>
      <c r="G8025" s="2" t="s">
        <v>10</v>
      </c>
    </row>
    <row r="8026" spans="1:9" x14ac:dyDescent="0.2">
      <c r="A8026" s="2" t="s">
        <v>3250</v>
      </c>
      <c r="B8026" s="2" t="s">
        <v>398</v>
      </c>
      <c r="C8026" s="2">
        <v>640.42859999999996</v>
      </c>
      <c r="D8026" s="2">
        <f>HYPERLINK("http://mcb-m6.bioreg.kyushu-u.ac.jp/M3/20110404/F50782/1307/1", 43.98)</f>
        <v>43.98</v>
      </c>
      <c r="E8026" s="2">
        <v>21.46</v>
      </c>
      <c r="F8026" s="2">
        <v>2</v>
      </c>
      <c r="G8026" s="2" t="s">
        <v>10</v>
      </c>
    </row>
    <row r="8027" spans="1:9" x14ac:dyDescent="0.2">
      <c r="A8027" s="2" t="s">
        <v>3250</v>
      </c>
      <c r="B8027" s="2" t="s">
        <v>1787</v>
      </c>
      <c r="C8027" s="2">
        <v>1175.4970000000001</v>
      </c>
      <c r="D8027" s="2">
        <f>HYPERLINK("http://mcb-m6.bioreg.kyushu-u.ac.jp/M3/20110404/F50771/1290/1", 44.03)</f>
        <v>44.03</v>
      </c>
      <c r="E8027" s="2">
        <v>30.45</v>
      </c>
      <c r="F8027" s="2">
        <v>1</v>
      </c>
      <c r="G8027" s="2" t="s">
        <v>10</v>
      </c>
      <c r="I8027" s="2" t="s">
        <v>4895</v>
      </c>
    </row>
    <row r="8028" spans="1:9" x14ac:dyDescent="0.2">
      <c r="A8028" s="2" t="s">
        <v>3250</v>
      </c>
      <c r="B8028" s="2" t="s">
        <v>834</v>
      </c>
      <c r="C8028" s="2">
        <v>1242.7239999999999</v>
      </c>
      <c r="D8028" s="2">
        <f>HYPERLINK("http://mcb-m6.bioreg.kyushu-u.ac.jp/M3/20110404/F50774/1435/1", 44.06)</f>
        <v>44.06</v>
      </c>
      <c r="E8028" s="2">
        <v>27.84</v>
      </c>
      <c r="F8028" s="2">
        <v>1</v>
      </c>
      <c r="G8028" s="2" t="s">
        <v>10</v>
      </c>
    </row>
    <row r="8029" spans="1:9" x14ac:dyDescent="0.2">
      <c r="A8029" s="2" t="s">
        <v>3250</v>
      </c>
      <c r="B8029" s="2" t="s">
        <v>102</v>
      </c>
      <c r="C8029" s="2">
        <v>1231.309</v>
      </c>
      <c r="D8029" s="2">
        <f>HYPERLINK("http://mcb-m6.bioreg.kyushu-u.ac.jp/M3/20110404/F50771/1399/1", 44.23)</f>
        <v>44.23</v>
      </c>
      <c r="E8029" s="2">
        <v>22</v>
      </c>
      <c r="F8029" s="2">
        <v>1</v>
      </c>
      <c r="G8029" s="2" t="s">
        <v>10</v>
      </c>
      <c r="H8029" s="2" t="s">
        <v>4900</v>
      </c>
    </row>
    <row r="8030" spans="1:9" x14ac:dyDescent="0.2">
      <c r="A8030" s="2" t="s">
        <v>3250</v>
      </c>
      <c r="B8030" s="2" t="s">
        <v>467</v>
      </c>
      <c r="C8030" s="2">
        <v>692.20209999999997</v>
      </c>
      <c r="D8030" s="2">
        <f>HYPERLINK("http://mcb-m6.bioreg.kyushu-u.ac.jp/M3/20110404/F50760/1611/1", 44.25)</f>
        <v>44.25</v>
      </c>
      <c r="E8030" s="2">
        <v>20.329999999999998</v>
      </c>
      <c r="F8030" s="2">
        <v>2</v>
      </c>
      <c r="G8030" s="2" t="s">
        <v>10</v>
      </c>
    </row>
    <row r="8031" spans="1:9" x14ac:dyDescent="0.2">
      <c r="A8031" s="2" t="s">
        <v>3250</v>
      </c>
      <c r="B8031" s="2" t="s">
        <v>772</v>
      </c>
      <c r="C8031" s="2">
        <v>1190.6289999999999</v>
      </c>
      <c r="D8031" s="2">
        <f>HYPERLINK("http://mcb-m6.bioreg.kyushu-u.ac.jp/M3/20110404/F50781/1332/1", 44.26)</f>
        <v>44.26</v>
      </c>
      <c r="E8031" s="2">
        <v>16.55</v>
      </c>
      <c r="F8031" s="2">
        <v>1</v>
      </c>
      <c r="G8031" s="2" t="s">
        <v>10</v>
      </c>
    </row>
    <row r="8032" spans="1:9" x14ac:dyDescent="0.2">
      <c r="A8032" s="2" t="s">
        <v>3250</v>
      </c>
      <c r="B8032" s="2" t="s">
        <v>90</v>
      </c>
      <c r="C8032" s="2">
        <v>717.24720000000002</v>
      </c>
      <c r="D8032" s="2">
        <f>HYPERLINK("http://mcb-m6.bioreg.kyushu-u.ac.jp/M3/20110404/F50771/1793/1", 44.3)</f>
        <v>44.3</v>
      </c>
      <c r="E8032" s="2">
        <v>13.11</v>
      </c>
      <c r="F8032" s="2">
        <v>2</v>
      </c>
      <c r="G8032" s="2" t="s">
        <v>10</v>
      </c>
    </row>
    <row r="8033" spans="1:9" x14ac:dyDescent="0.2">
      <c r="A8033" s="2" t="s">
        <v>3250</v>
      </c>
      <c r="B8033" s="2" t="s">
        <v>102</v>
      </c>
      <c r="C8033" s="2">
        <v>1215.4069999999999</v>
      </c>
      <c r="D8033" s="2">
        <f>HYPERLINK("http://mcb-m6.bioreg.kyushu-u.ac.jp/M3/20110404/F50772/1380/1", 44.41)</f>
        <v>44.41</v>
      </c>
      <c r="E8033" s="2">
        <v>32.450000000000003</v>
      </c>
      <c r="F8033" s="2">
        <v>1</v>
      </c>
      <c r="G8033" s="2" t="s">
        <v>10</v>
      </c>
    </row>
    <row r="8034" spans="1:9" x14ac:dyDescent="0.2">
      <c r="A8034" s="2" t="s">
        <v>3250</v>
      </c>
      <c r="B8034" s="2" t="s">
        <v>77</v>
      </c>
      <c r="C8034" s="2">
        <v>1148.645</v>
      </c>
      <c r="D8034" s="2">
        <f>HYPERLINK("http://mcb-m6.bioreg.kyushu-u.ac.jp/M3/20110404/F50782/997/1", 44.54)</f>
        <v>44.54</v>
      </c>
      <c r="E8034" s="2">
        <v>23.43</v>
      </c>
      <c r="F8034" s="2">
        <v>1</v>
      </c>
      <c r="G8034" s="2" t="s">
        <v>10</v>
      </c>
    </row>
    <row r="8035" spans="1:9" x14ac:dyDescent="0.2">
      <c r="A8035" s="2" t="s">
        <v>3250</v>
      </c>
      <c r="B8035" s="2" t="s">
        <v>77</v>
      </c>
      <c r="C8035" s="2">
        <v>575.16970000000003</v>
      </c>
      <c r="D8035" s="2">
        <f>HYPERLINK("http://mcb-m6.bioreg.kyushu-u.ac.jp/M3/20110404/F50758/1386/1", 44.58)</f>
        <v>44.58</v>
      </c>
      <c r="E8035" s="2">
        <v>27.8</v>
      </c>
      <c r="F8035" s="2">
        <v>2</v>
      </c>
      <c r="G8035" s="2" t="s">
        <v>10</v>
      </c>
    </row>
    <row r="8036" spans="1:9" x14ac:dyDescent="0.2">
      <c r="A8036" s="2" t="s">
        <v>3250</v>
      </c>
      <c r="B8036" s="2" t="s">
        <v>1875</v>
      </c>
      <c r="C8036" s="2">
        <v>772.34770000000003</v>
      </c>
      <c r="D8036" s="2">
        <f>HYPERLINK("http://mcb-m6.bioreg.kyushu-u.ac.jp/M3/20110404/F50761/1979/1", 44.69)</f>
        <v>44.69</v>
      </c>
      <c r="E8036" s="2">
        <v>34.85</v>
      </c>
      <c r="F8036" s="2">
        <v>2</v>
      </c>
      <c r="G8036" s="2" t="s">
        <v>10</v>
      </c>
    </row>
    <row r="8037" spans="1:9" x14ac:dyDescent="0.2">
      <c r="A8037" s="2" t="s">
        <v>3250</v>
      </c>
      <c r="B8037" s="2" t="s">
        <v>481</v>
      </c>
      <c r="C8037" s="2">
        <v>1417.5809999999999</v>
      </c>
      <c r="D8037" s="2">
        <f>HYPERLINK("http://mcb-m6.bioreg.kyushu-u.ac.jp/M3/20110404/F50774/1756/1", 45.04)</f>
        <v>45.04</v>
      </c>
      <c r="E8037" s="2">
        <v>31.02</v>
      </c>
      <c r="F8037" s="2">
        <v>1</v>
      </c>
      <c r="G8037" s="2" t="s">
        <v>10</v>
      </c>
      <c r="I8037" s="2" t="s">
        <v>4898</v>
      </c>
    </row>
    <row r="8038" spans="1:9" x14ac:dyDescent="0.2">
      <c r="A8038" s="2" t="s">
        <v>3250</v>
      </c>
      <c r="B8038" s="2" t="s">
        <v>834</v>
      </c>
      <c r="C8038" s="2">
        <v>1243.1610000000001</v>
      </c>
      <c r="D8038" s="2">
        <f>HYPERLINK("http://mcb-m6.bioreg.kyushu-u.ac.jp/M3/20110404/F50773/1336/1", 45.18)</f>
        <v>45.18</v>
      </c>
      <c r="E8038" s="2">
        <v>29.37</v>
      </c>
      <c r="F8038" s="2">
        <v>1</v>
      </c>
      <c r="G8038" s="2" t="s">
        <v>10</v>
      </c>
    </row>
    <row r="8039" spans="1:9" x14ac:dyDescent="0.2">
      <c r="A8039" s="2" t="s">
        <v>3250</v>
      </c>
      <c r="B8039" s="2" t="s">
        <v>834</v>
      </c>
      <c r="C8039" s="2">
        <v>1242.5909999999999</v>
      </c>
      <c r="D8039" s="2">
        <f>HYPERLINK("http://mcb-m6.bioreg.kyushu-u.ac.jp/M3/20110404/F50772/1443/1", 45.23)</f>
        <v>45.23</v>
      </c>
      <c r="E8039" s="2">
        <v>27.5</v>
      </c>
      <c r="F8039" s="2">
        <v>1</v>
      </c>
      <c r="G8039" s="2" t="s">
        <v>10</v>
      </c>
    </row>
    <row r="8040" spans="1:9" x14ac:dyDescent="0.2">
      <c r="A8040" s="2" t="s">
        <v>3250</v>
      </c>
      <c r="B8040" s="2" t="s">
        <v>617</v>
      </c>
      <c r="C8040" s="2">
        <v>686.3356</v>
      </c>
      <c r="D8040" s="2">
        <f>HYPERLINK("http://mcb-m6.bioreg.kyushu-u.ac.jp/M3/20110404/F50775/1683/1", 45.5)</f>
        <v>45.5</v>
      </c>
      <c r="E8040" s="2">
        <v>32.21</v>
      </c>
      <c r="F8040" s="2">
        <v>2</v>
      </c>
      <c r="G8040" s="2" t="s">
        <v>10</v>
      </c>
    </row>
    <row r="8041" spans="1:9" x14ac:dyDescent="0.2">
      <c r="A8041" s="2" t="s">
        <v>3250</v>
      </c>
      <c r="B8041" s="2" t="s">
        <v>772</v>
      </c>
      <c r="C8041" s="2">
        <v>1190.4390000000001</v>
      </c>
      <c r="D8041" s="2">
        <f>HYPERLINK("http://mcb-m6.bioreg.kyushu-u.ac.jp/M3/20110404/F50758/1453/1", 45.57)</f>
        <v>45.57</v>
      </c>
      <c r="E8041" s="2">
        <v>23.08</v>
      </c>
      <c r="F8041" s="2">
        <v>1</v>
      </c>
      <c r="G8041" s="2" t="s">
        <v>10</v>
      </c>
    </row>
    <row r="8042" spans="1:9" x14ac:dyDescent="0.2">
      <c r="A8042" s="2" t="s">
        <v>3250</v>
      </c>
      <c r="B8042" s="2" t="s">
        <v>617</v>
      </c>
      <c r="C8042" s="2">
        <v>686.39670000000001</v>
      </c>
      <c r="D8042" s="2">
        <f>HYPERLINK("http://mcb-m6.bioreg.kyushu-u.ac.jp/M3/20110404/F50768/1654/1", 45.69)</f>
        <v>45.69</v>
      </c>
      <c r="E8042" s="2">
        <v>27.52</v>
      </c>
      <c r="F8042" s="2">
        <v>2</v>
      </c>
      <c r="G8042" s="2" t="s">
        <v>10</v>
      </c>
    </row>
    <row r="8043" spans="1:9" x14ac:dyDescent="0.2">
      <c r="A8043" s="2" t="s">
        <v>3250</v>
      </c>
      <c r="B8043" s="2" t="s">
        <v>481</v>
      </c>
      <c r="C8043" s="2">
        <v>1418.029</v>
      </c>
      <c r="D8043" s="2">
        <f>HYPERLINK("http://mcb-m6.bioreg.kyushu-u.ac.jp/M3/20110404/F50760/1684/1", 45.79)</f>
        <v>45.79</v>
      </c>
      <c r="E8043" s="2">
        <v>36.92</v>
      </c>
      <c r="F8043" s="2">
        <v>1</v>
      </c>
      <c r="G8043" s="2" t="s">
        <v>10</v>
      </c>
      <c r="I8043" s="2" t="s">
        <v>4898</v>
      </c>
    </row>
    <row r="8044" spans="1:9" x14ac:dyDescent="0.2">
      <c r="A8044" s="2" t="s">
        <v>3250</v>
      </c>
      <c r="B8044" s="2" t="s">
        <v>617</v>
      </c>
      <c r="C8044" s="2">
        <v>686.34059999999999</v>
      </c>
      <c r="D8044" s="2">
        <f>HYPERLINK("http://mcb-m6.bioreg.kyushu-u.ac.jp/M3/20110404/F50770/1703/1", 45.91)</f>
        <v>45.91</v>
      </c>
      <c r="E8044" s="2">
        <v>27.53</v>
      </c>
      <c r="F8044" s="2">
        <v>2</v>
      </c>
      <c r="G8044" s="2" t="s">
        <v>10</v>
      </c>
    </row>
    <row r="8045" spans="1:9" x14ac:dyDescent="0.2">
      <c r="A8045" s="2" t="s">
        <v>3250</v>
      </c>
      <c r="B8045" s="2" t="s">
        <v>6017</v>
      </c>
      <c r="C8045" s="2">
        <v>797.47379999999998</v>
      </c>
      <c r="D8045" s="2">
        <f>HYPERLINK("http://mcb-m6.bioreg.kyushu-u.ac.jp/M3/20110404/F50782/3549/1", 46.17)</f>
        <v>46.17</v>
      </c>
      <c r="E8045" s="2">
        <v>27.7</v>
      </c>
      <c r="F8045" s="2">
        <v>3</v>
      </c>
      <c r="G8045" s="2" t="s">
        <v>10</v>
      </c>
      <c r="I8045" s="2" t="s">
        <v>4895</v>
      </c>
    </row>
    <row r="8046" spans="1:9" x14ac:dyDescent="0.2">
      <c r="A8046" s="2" t="s">
        <v>3250</v>
      </c>
      <c r="B8046" s="2" t="s">
        <v>834</v>
      </c>
      <c r="C8046" s="2">
        <v>1242.556</v>
      </c>
      <c r="D8046" s="2">
        <f>HYPERLINK("http://mcb-m6.bioreg.kyushu-u.ac.jp/M3/20110404/F50771/1414/1", 46.2)</f>
        <v>46.2</v>
      </c>
      <c r="E8046" s="2">
        <v>28.66</v>
      </c>
      <c r="F8046" s="2">
        <v>1</v>
      </c>
      <c r="G8046" s="2" t="s">
        <v>10</v>
      </c>
    </row>
    <row r="8047" spans="1:9" x14ac:dyDescent="0.2">
      <c r="A8047" s="2" t="s">
        <v>3250</v>
      </c>
      <c r="B8047" s="2" t="s">
        <v>311</v>
      </c>
      <c r="C8047" s="2">
        <v>598.59619999999995</v>
      </c>
      <c r="D8047" s="2">
        <f>HYPERLINK("http://mcb-m6.bioreg.kyushu-u.ac.jp/M3/20110404/F50770/1418/1", 46.53)</f>
        <v>46.53</v>
      </c>
      <c r="E8047" s="2">
        <v>35.57</v>
      </c>
      <c r="F8047" s="2">
        <v>2</v>
      </c>
      <c r="G8047" s="2" t="s">
        <v>10</v>
      </c>
    </row>
    <row r="8048" spans="1:9" x14ac:dyDescent="0.2">
      <c r="A8048" s="2" t="s">
        <v>3250</v>
      </c>
      <c r="B8048" s="2" t="s">
        <v>30</v>
      </c>
      <c r="C8048" s="2">
        <v>965.29169999999999</v>
      </c>
      <c r="D8048" s="2">
        <f>HYPERLINK("http://mcb-m6.bioreg.kyushu-u.ac.jp/M3/20110404/F50774/2619/1", 46.64)</f>
        <v>46.64</v>
      </c>
      <c r="E8048" s="2">
        <v>42.25</v>
      </c>
      <c r="F8048" s="2">
        <v>2</v>
      </c>
      <c r="G8048" s="2" t="s">
        <v>10</v>
      </c>
      <c r="I8048" s="2" t="s">
        <v>4894</v>
      </c>
    </row>
    <row r="8049" spans="1:9" x14ac:dyDescent="0.2">
      <c r="A8049" s="2" t="s">
        <v>3250</v>
      </c>
      <c r="B8049" s="2" t="s">
        <v>90</v>
      </c>
      <c r="C8049" s="2">
        <v>717.20420000000001</v>
      </c>
      <c r="D8049" s="2">
        <f>HYPERLINK("http://mcb-m6.bioreg.kyushu-u.ac.jp/M3/20110404/F50771/1792/1", 46.89)</f>
        <v>46.89</v>
      </c>
      <c r="E8049" s="2">
        <v>25.82</v>
      </c>
      <c r="F8049" s="2">
        <v>2</v>
      </c>
      <c r="G8049" s="2" t="s">
        <v>10</v>
      </c>
    </row>
    <row r="8050" spans="1:9" x14ac:dyDescent="0.2">
      <c r="A8050" s="2" t="s">
        <v>3250</v>
      </c>
      <c r="B8050" s="2" t="s">
        <v>1065</v>
      </c>
      <c r="C8050" s="2">
        <v>716.6422</v>
      </c>
      <c r="D8050" s="2">
        <f>HYPERLINK("http://mcb-m6.bioreg.kyushu-u.ac.jp/M3/20110404/F50782/1658/1", 46.9)</f>
        <v>46.9</v>
      </c>
      <c r="E8050" s="2">
        <v>32.4</v>
      </c>
      <c r="F8050" s="2">
        <v>2</v>
      </c>
      <c r="G8050" s="2" t="s">
        <v>10</v>
      </c>
      <c r="I8050" s="2" t="s">
        <v>4892</v>
      </c>
    </row>
    <row r="8051" spans="1:9" x14ac:dyDescent="0.2">
      <c r="A8051" s="2" t="s">
        <v>3250</v>
      </c>
      <c r="B8051" s="2" t="s">
        <v>1787</v>
      </c>
      <c r="C8051" s="2">
        <v>588.29610000000002</v>
      </c>
      <c r="D8051" s="2">
        <f>HYPERLINK("http://mcb-m6.bioreg.kyushu-u.ac.jp/M3/20110404/F50782/1052/1", 46.91)</f>
        <v>46.91</v>
      </c>
      <c r="E8051" s="2">
        <v>34.409999999999997</v>
      </c>
      <c r="F8051" s="2">
        <v>2</v>
      </c>
      <c r="G8051" s="2" t="s">
        <v>10</v>
      </c>
      <c r="I8051" s="2" t="s">
        <v>4895</v>
      </c>
    </row>
    <row r="8052" spans="1:9" x14ac:dyDescent="0.2">
      <c r="A8052" s="2" t="s">
        <v>3250</v>
      </c>
      <c r="B8052" s="2" t="s">
        <v>604</v>
      </c>
      <c r="C8052" s="2">
        <v>520.88670000000002</v>
      </c>
      <c r="D8052" s="2">
        <f>HYPERLINK("http://mcb-m6.bioreg.kyushu-u.ac.jp/M3/20110404/F50782/830/1", 47.46)</f>
        <v>47.46</v>
      </c>
      <c r="E8052" s="2">
        <v>10.36</v>
      </c>
      <c r="F8052" s="2">
        <v>2</v>
      </c>
      <c r="G8052" s="2" t="s">
        <v>10</v>
      </c>
    </row>
    <row r="8053" spans="1:9" x14ac:dyDescent="0.2">
      <c r="A8053" s="2" t="s">
        <v>3250</v>
      </c>
      <c r="B8053" s="2" t="s">
        <v>102</v>
      </c>
      <c r="C8053" s="2">
        <v>616.23220000000003</v>
      </c>
      <c r="D8053" s="2">
        <f>HYPERLINK("http://mcb-m6.bioreg.kyushu-u.ac.jp/M3/20110404/F50769/1594/1", 47.49)</f>
        <v>47.49</v>
      </c>
      <c r="E8053" s="2">
        <v>31.39</v>
      </c>
      <c r="F8053" s="2">
        <v>2</v>
      </c>
      <c r="G8053" s="2" t="s">
        <v>10</v>
      </c>
      <c r="H8053" s="2" t="s">
        <v>4900</v>
      </c>
    </row>
    <row r="8054" spans="1:9" x14ac:dyDescent="0.2">
      <c r="A8054" s="2" t="s">
        <v>3250</v>
      </c>
      <c r="B8054" s="2" t="s">
        <v>77</v>
      </c>
      <c r="C8054" s="2">
        <v>1148.384</v>
      </c>
      <c r="D8054" s="2">
        <f>HYPERLINK("http://mcb-m6.bioreg.kyushu-u.ac.jp/M3/20110404/F50771/1252/1", 47.51)</f>
        <v>47.51</v>
      </c>
      <c r="E8054" s="2">
        <v>22.7</v>
      </c>
      <c r="F8054" s="2">
        <v>1</v>
      </c>
      <c r="G8054" s="2" t="s">
        <v>10</v>
      </c>
    </row>
    <row r="8055" spans="1:9" x14ac:dyDescent="0.2">
      <c r="A8055" s="2" t="s">
        <v>3250</v>
      </c>
      <c r="B8055" s="2" t="s">
        <v>77</v>
      </c>
      <c r="C8055" s="2">
        <v>1148.548</v>
      </c>
      <c r="D8055" s="2">
        <f>HYPERLINK("http://mcb-m6.bioreg.kyushu-u.ac.jp/M3/20110404/F50775/1278/1", 47.68)</f>
        <v>47.68</v>
      </c>
      <c r="E8055" s="2">
        <v>23.78</v>
      </c>
      <c r="F8055" s="2">
        <v>1</v>
      </c>
      <c r="G8055" s="2" t="s">
        <v>10</v>
      </c>
    </row>
    <row r="8056" spans="1:9" x14ac:dyDescent="0.2">
      <c r="A8056" s="2" t="s">
        <v>3250</v>
      </c>
      <c r="B8056" s="2" t="s">
        <v>102</v>
      </c>
      <c r="C8056" s="2">
        <v>608.8732</v>
      </c>
      <c r="D8056" s="2">
        <f>HYPERLINK("http://mcb-m6.bioreg.kyushu-u.ac.jp/M3/20110404/F50782/1155/1", 47.77)</f>
        <v>47.77</v>
      </c>
      <c r="E8056" s="2">
        <v>19.489999999999998</v>
      </c>
      <c r="F8056" s="2">
        <v>2</v>
      </c>
      <c r="G8056" s="2" t="s">
        <v>10</v>
      </c>
    </row>
    <row r="8057" spans="1:9" x14ac:dyDescent="0.2">
      <c r="A8057" s="2" t="s">
        <v>3250</v>
      </c>
      <c r="B8057" s="2" t="s">
        <v>365</v>
      </c>
      <c r="C8057" s="2">
        <v>848.84119999999996</v>
      </c>
      <c r="D8057" s="2">
        <f>HYPERLINK("http://mcb-m6.bioreg.kyushu-u.ac.jp/M3/20110404/F50760/2182/1", 47.97)</f>
        <v>47.97</v>
      </c>
      <c r="E8057" s="2">
        <v>33.71</v>
      </c>
      <c r="F8057" s="2">
        <v>2</v>
      </c>
      <c r="G8057" s="2" t="s">
        <v>10</v>
      </c>
    </row>
    <row r="8058" spans="1:9" x14ac:dyDescent="0.2">
      <c r="A8058" s="2" t="s">
        <v>3250</v>
      </c>
      <c r="B8058" s="2" t="s">
        <v>834</v>
      </c>
      <c r="C8058" s="2">
        <v>621.80110000000002</v>
      </c>
      <c r="D8058" s="2">
        <f>HYPERLINK("http://mcb-m6.bioreg.kyushu-u.ac.jp/M3/20110404/F50761/1392/1", 48.1)</f>
        <v>48.1</v>
      </c>
      <c r="E8058" s="2">
        <v>28.5</v>
      </c>
      <c r="F8058" s="2">
        <v>2</v>
      </c>
      <c r="G8058" s="2" t="s">
        <v>10</v>
      </c>
    </row>
    <row r="8059" spans="1:9" x14ac:dyDescent="0.2">
      <c r="A8059" s="2" t="s">
        <v>3250</v>
      </c>
      <c r="B8059" s="2" t="s">
        <v>1787</v>
      </c>
      <c r="C8059" s="2">
        <v>1175.578</v>
      </c>
      <c r="D8059" s="2">
        <f>HYPERLINK("http://mcb-m6.bioreg.kyushu-u.ac.jp/M3/20110404/F50774/1292/1", 48.2)</f>
        <v>48.2</v>
      </c>
      <c r="E8059" s="2">
        <v>29.17</v>
      </c>
      <c r="F8059" s="2">
        <v>1</v>
      </c>
      <c r="G8059" s="2" t="s">
        <v>10</v>
      </c>
      <c r="I8059" s="2" t="s">
        <v>4895</v>
      </c>
    </row>
    <row r="8060" spans="1:9" x14ac:dyDescent="0.2">
      <c r="A8060" s="2" t="s">
        <v>3250</v>
      </c>
      <c r="B8060" s="2" t="s">
        <v>1875</v>
      </c>
      <c r="C8060" s="2">
        <v>788.3152</v>
      </c>
      <c r="D8060" s="2">
        <f>HYPERLINK("http://mcb-m6.bioreg.kyushu-u.ac.jp/M3/20110404/F50770/2098/1", 48.26)</f>
        <v>48.26</v>
      </c>
      <c r="E8060" s="2">
        <v>29.47</v>
      </c>
      <c r="F8060" s="2">
        <v>2</v>
      </c>
      <c r="G8060" s="2" t="s">
        <v>10</v>
      </c>
      <c r="H8060" s="2" t="s">
        <v>4953</v>
      </c>
    </row>
    <row r="8061" spans="1:9" x14ac:dyDescent="0.2">
      <c r="A8061" s="2" t="s">
        <v>3250</v>
      </c>
      <c r="B8061" s="2" t="s">
        <v>1875</v>
      </c>
      <c r="C8061" s="2">
        <v>788.34969999999998</v>
      </c>
      <c r="D8061" s="2">
        <f>HYPERLINK("http://mcb-m6.bioreg.kyushu-u.ac.jp/M3/20110404/F50773/2029/1", 48.41)</f>
        <v>48.41</v>
      </c>
      <c r="E8061" s="2">
        <v>31.91</v>
      </c>
      <c r="F8061" s="2">
        <v>2</v>
      </c>
      <c r="G8061" s="2" t="s">
        <v>10</v>
      </c>
      <c r="H8061" s="2" t="s">
        <v>4953</v>
      </c>
    </row>
    <row r="8062" spans="1:9" x14ac:dyDescent="0.2">
      <c r="A8062" s="2" t="s">
        <v>3250</v>
      </c>
      <c r="B8062" s="2" t="s">
        <v>481</v>
      </c>
      <c r="C8062" s="2">
        <v>1417.529</v>
      </c>
      <c r="D8062" s="2">
        <f>HYPERLINK("http://mcb-m6.bioreg.kyushu-u.ac.jp/M3/20110404/F50769/1871/1", 48.43)</f>
        <v>48.43</v>
      </c>
      <c r="E8062" s="2">
        <v>35.659999999999997</v>
      </c>
      <c r="F8062" s="2">
        <v>1</v>
      </c>
      <c r="G8062" s="2" t="s">
        <v>10</v>
      </c>
      <c r="I8062" s="2" t="s">
        <v>4898</v>
      </c>
    </row>
    <row r="8063" spans="1:9" x14ac:dyDescent="0.2">
      <c r="A8063" s="2" t="s">
        <v>3250</v>
      </c>
      <c r="B8063" s="2" t="s">
        <v>365</v>
      </c>
      <c r="C8063" s="2">
        <v>566.51149999999996</v>
      </c>
      <c r="D8063" s="2">
        <f>HYPERLINK("http://mcb-m6.bioreg.kyushu-u.ac.jp/M3/20110404/F50782/2322/1", 48.47)</f>
        <v>48.47</v>
      </c>
      <c r="E8063" s="2">
        <v>32.909999999999997</v>
      </c>
      <c r="F8063" s="2">
        <v>3</v>
      </c>
      <c r="G8063" s="2" t="s">
        <v>10</v>
      </c>
    </row>
    <row r="8064" spans="1:9" x14ac:dyDescent="0.2">
      <c r="A8064" s="2" t="s">
        <v>3250</v>
      </c>
      <c r="B8064" s="2" t="s">
        <v>1875</v>
      </c>
      <c r="C8064" s="2">
        <v>771.83969999999999</v>
      </c>
      <c r="D8064" s="2">
        <f>HYPERLINK("http://mcb-m6.bioreg.kyushu-u.ac.jp/M3/20110404/F50761/1976/1", 48.48)</f>
        <v>48.48</v>
      </c>
      <c r="E8064" s="2">
        <v>26.19</v>
      </c>
      <c r="F8064" s="2">
        <v>2</v>
      </c>
      <c r="G8064" s="2" t="s">
        <v>10</v>
      </c>
    </row>
    <row r="8065" spans="1:9" x14ac:dyDescent="0.2">
      <c r="A8065" s="2" t="s">
        <v>3250</v>
      </c>
      <c r="B8065" s="2" t="s">
        <v>311</v>
      </c>
      <c r="C8065" s="2">
        <v>1212.972</v>
      </c>
      <c r="D8065" s="2">
        <f>HYPERLINK("http://mcb-m6.bioreg.kyushu-u.ac.jp/M3/20110404/F50770/1439/1", 48.51)</f>
        <v>48.51</v>
      </c>
      <c r="E8065" s="2">
        <v>28.88</v>
      </c>
      <c r="F8065" s="2">
        <v>1</v>
      </c>
      <c r="G8065" s="2" t="s">
        <v>10</v>
      </c>
      <c r="H8065" s="2" t="s">
        <v>4908</v>
      </c>
    </row>
    <row r="8066" spans="1:9" x14ac:dyDescent="0.2">
      <c r="A8066" s="2" t="s">
        <v>3250</v>
      </c>
      <c r="B8066" s="2" t="s">
        <v>561</v>
      </c>
      <c r="C8066" s="2">
        <v>1324.443</v>
      </c>
      <c r="D8066" s="2">
        <f>HYPERLINK("http://mcb-m6.bioreg.kyushu-u.ac.jp/M3/20110404/F50769/1710/1", 48.6)</f>
        <v>48.6</v>
      </c>
      <c r="E8066" s="2">
        <v>34.49</v>
      </c>
      <c r="F8066" s="2">
        <v>1</v>
      </c>
      <c r="G8066" s="2" t="s">
        <v>10</v>
      </c>
      <c r="H8066" s="2" t="s">
        <v>4919</v>
      </c>
    </row>
    <row r="8067" spans="1:9" x14ac:dyDescent="0.2">
      <c r="A8067" s="2" t="s">
        <v>3250</v>
      </c>
      <c r="B8067" s="2" t="s">
        <v>604</v>
      </c>
      <c r="C8067" s="2">
        <v>520.74369999999999</v>
      </c>
      <c r="D8067" s="2">
        <f>HYPERLINK("http://mcb-m6.bioreg.kyushu-u.ac.jp/M3/20110404/F50771/1089/1", 48.66)</f>
        <v>48.66</v>
      </c>
      <c r="E8067" s="2">
        <v>11.63</v>
      </c>
      <c r="F8067" s="2">
        <v>2</v>
      </c>
      <c r="G8067" s="2" t="s">
        <v>10</v>
      </c>
    </row>
    <row r="8068" spans="1:9" x14ac:dyDescent="0.2">
      <c r="A8068" s="2" t="s">
        <v>3250</v>
      </c>
      <c r="B8068" s="2" t="s">
        <v>772</v>
      </c>
      <c r="C8068" s="2">
        <v>1190.529</v>
      </c>
      <c r="D8068" s="2">
        <f>HYPERLINK("http://mcb-m6.bioreg.kyushu-u.ac.jp/M3/20110404/F50773/1237/1", 48.84)</f>
        <v>48.84</v>
      </c>
      <c r="E8068" s="2">
        <v>14.65</v>
      </c>
      <c r="F8068" s="2">
        <v>1</v>
      </c>
      <c r="G8068" s="2" t="s">
        <v>10</v>
      </c>
    </row>
    <row r="8069" spans="1:9" x14ac:dyDescent="0.2">
      <c r="A8069" s="2" t="s">
        <v>3250</v>
      </c>
      <c r="B8069" s="2" t="s">
        <v>175</v>
      </c>
      <c r="C8069" s="2">
        <v>784.42610000000002</v>
      </c>
      <c r="D8069" s="2">
        <f>HYPERLINK("http://mcb-m6.bioreg.kyushu-u.ac.jp/M3/20110404/F50769/2114/1", 49.02)</f>
        <v>49.02</v>
      </c>
      <c r="E8069" s="2">
        <v>34.65</v>
      </c>
      <c r="F8069" s="2">
        <v>2</v>
      </c>
      <c r="G8069" s="2" t="s">
        <v>10</v>
      </c>
      <c r="I8069" s="2" t="s">
        <v>4893</v>
      </c>
    </row>
    <row r="8070" spans="1:9" x14ac:dyDescent="0.2">
      <c r="A8070" s="2" t="s">
        <v>3250</v>
      </c>
      <c r="B8070" s="2" t="s">
        <v>1787</v>
      </c>
      <c r="C8070" s="2">
        <v>1175.6179999999999</v>
      </c>
      <c r="D8070" s="2">
        <f>HYPERLINK("http://mcb-m6.bioreg.kyushu-u.ac.jp/M3/20110404/F50782/1053/1", 49.08)</f>
        <v>49.08</v>
      </c>
      <c r="E8070" s="2">
        <v>31.3</v>
      </c>
      <c r="F8070" s="2">
        <v>1</v>
      </c>
      <c r="G8070" s="2" t="s">
        <v>10</v>
      </c>
      <c r="I8070" s="2" t="s">
        <v>4895</v>
      </c>
    </row>
    <row r="8071" spans="1:9" x14ac:dyDescent="0.2">
      <c r="A8071" s="2" t="s">
        <v>3250</v>
      </c>
      <c r="B8071" s="2" t="s">
        <v>561</v>
      </c>
      <c r="C8071" s="2">
        <v>1324.519</v>
      </c>
      <c r="D8071" s="2">
        <f>HYPERLINK("http://mcb-m6.bioreg.kyushu-u.ac.jp/M3/20110404/F50770/1594/1", 49.08)</f>
        <v>49.08</v>
      </c>
      <c r="E8071" s="2">
        <v>33.96</v>
      </c>
      <c r="F8071" s="2">
        <v>1</v>
      </c>
      <c r="G8071" s="2" t="s">
        <v>10</v>
      </c>
      <c r="H8071" s="2" t="s">
        <v>4919</v>
      </c>
    </row>
    <row r="8072" spans="1:9" x14ac:dyDescent="0.2">
      <c r="A8072" s="2" t="s">
        <v>3250</v>
      </c>
      <c r="B8072" s="2" t="s">
        <v>311</v>
      </c>
      <c r="C8072" s="2">
        <v>1196.3330000000001</v>
      </c>
      <c r="D8072" s="2">
        <f>HYPERLINK("http://mcb-m6.bioreg.kyushu-u.ac.jp/M3/20110404/F50771/1324/1", 49.1)</f>
        <v>49.1</v>
      </c>
      <c r="E8072" s="2">
        <v>35.380000000000003</v>
      </c>
      <c r="F8072" s="2">
        <v>1</v>
      </c>
      <c r="G8072" s="2" t="s">
        <v>10</v>
      </c>
    </row>
    <row r="8073" spans="1:9" x14ac:dyDescent="0.2">
      <c r="A8073" s="2" t="s">
        <v>3250</v>
      </c>
      <c r="B8073" s="2" t="s">
        <v>398</v>
      </c>
      <c r="C8073" s="2">
        <v>640.40309999999999</v>
      </c>
      <c r="D8073" s="2">
        <f>HYPERLINK("http://mcb-m6.bioreg.kyushu-u.ac.jp/M3/20110404/F50774/1489/1", 49.36)</f>
        <v>49.36</v>
      </c>
      <c r="E8073" s="2">
        <v>28.76</v>
      </c>
      <c r="F8073" s="2">
        <v>2</v>
      </c>
      <c r="G8073" s="2" t="s">
        <v>10</v>
      </c>
    </row>
    <row r="8074" spans="1:9" x14ac:dyDescent="0.2">
      <c r="A8074" s="2" t="s">
        <v>3250</v>
      </c>
      <c r="B8074" s="2" t="s">
        <v>1787</v>
      </c>
      <c r="C8074" s="2">
        <v>1175.5260000000001</v>
      </c>
      <c r="D8074" s="2">
        <f>HYPERLINK("http://mcb-m6.bioreg.kyushu-u.ac.jp/M3/20110404/F50768/1338/1", 49.45)</f>
        <v>49.45</v>
      </c>
      <c r="E8074" s="2">
        <v>22.9</v>
      </c>
      <c r="F8074" s="2">
        <v>1</v>
      </c>
      <c r="G8074" s="2" t="s">
        <v>10</v>
      </c>
      <c r="I8074" s="2" t="s">
        <v>4895</v>
      </c>
    </row>
    <row r="8075" spans="1:9" x14ac:dyDescent="0.2">
      <c r="A8075" s="2" t="s">
        <v>3250</v>
      </c>
      <c r="B8075" s="2" t="s">
        <v>1875</v>
      </c>
      <c r="C8075" s="2">
        <v>788.46310000000005</v>
      </c>
      <c r="D8075" s="2">
        <f>HYPERLINK("http://mcb-m6.bioreg.kyushu-u.ac.jp/M3/20110404/F50782/2031/1", 49.69)</f>
        <v>49.69</v>
      </c>
      <c r="E8075" s="2">
        <v>33.450000000000003</v>
      </c>
      <c r="F8075" s="2">
        <v>2</v>
      </c>
      <c r="G8075" s="2" t="s">
        <v>10</v>
      </c>
      <c r="H8075" s="2" t="s">
        <v>4953</v>
      </c>
    </row>
    <row r="8076" spans="1:9" x14ac:dyDescent="0.2">
      <c r="A8076" s="2" t="s">
        <v>3250</v>
      </c>
      <c r="B8076" s="2" t="s">
        <v>175</v>
      </c>
      <c r="C8076" s="2">
        <v>784.34270000000004</v>
      </c>
      <c r="D8076" s="2">
        <f>HYPERLINK("http://mcb-m6.bioreg.kyushu-u.ac.jp/M3/20110404/F50774/2071/1", 49.91)</f>
        <v>49.91</v>
      </c>
      <c r="E8076" s="2">
        <v>38.090000000000003</v>
      </c>
      <c r="F8076" s="2">
        <v>2</v>
      </c>
      <c r="G8076" s="2" t="s">
        <v>10</v>
      </c>
      <c r="I8076" s="2" t="s">
        <v>4893</v>
      </c>
    </row>
    <row r="8077" spans="1:9" x14ac:dyDescent="0.2">
      <c r="A8077" s="2" t="s">
        <v>3250</v>
      </c>
      <c r="B8077" s="2" t="s">
        <v>175</v>
      </c>
      <c r="C8077" s="2">
        <v>784.50459999999998</v>
      </c>
      <c r="D8077" s="2">
        <f>HYPERLINK("http://mcb-m6.bioreg.kyushu-u.ac.jp/M3/20110404/F50771/2083/1", 49.96)</f>
        <v>49.96</v>
      </c>
      <c r="E8077" s="2">
        <v>36.85</v>
      </c>
      <c r="F8077" s="2">
        <v>2</v>
      </c>
      <c r="G8077" s="2" t="s">
        <v>10</v>
      </c>
      <c r="I8077" s="2" t="s">
        <v>4893</v>
      </c>
    </row>
    <row r="8078" spans="1:9" x14ac:dyDescent="0.2">
      <c r="A8078" s="2" t="s">
        <v>3250</v>
      </c>
      <c r="B8078" s="2" t="s">
        <v>772</v>
      </c>
      <c r="C8078" s="2">
        <v>1190.502</v>
      </c>
      <c r="D8078" s="2">
        <f>HYPERLINK("http://mcb-m6.bioreg.kyushu-u.ac.jp/M3/20110404/F50769/1522/1", 49.97)</f>
        <v>49.97</v>
      </c>
      <c r="E8078" s="2">
        <v>30.19</v>
      </c>
      <c r="F8078" s="2">
        <v>1</v>
      </c>
      <c r="G8078" s="2" t="s">
        <v>10</v>
      </c>
    </row>
    <row r="8079" spans="1:9" x14ac:dyDescent="0.2">
      <c r="A8079" s="2" t="s">
        <v>3250</v>
      </c>
      <c r="B8079" s="2" t="s">
        <v>543</v>
      </c>
      <c r="C8079" s="2">
        <v>927.45669999999996</v>
      </c>
      <c r="D8079" s="2">
        <f>HYPERLINK("http://mcb-m6.bioreg.kyushu-u.ac.jp/M3/20110404/F50770/2482/1", 49.97)</f>
        <v>49.97</v>
      </c>
      <c r="E8079" s="2">
        <v>35.97</v>
      </c>
      <c r="F8079" s="2">
        <v>2</v>
      </c>
      <c r="G8079" s="2" t="s">
        <v>10</v>
      </c>
    </row>
    <row r="8080" spans="1:9" x14ac:dyDescent="0.2">
      <c r="A8080" s="2" t="s">
        <v>3250</v>
      </c>
      <c r="B8080" s="2" t="s">
        <v>1875</v>
      </c>
      <c r="C8080" s="2">
        <v>788.4067</v>
      </c>
      <c r="D8080" s="2">
        <f>HYPERLINK("http://mcb-m6.bioreg.kyushu-u.ac.jp/M3/20110404/F50761/2054/1", 50.03)</f>
        <v>50.03</v>
      </c>
      <c r="E8080" s="2">
        <v>35.42</v>
      </c>
      <c r="F8080" s="2">
        <v>2</v>
      </c>
      <c r="G8080" s="2" t="s">
        <v>10</v>
      </c>
      <c r="H8080" s="2" t="s">
        <v>4953</v>
      </c>
    </row>
    <row r="8081" spans="1:9" x14ac:dyDescent="0.2">
      <c r="A8081" s="2" t="s">
        <v>3250</v>
      </c>
      <c r="B8081" s="2" t="s">
        <v>1065</v>
      </c>
      <c r="C8081" s="2">
        <v>716.71310000000005</v>
      </c>
      <c r="D8081" s="2">
        <f>HYPERLINK("http://mcb-m6.bioreg.kyushu-u.ac.jp/M3/20110404/F50770/1843/1", 50.04)</f>
        <v>50.04</v>
      </c>
      <c r="E8081" s="2">
        <v>37.89</v>
      </c>
      <c r="F8081" s="2">
        <v>2</v>
      </c>
      <c r="G8081" s="2" t="s">
        <v>10</v>
      </c>
      <c r="I8081" s="2" t="s">
        <v>4892</v>
      </c>
    </row>
    <row r="8082" spans="1:9" x14ac:dyDescent="0.2">
      <c r="A8082" s="2" t="s">
        <v>3250</v>
      </c>
      <c r="B8082" s="2" t="s">
        <v>175</v>
      </c>
      <c r="C8082" s="2">
        <v>1567.7539999999999</v>
      </c>
      <c r="D8082" s="2">
        <f>HYPERLINK("http://mcb-m6.bioreg.kyushu-u.ac.jp/M3/20110404/F50782/2018/1", 50.05)</f>
        <v>50.05</v>
      </c>
      <c r="E8082" s="2">
        <v>26.17</v>
      </c>
      <c r="F8082" s="2">
        <v>1</v>
      </c>
      <c r="G8082" s="2" t="s">
        <v>10</v>
      </c>
      <c r="I8082" s="2" t="s">
        <v>4893</v>
      </c>
    </row>
    <row r="8083" spans="1:9" x14ac:dyDescent="0.2">
      <c r="A8083" s="2" t="s">
        <v>3250</v>
      </c>
      <c r="B8083" s="2" t="s">
        <v>467</v>
      </c>
      <c r="C8083" s="2">
        <v>691.80070000000001</v>
      </c>
      <c r="D8083" s="2">
        <f>HYPERLINK("http://mcb-m6.bioreg.kyushu-u.ac.jp/M3/20110404/F50782/1512/1", 50.41)</f>
        <v>50.41</v>
      </c>
      <c r="E8083" s="2">
        <v>33.4</v>
      </c>
      <c r="F8083" s="2">
        <v>2</v>
      </c>
      <c r="G8083" s="2" t="s">
        <v>10</v>
      </c>
    </row>
    <row r="8084" spans="1:9" x14ac:dyDescent="0.2">
      <c r="A8084" s="2" t="s">
        <v>3250</v>
      </c>
      <c r="B8084" s="2" t="s">
        <v>398</v>
      </c>
      <c r="C8084" s="2">
        <v>640.20669999999996</v>
      </c>
      <c r="D8084" s="2">
        <f>HYPERLINK("http://mcb-m6.bioreg.kyushu-u.ac.jp/M3/20110404/F50768/1512/1", 50.43)</f>
        <v>50.43</v>
      </c>
      <c r="E8084" s="2">
        <v>23.88</v>
      </c>
      <c r="F8084" s="2">
        <v>2</v>
      </c>
      <c r="G8084" s="2" t="s">
        <v>10</v>
      </c>
    </row>
    <row r="8085" spans="1:9" x14ac:dyDescent="0.2">
      <c r="A8085" s="2" t="s">
        <v>3250</v>
      </c>
      <c r="B8085" s="2" t="s">
        <v>102</v>
      </c>
      <c r="C8085" s="2">
        <v>1231.4349999999999</v>
      </c>
      <c r="D8085" s="2">
        <f>HYPERLINK("http://mcb-m6.bioreg.kyushu-u.ac.jp/M3/20110404/F50770/1478/1", 50.48)</f>
        <v>50.48</v>
      </c>
      <c r="E8085" s="2">
        <v>32.89</v>
      </c>
      <c r="F8085" s="2">
        <v>1</v>
      </c>
      <c r="G8085" s="2" t="s">
        <v>10</v>
      </c>
      <c r="H8085" s="2" t="s">
        <v>4900</v>
      </c>
    </row>
    <row r="8086" spans="1:9" x14ac:dyDescent="0.2">
      <c r="A8086" s="2" t="s">
        <v>3250</v>
      </c>
      <c r="B8086" s="2" t="s">
        <v>356</v>
      </c>
      <c r="C8086" s="2">
        <v>816.12270000000001</v>
      </c>
      <c r="D8086" s="2">
        <f>HYPERLINK("http://mcb-m6.bioreg.kyushu-u.ac.jp/M3/20110404/F50782/2191/1", 50.52)</f>
        <v>50.52</v>
      </c>
      <c r="E8086" s="2">
        <v>33.07</v>
      </c>
      <c r="F8086" s="2">
        <v>2</v>
      </c>
      <c r="G8086" s="2" t="s">
        <v>10</v>
      </c>
    </row>
    <row r="8087" spans="1:9" x14ac:dyDescent="0.2">
      <c r="A8087" s="2" t="s">
        <v>3250</v>
      </c>
      <c r="B8087" s="2" t="s">
        <v>90</v>
      </c>
      <c r="C8087" s="2">
        <v>716.76509999999996</v>
      </c>
      <c r="D8087" s="2">
        <f>HYPERLINK("http://mcb-m6.bioreg.kyushu-u.ac.jp/M3/20110404/F50768/1813/1", 50.58)</f>
        <v>50.58</v>
      </c>
      <c r="E8087" s="2">
        <v>30.92</v>
      </c>
      <c r="F8087" s="2">
        <v>2</v>
      </c>
      <c r="G8087" s="2" t="s">
        <v>10</v>
      </c>
    </row>
    <row r="8088" spans="1:9" x14ac:dyDescent="0.2">
      <c r="A8088" s="2" t="s">
        <v>3250</v>
      </c>
      <c r="B8088" s="2" t="s">
        <v>1888</v>
      </c>
      <c r="C8088" s="2">
        <v>456.77910000000003</v>
      </c>
      <c r="D8088" s="2">
        <f>HYPERLINK("http://mcb-m6.bioreg.kyushu-u.ac.jp/M3/20110404/F50761/836/1", 50.62)</f>
        <v>50.62</v>
      </c>
      <c r="E8088" s="2">
        <v>13.03</v>
      </c>
      <c r="F8088" s="2">
        <v>2</v>
      </c>
      <c r="G8088" s="2" t="s">
        <v>10</v>
      </c>
    </row>
    <row r="8089" spans="1:9" x14ac:dyDescent="0.2">
      <c r="A8089" s="2" t="s">
        <v>3250</v>
      </c>
      <c r="B8089" s="2" t="s">
        <v>311</v>
      </c>
      <c r="C8089" s="2">
        <v>1196.5619999999999</v>
      </c>
      <c r="D8089" s="2">
        <f>HYPERLINK("http://mcb-m6.bioreg.kyushu-u.ac.jp/M3/20110404/F50782/1101/1", 51.15)</f>
        <v>51.15</v>
      </c>
      <c r="E8089" s="2">
        <v>36.22</v>
      </c>
      <c r="F8089" s="2">
        <v>1</v>
      </c>
      <c r="G8089" s="2" t="s">
        <v>10</v>
      </c>
    </row>
    <row r="8090" spans="1:9" x14ac:dyDescent="0.2">
      <c r="A8090" s="2" t="s">
        <v>3250</v>
      </c>
      <c r="B8090" s="2" t="s">
        <v>481</v>
      </c>
      <c r="C8090" s="2">
        <v>1417.528</v>
      </c>
      <c r="D8090" s="2">
        <f>HYPERLINK("http://mcb-m6.bioreg.kyushu-u.ac.jp/M3/20110404/F50771/1752/1", 51.5)</f>
        <v>51.5</v>
      </c>
      <c r="E8090" s="2">
        <v>34.450000000000003</v>
      </c>
      <c r="F8090" s="2">
        <v>1</v>
      </c>
      <c r="G8090" s="2" t="s">
        <v>10</v>
      </c>
      <c r="I8090" s="2" t="s">
        <v>4898</v>
      </c>
    </row>
    <row r="8091" spans="1:9" x14ac:dyDescent="0.2">
      <c r="A8091" s="2" t="s">
        <v>3250</v>
      </c>
      <c r="B8091" s="2" t="s">
        <v>481</v>
      </c>
      <c r="C8091" s="2">
        <v>1417.4290000000001</v>
      </c>
      <c r="D8091" s="2">
        <f>HYPERLINK("http://mcb-m6.bioreg.kyushu-u.ac.jp/M3/20110404/F50758/1776/1", 51.56)</f>
        <v>51.56</v>
      </c>
      <c r="E8091" s="2">
        <v>38.11</v>
      </c>
      <c r="F8091" s="2">
        <v>1</v>
      </c>
      <c r="G8091" s="2" t="s">
        <v>10</v>
      </c>
      <c r="I8091" s="2" t="s">
        <v>4898</v>
      </c>
    </row>
    <row r="8092" spans="1:9" x14ac:dyDescent="0.2">
      <c r="A8092" s="2" t="s">
        <v>3250</v>
      </c>
      <c r="B8092" s="2" t="s">
        <v>1875</v>
      </c>
      <c r="C8092" s="2">
        <v>772.34059999999999</v>
      </c>
      <c r="D8092" s="2">
        <f>HYPERLINK("http://mcb-m6.bioreg.kyushu-u.ac.jp/M3/20110404/F50782/1941/1", 51.57)</f>
        <v>51.57</v>
      </c>
      <c r="E8092" s="2">
        <v>36.29</v>
      </c>
      <c r="F8092" s="2">
        <v>2</v>
      </c>
      <c r="G8092" s="2" t="s">
        <v>10</v>
      </c>
    </row>
    <row r="8093" spans="1:9" x14ac:dyDescent="0.2">
      <c r="A8093" s="2" t="s">
        <v>3250</v>
      </c>
      <c r="B8093" s="2" t="s">
        <v>311</v>
      </c>
      <c r="C8093" s="2">
        <v>1196.395</v>
      </c>
      <c r="D8093" s="2">
        <f>HYPERLINK("http://mcb-m6.bioreg.kyushu-u.ac.jp/M3/20110404/F50761/1310/1", 51.57)</f>
        <v>51.57</v>
      </c>
      <c r="E8093" s="2">
        <v>37.67</v>
      </c>
      <c r="F8093" s="2">
        <v>1</v>
      </c>
      <c r="G8093" s="2" t="s">
        <v>10</v>
      </c>
    </row>
    <row r="8094" spans="1:9" x14ac:dyDescent="0.2">
      <c r="A8094" s="2" t="s">
        <v>3250</v>
      </c>
      <c r="B8094" s="2" t="s">
        <v>90</v>
      </c>
      <c r="C8094" s="2">
        <v>717.12620000000004</v>
      </c>
      <c r="D8094" s="2">
        <f>HYPERLINK("http://mcb-m6.bioreg.kyushu-u.ac.jp/M3/20110404/F50782/1671/1", 51.74)</f>
        <v>51.74</v>
      </c>
      <c r="E8094" s="2">
        <v>28.59</v>
      </c>
      <c r="F8094" s="2">
        <v>2</v>
      </c>
      <c r="G8094" s="2" t="s">
        <v>10</v>
      </c>
    </row>
    <row r="8095" spans="1:9" x14ac:dyDescent="0.2">
      <c r="A8095" s="2" t="s">
        <v>3250</v>
      </c>
      <c r="B8095" s="2" t="s">
        <v>77</v>
      </c>
      <c r="C8095" s="2">
        <v>1148.357</v>
      </c>
      <c r="D8095" s="2">
        <f>HYPERLINK("http://mcb-m6.bioreg.kyushu-u.ac.jp/M3/20110404/F50760/1214/1", 51.78)</f>
        <v>51.78</v>
      </c>
      <c r="E8095" s="2">
        <v>26.93</v>
      </c>
      <c r="F8095" s="2">
        <v>1</v>
      </c>
      <c r="G8095" s="2" t="s">
        <v>10</v>
      </c>
    </row>
    <row r="8096" spans="1:9" x14ac:dyDescent="0.2">
      <c r="A8096" s="2" t="s">
        <v>3250</v>
      </c>
      <c r="B8096" s="2" t="s">
        <v>604</v>
      </c>
      <c r="C8096" s="2">
        <v>520.70370000000003</v>
      </c>
      <c r="D8096" s="2">
        <f>HYPERLINK("http://mcb-m6.bioreg.kyushu-u.ac.jp/M3/20110404/F50782/824/1", 51.97)</f>
        <v>51.97</v>
      </c>
      <c r="E8096" s="2">
        <v>8.59</v>
      </c>
      <c r="F8096" s="2">
        <v>2</v>
      </c>
      <c r="G8096" s="2" t="s">
        <v>10</v>
      </c>
    </row>
    <row r="8097" spans="1:9" x14ac:dyDescent="0.2">
      <c r="A8097" s="2" t="s">
        <v>3250</v>
      </c>
      <c r="B8097" s="2" t="s">
        <v>311</v>
      </c>
      <c r="C8097" s="2">
        <v>1212.3430000000001</v>
      </c>
      <c r="D8097" s="2">
        <f>HYPERLINK("http://mcb-m6.bioreg.kyushu-u.ac.jp/M3/20110404/F50761/1339/1", 51.97)</f>
        <v>51.97</v>
      </c>
      <c r="E8097" s="2">
        <v>29.46</v>
      </c>
      <c r="F8097" s="2">
        <v>1</v>
      </c>
      <c r="G8097" s="2" t="s">
        <v>10</v>
      </c>
      <c r="H8097" s="2" t="s">
        <v>4908</v>
      </c>
    </row>
    <row r="8098" spans="1:9" x14ac:dyDescent="0.2">
      <c r="A8098" s="2" t="s">
        <v>3250</v>
      </c>
      <c r="B8098" s="2" t="s">
        <v>90</v>
      </c>
      <c r="C8098" s="2">
        <v>717.20719999999994</v>
      </c>
      <c r="D8098" s="2">
        <f>HYPERLINK("http://mcb-m6.bioreg.kyushu-u.ac.jp/M3/20110404/F50768/1816/1", 52.18)</f>
        <v>52.18</v>
      </c>
      <c r="E8098" s="2">
        <v>28.52</v>
      </c>
      <c r="F8098" s="2">
        <v>2</v>
      </c>
      <c r="G8098" s="2" t="s">
        <v>10</v>
      </c>
    </row>
    <row r="8099" spans="1:9" x14ac:dyDescent="0.2">
      <c r="A8099" s="2" t="s">
        <v>3250</v>
      </c>
      <c r="B8099" s="2" t="s">
        <v>1065</v>
      </c>
      <c r="C8099" s="2">
        <v>716.80319999999995</v>
      </c>
      <c r="D8099" s="2">
        <f>HYPERLINK("http://mcb-m6.bioreg.kyushu-u.ac.jp/M3/20110404/F50782/1664/1", 52.2)</f>
        <v>52.2</v>
      </c>
      <c r="E8099" s="2">
        <v>40.840000000000003</v>
      </c>
      <c r="F8099" s="2">
        <v>2</v>
      </c>
      <c r="G8099" s="2" t="s">
        <v>10</v>
      </c>
      <c r="I8099" s="2" t="s">
        <v>4892</v>
      </c>
    </row>
    <row r="8100" spans="1:9" x14ac:dyDescent="0.2">
      <c r="A8100" s="2" t="s">
        <v>3250</v>
      </c>
      <c r="B8100" s="2" t="s">
        <v>90</v>
      </c>
      <c r="C8100" s="2">
        <v>716.9357</v>
      </c>
      <c r="D8100" s="2">
        <f>HYPERLINK("http://mcb-m6.bioreg.kyushu-u.ac.jp/M3/20110404/F50773/1751/1", 52.63)</f>
        <v>52.63</v>
      </c>
      <c r="E8100" s="2">
        <v>38.65</v>
      </c>
      <c r="F8100" s="2">
        <v>2</v>
      </c>
      <c r="G8100" s="2" t="s">
        <v>10</v>
      </c>
    </row>
    <row r="8101" spans="1:9" x14ac:dyDescent="0.2">
      <c r="A8101" s="2" t="s">
        <v>3250</v>
      </c>
      <c r="B8101" s="2" t="s">
        <v>102</v>
      </c>
      <c r="C8101" s="2">
        <v>616.15620000000001</v>
      </c>
      <c r="D8101" s="2">
        <f>HYPERLINK("http://mcb-m6.bioreg.kyushu-u.ac.jp/M3/20110404/F50768/1445/1", 52.98)</f>
        <v>52.98</v>
      </c>
      <c r="E8101" s="2">
        <v>43.29</v>
      </c>
      <c r="F8101" s="2">
        <v>2</v>
      </c>
      <c r="G8101" s="2" t="s">
        <v>10</v>
      </c>
      <c r="H8101" s="2" t="s">
        <v>4900</v>
      </c>
    </row>
    <row r="8102" spans="1:9" x14ac:dyDescent="0.2">
      <c r="A8102" s="2" t="s">
        <v>3250</v>
      </c>
      <c r="B8102" s="2" t="s">
        <v>617</v>
      </c>
      <c r="C8102" s="2">
        <v>686.73969999999997</v>
      </c>
      <c r="D8102" s="2">
        <f>HYPERLINK("http://mcb-m6.bioreg.kyushu-u.ac.jp/M3/20110404/F50782/1482/1", 53)</f>
        <v>53</v>
      </c>
      <c r="E8102" s="2">
        <v>31.87</v>
      </c>
      <c r="F8102" s="2">
        <v>2</v>
      </c>
      <c r="G8102" s="2" t="s">
        <v>10</v>
      </c>
    </row>
    <row r="8103" spans="1:9" x14ac:dyDescent="0.2">
      <c r="A8103" s="2" t="s">
        <v>3250</v>
      </c>
      <c r="B8103" s="2" t="s">
        <v>365</v>
      </c>
      <c r="C8103" s="2">
        <v>849.48419999999999</v>
      </c>
      <c r="D8103" s="2">
        <f>HYPERLINK("http://mcb-m6.bioreg.kyushu-u.ac.jp/M3/20110404/F50775/2339/1", 53.02)</f>
        <v>53.02</v>
      </c>
      <c r="E8103" s="2">
        <v>38.590000000000003</v>
      </c>
      <c r="F8103" s="2">
        <v>2</v>
      </c>
      <c r="G8103" s="2" t="s">
        <v>10</v>
      </c>
    </row>
    <row r="8104" spans="1:9" x14ac:dyDescent="0.2">
      <c r="A8104" s="2" t="s">
        <v>3250</v>
      </c>
      <c r="B8104" s="2" t="s">
        <v>90</v>
      </c>
      <c r="C8104" s="2">
        <v>716.7577</v>
      </c>
      <c r="D8104" s="2">
        <f>HYPERLINK("http://mcb-m6.bioreg.kyushu-u.ac.jp/M3/20110404/F50782/1661/1", 53.08)</f>
        <v>53.08</v>
      </c>
      <c r="E8104" s="2">
        <v>2.4</v>
      </c>
      <c r="F8104" s="2">
        <v>2</v>
      </c>
      <c r="G8104" s="2" t="s">
        <v>10</v>
      </c>
    </row>
    <row r="8105" spans="1:9" x14ac:dyDescent="0.2">
      <c r="A8105" s="2" t="s">
        <v>3250</v>
      </c>
      <c r="B8105" s="2" t="s">
        <v>365</v>
      </c>
      <c r="C8105" s="2">
        <v>848.80820000000006</v>
      </c>
      <c r="D8105" s="2">
        <f>HYPERLINK("http://mcb-m6.bioreg.kyushu-u.ac.jp/M3/20110404/F50775/2337/1", 53.29)</f>
        <v>53.29</v>
      </c>
      <c r="E8105" s="2">
        <v>38.92</v>
      </c>
      <c r="F8105" s="2">
        <v>2</v>
      </c>
      <c r="G8105" s="2" t="s">
        <v>10</v>
      </c>
    </row>
    <row r="8106" spans="1:9" x14ac:dyDescent="0.2">
      <c r="A8106" s="2" t="s">
        <v>3250</v>
      </c>
      <c r="B8106" s="2" t="s">
        <v>772</v>
      </c>
      <c r="C8106" s="2">
        <v>1190.749</v>
      </c>
      <c r="D8106" s="2">
        <f>HYPERLINK("http://mcb-m6.bioreg.kyushu-u.ac.jp/M3/20110404/F50772/1337/1", 53.4)</f>
        <v>53.4</v>
      </c>
      <c r="E8106" s="2">
        <v>29.51</v>
      </c>
      <c r="F8106" s="2">
        <v>1</v>
      </c>
      <c r="G8106" s="2" t="s">
        <v>10</v>
      </c>
    </row>
    <row r="8107" spans="1:9" x14ac:dyDescent="0.2">
      <c r="A8107" s="2" t="s">
        <v>3250</v>
      </c>
      <c r="B8107" s="2" t="s">
        <v>834</v>
      </c>
      <c r="C8107" s="2">
        <v>621.73170000000005</v>
      </c>
      <c r="D8107" s="2">
        <f>HYPERLINK("http://mcb-m6.bioreg.kyushu-u.ac.jp/M3/20110404/F50758/1525/1", 53.54)</f>
        <v>53.54</v>
      </c>
      <c r="E8107" s="2">
        <v>29.05</v>
      </c>
      <c r="F8107" s="2">
        <v>2</v>
      </c>
      <c r="G8107" s="2" t="s">
        <v>10</v>
      </c>
    </row>
    <row r="8108" spans="1:9" x14ac:dyDescent="0.2">
      <c r="A8108" s="2" t="s">
        <v>3250</v>
      </c>
      <c r="B8108" s="2" t="s">
        <v>772</v>
      </c>
      <c r="C8108" s="2">
        <v>1190.3910000000001</v>
      </c>
      <c r="D8108" s="2">
        <f>HYPERLINK("http://mcb-m6.bioreg.kyushu-u.ac.jp/M3/20110404/F50771/1313/1", 53.59)</f>
        <v>53.59</v>
      </c>
      <c r="E8108" s="2">
        <v>19.600000000000001</v>
      </c>
      <c r="F8108" s="2">
        <v>1</v>
      </c>
      <c r="G8108" s="2" t="s">
        <v>10</v>
      </c>
    </row>
    <row r="8109" spans="1:9" x14ac:dyDescent="0.2">
      <c r="A8109" s="2" t="s">
        <v>3250</v>
      </c>
      <c r="B8109" s="2" t="s">
        <v>772</v>
      </c>
      <c r="C8109" s="2">
        <v>1190.6089999999999</v>
      </c>
      <c r="D8109" s="2">
        <f>HYPERLINK("http://mcb-m6.bioreg.kyushu-u.ac.jp/M3/20110404/F50774/1340/1", 53.66)</f>
        <v>53.66</v>
      </c>
      <c r="E8109" s="2">
        <v>22.01</v>
      </c>
      <c r="F8109" s="2">
        <v>1</v>
      </c>
      <c r="G8109" s="2" t="s">
        <v>10</v>
      </c>
    </row>
    <row r="8110" spans="1:9" x14ac:dyDescent="0.2">
      <c r="A8110" s="2" t="s">
        <v>3250</v>
      </c>
      <c r="B8110" s="2" t="s">
        <v>90</v>
      </c>
      <c r="C8110" s="2">
        <v>716.84860000000003</v>
      </c>
      <c r="D8110" s="2">
        <f>HYPERLINK("http://mcb-m6.bioreg.kyushu-u.ac.jp/M3/20110404/F50757/2031/1", 53.7)</f>
        <v>53.7</v>
      </c>
      <c r="E8110" s="2">
        <v>31.59</v>
      </c>
      <c r="F8110" s="2">
        <v>2</v>
      </c>
      <c r="G8110" s="2" t="s">
        <v>10</v>
      </c>
    </row>
    <row r="8111" spans="1:9" x14ac:dyDescent="0.2">
      <c r="A8111" s="2" t="s">
        <v>3250</v>
      </c>
      <c r="B8111" s="2" t="s">
        <v>467</v>
      </c>
      <c r="C8111" s="2">
        <v>1382.7729999999999</v>
      </c>
      <c r="D8111" s="2">
        <f>HYPERLINK("http://mcb-m6.bioreg.kyushu-u.ac.jp/M3/20110404/F50772/1699/1", 53.71)</f>
        <v>53.71</v>
      </c>
      <c r="E8111" s="2">
        <v>35.68</v>
      </c>
      <c r="F8111" s="2">
        <v>1</v>
      </c>
      <c r="G8111" s="2" t="s">
        <v>10</v>
      </c>
    </row>
    <row r="8112" spans="1:9" x14ac:dyDescent="0.2">
      <c r="A8112" s="2" t="s">
        <v>3250</v>
      </c>
      <c r="B8112" s="2" t="s">
        <v>604</v>
      </c>
      <c r="C8112" s="2">
        <v>520.77509999999995</v>
      </c>
      <c r="D8112" s="2">
        <f>HYPERLINK("http://mcb-m6.bioreg.kyushu-u.ac.jp/M3/20110404/F50775/1118/1", 53.89)</f>
        <v>53.89</v>
      </c>
      <c r="E8112" s="2">
        <v>4.07</v>
      </c>
      <c r="F8112" s="2">
        <v>2</v>
      </c>
      <c r="G8112" s="2" t="s">
        <v>10</v>
      </c>
    </row>
    <row r="8113" spans="1:9" x14ac:dyDescent="0.2">
      <c r="A8113" s="2" t="s">
        <v>3250</v>
      </c>
      <c r="B8113" s="2" t="s">
        <v>888</v>
      </c>
      <c r="C8113" s="2">
        <v>810.99620000000004</v>
      </c>
      <c r="D8113" s="2">
        <f>HYPERLINK("http://mcb-m6.bioreg.kyushu-u.ac.jp/M3/20110404/F50782/3607/1", 54.05)</f>
        <v>54.05</v>
      </c>
      <c r="E8113" s="2">
        <v>40.659999999999997</v>
      </c>
      <c r="F8113" s="2">
        <v>3</v>
      </c>
      <c r="G8113" s="2" t="s">
        <v>10</v>
      </c>
      <c r="I8113" s="2" t="s">
        <v>4895</v>
      </c>
    </row>
    <row r="8114" spans="1:9" x14ac:dyDescent="0.2">
      <c r="A8114" s="2" t="s">
        <v>3250</v>
      </c>
      <c r="B8114" s="2" t="s">
        <v>543</v>
      </c>
      <c r="C8114" s="2">
        <v>927.0847</v>
      </c>
      <c r="D8114" s="2">
        <f>HYPERLINK("http://mcb-m6.bioreg.kyushu-u.ac.jp/M3/20110404/F50772/2662/1", 54.42)</f>
        <v>54.42</v>
      </c>
      <c r="E8114" s="2">
        <v>38.6</v>
      </c>
      <c r="F8114" s="2">
        <v>2</v>
      </c>
      <c r="G8114" s="2" t="s">
        <v>10</v>
      </c>
    </row>
    <row r="8115" spans="1:9" x14ac:dyDescent="0.2">
      <c r="A8115" s="2" t="s">
        <v>3250</v>
      </c>
      <c r="B8115" s="2" t="s">
        <v>311</v>
      </c>
      <c r="C8115" s="2">
        <v>1196.394</v>
      </c>
      <c r="D8115" s="2">
        <f>HYPERLINK("http://mcb-m6.bioreg.kyushu-u.ac.jp/M3/20110404/F50770/1419/1", 54.45)</f>
        <v>54.45</v>
      </c>
      <c r="E8115" s="2">
        <v>37.67</v>
      </c>
      <c r="F8115" s="2">
        <v>1</v>
      </c>
      <c r="G8115" s="2" t="s">
        <v>10</v>
      </c>
    </row>
    <row r="8116" spans="1:9" x14ac:dyDescent="0.2">
      <c r="A8116" s="2" t="s">
        <v>3250</v>
      </c>
      <c r="B8116" s="2" t="s">
        <v>1065</v>
      </c>
      <c r="C8116" s="2">
        <v>1432.5429999999999</v>
      </c>
      <c r="D8116" s="2">
        <f>HYPERLINK("http://mcb-m6.bioreg.kyushu-u.ac.jp/M3/20110404/F50773/1747/1", 54.5)</f>
        <v>54.5</v>
      </c>
      <c r="E8116" s="2">
        <v>39.47</v>
      </c>
      <c r="F8116" s="2">
        <v>1</v>
      </c>
      <c r="G8116" s="2" t="s">
        <v>10</v>
      </c>
      <c r="I8116" s="2" t="s">
        <v>4892</v>
      </c>
    </row>
    <row r="8117" spans="1:9" x14ac:dyDescent="0.2">
      <c r="A8117" s="2" t="s">
        <v>3250</v>
      </c>
      <c r="B8117" s="2" t="s">
        <v>90</v>
      </c>
      <c r="C8117" s="2">
        <v>716.77919999999995</v>
      </c>
      <c r="D8117" s="2">
        <f>HYPERLINK("http://mcb-m6.bioreg.kyushu-u.ac.jp/M3/20110404/F50782/1663/1", 54.54)</f>
        <v>54.54</v>
      </c>
      <c r="E8117" s="2">
        <v>15.7</v>
      </c>
      <c r="F8117" s="2">
        <v>2</v>
      </c>
      <c r="G8117" s="2" t="s">
        <v>10</v>
      </c>
    </row>
    <row r="8118" spans="1:9" x14ac:dyDescent="0.2">
      <c r="A8118" s="2" t="s">
        <v>3250</v>
      </c>
      <c r="B8118" s="2" t="s">
        <v>90</v>
      </c>
      <c r="C8118" s="2">
        <v>1433.06</v>
      </c>
      <c r="D8118" s="2">
        <f>HYPERLINK("http://mcb-m6.bioreg.kyushu-u.ac.jp/M3/20110404/F50768/1815/1", 54.72)</f>
        <v>54.72</v>
      </c>
      <c r="E8118" s="2">
        <v>35.64</v>
      </c>
      <c r="F8118" s="2">
        <v>1</v>
      </c>
      <c r="G8118" s="2" t="s">
        <v>10</v>
      </c>
    </row>
    <row r="8119" spans="1:9" x14ac:dyDescent="0.2">
      <c r="A8119" s="2" t="s">
        <v>3250</v>
      </c>
      <c r="B8119" s="2" t="s">
        <v>1875</v>
      </c>
      <c r="C8119" s="2">
        <v>780.48820000000001</v>
      </c>
      <c r="D8119" s="2">
        <f>HYPERLINK("http://mcb-m6.bioreg.kyushu-u.ac.jp/M3/20110404/F50782/1987/1", 54.92)</f>
        <v>54.92</v>
      </c>
      <c r="E8119" s="2">
        <v>43.34</v>
      </c>
      <c r="F8119" s="2">
        <v>2</v>
      </c>
      <c r="G8119" s="2" t="s">
        <v>10</v>
      </c>
      <c r="H8119" s="2" t="s">
        <v>4920</v>
      </c>
    </row>
    <row r="8120" spans="1:9" x14ac:dyDescent="0.2">
      <c r="A8120" s="2" t="s">
        <v>3250</v>
      </c>
      <c r="B8120" s="2" t="s">
        <v>1065</v>
      </c>
      <c r="C8120" s="2">
        <v>1433.6769999999999</v>
      </c>
      <c r="D8120" s="2">
        <f>HYPERLINK("http://mcb-m6.bioreg.kyushu-u.ac.jp/M3/20110404/F50782/1675/1", 55.17)</f>
        <v>55.17</v>
      </c>
      <c r="E8120" s="2">
        <v>45.02</v>
      </c>
      <c r="F8120" s="2">
        <v>1</v>
      </c>
      <c r="G8120" s="2" t="s">
        <v>10</v>
      </c>
      <c r="I8120" s="2" t="s">
        <v>4892</v>
      </c>
    </row>
    <row r="8121" spans="1:9" x14ac:dyDescent="0.2">
      <c r="A8121" s="2" t="s">
        <v>3250</v>
      </c>
      <c r="B8121" s="2" t="s">
        <v>1875</v>
      </c>
      <c r="C8121" s="2">
        <v>780.78859999999997</v>
      </c>
      <c r="D8121" s="2">
        <f>HYPERLINK("http://mcb-m6.bioreg.kyushu-u.ac.jp/M3/20110404/F50768/2049/1", 55.26)</f>
        <v>55.26</v>
      </c>
      <c r="E8121" s="2">
        <v>43.57</v>
      </c>
      <c r="F8121" s="2">
        <v>2</v>
      </c>
      <c r="G8121" s="2" t="s">
        <v>10</v>
      </c>
      <c r="H8121" s="2" t="s">
        <v>4920</v>
      </c>
    </row>
    <row r="8122" spans="1:9" x14ac:dyDescent="0.2">
      <c r="A8122" s="2" t="s">
        <v>3250</v>
      </c>
      <c r="B8122" s="2" t="s">
        <v>311</v>
      </c>
      <c r="C8122" s="2">
        <v>606.35270000000003</v>
      </c>
      <c r="D8122" s="2">
        <f>HYPERLINK("http://mcb-m6.bioreg.kyushu-u.ac.jp/M3/20110404/F50771/1352/1", 55.27)</f>
        <v>55.27</v>
      </c>
      <c r="E8122" s="2">
        <v>27.13</v>
      </c>
      <c r="F8122" s="2">
        <v>2</v>
      </c>
      <c r="G8122" s="2" t="s">
        <v>10</v>
      </c>
      <c r="H8122" s="2" t="s">
        <v>4908</v>
      </c>
    </row>
    <row r="8123" spans="1:9" x14ac:dyDescent="0.2">
      <c r="A8123" s="2" t="s">
        <v>3250</v>
      </c>
      <c r="B8123" s="2" t="s">
        <v>772</v>
      </c>
      <c r="C8123" s="2">
        <v>1190.5650000000001</v>
      </c>
      <c r="D8123" s="2">
        <f>HYPERLINK("http://mcb-m6.bioreg.kyushu-u.ac.jp/M3/20110404/F50768/1373/1", 55.41)</f>
        <v>55.41</v>
      </c>
      <c r="E8123" s="2">
        <v>32.96</v>
      </c>
      <c r="F8123" s="2">
        <v>1</v>
      </c>
      <c r="G8123" s="2" t="s">
        <v>10</v>
      </c>
    </row>
    <row r="8124" spans="1:9" x14ac:dyDescent="0.2">
      <c r="A8124" s="2" t="s">
        <v>3250</v>
      </c>
      <c r="B8124" s="2" t="s">
        <v>561</v>
      </c>
      <c r="C8124" s="2">
        <v>1323.66</v>
      </c>
      <c r="D8124" s="2">
        <f>HYPERLINK("http://mcb-m6.bioreg.kyushu-u.ac.jp/M3/20110404/F50773/1466/1", 55.63)</f>
        <v>55.63</v>
      </c>
      <c r="E8124" s="2">
        <v>39.42</v>
      </c>
      <c r="F8124" s="2">
        <v>1</v>
      </c>
      <c r="G8124" s="2" t="s">
        <v>10</v>
      </c>
      <c r="H8124" s="2" t="s">
        <v>4919</v>
      </c>
    </row>
    <row r="8125" spans="1:9" x14ac:dyDescent="0.2">
      <c r="A8125" s="2" t="s">
        <v>3250</v>
      </c>
      <c r="B8125" s="2" t="s">
        <v>481</v>
      </c>
      <c r="C8125" s="2">
        <v>1417.3689999999999</v>
      </c>
      <c r="D8125" s="2">
        <f>HYPERLINK("http://mcb-m6.bioreg.kyushu-u.ac.jp/M3/20110404/F50770/1797/1", 55.67)</f>
        <v>55.67</v>
      </c>
      <c r="E8125" s="2">
        <v>45.33</v>
      </c>
      <c r="F8125" s="2">
        <v>1</v>
      </c>
      <c r="G8125" s="2" t="s">
        <v>10</v>
      </c>
      <c r="I8125" s="2" t="s">
        <v>4898</v>
      </c>
    </row>
    <row r="8126" spans="1:9" x14ac:dyDescent="0.2">
      <c r="A8126" s="2" t="s">
        <v>3250</v>
      </c>
      <c r="B8126" s="2" t="s">
        <v>481</v>
      </c>
      <c r="C8126" s="2">
        <v>1417.5840000000001</v>
      </c>
      <c r="D8126" s="2">
        <f>HYPERLINK("http://mcb-m6.bioreg.kyushu-u.ac.jp/M3/20110404/F50773/1702/1", 55.68)</f>
        <v>55.68</v>
      </c>
      <c r="E8126" s="2">
        <v>40.78</v>
      </c>
      <c r="F8126" s="2">
        <v>1</v>
      </c>
      <c r="G8126" s="2" t="s">
        <v>10</v>
      </c>
      <c r="I8126" s="2" t="s">
        <v>4898</v>
      </c>
    </row>
    <row r="8127" spans="1:9" x14ac:dyDescent="0.2">
      <c r="A8127" s="2" t="s">
        <v>3250</v>
      </c>
      <c r="B8127" s="2" t="s">
        <v>77</v>
      </c>
      <c r="C8127" s="2">
        <v>1148.5150000000001</v>
      </c>
      <c r="D8127" s="2">
        <f>HYPERLINK("http://mcb-m6.bioreg.kyushu-u.ac.jp/M3/20110404/F50770/1344/1", 55.96)</f>
        <v>55.96</v>
      </c>
      <c r="E8127" s="2">
        <v>37.159999999999997</v>
      </c>
      <c r="F8127" s="2">
        <v>1</v>
      </c>
      <c r="G8127" s="2" t="s">
        <v>10</v>
      </c>
    </row>
    <row r="8128" spans="1:9" x14ac:dyDescent="0.2">
      <c r="A8128" s="2" t="s">
        <v>3250</v>
      </c>
      <c r="B8128" s="2" t="s">
        <v>543</v>
      </c>
      <c r="C8128" s="2">
        <v>927.51210000000003</v>
      </c>
      <c r="D8128" s="2">
        <f>HYPERLINK("http://mcb-m6.bioreg.kyushu-u.ac.jp/M3/20110404/F50774/2533/1", 56.1)</f>
        <v>56.1</v>
      </c>
      <c r="E8128" s="2">
        <v>38.869999999999997</v>
      </c>
      <c r="F8128" s="2">
        <v>2</v>
      </c>
      <c r="G8128" s="2" t="s">
        <v>10</v>
      </c>
    </row>
    <row r="8129" spans="1:9" x14ac:dyDescent="0.2">
      <c r="A8129" s="2" t="s">
        <v>3250</v>
      </c>
      <c r="B8129" s="2" t="s">
        <v>888</v>
      </c>
      <c r="C8129" s="2">
        <v>810.82579999999996</v>
      </c>
      <c r="D8129" s="2">
        <f>HYPERLINK("http://mcb-m6.bioreg.kyushu-u.ac.jp/M3/20110404/F50773/3223/1", 56.13)</f>
        <v>56.13</v>
      </c>
      <c r="E8129" s="2">
        <v>46.03</v>
      </c>
      <c r="F8129" s="2">
        <v>3</v>
      </c>
      <c r="G8129" s="2" t="s">
        <v>10</v>
      </c>
      <c r="I8129" s="2" t="s">
        <v>4895</v>
      </c>
    </row>
    <row r="8130" spans="1:9" x14ac:dyDescent="0.2">
      <c r="A8130" s="2" t="s">
        <v>3250</v>
      </c>
      <c r="B8130" s="2" t="s">
        <v>6017</v>
      </c>
      <c r="C8130" s="2">
        <v>803.23479999999995</v>
      </c>
      <c r="D8130" s="2">
        <f>HYPERLINK("http://mcb-m6.bioreg.kyushu-u.ac.jp/M3/20110404/F50782/3576/1", 56.2)</f>
        <v>56.2</v>
      </c>
      <c r="E8130" s="2">
        <v>41</v>
      </c>
      <c r="F8130" s="2">
        <v>3</v>
      </c>
      <c r="G8130" s="2" t="s">
        <v>10</v>
      </c>
      <c r="H8130" s="2" t="s">
        <v>4907</v>
      </c>
      <c r="I8130" s="2" t="s">
        <v>4895</v>
      </c>
    </row>
    <row r="8131" spans="1:9" x14ac:dyDescent="0.2">
      <c r="A8131" s="2" t="s">
        <v>3250</v>
      </c>
      <c r="B8131" s="2" t="s">
        <v>175</v>
      </c>
      <c r="C8131" s="2">
        <v>784.31920000000002</v>
      </c>
      <c r="D8131" s="2">
        <f>HYPERLINK("http://mcb-m6.bioreg.kyushu-u.ac.jp/M3/20110404/F50775/2143/1", 56.27)</f>
        <v>56.27</v>
      </c>
      <c r="E8131" s="2">
        <v>40.76</v>
      </c>
      <c r="F8131" s="2">
        <v>2</v>
      </c>
      <c r="G8131" s="2" t="s">
        <v>10</v>
      </c>
      <c r="I8131" s="2" t="s">
        <v>4893</v>
      </c>
    </row>
    <row r="8132" spans="1:9" x14ac:dyDescent="0.2">
      <c r="A8132" s="2" t="s">
        <v>3250</v>
      </c>
      <c r="B8132" s="2" t="s">
        <v>543</v>
      </c>
      <c r="C8132" s="2">
        <v>927.45870000000002</v>
      </c>
      <c r="D8132" s="2">
        <f>HYPERLINK("http://mcb-m6.bioreg.kyushu-u.ac.jp/M3/20110404/F50771/2617/1", 56.49)</f>
        <v>56.49</v>
      </c>
      <c r="E8132" s="2">
        <v>42.18</v>
      </c>
      <c r="F8132" s="2">
        <v>2</v>
      </c>
      <c r="G8132" s="2" t="s">
        <v>10</v>
      </c>
    </row>
    <row r="8133" spans="1:9" x14ac:dyDescent="0.2">
      <c r="A8133" s="2" t="s">
        <v>3250</v>
      </c>
      <c r="B8133" s="2" t="s">
        <v>175</v>
      </c>
      <c r="C8133" s="2">
        <v>784.30110000000002</v>
      </c>
      <c r="D8133" s="2">
        <f>HYPERLINK("http://mcb-m6.bioreg.kyushu-u.ac.jp/M3/20110404/F50771/2082/1", 56.6)</f>
        <v>56.6</v>
      </c>
      <c r="E8133" s="2">
        <v>37.18</v>
      </c>
      <c r="F8133" s="2">
        <v>2</v>
      </c>
      <c r="G8133" s="2" t="s">
        <v>10</v>
      </c>
      <c r="I8133" s="2" t="s">
        <v>4893</v>
      </c>
    </row>
    <row r="8134" spans="1:9" x14ac:dyDescent="0.2">
      <c r="A8134" s="2" t="s">
        <v>3250</v>
      </c>
      <c r="B8134" s="2" t="s">
        <v>772</v>
      </c>
      <c r="C8134" s="2">
        <v>1190.519</v>
      </c>
      <c r="D8134" s="2">
        <f>HYPERLINK("http://mcb-m6.bioreg.kyushu-u.ac.jp/M3/20110404/F50770/1405/1", 56.69)</f>
        <v>56.69</v>
      </c>
      <c r="E8134" s="2">
        <v>34.06</v>
      </c>
      <c r="F8134" s="2">
        <v>1</v>
      </c>
      <c r="G8134" s="2" t="s">
        <v>10</v>
      </c>
    </row>
    <row r="8135" spans="1:9" x14ac:dyDescent="0.2">
      <c r="A8135" s="2" t="s">
        <v>3250</v>
      </c>
      <c r="B8135" s="2" t="s">
        <v>481</v>
      </c>
      <c r="C8135" s="2">
        <v>709.95069999999998</v>
      </c>
      <c r="D8135" s="2">
        <f>HYPERLINK("http://mcb-m6.bioreg.kyushu-u.ac.jp/M3/20110404/F50782/1602/1", 56.72)</f>
        <v>56.72</v>
      </c>
      <c r="E8135" s="2">
        <v>38.58</v>
      </c>
      <c r="F8135" s="2">
        <v>2</v>
      </c>
      <c r="G8135" s="2" t="s">
        <v>10</v>
      </c>
      <c r="I8135" s="2" t="s">
        <v>4898</v>
      </c>
    </row>
    <row r="8136" spans="1:9" x14ac:dyDescent="0.2">
      <c r="A8136" s="2" t="s">
        <v>3250</v>
      </c>
      <c r="B8136" s="2" t="s">
        <v>102</v>
      </c>
      <c r="C8136" s="2">
        <v>616.26319999999998</v>
      </c>
      <c r="D8136" s="2">
        <f>HYPERLINK("http://mcb-m6.bioreg.kyushu-u.ac.jp/M3/20110404/F50758/1514/1", 56.72)</f>
        <v>56.72</v>
      </c>
      <c r="E8136" s="2">
        <v>41.46</v>
      </c>
      <c r="F8136" s="2">
        <v>2</v>
      </c>
      <c r="G8136" s="2" t="s">
        <v>10</v>
      </c>
      <c r="H8136" s="2" t="s">
        <v>4900</v>
      </c>
    </row>
    <row r="8137" spans="1:9" x14ac:dyDescent="0.2">
      <c r="A8137" s="2" t="s">
        <v>3250</v>
      </c>
      <c r="B8137" s="2" t="s">
        <v>311</v>
      </c>
      <c r="C8137" s="2">
        <v>599.28610000000003</v>
      </c>
      <c r="D8137" s="2">
        <f>HYPERLINK("http://mcb-m6.bioreg.kyushu-u.ac.jp/M3/20110404/F50761/1311/1", 56.8)</f>
        <v>56.8</v>
      </c>
      <c r="E8137" s="2">
        <v>36.94</v>
      </c>
      <c r="F8137" s="2">
        <v>2</v>
      </c>
      <c r="G8137" s="2" t="s">
        <v>10</v>
      </c>
    </row>
    <row r="8138" spans="1:9" x14ac:dyDescent="0.2">
      <c r="A8138" s="2" t="s">
        <v>3250</v>
      </c>
      <c r="B8138" s="2" t="s">
        <v>311</v>
      </c>
      <c r="C8138" s="2">
        <v>599.1866</v>
      </c>
      <c r="D8138" s="2">
        <f>HYPERLINK("http://mcb-m6.bioreg.kyushu-u.ac.jp/M3/20110404/F50771/1328/1", 57.07)</f>
        <v>57.07</v>
      </c>
      <c r="E8138" s="2">
        <v>40.76</v>
      </c>
      <c r="F8138" s="2">
        <v>2</v>
      </c>
      <c r="G8138" s="2" t="s">
        <v>10</v>
      </c>
    </row>
    <row r="8139" spans="1:9" x14ac:dyDescent="0.2">
      <c r="A8139" s="2" t="s">
        <v>3250</v>
      </c>
      <c r="B8139" s="2" t="s">
        <v>365</v>
      </c>
      <c r="C8139" s="2">
        <v>849.3107</v>
      </c>
      <c r="D8139" s="2">
        <f>HYPERLINK("http://mcb-m6.bioreg.kyushu-u.ac.jp/M3/20110404/F50773/2234/1", 57.19)</f>
        <v>57.19</v>
      </c>
      <c r="E8139" s="2">
        <v>37.83</v>
      </c>
      <c r="F8139" s="2">
        <v>2</v>
      </c>
      <c r="G8139" s="2" t="s">
        <v>10</v>
      </c>
    </row>
    <row r="8140" spans="1:9" x14ac:dyDescent="0.2">
      <c r="A8140" s="2" t="s">
        <v>3250</v>
      </c>
      <c r="B8140" s="2" t="s">
        <v>365</v>
      </c>
      <c r="C8140" s="2">
        <v>849.47270000000003</v>
      </c>
      <c r="D8140" s="2">
        <f>HYPERLINK("http://mcb-m6.bioreg.kyushu-u.ac.jp/M3/20110404/F50781/2066/1", 57.29)</f>
        <v>57.29</v>
      </c>
      <c r="E8140" s="2">
        <v>43.27</v>
      </c>
      <c r="F8140" s="2">
        <v>2</v>
      </c>
      <c r="G8140" s="2" t="s">
        <v>10</v>
      </c>
    </row>
    <row r="8141" spans="1:9" x14ac:dyDescent="0.2">
      <c r="A8141" s="2" t="s">
        <v>3250</v>
      </c>
      <c r="B8141" s="2" t="s">
        <v>311</v>
      </c>
      <c r="C8141" s="2">
        <v>599.33669999999995</v>
      </c>
      <c r="D8141" s="2">
        <f>HYPERLINK("http://mcb-m6.bioreg.kyushu-u.ac.jp/M3/20110404/F50773/1253/1", 57.7)</f>
        <v>57.7</v>
      </c>
      <c r="E8141" s="2">
        <v>38.26</v>
      </c>
      <c r="F8141" s="2">
        <v>2</v>
      </c>
      <c r="G8141" s="2" t="s">
        <v>10</v>
      </c>
    </row>
    <row r="8142" spans="1:9" x14ac:dyDescent="0.2">
      <c r="A8142" s="2" t="s">
        <v>3250</v>
      </c>
      <c r="B8142" s="2" t="s">
        <v>102</v>
      </c>
      <c r="C8142" s="2">
        <v>616.22059999999999</v>
      </c>
      <c r="D8142" s="2">
        <f>HYPERLINK("http://mcb-m6.bioreg.kyushu-u.ac.jp/M3/20110404/F50774/1419/1", 57.84)</f>
        <v>57.84</v>
      </c>
      <c r="E8142" s="2">
        <v>35.299999999999997</v>
      </c>
      <c r="F8142" s="2">
        <v>2</v>
      </c>
      <c r="G8142" s="2" t="s">
        <v>10</v>
      </c>
      <c r="H8142" s="2" t="s">
        <v>4900</v>
      </c>
    </row>
    <row r="8143" spans="1:9" x14ac:dyDescent="0.2">
      <c r="A8143" s="2" t="s">
        <v>3250</v>
      </c>
      <c r="B8143" s="2" t="s">
        <v>102</v>
      </c>
      <c r="C8143" s="2">
        <v>616.1232</v>
      </c>
      <c r="D8143" s="2">
        <f>HYPERLINK("http://mcb-m6.bioreg.kyushu-u.ac.jp/M3/20110404/F50771/1398/1", 57.88)</f>
        <v>57.88</v>
      </c>
      <c r="E8143" s="2">
        <v>42.55</v>
      </c>
      <c r="F8143" s="2">
        <v>2</v>
      </c>
      <c r="G8143" s="2" t="s">
        <v>10</v>
      </c>
      <c r="H8143" s="2" t="s">
        <v>4900</v>
      </c>
    </row>
    <row r="8144" spans="1:9" x14ac:dyDescent="0.2">
      <c r="A8144" s="2" t="s">
        <v>3250</v>
      </c>
      <c r="B8144" s="2" t="s">
        <v>1875</v>
      </c>
      <c r="C8144" s="2">
        <v>780.43769999999995</v>
      </c>
      <c r="D8144" s="2">
        <f>HYPERLINK("http://mcb-m6.bioreg.kyushu-u.ac.jp/M3/20110404/F50769/2093/1", 58.08)</f>
        <v>58.08</v>
      </c>
      <c r="E8144" s="2">
        <v>47.79</v>
      </c>
      <c r="F8144" s="2">
        <v>2</v>
      </c>
      <c r="G8144" s="2" t="s">
        <v>10</v>
      </c>
      <c r="H8144" s="2" t="s">
        <v>4920</v>
      </c>
    </row>
    <row r="8145" spans="1:9" x14ac:dyDescent="0.2">
      <c r="A8145" s="2" t="s">
        <v>3250</v>
      </c>
      <c r="B8145" s="2" t="s">
        <v>356</v>
      </c>
      <c r="C8145" s="2">
        <v>815.90260000000001</v>
      </c>
      <c r="D8145" s="2">
        <f>HYPERLINK("http://mcb-m6.bioreg.kyushu-u.ac.jp/M3/20110404/F50775/2238/1", 58.1)</f>
        <v>58.1</v>
      </c>
      <c r="E8145" s="2">
        <v>42.23</v>
      </c>
      <c r="F8145" s="2">
        <v>2</v>
      </c>
      <c r="G8145" s="2" t="s">
        <v>10</v>
      </c>
    </row>
    <row r="8146" spans="1:9" x14ac:dyDescent="0.2">
      <c r="A8146" s="2" t="s">
        <v>3250</v>
      </c>
      <c r="B8146" s="2" t="s">
        <v>365</v>
      </c>
      <c r="C8146" s="2">
        <v>849.04269999999997</v>
      </c>
      <c r="D8146" s="2">
        <f>HYPERLINK("http://mcb-m6.bioreg.kyushu-u.ac.jp/M3/20110404/F50761/2266/1", 58.4)</f>
        <v>58.4</v>
      </c>
      <c r="E8146" s="2">
        <v>39.15</v>
      </c>
      <c r="F8146" s="2">
        <v>2</v>
      </c>
      <c r="G8146" s="2" t="s">
        <v>10</v>
      </c>
    </row>
    <row r="8147" spans="1:9" x14ac:dyDescent="0.2">
      <c r="A8147" s="2" t="s">
        <v>3250</v>
      </c>
      <c r="B8147" s="2" t="s">
        <v>356</v>
      </c>
      <c r="C8147" s="2">
        <v>816.30719999999997</v>
      </c>
      <c r="D8147" s="2">
        <f>HYPERLINK("http://mcb-m6.bioreg.kyushu-u.ac.jp/M3/20110404/F50758/2194/1", 58.42)</f>
        <v>58.42</v>
      </c>
      <c r="E8147" s="2">
        <v>6.47</v>
      </c>
      <c r="F8147" s="2">
        <v>2</v>
      </c>
      <c r="G8147" s="2" t="s">
        <v>10</v>
      </c>
    </row>
    <row r="8148" spans="1:9" x14ac:dyDescent="0.2">
      <c r="A8148" s="2" t="s">
        <v>3250</v>
      </c>
      <c r="B8148" s="2" t="s">
        <v>772</v>
      </c>
      <c r="C8148" s="2">
        <v>1190.5119999999999</v>
      </c>
      <c r="D8148" s="2">
        <f>HYPERLINK("http://mcb-m6.bioreg.kyushu-u.ac.jp/M3/20110404/F50775/1375/1", 58.52)</f>
        <v>58.52</v>
      </c>
      <c r="E8148" s="2">
        <v>39.72</v>
      </c>
      <c r="F8148" s="2">
        <v>1</v>
      </c>
      <c r="G8148" s="2" t="s">
        <v>10</v>
      </c>
    </row>
    <row r="8149" spans="1:9" x14ac:dyDescent="0.2">
      <c r="A8149" s="2" t="s">
        <v>3250</v>
      </c>
      <c r="B8149" s="2" t="s">
        <v>90</v>
      </c>
      <c r="C8149" s="2">
        <v>717.33810000000005</v>
      </c>
      <c r="D8149" s="2">
        <f>HYPERLINK("http://mcb-m6.bioreg.kyushu-u.ac.jp/M3/20110404/F50758/1820/1", 58.73)</f>
        <v>58.73</v>
      </c>
      <c r="E8149" s="2">
        <v>34.58</v>
      </c>
      <c r="F8149" s="2">
        <v>2</v>
      </c>
      <c r="G8149" s="2" t="s">
        <v>10</v>
      </c>
    </row>
    <row r="8150" spans="1:9" x14ac:dyDescent="0.2">
      <c r="A8150" s="2" t="s">
        <v>3250</v>
      </c>
      <c r="B8150" s="2" t="s">
        <v>467</v>
      </c>
      <c r="C8150" s="2">
        <v>1383.6089999999999</v>
      </c>
      <c r="D8150" s="2">
        <f>HYPERLINK("http://mcb-m6.bioreg.kyushu-u.ac.jp/M3/20110404/F50773/1631/1", 58.81)</f>
        <v>58.81</v>
      </c>
      <c r="E8150" s="2">
        <v>43.97</v>
      </c>
      <c r="F8150" s="2">
        <v>1</v>
      </c>
      <c r="G8150" s="2" t="s">
        <v>10</v>
      </c>
    </row>
    <row r="8151" spans="1:9" x14ac:dyDescent="0.2">
      <c r="A8151" s="2" t="s">
        <v>3250</v>
      </c>
      <c r="B8151" s="2" t="s">
        <v>467</v>
      </c>
      <c r="C8151" s="2">
        <v>1382.4570000000001</v>
      </c>
      <c r="D8151" s="2">
        <f>HYPERLINK("http://mcb-m6.bioreg.kyushu-u.ac.jp/M3/20110404/F50770/1740/1", 58.98)</f>
        <v>58.98</v>
      </c>
      <c r="E8151" s="2">
        <v>40.880000000000003</v>
      </c>
      <c r="F8151" s="2">
        <v>1</v>
      </c>
      <c r="G8151" s="2" t="s">
        <v>10</v>
      </c>
    </row>
    <row r="8152" spans="1:9" x14ac:dyDescent="0.2">
      <c r="A8152" s="2" t="s">
        <v>3250</v>
      </c>
      <c r="B8152" s="2" t="s">
        <v>30</v>
      </c>
      <c r="C8152" s="2">
        <v>644.00850000000003</v>
      </c>
      <c r="D8152" s="2">
        <f>HYPERLINK("http://mcb-m6.bioreg.kyushu-u.ac.jp/M3/20110404/F50782/2886/1", 59)</f>
        <v>59</v>
      </c>
      <c r="E8152" s="2">
        <v>33.950000000000003</v>
      </c>
      <c r="F8152" s="2">
        <v>3</v>
      </c>
      <c r="G8152" s="2" t="s">
        <v>10</v>
      </c>
      <c r="I8152" s="2" t="s">
        <v>4894</v>
      </c>
    </row>
    <row r="8153" spans="1:9" x14ac:dyDescent="0.2">
      <c r="A8153" s="2" t="s">
        <v>3250</v>
      </c>
      <c r="B8153" s="2" t="s">
        <v>834</v>
      </c>
      <c r="C8153" s="2">
        <v>621.6857</v>
      </c>
      <c r="D8153" s="2">
        <f>HYPERLINK("http://mcb-m6.bioreg.kyushu-u.ac.jp/M3/20110404/F50771/1413/1", 59.14)</f>
        <v>59.14</v>
      </c>
      <c r="E8153" s="2">
        <v>36.61</v>
      </c>
      <c r="F8153" s="2">
        <v>2</v>
      </c>
      <c r="G8153" s="2" t="s">
        <v>10</v>
      </c>
    </row>
    <row r="8154" spans="1:9" x14ac:dyDescent="0.2">
      <c r="A8154" s="2" t="s">
        <v>3250</v>
      </c>
      <c r="B8154" s="2" t="s">
        <v>467</v>
      </c>
      <c r="C8154" s="2">
        <v>1383.6320000000001</v>
      </c>
      <c r="D8154" s="2">
        <f>HYPERLINK("http://mcb-m6.bioreg.kyushu-u.ac.jp/M3/20110404/F50774/1688/1", 59.15)</f>
        <v>59.15</v>
      </c>
      <c r="E8154" s="2">
        <v>46.54</v>
      </c>
      <c r="F8154" s="2">
        <v>1</v>
      </c>
      <c r="G8154" s="2" t="s">
        <v>10</v>
      </c>
    </row>
    <row r="8155" spans="1:9" x14ac:dyDescent="0.2">
      <c r="A8155" s="2" t="s">
        <v>3250</v>
      </c>
      <c r="B8155" s="2" t="s">
        <v>467</v>
      </c>
      <c r="C8155" s="2">
        <v>691.78719999999998</v>
      </c>
      <c r="D8155" s="2">
        <f>HYPERLINK("http://mcb-m6.bioreg.kyushu-u.ac.jp/M3/20110404/F50758/1714/1", 59.24)</f>
        <v>59.24</v>
      </c>
      <c r="E8155" s="2">
        <v>29.87</v>
      </c>
      <c r="F8155" s="2">
        <v>2</v>
      </c>
      <c r="G8155" s="2" t="s">
        <v>10</v>
      </c>
    </row>
    <row r="8156" spans="1:9" x14ac:dyDescent="0.2">
      <c r="A8156" s="2" t="s">
        <v>3250</v>
      </c>
      <c r="B8156" s="2" t="s">
        <v>481</v>
      </c>
      <c r="C8156" s="2">
        <v>1417.643</v>
      </c>
      <c r="D8156" s="2">
        <f>HYPERLINK("http://mcb-m6.bioreg.kyushu-u.ac.jp/M3/20110404/F50782/1595/1", 59.26)</f>
        <v>59.26</v>
      </c>
      <c r="E8156" s="2">
        <v>45.07</v>
      </c>
      <c r="F8156" s="2">
        <v>1</v>
      </c>
      <c r="G8156" s="2" t="s">
        <v>10</v>
      </c>
      <c r="I8156" s="2" t="s">
        <v>4898</v>
      </c>
    </row>
    <row r="8157" spans="1:9" x14ac:dyDescent="0.2">
      <c r="A8157" s="2" t="s">
        <v>3250</v>
      </c>
      <c r="B8157" s="2" t="s">
        <v>1581</v>
      </c>
      <c r="C8157" s="2">
        <v>1148.028</v>
      </c>
      <c r="D8157" s="2">
        <f>HYPERLINK("http://mcb-m6.bioreg.kyushu-u.ac.jp/M3/20110404/F50775/3076/1", 59.33)</f>
        <v>59.33</v>
      </c>
      <c r="E8157" s="2">
        <v>49.17</v>
      </c>
      <c r="F8157" s="2">
        <v>2</v>
      </c>
      <c r="G8157" s="2" t="s">
        <v>10</v>
      </c>
      <c r="I8157" s="2" t="s">
        <v>4895</v>
      </c>
    </row>
    <row r="8158" spans="1:9" x14ac:dyDescent="0.2">
      <c r="A8158" s="2" t="s">
        <v>3250</v>
      </c>
      <c r="B8158" s="2" t="s">
        <v>467</v>
      </c>
      <c r="C8158" s="2">
        <v>1383.6769999999999</v>
      </c>
      <c r="D8158" s="2">
        <f>HYPERLINK("http://mcb-m6.bioreg.kyushu-u.ac.jp/M3/20110404/F50782/1521/1", 59.43)</f>
        <v>59.43</v>
      </c>
      <c r="E8158" s="2">
        <v>49.37</v>
      </c>
      <c r="F8158" s="2">
        <v>1</v>
      </c>
      <c r="G8158" s="2" t="s">
        <v>10</v>
      </c>
    </row>
    <row r="8159" spans="1:9" x14ac:dyDescent="0.2">
      <c r="A8159" s="2" t="s">
        <v>3250</v>
      </c>
      <c r="B8159" s="2" t="s">
        <v>311</v>
      </c>
      <c r="C8159" s="2">
        <v>606.54769999999996</v>
      </c>
      <c r="D8159" s="2">
        <f>HYPERLINK("http://mcb-m6.bioreg.kyushu-u.ac.jp/M3/20110404/F50770/1438/1", 59.43)</f>
        <v>59.43</v>
      </c>
      <c r="E8159" s="2">
        <v>41.53</v>
      </c>
      <c r="F8159" s="2">
        <v>2</v>
      </c>
      <c r="G8159" s="2" t="s">
        <v>10</v>
      </c>
      <c r="H8159" s="2" t="s">
        <v>4908</v>
      </c>
    </row>
    <row r="8160" spans="1:9" x14ac:dyDescent="0.2">
      <c r="A8160" s="2" t="s">
        <v>3250</v>
      </c>
      <c r="B8160" s="2" t="s">
        <v>467</v>
      </c>
      <c r="C8160" s="2">
        <v>692.32169999999996</v>
      </c>
      <c r="D8160" s="2">
        <f>HYPERLINK("http://mcb-m6.bioreg.kyushu-u.ac.jp/M3/20110404/F50758/1716/1", 59.47)</f>
        <v>59.47</v>
      </c>
      <c r="E8160" s="2">
        <v>31.09</v>
      </c>
      <c r="F8160" s="2">
        <v>2</v>
      </c>
      <c r="G8160" s="2" t="s">
        <v>10</v>
      </c>
    </row>
    <row r="8161" spans="1:9" x14ac:dyDescent="0.2">
      <c r="A8161" s="2" t="s">
        <v>3250</v>
      </c>
      <c r="B8161" s="2" t="s">
        <v>467</v>
      </c>
      <c r="C8161" s="2">
        <v>1382.662</v>
      </c>
      <c r="D8161" s="2">
        <f>HYPERLINK("http://mcb-m6.bioreg.kyushu-u.ac.jp/M3/20110404/F50781/1649/1", 59.48)</f>
        <v>59.48</v>
      </c>
      <c r="E8161" s="2">
        <v>48.59</v>
      </c>
      <c r="F8161" s="2">
        <v>1</v>
      </c>
      <c r="G8161" s="2" t="s">
        <v>10</v>
      </c>
    </row>
    <row r="8162" spans="1:9" x14ac:dyDescent="0.2">
      <c r="A8162" s="2" t="s">
        <v>3250</v>
      </c>
      <c r="B8162" s="2" t="s">
        <v>102</v>
      </c>
      <c r="C8162" s="2">
        <v>608.39970000000005</v>
      </c>
      <c r="D8162" s="2">
        <f>HYPERLINK("http://mcb-m6.bioreg.kyushu-u.ac.jp/M3/20110404/F50760/1372/1", 59.5)</f>
        <v>59.5</v>
      </c>
      <c r="E8162" s="2">
        <v>43.61</v>
      </c>
      <c r="F8162" s="2">
        <v>2</v>
      </c>
      <c r="G8162" s="2" t="s">
        <v>10</v>
      </c>
    </row>
    <row r="8163" spans="1:9" x14ac:dyDescent="0.2">
      <c r="A8163" s="2" t="s">
        <v>3250</v>
      </c>
      <c r="B8163" s="2" t="s">
        <v>467</v>
      </c>
      <c r="C8163" s="2">
        <v>1382.5809999999999</v>
      </c>
      <c r="D8163" s="2">
        <f>HYPERLINK("http://mcb-m6.bioreg.kyushu-u.ac.jp/M3/20110404/F50774/1683/1", 59.6)</f>
        <v>59.6</v>
      </c>
      <c r="E8163" s="2">
        <v>44.57</v>
      </c>
      <c r="F8163" s="2">
        <v>1</v>
      </c>
      <c r="G8163" s="2" t="s">
        <v>10</v>
      </c>
    </row>
    <row r="8164" spans="1:9" x14ac:dyDescent="0.2">
      <c r="A8164" s="2" t="s">
        <v>3250</v>
      </c>
      <c r="B8164" s="2" t="s">
        <v>1787</v>
      </c>
      <c r="C8164" s="2">
        <v>588.70569999999998</v>
      </c>
      <c r="D8164" s="2">
        <f>HYPERLINK("http://mcb-m6.bioreg.kyushu-u.ac.jp/M3/20110404/F50775/1326/1", 59.64)</f>
        <v>59.64</v>
      </c>
      <c r="E8164" s="2">
        <v>38.94</v>
      </c>
      <c r="F8164" s="2">
        <v>2</v>
      </c>
      <c r="G8164" s="2" t="s">
        <v>10</v>
      </c>
      <c r="I8164" s="2" t="s">
        <v>4895</v>
      </c>
    </row>
    <row r="8165" spans="1:9" x14ac:dyDescent="0.2">
      <c r="A8165" s="2" t="s">
        <v>3250</v>
      </c>
      <c r="B8165" s="2" t="s">
        <v>398</v>
      </c>
      <c r="C8165" s="2">
        <v>640.31769999999995</v>
      </c>
      <c r="D8165" s="2">
        <f>HYPERLINK("http://mcb-m6.bioreg.kyushu-u.ac.jp/M3/20110404/F50770/1542/1", 59.76)</f>
        <v>59.76</v>
      </c>
      <c r="E8165" s="2">
        <v>31.54</v>
      </c>
      <c r="F8165" s="2">
        <v>2</v>
      </c>
      <c r="G8165" s="2" t="s">
        <v>10</v>
      </c>
    </row>
    <row r="8166" spans="1:9" x14ac:dyDescent="0.2">
      <c r="A8166" s="2" t="s">
        <v>3250</v>
      </c>
      <c r="B8166" s="2" t="s">
        <v>1875</v>
      </c>
      <c r="C8166" s="2">
        <v>780.5652</v>
      </c>
      <c r="D8166" s="2">
        <f>HYPERLINK("http://mcb-m6.bioreg.kyushu-u.ac.jp/M3/20110404/F50770/2057/1", 59.97)</f>
        <v>59.97</v>
      </c>
      <c r="E8166" s="2">
        <v>48.11</v>
      </c>
      <c r="F8166" s="2">
        <v>2</v>
      </c>
      <c r="G8166" s="2" t="s">
        <v>10</v>
      </c>
      <c r="H8166" s="2" t="s">
        <v>4920</v>
      </c>
    </row>
    <row r="8167" spans="1:9" x14ac:dyDescent="0.2">
      <c r="A8167" s="2" t="s">
        <v>3250</v>
      </c>
      <c r="B8167" s="2" t="s">
        <v>772</v>
      </c>
      <c r="C8167" s="2">
        <v>1190.549</v>
      </c>
      <c r="D8167" s="2">
        <f>HYPERLINK("http://mcb-m6.bioreg.kyushu-u.ac.jp/M3/20110404/F50761/1297/1", 60.02)</f>
        <v>60.02</v>
      </c>
      <c r="E8167" s="2">
        <v>35.75</v>
      </c>
      <c r="F8167" s="2">
        <v>1</v>
      </c>
      <c r="G8167" s="2" t="s">
        <v>10</v>
      </c>
    </row>
    <row r="8168" spans="1:9" x14ac:dyDescent="0.2">
      <c r="A8168" s="2" t="s">
        <v>3250</v>
      </c>
      <c r="B8168" s="2" t="s">
        <v>503</v>
      </c>
      <c r="C8168" s="2">
        <v>816.72519999999997</v>
      </c>
      <c r="D8168" s="2">
        <f>HYPERLINK("http://mcb-m6.bioreg.kyushu-u.ac.jp/M3/20110404/F50772/2234/1", 60.59)</f>
        <v>60.59</v>
      </c>
      <c r="E8168" s="2">
        <v>43.81</v>
      </c>
      <c r="F8168" s="2">
        <v>2</v>
      </c>
      <c r="G8168" s="2" t="s">
        <v>10</v>
      </c>
      <c r="H8168" s="2" t="s">
        <v>4907</v>
      </c>
    </row>
    <row r="8169" spans="1:9" x14ac:dyDescent="0.2">
      <c r="A8169" s="2" t="s">
        <v>3250</v>
      </c>
      <c r="B8169" s="2" t="s">
        <v>543</v>
      </c>
      <c r="C8169" s="2">
        <v>926.95169999999996</v>
      </c>
      <c r="D8169" s="2">
        <f>HYPERLINK("http://mcb-m6.bioreg.kyushu-u.ac.jp/M3/20110404/F50771/2613/1", 60.83)</f>
        <v>60.83</v>
      </c>
      <c r="E8169" s="2">
        <v>46.93</v>
      </c>
      <c r="F8169" s="2">
        <v>2</v>
      </c>
      <c r="G8169" s="2" t="s">
        <v>10</v>
      </c>
    </row>
    <row r="8170" spans="1:9" x14ac:dyDescent="0.2">
      <c r="A8170" s="2" t="s">
        <v>3250</v>
      </c>
      <c r="B8170" s="2" t="s">
        <v>6017</v>
      </c>
      <c r="C8170" s="2">
        <v>797.60490000000004</v>
      </c>
      <c r="D8170" s="2">
        <f>HYPERLINK("http://mcb-m6.bioreg.kyushu-u.ac.jp/M3/20110404/F50782/3552/1", 61.03)</f>
        <v>61.03</v>
      </c>
      <c r="E8170" s="2">
        <v>46.93</v>
      </c>
      <c r="F8170" s="2">
        <v>3</v>
      </c>
      <c r="G8170" s="2" t="s">
        <v>10</v>
      </c>
      <c r="I8170" s="2" t="s">
        <v>4895</v>
      </c>
    </row>
    <row r="8171" spans="1:9" x14ac:dyDescent="0.2">
      <c r="A8171" s="2" t="s">
        <v>3250</v>
      </c>
      <c r="B8171" s="2" t="s">
        <v>1787</v>
      </c>
      <c r="C8171" s="2">
        <v>588.36360000000002</v>
      </c>
      <c r="D8171" s="2">
        <f>HYPERLINK("http://mcb-m6.bioreg.kyushu-u.ac.jp/M3/20110404/F50782/1054/1", 61.1)</f>
        <v>61.1</v>
      </c>
      <c r="E8171" s="2">
        <v>47.87</v>
      </c>
      <c r="F8171" s="2">
        <v>2</v>
      </c>
      <c r="G8171" s="2" t="s">
        <v>10</v>
      </c>
      <c r="I8171" s="2" t="s">
        <v>4895</v>
      </c>
    </row>
    <row r="8172" spans="1:9" x14ac:dyDescent="0.2">
      <c r="A8172" s="2" t="s">
        <v>3250</v>
      </c>
      <c r="B8172" s="2" t="s">
        <v>77</v>
      </c>
      <c r="C8172" s="2">
        <v>575.12270000000001</v>
      </c>
      <c r="D8172" s="2">
        <f>HYPERLINK("http://mcb-m6.bioreg.kyushu-u.ac.jp/M3/20110404/F50771/1253/1", 61.36)</f>
        <v>61.36</v>
      </c>
      <c r="E8172" s="2">
        <v>34.53</v>
      </c>
      <c r="F8172" s="2">
        <v>2</v>
      </c>
      <c r="G8172" s="2" t="s">
        <v>10</v>
      </c>
    </row>
    <row r="8173" spans="1:9" x14ac:dyDescent="0.2">
      <c r="A8173" s="2" t="s">
        <v>3250</v>
      </c>
      <c r="B8173" s="2" t="s">
        <v>1065</v>
      </c>
      <c r="C8173" s="2">
        <v>717.27419999999995</v>
      </c>
      <c r="D8173" s="2">
        <f>HYPERLINK("http://mcb-m6.bioreg.kyushu-u.ac.jp/M3/20110404/F50760/1748/1", 61.45)</f>
        <v>61.45</v>
      </c>
      <c r="E8173" s="2">
        <v>51.43</v>
      </c>
      <c r="F8173" s="2">
        <v>2</v>
      </c>
      <c r="G8173" s="2" t="s">
        <v>10</v>
      </c>
      <c r="I8173" s="2" t="s">
        <v>4892</v>
      </c>
    </row>
    <row r="8174" spans="1:9" x14ac:dyDescent="0.2">
      <c r="A8174" s="2" t="s">
        <v>3250</v>
      </c>
      <c r="B8174" s="2" t="s">
        <v>1888</v>
      </c>
      <c r="C8174" s="2">
        <v>456.69709999999998</v>
      </c>
      <c r="D8174" s="2">
        <f>HYPERLINK("http://mcb-m6.bioreg.kyushu-u.ac.jp/M3/20110404/F50782/572/1", 61.71)</f>
        <v>61.71</v>
      </c>
      <c r="E8174" s="2">
        <v>17.670000000000002</v>
      </c>
      <c r="F8174" s="2">
        <v>2</v>
      </c>
      <c r="G8174" s="2" t="s">
        <v>10</v>
      </c>
    </row>
    <row r="8175" spans="1:9" x14ac:dyDescent="0.2">
      <c r="A8175" s="2" t="s">
        <v>3250</v>
      </c>
      <c r="B8175" s="2" t="s">
        <v>365</v>
      </c>
      <c r="C8175" s="2">
        <v>849.20759999999996</v>
      </c>
      <c r="D8175" s="2">
        <f>HYPERLINK("http://mcb-m6.bioreg.kyushu-u.ac.jp/M3/20110404/F50782/2321/1", 61.85)</f>
        <v>61.85</v>
      </c>
      <c r="E8175" s="2">
        <v>41.6</v>
      </c>
      <c r="F8175" s="2">
        <v>2</v>
      </c>
      <c r="G8175" s="2" t="s">
        <v>10</v>
      </c>
    </row>
    <row r="8176" spans="1:9" x14ac:dyDescent="0.2">
      <c r="A8176" s="2" t="s">
        <v>3250</v>
      </c>
      <c r="B8176" s="2" t="s">
        <v>1665</v>
      </c>
      <c r="C8176" s="2">
        <v>764.92420000000004</v>
      </c>
      <c r="D8176" s="2">
        <f>HYPERLINK("http://mcb-m6.bioreg.kyushu-u.ac.jp/M3/20110404/F50782/3409/1", 61.91)</f>
        <v>61.91</v>
      </c>
      <c r="E8176" s="2">
        <v>41.09</v>
      </c>
      <c r="F8176" s="2">
        <v>3</v>
      </c>
      <c r="G8176" s="2" t="s">
        <v>10</v>
      </c>
    </row>
    <row r="8177" spans="1:9" x14ac:dyDescent="0.2">
      <c r="A8177" s="2" t="s">
        <v>3250</v>
      </c>
      <c r="B8177" s="2" t="s">
        <v>90</v>
      </c>
      <c r="C8177" s="2">
        <v>717.18709999999999</v>
      </c>
      <c r="D8177" s="2">
        <f>HYPERLINK("http://mcb-m6.bioreg.kyushu-u.ac.jp/M3/20110404/F50758/1818/1", 61.98)</f>
        <v>61.98</v>
      </c>
      <c r="E8177" s="2">
        <v>45.82</v>
      </c>
      <c r="F8177" s="2">
        <v>2</v>
      </c>
      <c r="G8177" s="2" t="s">
        <v>10</v>
      </c>
    </row>
    <row r="8178" spans="1:9" x14ac:dyDescent="0.2">
      <c r="A8178" s="2" t="s">
        <v>3250</v>
      </c>
      <c r="B8178" s="2" t="s">
        <v>834</v>
      </c>
      <c r="C8178" s="2">
        <v>621.7491</v>
      </c>
      <c r="D8178" s="2">
        <f>HYPERLINK("http://mcb-m6.bioreg.kyushu-u.ac.jp/M3/20110404/F50782/1214/1", 62.17)</f>
        <v>62.17</v>
      </c>
      <c r="E8178" s="2">
        <v>39.869999999999997</v>
      </c>
      <c r="F8178" s="2">
        <v>2</v>
      </c>
      <c r="G8178" s="2" t="s">
        <v>10</v>
      </c>
    </row>
    <row r="8179" spans="1:9" x14ac:dyDescent="0.2">
      <c r="A8179" s="2" t="s">
        <v>3250</v>
      </c>
      <c r="B8179" s="2" t="s">
        <v>175</v>
      </c>
      <c r="C8179" s="2">
        <v>784.58969999999999</v>
      </c>
      <c r="D8179" s="2">
        <f>HYPERLINK("http://mcb-m6.bioreg.kyushu-u.ac.jp/M3/20110404/F50770/2084/1", 62.17)</f>
        <v>62.17</v>
      </c>
      <c r="E8179" s="2">
        <v>51.16</v>
      </c>
      <c r="F8179" s="2">
        <v>2</v>
      </c>
      <c r="G8179" s="2" t="s">
        <v>10</v>
      </c>
      <c r="I8179" s="2" t="s">
        <v>4893</v>
      </c>
    </row>
    <row r="8180" spans="1:9" x14ac:dyDescent="0.2">
      <c r="A8180" s="2" t="s">
        <v>3250</v>
      </c>
      <c r="B8180" s="2" t="s">
        <v>102</v>
      </c>
      <c r="C8180" s="2">
        <v>616.28920000000005</v>
      </c>
      <c r="D8180" s="2">
        <f>HYPERLINK("http://mcb-m6.bioreg.kyushu-u.ac.jp/M3/20110404/F50773/1319/1", 62.35)</f>
        <v>62.35</v>
      </c>
      <c r="E8180" s="2">
        <v>47.4</v>
      </c>
      <c r="F8180" s="2">
        <v>2</v>
      </c>
      <c r="G8180" s="2" t="s">
        <v>10</v>
      </c>
      <c r="H8180" s="2" t="s">
        <v>4900</v>
      </c>
    </row>
    <row r="8181" spans="1:9" x14ac:dyDescent="0.2">
      <c r="A8181" s="2" t="s">
        <v>3250</v>
      </c>
      <c r="B8181" s="2" t="s">
        <v>1875</v>
      </c>
      <c r="C8181" s="2">
        <v>780.95870000000002</v>
      </c>
      <c r="D8181" s="2">
        <f>HYPERLINK("http://mcb-m6.bioreg.kyushu-u.ac.jp/M3/20110404/F50774/2057/1", 62.53)</f>
        <v>62.53</v>
      </c>
      <c r="E8181" s="2">
        <v>49.33</v>
      </c>
      <c r="F8181" s="2">
        <v>2</v>
      </c>
      <c r="G8181" s="2" t="s">
        <v>10</v>
      </c>
      <c r="H8181" s="2" t="s">
        <v>4917</v>
      </c>
    </row>
    <row r="8182" spans="1:9" x14ac:dyDescent="0.2">
      <c r="A8182" s="2" t="s">
        <v>3250</v>
      </c>
      <c r="B8182" s="2" t="s">
        <v>398</v>
      </c>
      <c r="C8182" s="2">
        <v>640.31820000000005</v>
      </c>
      <c r="D8182" s="2">
        <f>HYPERLINK("http://mcb-m6.bioreg.kyushu-u.ac.jp/M3/20110404/F50773/1398/1", 62.53)</f>
        <v>62.53</v>
      </c>
      <c r="E8182" s="2">
        <v>38.14</v>
      </c>
      <c r="F8182" s="2">
        <v>2</v>
      </c>
      <c r="G8182" s="2" t="s">
        <v>10</v>
      </c>
    </row>
    <row r="8183" spans="1:9" x14ac:dyDescent="0.2">
      <c r="A8183" s="2" t="s">
        <v>3250</v>
      </c>
      <c r="B8183" s="2" t="s">
        <v>834</v>
      </c>
      <c r="C8183" s="2">
        <v>621.84310000000005</v>
      </c>
      <c r="D8183" s="2">
        <f>HYPERLINK("http://mcb-m6.bioreg.kyushu-u.ac.jp/M3/20110404/F50770/1493/1", 62.67)</f>
        <v>62.67</v>
      </c>
      <c r="E8183" s="2">
        <v>41.87</v>
      </c>
      <c r="F8183" s="2">
        <v>2</v>
      </c>
      <c r="G8183" s="2" t="s">
        <v>10</v>
      </c>
    </row>
    <row r="8184" spans="1:9" x14ac:dyDescent="0.2">
      <c r="A8184" s="2" t="s">
        <v>3250</v>
      </c>
      <c r="B8184" s="2" t="s">
        <v>311</v>
      </c>
      <c r="C8184" s="2">
        <v>1196.51</v>
      </c>
      <c r="D8184" s="2">
        <f>HYPERLINK("http://mcb-m6.bioreg.kyushu-u.ac.jp/M3/20110404/F50775/1387/1", 62.76)</f>
        <v>62.76</v>
      </c>
      <c r="E8184" s="2">
        <v>46.56</v>
      </c>
      <c r="F8184" s="2">
        <v>1</v>
      </c>
      <c r="G8184" s="2" t="s">
        <v>10</v>
      </c>
    </row>
    <row r="8185" spans="1:9" x14ac:dyDescent="0.2">
      <c r="A8185" s="2" t="s">
        <v>3250</v>
      </c>
      <c r="B8185" s="2" t="s">
        <v>481</v>
      </c>
      <c r="C8185" s="2">
        <v>709.8827</v>
      </c>
      <c r="D8185" s="2">
        <f>HYPERLINK("http://mcb-m6.bioreg.kyushu-u.ac.jp/M3/20110404/F50782/1601/1", 62.82)</f>
        <v>62.82</v>
      </c>
      <c r="E8185" s="2">
        <v>41.68</v>
      </c>
      <c r="F8185" s="2">
        <v>2</v>
      </c>
      <c r="G8185" s="2" t="s">
        <v>10</v>
      </c>
      <c r="I8185" s="2" t="s">
        <v>4898</v>
      </c>
    </row>
    <row r="8186" spans="1:9" x14ac:dyDescent="0.2">
      <c r="A8186" s="2" t="s">
        <v>3250</v>
      </c>
      <c r="B8186" s="2" t="s">
        <v>772</v>
      </c>
      <c r="C8186" s="2">
        <v>596.19370000000004</v>
      </c>
      <c r="D8186" s="2">
        <f>HYPERLINK("http://mcb-m6.bioreg.kyushu-u.ac.jp/M3/20110404/F50769/1524/1", 62.96)</f>
        <v>62.96</v>
      </c>
      <c r="E8186" s="2">
        <v>39.659999999999997</v>
      </c>
      <c r="F8186" s="2">
        <v>2</v>
      </c>
      <c r="G8186" s="2" t="s">
        <v>10</v>
      </c>
    </row>
    <row r="8187" spans="1:9" x14ac:dyDescent="0.2">
      <c r="A8187" s="2" t="s">
        <v>3250</v>
      </c>
      <c r="B8187" s="2" t="s">
        <v>481</v>
      </c>
      <c r="C8187" s="2">
        <v>1417.646</v>
      </c>
      <c r="D8187" s="2">
        <f>HYPERLINK("http://mcb-m6.bioreg.kyushu-u.ac.jp/M3/20110404/F50761/1707/1", 62.98)</f>
        <v>62.98</v>
      </c>
      <c r="E8187" s="2">
        <v>49.83</v>
      </c>
      <c r="F8187" s="2">
        <v>1</v>
      </c>
      <c r="G8187" s="2" t="s">
        <v>10</v>
      </c>
      <c r="I8187" s="2" t="s">
        <v>4898</v>
      </c>
    </row>
    <row r="8188" spans="1:9" x14ac:dyDescent="0.2">
      <c r="A8188" s="2" t="s">
        <v>3250</v>
      </c>
      <c r="B8188" s="2" t="s">
        <v>772</v>
      </c>
      <c r="C8188" s="2">
        <v>595.8202</v>
      </c>
      <c r="D8188" s="2">
        <f>HYPERLINK("http://mcb-m6.bioreg.kyushu-u.ac.jp/M3/20110404/F50782/1089/1", 63.05)</f>
        <v>63.05</v>
      </c>
      <c r="E8188" s="2">
        <v>33.19</v>
      </c>
      <c r="F8188" s="2">
        <v>2</v>
      </c>
      <c r="G8188" s="2" t="s">
        <v>10</v>
      </c>
    </row>
    <row r="8189" spans="1:9" x14ac:dyDescent="0.2">
      <c r="A8189" s="2" t="s">
        <v>3250</v>
      </c>
      <c r="B8189" s="2" t="s">
        <v>481</v>
      </c>
      <c r="C8189" s="2">
        <v>709.34860000000003</v>
      </c>
      <c r="D8189" s="2">
        <f>HYPERLINK("http://mcb-m6.bioreg.kyushu-u.ac.jp/M3/20110404/F50761/1709/1", 63.1)</f>
        <v>63.1</v>
      </c>
      <c r="E8189" s="2">
        <v>41.7</v>
      </c>
      <c r="F8189" s="2">
        <v>2</v>
      </c>
      <c r="G8189" s="2" t="s">
        <v>10</v>
      </c>
      <c r="I8189" s="2" t="s">
        <v>4898</v>
      </c>
    </row>
    <row r="8190" spans="1:9" x14ac:dyDescent="0.2">
      <c r="A8190" s="2" t="s">
        <v>3250</v>
      </c>
      <c r="B8190" s="2" t="s">
        <v>1065</v>
      </c>
      <c r="C8190" s="2">
        <v>1432.6610000000001</v>
      </c>
      <c r="D8190" s="2">
        <f>HYPERLINK("http://mcb-m6.bioreg.kyushu-u.ac.jp/M3/20110404/F50782/1666/1", 63.16)</f>
        <v>63.16</v>
      </c>
      <c r="E8190" s="2">
        <v>51.02</v>
      </c>
      <c r="F8190" s="2">
        <v>1</v>
      </c>
      <c r="G8190" s="2" t="s">
        <v>10</v>
      </c>
      <c r="I8190" s="2" t="s">
        <v>4892</v>
      </c>
    </row>
    <row r="8191" spans="1:9" x14ac:dyDescent="0.2">
      <c r="A8191" s="2" t="s">
        <v>3250</v>
      </c>
      <c r="B8191" s="2" t="s">
        <v>1787</v>
      </c>
      <c r="C8191" s="2">
        <v>588.33219999999994</v>
      </c>
      <c r="D8191" s="2">
        <f>HYPERLINK("http://mcb-m6.bioreg.kyushu-u.ac.jp/M3/20110404/F50773/1201/1", 63.2)</f>
        <v>63.2</v>
      </c>
      <c r="E8191" s="2">
        <v>44.48</v>
      </c>
      <c r="F8191" s="2">
        <v>2</v>
      </c>
      <c r="G8191" s="2" t="s">
        <v>10</v>
      </c>
      <c r="I8191" s="2" t="s">
        <v>4895</v>
      </c>
    </row>
    <row r="8192" spans="1:9" x14ac:dyDescent="0.2">
      <c r="A8192" s="2" t="s">
        <v>3250</v>
      </c>
      <c r="B8192" s="2" t="s">
        <v>1875</v>
      </c>
      <c r="C8192" s="2">
        <v>1544.748</v>
      </c>
      <c r="D8192" s="2">
        <f>HYPERLINK("http://mcb-m6.bioreg.kyushu-u.ac.jp/M3/20110404/F50782/1945/1", 63.29)</f>
        <v>63.29</v>
      </c>
      <c r="E8192" s="2">
        <v>48.17</v>
      </c>
      <c r="F8192" s="2">
        <v>1</v>
      </c>
      <c r="G8192" s="2" t="s">
        <v>10</v>
      </c>
    </row>
    <row r="8193" spans="1:9" x14ac:dyDescent="0.2">
      <c r="A8193" s="2" t="s">
        <v>3250</v>
      </c>
      <c r="B8193" s="2" t="s">
        <v>467</v>
      </c>
      <c r="C8193" s="2">
        <v>1382.615</v>
      </c>
      <c r="D8193" s="2">
        <f>HYPERLINK("http://mcb-m6.bioreg.kyushu-u.ac.jp/M3/20110404/F50773/1627/1", 63.35)</f>
        <v>63.35</v>
      </c>
      <c r="E8193" s="2">
        <v>47.54</v>
      </c>
      <c r="F8193" s="2">
        <v>1</v>
      </c>
      <c r="G8193" s="2" t="s">
        <v>10</v>
      </c>
    </row>
    <row r="8194" spans="1:9" x14ac:dyDescent="0.2">
      <c r="A8194" s="2" t="s">
        <v>3250</v>
      </c>
      <c r="B8194" s="2" t="s">
        <v>365</v>
      </c>
      <c r="C8194" s="2">
        <v>1696.79</v>
      </c>
      <c r="D8194" s="2">
        <f>HYPERLINK("http://mcb-m6.bioreg.kyushu-u.ac.jp/M3/20110404/F50773/2232/1", 63.38)</f>
        <v>63.38</v>
      </c>
      <c r="E8194" s="2">
        <v>51.97</v>
      </c>
      <c r="F8194" s="2">
        <v>1</v>
      </c>
      <c r="G8194" s="2" t="s">
        <v>10</v>
      </c>
    </row>
    <row r="8195" spans="1:9" x14ac:dyDescent="0.2">
      <c r="A8195" s="2" t="s">
        <v>3250</v>
      </c>
      <c r="B8195" s="2" t="s">
        <v>311</v>
      </c>
      <c r="C8195" s="2">
        <v>598.7242</v>
      </c>
      <c r="D8195" s="2">
        <f>HYPERLINK("http://mcb-m6.bioreg.kyushu-u.ac.jp/M3/20110404/F50775/1386/1", 63.45)</f>
        <v>63.45</v>
      </c>
      <c r="E8195" s="2">
        <v>47.71</v>
      </c>
      <c r="F8195" s="2">
        <v>2</v>
      </c>
      <c r="G8195" s="2" t="s">
        <v>10</v>
      </c>
    </row>
    <row r="8196" spans="1:9" x14ac:dyDescent="0.2">
      <c r="A8196" s="2" t="s">
        <v>3250</v>
      </c>
      <c r="B8196" s="2" t="s">
        <v>77</v>
      </c>
      <c r="C8196" s="2">
        <v>574.8152</v>
      </c>
      <c r="D8196" s="2">
        <f>HYPERLINK("http://mcb-m6.bioreg.kyushu-u.ac.jp/M3/20110404/F50761/1215/1", 63.61)</f>
        <v>63.61</v>
      </c>
      <c r="E8196" s="2">
        <v>42.22</v>
      </c>
      <c r="F8196" s="2">
        <v>2</v>
      </c>
      <c r="G8196" s="2" t="s">
        <v>10</v>
      </c>
    </row>
    <row r="8197" spans="1:9" x14ac:dyDescent="0.2">
      <c r="A8197" s="2" t="s">
        <v>3250</v>
      </c>
      <c r="B8197" s="2" t="s">
        <v>1787</v>
      </c>
      <c r="C8197" s="2">
        <v>588.19820000000004</v>
      </c>
      <c r="D8197" s="2">
        <f>HYPERLINK("http://mcb-m6.bioreg.kyushu-u.ac.jp/M3/20110404/F50761/1266/1", 63.65)</f>
        <v>63.65</v>
      </c>
      <c r="E8197" s="2">
        <v>36.69</v>
      </c>
      <c r="F8197" s="2">
        <v>2</v>
      </c>
      <c r="G8197" s="2" t="s">
        <v>10</v>
      </c>
      <c r="I8197" s="2" t="s">
        <v>4895</v>
      </c>
    </row>
    <row r="8198" spans="1:9" x14ac:dyDescent="0.2">
      <c r="A8198" s="2" t="s">
        <v>3250</v>
      </c>
      <c r="B8198" s="2" t="s">
        <v>311</v>
      </c>
      <c r="C8198" s="2">
        <v>606.74659999999994</v>
      </c>
      <c r="D8198" s="2">
        <f>HYPERLINK("http://mcb-m6.bioreg.kyushu-u.ac.jp/M3/20110404/F50761/1340/1", 63.72)</f>
        <v>63.72</v>
      </c>
      <c r="E8198" s="2">
        <v>38.049999999999997</v>
      </c>
      <c r="F8198" s="2">
        <v>2</v>
      </c>
      <c r="G8198" s="2" t="s">
        <v>10</v>
      </c>
      <c r="H8198" s="2" t="s">
        <v>4908</v>
      </c>
    </row>
    <row r="8199" spans="1:9" x14ac:dyDescent="0.2">
      <c r="A8199" s="2" t="s">
        <v>3250</v>
      </c>
      <c r="B8199" s="2" t="s">
        <v>356</v>
      </c>
      <c r="C8199" s="2">
        <v>816.33720000000005</v>
      </c>
      <c r="D8199" s="2">
        <f>HYPERLINK("http://mcb-m6.bioreg.kyushu-u.ac.jp/M3/20110404/F50761/2148/1", 63.74)</f>
        <v>63.74</v>
      </c>
      <c r="E8199" s="2">
        <v>49.55</v>
      </c>
      <c r="F8199" s="2">
        <v>2</v>
      </c>
      <c r="G8199" s="2" t="s">
        <v>10</v>
      </c>
    </row>
    <row r="8200" spans="1:9" x14ac:dyDescent="0.2">
      <c r="A8200" s="2" t="s">
        <v>3250</v>
      </c>
      <c r="B8200" s="2" t="s">
        <v>1787</v>
      </c>
      <c r="C8200" s="2">
        <v>588.09370000000001</v>
      </c>
      <c r="D8200" s="2">
        <f>HYPERLINK("http://mcb-m6.bioreg.kyushu-u.ac.jp/M3/20110404/F50771/1288/1", 63.77)</f>
        <v>63.77</v>
      </c>
      <c r="E8200" s="2">
        <v>39.92</v>
      </c>
      <c r="F8200" s="2">
        <v>2</v>
      </c>
      <c r="G8200" s="2" t="s">
        <v>10</v>
      </c>
      <c r="I8200" s="2" t="s">
        <v>4895</v>
      </c>
    </row>
    <row r="8201" spans="1:9" x14ac:dyDescent="0.2">
      <c r="A8201" s="2" t="s">
        <v>3250</v>
      </c>
      <c r="B8201" s="2" t="s">
        <v>30</v>
      </c>
      <c r="C8201" s="2">
        <v>965.39670000000001</v>
      </c>
      <c r="D8201" s="2">
        <f>HYPERLINK("http://mcb-m6.bioreg.kyushu-u.ac.jp/M3/20110404/F50768/2638/1", 63.94)</f>
        <v>63.94</v>
      </c>
      <c r="E8201" s="2">
        <v>53.52</v>
      </c>
      <c r="F8201" s="2">
        <v>2</v>
      </c>
      <c r="G8201" s="2" t="s">
        <v>10</v>
      </c>
      <c r="I8201" s="2" t="s">
        <v>4894</v>
      </c>
    </row>
    <row r="8202" spans="1:9" x14ac:dyDescent="0.2">
      <c r="A8202" s="2" t="s">
        <v>3250</v>
      </c>
      <c r="B8202" s="2" t="s">
        <v>30</v>
      </c>
      <c r="C8202" s="2">
        <v>965.44209999999998</v>
      </c>
      <c r="D8202" s="2">
        <f>HYPERLINK("http://mcb-m6.bioreg.kyushu-u.ac.jp/M3/20110404/F50782/2884/1", 64.01)</f>
        <v>64.010000000000005</v>
      </c>
      <c r="E8202" s="2">
        <v>48.29</v>
      </c>
      <c r="F8202" s="2">
        <v>2</v>
      </c>
      <c r="G8202" s="2" t="s">
        <v>10</v>
      </c>
      <c r="I8202" s="2" t="s">
        <v>4894</v>
      </c>
    </row>
    <row r="8203" spans="1:9" x14ac:dyDescent="0.2">
      <c r="A8203" s="2" t="s">
        <v>3250</v>
      </c>
      <c r="B8203" s="2" t="s">
        <v>365</v>
      </c>
      <c r="C8203" s="2">
        <v>849.30820000000006</v>
      </c>
      <c r="D8203" s="2">
        <f>HYPERLINK("http://mcb-m6.bioreg.kyushu-u.ac.jp/M3/20110404/F50761/2270/1", 64.24)</f>
        <v>64.239999999999995</v>
      </c>
      <c r="E8203" s="2">
        <v>47.18</v>
      </c>
      <c r="F8203" s="2">
        <v>2</v>
      </c>
      <c r="G8203" s="2" t="s">
        <v>10</v>
      </c>
    </row>
    <row r="8204" spans="1:9" x14ac:dyDescent="0.2">
      <c r="A8204" s="2" t="s">
        <v>3250</v>
      </c>
      <c r="B8204" s="2" t="s">
        <v>772</v>
      </c>
      <c r="C8204" s="2">
        <v>1190.6300000000001</v>
      </c>
      <c r="D8204" s="2">
        <f>HYPERLINK("http://mcb-m6.bioreg.kyushu-u.ac.jp/M3/20110404/F50782/1088/1", 64.71)</f>
        <v>64.709999999999994</v>
      </c>
      <c r="E8204" s="2">
        <v>38.020000000000003</v>
      </c>
      <c r="F8204" s="2">
        <v>1</v>
      </c>
      <c r="G8204" s="2" t="s">
        <v>10</v>
      </c>
    </row>
    <row r="8205" spans="1:9" x14ac:dyDescent="0.2">
      <c r="A8205" s="2" t="s">
        <v>3250</v>
      </c>
      <c r="B8205" s="2" t="s">
        <v>1065</v>
      </c>
      <c r="C8205" s="2">
        <v>1432.769</v>
      </c>
      <c r="D8205" s="2">
        <f>HYPERLINK("http://mcb-m6.bioreg.kyushu-u.ac.jp/M3/20110404/F50772/1818/1", 64.73)</f>
        <v>64.73</v>
      </c>
      <c r="E8205" s="2">
        <v>44.83</v>
      </c>
      <c r="F8205" s="2">
        <v>1</v>
      </c>
      <c r="G8205" s="2" t="s">
        <v>10</v>
      </c>
      <c r="I8205" s="2" t="s">
        <v>4892</v>
      </c>
    </row>
    <row r="8206" spans="1:9" x14ac:dyDescent="0.2">
      <c r="A8206" s="2" t="s">
        <v>3250</v>
      </c>
      <c r="B8206" s="2" t="s">
        <v>1875</v>
      </c>
      <c r="C8206" s="2">
        <v>788.32569999999998</v>
      </c>
      <c r="D8206" s="2">
        <f>HYPERLINK("http://mcb-m6.bioreg.kyushu-u.ac.jp/M3/20110404/F50774/2092/1", 64.87)</f>
        <v>64.87</v>
      </c>
      <c r="E8206" s="2">
        <v>48.26</v>
      </c>
      <c r="F8206" s="2">
        <v>2</v>
      </c>
      <c r="G8206" s="2" t="s">
        <v>10</v>
      </c>
      <c r="H8206" s="2" t="s">
        <v>4953</v>
      </c>
    </row>
    <row r="8207" spans="1:9" x14ac:dyDescent="0.2">
      <c r="A8207" s="2" t="s">
        <v>3250</v>
      </c>
      <c r="B8207" s="2" t="s">
        <v>543</v>
      </c>
      <c r="C8207" s="2">
        <v>618.28650000000005</v>
      </c>
      <c r="D8207" s="2">
        <f>HYPERLINK("http://mcb-m6.bioreg.kyushu-u.ac.jp/M3/20110404/F50782/2697/1", 64.91)</f>
        <v>64.91</v>
      </c>
      <c r="E8207" s="2">
        <v>44.06</v>
      </c>
      <c r="F8207" s="2">
        <v>3</v>
      </c>
      <c r="G8207" s="2" t="s">
        <v>10</v>
      </c>
    </row>
    <row r="8208" spans="1:9" x14ac:dyDescent="0.2">
      <c r="A8208" s="2" t="s">
        <v>3250</v>
      </c>
      <c r="B8208" s="2" t="s">
        <v>77</v>
      </c>
      <c r="C8208" s="2">
        <v>574.66020000000003</v>
      </c>
      <c r="D8208" s="2">
        <f>HYPERLINK("http://mcb-m6.bioreg.kyushu-u.ac.jp/M3/20110404/F50769/1452/1", 65.21)</f>
        <v>65.209999999999994</v>
      </c>
      <c r="E8208" s="2">
        <v>39.06</v>
      </c>
      <c r="F8208" s="2">
        <v>2</v>
      </c>
      <c r="G8208" s="2" t="s">
        <v>10</v>
      </c>
    </row>
    <row r="8209" spans="1:9" x14ac:dyDescent="0.2">
      <c r="A8209" s="2" t="s">
        <v>3250</v>
      </c>
      <c r="B8209" s="2" t="s">
        <v>1787</v>
      </c>
      <c r="C8209" s="2">
        <v>588.81870000000004</v>
      </c>
      <c r="D8209" s="2">
        <f>HYPERLINK("http://mcb-m6.bioreg.kyushu-u.ac.jp/M3/20110404/F50782/1058/1", 65.29)</f>
        <v>65.290000000000006</v>
      </c>
      <c r="E8209" s="2">
        <v>43.32</v>
      </c>
      <c r="F8209" s="2">
        <v>2</v>
      </c>
      <c r="G8209" s="2" t="s">
        <v>10</v>
      </c>
      <c r="I8209" s="2" t="s">
        <v>4895</v>
      </c>
    </row>
    <row r="8210" spans="1:9" x14ac:dyDescent="0.2">
      <c r="A8210" s="2" t="s">
        <v>3250</v>
      </c>
      <c r="B8210" s="2" t="s">
        <v>102</v>
      </c>
      <c r="C8210" s="2">
        <v>608.66859999999997</v>
      </c>
      <c r="D8210" s="2">
        <f>HYPERLINK("http://mcb-m6.bioreg.kyushu-u.ac.jp/M3/20110404/F50761/1348/1", 65.48)</f>
        <v>65.48</v>
      </c>
      <c r="E8210" s="2">
        <v>48.46</v>
      </c>
      <c r="F8210" s="2">
        <v>2</v>
      </c>
      <c r="G8210" s="2" t="s">
        <v>10</v>
      </c>
    </row>
    <row r="8211" spans="1:9" x14ac:dyDescent="0.2">
      <c r="A8211" s="2" t="s">
        <v>3250</v>
      </c>
      <c r="B8211" s="2" t="s">
        <v>1787</v>
      </c>
      <c r="C8211" s="2">
        <v>588.88170000000002</v>
      </c>
      <c r="D8211" s="2">
        <f>HYPERLINK("http://mcb-m6.bioreg.kyushu-u.ac.jp/M3/20110404/F50772/1298/1", 65.56)</f>
        <v>65.56</v>
      </c>
      <c r="E8211" s="2">
        <v>42.43</v>
      </c>
      <c r="F8211" s="2">
        <v>2</v>
      </c>
      <c r="G8211" s="2" t="s">
        <v>10</v>
      </c>
      <c r="I8211" s="2" t="s">
        <v>4895</v>
      </c>
    </row>
    <row r="8212" spans="1:9" x14ac:dyDescent="0.2">
      <c r="A8212" s="2" t="s">
        <v>3250</v>
      </c>
      <c r="B8212" s="2" t="s">
        <v>1065</v>
      </c>
      <c r="C8212" s="2">
        <v>717.2577</v>
      </c>
      <c r="D8212" s="2">
        <f>HYPERLINK("http://mcb-m6.bioreg.kyushu-u.ac.jp/M3/20110404/F50760/1746/1", 65.72)</f>
        <v>65.72</v>
      </c>
      <c r="E8212" s="2">
        <v>51.67</v>
      </c>
      <c r="F8212" s="2">
        <v>2</v>
      </c>
      <c r="G8212" s="2" t="s">
        <v>10</v>
      </c>
      <c r="I8212" s="2" t="s">
        <v>4892</v>
      </c>
    </row>
    <row r="8213" spans="1:9" x14ac:dyDescent="0.2">
      <c r="A8213" s="2" t="s">
        <v>3250</v>
      </c>
      <c r="B8213" s="2" t="s">
        <v>772</v>
      </c>
      <c r="C8213" s="2">
        <v>595.65309999999999</v>
      </c>
      <c r="D8213" s="2">
        <f>HYPERLINK("http://mcb-m6.bioreg.kyushu-u.ac.jp/M3/20110404/F50768/1371/1", 65.86)</f>
        <v>65.86</v>
      </c>
      <c r="E8213" s="2">
        <v>33.04</v>
      </c>
      <c r="F8213" s="2">
        <v>2</v>
      </c>
      <c r="G8213" s="2" t="s">
        <v>10</v>
      </c>
    </row>
    <row r="8214" spans="1:9" x14ac:dyDescent="0.2">
      <c r="A8214" s="2" t="s">
        <v>3250</v>
      </c>
      <c r="B8214" s="2" t="s">
        <v>102</v>
      </c>
      <c r="C8214" s="2">
        <v>616.24369999999999</v>
      </c>
      <c r="D8214" s="2">
        <f>HYPERLINK("http://mcb-m6.bioreg.kyushu-u.ac.jp/M3/20110404/F50770/1479/1", 65.94)</f>
        <v>65.94</v>
      </c>
      <c r="E8214" s="2">
        <v>50.81</v>
      </c>
      <c r="F8214" s="2">
        <v>2</v>
      </c>
      <c r="G8214" s="2" t="s">
        <v>10</v>
      </c>
      <c r="H8214" s="2" t="s">
        <v>4900</v>
      </c>
    </row>
    <row r="8215" spans="1:9" x14ac:dyDescent="0.2">
      <c r="A8215" s="2" t="s">
        <v>3250</v>
      </c>
      <c r="B8215" s="2" t="s">
        <v>6027</v>
      </c>
      <c r="C8215" s="2">
        <v>711.98519999999996</v>
      </c>
      <c r="D8215" s="2">
        <f>HYPERLINK("http://mcb-m6.bioreg.kyushu-u.ac.jp/M3/20110404/F50782/1616/1", 66.02)</f>
        <v>66.02</v>
      </c>
      <c r="E8215" s="2">
        <v>44.6</v>
      </c>
      <c r="F8215" s="2">
        <v>2</v>
      </c>
      <c r="G8215" s="2" t="s">
        <v>10</v>
      </c>
    </row>
    <row r="8216" spans="1:9" x14ac:dyDescent="0.2">
      <c r="A8216" s="2" t="s">
        <v>3250</v>
      </c>
      <c r="B8216" s="2" t="s">
        <v>311</v>
      </c>
      <c r="C8216" s="2">
        <v>1196.5029999999999</v>
      </c>
      <c r="D8216" s="2">
        <f>HYPERLINK("http://mcb-m6.bioreg.kyushu-u.ac.jp/M3/20110404/F50768/1383/1", 66.27)</f>
        <v>66.27</v>
      </c>
      <c r="E8216" s="2">
        <v>52.26</v>
      </c>
      <c r="F8216" s="2">
        <v>1</v>
      </c>
      <c r="G8216" s="2" t="s">
        <v>10</v>
      </c>
    </row>
    <row r="8217" spans="1:9" x14ac:dyDescent="0.2">
      <c r="A8217" s="2" t="s">
        <v>3250</v>
      </c>
      <c r="B8217" s="2" t="s">
        <v>5991</v>
      </c>
      <c r="C8217" s="2">
        <v>971.94010000000003</v>
      </c>
      <c r="D8217" s="2">
        <f>HYPERLINK("http://mcb-m6.bioreg.kyushu-u.ac.jp/M3/20110404/F50782/4017/1", 66.33)</f>
        <v>66.33</v>
      </c>
      <c r="E8217" s="2">
        <v>56.6</v>
      </c>
      <c r="F8217" s="2">
        <v>3</v>
      </c>
      <c r="G8217" s="2" t="s">
        <v>10</v>
      </c>
      <c r="I8217" s="2" t="s">
        <v>4895</v>
      </c>
    </row>
    <row r="8218" spans="1:9" x14ac:dyDescent="0.2">
      <c r="A8218" s="2" t="s">
        <v>3250</v>
      </c>
      <c r="B8218" s="2" t="s">
        <v>1787</v>
      </c>
      <c r="C8218" s="2">
        <v>588.50620000000004</v>
      </c>
      <c r="D8218" s="2">
        <f>HYPERLINK("http://mcb-m6.bioreg.kyushu-u.ac.jp/M3/20110404/F50774/1293/1", 66.35)</f>
        <v>66.349999999999994</v>
      </c>
      <c r="E8218" s="2">
        <v>47.17</v>
      </c>
      <c r="F8218" s="2">
        <v>2</v>
      </c>
      <c r="G8218" s="2" t="s">
        <v>10</v>
      </c>
      <c r="I8218" s="2" t="s">
        <v>4895</v>
      </c>
    </row>
    <row r="8219" spans="1:9" x14ac:dyDescent="0.2">
      <c r="A8219" s="2" t="s">
        <v>3250</v>
      </c>
      <c r="B8219" s="2" t="s">
        <v>398</v>
      </c>
      <c r="C8219" s="2">
        <v>640.46169999999995</v>
      </c>
      <c r="D8219" s="2">
        <f>HYPERLINK("http://mcb-m6.bioreg.kyushu-u.ac.jp/M3/20110404/F50772/1503/1", 66.46)</f>
        <v>66.459999999999994</v>
      </c>
      <c r="E8219" s="2">
        <v>44.27</v>
      </c>
      <c r="F8219" s="2">
        <v>2</v>
      </c>
      <c r="G8219" s="2" t="s">
        <v>10</v>
      </c>
    </row>
    <row r="8220" spans="1:9" x14ac:dyDescent="0.2">
      <c r="A8220" s="2" t="s">
        <v>3250</v>
      </c>
      <c r="B8220" s="2" t="s">
        <v>561</v>
      </c>
      <c r="C8220" s="2">
        <v>654.74720000000002</v>
      </c>
      <c r="D8220" s="2">
        <f>HYPERLINK("http://mcb-m6.bioreg.kyushu-u.ac.jp/M3/20110404/F50771/1517/1", 66.54)</f>
        <v>66.540000000000006</v>
      </c>
      <c r="E8220" s="2">
        <v>39.49</v>
      </c>
      <c r="F8220" s="2">
        <v>2</v>
      </c>
      <c r="G8220" s="2" t="s">
        <v>10</v>
      </c>
    </row>
    <row r="8221" spans="1:9" x14ac:dyDescent="0.2">
      <c r="A8221" s="2" t="s">
        <v>3250</v>
      </c>
      <c r="B8221" s="2" t="s">
        <v>77</v>
      </c>
      <c r="C8221" s="2">
        <v>574.82420000000002</v>
      </c>
      <c r="D8221" s="2">
        <f>HYPERLINK("http://mcb-m6.bioreg.kyushu-u.ac.jp/M3/20110404/F50773/1168/1", 66.56)</f>
        <v>66.56</v>
      </c>
      <c r="E8221" s="2">
        <v>37.57</v>
      </c>
      <c r="F8221" s="2">
        <v>2</v>
      </c>
      <c r="G8221" s="2" t="s">
        <v>10</v>
      </c>
    </row>
    <row r="8222" spans="1:9" x14ac:dyDescent="0.2">
      <c r="A8222" s="2" t="s">
        <v>3250</v>
      </c>
      <c r="B8222" s="2" t="s">
        <v>481</v>
      </c>
      <c r="C8222" s="2">
        <v>1417.81</v>
      </c>
      <c r="D8222" s="2">
        <f>HYPERLINK("http://mcb-m6.bioreg.kyushu-u.ac.jp/M3/20110404/F50772/1772/1", 66.75)</f>
        <v>66.75</v>
      </c>
      <c r="E8222" s="2">
        <v>50.21</v>
      </c>
      <c r="F8222" s="2">
        <v>1</v>
      </c>
      <c r="G8222" s="2" t="s">
        <v>10</v>
      </c>
      <c r="I8222" s="2" t="s">
        <v>4898</v>
      </c>
    </row>
    <row r="8223" spans="1:9" x14ac:dyDescent="0.2">
      <c r="A8223" s="2" t="s">
        <v>3250</v>
      </c>
      <c r="B8223" s="2" t="s">
        <v>503</v>
      </c>
      <c r="C8223" s="2">
        <v>1615.7829999999999</v>
      </c>
      <c r="D8223" s="2">
        <f>HYPERLINK("http://mcb-m6.bioreg.kyushu-u.ac.jp/M3/20110404/F50782/2136/1", 66.76)</f>
        <v>66.760000000000005</v>
      </c>
      <c r="E8223" s="2">
        <v>55.54</v>
      </c>
      <c r="F8223" s="2">
        <v>1</v>
      </c>
      <c r="G8223" s="2" t="s">
        <v>10</v>
      </c>
    </row>
    <row r="8224" spans="1:9" x14ac:dyDescent="0.2">
      <c r="A8224" s="2" t="s">
        <v>3250</v>
      </c>
      <c r="B8224" s="2" t="s">
        <v>90</v>
      </c>
      <c r="C8224" s="2">
        <v>717.32920000000001</v>
      </c>
      <c r="D8224" s="2">
        <f>HYPERLINK("http://mcb-m6.bioreg.kyushu-u.ac.jp/M3/20110404/F50775/1867/1", 66.84)</f>
        <v>66.84</v>
      </c>
      <c r="E8224" s="2">
        <v>39.01</v>
      </c>
      <c r="F8224" s="2">
        <v>2</v>
      </c>
      <c r="G8224" s="2" t="s">
        <v>10</v>
      </c>
    </row>
    <row r="8225" spans="1:9" x14ac:dyDescent="0.2">
      <c r="A8225" s="2" t="s">
        <v>3250</v>
      </c>
      <c r="B8225" s="2" t="s">
        <v>1875</v>
      </c>
      <c r="C8225" s="2">
        <v>772.89469999999994</v>
      </c>
      <c r="D8225" s="2">
        <f>HYPERLINK("http://mcb-m6.bioreg.kyushu-u.ac.jp/M3/20110404/F50768/2009/1", 66.89)</f>
        <v>66.89</v>
      </c>
      <c r="E8225" s="2">
        <v>51.25</v>
      </c>
      <c r="F8225" s="2">
        <v>2</v>
      </c>
      <c r="G8225" s="2" t="s">
        <v>10</v>
      </c>
    </row>
    <row r="8226" spans="1:9" x14ac:dyDescent="0.2">
      <c r="A8226" s="2" t="s">
        <v>3250</v>
      </c>
      <c r="B8226" s="2" t="s">
        <v>311</v>
      </c>
      <c r="C8226" s="2">
        <v>598.89419999999996</v>
      </c>
      <c r="D8226" s="2">
        <f>HYPERLINK("http://mcb-m6.bioreg.kyushu-u.ac.jp/M3/20110404/F50772/1346/1", 66.94)</f>
        <v>66.94</v>
      </c>
      <c r="E8226" s="2">
        <v>43.43</v>
      </c>
      <c r="F8226" s="2">
        <v>2</v>
      </c>
      <c r="G8226" s="2" t="s">
        <v>10</v>
      </c>
    </row>
    <row r="8227" spans="1:9" x14ac:dyDescent="0.2">
      <c r="A8227" s="2" t="s">
        <v>3250</v>
      </c>
      <c r="B8227" s="2" t="s">
        <v>90</v>
      </c>
      <c r="C8227" s="2">
        <v>717.42819999999995</v>
      </c>
      <c r="D8227" s="2">
        <f>HYPERLINK("http://mcb-m6.bioreg.kyushu-u.ac.jp/M3/20110404/F50782/1676/1", 66.97)</f>
        <v>66.97</v>
      </c>
      <c r="E8227" s="2">
        <v>46.15</v>
      </c>
      <c r="F8227" s="2">
        <v>2</v>
      </c>
      <c r="G8227" s="2" t="s">
        <v>10</v>
      </c>
    </row>
    <row r="8228" spans="1:9" x14ac:dyDescent="0.2">
      <c r="A8228" s="2" t="s">
        <v>3250</v>
      </c>
      <c r="B8228" s="2" t="s">
        <v>561</v>
      </c>
      <c r="C8228" s="2">
        <v>1307.2809999999999</v>
      </c>
      <c r="D8228" s="2">
        <f>HYPERLINK("http://mcb-m6.bioreg.kyushu-u.ac.jp/M3/20110404/F50782/1361/1", 67.37)</f>
        <v>67.37</v>
      </c>
      <c r="E8228" s="2">
        <v>44.5</v>
      </c>
      <c r="F8228" s="2">
        <v>1</v>
      </c>
      <c r="G8228" s="2" t="s">
        <v>10</v>
      </c>
    </row>
    <row r="8229" spans="1:9" x14ac:dyDescent="0.2">
      <c r="A8229" s="2" t="s">
        <v>3250</v>
      </c>
      <c r="B8229" s="2" t="s">
        <v>481</v>
      </c>
      <c r="C8229" s="2">
        <v>709.79269999999997</v>
      </c>
      <c r="D8229" s="2">
        <f>HYPERLINK("http://mcb-m6.bioreg.kyushu-u.ac.jp/M3/20110404/F50760/1686/1", 67.55)</f>
        <v>67.55</v>
      </c>
      <c r="E8229" s="2">
        <v>46.41</v>
      </c>
      <c r="F8229" s="2">
        <v>2</v>
      </c>
      <c r="G8229" s="2" t="s">
        <v>10</v>
      </c>
      <c r="I8229" s="2" t="s">
        <v>4898</v>
      </c>
    </row>
    <row r="8230" spans="1:9" x14ac:dyDescent="0.2">
      <c r="A8230" s="2" t="s">
        <v>3250</v>
      </c>
      <c r="B8230" s="2" t="s">
        <v>5991</v>
      </c>
      <c r="C8230" s="2">
        <v>977.12779999999998</v>
      </c>
      <c r="D8230" s="2">
        <f>HYPERLINK("http://mcb-m6.bioreg.kyushu-u.ac.jp/M3/20110404/F50782/4026/1", 67.63)</f>
        <v>67.63</v>
      </c>
      <c r="E8230" s="2">
        <v>61.62</v>
      </c>
      <c r="F8230" s="2">
        <v>3</v>
      </c>
      <c r="G8230" s="2" t="s">
        <v>10</v>
      </c>
      <c r="H8230" s="2" t="s">
        <v>8132</v>
      </c>
      <c r="I8230" s="2" t="s">
        <v>4895</v>
      </c>
    </row>
    <row r="8231" spans="1:9" x14ac:dyDescent="0.2">
      <c r="A8231" s="2" t="s">
        <v>3250</v>
      </c>
      <c r="B8231" s="2" t="s">
        <v>102</v>
      </c>
      <c r="C8231" s="2">
        <v>616.64369999999997</v>
      </c>
      <c r="D8231" s="2">
        <f>HYPERLINK("http://mcb-m6.bioreg.kyushu-u.ac.jp/M3/20110404/F50772/1428/1", 67.65)</f>
        <v>67.650000000000006</v>
      </c>
      <c r="E8231" s="2">
        <v>52.43</v>
      </c>
      <c r="F8231" s="2">
        <v>2</v>
      </c>
      <c r="G8231" s="2" t="s">
        <v>10</v>
      </c>
      <c r="H8231" s="2" t="s">
        <v>4900</v>
      </c>
    </row>
    <row r="8232" spans="1:9" x14ac:dyDescent="0.2">
      <c r="A8232" s="2" t="s">
        <v>3250</v>
      </c>
      <c r="B8232" s="2" t="s">
        <v>834</v>
      </c>
      <c r="C8232" s="2">
        <v>621.68320000000006</v>
      </c>
      <c r="D8232" s="2">
        <f>HYPERLINK("http://mcb-m6.bioreg.kyushu-u.ac.jp/M3/20110404/F50768/1462/1", 67.87)</f>
        <v>67.87</v>
      </c>
      <c r="E8232" s="2">
        <v>48.38</v>
      </c>
      <c r="F8232" s="2">
        <v>2</v>
      </c>
      <c r="G8232" s="2" t="s">
        <v>10</v>
      </c>
    </row>
    <row r="8233" spans="1:9" x14ac:dyDescent="0.2">
      <c r="A8233" s="2" t="s">
        <v>3250</v>
      </c>
      <c r="B8233" s="2" t="s">
        <v>561</v>
      </c>
      <c r="C8233" s="2">
        <v>654.28809999999999</v>
      </c>
      <c r="D8233" s="2">
        <f>HYPERLINK("http://mcb-m6.bioreg.kyushu-u.ac.jp/M3/20110404/F50768/1543/1", 67.87)</f>
        <v>67.87</v>
      </c>
      <c r="E8233" s="2">
        <v>43.61</v>
      </c>
      <c r="F8233" s="2">
        <v>2</v>
      </c>
      <c r="G8233" s="2" t="s">
        <v>10</v>
      </c>
    </row>
    <row r="8234" spans="1:9" x14ac:dyDescent="0.2">
      <c r="A8234" s="2" t="s">
        <v>3250</v>
      </c>
      <c r="B8234" s="2" t="s">
        <v>467</v>
      </c>
      <c r="C8234" s="2">
        <v>1383.56</v>
      </c>
      <c r="D8234" s="2">
        <f>HYPERLINK("http://mcb-m6.bioreg.kyushu-u.ac.jp/M3/20110404/F50760/1613/1", 68.09)</f>
        <v>68.09</v>
      </c>
      <c r="E8234" s="2">
        <v>55.25</v>
      </c>
      <c r="F8234" s="2">
        <v>1</v>
      </c>
      <c r="G8234" s="2" t="s">
        <v>10</v>
      </c>
    </row>
    <row r="8235" spans="1:9" x14ac:dyDescent="0.2">
      <c r="A8235" s="2" t="s">
        <v>3250</v>
      </c>
      <c r="B8235" s="2" t="s">
        <v>5991</v>
      </c>
      <c r="C8235" s="2">
        <v>1457.634</v>
      </c>
      <c r="D8235" s="2">
        <f>HYPERLINK("http://mcb-m6.bioreg.kyushu-u.ac.jp/M3/20110404/F50782/4019/1", 68.21)</f>
        <v>68.209999999999994</v>
      </c>
      <c r="E8235" s="2">
        <v>39.729999999999997</v>
      </c>
      <c r="F8235" s="2">
        <v>2</v>
      </c>
      <c r="G8235" s="2" t="s">
        <v>10</v>
      </c>
      <c r="I8235" s="2" t="s">
        <v>4895</v>
      </c>
    </row>
    <row r="8236" spans="1:9" x14ac:dyDescent="0.2">
      <c r="A8236" s="2" t="s">
        <v>3250</v>
      </c>
      <c r="B8236" s="2" t="s">
        <v>175</v>
      </c>
      <c r="C8236" s="2">
        <v>784.35059999999999</v>
      </c>
      <c r="D8236" s="2">
        <f>HYPERLINK("http://mcb-m6.bioreg.kyushu-u.ac.jp/M3/20110404/F50768/2061/1", 68.44)</f>
        <v>68.44</v>
      </c>
      <c r="E8236" s="2">
        <v>48.57</v>
      </c>
      <c r="F8236" s="2">
        <v>2</v>
      </c>
      <c r="G8236" s="2" t="s">
        <v>10</v>
      </c>
      <c r="I8236" s="2" t="s">
        <v>4893</v>
      </c>
    </row>
    <row r="8237" spans="1:9" x14ac:dyDescent="0.2">
      <c r="A8237" s="2" t="s">
        <v>3250</v>
      </c>
      <c r="B8237" s="2" t="s">
        <v>467</v>
      </c>
      <c r="C8237" s="2">
        <v>1382.4010000000001</v>
      </c>
      <c r="D8237" s="2">
        <f>HYPERLINK("http://mcb-m6.bioreg.kyushu-u.ac.jp/M3/20110404/F50768/1696/1", 68.67)</f>
        <v>68.67</v>
      </c>
      <c r="E8237" s="2">
        <v>50.09</v>
      </c>
      <c r="F8237" s="2">
        <v>1</v>
      </c>
      <c r="G8237" s="2" t="s">
        <v>10</v>
      </c>
    </row>
    <row r="8238" spans="1:9" x14ac:dyDescent="0.2">
      <c r="A8238" s="2" t="s">
        <v>3250</v>
      </c>
      <c r="B8238" s="2" t="s">
        <v>467</v>
      </c>
      <c r="C8238" s="2">
        <v>1382.41</v>
      </c>
      <c r="D8238" s="2">
        <f>HYPERLINK("http://mcb-m6.bioreg.kyushu-u.ac.jp/M3/20110404/F50769/1814/1", 68.69)</f>
        <v>68.69</v>
      </c>
      <c r="E8238" s="2">
        <v>51.33</v>
      </c>
      <c r="F8238" s="2">
        <v>1</v>
      </c>
      <c r="G8238" s="2" t="s">
        <v>10</v>
      </c>
    </row>
    <row r="8239" spans="1:9" x14ac:dyDescent="0.2">
      <c r="A8239" s="2" t="s">
        <v>3250</v>
      </c>
      <c r="B8239" s="2" t="s">
        <v>102</v>
      </c>
      <c r="C8239" s="2">
        <v>608.19069999999999</v>
      </c>
      <c r="D8239" s="2">
        <f>HYPERLINK("http://mcb-m6.bioreg.kyushu-u.ac.jp/M3/20110404/F50768/1410/1", 69.13)</f>
        <v>69.13</v>
      </c>
      <c r="E8239" s="2">
        <v>53.64</v>
      </c>
      <c r="F8239" s="2">
        <v>2</v>
      </c>
      <c r="G8239" s="2" t="s">
        <v>10</v>
      </c>
    </row>
    <row r="8240" spans="1:9" x14ac:dyDescent="0.2">
      <c r="A8240" s="2" t="s">
        <v>3250</v>
      </c>
      <c r="B8240" s="2" t="s">
        <v>1065</v>
      </c>
      <c r="C8240" s="2">
        <v>717.25419999999997</v>
      </c>
      <c r="D8240" s="2">
        <f>HYPERLINK("http://mcb-m6.bioreg.kyushu-u.ac.jp/M3/20110404/F50774/1804/1", 69.28)</f>
        <v>69.28</v>
      </c>
      <c r="E8240" s="2">
        <v>58.25</v>
      </c>
      <c r="F8240" s="2">
        <v>2</v>
      </c>
      <c r="G8240" s="2" t="s">
        <v>10</v>
      </c>
      <c r="I8240" s="2" t="s">
        <v>4892</v>
      </c>
    </row>
    <row r="8241" spans="1:9" x14ac:dyDescent="0.2">
      <c r="A8241" s="2" t="s">
        <v>3250</v>
      </c>
      <c r="B8241" s="2" t="s">
        <v>481</v>
      </c>
      <c r="C8241" s="2">
        <v>709.52970000000005</v>
      </c>
      <c r="D8241" s="2">
        <f>HYPERLINK("http://mcb-m6.bioreg.kyushu-u.ac.jp/M3/20110404/F50769/1873/1", 69.47)</f>
        <v>69.47</v>
      </c>
      <c r="E8241" s="2">
        <v>48.91</v>
      </c>
      <c r="F8241" s="2">
        <v>2</v>
      </c>
      <c r="G8241" s="2" t="s">
        <v>10</v>
      </c>
      <c r="I8241" s="2" t="s">
        <v>4898</v>
      </c>
    </row>
    <row r="8242" spans="1:9" x14ac:dyDescent="0.2">
      <c r="A8242" s="2" t="s">
        <v>3250</v>
      </c>
      <c r="B8242" s="2" t="s">
        <v>1665</v>
      </c>
      <c r="C8242" s="2">
        <v>765.26549999999997</v>
      </c>
      <c r="D8242" s="2">
        <f>HYPERLINK("http://mcb-m6.bioreg.kyushu-u.ac.jp/M3/20110404/F50782/3413/1", 69.69)</f>
        <v>69.69</v>
      </c>
      <c r="E8242" s="2">
        <v>52.17</v>
      </c>
      <c r="F8242" s="2">
        <v>3</v>
      </c>
      <c r="G8242" s="2" t="s">
        <v>10</v>
      </c>
    </row>
    <row r="8243" spans="1:9" x14ac:dyDescent="0.2">
      <c r="A8243" s="2" t="s">
        <v>3250</v>
      </c>
      <c r="B8243" s="2" t="s">
        <v>1787</v>
      </c>
      <c r="C8243" s="2">
        <v>588.17269999999996</v>
      </c>
      <c r="D8243" s="2">
        <f>HYPERLINK("http://mcb-m6.bioreg.kyushu-u.ac.jp/M3/20110404/F50770/1373/1", 69.69)</f>
        <v>69.69</v>
      </c>
      <c r="E8243" s="2">
        <v>49.42</v>
      </c>
      <c r="F8243" s="2">
        <v>2</v>
      </c>
      <c r="G8243" s="2" t="s">
        <v>10</v>
      </c>
      <c r="I8243" s="2" t="s">
        <v>4895</v>
      </c>
    </row>
    <row r="8244" spans="1:9" x14ac:dyDescent="0.2">
      <c r="A8244" s="2" t="s">
        <v>3250</v>
      </c>
      <c r="B8244" s="2" t="s">
        <v>175</v>
      </c>
      <c r="C8244" s="2">
        <v>784.45209999999997</v>
      </c>
      <c r="D8244" s="2">
        <f>HYPERLINK("http://mcb-m6.bioreg.kyushu-u.ac.jp/M3/20110404/F50782/2020/1", 69.73)</f>
        <v>69.73</v>
      </c>
      <c r="E8244" s="2">
        <v>52.87</v>
      </c>
      <c r="F8244" s="2">
        <v>2</v>
      </c>
      <c r="G8244" s="2" t="s">
        <v>10</v>
      </c>
      <c r="I8244" s="2" t="s">
        <v>4893</v>
      </c>
    </row>
    <row r="8245" spans="1:9" x14ac:dyDescent="0.2">
      <c r="A8245" s="2" t="s">
        <v>3250</v>
      </c>
      <c r="B8245" s="2" t="s">
        <v>90</v>
      </c>
      <c r="C8245" s="2">
        <v>1433.57</v>
      </c>
      <c r="D8245" s="2">
        <f>HYPERLINK("http://mcb-m6.bioreg.kyushu-u.ac.jp/M3/20110404/F50770/1849/1", 69.76)</f>
        <v>69.760000000000005</v>
      </c>
      <c r="E8245" s="2">
        <v>60.46</v>
      </c>
      <c r="F8245" s="2">
        <v>1</v>
      </c>
      <c r="G8245" s="2" t="s">
        <v>10</v>
      </c>
    </row>
    <row r="8246" spans="1:9" x14ac:dyDescent="0.2">
      <c r="A8246" s="2" t="s">
        <v>3250</v>
      </c>
      <c r="B8246" s="2" t="s">
        <v>356</v>
      </c>
      <c r="C8246" s="2">
        <v>544.55150000000003</v>
      </c>
      <c r="D8246" s="2">
        <f>HYPERLINK("http://mcb-m6.bioreg.kyushu-u.ac.jp/M3/20110404/F50773/2129/1", 69.76)</f>
        <v>69.760000000000005</v>
      </c>
      <c r="E8246" s="2">
        <v>54.67</v>
      </c>
      <c r="F8246" s="2">
        <v>3</v>
      </c>
      <c r="G8246" s="2" t="s">
        <v>10</v>
      </c>
    </row>
    <row r="8247" spans="1:9" x14ac:dyDescent="0.2">
      <c r="A8247" s="2" t="s">
        <v>3250</v>
      </c>
      <c r="B8247" s="2" t="s">
        <v>102</v>
      </c>
      <c r="C8247" s="2">
        <v>608.15419999999995</v>
      </c>
      <c r="D8247" s="2">
        <f>HYPERLINK("http://mcb-m6.bioreg.kyushu-u.ac.jp/M3/20110404/F50770/1443/1", 69.88)</f>
        <v>69.88</v>
      </c>
      <c r="E8247" s="2">
        <v>48.22</v>
      </c>
      <c r="F8247" s="2">
        <v>2</v>
      </c>
      <c r="G8247" s="2" t="s">
        <v>10</v>
      </c>
    </row>
    <row r="8248" spans="1:9" x14ac:dyDescent="0.2">
      <c r="A8248" s="2" t="s">
        <v>3250</v>
      </c>
      <c r="B8248" s="2" t="s">
        <v>561</v>
      </c>
      <c r="C8248" s="2">
        <v>1323.54</v>
      </c>
      <c r="D8248" s="2">
        <f>HYPERLINK("http://mcb-m6.bioreg.kyushu-u.ac.jp/M3/20110404/F50772/1558/1", 69.91)</f>
        <v>69.91</v>
      </c>
      <c r="E8248" s="2">
        <v>54.4</v>
      </c>
      <c r="F8248" s="2">
        <v>1</v>
      </c>
      <c r="G8248" s="2" t="s">
        <v>10</v>
      </c>
      <c r="H8248" s="2" t="s">
        <v>4919</v>
      </c>
    </row>
    <row r="8249" spans="1:9" x14ac:dyDescent="0.2">
      <c r="A8249" s="2" t="s">
        <v>3250</v>
      </c>
      <c r="B8249" s="2" t="s">
        <v>77</v>
      </c>
      <c r="C8249" s="2">
        <v>574.59310000000005</v>
      </c>
      <c r="D8249" s="2">
        <f>HYPERLINK("http://mcb-m6.bioreg.kyushu-u.ac.jp/M3/20110404/F50775/1277/1", 70)</f>
        <v>70</v>
      </c>
      <c r="E8249" s="2">
        <v>44.8</v>
      </c>
      <c r="F8249" s="2">
        <v>2</v>
      </c>
      <c r="G8249" s="2" t="s">
        <v>10</v>
      </c>
    </row>
    <row r="8250" spans="1:9" x14ac:dyDescent="0.2">
      <c r="A8250" s="2" t="s">
        <v>3250</v>
      </c>
      <c r="B8250" s="2" t="s">
        <v>1875</v>
      </c>
      <c r="C8250" s="2">
        <v>1543.729</v>
      </c>
      <c r="D8250" s="2">
        <f>HYPERLINK("http://mcb-m6.bioreg.kyushu-u.ac.jp/M3/20110404/F50782/1943/1", 70.05)</f>
        <v>70.05</v>
      </c>
      <c r="E8250" s="2">
        <v>57.19</v>
      </c>
      <c r="F8250" s="2">
        <v>1</v>
      </c>
      <c r="G8250" s="2" t="s">
        <v>10</v>
      </c>
    </row>
    <row r="8251" spans="1:9" x14ac:dyDescent="0.2">
      <c r="A8251" s="2" t="s">
        <v>3250</v>
      </c>
      <c r="B8251" s="2" t="s">
        <v>356</v>
      </c>
      <c r="C8251" s="2">
        <v>816.31320000000005</v>
      </c>
      <c r="D8251" s="2">
        <f>HYPERLINK("http://mcb-m6.bioreg.kyushu-u.ac.jp/M3/20110404/F50768/2166/1", 70.26)</f>
        <v>70.260000000000005</v>
      </c>
      <c r="E8251" s="2">
        <v>51.27</v>
      </c>
      <c r="F8251" s="2">
        <v>2</v>
      </c>
      <c r="G8251" s="2" t="s">
        <v>10</v>
      </c>
    </row>
    <row r="8252" spans="1:9" x14ac:dyDescent="0.2">
      <c r="A8252" s="2" t="s">
        <v>3250</v>
      </c>
      <c r="B8252" s="2" t="s">
        <v>102</v>
      </c>
      <c r="C8252" s="2">
        <v>616.41920000000005</v>
      </c>
      <c r="D8252" s="2">
        <f>HYPERLINK("http://mcb-m6.bioreg.kyushu-u.ac.jp/M3/20110404/F50775/1448/1", 70.31)</f>
        <v>70.31</v>
      </c>
      <c r="E8252" s="2">
        <v>54.92</v>
      </c>
      <c r="F8252" s="2">
        <v>2</v>
      </c>
      <c r="G8252" s="2" t="s">
        <v>10</v>
      </c>
      <c r="H8252" s="2" t="s">
        <v>4900</v>
      </c>
    </row>
    <row r="8253" spans="1:9" x14ac:dyDescent="0.2">
      <c r="A8253" s="2" t="s">
        <v>3250</v>
      </c>
      <c r="B8253" s="2" t="s">
        <v>1665</v>
      </c>
      <c r="C8253" s="2">
        <v>765.39020000000005</v>
      </c>
      <c r="D8253" s="2">
        <f>HYPERLINK("http://mcb-m6.bioreg.kyushu-u.ac.jp/M3/20110404/F50782/3415/1", 70.48)</f>
        <v>70.48</v>
      </c>
      <c r="E8253" s="2">
        <v>53.89</v>
      </c>
      <c r="F8253" s="2">
        <v>3</v>
      </c>
      <c r="G8253" s="2" t="s">
        <v>10</v>
      </c>
    </row>
    <row r="8254" spans="1:9" x14ac:dyDescent="0.2">
      <c r="A8254" s="2" t="s">
        <v>3250</v>
      </c>
      <c r="B8254" s="2" t="s">
        <v>90</v>
      </c>
      <c r="C8254" s="2">
        <v>1433.511</v>
      </c>
      <c r="D8254" s="2">
        <f>HYPERLINK("http://mcb-m6.bioreg.kyushu-u.ac.jp/M3/20110404/F50771/1794/1", 70.54)</f>
        <v>70.540000000000006</v>
      </c>
      <c r="E8254" s="2">
        <v>52.12</v>
      </c>
      <c r="F8254" s="2">
        <v>1</v>
      </c>
      <c r="G8254" s="2" t="s">
        <v>10</v>
      </c>
    </row>
    <row r="8255" spans="1:9" x14ac:dyDescent="0.2">
      <c r="A8255" s="2" t="s">
        <v>3250</v>
      </c>
      <c r="B8255" s="2" t="s">
        <v>1065</v>
      </c>
      <c r="C8255" s="2">
        <v>1432.5429999999999</v>
      </c>
      <c r="D8255" s="2">
        <f>HYPERLINK("http://mcb-m6.bioreg.kyushu-u.ac.jp/M3/20110404/F50770/1846/1", 70.92)</f>
        <v>70.92</v>
      </c>
      <c r="E8255" s="2">
        <v>52.02</v>
      </c>
      <c r="F8255" s="2">
        <v>1</v>
      </c>
      <c r="G8255" s="2" t="s">
        <v>10</v>
      </c>
      <c r="I8255" s="2" t="s">
        <v>4892</v>
      </c>
    </row>
    <row r="8256" spans="1:9" x14ac:dyDescent="0.2">
      <c r="A8256" s="2" t="s">
        <v>3250</v>
      </c>
      <c r="B8256" s="2" t="s">
        <v>77</v>
      </c>
      <c r="C8256" s="2">
        <v>574.91219999999998</v>
      </c>
      <c r="D8256" s="2">
        <f>HYPERLINK("http://mcb-m6.bioreg.kyushu-u.ac.jp/M3/20110404/F50772/1252/1", 71.26)</f>
        <v>71.260000000000005</v>
      </c>
      <c r="E8256" s="2">
        <v>38.69</v>
      </c>
      <c r="F8256" s="2">
        <v>2</v>
      </c>
      <c r="G8256" s="2" t="s">
        <v>10</v>
      </c>
    </row>
    <row r="8257" spans="1:9" x14ac:dyDescent="0.2">
      <c r="A8257" s="2" t="s">
        <v>3250</v>
      </c>
      <c r="B8257" s="2" t="s">
        <v>481</v>
      </c>
      <c r="C8257" s="2">
        <v>709.35770000000002</v>
      </c>
      <c r="D8257" s="2">
        <f>HYPERLINK("http://mcb-m6.bioreg.kyushu-u.ac.jp/M3/20110404/F50782/1598/1", 71.33)</f>
        <v>71.33</v>
      </c>
      <c r="E8257" s="2">
        <v>53.66</v>
      </c>
      <c r="F8257" s="2">
        <v>2</v>
      </c>
      <c r="G8257" s="2" t="s">
        <v>10</v>
      </c>
      <c r="I8257" s="2" t="s">
        <v>4898</v>
      </c>
    </row>
    <row r="8258" spans="1:9" x14ac:dyDescent="0.2">
      <c r="A8258" s="2" t="s">
        <v>3250</v>
      </c>
      <c r="B8258" s="2" t="s">
        <v>1875</v>
      </c>
      <c r="C8258" s="2">
        <v>772.97860000000003</v>
      </c>
      <c r="D8258" s="2">
        <f>HYPERLINK("http://mcb-m6.bioreg.kyushu-u.ac.jp/M3/20110404/F50782/1946/1", 71.45)</f>
        <v>71.45</v>
      </c>
      <c r="E8258" s="2">
        <v>56.46</v>
      </c>
      <c r="F8258" s="2">
        <v>2</v>
      </c>
      <c r="G8258" s="2" t="s">
        <v>10</v>
      </c>
    </row>
    <row r="8259" spans="1:9" x14ac:dyDescent="0.2">
      <c r="A8259" s="2" t="s">
        <v>3250</v>
      </c>
      <c r="B8259" s="2" t="s">
        <v>102</v>
      </c>
      <c r="C8259" s="2">
        <v>608.14509999999996</v>
      </c>
      <c r="D8259" s="2">
        <f>HYPERLINK("http://mcb-m6.bioreg.kyushu-u.ac.jp/M3/20110404/F50761/1345/1", 71.45)</f>
        <v>71.45</v>
      </c>
      <c r="E8259" s="2">
        <v>54.62</v>
      </c>
      <c r="F8259" s="2">
        <v>2</v>
      </c>
      <c r="G8259" s="2" t="s">
        <v>10</v>
      </c>
    </row>
    <row r="8260" spans="1:9" x14ac:dyDescent="0.2">
      <c r="A8260" s="2" t="s">
        <v>3250</v>
      </c>
      <c r="B8260" s="2" t="s">
        <v>834</v>
      </c>
      <c r="C8260" s="2">
        <v>622.15470000000005</v>
      </c>
      <c r="D8260" s="2">
        <f>HYPERLINK("http://mcb-m6.bioreg.kyushu-u.ac.jp/M3/20110404/F50772/1445/1", 71.49)</f>
        <v>71.489999999999995</v>
      </c>
      <c r="E8260" s="2">
        <v>35.29</v>
      </c>
      <c r="F8260" s="2">
        <v>2</v>
      </c>
      <c r="G8260" s="2" t="s">
        <v>10</v>
      </c>
    </row>
    <row r="8261" spans="1:9" x14ac:dyDescent="0.2">
      <c r="A8261" s="2" t="s">
        <v>3250</v>
      </c>
      <c r="B8261" s="2" t="s">
        <v>1065</v>
      </c>
      <c r="C8261" s="2">
        <v>1432.44</v>
      </c>
      <c r="D8261" s="2">
        <f>HYPERLINK("http://mcb-m6.bioreg.kyushu-u.ac.jp/M3/20110404/F50758/1812/1", 71.64)</f>
        <v>71.64</v>
      </c>
      <c r="E8261" s="2">
        <v>55.24</v>
      </c>
      <c r="F8261" s="2">
        <v>1</v>
      </c>
      <c r="G8261" s="2" t="s">
        <v>10</v>
      </c>
      <c r="I8261" s="2" t="s">
        <v>4892</v>
      </c>
    </row>
    <row r="8262" spans="1:9" x14ac:dyDescent="0.2">
      <c r="A8262" s="2" t="s">
        <v>3250</v>
      </c>
      <c r="B8262" s="2" t="s">
        <v>30</v>
      </c>
      <c r="C8262" s="2">
        <v>965.46259999999995</v>
      </c>
      <c r="D8262" s="2">
        <f>HYPERLINK("http://mcb-m6.bioreg.kyushu-u.ac.jp/M3/20110404/F50782/2885/1", 71.79)</f>
        <v>71.790000000000006</v>
      </c>
      <c r="E8262" s="2">
        <v>64.14</v>
      </c>
      <c r="F8262" s="2">
        <v>2</v>
      </c>
      <c r="G8262" s="2" t="s">
        <v>10</v>
      </c>
      <c r="I8262" s="2" t="s">
        <v>4894</v>
      </c>
    </row>
    <row r="8263" spans="1:9" x14ac:dyDescent="0.2">
      <c r="A8263" s="2" t="s">
        <v>3250</v>
      </c>
      <c r="B8263" s="2" t="s">
        <v>467</v>
      </c>
      <c r="C8263" s="2">
        <v>1382.923</v>
      </c>
      <c r="D8263" s="2">
        <f>HYPERLINK("http://mcb-m6.bioreg.kyushu-u.ac.jp/M3/20110404/F50771/1667/1", 71.89)</f>
        <v>71.89</v>
      </c>
      <c r="E8263" s="2">
        <v>60.49</v>
      </c>
      <c r="F8263" s="2">
        <v>1</v>
      </c>
      <c r="G8263" s="2" t="s">
        <v>10</v>
      </c>
    </row>
    <row r="8264" spans="1:9" x14ac:dyDescent="0.2">
      <c r="A8264" s="2" t="s">
        <v>3250</v>
      </c>
      <c r="B8264" s="2" t="s">
        <v>1065</v>
      </c>
      <c r="C8264" s="2">
        <v>716.92769999999996</v>
      </c>
      <c r="D8264" s="2">
        <f>HYPERLINK("http://mcb-m6.bioreg.kyushu-u.ac.jp/M3/20110404/F50782/1669/1", 71.92)</f>
        <v>71.92</v>
      </c>
      <c r="E8264" s="2">
        <v>58.07</v>
      </c>
      <c r="F8264" s="2">
        <v>2</v>
      </c>
      <c r="G8264" s="2" t="s">
        <v>10</v>
      </c>
      <c r="I8264" s="2" t="s">
        <v>4892</v>
      </c>
    </row>
    <row r="8265" spans="1:9" x14ac:dyDescent="0.2">
      <c r="A8265" s="2" t="s">
        <v>3250</v>
      </c>
      <c r="B8265" s="2" t="s">
        <v>467</v>
      </c>
      <c r="C8265" s="2">
        <v>692.30160000000001</v>
      </c>
      <c r="D8265" s="2">
        <f>HYPERLINK("http://mcb-m6.bioreg.kyushu-u.ac.jp/M3/20110404/F50782/1519/1", 71.95)</f>
        <v>71.95</v>
      </c>
      <c r="E8265" s="2">
        <v>47.95</v>
      </c>
      <c r="F8265" s="2">
        <v>2</v>
      </c>
      <c r="G8265" s="2" t="s">
        <v>10</v>
      </c>
    </row>
    <row r="8266" spans="1:9" x14ac:dyDescent="0.2">
      <c r="A8266" s="2" t="s">
        <v>3250</v>
      </c>
      <c r="B8266" s="2" t="s">
        <v>481</v>
      </c>
      <c r="C8266" s="2">
        <v>709.24069999999995</v>
      </c>
      <c r="D8266" s="2">
        <f>HYPERLINK("http://mcb-m6.bioreg.kyushu-u.ac.jp/M3/20110404/F50771/1751/1", 72)</f>
        <v>72</v>
      </c>
      <c r="E8266" s="2">
        <v>50.92</v>
      </c>
      <c r="F8266" s="2">
        <v>2</v>
      </c>
      <c r="G8266" s="2" t="s">
        <v>10</v>
      </c>
      <c r="I8266" s="2" t="s">
        <v>4898</v>
      </c>
    </row>
    <row r="8267" spans="1:9" x14ac:dyDescent="0.2">
      <c r="A8267" s="2" t="s">
        <v>3250</v>
      </c>
      <c r="B8267" s="2" t="s">
        <v>77</v>
      </c>
      <c r="C8267" s="2">
        <v>574.62070000000006</v>
      </c>
      <c r="D8267" s="2">
        <f>HYPERLINK("http://mcb-m6.bioreg.kyushu-u.ac.jp/M3/20110404/F50760/1213/1", 72.02)</f>
        <v>72.02</v>
      </c>
      <c r="E8267" s="2">
        <v>50.6</v>
      </c>
      <c r="F8267" s="2">
        <v>2</v>
      </c>
      <c r="G8267" s="2" t="s">
        <v>10</v>
      </c>
    </row>
    <row r="8268" spans="1:9" x14ac:dyDescent="0.2">
      <c r="A8268" s="2" t="s">
        <v>3250</v>
      </c>
      <c r="B8268" s="2" t="s">
        <v>467</v>
      </c>
      <c r="C8268" s="2">
        <v>691.80110000000002</v>
      </c>
      <c r="D8268" s="2">
        <f>HYPERLINK("http://mcb-m6.bioreg.kyushu-u.ac.jp/M3/20110404/F50760/1609/1", 72.2)</f>
        <v>72.2</v>
      </c>
      <c r="E8268" s="2">
        <v>46.45</v>
      </c>
      <c r="F8268" s="2">
        <v>2</v>
      </c>
      <c r="G8268" s="2" t="s">
        <v>10</v>
      </c>
    </row>
    <row r="8269" spans="1:9" x14ac:dyDescent="0.2">
      <c r="A8269" s="2" t="s">
        <v>3250</v>
      </c>
      <c r="B8269" s="2" t="s">
        <v>1875</v>
      </c>
      <c r="C8269" s="2">
        <v>780.36519999999996</v>
      </c>
      <c r="D8269" s="2">
        <f>HYPERLINK("http://mcb-m6.bioreg.kyushu-u.ac.jp/M3/20110404/F50775/2116/1", 72.37)</f>
        <v>72.37</v>
      </c>
      <c r="E8269" s="2">
        <v>59.26</v>
      </c>
      <c r="F8269" s="2">
        <v>2</v>
      </c>
      <c r="G8269" s="2" t="s">
        <v>10</v>
      </c>
      <c r="H8269" s="2" t="s">
        <v>4920</v>
      </c>
    </row>
    <row r="8270" spans="1:9" x14ac:dyDescent="0.2">
      <c r="A8270" s="2" t="s">
        <v>3250</v>
      </c>
      <c r="B8270" s="2" t="s">
        <v>1875</v>
      </c>
      <c r="C8270" s="2">
        <v>772.45619999999997</v>
      </c>
      <c r="D8270" s="2">
        <f>HYPERLINK("http://mcb-m6.bioreg.kyushu-u.ac.jp/M3/20110404/F50774/2012/1", 72.54)</f>
        <v>72.540000000000006</v>
      </c>
      <c r="E8270" s="2">
        <v>58.44</v>
      </c>
      <c r="F8270" s="2">
        <v>2</v>
      </c>
      <c r="G8270" s="2" t="s">
        <v>10</v>
      </c>
    </row>
    <row r="8271" spans="1:9" x14ac:dyDescent="0.2">
      <c r="A8271" s="2" t="s">
        <v>3250</v>
      </c>
      <c r="B8271" s="2" t="s">
        <v>311</v>
      </c>
      <c r="C8271" s="2">
        <v>598.68269999999995</v>
      </c>
      <c r="D8271" s="2">
        <f>HYPERLINK("http://mcb-m6.bioreg.kyushu-u.ac.jp/M3/20110404/F50771/1325/1", 72.66)</f>
        <v>72.66</v>
      </c>
      <c r="E8271" s="2">
        <v>52.2</v>
      </c>
      <c r="F8271" s="2">
        <v>2</v>
      </c>
      <c r="G8271" s="2" t="s">
        <v>10</v>
      </c>
    </row>
    <row r="8272" spans="1:9" x14ac:dyDescent="0.2">
      <c r="A8272" s="2" t="s">
        <v>3250</v>
      </c>
      <c r="B8272" s="2" t="s">
        <v>90</v>
      </c>
      <c r="C8272" s="2">
        <v>1433.34</v>
      </c>
      <c r="D8272" s="2">
        <f>HYPERLINK("http://mcb-m6.bioreg.kyushu-u.ac.jp/M3/20110404/F50772/1823/1", 73.24)</f>
        <v>73.239999999999995</v>
      </c>
      <c r="E8272" s="2">
        <v>56.72</v>
      </c>
      <c r="F8272" s="2">
        <v>1</v>
      </c>
      <c r="G8272" s="2" t="s">
        <v>10</v>
      </c>
    </row>
    <row r="8273" spans="1:9" x14ac:dyDescent="0.2">
      <c r="A8273" s="2" t="s">
        <v>3250</v>
      </c>
      <c r="B8273" s="2" t="s">
        <v>90</v>
      </c>
      <c r="C8273" s="2">
        <v>1432.588</v>
      </c>
      <c r="D8273" s="2">
        <f>HYPERLINK("http://mcb-m6.bioreg.kyushu-u.ac.jp/M3/20110404/F50775/1865/1", 74.09)</f>
        <v>74.09</v>
      </c>
      <c r="E8273" s="2">
        <v>63.83</v>
      </c>
      <c r="F8273" s="2">
        <v>1</v>
      </c>
      <c r="G8273" s="2" t="s">
        <v>10</v>
      </c>
    </row>
    <row r="8274" spans="1:9" x14ac:dyDescent="0.2">
      <c r="A8274" s="2" t="s">
        <v>3250</v>
      </c>
      <c r="B8274" s="2" t="s">
        <v>102</v>
      </c>
      <c r="C8274" s="2">
        <v>616.29269999999997</v>
      </c>
      <c r="D8274" s="2">
        <f>HYPERLINK("http://mcb-m6.bioreg.kyushu-u.ac.jp/M3/20110404/F50782/1201/1", 74.12)</f>
        <v>74.12</v>
      </c>
      <c r="E8274" s="2">
        <v>59.45</v>
      </c>
      <c r="F8274" s="2">
        <v>2</v>
      </c>
      <c r="G8274" s="2" t="s">
        <v>10</v>
      </c>
      <c r="H8274" s="2" t="s">
        <v>4900</v>
      </c>
    </row>
    <row r="8275" spans="1:9" x14ac:dyDescent="0.2">
      <c r="A8275" s="2" t="s">
        <v>3250</v>
      </c>
      <c r="B8275" s="2" t="s">
        <v>561</v>
      </c>
      <c r="C8275" s="2">
        <v>654.19119999999998</v>
      </c>
      <c r="D8275" s="2">
        <f>HYPERLINK("http://mcb-m6.bioreg.kyushu-u.ac.jp/M3/20110404/F50782/1362/1", 74.23)</f>
        <v>74.23</v>
      </c>
      <c r="E8275" s="2">
        <v>48.85</v>
      </c>
      <c r="F8275" s="2">
        <v>2</v>
      </c>
      <c r="G8275" s="2" t="s">
        <v>10</v>
      </c>
    </row>
    <row r="8276" spans="1:9" x14ac:dyDescent="0.2">
      <c r="A8276" s="2" t="s">
        <v>3250</v>
      </c>
      <c r="B8276" s="2" t="s">
        <v>772</v>
      </c>
      <c r="C8276" s="2">
        <v>596.11659999999995</v>
      </c>
      <c r="D8276" s="2">
        <f>HYPERLINK("http://mcb-m6.bioreg.kyushu-u.ac.jp/M3/20110404/F50757/1725/1", 74.33)</f>
        <v>74.33</v>
      </c>
      <c r="E8276" s="2">
        <v>39.25</v>
      </c>
      <c r="F8276" s="2">
        <v>2</v>
      </c>
      <c r="G8276" s="2" t="s">
        <v>10</v>
      </c>
    </row>
    <row r="8277" spans="1:9" x14ac:dyDescent="0.2">
      <c r="A8277" s="2" t="s">
        <v>3250</v>
      </c>
      <c r="B8277" s="2" t="s">
        <v>365</v>
      </c>
      <c r="C8277" s="2">
        <v>848.7441</v>
      </c>
      <c r="D8277" s="2">
        <f>HYPERLINK("http://mcb-m6.bioreg.kyushu-u.ac.jp/M3/20110404/F50761/2262/1", 74.33)</f>
        <v>74.33</v>
      </c>
      <c r="E8277" s="2">
        <v>53.83</v>
      </c>
      <c r="F8277" s="2">
        <v>2</v>
      </c>
      <c r="G8277" s="2" t="s">
        <v>10</v>
      </c>
    </row>
    <row r="8278" spans="1:9" x14ac:dyDescent="0.2">
      <c r="A8278" s="2" t="s">
        <v>3250</v>
      </c>
      <c r="B8278" s="2" t="s">
        <v>503</v>
      </c>
      <c r="C8278" s="2">
        <v>808.9357</v>
      </c>
      <c r="D8278" s="2">
        <f>HYPERLINK("http://mcb-m6.bioreg.kyushu-u.ac.jp/M3/20110404/F50760/2072/1", 74.44)</f>
        <v>74.44</v>
      </c>
      <c r="E8278" s="2">
        <v>60.31</v>
      </c>
      <c r="F8278" s="2">
        <v>2</v>
      </c>
      <c r="G8278" s="2" t="s">
        <v>10</v>
      </c>
    </row>
    <row r="8279" spans="1:9" x14ac:dyDescent="0.2">
      <c r="A8279" s="2" t="s">
        <v>3250</v>
      </c>
      <c r="B8279" s="2" t="s">
        <v>102</v>
      </c>
      <c r="C8279" s="2">
        <v>608.24959999999999</v>
      </c>
      <c r="D8279" s="2">
        <f>HYPERLINK("http://mcb-m6.bioreg.kyushu-u.ac.jp/M3/20110404/F50772/1381/1", 74.48)</f>
        <v>74.48</v>
      </c>
      <c r="E8279" s="2">
        <v>58.09</v>
      </c>
      <c r="F8279" s="2">
        <v>2</v>
      </c>
      <c r="G8279" s="2" t="s">
        <v>10</v>
      </c>
    </row>
    <row r="8280" spans="1:9" x14ac:dyDescent="0.2">
      <c r="A8280" s="2" t="s">
        <v>3250</v>
      </c>
      <c r="B8280" s="2" t="s">
        <v>561</v>
      </c>
      <c r="C8280" s="2">
        <v>654.15869999999995</v>
      </c>
      <c r="D8280" s="2">
        <f>HYPERLINK("http://mcb-m6.bioreg.kyushu-u.ac.jp/M3/20110404/F50770/1570/1", 74.91)</f>
        <v>74.91</v>
      </c>
      <c r="E8280" s="2">
        <v>56.77</v>
      </c>
      <c r="F8280" s="2">
        <v>2</v>
      </c>
      <c r="G8280" s="2" t="s">
        <v>10</v>
      </c>
    </row>
    <row r="8281" spans="1:9" x14ac:dyDescent="0.2">
      <c r="A8281" s="2" t="s">
        <v>3250</v>
      </c>
      <c r="B8281" s="2" t="s">
        <v>1255</v>
      </c>
      <c r="C8281" s="2">
        <v>1273.818</v>
      </c>
      <c r="D8281" s="2">
        <f>HYPERLINK("http://mcb-m6.bioreg.kyushu-u.ac.jp/M3/20110404/F50768/3194/1", 74.96)</f>
        <v>74.959999999999994</v>
      </c>
      <c r="E8281" s="2">
        <v>67.62</v>
      </c>
      <c r="F8281" s="2">
        <v>2</v>
      </c>
      <c r="G8281" s="2" t="s">
        <v>10</v>
      </c>
      <c r="I8281" s="2" t="s">
        <v>4906</v>
      </c>
    </row>
    <row r="8282" spans="1:9" x14ac:dyDescent="0.2">
      <c r="A8282" s="2" t="s">
        <v>3250</v>
      </c>
      <c r="B8282" s="2" t="s">
        <v>481</v>
      </c>
      <c r="C8282" s="2">
        <v>709.50120000000004</v>
      </c>
      <c r="D8282" s="2">
        <f>HYPERLINK("http://mcb-m6.bioreg.kyushu-u.ac.jp/M3/20110404/F50775/1809/1", 74.98)</f>
        <v>74.98</v>
      </c>
      <c r="E8282" s="2">
        <v>56.74</v>
      </c>
      <c r="F8282" s="2">
        <v>2</v>
      </c>
      <c r="G8282" s="2" t="s">
        <v>10</v>
      </c>
      <c r="I8282" s="2" t="s">
        <v>4898</v>
      </c>
    </row>
    <row r="8283" spans="1:9" x14ac:dyDescent="0.2">
      <c r="A8283" s="2" t="s">
        <v>3250</v>
      </c>
      <c r="B8283" s="2" t="s">
        <v>356</v>
      </c>
      <c r="C8283" s="2">
        <v>815.8827</v>
      </c>
      <c r="D8283" s="2">
        <f>HYPERLINK("http://mcb-m6.bioreg.kyushu-u.ac.jp/M3/20110404/F50774/2182/1", 75.11)</f>
        <v>75.11</v>
      </c>
      <c r="E8283" s="2">
        <v>58.65</v>
      </c>
      <c r="F8283" s="2">
        <v>2</v>
      </c>
      <c r="G8283" s="2" t="s">
        <v>10</v>
      </c>
    </row>
    <row r="8284" spans="1:9" x14ac:dyDescent="0.2">
      <c r="A8284" s="2" t="s">
        <v>3250</v>
      </c>
      <c r="B8284" s="2" t="s">
        <v>561</v>
      </c>
      <c r="C8284" s="2">
        <v>654.69960000000003</v>
      </c>
      <c r="D8284" s="2">
        <f>HYPERLINK("http://mcb-m6.bioreg.kyushu-u.ac.jp/M3/20110404/F50782/1364/1", 75.13)</f>
        <v>75.13</v>
      </c>
      <c r="E8284" s="2">
        <v>58.58</v>
      </c>
      <c r="F8284" s="2">
        <v>2</v>
      </c>
      <c r="G8284" s="2" t="s">
        <v>10</v>
      </c>
    </row>
    <row r="8285" spans="1:9" x14ac:dyDescent="0.2">
      <c r="A8285" s="2" t="s">
        <v>3250</v>
      </c>
      <c r="B8285" s="2" t="s">
        <v>467</v>
      </c>
      <c r="C8285" s="2">
        <v>1382.4280000000001</v>
      </c>
      <c r="D8285" s="2">
        <f>HYPERLINK("http://mcb-m6.bioreg.kyushu-u.ac.jp/M3/20110404/F50760/1607/1", 75.18)</f>
        <v>75.180000000000007</v>
      </c>
      <c r="E8285" s="2">
        <v>64.59</v>
      </c>
      <c r="F8285" s="2">
        <v>1</v>
      </c>
      <c r="G8285" s="2" t="s">
        <v>10</v>
      </c>
    </row>
    <row r="8286" spans="1:9" x14ac:dyDescent="0.2">
      <c r="A8286" s="2" t="s">
        <v>3250</v>
      </c>
      <c r="B8286" s="2" t="s">
        <v>834</v>
      </c>
      <c r="C8286" s="2">
        <v>621.78520000000003</v>
      </c>
      <c r="D8286" s="2">
        <f>HYPERLINK("http://mcb-m6.bioreg.kyushu-u.ac.jp/M3/20110404/F50782/1216/1", 75.3)</f>
        <v>75.3</v>
      </c>
      <c r="E8286" s="2">
        <v>48.9</v>
      </c>
      <c r="F8286" s="2">
        <v>2</v>
      </c>
      <c r="G8286" s="2" t="s">
        <v>10</v>
      </c>
    </row>
    <row r="8287" spans="1:9" x14ac:dyDescent="0.2">
      <c r="A8287" s="2" t="s">
        <v>3250</v>
      </c>
      <c r="B8287" s="2" t="s">
        <v>834</v>
      </c>
      <c r="C8287" s="2">
        <v>621.83810000000005</v>
      </c>
      <c r="D8287" s="2">
        <f>HYPERLINK("http://mcb-m6.bioreg.kyushu-u.ac.jp/M3/20110404/F50773/1333/1", 75.4)</f>
        <v>75.400000000000006</v>
      </c>
      <c r="E8287" s="2">
        <v>53.32</v>
      </c>
      <c r="F8287" s="2">
        <v>2</v>
      </c>
      <c r="G8287" s="2" t="s">
        <v>10</v>
      </c>
    </row>
    <row r="8288" spans="1:9" x14ac:dyDescent="0.2">
      <c r="A8288" s="2" t="s">
        <v>3250</v>
      </c>
      <c r="B8288" s="2" t="s">
        <v>356</v>
      </c>
      <c r="C8288" s="2">
        <v>815.95510000000002</v>
      </c>
      <c r="D8288" s="2">
        <f>HYPERLINK("http://mcb-m6.bioreg.kyushu-u.ac.jp/M3/20110404/F50782/2188/1", 75.43)</f>
        <v>75.430000000000007</v>
      </c>
      <c r="E8288" s="2">
        <v>58.66</v>
      </c>
      <c r="F8288" s="2">
        <v>2</v>
      </c>
      <c r="G8288" s="2" t="s">
        <v>10</v>
      </c>
    </row>
    <row r="8289" spans="1:9" x14ac:dyDescent="0.2">
      <c r="A8289" s="2" t="s">
        <v>3250</v>
      </c>
      <c r="B8289" s="2" t="s">
        <v>1787</v>
      </c>
      <c r="C8289" s="2">
        <v>588.13959999999997</v>
      </c>
      <c r="D8289" s="2">
        <f>HYPERLINK("http://mcb-m6.bioreg.kyushu-u.ac.jp/M3/20110404/F50769/1480/1", 75.46)</f>
        <v>75.459999999999994</v>
      </c>
      <c r="E8289" s="2">
        <v>59.2</v>
      </c>
      <c r="F8289" s="2">
        <v>2</v>
      </c>
      <c r="G8289" s="2" t="s">
        <v>10</v>
      </c>
      <c r="I8289" s="2" t="s">
        <v>4895</v>
      </c>
    </row>
    <row r="8290" spans="1:9" x14ac:dyDescent="0.2">
      <c r="A8290" s="2" t="s">
        <v>3250</v>
      </c>
      <c r="B8290" s="2" t="s">
        <v>561</v>
      </c>
      <c r="C8290" s="2">
        <v>654.8356</v>
      </c>
      <c r="D8290" s="2">
        <f>HYPERLINK("http://mcb-m6.bioreg.kyushu-u.ac.jp/M3/20110404/F50770/1573/1", 75.53)</f>
        <v>75.53</v>
      </c>
      <c r="E8290" s="2">
        <v>54.56</v>
      </c>
      <c r="F8290" s="2">
        <v>2</v>
      </c>
      <c r="G8290" s="2" t="s">
        <v>10</v>
      </c>
    </row>
    <row r="8291" spans="1:9" x14ac:dyDescent="0.2">
      <c r="A8291" s="2" t="s">
        <v>3250</v>
      </c>
      <c r="B8291" s="2" t="s">
        <v>467</v>
      </c>
      <c r="C8291" s="2">
        <v>1382.413</v>
      </c>
      <c r="D8291" s="2">
        <f>HYPERLINK("http://mcb-m6.bioreg.kyushu-u.ac.jp/M3/20110404/F50758/1713/1", 75.6)</f>
        <v>75.599999999999994</v>
      </c>
      <c r="E8291" s="2">
        <v>59.84</v>
      </c>
      <c r="F8291" s="2">
        <v>1</v>
      </c>
      <c r="G8291" s="2" t="s">
        <v>10</v>
      </c>
    </row>
    <row r="8292" spans="1:9" x14ac:dyDescent="0.2">
      <c r="A8292" s="2" t="s">
        <v>3250</v>
      </c>
      <c r="B8292" s="2" t="s">
        <v>561</v>
      </c>
      <c r="C8292" s="2">
        <v>654.92909999999995</v>
      </c>
      <c r="D8292" s="2">
        <f>HYPERLINK("http://mcb-m6.bioreg.kyushu-u.ac.jp/M3/20110404/F50773/1446/1", 75.68)</f>
        <v>75.680000000000007</v>
      </c>
      <c r="E8292" s="2">
        <v>51.86</v>
      </c>
      <c r="F8292" s="2">
        <v>2</v>
      </c>
      <c r="G8292" s="2" t="s">
        <v>10</v>
      </c>
    </row>
    <row r="8293" spans="1:9" x14ac:dyDescent="0.2">
      <c r="A8293" s="2" t="s">
        <v>3250</v>
      </c>
      <c r="B8293" s="2" t="s">
        <v>1065</v>
      </c>
      <c r="C8293" s="2">
        <v>716.7577</v>
      </c>
      <c r="D8293" s="2">
        <f>HYPERLINK("http://mcb-m6.bioreg.kyushu-u.ac.jp/M3/20110404/F50771/1788/1", 75.72)</f>
        <v>75.72</v>
      </c>
      <c r="E8293" s="2">
        <v>63.96</v>
      </c>
      <c r="F8293" s="2">
        <v>2</v>
      </c>
      <c r="G8293" s="2" t="s">
        <v>10</v>
      </c>
      <c r="I8293" s="2" t="s">
        <v>4892</v>
      </c>
    </row>
    <row r="8294" spans="1:9" x14ac:dyDescent="0.2">
      <c r="A8294" s="2" t="s">
        <v>3250</v>
      </c>
      <c r="B8294" s="2" t="s">
        <v>467</v>
      </c>
      <c r="C8294" s="2">
        <v>1382.6320000000001</v>
      </c>
      <c r="D8294" s="2">
        <f>HYPERLINK("http://mcb-m6.bioreg.kyushu-u.ac.jp/M3/20110404/F50782/1514/1", 75.75)</f>
        <v>75.75</v>
      </c>
      <c r="E8294" s="2">
        <v>55.73</v>
      </c>
      <c r="F8294" s="2">
        <v>1</v>
      </c>
      <c r="G8294" s="2" t="s">
        <v>10</v>
      </c>
    </row>
    <row r="8295" spans="1:9" x14ac:dyDescent="0.2">
      <c r="A8295" s="2" t="s">
        <v>3250</v>
      </c>
      <c r="B8295" s="2" t="s">
        <v>467</v>
      </c>
      <c r="C8295" s="2">
        <v>1382.575</v>
      </c>
      <c r="D8295" s="2">
        <f>HYPERLINK("http://mcb-m6.bioreg.kyushu-u.ac.jp/M3/20110404/F50761/1629/1", 75.76)</f>
        <v>75.760000000000005</v>
      </c>
      <c r="E8295" s="2">
        <v>56.83</v>
      </c>
      <c r="F8295" s="2">
        <v>1</v>
      </c>
      <c r="G8295" s="2" t="s">
        <v>10</v>
      </c>
    </row>
    <row r="8296" spans="1:9" x14ac:dyDescent="0.2">
      <c r="A8296" s="2" t="s">
        <v>3250</v>
      </c>
      <c r="B8296" s="2" t="s">
        <v>503</v>
      </c>
      <c r="C8296" s="2">
        <v>808.89620000000002</v>
      </c>
      <c r="D8296" s="2">
        <f>HYPERLINK("http://mcb-m6.bioreg.kyushu-u.ac.jp/M3/20110404/F50761/2125/1", 75.87)</f>
        <v>75.87</v>
      </c>
      <c r="E8296" s="2">
        <v>58.93</v>
      </c>
      <c r="F8296" s="2">
        <v>2</v>
      </c>
      <c r="G8296" s="2" t="s">
        <v>10</v>
      </c>
    </row>
    <row r="8297" spans="1:9" x14ac:dyDescent="0.2">
      <c r="A8297" s="2" t="s">
        <v>3250</v>
      </c>
      <c r="B8297" s="2" t="s">
        <v>90</v>
      </c>
      <c r="C8297" s="2">
        <v>1432.414</v>
      </c>
      <c r="D8297" s="2">
        <f>HYPERLINK("http://mcb-m6.bioreg.kyushu-u.ac.jp/M3/20110404/F50760/1733/1", 75.99)</f>
        <v>75.989999999999995</v>
      </c>
      <c r="E8297" s="2">
        <v>58.86</v>
      </c>
      <c r="F8297" s="2">
        <v>1</v>
      </c>
      <c r="G8297" s="2" t="s">
        <v>10</v>
      </c>
    </row>
    <row r="8298" spans="1:9" x14ac:dyDescent="0.2">
      <c r="A8298" s="2" t="s">
        <v>3250</v>
      </c>
      <c r="B8298" s="2" t="s">
        <v>561</v>
      </c>
      <c r="C8298" s="2">
        <v>662.37519999999995</v>
      </c>
      <c r="D8298" s="2">
        <f>HYPERLINK("http://mcb-m6.bioreg.kyushu-u.ac.jp/M3/20110404/F50768/1558/1", 76.11)</f>
        <v>76.11</v>
      </c>
      <c r="E8298" s="2">
        <v>57.27</v>
      </c>
      <c r="F8298" s="2">
        <v>2</v>
      </c>
      <c r="G8298" s="2" t="s">
        <v>10</v>
      </c>
      <c r="H8298" s="2" t="s">
        <v>4919</v>
      </c>
    </row>
    <row r="8299" spans="1:9" x14ac:dyDescent="0.2">
      <c r="A8299" s="2" t="s">
        <v>3250</v>
      </c>
      <c r="B8299" s="2" t="s">
        <v>1875</v>
      </c>
      <c r="C8299" s="2">
        <v>780.47559999999999</v>
      </c>
      <c r="D8299" s="2">
        <f>HYPERLINK("http://mcb-m6.bioreg.kyushu-u.ac.jp/M3/20110404/F50772/2087/1", 76.17)</f>
        <v>76.17</v>
      </c>
      <c r="E8299" s="2">
        <v>57.45</v>
      </c>
      <c r="F8299" s="2">
        <v>2</v>
      </c>
      <c r="G8299" s="2" t="s">
        <v>10</v>
      </c>
      <c r="H8299" s="2" t="s">
        <v>4920</v>
      </c>
    </row>
    <row r="8300" spans="1:9" x14ac:dyDescent="0.2">
      <c r="A8300" s="2" t="s">
        <v>3250</v>
      </c>
      <c r="B8300" s="2" t="s">
        <v>90</v>
      </c>
      <c r="C8300" s="2">
        <v>717.10609999999997</v>
      </c>
      <c r="D8300" s="2">
        <f>HYPERLINK("http://mcb-m6.bioreg.kyushu-u.ac.jp/M3/20110404/F50773/1753/1", 76.3)</f>
        <v>76.3</v>
      </c>
      <c r="E8300" s="2">
        <v>53.4</v>
      </c>
      <c r="F8300" s="2">
        <v>2</v>
      </c>
      <c r="G8300" s="2" t="s">
        <v>10</v>
      </c>
    </row>
    <row r="8301" spans="1:9" x14ac:dyDescent="0.2">
      <c r="A8301" s="2" t="s">
        <v>3250</v>
      </c>
      <c r="B8301" s="2" t="s">
        <v>6017</v>
      </c>
      <c r="C8301" s="2">
        <v>798.08389999999997</v>
      </c>
      <c r="D8301" s="2">
        <f>HYPERLINK("http://mcb-m6.bioreg.kyushu-u.ac.jp/M3/20110404/F50782/3556/1", 76.39)</f>
        <v>76.39</v>
      </c>
      <c r="E8301" s="2">
        <v>52.54</v>
      </c>
      <c r="F8301" s="2">
        <v>3</v>
      </c>
      <c r="G8301" s="2" t="s">
        <v>10</v>
      </c>
      <c r="I8301" s="2" t="s">
        <v>4895</v>
      </c>
    </row>
    <row r="8302" spans="1:9" x14ac:dyDescent="0.2">
      <c r="A8302" s="2" t="s">
        <v>3250</v>
      </c>
      <c r="B8302" s="2" t="s">
        <v>834</v>
      </c>
      <c r="C8302" s="2">
        <v>621.7491</v>
      </c>
      <c r="D8302" s="2">
        <f>HYPERLINK("http://mcb-m6.bioreg.kyushu-u.ac.jp/M3/20110404/F50769/1601/1", 76.44)</f>
        <v>76.44</v>
      </c>
      <c r="E8302" s="2">
        <v>54.3</v>
      </c>
      <c r="F8302" s="2">
        <v>2</v>
      </c>
      <c r="G8302" s="2" t="s">
        <v>10</v>
      </c>
    </row>
    <row r="8303" spans="1:9" x14ac:dyDescent="0.2">
      <c r="A8303" s="2" t="s">
        <v>3250</v>
      </c>
      <c r="B8303" s="2" t="s">
        <v>1875</v>
      </c>
      <c r="C8303" s="2">
        <v>772.58510000000001</v>
      </c>
      <c r="D8303" s="2">
        <f>HYPERLINK("http://mcb-m6.bioreg.kyushu-u.ac.jp/M3/20110404/F50769/2073/1", 76.76)</f>
        <v>76.760000000000005</v>
      </c>
      <c r="E8303" s="2">
        <v>63.22</v>
      </c>
      <c r="F8303" s="2">
        <v>2</v>
      </c>
      <c r="G8303" s="2" t="s">
        <v>10</v>
      </c>
    </row>
    <row r="8304" spans="1:9" x14ac:dyDescent="0.2">
      <c r="A8304" s="2" t="s">
        <v>3250</v>
      </c>
      <c r="B8304" s="2" t="s">
        <v>1875</v>
      </c>
      <c r="C8304" s="2">
        <v>772.3827</v>
      </c>
      <c r="D8304" s="2">
        <f>HYPERLINK("http://mcb-m6.bioreg.kyushu-u.ac.jp/M3/20110404/F50761/1981/1", 76.81)</f>
        <v>76.81</v>
      </c>
      <c r="E8304" s="2">
        <v>65.72</v>
      </c>
      <c r="F8304" s="2">
        <v>2</v>
      </c>
      <c r="G8304" s="2" t="s">
        <v>10</v>
      </c>
    </row>
    <row r="8305" spans="1:9" x14ac:dyDescent="0.2">
      <c r="A8305" s="2" t="s">
        <v>3250</v>
      </c>
      <c r="B8305" s="2" t="s">
        <v>467</v>
      </c>
      <c r="C8305" s="2">
        <v>1382.653</v>
      </c>
      <c r="D8305" s="2">
        <f>HYPERLINK("http://mcb-m6.bioreg.kyushu-u.ac.jp/M3/20110404/F50775/1730/1", 77.07)</f>
        <v>77.069999999999993</v>
      </c>
      <c r="E8305" s="2">
        <v>59.73</v>
      </c>
      <c r="F8305" s="2">
        <v>1</v>
      </c>
      <c r="G8305" s="2" t="s">
        <v>10</v>
      </c>
    </row>
    <row r="8306" spans="1:9" x14ac:dyDescent="0.2">
      <c r="A8306" s="2" t="s">
        <v>3250</v>
      </c>
      <c r="B8306" s="2" t="s">
        <v>503</v>
      </c>
      <c r="C8306" s="2">
        <v>816.33720000000005</v>
      </c>
      <c r="D8306" s="2">
        <f>HYPERLINK("http://mcb-m6.bioreg.kyushu-u.ac.jp/M3/20110404/F50770/2190/1", 77.14)</f>
        <v>77.14</v>
      </c>
      <c r="E8306" s="2">
        <v>66.11</v>
      </c>
      <c r="F8306" s="2">
        <v>2</v>
      </c>
      <c r="G8306" s="2" t="s">
        <v>10</v>
      </c>
      <c r="H8306" s="2" t="s">
        <v>4907</v>
      </c>
    </row>
    <row r="8307" spans="1:9" x14ac:dyDescent="0.2">
      <c r="A8307" s="2" t="s">
        <v>3250</v>
      </c>
      <c r="B8307" s="2" t="s">
        <v>1875</v>
      </c>
      <c r="C8307" s="2">
        <v>772.47119999999995</v>
      </c>
      <c r="D8307" s="2">
        <f>HYPERLINK("http://mcb-m6.bioreg.kyushu-u.ac.jp/M3/20110404/F50782/1944/1", 77.15)</f>
        <v>77.150000000000006</v>
      </c>
      <c r="E8307" s="2">
        <v>59.61</v>
      </c>
      <c r="F8307" s="2">
        <v>2</v>
      </c>
      <c r="G8307" s="2" t="s">
        <v>10</v>
      </c>
    </row>
    <row r="8308" spans="1:9" x14ac:dyDescent="0.2">
      <c r="A8308" s="2" t="s">
        <v>3250</v>
      </c>
      <c r="B8308" s="2" t="s">
        <v>1065</v>
      </c>
      <c r="C8308" s="2">
        <v>716.80110000000002</v>
      </c>
      <c r="D8308" s="2">
        <f>HYPERLINK("http://mcb-m6.bioreg.kyushu-u.ac.jp/M3/20110404/F50761/1750/1", 77.18)</f>
        <v>77.180000000000007</v>
      </c>
      <c r="E8308" s="2">
        <v>62.94</v>
      </c>
      <c r="F8308" s="2">
        <v>2</v>
      </c>
      <c r="G8308" s="2" t="s">
        <v>10</v>
      </c>
      <c r="I8308" s="2" t="s">
        <v>4892</v>
      </c>
    </row>
    <row r="8309" spans="1:9" x14ac:dyDescent="0.2">
      <c r="A8309" s="2" t="s">
        <v>3250</v>
      </c>
      <c r="B8309" s="2" t="s">
        <v>503</v>
      </c>
      <c r="C8309" s="2">
        <v>816.30219999999997</v>
      </c>
      <c r="D8309" s="2">
        <f>HYPERLINK("http://mcb-m6.bioreg.kyushu-u.ac.jp/M3/20110404/F50771/2228/1", 77.24)</f>
        <v>77.239999999999995</v>
      </c>
      <c r="E8309" s="2">
        <v>67.319999999999993</v>
      </c>
      <c r="F8309" s="2">
        <v>2</v>
      </c>
      <c r="G8309" s="2" t="s">
        <v>10</v>
      </c>
      <c r="H8309" s="2" t="s">
        <v>4907</v>
      </c>
    </row>
    <row r="8310" spans="1:9" x14ac:dyDescent="0.2">
      <c r="A8310" s="2" t="s">
        <v>3250</v>
      </c>
      <c r="B8310" s="2" t="s">
        <v>467</v>
      </c>
      <c r="C8310" s="2">
        <v>692.33810000000005</v>
      </c>
      <c r="D8310" s="2">
        <f>HYPERLINK("http://mcb-m6.bioreg.kyushu-u.ac.jp/M3/20110404/F50782/1520/1", 77.37)</f>
        <v>77.37</v>
      </c>
      <c r="E8310" s="2">
        <v>55.58</v>
      </c>
      <c r="F8310" s="2">
        <v>2</v>
      </c>
      <c r="G8310" s="2" t="s">
        <v>10</v>
      </c>
    </row>
    <row r="8311" spans="1:9" x14ac:dyDescent="0.2">
      <c r="A8311" s="2" t="s">
        <v>3250</v>
      </c>
      <c r="B8311" s="2" t="s">
        <v>561</v>
      </c>
      <c r="C8311" s="2">
        <v>654.63170000000002</v>
      </c>
      <c r="D8311" s="2">
        <f>HYPERLINK("http://mcb-m6.bioreg.kyushu-u.ac.jp/M3/20110404/F50782/1363/1", 77.69)</f>
        <v>77.69</v>
      </c>
      <c r="E8311" s="2">
        <v>58.36</v>
      </c>
      <c r="F8311" s="2">
        <v>2</v>
      </c>
      <c r="G8311" s="2" t="s">
        <v>10</v>
      </c>
    </row>
    <row r="8312" spans="1:9" x14ac:dyDescent="0.2">
      <c r="A8312" s="2" t="s">
        <v>3250</v>
      </c>
      <c r="B8312" s="2" t="s">
        <v>561</v>
      </c>
      <c r="C8312" s="2">
        <v>654.24270000000001</v>
      </c>
      <c r="D8312" s="2">
        <f>HYPERLINK("http://mcb-m6.bioreg.kyushu-u.ac.jp/M3/20110404/F50758/1601/1", 77.76)</f>
        <v>77.760000000000005</v>
      </c>
      <c r="E8312" s="2">
        <v>47.91</v>
      </c>
      <c r="F8312" s="2">
        <v>2</v>
      </c>
      <c r="G8312" s="2" t="s">
        <v>10</v>
      </c>
    </row>
    <row r="8313" spans="1:9" x14ac:dyDescent="0.2">
      <c r="A8313" s="2" t="s">
        <v>3250</v>
      </c>
      <c r="B8313" s="2" t="s">
        <v>561</v>
      </c>
      <c r="C8313" s="2">
        <v>662.54319999999996</v>
      </c>
      <c r="D8313" s="2">
        <f>HYPERLINK("http://mcb-m6.bioreg.kyushu-u.ac.jp/M3/20110404/F50772/1559/1", 77.99)</f>
        <v>77.989999999999995</v>
      </c>
      <c r="E8313" s="2">
        <v>56.69</v>
      </c>
      <c r="F8313" s="2">
        <v>2</v>
      </c>
      <c r="G8313" s="2" t="s">
        <v>10</v>
      </c>
      <c r="H8313" s="2" t="s">
        <v>4919</v>
      </c>
    </row>
    <row r="8314" spans="1:9" x14ac:dyDescent="0.2">
      <c r="A8314" s="2" t="s">
        <v>3250</v>
      </c>
      <c r="B8314" s="2" t="s">
        <v>561</v>
      </c>
      <c r="C8314" s="2">
        <v>662.73770000000002</v>
      </c>
      <c r="D8314" s="2">
        <f>HYPERLINK("http://mcb-m6.bioreg.kyushu-u.ac.jp/M3/20110404/F50760/1491/1", 78.11)</f>
        <v>78.11</v>
      </c>
      <c r="E8314" s="2">
        <v>58.02</v>
      </c>
      <c r="F8314" s="2">
        <v>2</v>
      </c>
      <c r="G8314" s="2" t="s">
        <v>10</v>
      </c>
      <c r="H8314" s="2" t="s">
        <v>4919</v>
      </c>
    </row>
    <row r="8315" spans="1:9" x14ac:dyDescent="0.2">
      <c r="A8315" s="2" t="s">
        <v>3250</v>
      </c>
      <c r="B8315" s="2" t="s">
        <v>561</v>
      </c>
      <c r="C8315" s="2">
        <v>662.76120000000003</v>
      </c>
      <c r="D8315" s="2">
        <f>HYPERLINK("http://mcb-m6.bioreg.kyushu-u.ac.jp/M3/20110404/F50770/1593/1", 78.15)</f>
        <v>78.150000000000006</v>
      </c>
      <c r="E8315" s="2">
        <v>57.69</v>
      </c>
      <c r="F8315" s="2">
        <v>2</v>
      </c>
      <c r="G8315" s="2" t="s">
        <v>10</v>
      </c>
      <c r="H8315" s="2" t="s">
        <v>4919</v>
      </c>
    </row>
    <row r="8316" spans="1:9" x14ac:dyDescent="0.2">
      <c r="A8316" s="2" t="s">
        <v>3250</v>
      </c>
      <c r="B8316" s="2" t="s">
        <v>1875</v>
      </c>
      <c r="C8316" s="2">
        <v>780.23860000000002</v>
      </c>
      <c r="D8316" s="2">
        <f>HYPERLINK("http://mcb-m6.bioreg.kyushu-u.ac.jp/M3/20110404/F50771/2054/1", 78.25)</f>
        <v>78.25</v>
      </c>
      <c r="E8316" s="2">
        <v>63.22</v>
      </c>
      <c r="F8316" s="2">
        <v>2</v>
      </c>
      <c r="G8316" s="2" t="s">
        <v>10</v>
      </c>
      <c r="H8316" s="2" t="s">
        <v>4920</v>
      </c>
    </row>
    <row r="8317" spans="1:9" x14ac:dyDescent="0.2">
      <c r="A8317" s="2" t="s">
        <v>3250</v>
      </c>
      <c r="B8317" s="2" t="s">
        <v>1065</v>
      </c>
      <c r="C8317" s="2">
        <v>716.79610000000002</v>
      </c>
      <c r="D8317" s="2">
        <f>HYPERLINK("http://mcb-m6.bioreg.kyushu-u.ac.jp/M3/20110404/F50770/1848/1", 78.29)</f>
        <v>78.290000000000006</v>
      </c>
      <c r="E8317" s="2">
        <v>67.010000000000005</v>
      </c>
      <c r="F8317" s="2">
        <v>2</v>
      </c>
      <c r="G8317" s="2" t="s">
        <v>10</v>
      </c>
      <c r="I8317" s="2" t="s">
        <v>4892</v>
      </c>
    </row>
    <row r="8318" spans="1:9" x14ac:dyDescent="0.2">
      <c r="A8318" s="2" t="s">
        <v>3250</v>
      </c>
      <c r="B8318" s="2" t="s">
        <v>90</v>
      </c>
      <c r="C8318" s="2">
        <v>1432.7090000000001</v>
      </c>
      <c r="D8318" s="2">
        <f>HYPERLINK("http://mcb-m6.bioreg.kyushu-u.ac.jp/M3/20110404/F50782/1667/1", 78.53)</f>
        <v>78.53</v>
      </c>
      <c r="E8318" s="2">
        <v>65.39</v>
      </c>
      <c r="F8318" s="2">
        <v>1</v>
      </c>
      <c r="G8318" s="2" t="s">
        <v>10</v>
      </c>
    </row>
    <row r="8319" spans="1:9" x14ac:dyDescent="0.2">
      <c r="A8319" s="2" t="s">
        <v>3250</v>
      </c>
      <c r="B8319" s="2" t="s">
        <v>772</v>
      </c>
      <c r="C8319" s="2">
        <v>596.34220000000005</v>
      </c>
      <c r="D8319" s="2">
        <f>HYPERLINK("http://mcb-m6.bioreg.kyushu-u.ac.jp/M3/20110404/F50772/1338/1", 78.59)</f>
        <v>78.59</v>
      </c>
      <c r="E8319" s="2">
        <v>57.67</v>
      </c>
      <c r="F8319" s="2">
        <v>2</v>
      </c>
      <c r="G8319" s="2" t="s">
        <v>10</v>
      </c>
    </row>
    <row r="8320" spans="1:9" x14ac:dyDescent="0.2">
      <c r="A8320" s="2" t="s">
        <v>3250</v>
      </c>
      <c r="B8320" s="2" t="s">
        <v>503</v>
      </c>
      <c r="C8320" s="2">
        <v>816.4932</v>
      </c>
      <c r="D8320" s="2">
        <f>HYPERLINK("http://mcb-m6.bioreg.kyushu-u.ac.jp/M3/20110404/F50773/2131/1", 78.61)</f>
        <v>78.61</v>
      </c>
      <c r="E8320" s="2">
        <v>61.68</v>
      </c>
      <c r="F8320" s="2">
        <v>2</v>
      </c>
      <c r="G8320" s="2" t="s">
        <v>10</v>
      </c>
      <c r="H8320" s="2" t="s">
        <v>4907</v>
      </c>
    </row>
    <row r="8321" spans="1:9" x14ac:dyDescent="0.2">
      <c r="A8321" s="2" t="s">
        <v>3250</v>
      </c>
      <c r="B8321" s="2" t="s">
        <v>772</v>
      </c>
      <c r="C8321" s="2">
        <v>596.18709999999999</v>
      </c>
      <c r="D8321" s="2">
        <f>HYPERLINK("http://mcb-m6.bioreg.kyushu-u.ac.jp/M3/20110404/F50770/1407/1", 78.75)</f>
        <v>78.75</v>
      </c>
      <c r="E8321" s="2">
        <v>55.27</v>
      </c>
      <c r="F8321" s="2">
        <v>2</v>
      </c>
      <c r="G8321" s="2" t="s">
        <v>10</v>
      </c>
    </row>
    <row r="8322" spans="1:9" x14ac:dyDescent="0.2">
      <c r="A8322" s="2" t="s">
        <v>3250</v>
      </c>
      <c r="B8322" s="2" t="s">
        <v>561</v>
      </c>
      <c r="C8322" s="2">
        <v>662.29110000000003</v>
      </c>
      <c r="D8322" s="2">
        <f>HYPERLINK("http://mcb-m6.bioreg.kyushu-u.ac.jp/M3/20110404/F50773/1464/1", 78.78)</f>
        <v>78.78</v>
      </c>
      <c r="E8322" s="2">
        <v>63.04</v>
      </c>
      <c r="F8322" s="2">
        <v>2</v>
      </c>
      <c r="G8322" s="2" t="s">
        <v>10</v>
      </c>
      <c r="H8322" s="2" t="s">
        <v>4919</v>
      </c>
    </row>
    <row r="8323" spans="1:9" x14ac:dyDescent="0.2">
      <c r="A8323" s="2" t="s">
        <v>3250</v>
      </c>
      <c r="B8323" s="2" t="s">
        <v>834</v>
      </c>
      <c r="C8323" s="2">
        <v>621.78470000000004</v>
      </c>
      <c r="D8323" s="2">
        <f>HYPERLINK("http://mcb-m6.bioreg.kyushu-u.ac.jp/M3/20110404/F50774/1434/1", 78.96)</f>
        <v>78.959999999999994</v>
      </c>
      <c r="E8323" s="2">
        <v>60.45</v>
      </c>
      <c r="F8323" s="2">
        <v>2</v>
      </c>
      <c r="G8323" s="2" t="s">
        <v>10</v>
      </c>
    </row>
    <row r="8324" spans="1:9" x14ac:dyDescent="0.2">
      <c r="A8324" s="2" t="s">
        <v>3250</v>
      </c>
      <c r="B8324" s="2" t="s">
        <v>102</v>
      </c>
      <c r="C8324" s="2">
        <v>608.27869999999996</v>
      </c>
      <c r="D8324" s="2">
        <f>HYPERLINK("http://mcb-m6.bioreg.kyushu-u.ac.jp/M3/20110404/F50782/1149/1", 79.19)</f>
        <v>79.19</v>
      </c>
      <c r="E8324" s="2">
        <v>56.64</v>
      </c>
      <c r="F8324" s="2">
        <v>2</v>
      </c>
      <c r="G8324" s="2" t="s">
        <v>10</v>
      </c>
    </row>
    <row r="8325" spans="1:9" x14ac:dyDescent="0.2">
      <c r="A8325" s="2" t="s">
        <v>3250</v>
      </c>
      <c r="B8325" s="2" t="s">
        <v>1875</v>
      </c>
      <c r="C8325" s="2">
        <v>780.44669999999996</v>
      </c>
      <c r="D8325" s="2">
        <f>HYPERLINK("http://mcb-m6.bioreg.kyushu-u.ac.jp/M3/20110404/F50773/1982/1", 79.27)</f>
        <v>79.27</v>
      </c>
      <c r="E8325" s="2">
        <v>65.12</v>
      </c>
      <c r="F8325" s="2">
        <v>2</v>
      </c>
      <c r="G8325" s="2" t="s">
        <v>10</v>
      </c>
      <c r="H8325" s="2" t="s">
        <v>4920</v>
      </c>
    </row>
    <row r="8326" spans="1:9" x14ac:dyDescent="0.2">
      <c r="A8326" s="2" t="s">
        <v>3250</v>
      </c>
      <c r="B8326" s="2" t="s">
        <v>1065</v>
      </c>
      <c r="C8326" s="2">
        <v>716.91470000000004</v>
      </c>
      <c r="D8326" s="2">
        <f>HYPERLINK("http://mcb-m6.bioreg.kyushu-u.ac.jp/M3/20110404/F50758/1816/1", 79.28)</f>
        <v>79.28</v>
      </c>
      <c r="E8326" s="2">
        <v>67.83</v>
      </c>
      <c r="F8326" s="2">
        <v>2</v>
      </c>
      <c r="G8326" s="2" t="s">
        <v>10</v>
      </c>
      <c r="I8326" s="2" t="s">
        <v>4892</v>
      </c>
    </row>
    <row r="8327" spans="1:9" x14ac:dyDescent="0.2">
      <c r="A8327" s="2" t="s">
        <v>3250</v>
      </c>
      <c r="B8327" s="2" t="s">
        <v>503</v>
      </c>
      <c r="C8327" s="2">
        <v>808.29020000000003</v>
      </c>
      <c r="D8327" s="2">
        <f>HYPERLINK("http://mcb-m6.bioreg.kyushu-u.ac.jp/M3/20110404/F50768/2140/1", 79.32)</f>
        <v>79.319999999999993</v>
      </c>
      <c r="E8327" s="2">
        <v>69.27</v>
      </c>
      <c r="F8327" s="2">
        <v>2</v>
      </c>
      <c r="G8327" s="2" t="s">
        <v>10</v>
      </c>
    </row>
    <row r="8328" spans="1:9" x14ac:dyDescent="0.2">
      <c r="A8328" s="2" t="s">
        <v>3250</v>
      </c>
      <c r="B8328" s="2" t="s">
        <v>102</v>
      </c>
      <c r="C8328" s="2">
        <v>608.16359999999997</v>
      </c>
      <c r="D8328" s="2">
        <f>HYPERLINK("http://mcb-m6.bioreg.kyushu-u.ac.jp/M3/20110404/F50771/1358/1", 79.34)</f>
        <v>79.34</v>
      </c>
      <c r="E8328" s="2">
        <v>51.88</v>
      </c>
      <c r="F8328" s="2">
        <v>2</v>
      </c>
      <c r="G8328" s="2" t="s">
        <v>10</v>
      </c>
    </row>
    <row r="8329" spans="1:9" x14ac:dyDescent="0.2">
      <c r="A8329" s="2" t="s">
        <v>3250</v>
      </c>
      <c r="B8329" s="2" t="s">
        <v>30</v>
      </c>
      <c r="C8329" s="2">
        <v>965.04610000000002</v>
      </c>
      <c r="D8329" s="2">
        <f>HYPERLINK("http://mcb-m6.bioreg.kyushu-u.ac.jp/M3/20110404/F50773/2645/1", 79.35)</f>
        <v>79.349999999999994</v>
      </c>
      <c r="E8329" s="2">
        <v>70.739999999999995</v>
      </c>
      <c r="F8329" s="2">
        <v>2</v>
      </c>
      <c r="G8329" s="2" t="s">
        <v>10</v>
      </c>
      <c r="I8329" s="2" t="s">
        <v>4894</v>
      </c>
    </row>
    <row r="8330" spans="1:9" x14ac:dyDescent="0.2">
      <c r="A8330" s="2" t="s">
        <v>3250</v>
      </c>
      <c r="B8330" s="2" t="s">
        <v>772</v>
      </c>
      <c r="C8330" s="2">
        <v>595.63710000000003</v>
      </c>
      <c r="D8330" s="2">
        <f>HYPERLINK("http://mcb-m6.bioreg.kyushu-u.ac.jp/M3/20110404/F50769/1520/1", 79.43)</f>
        <v>79.430000000000007</v>
      </c>
      <c r="E8330" s="2">
        <v>43.38</v>
      </c>
      <c r="F8330" s="2">
        <v>2</v>
      </c>
      <c r="G8330" s="2" t="s">
        <v>10</v>
      </c>
    </row>
    <row r="8331" spans="1:9" x14ac:dyDescent="0.2">
      <c r="A8331" s="2" t="s">
        <v>3250</v>
      </c>
      <c r="B8331" s="2" t="s">
        <v>356</v>
      </c>
      <c r="C8331" s="2">
        <v>816.45619999999997</v>
      </c>
      <c r="D8331" s="2">
        <f>HYPERLINK("http://mcb-m6.bioreg.kyushu-u.ac.jp/M3/20110404/F50773/2130/1", 79.69)</f>
        <v>79.69</v>
      </c>
      <c r="E8331" s="2">
        <v>64.319999999999993</v>
      </c>
      <c r="F8331" s="2">
        <v>2</v>
      </c>
      <c r="G8331" s="2" t="s">
        <v>10</v>
      </c>
    </row>
    <row r="8332" spans="1:9" x14ac:dyDescent="0.2">
      <c r="A8332" s="2" t="s">
        <v>3250</v>
      </c>
      <c r="B8332" s="2" t="s">
        <v>1065</v>
      </c>
      <c r="C8332" s="2">
        <v>716.85310000000004</v>
      </c>
      <c r="D8332" s="2">
        <f>HYPERLINK("http://mcb-m6.bioreg.kyushu-u.ac.jp/M3/20110404/F50775/1866/1", 79.97)</f>
        <v>79.97</v>
      </c>
      <c r="E8332" s="2">
        <v>68.38</v>
      </c>
      <c r="F8332" s="2">
        <v>2</v>
      </c>
      <c r="G8332" s="2" t="s">
        <v>10</v>
      </c>
      <c r="I8332" s="2" t="s">
        <v>4892</v>
      </c>
    </row>
    <row r="8333" spans="1:9" x14ac:dyDescent="0.2">
      <c r="A8333" s="2" t="s">
        <v>3250</v>
      </c>
      <c r="B8333" s="2" t="s">
        <v>1875</v>
      </c>
      <c r="C8333" s="2">
        <v>772.38210000000004</v>
      </c>
      <c r="D8333" s="2">
        <f>HYPERLINK("http://mcb-m6.bioreg.kyushu-u.ac.jp/M3/20110404/F50768/2003/1", 80.62)</f>
        <v>80.62</v>
      </c>
      <c r="E8333" s="2">
        <v>68.81</v>
      </c>
      <c r="F8333" s="2">
        <v>2</v>
      </c>
      <c r="G8333" s="2" t="s">
        <v>10</v>
      </c>
    </row>
    <row r="8334" spans="1:9" x14ac:dyDescent="0.2">
      <c r="A8334" s="2" t="s">
        <v>3250</v>
      </c>
      <c r="B8334" s="2" t="s">
        <v>1875</v>
      </c>
      <c r="C8334" s="2">
        <v>772.44370000000004</v>
      </c>
      <c r="D8334" s="2">
        <f>HYPERLINK("http://mcb-m6.bioreg.kyushu-u.ac.jp/M3/20110404/F50773/1951/1", 80.7)</f>
        <v>80.7</v>
      </c>
      <c r="E8334" s="2">
        <v>69.33</v>
      </c>
      <c r="F8334" s="2">
        <v>2</v>
      </c>
      <c r="G8334" s="2" t="s">
        <v>10</v>
      </c>
    </row>
    <row r="8335" spans="1:9" x14ac:dyDescent="0.2">
      <c r="A8335" s="2" t="s">
        <v>3250</v>
      </c>
      <c r="B8335" s="2" t="s">
        <v>90</v>
      </c>
      <c r="C8335" s="2">
        <v>717.08370000000002</v>
      </c>
      <c r="D8335" s="2">
        <f>HYPERLINK("http://mcb-m6.bioreg.kyushu-u.ac.jp/M3/20110404/F50782/1670/1", 80.72)</f>
        <v>80.72</v>
      </c>
      <c r="E8335" s="2">
        <v>43.91</v>
      </c>
      <c r="F8335" s="2">
        <v>2</v>
      </c>
      <c r="G8335" s="2" t="s">
        <v>10</v>
      </c>
    </row>
    <row r="8336" spans="1:9" x14ac:dyDescent="0.2">
      <c r="A8336" s="2" t="s">
        <v>3250</v>
      </c>
      <c r="B8336" s="2" t="s">
        <v>311</v>
      </c>
      <c r="C8336" s="2">
        <v>598.6816</v>
      </c>
      <c r="D8336" s="2">
        <f>HYPERLINK("http://mcb-m6.bioreg.kyushu-u.ac.jp/M3/20110404/F50769/1533/1", 80.8)</f>
        <v>80.8</v>
      </c>
      <c r="E8336" s="2">
        <v>58.91</v>
      </c>
      <c r="F8336" s="2">
        <v>2</v>
      </c>
      <c r="G8336" s="2" t="s">
        <v>10</v>
      </c>
    </row>
    <row r="8337" spans="1:9" x14ac:dyDescent="0.2">
      <c r="A8337" s="2" t="s">
        <v>3250</v>
      </c>
      <c r="B8337" s="2" t="s">
        <v>1581</v>
      </c>
      <c r="C8337" s="2">
        <v>1147.604</v>
      </c>
      <c r="D8337" s="2">
        <f>HYPERLINK("http://mcb-m6.bioreg.kyushu-u.ac.jp/M3/20110404/F50773/3114/1", 81.07)</f>
        <v>81.069999999999993</v>
      </c>
      <c r="E8337" s="2">
        <v>71.290000000000006</v>
      </c>
      <c r="F8337" s="2">
        <v>2</v>
      </c>
      <c r="G8337" s="2" t="s">
        <v>10</v>
      </c>
      <c r="I8337" s="2" t="s">
        <v>4895</v>
      </c>
    </row>
    <row r="8338" spans="1:9" x14ac:dyDescent="0.2">
      <c r="A8338" s="2" t="s">
        <v>3250</v>
      </c>
      <c r="B8338" s="2" t="s">
        <v>503</v>
      </c>
      <c r="C8338" s="2">
        <v>808.51319999999998</v>
      </c>
      <c r="D8338" s="2">
        <f>HYPERLINK("http://mcb-m6.bioreg.kyushu-u.ac.jp/M3/20110404/F50774/2160/1", 81.35)</f>
        <v>81.349999999999994</v>
      </c>
      <c r="E8338" s="2">
        <v>68.58</v>
      </c>
      <c r="F8338" s="2">
        <v>2</v>
      </c>
      <c r="G8338" s="2" t="s">
        <v>10</v>
      </c>
    </row>
    <row r="8339" spans="1:9" x14ac:dyDescent="0.2">
      <c r="A8339" s="2" t="s">
        <v>3250</v>
      </c>
      <c r="B8339" s="2" t="s">
        <v>5991</v>
      </c>
      <c r="C8339" s="2">
        <v>971.95889999999997</v>
      </c>
      <c r="D8339" s="2">
        <f>HYPERLINK("http://mcb-m6.bioreg.kyushu-u.ac.jp/M3/20110404/F50782/4018/1", 81.38)</f>
        <v>81.38</v>
      </c>
      <c r="E8339" s="2">
        <v>72.209999999999994</v>
      </c>
      <c r="F8339" s="2">
        <v>3</v>
      </c>
      <c r="G8339" s="2" t="s">
        <v>10</v>
      </c>
      <c r="I8339" s="2" t="s">
        <v>4895</v>
      </c>
    </row>
    <row r="8340" spans="1:9" x14ac:dyDescent="0.2">
      <c r="A8340" s="2" t="s">
        <v>3250</v>
      </c>
      <c r="B8340" s="2" t="s">
        <v>1255</v>
      </c>
      <c r="C8340" s="2">
        <v>1273.8240000000001</v>
      </c>
      <c r="D8340" s="2">
        <f>HYPERLINK("http://mcb-m6.bioreg.kyushu-u.ac.jp/M3/20110404/F50771/3443/1", 81.48)</f>
        <v>81.48</v>
      </c>
      <c r="E8340" s="2">
        <v>72.11</v>
      </c>
      <c r="F8340" s="2">
        <v>2</v>
      </c>
      <c r="G8340" s="2" t="s">
        <v>10</v>
      </c>
      <c r="I8340" s="2" t="s">
        <v>4906</v>
      </c>
    </row>
    <row r="8341" spans="1:9" x14ac:dyDescent="0.2">
      <c r="A8341" s="2" t="s">
        <v>3250</v>
      </c>
      <c r="B8341" s="2" t="s">
        <v>772</v>
      </c>
      <c r="C8341" s="2">
        <v>595.59670000000006</v>
      </c>
      <c r="D8341" s="2">
        <f>HYPERLINK("http://mcb-m6.bioreg.kyushu-u.ac.jp/M3/20110404/F50771/1311/1", 81.5)</f>
        <v>81.5</v>
      </c>
      <c r="E8341" s="2">
        <v>54.33</v>
      </c>
      <c r="F8341" s="2">
        <v>2</v>
      </c>
      <c r="G8341" s="2" t="s">
        <v>10</v>
      </c>
    </row>
    <row r="8342" spans="1:9" x14ac:dyDescent="0.2">
      <c r="A8342" s="2" t="s">
        <v>3250</v>
      </c>
      <c r="B8342" s="2" t="s">
        <v>561</v>
      </c>
      <c r="C8342" s="2">
        <v>654.09860000000003</v>
      </c>
      <c r="D8342" s="2">
        <f>HYPERLINK("http://mcb-m6.bioreg.kyushu-u.ac.jp/M3/20110404/F50782/1359/1", 81.8)</f>
        <v>81.8</v>
      </c>
      <c r="E8342" s="2">
        <v>57.53</v>
      </c>
      <c r="F8342" s="2">
        <v>2</v>
      </c>
      <c r="G8342" s="2" t="s">
        <v>10</v>
      </c>
    </row>
    <row r="8343" spans="1:9" x14ac:dyDescent="0.2">
      <c r="A8343" s="2" t="s">
        <v>3250</v>
      </c>
      <c r="B8343" s="2" t="s">
        <v>561</v>
      </c>
      <c r="C8343" s="2">
        <v>654.18870000000004</v>
      </c>
      <c r="D8343" s="2">
        <f>HYPERLINK("http://mcb-m6.bioreg.kyushu-u.ac.jp/M3/20110404/F50760/1475/1", 82.15)</f>
        <v>82.15</v>
      </c>
      <c r="E8343" s="2">
        <v>61.48</v>
      </c>
      <c r="F8343" s="2">
        <v>2</v>
      </c>
      <c r="G8343" s="2" t="s">
        <v>10</v>
      </c>
    </row>
    <row r="8344" spans="1:9" x14ac:dyDescent="0.2">
      <c r="A8344" s="2" t="s">
        <v>3250</v>
      </c>
      <c r="B8344" s="2" t="s">
        <v>90</v>
      </c>
      <c r="C8344" s="2">
        <v>716.71370000000002</v>
      </c>
      <c r="D8344" s="2">
        <f>HYPERLINK("http://mcb-m6.bioreg.kyushu-u.ac.jp/M3/20110404/F50782/1660/1", 82.51)</f>
        <v>82.51</v>
      </c>
      <c r="E8344" s="2">
        <v>49.29</v>
      </c>
      <c r="F8344" s="2">
        <v>2</v>
      </c>
      <c r="G8344" s="2" t="s">
        <v>10</v>
      </c>
    </row>
    <row r="8345" spans="1:9" x14ac:dyDescent="0.2">
      <c r="A8345" s="2" t="s">
        <v>3250</v>
      </c>
      <c r="B8345" s="2" t="s">
        <v>102</v>
      </c>
      <c r="C8345" s="2">
        <v>608.2491</v>
      </c>
      <c r="D8345" s="2">
        <f>HYPERLINK("http://mcb-m6.bioreg.kyushu-u.ac.jp/M3/20110404/F50774/1377/1", 82.66)</f>
        <v>82.66</v>
      </c>
      <c r="E8345" s="2">
        <v>64.73</v>
      </c>
      <c r="F8345" s="2">
        <v>2</v>
      </c>
      <c r="G8345" s="2" t="s">
        <v>10</v>
      </c>
    </row>
    <row r="8346" spans="1:9" x14ac:dyDescent="0.2">
      <c r="A8346" s="2" t="s">
        <v>3250</v>
      </c>
      <c r="B8346" s="2" t="s">
        <v>102</v>
      </c>
      <c r="C8346" s="2">
        <v>608.23860000000002</v>
      </c>
      <c r="D8346" s="2">
        <f>HYPERLINK("http://mcb-m6.bioreg.kyushu-u.ac.jp/M3/20110404/F50773/1277/1", 82.95)</f>
        <v>82.95</v>
      </c>
      <c r="E8346" s="2">
        <v>67.84</v>
      </c>
      <c r="F8346" s="2">
        <v>2</v>
      </c>
      <c r="G8346" s="2" t="s">
        <v>10</v>
      </c>
    </row>
    <row r="8347" spans="1:9" x14ac:dyDescent="0.2">
      <c r="A8347" s="2" t="s">
        <v>3250</v>
      </c>
      <c r="B8347" s="2" t="s">
        <v>6017</v>
      </c>
      <c r="C8347" s="2">
        <v>1196.348</v>
      </c>
      <c r="D8347" s="2">
        <f>HYPERLINK("http://mcb-m6.bioreg.kyushu-u.ac.jp/M3/20110404/F50782/3554/1", 83.37)</f>
        <v>83.37</v>
      </c>
      <c r="E8347" s="2">
        <v>73.16</v>
      </c>
      <c r="F8347" s="2">
        <v>2</v>
      </c>
      <c r="G8347" s="2" t="s">
        <v>10</v>
      </c>
      <c r="I8347" s="2" t="s">
        <v>4895</v>
      </c>
    </row>
    <row r="8348" spans="1:9" x14ac:dyDescent="0.2">
      <c r="A8348" s="2" t="s">
        <v>3250</v>
      </c>
      <c r="B8348" s="2" t="s">
        <v>481</v>
      </c>
      <c r="C8348" s="2">
        <v>709.38869999999997</v>
      </c>
      <c r="D8348" s="2">
        <f>HYPERLINK("http://mcb-m6.bioreg.kyushu-u.ac.jp/M3/20110404/F50781/1701/1", 83.38)</f>
        <v>83.38</v>
      </c>
      <c r="E8348" s="2">
        <v>62.48</v>
      </c>
      <c r="F8348" s="2">
        <v>2</v>
      </c>
      <c r="G8348" s="2" t="s">
        <v>10</v>
      </c>
      <c r="I8348" s="2" t="s">
        <v>4898</v>
      </c>
    </row>
    <row r="8349" spans="1:9" x14ac:dyDescent="0.2">
      <c r="A8349" s="2" t="s">
        <v>3250</v>
      </c>
      <c r="B8349" s="2" t="s">
        <v>772</v>
      </c>
      <c r="C8349" s="2">
        <v>596.17110000000002</v>
      </c>
      <c r="D8349" s="2">
        <f>HYPERLINK("http://mcb-m6.bioreg.kyushu-u.ac.jp/M3/20110404/F50773/1240/1", 83.85)</f>
        <v>83.85</v>
      </c>
      <c r="E8349" s="2">
        <v>56.85</v>
      </c>
      <c r="F8349" s="2">
        <v>2</v>
      </c>
      <c r="G8349" s="2" t="s">
        <v>10</v>
      </c>
    </row>
    <row r="8350" spans="1:9" x14ac:dyDescent="0.2">
      <c r="A8350" s="2" t="s">
        <v>3250</v>
      </c>
      <c r="B8350" s="2" t="s">
        <v>90</v>
      </c>
      <c r="C8350" s="2">
        <v>1432.48</v>
      </c>
      <c r="D8350" s="2">
        <f>HYPERLINK("http://mcb-m6.bioreg.kyushu-u.ac.jp/M3/20110404/F50758/1814/1", 83.98)</f>
        <v>83.98</v>
      </c>
      <c r="E8350" s="2">
        <v>67.040000000000006</v>
      </c>
      <c r="F8350" s="2">
        <v>1</v>
      </c>
      <c r="G8350" s="2" t="s">
        <v>10</v>
      </c>
    </row>
    <row r="8351" spans="1:9" x14ac:dyDescent="0.2">
      <c r="A8351" s="2" t="s">
        <v>3250</v>
      </c>
      <c r="B8351" s="2" t="s">
        <v>503</v>
      </c>
      <c r="C8351" s="2">
        <v>808.29669999999999</v>
      </c>
      <c r="D8351" s="2">
        <f>HYPERLINK("http://mcb-m6.bioreg.kyushu-u.ac.jp/M3/20110404/F50771/2190/1", 84)</f>
        <v>84</v>
      </c>
      <c r="E8351" s="2">
        <v>71.09</v>
      </c>
      <c r="F8351" s="2">
        <v>2</v>
      </c>
      <c r="G8351" s="2" t="s">
        <v>10</v>
      </c>
    </row>
    <row r="8352" spans="1:9" x14ac:dyDescent="0.2">
      <c r="A8352" s="2" t="s">
        <v>3250</v>
      </c>
      <c r="B8352" s="2" t="s">
        <v>1065</v>
      </c>
      <c r="C8352" s="2">
        <v>716.77260000000001</v>
      </c>
      <c r="D8352" s="2">
        <f>HYPERLINK("http://mcb-m6.bioreg.kyushu-u.ac.jp/M3/20110404/F50760/1738/1", 84.05)</f>
        <v>84.05</v>
      </c>
      <c r="E8352" s="2">
        <v>72.510000000000005</v>
      </c>
      <c r="F8352" s="2">
        <v>2</v>
      </c>
      <c r="G8352" s="2" t="s">
        <v>10</v>
      </c>
      <c r="I8352" s="2" t="s">
        <v>4892</v>
      </c>
    </row>
    <row r="8353" spans="1:9" x14ac:dyDescent="0.2">
      <c r="A8353" s="2" t="s">
        <v>3250</v>
      </c>
      <c r="B8353" s="2" t="s">
        <v>90</v>
      </c>
      <c r="C8353" s="2">
        <v>1432.614</v>
      </c>
      <c r="D8353" s="2">
        <f>HYPERLINK("http://mcb-m6.bioreg.kyushu-u.ac.jp/M3/20110404/F50773/1748/1", 84.05)</f>
        <v>84.05</v>
      </c>
      <c r="E8353" s="2">
        <v>75.38</v>
      </c>
      <c r="F8353" s="2">
        <v>1</v>
      </c>
      <c r="G8353" s="2" t="s">
        <v>10</v>
      </c>
    </row>
    <row r="8354" spans="1:9" x14ac:dyDescent="0.2">
      <c r="A8354" s="2" t="s">
        <v>3250</v>
      </c>
      <c r="B8354" s="2" t="s">
        <v>1065</v>
      </c>
      <c r="C8354" s="2">
        <v>716.90369999999996</v>
      </c>
      <c r="D8354" s="2">
        <f>HYPERLINK("http://mcb-m6.bioreg.kyushu-u.ac.jp/M3/20110404/F50773/1750/1", 84.09)</f>
        <v>84.09</v>
      </c>
      <c r="E8354" s="2">
        <v>72.89</v>
      </c>
      <c r="F8354" s="2">
        <v>2</v>
      </c>
      <c r="G8354" s="2" t="s">
        <v>10</v>
      </c>
      <c r="I8354" s="2" t="s">
        <v>4892</v>
      </c>
    </row>
    <row r="8355" spans="1:9" x14ac:dyDescent="0.2">
      <c r="A8355" s="2" t="s">
        <v>3250</v>
      </c>
      <c r="B8355" s="2" t="s">
        <v>102</v>
      </c>
      <c r="C8355" s="2">
        <v>608.1857</v>
      </c>
      <c r="D8355" s="2">
        <f>HYPERLINK("http://mcb-m6.bioreg.kyushu-u.ac.jp/M3/20110404/F50769/1560/1", 84.1)</f>
        <v>84.1</v>
      </c>
      <c r="E8355" s="2">
        <v>64.739999999999995</v>
      </c>
      <c r="F8355" s="2">
        <v>2</v>
      </c>
      <c r="G8355" s="2" t="s">
        <v>10</v>
      </c>
    </row>
    <row r="8356" spans="1:9" x14ac:dyDescent="0.2">
      <c r="A8356" s="2" t="s">
        <v>3250</v>
      </c>
      <c r="B8356" s="2" t="s">
        <v>1065</v>
      </c>
      <c r="C8356" s="2">
        <v>716.98419999999999</v>
      </c>
      <c r="D8356" s="2">
        <f>HYPERLINK("http://mcb-m6.bioreg.kyushu-u.ac.jp/M3/20110404/F50772/1822/1", 84.16)</f>
        <v>84.16</v>
      </c>
      <c r="E8356" s="2">
        <v>71.28</v>
      </c>
      <c r="F8356" s="2">
        <v>2</v>
      </c>
      <c r="G8356" s="2" t="s">
        <v>10</v>
      </c>
      <c r="I8356" s="2" t="s">
        <v>4892</v>
      </c>
    </row>
    <row r="8357" spans="1:9" x14ac:dyDescent="0.2">
      <c r="A8357" s="2" t="s">
        <v>3250</v>
      </c>
      <c r="B8357" s="2" t="s">
        <v>365</v>
      </c>
      <c r="C8357" s="2">
        <v>848.7482</v>
      </c>
      <c r="D8357" s="2">
        <f>HYPERLINK("http://mcb-m6.bioreg.kyushu-u.ac.jp/M3/20110404/F50782/2318/1", 84.31)</f>
        <v>84.31</v>
      </c>
      <c r="E8357" s="2">
        <v>62.13</v>
      </c>
      <c r="F8357" s="2">
        <v>2</v>
      </c>
      <c r="G8357" s="2" t="s">
        <v>10</v>
      </c>
    </row>
    <row r="8358" spans="1:9" x14ac:dyDescent="0.2">
      <c r="A8358" s="2" t="s">
        <v>3250</v>
      </c>
      <c r="B8358" s="2" t="s">
        <v>1255</v>
      </c>
      <c r="C8358" s="2">
        <v>1273.8209999999999</v>
      </c>
      <c r="D8358" s="2">
        <f>HYPERLINK("http://mcb-m6.bioreg.kyushu-u.ac.jp/M3/20110404/F50761/3488/1", 84.44)</f>
        <v>84.44</v>
      </c>
      <c r="E8358" s="2">
        <v>76.17</v>
      </c>
      <c r="F8358" s="2">
        <v>2</v>
      </c>
      <c r="G8358" s="2" t="s">
        <v>10</v>
      </c>
      <c r="I8358" s="2" t="s">
        <v>4906</v>
      </c>
    </row>
    <row r="8359" spans="1:9" x14ac:dyDescent="0.2">
      <c r="A8359" s="2" t="s">
        <v>3250</v>
      </c>
      <c r="B8359" s="2" t="s">
        <v>356</v>
      </c>
      <c r="C8359" s="2">
        <v>816.16110000000003</v>
      </c>
      <c r="D8359" s="2">
        <f>HYPERLINK("http://mcb-m6.bioreg.kyushu-u.ac.jp/M3/20110404/F50770/2189/1", 84.69)</f>
        <v>84.69</v>
      </c>
      <c r="E8359" s="2">
        <v>70.86</v>
      </c>
      <c r="F8359" s="2">
        <v>2</v>
      </c>
      <c r="G8359" s="2" t="s">
        <v>10</v>
      </c>
    </row>
    <row r="8360" spans="1:9" x14ac:dyDescent="0.2">
      <c r="A8360" s="2" t="s">
        <v>3250</v>
      </c>
      <c r="B8360" s="2" t="s">
        <v>1255</v>
      </c>
      <c r="C8360" s="2">
        <v>1273.5940000000001</v>
      </c>
      <c r="D8360" s="2">
        <f>HYPERLINK("http://mcb-m6.bioreg.kyushu-u.ac.jp/M3/20110404/F50769/2912/1", 85.24)</f>
        <v>85.24</v>
      </c>
      <c r="E8360" s="2">
        <v>69.599999999999994</v>
      </c>
      <c r="F8360" s="2">
        <v>2</v>
      </c>
      <c r="G8360" s="2" t="s">
        <v>10</v>
      </c>
      <c r="I8360" s="2" t="s">
        <v>4906</v>
      </c>
    </row>
    <row r="8361" spans="1:9" x14ac:dyDescent="0.2">
      <c r="A8361" s="2" t="s">
        <v>3250</v>
      </c>
      <c r="B8361" s="2" t="s">
        <v>365</v>
      </c>
      <c r="C8361" s="2">
        <v>848.94069999999999</v>
      </c>
      <c r="D8361" s="2">
        <f>HYPERLINK("http://mcb-m6.bioreg.kyushu-u.ac.jp/M3/20110404/F50781/2065/1", 85.61)</f>
        <v>85.61</v>
      </c>
      <c r="E8361" s="2">
        <v>69.08</v>
      </c>
      <c r="F8361" s="2">
        <v>2</v>
      </c>
      <c r="G8361" s="2" t="s">
        <v>10</v>
      </c>
    </row>
    <row r="8362" spans="1:9" x14ac:dyDescent="0.2">
      <c r="A8362" s="2" t="s">
        <v>3250</v>
      </c>
      <c r="B8362" s="2" t="s">
        <v>365</v>
      </c>
      <c r="C8362" s="2">
        <v>1696.482</v>
      </c>
      <c r="D8362" s="2">
        <f>HYPERLINK("http://mcb-m6.bioreg.kyushu-u.ac.jp/M3/20110404/F50782/2317/1", 86.08)</f>
        <v>86.08</v>
      </c>
      <c r="E8362" s="2">
        <v>60.66</v>
      </c>
      <c r="F8362" s="2">
        <v>1</v>
      </c>
      <c r="G8362" s="2" t="s">
        <v>10</v>
      </c>
    </row>
    <row r="8363" spans="1:9" x14ac:dyDescent="0.2">
      <c r="A8363" s="2" t="s">
        <v>3250</v>
      </c>
      <c r="B8363" s="2" t="s">
        <v>467</v>
      </c>
      <c r="C8363" s="2">
        <v>692.24220000000003</v>
      </c>
      <c r="D8363" s="2">
        <f>HYPERLINK("http://mcb-m6.bioreg.kyushu-u.ac.jp/M3/20110404/F50775/1733/1", 86.1)</f>
        <v>86.1</v>
      </c>
      <c r="E8363" s="2">
        <v>58.35</v>
      </c>
      <c r="F8363" s="2">
        <v>2</v>
      </c>
      <c r="G8363" s="2" t="s">
        <v>10</v>
      </c>
    </row>
    <row r="8364" spans="1:9" x14ac:dyDescent="0.2">
      <c r="A8364" s="2" t="s">
        <v>3250</v>
      </c>
      <c r="B8364" s="2" t="s">
        <v>481</v>
      </c>
      <c r="C8364" s="2">
        <v>709.90620000000001</v>
      </c>
      <c r="D8364" s="2">
        <f>HYPERLINK("http://mcb-m6.bioreg.kyushu-u.ac.jp/M3/20110404/F50773/1705/1", 86.34)</f>
        <v>86.34</v>
      </c>
      <c r="E8364" s="2">
        <v>66.97</v>
      </c>
      <c r="F8364" s="2">
        <v>2</v>
      </c>
      <c r="G8364" s="2" t="s">
        <v>10</v>
      </c>
      <c r="I8364" s="2" t="s">
        <v>4898</v>
      </c>
    </row>
    <row r="8365" spans="1:9" x14ac:dyDescent="0.2">
      <c r="A8365" s="2" t="s">
        <v>3250</v>
      </c>
      <c r="B8365" s="2" t="s">
        <v>467</v>
      </c>
      <c r="C8365" s="2">
        <v>692.41309999999999</v>
      </c>
      <c r="D8365" s="2">
        <f>HYPERLINK("http://mcb-m6.bioreg.kyushu-u.ac.jp/M3/20110404/F50772/1702/1", 86.4)</f>
        <v>86.4</v>
      </c>
      <c r="E8365" s="2">
        <v>60.05</v>
      </c>
      <c r="F8365" s="2">
        <v>2</v>
      </c>
      <c r="G8365" s="2" t="s">
        <v>10</v>
      </c>
    </row>
    <row r="8366" spans="1:9" x14ac:dyDescent="0.2">
      <c r="A8366" s="2" t="s">
        <v>3250</v>
      </c>
      <c r="B8366" s="2" t="s">
        <v>90</v>
      </c>
      <c r="C8366" s="2">
        <v>716.80870000000004</v>
      </c>
      <c r="D8366" s="2">
        <f>HYPERLINK("http://mcb-m6.bioreg.kyushu-u.ac.jp/M3/20110404/F50782/1665/1", 86.47)</f>
        <v>86.47</v>
      </c>
      <c r="E8366" s="2">
        <v>55.83</v>
      </c>
      <c r="F8366" s="2">
        <v>2</v>
      </c>
      <c r="G8366" s="2" t="s">
        <v>10</v>
      </c>
    </row>
    <row r="8367" spans="1:9" x14ac:dyDescent="0.2">
      <c r="A8367" s="2" t="s">
        <v>3250</v>
      </c>
      <c r="B8367" s="2" t="s">
        <v>503</v>
      </c>
      <c r="C8367" s="2">
        <v>808.90219999999999</v>
      </c>
      <c r="D8367" s="2">
        <f>HYPERLINK("http://mcb-m6.bioreg.kyushu-u.ac.jp/M3/20110404/F50775/2224/1", 86.59)</f>
        <v>86.59</v>
      </c>
      <c r="E8367" s="2">
        <v>66.42</v>
      </c>
      <c r="F8367" s="2">
        <v>2</v>
      </c>
      <c r="G8367" s="2" t="s">
        <v>10</v>
      </c>
    </row>
    <row r="8368" spans="1:9" x14ac:dyDescent="0.2">
      <c r="A8368" s="2" t="s">
        <v>3250</v>
      </c>
      <c r="B8368" s="2" t="s">
        <v>356</v>
      </c>
      <c r="C8368" s="2">
        <v>816.24620000000004</v>
      </c>
      <c r="D8368" s="2">
        <f>HYPERLINK("http://mcb-m6.bioreg.kyushu-u.ac.jp/M3/20110404/F50782/2193/1", 86.98)</f>
        <v>86.98</v>
      </c>
      <c r="E8368" s="2">
        <v>68.41</v>
      </c>
      <c r="F8368" s="2">
        <v>2</v>
      </c>
      <c r="G8368" s="2" t="s">
        <v>10</v>
      </c>
    </row>
    <row r="8369" spans="1:9" x14ac:dyDescent="0.2">
      <c r="A8369" s="2" t="s">
        <v>3250</v>
      </c>
      <c r="B8369" s="2" t="s">
        <v>102</v>
      </c>
      <c r="C8369" s="2">
        <v>608.1241</v>
      </c>
      <c r="D8369" s="2">
        <f>HYPERLINK("http://mcb-m6.bioreg.kyushu-u.ac.jp/M3/20110404/F50775/1412/1", 87.25)</f>
        <v>87.25</v>
      </c>
      <c r="E8369" s="2">
        <v>62.61</v>
      </c>
      <c r="F8369" s="2">
        <v>2</v>
      </c>
      <c r="G8369" s="2" t="s">
        <v>10</v>
      </c>
    </row>
    <row r="8370" spans="1:9" x14ac:dyDescent="0.2">
      <c r="A8370" s="2" t="s">
        <v>3250</v>
      </c>
      <c r="B8370" s="2" t="s">
        <v>90</v>
      </c>
      <c r="C8370" s="2">
        <v>1432.5650000000001</v>
      </c>
      <c r="D8370" s="2">
        <f>HYPERLINK("http://mcb-m6.bioreg.kyushu-u.ac.jp/M3/20110404/F50770/1847/1", 87.47)</f>
        <v>87.47</v>
      </c>
      <c r="E8370" s="2">
        <v>73</v>
      </c>
      <c r="F8370" s="2">
        <v>1</v>
      </c>
      <c r="G8370" s="2" t="s">
        <v>10</v>
      </c>
    </row>
    <row r="8371" spans="1:9" x14ac:dyDescent="0.2">
      <c r="A8371" s="2" t="s">
        <v>3250</v>
      </c>
      <c r="B8371" s="2" t="s">
        <v>90</v>
      </c>
      <c r="C8371" s="2">
        <v>1432.4549999999999</v>
      </c>
      <c r="D8371" s="2">
        <f>HYPERLINK("http://mcb-m6.bioreg.kyushu-u.ac.jp/M3/20110404/F50769/1906/1", 87.64)</f>
        <v>87.64</v>
      </c>
      <c r="E8371" s="2">
        <v>70.55</v>
      </c>
      <c r="F8371" s="2">
        <v>1</v>
      </c>
      <c r="G8371" s="2" t="s">
        <v>10</v>
      </c>
    </row>
    <row r="8372" spans="1:9" x14ac:dyDescent="0.2">
      <c r="A8372" s="2" t="s">
        <v>3250</v>
      </c>
      <c r="B8372" s="2" t="s">
        <v>90</v>
      </c>
      <c r="C8372" s="2">
        <v>1433.5239999999999</v>
      </c>
      <c r="D8372" s="2">
        <f>HYPERLINK("http://mcb-m6.bioreg.kyushu-u.ac.jp/M3/20110404/F50761/1755/1", 88.71)</f>
        <v>88.71</v>
      </c>
      <c r="E8372" s="2">
        <v>72.34</v>
      </c>
      <c r="F8372" s="2">
        <v>1</v>
      </c>
      <c r="G8372" s="2" t="s">
        <v>10</v>
      </c>
    </row>
    <row r="8373" spans="1:9" x14ac:dyDescent="0.2">
      <c r="A8373" s="2" t="s">
        <v>3250</v>
      </c>
      <c r="B8373" s="2" t="s">
        <v>1765</v>
      </c>
      <c r="C8373" s="2">
        <v>761.68960000000004</v>
      </c>
      <c r="D8373" s="2">
        <f>HYPERLINK("http://mcb-m6.bioreg.kyushu-u.ac.jp/M3/20110404/F50770/2001/1", 88.75)</f>
        <v>88.75</v>
      </c>
      <c r="E8373" s="2">
        <v>63.12</v>
      </c>
      <c r="F8373" s="2">
        <v>2</v>
      </c>
      <c r="G8373" s="2" t="s">
        <v>10</v>
      </c>
    </row>
    <row r="8374" spans="1:9" x14ac:dyDescent="0.2">
      <c r="A8374" s="2" t="s">
        <v>3250</v>
      </c>
      <c r="B8374" s="2" t="s">
        <v>467</v>
      </c>
      <c r="C8374" s="2">
        <v>692.29420000000005</v>
      </c>
      <c r="D8374" s="2">
        <f>HYPERLINK("http://mcb-m6.bioreg.kyushu-u.ac.jp/M3/20110404/F50761/1631/1", 89.15)</f>
        <v>89.15</v>
      </c>
      <c r="E8374" s="2">
        <v>62.83</v>
      </c>
      <c r="F8374" s="2">
        <v>2</v>
      </c>
      <c r="G8374" s="2" t="s">
        <v>10</v>
      </c>
    </row>
    <row r="8375" spans="1:9" x14ac:dyDescent="0.2">
      <c r="A8375" s="2" t="s">
        <v>3250</v>
      </c>
      <c r="B8375" s="2" t="s">
        <v>481</v>
      </c>
      <c r="C8375" s="2">
        <v>709.27560000000005</v>
      </c>
      <c r="D8375" s="2">
        <f>HYPERLINK("http://mcb-m6.bioreg.kyushu-u.ac.jp/M3/20110404/F50758/1778/1", 89.17)</f>
        <v>89.17</v>
      </c>
      <c r="E8375" s="2">
        <v>67.78</v>
      </c>
      <c r="F8375" s="2">
        <v>2</v>
      </c>
      <c r="G8375" s="2" t="s">
        <v>10</v>
      </c>
      <c r="I8375" s="2" t="s">
        <v>4898</v>
      </c>
    </row>
    <row r="8376" spans="1:9" x14ac:dyDescent="0.2">
      <c r="A8376" s="2" t="s">
        <v>3250</v>
      </c>
      <c r="B8376" s="2" t="s">
        <v>561</v>
      </c>
      <c r="C8376" s="2">
        <v>662.23320000000001</v>
      </c>
      <c r="D8376" s="2">
        <f>HYPERLINK("http://mcb-m6.bioreg.kyushu-u.ac.jp/M3/20110404/F50769/1709/1", 89.57)</f>
        <v>89.57</v>
      </c>
      <c r="E8376" s="2">
        <v>70.97</v>
      </c>
      <c r="F8376" s="2">
        <v>2</v>
      </c>
      <c r="G8376" s="2" t="s">
        <v>10</v>
      </c>
      <c r="H8376" s="2" t="s">
        <v>4919</v>
      </c>
    </row>
    <row r="8377" spans="1:9" x14ac:dyDescent="0.2">
      <c r="A8377" s="2" t="s">
        <v>3250</v>
      </c>
      <c r="B8377" s="2" t="s">
        <v>481</v>
      </c>
      <c r="C8377" s="2">
        <v>709.34860000000003</v>
      </c>
      <c r="D8377" s="2">
        <f>HYPERLINK("http://mcb-m6.bioreg.kyushu-u.ac.jp/M3/20110404/F50774/1757/1", 89.78)</f>
        <v>89.78</v>
      </c>
      <c r="E8377" s="2">
        <v>72.3</v>
      </c>
      <c r="F8377" s="2">
        <v>2</v>
      </c>
      <c r="G8377" s="2" t="s">
        <v>10</v>
      </c>
      <c r="I8377" s="2" t="s">
        <v>4898</v>
      </c>
    </row>
    <row r="8378" spans="1:9" x14ac:dyDescent="0.2">
      <c r="A8378" s="2" t="s">
        <v>3250</v>
      </c>
      <c r="B8378" s="2" t="s">
        <v>503</v>
      </c>
      <c r="C8378" s="2">
        <v>808.64620000000002</v>
      </c>
      <c r="D8378" s="2">
        <f>HYPERLINK("http://mcb-m6.bioreg.kyushu-u.ac.jp/M3/20110404/F50772/2206/1", 89.98)</f>
        <v>89.98</v>
      </c>
      <c r="E8378" s="2">
        <v>77.72</v>
      </c>
      <c r="F8378" s="2">
        <v>2</v>
      </c>
      <c r="G8378" s="2" t="s">
        <v>10</v>
      </c>
    </row>
    <row r="8379" spans="1:9" x14ac:dyDescent="0.2">
      <c r="A8379" s="2" t="s">
        <v>3250</v>
      </c>
      <c r="B8379" s="2" t="s">
        <v>356</v>
      </c>
      <c r="C8379" s="2">
        <v>816.34969999999998</v>
      </c>
      <c r="D8379" s="2">
        <f>HYPERLINK("http://mcb-m6.bioreg.kyushu-u.ac.jp/M3/20110404/F50782/2194/1", 90.04)</f>
        <v>90.04</v>
      </c>
      <c r="E8379" s="2">
        <v>75.42</v>
      </c>
      <c r="F8379" s="2">
        <v>2</v>
      </c>
      <c r="G8379" s="2" t="s">
        <v>10</v>
      </c>
    </row>
    <row r="8380" spans="1:9" x14ac:dyDescent="0.2">
      <c r="A8380" s="2" t="s">
        <v>3250</v>
      </c>
      <c r="B8380" s="2" t="s">
        <v>503</v>
      </c>
      <c r="C8380" s="2">
        <v>808.40309999999999</v>
      </c>
      <c r="D8380" s="2">
        <f>HYPERLINK("http://mcb-m6.bioreg.kyushu-u.ac.jp/M3/20110404/F50770/2169/1", 90.94)</f>
        <v>90.94</v>
      </c>
      <c r="E8380" s="2">
        <v>77.819999999999993</v>
      </c>
      <c r="F8380" s="2">
        <v>2</v>
      </c>
      <c r="G8380" s="2" t="s">
        <v>10</v>
      </c>
    </row>
    <row r="8381" spans="1:9" x14ac:dyDescent="0.2">
      <c r="A8381" s="2" t="s">
        <v>3250</v>
      </c>
      <c r="B8381" s="2" t="s">
        <v>503</v>
      </c>
      <c r="C8381" s="2">
        <v>808.47860000000003</v>
      </c>
      <c r="D8381" s="2">
        <f>HYPERLINK("http://mcb-m6.bioreg.kyushu-u.ac.jp/M3/20110404/F50773/2104/1", 91.04)</f>
        <v>91.04</v>
      </c>
      <c r="E8381" s="2">
        <v>71.02</v>
      </c>
      <c r="F8381" s="2">
        <v>2</v>
      </c>
      <c r="G8381" s="2" t="s">
        <v>10</v>
      </c>
    </row>
    <row r="8382" spans="1:9" x14ac:dyDescent="0.2">
      <c r="A8382" s="2" t="s">
        <v>3250</v>
      </c>
      <c r="B8382" s="2" t="s">
        <v>1875</v>
      </c>
      <c r="C8382" s="2">
        <v>772.60170000000005</v>
      </c>
      <c r="D8382" s="2">
        <f>HYPERLINK("http://mcb-m6.bioreg.kyushu-u.ac.jp/M3/20110404/F50772/2047/1", 91.61)</f>
        <v>91.61</v>
      </c>
      <c r="E8382" s="2">
        <v>70.52</v>
      </c>
      <c r="F8382" s="2">
        <v>2</v>
      </c>
      <c r="G8382" s="2" t="s">
        <v>10</v>
      </c>
    </row>
    <row r="8383" spans="1:9" x14ac:dyDescent="0.2">
      <c r="A8383" s="2" t="s">
        <v>3250</v>
      </c>
      <c r="B8383" s="2" t="s">
        <v>6017</v>
      </c>
      <c r="C8383" s="2">
        <v>1204.0540000000001</v>
      </c>
      <c r="D8383" s="2">
        <f>HYPERLINK("http://mcb-m6.bioreg.kyushu-u.ac.jp/M3/20110404/F50782/3575/1", 91.68)</f>
        <v>91.68</v>
      </c>
      <c r="E8383" s="2">
        <v>79.84</v>
      </c>
      <c r="F8383" s="2">
        <v>2</v>
      </c>
      <c r="G8383" s="2" t="s">
        <v>10</v>
      </c>
      <c r="H8383" s="2" t="s">
        <v>4907</v>
      </c>
      <c r="I8383" s="2" t="s">
        <v>4895</v>
      </c>
    </row>
    <row r="8384" spans="1:9" x14ac:dyDescent="0.2">
      <c r="A8384" s="2" t="s">
        <v>3250</v>
      </c>
      <c r="B8384" s="2" t="s">
        <v>561</v>
      </c>
      <c r="C8384" s="2">
        <v>662.18470000000002</v>
      </c>
      <c r="D8384" s="2">
        <f>HYPERLINK("http://mcb-m6.bioreg.kyushu-u.ac.jp/M3/20110404/F50758/1615/1", 91.74)</f>
        <v>91.74</v>
      </c>
      <c r="E8384" s="2">
        <v>78.23</v>
      </c>
      <c r="F8384" s="2">
        <v>2</v>
      </c>
      <c r="G8384" s="2" t="s">
        <v>10</v>
      </c>
      <c r="H8384" s="2" t="s">
        <v>4919</v>
      </c>
    </row>
    <row r="8385" spans="1:9" x14ac:dyDescent="0.2">
      <c r="A8385" s="2" t="s">
        <v>3250</v>
      </c>
      <c r="B8385" s="2" t="s">
        <v>561</v>
      </c>
      <c r="C8385" s="2">
        <v>654.31920000000002</v>
      </c>
      <c r="D8385" s="2">
        <f>HYPERLINK("http://mcb-m6.bioreg.kyushu-u.ac.jp/M3/20110404/F50773/1442/1", 91.82)</f>
        <v>91.82</v>
      </c>
      <c r="E8385" s="2">
        <v>73.510000000000005</v>
      </c>
      <c r="F8385" s="2">
        <v>2</v>
      </c>
      <c r="G8385" s="2" t="s">
        <v>10</v>
      </c>
    </row>
    <row r="8386" spans="1:9" x14ac:dyDescent="0.2">
      <c r="A8386" s="2" t="s">
        <v>3250</v>
      </c>
      <c r="B8386" s="2" t="s">
        <v>561</v>
      </c>
      <c r="C8386" s="2">
        <v>662.34370000000001</v>
      </c>
      <c r="D8386" s="2">
        <f>HYPERLINK("http://mcb-m6.bioreg.kyushu-u.ac.jp/M3/20110404/F50774/1538/1", 91.84)</f>
        <v>91.84</v>
      </c>
      <c r="E8386" s="2">
        <v>70.37</v>
      </c>
      <c r="F8386" s="2">
        <v>2</v>
      </c>
      <c r="G8386" s="2" t="s">
        <v>10</v>
      </c>
      <c r="H8386" s="2" t="s">
        <v>4919</v>
      </c>
    </row>
    <row r="8387" spans="1:9" x14ac:dyDescent="0.2">
      <c r="A8387" s="2" t="s">
        <v>3250</v>
      </c>
      <c r="B8387" s="2" t="s">
        <v>561</v>
      </c>
      <c r="C8387" s="2">
        <v>662.4117</v>
      </c>
      <c r="D8387" s="2">
        <f>HYPERLINK("http://mcb-m6.bioreg.kyushu-u.ac.jp/M3/20110404/F50775/1572/1", 91.95)</f>
        <v>91.95</v>
      </c>
      <c r="E8387" s="2">
        <v>70.78</v>
      </c>
      <c r="F8387" s="2">
        <v>2</v>
      </c>
      <c r="G8387" s="2" t="s">
        <v>10</v>
      </c>
      <c r="H8387" s="2" t="s">
        <v>4919</v>
      </c>
    </row>
    <row r="8388" spans="1:9" x14ac:dyDescent="0.2">
      <c r="A8388" s="2" t="s">
        <v>3250</v>
      </c>
      <c r="B8388" s="2" t="s">
        <v>356</v>
      </c>
      <c r="C8388" s="2">
        <v>816.49570000000006</v>
      </c>
      <c r="D8388" s="2">
        <f>HYPERLINK("http://mcb-m6.bioreg.kyushu-u.ac.jp/M3/20110404/F50772/2232/1", 92.15)</f>
        <v>92.15</v>
      </c>
      <c r="E8388" s="2">
        <v>77.260000000000005</v>
      </c>
      <c r="F8388" s="2">
        <v>2</v>
      </c>
      <c r="G8388" s="2" t="s">
        <v>10</v>
      </c>
    </row>
    <row r="8389" spans="1:9" x14ac:dyDescent="0.2">
      <c r="A8389" s="2" t="s">
        <v>3250</v>
      </c>
      <c r="B8389" s="2" t="s">
        <v>1581</v>
      </c>
      <c r="C8389" s="2">
        <v>1147.5920000000001</v>
      </c>
      <c r="D8389" s="2">
        <f>HYPERLINK("http://mcb-m6.bioreg.kyushu-u.ac.jp/M3/20110404/F50782/3416/1", 92.48)</f>
        <v>92.48</v>
      </c>
      <c r="E8389" s="2">
        <v>82.05</v>
      </c>
      <c r="F8389" s="2">
        <v>2</v>
      </c>
      <c r="G8389" s="2" t="s">
        <v>10</v>
      </c>
      <c r="I8389" s="2" t="s">
        <v>4895</v>
      </c>
    </row>
    <row r="8390" spans="1:9" x14ac:dyDescent="0.2">
      <c r="A8390" s="2" t="s">
        <v>3250</v>
      </c>
      <c r="B8390" s="2" t="s">
        <v>1665</v>
      </c>
      <c r="C8390" s="2">
        <v>1147.4259999999999</v>
      </c>
      <c r="D8390" s="2">
        <f>HYPERLINK("http://mcb-m6.bioreg.kyushu-u.ac.jp/M3/20110404/F50782/3414/1", 92.87)</f>
        <v>92.87</v>
      </c>
      <c r="E8390" s="2">
        <v>79.3</v>
      </c>
      <c r="F8390" s="2">
        <v>2</v>
      </c>
      <c r="G8390" s="2" t="s">
        <v>10</v>
      </c>
    </row>
    <row r="8391" spans="1:9" x14ac:dyDescent="0.2">
      <c r="A8391" s="2" t="s">
        <v>3250</v>
      </c>
      <c r="B8391" s="2" t="s">
        <v>90</v>
      </c>
      <c r="C8391" s="2">
        <v>1432.402</v>
      </c>
      <c r="D8391" s="2">
        <f>HYPERLINK("http://mcb-m6.bioreg.kyushu-u.ac.jp/M3/20110404/F50771/1787/1", 93.2)</f>
        <v>93.2</v>
      </c>
      <c r="E8391" s="2">
        <v>76.78</v>
      </c>
      <c r="F8391" s="2">
        <v>1</v>
      </c>
      <c r="G8391" s="2" t="s">
        <v>10</v>
      </c>
    </row>
    <row r="8392" spans="1:9" x14ac:dyDescent="0.2">
      <c r="A8392" s="2" t="s">
        <v>3250</v>
      </c>
      <c r="B8392" s="2" t="s">
        <v>356</v>
      </c>
      <c r="C8392" s="2">
        <v>815.96420000000001</v>
      </c>
      <c r="D8392" s="2">
        <f>HYPERLINK("http://mcb-m6.bioreg.kyushu-u.ac.jp/M3/20110404/F50781/2015/1", 93.39)</f>
        <v>93.39</v>
      </c>
      <c r="E8392" s="2">
        <v>75.44</v>
      </c>
      <c r="F8392" s="2">
        <v>2</v>
      </c>
      <c r="G8392" s="2" t="s">
        <v>10</v>
      </c>
    </row>
    <row r="8393" spans="1:9" x14ac:dyDescent="0.2">
      <c r="A8393" s="2" t="s">
        <v>3250</v>
      </c>
      <c r="B8393" s="2" t="s">
        <v>467</v>
      </c>
      <c r="C8393" s="2">
        <v>1382.56</v>
      </c>
      <c r="D8393" s="2">
        <f>HYPERLINK("http://mcb-m6.bioreg.kyushu-u.ac.jp/M3/20110404/F50757/1952/1", 93.63)</f>
        <v>93.63</v>
      </c>
      <c r="E8393" s="2">
        <v>70.239999999999995</v>
      </c>
      <c r="F8393" s="2">
        <v>1</v>
      </c>
      <c r="G8393" s="2" t="s">
        <v>10</v>
      </c>
    </row>
    <row r="8394" spans="1:9" x14ac:dyDescent="0.2">
      <c r="A8394" s="2" t="s">
        <v>3250</v>
      </c>
      <c r="B8394" s="2" t="s">
        <v>90</v>
      </c>
      <c r="C8394" s="2">
        <v>716.65120000000002</v>
      </c>
      <c r="D8394" s="2">
        <f>HYPERLINK("http://mcb-m6.bioreg.kyushu-u.ac.jp/M3/20110404/F50757/2030/1", 93.95)</f>
        <v>93.95</v>
      </c>
      <c r="E8394" s="2">
        <v>67.069999999999993</v>
      </c>
      <c r="F8394" s="2">
        <v>2</v>
      </c>
      <c r="G8394" s="2" t="s">
        <v>10</v>
      </c>
    </row>
    <row r="8395" spans="1:9" x14ac:dyDescent="0.2">
      <c r="A8395" s="2" t="s">
        <v>3250</v>
      </c>
      <c r="B8395" s="2" t="s">
        <v>481</v>
      </c>
      <c r="C8395" s="2">
        <v>709.2106</v>
      </c>
      <c r="D8395" s="2">
        <f>HYPERLINK("http://mcb-m6.bioreg.kyushu-u.ac.jp/M3/20110404/F50757/2008/1", 94.52)</f>
        <v>94.52</v>
      </c>
      <c r="E8395" s="2">
        <v>75.42</v>
      </c>
      <c r="F8395" s="2">
        <v>2</v>
      </c>
      <c r="G8395" s="2" t="s">
        <v>10</v>
      </c>
      <c r="I8395" s="2" t="s">
        <v>4898</v>
      </c>
    </row>
    <row r="8396" spans="1:9" x14ac:dyDescent="0.2">
      <c r="A8396" s="2" t="s">
        <v>3250</v>
      </c>
      <c r="B8396" s="2" t="s">
        <v>467</v>
      </c>
      <c r="C8396" s="2">
        <v>691.93520000000001</v>
      </c>
      <c r="D8396" s="2">
        <f>HYPERLINK("http://mcb-m6.bioreg.kyushu-u.ac.jp/M3/20110404/F50768/1698/1", 94.58)</f>
        <v>94.58</v>
      </c>
      <c r="E8396" s="2">
        <v>65.739999999999995</v>
      </c>
      <c r="F8396" s="2">
        <v>2</v>
      </c>
      <c r="G8396" s="2" t="s">
        <v>10</v>
      </c>
    </row>
    <row r="8397" spans="1:9" x14ac:dyDescent="0.2">
      <c r="A8397" s="2" t="s">
        <v>3250</v>
      </c>
      <c r="B8397" s="2" t="s">
        <v>6017</v>
      </c>
      <c r="C8397" s="2">
        <v>1196.422</v>
      </c>
      <c r="D8397" s="2">
        <f>HYPERLINK("http://mcb-m6.bioreg.kyushu-u.ac.jp/M3/20110404/F50782/3555/1", 94.86)</f>
        <v>94.86</v>
      </c>
      <c r="E8397" s="2">
        <v>81.03</v>
      </c>
      <c r="F8397" s="2">
        <v>2</v>
      </c>
      <c r="G8397" s="2" t="s">
        <v>10</v>
      </c>
      <c r="I8397" s="2" t="s">
        <v>4895</v>
      </c>
    </row>
    <row r="8398" spans="1:9" x14ac:dyDescent="0.2">
      <c r="A8398" s="2" t="s">
        <v>3250</v>
      </c>
      <c r="B8398" s="2" t="s">
        <v>888</v>
      </c>
      <c r="C8398" s="2">
        <v>1216.0899999999999</v>
      </c>
      <c r="D8398" s="2">
        <f>HYPERLINK("http://mcb-m6.bioreg.kyushu-u.ac.jp/M3/20110404/F50782/3608/1", 95.31)</f>
        <v>95.31</v>
      </c>
      <c r="E8398" s="2">
        <v>87</v>
      </c>
      <c r="F8398" s="2">
        <v>2</v>
      </c>
      <c r="G8398" s="2" t="s">
        <v>10</v>
      </c>
      <c r="I8398" s="2" t="s">
        <v>4895</v>
      </c>
    </row>
    <row r="8399" spans="1:9" x14ac:dyDescent="0.2">
      <c r="A8399" s="2" t="s">
        <v>3250</v>
      </c>
      <c r="B8399" s="2" t="s">
        <v>467</v>
      </c>
      <c r="C8399" s="2">
        <v>691.73360000000002</v>
      </c>
      <c r="D8399" s="2">
        <f>HYPERLINK("http://mcb-m6.bioreg.kyushu-u.ac.jp/M3/20110404/F50761/1627/1", 95.32)</f>
        <v>95.32</v>
      </c>
      <c r="E8399" s="2">
        <v>67.12</v>
      </c>
      <c r="F8399" s="2">
        <v>2</v>
      </c>
      <c r="G8399" s="2" t="s">
        <v>10</v>
      </c>
    </row>
    <row r="8400" spans="1:9" x14ac:dyDescent="0.2">
      <c r="A8400" s="2" t="s">
        <v>3250</v>
      </c>
      <c r="B8400" s="2" t="s">
        <v>772</v>
      </c>
      <c r="C8400" s="2">
        <v>595.78020000000004</v>
      </c>
      <c r="D8400" s="2">
        <f>HYPERLINK("http://mcb-m6.bioreg.kyushu-u.ac.jp/M3/20110404/F50774/1339/1", 95.41)</f>
        <v>95.41</v>
      </c>
      <c r="E8400" s="2">
        <v>68.260000000000005</v>
      </c>
      <c r="F8400" s="2">
        <v>2</v>
      </c>
      <c r="G8400" s="2" t="s">
        <v>10</v>
      </c>
    </row>
    <row r="8401" spans="1:9" x14ac:dyDescent="0.2">
      <c r="A8401" s="2" t="s">
        <v>3250</v>
      </c>
      <c r="B8401" s="2" t="s">
        <v>467</v>
      </c>
      <c r="C8401" s="2">
        <v>691.82619999999997</v>
      </c>
      <c r="D8401" s="2">
        <f>HYPERLINK("http://mcb-m6.bioreg.kyushu-u.ac.jp/M3/20110404/F50782/1515/1", 95.52)</f>
        <v>95.52</v>
      </c>
      <c r="E8401" s="2">
        <v>64.06</v>
      </c>
      <c r="F8401" s="2">
        <v>2</v>
      </c>
      <c r="G8401" s="2" t="s">
        <v>10</v>
      </c>
    </row>
    <row r="8402" spans="1:9" x14ac:dyDescent="0.2">
      <c r="A8402" s="2" t="s">
        <v>3250</v>
      </c>
      <c r="B8402" s="2" t="s">
        <v>503</v>
      </c>
      <c r="C8402" s="2">
        <v>808.55619999999999</v>
      </c>
      <c r="D8402" s="2">
        <f>HYPERLINK("http://mcb-m6.bioreg.kyushu-u.ac.jp/M3/20110404/F50782/2137/1", 95.56)</f>
        <v>95.56</v>
      </c>
      <c r="E8402" s="2">
        <v>82.31</v>
      </c>
      <c r="F8402" s="2">
        <v>2</v>
      </c>
      <c r="G8402" s="2" t="s">
        <v>10</v>
      </c>
    </row>
    <row r="8403" spans="1:9" x14ac:dyDescent="0.2">
      <c r="A8403" s="2" t="s">
        <v>3250</v>
      </c>
      <c r="B8403" s="2" t="s">
        <v>561</v>
      </c>
      <c r="C8403" s="2">
        <v>662.14009999999996</v>
      </c>
      <c r="D8403" s="2">
        <f>HYPERLINK("http://mcb-m6.bioreg.kyushu-u.ac.jp/M3/20110404/F50760/1490/1", 96.14)</f>
        <v>96.14</v>
      </c>
      <c r="E8403" s="2">
        <v>77.650000000000006</v>
      </c>
      <c r="F8403" s="2">
        <v>2</v>
      </c>
      <c r="G8403" s="2" t="s">
        <v>10</v>
      </c>
      <c r="H8403" s="2" t="s">
        <v>4919</v>
      </c>
    </row>
    <row r="8404" spans="1:9" x14ac:dyDescent="0.2">
      <c r="A8404" s="2" t="s">
        <v>3250</v>
      </c>
      <c r="B8404" s="2" t="s">
        <v>5991</v>
      </c>
      <c r="C8404" s="2">
        <v>971.82479999999998</v>
      </c>
      <c r="D8404" s="2">
        <f>HYPERLINK("http://mcb-m6.bioreg.kyushu-u.ac.jp/M3/20110404/F50782/4016/1", 96.51)</f>
        <v>96.51</v>
      </c>
      <c r="E8404" s="2">
        <v>86.33</v>
      </c>
      <c r="F8404" s="2">
        <v>3</v>
      </c>
      <c r="G8404" s="2" t="s">
        <v>10</v>
      </c>
      <c r="I8404" s="2" t="s">
        <v>4895</v>
      </c>
    </row>
    <row r="8405" spans="1:9" x14ac:dyDescent="0.2">
      <c r="A8405" s="2" t="s">
        <v>3250</v>
      </c>
      <c r="B8405" s="2" t="s">
        <v>1255</v>
      </c>
      <c r="C8405" s="2">
        <v>1273.9100000000001</v>
      </c>
      <c r="D8405" s="2">
        <f>HYPERLINK("http://mcb-m6.bioreg.kyushu-u.ac.jp/M3/20110404/F50770/3044/1", 96.56)</f>
        <v>96.56</v>
      </c>
      <c r="E8405" s="2">
        <v>88</v>
      </c>
      <c r="F8405" s="2">
        <v>2</v>
      </c>
      <c r="G8405" s="2" t="s">
        <v>10</v>
      </c>
      <c r="I8405" s="2" t="s">
        <v>4906</v>
      </c>
    </row>
    <row r="8406" spans="1:9" x14ac:dyDescent="0.2">
      <c r="A8406" s="2" t="s">
        <v>3250</v>
      </c>
      <c r="B8406" s="2" t="s">
        <v>1255</v>
      </c>
      <c r="C8406" s="2">
        <v>1273.8320000000001</v>
      </c>
      <c r="D8406" s="2">
        <f>HYPERLINK("http://mcb-m6.bioreg.kyushu-u.ac.jp/M3/20110404/F50775/3231/1", 96.86)</f>
        <v>96.86</v>
      </c>
      <c r="E8406" s="2">
        <v>89.63</v>
      </c>
      <c r="F8406" s="2">
        <v>2</v>
      </c>
      <c r="G8406" s="2" t="s">
        <v>10</v>
      </c>
      <c r="I8406" s="2" t="s">
        <v>4906</v>
      </c>
    </row>
    <row r="8407" spans="1:9" x14ac:dyDescent="0.2">
      <c r="A8407" s="2" t="s">
        <v>3250</v>
      </c>
      <c r="B8407" s="2" t="s">
        <v>1765</v>
      </c>
      <c r="C8407" s="2">
        <v>761.73469999999998</v>
      </c>
      <c r="D8407" s="2">
        <f>HYPERLINK("http://mcb-m6.bioreg.kyushu-u.ac.jp/M3/20110404/F50772/2007/1", 98.27)</f>
        <v>98.27</v>
      </c>
      <c r="E8407" s="2">
        <v>75.27</v>
      </c>
      <c r="F8407" s="2">
        <v>2</v>
      </c>
      <c r="G8407" s="2" t="s">
        <v>10</v>
      </c>
    </row>
    <row r="8408" spans="1:9" x14ac:dyDescent="0.2">
      <c r="A8408" s="2" t="s">
        <v>3250</v>
      </c>
      <c r="B8408" s="2" t="s">
        <v>356</v>
      </c>
      <c r="C8408" s="2">
        <v>815.96619999999996</v>
      </c>
      <c r="D8408" s="2">
        <f>HYPERLINK("http://mcb-m6.bioreg.kyushu-u.ac.jp/M3/20110404/F50773/2127/1", 98.57)</f>
        <v>98.57</v>
      </c>
      <c r="E8408" s="2">
        <v>78.87</v>
      </c>
      <c r="F8408" s="2">
        <v>2</v>
      </c>
      <c r="G8408" s="2" t="s">
        <v>10</v>
      </c>
    </row>
    <row r="8409" spans="1:9" x14ac:dyDescent="0.2">
      <c r="A8409" s="2" t="s">
        <v>3250</v>
      </c>
      <c r="B8409" s="2" t="s">
        <v>1255</v>
      </c>
      <c r="C8409" s="2">
        <v>1273.816</v>
      </c>
      <c r="D8409" s="2">
        <f>HYPERLINK("http://mcb-m6.bioreg.kyushu-u.ac.jp/M3/20110404/F50774/3114/1", 98.59)</f>
        <v>98.59</v>
      </c>
      <c r="E8409" s="2">
        <v>87.81</v>
      </c>
      <c r="F8409" s="2">
        <v>2</v>
      </c>
      <c r="G8409" s="2" t="s">
        <v>10</v>
      </c>
      <c r="I8409" s="2" t="s">
        <v>4906</v>
      </c>
    </row>
    <row r="8410" spans="1:9" x14ac:dyDescent="0.2">
      <c r="A8410" s="2" t="s">
        <v>3250</v>
      </c>
      <c r="B8410" s="2" t="s">
        <v>467</v>
      </c>
      <c r="C8410" s="2">
        <v>691.68219999999997</v>
      </c>
      <c r="D8410" s="2">
        <f>HYPERLINK("http://mcb-m6.bioreg.kyushu-u.ac.jp/M3/20110404/F50770/1739/1", 98.69)</f>
        <v>98.69</v>
      </c>
      <c r="E8410" s="2">
        <v>67.06</v>
      </c>
      <c r="F8410" s="2">
        <v>2</v>
      </c>
      <c r="G8410" s="2" t="s">
        <v>10</v>
      </c>
    </row>
    <row r="8411" spans="1:9" x14ac:dyDescent="0.2">
      <c r="A8411" s="2" t="s">
        <v>3250</v>
      </c>
      <c r="B8411" s="2" t="s">
        <v>1765</v>
      </c>
      <c r="C8411" s="2">
        <v>761.8442</v>
      </c>
      <c r="D8411" s="2">
        <f>HYPERLINK("http://mcb-m6.bioreg.kyushu-u.ac.jp/M3/20110404/F50771/1974/1", 98.88)</f>
        <v>98.88</v>
      </c>
      <c r="E8411" s="2">
        <v>78.239999999999995</v>
      </c>
      <c r="F8411" s="2">
        <v>2</v>
      </c>
      <c r="G8411" s="2" t="s">
        <v>10</v>
      </c>
    </row>
    <row r="8412" spans="1:9" x14ac:dyDescent="0.2">
      <c r="A8412" s="2" t="s">
        <v>3250</v>
      </c>
      <c r="B8412" s="2" t="s">
        <v>467</v>
      </c>
      <c r="C8412" s="2">
        <v>691.70569999999998</v>
      </c>
      <c r="D8412" s="2">
        <f>HYPERLINK("http://mcb-m6.bioreg.kyushu-u.ac.jp/M3/20110404/F50781/1648/1", 100.73)</f>
        <v>100.73</v>
      </c>
      <c r="E8412" s="2">
        <v>68.94</v>
      </c>
      <c r="F8412" s="2">
        <v>2</v>
      </c>
      <c r="G8412" s="2" t="s">
        <v>10</v>
      </c>
    </row>
    <row r="8413" spans="1:9" x14ac:dyDescent="0.2">
      <c r="A8413" s="2" t="s">
        <v>3250</v>
      </c>
      <c r="B8413" s="2" t="s">
        <v>90</v>
      </c>
      <c r="C8413" s="2">
        <v>1432.5709999999999</v>
      </c>
      <c r="D8413" s="2">
        <f>HYPERLINK("http://mcb-m6.bioreg.kyushu-u.ac.jp/M3/20110404/F50774/1801/1", 100.99)</f>
        <v>100.99</v>
      </c>
      <c r="E8413" s="2">
        <v>81.89</v>
      </c>
      <c r="F8413" s="2">
        <v>1</v>
      </c>
      <c r="G8413" s="2" t="s">
        <v>10</v>
      </c>
    </row>
    <row r="8414" spans="1:9" x14ac:dyDescent="0.2">
      <c r="A8414" s="2" t="s">
        <v>3250</v>
      </c>
      <c r="B8414" s="2" t="s">
        <v>90</v>
      </c>
      <c r="C8414" s="2">
        <v>716.83720000000005</v>
      </c>
      <c r="D8414" s="2">
        <f>HYPERLINK("http://mcb-m6.bioreg.kyushu-u.ac.jp/M3/20110404/F50773/1749/1", 101.09)</f>
        <v>101.09</v>
      </c>
      <c r="E8414" s="2">
        <v>76.44</v>
      </c>
      <c r="F8414" s="2">
        <v>2</v>
      </c>
      <c r="G8414" s="2" t="s">
        <v>10</v>
      </c>
    </row>
    <row r="8415" spans="1:9" x14ac:dyDescent="0.2">
      <c r="A8415" s="2" t="s">
        <v>3250</v>
      </c>
      <c r="B8415" s="2" t="s">
        <v>356</v>
      </c>
      <c r="C8415" s="2">
        <v>816.23069999999996</v>
      </c>
      <c r="D8415" s="2">
        <f>HYPERLINK("http://mcb-m6.bioreg.kyushu-u.ac.jp/M3/20110404/F50782/2192/1", 101.64)</f>
        <v>101.64</v>
      </c>
      <c r="E8415" s="2">
        <v>85.43</v>
      </c>
      <c r="F8415" s="2">
        <v>2</v>
      </c>
      <c r="G8415" s="2" t="s">
        <v>10</v>
      </c>
    </row>
    <row r="8416" spans="1:9" x14ac:dyDescent="0.2">
      <c r="A8416" s="2" t="s">
        <v>3250</v>
      </c>
      <c r="B8416" s="2" t="s">
        <v>561</v>
      </c>
      <c r="C8416" s="2">
        <v>662.15009999999995</v>
      </c>
      <c r="D8416" s="2">
        <f>HYPERLINK("http://mcb-m6.bioreg.kyushu-u.ac.jp/M3/20110404/F50782/1386/1", 101.72)</f>
        <v>101.72</v>
      </c>
      <c r="E8416" s="2">
        <v>79.37</v>
      </c>
      <c r="F8416" s="2">
        <v>2</v>
      </c>
      <c r="G8416" s="2" t="s">
        <v>10</v>
      </c>
      <c r="H8416" s="2" t="s">
        <v>4919</v>
      </c>
    </row>
    <row r="8417" spans="1:9" x14ac:dyDescent="0.2">
      <c r="A8417" s="2" t="s">
        <v>3250</v>
      </c>
      <c r="B8417" s="2" t="s">
        <v>467</v>
      </c>
      <c r="C8417" s="2">
        <v>691.80520000000001</v>
      </c>
      <c r="D8417" s="2">
        <f>HYPERLINK("http://mcb-m6.bioreg.kyushu-u.ac.jp/M3/20110404/F50773/1626/1", 101.81)</f>
        <v>101.81</v>
      </c>
      <c r="E8417" s="2">
        <v>68.739999999999995</v>
      </c>
      <c r="F8417" s="2">
        <v>2</v>
      </c>
      <c r="G8417" s="2" t="s">
        <v>10</v>
      </c>
    </row>
    <row r="8418" spans="1:9" x14ac:dyDescent="0.2">
      <c r="A8418" s="2" t="s">
        <v>3250</v>
      </c>
      <c r="B8418" s="2" t="s">
        <v>356</v>
      </c>
      <c r="C8418" s="2">
        <v>1630.797</v>
      </c>
      <c r="D8418" s="2">
        <f>HYPERLINK("http://mcb-m6.bioreg.kyushu-u.ac.jp/M3/20110404/F50773/2126/1", 102.25)</f>
        <v>102.25</v>
      </c>
      <c r="E8418" s="2">
        <v>76.14</v>
      </c>
      <c r="F8418" s="2">
        <v>1</v>
      </c>
      <c r="G8418" s="2" t="s">
        <v>10</v>
      </c>
    </row>
    <row r="8419" spans="1:9" x14ac:dyDescent="0.2">
      <c r="A8419" s="2" t="s">
        <v>3250</v>
      </c>
      <c r="B8419" s="2" t="s">
        <v>356</v>
      </c>
      <c r="C8419" s="2">
        <v>1630.914</v>
      </c>
      <c r="D8419" s="2">
        <f>HYPERLINK("http://mcb-m6.bioreg.kyushu-u.ac.jp/M3/20110404/F50782/2189/1", 102.9)</f>
        <v>102.9</v>
      </c>
      <c r="E8419" s="2">
        <v>77.58</v>
      </c>
      <c r="F8419" s="2">
        <v>1</v>
      </c>
      <c r="G8419" s="2" t="s">
        <v>10</v>
      </c>
    </row>
    <row r="8420" spans="1:9" x14ac:dyDescent="0.2">
      <c r="A8420" s="2" t="s">
        <v>3250</v>
      </c>
      <c r="B8420" s="2" t="s">
        <v>467</v>
      </c>
      <c r="C8420" s="2">
        <v>691.74469999999997</v>
      </c>
      <c r="D8420" s="2">
        <f>HYPERLINK("http://mcb-m6.bioreg.kyushu-u.ac.jp/M3/20110404/F50774/1682/1", 103.2)</f>
        <v>103.2</v>
      </c>
      <c r="E8420" s="2">
        <v>73.56</v>
      </c>
      <c r="F8420" s="2">
        <v>2</v>
      </c>
      <c r="G8420" s="2" t="s">
        <v>10</v>
      </c>
    </row>
    <row r="8421" spans="1:9" x14ac:dyDescent="0.2">
      <c r="A8421" s="2" t="s">
        <v>3250</v>
      </c>
      <c r="B8421" s="2" t="s">
        <v>1665</v>
      </c>
      <c r="C8421" s="2">
        <v>1147.4459999999999</v>
      </c>
      <c r="D8421" s="2">
        <f>HYPERLINK("http://mcb-m6.bioreg.kyushu-u.ac.jp/M3/20110404/F50758/3052/1", 105.7)</f>
        <v>105.7</v>
      </c>
      <c r="E8421" s="2">
        <v>90.26</v>
      </c>
      <c r="F8421" s="2">
        <v>2</v>
      </c>
      <c r="G8421" s="2" t="s">
        <v>10</v>
      </c>
    </row>
    <row r="8422" spans="1:9" x14ac:dyDescent="0.2">
      <c r="A8422" s="2" t="s">
        <v>3250</v>
      </c>
      <c r="B8422" s="2" t="s">
        <v>90</v>
      </c>
      <c r="C8422" s="2">
        <v>716.76210000000003</v>
      </c>
      <c r="D8422" s="2">
        <f>HYPERLINK("http://mcb-m6.bioreg.kyushu-u.ac.jp/M3/20110404/F50775/1863/1", 106.46)</f>
        <v>106.46</v>
      </c>
      <c r="E8422" s="2">
        <v>81.62</v>
      </c>
      <c r="F8422" s="2">
        <v>2</v>
      </c>
      <c r="G8422" s="2" t="s">
        <v>10</v>
      </c>
    </row>
    <row r="8423" spans="1:9" x14ac:dyDescent="0.2">
      <c r="A8423" s="2" t="s">
        <v>3250</v>
      </c>
      <c r="B8423" s="2" t="s">
        <v>356</v>
      </c>
      <c r="C8423" s="2">
        <v>816.08870000000002</v>
      </c>
      <c r="D8423" s="2">
        <f>HYPERLINK("http://mcb-m6.bioreg.kyushu-u.ac.jp/M3/20110404/F50758/2193/1", 106.76)</f>
        <v>106.76</v>
      </c>
      <c r="E8423" s="2">
        <v>89.37</v>
      </c>
      <c r="F8423" s="2">
        <v>2</v>
      </c>
      <c r="G8423" s="2" t="s">
        <v>10</v>
      </c>
    </row>
    <row r="8424" spans="1:9" x14ac:dyDescent="0.2">
      <c r="A8424" s="2" t="s">
        <v>3250</v>
      </c>
      <c r="B8424" s="2" t="s">
        <v>90</v>
      </c>
      <c r="C8424" s="2">
        <v>716.8442</v>
      </c>
      <c r="D8424" s="2">
        <f>HYPERLINK("http://mcb-m6.bioreg.kyushu-u.ac.jp/M3/20110404/F50781/1739/1", 107.56)</f>
        <v>107.56</v>
      </c>
      <c r="E8424" s="2">
        <v>84.67</v>
      </c>
      <c r="F8424" s="2">
        <v>2</v>
      </c>
      <c r="G8424" s="2" t="s">
        <v>10</v>
      </c>
    </row>
    <row r="8425" spans="1:9" x14ac:dyDescent="0.2">
      <c r="A8425" s="2" t="s">
        <v>3250</v>
      </c>
      <c r="B8425" s="2" t="s">
        <v>1255</v>
      </c>
      <c r="C8425" s="2">
        <v>1273.7190000000001</v>
      </c>
      <c r="D8425" s="2">
        <f>HYPERLINK("http://mcb-m6.bioreg.kyushu-u.ac.jp/M3/20110404/F50773/3297/1", 108.04)</f>
        <v>108.04</v>
      </c>
      <c r="E8425" s="2">
        <v>100.4</v>
      </c>
      <c r="F8425" s="2">
        <v>2</v>
      </c>
      <c r="G8425" s="2" t="s">
        <v>10</v>
      </c>
      <c r="I8425" s="2" t="s">
        <v>4906</v>
      </c>
    </row>
    <row r="8426" spans="1:9" x14ac:dyDescent="0.2">
      <c r="A8426" s="2" t="s">
        <v>3250</v>
      </c>
      <c r="B8426" s="2" t="s">
        <v>356</v>
      </c>
      <c r="C8426" s="2">
        <v>816.16060000000004</v>
      </c>
      <c r="D8426" s="2">
        <f>HYPERLINK("http://mcb-m6.bioreg.kyushu-u.ac.jp/M3/20110404/F50769/2187/1", 109.2)</f>
        <v>109.2</v>
      </c>
      <c r="E8426" s="2">
        <v>91.42</v>
      </c>
      <c r="F8426" s="2">
        <v>2</v>
      </c>
      <c r="G8426" s="2" t="s">
        <v>10</v>
      </c>
    </row>
    <row r="8427" spans="1:9" x14ac:dyDescent="0.2">
      <c r="A8427" s="2" t="s">
        <v>3250</v>
      </c>
      <c r="B8427" s="2" t="s">
        <v>467</v>
      </c>
      <c r="C8427" s="2">
        <v>691.65369999999996</v>
      </c>
      <c r="D8427" s="2">
        <f>HYPERLINK("http://mcb-m6.bioreg.kyushu-u.ac.jp/M3/20110404/F50775/1728/1", 109.7)</f>
        <v>109.7</v>
      </c>
      <c r="E8427" s="2">
        <v>75.67</v>
      </c>
      <c r="F8427" s="2">
        <v>2</v>
      </c>
      <c r="G8427" s="2" t="s">
        <v>10</v>
      </c>
    </row>
    <row r="8428" spans="1:9" x14ac:dyDescent="0.2">
      <c r="A8428" s="2" t="s">
        <v>3250</v>
      </c>
      <c r="B8428" s="2" t="s">
        <v>356</v>
      </c>
      <c r="C8428" s="2">
        <v>815.79819999999995</v>
      </c>
      <c r="D8428" s="2">
        <f>HYPERLINK("http://mcb-m6.bioreg.kyushu-u.ac.jp/M3/20110404/F50761/2144/1", 110.65)</f>
        <v>110.65</v>
      </c>
      <c r="E8428" s="2">
        <v>89.44</v>
      </c>
      <c r="F8428" s="2">
        <v>2</v>
      </c>
      <c r="G8428" s="2" t="s">
        <v>10</v>
      </c>
    </row>
    <row r="8429" spans="1:9" x14ac:dyDescent="0.2">
      <c r="A8429" s="2" t="s">
        <v>3250</v>
      </c>
      <c r="B8429" s="2" t="s">
        <v>90</v>
      </c>
      <c r="C8429" s="2">
        <v>717.15060000000005</v>
      </c>
      <c r="D8429" s="2">
        <f>HYPERLINK("http://mcb-m6.bioreg.kyushu-u.ac.jp/M3/20110404/F50761/1754/1", 111.32)</f>
        <v>111.32</v>
      </c>
      <c r="E8429" s="2">
        <v>88.7</v>
      </c>
      <c r="F8429" s="2">
        <v>2</v>
      </c>
      <c r="G8429" s="2" t="s">
        <v>10</v>
      </c>
    </row>
    <row r="8430" spans="1:9" x14ac:dyDescent="0.2">
      <c r="A8430" s="2" t="s">
        <v>3250</v>
      </c>
      <c r="B8430" s="2" t="s">
        <v>90</v>
      </c>
      <c r="C8430" s="2">
        <v>716.92359999999996</v>
      </c>
      <c r="D8430" s="2">
        <f>HYPERLINK("http://mcb-m6.bioreg.kyushu-u.ac.jp/M3/20110404/F50772/1820/1", 111.43)</f>
        <v>111.43</v>
      </c>
      <c r="E8430" s="2">
        <v>86.42</v>
      </c>
      <c r="F8430" s="2">
        <v>2</v>
      </c>
      <c r="G8430" s="2" t="s">
        <v>10</v>
      </c>
    </row>
    <row r="8431" spans="1:9" x14ac:dyDescent="0.2">
      <c r="A8431" s="2" t="s">
        <v>3250</v>
      </c>
      <c r="B8431" s="2" t="s">
        <v>356</v>
      </c>
      <c r="C8431" s="2">
        <v>816.04319999999996</v>
      </c>
      <c r="D8431" s="2">
        <f>HYPERLINK("http://mcb-m6.bioreg.kyushu-u.ac.jp/M3/20110404/F50770/2187/1", 112.13)</f>
        <v>112.13</v>
      </c>
      <c r="E8431" s="2">
        <v>94.8</v>
      </c>
      <c r="F8431" s="2">
        <v>2</v>
      </c>
      <c r="G8431" s="2" t="s">
        <v>10</v>
      </c>
    </row>
    <row r="8432" spans="1:9" x14ac:dyDescent="0.2">
      <c r="A8432" s="2" t="s">
        <v>3250</v>
      </c>
      <c r="B8432" s="2" t="s">
        <v>1665</v>
      </c>
      <c r="C8432" s="2">
        <v>1146.7829999999999</v>
      </c>
      <c r="D8432" s="2">
        <f>HYPERLINK("http://mcb-m6.bioreg.kyushu-u.ac.jp/M3/20110404/F50782/3407/1", 112.26)</f>
        <v>112.26</v>
      </c>
      <c r="E8432" s="2">
        <v>96.54</v>
      </c>
      <c r="F8432" s="2">
        <v>2</v>
      </c>
      <c r="G8432" s="2" t="s">
        <v>10</v>
      </c>
    </row>
    <row r="8433" spans="1:9" x14ac:dyDescent="0.2">
      <c r="A8433" s="2" t="s">
        <v>3250</v>
      </c>
      <c r="B8433" s="2" t="s">
        <v>467</v>
      </c>
      <c r="C8433" s="2">
        <v>691.68960000000004</v>
      </c>
      <c r="D8433" s="2">
        <f>HYPERLINK("http://mcb-m6.bioreg.kyushu-u.ac.jp/M3/20110404/F50769/1813/1", 113.04)</f>
        <v>113.04</v>
      </c>
      <c r="E8433" s="2">
        <v>79.08</v>
      </c>
      <c r="F8433" s="2">
        <v>2</v>
      </c>
      <c r="G8433" s="2" t="s">
        <v>10</v>
      </c>
    </row>
    <row r="8434" spans="1:9" x14ac:dyDescent="0.2">
      <c r="A8434" s="2" t="s">
        <v>3250</v>
      </c>
      <c r="B8434" s="2" t="s">
        <v>6017</v>
      </c>
      <c r="C8434" s="2">
        <v>1195.8219999999999</v>
      </c>
      <c r="D8434" s="2">
        <f>HYPERLINK("http://mcb-m6.bioreg.kyushu-u.ac.jp/M3/20110404/F50782/3550/1", 113.94)</f>
        <v>113.94</v>
      </c>
      <c r="E8434" s="2">
        <v>104.78</v>
      </c>
      <c r="F8434" s="2">
        <v>2</v>
      </c>
      <c r="G8434" s="2" t="s">
        <v>10</v>
      </c>
      <c r="I8434" s="2" t="s">
        <v>4895</v>
      </c>
    </row>
    <row r="8435" spans="1:9" x14ac:dyDescent="0.2">
      <c r="A8435" s="2" t="s">
        <v>3250</v>
      </c>
      <c r="B8435" s="2" t="s">
        <v>90</v>
      </c>
      <c r="C8435" s="2">
        <v>717.27470000000005</v>
      </c>
      <c r="D8435" s="2">
        <f>HYPERLINK("http://mcb-m6.bioreg.kyushu-u.ac.jp/M3/20110404/F50768/1817/1", 117.66)</f>
        <v>117.66</v>
      </c>
      <c r="E8435" s="2">
        <v>93</v>
      </c>
      <c r="F8435" s="2">
        <v>2</v>
      </c>
      <c r="G8435" s="2" t="s">
        <v>10</v>
      </c>
    </row>
    <row r="8436" spans="1:9" x14ac:dyDescent="0.2">
      <c r="A8436" s="2" t="s">
        <v>3250</v>
      </c>
      <c r="B8436" s="2" t="s">
        <v>1665</v>
      </c>
      <c r="C8436" s="2">
        <v>1146.8389999999999</v>
      </c>
      <c r="D8436" s="2">
        <f>HYPERLINK("http://mcb-m6.bioreg.kyushu-u.ac.jp/M3/20110404/F50782/3408/1", 119.29)</f>
        <v>119.29</v>
      </c>
      <c r="E8436" s="2">
        <v>103.13</v>
      </c>
      <c r="F8436" s="2">
        <v>2</v>
      </c>
      <c r="G8436" s="2" t="s">
        <v>10</v>
      </c>
    </row>
    <row r="8437" spans="1:9" x14ac:dyDescent="0.2">
      <c r="A8437" s="2" t="s">
        <v>3250</v>
      </c>
      <c r="B8437" s="2" t="s">
        <v>90</v>
      </c>
      <c r="C8437" s="2">
        <v>717.28970000000004</v>
      </c>
      <c r="D8437" s="2">
        <f>HYPERLINK("http://mcb-m6.bioreg.kyushu-u.ac.jp/M3/20110404/F50782/1672/1", 122.4)</f>
        <v>122.4</v>
      </c>
      <c r="E8437" s="2">
        <v>91.48</v>
      </c>
      <c r="F8437" s="2">
        <v>2</v>
      </c>
      <c r="G8437" s="2" t="s">
        <v>10</v>
      </c>
    </row>
    <row r="8438" spans="1:9" x14ac:dyDescent="0.2">
      <c r="A8438" s="2" t="s">
        <v>3250</v>
      </c>
      <c r="B8438" s="2" t="s">
        <v>1665</v>
      </c>
      <c r="C8438" s="2">
        <v>1147.098</v>
      </c>
      <c r="D8438" s="2">
        <f>HYPERLINK("http://mcb-m6.bioreg.kyushu-u.ac.jp/M3/20110404/F50782/3411/1", 138.32)</f>
        <v>138.32</v>
      </c>
      <c r="E8438" s="2">
        <v>117.68</v>
      </c>
      <c r="F8438" s="2">
        <v>2</v>
      </c>
      <c r="G8438" s="2" t="s">
        <v>10</v>
      </c>
    </row>
    <row r="8439" spans="1:9" x14ac:dyDescent="0.2">
      <c r="A8439" s="2" t="s">
        <v>3250</v>
      </c>
      <c r="B8439" s="2" t="s">
        <v>1665</v>
      </c>
      <c r="C8439" s="2">
        <v>1147.306</v>
      </c>
      <c r="D8439" s="2">
        <f>HYPERLINK("http://mcb-m6.bioreg.kyushu-u.ac.jp/M3/20110404/F50782/3412/1", 151.42)</f>
        <v>151.41999999999999</v>
      </c>
      <c r="E8439" s="2">
        <v>140</v>
      </c>
      <c r="F8439" s="2">
        <v>2</v>
      </c>
      <c r="G8439" s="2" t="s">
        <v>10</v>
      </c>
    </row>
    <row r="8440" spans="1:9" x14ac:dyDescent="0.2">
      <c r="A8440" s="2" t="s">
        <v>3250</v>
      </c>
      <c r="B8440" s="2" t="s">
        <v>467</v>
      </c>
      <c r="C8440" s="2">
        <v>691.65620000000001</v>
      </c>
      <c r="D8440" s="2">
        <f>HYPERLINK("http://mcb-m6.bioreg.kyushu-u.ac.jp/M3/20110421/F51035/1677/1", 35.6)</f>
        <v>35.6</v>
      </c>
      <c r="E8440" s="2">
        <v>11.58</v>
      </c>
      <c r="F8440" s="2">
        <v>2</v>
      </c>
      <c r="G8440" s="2" t="s">
        <v>11</v>
      </c>
    </row>
    <row r="8441" spans="1:9" x14ac:dyDescent="0.2">
      <c r="A8441" s="2" t="s">
        <v>3250</v>
      </c>
      <c r="B8441" s="2" t="s">
        <v>365</v>
      </c>
      <c r="C8441" s="2">
        <v>848.89509999999996</v>
      </c>
      <c r="D8441" s="2">
        <f>HYPERLINK("http://mcb-m6.bioreg.kyushu-u.ac.jp/M3/20110421/F51058/2331/1", 35.81)</f>
        <v>35.81</v>
      </c>
      <c r="E8441" s="2">
        <v>24.51</v>
      </c>
      <c r="F8441" s="2">
        <v>2</v>
      </c>
      <c r="G8441" s="2" t="s">
        <v>11</v>
      </c>
    </row>
    <row r="8442" spans="1:9" x14ac:dyDescent="0.2">
      <c r="A8442" s="2" t="s">
        <v>3250</v>
      </c>
      <c r="B8442" s="2" t="s">
        <v>365</v>
      </c>
      <c r="C8442" s="2">
        <v>848.64170000000001</v>
      </c>
      <c r="D8442" s="2">
        <f>HYPERLINK("http://mcb-m6.bioreg.kyushu-u.ac.jp/M3/20110421/F51042/2577/1", 36.02)</f>
        <v>36.020000000000003</v>
      </c>
      <c r="E8442" s="2">
        <v>20.45</v>
      </c>
      <c r="F8442" s="2">
        <v>2</v>
      </c>
      <c r="G8442" s="2" t="s">
        <v>11</v>
      </c>
    </row>
    <row r="8443" spans="1:9" x14ac:dyDescent="0.2">
      <c r="A8443" s="2" t="s">
        <v>3250</v>
      </c>
      <c r="B8443" s="2" t="s">
        <v>365</v>
      </c>
      <c r="C8443" s="2">
        <v>848.77620000000002</v>
      </c>
      <c r="D8443" s="2">
        <f>HYPERLINK("http://mcb-m6.bioreg.kyushu-u.ac.jp/M3/20110421/F51037/2685/1", 36.09)</f>
        <v>36.090000000000003</v>
      </c>
      <c r="E8443" s="2">
        <v>21.45</v>
      </c>
      <c r="F8443" s="2">
        <v>2</v>
      </c>
      <c r="G8443" s="2" t="s">
        <v>11</v>
      </c>
    </row>
    <row r="8444" spans="1:9" x14ac:dyDescent="0.2">
      <c r="A8444" s="2" t="s">
        <v>3250</v>
      </c>
      <c r="B8444" s="2" t="s">
        <v>102</v>
      </c>
      <c r="C8444" s="2">
        <v>616.67769999999996</v>
      </c>
      <c r="D8444" s="2">
        <f>HYPERLINK("http://mcb-m6.bioreg.kyushu-u.ac.jp/M3/20110421/F51042/1201/1", 36.35)</f>
        <v>36.35</v>
      </c>
      <c r="E8444" s="2">
        <v>20.63</v>
      </c>
      <c r="F8444" s="2">
        <v>2</v>
      </c>
      <c r="G8444" s="2" t="s">
        <v>11</v>
      </c>
      <c r="H8444" s="2" t="s">
        <v>4900</v>
      </c>
    </row>
    <row r="8445" spans="1:9" x14ac:dyDescent="0.2">
      <c r="A8445" s="2" t="s">
        <v>3250</v>
      </c>
      <c r="B8445" s="2" t="s">
        <v>77</v>
      </c>
      <c r="C8445" s="2">
        <v>1148.548</v>
      </c>
      <c r="D8445" s="2">
        <f>HYPERLINK("http://mcb-m6.bioreg.kyushu-u.ac.jp/M3/20110421/F51035/1096/1", 36.41)</f>
        <v>36.409999999999997</v>
      </c>
      <c r="E8445" s="2">
        <v>22.11</v>
      </c>
      <c r="F8445" s="2">
        <v>1</v>
      </c>
      <c r="G8445" s="2" t="s">
        <v>11</v>
      </c>
    </row>
    <row r="8446" spans="1:9" x14ac:dyDescent="0.2">
      <c r="A8446" s="2" t="s">
        <v>3250</v>
      </c>
      <c r="B8446" s="2" t="s">
        <v>142</v>
      </c>
      <c r="C8446" s="2">
        <v>847.44899999999996</v>
      </c>
      <c r="D8446" s="2">
        <f>HYPERLINK("http://mcb-m6.bioreg.kyushu-u.ac.jp/M3/20110421/F51042/435/1", 36.62)</f>
        <v>36.619999999999997</v>
      </c>
      <c r="E8446" s="2">
        <v>13.01</v>
      </c>
      <c r="F8446" s="2">
        <v>1</v>
      </c>
      <c r="G8446" s="2" t="s">
        <v>11</v>
      </c>
    </row>
    <row r="8447" spans="1:9" x14ac:dyDescent="0.2">
      <c r="A8447" s="2" t="s">
        <v>3250</v>
      </c>
      <c r="B8447" s="2" t="s">
        <v>772</v>
      </c>
      <c r="C8447" s="2">
        <v>595.73770000000002</v>
      </c>
      <c r="D8447" s="2">
        <f>HYPERLINK("http://mcb-m6.bioreg.kyushu-u.ac.jp/M3/20110421/F51035/1224/1", 36.64)</f>
        <v>36.64</v>
      </c>
      <c r="E8447" s="2">
        <v>19.78</v>
      </c>
      <c r="F8447" s="2">
        <v>2</v>
      </c>
      <c r="G8447" s="2" t="s">
        <v>11</v>
      </c>
    </row>
    <row r="8448" spans="1:9" x14ac:dyDescent="0.2">
      <c r="A8448" s="2" t="s">
        <v>3250</v>
      </c>
      <c r="B8448" s="2" t="s">
        <v>365</v>
      </c>
      <c r="C8448" s="2">
        <v>848.71810000000005</v>
      </c>
      <c r="D8448" s="2">
        <f>HYPERLINK("http://mcb-m6.bioreg.kyushu-u.ac.jp/M3/20110421/F51020/2495/1", 36.72)</f>
        <v>36.72</v>
      </c>
      <c r="E8448" s="2">
        <v>15.93</v>
      </c>
      <c r="F8448" s="2">
        <v>2</v>
      </c>
      <c r="G8448" s="2" t="s">
        <v>11</v>
      </c>
    </row>
    <row r="8449" spans="1:9" x14ac:dyDescent="0.2">
      <c r="A8449" s="2" t="s">
        <v>3250</v>
      </c>
      <c r="B8449" s="2" t="s">
        <v>1065</v>
      </c>
      <c r="C8449" s="2">
        <v>716.73419999999999</v>
      </c>
      <c r="D8449" s="2">
        <f>HYPERLINK("http://mcb-m6.bioreg.kyushu-u.ac.jp/M3/20110421/F51042/1759/1", 37.34)</f>
        <v>37.340000000000003</v>
      </c>
      <c r="E8449" s="2">
        <v>25.56</v>
      </c>
      <c r="F8449" s="2">
        <v>2</v>
      </c>
      <c r="G8449" s="2" t="s">
        <v>11</v>
      </c>
      <c r="I8449" s="2" t="s">
        <v>4892</v>
      </c>
    </row>
    <row r="8450" spans="1:9" x14ac:dyDescent="0.2">
      <c r="A8450" s="2" t="s">
        <v>3250</v>
      </c>
      <c r="B8450" s="2" t="s">
        <v>90</v>
      </c>
      <c r="C8450" s="2">
        <v>716.85170000000005</v>
      </c>
      <c r="D8450" s="2">
        <f>HYPERLINK("http://mcb-m6.bioreg.kyushu-u.ac.jp/M3/20110421/F51042/1767/1", 37.92)</f>
        <v>37.92</v>
      </c>
      <c r="E8450" s="2">
        <v>14.81</v>
      </c>
      <c r="F8450" s="2">
        <v>2</v>
      </c>
      <c r="G8450" s="2" t="s">
        <v>11</v>
      </c>
    </row>
    <row r="8451" spans="1:9" x14ac:dyDescent="0.2">
      <c r="A8451" s="2" t="s">
        <v>3250</v>
      </c>
      <c r="B8451" s="2" t="s">
        <v>561</v>
      </c>
      <c r="C8451" s="2">
        <v>662.40009999999995</v>
      </c>
      <c r="D8451" s="2">
        <f>HYPERLINK("http://mcb-m6.bioreg.kyushu-u.ac.jp/M3/20110421/F51042/1416/1", 38.04)</f>
        <v>38.04</v>
      </c>
      <c r="E8451" s="2">
        <v>22.68</v>
      </c>
      <c r="F8451" s="2">
        <v>2</v>
      </c>
      <c r="G8451" s="2" t="s">
        <v>11</v>
      </c>
      <c r="H8451" s="2" t="s">
        <v>4919</v>
      </c>
    </row>
    <row r="8452" spans="1:9" x14ac:dyDescent="0.2">
      <c r="A8452" s="2" t="s">
        <v>3250</v>
      </c>
      <c r="B8452" s="2" t="s">
        <v>311</v>
      </c>
      <c r="C8452" s="2">
        <v>606.87120000000004</v>
      </c>
      <c r="D8452" s="2">
        <f>HYPERLINK("http://mcb-m6.bioreg.kyushu-u.ac.jp/M3/20110421/F51034/1359/1", 38.37)</f>
        <v>38.369999999999997</v>
      </c>
      <c r="E8452" s="2">
        <v>23.99</v>
      </c>
      <c r="F8452" s="2">
        <v>2</v>
      </c>
      <c r="G8452" s="2" t="s">
        <v>11</v>
      </c>
      <c r="H8452" s="2" t="s">
        <v>4908</v>
      </c>
    </row>
    <row r="8453" spans="1:9" x14ac:dyDescent="0.2">
      <c r="A8453" s="2" t="s">
        <v>3250</v>
      </c>
      <c r="B8453" s="2" t="s">
        <v>90</v>
      </c>
      <c r="C8453" s="2">
        <v>717.22019999999998</v>
      </c>
      <c r="D8453" s="2">
        <f>HYPERLINK("http://mcb-m6.bioreg.kyushu-u.ac.jp/M3/20110421/F51018/1996/1", 38.46)</f>
        <v>38.46</v>
      </c>
      <c r="E8453" s="2">
        <v>24.96</v>
      </c>
      <c r="F8453" s="2">
        <v>2</v>
      </c>
      <c r="G8453" s="2" t="s">
        <v>11</v>
      </c>
    </row>
    <row r="8454" spans="1:9" x14ac:dyDescent="0.2">
      <c r="A8454" s="2" t="s">
        <v>3250</v>
      </c>
      <c r="B8454" s="2" t="s">
        <v>543</v>
      </c>
      <c r="C8454" s="2">
        <v>926.47519999999997</v>
      </c>
      <c r="D8454" s="2">
        <f>HYPERLINK("http://mcb-m6.bioreg.kyushu-u.ac.jp/M3/20110421/F51042/2978/1", 38.94)</f>
        <v>38.94</v>
      </c>
      <c r="E8454" s="2">
        <v>24.78</v>
      </c>
      <c r="F8454" s="2">
        <v>2</v>
      </c>
      <c r="G8454" s="2" t="s">
        <v>11</v>
      </c>
    </row>
    <row r="8455" spans="1:9" x14ac:dyDescent="0.2">
      <c r="A8455" s="2" t="s">
        <v>3250</v>
      </c>
      <c r="B8455" s="2" t="s">
        <v>311</v>
      </c>
      <c r="C8455" s="2">
        <v>1212.3979999999999</v>
      </c>
      <c r="D8455" s="2">
        <f>HYPERLINK("http://mcb-m6.bioreg.kyushu-u.ac.jp/M3/20110421/F51042/1140/1", 39.06)</f>
        <v>39.06</v>
      </c>
      <c r="E8455" s="2">
        <v>22.01</v>
      </c>
      <c r="F8455" s="2">
        <v>1</v>
      </c>
      <c r="G8455" s="2" t="s">
        <v>11</v>
      </c>
      <c r="H8455" s="2" t="s">
        <v>4908</v>
      </c>
    </row>
    <row r="8456" spans="1:9" x14ac:dyDescent="0.2">
      <c r="A8456" s="2" t="s">
        <v>3250</v>
      </c>
      <c r="B8456" s="2" t="s">
        <v>102</v>
      </c>
      <c r="C8456" s="2">
        <v>1231.357</v>
      </c>
      <c r="D8456" s="2">
        <f>HYPERLINK("http://mcb-m6.bioreg.kyushu-u.ac.jp/M3/20110421/F51042/1197/1", 39.22)</f>
        <v>39.22</v>
      </c>
      <c r="E8456" s="2">
        <v>18.47</v>
      </c>
      <c r="F8456" s="2">
        <v>1</v>
      </c>
      <c r="G8456" s="2" t="s">
        <v>11</v>
      </c>
      <c r="H8456" s="2" t="s">
        <v>4900</v>
      </c>
    </row>
    <row r="8457" spans="1:9" x14ac:dyDescent="0.2">
      <c r="A8457" s="2" t="s">
        <v>3250</v>
      </c>
      <c r="B8457" s="2" t="s">
        <v>311</v>
      </c>
      <c r="C8457" s="2">
        <v>1197.5840000000001</v>
      </c>
      <c r="D8457" s="2">
        <f>HYPERLINK("http://mcb-m6.bioreg.kyushu-u.ac.jp/M3/20110421/F51035/1244/1", 39.53)</f>
        <v>39.53</v>
      </c>
      <c r="E8457" s="2">
        <v>26.18</v>
      </c>
      <c r="F8457" s="2">
        <v>1</v>
      </c>
      <c r="G8457" s="2" t="s">
        <v>11</v>
      </c>
    </row>
    <row r="8458" spans="1:9" x14ac:dyDescent="0.2">
      <c r="A8458" s="2" t="s">
        <v>3250</v>
      </c>
      <c r="B8458" s="2" t="s">
        <v>102</v>
      </c>
      <c r="C8458" s="2">
        <v>608.19669999999996</v>
      </c>
      <c r="D8458" s="2">
        <f>HYPERLINK("http://mcb-m6.bioreg.kyushu-u.ac.jp/M3/20110421/F51042/1147/1", 42.24)</f>
        <v>42.24</v>
      </c>
      <c r="E8458" s="2">
        <v>25.92</v>
      </c>
      <c r="F8458" s="2">
        <v>2</v>
      </c>
      <c r="G8458" s="2" t="s">
        <v>11</v>
      </c>
    </row>
    <row r="8459" spans="1:9" x14ac:dyDescent="0.2">
      <c r="A8459" s="2" t="s">
        <v>3250</v>
      </c>
      <c r="B8459" s="2" t="s">
        <v>365</v>
      </c>
      <c r="C8459" s="2">
        <v>849.22810000000004</v>
      </c>
      <c r="D8459" s="2">
        <f>HYPERLINK("http://mcb-m6.bioreg.kyushu-u.ac.jp/M3/20110421/F51037/2690/1", 42.61)</f>
        <v>42.61</v>
      </c>
      <c r="E8459" s="2">
        <v>22.81</v>
      </c>
      <c r="F8459" s="2">
        <v>2</v>
      </c>
      <c r="G8459" s="2" t="s">
        <v>11</v>
      </c>
    </row>
    <row r="8460" spans="1:9" x14ac:dyDescent="0.2">
      <c r="A8460" s="2" t="s">
        <v>3250</v>
      </c>
      <c r="B8460" s="2" t="s">
        <v>467</v>
      </c>
      <c r="C8460" s="2">
        <v>691.86770000000001</v>
      </c>
      <c r="D8460" s="2">
        <f>HYPERLINK("http://mcb-m6.bioreg.kyushu-u.ac.jp/M3/20110421/F51017/1770/1", 42.84)</f>
        <v>42.84</v>
      </c>
      <c r="E8460" s="2">
        <v>24.98</v>
      </c>
      <c r="F8460" s="2">
        <v>2</v>
      </c>
      <c r="G8460" s="2" t="s">
        <v>11</v>
      </c>
    </row>
    <row r="8461" spans="1:9" x14ac:dyDescent="0.2">
      <c r="A8461" s="2" t="s">
        <v>3250</v>
      </c>
      <c r="B8461" s="2" t="s">
        <v>90</v>
      </c>
      <c r="C8461" s="2">
        <v>716.76819999999998</v>
      </c>
      <c r="D8461" s="2">
        <f>HYPERLINK("http://mcb-m6.bioreg.kyushu-u.ac.jp/M3/20110421/F51015/1973/1", 43.59)</f>
        <v>43.59</v>
      </c>
      <c r="E8461" s="2">
        <v>24.27</v>
      </c>
      <c r="F8461" s="2">
        <v>2</v>
      </c>
      <c r="G8461" s="2" t="s">
        <v>11</v>
      </c>
    </row>
    <row r="8462" spans="1:9" x14ac:dyDescent="0.2">
      <c r="A8462" s="2" t="s">
        <v>3250</v>
      </c>
      <c r="B8462" s="2" t="s">
        <v>365</v>
      </c>
      <c r="C8462" s="2">
        <v>849.25710000000004</v>
      </c>
      <c r="D8462" s="2">
        <f>HYPERLINK("http://mcb-m6.bioreg.kyushu-u.ac.jp/M3/20110421/F51039/2639/1", 43.93)</f>
        <v>43.93</v>
      </c>
      <c r="E8462" s="2">
        <v>29.42</v>
      </c>
      <c r="F8462" s="2">
        <v>2</v>
      </c>
      <c r="G8462" s="2" t="s">
        <v>11</v>
      </c>
    </row>
    <row r="8463" spans="1:9" x14ac:dyDescent="0.2">
      <c r="A8463" s="2" t="s">
        <v>3250</v>
      </c>
      <c r="B8463" s="2" t="s">
        <v>561</v>
      </c>
      <c r="C8463" s="2">
        <v>662.33320000000003</v>
      </c>
      <c r="D8463" s="2">
        <f>HYPERLINK("http://mcb-m6.bioreg.kyushu-u.ac.jp/M3/20110421/F51042/1414/1", 43.97)</f>
        <v>43.97</v>
      </c>
      <c r="E8463" s="2">
        <v>31.18</v>
      </c>
      <c r="F8463" s="2">
        <v>2</v>
      </c>
      <c r="G8463" s="2" t="s">
        <v>11</v>
      </c>
      <c r="H8463" s="2" t="s">
        <v>4919</v>
      </c>
    </row>
    <row r="8464" spans="1:9" x14ac:dyDescent="0.2">
      <c r="A8464" s="2" t="s">
        <v>3250</v>
      </c>
      <c r="B8464" s="2" t="s">
        <v>561</v>
      </c>
      <c r="C8464" s="2">
        <v>654.45119999999997</v>
      </c>
      <c r="D8464" s="2">
        <f>HYPERLINK("http://mcb-m6.bioreg.kyushu-u.ac.jp/M3/20110421/F51014/1754/1", 44.27)</f>
        <v>44.27</v>
      </c>
      <c r="E8464" s="2">
        <v>9.98</v>
      </c>
      <c r="F8464" s="2">
        <v>2</v>
      </c>
      <c r="G8464" s="2" t="s">
        <v>11</v>
      </c>
    </row>
    <row r="8465" spans="1:9" x14ac:dyDescent="0.2">
      <c r="A8465" s="2" t="s">
        <v>3250</v>
      </c>
      <c r="B8465" s="2" t="s">
        <v>365</v>
      </c>
      <c r="C8465" s="2">
        <v>849.35469999999998</v>
      </c>
      <c r="D8465" s="2">
        <f>HYPERLINK("http://mcb-m6.bioreg.kyushu-u.ac.jp/M3/20110421/F51035/2513/1", 44.62)</f>
        <v>44.62</v>
      </c>
      <c r="E8465" s="2">
        <v>30.31</v>
      </c>
      <c r="F8465" s="2">
        <v>2</v>
      </c>
      <c r="G8465" s="2" t="s">
        <v>11</v>
      </c>
    </row>
    <row r="8466" spans="1:9" x14ac:dyDescent="0.2">
      <c r="A8466" s="2" t="s">
        <v>3250</v>
      </c>
      <c r="B8466" s="2" t="s">
        <v>365</v>
      </c>
      <c r="C8466" s="2">
        <v>848.78970000000004</v>
      </c>
      <c r="D8466" s="2">
        <f>HYPERLINK("http://mcb-m6.bioreg.kyushu-u.ac.jp/M3/20110421/F51035/2503/1", 44.74)</f>
        <v>44.74</v>
      </c>
      <c r="E8466" s="2">
        <v>28.03</v>
      </c>
      <c r="F8466" s="2">
        <v>2</v>
      </c>
      <c r="G8466" s="2" t="s">
        <v>11</v>
      </c>
    </row>
    <row r="8467" spans="1:9" x14ac:dyDescent="0.2">
      <c r="A8467" s="2" t="s">
        <v>3250</v>
      </c>
      <c r="B8467" s="2" t="s">
        <v>365</v>
      </c>
      <c r="C8467" s="2">
        <v>849.29669999999999</v>
      </c>
      <c r="D8467" s="2">
        <f>HYPERLINK("http://mcb-m6.bioreg.kyushu-u.ac.jp/M3/20110421/F51042/2584/1", 45.49)</f>
        <v>45.49</v>
      </c>
      <c r="E8467" s="2">
        <v>31.16</v>
      </c>
      <c r="F8467" s="2">
        <v>2</v>
      </c>
      <c r="G8467" s="2" t="s">
        <v>11</v>
      </c>
    </row>
    <row r="8468" spans="1:9" x14ac:dyDescent="0.2">
      <c r="A8468" s="2" t="s">
        <v>3250</v>
      </c>
      <c r="B8468" s="2" t="s">
        <v>561</v>
      </c>
      <c r="C8468" s="2">
        <v>654.29219999999998</v>
      </c>
      <c r="D8468" s="2">
        <f>HYPERLINK("http://mcb-m6.bioreg.kyushu-u.ac.jp/M3/20110421/F51042/1367/1", 45.69)</f>
        <v>45.69</v>
      </c>
      <c r="E8468" s="2">
        <v>23.97</v>
      </c>
      <c r="F8468" s="2">
        <v>2</v>
      </c>
      <c r="G8468" s="2" t="s">
        <v>11</v>
      </c>
    </row>
    <row r="8469" spans="1:9" x14ac:dyDescent="0.2">
      <c r="A8469" s="2" t="s">
        <v>3250</v>
      </c>
      <c r="B8469" s="2" t="s">
        <v>503</v>
      </c>
      <c r="C8469" s="2">
        <v>544.87249999999995</v>
      </c>
      <c r="D8469" s="2">
        <f>HYPERLINK("http://mcb-m6.bioreg.kyushu-u.ac.jp/M3/20110421/F51042/2388/1", 45.78)</f>
        <v>45.78</v>
      </c>
      <c r="E8469" s="2">
        <v>26.15</v>
      </c>
      <c r="F8469" s="2">
        <v>3</v>
      </c>
      <c r="G8469" s="2" t="s">
        <v>11</v>
      </c>
      <c r="H8469" s="2" t="s">
        <v>4907</v>
      </c>
    </row>
    <row r="8470" spans="1:9" x14ac:dyDescent="0.2">
      <c r="A8470" s="2" t="s">
        <v>3250</v>
      </c>
      <c r="B8470" s="2" t="s">
        <v>772</v>
      </c>
      <c r="C8470" s="2">
        <v>596.21469999999999</v>
      </c>
      <c r="D8470" s="2">
        <f>HYPERLINK("http://mcb-m6.bioreg.kyushu-u.ac.jp/M3/20110421/F51042/1092/1", 45.96)</f>
        <v>45.96</v>
      </c>
      <c r="E8470" s="2">
        <v>14.58</v>
      </c>
      <c r="F8470" s="2">
        <v>2</v>
      </c>
      <c r="G8470" s="2" t="s">
        <v>11</v>
      </c>
    </row>
    <row r="8471" spans="1:9" x14ac:dyDescent="0.2">
      <c r="A8471" s="2" t="s">
        <v>3250</v>
      </c>
      <c r="B8471" s="2" t="s">
        <v>365</v>
      </c>
      <c r="C8471" s="2">
        <v>848.74519999999995</v>
      </c>
      <c r="D8471" s="2">
        <f>HYPERLINK("http://mcb-m6.bioreg.kyushu-u.ac.jp/M3/20110421/F51042/2578/1", 46.6)</f>
        <v>46.6</v>
      </c>
      <c r="E8471" s="2">
        <v>36.11</v>
      </c>
      <c r="F8471" s="2">
        <v>2</v>
      </c>
      <c r="G8471" s="2" t="s">
        <v>11</v>
      </c>
    </row>
    <row r="8472" spans="1:9" x14ac:dyDescent="0.2">
      <c r="A8472" s="2" t="s">
        <v>3250</v>
      </c>
      <c r="B8472" s="2" t="s">
        <v>311</v>
      </c>
      <c r="C8472" s="2">
        <v>606.79859999999996</v>
      </c>
      <c r="D8472" s="2">
        <f>HYPERLINK("http://mcb-m6.bioreg.kyushu-u.ac.jp/M3/20110421/F51039/1420/1", 46.98)</f>
        <v>46.98</v>
      </c>
      <c r="E8472" s="2">
        <v>30.92</v>
      </c>
      <c r="F8472" s="2">
        <v>2</v>
      </c>
      <c r="G8472" s="2" t="s">
        <v>11</v>
      </c>
      <c r="H8472" s="2" t="s">
        <v>4908</v>
      </c>
    </row>
    <row r="8473" spans="1:9" x14ac:dyDescent="0.2">
      <c r="A8473" s="2" t="s">
        <v>3250</v>
      </c>
      <c r="B8473" s="2" t="s">
        <v>467</v>
      </c>
      <c r="C8473" s="2">
        <v>1382.481</v>
      </c>
      <c r="D8473" s="2">
        <f>HYPERLINK("http://mcb-m6.bioreg.kyushu-u.ac.jp/M3/20110421/F51020/1793/1", 47.34)</f>
        <v>47.34</v>
      </c>
      <c r="E8473" s="2">
        <v>32.78</v>
      </c>
      <c r="F8473" s="2">
        <v>1</v>
      </c>
      <c r="G8473" s="2" t="s">
        <v>11</v>
      </c>
    </row>
    <row r="8474" spans="1:9" x14ac:dyDescent="0.2">
      <c r="A8474" s="2" t="s">
        <v>3250</v>
      </c>
      <c r="B8474" s="2" t="s">
        <v>311</v>
      </c>
      <c r="C8474" s="2">
        <v>606.78809999999999</v>
      </c>
      <c r="D8474" s="2">
        <f>HYPERLINK("http://mcb-m6.bioreg.kyushu-u.ac.jp/M3/20110421/F51019/1544/1", 47.5)</f>
        <v>47.5</v>
      </c>
      <c r="E8474" s="2">
        <v>32.03</v>
      </c>
      <c r="F8474" s="2">
        <v>2</v>
      </c>
      <c r="G8474" s="2" t="s">
        <v>11</v>
      </c>
      <c r="H8474" s="2" t="s">
        <v>4908</v>
      </c>
    </row>
    <row r="8475" spans="1:9" x14ac:dyDescent="0.2">
      <c r="A8475" s="2" t="s">
        <v>3250</v>
      </c>
      <c r="B8475" s="2" t="s">
        <v>311</v>
      </c>
      <c r="C8475" s="2">
        <v>607.34169999999995</v>
      </c>
      <c r="D8475" s="2">
        <f>HYPERLINK("http://mcb-m6.bioreg.kyushu-u.ac.jp/M3/20110421/F51035/1276/1", 47.7)</f>
        <v>47.7</v>
      </c>
      <c r="E8475" s="2">
        <v>29.55</v>
      </c>
      <c r="F8475" s="2">
        <v>2</v>
      </c>
      <c r="G8475" s="2" t="s">
        <v>11</v>
      </c>
      <c r="H8475" s="2" t="s">
        <v>4908</v>
      </c>
    </row>
    <row r="8476" spans="1:9" x14ac:dyDescent="0.2">
      <c r="A8476" s="2" t="s">
        <v>3250</v>
      </c>
      <c r="B8476" s="2" t="s">
        <v>1065</v>
      </c>
      <c r="C8476" s="2">
        <v>716.87620000000004</v>
      </c>
      <c r="D8476" s="2">
        <f>HYPERLINK("http://mcb-m6.bioreg.kyushu-u.ac.jp/M3/20110421/F51040/1931/1", 48.17)</f>
        <v>48.17</v>
      </c>
      <c r="E8476" s="2">
        <v>36.130000000000003</v>
      </c>
      <c r="F8476" s="2">
        <v>2</v>
      </c>
      <c r="G8476" s="2" t="s">
        <v>11</v>
      </c>
      <c r="I8476" s="2" t="s">
        <v>4892</v>
      </c>
    </row>
    <row r="8477" spans="1:9" x14ac:dyDescent="0.2">
      <c r="A8477" s="2" t="s">
        <v>3250</v>
      </c>
      <c r="B8477" s="2" t="s">
        <v>543</v>
      </c>
      <c r="C8477" s="2">
        <v>927.38120000000004</v>
      </c>
      <c r="D8477" s="2">
        <f>HYPERLINK("http://mcb-m6.bioreg.kyushu-u.ac.jp/M3/20110421/F51042/2987/1", 48.26)</f>
        <v>48.26</v>
      </c>
      <c r="E8477" s="2">
        <v>39.450000000000003</v>
      </c>
      <c r="F8477" s="2">
        <v>2</v>
      </c>
      <c r="G8477" s="2" t="s">
        <v>11</v>
      </c>
    </row>
    <row r="8478" spans="1:9" x14ac:dyDescent="0.2">
      <c r="A8478" s="2" t="s">
        <v>3250</v>
      </c>
      <c r="B8478" s="2" t="s">
        <v>311</v>
      </c>
      <c r="C8478" s="2">
        <v>598.82209999999998</v>
      </c>
      <c r="D8478" s="2">
        <f>HYPERLINK("http://mcb-m6.bioreg.kyushu-u.ac.jp/M3/20110421/F51039/1389/1", 49.17)</f>
        <v>49.17</v>
      </c>
      <c r="E8478" s="2">
        <v>35.549999999999997</v>
      </c>
      <c r="F8478" s="2">
        <v>2</v>
      </c>
      <c r="G8478" s="2" t="s">
        <v>11</v>
      </c>
    </row>
    <row r="8479" spans="1:9" x14ac:dyDescent="0.2">
      <c r="A8479" s="2" t="s">
        <v>3250</v>
      </c>
      <c r="B8479" s="2" t="s">
        <v>365</v>
      </c>
      <c r="C8479" s="2">
        <v>849.23419999999999</v>
      </c>
      <c r="D8479" s="2">
        <f>HYPERLINK("http://mcb-m6.bioreg.kyushu-u.ac.jp/M3/20110421/F51018/2550/1", 50.15)</f>
        <v>50.15</v>
      </c>
      <c r="E8479" s="2">
        <v>37.74</v>
      </c>
      <c r="F8479" s="2">
        <v>2</v>
      </c>
      <c r="G8479" s="2" t="s">
        <v>11</v>
      </c>
    </row>
    <row r="8480" spans="1:9" x14ac:dyDescent="0.2">
      <c r="A8480" s="2" t="s">
        <v>3250</v>
      </c>
      <c r="B8480" s="2" t="s">
        <v>365</v>
      </c>
      <c r="C8480" s="2">
        <v>849.52560000000005</v>
      </c>
      <c r="D8480" s="2">
        <f>HYPERLINK("http://mcb-m6.bioreg.kyushu-u.ac.jp/M3/20110421/F51058/2339/1", 50.85)</f>
        <v>50.85</v>
      </c>
      <c r="E8480" s="2">
        <v>35.6</v>
      </c>
      <c r="F8480" s="2">
        <v>2</v>
      </c>
      <c r="G8480" s="2" t="s">
        <v>11</v>
      </c>
    </row>
    <row r="8481" spans="1:9" x14ac:dyDescent="0.2">
      <c r="A8481" s="2" t="s">
        <v>3250</v>
      </c>
      <c r="B8481" s="2" t="s">
        <v>77</v>
      </c>
      <c r="C8481" s="2">
        <v>574.74570000000006</v>
      </c>
      <c r="D8481" s="2">
        <f>HYPERLINK("http://mcb-m6.bioreg.kyushu-u.ac.jp/M3/20110421/F51042/994/1", 50.86)</f>
        <v>50.86</v>
      </c>
      <c r="E8481" s="2">
        <v>31.36</v>
      </c>
      <c r="F8481" s="2">
        <v>2</v>
      </c>
      <c r="G8481" s="2" t="s">
        <v>11</v>
      </c>
    </row>
    <row r="8482" spans="1:9" x14ac:dyDescent="0.2">
      <c r="A8482" s="2" t="s">
        <v>3250</v>
      </c>
      <c r="B8482" s="2" t="s">
        <v>1065</v>
      </c>
      <c r="C8482" s="2">
        <v>717.33720000000005</v>
      </c>
      <c r="D8482" s="2">
        <f>HYPERLINK("http://mcb-m6.bioreg.kyushu-u.ac.jp/M3/20110421/F51018/1997/1", 50.97)</f>
        <v>50.97</v>
      </c>
      <c r="E8482" s="2">
        <v>37.979999999999997</v>
      </c>
      <c r="F8482" s="2">
        <v>2</v>
      </c>
      <c r="G8482" s="2" t="s">
        <v>11</v>
      </c>
      <c r="I8482" s="2" t="s">
        <v>4892</v>
      </c>
    </row>
    <row r="8483" spans="1:9" x14ac:dyDescent="0.2">
      <c r="A8483" s="2" t="s">
        <v>3250</v>
      </c>
      <c r="B8483" s="2" t="s">
        <v>77</v>
      </c>
      <c r="C8483" s="2">
        <v>1148.4690000000001</v>
      </c>
      <c r="D8483" s="2">
        <f>HYPERLINK("http://mcb-m6.bioreg.kyushu-u.ac.jp/M3/20110421/F51042/993/1", 51.08)</f>
        <v>51.08</v>
      </c>
      <c r="E8483" s="2">
        <v>33.44</v>
      </c>
      <c r="F8483" s="2">
        <v>1</v>
      </c>
      <c r="G8483" s="2" t="s">
        <v>11</v>
      </c>
    </row>
    <row r="8484" spans="1:9" x14ac:dyDescent="0.2">
      <c r="A8484" s="2" t="s">
        <v>3250</v>
      </c>
      <c r="B8484" s="2" t="s">
        <v>365</v>
      </c>
      <c r="C8484" s="2">
        <v>848.68119999999999</v>
      </c>
      <c r="D8484" s="2">
        <f>HYPERLINK("http://mcb-m6.bioreg.kyushu-u.ac.jp/M3/20110421/F51040/2568/1", 51.41)</f>
        <v>51.41</v>
      </c>
      <c r="E8484" s="2">
        <v>35.520000000000003</v>
      </c>
      <c r="F8484" s="2">
        <v>2</v>
      </c>
      <c r="G8484" s="2" t="s">
        <v>11</v>
      </c>
    </row>
    <row r="8485" spans="1:9" x14ac:dyDescent="0.2">
      <c r="A8485" s="2" t="s">
        <v>3250</v>
      </c>
      <c r="B8485" s="2" t="s">
        <v>467</v>
      </c>
      <c r="C8485" s="2">
        <v>691.69820000000004</v>
      </c>
      <c r="D8485" s="2">
        <f>HYPERLINK("http://mcb-m6.bioreg.kyushu-u.ac.jp/M3/20110421/F51042/1611/1", 51.44)</f>
        <v>51.44</v>
      </c>
      <c r="E8485" s="2">
        <v>30.96</v>
      </c>
      <c r="F8485" s="2">
        <v>2</v>
      </c>
      <c r="G8485" s="2" t="s">
        <v>11</v>
      </c>
    </row>
    <row r="8486" spans="1:9" x14ac:dyDescent="0.2">
      <c r="A8486" s="2" t="s">
        <v>3250</v>
      </c>
      <c r="B8486" s="2" t="s">
        <v>467</v>
      </c>
      <c r="C8486" s="2">
        <v>691.69759999999997</v>
      </c>
      <c r="D8486" s="2">
        <f>HYPERLINK("http://mcb-m6.bioreg.kyushu-u.ac.jp/M3/20110421/F51020/1792/1", 51.56)</f>
        <v>51.56</v>
      </c>
      <c r="E8486" s="2">
        <v>27.92</v>
      </c>
      <c r="F8486" s="2">
        <v>2</v>
      </c>
      <c r="G8486" s="2" t="s">
        <v>11</v>
      </c>
    </row>
    <row r="8487" spans="1:9" x14ac:dyDescent="0.2">
      <c r="A8487" s="2" t="s">
        <v>3250</v>
      </c>
      <c r="B8487" s="2" t="s">
        <v>503</v>
      </c>
      <c r="C8487" s="2">
        <v>816.44320000000005</v>
      </c>
      <c r="D8487" s="2">
        <f>HYPERLINK("http://mcb-m6.bioreg.kyushu-u.ac.jp/M3/20110421/F51037/2489/1", 52.04)</f>
        <v>52.04</v>
      </c>
      <c r="E8487" s="2">
        <v>40.700000000000003</v>
      </c>
      <c r="F8487" s="2">
        <v>2</v>
      </c>
      <c r="G8487" s="2" t="s">
        <v>11</v>
      </c>
      <c r="H8487" s="2" t="s">
        <v>4907</v>
      </c>
    </row>
    <row r="8488" spans="1:9" x14ac:dyDescent="0.2">
      <c r="A8488" s="2" t="s">
        <v>3250</v>
      </c>
      <c r="B8488" s="2" t="s">
        <v>481</v>
      </c>
      <c r="C8488" s="2">
        <v>1417.5170000000001</v>
      </c>
      <c r="D8488" s="2">
        <f>HYPERLINK("http://mcb-m6.bioreg.kyushu-u.ac.jp/M3/20110421/F51042/1705/1", 52.65)</f>
        <v>52.65</v>
      </c>
      <c r="E8488" s="2">
        <v>38.58</v>
      </c>
      <c r="F8488" s="2">
        <v>1</v>
      </c>
      <c r="G8488" s="2" t="s">
        <v>11</v>
      </c>
      <c r="I8488" s="2" t="s">
        <v>4898</v>
      </c>
    </row>
    <row r="8489" spans="1:9" x14ac:dyDescent="0.2">
      <c r="A8489" s="2" t="s">
        <v>3250</v>
      </c>
      <c r="B8489" s="2" t="s">
        <v>772</v>
      </c>
      <c r="C8489" s="2">
        <v>1190.8900000000001</v>
      </c>
      <c r="D8489" s="2">
        <f>HYPERLINK("http://mcb-m6.bioreg.kyushu-u.ac.jp/M3/20110421/F51020/1447/1", 52.9)</f>
        <v>52.9</v>
      </c>
      <c r="E8489" s="2">
        <v>35.950000000000003</v>
      </c>
      <c r="F8489" s="2">
        <v>1</v>
      </c>
      <c r="G8489" s="2" t="s">
        <v>11</v>
      </c>
    </row>
    <row r="8490" spans="1:9" x14ac:dyDescent="0.2">
      <c r="A8490" s="2" t="s">
        <v>3250</v>
      </c>
      <c r="B8490" s="2" t="s">
        <v>365</v>
      </c>
      <c r="C8490" s="2">
        <v>1697.604</v>
      </c>
      <c r="D8490" s="2">
        <f>HYPERLINK("http://mcb-m6.bioreg.kyushu-u.ac.jp/M3/20110421/F51042/2585/1", 52.91)</f>
        <v>52.91</v>
      </c>
      <c r="E8490" s="2">
        <v>40.08</v>
      </c>
      <c r="F8490" s="2">
        <v>1</v>
      </c>
      <c r="G8490" s="2" t="s">
        <v>11</v>
      </c>
    </row>
    <row r="8491" spans="1:9" x14ac:dyDescent="0.2">
      <c r="A8491" s="2" t="s">
        <v>3250</v>
      </c>
      <c r="B8491" s="2" t="s">
        <v>481</v>
      </c>
      <c r="C8491" s="2">
        <v>1417.3979999999999</v>
      </c>
      <c r="D8491" s="2">
        <f>HYPERLINK("http://mcb-m6.bioreg.kyushu-u.ac.jp/M3/20110421/F51015/1939/1", 52.91)</f>
        <v>52.91</v>
      </c>
      <c r="E8491" s="2">
        <v>35.75</v>
      </c>
      <c r="F8491" s="2">
        <v>1</v>
      </c>
      <c r="G8491" s="2" t="s">
        <v>11</v>
      </c>
      <c r="I8491" s="2" t="s">
        <v>4898</v>
      </c>
    </row>
    <row r="8492" spans="1:9" x14ac:dyDescent="0.2">
      <c r="A8492" s="2" t="s">
        <v>3250</v>
      </c>
      <c r="B8492" s="2" t="s">
        <v>543</v>
      </c>
      <c r="C8492" s="2">
        <v>927.15560000000005</v>
      </c>
      <c r="D8492" s="2">
        <f>HYPERLINK("http://mcb-m6.bioreg.kyushu-u.ac.jp/M3/20110421/F51042/2986/1", 53.07)</f>
        <v>53.07</v>
      </c>
      <c r="E8492" s="2">
        <v>38.85</v>
      </c>
      <c r="F8492" s="2">
        <v>2</v>
      </c>
      <c r="G8492" s="2" t="s">
        <v>11</v>
      </c>
    </row>
    <row r="8493" spans="1:9" x14ac:dyDescent="0.2">
      <c r="A8493" s="2" t="s">
        <v>3250</v>
      </c>
      <c r="B8493" s="2" t="s">
        <v>561</v>
      </c>
      <c r="C8493" s="2">
        <v>662.23860000000002</v>
      </c>
      <c r="D8493" s="2">
        <f>HYPERLINK("http://mcb-m6.bioreg.kyushu-u.ac.jp/M3/20110421/F51042/1412/1", 53.2)</f>
        <v>53.2</v>
      </c>
      <c r="E8493" s="2">
        <v>38.01</v>
      </c>
      <c r="F8493" s="2">
        <v>2</v>
      </c>
      <c r="G8493" s="2" t="s">
        <v>11</v>
      </c>
      <c r="H8493" s="2" t="s">
        <v>4919</v>
      </c>
    </row>
    <row r="8494" spans="1:9" x14ac:dyDescent="0.2">
      <c r="A8494" s="2" t="s">
        <v>3250</v>
      </c>
      <c r="B8494" s="2" t="s">
        <v>311</v>
      </c>
      <c r="C8494" s="2">
        <v>606.79520000000002</v>
      </c>
      <c r="D8494" s="2">
        <f>HYPERLINK("http://mcb-m6.bioreg.kyushu-u.ac.jp/M3/20110421/F51042/1141/1", 53.42)</f>
        <v>53.42</v>
      </c>
      <c r="E8494" s="2">
        <v>39.42</v>
      </c>
      <c r="F8494" s="2">
        <v>2</v>
      </c>
      <c r="G8494" s="2" t="s">
        <v>11</v>
      </c>
      <c r="H8494" s="2" t="s">
        <v>4908</v>
      </c>
    </row>
    <row r="8495" spans="1:9" x14ac:dyDescent="0.2">
      <c r="A8495" s="2" t="s">
        <v>3250</v>
      </c>
      <c r="B8495" s="2" t="s">
        <v>356</v>
      </c>
      <c r="C8495" s="2">
        <v>816.30619999999999</v>
      </c>
      <c r="D8495" s="2">
        <f>HYPERLINK("http://mcb-m6.bioreg.kyushu-u.ac.jp/M3/20110421/F51017/2470/1", 53.62)</f>
        <v>53.62</v>
      </c>
      <c r="E8495" s="2">
        <v>35</v>
      </c>
      <c r="F8495" s="2">
        <v>2</v>
      </c>
      <c r="G8495" s="2" t="s">
        <v>11</v>
      </c>
    </row>
    <row r="8496" spans="1:9" x14ac:dyDescent="0.2">
      <c r="A8496" s="2" t="s">
        <v>3250</v>
      </c>
      <c r="B8496" s="2" t="s">
        <v>311</v>
      </c>
      <c r="C8496" s="2">
        <v>598.72220000000004</v>
      </c>
      <c r="D8496" s="2">
        <f>HYPERLINK("http://mcb-m6.bioreg.kyushu-u.ac.jp/M3/20110421/F51020/1460/1", 54.83)</f>
        <v>54.83</v>
      </c>
      <c r="E8496" s="2">
        <v>35.57</v>
      </c>
      <c r="F8496" s="2">
        <v>2</v>
      </c>
      <c r="G8496" s="2" t="s">
        <v>11</v>
      </c>
    </row>
    <row r="8497" spans="1:9" x14ac:dyDescent="0.2">
      <c r="A8497" s="2" t="s">
        <v>3250</v>
      </c>
      <c r="B8497" s="2" t="s">
        <v>561</v>
      </c>
      <c r="C8497" s="2">
        <v>1307.4649999999999</v>
      </c>
      <c r="D8497" s="2">
        <f>HYPERLINK("http://mcb-m6.bioreg.kyushu-u.ac.jp/M3/20110421/F51042/1365/1", 55.16)</f>
        <v>55.16</v>
      </c>
      <c r="E8497" s="2">
        <v>30.6</v>
      </c>
      <c r="F8497" s="2">
        <v>1</v>
      </c>
      <c r="G8497" s="2" t="s">
        <v>11</v>
      </c>
    </row>
    <row r="8498" spans="1:9" x14ac:dyDescent="0.2">
      <c r="A8498" s="2" t="s">
        <v>3250</v>
      </c>
      <c r="B8498" s="2" t="s">
        <v>102</v>
      </c>
      <c r="C8498" s="2">
        <v>608.33320000000003</v>
      </c>
      <c r="D8498" s="2">
        <f>HYPERLINK("http://mcb-m6.bioreg.kyushu-u.ac.jp/M3/20110421/F51017/1388/1", 55.35)</f>
        <v>55.35</v>
      </c>
      <c r="E8498" s="2">
        <v>37.380000000000003</v>
      </c>
      <c r="F8498" s="2">
        <v>2</v>
      </c>
      <c r="G8498" s="2" t="s">
        <v>11</v>
      </c>
    </row>
    <row r="8499" spans="1:9" x14ac:dyDescent="0.2">
      <c r="A8499" s="2" t="s">
        <v>3250</v>
      </c>
      <c r="B8499" s="2" t="s">
        <v>467</v>
      </c>
      <c r="C8499" s="2">
        <v>691.72969999999998</v>
      </c>
      <c r="D8499" s="2">
        <f>HYPERLINK("http://mcb-m6.bioreg.kyushu-u.ac.jp/M3/20110421/F51040/1759/1", 55.61)</f>
        <v>55.61</v>
      </c>
      <c r="E8499" s="2">
        <v>30.62</v>
      </c>
      <c r="F8499" s="2">
        <v>2</v>
      </c>
      <c r="G8499" s="2" t="s">
        <v>11</v>
      </c>
    </row>
    <row r="8500" spans="1:9" x14ac:dyDescent="0.2">
      <c r="A8500" s="2" t="s">
        <v>3250</v>
      </c>
      <c r="B8500" s="2" t="s">
        <v>481</v>
      </c>
      <c r="C8500" s="2">
        <v>709.35059999999999</v>
      </c>
      <c r="D8500" s="2">
        <f>HYPERLINK("http://mcb-m6.bioreg.kyushu-u.ac.jp/M3/20110421/F51042/1708/1", 56.6)</f>
        <v>56.6</v>
      </c>
      <c r="E8500" s="2">
        <v>40.18</v>
      </c>
      <c r="F8500" s="2">
        <v>2</v>
      </c>
      <c r="G8500" s="2" t="s">
        <v>11</v>
      </c>
      <c r="I8500" s="2" t="s">
        <v>4898</v>
      </c>
    </row>
    <row r="8501" spans="1:9" x14ac:dyDescent="0.2">
      <c r="A8501" s="2" t="s">
        <v>3250</v>
      </c>
      <c r="B8501" s="2" t="s">
        <v>467</v>
      </c>
      <c r="C8501" s="2">
        <v>691.74869999999999</v>
      </c>
      <c r="D8501" s="2">
        <f>HYPERLINK("http://mcb-m6.bioreg.kyushu-u.ac.jp/M3/20110421/F51019/1855/1", 56.67)</f>
        <v>56.67</v>
      </c>
      <c r="E8501" s="2">
        <v>30.98</v>
      </c>
      <c r="F8501" s="2">
        <v>2</v>
      </c>
      <c r="G8501" s="2" t="s">
        <v>11</v>
      </c>
    </row>
    <row r="8502" spans="1:9" x14ac:dyDescent="0.2">
      <c r="A8502" s="2" t="s">
        <v>3250</v>
      </c>
      <c r="B8502" s="2" t="s">
        <v>365</v>
      </c>
      <c r="C8502" s="2">
        <v>849.31709999999998</v>
      </c>
      <c r="D8502" s="2">
        <f>HYPERLINK("http://mcb-m6.bioreg.kyushu-u.ac.jp/M3/20110421/F51034/2524/1", 56.85)</f>
        <v>56.85</v>
      </c>
      <c r="E8502" s="2">
        <v>41.9</v>
      </c>
      <c r="F8502" s="2">
        <v>2</v>
      </c>
      <c r="G8502" s="2" t="s">
        <v>11</v>
      </c>
    </row>
    <row r="8503" spans="1:9" x14ac:dyDescent="0.2">
      <c r="A8503" s="2" t="s">
        <v>3250</v>
      </c>
      <c r="B8503" s="2" t="s">
        <v>311</v>
      </c>
      <c r="C8503" s="2">
        <v>599.35720000000003</v>
      </c>
      <c r="D8503" s="2">
        <f>HYPERLINK("http://mcb-m6.bioreg.kyushu-u.ac.jp/M3/20110421/F51035/1246/1", 57.49)</f>
        <v>57.49</v>
      </c>
      <c r="E8503" s="2">
        <v>38.49</v>
      </c>
      <c r="F8503" s="2">
        <v>2</v>
      </c>
      <c r="G8503" s="2" t="s">
        <v>11</v>
      </c>
    </row>
    <row r="8504" spans="1:9" x14ac:dyDescent="0.2">
      <c r="A8504" s="2" t="s">
        <v>3250</v>
      </c>
      <c r="B8504" s="2" t="s">
        <v>772</v>
      </c>
      <c r="C8504" s="2">
        <v>1190.5409999999999</v>
      </c>
      <c r="D8504" s="2">
        <f>HYPERLINK("http://mcb-m6.bioreg.kyushu-u.ac.jp/M3/20110421/F51037/1203/1", 57.6)</f>
        <v>57.6</v>
      </c>
      <c r="E8504" s="2">
        <v>34.979999999999997</v>
      </c>
      <c r="F8504" s="2">
        <v>1</v>
      </c>
      <c r="G8504" s="2" t="s">
        <v>11</v>
      </c>
    </row>
    <row r="8505" spans="1:9" x14ac:dyDescent="0.2">
      <c r="A8505" s="2" t="s">
        <v>3250</v>
      </c>
      <c r="B8505" s="2" t="s">
        <v>311</v>
      </c>
      <c r="C8505" s="2">
        <v>607.30970000000002</v>
      </c>
      <c r="D8505" s="2">
        <f>HYPERLINK("http://mcb-m6.bioreg.kyushu-u.ac.jp/M3/20110421/F51020/1489/1", 57.67)</f>
        <v>57.67</v>
      </c>
      <c r="E8505" s="2">
        <v>37.619999999999997</v>
      </c>
      <c r="F8505" s="2">
        <v>2</v>
      </c>
      <c r="G8505" s="2" t="s">
        <v>11</v>
      </c>
      <c r="H8505" s="2" t="s">
        <v>4908</v>
      </c>
    </row>
    <row r="8506" spans="1:9" x14ac:dyDescent="0.2">
      <c r="A8506" s="2" t="s">
        <v>3250</v>
      </c>
      <c r="B8506" s="2" t="s">
        <v>102</v>
      </c>
      <c r="C8506" s="2">
        <v>616.31320000000005</v>
      </c>
      <c r="D8506" s="2">
        <f>HYPERLINK("http://mcb-m6.bioreg.kyushu-u.ac.jp/M3/20110421/F51042/1199/1", 58.37)</f>
        <v>58.37</v>
      </c>
      <c r="E8506" s="2">
        <v>38.64</v>
      </c>
      <c r="F8506" s="2">
        <v>2</v>
      </c>
      <c r="G8506" s="2" t="s">
        <v>11</v>
      </c>
      <c r="H8506" s="2" t="s">
        <v>4900</v>
      </c>
    </row>
    <row r="8507" spans="1:9" x14ac:dyDescent="0.2">
      <c r="A8507" s="2" t="s">
        <v>3250</v>
      </c>
      <c r="B8507" s="2" t="s">
        <v>772</v>
      </c>
      <c r="C8507" s="2">
        <v>1190.4570000000001</v>
      </c>
      <c r="D8507" s="2">
        <f>HYPERLINK("http://mcb-m6.bioreg.kyushu-u.ac.jp/M3/20110421/F51042/1086/1", 58.87)</f>
        <v>58.87</v>
      </c>
      <c r="E8507" s="2">
        <v>20.86</v>
      </c>
      <c r="F8507" s="2">
        <v>1</v>
      </c>
      <c r="G8507" s="2" t="s">
        <v>11</v>
      </c>
    </row>
    <row r="8508" spans="1:9" x14ac:dyDescent="0.2">
      <c r="A8508" s="2" t="s">
        <v>3250</v>
      </c>
      <c r="B8508" s="2" t="s">
        <v>90</v>
      </c>
      <c r="C8508" s="2">
        <v>716.91819999999996</v>
      </c>
      <c r="D8508" s="2">
        <f>HYPERLINK("http://mcb-m6.bioreg.kyushu-u.ac.jp/M3/20110421/F51020/1925/1", 59.51)</f>
        <v>59.51</v>
      </c>
      <c r="E8508" s="2">
        <v>46.39</v>
      </c>
      <c r="F8508" s="2">
        <v>2</v>
      </c>
      <c r="G8508" s="2" t="s">
        <v>11</v>
      </c>
    </row>
    <row r="8509" spans="1:9" x14ac:dyDescent="0.2">
      <c r="A8509" s="2" t="s">
        <v>3250</v>
      </c>
      <c r="B8509" s="2" t="s">
        <v>365</v>
      </c>
      <c r="C8509" s="2">
        <v>848.70820000000003</v>
      </c>
      <c r="D8509" s="2">
        <f>HYPERLINK("http://mcb-m6.bioreg.kyushu-u.ac.jp/M3/20110421/F51017/2613/1", 59.68)</f>
        <v>59.68</v>
      </c>
      <c r="E8509" s="2">
        <v>40.299999999999997</v>
      </c>
      <c r="F8509" s="2">
        <v>2</v>
      </c>
      <c r="G8509" s="2" t="s">
        <v>11</v>
      </c>
    </row>
    <row r="8510" spans="1:9" x14ac:dyDescent="0.2">
      <c r="A8510" s="2" t="s">
        <v>3250</v>
      </c>
      <c r="B8510" s="2" t="s">
        <v>365</v>
      </c>
      <c r="C8510" s="2">
        <v>849.46619999999996</v>
      </c>
      <c r="D8510" s="2">
        <f>HYPERLINK("http://mcb-m6.bioreg.kyushu-u.ac.jp/M3/20110421/F51014/2531/1", 59.96)</f>
        <v>59.96</v>
      </c>
      <c r="E8510" s="2">
        <v>39.4</v>
      </c>
      <c r="F8510" s="2">
        <v>2</v>
      </c>
      <c r="G8510" s="2" t="s">
        <v>11</v>
      </c>
    </row>
    <row r="8511" spans="1:9" x14ac:dyDescent="0.2">
      <c r="A8511" s="2" t="s">
        <v>3250</v>
      </c>
      <c r="B8511" s="2" t="s">
        <v>356</v>
      </c>
      <c r="C8511" s="2">
        <v>816.22919999999999</v>
      </c>
      <c r="D8511" s="2">
        <f>HYPERLINK("http://mcb-m6.bioreg.kyushu-u.ac.jp/M3/20110421/F51042/2376/1", 60.14)</f>
        <v>60.14</v>
      </c>
      <c r="E8511" s="2">
        <v>41.57</v>
      </c>
      <c r="F8511" s="2">
        <v>2</v>
      </c>
      <c r="G8511" s="2" t="s">
        <v>11</v>
      </c>
    </row>
    <row r="8512" spans="1:9" x14ac:dyDescent="0.2">
      <c r="A8512" s="2" t="s">
        <v>3250</v>
      </c>
      <c r="B8512" s="2" t="s">
        <v>481</v>
      </c>
      <c r="C8512" s="2">
        <v>709.82569999999998</v>
      </c>
      <c r="D8512" s="2">
        <f>HYPERLINK("http://mcb-m6.bioreg.kyushu-u.ac.jp/M3/20110421/F51018/1956/1", 60.25)</f>
        <v>60.25</v>
      </c>
      <c r="E8512" s="2">
        <v>39.270000000000003</v>
      </c>
      <c r="F8512" s="2">
        <v>2</v>
      </c>
      <c r="G8512" s="2" t="s">
        <v>11</v>
      </c>
      <c r="I8512" s="2" t="s">
        <v>4898</v>
      </c>
    </row>
    <row r="8513" spans="1:9" x14ac:dyDescent="0.2">
      <c r="A8513" s="2" t="s">
        <v>3250</v>
      </c>
      <c r="B8513" s="2" t="s">
        <v>90</v>
      </c>
      <c r="C8513" s="2">
        <v>717.34220000000005</v>
      </c>
      <c r="D8513" s="2">
        <f>HYPERLINK("http://mcb-m6.bioreg.kyushu-u.ac.jp/M3/20110421/F51035/1861/1", 60.49)</f>
        <v>60.49</v>
      </c>
      <c r="E8513" s="2">
        <v>32.49</v>
      </c>
      <c r="F8513" s="2">
        <v>2</v>
      </c>
      <c r="G8513" s="2" t="s">
        <v>11</v>
      </c>
    </row>
    <row r="8514" spans="1:9" x14ac:dyDescent="0.2">
      <c r="A8514" s="2" t="s">
        <v>3250</v>
      </c>
      <c r="B8514" s="2" t="s">
        <v>772</v>
      </c>
      <c r="C8514" s="2">
        <v>595.80319999999995</v>
      </c>
      <c r="D8514" s="2">
        <f>HYPERLINK("http://mcb-m6.bioreg.kyushu-u.ac.jp/M3/20110421/F51042/1090/1", 60.97)</f>
        <v>60.97</v>
      </c>
      <c r="E8514" s="2">
        <v>32.57</v>
      </c>
      <c r="F8514" s="2">
        <v>2</v>
      </c>
      <c r="G8514" s="2" t="s">
        <v>11</v>
      </c>
    </row>
    <row r="8515" spans="1:9" x14ac:dyDescent="0.2">
      <c r="A8515" s="2" t="s">
        <v>3250</v>
      </c>
      <c r="B8515" s="2" t="s">
        <v>543</v>
      </c>
      <c r="C8515" s="2">
        <v>927.48109999999997</v>
      </c>
      <c r="D8515" s="2">
        <f>HYPERLINK("http://mcb-m6.bioreg.kyushu-u.ac.jp/M3/20110421/F51042/2988/1", 61.03)</f>
        <v>61.03</v>
      </c>
      <c r="E8515" s="2">
        <v>47.24</v>
      </c>
      <c r="F8515" s="2">
        <v>2</v>
      </c>
      <c r="G8515" s="2" t="s">
        <v>11</v>
      </c>
    </row>
    <row r="8516" spans="1:9" x14ac:dyDescent="0.2">
      <c r="A8516" s="2" t="s">
        <v>3250</v>
      </c>
      <c r="B8516" s="2" t="s">
        <v>467</v>
      </c>
      <c r="C8516" s="2">
        <v>1382.4559999999999</v>
      </c>
      <c r="D8516" s="2">
        <f>HYPERLINK("http://mcb-m6.bioreg.kyushu-u.ac.jp/M3/20110421/F51015/1891/1", 61.26)</f>
        <v>61.26</v>
      </c>
      <c r="E8516" s="2">
        <v>43.44</v>
      </c>
      <c r="F8516" s="2">
        <v>1</v>
      </c>
      <c r="G8516" s="2" t="s">
        <v>11</v>
      </c>
    </row>
    <row r="8517" spans="1:9" x14ac:dyDescent="0.2">
      <c r="A8517" s="2" t="s">
        <v>3250</v>
      </c>
      <c r="B8517" s="2" t="s">
        <v>365</v>
      </c>
      <c r="C8517" s="2">
        <v>848.77760000000001</v>
      </c>
      <c r="D8517" s="2">
        <f>HYPERLINK("http://mcb-m6.bioreg.kyushu-u.ac.jp/M3/20110421/F51019/2491/1", 61.68)</f>
        <v>61.68</v>
      </c>
      <c r="E8517" s="2">
        <v>48.07</v>
      </c>
      <c r="F8517" s="2">
        <v>2</v>
      </c>
      <c r="G8517" s="2" t="s">
        <v>11</v>
      </c>
    </row>
    <row r="8518" spans="1:9" x14ac:dyDescent="0.2">
      <c r="A8518" s="2" t="s">
        <v>3250</v>
      </c>
      <c r="B8518" s="2" t="s">
        <v>1065</v>
      </c>
      <c r="C8518" s="2">
        <v>716.62620000000004</v>
      </c>
      <c r="D8518" s="2">
        <f>HYPERLINK("http://mcb-m6.bioreg.kyushu-u.ac.jp/M3/20110421/F51015/1971/1", 61.76)</f>
        <v>61.76</v>
      </c>
      <c r="E8518" s="2">
        <v>43.51</v>
      </c>
      <c r="F8518" s="2">
        <v>2</v>
      </c>
      <c r="G8518" s="2" t="s">
        <v>11</v>
      </c>
      <c r="I8518" s="2" t="s">
        <v>4892</v>
      </c>
    </row>
    <row r="8519" spans="1:9" x14ac:dyDescent="0.2">
      <c r="A8519" s="2" t="s">
        <v>3250</v>
      </c>
      <c r="B8519" s="2" t="s">
        <v>467</v>
      </c>
      <c r="C8519" s="2">
        <v>692.32569999999998</v>
      </c>
      <c r="D8519" s="2">
        <f>HYPERLINK("http://mcb-m6.bioreg.kyushu-u.ac.jp/M3/20110421/F51042/1625/1", 61.79)</f>
        <v>61.79</v>
      </c>
      <c r="E8519" s="2">
        <v>33.130000000000003</v>
      </c>
      <c r="F8519" s="2">
        <v>2</v>
      </c>
      <c r="G8519" s="2" t="s">
        <v>11</v>
      </c>
    </row>
    <row r="8520" spans="1:9" x14ac:dyDescent="0.2">
      <c r="A8520" s="2" t="s">
        <v>3250</v>
      </c>
      <c r="B8520" s="2" t="s">
        <v>365</v>
      </c>
      <c r="C8520" s="2">
        <v>1696.5509999999999</v>
      </c>
      <c r="D8520" s="2">
        <f>HYPERLINK("http://mcb-m6.bioreg.kyushu-u.ac.jp/M3/20110421/F51042/2579/1", 62.2)</f>
        <v>62.2</v>
      </c>
      <c r="E8520" s="2">
        <v>45.78</v>
      </c>
      <c r="F8520" s="2">
        <v>1</v>
      </c>
      <c r="G8520" s="2" t="s">
        <v>11</v>
      </c>
    </row>
    <row r="8521" spans="1:9" x14ac:dyDescent="0.2">
      <c r="A8521" s="2" t="s">
        <v>3250</v>
      </c>
      <c r="B8521" s="2" t="s">
        <v>102</v>
      </c>
      <c r="C8521" s="2">
        <v>608.23419999999999</v>
      </c>
      <c r="D8521" s="2">
        <f>HYPERLINK("http://mcb-m6.bioreg.kyushu-u.ac.jp/M3/20110421/F51039/1423/1", 62.22)</f>
        <v>62.22</v>
      </c>
      <c r="E8521" s="2">
        <v>40.32</v>
      </c>
      <c r="F8521" s="2">
        <v>2</v>
      </c>
      <c r="G8521" s="2" t="s">
        <v>11</v>
      </c>
    </row>
    <row r="8522" spans="1:9" x14ac:dyDescent="0.2">
      <c r="A8522" s="2" t="s">
        <v>3250</v>
      </c>
      <c r="B8522" s="2" t="s">
        <v>1255</v>
      </c>
      <c r="C8522" s="2">
        <v>1273.9570000000001</v>
      </c>
      <c r="D8522" s="2">
        <f>HYPERLINK("http://mcb-m6.bioreg.kyushu-u.ac.jp/M3/20110421/F51058/3475/1", 62.39)</f>
        <v>62.39</v>
      </c>
      <c r="E8522" s="2">
        <v>53.45</v>
      </c>
      <c r="F8522" s="2">
        <v>2</v>
      </c>
      <c r="G8522" s="2" t="s">
        <v>11</v>
      </c>
      <c r="I8522" s="2" t="s">
        <v>4906</v>
      </c>
    </row>
    <row r="8523" spans="1:9" x14ac:dyDescent="0.2">
      <c r="A8523" s="2" t="s">
        <v>3250</v>
      </c>
      <c r="B8523" s="2" t="s">
        <v>77</v>
      </c>
      <c r="C8523" s="2">
        <v>574.7242</v>
      </c>
      <c r="D8523" s="2">
        <f>HYPERLINK("http://mcb-m6.bioreg.kyushu-u.ac.jp/M3/20110421/F51039/1270/1", 62.81)</f>
        <v>62.81</v>
      </c>
      <c r="E8523" s="2">
        <v>38.619999999999997</v>
      </c>
      <c r="F8523" s="2">
        <v>2</v>
      </c>
      <c r="G8523" s="2" t="s">
        <v>11</v>
      </c>
    </row>
    <row r="8524" spans="1:9" x14ac:dyDescent="0.2">
      <c r="A8524" s="2" t="s">
        <v>3250</v>
      </c>
      <c r="B8524" s="2" t="s">
        <v>77</v>
      </c>
      <c r="C8524" s="2">
        <v>575.14170000000001</v>
      </c>
      <c r="D8524" s="2">
        <f>HYPERLINK("http://mcb-m6.bioreg.kyushu-u.ac.jp/M3/20110421/F51019/1418/1", 64.15)</f>
        <v>64.150000000000006</v>
      </c>
      <c r="E8524" s="2">
        <v>43.44</v>
      </c>
      <c r="F8524" s="2">
        <v>2</v>
      </c>
      <c r="G8524" s="2" t="s">
        <v>11</v>
      </c>
    </row>
    <row r="8525" spans="1:9" x14ac:dyDescent="0.2">
      <c r="A8525" s="2" t="s">
        <v>3250</v>
      </c>
      <c r="B8525" s="2" t="s">
        <v>561</v>
      </c>
      <c r="C8525" s="2">
        <v>654.79169999999999</v>
      </c>
      <c r="D8525" s="2">
        <f>HYPERLINK("http://mcb-m6.bioreg.kyushu-u.ac.jp/M3/20110421/F51042/1371/1", 64.56)</f>
        <v>64.56</v>
      </c>
      <c r="E8525" s="2">
        <v>34.96</v>
      </c>
      <c r="F8525" s="2">
        <v>2</v>
      </c>
      <c r="G8525" s="2" t="s">
        <v>11</v>
      </c>
    </row>
    <row r="8526" spans="1:9" x14ac:dyDescent="0.2">
      <c r="A8526" s="2" t="s">
        <v>3250</v>
      </c>
      <c r="B8526" s="2" t="s">
        <v>1255</v>
      </c>
      <c r="C8526" s="2">
        <v>1273.7650000000001</v>
      </c>
      <c r="D8526" s="2">
        <f>HYPERLINK("http://mcb-m6.bioreg.kyushu-u.ac.jp/M3/20110421/F51020/3360/1", 64.8)</f>
        <v>64.8</v>
      </c>
      <c r="E8526" s="2">
        <v>50.93</v>
      </c>
      <c r="F8526" s="2">
        <v>2</v>
      </c>
      <c r="G8526" s="2" t="s">
        <v>11</v>
      </c>
      <c r="I8526" s="2" t="s">
        <v>4906</v>
      </c>
    </row>
    <row r="8527" spans="1:9" x14ac:dyDescent="0.2">
      <c r="A8527" s="2" t="s">
        <v>3250</v>
      </c>
      <c r="B8527" s="2" t="s">
        <v>365</v>
      </c>
      <c r="C8527" s="2">
        <v>848.80409999999995</v>
      </c>
      <c r="D8527" s="2">
        <f>HYPERLINK("http://mcb-m6.bioreg.kyushu-u.ac.jp/M3/20110421/F51034/2519/1", 65.66)</f>
        <v>65.66</v>
      </c>
      <c r="E8527" s="2">
        <v>47.32</v>
      </c>
      <c r="F8527" s="2">
        <v>2</v>
      </c>
      <c r="G8527" s="2" t="s">
        <v>11</v>
      </c>
    </row>
    <row r="8528" spans="1:9" x14ac:dyDescent="0.2">
      <c r="A8528" s="2" t="s">
        <v>3250</v>
      </c>
      <c r="B8528" s="2" t="s">
        <v>467</v>
      </c>
      <c r="C8528" s="2">
        <v>692.23519999999996</v>
      </c>
      <c r="D8528" s="2">
        <f>HYPERLINK("http://mcb-m6.bioreg.kyushu-u.ac.jp/M3/20110421/F51035/1682/1", 65.77)</f>
        <v>65.77</v>
      </c>
      <c r="E8528" s="2">
        <v>39.21</v>
      </c>
      <c r="F8528" s="2">
        <v>2</v>
      </c>
      <c r="G8528" s="2" t="s">
        <v>11</v>
      </c>
    </row>
    <row r="8529" spans="1:9" x14ac:dyDescent="0.2">
      <c r="A8529" s="2" t="s">
        <v>3250</v>
      </c>
      <c r="B8529" s="2" t="s">
        <v>365</v>
      </c>
      <c r="C8529" s="2">
        <v>848.72310000000004</v>
      </c>
      <c r="D8529" s="2">
        <f>HYPERLINK("http://mcb-m6.bioreg.kyushu-u.ac.jp/M3/20110421/F51018/2548/1", 65.84)</f>
        <v>65.84</v>
      </c>
      <c r="E8529" s="2">
        <v>49.56</v>
      </c>
      <c r="F8529" s="2">
        <v>2</v>
      </c>
      <c r="G8529" s="2" t="s">
        <v>11</v>
      </c>
    </row>
    <row r="8530" spans="1:9" x14ac:dyDescent="0.2">
      <c r="A8530" s="2" t="s">
        <v>3250</v>
      </c>
      <c r="B8530" s="2" t="s">
        <v>467</v>
      </c>
      <c r="C8530" s="2">
        <v>692.21220000000005</v>
      </c>
      <c r="D8530" s="2">
        <f>HYPERLINK("http://mcb-m6.bioreg.kyushu-u.ac.jp/M3/20110421/F51042/1623/1", 66.67)</f>
        <v>66.67</v>
      </c>
      <c r="E8530" s="2">
        <v>41.9</v>
      </c>
      <c r="F8530" s="2">
        <v>2</v>
      </c>
      <c r="G8530" s="2" t="s">
        <v>11</v>
      </c>
    </row>
    <row r="8531" spans="1:9" x14ac:dyDescent="0.2">
      <c r="A8531" s="2" t="s">
        <v>3250</v>
      </c>
      <c r="B8531" s="2" t="s">
        <v>90</v>
      </c>
      <c r="C8531" s="2">
        <v>716.89570000000003</v>
      </c>
      <c r="D8531" s="2">
        <f>HYPERLINK("http://mcb-m6.bioreg.kyushu-u.ac.jp/M3/20110421/F51017/1914/1", 66.84)</f>
        <v>66.84</v>
      </c>
      <c r="E8531" s="2">
        <v>42.6</v>
      </c>
      <c r="F8531" s="2">
        <v>2</v>
      </c>
      <c r="G8531" s="2" t="s">
        <v>11</v>
      </c>
    </row>
    <row r="8532" spans="1:9" x14ac:dyDescent="0.2">
      <c r="A8532" s="2" t="s">
        <v>3250</v>
      </c>
      <c r="B8532" s="2" t="s">
        <v>561</v>
      </c>
      <c r="C8532" s="2">
        <v>1323.3920000000001</v>
      </c>
      <c r="D8532" s="2">
        <f>HYPERLINK("http://mcb-m6.bioreg.kyushu-u.ac.jp/M3/20110421/F51042/1410/1", 66.86)</f>
        <v>66.86</v>
      </c>
      <c r="E8532" s="2">
        <v>44.84</v>
      </c>
      <c r="F8532" s="2">
        <v>1</v>
      </c>
      <c r="G8532" s="2" t="s">
        <v>11</v>
      </c>
      <c r="H8532" s="2" t="s">
        <v>4919</v>
      </c>
    </row>
    <row r="8533" spans="1:9" x14ac:dyDescent="0.2">
      <c r="A8533" s="2" t="s">
        <v>3250</v>
      </c>
      <c r="B8533" s="2" t="s">
        <v>561</v>
      </c>
      <c r="C8533" s="2">
        <v>662.68219999999997</v>
      </c>
      <c r="D8533" s="2">
        <f>HYPERLINK("http://mcb-m6.bioreg.kyushu-u.ac.jp/M3/20110421/F51020/1636/1", 67.76)</f>
        <v>67.760000000000005</v>
      </c>
      <c r="E8533" s="2">
        <v>46.22</v>
      </c>
      <c r="F8533" s="2">
        <v>2</v>
      </c>
      <c r="G8533" s="2" t="s">
        <v>11</v>
      </c>
      <c r="H8533" s="2" t="s">
        <v>4919</v>
      </c>
    </row>
    <row r="8534" spans="1:9" x14ac:dyDescent="0.2">
      <c r="A8534" s="2" t="s">
        <v>3250</v>
      </c>
      <c r="B8534" s="2" t="s">
        <v>561</v>
      </c>
      <c r="C8534" s="2">
        <v>662.36019999999996</v>
      </c>
      <c r="D8534" s="2">
        <f>HYPERLINK("http://mcb-m6.bioreg.kyushu-u.ac.jp/M3/20110421/F51042/1415/1", 67.88)</f>
        <v>67.88</v>
      </c>
      <c r="E8534" s="2">
        <v>51.43</v>
      </c>
      <c r="F8534" s="2">
        <v>2</v>
      </c>
      <c r="G8534" s="2" t="s">
        <v>11</v>
      </c>
      <c r="H8534" s="2" t="s">
        <v>4919</v>
      </c>
    </row>
    <row r="8535" spans="1:9" x14ac:dyDescent="0.2">
      <c r="A8535" s="2" t="s">
        <v>3250</v>
      </c>
      <c r="B8535" s="2" t="s">
        <v>467</v>
      </c>
      <c r="C8535" s="2">
        <v>691.63509999999997</v>
      </c>
      <c r="D8535" s="2">
        <f>HYPERLINK("http://mcb-m6.bioreg.kyushu-u.ac.jp/M3/20110421/F51018/1856/1", 68.03)</f>
        <v>68.03</v>
      </c>
      <c r="E8535" s="2">
        <v>42.3</v>
      </c>
      <c r="F8535" s="2">
        <v>2</v>
      </c>
      <c r="G8535" s="2" t="s">
        <v>11</v>
      </c>
    </row>
    <row r="8536" spans="1:9" x14ac:dyDescent="0.2">
      <c r="A8536" s="2" t="s">
        <v>3250</v>
      </c>
      <c r="B8536" s="2" t="s">
        <v>365</v>
      </c>
      <c r="C8536" s="2">
        <v>849.29769999999996</v>
      </c>
      <c r="D8536" s="2">
        <f>HYPERLINK("http://mcb-m6.bioreg.kyushu-u.ac.jp/M3/20110421/F51040/2572/1", 68.39)</f>
        <v>68.39</v>
      </c>
      <c r="E8536" s="2">
        <v>52.42</v>
      </c>
      <c r="F8536" s="2">
        <v>2</v>
      </c>
      <c r="G8536" s="2" t="s">
        <v>11</v>
      </c>
    </row>
    <row r="8537" spans="1:9" x14ac:dyDescent="0.2">
      <c r="A8537" s="2" t="s">
        <v>3250</v>
      </c>
      <c r="B8537" s="2" t="s">
        <v>467</v>
      </c>
      <c r="C8537" s="2">
        <v>1382.606</v>
      </c>
      <c r="D8537" s="2">
        <f>HYPERLINK("http://mcb-m6.bioreg.kyushu-u.ac.jp/M3/20110421/F51042/1618/1", 68.67)</f>
        <v>68.67</v>
      </c>
      <c r="E8537" s="2">
        <v>53.72</v>
      </c>
      <c r="F8537" s="2">
        <v>1</v>
      </c>
      <c r="G8537" s="2" t="s">
        <v>11</v>
      </c>
    </row>
    <row r="8538" spans="1:9" x14ac:dyDescent="0.2">
      <c r="A8538" s="2" t="s">
        <v>3250</v>
      </c>
      <c r="B8538" s="2" t="s">
        <v>365</v>
      </c>
      <c r="C8538" s="2">
        <v>849.22360000000003</v>
      </c>
      <c r="D8538" s="2">
        <f>HYPERLINK("http://mcb-m6.bioreg.kyushu-u.ac.jp/M3/20110421/F51015/2327/1", 68.73)</f>
        <v>68.73</v>
      </c>
      <c r="E8538" s="2">
        <v>53.73</v>
      </c>
      <c r="F8538" s="2">
        <v>2</v>
      </c>
      <c r="G8538" s="2" t="s">
        <v>11</v>
      </c>
    </row>
    <row r="8539" spans="1:9" x14ac:dyDescent="0.2">
      <c r="A8539" s="2" t="s">
        <v>3250</v>
      </c>
      <c r="B8539" s="2" t="s">
        <v>561</v>
      </c>
      <c r="C8539" s="2">
        <v>654.05820000000006</v>
      </c>
      <c r="D8539" s="2">
        <f>HYPERLINK("http://mcb-m6.bioreg.kyushu-u.ac.jp/M3/20110421/F51020/1617/1", 68.96)</f>
        <v>68.959999999999994</v>
      </c>
      <c r="E8539" s="2">
        <v>51.13</v>
      </c>
      <c r="F8539" s="2">
        <v>2</v>
      </c>
      <c r="G8539" s="2" t="s">
        <v>11</v>
      </c>
    </row>
    <row r="8540" spans="1:9" x14ac:dyDescent="0.2">
      <c r="A8540" s="2" t="s">
        <v>3250</v>
      </c>
      <c r="B8540" s="2" t="s">
        <v>561</v>
      </c>
      <c r="C8540" s="2">
        <v>654.73659999999995</v>
      </c>
      <c r="D8540" s="2">
        <f>HYPERLINK("http://mcb-m6.bioreg.kyushu-u.ac.jp/M3/20110421/F51042/1369/1", 69.02)</f>
        <v>69.02</v>
      </c>
      <c r="E8540" s="2">
        <v>45.01</v>
      </c>
      <c r="F8540" s="2">
        <v>2</v>
      </c>
      <c r="G8540" s="2" t="s">
        <v>11</v>
      </c>
    </row>
    <row r="8541" spans="1:9" x14ac:dyDescent="0.2">
      <c r="A8541" s="2" t="s">
        <v>3250</v>
      </c>
      <c r="B8541" s="2" t="s">
        <v>356</v>
      </c>
      <c r="C8541" s="2">
        <v>816.37959999999998</v>
      </c>
      <c r="D8541" s="2">
        <f>HYPERLINK("http://mcb-m6.bioreg.kyushu-u.ac.jp/M3/20110421/F51042/2381/1", 69.39)</f>
        <v>69.39</v>
      </c>
      <c r="E8541" s="2">
        <v>52.56</v>
      </c>
      <c r="F8541" s="2">
        <v>2</v>
      </c>
      <c r="G8541" s="2" t="s">
        <v>11</v>
      </c>
    </row>
    <row r="8542" spans="1:9" x14ac:dyDescent="0.2">
      <c r="A8542" s="2" t="s">
        <v>3250</v>
      </c>
      <c r="B8542" s="2" t="s">
        <v>503</v>
      </c>
      <c r="C8542" s="2">
        <v>816.41520000000003</v>
      </c>
      <c r="D8542" s="2">
        <f>HYPERLINK("http://mcb-m6.bioreg.kyushu-u.ac.jp/M3/20110421/F51042/2382/1", 69.61)</f>
        <v>69.61</v>
      </c>
      <c r="E8542" s="2">
        <v>58.29</v>
      </c>
      <c r="F8542" s="2">
        <v>2</v>
      </c>
      <c r="G8542" s="2" t="s">
        <v>11</v>
      </c>
      <c r="H8542" s="2" t="s">
        <v>4907</v>
      </c>
    </row>
    <row r="8543" spans="1:9" x14ac:dyDescent="0.2">
      <c r="A8543" s="2" t="s">
        <v>3250</v>
      </c>
      <c r="B8543" s="2" t="s">
        <v>1065</v>
      </c>
      <c r="C8543" s="2">
        <v>717.24519999999995</v>
      </c>
      <c r="D8543" s="2">
        <f>HYPERLINK("http://mcb-m6.bioreg.kyushu-u.ac.jp/M3/20110421/F51037/1865/1", 70.33)</f>
        <v>70.33</v>
      </c>
      <c r="E8543" s="2">
        <v>56.94</v>
      </c>
      <c r="F8543" s="2">
        <v>2</v>
      </c>
      <c r="G8543" s="2" t="s">
        <v>11</v>
      </c>
      <c r="I8543" s="2" t="s">
        <v>4892</v>
      </c>
    </row>
    <row r="8544" spans="1:9" x14ac:dyDescent="0.2">
      <c r="A8544" s="2" t="s">
        <v>3250</v>
      </c>
      <c r="B8544" s="2" t="s">
        <v>772</v>
      </c>
      <c r="C8544" s="2">
        <v>595.65470000000005</v>
      </c>
      <c r="D8544" s="2">
        <f>HYPERLINK("http://mcb-m6.bioreg.kyushu-u.ac.jp/M3/20110421/F51020/1446/1", 71.12)</f>
        <v>71.12</v>
      </c>
      <c r="E8544" s="2">
        <v>30.33</v>
      </c>
      <c r="F8544" s="2">
        <v>2</v>
      </c>
      <c r="G8544" s="2" t="s">
        <v>11</v>
      </c>
    </row>
    <row r="8545" spans="1:9" x14ac:dyDescent="0.2">
      <c r="A8545" s="2" t="s">
        <v>3250</v>
      </c>
      <c r="B8545" s="2" t="s">
        <v>1255</v>
      </c>
      <c r="C8545" s="2">
        <v>1273.92</v>
      </c>
      <c r="D8545" s="2">
        <f>HYPERLINK("http://mcb-m6.bioreg.kyushu-u.ac.jp/M3/20110421/F51035/3684/1", 71.53)</f>
        <v>71.53</v>
      </c>
      <c r="E8545" s="2">
        <v>60.84</v>
      </c>
      <c r="F8545" s="2">
        <v>2</v>
      </c>
      <c r="G8545" s="2" t="s">
        <v>11</v>
      </c>
      <c r="I8545" s="2" t="s">
        <v>4906</v>
      </c>
    </row>
    <row r="8546" spans="1:9" x14ac:dyDescent="0.2">
      <c r="A8546" s="2" t="s">
        <v>3250</v>
      </c>
      <c r="B8546" s="2" t="s">
        <v>481</v>
      </c>
      <c r="C8546" s="2">
        <v>709.5616</v>
      </c>
      <c r="D8546" s="2">
        <f>HYPERLINK("http://mcb-m6.bioreg.kyushu-u.ac.jp/M3/20110421/F51014/1992/1", 72.75)</f>
        <v>72.75</v>
      </c>
      <c r="E8546" s="2">
        <v>42.31</v>
      </c>
      <c r="F8546" s="2">
        <v>2</v>
      </c>
      <c r="G8546" s="2" t="s">
        <v>11</v>
      </c>
      <c r="I8546" s="2" t="s">
        <v>4898</v>
      </c>
    </row>
    <row r="8547" spans="1:9" x14ac:dyDescent="0.2">
      <c r="A8547" s="2" t="s">
        <v>3250</v>
      </c>
      <c r="B8547" s="2" t="s">
        <v>561</v>
      </c>
      <c r="C8547" s="2">
        <v>662.86360000000002</v>
      </c>
      <c r="D8547" s="2">
        <f>HYPERLINK("http://mcb-m6.bioreg.kyushu-u.ac.jp/M3/20110421/F51042/1418/1", 72.83)</f>
        <v>72.83</v>
      </c>
      <c r="E8547" s="2">
        <v>53.27</v>
      </c>
      <c r="F8547" s="2">
        <v>2</v>
      </c>
      <c r="G8547" s="2" t="s">
        <v>11</v>
      </c>
      <c r="H8547" s="2" t="s">
        <v>4919</v>
      </c>
    </row>
    <row r="8548" spans="1:9" x14ac:dyDescent="0.2">
      <c r="A8548" s="2" t="s">
        <v>3250</v>
      </c>
      <c r="B8548" s="2" t="s">
        <v>481</v>
      </c>
      <c r="C8548" s="2">
        <v>709.94209999999998</v>
      </c>
      <c r="D8548" s="2">
        <f>HYPERLINK("http://mcb-m6.bioreg.kyushu-u.ac.jp/M3/20110421/F51034/1860/1", 73.04)</f>
        <v>73.040000000000006</v>
      </c>
      <c r="E8548" s="2">
        <v>53.68</v>
      </c>
      <c r="F8548" s="2">
        <v>2</v>
      </c>
      <c r="G8548" s="2" t="s">
        <v>11</v>
      </c>
      <c r="I8548" s="2" t="s">
        <v>4898</v>
      </c>
    </row>
    <row r="8549" spans="1:9" x14ac:dyDescent="0.2">
      <c r="A8549" s="2" t="s">
        <v>3250</v>
      </c>
      <c r="B8549" s="2" t="s">
        <v>481</v>
      </c>
      <c r="C8549" s="2">
        <v>709.49159999999995</v>
      </c>
      <c r="D8549" s="2">
        <f>HYPERLINK("http://mcb-m6.bioreg.kyushu-u.ac.jp/M3/20110421/F51058/1678/1", 73.08)</f>
        <v>73.08</v>
      </c>
      <c r="E8549" s="2">
        <v>50.49</v>
      </c>
      <c r="F8549" s="2">
        <v>2</v>
      </c>
      <c r="G8549" s="2" t="s">
        <v>11</v>
      </c>
      <c r="I8549" s="2" t="s">
        <v>4898</v>
      </c>
    </row>
    <row r="8550" spans="1:9" x14ac:dyDescent="0.2">
      <c r="A8550" s="2" t="s">
        <v>3250</v>
      </c>
      <c r="B8550" s="2" t="s">
        <v>77</v>
      </c>
      <c r="C8550" s="2">
        <v>574.77419999999995</v>
      </c>
      <c r="D8550" s="2">
        <f>HYPERLINK("http://mcb-m6.bioreg.kyushu-u.ac.jp/M3/20110421/F51040/1263/1", 73.19)</f>
        <v>73.19</v>
      </c>
      <c r="E8550" s="2">
        <v>46.27</v>
      </c>
      <c r="F8550" s="2">
        <v>2</v>
      </c>
      <c r="G8550" s="2" t="s">
        <v>11</v>
      </c>
    </row>
    <row r="8551" spans="1:9" x14ac:dyDescent="0.2">
      <c r="A8551" s="2" t="s">
        <v>3250</v>
      </c>
      <c r="B8551" s="2" t="s">
        <v>561</v>
      </c>
      <c r="C8551" s="2">
        <v>654.51419999999996</v>
      </c>
      <c r="D8551" s="2">
        <f>HYPERLINK("http://mcb-m6.bioreg.kyushu-u.ac.jp/M3/20110421/F51042/1368/1", 73.88)</f>
        <v>73.88</v>
      </c>
      <c r="E8551" s="2">
        <v>51.06</v>
      </c>
      <c r="F8551" s="2">
        <v>2</v>
      </c>
      <c r="G8551" s="2" t="s">
        <v>11</v>
      </c>
    </row>
    <row r="8552" spans="1:9" x14ac:dyDescent="0.2">
      <c r="A8552" s="2" t="s">
        <v>3250</v>
      </c>
      <c r="B8552" s="2" t="s">
        <v>481</v>
      </c>
      <c r="C8552" s="2">
        <v>709.22119999999995</v>
      </c>
      <c r="D8552" s="2">
        <f>HYPERLINK("http://mcb-m6.bioreg.kyushu-u.ac.jp/M3/20110421/F51039/1901/1", 74.08)</f>
        <v>74.08</v>
      </c>
      <c r="E8552" s="2">
        <v>54.74</v>
      </c>
      <c r="F8552" s="2">
        <v>2</v>
      </c>
      <c r="G8552" s="2" t="s">
        <v>11</v>
      </c>
      <c r="I8552" s="2" t="s">
        <v>4898</v>
      </c>
    </row>
    <row r="8553" spans="1:9" x14ac:dyDescent="0.2">
      <c r="A8553" s="2" t="s">
        <v>3250</v>
      </c>
      <c r="B8553" s="2" t="s">
        <v>772</v>
      </c>
      <c r="C8553" s="2">
        <v>595.72720000000004</v>
      </c>
      <c r="D8553" s="2">
        <f>HYPERLINK("http://mcb-m6.bioreg.kyushu-u.ac.jp/M3/20110421/F51042/1085/1", 74.29)</f>
        <v>74.290000000000006</v>
      </c>
      <c r="E8553" s="2">
        <v>50.02</v>
      </c>
      <c r="F8553" s="2">
        <v>2</v>
      </c>
      <c r="G8553" s="2" t="s">
        <v>11</v>
      </c>
    </row>
    <row r="8554" spans="1:9" x14ac:dyDescent="0.2">
      <c r="A8554" s="2" t="s">
        <v>3250</v>
      </c>
      <c r="B8554" s="2" t="s">
        <v>77</v>
      </c>
      <c r="C8554" s="2">
        <v>575.17570000000001</v>
      </c>
      <c r="D8554" s="2">
        <f>HYPERLINK("http://mcb-m6.bioreg.kyushu-u.ac.jp/M3/20110421/F51020/1351/1", 74.32)</f>
        <v>74.319999999999993</v>
      </c>
      <c r="E8554" s="2">
        <v>42.73</v>
      </c>
      <c r="F8554" s="2">
        <v>2</v>
      </c>
      <c r="G8554" s="2" t="s">
        <v>11</v>
      </c>
    </row>
    <row r="8555" spans="1:9" x14ac:dyDescent="0.2">
      <c r="A8555" s="2" t="s">
        <v>3250</v>
      </c>
      <c r="B8555" s="2" t="s">
        <v>77</v>
      </c>
      <c r="C8555" s="2">
        <v>574.51210000000003</v>
      </c>
      <c r="D8555" s="2">
        <f>HYPERLINK("http://mcb-m6.bioreg.kyushu-u.ac.jp/M3/20110421/F51035/1095/1", 74.37)</f>
        <v>74.37</v>
      </c>
      <c r="E8555" s="2">
        <v>49.05</v>
      </c>
      <c r="F8555" s="2">
        <v>2</v>
      </c>
      <c r="G8555" s="2" t="s">
        <v>11</v>
      </c>
    </row>
    <row r="8556" spans="1:9" x14ac:dyDescent="0.2">
      <c r="A8556" s="2" t="s">
        <v>3250</v>
      </c>
      <c r="B8556" s="2" t="s">
        <v>77</v>
      </c>
      <c r="C8556" s="2">
        <v>574.89419999999996</v>
      </c>
      <c r="D8556" s="2">
        <f>HYPERLINK("http://mcb-m6.bioreg.kyushu-u.ac.jp/M3/20110421/F51018/1370/1", 74.83)</f>
        <v>74.83</v>
      </c>
      <c r="E8556" s="2">
        <v>51.27</v>
      </c>
      <c r="F8556" s="2">
        <v>2</v>
      </c>
      <c r="G8556" s="2" t="s">
        <v>11</v>
      </c>
    </row>
    <row r="8557" spans="1:9" x14ac:dyDescent="0.2">
      <c r="A8557" s="2" t="s">
        <v>3250</v>
      </c>
      <c r="B8557" s="2" t="s">
        <v>561</v>
      </c>
      <c r="C8557" s="2">
        <v>662.73569999999995</v>
      </c>
      <c r="D8557" s="2">
        <f>HYPERLINK("http://mcb-m6.bioreg.kyushu-u.ac.jp/M3/20110421/F51042/1417/1", 75.6)</f>
        <v>75.599999999999994</v>
      </c>
      <c r="E8557" s="2">
        <v>55.55</v>
      </c>
      <c r="F8557" s="2">
        <v>2</v>
      </c>
      <c r="G8557" s="2" t="s">
        <v>11</v>
      </c>
      <c r="H8557" s="2" t="s">
        <v>4919</v>
      </c>
    </row>
    <row r="8558" spans="1:9" x14ac:dyDescent="0.2">
      <c r="A8558" s="2" t="s">
        <v>3250</v>
      </c>
      <c r="B8558" s="2" t="s">
        <v>561</v>
      </c>
      <c r="C8558" s="2">
        <v>654.23720000000003</v>
      </c>
      <c r="D8558" s="2">
        <f>HYPERLINK("http://mcb-m6.bioreg.kyushu-u.ac.jp/M3/20110421/F51042/1366/1", 75.87)</f>
        <v>75.87</v>
      </c>
      <c r="E8558" s="2">
        <v>58.53</v>
      </c>
      <c r="F8558" s="2">
        <v>2</v>
      </c>
      <c r="G8558" s="2" t="s">
        <v>11</v>
      </c>
    </row>
    <row r="8559" spans="1:9" x14ac:dyDescent="0.2">
      <c r="A8559" s="2" t="s">
        <v>3250</v>
      </c>
      <c r="B8559" s="2" t="s">
        <v>561</v>
      </c>
      <c r="C8559" s="2">
        <v>654.73910000000001</v>
      </c>
      <c r="D8559" s="2">
        <f>HYPERLINK("http://mcb-m6.bioreg.kyushu-u.ac.jp/M3/20110421/F51042/1370/1", 76)</f>
        <v>76</v>
      </c>
      <c r="E8559" s="2">
        <v>45.65</v>
      </c>
      <c r="F8559" s="2">
        <v>2</v>
      </c>
      <c r="G8559" s="2" t="s">
        <v>11</v>
      </c>
    </row>
    <row r="8560" spans="1:9" x14ac:dyDescent="0.2">
      <c r="A8560" s="2" t="s">
        <v>3250</v>
      </c>
      <c r="B8560" s="2" t="s">
        <v>1255</v>
      </c>
      <c r="C8560" s="2">
        <v>1274.095</v>
      </c>
      <c r="D8560" s="2">
        <f>HYPERLINK("http://mcb-m6.bioreg.kyushu-u.ac.jp/M3/20110421/F51040/3457/1", 76.04)</f>
        <v>76.040000000000006</v>
      </c>
      <c r="E8560" s="2">
        <v>67</v>
      </c>
      <c r="F8560" s="2">
        <v>2</v>
      </c>
      <c r="G8560" s="2" t="s">
        <v>11</v>
      </c>
      <c r="I8560" s="2" t="s">
        <v>4906</v>
      </c>
    </row>
    <row r="8561" spans="1:9" x14ac:dyDescent="0.2">
      <c r="A8561" s="2" t="s">
        <v>3250</v>
      </c>
      <c r="B8561" s="2" t="s">
        <v>561</v>
      </c>
      <c r="C8561" s="2">
        <v>654.73469999999998</v>
      </c>
      <c r="D8561" s="2">
        <f>HYPERLINK("http://mcb-m6.bioreg.kyushu-u.ac.jp/M3/20110421/F51015/1770/1", 76.11)</f>
        <v>76.11</v>
      </c>
      <c r="E8561" s="2">
        <v>55.59</v>
      </c>
      <c r="F8561" s="2">
        <v>2</v>
      </c>
      <c r="G8561" s="2" t="s">
        <v>11</v>
      </c>
    </row>
    <row r="8562" spans="1:9" x14ac:dyDescent="0.2">
      <c r="A8562" s="2" t="s">
        <v>3250</v>
      </c>
      <c r="B8562" s="2" t="s">
        <v>365</v>
      </c>
      <c r="C8562" s="2">
        <v>849.34059999999999</v>
      </c>
      <c r="D8562" s="2">
        <f>HYPERLINK("http://mcb-m6.bioreg.kyushu-u.ac.jp/M3/20110421/F51042/2587/1", 76.32)</f>
        <v>76.319999999999993</v>
      </c>
      <c r="E8562" s="2">
        <v>56.01</v>
      </c>
      <c r="F8562" s="2">
        <v>2</v>
      </c>
      <c r="G8562" s="2" t="s">
        <v>11</v>
      </c>
    </row>
    <row r="8563" spans="1:9" x14ac:dyDescent="0.2">
      <c r="A8563" s="2" t="s">
        <v>3250</v>
      </c>
      <c r="B8563" s="2" t="s">
        <v>1065</v>
      </c>
      <c r="C8563" s="2">
        <v>717.16610000000003</v>
      </c>
      <c r="D8563" s="2">
        <f>HYPERLINK("http://mcb-m6.bioreg.kyushu-u.ac.jp/M3/20110421/F51015/1976/1", 76.43)</f>
        <v>76.430000000000007</v>
      </c>
      <c r="E8563" s="2">
        <v>65.209999999999994</v>
      </c>
      <c r="F8563" s="2">
        <v>2</v>
      </c>
      <c r="G8563" s="2" t="s">
        <v>11</v>
      </c>
      <c r="I8563" s="2" t="s">
        <v>4892</v>
      </c>
    </row>
    <row r="8564" spans="1:9" x14ac:dyDescent="0.2">
      <c r="A8564" s="2" t="s">
        <v>3250</v>
      </c>
      <c r="B8564" s="2" t="s">
        <v>1065</v>
      </c>
      <c r="C8564" s="2">
        <v>716.74869999999999</v>
      </c>
      <c r="D8564" s="2">
        <f>HYPERLINK("http://mcb-m6.bioreg.kyushu-u.ac.jp/M3/20110421/F51017/1913/1", 76.77)</f>
        <v>76.77</v>
      </c>
      <c r="E8564" s="2">
        <v>61.8</v>
      </c>
      <c r="F8564" s="2">
        <v>2</v>
      </c>
      <c r="G8564" s="2" t="s">
        <v>11</v>
      </c>
      <c r="I8564" s="2" t="s">
        <v>4892</v>
      </c>
    </row>
    <row r="8565" spans="1:9" x14ac:dyDescent="0.2">
      <c r="A8565" s="2" t="s">
        <v>3250</v>
      </c>
      <c r="B8565" s="2" t="s">
        <v>102</v>
      </c>
      <c r="C8565" s="2">
        <v>608.70569999999998</v>
      </c>
      <c r="D8565" s="2">
        <f>HYPERLINK("http://mcb-m6.bioreg.kyushu-u.ac.jp/M3/20110421/F51042/1153/1", 76.98)</f>
        <v>76.98</v>
      </c>
      <c r="E8565" s="2">
        <v>62.65</v>
      </c>
      <c r="F8565" s="2">
        <v>2</v>
      </c>
      <c r="G8565" s="2" t="s">
        <v>11</v>
      </c>
    </row>
    <row r="8566" spans="1:9" x14ac:dyDescent="0.2">
      <c r="A8566" s="2" t="s">
        <v>3250</v>
      </c>
      <c r="B8566" s="2" t="s">
        <v>102</v>
      </c>
      <c r="C8566" s="2">
        <v>616.21169999999995</v>
      </c>
      <c r="D8566" s="2">
        <f>HYPERLINK("http://mcb-m6.bioreg.kyushu-u.ac.jp/M3/20110421/F51020/1533/1", 76.99)</f>
        <v>76.989999999999995</v>
      </c>
      <c r="E8566" s="2">
        <v>59.82</v>
      </c>
      <c r="F8566" s="2">
        <v>2</v>
      </c>
      <c r="G8566" s="2" t="s">
        <v>11</v>
      </c>
      <c r="H8566" s="2" t="s">
        <v>4900</v>
      </c>
    </row>
    <row r="8567" spans="1:9" x14ac:dyDescent="0.2">
      <c r="A8567" s="2" t="s">
        <v>3250</v>
      </c>
      <c r="B8567" s="2" t="s">
        <v>356</v>
      </c>
      <c r="C8567" s="2">
        <v>816.31619999999998</v>
      </c>
      <c r="D8567" s="2">
        <f>HYPERLINK("http://mcb-m6.bioreg.kyushu-u.ac.jp/M3/20110421/F51042/2379/1", 77.46)</f>
        <v>77.459999999999994</v>
      </c>
      <c r="E8567" s="2">
        <v>57.59</v>
      </c>
      <c r="F8567" s="2">
        <v>2</v>
      </c>
      <c r="G8567" s="2" t="s">
        <v>11</v>
      </c>
    </row>
    <row r="8568" spans="1:9" x14ac:dyDescent="0.2">
      <c r="A8568" s="2" t="s">
        <v>3250</v>
      </c>
      <c r="B8568" s="2" t="s">
        <v>561</v>
      </c>
      <c r="C8568" s="2">
        <v>654.22609999999997</v>
      </c>
      <c r="D8568" s="2">
        <f>HYPERLINK("http://mcb-m6.bioreg.kyushu-u.ac.jp/M3/20110421/F51042/1363/1", 78.05)</f>
        <v>78.05</v>
      </c>
      <c r="E8568" s="2">
        <v>47.65</v>
      </c>
      <c r="F8568" s="2">
        <v>2</v>
      </c>
      <c r="G8568" s="2" t="s">
        <v>11</v>
      </c>
    </row>
    <row r="8569" spans="1:9" x14ac:dyDescent="0.2">
      <c r="A8569" s="2" t="s">
        <v>3250</v>
      </c>
      <c r="B8569" s="2" t="s">
        <v>467</v>
      </c>
      <c r="C8569" s="2">
        <v>691.54909999999995</v>
      </c>
      <c r="D8569" s="2">
        <f>HYPERLINK("http://mcb-m6.bioreg.kyushu-u.ac.jp/M3/20110421/F51015/1890/1", 78.64)</f>
        <v>78.64</v>
      </c>
      <c r="E8569" s="2">
        <v>53.19</v>
      </c>
      <c r="F8569" s="2">
        <v>2</v>
      </c>
      <c r="G8569" s="2" t="s">
        <v>11</v>
      </c>
    </row>
    <row r="8570" spans="1:9" x14ac:dyDescent="0.2">
      <c r="A8570" s="2" t="s">
        <v>3250</v>
      </c>
      <c r="B8570" s="2" t="s">
        <v>772</v>
      </c>
      <c r="C8570" s="2">
        <v>595.93820000000005</v>
      </c>
      <c r="D8570" s="2">
        <f>HYPERLINK("http://mcb-m6.bioreg.kyushu-u.ac.jp/M3/20110421/F51040/1356/1", 78.77)</f>
        <v>78.77</v>
      </c>
      <c r="E8570" s="2">
        <v>43.83</v>
      </c>
      <c r="F8570" s="2">
        <v>2</v>
      </c>
      <c r="G8570" s="2" t="s">
        <v>11</v>
      </c>
    </row>
    <row r="8571" spans="1:9" x14ac:dyDescent="0.2">
      <c r="A8571" s="2" t="s">
        <v>3250</v>
      </c>
      <c r="B8571" s="2" t="s">
        <v>503</v>
      </c>
      <c r="C8571" s="2">
        <v>808.64760000000001</v>
      </c>
      <c r="D8571" s="2">
        <f>HYPERLINK("http://mcb-m6.bioreg.kyushu-u.ac.jp/M3/20110421/F51042/2325/1", 79.22)</f>
        <v>79.22</v>
      </c>
      <c r="E8571" s="2">
        <v>65.69</v>
      </c>
      <c r="F8571" s="2">
        <v>2</v>
      </c>
      <c r="G8571" s="2" t="s">
        <v>11</v>
      </c>
    </row>
    <row r="8572" spans="1:9" x14ac:dyDescent="0.2">
      <c r="A8572" s="2" t="s">
        <v>3250</v>
      </c>
      <c r="B8572" s="2" t="s">
        <v>365</v>
      </c>
      <c r="C8572" s="2">
        <v>848.76919999999996</v>
      </c>
      <c r="D8572" s="2">
        <f>HYPERLINK("http://mcb-m6.bioreg.kyushu-u.ac.jp/M3/20110421/F51034/2517/1", 79.61)</f>
        <v>79.61</v>
      </c>
      <c r="E8572" s="2">
        <v>56.45</v>
      </c>
      <c r="F8572" s="2">
        <v>2</v>
      </c>
      <c r="G8572" s="2" t="s">
        <v>11</v>
      </c>
    </row>
    <row r="8573" spans="1:9" x14ac:dyDescent="0.2">
      <c r="A8573" s="2" t="s">
        <v>3250</v>
      </c>
      <c r="B8573" s="2" t="s">
        <v>481</v>
      </c>
      <c r="C8573" s="2">
        <v>709.5847</v>
      </c>
      <c r="D8573" s="2">
        <f>HYPERLINK("http://mcb-m6.bioreg.kyushu-u.ac.jp/M3/20110421/F51037/1813/1", 79.63)</f>
        <v>79.63</v>
      </c>
      <c r="E8573" s="2">
        <v>60.53</v>
      </c>
      <c r="F8573" s="2">
        <v>2</v>
      </c>
      <c r="G8573" s="2" t="s">
        <v>11</v>
      </c>
      <c r="I8573" s="2" t="s">
        <v>4898</v>
      </c>
    </row>
    <row r="8574" spans="1:9" x14ac:dyDescent="0.2">
      <c r="A8574" s="2" t="s">
        <v>3250</v>
      </c>
      <c r="B8574" s="2" t="s">
        <v>90</v>
      </c>
      <c r="C8574" s="2">
        <v>1432.461</v>
      </c>
      <c r="D8574" s="2">
        <f>HYPERLINK("http://mcb-m6.bioreg.kyushu-u.ac.jp/M3/20110421/F51015/1972/1", 79.8)</f>
        <v>79.8</v>
      </c>
      <c r="E8574" s="2">
        <v>65.75</v>
      </c>
      <c r="F8574" s="2">
        <v>1</v>
      </c>
      <c r="G8574" s="2" t="s">
        <v>11</v>
      </c>
    </row>
    <row r="8575" spans="1:9" x14ac:dyDescent="0.2">
      <c r="A8575" s="2" t="s">
        <v>3250</v>
      </c>
      <c r="B8575" s="2" t="s">
        <v>90</v>
      </c>
      <c r="C8575" s="2">
        <v>1432.471</v>
      </c>
      <c r="D8575" s="2">
        <f>HYPERLINK("http://mcb-m6.bioreg.kyushu-u.ac.jp/M3/20110421/F51042/1760/1", 79.92)</f>
        <v>79.92</v>
      </c>
      <c r="E8575" s="2">
        <v>69.98</v>
      </c>
      <c r="F8575" s="2">
        <v>1</v>
      </c>
      <c r="G8575" s="2" t="s">
        <v>11</v>
      </c>
    </row>
    <row r="8576" spans="1:9" x14ac:dyDescent="0.2">
      <c r="A8576" s="2" t="s">
        <v>3250</v>
      </c>
      <c r="B8576" s="2" t="s">
        <v>77</v>
      </c>
      <c r="C8576" s="2">
        <v>574.66970000000003</v>
      </c>
      <c r="D8576" s="2">
        <f>HYPERLINK("http://mcb-m6.bioreg.kyushu-u.ac.jp/M3/20110421/F51020/1350/1", 80.95)</f>
        <v>80.95</v>
      </c>
      <c r="E8576" s="2">
        <v>57.29</v>
      </c>
      <c r="F8576" s="2">
        <v>2</v>
      </c>
      <c r="G8576" s="2" t="s">
        <v>11</v>
      </c>
    </row>
    <row r="8577" spans="1:9" x14ac:dyDescent="0.2">
      <c r="A8577" s="2" t="s">
        <v>3250</v>
      </c>
      <c r="B8577" s="2" t="s">
        <v>561</v>
      </c>
      <c r="C8577" s="2">
        <v>662.60670000000005</v>
      </c>
      <c r="D8577" s="2">
        <f>HYPERLINK("http://mcb-m6.bioreg.kyushu-u.ac.jp/M3/20110421/F51015/1787/1", 81.32)</f>
        <v>81.319999999999993</v>
      </c>
      <c r="E8577" s="2">
        <v>58.81</v>
      </c>
      <c r="F8577" s="2">
        <v>2</v>
      </c>
      <c r="G8577" s="2" t="s">
        <v>11</v>
      </c>
      <c r="H8577" s="2" t="s">
        <v>4919</v>
      </c>
    </row>
    <row r="8578" spans="1:9" x14ac:dyDescent="0.2">
      <c r="A8578" s="2" t="s">
        <v>3250</v>
      </c>
      <c r="B8578" s="2" t="s">
        <v>561</v>
      </c>
      <c r="C8578" s="2">
        <v>654.13369999999998</v>
      </c>
      <c r="D8578" s="2">
        <f>HYPERLINK("http://mcb-m6.bioreg.kyushu-u.ac.jp/M3/20110421/F51015/1766/1", 81.59)</f>
        <v>81.59</v>
      </c>
      <c r="E8578" s="2">
        <v>55.06</v>
      </c>
      <c r="F8578" s="2">
        <v>2</v>
      </c>
      <c r="G8578" s="2" t="s">
        <v>11</v>
      </c>
    </row>
    <row r="8579" spans="1:9" x14ac:dyDescent="0.2">
      <c r="A8579" s="2" t="s">
        <v>3250</v>
      </c>
      <c r="B8579" s="2" t="s">
        <v>543</v>
      </c>
      <c r="C8579" s="2">
        <v>926.97220000000004</v>
      </c>
      <c r="D8579" s="2">
        <f>HYPERLINK("http://mcb-m6.bioreg.kyushu-u.ac.jp/M3/20110421/F51042/2983/1", 81.6)</f>
        <v>81.599999999999994</v>
      </c>
      <c r="E8579" s="2">
        <v>64.010000000000005</v>
      </c>
      <c r="F8579" s="2">
        <v>2</v>
      </c>
      <c r="G8579" s="2" t="s">
        <v>11</v>
      </c>
    </row>
    <row r="8580" spans="1:9" x14ac:dyDescent="0.2">
      <c r="A8580" s="2" t="s">
        <v>3250</v>
      </c>
      <c r="B8580" s="2" t="s">
        <v>1065</v>
      </c>
      <c r="C8580" s="2">
        <v>716.59860000000003</v>
      </c>
      <c r="D8580" s="2">
        <f>HYPERLINK("http://mcb-m6.bioreg.kyushu-u.ac.jp/M3/20110421/F51014/2031/1", 81.8)</f>
        <v>81.8</v>
      </c>
      <c r="E8580" s="2">
        <v>63.67</v>
      </c>
      <c r="F8580" s="2">
        <v>2</v>
      </c>
      <c r="G8580" s="2" t="s">
        <v>11</v>
      </c>
      <c r="I8580" s="2" t="s">
        <v>4892</v>
      </c>
    </row>
    <row r="8581" spans="1:9" x14ac:dyDescent="0.2">
      <c r="A8581" s="2" t="s">
        <v>3250</v>
      </c>
      <c r="B8581" s="2" t="s">
        <v>1065</v>
      </c>
      <c r="C8581" s="2">
        <v>717.3066</v>
      </c>
      <c r="D8581" s="2">
        <f>HYPERLINK("http://mcb-m6.bioreg.kyushu-u.ac.jp/M3/20110421/F51017/1919/1", 82.41)</f>
        <v>82.41</v>
      </c>
      <c r="E8581" s="2">
        <v>69.06</v>
      </c>
      <c r="F8581" s="2">
        <v>2</v>
      </c>
      <c r="G8581" s="2" t="s">
        <v>11</v>
      </c>
      <c r="I8581" s="2" t="s">
        <v>4892</v>
      </c>
    </row>
    <row r="8582" spans="1:9" x14ac:dyDescent="0.2">
      <c r="A8582" s="2" t="s">
        <v>3250</v>
      </c>
      <c r="B8582" s="2" t="s">
        <v>356</v>
      </c>
      <c r="C8582" s="2">
        <v>816.24270000000001</v>
      </c>
      <c r="D8582" s="2">
        <f>HYPERLINK("http://mcb-m6.bioreg.kyushu-u.ac.jp/M3/20110421/F51042/2377/1", 82.44)</f>
        <v>82.44</v>
      </c>
      <c r="E8582" s="2">
        <v>62.09</v>
      </c>
      <c r="F8582" s="2">
        <v>2</v>
      </c>
      <c r="G8582" s="2" t="s">
        <v>11</v>
      </c>
    </row>
    <row r="8583" spans="1:9" x14ac:dyDescent="0.2">
      <c r="A8583" s="2" t="s">
        <v>3250</v>
      </c>
      <c r="B8583" s="2" t="s">
        <v>356</v>
      </c>
      <c r="C8583" s="2">
        <v>815.90369999999996</v>
      </c>
      <c r="D8583" s="2">
        <f>HYPERLINK("http://mcb-m6.bioreg.kyushu-u.ac.jp/M3/20110421/F51042/2373/1", 82.99)</f>
        <v>82.99</v>
      </c>
      <c r="E8583" s="2">
        <v>70.88</v>
      </c>
      <c r="F8583" s="2">
        <v>2</v>
      </c>
      <c r="G8583" s="2" t="s">
        <v>11</v>
      </c>
    </row>
    <row r="8584" spans="1:9" x14ac:dyDescent="0.2">
      <c r="A8584" s="2" t="s">
        <v>3250</v>
      </c>
      <c r="B8584" s="2" t="s">
        <v>481</v>
      </c>
      <c r="C8584" s="2">
        <v>709.29610000000002</v>
      </c>
      <c r="D8584" s="2">
        <f>HYPERLINK("http://mcb-m6.bioreg.kyushu-u.ac.jp/M3/20110421/F51019/1918/1", 83.04)</f>
        <v>83.04</v>
      </c>
      <c r="E8584" s="2">
        <v>63.83</v>
      </c>
      <c r="F8584" s="2">
        <v>2</v>
      </c>
      <c r="G8584" s="2" t="s">
        <v>11</v>
      </c>
      <c r="I8584" s="2" t="s">
        <v>4898</v>
      </c>
    </row>
    <row r="8585" spans="1:9" x14ac:dyDescent="0.2">
      <c r="A8585" s="2" t="s">
        <v>3250</v>
      </c>
      <c r="B8585" s="2" t="s">
        <v>481</v>
      </c>
      <c r="C8585" s="2">
        <v>709.02009999999996</v>
      </c>
      <c r="D8585" s="2">
        <f>HYPERLINK("http://mcb-m6.bioreg.kyushu-u.ac.jp/M3/20110421/F51014/1986/1", 83.43)</f>
        <v>83.43</v>
      </c>
      <c r="E8585" s="2">
        <v>58.27</v>
      </c>
      <c r="F8585" s="2">
        <v>2</v>
      </c>
      <c r="G8585" s="2" t="s">
        <v>11</v>
      </c>
      <c r="I8585" s="2" t="s">
        <v>4898</v>
      </c>
    </row>
    <row r="8586" spans="1:9" x14ac:dyDescent="0.2">
      <c r="A8586" s="2" t="s">
        <v>3250</v>
      </c>
      <c r="B8586" s="2" t="s">
        <v>561</v>
      </c>
      <c r="C8586" s="2">
        <v>662.23170000000005</v>
      </c>
      <c r="D8586" s="2">
        <f>HYPERLINK("http://mcb-m6.bioreg.kyushu-u.ac.jp/M3/20110421/F51042/1411/1", 84.05)</f>
        <v>84.05</v>
      </c>
      <c r="E8586" s="2">
        <v>65.39</v>
      </c>
      <c r="F8586" s="2">
        <v>2</v>
      </c>
      <c r="G8586" s="2" t="s">
        <v>11</v>
      </c>
      <c r="H8586" s="2" t="s">
        <v>4919</v>
      </c>
    </row>
    <row r="8587" spans="1:9" x14ac:dyDescent="0.2">
      <c r="A8587" s="2" t="s">
        <v>3250</v>
      </c>
      <c r="B8587" s="2" t="s">
        <v>102</v>
      </c>
      <c r="C8587" s="2">
        <v>608.58619999999996</v>
      </c>
      <c r="D8587" s="2">
        <f>HYPERLINK("http://mcb-m6.bioreg.kyushu-u.ac.jp/M3/20110421/F51020/1491/1", 84.3)</f>
        <v>84.3</v>
      </c>
      <c r="E8587" s="2">
        <v>67.14</v>
      </c>
      <c r="F8587" s="2">
        <v>2</v>
      </c>
      <c r="G8587" s="2" t="s">
        <v>11</v>
      </c>
    </row>
    <row r="8588" spans="1:9" x14ac:dyDescent="0.2">
      <c r="A8588" s="2" t="s">
        <v>3250</v>
      </c>
      <c r="B8588" s="2" t="s">
        <v>481</v>
      </c>
      <c r="C8588" s="2">
        <v>709.3442</v>
      </c>
      <c r="D8588" s="2">
        <f>HYPERLINK("http://mcb-m6.bioreg.kyushu-u.ac.jp/M3/20110421/F51040/1872/1", 84.57)</f>
        <v>84.57</v>
      </c>
      <c r="E8588" s="2">
        <v>66.44</v>
      </c>
      <c r="F8588" s="2">
        <v>2</v>
      </c>
      <c r="G8588" s="2" t="s">
        <v>11</v>
      </c>
      <c r="I8588" s="2" t="s">
        <v>4898</v>
      </c>
    </row>
    <row r="8589" spans="1:9" x14ac:dyDescent="0.2">
      <c r="A8589" s="2" t="s">
        <v>3250</v>
      </c>
      <c r="B8589" s="2" t="s">
        <v>481</v>
      </c>
      <c r="C8589" s="2">
        <v>709.26509999999996</v>
      </c>
      <c r="D8589" s="2">
        <f>HYPERLINK("http://mcb-m6.bioreg.kyushu-u.ac.jp/M3/20110421/F51020/1884/1", 84.69)</f>
        <v>84.69</v>
      </c>
      <c r="E8589" s="2">
        <v>63.12</v>
      </c>
      <c r="F8589" s="2">
        <v>2</v>
      </c>
      <c r="G8589" s="2" t="s">
        <v>11</v>
      </c>
      <c r="I8589" s="2" t="s">
        <v>4898</v>
      </c>
    </row>
    <row r="8590" spans="1:9" x14ac:dyDescent="0.2">
      <c r="A8590" s="2" t="s">
        <v>3250</v>
      </c>
      <c r="B8590" s="2" t="s">
        <v>467</v>
      </c>
      <c r="C8590" s="2">
        <v>692.2482</v>
      </c>
      <c r="D8590" s="2">
        <f>HYPERLINK("http://mcb-m6.bioreg.kyushu-u.ac.jp/M3/20110421/F51040/1765/1", 85.07)</f>
        <v>85.07</v>
      </c>
      <c r="E8590" s="2">
        <v>53.92</v>
      </c>
      <c r="F8590" s="2">
        <v>2</v>
      </c>
      <c r="G8590" s="2" t="s">
        <v>11</v>
      </c>
    </row>
    <row r="8591" spans="1:9" x14ac:dyDescent="0.2">
      <c r="A8591" s="2" t="s">
        <v>3250</v>
      </c>
      <c r="B8591" s="2" t="s">
        <v>561</v>
      </c>
      <c r="C8591" s="2">
        <v>661.97310000000004</v>
      </c>
      <c r="D8591" s="2">
        <f>HYPERLINK("http://mcb-m6.bioreg.kyushu-u.ac.jp/M3/20110421/F51015/1785/1", 86.18)</f>
        <v>86.18</v>
      </c>
      <c r="E8591" s="2">
        <v>60.95</v>
      </c>
      <c r="F8591" s="2">
        <v>2</v>
      </c>
      <c r="G8591" s="2" t="s">
        <v>11</v>
      </c>
      <c r="H8591" s="2" t="s">
        <v>4919</v>
      </c>
    </row>
    <row r="8592" spans="1:9" x14ac:dyDescent="0.2">
      <c r="A8592" s="2" t="s">
        <v>3250</v>
      </c>
      <c r="B8592" s="2" t="s">
        <v>481</v>
      </c>
      <c r="C8592" s="2">
        <v>709.20069999999998</v>
      </c>
      <c r="D8592" s="2">
        <f>HYPERLINK("http://mcb-m6.bioreg.kyushu-u.ac.jp/M3/20110421/F51017/1866/1", 86.19)</f>
        <v>86.19</v>
      </c>
      <c r="E8592" s="2">
        <v>66.569999999999993</v>
      </c>
      <c r="F8592" s="2">
        <v>2</v>
      </c>
      <c r="G8592" s="2" t="s">
        <v>11</v>
      </c>
      <c r="I8592" s="2" t="s">
        <v>4898</v>
      </c>
    </row>
    <row r="8593" spans="1:9" x14ac:dyDescent="0.2">
      <c r="A8593" s="2" t="s">
        <v>3250</v>
      </c>
      <c r="B8593" s="2" t="s">
        <v>772</v>
      </c>
      <c r="C8593" s="2">
        <v>596.17819999999995</v>
      </c>
      <c r="D8593" s="2">
        <f>HYPERLINK("http://mcb-m6.bioreg.kyushu-u.ac.jp/M3/20110421/F51019/1506/1", 86.3)</f>
        <v>86.3</v>
      </c>
      <c r="E8593" s="2">
        <v>56.91</v>
      </c>
      <c r="F8593" s="2">
        <v>2</v>
      </c>
      <c r="G8593" s="2" t="s">
        <v>11</v>
      </c>
    </row>
    <row r="8594" spans="1:9" x14ac:dyDescent="0.2">
      <c r="A8594" s="2" t="s">
        <v>3250</v>
      </c>
      <c r="B8594" s="2" t="s">
        <v>481</v>
      </c>
      <c r="C8594" s="2">
        <v>709.83219999999994</v>
      </c>
      <c r="D8594" s="2">
        <f>HYPERLINK("http://mcb-m6.bioreg.kyushu-u.ac.jp/M3/20110421/F51035/1803/1", 86.3)</f>
        <v>86.3</v>
      </c>
      <c r="E8594" s="2">
        <v>67.66</v>
      </c>
      <c r="F8594" s="2">
        <v>2</v>
      </c>
      <c r="G8594" s="2" t="s">
        <v>11</v>
      </c>
      <c r="I8594" s="2" t="s">
        <v>4898</v>
      </c>
    </row>
    <row r="8595" spans="1:9" x14ac:dyDescent="0.2">
      <c r="A8595" s="2" t="s">
        <v>3250</v>
      </c>
      <c r="B8595" s="2" t="s">
        <v>772</v>
      </c>
      <c r="C8595" s="2">
        <v>596.14469999999994</v>
      </c>
      <c r="D8595" s="2">
        <f>HYPERLINK("http://mcb-m6.bioreg.kyushu-u.ac.jp/M3/20110421/F51039/1380/1", 86.8)</f>
        <v>86.8</v>
      </c>
      <c r="E8595" s="2">
        <v>60</v>
      </c>
      <c r="F8595" s="2">
        <v>2</v>
      </c>
      <c r="G8595" s="2" t="s">
        <v>11</v>
      </c>
    </row>
    <row r="8596" spans="1:9" x14ac:dyDescent="0.2">
      <c r="A8596" s="2" t="s">
        <v>3250</v>
      </c>
      <c r="B8596" s="2" t="s">
        <v>90</v>
      </c>
      <c r="C8596" s="2">
        <v>717.09469999999999</v>
      </c>
      <c r="D8596" s="2">
        <f>HYPERLINK("http://mcb-m6.bioreg.kyushu-u.ac.jp/M3/20110421/F51015/1975/1", 87.14)</f>
        <v>87.14</v>
      </c>
      <c r="E8596" s="2">
        <v>43.7</v>
      </c>
      <c r="F8596" s="2">
        <v>2</v>
      </c>
      <c r="G8596" s="2" t="s">
        <v>11</v>
      </c>
    </row>
    <row r="8597" spans="1:9" x14ac:dyDescent="0.2">
      <c r="A8597" s="2" t="s">
        <v>3250</v>
      </c>
      <c r="B8597" s="2" t="s">
        <v>1065</v>
      </c>
      <c r="C8597" s="2">
        <v>716.86410000000001</v>
      </c>
      <c r="D8597" s="2">
        <f>HYPERLINK("http://mcb-m6.bioreg.kyushu-u.ac.jp/M3/20110421/F51042/1768/1", 87.84)</f>
        <v>87.84</v>
      </c>
      <c r="E8597" s="2">
        <v>76.12</v>
      </c>
      <c r="F8597" s="2">
        <v>2</v>
      </c>
      <c r="G8597" s="2" t="s">
        <v>11</v>
      </c>
      <c r="I8597" s="2" t="s">
        <v>4892</v>
      </c>
    </row>
    <row r="8598" spans="1:9" x14ac:dyDescent="0.2">
      <c r="A8598" s="2" t="s">
        <v>3250</v>
      </c>
      <c r="B8598" s="2" t="s">
        <v>356</v>
      </c>
      <c r="C8598" s="2">
        <v>816.49869999999999</v>
      </c>
      <c r="D8598" s="2">
        <f>HYPERLINK("http://mcb-m6.bioreg.kyushu-u.ac.jp/M3/20110421/F51042/2385/1", 89.35)</f>
        <v>89.35</v>
      </c>
      <c r="E8598" s="2">
        <v>68.12</v>
      </c>
      <c r="F8598" s="2">
        <v>2</v>
      </c>
      <c r="G8598" s="2" t="s">
        <v>11</v>
      </c>
    </row>
    <row r="8599" spans="1:9" x14ac:dyDescent="0.2">
      <c r="A8599" s="2" t="s">
        <v>3250</v>
      </c>
      <c r="B8599" s="2" t="s">
        <v>1255</v>
      </c>
      <c r="C8599" s="2">
        <v>1273.569</v>
      </c>
      <c r="D8599" s="2">
        <f>HYPERLINK("http://mcb-m6.bioreg.kyushu-u.ac.jp/M3/20110421/F51037/4066/1", 90.13)</f>
        <v>90.13</v>
      </c>
      <c r="E8599" s="2">
        <v>78.97</v>
      </c>
      <c r="F8599" s="2">
        <v>2</v>
      </c>
      <c r="G8599" s="2" t="s">
        <v>11</v>
      </c>
      <c r="I8599" s="2" t="s">
        <v>4906</v>
      </c>
    </row>
    <row r="8600" spans="1:9" x14ac:dyDescent="0.2">
      <c r="A8600" s="2" t="s">
        <v>3250</v>
      </c>
      <c r="B8600" s="2" t="s">
        <v>481</v>
      </c>
      <c r="C8600" s="2">
        <v>709.25620000000004</v>
      </c>
      <c r="D8600" s="2">
        <f>HYPERLINK("http://mcb-m6.bioreg.kyushu-u.ac.jp/M3/20110421/F51018/1953/1", 90.16)</f>
        <v>90.16</v>
      </c>
      <c r="E8600" s="2">
        <v>69.94</v>
      </c>
      <c r="F8600" s="2">
        <v>2</v>
      </c>
      <c r="G8600" s="2" t="s">
        <v>11</v>
      </c>
      <c r="I8600" s="2" t="s">
        <v>4898</v>
      </c>
    </row>
    <row r="8601" spans="1:9" x14ac:dyDescent="0.2">
      <c r="A8601" s="2" t="s">
        <v>3250</v>
      </c>
      <c r="B8601" s="2" t="s">
        <v>356</v>
      </c>
      <c r="C8601" s="2">
        <v>816.34469999999999</v>
      </c>
      <c r="D8601" s="2">
        <f>HYPERLINK("http://mcb-m6.bioreg.kyushu-u.ac.jp/M3/20110421/F51042/2380/1", 90.22)</f>
        <v>90.22</v>
      </c>
      <c r="E8601" s="2">
        <v>76.489999999999995</v>
      </c>
      <c r="F8601" s="2">
        <v>2</v>
      </c>
      <c r="G8601" s="2" t="s">
        <v>11</v>
      </c>
    </row>
    <row r="8602" spans="1:9" x14ac:dyDescent="0.2">
      <c r="A8602" s="2" t="s">
        <v>3250</v>
      </c>
      <c r="B8602" s="2" t="s">
        <v>481</v>
      </c>
      <c r="C8602" s="2">
        <v>709.20820000000003</v>
      </c>
      <c r="D8602" s="2">
        <f>HYPERLINK("http://mcb-m6.bioreg.kyushu-u.ac.jp/M3/20110421/F51016/1988/1", 90.45)</f>
        <v>90.45</v>
      </c>
      <c r="E8602" s="2">
        <v>65.94</v>
      </c>
      <c r="F8602" s="2">
        <v>2</v>
      </c>
      <c r="G8602" s="2" t="s">
        <v>11</v>
      </c>
      <c r="I8602" s="2" t="s">
        <v>4898</v>
      </c>
    </row>
    <row r="8603" spans="1:9" x14ac:dyDescent="0.2">
      <c r="A8603" s="2" t="s">
        <v>3250</v>
      </c>
      <c r="B8603" s="2" t="s">
        <v>90</v>
      </c>
      <c r="C8603" s="2">
        <v>717.24369999999999</v>
      </c>
      <c r="D8603" s="2">
        <f>HYPERLINK("http://mcb-m6.bioreg.kyushu-u.ac.jp/M3/20110421/F51042/1773/1", 90.46)</f>
        <v>90.46</v>
      </c>
      <c r="E8603" s="2">
        <v>67.98</v>
      </c>
      <c r="F8603" s="2">
        <v>2</v>
      </c>
      <c r="G8603" s="2" t="s">
        <v>11</v>
      </c>
    </row>
    <row r="8604" spans="1:9" x14ac:dyDescent="0.2">
      <c r="A8604" s="2" t="s">
        <v>3250</v>
      </c>
      <c r="B8604" s="2" t="s">
        <v>467</v>
      </c>
      <c r="C8604" s="2">
        <v>692.36220000000003</v>
      </c>
      <c r="D8604" s="2">
        <f>HYPERLINK("http://mcb-m6.bioreg.kyushu-u.ac.jp/M3/20110421/F51018/1862/1", 90.7)</f>
        <v>90.7</v>
      </c>
      <c r="E8604" s="2">
        <v>61.28</v>
      </c>
      <c r="F8604" s="2">
        <v>2</v>
      </c>
      <c r="G8604" s="2" t="s">
        <v>11</v>
      </c>
    </row>
    <row r="8605" spans="1:9" x14ac:dyDescent="0.2">
      <c r="A8605" s="2" t="s">
        <v>3250</v>
      </c>
      <c r="B8605" s="2" t="s">
        <v>561</v>
      </c>
      <c r="C8605" s="2">
        <v>662.59770000000003</v>
      </c>
      <c r="D8605" s="2">
        <f>HYPERLINK("http://mcb-m6.bioreg.kyushu-u.ac.jp/M3/20110421/F51014/1773/1", 91.67)</f>
        <v>91.67</v>
      </c>
      <c r="E8605" s="2">
        <v>70.7</v>
      </c>
      <c r="F8605" s="2">
        <v>2</v>
      </c>
      <c r="G8605" s="2" t="s">
        <v>11</v>
      </c>
      <c r="H8605" s="2" t="s">
        <v>4919</v>
      </c>
    </row>
    <row r="8606" spans="1:9" x14ac:dyDescent="0.2">
      <c r="A8606" s="2" t="s">
        <v>3250</v>
      </c>
      <c r="B8606" s="2" t="s">
        <v>561</v>
      </c>
      <c r="C8606" s="2">
        <v>662.05909999999994</v>
      </c>
      <c r="D8606" s="2">
        <f>HYPERLINK("http://mcb-m6.bioreg.kyushu-u.ac.jp/M3/20110421/F51014/1771/1", 91.68)</f>
        <v>91.68</v>
      </c>
      <c r="E8606" s="2">
        <v>61.82</v>
      </c>
      <c r="F8606" s="2">
        <v>2</v>
      </c>
      <c r="G8606" s="2" t="s">
        <v>11</v>
      </c>
      <c r="H8606" s="2" t="s">
        <v>4919</v>
      </c>
    </row>
    <row r="8607" spans="1:9" x14ac:dyDescent="0.2">
      <c r="A8607" s="2" t="s">
        <v>3250</v>
      </c>
      <c r="B8607" s="2" t="s">
        <v>561</v>
      </c>
      <c r="C8607" s="2">
        <v>662.19669999999996</v>
      </c>
      <c r="D8607" s="2">
        <f>HYPERLINK("http://mcb-m6.bioreg.kyushu-u.ac.jp/M3/20110421/F51019/1702/1", 91.79)</f>
        <v>91.79</v>
      </c>
      <c r="E8607" s="2">
        <v>74.17</v>
      </c>
      <c r="F8607" s="2">
        <v>2</v>
      </c>
      <c r="G8607" s="2" t="s">
        <v>11</v>
      </c>
      <c r="H8607" s="2" t="s">
        <v>4919</v>
      </c>
    </row>
    <row r="8608" spans="1:9" x14ac:dyDescent="0.2">
      <c r="A8608" s="2" t="s">
        <v>3250</v>
      </c>
      <c r="B8608" s="2" t="s">
        <v>561</v>
      </c>
      <c r="C8608" s="2">
        <v>662.14070000000004</v>
      </c>
      <c r="D8608" s="2">
        <f>HYPERLINK("http://mcb-m6.bioreg.kyushu-u.ac.jp/M3/20110421/F51020/1635/1", 91.9)</f>
        <v>91.9</v>
      </c>
      <c r="E8608" s="2">
        <v>77.06</v>
      </c>
      <c r="F8608" s="2">
        <v>2</v>
      </c>
      <c r="G8608" s="2" t="s">
        <v>11</v>
      </c>
      <c r="H8608" s="2" t="s">
        <v>4919</v>
      </c>
    </row>
    <row r="8609" spans="1:9" x14ac:dyDescent="0.2">
      <c r="A8609" s="2" t="s">
        <v>3250</v>
      </c>
      <c r="B8609" s="2" t="s">
        <v>467</v>
      </c>
      <c r="C8609" s="2">
        <v>691.79669999999999</v>
      </c>
      <c r="D8609" s="2">
        <f>HYPERLINK("http://mcb-m6.bioreg.kyushu-u.ac.jp/M3/20110421/F51037/1706/1", 92.8)</f>
        <v>92.8</v>
      </c>
      <c r="E8609" s="2">
        <v>54.13</v>
      </c>
      <c r="F8609" s="2">
        <v>2</v>
      </c>
      <c r="G8609" s="2" t="s">
        <v>11</v>
      </c>
    </row>
    <row r="8610" spans="1:9" x14ac:dyDescent="0.2">
      <c r="A8610" s="2" t="s">
        <v>3250</v>
      </c>
      <c r="B8610" s="2" t="s">
        <v>467</v>
      </c>
      <c r="C8610" s="2">
        <v>691.9692</v>
      </c>
      <c r="D8610" s="2">
        <f>HYPERLINK("http://mcb-m6.bioreg.kyushu-u.ac.jp/M3/20110421/F51014/1911/1", 94.53)</f>
        <v>94.53</v>
      </c>
      <c r="E8610" s="2">
        <v>58.95</v>
      </c>
      <c r="F8610" s="2">
        <v>2</v>
      </c>
      <c r="G8610" s="2" t="s">
        <v>11</v>
      </c>
    </row>
    <row r="8611" spans="1:9" x14ac:dyDescent="0.2">
      <c r="A8611" s="2" t="s">
        <v>3250</v>
      </c>
      <c r="B8611" s="2" t="s">
        <v>481</v>
      </c>
      <c r="C8611" s="2">
        <v>709.2432</v>
      </c>
      <c r="D8611" s="2">
        <f>HYPERLINK("http://mcb-m6.bioreg.kyushu-u.ac.jp/M3/20110421/F51015/1940/1", 94.54)</f>
        <v>94.54</v>
      </c>
      <c r="E8611" s="2">
        <v>71.78</v>
      </c>
      <c r="F8611" s="2">
        <v>2</v>
      </c>
      <c r="G8611" s="2" t="s">
        <v>11</v>
      </c>
      <c r="I8611" s="2" t="s">
        <v>4898</v>
      </c>
    </row>
    <row r="8612" spans="1:9" x14ac:dyDescent="0.2">
      <c r="A8612" s="2" t="s">
        <v>3250</v>
      </c>
      <c r="B8612" s="2" t="s">
        <v>90</v>
      </c>
      <c r="C8612" s="2">
        <v>717.3442</v>
      </c>
      <c r="D8612" s="2">
        <f>HYPERLINK("http://mcb-m6.bioreg.kyushu-u.ac.jp/M3/20110421/F51042/1775/1", 95.14)</f>
        <v>95.14</v>
      </c>
      <c r="E8612" s="2">
        <v>72.63</v>
      </c>
      <c r="F8612" s="2">
        <v>2</v>
      </c>
      <c r="G8612" s="2" t="s">
        <v>11</v>
      </c>
    </row>
    <row r="8613" spans="1:9" x14ac:dyDescent="0.2">
      <c r="A8613" s="2" t="s">
        <v>3250</v>
      </c>
      <c r="B8613" s="2" t="s">
        <v>467</v>
      </c>
      <c r="C8613" s="2">
        <v>691.78020000000004</v>
      </c>
      <c r="D8613" s="2">
        <f>HYPERLINK("http://mcb-m6.bioreg.kyushu-u.ac.jp/M3/20110421/F51042/1615/1", 95.21)</f>
        <v>95.21</v>
      </c>
      <c r="E8613" s="2">
        <v>67.260000000000005</v>
      </c>
      <c r="F8613" s="2">
        <v>2</v>
      </c>
      <c r="G8613" s="2" t="s">
        <v>11</v>
      </c>
    </row>
    <row r="8614" spans="1:9" x14ac:dyDescent="0.2">
      <c r="A8614" s="2" t="s">
        <v>3250</v>
      </c>
      <c r="B8614" s="2" t="s">
        <v>467</v>
      </c>
      <c r="C8614" s="2">
        <v>692.09059999999999</v>
      </c>
      <c r="D8614" s="2">
        <f>HYPERLINK("http://mcb-m6.bioreg.kyushu-u.ac.jp/M3/20110421/F51015/1893/1", 95.33)</f>
        <v>95.33</v>
      </c>
      <c r="E8614" s="2">
        <v>61.27</v>
      </c>
      <c r="F8614" s="2">
        <v>2</v>
      </c>
      <c r="G8614" s="2" t="s">
        <v>11</v>
      </c>
    </row>
    <row r="8615" spans="1:9" x14ac:dyDescent="0.2">
      <c r="A8615" s="2" t="s">
        <v>3250</v>
      </c>
      <c r="B8615" s="2" t="s">
        <v>356</v>
      </c>
      <c r="C8615" s="2">
        <v>816.21720000000005</v>
      </c>
      <c r="D8615" s="2">
        <f>HYPERLINK("http://mcb-m6.bioreg.kyushu-u.ac.jp/M3/20110421/F51018/2444/1", 95.33)</f>
        <v>95.33</v>
      </c>
      <c r="E8615" s="2">
        <v>79.11</v>
      </c>
      <c r="F8615" s="2">
        <v>2</v>
      </c>
      <c r="G8615" s="2" t="s">
        <v>11</v>
      </c>
    </row>
    <row r="8616" spans="1:9" x14ac:dyDescent="0.2">
      <c r="A8616" s="2" t="s">
        <v>3250</v>
      </c>
      <c r="B8616" s="2" t="s">
        <v>356</v>
      </c>
      <c r="C8616" s="2">
        <v>815.82259999999997</v>
      </c>
      <c r="D8616" s="2">
        <f>HYPERLINK("http://mcb-m6.bioreg.kyushu-u.ac.jp/M3/20110421/F51020/2362/1", 95.39)</f>
        <v>95.39</v>
      </c>
      <c r="E8616" s="2">
        <v>76.83</v>
      </c>
      <c r="F8616" s="2">
        <v>2</v>
      </c>
      <c r="G8616" s="2" t="s">
        <v>11</v>
      </c>
    </row>
    <row r="8617" spans="1:9" x14ac:dyDescent="0.2">
      <c r="A8617" s="2" t="s">
        <v>3250</v>
      </c>
      <c r="B8617" s="2" t="s">
        <v>561</v>
      </c>
      <c r="C8617" s="2">
        <v>662.56769999999995</v>
      </c>
      <c r="D8617" s="2">
        <f>HYPERLINK("http://mcb-m6.bioreg.kyushu-u.ac.jp/M3/20110421/F51017/1591/1", 95.9)</f>
        <v>95.9</v>
      </c>
      <c r="E8617" s="2">
        <v>79.64</v>
      </c>
      <c r="F8617" s="2">
        <v>2</v>
      </c>
      <c r="G8617" s="2" t="s">
        <v>11</v>
      </c>
      <c r="H8617" s="2" t="s">
        <v>4919</v>
      </c>
    </row>
    <row r="8618" spans="1:9" x14ac:dyDescent="0.2">
      <c r="A8618" s="2" t="s">
        <v>3250</v>
      </c>
      <c r="B8618" s="2" t="s">
        <v>467</v>
      </c>
      <c r="C8618" s="2">
        <v>691.94069999999999</v>
      </c>
      <c r="D8618" s="2">
        <f>HYPERLINK("http://mcb-m6.bioreg.kyushu-u.ac.jp/M3/20110421/F51039/1814/1", 96.3)</f>
        <v>96.3</v>
      </c>
      <c r="E8618" s="2">
        <v>65.86</v>
      </c>
      <c r="F8618" s="2">
        <v>2</v>
      </c>
      <c r="G8618" s="2" t="s">
        <v>11</v>
      </c>
    </row>
    <row r="8619" spans="1:9" x14ac:dyDescent="0.2">
      <c r="A8619" s="2" t="s">
        <v>3250</v>
      </c>
      <c r="B8619" s="2" t="s">
        <v>481</v>
      </c>
      <c r="C8619" s="2">
        <v>709.3827</v>
      </c>
      <c r="D8619" s="2">
        <f>HYPERLINK("http://mcb-m6.bioreg.kyushu-u.ac.jp/M3/20110421/F51034/1858/1", 97.04)</f>
        <v>97.04</v>
      </c>
      <c r="E8619" s="2">
        <v>74.42</v>
      </c>
      <c r="F8619" s="2">
        <v>2</v>
      </c>
      <c r="G8619" s="2" t="s">
        <v>11</v>
      </c>
      <c r="I8619" s="2" t="s">
        <v>4898</v>
      </c>
    </row>
    <row r="8620" spans="1:9" x14ac:dyDescent="0.2">
      <c r="A8620" s="2" t="s">
        <v>3250</v>
      </c>
      <c r="B8620" s="2" t="s">
        <v>356</v>
      </c>
      <c r="C8620" s="2">
        <v>815.86270000000002</v>
      </c>
      <c r="D8620" s="2">
        <f>HYPERLINK("http://mcb-m6.bioreg.kyushu-u.ac.jp/M3/20110421/F51042/2372/1", 98.53)</f>
        <v>98.53</v>
      </c>
      <c r="E8620" s="2">
        <v>84.66</v>
      </c>
      <c r="F8620" s="2">
        <v>2</v>
      </c>
      <c r="G8620" s="2" t="s">
        <v>11</v>
      </c>
    </row>
    <row r="8621" spans="1:9" x14ac:dyDescent="0.2">
      <c r="A8621" s="2" t="s">
        <v>3250</v>
      </c>
      <c r="B8621" s="2" t="s">
        <v>356</v>
      </c>
      <c r="C8621" s="2">
        <v>816.48469999999998</v>
      </c>
      <c r="D8621" s="2">
        <f>HYPERLINK("http://mcb-m6.bioreg.kyushu-u.ac.jp/M3/20110421/F51015/2256/1", 99.94)</f>
        <v>99.94</v>
      </c>
      <c r="E8621" s="2">
        <v>82.25</v>
      </c>
      <c r="F8621" s="2">
        <v>2</v>
      </c>
      <c r="G8621" s="2" t="s">
        <v>11</v>
      </c>
    </row>
    <row r="8622" spans="1:9" x14ac:dyDescent="0.2">
      <c r="A8622" s="2" t="s">
        <v>3250</v>
      </c>
      <c r="B8622" s="2" t="s">
        <v>356</v>
      </c>
      <c r="C8622" s="2">
        <v>816.09119999999996</v>
      </c>
      <c r="D8622" s="2">
        <f>HYPERLINK("http://mcb-m6.bioreg.kyushu-u.ac.jp/M3/20110421/F51016/2277/1", 100.54)</f>
        <v>100.54</v>
      </c>
      <c r="E8622" s="2">
        <v>86.54</v>
      </c>
      <c r="F8622" s="2">
        <v>2</v>
      </c>
      <c r="G8622" s="2" t="s">
        <v>11</v>
      </c>
    </row>
    <row r="8623" spans="1:9" x14ac:dyDescent="0.2">
      <c r="A8623" s="2" t="s">
        <v>3250</v>
      </c>
      <c r="B8623" s="2" t="s">
        <v>1255</v>
      </c>
      <c r="C8623" s="2">
        <v>1273.866</v>
      </c>
      <c r="D8623" s="2">
        <f>HYPERLINK("http://mcb-m6.bioreg.kyushu-u.ac.jp/M3/20110421/F51042/4085/1", 101.38)</f>
        <v>101.38</v>
      </c>
      <c r="E8623" s="2">
        <v>94.16</v>
      </c>
      <c r="F8623" s="2">
        <v>2</v>
      </c>
      <c r="G8623" s="2" t="s">
        <v>11</v>
      </c>
      <c r="I8623" s="2" t="s">
        <v>4906</v>
      </c>
    </row>
    <row r="8624" spans="1:9" x14ac:dyDescent="0.2">
      <c r="A8624" s="2" t="s">
        <v>3250</v>
      </c>
      <c r="B8624" s="2" t="s">
        <v>356</v>
      </c>
      <c r="C8624" s="2">
        <v>815.64009999999996</v>
      </c>
      <c r="D8624" s="2">
        <f>HYPERLINK("http://mcb-m6.bioreg.kyushu-u.ac.jp/M3/20110421/F51014/2422/1", 110.52)</f>
        <v>110.52</v>
      </c>
      <c r="E8624" s="2">
        <v>84.63</v>
      </c>
      <c r="F8624" s="2">
        <v>2</v>
      </c>
      <c r="G8624" s="2" t="s">
        <v>11</v>
      </c>
    </row>
    <row r="8625" spans="1:9" x14ac:dyDescent="0.2">
      <c r="A8625" s="2" t="s">
        <v>3250</v>
      </c>
      <c r="B8625" s="2" t="s">
        <v>90</v>
      </c>
      <c r="C8625" s="2">
        <v>716.96870000000001</v>
      </c>
      <c r="D8625" s="2">
        <f>HYPERLINK("http://mcb-m6.bioreg.kyushu-u.ac.jp/M3/20110421/F51042/1772/1", 111.31)</f>
        <v>111.31</v>
      </c>
      <c r="E8625" s="2">
        <v>86.38</v>
      </c>
      <c r="F8625" s="2">
        <v>2</v>
      </c>
      <c r="G8625" s="2" t="s">
        <v>11</v>
      </c>
    </row>
    <row r="8626" spans="1:9" x14ac:dyDescent="0.2">
      <c r="A8626" s="2" t="s">
        <v>3250</v>
      </c>
      <c r="B8626" s="2" t="s">
        <v>90</v>
      </c>
      <c r="C8626" s="2">
        <v>717.06209999999999</v>
      </c>
      <c r="D8626" s="2">
        <f>HYPERLINK("http://mcb-m6.bioreg.kyushu-u.ac.jp/M3/20110421/F51014/2033/1", 127.72)</f>
        <v>127.72</v>
      </c>
      <c r="E8626" s="2">
        <v>102.68</v>
      </c>
      <c r="F8626" s="2">
        <v>2</v>
      </c>
      <c r="G8626" s="2" t="s">
        <v>11</v>
      </c>
    </row>
    <row r="8627" spans="1:9" x14ac:dyDescent="0.2">
      <c r="A8627" s="2" t="s">
        <v>3250</v>
      </c>
      <c r="B8627" s="2" t="s">
        <v>356</v>
      </c>
      <c r="C8627" s="2">
        <v>815.80020000000002</v>
      </c>
      <c r="D8627" s="2">
        <f>HYPERLINK("http://mcb-m6.bioreg.kyushu-u.ac.jp/M3/20110421/F51042/2370/1", 130.62)</f>
        <v>130.62</v>
      </c>
      <c r="E8627" s="2">
        <v>107.7</v>
      </c>
      <c r="F8627" s="2">
        <v>2</v>
      </c>
      <c r="G8627" s="2" t="s">
        <v>11</v>
      </c>
    </row>
    <row r="8628" spans="1:9" x14ac:dyDescent="0.2">
      <c r="A8628" s="2" t="s">
        <v>3250</v>
      </c>
      <c r="B8628" s="2" t="s">
        <v>356</v>
      </c>
      <c r="C8628" s="2">
        <v>816.09310000000005</v>
      </c>
      <c r="D8628" s="2">
        <f>HYPERLINK("http://mcb-m6.bioreg.kyushu-u.ac.jp/M3/20110421/F51048/2569/1", 35.79)</f>
        <v>35.79</v>
      </c>
      <c r="E8628" s="2">
        <v>26.48</v>
      </c>
      <c r="F8628" s="2">
        <v>2</v>
      </c>
      <c r="G8628" s="2" t="s">
        <v>12</v>
      </c>
    </row>
    <row r="8629" spans="1:9" x14ac:dyDescent="0.2">
      <c r="A8629" s="2" t="s">
        <v>3250</v>
      </c>
      <c r="B8629" s="2" t="s">
        <v>467</v>
      </c>
      <c r="C8629" s="2">
        <v>691.89120000000003</v>
      </c>
      <c r="D8629" s="2">
        <f>HYPERLINK("http://mcb-m6.bioreg.kyushu-u.ac.jp/M3/20110421/F51023/1900/1", 36.02)</f>
        <v>36.020000000000003</v>
      </c>
      <c r="E8629" s="2">
        <v>13.43</v>
      </c>
      <c r="F8629" s="2">
        <v>2</v>
      </c>
      <c r="G8629" s="2" t="s">
        <v>12</v>
      </c>
    </row>
    <row r="8630" spans="1:9" x14ac:dyDescent="0.2">
      <c r="A8630" s="2" t="s">
        <v>3250</v>
      </c>
      <c r="B8630" s="2" t="s">
        <v>90</v>
      </c>
      <c r="C8630" s="2">
        <v>717.2192</v>
      </c>
      <c r="D8630" s="2">
        <f>HYPERLINK("http://mcb-m6.bioreg.kyushu-u.ac.jp/M3/20110421/F51024/2038/1", 36.26)</f>
        <v>36.26</v>
      </c>
      <c r="E8630" s="2">
        <v>13.37</v>
      </c>
      <c r="F8630" s="2">
        <v>2</v>
      </c>
      <c r="G8630" s="2" t="s">
        <v>12</v>
      </c>
    </row>
    <row r="8631" spans="1:9" x14ac:dyDescent="0.2">
      <c r="A8631" s="2" t="s">
        <v>3250</v>
      </c>
      <c r="B8631" s="2" t="s">
        <v>77</v>
      </c>
      <c r="C8631" s="2">
        <v>1148.73</v>
      </c>
      <c r="D8631" s="2">
        <f>HYPERLINK("http://mcb-m6.bioreg.kyushu-u.ac.jp/M3/20110421/F51048/1446/1", 36.42)</f>
        <v>36.42</v>
      </c>
      <c r="E8631" s="2">
        <v>18.72</v>
      </c>
      <c r="F8631" s="2">
        <v>1</v>
      </c>
      <c r="G8631" s="2" t="s">
        <v>12</v>
      </c>
    </row>
    <row r="8632" spans="1:9" x14ac:dyDescent="0.2">
      <c r="A8632" s="2" t="s">
        <v>3250</v>
      </c>
      <c r="B8632" s="2" t="s">
        <v>834</v>
      </c>
      <c r="C8632" s="2">
        <v>622.32569999999998</v>
      </c>
      <c r="D8632" s="2">
        <f>HYPERLINK("http://mcb-m6.bioreg.kyushu-u.ac.jp/M3/20110421/F51045/1664/1", 37.67)</f>
        <v>37.67</v>
      </c>
      <c r="E8632" s="2">
        <v>13.28</v>
      </c>
      <c r="F8632" s="2">
        <v>2</v>
      </c>
      <c r="G8632" s="2" t="s">
        <v>12</v>
      </c>
    </row>
    <row r="8633" spans="1:9" x14ac:dyDescent="0.2">
      <c r="A8633" s="2" t="s">
        <v>3250</v>
      </c>
      <c r="B8633" s="2" t="s">
        <v>1787</v>
      </c>
      <c r="C8633" s="2">
        <v>1175.68</v>
      </c>
      <c r="D8633" s="2">
        <f>HYPERLINK("http://mcb-m6.bioreg.kyushu-u.ac.jp/M3/20110421/F51045/1508/1", 38.78)</f>
        <v>38.78</v>
      </c>
      <c r="E8633" s="2">
        <v>18.850000000000001</v>
      </c>
      <c r="F8633" s="2">
        <v>1</v>
      </c>
      <c r="G8633" s="2" t="s">
        <v>12</v>
      </c>
      <c r="I8633" s="2" t="s">
        <v>4895</v>
      </c>
    </row>
    <row r="8634" spans="1:9" x14ac:dyDescent="0.2">
      <c r="A8634" s="2" t="s">
        <v>3250</v>
      </c>
      <c r="B8634" s="2" t="s">
        <v>561</v>
      </c>
      <c r="C8634" s="2">
        <v>662.46310000000005</v>
      </c>
      <c r="D8634" s="2">
        <f>HYPERLINK("http://mcb-m6.bioreg.kyushu-u.ac.jp/M3/20110421/F51048/1746/1", 38.82)</f>
        <v>38.82</v>
      </c>
      <c r="E8634" s="2">
        <v>27.22</v>
      </c>
      <c r="F8634" s="2">
        <v>2</v>
      </c>
      <c r="G8634" s="2" t="s">
        <v>12</v>
      </c>
      <c r="H8634" s="2" t="s">
        <v>4919</v>
      </c>
    </row>
    <row r="8635" spans="1:9" x14ac:dyDescent="0.2">
      <c r="A8635" s="2" t="s">
        <v>3250</v>
      </c>
      <c r="B8635" s="2" t="s">
        <v>834</v>
      </c>
      <c r="C8635" s="2">
        <v>622.18370000000004</v>
      </c>
      <c r="D8635" s="2">
        <f>HYPERLINK("http://mcb-m6.bioreg.kyushu-u.ac.jp/M3/20110421/F51021/1436/1", 39.44)</f>
        <v>39.44</v>
      </c>
      <c r="E8635" s="2">
        <v>24.52</v>
      </c>
      <c r="F8635" s="2">
        <v>2</v>
      </c>
      <c r="G8635" s="2" t="s">
        <v>12</v>
      </c>
    </row>
    <row r="8636" spans="1:9" x14ac:dyDescent="0.2">
      <c r="A8636" s="2" t="s">
        <v>3250</v>
      </c>
      <c r="B8636" s="2" t="s">
        <v>102</v>
      </c>
      <c r="C8636" s="2">
        <v>616.1952</v>
      </c>
      <c r="D8636" s="2">
        <f>HYPERLINK("http://mcb-m6.bioreg.kyushu-u.ac.jp/M3/20110421/F51024/1658/1", 40.05)</f>
        <v>40.049999999999997</v>
      </c>
      <c r="E8636" s="2">
        <v>17.63</v>
      </c>
      <c r="F8636" s="2">
        <v>2</v>
      </c>
      <c r="G8636" s="2" t="s">
        <v>12</v>
      </c>
      <c r="H8636" s="2" t="s">
        <v>4900</v>
      </c>
    </row>
    <row r="8637" spans="1:9" x14ac:dyDescent="0.2">
      <c r="A8637" s="2" t="s">
        <v>3250</v>
      </c>
      <c r="B8637" s="2" t="s">
        <v>90</v>
      </c>
      <c r="C8637" s="2">
        <v>716.91669999999999</v>
      </c>
      <c r="D8637" s="2">
        <f>HYPERLINK("http://mcb-m6.bioreg.kyushu-u.ac.jp/M3/20110421/F51044/1907/1", 40.07)</f>
        <v>40.07</v>
      </c>
      <c r="E8637" s="2">
        <v>26.34</v>
      </c>
      <c r="F8637" s="2">
        <v>2</v>
      </c>
      <c r="G8637" s="2" t="s">
        <v>12</v>
      </c>
    </row>
    <row r="8638" spans="1:9" x14ac:dyDescent="0.2">
      <c r="A8638" s="2" t="s">
        <v>3250</v>
      </c>
      <c r="B8638" s="2" t="s">
        <v>1875</v>
      </c>
      <c r="C8638" s="2">
        <v>772.61109999999996</v>
      </c>
      <c r="D8638" s="2">
        <f>HYPERLINK("http://mcb-m6.bioreg.kyushu-u.ac.jp/M3/20110421/F51048/2382/1", 40.45)</f>
        <v>40.450000000000003</v>
      </c>
      <c r="E8638" s="2">
        <v>19.89</v>
      </c>
      <c r="F8638" s="2">
        <v>2</v>
      </c>
      <c r="G8638" s="2" t="s">
        <v>12</v>
      </c>
    </row>
    <row r="8639" spans="1:9" x14ac:dyDescent="0.2">
      <c r="A8639" s="2" t="s">
        <v>3250</v>
      </c>
      <c r="B8639" s="2" t="s">
        <v>834</v>
      </c>
      <c r="C8639" s="2">
        <v>621.90560000000005</v>
      </c>
      <c r="D8639" s="2">
        <f>HYPERLINK("http://mcb-m6.bioreg.kyushu-u.ac.jp/M3/20110421/F51043/1471/1", 41.57)</f>
        <v>41.57</v>
      </c>
      <c r="E8639" s="2">
        <v>21.17</v>
      </c>
      <c r="F8639" s="2">
        <v>2</v>
      </c>
      <c r="G8639" s="2" t="s">
        <v>12</v>
      </c>
    </row>
    <row r="8640" spans="1:9" x14ac:dyDescent="0.2">
      <c r="A8640" s="2" t="s">
        <v>3250</v>
      </c>
      <c r="B8640" s="2" t="s">
        <v>561</v>
      </c>
      <c r="C8640" s="2">
        <v>662.37660000000005</v>
      </c>
      <c r="D8640" s="2">
        <f>HYPERLINK("http://mcb-m6.bioreg.kyushu-u.ac.jp/M3/20110421/F51026/1806/1", 44.86)</f>
        <v>44.86</v>
      </c>
      <c r="E8640" s="2">
        <v>24.19</v>
      </c>
      <c r="F8640" s="2">
        <v>2</v>
      </c>
      <c r="G8640" s="2" t="s">
        <v>12</v>
      </c>
      <c r="H8640" s="2" t="s">
        <v>4919</v>
      </c>
    </row>
    <row r="8641" spans="1:9" x14ac:dyDescent="0.2">
      <c r="A8641" s="2" t="s">
        <v>3250</v>
      </c>
      <c r="B8641" s="2" t="s">
        <v>365</v>
      </c>
      <c r="C8641" s="2">
        <v>849.31709999999998</v>
      </c>
      <c r="D8641" s="2">
        <f>HYPERLINK("http://mcb-m6.bioreg.kyushu-u.ac.jp/M3/20110421/F51045/2592/1", 45.14)</f>
        <v>45.14</v>
      </c>
      <c r="E8641" s="2">
        <v>32.520000000000003</v>
      </c>
      <c r="F8641" s="2">
        <v>2</v>
      </c>
      <c r="G8641" s="2" t="s">
        <v>12</v>
      </c>
    </row>
    <row r="8642" spans="1:9" x14ac:dyDescent="0.2">
      <c r="A8642" s="2" t="s">
        <v>3250</v>
      </c>
      <c r="B8642" s="2" t="s">
        <v>604</v>
      </c>
      <c r="C8642" s="2">
        <v>521.05719999999997</v>
      </c>
      <c r="D8642" s="2">
        <f>HYPERLINK("http://mcb-m6.bioreg.kyushu-u.ac.jp/M3/20110421/F51059/808/1", 46.26)</f>
        <v>46.26</v>
      </c>
      <c r="E8642" s="2">
        <v>5.32</v>
      </c>
      <c r="F8642" s="2">
        <v>2</v>
      </c>
      <c r="G8642" s="2" t="s">
        <v>12</v>
      </c>
    </row>
    <row r="8643" spans="1:9" x14ac:dyDescent="0.2">
      <c r="A8643" s="2" t="s">
        <v>3250</v>
      </c>
      <c r="B8643" s="2" t="s">
        <v>561</v>
      </c>
      <c r="C8643" s="2">
        <v>654.80160000000001</v>
      </c>
      <c r="D8643" s="2">
        <f>HYPERLINK("http://mcb-m6.bioreg.kyushu-u.ac.jp/M3/20110421/F51043/1587/1", 47.09)</f>
        <v>47.09</v>
      </c>
      <c r="E8643" s="2">
        <v>33.33</v>
      </c>
      <c r="F8643" s="2">
        <v>2</v>
      </c>
      <c r="G8643" s="2" t="s">
        <v>12</v>
      </c>
    </row>
    <row r="8644" spans="1:9" x14ac:dyDescent="0.2">
      <c r="A8644" s="2" t="s">
        <v>3250</v>
      </c>
      <c r="B8644" s="2" t="s">
        <v>311</v>
      </c>
      <c r="C8644" s="2">
        <v>598.73170000000005</v>
      </c>
      <c r="D8644" s="2">
        <f>HYPERLINK("http://mcb-m6.bioreg.kyushu-u.ac.jp/M3/20110421/F51044/1325/1", 48.07)</f>
        <v>48.07</v>
      </c>
      <c r="E8644" s="2">
        <v>30.46</v>
      </c>
      <c r="F8644" s="2">
        <v>2</v>
      </c>
      <c r="G8644" s="2" t="s">
        <v>12</v>
      </c>
    </row>
    <row r="8645" spans="1:9" x14ac:dyDescent="0.2">
      <c r="A8645" s="2" t="s">
        <v>3250</v>
      </c>
      <c r="B8645" s="2" t="s">
        <v>1787</v>
      </c>
      <c r="C8645" s="2">
        <v>1175.7270000000001</v>
      </c>
      <c r="D8645" s="2">
        <f>HYPERLINK("http://mcb-m6.bioreg.kyushu-u.ac.jp/M3/20110421/F51047/1372/1", 48.47)</f>
        <v>48.47</v>
      </c>
      <c r="E8645" s="2">
        <v>34.83</v>
      </c>
      <c r="F8645" s="2">
        <v>1</v>
      </c>
      <c r="G8645" s="2" t="s">
        <v>12</v>
      </c>
      <c r="I8645" s="2" t="s">
        <v>4895</v>
      </c>
    </row>
    <row r="8646" spans="1:9" x14ac:dyDescent="0.2">
      <c r="A8646" s="2" t="s">
        <v>3250</v>
      </c>
      <c r="B8646" s="2" t="s">
        <v>90</v>
      </c>
      <c r="C8646" s="2">
        <v>717.07209999999998</v>
      </c>
      <c r="D8646" s="2">
        <f>HYPERLINK("http://mcb-m6.bioreg.kyushu-u.ac.jp/M3/20110421/F51045/2074/1", 48.76)</f>
        <v>48.76</v>
      </c>
      <c r="E8646" s="2">
        <v>24.44</v>
      </c>
      <c r="F8646" s="2">
        <v>2</v>
      </c>
      <c r="G8646" s="2" t="s">
        <v>12</v>
      </c>
    </row>
    <row r="8647" spans="1:9" x14ac:dyDescent="0.2">
      <c r="A8647" s="2" t="s">
        <v>3250</v>
      </c>
      <c r="B8647" s="2" t="s">
        <v>365</v>
      </c>
      <c r="C8647" s="2">
        <v>848.9742</v>
      </c>
      <c r="D8647" s="2">
        <f>HYPERLINK("http://mcb-m6.bioreg.kyushu-u.ac.jp/M3/20110421/F51024/2569/1", 48.79)</f>
        <v>48.79</v>
      </c>
      <c r="E8647" s="2">
        <v>32.43</v>
      </c>
      <c r="F8647" s="2">
        <v>2</v>
      </c>
      <c r="G8647" s="2" t="s">
        <v>12</v>
      </c>
    </row>
    <row r="8648" spans="1:9" x14ac:dyDescent="0.2">
      <c r="A8648" s="2" t="s">
        <v>3250</v>
      </c>
      <c r="B8648" s="2" t="s">
        <v>1875</v>
      </c>
      <c r="C8648" s="2">
        <v>788.5942</v>
      </c>
      <c r="D8648" s="2">
        <f>HYPERLINK("http://mcb-m6.bioreg.kyushu-u.ac.jp/M3/20110421/F51047/2391/1", 49.06)</f>
        <v>49.06</v>
      </c>
      <c r="E8648" s="2">
        <v>35.86</v>
      </c>
      <c r="F8648" s="2">
        <v>2</v>
      </c>
      <c r="G8648" s="2" t="s">
        <v>12</v>
      </c>
      <c r="H8648" s="2" t="s">
        <v>4953</v>
      </c>
    </row>
    <row r="8649" spans="1:9" x14ac:dyDescent="0.2">
      <c r="A8649" s="2" t="s">
        <v>3250</v>
      </c>
      <c r="B8649" s="2" t="s">
        <v>1065</v>
      </c>
      <c r="C8649" s="2">
        <v>716.87519999999995</v>
      </c>
      <c r="D8649" s="2">
        <f>HYPERLINK("http://mcb-m6.bioreg.kyushu-u.ac.jp/M3/20110421/F51025/1945/1", 49.94)</f>
        <v>49.94</v>
      </c>
      <c r="E8649" s="2">
        <v>37.96</v>
      </c>
      <c r="F8649" s="2">
        <v>2</v>
      </c>
      <c r="G8649" s="2" t="s">
        <v>12</v>
      </c>
      <c r="I8649" s="2" t="s">
        <v>4892</v>
      </c>
    </row>
    <row r="8650" spans="1:9" x14ac:dyDescent="0.2">
      <c r="A8650" s="2" t="s">
        <v>3250</v>
      </c>
      <c r="B8650" s="2" t="s">
        <v>1787</v>
      </c>
      <c r="C8650" s="2">
        <v>1176.568</v>
      </c>
      <c r="D8650" s="2">
        <f>HYPERLINK("http://mcb-m6.bioreg.kyushu-u.ac.jp/M3/20110421/F51050/1484/1", 50.36)</f>
        <v>50.36</v>
      </c>
      <c r="E8650" s="2">
        <v>24.98</v>
      </c>
      <c r="F8650" s="2">
        <v>1</v>
      </c>
      <c r="G8650" s="2" t="s">
        <v>12</v>
      </c>
      <c r="I8650" s="2" t="s">
        <v>4895</v>
      </c>
    </row>
    <row r="8651" spans="1:9" x14ac:dyDescent="0.2">
      <c r="A8651" s="2" t="s">
        <v>3250</v>
      </c>
      <c r="B8651" s="2" t="s">
        <v>365</v>
      </c>
      <c r="C8651" s="2">
        <v>849.52620000000002</v>
      </c>
      <c r="D8651" s="2">
        <f>HYPERLINK("http://mcb-m6.bioreg.kyushu-u.ac.jp/M3/20110421/F51023/2495/1", 50.94)</f>
        <v>50.94</v>
      </c>
      <c r="E8651" s="2">
        <v>35.880000000000003</v>
      </c>
      <c r="F8651" s="2">
        <v>2</v>
      </c>
      <c r="G8651" s="2" t="s">
        <v>12</v>
      </c>
    </row>
    <row r="8652" spans="1:9" x14ac:dyDescent="0.2">
      <c r="A8652" s="2" t="s">
        <v>3250</v>
      </c>
      <c r="B8652" s="2" t="s">
        <v>1787</v>
      </c>
      <c r="C8652" s="2">
        <v>1175.67</v>
      </c>
      <c r="D8652" s="2">
        <f>HYPERLINK("http://mcb-m6.bioreg.kyushu-u.ac.jp/M3/20110421/F51048/1501/1", 51.45)</f>
        <v>51.45</v>
      </c>
      <c r="E8652" s="2">
        <v>27.77</v>
      </c>
      <c r="F8652" s="2">
        <v>1</v>
      </c>
      <c r="G8652" s="2" t="s">
        <v>12</v>
      </c>
      <c r="I8652" s="2" t="s">
        <v>4895</v>
      </c>
    </row>
    <row r="8653" spans="1:9" x14ac:dyDescent="0.2">
      <c r="A8653" s="2" t="s">
        <v>3250</v>
      </c>
      <c r="B8653" s="2" t="s">
        <v>311</v>
      </c>
      <c r="C8653" s="2">
        <v>598.88019999999995</v>
      </c>
      <c r="D8653" s="2">
        <f>HYPERLINK("http://mcb-m6.bioreg.kyushu-u.ac.jp/M3/20110421/F51050/1539/1", 51.96)</f>
        <v>51.96</v>
      </c>
      <c r="E8653" s="2">
        <v>33.83</v>
      </c>
      <c r="F8653" s="2">
        <v>2</v>
      </c>
      <c r="G8653" s="2" t="s">
        <v>12</v>
      </c>
    </row>
    <row r="8654" spans="1:9" x14ac:dyDescent="0.2">
      <c r="A8654" s="2" t="s">
        <v>3250</v>
      </c>
      <c r="B8654" s="2" t="s">
        <v>102</v>
      </c>
      <c r="C8654" s="2">
        <v>608.33370000000002</v>
      </c>
      <c r="D8654" s="2">
        <f>HYPERLINK("http://mcb-m6.bioreg.kyushu-u.ac.jp/M3/20110421/F51048/1588/1", 52.57)</f>
        <v>52.57</v>
      </c>
      <c r="E8654" s="2">
        <v>35.96</v>
      </c>
      <c r="F8654" s="2">
        <v>2</v>
      </c>
      <c r="G8654" s="2" t="s">
        <v>12</v>
      </c>
    </row>
    <row r="8655" spans="1:9" x14ac:dyDescent="0.2">
      <c r="A8655" s="2" t="s">
        <v>3250</v>
      </c>
      <c r="B8655" s="2" t="s">
        <v>1787</v>
      </c>
      <c r="C8655" s="2">
        <v>588.40060000000005</v>
      </c>
      <c r="D8655" s="2">
        <f>HYPERLINK("http://mcb-m6.bioreg.kyushu-u.ac.jp/M3/20110421/F51047/1373/1", 53.42)</f>
        <v>53.42</v>
      </c>
      <c r="E8655" s="2">
        <v>27.24</v>
      </c>
      <c r="F8655" s="2">
        <v>2</v>
      </c>
      <c r="G8655" s="2" t="s">
        <v>12</v>
      </c>
      <c r="I8655" s="2" t="s">
        <v>4895</v>
      </c>
    </row>
    <row r="8656" spans="1:9" x14ac:dyDescent="0.2">
      <c r="A8656" s="2" t="s">
        <v>3250</v>
      </c>
      <c r="B8656" s="2" t="s">
        <v>467</v>
      </c>
      <c r="C8656" s="2">
        <v>691.91769999999997</v>
      </c>
      <c r="D8656" s="2">
        <f>HYPERLINK("http://mcb-m6.bioreg.kyushu-u.ac.jp/M3/20110421/F51059/1568/1", 53.57)</f>
        <v>53.57</v>
      </c>
      <c r="E8656" s="2">
        <v>34.770000000000003</v>
      </c>
      <c r="F8656" s="2">
        <v>2</v>
      </c>
      <c r="G8656" s="2" t="s">
        <v>12</v>
      </c>
    </row>
    <row r="8657" spans="1:9" x14ac:dyDescent="0.2">
      <c r="A8657" s="2" t="s">
        <v>3250</v>
      </c>
      <c r="B8657" s="2" t="s">
        <v>365</v>
      </c>
      <c r="C8657" s="2">
        <v>849.50210000000004</v>
      </c>
      <c r="D8657" s="2">
        <f>HYPERLINK("http://mcb-m6.bioreg.kyushu-u.ac.jp/M3/20110421/F51048/2709/1", 53.82)</f>
        <v>53.82</v>
      </c>
      <c r="E8657" s="2">
        <v>34.799999999999997</v>
      </c>
      <c r="F8657" s="2">
        <v>2</v>
      </c>
      <c r="G8657" s="2" t="s">
        <v>12</v>
      </c>
    </row>
    <row r="8658" spans="1:9" x14ac:dyDescent="0.2">
      <c r="A8658" s="2" t="s">
        <v>3250</v>
      </c>
      <c r="B8658" s="2" t="s">
        <v>77</v>
      </c>
      <c r="C8658" s="2">
        <v>575.33669999999995</v>
      </c>
      <c r="D8658" s="2">
        <f>HYPERLINK("http://mcb-m6.bioreg.kyushu-u.ac.jp/M3/20110421/F51026/1532/1", 54.35)</f>
        <v>54.35</v>
      </c>
      <c r="E8658" s="2">
        <v>33.18</v>
      </c>
      <c r="F8658" s="2">
        <v>2</v>
      </c>
      <c r="G8658" s="2" t="s">
        <v>12</v>
      </c>
    </row>
    <row r="8659" spans="1:9" x14ac:dyDescent="0.2">
      <c r="A8659" s="2" t="s">
        <v>3250</v>
      </c>
      <c r="B8659" s="2" t="s">
        <v>356</v>
      </c>
      <c r="C8659" s="2">
        <v>816.46010000000001</v>
      </c>
      <c r="D8659" s="2">
        <f>HYPERLINK("http://mcb-m6.bioreg.kyushu-u.ac.jp/M3/20110421/F51047/2487/1", 54.89)</f>
        <v>54.89</v>
      </c>
      <c r="E8659" s="2">
        <v>43.31</v>
      </c>
      <c r="F8659" s="2">
        <v>2</v>
      </c>
      <c r="G8659" s="2" t="s">
        <v>12</v>
      </c>
    </row>
    <row r="8660" spans="1:9" x14ac:dyDescent="0.2">
      <c r="A8660" s="2" t="s">
        <v>3250</v>
      </c>
      <c r="B8660" s="2" t="s">
        <v>834</v>
      </c>
      <c r="C8660" s="2">
        <v>622.30970000000002</v>
      </c>
      <c r="D8660" s="2">
        <f>HYPERLINK("http://mcb-m6.bioreg.kyushu-u.ac.jp/M3/20110421/F51026/1712/1", 55.65)</f>
        <v>55.65</v>
      </c>
      <c r="E8660" s="2">
        <v>39.11</v>
      </c>
      <c r="F8660" s="2">
        <v>2</v>
      </c>
      <c r="G8660" s="2" t="s">
        <v>12</v>
      </c>
    </row>
    <row r="8661" spans="1:9" x14ac:dyDescent="0.2">
      <c r="A8661" s="2" t="s">
        <v>3250</v>
      </c>
      <c r="B8661" s="2" t="s">
        <v>77</v>
      </c>
      <c r="C8661" s="2">
        <v>575.03610000000003</v>
      </c>
      <c r="D8661" s="2">
        <f>HYPERLINK("http://mcb-m6.bioreg.kyushu-u.ac.jp/M3/20110421/F51026/1530/1", 56.06)</f>
        <v>56.06</v>
      </c>
      <c r="E8661" s="2">
        <v>34.479999999999997</v>
      </c>
      <c r="F8661" s="2">
        <v>2</v>
      </c>
      <c r="G8661" s="2" t="s">
        <v>12</v>
      </c>
    </row>
    <row r="8662" spans="1:9" x14ac:dyDescent="0.2">
      <c r="A8662" s="2" t="s">
        <v>3250</v>
      </c>
      <c r="B8662" s="2" t="s">
        <v>481</v>
      </c>
      <c r="C8662" s="2">
        <v>709.83320000000003</v>
      </c>
      <c r="D8662" s="2">
        <f>HYPERLINK("http://mcb-m6.bioreg.kyushu-u.ac.jp/M3/20110421/F51026/1961/1", 56.2)</f>
        <v>56.2</v>
      </c>
      <c r="E8662" s="2">
        <v>39.54</v>
      </c>
      <c r="F8662" s="2">
        <v>2</v>
      </c>
      <c r="G8662" s="2" t="s">
        <v>12</v>
      </c>
      <c r="I8662" s="2" t="s">
        <v>4898</v>
      </c>
    </row>
    <row r="8663" spans="1:9" x14ac:dyDescent="0.2">
      <c r="A8663" s="2" t="s">
        <v>3250</v>
      </c>
      <c r="B8663" s="2" t="s">
        <v>365</v>
      </c>
      <c r="C8663" s="2">
        <v>848.8066</v>
      </c>
      <c r="D8663" s="2">
        <f>HYPERLINK("http://mcb-m6.bioreg.kyushu-u.ac.jp/M3/20110421/F51045/2589/1", 56.22)</f>
        <v>56.22</v>
      </c>
      <c r="E8663" s="2">
        <v>36.14</v>
      </c>
      <c r="F8663" s="2">
        <v>2</v>
      </c>
      <c r="G8663" s="2" t="s">
        <v>12</v>
      </c>
    </row>
    <row r="8664" spans="1:9" x14ac:dyDescent="0.2">
      <c r="A8664" s="2" t="s">
        <v>3250</v>
      </c>
      <c r="B8664" s="2" t="s">
        <v>365</v>
      </c>
      <c r="C8664" s="2">
        <v>849.28859999999997</v>
      </c>
      <c r="D8664" s="2">
        <f>HYPERLINK("http://mcb-m6.bioreg.kyushu-u.ac.jp/M3/20110421/F51025/2386/1", 56.78)</f>
        <v>56.78</v>
      </c>
      <c r="E8664" s="2">
        <v>39.72</v>
      </c>
      <c r="F8664" s="2">
        <v>2</v>
      </c>
      <c r="G8664" s="2" t="s">
        <v>12</v>
      </c>
    </row>
    <row r="8665" spans="1:9" x14ac:dyDescent="0.2">
      <c r="A8665" s="2" t="s">
        <v>3250</v>
      </c>
      <c r="B8665" s="2" t="s">
        <v>77</v>
      </c>
      <c r="C8665" s="2">
        <v>575.32709999999997</v>
      </c>
      <c r="D8665" s="2">
        <f>HYPERLINK("http://mcb-m6.bioreg.kyushu-u.ac.jp/M3/20110421/F51048/1448/1", 57.3)</f>
        <v>57.3</v>
      </c>
      <c r="E8665" s="2">
        <v>35.25</v>
      </c>
      <c r="F8665" s="2">
        <v>2</v>
      </c>
      <c r="G8665" s="2" t="s">
        <v>12</v>
      </c>
    </row>
    <row r="8666" spans="1:9" x14ac:dyDescent="0.2">
      <c r="A8666" s="2" t="s">
        <v>3250</v>
      </c>
      <c r="B8666" s="2" t="s">
        <v>311</v>
      </c>
      <c r="C8666" s="2">
        <v>599.33810000000005</v>
      </c>
      <c r="D8666" s="2">
        <f>HYPERLINK("http://mcb-m6.bioreg.kyushu-u.ac.jp/M3/20110421/F51048/1556/1", 57.33)</f>
        <v>57.33</v>
      </c>
      <c r="E8666" s="2">
        <v>40.909999999999997</v>
      </c>
      <c r="F8666" s="2">
        <v>2</v>
      </c>
      <c r="G8666" s="2" t="s">
        <v>12</v>
      </c>
    </row>
    <row r="8667" spans="1:9" x14ac:dyDescent="0.2">
      <c r="A8667" s="2" t="s">
        <v>3250</v>
      </c>
      <c r="B8667" s="2" t="s">
        <v>311</v>
      </c>
      <c r="C8667" s="2">
        <v>599.26210000000003</v>
      </c>
      <c r="D8667" s="2">
        <f>HYPERLINK("http://mcb-m6.bioreg.kyushu-u.ac.jp/M3/20110421/F51044/1327/1", 57.45)</f>
        <v>57.45</v>
      </c>
      <c r="E8667" s="2">
        <v>36.979999999999997</v>
      </c>
      <c r="F8667" s="2">
        <v>2</v>
      </c>
      <c r="G8667" s="2" t="s">
        <v>12</v>
      </c>
    </row>
    <row r="8668" spans="1:9" x14ac:dyDescent="0.2">
      <c r="A8668" s="2" t="s">
        <v>3250</v>
      </c>
      <c r="B8668" s="2" t="s">
        <v>834</v>
      </c>
      <c r="C8668" s="2">
        <v>621.75869999999998</v>
      </c>
      <c r="D8668" s="2">
        <f>HYPERLINK("http://mcb-m6.bioreg.kyushu-u.ac.jp/M3/20110421/F51045/1660/1", 57.49)</f>
        <v>57.49</v>
      </c>
      <c r="E8668" s="2">
        <v>33.450000000000003</v>
      </c>
      <c r="F8668" s="2">
        <v>2</v>
      </c>
      <c r="G8668" s="2" t="s">
        <v>12</v>
      </c>
    </row>
    <row r="8669" spans="1:9" x14ac:dyDescent="0.2">
      <c r="A8669" s="2" t="s">
        <v>3250</v>
      </c>
      <c r="B8669" s="2" t="s">
        <v>90</v>
      </c>
      <c r="C8669" s="2">
        <v>717.28369999999995</v>
      </c>
      <c r="D8669" s="2">
        <f>HYPERLINK("http://mcb-m6.bioreg.kyushu-u.ac.jp/M3/20110421/F51050/2045/1", 57.59)</f>
        <v>57.59</v>
      </c>
      <c r="E8669" s="2">
        <v>36</v>
      </c>
      <c r="F8669" s="2">
        <v>2</v>
      </c>
      <c r="G8669" s="2" t="s">
        <v>12</v>
      </c>
    </row>
    <row r="8670" spans="1:9" x14ac:dyDescent="0.2">
      <c r="A8670" s="2" t="s">
        <v>3250</v>
      </c>
      <c r="B8670" s="2" t="s">
        <v>481</v>
      </c>
      <c r="C8670" s="2">
        <v>709.4606</v>
      </c>
      <c r="D8670" s="2">
        <f>HYPERLINK("http://mcb-m6.bioreg.kyushu-u.ac.jp/M3/20110421/F51025/1923/1", 57.95)</f>
        <v>57.95</v>
      </c>
      <c r="E8670" s="2">
        <v>32.28</v>
      </c>
      <c r="F8670" s="2">
        <v>2</v>
      </c>
      <c r="G8670" s="2" t="s">
        <v>12</v>
      </c>
      <c r="I8670" s="2" t="s">
        <v>4898</v>
      </c>
    </row>
    <row r="8671" spans="1:9" x14ac:dyDescent="0.2">
      <c r="A8671" s="2" t="s">
        <v>3250</v>
      </c>
      <c r="B8671" s="2" t="s">
        <v>102</v>
      </c>
      <c r="C8671" s="2">
        <v>616.86270000000002</v>
      </c>
      <c r="D8671" s="2">
        <f>HYPERLINK("http://mcb-m6.bioreg.kyushu-u.ac.jp/M3/20110421/F51047/1523/1", 60.62)</f>
        <v>60.62</v>
      </c>
      <c r="E8671" s="2">
        <v>45.77</v>
      </c>
      <c r="F8671" s="2">
        <v>2</v>
      </c>
      <c r="G8671" s="2" t="s">
        <v>12</v>
      </c>
      <c r="H8671" s="2" t="s">
        <v>4900</v>
      </c>
    </row>
    <row r="8672" spans="1:9" x14ac:dyDescent="0.2">
      <c r="A8672" s="2" t="s">
        <v>3250</v>
      </c>
      <c r="B8672" s="2" t="s">
        <v>834</v>
      </c>
      <c r="C8672" s="2">
        <v>621.79719999999998</v>
      </c>
      <c r="D8672" s="2">
        <f>HYPERLINK("http://mcb-m6.bioreg.kyushu-u.ac.jp/M3/20110421/F51044/1427/1", 60.89)</f>
        <v>60.89</v>
      </c>
      <c r="E8672" s="2">
        <v>44.57</v>
      </c>
      <c r="F8672" s="2">
        <v>2</v>
      </c>
      <c r="G8672" s="2" t="s">
        <v>12</v>
      </c>
    </row>
    <row r="8673" spans="1:9" x14ac:dyDescent="0.2">
      <c r="A8673" s="2" t="s">
        <v>3250</v>
      </c>
      <c r="B8673" s="2" t="s">
        <v>77</v>
      </c>
      <c r="C8673" s="2">
        <v>575.20259999999996</v>
      </c>
      <c r="D8673" s="2">
        <f>HYPERLINK("http://mcb-m6.bioreg.kyushu-u.ac.jp/M3/20110421/F51024/1464/1", 61.99)</f>
        <v>61.99</v>
      </c>
      <c r="E8673" s="2">
        <v>32.11</v>
      </c>
      <c r="F8673" s="2">
        <v>2</v>
      </c>
      <c r="G8673" s="2" t="s">
        <v>12</v>
      </c>
    </row>
    <row r="8674" spans="1:9" x14ac:dyDescent="0.2">
      <c r="A8674" s="2" t="s">
        <v>3250</v>
      </c>
      <c r="B8674" s="2" t="s">
        <v>90</v>
      </c>
      <c r="C8674" s="2">
        <v>717.27919999999995</v>
      </c>
      <c r="D8674" s="2">
        <f>HYPERLINK("http://mcb-m6.bioreg.kyushu-u.ac.jp/M3/20110421/F51043/1961/1", 62.35)</f>
        <v>62.35</v>
      </c>
      <c r="E8674" s="2">
        <v>38.299999999999997</v>
      </c>
      <c r="F8674" s="2">
        <v>2</v>
      </c>
      <c r="G8674" s="2" t="s">
        <v>12</v>
      </c>
    </row>
    <row r="8675" spans="1:9" x14ac:dyDescent="0.2">
      <c r="A8675" s="2" t="s">
        <v>3250</v>
      </c>
      <c r="B8675" s="2" t="s">
        <v>1787</v>
      </c>
      <c r="C8675" s="2">
        <v>588.27970000000005</v>
      </c>
      <c r="D8675" s="2">
        <f>HYPERLINK("http://mcb-m6.bioreg.kyushu-u.ac.jp/M3/20110421/F51026/1581/1", 63.21)</f>
        <v>63.21</v>
      </c>
      <c r="E8675" s="2">
        <v>45.86</v>
      </c>
      <c r="F8675" s="2">
        <v>2</v>
      </c>
      <c r="G8675" s="2" t="s">
        <v>12</v>
      </c>
      <c r="I8675" s="2" t="s">
        <v>4895</v>
      </c>
    </row>
    <row r="8676" spans="1:9" x14ac:dyDescent="0.2">
      <c r="A8676" s="2" t="s">
        <v>3250</v>
      </c>
      <c r="B8676" s="2" t="s">
        <v>77</v>
      </c>
      <c r="C8676" s="2">
        <v>575.28369999999995</v>
      </c>
      <c r="D8676" s="2">
        <f>HYPERLINK("http://mcb-m6.bioreg.kyushu-u.ac.jp/M3/20110421/F51044/1210/1", 63.31)</f>
        <v>63.31</v>
      </c>
      <c r="E8676" s="2">
        <v>39.39</v>
      </c>
      <c r="F8676" s="2">
        <v>2</v>
      </c>
      <c r="G8676" s="2" t="s">
        <v>12</v>
      </c>
    </row>
    <row r="8677" spans="1:9" x14ac:dyDescent="0.2">
      <c r="A8677" s="2" t="s">
        <v>3250</v>
      </c>
      <c r="B8677" s="2" t="s">
        <v>834</v>
      </c>
      <c r="C8677" s="2">
        <v>621.82119999999998</v>
      </c>
      <c r="D8677" s="2">
        <f>HYPERLINK("http://mcb-m6.bioreg.kyushu-u.ac.jp/M3/20110421/F51025/1711/1", 64.26)</f>
        <v>64.260000000000005</v>
      </c>
      <c r="E8677" s="2">
        <v>46.06</v>
      </c>
      <c r="F8677" s="2">
        <v>2</v>
      </c>
      <c r="G8677" s="2" t="s">
        <v>12</v>
      </c>
    </row>
    <row r="8678" spans="1:9" x14ac:dyDescent="0.2">
      <c r="A8678" s="2" t="s">
        <v>3250</v>
      </c>
      <c r="B8678" s="2" t="s">
        <v>102</v>
      </c>
      <c r="C8678" s="2">
        <v>616.29169999999999</v>
      </c>
      <c r="D8678" s="2">
        <f>HYPERLINK("http://mcb-m6.bioreg.kyushu-u.ac.jp/M3/20110421/F51023/1664/1", 65.47)</f>
        <v>65.47</v>
      </c>
      <c r="E8678" s="2">
        <v>42.42</v>
      </c>
      <c r="F8678" s="2">
        <v>2</v>
      </c>
      <c r="G8678" s="2" t="s">
        <v>12</v>
      </c>
      <c r="H8678" s="2" t="s">
        <v>4900</v>
      </c>
    </row>
    <row r="8679" spans="1:9" x14ac:dyDescent="0.2">
      <c r="A8679" s="2" t="s">
        <v>3250</v>
      </c>
      <c r="B8679" s="2" t="s">
        <v>311</v>
      </c>
      <c r="C8679" s="2">
        <v>598.91610000000003</v>
      </c>
      <c r="D8679" s="2">
        <f>HYPERLINK("http://mcb-m6.bioreg.kyushu-u.ac.jp/M3/20110421/F51047/1436/1", 68.09)</f>
        <v>68.09</v>
      </c>
      <c r="E8679" s="2">
        <v>47.51</v>
      </c>
      <c r="F8679" s="2">
        <v>2</v>
      </c>
      <c r="G8679" s="2" t="s">
        <v>12</v>
      </c>
    </row>
    <row r="8680" spans="1:9" x14ac:dyDescent="0.2">
      <c r="A8680" s="2" t="s">
        <v>3250</v>
      </c>
      <c r="B8680" s="2" t="s">
        <v>481</v>
      </c>
      <c r="C8680" s="2">
        <v>709.72770000000003</v>
      </c>
      <c r="D8680" s="2">
        <f>HYPERLINK("http://mcb-m6.bioreg.kyushu-u.ac.jp/M3/20110421/F51021/1906/1", 68.33)</f>
        <v>68.33</v>
      </c>
      <c r="E8680" s="2">
        <v>49.76</v>
      </c>
      <c r="F8680" s="2">
        <v>2</v>
      </c>
      <c r="G8680" s="2" t="s">
        <v>12</v>
      </c>
      <c r="I8680" s="2" t="s">
        <v>4898</v>
      </c>
    </row>
    <row r="8681" spans="1:9" x14ac:dyDescent="0.2">
      <c r="A8681" s="2" t="s">
        <v>3250</v>
      </c>
      <c r="B8681" s="2" t="s">
        <v>365</v>
      </c>
      <c r="C8681" s="2">
        <v>849.47059999999999</v>
      </c>
      <c r="D8681" s="2">
        <f>HYPERLINK("http://mcb-m6.bioreg.kyushu-u.ac.jp/M3/20110421/F51050/2517/1", 68.68)</f>
        <v>68.680000000000007</v>
      </c>
      <c r="E8681" s="2">
        <v>48.6</v>
      </c>
      <c r="F8681" s="2">
        <v>2</v>
      </c>
      <c r="G8681" s="2" t="s">
        <v>12</v>
      </c>
    </row>
    <row r="8682" spans="1:9" x14ac:dyDescent="0.2">
      <c r="A8682" s="2" t="s">
        <v>3250</v>
      </c>
      <c r="B8682" s="2" t="s">
        <v>356</v>
      </c>
      <c r="C8682" s="2">
        <v>815.74469999999997</v>
      </c>
      <c r="D8682" s="2">
        <f>HYPERLINK("http://mcb-m6.bioreg.kyushu-u.ac.jp/M3/20110421/F51025/2265/1", 68.71)</f>
        <v>68.709999999999994</v>
      </c>
      <c r="E8682" s="2">
        <v>54.1</v>
      </c>
      <c r="F8682" s="2">
        <v>2</v>
      </c>
      <c r="G8682" s="2" t="s">
        <v>12</v>
      </c>
    </row>
    <row r="8683" spans="1:9" x14ac:dyDescent="0.2">
      <c r="A8683" s="2" t="s">
        <v>3250</v>
      </c>
      <c r="B8683" s="2" t="s">
        <v>90</v>
      </c>
      <c r="C8683" s="2">
        <v>717.14970000000005</v>
      </c>
      <c r="D8683" s="2">
        <f>HYPERLINK("http://mcb-m6.bioreg.kyushu-u.ac.jp/M3/20110421/F51025/1948/1", 70.1)</f>
        <v>70.099999999999994</v>
      </c>
      <c r="E8683" s="2">
        <v>48.14</v>
      </c>
      <c r="F8683" s="2">
        <v>2</v>
      </c>
      <c r="G8683" s="2" t="s">
        <v>12</v>
      </c>
    </row>
    <row r="8684" spans="1:9" x14ac:dyDescent="0.2">
      <c r="A8684" s="2" t="s">
        <v>3250</v>
      </c>
      <c r="B8684" s="2" t="s">
        <v>365</v>
      </c>
      <c r="C8684" s="2">
        <v>848.74770000000001</v>
      </c>
      <c r="D8684" s="2">
        <f>HYPERLINK("http://mcb-m6.bioreg.kyushu-u.ac.jp/M3/20110421/F51026/2428/1", 70.12)</f>
        <v>70.12</v>
      </c>
      <c r="E8684" s="2">
        <v>47.33</v>
      </c>
      <c r="F8684" s="2">
        <v>2</v>
      </c>
      <c r="G8684" s="2" t="s">
        <v>12</v>
      </c>
    </row>
    <row r="8685" spans="1:9" x14ac:dyDescent="0.2">
      <c r="A8685" s="2" t="s">
        <v>3250</v>
      </c>
      <c r="B8685" s="2" t="s">
        <v>481</v>
      </c>
      <c r="C8685" s="2">
        <v>709.54859999999996</v>
      </c>
      <c r="D8685" s="2">
        <f>HYPERLINK("http://mcb-m6.bioreg.kyushu-u.ac.jp/M3/20110421/F51050/2001/1", 70.15)</f>
        <v>70.150000000000006</v>
      </c>
      <c r="E8685" s="2">
        <v>51.36</v>
      </c>
      <c r="F8685" s="2">
        <v>2</v>
      </c>
      <c r="G8685" s="2" t="s">
        <v>12</v>
      </c>
      <c r="I8685" s="2" t="s">
        <v>4898</v>
      </c>
    </row>
    <row r="8686" spans="1:9" x14ac:dyDescent="0.2">
      <c r="A8686" s="2" t="s">
        <v>3250</v>
      </c>
      <c r="B8686" s="2" t="s">
        <v>77</v>
      </c>
      <c r="C8686" s="2">
        <v>574.67269999999996</v>
      </c>
      <c r="D8686" s="2">
        <f>HYPERLINK("http://mcb-m6.bioreg.kyushu-u.ac.jp/M3/20110421/F51044/1206/1", 70.35)</f>
        <v>70.349999999999994</v>
      </c>
      <c r="E8686" s="2">
        <v>46.76</v>
      </c>
      <c r="F8686" s="2">
        <v>2</v>
      </c>
      <c r="G8686" s="2" t="s">
        <v>12</v>
      </c>
    </row>
    <row r="8687" spans="1:9" x14ac:dyDescent="0.2">
      <c r="A8687" s="2" t="s">
        <v>3250</v>
      </c>
      <c r="B8687" s="2" t="s">
        <v>102</v>
      </c>
      <c r="C8687" s="2">
        <v>608.8741</v>
      </c>
      <c r="D8687" s="2">
        <f>HYPERLINK("http://mcb-m6.bioreg.kyushu-u.ac.jp/M3/20110421/F51047/1476/1", 70.45)</f>
        <v>70.45</v>
      </c>
      <c r="E8687" s="2">
        <v>56.37</v>
      </c>
      <c r="F8687" s="2">
        <v>2</v>
      </c>
      <c r="G8687" s="2" t="s">
        <v>12</v>
      </c>
    </row>
    <row r="8688" spans="1:9" x14ac:dyDescent="0.2">
      <c r="A8688" s="2" t="s">
        <v>3250</v>
      </c>
      <c r="B8688" s="2" t="s">
        <v>365</v>
      </c>
      <c r="C8688" s="2">
        <v>849.25070000000005</v>
      </c>
      <c r="D8688" s="2">
        <f>HYPERLINK("http://mcb-m6.bioreg.kyushu-u.ac.jp/M3/20110421/F51026/2429/1", 71.77)</f>
        <v>71.77</v>
      </c>
      <c r="E8688" s="2">
        <v>55.15</v>
      </c>
      <c r="F8688" s="2">
        <v>2</v>
      </c>
      <c r="G8688" s="2" t="s">
        <v>12</v>
      </c>
    </row>
    <row r="8689" spans="1:9" x14ac:dyDescent="0.2">
      <c r="A8689" s="2" t="s">
        <v>3250</v>
      </c>
      <c r="B8689" s="2" t="s">
        <v>1065</v>
      </c>
      <c r="C8689" s="2">
        <v>717.26260000000002</v>
      </c>
      <c r="D8689" s="2">
        <f>HYPERLINK("http://mcb-m6.bioreg.kyushu-u.ac.jp/M3/20110421/F51048/2076/1", 72.29)</f>
        <v>72.290000000000006</v>
      </c>
      <c r="E8689" s="2">
        <v>55.66</v>
      </c>
      <c r="F8689" s="2">
        <v>2</v>
      </c>
      <c r="G8689" s="2" t="s">
        <v>12</v>
      </c>
      <c r="I8689" s="2" t="s">
        <v>4892</v>
      </c>
    </row>
    <row r="8690" spans="1:9" x14ac:dyDescent="0.2">
      <c r="A8690" s="2" t="s">
        <v>3250</v>
      </c>
      <c r="B8690" s="2" t="s">
        <v>77</v>
      </c>
      <c r="C8690" s="2">
        <v>574.85860000000002</v>
      </c>
      <c r="D8690" s="2">
        <f>HYPERLINK("http://mcb-m6.bioreg.kyushu-u.ac.jp/M3/20110421/F51050/1422/1", 72.32)</f>
        <v>72.319999999999993</v>
      </c>
      <c r="E8690" s="2">
        <v>40.65</v>
      </c>
      <c r="F8690" s="2">
        <v>2</v>
      </c>
      <c r="G8690" s="2" t="s">
        <v>12</v>
      </c>
    </row>
    <row r="8691" spans="1:9" x14ac:dyDescent="0.2">
      <c r="A8691" s="2" t="s">
        <v>3250</v>
      </c>
      <c r="B8691" s="2" t="s">
        <v>365</v>
      </c>
      <c r="C8691" s="2">
        <v>848.96559999999999</v>
      </c>
      <c r="D8691" s="2">
        <f>HYPERLINK("http://mcb-m6.bioreg.kyushu-u.ac.jp/M3/20110421/F51050/2514/1", 73.63)</f>
        <v>73.63</v>
      </c>
      <c r="E8691" s="2">
        <v>59.93</v>
      </c>
      <c r="F8691" s="2">
        <v>2</v>
      </c>
      <c r="G8691" s="2" t="s">
        <v>12</v>
      </c>
    </row>
    <row r="8692" spans="1:9" x14ac:dyDescent="0.2">
      <c r="A8692" s="2" t="s">
        <v>3250</v>
      </c>
      <c r="B8692" s="2" t="s">
        <v>561</v>
      </c>
      <c r="C8692" s="2">
        <v>662.49659999999994</v>
      </c>
      <c r="D8692" s="2">
        <f>HYPERLINK("http://mcb-m6.bioreg.kyushu-u.ac.jp/M3/20110421/F51025/1812/1", 73.71)</f>
        <v>73.709999999999994</v>
      </c>
      <c r="E8692" s="2">
        <v>55.43</v>
      </c>
      <c r="F8692" s="2">
        <v>2</v>
      </c>
      <c r="G8692" s="2" t="s">
        <v>12</v>
      </c>
      <c r="H8692" s="2" t="s">
        <v>4919</v>
      </c>
    </row>
    <row r="8693" spans="1:9" x14ac:dyDescent="0.2">
      <c r="A8693" s="2" t="s">
        <v>3250</v>
      </c>
      <c r="B8693" s="2" t="s">
        <v>356</v>
      </c>
      <c r="C8693" s="2">
        <v>816.40060000000005</v>
      </c>
      <c r="D8693" s="2">
        <f>HYPERLINK("http://mcb-m6.bioreg.kyushu-u.ac.jp/M3/20110421/F51044/2410/1", 74.09)</f>
        <v>74.09</v>
      </c>
      <c r="E8693" s="2">
        <v>56.28</v>
      </c>
      <c r="F8693" s="2">
        <v>2</v>
      </c>
      <c r="G8693" s="2" t="s">
        <v>12</v>
      </c>
    </row>
    <row r="8694" spans="1:9" x14ac:dyDescent="0.2">
      <c r="A8694" s="2" t="s">
        <v>3250</v>
      </c>
      <c r="B8694" s="2" t="s">
        <v>1875</v>
      </c>
      <c r="C8694" s="2">
        <v>772.5172</v>
      </c>
      <c r="D8694" s="2">
        <f>HYPERLINK("http://mcb-m6.bioreg.kyushu-u.ac.jp/M3/20110421/F51047/2308/1", 74.86)</f>
        <v>74.86</v>
      </c>
      <c r="E8694" s="2">
        <v>57.05</v>
      </c>
      <c r="F8694" s="2">
        <v>2</v>
      </c>
      <c r="G8694" s="2" t="s">
        <v>12</v>
      </c>
    </row>
    <row r="8695" spans="1:9" x14ac:dyDescent="0.2">
      <c r="A8695" s="2" t="s">
        <v>3250</v>
      </c>
      <c r="B8695" s="2" t="s">
        <v>481</v>
      </c>
      <c r="C8695" s="2">
        <v>709.45669999999996</v>
      </c>
      <c r="D8695" s="2">
        <f>HYPERLINK("http://mcb-m6.bioreg.kyushu-u.ac.jp/M3/20110421/F51048/2021/1", 75.33)</f>
        <v>75.33</v>
      </c>
      <c r="E8695" s="2">
        <v>56.11</v>
      </c>
      <c r="F8695" s="2">
        <v>2</v>
      </c>
      <c r="G8695" s="2" t="s">
        <v>12</v>
      </c>
      <c r="I8695" s="2" t="s">
        <v>4898</v>
      </c>
    </row>
    <row r="8696" spans="1:9" x14ac:dyDescent="0.2">
      <c r="A8696" s="2" t="s">
        <v>3250</v>
      </c>
      <c r="B8696" s="2" t="s">
        <v>481</v>
      </c>
      <c r="C8696" s="2">
        <v>709.36410000000001</v>
      </c>
      <c r="D8696" s="2">
        <f>HYPERLINK("http://mcb-m6.bioreg.kyushu-u.ac.jp/M3/20110421/F51044/1850/1", 75.58)</f>
        <v>75.58</v>
      </c>
      <c r="E8696" s="2">
        <v>55.35</v>
      </c>
      <c r="F8696" s="2">
        <v>2</v>
      </c>
      <c r="G8696" s="2" t="s">
        <v>12</v>
      </c>
      <c r="I8696" s="2" t="s">
        <v>4898</v>
      </c>
    </row>
    <row r="8697" spans="1:9" x14ac:dyDescent="0.2">
      <c r="A8697" s="2" t="s">
        <v>3250</v>
      </c>
      <c r="B8697" s="2" t="s">
        <v>467</v>
      </c>
      <c r="C8697" s="2">
        <v>691.67319999999995</v>
      </c>
      <c r="D8697" s="2">
        <f>HYPERLINK("http://mcb-m6.bioreg.kyushu-u.ac.jp/M3/20110421/F51024/1923/1", 75.74)</f>
        <v>75.739999999999995</v>
      </c>
      <c r="E8697" s="2">
        <v>46.6</v>
      </c>
      <c r="F8697" s="2">
        <v>2</v>
      </c>
      <c r="G8697" s="2" t="s">
        <v>12</v>
      </c>
    </row>
    <row r="8698" spans="1:9" x14ac:dyDescent="0.2">
      <c r="A8698" s="2" t="s">
        <v>3250</v>
      </c>
      <c r="B8698" s="2" t="s">
        <v>1065</v>
      </c>
      <c r="C8698" s="2">
        <v>716.85170000000005</v>
      </c>
      <c r="D8698" s="2">
        <f>HYPERLINK("http://mcb-m6.bioreg.kyushu-u.ac.jp/M3/20110421/F51044/1906/1", 75.8)</f>
        <v>75.8</v>
      </c>
      <c r="E8698" s="2">
        <v>65.13</v>
      </c>
      <c r="F8698" s="2">
        <v>2</v>
      </c>
      <c r="G8698" s="2" t="s">
        <v>12</v>
      </c>
      <c r="I8698" s="2" t="s">
        <v>4892</v>
      </c>
    </row>
    <row r="8699" spans="1:9" x14ac:dyDescent="0.2">
      <c r="A8699" s="2" t="s">
        <v>3250</v>
      </c>
      <c r="B8699" s="2" t="s">
        <v>481</v>
      </c>
      <c r="C8699" s="2">
        <v>709.67570000000001</v>
      </c>
      <c r="D8699" s="2">
        <f>HYPERLINK("http://mcb-m6.bioreg.kyushu-u.ac.jp/M3/20110421/F51045/2027/1", 76.23)</f>
        <v>76.23</v>
      </c>
      <c r="E8699" s="2">
        <v>54.72</v>
      </c>
      <c r="F8699" s="2">
        <v>2</v>
      </c>
      <c r="G8699" s="2" t="s">
        <v>12</v>
      </c>
      <c r="I8699" s="2" t="s">
        <v>4898</v>
      </c>
    </row>
    <row r="8700" spans="1:9" x14ac:dyDescent="0.2">
      <c r="A8700" s="2" t="s">
        <v>3250</v>
      </c>
      <c r="B8700" s="2" t="s">
        <v>90</v>
      </c>
      <c r="C8700" s="2">
        <v>717.36519999999996</v>
      </c>
      <c r="D8700" s="2">
        <f>HYPERLINK("http://mcb-m6.bioreg.kyushu-u.ac.jp/M3/20110421/F51044/1910/1", 77.18)</f>
        <v>77.180000000000007</v>
      </c>
      <c r="E8700" s="2">
        <v>57.25</v>
      </c>
      <c r="F8700" s="2">
        <v>2</v>
      </c>
      <c r="G8700" s="2" t="s">
        <v>12</v>
      </c>
    </row>
    <row r="8701" spans="1:9" x14ac:dyDescent="0.2">
      <c r="A8701" s="2" t="s">
        <v>3250</v>
      </c>
      <c r="B8701" s="2" t="s">
        <v>481</v>
      </c>
      <c r="C8701" s="2">
        <v>709.38670000000002</v>
      </c>
      <c r="D8701" s="2">
        <f>HYPERLINK("http://mcb-m6.bioreg.kyushu-u.ac.jp/M3/20110421/F51061/1786/1", 78.21)</f>
        <v>78.209999999999994</v>
      </c>
      <c r="E8701" s="2">
        <v>55.65</v>
      </c>
      <c r="F8701" s="2">
        <v>2</v>
      </c>
      <c r="G8701" s="2" t="s">
        <v>12</v>
      </c>
      <c r="I8701" s="2" t="s">
        <v>4898</v>
      </c>
    </row>
    <row r="8702" spans="1:9" x14ac:dyDescent="0.2">
      <c r="A8702" s="2" t="s">
        <v>3250</v>
      </c>
      <c r="B8702" s="2" t="s">
        <v>772</v>
      </c>
      <c r="C8702" s="2">
        <v>595.79420000000005</v>
      </c>
      <c r="D8702" s="2">
        <f>HYPERLINK("http://mcb-m6.bioreg.kyushu-u.ac.jp/M3/20110421/F51047/1426/1", 78.55)</f>
        <v>78.55</v>
      </c>
      <c r="E8702" s="2">
        <v>51.87</v>
      </c>
      <c r="F8702" s="2">
        <v>2</v>
      </c>
      <c r="G8702" s="2" t="s">
        <v>12</v>
      </c>
    </row>
    <row r="8703" spans="1:9" x14ac:dyDescent="0.2">
      <c r="A8703" s="2" t="s">
        <v>3250</v>
      </c>
      <c r="B8703" s="2" t="s">
        <v>772</v>
      </c>
      <c r="C8703" s="2">
        <v>596.10609999999997</v>
      </c>
      <c r="D8703" s="2">
        <f>HYPERLINK("http://mcb-m6.bioreg.kyushu-u.ac.jp/M3/20110421/F51045/1558/1", 79.17)</f>
        <v>79.17</v>
      </c>
      <c r="E8703" s="2">
        <v>52.36</v>
      </c>
      <c r="F8703" s="2">
        <v>2</v>
      </c>
      <c r="G8703" s="2" t="s">
        <v>12</v>
      </c>
    </row>
    <row r="8704" spans="1:9" x14ac:dyDescent="0.2">
      <c r="A8704" s="2" t="s">
        <v>3250</v>
      </c>
      <c r="B8704" s="2" t="s">
        <v>467</v>
      </c>
      <c r="C8704" s="2">
        <v>692.29719999999998</v>
      </c>
      <c r="D8704" s="2">
        <f>HYPERLINK("http://mcb-m6.bioreg.kyushu-u.ac.jp/M3/20110421/F51050/1914/1", 79.34)</f>
        <v>79.34</v>
      </c>
      <c r="E8704" s="2">
        <v>48.41</v>
      </c>
      <c r="F8704" s="2">
        <v>2</v>
      </c>
      <c r="G8704" s="2" t="s">
        <v>12</v>
      </c>
    </row>
    <row r="8705" spans="1:9" x14ac:dyDescent="0.2">
      <c r="A8705" s="2" t="s">
        <v>3250</v>
      </c>
      <c r="B8705" s="2" t="s">
        <v>356</v>
      </c>
      <c r="C8705" s="2">
        <v>816.40060000000005</v>
      </c>
      <c r="D8705" s="2">
        <f>HYPERLINK("http://mcb-m6.bioreg.kyushu-u.ac.jp/M3/20110421/F51045/2468/1", 80.8)</f>
        <v>80.8</v>
      </c>
      <c r="E8705" s="2">
        <v>67.400000000000006</v>
      </c>
      <c r="F8705" s="2">
        <v>2</v>
      </c>
      <c r="G8705" s="2" t="s">
        <v>12</v>
      </c>
    </row>
    <row r="8706" spans="1:9" x14ac:dyDescent="0.2">
      <c r="A8706" s="2" t="s">
        <v>3250</v>
      </c>
      <c r="B8706" s="2" t="s">
        <v>77</v>
      </c>
      <c r="C8706" s="2">
        <v>574.8066</v>
      </c>
      <c r="D8706" s="2">
        <f>HYPERLINK("http://mcb-m6.bioreg.kyushu-u.ac.jp/M3/20110421/F51047/1304/1", 81.03)</f>
        <v>81.03</v>
      </c>
      <c r="E8706" s="2">
        <v>50.67</v>
      </c>
      <c r="F8706" s="2">
        <v>2</v>
      </c>
      <c r="G8706" s="2" t="s">
        <v>12</v>
      </c>
    </row>
    <row r="8707" spans="1:9" x14ac:dyDescent="0.2">
      <c r="A8707" s="2" t="s">
        <v>3250</v>
      </c>
      <c r="B8707" s="2" t="s">
        <v>1255</v>
      </c>
      <c r="C8707" s="2">
        <v>1273.942</v>
      </c>
      <c r="D8707" s="2">
        <f>HYPERLINK("http://mcb-m6.bioreg.kyushu-u.ac.jp/M3/20110421/F51047/3482/1", 81.33)</f>
        <v>81.33</v>
      </c>
      <c r="E8707" s="2">
        <v>75.52</v>
      </c>
      <c r="F8707" s="2">
        <v>2</v>
      </c>
      <c r="G8707" s="2" t="s">
        <v>12</v>
      </c>
      <c r="I8707" s="2" t="s">
        <v>4906</v>
      </c>
    </row>
    <row r="8708" spans="1:9" x14ac:dyDescent="0.2">
      <c r="A8708" s="2" t="s">
        <v>3250</v>
      </c>
      <c r="B8708" s="2" t="s">
        <v>561</v>
      </c>
      <c r="C8708" s="2">
        <v>662.37159999999994</v>
      </c>
      <c r="D8708" s="2">
        <f>HYPERLINK("http://mcb-m6.bioreg.kyushu-u.ac.jp/M3/20110421/F51021/1592/1", 83.35)</f>
        <v>83.35</v>
      </c>
      <c r="E8708" s="2">
        <v>57.21</v>
      </c>
      <c r="F8708" s="2">
        <v>2</v>
      </c>
      <c r="G8708" s="2" t="s">
        <v>12</v>
      </c>
      <c r="H8708" s="2" t="s">
        <v>4919</v>
      </c>
    </row>
    <row r="8709" spans="1:9" x14ac:dyDescent="0.2">
      <c r="A8709" s="2" t="s">
        <v>3250</v>
      </c>
      <c r="B8709" s="2" t="s">
        <v>467</v>
      </c>
      <c r="C8709" s="2">
        <v>692.05769999999995</v>
      </c>
      <c r="D8709" s="2">
        <f>HYPERLINK("http://mcb-m6.bioreg.kyushu-u.ac.jp/M3/20110421/F51021/1798/1", 83.45)</f>
        <v>83.45</v>
      </c>
      <c r="E8709" s="2">
        <v>51.9</v>
      </c>
      <c r="F8709" s="2">
        <v>2</v>
      </c>
      <c r="G8709" s="2" t="s">
        <v>12</v>
      </c>
    </row>
    <row r="8710" spans="1:9" x14ac:dyDescent="0.2">
      <c r="A8710" s="2" t="s">
        <v>3250</v>
      </c>
      <c r="B8710" s="2" t="s">
        <v>1065</v>
      </c>
      <c r="C8710" s="2">
        <v>716.78920000000005</v>
      </c>
      <c r="D8710" s="2">
        <f>HYPERLINK("http://mcb-m6.bioreg.kyushu-u.ac.jp/M3/20110421/F51021/1955/1", 84.23)</f>
        <v>84.23</v>
      </c>
      <c r="E8710" s="2">
        <v>72.8</v>
      </c>
      <c r="F8710" s="2">
        <v>2</v>
      </c>
      <c r="G8710" s="2" t="s">
        <v>12</v>
      </c>
      <c r="I8710" s="2" t="s">
        <v>4892</v>
      </c>
    </row>
    <row r="8711" spans="1:9" x14ac:dyDescent="0.2">
      <c r="A8711" s="2" t="s">
        <v>3250</v>
      </c>
      <c r="B8711" s="2" t="s">
        <v>481</v>
      </c>
      <c r="C8711" s="2">
        <v>709.20920000000001</v>
      </c>
      <c r="D8711" s="2">
        <f>HYPERLINK("http://mcb-m6.bioreg.kyushu-u.ac.jp/M3/20110421/F51024/1997/1", 85.65)</f>
        <v>85.65</v>
      </c>
      <c r="E8711" s="2">
        <v>67.28</v>
      </c>
      <c r="F8711" s="2">
        <v>2</v>
      </c>
      <c r="G8711" s="2" t="s">
        <v>12</v>
      </c>
      <c r="I8711" s="2" t="s">
        <v>4898</v>
      </c>
    </row>
    <row r="8712" spans="1:9" x14ac:dyDescent="0.2">
      <c r="A8712" s="2" t="s">
        <v>3250</v>
      </c>
      <c r="B8712" s="2" t="s">
        <v>467</v>
      </c>
      <c r="C8712" s="2">
        <v>691.97469999999998</v>
      </c>
      <c r="D8712" s="2">
        <f>HYPERLINK("http://mcb-m6.bioreg.kyushu-u.ac.jp/M3/20110421/F51047/1842/1", 86.24)</f>
        <v>86.24</v>
      </c>
      <c r="E8712" s="2">
        <v>52.26</v>
      </c>
      <c r="F8712" s="2">
        <v>2</v>
      </c>
      <c r="G8712" s="2" t="s">
        <v>12</v>
      </c>
    </row>
    <row r="8713" spans="1:9" x14ac:dyDescent="0.2">
      <c r="A8713" s="2" t="s">
        <v>3250</v>
      </c>
      <c r="B8713" s="2" t="s">
        <v>467</v>
      </c>
      <c r="C8713" s="2">
        <v>692.32320000000004</v>
      </c>
      <c r="D8713" s="2">
        <f>HYPERLINK("http://mcb-m6.bioreg.kyushu-u.ac.jp/M3/20110421/F51045/1959/1", 87.1)</f>
        <v>87.1</v>
      </c>
      <c r="E8713" s="2">
        <v>57.27</v>
      </c>
      <c r="F8713" s="2">
        <v>2</v>
      </c>
      <c r="G8713" s="2" t="s">
        <v>12</v>
      </c>
    </row>
    <row r="8714" spans="1:9" x14ac:dyDescent="0.2">
      <c r="A8714" s="2" t="s">
        <v>3250</v>
      </c>
      <c r="B8714" s="2" t="s">
        <v>561</v>
      </c>
      <c r="C8714" s="2">
        <v>662.21770000000004</v>
      </c>
      <c r="D8714" s="2">
        <f>HYPERLINK("http://mcb-m6.bioreg.kyushu-u.ac.jp/M3/20110421/F51024/1769/1", 87.59)</f>
        <v>87.59</v>
      </c>
      <c r="E8714" s="2">
        <v>68.260000000000005</v>
      </c>
      <c r="F8714" s="2">
        <v>2</v>
      </c>
      <c r="G8714" s="2" t="s">
        <v>12</v>
      </c>
      <c r="H8714" s="2" t="s">
        <v>4919</v>
      </c>
    </row>
    <row r="8715" spans="1:9" x14ac:dyDescent="0.2">
      <c r="A8715" s="2" t="s">
        <v>3250</v>
      </c>
      <c r="B8715" s="2" t="s">
        <v>467</v>
      </c>
      <c r="C8715" s="2">
        <v>692.07820000000004</v>
      </c>
      <c r="D8715" s="2">
        <f>HYPERLINK("http://mcb-m6.bioreg.kyushu-u.ac.jp/M3/20110421/F51043/1798/1", 88)</f>
        <v>88</v>
      </c>
      <c r="E8715" s="2">
        <v>58.33</v>
      </c>
      <c r="F8715" s="2">
        <v>2</v>
      </c>
      <c r="G8715" s="2" t="s">
        <v>12</v>
      </c>
    </row>
    <row r="8716" spans="1:9" x14ac:dyDescent="0.2">
      <c r="A8716" s="2" t="s">
        <v>3250</v>
      </c>
      <c r="B8716" s="2" t="s">
        <v>481</v>
      </c>
      <c r="C8716" s="2">
        <v>709.29970000000003</v>
      </c>
      <c r="D8716" s="2">
        <f>HYPERLINK("http://mcb-m6.bioreg.kyushu-u.ac.jp/M3/20110421/F51023/1960/1", 88.17)</f>
        <v>88.17</v>
      </c>
      <c r="E8716" s="2">
        <v>68.87</v>
      </c>
      <c r="F8716" s="2">
        <v>2</v>
      </c>
      <c r="G8716" s="2" t="s">
        <v>12</v>
      </c>
      <c r="I8716" s="2" t="s">
        <v>4898</v>
      </c>
    </row>
    <row r="8717" spans="1:9" x14ac:dyDescent="0.2">
      <c r="A8717" s="2" t="s">
        <v>3250</v>
      </c>
      <c r="B8717" s="2" t="s">
        <v>365</v>
      </c>
      <c r="C8717" s="2">
        <v>848.94370000000004</v>
      </c>
      <c r="D8717" s="2">
        <f>HYPERLINK("http://mcb-m6.bioreg.kyushu-u.ac.jp/M3/20110421/F51048/2706/1", 88.39)</f>
        <v>88.39</v>
      </c>
      <c r="E8717" s="2">
        <v>69.17</v>
      </c>
      <c r="F8717" s="2">
        <v>2</v>
      </c>
      <c r="G8717" s="2" t="s">
        <v>12</v>
      </c>
    </row>
    <row r="8718" spans="1:9" x14ac:dyDescent="0.2">
      <c r="A8718" s="2" t="s">
        <v>3250</v>
      </c>
      <c r="B8718" s="2" t="s">
        <v>1765</v>
      </c>
      <c r="C8718" s="2">
        <v>761.73270000000002</v>
      </c>
      <c r="D8718" s="2">
        <f>HYPERLINK("http://mcb-m6.bioreg.kyushu-u.ac.jp/M3/20110421/F51025/2092/1", 88.84)</f>
        <v>88.84</v>
      </c>
      <c r="E8718" s="2">
        <v>65.89</v>
      </c>
      <c r="F8718" s="2">
        <v>2</v>
      </c>
      <c r="G8718" s="2" t="s">
        <v>12</v>
      </c>
    </row>
    <row r="8719" spans="1:9" x14ac:dyDescent="0.2">
      <c r="A8719" s="2" t="s">
        <v>3250</v>
      </c>
      <c r="B8719" s="2" t="s">
        <v>1255</v>
      </c>
      <c r="C8719" s="2">
        <v>1273.8620000000001</v>
      </c>
      <c r="D8719" s="2">
        <f>HYPERLINK("http://mcb-m6.bioreg.kyushu-u.ac.jp/M3/20110421/F51044/3568/1", 89.55)</f>
        <v>89.55</v>
      </c>
      <c r="E8719" s="2">
        <v>78.099999999999994</v>
      </c>
      <c r="F8719" s="2">
        <v>2</v>
      </c>
      <c r="G8719" s="2" t="s">
        <v>12</v>
      </c>
      <c r="I8719" s="2" t="s">
        <v>4906</v>
      </c>
    </row>
    <row r="8720" spans="1:9" x14ac:dyDescent="0.2">
      <c r="A8720" s="2" t="s">
        <v>3250</v>
      </c>
      <c r="B8720" s="2" t="s">
        <v>467</v>
      </c>
      <c r="C8720" s="2">
        <v>691.55110000000002</v>
      </c>
      <c r="D8720" s="2">
        <f>HYPERLINK("http://mcb-m6.bioreg.kyushu-u.ac.jp/M3/20110421/F51021/1791/1", 89.75)</f>
        <v>89.75</v>
      </c>
      <c r="E8720" s="2">
        <v>60.42</v>
      </c>
      <c r="F8720" s="2">
        <v>2</v>
      </c>
      <c r="G8720" s="2" t="s">
        <v>12</v>
      </c>
    </row>
    <row r="8721" spans="1:9" x14ac:dyDescent="0.2">
      <c r="A8721" s="2" t="s">
        <v>3250</v>
      </c>
      <c r="B8721" s="2" t="s">
        <v>90</v>
      </c>
      <c r="C8721" s="2">
        <v>717.01670000000001</v>
      </c>
      <c r="D8721" s="2">
        <f>HYPERLINK("http://mcb-m6.bioreg.kyushu-u.ac.jp/M3/20110421/F51045/2071/1", 93.06)</f>
        <v>93.06</v>
      </c>
      <c r="E8721" s="2">
        <v>71.16</v>
      </c>
      <c r="F8721" s="2">
        <v>2</v>
      </c>
      <c r="G8721" s="2" t="s">
        <v>12</v>
      </c>
    </row>
    <row r="8722" spans="1:9" x14ac:dyDescent="0.2">
      <c r="A8722" s="2" t="s">
        <v>3250</v>
      </c>
      <c r="B8722" s="2" t="s">
        <v>481</v>
      </c>
      <c r="C8722" s="2">
        <v>709.46969999999999</v>
      </c>
      <c r="D8722" s="2">
        <f>HYPERLINK("http://mcb-m6.bioreg.kyushu-u.ac.jp/M3/20110421/F51047/1939/1", 94.24)</f>
        <v>94.24</v>
      </c>
      <c r="E8722" s="2">
        <v>72.45</v>
      </c>
      <c r="F8722" s="2">
        <v>2</v>
      </c>
      <c r="G8722" s="2" t="s">
        <v>12</v>
      </c>
      <c r="I8722" s="2" t="s">
        <v>4898</v>
      </c>
    </row>
    <row r="8723" spans="1:9" x14ac:dyDescent="0.2">
      <c r="A8723" s="2" t="s">
        <v>3250</v>
      </c>
      <c r="B8723" s="2" t="s">
        <v>467</v>
      </c>
      <c r="C8723" s="2">
        <v>691.88959999999997</v>
      </c>
      <c r="D8723" s="2">
        <f>HYPERLINK("http://mcb-m6.bioreg.kyushu-u.ac.jp/M3/20110421/F51044/1742/1", 95.19)</f>
        <v>95.19</v>
      </c>
      <c r="E8723" s="2">
        <v>67.5</v>
      </c>
      <c r="F8723" s="2">
        <v>2</v>
      </c>
      <c r="G8723" s="2" t="s">
        <v>12</v>
      </c>
    </row>
    <row r="8724" spans="1:9" x14ac:dyDescent="0.2">
      <c r="A8724" s="2" t="s">
        <v>3250</v>
      </c>
      <c r="B8724" s="2" t="s">
        <v>356</v>
      </c>
      <c r="C8724" s="2">
        <v>816.48220000000003</v>
      </c>
      <c r="D8724" s="2">
        <f>HYPERLINK("http://mcb-m6.bioreg.kyushu-u.ac.jp/M3/20110421/F51043/2432/1", 95.39)</f>
        <v>95.39</v>
      </c>
      <c r="E8724" s="2">
        <v>79.319999999999993</v>
      </c>
      <c r="F8724" s="2">
        <v>2</v>
      </c>
      <c r="G8724" s="2" t="s">
        <v>12</v>
      </c>
    </row>
    <row r="8725" spans="1:9" x14ac:dyDescent="0.2">
      <c r="A8725" s="2" t="s">
        <v>3250</v>
      </c>
      <c r="B8725" s="2" t="s">
        <v>1255</v>
      </c>
      <c r="C8725" s="2">
        <v>1273.932</v>
      </c>
      <c r="D8725" s="2">
        <f>HYPERLINK("http://mcb-m6.bioreg.kyushu-u.ac.jp/M3/20110421/F51045/3441/1", 96)</f>
        <v>96</v>
      </c>
      <c r="E8725" s="2">
        <v>86.56</v>
      </c>
      <c r="F8725" s="2">
        <v>2</v>
      </c>
      <c r="G8725" s="2" t="s">
        <v>12</v>
      </c>
      <c r="I8725" s="2" t="s">
        <v>4906</v>
      </c>
    </row>
    <row r="8726" spans="1:9" x14ac:dyDescent="0.2">
      <c r="A8726" s="2" t="s">
        <v>3250</v>
      </c>
      <c r="B8726" s="2" t="s">
        <v>561</v>
      </c>
      <c r="C8726" s="2">
        <v>662.1857</v>
      </c>
      <c r="D8726" s="2">
        <f>HYPERLINK("http://mcb-m6.bioreg.kyushu-u.ac.jp/M3/20110421/F51023/1762/1", 96.25)</f>
        <v>96.25</v>
      </c>
      <c r="E8726" s="2">
        <v>79.69</v>
      </c>
      <c r="F8726" s="2">
        <v>2</v>
      </c>
      <c r="G8726" s="2" t="s">
        <v>12</v>
      </c>
      <c r="H8726" s="2" t="s">
        <v>4919</v>
      </c>
    </row>
    <row r="8727" spans="1:9" x14ac:dyDescent="0.2">
      <c r="A8727" s="2" t="s">
        <v>3250</v>
      </c>
      <c r="B8727" s="2" t="s">
        <v>561</v>
      </c>
      <c r="C8727" s="2">
        <v>662.24159999999995</v>
      </c>
      <c r="D8727" s="2">
        <f>HYPERLINK("http://mcb-m6.bioreg.kyushu-u.ac.jp/M3/20110421/F51044/1550/1", 96.32)</f>
        <v>96.32</v>
      </c>
      <c r="E8727" s="2">
        <v>76.069999999999993</v>
      </c>
      <c r="F8727" s="2">
        <v>2</v>
      </c>
      <c r="G8727" s="2" t="s">
        <v>12</v>
      </c>
      <c r="H8727" s="2" t="s">
        <v>4919</v>
      </c>
    </row>
    <row r="8728" spans="1:9" x14ac:dyDescent="0.2">
      <c r="A8728" s="2" t="s">
        <v>3250</v>
      </c>
      <c r="B8728" s="2" t="s">
        <v>467</v>
      </c>
      <c r="C8728" s="2">
        <v>692.13570000000004</v>
      </c>
      <c r="D8728" s="2">
        <f>HYPERLINK("http://mcb-m6.bioreg.kyushu-u.ac.jp/M3/20110421/F51048/1929/1", 98.54)</f>
        <v>98.54</v>
      </c>
      <c r="E8728" s="2">
        <v>67.510000000000005</v>
      </c>
      <c r="F8728" s="2">
        <v>2</v>
      </c>
      <c r="G8728" s="2" t="s">
        <v>12</v>
      </c>
    </row>
    <row r="8729" spans="1:9" x14ac:dyDescent="0.2">
      <c r="A8729" s="2" t="s">
        <v>3250</v>
      </c>
      <c r="B8729" s="2" t="s">
        <v>481</v>
      </c>
      <c r="C8729" s="2">
        <v>709.24770000000001</v>
      </c>
      <c r="D8729" s="2">
        <f>HYPERLINK("http://mcb-m6.bioreg.kyushu-u.ac.jp/M3/20110421/F51026/1960/1", 109.69)</f>
        <v>109.69</v>
      </c>
      <c r="E8729" s="2">
        <v>89.73</v>
      </c>
      <c r="F8729" s="2">
        <v>2</v>
      </c>
      <c r="G8729" s="2" t="s">
        <v>12</v>
      </c>
      <c r="I8729" s="2" t="s">
        <v>4898</v>
      </c>
    </row>
    <row r="8730" spans="1:9" x14ac:dyDescent="0.2">
      <c r="A8730" s="2" t="s">
        <v>3250</v>
      </c>
      <c r="B8730" s="2" t="s">
        <v>356</v>
      </c>
      <c r="C8730" s="2">
        <v>816.08420000000001</v>
      </c>
      <c r="D8730" s="2">
        <f>HYPERLINK("http://mcb-m6.bioreg.kyushu-u.ac.jp/M3/20110421/F51021/2497/1", 112.56)</f>
        <v>112.56</v>
      </c>
      <c r="E8730" s="2">
        <v>87.66</v>
      </c>
      <c r="F8730" s="2">
        <v>2</v>
      </c>
      <c r="G8730" s="2" t="s">
        <v>12</v>
      </c>
    </row>
    <row r="8731" spans="1:9" x14ac:dyDescent="0.2">
      <c r="A8731" s="2" t="s">
        <v>3250</v>
      </c>
      <c r="B8731" s="2" t="s">
        <v>90</v>
      </c>
      <c r="C8731" s="2">
        <v>717.21720000000005</v>
      </c>
      <c r="D8731" s="2">
        <f>HYPERLINK("http://mcb-m6.bioreg.kyushu-u.ac.jp/M3/20110421/F51022/1977/1", 121.36)</f>
        <v>121.36</v>
      </c>
      <c r="E8731" s="2">
        <v>95.09</v>
      </c>
      <c r="F8731" s="2">
        <v>2</v>
      </c>
      <c r="G8731" s="2" t="s">
        <v>12</v>
      </c>
    </row>
    <row r="8732" spans="1:9" x14ac:dyDescent="0.2">
      <c r="A8732" s="2" t="s">
        <v>3250</v>
      </c>
      <c r="B8732" s="2" t="s">
        <v>356</v>
      </c>
      <c r="C8732" s="2">
        <v>815.75419999999997</v>
      </c>
      <c r="D8732" s="2">
        <f>HYPERLINK("http://mcb-m6.bioreg.kyushu-u.ac.jp/M3/20110421/F51023/2403/1", 122.9)</f>
        <v>122.9</v>
      </c>
      <c r="E8732" s="2">
        <v>103.81</v>
      </c>
      <c r="F8732" s="2">
        <v>2</v>
      </c>
      <c r="G8732" s="2" t="s">
        <v>12</v>
      </c>
    </row>
    <row r="8733" spans="1:9" x14ac:dyDescent="0.2">
      <c r="A8733" s="2" t="s">
        <v>3250</v>
      </c>
      <c r="B8733" s="2" t="s">
        <v>102</v>
      </c>
      <c r="C8733" s="2">
        <v>1215.433</v>
      </c>
      <c r="D8733" s="2">
        <f>HYPERLINK("http://mcb-m6.bioreg.kyushu-u.ac.jp/M3/20110427/F51115/1460/1", 35.52)</f>
        <v>35.520000000000003</v>
      </c>
      <c r="E8733" s="2">
        <v>16.329999999999998</v>
      </c>
      <c r="F8733" s="2">
        <v>1</v>
      </c>
      <c r="G8733" s="2" t="s">
        <v>13</v>
      </c>
    </row>
    <row r="8734" spans="1:9" x14ac:dyDescent="0.2">
      <c r="A8734" s="2" t="s">
        <v>3250</v>
      </c>
      <c r="B8734" s="2" t="s">
        <v>356</v>
      </c>
      <c r="C8734" s="2">
        <v>816.29219999999998</v>
      </c>
      <c r="D8734" s="2">
        <f>HYPERLINK("http://mcb-m6.bioreg.kyushu-u.ac.jp/M3/20110427/F51116/2422/1", 36.52)</f>
        <v>36.520000000000003</v>
      </c>
      <c r="E8734" s="2">
        <v>10.29</v>
      </c>
      <c r="F8734" s="2">
        <v>2</v>
      </c>
      <c r="G8734" s="2" t="s">
        <v>13</v>
      </c>
    </row>
    <row r="8735" spans="1:9" x14ac:dyDescent="0.2">
      <c r="A8735" s="2" t="s">
        <v>3250</v>
      </c>
      <c r="B8735" s="2" t="s">
        <v>351</v>
      </c>
      <c r="C8735" s="2">
        <v>861.35799999999995</v>
      </c>
      <c r="D8735" s="2">
        <f>HYPERLINK("http://mcb-m6.bioreg.kyushu-u.ac.jp/M3/20110427/F51116/816/1", 36.65)</f>
        <v>36.65</v>
      </c>
      <c r="E8735" s="2">
        <v>14.17</v>
      </c>
      <c r="F8735" s="2">
        <v>1</v>
      </c>
      <c r="G8735" s="2" t="s">
        <v>13</v>
      </c>
      <c r="I8735" s="2" t="s">
        <v>4899</v>
      </c>
    </row>
    <row r="8736" spans="1:9" x14ac:dyDescent="0.2">
      <c r="A8736" s="2" t="s">
        <v>3250</v>
      </c>
      <c r="B8736" s="2" t="s">
        <v>351</v>
      </c>
      <c r="C8736" s="2">
        <v>861.37800000000004</v>
      </c>
      <c r="D8736" s="2">
        <f>HYPERLINK("http://mcb-m6.bioreg.kyushu-u.ac.jp/M3/20110428/F51133/554/1", 36.85)</f>
        <v>36.85</v>
      </c>
      <c r="E8736" s="2">
        <v>15.27</v>
      </c>
      <c r="F8736" s="2">
        <v>1</v>
      </c>
      <c r="G8736" s="2" t="s">
        <v>13</v>
      </c>
      <c r="I8736" s="2" t="s">
        <v>4899</v>
      </c>
    </row>
    <row r="8737" spans="1:9" x14ac:dyDescent="0.2">
      <c r="A8737" s="2" t="s">
        <v>3250</v>
      </c>
      <c r="B8737" s="2" t="s">
        <v>351</v>
      </c>
      <c r="C8737" s="2">
        <v>861.31700000000001</v>
      </c>
      <c r="D8737" s="2">
        <f>HYPERLINK("http://mcb-m6.bioreg.kyushu-u.ac.jp/M3/20110427/F51109/1234/1", 36.85)</f>
        <v>36.85</v>
      </c>
      <c r="E8737" s="2">
        <v>11.51</v>
      </c>
      <c r="F8737" s="2">
        <v>1</v>
      </c>
      <c r="G8737" s="2" t="s">
        <v>13</v>
      </c>
      <c r="I8737" s="2" t="s">
        <v>4899</v>
      </c>
    </row>
    <row r="8738" spans="1:9" x14ac:dyDescent="0.2">
      <c r="A8738" s="2" t="s">
        <v>3250</v>
      </c>
      <c r="B8738" s="2" t="s">
        <v>1065</v>
      </c>
      <c r="C8738" s="2">
        <v>716.32069999999999</v>
      </c>
      <c r="D8738" s="2">
        <f>HYPERLINK("http://mcb-m6.bioreg.kyushu-u.ac.jp/M3/20110427/F51113/1895/1", 37.01)</f>
        <v>37.01</v>
      </c>
      <c r="E8738" s="2">
        <v>27.1</v>
      </c>
      <c r="F8738" s="2">
        <v>2</v>
      </c>
      <c r="G8738" s="2" t="s">
        <v>13</v>
      </c>
      <c r="I8738" s="2" t="s">
        <v>4892</v>
      </c>
    </row>
    <row r="8739" spans="1:9" x14ac:dyDescent="0.2">
      <c r="A8739" s="2" t="s">
        <v>3250</v>
      </c>
      <c r="B8739" s="2" t="s">
        <v>503</v>
      </c>
      <c r="C8739" s="2">
        <v>816.26869999999997</v>
      </c>
      <c r="D8739" s="2">
        <f>HYPERLINK("http://mcb-m6.bioreg.kyushu-u.ac.jp/M3/20110427/F51115/2327/1", 37.07)</f>
        <v>37.07</v>
      </c>
      <c r="E8739" s="2">
        <v>28.67</v>
      </c>
      <c r="F8739" s="2">
        <v>2</v>
      </c>
      <c r="G8739" s="2" t="s">
        <v>13</v>
      </c>
      <c r="H8739" s="2" t="s">
        <v>4907</v>
      </c>
    </row>
    <row r="8740" spans="1:9" x14ac:dyDescent="0.2">
      <c r="A8740" s="2" t="s">
        <v>3250</v>
      </c>
      <c r="B8740" s="2" t="s">
        <v>102</v>
      </c>
      <c r="C8740" s="2">
        <v>616.24519999999995</v>
      </c>
      <c r="D8740" s="2">
        <f>HYPERLINK("http://mcb-m6.bioreg.kyushu-u.ac.jp/M3/20110427/F51116/1498/1", 37.38)</f>
        <v>37.380000000000003</v>
      </c>
      <c r="E8740" s="2">
        <v>19.13</v>
      </c>
      <c r="F8740" s="2">
        <v>2</v>
      </c>
      <c r="G8740" s="2" t="s">
        <v>13</v>
      </c>
      <c r="H8740" s="2" t="s">
        <v>4900</v>
      </c>
    </row>
    <row r="8741" spans="1:9" x14ac:dyDescent="0.2">
      <c r="A8741" s="2" t="s">
        <v>3250</v>
      </c>
      <c r="B8741" s="2" t="s">
        <v>175</v>
      </c>
      <c r="C8741" s="2">
        <v>523.18320000000006</v>
      </c>
      <c r="D8741" s="2">
        <f>HYPERLINK("http://mcb-m6.bioreg.kyushu-u.ac.jp/M3/20110427/F51117/2200/1", 37.4)</f>
        <v>37.4</v>
      </c>
      <c r="E8741" s="2">
        <v>23.45</v>
      </c>
      <c r="F8741" s="2">
        <v>3</v>
      </c>
      <c r="G8741" s="2" t="s">
        <v>13</v>
      </c>
      <c r="I8741" s="2" t="s">
        <v>4893</v>
      </c>
    </row>
    <row r="8742" spans="1:9" x14ac:dyDescent="0.2">
      <c r="A8742" s="2" t="s">
        <v>3250</v>
      </c>
      <c r="B8742" s="2" t="s">
        <v>834</v>
      </c>
      <c r="C8742" s="2">
        <v>621.59059999999999</v>
      </c>
      <c r="D8742" s="2">
        <f>HYPERLINK("http://mcb-m6.bioreg.kyushu-u.ac.jp/M3/20110428/F51131/1254/1", 37.47)</f>
        <v>37.47</v>
      </c>
      <c r="E8742" s="2">
        <v>24.19</v>
      </c>
      <c r="F8742" s="2">
        <v>2</v>
      </c>
      <c r="G8742" s="2" t="s">
        <v>13</v>
      </c>
    </row>
    <row r="8743" spans="1:9" x14ac:dyDescent="0.2">
      <c r="A8743" s="2" t="s">
        <v>3250</v>
      </c>
      <c r="B8743" s="2" t="s">
        <v>617</v>
      </c>
      <c r="C8743" s="2">
        <v>686.19569999999999</v>
      </c>
      <c r="D8743" s="2">
        <f>HYPERLINK("http://mcb-m6.bioreg.kyushu-u.ac.jp/M3/20110427/F51115/1716/1", 37.85)</f>
        <v>37.85</v>
      </c>
      <c r="E8743" s="2">
        <v>24.01</v>
      </c>
      <c r="F8743" s="2">
        <v>2</v>
      </c>
      <c r="G8743" s="2" t="s">
        <v>13</v>
      </c>
    </row>
    <row r="8744" spans="1:9" x14ac:dyDescent="0.2">
      <c r="A8744" s="2" t="s">
        <v>3250</v>
      </c>
      <c r="B8744" s="2" t="s">
        <v>561</v>
      </c>
      <c r="C8744" s="2">
        <v>1308.461</v>
      </c>
      <c r="D8744" s="2">
        <f>HYPERLINK("http://mcb-m6.bioreg.kyushu-u.ac.jp/M3/20110427/F51117/1575/1", 38.07)</f>
        <v>38.07</v>
      </c>
      <c r="E8744" s="2">
        <v>23.38</v>
      </c>
      <c r="F8744" s="2">
        <v>1</v>
      </c>
      <c r="G8744" s="2" t="s">
        <v>13</v>
      </c>
    </row>
    <row r="8745" spans="1:9" x14ac:dyDescent="0.2">
      <c r="A8745" s="2" t="s">
        <v>3250</v>
      </c>
      <c r="B8745" s="2" t="s">
        <v>503</v>
      </c>
      <c r="C8745" s="2">
        <v>816.33010000000002</v>
      </c>
      <c r="D8745" s="2">
        <f>HYPERLINK("http://mcb-m6.bioreg.kyushu-u.ac.jp/M3/20110428/F51127/2334/1", 38.53)</f>
        <v>38.53</v>
      </c>
      <c r="E8745" s="2">
        <v>28.23</v>
      </c>
      <c r="F8745" s="2">
        <v>2</v>
      </c>
      <c r="G8745" s="2" t="s">
        <v>13</v>
      </c>
      <c r="H8745" s="2" t="s">
        <v>4907</v>
      </c>
    </row>
    <row r="8746" spans="1:9" x14ac:dyDescent="0.2">
      <c r="A8746" s="2" t="s">
        <v>3250</v>
      </c>
      <c r="B8746" s="2" t="s">
        <v>351</v>
      </c>
      <c r="C8746" s="2">
        <v>861.399</v>
      </c>
      <c r="D8746" s="2">
        <f>HYPERLINK("http://mcb-m6.bioreg.kyushu-u.ac.jp/M3/20110427/F51117/820/1", 38.84)</f>
        <v>38.840000000000003</v>
      </c>
      <c r="E8746" s="2">
        <v>15.92</v>
      </c>
      <c r="F8746" s="2">
        <v>1</v>
      </c>
      <c r="G8746" s="2" t="s">
        <v>13</v>
      </c>
      <c r="I8746" s="2" t="s">
        <v>4899</v>
      </c>
    </row>
    <row r="8747" spans="1:9" x14ac:dyDescent="0.2">
      <c r="A8747" s="2" t="s">
        <v>3250</v>
      </c>
      <c r="B8747" s="2" t="s">
        <v>90</v>
      </c>
      <c r="C8747" s="2">
        <v>716.98720000000003</v>
      </c>
      <c r="D8747" s="2">
        <f>HYPERLINK("http://mcb-m6.bioreg.kyushu-u.ac.jp/M3/20110427/F51109/2029/1", 39.03)</f>
        <v>39.03</v>
      </c>
      <c r="E8747" s="2">
        <v>18.37</v>
      </c>
      <c r="F8747" s="2">
        <v>2</v>
      </c>
      <c r="G8747" s="2" t="s">
        <v>13</v>
      </c>
    </row>
    <row r="8748" spans="1:9" x14ac:dyDescent="0.2">
      <c r="A8748" s="2" t="s">
        <v>3250</v>
      </c>
      <c r="B8748" s="2" t="s">
        <v>102</v>
      </c>
      <c r="C8748" s="2">
        <v>1215.394</v>
      </c>
      <c r="D8748" s="2">
        <f>HYPERLINK("http://mcb-m6.bioreg.kyushu-u.ac.jp/M3/20110427/F51116/1472/1", 39.14)</f>
        <v>39.14</v>
      </c>
      <c r="E8748" s="2">
        <v>24.21</v>
      </c>
      <c r="F8748" s="2">
        <v>1</v>
      </c>
      <c r="G8748" s="2" t="s">
        <v>13</v>
      </c>
    </row>
    <row r="8749" spans="1:9" x14ac:dyDescent="0.2">
      <c r="A8749" s="2" t="s">
        <v>3250</v>
      </c>
      <c r="B8749" s="2" t="s">
        <v>481</v>
      </c>
      <c r="C8749" s="2">
        <v>1418.635</v>
      </c>
      <c r="D8749" s="2">
        <f>HYPERLINK("http://mcb-m6.bioreg.kyushu-u.ac.jp/M3/20110428/F51133/1721/1", 39.18)</f>
        <v>39.18</v>
      </c>
      <c r="E8749" s="2">
        <v>25.03</v>
      </c>
      <c r="F8749" s="2">
        <v>1</v>
      </c>
      <c r="G8749" s="2" t="s">
        <v>13</v>
      </c>
      <c r="I8749" s="2" t="s">
        <v>4898</v>
      </c>
    </row>
    <row r="8750" spans="1:9" x14ac:dyDescent="0.2">
      <c r="A8750" s="2" t="s">
        <v>3250</v>
      </c>
      <c r="B8750" s="2" t="s">
        <v>311</v>
      </c>
      <c r="C8750" s="2">
        <v>1197.3810000000001</v>
      </c>
      <c r="D8750" s="2">
        <f>HYPERLINK("http://mcb-m6.bioreg.kyushu-u.ac.jp/M3/20110427/F51117/1380/1", 39.2)</f>
        <v>39.200000000000003</v>
      </c>
      <c r="E8750" s="2">
        <v>23.96</v>
      </c>
      <c r="F8750" s="2">
        <v>1</v>
      </c>
      <c r="G8750" s="2" t="s">
        <v>13</v>
      </c>
    </row>
    <row r="8751" spans="1:9" x14ac:dyDescent="0.2">
      <c r="A8751" s="2" t="s">
        <v>3250</v>
      </c>
      <c r="B8751" s="2" t="s">
        <v>1888</v>
      </c>
      <c r="C8751" s="2">
        <v>912.40700000000004</v>
      </c>
      <c r="D8751" s="2">
        <f>HYPERLINK("http://mcb-m6.bioreg.kyushu-u.ac.jp/M3/20110427/F51114/739/1", 39.79)</f>
        <v>39.79</v>
      </c>
      <c r="E8751" s="2">
        <v>18.13</v>
      </c>
      <c r="F8751" s="2">
        <v>1</v>
      </c>
      <c r="G8751" s="2" t="s">
        <v>13</v>
      </c>
    </row>
    <row r="8752" spans="1:9" x14ac:dyDescent="0.2">
      <c r="A8752" s="2" t="s">
        <v>3250</v>
      </c>
      <c r="B8752" s="2" t="s">
        <v>102</v>
      </c>
      <c r="C8752" s="2">
        <v>608.53809999999999</v>
      </c>
      <c r="D8752" s="2">
        <f>HYPERLINK("http://mcb-m6.bioreg.kyushu-u.ac.jp/M3/20110428/F51131/1200/1", 40.03)</f>
        <v>40.03</v>
      </c>
      <c r="E8752" s="2">
        <v>24.58</v>
      </c>
      <c r="F8752" s="2">
        <v>2</v>
      </c>
      <c r="G8752" s="2" t="s">
        <v>13</v>
      </c>
    </row>
    <row r="8753" spans="1:9" x14ac:dyDescent="0.2">
      <c r="A8753" s="2" t="s">
        <v>3250</v>
      </c>
      <c r="B8753" s="2" t="s">
        <v>561</v>
      </c>
      <c r="C8753" s="2">
        <v>662.15470000000005</v>
      </c>
      <c r="D8753" s="2">
        <f>HYPERLINK("http://mcb-m6.bioreg.kyushu-u.ac.jp/M3/20110428/F51133/1444/1", 40.04)</f>
        <v>40.04</v>
      </c>
      <c r="E8753" s="2">
        <v>27.32</v>
      </c>
      <c r="F8753" s="2">
        <v>2</v>
      </c>
      <c r="G8753" s="2" t="s">
        <v>13</v>
      </c>
      <c r="H8753" s="2" t="s">
        <v>4919</v>
      </c>
    </row>
    <row r="8754" spans="1:9" x14ac:dyDescent="0.2">
      <c r="A8754" s="2" t="s">
        <v>3250</v>
      </c>
      <c r="B8754" s="2" t="s">
        <v>467</v>
      </c>
      <c r="C8754" s="2">
        <v>691.52760000000001</v>
      </c>
      <c r="D8754" s="2">
        <f>HYPERLINK("http://mcb-m6.bioreg.kyushu-u.ac.jp/M3/20110427/F51108/1869/1", 40.54)</f>
        <v>40.54</v>
      </c>
      <c r="E8754" s="2">
        <v>16.53</v>
      </c>
      <c r="F8754" s="2">
        <v>2</v>
      </c>
      <c r="G8754" s="2" t="s">
        <v>13</v>
      </c>
    </row>
    <row r="8755" spans="1:9" x14ac:dyDescent="0.2">
      <c r="A8755" s="2" t="s">
        <v>3250</v>
      </c>
      <c r="B8755" s="2" t="s">
        <v>102</v>
      </c>
      <c r="C8755" s="2">
        <v>608.03920000000005</v>
      </c>
      <c r="D8755" s="2">
        <f>HYPERLINK("http://mcb-m6.bioreg.kyushu-u.ac.jp/M3/20110427/F51112/1536/1", 40.87)</f>
        <v>40.869999999999997</v>
      </c>
      <c r="E8755" s="2">
        <v>26.89</v>
      </c>
      <c r="F8755" s="2">
        <v>2</v>
      </c>
      <c r="G8755" s="2" t="s">
        <v>13</v>
      </c>
    </row>
    <row r="8756" spans="1:9" x14ac:dyDescent="0.2">
      <c r="A8756" s="2" t="s">
        <v>3250</v>
      </c>
      <c r="B8756" s="2" t="s">
        <v>398</v>
      </c>
      <c r="C8756" s="2">
        <v>640.29169999999999</v>
      </c>
      <c r="D8756" s="2">
        <f>HYPERLINK("http://mcb-m6.bioreg.kyushu-u.ac.jp/M3/20110428/F51133/1376/1", 42.23)</f>
        <v>42.23</v>
      </c>
      <c r="E8756" s="2">
        <v>17.13</v>
      </c>
      <c r="F8756" s="2">
        <v>2</v>
      </c>
      <c r="G8756" s="2" t="s">
        <v>13</v>
      </c>
    </row>
    <row r="8757" spans="1:9" x14ac:dyDescent="0.2">
      <c r="A8757" s="2" t="s">
        <v>3250</v>
      </c>
      <c r="B8757" s="2" t="s">
        <v>77</v>
      </c>
      <c r="C8757" s="2">
        <v>1148.393</v>
      </c>
      <c r="D8757" s="2">
        <f>HYPERLINK("http://mcb-m6.bioreg.kyushu-u.ac.jp/M3/20110428/F51132/1229/1", 42.42)</f>
        <v>42.42</v>
      </c>
      <c r="E8757" s="2">
        <v>21.38</v>
      </c>
      <c r="F8757" s="2">
        <v>1</v>
      </c>
      <c r="G8757" s="2" t="s">
        <v>13</v>
      </c>
    </row>
    <row r="8758" spans="1:9" x14ac:dyDescent="0.2">
      <c r="A8758" s="2" t="s">
        <v>3250</v>
      </c>
      <c r="B8758" s="2" t="s">
        <v>365</v>
      </c>
      <c r="C8758" s="2">
        <v>849.34270000000004</v>
      </c>
      <c r="D8758" s="2">
        <f>HYPERLINK("http://mcb-m6.bioreg.kyushu-u.ac.jp/M3/20110427/F51112/2600/1", 42.54)</f>
        <v>42.54</v>
      </c>
      <c r="E8758" s="2">
        <v>28.65</v>
      </c>
      <c r="F8758" s="2">
        <v>2</v>
      </c>
      <c r="G8758" s="2" t="s">
        <v>13</v>
      </c>
    </row>
    <row r="8759" spans="1:9" x14ac:dyDescent="0.2">
      <c r="A8759" s="2" t="s">
        <v>3250</v>
      </c>
      <c r="B8759" s="2" t="s">
        <v>772</v>
      </c>
      <c r="C8759" s="2">
        <v>1190.4010000000001</v>
      </c>
      <c r="D8759" s="2">
        <f>HYPERLINK("http://mcb-m6.bioreg.kyushu-u.ac.jp/M3/20110428/F51127/1186/1", 43.06)</f>
        <v>43.06</v>
      </c>
      <c r="E8759" s="2">
        <v>15.73</v>
      </c>
      <c r="F8759" s="2">
        <v>1</v>
      </c>
      <c r="G8759" s="2" t="s">
        <v>13</v>
      </c>
    </row>
    <row r="8760" spans="1:9" x14ac:dyDescent="0.2">
      <c r="A8760" s="2" t="s">
        <v>3250</v>
      </c>
      <c r="B8760" s="2" t="s">
        <v>77</v>
      </c>
      <c r="C8760" s="2">
        <v>1148.3019999999999</v>
      </c>
      <c r="D8760" s="2">
        <f>HYPERLINK("http://mcb-m6.bioreg.kyushu-u.ac.jp/M3/20110427/F51116/1331/1", 43.64)</f>
        <v>43.64</v>
      </c>
      <c r="E8760" s="2">
        <v>27.81</v>
      </c>
      <c r="F8760" s="2">
        <v>1</v>
      </c>
      <c r="G8760" s="2" t="s">
        <v>13</v>
      </c>
    </row>
    <row r="8761" spans="1:9" x14ac:dyDescent="0.2">
      <c r="A8761" s="2" t="s">
        <v>3250</v>
      </c>
      <c r="B8761" s="2" t="s">
        <v>398</v>
      </c>
      <c r="C8761" s="2">
        <v>640.2672</v>
      </c>
      <c r="D8761" s="2">
        <f>HYPERLINK("http://mcb-m6.bioreg.kyushu-u.ac.jp/M3/20110427/F51117/1527/1", 44.18)</f>
        <v>44.18</v>
      </c>
      <c r="E8761" s="2">
        <v>22.4</v>
      </c>
      <c r="F8761" s="2">
        <v>2</v>
      </c>
      <c r="G8761" s="2" t="s">
        <v>13</v>
      </c>
    </row>
    <row r="8762" spans="1:9" x14ac:dyDescent="0.2">
      <c r="A8762" s="2" t="s">
        <v>3250</v>
      </c>
      <c r="B8762" s="2" t="s">
        <v>365</v>
      </c>
      <c r="C8762" s="2">
        <v>849.39670000000001</v>
      </c>
      <c r="D8762" s="2">
        <f>HYPERLINK("http://mcb-m6.bioreg.kyushu-u.ac.jp/M3/20110427/F51111/2662/1", 44.86)</f>
        <v>44.86</v>
      </c>
      <c r="E8762" s="2">
        <v>31.45</v>
      </c>
      <c r="F8762" s="2">
        <v>2</v>
      </c>
      <c r="G8762" s="2" t="s">
        <v>13</v>
      </c>
    </row>
    <row r="8763" spans="1:9" x14ac:dyDescent="0.2">
      <c r="A8763" s="2" t="s">
        <v>3250</v>
      </c>
      <c r="B8763" s="2" t="s">
        <v>77</v>
      </c>
      <c r="C8763" s="2">
        <v>1148.345</v>
      </c>
      <c r="D8763" s="2">
        <f>HYPERLINK("http://mcb-m6.bioreg.kyushu-u.ac.jp/M3/20110428/F51127/1067/1", 45.07)</f>
        <v>45.07</v>
      </c>
      <c r="E8763" s="2">
        <v>20.76</v>
      </c>
      <c r="F8763" s="2">
        <v>1</v>
      </c>
      <c r="G8763" s="2" t="s">
        <v>13</v>
      </c>
    </row>
    <row r="8764" spans="1:9" x14ac:dyDescent="0.2">
      <c r="A8764" s="2" t="s">
        <v>3250</v>
      </c>
      <c r="B8764" s="2" t="s">
        <v>604</v>
      </c>
      <c r="C8764" s="2">
        <v>520.70069999999998</v>
      </c>
      <c r="D8764" s="2">
        <f>HYPERLINK("http://mcb-m6.bioreg.kyushu-u.ac.jp/M3/20110427/F51114/1019/1", 45.1)</f>
        <v>45.1</v>
      </c>
      <c r="E8764" s="2">
        <v>6.8</v>
      </c>
      <c r="F8764" s="2">
        <v>2</v>
      </c>
      <c r="G8764" s="2" t="s">
        <v>13</v>
      </c>
    </row>
    <row r="8765" spans="1:9" x14ac:dyDescent="0.2">
      <c r="A8765" s="2" t="s">
        <v>3250</v>
      </c>
      <c r="B8765" s="2" t="s">
        <v>365</v>
      </c>
      <c r="C8765" s="2">
        <v>849.28120000000001</v>
      </c>
      <c r="D8765" s="2">
        <f>HYPERLINK("http://mcb-m6.bioreg.kyushu-u.ac.jp/M3/20110427/F51117/2509/1", 45.31)</f>
        <v>45.31</v>
      </c>
      <c r="E8765" s="2">
        <v>31.52</v>
      </c>
      <c r="F8765" s="2">
        <v>2</v>
      </c>
      <c r="G8765" s="2" t="s">
        <v>13</v>
      </c>
    </row>
    <row r="8766" spans="1:9" x14ac:dyDescent="0.2">
      <c r="A8766" s="2" t="s">
        <v>3250</v>
      </c>
      <c r="B8766" s="2" t="s">
        <v>398</v>
      </c>
      <c r="C8766" s="2">
        <v>640.22059999999999</v>
      </c>
      <c r="D8766" s="2">
        <f>HYPERLINK("http://mcb-m6.bioreg.kyushu-u.ac.jp/M3/20110427/F51116/1570/1", 45.5)</f>
        <v>45.5</v>
      </c>
      <c r="E8766" s="2">
        <v>28.24</v>
      </c>
      <c r="F8766" s="2">
        <v>2</v>
      </c>
      <c r="G8766" s="2" t="s">
        <v>13</v>
      </c>
    </row>
    <row r="8767" spans="1:9" x14ac:dyDescent="0.2">
      <c r="A8767" s="2" t="s">
        <v>3250</v>
      </c>
      <c r="B8767" s="2" t="s">
        <v>102</v>
      </c>
      <c r="C8767" s="2">
        <v>1215.431</v>
      </c>
      <c r="D8767" s="2">
        <f>HYPERLINK("http://mcb-m6.bioreg.kyushu-u.ac.jp/M3/20110428/F51133/1266/1", 45.52)</f>
        <v>45.52</v>
      </c>
      <c r="E8767" s="2">
        <v>26.14</v>
      </c>
      <c r="F8767" s="2">
        <v>1</v>
      </c>
      <c r="G8767" s="2" t="s">
        <v>13</v>
      </c>
    </row>
    <row r="8768" spans="1:9" x14ac:dyDescent="0.2">
      <c r="A8768" s="2" t="s">
        <v>3250</v>
      </c>
      <c r="B8768" s="2" t="s">
        <v>1581</v>
      </c>
      <c r="C8768" s="2">
        <v>765.44010000000003</v>
      </c>
      <c r="D8768" s="2">
        <f>HYPERLINK("http://mcb-m6.bioreg.kyushu-u.ac.jp/M3/20110427/F51117/3353/1", 46)</f>
        <v>46</v>
      </c>
      <c r="E8768" s="2">
        <v>32.01</v>
      </c>
      <c r="F8768" s="2">
        <v>3</v>
      </c>
      <c r="G8768" s="2" t="s">
        <v>13</v>
      </c>
      <c r="I8768" s="2" t="s">
        <v>4895</v>
      </c>
    </row>
    <row r="8769" spans="1:9" x14ac:dyDescent="0.2">
      <c r="A8769" s="2" t="s">
        <v>3250</v>
      </c>
      <c r="B8769" s="2" t="s">
        <v>1888</v>
      </c>
      <c r="C8769" s="2">
        <v>457.14159999999998</v>
      </c>
      <c r="D8769" s="2">
        <f>HYPERLINK("http://mcb-m6.bioreg.kyushu-u.ac.jp/M3/20110428/F51133/600/1", 46.43)</f>
        <v>46.43</v>
      </c>
      <c r="E8769" s="2">
        <v>12.46</v>
      </c>
      <c r="F8769" s="2">
        <v>2</v>
      </c>
      <c r="G8769" s="2" t="s">
        <v>13</v>
      </c>
    </row>
    <row r="8770" spans="1:9" x14ac:dyDescent="0.2">
      <c r="A8770" s="2" t="s">
        <v>3250</v>
      </c>
      <c r="B8770" s="2" t="s">
        <v>77</v>
      </c>
      <c r="C8770" s="2">
        <v>1148.5050000000001</v>
      </c>
      <c r="D8770" s="2">
        <f>HYPERLINK("http://mcb-m6.bioreg.kyushu-u.ac.jp/M3/20110428/F51133/1138/1", 46.76)</f>
        <v>46.76</v>
      </c>
      <c r="E8770" s="2">
        <v>24.19</v>
      </c>
      <c r="F8770" s="2">
        <v>1</v>
      </c>
      <c r="G8770" s="2" t="s">
        <v>13</v>
      </c>
    </row>
    <row r="8771" spans="1:9" x14ac:dyDescent="0.2">
      <c r="A8771" s="2" t="s">
        <v>3250</v>
      </c>
      <c r="B8771" s="2" t="s">
        <v>604</v>
      </c>
      <c r="C8771" s="2">
        <v>520.7432</v>
      </c>
      <c r="D8771" s="2">
        <f>HYPERLINK("http://mcb-m6.bioreg.kyushu-u.ac.jp/M3/20110427/F51116/1107/1", 46.76)</f>
        <v>46.76</v>
      </c>
      <c r="E8771" s="2">
        <v>3.32</v>
      </c>
      <c r="F8771" s="2">
        <v>2</v>
      </c>
      <c r="G8771" s="2" t="s">
        <v>13</v>
      </c>
    </row>
    <row r="8772" spans="1:9" x14ac:dyDescent="0.2">
      <c r="A8772" s="2" t="s">
        <v>3250</v>
      </c>
      <c r="B8772" s="2" t="s">
        <v>1581</v>
      </c>
      <c r="C8772" s="2">
        <v>765.58249999999998</v>
      </c>
      <c r="D8772" s="2">
        <f>HYPERLINK("http://mcb-m6.bioreg.kyushu-u.ac.jp/M3/20110428/F51131/3343/1", 46.97)</f>
        <v>46.97</v>
      </c>
      <c r="E8772" s="2">
        <v>33</v>
      </c>
      <c r="F8772" s="2">
        <v>3</v>
      </c>
      <c r="G8772" s="2" t="s">
        <v>13</v>
      </c>
      <c r="I8772" s="2" t="s">
        <v>4895</v>
      </c>
    </row>
    <row r="8773" spans="1:9" x14ac:dyDescent="0.2">
      <c r="A8773" s="2" t="s">
        <v>3250</v>
      </c>
      <c r="B8773" s="2" t="s">
        <v>77</v>
      </c>
      <c r="C8773" s="2">
        <v>574.50710000000004</v>
      </c>
      <c r="D8773" s="2">
        <f>HYPERLINK("http://mcb-m6.bioreg.kyushu-u.ac.jp/M3/20110427/F51114/1248/1", 47.06)</f>
        <v>47.06</v>
      </c>
      <c r="E8773" s="2">
        <v>25.4</v>
      </c>
      <c r="F8773" s="2">
        <v>2</v>
      </c>
      <c r="G8773" s="2" t="s">
        <v>13</v>
      </c>
    </row>
    <row r="8774" spans="1:9" x14ac:dyDescent="0.2">
      <c r="A8774" s="2" t="s">
        <v>3250</v>
      </c>
      <c r="B8774" s="2" t="s">
        <v>481</v>
      </c>
      <c r="C8774" s="2">
        <v>709.79110000000003</v>
      </c>
      <c r="D8774" s="2">
        <f>HYPERLINK("http://mcb-m6.bioreg.kyushu-u.ac.jp/M3/20110428/F51127/1706/1", 47.06)</f>
        <v>47.06</v>
      </c>
      <c r="E8774" s="2">
        <v>24.12</v>
      </c>
      <c r="F8774" s="2">
        <v>2</v>
      </c>
      <c r="G8774" s="2" t="s">
        <v>13</v>
      </c>
      <c r="I8774" s="2" t="s">
        <v>4898</v>
      </c>
    </row>
    <row r="8775" spans="1:9" x14ac:dyDescent="0.2">
      <c r="A8775" s="2" t="s">
        <v>3250</v>
      </c>
      <c r="B8775" s="2" t="s">
        <v>561</v>
      </c>
      <c r="C8775" s="2">
        <v>1324.4880000000001</v>
      </c>
      <c r="D8775" s="2">
        <f>HYPERLINK("http://mcb-m6.bioreg.kyushu-u.ac.jp/M3/20110428/F51133/1448/1", 47.69)</f>
        <v>47.69</v>
      </c>
      <c r="E8775" s="2">
        <v>33.93</v>
      </c>
      <c r="F8775" s="2">
        <v>1</v>
      </c>
      <c r="G8775" s="2" t="s">
        <v>13</v>
      </c>
      <c r="H8775" s="2" t="s">
        <v>4919</v>
      </c>
    </row>
    <row r="8776" spans="1:9" x14ac:dyDescent="0.2">
      <c r="A8776" s="2" t="s">
        <v>3250</v>
      </c>
      <c r="B8776" s="2" t="s">
        <v>481</v>
      </c>
      <c r="C8776" s="2">
        <v>1417.4839999999999</v>
      </c>
      <c r="D8776" s="2">
        <f>HYPERLINK("http://mcb-m6.bioreg.kyushu-u.ac.jp/M3/20110427/F51117/1838/1", 47.69)</f>
        <v>47.69</v>
      </c>
      <c r="E8776" s="2">
        <v>34.729999999999997</v>
      </c>
      <c r="F8776" s="2">
        <v>1</v>
      </c>
      <c r="G8776" s="2" t="s">
        <v>13</v>
      </c>
      <c r="I8776" s="2" t="s">
        <v>4898</v>
      </c>
    </row>
    <row r="8777" spans="1:9" x14ac:dyDescent="0.2">
      <c r="A8777" s="2" t="s">
        <v>3250</v>
      </c>
      <c r="B8777" s="2" t="s">
        <v>102</v>
      </c>
      <c r="C8777" s="2">
        <v>616.69119999999998</v>
      </c>
      <c r="D8777" s="2">
        <f>HYPERLINK("http://mcb-m6.bioreg.kyushu-u.ac.jp/M3/20110427/F51113/1480/1", 47.8)</f>
        <v>47.8</v>
      </c>
      <c r="E8777" s="2">
        <v>33.81</v>
      </c>
      <c r="F8777" s="2">
        <v>2</v>
      </c>
      <c r="G8777" s="2" t="s">
        <v>13</v>
      </c>
      <c r="H8777" s="2" t="s">
        <v>4900</v>
      </c>
    </row>
    <row r="8778" spans="1:9" x14ac:dyDescent="0.2">
      <c r="A8778" s="2" t="s">
        <v>3250</v>
      </c>
      <c r="B8778" s="2" t="s">
        <v>311</v>
      </c>
      <c r="C8778" s="2">
        <v>1196.415</v>
      </c>
      <c r="D8778" s="2">
        <f>HYPERLINK("http://mcb-m6.bioreg.kyushu-u.ac.jp/M3/20110428/F51133/1237/1", 48.24)</f>
        <v>48.24</v>
      </c>
      <c r="E8778" s="2">
        <v>31.87</v>
      </c>
      <c r="F8778" s="2">
        <v>1</v>
      </c>
      <c r="G8778" s="2" t="s">
        <v>13</v>
      </c>
    </row>
    <row r="8779" spans="1:9" x14ac:dyDescent="0.2">
      <c r="A8779" s="2" t="s">
        <v>3250</v>
      </c>
      <c r="B8779" s="2" t="s">
        <v>77</v>
      </c>
      <c r="C8779" s="2">
        <v>1148.5039999999999</v>
      </c>
      <c r="D8779" s="2">
        <f>HYPERLINK("http://mcb-m6.bioreg.kyushu-u.ac.jp/M3/20110427/F51117/1280/1", 48.26)</f>
        <v>48.26</v>
      </c>
      <c r="E8779" s="2">
        <v>26.97</v>
      </c>
      <c r="F8779" s="2">
        <v>1</v>
      </c>
      <c r="G8779" s="2" t="s">
        <v>13</v>
      </c>
    </row>
    <row r="8780" spans="1:9" x14ac:dyDescent="0.2">
      <c r="A8780" s="2" t="s">
        <v>3250</v>
      </c>
      <c r="B8780" s="2" t="s">
        <v>356</v>
      </c>
      <c r="C8780" s="2">
        <v>816.42570000000001</v>
      </c>
      <c r="D8780" s="2">
        <f>HYPERLINK("http://mcb-m6.bioreg.kyushu-u.ac.jp/M3/20110427/F51115/2328/1", 48.33)</f>
        <v>48.33</v>
      </c>
      <c r="E8780" s="2">
        <v>33.770000000000003</v>
      </c>
      <c r="F8780" s="2">
        <v>2</v>
      </c>
      <c r="G8780" s="2" t="s">
        <v>13</v>
      </c>
    </row>
    <row r="8781" spans="1:9" x14ac:dyDescent="0.2">
      <c r="A8781" s="2" t="s">
        <v>3250</v>
      </c>
      <c r="B8781" s="2" t="s">
        <v>365</v>
      </c>
      <c r="C8781" s="2">
        <v>849.26419999999996</v>
      </c>
      <c r="D8781" s="2">
        <f>HYPERLINK("http://mcb-m6.bioreg.kyushu-u.ac.jp/M3/20110427/F51115/2441/1", 48.47)</f>
        <v>48.47</v>
      </c>
      <c r="E8781" s="2">
        <v>37.200000000000003</v>
      </c>
      <c r="F8781" s="2">
        <v>2</v>
      </c>
      <c r="G8781" s="2" t="s">
        <v>13</v>
      </c>
    </row>
    <row r="8782" spans="1:9" x14ac:dyDescent="0.2">
      <c r="A8782" s="2" t="s">
        <v>3250</v>
      </c>
      <c r="B8782" s="2" t="s">
        <v>1888</v>
      </c>
      <c r="C8782" s="2">
        <v>456.63209999999998</v>
      </c>
      <c r="D8782" s="2">
        <f>HYPERLINK("http://mcb-m6.bioreg.kyushu-u.ac.jp/M3/20110427/F51114/737/1", 48.65)</f>
        <v>48.65</v>
      </c>
      <c r="E8782" s="2">
        <v>10.69</v>
      </c>
      <c r="F8782" s="2">
        <v>2</v>
      </c>
      <c r="G8782" s="2" t="s">
        <v>13</v>
      </c>
    </row>
    <row r="8783" spans="1:9" x14ac:dyDescent="0.2">
      <c r="A8783" s="2" t="s">
        <v>3250</v>
      </c>
      <c r="B8783" s="2" t="s">
        <v>1888</v>
      </c>
      <c r="C8783" s="2">
        <v>456.6146</v>
      </c>
      <c r="D8783" s="2">
        <f>HYPERLINK("http://mcb-m6.bioreg.kyushu-u.ac.jp/M3/20110427/F51115/895/1", 48.66)</f>
        <v>48.66</v>
      </c>
      <c r="E8783" s="2">
        <v>1.2</v>
      </c>
      <c r="F8783" s="2">
        <v>2</v>
      </c>
      <c r="G8783" s="2" t="s">
        <v>13</v>
      </c>
    </row>
    <row r="8784" spans="1:9" x14ac:dyDescent="0.2">
      <c r="A8784" s="2" t="s">
        <v>3250</v>
      </c>
      <c r="B8784" s="2" t="s">
        <v>561</v>
      </c>
      <c r="C8784" s="2">
        <v>662.07619999999997</v>
      </c>
      <c r="D8784" s="2">
        <f>HYPERLINK("http://mcb-m6.bioreg.kyushu-u.ac.jp/M3/20110428/F51133/1443/1", 48.75)</f>
        <v>48.75</v>
      </c>
      <c r="E8784" s="2">
        <v>33.5</v>
      </c>
      <c r="F8784" s="2">
        <v>2</v>
      </c>
      <c r="G8784" s="2" t="s">
        <v>13</v>
      </c>
      <c r="H8784" s="2" t="s">
        <v>4919</v>
      </c>
    </row>
    <row r="8785" spans="1:9" x14ac:dyDescent="0.2">
      <c r="A8785" s="2" t="s">
        <v>3250</v>
      </c>
      <c r="B8785" s="2" t="s">
        <v>604</v>
      </c>
      <c r="C8785" s="2">
        <v>520.65769999999998</v>
      </c>
      <c r="D8785" s="2">
        <f>HYPERLINK("http://mcb-m6.bioreg.kyushu-u.ac.jp/M3/20110427/F51115/1122/1", 48.84)</f>
        <v>48.84</v>
      </c>
      <c r="E8785" s="2">
        <v>13.04</v>
      </c>
      <c r="F8785" s="2">
        <v>2</v>
      </c>
      <c r="G8785" s="2" t="s">
        <v>13</v>
      </c>
    </row>
    <row r="8786" spans="1:9" x14ac:dyDescent="0.2">
      <c r="A8786" s="2" t="s">
        <v>3250</v>
      </c>
      <c r="B8786" s="2" t="s">
        <v>561</v>
      </c>
      <c r="C8786" s="2">
        <v>662.09519999999998</v>
      </c>
      <c r="D8786" s="2">
        <f>HYPERLINK("http://mcb-m6.bioreg.kyushu-u.ac.jp/M3/20110428/F51131/1386/1", 48.87)</f>
        <v>48.87</v>
      </c>
      <c r="E8786" s="2">
        <v>33.44</v>
      </c>
      <c r="F8786" s="2">
        <v>2</v>
      </c>
      <c r="G8786" s="2" t="s">
        <v>13</v>
      </c>
      <c r="H8786" s="2" t="s">
        <v>4919</v>
      </c>
    </row>
    <row r="8787" spans="1:9" x14ac:dyDescent="0.2">
      <c r="A8787" s="2" t="s">
        <v>3250</v>
      </c>
      <c r="B8787" s="2" t="s">
        <v>311</v>
      </c>
      <c r="C8787" s="2">
        <v>1196.402</v>
      </c>
      <c r="D8787" s="2">
        <f>HYPERLINK("http://mcb-m6.bioreg.kyushu-u.ac.jp/M3/20110427/F51114/1363/1", 49.06)</f>
        <v>49.06</v>
      </c>
      <c r="E8787" s="2">
        <v>33.99</v>
      </c>
      <c r="F8787" s="2">
        <v>1</v>
      </c>
      <c r="G8787" s="2" t="s">
        <v>13</v>
      </c>
    </row>
    <row r="8788" spans="1:9" x14ac:dyDescent="0.2">
      <c r="A8788" s="2" t="s">
        <v>3250</v>
      </c>
      <c r="B8788" s="2" t="s">
        <v>617</v>
      </c>
      <c r="C8788" s="2">
        <v>686.33259999999996</v>
      </c>
      <c r="D8788" s="2">
        <f>HYPERLINK("http://mcb-m6.bioreg.kyushu-u.ac.jp/M3/20110427/F51117/1710/1", 49.3)</f>
        <v>49.3</v>
      </c>
      <c r="E8788" s="2">
        <v>30.93</v>
      </c>
      <c r="F8788" s="2">
        <v>2</v>
      </c>
      <c r="G8788" s="2" t="s">
        <v>13</v>
      </c>
    </row>
    <row r="8789" spans="1:9" x14ac:dyDescent="0.2">
      <c r="A8789" s="2" t="s">
        <v>3250</v>
      </c>
      <c r="B8789" s="2" t="s">
        <v>365</v>
      </c>
      <c r="C8789" s="2">
        <v>849.15520000000004</v>
      </c>
      <c r="D8789" s="2">
        <f>HYPERLINK("http://mcb-m6.bioreg.kyushu-u.ac.jp/M3/20110427/F51115/2439/1", 49.4)</f>
        <v>49.4</v>
      </c>
      <c r="E8789" s="2">
        <v>30.46</v>
      </c>
      <c r="F8789" s="2">
        <v>2</v>
      </c>
      <c r="G8789" s="2" t="s">
        <v>13</v>
      </c>
    </row>
    <row r="8790" spans="1:9" x14ac:dyDescent="0.2">
      <c r="A8790" s="2" t="s">
        <v>3250</v>
      </c>
      <c r="B8790" s="2" t="s">
        <v>175</v>
      </c>
      <c r="C8790" s="2">
        <v>784.34169999999995</v>
      </c>
      <c r="D8790" s="2">
        <f>HYPERLINK("http://mcb-m6.bioreg.kyushu-u.ac.jp/M3/20110427/F51117/2202/1", 49.6)</f>
        <v>49.6</v>
      </c>
      <c r="E8790" s="2">
        <v>31.94</v>
      </c>
      <c r="F8790" s="2">
        <v>2</v>
      </c>
      <c r="G8790" s="2" t="s">
        <v>13</v>
      </c>
      <c r="I8790" s="2" t="s">
        <v>4893</v>
      </c>
    </row>
    <row r="8791" spans="1:9" x14ac:dyDescent="0.2">
      <c r="A8791" s="2" t="s">
        <v>3250</v>
      </c>
      <c r="B8791" s="2" t="s">
        <v>356</v>
      </c>
      <c r="C8791" s="2">
        <v>816.26009999999997</v>
      </c>
      <c r="D8791" s="2">
        <f>HYPERLINK("http://mcb-m6.bioreg.kyushu-u.ac.jp/M3/20110428/F51133/2307/1", 49.67)</f>
        <v>49.67</v>
      </c>
      <c r="E8791" s="2">
        <v>29.82</v>
      </c>
      <c r="F8791" s="2">
        <v>2</v>
      </c>
      <c r="G8791" s="2" t="s">
        <v>13</v>
      </c>
    </row>
    <row r="8792" spans="1:9" x14ac:dyDescent="0.2">
      <c r="A8792" s="2" t="s">
        <v>3250</v>
      </c>
      <c r="B8792" s="2" t="s">
        <v>175</v>
      </c>
      <c r="C8792" s="2">
        <v>784.23969999999997</v>
      </c>
      <c r="D8792" s="2">
        <f>HYPERLINK("http://mcb-m6.bioreg.kyushu-u.ac.jp/M3/20110427/F51116/2278/1", 49.75)</f>
        <v>49.75</v>
      </c>
      <c r="E8792" s="2">
        <v>34.35</v>
      </c>
      <c r="F8792" s="2">
        <v>2</v>
      </c>
      <c r="G8792" s="2" t="s">
        <v>13</v>
      </c>
      <c r="I8792" s="2" t="s">
        <v>4893</v>
      </c>
    </row>
    <row r="8793" spans="1:9" x14ac:dyDescent="0.2">
      <c r="A8793" s="2" t="s">
        <v>3250</v>
      </c>
      <c r="B8793" s="2" t="s">
        <v>365</v>
      </c>
      <c r="C8793" s="2">
        <v>849.39509999999996</v>
      </c>
      <c r="D8793" s="2">
        <f>HYPERLINK("http://mcb-m6.bioreg.kyushu-u.ac.jp/M3/20110427/F51116/2566/1", 49.77)</f>
        <v>49.77</v>
      </c>
      <c r="E8793" s="2">
        <v>34.4</v>
      </c>
      <c r="F8793" s="2">
        <v>2</v>
      </c>
      <c r="G8793" s="2" t="s">
        <v>13</v>
      </c>
    </row>
    <row r="8794" spans="1:9" x14ac:dyDescent="0.2">
      <c r="A8794" s="2" t="s">
        <v>3250</v>
      </c>
      <c r="B8794" s="2" t="s">
        <v>561</v>
      </c>
      <c r="C8794" s="2">
        <v>662.1816</v>
      </c>
      <c r="D8794" s="2">
        <f>HYPERLINK("http://mcb-m6.bioreg.kyushu-u.ac.jp/M3/20110428/F51132/1542/1", 50.05)</f>
        <v>50.05</v>
      </c>
      <c r="E8794" s="2">
        <v>35.24</v>
      </c>
      <c r="F8794" s="2">
        <v>2</v>
      </c>
      <c r="G8794" s="2" t="s">
        <v>13</v>
      </c>
      <c r="H8794" s="2" t="s">
        <v>4919</v>
      </c>
    </row>
    <row r="8795" spans="1:9" x14ac:dyDescent="0.2">
      <c r="A8795" s="2" t="s">
        <v>3250</v>
      </c>
      <c r="B8795" s="2" t="s">
        <v>356</v>
      </c>
      <c r="C8795" s="2">
        <v>816.32259999999997</v>
      </c>
      <c r="D8795" s="2">
        <f>HYPERLINK("http://mcb-m6.bioreg.kyushu-u.ac.jp/M3/20110427/F51111/2527/1", 50.2)</f>
        <v>50.2</v>
      </c>
      <c r="E8795" s="2">
        <v>33.4</v>
      </c>
      <c r="F8795" s="2">
        <v>2</v>
      </c>
      <c r="G8795" s="2" t="s">
        <v>13</v>
      </c>
    </row>
    <row r="8796" spans="1:9" x14ac:dyDescent="0.2">
      <c r="A8796" s="2" t="s">
        <v>3250</v>
      </c>
      <c r="B8796" s="2" t="s">
        <v>77</v>
      </c>
      <c r="C8796" s="2">
        <v>1148.3050000000001</v>
      </c>
      <c r="D8796" s="2">
        <f>HYPERLINK("http://mcb-m6.bioreg.kyushu-u.ac.jp/M3/20110427/F51115/1329/1", 50.31)</f>
        <v>50.31</v>
      </c>
      <c r="E8796" s="2">
        <v>29.68</v>
      </c>
      <c r="F8796" s="2">
        <v>1</v>
      </c>
      <c r="G8796" s="2" t="s">
        <v>13</v>
      </c>
    </row>
    <row r="8797" spans="1:9" x14ac:dyDescent="0.2">
      <c r="A8797" s="2" t="s">
        <v>3250</v>
      </c>
      <c r="B8797" s="2" t="s">
        <v>1581</v>
      </c>
      <c r="C8797" s="2">
        <v>765.24419999999998</v>
      </c>
      <c r="D8797" s="2">
        <f>HYPERLINK("http://mcb-m6.bioreg.kyushu-u.ac.jp/M3/20110428/F51133/3261/1", 50.32)</f>
        <v>50.32</v>
      </c>
      <c r="E8797" s="2">
        <v>33.869999999999997</v>
      </c>
      <c r="F8797" s="2">
        <v>3</v>
      </c>
      <c r="G8797" s="2" t="s">
        <v>13</v>
      </c>
      <c r="I8797" s="2" t="s">
        <v>4895</v>
      </c>
    </row>
    <row r="8798" spans="1:9" x14ac:dyDescent="0.2">
      <c r="A8798" s="2" t="s">
        <v>3250</v>
      </c>
      <c r="B8798" s="2" t="s">
        <v>365</v>
      </c>
      <c r="C8798" s="2">
        <v>848.84059999999999</v>
      </c>
      <c r="D8798" s="2">
        <f>HYPERLINK("http://mcb-m6.bioreg.kyushu-u.ac.jp/M3/20110428/F51127/2508/1", 50.46)</f>
        <v>50.46</v>
      </c>
      <c r="E8798" s="2">
        <v>29.22</v>
      </c>
      <c r="F8798" s="2">
        <v>2</v>
      </c>
      <c r="G8798" s="2" t="s">
        <v>13</v>
      </c>
    </row>
    <row r="8799" spans="1:9" x14ac:dyDescent="0.2">
      <c r="A8799" s="2" t="s">
        <v>3250</v>
      </c>
      <c r="B8799" s="2" t="s">
        <v>1888</v>
      </c>
      <c r="C8799" s="2">
        <v>456.57960000000003</v>
      </c>
      <c r="D8799" s="2">
        <f>HYPERLINK("http://mcb-m6.bioreg.kyushu-u.ac.jp/M3/20110428/F51133/598/1", 50.84)</f>
        <v>50.84</v>
      </c>
      <c r="E8799" s="2">
        <v>10.220000000000001</v>
      </c>
      <c r="F8799" s="2">
        <v>2</v>
      </c>
      <c r="G8799" s="2" t="s">
        <v>13</v>
      </c>
    </row>
    <row r="8800" spans="1:9" x14ac:dyDescent="0.2">
      <c r="A8800" s="2" t="s">
        <v>3250</v>
      </c>
      <c r="B8800" s="2" t="s">
        <v>1888</v>
      </c>
      <c r="C8800" s="2">
        <v>456.5256</v>
      </c>
      <c r="D8800" s="2">
        <f>HYPERLINK("http://mcb-m6.bioreg.kyushu-u.ac.jp/M3/20110428/F51127/596/1", 50.84)</f>
        <v>50.84</v>
      </c>
      <c r="E8800" s="2">
        <v>10.220000000000001</v>
      </c>
      <c r="F8800" s="2">
        <v>2</v>
      </c>
      <c r="G8800" s="2" t="s">
        <v>13</v>
      </c>
    </row>
    <row r="8801" spans="1:9" x14ac:dyDescent="0.2">
      <c r="A8801" s="2" t="s">
        <v>3250</v>
      </c>
      <c r="B8801" s="2" t="s">
        <v>90</v>
      </c>
      <c r="C8801" s="2">
        <v>717.18960000000004</v>
      </c>
      <c r="D8801" s="2">
        <f>HYPERLINK("http://mcb-m6.bioreg.kyushu-u.ac.jp/M3/20110428/F51133/1777/1", 51.22)</f>
        <v>51.22</v>
      </c>
      <c r="E8801" s="2">
        <v>28.54</v>
      </c>
      <c r="F8801" s="2">
        <v>2</v>
      </c>
      <c r="G8801" s="2" t="s">
        <v>13</v>
      </c>
    </row>
    <row r="8802" spans="1:9" x14ac:dyDescent="0.2">
      <c r="A8802" s="2" t="s">
        <v>3250</v>
      </c>
      <c r="B8802" s="2" t="s">
        <v>543</v>
      </c>
      <c r="C8802" s="2">
        <v>927.35609999999997</v>
      </c>
      <c r="D8802" s="2">
        <f>HYPERLINK("http://mcb-m6.bioreg.kyushu-u.ac.jp/M3/20110427/F51114/2982/1", 51.27)</f>
        <v>51.27</v>
      </c>
      <c r="E8802" s="2">
        <v>40.229999999999997</v>
      </c>
      <c r="F8802" s="2">
        <v>2</v>
      </c>
      <c r="G8802" s="2" t="s">
        <v>13</v>
      </c>
    </row>
    <row r="8803" spans="1:9" x14ac:dyDescent="0.2">
      <c r="A8803" s="2" t="s">
        <v>3250</v>
      </c>
      <c r="B8803" s="2" t="s">
        <v>561</v>
      </c>
      <c r="C8803" s="2">
        <v>662.16219999999998</v>
      </c>
      <c r="D8803" s="2">
        <f>HYPERLINK("http://mcb-m6.bioreg.kyushu-u.ac.jp/M3/20110428/F51127/1442/1", 51.54)</f>
        <v>51.54</v>
      </c>
      <c r="E8803" s="2">
        <v>34.4</v>
      </c>
      <c r="F8803" s="2">
        <v>2</v>
      </c>
      <c r="G8803" s="2" t="s">
        <v>13</v>
      </c>
      <c r="H8803" s="2" t="s">
        <v>4919</v>
      </c>
    </row>
    <row r="8804" spans="1:9" x14ac:dyDescent="0.2">
      <c r="A8804" s="2" t="s">
        <v>3250</v>
      </c>
      <c r="B8804" s="2" t="s">
        <v>90</v>
      </c>
      <c r="C8804" s="2">
        <v>717.17719999999997</v>
      </c>
      <c r="D8804" s="2">
        <f>HYPERLINK("http://mcb-m6.bioreg.kyushu-u.ac.jp/M3/20110427/F51110/2076/1", 52.04)</f>
        <v>52.04</v>
      </c>
      <c r="E8804" s="2">
        <v>25.77</v>
      </c>
      <c r="F8804" s="2">
        <v>2</v>
      </c>
      <c r="G8804" s="2" t="s">
        <v>13</v>
      </c>
    </row>
    <row r="8805" spans="1:9" x14ac:dyDescent="0.2">
      <c r="A8805" s="2" t="s">
        <v>3250</v>
      </c>
      <c r="B8805" s="2" t="s">
        <v>175</v>
      </c>
      <c r="C8805" s="2">
        <v>784.23170000000005</v>
      </c>
      <c r="D8805" s="2">
        <f>HYPERLINK("http://mcb-m6.bioreg.kyushu-u.ac.jp/M3/20110427/F51115/2174/1", 52.1)</f>
        <v>52.1</v>
      </c>
      <c r="E8805" s="2">
        <v>30.86</v>
      </c>
      <c r="F8805" s="2">
        <v>2</v>
      </c>
      <c r="G8805" s="2" t="s">
        <v>13</v>
      </c>
      <c r="I8805" s="2" t="s">
        <v>4893</v>
      </c>
    </row>
    <row r="8806" spans="1:9" x14ac:dyDescent="0.2">
      <c r="A8806" s="2" t="s">
        <v>3250</v>
      </c>
      <c r="B8806" s="2" t="s">
        <v>561</v>
      </c>
      <c r="C8806" s="2">
        <v>1307.9290000000001</v>
      </c>
      <c r="D8806" s="2">
        <f>HYPERLINK("http://mcb-m6.bioreg.kyushu-u.ac.jp/M3/20110427/F51109/1842/1", 52.28)</f>
        <v>52.28</v>
      </c>
      <c r="E8806" s="2">
        <v>32.04</v>
      </c>
      <c r="F8806" s="2">
        <v>1</v>
      </c>
      <c r="G8806" s="2" t="s">
        <v>13</v>
      </c>
    </row>
    <row r="8807" spans="1:9" x14ac:dyDescent="0.2">
      <c r="A8807" s="2" t="s">
        <v>3250</v>
      </c>
      <c r="B8807" s="2" t="s">
        <v>365</v>
      </c>
      <c r="C8807" s="2">
        <v>849.22770000000003</v>
      </c>
      <c r="D8807" s="2">
        <f>HYPERLINK("http://mcb-m6.bioreg.kyushu-u.ac.jp/M3/20110427/F51114/2615/1", 52.87)</f>
        <v>52.87</v>
      </c>
      <c r="E8807" s="2">
        <v>35.64</v>
      </c>
      <c r="F8807" s="2">
        <v>2</v>
      </c>
      <c r="G8807" s="2" t="s">
        <v>13</v>
      </c>
    </row>
    <row r="8808" spans="1:9" x14ac:dyDescent="0.2">
      <c r="A8808" s="2" t="s">
        <v>3250</v>
      </c>
      <c r="B8808" s="2" t="s">
        <v>356</v>
      </c>
      <c r="C8808" s="2">
        <v>816.33619999999996</v>
      </c>
      <c r="D8808" s="2">
        <f>HYPERLINK("http://mcb-m6.bioreg.kyushu-u.ac.jp/M3/20110428/F51127/2335/1", 52.95)</f>
        <v>52.95</v>
      </c>
      <c r="E8808" s="2">
        <v>39.729999999999997</v>
      </c>
      <c r="F8808" s="2">
        <v>2</v>
      </c>
      <c r="G8808" s="2" t="s">
        <v>13</v>
      </c>
    </row>
    <row r="8809" spans="1:9" x14ac:dyDescent="0.2">
      <c r="A8809" s="2" t="s">
        <v>3250</v>
      </c>
      <c r="B8809" s="2" t="s">
        <v>90</v>
      </c>
      <c r="C8809" s="2">
        <v>716.86109999999996</v>
      </c>
      <c r="D8809" s="2">
        <f>HYPERLINK("http://mcb-m6.bioreg.kyushu-u.ac.jp/M3/20110428/F51133/1776/1", 53.23)</f>
        <v>53.23</v>
      </c>
      <c r="E8809" s="2">
        <v>38.36</v>
      </c>
      <c r="F8809" s="2">
        <v>2</v>
      </c>
      <c r="G8809" s="2" t="s">
        <v>13</v>
      </c>
    </row>
    <row r="8810" spans="1:9" x14ac:dyDescent="0.2">
      <c r="A8810" s="2" t="s">
        <v>3250</v>
      </c>
      <c r="B8810" s="2" t="s">
        <v>467</v>
      </c>
      <c r="C8810" s="2">
        <v>692.10860000000002</v>
      </c>
      <c r="D8810" s="2">
        <f>HYPERLINK("http://mcb-m6.bioreg.kyushu-u.ac.jp/M3/20110427/F51109/1941/1", 54.13)</f>
        <v>54.13</v>
      </c>
      <c r="E8810" s="2">
        <v>22.86</v>
      </c>
      <c r="F8810" s="2">
        <v>2</v>
      </c>
      <c r="G8810" s="2" t="s">
        <v>13</v>
      </c>
    </row>
    <row r="8811" spans="1:9" x14ac:dyDescent="0.2">
      <c r="A8811" s="2" t="s">
        <v>3250</v>
      </c>
      <c r="B8811" s="2" t="s">
        <v>467</v>
      </c>
      <c r="C8811" s="2">
        <v>692.14509999999996</v>
      </c>
      <c r="D8811" s="2">
        <f>HYPERLINK("http://mcb-m6.bioreg.kyushu-u.ac.jp/M3/20110427/F51116/1796/1", 54.49)</f>
        <v>54.49</v>
      </c>
      <c r="E8811" s="2">
        <v>32.56</v>
      </c>
      <c r="F8811" s="2">
        <v>2</v>
      </c>
      <c r="G8811" s="2" t="s">
        <v>13</v>
      </c>
    </row>
    <row r="8812" spans="1:9" x14ac:dyDescent="0.2">
      <c r="A8812" s="2" t="s">
        <v>3250</v>
      </c>
      <c r="B8812" s="2" t="s">
        <v>311</v>
      </c>
      <c r="C8812" s="2">
        <v>599.09619999999995</v>
      </c>
      <c r="D8812" s="2">
        <f>HYPERLINK("http://mcb-m6.bioreg.kyushu-u.ac.jp/M3/20110428/F51132/1342/1", 54.57)</f>
        <v>54.57</v>
      </c>
      <c r="E8812" s="2">
        <v>37.18</v>
      </c>
      <c r="F8812" s="2">
        <v>2</v>
      </c>
      <c r="G8812" s="2" t="s">
        <v>13</v>
      </c>
    </row>
    <row r="8813" spans="1:9" x14ac:dyDescent="0.2">
      <c r="A8813" s="2" t="s">
        <v>3250</v>
      </c>
      <c r="B8813" s="2" t="s">
        <v>311</v>
      </c>
      <c r="C8813" s="2">
        <v>606.56119999999999</v>
      </c>
      <c r="D8813" s="2">
        <f>HYPERLINK("http://mcb-m6.bioreg.kyushu-u.ac.jp/M3/20110428/F51131/1194/1", 54.63)</f>
        <v>54.63</v>
      </c>
      <c r="E8813" s="2">
        <v>28.99</v>
      </c>
      <c r="F8813" s="2">
        <v>2</v>
      </c>
      <c r="G8813" s="2" t="s">
        <v>13</v>
      </c>
      <c r="H8813" s="2" t="s">
        <v>4908</v>
      </c>
    </row>
    <row r="8814" spans="1:9" x14ac:dyDescent="0.2">
      <c r="A8814" s="2" t="s">
        <v>3250</v>
      </c>
      <c r="B8814" s="2" t="s">
        <v>311</v>
      </c>
      <c r="C8814" s="2">
        <v>1196.33</v>
      </c>
      <c r="D8814" s="2">
        <f>HYPERLINK("http://mcb-m6.bioreg.kyushu-u.ac.jp/M3/20110427/F51115/1425/1", 54.89)</f>
        <v>54.89</v>
      </c>
      <c r="E8814" s="2">
        <v>39.83</v>
      </c>
      <c r="F8814" s="2">
        <v>1</v>
      </c>
      <c r="G8814" s="2" t="s">
        <v>13</v>
      </c>
    </row>
    <row r="8815" spans="1:9" x14ac:dyDescent="0.2">
      <c r="A8815" s="2" t="s">
        <v>3250</v>
      </c>
      <c r="B8815" s="2" t="s">
        <v>102</v>
      </c>
      <c r="C8815" s="2">
        <v>1215.386</v>
      </c>
      <c r="D8815" s="2">
        <f>HYPERLINK("http://mcb-m6.bioreg.kyushu-u.ac.jp/M3/20110427/F51117/1417/1", 55.09)</f>
        <v>55.09</v>
      </c>
      <c r="E8815" s="2">
        <v>40.42</v>
      </c>
      <c r="F8815" s="2">
        <v>1</v>
      </c>
      <c r="G8815" s="2" t="s">
        <v>13</v>
      </c>
    </row>
    <row r="8816" spans="1:9" x14ac:dyDescent="0.2">
      <c r="A8816" s="2" t="s">
        <v>3250</v>
      </c>
      <c r="B8816" s="2" t="s">
        <v>365</v>
      </c>
      <c r="C8816" s="2">
        <v>849.20320000000004</v>
      </c>
      <c r="D8816" s="2">
        <f>HYPERLINK("http://mcb-m6.bioreg.kyushu-u.ac.jp/M3/20110427/F51113/2442/1", 55.14)</f>
        <v>55.14</v>
      </c>
      <c r="E8816" s="2">
        <v>41.05</v>
      </c>
      <c r="F8816" s="2">
        <v>2</v>
      </c>
      <c r="G8816" s="2" t="s">
        <v>13</v>
      </c>
    </row>
    <row r="8817" spans="1:9" x14ac:dyDescent="0.2">
      <c r="A8817" s="2" t="s">
        <v>3250</v>
      </c>
      <c r="B8817" s="2" t="s">
        <v>356</v>
      </c>
      <c r="C8817" s="2">
        <v>816.43320000000006</v>
      </c>
      <c r="D8817" s="2">
        <f>HYPERLINK("http://mcb-m6.bioreg.kyushu-u.ac.jp/M3/20110428/F51127/2336/1", 55.9)</f>
        <v>55.9</v>
      </c>
      <c r="E8817" s="2">
        <v>45.37</v>
      </c>
      <c r="F8817" s="2">
        <v>2</v>
      </c>
      <c r="G8817" s="2" t="s">
        <v>13</v>
      </c>
    </row>
    <row r="8818" spans="1:9" x14ac:dyDescent="0.2">
      <c r="A8818" s="2" t="s">
        <v>3250</v>
      </c>
      <c r="B8818" s="2" t="s">
        <v>503</v>
      </c>
      <c r="C8818" s="2">
        <v>816.36320000000001</v>
      </c>
      <c r="D8818" s="2">
        <f>HYPERLINK("http://mcb-m6.bioreg.kyushu-u.ac.jp/M3/20110427/F51117/2363/1", 56.35)</f>
        <v>56.35</v>
      </c>
      <c r="E8818" s="2">
        <v>46</v>
      </c>
      <c r="F8818" s="2">
        <v>2</v>
      </c>
      <c r="G8818" s="2" t="s">
        <v>13</v>
      </c>
      <c r="H8818" s="2" t="s">
        <v>4907</v>
      </c>
    </row>
    <row r="8819" spans="1:9" x14ac:dyDescent="0.2">
      <c r="A8819" s="2" t="s">
        <v>3250</v>
      </c>
      <c r="B8819" s="2" t="s">
        <v>365</v>
      </c>
      <c r="C8819" s="2">
        <v>848.77009999999996</v>
      </c>
      <c r="D8819" s="2">
        <f>HYPERLINK("http://mcb-m6.bioreg.kyushu-u.ac.jp/M3/20110427/F51117/2508/1", 56.98)</f>
        <v>56.98</v>
      </c>
      <c r="E8819" s="2">
        <v>39.36</v>
      </c>
      <c r="F8819" s="2">
        <v>2</v>
      </c>
      <c r="G8819" s="2" t="s">
        <v>13</v>
      </c>
    </row>
    <row r="8820" spans="1:9" x14ac:dyDescent="0.2">
      <c r="A8820" s="2" t="s">
        <v>3250</v>
      </c>
      <c r="B8820" s="2" t="s">
        <v>365</v>
      </c>
      <c r="C8820" s="2">
        <v>848.80219999999997</v>
      </c>
      <c r="D8820" s="2">
        <f>HYPERLINK("http://mcb-m6.bioreg.kyushu-u.ac.jp/M3/20110427/F51116/2563/1", 57.36)</f>
        <v>57.36</v>
      </c>
      <c r="E8820" s="2">
        <v>45.14</v>
      </c>
      <c r="F8820" s="2">
        <v>2</v>
      </c>
      <c r="G8820" s="2" t="s">
        <v>13</v>
      </c>
    </row>
    <row r="8821" spans="1:9" x14ac:dyDescent="0.2">
      <c r="A8821" s="2" t="s">
        <v>3250</v>
      </c>
      <c r="B8821" s="2" t="s">
        <v>356</v>
      </c>
      <c r="C8821" s="2">
        <v>816.46810000000005</v>
      </c>
      <c r="D8821" s="2">
        <f>HYPERLINK("http://mcb-m6.bioreg.kyushu-u.ac.jp/M3/20110428/F51131/2219/1", 57.39)</f>
        <v>57.39</v>
      </c>
      <c r="E8821" s="2">
        <v>39.03</v>
      </c>
      <c r="F8821" s="2">
        <v>2</v>
      </c>
      <c r="G8821" s="2" t="s">
        <v>13</v>
      </c>
    </row>
    <row r="8822" spans="1:9" x14ac:dyDescent="0.2">
      <c r="A8822" s="2" t="s">
        <v>3250</v>
      </c>
      <c r="B8822" s="2" t="s">
        <v>772</v>
      </c>
      <c r="C8822" s="2">
        <v>1190.48</v>
      </c>
      <c r="D8822" s="2">
        <f>HYPERLINK("http://mcb-m6.bioreg.kyushu-u.ac.jp/M3/20110427/F51116/1424/1", 57.55)</f>
        <v>57.55</v>
      </c>
      <c r="E8822" s="2">
        <v>31.31</v>
      </c>
      <c r="F8822" s="2">
        <v>1</v>
      </c>
      <c r="G8822" s="2" t="s">
        <v>13</v>
      </c>
    </row>
    <row r="8823" spans="1:9" x14ac:dyDescent="0.2">
      <c r="A8823" s="2" t="s">
        <v>3250</v>
      </c>
      <c r="B8823" s="2" t="s">
        <v>481</v>
      </c>
      <c r="C8823" s="2">
        <v>709.19669999999996</v>
      </c>
      <c r="D8823" s="2">
        <f>HYPERLINK("http://mcb-m6.bioreg.kyushu-u.ac.jp/M3/20110427/F51114/1870/1", 57.72)</f>
        <v>57.72</v>
      </c>
      <c r="E8823" s="2">
        <v>38.67</v>
      </c>
      <c r="F8823" s="2">
        <v>2</v>
      </c>
      <c r="G8823" s="2" t="s">
        <v>13</v>
      </c>
      <c r="I8823" s="2" t="s">
        <v>4898</v>
      </c>
    </row>
    <row r="8824" spans="1:9" x14ac:dyDescent="0.2">
      <c r="A8824" s="2" t="s">
        <v>3250</v>
      </c>
      <c r="B8824" s="2" t="s">
        <v>311</v>
      </c>
      <c r="C8824" s="2">
        <v>606.81410000000005</v>
      </c>
      <c r="D8824" s="2">
        <f>HYPERLINK("http://mcb-m6.bioreg.kyushu-u.ac.jp/M3/20110428/F51132/1371/1", 57.91)</f>
        <v>57.91</v>
      </c>
      <c r="E8824" s="2">
        <v>34.31</v>
      </c>
      <c r="F8824" s="2">
        <v>2</v>
      </c>
      <c r="G8824" s="2" t="s">
        <v>13</v>
      </c>
      <c r="H8824" s="2" t="s">
        <v>4908</v>
      </c>
    </row>
    <row r="8825" spans="1:9" x14ac:dyDescent="0.2">
      <c r="A8825" s="2" t="s">
        <v>3250</v>
      </c>
      <c r="B8825" s="2" t="s">
        <v>311</v>
      </c>
      <c r="C8825" s="2">
        <v>598.70669999999996</v>
      </c>
      <c r="D8825" s="2">
        <f>HYPERLINK("http://mcb-m6.bioreg.kyushu-u.ac.jp/M3/20110427/F51114/1364/1", 58.67)</f>
        <v>58.67</v>
      </c>
      <c r="E8825" s="2">
        <v>38.229999999999997</v>
      </c>
      <c r="F8825" s="2">
        <v>2</v>
      </c>
      <c r="G8825" s="2" t="s">
        <v>13</v>
      </c>
    </row>
    <row r="8826" spans="1:9" x14ac:dyDescent="0.2">
      <c r="A8826" s="2" t="s">
        <v>3250</v>
      </c>
      <c r="B8826" s="2" t="s">
        <v>365</v>
      </c>
      <c r="C8826" s="2">
        <v>849.24869999999999</v>
      </c>
      <c r="D8826" s="2">
        <f>HYPERLINK("http://mcb-m6.bioreg.kyushu-u.ac.jp/M3/20110427/F51116/2564/1", 58.89)</f>
        <v>58.89</v>
      </c>
      <c r="E8826" s="2">
        <v>41.37</v>
      </c>
      <c r="F8826" s="2">
        <v>2</v>
      </c>
      <c r="G8826" s="2" t="s">
        <v>13</v>
      </c>
    </row>
    <row r="8827" spans="1:9" x14ac:dyDescent="0.2">
      <c r="A8827" s="2" t="s">
        <v>3250</v>
      </c>
      <c r="B8827" s="2" t="s">
        <v>772</v>
      </c>
      <c r="C8827" s="2">
        <v>1190.4369999999999</v>
      </c>
      <c r="D8827" s="2">
        <f>HYPERLINK("http://mcb-m6.bioreg.kyushu-u.ac.jp/M3/20110427/F51117/1367/1", 58.9)</f>
        <v>58.9</v>
      </c>
      <c r="E8827" s="2">
        <v>34.86</v>
      </c>
      <c r="F8827" s="2">
        <v>1</v>
      </c>
      <c r="G8827" s="2" t="s">
        <v>13</v>
      </c>
    </row>
    <row r="8828" spans="1:9" x14ac:dyDescent="0.2">
      <c r="A8828" s="2" t="s">
        <v>3250</v>
      </c>
      <c r="B8828" s="2" t="s">
        <v>356</v>
      </c>
      <c r="C8828" s="2">
        <v>816.46119999999996</v>
      </c>
      <c r="D8828" s="2">
        <f>HYPERLINK("http://mcb-m6.bioreg.kyushu-u.ac.jp/M3/20110427/F51116/2424/1", 59)</f>
        <v>59</v>
      </c>
      <c r="E8828" s="2">
        <v>37.869999999999997</v>
      </c>
      <c r="F8828" s="2">
        <v>2</v>
      </c>
      <c r="G8828" s="2" t="s">
        <v>13</v>
      </c>
    </row>
    <row r="8829" spans="1:9" x14ac:dyDescent="0.2">
      <c r="A8829" s="2" t="s">
        <v>3250</v>
      </c>
      <c r="B8829" s="2" t="s">
        <v>561</v>
      </c>
      <c r="C8829" s="2">
        <v>1323.45</v>
      </c>
      <c r="D8829" s="2">
        <f>HYPERLINK("http://mcb-m6.bioreg.kyushu-u.ac.jp/M3/20110427/F51109/1855/1", 59.11)</f>
        <v>59.11</v>
      </c>
      <c r="E8829" s="2">
        <v>37.03</v>
      </c>
      <c r="F8829" s="2">
        <v>1</v>
      </c>
      <c r="G8829" s="2" t="s">
        <v>13</v>
      </c>
      <c r="H8829" s="2" t="s">
        <v>4919</v>
      </c>
    </row>
    <row r="8830" spans="1:9" x14ac:dyDescent="0.2">
      <c r="A8830" s="2" t="s">
        <v>3250</v>
      </c>
      <c r="B8830" s="2" t="s">
        <v>467</v>
      </c>
      <c r="C8830" s="2">
        <v>1383.4849999999999</v>
      </c>
      <c r="D8830" s="2">
        <f>HYPERLINK("http://mcb-m6.bioreg.kyushu-u.ac.jp/M3/20110427/F51116/1797/1", 59.15)</f>
        <v>59.15</v>
      </c>
      <c r="E8830" s="2">
        <v>41.21</v>
      </c>
      <c r="F8830" s="2">
        <v>1</v>
      </c>
      <c r="G8830" s="2" t="s">
        <v>13</v>
      </c>
    </row>
    <row r="8831" spans="1:9" x14ac:dyDescent="0.2">
      <c r="A8831" s="2" t="s">
        <v>3250</v>
      </c>
      <c r="B8831" s="2" t="s">
        <v>467</v>
      </c>
      <c r="C8831" s="2">
        <v>1383.421</v>
      </c>
      <c r="D8831" s="2">
        <f>HYPERLINK("http://mcb-m6.bioreg.kyushu-u.ac.jp/M3/20110427/F51108/1877/1", 59.23)</f>
        <v>59.23</v>
      </c>
      <c r="E8831" s="2">
        <v>44.37</v>
      </c>
      <c r="F8831" s="2">
        <v>1</v>
      </c>
      <c r="G8831" s="2" t="s">
        <v>13</v>
      </c>
    </row>
    <row r="8832" spans="1:9" x14ac:dyDescent="0.2">
      <c r="A8832" s="2" t="s">
        <v>3250</v>
      </c>
      <c r="B8832" s="2" t="s">
        <v>1065</v>
      </c>
      <c r="C8832" s="2">
        <v>716.53970000000004</v>
      </c>
      <c r="D8832" s="2">
        <f>HYPERLINK("http://mcb-m6.bioreg.kyushu-u.ac.jp/M3/20110427/F51109/2026/1", 59.26)</f>
        <v>59.26</v>
      </c>
      <c r="E8832" s="2">
        <v>39.81</v>
      </c>
      <c r="F8832" s="2">
        <v>2</v>
      </c>
      <c r="G8832" s="2" t="s">
        <v>13</v>
      </c>
      <c r="I8832" s="2" t="s">
        <v>4892</v>
      </c>
    </row>
    <row r="8833" spans="1:9" x14ac:dyDescent="0.2">
      <c r="A8833" s="2" t="s">
        <v>3250</v>
      </c>
      <c r="B8833" s="2" t="s">
        <v>481</v>
      </c>
      <c r="C8833" s="2">
        <v>1417.7170000000001</v>
      </c>
      <c r="D8833" s="2">
        <f>HYPERLINK("http://mcb-m6.bioreg.kyushu-u.ac.jp/M3/20110428/F51133/1720/1", 59.59)</f>
        <v>59.59</v>
      </c>
      <c r="E8833" s="2">
        <v>44.53</v>
      </c>
      <c r="F8833" s="2">
        <v>1</v>
      </c>
      <c r="G8833" s="2" t="s">
        <v>13</v>
      </c>
      <c r="I8833" s="2" t="s">
        <v>4898</v>
      </c>
    </row>
    <row r="8834" spans="1:9" x14ac:dyDescent="0.2">
      <c r="A8834" s="2" t="s">
        <v>3250</v>
      </c>
      <c r="B8834" s="2" t="s">
        <v>311</v>
      </c>
      <c r="C8834" s="2">
        <v>1196.3330000000001</v>
      </c>
      <c r="D8834" s="2">
        <f>HYPERLINK("http://mcb-m6.bioreg.kyushu-u.ac.jp/M3/20110428/F51127/1200/1", 59.68)</f>
        <v>59.68</v>
      </c>
      <c r="E8834" s="2">
        <v>45.87</v>
      </c>
      <c r="F8834" s="2">
        <v>1</v>
      </c>
      <c r="G8834" s="2" t="s">
        <v>13</v>
      </c>
    </row>
    <row r="8835" spans="1:9" x14ac:dyDescent="0.2">
      <c r="A8835" s="2" t="s">
        <v>3250</v>
      </c>
      <c r="B8835" s="2" t="s">
        <v>1787</v>
      </c>
      <c r="C8835" s="2">
        <v>588.18520000000001</v>
      </c>
      <c r="D8835" s="2">
        <f>HYPERLINK("http://mcb-m6.bioreg.kyushu-u.ac.jp/M3/20110428/F51131/1105/1", 59.84)</f>
        <v>59.84</v>
      </c>
      <c r="E8835" s="2">
        <v>43.15</v>
      </c>
      <c r="F8835" s="2">
        <v>2</v>
      </c>
      <c r="G8835" s="2" t="s">
        <v>13</v>
      </c>
      <c r="I8835" s="2" t="s">
        <v>4895</v>
      </c>
    </row>
    <row r="8836" spans="1:9" x14ac:dyDescent="0.2">
      <c r="A8836" s="2" t="s">
        <v>3250</v>
      </c>
      <c r="B8836" s="2" t="s">
        <v>356</v>
      </c>
      <c r="C8836" s="2">
        <v>816.26670000000001</v>
      </c>
      <c r="D8836" s="2">
        <f>HYPERLINK("http://mcb-m6.bioreg.kyushu-u.ac.jp/M3/20110428/F51132/2431/1", 60.16)</f>
        <v>60.16</v>
      </c>
      <c r="E8836" s="2">
        <v>42.11</v>
      </c>
      <c r="F8836" s="2">
        <v>2</v>
      </c>
      <c r="G8836" s="2" t="s">
        <v>13</v>
      </c>
    </row>
    <row r="8837" spans="1:9" x14ac:dyDescent="0.2">
      <c r="A8837" s="2" t="s">
        <v>3250</v>
      </c>
      <c r="B8837" s="2" t="s">
        <v>561</v>
      </c>
      <c r="C8837" s="2">
        <v>1307.471</v>
      </c>
      <c r="D8837" s="2">
        <f>HYPERLINK("http://mcb-m6.bioreg.kyushu-u.ac.jp/M3/20110428/F51133/1415/1", 60.88)</f>
        <v>60.88</v>
      </c>
      <c r="E8837" s="2">
        <v>45.56</v>
      </c>
      <c r="F8837" s="2">
        <v>1</v>
      </c>
      <c r="G8837" s="2" t="s">
        <v>13</v>
      </c>
    </row>
    <row r="8838" spans="1:9" x14ac:dyDescent="0.2">
      <c r="A8838" s="2" t="s">
        <v>3250</v>
      </c>
      <c r="B8838" s="2" t="s">
        <v>561</v>
      </c>
      <c r="C8838" s="2">
        <v>1307.405</v>
      </c>
      <c r="D8838" s="2">
        <f>HYPERLINK("http://mcb-m6.bioreg.kyushu-u.ac.jp/M3/20110427/F51117/1572/1", 61.07)</f>
        <v>61.07</v>
      </c>
      <c r="E8838" s="2">
        <v>39.520000000000003</v>
      </c>
      <c r="F8838" s="2">
        <v>1</v>
      </c>
      <c r="G8838" s="2" t="s">
        <v>13</v>
      </c>
    </row>
    <row r="8839" spans="1:9" x14ac:dyDescent="0.2">
      <c r="A8839" s="2" t="s">
        <v>3250</v>
      </c>
      <c r="B8839" s="2" t="s">
        <v>772</v>
      </c>
      <c r="C8839" s="2">
        <v>1190.614</v>
      </c>
      <c r="D8839" s="2">
        <f>HYPERLINK("http://mcb-m6.bioreg.kyushu-u.ac.jp/M3/20110428/F51133/1226/1", 61.16)</f>
        <v>61.16</v>
      </c>
      <c r="E8839" s="2">
        <v>33.06</v>
      </c>
      <c r="F8839" s="2">
        <v>1</v>
      </c>
      <c r="G8839" s="2" t="s">
        <v>13</v>
      </c>
    </row>
    <row r="8840" spans="1:9" x14ac:dyDescent="0.2">
      <c r="A8840" s="2" t="s">
        <v>3250</v>
      </c>
      <c r="B8840" s="2" t="s">
        <v>356</v>
      </c>
      <c r="C8840" s="2">
        <v>815.65219999999999</v>
      </c>
      <c r="D8840" s="2">
        <f>HYPERLINK("http://mcb-m6.bioreg.kyushu-u.ac.jp/M3/20110428/F51127/2331/1", 61.34)</f>
        <v>61.34</v>
      </c>
      <c r="E8840" s="2">
        <v>45.06</v>
      </c>
      <c r="F8840" s="2">
        <v>2</v>
      </c>
      <c r="G8840" s="2" t="s">
        <v>13</v>
      </c>
    </row>
    <row r="8841" spans="1:9" x14ac:dyDescent="0.2">
      <c r="A8841" s="2" t="s">
        <v>3250</v>
      </c>
      <c r="B8841" s="2" t="s">
        <v>77</v>
      </c>
      <c r="C8841" s="2">
        <v>575.07119999999998</v>
      </c>
      <c r="D8841" s="2">
        <f>HYPERLINK("http://mcb-m6.bioreg.kyushu-u.ac.jp/M3/20110428/F51132/1232/1", 61.46)</f>
        <v>61.46</v>
      </c>
      <c r="E8841" s="2">
        <v>36.590000000000003</v>
      </c>
      <c r="F8841" s="2">
        <v>2</v>
      </c>
      <c r="G8841" s="2" t="s">
        <v>13</v>
      </c>
    </row>
    <row r="8842" spans="1:9" x14ac:dyDescent="0.2">
      <c r="A8842" s="2" t="s">
        <v>3250</v>
      </c>
      <c r="B8842" s="2" t="s">
        <v>1888</v>
      </c>
      <c r="C8842" s="2">
        <v>456.68459999999999</v>
      </c>
      <c r="D8842" s="2">
        <f>HYPERLINK("http://mcb-m6.bioreg.kyushu-u.ac.jp/M3/20110427/F51116/854/1", 61.68)</f>
        <v>61.68</v>
      </c>
      <c r="E8842" s="2">
        <v>21.19</v>
      </c>
      <c r="F8842" s="2">
        <v>2</v>
      </c>
      <c r="G8842" s="2" t="s">
        <v>13</v>
      </c>
    </row>
    <row r="8843" spans="1:9" x14ac:dyDescent="0.2">
      <c r="A8843" s="2" t="s">
        <v>3250</v>
      </c>
      <c r="B8843" s="2" t="s">
        <v>772</v>
      </c>
      <c r="C8843" s="2">
        <v>595.56669999999997</v>
      </c>
      <c r="D8843" s="2">
        <f>HYPERLINK("http://mcb-m6.bioreg.kyushu-u.ac.jp/M3/20110428/F51133/1223/1", 62.66)</f>
        <v>62.66</v>
      </c>
      <c r="E8843" s="2">
        <v>26.85</v>
      </c>
      <c r="F8843" s="2">
        <v>2</v>
      </c>
      <c r="G8843" s="2" t="s">
        <v>13</v>
      </c>
    </row>
    <row r="8844" spans="1:9" x14ac:dyDescent="0.2">
      <c r="A8844" s="2" t="s">
        <v>3250</v>
      </c>
      <c r="B8844" s="2" t="s">
        <v>561</v>
      </c>
      <c r="C8844" s="2">
        <v>1323.5160000000001</v>
      </c>
      <c r="D8844" s="2">
        <f>HYPERLINK("http://mcb-m6.bioreg.kyushu-u.ac.jp/M3/20110428/F51133/1446/1", 62.66)</f>
        <v>62.66</v>
      </c>
      <c r="E8844" s="2">
        <v>45.36</v>
      </c>
      <c r="F8844" s="2">
        <v>1</v>
      </c>
      <c r="G8844" s="2" t="s">
        <v>13</v>
      </c>
      <c r="H8844" s="2" t="s">
        <v>4919</v>
      </c>
    </row>
    <row r="8845" spans="1:9" x14ac:dyDescent="0.2">
      <c r="A8845" s="2" t="s">
        <v>3250</v>
      </c>
      <c r="B8845" s="2" t="s">
        <v>772</v>
      </c>
      <c r="C8845" s="2">
        <v>1190.3589999999999</v>
      </c>
      <c r="D8845" s="2">
        <f>HYPERLINK("http://mcb-m6.bioreg.kyushu-u.ac.jp/M3/20110428/F51132/1328/1", 63.01)</f>
        <v>63.01</v>
      </c>
      <c r="E8845" s="2">
        <v>25.22</v>
      </c>
      <c r="F8845" s="2">
        <v>1</v>
      </c>
      <c r="G8845" s="2" t="s">
        <v>13</v>
      </c>
    </row>
    <row r="8846" spans="1:9" x14ac:dyDescent="0.2">
      <c r="A8846" s="2" t="s">
        <v>3250</v>
      </c>
      <c r="B8846" s="2" t="s">
        <v>90</v>
      </c>
      <c r="C8846" s="2">
        <v>717.10820000000001</v>
      </c>
      <c r="D8846" s="2">
        <f>HYPERLINK("http://mcb-m6.bioreg.kyushu-u.ac.jp/M3/20110427/F51111/2032/1", 63.4)</f>
        <v>63.4</v>
      </c>
      <c r="E8846" s="2">
        <v>40.19</v>
      </c>
      <c r="F8846" s="2">
        <v>2</v>
      </c>
      <c r="G8846" s="2" t="s">
        <v>13</v>
      </c>
    </row>
    <row r="8847" spans="1:9" x14ac:dyDescent="0.2">
      <c r="A8847" s="2" t="s">
        <v>3250</v>
      </c>
      <c r="B8847" s="2" t="s">
        <v>311</v>
      </c>
      <c r="C8847" s="2">
        <v>606.58219999999994</v>
      </c>
      <c r="D8847" s="2">
        <f>HYPERLINK("http://mcb-m6.bioreg.kyushu-u.ac.jp/M3/20110427/F51114/1397/1", 63.59)</f>
        <v>63.59</v>
      </c>
      <c r="E8847" s="2">
        <v>37.89</v>
      </c>
      <c r="F8847" s="2">
        <v>2</v>
      </c>
      <c r="G8847" s="2" t="s">
        <v>13</v>
      </c>
      <c r="H8847" s="2" t="s">
        <v>4908</v>
      </c>
    </row>
    <row r="8848" spans="1:9" x14ac:dyDescent="0.2">
      <c r="A8848" s="2" t="s">
        <v>3250</v>
      </c>
      <c r="B8848" s="2" t="s">
        <v>467</v>
      </c>
      <c r="C8848" s="2">
        <v>691.65869999999995</v>
      </c>
      <c r="D8848" s="2">
        <f>HYPERLINK("http://mcb-m6.bioreg.kyushu-u.ac.jp/M3/20110428/F51133/1619/1", 63.74)</f>
        <v>63.74</v>
      </c>
      <c r="E8848" s="2">
        <v>40.74</v>
      </c>
      <c r="F8848" s="2">
        <v>2</v>
      </c>
      <c r="G8848" s="2" t="s">
        <v>13</v>
      </c>
    </row>
    <row r="8849" spans="1:9" x14ac:dyDescent="0.2">
      <c r="A8849" s="2" t="s">
        <v>3250</v>
      </c>
      <c r="B8849" s="2" t="s">
        <v>77</v>
      </c>
      <c r="C8849" s="2">
        <v>575.06709999999998</v>
      </c>
      <c r="D8849" s="2">
        <f>HYPERLINK("http://mcb-m6.bioreg.kyushu-u.ac.jp/M3/20110428/F51127/1068/1", 63.79)</f>
        <v>63.79</v>
      </c>
      <c r="E8849" s="2">
        <v>38.75</v>
      </c>
      <c r="F8849" s="2">
        <v>2</v>
      </c>
      <c r="G8849" s="2" t="s">
        <v>13</v>
      </c>
    </row>
    <row r="8850" spans="1:9" x14ac:dyDescent="0.2">
      <c r="A8850" s="2" t="s">
        <v>3250</v>
      </c>
      <c r="B8850" s="2" t="s">
        <v>356</v>
      </c>
      <c r="C8850" s="2">
        <v>816.14570000000003</v>
      </c>
      <c r="D8850" s="2">
        <f>HYPERLINK("http://mcb-m6.bioreg.kyushu-u.ac.jp/M3/20110428/F51132/2430/1", 63.8)</f>
        <v>63.8</v>
      </c>
      <c r="E8850" s="2">
        <v>50.25</v>
      </c>
      <c r="F8850" s="2">
        <v>2</v>
      </c>
      <c r="G8850" s="2" t="s">
        <v>13</v>
      </c>
    </row>
    <row r="8851" spans="1:9" x14ac:dyDescent="0.2">
      <c r="A8851" s="2" t="s">
        <v>3250</v>
      </c>
      <c r="B8851" s="2" t="s">
        <v>311</v>
      </c>
      <c r="C8851" s="2">
        <v>606.64760000000001</v>
      </c>
      <c r="D8851" s="2">
        <f>HYPERLINK("http://mcb-m6.bioreg.kyushu-u.ac.jp/M3/20110428/F51133/1260/1", 64.32)</f>
        <v>64.319999999999993</v>
      </c>
      <c r="E8851" s="2">
        <v>43.48</v>
      </c>
      <c r="F8851" s="2">
        <v>2</v>
      </c>
      <c r="G8851" s="2" t="s">
        <v>13</v>
      </c>
      <c r="H8851" s="2" t="s">
        <v>4908</v>
      </c>
    </row>
    <row r="8852" spans="1:9" x14ac:dyDescent="0.2">
      <c r="A8852" s="2" t="s">
        <v>3250</v>
      </c>
      <c r="B8852" s="2" t="s">
        <v>467</v>
      </c>
      <c r="C8852" s="2">
        <v>691.71669999999995</v>
      </c>
      <c r="D8852" s="2">
        <f>HYPERLINK("http://mcb-m6.bioreg.kyushu-u.ac.jp/M3/20110428/F51133/1621/1", 64.36)</f>
        <v>64.36</v>
      </c>
      <c r="E8852" s="2">
        <v>47.45</v>
      </c>
      <c r="F8852" s="2">
        <v>2</v>
      </c>
      <c r="G8852" s="2" t="s">
        <v>13</v>
      </c>
    </row>
    <row r="8853" spans="1:9" x14ac:dyDescent="0.2">
      <c r="A8853" s="2" t="s">
        <v>3250</v>
      </c>
      <c r="B8853" s="2" t="s">
        <v>175</v>
      </c>
      <c r="C8853" s="2">
        <v>784.26760000000002</v>
      </c>
      <c r="D8853" s="2">
        <f>HYPERLINK("http://mcb-m6.bioreg.kyushu-u.ac.jp/M3/20110428/F51127/2148/1", 64.4)</f>
        <v>64.400000000000006</v>
      </c>
      <c r="E8853" s="2">
        <v>50.61</v>
      </c>
      <c r="F8853" s="2">
        <v>2</v>
      </c>
      <c r="G8853" s="2" t="s">
        <v>13</v>
      </c>
      <c r="I8853" s="2" t="s">
        <v>4893</v>
      </c>
    </row>
    <row r="8854" spans="1:9" x14ac:dyDescent="0.2">
      <c r="A8854" s="2" t="s">
        <v>3250</v>
      </c>
      <c r="B8854" s="2" t="s">
        <v>90</v>
      </c>
      <c r="C8854" s="2">
        <v>717.14319999999998</v>
      </c>
      <c r="D8854" s="2">
        <f>HYPERLINK("http://mcb-m6.bioreg.kyushu-u.ac.jp/M3/20110427/F51114/1921/1", 64.5)</f>
        <v>64.5</v>
      </c>
      <c r="E8854" s="2">
        <v>41.66</v>
      </c>
      <c r="F8854" s="2">
        <v>2</v>
      </c>
      <c r="G8854" s="2" t="s">
        <v>13</v>
      </c>
    </row>
    <row r="8855" spans="1:9" x14ac:dyDescent="0.2">
      <c r="A8855" s="2" t="s">
        <v>3250</v>
      </c>
      <c r="B8855" s="2" t="s">
        <v>617</v>
      </c>
      <c r="C8855" s="2">
        <v>686.11659999999995</v>
      </c>
      <c r="D8855" s="2">
        <f>HYPERLINK("http://mcb-m6.bioreg.kyushu-u.ac.jp/M3/20110428/F51133/1573/1", 65.36)</f>
        <v>65.36</v>
      </c>
      <c r="E8855" s="2">
        <v>43.4</v>
      </c>
      <c r="F8855" s="2">
        <v>2</v>
      </c>
      <c r="G8855" s="2" t="s">
        <v>13</v>
      </c>
    </row>
    <row r="8856" spans="1:9" x14ac:dyDescent="0.2">
      <c r="A8856" s="2" t="s">
        <v>3250</v>
      </c>
      <c r="B8856" s="2" t="s">
        <v>175</v>
      </c>
      <c r="C8856" s="2">
        <v>784.59469999999999</v>
      </c>
      <c r="D8856" s="2">
        <f>HYPERLINK("http://mcb-m6.bioreg.kyushu-u.ac.jp/M3/20110428/F51133/2148/1", 65.77)</f>
        <v>65.77</v>
      </c>
      <c r="E8856" s="2">
        <v>42.51</v>
      </c>
      <c r="F8856" s="2">
        <v>2</v>
      </c>
      <c r="G8856" s="2" t="s">
        <v>13</v>
      </c>
      <c r="I8856" s="2" t="s">
        <v>4893</v>
      </c>
    </row>
    <row r="8857" spans="1:9" x14ac:dyDescent="0.2">
      <c r="A8857" s="2" t="s">
        <v>3250</v>
      </c>
      <c r="B8857" s="2" t="s">
        <v>1065</v>
      </c>
      <c r="C8857" s="2">
        <v>717.28369999999995</v>
      </c>
      <c r="D8857" s="2">
        <f>HYPERLINK("http://mcb-m6.bioreg.kyushu-u.ac.jp/M3/20110427/F51117/1881/1", 65.83)</f>
        <v>65.83</v>
      </c>
      <c r="E8857" s="2">
        <v>53.85</v>
      </c>
      <c r="F8857" s="2">
        <v>2</v>
      </c>
      <c r="G8857" s="2" t="s">
        <v>13</v>
      </c>
      <c r="I8857" s="2" t="s">
        <v>4892</v>
      </c>
    </row>
    <row r="8858" spans="1:9" x14ac:dyDescent="0.2">
      <c r="A8858" s="2" t="s">
        <v>3250</v>
      </c>
      <c r="B8858" s="2" t="s">
        <v>1065</v>
      </c>
      <c r="C8858" s="2">
        <v>717.22360000000003</v>
      </c>
      <c r="D8858" s="2">
        <f>HYPERLINK("http://mcb-m6.bioreg.kyushu-u.ac.jp/M3/20110427/F51114/1922/1", 65.84)</f>
        <v>65.84</v>
      </c>
      <c r="E8858" s="2">
        <v>53.61</v>
      </c>
      <c r="F8858" s="2">
        <v>2</v>
      </c>
      <c r="G8858" s="2" t="s">
        <v>13</v>
      </c>
      <c r="I8858" s="2" t="s">
        <v>4892</v>
      </c>
    </row>
    <row r="8859" spans="1:9" x14ac:dyDescent="0.2">
      <c r="A8859" s="2" t="s">
        <v>3250</v>
      </c>
      <c r="B8859" s="2" t="s">
        <v>311</v>
      </c>
      <c r="C8859" s="2">
        <v>598.6857</v>
      </c>
      <c r="D8859" s="2">
        <f>HYPERLINK("http://mcb-m6.bioreg.kyushu-u.ac.jp/M3/20110427/F51116/1437/1", 65.99)</f>
        <v>65.989999999999995</v>
      </c>
      <c r="E8859" s="2">
        <v>44.44</v>
      </c>
      <c r="F8859" s="2">
        <v>2</v>
      </c>
      <c r="G8859" s="2" t="s">
        <v>13</v>
      </c>
    </row>
    <row r="8860" spans="1:9" x14ac:dyDescent="0.2">
      <c r="A8860" s="2" t="s">
        <v>3250</v>
      </c>
      <c r="B8860" s="2" t="s">
        <v>175</v>
      </c>
      <c r="C8860" s="2">
        <v>784.15560000000005</v>
      </c>
      <c r="D8860" s="2">
        <f>HYPERLINK("http://mcb-m6.bioreg.kyushu-u.ac.jp/M3/20110427/F51114/2307/1", 66.27)</f>
        <v>66.27</v>
      </c>
      <c r="E8860" s="2">
        <v>49.22</v>
      </c>
      <c r="F8860" s="2">
        <v>2</v>
      </c>
      <c r="G8860" s="2" t="s">
        <v>13</v>
      </c>
      <c r="I8860" s="2" t="s">
        <v>4893</v>
      </c>
    </row>
    <row r="8861" spans="1:9" x14ac:dyDescent="0.2">
      <c r="A8861" s="2" t="s">
        <v>3250</v>
      </c>
      <c r="B8861" s="2" t="s">
        <v>102</v>
      </c>
      <c r="C8861" s="2">
        <v>607.94069999999999</v>
      </c>
      <c r="D8861" s="2">
        <f>HYPERLINK("http://mcb-m6.bioreg.kyushu-u.ac.jp/M3/20110428/F51127/1233/1", 66.37)</f>
        <v>66.37</v>
      </c>
      <c r="E8861" s="2">
        <v>39.39</v>
      </c>
      <c r="F8861" s="2">
        <v>2</v>
      </c>
      <c r="G8861" s="2" t="s">
        <v>13</v>
      </c>
    </row>
    <row r="8862" spans="1:9" x14ac:dyDescent="0.2">
      <c r="A8862" s="2" t="s">
        <v>3250</v>
      </c>
      <c r="B8862" s="2" t="s">
        <v>77</v>
      </c>
      <c r="C8862" s="2">
        <v>575.1277</v>
      </c>
      <c r="D8862" s="2">
        <f>HYPERLINK("http://mcb-m6.bioreg.kyushu-u.ac.jp/M3/20110427/F51117/1281/1", 66.77)</f>
        <v>66.77</v>
      </c>
      <c r="E8862" s="2">
        <v>38.340000000000003</v>
      </c>
      <c r="F8862" s="2">
        <v>2</v>
      </c>
      <c r="G8862" s="2" t="s">
        <v>13</v>
      </c>
    </row>
    <row r="8863" spans="1:9" x14ac:dyDescent="0.2">
      <c r="A8863" s="2" t="s">
        <v>3250</v>
      </c>
      <c r="B8863" s="2" t="s">
        <v>77</v>
      </c>
      <c r="C8863" s="2">
        <v>574.61720000000003</v>
      </c>
      <c r="D8863" s="2">
        <f>HYPERLINK("http://mcb-m6.bioreg.kyushu-u.ac.jp/M3/20110428/F51133/1135/1", 66.81)</f>
        <v>66.81</v>
      </c>
      <c r="E8863" s="2">
        <v>42.44</v>
      </c>
      <c r="F8863" s="2">
        <v>2</v>
      </c>
      <c r="G8863" s="2" t="s">
        <v>13</v>
      </c>
    </row>
    <row r="8864" spans="1:9" x14ac:dyDescent="0.2">
      <c r="A8864" s="2" t="s">
        <v>3250</v>
      </c>
      <c r="B8864" s="2" t="s">
        <v>772</v>
      </c>
      <c r="C8864" s="2">
        <v>1190.3979999999999</v>
      </c>
      <c r="D8864" s="2">
        <f>HYPERLINK("http://mcb-m6.bioreg.kyushu-u.ac.jp/M3/20110427/F51115/1407/1", 67.09)</f>
        <v>67.09</v>
      </c>
      <c r="E8864" s="2">
        <v>35.35</v>
      </c>
      <c r="F8864" s="2">
        <v>1</v>
      </c>
      <c r="G8864" s="2" t="s">
        <v>13</v>
      </c>
    </row>
    <row r="8865" spans="1:8" x14ac:dyDescent="0.2">
      <c r="A8865" s="2" t="s">
        <v>3250</v>
      </c>
      <c r="B8865" s="2" t="s">
        <v>311</v>
      </c>
      <c r="C8865" s="2">
        <v>598.71669999999995</v>
      </c>
      <c r="D8865" s="2">
        <f>HYPERLINK("http://mcb-m6.bioreg.kyushu-u.ac.jp/M3/20110427/F51117/1379/1", 67.48)</f>
        <v>67.48</v>
      </c>
      <c r="E8865" s="2">
        <v>48.8</v>
      </c>
      <c r="F8865" s="2">
        <v>2</v>
      </c>
      <c r="G8865" s="2" t="s">
        <v>13</v>
      </c>
    </row>
    <row r="8866" spans="1:8" x14ac:dyDescent="0.2">
      <c r="A8866" s="2" t="s">
        <v>3250</v>
      </c>
      <c r="B8866" s="2" t="s">
        <v>561</v>
      </c>
      <c r="C8866" s="2">
        <v>654.81020000000001</v>
      </c>
      <c r="D8866" s="2">
        <f>HYPERLINK("http://mcb-m6.bioreg.kyushu-u.ac.jp/M3/20110427/F51110/1868/1", 67.6)</f>
        <v>67.599999999999994</v>
      </c>
      <c r="E8866" s="2">
        <v>48.46</v>
      </c>
      <c r="F8866" s="2">
        <v>2</v>
      </c>
      <c r="G8866" s="2" t="s">
        <v>13</v>
      </c>
    </row>
    <row r="8867" spans="1:8" x14ac:dyDescent="0.2">
      <c r="A8867" s="2" t="s">
        <v>3250</v>
      </c>
      <c r="B8867" s="2" t="s">
        <v>356</v>
      </c>
      <c r="C8867" s="2">
        <v>816.41219999999998</v>
      </c>
      <c r="D8867" s="2">
        <f>HYPERLINK("http://mcb-m6.bioreg.kyushu-u.ac.jp/M3/20110428/F51132/2433/1", 68.46)</f>
        <v>68.459999999999994</v>
      </c>
      <c r="E8867" s="2">
        <v>53.2</v>
      </c>
      <c r="F8867" s="2">
        <v>2</v>
      </c>
      <c r="G8867" s="2" t="s">
        <v>13</v>
      </c>
    </row>
    <row r="8868" spans="1:8" x14ac:dyDescent="0.2">
      <c r="A8868" s="2" t="s">
        <v>3250</v>
      </c>
      <c r="B8868" s="2" t="s">
        <v>90</v>
      </c>
      <c r="C8868" s="2">
        <v>717.23109999999997</v>
      </c>
      <c r="D8868" s="2">
        <f>HYPERLINK("http://mcb-m6.bioreg.kyushu-u.ac.jp/M3/20110428/F51133/1778/1", 68.47)</f>
        <v>68.47</v>
      </c>
      <c r="E8868" s="2">
        <v>48.36</v>
      </c>
      <c r="F8868" s="2">
        <v>2</v>
      </c>
      <c r="G8868" s="2" t="s">
        <v>13</v>
      </c>
    </row>
    <row r="8869" spans="1:8" x14ac:dyDescent="0.2">
      <c r="A8869" s="2" t="s">
        <v>3250</v>
      </c>
      <c r="B8869" s="2" t="s">
        <v>90</v>
      </c>
      <c r="C8869" s="2">
        <v>717.13710000000003</v>
      </c>
      <c r="D8869" s="2">
        <f>HYPERLINK("http://mcb-m6.bioreg.kyushu-u.ac.jp/M3/20110428/F51132/1866/1", 68.56)</f>
        <v>68.56</v>
      </c>
      <c r="E8869" s="2">
        <v>48.02</v>
      </c>
      <c r="F8869" s="2">
        <v>2</v>
      </c>
      <c r="G8869" s="2" t="s">
        <v>13</v>
      </c>
    </row>
    <row r="8870" spans="1:8" x14ac:dyDescent="0.2">
      <c r="A8870" s="2" t="s">
        <v>3250</v>
      </c>
      <c r="B8870" s="2" t="s">
        <v>561</v>
      </c>
      <c r="C8870" s="2">
        <v>662.53859999999997</v>
      </c>
      <c r="D8870" s="2">
        <f>HYPERLINK("http://mcb-m6.bioreg.kyushu-u.ac.jp/M3/20110427/F51110/1881/1", 68.61)</f>
        <v>68.61</v>
      </c>
      <c r="E8870" s="2">
        <v>50.75</v>
      </c>
      <c r="F8870" s="2">
        <v>2</v>
      </c>
      <c r="G8870" s="2" t="s">
        <v>13</v>
      </c>
      <c r="H8870" s="2" t="s">
        <v>4919</v>
      </c>
    </row>
    <row r="8871" spans="1:8" x14ac:dyDescent="0.2">
      <c r="A8871" s="2" t="s">
        <v>3250</v>
      </c>
      <c r="B8871" s="2" t="s">
        <v>102</v>
      </c>
      <c r="C8871" s="2">
        <v>608.18409999999994</v>
      </c>
      <c r="D8871" s="2">
        <f>HYPERLINK("http://mcb-m6.bioreg.kyushu-u.ac.jp/M3/20110427/F51111/1582/1", 69.58)</f>
        <v>69.58</v>
      </c>
      <c r="E8871" s="2">
        <v>52.36</v>
      </c>
      <c r="F8871" s="2">
        <v>2</v>
      </c>
      <c r="G8871" s="2" t="s">
        <v>13</v>
      </c>
    </row>
    <row r="8872" spans="1:8" x14ac:dyDescent="0.2">
      <c r="A8872" s="2" t="s">
        <v>3250</v>
      </c>
      <c r="B8872" s="2" t="s">
        <v>561</v>
      </c>
      <c r="C8872" s="2">
        <v>654.5222</v>
      </c>
      <c r="D8872" s="2">
        <f>HYPERLINK("http://mcb-m6.bioreg.kyushu-u.ac.jp/M3/20110428/F51127/1416/1", 69.92)</f>
        <v>69.92</v>
      </c>
      <c r="E8872" s="2">
        <v>51.69</v>
      </c>
      <c r="F8872" s="2">
        <v>2</v>
      </c>
      <c r="G8872" s="2" t="s">
        <v>13</v>
      </c>
    </row>
    <row r="8873" spans="1:8" x14ac:dyDescent="0.2">
      <c r="A8873" s="2" t="s">
        <v>3250</v>
      </c>
      <c r="B8873" s="2" t="s">
        <v>102</v>
      </c>
      <c r="C8873" s="2">
        <v>616.17610000000002</v>
      </c>
      <c r="D8873" s="2">
        <f>HYPERLINK("http://mcb-m6.bioreg.kyushu-u.ac.jp/M3/20110428/F51133/1306/1", 70.36)</f>
        <v>70.36</v>
      </c>
      <c r="E8873" s="2">
        <v>53.32</v>
      </c>
      <c r="F8873" s="2">
        <v>2</v>
      </c>
      <c r="G8873" s="2" t="s">
        <v>13</v>
      </c>
      <c r="H8873" s="2" t="s">
        <v>4900</v>
      </c>
    </row>
    <row r="8874" spans="1:8" x14ac:dyDescent="0.2">
      <c r="A8874" s="2" t="s">
        <v>3250</v>
      </c>
      <c r="B8874" s="2" t="s">
        <v>543</v>
      </c>
      <c r="C8874" s="2">
        <v>926.83370000000002</v>
      </c>
      <c r="D8874" s="2">
        <f>HYPERLINK("http://mcb-m6.bioreg.kyushu-u.ac.jp/M3/20110427/F51114/2978/1", 70.46)</f>
        <v>70.459999999999994</v>
      </c>
      <c r="E8874" s="2">
        <v>52.66</v>
      </c>
      <c r="F8874" s="2">
        <v>2</v>
      </c>
      <c r="G8874" s="2" t="s">
        <v>13</v>
      </c>
    </row>
    <row r="8875" spans="1:8" x14ac:dyDescent="0.2">
      <c r="A8875" s="2" t="s">
        <v>3250</v>
      </c>
      <c r="B8875" s="2" t="s">
        <v>561</v>
      </c>
      <c r="C8875" s="2">
        <v>654.92219999999998</v>
      </c>
      <c r="D8875" s="2">
        <f>HYPERLINK("http://mcb-m6.bioreg.kyushu-u.ac.jp/M3/20110428/F51133/1420/1", 70.56)</f>
        <v>70.56</v>
      </c>
      <c r="E8875" s="2">
        <v>47.39</v>
      </c>
      <c r="F8875" s="2">
        <v>2</v>
      </c>
      <c r="G8875" s="2" t="s">
        <v>13</v>
      </c>
    </row>
    <row r="8876" spans="1:8" x14ac:dyDescent="0.2">
      <c r="A8876" s="2" t="s">
        <v>3250</v>
      </c>
      <c r="B8876" s="2" t="s">
        <v>543</v>
      </c>
      <c r="C8876" s="2">
        <v>927.36869999999999</v>
      </c>
      <c r="D8876" s="2">
        <f>HYPERLINK("http://mcb-m6.bioreg.kyushu-u.ac.jp/M3/20110428/F51133/2724/1", 70.64)</f>
        <v>70.64</v>
      </c>
      <c r="E8876" s="2">
        <v>59.54</v>
      </c>
      <c r="F8876" s="2">
        <v>2</v>
      </c>
      <c r="G8876" s="2" t="s">
        <v>13</v>
      </c>
    </row>
    <row r="8877" spans="1:8" x14ac:dyDescent="0.2">
      <c r="A8877" s="2" t="s">
        <v>3250</v>
      </c>
      <c r="B8877" s="2" t="s">
        <v>102</v>
      </c>
      <c r="C8877" s="2">
        <v>608.63760000000002</v>
      </c>
      <c r="D8877" s="2">
        <f>HYPERLINK("http://mcb-m6.bioreg.kyushu-u.ac.jp/M3/20110427/F51114/1405/1", 70.89)</f>
        <v>70.89</v>
      </c>
      <c r="E8877" s="2">
        <v>57.01</v>
      </c>
      <c r="F8877" s="2">
        <v>2</v>
      </c>
      <c r="G8877" s="2" t="s">
        <v>13</v>
      </c>
    </row>
    <row r="8878" spans="1:8" x14ac:dyDescent="0.2">
      <c r="A8878" s="2" t="s">
        <v>3250</v>
      </c>
      <c r="B8878" s="2" t="s">
        <v>77</v>
      </c>
      <c r="C8878" s="2">
        <v>574.62159999999994</v>
      </c>
      <c r="D8878" s="2">
        <f>HYPERLINK("http://mcb-m6.bioreg.kyushu-u.ac.jp/M3/20110427/F51111/1440/1", 71.13)</f>
        <v>71.13</v>
      </c>
      <c r="E8878" s="2">
        <v>50.22</v>
      </c>
      <c r="F8878" s="2">
        <v>2</v>
      </c>
      <c r="G8878" s="2" t="s">
        <v>13</v>
      </c>
    </row>
    <row r="8879" spans="1:8" x14ac:dyDescent="0.2">
      <c r="A8879" s="2" t="s">
        <v>3250</v>
      </c>
      <c r="B8879" s="2" t="s">
        <v>102</v>
      </c>
      <c r="C8879" s="2">
        <v>608.63570000000004</v>
      </c>
      <c r="D8879" s="2">
        <f>HYPERLINK("http://mcb-m6.bioreg.kyushu-u.ac.jp/M3/20110427/F51117/1419/1", 71.25)</f>
        <v>71.25</v>
      </c>
      <c r="E8879" s="2">
        <v>44.53</v>
      </c>
      <c r="F8879" s="2">
        <v>2</v>
      </c>
      <c r="G8879" s="2" t="s">
        <v>13</v>
      </c>
    </row>
    <row r="8880" spans="1:8" x14ac:dyDescent="0.2">
      <c r="A8880" s="2" t="s">
        <v>3250</v>
      </c>
      <c r="B8880" s="2" t="s">
        <v>77</v>
      </c>
      <c r="C8880" s="2">
        <v>575.00959999999998</v>
      </c>
      <c r="D8880" s="2">
        <f>HYPERLINK("http://mcb-m6.bioreg.kyushu-u.ac.jp/M3/20110427/F51112/1383/1", 71.31)</f>
        <v>71.31</v>
      </c>
      <c r="E8880" s="2">
        <v>46.07</v>
      </c>
      <c r="F8880" s="2">
        <v>2</v>
      </c>
      <c r="G8880" s="2" t="s">
        <v>13</v>
      </c>
    </row>
    <row r="8881" spans="1:9" x14ac:dyDescent="0.2">
      <c r="A8881" s="2" t="s">
        <v>3250</v>
      </c>
      <c r="B8881" s="2" t="s">
        <v>561</v>
      </c>
      <c r="C8881" s="2">
        <v>654.15120000000002</v>
      </c>
      <c r="D8881" s="2">
        <f>HYPERLINK("http://mcb-m6.bioreg.kyushu-u.ac.jp/M3/20110427/F51117/1571/1", 71.32)</f>
        <v>71.319999999999993</v>
      </c>
      <c r="E8881" s="2">
        <v>48.9</v>
      </c>
      <c r="F8881" s="2">
        <v>2</v>
      </c>
      <c r="G8881" s="2" t="s">
        <v>13</v>
      </c>
    </row>
    <row r="8882" spans="1:9" x14ac:dyDescent="0.2">
      <c r="A8882" s="2" t="s">
        <v>3250</v>
      </c>
      <c r="B8882" s="2" t="s">
        <v>365</v>
      </c>
      <c r="C8882" s="2">
        <v>849.21870000000001</v>
      </c>
      <c r="D8882" s="2">
        <f>HYPERLINK("http://mcb-m6.bioreg.kyushu-u.ac.jp/M3/20110427/F51109/2401/1", 71.84)</f>
        <v>71.84</v>
      </c>
      <c r="E8882" s="2">
        <v>55.6</v>
      </c>
      <c r="F8882" s="2">
        <v>2</v>
      </c>
      <c r="G8882" s="2" t="s">
        <v>13</v>
      </c>
    </row>
    <row r="8883" spans="1:9" x14ac:dyDescent="0.2">
      <c r="A8883" s="2" t="s">
        <v>3250</v>
      </c>
      <c r="B8883" s="2" t="s">
        <v>365</v>
      </c>
      <c r="C8883" s="2">
        <v>848.71510000000001</v>
      </c>
      <c r="D8883" s="2">
        <f>HYPERLINK("http://mcb-m6.bioreg.kyushu-u.ac.jp/M3/20110428/F51127/2506/1", 71.93)</f>
        <v>71.930000000000007</v>
      </c>
      <c r="E8883" s="2">
        <v>50.69</v>
      </c>
      <c r="F8883" s="2">
        <v>2</v>
      </c>
      <c r="G8883" s="2" t="s">
        <v>13</v>
      </c>
    </row>
    <row r="8884" spans="1:9" x14ac:dyDescent="0.2">
      <c r="A8884" s="2" t="s">
        <v>3250</v>
      </c>
      <c r="B8884" s="2" t="s">
        <v>77</v>
      </c>
      <c r="C8884" s="2">
        <v>575.07759999999996</v>
      </c>
      <c r="D8884" s="2">
        <f>HYPERLINK("http://mcb-m6.bioreg.kyushu-u.ac.jp/M3/20110427/F51113/1292/1", 71.94)</f>
        <v>71.94</v>
      </c>
      <c r="E8884" s="2">
        <v>35.54</v>
      </c>
      <c r="F8884" s="2">
        <v>2</v>
      </c>
      <c r="G8884" s="2" t="s">
        <v>13</v>
      </c>
    </row>
    <row r="8885" spans="1:9" x14ac:dyDescent="0.2">
      <c r="A8885" s="2" t="s">
        <v>3250</v>
      </c>
      <c r="B8885" s="2" t="s">
        <v>467</v>
      </c>
      <c r="C8885" s="2">
        <v>1382.3430000000001</v>
      </c>
      <c r="D8885" s="2">
        <f>HYPERLINK("http://mcb-m6.bioreg.kyushu-u.ac.jp/M3/20110427/F51109/1936/1", 72.03)</f>
        <v>72.03</v>
      </c>
      <c r="E8885" s="2">
        <v>57.76</v>
      </c>
      <c r="F8885" s="2">
        <v>1</v>
      </c>
      <c r="G8885" s="2" t="s">
        <v>13</v>
      </c>
    </row>
    <row r="8886" spans="1:9" x14ac:dyDescent="0.2">
      <c r="A8886" s="2" t="s">
        <v>3250</v>
      </c>
      <c r="B8886" s="2" t="s">
        <v>467</v>
      </c>
      <c r="C8886" s="2">
        <v>691.60969999999998</v>
      </c>
      <c r="D8886" s="2">
        <f>HYPERLINK("http://mcb-m6.bioreg.kyushu-u.ac.jp/M3/20110428/F51131/1546/1", 72.08)</f>
        <v>72.08</v>
      </c>
      <c r="E8886" s="2">
        <v>22.43</v>
      </c>
      <c r="F8886" s="2">
        <v>2</v>
      </c>
      <c r="G8886" s="2" t="s">
        <v>13</v>
      </c>
    </row>
    <row r="8887" spans="1:9" x14ac:dyDescent="0.2">
      <c r="A8887" s="2" t="s">
        <v>3250</v>
      </c>
      <c r="B8887" s="2" t="s">
        <v>467</v>
      </c>
      <c r="C8887" s="2">
        <v>1382.5429999999999</v>
      </c>
      <c r="D8887" s="2">
        <f>HYPERLINK("http://mcb-m6.bioreg.kyushu-u.ac.jp/M3/20110427/F51117/1749/1", 72.13)</f>
        <v>72.13</v>
      </c>
      <c r="E8887" s="2">
        <v>52.03</v>
      </c>
      <c r="F8887" s="2">
        <v>1</v>
      </c>
      <c r="G8887" s="2" t="s">
        <v>13</v>
      </c>
    </row>
    <row r="8888" spans="1:9" x14ac:dyDescent="0.2">
      <c r="A8888" s="2" t="s">
        <v>3250</v>
      </c>
      <c r="B8888" s="2" t="s">
        <v>467</v>
      </c>
      <c r="C8888" s="2">
        <v>1382.3789999999999</v>
      </c>
      <c r="D8888" s="2">
        <f>HYPERLINK("http://mcb-m6.bioreg.kyushu-u.ac.jp/M3/20110427/F51115/1759/1", 72.14)</f>
        <v>72.14</v>
      </c>
      <c r="E8888" s="2">
        <v>53.06</v>
      </c>
      <c r="F8888" s="2">
        <v>1</v>
      </c>
      <c r="G8888" s="2" t="s">
        <v>13</v>
      </c>
    </row>
    <row r="8889" spans="1:9" x14ac:dyDescent="0.2">
      <c r="A8889" s="2" t="s">
        <v>3250</v>
      </c>
      <c r="B8889" s="2" t="s">
        <v>77</v>
      </c>
      <c r="C8889" s="2">
        <v>574.46619999999996</v>
      </c>
      <c r="D8889" s="2">
        <f>HYPERLINK("http://mcb-m6.bioreg.kyushu-u.ac.jp/M3/20110427/F51115/1328/1", 72.32)</f>
        <v>72.319999999999993</v>
      </c>
      <c r="E8889" s="2">
        <v>46.89</v>
      </c>
      <c r="F8889" s="2">
        <v>2</v>
      </c>
      <c r="G8889" s="2" t="s">
        <v>13</v>
      </c>
    </row>
    <row r="8890" spans="1:9" x14ac:dyDescent="0.2">
      <c r="A8890" s="2" t="s">
        <v>3250</v>
      </c>
      <c r="B8890" s="2" t="s">
        <v>102</v>
      </c>
      <c r="C8890" s="2">
        <v>608.28520000000003</v>
      </c>
      <c r="D8890" s="2">
        <f>HYPERLINK("http://mcb-m6.bioreg.kyushu-u.ac.jp/M3/20110427/F51113/1433/1", 72.46)</f>
        <v>72.459999999999994</v>
      </c>
      <c r="E8890" s="2">
        <v>57.47</v>
      </c>
      <c r="F8890" s="2">
        <v>2</v>
      </c>
      <c r="G8890" s="2" t="s">
        <v>13</v>
      </c>
    </row>
    <row r="8891" spans="1:9" x14ac:dyDescent="0.2">
      <c r="A8891" s="2" t="s">
        <v>3250</v>
      </c>
      <c r="B8891" s="2" t="s">
        <v>102</v>
      </c>
      <c r="C8891" s="2">
        <v>608.08510000000001</v>
      </c>
      <c r="D8891" s="2">
        <f>HYPERLINK("http://mcb-m6.bioreg.kyushu-u.ac.jp/M3/20110427/F51116/1470/1", 72.55)</f>
        <v>72.55</v>
      </c>
      <c r="E8891" s="2">
        <v>43.14</v>
      </c>
      <c r="F8891" s="2">
        <v>2</v>
      </c>
      <c r="G8891" s="2" t="s">
        <v>13</v>
      </c>
    </row>
    <row r="8892" spans="1:9" x14ac:dyDescent="0.2">
      <c r="A8892" s="2" t="s">
        <v>3250</v>
      </c>
      <c r="B8892" s="2" t="s">
        <v>481</v>
      </c>
      <c r="C8892" s="2">
        <v>709.21370000000002</v>
      </c>
      <c r="D8892" s="2">
        <f>HYPERLINK("http://mcb-m6.bioreg.kyushu-u.ac.jp/M3/20110428/F51127/1701/1", 72.61)</f>
        <v>72.61</v>
      </c>
      <c r="E8892" s="2">
        <v>48.86</v>
      </c>
      <c r="F8892" s="2">
        <v>2</v>
      </c>
      <c r="G8892" s="2" t="s">
        <v>13</v>
      </c>
      <c r="I8892" s="2" t="s">
        <v>4898</v>
      </c>
    </row>
    <row r="8893" spans="1:9" x14ac:dyDescent="0.2">
      <c r="A8893" s="2" t="s">
        <v>3250</v>
      </c>
      <c r="B8893" s="2" t="s">
        <v>102</v>
      </c>
      <c r="C8893" s="2">
        <v>608.47559999999999</v>
      </c>
      <c r="D8893" s="2">
        <f>HYPERLINK("http://mcb-m6.bioreg.kyushu-u.ac.jp/M3/20110428/F51127/1236/1", 72.63)</f>
        <v>72.63</v>
      </c>
      <c r="E8893" s="2">
        <v>57.61</v>
      </c>
      <c r="F8893" s="2">
        <v>2</v>
      </c>
      <c r="G8893" s="2" t="s">
        <v>13</v>
      </c>
    </row>
    <row r="8894" spans="1:9" x14ac:dyDescent="0.2">
      <c r="A8894" s="2" t="s">
        <v>3250</v>
      </c>
      <c r="B8894" s="2" t="s">
        <v>561</v>
      </c>
      <c r="C8894" s="2">
        <v>654.0607</v>
      </c>
      <c r="D8894" s="2">
        <f>HYPERLINK("http://mcb-m6.bioreg.kyushu-u.ac.jp/M3/20110427/F51108/1709/1", 73.34)</f>
        <v>73.34</v>
      </c>
      <c r="E8894" s="2">
        <v>44.92</v>
      </c>
      <c r="F8894" s="2">
        <v>2</v>
      </c>
      <c r="G8894" s="2" t="s">
        <v>13</v>
      </c>
    </row>
    <row r="8895" spans="1:9" x14ac:dyDescent="0.2">
      <c r="A8895" s="2" t="s">
        <v>3250</v>
      </c>
      <c r="B8895" s="2" t="s">
        <v>888</v>
      </c>
      <c r="C8895" s="2">
        <v>811.04520000000002</v>
      </c>
      <c r="D8895" s="2">
        <f>HYPERLINK("http://mcb-m6.bioreg.kyushu-u.ac.jp/M3/20110428/F51133/3378/1", 73.51)</f>
        <v>73.510000000000005</v>
      </c>
      <c r="E8895" s="2">
        <v>57.09</v>
      </c>
      <c r="F8895" s="2">
        <v>3</v>
      </c>
      <c r="G8895" s="2" t="s">
        <v>13</v>
      </c>
      <c r="I8895" s="2" t="s">
        <v>4895</v>
      </c>
    </row>
    <row r="8896" spans="1:9" x14ac:dyDescent="0.2">
      <c r="A8896" s="2" t="s">
        <v>3250</v>
      </c>
      <c r="B8896" s="2" t="s">
        <v>90</v>
      </c>
      <c r="C8896" s="2">
        <v>1432.489</v>
      </c>
      <c r="D8896" s="2">
        <f>HYPERLINK("http://mcb-m6.bioreg.kyushu-u.ac.jp/M3/20110427/F51115/1878/1", 73.57)</f>
        <v>73.569999999999993</v>
      </c>
      <c r="E8896" s="2">
        <v>61.78</v>
      </c>
      <c r="F8896" s="2">
        <v>1</v>
      </c>
      <c r="G8896" s="2" t="s">
        <v>13</v>
      </c>
    </row>
    <row r="8897" spans="1:9" x14ac:dyDescent="0.2">
      <c r="A8897" s="2" t="s">
        <v>3250</v>
      </c>
      <c r="B8897" s="2" t="s">
        <v>561</v>
      </c>
      <c r="C8897" s="2">
        <v>654.93769999999995</v>
      </c>
      <c r="D8897" s="2">
        <f>HYPERLINK("http://mcb-m6.bioreg.kyushu-u.ac.jp/M3/20110427/F51116/1612/1", 73.83)</f>
        <v>73.83</v>
      </c>
      <c r="E8897" s="2">
        <v>54.29</v>
      </c>
      <c r="F8897" s="2">
        <v>2</v>
      </c>
      <c r="G8897" s="2" t="s">
        <v>13</v>
      </c>
    </row>
    <row r="8898" spans="1:9" x14ac:dyDescent="0.2">
      <c r="A8898" s="2" t="s">
        <v>3250</v>
      </c>
      <c r="B8898" s="2" t="s">
        <v>561</v>
      </c>
      <c r="C8898" s="2">
        <v>662.54060000000004</v>
      </c>
      <c r="D8898" s="2">
        <f>HYPERLINK("http://mcb-m6.bioreg.kyushu-u.ac.jp/M3/20110427/F51111/1749/1", 73.98)</f>
        <v>73.98</v>
      </c>
      <c r="E8898" s="2">
        <v>53.75</v>
      </c>
      <c r="F8898" s="2">
        <v>2</v>
      </c>
      <c r="G8898" s="2" t="s">
        <v>13</v>
      </c>
      <c r="H8898" s="2" t="s">
        <v>4919</v>
      </c>
    </row>
    <row r="8899" spans="1:9" x14ac:dyDescent="0.2">
      <c r="A8899" s="2" t="s">
        <v>3250</v>
      </c>
      <c r="B8899" s="2" t="s">
        <v>481</v>
      </c>
      <c r="C8899" s="2">
        <v>709.26419999999996</v>
      </c>
      <c r="D8899" s="2">
        <f>HYPERLINK("http://mcb-m6.bioreg.kyushu-u.ac.jp/M3/20110428/F51133/1718/1", 73.99)</f>
        <v>73.989999999999995</v>
      </c>
      <c r="E8899" s="2">
        <v>54.75</v>
      </c>
      <c r="F8899" s="2">
        <v>2</v>
      </c>
      <c r="G8899" s="2" t="s">
        <v>13</v>
      </c>
      <c r="I8899" s="2" t="s">
        <v>4898</v>
      </c>
    </row>
    <row r="8900" spans="1:9" x14ac:dyDescent="0.2">
      <c r="A8900" s="2" t="s">
        <v>3250</v>
      </c>
      <c r="B8900" s="2" t="s">
        <v>467</v>
      </c>
      <c r="C8900" s="2">
        <v>691.69870000000003</v>
      </c>
      <c r="D8900" s="2">
        <f>HYPERLINK("http://mcb-m6.bioreg.kyushu-u.ac.jp/M3/20110427/F51110/1981/1", 74.15)</f>
        <v>74.150000000000006</v>
      </c>
      <c r="E8900" s="2">
        <v>43.7</v>
      </c>
      <c r="F8900" s="2">
        <v>2</v>
      </c>
      <c r="G8900" s="2" t="s">
        <v>13</v>
      </c>
    </row>
    <row r="8901" spans="1:9" x14ac:dyDescent="0.2">
      <c r="A8901" s="2" t="s">
        <v>3250</v>
      </c>
      <c r="B8901" s="2" t="s">
        <v>561</v>
      </c>
      <c r="C8901" s="2">
        <v>654.67359999999996</v>
      </c>
      <c r="D8901" s="2">
        <f>HYPERLINK("http://mcb-m6.bioreg.kyushu-u.ac.jp/M3/20110427/F51108/1711/1", 74.19)</f>
        <v>74.19</v>
      </c>
      <c r="E8901" s="2">
        <v>48.57</v>
      </c>
      <c r="F8901" s="2">
        <v>2</v>
      </c>
      <c r="G8901" s="2" t="s">
        <v>13</v>
      </c>
    </row>
    <row r="8902" spans="1:9" x14ac:dyDescent="0.2">
      <c r="A8902" s="2" t="s">
        <v>3250</v>
      </c>
      <c r="B8902" s="2" t="s">
        <v>102</v>
      </c>
      <c r="C8902" s="2">
        <v>608.07619999999997</v>
      </c>
      <c r="D8902" s="2">
        <f>HYPERLINK("http://mcb-m6.bioreg.kyushu-u.ac.jp/M3/20110427/F51114/1400/1", 74.24)</f>
        <v>74.239999999999995</v>
      </c>
      <c r="E8902" s="2">
        <v>59.39</v>
      </c>
      <c r="F8902" s="2">
        <v>2</v>
      </c>
      <c r="G8902" s="2" t="s">
        <v>13</v>
      </c>
    </row>
    <row r="8903" spans="1:9" x14ac:dyDescent="0.2">
      <c r="A8903" s="2" t="s">
        <v>3250</v>
      </c>
      <c r="B8903" s="2" t="s">
        <v>503</v>
      </c>
      <c r="C8903" s="2">
        <v>816.31410000000005</v>
      </c>
      <c r="D8903" s="2">
        <f>HYPERLINK("http://mcb-m6.bioreg.kyushu-u.ac.jp/M3/20110428/F51133/2308/1", 74.58)</f>
        <v>74.58</v>
      </c>
      <c r="E8903" s="2">
        <v>66.150000000000006</v>
      </c>
      <c r="F8903" s="2">
        <v>2</v>
      </c>
      <c r="G8903" s="2" t="s">
        <v>13</v>
      </c>
      <c r="H8903" s="2" t="s">
        <v>4907</v>
      </c>
    </row>
    <row r="8904" spans="1:9" x14ac:dyDescent="0.2">
      <c r="A8904" s="2" t="s">
        <v>3250</v>
      </c>
      <c r="B8904" s="2" t="s">
        <v>365</v>
      </c>
      <c r="C8904" s="2">
        <v>848.7672</v>
      </c>
      <c r="D8904" s="2">
        <f>HYPERLINK("http://mcb-m6.bioreg.kyushu-u.ac.jp/M3/20110427/F51112/2596/1", 74.98)</f>
        <v>74.98</v>
      </c>
      <c r="E8904" s="2">
        <v>51.11</v>
      </c>
      <c r="F8904" s="2">
        <v>2</v>
      </c>
      <c r="G8904" s="2" t="s">
        <v>13</v>
      </c>
    </row>
    <row r="8905" spans="1:9" x14ac:dyDescent="0.2">
      <c r="A8905" s="2" t="s">
        <v>3250</v>
      </c>
      <c r="B8905" s="2" t="s">
        <v>561</v>
      </c>
      <c r="C8905" s="2">
        <v>654.33759999999995</v>
      </c>
      <c r="D8905" s="2">
        <f>HYPERLINK("http://mcb-m6.bioreg.kyushu-u.ac.jp/M3/20110428/F51133/1417/1", 75.04)</f>
        <v>75.040000000000006</v>
      </c>
      <c r="E8905" s="2">
        <v>45.76</v>
      </c>
      <c r="F8905" s="2">
        <v>2</v>
      </c>
      <c r="G8905" s="2" t="s">
        <v>13</v>
      </c>
    </row>
    <row r="8906" spans="1:9" x14ac:dyDescent="0.2">
      <c r="A8906" s="2" t="s">
        <v>3250</v>
      </c>
      <c r="B8906" s="2" t="s">
        <v>772</v>
      </c>
      <c r="C8906" s="2">
        <v>595.54859999999996</v>
      </c>
      <c r="D8906" s="2">
        <f>HYPERLINK("http://mcb-m6.bioreg.kyushu-u.ac.jp/M3/20110427/F51114/1352/1", 75.21)</f>
        <v>75.209999999999994</v>
      </c>
      <c r="E8906" s="2">
        <v>31.14</v>
      </c>
      <c r="F8906" s="2">
        <v>2</v>
      </c>
      <c r="G8906" s="2" t="s">
        <v>13</v>
      </c>
    </row>
    <row r="8907" spans="1:9" x14ac:dyDescent="0.2">
      <c r="A8907" s="2" t="s">
        <v>3250</v>
      </c>
      <c r="B8907" s="2" t="s">
        <v>2107</v>
      </c>
      <c r="C8907" s="2">
        <v>1019.908</v>
      </c>
      <c r="D8907" s="2">
        <f>HYPERLINK("http://mcb-m6.bioreg.kyushu-u.ac.jp/M3/20110428/F51133/2996/1", 75.66)</f>
        <v>75.66</v>
      </c>
      <c r="E8907" s="2">
        <v>41.5</v>
      </c>
      <c r="F8907" s="2">
        <v>2</v>
      </c>
      <c r="G8907" s="2" t="s">
        <v>13</v>
      </c>
    </row>
    <row r="8908" spans="1:9" x14ac:dyDescent="0.2">
      <c r="A8908" s="2" t="s">
        <v>3250</v>
      </c>
      <c r="B8908" s="2" t="s">
        <v>543</v>
      </c>
      <c r="C8908" s="2">
        <v>926.91920000000005</v>
      </c>
      <c r="D8908" s="2">
        <f>HYPERLINK("http://mcb-m6.bioreg.kyushu-u.ac.jp/M3/20110428/F51127/2909/1", 75.71)</f>
        <v>75.709999999999994</v>
      </c>
      <c r="E8908" s="2">
        <v>63.23</v>
      </c>
      <c r="F8908" s="2">
        <v>2</v>
      </c>
      <c r="G8908" s="2" t="s">
        <v>13</v>
      </c>
    </row>
    <row r="8909" spans="1:9" x14ac:dyDescent="0.2">
      <c r="A8909" s="2" t="s">
        <v>3250</v>
      </c>
      <c r="B8909" s="2" t="s">
        <v>467</v>
      </c>
      <c r="C8909" s="2">
        <v>1382.511</v>
      </c>
      <c r="D8909" s="2">
        <f>HYPERLINK("http://mcb-m6.bioreg.kyushu-u.ac.jp/M3/20110428/F51133/1622/1", 75.88)</f>
        <v>75.88</v>
      </c>
      <c r="E8909" s="2">
        <v>57.18</v>
      </c>
      <c r="F8909" s="2">
        <v>1</v>
      </c>
      <c r="G8909" s="2" t="s">
        <v>13</v>
      </c>
    </row>
    <row r="8910" spans="1:9" x14ac:dyDescent="0.2">
      <c r="A8910" s="2" t="s">
        <v>3250</v>
      </c>
      <c r="B8910" s="2" t="s">
        <v>102</v>
      </c>
      <c r="C8910" s="2">
        <v>608.06119999999999</v>
      </c>
      <c r="D8910" s="2">
        <f>HYPERLINK("http://mcb-m6.bioreg.kyushu-u.ac.jp/M3/20110428/F51132/1373/1", 76.09)</f>
        <v>76.09</v>
      </c>
      <c r="E8910" s="2">
        <v>51.3</v>
      </c>
      <c r="F8910" s="2">
        <v>2</v>
      </c>
      <c r="G8910" s="2" t="s">
        <v>13</v>
      </c>
    </row>
    <row r="8911" spans="1:9" x14ac:dyDescent="0.2">
      <c r="A8911" s="2" t="s">
        <v>3250</v>
      </c>
      <c r="B8911" s="2" t="s">
        <v>365</v>
      </c>
      <c r="C8911" s="2">
        <v>848.9692</v>
      </c>
      <c r="D8911" s="2">
        <f>HYPERLINK("http://mcb-m6.bioreg.kyushu-u.ac.jp/M3/20110427/F51108/2444/1", 76.12)</f>
        <v>76.12</v>
      </c>
      <c r="E8911" s="2">
        <v>54.94</v>
      </c>
      <c r="F8911" s="2">
        <v>2</v>
      </c>
      <c r="G8911" s="2" t="s">
        <v>13</v>
      </c>
    </row>
    <row r="8912" spans="1:9" x14ac:dyDescent="0.2">
      <c r="A8912" s="2" t="s">
        <v>3250</v>
      </c>
      <c r="B8912" s="2" t="s">
        <v>1065</v>
      </c>
      <c r="C8912" s="2">
        <v>716.79420000000005</v>
      </c>
      <c r="D8912" s="2">
        <f>HYPERLINK("http://mcb-m6.bioreg.kyushu-u.ac.jp/M3/20110428/F51133/1775/1", 76.18)</f>
        <v>76.180000000000007</v>
      </c>
      <c r="E8912" s="2">
        <v>64.56</v>
      </c>
      <c r="F8912" s="2">
        <v>2</v>
      </c>
      <c r="G8912" s="2" t="s">
        <v>13</v>
      </c>
      <c r="I8912" s="2" t="s">
        <v>4892</v>
      </c>
    </row>
    <row r="8913" spans="1:9" x14ac:dyDescent="0.2">
      <c r="A8913" s="2" t="s">
        <v>3250</v>
      </c>
      <c r="B8913" s="2" t="s">
        <v>481</v>
      </c>
      <c r="C8913" s="2">
        <v>709.39620000000002</v>
      </c>
      <c r="D8913" s="2">
        <f>HYPERLINK("http://mcb-m6.bioreg.kyushu-u.ac.jp/M3/20110427/F51108/1935/1", 76.38)</f>
        <v>76.38</v>
      </c>
      <c r="E8913" s="2">
        <v>51.15</v>
      </c>
      <c r="F8913" s="2">
        <v>2</v>
      </c>
      <c r="G8913" s="2" t="s">
        <v>13</v>
      </c>
      <c r="I8913" s="2" t="s">
        <v>4898</v>
      </c>
    </row>
    <row r="8914" spans="1:9" x14ac:dyDescent="0.2">
      <c r="A8914" s="2" t="s">
        <v>3250</v>
      </c>
      <c r="B8914" s="2" t="s">
        <v>356</v>
      </c>
      <c r="C8914" s="2">
        <v>815.99109999999996</v>
      </c>
      <c r="D8914" s="2">
        <f>HYPERLINK("http://mcb-m6.bioreg.kyushu-u.ac.jp/M3/20110427/F51111/2526/1", 76.58)</f>
        <v>76.58</v>
      </c>
      <c r="E8914" s="2">
        <v>62.64</v>
      </c>
      <c r="F8914" s="2">
        <v>2</v>
      </c>
      <c r="G8914" s="2" t="s">
        <v>13</v>
      </c>
    </row>
    <row r="8915" spans="1:9" x14ac:dyDescent="0.2">
      <c r="A8915" s="2" t="s">
        <v>3250</v>
      </c>
      <c r="B8915" s="2" t="s">
        <v>1065</v>
      </c>
      <c r="C8915" s="2">
        <v>716.74159999999995</v>
      </c>
      <c r="D8915" s="2">
        <f>HYPERLINK("http://mcb-m6.bioreg.kyushu-u.ac.jp/M3/20110428/F51132/1863/1", 76.99)</f>
        <v>76.989999999999995</v>
      </c>
      <c r="E8915" s="2">
        <v>63.92</v>
      </c>
      <c r="F8915" s="2">
        <v>2</v>
      </c>
      <c r="G8915" s="2" t="s">
        <v>13</v>
      </c>
      <c r="I8915" s="2" t="s">
        <v>4892</v>
      </c>
    </row>
    <row r="8916" spans="1:9" x14ac:dyDescent="0.2">
      <c r="A8916" s="2" t="s">
        <v>3250</v>
      </c>
      <c r="B8916" s="2" t="s">
        <v>543</v>
      </c>
      <c r="C8916" s="2">
        <v>926.86659999999995</v>
      </c>
      <c r="D8916" s="2">
        <f>HYPERLINK("http://mcb-m6.bioreg.kyushu-u.ac.jp/M3/20110427/F51115/2722/1", 77.56)</f>
        <v>77.56</v>
      </c>
      <c r="E8916" s="2">
        <v>61.42</v>
      </c>
      <c r="F8916" s="2">
        <v>2</v>
      </c>
      <c r="G8916" s="2" t="s">
        <v>13</v>
      </c>
    </row>
    <row r="8917" spans="1:9" x14ac:dyDescent="0.2">
      <c r="A8917" s="2" t="s">
        <v>3250</v>
      </c>
      <c r="B8917" s="2" t="s">
        <v>772</v>
      </c>
      <c r="C8917" s="2">
        <v>596.03060000000005</v>
      </c>
      <c r="D8917" s="2">
        <f>HYPERLINK("http://mcb-m6.bioreg.kyushu-u.ac.jp/M3/20110427/F51115/1409/1", 77.64)</f>
        <v>77.64</v>
      </c>
      <c r="E8917" s="2">
        <v>51.34</v>
      </c>
      <c r="F8917" s="2">
        <v>2</v>
      </c>
      <c r="G8917" s="2" t="s">
        <v>13</v>
      </c>
    </row>
    <row r="8918" spans="1:9" x14ac:dyDescent="0.2">
      <c r="A8918" s="2" t="s">
        <v>3250</v>
      </c>
      <c r="B8918" s="2" t="s">
        <v>561</v>
      </c>
      <c r="C8918" s="2">
        <v>654.65419999999995</v>
      </c>
      <c r="D8918" s="2">
        <f>HYPERLINK("http://mcb-m6.bioreg.kyushu-u.ac.jp/M3/20110427/F51117/1574/1", 77.75)</f>
        <v>77.75</v>
      </c>
      <c r="E8918" s="2">
        <v>58.25</v>
      </c>
      <c r="F8918" s="2">
        <v>2</v>
      </c>
      <c r="G8918" s="2" t="s">
        <v>13</v>
      </c>
    </row>
    <row r="8919" spans="1:9" x14ac:dyDescent="0.2">
      <c r="A8919" s="2" t="s">
        <v>3250</v>
      </c>
      <c r="B8919" s="2" t="s">
        <v>561</v>
      </c>
      <c r="C8919" s="2">
        <v>662.47810000000004</v>
      </c>
      <c r="D8919" s="2">
        <f>HYPERLINK("http://mcb-m6.bioreg.kyushu-u.ac.jp/M3/20110427/F51112/1706/1", 77.97)</f>
        <v>77.97</v>
      </c>
      <c r="E8919" s="2">
        <v>49.04</v>
      </c>
      <c r="F8919" s="2">
        <v>2</v>
      </c>
      <c r="G8919" s="2" t="s">
        <v>13</v>
      </c>
      <c r="H8919" s="2" t="s">
        <v>4919</v>
      </c>
    </row>
    <row r="8920" spans="1:9" x14ac:dyDescent="0.2">
      <c r="A8920" s="2" t="s">
        <v>3250</v>
      </c>
      <c r="B8920" s="2" t="s">
        <v>1065</v>
      </c>
      <c r="C8920" s="2">
        <v>716.6327</v>
      </c>
      <c r="D8920" s="2">
        <f>HYPERLINK("http://mcb-m6.bioreg.kyushu-u.ac.jp/M3/20110427/F51112/1983/1", 78.12)</f>
        <v>78.12</v>
      </c>
      <c r="E8920" s="2">
        <v>62.18</v>
      </c>
      <c r="F8920" s="2">
        <v>2</v>
      </c>
      <c r="G8920" s="2" t="s">
        <v>13</v>
      </c>
      <c r="I8920" s="2" t="s">
        <v>4892</v>
      </c>
    </row>
    <row r="8921" spans="1:9" x14ac:dyDescent="0.2">
      <c r="A8921" s="2" t="s">
        <v>3250</v>
      </c>
      <c r="B8921" s="2" t="s">
        <v>90</v>
      </c>
      <c r="C8921" s="2">
        <v>1432.5239999999999</v>
      </c>
      <c r="D8921" s="2">
        <f>HYPERLINK("http://mcb-m6.bioreg.kyushu-u.ac.jp/M3/20110428/F51133/1774/1", 78.15)</f>
        <v>78.150000000000006</v>
      </c>
      <c r="E8921" s="2">
        <v>63.62</v>
      </c>
      <c r="F8921" s="2">
        <v>1</v>
      </c>
      <c r="G8921" s="2" t="s">
        <v>13</v>
      </c>
    </row>
    <row r="8922" spans="1:9" x14ac:dyDescent="0.2">
      <c r="A8922" s="2" t="s">
        <v>3250</v>
      </c>
      <c r="B8922" s="2" t="s">
        <v>561</v>
      </c>
      <c r="C8922" s="2">
        <v>654.10609999999997</v>
      </c>
      <c r="D8922" s="2">
        <f>HYPERLINK("http://mcb-m6.bioreg.kyushu-u.ac.jp/M3/20110427/F51111/1728/1", 78.17)</f>
        <v>78.17</v>
      </c>
      <c r="E8922" s="2">
        <v>48.61</v>
      </c>
      <c r="F8922" s="2">
        <v>2</v>
      </c>
      <c r="G8922" s="2" t="s">
        <v>13</v>
      </c>
    </row>
    <row r="8923" spans="1:9" x14ac:dyDescent="0.2">
      <c r="A8923" s="2" t="s">
        <v>3250</v>
      </c>
      <c r="B8923" s="2" t="s">
        <v>561</v>
      </c>
      <c r="C8923" s="2">
        <v>654.13710000000003</v>
      </c>
      <c r="D8923" s="2">
        <f>HYPERLINK("http://mcb-m6.bioreg.kyushu-u.ac.jp/M3/20110428/F51133/1412/1", 78.36)</f>
        <v>78.36</v>
      </c>
      <c r="E8923" s="2">
        <v>65.739999999999995</v>
      </c>
      <c r="F8923" s="2">
        <v>2</v>
      </c>
      <c r="G8923" s="2" t="s">
        <v>13</v>
      </c>
    </row>
    <row r="8924" spans="1:9" x14ac:dyDescent="0.2">
      <c r="A8924" s="2" t="s">
        <v>3250</v>
      </c>
      <c r="B8924" s="2" t="s">
        <v>772</v>
      </c>
      <c r="C8924" s="2">
        <v>596.14260000000002</v>
      </c>
      <c r="D8924" s="2">
        <f>HYPERLINK("http://mcb-m6.bioreg.kyushu-u.ac.jp/M3/20110427/F51112/1493/1", 78.59)</f>
        <v>78.59</v>
      </c>
      <c r="E8924" s="2">
        <v>52.23</v>
      </c>
      <c r="F8924" s="2">
        <v>2</v>
      </c>
      <c r="G8924" s="2" t="s">
        <v>13</v>
      </c>
    </row>
    <row r="8925" spans="1:9" x14ac:dyDescent="0.2">
      <c r="A8925" s="2" t="s">
        <v>3250</v>
      </c>
      <c r="B8925" s="2" t="s">
        <v>1521</v>
      </c>
      <c r="C8925" s="2">
        <v>989.38760000000002</v>
      </c>
      <c r="D8925" s="2">
        <f>HYPERLINK("http://mcb-m6.bioreg.kyushu-u.ac.jp/M3/20110428/F51133/2889/1", 78.89)</f>
        <v>78.89</v>
      </c>
      <c r="E8925" s="2">
        <v>70.2</v>
      </c>
      <c r="F8925" s="2">
        <v>2</v>
      </c>
      <c r="G8925" s="2" t="s">
        <v>13</v>
      </c>
    </row>
    <row r="8926" spans="1:9" x14ac:dyDescent="0.2">
      <c r="A8926" s="2" t="s">
        <v>3250</v>
      </c>
      <c r="B8926" s="2" t="s">
        <v>772</v>
      </c>
      <c r="C8926" s="2">
        <v>596.14120000000003</v>
      </c>
      <c r="D8926" s="2">
        <f>HYPERLINK("http://mcb-m6.bioreg.kyushu-u.ac.jp/M3/20110427/F51113/1390/1", 78.96)</f>
        <v>78.959999999999994</v>
      </c>
      <c r="E8926" s="2">
        <v>52.41</v>
      </c>
      <c r="F8926" s="2">
        <v>2</v>
      </c>
      <c r="G8926" s="2" t="s">
        <v>13</v>
      </c>
    </row>
    <row r="8927" spans="1:9" x14ac:dyDescent="0.2">
      <c r="A8927" s="2" t="s">
        <v>3250</v>
      </c>
      <c r="B8927" s="2" t="s">
        <v>356</v>
      </c>
      <c r="C8927" s="2">
        <v>816.3356</v>
      </c>
      <c r="D8927" s="2">
        <f>HYPERLINK("http://mcb-m6.bioreg.kyushu-u.ac.jp/M3/20110427/F51117/2362/1", 79.19)</f>
        <v>79.19</v>
      </c>
      <c r="E8927" s="2">
        <v>60.17</v>
      </c>
      <c r="F8927" s="2">
        <v>2</v>
      </c>
      <c r="G8927" s="2" t="s">
        <v>13</v>
      </c>
    </row>
    <row r="8928" spans="1:9" x14ac:dyDescent="0.2">
      <c r="A8928" s="2" t="s">
        <v>3250</v>
      </c>
      <c r="B8928" s="2" t="s">
        <v>102</v>
      </c>
      <c r="C8928" s="2">
        <v>608.1857</v>
      </c>
      <c r="D8928" s="2">
        <f>HYPERLINK("http://mcb-m6.bioreg.kyushu-u.ac.jp/M3/20110427/F51115/1459/1", 79.4)</f>
        <v>79.400000000000006</v>
      </c>
      <c r="E8928" s="2">
        <v>53.62</v>
      </c>
      <c r="F8928" s="2">
        <v>2</v>
      </c>
      <c r="G8928" s="2" t="s">
        <v>13</v>
      </c>
    </row>
    <row r="8929" spans="1:9" x14ac:dyDescent="0.2">
      <c r="A8929" s="2" t="s">
        <v>3250</v>
      </c>
      <c r="B8929" s="2" t="s">
        <v>102</v>
      </c>
      <c r="C8929" s="2">
        <v>608.11410000000001</v>
      </c>
      <c r="D8929" s="2">
        <f>HYPERLINK("http://mcb-m6.bioreg.kyushu-u.ac.jp/M3/20110428/F51133/1264/1", 79.44)</f>
        <v>79.44</v>
      </c>
      <c r="E8929" s="2">
        <v>56.74</v>
      </c>
      <c r="F8929" s="2">
        <v>2</v>
      </c>
      <c r="G8929" s="2" t="s">
        <v>13</v>
      </c>
    </row>
    <row r="8930" spans="1:9" x14ac:dyDescent="0.2">
      <c r="A8930" s="2" t="s">
        <v>3250</v>
      </c>
      <c r="B8930" s="2" t="s">
        <v>561</v>
      </c>
      <c r="C8930" s="2">
        <v>662.66420000000005</v>
      </c>
      <c r="D8930" s="2">
        <f>HYPERLINK("http://mcb-m6.bioreg.kyushu-u.ac.jp/M3/20110427/F51115/1616/1", 79.61)</f>
        <v>79.61</v>
      </c>
      <c r="E8930" s="2">
        <v>57.4</v>
      </c>
      <c r="F8930" s="2">
        <v>2</v>
      </c>
      <c r="G8930" s="2" t="s">
        <v>13</v>
      </c>
      <c r="H8930" s="2" t="s">
        <v>4919</v>
      </c>
    </row>
    <row r="8931" spans="1:9" x14ac:dyDescent="0.2">
      <c r="A8931" s="2" t="s">
        <v>3250</v>
      </c>
      <c r="B8931" s="2" t="s">
        <v>365</v>
      </c>
      <c r="C8931" s="2">
        <v>848.75819999999999</v>
      </c>
      <c r="D8931" s="2">
        <f>HYPERLINK("http://mcb-m6.bioreg.kyushu-u.ac.jp/M3/20110427/F51111/2659/1", 79.86)</f>
        <v>79.86</v>
      </c>
      <c r="E8931" s="2">
        <v>64.08</v>
      </c>
      <c r="F8931" s="2">
        <v>2</v>
      </c>
      <c r="G8931" s="2" t="s">
        <v>13</v>
      </c>
    </row>
    <row r="8932" spans="1:9" x14ac:dyDescent="0.2">
      <c r="A8932" s="2" t="s">
        <v>3250</v>
      </c>
      <c r="B8932" s="2" t="s">
        <v>1255</v>
      </c>
      <c r="C8932" s="2">
        <v>1273.797</v>
      </c>
      <c r="D8932" s="2">
        <f>HYPERLINK("http://mcb-m6.bioreg.kyushu-u.ac.jp/M3/20110427/F51114/3837/1", 79.98)</f>
        <v>79.98</v>
      </c>
      <c r="E8932" s="2">
        <v>68.260000000000005</v>
      </c>
      <c r="F8932" s="2">
        <v>2</v>
      </c>
      <c r="G8932" s="2" t="s">
        <v>13</v>
      </c>
      <c r="I8932" s="2" t="s">
        <v>4906</v>
      </c>
    </row>
    <row r="8933" spans="1:9" x14ac:dyDescent="0.2">
      <c r="A8933" s="2" t="s">
        <v>3250</v>
      </c>
      <c r="B8933" s="2" t="s">
        <v>1255</v>
      </c>
      <c r="C8933" s="2">
        <v>1273.489</v>
      </c>
      <c r="D8933" s="2">
        <f>HYPERLINK("http://mcb-m6.bioreg.kyushu-u.ac.jp/M3/20110428/F51127/3895/1", 80.01)</f>
        <v>80.010000000000005</v>
      </c>
      <c r="E8933" s="2">
        <v>67.86</v>
      </c>
      <c r="F8933" s="2">
        <v>2</v>
      </c>
      <c r="G8933" s="2" t="s">
        <v>13</v>
      </c>
      <c r="I8933" s="2" t="s">
        <v>4906</v>
      </c>
    </row>
    <row r="8934" spans="1:9" x14ac:dyDescent="0.2">
      <c r="A8934" s="2" t="s">
        <v>3250</v>
      </c>
      <c r="B8934" s="2" t="s">
        <v>1255</v>
      </c>
      <c r="C8934" s="2">
        <v>1273.7249999999999</v>
      </c>
      <c r="D8934" s="2">
        <f>HYPERLINK("http://mcb-m6.bioreg.kyushu-u.ac.jp/M3/20110427/F51115/3407/1", 80.54)</f>
        <v>80.540000000000006</v>
      </c>
      <c r="E8934" s="2">
        <v>70.569999999999993</v>
      </c>
      <c r="F8934" s="2">
        <v>2</v>
      </c>
      <c r="G8934" s="2" t="s">
        <v>13</v>
      </c>
      <c r="I8934" s="2" t="s">
        <v>4906</v>
      </c>
    </row>
    <row r="8935" spans="1:9" x14ac:dyDescent="0.2">
      <c r="A8935" s="2" t="s">
        <v>3250</v>
      </c>
      <c r="B8935" s="2" t="s">
        <v>1255</v>
      </c>
      <c r="C8935" s="2">
        <v>1273.7629999999999</v>
      </c>
      <c r="D8935" s="2">
        <f>HYPERLINK("http://mcb-m6.bioreg.kyushu-u.ac.jp/M3/20110428/F51131/3590/1", 80.58)</f>
        <v>80.58</v>
      </c>
      <c r="E8935" s="2">
        <v>66.47</v>
      </c>
      <c r="F8935" s="2">
        <v>2</v>
      </c>
      <c r="G8935" s="2" t="s">
        <v>13</v>
      </c>
      <c r="I8935" s="2" t="s">
        <v>4906</v>
      </c>
    </row>
    <row r="8936" spans="1:9" x14ac:dyDescent="0.2">
      <c r="A8936" s="2" t="s">
        <v>3250</v>
      </c>
      <c r="B8936" s="2" t="s">
        <v>561</v>
      </c>
      <c r="C8936" s="2">
        <v>654.70259999999996</v>
      </c>
      <c r="D8936" s="2">
        <f>HYPERLINK("http://mcb-m6.bioreg.kyushu-u.ac.jp/M3/20110428/F51133/1418/1", 80.94)</f>
        <v>80.94</v>
      </c>
      <c r="E8936" s="2">
        <v>60.27</v>
      </c>
      <c r="F8936" s="2">
        <v>2</v>
      </c>
      <c r="G8936" s="2" t="s">
        <v>13</v>
      </c>
    </row>
    <row r="8937" spans="1:9" x14ac:dyDescent="0.2">
      <c r="A8937" s="2" t="s">
        <v>3250</v>
      </c>
      <c r="B8937" s="2" t="s">
        <v>561</v>
      </c>
      <c r="C8937" s="2">
        <v>654.16520000000003</v>
      </c>
      <c r="D8937" s="2">
        <f>HYPERLINK("http://mcb-m6.bioreg.kyushu-u.ac.jp/M3/20110428/F51133/1413/1", 80.98)</f>
        <v>80.98</v>
      </c>
      <c r="E8937" s="2">
        <v>61.01</v>
      </c>
      <c r="F8937" s="2">
        <v>2</v>
      </c>
      <c r="G8937" s="2" t="s">
        <v>13</v>
      </c>
    </row>
    <row r="8938" spans="1:9" x14ac:dyDescent="0.2">
      <c r="A8938" s="2" t="s">
        <v>3250</v>
      </c>
      <c r="B8938" s="2" t="s">
        <v>561</v>
      </c>
      <c r="C8938" s="2">
        <v>654.16859999999997</v>
      </c>
      <c r="D8938" s="2">
        <f>HYPERLINK("http://mcb-m6.bioreg.kyushu-u.ac.jp/M3/20110427/F51113/1584/1", 80.98)</f>
        <v>80.98</v>
      </c>
      <c r="E8938" s="2">
        <v>59.43</v>
      </c>
      <c r="F8938" s="2">
        <v>2</v>
      </c>
      <c r="G8938" s="2" t="s">
        <v>13</v>
      </c>
    </row>
    <row r="8939" spans="1:9" x14ac:dyDescent="0.2">
      <c r="A8939" s="2" t="s">
        <v>3250</v>
      </c>
      <c r="B8939" s="2" t="s">
        <v>77</v>
      </c>
      <c r="C8939" s="2">
        <v>574.58969999999999</v>
      </c>
      <c r="D8939" s="2">
        <f>HYPERLINK("http://mcb-m6.bioreg.kyushu-u.ac.jp/M3/20110427/F51117/1279/1", 81.16)</f>
        <v>81.16</v>
      </c>
      <c r="E8939" s="2">
        <v>59.4</v>
      </c>
      <c r="F8939" s="2">
        <v>2</v>
      </c>
      <c r="G8939" s="2" t="s">
        <v>13</v>
      </c>
    </row>
    <row r="8940" spans="1:9" x14ac:dyDescent="0.2">
      <c r="A8940" s="2" t="s">
        <v>3250</v>
      </c>
      <c r="B8940" s="2" t="s">
        <v>561</v>
      </c>
      <c r="C8940" s="2">
        <v>654.15620000000001</v>
      </c>
      <c r="D8940" s="2">
        <f>HYPERLINK("http://mcb-m6.bioreg.kyushu-u.ac.jp/M3/20110427/F51115/1586/1", 81.31)</f>
        <v>81.31</v>
      </c>
      <c r="E8940" s="2">
        <v>56.76</v>
      </c>
      <c r="F8940" s="2">
        <v>2</v>
      </c>
      <c r="G8940" s="2" t="s">
        <v>13</v>
      </c>
    </row>
    <row r="8941" spans="1:9" x14ac:dyDescent="0.2">
      <c r="A8941" s="2" t="s">
        <v>3250</v>
      </c>
      <c r="B8941" s="2" t="s">
        <v>2107</v>
      </c>
      <c r="C8941" s="2">
        <v>1019.5069999999999</v>
      </c>
      <c r="D8941" s="2">
        <f>HYPERLINK("http://mcb-m6.bioreg.kyushu-u.ac.jp/M3/20110427/F51117/3033/1", 81.31)</f>
        <v>81.31</v>
      </c>
      <c r="E8941" s="2">
        <v>48.04</v>
      </c>
      <c r="F8941" s="2">
        <v>2</v>
      </c>
      <c r="G8941" s="2" t="s">
        <v>13</v>
      </c>
    </row>
    <row r="8942" spans="1:9" x14ac:dyDescent="0.2">
      <c r="A8942" s="2" t="s">
        <v>3250</v>
      </c>
      <c r="B8942" s="2" t="s">
        <v>1065</v>
      </c>
      <c r="C8942" s="2">
        <v>716.63959999999997</v>
      </c>
      <c r="D8942" s="2">
        <f>HYPERLINK("http://mcb-m6.bioreg.kyushu-u.ac.jp/M3/20110428/F51127/1749/1", 81.54)</f>
        <v>81.540000000000006</v>
      </c>
      <c r="E8942" s="2">
        <v>67.06</v>
      </c>
      <c r="F8942" s="2">
        <v>2</v>
      </c>
      <c r="G8942" s="2" t="s">
        <v>13</v>
      </c>
      <c r="I8942" s="2" t="s">
        <v>4892</v>
      </c>
    </row>
    <row r="8943" spans="1:9" x14ac:dyDescent="0.2">
      <c r="A8943" s="2" t="s">
        <v>3250</v>
      </c>
      <c r="B8943" s="2" t="s">
        <v>772</v>
      </c>
      <c r="C8943" s="2">
        <v>595.56709999999998</v>
      </c>
      <c r="D8943" s="2">
        <f>HYPERLINK("http://mcb-m6.bioreg.kyushu-u.ac.jp/M3/20110428/F51132/1327/1", 81.62)</f>
        <v>81.62</v>
      </c>
      <c r="E8943" s="2">
        <v>37.31</v>
      </c>
      <c r="F8943" s="2">
        <v>2</v>
      </c>
      <c r="G8943" s="2" t="s">
        <v>13</v>
      </c>
    </row>
    <row r="8944" spans="1:9" x14ac:dyDescent="0.2">
      <c r="A8944" s="2" t="s">
        <v>3250</v>
      </c>
      <c r="B8944" s="2" t="s">
        <v>561</v>
      </c>
      <c r="C8944" s="2">
        <v>654.04319999999996</v>
      </c>
      <c r="D8944" s="2">
        <f>HYPERLINK("http://mcb-m6.bioreg.kyushu-u.ac.jp/M3/20110428/F51131/1358/1", 82.34)</f>
        <v>82.34</v>
      </c>
      <c r="E8944" s="2">
        <v>56.58</v>
      </c>
      <c r="F8944" s="2">
        <v>2</v>
      </c>
      <c r="G8944" s="2" t="s">
        <v>13</v>
      </c>
    </row>
    <row r="8945" spans="1:9" x14ac:dyDescent="0.2">
      <c r="A8945" s="2" t="s">
        <v>3250</v>
      </c>
      <c r="B8945" s="2" t="s">
        <v>356</v>
      </c>
      <c r="C8945" s="2">
        <v>815.74519999999995</v>
      </c>
      <c r="D8945" s="2">
        <f>HYPERLINK("http://mcb-m6.bioreg.kyushu-u.ac.jp/M3/20110428/F51131/2216/1", 82.58)</f>
        <v>82.58</v>
      </c>
      <c r="E8945" s="2">
        <v>70.22</v>
      </c>
      <c r="F8945" s="2">
        <v>2</v>
      </c>
      <c r="G8945" s="2" t="s">
        <v>13</v>
      </c>
    </row>
    <row r="8946" spans="1:9" x14ac:dyDescent="0.2">
      <c r="A8946" s="2" t="s">
        <v>3250</v>
      </c>
      <c r="B8946" s="2" t="s">
        <v>102</v>
      </c>
      <c r="C8946" s="2">
        <v>608.1182</v>
      </c>
      <c r="D8946" s="2">
        <f>HYPERLINK("http://mcb-m6.bioreg.kyushu-u.ac.jp/M3/20110427/F51117/1415/1", 82.78)</f>
        <v>82.78</v>
      </c>
      <c r="E8946" s="2">
        <v>57.64</v>
      </c>
      <c r="F8946" s="2">
        <v>2</v>
      </c>
      <c r="G8946" s="2" t="s">
        <v>13</v>
      </c>
    </row>
    <row r="8947" spans="1:9" x14ac:dyDescent="0.2">
      <c r="A8947" s="2" t="s">
        <v>3250</v>
      </c>
      <c r="B8947" s="2" t="s">
        <v>481</v>
      </c>
      <c r="C8947" s="2">
        <v>709.22519999999997</v>
      </c>
      <c r="D8947" s="2">
        <f>HYPERLINK("http://mcb-m6.bioreg.kyushu-u.ac.jp/M3/20110428/F51133/1717/1", 83.12)</f>
        <v>83.12</v>
      </c>
      <c r="E8947" s="2">
        <v>63.8</v>
      </c>
      <c r="F8947" s="2">
        <v>2</v>
      </c>
      <c r="G8947" s="2" t="s">
        <v>13</v>
      </c>
      <c r="I8947" s="2" t="s">
        <v>4898</v>
      </c>
    </row>
    <row r="8948" spans="1:9" x14ac:dyDescent="0.2">
      <c r="A8948" s="2" t="s">
        <v>3250</v>
      </c>
      <c r="B8948" s="2" t="s">
        <v>1065</v>
      </c>
      <c r="C8948" s="2">
        <v>716.66020000000003</v>
      </c>
      <c r="D8948" s="2">
        <f>HYPERLINK("http://mcb-m6.bioreg.kyushu-u.ac.jp/M3/20110427/F51108/1970/1", 84.16)</f>
        <v>84.16</v>
      </c>
      <c r="E8948" s="2">
        <v>65.8</v>
      </c>
      <c r="F8948" s="2">
        <v>2</v>
      </c>
      <c r="G8948" s="2" t="s">
        <v>13</v>
      </c>
      <c r="I8948" s="2" t="s">
        <v>4892</v>
      </c>
    </row>
    <row r="8949" spans="1:9" x14ac:dyDescent="0.2">
      <c r="A8949" s="2" t="s">
        <v>3250</v>
      </c>
      <c r="B8949" s="2" t="s">
        <v>1065</v>
      </c>
      <c r="C8949" s="2">
        <v>716.7432</v>
      </c>
      <c r="D8949" s="2">
        <f>HYPERLINK("http://mcb-m6.bioreg.kyushu-u.ac.jp/M3/20110427/F51116/1929/1", 84.17)</f>
        <v>84.17</v>
      </c>
      <c r="E8949" s="2">
        <v>72.739999999999995</v>
      </c>
      <c r="F8949" s="2">
        <v>2</v>
      </c>
      <c r="G8949" s="2" t="s">
        <v>13</v>
      </c>
      <c r="I8949" s="2" t="s">
        <v>4892</v>
      </c>
    </row>
    <row r="8950" spans="1:9" x14ac:dyDescent="0.2">
      <c r="A8950" s="2" t="s">
        <v>3250</v>
      </c>
      <c r="B8950" s="2" t="s">
        <v>1065</v>
      </c>
      <c r="C8950" s="2">
        <v>716.72469999999998</v>
      </c>
      <c r="D8950" s="2">
        <f>HYPERLINK("http://mcb-m6.bioreg.kyushu-u.ac.jp/M3/20110427/F51115/1877/1", 84.23)</f>
        <v>84.23</v>
      </c>
      <c r="E8950" s="2">
        <v>66.81</v>
      </c>
      <c r="F8950" s="2">
        <v>2</v>
      </c>
      <c r="G8950" s="2" t="s">
        <v>13</v>
      </c>
      <c r="I8950" s="2" t="s">
        <v>4892</v>
      </c>
    </row>
    <row r="8951" spans="1:9" x14ac:dyDescent="0.2">
      <c r="A8951" s="2" t="s">
        <v>3250</v>
      </c>
      <c r="B8951" s="2" t="s">
        <v>1255</v>
      </c>
      <c r="C8951" s="2">
        <v>1273.7909999999999</v>
      </c>
      <c r="D8951" s="2">
        <f>HYPERLINK("http://mcb-m6.bioreg.kyushu-u.ac.jp/M3/20110427/F51116/3582/1", 85)</f>
        <v>85</v>
      </c>
      <c r="E8951" s="2">
        <v>74.73</v>
      </c>
      <c r="F8951" s="2">
        <v>2</v>
      </c>
      <c r="G8951" s="2" t="s">
        <v>13</v>
      </c>
      <c r="I8951" s="2" t="s">
        <v>4906</v>
      </c>
    </row>
    <row r="8952" spans="1:9" x14ac:dyDescent="0.2">
      <c r="A8952" s="2" t="s">
        <v>3250</v>
      </c>
      <c r="B8952" s="2" t="s">
        <v>561</v>
      </c>
      <c r="C8952" s="2">
        <v>662.24019999999996</v>
      </c>
      <c r="D8952" s="2">
        <f>HYPERLINK("http://mcb-m6.bioreg.kyushu-u.ac.jp/M3/20110427/F51116/1633/1", 85.19)</f>
        <v>85.19</v>
      </c>
      <c r="E8952" s="2">
        <v>64.3</v>
      </c>
      <c r="F8952" s="2">
        <v>2</v>
      </c>
      <c r="G8952" s="2" t="s">
        <v>13</v>
      </c>
      <c r="H8952" s="2" t="s">
        <v>4919</v>
      </c>
    </row>
    <row r="8953" spans="1:9" x14ac:dyDescent="0.2">
      <c r="A8953" s="2" t="s">
        <v>3250</v>
      </c>
      <c r="B8953" s="2" t="s">
        <v>503</v>
      </c>
      <c r="C8953" s="2">
        <v>808.24770000000001</v>
      </c>
      <c r="D8953" s="2">
        <f>HYPERLINK("http://mcb-m6.bioreg.kyushu-u.ac.jp/M3/20110427/F51116/2392/1", 85.28)</f>
        <v>85.28</v>
      </c>
      <c r="E8953" s="2">
        <v>70.099999999999994</v>
      </c>
      <c r="F8953" s="2">
        <v>2</v>
      </c>
      <c r="G8953" s="2" t="s">
        <v>13</v>
      </c>
    </row>
    <row r="8954" spans="1:9" x14ac:dyDescent="0.2">
      <c r="A8954" s="2" t="s">
        <v>3250</v>
      </c>
      <c r="B8954" s="2" t="s">
        <v>356</v>
      </c>
      <c r="C8954" s="2">
        <v>816.03920000000005</v>
      </c>
      <c r="D8954" s="2">
        <f>HYPERLINK("http://mcb-m6.bioreg.kyushu-u.ac.jp/M3/20110428/F51133/2306/1", 85.51)</f>
        <v>85.51</v>
      </c>
      <c r="E8954" s="2">
        <v>65.930000000000007</v>
      </c>
      <c r="F8954" s="2">
        <v>2</v>
      </c>
      <c r="G8954" s="2" t="s">
        <v>13</v>
      </c>
    </row>
    <row r="8955" spans="1:9" x14ac:dyDescent="0.2">
      <c r="A8955" s="2" t="s">
        <v>3250</v>
      </c>
      <c r="B8955" s="2" t="s">
        <v>1065</v>
      </c>
      <c r="C8955" s="2">
        <v>716.73519999999996</v>
      </c>
      <c r="D8955" s="2">
        <f>HYPERLINK("http://mcb-m6.bioreg.kyushu-u.ac.jp/M3/20110427/F51109/2028/1", 85.56)</f>
        <v>85.56</v>
      </c>
      <c r="E8955" s="2">
        <v>74.38</v>
      </c>
      <c r="F8955" s="2">
        <v>2</v>
      </c>
      <c r="G8955" s="2" t="s">
        <v>13</v>
      </c>
      <c r="I8955" s="2" t="s">
        <v>4892</v>
      </c>
    </row>
    <row r="8956" spans="1:9" x14ac:dyDescent="0.2">
      <c r="A8956" s="2" t="s">
        <v>3250</v>
      </c>
      <c r="B8956" s="2" t="s">
        <v>481</v>
      </c>
      <c r="C8956" s="2">
        <v>709.46220000000005</v>
      </c>
      <c r="D8956" s="2">
        <f>HYPERLINK("http://mcb-m6.bioreg.kyushu-u.ac.jp/M3/20110427/F51110/2047/1", 85.62)</f>
        <v>85.62</v>
      </c>
      <c r="E8956" s="2">
        <v>54.32</v>
      </c>
      <c r="F8956" s="2">
        <v>2</v>
      </c>
      <c r="G8956" s="2" t="s">
        <v>13</v>
      </c>
      <c r="I8956" s="2" t="s">
        <v>4898</v>
      </c>
    </row>
    <row r="8957" spans="1:9" x14ac:dyDescent="0.2">
      <c r="A8957" s="2" t="s">
        <v>3250</v>
      </c>
      <c r="B8957" s="2" t="s">
        <v>481</v>
      </c>
      <c r="C8957" s="2">
        <v>709.19960000000003</v>
      </c>
      <c r="D8957" s="2">
        <f>HYPERLINK("http://mcb-m6.bioreg.kyushu-u.ac.jp/M3/20110427/F51113/1852/1", 85.78)</f>
        <v>85.78</v>
      </c>
      <c r="E8957" s="2">
        <v>65.61</v>
      </c>
      <c r="F8957" s="2">
        <v>2</v>
      </c>
      <c r="G8957" s="2" t="s">
        <v>13</v>
      </c>
      <c r="I8957" s="2" t="s">
        <v>4898</v>
      </c>
    </row>
    <row r="8958" spans="1:9" x14ac:dyDescent="0.2">
      <c r="A8958" s="2" t="s">
        <v>3250</v>
      </c>
      <c r="B8958" s="2" t="s">
        <v>467</v>
      </c>
      <c r="C8958" s="2">
        <v>691.66020000000003</v>
      </c>
      <c r="D8958" s="2">
        <f>HYPERLINK("http://mcb-m6.bioreg.kyushu-u.ac.jp/M3/20110427/F51113/1760/1", 86.05)</f>
        <v>86.05</v>
      </c>
      <c r="E8958" s="2">
        <v>58.36</v>
      </c>
      <c r="F8958" s="2">
        <v>2</v>
      </c>
      <c r="G8958" s="2" t="s">
        <v>13</v>
      </c>
    </row>
    <row r="8959" spans="1:9" x14ac:dyDescent="0.2">
      <c r="A8959" s="2" t="s">
        <v>3250</v>
      </c>
      <c r="B8959" s="2" t="s">
        <v>90</v>
      </c>
      <c r="C8959" s="2">
        <v>716.74469999999997</v>
      </c>
      <c r="D8959" s="2">
        <f>HYPERLINK("http://mcb-m6.bioreg.kyushu-u.ac.jp/M3/20110428/F51133/1773/1", 86.46)</f>
        <v>86.46</v>
      </c>
      <c r="E8959" s="2">
        <v>52.13</v>
      </c>
      <c r="F8959" s="2">
        <v>2</v>
      </c>
      <c r="G8959" s="2" t="s">
        <v>13</v>
      </c>
    </row>
    <row r="8960" spans="1:9" x14ac:dyDescent="0.2">
      <c r="A8960" s="2" t="s">
        <v>3250</v>
      </c>
      <c r="B8960" s="2" t="s">
        <v>365</v>
      </c>
      <c r="C8960" s="2">
        <v>848.81269999999995</v>
      </c>
      <c r="D8960" s="2">
        <f>HYPERLINK("http://mcb-m6.bioreg.kyushu-u.ac.jp/M3/20110428/F51133/2428/1", 86.51)</f>
        <v>86.51</v>
      </c>
      <c r="E8960" s="2">
        <v>68.08</v>
      </c>
      <c r="F8960" s="2">
        <v>2</v>
      </c>
      <c r="G8960" s="2" t="s">
        <v>13</v>
      </c>
    </row>
    <row r="8961" spans="1:9" x14ac:dyDescent="0.2">
      <c r="A8961" s="2" t="s">
        <v>3250</v>
      </c>
      <c r="B8961" s="2" t="s">
        <v>772</v>
      </c>
      <c r="C8961" s="2">
        <v>595.62220000000002</v>
      </c>
      <c r="D8961" s="2">
        <f>HYPERLINK("http://mcb-m6.bioreg.kyushu-u.ac.jp/M3/20110427/F51117/1365/1", 86.73)</f>
        <v>86.73</v>
      </c>
      <c r="E8961" s="2">
        <v>42.45</v>
      </c>
      <c r="F8961" s="2">
        <v>2</v>
      </c>
      <c r="G8961" s="2" t="s">
        <v>13</v>
      </c>
    </row>
    <row r="8962" spans="1:9" x14ac:dyDescent="0.2">
      <c r="A8962" s="2" t="s">
        <v>3250</v>
      </c>
      <c r="B8962" s="2" t="s">
        <v>481</v>
      </c>
      <c r="C8962" s="2">
        <v>709.26419999999996</v>
      </c>
      <c r="D8962" s="2">
        <f>HYPERLINK("http://mcb-m6.bioreg.kyushu-u.ac.jp/M3/20110427/F51117/1839/1", 86.85)</f>
        <v>86.85</v>
      </c>
      <c r="E8962" s="2">
        <v>66.25</v>
      </c>
      <c r="F8962" s="2">
        <v>2</v>
      </c>
      <c r="G8962" s="2" t="s">
        <v>13</v>
      </c>
      <c r="I8962" s="2" t="s">
        <v>4898</v>
      </c>
    </row>
    <row r="8963" spans="1:9" x14ac:dyDescent="0.2">
      <c r="A8963" s="2" t="s">
        <v>3250</v>
      </c>
      <c r="B8963" s="2" t="s">
        <v>356</v>
      </c>
      <c r="C8963" s="2">
        <v>816.35770000000002</v>
      </c>
      <c r="D8963" s="2">
        <f>HYPERLINK("http://mcb-m6.bioreg.kyushu-u.ac.jp/M3/20110428/F51131/2218/1", 86.93)</f>
        <v>86.93</v>
      </c>
      <c r="E8963" s="2">
        <v>69.819999999999993</v>
      </c>
      <c r="F8963" s="2">
        <v>2</v>
      </c>
      <c r="G8963" s="2" t="s">
        <v>13</v>
      </c>
    </row>
    <row r="8964" spans="1:9" x14ac:dyDescent="0.2">
      <c r="A8964" s="2" t="s">
        <v>3250</v>
      </c>
      <c r="B8964" s="2" t="s">
        <v>467</v>
      </c>
      <c r="C8964" s="2">
        <v>691.66859999999997</v>
      </c>
      <c r="D8964" s="2">
        <f>HYPERLINK("http://mcb-m6.bioreg.kyushu-u.ac.jp/M3/20110428/F51132/1714/1", 86.94)</f>
        <v>86.94</v>
      </c>
      <c r="E8964" s="2">
        <v>57.23</v>
      </c>
      <c r="F8964" s="2">
        <v>2</v>
      </c>
      <c r="G8964" s="2" t="s">
        <v>13</v>
      </c>
    </row>
    <row r="8965" spans="1:9" x14ac:dyDescent="0.2">
      <c r="A8965" s="2" t="s">
        <v>3250</v>
      </c>
      <c r="B8965" s="2" t="s">
        <v>503</v>
      </c>
      <c r="C8965" s="2">
        <v>808.58720000000005</v>
      </c>
      <c r="D8965" s="2">
        <f>HYPERLINK("http://mcb-m6.bioreg.kyushu-u.ac.jp/M3/20110428/F51133/2264/1", 86.99)</f>
        <v>86.99</v>
      </c>
      <c r="E8965" s="2">
        <v>73.22</v>
      </c>
      <c r="F8965" s="2">
        <v>2</v>
      </c>
      <c r="G8965" s="2" t="s">
        <v>13</v>
      </c>
    </row>
    <row r="8966" spans="1:9" x14ac:dyDescent="0.2">
      <c r="A8966" s="2" t="s">
        <v>3250</v>
      </c>
      <c r="B8966" s="2" t="s">
        <v>561</v>
      </c>
      <c r="C8966" s="2">
        <v>654.19370000000004</v>
      </c>
      <c r="D8966" s="2">
        <f>HYPERLINK("http://mcb-m6.bioreg.kyushu-u.ac.jp/M3/20110428/F51133/1414/1", 87.1)</f>
        <v>87.1</v>
      </c>
      <c r="E8966" s="2">
        <v>67.78</v>
      </c>
      <c r="F8966" s="2">
        <v>2</v>
      </c>
      <c r="G8966" s="2" t="s">
        <v>13</v>
      </c>
    </row>
    <row r="8967" spans="1:9" x14ac:dyDescent="0.2">
      <c r="A8967" s="2" t="s">
        <v>3250</v>
      </c>
      <c r="B8967" s="2" t="s">
        <v>467</v>
      </c>
      <c r="C8967" s="2">
        <v>691.61159999999995</v>
      </c>
      <c r="D8967" s="2">
        <f>HYPERLINK("http://mcb-m6.bioreg.kyushu-u.ac.jp/M3/20110428/F51127/1610/1", 87.17)</f>
        <v>87.17</v>
      </c>
      <c r="E8967" s="2">
        <v>61.72</v>
      </c>
      <c r="F8967" s="2">
        <v>2</v>
      </c>
      <c r="G8967" s="2" t="s">
        <v>13</v>
      </c>
    </row>
    <row r="8968" spans="1:9" x14ac:dyDescent="0.2">
      <c r="A8968" s="2" t="s">
        <v>3250</v>
      </c>
      <c r="B8968" s="2" t="s">
        <v>90</v>
      </c>
      <c r="C8968" s="2">
        <v>716.68769999999995</v>
      </c>
      <c r="D8968" s="2">
        <f>HYPERLINK("http://mcb-m6.bioreg.kyushu-u.ac.jp/M3/20110427/F51115/1876/1", 87.32)</f>
        <v>87.32</v>
      </c>
      <c r="E8968" s="2">
        <v>62.93</v>
      </c>
      <c r="F8968" s="2">
        <v>2</v>
      </c>
      <c r="G8968" s="2" t="s">
        <v>13</v>
      </c>
    </row>
    <row r="8969" spans="1:9" x14ac:dyDescent="0.2">
      <c r="A8969" s="2" t="s">
        <v>3250</v>
      </c>
      <c r="B8969" s="2" t="s">
        <v>467</v>
      </c>
      <c r="C8969" s="2">
        <v>691.54020000000003</v>
      </c>
      <c r="D8969" s="2">
        <f>HYPERLINK("http://mcb-m6.bioreg.kyushu-u.ac.jp/M3/20110427/F51109/1934/1", 88.17)</f>
        <v>88.17</v>
      </c>
      <c r="E8969" s="2">
        <v>60.57</v>
      </c>
      <c r="F8969" s="2">
        <v>2</v>
      </c>
      <c r="G8969" s="2" t="s">
        <v>13</v>
      </c>
    </row>
    <row r="8970" spans="1:9" x14ac:dyDescent="0.2">
      <c r="A8970" s="2" t="s">
        <v>3250</v>
      </c>
      <c r="B8970" s="2" t="s">
        <v>102</v>
      </c>
      <c r="C8970" s="2">
        <v>616.11019999999996</v>
      </c>
      <c r="D8970" s="2">
        <f>HYPERLINK("http://mcb-m6.bioreg.kyushu-u.ac.jp/M3/20110427/F51115/1492/1", 88.43)</f>
        <v>88.43</v>
      </c>
      <c r="E8970" s="2">
        <v>67.55</v>
      </c>
      <c r="F8970" s="2">
        <v>2</v>
      </c>
      <c r="G8970" s="2" t="s">
        <v>13</v>
      </c>
      <c r="H8970" s="2" t="s">
        <v>4900</v>
      </c>
    </row>
    <row r="8971" spans="1:9" x14ac:dyDescent="0.2">
      <c r="A8971" s="2" t="s">
        <v>3250</v>
      </c>
      <c r="B8971" s="2" t="s">
        <v>77</v>
      </c>
      <c r="C8971" s="2">
        <v>574.55970000000002</v>
      </c>
      <c r="D8971" s="2">
        <f>HYPERLINK("http://mcb-m6.bioreg.kyushu-u.ac.jp/M3/20110428/F51127/1065/1", 88.59)</f>
        <v>88.59</v>
      </c>
      <c r="E8971" s="2">
        <v>62.84</v>
      </c>
      <c r="F8971" s="2">
        <v>2</v>
      </c>
      <c r="G8971" s="2" t="s">
        <v>13</v>
      </c>
    </row>
    <row r="8972" spans="1:9" x14ac:dyDescent="0.2">
      <c r="A8972" s="2" t="s">
        <v>3250</v>
      </c>
      <c r="B8972" s="2" t="s">
        <v>481</v>
      </c>
      <c r="C8972" s="2">
        <v>709.42219999999998</v>
      </c>
      <c r="D8972" s="2">
        <f>HYPERLINK("http://mcb-m6.bioreg.kyushu-u.ac.jp/M3/20110428/F51131/1636/1", 88.98)</f>
        <v>88.98</v>
      </c>
      <c r="E8972" s="2">
        <v>59.69</v>
      </c>
      <c r="F8972" s="2">
        <v>2</v>
      </c>
      <c r="G8972" s="2" t="s">
        <v>13</v>
      </c>
      <c r="I8972" s="2" t="s">
        <v>4898</v>
      </c>
    </row>
    <row r="8973" spans="1:9" x14ac:dyDescent="0.2">
      <c r="A8973" s="2" t="s">
        <v>3250</v>
      </c>
      <c r="B8973" s="2" t="s">
        <v>561</v>
      </c>
      <c r="C8973" s="2">
        <v>662.1191</v>
      </c>
      <c r="D8973" s="2">
        <f>HYPERLINK("http://mcb-m6.bioreg.kyushu-u.ac.jp/M3/20110427/F51113/1605/1", 90.99)</f>
        <v>90.99</v>
      </c>
      <c r="E8973" s="2">
        <v>75.7</v>
      </c>
      <c r="F8973" s="2">
        <v>2</v>
      </c>
      <c r="G8973" s="2" t="s">
        <v>13</v>
      </c>
      <c r="H8973" s="2" t="s">
        <v>4919</v>
      </c>
    </row>
    <row r="8974" spans="1:9" x14ac:dyDescent="0.2">
      <c r="A8974" s="2" t="s">
        <v>3250</v>
      </c>
      <c r="B8974" s="2" t="s">
        <v>503</v>
      </c>
      <c r="C8974" s="2">
        <v>808.23720000000003</v>
      </c>
      <c r="D8974" s="2">
        <f>HYPERLINK("http://mcb-m6.bioreg.kyushu-u.ac.jp/M3/20110427/F51115/2296/1", 91.05)</f>
        <v>91.05</v>
      </c>
      <c r="E8974" s="2">
        <v>76.099999999999994</v>
      </c>
      <c r="F8974" s="2">
        <v>2</v>
      </c>
      <c r="G8974" s="2" t="s">
        <v>13</v>
      </c>
    </row>
    <row r="8975" spans="1:9" x14ac:dyDescent="0.2">
      <c r="A8975" s="2" t="s">
        <v>3250</v>
      </c>
      <c r="B8975" s="2" t="s">
        <v>772</v>
      </c>
      <c r="C8975" s="2">
        <v>595.67219999999998</v>
      </c>
      <c r="D8975" s="2">
        <f>HYPERLINK("http://mcb-m6.bioreg.kyushu-u.ac.jp/M3/20110428/F51127/1185/1", 91.09)</f>
        <v>91.09</v>
      </c>
      <c r="E8975" s="2">
        <v>46.92</v>
      </c>
      <c r="F8975" s="2">
        <v>2</v>
      </c>
      <c r="G8975" s="2" t="s">
        <v>13</v>
      </c>
    </row>
    <row r="8976" spans="1:9" x14ac:dyDescent="0.2">
      <c r="A8976" s="2" t="s">
        <v>3250</v>
      </c>
      <c r="B8976" s="2" t="s">
        <v>772</v>
      </c>
      <c r="C8976" s="2">
        <v>595.59010000000001</v>
      </c>
      <c r="D8976" s="2">
        <f>HYPERLINK("http://mcb-m6.bioreg.kyushu-u.ac.jp/M3/20110427/F51116/1422/1", 91.24)</f>
        <v>91.24</v>
      </c>
      <c r="E8976" s="2">
        <v>55.95</v>
      </c>
      <c r="F8976" s="2">
        <v>2</v>
      </c>
      <c r="G8976" s="2" t="s">
        <v>13</v>
      </c>
    </row>
    <row r="8977" spans="1:9" x14ac:dyDescent="0.2">
      <c r="A8977" s="2" t="s">
        <v>3250</v>
      </c>
      <c r="B8977" s="2" t="s">
        <v>481</v>
      </c>
      <c r="C8977" s="2">
        <v>709.17859999999996</v>
      </c>
      <c r="D8977" s="2">
        <f>HYPERLINK("http://mcb-m6.bioreg.kyushu-u.ac.jp/M3/20110428/F51132/1811/1", 91.26)</f>
        <v>91.26</v>
      </c>
      <c r="E8977" s="2">
        <v>69.599999999999994</v>
      </c>
      <c r="F8977" s="2">
        <v>2</v>
      </c>
      <c r="G8977" s="2" t="s">
        <v>13</v>
      </c>
      <c r="I8977" s="2" t="s">
        <v>4898</v>
      </c>
    </row>
    <row r="8978" spans="1:9" x14ac:dyDescent="0.2">
      <c r="A8978" s="2" t="s">
        <v>3250</v>
      </c>
      <c r="B8978" s="2" t="s">
        <v>481</v>
      </c>
      <c r="C8978" s="2">
        <v>709.1807</v>
      </c>
      <c r="D8978" s="2">
        <f>HYPERLINK("http://mcb-m6.bioreg.kyushu-u.ac.jp/M3/20110427/F51109/1991/1", 91.43)</f>
        <v>91.43</v>
      </c>
      <c r="E8978" s="2">
        <v>67.040000000000006</v>
      </c>
      <c r="F8978" s="2">
        <v>2</v>
      </c>
      <c r="G8978" s="2" t="s">
        <v>13</v>
      </c>
      <c r="I8978" s="2" t="s">
        <v>4898</v>
      </c>
    </row>
    <row r="8979" spans="1:9" x14ac:dyDescent="0.2">
      <c r="A8979" s="2" t="s">
        <v>3250</v>
      </c>
      <c r="B8979" s="2" t="s">
        <v>561</v>
      </c>
      <c r="C8979" s="2">
        <v>654.36320000000001</v>
      </c>
      <c r="D8979" s="2">
        <f>HYPERLINK("http://mcb-m6.bioreg.kyushu-u.ac.jp/M3/20110427/F51109/1841/1", 91.56)</f>
        <v>91.56</v>
      </c>
      <c r="E8979" s="2">
        <v>64.88</v>
      </c>
      <c r="F8979" s="2">
        <v>2</v>
      </c>
      <c r="G8979" s="2" t="s">
        <v>13</v>
      </c>
    </row>
    <row r="8980" spans="1:9" x14ac:dyDescent="0.2">
      <c r="A8980" s="2" t="s">
        <v>3250</v>
      </c>
      <c r="B8980" s="2" t="s">
        <v>503</v>
      </c>
      <c r="C8980" s="2">
        <v>808.79610000000002</v>
      </c>
      <c r="D8980" s="2">
        <f>HYPERLINK("http://mcb-m6.bioreg.kyushu-u.ac.jp/M3/20110427/F51117/2330/1", 91.59)</f>
        <v>91.59</v>
      </c>
      <c r="E8980" s="2">
        <v>73.12</v>
      </c>
      <c r="F8980" s="2">
        <v>2</v>
      </c>
      <c r="G8980" s="2" t="s">
        <v>13</v>
      </c>
    </row>
    <row r="8981" spans="1:9" x14ac:dyDescent="0.2">
      <c r="A8981" s="2" t="s">
        <v>3250</v>
      </c>
      <c r="B8981" s="2" t="s">
        <v>90</v>
      </c>
      <c r="C8981" s="2">
        <v>716.72919999999999</v>
      </c>
      <c r="D8981" s="2">
        <f>HYPERLINK("http://mcb-m6.bioreg.kyushu-u.ac.jp/M3/20110428/F51131/1677/1", 92.22)</f>
        <v>92.22</v>
      </c>
      <c r="E8981" s="2">
        <v>69.8</v>
      </c>
      <c r="F8981" s="2">
        <v>2</v>
      </c>
      <c r="G8981" s="2" t="s">
        <v>13</v>
      </c>
    </row>
    <row r="8982" spans="1:9" x14ac:dyDescent="0.2">
      <c r="A8982" s="2" t="s">
        <v>3250</v>
      </c>
      <c r="B8982" s="2" t="s">
        <v>90</v>
      </c>
      <c r="C8982" s="2">
        <v>1432.433</v>
      </c>
      <c r="D8982" s="2">
        <f>HYPERLINK("http://mcb-m6.bioreg.kyushu-u.ac.jp/M3/20110427/F51117/1879/1", 92.95)</f>
        <v>92.95</v>
      </c>
      <c r="E8982" s="2">
        <v>76.12</v>
      </c>
      <c r="F8982" s="2">
        <v>1</v>
      </c>
      <c r="G8982" s="2" t="s">
        <v>13</v>
      </c>
    </row>
    <row r="8983" spans="1:9" x14ac:dyDescent="0.2">
      <c r="A8983" s="2" t="s">
        <v>3250</v>
      </c>
      <c r="B8983" s="2" t="s">
        <v>90</v>
      </c>
      <c r="C8983" s="2">
        <v>1432.4349999999999</v>
      </c>
      <c r="D8983" s="2">
        <f>HYPERLINK("http://mcb-m6.bioreg.kyushu-u.ac.jp/M3/20110427/F51109/2027/1", 92.99)</f>
        <v>92.99</v>
      </c>
      <c r="E8983" s="2">
        <v>75.790000000000006</v>
      </c>
      <c r="F8983" s="2">
        <v>1</v>
      </c>
      <c r="G8983" s="2" t="s">
        <v>13</v>
      </c>
    </row>
    <row r="8984" spans="1:9" x14ac:dyDescent="0.2">
      <c r="A8984" s="2" t="s">
        <v>3250</v>
      </c>
      <c r="B8984" s="2" t="s">
        <v>481</v>
      </c>
      <c r="C8984" s="2">
        <v>709.21770000000004</v>
      </c>
      <c r="D8984" s="2">
        <f>HYPERLINK("http://mcb-m6.bioreg.kyushu-u.ac.jp/M3/20110427/F51111/1993/1", 94.58)</f>
        <v>94.58</v>
      </c>
      <c r="E8984" s="2">
        <v>72.27</v>
      </c>
      <c r="F8984" s="2">
        <v>2</v>
      </c>
      <c r="G8984" s="2" t="s">
        <v>13</v>
      </c>
      <c r="I8984" s="2" t="s">
        <v>4898</v>
      </c>
    </row>
    <row r="8985" spans="1:9" x14ac:dyDescent="0.2">
      <c r="A8985" s="2" t="s">
        <v>3250</v>
      </c>
      <c r="B8985" s="2" t="s">
        <v>481</v>
      </c>
      <c r="C8985" s="2">
        <v>709.27260000000001</v>
      </c>
      <c r="D8985" s="2">
        <f>HYPERLINK("http://mcb-m6.bioreg.kyushu-u.ac.jp/M3/20110427/F51112/1944/1", 94.75)</f>
        <v>94.75</v>
      </c>
      <c r="E8985" s="2">
        <v>70.66</v>
      </c>
      <c r="F8985" s="2">
        <v>2</v>
      </c>
      <c r="G8985" s="2" t="s">
        <v>13</v>
      </c>
      <c r="I8985" s="2" t="s">
        <v>4898</v>
      </c>
    </row>
    <row r="8986" spans="1:9" x14ac:dyDescent="0.2">
      <c r="A8986" s="2" t="s">
        <v>3250</v>
      </c>
      <c r="B8986" s="2" t="s">
        <v>356</v>
      </c>
      <c r="C8986" s="2">
        <v>815.88210000000004</v>
      </c>
      <c r="D8986" s="2">
        <f>HYPERLINK("http://mcb-m6.bioreg.kyushu-u.ac.jp/M3/20110427/F51110/2478/1", 94.81)</f>
        <v>94.81</v>
      </c>
      <c r="E8986" s="2">
        <v>69.099999999999994</v>
      </c>
      <c r="F8986" s="2">
        <v>2</v>
      </c>
      <c r="G8986" s="2" t="s">
        <v>13</v>
      </c>
    </row>
    <row r="8987" spans="1:9" x14ac:dyDescent="0.2">
      <c r="A8987" s="2" t="s">
        <v>3250</v>
      </c>
      <c r="B8987" s="2" t="s">
        <v>467</v>
      </c>
      <c r="C8987" s="2">
        <v>691.87369999999999</v>
      </c>
      <c r="D8987" s="2">
        <f>HYPERLINK("http://mcb-m6.bioreg.kyushu-u.ac.jp/M3/20110427/F51112/1852/1", 95.43)</f>
        <v>95.43</v>
      </c>
      <c r="E8987" s="2">
        <v>65.17</v>
      </c>
      <c r="F8987" s="2">
        <v>2</v>
      </c>
      <c r="G8987" s="2" t="s">
        <v>13</v>
      </c>
    </row>
    <row r="8988" spans="1:9" x14ac:dyDescent="0.2">
      <c r="A8988" s="2" t="s">
        <v>3250</v>
      </c>
      <c r="B8988" s="2" t="s">
        <v>356</v>
      </c>
      <c r="C8988" s="2">
        <v>816.18520000000001</v>
      </c>
      <c r="D8988" s="2">
        <f>HYPERLINK("http://mcb-m6.bioreg.kyushu-u.ac.jp/M3/20110427/F51112/2451/1", 96.13)</f>
        <v>96.13</v>
      </c>
      <c r="E8988" s="2">
        <v>80.790000000000006</v>
      </c>
      <c r="F8988" s="2">
        <v>2</v>
      </c>
      <c r="G8988" s="2" t="s">
        <v>13</v>
      </c>
    </row>
    <row r="8989" spans="1:9" x14ac:dyDescent="0.2">
      <c r="A8989" s="2" t="s">
        <v>3250</v>
      </c>
      <c r="B8989" s="2" t="s">
        <v>356</v>
      </c>
      <c r="C8989" s="2">
        <v>815.65869999999995</v>
      </c>
      <c r="D8989" s="2">
        <f>HYPERLINK("http://mcb-m6.bioreg.kyushu-u.ac.jp/M3/20110427/F51108/2342/1", 96.22)</f>
        <v>96.22</v>
      </c>
      <c r="E8989" s="2">
        <v>79.260000000000005</v>
      </c>
      <c r="F8989" s="2">
        <v>2</v>
      </c>
      <c r="G8989" s="2" t="s">
        <v>13</v>
      </c>
    </row>
    <row r="8990" spans="1:9" x14ac:dyDescent="0.2">
      <c r="A8990" s="2" t="s">
        <v>3250</v>
      </c>
      <c r="B8990" s="2" t="s">
        <v>561</v>
      </c>
      <c r="C8990" s="2">
        <v>662.19759999999997</v>
      </c>
      <c r="D8990" s="2">
        <f>HYPERLINK("http://mcb-m6.bioreg.kyushu-u.ac.jp/M3/20110427/F51117/1595/1", 96.43)</f>
        <v>96.43</v>
      </c>
      <c r="E8990" s="2">
        <v>72.97</v>
      </c>
      <c r="F8990" s="2">
        <v>2</v>
      </c>
      <c r="G8990" s="2" t="s">
        <v>13</v>
      </c>
      <c r="H8990" s="2" t="s">
        <v>4919</v>
      </c>
    </row>
    <row r="8991" spans="1:9" x14ac:dyDescent="0.2">
      <c r="A8991" s="2" t="s">
        <v>3250</v>
      </c>
      <c r="B8991" s="2" t="s">
        <v>90</v>
      </c>
      <c r="C8991" s="2">
        <v>717.05319999999995</v>
      </c>
      <c r="D8991" s="2">
        <f>HYPERLINK("http://mcb-m6.bioreg.kyushu-u.ac.jp/M3/20110427/F51108/1972/1", 96.64)</f>
        <v>96.64</v>
      </c>
      <c r="E8991" s="2">
        <v>71.819999999999993</v>
      </c>
      <c r="F8991" s="2">
        <v>2</v>
      </c>
      <c r="G8991" s="2" t="s">
        <v>13</v>
      </c>
    </row>
    <row r="8992" spans="1:9" x14ac:dyDescent="0.2">
      <c r="A8992" s="2" t="s">
        <v>3250</v>
      </c>
      <c r="B8992" s="2" t="s">
        <v>90</v>
      </c>
      <c r="C8992" s="2">
        <v>716.63070000000005</v>
      </c>
      <c r="D8992" s="2">
        <f>HYPERLINK("http://mcb-m6.bioreg.kyushu-u.ac.jp/M3/20110427/F51113/1898/1", 97)</f>
        <v>97</v>
      </c>
      <c r="E8992" s="2">
        <v>72.599999999999994</v>
      </c>
      <c r="F8992" s="2">
        <v>2</v>
      </c>
      <c r="G8992" s="2" t="s">
        <v>13</v>
      </c>
    </row>
    <row r="8993" spans="1:9" x14ac:dyDescent="0.2">
      <c r="A8993" s="2" t="s">
        <v>3250</v>
      </c>
      <c r="B8993" s="2" t="s">
        <v>356</v>
      </c>
      <c r="C8993" s="2">
        <v>815.71370000000002</v>
      </c>
      <c r="D8993" s="2">
        <f>HYPERLINK("http://mcb-m6.bioreg.kyushu-u.ac.jp/M3/20110427/F51115/2325/1", 97.1)</f>
        <v>97.1</v>
      </c>
      <c r="E8993" s="2">
        <v>79.03</v>
      </c>
      <c r="F8993" s="2">
        <v>2</v>
      </c>
      <c r="G8993" s="2" t="s">
        <v>13</v>
      </c>
    </row>
    <row r="8994" spans="1:9" x14ac:dyDescent="0.2">
      <c r="A8994" s="2" t="s">
        <v>3250</v>
      </c>
      <c r="B8994" s="2" t="s">
        <v>1521</v>
      </c>
      <c r="C8994" s="2">
        <v>989.29110000000003</v>
      </c>
      <c r="D8994" s="2">
        <f>HYPERLINK("http://mcb-m6.bioreg.kyushu-u.ac.jp/M3/20110428/F51131/2925/1", 98.33)</f>
        <v>98.33</v>
      </c>
      <c r="E8994" s="2">
        <v>86.48</v>
      </c>
      <c r="F8994" s="2">
        <v>2</v>
      </c>
      <c r="G8994" s="2" t="s">
        <v>13</v>
      </c>
    </row>
    <row r="8995" spans="1:9" x14ac:dyDescent="0.2">
      <c r="A8995" s="2" t="s">
        <v>3250</v>
      </c>
      <c r="B8995" s="2" t="s">
        <v>561</v>
      </c>
      <c r="C8995" s="2">
        <v>662.11320000000001</v>
      </c>
      <c r="D8995" s="2">
        <f>HYPERLINK("http://mcb-m6.bioreg.kyushu-u.ac.jp/M3/20110427/F51108/1732/1", 101.55)</f>
        <v>101.55</v>
      </c>
      <c r="E8995" s="2">
        <v>74.540000000000006</v>
      </c>
      <c r="F8995" s="2">
        <v>2</v>
      </c>
      <c r="G8995" s="2" t="s">
        <v>13</v>
      </c>
      <c r="H8995" s="2" t="s">
        <v>4919</v>
      </c>
    </row>
    <row r="8996" spans="1:9" x14ac:dyDescent="0.2">
      <c r="A8996" s="2" t="s">
        <v>3250</v>
      </c>
      <c r="B8996" s="2" t="s">
        <v>467</v>
      </c>
      <c r="C8996" s="2">
        <v>691.62959999999998</v>
      </c>
      <c r="D8996" s="2">
        <f>HYPERLINK("http://mcb-m6.bioreg.kyushu-u.ac.jp/M3/20110427/F51115/1758/1", 103.06)</f>
        <v>103.06</v>
      </c>
      <c r="E8996" s="2">
        <v>67.98</v>
      </c>
      <c r="F8996" s="2">
        <v>2</v>
      </c>
      <c r="G8996" s="2" t="s">
        <v>13</v>
      </c>
    </row>
    <row r="8997" spans="1:9" x14ac:dyDescent="0.2">
      <c r="A8997" s="2" t="s">
        <v>3250</v>
      </c>
      <c r="B8997" s="2" t="s">
        <v>90</v>
      </c>
      <c r="C8997" s="2">
        <v>716.59119999999996</v>
      </c>
      <c r="D8997" s="2">
        <f>HYPERLINK("http://mcb-m6.bioreg.kyushu-u.ac.jp/M3/20110428/F51132/1862/1", 109.66)</f>
        <v>109.66</v>
      </c>
      <c r="E8997" s="2">
        <v>81.47</v>
      </c>
      <c r="F8997" s="2">
        <v>2</v>
      </c>
      <c r="G8997" s="2" t="s">
        <v>13</v>
      </c>
    </row>
    <row r="8998" spans="1:9" x14ac:dyDescent="0.2">
      <c r="A8998" s="2" t="s">
        <v>3250</v>
      </c>
      <c r="B8998" s="2" t="s">
        <v>90</v>
      </c>
      <c r="C8998" s="2">
        <v>716.69569999999999</v>
      </c>
      <c r="D8998" s="2">
        <f>HYPERLINK("http://mcb-m6.bioreg.kyushu-u.ac.jp/M3/20110427/F51110/2075/1", 111.58)</f>
        <v>111.58</v>
      </c>
      <c r="E8998" s="2">
        <v>88.63</v>
      </c>
      <c r="F8998" s="2">
        <v>2</v>
      </c>
      <c r="G8998" s="2" t="s">
        <v>13</v>
      </c>
    </row>
    <row r="8999" spans="1:9" x14ac:dyDescent="0.2">
      <c r="A8999" s="2" t="s">
        <v>3250</v>
      </c>
      <c r="B8999" s="2" t="s">
        <v>356</v>
      </c>
      <c r="C8999" s="2">
        <v>816.33169999999996</v>
      </c>
      <c r="D8999" s="2">
        <f>HYPERLINK("http://mcb-m6.bioreg.kyushu-u.ac.jp/M3/20110427/F51113/2331/1", 112.87)</f>
        <v>112.87</v>
      </c>
      <c r="E8999" s="2">
        <v>95.15</v>
      </c>
      <c r="F8999" s="2">
        <v>2</v>
      </c>
      <c r="G8999" s="2" t="s">
        <v>13</v>
      </c>
    </row>
    <row r="9000" spans="1:9" x14ac:dyDescent="0.2">
      <c r="A9000" s="2" t="s">
        <v>3250</v>
      </c>
      <c r="B9000" s="2" t="s">
        <v>356</v>
      </c>
      <c r="C9000" s="2">
        <v>815.8922</v>
      </c>
      <c r="D9000" s="2">
        <f>HYPERLINK("http://mcb-m6.bioreg.kyushu-u.ac.jp/M3/20110427/F51109/2315/1", 113.33)</f>
        <v>113.33</v>
      </c>
      <c r="E9000" s="2">
        <v>95.35</v>
      </c>
      <c r="F9000" s="2">
        <v>2</v>
      </c>
      <c r="G9000" s="2" t="s">
        <v>13</v>
      </c>
    </row>
    <row r="9001" spans="1:9" x14ac:dyDescent="0.2">
      <c r="A9001" s="2" t="s">
        <v>3250</v>
      </c>
      <c r="B9001" s="2" t="s">
        <v>90</v>
      </c>
      <c r="C9001" s="2">
        <v>717.06320000000005</v>
      </c>
      <c r="D9001" s="2">
        <f>HYPERLINK("http://mcb-m6.bioreg.kyushu-u.ac.jp/M3/20110427/F51109/2030/1", 117.28)</f>
        <v>117.28</v>
      </c>
      <c r="E9001" s="2">
        <v>92.33</v>
      </c>
      <c r="F9001" s="2">
        <v>2</v>
      </c>
      <c r="G9001" s="2" t="s">
        <v>13</v>
      </c>
    </row>
    <row r="9002" spans="1:9" x14ac:dyDescent="0.2">
      <c r="A9002" s="2" t="s">
        <v>3250</v>
      </c>
      <c r="B9002" s="2" t="s">
        <v>77</v>
      </c>
      <c r="C9002" s="2">
        <v>1148.3009999999999</v>
      </c>
      <c r="D9002" s="2">
        <f>HYPERLINK("http://mcb-m6.bioreg.kyushu-u.ac.jp/M3/20110428/F51126/1439/1", 35.18)</f>
        <v>35.18</v>
      </c>
      <c r="E9002" s="2">
        <v>15.67</v>
      </c>
      <c r="F9002" s="2">
        <v>1</v>
      </c>
      <c r="G9002" s="2" t="s">
        <v>14</v>
      </c>
    </row>
    <row r="9003" spans="1:9" x14ac:dyDescent="0.2">
      <c r="A9003" s="2" t="s">
        <v>3250</v>
      </c>
      <c r="B9003" s="2" t="s">
        <v>102</v>
      </c>
      <c r="C9003" s="2">
        <v>1215.3389999999999</v>
      </c>
      <c r="D9003" s="2">
        <f>HYPERLINK("http://mcb-m6.bioreg.kyushu-u.ac.jp/M3/20110427/F51124/1505/1", 35.77)</f>
        <v>35.770000000000003</v>
      </c>
      <c r="E9003" s="2">
        <v>21.43</v>
      </c>
      <c r="F9003" s="2">
        <v>1</v>
      </c>
      <c r="G9003" s="2" t="s">
        <v>14</v>
      </c>
    </row>
    <row r="9004" spans="1:9" x14ac:dyDescent="0.2">
      <c r="A9004" s="2" t="s">
        <v>3250</v>
      </c>
      <c r="B9004" s="2" t="s">
        <v>1065</v>
      </c>
      <c r="C9004" s="2">
        <v>716.58669999999995</v>
      </c>
      <c r="D9004" s="2">
        <f>HYPERLINK("http://mcb-m6.bioreg.kyushu-u.ac.jp/M3/20110428/F51130/1959/1", 36.32)</f>
        <v>36.32</v>
      </c>
      <c r="E9004" s="2">
        <v>23.08</v>
      </c>
      <c r="F9004" s="2">
        <v>2</v>
      </c>
      <c r="G9004" s="2" t="s">
        <v>14</v>
      </c>
      <c r="I9004" s="2" t="s">
        <v>4892</v>
      </c>
    </row>
    <row r="9005" spans="1:9" x14ac:dyDescent="0.2">
      <c r="A9005" s="2" t="s">
        <v>3250</v>
      </c>
      <c r="B9005" s="2" t="s">
        <v>356</v>
      </c>
      <c r="C9005" s="2">
        <v>816.42470000000003</v>
      </c>
      <c r="D9005" s="2">
        <f>HYPERLINK("http://mcb-m6.bioreg.kyushu-u.ac.jp/M3/20110428/F51129/2451/1", 36.34)</f>
        <v>36.340000000000003</v>
      </c>
      <c r="E9005" s="2">
        <v>23.63</v>
      </c>
      <c r="F9005" s="2">
        <v>2</v>
      </c>
      <c r="G9005" s="2" t="s">
        <v>14</v>
      </c>
    </row>
    <row r="9006" spans="1:9" x14ac:dyDescent="0.2">
      <c r="A9006" s="2" t="s">
        <v>3250</v>
      </c>
      <c r="B9006" s="2" t="s">
        <v>398</v>
      </c>
      <c r="C9006" s="2">
        <v>640.13319999999999</v>
      </c>
      <c r="D9006" s="2">
        <f>HYPERLINK("http://mcb-m6.bioreg.kyushu-u.ac.jp/M3/20110428/F51129/1545/1", 36.75)</f>
        <v>36.75</v>
      </c>
      <c r="E9006" s="2">
        <v>15</v>
      </c>
      <c r="F9006" s="2">
        <v>2</v>
      </c>
      <c r="G9006" s="2" t="s">
        <v>14</v>
      </c>
    </row>
    <row r="9007" spans="1:9" x14ac:dyDescent="0.2">
      <c r="A9007" s="2" t="s">
        <v>3250</v>
      </c>
      <c r="B9007" s="2" t="s">
        <v>834</v>
      </c>
      <c r="C9007" s="2">
        <v>622.20169999999996</v>
      </c>
      <c r="D9007" s="2">
        <f>HYPERLINK("http://mcb-m6.bioreg.kyushu-u.ac.jp/M3/20110428/F51128/1434/1", 36.82)</f>
        <v>36.82</v>
      </c>
      <c r="E9007" s="2">
        <v>23.13</v>
      </c>
      <c r="F9007" s="2">
        <v>2</v>
      </c>
      <c r="G9007" s="2" t="s">
        <v>14</v>
      </c>
    </row>
    <row r="9008" spans="1:9" x14ac:dyDescent="0.2">
      <c r="A9008" s="2" t="s">
        <v>3250</v>
      </c>
      <c r="B9008" s="2" t="s">
        <v>90</v>
      </c>
      <c r="C9008" s="2">
        <v>717.07320000000004</v>
      </c>
      <c r="D9008" s="2">
        <f>HYPERLINK("http://mcb-m6.bioreg.kyushu-u.ac.jp/M3/20110427/F51123/1921/1", 37.38)</f>
        <v>37.380000000000003</v>
      </c>
      <c r="E9008" s="2">
        <v>13.86</v>
      </c>
      <c r="F9008" s="2">
        <v>2</v>
      </c>
      <c r="G9008" s="2" t="s">
        <v>14</v>
      </c>
    </row>
    <row r="9009" spans="1:9" x14ac:dyDescent="0.2">
      <c r="A9009" s="2" t="s">
        <v>3250</v>
      </c>
      <c r="B9009" s="2" t="s">
        <v>351</v>
      </c>
      <c r="C9009" s="2">
        <v>861.32600000000002</v>
      </c>
      <c r="D9009" s="2">
        <f>HYPERLINK("http://mcb-m6.bioreg.kyushu-u.ac.jp/M3/20110428/F51126/954/1", 37.91)</f>
        <v>37.909999999999997</v>
      </c>
      <c r="E9009" s="2">
        <v>16.59</v>
      </c>
      <c r="F9009" s="2">
        <v>1</v>
      </c>
      <c r="G9009" s="2" t="s">
        <v>14</v>
      </c>
      <c r="I9009" s="2" t="s">
        <v>4899</v>
      </c>
    </row>
    <row r="9010" spans="1:9" x14ac:dyDescent="0.2">
      <c r="A9010" s="2" t="s">
        <v>3250</v>
      </c>
      <c r="B9010" s="2" t="s">
        <v>90</v>
      </c>
      <c r="C9010" s="2">
        <v>717.43219999999997</v>
      </c>
      <c r="D9010" s="2">
        <f>HYPERLINK("http://mcb-m6.bioreg.kyushu-u.ac.jp/M3/20110428/F51130/1964/1", 38.38)</f>
        <v>38.380000000000003</v>
      </c>
      <c r="E9010" s="2">
        <v>9.59</v>
      </c>
      <c r="F9010" s="2">
        <v>2</v>
      </c>
      <c r="G9010" s="2" t="s">
        <v>14</v>
      </c>
    </row>
    <row r="9011" spans="1:9" x14ac:dyDescent="0.2">
      <c r="A9011" s="2" t="s">
        <v>3250</v>
      </c>
      <c r="B9011" s="2" t="s">
        <v>1875</v>
      </c>
      <c r="C9011" s="2">
        <v>788.71619999999996</v>
      </c>
      <c r="D9011" s="2">
        <f>HYPERLINK("http://mcb-m6.bioreg.kyushu-u.ac.jp/M3/20110428/F51128/2218/1", 38.86)</f>
        <v>38.86</v>
      </c>
      <c r="E9011" s="2">
        <v>24.41</v>
      </c>
      <c r="F9011" s="2">
        <v>2</v>
      </c>
      <c r="G9011" s="2" t="s">
        <v>14</v>
      </c>
      <c r="H9011" s="2" t="s">
        <v>4953</v>
      </c>
    </row>
    <row r="9012" spans="1:9" x14ac:dyDescent="0.2">
      <c r="A9012" s="2" t="s">
        <v>3250</v>
      </c>
      <c r="B9012" s="2" t="s">
        <v>561</v>
      </c>
      <c r="C9012" s="2">
        <v>662.02170000000001</v>
      </c>
      <c r="D9012" s="2">
        <f>HYPERLINK("http://mcb-m6.bioreg.kyushu-u.ac.jp/M3/20110427/F51118/1803/1", 39.42)</f>
        <v>39.42</v>
      </c>
      <c r="E9012" s="2">
        <v>24.3</v>
      </c>
      <c r="F9012" s="2">
        <v>2</v>
      </c>
      <c r="G9012" s="2" t="s">
        <v>14</v>
      </c>
      <c r="H9012" s="2" t="s">
        <v>4919</v>
      </c>
    </row>
    <row r="9013" spans="1:9" x14ac:dyDescent="0.2">
      <c r="A9013" s="2" t="s">
        <v>3250</v>
      </c>
      <c r="B9013" s="2" t="s">
        <v>90</v>
      </c>
      <c r="C9013" s="2">
        <v>717.33069999999998</v>
      </c>
      <c r="D9013" s="2">
        <f>HYPERLINK("http://mcb-m6.bioreg.kyushu-u.ac.jp/M3/20110428/F51135/1738/1", 39.54)</f>
        <v>39.54</v>
      </c>
      <c r="E9013" s="2">
        <v>19.489999999999998</v>
      </c>
      <c r="F9013" s="2">
        <v>2</v>
      </c>
      <c r="G9013" s="2" t="s">
        <v>14</v>
      </c>
    </row>
    <row r="9014" spans="1:9" x14ac:dyDescent="0.2">
      <c r="A9014" s="2" t="s">
        <v>3250</v>
      </c>
      <c r="B9014" s="2" t="s">
        <v>834</v>
      </c>
      <c r="C9014" s="2">
        <v>622.18820000000005</v>
      </c>
      <c r="D9014" s="2">
        <f>HYPERLINK("http://mcb-m6.bioreg.kyushu-u.ac.jp/M3/20110428/F51130/1561/1", 39.69)</f>
        <v>39.69</v>
      </c>
      <c r="E9014" s="2">
        <v>26.46</v>
      </c>
      <c r="F9014" s="2">
        <v>2</v>
      </c>
      <c r="G9014" s="2" t="s">
        <v>14</v>
      </c>
    </row>
    <row r="9015" spans="1:9" x14ac:dyDescent="0.2">
      <c r="A9015" s="2" t="s">
        <v>3250</v>
      </c>
      <c r="B9015" s="2" t="s">
        <v>77</v>
      </c>
      <c r="C9015" s="2">
        <v>1148.373</v>
      </c>
      <c r="D9015" s="2">
        <f>HYPERLINK("http://mcb-m6.bioreg.kyushu-u.ac.jp/M3/20110428/F51130/1359/1", 40.29)</f>
        <v>40.29</v>
      </c>
      <c r="E9015" s="2">
        <v>16.989999999999998</v>
      </c>
      <c r="F9015" s="2">
        <v>1</v>
      </c>
      <c r="G9015" s="2" t="s">
        <v>14</v>
      </c>
    </row>
    <row r="9016" spans="1:9" x14ac:dyDescent="0.2">
      <c r="A9016" s="2" t="s">
        <v>3250</v>
      </c>
      <c r="B9016" s="2" t="s">
        <v>356</v>
      </c>
      <c r="C9016" s="2">
        <v>815.73019999999997</v>
      </c>
      <c r="D9016" s="2">
        <f>HYPERLINK("http://mcb-m6.bioreg.kyushu-u.ac.jp/M3/20110428/F51126/2403/1", 40.45)</f>
        <v>40.450000000000003</v>
      </c>
      <c r="E9016" s="2">
        <v>24.05</v>
      </c>
      <c r="F9016" s="2">
        <v>2</v>
      </c>
      <c r="G9016" s="2" t="s">
        <v>14</v>
      </c>
    </row>
    <row r="9017" spans="1:9" x14ac:dyDescent="0.2">
      <c r="A9017" s="2" t="s">
        <v>3250</v>
      </c>
      <c r="B9017" s="2" t="s">
        <v>467</v>
      </c>
      <c r="C9017" s="2">
        <v>692.07920000000001</v>
      </c>
      <c r="D9017" s="2">
        <f>HYPERLINK("http://mcb-m6.bioreg.kyushu-u.ac.jp/M3/20110428/F51130/1844/1", 41.18)</f>
        <v>41.18</v>
      </c>
      <c r="E9017" s="2">
        <v>18.95</v>
      </c>
      <c r="F9017" s="2">
        <v>2</v>
      </c>
      <c r="G9017" s="2" t="s">
        <v>14</v>
      </c>
    </row>
    <row r="9018" spans="1:9" x14ac:dyDescent="0.2">
      <c r="A9018" s="2" t="s">
        <v>3250</v>
      </c>
      <c r="B9018" s="2" t="s">
        <v>356</v>
      </c>
      <c r="C9018" s="2">
        <v>816.32920000000001</v>
      </c>
      <c r="D9018" s="2">
        <f>HYPERLINK("http://mcb-m6.bioreg.kyushu-u.ac.jp/M3/20110428/F51128/2353/1", 41.19)</f>
        <v>41.19</v>
      </c>
      <c r="E9018" s="2">
        <v>27.3</v>
      </c>
      <c r="F9018" s="2">
        <v>2</v>
      </c>
      <c r="G9018" s="2" t="s">
        <v>14</v>
      </c>
    </row>
    <row r="9019" spans="1:9" x14ac:dyDescent="0.2">
      <c r="A9019" s="2" t="s">
        <v>3250</v>
      </c>
      <c r="B9019" s="2" t="s">
        <v>398</v>
      </c>
      <c r="C9019" s="2">
        <v>640.62019999999995</v>
      </c>
      <c r="D9019" s="2">
        <f>HYPERLINK("http://mcb-m6.bioreg.kyushu-u.ac.jp/M3/20110428/F51130/1629/1", 41.83)</f>
        <v>41.83</v>
      </c>
      <c r="E9019" s="2">
        <v>21.76</v>
      </c>
      <c r="F9019" s="2">
        <v>2</v>
      </c>
      <c r="G9019" s="2" t="s">
        <v>14</v>
      </c>
    </row>
    <row r="9020" spans="1:9" x14ac:dyDescent="0.2">
      <c r="A9020" s="2" t="s">
        <v>3250</v>
      </c>
      <c r="B9020" s="2" t="s">
        <v>467</v>
      </c>
      <c r="C9020" s="2">
        <v>691.88459999999998</v>
      </c>
      <c r="D9020" s="2">
        <f>HYPERLINK("http://mcb-m6.bioreg.kyushu-u.ac.jp/M3/20110428/F51135/1624/1", 42.27)</f>
        <v>42.27</v>
      </c>
      <c r="E9020" s="2">
        <v>24.07</v>
      </c>
      <c r="F9020" s="2">
        <v>2</v>
      </c>
      <c r="G9020" s="2" t="s">
        <v>14</v>
      </c>
    </row>
    <row r="9021" spans="1:9" x14ac:dyDescent="0.2">
      <c r="A9021" s="2" t="s">
        <v>3250</v>
      </c>
      <c r="B9021" s="2" t="s">
        <v>90</v>
      </c>
      <c r="C9021" s="2">
        <v>716.61019999999996</v>
      </c>
      <c r="D9021" s="2">
        <f>HYPERLINK("http://mcb-m6.bioreg.kyushu-u.ac.jp/M3/20110427/F51121/1921/1", 42.95)</f>
        <v>42.95</v>
      </c>
      <c r="E9021" s="2">
        <v>10.32</v>
      </c>
      <c r="F9021" s="2">
        <v>2</v>
      </c>
      <c r="G9021" s="2" t="s">
        <v>14</v>
      </c>
    </row>
    <row r="9022" spans="1:9" x14ac:dyDescent="0.2">
      <c r="A9022" s="2" t="s">
        <v>3250</v>
      </c>
      <c r="B9022" s="2" t="s">
        <v>834</v>
      </c>
      <c r="C9022" s="2">
        <v>621.65219999999999</v>
      </c>
      <c r="D9022" s="2">
        <f>HYPERLINK("http://mcb-m6.bioreg.kyushu-u.ac.jp/M3/20110427/F51122/1738/1", 44.03)</f>
        <v>44.03</v>
      </c>
      <c r="E9022" s="2">
        <v>21.74</v>
      </c>
      <c r="F9022" s="2">
        <v>2</v>
      </c>
      <c r="G9022" s="2" t="s">
        <v>14</v>
      </c>
    </row>
    <row r="9023" spans="1:9" x14ac:dyDescent="0.2">
      <c r="A9023" s="2" t="s">
        <v>3250</v>
      </c>
      <c r="B9023" s="2" t="s">
        <v>365</v>
      </c>
      <c r="C9023" s="2">
        <v>848.76319999999998</v>
      </c>
      <c r="D9023" s="2">
        <f>HYPERLINK("http://mcb-m6.bioreg.kyushu-u.ac.jp/M3/20110427/F51120/2475/1", 44.09)</f>
        <v>44.09</v>
      </c>
      <c r="E9023" s="2">
        <v>21.19</v>
      </c>
      <c r="F9023" s="2">
        <v>2</v>
      </c>
      <c r="G9023" s="2" t="s">
        <v>14</v>
      </c>
    </row>
    <row r="9024" spans="1:9" x14ac:dyDescent="0.2">
      <c r="A9024" s="2" t="s">
        <v>3250</v>
      </c>
      <c r="B9024" s="2" t="s">
        <v>175</v>
      </c>
      <c r="C9024" s="2">
        <v>784.2242</v>
      </c>
      <c r="D9024" s="2">
        <f>HYPERLINK("http://mcb-m6.bioreg.kyushu-u.ac.jp/M3/20110428/F51130/2274/1", 44.68)</f>
        <v>44.68</v>
      </c>
      <c r="E9024" s="2">
        <v>33.229999999999997</v>
      </c>
      <c r="F9024" s="2">
        <v>2</v>
      </c>
      <c r="G9024" s="2" t="s">
        <v>14</v>
      </c>
      <c r="I9024" s="2" t="s">
        <v>4893</v>
      </c>
    </row>
    <row r="9025" spans="1:9" x14ac:dyDescent="0.2">
      <c r="A9025" s="2" t="s">
        <v>3250</v>
      </c>
      <c r="B9025" s="2" t="s">
        <v>1875</v>
      </c>
      <c r="C9025" s="2">
        <v>772.27260000000001</v>
      </c>
      <c r="D9025" s="2">
        <f>HYPERLINK("http://mcb-m6.bioreg.kyushu-u.ac.jp/M3/20110428/F51128/2106/1", 44.93)</f>
        <v>44.93</v>
      </c>
      <c r="E9025" s="2">
        <v>39.39</v>
      </c>
      <c r="F9025" s="2">
        <v>2</v>
      </c>
      <c r="G9025" s="2" t="s">
        <v>14</v>
      </c>
    </row>
    <row r="9026" spans="1:9" x14ac:dyDescent="0.2">
      <c r="A9026" s="2" t="s">
        <v>3250</v>
      </c>
      <c r="B9026" s="2" t="s">
        <v>356</v>
      </c>
      <c r="C9026" s="2">
        <v>816.43960000000004</v>
      </c>
      <c r="D9026" s="2">
        <f>HYPERLINK("http://mcb-m6.bioreg.kyushu-u.ac.jp/M3/20110428/F51134/2117/1", 44.98)</f>
        <v>44.98</v>
      </c>
      <c r="E9026" s="2">
        <v>26.67</v>
      </c>
      <c r="F9026" s="2">
        <v>2</v>
      </c>
      <c r="G9026" s="2" t="s">
        <v>14</v>
      </c>
    </row>
    <row r="9027" spans="1:9" x14ac:dyDescent="0.2">
      <c r="A9027" s="2" t="s">
        <v>3250</v>
      </c>
      <c r="B9027" s="2" t="s">
        <v>1065</v>
      </c>
      <c r="C9027" s="2">
        <v>716.54420000000005</v>
      </c>
      <c r="D9027" s="2">
        <f>HYPERLINK("http://mcb-m6.bioreg.kyushu-u.ac.jp/M3/20110428/F51126/1964/1", 45.16)</f>
        <v>45.16</v>
      </c>
      <c r="E9027" s="2">
        <v>32.61</v>
      </c>
      <c r="F9027" s="2">
        <v>2</v>
      </c>
      <c r="G9027" s="2" t="s">
        <v>14</v>
      </c>
      <c r="I9027" s="2" t="s">
        <v>4892</v>
      </c>
    </row>
    <row r="9028" spans="1:9" x14ac:dyDescent="0.2">
      <c r="A9028" s="2" t="s">
        <v>3250</v>
      </c>
      <c r="B9028" s="2" t="s">
        <v>834</v>
      </c>
      <c r="C9028" s="2">
        <v>1242.4880000000001</v>
      </c>
      <c r="D9028" s="2">
        <f>HYPERLINK("http://mcb-m6.bioreg.kyushu-u.ac.jp/M3/20110428/F51128/1430/1", 45.26)</f>
        <v>45.26</v>
      </c>
      <c r="E9028" s="2">
        <v>27.97</v>
      </c>
      <c r="F9028" s="2">
        <v>1</v>
      </c>
      <c r="G9028" s="2" t="s">
        <v>14</v>
      </c>
    </row>
    <row r="9029" spans="1:9" x14ac:dyDescent="0.2">
      <c r="A9029" s="2" t="s">
        <v>3250</v>
      </c>
      <c r="B9029" s="2" t="s">
        <v>834</v>
      </c>
      <c r="C9029" s="2">
        <v>621.63710000000003</v>
      </c>
      <c r="D9029" s="2">
        <f>HYPERLINK("http://mcb-m6.bioreg.kyushu-u.ac.jp/M3/20110427/F51125/1658/1", 45.32)</f>
        <v>45.32</v>
      </c>
      <c r="E9029" s="2">
        <v>25.12</v>
      </c>
      <c r="F9029" s="2">
        <v>2</v>
      </c>
      <c r="G9029" s="2" t="s">
        <v>14</v>
      </c>
    </row>
    <row r="9030" spans="1:9" x14ac:dyDescent="0.2">
      <c r="A9030" s="2" t="s">
        <v>3250</v>
      </c>
      <c r="B9030" s="2" t="s">
        <v>1787</v>
      </c>
      <c r="C9030" s="2">
        <v>1175.4169999999999</v>
      </c>
      <c r="D9030" s="2">
        <f>HYPERLINK("http://mcb-m6.bioreg.kyushu-u.ac.jp/M3/20110428/F51126/1493/1", 45.43)</f>
        <v>45.43</v>
      </c>
      <c r="E9030" s="2">
        <v>15.91</v>
      </c>
      <c r="F9030" s="2">
        <v>1</v>
      </c>
      <c r="G9030" s="2" t="s">
        <v>14</v>
      </c>
      <c r="I9030" s="2" t="s">
        <v>4895</v>
      </c>
    </row>
    <row r="9031" spans="1:9" x14ac:dyDescent="0.2">
      <c r="A9031" s="2" t="s">
        <v>3250</v>
      </c>
      <c r="B9031" s="2" t="s">
        <v>102</v>
      </c>
      <c r="C9031" s="2">
        <v>1215.3800000000001</v>
      </c>
      <c r="D9031" s="2">
        <f>HYPERLINK("http://mcb-m6.bioreg.kyushu-u.ac.jp/M3/20110428/F51130/1508/1", 46.41)</f>
        <v>46.41</v>
      </c>
      <c r="E9031" s="2">
        <v>26.43</v>
      </c>
      <c r="F9031" s="2">
        <v>1</v>
      </c>
      <c r="G9031" s="2" t="s">
        <v>14</v>
      </c>
    </row>
    <row r="9032" spans="1:9" x14ac:dyDescent="0.2">
      <c r="A9032" s="2" t="s">
        <v>3250</v>
      </c>
      <c r="B9032" s="2" t="s">
        <v>834</v>
      </c>
      <c r="C9032" s="2">
        <v>1243.4960000000001</v>
      </c>
      <c r="D9032" s="2">
        <f>HYPERLINK("http://mcb-m6.bioreg.kyushu-u.ac.jp/M3/20110428/F51130/1562/1", 46.49)</f>
        <v>46.49</v>
      </c>
      <c r="E9032" s="2">
        <v>26.05</v>
      </c>
      <c r="F9032" s="2">
        <v>1</v>
      </c>
      <c r="G9032" s="2" t="s">
        <v>14</v>
      </c>
    </row>
    <row r="9033" spans="1:9" x14ac:dyDescent="0.2">
      <c r="A9033" s="2" t="s">
        <v>3250</v>
      </c>
      <c r="B9033" s="2" t="s">
        <v>365</v>
      </c>
      <c r="C9033" s="2">
        <v>849.13210000000004</v>
      </c>
      <c r="D9033" s="2">
        <f>HYPERLINK("http://mcb-m6.bioreg.kyushu-u.ac.jp/M3/20110427/F51122/2548/1", 46.65)</f>
        <v>46.65</v>
      </c>
      <c r="E9033" s="2">
        <v>28.66</v>
      </c>
      <c r="F9033" s="2">
        <v>2</v>
      </c>
      <c r="G9033" s="2" t="s">
        <v>14</v>
      </c>
    </row>
    <row r="9034" spans="1:9" x14ac:dyDescent="0.2">
      <c r="A9034" s="2" t="s">
        <v>3250</v>
      </c>
      <c r="B9034" s="2" t="s">
        <v>1787</v>
      </c>
      <c r="C9034" s="2">
        <v>1175.431</v>
      </c>
      <c r="D9034" s="2">
        <f>HYPERLINK("http://mcb-m6.bioreg.kyushu-u.ac.jp/M3/20110427/F51124/1420/1", 46.76)</f>
        <v>46.76</v>
      </c>
      <c r="E9034" s="2">
        <v>33.28</v>
      </c>
      <c r="F9034" s="2">
        <v>1</v>
      </c>
      <c r="G9034" s="2" t="s">
        <v>14</v>
      </c>
      <c r="I9034" s="2" t="s">
        <v>4895</v>
      </c>
    </row>
    <row r="9035" spans="1:9" x14ac:dyDescent="0.2">
      <c r="A9035" s="2" t="s">
        <v>3250</v>
      </c>
      <c r="B9035" s="2" t="s">
        <v>175</v>
      </c>
      <c r="C9035" s="2">
        <v>784.17909999999995</v>
      </c>
      <c r="D9035" s="2">
        <f>HYPERLINK("http://mcb-m6.bioreg.kyushu-u.ac.jp/M3/20110428/F51129/2305/1", 47.11)</f>
        <v>47.11</v>
      </c>
      <c r="E9035" s="2">
        <v>33.33</v>
      </c>
      <c r="F9035" s="2">
        <v>2</v>
      </c>
      <c r="G9035" s="2" t="s">
        <v>14</v>
      </c>
      <c r="I9035" s="2" t="s">
        <v>4893</v>
      </c>
    </row>
    <row r="9036" spans="1:9" x14ac:dyDescent="0.2">
      <c r="A9036" s="2" t="s">
        <v>3250</v>
      </c>
      <c r="B9036" s="2" t="s">
        <v>1875</v>
      </c>
      <c r="C9036" s="2">
        <v>780.23969999999997</v>
      </c>
      <c r="D9036" s="2">
        <f>HYPERLINK("http://mcb-m6.bioreg.kyushu-u.ac.jp/M3/20110428/F51128/2151/1", 47.35)</f>
        <v>47.35</v>
      </c>
      <c r="E9036" s="2">
        <v>23.14</v>
      </c>
      <c r="F9036" s="2">
        <v>2</v>
      </c>
      <c r="G9036" s="2" t="s">
        <v>14</v>
      </c>
      <c r="H9036" s="2" t="s">
        <v>4920</v>
      </c>
    </row>
    <row r="9037" spans="1:9" x14ac:dyDescent="0.2">
      <c r="A9037" s="2" t="s">
        <v>3250</v>
      </c>
      <c r="B9037" s="2" t="s">
        <v>604</v>
      </c>
      <c r="C9037" s="2">
        <v>520.66060000000004</v>
      </c>
      <c r="D9037" s="2">
        <f>HYPERLINK("http://mcb-m6.bioreg.kyushu-u.ac.jp/M3/20110427/F51123/1107/1", 47.72)</f>
        <v>47.72</v>
      </c>
      <c r="E9037" s="2">
        <v>9.4700000000000006</v>
      </c>
      <c r="F9037" s="2">
        <v>2</v>
      </c>
      <c r="G9037" s="2" t="s">
        <v>14</v>
      </c>
    </row>
    <row r="9038" spans="1:9" x14ac:dyDescent="0.2">
      <c r="A9038" s="2" t="s">
        <v>3250</v>
      </c>
      <c r="B9038" s="2" t="s">
        <v>90</v>
      </c>
      <c r="C9038" s="2">
        <v>716.57669999999996</v>
      </c>
      <c r="D9038" s="2">
        <f>HYPERLINK("http://mcb-m6.bioreg.kyushu-u.ac.jp/M3/20110428/F51128/1851/1", 47.76)</f>
        <v>47.76</v>
      </c>
      <c r="E9038" s="2">
        <v>29.46</v>
      </c>
      <c r="F9038" s="2">
        <v>2</v>
      </c>
      <c r="G9038" s="2" t="s">
        <v>14</v>
      </c>
    </row>
    <row r="9039" spans="1:9" x14ac:dyDescent="0.2">
      <c r="A9039" s="2" t="s">
        <v>3250</v>
      </c>
      <c r="B9039" s="2" t="s">
        <v>1888</v>
      </c>
      <c r="C9039" s="2">
        <v>456.6026</v>
      </c>
      <c r="D9039" s="2">
        <f>HYPERLINK("http://mcb-m6.bioreg.kyushu-u.ac.jp/M3/20110427/F51123/860/1", 48.7)</f>
        <v>48.7</v>
      </c>
      <c r="E9039" s="2">
        <v>1.2</v>
      </c>
      <c r="F9039" s="2">
        <v>2</v>
      </c>
      <c r="G9039" s="2" t="s">
        <v>14</v>
      </c>
    </row>
    <row r="9040" spans="1:9" x14ac:dyDescent="0.2">
      <c r="A9040" s="2" t="s">
        <v>3250</v>
      </c>
      <c r="B9040" s="2" t="s">
        <v>365</v>
      </c>
      <c r="C9040" s="2">
        <v>848.74770000000001</v>
      </c>
      <c r="D9040" s="2">
        <f>HYPERLINK("http://mcb-m6.bioreg.kyushu-u.ac.jp/M3/20110427/F51123/2513/1", 48.7)</f>
        <v>48.7</v>
      </c>
      <c r="E9040" s="2">
        <v>27.93</v>
      </c>
      <c r="F9040" s="2">
        <v>2</v>
      </c>
      <c r="G9040" s="2" t="s">
        <v>14</v>
      </c>
    </row>
    <row r="9041" spans="1:9" x14ac:dyDescent="0.2">
      <c r="A9041" s="2" t="s">
        <v>3250</v>
      </c>
      <c r="B9041" s="2" t="s">
        <v>772</v>
      </c>
      <c r="C9041" s="2">
        <v>1190.3589999999999</v>
      </c>
      <c r="D9041" s="2">
        <f>HYPERLINK("http://mcb-m6.bioreg.kyushu-u.ac.jp/M3/20110428/F51126/1530/1", 48.95)</f>
        <v>48.95</v>
      </c>
      <c r="E9041" s="2">
        <v>11.04</v>
      </c>
      <c r="F9041" s="2">
        <v>1</v>
      </c>
      <c r="G9041" s="2" t="s">
        <v>14</v>
      </c>
    </row>
    <row r="9042" spans="1:9" x14ac:dyDescent="0.2">
      <c r="A9042" s="2" t="s">
        <v>3250</v>
      </c>
      <c r="B9042" s="2" t="s">
        <v>365</v>
      </c>
      <c r="C9042" s="2">
        <v>848.8691</v>
      </c>
      <c r="D9042" s="2">
        <f>HYPERLINK("http://mcb-m6.bioreg.kyushu-u.ac.jp/M3/20110427/F51119/2328/1", 48.98)</f>
        <v>48.98</v>
      </c>
      <c r="E9042" s="2">
        <v>29.78</v>
      </c>
      <c r="F9042" s="2">
        <v>2</v>
      </c>
      <c r="G9042" s="2" t="s">
        <v>14</v>
      </c>
    </row>
    <row r="9043" spans="1:9" x14ac:dyDescent="0.2">
      <c r="A9043" s="2" t="s">
        <v>3250</v>
      </c>
      <c r="B9043" s="2" t="s">
        <v>77</v>
      </c>
      <c r="C9043" s="2">
        <v>574.53809999999999</v>
      </c>
      <c r="D9043" s="2">
        <f>HYPERLINK("http://mcb-m6.bioreg.kyushu-u.ac.jp/M3/20110428/F51130/1356/1", 49.14)</f>
        <v>49.14</v>
      </c>
      <c r="E9043" s="2">
        <v>30.62</v>
      </c>
      <c r="F9043" s="2">
        <v>2</v>
      </c>
      <c r="G9043" s="2" t="s">
        <v>14</v>
      </c>
    </row>
    <row r="9044" spans="1:9" x14ac:dyDescent="0.2">
      <c r="A9044" s="2" t="s">
        <v>3250</v>
      </c>
      <c r="B9044" s="2" t="s">
        <v>365</v>
      </c>
      <c r="C9044" s="2">
        <v>849.26070000000004</v>
      </c>
      <c r="D9044" s="2">
        <f>HYPERLINK("http://mcb-m6.bioreg.kyushu-u.ac.jp/M3/20110427/F51121/2345/1", 49.73)</f>
        <v>49.73</v>
      </c>
      <c r="E9044" s="2">
        <v>33.950000000000003</v>
      </c>
      <c r="F9044" s="2">
        <v>2</v>
      </c>
      <c r="G9044" s="2" t="s">
        <v>14</v>
      </c>
    </row>
    <row r="9045" spans="1:9" x14ac:dyDescent="0.2">
      <c r="A9045" s="2" t="s">
        <v>3250</v>
      </c>
      <c r="B9045" s="2" t="s">
        <v>311</v>
      </c>
      <c r="C9045" s="2">
        <v>599.06020000000001</v>
      </c>
      <c r="D9045" s="2">
        <f>HYPERLINK("http://mcb-m6.bioreg.kyushu-u.ac.jp/M3/20110427/F51124/1471/1", 50.35)</f>
        <v>50.35</v>
      </c>
      <c r="E9045" s="2">
        <v>33.049999999999997</v>
      </c>
      <c r="F9045" s="2">
        <v>2</v>
      </c>
      <c r="G9045" s="2" t="s">
        <v>14</v>
      </c>
    </row>
    <row r="9046" spans="1:9" x14ac:dyDescent="0.2">
      <c r="A9046" s="2" t="s">
        <v>3250</v>
      </c>
      <c r="B9046" s="2" t="s">
        <v>1875</v>
      </c>
      <c r="C9046" s="2">
        <v>788.25959999999998</v>
      </c>
      <c r="D9046" s="2">
        <f>HYPERLINK("http://mcb-m6.bioreg.kyushu-u.ac.jp/M3/20110428/F51130/2300/1", 50.83)</f>
        <v>50.83</v>
      </c>
      <c r="E9046" s="2">
        <v>35.56</v>
      </c>
      <c r="F9046" s="2">
        <v>2</v>
      </c>
      <c r="G9046" s="2" t="s">
        <v>14</v>
      </c>
      <c r="H9046" s="2" t="s">
        <v>4953</v>
      </c>
    </row>
    <row r="9047" spans="1:9" x14ac:dyDescent="0.2">
      <c r="A9047" s="2" t="s">
        <v>3250</v>
      </c>
      <c r="B9047" s="2" t="s">
        <v>1787</v>
      </c>
      <c r="C9047" s="2">
        <v>1175.335</v>
      </c>
      <c r="D9047" s="2">
        <f>HYPERLINK("http://mcb-m6.bioreg.kyushu-u.ac.jp/M3/20110428/F51130/1416/1", 51.11)</f>
        <v>51.11</v>
      </c>
      <c r="E9047" s="2">
        <v>21.54</v>
      </c>
      <c r="F9047" s="2">
        <v>1</v>
      </c>
      <c r="G9047" s="2" t="s">
        <v>14</v>
      </c>
      <c r="I9047" s="2" t="s">
        <v>4895</v>
      </c>
    </row>
    <row r="9048" spans="1:9" x14ac:dyDescent="0.2">
      <c r="A9048" s="2" t="s">
        <v>3250</v>
      </c>
      <c r="B9048" s="2" t="s">
        <v>834</v>
      </c>
      <c r="C9048" s="2">
        <v>1242.4880000000001</v>
      </c>
      <c r="D9048" s="2">
        <f>HYPERLINK("http://mcb-m6.bioreg.kyushu-u.ac.jp/M3/20110428/F51130/1559/1", 51.11)</f>
        <v>51.11</v>
      </c>
      <c r="E9048" s="2">
        <v>37.54</v>
      </c>
      <c r="F9048" s="2">
        <v>1</v>
      </c>
      <c r="G9048" s="2" t="s">
        <v>14</v>
      </c>
    </row>
    <row r="9049" spans="1:9" x14ac:dyDescent="0.2">
      <c r="A9049" s="2" t="s">
        <v>3250</v>
      </c>
      <c r="B9049" s="2" t="s">
        <v>77</v>
      </c>
      <c r="C9049" s="2">
        <v>575.13819999999998</v>
      </c>
      <c r="D9049" s="2">
        <f>HYPERLINK("http://mcb-m6.bioreg.kyushu-u.ac.jp/M3/20110427/F51121/1497/1", 51.14)</f>
        <v>51.14</v>
      </c>
      <c r="E9049" s="2">
        <v>24.65</v>
      </c>
      <c r="F9049" s="2">
        <v>2</v>
      </c>
      <c r="G9049" s="2" t="s">
        <v>14</v>
      </c>
    </row>
    <row r="9050" spans="1:9" x14ac:dyDescent="0.2">
      <c r="A9050" s="2" t="s">
        <v>3250</v>
      </c>
      <c r="B9050" s="2" t="s">
        <v>77</v>
      </c>
      <c r="C9050" s="2">
        <v>574.65260000000001</v>
      </c>
      <c r="D9050" s="2">
        <f>HYPERLINK("http://mcb-m6.bioreg.kyushu-u.ac.jp/M3/20110427/F51123/1320/1", 51.21)</f>
        <v>51.21</v>
      </c>
      <c r="E9050" s="2">
        <v>23.38</v>
      </c>
      <c r="F9050" s="2">
        <v>2</v>
      </c>
      <c r="G9050" s="2" t="s">
        <v>14</v>
      </c>
    </row>
    <row r="9051" spans="1:9" x14ac:dyDescent="0.2">
      <c r="A9051" s="2" t="s">
        <v>3250</v>
      </c>
      <c r="B9051" s="2" t="s">
        <v>311</v>
      </c>
      <c r="C9051" s="2">
        <v>598.56370000000004</v>
      </c>
      <c r="D9051" s="2">
        <f>HYPERLINK("http://mcb-m6.bioreg.kyushu-u.ac.jp/M3/20110427/F51125/1580/1", 51.24)</f>
        <v>51.24</v>
      </c>
      <c r="E9051" s="2">
        <v>32.92</v>
      </c>
      <c r="F9051" s="2">
        <v>2</v>
      </c>
      <c r="G9051" s="2" t="s">
        <v>14</v>
      </c>
    </row>
    <row r="9052" spans="1:9" x14ac:dyDescent="0.2">
      <c r="A9052" s="2" t="s">
        <v>3250</v>
      </c>
      <c r="B9052" s="2" t="s">
        <v>311</v>
      </c>
      <c r="C9052" s="2">
        <v>606.85270000000003</v>
      </c>
      <c r="D9052" s="2">
        <f>HYPERLINK("http://mcb-m6.bioreg.kyushu-u.ac.jp/M3/20110428/F51130/1502/1", 51.28)</f>
        <v>51.28</v>
      </c>
      <c r="E9052" s="2">
        <v>29.84</v>
      </c>
      <c r="F9052" s="2">
        <v>2</v>
      </c>
      <c r="G9052" s="2" t="s">
        <v>14</v>
      </c>
      <c r="H9052" s="2" t="s">
        <v>4908</v>
      </c>
    </row>
    <row r="9053" spans="1:9" x14ac:dyDescent="0.2">
      <c r="A9053" s="2" t="s">
        <v>3250</v>
      </c>
      <c r="B9053" s="2" t="s">
        <v>311</v>
      </c>
      <c r="C9053" s="2">
        <v>1196.2570000000001</v>
      </c>
      <c r="D9053" s="2">
        <f>HYPERLINK("http://mcb-m6.bioreg.kyushu-u.ac.jp/M3/20110428/F51128/1348/1", 51.31)</f>
        <v>51.31</v>
      </c>
      <c r="E9053" s="2">
        <v>29.65</v>
      </c>
      <c r="F9053" s="2">
        <v>1</v>
      </c>
      <c r="G9053" s="2" t="s">
        <v>14</v>
      </c>
    </row>
    <row r="9054" spans="1:9" x14ac:dyDescent="0.2">
      <c r="A9054" s="2" t="s">
        <v>3250</v>
      </c>
      <c r="B9054" s="2" t="s">
        <v>311</v>
      </c>
      <c r="C9054" s="2">
        <v>607.04610000000002</v>
      </c>
      <c r="D9054" s="2">
        <f>HYPERLINK("http://mcb-m6.bioreg.kyushu-u.ac.jp/M3/20110427/F51123/1464/1", 51.73)</f>
        <v>51.73</v>
      </c>
      <c r="E9054" s="2">
        <v>32.590000000000003</v>
      </c>
      <c r="F9054" s="2">
        <v>2</v>
      </c>
      <c r="G9054" s="2" t="s">
        <v>14</v>
      </c>
      <c r="H9054" s="2" t="s">
        <v>4908</v>
      </c>
    </row>
    <row r="9055" spans="1:9" x14ac:dyDescent="0.2">
      <c r="A9055" s="2" t="s">
        <v>3250</v>
      </c>
      <c r="B9055" s="2" t="s">
        <v>365</v>
      </c>
      <c r="C9055" s="2">
        <v>848.99720000000002</v>
      </c>
      <c r="D9055" s="2">
        <f>HYPERLINK("http://mcb-m6.bioreg.kyushu-u.ac.jp/M3/20110428/F51135/2221/1", 51.88)</f>
        <v>51.88</v>
      </c>
      <c r="E9055" s="2">
        <v>35.979999999999997</v>
      </c>
      <c r="F9055" s="2">
        <v>2</v>
      </c>
      <c r="G9055" s="2" t="s">
        <v>14</v>
      </c>
    </row>
    <row r="9056" spans="1:9" x14ac:dyDescent="0.2">
      <c r="A9056" s="2" t="s">
        <v>3250</v>
      </c>
      <c r="B9056" s="2" t="s">
        <v>90</v>
      </c>
      <c r="C9056" s="2">
        <v>716.63210000000004</v>
      </c>
      <c r="D9056" s="2">
        <f>HYPERLINK("http://mcb-m6.bioreg.kyushu-u.ac.jp/M3/20110427/F51122/2074/1", 52.01)</f>
        <v>52.01</v>
      </c>
      <c r="E9056" s="2">
        <v>28.05</v>
      </c>
      <c r="F9056" s="2">
        <v>2</v>
      </c>
      <c r="G9056" s="2" t="s">
        <v>14</v>
      </c>
    </row>
    <row r="9057" spans="1:9" x14ac:dyDescent="0.2">
      <c r="A9057" s="2" t="s">
        <v>3250</v>
      </c>
      <c r="B9057" s="2" t="s">
        <v>356</v>
      </c>
      <c r="C9057" s="2">
        <v>816.2527</v>
      </c>
      <c r="D9057" s="2">
        <f>HYPERLINK("http://mcb-m6.bioreg.kyushu-u.ac.jp/M3/20110427/F51124/2365/1", 52.17)</f>
        <v>52.17</v>
      </c>
      <c r="E9057" s="2">
        <v>41.62</v>
      </c>
      <c r="F9057" s="2">
        <v>2</v>
      </c>
      <c r="G9057" s="2" t="s">
        <v>14</v>
      </c>
    </row>
    <row r="9058" spans="1:9" x14ac:dyDescent="0.2">
      <c r="A9058" s="2" t="s">
        <v>3250</v>
      </c>
      <c r="B9058" s="2" t="s">
        <v>834</v>
      </c>
      <c r="C9058" s="2">
        <v>621.64319999999998</v>
      </c>
      <c r="D9058" s="2">
        <f>HYPERLINK("http://mcb-m6.bioreg.kyushu-u.ac.jp/M3/20110427/F51121/1644/1", 52.77)</f>
        <v>52.77</v>
      </c>
      <c r="E9058" s="2">
        <v>29.2</v>
      </c>
      <c r="F9058" s="2">
        <v>2</v>
      </c>
      <c r="G9058" s="2" t="s">
        <v>14</v>
      </c>
    </row>
    <row r="9059" spans="1:9" x14ac:dyDescent="0.2">
      <c r="A9059" s="2" t="s">
        <v>3250</v>
      </c>
      <c r="B9059" s="2" t="s">
        <v>1787</v>
      </c>
      <c r="C9059" s="2">
        <v>1175.434</v>
      </c>
      <c r="D9059" s="2">
        <f>HYPERLINK("http://mcb-m6.bioreg.kyushu-u.ac.jp/M3/20110428/F51128/1289/1", 53.05)</f>
        <v>53.05</v>
      </c>
      <c r="E9059" s="2">
        <v>35.36</v>
      </c>
      <c r="F9059" s="2">
        <v>1</v>
      </c>
      <c r="G9059" s="2" t="s">
        <v>14</v>
      </c>
      <c r="I9059" s="2" t="s">
        <v>4895</v>
      </c>
    </row>
    <row r="9060" spans="1:9" x14ac:dyDescent="0.2">
      <c r="A9060" s="2" t="s">
        <v>3250</v>
      </c>
      <c r="B9060" s="2" t="s">
        <v>356</v>
      </c>
      <c r="C9060" s="2">
        <v>816.31269999999995</v>
      </c>
      <c r="D9060" s="2">
        <f>HYPERLINK("http://mcb-m6.bioreg.kyushu-u.ac.jp/M3/20110428/F51126/2407/1", 53.21)</f>
        <v>53.21</v>
      </c>
      <c r="E9060" s="2">
        <v>38.54</v>
      </c>
      <c r="F9060" s="2">
        <v>2</v>
      </c>
      <c r="G9060" s="2" t="s">
        <v>14</v>
      </c>
    </row>
    <row r="9061" spans="1:9" x14ac:dyDescent="0.2">
      <c r="A9061" s="2" t="s">
        <v>3250</v>
      </c>
      <c r="B9061" s="2" t="s">
        <v>1065</v>
      </c>
      <c r="C9061" s="2">
        <v>716.75070000000005</v>
      </c>
      <c r="D9061" s="2">
        <f>HYPERLINK("http://mcb-m6.bioreg.kyushu-u.ac.jp/M3/20110428/F51129/1924/1", 54.07)</f>
        <v>54.07</v>
      </c>
      <c r="E9061" s="2">
        <v>41.11</v>
      </c>
      <c r="F9061" s="2">
        <v>2</v>
      </c>
      <c r="G9061" s="2" t="s">
        <v>14</v>
      </c>
      <c r="I9061" s="2" t="s">
        <v>4892</v>
      </c>
    </row>
    <row r="9062" spans="1:9" x14ac:dyDescent="0.2">
      <c r="A9062" s="2" t="s">
        <v>3250</v>
      </c>
      <c r="B9062" s="2" t="s">
        <v>356</v>
      </c>
      <c r="C9062" s="2">
        <v>816.51260000000002</v>
      </c>
      <c r="D9062" s="2">
        <f>HYPERLINK("http://mcb-m6.bioreg.kyushu-u.ac.jp/M3/20110427/F51120/2382/1", 54.2)</f>
        <v>54.2</v>
      </c>
      <c r="E9062" s="2">
        <v>35.97</v>
      </c>
      <c r="F9062" s="2">
        <v>2</v>
      </c>
      <c r="G9062" s="2" t="s">
        <v>14</v>
      </c>
    </row>
    <row r="9063" spans="1:9" x14ac:dyDescent="0.2">
      <c r="A9063" s="2" t="s">
        <v>3250</v>
      </c>
      <c r="B9063" s="2" t="s">
        <v>561</v>
      </c>
      <c r="C9063" s="2">
        <v>662.09310000000005</v>
      </c>
      <c r="D9063" s="2">
        <f>HYPERLINK("http://mcb-m6.bioreg.kyushu-u.ac.jp/M3/20110428/F51126/1751/1", 54.2)</f>
        <v>54.2</v>
      </c>
      <c r="E9063" s="2">
        <v>33.93</v>
      </c>
      <c r="F9063" s="2">
        <v>2</v>
      </c>
      <c r="G9063" s="2" t="s">
        <v>14</v>
      </c>
      <c r="H9063" s="2" t="s">
        <v>4919</v>
      </c>
    </row>
    <row r="9064" spans="1:9" x14ac:dyDescent="0.2">
      <c r="A9064" s="2" t="s">
        <v>3250</v>
      </c>
      <c r="B9064" s="2" t="s">
        <v>311</v>
      </c>
      <c r="C9064" s="2">
        <v>607.13819999999998</v>
      </c>
      <c r="D9064" s="2">
        <f>HYPERLINK("http://mcb-m6.bioreg.kyushu-u.ac.jp/M3/20110428/F51129/1448/1", 54.87)</f>
        <v>54.87</v>
      </c>
      <c r="E9064" s="2">
        <v>34.78</v>
      </c>
      <c r="F9064" s="2">
        <v>2</v>
      </c>
      <c r="G9064" s="2" t="s">
        <v>14</v>
      </c>
      <c r="H9064" s="2" t="s">
        <v>4908</v>
      </c>
    </row>
    <row r="9065" spans="1:9" x14ac:dyDescent="0.2">
      <c r="A9065" s="2" t="s">
        <v>3250</v>
      </c>
      <c r="B9065" s="2" t="s">
        <v>356</v>
      </c>
      <c r="C9065" s="2">
        <v>816.26210000000003</v>
      </c>
      <c r="D9065" s="2">
        <f>HYPERLINK("http://mcb-m6.bioreg.kyushu-u.ac.jp/M3/20110428/F51130/2426/1", 54.88)</f>
        <v>54.88</v>
      </c>
      <c r="E9065" s="2">
        <v>40.270000000000003</v>
      </c>
      <c r="F9065" s="2">
        <v>2</v>
      </c>
      <c r="G9065" s="2" t="s">
        <v>14</v>
      </c>
    </row>
    <row r="9066" spans="1:9" x14ac:dyDescent="0.2">
      <c r="A9066" s="2" t="s">
        <v>3250</v>
      </c>
      <c r="B9066" s="2" t="s">
        <v>467</v>
      </c>
      <c r="C9066" s="2">
        <v>691.50959999999998</v>
      </c>
      <c r="D9066" s="2">
        <f>HYPERLINK("http://mcb-m6.bioreg.kyushu-u.ac.jp/M3/20110428/F51126/1865/1", 55.34)</f>
        <v>55.34</v>
      </c>
      <c r="E9066" s="2">
        <v>28.37</v>
      </c>
      <c r="F9066" s="2">
        <v>2</v>
      </c>
      <c r="G9066" s="2" t="s">
        <v>14</v>
      </c>
    </row>
    <row r="9067" spans="1:9" x14ac:dyDescent="0.2">
      <c r="A9067" s="2" t="s">
        <v>3250</v>
      </c>
      <c r="B9067" s="2" t="s">
        <v>1875</v>
      </c>
      <c r="C9067" s="2">
        <v>788.20870000000002</v>
      </c>
      <c r="D9067" s="2">
        <f>HYPERLINK("http://mcb-m6.bioreg.kyushu-u.ac.jp/M3/20110428/F51128/2213/1", 56.34)</f>
        <v>56.34</v>
      </c>
      <c r="E9067" s="2">
        <v>37.6</v>
      </c>
      <c r="F9067" s="2">
        <v>2</v>
      </c>
      <c r="G9067" s="2" t="s">
        <v>14</v>
      </c>
      <c r="H9067" s="2" t="s">
        <v>4953</v>
      </c>
    </row>
    <row r="9068" spans="1:9" x14ac:dyDescent="0.2">
      <c r="A9068" s="2" t="s">
        <v>3250</v>
      </c>
      <c r="B9068" s="2" t="s">
        <v>90</v>
      </c>
      <c r="C9068" s="2">
        <v>716.52970000000005</v>
      </c>
      <c r="D9068" s="2">
        <f>HYPERLINK("http://mcb-m6.bioreg.kyushu-u.ac.jp/M3/20110427/F51125/1973/1", 56.67)</f>
        <v>56.67</v>
      </c>
      <c r="E9068" s="2">
        <v>29.79</v>
      </c>
      <c r="F9068" s="2">
        <v>2</v>
      </c>
      <c r="G9068" s="2" t="s">
        <v>14</v>
      </c>
    </row>
    <row r="9069" spans="1:9" x14ac:dyDescent="0.2">
      <c r="A9069" s="2" t="s">
        <v>3250</v>
      </c>
      <c r="B9069" s="2" t="s">
        <v>90</v>
      </c>
      <c r="C9069" s="2">
        <v>717.08119999999997</v>
      </c>
      <c r="D9069" s="2">
        <f>HYPERLINK("http://mcb-m6.bioreg.kyushu-u.ac.jp/M3/20110428/F51128/1854/1", 56.74)</f>
        <v>56.74</v>
      </c>
      <c r="E9069" s="2">
        <v>33.229999999999997</v>
      </c>
      <c r="F9069" s="2">
        <v>2</v>
      </c>
      <c r="G9069" s="2" t="s">
        <v>14</v>
      </c>
    </row>
    <row r="9070" spans="1:9" x14ac:dyDescent="0.2">
      <c r="A9070" s="2" t="s">
        <v>3250</v>
      </c>
      <c r="B9070" s="2" t="s">
        <v>481</v>
      </c>
      <c r="C9070" s="2">
        <v>709.7106</v>
      </c>
      <c r="D9070" s="2">
        <f>HYPERLINK("http://mcb-m6.bioreg.kyushu-u.ac.jp/M3/20110428/F51130/1925/1", 57.18)</f>
        <v>57.18</v>
      </c>
      <c r="E9070" s="2">
        <v>30.79</v>
      </c>
      <c r="F9070" s="2">
        <v>2</v>
      </c>
      <c r="G9070" s="2" t="s">
        <v>14</v>
      </c>
      <c r="I9070" s="2" t="s">
        <v>4898</v>
      </c>
    </row>
    <row r="9071" spans="1:9" x14ac:dyDescent="0.2">
      <c r="A9071" s="2" t="s">
        <v>3250</v>
      </c>
      <c r="B9071" s="2" t="s">
        <v>356</v>
      </c>
      <c r="C9071" s="2">
        <v>816.4366</v>
      </c>
      <c r="D9071" s="2">
        <f>HYPERLINK("http://mcb-m6.bioreg.kyushu-u.ac.jp/M3/20110428/F51129/2452/1", 58.32)</f>
        <v>58.32</v>
      </c>
      <c r="E9071" s="2">
        <v>45.04</v>
      </c>
      <c r="F9071" s="2">
        <v>2</v>
      </c>
      <c r="G9071" s="2" t="s">
        <v>14</v>
      </c>
    </row>
    <row r="9072" spans="1:9" x14ac:dyDescent="0.2">
      <c r="A9072" s="2" t="s">
        <v>3250</v>
      </c>
      <c r="B9072" s="2" t="s">
        <v>102</v>
      </c>
      <c r="C9072" s="2">
        <v>608.06619999999998</v>
      </c>
      <c r="D9072" s="2">
        <f>HYPERLINK("http://mcb-m6.bioreg.kyushu-u.ac.jp/M3/20110428/F51126/1579/1", 59.43)</f>
        <v>59.43</v>
      </c>
      <c r="E9072" s="2">
        <v>42.89</v>
      </c>
      <c r="F9072" s="2">
        <v>2</v>
      </c>
      <c r="G9072" s="2" t="s">
        <v>14</v>
      </c>
    </row>
    <row r="9073" spans="1:9" x14ac:dyDescent="0.2">
      <c r="A9073" s="2" t="s">
        <v>3250</v>
      </c>
      <c r="B9073" s="2" t="s">
        <v>311</v>
      </c>
      <c r="C9073" s="2">
        <v>606.57820000000004</v>
      </c>
      <c r="D9073" s="2">
        <f>HYPERLINK("http://mcb-m6.bioreg.kyushu-u.ac.jp/M3/20110428/F51129/1447/1", 59.52)</f>
        <v>59.52</v>
      </c>
      <c r="E9073" s="2">
        <v>39.24</v>
      </c>
      <c r="F9073" s="2">
        <v>2</v>
      </c>
      <c r="G9073" s="2" t="s">
        <v>14</v>
      </c>
      <c r="H9073" s="2" t="s">
        <v>4908</v>
      </c>
    </row>
    <row r="9074" spans="1:9" x14ac:dyDescent="0.2">
      <c r="A9074" s="2" t="s">
        <v>3250</v>
      </c>
      <c r="B9074" s="2" t="s">
        <v>543</v>
      </c>
      <c r="C9074" s="2">
        <v>927.34670000000006</v>
      </c>
      <c r="D9074" s="2">
        <f>HYPERLINK("http://mcb-m6.bioreg.kyushu-u.ac.jp/M3/20110427/F51123/2860/1", 59.73)</f>
        <v>59.73</v>
      </c>
      <c r="E9074" s="2">
        <v>43.94</v>
      </c>
      <c r="F9074" s="2">
        <v>2</v>
      </c>
      <c r="G9074" s="2" t="s">
        <v>14</v>
      </c>
    </row>
    <row r="9075" spans="1:9" x14ac:dyDescent="0.2">
      <c r="A9075" s="2" t="s">
        <v>3250</v>
      </c>
      <c r="B9075" s="2" t="s">
        <v>834</v>
      </c>
      <c r="C9075" s="2">
        <v>621.85310000000004</v>
      </c>
      <c r="D9075" s="2">
        <f>HYPERLINK("http://mcb-m6.bioreg.kyushu-u.ac.jp/M3/20110427/F51124/1556/1", 59.98)</f>
        <v>59.98</v>
      </c>
      <c r="E9075" s="2">
        <v>36.79</v>
      </c>
      <c r="F9075" s="2">
        <v>2</v>
      </c>
      <c r="G9075" s="2" t="s">
        <v>14</v>
      </c>
    </row>
    <row r="9076" spans="1:9" x14ac:dyDescent="0.2">
      <c r="A9076" s="2" t="s">
        <v>3250</v>
      </c>
      <c r="B9076" s="2" t="s">
        <v>467</v>
      </c>
      <c r="C9076" s="2">
        <v>1382.36</v>
      </c>
      <c r="D9076" s="2">
        <f>HYPERLINK("http://mcb-m6.bioreg.kyushu-u.ac.jp/M3/20110428/F51130/1840/1", 61.17)</f>
        <v>61.17</v>
      </c>
      <c r="E9076" s="2">
        <v>40.65</v>
      </c>
      <c r="F9076" s="2">
        <v>1</v>
      </c>
      <c r="G9076" s="2" t="s">
        <v>14</v>
      </c>
    </row>
    <row r="9077" spans="1:9" x14ac:dyDescent="0.2">
      <c r="A9077" s="2" t="s">
        <v>3250</v>
      </c>
      <c r="B9077" s="2" t="s">
        <v>1787</v>
      </c>
      <c r="C9077" s="2">
        <v>588.13019999999995</v>
      </c>
      <c r="D9077" s="2">
        <f>HYPERLINK("http://mcb-m6.bioreg.kyushu-u.ac.jp/M3/20110427/F51122/1615/1", 63.17)</f>
        <v>63.17</v>
      </c>
      <c r="E9077" s="2">
        <v>32.47</v>
      </c>
      <c r="F9077" s="2">
        <v>2</v>
      </c>
      <c r="G9077" s="2" t="s">
        <v>14</v>
      </c>
      <c r="I9077" s="2" t="s">
        <v>4895</v>
      </c>
    </row>
    <row r="9078" spans="1:9" x14ac:dyDescent="0.2">
      <c r="A9078" s="2" t="s">
        <v>3250</v>
      </c>
      <c r="B9078" s="2" t="s">
        <v>772</v>
      </c>
      <c r="C9078" s="2">
        <v>595.70259999999996</v>
      </c>
      <c r="D9078" s="2">
        <f>HYPERLINK("http://mcb-m6.bioreg.kyushu-u.ac.jp/M3/20110427/F51121/1582/1", 64.25)</f>
        <v>64.25</v>
      </c>
      <c r="E9078" s="2">
        <v>32.76</v>
      </c>
      <c r="F9078" s="2">
        <v>2</v>
      </c>
      <c r="G9078" s="2" t="s">
        <v>14</v>
      </c>
    </row>
    <row r="9079" spans="1:9" x14ac:dyDescent="0.2">
      <c r="A9079" s="2" t="s">
        <v>3250</v>
      </c>
      <c r="B9079" s="2" t="s">
        <v>1065</v>
      </c>
      <c r="C9079" s="2">
        <v>716.81370000000004</v>
      </c>
      <c r="D9079" s="2">
        <f>HYPERLINK("http://mcb-m6.bioreg.kyushu-u.ac.jp/M3/20110428/F51128/1853/1", 64.48)</f>
        <v>64.48</v>
      </c>
      <c r="E9079" s="2">
        <v>49.86</v>
      </c>
      <c r="F9079" s="2">
        <v>2</v>
      </c>
      <c r="G9079" s="2" t="s">
        <v>14</v>
      </c>
      <c r="I9079" s="2" t="s">
        <v>4892</v>
      </c>
    </row>
    <row r="9080" spans="1:9" x14ac:dyDescent="0.2">
      <c r="A9080" s="2" t="s">
        <v>3250</v>
      </c>
      <c r="B9080" s="2" t="s">
        <v>77</v>
      </c>
      <c r="C9080" s="2">
        <v>574.5557</v>
      </c>
      <c r="D9080" s="2">
        <f>HYPERLINK("http://mcb-m6.bioreg.kyushu-u.ac.jp/M3/20110428/F51129/1304/1", 64.99)</f>
        <v>64.989999999999995</v>
      </c>
      <c r="E9080" s="2">
        <v>43.87</v>
      </c>
      <c r="F9080" s="2">
        <v>2</v>
      </c>
      <c r="G9080" s="2" t="s">
        <v>14</v>
      </c>
    </row>
    <row r="9081" spans="1:9" x14ac:dyDescent="0.2">
      <c r="A9081" s="2" t="s">
        <v>3250</v>
      </c>
      <c r="B9081" s="2" t="s">
        <v>834</v>
      </c>
      <c r="C9081" s="2">
        <v>621.59370000000001</v>
      </c>
      <c r="D9081" s="2">
        <f>HYPERLINK("http://mcb-m6.bioreg.kyushu-u.ac.jp/M3/20110428/F51126/1630/1", 65.26)</f>
        <v>65.260000000000005</v>
      </c>
      <c r="E9081" s="2">
        <v>42.85</v>
      </c>
      <c r="F9081" s="2">
        <v>2</v>
      </c>
      <c r="G9081" s="2" t="s">
        <v>14</v>
      </c>
    </row>
    <row r="9082" spans="1:9" x14ac:dyDescent="0.2">
      <c r="A9082" s="2" t="s">
        <v>3250</v>
      </c>
      <c r="B9082" s="2" t="s">
        <v>365</v>
      </c>
      <c r="C9082" s="2">
        <v>849.2672</v>
      </c>
      <c r="D9082" s="2">
        <f>HYPERLINK("http://mcb-m6.bioreg.kyushu-u.ac.jp/M3/20110427/F51123/2518/1", 65.35)</f>
        <v>65.349999999999994</v>
      </c>
      <c r="E9082" s="2">
        <v>46.19</v>
      </c>
      <c r="F9082" s="2">
        <v>2</v>
      </c>
      <c r="G9082" s="2" t="s">
        <v>14</v>
      </c>
    </row>
    <row r="9083" spans="1:9" x14ac:dyDescent="0.2">
      <c r="A9083" s="2" t="s">
        <v>3250</v>
      </c>
      <c r="B9083" s="2" t="s">
        <v>543</v>
      </c>
      <c r="C9083" s="2">
        <v>927.37019999999995</v>
      </c>
      <c r="D9083" s="2">
        <f>HYPERLINK("http://mcb-m6.bioreg.kyushu-u.ac.jp/M3/20110428/F51130/2887/1", 65.37)</f>
        <v>65.37</v>
      </c>
      <c r="E9083" s="2">
        <v>49.28</v>
      </c>
      <c r="F9083" s="2">
        <v>2</v>
      </c>
      <c r="G9083" s="2" t="s">
        <v>14</v>
      </c>
    </row>
    <row r="9084" spans="1:9" x14ac:dyDescent="0.2">
      <c r="A9084" s="2" t="s">
        <v>3250</v>
      </c>
      <c r="B9084" s="2" t="s">
        <v>481</v>
      </c>
      <c r="C9084" s="2">
        <v>709.17660000000001</v>
      </c>
      <c r="D9084" s="2">
        <f>HYPERLINK("http://mcb-m6.bioreg.kyushu-u.ac.jp/M3/20110428/F51128/1809/1", 65.56)</f>
        <v>65.56</v>
      </c>
      <c r="E9084" s="2">
        <v>45.33</v>
      </c>
      <c r="F9084" s="2">
        <v>2</v>
      </c>
      <c r="G9084" s="2" t="s">
        <v>14</v>
      </c>
      <c r="I9084" s="2" t="s">
        <v>4898</v>
      </c>
    </row>
    <row r="9085" spans="1:9" x14ac:dyDescent="0.2">
      <c r="A9085" s="2" t="s">
        <v>3250</v>
      </c>
      <c r="B9085" s="2" t="s">
        <v>834</v>
      </c>
      <c r="C9085" s="2">
        <v>622.11659999999995</v>
      </c>
      <c r="D9085" s="2">
        <f>HYPERLINK("http://mcb-m6.bioreg.kyushu-u.ac.jp/M3/20110428/F51126/1635/1", 65.68)</f>
        <v>65.680000000000007</v>
      </c>
      <c r="E9085" s="2">
        <v>40.770000000000003</v>
      </c>
      <c r="F9085" s="2">
        <v>2</v>
      </c>
      <c r="G9085" s="2" t="s">
        <v>14</v>
      </c>
    </row>
    <row r="9086" spans="1:9" x14ac:dyDescent="0.2">
      <c r="A9086" s="2" t="s">
        <v>3250</v>
      </c>
      <c r="B9086" s="2" t="s">
        <v>1787</v>
      </c>
      <c r="C9086" s="2">
        <v>588.62869999999998</v>
      </c>
      <c r="D9086" s="2">
        <f>HYPERLINK("http://mcb-m6.bioreg.kyushu-u.ac.jp/M3/20110428/F51129/1362/1", 65.83)</f>
        <v>65.83</v>
      </c>
      <c r="E9086" s="2">
        <v>45.71</v>
      </c>
      <c r="F9086" s="2">
        <v>2</v>
      </c>
      <c r="G9086" s="2" t="s">
        <v>14</v>
      </c>
      <c r="I9086" s="2" t="s">
        <v>4895</v>
      </c>
    </row>
    <row r="9087" spans="1:9" x14ac:dyDescent="0.2">
      <c r="A9087" s="2" t="s">
        <v>3250</v>
      </c>
      <c r="B9087" s="2" t="s">
        <v>102</v>
      </c>
      <c r="C9087" s="2">
        <v>616.12570000000005</v>
      </c>
      <c r="D9087" s="2">
        <f>HYPERLINK("http://mcb-m6.bioreg.kyushu-u.ac.jp/M3/20110427/F51124/1539/1", 65.84)</f>
        <v>65.84</v>
      </c>
      <c r="E9087" s="2">
        <v>48.49</v>
      </c>
      <c r="F9087" s="2">
        <v>2</v>
      </c>
      <c r="G9087" s="2" t="s">
        <v>14</v>
      </c>
      <c r="H9087" s="2" t="s">
        <v>4900</v>
      </c>
    </row>
    <row r="9088" spans="1:9" x14ac:dyDescent="0.2">
      <c r="A9088" s="2" t="s">
        <v>3250</v>
      </c>
      <c r="B9088" s="2" t="s">
        <v>102</v>
      </c>
      <c r="C9088" s="2">
        <v>616.10569999999996</v>
      </c>
      <c r="D9088" s="2">
        <f>HYPERLINK("http://mcb-m6.bioreg.kyushu-u.ac.jp/M3/20110428/F51126/1611/1", 66.23)</f>
        <v>66.23</v>
      </c>
      <c r="E9088" s="2">
        <v>45.56</v>
      </c>
      <c r="F9088" s="2">
        <v>2</v>
      </c>
      <c r="G9088" s="2" t="s">
        <v>14</v>
      </c>
      <c r="H9088" s="2" t="s">
        <v>4900</v>
      </c>
    </row>
    <row r="9089" spans="1:9" x14ac:dyDescent="0.2">
      <c r="A9089" s="2" t="s">
        <v>3250</v>
      </c>
      <c r="B9089" s="2" t="s">
        <v>102</v>
      </c>
      <c r="C9089" s="2">
        <v>616.34059999999999</v>
      </c>
      <c r="D9089" s="2">
        <f>HYPERLINK("http://mcb-m6.bioreg.kyushu-u.ac.jp/M3/20110428/F51130/1539/1", 66.3)</f>
        <v>66.3</v>
      </c>
      <c r="E9089" s="2">
        <v>45.88</v>
      </c>
      <c r="F9089" s="2">
        <v>2</v>
      </c>
      <c r="G9089" s="2" t="s">
        <v>14</v>
      </c>
      <c r="H9089" s="2" t="s">
        <v>4900</v>
      </c>
    </row>
    <row r="9090" spans="1:9" x14ac:dyDescent="0.2">
      <c r="A9090" s="2" t="s">
        <v>3250</v>
      </c>
      <c r="B9090" s="2" t="s">
        <v>772</v>
      </c>
      <c r="C9090" s="2">
        <v>1190.373</v>
      </c>
      <c r="D9090" s="2">
        <f>HYPERLINK("http://mcb-m6.bioreg.kyushu-u.ac.jp/M3/20110428/F51130/1459/1", 66.63)</f>
        <v>66.63</v>
      </c>
      <c r="E9090" s="2">
        <v>28.72</v>
      </c>
      <c r="F9090" s="2">
        <v>1</v>
      </c>
      <c r="G9090" s="2" t="s">
        <v>14</v>
      </c>
    </row>
    <row r="9091" spans="1:9" x14ac:dyDescent="0.2">
      <c r="A9091" s="2" t="s">
        <v>3250</v>
      </c>
      <c r="B9091" s="2" t="s">
        <v>365</v>
      </c>
      <c r="C9091" s="2">
        <v>849.36659999999995</v>
      </c>
      <c r="D9091" s="2">
        <f>HYPERLINK("http://mcb-m6.bioreg.kyushu-u.ac.jp/M3/20110428/F51134/2157/1", 66.75)</f>
        <v>66.75</v>
      </c>
      <c r="E9091" s="2">
        <v>49.46</v>
      </c>
      <c r="F9091" s="2">
        <v>2</v>
      </c>
      <c r="G9091" s="2" t="s">
        <v>14</v>
      </c>
    </row>
    <row r="9092" spans="1:9" x14ac:dyDescent="0.2">
      <c r="A9092" s="2" t="s">
        <v>3250</v>
      </c>
      <c r="B9092" s="2" t="s">
        <v>467</v>
      </c>
      <c r="C9092" s="2">
        <v>691.64970000000005</v>
      </c>
      <c r="D9092" s="2">
        <f>HYPERLINK("http://mcb-m6.bioreg.kyushu-u.ac.jp/M3/20110427/F51118/1895/1", 66.81)</f>
        <v>66.81</v>
      </c>
      <c r="E9092" s="2">
        <v>41.28</v>
      </c>
      <c r="F9092" s="2">
        <v>2</v>
      </c>
      <c r="G9092" s="2" t="s">
        <v>14</v>
      </c>
    </row>
    <row r="9093" spans="1:9" x14ac:dyDescent="0.2">
      <c r="A9093" s="2" t="s">
        <v>3250</v>
      </c>
      <c r="B9093" s="2" t="s">
        <v>481</v>
      </c>
      <c r="C9093" s="2">
        <v>709.16719999999998</v>
      </c>
      <c r="D9093" s="2">
        <f>HYPERLINK("http://mcb-m6.bioreg.kyushu-u.ac.jp/M3/20110428/F51130/1923/1", 67.31)</f>
        <v>67.31</v>
      </c>
      <c r="E9093" s="2">
        <v>49.76</v>
      </c>
      <c r="F9093" s="2">
        <v>2</v>
      </c>
      <c r="G9093" s="2" t="s">
        <v>14</v>
      </c>
      <c r="I9093" s="2" t="s">
        <v>4898</v>
      </c>
    </row>
    <row r="9094" spans="1:9" x14ac:dyDescent="0.2">
      <c r="A9094" s="2" t="s">
        <v>3250</v>
      </c>
      <c r="B9094" s="2" t="s">
        <v>1787</v>
      </c>
      <c r="C9094" s="2">
        <v>588.6617</v>
      </c>
      <c r="D9094" s="2">
        <f>HYPERLINK("http://mcb-m6.bioreg.kyushu-u.ac.jp/M3/20110428/F51126/1494/1", 67.88)</f>
        <v>67.88</v>
      </c>
      <c r="E9094" s="2">
        <v>48.33</v>
      </c>
      <c r="F9094" s="2">
        <v>2</v>
      </c>
      <c r="G9094" s="2" t="s">
        <v>14</v>
      </c>
      <c r="I9094" s="2" t="s">
        <v>4895</v>
      </c>
    </row>
    <row r="9095" spans="1:9" x14ac:dyDescent="0.2">
      <c r="A9095" s="2" t="s">
        <v>3250</v>
      </c>
      <c r="B9095" s="2" t="s">
        <v>1875</v>
      </c>
      <c r="C9095" s="2">
        <v>780.31709999999998</v>
      </c>
      <c r="D9095" s="2">
        <f>HYPERLINK("http://mcb-m6.bioreg.kyushu-u.ac.jp/M3/20110428/F51129/2260/1", 68.36)</f>
        <v>68.36</v>
      </c>
      <c r="E9095" s="2">
        <v>55.41</v>
      </c>
      <c r="F9095" s="2">
        <v>2</v>
      </c>
      <c r="G9095" s="2" t="s">
        <v>14</v>
      </c>
      <c r="H9095" s="2" t="s">
        <v>4920</v>
      </c>
    </row>
    <row r="9096" spans="1:9" x14ac:dyDescent="0.2">
      <c r="A9096" s="2" t="s">
        <v>3250</v>
      </c>
      <c r="B9096" s="2" t="s">
        <v>467</v>
      </c>
      <c r="C9096" s="2">
        <v>691.4742</v>
      </c>
      <c r="D9096" s="2">
        <f>HYPERLINK("http://mcb-m6.bioreg.kyushu-u.ac.jp/M3/20110428/F51128/1721/1", 69.54)</f>
        <v>69.540000000000006</v>
      </c>
      <c r="E9096" s="2">
        <v>41.86</v>
      </c>
      <c r="F9096" s="2">
        <v>2</v>
      </c>
      <c r="G9096" s="2" t="s">
        <v>14</v>
      </c>
    </row>
    <row r="9097" spans="1:9" x14ac:dyDescent="0.2">
      <c r="A9097" s="2" t="s">
        <v>3250</v>
      </c>
      <c r="B9097" s="2" t="s">
        <v>365</v>
      </c>
      <c r="C9097" s="2">
        <v>848.54520000000002</v>
      </c>
      <c r="D9097" s="2">
        <f>HYPERLINK("http://mcb-m6.bioreg.kyushu-u.ac.jp/M3/20110427/F51121/2343/1", 69.79)</f>
        <v>69.790000000000006</v>
      </c>
      <c r="E9097" s="2">
        <v>48.8</v>
      </c>
      <c r="F9097" s="2">
        <v>2</v>
      </c>
      <c r="G9097" s="2" t="s">
        <v>14</v>
      </c>
    </row>
    <row r="9098" spans="1:9" x14ac:dyDescent="0.2">
      <c r="A9098" s="2" t="s">
        <v>3250</v>
      </c>
      <c r="B9098" s="2" t="s">
        <v>834</v>
      </c>
      <c r="C9098" s="2">
        <v>621.64869999999996</v>
      </c>
      <c r="D9098" s="2">
        <f>HYPERLINK("http://mcb-m6.bioreg.kyushu-u.ac.jp/M3/20110428/F51130/1558/1", 69.96)</f>
        <v>69.959999999999994</v>
      </c>
      <c r="E9098" s="2">
        <v>41.08</v>
      </c>
      <c r="F9098" s="2">
        <v>2</v>
      </c>
      <c r="G9098" s="2" t="s">
        <v>14</v>
      </c>
    </row>
    <row r="9099" spans="1:9" x14ac:dyDescent="0.2">
      <c r="A9099" s="2" t="s">
        <v>3250</v>
      </c>
      <c r="B9099" s="2" t="s">
        <v>1787</v>
      </c>
      <c r="C9099" s="2">
        <v>588.60360000000003</v>
      </c>
      <c r="D9099" s="2">
        <f>HYPERLINK("http://mcb-m6.bioreg.kyushu-u.ac.jp/M3/20110428/F51128/1291/1", 70.14)</f>
        <v>70.14</v>
      </c>
      <c r="E9099" s="2">
        <v>51.21</v>
      </c>
      <c r="F9099" s="2">
        <v>2</v>
      </c>
      <c r="G9099" s="2" t="s">
        <v>14</v>
      </c>
      <c r="I9099" s="2" t="s">
        <v>4895</v>
      </c>
    </row>
    <row r="9100" spans="1:9" x14ac:dyDescent="0.2">
      <c r="A9100" s="2" t="s">
        <v>3250</v>
      </c>
      <c r="B9100" s="2" t="s">
        <v>1787</v>
      </c>
      <c r="C9100" s="2">
        <v>588.58069999999998</v>
      </c>
      <c r="D9100" s="2">
        <f>HYPERLINK("http://mcb-m6.bioreg.kyushu-u.ac.jp/M3/20110428/F51130/1417/1", 70.29)</f>
        <v>70.290000000000006</v>
      </c>
      <c r="E9100" s="2">
        <v>51.3</v>
      </c>
      <c r="F9100" s="2">
        <v>2</v>
      </c>
      <c r="G9100" s="2" t="s">
        <v>14</v>
      </c>
      <c r="I9100" s="2" t="s">
        <v>4895</v>
      </c>
    </row>
    <row r="9101" spans="1:9" x14ac:dyDescent="0.2">
      <c r="A9101" s="2" t="s">
        <v>3250</v>
      </c>
      <c r="B9101" s="2" t="s">
        <v>834</v>
      </c>
      <c r="C9101" s="2">
        <v>621.59969999999998</v>
      </c>
      <c r="D9101" s="2">
        <f>HYPERLINK("http://mcb-m6.bioreg.kyushu-u.ac.jp/M3/20110428/F51128/1429/1", 70.63)</f>
        <v>70.63</v>
      </c>
      <c r="E9101" s="2">
        <v>47.24</v>
      </c>
      <c r="F9101" s="2">
        <v>2</v>
      </c>
      <c r="G9101" s="2" t="s">
        <v>14</v>
      </c>
    </row>
    <row r="9102" spans="1:9" x14ac:dyDescent="0.2">
      <c r="A9102" s="2" t="s">
        <v>3250</v>
      </c>
      <c r="B9102" s="2" t="s">
        <v>102</v>
      </c>
      <c r="C9102" s="2">
        <v>608.37070000000006</v>
      </c>
      <c r="D9102" s="2">
        <f>HYPERLINK("http://mcb-m6.bioreg.kyushu-u.ac.jp/M3/20110428/F51128/1388/1", 71.08)</f>
        <v>71.08</v>
      </c>
      <c r="E9102" s="2">
        <v>48.55</v>
      </c>
      <c r="F9102" s="2">
        <v>2</v>
      </c>
      <c r="G9102" s="2" t="s">
        <v>14</v>
      </c>
    </row>
    <row r="9103" spans="1:9" x14ac:dyDescent="0.2">
      <c r="A9103" s="2" t="s">
        <v>3250</v>
      </c>
      <c r="B9103" s="2" t="s">
        <v>481</v>
      </c>
      <c r="C9103" s="2">
        <v>709.40260000000001</v>
      </c>
      <c r="D9103" s="2">
        <f>HYPERLINK("http://mcb-m6.bioreg.kyushu-u.ac.jp/M3/20110427/F51125/1937/1", 71.65)</f>
        <v>71.650000000000006</v>
      </c>
      <c r="E9103" s="2">
        <v>40.340000000000003</v>
      </c>
      <c r="F9103" s="2">
        <v>2</v>
      </c>
      <c r="G9103" s="2" t="s">
        <v>14</v>
      </c>
      <c r="I9103" s="2" t="s">
        <v>4898</v>
      </c>
    </row>
    <row r="9104" spans="1:9" x14ac:dyDescent="0.2">
      <c r="A9104" s="2" t="s">
        <v>3250</v>
      </c>
      <c r="B9104" s="2" t="s">
        <v>356</v>
      </c>
      <c r="C9104" s="2">
        <v>816.20069999999998</v>
      </c>
      <c r="D9104" s="2">
        <f>HYPERLINK("http://mcb-m6.bioreg.kyushu-u.ac.jp/M3/20110428/F51130/2424/1", 71.86)</f>
        <v>71.86</v>
      </c>
      <c r="E9104" s="2">
        <v>55.17</v>
      </c>
      <c r="F9104" s="2">
        <v>2</v>
      </c>
      <c r="G9104" s="2" t="s">
        <v>14</v>
      </c>
    </row>
    <row r="9105" spans="1:9" x14ac:dyDescent="0.2">
      <c r="A9105" s="2" t="s">
        <v>3250</v>
      </c>
      <c r="B9105" s="2" t="s">
        <v>772</v>
      </c>
      <c r="C9105" s="2">
        <v>595.56619999999998</v>
      </c>
      <c r="D9105" s="2">
        <f>HYPERLINK("http://mcb-m6.bioreg.kyushu-u.ac.jp/M3/20110428/F51126/1529/1", 71.95)</f>
        <v>71.95</v>
      </c>
      <c r="E9105" s="2">
        <v>31.56</v>
      </c>
      <c r="F9105" s="2">
        <v>2</v>
      </c>
      <c r="G9105" s="2" t="s">
        <v>14</v>
      </c>
    </row>
    <row r="9106" spans="1:9" x14ac:dyDescent="0.2">
      <c r="A9106" s="2" t="s">
        <v>3250</v>
      </c>
      <c r="B9106" s="2" t="s">
        <v>481</v>
      </c>
      <c r="C9106" s="2">
        <v>709.23109999999997</v>
      </c>
      <c r="D9106" s="2">
        <f>HYPERLINK("http://mcb-m6.bioreg.kyushu-u.ac.jp/M3/20110427/F51119/2029/1", 72.33)</f>
        <v>72.33</v>
      </c>
      <c r="E9106" s="2">
        <v>47.58</v>
      </c>
      <c r="F9106" s="2">
        <v>2</v>
      </c>
      <c r="G9106" s="2" t="s">
        <v>14</v>
      </c>
      <c r="I9106" s="2" t="s">
        <v>4898</v>
      </c>
    </row>
    <row r="9107" spans="1:9" x14ac:dyDescent="0.2">
      <c r="A9107" s="2" t="s">
        <v>3250</v>
      </c>
      <c r="B9107" s="2" t="s">
        <v>1787</v>
      </c>
      <c r="C9107" s="2">
        <v>588.04719999999998</v>
      </c>
      <c r="D9107" s="2">
        <f>HYPERLINK("http://mcb-m6.bioreg.kyushu-u.ac.jp/M3/20110427/F51124/1417/1", 72.93)</f>
        <v>72.930000000000007</v>
      </c>
      <c r="E9107" s="2">
        <v>50.47</v>
      </c>
      <c r="F9107" s="2">
        <v>2</v>
      </c>
      <c r="G9107" s="2" t="s">
        <v>14</v>
      </c>
      <c r="I9107" s="2" t="s">
        <v>4895</v>
      </c>
    </row>
    <row r="9108" spans="1:9" x14ac:dyDescent="0.2">
      <c r="A9108" s="2" t="s">
        <v>3250</v>
      </c>
      <c r="B9108" s="2" t="s">
        <v>561</v>
      </c>
      <c r="C9108" s="2">
        <v>662.39760000000001</v>
      </c>
      <c r="D9108" s="2">
        <f>HYPERLINK("http://mcb-m6.bioreg.kyushu-u.ac.jp/M3/20110427/F51123/1646/1", 73.12)</f>
        <v>73.12</v>
      </c>
      <c r="E9108" s="2">
        <v>52.86</v>
      </c>
      <c r="F9108" s="2">
        <v>2</v>
      </c>
      <c r="G9108" s="2" t="s">
        <v>14</v>
      </c>
      <c r="H9108" s="2" t="s">
        <v>4919</v>
      </c>
    </row>
    <row r="9109" spans="1:9" x14ac:dyDescent="0.2">
      <c r="A9109" s="2" t="s">
        <v>3250</v>
      </c>
      <c r="B9109" s="2" t="s">
        <v>1065</v>
      </c>
      <c r="C9109" s="2">
        <v>717.15809999999999</v>
      </c>
      <c r="D9109" s="2">
        <f>HYPERLINK("http://mcb-m6.bioreg.kyushu-u.ac.jp/M3/20110427/F51125/1977/1", 73.31)</f>
        <v>73.31</v>
      </c>
      <c r="E9109" s="2">
        <v>59.61</v>
      </c>
      <c r="F9109" s="2">
        <v>2</v>
      </c>
      <c r="G9109" s="2" t="s">
        <v>14</v>
      </c>
      <c r="I9109" s="2" t="s">
        <v>4892</v>
      </c>
    </row>
    <row r="9110" spans="1:9" x14ac:dyDescent="0.2">
      <c r="A9110" s="2" t="s">
        <v>3250</v>
      </c>
      <c r="B9110" s="2" t="s">
        <v>561</v>
      </c>
      <c r="C9110" s="2">
        <v>662.6327</v>
      </c>
      <c r="D9110" s="2">
        <f>HYPERLINK("http://mcb-m6.bioreg.kyushu-u.ac.jp/M3/20110427/F51118/1804/1", 73.71)</f>
        <v>73.709999999999994</v>
      </c>
      <c r="E9110" s="2">
        <v>45.84</v>
      </c>
      <c r="F9110" s="2">
        <v>2</v>
      </c>
      <c r="G9110" s="2" t="s">
        <v>14</v>
      </c>
      <c r="H9110" s="2" t="s">
        <v>4919</v>
      </c>
    </row>
    <row r="9111" spans="1:9" x14ac:dyDescent="0.2">
      <c r="A9111" s="2" t="s">
        <v>3250</v>
      </c>
      <c r="B9111" s="2" t="s">
        <v>365</v>
      </c>
      <c r="C9111" s="2">
        <v>848.78520000000003</v>
      </c>
      <c r="D9111" s="2">
        <f>HYPERLINK("http://mcb-m6.bioreg.kyushu-u.ac.jp/M3/20110428/F51134/2156/1", 73.89)</f>
        <v>73.89</v>
      </c>
      <c r="E9111" s="2">
        <v>57.74</v>
      </c>
      <c r="F9111" s="2">
        <v>2</v>
      </c>
      <c r="G9111" s="2" t="s">
        <v>14</v>
      </c>
    </row>
    <row r="9112" spans="1:9" x14ac:dyDescent="0.2">
      <c r="A9112" s="2" t="s">
        <v>3250</v>
      </c>
      <c r="B9112" s="2" t="s">
        <v>1255</v>
      </c>
      <c r="C9112" s="2">
        <v>1273.4749999999999</v>
      </c>
      <c r="D9112" s="2">
        <f>HYPERLINK("http://mcb-m6.bioreg.kyushu-u.ac.jp/M3/20110428/F51130/3529/1", 73.97)</f>
        <v>73.97</v>
      </c>
      <c r="E9112" s="2">
        <v>59.58</v>
      </c>
      <c r="F9112" s="2">
        <v>2</v>
      </c>
      <c r="G9112" s="2" t="s">
        <v>14</v>
      </c>
      <c r="I9112" s="2" t="s">
        <v>4906</v>
      </c>
    </row>
    <row r="9113" spans="1:9" x14ac:dyDescent="0.2">
      <c r="A9113" s="2" t="s">
        <v>3250</v>
      </c>
      <c r="B9113" s="2" t="s">
        <v>102</v>
      </c>
      <c r="C9113" s="2">
        <v>608.08810000000005</v>
      </c>
      <c r="D9113" s="2">
        <f>HYPERLINK("http://mcb-m6.bioreg.kyushu-u.ac.jp/M3/20110428/F51129/1451/1", 74.09)</f>
        <v>74.09</v>
      </c>
      <c r="E9113" s="2">
        <v>56.72</v>
      </c>
      <c r="F9113" s="2">
        <v>2</v>
      </c>
      <c r="G9113" s="2" t="s">
        <v>14</v>
      </c>
    </row>
    <row r="9114" spans="1:9" x14ac:dyDescent="0.2">
      <c r="A9114" s="2" t="s">
        <v>3250</v>
      </c>
      <c r="B9114" s="2" t="s">
        <v>772</v>
      </c>
      <c r="C9114" s="2">
        <v>596.11069999999995</v>
      </c>
      <c r="D9114" s="2">
        <f>HYPERLINK("http://mcb-m6.bioreg.kyushu-u.ac.jp/M3/20110427/F51125/1566/1", 74.1)</f>
        <v>74.099999999999994</v>
      </c>
      <c r="E9114" s="2">
        <v>49.85</v>
      </c>
      <c r="F9114" s="2">
        <v>2</v>
      </c>
      <c r="G9114" s="2" t="s">
        <v>14</v>
      </c>
    </row>
    <row r="9115" spans="1:9" x14ac:dyDescent="0.2">
      <c r="A9115" s="2" t="s">
        <v>3250</v>
      </c>
      <c r="B9115" s="2" t="s">
        <v>365</v>
      </c>
      <c r="C9115" s="2">
        <v>848.66520000000003</v>
      </c>
      <c r="D9115" s="2">
        <f>HYPERLINK("http://mcb-m6.bioreg.kyushu-u.ac.jp/M3/20110428/F51126/2541/1", 75.2)</f>
        <v>75.2</v>
      </c>
      <c r="E9115" s="2">
        <v>58.96</v>
      </c>
      <c r="F9115" s="2">
        <v>2</v>
      </c>
      <c r="G9115" s="2" t="s">
        <v>14</v>
      </c>
    </row>
    <row r="9116" spans="1:9" x14ac:dyDescent="0.2">
      <c r="A9116" s="2" t="s">
        <v>3250</v>
      </c>
      <c r="B9116" s="2" t="s">
        <v>561</v>
      </c>
      <c r="C9116" s="2">
        <v>662.62220000000002</v>
      </c>
      <c r="D9116" s="2">
        <f>HYPERLINK("http://mcb-m6.bioreg.kyushu-u.ac.jp/M3/20110428/F51126/1753/1", 75.37)</f>
        <v>75.37</v>
      </c>
      <c r="E9116" s="2">
        <v>54.04</v>
      </c>
      <c r="F9116" s="2">
        <v>2</v>
      </c>
      <c r="G9116" s="2" t="s">
        <v>14</v>
      </c>
      <c r="H9116" s="2" t="s">
        <v>4919</v>
      </c>
    </row>
    <row r="9117" spans="1:9" x14ac:dyDescent="0.2">
      <c r="A9117" s="2" t="s">
        <v>3250</v>
      </c>
      <c r="B9117" s="2" t="s">
        <v>1255</v>
      </c>
      <c r="C9117" s="2">
        <v>1273.808</v>
      </c>
      <c r="D9117" s="2">
        <f>HYPERLINK("http://mcb-m6.bioreg.kyushu-u.ac.jp/M3/20110427/F51123/3644/1", 75.53)</f>
        <v>75.53</v>
      </c>
      <c r="E9117" s="2">
        <v>66.67</v>
      </c>
      <c r="F9117" s="2">
        <v>2</v>
      </c>
      <c r="G9117" s="2" t="s">
        <v>14</v>
      </c>
      <c r="I9117" s="2" t="s">
        <v>4906</v>
      </c>
    </row>
    <row r="9118" spans="1:9" x14ac:dyDescent="0.2">
      <c r="A9118" s="2" t="s">
        <v>3250</v>
      </c>
      <c r="B9118" s="2" t="s">
        <v>1787</v>
      </c>
      <c r="C9118" s="2">
        <v>588.07759999999996</v>
      </c>
      <c r="D9118" s="2">
        <f>HYPERLINK("http://mcb-m6.bioreg.kyushu-u.ac.jp/M3/20110428/F51128/1286/1", 75.56)</f>
        <v>75.56</v>
      </c>
      <c r="E9118" s="2">
        <v>51.85</v>
      </c>
      <c r="F9118" s="2">
        <v>2</v>
      </c>
      <c r="G9118" s="2" t="s">
        <v>14</v>
      </c>
      <c r="I9118" s="2" t="s">
        <v>4895</v>
      </c>
    </row>
    <row r="9119" spans="1:9" x14ac:dyDescent="0.2">
      <c r="A9119" s="2" t="s">
        <v>3250</v>
      </c>
      <c r="B9119" s="2" t="s">
        <v>467</v>
      </c>
      <c r="C9119" s="2">
        <v>1382.4169999999999</v>
      </c>
      <c r="D9119" s="2">
        <f>HYPERLINK("http://mcb-m6.bioreg.kyushu-u.ac.jp/M3/20110428/F51126/1867/1", 75.8)</f>
        <v>75.8</v>
      </c>
      <c r="E9119" s="2">
        <v>59.85</v>
      </c>
      <c r="F9119" s="2">
        <v>1</v>
      </c>
      <c r="G9119" s="2" t="s">
        <v>14</v>
      </c>
    </row>
    <row r="9120" spans="1:9" x14ac:dyDescent="0.2">
      <c r="A9120" s="2" t="s">
        <v>3250</v>
      </c>
      <c r="B9120" s="2" t="s">
        <v>311</v>
      </c>
      <c r="C9120" s="2">
        <v>599.13620000000003</v>
      </c>
      <c r="D9120" s="2">
        <f>HYPERLINK("http://mcb-m6.bioreg.kyushu-u.ac.jp/M3/20110428/F51126/1546/1", 76.09)</f>
        <v>76.09</v>
      </c>
      <c r="E9120" s="2">
        <v>52.08</v>
      </c>
      <c r="F9120" s="2">
        <v>2</v>
      </c>
      <c r="G9120" s="2" t="s">
        <v>14</v>
      </c>
    </row>
    <row r="9121" spans="1:9" x14ac:dyDescent="0.2">
      <c r="A9121" s="2" t="s">
        <v>3250</v>
      </c>
      <c r="B9121" s="2" t="s">
        <v>102</v>
      </c>
      <c r="C9121" s="2">
        <v>608.05470000000003</v>
      </c>
      <c r="D9121" s="2">
        <f>HYPERLINK("http://mcb-m6.bioreg.kyushu-u.ac.jp/M3/20110427/F51124/1502/1", 76.15)</f>
        <v>76.150000000000006</v>
      </c>
      <c r="E9121" s="2">
        <v>51.2</v>
      </c>
      <c r="F9121" s="2">
        <v>2</v>
      </c>
      <c r="G9121" s="2" t="s">
        <v>14</v>
      </c>
    </row>
    <row r="9122" spans="1:9" x14ac:dyDescent="0.2">
      <c r="A9122" s="2" t="s">
        <v>3250</v>
      </c>
      <c r="B9122" s="2" t="s">
        <v>356</v>
      </c>
      <c r="C9122" s="2">
        <v>816.0992</v>
      </c>
      <c r="D9122" s="2">
        <f>HYPERLINK("http://mcb-m6.bioreg.kyushu-u.ac.jp/M3/20110427/F51122/2446/1", 76.62)</f>
        <v>76.62</v>
      </c>
      <c r="E9122" s="2">
        <v>63.79</v>
      </c>
      <c r="F9122" s="2">
        <v>2</v>
      </c>
      <c r="G9122" s="2" t="s">
        <v>14</v>
      </c>
    </row>
    <row r="9123" spans="1:9" x14ac:dyDescent="0.2">
      <c r="A9123" s="2" t="s">
        <v>3250</v>
      </c>
      <c r="B9123" s="2" t="s">
        <v>1255</v>
      </c>
      <c r="C9123" s="2">
        <v>1273.7360000000001</v>
      </c>
      <c r="D9123" s="2">
        <f>HYPERLINK("http://mcb-m6.bioreg.kyushu-u.ac.jp/M3/20110428/F51129/3499/1", 77.17)</f>
        <v>77.17</v>
      </c>
      <c r="E9123" s="2">
        <v>67.5</v>
      </c>
      <c r="F9123" s="2">
        <v>2</v>
      </c>
      <c r="G9123" s="2" t="s">
        <v>14</v>
      </c>
      <c r="I9123" s="2" t="s">
        <v>4906</v>
      </c>
    </row>
    <row r="9124" spans="1:9" x14ac:dyDescent="0.2">
      <c r="A9124" s="2" t="s">
        <v>3250</v>
      </c>
      <c r="B9124" s="2" t="s">
        <v>481</v>
      </c>
      <c r="C9124" s="2">
        <v>709.11569999999995</v>
      </c>
      <c r="D9124" s="2">
        <f>HYPERLINK("http://mcb-m6.bioreg.kyushu-u.ac.jp/M3/20110428/F51129/1862/1", 77.24)</f>
        <v>77.239999999999995</v>
      </c>
      <c r="E9124" s="2">
        <v>52.09</v>
      </c>
      <c r="F9124" s="2">
        <v>2</v>
      </c>
      <c r="G9124" s="2" t="s">
        <v>14</v>
      </c>
      <c r="I9124" s="2" t="s">
        <v>4898</v>
      </c>
    </row>
    <row r="9125" spans="1:9" x14ac:dyDescent="0.2">
      <c r="A9125" s="2" t="s">
        <v>3250</v>
      </c>
      <c r="B9125" s="2" t="s">
        <v>77</v>
      </c>
      <c r="C9125" s="2">
        <v>574.51369999999997</v>
      </c>
      <c r="D9125" s="2">
        <f>HYPERLINK("http://mcb-m6.bioreg.kyushu-u.ac.jp/M3/20110427/F51125/1465/1", 77.53)</f>
        <v>77.53</v>
      </c>
      <c r="E9125" s="2">
        <v>50.79</v>
      </c>
      <c r="F9125" s="2">
        <v>2</v>
      </c>
      <c r="G9125" s="2" t="s">
        <v>14</v>
      </c>
    </row>
    <row r="9126" spans="1:9" x14ac:dyDescent="0.2">
      <c r="A9126" s="2" t="s">
        <v>3250</v>
      </c>
      <c r="B9126" s="2" t="s">
        <v>1065</v>
      </c>
      <c r="C9126" s="2">
        <v>716.8732</v>
      </c>
      <c r="D9126" s="2">
        <f>HYPERLINK("http://mcb-m6.bioreg.kyushu-u.ac.jp/M3/20110428/F51126/1967/1", 77.95)</f>
        <v>77.95</v>
      </c>
      <c r="E9126" s="2">
        <v>67.5</v>
      </c>
      <c r="F9126" s="2">
        <v>2</v>
      </c>
      <c r="G9126" s="2" t="s">
        <v>14</v>
      </c>
      <c r="I9126" s="2" t="s">
        <v>4892</v>
      </c>
    </row>
    <row r="9127" spans="1:9" x14ac:dyDescent="0.2">
      <c r="A9127" s="2" t="s">
        <v>3250</v>
      </c>
      <c r="B9127" s="2" t="s">
        <v>561</v>
      </c>
      <c r="C9127" s="2">
        <v>662.53719999999998</v>
      </c>
      <c r="D9127" s="2">
        <f>HYPERLINK("http://mcb-m6.bioreg.kyushu-u.ac.jp/M3/20110428/F51134/1719/1", 78.37)</f>
        <v>78.37</v>
      </c>
      <c r="E9127" s="2">
        <v>57.74</v>
      </c>
      <c r="F9127" s="2">
        <v>2</v>
      </c>
      <c r="G9127" s="2" t="s">
        <v>14</v>
      </c>
      <c r="H9127" s="2" t="s">
        <v>4919</v>
      </c>
    </row>
    <row r="9128" spans="1:9" x14ac:dyDescent="0.2">
      <c r="A9128" s="2" t="s">
        <v>3250</v>
      </c>
      <c r="B9128" s="2" t="s">
        <v>772</v>
      </c>
      <c r="C9128" s="2">
        <v>596.15869999999995</v>
      </c>
      <c r="D9128" s="2">
        <f>HYPERLINK("http://mcb-m6.bioreg.kyushu-u.ac.jp/M3/20110427/F51122/1663/1", 78.7)</f>
        <v>78.7</v>
      </c>
      <c r="E9128" s="2">
        <v>55.51</v>
      </c>
      <c r="F9128" s="2">
        <v>2</v>
      </c>
      <c r="G9128" s="2" t="s">
        <v>14</v>
      </c>
    </row>
    <row r="9129" spans="1:9" x14ac:dyDescent="0.2">
      <c r="A9129" s="2" t="s">
        <v>3250</v>
      </c>
      <c r="B9129" s="2" t="s">
        <v>772</v>
      </c>
      <c r="C9129" s="2">
        <v>596.09969999999998</v>
      </c>
      <c r="D9129" s="2">
        <f>HYPERLINK("http://mcb-m6.bioreg.kyushu-u.ac.jp/M3/20110427/F51124/1459/1", 78.76)</f>
        <v>78.760000000000005</v>
      </c>
      <c r="E9129" s="2">
        <v>52.12</v>
      </c>
      <c r="F9129" s="2">
        <v>2</v>
      </c>
      <c r="G9129" s="2" t="s">
        <v>14</v>
      </c>
    </row>
    <row r="9130" spans="1:9" x14ac:dyDescent="0.2">
      <c r="A9130" s="2" t="s">
        <v>3250</v>
      </c>
      <c r="B9130" s="2" t="s">
        <v>561</v>
      </c>
      <c r="C9130" s="2">
        <v>654.55070000000001</v>
      </c>
      <c r="D9130" s="2">
        <f>HYPERLINK("http://mcb-m6.bioreg.kyushu-u.ac.jp/M3/20110428/F51126/1728/1", 78.81)</f>
        <v>78.81</v>
      </c>
      <c r="E9130" s="2">
        <v>57.16</v>
      </c>
      <c r="F9130" s="2">
        <v>2</v>
      </c>
      <c r="G9130" s="2" t="s">
        <v>14</v>
      </c>
    </row>
    <row r="9131" spans="1:9" x14ac:dyDescent="0.2">
      <c r="A9131" s="2" t="s">
        <v>3250</v>
      </c>
      <c r="B9131" s="2" t="s">
        <v>834</v>
      </c>
      <c r="C9131" s="2">
        <v>621.65920000000006</v>
      </c>
      <c r="D9131" s="2">
        <f>HYPERLINK("http://mcb-m6.bioreg.kyushu-u.ac.jp/M3/20110428/F51129/1490/1", 79.09)</f>
        <v>79.09</v>
      </c>
      <c r="E9131" s="2">
        <v>54.79</v>
      </c>
      <c r="F9131" s="2">
        <v>2</v>
      </c>
      <c r="G9131" s="2" t="s">
        <v>14</v>
      </c>
    </row>
    <row r="9132" spans="1:9" x14ac:dyDescent="0.2">
      <c r="A9132" s="2" t="s">
        <v>3250</v>
      </c>
      <c r="B9132" s="2" t="s">
        <v>1065</v>
      </c>
      <c r="C9132" s="2">
        <v>716.70320000000004</v>
      </c>
      <c r="D9132" s="2">
        <f>HYPERLINK("http://mcb-m6.bioreg.kyushu-u.ac.jp/M3/20110428/F51130/1960/1", 79.35)</f>
        <v>79.349999999999994</v>
      </c>
      <c r="E9132" s="2">
        <v>65.44</v>
      </c>
      <c r="F9132" s="2">
        <v>2</v>
      </c>
      <c r="G9132" s="2" t="s">
        <v>14</v>
      </c>
      <c r="I9132" s="2" t="s">
        <v>4892</v>
      </c>
    </row>
    <row r="9133" spans="1:9" x14ac:dyDescent="0.2">
      <c r="A9133" s="2" t="s">
        <v>3250</v>
      </c>
      <c r="B9133" s="2" t="s">
        <v>102</v>
      </c>
      <c r="C9133" s="2">
        <v>608.11969999999997</v>
      </c>
      <c r="D9133" s="2">
        <f>HYPERLINK("http://mcb-m6.bioreg.kyushu-u.ac.jp/M3/20110428/F51130/1506/1", 79.44)</f>
        <v>79.44</v>
      </c>
      <c r="E9133" s="2">
        <v>51.8</v>
      </c>
      <c r="F9133" s="2">
        <v>2</v>
      </c>
      <c r="G9133" s="2" t="s">
        <v>14</v>
      </c>
    </row>
    <row r="9134" spans="1:9" x14ac:dyDescent="0.2">
      <c r="A9134" s="2" t="s">
        <v>3250</v>
      </c>
      <c r="B9134" s="2" t="s">
        <v>365</v>
      </c>
      <c r="C9134" s="2">
        <v>848.66970000000003</v>
      </c>
      <c r="D9134" s="2">
        <f>HYPERLINK("http://mcb-m6.bioreg.kyushu-u.ac.jp/M3/20110427/F51125/2542/1", 79.82)</f>
        <v>79.819999999999993</v>
      </c>
      <c r="E9134" s="2">
        <v>58.86</v>
      </c>
      <c r="F9134" s="2">
        <v>2</v>
      </c>
      <c r="G9134" s="2" t="s">
        <v>14</v>
      </c>
    </row>
    <row r="9135" spans="1:9" x14ac:dyDescent="0.2">
      <c r="A9135" s="2" t="s">
        <v>3250</v>
      </c>
      <c r="B9135" s="2" t="s">
        <v>365</v>
      </c>
      <c r="C9135" s="2">
        <v>849.22360000000003</v>
      </c>
      <c r="D9135" s="2">
        <f>HYPERLINK("http://mcb-m6.bioreg.kyushu-u.ac.jp/M3/20110428/F51130/2571/1", 80.15)</f>
        <v>80.150000000000006</v>
      </c>
      <c r="E9135" s="2">
        <v>58.42</v>
      </c>
      <c r="F9135" s="2">
        <v>2</v>
      </c>
      <c r="G9135" s="2" t="s">
        <v>14</v>
      </c>
    </row>
    <row r="9136" spans="1:9" x14ac:dyDescent="0.2">
      <c r="A9136" s="2" t="s">
        <v>3250</v>
      </c>
      <c r="B9136" s="2" t="s">
        <v>561</v>
      </c>
      <c r="C9136" s="2">
        <v>662.3682</v>
      </c>
      <c r="D9136" s="2">
        <f>HYPERLINK("http://mcb-m6.bioreg.kyushu-u.ac.jp/M3/20110427/F51124/1661/1", 80.22)</f>
        <v>80.22</v>
      </c>
      <c r="E9136" s="2">
        <v>60.38</v>
      </c>
      <c r="F9136" s="2">
        <v>2</v>
      </c>
      <c r="G9136" s="2" t="s">
        <v>14</v>
      </c>
      <c r="H9136" s="2" t="s">
        <v>4919</v>
      </c>
    </row>
    <row r="9137" spans="1:9" x14ac:dyDescent="0.2">
      <c r="A9137" s="2" t="s">
        <v>3250</v>
      </c>
      <c r="B9137" s="2" t="s">
        <v>356</v>
      </c>
      <c r="C9137" s="2">
        <v>816.50459999999998</v>
      </c>
      <c r="D9137" s="2">
        <f>HYPERLINK("http://mcb-m6.bioreg.kyushu-u.ac.jp/M3/20110428/F51130/2431/1", 81.03)</f>
        <v>81.03</v>
      </c>
      <c r="E9137" s="2">
        <v>62.85</v>
      </c>
      <c r="F9137" s="2">
        <v>2</v>
      </c>
      <c r="G9137" s="2" t="s">
        <v>14</v>
      </c>
    </row>
    <row r="9138" spans="1:9" x14ac:dyDescent="0.2">
      <c r="A9138" s="2" t="s">
        <v>3250</v>
      </c>
      <c r="B9138" s="2" t="s">
        <v>1065</v>
      </c>
      <c r="C9138" s="2">
        <v>716.68960000000004</v>
      </c>
      <c r="D9138" s="2">
        <f>HYPERLINK("http://mcb-m6.bioreg.kyushu-u.ac.jp/M3/20110427/F51124/1916/1", 81.78)</f>
        <v>81.78</v>
      </c>
      <c r="E9138" s="2">
        <v>68.3</v>
      </c>
      <c r="F9138" s="2">
        <v>2</v>
      </c>
      <c r="G9138" s="2" t="s">
        <v>14</v>
      </c>
      <c r="I9138" s="2" t="s">
        <v>4892</v>
      </c>
    </row>
    <row r="9139" spans="1:9" x14ac:dyDescent="0.2">
      <c r="A9139" s="2" t="s">
        <v>3250</v>
      </c>
      <c r="B9139" s="2" t="s">
        <v>561</v>
      </c>
      <c r="C9139" s="2">
        <v>654.21669999999995</v>
      </c>
      <c r="D9139" s="2">
        <f>HYPERLINK("http://mcb-m6.bioreg.kyushu-u.ac.jp/M3/20110428/F51134/1707/1", 82.34)</f>
        <v>82.34</v>
      </c>
      <c r="E9139" s="2">
        <v>63.92</v>
      </c>
      <c r="F9139" s="2">
        <v>2</v>
      </c>
      <c r="G9139" s="2" t="s">
        <v>14</v>
      </c>
    </row>
    <row r="9140" spans="1:9" x14ac:dyDescent="0.2">
      <c r="A9140" s="2" t="s">
        <v>3250</v>
      </c>
      <c r="B9140" s="2" t="s">
        <v>365</v>
      </c>
      <c r="C9140" s="2">
        <v>848.67719999999997</v>
      </c>
      <c r="D9140" s="2">
        <f>HYPERLINK("http://mcb-m6.bioreg.kyushu-u.ac.jp/M3/20110427/F51124/2488/1", 82.55)</f>
        <v>82.55</v>
      </c>
      <c r="E9140" s="2">
        <v>62.87</v>
      </c>
      <c r="F9140" s="2">
        <v>2</v>
      </c>
      <c r="G9140" s="2" t="s">
        <v>14</v>
      </c>
    </row>
    <row r="9141" spans="1:9" x14ac:dyDescent="0.2">
      <c r="A9141" s="2" t="s">
        <v>3250</v>
      </c>
      <c r="B9141" s="2" t="s">
        <v>481</v>
      </c>
      <c r="C9141" s="2">
        <v>709.48609999999996</v>
      </c>
      <c r="D9141" s="2">
        <f>HYPERLINK("http://mcb-m6.bioreg.kyushu-u.ac.jp/M3/20110427/F51118/1946/1", 82.68)</f>
        <v>82.68</v>
      </c>
      <c r="E9141" s="2">
        <v>58.82</v>
      </c>
      <c r="F9141" s="2">
        <v>2</v>
      </c>
      <c r="G9141" s="2" t="s">
        <v>14</v>
      </c>
      <c r="I9141" s="2" t="s">
        <v>4898</v>
      </c>
    </row>
    <row r="9142" spans="1:9" x14ac:dyDescent="0.2">
      <c r="A9142" s="2" t="s">
        <v>3250</v>
      </c>
      <c r="B9142" s="2" t="s">
        <v>481</v>
      </c>
      <c r="C9142" s="2">
        <v>709.29020000000003</v>
      </c>
      <c r="D9142" s="2">
        <f>HYPERLINK("http://mcb-m6.bioreg.kyushu-u.ac.jp/M3/20110428/F51134/1865/1", 82.99)</f>
        <v>82.99</v>
      </c>
      <c r="E9142" s="2">
        <v>64.3</v>
      </c>
      <c r="F9142" s="2">
        <v>2</v>
      </c>
      <c r="G9142" s="2" t="s">
        <v>14</v>
      </c>
      <c r="I9142" s="2" t="s">
        <v>4898</v>
      </c>
    </row>
    <row r="9143" spans="1:9" x14ac:dyDescent="0.2">
      <c r="A9143" s="2" t="s">
        <v>3250</v>
      </c>
      <c r="B9143" s="2" t="s">
        <v>467</v>
      </c>
      <c r="C9143" s="2">
        <v>692.15060000000005</v>
      </c>
      <c r="D9143" s="2">
        <f>HYPERLINK("http://mcb-m6.bioreg.kyushu-u.ac.jp/M3/20110428/F51129/1776/1", 84.16)</f>
        <v>84.16</v>
      </c>
      <c r="E9143" s="2">
        <v>50.62</v>
      </c>
      <c r="F9143" s="2">
        <v>2</v>
      </c>
      <c r="G9143" s="2" t="s">
        <v>14</v>
      </c>
    </row>
    <row r="9144" spans="1:9" x14ac:dyDescent="0.2">
      <c r="A9144" s="2" t="s">
        <v>3250</v>
      </c>
      <c r="B9144" s="2" t="s">
        <v>561</v>
      </c>
      <c r="C9144" s="2">
        <v>662.12869999999998</v>
      </c>
      <c r="D9144" s="2">
        <f>HYPERLINK("http://mcb-m6.bioreg.kyushu-u.ac.jp/M3/20110428/F51130/1683/1", 84.29)</f>
        <v>84.29</v>
      </c>
      <c r="E9144" s="2">
        <v>56.43</v>
      </c>
      <c r="F9144" s="2">
        <v>2</v>
      </c>
      <c r="G9144" s="2" t="s">
        <v>14</v>
      </c>
      <c r="H9144" s="2" t="s">
        <v>4919</v>
      </c>
    </row>
    <row r="9145" spans="1:9" x14ac:dyDescent="0.2">
      <c r="A9145" s="2" t="s">
        <v>3250</v>
      </c>
      <c r="B9145" s="2" t="s">
        <v>365</v>
      </c>
      <c r="C9145" s="2">
        <v>848.60609999999997</v>
      </c>
      <c r="D9145" s="2">
        <f>HYPERLINK("http://mcb-m6.bioreg.kyushu-u.ac.jp/M3/20110427/F51122/2546/1", 85.39)</f>
        <v>85.39</v>
      </c>
      <c r="E9145" s="2">
        <v>59.31</v>
      </c>
      <c r="F9145" s="2">
        <v>2</v>
      </c>
      <c r="G9145" s="2" t="s">
        <v>14</v>
      </c>
    </row>
    <row r="9146" spans="1:9" x14ac:dyDescent="0.2">
      <c r="A9146" s="2" t="s">
        <v>3250</v>
      </c>
      <c r="B9146" s="2" t="s">
        <v>77</v>
      </c>
      <c r="C9146" s="2">
        <v>574.64260000000002</v>
      </c>
      <c r="D9146" s="2">
        <f>HYPERLINK("http://mcb-m6.bioreg.kyushu-u.ac.jp/M3/20110427/F51124/1361/1", 85.53)</f>
        <v>85.53</v>
      </c>
      <c r="E9146" s="2">
        <v>62.58</v>
      </c>
      <c r="F9146" s="2">
        <v>2</v>
      </c>
      <c r="G9146" s="2" t="s">
        <v>14</v>
      </c>
    </row>
    <row r="9147" spans="1:9" x14ac:dyDescent="0.2">
      <c r="A9147" s="2" t="s">
        <v>3250</v>
      </c>
      <c r="B9147" s="2" t="s">
        <v>356</v>
      </c>
      <c r="C9147" s="2">
        <v>816.44069999999999</v>
      </c>
      <c r="D9147" s="2">
        <f>HYPERLINK("http://mcb-m6.bioreg.kyushu-u.ac.jp/M3/20110428/F51130/2429/1", 85.59)</f>
        <v>85.59</v>
      </c>
      <c r="E9147" s="2">
        <v>69.64</v>
      </c>
      <c r="F9147" s="2">
        <v>2</v>
      </c>
      <c r="G9147" s="2" t="s">
        <v>14</v>
      </c>
    </row>
    <row r="9148" spans="1:9" x14ac:dyDescent="0.2">
      <c r="A9148" s="2" t="s">
        <v>3250</v>
      </c>
      <c r="B9148" s="2" t="s">
        <v>503</v>
      </c>
      <c r="C9148" s="2">
        <v>816.20259999999996</v>
      </c>
      <c r="D9148" s="2">
        <f>HYPERLINK("http://mcb-m6.bioreg.kyushu-u.ac.jp/M3/20110428/F51130/2425/1", 85.77)</f>
        <v>85.77</v>
      </c>
      <c r="E9148" s="2">
        <v>74.900000000000006</v>
      </c>
      <c r="F9148" s="2">
        <v>2</v>
      </c>
      <c r="G9148" s="2" t="s">
        <v>14</v>
      </c>
      <c r="H9148" s="2" t="s">
        <v>4907</v>
      </c>
    </row>
    <row r="9149" spans="1:9" x14ac:dyDescent="0.2">
      <c r="A9149" s="2" t="s">
        <v>3250</v>
      </c>
      <c r="B9149" s="2" t="s">
        <v>561</v>
      </c>
      <c r="C9149" s="2">
        <v>654.10019999999997</v>
      </c>
      <c r="D9149" s="2">
        <f>HYPERLINK("http://mcb-m6.bioreg.kyushu-u.ac.jp/M3/20110428/F51130/1661/1", 87.82)</f>
        <v>87.82</v>
      </c>
      <c r="E9149" s="2">
        <v>56.88</v>
      </c>
      <c r="F9149" s="2">
        <v>2</v>
      </c>
      <c r="G9149" s="2" t="s">
        <v>14</v>
      </c>
    </row>
    <row r="9150" spans="1:9" x14ac:dyDescent="0.2">
      <c r="A9150" s="2" t="s">
        <v>3250</v>
      </c>
      <c r="B9150" s="2" t="s">
        <v>561</v>
      </c>
      <c r="C9150" s="2">
        <v>654.07669999999996</v>
      </c>
      <c r="D9150" s="2">
        <f>HYPERLINK("http://mcb-m6.bioreg.kyushu-u.ac.jp/M3/20110427/F51124/1634/1", 88.81)</f>
        <v>88.81</v>
      </c>
      <c r="E9150" s="2">
        <v>63.47</v>
      </c>
      <c r="F9150" s="2">
        <v>2</v>
      </c>
      <c r="G9150" s="2" t="s">
        <v>14</v>
      </c>
    </row>
    <row r="9151" spans="1:9" x14ac:dyDescent="0.2">
      <c r="A9151" s="2" t="s">
        <v>3250</v>
      </c>
      <c r="B9151" s="2" t="s">
        <v>356</v>
      </c>
      <c r="C9151" s="2">
        <v>816.12919999999997</v>
      </c>
      <c r="D9151" s="2">
        <f>HYPERLINK("http://mcb-m6.bioreg.kyushu-u.ac.jp/M3/20110428/F51126/2405/1", 89.73)</f>
        <v>89.73</v>
      </c>
      <c r="E9151" s="2">
        <v>71.42</v>
      </c>
      <c r="F9151" s="2">
        <v>2</v>
      </c>
      <c r="G9151" s="2" t="s">
        <v>14</v>
      </c>
    </row>
    <row r="9152" spans="1:9" x14ac:dyDescent="0.2">
      <c r="A9152" s="2" t="s">
        <v>3250</v>
      </c>
      <c r="B9152" s="2" t="s">
        <v>481</v>
      </c>
      <c r="C9152" s="2">
        <v>709.17769999999996</v>
      </c>
      <c r="D9152" s="2">
        <f>HYPERLINK("http://mcb-m6.bioreg.kyushu-u.ac.jp/M3/20110427/F51120/1972/1", 91.47)</f>
        <v>91.47</v>
      </c>
      <c r="E9152" s="2">
        <v>72.099999999999994</v>
      </c>
      <c r="F9152" s="2">
        <v>2</v>
      </c>
      <c r="G9152" s="2" t="s">
        <v>14</v>
      </c>
      <c r="I9152" s="2" t="s">
        <v>4898</v>
      </c>
    </row>
    <row r="9153" spans="1:9" x14ac:dyDescent="0.2">
      <c r="A9153" s="2" t="s">
        <v>3250</v>
      </c>
      <c r="B9153" s="2" t="s">
        <v>561</v>
      </c>
      <c r="C9153" s="2">
        <v>654.62660000000005</v>
      </c>
      <c r="D9153" s="2">
        <f>HYPERLINK("http://mcb-m6.bioreg.kyushu-u.ac.jp/M3/20110427/F51124/1637/1", 91.49)</f>
        <v>91.49</v>
      </c>
      <c r="E9153" s="2">
        <v>66.45</v>
      </c>
      <c r="F9153" s="2">
        <v>2</v>
      </c>
      <c r="G9153" s="2" t="s">
        <v>14</v>
      </c>
    </row>
    <row r="9154" spans="1:9" x14ac:dyDescent="0.2">
      <c r="A9154" s="2" t="s">
        <v>3250</v>
      </c>
      <c r="B9154" s="2" t="s">
        <v>481</v>
      </c>
      <c r="C9154" s="2">
        <v>709.15369999999996</v>
      </c>
      <c r="D9154" s="2">
        <f>HYPERLINK("http://mcb-m6.bioreg.kyushu-u.ac.jp/M3/20110428/F51126/1931/1", 91.73)</f>
        <v>91.73</v>
      </c>
      <c r="E9154" s="2">
        <v>71.760000000000005</v>
      </c>
      <c r="F9154" s="2">
        <v>2</v>
      </c>
      <c r="G9154" s="2" t="s">
        <v>14</v>
      </c>
      <c r="I9154" s="2" t="s">
        <v>4898</v>
      </c>
    </row>
    <row r="9155" spans="1:9" x14ac:dyDescent="0.2">
      <c r="A9155" s="2" t="s">
        <v>3250</v>
      </c>
      <c r="B9155" s="2" t="s">
        <v>561</v>
      </c>
      <c r="C9155" s="2">
        <v>654.60670000000005</v>
      </c>
      <c r="D9155" s="2">
        <f>HYPERLINK("http://mcb-m6.bioreg.kyushu-u.ac.jp/M3/20110428/F51130/1664/1", 91.93)</f>
        <v>91.93</v>
      </c>
      <c r="E9155" s="2">
        <v>69.06</v>
      </c>
      <c r="F9155" s="2">
        <v>2</v>
      </c>
      <c r="G9155" s="2" t="s">
        <v>14</v>
      </c>
    </row>
    <row r="9156" spans="1:9" x14ac:dyDescent="0.2">
      <c r="A9156" s="2" t="s">
        <v>3250</v>
      </c>
      <c r="B9156" s="2" t="s">
        <v>365</v>
      </c>
      <c r="C9156" s="2">
        <v>848.72220000000004</v>
      </c>
      <c r="D9156" s="2">
        <f>HYPERLINK("http://mcb-m6.bioreg.kyushu-u.ac.jp/M3/20110428/F51128/2482/1", 94.58)</f>
        <v>94.58</v>
      </c>
      <c r="E9156" s="2">
        <v>72.16</v>
      </c>
      <c r="F9156" s="2">
        <v>2</v>
      </c>
      <c r="G9156" s="2" t="s">
        <v>14</v>
      </c>
    </row>
    <row r="9157" spans="1:9" x14ac:dyDescent="0.2">
      <c r="A9157" s="2" t="s">
        <v>3250</v>
      </c>
      <c r="B9157" s="2" t="s">
        <v>772</v>
      </c>
      <c r="C9157" s="2">
        <v>596.06460000000004</v>
      </c>
      <c r="D9157" s="2">
        <f>HYPERLINK("http://mcb-m6.bioreg.kyushu-u.ac.jp/M3/20110427/F51118/1665/1", 95)</f>
        <v>95</v>
      </c>
      <c r="E9157" s="2">
        <v>69.36</v>
      </c>
      <c r="F9157" s="2">
        <v>2</v>
      </c>
      <c r="G9157" s="2" t="s">
        <v>14</v>
      </c>
    </row>
    <row r="9158" spans="1:9" x14ac:dyDescent="0.2">
      <c r="A9158" s="2" t="s">
        <v>3250</v>
      </c>
      <c r="B9158" s="2" t="s">
        <v>1255</v>
      </c>
      <c r="C9158" s="2">
        <v>1273.6990000000001</v>
      </c>
      <c r="D9158" s="2">
        <f>HYPERLINK("http://mcb-m6.bioreg.kyushu-u.ac.jp/M3/20110428/F51128/3632/1", 95.55)</f>
        <v>95.55</v>
      </c>
      <c r="E9158" s="2">
        <v>84.49</v>
      </c>
      <c r="F9158" s="2">
        <v>2</v>
      </c>
      <c r="G9158" s="2" t="s">
        <v>14</v>
      </c>
      <c r="I9158" s="2" t="s">
        <v>4906</v>
      </c>
    </row>
    <row r="9159" spans="1:9" x14ac:dyDescent="0.2">
      <c r="A9159" s="2" t="s">
        <v>3250</v>
      </c>
      <c r="B9159" s="2" t="s">
        <v>356</v>
      </c>
      <c r="C9159" s="2">
        <v>816.49620000000004</v>
      </c>
      <c r="D9159" s="2">
        <f>HYPERLINK("http://mcb-m6.bioreg.kyushu-u.ac.jp/M3/20110428/F51135/2148/1", 96.99)</f>
        <v>96.99</v>
      </c>
      <c r="E9159" s="2">
        <v>79.180000000000007</v>
      </c>
      <c r="F9159" s="2">
        <v>2</v>
      </c>
      <c r="G9159" s="2" t="s">
        <v>14</v>
      </c>
    </row>
    <row r="9160" spans="1:9" x14ac:dyDescent="0.2">
      <c r="A9160" s="2" t="s">
        <v>3250</v>
      </c>
      <c r="B9160" s="2" t="s">
        <v>90</v>
      </c>
      <c r="C9160" s="2">
        <v>717.08920000000001</v>
      </c>
      <c r="D9160" s="2">
        <f>HYPERLINK("http://mcb-m6.bioreg.kyushu-u.ac.jp/M3/20110428/F51126/1968/1", 97.1)</f>
        <v>97.1</v>
      </c>
      <c r="E9160" s="2">
        <v>69.489999999999995</v>
      </c>
      <c r="F9160" s="2">
        <v>2</v>
      </c>
      <c r="G9160" s="2" t="s">
        <v>14</v>
      </c>
    </row>
    <row r="9161" spans="1:9" x14ac:dyDescent="0.2">
      <c r="A9161" s="2" t="s">
        <v>3250</v>
      </c>
      <c r="B9161" s="2" t="s">
        <v>481</v>
      </c>
      <c r="C9161" s="2">
        <v>709.16420000000005</v>
      </c>
      <c r="D9161" s="2">
        <f>HYPERLINK("http://mcb-m6.bioreg.kyushu-u.ac.jp/M3/20110427/F51121/1887/1", 97.98)</f>
        <v>97.98</v>
      </c>
      <c r="E9161" s="2">
        <v>77.22</v>
      </c>
      <c r="F9161" s="2">
        <v>2</v>
      </c>
      <c r="G9161" s="2" t="s">
        <v>14</v>
      </c>
      <c r="I9161" s="2" t="s">
        <v>4898</v>
      </c>
    </row>
    <row r="9162" spans="1:9" x14ac:dyDescent="0.2">
      <c r="A9162" s="2" t="s">
        <v>3250</v>
      </c>
      <c r="B9162" s="2" t="s">
        <v>467</v>
      </c>
      <c r="C9162" s="2">
        <v>691.65470000000005</v>
      </c>
      <c r="D9162" s="2">
        <f>HYPERLINK("http://mcb-m6.bioreg.kyushu-u.ac.jp/M3/20110427/F51124/1799/1", 98.57)</f>
        <v>98.57</v>
      </c>
      <c r="E9162" s="2">
        <v>68.11</v>
      </c>
      <c r="F9162" s="2">
        <v>2</v>
      </c>
      <c r="G9162" s="2" t="s">
        <v>14</v>
      </c>
    </row>
    <row r="9163" spans="1:9" x14ac:dyDescent="0.2">
      <c r="A9163" s="2" t="s">
        <v>3250</v>
      </c>
      <c r="B9163" s="2" t="s">
        <v>481</v>
      </c>
      <c r="C9163" s="2">
        <v>709.11069999999995</v>
      </c>
      <c r="D9163" s="2">
        <f>HYPERLINK("http://mcb-m6.bioreg.kyushu-u.ac.jp/M3/20110427/F51123/1881/1", 99.66)</f>
        <v>99.66</v>
      </c>
      <c r="E9163" s="2">
        <v>76.819999999999993</v>
      </c>
      <c r="F9163" s="2">
        <v>2</v>
      </c>
      <c r="G9163" s="2" t="s">
        <v>14</v>
      </c>
      <c r="I9163" s="2" t="s">
        <v>4898</v>
      </c>
    </row>
    <row r="9164" spans="1:9" x14ac:dyDescent="0.2">
      <c r="A9164" s="2" t="s">
        <v>3250</v>
      </c>
      <c r="B9164" s="2" t="s">
        <v>467</v>
      </c>
      <c r="C9164" s="2">
        <v>691.62919999999997</v>
      </c>
      <c r="D9164" s="2">
        <f>HYPERLINK("http://mcb-m6.bioreg.kyushu-u.ac.jp/M3/20110428/F51134/1816/1", 100.92)</f>
        <v>100.92</v>
      </c>
      <c r="E9164" s="2">
        <v>66.92</v>
      </c>
      <c r="F9164" s="2">
        <v>2</v>
      </c>
      <c r="G9164" s="2" t="s">
        <v>14</v>
      </c>
    </row>
    <row r="9165" spans="1:9" x14ac:dyDescent="0.2">
      <c r="A9165" s="2" t="s">
        <v>3250</v>
      </c>
      <c r="B9165" s="2" t="s">
        <v>1521</v>
      </c>
      <c r="C9165" s="2">
        <v>988.80520000000001</v>
      </c>
      <c r="D9165" s="2">
        <f>HYPERLINK("http://mcb-m6.bioreg.kyushu-u.ac.jp/M3/20110428/F51129/2996/1", 101.6)</f>
        <v>101.6</v>
      </c>
      <c r="E9165" s="2">
        <v>84.83</v>
      </c>
      <c r="F9165" s="2">
        <v>2</v>
      </c>
      <c r="G9165" s="2" t="s">
        <v>14</v>
      </c>
    </row>
    <row r="9166" spans="1:9" x14ac:dyDescent="0.2">
      <c r="A9166" s="2" t="s">
        <v>3250</v>
      </c>
      <c r="B9166" s="2" t="s">
        <v>1255</v>
      </c>
      <c r="C9166" s="2">
        <v>1273.49</v>
      </c>
      <c r="D9166" s="2">
        <f>HYPERLINK("http://mcb-m6.bioreg.kyushu-u.ac.jp/M3/20110427/F51124/3389/1", 102.25)</f>
        <v>102.25</v>
      </c>
      <c r="E9166" s="2">
        <v>88.48</v>
      </c>
      <c r="F9166" s="2">
        <v>2</v>
      </c>
      <c r="G9166" s="2" t="s">
        <v>14</v>
      </c>
      <c r="I9166" s="2" t="s">
        <v>4906</v>
      </c>
    </row>
    <row r="9167" spans="1:9" x14ac:dyDescent="0.2">
      <c r="A9167" s="2" t="s">
        <v>3250</v>
      </c>
      <c r="B9167" s="2" t="s">
        <v>356</v>
      </c>
      <c r="C9167" s="2">
        <v>816.08720000000005</v>
      </c>
      <c r="D9167" s="2">
        <f>HYPERLINK("http://mcb-m6.bioreg.kyushu-u.ac.jp/M3/20110427/F51125/2416/1", 104.46)</f>
        <v>104.46</v>
      </c>
      <c r="E9167" s="2">
        <v>85.79</v>
      </c>
      <c r="F9167" s="2">
        <v>2</v>
      </c>
      <c r="G9167" s="2" t="s">
        <v>14</v>
      </c>
    </row>
    <row r="9168" spans="1:9" x14ac:dyDescent="0.2">
      <c r="A9168" s="2" t="s">
        <v>3250</v>
      </c>
      <c r="B9168" s="2" t="s">
        <v>503</v>
      </c>
      <c r="C9168" s="2">
        <v>808.76369999999997</v>
      </c>
      <c r="D9168" s="2">
        <f>HYPERLINK("http://mcb-m6.bioreg.kyushu-u.ac.jp/M3/20110428/F51130/2392/1", 106.83)</f>
        <v>106.83</v>
      </c>
      <c r="E9168" s="2">
        <v>89.6</v>
      </c>
      <c r="F9168" s="2">
        <v>2</v>
      </c>
      <c r="G9168" s="2" t="s">
        <v>14</v>
      </c>
    </row>
    <row r="9169" spans="1:7" x14ac:dyDescent="0.2">
      <c r="A9169" s="2" t="s">
        <v>3250</v>
      </c>
      <c r="B9169" s="2" t="s">
        <v>356</v>
      </c>
      <c r="C9169" s="2">
        <v>815.75570000000005</v>
      </c>
      <c r="D9169" s="2">
        <f>HYPERLINK("http://mcb-m6.bioreg.kyushu-u.ac.jp/M3/20110427/F51118/2282/1", 107.53)</f>
        <v>107.53</v>
      </c>
      <c r="E9169" s="2">
        <v>90.95</v>
      </c>
      <c r="F9169" s="2">
        <v>2</v>
      </c>
      <c r="G9169" s="2" t="s">
        <v>14</v>
      </c>
    </row>
    <row r="9170" spans="1:7" x14ac:dyDescent="0.2">
      <c r="A9170" s="2" t="s">
        <v>3250</v>
      </c>
      <c r="B9170" s="2" t="s">
        <v>365</v>
      </c>
      <c r="C9170" s="2">
        <v>848.70169999999996</v>
      </c>
      <c r="D9170" s="2">
        <f>HYPERLINK("http://mcb-m6.bioreg.kyushu-u.ac.jp/M3/20110428/F51130/2565/1", 107.56)</f>
        <v>107.56</v>
      </c>
      <c r="E9170" s="2">
        <v>78.040000000000006</v>
      </c>
      <c r="F9170" s="2">
        <v>2</v>
      </c>
      <c r="G9170" s="2" t="s">
        <v>14</v>
      </c>
    </row>
    <row r="9171" spans="1:7" x14ac:dyDescent="0.2">
      <c r="A9171" s="2" t="s">
        <v>3250</v>
      </c>
      <c r="B9171" s="2" t="s">
        <v>356</v>
      </c>
      <c r="C9171" s="2">
        <v>816.26009999999997</v>
      </c>
      <c r="D9171" s="2">
        <f>HYPERLINK("http://mcb-m6.bioreg.kyushu-u.ac.jp/M3/20110427/F51124/2366/1", 108.05)</f>
        <v>108.05</v>
      </c>
      <c r="E9171" s="2">
        <v>86.17</v>
      </c>
      <c r="F9171" s="2">
        <v>2</v>
      </c>
      <c r="G9171" s="2" t="s">
        <v>14</v>
      </c>
    </row>
    <row r="9172" spans="1:7" x14ac:dyDescent="0.2">
      <c r="A9172" s="2" t="s">
        <v>3250</v>
      </c>
      <c r="B9172" s="2" t="s">
        <v>356</v>
      </c>
      <c r="C9172" s="2">
        <v>815.7097</v>
      </c>
      <c r="D9172" s="2">
        <f>HYPERLINK("http://mcb-m6.bioreg.kyushu-u.ac.jp/M3/20110428/F51130/2422/1", 109.5)</f>
        <v>109.5</v>
      </c>
      <c r="E9172" s="2">
        <v>90.86</v>
      </c>
      <c r="F9172" s="2">
        <v>2</v>
      </c>
      <c r="G9172" s="2" t="s">
        <v>14</v>
      </c>
    </row>
    <row r="9173" spans="1:7" x14ac:dyDescent="0.2">
      <c r="A9173" s="2" t="s">
        <v>3250</v>
      </c>
      <c r="B9173" s="2" t="s">
        <v>356</v>
      </c>
      <c r="C9173" s="2">
        <v>815.68320000000006</v>
      </c>
      <c r="D9173" s="2">
        <f>HYPERLINK("http://mcb-m6.bioreg.kyushu-u.ac.jp/M3/20110427/F51124/2363/1", 112.07)</f>
        <v>112.07</v>
      </c>
      <c r="E9173" s="2">
        <v>93.25</v>
      </c>
      <c r="F9173" s="2">
        <v>2</v>
      </c>
      <c r="G9173" s="2" t="s">
        <v>14</v>
      </c>
    </row>
    <row r="9174" spans="1:7" x14ac:dyDescent="0.2">
      <c r="A9174" s="2" t="s">
        <v>3250</v>
      </c>
      <c r="B9174" s="2" t="s">
        <v>356</v>
      </c>
      <c r="C9174" s="2">
        <v>816.07320000000004</v>
      </c>
      <c r="D9174" s="2">
        <f>HYPERLINK("http://mcb-m6.bioreg.kyushu-u.ac.jp/M3/20110428/F51134/2116/1", 115.08)</f>
        <v>115.08</v>
      </c>
      <c r="E9174" s="2">
        <v>95.31</v>
      </c>
      <c r="F9174" s="2">
        <v>2</v>
      </c>
      <c r="G9174" s="2" t="s">
        <v>14</v>
      </c>
    </row>
    <row r="9175" spans="1:7" x14ac:dyDescent="0.2">
      <c r="A9175" s="2" t="s">
        <v>3250</v>
      </c>
      <c r="B9175" s="2" t="s">
        <v>356</v>
      </c>
      <c r="C9175" s="2">
        <v>816.27560000000005</v>
      </c>
      <c r="D9175" s="2">
        <f>HYPERLINK("http://mcb-m6.bioreg.kyushu-u.ac.jp/M3/20110427/F51118/2283/1", 117.31)</f>
        <v>117.31</v>
      </c>
      <c r="E9175" s="2">
        <v>99.59</v>
      </c>
      <c r="F9175" s="2">
        <v>2</v>
      </c>
      <c r="G9175" s="2" t="s">
        <v>14</v>
      </c>
    </row>
    <row r="9176" spans="1:7" x14ac:dyDescent="0.2">
      <c r="A9176" s="2" t="s">
        <v>3894</v>
      </c>
      <c r="B9176" s="2" t="s">
        <v>1040</v>
      </c>
      <c r="C9176" s="2">
        <v>670.20259999999996</v>
      </c>
      <c r="D9176" s="2">
        <f>HYPERLINK("http://mcb-m6.bioreg.kyushu-u.ac.jp/M3/20110404/F50753/1723/1", 62.75)</f>
        <v>62.75</v>
      </c>
      <c r="E9176" s="2">
        <v>46.48</v>
      </c>
      <c r="F9176" s="2">
        <v>2</v>
      </c>
      <c r="G9176" s="2" t="s">
        <v>9</v>
      </c>
    </row>
    <row r="9177" spans="1:7" x14ac:dyDescent="0.2">
      <c r="A9177" s="2" t="s">
        <v>3894</v>
      </c>
      <c r="B9177" s="2" t="s">
        <v>1040</v>
      </c>
      <c r="C9177" s="2">
        <v>1339.6610000000001</v>
      </c>
      <c r="D9177" s="2">
        <f>HYPERLINK("http://mcb-m6.bioreg.kyushu-u.ac.jp/M3/20110404/F50758/1636/1", 49.35)</f>
        <v>49.35</v>
      </c>
      <c r="E9177" s="2">
        <v>38.090000000000003</v>
      </c>
      <c r="F9177" s="2">
        <v>1</v>
      </c>
      <c r="G9177" s="2" t="s">
        <v>10</v>
      </c>
    </row>
    <row r="9178" spans="1:7" x14ac:dyDescent="0.2">
      <c r="A9178" s="2" t="s">
        <v>3894</v>
      </c>
      <c r="B9178" s="2" t="s">
        <v>1040</v>
      </c>
      <c r="C9178" s="2">
        <v>670.33119999999997</v>
      </c>
      <c r="D9178" s="2">
        <f>HYPERLINK("http://mcb-m6.bioreg.kyushu-u.ac.jp/M3/20110404/F50758/1635/1", 64.35)</f>
        <v>64.349999999999994</v>
      </c>
      <c r="E9178" s="2">
        <v>48.91</v>
      </c>
      <c r="F9178" s="2">
        <v>2</v>
      </c>
      <c r="G9178" s="2" t="s">
        <v>10</v>
      </c>
    </row>
    <row r="9179" spans="1:7" x14ac:dyDescent="0.2">
      <c r="A9179" s="2" t="s">
        <v>3894</v>
      </c>
      <c r="B9179" s="2" t="s">
        <v>1040</v>
      </c>
      <c r="C9179" s="2">
        <v>670.1816</v>
      </c>
      <c r="D9179" s="2">
        <f>HYPERLINK("http://mcb-m6.bioreg.kyushu-u.ac.jp/M3/20110421/F51017/1623/1", 69.7)</f>
        <v>69.7</v>
      </c>
      <c r="E9179" s="2">
        <v>58.1</v>
      </c>
      <c r="F9179" s="2">
        <v>2</v>
      </c>
      <c r="G9179" s="2" t="s">
        <v>11</v>
      </c>
    </row>
    <row r="9180" spans="1:7" x14ac:dyDescent="0.2">
      <c r="A9180" s="2" t="s">
        <v>3894</v>
      </c>
      <c r="B9180" s="2" t="s">
        <v>1040</v>
      </c>
      <c r="C9180" s="2">
        <v>670.53219999999999</v>
      </c>
      <c r="D9180" s="2">
        <f>HYPERLINK("http://mcb-m6.bioreg.kyushu-u.ac.jp/M3/20110421/F51023/1783/1", 58.12)</f>
        <v>58.12</v>
      </c>
      <c r="E9180" s="2">
        <v>44.33</v>
      </c>
      <c r="F9180" s="2">
        <v>2</v>
      </c>
      <c r="G9180" s="2" t="s">
        <v>12</v>
      </c>
    </row>
    <row r="9181" spans="1:7" x14ac:dyDescent="0.2">
      <c r="A9181" s="2" t="s">
        <v>7702</v>
      </c>
      <c r="B9181" s="2" t="s">
        <v>6369</v>
      </c>
      <c r="C9181" s="2">
        <v>715.21619999999996</v>
      </c>
      <c r="D9181" s="2">
        <f>HYPERLINK("http://mcb-m6.bioreg.kyushu-u.ac.jp/M3/20110404/F50753/1903/1", 57.03)</f>
        <v>57.03</v>
      </c>
      <c r="E9181" s="2">
        <v>22.57</v>
      </c>
      <c r="F9181" s="2">
        <v>2</v>
      </c>
      <c r="G9181" s="2" t="s">
        <v>9</v>
      </c>
    </row>
    <row r="9182" spans="1:7" x14ac:dyDescent="0.2">
      <c r="A9182" s="2" t="s">
        <v>7743</v>
      </c>
      <c r="B9182" s="2" t="s">
        <v>6519</v>
      </c>
      <c r="C9182" s="2">
        <v>781.96870000000001</v>
      </c>
      <c r="D9182" s="2">
        <f>HYPERLINK("http://mcb-m6.bioreg.kyushu-u.ac.jp/M3/20110404/F50779/1952/1", 73.72)</f>
        <v>73.72</v>
      </c>
      <c r="E9182" s="2">
        <v>31.87</v>
      </c>
      <c r="F9182" s="2">
        <v>2</v>
      </c>
      <c r="G9182" s="2" t="s">
        <v>9</v>
      </c>
    </row>
    <row r="9183" spans="1:7" x14ac:dyDescent="0.2">
      <c r="A9183" s="2" t="s">
        <v>7743</v>
      </c>
      <c r="B9183" s="2" t="s">
        <v>7119</v>
      </c>
      <c r="C9183" s="2">
        <v>749.30219999999997</v>
      </c>
      <c r="D9183" s="2">
        <f>HYPERLINK("http://mcb-m6.bioreg.kyushu-u.ac.jp/M3/20110421/F51040/2105/1", 50.8)</f>
        <v>50.8</v>
      </c>
      <c r="E9183" s="2">
        <v>30.28</v>
      </c>
      <c r="F9183" s="2">
        <v>2</v>
      </c>
      <c r="G9183" s="2" t="s">
        <v>11</v>
      </c>
    </row>
    <row r="9184" spans="1:7" x14ac:dyDescent="0.2">
      <c r="A9184" s="2" t="s">
        <v>3804</v>
      </c>
      <c r="B9184" s="2" t="s">
        <v>860</v>
      </c>
      <c r="C9184" s="2">
        <v>664.92070000000001</v>
      </c>
      <c r="D9184" s="2">
        <f>HYPERLINK("http://mcb-m6.bioreg.kyushu-u.ac.jp/M3/20110421/F51044/1556/1", 54.69)</f>
        <v>54.69</v>
      </c>
      <c r="E9184" s="2">
        <v>34.07</v>
      </c>
      <c r="F9184" s="2">
        <v>2</v>
      </c>
      <c r="G9184" s="2" t="s">
        <v>12</v>
      </c>
    </row>
    <row r="9185" spans="1:9" x14ac:dyDescent="0.2">
      <c r="A9185" s="2" t="s">
        <v>3804</v>
      </c>
      <c r="B9185" s="2" t="s">
        <v>860</v>
      </c>
      <c r="C9185" s="2">
        <v>664.66110000000003</v>
      </c>
      <c r="D9185" s="2">
        <f>HYPERLINK("http://mcb-m6.bioreg.kyushu-u.ac.jp/M3/20110427/F51114/1639/1", 53.8)</f>
        <v>53.8</v>
      </c>
      <c r="E9185" s="2">
        <v>33.909999999999997</v>
      </c>
      <c r="F9185" s="2">
        <v>2</v>
      </c>
      <c r="G9185" s="2" t="s">
        <v>13</v>
      </c>
    </row>
    <row r="9186" spans="1:9" x14ac:dyDescent="0.2">
      <c r="A9186" s="2" t="s">
        <v>4266</v>
      </c>
      <c r="B9186" s="2" t="s">
        <v>1927</v>
      </c>
      <c r="C9186" s="2">
        <v>493.8186</v>
      </c>
      <c r="D9186" s="2">
        <f>HYPERLINK("http://mcb-m6.bioreg.kyushu-u.ac.jp/M3/20110404/F50765/916/1", 40.24)</f>
        <v>40.24</v>
      </c>
      <c r="E9186" s="2">
        <v>19.71</v>
      </c>
      <c r="F9186" s="2">
        <v>2</v>
      </c>
      <c r="G9186" s="2" t="s">
        <v>9</v>
      </c>
    </row>
    <row r="9187" spans="1:9" x14ac:dyDescent="0.2">
      <c r="A9187" s="2" t="s">
        <v>4266</v>
      </c>
      <c r="B9187" s="2" t="s">
        <v>6166</v>
      </c>
      <c r="C9187" s="2">
        <v>584.32119999999998</v>
      </c>
      <c r="D9187" s="2">
        <f>HYPERLINK("http://mcb-m6.bioreg.kyushu-u.ac.jp/M3/20110404/F50767/1004/1", 45.25)</f>
        <v>45.25</v>
      </c>
      <c r="E9187" s="2">
        <v>22.65</v>
      </c>
      <c r="F9187" s="2">
        <v>2</v>
      </c>
      <c r="G9187" s="2" t="s">
        <v>9</v>
      </c>
    </row>
    <row r="9188" spans="1:9" x14ac:dyDescent="0.2">
      <c r="A9188" s="2" t="s">
        <v>4266</v>
      </c>
      <c r="B9188" s="2" t="s">
        <v>2381</v>
      </c>
      <c r="C9188" s="2">
        <v>906.62819999999999</v>
      </c>
      <c r="D9188" s="2">
        <f>HYPERLINK("http://mcb-m6.bioreg.kyushu-u.ac.jp/M3/20110404/F50765/2501/1", 52.7)</f>
        <v>52.7</v>
      </c>
      <c r="E9188" s="2">
        <v>36.619999999999997</v>
      </c>
      <c r="F9188" s="2">
        <v>2</v>
      </c>
      <c r="G9188" s="2" t="s">
        <v>9</v>
      </c>
    </row>
    <row r="9189" spans="1:9" x14ac:dyDescent="0.2">
      <c r="A9189" s="2" t="s">
        <v>4266</v>
      </c>
      <c r="B9189" s="2" t="s">
        <v>5437</v>
      </c>
      <c r="C9189" s="2">
        <v>729.77509999999995</v>
      </c>
      <c r="D9189" s="2">
        <f>HYPERLINK("http://mcb-m6.bioreg.kyushu-u.ac.jp/M3/20110404/F50765/1791/1", 66.36)</f>
        <v>66.36</v>
      </c>
      <c r="E9189" s="2">
        <v>50.83</v>
      </c>
      <c r="F9189" s="2">
        <v>2</v>
      </c>
      <c r="G9189" s="2" t="s">
        <v>9</v>
      </c>
    </row>
    <row r="9190" spans="1:9" x14ac:dyDescent="0.2">
      <c r="A9190" s="2" t="s">
        <v>4266</v>
      </c>
      <c r="B9190" s="2" t="s">
        <v>7312</v>
      </c>
      <c r="C9190" s="2">
        <v>473.7131</v>
      </c>
      <c r="D9190" s="2">
        <f>HYPERLINK("http://mcb-m6.bioreg.kyushu-u.ac.jp/M3/20110427/F51115/970/1", 38.39)</f>
        <v>38.39</v>
      </c>
      <c r="E9190" s="2">
        <v>13.6</v>
      </c>
      <c r="F9190" s="2">
        <v>2</v>
      </c>
      <c r="G9190" s="2" t="s">
        <v>13</v>
      </c>
    </row>
    <row r="9191" spans="1:9" x14ac:dyDescent="0.2">
      <c r="A9191" s="2" t="s">
        <v>4266</v>
      </c>
      <c r="B9191" s="2" t="s">
        <v>1927</v>
      </c>
      <c r="C9191" s="2">
        <v>493.7371</v>
      </c>
      <c r="D9191" s="2">
        <f>HYPERLINK("http://mcb-m6.bioreg.kyushu-u.ac.jp/M3/20110427/F51115/1033/1", 43.07)</f>
        <v>43.07</v>
      </c>
      <c r="E9191" s="2">
        <v>21.39</v>
      </c>
      <c r="F9191" s="2">
        <v>2</v>
      </c>
      <c r="G9191" s="2" t="s">
        <v>13</v>
      </c>
    </row>
    <row r="9192" spans="1:9" x14ac:dyDescent="0.2">
      <c r="A9192" s="2" t="s">
        <v>4266</v>
      </c>
      <c r="B9192" s="2" t="s">
        <v>5437</v>
      </c>
      <c r="C9192" s="2">
        <v>729.6327</v>
      </c>
      <c r="D9192" s="2">
        <f>HYPERLINK("http://mcb-m6.bioreg.kyushu-u.ac.jp/M3/20110427/F51117/1935/1", 47.09)</f>
        <v>47.09</v>
      </c>
      <c r="E9192" s="2">
        <v>19.579999999999998</v>
      </c>
      <c r="F9192" s="2">
        <v>2</v>
      </c>
      <c r="G9192" s="2" t="s">
        <v>13</v>
      </c>
    </row>
    <row r="9193" spans="1:9" x14ac:dyDescent="0.2">
      <c r="A9193" s="2" t="s">
        <v>4266</v>
      </c>
      <c r="B9193" s="2" t="s">
        <v>5437</v>
      </c>
      <c r="C9193" s="2">
        <v>729.57259999999997</v>
      </c>
      <c r="D9193" s="2">
        <f>HYPERLINK("http://mcb-m6.bioreg.kyushu-u.ac.jp/M3/20110427/F51115/1934/1", 76.54)</f>
        <v>76.540000000000006</v>
      </c>
      <c r="E9193" s="2">
        <v>52.51</v>
      </c>
      <c r="F9193" s="2">
        <v>2</v>
      </c>
      <c r="G9193" s="2" t="s">
        <v>13</v>
      </c>
    </row>
    <row r="9194" spans="1:9" x14ac:dyDescent="0.2">
      <c r="A9194" s="2" t="s">
        <v>4043</v>
      </c>
      <c r="B9194" s="2" t="s">
        <v>1386</v>
      </c>
      <c r="C9194" s="2">
        <v>908.28560000000004</v>
      </c>
      <c r="D9194" s="2">
        <f>HYPERLINK("http://mcb-m6.bioreg.kyushu-u.ac.jp/M3/20110404/F50765/2506/1", 41.88)</f>
        <v>41.88</v>
      </c>
      <c r="E9194" s="2">
        <v>24.52</v>
      </c>
      <c r="F9194" s="2">
        <v>2</v>
      </c>
      <c r="G9194" s="2" t="s">
        <v>9</v>
      </c>
    </row>
    <row r="9195" spans="1:9" x14ac:dyDescent="0.2">
      <c r="A9195" s="2" t="s">
        <v>4043</v>
      </c>
      <c r="B9195" s="2" t="s">
        <v>2185</v>
      </c>
      <c r="C9195" s="2">
        <v>896.0847</v>
      </c>
      <c r="D9195" s="2">
        <f>HYPERLINK("http://mcb-m6.bioreg.kyushu-u.ac.jp/M3/20110404/F50765/2457/1", 42.98)</f>
        <v>42.98</v>
      </c>
      <c r="E9195" s="2">
        <v>28.1</v>
      </c>
      <c r="F9195" s="2">
        <v>2</v>
      </c>
      <c r="G9195" s="2" t="s">
        <v>9</v>
      </c>
    </row>
    <row r="9196" spans="1:9" x14ac:dyDescent="0.2">
      <c r="A9196" s="2" t="s">
        <v>4043</v>
      </c>
      <c r="B9196" s="2" t="s">
        <v>1386</v>
      </c>
      <c r="C9196" s="2">
        <v>908.35670000000005</v>
      </c>
      <c r="D9196" s="2">
        <f>HYPERLINK("http://mcb-m6.bioreg.kyushu-u.ac.jp/M3/20110421/F51042/2886/1", 51.79)</f>
        <v>51.79</v>
      </c>
      <c r="E9196" s="2">
        <v>36.53</v>
      </c>
      <c r="F9196" s="2">
        <v>2</v>
      </c>
      <c r="G9196" s="2" t="s">
        <v>11</v>
      </c>
    </row>
    <row r="9197" spans="1:9" x14ac:dyDescent="0.2">
      <c r="A9197" s="2" t="s">
        <v>8104</v>
      </c>
      <c r="B9197" s="2" t="s">
        <v>7457</v>
      </c>
      <c r="C9197" s="2">
        <v>454.48910000000001</v>
      </c>
      <c r="D9197" s="2">
        <f>HYPERLINK("http://mcb-m6.bioreg.kyushu-u.ac.jp/M3/20110427/F51121/1071/1", 36.05)</f>
        <v>36.049999999999997</v>
      </c>
      <c r="E9197" s="2">
        <v>15.82</v>
      </c>
      <c r="F9197" s="2">
        <v>2</v>
      </c>
      <c r="G9197" s="2" t="s">
        <v>14</v>
      </c>
      <c r="I9197" s="2" t="s">
        <v>4893</v>
      </c>
    </row>
    <row r="9198" spans="1:9" x14ac:dyDescent="0.2">
      <c r="A9198" s="2" t="s">
        <v>4269</v>
      </c>
      <c r="B9198" s="2" t="s">
        <v>1937</v>
      </c>
      <c r="C9198" s="2">
        <v>595.19209999999998</v>
      </c>
      <c r="D9198" s="2">
        <f>HYPERLINK("http://mcb-m6.bioreg.kyushu-u.ac.jp/M3/20110404/F50754/1622/1", 43.02)</f>
        <v>43.02</v>
      </c>
      <c r="E9198" s="2">
        <v>23.5</v>
      </c>
      <c r="F9198" s="2">
        <v>2</v>
      </c>
      <c r="G9198" s="2" t="s">
        <v>9</v>
      </c>
    </row>
    <row r="9199" spans="1:9" x14ac:dyDescent="0.2">
      <c r="A9199" s="2" t="s">
        <v>4269</v>
      </c>
      <c r="B9199" s="2" t="s">
        <v>1937</v>
      </c>
      <c r="C9199" s="2">
        <v>595.0077</v>
      </c>
      <c r="D9199" s="2">
        <f>HYPERLINK("http://mcb-m6.bioreg.kyushu-u.ac.jp/M3/20110427/F51112/1488/1", 39.87)</f>
        <v>39.869999999999997</v>
      </c>
      <c r="E9199" s="2">
        <v>19</v>
      </c>
      <c r="F9199" s="2">
        <v>2</v>
      </c>
      <c r="G9199" s="2" t="s">
        <v>13</v>
      </c>
    </row>
    <row r="9200" spans="1:9" x14ac:dyDescent="0.2">
      <c r="A9200" s="2" t="s">
        <v>7568</v>
      </c>
      <c r="B9200" s="2" t="s">
        <v>6002</v>
      </c>
      <c r="C9200" s="2">
        <v>802.42600000000004</v>
      </c>
      <c r="D9200" s="2">
        <f>HYPERLINK("http://mcb-m6.bioreg.kyushu-u.ac.jp/M3/20110404/F50752/1070/1", 38.43)</f>
        <v>38.43</v>
      </c>
      <c r="E9200" s="2">
        <v>13</v>
      </c>
      <c r="F9200" s="2">
        <v>1</v>
      </c>
      <c r="G9200" s="2" t="s">
        <v>9</v>
      </c>
    </row>
    <row r="9201" spans="1:9" x14ac:dyDescent="0.2">
      <c r="A9201" s="2" t="s">
        <v>7568</v>
      </c>
      <c r="B9201" s="2" t="s">
        <v>6272</v>
      </c>
      <c r="C9201" s="2">
        <v>576.67610000000002</v>
      </c>
      <c r="D9201" s="2">
        <f>HYPERLINK("http://mcb-m6.bioreg.kyushu-u.ac.jp/M3/20110404/F50753/1424/1", 50.42)</f>
        <v>50.42</v>
      </c>
      <c r="E9201" s="2">
        <v>29.74</v>
      </c>
      <c r="F9201" s="2">
        <v>2</v>
      </c>
      <c r="G9201" s="2" t="s">
        <v>9</v>
      </c>
    </row>
    <row r="9202" spans="1:9" x14ac:dyDescent="0.2">
      <c r="A9202" s="2" t="s">
        <v>7568</v>
      </c>
      <c r="B9202" s="2" t="s">
        <v>6481</v>
      </c>
      <c r="C9202" s="2">
        <v>944.81410000000005</v>
      </c>
      <c r="D9202" s="2">
        <f>HYPERLINK("http://mcb-m6.bioreg.kyushu-u.ac.jp/M3/20110404/F50753/2755/1", 68.51)</f>
        <v>68.510000000000005</v>
      </c>
      <c r="E9202" s="2">
        <v>46.77</v>
      </c>
      <c r="F9202" s="2">
        <v>2</v>
      </c>
      <c r="G9202" s="2" t="s">
        <v>9</v>
      </c>
    </row>
    <row r="9203" spans="1:9" x14ac:dyDescent="0.2">
      <c r="A9203" s="2" t="s">
        <v>7568</v>
      </c>
      <c r="B9203" s="2" t="s">
        <v>6492</v>
      </c>
      <c r="C9203" s="2">
        <v>1426.655</v>
      </c>
      <c r="D9203" s="2">
        <f>HYPERLINK("http://mcb-m6.bioreg.kyushu-u.ac.jp/M3/20110404/F50753/3655/1", 70.21)</f>
        <v>70.209999999999994</v>
      </c>
      <c r="E9203" s="2">
        <v>60.48</v>
      </c>
      <c r="F9203" s="2">
        <v>2</v>
      </c>
      <c r="G9203" s="2" t="s">
        <v>9</v>
      </c>
    </row>
    <row r="9204" spans="1:9" x14ac:dyDescent="0.2">
      <c r="A9204" s="2" t="s">
        <v>7568</v>
      </c>
      <c r="B9204" s="2" t="s">
        <v>6002</v>
      </c>
      <c r="C9204" s="2">
        <v>802.31500000000005</v>
      </c>
      <c r="D9204" s="2">
        <f>HYPERLINK("http://mcb-m6.bioreg.kyushu-u.ac.jp/M3/20110404/F50758/958/1", 36.66)</f>
        <v>36.659999999999997</v>
      </c>
      <c r="E9204" s="2">
        <v>12.48</v>
      </c>
      <c r="F9204" s="2">
        <v>1</v>
      </c>
      <c r="G9204" s="2" t="s">
        <v>10</v>
      </c>
    </row>
    <row r="9205" spans="1:9" x14ac:dyDescent="0.2">
      <c r="A9205" s="2" t="s">
        <v>7568</v>
      </c>
      <c r="B9205" s="2" t="s">
        <v>6481</v>
      </c>
      <c r="C9205" s="2">
        <v>944.41859999999997</v>
      </c>
      <c r="D9205" s="2">
        <f>HYPERLINK("http://mcb-m6.bioreg.kyushu-u.ac.jp/M3/20110404/F50758/2565/1", 40.83)</f>
        <v>40.83</v>
      </c>
      <c r="E9205" s="2">
        <v>28.33</v>
      </c>
      <c r="F9205" s="2">
        <v>2</v>
      </c>
      <c r="G9205" s="2" t="s">
        <v>10</v>
      </c>
    </row>
    <row r="9206" spans="1:9" x14ac:dyDescent="0.2">
      <c r="A9206" s="2" t="s">
        <v>7568</v>
      </c>
      <c r="B9206" s="2" t="s">
        <v>6272</v>
      </c>
      <c r="C9206" s="2">
        <v>576.62070000000006</v>
      </c>
      <c r="D9206" s="2">
        <f>HYPERLINK("http://mcb-m6.bioreg.kyushu-u.ac.jp/M3/20110404/F50758/1391/1", 60.1)</f>
        <v>60.1</v>
      </c>
      <c r="E9206" s="2">
        <v>39.369999999999997</v>
      </c>
      <c r="F9206" s="2">
        <v>2</v>
      </c>
      <c r="G9206" s="2" t="s">
        <v>10</v>
      </c>
    </row>
    <row r="9207" spans="1:9" x14ac:dyDescent="0.2">
      <c r="A9207" s="2" t="s">
        <v>7568</v>
      </c>
      <c r="B9207" s="2" t="s">
        <v>6481</v>
      </c>
      <c r="C9207" s="2">
        <v>944.94269999999995</v>
      </c>
      <c r="D9207" s="2">
        <f>HYPERLINK("http://mcb-m6.bioreg.kyushu-u.ac.jp/M3/20110404/F50758/2567/1", 65.99)</f>
        <v>65.989999999999995</v>
      </c>
      <c r="E9207" s="2">
        <v>49.17</v>
      </c>
      <c r="F9207" s="2">
        <v>2</v>
      </c>
      <c r="G9207" s="2" t="s">
        <v>10</v>
      </c>
    </row>
    <row r="9208" spans="1:9" x14ac:dyDescent="0.2">
      <c r="A9208" s="2" t="s">
        <v>7568</v>
      </c>
      <c r="B9208" s="2" t="s">
        <v>6492</v>
      </c>
      <c r="C9208" s="2">
        <v>1426.491</v>
      </c>
      <c r="D9208" s="2">
        <f>HYPERLINK("http://mcb-m6.bioreg.kyushu-u.ac.jp/M3/20110404/F50758/3431/1", 79.07)</f>
        <v>79.069999999999993</v>
      </c>
      <c r="E9208" s="2">
        <v>65.349999999999994</v>
      </c>
      <c r="F9208" s="2">
        <v>2</v>
      </c>
      <c r="G9208" s="2" t="s">
        <v>10</v>
      </c>
    </row>
    <row r="9209" spans="1:9" x14ac:dyDescent="0.2">
      <c r="A9209" s="2" t="s">
        <v>7605</v>
      </c>
      <c r="B9209" s="2" t="s">
        <v>6097</v>
      </c>
      <c r="C9209" s="2">
        <v>759.82119999999998</v>
      </c>
      <c r="D9209" s="2">
        <f>HYPERLINK("http://mcb-m6.bioreg.kyushu-u.ac.jp/M3/20110404/F50778/1921/1", 42.1)</f>
        <v>42.1</v>
      </c>
      <c r="E9209" s="2">
        <v>28.71</v>
      </c>
      <c r="F9209" s="2">
        <v>2</v>
      </c>
      <c r="G9209" s="2" t="s">
        <v>9</v>
      </c>
      <c r="I9209" s="2" t="s">
        <v>4903</v>
      </c>
    </row>
    <row r="9210" spans="1:9" x14ac:dyDescent="0.2">
      <c r="A9210" s="2" t="s">
        <v>7605</v>
      </c>
      <c r="B9210" s="2" t="s">
        <v>6980</v>
      </c>
      <c r="C9210" s="2">
        <v>786.35109999999997</v>
      </c>
      <c r="D9210" s="2">
        <f>HYPERLINK("http://mcb-m6.bioreg.kyushu-u.ac.jp/M3/20110404/F50774/2083/1", 71.26)</f>
        <v>71.260000000000005</v>
      </c>
      <c r="E9210" s="2">
        <v>47.8</v>
      </c>
      <c r="F9210" s="2">
        <v>2</v>
      </c>
      <c r="G9210" s="2" t="s">
        <v>10</v>
      </c>
      <c r="I9210" s="2" t="s">
        <v>8136</v>
      </c>
    </row>
    <row r="9211" spans="1:9" x14ac:dyDescent="0.2">
      <c r="A9211" s="2" t="s">
        <v>7834</v>
      </c>
      <c r="B9211" s="2" t="s">
        <v>6790</v>
      </c>
      <c r="C9211" s="2">
        <v>800.50459999999998</v>
      </c>
      <c r="D9211" s="2">
        <f>HYPERLINK("http://mcb-m6.bioreg.kyushu-u.ac.jp/M3/20110404/F50775/2192/1", 42.96)</f>
        <v>42.96</v>
      </c>
      <c r="E9211" s="2">
        <v>26.15</v>
      </c>
      <c r="F9211" s="2">
        <v>2</v>
      </c>
      <c r="G9211" s="2" t="s">
        <v>10</v>
      </c>
    </row>
    <row r="9212" spans="1:9" x14ac:dyDescent="0.2">
      <c r="A9212" s="2" t="s">
        <v>7834</v>
      </c>
      <c r="B9212" s="2" t="s">
        <v>6851</v>
      </c>
      <c r="C9212" s="2">
        <v>909.36320000000001</v>
      </c>
      <c r="D9212" s="2">
        <f>HYPERLINK("http://mcb-m6.bioreg.kyushu-u.ac.jp/M3/20110404/F50775/2542/1", 50.09)</f>
        <v>50.09</v>
      </c>
      <c r="E9212" s="2">
        <v>40.94</v>
      </c>
      <c r="F9212" s="2">
        <v>2</v>
      </c>
      <c r="G9212" s="2" t="s">
        <v>10</v>
      </c>
    </row>
    <row r="9213" spans="1:9" x14ac:dyDescent="0.2">
      <c r="A9213" s="2" t="s">
        <v>7834</v>
      </c>
      <c r="B9213" s="2" t="s">
        <v>6869</v>
      </c>
      <c r="C9213" s="2">
        <v>578.30909999999994</v>
      </c>
      <c r="D9213" s="2">
        <f>HYPERLINK("http://mcb-m6.bioreg.kyushu-u.ac.jp/M3/20110404/F50775/1289/1", 51.29)</f>
        <v>51.29</v>
      </c>
      <c r="E9213" s="2">
        <v>29.64</v>
      </c>
      <c r="F9213" s="2">
        <v>2</v>
      </c>
      <c r="G9213" s="2" t="s">
        <v>10</v>
      </c>
    </row>
    <row r="9214" spans="1:9" x14ac:dyDescent="0.2">
      <c r="A9214" s="2" t="s">
        <v>7834</v>
      </c>
      <c r="B9214" s="2" t="s">
        <v>6997</v>
      </c>
      <c r="C9214" s="2">
        <v>810.84059999999999</v>
      </c>
      <c r="D9214" s="2">
        <f>HYPERLINK("http://mcb-m6.bioreg.kyushu-u.ac.jp/M3/20110404/F50775/2229/1", 76.02)</f>
        <v>76.02</v>
      </c>
      <c r="E9214" s="2">
        <v>58.49</v>
      </c>
      <c r="F9214" s="2">
        <v>2</v>
      </c>
      <c r="G9214" s="2" t="s">
        <v>10</v>
      </c>
    </row>
    <row r="9215" spans="1:9" x14ac:dyDescent="0.2">
      <c r="A9215" s="2" t="s">
        <v>7834</v>
      </c>
      <c r="B9215" s="2" t="s">
        <v>7259</v>
      </c>
      <c r="C9215" s="2">
        <v>741.97119999999995</v>
      </c>
      <c r="D9215" s="2">
        <f>HYPERLINK("http://mcb-m6.bioreg.kyushu-u.ac.jp/M3/20110421/F51048/2198/1", 72.88)</f>
        <v>72.88</v>
      </c>
      <c r="E9215" s="2">
        <v>52.25</v>
      </c>
      <c r="F9215" s="2">
        <v>2</v>
      </c>
      <c r="G9215" s="2" t="s">
        <v>12</v>
      </c>
    </row>
    <row r="9216" spans="1:9" x14ac:dyDescent="0.2">
      <c r="A9216" s="2" t="s">
        <v>7834</v>
      </c>
      <c r="B9216" s="2" t="s">
        <v>7259</v>
      </c>
      <c r="C9216" s="2">
        <v>742.15060000000005</v>
      </c>
      <c r="D9216" s="2">
        <f>HYPERLINK("http://mcb-m6.bioreg.kyushu-u.ac.jp/M3/20110428/F51129/2061/1", 55.3)</f>
        <v>55.3</v>
      </c>
      <c r="E9216" s="2">
        <v>41.46</v>
      </c>
      <c r="F9216" s="2">
        <v>2</v>
      </c>
      <c r="G9216" s="2" t="s">
        <v>14</v>
      </c>
    </row>
    <row r="9217" spans="1:9" x14ac:dyDescent="0.2">
      <c r="A9217" s="2" t="s">
        <v>7889</v>
      </c>
      <c r="B9217" s="2" t="s">
        <v>6956</v>
      </c>
      <c r="C9217" s="2">
        <v>748.0797</v>
      </c>
      <c r="D9217" s="2">
        <f>HYPERLINK("http://mcb-m6.bioreg.kyushu-u.ac.jp/M3/20110404/F50775/1989/1", 65.93)</f>
        <v>65.930000000000007</v>
      </c>
      <c r="E9217" s="2">
        <v>54.73</v>
      </c>
      <c r="F9217" s="2">
        <v>2</v>
      </c>
      <c r="G9217" s="2" t="s">
        <v>10</v>
      </c>
    </row>
    <row r="9218" spans="1:9" x14ac:dyDescent="0.2">
      <c r="A9218" s="2" t="s">
        <v>8074</v>
      </c>
      <c r="B9218" s="2" t="s">
        <v>7389</v>
      </c>
      <c r="C9218" s="2">
        <v>853.63819999999998</v>
      </c>
      <c r="D9218" s="2">
        <f>HYPERLINK("http://mcb-m6.bioreg.kyushu-u.ac.jp/M3/20110428/F51132/2592/1", 54.34)</f>
        <v>54.34</v>
      </c>
      <c r="E9218" s="2">
        <v>48.62</v>
      </c>
      <c r="F9218" s="2">
        <v>2</v>
      </c>
      <c r="G9218" s="2" t="s">
        <v>13</v>
      </c>
    </row>
    <row r="9219" spans="1:9" x14ac:dyDescent="0.2">
      <c r="A9219" s="2" t="s">
        <v>7719</v>
      </c>
      <c r="B9219" s="2" t="s">
        <v>6434</v>
      </c>
      <c r="C9219" s="2">
        <v>1020.884</v>
      </c>
      <c r="D9219" s="2">
        <f>HYPERLINK("http://mcb-m6.bioreg.kyushu-u.ac.jp/M3/20110404/F50765/2882/1", 64.03)</f>
        <v>64.03</v>
      </c>
      <c r="E9219" s="2">
        <v>53.95</v>
      </c>
      <c r="F9219" s="2">
        <v>2</v>
      </c>
      <c r="G9219" s="2" t="s">
        <v>9</v>
      </c>
      <c r="I9219" s="2" t="s">
        <v>4906</v>
      </c>
    </row>
    <row r="9220" spans="1:9" x14ac:dyDescent="0.2">
      <c r="A9220" s="2" t="s">
        <v>7719</v>
      </c>
      <c r="B9220" s="2" t="s">
        <v>6775</v>
      </c>
      <c r="C9220" s="2">
        <v>732.90620000000001</v>
      </c>
      <c r="D9220" s="2">
        <f>HYPERLINK("http://mcb-m6.bioreg.kyushu-u.ac.jp/M3/20110404/F50771/1864/1", 41.72)</f>
        <v>41.72</v>
      </c>
      <c r="E9220" s="2">
        <v>26.16</v>
      </c>
      <c r="F9220" s="2">
        <v>2</v>
      </c>
      <c r="G9220" s="2" t="s">
        <v>10</v>
      </c>
    </row>
    <row r="9221" spans="1:9" x14ac:dyDescent="0.2">
      <c r="A9221" s="2" t="s">
        <v>7719</v>
      </c>
      <c r="B9221" s="2" t="s">
        <v>6823</v>
      </c>
      <c r="C9221" s="2">
        <v>668.27070000000003</v>
      </c>
      <c r="D9221" s="2">
        <f>HYPERLINK("http://mcb-m6.bioreg.kyushu-u.ac.jp/M3/20110404/F50771/1557/1", 46.36)</f>
        <v>46.36</v>
      </c>
      <c r="E9221" s="2">
        <v>11.01</v>
      </c>
      <c r="F9221" s="2">
        <v>2</v>
      </c>
      <c r="G9221" s="2" t="s">
        <v>10</v>
      </c>
    </row>
    <row r="9222" spans="1:9" x14ac:dyDescent="0.2">
      <c r="A9222" s="2" t="s">
        <v>7719</v>
      </c>
      <c r="B9222" s="2" t="s">
        <v>6889</v>
      </c>
      <c r="C9222" s="2">
        <v>778.35109999999997</v>
      </c>
      <c r="D9222" s="2">
        <f>HYPERLINK("http://mcb-m6.bioreg.kyushu-u.ac.jp/M3/20110404/F50771/2049/1", 54.47)</f>
        <v>54.47</v>
      </c>
      <c r="E9222" s="2">
        <v>44.48</v>
      </c>
      <c r="F9222" s="2">
        <v>2</v>
      </c>
      <c r="G9222" s="2" t="s">
        <v>10</v>
      </c>
      <c r="I9222" s="2" t="s">
        <v>4914</v>
      </c>
    </row>
    <row r="9223" spans="1:9" x14ac:dyDescent="0.2">
      <c r="A9223" s="2" t="s">
        <v>7719</v>
      </c>
      <c r="B9223" s="2" t="s">
        <v>6434</v>
      </c>
      <c r="C9223" s="2">
        <v>1021.487</v>
      </c>
      <c r="D9223" s="2">
        <f>HYPERLINK("http://mcb-m6.bioreg.kyushu-u.ac.jp/M3/20110404/F50771/2888/1", 106.96)</f>
        <v>106.96</v>
      </c>
      <c r="E9223" s="2">
        <v>87.56</v>
      </c>
      <c r="F9223" s="2">
        <v>2</v>
      </c>
      <c r="G9223" s="2" t="s">
        <v>10</v>
      </c>
      <c r="I9223" s="2" t="s">
        <v>4906</v>
      </c>
    </row>
    <row r="9224" spans="1:9" x14ac:dyDescent="0.2">
      <c r="A9224" s="2" t="s">
        <v>3265</v>
      </c>
      <c r="B9224" s="2" t="s">
        <v>1559</v>
      </c>
      <c r="C9224" s="2">
        <v>729.65369999999996</v>
      </c>
      <c r="D9224" s="2">
        <f>HYPERLINK("http://mcb-m6.bioreg.kyushu-u.ac.jp/M3/20110404/F50753/1967/1", 92.38)</f>
        <v>92.38</v>
      </c>
      <c r="E9224" s="2">
        <v>61.61</v>
      </c>
      <c r="F9224" s="2">
        <v>2</v>
      </c>
      <c r="G9224" s="2" t="s">
        <v>9</v>
      </c>
    </row>
    <row r="9225" spans="1:9" x14ac:dyDescent="0.2">
      <c r="A9225" s="2" t="s">
        <v>3265</v>
      </c>
      <c r="B9225" s="2" t="s">
        <v>1559</v>
      </c>
      <c r="C9225" s="2">
        <v>730.28219999999999</v>
      </c>
      <c r="D9225" s="2">
        <f>HYPERLINK("http://mcb-m6.bioreg.kyushu-u.ac.jp/M3/20110404/F50758/1869/1", 46.14)</f>
        <v>46.14</v>
      </c>
      <c r="E9225" s="2">
        <v>26.65</v>
      </c>
      <c r="F9225" s="2">
        <v>2</v>
      </c>
      <c r="G9225" s="2" t="s">
        <v>10</v>
      </c>
    </row>
    <row r="9226" spans="1:9" x14ac:dyDescent="0.2">
      <c r="A9226" s="2" t="s">
        <v>3265</v>
      </c>
      <c r="B9226" s="2" t="s">
        <v>1559</v>
      </c>
      <c r="C9226" s="2">
        <v>730.17719999999997</v>
      </c>
      <c r="D9226" s="2">
        <f>HYPERLINK("http://mcb-m6.bioreg.kyushu-u.ac.jp/M3/20110421/F51017/1987/1", 66.57)</f>
        <v>66.569999999999993</v>
      </c>
      <c r="E9226" s="2">
        <v>39.61</v>
      </c>
      <c r="F9226" s="2">
        <v>2</v>
      </c>
      <c r="G9226" s="2" t="s">
        <v>11</v>
      </c>
    </row>
    <row r="9227" spans="1:9" x14ac:dyDescent="0.2">
      <c r="A9227" s="2" t="s">
        <v>3885</v>
      </c>
      <c r="B9227" s="2" t="s">
        <v>5317</v>
      </c>
      <c r="C9227" s="2">
        <v>579.64319999999998</v>
      </c>
      <c r="D9227" s="2">
        <f>HYPERLINK("http://mcb-m6.bioreg.kyushu-u.ac.jp/M3/20110404/F50753/1433/1", 36.5)</f>
        <v>36.5</v>
      </c>
      <c r="E9227" s="2">
        <v>10.09</v>
      </c>
      <c r="F9227" s="2">
        <v>2</v>
      </c>
      <c r="G9227" s="2" t="s">
        <v>9</v>
      </c>
    </row>
    <row r="9228" spans="1:9" x14ac:dyDescent="0.2">
      <c r="A9228" s="2" t="s">
        <v>3885</v>
      </c>
      <c r="B9228" s="2" t="s">
        <v>1026</v>
      </c>
      <c r="C9228" s="2">
        <v>662.10969999999998</v>
      </c>
      <c r="D9228" s="2">
        <f>HYPERLINK("http://mcb-m6.bioreg.kyushu-u.ac.jp/M3/20110404/F50753/1697/1", 67.83)</f>
        <v>67.83</v>
      </c>
      <c r="E9228" s="2">
        <v>47.43</v>
      </c>
      <c r="F9228" s="2">
        <v>2</v>
      </c>
      <c r="G9228" s="2" t="s">
        <v>9</v>
      </c>
      <c r="I9228" s="2" t="s">
        <v>4905</v>
      </c>
    </row>
    <row r="9229" spans="1:9" x14ac:dyDescent="0.2">
      <c r="A9229" s="2" t="s">
        <v>3885</v>
      </c>
      <c r="B9229" s="2" t="s">
        <v>1026</v>
      </c>
      <c r="C9229" s="2">
        <v>662.23170000000005</v>
      </c>
      <c r="D9229" s="2">
        <f>HYPERLINK("http://mcb-m6.bioreg.kyushu-u.ac.jp/M3/20110421/F51017/1590/1", 58.33)</f>
        <v>58.33</v>
      </c>
      <c r="E9229" s="2">
        <v>34.340000000000003</v>
      </c>
      <c r="F9229" s="2">
        <v>2</v>
      </c>
      <c r="G9229" s="2" t="s">
        <v>11</v>
      </c>
      <c r="I9229" s="2" t="s">
        <v>4905</v>
      </c>
    </row>
    <row r="9230" spans="1:9" x14ac:dyDescent="0.2">
      <c r="A9230" s="2" t="s">
        <v>3885</v>
      </c>
      <c r="B9230" s="2" t="s">
        <v>5317</v>
      </c>
      <c r="C9230" s="2">
        <v>580.09770000000003</v>
      </c>
      <c r="D9230" s="2">
        <f>HYPERLINK("http://mcb-m6.bioreg.kyushu-u.ac.jp/M3/20110427/F51111/1465/1", 39.16)</f>
        <v>39.159999999999997</v>
      </c>
      <c r="E9230" s="2">
        <v>23.54</v>
      </c>
      <c r="F9230" s="2">
        <v>2</v>
      </c>
      <c r="G9230" s="2" t="s">
        <v>13</v>
      </c>
    </row>
    <row r="9231" spans="1:9" x14ac:dyDescent="0.2">
      <c r="A9231" s="2" t="s">
        <v>3885</v>
      </c>
      <c r="B9231" s="2" t="s">
        <v>1524</v>
      </c>
      <c r="C9231" s="2">
        <v>565.84770000000003</v>
      </c>
      <c r="D9231" s="2">
        <f>HYPERLINK("http://mcb-m6.bioreg.kyushu-u.ac.jp/M3/20110427/F51112/1343/1", 67.1)</f>
        <v>67.099999999999994</v>
      </c>
      <c r="E9231" s="2">
        <v>44.14</v>
      </c>
      <c r="F9231" s="2">
        <v>2</v>
      </c>
      <c r="G9231" s="2" t="s">
        <v>13</v>
      </c>
    </row>
    <row r="9232" spans="1:9" x14ac:dyDescent="0.2">
      <c r="A9232" s="2" t="s">
        <v>3885</v>
      </c>
      <c r="B9232" s="2" t="s">
        <v>1026</v>
      </c>
      <c r="C9232" s="2">
        <v>662.16859999999997</v>
      </c>
      <c r="D9232" s="2">
        <f>HYPERLINK("http://mcb-m6.bioreg.kyushu-u.ac.jp/M3/20110427/F51111/1747/1", 70.79)</f>
        <v>70.790000000000006</v>
      </c>
      <c r="E9232" s="2">
        <v>52.32</v>
      </c>
      <c r="F9232" s="2">
        <v>2</v>
      </c>
      <c r="G9232" s="2" t="s">
        <v>13</v>
      </c>
      <c r="I9232" s="2" t="s">
        <v>4905</v>
      </c>
    </row>
    <row r="9233" spans="1:9" x14ac:dyDescent="0.2">
      <c r="A9233" s="2" t="s">
        <v>3885</v>
      </c>
      <c r="B9233" s="2" t="s">
        <v>1524</v>
      </c>
      <c r="C9233" s="2">
        <v>565.19370000000004</v>
      </c>
      <c r="D9233" s="2">
        <f>HYPERLINK("http://mcb-m6.bioreg.kyushu-u.ac.jp/M3/20110427/F51111/1409/1", 82.84)</f>
        <v>82.84</v>
      </c>
      <c r="E9233" s="2">
        <v>44.68</v>
      </c>
      <c r="F9233" s="2">
        <v>2</v>
      </c>
      <c r="G9233" s="2" t="s">
        <v>13</v>
      </c>
    </row>
    <row r="9234" spans="1:9" x14ac:dyDescent="0.2">
      <c r="A9234" s="2" t="s">
        <v>5710</v>
      </c>
      <c r="B9234" s="2" t="s">
        <v>5252</v>
      </c>
      <c r="C9234" s="2">
        <v>457.32909999999998</v>
      </c>
      <c r="D9234" s="2">
        <f>HYPERLINK("http://mcb-m6.bioreg.kyushu-u.ac.jp/M3/20110404/F50778/653/1", 39.14)</f>
        <v>39.14</v>
      </c>
      <c r="E9234" s="2">
        <v>8.52</v>
      </c>
      <c r="F9234" s="2">
        <v>2</v>
      </c>
      <c r="G9234" s="2" t="s">
        <v>9</v>
      </c>
    </row>
    <row r="9235" spans="1:9" x14ac:dyDescent="0.2">
      <c r="A9235" s="2" t="s">
        <v>5710</v>
      </c>
      <c r="B9235" s="2" t="s">
        <v>5252</v>
      </c>
      <c r="C9235" s="2">
        <v>457.20060000000001</v>
      </c>
      <c r="D9235" s="2">
        <f>HYPERLINK("http://mcb-m6.bioreg.kyushu-u.ac.jp/M3/20110428/F51133/601/1", 39.36)</f>
        <v>39.36</v>
      </c>
      <c r="E9235" s="2">
        <v>8.27</v>
      </c>
      <c r="F9235" s="2">
        <v>2</v>
      </c>
      <c r="G9235" s="2" t="s">
        <v>13</v>
      </c>
    </row>
    <row r="9236" spans="1:9" x14ac:dyDescent="0.2">
      <c r="A9236" s="2" t="s">
        <v>4852</v>
      </c>
      <c r="B9236" s="2" t="s">
        <v>3213</v>
      </c>
      <c r="C9236" s="2">
        <v>996.2491</v>
      </c>
      <c r="D9236" s="2">
        <f>HYPERLINK("http://mcb-m6.bioreg.kyushu-u.ac.jp/M3/20110404/F50766/2973/1", 52.3)</f>
        <v>52.3</v>
      </c>
      <c r="E9236" s="2">
        <v>46.56</v>
      </c>
      <c r="F9236" s="2">
        <v>2</v>
      </c>
      <c r="G9236" s="2" t="s">
        <v>9</v>
      </c>
    </row>
    <row r="9237" spans="1:9" x14ac:dyDescent="0.2">
      <c r="A9237" s="2" t="s">
        <v>4852</v>
      </c>
      <c r="B9237" s="2" t="s">
        <v>6796</v>
      </c>
      <c r="C9237" s="2">
        <v>695.46510000000001</v>
      </c>
      <c r="D9237" s="2">
        <f>HYPERLINK("http://mcb-m6.bioreg.kyushu-u.ac.jp/M3/20110404/F50772/1712/1", 43.64)</f>
        <v>43.64</v>
      </c>
      <c r="E9237" s="2">
        <v>18.670000000000002</v>
      </c>
      <c r="F9237" s="2">
        <v>2</v>
      </c>
      <c r="G9237" s="2" t="s">
        <v>10</v>
      </c>
    </row>
    <row r="9238" spans="1:9" x14ac:dyDescent="0.2">
      <c r="A9238" s="2" t="s">
        <v>4852</v>
      </c>
      <c r="B9238" s="2" t="s">
        <v>7017</v>
      </c>
      <c r="C9238" s="2">
        <v>587.75710000000004</v>
      </c>
      <c r="D9238" s="2">
        <f>HYPERLINK("http://mcb-m6.bioreg.kyushu-u.ac.jp/M3/20110404/F50772/1295/1", 80.55)</f>
        <v>80.55</v>
      </c>
      <c r="E9238" s="2">
        <v>57.42</v>
      </c>
      <c r="F9238" s="2">
        <v>2</v>
      </c>
      <c r="G9238" s="2" t="s">
        <v>10</v>
      </c>
    </row>
    <row r="9239" spans="1:9" x14ac:dyDescent="0.2">
      <c r="A9239" s="2" t="s">
        <v>4852</v>
      </c>
      <c r="B9239" s="2" t="s">
        <v>3132</v>
      </c>
      <c r="C9239" s="2">
        <v>705.28610000000003</v>
      </c>
      <c r="D9239" s="2">
        <f>HYPERLINK("http://mcb-m6.bioreg.kyushu-u.ac.jp/M3/20110404/F50772/1754/1", 82.73)</f>
        <v>82.73</v>
      </c>
      <c r="E9239" s="2">
        <v>50.12</v>
      </c>
      <c r="F9239" s="2">
        <v>2</v>
      </c>
      <c r="G9239" s="2" t="s">
        <v>10</v>
      </c>
    </row>
    <row r="9240" spans="1:9" x14ac:dyDescent="0.2">
      <c r="A9240" s="2" t="s">
        <v>4852</v>
      </c>
      <c r="B9240" s="2" t="s">
        <v>7025</v>
      </c>
      <c r="C9240" s="2">
        <v>799.6191</v>
      </c>
      <c r="D9240" s="2">
        <f>HYPERLINK("http://mcb-m6.bioreg.kyushu-u.ac.jp/M3/20110404/F50772/2180/1", 82.99)</f>
        <v>82.99</v>
      </c>
      <c r="E9240" s="2">
        <v>47.95</v>
      </c>
      <c r="F9240" s="2">
        <v>2</v>
      </c>
      <c r="G9240" s="2" t="s">
        <v>10</v>
      </c>
    </row>
    <row r="9241" spans="1:9" x14ac:dyDescent="0.2">
      <c r="A9241" s="2" t="s">
        <v>4852</v>
      </c>
      <c r="B9241" s="2" t="s">
        <v>7046</v>
      </c>
      <c r="C9241" s="2">
        <v>714.51170000000002</v>
      </c>
      <c r="D9241" s="2">
        <f>HYPERLINK("http://mcb-m6.bioreg.kyushu-u.ac.jp/M3/20110404/F50772/1803/1", 93.55)</f>
        <v>93.55</v>
      </c>
      <c r="E9241" s="2">
        <v>81.459999999999994</v>
      </c>
      <c r="F9241" s="2">
        <v>2</v>
      </c>
      <c r="G9241" s="2" t="s">
        <v>10</v>
      </c>
    </row>
    <row r="9242" spans="1:9" x14ac:dyDescent="0.2">
      <c r="A9242" s="2" t="s">
        <v>4852</v>
      </c>
      <c r="B9242" s="2" t="s">
        <v>3213</v>
      </c>
      <c r="C9242" s="2">
        <v>996.41669999999999</v>
      </c>
      <c r="D9242" s="2">
        <f>HYPERLINK("http://mcb-m6.bioreg.kyushu-u.ac.jp/M3/20110404/F50772/2865/1", 100.29)</f>
        <v>100.29</v>
      </c>
      <c r="E9242" s="2">
        <v>86.05</v>
      </c>
      <c r="F9242" s="2">
        <v>2</v>
      </c>
      <c r="G9242" s="2" t="s">
        <v>10</v>
      </c>
    </row>
    <row r="9243" spans="1:9" x14ac:dyDescent="0.2">
      <c r="A9243" s="2" t="s">
        <v>4461</v>
      </c>
      <c r="B9243" s="2" t="s">
        <v>2384</v>
      </c>
      <c r="C9243" s="2">
        <v>914.92970000000003</v>
      </c>
      <c r="D9243" s="2">
        <f>HYPERLINK("http://mcb-m6.bioreg.kyushu-u.ac.jp/M3/20110404/F50772/2617/1", 60.99)</f>
        <v>60.99</v>
      </c>
      <c r="E9243" s="2">
        <v>48.79</v>
      </c>
      <c r="F9243" s="2">
        <v>2</v>
      </c>
      <c r="G9243" s="2" t="s">
        <v>10</v>
      </c>
    </row>
    <row r="9244" spans="1:9" x14ac:dyDescent="0.2">
      <c r="A9244" s="2" t="s">
        <v>4461</v>
      </c>
      <c r="B9244" s="2" t="s">
        <v>3192</v>
      </c>
      <c r="C9244" s="2">
        <v>768.60019999999997</v>
      </c>
      <c r="D9244" s="2">
        <f>HYPERLINK("http://mcb-m6.bioreg.kyushu-u.ac.jp/M3/20110404/F50772/2036/1", 90.76)</f>
        <v>90.76</v>
      </c>
      <c r="E9244" s="2">
        <v>69.78</v>
      </c>
      <c r="F9244" s="2">
        <v>2</v>
      </c>
      <c r="G9244" s="2" t="s">
        <v>10</v>
      </c>
    </row>
    <row r="9245" spans="1:9" x14ac:dyDescent="0.2">
      <c r="A9245" s="2" t="s">
        <v>4461</v>
      </c>
      <c r="B9245" s="2" t="s">
        <v>2384</v>
      </c>
      <c r="C9245" s="2">
        <v>914.93520000000001</v>
      </c>
      <c r="D9245" s="2">
        <f>HYPERLINK("http://mcb-m6.bioreg.kyushu-u.ac.jp/M3/20110421/F51025/2592/1", 47.52)</f>
        <v>47.52</v>
      </c>
      <c r="E9245" s="2">
        <v>35.46</v>
      </c>
      <c r="F9245" s="2">
        <v>2</v>
      </c>
      <c r="G9245" s="2" t="s">
        <v>12</v>
      </c>
    </row>
    <row r="9246" spans="1:9" x14ac:dyDescent="0.2">
      <c r="A9246" s="2" t="s">
        <v>7887</v>
      </c>
      <c r="B9246" s="2" t="s">
        <v>6950</v>
      </c>
      <c r="C9246" s="2">
        <v>989.17269999999996</v>
      </c>
      <c r="D9246" s="2">
        <f>HYPERLINK("http://mcb-m6.bioreg.kyushu-u.ac.jp/M3/20110404/F50760/2635/1", 64.8)</f>
        <v>64.8</v>
      </c>
      <c r="E9246" s="2">
        <v>43.8</v>
      </c>
      <c r="F9246" s="2">
        <v>2</v>
      </c>
      <c r="G9246" s="2" t="s">
        <v>10</v>
      </c>
    </row>
    <row r="9247" spans="1:9" x14ac:dyDescent="0.2">
      <c r="A9247" s="2" t="s">
        <v>4072</v>
      </c>
      <c r="B9247" s="2" t="s">
        <v>3182</v>
      </c>
      <c r="C9247" s="2">
        <v>711.76570000000004</v>
      </c>
      <c r="D9247" s="2">
        <f>HYPERLINK("http://mcb-m6.bioreg.kyushu-u.ac.jp/M3/20110404/F50755/1791/1", 35.66)</f>
        <v>35.659999999999997</v>
      </c>
      <c r="E9247" s="2">
        <v>18.010000000000002</v>
      </c>
      <c r="F9247" s="2">
        <v>2</v>
      </c>
      <c r="G9247" s="2" t="s">
        <v>9</v>
      </c>
      <c r="I9247" s="2" t="s">
        <v>4905</v>
      </c>
    </row>
    <row r="9248" spans="1:9" x14ac:dyDescent="0.2">
      <c r="A9248" s="2" t="s">
        <v>4072</v>
      </c>
      <c r="B9248" s="2" t="s">
        <v>1685</v>
      </c>
      <c r="C9248" s="2">
        <v>677.84720000000004</v>
      </c>
      <c r="D9248" s="2">
        <f>HYPERLINK("http://mcb-m6.bioreg.kyushu-u.ac.jp/M3/20110404/F50755/1639/1", 52.61)</f>
        <v>52.61</v>
      </c>
      <c r="E9248" s="2">
        <v>24.07</v>
      </c>
      <c r="F9248" s="2">
        <v>2</v>
      </c>
      <c r="G9248" s="2" t="s">
        <v>9</v>
      </c>
    </row>
    <row r="9249" spans="1:9" x14ac:dyDescent="0.2">
      <c r="A9249" s="2" t="s">
        <v>4072</v>
      </c>
      <c r="B9249" s="2" t="s">
        <v>2102</v>
      </c>
      <c r="C9249" s="2">
        <v>676.27419999999995</v>
      </c>
      <c r="D9249" s="2">
        <f>HYPERLINK("http://mcb-m6.bioreg.kyushu-u.ac.jp/M3/20110404/F50755/1631/1", 53.33)</f>
        <v>53.33</v>
      </c>
      <c r="E9249" s="2">
        <v>33.270000000000003</v>
      </c>
      <c r="F9249" s="2">
        <v>2</v>
      </c>
      <c r="G9249" s="2" t="s">
        <v>9</v>
      </c>
      <c r="H9249" s="2" t="s">
        <v>4920</v>
      </c>
    </row>
    <row r="9250" spans="1:9" x14ac:dyDescent="0.2">
      <c r="A9250" s="2" t="s">
        <v>4072</v>
      </c>
      <c r="B9250" s="2" t="s">
        <v>2669</v>
      </c>
      <c r="C9250" s="2">
        <v>807.28719999999998</v>
      </c>
      <c r="D9250" s="2">
        <f>HYPERLINK("http://mcb-m6.bioreg.kyushu-u.ac.jp/M3/20110404/F50755/2279/1", 79.84)</f>
        <v>79.84</v>
      </c>
      <c r="E9250" s="2">
        <v>66.81</v>
      </c>
      <c r="F9250" s="2">
        <v>2</v>
      </c>
      <c r="G9250" s="2" t="s">
        <v>9</v>
      </c>
    </row>
    <row r="9251" spans="1:9" x14ac:dyDescent="0.2">
      <c r="A9251" s="2" t="s">
        <v>4072</v>
      </c>
      <c r="B9251" s="2" t="s">
        <v>6572</v>
      </c>
      <c r="C9251" s="2">
        <v>876.66269999999997</v>
      </c>
      <c r="D9251" s="2">
        <f>HYPERLINK("http://mcb-m6.bioreg.kyushu-u.ac.jp/M3/20110404/F50755/2556/1", 82.69)</f>
        <v>82.69</v>
      </c>
      <c r="E9251" s="2">
        <v>62.79</v>
      </c>
      <c r="F9251" s="2">
        <v>2</v>
      </c>
      <c r="G9251" s="2" t="s">
        <v>9</v>
      </c>
    </row>
    <row r="9252" spans="1:9" x14ac:dyDescent="0.2">
      <c r="A9252" s="2" t="s">
        <v>4072</v>
      </c>
      <c r="B9252" s="2" t="s">
        <v>1685</v>
      </c>
      <c r="C9252" s="2">
        <v>685.72019999999998</v>
      </c>
      <c r="D9252" s="2">
        <f>HYPERLINK("http://mcb-m6.bioreg.kyushu-u.ac.jp/M3/20110404/F50760/1579/1", 45.27)</f>
        <v>45.27</v>
      </c>
      <c r="E9252" s="2">
        <v>17.77</v>
      </c>
      <c r="F9252" s="2">
        <v>2</v>
      </c>
      <c r="G9252" s="2" t="s">
        <v>10</v>
      </c>
      <c r="H9252" s="2" t="s">
        <v>4901</v>
      </c>
    </row>
    <row r="9253" spans="1:9" x14ac:dyDescent="0.2">
      <c r="A9253" s="2" t="s">
        <v>4072</v>
      </c>
      <c r="B9253" s="2" t="s">
        <v>2102</v>
      </c>
      <c r="C9253" s="2">
        <v>668.32569999999998</v>
      </c>
      <c r="D9253" s="2">
        <f>HYPERLINK("http://mcb-m6.bioreg.kyushu-u.ac.jp/M3/20110404/F50760/1516/1", 53.54)</f>
        <v>53.54</v>
      </c>
      <c r="E9253" s="2">
        <v>34.57</v>
      </c>
      <c r="F9253" s="2">
        <v>2</v>
      </c>
      <c r="G9253" s="2" t="s">
        <v>10</v>
      </c>
    </row>
    <row r="9254" spans="1:9" x14ac:dyDescent="0.2">
      <c r="A9254" s="2" t="s">
        <v>4072</v>
      </c>
      <c r="B9254" s="2" t="s">
        <v>1685</v>
      </c>
      <c r="C9254" s="2">
        <v>677.81370000000004</v>
      </c>
      <c r="D9254" s="2">
        <f>HYPERLINK("http://mcb-m6.bioreg.kyushu-u.ac.jp/M3/20110404/F50760/1553/1", 60.07)</f>
        <v>60.07</v>
      </c>
      <c r="E9254" s="2">
        <v>30.56</v>
      </c>
      <c r="F9254" s="2">
        <v>2</v>
      </c>
      <c r="G9254" s="2" t="s">
        <v>10</v>
      </c>
    </row>
    <row r="9255" spans="1:9" x14ac:dyDescent="0.2">
      <c r="A9255" s="2" t="s">
        <v>4072</v>
      </c>
      <c r="B9255" s="2" t="s">
        <v>2102</v>
      </c>
      <c r="C9255" s="2">
        <v>675.77419999999995</v>
      </c>
      <c r="D9255" s="2">
        <f>HYPERLINK("http://mcb-m6.bioreg.kyushu-u.ac.jp/M3/20110404/F50760/1537/1", 61.09)</f>
        <v>61.09</v>
      </c>
      <c r="E9255" s="2">
        <v>35.81</v>
      </c>
      <c r="F9255" s="2">
        <v>2</v>
      </c>
      <c r="G9255" s="2" t="s">
        <v>10</v>
      </c>
      <c r="H9255" s="2" t="s">
        <v>4920</v>
      </c>
    </row>
    <row r="9256" spans="1:9" x14ac:dyDescent="0.2">
      <c r="A9256" s="2" t="s">
        <v>4072</v>
      </c>
      <c r="B9256" s="2" t="s">
        <v>2669</v>
      </c>
      <c r="C9256" s="2">
        <v>807.38670000000002</v>
      </c>
      <c r="D9256" s="2">
        <f>HYPERLINK("http://mcb-m6.bioreg.kyushu-u.ac.jp/M3/20110404/F50760/2062/1", 65.56)</f>
        <v>65.56</v>
      </c>
      <c r="E9256" s="2">
        <v>51.18</v>
      </c>
      <c r="F9256" s="2">
        <v>2</v>
      </c>
      <c r="G9256" s="2" t="s">
        <v>10</v>
      </c>
    </row>
    <row r="9257" spans="1:9" x14ac:dyDescent="0.2">
      <c r="A9257" s="2" t="s">
        <v>4072</v>
      </c>
      <c r="B9257" s="2" t="s">
        <v>2669</v>
      </c>
      <c r="C9257" s="2">
        <v>807.64509999999996</v>
      </c>
      <c r="D9257" s="2">
        <f>HYPERLINK("http://mcb-m6.bioreg.kyushu-u.ac.jp/M3/20110404/F50760/2063/1", 69.85)</f>
        <v>69.849999999999994</v>
      </c>
      <c r="E9257" s="2">
        <v>55.86</v>
      </c>
      <c r="F9257" s="2">
        <v>2</v>
      </c>
      <c r="G9257" s="2" t="s">
        <v>10</v>
      </c>
    </row>
    <row r="9258" spans="1:9" x14ac:dyDescent="0.2">
      <c r="A9258" s="2" t="s">
        <v>4072</v>
      </c>
      <c r="B9258" s="2" t="s">
        <v>6572</v>
      </c>
      <c r="C9258" s="2">
        <v>876.67409999999995</v>
      </c>
      <c r="D9258" s="2">
        <f>HYPERLINK("http://mcb-m6.bioreg.kyushu-u.ac.jp/M3/20110404/F50760/2317/1", 69.94)</f>
        <v>69.94</v>
      </c>
      <c r="E9258" s="2">
        <v>46.49</v>
      </c>
      <c r="F9258" s="2">
        <v>2</v>
      </c>
      <c r="G9258" s="2" t="s">
        <v>10</v>
      </c>
    </row>
    <row r="9259" spans="1:9" x14ac:dyDescent="0.2">
      <c r="A9259" s="2" t="s">
        <v>4072</v>
      </c>
      <c r="B9259" s="2" t="s">
        <v>1463</v>
      </c>
      <c r="C9259" s="2">
        <v>822.14070000000004</v>
      </c>
      <c r="D9259" s="2">
        <f>HYPERLINK("http://mcb-m6.bioreg.kyushu-u.ac.jp/M3/20110404/F50760/2111/1", 78.01)</f>
        <v>78.010000000000005</v>
      </c>
      <c r="E9259" s="2">
        <v>55.51</v>
      </c>
      <c r="F9259" s="2">
        <v>2</v>
      </c>
      <c r="G9259" s="2" t="s">
        <v>10</v>
      </c>
      <c r="I9259" s="2" t="s">
        <v>4890</v>
      </c>
    </row>
    <row r="9260" spans="1:9" x14ac:dyDescent="0.2">
      <c r="A9260" s="2" t="s">
        <v>4072</v>
      </c>
      <c r="B9260" s="2" t="s">
        <v>2102</v>
      </c>
      <c r="C9260" s="2">
        <v>668.18619999999999</v>
      </c>
      <c r="D9260" s="2">
        <f>HYPERLINK("http://mcb-m6.bioreg.kyushu-u.ac.jp/M3/20110404/F50760/1515/1", 80.24)</f>
        <v>80.239999999999995</v>
      </c>
      <c r="E9260" s="2">
        <v>54.74</v>
      </c>
      <c r="F9260" s="2">
        <v>2</v>
      </c>
      <c r="G9260" s="2" t="s">
        <v>10</v>
      </c>
    </row>
    <row r="9261" spans="1:9" x14ac:dyDescent="0.2">
      <c r="A9261" s="2" t="s">
        <v>4072</v>
      </c>
      <c r="B9261" s="2" t="s">
        <v>2102</v>
      </c>
      <c r="C9261" s="2">
        <v>668.3297</v>
      </c>
      <c r="D9261" s="2">
        <f>HYPERLINK("http://mcb-m6.bioreg.kyushu-u.ac.jp/M3/20110421/F51059/1406/1", 60.6)</f>
        <v>60.6</v>
      </c>
      <c r="E9261" s="2">
        <v>40.78</v>
      </c>
      <c r="F9261" s="2">
        <v>2</v>
      </c>
      <c r="G9261" s="2" t="s">
        <v>12</v>
      </c>
    </row>
    <row r="9262" spans="1:9" x14ac:dyDescent="0.2">
      <c r="A9262" s="2" t="s">
        <v>4072</v>
      </c>
      <c r="B9262" s="2" t="s">
        <v>2102</v>
      </c>
      <c r="C9262" s="2">
        <v>676.07460000000003</v>
      </c>
      <c r="D9262" s="2">
        <f>HYPERLINK("http://mcb-m6.bioreg.kyushu-u.ac.jp/M3/20110421/F51059/1444/1", 61.56)</f>
        <v>61.56</v>
      </c>
      <c r="E9262" s="2">
        <v>42.05</v>
      </c>
      <c r="F9262" s="2">
        <v>2</v>
      </c>
      <c r="G9262" s="2" t="s">
        <v>12</v>
      </c>
      <c r="H9262" s="2" t="s">
        <v>4920</v>
      </c>
    </row>
    <row r="9263" spans="1:9" x14ac:dyDescent="0.2">
      <c r="A9263" s="2" t="s">
        <v>4072</v>
      </c>
      <c r="B9263" s="2" t="s">
        <v>1463</v>
      </c>
      <c r="C9263" s="2">
        <v>822.45209999999997</v>
      </c>
      <c r="D9263" s="2">
        <f>HYPERLINK("http://mcb-m6.bioreg.kyushu-u.ac.jp/M3/20110428/F51135/2167/1", 94)</f>
        <v>94</v>
      </c>
      <c r="E9263" s="2">
        <v>77.7</v>
      </c>
      <c r="F9263" s="2">
        <v>2</v>
      </c>
      <c r="G9263" s="2" t="s">
        <v>14</v>
      </c>
      <c r="I9263" s="2" t="s">
        <v>4890</v>
      </c>
    </row>
    <row r="9264" spans="1:9" x14ac:dyDescent="0.2">
      <c r="A9264" s="2" t="s">
        <v>4147</v>
      </c>
      <c r="B9264" s="2" t="s">
        <v>6153</v>
      </c>
      <c r="C9264" s="2">
        <v>867.42219999999998</v>
      </c>
      <c r="D9264" s="2">
        <f>HYPERLINK("http://mcb-m6.bioreg.kyushu-u.ac.jp/M3/20110404/F50762/2208/1", 44.59)</f>
        <v>44.59</v>
      </c>
      <c r="E9264" s="2">
        <v>37.74</v>
      </c>
      <c r="F9264" s="2">
        <v>2</v>
      </c>
      <c r="G9264" s="2" t="s">
        <v>9</v>
      </c>
    </row>
    <row r="9265" spans="1:9" x14ac:dyDescent="0.2">
      <c r="A9265" s="2" t="s">
        <v>4147</v>
      </c>
      <c r="B9265" s="2" t="s">
        <v>2103</v>
      </c>
      <c r="C9265" s="2">
        <v>790.72670000000005</v>
      </c>
      <c r="D9265" s="2">
        <f>HYPERLINK("http://mcb-m6.bioreg.kyushu-u.ac.jp/M3/20110404/F50762/1993/1", 99.32)</f>
        <v>99.32</v>
      </c>
      <c r="E9265" s="2">
        <v>87.78</v>
      </c>
      <c r="F9265" s="2">
        <v>2</v>
      </c>
      <c r="G9265" s="2" t="s">
        <v>9</v>
      </c>
    </row>
    <row r="9266" spans="1:9" x14ac:dyDescent="0.2">
      <c r="A9266" s="2" t="s">
        <v>4147</v>
      </c>
      <c r="B9266" s="2" t="s">
        <v>1907</v>
      </c>
      <c r="C9266" s="2">
        <v>644.44709999999998</v>
      </c>
      <c r="D9266" s="2">
        <f>HYPERLINK("http://mcb-m6.bioreg.kyushu-u.ac.jp/M3/20110404/F50768/1518/1", 44.75)</f>
        <v>44.75</v>
      </c>
      <c r="E9266" s="2">
        <v>34.049999999999997</v>
      </c>
      <c r="F9266" s="2">
        <v>2</v>
      </c>
      <c r="G9266" s="2" t="s">
        <v>10</v>
      </c>
    </row>
    <row r="9267" spans="1:9" x14ac:dyDescent="0.2">
      <c r="A9267" s="2" t="s">
        <v>4147</v>
      </c>
      <c r="B9267" s="2" t="s">
        <v>5334</v>
      </c>
      <c r="C9267" s="2">
        <v>545.85360000000003</v>
      </c>
      <c r="D9267" s="2">
        <f>HYPERLINK("http://mcb-m6.bioreg.kyushu-u.ac.jp/M3/20110421/F51043/1143/1", 51.9)</f>
        <v>51.9</v>
      </c>
      <c r="E9267" s="2">
        <v>28.95</v>
      </c>
      <c r="F9267" s="2">
        <v>2</v>
      </c>
      <c r="G9267" s="2" t="s">
        <v>12</v>
      </c>
    </row>
    <row r="9268" spans="1:9" x14ac:dyDescent="0.2">
      <c r="A9268" s="2" t="s">
        <v>4147</v>
      </c>
      <c r="B9268" s="2" t="s">
        <v>2531</v>
      </c>
      <c r="C9268" s="2">
        <v>778.41219999999998</v>
      </c>
      <c r="D9268" s="2">
        <f>HYPERLINK("http://mcb-m6.bioreg.kyushu-u.ac.jp/M3/20110421/F51044/2246/1", 74.4)</f>
        <v>74.400000000000006</v>
      </c>
      <c r="E9268" s="2">
        <v>58.87</v>
      </c>
      <c r="F9268" s="2">
        <v>2</v>
      </c>
      <c r="G9268" s="2" t="s">
        <v>12</v>
      </c>
    </row>
    <row r="9269" spans="1:9" x14ac:dyDescent="0.2">
      <c r="A9269" s="2" t="s">
        <v>4147</v>
      </c>
      <c r="B9269" s="2" t="s">
        <v>2103</v>
      </c>
      <c r="C9269" s="2">
        <v>790.39970000000005</v>
      </c>
      <c r="D9269" s="2">
        <f>HYPERLINK("http://mcb-m6.bioreg.kyushu-u.ac.jp/M3/20110421/F51043/2314/1", 102.69)</f>
        <v>102.69</v>
      </c>
      <c r="E9269" s="2">
        <v>88.05</v>
      </c>
      <c r="F9269" s="2">
        <v>2</v>
      </c>
      <c r="G9269" s="2" t="s">
        <v>12</v>
      </c>
    </row>
    <row r="9270" spans="1:9" x14ac:dyDescent="0.2">
      <c r="A9270" s="2" t="s">
        <v>8086</v>
      </c>
      <c r="B9270" s="2" t="s">
        <v>7414</v>
      </c>
      <c r="C9270" s="2">
        <v>746.28560000000004</v>
      </c>
      <c r="D9270" s="2">
        <f>HYPERLINK("http://mcb-m6.bioreg.kyushu-u.ac.jp/M3/20110427/F51113/2025/1", 64.5)</f>
        <v>64.5</v>
      </c>
      <c r="E9270" s="2">
        <v>48.48</v>
      </c>
      <c r="F9270" s="2">
        <v>2</v>
      </c>
      <c r="G9270" s="2" t="s">
        <v>13</v>
      </c>
      <c r="I9270" s="2" t="s">
        <v>8151</v>
      </c>
    </row>
    <row r="9271" spans="1:9" x14ac:dyDescent="0.2">
      <c r="A9271" s="2" t="s">
        <v>4384</v>
      </c>
      <c r="B9271" s="2" t="s">
        <v>6220</v>
      </c>
      <c r="C9271" s="2">
        <v>1089.3579999999999</v>
      </c>
      <c r="D9271" s="2">
        <f>HYPERLINK("http://mcb-m6.bioreg.kyushu-u.ac.jp/M3/20110404/F50764/1132/1", 47.12)</f>
        <v>47.12</v>
      </c>
      <c r="E9271" s="2">
        <v>25.64</v>
      </c>
      <c r="F9271" s="2">
        <v>1</v>
      </c>
      <c r="G9271" s="2" t="s">
        <v>9</v>
      </c>
      <c r="I9271" s="2" t="s">
        <v>4893</v>
      </c>
    </row>
    <row r="9272" spans="1:9" x14ac:dyDescent="0.2">
      <c r="A9272" s="2" t="s">
        <v>4384</v>
      </c>
      <c r="B9272" s="2" t="s">
        <v>6331</v>
      </c>
      <c r="C9272" s="2">
        <v>459.19009999999997</v>
      </c>
      <c r="D9272" s="2">
        <f>HYPERLINK("http://mcb-m6.bioreg.kyushu-u.ac.jp/M3/20110404/F50764/832/1", 53.62)</f>
        <v>53.62</v>
      </c>
      <c r="E9272" s="2">
        <v>10.45</v>
      </c>
      <c r="F9272" s="2">
        <v>2</v>
      </c>
      <c r="G9272" s="2" t="s">
        <v>9</v>
      </c>
    </row>
    <row r="9273" spans="1:9" x14ac:dyDescent="0.2">
      <c r="A9273" s="2" t="s">
        <v>4384</v>
      </c>
      <c r="B9273" s="2" t="s">
        <v>3111</v>
      </c>
      <c r="C9273" s="2">
        <v>606.72969999999998</v>
      </c>
      <c r="D9273" s="2">
        <f>HYPERLINK("http://mcb-m6.bioreg.kyushu-u.ac.jp/M3/20110404/F50764/1328/1", 67.26)</f>
        <v>67.260000000000005</v>
      </c>
      <c r="E9273" s="2">
        <v>32.31</v>
      </c>
      <c r="F9273" s="2">
        <v>2</v>
      </c>
      <c r="G9273" s="2" t="s">
        <v>9</v>
      </c>
    </row>
    <row r="9274" spans="1:9" x14ac:dyDescent="0.2">
      <c r="A9274" s="2" t="s">
        <v>4384</v>
      </c>
      <c r="B9274" s="2" t="s">
        <v>2220</v>
      </c>
      <c r="C9274" s="2">
        <v>756.74869999999999</v>
      </c>
      <c r="D9274" s="2">
        <f>HYPERLINK("http://mcb-m6.bioreg.kyushu-u.ac.jp/M3/20110404/F50764/1948/1", 70.87)</f>
        <v>70.87</v>
      </c>
      <c r="E9274" s="2">
        <v>39.99</v>
      </c>
      <c r="F9274" s="2">
        <v>2</v>
      </c>
      <c r="G9274" s="2" t="s">
        <v>9</v>
      </c>
      <c r="I9274" s="2" t="s">
        <v>4957</v>
      </c>
    </row>
    <row r="9275" spans="1:9" x14ac:dyDescent="0.2">
      <c r="A9275" s="2" t="s">
        <v>4384</v>
      </c>
      <c r="B9275" s="2" t="s">
        <v>6644</v>
      </c>
      <c r="C9275" s="2">
        <v>984.55110000000002</v>
      </c>
      <c r="D9275" s="2">
        <f>HYPERLINK("http://mcb-m6.bioreg.kyushu-u.ac.jp/M3/20110404/F50764/2703/1", 103.07)</f>
        <v>103.07</v>
      </c>
      <c r="E9275" s="2">
        <v>88.88</v>
      </c>
      <c r="F9275" s="2">
        <v>2</v>
      </c>
      <c r="G9275" s="2" t="s">
        <v>9</v>
      </c>
    </row>
    <row r="9276" spans="1:9" x14ac:dyDescent="0.2">
      <c r="A9276" s="2" t="s">
        <v>4384</v>
      </c>
      <c r="B9276" s="2" t="s">
        <v>2220</v>
      </c>
      <c r="C9276" s="2">
        <v>756.19960000000003</v>
      </c>
      <c r="D9276" s="2">
        <f>HYPERLINK("http://mcb-m6.bioreg.kyushu-u.ac.jp/M3/20110404/F50770/1988/1", 40.21)</f>
        <v>40.21</v>
      </c>
      <c r="E9276" s="2">
        <v>29.53</v>
      </c>
      <c r="F9276" s="2">
        <v>2</v>
      </c>
      <c r="G9276" s="2" t="s">
        <v>10</v>
      </c>
      <c r="I9276" s="2" t="s">
        <v>4957</v>
      </c>
    </row>
    <row r="9277" spans="1:9" x14ac:dyDescent="0.2">
      <c r="A9277" s="2" t="s">
        <v>4384</v>
      </c>
      <c r="B9277" s="2" t="s">
        <v>6774</v>
      </c>
      <c r="C9277" s="2">
        <v>750.87369999999999</v>
      </c>
      <c r="D9277" s="2">
        <f>HYPERLINK("http://mcb-m6.bioreg.kyushu-u.ac.jp/M3/20110404/F50770/1969/1", 41.59)</f>
        <v>41.59</v>
      </c>
      <c r="E9277" s="2">
        <v>29.09</v>
      </c>
      <c r="F9277" s="2">
        <v>2</v>
      </c>
      <c r="G9277" s="2" t="s">
        <v>10</v>
      </c>
    </row>
    <row r="9278" spans="1:9" x14ac:dyDescent="0.2">
      <c r="A9278" s="2" t="s">
        <v>4384</v>
      </c>
      <c r="B9278" s="2" t="s">
        <v>3111</v>
      </c>
      <c r="C9278" s="2">
        <v>606.17660000000001</v>
      </c>
      <c r="D9278" s="2">
        <f>HYPERLINK("http://mcb-m6.bioreg.kyushu-u.ac.jp/M3/20110404/F50770/1434/1", 54.34)</f>
        <v>54.34</v>
      </c>
      <c r="E9278" s="2">
        <v>22.4</v>
      </c>
      <c r="F9278" s="2">
        <v>2</v>
      </c>
      <c r="G9278" s="2" t="s">
        <v>10</v>
      </c>
    </row>
    <row r="9279" spans="1:9" x14ac:dyDescent="0.2">
      <c r="A9279" s="2" t="s">
        <v>4384</v>
      </c>
      <c r="B9279" s="2" t="s">
        <v>7049</v>
      </c>
      <c r="C9279" s="2">
        <v>814.85609999999997</v>
      </c>
      <c r="D9279" s="2">
        <f>HYPERLINK("http://mcb-m6.bioreg.kyushu-u.ac.jp/M3/20110404/F50770/2183/1", 99.75)</f>
        <v>99.75</v>
      </c>
      <c r="E9279" s="2">
        <v>81.83</v>
      </c>
      <c r="F9279" s="2">
        <v>2</v>
      </c>
      <c r="G9279" s="2" t="s">
        <v>10</v>
      </c>
    </row>
    <row r="9280" spans="1:9" x14ac:dyDescent="0.2">
      <c r="A9280" s="2" t="s">
        <v>4384</v>
      </c>
      <c r="B9280" s="2" t="s">
        <v>2220</v>
      </c>
      <c r="C9280" s="2">
        <v>756.31209999999999</v>
      </c>
      <c r="D9280" s="2">
        <f>HYPERLINK("http://mcb-m6.bioreg.kyushu-u.ac.jp/M3/20110427/F51115/2052/1", 47.73)</f>
        <v>47.73</v>
      </c>
      <c r="E9280" s="2">
        <v>33.15</v>
      </c>
      <c r="F9280" s="2">
        <v>2</v>
      </c>
      <c r="G9280" s="2" t="s">
        <v>13</v>
      </c>
      <c r="I9280" s="2" t="s">
        <v>4957</v>
      </c>
    </row>
    <row r="9281" spans="1:9" x14ac:dyDescent="0.2">
      <c r="A9281" s="2" t="s">
        <v>4443</v>
      </c>
      <c r="B9281" s="2" t="s">
        <v>2340</v>
      </c>
      <c r="C9281" s="2">
        <v>501.61860000000001</v>
      </c>
      <c r="D9281" s="2">
        <f>HYPERLINK("http://mcb-m6.bioreg.kyushu-u.ac.jp/M3/20110427/F51108/1208/1", 56.96)</f>
        <v>56.96</v>
      </c>
      <c r="E9281" s="2">
        <v>33.83</v>
      </c>
      <c r="F9281" s="2">
        <v>2</v>
      </c>
      <c r="G9281" s="2" t="s">
        <v>13</v>
      </c>
      <c r="I9281" s="2" t="s">
        <v>4903</v>
      </c>
    </row>
    <row r="9282" spans="1:9" x14ac:dyDescent="0.2">
      <c r="A9282" s="2" t="s">
        <v>8054</v>
      </c>
      <c r="B9282" s="2" t="s">
        <v>7345</v>
      </c>
      <c r="C9282" s="2">
        <v>725.13120000000004</v>
      </c>
      <c r="D9282" s="2">
        <f>HYPERLINK("http://mcb-m6.bioreg.kyushu-u.ac.jp/M3/20110427/F51114/1963/1", 44.5)</f>
        <v>44.5</v>
      </c>
      <c r="E9282" s="2">
        <v>9.83</v>
      </c>
      <c r="F9282" s="2">
        <v>2</v>
      </c>
      <c r="G9282" s="2" t="s">
        <v>13</v>
      </c>
    </row>
    <row r="9283" spans="1:9" x14ac:dyDescent="0.2">
      <c r="A9283" s="2" t="s">
        <v>7518</v>
      </c>
      <c r="B9283" s="2" t="s">
        <v>5905</v>
      </c>
      <c r="C9283" s="2">
        <v>977.05110000000002</v>
      </c>
      <c r="D9283" s="2">
        <f>HYPERLINK("http://mcb-m6.bioreg.kyushu-u.ac.jp/M3/20110404/F50764/2676/1", 35.05)</f>
        <v>35.049999999999997</v>
      </c>
      <c r="E9283" s="2">
        <v>17.850000000000001</v>
      </c>
      <c r="F9283" s="2">
        <v>2</v>
      </c>
      <c r="G9283" s="2" t="s">
        <v>9</v>
      </c>
    </row>
    <row r="9284" spans="1:9" x14ac:dyDescent="0.2">
      <c r="A9284" s="2" t="s">
        <v>7697</v>
      </c>
      <c r="B9284" s="2" t="s">
        <v>6356</v>
      </c>
      <c r="C9284" s="2">
        <v>689.84370000000001</v>
      </c>
      <c r="D9284" s="2">
        <f>HYPERLINK("http://mcb-m6.bioreg.kyushu-u.ac.jp/M3/20110404/F50776/1600/1", 56.02)</f>
        <v>56.02</v>
      </c>
      <c r="E9284" s="2">
        <v>40.28</v>
      </c>
      <c r="F9284" s="2">
        <v>2</v>
      </c>
      <c r="G9284" s="2" t="s">
        <v>9</v>
      </c>
    </row>
    <row r="9285" spans="1:9" x14ac:dyDescent="0.2">
      <c r="A9285" s="2" t="s">
        <v>7697</v>
      </c>
      <c r="B9285" s="2" t="s">
        <v>6356</v>
      </c>
      <c r="C9285" s="2">
        <v>697.19569999999999</v>
      </c>
      <c r="D9285" s="2">
        <f>HYPERLINK("http://mcb-m6.bioreg.kyushu-u.ac.jp/M3/20110404/F50781/1672/1", 56.28)</f>
        <v>56.28</v>
      </c>
      <c r="E9285" s="2">
        <v>40.340000000000003</v>
      </c>
      <c r="F9285" s="2">
        <v>2</v>
      </c>
      <c r="G9285" s="2" t="s">
        <v>10</v>
      </c>
      <c r="H9285" s="2" t="s">
        <v>4927</v>
      </c>
    </row>
    <row r="9286" spans="1:9" x14ac:dyDescent="0.2">
      <c r="A9286" s="2" t="s">
        <v>7697</v>
      </c>
      <c r="B9286" s="2" t="s">
        <v>6356</v>
      </c>
      <c r="C9286" s="2">
        <v>689.88120000000004</v>
      </c>
      <c r="D9286" s="2">
        <f>HYPERLINK("http://mcb-m6.bioreg.kyushu-u.ac.jp/M3/20110404/F50781/1635/1", 56.69)</f>
        <v>56.69</v>
      </c>
      <c r="E9286" s="2">
        <v>44.35</v>
      </c>
      <c r="F9286" s="2">
        <v>2</v>
      </c>
      <c r="G9286" s="2" t="s">
        <v>10</v>
      </c>
    </row>
    <row r="9287" spans="1:9" x14ac:dyDescent="0.2">
      <c r="A9287" s="2" t="s">
        <v>7697</v>
      </c>
      <c r="B9287" s="2" t="s">
        <v>7322</v>
      </c>
      <c r="C9287" s="2">
        <v>779.83180000000004</v>
      </c>
      <c r="D9287" s="2">
        <f>HYPERLINK("http://mcb-m6.bioreg.kyushu-u.ac.jp/M3/20110428/F51131/3417/1", 39.88)</f>
        <v>39.880000000000003</v>
      </c>
      <c r="E9287" s="2">
        <v>25.58</v>
      </c>
      <c r="F9287" s="2">
        <v>3</v>
      </c>
      <c r="G9287" s="2" t="s">
        <v>13</v>
      </c>
    </row>
    <row r="9288" spans="1:9" x14ac:dyDescent="0.2">
      <c r="A9288" s="2" t="s">
        <v>8071</v>
      </c>
      <c r="B9288" s="2" t="s">
        <v>7385</v>
      </c>
      <c r="C9288" s="2">
        <v>569.70010000000002</v>
      </c>
      <c r="D9288" s="2">
        <f>HYPERLINK("http://mcb-m6.bioreg.kyushu-u.ac.jp/M3/20110427/F51115/1320/1", 53.49)</f>
        <v>53.49</v>
      </c>
      <c r="E9288" s="2">
        <v>34.630000000000003</v>
      </c>
      <c r="F9288" s="2">
        <v>2</v>
      </c>
      <c r="G9288" s="2" t="s">
        <v>13</v>
      </c>
    </row>
    <row r="9289" spans="1:9" x14ac:dyDescent="0.2">
      <c r="A9289" s="2" t="s">
        <v>3267</v>
      </c>
      <c r="B9289" s="2" t="s">
        <v>1923</v>
      </c>
      <c r="C9289" s="2">
        <v>545.28809999999999</v>
      </c>
      <c r="D9289" s="2">
        <f>HYPERLINK("http://mcb-m6.bioreg.kyushu-u.ac.jp/M3/20110404/F50755/1164/1", 35.45)</f>
        <v>35.450000000000003</v>
      </c>
      <c r="E9289" s="2">
        <v>17.27</v>
      </c>
      <c r="F9289" s="2">
        <v>2</v>
      </c>
      <c r="G9289" s="2" t="s">
        <v>9</v>
      </c>
    </row>
    <row r="9290" spans="1:9" x14ac:dyDescent="0.2">
      <c r="A9290" s="2" t="s">
        <v>3267</v>
      </c>
      <c r="B9290" s="2" t="s">
        <v>1606</v>
      </c>
      <c r="C9290" s="2">
        <v>575.34720000000004</v>
      </c>
      <c r="D9290" s="2">
        <f>HYPERLINK("http://mcb-m6.bioreg.kyushu-u.ac.jp/M3/20110404/F50778/2432/1", 35.97)</f>
        <v>35.97</v>
      </c>
      <c r="E9290" s="2">
        <v>19.850000000000001</v>
      </c>
      <c r="F9290" s="2">
        <v>3</v>
      </c>
      <c r="G9290" s="2" t="s">
        <v>9</v>
      </c>
    </row>
    <row r="9291" spans="1:9" x14ac:dyDescent="0.2">
      <c r="A9291" s="2" t="s">
        <v>3267</v>
      </c>
      <c r="B9291" s="2" t="s">
        <v>697</v>
      </c>
      <c r="C9291" s="2">
        <v>732.88620000000003</v>
      </c>
      <c r="D9291" s="2">
        <f>HYPERLINK("http://mcb-m6.bioreg.kyushu-u.ac.jp/M3/20110404/F50778/1811/1", 36.32)</f>
        <v>36.32</v>
      </c>
      <c r="E9291" s="2">
        <v>10.48</v>
      </c>
      <c r="F9291" s="2">
        <v>2</v>
      </c>
      <c r="G9291" s="2" t="s">
        <v>9</v>
      </c>
    </row>
    <row r="9292" spans="1:9" x14ac:dyDescent="0.2">
      <c r="A9292" s="2" t="s">
        <v>3267</v>
      </c>
      <c r="B9292" s="2" t="s">
        <v>147</v>
      </c>
      <c r="C9292" s="2">
        <v>830.45</v>
      </c>
      <c r="D9292" s="2">
        <f>HYPERLINK("http://mcb-m6.bioreg.kyushu-u.ac.jp/M3/20110404/F50765/699/1", 36.46)</f>
        <v>36.46</v>
      </c>
      <c r="E9292" s="2">
        <v>15.31</v>
      </c>
      <c r="F9292" s="2">
        <v>1</v>
      </c>
      <c r="G9292" s="2" t="s">
        <v>9</v>
      </c>
    </row>
    <row r="9293" spans="1:9" x14ac:dyDescent="0.2">
      <c r="A9293" s="2" t="s">
        <v>3267</v>
      </c>
      <c r="B9293" s="2" t="s">
        <v>147</v>
      </c>
      <c r="C9293" s="2">
        <v>829.48900000000003</v>
      </c>
      <c r="D9293" s="2">
        <f>HYPERLINK("http://mcb-m6.bioreg.kyushu-u.ac.jp/M3/20110404/F50752/1102/1", 36.51)</f>
        <v>36.51</v>
      </c>
      <c r="E9293" s="2">
        <v>14.51</v>
      </c>
      <c r="F9293" s="2">
        <v>1</v>
      </c>
      <c r="G9293" s="2" t="s">
        <v>9</v>
      </c>
    </row>
    <row r="9294" spans="1:9" x14ac:dyDescent="0.2">
      <c r="A9294" s="2" t="s">
        <v>3267</v>
      </c>
      <c r="B9294" s="2" t="s">
        <v>568</v>
      </c>
      <c r="C9294" s="2">
        <v>836.25599999999997</v>
      </c>
      <c r="D9294" s="2">
        <f>HYPERLINK("http://mcb-m6.bioreg.kyushu-u.ac.jp/M3/20110404/F50756/765/1", 36.51)</f>
        <v>36.51</v>
      </c>
      <c r="E9294" s="2">
        <v>11.42</v>
      </c>
      <c r="F9294" s="2">
        <v>1</v>
      </c>
      <c r="G9294" s="2" t="s">
        <v>9</v>
      </c>
    </row>
    <row r="9295" spans="1:9" x14ac:dyDescent="0.2">
      <c r="A9295" s="2" t="s">
        <v>3267</v>
      </c>
      <c r="B9295" s="2" t="s">
        <v>568</v>
      </c>
      <c r="C9295" s="2">
        <v>836.40099999999995</v>
      </c>
      <c r="D9295" s="2">
        <f>HYPERLINK("http://mcb-m6.bioreg.kyushu-u.ac.jp/M3/20110404/F50777/737/1", 36.71)</f>
        <v>36.71</v>
      </c>
      <c r="E9295" s="2">
        <v>11.44</v>
      </c>
      <c r="F9295" s="2">
        <v>1</v>
      </c>
      <c r="G9295" s="2" t="s">
        <v>9</v>
      </c>
    </row>
    <row r="9296" spans="1:9" x14ac:dyDescent="0.2">
      <c r="A9296" s="2" t="s">
        <v>3267</v>
      </c>
      <c r="B9296" s="2" t="s">
        <v>568</v>
      </c>
      <c r="C9296" s="2">
        <v>837.32799999999997</v>
      </c>
      <c r="D9296" s="2">
        <f>HYPERLINK("http://mcb-m6.bioreg.kyushu-u.ac.jp/M3/20110404/F50756/768/1", 37.81)</f>
        <v>37.81</v>
      </c>
      <c r="E9296" s="2">
        <v>20.65</v>
      </c>
      <c r="F9296" s="2">
        <v>1</v>
      </c>
      <c r="G9296" s="2" t="s">
        <v>9</v>
      </c>
    </row>
    <row r="9297" spans="1:8" x14ac:dyDescent="0.2">
      <c r="A9297" s="2" t="s">
        <v>3267</v>
      </c>
      <c r="B9297" s="2" t="s">
        <v>433</v>
      </c>
      <c r="C9297" s="2">
        <v>819.29420000000005</v>
      </c>
      <c r="D9297" s="2">
        <f>HYPERLINK("http://mcb-m6.bioreg.kyushu-u.ac.jp/M3/20110404/F50767/2111/1", 38.67)</f>
        <v>38.67</v>
      </c>
      <c r="E9297" s="2">
        <v>26.37</v>
      </c>
      <c r="F9297" s="2">
        <v>2</v>
      </c>
      <c r="G9297" s="2" t="s">
        <v>9</v>
      </c>
    </row>
    <row r="9298" spans="1:8" x14ac:dyDescent="0.2">
      <c r="A9298" s="2" t="s">
        <v>3267</v>
      </c>
      <c r="B9298" s="2" t="s">
        <v>568</v>
      </c>
      <c r="C9298" s="2">
        <v>837.42700000000002</v>
      </c>
      <c r="D9298" s="2">
        <f>HYPERLINK("http://mcb-m6.bioreg.kyushu-u.ac.jp/M3/20110404/F50778/582/1", 39.52)</f>
        <v>39.520000000000003</v>
      </c>
      <c r="E9298" s="2">
        <v>18.38</v>
      </c>
      <c r="F9298" s="2">
        <v>1</v>
      </c>
      <c r="G9298" s="2" t="s">
        <v>9</v>
      </c>
    </row>
    <row r="9299" spans="1:8" x14ac:dyDescent="0.2">
      <c r="A9299" s="2" t="s">
        <v>3267</v>
      </c>
      <c r="B9299" s="2" t="s">
        <v>568</v>
      </c>
      <c r="C9299" s="2">
        <v>836.43</v>
      </c>
      <c r="D9299" s="2">
        <f>HYPERLINK("http://mcb-m6.bioreg.kyushu-u.ac.jp/M3/20110404/F50763/814/1", 40)</f>
        <v>40</v>
      </c>
      <c r="E9299" s="2">
        <v>15.07</v>
      </c>
      <c r="F9299" s="2">
        <v>1</v>
      </c>
      <c r="G9299" s="2" t="s">
        <v>9</v>
      </c>
    </row>
    <row r="9300" spans="1:8" x14ac:dyDescent="0.2">
      <c r="A9300" s="2" t="s">
        <v>3267</v>
      </c>
      <c r="B9300" s="2" t="s">
        <v>568</v>
      </c>
      <c r="C9300" s="2">
        <v>836.44799999999998</v>
      </c>
      <c r="D9300" s="2">
        <f>HYPERLINK("http://mcb-m6.bioreg.kyushu-u.ac.jp/M3/20110404/F50778/581/1", 40.31)</f>
        <v>40.31</v>
      </c>
      <c r="E9300" s="2">
        <v>15.2</v>
      </c>
      <c r="F9300" s="2">
        <v>1</v>
      </c>
      <c r="G9300" s="2" t="s">
        <v>9</v>
      </c>
    </row>
    <row r="9301" spans="1:8" x14ac:dyDescent="0.2">
      <c r="A9301" s="2" t="s">
        <v>3267</v>
      </c>
      <c r="B9301" s="2" t="s">
        <v>568</v>
      </c>
      <c r="C9301" s="2">
        <v>852.46</v>
      </c>
      <c r="D9301" s="2">
        <f>HYPERLINK("http://mcb-m6.bioreg.kyushu-u.ac.jp/M3/20110404/F50778/599/1", 40.47)</f>
        <v>40.47</v>
      </c>
      <c r="E9301" s="2">
        <v>25.76</v>
      </c>
      <c r="F9301" s="2">
        <v>1</v>
      </c>
      <c r="G9301" s="2" t="s">
        <v>9</v>
      </c>
      <c r="H9301" s="2" t="s">
        <v>4917</v>
      </c>
    </row>
    <row r="9302" spans="1:8" x14ac:dyDescent="0.2">
      <c r="A9302" s="2" t="s">
        <v>3267</v>
      </c>
      <c r="B9302" s="2" t="s">
        <v>433</v>
      </c>
      <c r="C9302" s="2">
        <v>819.35609999999997</v>
      </c>
      <c r="D9302" s="2">
        <f>HYPERLINK("http://mcb-m6.bioreg.kyushu-u.ac.jp/M3/20110404/F50777/2244/1", 40.88)</f>
        <v>40.880000000000003</v>
      </c>
      <c r="E9302" s="2">
        <v>31.7</v>
      </c>
      <c r="F9302" s="2">
        <v>2</v>
      </c>
      <c r="G9302" s="2" t="s">
        <v>9</v>
      </c>
    </row>
    <row r="9303" spans="1:8" x14ac:dyDescent="0.2">
      <c r="A9303" s="2" t="s">
        <v>3267</v>
      </c>
      <c r="B9303" s="2" t="s">
        <v>433</v>
      </c>
      <c r="C9303" s="2">
        <v>819.35469999999998</v>
      </c>
      <c r="D9303" s="2">
        <f>HYPERLINK("http://mcb-m6.bioreg.kyushu-u.ac.jp/M3/20110404/F50756/2336/1", 42.49)</f>
        <v>42.49</v>
      </c>
      <c r="E9303" s="2">
        <v>35.22</v>
      </c>
      <c r="F9303" s="2">
        <v>2</v>
      </c>
      <c r="G9303" s="2" t="s">
        <v>9</v>
      </c>
    </row>
    <row r="9304" spans="1:8" x14ac:dyDescent="0.2">
      <c r="A9304" s="2" t="s">
        <v>3267</v>
      </c>
      <c r="B9304" s="2" t="s">
        <v>97</v>
      </c>
      <c r="C9304" s="2">
        <v>669.09559999999999</v>
      </c>
      <c r="D9304" s="2">
        <f>HYPERLINK("http://mcb-m6.bioreg.kyushu-u.ac.jp/M3/20110404/F50753/1720/1", 42.95)</f>
        <v>42.95</v>
      </c>
      <c r="E9304" s="2">
        <v>19.89</v>
      </c>
      <c r="F9304" s="2">
        <v>2</v>
      </c>
      <c r="G9304" s="2" t="s">
        <v>9</v>
      </c>
    </row>
    <row r="9305" spans="1:8" x14ac:dyDescent="0.2">
      <c r="A9305" s="2" t="s">
        <v>3267</v>
      </c>
      <c r="B9305" s="2" t="s">
        <v>697</v>
      </c>
      <c r="C9305" s="2">
        <v>733.27809999999999</v>
      </c>
      <c r="D9305" s="2">
        <f>HYPERLINK("http://mcb-m6.bioreg.kyushu-u.ac.jp/M3/20110404/F50777/1887/1", 43.55)</f>
        <v>43.55</v>
      </c>
      <c r="E9305" s="2">
        <v>22.48</v>
      </c>
      <c r="F9305" s="2">
        <v>2</v>
      </c>
      <c r="G9305" s="2" t="s">
        <v>9</v>
      </c>
    </row>
    <row r="9306" spans="1:8" x14ac:dyDescent="0.2">
      <c r="A9306" s="2" t="s">
        <v>3267</v>
      </c>
      <c r="B9306" s="2" t="s">
        <v>697</v>
      </c>
      <c r="C9306" s="2">
        <v>732.77760000000001</v>
      </c>
      <c r="D9306" s="2">
        <f>HYPERLINK("http://mcb-m6.bioreg.kyushu-u.ac.jp/M3/20110404/F50766/1505/1", 43.84)</f>
        <v>43.84</v>
      </c>
      <c r="E9306" s="2">
        <v>15.31</v>
      </c>
      <c r="F9306" s="2">
        <v>2</v>
      </c>
      <c r="G9306" s="2" t="s">
        <v>9</v>
      </c>
    </row>
    <row r="9307" spans="1:8" x14ac:dyDescent="0.2">
      <c r="A9307" s="2" t="s">
        <v>3267</v>
      </c>
      <c r="B9307" s="2" t="s">
        <v>602</v>
      </c>
      <c r="C9307" s="2">
        <v>1483.6880000000001</v>
      </c>
      <c r="D9307" s="2">
        <f>HYPERLINK("http://mcb-m6.bioreg.kyushu-u.ac.jp/M3/20110404/F50778/1845/1", 44.34)</f>
        <v>44.34</v>
      </c>
      <c r="E9307" s="2">
        <v>35.56</v>
      </c>
      <c r="F9307" s="2">
        <v>1</v>
      </c>
      <c r="G9307" s="2" t="s">
        <v>9</v>
      </c>
    </row>
    <row r="9308" spans="1:8" x14ac:dyDescent="0.2">
      <c r="A9308" s="2" t="s">
        <v>3267</v>
      </c>
      <c r="B9308" s="2" t="s">
        <v>97</v>
      </c>
      <c r="C9308" s="2">
        <v>669.21310000000005</v>
      </c>
      <c r="D9308" s="2">
        <f>HYPERLINK("http://mcb-m6.bioreg.kyushu-u.ac.jp/M3/20110404/F50755/1611/1", 44.82)</f>
        <v>44.82</v>
      </c>
      <c r="E9308" s="2">
        <v>25.21</v>
      </c>
      <c r="F9308" s="2">
        <v>2</v>
      </c>
      <c r="G9308" s="2" t="s">
        <v>9</v>
      </c>
    </row>
    <row r="9309" spans="1:8" x14ac:dyDescent="0.2">
      <c r="A9309" s="2" t="s">
        <v>3267</v>
      </c>
      <c r="B9309" s="2" t="s">
        <v>1526</v>
      </c>
      <c r="C9309" s="2">
        <v>619.72810000000004</v>
      </c>
      <c r="D9309" s="2">
        <f>HYPERLINK("http://mcb-m6.bioreg.kyushu-u.ac.jp/M3/20110404/F50755/1465/1", 45.3)</f>
        <v>45.3</v>
      </c>
      <c r="E9309" s="2">
        <v>32.619999999999997</v>
      </c>
      <c r="F9309" s="2">
        <v>2</v>
      </c>
      <c r="G9309" s="2" t="s">
        <v>9</v>
      </c>
    </row>
    <row r="9310" spans="1:8" x14ac:dyDescent="0.2">
      <c r="A9310" s="2" t="s">
        <v>3267</v>
      </c>
      <c r="B9310" s="2" t="s">
        <v>491</v>
      </c>
      <c r="C9310" s="2">
        <v>511.57150000000001</v>
      </c>
      <c r="D9310" s="2">
        <f>HYPERLINK("http://mcb-m6.bioreg.kyushu-u.ac.jp/M3/20110404/F50777/2042/1", 45.64)</f>
        <v>45.64</v>
      </c>
      <c r="E9310" s="2">
        <v>30.06</v>
      </c>
      <c r="F9310" s="2">
        <v>3</v>
      </c>
      <c r="G9310" s="2" t="s">
        <v>9</v>
      </c>
    </row>
    <row r="9311" spans="1:8" x14ac:dyDescent="0.2">
      <c r="A9311" s="2" t="s">
        <v>3267</v>
      </c>
      <c r="B9311" s="2" t="s">
        <v>97</v>
      </c>
      <c r="C9311" s="2">
        <v>668.66769999999997</v>
      </c>
      <c r="D9311" s="2">
        <f>HYPERLINK("http://mcb-m6.bioreg.kyushu-u.ac.jp/M3/20110404/F50756/1597/1", 45.66)</f>
        <v>45.66</v>
      </c>
      <c r="E9311" s="2">
        <v>27.67</v>
      </c>
      <c r="F9311" s="2">
        <v>2</v>
      </c>
      <c r="G9311" s="2" t="s">
        <v>9</v>
      </c>
    </row>
    <row r="9312" spans="1:8" x14ac:dyDescent="0.2">
      <c r="A9312" s="2" t="s">
        <v>3267</v>
      </c>
      <c r="B9312" s="2" t="s">
        <v>47</v>
      </c>
      <c r="C9312" s="2">
        <v>548.87819999999999</v>
      </c>
      <c r="D9312" s="2">
        <f>HYPERLINK("http://mcb-m6.bioreg.kyushu-u.ac.jp/M3/20110404/F50778/988/1", 47.53)</f>
        <v>47.53</v>
      </c>
      <c r="E9312" s="2">
        <v>27.91</v>
      </c>
      <c r="F9312" s="2">
        <v>2</v>
      </c>
      <c r="G9312" s="2" t="s">
        <v>9</v>
      </c>
      <c r="H9312" s="2" t="s">
        <v>4904</v>
      </c>
    </row>
    <row r="9313" spans="1:7" x14ac:dyDescent="0.2">
      <c r="A9313" s="2" t="s">
        <v>3267</v>
      </c>
      <c r="B9313" s="2" t="s">
        <v>994</v>
      </c>
      <c r="C9313" s="2">
        <v>580.80870000000004</v>
      </c>
      <c r="D9313" s="2">
        <f>HYPERLINK("http://mcb-m6.bioreg.kyushu-u.ac.jp/M3/20110404/F50778/1092/1", 48.32)</f>
        <v>48.32</v>
      </c>
      <c r="E9313" s="2">
        <v>18.12</v>
      </c>
      <c r="F9313" s="2">
        <v>2</v>
      </c>
      <c r="G9313" s="2" t="s">
        <v>9</v>
      </c>
    </row>
    <row r="9314" spans="1:7" x14ac:dyDescent="0.2">
      <c r="A9314" s="2" t="s">
        <v>3267</v>
      </c>
      <c r="B9314" s="2" t="s">
        <v>855</v>
      </c>
      <c r="C9314" s="2">
        <v>498.77659999999997</v>
      </c>
      <c r="D9314" s="2">
        <f>HYPERLINK("http://mcb-m6.bioreg.kyushu-u.ac.jp/M3/20110404/F50778/816/1", 48.62)</f>
        <v>48.62</v>
      </c>
      <c r="E9314" s="2">
        <v>7.57</v>
      </c>
      <c r="F9314" s="2">
        <v>2</v>
      </c>
      <c r="G9314" s="2" t="s">
        <v>9</v>
      </c>
    </row>
    <row r="9315" spans="1:7" x14ac:dyDescent="0.2">
      <c r="A9315" s="2" t="s">
        <v>3267</v>
      </c>
      <c r="B9315" s="2" t="s">
        <v>1606</v>
      </c>
      <c r="C9315" s="2">
        <v>1723.643</v>
      </c>
      <c r="D9315" s="2">
        <f>HYPERLINK("http://mcb-m6.bioreg.kyushu-u.ac.jp/M3/20110404/F50778/2429/1", 48.77)</f>
        <v>48.77</v>
      </c>
      <c r="E9315" s="2">
        <v>39.880000000000003</v>
      </c>
      <c r="F9315" s="2">
        <v>1</v>
      </c>
      <c r="G9315" s="2" t="s">
        <v>9</v>
      </c>
    </row>
    <row r="9316" spans="1:7" x14ac:dyDescent="0.2">
      <c r="A9316" s="2" t="s">
        <v>3267</v>
      </c>
      <c r="B9316" s="2" t="s">
        <v>433</v>
      </c>
      <c r="C9316" s="2">
        <v>819.37660000000005</v>
      </c>
      <c r="D9316" s="2">
        <f>HYPERLINK("http://mcb-m6.bioreg.kyushu-u.ac.jp/M3/20110404/F50763/2217/1", 49.01)</f>
        <v>49.01</v>
      </c>
      <c r="E9316" s="2">
        <v>40</v>
      </c>
      <c r="F9316" s="2">
        <v>2</v>
      </c>
      <c r="G9316" s="2" t="s">
        <v>9</v>
      </c>
    </row>
    <row r="9317" spans="1:7" x14ac:dyDescent="0.2">
      <c r="A9317" s="2" t="s">
        <v>3267</v>
      </c>
      <c r="B9317" s="2" t="s">
        <v>697</v>
      </c>
      <c r="C9317" s="2">
        <v>488.93119999999999</v>
      </c>
      <c r="D9317" s="2">
        <f>HYPERLINK("http://mcb-m6.bioreg.kyushu-u.ac.jp/M3/20110404/F50778/1812/1", 49.23)</f>
        <v>49.23</v>
      </c>
      <c r="E9317" s="2">
        <v>31.58</v>
      </c>
      <c r="F9317" s="2">
        <v>3</v>
      </c>
      <c r="G9317" s="2" t="s">
        <v>9</v>
      </c>
    </row>
    <row r="9318" spans="1:7" x14ac:dyDescent="0.2">
      <c r="A9318" s="2" t="s">
        <v>3267</v>
      </c>
      <c r="B9318" s="2" t="s">
        <v>97</v>
      </c>
      <c r="C9318" s="2">
        <v>669.2577</v>
      </c>
      <c r="D9318" s="2">
        <f>HYPERLINK("http://mcb-m6.bioreg.kyushu-u.ac.jp/M3/20110404/F50777/1590/1", 50.14)</f>
        <v>50.14</v>
      </c>
      <c r="E9318" s="2">
        <v>33.409999999999997</v>
      </c>
      <c r="F9318" s="2">
        <v>2</v>
      </c>
      <c r="G9318" s="2" t="s">
        <v>9</v>
      </c>
    </row>
    <row r="9319" spans="1:7" x14ac:dyDescent="0.2">
      <c r="A9319" s="2" t="s">
        <v>3267</v>
      </c>
      <c r="B9319" s="2" t="s">
        <v>433</v>
      </c>
      <c r="C9319" s="2">
        <v>819.44619999999998</v>
      </c>
      <c r="D9319" s="2">
        <f>HYPERLINK("http://mcb-m6.bioreg.kyushu-u.ac.jp/M3/20110404/F50778/2228/1", 50.68)</f>
        <v>50.68</v>
      </c>
      <c r="E9319" s="2">
        <v>39.119999999999997</v>
      </c>
      <c r="F9319" s="2">
        <v>2</v>
      </c>
      <c r="G9319" s="2" t="s">
        <v>9</v>
      </c>
    </row>
    <row r="9320" spans="1:7" x14ac:dyDescent="0.2">
      <c r="A9320" s="2" t="s">
        <v>3267</v>
      </c>
      <c r="B9320" s="2" t="s">
        <v>97</v>
      </c>
      <c r="C9320" s="2">
        <v>668.71310000000005</v>
      </c>
      <c r="D9320" s="2">
        <f>HYPERLINK("http://mcb-m6.bioreg.kyushu-u.ac.jp/M3/20110404/F50778/1453/1", 50.84)</f>
        <v>50.84</v>
      </c>
      <c r="E9320" s="2">
        <v>28.92</v>
      </c>
      <c r="F9320" s="2">
        <v>2</v>
      </c>
      <c r="G9320" s="2" t="s">
        <v>9</v>
      </c>
    </row>
    <row r="9321" spans="1:7" x14ac:dyDescent="0.2">
      <c r="A9321" s="2" t="s">
        <v>3267</v>
      </c>
      <c r="B9321" s="2" t="s">
        <v>97</v>
      </c>
      <c r="C9321" s="2">
        <v>1336.702</v>
      </c>
      <c r="D9321" s="2">
        <f>HYPERLINK("http://mcb-m6.bioreg.kyushu-u.ac.jp/M3/20110404/F50778/1455/1", 50.9)</f>
        <v>50.9</v>
      </c>
      <c r="E9321" s="2">
        <v>22.07</v>
      </c>
      <c r="F9321" s="2">
        <v>1</v>
      </c>
      <c r="G9321" s="2" t="s">
        <v>9</v>
      </c>
    </row>
    <row r="9322" spans="1:7" x14ac:dyDescent="0.2">
      <c r="A9322" s="2" t="s">
        <v>3267</v>
      </c>
      <c r="B9322" s="2" t="s">
        <v>433</v>
      </c>
      <c r="C9322" s="2">
        <v>819.70619999999997</v>
      </c>
      <c r="D9322" s="2">
        <f>HYPERLINK("http://mcb-m6.bioreg.kyushu-u.ac.jp/M3/20110404/F50777/2245/1", 51.33)</f>
        <v>51.33</v>
      </c>
      <c r="E9322" s="2">
        <v>44.05</v>
      </c>
      <c r="F9322" s="2">
        <v>2</v>
      </c>
      <c r="G9322" s="2" t="s">
        <v>9</v>
      </c>
    </row>
    <row r="9323" spans="1:7" x14ac:dyDescent="0.2">
      <c r="A9323" s="2" t="s">
        <v>3267</v>
      </c>
      <c r="B9323" s="2" t="s">
        <v>1923</v>
      </c>
      <c r="C9323" s="2">
        <v>1089.489</v>
      </c>
      <c r="D9323" s="2">
        <f>HYPERLINK("http://mcb-m6.bioreg.kyushu-u.ac.jp/M3/20110404/F50778/975/1", 51.89)</f>
        <v>51.89</v>
      </c>
      <c r="E9323" s="2">
        <v>16.5</v>
      </c>
      <c r="F9323" s="2">
        <v>1</v>
      </c>
      <c r="G9323" s="2" t="s">
        <v>9</v>
      </c>
    </row>
    <row r="9324" spans="1:7" x14ac:dyDescent="0.2">
      <c r="A9324" s="2" t="s">
        <v>3267</v>
      </c>
      <c r="B9324" s="2" t="s">
        <v>2071</v>
      </c>
      <c r="C9324" s="2">
        <v>1164.348</v>
      </c>
      <c r="D9324" s="2">
        <f>HYPERLINK("http://mcb-m6.bioreg.kyushu-u.ac.jp/M3/20110404/F50755/3465/1", 51.95)</f>
        <v>51.95</v>
      </c>
      <c r="E9324" s="2">
        <v>45.89</v>
      </c>
      <c r="F9324" s="2">
        <v>2</v>
      </c>
      <c r="G9324" s="2" t="s">
        <v>9</v>
      </c>
    </row>
    <row r="9325" spans="1:7" x14ac:dyDescent="0.2">
      <c r="A9325" s="2" t="s">
        <v>3267</v>
      </c>
      <c r="B9325" s="2" t="s">
        <v>433</v>
      </c>
      <c r="C9325" s="2">
        <v>819.87620000000004</v>
      </c>
      <c r="D9325" s="2">
        <f>HYPERLINK("http://mcb-m6.bioreg.kyushu-u.ac.jp/M3/20110404/F50756/2340/1", 52.79)</f>
        <v>52.79</v>
      </c>
      <c r="E9325" s="2">
        <v>42.63</v>
      </c>
      <c r="F9325" s="2">
        <v>2</v>
      </c>
      <c r="G9325" s="2" t="s">
        <v>9</v>
      </c>
    </row>
    <row r="9326" spans="1:7" x14ac:dyDescent="0.2">
      <c r="A9326" s="2" t="s">
        <v>3267</v>
      </c>
      <c r="B9326" s="2" t="s">
        <v>855</v>
      </c>
      <c r="C9326" s="2">
        <v>996.51700000000005</v>
      </c>
      <c r="D9326" s="2">
        <f>HYPERLINK("http://mcb-m6.bioreg.kyushu-u.ac.jp/M3/20110404/F50778/815/1", 53.36)</f>
        <v>53.36</v>
      </c>
      <c r="E9326" s="2">
        <v>12.16</v>
      </c>
      <c r="F9326" s="2">
        <v>1</v>
      </c>
      <c r="G9326" s="2" t="s">
        <v>9</v>
      </c>
    </row>
    <row r="9327" spans="1:7" x14ac:dyDescent="0.2">
      <c r="A9327" s="2" t="s">
        <v>3267</v>
      </c>
      <c r="B9327" s="2" t="s">
        <v>1606</v>
      </c>
      <c r="C9327" s="2">
        <v>1724.8240000000001</v>
      </c>
      <c r="D9327" s="2">
        <f>HYPERLINK("http://mcb-m6.bioreg.kyushu-u.ac.jp/M3/20110404/F50778/2435/1", 54.35)</f>
        <v>54.35</v>
      </c>
      <c r="E9327" s="2">
        <v>45.21</v>
      </c>
      <c r="F9327" s="2">
        <v>1</v>
      </c>
      <c r="G9327" s="2" t="s">
        <v>9</v>
      </c>
    </row>
    <row r="9328" spans="1:7" x14ac:dyDescent="0.2">
      <c r="A9328" s="2" t="s">
        <v>3267</v>
      </c>
      <c r="B9328" s="2" t="s">
        <v>491</v>
      </c>
      <c r="C9328" s="2">
        <v>766.44320000000005</v>
      </c>
      <c r="D9328" s="2">
        <f>HYPERLINK("http://mcb-m6.bioreg.kyushu-u.ac.jp/M3/20110404/F50764/1981/1", 54.73)</f>
        <v>54.73</v>
      </c>
      <c r="E9328" s="2">
        <v>31.83</v>
      </c>
      <c r="F9328" s="2">
        <v>2</v>
      </c>
      <c r="G9328" s="2" t="s">
        <v>9</v>
      </c>
    </row>
    <row r="9329" spans="1:7" x14ac:dyDescent="0.2">
      <c r="A9329" s="2" t="s">
        <v>3267</v>
      </c>
      <c r="B9329" s="2" t="s">
        <v>697</v>
      </c>
      <c r="C9329" s="2">
        <v>733.04060000000004</v>
      </c>
      <c r="D9329" s="2">
        <f>HYPERLINK("http://mcb-m6.bioreg.kyushu-u.ac.jp/M3/20110404/F50767/1695/1", 55.81)</f>
        <v>55.81</v>
      </c>
      <c r="E9329" s="2">
        <v>33.71</v>
      </c>
      <c r="F9329" s="2">
        <v>2</v>
      </c>
      <c r="G9329" s="2" t="s">
        <v>9</v>
      </c>
    </row>
    <row r="9330" spans="1:7" x14ac:dyDescent="0.2">
      <c r="A9330" s="2" t="s">
        <v>3267</v>
      </c>
      <c r="B9330" s="2" t="s">
        <v>97</v>
      </c>
      <c r="C9330" s="2">
        <v>668.69460000000004</v>
      </c>
      <c r="D9330" s="2">
        <f>HYPERLINK("http://mcb-m6.bioreg.kyushu-u.ac.jp/M3/20110404/F50755/1608/1", 56.47)</f>
        <v>56.47</v>
      </c>
      <c r="E9330" s="2">
        <v>35.840000000000003</v>
      </c>
      <c r="F9330" s="2">
        <v>2</v>
      </c>
      <c r="G9330" s="2" t="s">
        <v>9</v>
      </c>
    </row>
    <row r="9331" spans="1:7" x14ac:dyDescent="0.2">
      <c r="A9331" s="2" t="s">
        <v>3267</v>
      </c>
      <c r="B9331" s="2" t="s">
        <v>1923</v>
      </c>
      <c r="C9331" s="2">
        <v>1088.502</v>
      </c>
      <c r="D9331" s="2">
        <f>HYPERLINK("http://mcb-m6.bioreg.kyushu-u.ac.jp/M3/20110404/F50778/973/1", 56.78)</f>
        <v>56.78</v>
      </c>
      <c r="E9331" s="2">
        <v>19.41</v>
      </c>
      <c r="F9331" s="2">
        <v>1</v>
      </c>
      <c r="G9331" s="2" t="s">
        <v>9</v>
      </c>
    </row>
    <row r="9332" spans="1:7" x14ac:dyDescent="0.2">
      <c r="A9332" s="2" t="s">
        <v>3267</v>
      </c>
      <c r="B9332" s="2" t="s">
        <v>491</v>
      </c>
      <c r="C9332" s="2">
        <v>766.91359999999997</v>
      </c>
      <c r="D9332" s="2">
        <f>HYPERLINK("http://mcb-m6.bioreg.kyushu-u.ac.jp/M3/20110404/F50779/1868/1", 58.53)</f>
        <v>58.53</v>
      </c>
      <c r="E9332" s="2">
        <v>36.340000000000003</v>
      </c>
      <c r="F9332" s="2">
        <v>2</v>
      </c>
      <c r="G9332" s="2" t="s">
        <v>9</v>
      </c>
    </row>
    <row r="9333" spans="1:7" x14ac:dyDescent="0.2">
      <c r="A9333" s="2" t="s">
        <v>3267</v>
      </c>
      <c r="B9333" s="2" t="s">
        <v>491</v>
      </c>
      <c r="C9333" s="2">
        <v>766.89469999999994</v>
      </c>
      <c r="D9333" s="2">
        <f>HYPERLINK("http://mcb-m6.bioreg.kyushu-u.ac.jp/M3/20110404/F50763/2037/1", 61.93)</f>
        <v>61.93</v>
      </c>
      <c r="E9333" s="2">
        <v>48.04</v>
      </c>
      <c r="F9333" s="2">
        <v>2</v>
      </c>
      <c r="G9333" s="2" t="s">
        <v>9</v>
      </c>
    </row>
    <row r="9334" spans="1:7" x14ac:dyDescent="0.2">
      <c r="A9334" s="2" t="s">
        <v>3267</v>
      </c>
      <c r="B9334" s="2" t="s">
        <v>2906</v>
      </c>
      <c r="C9334" s="2">
        <v>999.60599999999999</v>
      </c>
      <c r="D9334" s="2">
        <f>HYPERLINK("http://mcb-m6.bioreg.kyushu-u.ac.jp/M3/20110404/F50778/828/1", 62.24)</f>
        <v>62.24</v>
      </c>
      <c r="E9334" s="2">
        <v>32.74</v>
      </c>
      <c r="F9334" s="2">
        <v>1</v>
      </c>
      <c r="G9334" s="2" t="s">
        <v>9</v>
      </c>
    </row>
    <row r="9335" spans="1:7" x14ac:dyDescent="0.2">
      <c r="A9335" s="2" t="s">
        <v>3267</v>
      </c>
      <c r="B9335" s="2" t="s">
        <v>433</v>
      </c>
      <c r="C9335" s="2">
        <v>819.33720000000005</v>
      </c>
      <c r="D9335" s="2">
        <f>HYPERLINK("http://mcb-m6.bioreg.kyushu-u.ac.jp/M3/20110404/F50755/2322/1", 63.18)</f>
        <v>63.18</v>
      </c>
      <c r="E9335" s="2">
        <v>49.2</v>
      </c>
      <c r="F9335" s="2">
        <v>2</v>
      </c>
      <c r="G9335" s="2" t="s">
        <v>9</v>
      </c>
    </row>
    <row r="9336" spans="1:7" x14ac:dyDescent="0.2">
      <c r="A9336" s="2" t="s">
        <v>3267</v>
      </c>
      <c r="B9336" s="2" t="s">
        <v>491</v>
      </c>
      <c r="C9336" s="2">
        <v>766.3922</v>
      </c>
      <c r="D9336" s="2">
        <f>HYPERLINK("http://mcb-m6.bioreg.kyushu-u.ac.jp/M3/20110404/F50777/2041/1", 64.88)</f>
        <v>64.88</v>
      </c>
      <c r="E9336" s="2">
        <v>43.87</v>
      </c>
      <c r="F9336" s="2">
        <v>2</v>
      </c>
      <c r="G9336" s="2" t="s">
        <v>9</v>
      </c>
    </row>
    <row r="9337" spans="1:7" x14ac:dyDescent="0.2">
      <c r="A9337" s="2" t="s">
        <v>3267</v>
      </c>
      <c r="B9337" s="2" t="s">
        <v>491</v>
      </c>
      <c r="C9337" s="2">
        <v>1531.7660000000001</v>
      </c>
      <c r="D9337" s="2">
        <f>HYPERLINK("http://mcb-m6.bioreg.kyushu-u.ac.jp/M3/20110404/F50778/1952/1", 65.48)</f>
        <v>65.48</v>
      </c>
      <c r="E9337" s="2">
        <v>51.45</v>
      </c>
      <c r="F9337" s="2">
        <v>1</v>
      </c>
      <c r="G9337" s="2" t="s">
        <v>9</v>
      </c>
    </row>
    <row r="9338" spans="1:7" x14ac:dyDescent="0.2">
      <c r="A9338" s="2" t="s">
        <v>3267</v>
      </c>
      <c r="B9338" s="2" t="s">
        <v>602</v>
      </c>
      <c r="C9338" s="2">
        <v>742.40219999999999</v>
      </c>
      <c r="D9338" s="2">
        <f>HYPERLINK("http://mcb-m6.bioreg.kyushu-u.ac.jp/M3/20110404/F50751/2123/1", 65.57)</f>
        <v>65.569999999999993</v>
      </c>
      <c r="E9338" s="2">
        <v>49.62</v>
      </c>
      <c r="F9338" s="2">
        <v>2</v>
      </c>
      <c r="G9338" s="2" t="s">
        <v>9</v>
      </c>
    </row>
    <row r="9339" spans="1:7" x14ac:dyDescent="0.2">
      <c r="A9339" s="2" t="s">
        <v>3267</v>
      </c>
      <c r="B9339" s="2" t="s">
        <v>2589</v>
      </c>
      <c r="C9339" s="2">
        <v>680.31460000000004</v>
      </c>
      <c r="D9339" s="2">
        <f>HYPERLINK("http://mcb-m6.bioreg.kyushu-u.ac.jp/M3/20110404/F50778/1508/1", 66.9)</f>
        <v>66.900000000000006</v>
      </c>
      <c r="E9339" s="2">
        <v>49.13</v>
      </c>
      <c r="F9339" s="2">
        <v>2</v>
      </c>
      <c r="G9339" s="2" t="s">
        <v>9</v>
      </c>
    </row>
    <row r="9340" spans="1:7" x14ac:dyDescent="0.2">
      <c r="A9340" s="2" t="s">
        <v>3267</v>
      </c>
      <c r="B9340" s="2" t="s">
        <v>2026</v>
      </c>
      <c r="C9340" s="2">
        <v>679.19209999999998</v>
      </c>
      <c r="D9340" s="2">
        <f>HYPERLINK("http://mcb-m6.bioreg.kyushu-u.ac.jp/M3/20110404/F50755/1653/1", 67.91)</f>
        <v>67.91</v>
      </c>
      <c r="E9340" s="2">
        <v>41.24</v>
      </c>
      <c r="F9340" s="2">
        <v>2</v>
      </c>
      <c r="G9340" s="2" t="s">
        <v>9</v>
      </c>
    </row>
    <row r="9341" spans="1:7" x14ac:dyDescent="0.2">
      <c r="A9341" s="2" t="s">
        <v>3267</v>
      </c>
      <c r="B9341" s="2" t="s">
        <v>697</v>
      </c>
      <c r="C9341" s="2">
        <v>732.90419999999995</v>
      </c>
      <c r="D9341" s="2">
        <f>HYPERLINK("http://mcb-m6.bioreg.kyushu-u.ac.jp/M3/20110404/F50756/1931/1", 69.2)</f>
        <v>69.2</v>
      </c>
      <c r="E9341" s="2">
        <v>43.55</v>
      </c>
      <c r="F9341" s="2">
        <v>2</v>
      </c>
      <c r="G9341" s="2" t="s">
        <v>9</v>
      </c>
    </row>
    <row r="9342" spans="1:7" x14ac:dyDescent="0.2">
      <c r="A9342" s="2" t="s">
        <v>3267</v>
      </c>
      <c r="B9342" s="2" t="s">
        <v>602</v>
      </c>
      <c r="C9342" s="2">
        <v>742.88369999999998</v>
      </c>
      <c r="D9342" s="2">
        <f>HYPERLINK("http://mcb-m6.bioreg.kyushu-u.ac.jp/M3/20110404/F50778/1848/1", 69.51)</f>
        <v>69.510000000000005</v>
      </c>
      <c r="E9342" s="2">
        <v>58.97</v>
      </c>
      <c r="F9342" s="2">
        <v>2</v>
      </c>
      <c r="G9342" s="2" t="s">
        <v>9</v>
      </c>
    </row>
    <row r="9343" spans="1:7" x14ac:dyDescent="0.2">
      <c r="A9343" s="2" t="s">
        <v>3267</v>
      </c>
      <c r="B9343" s="2" t="s">
        <v>491</v>
      </c>
      <c r="C9343" s="2">
        <v>766.39009999999996</v>
      </c>
      <c r="D9343" s="2">
        <f>HYPERLINK("http://mcb-m6.bioreg.kyushu-u.ac.jp/M3/20110404/F50779/1865/1", 71.16)</f>
        <v>71.16</v>
      </c>
      <c r="E9343" s="2">
        <v>54.42</v>
      </c>
      <c r="F9343" s="2">
        <v>2</v>
      </c>
      <c r="G9343" s="2" t="s">
        <v>9</v>
      </c>
    </row>
    <row r="9344" spans="1:7" x14ac:dyDescent="0.2">
      <c r="A9344" s="2" t="s">
        <v>3267</v>
      </c>
      <c r="B9344" s="2" t="s">
        <v>1606</v>
      </c>
      <c r="C9344" s="2">
        <v>862.41020000000003</v>
      </c>
      <c r="D9344" s="2">
        <f>HYPERLINK("http://mcb-m6.bioreg.kyushu-u.ac.jp/M3/20110404/F50778/2430/1", 72.12)</f>
        <v>72.12</v>
      </c>
      <c r="E9344" s="2">
        <v>59.22</v>
      </c>
      <c r="F9344" s="2">
        <v>2</v>
      </c>
      <c r="G9344" s="2" t="s">
        <v>9</v>
      </c>
    </row>
    <row r="9345" spans="1:7" x14ac:dyDescent="0.2">
      <c r="A9345" s="2" t="s">
        <v>3267</v>
      </c>
      <c r="B9345" s="2" t="s">
        <v>491</v>
      </c>
      <c r="C9345" s="2">
        <v>766.39469999999994</v>
      </c>
      <c r="D9345" s="2">
        <f>HYPERLINK("http://mcb-m6.bioreg.kyushu-u.ac.jp/M3/20110404/F50755/2097/1", 73.96)</f>
        <v>73.959999999999994</v>
      </c>
      <c r="E9345" s="2">
        <v>58.61</v>
      </c>
      <c r="F9345" s="2">
        <v>2</v>
      </c>
      <c r="G9345" s="2" t="s">
        <v>9</v>
      </c>
    </row>
    <row r="9346" spans="1:7" x14ac:dyDescent="0.2">
      <c r="A9346" s="2" t="s">
        <v>3267</v>
      </c>
      <c r="B9346" s="2" t="s">
        <v>1606</v>
      </c>
      <c r="C9346" s="2">
        <v>862.91110000000003</v>
      </c>
      <c r="D9346" s="2">
        <f>HYPERLINK("http://mcb-m6.bioreg.kyushu-u.ac.jp/M3/20110404/F50778/2434/1", 78.15)</f>
        <v>78.150000000000006</v>
      </c>
      <c r="E9346" s="2">
        <v>59.18</v>
      </c>
      <c r="F9346" s="2">
        <v>2</v>
      </c>
      <c r="G9346" s="2" t="s">
        <v>9</v>
      </c>
    </row>
    <row r="9347" spans="1:7" x14ac:dyDescent="0.2">
      <c r="A9347" s="2" t="s">
        <v>3267</v>
      </c>
      <c r="B9347" s="2" t="s">
        <v>491</v>
      </c>
      <c r="C9347" s="2">
        <v>766.27719999999999</v>
      </c>
      <c r="D9347" s="2">
        <f>HYPERLINK("http://mcb-m6.bioreg.kyushu-u.ac.jp/M3/20110404/F50763/2035/1", 81)</f>
        <v>81</v>
      </c>
      <c r="E9347" s="2">
        <v>58.01</v>
      </c>
      <c r="F9347" s="2">
        <v>2</v>
      </c>
      <c r="G9347" s="2" t="s">
        <v>9</v>
      </c>
    </row>
    <row r="9348" spans="1:7" x14ac:dyDescent="0.2">
      <c r="A9348" s="2" t="s">
        <v>3267</v>
      </c>
      <c r="B9348" s="2" t="s">
        <v>491</v>
      </c>
      <c r="C9348" s="2">
        <v>766.41970000000003</v>
      </c>
      <c r="D9348" s="2">
        <f>HYPERLINK("http://mcb-m6.bioreg.kyushu-u.ac.jp/M3/20110404/F50762/1911/1", 81.23)</f>
        <v>81.23</v>
      </c>
      <c r="E9348" s="2">
        <v>66.33</v>
      </c>
      <c r="F9348" s="2">
        <v>2</v>
      </c>
      <c r="G9348" s="2" t="s">
        <v>9</v>
      </c>
    </row>
    <row r="9349" spans="1:7" x14ac:dyDescent="0.2">
      <c r="A9349" s="2" t="s">
        <v>3267</v>
      </c>
      <c r="B9349" s="2" t="s">
        <v>491</v>
      </c>
      <c r="C9349" s="2">
        <v>766.41859999999997</v>
      </c>
      <c r="D9349" s="2">
        <f>HYPERLINK("http://mcb-m6.bioreg.kyushu-u.ac.jp/M3/20110404/F50778/1953/1", 81.51)</f>
        <v>81.510000000000005</v>
      </c>
      <c r="E9349" s="2">
        <v>66.83</v>
      </c>
      <c r="F9349" s="2">
        <v>2</v>
      </c>
      <c r="G9349" s="2" t="s">
        <v>9</v>
      </c>
    </row>
    <row r="9350" spans="1:7" x14ac:dyDescent="0.2">
      <c r="A9350" s="2" t="s">
        <v>3267</v>
      </c>
      <c r="B9350" s="2" t="s">
        <v>2071</v>
      </c>
      <c r="C9350" s="2">
        <v>1164.5640000000001</v>
      </c>
      <c r="D9350" s="2">
        <f>HYPERLINK("http://mcb-m6.bioreg.kyushu-u.ac.jp/M3/20110404/F50778/3449/1", 81.68)</f>
        <v>81.680000000000007</v>
      </c>
      <c r="E9350" s="2">
        <v>67.87</v>
      </c>
      <c r="F9350" s="2">
        <v>2</v>
      </c>
      <c r="G9350" s="2" t="s">
        <v>9</v>
      </c>
    </row>
    <row r="9351" spans="1:7" x14ac:dyDescent="0.2">
      <c r="A9351" s="2" t="s">
        <v>3267</v>
      </c>
      <c r="B9351" s="2" t="s">
        <v>1526</v>
      </c>
      <c r="C9351" s="2">
        <v>1238.596</v>
      </c>
      <c r="D9351" s="2">
        <f>HYPERLINK("http://mcb-m6.bioreg.kyushu-u.ac.jp/M3/20110404/F50778/1266/1", 88)</f>
        <v>88</v>
      </c>
      <c r="E9351" s="2">
        <v>65.59</v>
      </c>
      <c r="F9351" s="2">
        <v>1</v>
      </c>
      <c r="G9351" s="2" t="s">
        <v>9</v>
      </c>
    </row>
    <row r="9352" spans="1:7" x14ac:dyDescent="0.2">
      <c r="A9352" s="2" t="s">
        <v>3267</v>
      </c>
      <c r="B9352" s="2" t="s">
        <v>1353</v>
      </c>
      <c r="C9352" s="2">
        <v>825.66060000000004</v>
      </c>
      <c r="D9352" s="2">
        <f>HYPERLINK("http://mcb-m6.bioreg.kyushu-u.ac.jp/M3/20110404/F50778/2266/1", 88.25)</f>
        <v>88.25</v>
      </c>
      <c r="E9352" s="2">
        <v>72.180000000000007</v>
      </c>
      <c r="F9352" s="2">
        <v>2</v>
      </c>
      <c r="G9352" s="2" t="s">
        <v>9</v>
      </c>
    </row>
    <row r="9353" spans="1:7" x14ac:dyDescent="0.2">
      <c r="A9353" s="2" t="s">
        <v>3267</v>
      </c>
      <c r="B9353" s="2" t="s">
        <v>1606</v>
      </c>
      <c r="C9353" s="2">
        <v>862.3682</v>
      </c>
      <c r="D9353" s="2">
        <f>HYPERLINK("http://mcb-m6.bioreg.kyushu-u.ac.jp/M3/20110404/F50762/2190/1", 90)</f>
        <v>90</v>
      </c>
      <c r="E9353" s="2">
        <v>76.510000000000005</v>
      </c>
      <c r="F9353" s="2">
        <v>2</v>
      </c>
      <c r="G9353" s="2" t="s">
        <v>9</v>
      </c>
    </row>
    <row r="9354" spans="1:7" x14ac:dyDescent="0.2">
      <c r="A9354" s="2" t="s">
        <v>3267</v>
      </c>
      <c r="B9354" s="2" t="s">
        <v>1606</v>
      </c>
      <c r="C9354" s="2">
        <v>862.88819999999998</v>
      </c>
      <c r="D9354" s="2">
        <f>HYPERLINK("http://mcb-m6.bioreg.kyushu-u.ac.jp/M3/20110404/F50777/2395/1", 90.58)</f>
        <v>90.58</v>
      </c>
      <c r="E9354" s="2">
        <v>75.73</v>
      </c>
      <c r="F9354" s="2">
        <v>2</v>
      </c>
      <c r="G9354" s="2" t="s">
        <v>9</v>
      </c>
    </row>
    <row r="9355" spans="1:7" x14ac:dyDescent="0.2">
      <c r="A9355" s="2" t="s">
        <v>3267</v>
      </c>
      <c r="B9355" s="2" t="s">
        <v>1923</v>
      </c>
      <c r="C9355" s="2">
        <v>544.73270000000002</v>
      </c>
      <c r="D9355" s="2">
        <f>HYPERLINK("http://mcb-m6.bioreg.kyushu-u.ac.jp/M3/20110404/F50778/972/1", 91.33)</f>
        <v>91.33</v>
      </c>
      <c r="E9355" s="2">
        <v>49.96</v>
      </c>
      <c r="F9355" s="2">
        <v>2</v>
      </c>
      <c r="G9355" s="2" t="s">
        <v>9</v>
      </c>
    </row>
    <row r="9356" spans="1:7" x14ac:dyDescent="0.2">
      <c r="A9356" s="2" t="s">
        <v>3267</v>
      </c>
      <c r="B9356" s="2" t="s">
        <v>2071</v>
      </c>
      <c r="C9356" s="2">
        <v>1163.9639999999999</v>
      </c>
      <c r="D9356" s="2">
        <f>HYPERLINK("http://mcb-m6.bioreg.kyushu-u.ac.jp/M3/20110404/F50778/3446/1", 91.56)</f>
        <v>91.56</v>
      </c>
      <c r="E9356" s="2">
        <v>84.02</v>
      </c>
      <c r="F9356" s="2">
        <v>2</v>
      </c>
      <c r="G9356" s="2" t="s">
        <v>9</v>
      </c>
    </row>
    <row r="9357" spans="1:7" x14ac:dyDescent="0.2">
      <c r="A9357" s="2" t="s">
        <v>3267</v>
      </c>
      <c r="B9357" s="2" t="s">
        <v>1606</v>
      </c>
      <c r="C9357" s="2">
        <v>862.88419999999996</v>
      </c>
      <c r="D9357" s="2">
        <f>HYPERLINK("http://mcb-m6.bioreg.kyushu-u.ac.jp/M3/20110404/F50762/2193/1", 100.75)</f>
        <v>100.75</v>
      </c>
      <c r="E9357" s="2">
        <v>85.66</v>
      </c>
      <c r="F9357" s="2">
        <v>2</v>
      </c>
      <c r="G9357" s="2" t="s">
        <v>9</v>
      </c>
    </row>
    <row r="9358" spans="1:7" x14ac:dyDescent="0.2">
      <c r="A9358" s="2" t="s">
        <v>3267</v>
      </c>
      <c r="B9358" s="2" t="s">
        <v>1526</v>
      </c>
      <c r="C9358" s="2">
        <v>620.04319999999996</v>
      </c>
      <c r="D9358" s="2">
        <f>HYPERLINK("http://mcb-m6.bioreg.kyushu-u.ac.jp/M3/20110404/F50775/1457/1", 35.49)</f>
        <v>35.49</v>
      </c>
      <c r="E9358" s="2">
        <v>14.12</v>
      </c>
      <c r="F9358" s="2">
        <v>2</v>
      </c>
      <c r="G9358" s="2" t="s">
        <v>10</v>
      </c>
    </row>
    <row r="9359" spans="1:7" x14ac:dyDescent="0.2">
      <c r="A9359" s="2" t="s">
        <v>3267</v>
      </c>
      <c r="B9359" s="2" t="s">
        <v>147</v>
      </c>
      <c r="C9359" s="2">
        <v>829.51199999999994</v>
      </c>
      <c r="D9359" s="2">
        <f>HYPERLINK("http://mcb-m6.bioreg.kyushu-u.ac.jp/M3/20110404/F50773/743/1", 36.59)</f>
        <v>36.590000000000003</v>
      </c>
      <c r="E9359" s="2">
        <v>18.440000000000001</v>
      </c>
      <c r="F9359" s="2">
        <v>1</v>
      </c>
      <c r="G9359" s="2" t="s">
        <v>10</v>
      </c>
    </row>
    <row r="9360" spans="1:7" x14ac:dyDescent="0.2">
      <c r="A9360" s="2" t="s">
        <v>3267</v>
      </c>
      <c r="B9360" s="2" t="s">
        <v>433</v>
      </c>
      <c r="C9360" s="2">
        <v>819.9067</v>
      </c>
      <c r="D9360" s="2">
        <f>HYPERLINK("http://mcb-m6.bioreg.kyushu-u.ac.jp/M3/20110404/F50770/2197/1", 37.11)</f>
        <v>37.11</v>
      </c>
      <c r="E9360" s="2">
        <v>29.43</v>
      </c>
      <c r="F9360" s="2">
        <v>2</v>
      </c>
      <c r="G9360" s="2" t="s">
        <v>10</v>
      </c>
    </row>
    <row r="9361" spans="1:8" x14ac:dyDescent="0.2">
      <c r="A9361" s="2" t="s">
        <v>3267</v>
      </c>
      <c r="B9361" s="2" t="s">
        <v>433</v>
      </c>
      <c r="C9361" s="2">
        <v>819.4316</v>
      </c>
      <c r="D9361" s="2">
        <f>HYPERLINK("http://mcb-m6.bioreg.kyushu-u.ac.jp/M3/20110404/F50761/2159/1", 37.31)</f>
        <v>37.31</v>
      </c>
      <c r="E9361" s="2">
        <v>18.68</v>
      </c>
      <c r="F9361" s="2">
        <v>2</v>
      </c>
      <c r="G9361" s="2" t="s">
        <v>10</v>
      </c>
    </row>
    <row r="9362" spans="1:8" x14ac:dyDescent="0.2">
      <c r="A9362" s="2" t="s">
        <v>3267</v>
      </c>
      <c r="B9362" s="2" t="s">
        <v>97</v>
      </c>
      <c r="C9362" s="2">
        <v>1337.644</v>
      </c>
      <c r="D9362" s="2">
        <f>HYPERLINK("http://mcb-m6.bioreg.kyushu-u.ac.jp/M3/20110404/F50775/1611/1", 38.73)</f>
        <v>38.729999999999997</v>
      </c>
      <c r="E9362" s="2">
        <v>20.78</v>
      </c>
      <c r="F9362" s="2">
        <v>1</v>
      </c>
      <c r="G9362" s="2" t="s">
        <v>10</v>
      </c>
    </row>
    <row r="9363" spans="1:8" x14ac:dyDescent="0.2">
      <c r="A9363" s="2" t="s">
        <v>3267</v>
      </c>
      <c r="B9363" s="2" t="s">
        <v>568</v>
      </c>
      <c r="C9363" s="2">
        <v>836.38</v>
      </c>
      <c r="D9363" s="2">
        <f>HYPERLINK("http://mcb-m6.bioreg.kyushu-u.ac.jp/M3/20110404/F50775/765/1", 40.24)</f>
        <v>40.24</v>
      </c>
      <c r="E9363" s="2">
        <v>21.14</v>
      </c>
      <c r="F9363" s="2">
        <v>1</v>
      </c>
      <c r="G9363" s="2" t="s">
        <v>10</v>
      </c>
    </row>
    <row r="9364" spans="1:8" x14ac:dyDescent="0.2">
      <c r="A9364" s="2" t="s">
        <v>3267</v>
      </c>
      <c r="B9364" s="2" t="s">
        <v>2071</v>
      </c>
      <c r="C9364" s="2">
        <v>1164.2929999999999</v>
      </c>
      <c r="D9364" s="2">
        <f>HYPERLINK("http://mcb-m6.bioreg.kyushu-u.ac.jp/M3/20110404/F50761/3298/1", 43.31)</f>
        <v>43.31</v>
      </c>
      <c r="E9364" s="2">
        <v>35.25</v>
      </c>
      <c r="F9364" s="2">
        <v>2</v>
      </c>
      <c r="G9364" s="2" t="s">
        <v>10</v>
      </c>
    </row>
    <row r="9365" spans="1:8" x14ac:dyDescent="0.2">
      <c r="A9365" s="2" t="s">
        <v>3267</v>
      </c>
      <c r="B9365" s="2" t="s">
        <v>223</v>
      </c>
      <c r="C9365" s="2">
        <v>790.85969999999998</v>
      </c>
      <c r="D9365" s="2">
        <f>HYPERLINK("http://mcb-m6.bioreg.kyushu-u.ac.jp/M3/20110404/F50775/2163/1", 43.41)</f>
        <v>43.41</v>
      </c>
      <c r="E9365" s="2">
        <v>25.85</v>
      </c>
      <c r="F9365" s="2">
        <v>2</v>
      </c>
      <c r="G9365" s="2" t="s">
        <v>10</v>
      </c>
      <c r="H9365" s="2" t="s">
        <v>4917</v>
      </c>
    </row>
    <row r="9366" spans="1:8" x14ac:dyDescent="0.2">
      <c r="A9366" s="2" t="s">
        <v>3267</v>
      </c>
      <c r="B9366" s="2" t="s">
        <v>491</v>
      </c>
      <c r="C9366" s="2">
        <v>766.5231</v>
      </c>
      <c r="D9366" s="2">
        <f>HYPERLINK("http://mcb-m6.bioreg.kyushu-u.ac.jp/M3/20110404/F50782/1915/1", 43.74)</f>
        <v>43.74</v>
      </c>
      <c r="E9366" s="2">
        <v>27.25</v>
      </c>
      <c r="F9366" s="2">
        <v>2</v>
      </c>
      <c r="G9366" s="2" t="s">
        <v>10</v>
      </c>
    </row>
    <row r="9367" spans="1:8" x14ac:dyDescent="0.2">
      <c r="A9367" s="2" t="s">
        <v>3267</v>
      </c>
      <c r="B9367" s="2" t="s">
        <v>47</v>
      </c>
      <c r="C9367" s="2">
        <v>548.75160000000005</v>
      </c>
      <c r="D9367" s="2">
        <f>HYPERLINK("http://mcb-m6.bioreg.kyushu-u.ac.jp/M3/20110404/F50775/1212/1", 45.21)</f>
        <v>45.21</v>
      </c>
      <c r="E9367" s="2">
        <v>18.989999999999998</v>
      </c>
      <c r="F9367" s="2">
        <v>2</v>
      </c>
      <c r="G9367" s="2" t="s">
        <v>10</v>
      </c>
      <c r="H9367" s="2" t="s">
        <v>4904</v>
      </c>
    </row>
    <row r="9368" spans="1:8" x14ac:dyDescent="0.2">
      <c r="A9368" s="2" t="s">
        <v>3267</v>
      </c>
      <c r="B9368" s="2" t="s">
        <v>433</v>
      </c>
      <c r="C9368" s="2">
        <v>819.96469999999999</v>
      </c>
      <c r="D9368" s="2">
        <f>HYPERLINK("http://mcb-m6.bioreg.kyushu-u.ac.jp/M3/20110404/F50775/2253/1", 47.3)</f>
        <v>47.3</v>
      </c>
      <c r="E9368" s="2">
        <v>39.04</v>
      </c>
      <c r="F9368" s="2">
        <v>2</v>
      </c>
      <c r="G9368" s="2" t="s">
        <v>10</v>
      </c>
    </row>
    <row r="9369" spans="1:8" x14ac:dyDescent="0.2">
      <c r="A9369" s="2" t="s">
        <v>3267</v>
      </c>
      <c r="B9369" s="2" t="s">
        <v>433</v>
      </c>
      <c r="C9369" s="2">
        <v>819.29669999999999</v>
      </c>
      <c r="D9369" s="2">
        <f>HYPERLINK("http://mcb-m6.bioreg.kyushu-u.ac.jp/M3/20110404/F50768/2176/1", 47.84)</f>
        <v>47.84</v>
      </c>
      <c r="E9369" s="2">
        <v>35.31</v>
      </c>
      <c r="F9369" s="2">
        <v>2</v>
      </c>
      <c r="G9369" s="2" t="s">
        <v>10</v>
      </c>
    </row>
    <row r="9370" spans="1:8" x14ac:dyDescent="0.2">
      <c r="A9370" s="2" t="s">
        <v>3267</v>
      </c>
      <c r="B9370" s="2" t="s">
        <v>433</v>
      </c>
      <c r="C9370" s="2">
        <v>819.8981</v>
      </c>
      <c r="D9370" s="2">
        <f>HYPERLINK("http://mcb-m6.bioreg.kyushu-u.ac.jp/M3/20110404/F50775/2252/1", 48.18)</f>
        <v>48.18</v>
      </c>
      <c r="E9370" s="2">
        <v>31.65</v>
      </c>
      <c r="F9370" s="2">
        <v>2</v>
      </c>
      <c r="G9370" s="2" t="s">
        <v>10</v>
      </c>
    </row>
    <row r="9371" spans="1:8" x14ac:dyDescent="0.2">
      <c r="A9371" s="2" t="s">
        <v>3267</v>
      </c>
      <c r="B9371" s="2" t="s">
        <v>433</v>
      </c>
      <c r="C9371" s="2">
        <v>819.39620000000002</v>
      </c>
      <c r="D9371" s="2">
        <f>HYPERLINK("http://mcb-m6.bioreg.kyushu-u.ac.jp/M3/20110404/F50775/2251/1", 49.14)</f>
        <v>49.14</v>
      </c>
      <c r="E9371" s="2">
        <v>36.729999999999997</v>
      </c>
      <c r="F9371" s="2">
        <v>2</v>
      </c>
      <c r="G9371" s="2" t="s">
        <v>10</v>
      </c>
    </row>
    <row r="9372" spans="1:8" x14ac:dyDescent="0.2">
      <c r="A9372" s="2" t="s">
        <v>3267</v>
      </c>
      <c r="B9372" s="2" t="s">
        <v>855</v>
      </c>
      <c r="C9372" s="2">
        <v>498.74860000000001</v>
      </c>
      <c r="D9372" s="2">
        <f>HYPERLINK("http://mcb-m6.bioreg.kyushu-u.ac.jp/M3/20110404/F50775/1035/1", 50.98)</f>
        <v>50.98</v>
      </c>
      <c r="E9372" s="2">
        <v>5.97</v>
      </c>
      <c r="F9372" s="2">
        <v>2</v>
      </c>
      <c r="G9372" s="2" t="s">
        <v>10</v>
      </c>
    </row>
    <row r="9373" spans="1:8" x14ac:dyDescent="0.2">
      <c r="A9373" s="2" t="s">
        <v>3267</v>
      </c>
      <c r="B9373" s="2" t="s">
        <v>491</v>
      </c>
      <c r="C9373" s="2">
        <v>766.34169999999995</v>
      </c>
      <c r="D9373" s="2">
        <f>HYPERLINK("http://mcb-m6.bioreg.kyushu-u.ac.jp/M3/20110404/F50775/2064/1", 51.54)</f>
        <v>51.54</v>
      </c>
      <c r="E9373" s="2">
        <v>30.88</v>
      </c>
      <c r="F9373" s="2">
        <v>2</v>
      </c>
      <c r="G9373" s="2" t="s">
        <v>10</v>
      </c>
    </row>
    <row r="9374" spans="1:8" x14ac:dyDescent="0.2">
      <c r="A9374" s="2" t="s">
        <v>3267</v>
      </c>
      <c r="B9374" s="2" t="s">
        <v>47</v>
      </c>
      <c r="C9374" s="2">
        <v>557.32119999999998</v>
      </c>
      <c r="D9374" s="2">
        <f>HYPERLINK("http://mcb-m6.bioreg.kyushu-u.ac.jp/M3/20110404/F50775/1247/1", 51.9)</f>
        <v>51.9</v>
      </c>
      <c r="E9374" s="2">
        <v>23.34</v>
      </c>
      <c r="F9374" s="2">
        <v>2</v>
      </c>
      <c r="G9374" s="2" t="s">
        <v>10</v>
      </c>
    </row>
    <row r="9375" spans="1:8" x14ac:dyDescent="0.2">
      <c r="A9375" s="2" t="s">
        <v>3267</v>
      </c>
      <c r="B9375" s="2" t="s">
        <v>602</v>
      </c>
      <c r="C9375" s="2">
        <v>742.53060000000005</v>
      </c>
      <c r="D9375" s="2">
        <f>HYPERLINK("http://mcb-m6.bioreg.kyushu-u.ac.jp/M3/20110404/F50775/1965/1", 52.12)</f>
        <v>52.12</v>
      </c>
      <c r="E9375" s="2">
        <v>43.91</v>
      </c>
      <c r="F9375" s="2">
        <v>2</v>
      </c>
      <c r="G9375" s="2" t="s">
        <v>10</v>
      </c>
    </row>
    <row r="9376" spans="1:8" x14ac:dyDescent="0.2">
      <c r="A9376" s="2" t="s">
        <v>3267</v>
      </c>
      <c r="B9376" s="2" t="s">
        <v>97</v>
      </c>
      <c r="C9376" s="2">
        <v>668.73109999999997</v>
      </c>
      <c r="D9376" s="2">
        <f>HYPERLINK("http://mcb-m6.bioreg.kyushu-u.ac.jp/M3/20110404/F50775/1604/1", 52.3)</f>
        <v>52.3</v>
      </c>
      <c r="E9376" s="2">
        <v>31.95</v>
      </c>
      <c r="F9376" s="2">
        <v>2</v>
      </c>
      <c r="G9376" s="2" t="s">
        <v>10</v>
      </c>
    </row>
    <row r="9377" spans="1:7" x14ac:dyDescent="0.2">
      <c r="A9377" s="2" t="s">
        <v>3267</v>
      </c>
      <c r="B9377" s="2" t="s">
        <v>433</v>
      </c>
      <c r="C9377" s="2">
        <v>819.55359999999996</v>
      </c>
      <c r="D9377" s="2">
        <f>HYPERLINK("http://mcb-m6.bioreg.kyushu-u.ac.jp/M3/20110404/F50774/2196/1", 52.86)</f>
        <v>52.86</v>
      </c>
      <c r="E9377" s="2">
        <v>43.99</v>
      </c>
      <c r="F9377" s="2">
        <v>2</v>
      </c>
      <c r="G9377" s="2" t="s">
        <v>10</v>
      </c>
    </row>
    <row r="9378" spans="1:7" x14ac:dyDescent="0.2">
      <c r="A9378" s="2" t="s">
        <v>3267</v>
      </c>
      <c r="B9378" s="2" t="s">
        <v>97</v>
      </c>
      <c r="C9378" s="2">
        <v>668.75620000000004</v>
      </c>
      <c r="D9378" s="2">
        <f>HYPERLINK("http://mcb-m6.bioreg.kyushu-u.ac.jp/M3/20110404/F50760/1518/1", 54.08)</f>
        <v>54.08</v>
      </c>
      <c r="E9378" s="2">
        <v>36.119999999999997</v>
      </c>
      <c r="F9378" s="2">
        <v>2</v>
      </c>
      <c r="G9378" s="2" t="s">
        <v>10</v>
      </c>
    </row>
    <row r="9379" spans="1:7" x14ac:dyDescent="0.2">
      <c r="A9379" s="2" t="s">
        <v>3267</v>
      </c>
      <c r="B9379" s="2" t="s">
        <v>97</v>
      </c>
      <c r="C9379" s="2">
        <v>1336.538</v>
      </c>
      <c r="D9379" s="2">
        <f>HYPERLINK("http://mcb-m6.bioreg.kyushu-u.ac.jp/M3/20110404/F50775/1605/1", 56.39)</f>
        <v>56.39</v>
      </c>
      <c r="E9379" s="2">
        <v>37.69</v>
      </c>
      <c r="F9379" s="2">
        <v>1</v>
      </c>
      <c r="G9379" s="2" t="s">
        <v>10</v>
      </c>
    </row>
    <row r="9380" spans="1:7" x14ac:dyDescent="0.2">
      <c r="A9380" s="2" t="s">
        <v>3267</v>
      </c>
      <c r="B9380" s="2" t="s">
        <v>433</v>
      </c>
      <c r="C9380" s="2">
        <v>819.39509999999996</v>
      </c>
      <c r="D9380" s="2">
        <f>HYPERLINK("http://mcb-m6.bioreg.kyushu-u.ac.jp/M3/20110404/F50775/2250/1", 56.5)</f>
        <v>56.5</v>
      </c>
      <c r="E9380" s="2">
        <v>46.79</v>
      </c>
      <c r="F9380" s="2">
        <v>2</v>
      </c>
      <c r="G9380" s="2" t="s">
        <v>10</v>
      </c>
    </row>
    <row r="9381" spans="1:7" x14ac:dyDescent="0.2">
      <c r="A9381" s="2" t="s">
        <v>3267</v>
      </c>
      <c r="B9381" s="2" t="s">
        <v>491</v>
      </c>
      <c r="C9381" s="2">
        <v>766.35609999999997</v>
      </c>
      <c r="D9381" s="2">
        <f>HYPERLINK("http://mcb-m6.bioreg.kyushu-u.ac.jp/M3/20110404/F50781/1886/1", 56.74)</f>
        <v>56.74</v>
      </c>
      <c r="E9381" s="2">
        <v>43.97</v>
      </c>
      <c r="F9381" s="2">
        <v>2</v>
      </c>
      <c r="G9381" s="2" t="s">
        <v>10</v>
      </c>
    </row>
    <row r="9382" spans="1:7" x14ac:dyDescent="0.2">
      <c r="A9382" s="2" t="s">
        <v>3267</v>
      </c>
      <c r="B9382" s="2" t="s">
        <v>491</v>
      </c>
      <c r="C9382" s="2">
        <v>766.83720000000005</v>
      </c>
      <c r="D9382" s="2">
        <f>HYPERLINK("http://mcb-m6.bioreg.kyushu-u.ac.jp/M3/20110404/F50768/1984/1", 59.63)</f>
        <v>59.63</v>
      </c>
      <c r="E9382" s="2">
        <v>41.58</v>
      </c>
      <c r="F9382" s="2">
        <v>2</v>
      </c>
      <c r="G9382" s="2" t="s">
        <v>10</v>
      </c>
    </row>
    <row r="9383" spans="1:7" x14ac:dyDescent="0.2">
      <c r="A9383" s="2" t="s">
        <v>3267</v>
      </c>
      <c r="B9383" s="2" t="s">
        <v>491</v>
      </c>
      <c r="C9383" s="2">
        <v>766.35170000000005</v>
      </c>
      <c r="D9383" s="2">
        <f>HYPERLINK("http://mcb-m6.bioreg.kyushu-u.ac.jp/M3/20110404/F50770/2010/1", 61.77)</f>
        <v>61.77</v>
      </c>
      <c r="E9383" s="2">
        <v>39.6</v>
      </c>
      <c r="F9383" s="2">
        <v>2</v>
      </c>
      <c r="G9383" s="2" t="s">
        <v>10</v>
      </c>
    </row>
    <row r="9384" spans="1:7" x14ac:dyDescent="0.2">
      <c r="A9384" s="2" t="s">
        <v>3267</v>
      </c>
      <c r="B9384" s="2" t="s">
        <v>1526</v>
      </c>
      <c r="C9384" s="2">
        <v>1238.413</v>
      </c>
      <c r="D9384" s="2">
        <f>HYPERLINK("http://mcb-m6.bioreg.kyushu-u.ac.jp/M3/20110404/F50775/1456/1", 62.17)</f>
        <v>62.17</v>
      </c>
      <c r="E9384" s="2">
        <v>42.9</v>
      </c>
      <c r="F9384" s="2">
        <v>1</v>
      </c>
      <c r="G9384" s="2" t="s">
        <v>10</v>
      </c>
    </row>
    <row r="9385" spans="1:7" x14ac:dyDescent="0.2">
      <c r="A9385" s="2" t="s">
        <v>3267</v>
      </c>
      <c r="B9385" s="2" t="s">
        <v>491</v>
      </c>
      <c r="C9385" s="2">
        <v>511.23050000000001</v>
      </c>
      <c r="D9385" s="2">
        <f>HYPERLINK("http://mcb-m6.bioreg.kyushu-u.ac.jp/M3/20110404/F50775/2065/1", 63)</f>
        <v>63</v>
      </c>
      <c r="E9385" s="2">
        <v>51.36</v>
      </c>
      <c r="F9385" s="2">
        <v>3</v>
      </c>
      <c r="G9385" s="2" t="s">
        <v>10</v>
      </c>
    </row>
    <row r="9386" spans="1:7" x14ac:dyDescent="0.2">
      <c r="A9386" s="2" t="s">
        <v>3267</v>
      </c>
      <c r="B9386" s="2" t="s">
        <v>491</v>
      </c>
      <c r="C9386" s="2">
        <v>1531.6369999999999</v>
      </c>
      <c r="D9386" s="2">
        <f>HYPERLINK("http://mcb-m6.bioreg.kyushu-u.ac.jp/M3/20110404/F50775/2063/1", 64.57)</f>
        <v>64.569999999999993</v>
      </c>
      <c r="E9386" s="2">
        <v>47.74</v>
      </c>
      <c r="F9386" s="2">
        <v>1</v>
      </c>
      <c r="G9386" s="2" t="s">
        <v>10</v>
      </c>
    </row>
    <row r="9387" spans="1:7" x14ac:dyDescent="0.2">
      <c r="A9387" s="2" t="s">
        <v>3267</v>
      </c>
      <c r="B9387" s="2" t="s">
        <v>491</v>
      </c>
      <c r="C9387" s="2">
        <v>766.34619999999995</v>
      </c>
      <c r="D9387" s="2">
        <f>HYPERLINK("http://mcb-m6.bioreg.kyushu-u.ac.jp/M3/20110404/F50761/1946/1", 66.3)</f>
        <v>66.3</v>
      </c>
      <c r="E9387" s="2">
        <v>47.65</v>
      </c>
      <c r="F9387" s="2">
        <v>2</v>
      </c>
      <c r="G9387" s="2" t="s">
        <v>10</v>
      </c>
    </row>
    <row r="9388" spans="1:7" x14ac:dyDescent="0.2">
      <c r="A9388" s="2" t="s">
        <v>3267</v>
      </c>
      <c r="B9388" s="2" t="s">
        <v>491</v>
      </c>
      <c r="C9388" s="2">
        <v>766.67359999999996</v>
      </c>
      <c r="D9388" s="2">
        <f>HYPERLINK("http://mcb-m6.bioreg.kyushu-u.ac.jp/M3/20110404/F50774/1994/1", 71.11)</f>
        <v>71.11</v>
      </c>
      <c r="E9388" s="2">
        <v>48.39</v>
      </c>
      <c r="F9388" s="2">
        <v>2</v>
      </c>
      <c r="G9388" s="2" t="s">
        <v>10</v>
      </c>
    </row>
    <row r="9389" spans="1:7" x14ac:dyDescent="0.2">
      <c r="A9389" s="2" t="s">
        <v>3267</v>
      </c>
      <c r="B9389" s="2" t="s">
        <v>491</v>
      </c>
      <c r="C9389" s="2">
        <v>766.30269999999996</v>
      </c>
      <c r="D9389" s="2">
        <f>HYPERLINK("http://mcb-m6.bioreg.kyushu-u.ac.jp/M3/20110404/F50768/1980/1", 71.27)</f>
        <v>71.27</v>
      </c>
      <c r="E9389" s="2">
        <v>56.21</v>
      </c>
      <c r="F9389" s="2">
        <v>2</v>
      </c>
      <c r="G9389" s="2" t="s">
        <v>10</v>
      </c>
    </row>
    <row r="9390" spans="1:7" x14ac:dyDescent="0.2">
      <c r="A9390" s="2" t="s">
        <v>3267</v>
      </c>
      <c r="B9390" s="2" t="s">
        <v>1353</v>
      </c>
      <c r="C9390" s="2">
        <v>825.34010000000001</v>
      </c>
      <c r="D9390" s="2">
        <f>HYPERLINK("http://mcb-m6.bioreg.kyushu-u.ac.jp/M3/20110404/F50775/2279/1", 71.4)</f>
        <v>71.400000000000006</v>
      </c>
      <c r="E9390" s="2">
        <v>59.16</v>
      </c>
      <c r="F9390" s="2">
        <v>2</v>
      </c>
      <c r="G9390" s="2" t="s">
        <v>10</v>
      </c>
    </row>
    <row r="9391" spans="1:7" x14ac:dyDescent="0.2">
      <c r="A9391" s="2" t="s">
        <v>3267</v>
      </c>
      <c r="B9391" s="2" t="s">
        <v>2026</v>
      </c>
      <c r="C9391" s="2">
        <v>679.37270000000001</v>
      </c>
      <c r="D9391" s="2">
        <f>HYPERLINK("http://mcb-m6.bioreg.kyushu-u.ac.jp/M3/20110404/F50775/1643/1", 71.94)</f>
        <v>71.94</v>
      </c>
      <c r="E9391" s="2">
        <v>45.23</v>
      </c>
      <c r="F9391" s="2">
        <v>2</v>
      </c>
      <c r="G9391" s="2" t="s">
        <v>10</v>
      </c>
    </row>
    <row r="9392" spans="1:7" x14ac:dyDescent="0.2">
      <c r="A9392" s="2" t="s">
        <v>3267</v>
      </c>
      <c r="B9392" s="2" t="s">
        <v>697</v>
      </c>
      <c r="C9392" s="2">
        <v>732.88760000000002</v>
      </c>
      <c r="D9392" s="2">
        <f>HYPERLINK("http://mcb-m6.bioreg.kyushu-u.ac.jp/M3/20110404/F50775/1933/1", 73)</f>
        <v>73</v>
      </c>
      <c r="E9392" s="2">
        <v>54.06</v>
      </c>
      <c r="F9392" s="2">
        <v>2</v>
      </c>
      <c r="G9392" s="2" t="s">
        <v>10</v>
      </c>
    </row>
    <row r="9393" spans="1:9" x14ac:dyDescent="0.2">
      <c r="A9393" s="2" t="s">
        <v>3267</v>
      </c>
      <c r="B9393" s="2" t="s">
        <v>491</v>
      </c>
      <c r="C9393" s="2">
        <v>766.85609999999997</v>
      </c>
      <c r="D9393" s="2">
        <f>HYPERLINK("http://mcb-m6.bioreg.kyushu-u.ac.jp/M3/20110404/F50775/2068/1", 73.83)</f>
        <v>73.83</v>
      </c>
      <c r="E9393" s="2">
        <v>52.02</v>
      </c>
      <c r="F9393" s="2">
        <v>2</v>
      </c>
      <c r="G9393" s="2" t="s">
        <v>10</v>
      </c>
    </row>
    <row r="9394" spans="1:9" x14ac:dyDescent="0.2">
      <c r="A9394" s="2" t="s">
        <v>3267</v>
      </c>
      <c r="B9394" s="2" t="s">
        <v>2589</v>
      </c>
      <c r="C9394" s="2">
        <v>680.29060000000004</v>
      </c>
      <c r="D9394" s="2">
        <f>HYPERLINK("http://mcb-m6.bioreg.kyushu-u.ac.jp/M3/20110404/F50775/1648/1", 79.18)</f>
        <v>79.180000000000007</v>
      </c>
      <c r="E9394" s="2">
        <v>61.19</v>
      </c>
      <c r="F9394" s="2">
        <v>2</v>
      </c>
      <c r="G9394" s="2" t="s">
        <v>10</v>
      </c>
    </row>
    <row r="9395" spans="1:9" x14ac:dyDescent="0.2">
      <c r="A9395" s="2" t="s">
        <v>3267</v>
      </c>
      <c r="B9395" s="2" t="s">
        <v>491</v>
      </c>
      <c r="C9395" s="2">
        <v>766.37159999999994</v>
      </c>
      <c r="D9395" s="2">
        <f>HYPERLINK("http://mcb-m6.bioreg.kyushu-u.ac.jp/M3/20110404/F50769/2058/1", 80.86)</f>
        <v>80.86</v>
      </c>
      <c r="E9395" s="2">
        <v>65.819999999999993</v>
      </c>
      <c r="F9395" s="2">
        <v>2</v>
      </c>
      <c r="G9395" s="2" t="s">
        <v>10</v>
      </c>
    </row>
    <row r="9396" spans="1:9" x14ac:dyDescent="0.2">
      <c r="A9396" s="2" t="s">
        <v>3267</v>
      </c>
      <c r="B9396" s="2" t="s">
        <v>1606</v>
      </c>
      <c r="C9396" s="2">
        <v>862.34469999999999</v>
      </c>
      <c r="D9396" s="2">
        <f>HYPERLINK("http://mcb-m6.bioreg.kyushu-u.ac.jp/M3/20110404/F50768/2299/1", 81.19)</f>
        <v>81.19</v>
      </c>
      <c r="E9396" s="2">
        <v>74.59</v>
      </c>
      <c r="F9396" s="2">
        <v>2</v>
      </c>
      <c r="G9396" s="2" t="s">
        <v>10</v>
      </c>
    </row>
    <row r="9397" spans="1:9" x14ac:dyDescent="0.2">
      <c r="A9397" s="2" t="s">
        <v>3267</v>
      </c>
      <c r="B9397" s="2" t="s">
        <v>1606</v>
      </c>
      <c r="C9397" s="2">
        <v>862.38369999999998</v>
      </c>
      <c r="D9397" s="2">
        <f>HYPERLINK("http://mcb-m6.bioreg.kyushu-u.ac.jp/M3/20110404/F50775/2375/1", 86.47)</f>
        <v>86.47</v>
      </c>
      <c r="E9397" s="2">
        <v>76.17</v>
      </c>
      <c r="F9397" s="2">
        <v>2</v>
      </c>
      <c r="G9397" s="2" t="s">
        <v>10</v>
      </c>
    </row>
    <row r="9398" spans="1:9" x14ac:dyDescent="0.2">
      <c r="A9398" s="2" t="s">
        <v>3267</v>
      </c>
      <c r="B9398" s="2" t="s">
        <v>2071</v>
      </c>
      <c r="C9398" s="2">
        <v>1163.991</v>
      </c>
      <c r="D9398" s="2">
        <f>HYPERLINK("http://mcb-m6.bioreg.kyushu-u.ac.jp/M3/20110404/F50775/3109/1", 90.68)</f>
        <v>90.68</v>
      </c>
      <c r="E9398" s="2">
        <v>82.92</v>
      </c>
      <c r="F9398" s="2">
        <v>2</v>
      </c>
      <c r="G9398" s="2" t="s">
        <v>10</v>
      </c>
    </row>
    <row r="9399" spans="1:9" x14ac:dyDescent="0.2">
      <c r="A9399" s="2" t="s">
        <v>3267</v>
      </c>
      <c r="B9399" s="2" t="s">
        <v>2506</v>
      </c>
      <c r="C9399" s="2">
        <v>1045.204</v>
      </c>
      <c r="D9399" s="2">
        <f>HYPERLINK("http://mcb-m6.bioreg.kyushu-u.ac.jp/M3/20110404/F50775/2888/1", 95.72)</f>
        <v>95.72</v>
      </c>
      <c r="E9399" s="2">
        <v>82.38</v>
      </c>
      <c r="F9399" s="2">
        <v>2</v>
      </c>
      <c r="G9399" s="2" t="s">
        <v>10</v>
      </c>
      <c r="I9399" s="2" t="s">
        <v>4966</v>
      </c>
    </row>
    <row r="9400" spans="1:9" x14ac:dyDescent="0.2">
      <c r="A9400" s="2" t="s">
        <v>3267</v>
      </c>
      <c r="B9400" s="2" t="s">
        <v>602</v>
      </c>
      <c r="C9400" s="2">
        <v>742.32820000000004</v>
      </c>
      <c r="D9400" s="2">
        <f>HYPERLINK("http://mcb-m6.bioreg.kyushu-u.ac.jp/M3/20110404/F50771/1902/1", 105.47)</f>
        <v>105.47</v>
      </c>
      <c r="E9400" s="2">
        <v>92.61</v>
      </c>
      <c r="F9400" s="2">
        <v>2</v>
      </c>
      <c r="G9400" s="2" t="s">
        <v>10</v>
      </c>
    </row>
    <row r="9401" spans="1:9" x14ac:dyDescent="0.2">
      <c r="A9401" s="2" t="s">
        <v>3267</v>
      </c>
      <c r="B9401" s="2" t="s">
        <v>602</v>
      </c>
      <c r="C9401" s="2">
        <v>742.51869999999997</v>
      </c>
      <c r="D9401" s="2">
        <f>HYPERLINK("http://mcb-m6.bioreg.kyushu-u.ac.jp/M3/20110404/F50769/1993/1", 111.71)</f>
        <v>111.71</v>
      </c>
      <c r="E9401" s="2">
        <v>101.42</v>
      </c>
      <c r="F9401" s="2">
        <v>2</v>
      </c>
      <c r="G9401" s="2" t="s">
        <v>10</v>
      </c>
    </row>
    <row r="9402" spans="1:9" x14ac:dyDescent="0.2">
      <c r="A9402" s="2" t="s">
        <v>3267</v>
      </c>
      <c r="B9402" s="2" t="s">
        <v>7067</v>
      </c>
      <c r="C9402" s="2">
        <v>457.33409999999998</v>
      </c>
      <c r="D9402" s="2">
        <f>HYPERLINK("http://mcb-m6.bioreg.kyushu-u.ac.jp/M3/20110421/F51039/699/1", 35.08)</f>
        <v>35.08</v>
      </c>
      <c r="E9402" s="2">
        <v>15.06</v>
      </c>
      <c r="F9402" s="2">
        <v>2</v>
      </c>
      <c r="G9402" s="2" t="s">
        <v>11</v>
      </c>
    </row>
    <row r="9403" spans="1:9" x14ac:dyDescent="0.2">
      <c r="A9403" s="2" t="s">
        <v>3267</v>
      </c>
      <c r="B9403" s="2" t="s">
        <v>697</v>
      </c>
      <c r="C9403" s="2">
        <v>732.91269999999997</v>
      </c>
      <c r="D9403" s="2">
        <f>HYPERLINK("http://mcb-m6.bioreg.kyushu-u.ac.jp/M3/20110421/F51042/1873/1", 35.23)</f>
        <v>35.229999999999997</v>
      </c>
      <c r="E9403" s="2">
        <v>12.27</v>
      </c>
      <c r="F9403" s="2">
        <v>2</v>
      </c>
      <c r="G9403" s="2" t="s">
        <v>11</v>
      </c>
    </row>
    <row r="9404" spans="1:9" x14ac:dyDescent="0.2">
      <c r="A9404" s="2" t="s">
        <v>3267</v>
      </c>
      <c r="B9404" s="2" t="s">
        <v>1606</v>
      </c>
      <c r="C9404" s="2">
        <v>575.39919999999995</v>
      </c>
      <c r="D9404" s="2">
        <f>HYPERLINK("http://mcb-m6.bioreg.kyushu-u.ac.jp/M3/20110421/F51039/2696/1", 35.65)</f>
        <v>35.65</v>
      </c>
      <c r="E9404" s="2">
        <v>16.059999999999999</v>
      </c>
      <c r="F9404" s="2">
        <v>3</v>
      </c>
      <c r="G9404" s="2" t="s">
        <v>11</v>
      </c>
    </row>
    <row r="9405" spans="1:9" x14ac:dyDescent="0.2">
      <c r="A9405" s="2" t="s">
        <v>3267</v>
      </c>
      <c r="B9405" s="2" t="s">
        <v>1923</v>
      </c>
      <c r="C9405" s="2">
        <v>1088.373</v>
      </c>
      <c r="D9405" s="2">
        <f>HYPERLINK("http://mcb-m6.bioreg.kyushu-u.ac.jp/M3/20110421/F51039/1150/1", 35.72)</f>
        <v>35.72</v>
      </c>
      <c r="E9405" s="2">
        <v>17.22</v>
      </c>
      <c r="F9405" s="2">
        <v>1</v>
      </c>
      <c r="G9405" s="2" t="s">
        <v>11</v>
      </c>
    </row>
    <row r="9406" spans="1:9" x14ac:dyDescent="0.2">
      <c r="A9406" s="2" t="s">
        <v>3267</v>
      </c>
      <c r="B9406" s="2" t="s">
        <v>491</v>
      </c>
      <c r="C9406" s="2">
        <v>766.35569999999996</v>
      </c>
      <c r="D9406" s="2">
        <f>HYPERLINK("http://mcb-m6.bioreg.kyushu-u.ac.jp/M3/20110421/F51039/2218/1", 36.62)</f>
        <v>36.619999999999997</v>
      </c>
      <c r="E9406" s="2">
        <v>27.15</v>
      </c>
      <c r="F9406" s="2">
        <v>2</v>
      </c>
      <c r="G9406" s="2" t="s">
        <v>11</v>
      </c>
    </row>
    <row r="9407" spans="1:9" x14ac:dyDescent="0.2">
      <c r="A9407" s="2" t="s">
        <v>3267</v>
      </c>
      <c r="B9407" s="2" t="s">
        <v>97</v>
      </c>
      <c r="C9407" s="2">
        <v>668.84169999999995</v>
      </c>
      <c r="D9407" s="2">
        <f>HYPERLINK("http://mcb-m6.bioreg.kyushu-u.ac.jp/M3/20110421/F51039/1645/1", 36.77)</f>
        <v>36.770000000000003</v>
      </c>
      <c r="E9407" s="2">
        <v>18.899999999999999</v>
      </c>
      <c r="F9407" s="2">
        <v>2</v>
      </c>
      <c r="G9407" s="2" t="s">
        <v>11</v>
      </c>
    </row>
    <row r="9408" spans="1:9" x14ac:dyDescent="0.2">
      <c r="A9408" s="2" t="s">
        <v>3267</v>
      </c>
      <c r="B9408" s="2" t="s">
        <v>491</v>
      </c>
      <c r="C9408" s="2">
        <v>766.41520000000003</v>
      </c>
      <c r="D9408" s="2">
        <f>HYPERLINK("http://mcb-m6.bioreg.kyushu-u.ac.jp/M3/20110421/F51037/2190/1", 36.82)</f>
        <v>36.82</v>
      </c>
      <c r="E9408" s="2">
        <v>25.47</v>
      </c>
      <c r="F9408" s="2">
        <v>2</v>
      </c>
      <c r="G9408" s="2" t="s">
        <v>11</v>
      </c>
    </row>
    <row r="9409" spans="1:7" x14ac:dyDescent="0.2">
      <c r="A9409" s="2" t="s">
        <v>3267</v>
      </c>
      <c r="B9409" s="2" t="s">
        <v>433</v>
      </c>
      <c r="C9409" s="2">
        <v>818.88670000000002</v>
      </c>
      <c r="D9409" s="2">
        <f>HYPERLINK("http://mcb-m6.bioreg.kyushu-u.ac.jp/M3/20110421/F51039/2493/1", 37.9)</f>
        <v>37.9</v>
      </c>
      <c r="E9409" s="2">
        <v>28.1</v>
      </c>
      <c r="F9409" s="2">
        <v>2</v>
      </c>
      <c r="G9409" s="2" t="s">
        <v>11</v>
      </c>
    </row>
    <row r="9410" spans="1:7" x14ac:dyDescent="0.2">
      <c r="A9410" s="2" t="s">
        <v>3267</v>
      </c>
      <c r="B9410" s="2" t="s">
        <v>491</v>
      </c>
      <c r="C9410" s="2">
        <v>766.93320000000006</v>
      </c>
      <c r="D9410" s="2">
        <f>HYPERLINK("http://mcb-m6.bioreg.kyushu-u.ac.jp/M3/20110421/F51019/2196/1", 37.94)</f>
        <v>37.94</v>
      </c>
      <c r="E9410" s="2">
        <v>25.62</v>
      </c>
      <c r="F9410" s="2">
        <v>2</v>
      </c>
      <c r="G9410" s="2" t="s">
        <v>11</v>
      </c>
    </row>
    <row r="9411" spans="1:7" x14ac:dyDescent="0.2">
      <c r="A9411" s="2" t="s">
        <v>3267</v>
      </c>
      <c r="B9411" s="2" t="s">
        <v>3018</v>
      </c>
      <c r="C9411" s="2">
        <v>521.38509999999997</v>
      </c>
      <c r="D9411" s="2">
        <f>HYPERLINK("http://mcb-m6.bioreg.kyushu-u.ac.jp/M3/20110421/F51039/1030/1", 38.26)</f>
        <v>38.26</v>
      </c>
      <c r="E9411" s="2">
        <v>8.48</v>
      </c>
      <c r="F9411" s="2">
        <v>2</v>
      </c>
      <c r="G9411" s="2" t="s">
        <v>11</v>
      </c>
    </row>
    <row r="9412" spans="1:7" x14ac:dyDescent="0.2">
      <c r="A9412" s="2" t="s">
        <v>3267</v>
      </c>
      <c r="B9412" s="2" t="s">
        <v>433</v>
      </c>
      <c r="C9412" s="2">
        <v>819.32069999999999</v>
      </c>
      <c r="D9412" s="2">
        <f>HYPERLINK("http://mcb-m6.bioreg.kyushu-u.ac.jp/M3/20110421/F51039/2498/1", 38.53)</f>
        <v>38.53</v>
      </c>
      <c r="E9412" s="2">
        <v>30.31</v>
      </c>
      <c r="F9412" s="2">
        <v>2</v>
      </c>
      <c r="G9412" s="2" t="s">
        <v>11</v>
      </c>
    </row>
    <row r="9413" spans="1:7" x14ac:dyDescent="0.2">
      <c r="A9413" s="2" t="s">
        <v>3267</v>
      </c>
      <c r="B9413" s="2" t="s">
        <v>433</v>
      </c>
      <c r="C9413" s="2">
        <v>819.37570000000005</v>
      </c>
      <c r="D9413" s="2">
        <f>HYPERLINK("http://mcb-m6.bioreg.kyushu-u.ac.jp/M3/20110421/F51039/2499/1", 38.57)</f>
        <v>38.57</v>
      </c>
      <c r="E9413" s="2">
        <v>28.43</v>
      </c>
      <c r="F9413" s="2">
        <v>2</v>
      </c>
      <c r="G9413" s="2" t="s">
        <v>11</v>
      </c>
    </row>
    <row r="9414" spans="1:7" x14ac:dyDescent="0.2">
      <c r="A9414" s="2" t="s">
        <v>3267</v>
      </c>
      <c r="B9414" s="2" t="s">
        <v>697</v>
      </c>
      <c r="C9414" s="2">
        <v>488.75119999999998</v>
      </c>
      <c r="D9414" s="2">
        <f>HYPERLINK("http://mcb-m6.bioreg.kyushu-u.ac.jp/M3/20110421/F51019/2029/1", 39.64)</f>
        <v>39.64</v>
      </c>
      <c r="E9414" s="2">
        <v>15.85</v>
      </c>
      <c r="F9414" s="2">
        <v>3</v>
      </c>
      <c r="G9414" s="2" t="s">
        <v>11</v>
      </c>
    </row>
    <row r="9415" spans="1:7" x14ac:dyDescent="0.2">
      <c r="A9415" s="2" t="s">
        <v>3267</v>
      </c>
      <c r="B9415" s="2" t="s">
        <v>697</v>
      </c>
      <c r="C9415" s="2">
        <v>733.44960000000003</v>
      </c>
      <c r="D9415" s="2">
        <f>HYPERLINK("http://mcb-m6.bioreg.kyushu-u.ac.jp/M3/20110421/F51035/1955/1", 39.71)</f>
        <v>39.71</v>
      </c>
      <c r="E9415" s="2">
        <v>11.74</v>
      </c>
      <c r="F9415" s="2">
        <v>2</v>
      </c>
      <c r="G9415" s="2" t="s">
        <v>11</v>
      </c>
    </row>
    <row r="9416" spans="1:7" x14ac:dyDescent="0.2">
      <c r="A9416" s="2" t="s">
        <v>3267</v>
      </c>
      <c r="B9416" s="2" t="s">
        <v>491</v>
      </c>
      <c r="C9416" s="2">
        <v>766.89120000000003</v>
      </c>
      <c r="D9416" s="2">
        <f>HYPERLINK("http://mcb-m6.bioreg.kyushu-u.ac.jp/M3/20110421/F51035/2125/1", 39.9)</f>
        <v>39.9</v>
      </c>
      <c r="E9416" s="2">
        <v>21.71</v>
      </c>
      <c r="F9416" s="2">
        <v>2</v>
      </c>
      <c r="G9416" s="2" t="s">
        <v>11</v>
      </c>
    </row>
    <row r="9417" spans="1:7" x14ac:dyDescent="0.2">
      <c r="A9417" s="2" t="s">
        <v>3267</v>
      </c>
      <c r="B9417" s="2" t="s">
        <v>223</v>
      </c>
      <c r="C9417" s="2">
        <v>782.83370000000002</v>
      </c>
      <c r="D9417" s="2">
        <f>HYPERLINK("http://mcb-m6.bioreg.kyushu-u.ac.jp/M3/20110421/F51039/2322/1", 40.14)</f>
        <v>40.14</v>
      </c>
      <c r="E9417" s="2">
        <v>24.44</v>
      </c>
      <c r="F9417" s="2">
        <v>2</v>
      </c>
      <c r="G9417" s="2" t="s">
        <v>11</v>
      </c>
    </row>
    <row r="9418" spans="1:7" x14ac:dyDescent="0.2">
      <c r="A9418" s="2" t="s">
        <v>3267</v>
      </c>
      <c r="B9418" s="2" t="s">
        <v>855</v>
      </c>
      <c r="C9418" s="2">
        <v>498.2346</v>
      </c>
      <c r="D9418" s="2">
        <f>HYPERLINK("http://mcb-m6.bioreg.kyushu-u.ac.jp/M3/20110421/F51039/890/1", 40.22)</f>
        <v>40.22</v>
      </c>
      <c r="E9418" s="2">
        <v>18.04</v>
      </c>
      <c r="F9418" s="2">
        <v>2</v>
      </c>
      <c r="G9418" s="2" t="s">
        <v>11</v>
      </c>
    </row>
    <row r="9419" spans="1:7" x14ac:dyDescent="0.2">
      <c r="A9419" s="2" t="s">
        <v>3267</v>
      </c>
      <c r="B9419" s="2" t="s">
        <v>97</v>
      </c>
      <c r="C9419" s="2">
        <v>668.85109999999997</v>
      </c>
      <c r="D9419" s="2">
        <f>HYPERLINK("http://mcb-m6.bioreg.kyushu-u.ac.jp/M3/20110421/F51037/1568/1", 40.89)</f>
        <v>40.89</v>
      </c>
      <c r="E9419" s="2">
        <v>23.08</v>
      </c>
      <c r="F9419" s="2">
        <v>2</v>
      </c>
      <c r="G9419" s="2" t="s">
        <v>11</v>
      </c>
    </row>
    <row r="9420" spans="1:7" x14ac:dyDescent="0.2">
      <c r="A9420" s="2" t="s">
        <v>3267</v>
      </c>
      <c r="B9420" s="2" t="s">
        <v>433</v>
      </c>
      <c r="C9420" s="2">
        <v>819.43370000000004</v>
      </c>
      <c r="D9420" s="2">
        <f>HYPERLINK("http://mcb-m6.bioreg.kyushu-u.ac.jp/M3/20110421/F51040/2447/1", 41.3)</f>
        <v>41.3</v>
      </c>
      <c r="E9420" s="2">
        <v>33.119999999999997</v>
      </c>
      <c r="F9420" s="2">
        <v>2</v>
      </c>
      <c r="G9420" s="2" t="s">
        <v>11</v>
      </c>
    </row>
    <row r="9421" spans="1:7" x14ac:dyDescent="0.2">
      <c r="A9421" s="2" t="s">
        <v>3267</v>
      </c>
      <c r="B9421" s="2" t="s">
        <v>97</v>
      </c>
      <c r="C9421" s="2">
        <v>669.15260000000001</v>
      </c>
      <c r="D9421" s="2">
        <f>HYPERLINK("http://mcb-m6.bioreg.kyushu-u.ac.jp/M3/20110421/F51017/1619/1", 41.31)</f>
        <v>41.31</v>
      </c>
      <c r="E9421" s="2">
        <v>12.5</v>
      </c>
      <c r="F9421" s="2">
        <v>2</v>
      </c>
      <c r="G9421" s="2" t="s">
        <v>11</v>
      </c>
    </row>
    <row r="9422" spans="1:7" x14ac:dyDescent="0.2">
      <c r="A9422" s="2" t="s">
        <v>3267</v>
      </c>
      <c r="B9422" s="2" t="s">
        <v>433</v>
      </c>
      <c r="C9422" s="2">
        <v>546.48850000000004</v>
      </c>
      <c r="D9422" s="2">
        <f>HYPERLINK("http://mcb-m6.bioreg.kyushu-u.ac.jp/M3/20110421/F51039/2497/1", 41.37)</f>
        <v>41.37</v>
      </c>
      <c r="E9422" s="2">
        <v>24.48</v>
      </c>
      <c r="F9422" s="2">
        <v>3</v>
      </c>
      <c r="G9422" s="2" t="s">
        <v>11</v>
      </c>
    </row>
    <row r="9423" spans="1:7" x14ac:dyDescent="0.2">
      <c r="A9423" s="2" t="s">
        <v>3267</v>
      </c>
      <c r="B9423" s="2" t="s">
        <v>1606</v>
      </c>
      <c r="C9423" s="2">
        <v>575.55790000000002</v>
      </c>
      <c r="D9423" s="2">
        <f>HYPERLINK("http://mcb-m6.bioreg.kyushu-u.ac.jp/M3/20110421/F51039/2698/1", 41.6)</f>
        <v>41.6</v>
      </c>
      <c r="E9423" s="2">
        <v>30.19</v>
      </c>
      <c r="F9423" s="2">
        <v>3</v>
      </c>
      <c r="G9423" s="2" t="s">
        <v>11</v>
      </c>
    </row>
    <row r="9424" spans="1:7" x14ac:dyDescent="0.2">
      <c r="A9424" s="2" t="s">
        <v>3267</v>
      </c>
      <c r="B9424" s="2" t="s">
        <v>491</v>
      </c>
      <c r="C9424" s="2">
        <v>766.43910000000005</v>
      </c>
      <c r="D9424" s="2">
        <f>HYPERLINK("http://mcb-m6.bioreg.kyushu-u.ac.jp/M3/20110421/F51037/2191/1", 42.67)</f>
        <v>42.67</v>
      </c>
      <c r="E9424" s="2">
        <v>24.49</v>
      </c>
      <c r="F9424" s="2">
        <v>2</v>
      </c>
      <c r="G9424" s="2" t="s">
        <v>11</v>
      </c>
    </row>
    <row r="9425" spans="1:8" x14ac:dyDescent="0.2">
      <c r="A9425" s="2" t="s">
        <v>3267</v>
      </c>
      <c r="B9425" s="2" t="s">
        <v>602</v>
      </c>
      <c r="C9425" s="2">
        <v>742.35969999999998</v>
      </c>
      <c r="D9425" s="2">
        <f>HYPERLINK("http://mcb-m6.bioreg.kyushu-u.ac.jp/M3/20110421/F51039/2073/1", 43.84)</f>
        <v>43.84</v>
      </c>
      <c r="E9425" s="2">
        <v>30.57</v>
      </c>
      <c r="F9425" s="2">
        <v>2</v>
      </c>
      <c r="G9425" s="2" t="s">
        <v>11</v>
      </c>
    </row>
    <row r="9426" spans="1:8" x14ac:dyDescent="0.2">
      <c r="A9426" s="2" t="s">
        <v>3267</v>
      </c>
      <c r="B9426" s="2" t="s">
        <v>433</v>
      </c>
      <c r="C9426" s="2">
        <v>546.93320000000006</v>
      </c>
      <c r="D9426" s="2">
        <f>HYPERLINK("http://mcb-m6.bioreg.kyushu-u.ac.jp/M3/20110421/F51037/2515/1", 43.9)</f>
        <v>43.9</v>
      </c>
      <c r="E9426" s="2">
        <v>24.59</v>
      </c>
      <c r="F9426" s="2">
        <v>3</v>
      </c>
      <c r="G9426" s="2" t="s">
        <v>11</v>
      </c>
    </row>
    <row r="9427" spans="1:8" x14ac:dyDescent="0.2">
      <c r="A9427" s="2" t="s">
        <v>3267</v>
      </c>
      <c r="B9427" s="2" t="s">
        <v>491</v>
      </c>
      <c r="C9427" s="2">
        <v>766.3691</v>
      </c>
      <c r="D9427" s="2">
        <f>HYPERLINK("http://mcb-m6.bioreg.kyushu-u.ac.jp/M3/20110421/F51039/2221/1", 44.56)</f>
        <v>44.56</v>
      </c>
      <c r="E9427" s="2">
        <v>26.47</v>
      </c>
      <c r="F9427" s="2">
        <v>2</v>
      </c>
      <c r="G9427" s="2" t="s">
        <v>11</v>
      </c>
    </row>
    <row r="9428" spans="1:8" x14ac:dyDescent="0.2">
      <c r="A9428" s="2" t="s">
        <v>3267</v>
      </c>
      <c r="B9428" s="2" t="s">
        <v>433</v>
      </c>
      <c r="C9428" s="2">
        <v>819.6816</v>
      </c>
      <c r="D9428" s="2">
        <f>HYPERLINK("http://mcb-m6.bioreg.kyushu-u.ac.jp/M3/20110421/F51039/2505/1", 44.84)</f>
        <v>44.84</v>
      </c>
      <c r="E9428" s="2">
        <v>34.090000000000003</v>
      </c>
      <c r="F9428" s="2">
        <v>2</v>
      </c>
      <c r="G9428" s="2" t="s">
        <v>11</v>
      </c>
    </row>
    <row r="9429" spans="1:8" x14ac:dyDescent="0.2">
      <c r="A9429" s="2" t="s">
        <v>3267</v>
      </c>
      <c r="B9429" s="2" t="s">
        <v>568</v>
      </c>
      <c r="C9429" s="2">
        <v>836.29399999999998</v>
      </c>
      <c r="D9429" s="2">
        <f>HYPERLINK("http://mcb-m6.bioreg.kyushu-u.ac.jp/M3/20110421/F51039/636/1", 44.95)</f>
        <v>44.95</v>
      </c>
      <c r="E9429" s="2">
        <v>30.42</v>
      </c>
      <c r="F9429" s="2">
        <v>1</v>
      </c>
      <c r="G9429" s="2" t="s">
        <v>11</v>
      </c>
    </row>
    <row r="9430" spans="1:8" x14ac:dyDescent="0.2">
      <c r="A9430" s="2" t="s">
        <v>3267</v>
      </c>
      <c r="B9430" s="2" t="s">
        <v>697</v>
      </c>
      <c r="C9430" s="2">
        <v>732.8741</v>
      </c>
      <c r="D9430" s="2">
        <f>HYPERLINK("http://mcb-m6.bioreg.kyushu-u.ac.jp/M3/20110421/F51039/2024/1", 45.3)</f>
        <v>45.3</v>
      </c>
      <c r="E9430" s="2">
        <v>21.71</v>
      </c>
      <c r="F9430" s="2">
        <v>2</v>
      </c>
      <c r="G9430" s="2" t="s">
        <v>11</v>
      </c>
    </row>
    <row r="9431" spans="1:8" x14ac:dyDescent="0.2">
      <c r="A9431" s="2" t="s">
        <v>3267</v>
      </c>
      <c r="B9431" s="2" t="s">
        <v>47</v>
      </c>
      <c r="C9431" s="2">
        <v>548.92660000000001</v>
      </c>
      <c r="D9431" s="2">
        <f>HYPERLINK("http://mcb-m6.bioreg.kyushu-u.ac.jp/M3/20110421/F51034/1121/1", 46.22)</f>
        <v>46.22</v>
      </c>
      <c r="E9431" s="2">
        <v>21.86</v>
      </c>
      <c r="F9431" s="2">
        <v>2</v>
      </c>
      <c r="G9431" s="2" t="s">
        <v>11</v>
      </c>
      <c r="H9431" s="2" t="s">
        <v>4904</v>
      </c>
    </row>
    <row r="9432" spans="1:8" x14ac:dyDescent="0.2">
      <c r="A9432" s="2" t="s">
        <v>3267</v>
      </c>
      <c r="B9432" s="2" t="s">
        <v>491</v>
      </c>
      <c r="C9432" s="2">
        <v>766.80970000000002</v>
      </c>
      <c r="D9432" s="2">
        <f>HYPERLINK("http://mcb-m6.bioreg.kyushu-u.ac.jp/M3/20110421/F51039/2229/1", 46.45)</f>
        <v>46.45</v>
      </c>
      <c r="E9432" s="2">
        <v>34.92</v>
      </c>
      <c r="F9432" s="2">
        <v>2</v>
      </c>
      <c r="G9432" s="2" t="s">
        <v>11</v>
      </c>
    </row>
    <row r="9433" spans="1:8" x14ac:dyDescent="0.2">
      <c r="A9433" s="2" t="s">
        <v>3267</v>
      </c>
      <c r="B9433" s="2" t="s">
        <v>433</v>
      </c>
      <c r="C9433" s="2">
        <v>819.8827</v>
      </c>
      <c r="D9433" s="2">
        <f>HYPERLINK("http://mcb-m6.bioreg.kyushu-u.ac.jp/M3/20110421/F51039/2507/1", 46.58)</f>
        <v>46.58</v>
      </c>
      <c r="E9433" s="2">
        <v>32.700000000000003</v>
      </c>
      <c r="F9433" s="2">
        <v>2</v>
      </c>
      <c r="G9433" s="2" t="s">
        <v>11</v>
      </c>
    </row>
    <row r="9434" spans="1:8" x14ac:dyDescent="0.2">
      <c r="A9434" s="2" t="s">
        <v>3267</v>
      </c>
      <c r="B9434" s="2" t="s">
        <v>433</v>
      </c>
      <c r="C9434" s="2">
        <v>819.44320000000005</v>
      </c>
      <c r="D9434" s="2">
        <f>HYPERLINK("http://mcb-m6.bioreg.kyushu-u.ac.jp/M3/20110421/F51039/2502/1", 47.51)</f>
        <v>47.51</v>
      </c>
      <c r="E9434" s="2">
        <v>30.72</v>
      </c>
      <c r="F9434" s="2">
        <v>2</v>
      </c>
      <c r="G9434" s="2" t="s">
        <v>11</v>
      </c>
    </row>
    <row r="9435" spans="1:8" x14ac:dyDescent="0.2">
      <c r="A9435" s="2" t="s">
        <v>3267</v>
      </c>
      <c r="B9435" s="2" t="s">
        <v>994</v>
      </c>
      <c r="C9435" s="2">
        <v>580.31870000000004</v>
      </c>
      <c r="D9435" s="2">
        <f>HYPERLINK("http://mcb-m6.bioreg.kyushu-u.ac.jp/M3/20110421/F51037/1116/1", 47.89)</f>
        <v>47.89</v>
      </c>
      <c r="E9435" s="2">
        <v>27.45</v>
      </c>
      <c r="F9435" s="2">
        <v>2</v>
      </c>
      <c r="G9435" s="2" t="s">
        <v>11</v>
      </c>
    </row>
    <row r="9436" spans="1:8" x14ac:dyDescent="0.2">
      <c r="A9436" s="2" t="s">
        <v>3267</v>
      </c>
      <c r="B9436" s="2" t="s">
        <v>433</v>
      </c>
      <c r="C9436" s="2">
        <v>819.87819999999999</v>
      </c>
      <c r="D9436" s="2">
        <f>HYPERLINK("http://mcb-m6.bioreg.kyushu-u.ac.jp/M3/20110421/F51037/2514/1", 48.3)</f>
        <v>48.3</v>
      </c>
      <c r="E9436" s="2">
        <v>35.9</v>
      </c>
      <c r="F9436" s="2">
        <v>2</v>
      </c>
      <c r="G9436" s="2" t="s">
        <v>11</v>
      </c>
    </row>
    <row r="9437" spans="1:8" x14ac:dyDescent="0.2">
      <c r="A9437" s="2" t="s">
        <v>3267</v>
      </c>
      <c r="B9437" s="2" t="s">
        <v>491</v>
      </c>
      <c r="C9437" s="2">
        <v>766.97360000000003</v>
      </c>
      <c r="D9437" s="2">
        <f>HYPERLINK("http://mcb-m6.bioreg.kyushu-u.ac.jp/M3/20110421/F51039/2231/1", 48.57)</f>
        <v>48.57</v>
      </c>
      <c r="E9437" s="2">
        <v>32.950000000000003</v>
      </c>
      <c r="F9437" s="2">
        <v>2</v>
      </c>
      <c r="G9437" s="2" t="s">
        <v>11</v>
      </c>
    </row>
    <row r="9438" spans="1:8" x14ac:dyDescent="0.2">
      <c r="A9438" s="2" t="s">
        <v>3267</v>
      </c>
      <c r="B9438" s="2" t="s">
        <v>1606</v>
      </c>
      <c r="C9438" s="2">
        <v>575.34349999999995</v>
      </c>
      <c r="D9438" s="2">
        <f>HYPERLINK("http://mcb-m6.bioreg.kyushu-u.ac.jp/M3/20110421/F51039/2695/1", 48.88)</f>
        <v>48.88</v>
      </c>
      <c r="E9438" s="2">
        <v>29.45</v>
      </c>
      <c r="F9438" s="2">
        <v>3</v>
      </c>
      <c r="G9438" s="2" t="s">
        <v>11</v>
      </c>
    </row>
    <row r="9439" spans="1:8" x14ac:dyDescent="0.2">
      <c r="A9439" s="2" t="s">
        <v>3267</v>
      </c>
      <c r="B9439" s="2" t="s">
        <v>433</v>
      </c>
      <c r="C9439" s="2">
        <v>819.4452</v>
      </c>
      <c r="D9439" s="2">
        <f>HYPERLINK("http://mcb-m6.bioreg.kyushu-u.ac.jp/M3/20110421/F51039/2503/1", 50.41)</f>
        <v>50.41</v>
      </c>
      <c r="E9439" s="2">
        <v>39.17</v>
      </c>
      <c r="F9439" s="2">
        <v>2</v>
      </c>
      <c r="G9439" s="2" t="s">
        <v>11</v>
      </c>
    </row>
    <row r="9440" spans="1:8" x14ac:dyDescent="0.2">
      <c r="A9440" s="2" t="s">
        <v>3267</v>
      </c>
      <c r="B9440" s="2" t="s">
        <v>433</v>
      </c>
      <c r="C9440" s="2">
        <v>819.4366</v>
      </c>
      <c r="D9440" s="2">
        <f>HYPERLINK("http://mcb-m6.bioreg.kyushu-u.ac.jp/M3/20110421/F51039/2501/1", 51.68)</f>
        <v>51.68</v>
      </c>
      <c r="E9440" s="2">
        <v>30.53</v>
      </c>
      <c r="F9440" s="2">
        <v>2</v>
      </c>
      <c r="G9440" s="2" t="s">
        <v>11</v>
      </c>
    </row>
    <row r="9441" spans="1:7" x14ac:dyDescent="0.2">
      <c r="A9441" s="2" t="s">
        <v>3267</v>
      </c>
      <c r="B9441" s="2" t="s">
        <v>697</v>
      </c>
      <c r="C9441" s="2">
        <v>488.85079999999999</v>
      </c>
      <c r="D9441" s="2">
        <f>HYPERLINK("http://mcb-m6.bioreg.kyushu-u.ac.jp/M3/20110421/F51037/1954/1", 52.5)</f>
        <v>52.5</v>
      </c>
      <c r="E9441" s="2">
        <v>34.229999999999997</v>
      </c>
      <c r="F9441" s="2">
        <v>3</v>
      </c>
      <c r="G9441" s="2" t="s">
        <v>11</v>
      </c>
    </row>
    <row r="9442" spans="1:7" x14ac:dyDescent="0.2">
      <c r="A9442" s="2" t="s">
        <v>3267</v>
      </c>
      <c r="B9442" s="2" t="s">
        <v>697</v>
      </c>
      <c r="C9442" s="2">
        <v>733.10019999999997</v>
      </c>
      <c r="D9442" s="2">
        <f>HYPERLINK("http://mcb-m6.bioreg.kyushu-u.ac.jp/M3/20110421/F51039/2026/1", 53.05)</f>
        <v>53.05</v>
      </c>
      <c r="E9442" s="2">
        <v>31.35</v>
      </c>
      <c r="F9442" s="2">
        <v>2</v>
      </c>
      <c r="G9442" s="2" t="s">
        <v>11</v>
      </c>
    </row>
    <row r="9443" spans="1:7" x14ac:dyDescent="0.2">
      <c r="A9443" s="2" t="s">
        <v>3267</v>
      </c>
      <c r="B9443" s="2" t="s">
        <v>491</v>
      </c>
      <c r="C9443" s="2">
        <v>766.37710000000004</v>
      </c>
      <c r="D9443" s="2">
        <f>HYPERLINK("http://mcb-m6.bioreg.kyushu-u.ac.jp/M3/20110421/F51039/2222/1", 55.43)</f>
        <v>55.43</v>
      </c>
      <c r="E9443" s="2">
        <v>41.36</v>
      </c>
      <c r="F9443" s="2">
        <v>2</v>
      </c>
      <c r="G9443" s="2" t="s">
        <v>11</v>
      </c>
    </row>
    <row r="9444" spans="1:7" x14ac:dyDescent="0.2">
      <c r="A9444" s="2" t="s">
        <v>3267</v>
      </c>
      <c r="B9444" s="2" t="s">
        <v>97</v>
      </c>
      <c r="C9444" s="2">
        <v>668.85270000000003</v>
      </c>
      <c r="D9444" s="2">
        <f>HYPERLINK("http://mcb-m6.bioreg.kyushu-u.ac.jp/M3/20110421/F51034/1606/1", 56.49)</f>
        <v>56.49</v>
      </c>
      <c r="E9444" s="2">
        <v>36.21</v>
      </c>
      <c r="F9444" s="2">
        <v>2</v>
      </c>
      <c r="G9444" s="2" t="s">
        <v>11</v>
      </c>
    </row>
    <row r="9445" spans="1:7" x14ac:dyDescent="0.2">
      <c r="A9445" s="2" t="s">
        <v>3267</v>
      </c>
      <c r="B9445" s="2" t="s">
        <v>433</v>
      </c>
      <c r="C9445" s="2">
        <v>819.36109999999996</v>
      </c>
      <c r="D9445" s="2">
        <f>HYPERLINK("http://mcb-m6.bioreg.kyushu-u.ac.jp/M3/20110421/F51037/2508/1", 57.3)</f>
        <v>57.3</v>
      </c>
      <c r="E9445" s="2">
        <v>45.93</v>
      </c>
      <c r="F9445" s="2">
        <v>2</v>
      </c>
      <c r="G9445" s="2" t="s">
        <v>11</v>
      </c>
    </row>
    <row r="9446" spans="1:7" x14ac:dyDescent="0.2">
      <c r="A9446" s="2" t="s">
        <v>3267</v>
      </c>
      <c r="B9446" s="2" t="s">
        <v>491</v>
      </c>
      <c r="C9446" s="2">
        <v>766.26170000000002</v>
      </c>
      <c r="D9446" s="2">
        <f>HYPERLINK("http://mcb-m6.bioreg.kyushu-u.ac.jp/M3/20110421/F51039/2215/1", 59.54)</f>
        <v>59.54</v>
      </c>
      <c r="E9446" s="2">
        <v>49.28</v>
      </c>
      <c r="F9446" s="2">
        <v>2</v>
      </c>
      <c r="G9446" s="2" t="s">
        <v>11</v>
      </c>
    </row>
    <row r="9447" spans="1:7" x14ac:dyDescent="0.2">
      <c r="A9447" s="2" t="s">
        <v>3267</v>
      </c>
      <c r="B9447" s="2" t="s">
        <v>697</v>
      </c>
      <c r="C9447" s="2">
        <v>732.8827</v>
      </c>
      <c r="D9447" s="2">
        <f>HYPERLINK("http://mcb-m6.bioreg.kyushu-u.ac.jp/M3/20110421/F51040/2018/1", 59.96)</f>
        <v>59.96</v>
      </c>
      <c r="E9447" s="2">
        <v>29.09</v>
      </c>
      <c r="F9447" s="2">
        <v>2</v>
      </c>
      <c r="G9447" s="2" t="s">
        <v>11</v>
      </c>
    </row>
    <row r="9448" spans="1:7" x14ac:dyDescent="0.2">
      <c r="A9448" s="2" t="s">
        <v>3267</v>
      </c>
      <c r="B9448" s="2" t="s">
        <v>1606</v>
      </c>
      <c r="C9448" s="2">
        <v>862.46469999999999</v>
      </c>
      <c r="D9448" s="2">
        <f>HYPERLINK("http://mcb-m6.bioreg.kyushu-u.ac.jp/M3/20110421/F51039/2694/1", 60.56)</f>
        <v>60.56</v>
      </c>
      <c r="E9448" s="2">
        <v>46.81</v>
      </c>
      <c r="F9448" s="2">
        <v>2</v>
      </c>
      <c r="G9448" s="2" t="s">
        <v>11</v>
      </c>
    </row>
    <row r="9449" spans="1:7" x14ac:dyDescent="0.2">
      <c r="A9449" s="2" t="s">
        <v>3267</v>
      </c>
      <c r="B9449" s="2" t="s">
        <v>491</v>
      </c>
      <c r="C9449" s="2">
        <v>766.31410000000005</v>
      </c>
      <c r="D9449" s="2">
        <f>HYPERLINK("http://mcb-m6.bioreg.kyushu-u.ac.jp/M3/20110421/F51039/2217/1", 60.99)</f>
        <v>60.99</v>
      </c>
      <c r="E9449" s="2">
        <v>47.41</v>
      </c>
      <c r="F9449" s="2">
        <v>2</v>
      </c>
      <c r="G9449" s="2" t="s">
        <v>11</v>
      </c>
    </row>
    <row r="9450" spans="1:7" x14ac:dyDescent="0.2">
      <c r="A9450" s="2" t="s">
        <v>3267</v>
      </c>
      <c r="B9450" s="2" t="s">
        <v>994</v>
      </c>
      <c r="C9450" s="2">
        <v>580.28219999999999</v>
      </c>
      <c r="D9450" s="2">
        <f>HYPERLINK("http://mcb-m6.bioreg.kyushu-u.ac.jp/M3/20110421/F51039/1297/1", 61.12)</f>
        <v>61.12</v>
      </c>
      <c r="E9450" s="2">
        <v>39.01</v>
      </c>
      <c r="F9450" s="2">
        <v>2</v>
      </c>
      <c r="G9450" s="2" t="s">
        <v>11</v>
      </c>
    </row>
    <row r="9451" spans="1:7" x14ac:dyDescent="0.2">
      <c r="A9451" s="2" t="s">
        <v>3267</v>
      </c>
      <c r="B9451" s="2" t="s">
        <v>602</v>
      </c>
      <c r="C9451" s="2">
        <v>1484.029</v>
      </c>
      <c r="D9451" s="2">
        <f>HYPERLINK("http://mcb-m6.bioreg.kyushu-u.ac.jp/M3/20110421/F51039/2076/1", 61.64)</f>
        <v>61.64</v>
      </c>
      <c r="E9451" s="2">
        <v>51.99</v>
      </c>
      <c r="F9451" s="2">
        <v>1</v>
      </c>
      <c r="G9451" s="2" t="s">
        <v>11</v>
      </c>
    </row>
    <row r="9452" spans="1:7" x14ac:dyDescent="0.2">
      <c r="A9452" s="2" t="s">
        <v>3267</v>
      </c>
      <c r="B9452" s="2" t="s">
        <v>97</v>
      </c>
      <c r="C9452" s="2">
        <v>1336.61</v>
      </c>
      <c r="D9452" s="2">
        <f>HYPERLINK("http://mcb-m6.bioreg.kyushu-u.ac.jp/M3/20110421/F51039/1644/1", 61.82)</f>
        <v>61.82</v>
      </c>
      <c r="E9452" s="2">
        <v>31.72</v>
      </c>
      <c r="F9452" s="2">
        <v>1</v>
      </c>
      <c r="G9452" s="2" t="s">
        <v>11</v>
      </c>
    </row>
    <row r="9453" spans="1:7" x14ac:dyDescent="0.2">
      <c r="A9453" s="2" t="s">
        <v>3267</v>
      </c>
      <c r="B9453" s="2" t="s">
        <v>491</v>
      </c>
      <c r="C9453" s="2">
        <v>766.31619999999998</v>
      </c>
      <c r="D9453" s="2">
        <f>HYPERLINK("http://mcb-m6.bioreg.kyushu-u.ac.jp/M3/20110421/F51020/2155/1", 63.09)</f>
        <v>63.09</v>
      </c>
      <c r="E9453" s="2">
        <v>49.16</v>
      </c>
      <c r="F9453" s="2">
        <v>2</v>
      </c>
      <c r="G9453" s="2" t="s">
        <v>11</v>
      </c>
    </row>
    <row r="9454" spans="1:7" x14ac:dyDescent="0.2">
      <c r="A9454" s="2" t="s">
        <v>3267</v>
      </c>
      <c r="B9454" s="2" t="s">
        <v>2952</v>
      </c>
      <c r="C9454" s="2">
        <v>670.63419999999996</v>
      </c>
      <c r="D9454" s="2">
        <f>HYPERLINK("http://mcb-m6.bioreg.kyushu-u.ac.jp/M3/20110421/F51037/1575/1", 65.05)</f>
        <v>65.05</v>
      </c>
      <c r="E9454" s="2">
        <v>45.85</v>
      </c>
      <c r="F9454" s="2">
        <v>2</v>
      </c>
      <c r="G9454" s="2" t="s">
        <v>11</v>
      </c>
    </row>
    <row r="9455" spans="1:7" x14ac:dyDescent="0.2">
      <c r="A9455" s="2" t="s">
        <v>3267</v>
      </c>
      <c r="B9455" s="2" t="s">
        <v>2589</v>
      </c>
      <c r="C9455" s="2">
        <v>680.34220000000005</v>
      </c>
      <c r="D9455" s="2">
        <f>HYPERLINK("http://mcb-m6.bioreg.kyushu-u.ac.jp/M3/20110421/F51039/1721/1", 65.39)</f>
        <v>65.39</v>
      </c>
      <c r="E9455" s="2">
        <v>44.69</v>
      </c>
      <c r="F9455" s="2">
        <v>2</v>
      </c>
      <c r="G9455" s="2" t="s">
        <v>11</v>
      </c>
    </row>
    <row r="9456" spans="1:7" x14ac:dyDescent="0.2">
      <c r="A9456" s="2" t="s">
        <v>3267</v>
      </c>
      <c r="B9456" s="2" t="s">
        <v>491</v>
      </c>
      <c r="C9456" s="2">
        <v>766.84720000000004</v>
      </c>
      <c r="D9456" s="2">
        <f>HYPERLINK("http://mcb-m6.bioreg.kyushu-u.ac.jp/M3/20110421/F51039/2230/1", 67.84)</f>
        <v>67.84</v>
      </c>
      <c r="E9456" s="2">
        <v>53.74</v>
      </c>
      <c r="F9456" s="2">
        <v>2</v>
      </c>
      <c r="G9456" s="2" t="s">
        <v>11</v>
      </c>
    </row>
    <row r="9457" spans="1:7" x14ac:dyDescent="0.2">
      <c r="A9457" s="2" t="s">
        <v>3267</v>
      </c>
      <c r="B9457" s="2" t="s">
        <v>491</v>
      </c>
      <c r="C9457" s="2">
        <v>766.50710000000004</v>
      </c>
      <c r="D9457" s="2">
        <f>HYPERLINK("http://mcb-m6.bioreg.kyushu-u.ac.jp/M3/20110421/F51035/2123/1", 68.83)</f>
        <v>68.83</v>
      </c>
      <c r="E9457" s="2">
        <v>53.99</v>
      </c>
      <c r="F9457" s="2">
        <v>2</v>
      </c>
      <c r="G9457" s="2" t="s">
        <v>11</v>
      </c>
    </row>
    <row r="9458" spans="1:7" x14ac:dyDescent="0.2">
      <c r="A9458" s="2" t="s">
        <v>3267</v>
      </c>
      <c r="B9458" s="2" t="s">
        <v>2071</v>
      </c>
      <c r="C9458" s="2">
        <v>1164.3430000000001</v>
      </c>
      <c r="D9458" s="2">
        <f>HYPERLINK("http://mcb-m6.bioreg.kyushu-u.ac.jp/M3/20110421/F51037/3831/1", 69.71)</f>
        <v>69.709999999999994</v>
      </c>
      <c r="E9458" s="2">
        <v>54.01</v>
      </c>
      <c r="F9458" s="2">
        <v>2</v>
      </c>
      <c r="G9458" s="2" t="s">
        <v>11</v>
      </c>
    </row>
    <row r="9459" spans="1:7" x14ac:dyDescent="0.2">
      <c r="A9459" s="2" t="s">
        <v>3267</v>
      </c>
      <c r="B9459" s="2" t="s">
        <v>602</v>
      </c>
      <c r="C9459" s="2">
        <v>742.84469999999999</v>
      </c>
      <c r="D9459" s="2">
        <f>HYPERLINK("http://mcb-m6.bioreg.kyushu-u.ac.jp/M3/20110421/F51039/2081/1", 70.52)</f>
        <v>70.52</v>
      </c>
      <c r="E9459" s="2">
        <v>59.16</v>
      </c>
      <c r="F9459" s="2">
        <v>2</v>
      </c>
      <c r="G9459" s="2" t="s">
        <v>11</v>
      </c>
    </row>
    <row r="9460" spans="1:7" x14ac:dyDescent="0.2">
      <c r="A9460" s="2" t="s">
        <v>3267</v>
      </c>
      <c r="B9460" s="2" t="s">
        <v>491</v>
      </c>
      <c r="C9460" s="2">
        <v>766.50570000000005</v>
      </c>
      <c r="D9460" s="2">
        <f>HYPERLINK("http://mcb-m6.bioreg.kyushu-u.ac.jp/M3/20110421/F51058/1998/1", 70.87)</f>
        <v>70.87</v>
      </c>
      <c r="E9460" s="2">
        <v>49.51</v>
      </c>
      <c r="F9460" s="2">
        <v>2</v>
      </c>
      <c r="G9460" s="2" t="s">
        <v>11</v>
      </c>
    </row>
    <row r="9461" spans="1:7" x14ac:dyDescent="0.2">
      <c r="A9461" s="2" t="s">
        <v>3267</v>
      </c>
      <c r="B9461" s="2" t="s">
        <v>602</v>
      </c>
      <c r="C9461" s="2">
        <v>742.69420000000002</v>
      </c>
      <c r="D9461" s="2">
        <f>HYPERLINK("http://mcb-m6.bioreg.kyushu-u.ac.jp/M3/20110421/F51034/2055/1", 71.1)</f>
        <v>71.099999999999994</v>
      </c>
      <c r="E9461" s="2">
        <v>60.76</v>
      </c>
      <c r="F9461" s="2">
        <v>2</v>
      </c>
      <c r="G9461" s="2" t="s">
        <v>11</v>
      </c>
    </row>
    <row r="9462" spans="1:7" x14ac:dyDescent="0.2">
      <c r="A9462" s="2" t="s">
        <v>3267</v>
      </c>
      <c r="B9462" s="2" t="s">
        <v>1606</v>
      </c>
      <c r="C9462" s="2">
        <v>862.40369999999996</v>
      </c>
      <c r="D9462" s="2">
        <f>HYPERLINK("http://mcb-m6.bioreg.kyushu-u.ac.jp/M3/20110421/F51037/2752/1", 71.24)</f>
        <v>71.239999999999995</v>
      </c>
      <c r="E9462" s="2">
        <v>62.27</v>
      </c>
      <c r="F9462" s="2">
        <v>2</v>
      </c>
      <c r="G9462" s="2" t="s">
        <v>11</v>
      </c>
    </row>
    <row r="9463" spans="1:7" x14ac:dyDescent="0.2">
      <c r="A9463" s="2" t="s">
        <v>3267</v>
      </c>
      <c r="B9463" s="2" t="s">
        <v>491</v>
      </c>
      <c r="C9463" s="2">
        <v>766.44209999999998</v>
      </c>
      <c r="D9463" s="2">
        <f>HYPERLINK("http://mcb-m6.bioreg.kyushu-u.ac.jp/M3/20110421/F51042/2056/1", 72.63)</f>
        <v>72.63</v>
      </c>
      <c r="E9463" s="2">
        <v>57.38</v>
      </c>
      <c r="F9463" s="2">
        <v>2</v>
      </c>
      <c r="G9463" s="2" t="s">
        <v>11</v>
      </c>
    </row>
    <row r="9464" spans="1:7" x14ac:dyDescent="0.2">
      <c r="A9464" s="2" t="s">
        <v>3267</v>
      </c>
      <c r="B9464" s="2" t="s">
        <v>2952</v>
      </c>
      <c r="C9464" s="2">
        <v>671.21619999999996</v>
      </c>
      <c r="D9464" s="2">
        <f>HYPERLINK("http://mcb-m6.bioreg.kyushu-u.ac.jp/M3/20110421/F51039/1664/1", 73.53)</f>
        <v>73.53</v>
      </c>
      <c r="E9464" s="2">
        <v>57.23</v>
      </c>
      <c r="F9464" s="2">
        <v>2</v>
      </c>
      <c r="G9464" s="2" t="s">
        <v>11</v>
      </c>
    </row>
    <row r="9465" spans="1:7" x14ac:dyDescent="0.2">
      <c r="A9465" s="2" t="s">
        <v>3267</v>
      </c>
      <c r="B9465" s="2" t="s">
        <v>491</v>
      </c>
      <c r="C9465" s="2">
        <v>1531.558</v>
      </c>
      <c r="D9465" s="2">
        <f>HYPERLINK("http://mcb-m6.bioreg.kyushu-u.ac.jp/M3/20110421/F51039/2216/1", 74.77)</f>
        <v>74.77</v>
      </c>
      <c r="E9465" s="2">
        <v>60.78</v>
      </c>
      <c r="F9465" s="2">
        <v>1</v>
      </c>
      <c r="G9465" s="2" t="s">
        <v>11</v>
      </c>
    </row>
    <row r="9466" spans="1:7" x14ac:dyDescent="0.2">
      <c r="A9466" s="2" t="s">
        <v>3267</v>
      </c>
      <c r="B9466" s="2" t="s">
        <v>491</v>
      </c>
      <c r="C9466" s="2">
        <v>766.35220000000004</v>
      </c>
      <c r="D9466" s="2">
        <f>HYPERLINK("http://mcb-m6.bioreg.kyushu-u.ac.jp/M3/20110421/F51037/2187/1", 74.85)</f>
        <v>74.849999999999994</v>
      </c>
      <c r="E9466" s="2">
        <v>52.61</v>
      </c>
      <c r="F9466" s="2">
        <v>2</v>
      </c>
      <c r="G9466" s="2" t="s">
        <v>11</v>
      </c>
    </row>
    <row r="9467" spans="1:7" x14ac:dyDescent="0.2">
      <c r="A9467" s="2" t="s">
        <v>3267</v>
      </c>
      <c r="B9467" s="2" t="s">
        <v>97</v>
      </c>
      <c r="C9467" s="2">
        <v>668.87869999999998</v>
      </c>
      <c r="D9467" s="2">
        <f>HYPERLINK("http://mcb-m6.bioreg.kyushu-u.ac.jp/M3/20110421/F51039/1646/1", 75.89)</f>
        <v>75.89</v>
      </c>
      <c r="E9467" s="2">
        <v>55.47</v>
      </c>
      <c r="F9467" s="2">
        <v>2</v>
      </c>
      <c r="G9467" s="2" t="s">
        <v>11</v>
      </c>
    </row>
    <row r="9468" spans="1:7" x14ac:dyDescent="0.2">
      <c r="A9468" s="2" t="s">
        <v>3267</v>
      </c>
      <c r="B9468" s="2" t="s">
        <v>491</v>
      </c>
      <c r="C9468" s="2">
        <v>766.66359999999997</v>
      </c>
      <c r="D9468" s="2">
        <f>HYPERLINK("http://mcb-m6.bioreg.kyushu-u.ac.jp/M3/20110421/F51039/2228/1", 77.66)</f>
        <v>77.66</v>
      </c>
      <c r="E9468" s="2">
        <v>62.99</v>
      </c>
      <c r="F9468" s="2">
        <v>2</v>
      </c>
      <c r="G9468" s="2" t="s">
        <v>11</v>
      </c>
    </row>
    <row r="9469" spans="1:7" x14ac:dyDescent="0.2">
      <c r="A9469" s="2" t="s">
        <v>3267</v>
      </c>
      <c r="B9469" s="2" t="s">
        <v>1923</v>
      </c>
      <c r="C9469" s="2">
        <v>544.81370000000004</v>
      </c>
      <c r="D9469" s="2">
        <f>HYPERLINK("http://mcb-m6.bioreg.kyushu-u.ac.jp/M3/20110421/F51039/1152/1", 77.68)</f>
        <v>77.680000000000007</v>
      </c>
      <c r="E9469" s="2">
        <v>42.58</v>
      </c>
      <c r="F9469" s="2">
        <v>2</v>
      </c>
      <c r="G9469" s="2" t="s">
        <v>11</v>
      </c>
    </row>
    <row r="9470" spans="1:7" x14ac:dyDescent="0.2">
      <c r="A9470" s="2" t="s">
        <v>3267</v>
      </c>
      <c r="B9470" s="2" t="s">
        <v>491</v>
      </c>
      <c r="C9470" s="2">
        <v>766.39009999999996</v>
      </c>
      <c r="D9470" s="2">
        <f>HYPERLINK("http://mcb-m6.bioreg.kyushu-u.ac.jp/M3/20110421/F51040/2187/1", 78.44)</f>
        <v>78.44</v>
      </c>
      <c r="E9470" s="2">
        <v>61.47</v>
      </c>
      <c r="F9470" s="2">
        <v>2</v>
      </c>
      <c r="G9470" s="2" t="s">
        <v>11</v>
      </c>
    </row>
    <row r="9471" spans="1:7" x14ac:dyDescent="0.2">
      <c r="A9471" s="2" t="s">
        <v>3267</v>
      </c>
      <c r="B9471" s="2" t="s">
        <v>491</v>
      </c>
      <c r="C9471" s="2">
        <v>766.60720000000003</v>
      </c>
      <c r="D9471" s="2">
        <f>HYPERLINK("http://mcb-m6.bioreg.kyushu-u.ac.jp/M3/20110421/F51039/2227/1", 79.28)</f>
        <v>79.28</v>
      </c>
      <c r="E9471" s="2">
        <v>66.14</v>
      </c>
      <c r="F9471" s="2">
        <v>2</v>
      </c>
      <c r="G9471" s="2" t="s">
        <v>11</v>
      </c>
    </row>
    <row r="9472" spans="1:7" x14ac:dyDescent="0.2">
      <c r="A9472" s="2" t="s">
        <v>3267</v>
      </c>
      <c r="B9472" s="2" t="s">
        <v>2952</v>
      </c>
      <c r="C9472" s="2">
        <v>670.63919999999996</v>
      </c>
      <c r="D9472" s="2">
        <f>HYPERLINK("http://mcb-m6.bioreg.kyushu-u.ac.jp/M3/20110421/F51039/1660/1", 80.04)</f>
        <v>80.040000000000006</v>
      </c>
      <c r="E9472" s="2">
        <v>65.53</v>
      </c>
      <c r="F9472" s="2">
        <v>2</v>
      </c>
      <c r="G9472" s="2" t="s">
        <v>11</v>
      </c>
    </row>
    <row r="9473" spans="1:9" x14ac:dyDescent="0.2">
      <c r="A9473" s="2" t="s">
        <v>3267</v>
      </c>
      <c r="B9473" s="2" t="s">
        <v>491</v>
      </c>
      <c r="C9473" s="2">
        <v>766.3682</v>
      </c>
      <c r="D9473" s="2">
        <f>HYPERLINK("http://mcb-m6.bioreg.kyushu-u.ac.jp/M3/20110421/F51039/2219/1", 80.74)</f>
        <v>80.739999999999995</v>
      </c>
      <c r="E9473" s="2">
        <v>67.41</v>
      </c>
      <c r="F9473" s="2">
        <v>2</v>
      </c>
      <c r="G9473" s="2" t="s">
        <v>11</v>
      </c>
    </row>
    <row r="9474" spans="1:9" x14ac:dyDescent="0.2">
      <c r="A9474" s="2" t="s">
        <v>3267</v>
      </c>
      <c r="B9474" s="2" t="s">
        <v>1606</v>
      </c>
      <c r="C9474" s="2">
        <v>862.80870000000004</v>
      </c>
      <c r="D9474" s="2">
        <f>HYPERLINK("http://mcb-m6.bioreg.kyushu-u.ac.jp/M3/20110421/F51039/2697/1", 80.97)</f>
        <v>80.97</v>
      </c>
      <c r="E9474" s="2">
        <v>69.23</v>
      </c>
      <c r="F9474" s="2">
        <v>2</v>
      </c>
      <c r="G9474" s="2" t="s">
        <v>11</v>
      </c>
    </row>
    <row r="9475" spans="1:9" x14ac:dyDescent="0.2">
      <c r="A9475" s="2" t="s">
        <v>3267</v>
      </c>
      <c r="B9475" s="2" t="s">
        <v>1640</v>
      </c>
      <c r="C9475" s="2">
        <v>863.99159999999995</v>
      </c>
      <c r="D9475" s="2">
        <f>HYPERLINK("http://mcb-m6.bioreg.kyushu-u.ac.jp/M3/20110421/F51039/2704/1", 81.1)</f>
        <v>81.099999999999994</v>
      </c>
      <c r="E9475" s="2">
        <v>63.88</v>
      </c>
      <c r="F9475" s="2">
        <v>2</v>
      </c>
      <c r="G9475" s="2" t="s">
        <v>11</v>
      </c>
    </row>
    <row r="9476" spans="1:9" x14ac:dyDescent="0.2">
      <c r="A9476" s="2" t="s">
        <v>3267</v>
      </c>
      <c r="B9476" s="2" t="s">
        <v>1353</v>
      </c>
      <c r="C9476" s="2">
        <v>825.42819999999995</v>
      </c>
      <c r="D9476" s="2">
        <f>HYPERLINK("http://mcb-m6.bioreg.kyushu-u.ac.jp/M3/20110421/F51040/2476/1", 81.22)</f>
        <v>81.22</v>
      </c>
      <c r="E9476" s="2">
        <v>64.02</v>
      </c>
      <c r="F9476" s="2">
        <v>2</v>
      </c>
      <c r="G9476" s="2" t="s">
        <v>11</v>
      </c>
    </row>
    <row r="9477" spans="1:9" x14ac:dyDescent="0.2">
      <c r="A9477" s="2" t="s">
        <v>3267</v>
      </c>
      <c r="B9477" s="2" t="s">
        <v>2071</v>
      </c>
      <c r="C9477" s="2">
        <v>1164.2850000000001</v>
      </c>
      <c r="D9477" s="2">
        <f>HYPERLINK("http://mcb-m6.bioreg.kyushu-u.ac.jp/M3/20110421/F51039/3540/1", 87.42)</f>
        <v>87.42</v>
      </c>
      <c r="E9477" s="2">
        <v>72.92</v>
      </c>
      <c r="F9477" s="2">
        <v>2</v>
      </c>
      <c r="G9477" s="2" t="s">
        <v>11</v>
      </c>
    </row>
    <row r="9478" spans="1:9" x14ac:dyDescent="0.2">
      <c r="A9478" s="2" t="s">
        <v>3267</v>
      </c>
      <c r="B9478" s="2" t="s">
        <v>491</v>
      </c>
      <c r="C9478" s="2">
        <v>766.75819999999999</v>
      </c>
      <c r="D9478" s="2">
        <f>HYPERLINK("http://mcb-m6.bioreg.kyushu-u.ac.jp/M3/20110421/F51034/2192/1", 88.56)</f>
        <v>88.56</v>
      </c>
      <c r="E9478" s="2">
        <v>67.510000000000005</v>
      </c>
      <c r="F9478" s="2">
        <v>2</v>
      </c>
      <c r="G9478" s="2" t="s">
        <v>11</v>
      </c>
    </row>
    <row r="9479" spans="1:9" x14ac:dyDescent="0.2">
      <c r="A9479" s="2" t="s">
        <v>3267</v>
      </c>
      <c r="B9479" s="2" t="s">
        <v>1606</v>
      </c>
      <c r="C9479" s="2">
        <v>862.29909999999995</v>
      </c>
      <c r="D9479" s="2">
        <f>HYPERLINK("http://mcb-m6.bioreg.kyushu-u.ac.jp/M3/20110421/F51039/2690/1", 89.58)</f>
        <v>89.58</v>
      </c>
      <c r="E9479" s="2">
        <v>75.19</v>
      </c>
      <c r="F9479" s="2">
        <v>2</v>
      </c>
      <c r="G9479" s="2" t="s">
        <v>11</v>
      </c>
    </row>
    <row r="9480" spans="1:9" x14ac:dyDescent="0.2">
      <c r="A9480" s="2" t="s">
        <v>3267</v>
      </c>
      <c r="B9480" s="2" t="s">
        <v>2506</v>
      </c>
      <c r="C9480" s="2">
        <v>1045.204</v>
      </c>
      <c r="D9480" s="2">
        <f>HYPERLINK("http://mcb-m6.bioreg.kyushu-u.ac.jp/M3/20110421/F51040/3123/1", 93.04)</f>
        <v>93.04</v>
      </c>
      <c r="E9480" s="2">
        <v>75.63</v>
      </c>
      <c r="F9480" s="2">
        <v>2</v>
      </c>
      <c r="G9480" s="2" t="s">
        <v>11</v>
      </c>
      <c r="I9480" s="2" t="s">
        <v>4966</v>
      </c>
    </row>
    <row r="9481" spans="1:9" x14ac:dyDescent="0.2">
      <c r="A9481" s="2" t="s">
        <v>3267</v>
      </c>
      <c r="B9481" s="2" t="s">
        <v>1606</v>
      </c>
      <c r="C9481" s="2">
        <v>862.33320000000003</v>
      </c>
      <c r="D9481" s="2">
        <f>HYPERLINK("http://mcb-m6.bioreg.kyushu-u.ac.jp/M3/20110421/F51039/2692/1", 97.09)</f>
        <v>97.09</v>
      </c>
      <c r="E9481" s="2">
        <v>89.01</v>
      </c>
      <c r="F9481" s="2">
        <v>2</v>
      </c>
      <c r="G9481" s="2" t="s">
        <v>11</v>
      </c>
    </row>
    <row r="9482" spans="1:9" x14ac:dyDescent="0.2">
      <c r="A9482" s="2" t="s">
        <v>3267</v>
      </c>
      <c r="B9482" s="2" t="s">
        <v>602</v>
      </c>
      <c r="C9482" s="2">
        <v>742.28560000000004</v>
      </c>
      <c r="D9482" s="2">
        <f>HYPERLINK("http://mcb-m6.bioreg.kyushu-u.ac.jp/M3/20110421/F51039/2072/1", 100.48)</f>
        <v>100.48</v>
      </c>
      <c r="E9482" s="2">
        <v>83.71</v>
      </c>
      <c r="F9482" s="2">
        <v>2</v>
      </c>
      <c r="G9482" s="2" t="s">
        <v>11</v>
      </c>
    </row>
    <row r="9483" spans="1:9" x14ac:dyDescent="0.2">
      <c r="A9483" s="2" t="s">
        <v>3267</v>
      </c>
      <c r="B9483" s="2" t="s">
        <v>1606</v>
      </c>
      <c r="C9483" s="2">
        <v>862.34270000000004</v>
      </c>
      <c r="D9483" s="2">
        <f>HYPERLINK("http://mcb-m6.bioreg.kyushu-u.ac.jp/M3/20110421/F51037/2751/1", 103.19)</f>
        <v>103.19</v>
      </c>
      <c r="E9483" s="2">
        <v>90.37</v>
      </c>
      <c r="F9483" s="2">
        <v>2</v>
      </c>
      <c r="G9483" s="2" t="s">
        <v>11</v>
      </c>
    </row>
    <row r="9484" spans="1:9" x14ac:dyDescent="0.2">
      <c r="A9484" s="2" t="s">
        <v>3267</v>
      </c>
      <c r="B9484" s="2" t="s">
        <v>1606</v>
      </c>
      <c r="C9484" s="2">
        <v>862.34220000000005</v>
      </c>
      <c r="D9484" s="2">
        <f>HYPERLINK("http://mcb-m6.bioreg.kyushu-u.ac.jp/M3/20110421/F51039/2693/1", 103.26)</f>
        <v>103.26</v>
      </c>
      <c r="E9484" s="2">
        <v>93.22</v>
      </c>
      <c r="F9484" s="2">
        <v>2</v>
      </c>
      <c r="G9484" s="2" t="s">
        <v>11</v>
      </c>
    </row>
    <row r="9485" spans="1:9" x14ac:dyDescent="0.2">
      <c r="A9485" s="2" t="s">
        <v>3267</v>
      </c>
      <c r="B9485" s="2" t="s">
        <v>602</v>
      </c>
      <c r="C9485" s="2">
        <v>742.79110000000003</v>
      </c>
      <c r="D9485" s="2">
        <f>HYPERLINK("http://mcb-m6.bioreg.kyushu-u.ac.jp/M3/20110421/F51039/2079/1", 110.74)</f>
        <v>110.74</v>
      </c>
      <c r="E9485" s="2">
        <v>100.93</v>
      </c>
      <c r="F9485" s="2">
        <v>2</v>
      </c>
      <c r="G9485" s="2" t="s">
        <v>11</v>
      </c>
    </row>
    <row r="9486" spans="1:9" x14ac:dyDescent="0.2">
      <c r="A9486" s="2" t="s">
        <v>3267</v>
      </c>
      <c r="B9486" s="2" t="s">
        <v>1353</v>
      </c>
      <c r="C9486" s="2">
        <v>825.3732</v>
      </c>
      <c r="D9486" s="2">
        <f>HYPERLINK("http://mcb-m6.bioreg.kyushu-u.ac.jp/M3/20110421/F51037/2558/1", 111.22)</f>
        <v>111.22</v>
      </c>
      <c r="E9486" s="2">
        <v>80.930000000000007</v>
      </c>
      <c r="F9486" s="2">
        <v>2</v>
      </c>
      <c r="G9486" s="2" t="s">
        <v>11</v>
      </c>
    </row>
    <row r="9487" spans="1:9" x14ac:dyDescent="0.2">
      <c r="A9487" s="2" t="s">
        <v>3267</v>
      </c>
      <c r="B9487" s="2" t="s">
        <v>602</v>
      </c>
      <c r="C9487" s="2">
        <v>742.69460000000004</v>
      </c>
      <c r="D9487" s="2">
        <f>HYPERLINK("http://mcb-m6.bioreg.kyushu-u.ac.jp/M3/20110421/F51018/2131/1", 113.94)</f>
        <v>113.94</v>
      </c>
      <c r="E9487" s="2">
        <v>105.37</v>
      </c>
      <c r="F9487" s="2">
        <v>2</v>
      </c>
      <c r="G9487" s="2" t="s">
        <v>11</v>
      </c>
    </row>
    <row r="9488" spans="1:9" x14ac:dyDescent="0.2">
      <c r="A9488" s="2" t="s">
        <v>3267</v>
      </c>
      <c r="B9488" s="2" t="s">
        <v>602</v>
      </c>
      <c r="C9488" s="2">
        <v>742.30719999999997</v>
      </c>
      <c r="D9488" s="2">
        <f>HYPERLINK("http://mcb-m6.bioreg.kyushu-u.ac.jp/M3/20110421/F51037/2024/1", 115.01)</f>
        <v>115.01</v>
      </c>
      <c r="E9488" s="2">
        <v>103.63</v>
      </c>
      <c r="F9488" s="2">
        <v>2</v>
      </c>
      <c r="G9488" s="2" t="s">
        <v>11</v>
      </c>
    </row>
    <row r="9489" spans="1:8" x14ac:dyDescent="0.2">
      <c r="A9489" s="2" t="s">
        <v>3267</v>
      </c>
      <c r="B9489" s="2" t="s">
        <v>602</v>
      </c>
      <c r="C9489" s="2">
        <v>742.57619999999997</v>
      </c>
      <c r="D9489" s="2">
        <f>HYPERLINK("http://mcb-m6.bioreg.kyushu-u.ac.jp/M3/20110421/F51040/2066/1", 124)</f>
        <v>124</v>
      </c>
      <c r="E9489" s="2">
        <v>114.93</v>
      </c>
      <c r="F9489" s="2">
        <v>2</v>
      </c>
      <c r="G9489" s="2" t="s">
        <v>11</v>
      </c>
    </row>
    <row r="9490" spans="1:8" x14ac:dyDescent="0.2">
      <c r="A9490" s="2" t="s">
        <v>3267</v>
      </c>
      <c r="B9490" s="2" t="s">
        <v>1353</v>
      </c>
      <c r="C9490" s="2">
        <v>825.36609999999996</v>
      </c>
      <c r="D9490" s="2">
        <f>HYPERLINK("http://mcb-m6.bioreg.kyushu-u.ac.jp/M3/20110421/F51039/2545/1", 128.64)</f>
        <v>128.63999999999999</v>
      </c>
      <c r="E9490" s="2">
        <v>102.21</v>
      </c>
      <c r="F9490" s="2">
        <v>2</v>
      </c>
      <c r="G9490" s="2" t="s">
        <v>11</v>
      </c>
    </row>
    <row r="9491" spans="1:8" x14ac:dyDescent="0.2">
      <c r="A9491" s="2" t="s">
        <v>3267</v>
      </c>
      <c r="B9491" s="2" t="s">
        <v>147</v>
      </c>
      <c r="C9491" s="2">
        <v>829.49900000000002</v>
      </c>
      <c r="D9491" s="2">
        <f>HYPERLINK("http://mcb-m6.bioreg.kyushu-u.ac.jp/M3/20110421/F51044/573/1", 35.09)</f>
        <v>35.090000000000003</v>
      </c>
      <c r="E9491" s="2">
        <v>16.25</v>
      </c>
      <c r="F9491" s="2">
        <v>1</v>
      </c>
      <c r="G9491" s="2" t="s">
        <v>12</v>
      </c>
    </row>
    <row r="9492" spans="1:8" x14ac:dyDescent="0.2">
      <c r="A9492" s="2" t="s">
        <v>3267</v>
      </c>
      <c r="B9492" s="2" t="s">
        <v>97</v>
      </c>
      <c r="C9492" s="2">
        <v>669.31960000000004</v>
      </c>
      <c r="D9492" s="2">
        <f>HYPERLINK("http://mcb-m6.bioreg.kyushu-u.ac.jp/M3/20110421/F51059/1415/1", 35.29)</f>
        <v>35.29</v>
      </c>
      <c r="E9492" s="2">
        <v>10.37</v>
      </c>
      <c r="F9492" s="2">
        <v>2</v>
      </c>
      <c r="G9492" s="2" t="s">
        <v>12</v>
      </c>
    </row>
    <row r="9493" spans="1:8" x14ac:dyDescent="0.2">
      <c r="A9493" s="2" t="s">
        <v>3267</v>
      </c>
      <c r="B9493" s="2" t="s">
        <v>1353</v>
      </c>
      <c r="C9493" s="2">
        <v>825.48609999999996</v>
      </c>
      <c r="D9493" s="2">
        <f>HYPERLINK("http://mcb-m6.bioreg.kyushu-u.ac.jp/M3/20110421/F51048/2624/1", 35.47)</f>
        <v>35.47</v>
      </c>
      <c r="E9493" s="2">
        <v>27.49</v>
      </c>
      <c r="F9493" s="2">
        <v>2</v>
      </c>
      <c r="G9493" s="2" t="s">
        <v>12</v>
      </c>
    </row>
    <row r="9494" spans="1:8" x14ac:dyDescent="0.2">
      <c r="A9494" s="2" t="s">
        <v>3267</v>
      </c>
      <c r="B9494" s="2" t="s">
        <v>223</v>
      </c>
      <c r="C9494" s="2">
        <v>790.49959999999999</v>
      </c>
      <c r="D9494" s="2">
        <f>HYPERLINK("http://mcb-m6.bioreg.kyushu-u.ac.jp/M3/20110421/F51048/2472/1", 35.77)</f>
        <v>35.770000000000003</v>
      </c>
      <c r="E9494" s="2">
        <v>13.09</v>
      </c>
      <c r="F9494" s="2">
        <v>2</v>
      </c>
      <c r="G9494" s="2" t="s">
        <v>12</v>
      </c>
      <c r="H9494" s="2" t="s">
        <v>4917</v>
      </c>
    </row>
    <row r="9495" spans="1:8" x14ac:dyDescent="0.2">
      <c r="A9495" s="2" t="s">
        <v>3267</v>
      </c>
      <c r="B9495" s="2" t="s">
        <v>568</v>
      </c>
      <c r="C9495" s="2">
        <v>836.47299999999996</v>
      </c>
      <c r="D9495" s="2">
        <f>HYPERLINK("http://mcb-m6.bioreg.kyushu-u.ac.jp/M3/20110421/F51048/761/1", 36.7)</f>
        <v>36.700000000000003</v>
      </c>
      <c r="E9495" s="2">
        <v>11.45</v>
      </c>
      <c r="F9495" s="2">
        <v>1</v>
      </c>
      <c r="G9495" s="2" t="s">
        <v>12</v>
      </c>
    </row>
    <row r="9496" spans="1:8" x14ac:dyDescent="0.2">
      <c r="A9496" s="2" t="s">
        <v>3267</v>
      </c>
      <c r="B9496" s="2" t="s">
        <v>3018</v>
      </c>
      <c r="C9496" s="2">
        <v>520.96259999999995</v>
      </c>
      <c r="D9496" s="2">
        <f>HYPERLINK("http://mcb-m6.bioreg.kyushu-u.ac.jp/M3/20110421/F51048/1221/1", 37.01)</f>
        <v>37.01</v>
      </c>
      <c r="E9496" s="2">
        <v>8.1300000000000008</v>
      </c>
      <c r="F9496" s="2">
        <v>2</v>
      </c>
      <c r="G9496" s="2" t="s">
        <v>12</v>
      </c>
    </row>
    <row r="9497" spans="1:8" x14ac:dyDescent="0.2">
      <c r="A9497" s="2" t="s">
        <v>3267</v>
      </c>
      <c r="B9497" s="2" t="s">
        <v>1526</v>
      </c>
      <c r="C9497" s="2">
        <v>619.98019999999997</v>
      </c>
      <c r="D9497" s="2">
        <f>HYPERLINK("http://mcb-m6.bioreg.kyushu-u.ac.jp/M3/20110421/F51048/1644/1", 37.12)</f>
        <v>37.119999999999997</v>
      </c>
      <c r="E9497" s="2">
        <v>23.66</v>
      </c>
      <c r="F9497" s="2">
        <v>2</v>
      </c>
      <c r="G9497" s="2" t="s">
        <v>12</v>
      </c>
    </row>
    <row r="9498" spans="1:8" x14ac:dyDescent="0.2">
      <c r="A9498" s="2" t="s">
        <v>3267</v>
      </c>
      <c r="B9498" s="2" t="s">
        <v>697</v>
      </c>
      <c r="C9498" s="2">
        <v>733.06960000000004</v>
      </c>
      <c r="D9498" s="2">
        <f>HYPERLINK("http://mcb-m6.bioreg.kyushu-u.ac.jp/M3/20110421/F51043/2034/1", 37.2)</f>
        <v>37.200000000000003</v>
      </c>
      <c r="E9498" s="2">
        <v>11.73</v>
      </c>
      <c r="F9498" s="2">
        <v>2</v>
      </c>
      <c r="G9498" s="2" t="s">
        <v>12</v>
      </c>
    </row>
    <row r="9499" spans="1:8" x14ac:dyDescent="0.2">
      <c r="A9499" s="2" t="s">
        <v>3267</v>
      </c>
      <c r="B9499" s="2" t="s">
        <v>2952</v>
      </c>
      <c r="C9499" s="2">
        <v>670.62819999999999</v>
      </c>
      <c r="D9499" s="2">
        <f>HYPERLINK("http://mcb-m6.bioreg.kyushu-u.ac.jp/M3/20110421/F51045/1836/1", 37.57)</f>
        <v>37.57</v>
      </c>
      <c r="E9499" s="2">
        <v>26.63</v>
      </c>
      <c r="F9499" s="2">
        <v>2</v>
      </c>
      <c r="G9499" s="2" t="s">
        <v>12</v>
      </c>
    </row>
    <row r="9500" spans="1:8" x14ac:dyDescent="0.2">
      <c r="A9500" s="2" t="s">
        <v>3267</v>
      </c>
      <c r="B9500" s="2" t="s">
        <v>97</v>
      </c>
      <c r="C9500" s="2">
        <v>669.2722</v>
      </c>
      <c r="D9500" s="2">
        <f>HYPERLINK("http://mcb-m6.bioreg.kyushu-u.ac.jp/M3/20110421/F51023/1781/1", 39.16)</f>
        <v>39.159999999999997</v>
      </c>
      <c r="E9500" s="2">
        <v>21.84</v>
      </c>
      <c r="F9500" s="2">
        <v>2</v>
      </c>
      <c r="G9500" s="2" t="s">
        <v>12</v>
      </c>
    </row>
    <row r="9501" spans="1:8" x14ac:dyDescent="0.2">
      <c r="A9501" s="2" t="s">
        <v>3267</v>
      </c>
      <c r="B9501" s="2" t="s">
        <v>433</v>
      </c>
      <c r="C9501" s="2">
        <v>546.57090000000005</v>
      </c>
      <c r="D9501" s="2">
        <f>HYPERLINK("http://mcb-m6.bioreg.kyushu-u.ac.jp/M3/20110421/F51048/2581/1", 39.79)</f>
        <v>39.79</v>
      </c>
      <c r="E9501" s="2">
        <v>18.600000000000001</v>
      </c>
      <c r="F9501" s="2">
        <v>3</v>
      </c>
      <c r="G9501" s="2" t="s">
        <v>12</v>
      </c>
    </row>
    <row r="9502" spans="1:8" x14ac:dyDescent="0.2">
      <c r="A9502" s="2" t="s">
        <v>3267</v>
      </c>
      <c r="B9502" s="2" t="s">
        <v>602</v>
      </c>
      <c r="C9502" s="2">
        <v>742.6277</v>
      </c>
      <c r="D9502" s="2">
        <f>HYPERLINK("http://mcb-m6.bioreg.kyushu-u.ac.jp/M3/20110421/F51048/2204/1", 41.12)</f>
        <v>41.12</v>
      </c>
      <c r="E9502" s="2">
        <v>31.74</v>
      </c>
      <c r="F9502" s="2">
        <v>2</v>
      </c>
      <c r="G9502" s="2" t="s">
        <v>12</v>
      </c>
    </row>
    <row r="9503" spans="1:8" x14ac:dyDescent="0.2">
      <c r="A9503" s="2" t="s">
        <v>3267</v>
      </c>
      <c r="B9503" s="2" t="s">
        <v>433</v>
      </c>
      <c r="C9503" s="2">
        <v>819.63210000000004</v>
      </c>
      <c r="D9503" s="2">
        <f>HYPERLINK("http://mcb-m6.bioreg.kyushu-u.ac.jp/M3/20110421/F51048/2584/1", 41.98)</f>
        <v>41.98</v>
      </c>
      <c r="E9503" s="2">
        <v>25.69</v>
      </c>
      <c r="F9503" s="2">
        <v>2</v>
      </c>
      <c r="G9503" s="2" t="s">
        <v>12</v>
      </c>
    </row>
    <row r="9504" spans="1:8" x14ac:dyDescent="0.2">
      <c r="A9504" s="2" t="s">
        <v>3267</v>
      </c>
      <c r="B9504" s="2" t="s">
        <v>97</v>
      </c>
      <c r="C9504" s="2">
        <v>669.31820000000005</v>
      </c>
      <c r="D9504" s="2">
        <f>HYPERLINK("http://mcb-m6.bioreg.kyushu-u.ac.jp/M3/20110421/F51048/1776/1", 42.56)</f>
        <v>42.56</v>
      </c>
      <c r="E9504" s="2">
        <v>18.12</v>
      </c>
      <c r="F9504" s="2">
        <v>2</v>
      </c>
      <c r="G9504" s="2" t="s">
        <v>12</v>
      </c>
    </row>
    <row r="9505" spans="1:8" x14ac:dyDescent="0.2">
      <c r="A9505" s="2" t="s">
        <v>3267</v>
      </c>
      <c r="B9505" s="2" t="s">
        <v>97</v>
      </c>
      <c r="C9505" s="2">
        <v>668.80909999999994</v>
      </c>
      <c r="D9505" s="2">
        <f>HYPERLINK("http://mcb-m6.bioreg.kyushu-u.ac.jp/M3/20110421/F51050/1765/1", 43.69)</f>
        <v>43.69</v>
      </c>
      <c r="E9505" s="2">
        <v>20.350000000000001</v>
      </c>
      <c r="F9505" s="2">
        <v>2</v>
      </c>
      <c r="G9505" s="2" t="s">
        <v>12</v>
      </c>
    </row>
    <row r="9506" spans="1:8" x14ac:dyDescent="0.2">
      <c r="A9506" s="2" t="s">
        <v>3267</v>
      </c>
      <c r="B9506" s="2" t="s">
        <v>47</v>
      </c>
      <c r="C9506" s="2">
        <v>548.92859999999996</v>
      </c>
      <c r="D9506" s="2">
        <f>HYPERLINK("http://mcb-m6.bioreg.kyushu-u.ac.jp/M3/20110421/F51048/1353/1", 44.31)</f>
        <v>44.31</v>
      </c>
      <c r="E9506" s="2">
        <v>18.02</v>
      </c>
      <c r="F9506" s="2">
        <v>2</v>
      </c>
      <c r="G9506" s="2" t="s">
        <v>12</v>
      </c>
      <c r="H9506" s="2" t="s">
        <v>4904</v>
      </c>
    </row>
    <row r="9507" spans="1:8" x14ac:dyDescent="0.2">
      <c r="A9507" s="2" t="s">
        <v>3267</v>
      </c>
      <c r="B9507" s="2" t="s">
        <v>97</v>
      </c>
      <c r="C9507" s="2">
        <v>669.29719999999998</v>
      </c>
      <c r="D9507" s="2">
        <f>HYPERLINK("http://mcb-m6.bioreg.kyushu-u.ac.jp/M3/20110421/F51021/1621/1", 46)</f>
        <v>46</v>
      </c>
      <c r="E9507" s="2">
        <v>22.74</v>
      </c>
      <c r="F9507" s="2">
        <v>2</v>
      </c>
      <c r="G9507" s="2" t="s">
        <v>12</v>
      </c>
    </row>
    <row r="9508" spans="1:8" x14ac:dyDescent="0.2">
      <c r="A9508" s="2" t="s">
        <v>3267</v>
      </c>
      <c r="B9508" s="2" t="s">
        <v>47</v>
      </c>
      <c r="C9508" s="2">
        <v>548.87519999999995</v>
      </c>
      <c r="D9508" s="2">
        <f>HYPERLINK("http://mcb-m6.bioreg.kyushu-u.ac.jp/M3/20110421/F51044/1111/1", 46.67)</f>
        <v>46.67</v>
      </c>
      <c r="E9508" s="2">
        <v>23.68</v>
      </c>
      <c r="F9508" s="2">
        <v>2</v>
      </c>
      <c r="G9508" s="2" t="s">
        <v>12</v>
      </c>
      <c r="H9508" s="2" t="s">
        <v>4904</v>
      </c>
    </row>
    <row r="9509" spans="1:8" x14ac:dyDescent="0.2">
      <c r="A9509" s="2" t="s">
        <v>3267</v>
      </c>
      <c r="B9509" s="2" t="s">
        <v>697</v>
      </c>
      <c r="C9509" s="2">
        <v>733.03769999999997</v>
      </c>
      <c r="D9509" s="2">
        <f>HYPERLINK("http://mcb-m6.bioreg.kyushu-u.ac.jp/M3/20110421/F51048/2148/1", 47.03)</f>
        <v>47.03</v>
      </c>
      <c r="E9509" s="2">
        <v>25.69</v>
      </c>
      <c r="F9509" s="2">
        <v>2</v>
      </c>
      <c r="G9509" s="2" t="s">
        <v>12</v>
      </c>
    </row>
    <row r="9510" spans="1:8" x14ac:dyDescent="0.2">
      <c r="A9510" s="2" t="s">
        <v>3267</v>
      </c>
      <c r="B9510" s="2" t="s">
        <v>433</v>
      </c>
      <c r="C9510" s="2">
        <v>546.90480000000002</v>
      </c>
      <c r="D9510" s="2">
        <f>HYPERLINK("http://mcb-m6.bioreg.kyushu-u.ac.jp/M3/20110421/F51048/2588/1", 47.31)</f>
        <v>47.31</v>
      </c>
      <c r="E9510" s="2">
        <v>25.35</v>
      </c>
      <c r="F9510" s="2">
        <v>3</v>
      </c>
      <c r="G9510" s="2" t="s">
        <v>12</v>
      </c>
    </row>
    <row r="9511" spans="1:8" x14ac:dyDescent="0.2">
      <c r="A9511" s="2" t="s">
        <v>3267</v>
      </c>
      <c r="B9511" s="2" t="s">
        <v>47</v>
      </c>
      <c r="C9511" s="2">
        <v>548.95259999999996</v>
      </c>
      <c r="D9511" s="2">
        <f>HYPERLINK("http://mcb-m6.bioreg.kyushu-u.ac.jp/M3/20110421/F51048/1354/1", 47.4)</f>
        <v>47.4</v>
      </c>
      <c r="E9511" s="2">
        <v>21.36</v>
      </c>
      <c r="F9511" s="2">
        <v>2</v>
      </c>
      <c r="G9511" s="2" t="s">
        <v>12</v>
      </c>
      <c r="H9511" s="2" t="s">
        <v>4904</v>
      </c>
    </row>
    <row r="9512" spans="1:8" x14ac:dyDescent="0.2">
      <c r="A9512" s="2" t="s">
        <v>3267</v>
      </c>
      <c r="B9512" s="2" t="s">
        <v>97</v>
      </c>
      <c r="C9512" s="2">
        <v>668.8732</v>
      </c>
      <c r="D9512" s="2">
        <f>HYPERLINK("http://mcb-m6.bioreg.kyushu-u.ac.jp/M3/20110421/F51048/1773/1", 48.64)</f>
        <v>48.64</v>
      </c>
      <c r="E9512" s="2">
        <v>28.87</v>
      </c>
      <c r="F9512" s="2">
        <v>2</v>
      </c>
      <c r="G9512" s="2" t="s">
        <v>12</v>
      </c>
    </row>
    <row r="9513" spans="1:8" x14ac:dyDescent="0.2">
      <c r="A9513" s="2" t="s">
        <v>3267</v>
      </c>
      <c r="B9513" s="2" t="s">
        <v>97</v>
      </c>
      <c r="C9513" s="2">
        <v>669.38170000000002</v>
      </c>
      <c r="D9513" s="2">
        <f>HYPERLINK("http://mcb-m6.bioreg.kyushu-u.ac.jp/M3/20110421/F51048/1777/1", 49.27)</f>
        <v>49.27</v>
      </c>
      <c r="E9513" s="2">
        <v>29.8</v>
      </c>
      <c r="F9513" s="2">
        <v>2</v>
      </c>
      <c r="G9513" s="2" t="s">
        <v>12</v>
      </c>
    </row>
    <row r="9514" spans="1:8" x14ac:dyDescent="0.2">
      <c r="A9514" s="2" t="s">
        <v>3267</v>
      </c>
      <c r="B9514" s="2" t="s">
        <v>433</v>
      </c>
      <c r="C9514" s="2">
        <v>819.52260000000001</v>
      </c>
      <c r="D9514" s="2">
        <f>HYPERLINK("http://mcb-m6.bioreg.kyushu-u.ac.jp/M3/20110421/F51048/2583/1", 49.32)</f>
        <v>49.32</v>
      </c>
      <c r="E9514" s="2">
        <v>37</v>
      </c>
      <c r="F9514" s="2">
        <v>2</v>
      </c>
      <c r="G9514" s="2" t="s">
        <v>12</v>
      </c>
    </row>
    <row r="9515" spans="1:8" x14ac:dyDescent="0.2">
      <c r="A9515" s="2" t="s">
        <v>3267</v>
      </c>
      <c r="B9515" s="2" t="s">
        <v>697</v>
      </c>
      <c r="C9515" s="2">
        <v>732.91359999999997</v>
      </c>
      <c r="D9515" s="2">
        <f>HYPERLINK("http://mcb-m6.bioreg.kyushu-u.ac.jp/M3/20110421/F51048/2146/1", 50.52)</f>
        <v>50.52</v>
      </c>
      <c r="E9515" s="2">
        <v>26.34</v>
      </c>
      <c r="F9515" s="2">
        <v>2</v>
      </c>
      <c r="G9515" s="2" t="s">
        <v>12</v>
      </c>
    </row>
    <row r="9516" spans="1:8" x14ac:dyDescent="0.2">
      <c r="A9516" s="2" t="s">
        <v>3267</v>
      </c>
      <c r="B9516" s="2" t="s">
        <v>1606</v>
      </c>
      <c r="C9516" s="2">
        <v>575.40809999999999</v>
      </c>
      <c r="D9516" s="2">
        <f>HYPERLINK("http://mcb-m6.bioreg.kyushu-u.ac.jp/M3/20110421/F51048/2751/1", 51.45)</f>
        <v>51.45</v>
      </c>
      <c r="E9516" s="2">
        <v>32.130000000000003</v>
      </c>
      <c r="F9516" s="2">
        <v>3</v>
      </c>
      <c r="G9516" s="2" t="s">
        <v>12</v>
      </c>
    </row>
    <row r="9517" spans="1:8" x14ac:dyDescent="0.2">
      <c r="A9517" s="2" t="s">
        <v>3267</v>
      </c>
      <c r="B9517" s="2" t="s">
        <v>491</v>
      </c>
      <c r="C9517" s="2">
        <v>766.04610000000002</v>
      </c>
      <c r="D9517" s="2">
        <f>HYPERLINK("http://mcb-m6.bioreg.kyushu-u.ac.jp/M3/20110421/F51048/2341/1", 51.81)</f>
        <v>51.81</v>
      </c>
      <c r="E9517" s="2">
        <v>30.32</v>
      </c>
      <c r="F9517" s="2">
        <v>2</v>
      </c>
      <c r="G9517" s="2" t="s">
        <v>12</v>
      </c>
    </row>
    <row r="9518" spans="1:8" x14ac:dyDescent="0.2">
      <c r="A9518" s="2" t="s">
        <v>3267</v>
      </c>
      <c r="B9518" s="2" t="s">
        <v>697</v>
      </c>
      <c r="C9518" s="2">
        <v>732.97170000000006</v>
      </c>
      <c r="D9518" s="2">
        <f>HYPERLINK("http://mcb-m6.bioreg.kyushu-u.ac.jp/M3/20110421/F51047/2103/1", 52.01)</f>
        <v>52.01</v>
      </c>
      <c r="E9518" s="2">
        <v>22.06</v>
      </c>
      <c r="F9518" s="2">
        <v>2</v>
      </c>
      <c r="G9518" s="2" t="s">
        <v>12</v>
      </c>
    </row>
    <row r="9519" spans="1:8" x14ac:dyDescent="0.2">
      <c r="A9519" s="2" t="s">
        <v>3267</v>
      </c>
      <c r="B9519" s="2" t="s">
        <v>433</v>
      </c>
      <c r="C9519" s="2">
        <v>819.49469999999997</v>
      </c>
      <c r="D9519" s="2">
        <f>HYPERLINK("http://mcb-m6.bioreg.kyushu-u.ac.jp/M3/20110421/F51048/2582/1", 52.44)</f>
        <v>52.44</v>
      </c>
      <c r="E9519" s="2">
        <v>42.88</v>
      </c>
      <c r="F9519" s="2">
        <v>2</v>
      </c>
      <c r="G9519" s="2" t="s">
        <v>12</v>
      </c>
    </row>
    <row r="9520" spans="1:8" x14ac:dyDescent="0.2">
      <c r="A9520" s="2" t="s">
        <v>3267</v>
      </c>
      <c r="B9520" s="2" t="s">
        <v>433</v>
      </c>
      <c r="C9520" s="2">
        <v>819.78769999999997</v>
      </c>
      <c r="D9520" s="2">
        <f>HYPERLINK("http://mcb-m6.bioreg.kyushu-u.ac.jp/M3/20110421/F51048/2587/1", 53.61)</f>
        <v>53.61</v>
      </c>
      <c r="E9520" s="2">
        <v>43.47</v>
      </c>
      <c r="F9520" s="2">
        <v>2</v>
      </c>
      <c r="G9520" s="2" t="s">
        <v>12</v>
      </c>
    </row>
    <row r="9521" spans="1:7" x14ac:dyDescent="0.2">
      <c r="A9521" s="2" t="s">
        <v>3267</v>
      </c>
      <c r="B9521" s="2" t="s">
        <v>1606</v>
      </c>
      <c r="C9521" s="2">
        <v>862.97360000000003</v>
      </c>
      <c r="D9521" s="2">
        <f>HYPERLINK("http://mcb-m6.bioreg.kyushu-u.ac.jp/M3/20110421/F51043/2600/1", 57.94)</f>
        <v>57.94</v>
      </c>
      <c r="E9521" s="2">
        <v>46.13</v>
      </c>
      <c r="F9521" s="2">
        <v>2</v>
      </c>
      <c r="G9521" s="2" t="s">
        <v>12</v>
      </c>
    </row>
    <row r="9522" spans="1:7" x14ac:dyDescent="0.2">
      <c r="A9522" s="2" t="s">
        <v>3267</v>
      </c>
      <c r="B9522" s="2" t="s">
        <v>491</v>
      </c>
      <c r="C9522" s="2">
        <v>766.89369999999997</v>
      </c>
      <c r="D9522" s="2">
        <f>HYPERLINK("http://mcb-m6.bioreg.kyushu-u.ac.jp/M3/20110421/F51048/2351/1", 58.3)</f>
        <v>58.3</v>
      </c>
      <c r="E9522" s="2">
        <v>30.99</v>
      </c>
      <c r="F9522" s="2">
        <v>2</v>
      </c>
      <c r="G9522" s="2" t="s">
        <v>12</v>
      </c>
    </row>
    <row r="9523" spans="1:7" x14ac:dyDescent="0.2">
      <c r="A9523" s="2" t="s">
        <v>3267</v>
      </c>
      <c r="B9523" s="2" t="s">
        <v>491</v>
      </c>
      <c r="C9523" s="2">
        <v>766.50570000000005</v>
      </c>
      <c r="D9523" s="2">
        <f>HYPERLINK("http://mcb-m6.bioreg.kyushu-u.ac.jp/M3/20110421/F51048/2347/1", 59.25)</f>
        <v>59.25</v>
      </c>
      <c r="E9523" s="2">
        <v>33.83</v>
      </c>
      <c r="F9523" s="2">
        <v>2</v>
      </c>
      <c r="G9523" s="2" t="s">
        <v>12</v>
      </c>
    </row>
    <row r="9524" spans="1:7" x14ac:dyDescent="0.2">
      <c r="A9524" s="2" t="s">
        <v>3267</v>
      </c>
      <c r="B9524" s="2" t="s">
        <v>491</v>
      </c>
      <c r="C9524" s="2">
        <v>766.48360000000002</v>
      </c>
      <c r="D9524" s="2">
        <f>HYPERLINK("http://mcb-m6.bioreg.kyushu-u.ac.jp/M3/20110421/F51048/2346/1", 61.19)</f>
        <v>61.19</v>
      </c>
      <c r="E9524" s="2">
        <v>39.049999999999997</v>
      </c>
      <c r="F9524" s="2">
        <v>2</v>
      </c>
      <c r="G9524" s="2" t="s">
        <v>12</v>
      </c>
    </row>
    <row r="9525" spans="1:7" x14ac:dyDescent="0.2">
      <c r="A9525" s="2" t="s">
        <v>3267</v>
      </c>
      <c r="B9525" s="2" t="s">
        <v>697</v>
      </c>
      <c r="C9525" s="2">
        <v>732.93769999999995</v>
      </c>
      <c r="D9525" s="2">
        <f>HYPERLINK("http://mcb-m6.bioreg.kyushu-u.ac.jp/M3/20110421/F51050/2113/1", 61.48)</f>
        <v>61.48</v>
      </c>
      <c r="E9525" s="2">
        <v>38.46</v>
      </c>
      <c r="F9525" s="2">
        <v>2</v>
      </c>
      <c r="G9525" s="2" t="s">
        <v>12</v>
      </c>
    </row>
    <row r="9526" spans="1:7" x14ac:dyDescent="0.2">
      <c r="A9526" s="2" t="s">
        <v>3267</v>
      </c>
      <c r="B9526" s="2" t="s">
        <v>602</v>
      </c>
      <c r="C9526" s="2">
        <v>742.61069999999995</v>
      </c>
      <c r="D9526" s="2">
        <f>HYPERLINK("http://mcb-m6.bioreg.kyushu-u.ac.jp/M3/20110421/F51025/2038/1", 61.83)</f>
        <v>61.83</v>
      </c>
      <c r="E9526" s="2">
        <v>50.76</v>
      </c>
      <c r="F9526" s="2">
        <v>2</v>
      </c>
      <c r="G9526" s="2" t="s">
        <v>12</v>
      </c>
    </row>
    <row r="9527" spans="1:7" x14ac:dyDescent="0.2">
      <c r="A9527" s="2" t="s">
        <v>3267</v>
      </c>
      <c r="B9527" s="2" t="s">
        <v>491</v>
      </c>
      <c r="C9527" s="2">
        <v>766.48720000000003</v>
      </c>
      <c r="D9527" s="2">
        <f>HYPERLINK("http://mcb-m6.bioreg.kyushu-u.ac.jp/M3/20110421/F51045/2283/1", 62.59)</f>
        <v>62.59</v>
      </c>
      <c r="E9527" s="2">
        <v>34.020000000000003</v>
      </c>
      <c r="F9527" s="2">
        <v>2</v>
      </c>
      <c r="G9527" s="2" t="s">
        <v>12</v>
      </c>
    </row>
    <row r="9528" spans="1:7" x14ac:dyDescent="0.2">
      <c r="A9528" s="2" t="s">
        <v>3267</v>
      </c>
      <c r="B9528" s="2" t="s">
        <v>491</v>
      </c>
      <c r="C9528" s="2">
        <v>766.62959999999998</v>
      </c>
      <c r="D9528" s="2">
        <f>HYPERLINK("http://mcb-m6.bioreg.kyushu-u.ac.jp/M3/20110421/F51047/2287/1", 66.46)</f>
        <v>66.459999999999994</v>
      </c>
      <c r="E9528" s="2">
        <v>43.84</v>
      </c>
      <c r="F9528" s="2">
        <v>2</v>
      </c>
      <c r="G9528" s="2" t="s">
        <v>12</v>
      </c>
    </row>
    <row r="9529" spans="1:7" x14ac:dyDescent="0.2">
      <c r="A9529" s="2" t="s">
        <v>3267</v>
      </c>
      <c r="B9529" s="2" t="s">
        <v>2589</v>
      </c>
      <c r="C9529" s="2">
        <v>680.33969999999999</v>
      </c>
      <c r="D9529" s="2">
        <f>HYPERLINK("http://mcb-m6.bioreg.kyushu-u.ac.jp/M3/20110421/F51048/1830/1", 66.62)</f>
        <v>66.62</v>
      </c>
      <c r="E9529" s="2">
        <v>45.81</v>
      </c>
      <c r="F9529" s="2">
        <v>2</v>
      </c>
      <c r="G9529" s="2" t="s">
        <v>12</v>
      </c>
    </row>
    <row r="9530" spans="1:7" x14ac:dyDescent="0.2">
      <c r="A9530" s="2" t="s">
        <v>3267</v>
      </c>
      <c r="B9530" s="2" t="s">
        <v>491</v>
      </c>
      <c r="C9530" s="2">
        <v>766.51620000000003</v>
      </c>
      <c r="D9530" s="2">
        <f>HYPERLINK("http://mcb-m6.bioreg.kyushu-u.ac.jp/M3/20110421/F51048/2348/1", 68.33)</f>
        <v>68.33</v>
      </c>
      <c r="E9530" s="2">
        <v>47.93</v>
      </c>
      <c r="F9530" s="2">
        <v>2</v>
      </c>
      <c r="G9530" s="2" t="s">
        <v>12</v>
      </c>
    </row>
    <row r="9531" spans="1:7" x14ac:dyDescent="0.2">
      <c r="A9531" s="2" t="s">
        <v>3267</v>
      </c>
      <c r="B9531" s="2" t="s">
        <v>491</v>
      </c>
      <c r="C9531" s="2">
        <v>766.52070000000003</v>
      </c>
      <c r="D9531" s="2">
        <f>HYPERLINK("http://mcb-m6.bioreg.kyushu-u.ac.jp/M3/20110421/F51043/2204/1", 69.3)</f>
        <v>69.3</v>
      </c>
      <c r="E9531" s="2">
        <v>47.69</v>
      </c>
      <c r="F9531" s="2">
        <v>2</v>
      </c>
      <c r="G9531" s="2" t="s">
        <v>12</v>
      </c>
    </row>
    <row r="9532" spans="1:7" x14ac:dyDescent="0.2">
      <c r="A9532" s="2" t="s">
        <v>3267</v>
      </c>
      <c r="B9532" s="2" t="s">
        <v>602</v>
      </c>
      <c r="C9532" s="2">
        <v>742.90869999999995</v>
      </c>
      <c r="D9532" s="2">
        <f>HYPERLINK("http://mcb-m6.bioreg.kyushu-u.ac.jp/M3/20110421/F51026/2071/1", 70.37)</f>
        <v>70.37</v>
      </c>
      <c r="E9532" s="2">
        <v>59.52</v>
      </c>
      <c r="F9532" s="2">
        <v>2</v>
      </c>
      <c r="G9532" s="2" t="s">
        <v>12</v>
      </c>
    </row>
    <row r="9533" spans="1:7" x14ac:dyDescent="0.2">
      <c r="A9533" s="2" t="s">
        <v>3267</v>
      </c>
      <c r="B9533" s="2" t="s">
        <v>491</v>
      </c>
      <c r="C9533" s="2">
        <v>766.58370000000002</v>
      </c>
      <c r="D9533" s="2">
        <f>HYPERLINK("http://mcb-m6.bioreg.kyushu-u.ac.jp/M3/20110421/F51050/2248/1", 71.71)</f>
        <v>71.709999999999994</v>
      </c>
      <c r="E9533" s="2">
        <v>48.91</v>
      </c>
      <c r="F9533" s="2">
        <v>2</v>
      </c>
      <c r="G9533" s="2" t="s">
        <v>12</v>
      </c>
    </row>
    <row r="9534" spans="1:7" x14ac:dyDescent="0.2">
      <c r="A9534" s="2" t="s">
        <v>3267</v>
      </c>
      <c r="B9534" s="2" t="s">
        <v>491</v>
      </c>
      <c r="C9534" s="2">
        <v>766.37919999999997</v>
      </c>
      <c r="D9534" s="2">
        <f>HYPERLINK("http://mcb-m6.bioreg.kyushu-u.ac.jp/M3/20110421/F51044/2199/1", 74.85)</f>
        <v>74.849999999999994</v>
      </c>
      <c r="E9534" s="2">
        <v>59.78</v>
      </c>
      <c r="F9534" s="2">
        <v>2</v>
      </c>
      <c r="G9534" s="2" t="s">
        <v>12</v>
      </c>
    </row>
    <row r="9535" spans="1:7" x14ac:dyDescent="0.2">
      <c r="A9535" s="2" t="s">
        <v>3267</v>
      </c>
      <c r="B9535" s="2" t="s">
        <v>491</v>
      </c>
      <c r="C9535" s="2">
        <v>766.46559999999999</v>
      </c>
      <c r="D9535" s="2">
        <f>HYPERLINK("http://mcb-m6.bioreg.kyushu-u.ac.jp/M3/20110421/F51059/1940/1", 79.99)</f>
        <v>79.989999999999995</v>
      </c>
      <c r="E9535" s="2">
        <v>59.88</v>
      </c>
      <c r="F9535" s="2">
        <v>2</v>
      </c>
      <c r="G9535" s="2" t="s">
        <v>12</v>
      </c>
    </row>
    <row r="9536" spans="1:7" x14ac:dyDescent="0.2">
      <c r="A9536" s="2" t="s">
        <v>3267</v>
      </c>
      <c r="B9536" s="2" t="s">
        <v>602</v>
      </c>
      <c r="C9536" s="2">
        <v>742.56619999999998</v>
      </c>
      <c r="D9536" s="2">
        <f>HYPERLINK("http://mcb-m6.bioreg.kyushu-u.ac.jp/M3/20110421/F51024/2158/1", 82.72)</f>
        <v>82.72</v>
      </c>
      <c r="E9536" s="2">
        <v>73.45</v>
      </c>
      <c r="F9536" s="2">
        <v>2</v>
      </c>
      <c r="G9536" s="2" t="s">
        <v>12</v>
      </c>
    </row>
    <row r="9537" spans="1:9" x14ac:dyDescent="0.2">
      <c r="A9537" s="2" t="s">
        <v>3267</v>
      </c>
      <c r="B9537" s="2" t="s">
        <v>2952</v>
      </c>
      <c r="C9537" s="2">
        <v>670.83759999999995</v>
      </c>
      <c r="D9537" s="2">
        <f>HYPERLINK("http://mcb-m6.bioreg.kyushu-u.ac.jp/M3/20110421/F51044/1598/1", 86.51)</f>
        <v>86.51</v>
      </c>
      <c r="E9537" s="2">
        <v>63.42</v>
      </c>
      <c r="F9537" s="2">
        <v>2</v>
      </c>
      <c r="G9537" s="2" t="s">
        <v>12</v>
      </c>
    </row>
    <row r="9538" spans="1:9" x14ac:dyDescent="0.2">
      <c r="A9538" s="2" t="s">
        <v>3267</v>
      </c>
      <c r="B9538" s="2" t="s">
        <v>1606</v>
      </c>
      <c r="C9538" s="2">
        <v>862.56769999999995</v>
      </c>
      <c r="D9538" s="2">
        <f>HYPERLINK("http://mcb-m6.bioreg.kyushu-u.ac.jp/M3/20110421/F51048/2750/1", 104.41)</f>
        <v>104.41</v>
      </c>
      <c r="E9538" s="2">
        <v>88.03</v>
      </c>
      <c r="F9538" s="2">
        <v>2</v>
      </c>
      <c r="G9538" s="2" t="s">
        <v>12</v>
      </c>
    </row>
    <row r="9539" spans="1:9" x14ac:dyDescent="0.2">
      <c r="A9539" s="2" t="s">
        <v>3267</v>
      </c>
      <c r="B9539" s="2" t="s">
        <v>602</v>
      </c>
      <c r="C9539" s="2">
        <v>742.73170000000005</v>
      </c>
      <c r="D9539" s="2">
        <f>HYPERLINK("http://mcb-m6.bioreg.kyushu-u.ac.jp/M3/20110421/F51048/2205/1", 114.25)</f>
        <v>114.25</v>
      </c>
      <c r="E9539" s="2">
        <v>102.36</v>
      </c>
      <c r="F9539" s="2">
        <v>2</v>
      </c>
      <c r="G9539" s="2" t="s">
        <v>12</v>
      </c>
    </row>
    <row r="9540" spans="1:9" x14ac:dyDescent="0.2">
      <c r="A9540" s="2" t="s">
        <v>3267</v>
      </c>
      <c r="B9540" s="2" t="s">
        <v>1606</v>
      </c>
      <c r="C9540" s="2">
        <v>862.74770000000001</v>
      </c>
      <c r="D9540" s="2">
        <f>HYPERLINK("http://mcb-m6.bioreg.kyushu-u.ac.jp/M3/20110421/F51048/2753/1", 115.97)</f>
        <v>115.97</v>
      </c>
      <c r="E9540" s="2">
        <v>100.55</v>
      </c>
      <c r="F9540" s="2">
        <v>2</v>
      </c>
      <c r="G9540" s="2" t="s">
        <v>12</v>
      </c>
    </row>
    <row r="9541" spans="1:9" x14ac:dyDescent="0.2">
      <c r="A9541" s="2" t="s">
        <v>3267</v>
      </c>
      <c r="B9541" s="2" t="s">
        <v>1353</v>
      </c>
      <c r="C9541" s="2">
        <v>825.47360000000003</v>
      </c>
      <c r="D9541" s="2">
        <f>HYPERLINK("http://mcb-m6.bioreg.kyushu-u.ac.jp/M3/20110421/F51048/2623/1", 117.5)</f>
        <v>117.5</v>
      </c>
      <c r="E9541" s="2">
        <v>90.28</v>
      </c>
      <c r="F9541" s="2">
        <v>2</v>
      </c>
      <c r="G9541" s="2" t="s">
        <v>12</v>
      </c>
    </row>
    <row r="9542" spans="1:9" x14ac:dyDescent="0.2">
      <c r="A9542" s="2" t="s">
        <v>3267</v>
      </c>
      <c r="B9542" s="2" t="s">
        <v>97</v>
      </c>
      <c r="C9542" s="2">
        <v>669.1857</v>
      </c>
      <c r="D9542" s="2">
        <f>HYPERLINK("http://mcb-m6.bioreg.kyushu-u.ac.jp/M3/20110428/F51132/1576/1", 35.29)</f>
        <v>35.29</v>
      </c>
      <c r="E9542" s="2">
        <v>20.6</v>
      </c>
      <c r="F9542" s="2">
        <v>2</v>
      </c>
      <c r="G9542" s="2" t="s">
        <v>13</v>
      </c>
    </row>
    <row r="9543" spans="1:9" x14ac:dyDescent="0.2">
      <c r="A9543" s="2" t="s">
        <v>3267</v>
      </c>
      <c r="B9543" s="2" t="s">
        <v>223</v>
      </c>
      <c r="C9543" s="2">
        <v>782.21969999999999</v>
      </c>
      <c r="D9543" s="2">
        <f>HYPERLINK("http://mcb-m6.bioreg.kyushu-u.ac.jp/M3/20110428/F51132/2255/1", 35.39)</f>
        <v>35.39</v>
      </c>
      <c r="E9543" s="2">
        <v>20.03</v>
      </c>
      <c r="F9543" s="2">
        <v>2</v>
      </c>
      <c r="G9543" s="2" t="s">
        <v>13</v>
      </c>
    </row>
    <row r="9544" spans="1:9" x14ac:dyDescent="0.2">
      <c r="A9544" s="2" t="s">
        <v>3267</v>
      </c>
      <c r="B9544" s="2" t="s">
        <v>491</v>
      </c>
      <c r="C9544" s="2">
        <v>766.21420000000001</v>
      </c>
      <c r="D9544" s="2">
        <f>HYPERLINK("http://mcb-m6.bioreg.kyushu-u.ac.jp/M3/20110428/F51132/2150/1", 35.89)</f>
        <v>35.89</v>
      </c>
      <c r="E9544" s="2">
        <v>20.03</v>
      </c>
      <c r="F9544" s="2">
        <v>2</v>
      </c>
      <c r="G9544" s="2" t="s">
        <v>13</v>
      </c>
    </row>
    <row r="9545" spans="1:9" x14ac:dyDescent="0.2">
      <c r="A9545" s="2" t="s">
        <v>3267</v>
      </c>
      <c r="B9545" s="2" t="s">
        <v>147</v>
      </c>
      <c r="C9545" s="2">
        <v>829.428</v>
      </c>
      <c r="D9545" s="2">
        <f>HYPERLINK("http://mcb-m6.bioreg.kyushu-u.ac.jp/M3/20110428/F51133/533/1", 35.93)</f>
        <v>35.93</v>
      </c>
      <c r="E9545" s="2">
        <v>18.37</v>
      </c>
      <c r="F9545" s="2">
        <v>1</v>
      </c>
      <c r="G9545" s="2" t="s">
        <v>13</v>
      </c>
    </row>
    <row r="9546" spans="1:9" x14ac:dyDescent="0.2">
      <c r="A9546" s="2" t="s">
        <v>3267</v>
      </c>
      <c r="B9546" s="2" t="s">
        <v>1526</v>
      </c>
      <c r="C9546" s="2">
        <v>619.66920000000005</v>
      </c>
      <c r="D9546" s="2">
        <f>HYPERLINK("http://mcb-m6.bioreg.kyushu-u.ac.jp/M3/20110428/F51133/1313/1", 35.94)</f>
        <v>35.94</v>
      </c>
      <c r="E9546" s="2">
        <v>18.600000000000001</v>
      </c>
      <c r="F9546" s="2">
        <v>2</v>
      </c>
      <c r="G9546" s="2" t="s">
        <v>13</v>
      </c>
    </row>
    <row r="9547" spans="1:9" x14ac:dyDescent="0.2">
      <c r="A9547" s="2" t="s">
        <v>3267</v>
      </c>
      <c r="B9547" s="2" t="s">
        <v>433</v>
      </c>
      <c r="C9547" s="2">
        <v>819.76869999999997</v>
      </c>
      <c r="D9547" s="2">
        <f>HYPERLINK("http://mcb-m6.bioreg.kyushu-u.ac.jp/M3/20110428/F51132/2451/1", 36.15)</f>
        <v>36.15</v>
      </c>
      <c r="E9547" s="2">
        <v>22.02</v>
      </c>
      <c r="F9547" s="2">
        <v>2</v>
      </c>
      <c r="G9547" s="2" t="s">
        <v>13</v>
      </c>
    </row>
    <row r="9548" spans="1:9" x14ac:dyDescent="0.2">
      <c r="A9548" s="2" t="s">
        <v>3267</v>
      </c>
      <c r="B9548" s="2" t="s">
        <v>47</v>
      </c>
      <c r="C9548" s="2">
        <v>549.20320000000004</v>
      </c>
      <c r="D9548" s="2">
        <f>HYPERLINK("http://mcb-m6.bioreg.kyushu-u.ac.jp/M3/20110428/F51132/1144/1", 36.46)</f>
        <v>36.46</v>
      </c>
      <c r="E9548" s="2">
        <v>14.12</v>
      </c>
      <c r="F9548" s="2">
        <v>2</v>
      </c>
      <c r="G9548" s="2" t="s">
        <v>13</v>
      </c>
      <c r="H9548" s="2" t="s">
        <v>4904</v>
      </c>
    </row>
    <row r="9549" spans="1:9" x14ac:dyDescent="0.2">
      <c r="A9549" s="2" t="s">
        <v>3267</v>
      </c>
      <c r="B9549" s="2" t="s">
        <v>491</v>
      </c>
      <c r="C9549" s="2">
        <v>511.46480000000003</v>
      </c>
      <c r="D9549" s="2">
        <f>HYPERLINK("http://mcb-m6.bioreg.kyushu-u.ac.jp/M3/20110427/F51114/2200/1", 36.82)</f>
        <v>36.82</v>
      </c>
      <c r="E9549" s="2">
        <v>23.36</v>
      </c>
      <c r="F9549" s="2">
        <v>3</v>
      </c>
      <c r="G9549" s="2" t="s">
        <v>13</v>
      </c>
    </row>
    <row r="9550" spans="1:9" x14ac:dyDescent="0.2">
      <c r="A9550" s="2" t="s">
        <v>3267</v>
      </c>
      <c r="B9550" s="2" t="s">
        <v>697</v>
      </c>
      <c r="C9550" s="2">
        <v>488.90589999999997</v>
      </c>
      <c r="D9550" s="2">
        <f>HYPERLINK("http://mcb-m6.bioreg.kyushu-u.ac.jp/M3/20110428/F51132/1950/1", 37.38)</f>
        <v>37.380000000000003</v>
      </c>
      <c r="E9550" s="2">
        <v>17.79</v>
      </c>
      <c r="F9550" s="2">
        <v>3</v>
      </c>
      <c r="G9550" s="2" t="s">
        <v>13</v>
      </c>
    </row>
    <row r="9551" spans="1:9" x14ac:dyDescent="0.2">
      <c r="A9551" s="2" t="s">
        <v>3267</v>
      </c>
      <c r="B9551" s="2" t="s">
        <v>2506</v>
      </c>
      <c r="C9551" s="2">
        <v>1045.104</v>
      </c>
      <c r="D9551" s="2">
        <f>HYPERLINK("http://mcb-m6.bioreg.kyushu-u.ac.jp/M3/20110428/F51131/3075/1", 37.72)</f>
        <v>37.72</v>
      </c>
      <c r="E9551" s="2">
        <v>25.03</v>
      </c>
      <c r="F9551" s="2">
        <v>2</v>
      </c>
      <c r="G9551" s="2" t="s">
        <v>13</v>
      </c>
      <c r="I9551" s="2" t="s">
        <v>4966</v>
      </c>
    </row>
    <row r="9552" spans="1:9" x14ac:dyDescent="0.2">
      <c r="A9552" s="2" t="s">
        <v>3267</v>
      </c>
      <c r="B9552" s="2" t="s">
        <v>697</v>
      </c>
      <c r="C9552" s="2">
        <v>489.00420000000003</v>
      </c>
      <c r="D9552" s="2">
        <f>HYPERLINK("http://mcb-m6.bioreg.kyushu-u.ac.jp/M3/20110427/F51114/2012/1", 37.78)</f>
        <v>37.78</v>
      </c>
      <c r="E9552" s="2">
        <v>19.82</v>
      </c>
      <c r="F9552" s="2">
        <v>3</v>
      </c>
      <c r="G9552" s="2" t="s">
        <v>13</v>
      </c>
    </row>
    <row r="9553" spans="1:7" x14ac:dyDescent="0.2">
      <c r="A9553" s="2" t="s">
        <v>3267</v>
      </c>
      <c r="B9553" s="2" t="s">
        <v>568</v>
      </c>
      <c r="C9553" s="2">
        <v>836.36099999999999</v>
      </c>
      <c r="D9553" s="2">
        <f>HYPERLINK("http://mcb-m6.bioreg.kyushu-u.ac.jp/M3/20110428/F51132/575/1", 38.2)</f>
        <v>38.200000000000003</v>
      </c>
      <c r="E9553" s="2">
        <v>23.83</v>
      </c>
      <c r="F9553" s="2">
        <v>1</v>
      </c>
      <c r="G9553" s="2" t="s">
        <v>13</v>
      </c>
    </row>
    <row r="9554" spans="1:7" x14ac:dyDescent="0.2">
      <c r="A9554" s="2" t="s">
        <v>3267</v>
      </c>
      <c r="B9554" s="2" t="s">
        <v>433</v>
      </c>
      <c r="C9554" s="2">
        <v>819.26210000000003</v>
      </c>
      <c r="D9554" s="2">
        <f>HYPERLINK("http://mcb-m6.bioreg.kyushu-u.ac.jp/M3/20110428/F51132/2446/1", 38.93)</f>
        <v>38.93</v>
      </c>
      <c r="E9554" s="2">
        <v>24.9</v>
      </c>
      <c r="F9554" s="2">
        <v>2</v>
      </c>
      <c r="G9554" s="2" t="s">
        <v>13</v>
      </c>
    </row>
    <row r="9555" spans="1:7" x14ac:dyDescent="0.2">
      <c r="A9555" s="2" t="s">
        <v>3267</v>
      </c>
      <c r="B9555" s="2" t="s">
        <v>433</v>
      </c>
      <c r="C9555" s="2">
        <v>546.30820000000006</v>
      </c>
      <c r="D9555" s="2">
        <f>HYPERLINK("http://mcb-m6.bioreg.kyushu-u.ac.jp/M3/20110428/F51132/2444/1", 39.72)</f>
        <v>39.72</v>
      </c>
      <c r="E9555" s="2">
        <v>25.75</v>
      </c>
      <c r="F9555" s="2">
        <v>3</v>
      </c>
      <c r="G9555" s="2" t="s">
        <v>13</v>
      </c>
    </row>
    <row r="9556" spans="1:7" x14ac:dyDescent="0.2">
      <c r="A9556" s="2" t="s">
        <v>3267</v>
      </c>
      <c r="B9556" s="2" t="s">
        <v>1526</v>
      </c>
      <c r="C9556" s="2">
        <v>620.18320000000006</v>
      </c>
      <c r="D9556" s="2">
        <f>HYPERLINK("http://mcb-m6.bioreg.kyushu-u.ac.jp/M3/20110428/F51133/1314/1", 39.74)</f>
        <v>39.74</v>
      </c>
      <c r="E9556" s="2">
        <v>20.23</v>
      </c>
      <c r="F9556" s="2">
        <v>2</v>
      </c>
      <c r="G9556" s="2" t="s">
        <v>13</v>
      </c>
    </row>
    <row r="9557" spans="1:7" x14ac:dyDescent="0.2">
      <c r="A9557" s="2" t="s">
        <v>3267</v>
      </c>
      <c r="B9557" s="2" t="s">
        <v>97</v>
      </c>
      <c r="C9557" s="2">
        <v>668.53120000000001</v>
      </c>
      <c r="D9557" s="2">
        <f>HYPERLINK("http://mcb-m6.bioreg.kyushu-u.ac.jp/M3/20110428/F51132/1571/1", 40.04)</f>
        <v>40.04</v>
      </c>
      <c r="E9557" s="2">
        <v>18.34</v>
      </c>
      <c r="F9557" s="2">
        <v>2</v>
      </c>
      <c r="G9557" s="2" t="s">
        <v>13</v>
      </c>
    </row>
    <row r="9558" spans="1:7" x14ac:dyDescent="0.2">
      <c r="A9558" s="2" t="s">
        <v>3267</v>
      </c>
      <c r="B9558" s="2" t="s">
        <v>97</v>
      </c>
      <c r="C9558" s="2">
        <v>669.21720000000005</v>
      </c>
      <c r="D9558" s="2">
        <f>HYPERLINK("http://mcb-m6.bioreg.kyushu-u.ac.jp/M3/20110428/F51133/1488/1", 40.08)</f>
        <v>40.08</v>
      </c>
      <c r="E9558" s="2">
        <v>22.09</v>
      </c>
      <c r="F9558" s="2">
        <v>2</v>
      </c>
      <c r="G9558" s="2" t="s">
        <v>13</v>
      </c>
    </row>
    <row r="9559" spans="1:7" x14ac:dyDescent="0.2">
      <c r="A9559" s="2" t="s">
        <v>3267</v>
      </c>
      <c r="B9559" s="2" t="s">
        <v>1923</v>
      </c>
      <c r="C9559" s="2">
        <v>544.63210000000004</v>
      </c>
      <c r="D9559" s="2">
        <f>HYPERLINK("http://mcb-m6.bioreg.kyushu-u.ac.jp/M3/20110428/F51132/1132/1", 40.5)</f>
        <v>40.5</v>
      </c>
      <c r="E9559" s="2">
        <v>17.809999999999999</v>
      </c>
      <c r="F9559" s="2">
        <v>2</v>
      </c>
      <c r="G9559" s="2" t="s">
        <v>13</v>
      </c>
    </row>
    <row r="9560" spans="1:7" x14ac:dyDescent="0.2">
      <c r="A9560" s="2" t="s">
        <v>3267</v>
      </c>
      <c r="B9560" s="2" t="s">
        <v>3018</v>
      </c>
      <c r="C9560" s="2">
        <v>521.19119999999998</v>
      </c>
      <c r="D9560" s="2">
        <f>HYPERLINK("http://mcb-m6.bioreg.kyushu-u.ac.jp/M3/20110428/F51132/1012/1", 41.02)</f>
        <v>41.02</v>
      </c>
      <c r="E9560" s="2">
        <v>14.67</v>
      </c>
      <c r="F9560" s="2">
        <v>2</v>
      </c>
      <c r="G9560" s="2" t="s">
        <v>13</v>
      </c>
    </row>
    <row r="9561" spans="1:7" x14ac:dyDescent="0.2">
      <c r="A9561" s="2" t="s">
        <v>3267</v>
      </c>
      <c r="B9561" s="2" t="s">
        <v>223</v>
      </c>
      <c r="C9561" s="2">
        <v>782.21669999999995</v>
      </c>
      <c r="D9561" s="2">
        <f>HYPERLINK("http://mcb-m6.bioreg.kyushu-u.ac.jp/M3/20110427/F51114/2291/1", 41.13)</f>
        <v>41.13</v>
      </c>
      <c r="E9561" s="2">
        <v>30.52</v>
      </c>
      <c r="F9561" s="2">
        <v>2</v>
      </c>
      <c r="G9561" s="2" t="s">
        <v>13</v>
      </c>
    </row>
    <row r="9562" spans="1:7" x14ac:dyDescent="0.2">
      <c r="A9562" s="2" t="s">
        <v>3267</v>
      </c>
      <c r="B9562" s="2" t="s">
        <v>697</v>
      </c>
      <c r="C9562" s="2">
        <v>488.76519999999999</v>
      </c>
      <c r="D9562" s="2">
        <f>HYPERLINK("http://mcb-m6.bioreg.kyushu-u.ac.jp/M3/20110428/F51127/1837/1", 41.79)</f>
        <v>41.79</v>
      </c>
      <c r="E9562" s="2">
        <v>24.12</v>
      </c>
      <c r="F9562" s="2">
        <v>3</v>
      </c>
      <c r="G9562" s="2" t="s">
        <v>13</v>
      </c>
    </row>
    <row r="9563" spans="1:7" x14ac:dyDescent="0.2">
      <c r="A9563" s="2" t="s">
        <v>3267</v>
      </c>
      <c r="B9563" s="2" t="s">
        <v>433</v>
      </c>
      <c r="C9563" s="2">
        <v>819.29719999999998</v>
      </c>
      <c r="D9563" s="2">
        <f>HYPERLINK("http://mcb-m6.bioreg.kyushu-u.ac.jp/M3/20110427/F51115/2338/1", 43.24)</f>
        <v>43.24</v>
      </c>
      <c r="E9563" s="2">
        <v>35.42</v>
      </c>
      <c r="F9563" s="2">
        <v>2</v>
      </c>
      <c r="G9563" s="2" t="s">
        <v>13</v>
      </c>
    </row>
    <row r="9564" spans="1:7" x14ac:dyDescent="0.2">
      <c r="A9564" s="2" t="s">
        <v>3267</v>
      </c>
      <c r="B9564" s="2" t="s">
        <v>97</v>
      </c>
      <c r="C9564" s="2">
        <v>668.65170000000001</v>
      </c>
      <c r="D9564" s="2">
        <f>HYPERLINK("http://mcb-m6.bioreg.kyushu-u.ac.jp/M3/20110427/F51116/1662/1", 43.55)</f>
        <v>43.55</v>
      </c>
      <c r="E9564" s="2">
        <v>25.33</v>
      </c>
      <c r="F9564" s="2">
        <v>2</v>
      </c>
      <c r="G9564" s="2" t="s">
        <v>13</v>
      </c>
    </row>
    <row r="9565" spans="1:7" x14ac:dyDescent="0.2">
      <c r="A9565" s="2" t="s">
        <v>3267</v>
      </c>
      <c r="B9565" s="2" t="s">
        <v>433</v>
      </c>
      <c r="C9565" s="2">
        <v>819.19870000000003</v>
      </c>
      <c r="D9565" s="2">
        <f>HYPERLINK("http://mcb-m6.bioreg.kyushu-u.ac.jp/M3/20110428/F51131/2227/1", 44.07)</f>
        <v>44.07</v>
      </c>
      <c r="E9565" s="2">
        <v>36.200000000000003</v>
      </c>
      <c r="F9565" s="2">
        <v>2</v>
      </c>
      <c r="G9565" s="2" t="s">
        <v>13</v>
      </c>
    </row>
    <row r="9566" spans="1:7" x14ac:dyDescent="0.2">
      <c r="A9566" s="2" t="s">
        <v>3267</v>
      </c>
      <c r="B9566" s="2" t="s">
        <v>97</v>
      </c>
      <c r="C9566" s="2">
        <v>668.59720000000004</v>
      </c>
      <c r="D9566" s="2">
        <f>HYPERLINK("http://mcb-m6.bioreg.kyushu-u.ac.jp/M3/20110427/F51115/1640/1", 44.17)</f>
        <v>44.17</v>
      </c>
      <c r="E9566" s="2">
        <v>24.08</v>
      </c>
      <c r="F9566" s="2">
        <v>2</v>
      </c>
      <c r="G9566" s="2" t="s">
        <v>13</v>
      </c>
    </row>
    <row r="9567" spans="1:7" x14ac:dyDescent="0.2">
      <c r="A9567" s="2" t="s">
        <v>3267</v>
      </c>
      <c r="B9567" s="2" t="s">
        <v>433</v>
      </c>
      <c r="C9567" s="2">
        <v>819.24159999999995</v>
      </c>
      <c r="D9567" s="2">
        <f>HYPERLINK("http://mcb-m6.bioreg.kyushu-u.ac.jp/M3/20110428/F51127/2356/1", 44.9)</f>
        <v>44.9</v>
      </c>
      <c r="E9567" s="2">
        <v>27.31</v>
      </c>
      <c r="F9567" s="2">
        <v>2</v>
      </c>
      <c r="G9567" s="2" t="s">
        <v>13</v>
      </c>
    </row>
    <row r="9568" spans="1:7" x14ac:dyDescent="0.2">
      <c r="A9568" s="2" t="s">
        <v>3267</v>
      </c>
      <c r="B9568" s="2" t="s">
        <v>1923</v>
      </c>
      <c r="C9568" s="2">
        <v>544.79610000000002</v>
      </c>
      <c r="D9568" s="2">
        <f>HYPERLINK("http://mcb-m6.bioreg.kyushu-u.ac.jp/M3/20110428/F51133/1035/1", 45.31)</f>
        <v>45.31</v>
      </c>
      <c r="E9568" s="2">
        <v>24.23</v>
      </c>
      <c r="F9568" s="2">
        <v>2</v>
      </c>
      <c r="G9568" s="2" t="s">
        <v>13</v>
      </c>
    </row>
    <row r="9569" spans="1:8" x14ac:dyDescent="0.2">
      <c r="A9569" s="2" t="s">
        <v>3267</v>
      </c>
      <c r="B9569" s="2" t="s">
        <v>2889</v>
      </c>
      <c r="C9569" s="2">
        <v>573.83259999999996</v>
      </c>
      <c r="D9569" s="2">
        <f>HYPERLINK("http://mcb-m6.bioreg.kyushu-u.ac.jp/M3/20110428/F51132/1227/1", 46.07)</f>
        <v>46.07</v>
      </c>
      <c r="E9569" s="2">
        <v>22.42</v>
      </c>
      <c r="F9569" s="2">
        <v>2</v>
      </c>
      <c r="G9569" s="2" t="s">
        <v>13</v>
      </c>
    </row>
    <row r="9570" spans="1:8" x14ac:dyDescent="0.2">
      <c r="A9570" s="2" t="s">
        <v>3267</v>
      </c>
      <c r="B9570" s="2" t="s">
        <v>1606</v>
      </c>
      <c r="C9570" s="2">
        <v>575.6318</v>
      </c>
      <c r="D9570" s="2">
        <f>HYPERLINK("http://mcb-m6.bioreg.kyushu-u.ac.jp/M3/20110428/F51133/2494/1", 47.27)</f>
        <v>47.27</v>
      </c>
      <c r="E9570" s="2">
        <v>26.72</v>
      </c>
      <c r="F9570" s="2">
        <v>3</v>
      </c>
      <c r="G9570" s="2" t="s">
        <v>13</v>
      </c>
    </row>
    <row r="9571" spans="1:8" x14ac:dyDescent="0.2">
      <c r="A9571" s="2" t="s">
        <v>3267</v>
      </c>
      <c r="B9571" s="2" t="s">
        <v>697</v>
      </c>
      <c r="C9571" s="2">
        <v>732.69370000000004</v>
      </c>
      <c r="D9571" s="2">
        <f>HYPERLINK("http://mcb-m6.bioreg.kyushu-u.ac.jp/M3/20110427/F51117/1950/1", 47.48)</f>
        <v>47.48</v>
      </c>
      <c r="E9571" s="2">
        <v>25.74</v>
      </c>
      <c r="F9571" s="2">
        <v>2</v>
      </c>
      <c r="G9571" s="2" t="s">
        <v>13</v>
      </c>
    </row>
    <row r="9572" spans="1:8" x14ac:dyDescent="0.2">
      <c r="A9572" s="2" t="s">
        <v>3267</v>
      </c>
      <c r="B9572" s="2" t="s">
        <v>491</v>
      </c>
      <c r="C9572" s="2">
        <v>766.93119999999999</v>
      </c>
      <c r="D9572" s="2">
        <f>HYPERLINK("http://mcb-m6.bioreg.kyushu-u.ac.jp/M3/20110428/F51132/2158/1", 47.93)</f>
        <v>47.93</v>
      </c>
      <c r="E9572" s="2">
        <v>32.090000000000003</v>
      </c>
      <c r="F9572" s="2">
        <v>2</v>
      </c>
      <c r="G9572" s="2" t="s">
        <v>13</v>
      </c>
    </row>
    <row r="9573" spans="1:8" x14ac:dyDescent="0.2">
      <c r="A9573" s="2" t="s">
        <v>3267</v>
      </c>
      <c r="B9573" s="2" t="s">
        <v>491</v>
      </c>
      <c r="C9573" s="2">
        <v>511.20049999999998</v>
      </c>
      <c r="D9573" s="2">
        <f>HYPERLINK("http://mcb-m6.bioreg.kyushu-u.ac.jp/M3/20110428/F51132/2153/1", 48.19)</f>
        <v>48.19</v>
      </c>
      <c r="E9573" s="2">
        <v>32.56</v>
      </c>
      <c r="F9573" s="2">
        <v>3</v>
      </c>
      <c r="G9573" s="2" t="s">
        <v>13</v>
      </c>
    </row>
    <row r="9574" spans="1:8" x14ac:dyDescent="0.2">
      <c r="A9574" s="2" t="s">
        <v>3267</v>
      </c>
      <c r="B9574" s="2" t="s">
        <v>1606</v>
      </c>
      <c r="C9574" s="2">
        <v>575.48109999999997</v>
      </c>
      <c r="D9574" s="2">
        <f>HYPERLINK("http://mcb-m6.bioreg.kyushu-u.ac.jp/M3/20110427/F51114/2681/1", 49.24)</f>
        <v>49.24</v>
      </c>
      <c r="E9574" s="2">
        <v>31.64</v>
      </c>
      <c r="F9574" s="2">
        <v>3</v>
      </c>
      <c r="G9574" s="2" t="s">
        <v>13</v>
      </c>
    </row>
    <row r="9575" spans="1:8" x14ac:dyDescent="0.2">
      <c r="A9575" s="2" t="s">
        <v>3267</v>
      </c>
      <c r="B9575" s="2" t="s">
        <v>855</v>
      </c>
      <c r="C9575" s="2">
        <v>498.67610000000002</v>
      </c>
      <c r="D9575" s="2">
        <f>HYPERLINK("http://mcb-m6.bioreg.kyushu-u.ac.jp/M3/20110428/F51132/885/1", 49.3)</f>
        <v>49.3</v>
      </c>
      <c r="E9575" s="2">
        <v>10.67</v>
      </c>
      <c r="F9575" s="2">
        <v>2</v>
      </c>
      <c r="G9575" s="2" t="s">
        <v>13</v>
      </c>
    </row>
    <row r="9576" spans="1:8" x14ac:dyDescent="0.2">
      <c r="A9576" s="2" t="s">
        <v>3267</v>
      </c>
      <c r="B9576" s="2" t="s">
        <v>697</v>
      </c>
      <c r="C9576" s="2">
        <v>732.77719999999999</v>
      </c>
      <c r="D9576" s="2">
        <f>HYPERLINK("http://mcb-m6.bioreg.kyushu-u.ac.jp/M3/20110428/F51131/1756/1", 49.91)</f>
        <v>49.91</v>
      </c>
      <c r="E9576" s="2">
        <v>29.62</v>
      </c>
      <c r="F9576" s="2">
        <v>2</v>
      </c>
      <c r="G9576" s="2" t="s">
        <v>13</v>
      </c>
    </row>
    <row r="9577" spans="1:8" x14ac:dyDescent="0.2">
      <c r="A9577" s="2" t="s">
        <v>3267</v>
      </c>
      <c r="B9577" s="2" t="s">
        <v>433</v>
      </c>
      <c r="C9577" s="2">
        <v>819.2527</v>
      </c>
      <c r="D9577" s="2">
        <f>HYPERLINK("http://mcb-m6.bioreg.kyushu-u.ac.jp/M3/20110427/F51114/2499/1", 50.16)</f>
        <v>50.16</v>
      </c>
      <c r="E9577" s="2">
        <v>37.56</v>
      </c>
      <c r="F9577" s="2">
        <v>2</v>
      </c>
      <c r="G9577" s="2" t="s">
        <v>13</v>
      </c>
    </row>
    <row r="9578" spans="1:8" x14ac:dyDescent="0.2">
      <c r="A9578" s="2" t="s">
        <v>3267</v>
      </c>
      <c r="B9578" s="2" t="s">
        <v>855</v>
      </c>
      <c r="C9578" s="2">
        <v>498.66160000000002</v>
      </c>
      <c r="D9578" s="2">
        <f>HYPERLINK("http://mcb-m6.bioreg.kyushu-u.ac.jp/M3/20110427/F51114/901/1", 51.05)</f>
        <v>51.05</v>
      </c>
      <c r="E9578" s="2">
        <v>9.67</v>
      </c>
      <c r="F9578" s="2">
        <v>2</v>
      </c>
      <c r="G9578" s="2" t="s">
        <v>13</v>
      </c>
    </row>
    <row r="9579" spans="1:8" x14ac:dyDescent="0.2">
      <c r="A9579" s="2" t="s">
        <v>3267</v>
      </c>
      <c r="B9579" s="2" t="s">
        <v>697</v>
      </c>
      <c r="C9579" s="2">
        <v>733.1807</v>
      </c>
      <c r="D9579" s="2">
        <f>HYPERLINK("http://mcb-m6.bioreg.kyushu-u.ac.jp/M3/20110427/F51115/1949/1", 51.29)</f>
        <v>51.29</v>
      </c>
      <c r="E9579" s="2">
        <v>29.95</v>
      </c>
      <c r="F9579" s="2">
        <v>2</v>
      </c>
      <c r="G9579" s="2" t="s">
        <v>13</v>
      </c>
    </row>
    <row r="9580" spans="1:8" x14ac:dyDescent="0.2">
      <c r="A9580" s="2" t="s">
        <v>3267</v>
      </c>
      <c r="B9580" s="2" t="s">
        <v>47</v>
      </c>
      <c r="C9580" s="2">
        <v>548.94269999999995</v>
      </c>
      <c r="D9580" s="2">
        <f>HYPERLINK("http://mcb-m6.bioreg.kyushu-u.ac.jp/M3/20110427/F51114/1156/1", 51.56)</f>
        <v>51.56</v>
      </c>
      <c r="E9580" s="2">
        <v>28.04</v>
      </c>
      <c r="F9580" s="2">
        <v>2</v>
      </c>
      <c r="G9580" s="2" t="s">
        <v>13</v>
      </c>
      <c r="H9580" s="2" t="s">
        <v>4904</v>
      </c>
    </row>
    <row r="9581" spans="1:8" x14ac:dyDescent="0.2">
      <c r="A9581" s="2" t="s">
        <v>3267</v>
      </c>
      <c r="B9581" s="2" t="s">
        <v>697</v>
      </c>
      <c r="C9581" s="2">
        <v>732.81669999999997</v>
      </c>
      <c r="D9581" s="2">
        <f>HYPERLINK("http://mcb-m6.bioreg.kyushu-u.ac.jp/M3/20110428/F51133/1862/1", 52.05)</f>
        <v>52.05</v>
      </c>
      <c r="E9581" s="2">
        <v>31.53</v>
      </c>
      <c r="F9581" s="2">
        <v>2</v>
      </c>
      <c r="G9581" s="2" t="s">
        <v>13</v>
      </c>
    </row>
    <row r="9582" spans="1:8" x14ac:dyDescent="0.2">
      <c r="A9582" s="2" t="s">
        <v>3267</v>
      </c>
      <c r="B9582" s="2" t="s">
        <v>491</v>
      </c>
      <c r="C9582" s="2">
        <v>511.6318</v>
      </c>
      <c r="D9582" s="2">
        <f>HYPERLINK("http://mcb-m6.bioreg.kyushu-u.ac.jp/M3/20110428/F51127/2025/1", 52.21)</f>
        <v>52.21</v>
      </c>
      <c r="E9582" s="2">
        <v>36.5</v>
      </c>
      <c r="F9582" s="2">
        <v>3</v>
      </c>
      <c r="G9582" s="2" t="s">
        <v>13</v>
      </c>
    </row>
    <row r="9583" spans="1:8" x14ac:dyDescent="0.2">
      <c r="A9583" s="2" t="s">
        <v>3267</v>
      </c>
      <c r="B9583" s="2" t="s">
        <v>433</v>
      </c>
      <c r="C9583" s="2">
        <v>819.26869999999997</v>
      </c>
      <c r="D9583" s="2">
        <f>HYPERLINK("http://mcb-m6.bioreg.kyushu-u.ac.jp/M3/20110427/F51114/2501/1", 52.27)</f>
        <v>52.27</v>
      </c>
      <c r="E9583" s="2">
        <v>41.21</v>
      </c>
      <c r="F9583" s="2">
        <v>2</v>
      </c>
      <c r="G9583" s="2" t="s">
        <v>13</v>
      </c>
    </row>
    <row r="9584" spans="1:8" x14ac:dyDescent="0.2">
      <c r="A9584" s="2" t="s">
        <v>3267</v>
      </c>
      <c r="B9584" s="2" t="s">
        <v>433</v>
      </c>
      <c r="C9584" s="2">
        <v>819.3152</v>
      </c>
      <c r="D9584" s="2">
        <f>HYPERLINK("http://mcb-m6.bioreg.kyushu-u.ac.jp/M3/20110428/F51133/2324/1", 53.05)</f>
        <v>53.05</v>
      </c>
      <c r="E9584" s="2">
        <v>40.869999999999997</v>
      </c>
      <c r="F9584" s="2">
        <v>2</v>
      </c>
      <c r="G9584" s="2" t="s">
        <v>13</v>
      </c>
    </row>
    <row r="9585" spans="1:9" x14ac:dyDescent="0.2">
      <c r="A9585" s="2" t="s">
        <v>3267</v>
      </c>
      <c r="B9585" s="2" t="s">
        <v>2906</v>
      </c>
      <c r="C9585" s="2">
        <v>500.1026</v>
      </c>
      <c r="D9585" s="2">
        <f>HYPERLINK("http://mcb-m6.bioreg.kyushu-u.ac.jp/M3/20110428/F51132/896/1", 54.47)</f>
        <v>54.47</v>
      </c>
      <c r="E9585" s="2">
        <v>30</v>
      </c>
      <c r="F9585" s="2">
        <v>2</v>
      </c>
      <c r="G9585" s="2" t="s">
        <v>13</v>
      </c>
    </row>
    <row r="9586" spans="1:9" x14ac:dyDescent="0.2">
      <c r="A9586" s="2" t="s">
        <v>3267</v>
      </c>
      <c r="B9586" s="2" t="s">
        <v>697</v>
      </c>
      <c r="C9586" s="2">
        <v>733.13210000000004</v>
      </c>
      <c r="D9586" s="2">
        <f>HYPERLINK("http://mcb-m6.bioreg.kyushu-u.ac.jp/M3/20110428/F51127/1839/1", 55.03)</f>
        <v>55.03</v>
      </c>
      <c r="E9586" s="2">
        <v>36.049999999999997</v>
      </c>
      <c r="F9586" s="2">
        <v>2</v>
      </c>
      <c r="G9586" s="2" t="s">
        <v>13</v>
      </c>
    </row>
    <row r="9587" spans="1:9" x14ac:dyDescent="0.2">
      <c r="A9587" s="2" t="s">
        <v>3267</v>
      </c>
      <c r="B9587" s="2" t="s">
        <v>1606</v>
      </c>
      <c r="C9587" s="2">
        <v>575.42550000000006</v>
      </c>
      <c r="D9587" s="2">
        <f>HYPERLINK("http://mcb-m6.bioreg.kyushu-u.ac.jp/M3/20110428/F51132/2627/1", 56)</f>
        <v>56</v>
      </c>
      <c r="E9587" s="2">
        <v>37.49</v>
      </c>
      <c r="F9587" s="2">
        <v>3</v>
      </c>
      <c r="G9587" s="2" t="s">
        <v>13</v>
      </c>
    </row>
    <row r="9588" spans="1:9" x14ac:dyDescent="0.2">
      <c r="A9588" s="2" t="s">
        <v>3267</v>
      </c>
      <c r="B9588" s="2" t="s">
        <v>433</v>
      </c>
      <c r="C9588" s="2">
        <v>819.28269999999998</v>
      </c>
      <c r="D9588" s="2">
        <f>HYPERLINK("http://mcb-m6.bioreg.kyushu-u.ac.jp/M3/20110428/F51132/2447/1", 56.16)</f>
        <v>56.16</v>
      </c>
      <c r="E9588" s="2">
        <v>48.09</v>
      </c>
      <c r="F9588" s="2">
        <v>2</v>
      </c>
      <c r="G9588" s="2" t="s">
        <v>13</v>
      </c>
    </row>
    <row r="9589" spans="1:9" x14ac:dyDescent="0.2">
      <c r="A9589" s="2" t="s">
        <v>3267</v>
      </c>
      <c r="B9589" s="2" t="s">
        <v>491</v>
      </c>
      <c r="C9589" s="2">
        <v>766.75369999999998</v>
      </c>
      <c r="D9589" s="2">
        <f>HYPERLINK("http://mcb-m6.bioreg.kyushu-u.ac.jp/M3/20110428/F51132/2155/1", 56.3)</f>
        <v>56.3</v>
      </c>
      <c r="E9589" s="2">
        <v>39.299999999999997</v>
      </c>
      <c r="F9589" s="2">
        <v>2</v>
      </c>
      <c r="G9589" s="2" t="s">
        <v>13</v>
      </c>
    </row>
    <row r="9590" spans="1:9" x14ac:dyDescent="0.2">
      <c r="A9590" s="2" t="s">
        <v>3267</v>
      </c>
      <c r="B9590" s="2" t="s">
        <v>491</v>
      </c>
      <c r="C9590" s="2">
        <v>511.60079999999999</v>
      </c>
      <c r="D9590" s="2">
        <f>HYPERLINK("http://mcb-m6.bioreg.kyushu-u.ac.jp/M3/20110427/F51115/2088/1", 56.81)</f>
        <v>56.81</v>
      </c>
      <c r="E9590" s="2">
        <v>41.88</v>
      </c>
      <c r="F9590" s="2">
        <v>3</v>
      </c>
      <c r="G9590" s="2" t="s">
        <v>13</v>
      </c>
    </row>
    <row r="9591" spans="1:9" x14ac:dyDescent="0.2">
      <c r="A9591" s="2" t="s">
        <v>3267</v>
      </c>
      <c r="B9591" s="2" t="s">
        <v>994</v>
      </c>
      <c r="C9591" s="2">
        <v>580.10469999999998</v>
      </c>
      <c r="D9591" s="2">
        <f>HYPERLINK("http://mcb-m6.bioreg.kyushu-u.ac.jp/M3/20110428/F51132/1253/1", 58.06)</f>
        <v>58.06</v>
      </c>
      <c r="E9591" s="2">
        <v>34.39</v>
      </c>
      <c r="F9591" s="2">
        <v>2</v>
      </c>
      <c r="G9591" s="2" t="s">
        <v>13</v>
      </c>
    </row>
    <row r="9592" spans="1:9" x14ac:dyDescent="0.2">
      <c r="A9592" s="2" t="s">
        <v>3267</v>
      </c>
      <c r="B9592" s="2" t="s">
        <v>491</v>
      </c>
      <c r="C9592" s="2">
        <v>766.23519999999996</v>
      </c>
      <c r="D9592" s="2">
        <f>HYPERLINK("http://mcb-m6.bioreg.kyushu-u.ac.jp/M3/20110428/F51132/2151/1", 58.95)</f>
        <v>58.95</v>
      </c>
      <c r="E9592" s="2">
        <v>45.89</v>
      </c>
      <c r="F9592" s="2">
        <v>2</v>
      </c>
      <c r="G9592" s="2" t="s">
        <v>13</v>
      </c>
    </row>
    <row r="9593" spans="1:9" x14ac:dyDescent="0.2">
      <c r="A9593" s="2" t="s">
        <v>3267</v>
      </c>
      <c r="B9593" s="2" t="s">
        <v>491</v>
      </c>
      <c r="C9593" s="2">
        <v>766.81619999999998</v>
      </c>
      <c r="D9593" s="2">
        <f>HYPERLINK("http://mcb-m6.bioreg.kyushu-u.ac.jp/M3/20110427/F51116/2179/1", 61.61)</f>
        <v>61.61</v>
      </c>
      <c r="E9593" s="2">
        <v>44.52</v>
      </c>
      <c r="F9593" s="2">
        <v>2</v>
      </c>
      <c r="G9593" s="2" t="s">
        <v>13</v>
      </c>
    </row>
    <row r="9594" spans="1:9" x14ac:dyDescent="0.2">
      <c r="A9594" s="2" t="s">
        <v>3267</v>
      </c>
      <c r="B9594" s="2" t="s">
        <v>2906</v>
      </c>
      <c r="C9594" s="2">
        <v>500.11509999999998</v>
      </c>
      <c r="D9594" s="2">
        <f>HYPERLINK("http://mcb-m6.bioreg.kyushu-u.ac.jp/M3/20110428/F51127/757/1", 62.82)</f>
        <v>62.82</v>
      </c>
      <c r="E9594" s="2">
        <v>40</v>
      </c>
      <c r="F9594" s="2">
        <v>2</v>
      </c>
      <c r="G9594" s="2" t="s">
        <v>13</v>
      </c>
    </row>
    <row r="9595" spans="1:9" x14ac:dyDescent="0.2">
      <c r="A9595" s="2" t="s">
        <v>3267</v>
      </c>
      <c r="B9595" s="2" t="s">
        <v>2506</v>
      </c>
      <c r="C9595" s="2">
        <v>1045.047</v>
      </c>
      <c r="D9595" s="2">
        <f>HYPERLINK("http://mcb-m6.bioreg.kyushu-u.ac.jp/M3/20110428/F51132/3168/1", 66.14)</f>
        <v>66.14</v>
      </c>
      <c r="E9595" s="2">
        <v>57.21</v>
      </c>
      <c r="F9595" s="2">
        <v>2</v>
      </c>
      <c r="G9595" s="2" t="s">
        <v>13</v>
      </c>
      <c r="I9595" s="2" t="s">
        <v>4966</v>
      </c>
    </row>
    <row r="9596" spans="1:9" x14ac:dyDescent="0.2">
      <c r="A9596" s="2" t="s">
        <v>3267</v>
      </c>
      <c r="B9596" s="2" t="s">
        <v>491</v>
      </c>
      <c r="C9596" s="2">
        <v>766.39869999999996</v>
      </c>
      <c r="D9596" s="2">
        <f>HYPERLINK("http://mcb-m6.bioreg.kyushu-u.ac.jp/M3/20110427/F51117/2109/1", 66.94)</f>
        <v>66.94</v>
      </c>
      <c r="E9596" s="2">
        <v>48.51</v>
      </c>
      <c r="F9596" s="2">
        <v>2</v>
      </c>
      <c r="G9596" s="2" t="s">
        <v>13</v>
      </c>
    </row>
    <row r="9597" spans="1:9" x14ac:dyDescent="0.2">
      <c r="A9597" s="2" t="s">
        <v>3267</v>
      </c>
      <c r="B9597" s="2" t="s">
        <v>1606</v>
      </c>
      <c r="C9597" s="2">
        <v>575.12620000000004</v>
      </c>
      <c r="D9597" s="2">
        <f>HYPERLINK("http://mcb-m6.bioreg.kyushu-u.ac.jp/M3/20110428/F51133/2489/1", 66.98)</f>
        <v>66.98</v>
      </c>
      <c r="E9597" s="2">
        <v>48.42</v>
      </c>
      <c r="F9597" s="2">
        <v>3</v>
      </c>
      <c r="G9597" s="2" t="s">
        <v>13</v>
      </c>
    </row>
    <row r="9598" spans="1:9" x14ac:dyDescent="0.2">
      <c r="A9598" s="2" t="s">
        <v>3267</v>
      </c>
      <c r="B9598" s="2" t="s">
        <v>491</v>
      </c>
      <c r="C9598" s="2">
        <v>766.18370000000004</v>
      </c>
      <c r="D9598" s="2">
        <f>HYPERLINK("http://mcb-m6.bioreg.kyushu-u.ac.jp/M3/20110428/F51131/1953/1", 67.98)</f>
        <v>67.98</v>
      </c>
      <c r="E9598" s="2">
        <v>55.57</v>
      </c>
      <c r="F9598" s="2">
        <v>2</v>
      </c>
      <c r="G9598" s="2" t="s">
        <v>13</v>
      </c>
    </row>
    <row r="9599" spans="1:9" x14ac:dyDescent="0.2">
      <c r="A9599" s="2" t="s">
        <v>3267</v>
      </c>
      <c r="B9599" s="2" t="s">
        <v>1606</v>
      </c>
      <c r="C9599" s="2">
        <v>862.84370000000001</v>
      </c>
      <c r="D9599" s="2">
        <f>HYPERLINK("http://mcb-m6.bioreg.kyushu-u.ac.jp/M3/20110427/F51116/2628/1", 72.25)</f>
        <v>72.25</v>
      </c>
      <c r="E9599" s="2">
        <v>57.65</v>
      </c>
      <c r="F9599" s="2">
        <v>2</v>
      </c>
      <c r="G9599" s="2" t="s">
        <v>13</v>
      </c>
    </row>
    <row r="9600" spans="1:9" x14ac:dyDescent="0.2">
      <c r="A9600" s="2" t="s">
        <v>3267</v>
      </c>
      <c r="B9600" s="2" t="s">
        <v>491</v>
      </c>
      <c r="C9600" s="2">
        <v>766.28610000000003</v>
      </c>
      <c r="D9600" s="2">
        <f>HYPERLINK("http://mcb-m6.bioreg.kyushu-u.ac.jp/M3/20110428/F51127/2022/1", 73.18)</f>
        <v>73.180000000000007</v>
      </c>
      <c r="E9600" s="2">
        <v>54.1</v>
      </c>
      <c r="F9600" s="2">
        <v>2</v>
      </c>
      <c r="G9600" s="2" t="s">
        <v>13</v>
      </c>
    </row>
    <row r="9601" spans="1:7" x14ac:dyDescent="0.2">
      <c r="A9601" s="2" t="s">
        <v>3267</v>
      </c>
      <c r="B9601" s="2" t="s">
        <v>491</v>
      </c>
      <c r="C9601" s="2">
        <v>766.31269999999995</v>
      </c>
      <c r="D9601" s="2">
        <f>HYPERLINK("http://mcb-m6.bioreg.kyushu-u.ac.jp/M3/20110427/F51114/2198/1", 73.28)</f>
        <v>73.28</v>
      </c>
      <c r="E9601" s="2">
        <v>58.44</v>
      </c>
      <c r="F9601" s="2">
        <v>2</v>
      </c>
      <c r="G9601" s="2" t="s">
        <v>13</v>
      </c>
    </row>
    <row r="9602" spans="1:7" x14ac:dyDescent="0.2">
      <c r="A9602" s="2" t="s">
        <v>3267</v>
      </c>
      <c r="B9602" s="2" t="s">
        <v>491</v>
      </c>
      <c r="C9602" s="2">
        <v>766.24869999999999</v>
      </c>
      <c r="D9602" s="2">
        <f>HYPERLINK("http://mcb-m6.bioreg.kyushu-u.ac.jp/M3/20110428/F51132/2152/1", 76.14)</f>
        <v>76.14</v>
      </c>
      <c r="E9602" s="2">
        <v>50.36</v>
      </c>
      <c r="F9602" s="2">
        <v>2</v>
      </c>
      <c r="G9602" s="2" t="s">
        <v>13</v>
      </c>
    </row>
    <row r="9603" spans="1:7" x14ac:dyDescent="0.2">
      <c r="A9603" s="2" t="s">
        <v>3267</v>
      </c>
      <c r="B9603" s="2" t="s">
        <v>491</v>
      </c>
      <c r="C9603" s="2">
        <v>766.27419999999995</v>
      </c>
      <c r="D9603" s="2">
        <f>HYPERLINK("http://mcb-m6.bioreg.kyushu-u.ac.jp/M3/20110427/F51115/2086/1", 78.44)</f>
        <v>78.44</v>
      </c>
      <c r="E9603" s="2">
        <v>56.04</v>
      </c>
      <c r="F9603" s="2">
        <v>2</v>
      </c>
      <c r="G9603" s="2" t="s">
        <v>13</v>
      </c>
    </row>
    <row r="9604" spans="1:7" x14ac:dyDescent="0.2">
      <c r="A9604" s="2" t="s">
        <v>3267</v>
      </c>
      <c r="B9604" s="2" t="s">
        <v>491</v>
      </c>
      <c r="C9604" s="2">
        <v>766.31320000000005</v>
      </c>
      <c r="D9604" s="2">
        <f>HYPERLINK("http://mcb-m6.bioreg.kyushu-u.ac.jp/M3/20110427/F51113/2109/1", 82.09)</f>
        <v>82.09</v>
      </c>
      <c r="E9604" s="2">
        <v>66.34</v>
      </c>
      <c r="F9604" s="2">
        <v>2</v>
      </c>
      <c r="G9604" s="2" t="s">
        <v>13</v>
      </c>
    </row>
    <row r="9605" spans="1:7" x14ac:dyDescent="0.2">
      <c r="A9605" s="2" t="s">
        <v>3267</v>
      </c>
      <c r="B9605" s="2" t="s">
        <v>1640</v>
      </c>
      <c r="C9605" s="2">
        <v>863.76260000000002</v>
      </c>
      <c r="D9605" s="2">
        <f>HYPERLINK("http://mcb-m6.bioreg.kyushu-u.ac.jp/M3/20110428/F51132/2635/1", 86.46)</f>
        <v>86.46</v>
      </c>
      <c r="E9605" s="2">
        <v>75.61</v>
      </c>
      <c r="F9605" s="2">
        <v>2</v>
      </c>
      <c r="G9605" s="2" t="s">
        <v>13</v>
      </c>
    </row>
    <row r="9606" spans="1:7" x14ac:dyDescent="0.2">
      <c r="A9606" s="2" t="s">
        <v>3267</v>
      </c>
      <c r="B9606" s="2" t="s">
        <v>491</v>
      </c>
      <c r="C9606" s="2">
        <v>766.5847</v>
      </c>
      <c r="D9606" s="2">
        <f>HYPERLINK("http://mcb-m6.bioreg.kyushu-u.ac.jp/M3/20110428/F51133/2038/1", 91.47)</f>
        <v>91.47</v>
      </c>
      <c r="E9606" s="2">
        <v>75.42</v>
      </c>
      <c r="F9606" s="2">
        <v>2</v>
      </c>
      <c r="G9606" s="2" t="s">
        <v>13</v>
      </c>
    </row>
    <row r="9607" spans="1:7" x14ac:dyDescent="0.2">
      <c r="A9607" s="2" t="s">
        <v>3267</v>
      </c>
      <c r="B9607" s="2" t="s">
        <v>2071</v>
      </c>
      <c r="C9607" s="2">
        <v>1164.31</v>
      </c>
      <c r="D9607" s="2">
        <f>HYPERLINK("http://mcb-m6.bioreg.kyushu-u.ac.jp/M3/20110428/F51132/3411/1", 91.68)</f>
        <v>91.68</v>
      </c>
      <c r="E9607" s="2">
        <v>77.58</v>
      </c>
      <c r="F9607" s="2">
        <v>2</v>
      </c>
      <c r="G9607" s="2" t="s">
        <v>13</v>
      </c>
    </row>
    <row r="9608" spans="1:7" x14ac:dyDescent="0.2">
      <c r="A9608" s="2" t="s">
        <v>3267</v>
      </c>
      <c r="B9608" s="2" t="s">
        <v>1640</v>
      </c>
      <c r="C9608" s="2">
        <v>864.31709999999998</v>
      </c>
      <c r="D9608" s="2">
        <f>HYPERLINK("http://mcb-m6.bioreg.kyushu-u.ac.jp/M3/20110428/F51132/2637/1", 93.35)</f>
        <v>93.35</v>
      </c>
      <c r="E9608" s="2">
        <v>79.86</v>
      </c>
      <c r="F9608" s="2">
        <v>2</v>
      </c>
      <c r="G9608" s="2" t="s">
        <v>13</v>
      </c>
    </row>
    <row r="9609" spans="1:7" x14ac:dyDescent="0.2">
      <c r="A9609" s="2" t="s">
        <v>3267</v>
      </c>
      <c r="B9609" s="2" t="s">
        <v>1606</v>
      </c>
      <c r="C9609" s="2">
        <v>862.21420000000001</v>
      </c>
      <c r="D9609" s="2">
        <f>HYPERLINK("http://mcb-m6.bioreg.kyushu-u.ac.jp/M3/20110427/F51115/2486/1", 94.25)</f>
        <v>94.25</v>
      </c>
      <c r="E9609" s="2">
        <v>85.15</v>
      </c>
      <c r="F9609" s="2">
        <v>2</v>
      </c>
      <c r="G9609" s="2" t="s">
        <v>13</v>
      </c>
    </row>
    <row r="9610" spans="1:7" x14ac:dyDescent="0.2">
      <c r="A9610" s="2" t="s">
        <v>3267</v>
      </c>
      <c r="B9610" s="2" t="s">
        <v>1606</v>
      </c>
      <c r="C9610" s="2">
        <v>862.71310000000005</v>
      </c>
      <c r="D9610" s="2">
        <f>HYPERLINK("http://mcb-m6.bioreg.kyushu-u.ac.jp/M3/20110428/F51132/2628/1", 94.4)</f>
        <v>94.4</v>
      </c>
      <c r="E9610" s="2">
        <v>85.3</v>
      </c>
      <c r="F9610" s="2">
        <v>2</v>
      </c>
      <c r="G9610" s="2" t="s">
        <v>13</v>
      </c>
    </row>
    <row r="9611" spans="1:7" x14ac:dyDescent="0.2">
      <c r="A9611" s="2" t="s">
        <v>3267</v>
      </c>
      <c r="B9611" s="2" t="s">
        <v>1606</v>
      </c>
      <c r="C9611" s="2">
        <v>862.3066</v>
      </c>
      <c r="D9611" s="2">
        <f>HYPERLINK("http://mcb-m6.bioreg.kyushu-u.ac.jp/M3/20110427/F51114/2679/1", 97.09)</f>
        <v>97.09</v>
      </c>
      <c r="E9611" s="2">
        <v>84.18</v>
      </c>
      <c r="F9611" s="2">
        <v>2</v>
      </c>
      <c r="G9611" s="2" t="s">
        <v>13</v>
      </c>
    </row>
    <row r="9612" spans="1:7" x14ac:dyDescent="0.2">
      <c r="A9612" s="2" t="s">
        <v>3267</v>
      </c>
      <c r="B9612" s="2" t="s">
        <v>1606</v>
      </c>
      <c r="C9612" s="2">
        <v>862.29269999999997</v>
      </c>
      <c r="D9612" s="2">
        <f>HYPERLINK("http://mcb-m6.bioreg.kyushu-u.ac.jp/M3/20110428/F51133/2490/1", 101.73)</f>
        <v>101.73</v>
      </c>
      <c r="E9612" s="2">
        <v>89.22</v>
      </c>
      <c r="F9612" s="2">
        <v>2</v>
      </c>
      <c r="G9612" s="2" t="s">
        <v>13</v>
      </c>
    </row>
    <row r="9613" spans="1:7" x14ac:dyDescent="0.2">
      <c r="A9613" s="2" t="s">
        <v>3267</v>
      </c>
      <c r="B9613" s="2" t="s">
        <v>2071</v>
      </c>
      <c r="C9613" s="2">
        <v>1163.643</v>
      </c>
      <c r="D9613" s="2">
        <f>HYPERLINK("http://mcb-m6.bioreg.kyushu-u.ac.jp/M3/20110428/F51132/3410/1", 104.86)</f>
        <v>104.86</v>
      </c>
      <c r="E9613" s="2">
        <v>94.02</v>
      </c>
      <c r="F9613" s="2">
        <v>2</v>
      </c>
      <c r="G9613" s="2" t="s">
        <v>13</v>
      </c>
    </row>
    <row r="9614" spans="1:7" x14ac:dyDescent="0.2">
      <c r="A9614" s="2" t="s">
        <v>3267</v>
      </c>
      <c r="B9614" s="2" t="s">
        <v>1606</v>
      </c>
      <c r="C9614" s="2">
        <v>862.08510000000001</v>
      </c>
      <c r="D9614" s="2">
        <f>HYPERLINK("http://mcb-m6.bioreg.kyushu-u.ac.jp/M3/20110428/F51131/2396/1", 104.94)</f>
        <v>104.94</v>
      </c>
      <c r="E9614" s="2">
        <v>84.47</v>
      </c>
      <c r="F9614" s="2">
        <v>2</v>
      </c>
      <c r="G9614" s="2" t="s">
        <v>13</v>
      </c>
    </row>
    <row r="9615" spans="1:7" x14ac:dyDescent="0.2">
      <c r="A9615" s="2" t="s">
        <v>3267</v>
      </c>
      <c r="B9615" s="2" t="s">
        <v>1353</v>
      </c>
      <c r="C9615" s="2">
        <v>825.47170000000006</v>
      </c>
      <c r="D9615" s="2">
        <f>HYPERLINK("http://mcb-m6.bioreg.kyushu-u.ac.jp/M3/20110427/F51114/2522/1", 106.69)</f>
        <v>106.69</v>
      </c>
      <c r="E9615" s="2">
        <v>74.540000000000006</v>
      </c>
      <c r="F9615" s="2">
        <v>2</v>
      </c>
      <c r="G9615" s="2" t="s">
        <v>13</v>
      </c>
    </row>
    <row r="9616" spans="1:7" x14ac:dyDescent="0.2">
      <c r="A9616" s="2" t="s">
        <v>3267</v>
      </c>
      <c r="B9616" s="2" t="s">
        <v>1606</v>
      </c>
      <c r="C9616" s="2">
        <v>862.66309999999999</v>
      </c>
      <c r="D9616" s="2">
        <f>HYPERLINK("http://mcb-m6.bioreg.kyushu-u.ac.jp/M3/20110428/F51127/2577/1", 108.07)</f>
        <v>108.07</v>
      </c>
      <c r="E9616" s="2">
        <v>95.01</v>
      </c>
      <c r="F9616" s="2">
        <v>2</v>
      </c>
      <c r="G9616" s="2" t="s">
        <v>13</v>
      </c>
    </row>
    <row r="9617" spans="1:7" x14ac:dyDescent="0.2">
      <c r="A9617" s="2" t="s">
        <v>3267</v>
      </c>
      <c r="B9617" s="2" t="s">
        <v>602</v>
      </c>
      <c r="C9617" s="2">
        <v>742.64570000000003</v>
      </c>
      <c r="D9617" s="2">
        <f>HYPERLINK("http://mcb-m6.bioreg.kyushu-u.ac.jp/M3/20110428/F51127/1890/1", 109.53)</f>
        <v>109.53</v>
      </c>
      <c r="E9617" s="2">
        <v>100.25</v>
      </c>
      <c r="F9617" s="2">
        <v>2</v>
      </c>
      <c r="G9617" s="2" t="s">
        <v>13</v>
      </c>
    </row>
    <row r="9618" spans="1:7" x14ac:dyDescent="0.2">
      <c r="A9618" s="2" t="s">
        <v>3267</v>
      </c>
      <c r="B9618" s="2" t="s">
        <v>602</v>
      </c>
      <c r="C9618" s="2">
        <v>742.14170000000001</v>
      </c>
      <c r="D9618" s="2">
        <f>HYPERLINK("http://mcb-m6.bioreg.kyushu-u.ac.jp/M3/20110428/F51127/1884/1", 111.28)</f>
        <v>111.28</v>
      </c>
      <c r="E9618" s="2">
        <v>97.17</v>
      </c>
      <c r="F9618" s="2">
        <v>2</v>
      </c>
      <c r="G9618" s="2" t="s">
        <v>13</v>
      </c>
    </row>
    <row r="9619" spans="1:7" x14ac:dyDescent="0.2">
      <c r="A9619" s="2" t="s">
        <v>3267</v>
      </c>
      <c r="B9619" s="2" t="s">
        <v>602</v>
      </c>
      <c r="C9619" s="2">
        <v>742.72270000000003</v>
      </c>
      <c r="D9619" s="2">
        <f>HYPERLINK("http://mcb-m6.bioreg.kyushu-u.ac.jp/M3/20110427/F51115/1992/1", 114.42)</f>
        <v>114.42</v>
      </c>
      <c r="E9619" s="2">
        <v>99.8</v>
      </c>
      <c r="F9619" s="2">
        <v>2</v>
      </c>
      <c r="G9619" s="2" t="s">
        <v>13</v>
      </c>
    </row>
    <row r="9620" spans="1:7" x14ac:dyDescent="0.2">
      <c r="A9620" s="2" t="s">
        <v>3267</v>
      </c>
      <c r="B9620" s="2" t="s">
        <v>1353</v>
      </c>
      <c r="C9620" s="2">
        <v>825.32069999999999</v>
      </c>
      <c r="D9620" s="2">
        <f>HYPERLINK("http://mcb-m6.bioreg.kyushu-u.ac.jp/M3/20110428/F51133/2354/1", 117.55)</f>
        <v>117.55</v>
      </c>
      <c r="E9620" s="2">
        <v>94.26</v>
      </c>
      <c r="F9620" s="2">
        <v>2</v>
      </c>
      <c r="G9620" s="2" t="s">
        <v>13</v>
      </c>
    </row>
    <row r="9621" spans="1:7" x14ac:dyDescent="0.2">
      <c r="A9621" s="2" t="s">
        <v>3267</v>
      </c>
      <c r="B9621" s="2" t="s">
        <v>602</v>
      </c>
      <c r="C9621" s="2">
        <v>742.24469999999997</v>
      </c>
      <c r="D9621" s="2">
        <f>HYPERLINK("http://mcb-m6.bioreg.kyushu-u.ac.jp/M3/20110428/F51132/2014/1", 125.39)</f>
        <v>125.39</v>
      </c>
      <c r="E9621" s="2">
        <v>112.48</v>
      </c>
      <c r="F9621" s="2">
        <v>2</v>
      </c>
      <c r="G9621" s="2" t="s">
        <v>13</v>
      </c>
    </row>
    <row r="9622" spans="1:7" x14ac:dyDescent="0.2">
      <c r="A9622" s="2" t="s">
        <v>3267</v>
      </c>
      <c r="B9622" s="2" t="s">
        <v>1353</v>
      </c>
      <c r="C9622" s="2">
        <v>825.18820000000005</v>
      </c>
      <c r="D9622" s="2">
        <f>HYPERLINK("http://mcb-m6.bioreg.kyushu-u.ac.jp/M3/20110428/F51127/2385/1", 128.25)</f>
        <v>128.25</v>
      </c>
      <c r="E9622" s="2">
        <v>97.06</v>
      </c>
      <c r="F9622" s="2">
        <v>2</v>
      </c>
      <c r="G9622" s="2" t="s">
        <v>13</v>
      </c>
    </row>
    <row r="9623" spans="1:7" x14ac:dyDescent="0.2">
      <c r="A9623" s="2" t="s">
        <v>3267</v>
      </c>
      <c r="B9623" s="2" t="s">
        <v>602</v>
      </c>
      <c r="C9623" s="2">
        <v>742.49720000000002</v>
      </c>
      <c r="D9623" s="2">
        <f>HYPERLINK("http://mcb-m6.bioreg.kyushu-u.ac.jp/M3/20110427/F51114/2069/1", 128.53)</f>
        <v>128.53</v>
      </c>
      <c r="E9623" s="2">
        <v>107.53</v>
      </c>
      <c r="F9623" s="2">
        <v>2</v>
      </c>
      <c r="G9623" s="2" t="s">
        <v>13</v>
      </c>
    </row>
    <row r="9624" spans="1:7" x14ac:dyDescent="0.2">
      <c r="A9624" s="2" t="s">
        <v>3267</v>
      </c>
      <c r="B9624" s="2" t="s">
        <v>602</v>
      </c>
      <c r="C9624" s="2">
        <v>742.28269999999998</v>
      </c>
      <c r="D9624" s="2">
        <f>HYPERLINK("http://mcb-m6.bioreg.kyushu-u.ac.jp/M3/20110428/F51133/1913/1", 132.32)</f>
        <v>132.32</v>
      </c>
      <c r="E9624" s="2">
        <v>119.95</v>
      </c>
      <c r="F9624" s="2">
        <v>2</v>
      </c>
      <c r="G9624" s="2" t="s">
        <v>13</v>
      </c>
    </row>
    <row r="9625" spans="1:7" x14ac:dyDescent="0.2">
      <c r="A9625" s="2" t="s">
        <v>3267</v>
      </c>
      <c r="B9625" s="2" t="s">
        <v>1353</v>
      </c>
      <c r="C9625" s="2">
        <v>825.29819999999995</v>
      </c>
      <c r="D9625" s="2">
        <f>HYPERLINK("http://mcb-m6.bioreg.kyushu-u.ac.jp/M3/20110428/F51132/2480/1", 142.14)</f>
        <v>142.13999999999999</v>
      </c>
      <c r="E9625" s="2">
        <v>114.22</v>
      </c>
      <c r="F9625" s="2">
        <v>2</v>
      </c>
      <c r="G9625" s="2" t="s">
        <v>13</v>
      </c>
    </row>
    <row r="9626" spans="1:7" x14ac:dyDescent="0.2">
      <c r="A9626" s="2" t="s">
        <v>3267</v>
      </c>
      <c r="B9626" s="2" t="s">
        <v>147</v>
      </c>
      <c r="C9626" s="2">
        <v>829.28399999999999</v>
      </c>
      <c r="D9626" s="2">
        <f>HYPERLINK("http://mcb-m6.bioreg.kyushu-u.ac.jp/M3/20110427/F51122/1019/1", 35.03)</f>
        <v>35.03</v>
      </c>
      <c r="E9626" s="2">
        <v>9.9700000000000006</v>
      </c>
      <c r="F9626" s="2">
        <v>1</v>
      </c>
      <c r="G9626" s="2" t="s">
        <v>14</v>
      </c>
    </row>
    <row r="9627" spans="1:7" x14ac:dyDescent="0.2">
      <c r="A9627" s="2" t="s">
        <v>3267</v>
      </c>
      <c r="B9627" s="2" t="s">
        <v>1526</v>
      </c>
      <c r="C9627" s="2">
        <v>619.84559999999999</v>
      </c>
      <c r="D9627" s="2">
        <f>HYPERLINK("http://mcb-m6.bioreg.kyushu-u.ac.jp/M3/20110428/F51130/1549/1", 35.14)</f>
        <v>35.14</v>
      </c>
      <c r="E9627" s="2">
        <v>19.84</v>
      </c>
      <c r="F9627" s="2">
        <v>2</v>
      </c>
      <c r="G9627" s="2" t="s">
        <v>14</v>
      </c>
    </row>
    <row r="9628" spans="1:7" x14ac:dyDescent="0.2">
      <c r="A9628" s="2" t="s">
        <v>3267</v>
      </c>
      <c r="B9628" s="2" t="s">
        <v>1526</v>
      </c>
      <c r="C9628" s="2">
        <v>619.63819999999998</v>
      </c>
      <c r="D9628" s="2">
        <f>HYPERLINK("http://mcb-m6.bioreg.kyushu-u.ac.jp/M3/20110428/F51129/1488/1", 36.27)</f>
        <v>36.270000000000003</v>
      </c>
      <c r="E9628" s="2">
        <v>23.67</v>
      </c>
      <c r="F9628" s="2">
        <v>2</v>
      </c>
      <c r="G9628" s="2" t="s">
        <v>14</v>
      </c>
    </row>
    <row r="9629" spans="1:7" x14ac:dyDescent="0.2">
      <c r="A9629" s="2" t="s">
        <v>3267</v>
      </c>
      <c r="B9629" s="2" t="s">
        <v>1923</v>
      </c>
      <c r="C9629" s="2">
        <v>545.09770000000003</v>
      </c>
      <c r="D9629" s="2">
        <f>HYPERLINK("http://mcb-m6.bioreg.kyushu-u.ac.jp/M3/20110428/F51129/1210/1", 36.55)</f>
        <v>36.549999999999997</v>
      </c>
      <c r="E9629" s="2">
        <v>11.24</v>
      </c>
      <c r="F9629" s="2">
        <v>2</v>
      </c>
      <c r="G9629" s="2" t="s">
        <v>14</v>
      </c>
    </row>
    <row r="9630" spans="1:7" x14ac:dyDescent="0.2">
      <c r="A9630" s="2" t="s">
        <v>3267</v>
      </c>
      <c r="B9630" s="2" t="s">
        <v>697</v>
      </c>
      <c r="C9630" s="2">
        <v>489.0609</v>
      </c>
      <c r="D9630" s="2">
        <f>HYPERLINK("http://mcb-m6.bioreg.kyushu-u.ac.jp/M3/20110427/F51118/2020/1", 36.59)</f>
        <v>36.590000000000003</v>
      </c>
      <c r="E9630" s="2">
        <v>22.97</v>
      </c>
      <c r="F9630" s="2">
        <v>3</v>
      </c>
      <c r="G9630" s="2" t="s">
        <v>14</v>
      </c>
    </row>
    <row r="9631" spans="1:7" x14ac:dyDescent="0.2">
      <c r="A9631" s="2" t="s">
        <v>3267</v>
      </c>
      <c r="B9631" s="2" t="s">
        <v>47</v>
      </c>
      <c r="C9631" s="2">
        <v>557.1472</v>
      </c>
      <c r="D9631" s="2">
        <f>HYPERLINK("http://mcb-m6.bioreg.kyushu-u.ac.jp/M3/20110428/F51129/1250/1", 37.65)</f>
        <v>37.65</v>
      </c>
      <c r="E9631" s="2">
        <v>13.61</v>
      </c>
      <c r="F9631" s="2">
        <v>2</v>
      </c>
      <c r="G9631" s="2" t="s">
        <v>14</v>
      </c>
    </row>
    <row r="9632" spans="1:7" x14ac:dyDescent="0.2">
      <c r="A9632" s="2" t="s">
        <v>3267</v>
      </c>
      <c r="B9632" s="2" t="s">
        <v>491</v>
      </c>
      <c r="C9632" s="2">
        <v>766.2242</v>
      </c>
      <c r="D9632" s="2">
        <f>HYPERLINK("http://mcb-m6.bioreg.kyushu-u.ac.jp/M3/20110428/F51129/2191/1", 37.99)</f>
        <v>37.99</v>
      </c>
      <c r="E9632" s="2">
        <v>23.52</v>
      </c>
      <c r="F9632" s="2">
        <v>2</v>
      </c>
      <c r="G9632" s="2" t="s">
        <v>14</v>
      </c>
    </row>
    <row r="9633" spans="1:8" x14ac:dyDescent="0.2">
      <c r="A9633" s="2" t="s">
        <v>3267</v>
      </c>
      <c r="B9633" s="2" t="s">
        <v>97</v>
      </c>
      <c r="C9633" s="2">
        <v>668.62459999999999</v>
      </c>
      <c r="D9633" s="2">
        <f>HYPERLINK("http://mcb-m6.bioreg.kyushu-u.ac.jp/M3/20110428/F51130/1711/1", 38.22)</f>
        <v>38.22</v>
      </c>
      <c r="E9633" s="2">
        <v>14.99</v>
      </c>
      <c r="F9633" s="2">
        <v>2</v>
      </c>
      <c r="G9633" s="2" t="s">
        <v>14</v>
      </c>
    </row>
    <row r="9634" spans="1:8" x14ac:dyDescent="0.2">
      <c r="A9634" s="2" t="s">
        <v>3267</v>
      </c>
      <c r="B9634" s="2" t="s">
        <v>568</v>
      </c>
      <c r="C9634" s="2">
        <v>836.26400000000001</v>
      </c>
      <c r="D9634" s="2">
        <f>HYPERLINK("http://mcb-m6.bioreg.kyushu-u.ac.jp/M3/20110428/F51129/671/1", 38.42)</f>
        <v>38.42</v>
      </c>
      <c r="E9634" s="2">
        <v>16.489999999999998</v>
      </c>
      <c r="F9634" s="2">
        <v>1</v>
      </c>
      <c r="G9634" s="2" t="s">
        <v>14</v>
      </c>
    </row>
    <row r="9635" spans="1:8" x14ac:dyDescent="0.2">
      <c r="A9635" s="2" t="s">
        <v>3267</v>
      </c>
      <c r="B9635" s="2" t="s">
        <v>5482</v>
      </c>
      <c r="C9635" s="2">
        <v>629.7577</v>
      </c>
      <c r="D9635" s="2">
        <f>HYPERLINK("http://mcb-m6.bioreg.kyushu-u.ac.jp/M3/20110428/F51129/1516/1", 39.04)</f>
        <v>39.04</v>
      </c>
      <c r="E9635" s="2">
        <v>25.13</v>
      </c>
      <c r="F9635" s="2">
        <v>2</v>
      </c>
      <c r="G9635" s="2" t="s">
        <v>14</v>
      </c>
    </row>
    <row r="9636" spans="1:8" x14ac:dyDescent="0.2">
      <c r="A9636" s="2" t="s">
        <v>3267</v>
      </c>
      <c r="B9636" s="2" t="s">
        <v>1640</v>
      </c>
      <c r="C9636" s="2">
        <v>864.29769999999996</v>
      </c>
      <c r="D9636" s="2">
        <f>HYPERLINK("http://mcb-m6.bioreg.kyushu-u.ac.jp/M3/20110428/F51129/2634/1", 39.1)</f>
        <v>39.1</v>
      </c>
      <c r="E9636" s="2">
        <v>29.25</v>
      </c>
      <c r="F9636" s="2">
        <v>2</v>
      </c>
      <c r="G9636" s="2" t="s">
        <v>14</v>
      </c>
    </row>
    <row r="9637" spans="1:8" x14ac:dyDescent="0.2">
      <c r="A9637" s="2" t="s">
        <v>3267</v>
      </c>
      <c r="B9637" s="2" t="s">
        <v>2539</v>
      </c>
      <c r="C9637" s="2">
        <v>598.82619999999997</v>
      </c>
      <c r="D9637" s="2">
        <f>HYPERLINK("http://mcb-m6.bioreg.kyushu-u.ac.jp/M3/20110428/F51129/2763/1", 39.5)</f>
        <v>39.5</v>
      </c>
      <c r="E9637" s="2">
        <v>24.32</v>
      </c>
      <c r="F9637" s="2">
        <v>3</v>
      </c>
      <c r="G9637" s="2" t="s">
        <v>14</v>
      </c>
    </row>
    <row r="9638" spans="1:8" x14ac:dyDescent="0.2">
      <c r="A9638" s="2" t="s">
        <v>3267</v>
      </c>
      <c r="B9638" s="2" t="s">
        <v>433</v>
      </c>
      <c r="C9638" s="2">
        <v>546.92619999999999</v>
      </c>
      <c r="D9638" s="2">
        <f>HYPERLINK("http://mcb-m6.bioreg.kyushu-u.ac.jp/M3/20110428/F51129/2467/1", 39.64)</f>
        <v>39.64</v>
      </c>
      <c r="E9638" s="2">
        <v>22.11</v>
      </c>
      <c r="F9638" s="2">
        <v>3</v>
      </c>
      <c r="G9638" s="2" t="s">
        <v>14</v>
      </c>
    </row>
    <row r="9639" spans="1:8" x14ac:dyDescent="0.2">
      <c r="A9639" s="2" t="s">
        <v>3267</v>
      </c>
      <c r="B9639" s="2" t="s">
        <v>697</v>
      </c>
      <c r="C9639" s="2">
        <v>733.17660000000001</v>
      </c>
      <c r="D9639" s="2">
        <f>HYPERLINK("http://mcb-m6.bioreg.kyushu-u.ac.jp/M3/20110428/F51129/2007/1", 39.93)</f>
        <v>39.93</v>
      </c>
      <c r="E9639" s="2">
        <v>18.23</v>
      </c>
      <c r="F9639" s="2">
        <v>2</v>
      </c>
      <c r="G9639" s="2" t="s">
        <v>14</v>
      </c>
    </row>
    <row r="9640" spans="1:8" x14ac:dyDescent="0.2">
      <c r="A9640" s="2" t="s">
        <v>3267</v>
      </c>
      <c r="B9640" s="2" t="s">
        <v>697</v>
      </c>
      <c r="C9640" s="2">
        <v>733.42070000000001</v>
      </c>
      <c r="D9640" s="2">
        <f>HYPERLINK("http://mcb-m6.bioreg.kyushu-u.ac.jp/M3/20110428/F51130/2030/1", 41.27)</f>
        <v>41.27</v>
      </c>
      <c r="E9640" s="2">
        <v>25.54</v>
      </c>
      <c r="F9640" s="2">
        <v>2</v>
      </c>
      <c r="G9640" s="2" t="s">
        <v>14</v>
      </c>
    </row>
    <row r="9641" spans="1:8" x14ac:dyDescent="0.2">
      <c r="A9641" s="2" t="s">
        <v>3267</v>
      </c>
      <c r="B9641" s="2" t="s">
        <v>433</v>
      </c>
      <c r="C9641" s="2">
        <v>819.40219999999999</v>
      </c>
      <c r="D9641" s="2">
        <f>HYPERLINK("http://mcb-m6.bioreg.kyushu-u.ac.jp/M3/20110427/F51122/2454/1", 41.44)</f>
        <v>41.44</v>
      </c>
      <c r="E9641" s="2">
        <v>27.3</v>
      </c>
      <c r="F9641" s="2">
        <v>2</v>
      </c>
      <c r="G9641" s="2" t="s">
        <v>14</v>
      </c>
    </row>
    <row r="9642" spans="1:8" x14ac:dyDescent="0.2">
      <c r="A9642" s="2" t="s">
        <v>3267</v>
      </c>
      <c r="B9642" s="2" t="s">
        <v>1606</v>
      </c>
      <c r="C9642" s="2">
        <v>862.56370000000004</v>
      </c>
      <c r="D9642" s="2">
        <f>HYPERLINK("http://mcb-m6.bioreg.kyushu-u.ac.jp/M3/20110427/F51120/2521/1", 41.58)</f>
        <v>41.58</v>
      </c>
      <c r="E9642" s="2">
        <v>31.79</v>
      </c>
      <c r="F9642" s="2">
        <v>2</v>
      </c>
      <c r="G9642" s="2" t="s">
        <v>14</v>
      </c>
    </row>
    <row r="9643" spans="1:8" x14ac:dyDescent="0.2">
      <c r="A9643" s="2" t="s">
        <v>3267</v>
      </c>
      <c r="B9643" s="2" t="s">
        <v>97</v>
      </c>
      <c r="C9643" s="2">
        <v>668.69870000000003</v>
      </c>
      <c r="D9643" s="2">
        <f>HYPERLINK("http://mcb-m6.bioreg.kyushu-u.ac.jp/M3/20110427/F51120/1816/1", 42.43)</f>
        <v>42.43</v>
      </c>
      <c r="E9643" s="2">
        <v>21.51</v>
      </c>
      <c r="F9643" s="2">
        <v>2</v>
      </c>
      <c r="G9643" s="2" t="s">
        <v>14</v>
      </c>
    </row>
    <row r="9644" spans="1:8" x14ac:dyDescent="0.2">
      <c r="A9644" s="2" t="s">
        <v>3267</v>
      </c>
      <c r="B9644" s="2" t="s">
        <v>433</v>
      </c>
      <c r="C9644" s="2">
        <v>819.29769999999996</v>
      </c>
      <c r="D9644" s="2">
        <f>HYPERLINK("http://mcb-m6.bioreg.kyushu-u.ac.jp/M3/20110428/F51130/2445/1", 42.51)</f>
        <v>42.51</v>
      </c>
      <c r="E9644" s="2">
        <v>27.59</v>
      </c>
      <c r="F9644" s="2">
        <v>2</v>
      </c>
      <c r="G9644" s="2" t="s">
        <v>14</v>
      </c>
    </row>
    <row r="9645" spans="1:8" x14ac:dyDescent="0.2">
      <c r="A9645" s="2" t="s">
        <v>3267</v>
      </c>
      <c r="B9645" s="2" t="s">
        <v>2026</v>
      </c>
      <c r="C9645" s="2">
        <v>679.77560000000005</v>
      </c>
      <c r="D9645" s="2">
        <f>HYPERLINK("http://mcb-m6.bioreg.kyushu-u.ac.jp/M3/20110428/F51130/1761/1", 43.05)</f>
        <v>43.05</v>
      </c>
      <c r="E9645" s="2">
        <v>24.7</v>
      </c>
      <c r="F9645" s="2">
        <v>2</v>
      </c>
      <c r="G9645" s="2" t="s">
        <v>14</v>
      </c>
    </row>
    <row r="9646" spans="1:8" x14ac:dyDescent="0.2">
      <c r="A9646" s="2" t="s">
        <v>3267</v>
      </c>
      <c r="B9646" s="2" t="s">
        <v>697</v>
      </c>
      <c r="C9646" s="2">
        <v>489.01119999999997</v>
      </c>
      <c r="D9646" s="2">
        <f>HYPERLINK("http://mcb-m6.bioreg.kyushu-u.ac.jp/M3/20110428/F51129/2006/1", 44.09)</f>
        <v>44.09</v>
      </c>
      <c r="E9646" s="2">
        <v>27.77</v>
      </c>
      <c r="F9646" s="2">
        <v>3</v>
      </c>
      <c r="G9646" s="2" t="s">
        <v>14</v>
      </c>
    </row>
    <row r="9647" spans="1:8" x14ac:dyDescent="0.2">
      <c r="A9647" s="2" t="s">
        <v>3267</v>
      </c>
      <c r="B9647" s="2" t="s">
        <v>3018</v>
      </c>
      <c r="C9647" s="2">
        <v>520.68020000000001</v>
      </c>
      <c r="D9647" s="2">
        <f>HYPERLINK("http://mcb-m6.bioreg.kyushu-u.ac.jp/M3/20110428/F51129/1092/1", 44.12)</f>
        <v>44.12</v>
      </c>
      <c r="E9647" s="2">
        <v>18.23</v>
      </c>
      <c r="F9647" s="2">
        <v>2</v>
      </c>
      <c r="G9647" s="2" t="s">
        <v>14</v>
      </c>
    </row>
    <row r="9648" spans="1:8" x14ac:dyDescent="0.2">
      <c r="A9648" s="2" t="s">
        <v>3267</v>
      </c>
      <c r="B9648" s="2" t="s">
        <v>47</v>
      </c>
      <c r="C9648" s="2">
        <v>548.75459999999998</v>
      </c>
      <c r="D9648" s="2">
        <f>HYPERLINK("http://mcb-m6.bioreg.kyushu-u.ac.jp/M3/20110428/F51129/1221/1", 44.17)</f>
        <v>44.17</v>
      </c>
      <c r="E9648" s="2">
        <v>13.25</v>
      </c>
      <c r="F9648" s="2">
        <v>2</v>
      </c>
      <c r="G9648" s="2" t="s">
        <v>14</v>
      </c>
      <c r="H9648" s="2" t="s">
        <v>4904</v>
      </c>
    </row>
    <row r="9649" spans="1:8" x14ac:dyDescent="0.2">
      <c r="A9649" s="2" t="s">
        <v>3267</v>
      </c>
      <c r="B9649" s="2" t="s">
        <v>433</v>
      </c>
      <c r="C9649" s="2">
        <v>819.69460000000004</v>
      </c>
      <c r="D9649" s="2">
        <f>HYPERLINK("http://mcb-m6.bioreg.kyushu-u.ac.jp/M3/20110428/F51128/2371/1", 44.51)</f>
        <v>44.51</v>
      </c>
      <c r="E9649" s="2">
        <v>29.04</v>
      </c>
      <c r="F9649" s="2">
        <v>2</v>
      </c>
      <c r="G9649" s="2" t="s">
        <v>14</v>
      </c>
    </row>
    <row r="9650" spans="1:8" x14ac:dyDescent="0.2">
      <c r="A9650" s="2" t="s">
        <v>3267</v>
      </c>
      <c r="B9650" s="2" t="s">
        <v>47</v>
      </c>
      <c r="C9650" s="2">
        <v>549.31820000000005</v>
      </c>
      <c r="D9650" s="2">
        <f>HYPERLINK("http://mcb-m6.bioreg.kyushu-u.ac.jp/M3/20110427/F51124/1271/1", 44.63)</f>
        <v>44.63</v>
      </c>
      <c r="E9650" s="2">
        <v>20.27</v>
      </c>
      <c r="F9650" s="2">
        <v>2</v>
      </c>
      <c r="G9650" s="2" t="s">
        <v>14</v>
      </c>
      <c r="H9650" s="2" t="s">
        <v>4904</v>
      </c>
    </row>
    <row r="9651" spans="1:8" x14ac:dyDescent="0.2">
      <c r="A9651" s="2" t="s">
        <v>3267</v>
      </c>
      <c r="B9651" s="2" t="s">
        <v>697</v>
      </c>
      <c r="C9651" s="2">
        <v>732.65769999999998</v>
      </c>
      <c r="D9651" s="2">
        <f>HYPERLINK("http://mcb-m6.bioreg.kyushu-u.ac.jp/M3/20110428/F51129/2002/1", 45.69)</f>
        <v>45.69</v>
      </c>
      <c r="E9651" s="2">
        <v>25.1</v>
      </c>
      <c r="F9651" s="2">
        <v>2</v>
      </c>
      <c r="G9651" s="2" t="s">
        <v>14</v>
      </c>
    </row>
    <row r="9652" spans="1:8" x14ac:dyDescent="0.2">
      <c r="A9652" s="2" t="s">
        <v>3267</v>
      </c>
      <c r="B9652" s="2" t="s">
        <v>97</v>
      </c>
      <c r="C9652" s="2">
        <v>669.38419999999996</v>
      </c>
      <c r="D9652" s="2">
        <f>HYPERLINK("http://mcb-m6.bioreg.kyushu-u.ac.jp/M3/20110428/F51135/1509/1", 45.93)</f>
        <v>45.93</v>
      </c>
      <c r="E9652" s="2">
        <v>27.58</v>
      </c>
      <c r="F9652" s="2">
        <v>2</v>
      </c>
      <c r="G9652" s="2" t="s">
        <v>14</v>
      </c>
    </row>
    <row r="9653" spans="1:8" x14ac:dyDescent="0.2">
      <c r="A9653" s="2" t="s">
        <v>3267</v>
      </c>
      <c r="B9653" s="2" t="s">
        <v>97</v>
      </c>
      <c r="C9653" s="2">
        <v>668.6422</v>
      </c>
      <c r="D9653" s="2">
        <f>HYPERLINK("http://mcb-m6.bioreg.kyushu-u.ac.jp/M3/20110427/F51122/1845/1", 46.34)</f>
        <v>46.34</v>
      </c>
      <c r="E9653" s="2">
        <v>22.19</v>
      </c>
      <c r="F9653" s="2">
        <v>2</v>
      </c>
      <c r="G9653" s="2" t="s">
        <v>14</v>
      </c>
    </row>
    <row r="9654" spans="1:8" x14ac:dyDescent="0.2">
      <c r="A9654" s="2" t="s">
        <v>3267</v>
      </c>
      <c r="B9654" s="2" t="s">
        <v>855</v>
      </c>
      <c r="C9654" s="2">
        <v>498.18560000000002</v>
      </c>
      <c r="D9654" s="2">
        <f>HYPERLINK("http://mcb-m6.bioreg.kyushu-u.ac.jp/M3/20110428/F51129/967/1", 46.56)</f>
        <v>46.56</v>
      </c>
      <c r="E9654" s="2">
        <v>5.19</v>
      </c>
      <c r="F9654" s="2">
        <v>2</v>
      </c>
      <c r="G9654" s="2" t="s">
        <v>14</v>
      </c>
    </row>
    <row r="9655" spans="1:8" x14ac:dyDescent="0.2">
      <c r="A9655" s="2" t="s">
        <v>3267</v>
      </c>
      <c r="B9655" s="2" t="s">
        <v>994</v>
      </c>
      <c r="C9655" s="2">
        <v>580.39620000000002</v>
      </c>
      <c r="D9655" s="2">
        <f>HYPERLINK("http://mcb-m6.bioreg.kyushu-u.ac.jp/M3/20110428/F51129/1329/1", 47.47)</f>
        <v>47.47</v>
      </c>
      <c r="E9655" s="2">
        <v>23.19</v>
      </c>
      <c r="F9655" s="2">
        <v>2</v>
      </c>
      <c r="G9655" s="2" t="s">
        <v>14</v>
      </c>
    </row>
    <row r="9656" spans="1:8" x14ac:dyDescent="0.2">
      <c r="A9656" s="2" t="s">
        <v>3267</v>
      </c>
      <c r="B9656" s="2" t="s">
        <v>491</v>
      </c>
      <c r="C9656" s="2">
        <v>766.33420000000001</v>
      </c>
      <c r="D9656" s="2">
        <f>HYPERLINK("http://mcb-m6.bioreg.kyushu-u.ac.jp/M3/20110428/F51129/2193/1", 47.71)</f>
        <v>47.71</v>
      </c>
      <c r="E9656" s="2">
        <v>34.49</v>
      </c>
      <c r="F9656" s="2">
        <v>2</v>
      </c>
      <c r="G9656" s="2" t="s">
        <v>14</v>
      </c>
    </row>
    <row r="9657" spans="1:8" x14ac:dyDescent="0.2">
      <c r="A9657" s="2" t="s">
        <v>3267</v>
      </c>
      <c r="B9657" s="2" t="s">
        <v>47</v>
      </c>
      <c r="C9657" s="2">
        <v>548.70370000000003</v>
      </c>
      <c r="D9657" s="2">
        <f>HYPERLINK("http://mcb-m6.bioreg.kyushu-u.ac.jp/M3/20110428/F51130/1243/1", 48.09)</f>
        <v>48.09</v>
      </c>
      <c r="E9657" s="2">
        <v>21.28</v>
      </c>
      <c r="F9657" s="2">
        <v>2</v>
      </c>
      <c r="G9657" s="2" t="s">
        <v>14</v>
      </c>
      <c r="H9657" s="2" t="s">
        <v>4904</v>
      </c>
    </row>
    <row r="9658" spans="1:8" x14ac:dyDescent="0.2">
      <c r="A9658" s="2" t="s">
        <v>3267</v>
      </c>
      <c r="B9658" s="2" t="s">
        <v>47</v>
      </c>
      <c r="C9658" s="2">
        <v>548.72310000000004</v>
      </c>
      <c r="D9658" s="2">
        <f>HYPERLINK("http://mcb-m6.bioreg.kyushu-u.ac.jp/M3/20110427/F51124/1270/1", 48.14)</f>
        <v>48.14</v>
      </c>
      <c r="E9658" s="2">
        <v>22.81</v>
      </c>
      <c r="F9658" s="2">
        <v>2</v>
      </c>
      <c r="G9658" s="2" t="s">
        <v>14</v>
      </c>
      <c r="H9658" s="2" t="s">
        <v>4904</v>
      </c>
    </row>
    <row r="9659" spans="1:8" x14ac:dyDescent="0.2">
      <c r="A9659" s="2" t="s">
        <v>3267</v>
      </c>
      <c r="B9659" s="2" t="s">
        <v>1606</v>
      </c>
      <c r="C9659" s="2">
        <v>574.98689999999999</v>
      </c>
      <c r="D9659" s="2">
        <f>HYPERLINK("http://mcb-m6.bioreg.kyushu-u.ac.jp/M3/20110427/F51123/2585/1", 48.3)</f>
        <v>48.3</v>
      </c>
      <c r="E9659" s="2">
        <v>31.15</v>
      </c>
      <c r="F9659" s="2">
        <v>3</v>
      </c>
      <c r="G9659" s="2" t="s">
        <v>14</v>
      </c>
    </row>
    <row r="9660" spans="1:8" x14ac:dyDescent="0.2">
      <c r="A9660" s="2" t="s">
        <v>3267</v>
      </c>
      <c r="B9660" s="2" t="s">
        <v>433</v>
      </c>
      <c r="C9660" s="2">
        <v>819.50869999999998</v>
      </c>
      <c r="D9660" s="2">
        <f>HYPERLINK("http://mcb-m6.bioreg.kyushu-u.ac.jp/M3/20110428/F51129/2465/1", 48.85)</f>
        <v>48.85</v>
      </c>
      <c r="E9660" s="2">
        <v>33.19</v>
      </c>
      <c r="F9660" s="2">
        <v>2</v>
      </c>
      <c r="G9660" s="2" t="s">
        <v>14</v>
      </c>
    </row>
    <row r="9661" spans="1:8" x14ac:dyDescent="0.2">
      <c r="A9661" s="2" t="s">
        <v>3267</v>
      </c>
      <c r="B9661" s="2" t="s">
        <v>433</v>
      </c>
      <c r="C9661" s="2">
        <v>819.80269999999996</v>
      </c>
      <c r="D9661" s="2">
        <f>HYPERLINK("http://mcb-m6.bioreg.kyushu-u.ac.jp/M3/20110427/F51123/2422/1", 49.12)</f>
        <v>49.12</v>
      </c>
      <c r="E9661" s="2">
        <v>40.049999999999997</v>
      </c>
      <c r="F9661" s="2">
        <v>2</v>
      </c>
      <c r="G9661" s="2" t="s">
        <v>14</v>
      </c>
    </row>
    <row r="9662" spans="1:8" x14ac:dyDescent="0.2">
      <c r="A9662" s="2" t="s">
        <v>3267</v>
      </c>
      <c r="B9662" s="2" t="s">
        <v>433</v>
      </c>
      <c r="C9662" s="2">
        <v>819.79420000000005</v>
      </c>
      <c r="D9662" s="2">
        <f>HYPERLINK("http://mcb-m6.bioreg.kyushu-u.ac.jp/M3/20110428/F51129/2466/1", 49.28)</f>
        <v>49.28</v>
      </c>
      <c r="E9662" s="2">
        <v>38.21</v>
      </c>
      <c r="F9662" s="2">
        <v>2</v>
      </c>
      <c r="G9662" s="2" t="s">
        <v>14</v>
      </c>
    </row>
    <row r="9663" spans="1:8" x14ac:dyDescent="0.2">
      <c r="A9663" s="2" t="s">
        <v>3267</v>
      </c>
      <c r="B9663" s="2" t="s">
        <v>602</v>
      </c>
      <c r="C9663" s="2">
        <v>742.55219999999997</v>
      </c>
      <c r="D9663" s="2">
        <f>HYPERLINK("http://mcb-m6.bioreg.kyushu-u.ac.jp/M3/20110427/F51119/2122/1", 49.38)</f>
        <v>49.38</v>
      </c>
      <c r="E9663" s="2">
        <v>39.69</v>
      </c>
      <c r="F9663" s="2">
        <v>2</v>
      </c>
      <c r="G9663" s="2" t="s">
        <v>14</v>
      </c>
    </row>
    <row r="9664" spans="1:8" x14ac:dyDescent="0.2">
      <c r="A9664" s="2" t="s">
        <v>3267</v>
      </c>
      <c r="B9664" s="2" t="s">
        <v>433</v>
      </c>
      <c r="C9664" s="2">
        <v>819.32460000000003</v>
      </c>
      <c r="D9664" s="2">
        <f>HYPERLINK("http://mcb-m6.bioreg.kyushu-u.ac.jp/M3/20110428/F51129/2464/1", 49.41)</f>
        <v>49.41</v>
      </c>
      <c r="E9664" s="2">
        <v>38.090000000000003</v>
      </c>
      <c r="F9664" s="2">
        <v>2</v>
      </c>
      <c r="G9664" s="2" t="s">
        <v>14</v>
      </c>
    </row>
    <row r="9665" spans="1:7" x14ac:dyDescent="0.2">
      <c r="A9665" s="2" t="s">
        <v>3267</v>
      </c>
      <c r="B9665" s="2" t="s">
        <v>491</v>
      </c>
      <c r="C9665" s="2">
        <v>766.52260000000001</v>
      </c>
      <c r="D9665" s="2">
        <f>HYPERLINK("http://mcb-m6.bioreg.kyushu-u.ac.jp/M3/20110428/F51129/2194/1", 50.64)</f>
        <v>50.64</v>
      </c>
      <c r="E9665" s="2">
        <v>37.97</v>
      </c>
      <c r="F9665" s="2">
        <v>2</v>
      </c>
      <c r="G9665" s="2" t="s">
        <v>14</v>
      </c>
    </row>
    <row r="9666" spans="1:7" x14ac:dyDescent="0.2">
      <c r="A9666" s="2" t="s">
        <v>3267</v>
      </c>
      <c r="B9666" s="2" t="s">
        <v>2906</v>
      </c>
      <c r="C9666" s="2">
        <v>500.16109999999998</v>
      </c>
      <c r="D9666" s="2">
        <f>HYPERLINK("http://mcb-m6.bioreg.kyushu-u.ac.jp/M3/20110428/F51129/984/1", 50.92)</f>
        <v>50.92</v>
      </c>
      <c r="E9666" s="2">
        <v>26.65</v>
      </c>
      <c r="F9666" s="2">
        <v>2</v>
      </c>
      <c r="G9666" s="2" t="s">
        <v>14</v>
      </c>
    </row>
    <row r="9667" spans="1:7" x14ac:dyDescent="0.2">
      <c r="A9667" s="2" t="s">
        <v>3267</v>
      </c>
      <c r="B9667" s="2" t="s">
        <v>697</v>
      </c>
      <c r="C9667" s="2">
        <v>733.21559999999999</v>
      </c>
      <c r="D9667" s="2">
        <f>HYPERLINK("http://mcb-m6.bioreg.kyushu-u.ac.jp/M3/20110427/F51123/1994/1", 51.24)</f>
        <v>51.24</v>
      </c>
      <c r="E9667" s="2">
        <v>26.01</v>
      </c>
      <c r="F9667" s="2">
        <v>2</v>
      </c>
      <c r="G9667" s="2" t="s">
        <v>14</v>
      </c>
    </row>
    <row r="9668" spans="1:7" x14ac:dyDescent="0.2">
      <c r="A9668" s="2" t="s">
        <v>3267</v>
      </c>
      <c r="B9668" s="2" t="s">
        <v>1606</v>
      </c>
      <c r="C9668" s="2">
        <v>575.00450000000001</v>
      </c>
      <c r="D9668" s="2">
        <f>HYPERLINK("http://mcb-m6.bioreg.kyushu-u.ac.jp/M3/20110428/F51129/2621/1", 53.08)</f>
        <v>53.08</v>
      </c>
      <c r="E9668" s="2">
        <v>39.35</v>
      </c>
      <c r="F9668" s="2">
        <v>3</v>
      </c>
      <c r="G9668" s="2" t="s">
        <v>14</v>
      </c>
    </row>
    <row r="9669" spans="1:7" x14ac:dyDescent="0.2">
      <c r="A9669" s="2" t="s">
        <v>3267</v>
      </c>
      <c r="B9669" s="2" t="s">
        <v>491</v>
      </c>
      <c r="C9669" s="2">
        <v>511.44549999999998</v>
      </c>
      <c r="D9669" s="2">
        <f>HYPERLINK("http://mcb-m6.bioreg.kyushu-u.ac.jp/M3/20110428/F51129/2195/1", 54.73)</f>
        <v>54.73</v>
      </c>
      <c r="E9669" s="2">
        <v>39.61</v>
      </c>
      <c r="F9669" s="2">
        <v>3</v>
      </c>
      <c r="G9669" s="2" t="s">
        <v>14</v>
      </c>
    </row>
    <row r="9670" spans="1:7" x14ac:dyDescent="0.2">
      <c r="A9670" s="2" t="s">
        <v>3267</v>
      </c>
      <c r="B9670" s="2" t="s">
        <v>2906</v>
      </c>
      <c r="C9670" s="2">
        <v>500.60809999999998</v>
      </c>
      <c r="D9670" s="2">
        <f>HYPERLINK("http://mcb-m6.bioreg.kyushu-u.ac.jp/M3/20110427/F51123/1023/1", 54.97)</f>
        <v>54.97</v>
      </c>
      <c r="E9670" s="2">
        <v>25.09</v>
      </c>
      <c r="F9670" s="2">
        <v>2</v>
      </c>
      <c r="G9670" s="2" t="s">
        <v>14</v>
      </c>
    </row>
    <row r="9671" spans="1:7" x14ac:dyDescent="0.2">
      <c r="A9671" s="2" t="s">
        <v>3267</v>
      </c>
      <c r="B9671" s="2" t="s">
        <v>697</v>
      </c>
      <c r="C9671" s="2">
        <v>732.62710000000004</v>
      </c>
      <c r="D9671" s="2">
        <f>HYPERLINK("http://mcb-m6.bioreg.kyushu-u.ac.jp/M3/20110428/F51128/1919/1", 55.56)</f>
        <v>55.56</v>
      </c>
      <c r="E9671" s="2">
        <v>34.54</v>
      </c>
      <c r="F9671" s="2">
        <v>2</v>
      </c>
      <c r="G9671" s="2" t="s">
        <v>14</v>
      </c>
    </row>
    <row r="9672" spans="1:7" x14ac:dyDescent="0.2">
      <c r="A9672" s="2" t="s">
        <v>3267</v>
      </c>
      <c r="B9672" s="2" t="s">
        <v>491</v>
      </c>
      <c r="C9672" s="2">
        <v>766.53859999999997</v>
      </c>
      <c r="D9672" s="2">
        <f>HYPERLINK("http://mcb-m6.bioreg.kyushu-u.ac.jp/M3/20110428/F51135/1952/1", 55.94)</f>
        <v>55.94</v>
      </c>
      <c r="E9672" s="2">
        <v>36.409999999999997</v>
      </c>
      <c r="F9672" s="2">
        <v>2</v>
      </c>
      <c r="G9672" s="2" t="s">
        <v>14</v>
      </c>
    </row>
    <row r="9673" spans="1:7" x14ac:dyDescent="0.2">
      <c r="A9673" s="2" t="s">
        <v>3267</v>
      </c>
      <c r="B9673" s="2" t="s">
        <v>433</v>
      </c>
      <c r="C9673" s="2">
        <v>819.25570000000005</v>
      </c>
      <c r="D9673" s="2">
        <f>HYPERLINK("http://mcb-m6.bioreg.kyushu-u.ac.jp/M3/20110428/F51129/2462/1", 57.21)</f>
        <v>57.21</v>
      </c>
      <c r="E9673" s="2">
        <v>46.01</v>
      </c>
      <c r="F9673" s="2">
        <v>2</v>
      </c>
      <c r="G9673" s="2" t="s">
        <v>14</v>
      </c>
    </row>
    <row r="9674" spans="1:7" x14ac:dyDescent="0.2">
      <c r="A9674" s="2" t="s">
        <v>3267</v>
      </c>
      <c r="B9674" s="2" t="s">
        <v>7505</v>
      </c>
      <c r="C9674" s="2">
        <v>804.82119999999998</v>
      </c>
      <c r="D9674" s="2">
        <f>HYPERLINK("http://mcb-m6.bioreg.kyushu-u.ac.jp/M3/20110428/F51129/2402/1", 59.08)</f>
        <v>59.08</v>
      </c>
      <c r="E9674" s="2">
        <v>42.59</v>
      </c>
      <c r="F9674" s="2">
        <v>2</v>
      </c>
      <c r="G9674" s="2" t="s">
        <v>14</v>
      </c>
    </row>
    <row r="9675" spans="1:7" x14ac:dyDescent="0.2">
      <c r="A9675" s="2" t="s">
        <v>3267</v>
      </c>
      <c r="B9675" s="2" t="s">
        <v>855</v>
      </c>
      <c r="C9675" s="2">
        <v>498.7176</v>
      </c>
      <c r="D9675" s="2">
        <f>HYPERLINK("http://mcb-m6.bioreg.kyushu-u.ac.jp/M3/20110428/F51129/969/1", 62.6)</f>
        <v>62.6</v>
      </c>
      <c r="E9675" s="2">
        <v>21.12</v>
      </c>
      <c r="F9675" s="2">
        <v>2</v>
      </c>
      <c r="G9675" s="2" t="s">
        <v>14</v>
      </c>
    </row>
    <row r="9676" spans="1:7" x14ac:dyDescent="0.2">
      <c r="A9676" s="2" t="s">
        <v>3267</v>
      </c>
      <c r="B9676" s="2" t="s">
        <v>491</v>
      </c>
      <c r="C9676" s="2">
        <v>766.21810000000005</v>
      </c>
      <c r="D9676" s="2">
        <f>HYPERLINK("http://mcb-m6.bioreg.kyushu-u.ac.jp/M3/20110427/F51122/2260/1", 63.79)</f>
        <v>63.79</v>
      </c>
      <c r="E9676" s="2">
        <v>45.83</v>
      </c>
      <c r="F9676" s="2">
        <v>2</v>
      </c>
      <c r="G9676" s="2" t="s">
        <v>14</v>
      </c>
    </row>
    <row r="9677" spans="1:7" x14ac:dyDescent="0.2">
      <c r="A9677" s="2" t="s">
        <v>3267</v>
      </c>
      <c r="B9677" s="2" t="s">
        <v>1606</v>
      </c>
      <c r="C9677" s="2">
        <v>575.55150000000003</v>
      </c>
      <c r="D9677" s="2">
        <f>HYPERLINK("http://mcb-m6.bioreg.kyushu-u.ac.jp/M3/20110427/F51123/2590/1", 65.36)</f>
        <v>65.36</v>
      </c>
      <c r="E9677" s="2">
        <v>49.34</v>
      </c>
      <c r="F9677" s="2">
        <v>3</v>
      </c>
      <c r="G9677" s="2" t="s">
        <v>14</v>
      </c>
    </row>
    <row r="9678" spans="1:7" x14ac:dyDescent="0.2">
      <c r="A9678" s="2" t="s">
        <v>3267</v>
      </c>
      <c r="B9678" s="2" t="s">
        <v>433</v>
      </c>
      <c r="C9678" s="2">
        <v>546.54319999999996</v>
      </c>
      <c r="D9678" s="2">
        <f>HYPERLINK("http://mcb-m6.bioreg.kyushu-u.ac.jp/M3/20110428/F51129/2463/1", 65.4)</f>
        <v>65.400000000000006</v>
      </c>
      <c r="E9678" s="2">
        <v>44.42</v>
      </c>
      <c r="F9678" s="2">
        <v>3</v>
      </c>
      <c r="G9678" s="2" t="s">
        <v>14</v>
      </c>
    </row>
    <row r="9679" spans="1:7" x14ac:dyDescent="0.2">
      <c r="A9679" s="2" t="s">
        <v>3267</v>
      </c>
      <c r="B9679" s="2" t="s">
        <v>491</v>
      </c>
      <c r="C9679" s="2">
        <v>766.52670000000001</v>
      </c>
      <c r="D9679" s="2">
        <f>HYPERLINK("http://mcb-m6.bioreg.kyushu-u.ac.jp/M3/20110428/F51128/2078/1", 67.79)</f>
        <v>67.790000000000006</v>
      </c>
      <c r="E9679" s="2">
        <v>53.15</v>
      </c>
      <c r="F9679" s="2">
        <v>2</v>
      </c>
      <c r="G9679" s="2" t="s">
        <v>14</v>
      </c>
    </row>
    <row r="9680" spans="1:7" x14ac:dyDescent="0.2">
      <c r="A9680" s="2" t="s">
        <v>3267</v>
      </c>
      <c r="B9680" s="2" t="s">
        <v>491</v>
      </c>
      <c r="C9680" s="2">
        <v>766.28309999999999</v>
      </c>
      <c r="D9680" s="2">
        <f>HYPERLINK("http://mcb-m6.bioreg.kyushu-u.ac.jp/M3/20110427/F51124/2133/1", 69.08)</f>
        <v>69.08</v>
      </c>
      <c r="E9680" s="2">
        <v>54.2</v>
      </c>
      <c r="F9680" s="2">
        <v>2</v>
      </c>
      <c r="G9680" s="2" t="s">
        <v>14</v>
      </c>
    </row>
    <row r="9681" spans="1:9" x14ac:dyDescent="0.2">
      <c r="A9681" s="2" t="s">
        <v>3267</v>
      </c>
      <c r="B9681" s="2" t="s">
        <v>994</v>
      </c>
      <c r="C9681" s="2">
        <v>580.16769999999997</v>
      </c>
      <c r="D9681" s="2">
        <f>HYPERLINK("http://mcb-m6.bioreg.kyushu-u.ac.jp/M3/20110428/F51130/1382/1", 72.82)</f>
        <v>72.819999999999993</v>
      </c>
      <c r="E9681" s="2">
        <v>55.54</v>
      </c>
      <c r="F9681" s="2">
        <v>2</v>
      </c>
      <c r="G9681" s="2" t="s">
        <v>14</v>
      </c>
    </row>
    <row r="9682" spans="1:9" x14ac:dyDescent="0.2">
      <c r="A9682" s="2" t="s">
        <v>3267</v>
      </c>
      <c r="B9682" s="2" t="s">
        <v>491</v>
      </c>
      <c r="C9682" s="2">
        <v>766.26919999999996</v>
      </c>
      <c r="D9682" s="2">
        <f>HYPERLINK("http://mcb-m6.bioreg.kyushu-u.ac.jp/M3/20110427/F51125/2198/1", 74.29)</f>
        <v>74.290000000000006</v>
      </c>
      <c r="E9682" s="2">
        <v>56.58</v>
      </c>
      <c r="F9682" s="2">
        <v>2</v>
      </c>
      <c r="G9682" s="2" t="s">
        <v>14</v>
      </c>
    </row>
    <row r="9683" spans="1:9" x14ac:dyDescent="0.2">
      <c r="A9683" s="2" t="s">
        <v>3267</v>
      </c>
      <c r="B9683" s="2" t="s">
        <v>2506</v>
      </c>
      <c r="C9683" s="2">
        <v>1045.0650000000001</v>
      </c>
      <c r="D9683" s="2">
        <f>HYPERLINK("http://mcb-m6.bioreg.kyushu-u.ac.jp/M3/20110428/F51130/3174/1", 74.6)</f>
        <v>74.599999999999994</v>
      </c>
      <c r="E9683" s="2">
        <v>48.02</v>
      </c>
      <c r="F9683" s="2">
        <v>2</v>
      </c>
      <c r="G9683" s="2" t="s">
        <v>14</v>
      </c>
      <c r="I9683" s="2" t="s">
        <v>4966</v>
      </c>
    </row>
    <row r="9684" spans="1:9" x14ac:dyDescent="0.2">
      <c r="A9684" s="2" t="s">
        <v>3267</v>
      </c>
      <c r="B9684" s="2" t="s">
        <v>1640</v>
      </c>
      <c r="C9684" s="2">
        <v>576.33090000000004</v>
      </c>
      <c r="D9684" s="2">
        <f>HYPERLINK("http://mcb-m6.bioreg.kyushu-u.ac.jp/M3/20110428/F51129/2632/1", 75.03)</f>
        <v>75.03</v>
      </c>
      <c r="E9684" s="2">
        <v>54.79</v>
      </c>
      <c r="F9684" s="2">
        <v>3</v>
      </c>
      <c r="G9684" s="2" t="s">
        <v>14</v>
      </c>
    </row>
    <row r="9685" spans="1:9" x14ac:dyDescent="0.2">
      <c r="A9685" s="2" t="s">
        <v>3267</v>
      </c>
      <c r="B9685" s="2" t="s">
        <v>491</v>
      </c>
      <c r="C9685" s="2">
        <v>766.27760000000001</v>
      </c>
      <c r="D9685" s="2">
        <f>HYPERLINK("http://mcb-m6.bioreg.kyushu-u.ac.jp/M3/20110427/F51123/2162/1", 76.11)</f>
        <v>76.11</v>
      </c>
      <c r="E9685" s="2">
        <v>61.14</v>
      </c>
      <c r="F9685" s="2">
        <v>2</v>
      </c>
      <c r="G9685" s="2" t="s">
        <v>14</v>
      </c>
    </row>
    <row r="9686" spans="1:9" x14ac:dyDescent="0.2">
      <c r="A9686" s="2" t="s">
        <v>3267</v>
      </c>
      <c r="B9686" s="2" t="s">
        <v>491</v>
      </c>
      <c r="C9686" s="2">
        <v>766.25210000000004</v>
      </c>
      <c r="D9686" s="2">
        <f>HYPERLINK("http://mcb-m6.bioreg.kyushu-u.ac.jp/M3/20110428/F51130/2167/1", 77.97)</f>
        <v>77.97</v>
      </c>
      <c r="E9686" s="2">
        <v>58.93</v>
      </c>
      <c r="F9686" s="2">
        <v>2</v>
      </c>
      <c r="G9686" s="2" t="s">
        <v>14</v>
      </c>
    </row>
    <row r="9687" spans="1:9" x14ac:dyDescent="0.2">
      <c r="A9687" s="2" t="s">
        <v>3267</v>
      </c>
      <c r="B9687" s="2" t="s">
        <v>1606</v>
      </c>
      <c r="C9687" s="2">
        <v>862.68709999999999</v>
      </c>
      <c r="D9687" s="2">
        <f>HYPERLINK("http://mcb-m6.bioreg.kyushu-u.ac.jp/M3/20110427/F51124/2546/1", 79.05)</f>
        <v>79.05</v>
      </c>
      <c r="E9687" s="2">
        <v>70.599999999999994</v>
      </c>
      <c r="F9687" s="2">
        <v>2</v>
      </c>
      <c r="G9687" s="2" t="s">
        <v>14</v>
      </c>
    </row>
    <row r="9688" spans="1:9" x14ac:dyDescent="0.2">
      <c r="A9688" s="2" t="s">
        <v>3267</v>
      </c>
      <c r="B9688" s="2" t="s">
        <v>1353</v>
      </c>
      <c r="C9688" s="2">
        <v>825.23860000000002</v>
      </c>
      <c r="D9688" s="2">
        <f>HYPERLINK("http://mcb-m6.bioreg.kyushu-u.ac.jp/M3/20110428/F51128/2390/1", 83.4)</f>
        <v>83.4</v>
      </c>
      <c r="E9688" s="2">
        <v>54.93</v>
      </c>
      <c r="F9688" s="2">
        <v>2</v>
      </c>
      <c r="G9688" s="2" t="s">
        <v>14</v>
      </c>
    </row>
    <row r="9689" spans="1:9" x14ac:dyDescent="0.2">
      <c r="A9689" s="2" t="s">
        <v>3267</v>
      </c>
      <c r="B9689" s="2" t="s">
        <v>491</v>
      </c>
      <c r="C9689" s="2">
        <v>766.24270000000001</v>
      </c>
      <c r="D9689" s="2">
        <f>HYPERLINK("http://mcb-m6.bioreg.kyushu-u.ac.jp/M3/20110428/F51129/2192/1", 84.86)</f>
        <v>84.86</v>
      </c>
      <c r="E9689" s="2">
        <v>69.12</v>
      </c>
      <c r="F9689" s="2">
        <v>2</v>
      </c>
      <c r="G9689" s="2" t="s">
        <v>14</v>
      </c>
    </row>
    <row r="9690" spans="1:9" x14ac:dyDescent="0.2">
      <c r="A9690" s="2" t="s">
        <v>3267</v>
      </c>
      <c r="B9690" s="2" t="s">
        <v>2071</v>
      </c>
      <c r="C9690" s="2">
        <v>1163.7940000000001</v>
      </c>
      <c r="D9690" s="2">
        <f>HYPERLINK("http://mcb-m6.bioreg.kyushu-u.ac.jp/M3/20110428/F51130/3367/1", 88.41)</f>
        <v>88.41</v>
      </c>
      <c r="E9690" s="2">
        <v>76.2</v>
      </c>
      <c r="F9690" s="2">
        <v>2</v>
      </c>
      <c r="G9690" s="2" t="s">
        <v>14</v>
      </c>
    </row>
    <row r="9691" spans="1:9" x14ac:dyDescent="0.2">
      <c r="A9691" s="2" t="s">
        <v>3267</v>
      </c>
      <c r="B9691" s="2" t="s">
        <v>2071</v>
      </c>
      <c r="C9691" s="2">
        <v>1164.3119999999999</v>
      </c>
      <c r="D9691" s="2">
        <f>HYPERLINK("http://mcb-m6.bioreg.kyushu-u.ac.jp/M3/20110428/F51130/3368/1", 89.95)</f>
        <v>89.95</v>
      </c>
      <c r="E9691" s="2">
        <v>75.47</v>
      </c>
      <c r="F9691" s="2">
        <v>2</v>
      </c>
      <c r="G9691" s="2" t="s">
        <v>14</v>
      </c>
    </row>
    <row r="9692" spans="1:9" x14ac:dyDescent="0.2">
      <c r="A9692" s="2" t="s">
        <v>3267</v>
      </c>
      <c r="B9692" s="2" t="s">
        <v>1606</v>
      </c>
      <c r="C9692" s="2">
        <v>862.7441</v>
      </c>
      <c r="D9692" s="2">
        <f>HYPERLINK("http://mcb-m6.bioreg.kyushu-u.ac.jp/M3/20110428/F51128/2556/1", 91.52)</f>
        <v>91.52</v>
      </c>
      <c r="E9692" s="2">
        <v>79.709999999999994</v>
      </c>
      <c r="F9692" s="2">
        <v>2</v>
      </c>
      <c r="G9692" s="2" t="s">
        <v>14</v>
      </c>
    </row>
    <row r="9693" spans="1:9" x14ac:dyDescent="0.2">
      <c r="A9693" s="2" t="s">
        <v>3267</v>
      </c>
      <c r="B9693" s="2" t="s">
        <v>602</v>
      </c>
      <c r="C9693" s="2">
        <v>742.48419999999999</v>
      </c>
      <c r="D9693" s="2">
        <f>HYPERLINK("http://mcb-m6.bioreg.kyushu-u.ac.jp/M3/20110427/F51125/2086/1", 91.92)</f>
        <v>91.92</v>
      </c>
      <c r="E9693" s="2">
        <v>76.349999999999994</v>
      </c>
      <c r="F9693" s="2">
        <v>2</v>
      </c>
      <c r="G9693" s="2" t="s">
        <v>14</v>
      </c>
    </row>
    <row r="9694" spans="1:9" x14ac:dyDescent="0.2">
      <c r="A9694" s="2" t="s">
        <v>3267</v>
      </c>
      <c r="B9694" s="2" t="s">
        <v>2071</v>
      </c>
      <c r="C9694" s="2">
        <v>1164.0150000000001</v>
      </c>
      <c r="D9694" s="2">
        <f>HYPERLINK("http://mcb-m6.bioreg.kyushu-u.ac.jp/M3/20110428/F51129/3352/1", 92.1)</f>
        <v>92.1</v>
      </c>
      <c r="E9694" s="2">
        <v>77.430000000000007</v>
      </c>
      <c r="F9694" s="2">
        <v>2</v>
      </c>
      <c r="G9694" s="2" t="s">
        <v>14</v>
      </c>
    </row>
    <row r="9695" spans="1:9" x14ac:dyDescent="0.2">
      <c r="A9695" s="2" t="s">
        <v>3267</v>
      </c>
      <c r="B9695" s="2" t="s">
        <v>602</v>
      </c>
      <c r="C9695" s="2">
        <v>742.68370000000004</v>
      </c>
      <c r="D9695" s="2">
        <f>HYPERLINK("http://mcb-m6.bioreg.kyushu-u.ac.jp/M3/20110428/F51130/2069/1", 95.94)</f>
        <v>95.94</v>
      </c>
      <c r="E9695" s="2">
        <v>84.2</v>
      </c>
      <c r="F9695" s="2">
        <v>2</v>
      </c>
      <c r="G9695" s="2" t="s">
        <v>14</v>
      </c>
    </row>
    <row r="9696" spans="1:9" x14ac:dyDescent="0.2">
      <c r="A9696" s="2" t="s">
        <v>3267</v>
      </c>
      <c r="B9696" s="2" t="s">
        <v>1606</v>
      </c>
      <c r="C9696" s="2">
        <v>862.28560000000004</v>
      </c>
      <c r="D9696" s="2">
        <f>HYPERLINK("http://mcb-m6.bioreg.kyushu-u.ac.jp/M3/20110427/F51123/2589/1", 98.4)</f>
        <v>98.4</v>
      </c>
      <c r="E9696" s="2">
        <v>88.81</v>
      </c>
      <c r="F9696" s="2">
        <v>2</v>
      </c>
      <c r="G9696" s="2" t="s">
        <v>14</v>
      </c>
    </row>
    <row r="9697" spans="1:7" x14ac:dyDescent="0.2">
      <c r="A9697" s="2" t="s">
        <v>3267</v>
      </c>
      <c r="B9697" s="2" t="s">
        <v>1353</v>
      </c>
      <c r="C9697" s="2">
        <v>825.20719999999994</v>
      </c>
      <c r="D9697" s="2">
        <f>HYPERLINK("http://mcb-m6.bioreg.kyushu-u.ac.jp/M3/20110427/F51122/2476/1", 98.82)</f>
        <v>98.82</v>
      </c>
      <c r="E9697" s="2">
        <v>73.930000000000007</v>
      </c>
      <c r="F9697" s="2">
        <v>2</v>
      </c>
      <c r="G9697" s="2" t="s">
        <v>14</v>
      </c>
    </row>
    <row r="9698" spans="1:7" x14ac:dyDescent="0.2">
      <c r="A9698" s="2" t="s">
        <v>3267</v>
      </c>
      <c r="B9698" s="2" t="s">
        <v>1606</v>
      </c>
      <c r="C9698" s="2">
        <v>862.27470000000005</v>
      </c>
      <c r="D9698" s="2">
        <f>HYPERLINK("http://mcb-m6.bioreg.kyushu-u.ac.jp/M3/20110428/F51130/2638/1", 98.97)</f>
        <v>98.97</v>
      </c>
      <c r="E9698" s="2">
        <v>90.16</v>
      </c>
      <c r="F9698" s="2">
        <v>2</v>
      </c>
      <c r="G9698" s="2" t="s">
        <v>14</v>
      </c>
    </row>
    <row r="9699" spans="1:7" x14ac:dyDescent="0.2">
      <c r="A9699" s="2" t="s">
        <v>3267</v>
      </c>
      <c r="B9699" s="2" t="s">
        <v>1606</v>
      </c>
      <c r="C9699" s="2">
        <v>862.1866</v>
      </c>
      <c r="D9699" s="2">
        <f>HYPERLINK("http://mcb-m6.bioreg.kyushu-u.ac.jp/M3/20110428/F51129/2622/1", 99.09)</f>
        <v>99.09</v>
      </c>
      <c r="E9699" s="2">
        <v>88.2</v>
      </c>
      <c r="F9699" s="2">
        <v>2</v>
      </c>
      <c r="G9699" s="2" t="s">
        <v>14</v>
      </c>
    </row>
    <row r="9700" spans="1:7" x14ac:dyDescent="0.2">
      <c r="A9700" s="2" t="s">
        <v>3267</v>
      </c>
      <c r="B9700" s="2" t="s">
        <v>1606</v>
      </c>
      <c r="C9700" s="2">
        <v>862.18520000000001</v>
      </c>
      <c r="D9700" s="2">
        <f>HYPERLINK("http://mcb-m6.bioreg.kyushu-u.ac.jp/M3/20110428/F51128/2554/1", 100.04)</f>
        <v>100.04</v>
      </c>
      <c r="E9700" s="2">
        <v>85.3</v>
      </c>
      <c r="F9700" s="2">
        <v>2</v>
      </c>
      <c r="G9700" s="2" t="s">
        <v>14</v>
      </c>
    </row>
    <row r="9701" spans="1:7" x14ac:dyDescent="0.2">
      <c r="A9701" s="2" t="s">
        <v>3267</v>
      </c>
      <c r="B9701" s="2" t="s">
        <v>1606</v>
      </c>
      <c r="C9701" s="2">
        <v>862.58619999999996</v>
      </c>
      <c r="D9701" s="2">
        <f>HYPERLINK("http://mcb-m6.bioreg.kyushu-u.ac.jp/M3/20110427/F51122/2590/1", 100.57)</f>
        <v>100.57</v>
      </c>
      <c r="E9701" s="2">
        <v>90.04</v>
      </c>
      <c r="F9701" s="2">
        <v>2</v>
      </c>
      <c r="G9701" s="2" t="s">
        <v>14</v>
      </c>
    </row>
    <row r="9702" spans="1:7" x14ac:dyDescent="0.2">
      <c r="A9702" s="2" t="s">
        <v>3267</v>
      </c>
      <c r="B9702" s="2" t="s">
        <v>1353</v>
      </c>
      <c r="C9702" s="2">
        <v>825.75819999999999</v>
      </c>
      <c r="D9702" s="2">
        <f>HYPERLINK("http://mcb-m6.bioreg.kyushu-u.ac.jp/M3/20110428/F51128/2394/1", 103.61)</f>
        <v>103.61</v>
      </c>
      <c r="E9702" s="2">
        <v>77.67</v>
      </c>
      <c r="F9702" s="2">
        <v>2</v>
      </c>
      <c r="G9702" s="2" t="s">
        <v>14</v>
      </c>
    </row>
    <row r="9703" spans="1:7" x14ac:dyDescent="0.2">
      <c r="A9703" s="2" t="s">
        <v>3267</v>
      </c>
      <c r="B9703" s="2" t="s">
        <v>1353</v>
      </c>
      <c r="C9703" s="2">
        <v>825.65419999999995</v>
      </c>
      <c r="D9703" s="2">
        <f>HYPERLINK("http://mcb-m6.bioreg.kyushu-u.ac.jp/M3/20110427/F51124/2400/1", 104.24)</f>
        <v>104.24</v>
      </c>
      <c r="E9703" s="2">
        <v>78.12</v>
      </c>
      <c r="F9703" s="2">
        <v>2</v>
      </c>
      <c r="G9703" s="2" t="s">
        <v>14</v>
      </c>
    </row>
    <row r="9704" spans="1:7" x14ac:dyDescent="0.2">
      <c r="A9704" s="2" t="s">
        <v>3267</v>
      </c>
      <c r="B9704" s="2" t="s">
        <v>602</v>
      </c>
      <c r="C9704" s="2">
        <v>742.21669999999995</v>
      </c>
      <c r="D9704" s="2">
        <f>HYPERLINK("http://mcb-m6.bioreg.kyushu-u.ac.jp/M3/20110428/F51129/2062/1", 105.52)</f>
        <v>105.52</v>
      </c>
      <c r="E9704" s="2">
        <v>89.28</v>
      </c>
      <c r="F9704" s="2">
        <v>2</v>
      </c>
      <c r="G9704" s="2" t="s">
        <v>14</v>
      </c>
    </row>
    <row r="9705" spans="1:7" x14ac:dyDescent="0.2">
      <c r="A9705" s="2" t="s">
        <v>3267</v>
      </c>
      <c r="B9705" s="2" t="s">
        <v>1353</v>
      </c>
      <c r="C9705" s="2">
        <v>825.19920000000002</v>
      </c>
      <c r="D9705" s="2">
        <f>HYPERLINK("http://mcb-m6.bioreg.kyushu-u.ac.jp/M3/20110428/F51129/2490/1", 107.25)</f>
        <v>107.25</v>
      </c>
      <c r="E9705" s="2">
        <v>72.69</v>
      </c>
      <c r="F9705" s="2">
        <v>2</v>
      </c>
      <c r="G9705" s="2" t="s">
        <v>14</v>
      </c>
    </row>
    <row r="9706" spans="1:7" x14ac:dyDescent="0.2">
      <c r="A9706" s="2" t="s">
        <v>3267</v>
      </c>
      <c r="B9706" s="2" t="s">
        <v>1640</v>
      </c>
      <c r="C9706" s="2">
        <v>863.85919999999999</v>
      </c>
      <c r="D9706" s="2">
        <f>HYPERLINK("http://mcb-m6.bioreg.kyushu-u.ac.jp/M3/20110428/F51129/2631/1", 110.85)</f>
        <v>110.85</v>
      </c>
      <c r="E9706" s="2">
        <v>91.95</v>
      </c>
      <c r="F9706" s="2">
        <v>2</v>
      </c>
      <c r="G9706" s="2" t="s">
        <v>14</v>
      </c>
    </row>
    <row r="9707" spans="1:7" x14ac:dyDescent="0.2">
      <c r="A9707" s="2" t="s">
        <v>3267</v>
      </c>
      <c r="B9707" s="2" t="s">
        <v>602</v>
      </c>
      <c r="C9707" s="2">
        <v>742.05409999999995</v>
      </c>
      <c r="D9707" s="2">
        <f>HYPERLINK("http://mcb-m6.bioreg.kyushu-u.ac.jp/M3/20110427/F51123/2039/1", 111.36)</f>
        <v>111.36</v>
      </c>
      <c r="E9707" s="2">
        <v>97.4</v>
      </c>
      <c r="F9707" s="2">
        <v>2</v>
      </c>
      <c r="G9707" s="2" t="s">
        <v>14</v>
      </c>
    </row>
    <row r="9708" spans="1:7" x14ac:dyDescent="0.2">
      <c r="A9708" s="2" t="s">
        <v>3267</v>
      </c>
      <c r="B9708" s="2" t="s">
        <v>1353</v>
      </c>
      <c r="C9708" s="2">
        <v>825.2672</v>
      </c>
      <c r="D9708" s="2">
        <f>HYPERLINK("http://mcb-m6.bioreg.kyushu-u.ac.jp/M3/20110427/F51125/2453/1", 116.64)</f>
        <v>116.64</v>
      </c>
      <c r="E9708" s="2">
        <v>84.58</v>
      </c>
      <c r="F9708" s="2">
        <v>2</v>
      </c>
      <c r="G9708" s="2" t="s">
        <v>14</v>
      </c>
    </row>
    <row r="9709" spans="1:7" x14ac:dyDescent="0.2">
      <c r="A9709" s="2" t="s">
        <v>3267</v>
      </c>
      <c r="B9709" s="2" t="s">
        <v>602</v>
      </c>
      <c r="C9709" s="2">
        <v>742.18409999999994</v>
      </c>
      <c r="D9709" s="2">
        <f>HYPERLINK("http://mcb-m6.bioreg.kyushu-u.ac.jp/M3/20110428/F51128/1966/1", 120.47)</f>
        <v>120.47</v>
      </c>
      <c r="E9709" s="2">
        <v>102.8</v>
      </c>
      <c r="F9709" s="2">
        <v>2</v>
      </c>
      <c r="G9709" s="2" t="s">
        <v>14</v>
      </c>
    </row>
    <row r="9710" spans="1:7" x14ac:dyDescent="0.2">
      <c r="A9710" s="2" t="s">
        <v>3267</v>
      </c>
      <c r="B9710" s="2" t="s">
        <v>1353</v>
      </c>
      <c r="C9710" s="2">
        <v>825.29169999999999</v>
      </c>
      <c r="D9710" s="2">
        <f>HYPERLINK("http://mcb-m6.bioreg.kyushu-u.ac.jp/M3/20110427/F51123/2445/1", 120.89)</f>
        <v>120.89</v>
      </c>
      <c r="E9710" s="2">
        <v>93.57</v>
      </c>
      <c r="F9710" s="2">
        <v>2</v>
      </c>
      <c r="G9710" s="2" t="s">
        <v>14</v>
      </c>
    </row>
    <row r="9711" spans="1:7" x14ac:dyDescent="0.2">
      <c r="A9711" s="2" t="s">
        <v>3267</v>
      </c>
      <c r="B9711" s="2" t="s">
        <v>1353</v>
      </c>
      <c r="C9711" s="2">
        <v>825.24570000000006</v>
      </c>
      <c r="D9711" s="2">
        <f>HYPERLINK("http://mcb-m6.bioreg.kyushu-u.ac.jp/M3/20110428/F51130/2470/1", 125.55)</f>
        <v>125.55</v>
      </c>
      <c r="E9711" s="2">
        <v>96.42</v>
      </c>
      <c r="F9711" s="2">
        <v>2</v>
      </c>
      <c r="G9711" s="2" t="s">
        <v>14</v>
      </c>
    </row>
    <row r="9712" spans="1:7" x14ac:dyDescent="0.2">
      <c r="A9712" s="2" t="s">
        <v>3512</v>
      </c>
      <c r="B9712" s="2" t="s">
        <v>1282</v>
      </c>
      <c r="C9712" s="2">
        <v>691.62959999999998</v>
      </c>
      <c r="D9712" s="2">
        <f>HYPERLINK("http://mcb-m6.bioreg.kyushu-u.ac.jp/M3/20110404/F50758/1712/1", 49.88)</f>
        <v>49.88</v>
      </c>
      <c r="E9712" s="2">
        <v>23.52</v>
      </c>
      <c r="F9712" s="2">
        <v>2</v>
      </c>
      <c r="G9712" s="2" t="s">
        <v>10</v>
      </c>
    </row>
    <row r="9713" spans="1:9" x14ac:dyDescent="0.2">
      <c r="A9713" s="2" t="s">
        <v>3512</v>
      </c>
      <c r="B9713" s="2" t="s">
        <v>1991</v>
      </c>
      <c r="C9713" s="2">
        <v>814.43520000000001</v>
      </c>
      <c r="D9713" s="2">
        <f>HYPERLINK("http://mcb-m6.bioreg.kyushu-u.ac.jp/M3/20110404/F50758/2187/1", 58.88)</f>
        <v>58.88</v>
      </c>
      <c r="E9713" s="2">
        <v>39.229999999999997</v>
      </c>
      <c r="F9713" s="2">
        <v>2</v>
      </c>
      <c r="G9713" s="2" t="s">
        <v>10</v>
      </c>
    </row>
    <row r="9714" spans="1:9" x14ac:dyDescent="0.2">
      <c r="A9714" s="2" t="s">
        <v>3512</v>
      </c>
      <c r="B9714" s="2" t="s">
        <v>1991</v>
      </c>
      <c r="C9714" s="2">
        <v>813.84169999999995</v>
      </c>
      <c r="D9714" s="2">
        <f>HYPERLINK("http://mcb-m6.bioreg.kyushu-u.ac.jp/M3/20110404/F50758/2183/1", 77.07)</f>
        <v>77.069999999999993</v>
      </c>
      <c r="E9714" s="2">
        <v>46.43</v>
      </c>
      <c r="F9714" s="2">
        <v>2</v>
      </c>
      <c r="G9714" s="2" t="s">
        <v>10</v>
      </c>
    </row>
    <row r="9715" spans="1:9" x14ac:dyDescent="0.2">
      <c r="A9715" s="2" t="s">
        <v>3512</v>
      </c>
      <c r="B9715" s="2" t="s">
        <v>353</v>
      </c>
      <c r="C9715" s="2">
        <v>759.3492</v>
      </c>
      <c r="D9715" s="2">
        <f>HYPERLINK("http://mcb-m6.bioreg.kyushu-u.ac.jp/M3/20110421/F51017/2144/1", 43.04)</f>
        <v>43.04</v>
      </c>
      <c r="E9715" s="2">
        <v>23.13</v>
      </c>
      <c r="F9715" s="2">
        <v>2</v>
      </c>
      <c r="G9715" s="2" t="s">
        <v>11</v>
      </c>
      <c r="H9715" s="2" t="s">
        <v>4920</v>
      </c>
    </row>
    <row r="9716" spans="1:9" x14ac:dyDescent="0.2">
      <c r="A9716" s="2" t="s">
        <v>3512</v>
      </c>
      <c r="B9716" s="2" t="s">
        <v>353</v>
      </c>
      <c r="C9716" s="2">
        <v>759.53060000000005</v>
      </c>
      <c r="D9716" s="2">
        <f>HYPERLINK("http://mcb-m6.bioreg.kyushu-u.ac.jp/M3/20110421/F51023/2191/1", 47.38)</f>
        <v>47.38</v>
      </c>
      <c r="E9716" s="2">
        <v>32.01</v>
      </c>
      <c r="F9716" s="2">
        <v>2</v>
      </c>
      <c r="G9716" s="2" t="s">
        <v>12</v>
      </c>
      <c r="H9716" s="2" t="s">
        <v>4920</v>
      </c>
    </row>
    <row r="9717" spans="1:9" x14ac:dyDescent="0.2">
      <c r="A9717" s="2" t="s">
        <v>3512</v>
      </c>
      <c r="B9717" s="2" t="s">
        <v>1456</v>
      </c>
      <c r="C9717" s="2">
        <v>916.28060000000005</v>
      </c>
      <c r="D9717" s="2">
        <f>HYPERLINK("http://mcb-m6.bioreg.kyushu-u.ac.jp/M3/20110421/F51023/2692/1", 66.01)</f>
        <v>66.010000000000005</v>
      </c>
      <c r="E9717" s="2">
        <v>53.88</v>
      </c>
      <c r="F9717" s="2">
        <v>2</v>
      </c>
      <c r="G9717" s="2" t="s">
        <v>12</v>
      </c>
    </row>
    <row r="9718" spans="1:9" x14ac:dyDescent="0.2">
      <c r="A9718" s="2" t="s">
        <v>3512</v>
      </c>
      <c r="B9718" s="2" t="s">
        <v>1991</v>
      </c>
      <c r="C9718" s="2">
        <v>814.25120000000004</v>
      </c>
      <c r="D9718" s="2">
        <f>HYPERLINK("http://mcb-m6.bioreg.kyushu-u.ac.jp/M3/20110427/F51111/2518/1", 65.56)</f>
        <v>65.56</v>
      </c>
      <c r="E9718" s="2">
        <v>44.48</v>
      </c>
      <c r="F9718" s="2">
        <v>2</v>
      </c>
      <c r="G9718" s="2" t="s">
        <v>13</v>
      </c>
    </row>
    <row r="9719" spans="1:9" x14ac:dyDescent="0.2">
      <c r="A9719" s="2" t="s">
        <v>7956</v>
      </c>
      <c r="B9719" s="2" t="s">
        <v>7160</v>
      </c>
      <c r="C9719" s="2">
        <v>450.25310000000002</v>
      </c>
      <c r="D9719" s="2">
        <f>HYPERLINK("http://mcb-m6.bioreg.kyushu-u.ac.jp/M3/20110421/F51024/928/1", 36.09)</f>
        <v>36.090000000000003</v>
      </c>
      <c r="E9719" s="2">
        <v>10.87</v>
      </c>
      <c r="F9719" s="2">
        <v>2</v>
      </c>
      <c r="G9719" s="2" t="s">
        <v>12</v>
      </c>
    </row>
    <row r="9720" spans="1:9" x14ac:dyDescent="0.2">
      <c r="A9720" s="2" t="s">
        <v>4610</v>
      </c>
      <c r="B9720" s="2" t="s">
        <v>2724</v>
      </c>
      <c r="C9720" s="2">
        <v>651.65260000000001</v>
      </c>
      <c r="D9720" s="2">
        <f>HYPERLINK("http://mcb-m6.bioreg.kyushu-u.ac.jp/M3/20110421/F51021/1550/1", 65.69)</f>
        <v>65.69</v>
      </c>
      <c r="E9720" s="2">
        <v>9.39</v>
      </c>
      <c r="F9720" s="2">
        <v>2</v>
      </c>
      <c r="G9720" s="2" t="s">
        <v>12</v>
      </c>
    </row>
    <row r="9721" spans="1:9" x14ac:dyDescent="0.2">
      <c r="A9721" s="2" t="s">
        <v>4610</v>
      </c>
      <c r="B9721" s="2" t="s">
        <v>2724</v>
      </c>
      <c r="C9721" s="2">
        <v>651.58169999999996</v>
      </c>
      <c r="D9721" s="2">
        <f>HYPERLINK("http://mcb-m6.bioreg.kyushu-u.ac.jp/M3/20110421/F51021/1546/1", 96.19)</f>
        <v>96.19</v>
      </c>
      <c r="E9721" s="2">
        <v>10.24</v>
      </c>
      <c r="F9721" s="2">
        <v>2</v>
      </c>
      <c r="G9721" s="2" t="s">
        <v>12</v>
      </c>
    </row>
    <row r="9722" spans="1:9" x14ac:dyDescent="0.2">
      <c r="A9722" s="2" t="s">
        <v>4610</v>
      </c>
      <c r="B9722" s="2" t="s">
        <v>2724</v>
      </c>
      <c r="C9722" s="2">
        <v>651.61410000000001</v>
      </c>
      <c r="D9722" s="2">
        <f>HYPERLINK("http://mcb-m6.bioreg.kyushu-u.ac.jp/M3/20110428/F51132/1506/1", 63.58)</f>
        <v>63.58</v>
      </c>
      <c r="E9722" s="2">
        <v>0.24</v>
      </c>
      <c r="F9722" s="2">
        <v>2</v>
      </c>
      <c r="G9722" s="2" t="s">
        <v>13</v>
      </c>
    </row>
    <row r="9723" spans="1:9" x14ac:dyDescent="0.2">
      <c r="A9723" s="2" t="s">
        <v>7598</v>
      </c>
      <c r="B9723" s="2" t="s">
        <v>6078</v>
      </c>
      <c r="C9723" s="2">
        <v>1348.413</v>
      </c>
      <c r="D9723" s="2">
        <f>HYPERLINK("http://mcb-m6.bioreg.kyushu-u.ac.jp/M3/20110404/F50766/1162/2", 41.31)</f>
        <v>41.31</v>
      </c>
      <c r="E9723" s="2">
        <v>19.27</v>
      </c>
      <c r="F9723" s="2">
        <v>1</v>
      </c>
      <c r="G9723" s="2" t="s">
        <v>9</v>
      </c>
    </row>
    <row r="9724" spans="1:9" x14ac:dyDescent="0.2">
      <c r="A9724" s="2" t="s">
        <v>7598</v>
      </c>
      <c r="B9724" s="2" t="s">
        <v>6185</v>
      </c>
      <c r="C9724" s="2">
        <v>610.74159999999995</v>
      </c>
      <c r="D9724" s="2">
        <f>HYPERLINK("http://mcb-m6.bioreg.kyushu-u.ac.jp/M3/20110404/F50767/1115/2", 45.82)</f>
        <v>45.82</v>
      </c>
      <c r="E9724" s="2">
        <v>13.4</v>
      </c>
      <c r="F9724" s="2">
        <v>2</v>
      </c>
      <c r="G9724" s="2" t="s">
        <v>9</v>
      </c>
    </row>
    <row r="9725" spans="1:9" x14ac:dyDescent="0.2">
      <c r="A9725" s="2" t="s">
        <v>4471</v>
      </c>
      <c r="B9725" s="2" t="s">
        <v>7373</v>
      </c>
      <c r="C9725" s="2">
        <v>759.71669999999995</v>
      </c>
      <c r="D9725" s="2">
        <f>HYPERLINK("http://mcb-m6.bioreg.kyushu-u.ac.jp/M3/20110428/F51127/1987/1", 49.56)</f>
        <v>49.56</v>
      </c>
      <c r="E9725" s="2">
        <v>41.33</v>
      </c>
      <c r="F9725" s="2">
        <v>2</v>
      </c>
      <c r="G9725" s="2" t="s">
        <v>13</v>
      </c>
      <c r="I9725" s="2" t="s">
        <v>8150</v>
      </c>
    </row>
    <row r="9726" spans="1:9" x14ac:dyDescent="0.2">
      <c r="A9726" s="2" t="s">
        <v>4471</v>
      </c>
      <c r="B9726" s="2" t="s">
        <v>2439</v>
      </c>
      <c r="C9726" s="2">
        <v>963.26760000000002</v>
      </c>
      <c r="D9726" s="2">
        <f>HYPERLINK("http://mcb-m6.bioreg.kyushu-u.ac.jp/M3/20110428/F51127/3037/1", 63.83)</f>
        <v>63.83</v>
      </c>
      <c r="E9726" s="2">
        <v>53.34</v>
      </c>
      <c r="F9726" s="2">
        <v>2</v>
      </c>
      <c r="G9726" s="2" t="s">
        <v>13</v>
      </c>
    </row>
    <row r="9727" spans="1:9" x14ac:dyDescent="0.2">
      <c r="A9727" s="2" t="s">
        <v>4471</v>
      </c>
      <c r="B9727" s="2" t="s">
        <v>2439</v>
      </c>
      <c r="C9727" s="2">
        <v>962.74770000000001</v>
      </c>
      <c r="D9727" s="2">
        <f>HYPERLINK("http://mcb-m6.bioreg.kyushu-u.ac.jp/M3/20110428/F51127/3036/1", 73.49)</f>
        <v>73.489999999999995</v>
      </c>
      <c r="E9727" s="2">
        <v>61.83</v>
      </c>
      <c r="F9727" s="2">
        <v>2</v>
      </c>
      <c r="G9727" s="2" t="s">
        <v>13</v>
      </c>
    </row>
    <row r="9728" spans="1:9" x14ac:dyDescent="0.2">
      <c r="A9728" s="2" t="s">
        <v>4471</v>
      </c>
      <c r="B9728" s="2" t="s">
        <v>2410</v>
      </c>
      <c r="C9728" s="2">
        <v>971.84969999999998</v>
      </c>
      <c r="D9728" s="2">
        <f>HYPERLINK("http://mcb-m6.bioreg.kyushu-u.ac.jp/M3/20110428/F51127/3082/1", 75.28)</f>
        <v>75.28</v>
      </c>
      <c r="E9728" s="2">
        <v>61.19</v>
      </c>
      <c r="F9728" s="2">
        <v>2</v>
      </c>
      <c r="G9728" s="2" t="s">
        <v>13</v>
      </c>
      <c r="I9728" s="2" t="s">
        <v>4895</v>
      </c>
    </row>
    <row r="9729" spans="1:8" x14ac:dyDescent="0.2">
      <c r="A9729" s="2" t="s">
        <v>7933</v>
      </c>
      <c r="B9729" s="2" t="s">
        <v>7104</v>
      </c>
      <c r="C9729" s="2">
        <v>546.22119999999995</v>
      </c>
      <c r="D9729" s="2">
        <f>HYPERLINK("http://mcb-m6.bioreg.kyushu-u.ac.jp/M3/20110421/F51016/2284/1", 43.83)</f>
        <v>43.83</v>
      </c>
      <c r="E9729" s="2">
        <v>24.9</v>
      </c>
      <c r="F9729" s="2">
        <v>3</v>
      </c>
      <c r="G9729" s="2" t="s">
        <v>11</v>
      </c>
      <c r="H9729" s="2" t="s">
        <v>4900</v>
      </c>
    </row>
    <row r="9730" spans="1:8" x14ac:dyDescent="0.2">
      <c r="A9730" s="2" t="s">
        <v>4314</v>
      </c>
      <c r="B9730" s="2" t="s">
        <v>2079</v>
      </c>
      <c r="C9730" s="2">
        <v>801.25819999999999</v>
      </c>
      <c r="D9730" s="2">
        <f>HYPERLINK("http://mcb-m6.bioreg.kyushu-u.ac.jp/M3/20110404/F50761/2099/1", 53.27)</f>
        <v>53.27</v>
      </c>
      <c r="E9730" s="2">
        <v>45.05</v>
      </c>
      <c r="F9730" s="2">
        <v>2</v>
      </c>
      <c r="G9730" s="2" t="s">
        <v>10</v>
      </c>
    </row>
    <row r="9731" spans="1:8" x14ac:dyDescent="0.2">
      <c r="A9731" s="2" t="s">
        <v>4314</v>
      </c>
      <c r="B9731" s="2" t="s">
        <v>2079</v>
      </c>
      <c r="C9731" s="2">
        <v>801.17970000000003</v>
      </c>
      <c r="D9731" s="2">
        <f>HYPERLINK("http://mcb-m6.bioreg.kyushu-u.ac.jp/M3/20110427/F51114/2402/1", 90.17)</f>
        <v>90.17</v>
      </c>
      <c r="E9731" s="2">
        <v>77.02</v>
      </c>
      <c r="F9731" s="2">
        <v>2</v>
      </c>
      <c r="G9731" s="2" t="s">
        <v>13</v>
      </c>
    </row>
    <row r="9732" spans="1:8" x14ac:dyDescent="0.2">
      <c r="A9732" s="2" t="s">
        <v>4091</v>
      </c>
      <c r="B9732" s="2" t="s">
        <v>3112</v>
      </c>
      <c r="C9732" s="2">
        <v>742.37869999999998</v>
      </c>
      <c r="D9732" s="2">
        <f>HYPERLINK("http://mcb-m6.bioreg.kyushu-u.ac.jp/M3/20110404/F50756/1980/1", 52.95)</f>
        <v>52.95</v>
      </c>
      <c r="E9732" s="2">
        <v>31.83</v>
      </c>
      <c r="F9732" s="2">
        <v>2</v>
      </c>
      <c r="G9732" s="2" t="s">
        <v>9</v>
      </c>
    </row>
    <row r="9733" spans="1:8" x14ac:dyDescent="0.2">
      <c r="A9733" s="2" t="s">
        <v>4091</v>
      </c>
      <c r="B9733" s="2" t="s">
        <v>1534</v>
      </c>
      <c r="C9733" s="2">
        <v>693.71870000000001</v>
      </c>
      <c r="D9733" s="2">
        <f>HYPERLINK("http://mcb-m6.bioreg.kyushu-u.ac.jp/M3/20110404/F50756/1710/1", 77.23)</f>
        <v>77.23</v>
      </c>
      <c r="E9733" s="2">
        <v>56.55</v>
      </c>
      <c r="F9733" s="2">
        <v>2</v>
      </c>
      <c r="G9733" s="2" t="s">
        <v>9</v>
      </c>
    </row>
    <row r="9734" spans="1:8" x14ac:dyDescent="0.2">
      <c r="A9734" s="2" t="s">
        <v>4091</v>
      </c>
      <c r="B9734" s="2" t="s">
        <v>1534</v>
      </c>
      <c r="C9734" s="2">
        <v>693.66819999999996</v>
      </c>
      <c r="D9734" s="2">
        <f>HYPERLINK("http://mcb-m6.bioreg.kyushu-u.ac.jp/M3/20110404/F50761/1635/1", 92.18)</f>
        <v>92.18</v>
      </c>
      <c r="E9734" s="2">
        <v>65.930000000000007</v>
      </c>
      <c r="F9734" s="2">
        <v>2</v>
      </c>
      <c r="G9734" s="2" t="s">
        <v>10</v>
      </c>
    </row>
    <row r="9735" spans="1:8" x14ac:dyDescent="0.2">
      <c r="A9735" s="2" t="s">
        <v>4091</v>
      </c>
      <c r="B9735" s="2" t="s">
        <v>3112</v>
      </c>
      <c r="C9735" s="2">
        <v>742.22119999999995</v>
      </c>
      <c r="D9735" s="2">
        <f>HYPERLINK("http://mcb-m6.bioreg.kyushu-u.ac.jp/M3/20110421/F51034/2052/1", 59.46)</f>
        <v>59.46</v>
      </c>
      <c r="E9735" s="2">
        <v>39.17</v>
      </c>
      <c r="F9735" s="2">
        <v>2</v>
      </c>
      <c r="G9735" s="2" t="s">
        <v>11</v>
      </c>
    </row>
    <row r="9736" spans="1:8" x14ac:dyDescent="0.2">
      <c r="A9736" s="2" t="s">
        <v>4091</v>
      </c>
      <c r="B9736" s="2" t="s">
        <v>3112</v>
      </c>
      <c r="C9736" s="2">
        <v>742.88419999999996</v>
      </c>
      <c r="D9736" s="2">
        <f>HYPERLINK("http://mcb-m6.bioreg.kyushu-u.ac.jp/M3/20110421/F51044/2066/1", 36.74)</f>
        <v>36.74</v>
      </c>
      <c r="E9736" s="2">
        <v>14.6</v>
      </c>
      <c r="F9736" s="2">
        <v>2</v>
      </c>
      <c r="G9736" s="2" t="s">
        <v>12</v>
      </c>
    </row>
    <row r="9737" spans="1:8" x14ac:dyDescent="0.2">
      <c r="A9737" s="2" t="s">
        <v>4091</v>
      </c>
      <c r="B9737" s="2" t="s">
        <v>3112</v>
      </c>
      <c r="C9737" s="2">
        <v>742.34119999999996</v>
      </c>
      <c r="D9737" s="2">
        <f>HYPERLINK("http://mcb-m6.bioreg.kyushu-u.ac.jp/M3/20110421/F51044/2062/1", 53.87)</f>
        <v>53.87</v>
      </c>
      <c r="E9737" s="2">
        <v>31.15</v>
      </c>
      <c r="F9737" s="2">
        <v>2</v>
      </c>
      <c r="G9737" s="2" t="s">
        <v>12</v>
      </c>
    </row>
    <row r="9738" spans="1:8" x14ac:dyDescent="0.2">
      <c r="A9738" s="2" t="s">
        <v>4091</v>
      </c>
      <c r="B9738" s="2" t="s">
        <v>3037</v>
      </c>
      <c r="C9738" s="2">
        <v>765.20010000000002</v>
      </c>
      <c r="D9738" s="2">
        <f>HYPERLINK("http://mcb-m6.bioreg.kyushu-u.ac.jp/M3/20110427/F51114/2189/1", 50.56)</f>
        <v>50.56</v>
      </c>
      <c r="E9738" s="2">
        <v>34.49</v>
      </c>
      <c r="F9738" s="2">
        <v>2</v>
      </c>
      <c r="G9738" s="2" t="s">
        <v>13</v>
      </c>
    </row>
    <row r="9739" spans="1:8" x14ac:dyDescent="0.2">
      <c r="A9739" s="2" t="s">
        <v>4091</v>
      </c>
      <c r="B9739" s="2" t="s">
        <v>3112</v>
      </c>
      <c r="C9739" s="2">
        <v>742.72919999999999</v>
      </c>
      <c r="D9739" s="2">
        <f>HYPERLINK("http://mcb-m6.bioreg.kyushu-u.ac.jp/M3/20110427/F51114/2071/1", 62.73)</f>
        <v>62.73</v>
      </c>
      <c r="E9739" s="2">
        <v>32.450000000000003</v>
      </c>
      <c r="F9739" s="2">
        <v>2</v>
      </c>
      <c r="G9739" s="2" t="s">
        <v>13</v>
      </c>
    </row>
    <row r="9740" spans="1:8" x14ac:dyDescent="0.2">
      <c r="A9740" s="2" t="s">
        <v>4091</v>
      </c>
      <c r="B9740" s="2" t="s">
        <v>7488</v>
      </c>
      <c r="C9740" s="2">
        <v>539.70069999999998</v>
      </c>
      <c r="D9740" s="2">
        <f>HYPERLINK("http://mcb-m6.bioreg.kyushu-u.ac.jp/M3/20110427/F51123/1198/1", 44.98)</f>
        <v>44.98</v>
      </c>
      <c r="E9740" s="2">
        <v>25.65</v>
      </c>
      <c r="F9740" s="2">
        <v>2</v>
      </c>
      <c r="G9740" s="2" t="s">
        <v>14</v>
      </c>
    </row>
    <row r="9741" spans="1:8" x14ac:dyDescent="0.2">
      <c r="A9741" s="2" t="s">
        <v>4091</v>
      </c>
      <c r="B9741" s="2" t="s">
        <v>3112</v>
      </c>
      <c r="C9741" s="2">
        <v>742.23820000000001</v>
      </c>
      <c r="D9741" s="2">
        <f>HYPERLINK("http://mcb-m6.bioreg.kyushu-u.ac.jp/M3/20110427/F51123/2040/1", 52.69)</f>
        <v>52.69</v>
      </c>
      <c r="E9741" s="2">
        <v>26.95</v>
      </c>
      <c r="F9741" s="2">
        <v>2</v>
      </c>
      <c r="G9741" s="2" t="s">
        <v>14</v>
      </c>
    </row>
    <row r="9742" spans="1:8" x14ac:dyDescent="0.2">
      <c r="A9742" s="2" t="s">
        <v>4091</v>
      </c>
      <c r="B9742" s="2" t="s">
        <v>1534</v>
      </c>
      <c r="C9742" s="2">
        <v>693.72770000000003</v>
      </c>
      <c r="D9742" s="2">
        <f>HYPERLINK("http://mcb-m6.bioreg.kyushu-u.ac.jp/M3/20110427/F51123/1808/1", 97.61)</f>
        <v>97.61</v>
      </c>
      <c r="E9742" s="2">
        <v>67.55</v>
      </c>
      <c r="F9742" s="2">
        <v>2</v>
      </c>
      <c r="G9742" s="2" t="s">
        <v>14</v>
      </c>
    </row>
    <row r="9743" spans="1:8" x14ac:dyDescent="0.2">
      <c r="A9743" s="2" t="s">
        <v>3296</v>
      </c>
      <c r="B9743" s="2" t="s">
        <v>2001</v>
      </c>
      <c r="C9743" s="2">
        <v>700.72670000000005</v>
      </c>
      <c r="D9743" s="2">
        <f>HYPERLINK("http://mcb-m6.bioreg.kyushu-u.ac.jp/M3/20110404/F50756/1743/1", 43.08)</f>
        <v>43.08</v>
      </c>
      <c r="E9743" s="2">
        <v>27.8</v>
      </c>
      <c r="F9743" s="2">
        <v>2</v>
      </c>
      <c r="G9743" s="2" t="s">
        <v>9</v>
      </c>
    </row>
    <row r="9744" spans="1:8" x14ac:dyDescent="0.2">
      <c r="A9744" s="2" t="s">
        <v>3296</v>
      </c>
      <c r="B9744" s="2" t="s">
        <v>6291</v>
      </c>
      <c r="C9744" s="2">
        <v>808.36109999999996</v>
      </c>
      <c r="D9744" s="2">
        <f>HYPERLINK("http://mcb-m6.bioreg.kyushu-u.ac.jp/M3/20110404/F50756/2289/1", 51.11)</f>
        <v>51.11</v>
      </c>
      <c r="E9744" s="2">
        <v>40.08</v>
      </c>
      <c r="F9744" s="2">
        <v>2</v>
      </c>
      <c r="G9744" s="2" t="s">
        <v>9</v>
      </c>
      <c r="H9744" s="2" t="s">
        <v>4925</v>
      </c>
    </row>
    <row r="9745" spans="1:7" x14ac:dyDescent="0.2">
      <c r="A9745" s="2" t="s">
        <v>3296</v>
      </c>
      <c r="B9745" s="2" t="s">
        <v>6360</v>
      </c>
      <c r="C9745" s="2">
        <v>634.11659999999995</v>
      </c>
      <c r="D9745" s="2">
        <f>HYPERLINK("http://mcb-m6.bioreg.kyushu-u.ac.jp/M3/20110404/F50776/1422/1", 56.33)</f>
        <v>56.33</v>
      </c>
      <c r="E9745" s="2">
        <v>25.11</v>
      </c>
      <c r="F9745" s="2">
        <v>2</v>
      </c>
      <c r="G9745" s="2" t="s">
        <v>9</v>
      </c>
    </row>
    <row r="9746" spans="1:7" x14ac:dyDescent="0.2">
      <c r="A9746" s="2" t="s">
        <v>3296</v>
      </c>
      <c r="B9746" s="2" t="s">
        <v>6360</v>
      </c>
      <c r="C9746" s="2">
        <v>633.86159999999995</v>
      </c>
      <c r="D9746" s="2">
        <f>HYPERLINK("http://mcb-m6.bioreg.kyushu-u.ac.jp/M3/20110404/F50756/1473/1", 58.53)</f>
        <v>58.53</v>
      </c>
      <c r="E9746" s="2">
        <v>27.96</v>
      </c>
      <c r="F9746" s="2">
        <v>2</v>
      </c>
      <c r="G9746" s="2" t="s">
        <v>9</v>
      </c>
    </row>
    <row r="9747" spans="1:7" x14ac:dyDescent="0.2">
      <c r="A9747" s="2" t="s">
        <v>3296</v>
      </c>
      <c r="B9747" s="2" t="s">
        <v>2027</v>
      </c>
      <c r="C9747" s="2">
        <v>858.30909999999994</v>
      </c>
      <c r="D9747" s="2">
        <f>HYPERLINK("http://mcb-m6.bioreg.kyushu-u.ac.jp/M3/20110404/F50756/2499/1", 70.22)</f>
        <v>70.22</v>
      </c>
      <c r="E9747" s="2">
        <v>45.5</v>
      </c>
      <c r="F9747" s="2">
        <v>2</v>
      </c>
      <c r="G9747" s="2" t="s">
        <v>9</v>
      </c>
    </row>
    <row r="9748" spans="1:7" x14ac:dyDescent="0.2">
      <c r="A9748" s="2" t="s">
        <v>3296</v>
      </c>
      <c r="B9748" s="2" t="s">
        <v>1460</v>
      </c>
      <c r="C9748" s="2">
        <v>752.21969999999999</v>
      </c>
      <c r="D9748" s="2">
        <f>HYPERLINK("http://mcb-m6.bioreg.kyushu-u.ac.jp/M3/20110404/F50756/2021/1", 77)</f>
        <v>77</v>
      </c>
      <c r="E9748" s="2">
        <v>49.33</v>
      </c>
      <c r="F9748" s="2">
        <v>2</v>
      </c>
      <c r="G9748" s="2" t="s">
        <v>9</v>
      </c>
    </row>
    <row r="9749" spans="1:7" x14ac:dyDescent="0.2">
      <c r="A9749" s="2" t="s">
        <v>3296</v>
      </c>
      <c r="B9749" s="2" t="s">
        <v>3056</v>
      </c>
      <c r="C9749" s="2">
        <v>758.66420000000005</v>
      </c>
      <c r="D9749" s="2">
        <f>HYPERLINK("http://mcb-m6.bioreg.kyushu-u.ac.jp/M3/20110404/F50761/1905/1", 41.1)</f>
        <v>41.1</v>
      </c>
      <c r="E9749" s="2">
        <v>22.24</v>
      </c>
      <c r="F9749" s="2">
        <v>2</v>
      </c>
      <c r="G9749" s="2" t="s">
        <v>10</v>
      </c>
    </row>
    <row r="9750" spans="1:7" x14ac:dyDescent="0.2">
      <c r="A9750" s="2" t="s">
        <v>3296</v>
      </c>
      <c r="B9750" s="2" t="s">
        <v>2001</v>
      </c>
      <c r="C9750" s="2">
        <v>701.10220000000004</v>
      </c>
      <c r="D9750" s="2">
        <f>HYPERLINK("http://mcb-m6.bioreg.kyushu-u.ac.jp/M3/20110404/F50761/1667/1", 78.35)</f>
        <v>78.349999999999994</v>
      </c>
      <c r="E9750" s="2">
        <v>61.71</v>
      </c>
      <c r="F9750" s="2">
        <v>2</v>
      </c>
      <c r="G9750" s="2" t="s">
        <v>10</v>
      </c>
    </row>
    <row r="9751" spans="1:7" x14ac:dyDescent="0.2">
      <c r="A9751" s="2" t="s">
        <v>3296</v>
      </c>
      <c r="B9751" s="2" t="s">
        <v>1460</v>
      </c>
      <c r="C9751" s="2">
        <v>752.96770000000004</v>
      </c>
      <c r="D9751" s="2">
        <f>HYPERLINK("http://mcb-m6.bioreg.kyushu-u.ac.jp/M3/20110421/F51058/1921/1", 62.91)</f>
        <v>62.91</v>
      </c>
      <c r="E9751" s="2">
        <v>39</v>
      </c>
      <c r="F9751" s="2">
        <v>2</v>
      </c>
      <c r="G9751" s="2" t="s">
        <v>11</v>
      </c>
    </row>
    <row r="9752" spans="1:7" x14ac:dyDescent="0.2">
      <c r="A9752" s="2" t="s">
        <v>3296</v>
      </c>
      <c r="B9752" s="2" t="s">
        <v>1460</v>
      </c>
      <c r="C9752" s="2">
        <v>752.7441</v>
      </c>
      <c r="D9752" s="2">
        <f>HYPERLINK("http://mcb-m6.bioreg.kyushu-u.ac.jp/M3/20110421/F51034/2114/1", 75.1)</f>
        <v>75.099999999999994</v>
      </c>
      <c r="E9752" s="2">
        <v>43.01</v>
      </c>
      <c r="F9752" s="2">
        <v>2</v>
      </c>
      <c r="G9752" s="2" t="s">
        <v>11</v>
      </c>
    </row>
    <row r="9753" spans="1:7" x14ac:dyDescent="0.2">
      <c r="A9753" s="2" t="s">
        <v>3296</v>
      </c>
      <c r="B9753" s="2" t="s">
        <v>1460</v>
      </c>
      <c r="C9753" s="2">
        <v>752.93320000000006</v>
      </c>
      <c r="D9753" s="2">
        <f>HYPERLINK("http://mcb-m6.bioreg.kyushu-u.ac.jp/M3/20110421/F51044/2125/1", 76.91)</f>
        <v>76.91</v>
      </c>
      <c r="E9753" s="2">
        <v>47.66</v>
      </c>
      <c r="F9753" s="2">
        <v>2</v>
      </c>
      <c r="G9753" s="2" t="s">
        <v>12</v>
      </c>
    </row>
    <row r="9754" spans="1:7" x14ac:dyDescent="0.2">
      <c r="A9754" s="2" t="s">
        <v>3296</v>
      </c>
      <c r="B9754" s="2" t="s">
        <v>3056</v>
      </c>
      <c r="C9754" s="2">
        <v>758.70259999999996</v>
      </c>
      <c r="D9754" s="2">
        <f>HYPERLINK("http://mcb-m6.bioreg.kyushu-u.ac.jp/M3/20110427/F51114/2155/1", 50.52)</f>
        <v>50.52</v>
      </c>
      <c r="E9754" s="2">
        <v>26.89</v>
      </c>
      <c r="F9754" s="2">
        <v>2</v>
      </c>
      <c r="G9754" s="2" t="s">
        <v>13</v>
      </c>
    </row>
    <row r="9755" spans="1:7" x14ac:dyDescent="0.2">
      <c r="A9755" s="2" t="s">
        <v>3296</v>
      </c>
      <c r="B9755" s="2" t="s">
        <v>2001</v>
      </c>
      <c r="C9755" s="2">
        <v>701.17520000000002</v>
      </c>
      <c r="D9755" s="2">
        <f>HYPERLINK("http://mcb-m6.bioreg.kyushu-u.ac.jp/M3/20110428/F51131/1596/1", 51.22)</f>
        <v>51.22</v>
      </c>
      <c r="E9755" s="2">
        <v>38.78</v>
      </c>
      <c r="F9755" s="2">
        <v>2</v>
      </c>
      <c r="G9755" s="2" t="s">
        <v>13</v>
      </c>
    </row>
    <row r="9756" spans="1:7" x14ac:dyDescent="0.2">
      <c r="A9756" s="2" t="s">
        <v>3296</v>
      </c>
      <c r="B9756" s="2" t="s">
        <v>2001</v>
      </c>
      <c r="C9756" s="2">
        <v>700.64070000000004</v>
      </c>
      <c r="D9756" s="2">
        <f>HYPERLINK("http://mcb-m6.bioreg.kyushu-u.ac.jp/M3/20110427/F51114/1833/1", 59.04)</f>
        <v>59.04</v>
      </c>
      <c r="E9756" s="2">
        <v>39.659999999999997</v>
      </c>
      <c r="F9756" s="2">
        <v>2</v>
      </c>
      <c r="G9756" s="2" t="s">
        <v>13</v>
      </c>
    </row>
    <row r="9757" spans="1:7" x14ac:dyDescent="0.2">
      <c r="A9757" s="2" t="s">
        <v>3296</v>
      </c>
      <c r="B9757" s="2" t="s">
        <v>1460</v>
      </c>
      <c r="C9757" s="2">
        <v>752.79769999999996</v>
      </c>
      <c r="D9757" s="2">
        <f>HYPERLINK("http://mcb-m6.bioreg.kyushu-u.ac.jp/M3/20110427/F51114/2123/1", 79.17)</f>
        <v>79.17</v>
      </c>
      <c r="E9757" s="2">
        <v>37.270000000000003</v>
      </c>
      <c r="F9757" s="2">
        <v>2</v>
      </c>
      <c r="G9757" s="2" t="s">
        <v>13</v>
      </c>
    </row>
    <row r="9758" spans="1:7" x14ac:dyDescent="0.2">
      <c r="A9758" s="2" t="s">
        <v>3296</v>
      </c>
      <c r="B9758" s="2" t="s">
        <v>2027</v>
      </c>
      <c r="C9758" s="2">
        <v>858.25519999999995</v>
      </c>
      <c r="D9758" s="2">
        <f>HYPERLINK("http://mcb-m6.bioreg.kyushu-u.ac.jp/M3/20110427/F51123/2569/1", 71.63)</f>
        <v>71.63</v>
      </c>
      <c r="E9758" s="2">
        <v>48.24</v>
      </c>
      <c r="F9758" s="2">
        <v>2</v>
      </c>
      <c r="G9758" s="2" t="s">
        <v>14</v>
      </c>
    </row>
    <row r="9759" spans="1:7" x14ac:dyDescent="0.2">
      <c r="A9759" s="2" t="s">
        <v>3296</v>
      </c>
      <c r="B9759" s="2" t="s">
        <v>1460</v>
      </c>
      <c r="C9759" s="2">
        <v>752.4982</v>
      </c>
      <c r="D9759" s="2">
        <f>HYPERLINK("http://mcb-m6.bioreg.kyushu-u.ac.jp/M3/20110427/F51123/2097/1", 79.48)</f>
        <v>79.48</v>
      </c>
      <c r="E9759" s="2">
        <v>52.01</v>
      </c>
      <c r="F9759" s="2">
        <v>2</v>
      </c>
      <c r="G9759" s="2" t="s">
        <v>14</v>
      </c>
    </row>
    <row r="9760" spans="1:7" x14ac:dyDescent="0.2">
      <c r="A9760" s="2" t="s">
        <v>3817</v>
      </c>
      <c r="B9760" s="2" t="s">
        <v>877</v>
      </c>
      <c r="C9760" s="2">
        <v>621.53420000000006</v>
      </c>
      <c r="D9760" s="2">
        <f>HYPERLINK("http://mcb-m6.bioreg.kyushu-u.ac.jp/M3/20110421/F51014/1668/1", 53.06)</f>
        <v>53.06</v>
      </c>
      <c r="E9760" s="2">
        <v>30.19</v>
      </c>
      <c r="F9760" s="2">
        <v>2</v>
      </c>
      <c r="G9760" s="2" t="s">
        <v>11</v>
      </c>
    </row>
    <row r="9761" spans="1:9" x14ac:dyDescent="0.2">
      <c r="A9761" s="2" t="s">
        <v>3817</v>
      </c>
      <c r="B9761" s="2" t="s">
        <v>877</v>
      </c>
      <c r="C9761" s="2">
        <v>621.69420000000002</v>
      </c>
      <c r="D9761" s="2">
        <f>HYPERLINK("http://mcb-m6.bioreg.kyushu-u.ac.jp/M3/20110427/F51108/1629/1", 75.78)</f>
        <v>75.78</v>
      </c>
      <c r="E9761" s="2">
        <v>53.89</v>
      </c>
      <c r="F9761" s="2">
        <v>2</v>
      </c>
      <c r="G9761" s="2" t="s">
        <v>13</v>
      </c>
    </row>
    <row r="9762" spans="1:9" x14ac:dyDescent="0.2">
      <c r="A9762" s="2" t="s">
        <v>3621</v>
      </c>
      <c r="B9762" s="2" t="s">
        <v>6098</v>
      </c>
      <c r="C9762" s="2">
        <v>484.90660000000003</v>
      </c>
      <c r="D9762" s="2">
        <f>HYPERLINK("http://mcb-m6.bioreg.kyushu-u.ac.jp/M3/20110404/F50751/1428/1", 42.19)</f>
        <v>42.19</v>
      </c>
      <c r="E9762" s="2">
        <v>11.85</v>
      </c>
      <c r="F9762" s="2">
        <v>2</v>
      </c>
      <c r="G9762" s="2" t="s">
        <v>9</v>
      </c>
      <c r="I9762" s="2" t="s">
        <v>4890</v>
      </c>
    </row>
    <row r="9763" spans="1:9" x14ac:dyDescent="0.2">
      <c r="A9763" s="2" t="s">
        <v>3621</v>
      </c>
      <c r="B9763" s="2" t="s">
        <v>2326</v>
      </c>
      <c r="C9763" s="2">
        <v>1043.7380000000001</v>
      </c>
      <c r="D9763" s="2">
        <f>HYPERLINK("http://mcb-m6.bioreg.kyushu-u.ac.jp/M3/20110404/F50751/1531/1", 46.7)</f>
        <v>46.7</v>
      </c>
      <c r="E9763" s="2">
        <v>28.18</v>
      </c>
      <c r="F9763" s="2">
        <v>1</v>
      </c>
      <c r="G9763" s="2" t="s">
        <v>9</v>
      </c>
    </row>
    <row r="9764" spans="1:9" x14ac:dyDescent="0.2">
      <c r="A9764" s="2" t="s">
        <v>3621</v>
      </c>
      <c r="B9764" s="2" t="s">
        <v>7431</v>
      </c>
      <c r="C9764" s="2">
        <v>586.22310000000004</v>
      </c>
      <c r="D9764" s="2">
        <f>HYPERLINK("http://mcb-m6.bioreg.kyushu-u.ac.jp/M3/20110427/F51108/1514/1", 80.05)</f>
        <v>80.05</v>
      </c>
      <c r="E9764" s="2">
        <v>62.61</v>
      </c>
      <c r="F9764" s="2">
        <v>2</v>
      </c>
      <c r="G9764" s="2" t="s">
        <v>13</v>
      </c>
    </row>
    <row r="9765" spans="1:9" x14ac:dyDescent="0.2">
      <c r="A9765" s="2" t="s">
        <v>8119</v>
      </c>
      <c r="B9765" s="2" t="s">
        <v>7480</v>
      </c>
      <c r="C9765" s="2">
        <v>537.80470000000003</v>
      </c>
      <c r="D9765" s="2">
        <f>HYPERLINK("http://mcb-m6.bioreg.kyushu-u.ac.jp/M3/20110427/F51119/1639/1", 40.01)</f>
        <v>40.01</v>
      </c>
      <c r="E9765" s="2">
        <v>19.82</v>
      </c>
      <c r="F9765" s="2">
        <v>2</v>
      </c>
      <c r="G9765" s="2" t="s">
        <v>14</v>
      </c>
    </row>
    <row r="9766" spans="1:9" x14ac:dyDescent="0.2">
      <c r="A9766" s="2" t="s">
        <v>4870</v>
      </c>
      <c r="B9766" s="2" t="s">
        <v>3174</v>
      </c>
      <c r="C9766" s="2">
        <v>823.24519999999995</v>
      </c>
      <c r="D9766" s="2">
        <f>HYPERLINK("http://mcb-m6.bioreg.kyushu-u.ac.jp/M3/20110404/F50762/2069/1", 38.48)</f>
        <v>38.479999999999997</v>
      </c>
      <c r="E9766" s="2">
        <v>15.64</v>
      </c>
      <c r="F9766" s="2">
        <v>2</v>
      </c>
      <c r="G9766" s="2" t="s">
        <v>9</v>
      </c>
      <c r="I9766" s="2" t="s">
        <v>4895</v>
      </c>
    </row>
    <row r="9767" spans="1:9" x14ac:dyDescent="0.2">
      <c r="A9767" s="2" t="s">
        <v>8099</v>
      </c>
      <c r="B9767" s="2" t="s">
        <v>7450</v>
      </c>
      <c r="C9767" s="2">
        <v>494.81709999999998</v>
      </c>
      <c r="D9767" s="2">
        <f>HYPERLINK("http://mcb-m6.bioreg.kyushu-u.ac.jp/M3/20110427/F51125/1120/1", 35.63)</f>
        <v>35.630000000000003</v>
      </c>
      <c r="E9767" s="2">
        <v>19.07</v>
      </c>
      <c r="F9767" s="2">
        <v>2</v>
      </c>
      <c r="G9767" s="2" t="s">
        <v>14</v>
      </c>
      <c r="H9767" s="2" t="s">
        <v>4915</v>
      </c>
    </row>
    <row r="9768" spans="1:9" x14ac:dyDescent="0.2">
      <c r="A9768" s="2" t="s">
        <v>3514</v>
      </c>
      <c r="B9768" s="2" t="s">
        <v>1852</v>
      </c>
      <c r="C9768" s="2">
        <v>493.99459999999999</v>
      </c>
      <c r="D9768" s="2">
        <f>HYPERLINK("http://mcb-m6.bioreg.kyushu-u.ac.jp/M3/20110404/F50763/1063/1", 42.33)</f>
        <v>42.33</v>
      </c>
      <c r="E9768" s="2">
        <v>18.37</v>
      </c>
      <c r="F9768" s="2">
        <v>2</v>
      </c>
      <c r="G9768" s="2" t="s">
        <v>9</v>
      </c>
    </row>
    <row r="9769" spans="1:9" x14ac:dyDescent="0.2">
      <c r="A9769" s="2" t="s">
        <v>3514</v>
      </c>
      <c r="B9769" s="2" t="s">
        <v>2133</v>
      </c>
      <c r="C9769" s="2">
        <v>789.77670000000001</v>
      </c>
      <c r="D9769" s="2">
        <f>HYPERLINK("http://mcb-m6.bioreg.kyushu-u.ac.jp/M3/20110404/F50763/2116/1", 47.86)</f>
        <v>47.86</v>
      </c>
      <c r="E9769" s="2">
        <v>37.020000000000003</v>
      </c>
      <c r="F9769" s="2">
        <v>2</v>
      </c>
      <c r="G9769" s="2" t="s">
        <v>9</v>
      </c>
    </row>
    <row r="9770" spans="1:9" x14ac:dyDescent="0.2">
      <c r="A9770" s="2" t="s">
        <v>3514</v>
      </c>
      <c r="B9770" s="2" t="s">
        <v>355</v>
      </c>
      <c r="C9770" s="2">
        <v>542.32709999999997</v>
      </c>
      <c r="D9770" s="2">
        <f>HYPERLINK("http://mcb-m6.bioreg.kyushu-u.ac.jp/M3/20110404/F50763/1218/1", 54.41)</f>
        <v>54.41</v>
      </c>
      <c r="E9770" s="2">
        <v>32.450000000000003</v>
      </c>
      <c r="F9770" s="2">
        <v>2</v>
      </c>
      <c r="G9770" s="2" t="s">
        <v>9</v>
      </c>
    </row>
    <row r="9771" spans="1:9" x14ac:dyDescent="0.2">
      <c r="A9771" s="2" t="s">
        <v>3514</v>
      </c>
      <c r="B9771" s="2" t="s">
        <v>1120</v>
      </c>
      <c r="C9771" s="2">
        <v>774.39620000000002</v>
      </c>
      <c r="D9771" s="2">
        <f>HYPERLINK("http://mcb-m6.bioreg.kyushu-u.ac.jp/M3/20110404/F50763/2060/1", 62.33)</f>
        <v>62.33</v>
      </c>
      <c r="E9771" s="2">
        <v>43.1</v>
      </c>
      <c r="F9771" s="2">
        <v>2</v>
      </c>
      <c r="G9771" s="2" t="s">
        <v>9</v>
      </c>
    </row>
    <row r="9772" spans="1:9" x14ac:dyDescent="0.2">
      <c r="A9772" s="2" t="s">
        <v>3514</v>
      </c>
      <c r="B9772" s="2" t="s">
        <v>6430</v>
      </c>
      <c r="C9772" s="2">
        <v>720.31769999999995</v>
      </c>
      <c r="D9772" s="2">
        <f>HYPERLINK("http://mcb-m6.bioreg.kyushu-u.ac.jp/M3/20110404/F50763/1875/1", 63.35)</f>
        <v>63.35</v>
      </c>
      <c r="E9772" s="2">
        <v>36.35</v>
      </c>
      <c r="F9772" s="2">
        <v>2</v>
      </c>
      <c r="G9772" s="2" t="s">
        <v>9</v>
      </c>
    </row>
    <row r="9773" spans="1:9" x14ac:dyDescent="0.2">
      <c r="A9773" s="2" t="s">
        <v>3514</v>
      </c>
      <c r="B9773" s="2" t="s">
        <v>355</v>
      </c>
      <c r="C9773" s="2">
        <v>541.81320000000005</v>
      </c>
      <c r="D9773" s="2">
        <f>HYPERLINK("http://mcb-m6.bioreg.kyushu-u.ac.jp/M3/20110404/F50763/1217/1", 66.88)</f>
        <v>66.88</v>
      </c>
      <c r="E9773" s="2">
        <v>36.619999999999997</v>
      </c>
      <c r="F9773" s="2">
        <v>2</v>
      </c>
      <c r="G9773" s="2" t="s">
        <v>9</v>
      </c>
    </row>
    <row r="9774" spans="1:9" x14ac:dyDescent="0.2">
      <c r="A9774" s="2" t="s">
        <v>3514</v>
      </c>
      <c r="B9774" s="2" t="s">
        <v>1058</v>
      </c>
      <c r="C9774" s="2">
        <v>622.31870000000004</v>
      </c>
      <c r="D9774" s="2">
        <f>HYPERLINK("http://mcb-m6.bioreg.kyushu-u.ac.jp/M3/20110404/F50763/1487/1", 67.04)</f>
        <v>67.040000000000006</v>
      </c>
      <c r="E9774" s="2">
        <v>47.79</v>
      </c>
      <c r="F9774" s="2">
        <v>2</v>
      </c>
      <c r="G9774" s="2" t="s">
        <v>9</v>
      </c>
    </row>
    <row r="9775" spans="1:9" x14ac:dyDescent="0.2">
      <c r="A9775" s="2" t="s">
        <v>3514</v>
      </c>
      <c r="B9775" s="2" t="s">
        <v>914</v>
      </c>
      <c r="C9775" s="2">
        <v>643.48270000000002</v>
      </c>
      <c r="D9775" s="2">
        <f>HYPERLINK("http://mcb-m6.bioreg.kyushu-u.ac.jp/M3/20110404/F50763/1542/1", 67.6)</f>
        <v>67.599999999999994</v>
      </c>
      <c r="E9775" s="2">
        <v>27.33</v>
      </c>
      <c r="F9775" s="2">
        <v>2</v>
      </c>
      <c r="G9775" s="2" t="s">
        <v>9</v>
      </c>
    </row>
    <row r="9776" spans="1:9" x14ac:dyDescent="0.2">
      <c r="A9776" s="2" t="s">
        <v>3514</v>
      </c>
      <c r="B9776" s="2" t="s">
        <v>6477</v>
      </c>
      <c r="C9776" s="2">
        <v>863.46169999999995</v>
      </c>
      <c r="D9776" s="2">
        <f>HYPERLINK("http://mcb-m6.bioreg.kyushu-u.ac.jp/M3/20110404/F50763/2348/1", 68.22)</f>
        <v>68.22</v>
      </c>
      <c r="E9776" s="2">
        <v>36.869999999999997</v>
      </c>
      <c r="F9776" s="2">
        <v>2</v>
      </c>
      <c r="G9776" s="2" t="s">
        <v>9</v>
      </c>
    </row>
    <row r="9777" spans="1:8" x14ac:dyDescent="0.2">
      <c r="A9777" s="2" t="s">
        <v>3514</v>
      </c>
      <c r="B9777" s="2" t="s">
        <v>6484</v>
      </c>
      <c r="C9777" s="2">
        <v>873.37959999999998</v>
      </c>
      <c r="D9777" s="2">
        <f>HYPERLINK("http://mcb-m6.bioreg.kyushu-u.ac.jp/M3/20110404/F50763/2375/1", 69.03)</f>
        <v>69.03</v>
      </c>
      <c r="E9777" s="2">
        <v>43</v>
      </c>
      <c r="F9777" s="2">
        <v>2</v>
      </c>
      <c r="G9777" s="2" t="s">
        <v>9</v>
      </c>
    </row>
    <row r="9778" spans="1:8" x14ac:dyDescent="0.2">
      <c r="A9778" s="2" t="s">
        <v>3514</v>
      </c>
      <c r="B9778" s="2" t="s">
        <v>1213</v>
      </c>
      <c r="C9778" s="2">
        <v>627.32069999999999</v>
      </c>
      <c r="D9778" s="2">
        <f>HYPERLINK("http://mcb-m6.bioreg.kyushu-u.ac.jp/M3/20110404/F50763/1499/1", 81.33)</f>
        <v>81.33</v>
      </c>
      <c r="E9778" s="2">
        <v>56.44</v>
      </c>
      <c r="F9778" s="2">
        <v>2</v>
      </c>
      <c r="G9778" s="2" t="s">
        <v>9</v>
      </c>
    </row>
    <row r="9779" spans="1:8" x14ac:dyDescent="0.2">
      <c r="A9779" s="2" t="s">
        <v>3514</v>
      </c>
      <c r="B9779" s="2" t="s">
        <v>2136</v>
      </c>
      <c r="C9779" s="2">
        <v>1143.57</v>
      </c>
      <c r="D9779" s="2">
        <f>HYPERLINK("http://mcb-m6.bioreg.kyushu-u.ac.jp/M3/20110404/F50763/3058/1", 81.49)</f>
        <v>81.489999999999995</v>
      </c>
      <c r="E9779" s="2">
        <v>71.53</v>
      </c>
      <c r="F9779" s="2">
        <v>2</v>
      </c>
      <c r="G9779" s="2" t="s">
        <v>9</v>
      </c>
    </row>
    <row r="9780" spans="1:8" x14ac:dyDescent="0.2">
      <c r="A9780" s="2" t="s">
        <v>3514</v>
      </c>
      <c r="B9780" s="2" t="s">
        <v>6484</v>
      </c>
      <c r="C9780" s="2">
        <v>872.71220000000005</v>
      </c>
      <c r="D9780" s="2">
        <f>HYPERLINK("http://mcb-m6.bioreg.kyushu-u.ac.jp/M3/20110404/F50763/2373/1", 85.94)</f>
        <v>85.94</v>
      </c>
      <c r="E9780" s="2">
        <v>58.52</v>
      </c>
      <c r="F9780" s="2">
        <v>2</v>
      </c>
      <c r="G9780" s="2" t="s">
        <v>9</v>
      </c>
    </row>
    <row r="9781" spans="1:8" x14ac:dyDescent="0.2">
      <c r="A9781" s="2" t="s">
        <v>3514</v>
      </c>
      <c r="B9781" s="2" t="s">
        <v>6608</v>
      </c>
      <c r="C9781" s="2">
        <v>834.37919999999997</v>
      </c>
      <c r="D9781" s="2">
        <f>HYPERLINK("http://mcb-m6.bioreg.kyushu-u.ac.jp/M3/20110404/F50763/2265/1", 92.17)</f>
        <v>92.17</v>
      </c>
      <c r="E9781" s="2">
        <v>76.209999999999994</v>
      </c>
      <c r="F9781" s="2">
        <v>2</v>
      </c>
      <c r="G9781" s="2" t="s">
        <v>9</v>
      </c>
      <c r="H9781" s="2" t="s">
        <v>4904</v>
      </c>
    </row>
    <row r="9782" spans="1:8" x14ac:dyDescent="0.2">
      <c r="A9782" s="2" t="s">
        <v>3514</v>
      </c>
      <c r="B9782" s="2" t="s">
        <v>1634</v>
      </c>
      <c r="C9782" s="2">
        <v>731.59860000000003</v>
      </c>
      <c r="D9782" s="2">
        <f>HYPERLINK("http://mcb-m6.bioreg.kyushu-u.ac.jp/M3/20110404/F50763/1910/1", 96.33)</f>
        <v>96.33</v>
      </c>
      <c r="E9782" s="2">
        <v>79.37</v>
      </c>
      <c r="F9782" s="2">
        <v>2</v>
      </c>
      <c r="G9782" s="2" t="s">
        <v>9</v>
      </c>
    </row>
    <row r="9783" spans="1:8" x14ac:dyDescent="0.2">
      <c r="A9783" s="2" t="s">
        <v>3514</v>
      </c>
      <c r="B9783" s="2" t="s">
        <v>6682</v>
      </c>
      <c r="C9783" s="2">
        <v>933.38599999999997</v>
      </c>
      <c r="D9783" s="2">
        <f>HYPERLINK("http://mcb-m6.bioreg.kyushu-u.ac.jp/M3/20110404/F50769/1161/1", 35.55)</f>
        <v>35.549999999999997</v>
      </c>
      <c r="E9783" s="2">
        <v>9.8699999999999992</v>
      </c>
      <c r="F9783" s="2">
        <v>1</v>
      </c>
      <c r="G9783" s="2" t="s">
        <v>10</v>
      </c>
    </row>
    <row r="9784" spans="1:8" x14ac:dyDescent="0.2">
      <c r="A9784" s="2" t="s">
        <v>3514</v>
      </c>
      <c r="B9784" s="2" t="s">
        <v>1213</v>
      </c>
      <c r="C9784" s="2">
        <v>1252.57</v>
      </c>
      <c r="D9784" s="2">
        <f>HYPERLINK("http://mcb-m6.bioreg.kyushu-u.ac.jp/M3/20110404/F50769/1626/1", 37.01)</f>
        <v>37.01</v>
      </c>
      <c r="E9784" s="2">
        <v>27.06</v>
      </c>
      <c r="F9784" s="2">
        <v>1</v>
      </c>
      <c r="G9784" s="2" t="s">
        <v>10</v>
      </c>
    </row>
    <row r="9785" spans="1:8" x14ac:dyDescent="0.2">
      <c r="A9785" s="2" t="s">
        <v>3514</v>
      </c>
      <c r="B9785" s="2" t="s">
        <v>6771</v>
      </c>
      <c r="C9785" s="2">
        <v>843.40200000000004</v>
      </c>
      <c r="D9785" s="2">
        <f>HYPERLINK("http://mcb-m6.bioreg.kyushu-u.ac.jp/M3/20110404/F50769/1029/1", 41.37)</f>
        <v>41.37</v>
      </c>
      <c r="E9785" s="2">
        <v>12.91</v>
      </c>
      <c r="F9785" s="2">
        <v>1</v>
      </c>
      <c r="G9785" s="2" t="s">
        <v>10</v>
      </c>
    </row>
    <row r="9786" spans="1:8" x14ac:dyDescent="0.2">
      <c r="A9786" s="2" t="s">
        <v>3514</v>
      </c>
      <c r="B9786" s="2" t="s">
        <v>2133</v>
      </c>
      <c r="C9786" s="2">
        <v>789.26620000000003</v>
      </c>
      <c r="D9786" s="2">
        <f>HYPERLINK("http://mcb-m6.bioreg.kyushu-u.ac.jp/M3/20110404/F50769/2121/1", 48.24)</f>
        <v>48.24</v>
      </c>
      <c r="E9786" s="2">
        <v>38.33</v>
      </c>
      <c r="F9786" s="2">
        <v>2</v>
      </c>
      <c r="G9786" s="2" t="s">
        <v>10</v>
      </c>
    </row>
    <row r="9787" spans="1:8" x14ac:dyDescent="0.2">
      <c r="A9787" s="2" t="s">
        <v>3514</v>
      </c>
      <c r="B9787" s="2" t="s">
        <v>6853</v>
      </c>
      <c r="C9787" s="2">
        <v>867.72019999999998</v>
      </c>
      <c r="D9787" s="2">
        <f>HYPERLINK("http://mcb-m6.bioreg.kyushu-u.ac.jp/M3/20110404/F50769/2295/1", 50.14)</f>
        <v>50.14</v>
      </c>
      <c r="E9787" s="2">
        <v>35.01</v>
      </c>
      <c r="F9787" s="2">
        <v>2</v>
      </c>
      <c r="G9787" s="2" t="s">
        <v>10</v>
      </c>
    </row>
    <row r="9788" spans="1:8" x14ac:dyDescent="0.2">
      <c r="A9788" s="2" t="s">
        <v>3514</v>
      </c>
      <c r="B9788" s="2" t="s">
        <v>914</v>
      </c>
      <c r="C9788" s="2">
        <v>643.26260000000002</v>
      </c>
      <c r="D9788" s="2">
        <f>HYPERLINK("http://mcb-m6.bioreg.kyushu-u.ac.jp/M3/20110404/F50769/1666/1", 54.06)</f>
        <v>54.06</v>
      </c>
      <c r="E9788" s="2">
        <v>21.31</v>
      </c>
      <c r="F9788" s="2">
        <v>2</v>
      </c>
      <c r="G9788" s="2" t="s">
        <v>10</v>
      </c>
    </row>
    <row r="9789" spans="1:8" x14ac:dyDescent="0.2">
      <c r="A9789" s="2" t="s">
        <v>3514</v>
      </c>
      <c r="B9789" s="2" t="s">
        <v>1852</v>
      </c>
      <c r="C9789" s="2">
        <v>493.63810000000001</v>
      </c>
      <c r="D9789" s="2">
        <f>HYPERLINK("http://mcb-m6.bioreg.kyushu-u.ac.jp/M3/20110404/F50769/1256/1", 54.34)</f>
        <v>54.34</v>
      </c>
      <c r="E9789" s="2">
        <v>24.1</v>
      </c>
      <c r="F9789" s="2">
        <v>2</v>
      </c>
      <c r="G9789" s="2" t="s">
        <v>10</v>
      </c>
    </row>
    <row r="9790" spans="1:8" x14ac:dyDescent="0.2">
      <c r="A9790" s="2" t="s">
        <v>3514</v>
      </c>
      <c r="B9790" s="2" t="s">
        <v>2080</v>
      </c>
      <c r="C9790" s="2">
        <v>681.34810000000004</v>
      </c>
      <c r="D9790" s="2">
        <f>HYPERLINK("http://mcb-m6.bioreg.kyushu-u.ac.jp/M3/20110404/F50769/1763/1", 54.72)</f>
        <v>54.72</v>
      </c>
      <c r="E9790" s="2">
        <v>41.3</v>
      </c>
      <c r="F9790" s="2">
        <v>2</v>
      </c>
      <c r="G9790" s="2" t="s">
        <v>10</v>
      </c>
    </row>
    <row r="9791" spans="1:8" x14ac:dyDescent="0.2">
      <c r="A9791" s="2" t="s">
        <v>3514</v>
      </c>
      <c r="B9791" s="2" t="s">
        <v>355</v>
      </c>
      <c r="C9791" s="2">
        <v>541.73659999999995</v>
      </c>
      <c r="D9791" s="2">
        <f>HYPERLINK("http://mcb-m6.bioreg.kyushu-u.ac.jp/M3/20110404/F50769/1390/1", 59.54)</f>
        <v>59.54</v>
      </c>
      <c r="E9791" s="2">
        <v>39.340000000000003</v>
      </c>
      <c r="F9791" s="2">
        <v>2</v>
      </c>
      <c r="G9791" s="2" t="s">
        <v>10</v>
      </c>
    </row>
    <row r="9792" spans="1:8" x14ac:dyDescent="0.2">
      <c r="A9792" s="2" t="s">
        <v>3514</v>
      </c>
      <c r="B9792" s="2" t="s">
        <v>1120</v>
      </c>
      <c r="C9792" s="2">
        <v>774.88670000000002</v>
      </c>
      <c r="D9792" s="2">
        <f>HYPERLINK("http://mcb-m6.bioreg.kyushu-u.ac.jp/M3/20110404/F50769/2078/1", 66.11)</f>
        <v>66.11</v>
      </c>
      <c r="E9792" s="2">
        <v>49.3</v>
      </c>
      <c r="F9792" s="2">
        <v>2</v>
      </c>
      <c r="G9792" s="2" t="s">
        <v>10</v>
      </c>
    </row>
    <row r="9793" spans="1:9" x14ac:dyDescent="0.2">
      <c r="A9793" s="2" t="s">
        <v>3514</v>
      </c>
      <c r="B9793" s="2" t="s">
        <v>6477</v>
      </c>
      <c r="C9793" s="2">
        <v>862.98320000000001</v>
      </c>
      <c r="D9793" s="2">
        <f>HYPERLINK("http://mcb-m6.bioreg.kyushu-u.ac.jp/M3/20110404/F50769/2286/1", 80.51)</f>
        <v>80.510000000000005</v>
      </c>
      <c r="E9793" s="2">
        <v>50.13</v>
      </c>
      <c r="F9793" s="2">
        <v>2</v>
      </c>
      <c r="G9793" s="2" t="s">
        <v>10</v>
      </c>
    </row>
    <row r="9794" spans="1:9" x14ac:dyDescent="0.2">
      <c r="A9794" s="2" t="s">
        <v>3514</v>
      </c>
      <c r="B9794" s="2" t="s">
        <v>6484</v>
      </c>
      <c r="C9794" s="2">
        <v>881.07709999999997</v>
      </c>
      <c r="D9794" s="2">
        <f>HYPERLINK("http://mcb-m6.bioreg.kyushu-u.ac.jp/M3/20110404/F50769/2318/1", 86.31)</f>
        <v>86.31</v>
      </c>
      <c r="E9794" s="2">
        <v>70.41</v>
      </c>
      <c r="F9794" s="2">
        <v>2</v>
      </c>
      <c r="G9794" s="2" t="s">
        <v>10</v>
      </c>
      <c r="H9794" s="2" t="s">
        <v>4910</v>
      </c>
    </row>
    <row r="9795" spans="1:9" x14ac:dyDescent="0.2">
      <c r="A9795" s="2" t="s">
        <v>3514</v>
      </c>
      <c r="B9795" s="2" t="s">
        <v>1634</v>
      </c>
      <c r="C9795" s="2">
        <v>731.56370000000004</v>
      </c>
      <c r="D9795" s="2">
        <f>HYPERLINK("http://mcb-m6.bioreg.kyushu-u.ac.jp/M3/20110404/F50769/1955/1", 89.68)</f>
        <v>89.68</v>
      </c>
      <c r="E9795" s="2">
        <v>71.900000000000006</v>
      </c>
      <c r="F9795" s="2">
        <v>2</v>
      </c>
      <c r="G9795" s="2" t="s">
        <v>10</v>
      </c>
    </row>
    <row r="9796" spans="1:9" x14ac:dyDescent="0.2">
      <c r="A9796" s="2" t="s">
        <v>3514</v>
      </c>
      <c r="B9796" s="2" t="s">
        <v>6484</v>
      </c>
      <c r="C9796" s="2">
        <v>873.23860000000002</v>
      </c>
      <c r="D9796" s="2">
        <f>HYPERLINK("http://mcb-m6.bioreg.kyushu-u.ac.jp/M3/20110404/F50769/2304/1", 92.21)</f>
        <v>92.21</v>
      </c>
      <c r="E9796" s="2">
        <v>75.08</v>
      </c>
      <c r="F9796" s="2">
        <v>2</v>
      </c>
      <c r="G9796" s="2" t="s">
        <v>10</v>
      </c>
    </row>
    <row r="9797" spans="1:9" x14ac:dyDescent="0.2">
      <c r="A9797" s="2" t="s">
        <v>3514</v>
      </c>
      <c r="B9797" s="2" t="s">
        <v>1058</v>
      </c>
      <c r="C9797" s="2">
        <v>622.34220000000005</v>
      </c>
      <c r="D9797" s="2">
        <f>HYPERLINK("http://mcb-m6.bioreg.kyushu-u.ac.jp/M3/20110404/F50769/1608/1", 92.66)</f>
        <v>92.66</v>
      </c>
      <c r="E9797" s="2">
        <v>73.67</v>
      </c>
      <c r="F9797" s="2">
        <v>2</v>
      </c>
      <c r="G9797" s="2" t="s">
        <v>10</v>
      </c>
    </row>
    <row r="9798" spans="1:9" x14ac:dyDescent="0.2">
      <c r="A9798" s="2" t="s">
        <v>3514</v>
      </c>
      <c r="B9798" s="2" t="s">
        <v>6430</v>
      </c>
      <c r="C9798" s="2">
        <v>720.71969999999999</v>
      </c>
      <c r="D9798" s="2">
        <f>HYPERLINK("http://mcb-m6.bioreg.kyushu-u.ac.jp/M3/20110404/F50769/1925/1", 98.24)</f>
        <v>98.24</v>
      </c>
      <c r="E9798" s="2">
        <v>78.08</v>
      </c>
      <c r="F9798" s="2">
        <v>2</v>
      </c>
      <c r="G9798" s="2" t="s">
        <v>10</v>
      </c>
    </row>
    <row r="9799" spans="1:9" x14ac:dyDescent="0.2">
      <c r="A9799" s="2" t="s">
        <v>3514</v>
      </c>
      <c r="B9799" s="2" t="s">
        <v>6484</v>
      </c>
      <c r="C9799" s="2">
        <v>872.73770000000002</v>
      </c>
      <c r="D9799" s="2">
        <f>HYPERLINK("http://mcb-m6.bioreg.kyushu-u.ac.jp/M3/20110404/F50769/2303/1", 98.75)</f>
        <v>98.75</v>
      </c>
      <c r="E9799" s="2">
        <v>80.260000000000005</v>
      </c>
      <c r="F9799" s="2">
        <v>2</v>
      </c>
      <c r="G9799" s="2" t="s">
        <v>10</v>
      </c>
    </row>
    <row r="9800" spans="1:9" x14ac:dyDescent="0.2">
      <c r="A9800" s="2" t="s">
        <v>3514</v>
      </c>
      <c r="B9800" s="2" t="s">
        <v>1213</v>
      </c>
      <c r="C9800" s="2">
        <v>627.27070000000003</v>
      </c>
      <c r="D9800" s="2">
        <f>HYPERLINK("http://mcb-m6.bioreg.kyushu-u.ac.jp/M3/20110404/F50769/1627/1", 100.15)</f>
        <v>100.15</v>
      </c>
      <c r="E9800" s="2">
        <v>82.09</v>
      </c>
      <c r="F9800" s="2">
        <v>2</v>
      </c>
      <c r="G9800" s="2" t="s">
        <v>10</v>
      </c>
    </row>
    <row r="9801" spans="1:9" x14ac:dyDescent="0.2">
      <c r="A9801" s="2" t="s">
        <v>3514</v>
      </c>
      <c r="B9801" s="2" t="s">
        <v>2133</v>
      </c>
      <c r="C9801" s="2">
        <v>789.77070000000003</v>
      </c>
      <c r="D9801" s="2">
        <f>HYPERLINK("http://mcb-m6.bioreg.kyushu-u.ac.jp/M3/20110404/F50769/2123/1", 104.17)</f>
        <v>104.17</v>
      </c>
      <c r="E9801" s="2">
        <v>88.01</v>
      </c>
      <c r="F9801" s="2">
        <v>2</v>
      </c>
      <c r="G9801" s="2" t="s">
        <v>10</v>
      </c>
    </row>
    <row r="9802" spans="1:9" x14ac:dyDescent="0.2">
      <c r="A9802" s="2" t="s">
        <v>3514</v>
      </c>
      <c r="B9802" s="2" t="s">
        <v>2136</v>
      </c>
      <c r="C9802" s="2">
        <v>1143.57</v>
      </c>
      <c r="D9802" s="2">
        <f>HYPERLINK("http://mcb-m6.bioreg.kyushu-u.ac.jp/M3/20110404/F50769/2809/1", 105.63)</f>
        <v>105.63</v>
      </c>
      <c r="E9802" s="2">
        <v>95.84</v>
      </c>
      <c r="F9802" s="2">
        <v>2</v>
      </c>
      <c r="G9802" s="2" t="s">
        <v>10</v>
      </c>
    </row>
    <row r="9803" spans="1:9" x14ac:dyDescent="0.2">
      <c r="A9803" s="2" t="s">
        <v>3514</v>
      </c>
      <c r="B9803" s="2" t="s">
        <v>7060</v>
      </c>
      <c r="C9803" s="2">
        <v>714.20669999999996</v>
      </c>
      <c r="D9803" s="2">
        <f>HYPERLINK("http://mcb-m6.bioreg.kyushu-u.ac.jp/M3/20110404/F50769/1894/1", 120.46)</f>
        <v>120.46</v>
      </c>
      <c r="E9803" s="2">
        <v>96.82</v>
      </c>
      <c r="F9803" s="2">
        <v>2</v>
      </c>
      <c r="G9803" s="2" t="s">
        <v>10</v>
      </c>
      <c r="I9803" s="2" t="s">
        <v>4906</v>
      </c>
    </row>
    <row r="9804" spans="1:9" x14ac:dyDescent="0.2">
      <c r="A9804" s="2" t="s">
        <v>3514</v>
      </c>
      <c r="B9804" s="2" t="s">
        <v>1120</v>
      </c>
      <c r="C9804" s="2">
        <v>774.90470000000005</v>
      </c>
      <c r="D9804" s="2">
        <f>HYPERLINK("http://mcb-m6.bioreg.kyushu-u.ac.jp/M3/20110421/F51035/2156/1", 50.54)</f>
        <v>50.54</v>
      </c>
      <c r="E9804" s="2">
        <v>38.33</v>
      </c>
      <c r="F9804" s="2">
        <v>2</v>
      </c>
      <c r="G9804" s="2" t="s">
        <v>11</v>
      </c>
    </row>
    <row r="9805" spans="1:9" x14ac:dyDescent="0.2">
      <c r="A9805" s="2" t="s">
        <v>3514</v>
      </c>
      <c r="B9805" s="2" t="s">
        <v>1213</v>
      </c>
      <c r="C9805" s="2">
        <v>627.40309999999999</v>
      </c>
      <c r="D9805" s="2">
        <f>HYPERLINK("http://mcb-m6.bioreg.kyushu-u.ac.jp/M3/20110421/F51035/1362/1", 56.58)</f>
        <v>56.58</v>
      </c>
      <c r="E9805" s="2">
        <v>44.47</v>
      </c>
      <c r="F9805" s="2">
        <v>2</v>
      </c>
      <c r="G9805" s="2" t="s">
        <v>11</v>
      </c>
    </row>
    <row r="9806" spans="1:9" x14ac:dyDescent="0.2">
      <c r="A9806" s="2" t="s">
        <v>3514</v>
      </c>
      <c r="B9806" s="2" t="s">
        <v>1993</v>
      </c>
      <c r="C9806" s="2">
        <v>701.04669999999999</v>
      </c>
      <c r="D9806" s="2">
        <f>HYPERLINK("http://mcb-m6.bioreg.kyushu-u.ac.jp/M3/20110421/F51035/1745/1", 59.32)</f>
        <v>59.32</v>
      </c>
      <c r="E9806" s="2">
        <v>43.43</v>
      </c>
      <c r="F9806" s="2">
        <v>2</v>
      </c>
      <c r="G9806" s="2" t="s">
        <v>11</v>
      </c>
    </row>
    <row r="9807" spans="1:9" x14ac:dyDescent="0.2">
      <c r="A9807" s="2" t="s">
        <v>3514</v>
      </c>
      <c r="B9807" s="2" t="s">
        <v>6430</v>
      </c>
      <c r="C9807" s="2">
        <v>720.81209999999999</v>
      </c>
      <c r="D9807" s="2">
        <f>HYPERLINK("http://mcb-m6.bioreg.kyushu-u.ac.jp/M3/20110421/F51035/1886/1", 69.63)</f>
        <v>69.63</v>
      </c>
      <c r="E9807" s="2">
        <v>49.61</v>
      </c>
      <c r="F9807" s="2">
        <v>2</v>
      </c>
      <c r="G9807" s="2" t="s">
        <v>11</v>
      </c>
    </row>
    <row r="9808" spans="1:9" x14ac:dyDescent="0.2">
      <c r="A9808" s="2" t="s">
        <v>3514</v>
      </c>
      <c r="B9808" s="2" t="s">
        <v>1213</v>
      </c>
      <c r="C9808" s="2">
        <v>627.00070000000005</v>
      </c>
      <c r="D9808" s="2">
        <f>HYPERLINK("http://mcb-m6.bioreg.kyushu-u.ac.jp/M3/20110421/F51043/1493/1", 65.38)</f>
        <v>65.38</v>
      </c>
      <c r="E9808" s="2">
        <v>54</v>
      </c>
      <c r="F9808" s="2">
        <v>2</v>
      </c>
      <c r="G9808" s="2" t="s">
        <v>12</v>
      </c>
    </row>
    <row r="9809" spans="1:9" x14ac:dyDescent="0.2">
      <c r="A9809" s="2" t="s">
        <v>3514</v>
      </c>
      <c r="B9809" s="2" t="s">
        <v>2133</v>
      </c>
      <c r="C9809" s="2">
        <v>789.52120000000002</v>
      </c>
      <c r="D9809" s="2">
        <f>HYPERLINK("http://mcb-m6.bioreg.kyushu-u.ac.jp/M3/20110421/F51045/2368/1", 73.48)</f>
        <v>73.48</v>
      </c>
      <c r="E9809" s="2">
        <v>53.51</v>
      </c>
      <c r="F9809" s="2">
        <v>2</v>
      </c>
      <c r="G9809" s="2" t="s">
        <v>12</v>
      </c>
    </row>
    <row r="9810" spans="1:9" x14ac:dyDescent="0.2">
      <c r="A9810" s="2" t="s">
        <v>3514</v>
      </c>
      <c r="B9810" s="2" t="s">
        <v>2080</v>
      </c>
      <c r="C9810" s="2">
        <v>681.63919999999996</v>
      </c>
      <c r="D9810" s="2">
        <f>HYPERLINK("http://mcb-m6.bioreg.kyushu-u.ac.jp/M3/20110421/F51045/1896/1", 75.01)</f>
        <v>75.010000000000005</v>
      </c>
      <c r="E9810" s="2">
        <v>56.21</v>
      </c>
      <c r="F9810" s="2">
        <v>2</v>
      </c>
      <c r="G9810" s="2" t="s">
        <v>12</v>
      </c>
    </row>
    <row r="9811" spans="1:9" x14ac:dyDescent="0.2">
      <c r="A9811" s="2" t="s">
        <v>3514</v>
      </c>
      <c r="B9811" s="2" t="s">
        <v>1634</v>
      </c>
      <c r="C9811" s="2">
        <v>731.40219999999999</v>
      </c>
      <c r="D9811" s="2">
        <f>HYPERLINK("http://mcb-m6.bioreg.kyushu-u.ac.jp/M3/20110421/F51043/2026/1", 79.79)</f>
        <v>79.790000000000006</v>
      </c>
      <c r="E9811" s="2">
        <v>61.76</v>
      </c>
      <c r="F9811" s="2">
        <v>2</v>
      </c>
      <c r="G9811" s="2" t="s">
        <v>12</v>
      </c>
    </row>
    <row r="9812" spans="1:9" x14ac:dyDescent="0.2">
      <c r="A9812" s="2" t="s">
        <v>3514</v>
      </c>
      <c r="B9812" s="2" t="s">
        <v>1634</v>
      </c>
      <c r="C9812" s="2">
        <v>731.27970000000005</v>
      </c>
      <c r="D9812" s="2">
        <f>HYPERLINK("http://mcb-m6.bioreg.kyushu-u.ac.jp/M3/20110421/F51045/2129/1", 87.33)</f>
        <v>87.33</v>
      </c>
      <c r="E9812" s="2">
        <v>69.03</v>
      </c>
      <c r="F9812" s="2">
        <v>2</v>
      </c>
      <c r="G9812" s="2" t="s">
        <v>12</v>
      </c>
    </row>
    <row r="9813" spans="1:9" x14ac:dyDescent="0.2">
      <c r="A9813" s="2" t="s">
        <v>3514</v>
      </c>
      <c r="B9813" s="2" t="s">
        <v>6608</v>
      </c>
      <c r="C9813" s="2">
        <v>834.99519999999995</v>
      </c>
      <c r="D9813" s="2">
        <f>HYPERLINK("http://mcb-m6.bioreg.kyushu-u.ac.jp/M3/20110421/F51043/2503/1", 104.89)</f>
        <v>104.89</v>
      </c>
      <c r="E9813" s="2">
        <v>76.430000000000007</v>
      </c>
      <c r="F9813" s="2">
        <v>2</v>
      </c>
      <c r="G9813" s="2" t="s">
        <v>12</v>
      </c>
      <c r="H9813" s="2" t="s">
        <v>4904</v>
      </c>
    </row>
    <row r="9814" spans="1:9" x14ac:dyDescent="0.2">
      <c r="A9814" s="2" t="s">
        <v>3514</v>
      </c>
      <c r="B9814" s="2" t="s">
        <v>2080</v>
      </c>
      <c r="C9814" s="2">
        <v>681.04669999999999</v>
      </c>
      <c r="D9814" s="2">
        <f>HYPERLINK("http://mcb-m6.bioreg.kyushu-u.ac.jp/M3/20110428/F51127/1536/1", 42.24)</f>
        <v>42.24</v>
      </c>
      <c r="E9814" s="2">
        <v>29.52</v>
      </c>
      <c r="F9814" s="2">
        <v>2</v>
      </c>
      <c r="G9814" s="2" t="s">
        <v>13</v>
      </c>
    </row>
    <row r="9815" spans="1:9" x14ac:dyDescent="0.2">
      <c r="A9815" s="2" t="s">
        <v>3514</v>
      </c>
      <c r="B9815" s="2" t="s">
        <v>1978</v>
      </c>
      <c r="C9815" s="2">
        <v>644.18409999999994</v>
      </c>
      <c r="D9815" s="2">
        <f>HYPERLINK("http://mcb-m6.bioreg.kyushu-u.ac.jp/M3/20110428/F51127/1377/1", 44.71)</f>
        <v>44.71</v>
      </c>
      <c r="E9815" s="2">
        <v>19.809999999999999</v>
      </c>
      <c r="F9815" s="2">
        <v>2</v>
      </c>
      <c r="G9815" s="2" t="s">
        <v>13</v>
      </c>
    </row>
    <row r="9816" spans="1:9" x14ac:dyDescent="0.2">
      <c r="A9816" s="2" t="s">
        <v>3514</v>
      </c>
      <c r="B9816" s="2" t="s">
        <v>1213</v>
      </c>
      <c r="C9816" s="2">
        <v>627.36609999999996</v>
      </c>
      <c r="D9816" s="2">
        <f>HYPERLINK("http://mcb-m6.bioreg.kyushu-u.ac.jp/M3/20110428/F51127/1310/1", 79.55)</f>
        <v>79.55</v>
      </c>
      <c r="E9816" s="2">
        <v>53.31</v>
      </c>
      <c r="F9816" s="2">
        <v>2</v>
      </c>
      <c r="G9816" s="2" t="s">
        <v>13</v>
      </c>
    </row>
    <row r="9817" spans="1:9" x14ac:dyDescent="0.2">
      <c r="A9817" s="2" t="s">
        <v>3514</v>
      </c>
      <c r="B9817" s="2" t="s">
        <v>950</v>
      </c>
      <c r="C9817" s="2">
        <v>589.66470000000004</v>
      </c>
      <c r="D9817" s="2">
        <f>HYPERLINK("http://mcb-m6.bioreg.kyushu-u.ac.jp/M3/20110428/F51127/1145/1", 80.85)</f>
        <v>80.849999999999994</v>
      </c>
      <c r="E9817" s="2">
        <v>42.35</v>
      </c>
      <c r="F9817" s="2">
        <v>2</v>
      </c>
      <c r="G9817" s="2" t="s">
        <v>13</v>
      </c>
    </row>
    <row r="9818" spans="1:9" x14ac:dyDescent="0.2">
      <c r="A9818" s="2" t="s">
        <v>3514</v>
      </c>
      <c r="B9818" s="2" t="s">
        <v>2133</v>
      </c>
      <c r="C9818" s="2">
        <v>789.65620000000001</v>
      </c>
      <c r="D9818" s="2">
        <f>HYPERLINK("http://mcb-m6.bioreg.kyushu-u.ac.jp/M3/20110428/F51127/2189/1", 81.59)</f>
        <v>81.59</v>
      </c>
      <c r="E9818" s="2">
        <v>66.290000000000006</v>
      </c>
      <c r="F9818" s="2">
        <v>2</v>
      </c>
      <c r="G9818" s="2" t="s">
        <v>13</v>
      </c>
    </row>
    <row r="9819" spans="1:9" x14ac:dyDescent="0.2">
      <c r="A9819" s="2" t="s">
        <v>3514</v>
      </c>
      <c r="B9819" s="2" t="s">
        <v>1424</v>
      </c>
      <c r="C9819" s="2">
        <v>595.62270000000001</v>
      </c>
      <c r="D9819" s="2">
        <f>HYPERLINK("http://mcb-m6.bioreg.kyushu-u.ac.jp/M3/20110428/F51127/1184/1", 82.38)</f>
        <v>82.38</v>
      </c>
      <c r="E9819" s="2">
        <v>63.17</v>
      </c>
      <c r="F9819" s="2">
        <v>2</v>
      </c>
      <c r="G9819" s="2" t="s">
        <v>13</v>
      </c>
    </row>
    <row r="9820" spans="1:9" x14ac:dyDescent="0.2">
      <c r="A9820" s="2" t="s">
        <v>3514</v>
      </c>
      <c r="B9820" s="2" t="s">
        <v>1120</v>
      </c>
      <c r="C9820" s="2">
        <v>774.11659999999995</v>
      </c>
      <c r="D9820" s="2">
        <f>HYPERLINK("http://mcb-m6.bioreg.kyushu-u.ac.jp/M3/20110428/F51127/2059/1", 82.97)</f>
        <v>82.97</v>
      </c>
      <c r="E9820" s="2">
        <v>62.15</v>
      </c>
      <c r="F9820" s="2">
        <v>2</v>
      </c>
      <c r="G9820" s="2" t="s">
        <v>13</v>
      </c>
    </row>
    <row r="9821" spans="1:9" x14ac:dyDescent="0.2">
      <c r="A9821" s="2" t="s">
        <v>3514</v>
      </c>
      <c r="B9821" s="2" t="s">
        <v>2507</v>
      </c>
      <c r="C9821" s="2">
        <v>898.83010000000002</v>
      </c>
      <c r="D9821" s="2">
        <f>HYPERLINK("http://mcb-m6.bioreg.kyushu-u.ac.jp/M3/20110428/F51127/2791/1", 100.03)</f>
        <v>100.03</v>
      </c>
      <c r="E9821" s="2">
        <v>84.51</v>
      </c>
      <c r="F9821" s="2">
        <v>2</v>
      </c>
      <c r="G9821" s="2" t="s">
        <v>13</v>
      </c>
    </row>
    <row r="9822" spans="1:9" x14ac:dyDescent="0.2">
      <c r="A9822" s="2" t="s">
        <v>3514</v>
      </c>
      <c r="B9822" s="2" t="s">
        <v>1634</v>
      </c>
      <c r="C9822" s="2">
        <v>731.21870000000001</v>
      </c>
      <c r="D9822" s="2">
        <f>HYPERLINK("http://mcb-m6.bioreg.kyushu-u.ac.jp/M3/20110428/F51127/1829/1", 103.26)</f>
        <v>103.26</v>
      </c>
      <c r="E9822" s="2">
        <v>73.66</v>
      </c>
      <c r="F9822" s="2">
        <v>2</v>
      </c>
      <c r="G9822" s="2" t="s">
        <v>13</v>
      </c>
    </row>
    <row r="9823" spans="1:9" x14ac:dyDescent="0.2">
      <c r="A9823" s="2" t="s">
        <v>3514</v>
      </c>
      <c r="B9823" s="2" t="s">
        <v>7060</v>
      </c>
      <c r="C9823" s="2">
        <v>714.37620000000004</v>
      </c>
      <c r="D9823" s="2">
        <f>HYPERLINK("http://mcb-m6.bioreg.kyushu-u.ac.jp/M3/20110428/F51127/1735/1", 108.08)</f>
        <v>108.08</v>
      </c>
      <c r="E9823" s="2">
        <v>86.24</v>
      </c>
      <c r="F9823" s="2">
        <v>2</v>
      </c>
      <c r="G9823" s="2" t="s">
        <v>13</v>
      </c>
      <c r="I9823" s="2" t="s">
        <v>4906</v>
      </c>
    </row>
    <row r="9824" spans="1:9" x14ac:dyDescent="0.2">
      <c r="A9824" s="2" t="s">
        <v>3514</v>
      </c>
      <c r="B9824" s="2" t="s">
        <v>1058</v>
      </c>
      <c r="C9824" s="2">
        <v>622.25070000000005</v>
      </c>
      <c r="D9824" s="2">
        <f>HYPERLINK("http://mcb-m6.bioreg.kyushu-u.ac.jp/M3/20110428/F51128/1435/1", 45.5)</f>
        <v>45.5</v>
      </c>
      <c r="E9824" s="2">
        <v>25.64</v>
      </c>
      <c r="F9824" s="2">
        <v>2</v>
      </c>
      <c r="G9824" s="2" t="s">
        <v>14</v>
      </c>
    </row>
    <row r="9825" spans="1:9" x14ac:dyDescent="0.2">
      <c r="A9825" s="2" t="s">
        <v>3514</v>
      </c>
      <c r="B9825" s="2" t="s">
        <v>1993</v>
      </c>
      <c r="C9825" s="2">
        <v>700.70119999999997</v>
      </c>
      <c r="D9825" s="2">
        <f>HYPERLINK("http://mcb-m6.bioreg.kyushu-u.ac.jp/M3/20110428/F51128/1772/1", 50.97)</f>
        <v>50.97</v>
      </c>
      <c r="E9825" s="2">
        <v>32.549999999999997</v>
      </c>
      <c r="F9825" s="2">
        <v>2</v>
      </c>
      <c r="G9825" s="2" t="s">
        <v>14</v>
      </c>
    </row>
    <row r="9826" spans="1:9" x14ac:dyDescent="0.2">
      <c r="A9826" s="2" t="s">
        <v>3514</v>
      </c>
      <c r="B9826" s="2" t="s">
        <v>1120</v>
      </c>
      <c r="C9826" s="2">
        <v>774.15970000000004</v>
      </c>
      <c r="D9826" s="2">
        <f>HYPERLINK("http://mcb-m6.bioreg.kyushu-u.ac.jp/M3/20110428/F51128/2119/1", 59.92)</f>
        <v>59.92</v>
      </c>
      <c r="E9826" s="2">
        <v>43.39</v>
      </c>
      <c r="F9826" s="2">
        <v>2</v>
      </c>
      <c r="G9826" s="2" t="s">
        <v>14</v>
      </c>
    </row>
    <row r="9827" spans="1:9" x14ac:dyDescent="0.2">
      <c r="A9827" s="2" t="s">
        <v>3514</v>
      </c>
      <c r="B9827" s="2" t="s">
        <v>7507</v>
      </c>
      <c r="C9827" s="2">
        <v>916.31709999999998</v>
      </c>
      <c r="D9827" s="2">
        <f>HYPERLINK("http://mcb-m6.bioreg.kyushu-u.ac.jp/M3/20110428/F51128/2823/1", 65.06)</f>
        <v>65.06</v>
      </c>
      <c r="E9827" s="2">
        <v>43.07</v>
      </c>
      <c r="F9827" s="2">
        <v>2</v>
      </c>
      <c r="G9827" s="2" t="s">
        <v>14</v>
      </c>
    </row>
    <row r="9828" spans="1:9" x14ac:dyDescent="0.2">
      <c r="A9828" s="2" t="s">
        <v>3514</v>
      </c>
      <c r="B9828" s="2" t="s">
        <v>1634</v>
      </c>
      <c r="C9828" s="2">
        <v>731.23019999999997</v>
      </c>
      <c r="D9828" s="2">
        <f>HYPERLINK("http://mcb-m6.bioreg.kyushu-u.ac.jp/M3/20110428/F51128/1913/1", 79.97)</f>
        <v>79.97</v>
      </c>
      <c r="E9828" s="2">
        <v>50.44</v>
      </c>
      <c r="F9828" s="2">
        <v>2</v>
      </c>
      <c r="G9828" s="2" t="s">
        <v>14</v>
      </c>
    </row>
    <row r="9829" spans="1:9" x14ac:dyDescent="0.2">
      <c r="A9829" s="2" t="s">
        <v>3514</v>
      </c>
      <c r="B9829" s="2" t="s">
        <v>1213</v>
      </c>
      <c r="C9829" s="2">
        <v>627.16970000000003</v>
      </c>
      <c r="D9829" s="2">
        <f>HYPERLINK("http://mcb-m6.bioreg.kyushu-u.ac.jp/M3/20110428/F51128/1456/1", 82.67)</f>
        <v>82.67</v>
      </c>
      <c r="E9829" s="2">
        <v>63.96</v>
      </c>
      <c r="F9829" s="2">
        <v>2</v>
      </c>
      <c r="G9829" s="2" t="s">
        <v>14</v>
      </c>
    </row>
    <row r="9830" spans="1:9" x14ac:dyDescent="0.2">
      <c r="A9830" s="2" t="s">
        <v>3514</v>
      </c>
      <c r="B9830" s="2" t="s">
        <v>6853</v>
      </c>
      <c r="C9830" s="2">
        <v>867.70420000000001</v>
      </c>
      <c r="D9830" s="2">
        <f>HYPERLINK("http://mcb-m6.bioreg.kyushu-u.ac.jp/M3/20110428/F51128/2584/1", 92.28)</f>
        <v>92.28</v>
      </c>
      <c r="E9830" s="2">
        <v>71.63</v>
      </c>
      <c r="F9830" s="2">
        <v>2</v>
      </c>
      <c r="G9830" s="2" t="s">
        <v>14</v>
      </c>
    </row>
    <row r="9831" spans="1:9" x14ac:dyDescent="0.2">
      <c r="A9831" s="2" t="s">
        <v>3514</v>
      </c>
      <c r="B9831" s="2" t="s">
        <v>2080</v>
      </c>
      <c r="C9831" s="2">
        <v>681.19209999999998</v>
      </c>
      <c r="D9831" s="2">
        <f>HYPERLINK("http://mcb-m6.bioreg.kyushu-u.ac.jp/M3/20110428/F51128/1657/1", 95.53)</f>
        <v>95.53</v>
      </c>
      <c r="E9831" s="2">
        <v>70.91</v>
      </c>
      <c r="F9831" s="2">
        <v>2</v>
      </c>
      <c r="G9831" s="2" t="s">
        <v>14</v>
      </c>
    </row>
    <row r="9832" spans="1:9" x14ac:dyDescent="0.2">
      <c r="A9832" s="2" t="s">
        <v>3514</v>
      </c>
      <c r="B9832" s="2" t="s">
        <v>2507</v>
      </c>
      <c r="C9832" s="2">
        <v>898.75459999999998</v>
      </c>
      <c r="D9832" s="2">
        <f>HYPERLINK("http://mcb-m6.bioreg.kyushu-u.ac.jp/M3/20110428/F51128/2750/1", 104.16)</f>
        <v>104.16</v>
      </c>
      <c r="E9832" s="2">
        <v>87.51</v>
      </c>
      <c r="F9832" s="2">
        <v>2</v>
      </c>
      <c r="G9832" s="2" t="s">
        <v>14</v>
      </c>
    </row>
    <row r="9833" spans="1:9" x14ac:dyDescent="0.2">
      <c r="A9833" s="2" t="s">
        <v>3514</v>
      </c>
      <c r="B9833" s="2" t="s">
        <v>7060</v>
      </c>
      <c r="C9833" s="2">
        <v>714.13919999999996</v>
      </c>
      <c r="D9833" s="2">
        <f>HYPERLINK("http://mcb-m6.bioreg.kyushu-u.ac.jp/M3/20110428/F51128/1840/1", 116.94)</f>
        <v>116.94</v>
      </c>
      <c r="E9833" s="2">
        <v>90.99</v>
      </c>
      <c r="F9833" s="2">
        <v>2</v>
      </c>
      <c r="G9833" s="2" t="s">
        <v>14</v>
      </c>
      <c r="I9833" s="2" t="s">
        <v>4906</v>
      </c>
    </row>
    <row r="9834" spans="1:9" x14ac:dyDescent="0.2">
      <c r="A9834" s="2" t="s">
        <v>7612</v>
      </c>
      <c r="B9834" s="2" t="s">
        <v>6120</v>
      </c>
      <c r="C9834" s="2">
        <v>1213.501</v>
      </c>
      <c r="D9834" s="2">
        <f>HYPERLINK("http://mcb-m6.bioreg.kyushu-u.ac.jp/M3/20110404/F50752/1683/1", 43.39)</f>
        <v>43.39</v>
      </c>
      <c r="E9834" s="2">
        <v>19.96</v>
      </c>
      <c r="F9834" s="2">
        <v>1</v>
      </c>
      <c r="G9834" s="2" t="s">
        <v>9</v>
      </c>
    </row>
    <row r="9835" spans="1:9" x14ac:dyDescent="0.2">
      <c r="A9835" s="2" t="s">
        <v>7612</v>
      </c>
      <c r="B9835" s="2" t="s">
        <v>6120</v>
      </c>
      <c r="C9835" s="2">
        <v>1214.498</v>
      </c>
      <c r="D9835" s="2">
        <f>HYPERLINK("http://mcb-m6.bioreg.kyushu-u.ac.jp/M3/20110404/F50752/1686/1", 49.32)</f>
        <v>49.32</v>
      </c>
      <c r="E9835" s="2">
        <v>30.38</v>
      </c>
      <c r="F9835" s="2">
        <v>1</v>
      </c>
      <c r="G9835" s="2" t="s">
        <v>9</v>
      </c>
    </row>
    <row r="9836" spans="1:9" x14ac:dyDescent="0.2">
      <c r="A9836" s="2" t="s">
        <v>4037</v>
      </c>
      <c r="B9836" s="2" t="s">
        <v>1370</v>
      </c>
      <c r="C9836" s="2">
        <v>578.90470000000005</v>
      </c>
      <c r="D9836" s="2">
        <f>HYPERLINK("http://mcb-m6.bioreg.kyushu-u.ac.jp/M3/20110404/F50752/1570/1", 96.34)</f>
        <v>96.34</v>
      </c>
      <c r="E9836" s="2">
        <v>75.61</v>
      </c>
      <c r="F9836" s="2">
        <v>2</v>
      </c>
      <c r="G9836" s="2" t="s">
        <v>9</v>
      </c>
    </row>
    <row r="9837" spans="1:9" x14ac:dyDescent="0.2">
      <c r="A9837" s="2" t="s">
        <v>4094</v>
      </c>
      <c r="B9837" s="2" t="s">
        <v>1540</v>
      </c>
      <c r="C9837" s="2">
        <v>1252.4639999999999</v>
      </c>
      <c r="D9837" s="2">
        <f>HYPERLINK("http://mcb-m6.bioreg.kyushu-u.ac.jp/M3/20110404/F50752/1754/1", 42.28)</f>
        <v>42.28</v>
      </c>
      <c r="E9837" s="2">
        <v>18.59</v>
      </c>
      <c r="F9837" s="2">
        <v>1</v>
      </c>
      <c r="G9837" s="2" t="s">
        <v>9</v>
      </c>
    </row>
    <row r="9838" spans="1:9" x14ac:dyDescent="0.2">
      <c r="A9838" s="2" t="s">
        <v>4094</v>
      </c>
      <c r="B9838" s="2" t="s">
        <v>1540</v>
      </c>
      <c r="C9838" s="2">
        <v>626.97720000000004</v>
      </c>
      <c r="D9838" s="2">
        <f>HYPERLINK("http://mcb-m6.bioreg.kyushu-u.ac.jp/M3/20110404/F50752/1755/1", 76.31)</f>
        <v>76.31</v>
      </c>
      <c r="E9838" s="2">
        <v>50.71</v>
      </c>
      <c r="F9838" s="2">
        <v>2</v>
      </c>
      <c r="G9838" s="2" t="s">
        <v>9</v>
      </c>
    </row>
    <row r="9839" spans="1:9" x14ac:dyDescent="0.2">
      <c r="A9839" s="2" t="s">
        <v>4094</v>
      </c>
      <c r="B9839" s="2" t="s">
        <v>1540</v>
      </c>
      <c r="C9839" s="2">
        <v>1252.3920000000001</v>
      </c>
      <c r="D9839" s="2">
        <f>HYPERLINK("http://mcb-m6.bioreg.kyushu-u.ac.jp/M3/20110404/F50757/1813/1", 40.3)</f>
        <v>40.299999999999997</v>
      </c>
      <c r="E9839" s="2">
        <v>23.39</v>
      </c>
      <c r="F9839" s="2">
        <v>1</v>
      </c>
      <c r="G9839" s="2" t="s">
        <v>10</v>
      </c>
    </row>
    <row r="9840" spans="1:9" x14ac:dyDescent="0.2">
      <c r="A9840" s="2" t="s">
        <v>4094</v>
      </c>
      <c r="B9840" s="2" t="s">
        <v>1540</v>
      </c>
      <c r="C9840" s="2">
        <v>627.20569999999998</v>
      </c>
      <c r="D9840" s="2">
        <f>HYPERLINK("http://mcb-m6.bioreg.kyushu-u.ac.jp/M3/20110404/F50757/1815/1", 71.76)</f>
        <v>71.760000000000005</v>
      </c>
      <c r="E9840" s="2">
        <v>42.09</v>
      </c>
      <c r="F9840" s="2">
        <v>2</v>
      </c>
      <c r="G9840" s="2" t="s">
        <v>10</v>
      </c>
    </row>
    <row r="9841" spans="1:9" x14ac:dyDescent="0.2">
      <c r="A9841" s="2" t="s">
        <v>4012</v>
      </c>
      <c r="B9841" s="2" t="s">
        <v>1309</v>
      </c>
      <c r="C9841" s="2">
        <v>715.26869999999997</v>
      </c>
      <c r="D9841" s="2">
        <f>HYPERLINK("http://mcb-m6.bioreg.kyushu-u.ac.jp/M3/20110404/F50752/2022/1", 89.74)</f>
        <v>89.74</v>
      </c>
      <c r="E9841" s="2">
        <v>69.98</v>
      </c>
      <c r="F9841" s="2">
        <v>2</v>
      </c>
      <c r="G9841" s="2" t="s">
        <v>9</v>
      </c>
      <c r="I9841" s="2" t="s">
        <v>4893</v>
      </c>
    </row>
    <row r="9842" spans="1:9" x14ac:dyDescent="0.2">
      <c r="A9842" s="2" t="s">
        <v>4006</v>
      </c>
      <c r="B9842" s="2" t="s">
        <v>6230</v>
      </c>
      <c r="C9842" s="2">
        <v>931.38</v>
      </c>
      <c r="D9842" s="2">
        <f>HYPERLINK("http://mcb-m6.bioreg.kyushu-u.ac.jp/M3/20110404/F50777/864/1", 47.73)</f>
        <v>47.73</v>
      </c>
      <c r="E9842" s="2">
        <v>31.35</v>
      </c>
      <c r="F9842" s="2">
        <v>1</v>
      </c>
      <c r="G9842" s="2" t="s">
        <v>9</v>
      </c>
    </row>
    <row r="9843" spans="1:9" x14ac:dyDescent="0.2">
      <c r="A9843" s="2" t="s">
        <v>4006</v>
      </c>
      <c r="B9843" s="2" t="s">
        <v>6230</v>
      </c>
      <c r="C9843" s="2">
        <v>931.34</v>
      </c>
      <c r="D9843" s="2">
        <f>HYPERLINK("http://mcb-m6.bioreg.kyushu-u.ac.jp/M3/20110421/F51037/567/1", 51.23)</f>
        <v>51.23</v>
      </c>
      <c r="E9843" s="2">
        <v>36.71</v>
      </c>
      <c r="F9843" s="2">
        <v>1</v>
      </c>
      <c r="G9843" s="2" t="s">
        <v>11</v>
      </c>
    </row>
    <row r="9844" spans="1:9" x14ac:dyDescent="0.2">
      <c r="A9844" s="2" t="s">
        <v>4006</v>
      </c>
      <c r="B9844" s="2" t="s">
        <v>2407</v>
      </c>
      <c r="C9844" s="2">
        <v>788.50419999999997</v>
      </c>
      <c r="D9844" s="2">
        <f>HYPERLINK("http://mcb-m6.bioreg.kyushu-u.ac.jp/M3/20110421/F51037/3875/1", 61.64)</f>
        <v>61.64</v>
      </c>
      <c r="E9844" s="2">
        <v>52.44</v>
      </c>
      <c r="F9844" s="2">
        <v>3</v>
      </c>
      <c r="G9844" s="2" t="s">
        <v>11</v>
      </c>
    </row>
    <row r="9845" spans="1:9" x14ac:dyDescent="0.2">
      <c r="A9845" s="2" t="s">
        <v>4006</v>
      </c>
      <c r="B9845" s="2" t="s">
        <v>7332</v>
      </c>
      <c r="C9845" s="2">
        <v>702.13819999999998</v>
      </c>
      <c r="D9845" s="2">
        <f>HYPERLINK("http://mcb-m6.bioreg.kyushu-u.ac.jp/M3/20110427/F51115/1808/1", 42.2)</f>
        <v>42.2</v>
      </c>
      <c r="E9845" s="2">
        <v>25.13</v>
      </c>
      <c r="F9845" s="2">
        <v>2</v>
      </c>
      <c r="G9845" s="2" t="s">
        <v>13</v>
      </c>
      <c r="I9845" s="2" t="s">
        <v>4905</v>
      </c>
    </row>
    <row r="9846" spans="1:9" x14ac:dyDescent="0.2">
      <c r="A9846" s="2" t="s">
        <v>3641</v>
      </c>
      <c r="B9846" s="2" t="s">
        <v>6225</v>
      </c>
      <c r="C9846" s="2">
        <v>553.70010000000002</v>
      </c>
      <c r="D9846" s="2">
        <f>HYPERLINK("http://mcb-m6.bioreg.kyushu-u.ac.jp/M3/20110404/F50763/1245/1", 47.42)</f>
        <v>47.42</v>
      </c>
      <c r="E9846" s="2">
        <v>22.92</v>
      </c>
      <c r="F9846" s="2">
        <v>2</v>
      </c>
      <c r="G9846" s="2" t="s">
        <v>9</v>
      </c>
    </row>
    <row r="9847" spans="1:9" x14ac:dyDescent="0.2">
      <c r="A9847" s="2" t="s">
        <v>3641</v>
      </c>
      <c r="B9847" s="2" t="s">
        <v>560</v>
      </c>
      <c r="C9847" s="2">
        <v>891.3107</v>
      </c>
      <c r="D9847" s="2">
        <f>HYPERLINK("http://mcb-m6.bioreg.kyushu-u.ac.jp/M3/20110404/F50763/2447/1", 63.83)</f>
        <v>63.83</v>
      </c>
      <c r="E9847" s="2">
        <v>49.46</v>
      </c>
      <c r="F9847" s="2">
        <v>2</v>
      </c>
      <c r="G9847" s="2" t="s">
        <v>9</v>
      </c>
    </row>
    <row r="9848" spans="1:9" x14ac:dyDescent="0.2">
      <c r="A9848" s="2" t="s">
        <v>3641</v>
      </c>
      <c r="B9848" s="2" t="s">
        <v>6225</v>
      </c>
      <c r="C9848" s="2">
        <v>553.8777</v>
      </c>
      <c r="D9848" s="2">
        <f>HYPERLINK("http://mcb-m6.bioreg.kyushu-u.ac.jp/M3/20110404/F50769/1417/1", 61.85)</f>
        <v>61.85</v>
      </c>
      <c r="E9848" s="2">
        <v>31.56</v>
      </c>
      <c r="F9848" s="2">
        <v>2</v>
      </c>
      <c r="G9848" s="2" t="s">
        <v>10</v>
      </c>
    </row>
    <row r="9849" spans="1:9" x14ac:dyDescent="0.2">
      <c r="A9849" s="2" t="s">
        <v>3641</v>
      </c>
      <c r="B9849" s="2" t="s">
        <v>6225</v>
      </c>
      <c r="C9849" s="2">
        <v>554.35059999999999</v>
      </c>
      <c r="D9849" s="2">
        <f>HYPERLINK("http://mcb-m6.bioreg.kyushu-u.ac.jp/M3/20110421/F51035/1024/1", 61.62)</f>
        <v>61.62</v>
      </c>
      <c r="E9849" s="2">
        <v>37.36</v>
      </c>
      <c r="F9849" s="2">
        <v>2</v>
      </c>
      <c r="G9849" s="2" t="s">
        <v>11</v>
      </c>
    </row>
    <row r="9850" spans="1:9" x14ac:dyDescent="0.2">
      <c r="A9850" s="2" t="s">
        <v>3641</v>
      </c>
      <c r="B9850" s="2" t="s">
        <v>560</v>
      </c>
      <c r="C9850" s="2">
        <v>890.8972</v>
      </c>
      <c r="D9850" s="2">
        <f>HYPERLINK("http://mcb-m6.bioreg.kyushu-u.ac.jp/M3/20110421/F51035/2718/1", 73.63)</f>
        <v>73.63</v>
      </c>
      <c r="E9850" s="2">
        <v>62.19</v>
      </c>
      <c r="F9850" s="2">
        <v>2</v>
      </c>
      <c r="G9850" s="2" t="s">
        <v>11</v>
      </c>
    </row>
    <row r="9851" spans="1:9" x14ac:dyDescent="0.2">
      <c r="A9851" s="2" t="s">
        <v>3641</v>
      </c>
      <c r="B9851" s="2" t="s">
        <v>560</v>
      </c>
      <c r="C9851" s="2">
        <v>890.9692</v>
      </c>
      <c r="D9851" s="2">
        <f>HYPERLINK("http://mcb-m6.bioreg.kyushu-u.ac.jp/M3/20110421/F51047/2769/1", 35.29)</f>
        <v>35.29</v>
      </c>
      <c r="E9851" s="2">
        <v>23.45</v>
      </c>
      <c r="F9851" s="2">
        <v>2</v>
      </c>
      <c r="G9851" s="2" t="s">
        <v>12</v>
      </c>
    </row>
    <row r="9852" spans="1:9" x14ac:dyDescent="0.2">
      <c r="A9852" s="2" t="s">
        <v>3641</v>
      </c>
      <c r="B9852" s="2" t="s">
        <v>560</v>
      </c>
      <c r="C9852" s="2">
        <v>890.93219999999997</v>
      </c>
      <c r="D9852" s="2">
        <f>HYPERLINK("http://mcb-m6.bioreg.kyushu-u.ac.jp/M3/20110421/F51043/2723/1", 51.53)</f>
        <v>51.53</v>
      </c>
      <c r="E9852" s="2">
        <v>40.06</v>
      </c>
      <c r="F9852" s="2">
        <v>2</v>
      </c>
      <c r="G9852" s="2" t="s">
        <v>12</v>
      </c>
    </row>
    <row r="9853" spans="1:9" x14ac:dyDescent="0.2">
      <c r="A9853" s="2" t="s">
        <v>3641</v>
      </c>
      <c r="B9853" s="2" t="s">
        <v>560</v>
      </c>
      <c r="C9853" s="2">
        <v>890.91420000000005</v>
      </c>
      <c r="D9853" s="2">
        <f>HYPERLINK("http://mcb-m6.bioreg.kyushu-u.ac.jp/M3/20110421/F51045/2761/1", 76.46)</f>
        <v>76.459999999999994</v>
      </c>
      <c r="E9853" s="2">
        <v>63.44</v>
      </c>
      <c r="F9853" s="2">
        <v>2</v>
      </c>
      <c r="G9853" s="2" t="s">
        <v>12</v>
      </c>
    </row>
    <row r="9854" spans="1:9" x14ac:dyDescent="0.2">
      <c r="A9854" s="2" t="s">
        <v>3641</v>
      </c>
      <c r="B9854" s="2" t="s">
        <v>560</v>
      </c>
      <c r="C9854" s="2">
        <v>890.72670000000005</v>
      </c>
      <c r="D9854" s="2">
        <f>HYPERLINK("http://mcb-m6.bioreg.kyushu-u.ac.jp/M3/20110428/F51127/2745/1", 72.79)</f>
        <v>72.790000000000006</v>
      </c>
      <c r="E9854" s="2">
        <v>58.8</v>
      </c>
      <c r="F9854" s="2">
        <v>2</v>
      </c>
      <c r="G9854" s="2" t="s">
        <v>13</v>
      </c>
    </row>
    <row r="9855" spans="1:9" x14ac:dyDescent="0.2">
      <c r="A9855" s="2" t="s">
        <v>3641</v>
      </c>
      <c r="B9855" s="2" t="s">
        <v>560</v>
      </c>
      <c r="C9855" s="2">
        <v>891.16269999999997</v>
      </c>
      <c r="D9855" s="2">
        <f>HYPERLINK("http://mcb-m6.bioreg.kyushu-u.ac.jp/M3/20110428/F51128/2712/1", 89.44)</f>
        <v>89.44</v>
      </c>
      <c r="E9855" s="2">
        <v>71.55</v>
      </c>
      <c r="F9855" s="2">
        <v>2</v>
      </c>
      <c r="G9855" s="2" t="s">
        <v>14</v>
      </c>
    </row>
    <row r="9856" spans="1:9" x14ac:dyDescent="0.2">
      <c r="A9856" s="2" t="s">
        <v>3641</v>
      </c>
      <c r="B9856" s="2" t="s">
        <v>560</v>
      </c>
      <c r="C9856" s="2">
        <v>890.6617</v>
      </c>
      <c r="D9856" s="2">
        <f>HYPERLINK("http://mcb-m6.bioreg.kyushu-u.ac.jp/M3/20110428/F51128/2708/1", 101.11)</f>
        <v>101.11</v>
      </c>
      <c r="E9856" s="2">
        <v>79.790000000000006</v>
      </c>
      <c r="F9856" s="2">
        <v>2</v>
      </c>
      <c r="G9856" s="2" t="s">
        <v>14</v>
      </c>
    </row>
    <row r="9857" spans="1:9" x14ac:dyDescent="0.2">
      <c r="A9857" s="2" t="s">
        <v>3335</v>
      </c>
      <c r="B9857" s="2" t="s">
        <v>123</v>
      </c>
      <c r="C9857" s="2">
        <v>1098.4290000000001</v>
      </c>
      <c r="D9857" s="2">
        <f>HYPERLINK("http://mcb-m6.bioreg.kyushu-u.ac.jp/M3/20110404/F50763/1233/1", 35.07)</f>
        <v>35.07</v>
      </c>
      <c r="E9857" s="2">
        <v>21.52</v>
      </c>
      <c r="F9857" s="2">
        <v>1</v>
      </c>
      <c r="G9857" s="2" t="s">
        <v>9</v>
      </c>
      <c r="I9857" s="2" t="s">
        <v>4903</v>
      </c>
    </row>
    <row r="9858" spans="1:9" x14ac:dyDescent="0.2">
      <c r="A9858" s="2" t="s">
        <v>3335</v>
      </c>
      <c r="B9858" s="2" t="s">
        <v>123</v>
      </c>
      <c r="C9858" s="2">
        <v>549.66309999999999</v>
      </c>
      <c r="D9858" s="2">
        <f>HYPERLINK("http://mcb-m6.bioreg.kyushu-u.ac.jp/M3/20110404/F50763/1232/1", 53.49)</f>
        <v>53.49</v>
      </c>
      <c r="E9858" s="2">
        <v>27.45</v>
      </c>
      <c r="F9858" s="2">
        <v>2</v>
      </c>
      <c r="G9858" s="2" t="s">
        <v>9</v>
      </c>
      <c r="I9858" s="2" t="s">
        <v>4903</v>
      </c>
    </row>
    <row r="9859" spans="1:9" x14ac:dyDescent="0.2">
      <c r="A9859" s="2" t="s">
        <v>3335</v>
      </c>
      <c r="B9859" s="2" t="s">
        <v>1773</v>
      </c>
      <c r="C9859" s="2">
        <v>759.82759999999996</v>
      </c>
      <c r="D9859" s="2">
        <f>HYPERLINK("http://mcb-m6.bioreg.kyushu-u.ac.jp/M3/20110404/F50769/2048/1", 74.53)</f>
        <v>74.53</v>
      </c>
      <c r="E9859" s="2">
        <v>58.58</v>
      </c>
      <c r="F9859" s="2">
        <v>2</v>
      </c>
      <c r="G9859" s="2" t="s">
        <v>10</v>
      </c>
    </row>
    <row r="9860" spans="1:9" x14ac:dyDescent="0.2">
      <c r="A9860" s="2" t="s">
        <v>3335</v>
      </c>
      <c r="B9860" s="2" t="s">
        <v>123</v>
      </c>
      <c r="C9860" s="2">
        <v>549.74770000000001</v>
      </c>
      <c r="D9860" s="2">
        <f>HYPERLINK("http://mcb-m6.bioreg.kyushu-u.ac.jp/M3/20110421/F51035/992/1", 53.21)</f>
        <v>53.21</v>
      </c>
      <c r="E9860" s="2">
        <v>20.54</v>
      </c>
      <c r="F9860" s="2">
        <v>2</v>
      </c>
      <c r="G9860" s="2" t="s">
        <v>11</v>
      </c>
      <c r="I9860" s="2" t="s">
        <v>4903</v>
      </c>
    </row>
    <row r="9861" spans="1:9" x14ac:dyDescent="0.2">
      <c r="A9861" s="2" t="s">
        <v>3335</v>
      </c>
      <c r="B9861" s="2" t="s">
        <v>123</v>
      </c>
      <c r="C9861" s="2">
        <v>549.83010000000002</v>
      </c>
      <c r="D9861" s="2">
        <f>HYPERLINK("http://mcb-m6.bioreg.kyushu-u.ac.jp/M3/20110421/F51045/1334/1", 53.49)</f>
        <v>53.49</v>
      </c>
      <c r="E9861" s="2">
        <v>26.9</v>
      </c>
      <c r="F9861" s="2">
        <v>2</v>
      </c>
      <c r="G9861" s="2" t="s">
        <v>12</v>
      </c>
      <c r="I9861" s="2" t="s">
        <v>4903</v>
      </c>
    </row>
    <row r="9862" spans="1:9" x14ac:dyDescent="0.2">
      <c r="A9862" s="2" t="s">
        <v>3335</v>
      </c>
      <c r="B9862" s="2" t="s">
        <v>123</v>
      </c>
      <c r="C9862" s="2">
        <v>549.82920000000001</v>
      </c>
      <c r="D9862" s="2">
        <f>HYPERLINK("http://mcb-m6.bioreg.kyushu-u.ac.jp/M3/20110428/F51132/1152/1", 42.17)</f>
        <v>42.17</v>
      </c>
      <c r="E9862" s="2">
        <v>25.56</v>
      </c>
      <c r="F9862" s="2">
        <v>2</v>
      </c>
      <c r="G9862" s="2" t="s">
        <v>13</v>
      </c>
      <c r="I9862" s="2" t="s">
        <v>4903</v>
      </c>
    </row>
    <row r="9863" spans="1:9" x14ac:dyDescent="0.2">
      <c r="A9863" s="2" t="s">
        <v>3335</v>
      </c>
      <c r="B9863" s="2" t="s">
        <v>123</v>
      </c>
      <c r="C9863" s="2">
        <v>549.80619999999999</v>
      </c>
      <c r="D9863" s="2">
        <f>HYPERLINK("http://mcb-m6.bioreg.kyushu-u.ac.jp/M3/20110428/F51128/1132/1", 49.81)</f>
        <v>49.81</v>
      </c>
      <c r="E9863" s="2">
        <v>21.31</v>
      </c>
      <c r="F9863" s="2">
        <v>2</v>
      </c>
      <c r="G9863" s="2" t="s">
        <v>14</v>
      </c>
      <c r="I9863" s="2" t="s">
        <v>4903</v>
      </c>
    </row>
    <row r="9864" spans="1:9" x14ac:dyDescent="0.2">
      <c r="A9864" s="2" t="s">
        <v>4065</v>
      </c>
      <c r="B9864" s="2" t="s">
        <v>2668</v>
      </c>
      <c r="C9864" s="2">
        <v>527.20510000000002</v>
      </c>
      <c r="D9864" s="2">
        <f>HYPERLINK("http://mcb-m6.bioreg.kyushu-u.ac.jp/M3/20110404/F50763/1173/1", 62.82)</f>
        <v>62.82</v>
      </c>
      <c r="E9864" s="2">
        <v>35.1</v>
      </c>
      <c r="F9864" s="2">
        <v>2</v>
      </c>
      <c r="G9864" s="2" t="s">
        <v>9</v>
      </c>
    </row>
    <row r="9865" spans="1:9" x14ac:dyDescent="0.2">
      <c r="A9865" s="2" t="s">
        <v>4065</v>
      </c>
      <c r="B9865" s="2" t="s">
        <v>2668</v>
      </c>
      <c r="C9865" s="2">
        <v>527.25670000000002</v>
      </c>
      <c r="D9865" s="2">
        <f>HYPERLINK("http://mcb-m6.bioreg.kyushu-u.ac.jp/M3/20110404/F50769/1352/1", 42)</f>
        <v>42</v>
      </c>
      <c r="E9865" s="2">
        <v>20.92</v>
      </c>
      <c r="F9865" s="2">
        <v>2</v>
      </c>
      <c r="G9865" s="2" t="s">
        <v>10</v>
      </c>
    </row>
    <row r="9866" spans="1:9" x14ac:dyDescent="0.2">
      <c r="A9866" s="2" t="s">
        <v>4065</v>
      </c>
      <c r="B9866" s="2" t="s">
        <v>1440</v>
      </c>
      <c r="C9866" s="2">
        <v>775.39369999999997</v>
      </c>
      <c r="D9866" s="2">
        <f>HYPERLINK("http://mcb-m6.bioreg.kyushu-u.ac.jp/M3/20110404/F50769/2079/1", 42.01)</f>
        <v>42.01</v>
      </c>
      <c r="E9866" s="2">
        <v>23.92</v>
      </c>
      <c r="F9866" s="2">
        <v>2</v>
      </c>
      <c r="G9866" s="2" t="s">
        <v>10</v>
      </c>
      <c r="I9866" s="2" t="s">
        <v>4937</v>
      </c>
    </row>
    <row r="9867" spans="1:9" x14ac:dyDescent="0.2">
      <c r="A9867" s="2" t="s">
        <v>3643</v>
      </c>
      <c r="B9867" s="2" t="s">
        <v>565</v>
      </c>
      <c r="C9867" s="2">
        <v>1340.5719999999999</v>
      </c>
      <c r="D9867" s="2">
        <f>HYPERLINK("http://mcb-m6.bioreg.kyushu-u.ac.jp/M3/20110404/F50763/1628/1", 43.72)</f>
        <v>43.72</v>
      </c>
      <c r="E9867" s="2">
        <v>25.69</v>
      </c>
      <c r="F9867" s="2">
        <v>1</v>
      </c>
      <c r="G9867" s="2" t="s">
        <v>9</v>
      </c>
    </row>
    <row r="9868" spans="1:9" x14ac:dyDescent="0.2">
      <c r="A9868" s="2" t="s">
        <v>3643</v>
      </c>
      <c r="B9868" s="2" t="s">
        <v>1335</v>
      </c>
      <c r="C9868" s="2">
        <v>958.92769999999996</v>
      </c>
      <c r="D9868" s="2">
        <f>HYPERLINK("http://mcb-m6.bioreg.kyushu-u.ac.jp/M3/20110404/F50763/2650/1", 105.72)</f>
        <v>105.72</v>
      </c>
      <c r="E9868" s="2">
        <v>90.29</v>
      </c>
      <c r="F9868" s="2">
        <v>2</v>
      </c>
      <c r="G9868" s="2" t="s">
        <v>9</v>
      </c>
    </row>
    <row r="9869" spans="1:9" x14ac:dyDescent="0.2">
      <c r="A9869" s="2" t="s">
        <v>3643</v>
      </c>
      <c r="B9869" s="2" t="s">
        <v>565</v>
      </c>
      <c r="C9869" s="2">
        <v>1340.6990000000001</v>
      </c>
      <c r="D9869" s="2">
        <f>HYPERLINK("http://mcb-m6.bioreg.kyushu-u.ac.jp/M3/20110404/F50769/1731/1", 56.62)</f>
        <v>56.62</v>
      </c>
      <c r="E9869" s="2">
        <v>38.92</v>
      </c>
      <c r="F9869" s="2">
        <v>1</v>
      </c>
      <c r="G9869" s="2" t="s">
        <v>10</v>
      </c>
    </row>
    <row r="9870" spans="1:9" x14ac:dyDescent="0.2">
      <c r="A9870" s="2" t="s">
        <v>3643</v>
      </c>
      <c r="B9870" s="2" t="s">
        <v>1335</v>
      </c>
      <c r="C9870" s="2">
        <v>958.87919999999997</v>
      </c>
      <c r="D9870" s="2">
        <f>HYPERLINK("http://mcb-m6.bioreg.kyushu-u.ac.jp/M3/20110404/F50769/2536/1", 98.61)</f>
        <v>98.61</v>
      </c>
      <c r="E9870" s="2">
        <v>68.69</v>
      </c>
      <c r="F9870" s="2">
        <v>2</v>
      </c>
      <c r="G9870" s="2" t="s">
        <v>10</v>
      </c>
    </row>
    <row r="9871" spans="1:9" x14ac:dyDescent="0.2">
      <c r="A9871" s="2" t="s">
        <v>3643</v>
      </c>
      <c r="B9871" s="2" t="s">
        <v>565</v>
      </c>
      <c r="C9871" s="2">
        <v>670.77009999999996</v>
      </c>
      <c r="D9871" s="2">
        <f>HYPERLINK("http://mcb-m6.bioreg.kyushu-u.ac.jp/M3/20110421/F51035/1538/1", 51.67)</f>
        <v>51.67</v>
      </c>
      <c r="E9871" s="2">
        <v>35.75</v>
      </c>
      <c r="F9871" s="2">
        <v>2</v>
      </c>
      <c r="G9871" s="2" t="s">
        <v>11</v>
      </c>
    </row>
    <row r="9872" spans="1:9" x14ac:dyDescent="0.2">
      <c r="A9872" s="2" t="s">
        <v>3643</v>
      </c>
      <c r="B9872" s="2" t="s">
        <v>1335</v>
      </c>
      <c r="C9872" s="2">
        <v>958.90219999999999</v>
      </c>
      <c r="D9872" s="2">
        <f>HYPERLINK("http://mcb-m6.bioreg.kyushu-u.ac.jp/M3/20110421/F51037/3226/1", 78.15)</f>
        <v>78.150000000000006</v>
      </c>
      <c r="E9872" s="2">
        <v>53.96</v>
      </c>
      <c r="F9872" s="2">
        <v>2</v>
      </c>
      <c r="G9872" s="2" t="s">
        <v>11</v>
      </c>
    </row>
    <row r="9873" spans="1:7" x14ac:dyDescent="0.2">
      <c r="A9873" s="2" t="s">
        <v>3643</v>
      </c>
      <c r="B9873" s="2" t="s">
        <v>1335</v>
      </c>
      <c r="C9873" s="2">
        <v>959.40260000000001</v>
      </c>
      <c r="D9873" s="2">
        <f>HYPERLINK("http://mcb-m6.bioreg.kyushu-u.ac.jp/M3/20110421/F51037/3228/1", 87.51)</f>
        <v>87.51</v>
      </c>
      <c r="E9873" s="2">
        <v>63.98</v>
      </c>
      <c r="F9873" s="2">
        <v>2</v>
      </c>
      <c r="G9873" s="2" t="s">
        <v>11</v>
      </c>
    </row>
    <row r="9874" spans="1:7" x14ac:dyDescent="0.2">
      <c r="A9874" s="2" t="s">
        <v>3643</v>
      </c>
      <c r="B9874" s="2" t="s">
        <v>1335</v>
      </c>
      <c r="C9874" s="2">
        <v>958.94669999999996</v>
      </c>
      <c r="D9874" s="2">
        <f>HYPERLINK("http://mcb-m6.bioreg.kyushu-u.ac.jp/M3/20110421/F51035/2991/1", 98.49)</f>
        <v>98.49</v>
      </c>
      <c r="E9874" s="2">
        <v>79.010000000000005</v>
      </c>
      <c r="F9874" s="2">
        <v>2</v>
      </c>
      <c r="G9874" s="2" t="s">
        <v>11</v>
      </c>
    </row>
    <row r="9875" spans="1:7" x14ac:dyDescent="0.2">
      <c r="A9875" s="2" t="s">
        <v>3643</v>
      </c>
      <c r="B9875" s="2" t="s">
        <v>1335</v>
      </c>
      <c r="C9875" s="2">
        <v>959.4597</v>
      </c>
      <c r="D9875" s="2">
        <f>HYPERLINK("http://mcb-m6.bioreg.kyushu-u.ac.jp/M3/20110421/F51035/2993/1", 100.67)</f>
        <v>100.67</v>
      </c>
      <c r="E9875" s="2">
        <v>83.99</v>
      </c>
      <c r="F9875" s="2">
        <v>2</v>
      </c>
      <c r="G9875" s="2" t="s">
        <v>11</v>
      </c>
    </row>
    <row r="9876" spans="1:7" x14ac:dyDescent="0.2">
      <c r="A9876" s="2" t="s">
        <v>3643</v>
      </c>
      <c r="B9876" s="2" t="s">
        <v>5432</v>
      </c>
      <c r="C9876" s="2">
        <v>873.47900000000004</v>
      </c>
      <c r="D9876" s="2">
        <f>HYPERLINK("http://mcb-m6.bioreg.kyushu-u.ac.jp/M3/20110421/F51045/887/1", 35.67)</f>
        <v>35.67</v>
      </c>
      <c r="E9876" s="2">
        <v>19.940000000000001</v>
      </c>
      <c r="F9876" s="2">
        <v>1</v>
      </c>
      <c r="G9876" s="2" t="s">
        <v>12</v>
      </c>
    </row>
    <row r="9877" spans="1:7" x14ac:dyDescent="0.2">
      <c r="A9877" s="2" t="s">
        <v>3643</v>
      </c>
      <c r="B9877" s="2" t="s">
        <v>1335</v>
      </c>
      <c r="C9877" s="2">
        <v>959.46559999999999</v>
      </c>
      <c r="D9877" s="2">
        <f>HYPERLINK("http://mcb-m6.bioreg.kyushu-u.ac.jp/M3/20110421/F51043/2957/1", 96.95)</f>
        <v>96.95</v>
      </c>
      <c r="E9877" s="2">
        <v>83.22</v>
      </c>
      <c r="F9877" s="2">
        <v>2</v>
      </c>
      <c r="G9877" s="2" t="s">
        <v>12</v>
      </c>
    </row>
    <row r="9878" spans="1:7" x14ac:dyDescent="0.2">
      <c r="A9878" s="2" t="s">
        <v>3643</v>
      </c>
      <c r="B9878" s="2" t="s">
        <v>1335</v>
      </c>
      <c r="C9878" s="2">
        <v>959.01919999999996</v>
      </c>
      <c r="D9878" s="2">
        <f>HYPERLINK("http://mcb-m6.bioreg.kyushu-u.ac.jp/M3/20110421/F51045/2984/1", 99.7)</f>
        <v>99.7</v>
      </c>
      <c r="E9878" s="2">
        <v>74.2</v>
      </c>
      <c r="F9878" s="2">
        <v>2</v>
      </c>
      <c r="G9878" s="2" t="s">
        <v>12</v>
      </c>
    </row>
    <row r="9879" spans="1:7" x14ac:dyDescent="0.2">
      <c r="A9879" s="2" t="s">
        <v>3643</v>
      </c>
      <c r="B9879" s="2" t="s">
        <v>5577</v>
      </c>
      <c r="C9879" s="2">
        <v>597.59220000000005</v>
      </c>
      <c r="D9879" s="2">
        <f>HYPERLINK("http://mcb-m6.bioreg.kyushu-u.ac.jp/M3/20110428/F51127/1193/1", 44.54)</f>
        <v>44.54</v>
      </c>
      <c r="E9879" s="2">
        <v>23.72</v>
      </c>
      <c r="F9879" s="2">
        <v>2</v>
      </c>
      <c r="G9879" s="2" t="s">
        <v>13</v>
      </c>
    </row>
    <row r="9880" spans="1:7" x14ac:dyDescent="0.2">
      <c r="A9880" s="2" t="s">
        <v>3643</v>
      </c>
      <c r="B9880" s="2" t="s">
        <v>1335</v>
      </c>
      <c r="C9880" s="2">
        <v>959.22609999999997</v>
      </c>
      <c r="D9880" s="2">
        <f>HYPERLINK("http://mcb-m6.bioreg.kyushu-u.ac.jp/M3/20110428/F51127/3025/1", 94.59)</f>
        <v>94.59</v>
      </c>
      <c r="E9880" s="2">
        <v>78.290000000000006</v>
      </c>
      <c r="F9880" s="2">
        <v>2</v>
      </c>
      <c r="G9880" s="2" t="s">
        <v>13</v>
      </c>
    </row>
    <row r="9881" spans="1:7" x14ac:dyDescent="0.2">
      <c r="A9881" s="2" t="s">
        <v>3643</v>
      </c>
      <c r="B9881" s="2" t="s">
        <v>1335</v>
      </c>
      <c r="C9881" s="2">
        <v>958.72360000000003</v>
      </c>
      <c r="D9881" s="2">
        <f>HYPERLINK("http://mcb-m6.bioreg.kyushu-u.ac.jp/M3/20110428/F51127/3021/1", 110.85)</f>
        <v>110.85</v>
      </c>
      <c r="E9881" s="2">
        <v>78.92</v>
      </c>
      <c r="F9881" s="2">
        <v>2</v>
      </c>
      <c r="G9881" s="2" t="s">
        <v>13</v>
      </c>
    </row>
    <row r="9882" spans="1:7" x14ac:dyDescent="0.2">
      <c r="A9882" s="2" t="s">
        <v>3643</v>
      </c>
      <c r="B9882" s="2" t="s">
        <v>5577</v>
      </c>
      <c r="C9882" s="2">
        <v>598.07709999999997</v>
      </c>
      <c r="D9882" s="2">
        <f>HYPERLINK("http://mcb-m6.bioreg.kyushu-u.ac.jp/M3/20110428/F51128/1344/1", 38.96)</f>
        <v>38.96</v>
      </c>
      <c r="E9882" s="2">
        <v>12.56</v>
      </c>
      <c r="F9882" s="2">
        <v>2</v>
      </c>
      <c r="G9882" s="2" t="s">
        <v>14</v>
      </c>
    </row>
    <row r="9883" spans="1:7" x14ac:dyDescent="0.2">
      <c r="A9883" s="2" t="s">
        <v>3643</v>
      </c>
      <c r="B9883" s="2" t="s">
        <v>1335</v>
      </c>
      <c r="C9883" s="2">
        <v>958.7242</v>
      </c>
      <c r="D9883" s="2">
        <f>HYPERLINK("http://mcb-m6.bioreg.kyushu-u.ac.jp/M3/20110428/F51128/2976/1", 60.47)</f>
        <v>60.47</v>
      </c>
      <c r="E9883" s="2">
        <v>46.03</v>
      </c>
      <c r="F9883" s="2">
        <v>2</v>
      </c>
      <c r="G9883" s="2" t="s">
        <v>14</v>
      </c>
    </row>
    <row r="9884" spans="1:7" x14ac:dyDescent="0.2">
      <c r="A9884" s="2" t="s">
        <v>3643</v>
      </c>
      <c r="B9884" s="2" t="s">
        <v>7514</v>
      </c>
      <c r="C9884" s="2">
        <v>922.23770000000002</v>
      </c>
      <c r="D9884" s="2">
        <f>HYPERLINK("http://mcb-m6.bioreg.kyushu-u.ac.jp/M3/20110428/F51128/2846/1", 89.5)</f>
        <v>89.5</v>
      </c>
      <c r="E9884" s="2">
        <v>74.98</v>
      </c>
      <c r="F9884" s="2">
        <v>2</v>
      </c>
      <c r="G9884" s="2" t="s">
        <v>14</v>
      </c>
    </row>
    <row r="9885" spans="1:7" x14ac:dyDescent="0.2">
      <c r="A9885" s="2" t="s">
        <v>3643</v>
      </c>
      <c r="B9885" s="2" t="s">
        <v>1335</v>
      </c>
      <c r="C9885" s="2">
        <v>959.26170000000002</v>
      </c>
      <c r="D9885" s="2">
        <f>HYPERLINK("http://mcb-m6.bioreg.kyushu-u.ac.jp/M3/20110428/F51128/2982/1", 93.86)</f>
        <v>93.86</v>
      </c>
      <c r="E9885" s="2">
        <v>71.790000000000006</v>
      </c>
      <c r="F9885" s="2">
        <v>2</v>
      </c>
      <c r="G9885" s="2" t="s">
        <v>14</v>
      </c>
    </row>
    <row r="9886" spans="1:7" x14ac:dyDescent="0.2">
      <c r="A9886" s="2" t="s">
        <v>4318</v>
      </c>
      <c r="B9886" s="2" t="s">
        <v>2086</v>
      </c>
      <c r="C9886" s="2">
        <v>630.31020000000001</v>
      </c>
      <c r="D9886" s="2">
        <f>HYPERLINK("http://mcb-m6.bioreg.kyushu-u.ac.jp/M3/20110421/F51035/1381/1", 82.51)</f>
        <v>82.51</v>
      </c>
      <c r="E9886" s="2">
        <v>62.44</v>
      </c>
      <c r="F9886" s="2">
        <v>2</v>
      </c>
      <c r="G9886" s="2" t="s">
        <v>11</v>
      </c>
    </row>
    <row r="9887" spans="1:7" x14ac:dyDescent="0.2">
      <c r="A9887" s="2" t="s">
        <v>4318</v>
      </c>
      <c r="B9887" s="2" t="s">
        <v>2086</v>
      </c>
      <c r="C9887" s="2">
        <v>630.40470000000005</v>
      </c>
      <c r="D9887" s="2">
        <f>HYPERLINK("http://mcb-m6.bioreg.kyushu-u.ac.jp/M3/20110421/F51045/1694/1", 86.62)</f>
        <v>86.62</v>
      </c>
      <c r="E9887" s="2">
        <v>65.92</v>
      </c>
      <c r="F9887" s="2">
        <v>2</v>
      </c>
      <c r="G9887" s="2" t="s">
        <v>12</v>
      </c>
    </row>
    <row r="9888" spans="1:7" x14ac:dyDescent="0.2">
      <c r="A9888" s="2" t="s">
        <v>4318</v>
      </c>
      <c r="B9888" s="2" t="s">
        <v>2086</v>
      </c>
      <c r="C9888" s="2">
        <v>630.10270000000003</v>
      </c>
      <c r="D9888" s="2">
        <f>HYPERLINK("http://mcb-m6.bioreg.kyushu-u.ac.jp/M3/20110428/F51127/1320/1", 82.66)</f>
        <v>82.66</v>
      </c>
      <c r="E9888" s="2">
        <v>57.08</v>
      </c>
      <c r="F9888" s="2">
        <v>2</v>
      </c>
      <c r="G9888" s="2" t="s">
        <v>13</v>
      </c>
    </row>
    <row r="9889" spans="1:8" x14ac:dyDescent="0.2">
      <c r="A9889" s="2" t="s">
        <v>3884</v>
      </c>
      <c r="B9889" s="2" t="s">
        <v>1023</v>
      </c>
      <c r="C9889" s="2">
        <v>641.8066</v>
      </c>
      <c r="D9889" s="2">
        <f>HYPERLINK("http://mcb-m6.bioreg.kyushu-u.ac.jp/M3/20110404/F50752/1797/1", 73.8)</f>
        <v>73.8</v>
      </c>
      <c r="E9889" s="2">
        <v>25.86</v>
      </c>
      <c r="F9889" s="2">
        <v>2</v>
      </c>
      <c r="G9889" s="2" t="s">
        <v>9</v>
      </c>
    </row>
    <row r="9890" spans="1:8" x14ac:dyDescent="0.2">
      <c r="A9890" s="2" t="s">
        <v>3884</v>
      </c>
      <c r="B9890" s="2" t="s">
        <v>1023</v>
      </c>
      <c r="C9890" s="2">
        <v>641.60360000000003</v>
      </c>
      <c r="D9890" s="2">
        <f>HYPERLINK("http://mcb-m6.bioreg.kyushu-u.ac.jp/M3/20110404/F50757/1843/1", 43.86)</f>
        <v>43.86</v>
      </c>
      <c r="E9890" s="2">
        <v>30.04</v>
      </c>
      <c r="F9890" s="2">
        <v>2</v>
      </c>
      <c r="G9890" s="2" t="s">
        <v>10</v>
      </c>
    </row>
    <row r="9891" spans="1:8" x14ac:dyDescent="0.2">
      <c r="A9891" s="2" t="s">
        <v>3884</v>
      </c>
      <c r="B9891" s="2" t="s">
        <v>1023</v>
      </c>
      <c r="C9891" s="2">
        <v>641.75019999999995</v>
      </c>
      <c r="D9891" s="2">
        <f>HYPERLINK("http://mcb-m6.bioreg.kyushu-u.ac.jp/M3/20110404/F50758/1564/1", 49.66)</f>
        <v>49.66</v>
      </c>
      <c r="E9891" s="2">
        <v>31.21</v>
      </c>
      <c r="F9891" s="2">
        <v>2</v>
      </c>
      <c r="G9891" s="2" t="s">
        <v>10</v>
      </c>
    </row>
    <row r="9892" spans="1:8" x14ac:dyDescent="0.2">
      <c r="A9892" s="2" t="s">
        <v>3884</v>
      </c>
      <c r="B9892" s="2" t="s">
        <v>1023</v>
      </c>
      <c r="C9892" s="2">
        <v>642.1617</v>
      </c>
      <c r="D9892" s="2">
        <f>HYPERLINK("http://mcb-m6.bioreg.kyushu-u.ac.jp/M3/20110421/F51017/1504/1", 69.63)</f>
        <v>69.63</v>
      </c>
      <c r="E9892" s="2">
        <v>34.380000000000003</v>
      </c>
      <c r="F9892" s="2">
        <v>2</v>
      </c>
      <c r="G9892" s="2" t="s">
        <v>11</v>
      </c>
    </row>
    <row r="9893" spans="1:8" x14ac:dyDescent="0.2">
      <c r="A9893" s="2" t="s">
        <v>3884</v>
      </c>
      <c r="B9893" s="2" t="s">
        <v>1023</v>
      </c>
      <c r="C9893" s="2">
        <v>641.63760000000002</v>
      </c>
      <c r="D9893" s="2">
        <f>HYPERLINK("http://mcb-m6.bioreg.kyushu-u.ac.jp/M3/20110421/F51017/1500/1", 74.44)</f>
        <v>74.44</v>
      </c>
      <c r="E9893" s="2">
        <v>29.85</v>
      </c>
      <c r="F9893" s="2">
        <v>2</v>
      </c>
      <c r="G9893" s="2" t="s">
        <v>11</v>
      </c>
    </row>
    <row r="9894" spans="1:8" x14ac:dyDescent="0.2">
      <c r="A9894" s="2" t="s">
        <v>3884</v>
      </c>
      <c r="B9894" s="2" t="s">
        <v>1023</v>
      </c>
      <c r="C9894" s="2">
        <v>641.81619999999998</v>
      </c>
      <c r="D9894" s="2">
        <f>HYPERLINK("http://mcb-m6.bioreg.kyushu-u.ac.jp/M3/20110421/F51023/1707/1", 37.6)</f>
        <v>37.6</v>
      </c>
      <c r="E9894" s="2">
        <v>23.85</v>
      </c>
      <c r="F9894" s="2">
        <v>2</v>
      </c>
      <c r="G9894" s="2" t="s">
        <v>12</v>
      </c>
    </row>
    <row r="9895" spans="1:8" x14ac:dyDescent="0.2">
      <c r="A9895" s="2" t="s">
        <v>3884</v>
      </c>
      <c r="B9895" s="2" t="s">
        <v>7326</v>
      </c>
      <c r="C9895" s="2">
        <v>613.88369999999998</v>
      </c>
      <c r="D9895" s="2">
        <f>HYPERLINK("http://mcb-m6.bioreg.kyushu-u.ac.jp/M3/20110427/F51111/1615/1", 40.7)</f>
        <v>40.700000000000003</v>
      </c>
      <c r="E9895" s="2">
        <v>22.03</v>
      </c>
      <c r="F9895" s="2">
        <v>2</v>
      </c>
      <c r="G9895" s="2" t="s">
        <v>13</v>
      </c>
    </row>
    <row r="9896" spans="1:8" x14ac:dyDescent="0.2">
      <c r="A9896" s="2" t="s">
        <v>3884</v>
      </c>
      <c r="B9896" s="2" t="s">
        <v>7326</v>
      </c>
      <c r="C9896" s="2">
        <v>613.74869999999999</v>
      </c>
      <c r="D9896" s="2">
        <f>HYPERLINK("http://mcb-m6.bioreg.kyushu-u.ac.jp/M3/20110427/F51120/1705/1", 68.63)</f>
        <v>68.63</v>
      </c>
      <c r="E9896" s="2">
        <v>53.73</v>
      </c>
      <c r="F9896" s="2">
        <v>2</v>
      </c>
      <c r="G9896" s="2" t="s">
        <v>14</v>
      </c>
    </row>
    <row r="9897" spans="1:8" x14ac:dyDescent="0.2">
      <c r="A9897" s="4" t="s">
        <v>7873</v>
      </c>
      <c r="B9897" s="2" t="s">
        <v>6886</v>
      </c>
      <c r="C9897" s="2">
        <v>682.28060000000005</v>
      </c>
      <c r="D9897" s="2">
        <f>HYPERLINK("http://mcb-m6.bioreg.kyushu-u.ac.jp/M3/20110404/F50775/1660/1", 53.72)</f>
        <v>53.72</v>
      </c>
      <c r="E9897" s="2">
        <v>32.72</v>
      </c>
      <c r="F9897" s="2">
        <v>2</v>
      </c>
      <c r="G9897" s="2" t="s">
        <v>10</v>
      </c>
    </row>
    <row r="9898" spans="1:8" x14ac:dyDescent="0.2">
      <c r="A9898" s="2" t="s">
        <v>3479</v>
      </c>
      <c r="B9898" s="2" t="s">
        <v>299</v>
      </c>
      <c r="C9898" s="2">
        <v>615.32259999999997</v>
      </c>
      <c r="D9898" s="2">
        <f>HYPERLINK("http://mcb-m6.bioreg.kyushu-u.ac.jp/M3/20110421/F51018/1576/1", 48.19)</f>
        <v>48.19</v>
      </c>
      <c r="E9898" s="2">
        <v>27.38</v>
      </c>
      <c r="F9898" s="2">
        <v>2</v>
      </c>
      <c r="G9898" s="2" t="s">
        <v>11</v>
      </c>
    </row>
    <row r="9899" spans="1:8" x14ac:dyDescent="0.2">
      <c r="A9899" s="2" t="s">
        <v>3778</v>
      </c>
      <c r="B9899" s="2" t="s">
        <v>810</v>
      </c>
      <c r="C9899" s="2">
        <v>698.61109999999996</v>
      </c>
      <c r="D9899" s="2">
        <f>HYPERLINK("http://mcb-m6.bioreg.kyushu-u.ac.jp/M3/20110404/F50753/1840/1", 41.06)</f>
        <v>41.06</v>
      </c>
      <c r="E9899" s="2">
        <v>25.74</v>
      </c>
      <c r="F9899" s="2">
        <v>2</v>
      </c>
      <c r="G9899" s="2" t="s">
        <v>9</v>
      </c>
    </row>
    <row r="9900" spans="1:8" x14ac:dyDescent="0.2">
      <c r="A9900" s="2" t="s">
        <v>3778</v>
      </c>
      <c r="B9900" s="2" t="s">
        <v>810</v>
      </c>
      <c r="C9900" s="2">
        <v>706.60170000000005</v>
      </c>
      <c r="D9900" s="2">
        <f>HYPERLINK("http://mcb-m6.bioreg.kyushu-u.ac.jp/M3/20110404/F50753/1868/1", 72.44)</f>
        <v>72.44</v>
      </c>
      <c r="E9900" s="2">
        <v>53.48</v>
      </c>
      <c r="F9900" s="2">
        <v>2</v>
      </c>
      <c r="G9900" s="2" t="s">
        <v>9</v>
      </c>
      <c r="H9900" s="2" t="s">
        <v>4919</v>
      </c>
    </row>
    <row r="9901" spans="1:8" x14ac:dyDescent="0.2">
      <c r="A9901" s="2" t="s">
        <v>3778</v>
      </c>
      <c r="B9901" s="2" t="s">
        <v>810</v>
      </c>
      <c r="C9901" s="2">
        <v>707.14369999999997</v>
      </c>
      <c r="D9901" s="2">
        <f>HYPERLINK("http://mcb-m6.bioreg.kyushu-u.ac.jp/M3/20110404/F50758/1771/1", 63.87)</f>
        <v>63.87</v>
      </c>
      <c r="E9901" s="2">
        <v>48.24</v>
      </c>
      <c r="F9901" s="2">
        <v>2</v>
      </c>
      <c r="G9901" s="2" t="s">
        <v>10</v>
      </c>
      <c r="H9901" s="2" t="s">
        <v>4919</v>
      </c>
    </row>
    <row r="9902" spans="1:8" x14ac:dyDescent="0.2">
      <c r="A9902" s="2" t="s">
        <v>3778</v>
      </c>
      <c r="B9902" s="2" t="s">
        <v>810</v>
      </c>
      <c r="C9902" s="2">
        <v>707.17909999999995</v>
      </c>
      <c r="D9902" s="2">
        <f>HYPERLINK("http://mcb-m6.bioreg.kyushu-u.ac.jp/M3/20110421/F51017/1855/1", 54.62)</f>
        <v>54.62</v>
      </c>
      <c r="E9902" s="2">
        <v>34.93</v>
      </c>
      <c r="F9902" s="2">
        <v>2</v>
      </c>
      <c r="G9902" s="2" t="s">
        <v>11</v>
      </c>
      <c r="H9902" s="2" t="s">
        <v>4919</v>
      </c>
    </row>
    <row r="9903" spans="1:8" x14ac:dyDescent="0.2">
      <c r="A9903" s="2" t="s">
        <v>7880</v>
      </c>
      <c r="B9903" s="2" t="s">
        <v>6917</v>
      </c>
      <c r="C9903" s="2">
        <v>762.8057</v>
      </c>
      <c r="D9903" s="2">
        <f>HYPERLINK("http://mcb-m6.bioreg.kyushu-u.ac.jp/M3/20110404/F50761/1922/1", 59.03)</f>
        <v>59.03</v>
      </c>
      <c r="E9903" s="2">
        <v>40.46</v>
      </c>
      <c r="F9903" s="2">
        <v>2</v>
      </c>
      <c r="G9903" s="2" t="s">
        <v>10</v>
      </c>
    </row>
    <row r="9904" spans="1:8" x14ac:dyDescent="0.2">
      <c r="A9904" s="2" t="s">
        <v>8062</v>
      </c>
      <c r="B9904" s="2" t="s">
        <v>7364</v>
      </c>
      <c r="C9904" s="2">
        <v>688.14760000000001</v>
      </c>
      <c r="D9904" s="2">
        <f>HYPERLINK("http://mcb-m6.bioreg.kyushu-u.ac.jp/M3/20110427/F51112/1826/1", 47.01)</f>
        <v>47.01</v>
      </c>
      <c r="E9904" s="2">
        <v>21.61</v>
      </c>
      <c r="F9904" s="2">
        <v>2</v>
      </c>
      <c r="G9904" s="2" t="s">
        <v>13</v>
      </c>
    </row>
    <row r="9905" spans="1:9" x14ac:dyDescent="0.2">
      <c r="A9905" s="2" t="s">
        <v>4483</v>
      </c>
      <c r="B9905" s="2" t="s">
        <v>6702</v>
      </c>
      <c r="C9905" s="2">
        <v>1269.164</v>
      </c>
      <c r="D9905" s="2">
        <f>HYPERLINK("http://mcb-m6.bioreg.kyushu-u.ac.jp/M3/20110404/F50770/1526/1", 36.91)</f>
        <v>36.909999999999997</v>
      </c>
      <c r="E9905" s="2">
        <v>26.01</v>
      </c>
      <c r="F9905" s="2">
        <v>1</v>
      </c>
      <c r="G9905" s="2" t="s">
        <v>10</v>
      </c>
    </row>
    <row r="9906" spans="1:9" x14ac:dyDescent="0.2">
      <c r="A9906" s="2" t="s">
        <v>4483</v>
      </c>
      <c r="B9906" s="2" t="s">
        <v>2441</v>
      </c>
      <c r="C9906" s="2">
        <v>758.9316</v>
      </c>
      <c r="D9906" s="2">
        <f>HYPERLINK("http://mcb-m6.bioreg.kyushu-u.ac.jp/M3/20110404/F50770/1995/1", 84.31)</f>
        <v>84.31</v>
      </c>
      <c r="E9906" s="2">
        <v>65.13</v>
      </c>
      <c r="F9906" s="2">
        <v>2</v>
      </c>
      <c r="G9906" s="2" t="s">
        <v>10</v>
      </c>
    </row>
    <row r="9907" spans="1:9" x14ac:dyDescent="0.2">
      <c r="A9907" s="2" t="s">
        <v>4483</v>
      </c>
      <c r="B9907" s="2" t="s">
        <v>2441</v>
      </c>
      <c r="C9907" s="2">
        <v>758.83069999999998</v>
      </c>
      <c r="D9907" s="2">
        <f>HYPERLINK("http://mcb-m6.bioreg.kyushu-u.ac.jp/M3/20110421/F51042/2018/1", 37.26)</f>
        <v>37.26</v>
      </c>
      <c r="E9907" s="2">
        <v>25.83</v>
      </c>
      <c r="F9907" s="2">
        <v>2</v>
      </c>
      <c r="G9907" s="2" t="s">
        <v>11</v>
      </c>
    </row>
    <row r="9908" spans="1:9" x14ac:dyDescent="0.2">
      <c r="A9908" s="2" t="s">
        <v>4483</v>
      </c>
      <c r="B9908" s="2" t="s">
        <v>2960</v>
      </c>
      <c r="C9908" s="2">
        <v>766.25519999999995</v>
      </c>
      <c r="D9908" s="2">
        <f>HYPERLINK("http://mcb-m6.bioreg.kyushu-u.ac.jp/M3/20110421/F51042/2053/1", 44.23)</f>
        <v>44.23</v>
      </c>
      <c r="E9908" s="2">
        <v>36.590000000000003</v>
      </c>
      <c r="F9908" s="2">
        <v>2</v>
      </c>
      <c r="G9908" s="2" t="s">
        <v>11</v>
      </c>
    </row>
    <row r="9909" spans="1:9" x14ac:dyDescent="0.2">
      <c r="A9909" s="2" t="s">
        <v>4483</v>
      </c>
      <c r="B9909" s="2" t="s">
        <v>2960</v>
      </c>
      <c r="C9909" s="2">
        <v>766.43870000000004</v>
      </c>
      <c r="D9909" s="2">
        <f>HYPERLINK("http://mcb-m6.bioreg.kyushu-u.ac.jp/M3/20110421/F51040/2189/1", 58.16)</f>
        <v>58.16</v>
      </c>
      <c r="E9909" s="2">
        <v>39.119999999999997</v>
      </c>
      <c r="F9909" s="2">
        <v>2</v>
      </c>
      <c r="G9909" s="2" t="s">
        <v>11</v>
      </c>
    </row>
    <row r="9910" spans="1:9" x14ac:dyDescent="0.2">
      <c r="A9910" s="2" t="s">
        <v>4483</v>
      </c>
      <c r="B9910" s="2" t="s">
        <v>2819</v>
      </c>
      <c r="C9910" s="2">
        <v>715.23019999999997</v>
      </c>
      <c r="D9910" s="2">
        <f>HYPERLINK("http://mcb-m6.bioreg.kyushu-u.ac.jp/M3/20110427/F51115/1867/1", 39.6)</f>
        <v>39.6</v>
      </c>
      <c r="E9910" s="2">
        <v>25.27</v>
      </c>
      <c r="F9910" s="2">
        <v>2</v>
      </c>
      <c r="G9910" s="2" t="s">
        <v>13</v>
      </c>
      <c r="I9910" s="2" t="s">
        <v>4898</v>
      </c>
    </row>
    <row r="9911" spans="1:9" x14ac:dyDescent="0.2">
      <c r="A9911" s="2" t="s">
        <v>4478</v>
      </c>
      <c r="B9911" s="2" t="s">
        <v>7197</v>
      </c>
      <c r="C9911" s="2">
        <v>607.57709999999997</v>
      </c>
      <c r="D9911" s="2">
        <f>HYPERLINK("http://mcb-m6.bioreg.kyushu-u.ac.jp/M3/20110421/F51021/1357/1", 42.54)</f>
        <v>42.54</v>
      </c>
      <c r="E9911" s="2">
        <v>24.49</v>
      </c>
      <c r="F9911" s="2">
        <v>2</v>
      </c>
      <c r="G9911" s="2" t="s">
        <v>12</v>
      </c>
    </row>
    <row r="9912" spans="1:9" x14ac:dyDescent="0.2">
      <c r="A9912" s="2" t="s">
        <v>4478</v>
      </c>
      <c r="B9912" s="2" t="s">
        <v>7236</v>
      </c>
      <c r="C9912" s="2">
        <v>728.12959999999998</v>
      </c>
      <c r="D9912" s="2">
        <f>HYPERLINK("http://mcb-m6.bioreg.kyushu-u.ac.jp/M3/20110421/F51021/2000/1", 55.18)</f>
        <v>55.18</v>
      </c>
      <c r="E9912" s="2">
        <v>45.59</v>
      </c>
      <c r="F9912" s="2">
        <v>2</v>
      </c>
      <c r="G9912" s="2" t="s">
        <v>12</v>
      </c>
    </row>
    <row r="9913" spans="1:9" x14ac:dyDescent="0.2">
      <c r="A9913" s="2" t="s">
        <v>4478</v>
      </c>
      <c r="B9913" s="2" t="s">
        <v>2422</v>
      </c>
      <c r="C9913" s="2">
        <v>820.57370000000003</v>
      </c>
      <c r="D9913" s="2">
        <f>HYPERLINK("http://mcb-m6.bioreg.kyushu-u.ac.jp/M3/20110421/F51021/2530/1", 58.67)</f>
        <v>58.67</v>
      </c>
      <c r="E9913" s="2">
        <v>35.33</v>
      </c>
      <c r="F9913" s="2">
        <v>2</v>
      </c>
      <c r="G9913" s="2" t="s">
        <v>12</v>
      </c>
    </row>
    <row r="9914" spans="1:9" x14ac:dyDescent="0.2">
      <c r="A9914" s="2" t="s">
        <v>4038</v>
      </c>
      <c r="B9914" s="2" t="s">
        <v>6854</v>
      </c>
      <c r="C9914" s="2">
        <v>611.17020000000002</v>
      </c>
      <c r="D9914" s="2">
        <f>HYPERLINK("http://mcb-m6.bioreg.kyushu-u.ac.jp/M3/20110404/F50768/1427/1", 50.22)</f>
        <v>50.22</v>
      </c>
      <c r="E9914" s="2">
        <v>21.67</v>
      </c>
      <c r="F9914" s="2">
        <v>2</v>
      </c>
      <c r="G9914" s="2" t="s">
        <v>10</v>
      </c>
    </row>
    <row r="9915" spans="1:9" x14ac:dyDescent="0.2">
      <c r="A9915" s="2" t="s">
        <v>4038</v>
      </c>
      <c r="B9915" s="2" t="s">
        <v>1375</v>
      </c>
      <c r="C9915" s="2">
        <v>677.80719999999997</v>
      </c>
      <c r="D9915" s="2">
        <f>HYPERLINK("http://mcb-m6.bioreg.kyushu-u.ac.jp/M3/20110404/F50768/1618/1", 62.73)</f>
        <v>62.73</v>
      </c>
      <c r="E9915" s="2">
        <v>44.02</v>
      </c>
      <c r="F9915" s="2">
        <v>2</v>
      </c>
      <c r="G9915" s="2" t="s">
        <v>10</v>
      </c>
    </row>
    <row r="9916" spans="1:9" x14ac:dyDescent="0.2">
      <c r="A9916" s="2" t="s">
        <v>4038</v>
      </c>
      <c r="B9916" s="2" t="s">
        <v>1375</v>
      </c>
      <c r="C9916" s="2">
        <v>678.33619999999996</v>
      </c>
      <c r="D9916" s="2">
        <f>HYPERLINK("http://mcb-m6.bioreg.kyushu-u.ac.jp/M3/20110404/F50768/1620/1", 67.13)</f>
        <v>67.13</v>
      </c>
      <c r="E9916" s="2">
        <v>43.77</v>
      </c>
      <c r="F9916" s="2">
        <v>2</v>
      </c>
      <c r="G9916" s="2" t="s">
        <v>10</v>
      </c>
    </row>
    <row r="9917" spans="1:9" x14ac:dyDescent="0.2">
      <c r="A9917" s="2" t="s">
        <v>4038</v>
      </c>
      <c r="B9917" s="2" t="s">
        <v>1413</v>
      </c>
      <c r="C9917" s="2">
        <v>646.30409999999995</v>
      </c>
      <c r="D9917" s="2">
        <f>HYPERLINK("http://mcb-m6.bioreg.kyushu-u.ac.jp/M3/20110404/F50768/1521/1", 88.62)</f>
        <v>88.62</v>
      </c>
      <c r="E9917" s="2">
        <v>69.94</v>
      </c>
      <c r="F9917" s="2">
        <v>2</v>
      </c>
      <c r="G9917" s="2" t="s">
        <v>10</v>
      </c>
    </row>
    <row r="9918" spans="1:9" x14ac:dyDescent="0.2">
      <c r="A9918" s="2" t="s">
        <v>4038</v>
      </c>
      <c r="B9918" s="2" t="s">
        <v>7256</v>
      </c>
      <c r="C9918" s="2">
        <v>665.41309999999999</v>
      </c>
      <c r="D9918" s="2">
        <f>HYPERLINK("http://mcb-m6.bioreg.kyushu-u.ac.jp/M3/20110421/F51045/1805/1", 67.43)</f>
        <v>67.430000000000007</v>
      </c>
      <c r="E9918" s="2">
        <v>45.89</v>
      </c>
      <c r="F9918" s="2">
        <v>2</v>
      </c>
      <c r="G9918" s="2" t="s">
        <v>12</v>
      </c>
    </row>
    <row r="9919" spans="1:9" x14ac:dyDescent="0.2">
      <c r="A9919" s="2" t="s">
        <v>4038</v>
      </c>
      <c r="B9919" s="2" t="s">
        <v>1375</v>
      </c>
      <c r="C9919" s="2">
        <v>678.01009999999997</v>
      </c>
      <c r="D9919" s="2">
        <f>HYPERLINK("http://mcb-m6.bioreg.kyushu-u.ac.jp/M3/20110421/F51043/1700/1", 73.85)</f>
        <v>73.849999999999994</v>
      </c>
      <c r="E9919" s="2">
        <v>57.18</v>
      </c>
      <c r="F9919" s="2">
        <v>2</v>
      </c>
      <c r="G9919" s="2" t="s">
        <v>12</v>
      </c>
    </row>
    <row r="9920" spans="1:9" x14ac:dyDescent="0.2">
      <c r="A9920" s="2" t="s">
        <v>3525</v>
      </c>
      <c r="B9920" s="2" t="s">
        <v>1855</v>
      </c>
      <c r="C9920" s="2">
        <v>513.7441</v>
      </c>
      <c r="D9920" s="2">
        <f>HYPERLINK("http://mcb-m6.bioreg.kyushu-u.ac.jp/M3/20110404/F50755/1084/1", 37.96)</f>
        <v>37.96</v>
      </c>
      <c r="E9920" s="2">
        <v>21.21</v>
      </c>
      <c r="F9920" s="2">
        <v>2</v>
      </c>
      <c r="G9920" s="2" t="s">
        <v>9</v>
      </c>
    </row>
    <row r="9921" spans="1:9" x14ac:dyDescent="0.2">
      <c r="A9921" s="2" t="s">
        <v>3525</v>
      </c>
      <c r="B9921" s="2" t="s">
        <v>881</v>
      </c>
      <c r="C9921" s="2">
        <v>779.64070000000004</v>
      </c>
      <c r="D9921" s="2">
        <f>HYPERLINK("http://mcb-m6.bioreg.kyushu-u.ac.jp/M3/20110404/F50755/2170/1", 41.49)</f>
        <v>41.49</v>
      </c>
      <c r="E9921" s="2">
        <v>31.84</v>
      </c>
      <c r="F9921" s="2">
        <v>2</v>
      </c>
      <c r="G9921" s="2" t="s">
        <v>9</v>
      </c>
      <c r="H9921" s="2" t="s">
        <v>4904</v>
      </c>
    </row>
    <row r="9922" spans="1:9" x14ac:dyDescent="0.2">
      <c r="A9922" s="2" t="s">
        <v>3525</v>
      </c>
      <c r="B9922" s="2" t="s">
        <v>370</v>
      </c>
      <c r="C9922" s="2">
        <v>1119.316</v>
      </c>
      <c r="D9922" s="2">
        <f>HYPERLINK("http://mcb-m6.bioreg.kyushu-u.ac.jp/M3/20110404/F50755/1208/1", 42.63)</f>
        <v>42.63</v>
      </c>
      <c r="E9922" s="2">
        <v>20.18</v>
      </c>
      <c r="F9922" s="2">
        <v>1</v>
      </c>
      <c r="G9922" s="2" t="s">
        <v>9</v>
      </c>
    </row>
    <row r="9923" spans="1:9" x14ac:dyDescent="0.2">
      <c r="A9923" s="2" t="s">
        <v>3525</v>
      </c>
      <c r="B9923" s="2" t="s">
        <v>881</v>
      </c>
      <c r="C9923" s="2">
        <v>788.0557</v>
      </c>
      <c r="D9923" s="2">
        <f>HYPERLINK("http://mcb-m6.bioreg.kyushu-u.ac.jp/M3/20110404/F50755/2209/1", 66.34)</f>
        <v>66.34</v>
      </c>
      <c r="E9923" s="2">
        <v>52.92</v>
      </c>
      <c r="F9923" s="2">
        <v>2</v>
      </c>
      <c r="G9923" s="2" t="s">
        <v>9</v>
      </c>
    </row>
    <row r="9924" spans="1:9" x14ac:dyDescent="0.2">
      <c r="A9924" s="2" t="s">
        <v>3525</v>
      </c>
      <c r="B9924" s="2" t="s">
        <v>1855</v>
      </c>
      <c r="C9924" s="2">
        <v>514.23519999999996</v>
      </c>
      <c r="D9924" s="2">
        <f>HYPERLINK("http://mcb-m6.bioreg.kyushu-u.ac.jp/M3/20110404/F50760/1067/1", 49.24)</f>
        <v>49.24</v>
      </c>
      <c r="E9924" s="2">
        <v>23.74</v>
      </c>
      <c r="F9924" s="2">
        <v>2</v>
      </c>
      <c r="G9924" s="2" t="s">
        <v>10</v>
      </c>
    </row>
    <row r="9925" spans="1:9" x14ac:dyDescent="0.2">
      <c r="A9925" s="2" t="s">
        <v>3525</v>
      </c>
      <c r="B9925" s="2" t="s">
        <v>1855</v>
      </c>
      <c r="C9925" s="2">
        <v>514.76419999999996</v>
      </c>
      <c r="D9925" s="2">
        <f>HYPERLINK("http://mcb-m6.bioreg.kyushu-u.ac.jp/M3/20110427/F51114/982/1", 46.22)</f>
        <v>46.22</v>
      </c>
      <c r="E9925" s="2">
        <v>22.21</v>
      </c>
      <c r="F9925" s="2">
        <v>2</v>
      </c>
      <c r="G9925" s="2" t="s">
        <v>13</v>
      </c>
    </row>
    <row r="9926" spans="1:9" x14ac:dyDescent="0.2">
      <c r="A9926" s="2" t="s">
        <v>3525</v>
      </c>
      <c r="B9926" s="2" t="s">
        <v>1855</v>
      </c>
      <c r="C9926" s="2">
        <v>514.1617</v>
      </c>
      <c r="D9926" s="2">
        <f>HYPERLINK("http://mcb-m6.bioreg.kyushu-u.ac.jp/M3/20110428/F51131/822/1", 51.34)</f>
        <v>51.34</v>
      </c>
      <c r="E9926" s="2">
        <v>9.44</v>
      </c>
      <c r="F9926" s="2">
        <v>2</v>
      </c>
      <c r="G9926" s="2" t="s">
        <v>13</v>
      </c>
    </row>
    <row r="9927" spans="1:9" x14ac:dyDescent="0.2">
      <c r="A9927" s="2" t="s">
        <v>3982</v>
      </c>
      <c r="B9927" s="2" t="s">
        <v>1939</v>
      </c>
      <c r="C9927" s="2">
        <v>751.18960000000004</v>
      </c>
      <c r="D9927" s="2">
        <f>HYPERLINK("http://mcb-m6.bioreg.kyushu-u.ac.jp/M3/20110404/F50755/2023/1", 58.78)</f>
        <v>58.78</v>
      </c>
      <c r="E9927" s="2">
        <v>33.4</v>
      </c>
      <c r="F9927" s="2">
        <v>2</v>
      </c>
      <c r="G9927" s="2" t="s">
        <v>9</v>
      </c>
    </row>
    <row r="9928" spans="1:9" x14ac:dyDescent="0.2">
      <c r="A9928" s="2" t="s">
        <v>3982</v>
      </c>
      <c r="B9928" s="2" t="s">
        <v>1234</v>
      </c>
      <c r="C9928" s="2">
        <v>774.73069999999996</v>
      </c>
      <c r="D9928" s="2">
        <f>HYPERLINK("http://mcb-m6.bioreg.kyushu-u.ac.jp/M3/20110404/F50755/2142/1", 64.96)</f>
        <v>64.959999999999994</v>
      </c>
      <c r="E9928" s="2">
        <v>48.13</v>
      </c>
      <c r="F9928" s="2">
        <v>2</v>
      </c>
      <c r="G9928" s="2" t="s">
        <v>9</v>
      </c>
      <c r="I9928" s="2" t="s">
        <v>4893</v>
      </c>
    </row>
    <row r="9929" spans="1:9" x14ac:dyDescent="0.2">
      <c r="A9929" s="2" t="s">
        <v>3982</v>
      </c>
      <c r="B9929" s="2" t="s">
        <v>2109</v>
      </c>
      <c r="C9929" s="2">
        <v>808.81769999999995</v>
      </c>
      <c r="D9929" s="2">
        <f>HYPERLINK("http://mcb-m6.bioreg.kyushu-u.ac.jp/M3/20110404/F50755/2284/1", 65.33)</f>
        <v>65.33</v>
      </c>
      <c r="E9929" s="2">
        <v>57.91</v>
      </c>
      <c r="F9929" s="2">
        <v>2</v>
      </c>
      <c r="G9929" s="2" t="s">
        <v>9</v>
      </c>
      <c r="I9929" s="2" t="s">
        <v>4903</v>
      </c>
    </row>
    <row r="9930" spans="1:9" x14ac:dyDescent="0.2">
      <c r="A9930" s="2" t="s">
        <v>3982</v>
      </c>
      <c r="B9930" s="2" t="s">
        <v>2109</v>
      </c>
      <c r="C9930" s="2">
        <v>808.16020000000003</v>
      </c>
      <c r="D9930" s="2">
        <f>HYPERLINK("http://mcb-m6.bioreg.kyushu-u.ac.jp/M3/20110404/F50760/2066/1", 47.82)</f>
        <v>47.82</v>
      </c>
      <c r="E9930" s="2">
        <v>36.51</v>
      </c>
      <c r="F9930" s="2">
        <v>2</v>
      </c>
      <c r="G9930" s="2" t="s">
        <v>10</v>
      </c>
      <c r="I9930" s="2" t="s">
        <v>4903</v>
      </c>
    </row>
    <row r="9931" spans="1:9" x14ac:dyDescent="0.2">
      <c r="A9931" s="2" t="s">
        <v>3982</v>
      </c>
      <c r="B9931" s="2" t="s">
        <v>2109</v>
      </c>
      <c r="C9931" s="2">
        <v>808.83069999999998</v>
      </c>
      <c r="D9931" s="2">
        <f>HYPERLINK("http://mcb-m6.bioreg.kyushu-u.ac.jp/M3/20110404/F50760/2071/1", 51.76)</f>
        <v>51.76</v>
      </c>
      <c r="E9931" s="2">
        <v>40.479999999999997</v>
      </c>
      <c r="F9931" s="2">
        <v>2</v>
      </c>
      <c r="G9931" s="2" t="s">
        <v>10</v>
      </c>
      <c r="I9931" s="2" t="s">
        <v>4903</v>
      </c>
    </row>
    <row r="9932" spans="1:9" x14ac:dyDescent="0.2">
      <c r="A9932" s="2" t="s">
        <v>3982</v>
      </c>
      <c r="B9932" s="2" t="s">
        <v>1234</v>
      </c>
      <c r="C9932" s="2">
        <v>774.41560000000004</v>
      </c>
      <c r="D9932" s="2">
        <f>HYPERLINK("http://mcb-m6.bioreg.kyushu-u.ac.jp/M3/20110421/F51058/2046/1", 54.87)</f>
        <v>54.87</v>
      </c>
      <c r="E9932" s="2">
        <v>35.78</v>
      </c>
      <c r="F9932" s="2">
        <v>2</v>
      </c>
      <c r="G9932" s="2" t="s">
        <v>11</v>
      </c>
      <c r="I9932" s="2" t="s">
        <v>4893</v>
      </c>
    </row>
    <row r="9933" spans="1:9" x14ac:dyDescent="0.2">
      <c r="A9933" s="2" t="s">
        <v>3982</v>
      </c>
      <c r="B9933" s="2" t="s">
        <v>1234</v>
      </c>
      <c r="C9933" s="2">
        <v>774.15970000000004</v>
      </c>
      <c r="D9933" s="2">
        <f>HYPERLINK("http://mcb-m6.bioreg.kyushu-u.ac.jp/M3/20110428/F51131/2000/1", 36.49)</f>
        <v>36.49</v>
      </c>
      <c r="E9933" s="2">
        <v>13.07</v>
      </c>
      <c r="F9933" s="2">
        <v>2</v>
      </c>
      <c r="G9933" s="2" t="s">
        <v>13</v>
      </c>
      <c r="I9933" s="2" t="s">
        <v>4893</v>
      </c>
    </row>
    <row r="9934" spans="1:9" x14ac:dyDescent="0.2">
      <c r="A9934" s="2" t="s">
        <v>3513</v>
      </c>
      <c r="B9934" s="2" t="s">
        <v>1351</v>
      </c>
      <c r="C9934" s="2">
        <v>892.00120000000004</v>
      </c>
      <c r="D9934" s="2">
        <f>HYPERLINK("http://mcb-m6.bioreg.kyushu-u.ac.jp/M3/20110404/F50762/2291/1", 44.45)</f>
        <v>44.45</v>
      </c>
      <c r="E9934" s="2">
        <v>33.94</v>
      </c>
      <c r="F9934" s="2">
        <v>2</v>
      </c>
      <c r="G9934" s="2" t="s">
        <v>9</v>
      </c>
    </row>
    <row r="9935" spans="1:9" x14ac:dyDescent="0.2">
      <c r="A9935" s="2" t="s">
        <v>3513</v>
      </c>
      <c r="B9935" s="2" t="s">
        <v>1455</v>
      </c>
      <c r="C9935" s="2">
        <v>934.75869999999998</v>
      </c>
      <c r="D9935" s="2">
        <f>HYPERLINK("http://mcb-m6.bioreg.kyushu-u.ac.jp/M3/20110404/F50756/2842/1", 94.98)</f>
        <v>94.98</v>
      </c>
      <c r="E9935" s="2">
        <v>62.46</v>
      </c>
      <c r="F9935" s="2">
        <v>2</v>
      </c>
      <c r="G9935" s="2" t="s">
        <v>9</v>
      </c>
    </row>
    <row r="9936" spans="1:9" x14ac:dyDescent="0.2">
      <c r="A9936" s="2" t="s">
        <v>3513</v>
      </c>
      <c r="B9936" s="2" t="s">
        <v>1656</v>
      </c>
      <c r="C9936" s="2">
        <v>815.83219999999994</v>
      </c>
      <c r="D9936" s="2">
        <f>HYPERLINK("http://mcb-m6.bioreg.kyushu-u.ac.jp/M3/20110404/F50756/2318/1", 109.04)</f>
        <v>109.04</v>
      </c>
      <c r="E9936" s="2">
        <v>99.36</v>
      </c>
      <c r="F9936" s="2">
        <v>2</v>
      </c>
      <c r="G9936" s="2" t="s">
        <v>9</v>
      </c>
    </row>
    <row r="9937" spans="1:7" x14ac:dyDescent="0.2">
      <c r="A9937" s="2" t="s">
        <v>3513</v>
      </c>
      <c r="B9937" s="2" t="s">
        <v>1455</v>
      </c>
      <c r="C9937" s="2">
        <v>934.33069999999998</v>
      </c>
      <c r="D9937" s="2">
        <f>HYPERLINK("http://mcb-m6.bioreg.kyushu-u.ac.jp/M3/20110404/F50761/2622/1", 97.74)</f>
        <v>97.74</v>
      </c>
      <c r="E9937" s="2">
        <v>73.86</v>
      </c>
      <c r="F9937" s="2">
        <v>2</v>
      </c>
      <c r="G9937" s="2" t="s">
        <v>10</v>
      </c>
    </row>
    <row r="9938" spans="1:7" x14ac:dyDescent="0.2">
      <c r="A9938" s="2" t="s">
        <v>3513</v>
      </c>
      <c r="B9938" s="2" t="s">
        <v>1455</v>
      </c>
      <c r="C9938" s="2">
        <v>934.90369999999996</v>
      </c>
      <c r="D9938" s="2">
        <f>HYPERLINK("http://mcb-m6.bioreg.kyushu-u.ac.jp/M3/20110404/F50761/2624/1", 105.05)</f>
        <v>105.05</v>
      </c>
      <c r="E9938" s="2">
        <v>84.01</v>
      </c>
      <c r="F9938" s="2">
        <v>2</v>
      </c>
      <c r="G9938" s="2" t="s">
        <v>10</v>
      </c>
    </row>
    <row r="9939" spans="1:7" x14ac:dyDescent="0.2">
      <c r="A9939" s="2" t="s">
        <v>3513</v>
      </c>
      <c r="B9939" s="2" t="s">
        <v>1455</v>
      </c>
      <c r="C9939" s="2">
        <v>934.60109999999997</v>
      </c>
      <c r="D9939" s="2">
        <f>HYPERLINK("http://mcb-m6.bioreg.kyushu-u.ac.jp/M3/20110421/F51034/2890/1", 106.81)</f>
        <v>106.81</v>
      </c>
      <c r="E9939" s="2">
        <v>83.41</v>
      </c>
      <c r="F9939" s="2">
        <v>2</v>
      </c>
      <c r="G9939" s="2" t="s">
        <v>11</v>
      </c>
    </row>
    <row r="9940" spans="1:7" x14ac:dyDescent="0.2">
      <c r="A9940" s="2" t="s">
        <v>3513</v>
      </c>
      <c r="B9940" s="2" t="s">
        <v>1455</v>
      </c>
      <c r="C9940" s="2">
        <v>934.82460000000003</v>
      </c>
      <c r="D9940" s="2">
        <f>HYPERLINK("http://mcb-m6.bioreg.kyushu-u.ac.jp/M3/20110421/F51035/2912/1", 113.02)</f>
        <v>113.02</v>
      </c>
      <c r="E9940" s="2">
        <v>93.78</v>
      </c>
      <c r="F9940" s="2">
        <v>2</v>
      </c>
      <c r="G9940" s="2" t="s">
        <v>11</v>
      </c>
    </row>
    <row r="9941" spans="1:7" x14ac:dyDescent="0.2">
      <c r="A9941" s="2" t="s">
        <v>3513</v>
      </c>
      <c r="B9941" s="2" t="s">
        <v>1455</v>
      </c>
      <c r="C9941" s="2">
        <v>934.78610000000003</v>
      </c>
      <c r="D9941" s="2">
        <f>HYPERLINK("http://mcb-m6.bioreg.kyushu-u.ac.jp/M3/20110427/F51114/3004/1", 106.61)</f>
        <v>106.61</v>
      </c>
      <c r="E9941" s="2">
        <v>80.59</v>
      </c>
      <c r="F9941" s="2">
        <v>2</v>
      </c>
      <c r="G9941" s="2" t="s">
        <v>13</v>
      </c>
    </row>
    <row r="9942" spans="1:7" x14ac:dyDescent="0.2">
      <c r="A9942" s="2" t="s">
        <v>3513</v>
      </c>
      <c r="B9942" s="2" t="s">
        <v>1656</v>
      </c>
      <c r="C9942" s="2">
        <v>815.76260000000002</v>
      </c>
      <c r="D9942" s="2">
        <f>HYPERLINK("http://mcb-m6.bioreg.kyushu-u.ac.jp/M3/20110427/F51114/2473/1", 108.97)</f>
        <v>108.97</v>
      </c>
      <c r="E9942" s="2">
        <v>96.63</v>
      </c>
      <c r="F9942" s="2">
        <v>2</v>
      </c>
      <c r="G9942" s="2" t="s">
        <v>13</v>
      </c>
    </row>
    <row r="9943" spans="1:7" x14ac:dyDescent="0.2">
      <c r="A9943" s="2" t="s">
        <v>3513</v>
      </c>
      <c r="B9943" s="2" t="s">
        <v>1455</v>
      </c>
      <c r="C9943" s="2">
        <v>934.26760000000002</v>
      </c>
      <c r="D9943" s="2">
        <f>HYPERLINK("http://mcb-m6.bioreg.kyushu-u.ac.jp/M3/20110427/F51114/3003/1", 122.96)</f>
        <v>122.96</v>
      </c>
      <c r="E9943" s="2">
        <v>101.65</v>
      </c>
      <c r="F9943" s="2">
        <v>2</v>
      </c>
      <c r="G9943" s="2" t="s">
        <v>13</v>
      </c>
    </row>
    <row r="9944" spans="1:7" x14ac:dyDescent="0.2">
      <c r="A9944" s="2" t="s">
        <v>3513</v>
      </c>
      <c r="B9944" s="2" t="s">
        <v>1455</v>
      </c>
      <c r="C9944" s="2">
        <v>934.24220000000003</v>
      </c>
      <c r="D9944" s="2">
        <f>HYPERLINK("http://mcb-m6.bioreg.kyushu-u.ac.jp/M3/20110427/F51123/2879/1", 107.19)</f>
        <v>107.19</v>
      </c>
      <c r="E9944" s="2">
        <v>88.33</v>
      </c>
      <c r="F9944" s="2">
        <v>2</v>
      </c>
      <c r="G9944" s="2" t="s">
        <v>14</v>
      </c>
    </row>
    <row r="9945" spans="1:7" x14ac:dyDescent="0.2">
      <c r="A9945" s="2" t="s">
        <v>4051</v>
      </c>
      <c r="B9945" s="2" t="s">
        <v>6679</v>
      </c>
      <c r="C9945" s="2">
        <v>1015.4059999999999</v>
      </c>
      <c r="D9945" s="2">
        <f>HYPERLINK("http://mcb-m6.bioreg.kyushu-u.ac.jp/M3/20110404/F50772/2916/1", 35.41)</f>
        <v>35.409999999999997</v>
      </c>
      <c r="E9945" s="2">
        <v>29.32</v>
      </c>
      <c r="F9945" s="2">
        <v>2</v>
      </c>
      <c r="G9945" s="2" t="s">
        <v>10</v>
      </c>
    </row>
    <row r="9946" spans="1:7" x14ac:dyDescent="0.2">
      <c r="A9946" s="2" t="s">
        <v>4051</v>
      </c>
      <c r="B9946" s="2" t="s">
        <v>1406</v>
      </c>
      <c r="C9946" s="2">
        <v>715.7672</v>
      </c>
      <c r="D9946" s="2">
        <f>HYPERLINK("http://mcb-m6.bioreg.kyushu-u.ac.jp/M3/20110421/F51020/1913/1", 49.93)</f>
        <v>49.93</v>
      </c>
      <c r="E9946" s="2">
        <v>31.47</v>
      </c>
      <c r="F9946" s="2">
        <v>2</v>
      </c>
      <c r="G9946" s="2" t="s">
        <v>11</v>
      </c>
    </row>
    <row r="9947" spans="1:7" x14ac:dyDescent="0.2">
      <c r="A9947" s="2" t="s">
        <v>3429</v>
      </c>
      <c r="B9947" s="2" t="s">
        <v>236</v>
      </c>
      <c r="C9947" s="2">
        <v>1076.461</v>
      </c>
      <c r="D9947" s="2">
        <f>HYPERLINK("http://mcb-m6.bioreg.kyushu-u.ac.jp/M3/20110404/F50754/1455/1", 35.05)</f>
        <v>35.049999999999997</v>
      </c>
      <c r="E9947" s="2">
        <v>10.37</v>
      </c>
      <c r="F9947" s="2">
        <v>1</v>
      </c>
      <c r="G9947" s="2" t="s">
        <v>9</v>
      </c>
    </row>
    <row r="9948" spans="1:7" x14ac:dyDescent="0.2">
      <c r="A9948" s="2" t="s">
        <v>3429</v>
      </c>
      <c r="B9948" s="2" t="s">
        <v>6383</v>
      </c>
      <c r="C9948" s="2">
        <v>640.20010000000002</v>
      </c>
      <c r="D9948" s="2">
        <f>HYPERLINK("http://mcb-m6.bioreg.kyushu-u.ac.jp/M3/20110404/F50754/1768/1", 57.76)</f>
        <v>57.76</v>
      </c>
      <c r="E9948" s="2">
        <v>38.01</v>
      </c>
      <c r="F9948" s="2">
        <v>2</v>
      </c>
      <c r="G9948" s="2" t="s">
        <v>9</v>
      </c>
    </row>
    <row r="9949" spans="1:7" x14ac:dyDescent="0.2">
      <c r="A9949" s="2" t="s">
        <v>3429</v>
      </c>
      <c r="B9949" s="2" t="s">
        <v>236</v>
      </c>
      <c r="C9949" s="2">
        <v>538.65170000000001</v>
      </c>
      <c r="D9949" s="2">
        <f>HYPERLINK("http://mcb-m6.bioreg.kyushu-u.ac.jp/M3/20110404/F50753/1313/1", 64.27)</f>
        <v>64.27</v>
      </c>
      <c r="E9949" s="2">
        <v>32.31</v>
      </c>
      <c r="F9949" s="2">
        <v>2</v>
      </c>
      <c r="G9949" s="2" t="s">
        <v>9</v>
      </c>
    </row>
    <row r="9950" spans="1:7" x14ac:dyDescent="0.2">
      <c r="A9950" s="2" t="s">
        <v>3429</v>
      </c>
      <c r="B9950" s="2" t="s">
        <v>2330</v>
      </c>
      <c r="C9950" s="2">
        <v>668.06269999999995</v>
      </c>
      <c r="D9950" s="2">
        <f>HYPERLINK("http://mcb-m6.bioreg.kyushu-u.ac.jp/M3/20110404/F50753/1715/1", 80.88)</f>
        <v>80.88</v>
      </c>
      <c r="E9950" s="2">
        <v>61.28</v>
      </c>
      <c r="F9950" s="2">
        <v>2</v>
      </c>
      <c r="G9950" s="2" t="s">
        <v>9</v>
      </c>
    </row>
    <row r="9951" spans="1:7" x14ac:dyDescent="0.2">
      <c r="A9951" s="2" t="s">
        <v>3429</v>
      </c>
      <c r="B9951" s="2" t="s">
        <v>236</v>
      </c>
      <c r="C9951" s="2">
        <v>1076.454</v>
      </c>
      <c r="D9951" s="2">
        <f>HYPERLINK("http://mcb-m6.bioreg.kyushu-u.ac.jp/M3/20110404/F50758/1314/1", 39.47)</f>
        <v>39.47</v>
      </c>
      <c r="E9951" s="2">
        <v>9.44</v>
      </c>
      <c r="F9951" s="2">
        <v>1</v>
      </c>
      <c r="G9951" s="2" t="s">
        <v>10</v>
      </c>
    </row>
    <row r="9952" spans="1:7" x14ac:dyDescent="0.2">
      <c r="A9952" s="2" t="s">
        <v>3429</v>
      </c>
      <c r="B9952" s="2" t="s">
        <v>1744</v>
      </c>
      <c r="C9952" s="2">
        <v>508.97309999999999</v>
      </c>
      <c r="D9952" s="2">
        <f>HYPERLINK("http://mcb-m6.bioreg.kyushu-u.ac.jp/M3/20110404/F50758/1236/1", 46.81)</f>
        <v>46.81</v>
      </c>
      <c r="E9952" s="2">
        <v>13.24</v>
      </c>
      <c r="F9952" s="2">
        <v>2</v>
      </c>
      <c r="G9952" s="2" t="s">
        <v>10</v>
      </c>
    </row>
    <row r="9953" spans="1:9" x14ac:dyDescent="0.2">
      <c r="A9953" s="2" t="s">
        <v>4452</v>
      </c>
      <c r="B9953" s="2" t="s">
        <v>5981</v>
      </c>
      <c r="C9953" s="2">
        <v>1026.3820000000001</v>
      </c>
      <c r="D9953" s="2">
        <f>HYPERLINK("http://mcb-m6.bioreg.kyushu-u.ac.jp/M3/20110404/F50754/1379/1", 37.61)</f>
        <v>37.61</v>
      </c>
      <c r="E9953" s="2">
        <v>14.34</v>
      </c>
      <c r="F9953" s="2">
        <v>1</v>
      </c>
      <c r="G9953" s="2" t="s">
        <v>9</v>
      </c>
    </row>
    <row r="9954" spans="1:9" x14ac:dyDescent="0.2">
      <c r="A9954" s="2" t="s">
        <v>4452</v>
      </c>
      <c r="B9954" s="2" t="s">
        <v>5981</v>
      </c>
      <c r="C9954" s="2">
        <v>514.22310000000004</v>
      </c>
      <c r="D9954" s="2">
        <f>HYPERLINK("http://mcb-m6.bioreg.kyushu-u.ac.jp/M3/20110404/F50754/1381/1", 49.42)</f>
        <v>49.42</v>
      </c>
      <c r="E9954" s="2">
        <v>25.82</v>
      </c>
      <c r="F9954" s="2">
        <v>2</v>
      </c>
      <c r="G9954" s="2" t="s">
        <v>9</v>
      </c>
    </row>
    <row r="9955" spans="1:9" x14ac:dyDescent="0.2">
      <c r="A9955" s="2" t="s">
        <v>4452</v>
      </c>
      <c r="B9955" s="2" t="s">
        <v>2362</v>
      </c>
      <c r="C9955" s="2">
        <v>591.74659999999994</v>
      </c>
      <c r="D9955" s="2">
        <f>HYPERLINK("http://mcb-m6.bioreg.kyushu-u.ac.jp/M3/20110404/F50753/1466/1", 68.35)</f>
        <v>68.349999999999994</v>
      </c>
      <c r="E9955" s="2">
        <v>24.54</v>
      </c>
      <c r="F9955" s="2">
        <v>2</v>
      </c>
      <c r="G9955" s="2" t="s">
        <v>9</v>
      </c>
    </row>
    <row r="9956" spans="1:9" x14ac:dyDescent="0.2">
      <c r="A9956" s="2" t="s">
        <v>3444</v>
      </c>
      <c r="B9956" s="2" t="s">
        <v>5550</v>
      </c>
      <c r="C9956" s="2">
        <v>807.77760000000001</v>
      </c>
      <c r="D9956" s="2">
        <f>HYPERLINK("http://mcb-m6.bioreg.kyushu-u.ac.jp/M3/20110421/F51037/2432/1", 56.5)</f>
        <v>56.5</v>
      </c>
      <c r="E9956" s="2">
        <v>25.87</v>
      </c>
      <c r="F9956" s="2">
        <v>2</v>
      </c>
      <c r="G9956" s="2" t="s">
        <v>11</v>
      </c>
    </row>
    <row r="9957" spans="1:9" x14ac:dyDescent="0.2">
      <c r="A9957" s="2" t="s">
        <v>3444</v>
      </c>
      <c r="B9957" s="2" t="s">
        <v>253</v>
      </c>
      <c r="C9957" s="2">
        <v>790.34860000000003</v>
      </c>
      <c r="D9957" s="2">
        <f>HYPERLINK("http://mcb-m6.bioreg.kyushu-u.ac.jp/M3/20110421/F51037/2336/1", 66.16)</f>
        <v>66.16</v>
      </c>
      <c r="E9957" s="2">
        <v>50.92</v>
      </c>
      <c r="F9957" s="2">
        <v>2</v>
      </c>
      <c r="G9957" s="2" t="s">
        <v>11</v>
      </c>
      <c r="H9957" s="2" t="s">
        <v>4908</v>
      </c>
    </row>
    <row r="9958" spans="1:9" x14ac:dyDescent="0.2">
      <c r="A9958" s="2" t="s">
        <v>8097</v>
      </c>
      <c r="B9958" s="2" t="s">
        <v>7448</v>
      </c>
      <c r="C9958" s="2">
        <v>666.46669999999995</v>
      </c>
      <c r="D9958" s="2">
        <f>HYPERLINK("http://mcb-m6.bioreg.kyushu-u.ac.jp/M3/20110427/F51124/1674/1", 35.38)</f>
        <v>35.380000000000003</v>
      </c>
      <c r="E9958" s="2">
        <v>12.25</v>
      </c>
      <c r="F9958" s="2">
        <v>2</v>
      </c>
      <c r="G9958" s="2" t="s">
        <v>14</v>
      </c>
      <c r="H9958" s="2" t="s">
        <v>8153</v>
      </c>
    </row>
    <row r="9959" spans="1:9" x14ac:dyDescent="0.2">
      <c r="A9959" s="2" t="s">
        <v>7770</v>
      </c>
      <c r="B9959" s="2" t="s">
        <v>6619</v>
      </c>
      <c r="C9959" s="2">
        <v>878.49069999999995</v>
      </c>
      <c r="D9959" s="2">
        <f>HYPERLINK("http://mcb-m6.bioreg.kyushu-u.ac.jp/M3/20110404/F50779/2378/1", 96.11)</f>
        <v>96.11</v>
      </c>
      <c r="E9959" s="2">
        <v>82.3</v>
      </c>
      <c r="F9959" s="2">
        <v>2</v>
      </c>
      <c r="G9959" s="2" t="s">
        <v>9</v>
      </c>
    </row>
    <row r="9960" spans="1:9" x14ac:dyDescent="0.2">
      <c r="A9960" s="2" t="s">
        <v>7770</v>
      </c>
      <c r="B9960" s="2" t="s">
        <v>6641</v>
      </c>
      <c r="C9960" s="2">
        <v>629.85919999999999</v>
      </c>
      <c r="D9960" s="2">
        <f>HYPERLINK("http://mcb-m6.bioreg.kyushu-u.ac.jp/M3/20110404/F50779/1233/1", 102.42)</f>
        <v>102.42</v>
      </c>
      <c r="E9960" s="2">
        <v>80.92</v>
      </c>
      <c r="F9960" s="2">
        <v>2</v>
      </c>
      <c r="G9960" s="2" t="s">
        <v>9</v>
      </c>
    </row>
    <row r="9961" spans="1:9" x14ac:dyDescent="0.2">
      <c r="A9961" s="2" t="s">
        <v>7770</v>
      </c>
      <c r="B9961" s="2" t="s">
        <v>7021</v>
      </c>
      <c r="C9961" s="2">
        <v>759.48419999999999</v>
      </c>
      <c r="D9961" s="2">
        <f>HYPERLINK("http://mcb-m6.bioreg.kyushu-u.ac.jp/M3/20110404/F50782/1872/1", 81.17)</f>
        <v>81.17</v>
      </c>
      <c r="E9961" s="2">
        <v>64.41</v>
      </c>
      <c r="F9961" s="2">
        <v>2</v>
      </c>
      <c r="G9961" s="2" t="s">
        <v>10</v>
      </c>
    </row>
    <row r="9962" spans="1:9" x14ac:dyDescent="0.2">
      <c r="A9962" s="2" t="s">
        <v>7770</v>
      </c>
      <c r="B9962" s="2" t="s">
        <v>7252</v>
      </c>
      <c r="C9962" s="2">
        <v>630.38369999999998</v>
      </c>
      <c r="D9962" s="2">
        <f>HYPERLINK("http://mcb-m6.bioreg.kyushu-u.ac.jp/M3/20110421/F51050/1641/1", 66.52)</f>
        <v>66.52</v>
      </c>
      <c r="E9962" s="2">
        <v>52.82</v>
      </c>
      <c r="F9962" s="2">
        <v>2</v>
      </c>
      <c r="G9962" s="2" t="s">
        <v>12</v>
      </c>
      <c r="I9962" s="2" t="s">
        <v>4893</v>
      </c>
    </row>
    <row r="9963" spans="1:9" x14ac:dyDescent="0.2">
      <c r="A9963" s="2" t="s">
        <v>7679</v>
      </c>
      <c r="B9963" s="2" t="s">
        <v>6308</v>
      </c>
      <c r="C9963" s="2">
        <v>542.04020000000003</v>
      </c>
      <c r="D9963" s="2">
        <f>HYPERLINK("http://mcb-m6.bioreg.kyushu-u.ac.jp/M3/20110404/F50754/1463/1", 52.01)</f>
        <v>52.01</v>
      </c>
      <c r="E9963" s="2">
        <v>30.39</v>
      </c>
      <c r="F9963" s="2">
        <v>2</v>
      </c>
      <c r="G9963" s="2" t="s">
        <v>9</v>
      </c>
    </row>
    <row r="9964" spans="1:9" x14ac:dyDescent="0.2">
      <c r="A9964" s="2" t="s">
        <v>7679</v>
      </c>
      <c r="B9964" s="2" t="s">
        <v>6402</v>
      </c>
      <c r="C9964" s="2">
        <v>575.86320000000001</v>
      </c>
      <c r="D9964" s="2">
        <f>HYPERLINK("http://mcb-m6.bioreg.kyushu-u.ac.jp/M3/20110404/F50754/1552/1", 60.32)</f>
        <v>60.32</v>
      </c>
      <c r="E9964" s="2">
        <v>34.78</v>
      </c>
      <c r="F9964" s="2">
        <v>2</v>
      </c>
      <c r="G9964" s="2" t="s">
        <v>9</v>
      </c>
    </row>
    <row r="9965" spans="1:9" x14ac:dyDescent="0.2">
      <c r="A9965" s="2" t="s">
        <v>4276</v>
      </c>
      <c r="B9965" s="2" t="s">
        <v>7263</v>
      </c>
      <c r="C9965" s="2">
        <v>661.17520000000002</v>
      </c>
      <c r="D9965" s="2">
        <f>HYPERLINK("http://mcb-m6.bioreg.kyushu-u.ac.jp/M3/20110421/F51021/1587/1", 75.96)</f>
        <v>75.959999999999994</v>
      </c>
      <c r="E9965" s="2">
        <v>50.71</v>
      </c>
      <c r="F9965" s="2">
        <v>2</v>
      </c>
      <c r="G9965" s="2" t="s">
        <v>12</v>
      </c>
    </row>
    <row r="9966" spans="1:9" x14ac:dyDescent="0.2">
      <c r="A9966" s="2" t="s">
        <v>7607</v>
      </c>
      <c r="B9966" s="2" t="s">
        <v>6106</v>
      </c>
      <c r="C9966" s="2">
        <v>584.28859999999997</v>
      </c>
      <c r="D9966" s="2">
        <f>HYPERLINK("http://mcb-m6.bioreg.kyushu-u.ac.jp/M3/20110404/F50766/797/1", 42.85)</f>
        <v>42.85</v>
      </c>
      <c r="E9966" s="2">
        <v>12.44</v>
      </c>
      <c r="F9966" s="2">
        <v>2</v>
      </c>
      <c r="G9966" s="2" t="s">
        <v>9</v>
      </c>
    </row>
    <row r="9967" spans="1:9" x14ac:dyDescent="0.2">
      <c r="A9967" s="2" t="s">
        <v>7607</v>
      </c>
      <c r="B9967" s="2" t="s">
        <v>6106</v>
      </c>
      <c r="C9967" s="2">
        <v>584.79319999999996</v>
      </c>
      <c r="D9967" s="2">
        <f>HYPERLINK("http://mcb-m6.bioreg.kyushu-u.ac.jp/M3/20110421/F51021/1236/1", 57.97)</f>
        <v>57.97</v>
      </c>
      <c r="E9967" s="2">
        <v>12.84</v>
      </c>
      <c r="F9967" s="2">
        <v>2</v>
      </c>
      <c r="G9967" s="2" t="s">
        <v>12</v>
      </c>
    </row>
    <row r="9968" spans="1:9" x14ac:dyDescent="0.2">
      <c r="A9968" s="2" t="s">
        <v>4049</v>
      </c>
      <c r="B9968" s="2" t="s">
        <v>1398</v>
      </c>
      <c r="C9968" s="2">
        <v>681.30520000000001</v>
      </c>
      <c r="D9968" s="2">
        <f>HYPERLINK("http://mcb-m6.bioreg.kyushu-u.ac.jp/M3/20110404/F50761/1584/1", 79.71)</f>
        <v>79.709999999999994</v>
      </c>
      <c r="E9968" s="2">
        <v>65.650000000000006</v>
      </c>
      <c r="F9968" s="2">
        <v>2</v>
      </c>
      <c r="G9968" s="2" t="s">
        <v>10</v>
      </c>
    </row>
    <row r="9969" spans="1:9" x14ac:dyDescent="0.2">
      <c r="A9969" s="2" t="s">
        <v>4049</v>
      </c>
      <c r="B9969" s="2" t="s">
        <v>1398</v>
      </c>
      <c r="C9969" s="2">
        <v>681.44420000000002</v>
      </c>
      <c r="D9969" s="2">
        <f>HYPERLINK("http://mcb-m6.bioreg.kyushu-u.ac.jp/M3/20110421/F51034/1678/1", 51.39)</f>
        <v>51.39</v>
      </c>
      <c r="E9969" s="2">
        <v>36.65</v>
      </c>
      <c r="F9969" s="2">
        <v>2</v>
      </c>
      <c r="G9969" s="2" t="s">
        <v>11</v>
      </c>
    </row>
    <row r="9970" spans="1:9" x14ac:dyDescent="0.2">
      <c r="A9970" s="2" t="s">
        <v>4049</v>
      </c>
      <c r="B9970" s="2" t="s">
        <v>1398</v>
      </c>
      <c r="C9970" s="2">
        <v>681.82569999999998</v>
      </c>
      <c r="D9970" s="2">
        <f>HYPERLINK("http://mcb-m6.bioreg.kyushu-u.ac.jp/M3/20110421/F51035/1604/1", 53.76)</f>
        <v>53.76</v>
      </c>
      <c r="E9970" s="2">
        <v>42.76</v>
      </c>
      <c r="F9970" s="2">
        <v>2</v>
      </c>
      <c r="G9970" s="2" t="s">
        <v>11</v>
      </c>
    </row>
    <row r="9971" spans="1:9" x14ac:dyDescent="0.2">
      <c r="A9971" s="2" t="s">
        <v>4049</v>
      </c>
      <c r="B9971" s="2" t="s">
        <v>1398</v>
      </c>
      <c r="C9971" s="2">
        <v>681.70259999999996</v>
      </c>
      <c r="D9971" s="2">
        <f>HYPERLINK("http://mcb-m6.bioreg.kyushu-u.ac.jp/M3/20110421/F51021/1715/1", 43.17)</f>
        <v>43.17</v>
      </c>
      <c r="E9971" s="2">
        <v>26.53</v>
      </c>
      <c r="F9971" s="2">
        <v>2</v>
      </c>
      <c r="G9971" s="2" t="s">
        <v>12</v>
      </c>
    </row>
    <row r="9972" spans="1:9" x14ac:dyDescent="0.2">
      <c r="A9972" s="2" t="s">
        <v>4049</v>
      </c>
      <c r="B9972" s="2" t="s">
        <v>1398</v>
      </c>
      <c r="C9972" s="2">
        <v>681.2097</v>
      </c>
      <c r="D9972" s="2">
        <f>HYPERLINK("http://mcb-m6.bioreg.kyushu-u.ac.jp/M3/20110421/F51021/1712/1", 73.9)</f>
        <v>73.900000000000006</v>
      </c>
      <c r="E9972" s="2">
        <v>58.05</v>
      </c>
      <c r="F9972" s="2">
        <v>2</v>
      </c>
      <c r="G9972" s="2" t="s">
        <v>12</v>
      </c>
    </row>
    <row r="9973" spans="1:9" x14ac:dyDescent="0.2">
      <c r="A9973" s="2" t="s">
        <v>4049</v>
      </c>
      <c r="B9973" s="2" t="s">
        <v>1398</v>
      </c>
      <c r="C9973" s="2">
        <v>681.85720000000003</v>
      </c>
      <c r="D9973" s="2">
        <f>HYPERLINK("http://mcb-m6.bioreg.kyushu-u.ac.jp/M3/20110421/F51061/1616/1", 83.34)</f>
        <v>83.34</v>
      </c>
      <c r="E9973" s="2">
        <v>73.42</v>
      </c>
      <c r="F9973" s="2">
        <v>2</v>
      </c>
      <c r="G9973" s="2" t="s">
        <v>12</v>
      </c>
    </row>
    <row r="9974" spans="1:9" x14ac:dyDescent="0.2">
      <c r="A9974" s="2" t="s">
        <v>4049</v>
      </c>
      <c r="B9974" s="2" t="s">
        <v>1398</v>
      </c>
      <c r="C9974" s="2">
        <v>681.68320000000006</v>
      </c>
      <c r="D9974" s="2">
        <f>HYPERLINK("http://mcb-m6.bioreg.kyushu-u.ac.jp/M3/20110427/F51110/1949/1", 88.88)</f>
        <v>88.88</v>
      </c>
      <c r="E9974" s="2">
        <v>69.89</v>
      </c>
      <c r="F9974" s="2">
        <v>2</v>
      </c>
      <c r="G9974" s="2" t="s">
        <v>13</v>
      </c>
    </row>
    <row r="9975" spans="1:9" x14ac:dyDescent="0.2">
      <c r="A9975" s="2" t="s">
        <v>4049</v>
      </c>
      <c r="B9975" s="2" t="s">
        <v>1398</v>
      </c>
      <c r="C9975" s="2">
        <v>681.63620000000003</v>
      </c>
      <c r="D9975" s="2">
        <f>HYPERLINK("http://mcb-m6.bioreg.kyushu-u.ac.jp/M3/20110427/F51122/1895/1", 76.1)</f>
        <v>76.099999999999994</v>
      </c>
      <c r="E9975" s="2">
        <v>58.65</v>
      </c>
      <c r="F9975" s="2">
        <v>2</v>
      </c>
      <c r="G9975" s="2" t="s">
        <v>14</v>
      </c>
    </row>
    <row r="9976" spans="1:9" x14ac:dyDescent="0.2">
      <c r="A9976" s="2" t="s">
        <v>4049</v>
      </c>
      <c r="B9976" s="2" t="s">
        <v>1398</v>
      </c>
      <c r="C9976" s="2">
        <v>681.14570000000003</v>
      </c>
      <c r="D9976" s="2">
        <f>HYPERLINK("http://mcb-m6.bioreg.kyushu-u.ac.jp/M3/20110427/F51120/1846/1", 101.26)</f>
        <v>101.26</v>
      </c>
      <c r="E9976" s="2">
        <v>82.76</v>
      </c>
      <c r="F9976" s="2">
        <v>2</v>
      </c>
      <c r="G9976" s="2" t="s">
        <v>14</v>
      </c>
    </row>
    <row r="9977" spans="1:9" x14ac:dyDescent="0.2">
      <c r="A9977" s="2" t="s">
        <v>7978</v>
      </c>
      <c r="B9977" s="2" t="s">
        <v>7190</v>
      </c>
      <c r="C9977" s="2">
        <v>571.73419999999999</v>
      </c>
      <c r="D9977" s="2">
        <f>HYPERLINK("http://mcb-m6.bioreg.kyushu-u.ac.jp/M3/20110421/F51021/1170/1", 41.74)</f>
        <v>41.74</v>
      </c>
      <c r="E9977" s="2">
        <v>15.93</v>
      </c>
      <c r="F9977" s="2">
        <v>2</v>
      </c>
      <c r="G9977" s="2" t="s">
        <v>12</v>
      </c>
    </row>
    <row r="9978" spans="1:9" x14ac:dyDescent="0.2">
      <c r="A9978" s="2" t="s">
        <v>7978</v>
      </c>
      <c r="B9978" s="2" t="s">
        <v>7190</v>
      </c>
      <c r="C9978" s="2">
        <v>571.2192</v>
      </c>
      <c r="D9978" s="2">
        <f>HYPERLINK("http://mcb-m6.bioreg.kyushu-u.ac.jp/M3/20110421/F51021/1164/1", 53.33)</f>
        <v>53.33</v>
      </c>
      <c r="E9978" s="2">
        <v>25.96</v>
      </c>
      <c r="F9978" s="2">
        <v>2</v>
      </c>
      <c r="G9978" s="2" t="s">
        <v>12</v>
      </c>
    </row>
    <row r="9979" spans="1:9" x14ac:dyDescent="0.2">
      <c r="A9979" s="2" t="s">
        <v>8004</v>
      </c>
      <c r="B9979" s="2" t="s">
        <v>7227</v>
      </c>
      <c r="C9979" s="2">
        <v>719.81269999999995</v>
      </c>
      <c r="D9979" s="2">
        <f>HYPERLINK("http://mcb-m6.bioreg.kyushu-u.ac.jp/M3/20110421/F51021/1972/1", 52)</f>
        <v>52</v>
      </c>
      <c r="E9979" s="2">
        <v>28.02</v>
      </c>
      <c r="F9979" s="2">
        <v>2</v>
      </c>
      <c r="G9979" s="2" t="s">
        <v>12</v>
      </c>
    </row>
    <row r="9980" spans="1:9" x14ac:dyDescent="0.2">
      <c r="A9980" s="2" t="s">
        <v>7801</v>
      </c>
      <c r="B9980" s="2" t="s">
        <v>6726</v>
      </c>
      <c r="C9980" s="2">
        <v>1011.611</v>
      </c>
      <c r="D9980" s="2">
        <f>HYPERLINK("http://mcb-m6.bioreg.kyushu-u.ac.jp/M3/20110404/F50782/784/2", 38.08)</f>
        <v>38.08</v>
      </c>
      <c r="E9980" s="2">
        <v>8.48</v>
      </c>
      <c r="F9980" s="2">
        <v>1</v>
      </c>
      <c r="G9980" s="2" t="s">
        <v>10</v>
      </c>
    </row>
    <row r="9981" spans="1:9" x14ac:dyDescent="0.2">
      <c r="A9981" s="2" t="s">
        <v>5653</v>
      </c>
      <c r="B9981" s="2" t="s">
        <v>5917</v>
      </c>
      <c r="C9981" s="2">
        <v>1254.5730000000001</v>
      </c>
      <c r="D9981" s="2">
        <f>HYPERLINK("http://mcb-m6.bioreg.kyushu-u.ac.jp/M3/20110404/F50762/1425/1", 35.5)</f>
        <v>35.5</v>
      </c>
      <c r="E9981" s="2">
        <v>12.8</v>
      </c>
      <c r="F9981" s="2">
        <v>1</v>
      </c>
      <c r="G9981" s="2" t="s">
        <v>9</v>
      </c>
    </row>
    <row r="9982" spans="1:9" x14ac:dyDescent="0.2">
      <c r="A9982" s="2" t="s">
        <v>5653</v>
      </c>
      <c r="B9982" s="2" t="s">
        <v>6068</v>
      </c>
      <c r="C9982" s="2">
        <v>746.27670000000001</v>
      </c>
      <c r="D9982" s="2">
        <f>HYPERLINK("http://mcb-m6.bioreg.kyushu-u.ac.jp/M3/20110404/F50762/1836/1", 40.74)</f>
        <v>40.74</v>
      </c>
      <c r="E9982" s="2">
        <v>23.96</v>
      </c>
      <c r="F9982" s="2">
        <v>2</v>
      </c>
      <c r="G9982" s="2" t="s">
        <v>9</v>
      </c>
      <c r="I9982" s="2" t="s">
        <v>4892</v>
      </c>
    </row>
    <row r="9983" spans="1:9" x14ac:dyDescent="0.2">
      <c r="A9983" s="2" t="s">
        <v>5653</v>
      </c>
      <c r="B9983" s="2" t="s">
        <v>6068</v>
      </c>
      <c r="C9983" s="2">
        <v>746.21669999999995</v>
      </c>
      <c r="D9983" s="2">
        <f>HYPERLINK("http://mcb-m6.bioreg.kyushu-u.ac.jp/M3/20110404/F50753/2035/1", 53.34)</f>
        <v>53.34</v>
      </c>
      <c r="E9983" s="2">
        <v>35.799999999999997</v>
      </c>
      <c r="F9983" s="2">
        <v>2</v>
      </c>
      <c r="G9983" s="2" t="s">
        <v>9</v>
      </c>
      <c r="I9983" s="2" t="s">
        <v>4892</v>
      </c>
    </row>
    <row r="9984" spans="1:9" x14ac:dyDescent="0.2">
      <c r="A9984" s="2" t="s">
        <v>5653</v>
      </c>
      <c r="B9984" s="2" t="s">
        <v>5375</v>
      </c>
      <c r="C9984" s="2">
        <v>842.45069999999998</v>
      </c>
      <c r="D9984" s="2">
        <f>HYPERLINK("http://mcb-m6.bioreg.kyushu-u.ac.jp/M3/20110404/F50762/2115/1", 73.55)</f>
        <v>73.55</v>
      </c>
      <c r="E9984" s="2">
        <v>61.62</v>
      </c>
      <c r="F9984" s="2">
        <v>2</v>
      </c>
      <c r="G9984" s="2" t="s">
        <v>9</v>
      </c>
    </row>
    <row r="9985" spans="1:7" x14ac:dyDescent="0.2">
      <c r="A9985" s="2" t="s">
        <v>5653</v>
      </c>
      <c r="B9985" s="2" t="s">
        <v>5270</v>
      </c>
      <c r="C9985" s="2">
        <v>648.64760000000001</v>
      </c>
      <c r="D9985" s="2">
        <f>HYPERLINK("http://mcb-m6.bioreg.kyushu-u.ac.jp/M3/20110404/F50768/1530/1", 48.34)</f>
        <v>48.34</v>
      </c>
      <c r="E9985" s="2">
        <v>30.46</v>
      </c>
      <c r="F9985" s="2">
        <v>2</v>
      </c>
      <c r="G9985" s="2" t="s">
        <v>10</v>
      </c>
    </row>
    <row r="9986" spans="1:7" x14ac:dyDescent="0.2">
      <c r="A9986" s="2" t="s">
        <v>5653</v>
      </c>
      <c r="B9986" s="2" t="s">
        <v>6922</v>
      </c>
      <c r="C9986" s="2">
        <v>779.33619999999996</v>
      </c>
      <c r="D9986" s="2">
        <f>HYPERLINK("http://mcb-m6.bioreg.kyushu-u.ac.jp/M3/20110404/F50768/2030/1", 59.96)</f>
        <v>59.96</v>
      </c>
      <c r="E9986" s="2">
        <v>41.26</v>
      </c>
      <c r="F9986" s="2">
        <v>2</v>
      </c>
      <c r="G9986" s="2" t="s">
        <v>10</v>
      </c>
    </row>
    <row r="9987" spans="1:7" x14ac:dyDescent="0.2">
      <c r="A9987" s="2" t="s">
        <v>5653</v>
      </c>
      <c r="B9987" s="2" t="s">
        <v>5917</v>
      </c>
      <c r="C9987" s="2">
        <v>627.56209999999999</v>
      </c>
      <c r="D9987" s="2">
        <f>HYPERLINK("http://mcb-m6.bioreg.kyushu-u.ac.jp/M3/20110404/F50768/1479/1", 61.28)</f>
        <v>61.28</v>
      </c>
      <c r="E9987" s="2">
        <v>45.68</v>
      </c>
      <c r="F9987" s="2">
        <v>2</v>
      </c>
      <c r="G9987" s="2" t="s">
        <v>10</v>
      </c>
    </row>
    <row r="9988" spans="1:7" x14ac:dyDescent="0.2">
      <c r="A9988" s="2" t="s">
        <v>5653</v>
      </c>
      <c r="B9988" s="2" t="s">
        <v>5375</v>
      </c>
      <c r="C9988" s="2">
        <v>842.25160000000005</v>
      </c>
      <c r="D9988" s="2">
        <f>HYPERLINK("http://mcb-m6.bioreg.kyushu-u.ac.jp/M3/20110404/F50768/2240/1", 67.22)</f>
        <v>67.22</v>
      </c>
      <c r="E9988" s="2">
        <v>53.58</v>
      </c>
      <c r="F9988" s="2">
        <v>2</v>
      </c>
      <c r="G9988" s="2" t="s">
        <v>10</v>
      </c>
    </row>
    <row r="9989" spans="1:7" x14ac:dyDescent="0.2">
      <c r="A9989" s="2" t="s">
        <v>5653</v>
      </c>
      <c r="B9989" s="2" t="s">
        <v>6996</v>
      </c>
      <c r="C9989" s="2">
        <v>585.26170000000002</v>
      </c>
      <c r="D9989" s="2">
        <f>HYPERLINK("http://mcb-m6.bioreg.kyushu-u.ac.jp/M3/20110404/F50768/1331/1", 75.79)</f>
        <v>75.790000000000006</v>
      </c>
      <c r="E9989" s="2">
        <v>36.4</v>
      </c>
      <c r="F9989" s="2">
        <v>2</v>
      </c>
      <c r="G9989" s="2" t="s">
        <v>10</v>
      </c>
    </row>
    <row r="9990" spans="1:7" x14ac:dyDescent="0.2">
      <c r="A9990" s="2" t="s">
        <v>5653</v>
      </c>
      <c r="B9990" s="2" t="s">
        <v>7014</v>
      </c>
      <c r="C9990" s="2">
        <v>867.82510000000002</v>
      </c>
      <c r="D9990" s="2">
        <f>HYPERLINK("http://mcb-m6.bioreg.kyushu-u.ac.jp/M3/20110404/F50768/2323/1", 79.99)</f>
        <v>79.989999999999995</v>
      </c>
      <c r="E9990" s="2">
        <v>62.27</v>
      </c>
      <c r="F9990" s="2">
        <v>2</v>
      </c>
      <c r="G9990" s="2" t="s">
        <v>10</v>
      </c>
    </row>
    <row r="9991" spans="1:7" x14ac:dyDescent="0.2">
      <c r="A9991" s="2" t="s">
        <v>5653</v>
      </c>
      <c r="B9991" s="2" t="s">
        <v>6922</v>
      </c>
      <c r="C9991" s="2">
        <v>779.83870000000002</v>
      </c>
      <c r="D9991" s="2">
        <f>HYPERLINK("http://mcb-m6.bioreg.kyushu-u.ac.jp/M3/20110404/F50768/2035/1", 84.99)</f>
        <v>84.99</v>
      </c>
      <c r="E9991" s="2">
        <v>54.21</v>
      </c>
      <c r="F9991" s="2">
        <v>2</v>
      </c>
      <c r="G9991" s="2" t="s">
        <v>10</v>
      </c>
    </row>
    <row r="9992" spans="1:7" x14ac:dyDescent="0.2">
      <c r="A9992" s="2" t="s">
        <v>5653</v>
      </c>
      <c r="B9992" s="2" t="s">
        <v>5398</v>
      </c>
      <c r="C9992" s="2">
        <v>547.10519999999997</v>
      </c>
      <c r="D9992" s="2">
        <f>HYPERLINK("http://mcb-m6.bioreg.kyushu-u.ac.jp/M3/20110404/F50768/1231/1", 92.75)</f>
        <v>92.75</v>
      </c>
      <c r="E9992" s="2">
        <v>67.58</v>
      </c>
      <c r="F9992" s="2">
        <v>2</v>
      </c>
      <c r="G9992" s="2" t="s">
        <v>10</v>
      </c>
    </row>
    <row r="9993" spans="1:7" x14ac:dyDescent="0.2">
      <c r="A9993" s="2" t="s">
        <v>5653</v>
      </c>
      <c r="B9993" s="2" t="s">
        <v>5398</v>
      </c>
      <c r="C9993" s="2">
        <v>547.2867</v>
      </c>
      <c r="D9993" s="2">
        <f>HYPERLINK("http://mcb-m6.bioreg.kyushu-u.ac.jp/M3/20110421/F51034/1116/1", 55.63)</f>
        <v>55.63</v>
      </c>
      <c r="E9993" s="2">
        <v>30.02</v>
      </c>
      <c r="F9993" s="2">
        <v>2</v>
      </c>
      <c r="G9993" s="2" t="s">
        <v>11</v>
      </c>
    </row>
    <row r="9994" spans="1:7" x14ac:dyDescent="0.2">
      <c r="A9994" s="2" t="s">
        <v>5653</v>
      </c>
      <c r="B9994" s="2" t="s">
        <v>6922</v>
      </c>
      <c r="C9994" s="2">
        <v>779.67269999999996</v>
      </c>
      <c r="D9994" s="2">
        <f>HYPERLINK("http://mcb-m6.bioreg.kyushu-u.ac.jp/M3/20110421/F51017/2233/1", 85.47)</f>
        <v>85.47</v>
      </c>
      <c r="E9994" s="2">
        <v>65.16</v>
      </c>
      <c r="F9994" s="2">
        <v>2</v>
      </c>
      <c r="G9994" s="2" t="s">
        <v>11</v>
      </c>
    </row>
    <row r="9995" spans="1:7" x14ac:dyDescent="0.2">
      <c r="A9995" s="2" t="s">
        <v>5653</v>
      </c>
      <c r="B9995" s="2" t="s">
        <v>5270</v>
      </c>
      <c r="C9995" s="2">
        <v>649.37570000000005</v>
      </c>
      <c r="D9995" s="2">
        <f>HYPERLINK("http://mcb-m6.bioreg.kyushu-u.ac.jp/M3/20110421/F51043/1562/1", 43.86)</f>
        <v>43.86</v>
      </c>
      <c r="E9995" s="2">
        <v>28.25</v>
      </c>
      <c r="F9995" s="2">
        <v>2</v>
      </c>
      <c r="G9995" s="2" t="s">
        <v>12</v>
      </c>
    </row>
    <row r="9996" spans="1:7" x14ac:dyDescent="0.2">
      <c r="A9996" s="2" t="s">
        <v>5653</v>
      </c>
      <c r="B9996" s="2" t="s">
        <v>5099</v>
      </c>
      <c r="C9996" s="2">
        <v>544.51419999999996</v>
      </c>
      <c r="D9996" s="2">
        <f>HYPERLINK("http://mcb-m6.bioreg.kyushu-u.ac.jp/M3/20110427/F51114/1135/1", 51.42)</f>
        <v>51.42</v>
      </c>
      <c r="E9996" s="2">
        <v>32.25</v>
      </c>
      <c r="F9996" s="2">
        <v>2</v>
      </c>
      <c r="G9996" s="2" t="s">
        <v>13</v>
      </c>
    </row>
    <row r="9997" spans="1:7" x14ac:dyDescent="0.2">
      <c r="A9997" s="2" t="s">
        <v>5653</v>
      </c>
      <c r="B9997" s="2" t="s">
        <v>5398</v>
      </c>
      <c r="C9997" s="2">
        <v>547.10019999999997</v>
      </c>
      <c r="D9997" s="2">
        <f>HYPERLINK("http://mcb-m6.bioreg.kyushu-u.ac.jp/M3/20110428/F51127/962/1", 54.72)</f>
        <v>54.72</v>
      </c>
      <c r="E9997" s="2">
        <v>35.270000000000003</v>
      </c>
      <c r="F9997" s="2">
        <v>2</v>
      </c>
      <c r="G9997" s="2" t="s">
        <v>13</v>
      </c>
    </row>
    <row r="9998" spans="1:7" x14ac:dyDescent="0.2">
      <c r="A9998" s="2" t="s">
        <v>5653</v>
      </c>
      <c r="B9998" s="2" t="s">
        <v>5099</v>
      </c>
      <c r="C9998" s="2">
        <v>545.10469999999998</v>
      </c>
      <c r="D9998" s="2">
        <f>HYPERLINK("http://mcb-m6.bioreg.kyushu-u.ac.jp/M3/20110427/F51114/1139/1", 84.39)</f>
        <v>84.39</v>
      </c>
      <c r="E9998" s="2">
        <v>62.29</v>
      </c>
      <c r="F9998" s="2">
        <v>2</v>
      </c>
      <c r="G9998" s="2" t="s">
        <v>13</v>
      </c>
    </row>
    <row r="9999" spans="1:7" x14ac:dyDescent="0.2">
      <c r="A9999" s="2" t="s">
        <v>5655</v>
      </c>
      <c r="B9999" s="2" t="s">
        <v>5103</v>
      </c>
      <c r="C9999" s="2">
        <v>723.42970000000003</v>
      </c>
      <c r="D9999" s="2">
        <f>HYPERLINK("http://mcb-m6.bioreg.kyushu-u.ac.jp/M3/20110421/F51034/1954/1", 39.1)</f>
        <v>39.1</v>
      </c>
      <c r="E9999" s="2">
        <v>19.38</v>
      </c>
      <c r="F9999" s="2">
        <v>2</v>
      </c>
      <c r="G9999" s="2" t="s">
        <v>11</v>
      </c>
    </row>
    <row r="10000" spans="1:7" x14ac:dyDescent="0.2">
      <c r="A10000" s="2" t="s">
        <v>5655</v>
      </c>
      <c r="B10000" s="2" t="s">
        <v>5103</v>
      </c>
      <c r="C10000" s="2">
        <v>723.40970000000004</v>
      </c>
      <c r="D10000" s="2">
        <f>HYPERLINK("http://mcb-m6.bioreg.kyushu-u.ac.jp/M3/20110421/F51043/1994/1", 60.34)</f>
        <v>60.34</v>
      </c>
      <c r="E10000" s="2">
        <v>37.340000000000003</v>
      </c>
      <c r="F10000" s="2">
        <v>2</v>
      </c>
      <c r="G10000" s="2" t="s">
        <v>12</v>
      </c>
    </row>
    <row r="10001" spans="1:9" x14ac:dyDescent="0.2">
      <c r="A10001" s="2" t="s">
        <v>5655</v>
      </c>
      <c r="B10001" s="2" t="s">
        <v>5103</v>
      </c>
      <c r="C10001" s="2">
        <v>722.60310000000004</v>
      </c>
      <c r="D10001" s="2">
        <f>HYPERLINK("http://mcb-m6.bioreg.kyushu-u.ac.jp/M3/20110428/F51127/1785/1", 64.53)</f>
        <v>64.53</v>
      </c>
      <c r="E10001" s="2">
        <v>43.49</v>
      </c>
      <c r="F10001" s="2">
        <v>2</v>
      </c>
      <c r="G10001" s="2" t="s">
        <v>13</v>
      </c>
    </row>
    <row r="10002" spans="1:9" x14ac:dyDescent="0.2">
      <c r="A10002" s="2" t="s">
        <v>3727</v>
      </c>
      <c r="B10002" s="2" t="s">
        <v>1723</v>
      </c>
      <c r="C10002" s="2">
        <v>793.67610000000002</v>
      </c>
      <c r="D10002" s="2">
        <f>HYPERLINK("http://mcb-m6.bioreg.kyushu-u.ac.jp/M3/20110404/F50753/2218/1", 84.48)</f>
        <v>84.48</v>
      </c>
      <c r="E10002" s="2">
        <v>58.26</v>
      </c>
      <c r="F10002" s="2">
        <v>2</v>
      </c>
      <c r="G10002" s="2" t="s">
        <v>9</v>
      </c>
    </row>
    <row r="10003" spans="1:9" x14ac:dyDescent="0.2">
      <c r="A10003" s="2" t="s">
        <v>3727</v>
      </c>
      <c r="B10003" s="2" t="s">
        <v>6670</v>
      </c>
      <c r="C10003" s="2">
        <v>1079.5630000000001</v>
      </c>
      <c r="D10003" s="2">
        <f>HYPERLINK("http://mcb-m6.bioreg.kyushu-u.ac.jp/M3/20110404/F50753/3094/1", 129.68)</f>
        <v>129.68</v>
      </c>
      <c r="E10003" s="2">
        <v>112.49</v>
      </c>
      <c r="F10003" s="2">
        <v>2</v>
      </c>
      <c r="G10003" s="2" t="s">
        <v>9</v>
      </c>
    </row>
    <row r="10004" spans="1:9" x14ac:dyDescent="0.2">
      <c r="A10004" s="2" t="s">
        <v>3727</v>
      </c>
      <c r="B10004" s="2" t="s">
        <v>1723</v>
      </c>
      <c r="C10004" s="2">
        <v>793.79420000000005</v>
      </c>
      <c r="D10004" s="2">
        <f>HYPERLINK("http://mcb-m6.bioreg.kyushu-u.ac.jp/M3/20110404/F50758/2103/1", 96.84)</f>
        <v>96.84</v>
      </c>
      <c r="E10004" s="2">
        <v>78.14</v>
      </c>
      <c r="F10004" s="2">
        <v>2</v>
      </c>
      <c r="G10004" s="2" t="s">
        <v>10</v>
      </c>
    </row>
    <row r="10005" spans="1:9" x14ac:dyDescent="0.2">
      <c r="A10005" s="2" t="s">
        <v>3727</v>
      </c>
      <c r="B10005" s="2" t="s">
        <v>1372</v>
      </c>
      <c r="C10005" s="2">
        <v>866.10820000000001</v>
      </c>
      <c r="D10005" s="2">
        <f>HYPERLINK("http://mcb-m6.bioreg.kyushu-u.ac.jp/M3/20110421/F51017/2686/1", 56.2)</f>
        <v>56.2</v>
      </c>
      <c r="E10005" s="2">
        <v>35.64</v>
      </c>
      <c r="F10005" s="2">
        <v>2</v>
      </c>
      <c r="G10005" s="2" t="s">
        <v>11</v>
      </c>
      <c r="I10005" s="2" t="s">
        <v>4903</v>
      </c>
    </row>
    <row r="10006" spans="1:9" x14ac:dyDescent="0.2">
      <c r="A10006" s="2" t="s">
        <v>3727</v>
      </c>
      <c r="B10006" s="2" t="s">
        <v>1723</v>
      </c>
      <c r="C10006" s="2">
        <v>793.61770000000001</v>
      </c>
      <c r="D10006" s="2">
        <f>HYPERLINK("http://mcb-m6.bioreg.kyushu-u.ac.jp/M3/20110421/F51017/2332/1", 91.55)</f>
        <v>91.55</v>
      </c>
      <c r="E10006" s="2">
        <v>59.92</v>
      </c>
      <c r="F10006" s="2">
        <v>2</v>
      </c>
      <c r="G10006" s="2" t="s">
        <v>11</v>
      </c>
    </row>
    <row r="10007" spans="1:9" x14ac:dyDescent="0.2">
      <c r="A10007" s="2" t="s">
        <v>3727</v>
      </c>
      <c r="B10007" s="2" t="s">
        <v>1723</v>
      </c>
      <c r="C10007" s="2">
        <v>794.18219999999997</v>
      </c>
      <c r="D10007" s="2">
        <f>HYPERLINK("http://mcb-m6.bioreg.kyushu-u.ac.jp/M3/20110421/F51017/2337/1", 99.59)</f>
        <v>99.59</v>
      </c>
      <c r="E10007" s="2">
        <v>74.739999999999995</v>
      </c>
      <c r="F10007" s="2">
        <v>2</v>
      </c>
      <c r="G10007" s="2" t="s">
        <v>11</v>
      </c>
    </row>
    <row r="10008" spans="1:9" x14ac:dyDescent="0.2">
      <c r="A10008" s="2" t="s">
        <v>3727</v>
      </c>
      <c r="B10008" s="2" t="s">
        <v>1723</v>
      </c>
      <c r="C10008" s="2">
        <v>794.22310000000004</v>
      </c>
      <c r="D10008" s="2">
        <f>HYPERLINK("http://mcb-m6.bioreg.kyushu-u.ac.jp/M3/20110421/F51023/2322/1", 57.69)</f>
        <v>57.69</v>
      </c>
      <c r="E10008" s="2">
        <v>34.39</v>
      </c>
      <c r="F10008" s="2">
        <v>2</v>
      </c>
      <c r="G10008" s="2" t="s">
        <v>12</v>
      </c>
    </row>
    <row r="10009" spans="1:9" x14ac:dyDescent="0.2">
      <c r="A10009" s="2" t="s">
        <v>3727</v>
      </c>
      <c r="B10009" s="2" t="s">
        <v>1723</v>
      </c>
      <c r="C10009" s="2">
        <v>793.67110000000002</v>
      </c>
      <c r="D10009" s="2">
        <f>HYPERLINK("http://mcb-m6.bioreg.kyushu-u.ac.jp/M3/20110427/F51111/2411/1", 53.63)</f>
        <v>53.63</v>
      </c>
      <c r="E10009" s="2">
        <v>36.92</v>
      </c>
      <c r="F10009" s="2">
        <v>2</v>
      </c>
      <c r="G10009" s="2" t="s">
        <v>13</v>
      </c>
    </row>
    <row r="10010" spans="1:9" x14ac:dyDescent="0.2">
      <c r="A10010" s="2" t="s">
        <v>3727</v>
      </c>
      <c r="B10010" s="2" t="s">
        <v>723</v>
      </c>
      <c r="C10010" s="2">
        <v>597.74109999999996</v>
      </c>
      <c r="D10010" s="2">
        <f>HYPERLINK("http://mcb-m6.bioreg.kyushu-u.ac.jp/M3/20110427/F51111/1552/1", 58.63)</f>
        <v>58.63</v>
      </c>
      <c r="E10010" s="2">
        <v>28.79</v>
      </c>
      <c r="F10010" s="2">
        <v>2</v>
      </c>
      <c r="G10010" s="2" t="s">
        <v>13</v>
      </c>
    </row>
    <row r="10011" spans="1:9" x14ac:dyDescent="0.2">
      <c r="A10011" s="2" t="s">
        <v>3647</v>
      </c>
      <c r="B10011" s="2" t="s">
        <v>573</v>
      </c>
      <c r="C10011" s="2">
        <v>903.33799999999997</v>
      </c>
      <c r="D10011" s="2">
        <f>HYPERLINK("http://mcb-m6.bioreg.kyushu-u.ac.jp/M3/20110427/F51111/852/2", 39.93)</f>
        <v>39.93</v>
      </c>
      <c r="E10011" s="2">
        <v>11.16</v>
      </c>
      <c r="F10011" s="2">
        <v>1</v>
      </c>
      <c r="G10011" s="2" t="s">
        <v>13</v>
      </c>
    </row>
    <row r="10012" spans="1:9" x14ac:dyDescent="0.2">
      <c r="A10012" s="2" t="s">
        <v>3647</v>
      </c>
      <c r="B10012" s="2" t="s">
        <v>573</v>
      </c>
      <c r="C10012" s="2">
        <v>452.17410000000001</v>
      </c>
      <c r="D10012" s="2">
        <f>HYPERLINK("http://mcb-m6.bioreg.kyushu-u.ac.jp/M3/20110427/F51111/853/2", 58.81)</f>
        <v>58.81</v>
      </c>
      <c r="E10012" s="2">
        <v>26.84</v>
      </c>
      <c r="F10012" s="2">
        <v>2</v>
      </c>
      <c r="G10012" s="2" t="s">
        <v>13</v>
      </c>
    </row>
    <row r="10013" spans="1:9" x14ac:dyDescent="0.2">
      <c r="A10013" s="2" t="s">
        <v>7853</v>
      </c>
      <c r="B10013" s="2" t="s">
        <v>6832</v>
      </c>
      <c r="C10013" s="2">
        <v>792.10609999999997</v>
      </c>
      <c r="D10013" s="2">
        <f>HYPERLINK("http://mcb-m6.bioreg.kyushu-u.ac.jp/M3/20110404/F50771/2113/1", 47.81)</f>
        <v>47.81</v>
      </c>
      <c r="E10013" s="2">
        <v>33.67</v>
      </c>
      <c r="F10013" s="2">
        <v>2</v>
      </c>
      <c r="G10013" s="2" t="s">
        <v>10</v>
      </c>
    </row>
    <row r="10014" spans="1:9" x14ac:dyDescent="0.2">
      <c r="A10014" s="2" t="s">
        <v>7853</v>
      </c>
      <c r="B10014" s="2" t="s">
        <v>6883</v>
      </c>
      <c r="C10014" s="2">
        <v>710.24469999999997</v>
      </c>
      <c r="D10014" s="2">
        <f>HYPERLINK("http://mcb-m6.bioreg.kyushu-u.ac.jp/M3/20110404/F50781/1703/1", 53.3)</f>
        <v>53.3</v>
      </c>
      <c r="E10014" s="2">
        <v>32.18</v>
      </c>
      <c r="F10014" s="2">
        <v>2</v>
      </c>
      <c r="G10014" s="2" t="s">
        <v>10</v>
      </c>
    </row>
    <row r="10015" spans="1:9" x14ac:dyDescent="0.2">
      <c r="A10015" s="2" t="s">
        <v>7853</v>
      </c>
      <c r="B10015" s="2" t="s">
        <v>6832</v>
      </c>
      <c r="C10015" s="2">
        <v>791.65920000000006</v>
      </c>
      <c r="D10015" s="2">
        <f>HYPERLINK("http://mcb-m6.bioreg.kyushu-u.ac.jp/M3/20110427/F51111/2400/1", 77.91)</f>
        <v>77.91</v>
      </c>
      <c r="E10015" s="2">
        <v>60.35</v>
      </c>
      <c r="F10015" s="2">
        <v>2</v>
      </c>
      <c r="G10015" s="2" t="s">
        <v>13</v>
      </c>
    </row>
    <row r="10016" spans="1:9" x14ac:dyDescent="0.2">
      <c r="A10016" s="2" t="s">
        <v>5724</v>
      </c>
      <c r="B10016" s="2" t="s">
        <v>5301</v>
      </c>
      <c r="C10016" s="2">
        <v>695.23170000000005</v>
      </c>
      <c r="D10016" s="2">
        <f>HYPERLINK("http://mcb-m6.bioreg.kyushu-u.ac.jp/M3/20110404/F50760/1621/1", 69.54)</f>
        <v>69.540000000000006</v>
      </c>
      <c r="E10016" s="2">
        <v>45.87</v>
      </c>
      <c r="F10016" s="2">
        <v>2</v>
      </c>
      <c r="G10016" s="2" t="s">
        <v>10</v>
      </c>
    </row>
    <row r="10017" spans="1:9" x14ac:dyDescent="0.2">
      <c r="A10017" s="2" t="s">
        <v>7630</v>
      </c>
      <c r="B10017" s="2" t="s">
        <v>6165</v>
      </c>
      <c r="C10017" s="2">
        <v>514.79060000000004</v>
      </c>
      <c r="D10017" s="2">
        <f>HYPERLINK("http://mcb-m6.bioreg.kyushu-u.ac.jp/M3/20110404/F50755/1086/1", 45.25)</f>
        <v>45.25</v>
      </c>
      <c r="E10017" s="2">
        <v>16.57</v>
      </c>
      <c r="F10017" s="2">
        <v>2</v>
      </c>
      <c r="G10017" s="2" t="s">
        <v>9</v>
      </c>
    </row>
    <row r="10018" spans="1:9" x14ac:dyDescent="0.2">
      <c r="A10018" s="2" t="s">
        <v>7630</v>
      </c>
      <c r="B10018" s="2" t="s">
        <v>6165</v>
      </c>
      <c r="C10018" s="2">
        <v>515.26120000000003</v>
      </c>
      <c r="D10018" s="2">
        <f>HYPERLINK("http://mcb-m6.bioreg.kyushu-u.ac.jp/M3/20110428/F51131/829/1", 45.14)</f>
        <v>45.14</v>
      </c>
      <c r="E10018" s="2">
        <v>15.04</v>
      </c>
      <c r="F10018" s="2">
        <v>2</v>
      </c>
      <c r="G10018" s="2" t="s">
        <v>13</v>
      </c>
    </row>
    <row r="10019" spans="1:9" x14ac:dyDescent="0.2">
      <c r="A10019" s="2" t="s">
        <v>7630</v>
      </c>
      <c r="B10019" s="2" t="s">
        <v>6165</v>
      </c>
      <c r="C10019" s="2">
        <v>514.73910000000001</v>
      </c>
      <c r="D10019" s="2">
        <f>HYPERLINK("http://mcb-m6.bioreg.kyushu-u.ac.jp/M3/20110428/F51131/824/1", 47.17)</f>
        <v>47.17</v>
      </c>
      <c r="E10019" s="2">
        <v>6.11</v>
      </c>
      <c r="F10019" s="2">
        <v>2</v>
      </c>
      <c r="G10019" s="2" t="s">
        <v>13</v>
      </c>
    </row>
    <row r="10020" spans="1:9" x14ac:dyDescent="0.2">
      <c r="A10020" s="2" t="s">
        <v>3319</v>
      </c>
      <c r="B10020" s="2" t="s">
        <v>2204</v>
      </c>
      <c r="C10020" s="2">
        <v>966.56200000000001</v>
      </c>
      <c r="D10020" s="2">
        <f>HYPERLINK("http://mcb-m6.bioreg.kyushu-u.ac.jp/M3/20110404/F50779/726/1", 35.16)</f>
        <v>35.159999999999997</v>
      </c>
      <c r="E10020" s="2">
        <v>18.079999999999998</v>
      </c>
      <c r="F10020" s="2">
        <v>1</v>
      </c>
      <c r="G10020" s="2" t="s">
        <v>9</v>
      </c>
      <c r="I10020" s="2" t="s">
        <v>4903</v>
      </c>
    </row>
    <row r="10021" spans="1:9" x14ac:dyDescent="0.2">
      <c r="A10021" s="2" t="s">
        <v>3319</v>
      </c>
      <c r="B10021" s="2" t="s">
        <v>2070</v>
      </c>
      <c r="C10021" s="2">
        <v>1427.7560000000001</v>
      </c>
      <c r="D10021" s="2">
        <f>HYPERLINK("http://mcb-m6.bioreg.kyushu-u.ac.jp/M3/20110404/F50779/1602/1", 35.59)</f>
        <v>35.590000000000003</v>
      </c>
      <c r="E10021" s="2">
        <v>21.71</v>
      </c>
      <c r="F10021" s="2">
        <v>1</v>
      </c>
      <c r="G10021" s="2" t="s">
        <v>9</v>
      </c>
    </row>
    <row r="10022" spans="1:9" x14ac:dyDescent="0.2">
      <c r="A10022" s="2" t="s">
        <v>3319</v>
      </c>
      <c r="B10022" s="2" t="s">
        <v>1051</v>
      </c>
      <c r="C10022" s="2">
        <v>512.66279999999995</v>
      </c>
      <c r="D10022" s="2">
        <f>HYPERLINK("http://mcb-m6.bioreg.kyushu-u.ac.jp/M3/20110404/F50779/1879/1", 39.05)</f>
        <v>39.049999999999997</v>
      </c>
      <c r="E10022" s="2">
        <v>25.71</v>
      </c>
      <c r="F10022" s="2">
        <v>3</v>
      </c>
      <c r="G10022" s="2" t="s">
        <v>9</v>
      </c>
    </row>
    <row r="10023" spans="1:9" x14ac:dyDescent="0.2">
      <c r="A10023" s="2" t="s">
        <v>3319</v>
      </c>
      <c r="B10023" s="2" t="s">
        <v>987</v>
      </c>
      <c r="C10023" s="2">
        <v>752.92610000000002</v>
      </c>
      <c r="D10023" s="2">
        <f>HYPERLINK("http://mcb-m6.bioreg.kyushu-u.ac.jp/M3/20110404/F50767/1788/1", 39.61)</f>
        <v>39.61</v>
      </c>
      <c r="E10023" s="2">
        <v>22.61</v>
      </c>
      <c r="F10023" s="2">
        <v>2</v>
      </c>
      <c r="G10023" s="2" t="s">
        <v>9</v>
      </c>
    </row>
    <row r="10024" spans="1:9" x14ac:dyDescent="0.2">
      <c r="A10024" s="2" t="s">
        <v>3319</v>
      </c>
      <c r="B10024" s="2" t="s">
        <v>1749</v>
      </c>
      <c r="C10024" s="2">
        <v>778.79669999999999</v>
      </c>
      <c r="D10024" s="2">
        <f>HYPERLINK("http://mcb-m6.bioreg.kyushu-u.ac.jp/M3/20110404/F50765/2014/1", 39.75)</f>
        <v>39.75</v>
      </c>
      <c r="E10024" s="2">
        <v>24.79</v>
      </c>
      <c r="F10024" s="2">
        <v>2</v>
      </c>
      <c r="G10024" s="2" t="s">
        <v>9</v>
      </c>
    </row>
    <row r="10025" spans="1:9" x14ac:dyDescent="0.2">
      <c r="A10025" s="2" t="s">
        <v>3319</v>
      </c>
      <c r="B10025" s="2" t="s">
        <v>5070</v>
      </c>
      <c r="C10025" s="2">
        <v>459.77260000000001</v>
      </c>
      <c r="D10025" s="2">
        <f>HYPERLINK("http://mcb-m6.bioreg.kyushu-u.ac.jp/M3/20110404/F50778/671/1", 40.34)</f>
        <v>40.340000000000003</v>
      </c>
      <c r="E10025" s="2">
        <v>13.96</v>
      </c>
      <c r="F10025" s="2">
        <v>2</v>
      </c>
      <c r="G10025" s="2" t="s">
        <v>9</v>
      </c>
    </row>
    <row r="10026" spans="1:9" x14ac:dyDescent="0.2">
      <c r="A10026" s="2" t="s">
        <v>3319</v>
      </c>
      <c r="B10026" s="2" t="s">
        <v>2181</v>
      </c>
      <c r="C10026" s="2">
        <v>496.25360000000001</v>
      </c>
      <c r="D10026" s="2">
        <f>HYPERLINK("http://mcb-m6.bioreg.kyushu-u.ac.jp/M3/20110404/F50778/810/1", 40.49)</f>
        <v>40.49</v>
      </c>
      <c r="E10026" s="2">
        <v>27.54</v>
      </c>
      <c r="F10026" s="2">
        <v>2</v>
      </c>
      <c r="G10026" s="2" t="s">
        <v>9</v>
      </c>
    </row>
    <row r="10027" spans="1:9" x14ac:dyDescent="0.2">
      <c r="A10027" s="2" t="s">
        <v>3319</v>
      </c>
      <c r="B10027" s="2" t="s">
        <v>5009</v>
      </c>
      <c r="C10027" s="2">
        <v>506.32260000000002</v>
      </c>
      <c r="D10027" s="2">
        <f>HYPERLINK("http://mcb-m6.bioreg.kyushu-u.ac.jp/M3/20110404/F50779/802/1", 40.6)</f>
        <v>40.6</v>
      </c>
      <c r="E10027" s="2">
        <v>13.82</v>
      </c>
      <c r="F10027" s="2">
        <v>2</v>
      </c>
      <c r="G10027" s="2" t="s">
        <v>9</v>
      </c>
    </row>
    <row r="10028" spans="1:9" x14ac:dyDescent="0.2">
      <c r="A10028" s="2" t="s">
        <v>3319</v>
      </c>
      <c r="B10028" s="2" t="s">
        <v>2093</v>
      </c>
      <c r="C10028" s="2">
        <v>797.75019999999995</v>
      </c>
      <c r="D10028" s="2">
        <f>HYPERLINK("http://mcb-m6.bioreg.kyushu-u.ac.jp/M3/20110404/F50766/1907/1", 42.37)</f>
        <v>42.37</v>
      </c>
      <c r="E10028" s="2">
        <v>16.670000000000002</v>
      </c>
      <c r="F10028" s="2">
        <v>2</v>
      </c>
      <c r="G10028" s="2" t="s">
        <v>9</v>
      </c>
    </row>
    <row r="10029" spans="1:9" x14ac:dyDescent="0.2">
      <c r="A10029" s="2" t="s">
        <v>3319</v>
      </c>
      <c r="B10029" s="2" t="s">
        <v>6102</v>
      </c>
      <c r="C10029" s="2">
        <v>953.96770000000004</v>
      </c>
      <c r="D10029" s="2">
        <f>HYPERLINK("http://mcb-m6.bioreg.kyushu-u.ac.jp/M3/20110404/F50779/2685/1", 42.62)</f>
        <v>42.62</v>
      </c>
      <c r="E10029" s="2">
        <v>35.19</v>
      </c>
      <c r="F10029" s="2">
        <v>2</v>
      </c>
      <c r="G10029" s="2" t="s">
        <v>9</v>
      </c>
      <c r="I10029" s="2" t="s">
        <v>4892</v>
      </c>
    </row>
    <row r="10030" spans="1:9" x14ac:dyDescent="0.2">
      <c r="A10030" s="2" t="s">
        <v>3319</v>
      </c>
      <c r="B10030" s="2" t="s">
        <v>2609</v>
      </c>
      <c r="C10030" s="2">
        <v>630.82510000000002</v>
      </c>
      <c r="D10030" s="2">
        <f>HYPERLINK("http://mcb-m6.bioreg.kyushu-u.ac.jp/M3/20110404/F50752/1768/1", 42.85)</f>
        <v>42.85</v>
      </c>
      <c r="E10030" s="2">
        <v>20.13</v>
      </c>
      <c r="F10030" s="2">
        <v>2</v>
      </c>
      <c r="G10030" s="2" t="s">
        <v>9</v>
      </c>
      <c r="I10030" s="2" t="s">
        <v>4892</v>
      </c>
    </row>
    <row r="10031" spans="1:9" x14ac:dyDescent="0.2">
      <c r="A10031" s="2" t="s">
        <v>3319</v>
      </c>
      <c r="B10031" s="2" t="s">
        <v>2544</v>
      </c>
      <c r="C10031" s="2">
        <v>696.12620000000004</v>
      </c>
      <c r="D10031" s="2">
        <f>HYPERLINK("http://mcb-m6.bioreg.kyushu-u.ac.jp/M3/20110404/F50765/1621/1", 43.34)</f>
        <v>43.34</v>
      </c>
      <c r="E10031" s="2">
        <v>28.11</v>
      </c>
      <c r="F10031" s="2">
        <v>2</v>
      </c>
      <c r="G10031" s="2" t="s">
        <v>9</v>
      </c>
      <c r="I10031" s="2" t="s">
        <v>4903</v>
      </c>
    </row>
    <row r="10032" spans="1:9" x14ac:dyDescent="0.2">
      <c r="A10032" s="2" t="s">
        <v>3319</v>
      </c>
      <c r="B10032" s="2" t="s">
        <v>2392</v>
      </c>
      <c r="C10032" s="2">
        <v>897.4307</v>
      </c>
      <c r="D10032" s="2">
        <f>HYPERLINK("http://mcb-m6.bioreg.kyushu-u.ac.jp/M3/20110404/F50778/2577/1", 43.59)</f>
        <v>43.59</v>
      </c>
      <c r="E10032" s="2">
        <v>28.33</v>
      </c>
      <c r="F10032" s="2">
        <v>2</v>
      </c>
      <c r="G10032" s="2" t="s">
        <v>9</v>
      </c>
      <c r="I10032" s="2" t="s">
        <v>4895</v>
      </c>
    </row>
    <row r="10033" spans="1:9" x14ac:dyDescent="0.2">
      <c r="A10033" s="2" t="s">
        <v>3319</v>
      </c>
      <c r="B10033" s="2" t="s">
        <v>2222</v>
      </c>
      <c r="C10033" s="2">
        <v>525.29319999999996</v>
      </c>
      <c r="D10033" s="2">
        <f>HYPERLINK("http://mcb-m6.bioreg.kyushu-u.ac.jp/M3/20110404/F50778/920/1", 44.24)</f>
        <v>44.24</v>
      </c>
      <c r="E10033" s="2">
        <v>29.53</v>
      </c>
      <c r="F10033" s="2">
        <v>2</v>
      </c>
      <c r="G10033" s="2" t="s">
        <v>9</v>
      </c>
    </row>
    <row r="10034" spans="1:9" x14ac:dyDescent="0.2">
      <c r="A10034" s="2" t="s">
        <v>3319</v>
      </c>
      <c r="B10034" s="2" t="s">
        <v>5257</v>
      </c>
      <c r="C10034" s="2">
        <v>1033.5139999999999</v>
      </c>
      <c r="D10034" s="2">
        <f>HYPERLINK("http://mcb-m6.bioreg.kyushu-u.ac.jp/M3/20110404/F50779/820/1", 44.69)</f>
        <v>44.69</v>
      </c>
      <c r="E10034" s="2">
        <v>30.73</v>
      </c>
      <c r="F10034" s="2">
        <v>1</v>
      </c>
      <c r="G10034" s="2" t="s">
        <v>9</v>
      </c>
    </row>
    <row r="10035" spans="1:9" x14ac:dyDescent="0.2">
      <c r="A10035" s="2" t="s">
        <v>3319</v>
      </c>
      <c r="B10035" s="2" t="s">
        <v>1280</v>
      </c>
      <c r="C10035" s="2">
        <v>623.90769999999998</v>
      </c>
      <c r="D10035" s="2">
        <f>HYPERLINK("http://mcb-m6.bioreg.kyushu-u.ac.jp/M3/20110404/F50779/1215/1", 46.05)</f>
        <v>46.05</v>
      </c>
      <c r="E10035" s="2">
        <v>33.159999999999997</v>
      </c>
      <c r="F10035" s="2">
        <v>2</v>
      </c>
      <c r="G10035" s="2" t="s">
        <v>9</v>
      </c>
    </row>
    <row r="10036" spans="1:9" x14ac:dyDescent="0.2">
      <c r="A10036" s="2" t="s">
        <v>3319</v>
      </c>
      <c r="B10036" s="2" t="s">
        <v>1324</v>
      </c>
      <c r="C10036" s="2">
        <v>581.75120000000004</v>
      </c>
      <c r="D10036" s="2">
        <f>HYPERLINK("http://mcb-m6.bioreg.kyushu-u.ac.jp/M3/20110404/F50778/1093/1", 46.53)</f>
        <v>46.53</v>
      </c>
      <c r="E10036" s="2">
        <v>21.67</v>
      </c>
      <c r="F10036" s="2">
        <v>2</v>
      </c>
      <c r="G10036" s="2" t="s">
        <v>9</v>
      </c>
    </row>
    <row r="10037" spans="1:9" x14ac:dyDescent="0.2">
      <c r="A10037" s="2" t="s">
        <v>3319</v>
      </c>
      <c r="B10037" s="2" t="s">
        <v>566</v>
      </c>
      <c r="C10037" s="2">
        <v>1058.626</v>
      </c>
      <c r="D10037" s="2">
        <f>HYPERLINK("http://mcb-m6.bioreg.kyushu-u.ac.jp/M3/20110404/F50779/871/1", 46.63)</f>
        <v>46.63</v>
      </c>
      <c r="E10037" s="2">
        <v>14.81</v>
      </c>
      <c r="F10037" s="2">
        <v>1</v>
      </c>
      <c r="G10037" s="2" t="s">
        <v>9</v>
      </c>
    </row>
    <row r="10038" spans="1:9" x14ac:dyDescent="0.2">
      <c r="A10038" s="2" t="s">
        <v>3319</v>
      </c>
      <c r="B10038" s="2" t="s">
        <v>2526</v>
      </c>
      <c r="C10038" s="2">
        <v>704.80619999999999</v>
      </c>
      <c r="D10038" s="2">
        <f>HYPERLINK("http://mcb-m6.bioreg.kyushu-u.ac.jp/M3/20110404/F50778/1619/1", 46.71)</f>
        <v>46.71</v>
      </c>
      <c r="E10038" s="2">
        <v>33.840000000000003</v>
      </c>
      <c r="F10038" s="2">
        <v>2</v>
      </c>
      <c r="G10038" s="2" t="s">
        <v>9</v>
      </c>
    </row>
    <row r="10039" spans="1:9" x14ac:dyDescent="0.2">
      <c r="A10039" s="2" t="s">
        <v>3319</v>
      </c>
      <c r="B10039" s="2" t="s">
        <v>5070</v>
      </c>
      <c r="C10039" s="2">
        <v>460.33909999999997</v>
      </c>
      <c r="D10039" s="2">
        <f>HYPERLINK("http://mcb-m6.bioreg.kyushu-u.ac.jp/M3/20110404/F50763/921/1", 46.74)</f>
        <v>46.74</v>
      </c>
      <c r="E10039" s="2">
        <v>9.34</v>
      </c>
      <c r="F10039" s="2">
        <v>2</v>
      </c>
      <c r="G10039" s="2" t="s">
        <v>9</v>
      </c>
    </row>
    <row r="10040" spans="1:9" x14ac:dyDescent="0.2">
      <c r="A10040" s="2" t="s">
        <v>3319</v>
      </c>
      <c r="B10040" s="2" t="s">
        <v>1826</v>
      </c>
      <c r="C10040" s="2">
        <v>1377.5150000000001</v>
      </c>
      <c r="D10040" s="2">
        <f>HYPERLINK("http://mcb-m6.bioreg.kyushu-u.ac.jp/M3/20110404/F50779/1458/1", 46.78)</f>
        <v>46.78</v>
      </c>
      <c r="E10040" s="2">
        <v>33.369999999999997</v>
      </c>
      <c r="F10040" s="2">
        <v>1</v>
      </c>
      <c r="G10040" s="2" t="s">
        <v>9</v>
      </c>
    </row>
    <row r="10041" spans="1:9" x14ac:dyDescent="0.2">
      <c r="A10041" s="2" t="s">
        <v>3319</v>
      </c>
      <c r="B10041" s="2" t="s">
        <v>2505</v>
      </c>
      <c r="C10041" s="2">
        <v>864.33720000000005</v>
      </c>
      <c r="D10041" s="2">
        <f>HYPERLINK("http://mcb-m6.bioreg.kyushu-u.ac.jp/M3/20110404/F50767/2296/1", 46.83)</f>
        <v>46.83</v>
      </c>
      <c r="E10041" s="2">
        <v>36.22</v>
      </c>
      <c r="F10041" s="2">
        <v>2</v>
      </c>
      <c r="G10041" s="2" t="s">
        <v>9</v>
      </c>
      <c r="I10041" s="2" t="s">
        <v>4918</v>
      </c>
    </row>
    <row r="10042" spans="1:9" x14ac:dyDescent="0.2">
      <c r="A10042" s="2" t="s">
        <v>3319</v>
      </c>
      <c r="B10042" s="2" t="s">
        <v>566</v>
      </c>
      <c r="C10042" s="2">
        <v>1059.049</v>
      </c>
      <c r="D10042" s="2">
        <f>HYPERLINK("http://mcb-m6.bioreg.kyushu-u.ac.jp/M3/20110404/F50764/1099/1", 47.1)</f>
        <v>47.1</v>
      </c>
      <c r="E10042" s="2">
        <v>14.99</v>
      </c>
      <c r="F10042" s="2">
        <v>1</v>
      </c>
      <c r="G10042" s="2" t="s">
        <v>9</v>
      </c>
    </row>
    <row r="10043" spans="1:9" x14ac:dyDescent="0.2">
      <c r="A10043" s="2" t="s">
        <v>3319</v>
      </c>
      <c r="B10043" s="2" t="s">
        <v>2609</v>
      </c>
      <c r="C10043" s="2">
        <v>630.74270000000001</v>
      </c>
      <c r="D10043" s="2">
        <f>HYPERLINK("http://mcb-m6.bioreg.kyushu-u.ac.jp/M3/20110404/F50778/1302/1", 47.44)</f>
        <v>47.44</v>
      </c>
      <c r="E10043" s="2">
        <v>23.89</v>
      </c>
      <c r="F10043" s="2">
        <v>2</v>
      </c>
      <c r="G10043" s="2" t="s">
        <v>9</v>
      </c>
      <c r="I10043" s="2" t="s">
        <v>4892</v>
      </c>
    </row>
    <row r="10044" spans="1:9" x14ac:dyDescent="0.2">
      <c r="A10044" s="2" t="s">
        <v>3319</v>
      </c>
      <c r="B10044" s="2" t="s">
        <v>3047</v>
      </c>
      <c r="C10044" s="2">
        <v>467.15359999999998</v>
      </c>
      <c r="D10044" s="2">
        <f>HYPERLINK("http://mcb-m6.bioreg.kyushu-u.ac.jp/M3/20110404/F50779/649/1", 47.63)</f>
        <v>47.63</v>
      </c>
      <c r="E10044" s="2">
        <v>21.91</v>
      </c>
      <c r="F10044" s="2">
        <v>2</v>
      </c>
      <c r="G10044" s="2" t="s">
        <v>9</v>
      </c>
    </row>
    <row r="10045" spans="1:9" x14ac:dyDescent="0.2">
      <c r="A10045" s="2" t="s">
        <v>3319</v>
      </c>
      <c r="B10045" s="2" t="s">
        <v>2544</v>
      </c>
      <c r="C10045" s="2">
        <v>695.5566</v>
      </c>
      <c r="D10045" s="2">
        <f>HYPERLINK("http://mcb-m6.bioreg.kyushu-u.ac.jp/M3/20110404/F50764/1667/1", 47.64)</f>
        <v>47.64</v>
      </c>
      <c r="E10045" s="2">
        <v>25.24</v>
      </c>
      <c r="F10045" s="2">
        <v>2</v>
      </c>
      <c r="G10045" s="2" t="s">
        <v>9</v>
      </c>
      <c r="I10045" s="2" t="s">
        <v>4903</v>
      </c>
    </row>
    <row r="10046" spans="1:9" x14ac:dyDescent="0.2">
      <c r="A10046" s="2" t="s">
        <v>3319</v>
      </c>
      <c r="B10046" s="2" t="s">
        <v>1420</v>
      </c>
      <c r="C10046" s="2">
        <v>1108.723</v>
      </c>
      <c r="D10046" s="2">
        <f>HYPERLINK("http://mcb-m6.bioreg.kyushu-u.ac.jp/M3/20110404/F50779/939/1", 48.42)</f>
        <v>48.42</v>
      </c>
      <c r="E10046" s="2">
        <v>20.49</v>
      </c>
      <c r="F10046" s="2">
        <v>1</v>
      </c>
      <c r="G10046" s="2" t="s">
        <v>9</v>
      </c>
    </row>
    <row r="10047" spans="1:9" x14ac:dyDescent="0.2">
      <c r="A10047" s="2" t="s">
        <v>3319</v>
      </c>
      <c r="B10047" s="2" t="s">
        <v>566</v>
      </c>
      <c r="C10047" s="2">
        <v>1058.546</v>
      </c>
      <c r="D10047" s="2">
        <f>HYPERLINK("http://mcb-m6.bioreg.kyushu-u.ac.jp/M3/20110404/F50778/929/1", 48.47)</f>
        <v>48.47</v>
      </c>
      <c r="E10047" s="2">
        <v>16.510000000000002</v>
      </c>
      <c r="F10047" s="2">
        <v>1</v>
      </c>
      <c r="G10047" s="2" t="s">
        <v>9</v>
      </c>
    </row>
    <row r="10048" spans="1:9" x14ac:dyDescent="0.2">
      <c r="A10048" s="2" t="s">
        <v>3319</v>
      </c>
      <c r="B10048" s="2" t="s">
        <v>638</v>
      </c>
      <c r="C10048" s="2">
        <v>1112.5999999999999</v>
      </c>
      <c r="D10048" s="2">
        <f>HYPERLINK("http://mcb-m6.bioreg.kyushu-u.ac.jp/M3/20110404/F50779/946/1", 48.81)</f>
        <v>48.81</v>
      </c>
      <c r="E10048" s="2">
        <v>35.03</v>
      </c>
      <c r="F10048" s="2">
        <v>1</v>
      </c>
      <c r="G10048" s="2" t="s">
        <v>9</v>
      </c>
    </row>
    <row r="10049" spans="1:9" x14ac:dyDescent="0.2">
      <c r="A10049" s="2" t="s">
        <v>3319</v>
      </c>
      <c r="B10049" s="2" t="s">
        <v>2526</v>
      </c>
      <c r="C10049" s="2">
        <v>704.47609999999997</v>
      </c>
      <c r="D10049" s="2">
        <f>HYPERLINK("http://mcb-m6.bioreg.kyushu-u.ac.jp/M3/20110404/F50779/1537/1", 49.22)</f>
        <v>49.22</v>
      </c>
      <c r="E10049" s="2">
        <v>34.83</v>
      </c>
      <c r="F10049" s="2">
        <v>2</v>
      </c>
      <c r="G10049" s="2" t="s">
        <v>9</v>
      </c>
    </row>
    <row r="10050" spans="1:9" x14ac:dyDescent="0.2">
      <c r="A10050" s="2" t="s">
        <v>3319</v>
      </c>
      <c r="B10050" s="2" t="s">
        <v>1420</v>
      </c>
      <c r="C10050" s="2">
        <v>554.77260000000001</v>
      </c>
      <c r="D10050" s="2">
        <f>HYPERLINK("http://mcb-m6.bioreg.kyushu-u.ac.jp/M3/20110404/F50778/1014/1", 49.32)</f>
        <v>49.32</v>
      </c>
      <c r="E10050" s="2">
        <v>11.71</v>
      </c>
      <c r="F10050" s="2">
        <v>2</v>
      </c>
      <c r="G10050" s="2" t="s">
        <v>9</v>
      </c>
    </row>
    <row r="10051" spans="1:9" x14ac:dyDescent="0.2">
      <c r="A10051" s="2" t="s">
        <v>3319</v>
      </c>
      <c r="B10051" s="2" t="s">
        <v>5009</v>
      </c>
      <c r="C10051" s="2">
        <v>506.2321</v>
      </c>
      <c r="D10051" s="2">
        <f>HYPERLINK("http://mcb-m6.bioreg.kyushu-u.ac.jp/M3/20110404/F50764/1022/1", 50.31)</f>
        <v>50.31</v>
      </c>
      <c r="E10051" s="2">
        <v>26.09</v>
      </c>
      <c r="F10051" s="2">
        <v>2</v>
      </c>
      <c r="G10051" s="2" t="s">
        <v>9</v>
      </c>
    </row>
    <row r="10052" spans="1:9" x14ac:dyDescent="0.2">
      <c r="A10052" s="2" t="s">
        <v>3319</v>
      </c>
      <c r="B10052" s="2" t="s">
        <v>987</v>
      </c>
      <c r="C10052" s="2">
        <v>753.37660000000005</v>
      </c>
      <c r="D10052" s="2">
        <f>HYPERLINK("http://mcb-m6.bioreg.kyushu-u.ac.jp/M3/20110404/F50779/1812/1", 50.44)</f>
        <v>50.44</v>
      </c>
      <c r="E10052" s="2">
        <v>28.48</v>
      </c>
      <c r="F10052" s="2">
        <v>2</v>
      </c>
      <c r="G10052" s="2" t="s">
        <v>9</v>
      </c>
    </row>
    <row r="10053" spans="1:9" x14ac:dyDescent="0.2">
      <c r="A10053" s="2" t="s">
        <v>3319</v>
      </c>
      <c r="B10053" s="2" t="s">
        <v>1749</v>
      </c>
      <c r="C10053" s="2">
        <v>1555.8430000000001</v>
      </c>
      <c r="D10053" s="2">
        <f>HYPERLINK("http://mcb-m6.bioreg.kyushu-u.ac.jp/M3/20110404/F50779/1924/1", 50.8)</f>
        <v>50.8</v>
      </c>
      <c r="E10053" s="2">
        <v>40.840000000000003</v>
      </c>
      <c r="F10053" s="2">
        <v>1</v>
      </c>
      <c r="G10053" s="2" t="s">
        <v>9</v>
      </c>
    </row>
    <row r="10054" spans="1:9" x14ac:dyDescent="0.2">
      <c r="A10054" s="2" t="s">
        <v>3319</v>
      </c>
      <c r="B10054" s="2" t="s">
        <v>1938</v>
      </c>
      <c r="C10054" s="2">
        <v>479.2276</v>
      </c>
      <c r="D10054" s="2">
        <f>HYPERLINK("http://mcb-m6.bioreg.kyushu-u.ac.jp/M3/20110404/F50764/923/1", 51.3)</f>
        <v>51.3</v>
      </c>
      <c r="E10054" s="2">
        <v>15.59</v>
      </c>
      <c r="F10054" s="2">
        <v>2</v>
      </c>
      <c r="G10054" s="2" t="s">
        <v>9</v>
      </c>
    </row>
    <row r="10055" spans="1:9" x14ac:dyDescent="0.2">
      <c r="A10055" s="2" t="s">
        <v>3319</v>
      </c>
      <c r="B10055" s="2" t="s">
        <v>1938</v>
      </c>
      <c r="C10055" s="2">
        <v>479.2706</v>
      </c>
      <c r="D10055" s="2">
        <f>HYPERLINK("http://mcb-m6.bioreg.kyushu-u.ac.jp/M3/20110404/F50779/705/1", 51.59)</f>
        <v>51.59</v>
      </c>
      <c r="E10055" s="2">
        <v>19.93</v>
      </c>
      <c r="F10055" s="2">
        <v>2</v>
      </c>
      <c r="G10055" s="2" t="s">
        <v>9</v>
      </c>
    </row>
    <row r="10056" spans="1:9" x14ac:dyDescent="0.2">
      <c r="A10056" s="2" t="s">
        <v>3319</v>
      </c>
      <c r="B10056" s="2" t="s">
        <v>5070</v>
      </c>
      <c r="C10056" s="2">
        <v>459.64460000000003</v>
      </c>
      <c r="D10056" s="2">
        <f>HYPERLINK("http://mcb-m6.bioreg.kyushu-u.ac.jp/M3/20110404/F50764/833/1", 51.89)</f>
        <v>51.89</v>
      </c>
      <c r="E10056" s="2">
        <v>25.63</v>
      </c>
      <c r="F10056" s="2">
        <v>2</v>
      </c>
      <c r="G10056" s="2" t="s">
        <v>9</v>
      </c>
    </row>
    <row r="10057" spans="1:9" x14ac:dyDescent="0.2">
      <c r="A10057" s="2" t="s">
        <v>3319</v>
      </c>
      <c r="B10057" s="2" t="s">
        <v>638</v>
      </c>
      <c r="C10057" s="2">
        <v>1112.55</v>
      </c>
      <c r="D10057" s="2">
        <f>HYPERLINK("http://mcb-m6.bioreg.kyushu-u.ac.jp/M3/20110404/F50778/1025/1", 52.11)</f>
        <v>52.11</v>
      </c>
      <c r="E10057" s="2">
        <v>37.79</v>
      </c>
      <c r="F10057" s="2">
        <v>1</v>
      </c>
      <c r="G10057" s="2" t="s">
        <v>9</v>
      </c>
    </row>
    <row r="10058" spans="1:9" x14ac:dyDescent="0.2">
      <c r="A10058" s="2" t="s">
        <v>3319</v>
      </c>
      <c r="B10058" s="2" t="s">
        <v>566</v>
      </c>
      <c r="C10058" s="2">
        <v>529.82709999999997</v>
      </c>
      <c r="D10058" s="2">
        <f>HYPERLINK("http://mcb-m6.bioreg.kyushu-u.ac.jp/M3/20110404/F50779/872/1", 52.37)</f>
        <v>52.37</v>
      </c>
      <c r="E10058" s="2">
        <v>21.7</v>
      </c>
      <c r="F10058" s="2">
        <v>2</v>
      </c>
      <c r="G10058" s="2" t="s">
        <v>9</v>
      </c>
    </row>
    <row r="10059" spans="1:9" x14ac:dyDescent="0.2">
      <c r="A10059" s="2" t="s">
        <v>3319</v>
      </c>
      <c r="B10059" s="2" t="s">
        <v>987</v>
      </c>
      <c r="C10059" s="2">
        <v>752.83119999999997</v>
      </c>
      <c r="D10059" s="2">
        <f>HYPERLINK("http://mcb-m6.bioreg.kyushu-u.ac.jp/M3/20110404/F50764/1927/1", 53.26)</f>
        <v>53.26</v>
      </c>
      <c r="E10059" s="2">
        <v>34.81</v>
      </c>
      <c r="F10059" s="2">
        <v>2</v>
      </c>
      <c r="G10059" s="2" t="s">
        <v>9</v>
      </c>
    </row>
    <row r="10060" spans="1:9" x14ac:dyDescent="0.2">
      <c r="A10060" s="2" t="s">
        <v>3319</v>
      </c>
      <c r="B10060" s="2" t="s">
        <v>1929</v>
      </c>
      <c r="C10060" s="2">
        <v>696.91020000000003</v>
      </c>
      <c r="D10060" s="2">
        <f>HYPERLINK("http://mcb-m6.bioreg.kyushu-u.ac.jp/M3/20110404/F50779/1504/1", 53.54)</f>
        <v>53.54</v>
      </c>
      <c r="E10060" s="2">
        <v>31.28</v>
      </c>
      <c r="F10060" s="2">
        <v>2</v>
      </c>
      <c r="G10060" s="2" t="s">
        <v>9</v>
      </c>
    </row>
    <row r="10061" spans="1:9" x14ac:dyDescent="0.2">
      <c r="A10061" s="2" t="s">
        <v>3319</v>
      </c>
      <c r="B10061" s="2" t="s">
        <v>1420</v>
      </c>
      <c r="C10061" s="2">
        <v>554.73720000000003</v>
      </c>
      <c r="D10061" s="2">
        <f>HYPERLINK("http://mcb-m6.bioreg.kyushu-u.ac.jp/M3/20110404/F50764/1158/1", 53.55)</f>
        <v>53.55</v>
      </c>
      <c r="E10061" s="2">
        <v>11.11</v>
      </c>
      <c r="F10061" s="2">
        <v>2</v>
      </c>
      <c r="G10061" s="2" t="s">
        <v>9</v>
      </c>
    </row>
    <row r="10062" spans="1:9" x14ac:dyDescent="0.2">
      <c r="A10062" s="2" t="s">
        <v>3319</v>
      </c>
      <c r="B10062" s="2" t="s">
        <v>1938</v>
      </c>
      <c r="C10062" s="2">
        <v>479.79660000000001</v>
      </c>
      <c r="D10062" s="2">
        <f>HYPERLINK("http://mcb-m6.bioreg.kyushu-u.ac.jp/M3/20110404/F50778/763/1", 53.84)</f>
        <v>53.84</v>
      </c>
      <c r="E10062" s="2">
        <v>22.31</v>
      </c>
      <c r="F10062" s="2">
        <v>2</v>
      </c>
      <c r="G10062" s="2" t="s">
        <v>9</v>
      </c>
    </row>
    <row r="10063" spans="1:9" x14ac:dyDescent="0.2">
      <c r="A10063" s="2" t="s">
        <v>3319</v>
      </c>
      <c r="B10063" s="2" t="s">
        <v>2609</v>
      </c>
      <c r="C10063" s="2">
        <v>1260.587</v>
      </c>
      <c r="D10063" s="2">
        <f>HYPERLINK("http://mcb-m6.bioreg.kyushu-u.ac.jp/M3/20110404/F50764/1422/1", 54.08)</f>
        <v>54.08</v>
      </c>
      <c r="E10063" s="2">
        <v>34.840000000000003</v>
      </c>
      <c r="F10063" s="2">
        <v>1</v>
      </c>
      <c r="G10063" s="2" t="s">
        <v>9</v>
      </c>
      <c r="I10063" s="2" t="s">
        <v>4892</v>
      </c>
    </row>
    <row r="10064" spans="1:9" x14ac:dyDescent="0.2">
      <c r="A10064" s="2" t="s">
        <v>3319</v>
      </c>
      <c r="B10064" s="2" t="s">
        <v>1929</v>
      </c>
      <c r="C10064" s="2">
        <v>696.40809999999999</v>
      </c>
      <c r="D10064" s="2">
        <f>HYPERLINK("http://mcb-m6.bioreg.kyushu-u.ac.jp/M3/20110404/F50779/1502/1", 54.94)</f>
        <v>54.94</v>
      </c>
      <c r="E10064" s="2">
        <v>34.869999999999997</v>
      </c>
      <c r="F10064" s="2">
        <v>2</v>
      </c>
      <c r="G10064" s="2" t="s">
        <v>9</v>
      </c>
    </row>
    <row r="10065" spans="1:9" x14ac:dyDescent="0.2">
      <c r="A10065" s="2" t="s">
        <v>3319</v>
      </c>
      <c r="B10065" s="2" t="s">
        <v>1280</v>
      </c>
      <c r="C10065" s="2">
        <v>1246.6949999999999</v>
      </c>
      <c r="D10065" s="2">
        <f>HYPERLINK("http://mcb-m6.bioreg.kyushu-u.ac.jp/M3/20110404/F50779/1214/1", 55.53)</f>
        <v>55.53</v>
      </c>
      <c r="E10065" s="2">
        <v>38.130000000000003</v>
      </c>
      <c r="F10065" s="2">
        <v>1</v>
      </c>
      <c r="G10065" s="2" t="s">
        <v>9</v>
      </c>
    </row>
    <row r="10066" spans="1:9" x14ac:dyDescent="0.2">
      <c r="A10066" s="2" t="s">
        <v>3319</v>
      </c>
      <c r="B10066" s="2" t="s">
        <v>1420</v>
      </c>
      <c r="C10066" s="2">
        <v>555.20870000000002</v>
      </c>
      <c r="D10066" s="2">
        <f>HYPERLINK("http://mcb-m6.bioreg.kyushu-u.ac.jp/M3/20110404/F50765/1118/1", 55.68)</f>
        <v>55.68</v>
      </c>
      <c r="E10066" s="2">
        <v>25.01</v>
      </c>
      <c r="F10066" s="2">
        <v>2</v>
      </c>
      <c r="G10066" s="2" t="s">
        <v>9</v>
      </c>
    </row>
    <row r="10067" spans="1:9" x14ac:dyDescent="0.2">
      <c r="A10067" s="2" t="s">
        <v>3319</v>
      </c>
      <c r="B10067" s="2" t="s">
        <v>979</v>
      </c>
      <c r="C10067" s="2">
        <v>1216.471</v>
      </c>
      <c r="D10067" s="2">
        <f>HYPERLINK("http://mcb-m6.bioreg.kyushu-u.ac.jp/M3/20110404/F50764/1341/1", 55.72)</f>
        <v>55.72</v>
      </c>
      <c r="E10067" s="2">
        <v>27.51</v>
      </c>
      <c r="F10067" s="2">
        <v>1</v>
      </c>
      <c r="G10067" s="2" t="s">
        <v>9</v>
      </c>
    </row>
    <row r="10068" spans="1:9" x14ac:dyDescent="0.2">
      <c r="A10068" s="2" t="s">
        <v>3319</v>
      </c>
      <c r="B10068" s="2" t="s">
        <v>1812</v>
      </c>
      <c r="C10068" s="2">
        <v>1161.6559999999999</v>
      </c>
      <c r="D10068" s="2">
        <f>HYPERLINK("http://mcb-m6.bioreg.kyushu-u.ac.jp/M3/20110404/F50779/1030/1", 55.76)</f>
        <v>55.76</v>
      </c>
      <c r="E10068" s="2">
        <v>37.869999999999997</v>
      </c>
      <c r="F10068" s="2">
        <v>1</v>
      </c>
      <c r="G10068" s="2" t="s">
        <v>9</v>
      </c>
    </row>
    <row r="10069" spans="1:9" x14ac:dyDescent="0.2">
      <c r="A10069" s="2" t="s">
        <v>3319</v>
      </c>
      <c r="B10069" s="2" t="s">
        <v>5257</v>
      </c>
      <c r="C10069" s="2">
        <v>517.32870000000003</v>
      </c>
      <c r="D10069" s="2">
        <f>HYPERLINK("http://mcb-m6.bioreg.kyushu-u.ac.jp/M3/20110404/F50779/821/1", 56.62)</f>
        <v>56.62</v>
      </c>
      <c r="E10069" s="2">
        <v>36.049999999999997</v>
      </c>
      <c r="F10069" s="2">
        <v>2</v>
      </c>
      <c r="G10069" s="2" t="s">
        <v>9</v>
      </c>
    </row>
    <row r="10070" spans="1:9" x14ac:dyDescent="0.2">
      <c r="A10070" s="2" t="s">
        <v>3319</v>
      </c>
      <c r="B10070" s="2" t="s">
        <v>6102</v>
      </c>
      <c r="C10070" s="2">
        <v>954.38710000000003</v>
      </c>
      <c r="D10070" s="2">
        <f>HYPERLINK("http://mcb-m6.bioreg.kyushu-u.ac.jp/M3/20110404/F50778/2813/1", 56.95)</f>
        <v>56.95</v>
      </c>
      <c r="E10070" s="2">
        <v>41.79</v>
      </c>
      <c r="F10070" s="2">
        <v>2</v>
      </c>
      <c r="G10070" s="2" t="s">
        <v>9</v>
      </c>
      <c r="I10070" s="2" t="s">
        <v>4892</v>
      </c>
    </row>
    <row r="10071" spans="1:9" x14ac:dyDescent="0.2">
      <c r="A10071" s="2" t="s">
        <v>3319</v>
      </c>
      <c r="B10071" s="2" t="s">
        <v>104</v>
      </c>
      <c r="C10071" s="2">
        <v>1563.7470000000001</v>
      </c>
      <c r="D10071" s="2">
        <f>HYPERLINK("http://mcb-m6.bioreg.kyushu-u.ac.jp/M3/20110404/F50778/2048/1", 57.7)</f>
        <v>57.7</v>
      </c>
      <c r="E10071" s="2">
        <v>43.53</v>
      </c>
      <c r="F10071" s="2">
        <v>1</v>
      </c>
      <c r="G10071" s="2" t="s">
        <v>9</v>
      </c>
    </row>
    <row r="10072" spans="1:9" x14ac:dyDescent="0.2">
      <c r="A10072" s="2" t="s">
        <v>3319</v>
      </c>
      <c r="B10072" s="2" t="s">
        <v>1749</v>
      </c>
      <c r="C10072" s="2">
        <v>778.28309999999999</v>
      </c>
      <c r="D10072" s="2">
        <f>HYPERLINK("http://mcb-m6.bioreg.kyushu-u.ac.jp/M3/20110404/F50767/1912/1", 57.88)</f>
        <v>57.88</v>
      </c>
      <c r="E10072" s="2">
        <v>33.79</v>
      </c>
      <c r="F10072" s="2">
        <v>2</v>
      </c>
      <c r="G10072" s="2" t="s">
        <v>9</v>
      </c>
    </row>
    <row r="10073" spans="1:9" x14ac:dyDescent="0.2">
      <c r="A10073" s="2" t="s">
        <v>3319</v>
      </c>
      <c r="B10073" s="2" t="s">
        <v>6102</v>
      </c>
      <c r="C10073" s="2">
        <v>962.44420000000002</v>
      </c>
      <c r="D10073" s="2">
        <f>HYPERLINK("http://mcb-m6.bioreg.kyushu-u.ac.jp/M3/20110404/F50779/2722/1", 57.91)</f>
        <v>57.91</v>
      </c>
      <c r="E10073" s="2">
        <v>50.88</v>
      </c>
      <c r="F10073" s="2">
        <v>2</v>
      </c>
      <c r="G10073" s="2" t="s">
        <v>9</v>
      </c>
      <c r="H10073" s="2" t="s">
        <v>4896</v>
      </c>
      <c r="I10073" s="2" t="s">
        <v>4892</v>
      </c>
    </row>
    <row r="10074" spans="1:9" x14ac:dyDescent="0.2">
      <c r="A10074" s="2" t="s">
        <v>3319</v>
      </c>
      <c r="B10074" s="2" t="s">
        <v>524</v>
      </c>
      <c r="C10074" s="2">
        <v>586.29719999999998</v>
      </c>
      <c r="D10074" s="2">
        <f>HYPERLINK("http://mcb-m6.bioreg.kyushu-u.ac.jp/M3/20110404/F50779/1052/1", 58.11)</f>
        <v>58.11</v>
      </c>
      <c r="E10074" s="2">
        <v>35.42</v>
      </c>
      <c r="F10074" s="2">
        <v>2</v>
      </c>
      <c r="G10074" s="2" t="s">
        <v>9</v>
      </c>
    </row>
    <row r="10075" spans="1:9" x14ac:dyDescent="0.2">
      <c r="A10075" s="2" t="s">
        <v>3319</v>
      </c>
      <c r="B10075" s="2" t="s">
        <v>1812</v>
      </c>
      <c r="C10075" s="2">
        <v>581.33069999999998</v>
      </c>
      <c r="D10075" s="2">
        <f>HYPERLINK("http://mcb-m6.bioreg.kyushu-u.ac.jp/M3/20110404/F50779/1029/1", 58.82)</f>
        <v>58.82</v>
      </c>
      <c r="E10075" s="2">
        <v>34.57</v>
      </c>
      <c r="F10075" s="2">
        <v>2</v>
      </c>
      <c r="G10075" s="2" t="s">
        <v>9</v>
      </c>
    </row>
    <row r="10076" spans="1:9" x14ac:dyDescent="0.2">
      <c r="A10076" s="2" t="s">
        <v>3319</v>
      </c>
      <c r="B10076" s="2" t="s">
        <v>979</v>
      </c>
      <c r="C10076" s="2">
        <v>608.70820000000003</v>
      </c>
      <c r="D10076" s="2">
        <f>HYPERLINK("http://mcb-m6.bioreg.kyushu-u.ac.jp/M3/20110404/F50764/1339/1", 59.33)</f>
        <v>59.33</v>
      </c>
      <c r="E10076" s="2">
        <v>32.229999999999997</v>
      </c>
      <c r="F10076" s="2">
        <v>2</v>
      </c>
      <c r="G10076" s="2" t="s">
        <v>9</v>
      </c>
    </row>
    <row r="10077" spans="1:9" x14ac:dyDescent="0.2">
      <c r="A10077" s="2" t="s">
        <v>3319</v>
      </c>
      <c r="B10077" s="2" t="s">
        <v>2093</v>
      </c>
      <c r="C10077" s="2">
        <v>797.9597</v>
      </c>
      <c r="D10077" s="2">
        <f>HYPERLINK("http://mcb-m6.bioreg.kyushu-u.ac.jp/M3/20110404/F50779/2027/1", 60.64)</f>
        <v>60.64</v>
      </c>
      <c r="E10077" s="2">
        <v>41.17</v>
      </c>
      <c r="F10077" s="2">
        <v>2</v>
      </c>
      <c r="G10077" s="2" t="s">
        <v>9</v>
      </c>
    </row>
    <row r="10078" spans="1:9" x14ac:dyDescent="0.2">
      <c r="A10078" s="2" t="s">
        <v>3319</v>
      </c>
      <c r="B10078" s="2" t="s">
        <v>979</v>
      </c>
      <c r="C10078" s="2">
        <v>1216.537</v>
      </c>
      <c r="D10078" s="2">
        <f>HYPERLINK("http://mcb-m6.bioreg.kyushu-u.ac.jp/M3/20110404/F50779/1145/1", 60.71)</f>
        <v>60.71</v>
      </c>
      <c r="E10078" s="2">
        <v>32.51</v>
      </c>
      <c r="F10078" s="2">
        <v>1</v>
      </c>
      <c r="G10078" s="2" t="s">
        <v>9</v>
      </c>
    </row>
    <row r="10079" spans="1:9" x14ac:dyDescent="0.2">
      <c r="A10079" s="2" t="s">
        <v>3319</v>
      </c>
      <c r="B10079" s="2" t="s">
        <v>1420</v>
      </c>
      <c r="C10079" s="2">
        <v>554.74959999999999</v>
      </c>
      <c r="D10079" s="2">
        <f>HYPERLINK("http://mcb-m6.bioreg.kyushu-u.ac.jp/M3/20110404/F50779/936/1", 61.22)</f>
        <v>61.22</v>
      </c>
      <c r="E10079" s="2">
        <v>21.96</v>
      </c>
      <c r="F10079" s="2">
        <v>2</v>
      </c>
      <c r="G10079" s="2" t="s">
        <v>9</v>
      </c>
    </row>
    <row r="10080" spans="1:9" x14ac:dyDescent="0.2">
      <c r="A10080" s="2" t="s">
        <v>3319</v>
      </c>
      <c r="B10080" s="2" t="s">
        <v>1280</v>
      </c>
      <c r="C10080" s="2">
        <v>623.27869999999996</v>
      </c>
      <c r="D10080" s="2">
        <f>HYPERLINK("http://mcb-m6.bioreg.kyushu-u.ac.jp/M3/20110404/F50778/1278/1", 61.83)</f>
        <v>61.83</v>
      </c>
      <c r="E10080" s="2">
        <v>41.6</v>
      </c>
      <c r="F10080" s="2">
        <v>2</v>
      </c>
      <c r="G10080" s="2" t="s">
        <v>9</v>
      </c>
    </row>
    <row r="10081" spans="1:9" x14ac:dyDescent="0.2">
      <c r="A10081" s="2" t="s">
        <v>3319</v>
      </c>
      <c r="B10081" s="2" t="s">
        <v>1671</v>
      </c>
      <c r="C10081" s="2">
        <v>581.16520000000003</v>
      </c>
      <c r="D10081" s="2">
        <f>HYPERLINK("http://mcb-m6.bioreg.kyushu-u.ac.jp/M3/20110404/F50779/2350/1", 62.12)</f>
        <v>62.12</v>
      </c>
      <c r="E10081" s="2">
        <v>38.4</v>
      </c>
      <c r="F10081" s="2">
        <v>3</v>
      </c>
      <c r="G10081" s="2" t="s">
        <v>9</v>
      </c>
    </row>
    <row r="10082" spans="1:9" x14ac:dyDescent="0.2">
      <c r="A10082" s="2" t="s">
        <v>3319</v>
      </c>
      <c r="B10082" s="2" t="s">
        <v>524</v>
      </c>
      <c r="C10082" s="2">
        <v>1171.604</v>
      </c>
      <c r="D10082" s="2">
        <f>HYPERLINK("http://mcb-m6.bioreg.kyushu-u.ac.jp/M3/20110404/F50778/1109/1", 62.87)</f>
        <v>62.87</v>
      </c>
      <c r="E10082" s="2">
        <v>35.07</v>
      </c>
      <c r="F10082" s="2">
        <v>1</v>
      </c>
      <c r="G10082" s="2" t="s">
        <v>9</v>
      </c>
    </row>
    <row r="10083" spans="1:9" x14ac:dyDescent="0.2">
      <c r="A10083" s="2" t="s">
        <v>3319</v>
      </c>
      <c r="B10083" s="2" t="s">
        <v>2505</v>
      </c>
      <c r="C10083" s="2">
        <v>864.35519999999997</v>
      </c>
      <c r="D10083" s="2">
        <f>HYPERLINK("http://mcb-m6.bioreg.kyushu-u.ac.jp/M3/20110404/F50764/2303/1", 62.99)</f>
        <v>62.99</v>
      </c>
      <c r="E10083" s="2">
        <v>46.05</v>
      </c>
      <c r="F10083" s="2">
        <v>2</v>
      </c>
      <c r="G10083" s="2" t="s">
        <v>9</v>
      </c>
      <c r="I10083" s="2" t="s">
        <v>4918</v>
      </c>
    </row>
    <row r="10084" spans="1:9" x14ac:dyDescent="0.2">
      <c r="A10084" s="2" t="s">
        <v>3319</v>
      </c>
      <c r="B10084" s="2" t="s">
        <v>1311</v>
      </c>
      <c r="C10084" s="2">
        <v>826.4606</v>
      </c>
      <c r="D10084" s="2">
        <f>HYPERLINK("http://mcb-m6.bioreg.kyushu-u.ac.jp/M3/20110404/F50778/2273/1", 63.19)</f>
        <v>63.19</v>
      </c>
      <c r="E10084" s="2">
        <v>46.62</v>
      </c>
      <c r="F10084" s="2">
        <v>2</v>
      </c>
      <c r="G10084" s="2" t="s">
        <v>9</v>
      </c>
    </row>
    <row r="10085" spans="1:9" x14ac:dyDescent="0.2">
      <c r="A10085" s="2" t="s">
        <v>3319</v>
      </c>
      <c r="B10085" s="2" t="s">
        <v>638</v>
      </c>
      <c r="C10085" s="2">
        <v>556.82069999999999</v>
      </c>
      <c r="D10085" s="2">
        <f>HYPERLINK("http://mcb-m6.bioreg.kyushu-u.ac.jp/M3/20110404/F50778/1026/1", 66.63)</f>
        <v>66.63</v>
      </c>
      <c r="E10085" s="2">
        <v>40.74</v>
      </c>
      <c r="F10085" s="2">
        <v>2</v>
      </c>
      <c r="G10085" s="2" t="s">
        <v>9</v>
      </c>
    </row>
    <row r="10086" spans="1:9" x14ac:dyDescent="0.2">
      <c r="A10086" s="2" t="s">
        <v>3319</v>
      </c>
      <c r="B10086" s="2" t="s">
        <v>5070</v>
      </c>
      <c r="C10086" s="2">
        <v>459.82459999999998</v>
      </c>
      <c r="D10086" s="2">
        <f>HYPERLINK("http://mcb-m6.bioreg.kyushu-u.ac.jp/M3/20110404/F50779/617/1", 66.71)</f>
        <v>66.709999999999994</v>
      </c>
      <c r="E10086" s="2">
        <v>28.43</v>
      </c>
      <c r="F10086" s="2">
        <v>2</v>
      </c>
      <c r="G10086" s="2" t="s">
        <v>9</v>
      </c>
    </row>
    <row r="10087" spans="1:9" x14ac:dyDescent="0.2">
      <c r="A10087" s="2" t="s">
        <v>3319</v>
      </c>
      <c r="B10087" s="2" t="s">
        <v>2181</v>
      </c>
      <c r="C10087" s="2">
        <v>496.23259999999999</v>
      </c>
      <c r="D10087" s="2">
        <f>HYPERLINK("http://mcb-m6.bioreg.kyushu-u.ac.jp/M3/20110404/F50779/765/1", 66.71)</f>
        <v>66.709999999999994</v>
      </c>
      <c r="E10087" s="2">
        <v>45.76</v>
      </c>
      <c r="F10087" s="2">
        <v>2</v>
      </c>
      <c r="G10087" s="2" t="s">
        <v>9</v>
      </c>
    </row>
    <row r="10088" spans="1:9" x14ac:dyDescent="0.2">
      <c r="A10088" s="2" t="s">
        <v>3319</v>
      </c>
      <c r="B10088" s="2" t="s">
        <v>2609</v>
      </c>
      <c r="C10088" s="2">
        <v>631.3777</v>
      </c>
      <c r="D10088" s="2">
        <f>HYPERLINK("http://mcb-m6.bioreg.kyushu-u.ac.jp/M3/20110404/F50779/1236/1", 67.78)</f>
        <v>67.78</v>
      </c>
      <c r="E10088" s="2">
        <v>46.19</v>
      </c>
      <c r="F10088" s="2">
        <v>2</v>
      </c>
      <c r="G10088" s="2" t="s">
        <v>9</v>
      </c>
      <c r="I10088" s="2" t="s">
        <v>4892</v>
      </c>
    </row>
    <row r="10089" spans="1:9" x14ac:dyDescent="0.2">
      <c r="A10089" s="2" t="s">
        <v>3319</v>
      </c>
      <c r="B10089" s="2" t="s">
        <v>2505</v>
      </c>
      <c r="C10089" s="2">
        <v>864.01760000000002</v>
      </c>
      <c r="D10089" s="2">
        <f>HYPERLINK("http://mcb-m6.bioreg.kyushu-u.ac.jp/M3/20110404/F50779/2325/1", 68.5)</f>
        <v>68.5</v>
      </c>
      <c r="E10089" s="2">
        <v>59.75</v>
      </c>
      <c r="F10089" s="2">
        <v>2</v>
      </c>
      <c r="G10089" s="2" t="s">
        <v>9</v>
      </c>
      <c r="I10089" s="2" t="s">
        <v>4918</v>
      </c>
    </row>
    <row r="10090" spans="1:9" x14ac:dyDescent="0.2">
      <c r="A10090" s="2" t="s">
        <v>3319</v>
      </c>
      <c r="B10090" s="2" t="s">
        <v>1826</v>
      </c>
      <c r="C10090" s="2">
        <v>688.76869999999997</v>
      </c>
      <c r="D10090" s="2">
        <f>HYPERLINK("http://mcb-m6.bioreg.kyushu-u.ac.jp/M3/20110404/F50778/1551/1", 68.62)</f>
        <v>68.62</v>
      </c>
      <c r="E10090" s="2">
        <v>44.72</v>
      </c>
      <c r="F10090" s="2">
        <v>2</v>
      </c>
      <c r="G10090" s="2" t="s">
        <v>9</v>
      </c>
    </row>
    <row r="10091" spans="1:9" x14ac:dyDescent="0.2">
      <c r="A10091" s="2" t="s">
        <v>3319</v>
      </c>
      <c r="B10091" s="2" t="s">
        <v>2544</v>
      </c>
      <c r="C10091" s="2">
        <v>696.27620000000002</v>
      </c>
      <c r="D10091" s="2">
        <f>HYPERLINK("http://mcb-m6.bioreg.kyushu-u.ac.jp/M3/20110404/F50764/1672/1", 70.62)</f>
        <v>70.62</v>
      </c>
      <c r="E10091" s="2">
        <v>50.46</v>
      </c>
      <c r="F10091" s="2">
        <v>2</v>
      </c>
      <c r="G10091" s="2" t="s">
        <v>9</v>
      </c>
      <c r="I10091" s="2" t="s">
        <v>4903</v>
      </c>
    </row>
    <row r="10092" spans="1:9" x14ac:dyDescent="0.2">
      <c r="A10092" s="2" t="s">
        <v>3319</v>
      </c>
      <c r="B10092" s="2" t="s">
        <v>6504</v>
      </c>
      <c r="C10092" s="2">
        <v>1056.511</v>
      </c>
      <c r="D10092" s="2">
        <f>HYPERLINK("http://mcb-m6.bioreg.kyushu-u.ac.jp/M3/20110404/F50779/3033/1", 71.46)</f>
        <v>71.459999999999994</v>
      </c>
      <c r="E10092" s="2">
        <v>63.28</v>
      </c>
      <c r="F10092" s="2">
        <v>2</v>
      </c>
      <c r="G10092" s="2" t="s">
        <v>9</v>
      </c>
      <c r="I10092" s="2" t="s">
        <v>4944</v>
      </c>
    </row>
    <row r="10093" spans="1:9" x14ac:dyDescent="0.2">
      <c r="A10093" s="2" t="s">
        <v>3319</v>
      </c>
      <c r="B10093" s="2" t="s">
        <v>2093</v>
      </c>
      <c r="C10093" s="2">
        <v>797.42020000000002</v>
      </c>
      <c r="D10093" s="2">
        <f>HYPERLINK("http://mcb-m6.bioreg.kyushu-u.ac.jp/M3/20110404/F50778/2117/1", 71.78)</f>
        <v>71.78</v>
      </c>
      <c r="E10093" s="2">
        <v>50.13</v>
      </c>
      <c r="F10093" s="2">
        <v>2</v>
      </c>
      <c r="G10093" s="2" t="s">
        <v>9</v>
      </c>
    </row>
    <row r="10094" spans="1:9" x14ac:dyDescent="0.2">
      <c r="A10094" s="2" t="s">
        <v>3319</v>
      </c>
      <c r="B10094" s="2" t="s">
        <v>1311</v>
      </c>
      <c r="C10094" s="2">
        <v>826.4547</v>
      </c>
      <c r="D10094" s="2">
        <f>HYPERLINK("http://mcb-m6.bioreg.kyushu-u.ac.jp/M3/20110404/F50765/2215/1", 71.83)</f>
        <v>71.83</v>
      </c>
      <c r="E10094" s="2">
        <v>59.56</v>
      </c>
      <c r="F10094" s="2">
        <v>2</v>
      </c>
      <c r="G10094" s="2" t="s">
        <v>9</v>
      </c>
    </row>
    <row r="10095" spans="1:9" x14ac:dyDescent="0.2">
      <c r="A10095" s="2" t="s">
        <v>3319</v>
      </c>
      <c r="B10095" s="2" t="s">
        <v>1324</v>
      </c>
      <c r="C10095" s="2">
        <v>581.76570000000004</v>
      </c>
      <c r="D10095" s="2">
        <f>HYPERLINK("http://mcb-m6.bioreg.kyushu-u.ac.jp/M3/20110404/F50779/1031/1", 71.89)</f>
        <v>71.89</v>
      </c>
      <c r="E10095" s="2">
        <v>46.15</v>
      </c>
      <c r="F10095" s="2">
        <v>2</v>
      </c>
      <c r="G10095" s="2" t="s">
        <v>9</v>
      </c>
    </row>
    <row r="10096" spans="1:9" x14ac:dyDescent="0.2">
      <c r="A10096" s="2" t="s">
        <v>3319</v>
      </c>
      <c r="B10096" s="2" t="s">
        <v>987</v>
      </c>
      <c r="C10096" s="2">
        <v>752.86469999999997</v>
      </c>
      <c r="D10096" s="2">
        <f>HYPERLINK("http://mcb-m6.bioreg.kyushu-u.ac.jp/M3/20110404/F50779/1810/1", 72.96)</f>
        <v>72.959999999999994</v>
      </c>
      <c r="E10096" s="2">
        <v>52.44</v>
      </c>
      <c r="F10096" s="2">
        <v>2</v>
      </c>
      <c r="G10096" s="2" t="s">
        <v>9</v>
      </c>
    </row>
    <row r="10097" spans="1:9" x14ac:dyDescent="0.2">
      <c r="A10097" s="2" t="s">
        <v>3319</v>
      </c>
      <c r="B10097" s="2" t="s">
        <v>1324</v>
      </c>
      <c r="C10097" s="2">
        <v>582.23860000000002</v>
      </c>
      <c r="D10097" s="2">
        <f>HYPERLINK("http://mcb-m6.bioreg.kyushu-u.ac.jp/M3/20110404/F50764/1241/1", 73.06)</f>
        <v>73.06</v>
      </c>
      <c r="E10097" s="2">
        <v>45.42</v>
      </c>
      <c r="F10097" s="2">
        <v>2</v>
      </c>
      <c r="G10097" s="2" t="s">
        <v>9</v>
      </c>
    </row>
    <row r="10098" spans="1:9" x14ac:dyDescent="0.2">
      <c r="A10098" s="2" t="s">
        <v>3319</v>
      </c>
      <c r="B10098" s="2" t="s">
        <v>1324</v>
      </c>
      <c r="C10098" s="2">
        <v>581.68769999999995</v>
      </c>
      <c r="D10098" s="2">
        <f>HYPERLINK("http://mcb-m6.bioreg.kyushu-u.ac.jp/M3/20110404/F50764/1238/1", 73.23)</f>
        <v>73.23</v>
      </c>
      <c r="E10098" s="2">
        <v>47.69</v>
      </c>
      <c r="F10098" s="2">
        <v>2</v>
      </c>
      <c r="G10098" s="2" t="s">
        <v>9</v>
      </c>
    </row>
    <row r="10099" spans="1:9" x14ac:dyDescent="0.2">
      <c r="A10099" s="2" t="s">
        <v>3319</v>
      </c>
      <c r="B10099" s="2" t="s">
        <v>524</v>
      </c>
      <c r="C10099" s="2">
        <v>1171.6300000000001</v>
      </c>
      <c r="D10099" s="2">
        <f>HYPERLINK("http://mcb-m6.bioreg.kyushu-u.ac.jp/M3/20110404/F50779/1053/1", 73.28)</f>
        <v>73.28</v>
      </c>
      <c r="E10099" s="2">
        <v>46.58</v>
      </c>
      <c r="F10099" s="2">
        <v>1</v>
      </c>
      <c r="G10099" s="2" t="s">
        <v>9</v>
      </c>
    </row>
    <row r="10100" spans="1:9" x14ac:dyDescent="0.2">
      <c r="A10100" s="2" t="s">
        <v>3319</v>
      </c>
      <c r="B10100" s="2" t="s">
        <v>104</v>
      </c>
      <c r="C10100" s="2">
        <v>1562.5650000000001</v>
      </c>
      <c r="D10100" s="2">
        <f>HYPERLINK("http://mcb-m6.bioreg.kyushu-u.ac.jp/M3/20110404/F50779/1949/1", 74.32)</f>
        <v>74.319999999999993</v>
      </c>
      <c r="E10100" s="2">
        <v>63.04</v>
      </c>
      <c r="F10100" s="2">
        <v>1</v>
      </c>
      <c r="G10100" s="2" t="s">
        <v>9</v>
      </c>
    </row>
    <row r="10101" spans="1:9" x14ac:dyDescent="0.2">
      <c r="A10101" s="2" t="s">
        <v>3319</v>
      </c>
      <c r="B10101" s="2" t="s">
        <v>2070</v>
      </c>
      <c r="C10101" s="2">
        <v>714.71220000000005</v>
      </c>
      <c r="D10101" s="2">
        <f>HYPERLINK("http://mcb-m6.bioreg.kyushu-u.ac.jp/M3/20110404/F50778/1689/1", 74.97)</f>
        <v>74.97</v>
      </c>
      <c r="E10101" s="2">
        <v>57.89</v>
      </c>
      <c r="F10101" s="2">
        <v>2</v>
      </c>
      <c r="G10101" s="2" t="s">
        <v>9</v>
      </c>
    </row>
    <row r="10102" spans="1:9" x14ac:dyDescent="0.2">
      <c r="A10102" s="2" t="s">
        <v>3319</v>
      </c>
      <c r="B10102" s="2" t="s">
        <v>104</v>
      </c>
      <c r="C10102" s="2">
        <v>782.36720000000003</v>
      </c>
      <c r="D10102" s="2">
        <f>HYPERLINK("http://mcb-m6.bioreg.kyushu-u.ac.jp/M3/20110404/F50765/2030/1", 75.01)</f>
        <v>75.010000000000005</v>
      </c>
      <c r="E10102" s="2">
        <v>61.95</v>
      </c>
      <c r="F10102" s="2">
        <v>2</v>
      </c>
      <c r="G10102" s="2" t="s">
        <v>9</v>
      </c>
    </row>
    <row r="10103" spans="1:9" x14ac:dyDescent="0.2">
      <c r="A10103" s="2" t="s">
        <v>3319</v>
      </c>
      <c r="B10103" s="2" t="s">
        <v>104</v>
      </c>
      <c r="C10103" s="2">
        <v>781.83619999999996</v>
      </c>
      <c r="D10103" s="2">
        <f>HYPERLINK("http://mcb-m6.bioreg.kyushu-u.ac.jp/M3/20110404/F50779/1950/1", 75.12)</f>
        <v>75.12</v>
      </c>
      <c r="E10103" s="2">
        <v>50.18</v>
      </c>
      <c r="F10103" s="2">
        <v>2</v>
      </c>
      <c r="G10103" s="2" t="s">
        <v>9</v>
      </c>
    </row>
    <row r="10104" spans="1:9" x14ac:dyDescent="0.2">
      <c r="A10104" s="2" t="s">
        <v>3319</v>
      </c>
      <c r="B10104" s="2" t="s">
        <v>1051</v>
      </c>
      <c r="C10104" s="2">
        <v>776.42769999999996</v>
      </c>
      <c r="D10104" s="2">
        <f>HYPERLINK("http://mcb-m6.bioreg.kyushu-u.ac.jp/M3/20110404/F50778/2010/1", 76.62)</f>
        <v>76.62</v>
      </c>
      <c r="E10104" s="2">
        <v>58.47</v>
      </c>
      <c r="F10104" s="2">
        <v>2</v>
      </c>
      <c r="G10104" s="2" t="s">
        <v>9</v>
      </c>
      <c r="H10104" s="2" t="s">
        <v>4908</v>
      </c>
    </row>
    <row r="10105" spans="1:9" x14ac:dyDescent="0.2">
      <c r="A10105" s="2" t="s">
        <v>3319</v>
      </c>
      <c r="B10105" s="2" t="s">
        <v>2609</v>
      </c>
      <c r="C10105" s="2">
        <v>631.20370000000003</v>
      </c>
      <c r="D10105" s="2">
        <f>HYPERLINK("http://mcb-m6.bioreg.kyushu-u.ac.jp/M3/20110404/F50765/1349/1", 77.39)</f>
        <v>77.39</v>
      </c>
      <c r="E10105" s="2">
        <v>48.77</v>
      </c>
      <c r="F10105" s="2">
        <v>2</v>
      </c>
      <c r="G10105" s="2" t="s">
        <v>9</v>
      </c>
      <c r="I10105" s="2" t="s">
        <v>4892</v>
      </c>
    </row>
    <row r="10106" spans="1:9" x14ac:dyDescent="0.2">
      <c r="A10106" s="2" t="s">
        <v>3319</v>
      </c>
      <c r="B10106" s="2" t="s">
        <v>1826</v>
      </c>
      <c r="C10106" s="2">
        <v>689.23069999999996</v>
      </c>
      <c r="D10106" s="2">
        <f>HYPERLINK("http://mcb-m6.bioreg.kyushu-u.ac.jp/M3/20110404/F50779/1456/1", 78.13)</f>
        <v>78.13</v>
      </c>
      <c r="E10106" s="2">
        <v>55.71</v>
      </c>
      <c r="F10106" s="2">
        <v>2</v>
      </c>
      <c r="G10106" s="2" t="s">
        <v>9</v>
      </c>
    </row>
    <row r="10107" spans="1:9" x14ac:dyDescent="0.2">
      <c r="A10107" s="2" t="s">
        <v>3319</v>
      </c>
      <c r="B10107" s="2" t="s">
        <v>1280</v>
      </c>
      <c r="C10107" s="2">
        <v>1245.6279999999999</v>
      </c>
      <c r="D10107" s="2">
        <f>HYPERLINK("http://mcb-m6.bioreg.kyushu-u.ac.jp/M3/20110404/F50779/1211/1", 79.21)</f>
        <v>79.209999999999994</v>
      </c>
      <c r="E10107" s="2">
        <v>57.44</v>
      </c>
      <c r="F10107" s="2">
        <v>1</v>
      </c>
      <c r="G10107" s="2" t="s">
        <v>9</v>
      </c>
    </row>
    <row r="10108" spans="1:9" x14ac:dyDescent="0.2">
      <c r="A10108" s="2" t="s">
        <v>3319</v>
      </c>
      <c r="B10108" s="2" t="s">
        <v>104</v>
      </c>
      <c r="C10108" s="2">
        <v>781.94069999999999</v>
      </c>
      <c r="D10108" s="2">
        <f>HYPERLINK("http://mcb-m6.bioreg.kyushu-u.ac.jp/M3/20110404/F50764/2036/1", 79.87)</f>
        <v>79.87</v>
      </c>
      <c r="E10108" s="2">
        <v>67.52</v>
      </c>
      <c r="F10108" s="2">
        <v>2</v>
      </c>
      <c r="G10108" s="2" t="s">
        <v>9</v>
      </c>
    </row>
    <row r="10109" spans="1:9" x14ac:dyDescent="0.2">
      <c r="A10109" s="2" t="s">
        <v>3319</v>
      </c>
      <c r="B10109" s="2" t="s">
        <v>1749</v>
      </c>
      <c r="C10109" s="2">
        <v>778.29269999999997</v>
      </c>
      <c r="D10109" s="2">
        <f>HYPERLINK("http://mcb-m6.bioreg.kyushu-u.ac.jp/M3/20110404/F50766/1799/1", 82.46)</f>
        <v>82.46</v>
      </c>
      <c r="E10109" s="2">
        <v>57.25</v>
      </c>
      <c r="F10109" s="2">
        <v>2</v>
      </c>
      <c r="G10109" s="2" t="s">
        <v>9</v>
      </c>
    </row>
    <row r="10110" spans="1:9" x14ac:dyDescent="0.2">
      <c r="A10110" s="2" t="s">
        <v>3319</v>
      </c>
      <c r="B10110" s="2" t="s">
        <v>1909</v>
      </c>
      <c r="C10110" s="2">
        <v>869.8732</v>
      </c>
      <c r="D10110" s="2">
        <f>HYPERLINK("http://mcb-m6.bioreg.kyushu-u.ac.jp/M3/20110404/F50767/2325/1", 82.67)</f>
        <v>82.67</v>
      </c>
      <c r="E10110" s="2">
        <v>60.34</v>
      </c>
      <c r="F10110" s="2">
        <v>2</v>
      </c>
      <c r="G10110" s="2" t="s">
        <v>9</v>
      </c>
    </row>
    <row r="10111" spans="1:9" x14ac:dyDescent="0.2">
      <c r="A10111" s="2" t="s">
        <v>3319</v>
      </c>
      <c r="B10111" s="2" t="s">
        <v>1749</v>
      </c>
      <c r="C10111" s="2">
        <v>778.81709999999998</v>
      </c>
      <c r="D10111" s="2">
        <f>HYPERLINK("http://mcb-m6.bioreg.kyushu-u.ac.jp/M3/20110404/F50778/2021/1", 84.02)</f>
        <v>84.02</v>
      </c>
      <c r="E10111" s="2">
        <v>46.79</v>
      </c>
      <c r="F10111" s="2">
        <v>2</v>
      </c>
      <c r="G10111" s="2" t="s">
        <v>9</v>
      </c>
    </row>
    <row r="10112" spans="1:9" x14ac:dyDescent="0.2">
      <c r="A10112" s="2" t="s">
        <v>3319</v>
      </c>
      <c r="B10112" s="2" t="s">
        <v>5215</v>
      </c>
      <c r="C10112" s="2">
        <v>1057.8779999999999</v>
      </c>
      <c r="D10112" s="2">
        <f>HYPERLINK("http://mcb-m6.bioreg.kyushu-u.ac.jp/M3/20110404/F50779/3037/1", 85.37)</f>
        <v>85.37</v>
      </c>
      <c r="E10112" s="2">
        <v>77.87</v>
      </c>
      <c r="F10112" s="2">
        <v>2</v>
      </c>
      <c r="G10112" s="2" t="s">
        <v>9</v>
      </c>
    </row>
    <row r="10113" spans="1:9" x14ac:dyDescent="0.2">
      <c r="A10113" s="2" t="s">
        <v>3319</v>
      </c>
      <c r="B10113" s="2" t="s">
        <v>1280</v>
      </c>
      <c r="C10113" s="2">
        <v>623.57320000000004</v>
      </c>
      <c r="D10113" s="2">
        <f>HYPERLINK("http://mcb-m6.bioreg.kyushu-u.ac.jp/M3/20110404/F50753/1587/1", 87.07)</f>
        <v>87.07</v>
      </c>
      <c r="E10113" s="2">
        <v>53.61</v>
      </c>
      <c r="F10113" s="2">
        <v>2</v>
      </c>
      <c r="G10113" s="2" t="s">
        <v>9</v>
      </c>
    </row>
    <row r="10114" spans="1:9" x14ac:dyDescent="0.2">
      <c r="A10114" s="2" t="s">
        <v>3319</v>
      </c>
      <c r="B10114" s="2" t="s">
        <v>1051</v>
      </c>
      <c r="C10114" s="2">
        <v>768.9067</v>
      </c>
      <c r="D10114" s="2">
        <f>HYPERLINK("http://mcb-m6.bioreg.kyushu-u.ac.jp/M3/20110404/F50779/1880/1", 87.71)</f>
        <v>87.71</v>
      </c>
      <c r="E10114" s="2">
        <v>74.64</v>
      </c>
      <c r="F10114" s="2">
        <v>2</v>
      </c>
      <c r="G10114" s="2" t="s">
        <v>9</v>
      </c>
    </row>
    <row r="10115" spans="1:9" x14ac:dyDescent="0.2">
      <c r="A10115" s="2" t="s">
        <v>3319</v>
      </c>
      <c r="B10115" s="2" t="s">
        <v>5106</v>
      </c>
      <c r="C10115" s="2">
        <v>866.48180000000002</v>
      </c>
      <c r="D10115" s="2">
        <f>HYPERLINK("http://mcb-m6.bioreg.kyushu-u.ac.jp/M3/20110404/F50779/3636/1", 88.59)</f>
        <v>88.59</v>
      </c>
      <c r="E10115" s="2">
        <v>79.989999999999995</v>
      </c>
      <c r="F10115" s="2">
        <v>3</v>
      </c>
      <c r="G10115" s="2" t="s">
        <v>9</v>
      </c>
    </row>
    <row r="10116" spans="1:9" x14ac:dyDescent="0.2">
      <c r="A10116" s="2" t="s">
        <v>3319</v>
      </c>
      <c r="B10116" s="2" t="s">
        <v>2070</v>
      </c>
      <c r="C10116" s="2">
        <v>714.42769999999996</v>
      </c>
      <c r="D10116" s="2">
        <f>HYPERLINK("http://mcb-m6.bioreg.kyushu-u.ac.jp/M3/20110404/F50779/1603/1", 89.79)</f>
        <v>89.79</v>
      </c>
      <c r="E10116" s="2">
        <v>70.760000000000005</v>
      </c>
      <c r="F10116" s="2">
        <v>2</v>
      </c>
      <c r="G10116" s="2" t="s">
        <v>9</v>
      </c>
    </row>
    <row r="10117" spans="1:9" x14ac:dyDescent="0.2">
      <c r="A10117" s="2" t="s">
        <v>3319</v>
      </c>
      <c r="B10117" s="2" t="s">
        <v>1826</v>
      </c>
      <c r="C10117" s="2">
        <v>688.72919999999999</v>
      </c>
      <c r="D10117" s="2">
        <f>HYPERLINK("http://mcb-m6.bioreg.kyushu-u.ac.jp/M3/20110404/F50779/1452/1", 90.56)</f>
        <v>90.56</v>
      </c>
      <c r="E10117" s="2">
        <v>72.400000000000006</v>
      </c>
      <c r="F10117" s="2">
        <v>2</v>
      </c>
      <c r="G10117" s="2" t="s">
        <v>9</v>
      </c>
    </row>
    <row r="10118" spans="1:9" x14ac:dyDescent="0.2">
      <c r="A10118" s="2" t="s">
        <v>3319</v>
      </c>
      <c r="B10118" s="2" t="s">
        <v>104</v>
      </c>
      <c r="C10118" s="2">
        <v>781.88869999999997</v>
      </c>
      <c r="D10118" s="2">
        <f>HYPERLINK("http://mcb-m6.bioreg.kyushu-u.ac.jp/M3/20110404/F50763/2092/1", 92.51)</f>
        <v>92.51</v>
      </c>
      <c r="E10118" s="2">
        <v>77.16</v>
      </c>
      <c r="F10118" s="2">
        <v>2</v>
      </c>
      <c r="G10118" s="2" t="s">
        <v>9</v>
      </c>
    </row>
    <row r="10119" spans="1:9" x14ac:dyDescent="0.2">
      <c r="A10119" s="2" t="s">
        <v>3319</v>
      </c>
      <c r="B10119" s="2" t="s">
        <v>104</v>
      </c>
      <c r="C10119" s="2">
        <v>781.67769999999996</v>
      </c>
      <c r="D10119" s="2">
        <f>HYPERLINK("http://mcb-m6.bioreg.kyushu-u.ac.jp/M3/20110404/F50766/1822/1", 94.85)</f>
        <v>94.85</v>
      </c>
      <c r="E10119" s="2">
        <v>72.650000000000006</v>
      </c>
      <c r="F10119" s="2">
        <v>2</v>
      </c>
      <c r="G10119" s="2" t="s">
        <v>9</v>
      </c>
    </row>
    <row r="10120" spans="1:9" x14ac:dyDescent="0.2">
      <c r="A10120" s="2" t="s">
        <v>3319</v>
      </c>
      <c r="B10120" s="2" t="s">
        <v>2523</v>
      </c>
      <c r="C10120" s="2">
        <v>1142.94</v>
      </c>
      <c r="D10120" s="2">
        <f>HYPERLINK("http://mcb-m6.bioreg.kyushu-u.ac.jp/M3/20110404/F50779/3256/1", 95.13)</f>
        <v>95.13</v>
      </c>
      <c r="E10120" s="2">
        <v>82.89</v>
      </c>
      <c r="F10120" s="2">
        <v>2</v>
      </c>
      <c r="G10120" s="2" t="s">
        <v>9</v>
      </c>
      <c r="I10120" s="2" t="s">
        <v>4968</v>
      </c>
    </row>
    <row r="10121" spans="1:9" x14ac:dyDescent="0.2">
      <c r="A10121" s="2" t="s">
        <v>3319</v>
      </c>
      <c r="B10121" s="2" t="s">
        <v>1311</v>
      </c>
      <c r="C10121" s="2">
        <v>826.48609999999996</v>
      </c>
      <c r="D10121" s="2">
        <f>HYPERLINK("http://mcb-m6.bioreg.kyushu-u.ac.jp/M3/20110404/F50779/2170/1", 96.35)</f>
        <v>96.35</v>
      </c>
      <c r="E10121" s="2">
        <v>72.819999999999993</v>
      </c>
      <c r="F10121" s="2">
        <v>2</v>
      </c>
      <c r="G10121" s="2" t="s">
        <v>9</v>
      </c>
    </row>
    <row r="10122" spans="1:9" x14ac:dyDescent="0.2">
      <c r="A10122" s="2" t="s">
        <v>3319</v>
      </c>
      <c r="B10122" s="2" t="s">
        <v>2609</v>
      </c>
      <c r="C10122" s="2">
        <v>630.7432</v>
      </c>
      <c r="D10122" s="2">
        <f>HYPERLINK("http://mcb-m6.bioreg.kyushu-u.ac.jp/M3/20110404/F50764/1421/1", 96.37)</f>
        <v>96.37</v>
      </c>
      <c r="E10122" s="2">
        <v>53.79</v>
      </c>
      <c r="F10122" s="2">
        <v>2</v>
      </c>
      <c r="G10122" s="2" t="s">
        <v>9</v>
      </c>
      <c r="I10122" s="2" t="s">
        <v>4892</v>
      </c>
    </row>
    <row r="10123" spans="1:9" x14ac:dyDescent="0.2">
      <c r="A10123" s="2" t="s">
        <v>3319</v>
      </c>
      <c r="B10123" s="2" t="s">
        <v>1051</v>
      </c>
      <c r="C10123" s="2">
        <v>776.47770000000003</v>
      </c>
      <c r="D10123" s="2">
        <f>HYPERLINK("http://mcb-m6.bioreg.kyushu-u.ac.jp/M3/20110404/F50779/1913/1", 97.58)</f>
        <v>97.58</v>
      </c>
      <c r="E10123" s="2">
        <v>83.1</v>
      </c>
      <c r="F10123" s="2">
        <v>2</v>
      </c>
      <c r="G10123" s="2" t="s">
        <v>9</v>
      </c>
      <c r="H10123" s="2" t="s">
        <v>4908</v>
      </c>
    </row>
    <row r="10124" spans="1:9" x14ac:dyDescent="0.2">
      <c r="A10124" s="2" t="s">
        <v>3319</v>
      </c>
      <c r="B10124" s="2" t="s">
        <v>1311</v>
      </c>
      <c r="C10124" s="2">
        <v>827.00210000000004</v>
      </c>
      <c r="D10124" s="2">
        <f>HYPERLINK("http://mcb-m6.bioreg.kyushu-u.ac.jp/M3/20110404/F50779/2172/1", 100.62)</f>
        <v>100.62</v>
      </c>
      <c r="E10124" s="2">
        <v>77.47</v>
      </c>
      <c r="F10124" s="2">
        <v>2</v>
      </c>
      <c r="G10124" s="2" t="s">
        <v>9</v>
      </c>
    </row>
    <row r="10125" spans="1:9" x14ac:dyDescent="0.2">
      <c r="A10125" s="2" t="s">
        <v>3319</v>
      </c>
      <c r="B10125" s="2" t="s">
        <v>1909</v>
      </c>
      <c r="C10125" s="2">
        <v>870.39319999999998</v>
      </c>
      <c r="D10125" s="2">
        <f>HYPERLINK("http://mcb-m6.bioreg.kyushu-u.ac.jp/M3/20110404/F50778/2461/1", 100.75)</f>
        <v>100.75</v>
      </c>
      <c r="E10125" s="2">
        <v>75.53</v>
      </c>
      <c r="F10125" s="2">
        <v>2</v>
      </c>
      <c r="G10125" s="2" t="s">
        <v>9</v>
      </c>
    </row>
    <row r="10126" spans="1:9" x14ac:dyDescent="0.2">
      <c r="A10126" s="2" t="s">
        <v>3319</v>
      </c>
      <c r="B10126" s="2" t="s">
        <v>104</v>
      </c>
      <c r="C10126" s="2">
        <v>782.38459999999998</v>
      </c>
      <c r="D10126" s="2">
        <f>HYPERLINK("http://mcb-m6.bioreg.kyushu-u.ac.jp/M3/20110404/F50779/1955/1", 101.26)</f>
        <v>101.26</v>
      </c>
      <c r="E10126" s="2">
        <v>87.27</v>
      </c>
      <c r="F10126" s="2">
        <v>2</v>
      </c>
      <c r="G10126" s="2" t="s">
        <v>9</v>
      </c>
    </row>
    <row r="10127" spans="1:9" x14ac:dyDescent="0.2">
      <c r="A10127" s="2" t="s">
        <v>3319</v>
      </c>
      <c r="B10127" s="2" t="s">
        <v>1671</v>
      </c>
      <c r="C10127" s="2">
        <v>871.05319999999995</v>
      </c>
      <c r="D10127" s="2">
        <f>HYPERLINK("http://mcb-m6.bioreg.kyushu-u.ac.jp/M3/20110404/F50779/2349/1", 107.61)</f>
        <v>107.61</v>
      </c>
      <c r="E10127" s="2">
        <v>89.49</v>
      </c>
      <c r="F10127" s="2">
        <v>2</v>
      </c>
      <c r="G10127" s="2" t="s">
        <v>9</v>
      </c>
    </row>
    <row r="10128" spans="1:9" x14ac:dyDescent="0.2">
      <c r="A10128" s="2" t="s">
        <v>3319</v>
      </c>
      <c r="B10128" s="2" t="s">
        <v>1280</v>
      </c>
      <c r="C10128" s="2">
        <v>623.18119999999999</v>
      </c>
      <c r="D10128" s="2">
        <f>HYPERLINK("http://mcb-m6.bioreg.kyushu-u.ac.jp/M3/20110404/F50764/1405/1", 108.22)</f>
        <v>108.22</v>
      </c>
      <c r="E10128" s="2">
        <v>76.91</v>
      </c>
      <c r="F10128" s="2">
        <v>2</v>
      </c>
      <c r="G10128" s="2" t="s">
        <v>9</v>
      </c>
    </row>
    <row r="10129" spans="1:9" x14ac:dyDescent="0.2">
      <c r="A10129" s="2" t="s">
        <v>3319</v>
      </c>
      <c r="B10129" s="2" t="s">
        <v>1749</v>
      </c>
      <c r="C10129" s="2">
        <v>778.42520000000002</v>
      </c>
      <c r="D10129" s="2">
        <f>HYPERLINK("http://mcb-m6.bioreg.kyushu-u.ac.jp/M3/20110404/F50779/1925/1", 111.07)</f>
        <v>111.07</v>
      </c>
      <c r="E10129" s="2">
        <v>89.62</v>
      </c>
      <c r="F10129" s="2">
        <v>2</v>
      </c>
      <c r="G10129" s="2" t="s">
        <v>9</v>
      </c>
    </row>
    <row r="10130" spans="1:9" x14ac:dyDescent="0.2">
      <c r="A10130" s="2" t="s">
        <v>3319</v>
      </c>
      <c r="B10130" s="2" t="s">
        <v>1671</v>
      </c>
      <c r="C10130" s="2">
        <v>871.04909999999995</v>
      </c>
      <c r="D10130" s="2">
        <f>HYPERLINK("http://mcb-m6.bioreg.kyushu-u.ac.jp/M3/20110404/F50778/2465/1", 111.37)</f>
        <v>111.37</v>
      </c>
      <c r="E10130" s="2">
        <v>91.89</v>
      </c>
      <c r="F10130" s="2">
        <v>2</v>
      </c>
      <c r="G10130" s="2" t="s">
        <v>9</v>
      </c>
    </row>
    <row r="10131" spans="1:9" x14ac:dyDescent="0.2">
      <c r="A10131" s="2" t="s">
        <v>3319</v>
      </c>
      <c r="B10131" s="2" t="s">
        <v>104</v>
      </c>
      <c r="C10131" s="2">
        <v>782.07619999999997</v>
      </c>
      <c r="D10131" s="2">
        <f>HYPERLINK("http://mcb-m6.bioreg.kyushu-u.ac.jp/M3/20110404/F50778/2047/1", 113.59)</f>
        <v>113.59</v>
      </c>
      <c r="E10131" s="2">
        <v>90.41</v>
      </c>
      <c r="F10131" s="2">
        <v>2</v>
      </c>
      <c r="G10131" s="2" t="s">
        <v>9</v>
      </c>
    </row>
    <row r="10132" spans="1:9" x14ac:dyDescent="0.2">
      <c r="A10132" s="2" t="s">
        <v>3319</v>
      </c>
      <c r="B10132" s="2" t="s">
        <v>5227</v>
      </c>
      <c r="C10132" s="2">
        <v>1128.595</v>
      </c>
      <c r="D10132" s="2">
        <f>HYPERLINK("http://mcb-m6.bioreg.kyushu-u.ac.jp/M3/20110404/F50779/3225/1", 127.4)</f>
        <v>127.4</v>
      </c>
      <c r="E10132" s="2">
        <v>120.96</v>
      </c>
      <c r="F10132" s="2">
        <v>2</v>
      </c>
      <c r="G10132" s="2" t="s">
        <v>9</v>
      </c>
    </row>
    <row r="10133" spans="1:9" x14ac:dyDescent="0.2">
      <c r="A10133" s="2" t="s">
        <v>3319</v>
      </c>
      <c r="B10133" s="2" t="s">
        <v>5215</v>
      </c>
      <c r="C10133" s="2">
        <v>1058.434</v>
      </c>
      <c r="D10133" s="2">
        <f>HYPERLINK("http://mcb-m6.bioreg.kyushu-u.ac.jp/M3/20110404/F50779/3041/1", 137.81)</f>
        <v>137.81</v>
      </c>
      <c r="E10133" s="2">
        <v>127.36</v>
      </c>
      <c r="F10133" s="2">
        <v>2</v>
      </c>
      <c r="G10133" s="2" t="s">
        <v>9</v>
      </c>
    </row>
    <row r="10134" spans="1:9" x14ac:dyDescent="0.2">
      <c r="A10134" s="2" t="s">
        <v>3319</v>
      </c>
      <c r="B10134" s="2" t="s">
        <v>5215</v>
      </c>
      <c r="C10134" s="2">
        <v>1058.4179999999999</v>
      </c>
      <c r="D10134" s="2">
        <f>HYPERLINK("http://mcb-m6.bioreg.kyushu-u.ac.jp/M3/20110404/F50778/3158/1", 148.11)</f>
        <v>148.11000000000001</v>
      </c>
      <c r="E10134" s="2">
        <v>136.66999999999999</v>
      </c>
      <c r="F10134" s="2">
        <v>2</v>
      </c>
      <c r="G10134" s="2" t="s">
        <v>9</v>
      </c>
    </row>
    <row r="10135" spans="1:9" x14ac:dyDescent="0.2">
      <c r="A10135" s="2" t="s">
        <v>3319</v>
      </c>
      <c r="B10135" s="2" t="s">
        <v>5227</v>
      </c>
      <c r="C10135" s="2">
        <v>1136.076</v>
      </c>
      <c r="D10135" s="2">
        <f>HYPERLINK("http://mcb-m6.bioreg.kyushu-u.ac.jp/M3/20110404/F50779/3237/1", 151.9)</f>
        <v>151.9</v>
      </c>
      <c r="E10135" s="2">
        <v>136.61000000000001</v>
      </c>
      <c r="F10135" s="2">
        <v>2</v>
      </c>
      <c r="G10135" s="2" t="s">
        <v>9</v>
      </c>
      <c r="H10135" s="2" t="s">
        <v>5885</v>
      </c>
    </row>
    <row r="10136" spans="1:9" x14ac:dyDescent="0.2">
      <c r="A10136" s="2" t="s">
        <v>3319</v>
      </c>
      <c r="B10136" s="2" t="s">
        <v>5227</v>
      </c>
      <c r="C10136" s="2">
        <v>1128.069</v>
      </c>
      <c r="D10136" s="2">
        <f>HYPERLINK("http://mcb-m6.bioreg.kyushu-u.ac.jp/M3/20110404/F50779/3223/1", 167.43)</f>
        <v>167.43</v>
      </c>
      <c r="E10136" s="2">
        <v>161.81</v>
      </c>
      <c r="F10136" s="2">
        <v>2</v>
      </c>
      <c r="G10136" s="2" t="s">
        <v>9</v>
      </c>
    </row>
    <row r="10137" spans="1:9" x14ac:dyDescent="0.2">
      <c r="A10137" s="2" t="s">
        <v>3319</v>
      </c>
      <c r="B10137" s="2" t="s">
        <v>2204</v>
      </c>
      <c r="C10137" s="2">
        <v>484.33210000000003</v>
      </c>
      <c r="D10137" s="2">
        <f>HYPERLINK("http://mcb-m6.bioreg.kyushu-u.ac.jp/M3/20110404/F50774/987/1", 36.37)</f>
        <v>36.369999999999997</v>
      </c>
      <c r="E10137" s="2">
        <v>22.32</v>
      </c>
      <c r="F10137" s="2">
        <v>2</v>
      </c>
      <c r="G10137" s="2" t="s">
        <v>10</v>
      </c>
      <c r="I10137" s="2" t="s">
        <v>4903</v>
      </c>
    </row>
    <row r="10138" spans="1:9" x14ac:dyDescent="0.2">
      <c r="A10138" s="2" t="s">
        <v>3319</v>
      </c>
      <c r="B10138" s="2" t="s">
        <v>5009</v>
      </c>
      <c r="C10138" s="2">
        <v>506.35210000000001</v>
      </c>
      <c r="D10138" s="2">
        <f>HYPERLINK("http://mcb-m6.bioreg.kyushu-u.ac.jp/M3/20110404/F50782/785/1", 37.67)</f>
        <v>37.67</v>
      </c>
      <c r="E10138" s="2">
        <v>15.08</v>
      </c>
      <c r="F10138" s="2">
        <v>2</v>
      </c>
      <c r="G10138" s="2" t="s">
        <v>10</v>
      </c>
    </row>
    <row r="10139" spans="1:9" x14ac:dyDescent="0.2">
      <c r="A10139" s="2" t="s">
        <v>3319</v>
      </c>
      <c r="B10139" s="2" t="s">
        <v>5009</v>
      </c>
      <c r="C10139" s="2">
        <v>1011.611</v>
      </c>
      <c r="D10139" s="2">
        <f>HYPERLINK("http://mcb-m6.bioreg.kyushu-u.ac.jp/M3/20110404/F50782/784/3", 38.08)</f>
        <v>38.08</v>
      </c>
      <c r="E10139" s="2">
        <v>8.48</v>
      </c>
      <c r="F10139" s="2">
        <v>1</v>
      </c>
      <c r="G10139" s="2" t="s">
        <v>10</v>
      </c>
    </row>
    <row r="10140" spans="1:9" x14ac:dyDescent="0.2">
      <c r="A10140" s="2" t="s">
        <v>3319</v>
      </c>
      <c r="B10140" s="2" t="s">
        <v>5106</v>
      </c>
      <c r="C10140" s="2">
        <v>866.51310000000001</v>
      </c>
      <c r="D10140" s="2">
        <f>HYPERLINK("http://mcb-m6.bioreg.kyushu-u.ac.jp/M3/20110404/F50782/3781/1", 38.92)</f>
        <v>38.92</v>
      </c>
      <c r="E10140" s="2">
        <v>30.56</v>
      </c>
      <c r="F10140" s="2">
        <v>3</v>
      </c>
      <c r="G10140" s="2" t="s">
        <v>10</v>
      </c>
    </row>
    <row r="10141" spans="1:9" x14ac:dyDescent="0.2">
      <c r="A10141" s="2" t="s">
        <v>3319</v>
      </c>
      <c r="B10141" s="2" t="s">
        <v>1938</v>
      </c>
      <c r="C10141" s="2">
        <v>479.31709999999998</v>
      </c>
      <c r="D10141" s="2">
        <f>HYPERLINK("http://mcb-m6.bioreg.kyushu-u.ac.jp/M3/20110404/F50773/905/1", 39.31)</f>
        <v>39.31</v>
      </c>
      <c r="E10141" s="2">
        <v>8.1199999999999992</v>
      </c>
      <c r="F10141" s="2">
        <v>2</v>
      </c>
      <c r="G10141" s="2" t="s">
        <v>10</v>
      </c>
    </row>
    <row r="10142" spans="1:9" x14ac:dyDescent="0.2">
      <c r="A10142" s="2" t="s">
        <v>3319</v>
      </c>
      <c r="B10142" s="2" t="s">
        <v>1051</v>
      </c>
      <c r="C10142" s="2">
        <v>512.76949999999999</v>
      </c>
      <c r="D10142" s="2">
        <f>HYPERLINK("http://mcb-m6.bioreg.kyushu-u.ac.jp/M3/20110404/F50782/1928/1", 39.47)</f>
        <v>39.47</v>
      </c>
      <c r="E10142" s="2">
        <v>20.07</v>
      </c>
      <c r="F10142" s="2">
        <v>3</v>
      </c>
      <c r="G10142" s="2" t="s">
        <v>10</v>
      </c>
    </row>
    <row r="10143" spans="1:9" x14ac:dyDescent="0.2">
      <c r="A10143" s="2" t="s">
        <v>3319</v>
      </c>
      <c r="B10143" s="2" t="s">
        <v>232</v>
      </c>
      <c r="C10143" s="2">
        <v>790.56700000000001</v>
      </c>
      <c r="D10143" s="2">
        <f>HYPERLINK("http://mcb-m6.bioreg.kyushu-u.ac.jp/M3/20110404/F50782/477/1", 39.52)</f>
        <v>39.520000000000003</v>
      </c>
      <c r="E10143" s="2">
        <v>9.99</v>
      </c>
      <c r="F10143" s="2">
        <v>1</v>
      </c>
      <c r="G10143" s="2" t="s">
        <v>10</v>
      </c>
    </row>
    <row r="10144" spans="1:9" x14ac:dyDescent="0.2">
      <c r="A10144" s="2" t="s">
        <v>3319</v>
      </c>
      <c r="B10144" s="2" t="s">
        <v>2181</v>
      </c>
      <c r="C10144" s="2">
        <v>991.548</v>
      </c>
      <c r="D10144" s="2">
        <f>HYPERLINK("http://mcb-m6.bioreg.kyushu-u.ac.jp/M3/20110404/F50782/747/1", 40.5)</f>
        <v>40.5</v>
      </c>
      <c r="E10144" s="2">
        <v>26.52</v>
      </c>
      <c r="F10144" s="2">
        <v>1</v>
      </c>
      <c r="G10144" s="2" t="s">
        <v>10</v>
      </c>
    </row>
    <row r="10145" spans="1:9" x14ac:dyDescent="0.2">
      <c r="A10145" s="2" t="s">
        <v>3319</v>
      </c>
      <c r="B10145" s="2" t="s">
        <v>2204</v>
      </c>
      <c r="C10145" s="2">
        <v>966.59299999999996</v>
      </c>
      <c r="D10145" s="2">
        <f>HYPERLINK("http://mcb-m6.bioreg.kyushu-u.ac.jp/M3/20110404/F50782/714/1", 42.18)</f>
        <v>42.18</v>
      </c>
      <c r="E10145" s="2">
        <v>21.28</v>
      </c>
      <c r="F10145" s="2">
        <v>1</v>
      </c>
      <c r="G10145" s="2" t="s">
        <v>10</v>
      </c>
      <c r="I10145" s="2" t="s">
        <v>4903</v>
      </c>
    </row>
    <row r="10146" spans="1:9" x14ac:dyDescent="0.2">
      <c r="A10146" s="2" t="s">
        <v>3319</v>
      </c>
      <c r="B10146" s="2" t="s">
        <v>1812</v>
      </c>
      <c r="C10146" s="2">
        <v>1161.645</v>
      </c>
      <c r="D10146" s="2">
        <f>HYPERLINK("http://mcb-m6.bioreg.kyushu-u.ac.jp/M3/20110404/F50782/1022/1", 43.36)</f>
        <v>43.36</v>
      </c>
      <c r="E10146" s="2">
        <v>21.41</v>
      </c>
      <c r="F10146" s="2">
        <v>1</v>
      </c>
      <c r="G10146" s="2" t="s">
        <v>10</v>
      </c>
    </row>
    <row r="10147" spans="1:9" x14ac:dyDescent="0.2">
      <c r="A10147" s="2" t="s">
        <v>3319</v>
      </c>
      <c r="B10147" s="2" t="s">
        <v>2609</v>
      </c>
      <c r="C10147" s="2">
        <v>1260.5809999999999</v>
      </c>
      <c r="D10147" s="2">
        <f>HYPERLINK("http://mcb-m6.bioreg.kyushu-u.ac.jp/M3/20110404/F50782/1265/1", 44.28)</f>
        <v>44.28</v>
      </c>
      <c r="E10147" s="2">
        <v>14.88</v>
      </c>
      <c r="F10147" s="2">
        <v>1</v>
      </c>
      <c r="G10147" s="2" t="s">
        <v>10</v>
      </c>
      <c r="I10147" s="2" t="s">
        <v>4892</v>
      </c>
    </row>
    <row r="10148" spans="1:9" x14ac:dyDescent="0.2">
      <c r="A10148" s="2" t="s">
        <v>3319</v>
      </c>
      <c r="B10148" s="2" t="s">
        <v>3047</v>
      </c>
      <c r="C10148" s="2">
        <v>467.23059999999998</v>
      </c>
      <c r="D10148" s="2">
        <f>HYPERLINK("http://mcb-m6.bioreg.kyushu-u.ac.jp/M3/20110404/F50782/636/1", 45.98)</f>
        <v>45.98</v>
      </c>
      <c r="E10148" s="2">
        <v>19.09</v>
      </c>
      <c r="F10148" s="2">
        <v>2</v>
      </c>
      <c r="G10148" s="2" t="s">
        <v>10</v>
      </c>
    </row>
    <row r="10149" spans="1:9" x14ac:dyDescent="0.2">
      <c r="A10149" s="2" t="s">
        <v>3319</v>
      </c>
      <c r="B10149" s="2" t="s">
        <v>1749</v>
      </c>
      <c r="C10149" s="2">
        <v>1555.723</v>
      </c>
      <c r="D10149" s="2">
        <f>HYPERLINK("http://mcb-m6.bioreg.kyushu-u.ac.jp/M3/20110404/F50782/1979/1", 46.03)</f>
        <v>46.03</v>
      </c>
      <c r="E10149" s="2">
        <v>23.5</v>
      </c>
      <c r="F10149" s="2">
        <v>1</v>
      </c>
      <c r="G10149" s="2" t="s">
        <v>10</v>
      </c>
    </row>
    <row r="10150" spans="1:9" x14ac:dyDescent="0.2">
      <c r="A10150" s="2" t="s">
        <v>3319</v>
      </c>
      <c r="B10150" s="2" t="s">
        <v>566</v>
      </c>
      <c r="C10150" s="2">
        <v>529.81209999999999</v>
      </c>
      <c r="D10150" s="2">
        <f>HYPERLINK("http://mcb-m6.bioreg.kyushu-u.ac.jp/M3/20110404/F50782/860/1", 46.19)</f>
        <v>46.19</v>
      </c>
      <c r="E10150" s="2">
        <v>12.3</v>
      </c>
      <c r="F10150" s="2">
        <v>2</v>
      </c>
      <c r="G10150" s="2" t="s">
        <v>10</v>
      </c>
    </row>
    <row r="10151" spans="1:9" x14ac:dyDescent="0.2">
      <c r="A10151" s="2" t="s">
        <v>3319</v>
      </c>
      <c r="B10151" s="2" t="s">
        <v>2544</v>
      </c>
      <c r="C10151" s="2">
        <v>696.19269999999995</v>
      </c>
      <c r="D10151" s="2">
        <f>HYPERLINK("http://mcb-m6.bioreg.kyushu-u.ac.jp/M3/20110404/F50771/1689/1", 46.45)</f>
        <v>46.45</v>
      </c>
      <c r="E10151" s="2">
        <v>32.630000000000003</v>
      </c>
      <c r="F10151" s="2">
        <v>2</v>
      </c>
      <c r="G10151" s="2" t="s">
        <v>10</v>
      </c>
      <c r="I10151" s="2" t="s">
        <v>4903</v>
      </c>
    </row>
    <row r="10152" spans="1:9" x14ac:dyDescent="0.2">
      <c r="A10152" s="2" t="s">
        <v>3319</v>
      </c>
      <c r="B10152" s="2" t="s">
        <v>638</v>
      </c>
      <c r="C10152" s="2">
        <v>1112.597</v>
      </c>
      <c r="D10152" s="2">
        <f>HYPERLINK("http://mcb-m6.bioreg.kyushu-u.ac.jp/M3/20110404/F50782/942/1", 47.22)</f>
        <v>47.22</v>
      </c>
      <c r="E10152" s="2">
        <v>28.98</v>
      </c>
      <c r="F10152" s="2">
        <v>1</v>
      </c>
      <c r="G10152" s="2" t="s">
        <v>10</v>
      </c>
    </row>
    <row r="10153" spans="1:9" x14ac:dyDescent="0.2">
      <c r="A10153" s="2" t="s">
        <v>3319</v>
      </c>
      <c r="B10153" s="2" t="s">
        <v>2526</v>
      </c>
      <c r="C10153" s="2">
        <v>704.95619999999997</v>
      </c>
      <c r="D10153" s="2">
        <f>HYPERLINK("http://mcb-m6.bioreg.kyushu-u.ac.jp/M3/20110404/F50782/1581/1", 47.44)</f>
        <v>47.44</v>
      </c>
      <c r="E10153" s="2">
        <v>35.68</v>
      </c>
      <c r="F10153" s="2">
        <v>2</v>
      </c>
      <c r="G10153" s="2" t="s">
        <v>10</v>
      </c>
    </row>
    <row r="10154" spans="1:9" x14ac:dyDescent="0.2">
      <c r="A10154" s="2" t="s">
        <v>3319</v>
      </c>
      <c r="B10154" s="2" t="s">
        <v>5257</v>
      </c>
      <c r="C10154" s="2">
        <v>517.33510000000001</v>
      </c>
      <c r="D10154" s="2">
        <f>HYPERLINK("http://mcb-m6.bioreg.kyushu-u.ac.jp/M3/20110404/F50782/812/1", 48.75)</f>
        <v>48.75</v>
      </c>
      <c r="E10154" s="2">
        <v>23.71</v>
      </c>
      <c r="F10154" s="2">
        <v>2</v>
      </c>
      <c r="G10154" s="2" t="s">
        <v>10</v>
      </c>
    </row>
    <row r="10155" spans="1:9" x14ac:dyDescent="0.2">
      <c r="A10155" s="2" t="s">
        <v>3319</v>
      </c>
      <c r="B10155" s="2" t="s">
        <v>1938</v>
      </c>
      <c r="C10155" s="2">
        <v>479.76060000000001</v>
      </c>
      <c r="D10155" s="2">
        <f>HYPERLINK("http://mcb-m6.bioreg.kyushu-u.ac.jp/M3/20110404/F50782/699/1", 48.84)</f>
        <v>48.84</v>
      </c>
      <c r="E10155" s="2">
        <v>17.54</v>
      </c>
      <c r="F10155" s="2">
        <v>2</v>
      </c>
      <c r="G10155" s="2" t="s">
        <v>10</v>
      </c>
    </row>
    <row r="10156" spans="1:9" x14ac:dyDescent="0.2">
      <c r="A10156" s="2" t="s">
        <v>3319</v>
      </c>
      <c r="B10156" s="2" t="s">
        <v>566</v>
      </c>
      <c r="C10156" s="2">
        <v>1058.579</v>
      </c>
      <c r="D10156" s="2">
        <f>HYPERLINK("http://mcb-m6.bioreg.kyushu-u.ac.jp/M3/20110404/F50782/859/1", 49.39)</f>
        <v>49.39</v>
      </c>
      <c r="E10156" s="2">
        <v>15.53</v>
      </c>
      <c r="F10156" s="2">
        <v>1</v>
      </c>
      <c r="G10156" s="2" t="s">
        <v>10</v>
      </c>
    </row>
    <row r="10157" spans="1:9" x14ac:dyDescent="0.2">
      <c r="A10157" s="2" t="s">
        <v>3319</v>
      </c>
      <c r="B10157" s="2" t="s">
        <v>1749</v>
      </c>
      <c r="C10157" s="2">
        <v>778.18960000000004</v>
      </c>
      <c r="D10157" s="2">
        <f>HYPERLINK("http://mcb-m6.bioreg.kyushu-u.ac.jp/M3/20110404/F50782/1978/1", 50.79)</f>
        <v>50.79</v>
      </c>
      <c r="E10157" s="2">
        <v>29.63</v>
      </c>
      <c r="F10157" s="2">
        <v>2</v>
      </c>
      <c r="G10157" s="2" t="s">
        <v>10</v>
      </c>
    </row>
    <row r="10158" spans="1:9" x14ac:dyDescent="0.2">
      <c r="A10158" s="2" t="s">
        <v>3319</v>
      </c>
      <c r="B10158" s="2" t="s">
        <v>1420</v>
      </c>
      <c r="C10158" s="2">
        <v>554.80520000000001</v>
      </c>
      <c r="D10158" s="2">
        <f>HYPERLINK("http://mcb-m6.bioreg.kyushu-u.ac.jp/M3/20110404/F50782/935/1", 51.56)</f>
        <v>51.56</v>
      </c>
      <c r="E10158" s="2">
        <v>17.5</v>
      </c>
      <c r="F10158" s="2">
        <v>2</v>
      </c>
      <c r="G10158" s="2" t="s">
        <v>10</v>
      </c>
    </row>
    <row r="10159" spans="1:9" x14ac:dyDescent="0.2">
      <c r="A10159" s="2" t="s">
        <v>3319</v>
      </c>
      <c r="B10159" s="2" t="s">
        <v>2505</v>
      </c>
      <c r="C10159" s="2">
        <v>864.34969999999998</v>
      </c>
      <c r="D10159" s="2">
        <f>HYPERLINK("http://mcb-m6.bioreg.kyushu-u.ac.jp/M3/20110404/F50782/2402/1", 52.73)</f>
        <v>52.73</v>
      </c>
      <c r="E10159" s="2">
        <v>45.02</v>
      </c>
      <c r="F10159" s="2">
        <v>2</v>
      </c>
      <c r="G10159" s="2" t="s">
        <v>10</v>
      </c>
      <c r="I10159" s="2" t="s">
        <v>4918</v>
      </c>
    </row>
    <row r="10160" spans="1:9" x14ac:dyDescent="0.2">
      <c r="A10160" s="2" t="s">
        <v>3319</v>
      </c>
      <c r="B10160" s="2" t="s">
        <v>979</v>
      </c>
      <c r="C10160" s="2">
        <v>608.81410000000005</v>
      </c>
      <c r="D10160" s="2">
        <f>HYPERLINK("http://mcb-m6.bioreg.kyushu-u.ac.jp/M3/20110404/F50782/1153/1", 53.7)</f>
        <v>53.7</v>
      </c>
      <c r="E10160" s="2">
        <v>17.38</v>
      </c>
      <c r="F10160" s="2">
        <v>2</v>
      </c>
      <c r="G10160" s="2" t="s">
        <v>10</v>
      </c>
    </row>
    <row r="10161" spans="1:9" x14ac:dyDescent="0.2">
      <c r="A10161" s="2" t="s">
        <v>3319</v>
      </c>
      <c r="B10161" s="2" t="s">
        <v>1671</v>
      </c>
      <c r="C10161" s="2">
        <v>871.09169999999995</v>
      </c>
      <c r="D10161" s="2">
        <f>HYPERLINK("http://mcb-m6.bioreg.kyushu-u.ac.jp/M3/20110404/F50772/2420/1", 53.74)</f>
        <v>53.74</v>
      </c>
      <c r="E10161" s="2">
        <v>41.31</v>
      </c>
      <c r="F10161" s="2">
        <v>2</v>
      </c>
      <c r="G10161" s="2" t="s">
        <v>10</v>
      </c>
    </row>
    <row r="10162" spans="1:9" x14ac:dyDescent="0.2">
      <c r="A10162" s="2" t="s">
        <v>3319</v>
      </c>
      <c r="B10162" s="2" t="s">
        <v>524</v>
      </c>
      <c r="C10162" s="2">
        <v>1172.146</v>
      </c>
      <c r="D10162" s="2">
        <f>HYPERLINK("http://mcb-m6.bioreg.kyushu-u.ac.jp/M3/20110404/F50782/1050/1", 54.66)</f>
        <v>54.66</v>
      </c>
      <c r="E10162" s="2">
        <v>28.6</v>
      </c>
      <c r="F10162" s="2">
        <v>1</v>
      </c>
      <c r="G10162" s="2" t="s">
        <v>10</v>
      </c>
    </row>
    <row r="10163" spans="1:9" x14ac:dyDescent="0.2">
      <c r="A10163" s="2" t="s">
        <v>3319</v>
      </c>
      <c r="B10163" s="2" t="s">
        <v>1420</v>
      </c>
      <c r="C10163" s="2">
        <v>1108.673</v>
      </c>
      <c r="D10163" s="2">
        <f>HYPERLINK("http://mcb-m6.bioreg.kyushu-u.ac.jp/M3/20110404/F50782/937/1", 55.57)</f>
        <v>55.57</v>
      </c>
      <c r="E10163" s="2">
        <v>20.29</v>
      </c>
      <c r="F10163" s="2">
        <v>1</v>
      </c>
      <c r="G10163" s="2" t="s">
        <v>10</v>
      </c>
    </row>
    <row r="10164" spans="1:9" x14ac:dyDescent="0.2">
      <c r="A10164" s="2" t="s">
        <v>3319</v>
      </c>
      <c r="B10164" s="2" t="s">
        <v>1938</v>
      </c>
      <c r="C10164" s="2">
        <v>479.23809999999997</v>
      </c>
      <c r="D10164" s="2">
        <f>HYPERLINK("http://mcb-m6.bioreg.kyushu-u.ac.jp/M3/20110404/F50782/694/1", 56.14)</f>
        <v>56.14</v>
      </c>
      <c r="E10164" s="2">
        <v>16.28</v>
      </c>
      <c r="F10164" s="2">
        <v>2</v>
      </c>
      <c r="G10164" s="2" t="s">
        <v>10</v>
      </c>
    </row>
    <row r="10165" spans="1:9" x14ac:dyDescent="0.2">
      <c r="A10165" s="2" t="s">
        <v>3319</v>
      </c>
      <c r="B10165" s="2" t="s">
        <v>979</v>
      </c>
      <c r="C10165" s="2">
        <v>1216.605</v>
      </c>
      <c r="D10165" s="2">
        <f>HYPERLINK("http://mcb-m6.bioreg.kyushu-u.ac.jp/M3/20110404/F50782/1152/1", 57.67)</f>
        <v>57.67</v>
      </c>
      <c r="E10165" s="2">
        <v>31.01</v>
      </c>
      <c r="F10165" s="2">
        <v>1</v>
      </c>
      <c r="G10165" s="2" t="s">
        <v>10</v>
      </c>
    </row>
    <row r="10166" spans="1:9" x14ac:dyDescent="0.2">
      <c r="A10166" s="2" t="s">
        <v>3319</v>
      </c>
      <c r="B10166" s="2" t="s">
        <v>2392</v>
      </c>
      <c r="C10166" s="2">
        <v>897.44619999999998</v>
      </c>
      <c r="D10166" s="2">
        <f>HYPERLINK("http://mcb-m6.bioreg.kyushu-u.ac.jp/M3/20110404/F50782/2541/1", 58.14)</f>
        <v>58.14</v>
      </c>
      <c r="E10166" s="2">
        <v>41.46</v>
      </c>
      <c r="F10166" s="2">
        <v>2</v>
      </c>
      <c r="G10166" s="2" t="s">
        <v>10</v>
      </c>
      <c r="I10166" s="2" t="s">
        <v>4895</v>
      </c>
    </row>
    <row r="10167" spans="1:9" x14ac:dyDescent="0.2">
      <c r="A10167" s="2" t="s">
        <v>3319</v>
      </c>
      <c r="B10167" s="2" t="s">
        <v>1671</v>
      </c>
      <c r="C10167" s="2">
        <v>871.37570000000005</v>
      </c>
      <c r="D10167" s="2">
        <f>HYPERLINK("http://mcb-m6.bioreg.kyushu-u.ac.jp/M3/20110404/F50770/2318/1", 58.55)</f>
        <v>58.55</v>
      </c>
      <c r="E10167" s="2">
        <v>36.729999999999997</v>
      </c>
      <c r="F10167" s="2">
        <v>2</v>
      </c>
      <c r="G10167" s="2" t="s">
        <v>10</v>
      </c>
    </row>
    <row r="10168" spans="1:9" x14ac:dyDescent="0.2">
      <c r="A10168" s="2" t="s">
        <v>3319</v>
      </c>
      <c r="B10168" s="2" t="s">
        <v>2070</v>
      </c>
      <c r="C10168" s="2">
        <v>714.34310000000005</v>
      </c>
      <c r="D10168" s="2">
        <f>HYPERLINK("http://mcb-m6.bioreg.kyushu-u.ac.jp/M3/20110404/F50771/1773/1", 60.63)</f>
        <v>60.63</v>
      </c>
      <c r="E10168" s="2">
        <v>44.83</v>
      </c>
      <c r="F10168" s="2">
        <v>2</v>
      </c>
      <c r="G10168" s="2" t="s">
        <v>10</v>
      </c>
    </row>
    <row r="10169" spans="1:9" x14ac:dyDescent="0.2">
      <c r="A10169" s="2" t="s">
        <v>3319</v>
      </c>
      <c r="B10169" s="2" t="s">
        <v>2505</v>
      </c>
      <c r="C10169" s="2">
        <v>872.42819999999995</v>
      </c>
      <c r="D10169" s="2">
        <f>HYPERLINK("http://mcb-m6.bioreg.kyushu-u.ac.jp/M3/20110404/F50782/2440/1", 61.72)</f>
        <v>61.72</v>
      </c>
      <c r="E10169" s="2">
        <v>47.96</v>
      </c>
      <c r="F10169" s="2">
        <v>2</v>
      </c>
      <c r="G10169" s="2" t="s">
        <v>10</v>
      </c>
      <c r="H10169" s="2" t="s">
        <v>4912</v>
      </c>
      <c r="I10169" s="2" t="s">
        <v>4918</v>
      </c>
    </row>
    <row r="10170" spans="1:9" x14ac:dyDescent="0.2">
      <c r="A10170" s="2" t="s">
        <v>3319</v>
      </c>
      <c r="B10170" s="2" t="s">
        <v>638</v>
      </c>
      <c r="C10170" s="2">
        <v>556.84810000000004</v>
      </c>
      <c r="D10170" s="2">
        <f>HYPERLINK("http://mcb-m6.bioreg.kyushu-u.ac.jp/M3/20110404/F50782/943/1", 63.39)</f>
        <v>63.39</v>
      </c>
      <c r="E10170" s="2">
        <v>31.87</v>
      </c>
      <c r="F10170" s="2">
        <v>2</v>
      </c>
      <c r="G10170" s="2" t="s">
        <v>10</v>
      </c>
    </row>
    <row r="10171" spans="1:9" x14ac:dyDescent="0.2">
      <c r="A10171" s="2" t="s">
        <v>3319</v>
      </c>
      <c r="B10171" s="2" t="s">
        <v>2070</v>
      </c>
      <c r="C10171" s="2">
        <v>714.27120000000002</v>
      </c>
      <c r="D10171" s="2">
        <f>HYPERLINK("http://mcb-m6.bioreg.kyushu-u.ac.jp/M3/20110404/F50775/1845/1", 63.54)</f>
        <v>63.54</v>
      </c>
      <c r="E10171" s="2">
        <v>44.59</v>
      </c>
      <c r="F10171" s="2">
        <v>2</v>
      </c>
      <c r="G10171" s="2" t="s">
        <v>10</v>
      </c>
    </row>
    <row r="10172" spans="1:9" x14ac:dyDescent="0.2">
      <c r="A10172" s="2" t="s">
        <v>3319</v>
      </c>
      <c r="B10172" s="2" t="s">
        <v>1812</v>
      </c>
      <c r="C10172" s="2">
        <v>581.4307</v>
      </c>
      <c r="D10172" s="2">
        <f>HYPERLINK("http://mcb-m6.bioreg.kyushu-u.ac.jp/M3/20110404/F50782/1023/1", 64.11)</f>
        <v>64.11</v>
      </c>
      <c r="E10172" s="2">
        <v>39.36</v>
      </c>
      <c r="F10172" s="2">
        <v>2</v>
      </c>
      <c r="G10172" s="2" t="s">
        <v>10</v>
      </c>
    </row>
    <row r="10173" spans="1:9" x14ac:dyDescent="0.2">
      <c r="A10173" s="2" t="s">
        <v>3319</v>
      </c>
      <c r="B10173" s="2" t="s">
        <v>987</v>
      </c>
      <c r="C10173" s="2">
        <v>753.37869999999998</v>
      </c>
      <c r="D10173" s="2">
        <f>HYPERLINK("http://mcb-m6.bioreg.kyushu-u.ac.jp/M3/20110404/F50782/1848/1", 65.7)</f>
        <v>65.7</v>
      </c>
      <c r="E10173" s="2">
        <v>31.46</v>
      </c>
      <c r="F10173" s="2">
        <v>2</v>
      </c>
      <c r="G10173" s="2" t="s">
        <v>10</v>
      </c>
    </row>
    <row r="10174" spans="1:9" x14ac:dyDescent="0.2">
      <c r="A10174" s="2" t="s">
        <v>3319</v>
      </c>
      <c r="B10174" s="2" t="s">
        <v>1929</v>
      </c>
      <c r="C10174" s="2">
        <v>696.47019999999998</v>
      </c>
      <c r="D10174" s="2">
        <f>HYPERLINK("http://mcb-m6.bioreg.kyushu-u.ac.jp/M3/20110404/F50782/1539/1", 66.51)</f>
        <v>66.510000000000005</v>
      </c>
      <c r="E10174" s="2">
        <v>50.73</v>
      </c>
      <c r="F10174" s="2">
        <v>2</v>
      </c>
      <c r="G10174" s="2" t="s">
        <v>10</v>
      </c>
    </row>
    <row r="10175" spans="1:9" x14ac:dyDescent="0.2">
      <c r="A10175" s="2" t="s">
        <v>3319</v>
      </c>
      <c r="B10175" s="2" t="s">
        <v>524</v>
      </c>
      <c r="C10175" s="2">
        <v>586.32370000000003</v>
      </c>
      <c r="D10175" s="2">
        <f>HYPERLINK("http://mcb-m6.bioreg.kyushu-u.ac.jp/M3/20110404/F50782/1049/1", 67.62)</f>
        <v>67.62</v>
      </c>
      <c r="E10175" s="2">
        <v>31.75</v>
      </c>
      <c r="F10175" s="2">
        <v>2</v>
      </c>
      <c r="G10175" s="2" t="s">
        <v>10</v>
      </c>
    </row>
    <row r="10176" spans="1:9" x14ac:dyDescent="0.2">
      <c r="A10176" s="2" t="s">
        <v>3319</v>
      </c>
      <c r="B10176" s="2" t="s">
        <v>104</v>
      </c>
      <c r="C10176" s="2">
        <v>1563.425</v>
      </c>
      <c r="D10176" s="2">
        <f>HYPERLINK("http://mcb-m6.bioreg.kyushu-u.ac.jp/M3/20110404/F50782/2008/1", 67.66)</f>
        <v>67.66</v>
      </c>
      <c r="E10176" s="2">
        <v>49.6</v>
      </c>
      <c r="F10176" s="2">
        <v>1</v>
      </c>
      <c r="G10176" s="2" t="s">
        <v>10</v>
      </c>
    </row>
    <row r="10177" spans="1:9" x14ac:dyDescent="0.2">
      <c r="A10177" s="2" t="s">
        <v>3319</v>
      </c>
      <c r="B10177" s="2" t="s">
        <v>2070</v>
      </c>
      <c r="C10177" s="2">
        <v>714.3116</v>
      </c>
      <c r="D10177" s="2">
        <f>HYPERLINK("http://mcb-m6.bioreg.kyushu-u.ac.jp/M3/20110404/F50782/1635/1", 68.58)</f>
        <v>68.58</v>
      </c>
      <c r="E10177" s="2">
        <v>50.08</v>
      </c>
      <c r="F10177" s="2">
        <v>2</v>
      </c>
      <c r="G10177" s="2" t="s">
        <v>10</v>
      </c>
    </row>
    <row r="10178" spans="1:9" x14ac:dyDescent="0.2">
      <c r="A10178" s="2" t="s">
        <v>3319</v>
      </c>
      <c r="B10178" s="2" t="s">
        <v>2505</v>
      </c>
      <c r="C10178" s="2">
        <v>864.90560000000005</v>
      </c>
      <c r="D10178" s="2">
        <f>HYPERLINK("http://mcb-m6.bioreg.kyushu-u.ac.jp/M3/20110404/F50782/2405/1", 69.89)</f>
        <v>69.89</v>
      </c>
      <c r="E10178" s="2">
        <v>59.3</v>
      </c>
      <c r="F10178" s="2">
        <v>2</v>
      </c>
      <c r="G10178" s="2" t="s">
        <v>10</v>
      </c>
      <c r="I10178" s="2" t="s">
        <v>4918</v>
      </c>
    </row>
    <row r="10179" spans="1:9" x14ac:dyDescent="0.2">
      <c r="A10179" s="2" t="s">
        <v>3319</v>
      </c>
      <c r="B10179" s="2" t="s">
        <v>1280</v>
      </c>
      <c r="C10179" s="2">
        <v>1245.604</v>
      </c>
      <c r="D10179" s="2">
        <f>HYPERLINK("http://mcb-m6.bioreg.kyushu-u.ac.jp/M3/20110404/F50782/1223/1", 70.37)</f>
        <v>70.37</v>
      </c>
      <c r="E10179" s="2">
        <v>48.07</v>
      </c>
      <c r="F10179" s="2">
        <v>1</v>
      </c>
      <c r="G10179" s="2" t="s">
        <v>10</v>
      </c>
    </row>
    <row r="10180" spans="1:9" x14ac:dyDescent="0.2">
      <c r="A10180" s="2" t="s">
        <v>3319</v>
      </c>
      <c r="B10180" s="2" t="s">
        <v>5227</v>
      </c>
      <c r="C10180" s="2">
        <v>1136.2729999999999</v>
      </c>
      <c r="D10180" s="2">
        <f>HYPERLINK("http://mcb-m6.bioreg.kyushu-u.ac.jp/M3/20110404/F50782/3376/1", 70.45)</f>
        <v>70.45</v>
      </c>
      <c r="E10180" s="2">
        <v>61.54</v>
      </c>
      <c r="F10180" s="2">
        <v>2</v>
      </c>
      <c r="G10180" s="2" t="s">
        <v>10</v>
      </c>
      <c r="H10180" s="2" t="s">
        <v>5885</v>
      </c>
    </row>
    <row r="10181" spans="1:9" x14ac:dyDescent="0.2">
      <c r="A10181" s="2" t="s">
        <v>3319</v>
      </c>
      <c r="B10181" s="2" t="s">
        <v>1826</v>
      </c>
      <c r="C10181" s="2">
        <v>688.76210000000003</v>
      </c>
      <c r="D10181" s="2">
        <f>HYPERLINK("http://mcb-m6.bioreg.kyushu-u.ac.jp/M3/20110404/F50782/1496/1", 71.31)</f>
        <v>71.31</v>
      </c>
      <c r="E10181" s="2">
        <v>53.68</v>
      </c>
      <c r="F10181" s="2">
        <v>2</v>
      </c>
      <c r="G10181" s="2" t="s">
        <v>10</v>
      </c>
    </row>
    <row r="10182" spans="1:9" x14ac:dyDescent="0.2">
      <c r="A10182" s="2" t="s">
        <v>3319</v>
      </c>
      <c r="B10182" s="2" t="s">
        <v>1051</v>
      </c>
      <c r="C10182" s="2">
        <v>776.4941</v>
      </c>
      <c r="D10182" s="2">
        <f>HYPERLINK("http://mcb-m6.bioreg.kyushu-u.ac.jp/M3/20110404/F50782/1967/1", 74.5)</f>
        <v>74.5</v>
      </c>
      <c r="E10182" s="2">
        <v>51.83</v>
      </c>
      <c r="F10182" s="2">
        <v>2</v>
      </c>
      <c r="G10182" s="2" t="s">
        <v>10</v>
      </c>
      <c r="H10182" s="2" t="s">
        <v>4908</v>
      </c>
    </row>
    <row r="10183" spans="1:9" x14ac:dyDescent="0.2">
      <c r="A10183" s="2" t="s">
        <v>3319</v>
      </c>
      <c r="B10183" s="2" t="s">
        <v>2070</v>
      </c>
      <c r="C10183" s="2">
        <v>714.38509999999997</v>
      </c>
      <c r="D10183" s="2">
        <f>HYPERLINK("http://mcb-m6.bioreg.kyushu-u.ac.jp/M3/20110404/F50770/1825/1", 76.41)</f>
        <v>76.41</v>
      </c>
      <c r="E10183" s="2">
        <v>57.54</v>
      </c>
      <c r="F10183" s="2">
        <v>2</v>
      </c>
      <c r="G10183" s="2" t="s">
        <v>10</v>
      </c>
    </row>
    <row r="10184" spans="1:9" x14ac:dyDescent="0.2">
      <c r="A10184" s="2" t="s">
        <v>3319</v>
      </c>
      <c r="B10184" s="2" t="s">
        <v>104</v>
      </c>
      <c r="C10184" s="2">
        <v>782.27620000000002</v>
      </c>
      <c r="D10184" s="2">
        <f>HYPERLINK("http://mcb-m6.bioreg.kyushu-u.ac.jp/M3/20110404/F50775/2133/1", 76.45)</f>
        <v>76.45</v>
      </c>
      <c r="E10184" s="2">
        <v>54.34</v>
      </c>
      <c r="F10184" s="2">
        <v>2</v>
      </c>
      <c r="G10184" s="2" t="s">
        <v>10</v>
      </c>
    </row>
    <row r="10185" spans="1:9" x14ac:dyDescent="0.2">
      <c r="A10185" s="2" t="s">
        <v>3319</v>
      </c>
      <c r="B10185" s="2" t="s">
        <v>2523</v>
      </c>
      <c r="C10185" s="2">
        <v>1142.83</v>
      </c>
      <c r="D10185" s="2">
        <f>HYPERLINK("http://mcb-m6.bioreg.kyushu-u.ac.jp/M3/20110404/F50770/2909/1", 76.75)</f>
        <v>76.75</v>
      </c>
      <c r="E10185" s="2">
        <v>66.25</v>
      </c>
      <c r="F10185" s="2">
        <v>2</v>
      </c>
      <c r="G10185" s="2" t="s">
        <v>10</v>
      </c>
      <c r="I10185" s="2" t="s">
        <v>4968</v>
      </c>
    </row>
    <row r="10186" spans="1:9" x14ac:dyDescent="0.2">
      <c r="A10186" s="2" t="s">
        <v>3319</v>
      </c>
      <c r="B10186" s="2" t="s">
        <v>2609</v>
      </c>
      <c r="C10186" s="2">
        <v>631.41359999999997</v>
      </c>
      <c r="D10186" s="2">
        <f>HYPERLINK("http://mcb-m6.bioreg.kyushu-u.ac.jp/M3/20110404/F50773/1367/1", 77.3)</f>
        <v>77.3</v>
      </c>
      <c r="E10186" s="2">
        <v>53.58</v>
      </c>
      <c r="F10186" s="2">
        <v>2</v>
      </c>
      <c r="G10186" s="2" t="s">
        <v>10</v>
      </c>
      <c r="I10186" s="2" t="s">
        <v>4892</v>
      </c>
    </row>
    <row r="10187" spans="1:9" x14ac:dyDescent="0.2">
      <c r="A10187" s="2" t="s">
        <v>3319</v>
      </c>
      <c r="B10187" s="2" t="s">
        <v>2609</v>
      </c>
      <c r="C10187" s="2">
        <v>630.67570000000001</v>
      </c>
      <c r="D10187" s="2">
        <f>HYPERLINK("http://mcb-m6.bioreg.kyushu-u.ac.jp/M3/20110404/F50775/1496/1", 77.76)</f>
        <v>77.760000000000005</v>
      </c>
      <c r="E10187" s="2">
        <v>51.1</v>
      </c>
      <c r="F10187" s="2">
        <v>2</v>
      </c>
      <c r="G10187" s="2" t="s">
        <v>10</v>
      </c>
      <c r="I10187" s="2" t="s">
        <v>4892</v>
      </c>
    </row>
    <row r="10188" spans="1:9" x14ac:dyDescent="0.2">
      <c r="A10188" s="2" t="s">
        <v>3319</v>
      </c>
      <c r="B10188" s="2" t="s">
        <v>2181</v>
      </c>
      <c r="C10188" s="2">
        <v>496.25909999999999</v>
      </c>
      <c r="D10188" s="2">
        <f>HYPERLINK("http://mcb-m6.bioreg.kyushu-u.ac.jp/M3/20110404/F50782/746/1", 79.26)</f>
        <v>79.260000000000005</v>
      </c>
      <c r="E10188" s="2">
        <v>57.08</v>
      </c>
      <c r="F10188" s="2">
        <v>2</v>
      </c>
      <c r="G10188" s="2" t="s">
        <v>10</v>
      </c>
    </row>
    <row r="10189" spans="1:9" x14ac:dyDescent="0.2">
      <c r="A10189" s="2" t="s">
        <v>3319</v>
      </c>
      <c r="B10189" s="2" t="s">
        <v>1051</v>
      </c>
      <c r="C10189" s="2">
        <v>768.54769999999996</v>
      </c>
      <c r="D10189" s="2">
        <f>HYPERLINK("http://mcb-m6.bioreg.kyushu-u.ac.jp/M3/20110404/F50782/1927/1", 87.5)</f>
        <v>87.5</v>
      </c>
      <c r="E10189" s="2">
        <v>72.61</v>
      </c>
      <c r="F10189" s="2">
        <v>2</v>
      </c>
      <c r="G10189" s="2" t="s">
        <v>10</v>
      </c>
    </row>
    <row r="10190" spans="1:9" x14ac:dyDescent="0.2">
      <c r="A10190" s="2" t="s">
        <v>3319</v>
      </c>
      <c r="B10190" s="2" t="s">
        <v>104</v>
      </c>
      <c r="C10190" s="2">
        <v>781.78719999999998</v>
      </c>
      <c r="D10190" s="2">
        <f>HYPERLINK("http://mcb-m6.bioreg.kyushu-u.ac.jp/M3/20110404/F50770/2068/1", 87.58)</f>
        <v>87.58</v>
      </c>
      <c r="E10190" s="2">
        <v>71.180000000000007</v>
      </c>
      <c r="F10190" s="2">
        <v>2</v>
      </c>
      <c r="G10190" s="2" t="s">
        <v>10</v>
      </c>
    </row>
    <row r="10191" spans="1:9" x14ac:dyDescent="0.2">
      <c r="A10191" s="2" t="s">
        <v>3319</v>
      </c>
      <c r="B10191" s="2" t="s">
        <v>104</v>
      </c>
      <c r="C10191" s="2">
        <v>782.44169999999997</v>
      </c>
      <c r="D10191" s="2">
        <f>HYPERLINK("http://mcb-m6.bioreg.kyushu-u.ac.jp/M3/20110404/F50770/2071/1", 91.75)</f>
        <v>91.75</v>
      </c>
      <c r="E10191" s="2">
        <v>68.94</v>
      </c>
      <c r="F10191" s="2">
        <v>2</v>
      </c>
      <c r="G10191" s="2" t="s">
        <v>10</v>
      </c>
    </row>
    <row r="10192" spans="1:9" x14ac:dyDescent="0.2">
      <c r="A10192" s="2" t="s">
        <v>3319</v>
      </c>
      <c r="B10192" s="2" t="s">
        <v>2609</v>
      </c>
      <c r="C10192" s="2">
        <v>630.72220000000004</v>
      </c>
      <c r="D10192" s="2">
        <f>HYPERLINK("http://mcb-m6.bioreg.kyushu-u.ac.jp/M3/20110404/F50770/1514/1", 96.23)</f>
        <v>96.23</v>
      </c>
      <c r="E10192" s="2">
        <v>65.28</v>
      </c>
      <c r="F10192" s="2">
        <v>2</v>
      </c>
      <c r="G10192" s="2" t="s">
        <v>10</v>
      </c>
      <c r="I10192" s="2" t="s">
        <v>4892</v>
      </c>
    </row>
    <row r="10193" spans="1:9" x14ac:dyDescent="0.2">
      <c r="A10193" s="2" t="s">
        <v>3319</v>
      </c>
      <c r="B10193" s="2" t="s">
        <v>104</v>
      </c>
      <c r="C10193" s="2">
        <v>781.92070000000001</v>
      </c>
      <c r="D10193" s="2">
        <f>HYPERLINK("http://mcb-m6.bioreg.kyushu-u.ac.jp/M3/20110404/F50782/2004/1", 100.62)</f>
        <v>100.62</v>
      </c>
      <c r="E10193" s="2">
        <v>86.53</v>
      </c>
      <c r="F10193" s="2">
        <v>2</v>
      </c>
      <c r="G10193" s="2" t="s">
        <v>10</v>
      </c>
    </row>
    <row r="10194" spans="1:9" x14ac:dyDescent="0.2">
      <c r="A10194" s="2" t="s">
        <v>3319</v>
      </c>
      <c r="B10194" s="2" t="s">
        <v>1311</v>
      </c>
      <c r="C10194" s="2">
        <v>826.47559999999999</v>
      </c>
      <c r="D10194" s="2">
        <f>HYPERLINK("http://mcb-m6.bioreg.kyushu-u.ac.jp/M3/20110404/F50782/2255/1", 107.59)</f>
        <v>107.59</v>
      </c>
      <c r="E10194" s="2">
        <v>88.77</v>
      </c>
      <c r="F10194" s="2">
        <v>2</v>
      </c>
      <c r="G10194" s="2" t="s">
        <v>10</v>
      </c>
    </row>
    <row r="10195" spans="1:9" x14ac:dyDescent="0.2">
      <c r="A10195" s="2" t="s">
        <v>3319</v>
      </c>
      <c r="B10195" s="2" t="s">
        <v>2523</v>
      </c>
      <c r="C10195" s="2">
        <v>1142.961</v>
      </c>
      <c r="D10195" s="2">
        <f>HYPERLINK("http://mcb-m6.bioreg.kyushu-u.ac.jp/M3/20110404/F50782/3396/1", 111.08)</f>
        <v>111.08</v>
      </c>
      <c r="E10195" s="2">
        <v>100.29</v>
      </c>
      <c r="F10195" s="2">
        <v>2</v>
      </c>
      <c r="G10195" s="2" t="s">
        <v>10</v>
      </c>
      <c r="I10195" s="2" t="s">
        <v>4968</v>
      </c>
    </row>
    <row r="10196" spans="1:9" x14ac:dyDescent="0.2">
      <c r="A10196" s="2" t="s">
        <v>3319</v>
      </c>
      <c r="B10196" s="2" t="s">
        <v>5227</v>
      </c>
      <c r="C10196" s="2">
        <v>1128.2339999999999</v>
      </c>
      <c r="D10196" s="2">
        <f>HYPERLINK("http://mcb-m6.bioreg.kyushu-u.ac.jp/M3/20110404/F50782/3359/1", 116.87)</f>
        <v>116.87</v>
      </c>
      <c r="E10196" s="2">
        <v>104.25</v>
      </c>
      <c r="F10196" s="2">
        <v>2</v>
      </c>
      <c r="G10196" s="2" t="s">
        <v>10</v>
      </c>
    </row>
    <row r="10197" spans="1:9" x14ac:dyDescent="0.2">
      <c r="A10197" s="2" t="s">
        <v>3319</v>
      </c>
      <c r="B10197" s="2" t="s">
        <v>5215</v>
      </c>
      <c r="C10197" s="2">
        <v>1057.9970000000001</v>
      </c>
      <c r="D10197" s="2">
        <f>HYPERLINK("http://mcb-m6.bioreg.kyushu-u.ac.jp/M3/20110404/F50782/3169/1", 158.1)</f>
        <v>158.1</v>
      </c>
      <c r="E10197" s="2">
        <v>145.85</v>
      </c>
      <c r="F10197" s="2">
        <v>2</v>
      </c>
      <c r="G10197" s="2" t="s">
        <v>10</v>
      </c>
    </row>
    <row r="10198" spans="1:9" x14ac:dyDescent="0.2">
      <c r="A10198" s="2" t="s">
        <v>3319</v>
      </c>
      <c r="B10198" s="2" t="s">
        <v>2222</v>
      </c>
      <c r="C10198" s="2">
        <v>1049.423</v>
      </c>
      <c r="D10198" s="2">
        <f>HYPERLINK("http://mcb-m6.bioreg.kyushu-u.ac.jp/M3/20110421/F51040/1053/1", 36.97)</f>
        <v>36.97</v>
      </c>
      <c r="E10198" s="2">
        <v>25.86</v>
      </c>
      <c r="F10198" s="2">
        <v>1</v>
      </c>
      <c r="G10198" s="2" t="s">
        <v>11</v>
      </c>
    </row>
    <row r="10199" spans="1:9" x14ac:dyDescent="0.2">
      <c r="A10199" s="2" t="s">
        <v>3319</v>
      </c>
      <c r="B10199" s="2" t="s">
        <v>1938</v>
      </c>
      <c r="C10199" s="2">
        <v>479.23059999999998</v>
      </c>
      <c r="D10199" s="2">
        <f>HYPERLINK("http://mcb-m6.bioreg.kyushu-u.ac.jp/M3/20110421/F51035/671/1", 39.02)</f>
        <v>39.020000000000003</v>
      </c>
      <c r="E10199" s="2">
        <v>10.41</v>
      </c>
      <c r="F10199" s="2">
        <v>2</v>
      </c>
      <c r="G10199" s="2" t="s">
        <v>11</v>
      </c>
    </row>
    <row r="10200" spans="1:9" x14ac:dyDescent="0.2">
      <c r="A10200" s="2" t="s">
        <v>3319</v>
      </c>
      <c r="B10200" s="2" t="s">
        <v>2505</v>
      </c>
      <c r="C10200" s="2">
        <v>872.86270000000002</v>
      </c>
      <c r="D10200" s="2">
        <f>HYPERLINK("http://mcb-m6.bioreg.kyushu-u.ac.jp/M3/20110421/F51040/2653/1", 41.34)</f>
        <v>41.34</v>
      </c>
      <c r="E10200" s="2">
        <v>34</v>
      </c>
      <c r="F10200" s="2">
        <v>2</v>
      </c>
      <c r="G10200" s="2" t="s">
        <v>11</v>
      </c>
      <c r="H10200" s="2" t="s">
        <v>4912</v>
      </c>
      <c r="I10200" s="2" t="s">
        <v>4918</v>
      </c>
    </row>
    <row r="10201" spans="1:9" x14ac:dyDescent="0.2">
      <c r="A10201" s="2" t="s">
        <v>3319</v>
      </c>
      <c r="B10201" s="2" t="s">
        <v>2181</v>
      </c>
      <c r="C10201" s="2">
        <v>496.20960000000002</v>
      </c>
      <c r="D10201" s="2">
        <f>HYPERLINK("http://mcb-m6.bioreg.kyushu-u.ac.jp/M3/20110421/F51042/635/1", 41.58)</f>
        <v>41.58</v>
      </c>
      <c r="E10201" s="2">
        <v>15.02</v>
      </c>
      <c r="F10201" s="2">
        <v>2</v>
      </c>
      <c r="G10201" s="2" t="s">
        <v>11</v>
      </c>
    </row>
    <row r="10202" spans="1:9" x14ac:dyDescent="0.2">
      <c r="A10202" s="2" t="s">
        <v>3319</v>
      </c>
      <c r="B10202" s="2" t="s">
        <v>1324</v>
      </c>
      <c r="C10202" s="2">
        <v>581.72559999999999</v>
      </c>
      <c r="D10202" s="2">
        <f>HYPERLINK("http://mcb-m6.bioreg.kyushu-u.ac.jp/M3/20110421/F51042/1024/1", 41.65)</f>
        <v>41.65</v>
      </c>
      <c r="E10202" s="2">
        <v>21.22</v>
      </c>
      <c r="F10202" s="2">
        <v>2</v>
      </c>
      <c r="G10202" s="2" t="s">
        <v>11</v>
      </c>
    </row>
    <row r="10203" spans="1:9" x14ac:dyDescent="0.2">
      <c r="A10203" s="2" t="s">
        <v>3319</v>
      </c>
      <c r="B10203" s="2" t="s">
        <v>638</v>
      </c>
      <c r="C10203" s="2">
        <v>1112.521</v>
      </c>
      <c r="D10203" s="2">
        <f>HYPERLINK("http://mcb-m6.bioreg.kyushu-u.ac.jp/M3/20110421/F51040/1188/1", 42.02)</f>
        <v>42.02</v>
      </c>
      <c r="E10203" s="2">
        <v>28.8</v>
      </c>
      <c r="F10203" s="2">
        <v>1</v>
      </c>
      <c r="G10203" s="2" t="s">
        <v>11</v>
      </c>
    </row>
    <row r="10204" spans="1:9" x14ac:dyDescent="0.2">
      <c r="A10204" s="2" t="s">
        <v>3319</v>
      </c>
      <c r="B10204" s="2" t="s">
        <v>5257</v>
      </c>
      <c r="C10204" s="2">
        <v>1033.2570000000001</v>
      </c>
      <c r="D10204" s="2">
        <f>HYPERLINK("http://mcb-m6.bioreg.kyushu-u.ac.jp/M3/20110421/F51040/999/1", 43.79)</f>
        <v>43.79</v>
      </c>
      <c r="E10204" s="2">
        <v>27.81</v>
      </c>
      <c r="F10204" s="2">
        <v>1</v>
      </c>
      <c r="G10204" s="2" t="s">
        <v>11</v>
      </c>
    </row>
    <row r="10205" spans="1:9" x14ac:dyDescent="0.2">
      <c r="A10205" s="2" t="s">
        <v>3319</v>
      </c>
      <c r="B10205" s="2" t="s">
        <v>1420</v>
      </c>
      <c r="C10205" s="2">
        <v>1108.441</v>
      </c>
      <c r="D10205" s="2">
        <f>HYPERLINK("http://mcb-m6.bioreg.kyushu-u.ac.jp/M3/20110421/F51040/1178/1", 44.96)</f>
        <v>44.96</v>
      </c>
      <c r="E10205" s="2">
        <v>17.18</v>
      </c>
      <c r="F10205" s="2">
        <v>1</v>
      </c>
      <c r="G10205" s="2" t="s">
        <v>11</v>
      </c>
    </row>
    <row r="10206" spans="1:9" x14ac:dyDescent="0.2">
      <c r="A10206" s="2" t="s">
        <v>3319</v>
      </c>
      <c r="B10206" s="2" t="s">
        <v>1938</v>
      </c>
      <c r="C10206" s="2">
        <v>479.75510000000003</v>
      </c>
      <c r="D10206" s="2">
        <f>HYPERLINK("http://mcb-m6.bioreg.kyushu-u.ac.jp/M3/20110421/F51040/800/1", 45.03)</f>
        <v>45.03</v>
      </c>
      <c r="E10206" s="2">
        <v>14.54</v>
      </c>
      <c r="F10206" s="2">
        <v>2</v>
      </c>
      <c r="G10206" s="2" t="s">
        <v>11</v>
      </c>
    </row>
    <row r="10207" spans="1:9" x14ac:dyDescent="0.2">
      <c r="A10207" s="2" t="s">
        <v>3319</v>
      </c>
      <c r="B10207" s="2" t="s">
        <v>2093</v>
      </c>
      <c r="C10207" s="2">
        <v>797.95920000000001</v>
      </c>
      <c r="D10207" s="2">
        <f>HYPERLINK("http://mcb-m6.bioreg.kyushu-u.ac.jp/M3/20110421/F51042/2269/1", 45.15)</f>
        <v>45.15</v>
      </c>
      <c r="E10207" s="2">
        <v>31.79</v>
      </c>
      <c r="F10207" s="2">
        <v>2</v>
      </c>
      <c r="G10207" s="2" t="s">
        <v>11</v>
      </c>
    </row>
    <row r="10208" spans="1:9" x14ac:dyDescent="0.2">
      <c r="A10208" s="2" t="s">
        <v>3319</v>
      </c>
      <c r="B10208" s="2" t="s">
        <v>524</v>
      </c>
      <c r="C10208" s="2">
        <v>586.3066</v>
      </c>
      <c r="D10208" s="2">
        <f>HYPERLINK("http://mcb-m6.bioreg.kyushu-u.ac.jp/M3/20110421/F51040/1304/1", 49.21)</f>
        <v>49.21</v>
      </c>
      <c r="E10208" s="2">
        <v>28.9</v>
      </c>
      <c r="F10208" s="2">
        <v>2</v>
      </c>
      <c r="G10208" s="2" t="s">
        <v>11</v>
      </c>
    </row>
    <row r="10209" spans="1:9" x14ac:dyDescent="0.2">
      <c r="A10209" s="2" t="s">
        <v>3319</v>
      </c>
      <c r="B10209" s="2" t="s">
        <v>566</v>
      </c>
      <c r="C10209" s="2">
        <v>529.81119999999999</v>
      </c>
      <c r="D10209" s="2">
        <f>HYPERLINK("http://mcb-m6.bioreg.kyushu-u.ac.jp/M3/20110421/F51040/1071/1", 49.9)</f>
        <v>49.9</v>
      </c>
      <c r="E10209" s="2">
        <v>21.04</v>
      </c>
      <c r="F10209" s="2">
        <v>2</v>
      </c>
      <c r="G10209" s="2" t="s">
        <v>11</v>
      </c>
    </row>
    <row r="10210" spans="1:9" x14ac:dyDescent="0.2">
      <c r="A10210" s="2" t="s">
        <v>3319</v>
      </c>
      <c r="B10210" s="2" t="s">
        <v>2093</v>
      </c>
      <c r="C10210" s="2">
        <v>797.73569999999995</v>
      </c>
      <c r="D10210" s="2">
        <f>HYPERLINK("http://mcb-m6.bioreg.kyushu-u.ac.jp/M3/20110421/F51040/2344/1", 51.25)</f>
        <v>51.25</v>
      </c>
      <c r="E10210" s="2">
        <v>29.26</v>
      </c>
      <c r="F10210" s="2">
        <v>2</v>
      </c>
      <c r="G10210" s="2" t="s">
        <v>11</v>
      </c>
    </row>
    <row r="10211" spans="1:9" x14ac:dyDescent="0.2">
      <c r="A10211" s="2" t="s">
        <v>3319</v>
      </c>
      <c r="B10211" s="2" t="s">
        <v>5009</v>
      </c>
      <c r="C10211" s="2">
        <v>506.39159999999998</v>
      </c>
      <c r="D10211" s="2">
        <f>HYPERLINK("http://mcb-m6.bioreg.kyushu-u.ac.jp/M3/20110421/F51040/951/1", 51.71)</f>
        <v>51.71</v>
      </c>
      <c r="E10211" s="2">
        <v>31.68</v>
      </c>
      <c r="F10211" s="2">
        <v>2</v>
      </c>
      <c r="G10211" s="2" t="s">
        <v>11</v>
      </c>
    </row>
    <row r="10212" spans="1:9" x14ac:dyDescent="0.2">
      <c r="A10212" s="2" t="s">
        <v>3319</v>
      </c>
      <c r="B10212" s="2" t="s">
        <v>104</v>
      </c>
      <c r="C10212" s="2">
        <v>782.35770000000002</v>
      </c>
      <c r="D10212" s="2">
        <f>HYPERLINK("http://mcb-m6.bioreg.kyushu-u.ac.jp/M3/20110421/F51042/2163/1", 52.13)</f>
        <v>52.13</v>
      </c>
      <c r="E10212" s="2">
        <v>44.11</v>
      </c>
      <c r="F10212" s="2">
        <v>2</v>
      </c>
      <c r="G10212" s="2" t="s">
        <v>11</v>
      </c>
    </row>
    <row r="10213" spans="1:9" x14ac:dyDescent="0.2">
      <c r="A10213" s="2" t="s">
        <v>3319</v>
      </c>
      <c r="B10213" s="2" t="s">
        <v>2609</v>
      </c>
      <c r="C10213" s="2">
        <v>1260.422</v>
      </c>
      <c r="D10213" s="2">
        <f>HYPERLINK("http://mcb-m6.bioreg.kyushu-u.ac.jp/M3/20110421/F51040/1492/1", 54.27)</f>
        <v>54.27</v>
      </c>
      <c r="E10213" s="2">
        <v>31.95</v>
      </c>
      <c r="F10213" s="2">
        <v>1</v>
      </c>
      <c r="G10213" s="2" t="s">
        <v>11</v>
      </c>
      <c r="I10213" s="2" t="s">
        <v>4892</v>
      </c>
    </row>
    <row r="10214" spans="1:9" x14ac:dyDescent="0.2">
      <c r="A10214" s="2" t="s">
        <v>3319</v>
      </c>
      <c r="B10214" s="2" t="s">
        <v>2526</v>
      </c>
      <c r="C10214" s="2">
        <v>704.22059999999999</v>
      </c>
      <c r="D10214" s="2">
        <f>HYPERLINK("http://mcb-m6.bioreg.kyushu-u.ac.jp/M3/20110421/F51040/1835/1", 54.69)</f>
        <v>54.69</v>
      </c>
      <c r="E10214" s="2">
        <v>38.68</v>
      </c>
      <c r="F10214" s="2">
        <v>2</v>
      </c>
      <c r="G10214" s="2" t="s">
        <v>11</v>
      </c>
    </row>
    <row r="10215" spans="1:9" x14ac:dyDescent="0.2">
      <c r="A10215" s="2" t="s">
        <v>3319</v>
      </c>
      <c r="B10215" s="2" t="s">
        <v>566</v>
      </c>
      <c r="C10215" s="2">
        <v>1058.473</v>
      </c>
      <c r="D10215" s="2">
        <f>HYPERLINK("http://mcb-m6.bioreg.kyushu-u.ac.jp/M3/20110421/F51040/1070/1", 54.92)</f>
        <v>54.92</v>
      </c>
      <c r="E10215" s="2">
        <v>19.399999999999999</v>
      </c>
      <c r="F10215" s="2">
        <v>1</v>
      </c>
      <c r="G10215" s="2" t="s">
        <v>11</v>
      </c>
    </row>
    <row r="10216" spans="1:9" x14ac:dyDescent="0.2">
      <c r="A10216" s="2" t="s">
        <v>3319</v>
      </c>
      <c r="B10216" s="2" t="s">
        <v>979</v>
      </c>
      <c r="C10216" s="2">
        <v>1217.4760000000001</v>
      </c>
      <c r="D10216" s="2">
        <f>HYPERLINK("http://mcb-m6.bioreg.kyushu-u.ac.jp/M3/20110421/F51040/1411/1", 55.34)</f>
        <v>55.34</v>
      </c>
      <c r="E10216" s="2">
        <v>27.63</v>
      </c>
      <c r="F10216" s="2">
        <v>1</v>
      </c>
      <c r="G10216" s="2" t="s">
        <v>11</v>
      </c>
    </row>
    <row r="10217" spans="1:9" x14ac:dyDescent="0.2">
      <c r="A10217" s="2" t="s">
        <v>3319</v>
      </c>
      <c r="B10217" s="2" t="s">
        <v>638</v>
      </c>
      <c r="C10217" s="2">
        <v>557.32370000000003</v>
      </c>
      <c r="D10217" s="2">
        <f>HYPERLINK("http://mcb-m6.bioreg.kyushu-u.ac.jp/M3/20110421/F51040/1192/1", 55.8)</f>
        <v>55.8</v>
      </c>
      <c r="E10217" s="2">
        <v>28.88</v>
      </c>
      <c r="F10217" s="2">
        <v>2</v>
      </c>
      <c r="G10217" s="2" t="s">
        <v>11</v>
      </c>
    </row>
    <row r="10218" spans="1:9" x14ac:dyDescent="0.2">
      <c r="A10218" s="2" t="s">
        <v>3319</v>
      </c>
      <c r="B10218" s="2" t="s">
        <v>1938</v>
      </c>
      <c r="C10218" s="2">
        <v>479.23110000000003</v>
      </c>
      <c r="D10218" s="2">
        <f>HYPERLINK("http://mcb-m6.bioreg.kyushu-u.ac.jp/M3/20110421/F51040/794/1", 55.92)</f>
        <v>55.92</v>
      </c>
      <c r="E10218" s="2">
        <v>20.86</v>
      </c>
      <c r="F10218" s="2">
        <v>2</v>
      </c>
      <c r="G10218" s="2" t="s">
        <v>11</v>
      </c>
    </row>
    <row r="10219" spans="1:9" x14ac:dyDescent="0.2">
      <c r="A10219" s="2" t="s">
        <v>3319</v>
      </c>
      <c r="B10219" s="2" t="s">
        <v>1671</v>
      </c>
      <c r="C10219" s="2">
        <v>871.16520000000003</v>
      </c>
      <c r="D10219" s="2">
        <f>HYPERLINK("http://mcb-m6.bioreg.kyushu-u.ac.jp/M3/20110421/F51042/2705/1", 56.7)</f>
        <v>56.7</v>
      </c>
      <c r="E10219" s="2">
        <v>45.05</v>
      </c>
      <c r="F10219" s="2">
        <v>2</v>
      </c>
      <c r="G10219" s="2" t="s">
        <v>11</v>
      </c>
    </row>
    <row r="10220" spans="1:9" x14ac:dyDescent="0.2">
      <c r="A10220" s="2" t="s">
        <v>3319</v>
      </c>
      <c r="B10220" s="2" t="s">
        <v>2505</v>
      </c>
      <c r="C10220" s="2">
        <v>864.8691</v>
      </c>
      <c r="D10220" s="2">
        <f>HYPERLINK("http://mcb-m6.bioreg.kyushu-u.ac.jp/M3/20110421/F51042/2675/1", 57.22)</f>
        <v>57.22</v>
      </c>
      <c r="E10220" s="2">
        <v>47.16</v>
      </c>
      <c r="F10220" s="2">
        <v>2</v>
      </c>
      <c r="G10220" s="2" t="s">
        <v>11</v>
      </c>
      <c r="I10220" s="2" t="s">
        <v>4918</v>
      </c>
    </row>
    <row r="10221" spans="1:9" x14ac:dyDescent="0.2">
      <c r="A10221" s="2" t="s">
        <v>3319</v>
      </c>
      <c r="B10221" s="2" t="s">
        <v>1280</v>
      </c>
      <c r="C10221" s="2">
        <v>1245.326</v>
      </c>
      <c r="D10221" s="2">
        <f>HYPERLINK("http://mcb-m6.bioreg.kyushu-u.ac.jp/M3/20110421/F51040/1467/1", 58.24)</f>
        <v>58.24</v>
      </c>
      <c r="E10221" s="2">
        <v>40.11</v>
      </c>
      <c r="F10221" s="2">
        <v>1</v>
      </c>
      <c r="G10221" s="2" t="s">
        <v>11</v>
      </c>
    </row>
    <row r="10222" spans="1:9" x14ac:dyDescent="0.2">
      <c r="A10222" s="2" t="s">
        <v>3319</v>
      </c>
      <c r="B10222" s="2" t="s">
        <v>2070</v>
      </c>
      <c r="C10222" s="2">
        <v>714.31370000000004</v>
      </c>
      <c r="D10222" s="2">
        <f>HYPERLINK("http://mcb-m6.bioreg.kyushu-u.ac.jp/M3/20110421/F51039/1935/1", 58.49)</f>
        <v>58.49</v>
      </c>
      <c r="E10222" s="2">
        <v>32.46</v>
      </c>
      <c r="F10222" s="2">
        <v>2</v>
      </c>
      <c r="G10222" s="2" t="s">
        <v>11</v>
      </c>
    </row>
    <row r="10223" spans="1:9" x14ac:dyDescent="0.2">
      <c r="A10223" s="2" t="s">
        <v>3319</v>
      </c>
      <c r="B10223" s="2" t="s">
        <v>1280</v>
      </c>
      <c r="C10223" s="2">
        <v>1246.3979999999999</v>
      </c>
      <c r="D10223" s="2">
        <f>HYPERLINK("http://mcb-m6.bioreg.kyushu-u.ac.jp/M3/20110421/F51040/1471/1", 58.81)</f>
        <v>58.81</v>
      </c>
      <c r="E10223" s="2">
        <v>36.92</v>
      </c>
      <c r="F10223" s="2">
        <v>1</v>
      </c>
      <c r="G10223" s="2" t="s">
        <v>11</v>
      </c>
    </row>
    <row r="10224" spans="1:9" x14ac:dyDescent="0.2">
      <c r="A10224" s="2" t="s">
        <v>3319</v>
      </c>
      <c r="B10224" s="2" t="s">
        <v>104</v>
      </c>
      <c r="C10224" s="2">
        <v>782.26969999999994</v>
      </c>
      <c r="D10224" s="2">
        <f>HYPERLINK("http://mcb-m6.bioreg.kyushu-u.ac.jp/M3/20110421/F51042/2162/1", 58.97)</f>
        <v>58.97</v>
      </c>
      <c r="E10224" s="2">
        <v>51.21</v>
      </c>
      <c r="F10224" s="2">
        <v>2</v>
      </c>
      <c r="G10224" s="2" t="s">
        <v>11</v>
      </c>
    </row>
    <row r="10225" spans="1:9" x14ac:dyDescent="0.2">
      <c r="A10225" s="2" t="s">
        <v>3319</v>
      </c>
      <c r="B10225" s="2" t="s">
        <v>638</v>
      </c>
      <c r="C10225" s="2">
        <v>556.79169999999999</v>
      </c>
      <c r="D10225" s="2">
        <f>HYPERLINK("http://mcb-m6.bioreg.kyushu-u.ac.jp/M3/20110421/F51042/912/1", 59.18)</f>
        <v>59.18</v>
      </c>
      <c r="E10225" s="2">
        <v>39.06</v>
      </c>
      <c r="F10225" s="2">
        <v>2</v>
      </c>
      <c r="G10225" s="2" t="s">
        <v>11</v>
      </c>
    </row>
    <row r="10226" spans="1:9" x14ac:dyDescent="0.2">
      <c r="A10226" s="2" t="s">
        <v>3319</v>
      </c>
      <c r="B10226" s="2" t="s">
        <v>987</v>
      </c>
      <c r="C10226" s="2">
        <v>752.81870000000004</v>
      </c>
      <c r="D10226" s="2">
        <f>HYPERLINK("http://mcb-m6.bioreg.kyushu-u.ac.jp/M3/20110421/F51040/2118/1", 61.21)</f>
        <v>61.21</v>
      </c>
      <c r="E10226" s="2">
        <v>39.299999999999997</v>
      </c>
      <c r="F10226" s="2">
        <v>2</v>
      </c>
      <c r="G10226" s="2" t="s">
        <v>11</v>
      </c>
    </row>
    <row r="10227" spans="1:9" x14ac:dyDescent="0.2">
      <c r="A10227" s="2" t="s">
        <v>3319</v>
      </c>
      <c r="B10227" s="2" t="s">
        <v>2093</v>
      </c>
      <c r="C10227" s="2">
        <v>797.59860000000003</v>
      </c>
      <c r="D10227" s="2">
        <f>HYPERLINK("http://mcb-m6.bioreg.kyushu-u.ac.jp/M3/20110421/F51042/2266/1", 61.33)</f>
        <v>61.33</v>
      </c>
      <c r="E10227" s="2">
        <v>43.23</v>
      </c>
      <c r="F10227" s="2">
        <v>2</v>
      </c>
      <c r="G10227" s="2" t="s">
        <v>11</v>
      </c>
    </row>
    <row r="10228" spans="1:9" x14ac:dyDescent="0.2">
      <c r="A10228" s="2" t="s">
        <v>3319</v>
      </c>
      <c r="B10228" s="2" t="s">
        <v>2505</v>
      </c>
      <c r="C10228" s="2">
        <v>864.34969999999998</v>
      </c>
      <c r="D10228" s="2">
        <f>HYPERLINK("http://mcb-m6.bioreg.kyushu-u.ac.jp/M3/20110421/F51042/2669/1", 62.78)</f>
        <v>62.78</v>
      </c>
      <c r="E10228" s="2">
        <v>56.26</v>
      </c>
      <c r="F10228" s="2">
        <v>2</v>
      </c>
      <c r="G10228" s="2" t="s">
        <v>11</v>
      </c>
      <c r="I10228" s="2" t="s">
        <v>4918</v>
      </c>
    </row>
    <row r="10229" spans="1:9" x14ac:dyDescent="0.2">
      <c r="A10229" s="2" t="s">
        <v>3319</v>
      </c>
      <c r="B10229" s="2" t="s">
        <v>104</v>
      </c>
      <c r="C10229" s="2">
        <v>782.45370000000003</v>
      </c>
      <c r="D10229" s="2">
        <f>HYPERLINK("http://mcb-m6.bioreg.kyushu-u.ac.jp/M3/20110421/F51042/2164/1", 65.03)</f>
        <v>65.03</v>
      </c>
      <c r="E10229" s="2">
        <v>51.47</v>
      </c>
      <c r="F10229" s="2">
        <v>2</v>
      </c>
      <c r="G10229" s="2" t="s">
        <v>11</v>
      </c>
    </row>
    <row r="10230" spans="1:9" x14ac:dyDescent="0.2">
      <c r="A10230" s="2" t="s">
        <v>3319</v>
      </c>
      <c r="B10230" s="2" t="s">
        <v>2093</v>
      </c>
      <c r="C10230" s="2">
        <v>797.50459999999998</v>
      </c>
      <c r="D10230" s="2">
        <f>HYPERLINK("http://mcb-m6.bioreg.kyushu-u.ac.jp/M3/20110421/F51040/2342/1", 65.45)</f>
        <v>65.45</v>
      </c>
      <c r="E10230" s="2">
        <v>43.94</v>
      </c>
      <c r="F10230" s="2">
        <v>2</v>
      </c>
      <c r="G10230" s="2" t="s">
        <v>11</v>
      </c>
    </row>
    <row r="10231" spans="1:9" x14ac:dyDescent="0.2">
      <c r="A10231" s="2" t="s">
        <v>3319</v>
      </c>
      <c r="B10231" s="2" t="s">
        <v>987</v>
      </c>
      <c r="C10231" s="2">
        <v>753.3922</v>
      </c>
      <c r="D10231" s="2">
        <f>HYPERLINK("http://mcb-m6.bioreg.kyushu-u.ac.jp/M3/20110421/F51040/2120/1", 65.78)</f>
        <v>65.78</v>
      </c>
      <c r="E10231" s="2">
        <v>41.45</v>
      </c>
      <c r="F10231" s="2">
        <v>2</v>
      </c>
      <c r="G10231" s="2" t="s">
        <v>11</v>
      </c>
    </row>
    <row r="10232" spans="1:9" x14ac:dyDescent="0.2">
      <c r="A10232" s="2" t="s">
        <v>3319</v>
      </c>
      <c r="B10232" s="2" t="s">
        <v>2070</v>
      </c>
      <c r="C10232" s="2">
        <v>714.29909999999995</v>
      </c>
      <c r="D10232" s="2">
        <f>HYPERLINK("http://mcb-m6.bioreg.kyushu-u.ac.jp/M3/20110421/F51040/1906/1", 66.24)</f>
        <v>66.239999999999995</v>
      </c>
      <c r="E10232" s="2">
        <v>53.9</v>
      </c>
      <c r="F10232" s="2">
        <v>2</v>
      </c>
      <c r="G10232" s="2" t="s">
        <v>11</v>
      </c>
    </row>
    <row r="10233" spans="1:9" x14ac:dyDescent="0.2">
      <c r="A10233" s="2" t="s">
        <v>3319</v>
      </c>
      <c r="B10233" s="2" t="s">
        <v>2544</v>
      </c>
      <c r="C10233" s="2">
        <v>696.26009999999997</v>
      </c>
      <c r="D10233" s="2">
        <f>HYPERLINK("http://mcb-m6.bioreg.kyushu-u.ac.jp/M3/20110421/F51040/1789/1", 67.19)</f>
        <v>67.19</v>
      </c>
      <c r="E10233" s="2">
        <v>49.12</v>
      </c>
      <c r="F10233" s="2">
        <v>2</v>
      </c>
      <c r="G10233" s="2" t="s">
        <v>11</v>
      </c>
      <c r="I10233" s="2" t="s">
        <v>4903</v>
      </c>
    </row>
    <row r="10234" spans="1:9" x14ac:dyDescent="0.2">
      <c r="A10234" s="2" t="s">
        <v>3319</v>
      </c>
      <c r="B10234" s="2" t="s">
        <v>2609</v>
      </c>
      <c r="C10234" s="2">
        <v>631.1952</v>
      </c>
      <c r="D10234" s="2">
        <f>HYPERLINK("http://mcb-m6.bioreg.kyushu-u.ac.jp/M3/20110421/F51040/1496/1", 68.19)</f>
        <v>68.19</v>
      </c>
      <c r="E10234" s="2">
        <v>46.08</v>
      </c>
      <c r="F10234" s="2">
        <v>2</v>
      </c>
      <c r="G10234" s="2" t="s">
        <v>11</v>
      </c>
      <c r="I10234" s="2" t="s">
        <v>4892</v>
      </c>
    </row>
    <row r="10235" spans="1:9" x14ac:dyDescent="0.2">
      <c r="A10235" s="2" t="s">
        <v>3319</v>
      </c>
      <c r="B10235" s="2" t="s">
        <v>2526</v>
      </c>
      <c r="C10235" s="2">
        <v>704.92110000000002</v>
      </c>
      <c r="D10235" s="2">
        <f>HYPERLINK("http://mcb-m6.bioreg.kyushu-u.ac.jp/M3/20110421/F51040/1840/1", 69.36)</f>
        <v>69.36</v>
      </c>
      <c r="E10235" s="2">
        <v>50.78</v>
      </c>
      <c r="F10235" s="2">
        <v>2</v>
      </c>
      <c r="G10235" s="2" t="s">
        <v>11</v>
      </c>
    </row>
    <row r="10236" spans="1:9" x14ac:dyDescent="0.2">
      <c r="A10236" s="2" t="s">
        <v>3319</v>
      </c>
      <c r="B10236" s="2" t="s">
        <v>979</v>
      </c>
      <c r="C10236" s="2">
        <v>1216.423</v>
      </c>
      <c r="D10236" s="2">
        <f>HYPERLINK("http://mcb-m6.bioreg.kyushu-u.ac.jp/M3/20110421/F51040/1408/1", 69.78)</f>
        <v>69.78</v>
      </c>
      <c r="E10236" s="2">
        <v>39.33</v>
      </c>
      <c r="F10236" s="2">
        <v>1</v>
      </c>
      <c r="G10236" s="2" t="s">
        <v>11</v>
      </c>
    </row>
    <row r="10237" spans="1:9" x14ac:dyDescent="0.2">
      <c r="A10237" s="2" t="s">
        <v>3319</v>
      </c>
      <c r="B10237" s="2" t="s">
        <v>2070</v>
      </c>
      <c r="C10237" s="2">
        <v>714.35419999999999</v>
      </c>
      <c r="D10237" s="2">
        <f>HYPERLINK("http://mcb-m6.bioreg.kyushu-u.ac.jp/M3/20110421/F51042/1739/1", 69.99)</f>
        <v>69.989999999999995</v>
      </c>
      <c r="E10237" s="2">
        <v>51.16</v>
      </c>
      <c r="F10237" s="2">
        <v>2</v>
      </c>
      <c r="G10237" s="2" t="s">
        <v>11</v>
      </c>
    </row>
    <row r="10238" spans="1:9" x14ac:dyDescent="0.2">
      <c r="A10238" s="2" t="s">
        <v>3319</v>
      </c>
      <c r="B10238" s="2" t="s">
        <v>2505</v>
      </c>
      <c r="C10238" s="2">
        <v>872.85720000000003</v>
      </c>
      <c r="D10238" s="2">
        <f>HYPERLINK("http://mcb-m6.bioreg.kyushu-u.ac.jp/M3/20110421/F51040/2652/1", 71.58)</f>
        <v>71.58</v>
      </c>
      <c r="E10238" s="2">
        <v>60.03</v>
      </c>
      <c r="F10238" s="2">
        <v>2</v>
      </c>
      <c r="G10238" s="2" t="s">
        <v>11</v>
      </c>
      <c r="H10238" s="2" t="s">
        <v>4912</v>
      </c>
      <c r="I10238" s="2" t="s">
        <v>4918</v>
      </c>
    </row>
    <row r="10239" spans="1:9" x14ac:dyDescent="0.2">
      <c r="A10239" s="2" t="s">
        <v>3319</v>
      </c>
      <c r="B10239" s="2" t="s">
        <v>638</v>
      </c>
      <c r="C10239" s="2">
        <v>556.76969999999994</v>
      </c>
      <c r="D10239" s="2">
        <f>HYPERLINK("http://mcb-m6.bioreg.kyushu-u.ac.jp/M3/20110421/F51040/1189/1", 71.93)</f>
        <v>71.930000000000007</v>
      </c>
      <c r="E10239" s="2">
        <v>43.22</v>
      </c>
      <c r="F10239" s="2">
        <v>2</v>
      </c>
      <c r="G10239" s="2" t="s">
        <v>11</v>
      </c>
    </row>
    <row r="10240" spans="1:9" x14ac:dyDescent="0.2">
      <c r="A10240" s="2" t="s">
        <v>3319</v>
      </c>
      <c r="B10240" s="2" t="s">
        <v>2070</v>
      </c>
      <c r="C10240" s="2">
        <v>714.83810000000005</v>
      </c>
      <c r="D10240" s="2">
        <f>HYPERLINK("http://mcb-m6.bioreg.kyushu-u.ac.jp/M3/20110421/F51040/1908/1", 74.07)</f>
        <v>74.069999999999993</v>
      </c>
      <c r="E10240" s="2">
        <v>55.77</v>
      </c>
      <c r="F10240" s="2">
        <v>2</v>
      </c>
      <c r="G10240" s="2" t="s">
        <v>11</v>
      </c>
    </row>
    <row r="10241" spans="1:9" x14ac:dyDescent="0.2">
      <c r="A10241" s="2" t="s">
        <v>3319</v>
      </c>
      <c r="B10241" s="2" t="s">
        <v>2544</v>
      </c>
      <c r="C10241" s="2">
        <v>695.75819999999999</v>
      </c>
      <c r="D10241" s="2">
        <f>HYPERLINK("http://mcb-m6.bioreg.kyushu-u.ac.jp/M3/20110421/F51040/1787/1", 77.16)</f>
        <v>77.16</v>
      </c>
      <c r="E10241" s="2">
        <v>54.08</v>
      </c>
      <c r="F10241" s="2">
        <v>2</v>
      </c>
      <c r="G10241" s="2" t="s">
        <v>11</v>
      </c>
      <c r="I10241" s="2" t="s">
        <v>4903</v>
      </c>
    </row>
    <row r="10242" spans="1:9" x14ac:dyDescent="0.2">
      <c r="A10242" s="2" t="s">
        <v>3319</v>
      </c>
      <c r="B10242" s="2" t="s">
        <v>5070</v>
      </c>
      <c r="C10242" s="2">
        <v>459.8186</v>
      </c>
      <c r="D10242" s="2">
        <f>HYPERLINK("http://mcb-m6.bioreg.kyushu-u.ac.jp/M3/20110421/F51040/666/1", 78.14)</f>
        <v>78.14</v>
      </c>
      <c r="E10242" s="2">
        <v>39.51</v>
      </c>
      <c r="F10242" s="2">
        <v>2</v>
      </c>
      <c r="G10242" s="2" t="s">
        <v>11</v>
      </c>
    </row>
    <row r="10243" spans="1:9" x14ac:dyDescent="0.2">
      <c r="A10243" s="2" t="s">
        <v>3319</v>
      </c>
      <c r="B10243" s="2" t="s">
        <v>1420</v>
      </c>
      <c r="C10243" s="2">
        <v>554.71010000000001</v>
      </c>
      <c r="D10243" s="2">
        <f>HYPERLINK("http://mcb-m6.bioreg.kyushu-u.ac.jp/M3/20110421/F51040/1177/1", 79.6)</f>
        <v>79.599999999999994</v>
      </c>
      <c r="E10243" s="2">
        <v>36.75</v>
      </c>
      <c r="F10243" s="2">
        <v>2</v>
      </c>
      <c r="G10243" s="2" t="s">
        <v>11</v>
      </c>
    </row>
    <row r="10244" spans="1:9" x14ac:dyDescent="0.2">
      <c r="A10244" s="2" t="s">
        <v>3319</v>
      </c>
      <c r="B10244" s="2" t="s">
        <v>2609</v>
      </c>
      <c r="C10244" s="2">
        <v>631.31370000000004</v>
      </c>
      <c r="D10244" s="2">
        <f>HYPERLINK("http://mcb-m6.bioreg.kyushu-u.ac.jp/M3/20110421/F51042/1256/1", 81.57)</f>
        <v>81.569999999999993</v>
      </c>
      <c r="E10244" s="2">
        <v>54.37</v>
      </c>
      <c r="F10244" s="2">
        <v>2</v>
      </c>
      <c r="G10244" s="2" t="s">
        <v>11</v>
      </c>
      <c r="I10244" s="2" t="s">
        <v>4892</v>
      </c>
    </row>
    <row r="10245" spans="1:9" x14ac:dyDescent="0.2">
      <c r="A10245" s="2" t="s">
        <v>3319</v>
      </c>
      <c r="B10245" s="2" t="s">
        <v>2526</v>
      </c>
      <c r="C10245" s="2">
        <v>712.31410000000005</v>
      </c>
      <c r="D10245" s="2">
        <f>HYPERLINK("http://mcb-m6.bioreg.kyushu-u.ac.jp/M3/20110421/F51040/1884/1", 84.28)</f>
        <v>84.28</v>
      </c>
      <c r="E10245" s="2">
        <v>68.44</v>
      </c>
      <c r="F10245" s="2">
        <v>2</v>
      </c>
      <c r="G10245" s="2" t="s">
        <v>11</v>
      </c>
      <c r="H10245" s="2" t="s">
        <v>4908</v>
      </c>
    </row>
    <row r="10246" spans="1:9" x14ac:dyDescent="0.2">
      <c r="A10246" s="2" t="s">
        <v>3319</v>
      </c>
      <c r="B10246" s="2" t="s">
        <v>104</v>
      </c>
      <c r="C10246" s="2">
        <v>781.80619999999999</v>
      </c>
      <c r="D10246" s="2">
        <f>HYPERLINK("http://mcb-m6.bioreg.kyushu-u.ac.jp/M3/20110421/F51039/2310/1", 84.35)</f>
        <v>84.35</v>
      </c>
      <c r="E10246" s="2">
        <v>72.55</v>
      </c>
      <c r="F10246" s="2">
        <v>2</v>
      </c>
      <c r="G10246" s="2" t="s">
        <v>11</v>
      </c>
    </row>
    <row r="10247" spans="1:9" x14ac:dyDescent="0.2">
      <c r="A10247" s="2" t="s">
        <v>3319</v>
      </c>
      <c r="B10247" s="2" t="s">
        <v>1280</v>
      </c>
      <c r="C10247" s="2">
        <v>623.88120000000004</v>
      </c>
      <c r="D10247" s="2">
        <f>HYPERLINK("http://mcb-m6.bioreg.kyushu-u.ac.jp/M3/20110421/F51040/1473/1", 89.11)</f>
        <v>89.11</v>
      </c>
      <c r="E10247" s="2">
        <v>63.57</v>
      </c>
      <c r="F10247" s="2">
        <v>2</v>
      </c>
      <c r="G10247" s="2" t="s">
        <v>11</v>
      </c>
    </row>
    <row r="10248" spans="1:9" x14ac:dyDescent="0.2">
      <c r="A10248" s="2" t="s">
        <v>3319</v>
      </c>
      <c r="B10248" s="2" t="s">
        <v>2505</v>
      </c>
      <c r="C10248" s="2">
        <v>872.33810000000005</v>
      </c>
      <c r="D10248" s="2">
        <f>HYPERLINK("http://mcb-m6.bioreg.kyushu-u.ac.jp/M3/20110421/F51040/2647/1", 90.36)</f>
        <v>90.36</v>
      </c>
      <c r="E10248" s="2">
        <v>82.5</v>
      </c>
      <c r="F10248" s="2">
        <v>2</v>
      </c>
      <c r="G10248" s="2" t="s">
        <v>11</v>
      </c>
      <c r="H10248" s="2" t="s">
        <v>4912</v>
      </c>
      <c r="I10248" s="2" t="s">
        <v>4918</v>
      </c>
    </row>
    <row r="10249" spans="1:9" x14ac:dyDescent="0.2">
      <c r="A10249" s="2" t="s">
        <v>3319</v>
      </c>
      <c r="B10249" s="2" t="s">
        <v>2093</v>
      </c>
      <c r="C10249" s="2">
        <v>797.23320000000001</v>
      </c>
      <c r="D10249" s="2">
        <f>HYPERLINK("http://mcb-m6.bioreg.kyushu-u.ac.jp/M3/20110421/F51040/2338/1", 94.81)</f>
        <v>94.81</v>
      </c>
      <c r="E10249" s="2">
        <v>73.56</v>
      </c>
      <c r="F10249" s="2">
        <v>2</v>
      </c>
      <c r="G10249" s="2" t="s">
        <v>11</v>
      </c>
    </row>
    <row r="10250" spans="1:9" x14ac:dyDescent="0.2">
      <c r="A10250" s="2" t="s">
        <v>3319</v>
      </c>
      <c r="B10250" s="2" t="s">
        <v>1749</v>
      </c>
      <c r="C10250" s="2">
        <v>778.76419999999996</v>
      </c>
      <c r="D10250" s="2">
        <f>HYPERLINK("http://mcb-m6.bioreg.kyushu-u.ac.jp/M3/20110421/F51040/2240/1", 97.27)</f>
        <v>97.27</v>
      </c>
      <c r="E10250" s="2">
        <v>79.739999999999995</v>
      </c>
      <c r="F10250" s="2">
        <v>2</v>
      </c>
      <c r="G10250" s="2" t="s">
        <v>11</v>
      </c>
    </row>
    <row r="10251" spans="1:9" x14ac:dyDescent="0.2">
      <c r="A10251" s="2" t="s">
        <v>3319</v>
      </c>
      <c r="B10251" s="2" t="s">
        <v>1909</v>
      </c>
      <c r="C10251" s="2">
        <v>869.7491</v>
      </c>
      <c r="D10251" s="2">
        <f>HYPERLINK("http://mcb-m6.bioreg.kyushu-u.ac.jp/M3/20110421/F51040/2638/1", 99.54)</f>
        <v>99.54</v>
      </c>
      <c r="E10251" s="2">
        <v>75.56</v>
      </c>
      <c r="F10251" s="2">
        <v>2</v>
      </c>
      <c r="G10251" s="2" t="s">
        <v>11</v>
      </c>
    </row>
    <row r="10252" spans="1:9" x14ac:dyDescent="0.2">
      <c r="A10252" s="2" t="s">
        <v>3319</v>
      </c>
      <c r="B10252" s="2" t="s">
        <v>104</v>
      </c>
      <c r="C10252" s="2">
        <v>782.26919999999996</v>
      </c>
      <c r="D10252" s="2">
        <f>HYPERLINK("http://mcb-m6.bioreg.kyushu-u.ac.jp/M3/20110421/F51040/2268/1", 99.7)</f>
        <v>99.7</v>
      </c>
      <c r="E10252" s="2">
        <v>84.62</v>
      </c>
      <c r="F10252" s="2">
        <v>2</v>
      </c>
      <c r="G10252" s="2" t="s">
        <v>11</v>
      </c>
    </row>
    <row r="10253" spans="1:9" x14ac:dyDescent="0.2">
      <c r="A10253" s="2" t="s">
        <v>3319</v>
      </c>
      <c r="B10253" s="2" t="s">
        <v>1909</v>
      </c>
      <c r="C10253" s="2">
        <v>869.73820000000001</v>
      </c>
      <c r="D10253" s="2">
        <f>HYPERLINK("http://mcb-m6.bioreg.kyushu-u.ac.jp/M3/20110421/F51042/2699/1", 99.8)</f>
        <v>99.8</v>
      </c>
      <c r="E10253" s="2">
        <v>74.86</v>
      </c>
      <c r="F10253" s="2">
        <v>2</v>
      </c>
      <c r="G10253" s="2" t="s">
        <v>11</v>
      </c>
    </row>
    <row r="10254" spans="1:9" x14ac:dyDescent="0.2">
      <c r="A10254" s="2" t="s">
        <v>3319</v>
      </c>
      <c r="B10254" s="2" t="s">
        <v>104</v>
      </c>
      <c r="C10254" s="2">
        <v>781.95069999999998</v>
      </c>
      <c r="D10254" s="2">
        <f>HYPERLINK("http://mcb-m6.bioreg.kyushu-u.ac.jp/M3/20110421/F51058/2088/1", 103.02)</f>
        <v>103.02</v>
      </c>
      <c r="E10254" s="2">
        <v>90.46</v>
      </c>
      <c r="F10254" s="2">
        <v>2</v>
      </c>
      <c r="G10254" s="2" t="s">
        <v>11</v>
      </c>
    </row>
    <row r="10255" spans="1:9" x14ac:dyDescent="0.2">
      <c r="A10255" s="2" t="s">
        <v>3319</v>
      </c>
      <c r="B10255" s="2" t="s">
        <v>2505</v>
      </c>
      <c r="C10255" s="2">
        <v>864.37220000000002</v>
      </c>
      <c r="D10255" s="2">
        <f>HYPERLINK("http://mcb-m6.bioreg.kyushu-u.ac.jp/M3/20110421/F51040/2618/1", 108.14)</f>
        <v>108.14</v>
      </c>
      <c r="E10255" s="2">
        <v>90.11</v>
      </c>
      <c r="F10255" s="2">
        <v>2</v>
      </c>
      <c r="G10255" s="2" t="s">
        <v>11</v>
      </c>
      <c r="I10255" s="2" t="s">
        <v>4918</v>
      </c>
    </row>
    <row r="10256" spans="1:9" x14ac:dyDescent="0.2">
      <c r="A10256" s="2" t="s">
        <v>3319</v>
      </c>
      <c r="B10256" s="2" t="s">
        <v>638</v>
      </c>
      <c r="C10256" s="2">
        <v>1112.587</v>
      </c>
      <c r="D10256" s="2">
        <f>HYPERLINK("http://mcb-m6.bioreg.kyushu-u.ac.jp/M3/20110421/F51050/1370/1", 35.6)</f>
        <v>35.6</v>
      </c>
      <c r="E10256" s="2">
        <v>20.260000000000002</v>
      </c>
      <c r="F10256" s="2">
        <v>1</v>
      </c>
      <c r="G10256" s="2" t="s">
        <v>12</v>
      </c>
    </row>
    <row r="10257" spans="1:9" x14ac:dyDescent="0.2">
      <c r="A10257" s="2" t="s">
        <v>3319</v>
      </c>
      <c r="B10257" s="2" t="s">
        <v>1311</v>
      </c>
      <c r="C10257" s="2">
        <v>826.83320000000003</v>
      </c>
      <c r="D10257" s="2">
        <f>HYPERLINK("http://mcb-m6.bioreg.kyushu-u.ac.jp/M3/20110421/F51050/2456/1", 43.27)</f>
        <v>43.27</v>
      </c>
      <c r="E10257" s="2">
        <v>26.15</v>
      </c>
      <c r="F10257" s="2">
        <v>2</v>
      </c>
      <c r="G10257" s="2" t="s">
        <v>12</v>
      </c>
    </row>
    <row r="10258" spans="1:9" x14ac:dyDescent="0.2">
      <c r="A10258" s="2" t="s">
        <v>3319</v>
      </c>
      <c r="B10258" s="2" t="s">
        <v>979</v>
      </c>
      <c r="C10258" s="2">
        <v>608.91420000000005</v>
      </c>
      <c r="D10258" s="2">
        <f>HYPERLINK("http://mcb-m6.bioreg.kyushu-u.ac.jp/M3/20110421/F51050/1565/1", 43.56)</f>
        <v>43.56</v>
      </c>
      <c r="E10258" s="2">
        <v>11.55</v>
      </c>
      <c r="F10258" s="2">
        <v>2</v>
      </c>
      <c r="G10258" s="2" t="s">
        <v>12</v>
      </c>
    </row>
    <row r="10259" spans="1:9" x14ac:dyDescent="0.2">
      <c r="A10259" s="2" t="s">
        <v>3319</v>
      </c>
      <c r="B10259" s="2" t="s">
        <v>5257</v>
      </c>
      <c r="C10259" s="2">
        <v>1033.5920000000001</v>
      </c>
      <c r="D10259" s="2">
        <f>HYPERLINK("http://mcb-m6.bioreg.kyushu-u.ac.jp/M3/20110421/F51050/1207/1", 43.86)</f>
        <v>43.86</v>
      </c>
      <c r="E10259" s="2">
        <v>30.2</v>
      </c>
      <c r="F10259" s="2">
        <v>1</v>
      </c>
      <c r="G10259" s="2" t="s">
        <v>12</v>
      </c>
    </row>
    <row r="10260" spans="1:9" x14ac:dyDescent="0.2">
      <c r="A10260" s="2" t="s">
        <v>3319</v>
      </c>
      <c r="B10260" s="2" t="s">
        <v>2544</v>
      </c>
      <c r="C10260" s="2">
        <v>696.09270000000004</v>
      </c>
      <c r="D10260" s="2">
        <f>HYPERLINK("http://mcb-m6.bioreg.kyushu-u.ac.jp/M3/20110421/F51023/1919/1", 44.15)</f>
        <v>44.15</v>
      </c>
      <c r="E10260" s="2">
        <v>14.57</v>
      </c>
      <c r="F10260" s="2">
        <v>2</v>
      </c>
      <c r="G10260" s="2" t="s">
        <v>12</v>
      </c>
      <c r="I10260" s="2" t="s">
        <v>4903</v>
      </c>
    </row>
    <row r="10261" spans="1:9" x14ac:dyDescent="0.2">
      <c r="A10261" s="2" t="s">
        <v>3319</v>
      </c>
      <c r="B10261" s="2" t="s">
        <v>2609</v>
      </c>
      <c r="C10261" s="2">
        <v>1260.346</v>
      </c>
      <c r="D10261" s="2">
        <f>HYPERLINK("http://mcb-m6.bioreg.kyushu-u.ac.jp/M3/20110421/F51050/1644/1", 45.87)</f>
        <v>45.87</v>
      </c>
      <c r="E10261" s="2">
        <v>15.88</v>
      </c>
      <c r="F10261" s="2">
        <v>1</v>
      </c>
      <c r="G10261" s="2" t="s">
        <v>12</v>
      </c>
      <c r="I10261" s="2" t="s">
        <v>4892</v>
      </c>
    </row>
    <row r="10262" spans="1:9" x14ac:dyDescent="0.2">
      <c r="A10262" s="2" t="s">
        <v>3319</v>
      </c>
      <c r="B10262" s="2" t="s">
        <v>1311</v>
      </c>
      <c r="C10262" s="2">
        <v>826.16219999999998</v>
      </c>
      <c r="D10262" s="2">
        <f>HYPERLINK("http://mcb-m6.bioreg.kyushu-u.ac.jp/M3/20110421/F51050/2450/1", 46.37)</f>
        <v>46.37</v>
      </c>
      <c r="E10262" s="2">
        <v>37.86</v>
      </c>
      <c r="F10262" s="2">
        <v>2</v>
      </c>
      <c r="G10262" s="2" t="s">
        <v>12</v>
      </c>
    </row>
    <row r="10263" spans="1:9" x14ac:dyDescent="0.2">
      <c r="A10263" s="2" t="s">
        <v>3319</v>
      </c>
      <c r="B10263" s="2" t="s">
        <v>1753</v>
      </c>
      <c r="C10263" s="2">
        <v>573.44320000000005</v>
      </c>
      <c r="D10263" s="2">
        <f>HYPERLINK("http://mcb-m6.bioreg.kyushu-u.ac.jp/M3/20110421/F51050/1420/1", 46.85)</f>
        <v>46.85</v>
      </c>
      <c r="E10263" s="2">
        <v>31.49</v>
      </c>
      <c r="F10263" s="2">
        <v>2</v>
      </c>
      <c r="G10263" s="2" t="s">
        <v>12</v>
      </c>
    </row>
    <row r="10264" spans="1:9" x14ac:dyDescent="0.2">
      <c r="A10264" s="2" t="s">
        <v>3319</v>
      </c>
      <c r="B10264" s="2" t="s">
        <v>566</v>
      </c>
      <c r="C10264" s="2">
        <v>1058.623</v>
      </c>
      <c r="D10264" s="2">
        <f>HYPERLINK("http://mcb-m6.bioreg.kyushu-u.ac.jp/M3/20110421/F51050/1276/1", 47.23)</f>
        <v>47.23</v>
      </c>
      <c r="E10264" s="2">
        <v>14.99</v>
      </c>
      <c r="F10264" s="2">
        <v>1</v>
      </c>
      <c r="G10264" s="2" t="s">
        <v>12</v>
      </c>
    </row>
    <row r="10265" spans="1:9" x14ac:dyDescent="0.2">
      <c r="A10265" s="2" t="s">
        <v>3319</v>
      </c>
      <c r="B10265" s="2" t="s">
        <v>1420</v>
      </c>
      <c r="C10265" s="2">
        <v>1108.654</v>
      </c>
      <c r="D10265" s="2">
        <f>HYPERLINK("http://mcb-m6.bioreg.kyushu-u.ac.jp/M3/20110421/F51050/1361/1", 47.6)</f>
        <v>47.6</v>
      </c>
      <c r="E10265" s="2">
        <v>12.38</v>
      </c>
      <c r="F10265" s="2">
        <v>1</v>
      </c>
      <c r="G10265" s="2" t="s">
        <v>12</v>
      </c>
    </row>
    <row r="10266" spans="1:9" x14ac:dyDescent="0.2">
      <c r="A10266" s="2" t="s">
        <v>3319</v>
      </c>
      <c r="B10266" s="2" t="s">
        <v>232</v>
      </c>
      <c r="C10266" s="2">
        <v>790.37699999999995</v>
      </c>
      <c r="D10266" s="2">
        <f>HYPERLINK("http://mcb-m6.bioreg.kyushu-u.ac.jp/M3/20110421/F51050/825/1", 48.53)</f>
        <v>48.53</v>
      </c>
      <c r="E10266" s="2">
        <v>17.68</v>
      </c>
      <c r="F10266" s="2">
        <v>1</v>
      </c>
      <c r="G10266" s="2" t="s">
        <v>12</v>
      </c>
    </row>
    <row r="10267" spans="1:9" x14ac:dyDescent="0.2">
      <c r="A10267" s="2" t="s">
        <v>3319</v>
      </c>
      <c r="B10267" s="2" t="s">
        <v>566</v>
      </c>
      <c r="C10267" s="2">
        <v>529.82259999999997</v>
      </c>
      <c r="D10267" s="2">
        <f>HYPERLINK("http://mcb-m6.bioreg.kyushu-u.ac.jp/M3/20110421/F51050/1277/1", 49.53)</f>
        <v>49.53</v>
      </c>
      <c r="E10267" s="2">
        <v>17.18</v>
      </c>
      <c r="F10267" s="2">
        <v>2</v>
      </c>
      <c r="G10267" s="2" t="s">
        <v>12</v>
      </c>
    </row>
    <row r="10268" spans="1:9" x14ac:dyDescent="0.2">
      <c r="A10268" s="2" t="s">
        <v>3319</v>
      </c>
      <c r="B10268" s="2" t="s">
        <v>2526</v>
      </c>
      <c r="C10268" s="2">
        <v>704.38319999999999</v>
      </c>
      <c r="D10268" s="2">
        <f>HYPERLINK("http://mcb-m6.bioreg.kyushu-u.ac.jp/M3/20110421/F51050/1962/1", 51.12)</f>
        <v>51.12</v>
      </c>
      <c r="E10268" s="2">
        <v>39.340000000000003</v>
      </c>
      <c r="F10268" s="2">
        <v>2</v>
      </c>
      <c r="G10268" s="2" t="s">
        <v>12</v>
      </c>
    </row>
    <row r="10269" spans="1:9" x14ac:dyDescent="0.2">
      <c r="A10269" s="2" t="s">
        <v>3319</v>
      </c>
      <c r="B10269" s="2" t="s">
        <v>524</v>
      </c>
      <c r="C10269" s="2">
        <v>586.44920000000002</v>
      </c>
      <c r="D10269" s="2">
        <f>HYPERLINK("http://mcb-m6.bioreg.kyushu-u.ac.jp/M3/20110421/F51050/1472/1", 52.06)</f>
        <v>52.06</v>
      </c>
      <c r="E10269" s="2">
        <v>26.81</v>
      </c>
      <c r="F10269" s="2">
        <v>2</v>
      </c>
      <c r="G10269" s="2" t="s">
        <v>12</v>
      </c>
    </row>
    <row r="10270" spans="1:9" x14ac:dyDescent="0.2">
      <c r="A10270" s="2" t="s">
        <v>3319</v>
      </c>
      <c r="B10270" s="2" t="s">
        <v>2070</v>
      </c>
      <c r="C10270" s="2">
        <v>714.37620000000004</v>
      </c>
      <c r="D10270" s="2">
        <f>HYPERLINK("http://mcb-m6.bioreg.kyushu-u.ac.jp/M3/20110421/F51050/2027/1", 53.23)</f>
        <v>53.23</v>
      </c>
      <c r="E10270" s="2">
        <v>38.340000000000003</v>
      </c>
      <c r="F10270" s="2">
        <v>2</v>
      </c>
      <c r="G10270" s="2" t="s">
        <v>12</v>
      </c>
    </row>
    <row r="10271" spans="1:9" x14ac:dyDescent="0.2">
      <c r="A10271" s="2" t="s">
        <v>3319</v>
      </c>
      <c r="B10271" s="2" t="s">
        <v>1753</v>
      </c>
      <c r="C10271" s="2">
        <v>564.79819999999995</v>
      </c>
      <c r="D10271" s="2">
        <f>HYPERLINK("http://mcb-m6.bioreg.kyushu-u.ac.jp/M3/20110421/F51050/1394/1", 53.53)</f>
        <v>53.53</v>
      </c>
      <c r="E10271" s="2">
        <v>31.94</v>
      </c>
      <c r="F10271" s="2">
        <v>2</v>
      </c>
      <c r="G10271" s="2" t="s">
        <v>12</v>
      </c>
      <c r="H10271" s="2" t="s">
        <v>4904</v>
      </c>
    </row>
    <row r="10272" spans="1:9" x14ac:dyDescent="0.2">
      <c r="A10272" s="2" t="s">
        <v>3319</v>
      </c>
      <c r="B10272" s="2" t="s">
        <v>987</v>
      </c>
      <c r="C10272" s="2">
        <v>752.93370000000004</v>
      </c>
      <c r="D10272" s="2">
        <f>HYPERLINK("http://mcb-m6.bioreg.kyushu-u.ac.jp/M3/20110421/F51050/2190/1", 54.38)</f>
        <v>54.38</v>
      </c>
      <c r="E10272" s="2">
        <v>23.08</v>
      </c>
      <c r="F10272" s="2">
        <v>2</v>
      </c>
      <c r="G10272" s="2" t="s">
        <v>12</v>
      </c>
    </row>
    <row r="10273" spans="1:9" x14ac:dyDescent="0.2">
      <c r="A10273" s="2" t="s">
        <v>3319</v>
      </c>
      <c r="B10273" s="2" t="s">
        <v>1826</v>
      </c>
      <c r="C10273" s="2">
        <v>688.83759999999995</v>
      </c>
      <c r="D10273" s="2">
        <f>HYPERLINK("http://mcb-m6.bioreg.kyushu-u.ac.jp/M3/20110421/F51050/1886/1", 54.39)</f>
        <v>54.39</v>
      </c>
      <c r="E10273" s="2">
        <v>27.23</v>
      </c>
      <c r="F10273" s="2">
        <v>2</v>
      </c>
      <c r="G10273" s="2" t="s">
        <v>12</v>
      </c>
    </row>
    <row r="10274" spans="1:9" x14ac:dyDescent="0.2">
      <c r="A10274" s="2" t="s">
        <v>3319</v>
      </c>
      <c r="B10274" s="2" t="s">
        <v>979</v>
      </c>
      <c r="C10274" s="2">
        <v>1216.691</v>
      </c>
      <c r="D10274" s="2">
        <f>HYPERLINK("http://mcb-m6.bioreg.kyushu-u.ac.jp/M3/20110421/F51050/1564/1", 57.44)</f>
        <v>57.44</v>
      </c>
      <c r="E10274" s="2">
        <v>29.17</v>
      </c>
      <c r="F10274" s="2">
        <v>1</v>
      </c>
      <c r="G10274" s="2" t="s">
        <v>12</v>
      </c>
    </row>
    <row r="10275" spans="1:9" x14ac:dyDescent="0.2">
      <c r="A10275" s="2" t="s">
        <v>3319</v>
      </c>
      <c r="B10275" s="2" t="s">
        <v>1420</v>
      </c>
      <c r="C10275" s="2">
        <v>555.15769999999998</v>
      </c>
      <c r="D10275" s="2">
        <f>HYPERLINK("http://mcb-m6.bioreg.kyushu-u.ac.jp/M3/20110421/F51047/1231/1", 57.54)</f>
        <v>57.54</v>
      </c>
      <c r="E10275" s="2">
        <v>14.98</v>
      </c>
      <c r="F10275" s="2">
        <v>2</v>
      </c>
      <c r="G10275" s="2" t="s">
        <v>12</v>
      </c>
    </row>
    <row r="10276" spans="1:9" x14ac:dyDescent="0.2">
      <c r="A10276" s="2" t="s">
        <v>3319</v>
      </c>
      <c r="B10276" s="2" t="s">
        <v>2181</v>
      </c>
      <c r="C10276" s="2">
        <v>496.2946</v>
      </c>
      <c r="D10276" s="2">
        <f>HYPERLINK("http://mcb-m6.bioreg.kyushu-u.ac.jp/M3/20110421/F51050/1112/1", 59.28)</f>
        <v>59.28</v>
      </c>
      <c r="E10276" s="2">
        <v>41.69</v>
      </c>
      <c r="F10276" s="2">
        <v>2</v>
      </c>
      <c r="G10276" s="2" t="s">
        <v>12</v>
      </c>
    </row>
    <row r="10277" spans="1:9" x14ac:dyDescent="0.2">
      <c r="A10277" s="2" t="s">
        <v>3319</v>
      </c>
      <c r="B10277" s="2" t="s">
        <v>2222</v>
      </c>
      <c r="C10277" s="2">
        <v>525.33920000000001</v>
      </c>
      <c r="D10277" s="2">
        <f>HYPERLINK("http://mcb-m6.bioreg.kyushu-u.ac.jp/M3/20110421/F51050/1258/1", 59.82)</f>
        <v>59.82</v>
      </c>
      <c r="E10277" s="2">
        <v>42.43</v>
      </c>
      <c r="F10277" s="2">
        <v>2</v>
      </c>
      <c r="G10277" s="2" t="s">
        <v>12</v>
      </c>
    </row>
    <row r="10278" spans="1:9" x14ac:dyDescent="0.2">
      <c r="A10278" s="2" t="s">
        <v>3319</v>
      </c>
      <c r="B10278" s="2" t="s">
        <v>104</v>
      </c>
      <c r="C10278" s="2">
        <v>782.27170000000001</v>
      </c>
      <c r="D10278" s="2">
        <f>HYPERLINK("http://mcb-m6.bioreg.kyushu-u.ac.jp/M3/20110421/F51050/2305/1", 61.27)</f>
        <v>61.27</v>
      </c>
      <c r="E10278" s="2">
        <v>57.45</v>
      </c>
      <c r="F10278" s="2">
        <v>2</v>
      </c>
      <c r="G10278" s="2" t="s">
        <v>12</v>
      </c>
    </row>
    <row r="10279" spans="1:9" x14ac:dyDescent="0.2">
      <c r="A10279" s="2" t="s">
        <v>3319</v>
      </c>
      <c r="B10279" s="2" t="s">
        <v>1280</v>
      </c>
      <c r="C10279" s="2">
        <v>1245.548</v>
      </c>
      <c r="D10279" s="2">
        <f>HYPERLINK("http://mcb-m6.bioreg.kyushu-u.ac.jp/M3/20110421/F51050/1615/1", 65.27)</f>
        <v>65.27</v>
      </c>
      <c r="E10279" s="2">
        <v>42.91</v>
      </c>
      <c r="F10279" s="2">
        <v>1</v>
      </c>
      <c r="G10279" s="2" t="s">
        <v>12</v>
      </c>
    </row>
    <row r="10280" spans="1:9" x14ac:dyDescent="0.2">
      <c r="A10280" s="2" t="s">
        <v>3319</v>
      </c>
      <c r="B10280" s="2" t="s">
        <v>2505</v>
      </c>
      <c r="C10280" s="2">
        <v>872.96370000000002</v>
      </c>
      <c r="D10280" s="2">
        <f>HYPERLINK("http://mcb-m6.bioreg.kyushu-u.ac.jp/M3/20110421/F51050/2584/1", 66.04)</f>
        <v>66.040000000000006</v>
      </c>
      <c r="E10280" s="2">
        <v>51.55</v>
      </c>
      <c r="F10280" s="2">
        <v>2</v>
      </c>
      <c r="G10280" s="2" t="s">
        <v>12</v>
      </c>
      <c r="H10280" s="2" t="s">
        <v>4912</v>
      </c>
      <c r="I10280" s="2" t="s">
        <v>4918</v>
      </c>
    </row>
    <row r="10281" spans="1:9" x14ac:dyDescent="0.2">
      <c r="A10281" s="2" t="s">
        <v>3319</v>
      </c>
      <c r="B10281" s="2" t="s">
        <v>2505</v>
      </c>
      <c r="C10281" s="2">
        <v>864.39369999999997</v>
      </c>
      <c r="D10281" s="2">
        <f>HYPERLINK("http://mcb-m6.bioreg.kyushu-u.ac.jp/M3/20110421/F51050/2555/1", 66.89)</f>
        <v>66.89</v>
      </c>
      <c r="E10281" s="2">
        <v>49.45</v>
      </c>
      <c r="F10281" s="2">
        <v>2</v>
      </c>
      <c r="G10281" s="2" t="s">
        <v>12</v>
      </c>
      <c r="I10281" s="2" t="s">
        <v>4918</v>
      </c>
    </row>
    <row r="10282" spans="1:9" x14ac:dyDescent="0.2">
      <c r="A10282" s="2" t="s">
        <v>3319</v>
      </c>
      <c r="B10282" s="2" t="s">
        <v>2609</v>
      </c>
      <c r="C10282" s="2">
        <v>631.29610000000002</v>
      </c>
      <c r="D10282" s="2">
        <f>HYPERLINK("http://mcb-m6.bioreg.kyushu-u.ac.jp/M3/20110421/F51048/1674/1", 67.76)</f>
        <v>67.760000000000005</v>
      </c>
      <c r="E10282" s="2">
        <v>45.2</v>
      </c>
      <c r="F10282" s="2">
        <v>2</v>
      </c>
      <c r="G10282" s="2" t="s">
        <v>12</v>
      </c>
      <c r="I10282" s="2" t="s">
        <v>4892</v>
      </c>
    </row>
    <row r="10283" spans="1:9" x14ac:dyDescent="0.2">
      <c r="A10283" s="2" t="s">
        <v>3319</v>
      </c>
      <c r="B10283" s="2" t="s">
        <v>1324</v>
      </c>
      <c r="C10283" s="2">
        <v>581.79520000000002</v>
      </c>
      <c r="D10283" s="2">
        <f>HYPERLINK("http://mcb-m6.bioreg.kyushu-u.ac.jp/M3/20110421/F51050/1448/1", 70.58)</f>
        <v>70.58</v>
      </c>
      <c r="E10283" s="2">
        <v>48.46</v>
      </c>
      <c r="F10283" s="2">
        <v>2</v>
      </c>
      <c r="G10283" s="2" t="s">
        <v>12</v>
      </c>
    </row>
    <row r="10284" spans="1:9" x14ac:dyDescent="0.2">
      <c r="A10284" s="2" t="s">
        <v>3319</v>
      </c>
      <c r="B10284" s="2" t="s">
        <v>638</v>
      </c>
      <c r="C10284" s="2">
        <v>556.8972</v>
      </c>
      <c r="D10284" s="2">
        <f>HYPERLINK("http://mcb-m6.bioreg.kyushu-u.ac.jp/M3/20110421/F51050/1371/1", 71.87)</f>
        <v>71.87</v>
      </c>
      <c r="E10284" s="2">
        <v>46.81</v>
      </c>
      <c r="F10284" s="2">
        <v>2</v>
      </c>
      <c r="G10284" s="2" t="s">
        <v>12</v>
      </c>
    </row>
    <row r="10285" spans="1:9" x14ac:dyDescent="0.2">
      <c r="A10285" s="2" t="s">
        <v>3319</v>
      </c>
      <c r="B10285" s="2" t="s">
        <v>2070</v>
      </c>
      <c r="C10285" s="2">
        <v>714.50369999999998</v>
      </c>
      <c r="D10285" s="2">
        <f>HYPERLINK("http://mcb-m6.bioreg.kyushu-u.ac.jp/M3/20110421/F51048/2057/1", 76.34)</f>
        <v>76.34</v>
      </c>
      <c r="E10285" s="2">
        <v>58.05</v>
      </c>
      <c r="F10285" s="2">
        <v>2</v>
      </c>
      <c r="G10285" s="2" t="s">
        <v>12</v>
      </c>
    </row>
    <row r="10286" spans="1:9" x14ac:dyDescent="0.2">
      <c r="A10286" s="2" t="s">
        <v>3319</v>
      </c>
      <c r="B10286" s="2" t="s">
        <v>1812</v>
      </c>
      <c r="C10286" s="2">
        <v>581.67219999999998</v>
      </c>
      <c r="D10286" s="2">
        <f>HYPERLINK("http://mcb-m6.bioreg.kyushu-u.ac.jp/M3/20110421/F51050/1447/1", 77.08)</f>
        <v>77.08</v>
      </c>
      <c r="E10286" s="2">
        <v>48.52</v>
      </c>
      <c r="F10286" s="2">
        <v>2</v>
      </c>
      <c r="G10286" s="2" t="s">
        <v>12</v>
      </c>
    </row>
    <row r="10287" spans="1:9" x14ac:dyDescent="0.2">
      <c r="A10287" s="2" t="s">
        <v>3319</v>
      </c>
      <c r="B10287" s="2" t="s">
        <v>2526</v>
      </c>
      <c r="C10287" s="2">
        <v>712.53769999999997</v>
      </c>
      <c r="D10287" s="2">
        <f>HYPERLINK("http://mcb-m6.bioreg.kyushu-u.ac.jp/M3/20110421/F51050/2020/1", 89.88)</f>
        <v>89.88</v>
      </c>
      <c r="E10287" s="2">
        <v>74.930000000000007</v>
      </c>
      <c r="F10287" s="2">
        <v>2</v>
      </c>
      <c r="G10287" s="2" t="s">
        <v>12</v>
      </c>
      <c r="H10287" s="2" t="s">
        <v>4908</v>
      </c>
    </row>
    <row r="10288" spans="1:9" x14ac:dyDescent="0.2">
      <c r="A10288" s="2" t="s">
        <v>3319</v>
      </c>
      <c r="B10288" s="2" t="s">
        <v>104</v>
      </c>
      <c r="C10288" s="2">
        <v>782.04570000000001</v>
      </c>
      <c r="D10288" s="2">
        <f>HYPERLINK("http://mcb-m6.bioreg.kyushu-u.ac.jp/M3/20110421/F51048/2419/1", 91.61)</f>
        <v>91.61</v>
      </c>
      <c r="E10288" s="2">
        <v>77.94</v>
      </c>
      <c r="F10288" s="2">
        <v>2</v>
      </c>
      <c r="G10288" s="2" t="s">
        <v>12</v>
      </c>
    </row>
    <row r="10289" spans="1:9" x14ac:dyDescent="0.2">
      <c r="A10289" s="2" t="s">
        <v>3319</v>
      </c>
      <c r="B10289" s="2" t="s">
        <v>2609</v>
      </c>
      <c r="C10289" s="2">
        <v>630.90809999999999</v>
      </c>
      <c r="D10289" s="2">
        <f>HYPERLINK("http://mcb-m6.bioreg.kyushu-u.ac.jp/M3/20110421/F51050/1645/1", 91.87)</f>
        <v>91.87</v>
      </c>
      <c r="E10289" s="2">
        <v>60.8</v>
      </c>
      <c r="F10289" s="2">
        <v>2</v>
      </c>
      <c r="G10289" s="2" t="s">
        <v>12</v>
      </c>
      <c r="I10289" s="2" t="s">
        <v>4892</v>
      </c>
    </row>
    <row r="10290" spans="1:9" x14ac:dyDescent="0.2">
      <c r="A10290" s="2" t="s">
        <v>3319</v>
      </c>
      <c r="B10290" s="2" t="s">
        <v>2093</v>
      </c>
      <c r="C10290" s="2">
        <v>797.92719999999997</v>
      </c>
      <c r="D10290" s="2">
        <f>HYPERLINK("http://mcb-m6.bioreg.kyushu-u.ac.jp/M3/20110421/F51050/2365/1", 93.67)</f>
        <v>93.67</v>
      </c>
      <c r="E10290" s="2">
        <v>60.45</v>
      </c>
      <c r="F10290" s="2">
        <v>2</v>
      </c>
      <c r="G10290" s="2" t="s">
        <v>12</v>
      </c>
    </row>
    <row r="10291" spans="1:9" x14ac:dyDescent="0.2">
      <c r="A10291" s="2" t="s">
        <v>3319</v>
      </c>
      <c r="B10291" s="2" t="s">
        <v>1749</v>
      </c>
      <c r="C10291" s="2">
        <v>778.40719999999999</v>
      </c>
      <c r="D10291" s="2">
        <f>HYPERLINK("http://mcb-m6.bioreg.kyushu-u.ac.jp/M3/20110421/F51050/2283/1", 94.32)</f>
        <v>94.32</v>
      </c>
      <c r="E10291" s="2">
        <v>67.97</v>
      </c>
      <c r="F10291" s="2">
        <v>2</v>
      </c>
      <c r="G10291" s="2" t="s">
        <v>12</v>
      </c>
    </row>
    <row r="10292" spans="1:9" x14ac:dyDescent="0.2">
      <c r="A10292" s="2" t="s">
        <v>3319</v>
      </c>
      <c r="B10292" s="2" t="s">
        <v>104</v>
      </c>
      <c r="C10292" s="2">
        <v>782.17269999999996</v>
      </c>
      <c r="D10292" s="2">
        <f>HYPERLINK("http://mcb-m6.bioreg.kyushu-u.ac.jp/M3/20110421/F51044/2264/1", 101.72)</f>
        <v>101.72</v>
      </c>
      <c r="E10292" s="2">
        <v>87.85</v>
      </c>
      <c r="F10292" s="2">
        <v>2</v>
      </c>
      <c r="G10292" s="2" t="s">
        <v>12</v>
      </c>
    </row>
    <row r="10293" spans="1:9" x14ac:dyDescent="0.2">
      <c r="A10293" s="2" t="s">
        <v>3319</v>
      </c>
      <c r="B10293" s="2" t="s">
        <v>2204</v>
      </c>
      <c r="C10293" s="2">
        <v>483.59559999999999</v>
      </c>
      <c r="D10293" s="2">
        <f>HYPERLINK("http://mcb-m6.bioreg.kyushu-u.ac.jp/M3/20110428/F51133/748/1", 35.35)</f>
        <v>35.35</v>
      </c>
      <c r="E10293" s="2">
        <v>11.83</v>
      </c>
      <c r="F10293" s="2">
        <v>2</v>
      </c>
      <c r="G10293" s="2" t="s">
        <v>13</v>
      </c>
      <c r="I10293" s="2" t="s">
        <v>4903</v>
      </c>
    </row>
    <row r="10294" spans="1:9" x14ac:dyDescent="0.2">
      <c r="A10294" s="2" t="s">
        <v>3319</v>
      </c>
      <c r="B10294" s="2" t="s">
        <v>524</v>
      </c>
      <c r="C10294" s="2">
        <v>586.15560000000005</v>
      </c>
      <c r="D10294" s="2">
        <f>HYPERLINK("http://mcb-m6.bioreg.kyushu-u.ac.jp/M3/20110427/F51115/1363/1", 38.4)</f>
        <v>38.4</v>
      </c>
      <c r="E10294" s="2">
        <v>17.329999999999998</v>
      </c>
      <c r="F10294" s="2">
        <v>2</v>
      </c>
      <c r="G10294" s="2" t="s">
        <v>13</v>
      </c>
    </row>
    <row r="10295" spans="1:9" x14ac:dyDescent="0.2">
      <c r="A10295" s="2" t="s">
        <v>3319</v>
      </c>
      <c r="B10295" s="2" t="s">
        <v>1324</v>
      </c>
      <c r="C10295" s="2">
        <v>581.78269999999998</v>
      </c>
      <c r="D10295" s="2">
        <f>HYPERLINK("http://mcb-m6.bioreg.kyushu-u.ac.jp/M3/20110427/F51116/1360/1", 38.69)</f>
        <v>38.69</v>
      </c>
      <c r="E10295" s="2">
        <v>17.91</v>
      </c>
      <c r="F10295" s="2">
        <v>2</v>
      </c>
      <c r="G10295" s="2" t="s">
        <v>13</v>
      </c>
    </row>
    <row r="10296" spans="1:9" x14ac:dyDescent="0.2">
      <c r="A10296" s="2" t="s">
        <v>3319</v>
      </c>
      <c r="B10296" s="2" t="s">
        <v>104</v>
      </c>
      <c r="C10296" s="2">
        <v>782.21259999999995</v>
      </c>
      <c r="D10296" s="2">
        <f>HYPERLINK("http://mcb-m6.bioreg.kyushu-u.ac.jp/M3/20110427/F51114/2290/1", 41.5)</f>
        <v>41.5</v>
      </c>
      <c r="E10296" s="2">
        <v>33.11</v>
      </c>
      <c r="F10296" s="2">
        <v>2</v>
      </c>
      <c r="G10296" s="2" t="s">
        <v>13</v>
      </c>
    </row>
    <row r="10297" spans="1:9" x14ac:dyDescent="0.2">
      <c r="A10297" s="2" t="s">
        <v>3319</v>
      </c>
      <c r="B10297" s="2" t="s">
        <v>2544</v>
      </c>
      <c r="C10297" s="2">
        <v>695.53719999999998</v>
      </c>
      <c r="D10297" s="2">
        <f>HYPERLINK("http://mcb-m6.bioreg.kyushu-u.ac.jp/M3/20110427/F51111/1927/1", 43.87)</f>
        <v>43.87</v>
      </c>
      <c r="E10297" s="2">
        <v>25.59</v>
      </c>
      <c r="F10297" s="2">
        <v>2</v>
      </c>
      <c r="G10297" s="2" t="s">
        <v>13</v>
      </c>
      <c r="I10297" s="2" t="s">
        <v>4903</v>
      </c>
    </row>
    <row r="10298" spans="1:9" x14ac:dyDescent="0.2">
      <c r="A10298" s="2" t="s">
        <v>3319</v>
      </c>
      <c r="B10298" s="2" t="s">
        <v>2505</v>
      </c>
      <c r="C10298" s="2">
        <v>872.40009999999995</v>
      </c>
      <c r="D10298" s="2">
        <f>HYPERLINK("http://mcb-m6.bioreg.kyushu-u.ac.jp/M3/20110428/F51133/2535/1", 44.14)</f>
        <v>44.14</v>
      </c>
      <c r="E10298" s="2">
        <v>35.9</v>
      </c>
      <c r="F10298" s="2">
        <v>2</v>
      </c>
      <c r="G10298" s="2" t="s">
        <v>13</v>
      </c>
      <c r="H10298" s="2" t="s">
        <v>4912</v>
      </c>
      <c r="I10298" s="2" t="s">
        <v>4918</v>
      </c>
    </row>
    <row r="10299" spans="1:9" x14ac:dyDescent="0.2">
      <c r="A10299" s="2" t="s">
        <v>3319</v>
      </c>
      <c r="B10299" s="2" t="s">
        <v>5106</v>
      </c>
      <c r="C10299" s="2">
        <v>1299.17</v>
      </c>
      <c r="D10299" s="2">
        <f>HYPERLINK("http://mcb-m6.bioreg.kyushu-u.ac.jp/M3/20110427/F51115/3442/1", 44.8)</f>
        <v>44.8</v>
      </c>
      <c r="E10299" s="2">
        <v>35.35</v>
      </c>
      <c r="F10299" s="2">
        <v>2</v>
      </c>
      <c r="G10299" s="2" t="s">
        <v>13</v>
      </c>
    </row>
    <row r="10300" spans="1:9" x14ac:dyDescent="0.2">
      <c r="A10300" s="2" t="s">
        <v>3319</v>
      </c>
      <c r="B10300" s="2" t="s">
        <v>524</v>
      </c>
      <c r="C10300" s="2">
        <v>586.25459999999998</v>
      </c>
      <c r="D10300" s="2">
        <f>HYPERLINK("http://mcb-m6.bioreg.kyushu-u.ac.jp/M3/20110428/F51133/1181/1", 45.18)</f>
        <v>45.18</v>
      </c>
      <c r="E10300" s="2">
        <v>23.36</v>
      </c>
      <c r="F10300" s="2">
        <v>2</v>
      </c>
      <c r="G10300" s="2" t="s">
        <v>13</v>
      </c>
    </row>
    <row r="10301" spans="1:9" x14ac:dyDescent="0.2">
      <c r="A10301" s="2" t="s">
        <v>3319</v>
      </c>
      <c r="B10301" s="2" t="s">
        <v>104</v>
      </c>
      <c r="C10301" s="2">
        <v>1562.63</v>
      </c>
      <c r="D10301" s="2">
        <f>HYPERLINK("http://mcb-m6.bioreg.kyushu-u.ac.jp/M3/20110428/F51133/2126/1", 45.72)</f>
        <v>45.72</v>
      </c>
      <c r="E10301" s="2">
        <v>34.42</v>
      </c>
      <c r="F10301" s="2">
        <v>1</v>
      </c>
      <c r="G10301" s="2" t="s">
        <v>13</v>
      </c>
    </row>
    <row r="10302" spans="1:9" x14ac:dyDescent="0.2">
      <c r="A10302" s="2" t="s">
        <v>3319</v>
      </c>
      <c r="B10302" s="2" t="s">
        <v>2609</v>
      </c>
      <c r="C10302" s="2">
        <v>1261.462</v>
      </c>
      <c r="D10302" s="2">
        <f>HYPERLINK("http://mcb-m6.bioreg.kyushu-u.ac.jp/M3/20110428/F51133/1349/1", 45.92)</f>
        <v>45.92</v>
      </c>
      <c r="E10302" s="2">
        <v>22.49</v>
      </c>
      <c r="F10302" s="2">
        <v>1</v>
      </c>
      <c r="G10302" s="2" t="s">
        <v>13</v>
      </c>
      <c r="I10302" s="2" t="s">
        <v>4892</v>
      </c>
    </row>
    <row r="10303" spans="1:9" x14ac:dyDescent="0.2">
      <c r="A10303" s="2" t="s">
        <v>3319</v>
      </c>
      <c r="B10303" s="2" t="s">
        <v>2544</v>
      </c>
      <c r="C10303" s="2">
        <v>695.66520000000003</v>
      </c>
      <c r="D10303" s="2">
        <f>HYPERLINK("http://mcb-m6.bioreg.kyushu-u.ac.jp/M3/20110428/F51133/1645/1", 49.15)</f>
        <v>49.15</v>
      </c>
      <c r="E10303" s="2">
        <v>37.96</v>
      </c>
      <c r="F10303" s="2">
        <v>2</v>
      </c>
      <c r="G10303" s="2" t="s">
        <v>13</v>
      </c>
      <c r="I10303" s="2" t="s">
        <v>4903</v>
      </c>
    </row>
    <row r="10304" spans="1:9" x14ac:dyDescent="0.2">
      <c r="A10304" s="2" t="s">
        <v>3319</v>
      </c>
      <c r="B10304" s="2" t="s">
        <v>1938</v>
      </c>
      <c r="C10304" s="2">
        <v>479.69909999999999</v>
      </c>
      <c r="D10304" s="2">
        <f>HYPERLINK("http://mcb-m6.bioreg.kyushu-u.ac.jp/M3/20110428/F51133/730/1", 50.53)</f>
        <v>50.53</v>
      </c>
      <c r="E10304" s="2">
        <v>18.97</v>
      </c>
      <c r="F10304" s="2">
        <v>2</v>
      </c>
      <c r="G10304" s="2" t="s">
        <v>13</v>
      </c>
    </row>
    <row r="10305" spans="1:9" x14ac:dyDescent="0.2">
      <c r="A10305" s="2" t="s">
        <v>3319</v>
      </c>
      <c r="B10305" s="2" t="s">
        <v>2181</v>
      </c>
      <c r="C10305" s="2">
        <v>496.08909999999997</v>
      </c>
      <c r="D10305" s="2">
        <f>HYPERLINK("http://mcb-m6.bioreg.kyushu-u.ac.jp/M3/20110428/F51133/795/1", 51.26)</f>
        <v>51.26</v>
      </c>
      <c r="E10305" s="2">
        <v>33.979999999999997</v>
      </c>
      <c r="F10305" s="2">
        <v>2</v>
      </c>
      <c r="G10305" s="2" t="s">
        <v>13</v>
      </c>
    </row>
    <row r="10306" spans="1:9" x14ac:dyDescent="0.2">
      <c r="A10306" s="2" t="s">
        <v>3319</v>
      </c>
      <c r="B10306" s="2" t="s">
        <v>5257</v>
      </c>
      <c r="C10306" s="2">
        <v>517.14260000000002</v>
      </c>
      <c r="D10306" s="2">
        <f>HYPERLINK("http://mcb-m6.bioreg.kyushu-u.ac.jp/M3/20110428/F51133/896/1", 51.26)</f>
        <v>51.26</v>
      </c>
      <c r="E10306" s="2">
        <v>30.4</v>
      </c>
      <c r="F10306" s="2">
        <v>2</v>
      </c>
      <c r="G10306" s="2" t="s">
        <v>13</v>
      </c>
    </row>
    <row r="10307" spans="1:9" x14ac:dyDescent="0.2">
      <c r="A10307" s="2" t="s">
        <v>3319</v>
      </c>
      <c r="B10307" s="2" t="s">
        <v>1420</v>
      </c>
      <c r="C10307" s="2">
        <v>554.8741</v>
      </c>
      <c r="D10307" s="2">
        <f>HYPERLINK("http://mcb-m6.bioreg.kyushu-u.ac.jp/M3/20110427/F51115/1270/1", 53.68)</f>
        <v>53.68</v>
      </c>
      <c r="E10307" s="2">
        <v>9.3800000000000008</v>
      </c>
      <c r="F10307" s="2">
        <v>2</v>
      </c>
      <c r="G10307" s="2" t="s">
        <v>13</v>
      </c>
    </row>
    <row r="10308" spans="1:9" x14ac:dyDescent="0.2">
      <c r="A10308" s="2" t="s">
        <v>3319</v>
      </c>
      <c r="B10308" s="2" t="s">
        <v>1324</v>
      </c>
      <c r="C10308" s="2">
        <v>581.62369999999999</v>
      </c>
      <c r="D10308" s="2">
        <f>HYPERLINK("http://mcb-m6.bioreg.kyushu-u.ac.jp/M3/20110428/F51133/1167/1", 56.05)</f>
        <v>56.05</v>
      </c>
      <c r="E10308" s="2">
        <v>32.67</v>
      </c>
      <c r="F10308" s="2">
        <v>2</v>
      </c>
      <c r="G10308" s="2" t="s">
        <v>13</v>
      </c>
    </row>
    <row r="10309" spans="1:9" x14ac:dyDescent="0.2">
      <c r="A10309" s="2" t="s">
        <v>3319</v>
      </c>
      <c r="B10309" s="2" t="s">
        <v>638</v>
      </c>
      <c r="C10309" s="2">
        <v>557.0797</v>
      </c>
      <c r="D10309" s="2">
        <f>HYPERLINK("http://mcb-m6.bioreg.kyushu-u.ac.jp/M3/20110427/F51115/1278/1", 58.74)</f>
        <v>58.74</v>
      </c>
      <c r="E10309" s="2">
        <v>23.28</v>
      </c>
      <c r="F10309" s="2">
        <v>2</v>
      </c>
      <c r="G10309" s="2" t="s">
        <v>13</v>
      </c>
    </row>
    <row r="10310" spans="1:9" x14ac:dyDescent="0.2">
      <c r="A10310" s="2" t="s">
        <v>3319</v>
      </c>
      <c r="B10310" s="2" t="s">
        <v>979</v>
      </c>
      <c r="C10310" s="2">
        <v>1216.462</v>
      </c>
      <c r="D10310" s="2">
        <f>HYPERLINK("http://mcb-m6.bioreg.kyushu-u.ac.jp/M3/20110428/F51133/1270/1", 60.75)</f>
        <v>60.75</v>
      </c>
      <c r="E10310" s="2">
        <v>32.26</v>
      </c>
      <c r="F10310" s="2">
        <v>1</v>
      </c>
      <c r="G10310" s="2" t="s">
        <v>13</v>
      </c>
    </row>
    <row r="10311" spans="1:9" x14ac:dyDescent="0.2">
      <c r="A10311" s="2" t="s">
        <v>3319</v>
      </c>
      <c r="B10311" s="2" t="s">
        <v>5591</v>
      </c>
      <c r="C10311" s="2">
        <v>867.68910000000005</v>
      </c>
      <c r="D10311" s="2">
        <f>HYPERLINK("http://mcb-m6.bioreg.kyushu-u.ac.jp/M3/20110428/F51133/2521/1", 60.99)</f>
        <v>60.99</v>
      </c>
      <c r="E10311" s="2">
        <v>36.99</v>
      </c>
      <c r="F10311" s="2">
        <v>2</v>
      </c>
      <c r="G10311" s="2" t="s">
        <v>13</v>
      </c>
      <c r="I10311" s="2" t="s">
        <v>4914</v>
      </c>
    </row>
    <row r="10312" spans="1:9" x14ac:dyDescent="0.2">
      <c r="A10312" s="2" t="s">
        <v>3319</v>
      </c>
      <c r="B10312" s="2" t="s">
        <v>987</v>
      </c>
      <c r="C10312" s="2">
        <v>752.71010000000001</v>
      </c>
      <c r="D10312" s="2">
        <f>HYPERLINK("http://mcb-m6.bioreg.kyushu-u.ac.jp/M3/20110428/F51133/1975/1", 61.29)</f>
        <v>61.29</v>
      </c>
      <c r="E10312" s="2">
        <v>35.47</v>
      </c>
      <c r="F10312" s="2">
        <v>2</v>
      </c>
      <c r="G10312" s="2" t="s">
        <v>13</v>
      </c>
    </row>
    <row r="10313" spans="1:9" x14ac:dyDescent="0.2">
      <c r="A10313" s="2" t="s">
        <v>3319</v>
      </c>
      <c r="B10313" s="2" t="s">
        <v>987</v>
      </c>
      <c r="C10313" s="2">
        <v>753.29269999999997</v>
      </c>
      <c r="D10313" s="2">
        <f>HYPERLINK("http://mcb-m6.bioreg.kyushu-u.ac.jp/M3/20110428/F51133/1976/1", 61.99)</f>
        <v>61.99</v>
      </c>
      <c r="E10313" s="2">
        <v>42.92</v>
      </c>
      <c r="F10313" s="2">
        <v>2</v>
      </c>
      <c r="G10313" s="2" t="s">
        <v>13</v>
      </c>
    </row>
    <row r="10314" spans="1:9" x14ac:dyDescent="0.2">
      <c r="A10314" s="2" t="s">
        <v>3319</v>
      </c>
      <c r="B10314" s="2" t="s">
        <v>2070</v>
      </c>
      <c r="C10314" s="2">
        <v>714.33510000000001</v>
      </c>
      <c r="D10314" s="2">
        <f>HYPERLINK("http://mcb-m6.bioreg.kyushu-u.ac.jp/M3/20110427/F51116/1911/1", 62.08)</f>
        <v>62.08</v>
      </c>
      <c r="E10314" s="2">
        <v>35.21</v>
      </c>
      <c r="F10314" s="2">
        <v>2</v>
      </c>
      <c r="G10314" s="2" t="s">
        <v>13</v>
      </c>
    </row>
    <row r="10315" spans="1:9" x14ac:dyDescent="0.2">
      <c r="A10315" s="2" t="s">
        <v>3319</v>
      </c>
      <c r="B10315" s="2" t="s">
        <v>2609</v>
      </c>
      <c r="C10315" s="2">
        <v>631.22119999999995</v>
      </c>
      <c r="D10315" s="2">
        <f>HYPERLINK("http://mcb-m6.bioreg.kyushu-u.ac.jp/M3/20110427/F51115/1533/1", 67.73)</f>
        <v>67.73</v>
      </c>
      <c r="E10315" s="2">
        <v>44.08</v>
      </c>
      <c r="F10315" s="2">
        <v>2</v>
      </c>
      <c r="G10315" s="2" t="s">
        <v>13</v>
      </c>
      <c r="I10315" s="2" t="s">
        <v>4892</v>
      </c>
    </row>
    <row r="10316" spans="1:9" x14ac:dyDescent="0.2">
      <c r="A10316" s="2" t="s">
        <v>3319</v>
      </c>
      <c r="B10316" s="2" t="s">
        <v>2070</v>
      </c>
      <c r="C10316" s="2">
        <v>714.66859999999997</v>
      </c>
      <c r="D10316" s="2">
        <f>HYPERLINK("http://mcb-m6.bioreg.kyushu-u.ac.jp/M3/20110427/F51115/1863/1", 68.48)</f>
        <v>68.48</v>
      </c>
      <c r="E10316" s="2">
        <v>36.69</v>
      </c>
      <c r="F10316" s="2">
        <v>2</v>
      </c>
      <c r="G10316" s="2" t="s">
        <v>13</v>
      </c>
    </row>
    <row r="10317" spans="1:9" x14ac:dyDescent="0.2">
      <c r="A10317" s="2" t="s">
        <v>3319</v>
      </c>
      <c r="B10317" s="2" t="s">
        <v>2093</v>
      </c>
      <c r="C10317" s="2">
        <v>797.81569999999999</v>
      </c>
      <c r="D10317" s="2">
        <f>HYPERLINK("http://mcb-m6.bioreg.kyushu-u.ac.jp/M3/20110428/F51133/2219/1", 69.08)</f>
        <v>69.08</v>
      </c>
      <c r="E10317" s="2">
        <v>43.58</v>
      </c>
      <c r="F10317" s="2">
        <v>2</v>
      </c>
      <c r="G10317" s="2" t="s">
        <v>13</v>
      </c>
    </row>
    <row r="10318" spans="1:9" x14ac:dyDescent="0.2">
      <c r="A10318" s="2" t="s">
        <v>3319</v>
      </c>
      <c r="B10318" s="2" t="s">
        <v>638</v>
      </c>
      <c r="C10318" s="2">
        <v>556.64620000000002</v>
      </c>
      <c r="D10318" s="2">
        <f>HYPERLINK("http://mcb-m6.bioreg.kyushu-u.ac.jp/M3/20110428/F51133/1081/1", 73.45)</f>
        <v>73.45</v>
      </c>
      <c r="E10318" s="2">
        <v>44.31</v>
      </c>
      <c r="F10318" s="2">
        <v>2</v>
      </c>
      <c r="G10318" s="2" t="s">
        <v>13</v>
      </c>
    </row>
    <row r="10319" spans="1:9" x14ac:dyDescent="0.2">
      <c r="A10319" s="2" t="s">
        <v>3319</v>
      </c>
      <c r="B10319" s="2" t="s">
        <v>2070</v>
      </c>
      <c r="C10319" s="2">
        <v>714.68520000000001</v>
      </c>
      <c r="D10319" s="2">
        <f>HYPERLINK("http://mcb-m6.bioreg.kyushu-u.ac.jp/M3/20110428/F51133/1753/1", 74.06)</f>
        <v>74.06</v>
      </c>
      <c r="E10319" s="2">
        <v>54.84</v>
      </c>
      <c r="F10319" s="2">
        <v>2</v>
      </c>
      <c r="G10319" s="2" t="s">
        <v>13</v>
      </c>
    </row>
    <row r="10320" spans="1:9" x14ac:dyDescent="0.2">
      <c r="A10320" s="2" t="s">
        <v>3319</v>
      </c>
      <c r="B10320" s="2" t="s">
        <v>104</v>
      </c>
      <c r="C10320" s="2">
        <v>781.97019999999998</v>
      </c>
      <c r="D10320" s="2">
        <f>HYPERLINK("http://mcb-m6.bioreg.kyushu-u.ac.jp/M3/20110427/F51115/2156/1", 75.95)</f>
        <v>75.95</v>
      </c>
      <c r="E10320" s="2">
        <v>54.37</v>
      </c>
      <c r="F10320" s="2">
        <v>2</v>
      </c>
      <c r="G10320" s="2" t="s">
        <v>13</v>
      </c>
    </row>
    <row r="10321" spans="1:9" x14ac:dyDescent="0.2">
      <c r="A10321" s="2" t="s">
        <v>3319</v>
      </c>
      <c r="B10321" s="2" t="s">
        <v>2505</v>
      </c>
      <c r="C10321" s="2">
        <v>864.69619999999998</v>
      </c>
      <c r="D10321" s="2">
        <f>HYPERLINK("http://mcb-m6.bioreg.kyushu-u.ac.jp/M3/20110427/F51115/2495/1", 79.68)</f>
        <v>79.680000000000007</v>
      </c>
      <c r="E10321" s="2">
        <v>59.39</v>
      </c>
      <c r="F10321" s="2">
        <v>2</v>
      </c>
      <c r="G10321" s="2" t="s">
        <v>13</v>
      </c>
      <c r="I10321" s="2" t="s">
        <v>4918</v>
      </c>
    </row>
    <row r="10322" spans="1:9" x14ac:dyDescent="0.2">
      <c r="A10322" s="2" t="s">
        <v>3319</v>
      </c>
      <c r="B10322" s="2" t="s">
        <v>104</v>
      </c>
      <c r="C10322" s="2">
        <v>782.19960000000003</v>
      </c>
      <c r="D10322" s="2">
        <f>HYPERLINK("http://mcb-m6.bioreg.kyushu-u.ac.jp/M3/20110428/F51132/2254/1", 81.94)</f>
        <v>81.94</v>
      </c>
      <c r="E10322" s="2">
        <v>67.89</v>
      </c>
      <c r="F10322" s="2">
        <v>2</v>
      </c>
      <c r="G10322" s="2" t="s">
        <v>13</v>
      </c>
    </row>
    <row r="10323" spans="1:9" x14ac:dyDescent="0.2">
      <c r="A10323" s="2" t="s">
        <v>3319</v>
      </c>
      <c r="B10323" s="2" t="s">
        <v>2505</v>
      </c>
      <c r="C10323" s="2">
        <v>864.0077</v>
      </c>
      <c r="D10323" s="2">
        <f>HYPERLINK("http://mcb-m6.bioreg.kyushu-u.ac.jp/M3/20110427/F51115/2490/1", 84.65)</f>
        <v>84.65</v>
      </c>
      <c r="E10323" s="2">
        <v>68.84</v>
      </c>
      <c r="F10323" s="2">
        <v>2</v>
      </c>
      <c r="G10323" s="2" t="s">
        <v>13</v>
      </c>
      <c r="I10323" s="2" t="s">
        <v>4918</v>
      </c>
    </row>
    <row r="10324" spans="1:9" x14ac:dyDescent="0.2">
      <c r="A10324" s="2" t="s">
        <v>3319</v>
      </c>
      <c r="B10324" s="2" t="s">
        <v>1671</v>
      </c>
      <c r="C10324" s="2">
        <v>871.36019999999996</v>
      </c>
      <c r="D10324" s="2">
        <f>HYPERLINK("http://mcb-m6.bioreg.kyushu-u.ac.jp/M3/20110428/F51133/2531/1", 85.65)</f>
        <v>85.65</v>
      </c>
      <c r="E10324" s="2">
        <v>64.3</v>
      </c>
      <c r="F10324" s="2">
        <v>2</v>
      </c>
      <c r="G10324" s="2" t="s">
        <v>13</v>
      </c>
    </row>
    <row r="10325" spans="1:9" x14ac:dyDescent="0.2">
      <c r="A10325" s="2" t="s">
        <v>3319</v>
      </c>
      <c r="B10325" s="2" t="s">
        <v>2505</v>
      </c>
      <c r="C10325" s="2">
        <v>864.24620000000004</v>
      </c>
      <c r="D10325" s="2">
        <f>HYPERLINK("http://mcb-m6.bioreg.kyushu-u.ac.jp/M3/20110428/F51133/2499/1", 85.78)</f>
        <v>85.78</v>
      </c>
      <c r="E10325" s="2">
        <v>76.099999999999994</v>
      </c>
      <c r="F10325" s="2">
        <v>2</v>
      </c>
      <c r="G10325" s="2" t="s">
        <v>13</v>
      </c>
      <c r="I10325" s="2" t="s">
        <v>4918</v>
      </c>
    </row>
    <row r="10326" spans="1:9" x14ac:dyDescent="0.2">
      <c r="A10326" s="2" t="s">
        <v>3319</v>
      </c>
      <c r="B10326" s="2" t="s">
        <v>104</v>
      </c>
      <c r="C10326" s="2">
        <v>781.66610000000003</v>
      </c>
      <c r="D10326" s="2">
        <f>HYPERLINK("http://mcb-m6.bioreg.kyushu-u.ac.jp/M3/20110428/F51132/2252/1", 87.02)</f>
        <v>87.02</v>
      </c>
      <c r="E10326" s="2">
        <v>76.599999999999994</v>
      </c>
      <c r="F10326" s="2">
        <v>2</v>
      </c>
      <c r="G10326" s="2" t="s">
        <v>13</v>
      </c>
    </row>
    <row r="10327" spans="1:9" x14ac:dyDescent="0.2">
      <c r="A10327" s="2" t="s">
        <v>3319</v>
      </c>
      <c r="B10327" s="2" t="s">
        <v>1671</v>
      </c>
      <c r="C10327" s="2">
        <v>870.77560000000005</v>
      </c>
      <c r="D10327" s="2">
        <f>HYPERLINK("http://mcb-m6.bioreg.kyushu-u.ac.jp/M3/20110427/F51115/2514/1", 93)</f>
        <v>93</v>
      </c>
      <c r="E10327" s="2">
        <v>77.28</v>
      </c>
      <c r="F10327" s="2">
        <v>2</v>
      </c>
      <c r="G10327" s="2" t="s">
        <v>13</v>
      </c>
    </row>
    <row r="10328" spans="1:9" x14ac:dyDescent="0.2">
      <c r="A10328" s="2" t="s">
        <v>3319</v>
      </c>
      <c r="B10328" s="2" t="s">
        <v>1671</v>
      </c>
      <c r="C10328" s="2">
        <v>870.82870000000003</v>
      </c>
      <c r="D10328" s="2">
        <f>HYPERLINK("http://mcb-m6.bioreg.kyushu-u.ac.jp/M3/20110428/F51133/2530/1", 93.47)</f>
        <v>93.47</v>
      </c>
      <c r="E10328" s="2">
        <v>77.11</v>
      </c>
      <c r="F10328" s="2">
        <v>2</v>
      </c>
      <c r="G10328" s="2" t="s">
        <v>13</v>
      </c>
    </row>
    <row r="10329" spans="1:9" x14ac:dyDescent="0.2">
      <c r="A10329" s="2" t="s">
        <v>3319</v>
      </c>
      <c r="B10329" s="2" t="s">
        <v>2523</v>
      </c>
      <c r="C10329" s="2">
        <v>1142.875</v>
      </c>
      <c r="D10329" s="2">
        <f>HYPERLINK("http://mcb-m6.bioreg.kyushu-u.ac.jp/M3/20110427/F51115/3229/1", 97.74)</f>
        <v>97.74</v>
      </c>
      <c r="E10329" s="2">
        <v>73.48</v>
      </c>
      <c r="F10329" s="2">
        <v>2</v>
      </c>
      <c r="G10329" s="2" t="s">
        <v>13</v>
      </c>
      <c r="I10329" s="2" t="s">
        <v>4968</v>
      </c>
    </row>
    <row r="10330" spans="1:9" x14ac:dyDescent="0.2">
      <c r="A10330" s="2" t="s">
        <v>3319</v>
      </c>
      <c r="B10330" s="2" t="s">
        <v>2093</v>
      </c>
      <c r="C10330" s="2">
        <v>797.24369999999999</v>
      </c>
      <c r="D10330" s="2">
        <f>HYPERLINK("http://mcb-m6.bioreg.kyushu-u.ac.jp/M3/20110428/F51133/2211/1", 98.97)</f>
        <v>98.97</v>
      </c>
      <c r="E10330" s="2">
        <v>74.7</v>
      </c>
      <c r="F10330" s="2">
        <v>2</v>
      </c>
      <c r="G10330" s="2" t="s">
        <v>13</v>
      </c>
    </row>
    <row r="10331" spans="1:9" x14ac:dyDescent="0.2">
      <c r="A10331" s="2" t="s">
        <v>3319</v>
      </c>
      <c r="B10331" s="2" t="s">
        <v>1311</v>
      </c>
      <c r="C10331" s="2">
        <v>826.8297</v>
      </c>
      <c r="D10331" s="2">
        <f>HYPERLINK("http://mcb-m6.bioreg.kyushu-u.ac.jp/M3/20110428/F51131/2259/1", 106.7)</f>
        <v>106.7</v>
      </c>
      <c r="E10331" s="2">
        <v>90.85</v>
      </c>
      <c r="F10331" s="2">
        <v>2</v>
      </c>
      <c r="G10331" s="2" t="s">
        <v>13</v>
      </c>
    </row>
    <row r="10332" spans="1:9" x14ac:dyDescent="0.2">
      <c r="A10332" s="2" t="s">
        <v>3319</v>
      </c>
      <c r="B10332" s="2" t="s">
        <v>1749</v>
      </c>
      <c r="C10332" s="2">
        <v>778.78309999999999</v>
      </c>
      <c r="D10332" s="2">
        <f>HYPERLINK("http://mcb-m6.bioreg.kyushu-u.ac.jp/M3/20110428/F51133/2098/1", 119.4)</f>
        <v>119.4</v>
      </c>
      <c r="E10332" s="2">
        <v>101.22</v>
      </c>
      <c r="F10332" s="2">
        <v>2</v>
      </c>
      <c r="G10332" s="2" t="s">
        <v>13</v>
      </c>
    </row>
    <row r="10333" spans="1:9" x14ac:dyDescent="0.2">
      <c r="A10333" s="2" t="s">
        <v>3319</v>
      </c>
      <c r="B10333" s="2" t="s">
        <v>2070</v>
      </c>
      <c r="C10333" s="2">
        <v>714.67409999999995</v>
      </c>
      <c r="D10333" s="2">
        <f>HYPERLINK("http://mcb-m6.bioreg.kyushu-u.ac.jp/M3/20110427/F51125/1961/1", 36.27)</f>
        <v>36.270000000000003</v>
      </c>
      <c r="E10333" s="2">
        <v>17.829999999999998</v>
      </c>
      <c r="F10333" s="2">
        <v>2</v>
      </c>
      <c r="G10333" s="2" t="s">
        <v>14</v>
      </c>
    </row>
    <row r="10334" spans="1:9" x14ac:dyDescent="0.2">
      <c r="A10334" s="2" t="s">
        <v>3319</v>
      </c>
      <c r="B10334" s="2" t="s">
        <v>2544</v>
      </c>
      <c r="C10334" s="2">
        <v>695.96420000000001</v>
      </c>
      <c r="D10334" s="2">
        <f>HYPERLINK("http://mcb-m6.bioreg.kyushu-u.ac.jp/M3/20110427/F51121/1840/1", 37.05)</f>
        <v>37.049999999999997</v>
      </c>
      <c r="E10334" s="2">
        <v>23.71</v>
      </c>
      <c r="F10334" s="2">
        <v>2</v>
      </c>
      <c r="G10334" s="2" t="s">
        <v>14</v>
      </c>
      <c r="I10334" s="2" t="s">
        <v>4903</v>
      </c>
    </row>
    <row r="10335" spans="1:9" x14ac:dyDescent="0.2">
      <c r="A10335" s="2" t="s">
        <v>3319</v>
      </c>
      <c r="B10335" s="2" t="s">
        <v>1753</v>
      </c>
      <c r="C10335" s="2">
        <v>573.14509999999996</v>
      </c>
      <c r="D10335" s="2">
        <f>HYPERLINK("http://mcb-m6.bioreg.kyushu-u.ac.jp/M3/20110428/F51130/1349/1", 37.55)</f>
        <v>37.549999999999997</v>
      </c>
      <c r="E10335" s="2">
        <v>10.45</v>
      </c>
      <c r="F10335" s="2">
        <v>2</v>
      </c>
      <c r="G10335" s="2" t="s">
        <v>14</v>
      </c>
    </row>
    <row r="10336" spans="1:9" x14ac:dyDescent="0.2">
      <c r="A10336" s="2" t="s">
        <v>3319</v>
      </c>
      <c r="B10336" s="2" t="s">
        <v>5257</v>
      </c>
      <c r="C10336" s="2">
        <v>517.08370000000002</v>
      </c>
      <c r="D10336" s="2">
        <f>HYPERLINK("http://mcb-m6.bioreg.kyushu-u.ac.jp/M3/20110428/F51130/1093/1", 38.77)</f>
        <v>38.770000000000003</v>
      </c>
      <c r="E10336" s="2">
        <v>12.52</v>
      </c>
      <c r="F10336" s="2">
        <v>2</v>
      </c>
      <c r="G10336" s="2" t="s">
        <v>14</v>
      </c>
    </row>
    <row r="10337" spans="1:9" x14ac:dyDescent="0.2">
      <c r="A10337" s="2" t="s">
        <v>3319</v>
      </c>
      <c r="B10337" s="2" t="s">
        <v>5070</v>
      </c>
      <c r="C10337" s="2">
        <v>460.22809999999998</v>
      </c>
      <c r="D10337" s="2">
        <f>HYPERLINK("http://mcb-m6.bioreg.kyushu-u.ac.jp/M3/20110427/F51122/1113/1", 38.93)</f>
        <v>38.93</v>
      </c>
      <c r="E10337" s="2">
        <v>12.99</v>
      </c>
      <c r="F10337" s="2">
        <v>2</v>
      </c>
      <c r="G10337" s="2" t="s">
        <v>14</v>
      </c>
    </row>
    <row r="10338" spans="1:9" x14ac:dyDescent="0.2">
      <c r="A10338" s="2" t="s">
        <v>3319</v>
      </c>
      <c r="B10338" s="2" t="s">
        <v>5070</v>
      </c>
      <c r="C10338" s="2">
        <v>460.1936</v>
      </c>
      <c r="D10338" s="2">
        <f>HYPERLINK("http://mcb-m6.bioreg.kyushu-u.ac.jp/M3/20110428/F51128/766/1", 38.99)</f>
        <v>38.99</v>
      </c>
      <c r="E10338" s="2">
        <v>9.02</v>
      </c>
      <c r="F10338" s="2">
        <v>2</v>
      </c>
      <c r="G10338" s="2" t="s">
        <v>14</v>
      </c>
    </row>
    <row r="10339" spans="1:9" x14ac:dyDescent="0.2">
      <c r="A10339" s="2" t="s">
        <v>3319</v>
      </c>
      <c r="B10339" s="2" t="s">
        <v>104</v>
      </c>
      <c r="C10339" s="2">
        <v>782.27869999999996</v>
      </c>
      <c r="D10339" s="2">
        <f>HYPERLINK("http://mcb-m6.bioreg.kyushu-u.ac.jp/M3/20110427/F51123/2246/1", 39.47)</f>
        <v>39.47</v>
      </c>
      <c r="E10339" s="2">
        <v>31.79</v>
      </c>
      <c r="F10339" s="2">
        <v>2</v>
      </c>
      <c r="G10339" s="2" t="s">
        <v>14</v>
      </c>
    </row>
    <row r="10340" spans="1:9" x14ac:dyDescent="0.2">
      <c r="A10340" s="2" t="s">
        <v>3319</v>
      </c>
      <c r="B10340" s="2" t="s">
        <v>1938</v>
      </c>
      <c r="C10340" s="2">
        <v>479.16410000000002</v>
      </c>
      <c r="D10340" s="2">
        <f>HYPERLINK("http://mcb-m6.bioreg.kyushu-u.ac.jp/M3/20110428/F51129/881/1", 39.59)</f>
        <v>39.590000000000003</v>
      </c>
      <c r="E10340" s="2">
        <v>13.12</v>
      </c>
      <c r="F10340" s="2">
        <v>2</v>
      </c>
      <c r="G10340" s="2" t="s">
        <v>14</v>
      </c>
    </row>
    <row r="10341" spans="1:9" x14ac:dyDescent="0.2">
      <c r="A10341" s="2" t="s">
        <v>3319</v>
      </c>
      <c r="B10341" s="2" t="s">
        <v>638</v>
      </c>
      <c r="C10341" s="2">
        <v>557.08219999999994</v>
      </c>
      <c r="D10341" s="2">
        <f>HYPERLINK("http://mcb-m6.bioreg.kyushu-u.ac.jp/M3/20110428/F51126/1380/1", 43.38)</f>
        <v>43.38</v>
      </c>
      <c r="E10341" s="2">
        <v>8.06</v>
      </c>
      <c r="F10341" s="2">
        <v>2</v>
      </c>
      <c r="G10341" s="2" t="s">
        <v>14</v>
      </c>
    </row>
    <row r="10342" spans="1:9" x14ac:dyDescent="0.2">
      <c r="A10342" s="2" t="s">
        <v>3319</v>
      </c>
      <c r="B10342" s="2" t="s">
        <v>1420</v>
      </c>
      <c r="C10342" s="2">
        <v>1108.326</v>
      </c>
      <c r="D10342" s="2">
        <f>HYPERLINK("http://mcb-m6.bioreg.kyushu-u.ac.jp/M3/20110428/F51130/1275/1", 43.83)</f>
        <v>43.83</v>
      </c>
      <c r="E10342" s="2">
        <v>8</v>
      </c>
      <c r="F10342" s="2">
        <v>1</v>
      </c>
      <c r="G10342" s="2" t="s">
        <v>14</v>
      </c>
    </row>
    <row r="10343" spans="1:9" x14ac:dyDescent="0.2">
      <c r="A10343" s="2" t="s">
        <v>3319</v>
      </c>
      <c r="B10343" s="2" t="s">
        <v>104</v>
      </c>
      <c r="C10343" s="2">
        <v>782.25459999999998</v>
      </c>
      <c r="D10343" s="2">
        <f>HYPERLINK("http://mcb-m6.bioreg.kyushu-u.ac.jp/M3/20110427/F51124/2210/1", 45.25)</f>
        <v>45.25</v>
      </c>
      <c r="E10343" s="2">
        <v>37.83</v>
      </c>
      <c r="F10343" s="2">
        <v>2</v>
      </c>
      <c r="G10343" s="2" t="s">
        <v>14</v>
      </c>
    </row>
    <row r="10344" spans="1:9" x14ac:dyDescent="0.2">
      <c r="A10344" s="2" t="s">
        <v>3319</v>
      </c>
      <c r="B10344" s="2" t="s">
        <v>979</v>
      </c>
      <c r="C10344" s="2">
        <v>608.63620000000003</v>
      </c>
      <c r="D10344" s="2">
        <f>HYPERLINK("http://mcb-m6.bioreg.kyushu-u.ac.jp/M3/20110427/F51124/1506/1", 46.31)</f>
        <v>46.31</v>
      </c>
      <c r="E10344" s="2">
        <v>17.489999999999998</v>
      </c>
      <c r="F10344" s="2">
        <v>2</v>
      </c>
      <c r="G10344" s="2" t="s">
        <v>14</v>
      </c>
    </row>
    <row r="10345" spans="1:9" x14ac:dyDescent="0.2">
      <c r="A10345" s="2" t="s">
        <v>3319</v>
      </c>
      <c r="B10345" s="2" t="s">
        <v>1324</v>
      </c>
      <c r="C10345" s="2">
        <v>581.56410000000005</v>
      </c>
      <c r="D10345" s="2">
        <f>HYPERLINK("http://mcb-m6.bioreg.kyushu-u.ac.jp/M3/20110428/F51130/1388/1", 46.81)</f>
        <v>46.81</v>
      </c>
      <c r="E10345" s="2">
        <v>22.05</v>
      </c>
      <c r="F10345" s="2">
        <v>2</v>
      </c>
      <c r="G10345" s="2" t="s">
        <v>14</v>
      </c>
    </row>
    <row r="10346" spans="1:9" x14ac:dyDescent="0.2">
      <c r="A10346" s="2" t="s">
        <v>3319</v>
      </c>
      <c r="B10346" s="2" t="s">
        <v>1280</v>
      </c>
      <c r="C10346" s="2">
        <v>623.11109999999996</v>
      </c>
      <c r="D10346" s="2">
        <f>HYPERLINK("http://mcb-m6.bioreg.kyushu-u.ac.jp/M3/20110428/F51130/1566/1", 50.02)</f>
        <v>50.02</v>
      </c>
      <c r="E10346" s="2">
        <v>34.76</v>
      </c>
      <c r="F10346" s="2">
        <v>2</v>
      </c>
      <c r="G10346" s="2" t="s">
        <v>14</v>
      </c>
    </row>
    <row r="10347" spans="1:9" x14ac:dyDescent="0.2">
      <c r="A10347" s="2" t="s">
        <v>3319</v>
      </c>
      <c r="B10347" s="2" t="s">
        <v>1749</v>
      </c>
      <c r="C10347" s="2">
        <v>778.69320000000005</v>
      </c>
      <c r="D10347" s="2">
        <f>HYPERLINK("http://mcb-m6.bioreg.kyushu-u.ac.jp/M3/20110428/F51128/2148/1", 52)</f>
        <v>52</v>
      </c>
      <c r="E10347" s="2">
        <v>42.45</v>
      </c>
      <c r="F10347" s="2">
        <v>2</v>
      </c>
      <c r="G10347" s="2" t="s">
        <v>14</v>
      </c>
    </row>
    <row r="10348" spans="1:9" x14ac:dyDescent="0.2">
      <c r="A10348" s="2" t="s">
        <v>3319</v>
      </c>
      <c r="B10348" s="2" t="s">
        <v>5591</v>
      </c>
      <c r="C10348" s="2">
        <v>867.77419999999995</v>
      </c>
      <c r="D10348" s="2">
        <f>HYPERLINK("http://mcb-m6.bioreg.kyushu-u.ac.jp/M3/20110428/F51130/2668/1", 52.51)</f>
        <v>52.51</v>
      </c>
      <c r="E10348" s="2">
        <v>29.08</v>
      </c>
      <c r="F10348" s="2">
        <v>2</v>
      </c>
      <c r="G10348" s="2" t="s">
        <v>14</v>
      </c>
      <c r="I10348" s="2" t="s">
        <v>4914</v>
      </c>
    </row>
    <row r="10349" spans="1:9" x14ac:dyDescent="0.2">
      <c r="A10349" s="2" t="s">
        <v>3319</v>
      </c>
      <c r="B10349" s="2" t="s">
        <v>524</v>
      </c>
      <c r="C10349" s="2">
        <v>586.11270000000002</v>
      </c>
      <c r="D10349" s="2">
        <f>HYPERLINK("http://mcb-m6.bioreg.kyushu-u.ac.jp/M3/20110428/F51130/1410/1", 52.71)</f>
        <v>52.71</v>
      </c>
      <c r="E10349" s="2">
        <v>26.99</v>
      </c>
      <c r="F10349" s="2">
        <v>2</v>
      </c>
      <c r="G10349" s="2" t="s">
        <v>14</v>
      </c>
    </row>
    <row r="10350" spans="1:9" x14ac:dyDescent="0.2">
      <c r="A10350" s="2" t="s">
        <v>3319</v>
      </c>
      <c r="B10350" s="2" t="s">
        <v>987</v>
      </c>
      <c r="C10350" s="2">
        <v>752.70920000000001</v>
      </c>
      <c r="D10350" s="2">
        <f>HYPERLINK("http://mcb-m6.bioreg.kyushu-u.ac.jp/M3/20110428/F51130/2116/1", 53.56)</f>
        <v>53.56</v>
      </c>
      <c r="E10350" s="2">
        <v>33.9</v>
      </c>
      <c r="F10350" s="2">
        <v>2</v>
      </c>
      <c r="G10350" s="2" t="s">
        <v>14</v>
      </c>
    </row>
    <row r="10351" spans="1:9" x14ac:dyDescent="0.2">
      <c r="A10351" s="2" t="s">
        <v>3319</v>
      </c>
      <c r="B10351" s="2" t="s">
        <v>2204</v>
      </c>
      <c r="C10351" s="2">
        <v>483.59559999999999</v>
      </c>
      <c r="D10351" s="2">
        <f>HYPERLINK("http://mcb-m6.bioreg.kyushu-u.ac.jp/M3/20110427/F51124/995/1", 53.85)</f>
        <v>53.85</v>
      </c>
      <c r="E10351" s="2">
        <v>11.32</v>
      </c>
      <c r="F10351" s="2">
        <v>2</v>
      </c>
      <c r="G10351" s="2" t="s">
        <v>14</v>
      </c>
      <c r="I10351" s="2" t="s">
        <v>4903</v>
      </c>
    </row>
    <row r="10352" spans="1:9" x14ac:dyDescent="0.2">
      <c r="A10352" s="2" t="s">
        <v>3319</v>
      </c>
      <c r="B10352" s="2" t="s">
        <v>524</v>
      </c>
      <c r="C10352" s="2">
        <v>586.77120000000002</v>
      </c>
      <c r="D10352" s="2">
        <f>HYPERLINK("http://mcb-m6.bioreg.kyushu-u.ac.jp/M3/20110428/F51130/1412/1", 53.94)</f>
        <v>53.94</v>
      </c>
      <c r="E10352" s="2">
        <v>25.73</v>
      </c>
      <c r="F10352" s="2">
        <v>2</v>
      </c>
      <c r="G10352" s="2" t="s">
        <v>14</v>
      </c>
    </row>
    <row r="10353" spans="1:9" x14ac:dyDescent="0.2">
      <c r="A10353" s="2" t="s">
        <v>3319</v>
      </c>
      <c r="B10353" s="2" t="s">
        <v>979</v>
      </c>
      <c r="C10353" s="2">
        <v>1216.3109999999999</v>
      </c>
      <c r="D10353" s="2">
        <f>HYPERLINK("http://mcb-m6.bioreg.kyushu-u.ac.jp/M3/20110428/F51130/1510/1", 55.51)</f>
        <v>55.51</v>
      </c>
      <c r="E10353" s="2">
        <v>23.31</v>
      </c>
      <c r="F10353" s="2">
        <v>1</v>
      </c>
      <c r="G10353" s="2" t="s">
        <v>14</v>
      </c>
    </row>
    <row r="10354" spans="1:9" x14ac:dyDescent="0.2">
      <c r="A10354" s="2" t="s">
        <v>3319</v>
      </c>
      <c r="B10354" s="2" t="s">
        <v>2609</v>
      </c>
      <c r="C10354" s="2">
        <v>630.76620000000003</v>
      </c>
      <c r="D10354" s="2">
        <f>HYPERLINK("http://mcb-m6.bioreg.kyushu-u.ac.jp/M3/20110428/F51130/1594/1", 56.24)</f>
        <v>56.24</v>
      </c>
      <c r="E10354" s="2">
        <v>34.76</v>
      </c>
      <c r="F10354" s="2">
        <v>2</v>
      </c>
      <c r="G10354" s="2" t="s">
        <v>14</v>
      </c>
      <c r="I10354" s="2" t="s">
        <v>4892</v>
      </c>
    </row>
    <row r="10355" spans="1:9" x14ac:dyDescent="0.2">
      <c r="A10355" s="2" t="s">
        <v>3319</v>
      </c>
      <c r="B10355" s="2" t="s">
        <v>987</v>
      </c>
      <c r="C10355" s="2">
        <v>753.22360000000003</v>
      </c>
      <c r="D10355" s="2">
        <f>HYPERLINK("http://mcb-m6.bioreg.kyushu-u.ac.jp/M3/20110428/F51130/2117/1", 57.09)</f>
        <v>57.09</v>
      </c>
      <c r="E10355" s="2">
        <v>33.590000000000003</v>
      </c>
      <c r="F10355" s="2">
        <v>2</v>
      </c>
      <c r="G10355" s="2" t="s">
        <v>14</v>
      </c>
    </row>
    <row r="10356" spans="1:9" x14ac:dyDescent="0.2">
      <c r="A10356" s="2" t="s">
        <v>3319</v>
      </c>
      <c r="B10356" s="2" t="s">
        <v>1420</v>
      </c>
      <c r="C10356" s="2">
        <v>554.56460000000004</v>
      </c>
      <c r="D10356" s="2">
        <f>HYPERLINK("http://mcb-m6.bioreg.kyushu-u.ac.jp/M3/20110428/F51130/1274/1", 57.5)</f>
        <v>57.5</v>
      </c>
      <c r="E10356" s="2">
        <v>15.15</v>
      </c>
      <c r="F10356" s="2">
        <v>2</v>
      </c>
      <c r="G10356" s="2" t="s">
        <v>14</v>
      </c>
    </row>
    <row r="10357" spans="1:9" x14ac:dyDescent="0.2">
      <c r="A10357" s="2" t="s">
        <v>3319</v>
      </c>
      <c r="B10357" s="2" t="s">
        <v>1826</v>
      </c>
      <c r="C10357" s="2">
        <v>688.5557</v>
      </c>
      <c r="D10357" s="2">
        <f>HYPERLINK("http://mcb-m6.bioreg.kyushu-u.ac.jp/M3/20110428/F51130/1821/1", 58.6)</f>
        <v>58.6</v>
      </c>
      <c r="E10357" s="2">
        <v>39.18</v>
      </c>
      <c r="F10357" s="2">
        <v>2</v>
      </c>
      <c r="G10357" s="2" t="s">
        <v>14</v>
      </c>
    </row>
    <row r="10358" spans="1:9" x14ac:dyDescent="0.2">
      <c r="A10358" s="2" t="s">
        <v>3319</v>
      </c>
      <c r="B10358" s="2" t="s">
        <v>2070</v>
      </c>
      <c r="C10358" s="2">
        <v>714.71559999999999</v>
      </c>
      <c r="D10358" s="2">
        <f>HYPERLINK("http://mcb-m6.bioreg.kyushu-u.ac.jp/M3/20110428/F51129/1908/1", 59.36)</f>
        <v>59.36</v>
      </c>
      <c r="E10358" s="2">
        <v>38.61</v>
      </c>
      <c r="F10358" s="2">
        <v>2</v>
      </c>
      <c r="G10358" s="2" t="s">
        <v>14</v>
      </c>
    </row>
    <row r="10359" spans="1:9" x14ac:dyDescent="0.2">
      <c r="A10359" s="2" t="s">
        <v>3319</v>
      </c>
      <c r="B10359" s="2" t="s">
        <v>1420</v>
      </c>
      <c r="C10359" s="2">
        <v>555.12019999999995</v>
      </c>
      <c r="D10359" s="2">
        <f>HYPERLINK("http://mcb-m6.bioreg.kyushu-u.ac.jp/M3/20110427/F51125/1396/1", 59.98)</f>
        <v>59.98</v>
      </c>
      <c r="E10359" s="2">
        <v>25.85</v>
      </c>
      <c r="F10359" s="2">
        <v>2</v>
      </c>
      <c r="G10359" s="2" t="s">
        <v>14</v>
      </c>
    </row>
    <row r="10360" spans="1:9" x14ac:dyDescent="0.2">
      <c r="A10360" s="2" t="s">
        <v>3319</v>
      </c>
      <c r="B10360" s="2" t="s">
        <v>979</v>
      </c>
      <c r="C10360" s="2">
        <v>609.04470000000003</v>
      </c>
      <c r="D10360" s="2">
        <f>HYPERLINK("http://mcb-m6.bioreg.kyushu-u.ac.jp/M3/20110428/F51130/1511/1", 61.06)</f>
        <v>61.06</v>
      </c>
      <c r="E10360" s="2">
        <v>28.11</v>
      </c>
      <c r="F10360" s="2">
        <v>2</v>
      </c>
      <c r="G10360" s="2" t="s">
        <v>14</v>
      </c>
    </row>
    <row r="10361" spans="1:9" x14ac:dyDescent="0.2">
      <c r="A10361" s="2" t="s">
        <v>3319</v>
      </c>
      <c r="B10361" s="2" t="s">
        <v>638</v>
      </c>
      <c r="C10361" s="2">
        <v>556.81920000000002</v>
      </c>
      <c r="D10361" s="2">
        <f>HYPERLINK("http://mcb-m6.bioreg.kyushu-u.ac.jp/M3/20110427/F51124/1301/1", 61.89)</f>
        <v>61.89</v>
      </c>
      <c r="E10361" s="2">
        <v>27.28</v>
      </c>
      <c r="F10361" s="2">
        <v>2</v>
      </c>
      <c r="G10361" s="2" t="s">
        <v>14</v>
      </c>
    </row>
    <row r="10362" spans="1:9" x14ac:dyDescent="0.2">
      <c r="A10362" s="2" t="s">
        <v>3319</v>
      </c>
      <c r="B10362" s="2" t="s">
        <v>1826</v>
      </c>
      <c r="C10362" s="2">
        <v>688.57759999999996</v>
      </c>
      <c r="D10362" s="2">
        <f>HYPERLINK("http://mcb-m6.bioreg.kyushu-u.ac.jp/M3/20110428/F51126/1848/1", 62.07)</f>
        <v>62.07</v>
      </c>
      <c r="E10362" s="2">
        <v>42.62</v>
      </c>
      <c r="F10362" s="2">
        <v>2</v>
      </c>
      <c r="G10362" s="2" t="s">
        <v>14</v>
      </c>
    </row>
    <row r="10363" spans="1:9" x14ac:dyDescent="0.2">
      <c r="A10363" s="2" t="s">
        <v>3319</v>
      </c>
      <c r="B10363" s="2" t="s">
        <v>2609</v>
      </c>
      <c r="C10363" s="2">
        <v>631.1327</v>
      </c>
      <c r="D10363" s="2">
        <f>HYPERLINK("http://mcb-m6.bioreg.kyushu-u.ac.jp/M3/20110427/F51124/1578/1", 64.35)</f>
        <v>64.349999999999994</v>
      </c>
      <c r="E10363" s="2">
        <v>28.97</v>
      </c>
      <c r="F10363" s="2">
        <v>2</v>
      </c>
      <c r="G10363" s="2" t="s">
        <v>14</v>
      </c>
      <c r="I10363" s="2" t="s">
        <v>4892</v>
      </c>
    </row>
    <row r="10364" spans="1:9" x14ac:dyDescent="0.2">
      <c r="A10364" s="2" t="s">
        <v>3319</v>
      </c>
      <c r="B10364" s="2" t="s">
        <v>104</v>
      </c>
      <c r="C10364" s="2">
        <v>781.6567</v>
      </c>
      <c r="D10364" s="2">
        <f>HYPERLINK("http://mcb-m6.bioreg.kyushu-u.ac.jp/M3/20110428/F51130/2252/1", 66.82)</f>
        <v>66.819999999999993</v>
      </c>
      <c r="E10364" s="2">
        <v>56.99</v>
      </c>
      <c r="F10364" s="2">
        <v>2</v>
      </c>
      <c r="G10364" s="2" t="s">
        <v>14</v>
      </c>
    </row>
    <row r="10365" spans="1:9" x14ac:dyDescent="0.2">
      <c r="A10365" s="2" t="s">
        <v>3319</v>
      </c>
      <c r="B10365" s="2" t="s">
        <v>1420</v>
      </c>
      <c r="C10365" s="2">
        <v>555.13959999999997</v>
      </c>
      <c r="D10365" s="2">
        <f>HYPERLINK("http://mcb-m6.bioreg.kyushu-u.ac.jp/M3/20110428/F51130/1276/1", 68.3)</f>
        <v>68.3</v>
      </c>
      <c r="E10365" s="2">
        <v>26.32</v>
      </c>
      <c r="F10365" s="2">
        <v>2</v>
      </c>
      <c r="G10365" s="2" t="s">
        <v>14</v>
      </c>
    </row>
    <row r="10366" spans="1:9" x14ac:dyDescent="0.2">
      <c r="A10366" s="2" t="s">
        <v>3319</v>
      </c>
      <c r="B10366" s="2" t="s">
        <v>1753</v>
      </c>
      <c r="C10366" s="2">
        <v>565.06569999999999</v>
      </c>
      <c r="D10366" s="2">
        <f>HYPERLINK("http://mcb-m6.bioreg.kyushu-u.ac.jp/M3/20110428/F51130/1313/1", 70.15)</f>
        <v>70.150000000000006</v>
      </c>
      <c r="E10366" s="2">
        <v>48.35</v>
      </c>
      <c r="F10366" s="2">
        <v>2</v>
      </c>
      <c r="G10366" s="2" t="s">
        <v>14</v>
      </c>
      <c r="H10366" s="2" t="s">
        <v>4904</v>
      </c>
    </row>
    <row r="10367" spans="1:9" x14ac:dyDescent="0.2">
      <c r="A10367" s="2" t="s">
        <v>3319</v>
      </c>
      <c r="B10367" s="2" t="s">
        <v>2093</v>
      </c>
      <c r="C10367" s="2">
        <v>797.6857</v>
      </c>
      <c r="D10367" s="2">
        <f>HYPERLINK("http://mcb-m6.bioreg.kyushu-u.ac.jp/M3/20110428/F51130/2347/1", 70.3)</f>
        <v>70.3</v>
      </c>
      <c r="E10367" s="2">
        <v>53.22</v>
      </c>
      <c r="F10367" s="2">
        <v>2</v>
      </c>
      <c r="G10367" s="2" t="s">
        <v>14</v>
      </c>
    </row>
    <row r="10368" spans="1:9" x14ac:dyDescent="0.2">
      <c r="A10368" s="2" t="s">
        <v>3319</v>
      </c>
      <c r="B10368" s="2" t="s">
        <v>2093</v>
      </c>
      <c r="C10368" s="2">
        <v>797.10310000000004</v>
      </c>
      <c r="D10368" s="2">
        <f>HYPERLINK("http://mcb-m6.bioreg.kyushu-u.ac.jp/M3/20110428/F51130/2343/1", 70.69)</f>
        <v>70.69</v>
      </c>
      <c r="E10368" s="2">
        <v>43.2</v>
      </c>
      <c r="F10368" s="2">
        <v>2</v>
      </c>
      <c r="G10368" s="2" t="s">
        <v>14</v>
      </c>
    </row>
    <row r="10369" spans="1:9" x14ac:dyDescent="0.2">
      <c r="A10369" s="2" t="s">
        <v>3319</v>
      </c>
      <c r="B10369" s="2" t="s">
        <v>2070</v>
      </c>
      <c r="C10369" s="2">
        <v>714.70719999999994</v>
      </c>
      <c r="D10369" s="2">
        <f>HYPERLINK("http://mcb-m6.bioreg.kyushu-u.ac.jp/M3/20110427/F51124/1902/1", 71.57)</f>
        <v>71.569999999999993</v>
      </c>
      <c r="E10369" s="2">
        <v>54.36</v>
      </c>
      <c r="F10369" s="2">
        <v>2</v>
      </c>
      <c r="G10369" s="2" t="s">
        <v>14</v>
      </c>
    </row>
    <row r="10370" spans="1:9" x14ac:dyDescent="0.2">
      <c r="A10370" s="2" t="s">
        <v>3319</v>
      </c>
      <c r="B10370" s="2" t="s">
        <v>1812</v>
      </c>
      <c r="C10370" s="2">
        <v>581.23320000000001</v>
      </c>
      <c r="D10370" s="2">
        <f>HYPERLINK("http://mcb-m6.bioreg.kyushu-u.ac.jp/M3/20110428/F51130/1387/1", 71.59)</f>
        <v>71.59</v>
      </c>
      <c r="E10370" s="2">
        <v>47.57</v>
      </c>
      <c r="F10370" s="2">
        <v>2</v>
      </c>
      <c r="G10370" s="2" t="s">
        <v>14</v>
      </c>
    </row>
    <row r="10371" spans="1:9" x14ac:dyDescent="0.2">
      <c r="A10371" s="2" t="s">
        <v>3319</v>
      </c>
      <c r="B10371" s="2" t="s">
        <v>2505</v>
      </c>
      <c r="C10371" s="2">
        <v>864.20010000000002</v>
      </c>
      <c r="D10371" s="2">
        <f>HYPERLINK("http://mcb-m6.bioreg.kyushu-u.ac.jp/M3/20110427/F51124/2552/1", 71.69)</f>
        <v>71.69</v>
      </c>
      <c r="E10371" s="2">
        <v>60.76</v>
      </c>
      <c r="F10371" s="2">
        <v>2</v>
      </c>
      <c r="G10371" s="2" t="s">
        <v>14</v>
      </c>
      <c r="I10371" s="2" t="s">
        <v>4918</v>
      </c>
    </row>
    <row r="10372" spans="1:9" x14ac:dyDescent="0.2">
      <c r="A10372" s="2" t="s">
        <v>3319</v>
      </c>
      <c r="B10372" s="2" t="s">
        <v>638</v>
      </c>
      <c r="C10372" s="2">
        <v>556.57169999999996</v>
      </c>
      <c r="D10372" s="2">
        <f>HYPERLINK("http://mcb-m6.bioreg.kyushu-u.ac.jp/M3/20110428/F51130/1280/1", 71.99)</f>
        <v>71.989999999999995</v>
      </c>
      <c r="E10372" s="2">
        <v>48.26</v>
      </c>
      <c r="F10372" s="2">
        <v>2</v>
      </c>
      <c r="G10372" s="2" t="s">
        <v>14</v>
      </c>
    </row>
    <row r="10373" spans="1:9" x14ac:dyDescent="0.2">
      <c r="A10373" s="2" t="s">
        <v>3319</v>
      </c>
      <c r="B10373" s="2" t="s">
        <v>1812</v>
      </c>
      <c r="C10373" s="2">
        <v>581.1277</v>
      </c>
      <c r="D10373" s="2">
        <f>HYPERLINK("http://mcb-m6.bioreg.kyushu-u.ac.jp/M3/20110427/F51124/1385/1", 74.17)</f>
        <v>74.17</v>
      </c>
      <c r="E10373" s="2">
        <v>54.6</v>
      </c>
      <c r="F10373" s="2">
        <v>2</v>
      </c>
      <c r="G10373" s="2" t="s">
        <v>14</v>
      </c>
    </row>
    <row r="10374" spans="1:9" x14ac:dyDescent="0.2">
      <c r="A10374" s="2" t="s">
        <v>3319</v>
      </c>
      <c r="B10374" s="2" t="s">
        <v>2070</v>
      </c>
      <c r="C10374" s="2">
        <v>714.43960000000004</v>
      </c>
      <c r="D10374" s="2">
        <f>HYPERLINK("http://mcb-m6.bioreg.kyushu-u.ac.jp/M3/20110428/F51130/1949/1", 77.04)</f>
        <v>77.040000000000006</v>
      </c>
      <c r="E10374" s="2">
        <v>46.97</v>
      </c>
      <c r="F10374" s="2">
        <v>2</v>
      </c>
      <c r="G10374" s="2" t="s">
        <v>14</v>
      </c>
    </row>
    <row r="10375" spans="1:9" x14ac:dyDescent="0.2">
      <c r="A10375" s="2" t="s">
        <v>3319</v>
      </c>
      <c r="B10375" s="2" t="s">
        <v>2526</v>
      </c>
      <c r="C10375" s="2">
        <v>712.30359999999996</v>
      </c>
      <c r="D10375" s="2">
        <f>HYPERLINK("http://mcb-m6.bioreg.kyushu-u.ac.jp/M3/20110428/F51130/1941/1", 81.5)</f>
        <v>81.5</v>
      </c>
      <c r="E10375" s="2">
        <v>63.07</v>
      </c>
      <c r="F10375" s="2">
        <v>2</v>
      </c>
      <c r="G10375" s="2" t="s">
        <v>14</v>
      </c>
      <c r="H10375" s="2" t="s">
        <v>4908</v>
      </c>
    </row>
    <row r="10376" spans="1:9" x14ac:dyDescent="0.2">
      <c r="A10376" s="2" t="s">
        <v>3319</v>
      </c>
      <c r="B10376" s="2" t="s">
        <v>104</v>
      </c>
      <c r="C10376" s="2">
        <v>782.15009999999995</v>
      </c>
      <c r="D10376" s="2">
        <f>HYPERLINK("http://mcb-m6.bioreg.kyushu-u.ac.jp/M3/20110428/F51130/2256/1", 83.01)</f>
        <v>83.01</v>
      </c>
      <c r="E10376" s="2">
        <v>70.62</v>
      </c>
      <c r="F10376" s="2">
        <v>2</v>
      </c>
      <c r="G10376" s="2" t="s">
        <v>14</v>
      </c>
    </row>
    <row r="10377" spans="1:9" x14ac:dyDescent="0.2">
      <c r="A10377" s="2" t="s">
        <v>3319</v>
      </c>
      <c r="B10377" s="2" t="s">
        <v>2505</v>
      </c>
      <c r="C10377" s="2">
        <v>864.23170000000005</v>
      </c>
      <c r="D10377" s="2">
        <f>HYPERLINK("http://mcb-m6.bioreg.kyushu-u.ac.jp/M3/20110428/F51130/2645/1", 83.24)</f>
        <v>83.24</v>
      </c>
      <c r="E10377" s="2">
        <v>73.69</v>
      </c>
      <c r="F10377" s="2">
        <v>2</v>
      </c>
      <c r="G10377" s="2" t="s">
        <v>14</v>
      </c>
      <c r="I10377" s="2" t="s">
        <v>4918</v>
      </c>
    </row>
    <row r="10378" spans="1:9" x14ac:dyDescent="0.2">
      <c r="A10378" s="2" t="s">
        <v>3319</v>
      </c>
      <c r="B10378" s="2" t="s">
        <v>1909</v>
      </c>
      <c r="C10378" s="2">
        <v>869.69209999999998</v>
      </c>
      <c r="D10378" s="2">
        <f>HYPERLINK("http://mcb-m6.bioreg.kyushu-u.ac.jp/M3/20110428/F51130/2670/1", 87.24)</f>
        <v>87.24</v>
      </c>
      <c r="E10378" s="2">
        <v>59.49</v>
      </c>
      <c r="F10378" s="2">
        <v>2</v>
      </c>
      <c r="G10378" s="2" t="s">
        <v>14</v>
      </c>
    </row>
    <row r="10379" spans="1:9" x14ac:dyDescent="0.2">
      <c r="A10379" s="2" t="s">
        <v>3319</v>
      </c>
      <c r="B10379" s="2" t="s">
        <v>1749</v>
      </c>
      <c r="C10379" s="2">
        <v>778.60569999999996</v>
      </c>
      <c r="D10379" s="2">
        <f>HYPERLINK("http://mcb-m6.bioreg.kyushu-u.ac.jp/M3/20110427/F51124/2184/1", 87.9)</f>
        <v>87.9</v>
      </c>
      <c r="E10379" s="2">
        <v>76.25</v>
      </c>
      <c r="F10379" s="2">
        <v>2</v>
      </c>
      <c r="G10379" s="2" t="s">
        <v>14</v>
      </c>
    </row>
    <row r="10380" spans="1:9" x14ac:dyDescent="0.2">
      <c r="A10380" s="2" t="s">
        <v>3319</v>
      </c>
      <c r="B10380" s="2" t="s">
        <v>2070</v>
      </c>
      <c r="C10380" s="2">
        <v>714.16219999999998</v>
      </c>
      <c r="D10380" s="2">
        <f>HYPERLINK("http://mcb-m6.bioreg.kyushu-u.ac.jp/M3/20110427/F51124/1898/1", 96.83)</f>
        <v>96.83</v>
      </c>
      <c r="E10380" s="2">
        <v>71.900000000000006</v>
      </c>
      <c r="F10380" s="2">
        <v>2</v>
      </c>
      <c r="G10380" s="2" t="s">
        <v>14</v>
      </c>
    </row>
    <row r="10381" spans="1:9" x14ac:dyDescent="0.2">
      <c r="A10381" s="2" t="s">
        <v>3319</v>
      </c>
      <c r="B10381" s="2" t="s">
        <v>1909</v>
      </c>
      <c r="C10381" s="2">
        <v>870.19460000000004</v>
      </c>
      <c r="D10381" s="2">
        <f>HYPERLINK("http://mcb-m6.bioreg.kyushu-u.ac.jp/M3/20110428/F51130/2673/1", 102.85)</f>
        <v>102.85</v>
      </c>
      <c r="E10381" s="2">
        <v>77.510000000000005</v>
      </c>
      <c r="F10381" s="2">
        <v>2</v>
      </c>
      <c r="G10381" s="2" t="s">
        <v>14</v>
      </c>
    </row>
    <row r="10382" spans="1:9" x14ac:dyDescent="0.2">
      <c r="A10382" s="2" t="s">
        <v>3319</v>
      </c>
      <c r="B10382" s="2" t="s">
        <v>1311</v>
      </c>
      <c r="C10382" s="2">
        <v>826.32119999999998</v>
      </c>
      <c r="D10382" s="2">
        <f>HYPERLINK("http://mcb-m6.bioreg.kyushu-u.ac.jp/M3/20110428/F51130/2478/1", 104.73)</f>
        <v>104.73</v>
      </c>
      <c r="E10382" s="2">
        <v>85.05</v>
      </c>
      <c r="F10382" s="2">
        <v>2</v>
      </c>
      <c r="G10382" s="2" t="s">
        <v>14</v>
      </c>
    </row>
    <row r="10383" spans="1:9" x14ac:dyDescent="0.2">
      <c r="A10383" s="2" t="s">
        <v>7840</v>
      </c>
      <c r="B10383" s="2" t="s">
        <v>6798</v>
      </c>
      <c r="C10383" s="2">
        <v>578.74369999999999</v>
      </c>
      <c r="D10383" s="2">
        <f>HYPERLINK("http://mcb-m6.bioreg.kyushu-u.ac.jp/M3/20110404/F50760/1234/1", 43.81)</f>
        <v>43.81</v>
      </c>
      <c r="E10383" s="2">
        <v>19.63</v>
      </c>
      <c r="F10383" s="2">
        <v>2</v>
      </c>
      <c r="G10383" s="2" t="s">
        <v>10</v>
      </c>
    </row>
    <row r="10384" spans="1:9" x14ac:dyDescent="0.2">
      <c r="A10384" s="2" t="s">
        <v>4464</v>
      </c>
      <c r="B10384" s="2" t="s">
        <v>2396</v>
      </c>
      <c r="C10384" s="2">
        <v>853.74220000000003</v>
      </c>
      <c r="D10384" s="2">
        <f>HYPERLINK("http://mcb-m6.bioreg.kyushu-u.ac.jp/M3/20110404/F50755/2456/1", 56)</f>
        <v>56</v>
      </c>
      <c r="E10384" s="2">
        <v>45.78</v>
      </c>
      <c r="F10384" s="2">
        <v>2</v>
      </c>
      <c r="G10384" s="2" t="s">
        <v>9</v>
      </c>
    </row>
    <row r="10385" spans="1:9" x14ac:dyDescent="0.2">
      <c r="A10385" s="2" t="s">
        <v>4464</v>
      </c>
      <c r="B10385" s="2" t="s">
        <v>2847</v>
      </c>
      <c r="C10385" s="2">
        <v>490.58210000000003</v>
      </c>
      <c r="D10385" s="2">
        <f>HYPERLINK("http://mcb-m6.bioreg.kyushu-u.ac.jp/M3/20110404/F50760/1011/1", 44.14)</f>
        <v>44.14</v>
      </c>
      <c r="E10385" s="2">
        <v>21.56</v>
      </c>
      <c r="F10385" s="2">
        <v>2</v>
      </c>
      <c r="G10385" s="2" t="s">
        <v>10</v>
      </c>
    </row>
    <row r="10386" spans="1:9" x14ac:dyDescent="0.2">
      <c r="A10386" s="2" t="s">
        <v>8124</v>
      </c>
      <c r="B10386" s="2" t="s">
        <v>7508</v>
      </c>
      <c r="C10386" s="2">
        <v>582.17409999999995</v>
      </c>
      <c r="D10386" s="2">
        <f>HYPERLINK("http://mcb-m6.bioreg.kyushu-u.ac.jp/M3/20110428/F51129/1338/1", 71.54)</f>
        <v>71.540000000000006</v>
      </c>
      <c r="E10386" s="2">
        <v>58.81</v>
      </c>
      <c r="F10386" s="2">
        <v>2</v>
      </c>
      <c r="G10386" s="2" t="s">
        <v>14</v>
      </c>
    </row>
    <row r="10387" spans="1:9" x14ac:dyDescent="0.2">
      <c r="A10387" s="2" t="s">
        <v>7566</v>
      </c>
      <c r="B10387" s="2" t="s">
        <v>5997</v>
      </c>
      <c r="C10387" s="2">
        <v>931.27509999999995</v>
      </c>
      <c r="D10387" s="2">
        <f>HYPERLINK("http://mcb-m6.bioreg.kyushu-u.ac.jp/M3/20110404/F50778/2739/1", 38.19)</f>
        <v>38.19</v>
      </c>
      <c r="E10387" s="2">
        <v>24.14</v>
      </c>
      <c r="F10387" s="2">
        <v>2</v>
      </c>
      <c r="G10387" s="2" t="s">
        <v>9</v>
      </c>
      <c r="I10387" s="2" t="s">
        <v>4905</v>
      </c>
    </row>
    <row r="10388" spans="1:9" x14ac:dyDescent="0.2">
      <c r="A10388" s="2" t="s">
        <v>4333</v>
      </c>
      <c r="B10388" s="2" t="s">
        <v>2143</v>
      </c>
      <c r="C10388" s="2">
        <v>817.91269999999997</v>
      </c>
      <c r="D10388" s="2">
        <f>HYPERLINK("http://mcb-m6.bioreg.kyushu-u.ac.jp/M3/20110404/F50761/2156/1", 111.64)</f>
        <v>111.64</v>
      </c>
      <c r="E10388" s="2">
        <v>97.98</v>
      </c>
      <c r="F10388" s="2">
        <v>2</v>
      </c>
      <c r="G10388" s="2" t="s">
        <v>10</v>
      </c>
      <c r="I10388" s="2" t="s">
        <v>4909</v>
      </c>
    </row>
    <row r="10389" spans="1:9" x14ac:dyDescent="0.2">
      <c r="A10389" s="2" t="s">
        <v>4333</v>
      </c>
      <c r="B10389" s="2" t="s">
        <v>2143</v>
      </c>
      <c r="C10389" s="2">
        <v>817.42819999999995</v>
      </c>
      <c r="D10389" s="2">
        <f>HYPERLINK("http://mcb-m6.bioreg.kyushu-u.ac.jp/M3/20110427/F51114/2485/1", 115.26)</f>
        <v>115.26</v>
      </c>
      <c r="E10389" s="2">
        <v>101.21</v>
      </c>
      <c r="F10389" s="2">
        <v>2</v>
      </c>
      <c r="G10389" s="2" t="s">
        <v>13</v>
      </c>
      <c r="I10389" s="2" t="s">
        <v>4909</v>
      </c>
    </row>
    <row r="10390" spans="1:9" x14ac:dyDescent="0.2">
      <c r="A10390" s="2" t="s">
        <v>4333</v>
      </c>
      <c r="B10390" s="2" t="s">
        <v>2143</v>
      </c>
      <c r="C10390" s="2">
        <v>817.7482</v>
      </c>
      <c r="D10390" s="2">
        <f>HYPERLINK("http://mcb-m6.bioreg.kyushu-u.ac.jp/M3/20110427/F51123/2413/1", 90.8)</f>
        <v>90.8</v>
      </c>
      <c r="E10390" s="2">
        <v>74.17</v>
      </c>
      <c r="F10390" s="2">
        <v>2</v>
      </c>
      <c r="G10390" s="2" t="s">
        <v>14</v>
      </c>
      <c r="I10390" s="2" t="s">
        <v>4909</v>
      </c>
    </row>
    <row r="10391" spans="1:9" x14ac:dyDescent="0.2">
      <c r="A10391" s="2" t="s">
        <v>3954</v>
      </c>
      <c r="B10391" s="2" t="s">
        <v>1160</v>
      </c>
      <c r="C10391" s="2">
        <v>857.1617</v>
      </c>
      <c r="D10391" s="2">
        <f>HYPERLINK("http://mcb-m6.bioreg.kyushu-u.ac.jp/M3/20110421/F51014/2547/1", 112.71)</f>
        <v>112.71</v>
      </c>
      <c r="E10391" s="2">
        <v>91.57</v>
      </c>
      <c r="F10391" s="2">
        <v>2</v>
      </c>
      <c r="G10391" s="2" t="s">
        <v>11</v>
      </c>
    </row>
    <row r="10392" spans="1:9" x14ac:dyDescent="0.2">
      <c r="A10392" s="2" t="s">
        <v>3954</v>
      </c>
      <c r="B10392" s="2" t="s">
        <v>7184</v>
      </c>
      <c r="C10392" s="2">
        <v>733.20010000000002</v>
      </c>
      <c r="D10392" s="2">
        <f>HYPERLINK("http://mcb-m6.bioreg.kyushu-u.ac.jp/M3/20110421/F51021/2033/1", 39.68)</f>
        <v>39.68</v>
      </c>
      <c r="E10392" s="2">
        <v>19.440000000000001</v>
      </c>
      <c r="F10392" s="2">
        <v>2</v>
      </c>
      <c r="G10392" s="2" t="s">
        <v>12</v>
      </c>
    </row>
    <row r="10393" spans="1:9" x14ac:dyDescent="0.2">
      <c r="A10393" s="2" t="s">
        <v>3954</v>
      </c>
      <c r="B10393" s="2" t="s">
        <v>1160</v>
      </c>
      <c r="C10393" s="2">
        <v>857.73320000000001</v>
      </c>
      <c r="D10393" s="2">
        <f>HYPERLINK("http://mcb-m6.bioreg.kyushu-u.ac.jp/M3/20110421/F51021/2726/1", 123.19)</f>
        <v>123.19</v>
      </c>
      <c r="E10393" s="2">
        <v>101.17</v>
      </c>
      <c r="F10393" s="2">
        <v>2</v>
      </c>
      <c r="G10393" s="2" t="s">
        <v>12</v>
      </c>
    </row>
    <row r="10394" spans="1:9" x14ac:dyDescent="0.2">
      <c r="A10394" s="2" t="s">
        <v>3871</v>
      </c>
      <c r="B10394" s="2" t="s">
        <v>990</v>
      </c>
      <c r="C10394" s="2">
        <v>1249.4839999999999</v>
      </c>
      <c r="D10394" s="2">
        <f>HYPERLINK("http://mcb-m6.bioreg.kyushu-u.ac.jp/M3/20110404/F50778/1285/1", 48.06)</f>
        <v>48.06</v>
      </c>
      <c r="E10394" s="2">
        <v>23.07</v>
      </c>
      <c r="F10394" s="2">
        <v>1</v>
      </c>
      <c r="G10394" s="2" t="s">
        <v>9</v>
      </c>
    </row>
    <row r="10395" spans="1:9" x14ac:dyDescent="0.2">
      <c r="A10395" s="2" t="s">
        <v>3871</v>
      </c>
      <c r="B10395" s="2" t="s">
        <v>5289</v>
      </c>
      <c r="C10395" s="2">
        <v>597.75710000000004</v>
      </c>
      <c r="D10395" s="2">
        <f>HYPERLINK("http://mcb-m6.bioreg.kyushu-u.ac.jp/M3/20110404/F50775/1382/1", 45.14)</f>
        <v>45.14</v>
      </c>
      <c r="E10395" s="2">
        <v>14.61</v>
      </c>
      <c r="F10395" s="2">
        <v>2</v>
      </c>
      <c r="G10395" s="2" t="s">
        <v>10</v>
      </c>
    </row>
    <row r="10396" spans="1:9" x14ac:dyDescent="0.2">
      <c r="A10396" s="2" t="s">
        <v>3871</v>
      </c>
      <c r="B10396" s="2" t="s">
        <v>990</v>
      </c>
      <c r="C10396" s="2">
        <v>625.16560000000004</v>
      </c>
      <c r="D10396" s="2">
        <f>HYPERLINK("http://mcb-m6.bioreg.kyushu-u.ac.jp/M3/20110404/F50775/1480/1", 54.55)</f>
        <v>54.55</v>
      </c>
      <c r="E10396" s="2">
        <v>36.97</v>
      </c>
      <c r="F10396" s="2">
        <v>2</v>
      </c>
      <c r="G10396" s="2" t="s">
        <v>10</v>
      </c>
    </row>
    <row r="10397" spans="1:9" x14ac:dyDescent="0.2">
      <c r="A10397" s="2" t="s">
        <v>3871</v>
      </c>
      <c r="B10397" s="2" t="s">
        <v>5289</v>
      </c>
      <c r="C10397" s="2">
        <v>597.96259999999995</v>
      </c>
      <c r="D10397" s="2">
        <f>HYPERLINK("http://mcb-m6.bioreg.kyushu-u.ac.jp/M3/20110421/F51039/1386/1", 38.48)</f>
        <v>38.479999999999997</v>
      </c>
      <c r="E10397" s="2">
        <v>13.54</v>
      </c>
      <c r="F10397" s="2">
        <v>2</v>
      </c>
      <c r="G10397" s="2" t="s">
        <v>11</v>
      </c>
    </row>
    <row r="10398" spans="1:9" x14ac:dyDescent="0.2">
      <c r="A10398" s="2" t="s">
        <v>3871</v>
      </c>
      <c r="B10398" s="2" t="s">
        <v>990</v>
      </c>
      <c r="C10398" s="2">
        <v>625.30269999999996</v>
      </c>
      <c r="D10398" s="2">
        <f>HYPERLINK("http://mcb-m6.bioreg.kyushu-u.ac.jp/M3/20110421/F51039/1507/1", 50.02)</f>
        <v>50.02</v>
      </c>
      <c r="E10398" s="2">
        <v>32.1</v>
      </c>
      <c r="F10398" s="2">
        <v>2</v>
      </c>
      <c r="G10398" s="2" t="s">
        <v>11</v>
      </c>
    </row>
    <row r="10399" spans="1:9" x14ac:dyDescent="0.2">
      <c r="A10399" s="2" t="s">
        <v>3871</v>
      </c>
      <c r="B10399" s="2" t="s">
        <v>990</v>
      </c>
      <c r="C10399" s="2">
        <v>625.8442</v>
      </c>
      <c r="D10399" s="2">
        <f>HYPERLINK("http://mcb-m6.bioreg.kyushu-u.ac.jp/M3/20110421/F51050/1623/1", 46.5)</f>
        <v>46.5</v>
      </c>
      <c r="E10399" s="2">
        <v>26.9</v>
      </c>
      <c r="F10399" s="2">
        <v>2</v>
      </c>
      <c r="G10399" s="2" t="s">
        <v>12</v>
      </c>
    </row>
    <row r="10400" spans="1:9" x14ac:dyDescent="0.2">
      <c r="A10400" s="2" t="s">
        <v>3871</v>
      </c>
      <c r="B10400" s="2" t="s">
        <v>990</v>
      </c>
      <c r="C10400" s="2">
        <v>625.40719999999999</v>
      </c>
      <c r="D10400" s="2">
        <f>HYPERLINK("http://mcb-m6.bioreg.kyushu-u.ac.jp/M3/20110421/F51048/1654/1", 61.48)</f>
        <v>61.48</v>
      </c>
      <c r="E10400" s="2">
        <v>33.69</v>
      </c>
      <c r="F10400" s="2">
        <v>2</v>
      </c>
      <c r="G10400" s="2" t="s">
        <v>12</v>
      </c>
    </row>
    <row r="10401" spans="1:7" x14ac:dyDescent="0.2">
      <c r="A10401" s="2" t="s">
        <v>3871</v>
      </c>
      <c r="B10401" s="2" t="s">
        <v>990</v>
      </c>
      <c r="C10401" s="2">
        <v>625.17909999999995</v>
      </c>
      <c r="D10401" s="2">
        <f>HYPERLINK("http://mcb-m6.bioreg.kyushu-u.ac.jp/M3/20110428/F51133/1329/1", 62.04)</f>
        <v>62.04</v>
      </c>
      <c r="E10401" s="2">
        <v>47.88</v>
      </c>
      <c r="F10401" s="2">
        <v>2</v>
      </c>
      <c r="G10401" s="2" t="s">
        <v>13</v>
      </c>
    </row>
    <row r="10402" spans="1:7" x14ac:dyDescent="0.2">
      <c r="A10402" s="2" t="s">
        <v>4871</v>
      </c>
      <c r="B10402" s="2" t="s">
        <v>5321</v>
      </c>
      <c r="C10402" s="2">
        <v>773.32510000000002</v>
      </c>
      <c r="D10402" s="2">
        <f>HYPERLINK("http://mcb-m6.bioreg.kyushu-u.ac.jp/M3/20110404/F50778/1993/1", 36.09)</f>
        <v>36.090000000000003</v>
      </c>
      <c r="E10402" s="2">
        <v>15.92</v>
      </c>
      <c r="F10402" s="2">
        <v>2</v>
      </c>
      <c r="G10402" s="2" t="s">
        <v>9</v>
      </c>
    </row>
    <row r="10403" spans="1:7" x14ac:dyDescent="0.2">
      <c r="A10403" s="2" t="s">
        <v>4871</v>
      </c>
      <c r="B10403" s="2" t="s">
        <v>3175</v>
      </c>
      <c r="C10403" s="2">
        <v>656.25869999999998</v>
      </c>
      <c r="D10403" s="2">
        <f>HYPERLINK("http://mcb-m6.bioreg.kyushu-u.ac.jp/M3/20110404/F50778/1402/1", 47.95)</f>
        <v>47.95</v>
      </c>
      <c r="E10403" s="2">
        <v>33.22</v>
      </c>
      <c r="F10403" s="2">
        <v>2</v>
      </c>
      <c r="G10403" s="2" t="s">
        <v>9</v>
      </c>
    </row>
    <row r="10404" spans="1:7" x14ac:dyDescent="0.2">
      <c r="A10404" s="2" t="s">
        <v>4871</v>
      </c>
      <c r="B10404" s="2" t="s">
        <v>3175</v>
      </c>
      <c r="C10404" s="2">
        <v>1311.6110000000001</v>
      </c>
      <c r="D10404" s="2">
        <f>HYPERLINK("http://mcb-m6.bioreg.kyushu-u.ac.jp/M3/20110404/F50778/1403/1", 48.03)</f>
        <v>48.03</v>
      </c>
      <c r="E10404" s="2">
        <v>30.52</v>
      </c>
      <c r="F10404" s="2">
        <v>1</v>
      </c>
      <c r="G10404" s="2" t="s">
        <v>9</v>
      </c>
    </row>
    <row r="10405" spans="1:7" x14ac:dyDescent="0.2">
      <c r="A10405" s="2" t="s">
        <v>4871</v>
      </c>
      <c r="B10405" s="2" t="s">
        <v>5448</v>
      </c>
      <c r="C10405" s="2">
        <v>709.18370000000004</v>
      </c>
      <c r="D10405" s="2">
        <f>HYPERLINK("http://mcb-m6.bioreg.kyushu-u.ac.jp/M3/20110404/F50775/1804/1", 51.23)</f>
        <v>51.23</v>
      </c>
      <c r="E10405" s="2">
        <v>32.520000000000003</v>
      </c>
      <c r="F10405" s="2">
        <v>2</v>
      </c>
      <c r="G10405" s="2" t="s">
        <v>10</v>
      </c>
    </row>
    <row r="10406" spans="1:7" x14ac:dyDescent="0.2">
      <c r="A10406" s="2" t="s">
        <v>4871</v>
      </c>
      <c r="B10406" s="2" t="s">
        <v>3175</v>
      </c>
      <c r="C10406" s="2">
        <v>656.2731</v>
      </c>
      <c r="D10406" s="2">
        <f>HYPERLINK("http://mcb-m6.bioreg.kyushu-u.ac.jp/M3/20110404/F50775/1553/1", 62.11)</f>
        <v>62.11</v>
      </c>
      <c r="E10406" s="2">
        <v>44.65</v>
      </c>
      <c r="F10406" s="2">
        <v>2</v>
      </c>
      <c r="G10406" s="2" t="s">
        <v>10</v>
      </c>
    </row>
    <row r="10407" spans="1:7" x14ac:dyDescent="0.2">
      <c r="A10407" s="2" t="s">
        <v>4871</v>
      </c>
      <c r="B10407" s="2" t="s">
        <v>5448</v>
      </c>
      <c r="C10407" s="2">
        <v>709.22469999999998</v>
      </c>
      <c r="D10407" s="2">
        <f>HYPERLINK("http://mcb-m6.bioreg.kyushu-u.ac.jp/M3/20110421/F51039/1902/1", 44.35)</f>
        <v>44.35</v>
      </c>
      <c r="E10407" s="2">
        <v>27.81</v>
      </c>
      <c r="F10407" s="2">
        <v>2</v>
      </c>
      <c r="G10407" s="2" t="s">
        <v>11</v>
      </c>
    </row>
    <row r="10408" spans="1:7" x14ac:dyDescent="0.2">
      <c r="A10408" s="2" t="s">
        <v>3810</v>
      </c>
      <c r="B10408" s="2" t="s">
        <v>1343</v>
      </c>
      <c r="C10408" s="2">
        <v>757.88070000000005</v>
      </c>
      <c r="D10408" s="2">
        <f>HYPERLINK("http://mcb-m6.bioreg.kyushu-u.ac.jp/M3/20110404/F50778/1918/2", 35.11)</f>
        <v>35.11</v>
      </c>
      <c r="E10408" s="2">
        <v>19.77</v>
      </c>
      <c r="F10408" s="2">
        <v>2</v>
      </c>
      <c r="G10408" s="2" t="s">
        <v>9</v>
      </c>
    </row>
    <row r="10409" spans="1:7" x14ac:dyDescent="0.2">
      <c r="A10409" s="2" t="s">
        <v>3810</v>
      </c>
      <c r="B10409" s="2" t="s">
        <v>870</v>
      </c>
      <c r="C10409" s="2">
        <v>576.31209999999999</v>
      </c>
      <c r="D10409" s="2">
        <f>HYPERLINK("http://mcb-m6.bioreg.kyushu-u.ac.jp/M3/20110404/F50778/1080/1", 45.78)</f>
        <v>45.78</v>
      </c>
      <c r="E10409" s="2">
        <v>13.2</v>
      </c>
      <c r="F10409" s="2">
        <v>2</v>
      </c>
      <c r="G10409" s="2" t="s">
        <v>9</v>
      </c>
    </row>
    <row r="10410" spans="1:7" x14ac:dyDescent="0.2">
      <c r="A10410" s="2" t="s">
        <v>3810</v>
      </c>
      <c r="B10410" s="2" t="s">
        <v>870</v>
      </c>
      <c r="C10410" s="2">
        <v>1151.508</v>
      </c>
      <c r="D10410" s="2">
        <f>HYPERLINK("http://mcb-m6.bioreg.kyushu-u.ac.jp/M3/20110404/F50778/1077/1", 61.2)</f>
        <v>61.2</v>
      </c>
      <c r="E10410" s="2">
        <v>17.79</v>
      </c>
      <c r="F10410" s="2">
        <v>1</v>
      </c>
      <c r="G10410" s="2" t="s">
        <v>9</v>
      </c>
    </row>
    <row r="10411" spans="1:7" x14ac:dyDescent="0.2">
      <c r="A10411" s="2" t="s">
        <v>3810</v>
      </c>
      <c r="B10411" s="2" t="s">
        <v>1343</v>
      </c>
      <c r="C10411" s="2">
        <v>757.28920000000005</v>
      </c>
      <c r="D10411" s="2">
        <f>HYPERLINK("http://mcb-m6.bioreg.kyushu-u.ac.jp/M3/20110404/F50777/2014/2", 62.97)</f>
        <v>62.97</v>
      </c>
      <c r="E10411" s="2">
        <v>44.52</v>
      </c>
      <c r="F10411" s="2">
        <v>2</v>
      </c>
      <c r="G10411" s="2" t="s">
        <v>9</v>
      </c>
    </row>
    <row r="10412" spans="1:7" x14ac:dyDescent="0.2">
      <c r="A10412" s="2" t="s">
        <v>3810</v>
      </c>
      <c r="B10412" s="2" t="s">
        <v>1343</v>
      </c>
      <c r="C10412" s="2">
        <v>1513.761</v>
      </c>
      <c r="D10412" s="2">
        <f>HYPERLINK("http://mcb-m6.bioreg.kyushu-u.ac.jp/M3/20110404/F50778/1913/2", 78.35)</f>
        <v>78.349999999999994</v>
      </c>
      <c r="E10412" s="2">
        <v>61.18</v>
      </c>
      <c r="F10412" s="2">
        <v>1</v>
      </c>
      <c r="G10412" s="2" t="s">
        <v>9</v>
      </c>
    </row>
    <row r="10413" spans="1:7" x14ac:dyDescent="0.2">
      <c r="A10413" s="2" t="s">
        <v>3810</v>
      </c>
      <c r="B10413" s="2" t="s">
        <v>1343</v>
      </c>
      <c r="C10413" s="2">
        <v>757.70719999999994</v>
      </c>
      <c r="D10413" s="2">
        <f>HYPERLINK("http://mcb-m6.bioreg.kyushu-u.ac.jp/M3/20110404/F50778/1917/2", 106.35)</f>
        <v>106.35</v>
      </c>
      <c r="E10413" s="2">
        <v>76.75</v>
      </c>
      <c r="F10413" s="2">
        <v>2</v>
      </c>
      <c r="G10413" s="2" t="s">
        <v>9</v>
      </c>
    </row>
    <row r="10414" spans="1:7" x14ac:dyDescent="0.2">
      <c r="A10414" s="2" t="s">
        <v>3810</v>
      </c>
      <c r="B10414" s="2" t="s">
        <v>870</v>
      </c>
      <c r="C10414" s="2">
        <v>1152.56</v>
      </c>
      <c r="D10414" s="2">
        <f>HYPERLINK("http://mcb-m6.bioreg.kyushu-u.ac.jp/M3/20110404/F50775/1286/1", 41.75)</f>
        <v>41.75</v>
      </c>
      <c r="E10414" s="2">
        <v>13.56</v>
      </c>
      <c r="F10414" s="2">
        <v>1</v>
      </c>
      <c r="G10414" s="2" t="s">
        <v>10</v>
      </c>
    </row>
    <row r="10415" spans="1:7" x14ac:dyDescent="0.2">
      <c r="A10415" s="2" t="s">
        <v>3810</v>
      </c>
      <c r="B10415" s="2" t="s">
        <v>870</v>
      </c>
      <c r="C10415" s="2">
        <v>576.77260000000001</v>
      </c>
      <c r="D10415" s="2">
        <f>HYPERLINK("http://mcb-m6.bioreg.kyushu-u.ac.jp/M3/20110404/F50775/1285/1", 46.65)</f>
        <v>46.65</v>
      </c>
      <c r="E10415" s="2">
        <v>11.36</v>
      </c>
      <c r="F10415" s="2">
        <v>2</v>
      </c>
      <c r="G10415" s="2" t="s">
        <v>10</v>
      </c>
    </row>
    <row r="10416" spans="1:7" x14ac:dyDescent="0.2">
      <c r="A10416" s="2" t="s">
        <v>3810</v>
      </c>
      <c r="B10416" s="2" t="s">
        <v>870</v>
      </c>
      <c r="C10416" s="2">
        <v>576.20669999999996</v>
      </c>
      <c r="D10416" s="2">
        <f>HYPERLINK("http://mcb-m6.bioreg.kyushu-u.ac.jp/M3/20110404/F50775/1283/1", 60.73)</f>
        <v>60.73</v>
      </c>
      <c r="E10416" s="2">
        <v>25.17</v>
      </c>
      <c r="F10416" s="2">
        <v>2</v>
      </c>
      <c r="G10416" s="2" t="s">
        <v>10</v>
      </c>
    </row>
    <row r="10417" spans="1:7" x14ac:dyDescent="0.2">
      <c r="A10417" s="2" t="s">
        <v>3810</v>
      </c>
      <c r="B10417" s="2" t="s">
        <v>1343</v>
      </c>
      <c r="C10417" s="2">
        <v>757.37819999999999</v>
      </c>
      <c r="D10417" s="2">
        <f>HYPERLINK("http://mcb-m6.bioreg.kyushu-u.ac.jp/M3/20110421/F51037/2142/2", 46.46)</f>
        <v>46.46</v>
      </c>
      <c r="E10417" s="2">
        <v>26.95</v>
      </c>
      <c r="F10417" s="2">
        <v>2</v>
      </c>
      <c r="G10417" s="2" t="s">
        <v>11</v>
      </c>
    </row>
    <row r="10418" spans="1:7" x14ac:dyDescent="0.2">
      <c r="A10418" s="2" t="s">
        <v>3810</v>
      </c>
      <c r="B10418" s="2" t="s">
        <v>870</v>
      </c>
      <c r="C10418" s="2">
        <v>1151.421</v>
      </c>
      <c r="D10418" s="2">
        <f>HYPERLINK("http://mcb-m6.bioreg.kyushu-u.ac.jp/M3/20110421/F51039/1278/1", 61.41)</f>
        <v>61.41</v>
      </c>
      <c r="E10418" s="2">
        <v>8.49</v>
      </c>
      <c r="F10418" s="2">
        <v>1</v>
      </c>
      <c r="G10418" s="2" t="s">
        <v>11</v>
      </c>
    </row>
    <row r="10419" spans="1:7" x14ac:dyDescent="0.2">
      <c r="A10419" s="2" t="s">
        <v>3810</v>
      </c>
      <c r="B10419" s="2" t="s">
        <v>1343</v>
      </c>
      <c r="C10419" s="2">
        <v>757.33259999999996</v>
      </c>
      <c r="D10419" s="2">
        <f>HYPERLINK("http://mcb-m6.bioreg.kyushu-u.ac.jp/M3/20110421/F51040/2152/2", 74.53)</f>
        <v>74.53</v>
      </c>
      <c r="E10419" s="2">
        <v>45.73</v>
      </c>
      <c r="F10419" s="2">
        <v>2</v>
      </c>
      <c r="G10419" s="2" t="s">
        <v>11</v>
      </c>
    </row>
    <row r="10420" spans="1:7" x14ac:dyDescent="0.2">
      <c r="A10420" s="2" t="s">
        <v>3810</v>
      </c>
      <c r="B10420" s="2" t="s">
        <v>870</v>
      </c>
      <c r="C10420" s="2">
        <v>576.42269999999996</v>
      </c>
      <c r="D10420" s="2">
        <f>HYPERLINK("http://mcb-m6.bioreg.kyushu-u.ac.jp/M3/20110421/F51050/1427/1", 53.32)</f>
        <v>53.32</v>
      </c>
      <c r="E10420" s="2">
        <v>17.41</v>
      </c>
      <c r="F10420" s="2">
        <v>2</v>
      </c>
      <c r="G10420" s="2" t="s">
        <v>12</v>
      </c>
    </row>
    <row r="10421" spans="1:7" x14ac:dyDescent="0.2">
      <c r="A10421" s="2" t="s">
        <v>3810</v>
      </c>
      <c r="B10421" s="2" t="s">
        <v>1343</v>
      </c>
      <c r="C10421" s="2">
        <v>757.44420000000002</v>
      </c>
      <c r="D10421" s="2">
        <f>HYPERLINK("http://mcb-m6.bioreg.kyushu-u.ac.jp/M3/20110421/F51048/2311/2", 75.58)</f>
        <v>75.58</v>
      </c>
      <c r="E10421" s="2">
        <v>48.71</v>
      </c>
      <c r="F10421" s="2">
        <v>2</v>
      </c>
      <c r="G10421" s="2" t="s">
        <v>12</v>
      </c>
    </row>
    <row r="10422" spans="1:7" x14ac:dyDescent="0.2">
      <c r="A10422" s="2" t="s">
        <v>3810</v>
      </c>
      <c r="B10422" s="2" t="s">
        <v>870</v>
      </c>
      <c r="C10422" s="2">
        <v>576.68769999999995</v>
      </c>
      <c r="D10422" s="2">
        <f>HYPERLINK("http://mcb-m6.bioreg.kyushu-u.ac.jp/M3/20110428/F51133/1150/1", 52.11)</f>
        <v>52.11</v>
      </c>
      <c r="E10422" s="2">
        <v>16.079999999999998</v>
      </c>
      <c r="F10422" s="2">
        <v>2</v>
      </c>
      <c r="G10422" s="2" t="s">
        <v>13</v>
      </c>
    </row>
    <row r="10423" spans="1:7" x14ac:dyDescent="0.2">
      <c r="A10423" s="2" t="s">
        <v>3810</v>
      </c>
      <c r="B10423" s="2" t="s">
        <v>1343</v>
      </c>
      <c r="C10423" s="2">
        <v>757.76070000000004</v>
      </c>
      <c r="D10423" s="2">
        <f>HYPERLINK("http://mcb-m6.bioreg.kyushu-u.ac.jp/M3/20110428/F51127/1977/2", 52.16)</f>
        <v>52.16</v>
      </c>
      <c r="E10423" s="2">
        <v>30.09</v>
      </c>
      <c r="F10423" s="2">
        <v>2</v>
      </c>
      <c r="G10423" s="2" t="s">
        <v>13</v>
      </c>
    </row>
    <row r="10424" spans="1:7" x14ac:dyDescent="0.2">
      <c r="A10424" s="2" t="s">
        <v>3810</v>
      </c>
      <c r="B10424" s="2" t="s">
        <v>870</v>
      </c>
      <c r="C10424" s="2">
        <v>576.68619999999999</v>
      </c>
      <c r="D10424" s="2">
        <f>HYPERLINK("http://mcb-m6.bioreg.kyushu-u.ac.jp/M3/20110428/F51130/1368/1", 55.19)</f>
        <v>55.19</v>
      </c>
      <c r="E10424" s="2">
        <v>23.65</v>
      </c>
      <c r="F10424" s="2">
        <v>2</v>
      </c>
      <c r="G10424" s="2" t="s">
        <v>14</v>
      </c>
    </row>
    <row r="10425" spans="1:7" x14ac:dyDescent="0.2">
      <c r="A10425" s="2" t="s">
        <v>3378</v>
      </c>
      <c r="B10425" s="2" t="s">
        <v>5021</v>
      </c>
      <c r="C10425" s="2">
        <v>1039.4659999999999</v>
      </c>
      <c r="D10425" s="2">
        <f>HYPERLINK("http://mcb-m6.bioreg.kyushu-u.ac.jp/M3/20110404/F50778/889/1", 42.44)</f>
        <v>42.44</v>
      </c>
      <c r="E10425" s="2">
        <v>14.71</v>
      </c>
      <c r="F10425" s="2">
        <v>1</v>
      </c>
      <c r="G10425" s="2" t="s">
        <v>9</v>
      </c>
    </row>
    <row r="10426" spans="1:7" x14ac:dyDescent="0.2">
      <c r="A10426" s="2" t="s">
        <v>3378</v>
      </c>
      <c r="B10426" s="2" t="s">
        <v>5021</v>
      </c>
      <c r="C10426" s="2">
        <v>520.76120000000003</v>
      </c>
      <c r="D10426" s="2">
        <f>HYPERLINK("http://mcb-m6.bioreg.kyushu-u.ac.jp/M3/20110404/F50778/891/1", 45.81)</f>
        <v>45.81</v>
      </c>
      <c r="E10426" s="2">
        <v>31.42</v>
      </c>
      <c r="F10426" s="2">
        <v>2</v>
      </c>
      <c r="G10426" s="2" t="s">
        <v>9</v>
      </c>
    </row>
    <row r="10427" spans="1:7" x14ac:dyDescent="0.2">
      <c r="A10427" s="2" t="s">
        <v>3378</v>
      </c>
      <c r="B10427" s="2" t="s">
        <v>1000</v>
      </c>
      <c r="C10427" s="2">
        <v>770.44669999999996</v>
      </c>
      <c r="D10427" s="2">
        <f>HYPERLINK("http://mcb-m6.bioreg.kyushu-u.ac.jp/M3/20110404/F50778/1978/1", 75.45)</f>
        <v>75.45</v>
      </c>
      <c r="E10427" s="2">
        <v>55.55</v>
      </c>
      <c r="F10427" s="2">
        <v>2</v>
      </c>
      <c r="G10427" s="2" t="s">
        <v>9</v>
      </c>
    </row>
    <row r="10428" spans="1:7" x14ac:dyDescent="0.2">
      <c r="A10428" s="2" t="s">
        <v>3378</v>
      </c>
      <c r="B10428" s="2" t="s">
        <v>5021</v>
      </c>
      <c r="C10428" s="2">
        <v>1039.44</v>
      </c>
      <c r="D10428" s="2">
        <f>HYPERLINK("http://mcb-m6.bioreg.kyushu-u.ac.jp/M3/20110404/F50775/1114/1", 42.3)</f>
        <v>42.3</v>
      </c>
      <c r="E10428" s="2">
        <v>14.97</v>
      </c>
      <c r="F10428" s="2">
        <v>1</v>
      </c>
      <c r="G10428" s="2" t="s">
        <v>10</v>
      </c>
    </row>
    <row r="10429" spans="1:7" x14ac:dyDescent="0.2">
      <c r="A10429" s="2" t="s">
        <v>3378</v>
      </c>
      <c r="B10429" s="2" t="s">
        <v>5021</v>
      </c>
      <c r="C10429" s="2">
        <v>520.7527</v>
      </c>
      <c r="D10429" s="2">
        <f>HYPERLINK("http://mcb-m6.bioreg.kyushu-u.ac.jp/M3/20110404/F50775/1116/1", 47.44)</f>
        <v>47.44</v>
      </c>
      <c r="E10429" s="2">
        <v>29.28</v>
      </c>
      <c r="F10429" s="2">
        <v>2</v>
      </c>
      <c r="G10429" s="2" t="s">
        <v>10</v>
      </c>
    </row>
    <row r="10430" spans="1:7" x14ac:dyDescent="0.2">
      <c r="A10430" s="2" t="s">
        <v>3378</v>
      </c>
      <c r="B10430" s="2" t="s">
        <v>1000</v>
      </c>
      <c r="C10430" s="2">
        <v>770.92909999999995</v>
      </c>
      <c r="D10430" s="2">
        <f>HYPERLINK("http://mcb-m6.bioreg.kyushu-u.ac.jp/M3/20110404/F50775/2086/1", 70.01)</f>
        <v>70.010000000000005</v>
      </c>
      <c r="E10430" s="2">
        <v>54.79</v>
      </c>
      <c r="F10430" s="2">
        <v>2</v>
      </c>
      <c r="G10430" s="2" t="s">
        <v>10</v>
      </c>
    </row>
    <row r="10431" spans="1:7" x14ac:dyDescent="0.2">
      <c r="A10431" s="2" t="s">
        <v>3378</v>
      </c>
      <c r="B10431" s="2" t="s">
        <v>1000</v>
      </c>
      <c r="C10431" s="2">
        <v>770.34619999999995</v>
      </c>
      <c r="D10431" s="2">
        <f>HYPERLINK("http://mcb-m6.bioreg.kyushu-u.ac.jp/M3/20110404/F50775/2082/1", 80.25)</f>
        <v>80.25</v>
      </c>
      <c r="E10431" s="2">
        <v>65.430000000000007</v>
      </c>
      <c r="F10431" s="2">
        <v>2</v>
      </c>
      <c r="G10431" s="2" t="s">
        <v>10</v>
      </c>
    </row>
    <row r="10432" spans="1:7" x14ac:dyDescent="0.2">
      <c r="A10432" s="2" t="s">
        <v>3378</v>
      </c>
      <c r="B10432" s="2" t="s">
        <v>170</v>
      </c>
      <c r="C10432" s="2">
        <v>621.80870000000004</v>
      </c>
      <c r="D10432" s="2">
        <f>HYPERLINK("http://mcb-m6.bioreg.kyushu-u.ac.jp/M3/20110404/F50775/1460/1", 83.46)</f>
        <v>83.46</v>
      </c>
      <c r="E10432" s="2">
        <v>61.88</v>
      </c>
      <c r="F10432" s="2">
        <v>2</v>
      </c>
      <c r="G10432" s="2" t="s">
        <v>10</v>
      </c>
    </row>
    <row r="10433" spans="1:9" x14ac:dyDescent="0.2">
      <c r="A10433" s="2" t="s">
        <v>3378</v>
      </c>
      <c r="B10433" s="2" t="s">
        <v>1000</v>
      </c>
      <c r="C10433" s="2">
        <v>770.90869999999995</v>
      </c>
      <c r="D10433" s="2">
        <f>HYPERLINK("http://mcb-m6.bioreg.kyushu-u.ac.jp/M3/20110421/F51039/2252/1", 64.13)</f>
        <v>64.13</v>
      </c>
      <c r="E10433" s="2">
        <v>44.81</v>
      </c>
      <c r="F10433" s="2">
        <v>2</v>
      </c>
      <c r="G10433" s="2" t="s">
        <v>11</v>
      </c>
    </row>
    <row r="10434" spans="1:9" x14ac:dyDescent="0.2">
      <c r="A10434" s="2" t="s">
        <v>3378</v>
      </c>
      <c r="B10434" s="2" t="s">
        <v>1000</v>
      </c>
      <c r="C10434" s="2">
        <v>770.26070000000004</v>
      </c>
      <c r="D10434" s="2">
        <f>HYPERLINK("http://mcb-m6.bioreg.kyushu-u.ac.jp/M3/20110421/F51039/2248/1", 83.23)</f>
        <v>83.23</v>
      </c>
      <c r="E10434" s="2">
        <v>66.92</v>
      </c>
      <c r="F10434" s="2">
        <v>2</v>
      </c>
      <c r="G10434" s="2" t="s">
        <v>11</v>
      </c>
    </row>
    <row r="10435" spans="1:9" x14ac:dyDescent="0.2">
      <c r="A10435" s="2" t="s">
        <v>3378</v>
      </c>
      <c r="B10435" s="2" t="s">
        <v>170</v>
      </c>
      <c r="C10435" s="2">
        <v>622.1857</v>
      </c>
      <c r="D10435" s="2">
        <f>HYPERLINK("http://mcb-m6.bioreg.kyushu-u.ac.jp/M3/20110421/F51050/1611/1", 61.35)</f>
        <v>61.35</v>
      </c>
      <c r="E10435" s="2">
        <v>41.06</v>
      </c>
      <c r="F10435" s="2">
        <v>2</v>
      </c>
      <c r="G10435" s="2" t="s">
        <v>12</v>
      </c>
    </row>
    <row r="10436" spans="1:9" x14ac:dyDescent="0.2">
      <c r="A10436" s="2" t="s">
        <v>3378</v>
      </c>
      <c r="B10436" s="2" t="s">
        <v>170</v>
      </c>
      <c r="C10436" s="2">
        <v>621.86770000000001</v>
      </c>
      <c r="D10436" s="2">
        <f>HYPERLINK("http://mcb-m6.bioreg.kyushu-u.ac.jp/M3/20110421/F51048/1646/1", 73)</f>
        <v>73</v>
      </c>
      <c r="E10436" s="2">
        <v>53.23</v>
      </c>
      <c r="F10436" s="2">
        <v>2</v>
      </c>
      <c r="G10436" s="2" t="s">
        <v>12</v>
      </c>
    </row>
    <row r="10437" spans="1:9" x14ac:dyDescent="0.2">
      <c r="A10437" s="2" t="s">
        <v>3378</v>
      </c>
      <c r="B10437" s="2" t="s">
        <v>1000</v>
      </c>
      <c r="C10437" s="2">
        <v>770.37369999999999</v>
      </c>
      <c r="D10437" s="2">
        <f>HYPERLINK("http://mcb-m6.bioreg.kyushu-u.ac.jp/M3/20110428/F51133/2053/1", 59.26)</f>
        <v>59.26</v>
      </c>
      <c r="E10437" s="2">
        <v>48.25</v>
      </c>
      <c r="F10437" s="2">
        <v>2</v>
      </c>
      <c r="G10437" s="2" t="s">
        <v>13</v>
      </c>
    </row>
    <row r="10438" spans="1:9" x14ac:dyDescent="0.2">
      <c r="A10438" s="2" t="s">
        <v>3268</v>
      </c>
      <c r="B10438" s="2" t="s">
        <v>48</v>
      </c>
      <c r="C10438" s="2">
        <v>1160.5250000000001</v>
      </c>
      <c r="D10438" s="2">
        <f>HYPERLINK("http://mcb-m6.bioreg.kyushu-u.ac.jp/M3/20110404/F50778/1089/1", 35.49)</f>
        <v>35.49</v>
      </c>
      <c r="E10438" s="2">
        <v>19.8</v>
      </c>
      <c r="F10438" s="2">
        <v>1</v>
      </c>
      <c r="G10438" s="2" t="s">
        <v>9</v>
      </c>
    </row>
    <row r="10439" spans="1:9" x14ac:dyDescent="0.2">
      <c r="A10439" s="2" t="s">
        <v>3268</v>
      </c>
      <c r="B10439" s="2" t="s">
        <v>5924</v>
      </c>
      <c r="C10439" s="2">
        <v>505.33159999999998</v>
      </c>
      <c r="D10439" s="2">
        <f>HYPERLINK("http://mcb-m6.bioreg.kyushu-u.ac.jp/M3/20110404/F50778/846/1", 36)</f>
        <v>36</v>
      </c>
      <c r="E10439" s="2">
        <v>13.38</v>
      </c>
      <c r="F10439" s="2">
        <v>2</v>
      </c>
      <c r="G10439" s="2" t="s">
        <v>9</v>
      </c>
      <c r="I10439" s="2" t="s">
        <v>4892</v>
      </c>
    </row>
    <row r="10440" spans="1:9" x14ac:dyDescent="0.2">
      <c r="A10440" s="2" t="s">
        <v>3268</v>
      </c>
      <c r="B10440" s="2" t="s">
        <v>1430</v>
      </c>
      <c r="C10440" s="2">
        <v>1349.759</v>
      </c>
      <c r="D10440" s="2">
        <f>HYPERLINK("http://mcb-m6.bioreg.kyushu-u.ac.jp/M3/20110404/F50778/1488/2", 48.67)</f>
        <v>48.67</v>
      </c>
      <c r="E10440" s="2">
        <v>39.94</v>
      </c>
      <c r="F10440" s="2">
        <v>1</v>
      </c>
      <c r="G10440" s="2" t="s">
        <v>9</v>
      </c>
    </row>
    <row r="10441" spans="1:9" x14ac:dyDescent="0.2">
      <c r="A10441" s="2" t="s">
        <v>3268</v>
      </c>
      <c r="B10441" s="2" t="s">
        <v>1430</v>
      </c>
      <c r="C10441" s="2">
        <v>675.80409999999995</v>
      </c>
      <c r="D10441" s="2">
        <f>HYPERLINK("http://mcb-m6.bioreg.kyushu-u.ac.jp/M3/20110404/F50778/1489/2", 50.13)</f>
        <v>50.13</v>
      </c>
      <c r="E10441" s="2">
        <v>39.44</v>
      </c>
      <c r="F10441" s="2">
        <v>2</v>
      </c>
      <c r="G10441" s="2" t="s">
        <v>9</v>
      </c>
    </row>
    <row r="10442" spans="1:9" x14ac:dyDescent="0.2">
      <c r="A10442" s="2" t="s">
        <v>3268</v>
      </c>
      <c r="B10442" s="2" t="s">
        <v>513</v>
      </c>
      <c r="C10442" s="2">
        <v>595.08349999999996</v>
      </c>
      <c r="D10442" s="2">
        <f>HYPERLINK("http://mcb-m6.bioreg.kyushu-u.ac.jp/M3/20110404/F50778/2551/1", 54.93)</f>
        <v>54.93</v>
      </c>
      <c r="E10442" s="2">
        <v>38.76</v>
      </c>
      <c r="F10442" s="2">
        <v>3</v>
      </c>
      <c r="G10442" s="2" t="s">
        <v>9</v>
      </c>
    </row>
    <row r="10443" spans="1:9" x14ac:dyDescent="0.2">
      <c r="A10443" s="2" t="s">
        <v>3268</v>
      </c>
      <c r="B10443" s="2" t="s">
        <v>922</v>
      </c>
      <c r="C10443" s="2">
        <v>904.88369999999998</v>
      </c>
      <c r="D10443" s="2">
        <f>HYPERLINK("http://mcb-m6.bioreg.kyushu-u.ac.jp/M3/20110404/F50778/2615/1", 64.87)</f>
        <v>64.87</v>
      </c>
      <c r="E10443" s="2">
        <v>47.39</v>
      </c>
      <c r="F10443" s="2">
        <v>2</v>
      </c>
      <c r="G10443" s="2" t="s">
        <v>9</v>
      </c>
    </row>
    <row r="10444" spans="1:9" x14ac:dyDescent="0.2">
      <c r="A10444" s="2" t="s">
        <v>3268</v>
      </c>
      <c r="B10444" s="2" t="s">
        <v>48</v>
      </c>
      <c r="C10444" s="2">
        <v>580.77070000000003</v>
      </c>
      <c r="D10444" s="2">
        <f>HYPERLINK("http://mcb-m6.bioreg.kyushu-u.ac.jp/M3/20110404/F50778/1090/1", 72.47)</f>
        <v>72.47</v>
      </c>
      <c r="E10444" s="2">
        <v>50.45</v>
      </c>
      <c r="F10444" s="2">
        <v>2</v>
      </c>
      <c r="G10444" s="2" t="s">
        <v>9</v>
      </c>
    </row>
    <row r="10445" spans="1:9" x14ac:dyDescent="0.2">
      <c r="A10445" s="2" t="s">
        <v>3268</v>
      </c>
      <c r="B10445" s="2" t="s">
        <v>1430</v>
      </c>
      <c r="C10445" s="2">
        <v>683.27120000000002</v>
      </c>
      <c r="D10445" s="2">
        <f>HYPERLINK("http://mcb-m6.bioreg.kyushu-u.ac.jp/M3/20110404/F50778/1515/2", 79.15)</f>
        <v>79.150000000000006</v>
      </c>
      <c r="E10445" s="2">
        <v>68.25</v>
      </c>
      <c r="F10445" s="2">
        <v>2</v>
      </c>
      <c r="G10445" s="2" t="s">
        <v>9</v>
      </c>
      <c r="H10445" s="2" t="s">
        <v>4927</v>
      </c>
    </row>
    <row r="10446" spans="1:9" x14ac:dyDescent="0.2">
      <c r="A10446" s="2" t="s">
        <v>3268</v>
      </c>
      <c r="B10446" s="2" t="s">
        <v>513</v>
      </c>
      <c r="C10446" s="2">
        <v>892.50160000000005</v>
      </c>
      <c r="D10446" s="2">
        <f>HYPERLINK("http://mcb-m6.bioreg.kyushu-u.ac.jp/M3/20110404/F50778/2555/1", 79.15)</f>
        <v>79.150000000000006</v>
      </c>
      <c r="E10446" s="2">
        <v>59.46</v>
      </c>
      <c r="F10446" s="2">
        <v>2</v>
      </c>
      <c r="G10446" s="2" t="s">
        <v>9</v>
      </c>
    </row>
    <row r="10447" spans="1:9" x14ac:dyDescent="0.2">
      <c r="A10447" s="2" t="s">
        <v>3268</v>
      </c>
      <c r="B10447" s="2" t="s">
        <v>6615</v>
      </c>
      <c r="C10447" s="2">
        <v>1224.4929999999999</v>
      </c>
      <c r="D10447" s="2">
        <f>HYPERLINK("http://mcb-m6.bioreg.kyushu-u.ac.jp/M3/20110404/F50778/3590/1", 94.82)</f>
        <v>94.82</v>
      </c>
      <c r="E10447" s="2">
        <v>86.72</v>
      </c>
      <c r="F10447" s="2">
        <v>2</v>
      </c>
      <c r="G10447" s="2" t="s">
        <v>9</v>
      </c>
      <c r="I10447" s="2" t="s">
        <v>4944</v>
      </c>
    </row>
    <row r="10448" spans="1:9" x14ac:dyDescent="0.2">
      <c r="A10448" s="2" t="s">
        <v>3268</v>
      </c>
      <c r="B10448" s="2" t="s">
        <v>48</v>
      </c>
      <c r="C10448" s="2">
        <v>1160.4659999999999</v>
      </c>
      <c r="D10448" s="2">
        <f>HYPERLINK("http://mcb-m6.bioreg.kyushu-u.ac.jp/M3/20110404/F50775/1299/1", 35.64)</f>
        <v>35.64</v>
      </c>
      <c r="E10448" s="2">
        <v>21.82</v>
      </c>
      <c r="F10448" s="2">
        <v>1</v>
      </c>
      <c r="G10448" s="2" t="s">
        <v>10</v>
      </c>
    </row>
    <row r="10449" spans="1:9" x14ac:dyDescent="0.2">
      <c r="A10449" s="2" t="s">
        <v>3268</v>
      </c>
      <c r="B10449" s="2" t="s">
        <v>5245</v>
      </c>
      <c r="C10449" s="2">
        <v>624.92110000000002</v>
      </c>
      <c r="D10449" s="2">
        <f>HYPERLINK("http://mcb-m6.bioreg.kyushu-u.ac.jp/M3/20110404/F50775/1478/1", 46.3)</f>
        <v>46.3</v>
      </c>
      <c r="E10449" s="2">
        <v>27.18</v>
      </c>
      <c r="F10449" s="2">
        <v>2</v>
      </c>
      <c r="G10449" s="2" t="s">
        <v>10</v>
      </c>
    </row>
    <row r="10450" spans="1:9" x14ac:dyDescent="0.2">
      <c r="A10450" s="2" t="s">
        <v>3268</v>
      </c>
      <c r="B10450" s="2" t="s">
        <v>48</v>
      </c>
      <c r="C10450" s="2">
        <v>580.90920000000006</v>
      </c>
      <c r="D10450" s="2">
        <f>HYPERLINK("http://mcb-m6.bioreg.kyushu-u.ac.jp/M3/20110404/F50775/1301/1", 58.9)</f>
        <v>58.9</v>
      </c>
      <c r="E10450" s="2">
        <v>34.01</v>
      </c>
      <c r="F10450" s="2">
        <v>2</v>
      </c>
      <c r="G10450" s="2" t="s">
        <v>10</v>
      </c>
    </row>
    <row r="10451" spans="1:9" x14ac:dyDescent="0.2">
      <c r="A10451" s="2" t="s">
        <v>3268</v>
      </c>
      <c r="B10451" s="2" t="s">
        <v>48</v>
      </c>
      <c r="C10451" s="2">
        <v>1160.3219999999999</v>
      </c>
      <c r="D10451" s="2">
        <f>HYPERLINK("http://mcb-m6.bioreg.kyushu-u.ac.jp/M3/20110421/F51039/1299/1", 35.42)</f>
        <v>35.42</v>
      </c>
      <c r="E10451" s="2">
        <v>25.2</v>
      </c>
      <c r="F10451" s="2">
        <v>1</v>
      </c>
      <c r="G10451" s="2" t="s">
        <v>11</v>
      </c>
    </row>
    <row r="10452" spans="1:9" x14ac:dyDescent="0.2">
      <c r="A10452" s="2" t="s">
        <v>3268</v>
      </c>
      <c r="B10452" s="2" t="s">
        <v>5245</v>
      </c>
      <c r="C10452" s="2">
        <v>624.69460000000004</v>
      </c>
      <c r="D10452" s="2">
        <f>HYPERLINK("http://mcb-m6.bioreg.kyushu-u.ac.jp/M3/20110421/F51039/1505/1", 56.82)</f>
        <v>56.82</v>
      </c>
      <c r="E10452" s="2">
        <v>43.19</v>
      </c>
      <c r="F10452" s="2">
        <v>2</v>
      </c>
      <c r="G10452" s="2" t="s">
        <v>11</v>
      </c>
    </row>
    <row r="10453" spans="1:9" x14ac:dyDescent="0.2">
      <c r="A10453" s="2" t="s">
        <v>3268</v>
      </c>
      <c r="B10453" s="2" t="s">
        <v>1430</v>
      </c>
      <c r="C10453" s="2">
        <v>1349.481</v>
      </c>
      <c r="D10453" s="2">
        <f>HYPERLINK("http://mcb-m6.bioreg.kyushu-u.ac.jp/M3/20110421/F51039/1685/2", 60.07)</f>
        <v>60.07</v>
      </c>
      <c r="E10453" s="2">
        <v>49.62</v>
      </c>
      <c r="F10453" s="2">
        <v>1</v>
      </c>
      <c r="G10453" s="2" t="s">
        <v>11</v>
      </c>
    </row>
    <row r="10454" spans="1:9" x14ac:dyDescent="0.2">
      <c r="A10454" s="2" t="s">
        <v>3268</v>
      </c>
      <c r="B10454" s="2" t="s">
        <v>48</v>
      </c>
      <c r="C10454" s="2">
        <v>581.23109999999997</v>
      </c>
      <c r="D10454" s="2">
        <f>HYPERLINK("http://mcb-m6.bioreg.kyushu-u.ac.jp/M3/20110421/F51039/1303/1", 60.14)</f>
        <v>60.14</v>
      </c>
      <c r="E10454" s="2">
        <v>41.98</v>
      </c>
      <c r="F10454" s="2">
        <v>2</v>
      </c>
      <c r="G10454" s="2" t="s">
        <v>11</v>
      </c>
    </row>
    <row r="10455" spans="1:9" x14ac:dyDescent="0.2">
      <c r="A10455" s="2" t="s">
        <v>3268</v>
      </c>
      <c r="B10455" s="2" t="s">
        <v>1430</v>
      </c>
      <c r="C10455" s="2">
        <v>675.2441</v>
      </c>
      <c r="D10455" s="2">
        <f>HYPERLINK("http://mcb-m6.bioreg.kyushu-u.ac.jp/M3/20110421/F51039/1684/2", 103.77)</f>
        <v>103.77</v>
      </c>
      <c r="E10455" s="2">
        <v>90.11</v>
      </c>
      <c r="F10455" s="2">
        <v>2</v>
      </c>
      <c r="G10455" s="2" t="s">
        <v>11</v>
      </c>
    </row>
    <row r="10456" spans="1:9" x14ac:dyDescent="0.2">
      <c r="A10456" s="2" t="s">
        <v>3268</v>
      </c>
      <c r="B10456" s="2" t="s">
        <v>1430</v>
      </c>
      <c r="C10456" s="2">
        <v>683.42470000000003</v>
      </c>
      <c r="D10456" s="2">
        <f>HYPERLINK("http://mcb-m6.bioreg.kyushu-u.ac.jp/M3/20110421/F51048/1847/2", 59.77)</f>
        <v>59.77</v>
      </c>
      <c r="E10456" s="2">
        <v>38.520000000000003</v>
      </c>
      <c r="F10456" s="2">
        <v>2</v>
      </c>
      <c r="G10456" s="2" t="s">
        <v>12</v>
      </c>
      <c r="H10456" s="2" t="s">
        <v>4927</v>
      </c>
    </row>
    <row r="10457" spans="1:9" x14ac:dyDescent="0.2">
      <c r="A10457" s="2" t="s">
        <v>3268</v>
      </c>
      <c r="B10457" s="2" t="s">
        <v>5924</v>
      </c>
      <c r="C10457" s="2">
        <v>505.7081</v>
      </c>
      <c r="D10457" s="2">
        <f>HYPERLINK("http://mcb-m6.bioreg.kyushu-u.ac.jp/M3/20110428/F51133/855/1", 35.53)</f>
        <v>35.53</v>
      </c>
      <c r="E10457" s="2">
        <v>14.44</v>
      </c>
      <c r="F10457" s="2">
        <v>2</v>
      </c>
      <c r="G10457" s="2" t="s">
        <v>13</v>
      </c>
      <c r="I10457" s="2" t="s">
        <v>4892</v>
      </c>
    </row>
    <row r="10458" spans="1:9" x14ac:dyDescent="0.2">
      <c r="A10458" s="2" t="s">
        <v>3268</v>
      </c>
      <c r="B10458" s="2" t="s">
        <v>1831</v>
      </c>
      <c r="C10458" s="2">
        <v>571.2482</v>
      </c>
      <c r="D10458" s="2">
        <f>HYPERLINK("http://mcb-m6.bioreg.kyushu-u.ac.jp/M3/20110428/F51133/1126/1", 63.72)</f>
        <v>63.72</v>
      </c>
      <c r="E10458" s="2">
        <v>47.9</v>
      </c>
      <c r="F10458" s="2">
        <v>2</v>
      </c>
      <c r="G10458" s="2" t="s">
        <v>13</v>
      </c>
    </row>
    <row r="10459" spans="1:9" x14ac:dyDescent="0.2">
      <c r="A10459" s="2" t="s">
        <v>3268</v>
      </c>
      <c r="B10459" s="2" t="s">
        <v>1430</v>
      </c>
      <c r="C10459" s="2">
        <v>675.78560000000004</v>
      </c>
      <c r="D10459" s="2">
        <f>HYPERLINK("http://mcb-m6.bioreg.kyushu-u.ac.jp/M3/20110428/F51133/1511/2", 75.59)</f>
        <v>75.59</v>
      </c>
      <c r="E10459" s="2">
        <v>58.66</v>
      </c>
      <c r="F10459" s="2">
        <v>2</v>
      </c>
      <c r="G10459" s="2" t="s">
        <v>13</v>
      </c>
    </row>
    <row r="10460" spans="1:9" x14ac:dyDescent="0.2">
      <c r="A10460" s="2" t="s">
        <v>3268</v>
      </c>
      <c r="B10460" s="2" t="s">
        <v>1430</v>
      </c>
      <c r="C10460" s="2">
        <v>683.66859999999997</v>
      </c>
      <c r="D10460" s="2">
        <f>HYPERLINK("http://mcb-m6.bioreg.kyushu-u.ac.jp/M3/20110428/F51130/1782/2", 37.64)</f>
        <v>37.64</v>
      </c>
      <c r="E10460" s="2">
        <v>24.37</v>
      </c>
      <c r="F10460" s="2">
        <v>2</v>
      </c>
      <c r="G10460" s="2" t="s">
        <v>14</v>
      </c>
      <c r="H10460" s="2" t="s">
        <v>4927</v>
      </c>
    </row>
    <row r="10461" spans="1:9" x14ac:dyDescent="0.2">
      <c r="A10461" s="2" t="s">
        <v>3483</v>
      </c>
      <c r="B10461" s="2" t="s">
        <v>306</v>
      </c>
      <c r="C10461" s="2">
        <v>618.82759999999996</v>
      </c>
      <c r="D10461" s="2">
        <f>HYPERLINK("http://mcb-m6.bioreg.kyushu-u.ac.jp/M3/20110404/F50778/1264/1", 51.68)</f>
        <v>51.68</v>
      </c>
      <c r="E10461" s="2">
        <v>20.25</v>
      </c>
      <c r="F10461" s="2">
        <v>2</v>
      </c>
      <c r="G10461" s="2" t="s">
        <v>9</v>
      </c>
    </row>
    <row r="10462" spans="1:9" x14ac:dyDescent="0.2">
      <c r="A10462" s="2" t="s">
        <v>3483</v>
      </c>
      <c r="B10462" s="2" t="s">
        <v>6318</v>
      </c>
      <c r="C10462" s="2">
        <v>1195.4639999999999</v>
      </c>
      <c r="D10462" s="2">
        <f>HYPERLINK("http://mcb-m6.bioreg.kyushu-u.ac.jp/M3/20110404/F50778/3522/1", 52.88)</f>
        <v>52.88</v>
      </c>
      <c r="E10462" s="2">
        <v>45.82</v>
      </c>
      <c r="F10462" s="2">
        <v>2</v>
      </c>
      <c r="G10462" s="2" t="s">
        <v>9</v>
      </c>
      <c r="H10462" s="2" t="s">
        <v>4891</v>
      </c>
      <c r="I10462" s="2" t="s">
        <v>4892</v>
      </c>
    </row>
    <row r="10463" spans="1:9" x14ac:dyDescent="0.2">
      <c r="A10463" s="2" t="s">
        <v>3483</v>
      </c>
      <c r="B10463" s="2" t="s">
        <v>584</v>
      </c>
      <c r="C10463" s="2">
        <v>924.90560000000005</v>
      </c>
      <c r="D10463" s="2">
        <f>HYPERLINK("http://mcb-m6.bioreg.kyushu-u.ac.jp/M3/20110404/F50778/2707/1", 77.33)</f>
        <v>77.33</v>
      </c>
      <c r="E10463" s="2">
        <v>61.59</v>
      </c>
      <c r="F10463" s="2">
        <v>2</v>
      </c>
      <c r="G10463" s="2" t="s">
        <v>9</v>
      </c>
    </row>
    <row r="10464" spans="1:9" x14ac:dyDescent="0.2">
      <c r="A10464" s="2" t="s">
        <v>3483</v>
      </c>
      <c r="B10464" s="2" t="s">
        <v>584</v>
      </c>
      <c r="C10464" s="2">
        <v>924.38210000000004</v>
      </c>
      <c r="D10464" s="2">
        <f>HYPERLINK("http://mcb-m6.bioreg.kyushu-u.ac.jp/M3/20110404/F50778/2702/1", 92.97)</f>
        <v>92.97</v>
      </c>
      <c r="E10464" s="2">
        <v>83.02</v>
      </c>
      <c r="F10464" s="2">
        <v>2</v>
      </c>
      <c r="G10464" s="2" t="s">
        <v>9</v>
      </c>
    </row>
    <row r="10465" spans="1:7" x14ac:dyDescent="0.2">
      <c r="A10465" s="2" t="s">
        <v>3483</v>
      </c>
      <c r="B10465" s="2" t="s">
        <v>1296</v>
      </c>
      <c r="C10465" s="2">
        <v>764.33420000000001</v>
      </c>
      <c r="D10465" s="2">
        <f>HYPERLINK("http://mcb-m6.bioreg.kyushu-u.ac.jp/M3/20110404/F50778/1941/1", 98.67)</f>
        <v>98.67</v>
      </c>
      <c r="E10465" s="2">
        <v>71.599999999999994</v>
      </c>
      <c r="F10465" s="2">
        <v>2</v>
      </c>
      <c r="G10465" s="2" t="s">
        <v>9</v>
      </c>
    </row>
    <row r="10466" spans="1:7" x14ac:dyDescent="0.2">
      <c r="A10466" s="2" t="s">
        <v>3483</v>
      </c>
      <c r="B10466" s="2" t="s">
        <v>584</v>
      </c>
      <c r="C10466" s="2">
        <v>924.8202</v>
      </c>
      <c r="D10466" s="2">
        <f>HYPERLINK("http://mcb-m6.bioreg.kyushu-u.ac.jp/M3/20110404/F50775/2595/1", 72.2)</f>
        <v>72.2</v>
      </c>
      <c r="E10466" s="2">
        <v>58.89</v>
      </c>
      <c r="F10466" s="2">
        <v>2</v>
      </c>
      <c r="G10466" s="2" t="s">
        <v>10</v>
      </c>
    </row>
    <row r="10467" spans="1:7" x14ac:dyDescent="0.2">
      <c r="A10467" s="2" t="s">
        <v>3483</v>
      </c>
      <c r="B10467" s="2" t="s">
        <v>1296</v>
      </c>
      <c r="C10467" s="2">
        <v>764.33169999999996</v>
      </c>
      <c r="D10467" s="2">
        <f>HYPERLINK("http://mcb-m6.bioreg.kyushu-u.ac.jp/M3/20110404/F50775/2053/1", 81.8)</f>
        <v>81.8</v>
      </c>
      <c r="E10467" s="2">
        <v>57.74</v>
      </c>
      <c r="F10467" s="2">
        <v>2</v>
      </c>
      <c r="G10467" s="2" t="s">
        <v>10</v>
      </c>
    </row>
    <row r="10468" spans="1:7" x14ac:dyDescent="0.2">
      <c r="A10468" s="2" t="s">
        <v>3483</v>
      </c>
      <c r="B10468" s="2" t="s">
        <v>584</v>
      </c>
      <c r="C10468" s="2">
        <v>924.28420000000006</v>
      </c>
      <c r="D10468" s="2">
        <f>HYPERLINK("http://mcb-m6.bioreg.kyushu-u.ac.jp/M3/20110404/F50775/2593/1", 85.74)</f>
        <v>85.74</v>
      </c>
      <c r="E10468" s="2">
        <v>67.7</v>
      </c>
      <c r="F10468" s="2">
        <v>2</v>
      </c>
      <c r="G10468" s="2" t="s">
        <v>10</v>
      </c>
    </row>
    <row r="10469" spans="1:7" x14ac:dyDescent="0.2">
      <c r="A10469" s="2" t="s">
        <v>3483</v>
      </c>
      <c r="B10469" s="2" t="s">
        <v>306</v>
      </c>
      <c r="C10469" s="2">
        <v>618.8116</v>
      </c>
      <c r="D10469" s="2">
        <f>HYPERLINK("http://mcb-m6.bioreg.kyushu-u.ac.jp/M3/20110421/F51039/1478/1", 42.41)</f>
        <v>42.41</v>
      </c>
      <c r="E10469" s="2">
        <v>17.93</v>
      </c>
      <c r="F10469" s="2">
        <v>2</v>
      </c>
      <c r="G10469" s="2" t="s">
        <v>11</v>
      </c>
    </row>
    <row r="10470" spans="1:7" x14ac:dyDescent="0.2">
      <c r="A10470" s="2" t="s">
        <v>3483</v>
      </c>
      <c r="B10470" s="2" t="s">
        <v>1296</v>
      </c>
      <c r="C10470" s="2">
        <v>764.90060000000005</v>
      </c>
      <c r="D10470" s="2">
        <f>HYPERLINK("http://mcb-m6.bioreg.kyushu-u.ac.jp/M3/20110421/F51039/2209/1", 72.85)</f>
        <v>72.849999999999994</v>
      </c>
      <c r="E10470" s="2">
        <v>42.91</v>
      </c>
      <c r="F10470" s="2">
        <v>2</v>
      </c>
      <c r="G10470" s="2" t="s">
        <v>11</v>
      </c>
    </row>
    <row r="10471" spans="1:7" x14ac:dyDescent="0.2">
      <c r="A10471" s="2" t="s">
        <v>3483</v>
      </c>
      <c r="B10471" s="2" t="s">
        <v>584</v>
      </c>
      <c r="C10471" s="2">
        <v>924.75160000000005</v>
      </c>
      <c r="D10471" s="2">
        <f>HYPERLINK("http://mcb-m6.bioreg.kyushu-u.ac.jp/M3/20110421/F51040/2846/1", 78.9)</f>
        <v>78.900000000000006</v>
      </c>
      <c r="E10471" s="2">
        <v>65.44</v>
      </c>
      <c r="F10471" s="2">
        <v>2</v>
      </c>
      <c r="G10471" s="2" t="s">
        <v>11</v>
      </c>
    </row>
    <row r="10472" spans="1:7" x14ac:dyDescent="0.2">
      <c r="A10472" s="2" t="s">
        <v>3483</v>
      </c>
      <c r="B10472" s="2" t="s">
        <v>584</v>
      </c>
      <c r="C10472" s="2">
        <v>924.34270000000004</v>
      </c>
      <c r="D10472" s="2">
        <f>HYPERLINK("http://mcb-m6.bioreg.kyushu-u.ac.jp/M3/20110421/F51039/2959/1", 92.75)</f>
        <v>92.75</v>
      </c>
      <c r="E10472" s="2">
        <v>73.72</v>
      </c>
      <c r="F10472" s="2">
        <v>2</v>
      </c>
      <c r="G10472" s="2" t="s">
        <v>11</v>
      </c>
    </row>
    <row r="10473" spans="1:7" x14ac:dyDescent="0.2">
      <c r="A10473" s="2" t="s">
        <v>3483</v>
      </c>
      <c r="B10473" s="2" t="s">
        <v>584</v>
      </c>
      <c r="C10473" s="2">
        <v>924.96119999999996</v>
      </c>
      <c r="D10473" s="2">
        <f>HYPERLINK("http://mcb-m6.bioreg.kyushu-u.ac.jp/M3/20110421/F51050/2768/1", 77.5)</f>
        <v>77.5</v>
      </c>
      <c r="E10473" s="2">
        <v>64.05</v>
      </c>
      <c r="F10473" s="2">
        <v>2</v>
      </c>
      <c r="G10473" s="2" t="s">
        <v>12</v>
      </c>
    </row>
    <row r="10474" spans="1:7" x14ac:dyDescent="0.2">
      <c r="A10474" s="2" t="s">
        <v>3483</v>
      </c>
      <c r="B10474" s="2" t="s">
        <v>584</v>
      </c>
      <c r="C10474" s="2">
        <v>924.4597</v>
      </c>
      <c r="D10474" s="2">
        <f>HYPERLINK("http://mcb-m6.bioreg.kyushu-u.ac.jp/M3/20110421/F51050/2767/1", 88.38)</f>
        <v>88.38</v>
      </c>
      <c r="E10474" s="2">
        <v>77.02</v>
      </c>
      <c r="F10474" s="2">
        <v>2</v>
      </c>
      <c r="G10474" s="2" t="s">
        <v>12</v>
      </c>
    </row>
    <row r="10475" spans="1:7" x14ac:dyDescent="0.2">
      <c r="A10475" s="2" t="s">
        <v>3483</v>
      </c>
      <c r="B10475" s="2" t="s">
        <v>584</v>
      </c>
      <c r="C10475" s="2">
        <v>924.48220000000003</v>
      </c>
      <c r="D10475" s="2">
        <f>HYPERLINK("http://mcb-m6.bioreg.kyushu-u.ac.jp/M3/20110421/F51048/2970/1", 92.18)</f>
        <v>92.18</v>
      </c>
      <c r="E10475" s="2">
        <v>81.58</v>
      </c>
      <c r="F10475" s="2">
        <v>2</v>
      </c>
      <c r="G10475" s="2" t="s">
        <v>12</v>
      </c>
    </row>
    <row r="10476" spans="1:7" x14ac:dyDescent="0.2">
      <c r="A10476" s="2" t="s">
        <v>3483</v>
      </c>
      <c r="B10476" s="2" t="s">
        <v>306</v>
      </c>
      <c r="C10476" s="2">
        <v>618.86019999999996</v>
      </c>
      <c r="D10476" s="2">
        <f>HYPERLINK("http://mcb-m6.bioreg.kyushu-u.ac.jp/M3/20110428/F51133/1311/1", 54.4)</f>
        <v>54.4</v>
      </c>
      <c r="E10476" s="2">
        <v>32.78</v>
      </c>
      <c r="F10476" s="2">
        <v>2</v>
      </c>
      <c r="G10476" s="2" t="s">
        <v>13</v>
      </c>
    </row>
    <row r="10477" spans="1:7" x14ac:dyDescent="0.2">
      <c r="A10477" s="2" t="s">
        <v>3483</v>
      </c>
      <c r="B10477" s="2" t="s">
        <v>1296</v>
      </c>
      <c r="C10477" s="2">
        <v>764.24519999999995</v>
      </c>
      <c r="D10477" s="2">
        <f>HYPERLINK("http://mcb-m6.bioreg.kyushu-u.ac.jp/M3/20110428/F51133/2025/1", 73.89)</f>
        <v>73.89</v>
      </c>
      <c r="E10477" s="2">
        <v>49.31</v>
      </c>
      <c r="F10477" s="2">
        <v>2</v>
      </c>
      <c r="G10477" s="2" t="s">
        <v>13</v>
      </c>
    </row>
    <row r="10478" spans="1:7" x14ac:dyDescent="0.2">
      <c r="A10478" s="2" t="s">
        <v>3483</v>
      </c>
      <c r="B10478" s="2" t="s">
        <v>584</v>
      </c>
      <c r="C10478" s="2">
        <v>924.98019999999997</v>
      </c>
      <c r="D10478" s="2">
        <f>HYPERLINK("http://mcb-m6.bioreg.kyushu-u.ac.jp/M3/20110428/F51133/2717/1", 77.22)</f>
        <v>77.22</v>
      </c>
      <c r="E10478" s="2">
        <v>62.9</v>
      </c>
      <c r="F10478" s="2">
        <v>2</v>
      </c>
      <c r="G10478" s="2" t="s">
        <v>13</v>
      </c>
    </row>
    <row r="10479" spans="1:7" x14ac:dyDescent="0.2">
      <c r="A10479" s="2" t="s">
        <v>3483</v>
      </c>
      <c r="B10479" s="2" t="s">
        <v>584</v>
      </c>
      <c r="C10479" s="2">
        <v>924.27760000000001</v>
      </c>
      <c r="D10479" s="2">
        <f>HYPERLINK("http://mcb-m6.bioreg.kyushu-u.ac.jp/M3/20110428/F51133/2716/1", 101.94)</f>
        <v>101.94</v>
      </c>
      <c r="E10479" s="2">
        <v>88.87</v>
      </c>
      <c r="F10479" s="2">
        <v>2</v>
      </c>
      <c r="G10479" s="2" t="s">
        <v>13</v>
      </c>
    </row>
    <row r="10480" spans="1:7" x14ac:dyDescent="0.2">
      <c r="A10480" s="2" t="s">
        <v>4200</v>
      </c>
      <c r="B10480" s="2" t="s">
        <v>1788</v>
      </c>
      <c r="C10480" s="2">
        <v>600.27980000000002</v>
      </c>
      <c r="D10480" s="2">
        <f>HYPERLINK("http://mcb-m6.bioreg.kyushu-u.ac.jp/M3/20110404/F50781/2211/1", 35.22)</f>
        <v>35.22</v>
      </c>
      <c r="E10480" s="2">
        <v>17.46</v>
      </c>
      <c r="F10480" s="2">
        <v>3</v>
      </c>
      <c r="G10480" s="2" t="s">
        <v>10</v>
      </c>
    </row>
    <row r="10481" spans="1:9" x14ac:dyDescent="0.2">
      <c r="A10481" s="2" t="s">
        <v>4200</v>
      </c>
      <c r="B10481" s="2" t="s">
        <v>1788</v>
      </c>
      <c r="C10481" s="2">
        <v>600.27650000000006</v>
      </c>
      <c r="D10481" s="2">
        <f>HYPERLINK("http://mcb-m6.bioreg.kyushu-u.ac.jp/M3/20110428/F51135/2393/1", 45.21)</f>
        <v>45.21</v>
      </c>
      <c r="E10481" s="2">
        <v>35.11</v>
      </c>
      <c r="F10481" s="2">
        <v>3</v>
      </c>
      <c r="G10481" s="2" t="s">
        <v>14</v>
      </c>
    </row>
    <row r="10482" spans="1:9" x14ac:dyDescent="0.2">
      <c r="A10482" s="2" t="s">
        <v>5630</v>
      </c>
      <c r="B10482" s="2" t="s">
        <v>5048</v>
      </c>
      <c r="C10482" s="2">
        <v>608.79219999999998</v>
      </c>
      <c r="D10482" s="2">
        <f>HYPERLINK("http://mcb-m6.bioreg.kyushu-u.ac.jp/M3/20110404/F50756/1389/1", 39.99)</f>
        <v>39.99</v>
      </c>
      <c r="E10482" s="2">
        <v>11.65</v>
      </c>
      <c r="F10482" s="2">
        <v>2</v>
      </c>
      <c r="G10482" s="2" t="s">
        <v>9</v>
      </c>
    </row>
    <row r="10483" spans="1:9" x14ac:dyDescent="0.2">
      <c r="A10483" s="2" t="s">
        <v>4232</v>
      </c>
      <c r="B10483" s="2" t="s">
        <v>7199</v>
      </c>
      <c r="C10483" s="2">
        <v>915.53920000000005</v>
      </c>
      <c r="D10483" s="2">
        <f>HYPERLINK("http://mcb-m6.bioreg.kyushu-u.ac.jp/M3/20110421/F51021/3010/1", 43.15)</f>
        <v>43.15</v>
      </c>
      <c r="E10483" s="2">
        <v>29.15</v>
      </c>
      <c r="F10483" s="2">
        <v>2</v>
      </c>
      <c r="G10483" s="2" t="s">
        <v>12</v>
      </c>
    </row>
    <row r="10484" spans="1:9" x14ac:dyDescent="0.2">
      <c r="A10484" s="2" t="s">
        <v>4232</v>
      </c>
      <c r="B10484" s="2" t="s">
        <v>7202</v>
      </c>
      <c r="C10484" s="2">
        <v>671.39919999999995</v>
      </c>
      <c r="D10484" s="2">
        <f>HYPERLINK("http://mcb-m6.bioreg.kyushu-u.ac.jp/M3/20110421/F51061/1556/1", 43.35)</f>
        <v>43.35</v>
      </c>
      <c r="E10484" s="2">
        <v>28.86</v>
      </c>
      <c r="F10484" s="2">
        <v>2</v>
      </c>
      <c r="G10484" s="2" t="s">
        <v>12</v>
      </c>
    </row>
    <row r="10485" spans="1:9" x14ac:dyDescent="0.2">
      <c r="A10485" s="2" t="s">
        <v>4232</v>
      </c>
      <c r="B10485" s="2" t="s">
        <v>7245</v>
      </c>
      <c r="C10485" s="2">
        <v>800.77809999999999</v>
      </c>
      <c r="D10485" s="2">
        <f>HYPERLINK("http://mcb-m6.bioreg.kyushu-u.ac.jp/M3/20110421/F51021/2424/1", 59.44)</f>
        <v>59.44</v>
      </c>
      <c r="E10485" s="2">
        <v>50.01</v>
      </c>
      <c r="F10485" s="2">
        <v>2</v>
      </c>
      <c r="G10485" s="2" t="s">
        <v>12</v>
      </c>
    </row>
    <row r="10486" spans="1:9" x14ac:dyDescent="0.2">
      <c r="A10486" s="2" t="s">
        <v>4232</v>
      </c>
      <c r="B10486" s="2" t="s">
        <v>7202</v>
      </c>
      <c r="C10486" s="2">
        <v>671.71510000000001</v>
      </c>
      <c r="D10486" s="2">
        <f>HYPERLINK("http://mcb-m6.bioreg.kyushu-u.ac.jp/M3/20110421/F51021/1637/1", 60.61)</f>
        <v>60.61</v>
      </c>
      <c r="E10486" s="2">
        <v>41.45</v>
      </c>
      <c r="F10486" s="2">
        <v>2</v>
      </c>
      <c r="G10486" s="2" t="s">
        <v>12</v>
      </c>
    </row>
    <row r="10487" spans="1:9" x14ac:dyDescent="0.2">
      <c r="A10487" s="2" t="s">
        <v>7821</v>
      </c>
      <c r="B10487" s="2" t="s">
        <v>6763</v>
      </c>
      <c r="C10487" s="2">
        <v>591.35820000000001</v>
      </c>
      <c r="D10487" s="2">
        <f>HYPERLINK("http://mcb-m6.bioreg.kyushu-u.ac.jp/M3/20110404/F50772/1302/1", 40.86)</f>
        <v>40.86</v>
      </c>
      <c r="E10487" s="2">
        <v>19.420000000000002</v>
      </c>
      <c r="F10487" s="2">
        <v>2</v>
      </c>
      <c r="G10487" s="2" t="s">
        <v>10</v>
      </c>
    </row>
    <row r="10488" spans="1:9" x14ac:dyDescent="0.2">
      <c r="A10488" s="2" t="s">
        <v>7821</v>
      </c>
      <c r="B10488" s="2" t="s">
        <v>6919</v>
      </c>
      <c r="C10488" s="2">
        <v>700.13869999999997</v>
      </c>
      <c r="D10488" s="2">
        <f>HYPERLINK("http://mcb-m6.bioreg.kyushu-u.ac.jp/M3/20110404/F50772/1729/1", 59.69)</f>
        <v>59.69</v>
      </c>
      <c r="E10488" s="2">
        <v>37.96</v>
      </c>
      <c r="F10488" s="2">
        <v>2</v>
      </c>
      <c r="G10488" s="2" t="s">
        <v>10</v>
      </c>
    </row>
    <row r="10489" spans="1:9" x14ac:dyDescent="0.2">
      <c r="A10489" s="2" t="s">
        <v>7821</v>
      </c>
      <c r="B10489" s="2" t="s">
        <v>6976</v>
      </c>
      <c r="C10489" s="2">
        <v>904.97810000000004</v>
      </c>
      <c r="D10489" s="2">
        <f>HYPERLINK("http://mcb-m6.bioreg.kyushu-u.ac.jp/M3/20110404/F50772/2563/1", 69.94)</f>
        <v>69.94</v>
      </c>
      <c r="E10489" s="2">
        <v>57.99</v>
      </c>
      <c r="F10489" s="2">
        <v>2</v>
      </c>
      <c r="G10489" s="2" t="s">
        <v>10</v>
      </c>
    </row>
    <row r="10490" spans="1:9" x14ac:dyDescent="0.2">
      <c r="A10490" s="2" t="s">
        <v>5791</v>
      </c>
      <c r="B10490" s="2" t="s">
        <v>5441</v>
      </c>
      <c r="C10490" s="2">
        <v>624.63369999999998</v>
      </c>
      <c r="D10490" s="2">
        <f>HYPERLINK("http://mcb-m6.bioreg.kyushu-u.ac.jp/M3/20110404/F50754/1724/1", 74.14)</f>
        <v>74.14</v>
      </c>
      <c r="E10490" s="2">
        <v>55.06</v>
      </c>
      <c r="F10490" s="2">
        <v>2</v>
      </c>
      <c r="G10490" s="2" t="s">
        <v>9</v>
      </c>
      <c r="I10490" s="2" t="s">
        <v>4903</v>
      </c>
    </row>
    <row r="10491" spans="1:9" x14ac:dyDescent="0.2">
      <c r="A10491" s="2" t="s">
        <v>5791</v>
      </c>
      <c r="B10491" s="2" t="s">
        <v>5441</v>
      </c>
      <c r="C10491" s="2">
        <v>625.14509999999996</v>
      </c>
      <c r="D10491" s="2">
        <f>HYPERLINK("http://mcb-m6.bioreg.kyushu-u.ac.jp/M3/20110404/F50754/1725/1", 85.06)</f>
        <v>85.06</v>
      </c>
      <c r="E10491" s="2">
        <v>65.349999999999994</v>
      </c>
      <c r="F10491" s="2">
        <v>2</v>
      </c>
      <c r="G10491" s="2" t="s">
        <v>9</v>
      </c>
      <c r="I10491" s="2" t="s">
        <v>4903</v>
      </c>
    </row>
    <row r="10492" spans="1:9" x14ac:dyDescent="0.2">
      <c r="A10492" s="2" t="s">
        <v>5791</v>
      </c>
      <c r="B10492" s="2" t="s">
        <v>5441</v>
      </c>
      <c r="C10492" s="2">
        <v>624.69820000000004</v>
      </c>
      <c r="D10492" s="2">
        <f>HYPERLINK("http://mcb-m6.bioreg.kyushu-u.ac.jp/M3/20110421/F51024/1678/1", 53.71)</f>
        <v>53.71</v>
      </c>
      <c r="E10492" s="2">
        <v>41.61</v>
      </c>
      <c r="F10492" s="2">
        <v>2</v>
      </c>
      <c r="G10492" s="2" t="s">
        <v>12</v>
      </c>
      <c r="I10492" s="2" t="s">
        <v>4903</v>
      </c>
    </row>
    <row r="10493" spans="1:9" x14ac:dyDescent="0.2">
      <c r="A10493" s="2" t="s">
        <v>3491</v>
      </c>
      <c r="B10493" s="2" t="s">
        <v>7248</v>
      </c>
      <c r="C10493" s="2">
        <v>743.65170000000001</v>
      </c>
      <c r="D10493" s="2">
        <f>HYPERLINK("http://mcb-m6.bioreg.kyushu-u.ac.jp/M3/20110421/F51021/2104/1", 63.03)</f>
        <v>63.03</v>
      </c>
      <c r="E10493" s="2">
        <v>37.74</v>
      </c>
      <c r="F10493" s="2">
        <v>2</v>
      </c>
      <c r="G10493" s="2" t="s">
        <v>12</v>
      </c>
      <c r="I10493" s="2" t="s">
        <v>4903</v>
      </c>
    </row>
    <row r="10494" spans="1:9" x14ac:dyDescent="0.2">
      <c r="A10494" s="2" t="s">
        <v>3491</v>
      </c>
      <c r="B10494" s="2" t="s">
        <v>7276</v>
      </c>
      <c r="C10494" s="2">
        <v>910.10059999999999</v>
      </c>
      <c r="D10494" s="2">
        <f>HYPERLINK("http://mcb-m6.bioreg.kyushu-u.ac.jp/M3/20110421/F51021/2982/1", 117.32)</f>
        <v>117.32</v>
      </c>
      <c r="E10494" s="2">
        <v>95.68</v>
      </c>
      <c r="F10494" s="2">
        <v>2</v>
      </c>
      <c r="G10494" s="2" t="s">
        <v>12</v>
      </c>
      <c r="H10494" s="2" t="s">
        <v>4900</v>
      </c>
    </row>
    <row r="10495" spans="1:9" x14ac:dyDescent="0.2">
      <c r="A10495" s="2" t="s">
        <v>3491</v>
      </c>
      <c r="B10495" s="2" t="s">
        <v>7276</v>
      </c>
      <c r="C10495" s="2">
        <v>917.73910000000001</v>
      </c>
      <c r="D10495" s="2">
        <f>HYPERLINK("http://mcb-m6.bioreg.kyushu-u.ac.jp/M3/20110421/F51021/3023/1", 127.4)</f>
        <v>127.4</v>
      </c>
      <c r="E10495" s="2">
        <v>104.18</v>
      </c>
      <c r="F10495" s="2">
        <v>2</v>
      </c>
      <c r="G10495" s="2" t="s">
        <v>12</v>
      </c>
      <c r="H10495" s="2" t="s">
        <v>8146</v>
      </c>
    </row>
    <row r="10496" spans="1:9" x14ac:dyDescent="0.2">
      <c r="A10496" s="2" t="s">
        <v>8042</v>
      </c>
      <c r="B10496" s="2" t="s">
        <v>7320</v>
      </c>
      <c r="C10496" s="2">
        <v>1037.3620000000001</v>
      </c>
      <c r="D10496" s="2">
        <f>HYPERLINK("http://mcb-m6.bioreg.kyushu-u.ac.jp/M3/20110428/F51133/3046/1", 39.65)</f>
        <v>39.65</v>
      </c>
      <c r="E10496" s="2">
        <v>30.73</v>
      </c>
      <c r="F10496" s="2">
        <v>2</v>
      </c>
      <c r="G10496" s="2" t="s">
        <v>13</v>
      </c>
    </row>
    <row r="10497" spans="1:9" x14ac:dyDescent="0.2">
      <c r="A10497" s="2" t="s">
        <v>4260</v>
      </c>
      <c r="B10497" s="2" t="s">
        <v>1914</v>
      </c>
      <c r="C10497" s="2">
        <v>594.76459999999997</v>
      </c>
      <c r="D10497" s="2">
        <f>HYPERLINK("http://mcb-m6.bioreg.kyushu-u.ac.jp/M3/20110404/F50770/1402/1", 39.04)</f>
        <v>39.04</v>
      </c>
      <c r="E10497" s="2">
        <v>12.93</v>
      </c>
      <c r="F10497" s="2">
        <v>2</v>
      </c>
      <c r="G10497" s="2" t="s">
        <v>10</v>
      </c>
      <c r="I10497" s="2" t="s">
        <v>4903</v>
      </c>
    </row>
    <row r="10498" spans="1:9" x14ac:dyDescent="0.2">
      <c r="A10498" s="2" t="s">
        <v>7926</v>
      </c>
      <c r="B10498" s="2" t="s">
        <v>7092</v>
      </c>
      <c r="C10498" s="2">
        <v>540.83420000000001</v>
      </c>
      <c r="D10498" s="2">
        <f>HYPERLINK("http://mcb-m6.bioreg.kyushu-u.ac.jp/M3/20110421/F51039/1133/1", 39.87)</f>
        <v>39.869999999999997</v>
      </c>
      <c r="E10498" s="2">
        <v>20.13</v>
      </c>
      <c r="F10498" s="2">
        <v>2</v>
      </c>
      <c r="G10498" s="2" t="s">
        <v>11</v>
      </c>
    </row>
    <row r="10499" spans="1:9" x14ac:dyDescent="0.2">
      <c r="A10499" s="2" t="s">
        <v>3411</v>
      </c>
      <c r="B10499" s="2" t="s">
        <v>209</v>
      </c>
      <c r="C10499" s="2">
        <v>747.82759999999996</v>
      </c>
      <c r="D10499" s="2">
        <f>HYPERLINK("http://mcb-m6.bioreg.kyushu-u.ac.jp/M3/20110421/F51039/2109/1", 42.79)</f>
        <v>42.79</v>
      </c>
      <c r="E10499" s="2">
        <v>31.79</v>
      </c>
      <c r="F10499" s="2">
        <v>2</v>
      </c>
      <c r="G10499" s="2" t="s">
        <v>11</v>
      </c>
    </row>
    <row r="10500" spans="1:9" x14ac:dyDescent="0.2">
      <c r="A10500" s="2" t="s">
        <v>3411</v>
      </c>
      <c r="B10500" s="2" t="s">
        <v>2705</v>
      </c>
      <c r="C10500" s="2">
        <v>637.38369999999998</v>
      </c>
      <c r="D10500" s="2">
        <f>HYPERLINK("http://mcb-m6.bioreg.kyushu-u.ac.jp/M3/20110421/F51039/1547/1", 47.43)</f>
        <v>47.43</v>
      </c>
      <c r="E10500" s="2">
        <v>30.94</v>
      </c>
      <c r="F10500" s="2">
        <v>2</v>
      </c>
      <c r="G10500" s="2" t="s">
        <v>11</v>
      </c>
    </row>
    <row r="10501" spans="1:9" x14ac:dyDescent="0.2">
      <c r="A10501" s="2" t="s">
        <v>3411</v>
      </c>
      <c r="B10501" s="2" t="s">
        <v>2705</v>
      </c>
      <c r="C10501" s="2">
        <v>636.74109999999996</v>
      </c>
      <c r="D10501" s="2">
        <f>HYPERLINK("http://mcb-m6.bioreg.kyushu-u.ac.jp/M3/20110421/F51039/1546/1", 59.15)</f>
        <v>59.15</v>
      </c>
      <c r="E10501" s="2">
        <v>47.98</v>
      </c>
      <c r="F10501" s="2">
        <v>2</v>
      </c>
      <c r="G10501" s="2" t="s">
        <v>11</v>
      </c>
    </row>
    <row r="10502" spans="1:9" x14ac:dyDescent="0.2">
      <c r="A10502" s="2" t="s">
        <v>3411</v>
      </c>
      <c r="B10502" s="2" t="s">
        <v>209</v>
      </c>
      <c r="C10502" s="2">
        <v>748.32759999999996</v>
      </c>
      <c r="D10502" s="2">
        <f>HYPERLINK("http://mcb-m6.bioreg.kyushu-u.ac.jp/M3/20110421/F51039/2112/1", 67.42)</f>
        <v>67.42</v>
      </c>
      <c r="E10502" s="2">
        <v>50.42</v>
      </c>
      <c r="F10502" s="2">
        <v>2</v>
      </c>
      <c r="G10502" s="2" t="s">
        <v>11</v>
      </c>
    </row>
    <row r="10503" spans="1:9" x14ac:dyDescent="0.2">
      <c r="A10503" s="2" t="s">
        <v>3411</v>
      </c>
      <c r="B10503" s="2" t="s">
        <v>2081</v>
      </c>
      <c r="C10503" s="2">
        <v>679.31269999999995</v>
      </c>
      <c r="D10503" s="2">
        <f>HYPERLINK("http://mcb-m6.bioreg.kyushu-u.ac.jp/M3/20110421/F51043/1705/1", 49.13)</f>
        <v>49.13</v>
      </c>
      <c r="E10503" s="2">
        <v>30.41</v>
      </c>
      <c r="F10503" s="2">
        <v>2</v>
      </c>
      <c r="G10503" s="2" t="s">
        <v>12</v>
      </c>
    </row>
    <row r="10504" spans="1:9" x14ac:dyDescent="0.2">
      <c r="A10504" s="2" t="s">
        <v>3411</v>
      </c>
      <c r="B10504" s="2" t="s">
        <v>2705</v>
      </c>
      <c r="C10504" s="2">
        <v>637.42319999999995</v>
      </c>
      <c r="D10504" s="2">
        <f>HYPERLINK("http://mcb-m6.bioreg.kyushu-u.ac.jp/M3/20110421/F51048/1688/1", 56.59)</f>
        <v>56.59</v>
      </c>
      <c r="E10504" s="2">
        <v>38.200000000000003</v>
      </c>
      <c r="F10504" s="2">
        <v>2</v>
      </c>
      <c r="G10504" s="2" t="s">
        <v>12</v>
      </c>
    </row>
    <row r="10505" spans="1:9" x14ac:dyDescent="0.2">
      <c r="A10505" s="2" t="s">
        <v>3411</v>
      </c>
      <c r="B10505" s="2" t="s">
        <v>209</v>
      </c>
      <c r="C10505" s="2">
        <v>748.40120000000002</v>
      </c>
      <c r="D10505" s="2">
        <f>HYPERLINK("http://mcb-m6.bioreg.kyushu-u.ac.jp/M3/20110421/F51044/2102/1", 58.66)</f>
        <v>58.66</v>
      </c>
      <c r="E10505" s="2">
        <v>46.77</v>
      </c>
      <c r="F10505" s="2">
        <v>2</v>
      </c>
      <c r="G10505" s="2" t="s">
        <v>12</v>
      </c>
    </row>
    <row r="10506" spans="1:9" x14ac:dyDescent="0.2">
      <c r="A10506" s="2" t="s">
        <v>3411</v>
      </c>
      <c r="B10506" s="2" t="s">
        <v>209</v>
      </c>
      <c r="C10506" s="2">
        <v>748.03369999999995</v>
      </c>
      <c r="D10506" s="2">
        <f>HYPERLINK("http://mcb-m6.bioreg.kyushu-u.ac.jp/M3/20110421/F51048/2239/1", 88.29)</f>
        <v>88.29</v>
      </c>
      <c r="E10506" s="2">
        <v>73.52</v>
      </c>
      <c r="F10506" s="2">
        <v>2</v>
      </c>
      <c r="G10506" s="2" t="s">
        <v>12</v>
      </c>
    </row>
    <row r="10507" spans="1:9" x14ac:dyDescent="0.2">
      <c r="A10507" s="2" t="s">
        <v>3411</v>
      </c>
      <c r="B10507" s="2" t="s">
        <v>209</v>
      </c>
      <c r="C10507" s="2">
        <v>747.6481</v>
      </c>
      <c r="D10507" s="2">
        <f>HYPERLINK("http://mcb-m6.bioreg.kyushu-u.ac.jp/M3/20110428/F51130/2098/1", 83.25)</f>
        <v>83.25</v>
      </c>
      <c r="E10507" s="2">
        <v>68.599999999999994</v>
      </c>
      <c r="F10507" s="2">
        <v>2</v>
      </c>
      <c r="G10507" s="2" t="s">
        <v>14</v>
      </c>
    </row>
    <row r="10508" spans="1:9" x14ac:dyDescent="0.2">
      <c r="A10508" s="2" t="s">
        <v>3411</v>
      </c>
      <c r="B10508" s="2" t="s">
        <v>2081</v>
      </c>
      <c r="C10508" s="2">
        <v>678.68709999999999</v>
      </c>
      <c r="D10508" s="2">
        <f>HYPERLINK("http://mcb-m6.bioreg.kyushu-u.ac.jp/M3/20110428/F51130/1755/1", 85.68)</f>
        <v>85.68</v>
      </c>
      <c r="E10508" s="2">
        <v>47.3</v>
      </c>
      <c r="F10508" s="2">
        <v>2</v>
      </c>
      <c r="G10508" s="2" t="s">
        <v>14</v>
      </c>
    </row>
    <row r="10509" spans="1:9" x14ac:dyDescent="0.2">
      <c r="A10509" s="2" t="s">
        <v>3336</v>
      </c>
      <c r="B10509" s="2" t="s">
        <v>138</v>
      </c>
      <c r="C10509" s="2">
        <v>867.95259999999996</v>
      </c>
      <c r="D10509" s="2">
        <f>HYPERLINK("http://mcb-m6.bioreg.kyushu-u.ac.jp/M3/20110404/F50778/2458/1", 36.84)</f>
        <v>36.840000000000003</v>
      </c>
      <c r="E10509" s="2">
        <v>26.05</v>
      </c>
      <c r="F10509" s="2">
        <v>2</v>
      </c>
      <c r="G10509" s="2" t="s">
        <v>9</v>
      </c>
      <c r="H10509" s="2" t="s">
        <v>4904</v>
      </c>
      <c r="I10509" s="2" t="s">
        <v>4892</v>
      </c>
    </row>
    <row r="10510" spans="1:9" x14ac:dyDescent="0.2">
      <c r="A10510" s="2" t="s">
        <v>3336</v>
      </c>
      <c r="B10510" s="2" t="s">
        <v>124</v>
      </c>
      <c r="C10510" s="2">
        <v>893.76120000000003</v>
      </c>
      <c r="D10510" s="2">
        <f>HYPERLINK("http://mcb-m6.bioreg.kyushu-u.ac.jp/M3/20110404/F50756/2656/1", 37.42)</f>
        <v>37.42</v>
      </c>
      <c r="E10510" s="2">
        <v>27.54</v>
      </c>
      <c r="F10510" s="2">
        <v>2</v>
      </c>
      <c r="G10510" s="2" t="s">
        <v>9</v>
      </c>
      <c r="I10510" s="2" t="s">
        <v>4898</v>
      </c>
    </row>
    <row r="10511" spans="1:9" x14ac:dyDescent="0.2">
      <c r="A10511" s="2" t="s">
        <v>3336</v>
      </c>
      <c r="B10511" s="2" t="s">
        <v>5982</v>
      </c>
      <c r="C10511" s="2">
        <v>522.31269999999995</v>
      </c>
      <c r="D10511" s="2">
        <f>HYPERLINK("http://mcb-m6.bioreg.kyushu-u.ac.jp/M3/20110404/F50777/1068/1", 37.61)</f>
        <v>37.61</v>
      </c>
      <c r="E10511" s="2">
        <v>11.46</v>
      </c>
      <c r="F10511" s="2">
        <v>2</v>
      </c>
      <c r="G10511" s="2" t="s">
        <v>9</v>
      </c>
      <c r="I10511" s="2" t="s">
        <v>4899</v>
      </c>
    </row>
    <row r="10512" spans="1:9" x14ac:dyDescent="0.2">
      <c r="A10512" s="2" t="s">
        <v>3336</v>
      </c>
      <c r="B10512" s="2" t="s">
        <v>222</v>
      </c>
      <c r="C10512" s="2">
        <v>554.76869999999997</v>
      </c>
      <c r="D10512" s="2">
        <f>HYPERLINK("http://mcb-m6.bioreg.kyushu-u.ac.jp/M3/20110404/F50754/1493/1", 37.88)</f>
        <v>37.880000000000003</v>
      </c>
      <c r="E10512" s="2">
        <v>28.89</v>
      </c>
      <c r="F10512" s="2">
        <v>2</v>
      </c>
      <c r="G10512" s="2" t="s">
        <v>9</v>
      </c>
    </row>
    <row r="10513" spans="1:9" x14ac:dyDescent="0.2">
      <c r="A10513" s="2" t="s">
        <v>3336</v>
      </c>
      <c r="B10513" s="2" t="s">
        <v>373</v>
      </c>
      <c r="C10513" s="2">
        <v>523.33320000000003</v>
      </c>
      <c r="D10513" s="2">
        <f>HYPERLINK("http://mcb-m6.bioreg.kyushu-u.ac.jp/M3/20110404/F50778/912/1", 38.22)</f>
        <v>38.22</v>
      </c>
      <c r="E10513" s="2">
        <v>14.82</v>
      </c>
      <c r="F10513" s="2">
        <v>2</v>
      </c>
      <c r="G10513" s="2" t="s">
        <v>9</v>
      </c>
    </row>
    <row r="10514" spans="1:9" x14ac:dyDescent="0.2">
      <c r="A10514" s="2" t="s">
        <v>3336</v>
      </c>
      <c r="B10514" s="2" t="s">
        <v>222</v>
      </c>
      <c r="C10514" s="2">
        <v>1108.5809999999999</v>
      </c>
      <c r="D10514" s="2">
        <f>HYPERLINK("http://mcb-m6.bioreg.kyushu-u.ac.jp/M3/20110404/F50777/1173/1", 38.78)</f>
        <v>38.78</v>
      </c>
      <c r="E10514" s="2">
        <v>21.58</v>
      </c>
      <c r="F10514" s="2">
        <v>1</v>
      </c>
      <c r="G10514" s="2" t="s">
        <v>9</v>
      </c>
    </row>
    <row r="10515" spans="1:9" x14ac:dyDescent="0.2">
      <c r="A10515" s="2" t="s">
        <v>3336</v>
      </c>
      <c r="B10515" s="2" t="s">
        <v>337</v>
      </c>
      <c r="C10515" s="2">
        <v>1179.5519999999999</v>
      </c>
      <c r="D10515" s="2">
        <f>HYPERLINK("http://mcb-m6.bioreg.kyushu-u.ac.jp/M3/20110404/F50777/1258/1", 41.97)</f>
        <v>41.97</v>
      </c>
      <c r="E10515" s="2">
        <v>23.06</v>
      </c>
      <c r="F10515" s="2">
        <v>1</v>
      </c>
      <c r="G10515" s="2" t="s">
        <v>9</v>
      </c>
    </row>
    <row r="10516" spans="1:9" x14ac:dyDescent="0.2">
      <c r="A10516" s="2" t="s">
        <v>3336</v>
      </c>
      <c r="B10516" s="2" t="s">
        <v>138</v>
      </c>
      <c r="C10516" s="2">
        <v>867.53420000000006</v>
      </c>
      <c r="D10516" s="2">
        <f>HYPERLINK("http://mcb-m6.bioreg.kyushu-u.ac.jp/M3/20110404/F50777/2410/1", 42.41)</f>
        <v>42.41</v>
      </c>
      <c r="E10516" s="2">
        <v>23.05</v>
      </c>
      <c r="F10516" s="2">
        <v>2</v>
      </c>
      <c r="G10516" s="2" t="s">
        <v>9</v>
      </c>
      <c r="H10516" s="2" t="s">
        <v>4904</v>
      </c>
      <c r="I10516" s="2" t="s">
        <v>4892</v>
      </c>
    </row>
    <row r="10517" spans="1:9" x14ac:dyDescent="0.2">
      <c r="A10517" s="2" t="s">
        <v>3336</v>
      </c>
      <c r="B10517" s="2" t="s">
        <v>646</v>
      </c>
      <c r="C10517" s="2">
        <v>825.96810000000005</v>
      </c>
      <c r="D10517" s="2">
        <f>HYPERLINK("http://mcb-m6.bioreg.kyushu-u.ac.jp/M3/20110404/F50777/2276/1", 45.13)</f>
        <v>45.13</v>
      </c>
      <c r="E10517" s="2">
        <v>33.1</v>
      </c>
      <c r="F10517" s="2">
        <v>2</v>
      </c>
      <c r="G10517" s="2" t="s">
        <v>9</v>
      </c>
      <c r="I10517" s="2" t="s">
        <v>4918</v>
      </c>
    </row>
    <row r="10518" spans="1:9" x14ac:dyDescent="0.2">
      <c r="A10518" s="2" t="s">
        <v>3336</v>
      </c>
      <c r="B10518" s="2" t="s">
        <v>373</v>
      </c>
      <c r="C10518" s="2">
        <v>523.21810000000005</v>
      </c>
      <c r="D10518" s="2">
        <f>HYPERLINK("http://mcb-m6.bioreg.kyushu-u.ac.jp/M3/20110404/F50777/1074/1", 46.16)</f>
        <v>46.16</v>
      </c>
      <c r="E10518" s="2">
        <v>22.52</v>
      </c>
      <c r="F10518" s="2">
        <v>2</v>
      </c>
      <c r="G10518" s="2" t="s">
        <v>9</v>
      </c>
    </row>
    <row r="10519" spans="1:9" x14ac:dyDescent="0.2">
      <c r="A10519" s="2" t="s">
        <v>3336</v>
      </c>
      <c r="B10519" s="2" t="s">
        <v>263</v>
      </c>
      <c r="C10519" s="2">
        <v>961.40800000000002</v>
      </c>
      <c r="D10519" s="2">
        <f>HYPERLINK("http://mcb-m6.bioreg.kyushu-u.ac.jp/M3/20110404/F50777/926/1", 48.48)</f>
        <v>48.48</v>
      </c>
      <c r="E10519" s="2">
        <v>17.48</v>
      </c>
      <c r="F10519" s="2">
        <v>1</v>
      </c>
      <c r="G10519" s="2" t="s">
        <v>9</v>
      </c>
    </row>
    <row r="10520" spans="1:9" x14ac:dyDescent="0.2">
      <c r="A10520" s="2" t="s">
        <v>3336</v>
      </c>
      <c r="B10520" s="2" t="s">
        <v>124</v>
      </c>
      <c r="C10520" s="2">
        <v>893.18370000000004</v>
      </c>
      <c r="D10520" s="2">
        <f>HYPERLINK("http://mcb-m6.bioreg.kyushu-u.ac.jp/M3/20110404/F50756/2652/1", 50.1)</f>
        <v>50.1</v>
      </c>
      <c r="E10520" s="2">
        <v>27.77</v>
      </c>
      <c r="F10520" s="2">
        <v>2</v>
      </c>
      <c r="G10520" s="2" t="s">
        <v>9</v>
      </c>
      <c r="I10520" s="2" t="s">
        <v>4898</v>
      </c>
    </row>
    <row r="10521" spans="1:9" x14ac:dyDescent="0.2">
      <c r="A10521" s="2" t="s">
        <v>3336</v>
      </c>
      <c r="B10521" s="2" t="s">
        <v>337</v>
      </c>
      <c r="C10521" s="2">
        <v>590.22360000000003</v>
      </c>
      <c r="D10521" s="2">
        <f>HYPERLINK("http://mcb-m6.bioreg.kyushu-u.ac.jp/M3/20110404/F50777/1256/1", 52.43)</f>
        <v>52.43</v>
      </c>
      <c r="E10521" s="2">
        <v>28.68</v>
      </c>
      <c r="F10521" s="2">
        <v>2</v>
      </c>
      <c r="G10521" s="2" t="s">
        <v>9</v>
      </c>
    </row>
    <row r="10522" spans="1:9" x14ac:dyDescent="0.2">
      <c r="A10522" s="2" t="s">
        <v>3336</v>
      </c>
      <c r="B10522" s="2" t="s">
        <v>2626</v>
      </c>
      <c r="C10522" s="2">
        <v>974.32</v>
      </c>
      <c r="D10522" s="2">
        <f>HYPERLINK("http://mcb-m6.bioreg.kyushu-u.ac.jp/M3/20110404/F50777/948/1", 53.67)</f>
        <v>53.67</v>
      </c>
      <c r="E10522" s="2">
        <v>17.48</v>
      </c>
      <c r="F10522" s="2">
        <v>1</v>
      </c>
      <c r="G10522" s="2" t="s">
        <v>9</v>
      </c>
    </row>
    <row r="10523" spans="1:9" x14ac:dyDescent="0.2">
      <c r="A10523" s="2" t="s">
        <v>3336</v>
      </c>
      <c r="B10523" s="2" t="s">
        <v>623</v>
      </c>
      <c r="C10523" s="2">
        <v>1085.604</v>
      </c>
      <c r="D10523" s="2">
        <f>HYPERLINK("http://mcb-m6.bioreg.kyushu-u.ac.jp/M3/20110404/F50765/3067/1", 57.25)</f>
        <v>57.25</v>
      </c>
      <c r="E10523" s="2">
        <v>45.41</v>
      </c>
      <c r="F10523" s="2">
        <v>2</v>
      </c>
      <c r="G10523" s="2" t="s">
        <v>9</v>
      </c>
    </row>
    <row r="10524" spans="1:9" x14ac:dyDescent="0.2">
      <c r="A10524" s="2" t="s">
        <v>3336</v>
      </c>
      <c r="B10524" s="2" t="s">
        <v>318</v>
      </c>
      <c r="C10524" s="2">
        <v>927.01760000000002</v>
      </c>
      <c r="D10524" s="2">
        <f>HYPERLINK("http://mcb-m6.bioreg.kyushu-u.ac.jp/M3/20110404/F50777/2643/1", 58.41)</f>
        <v>58.41</v>
      </c>
      <c r="E10524" s="2">
        <v>44.7</v>
      </c>
      <c r="F10524" s="2">
        <v>2</v>
      </c>
      <c r="G10524" s="2" t="s">
        <v>9</v>
      </c>
    </row>
    <row r="10525" spans="1:9" x14ac:dyDescent="0.2">
      <c r="A10525" s="2" t="s">
        <v>3336</v>
      </c>
      <c r="B10525" s="2" t="s">
        <v>138</v>
      </c>
      <c r="C10525" s="2">
        <v>875.8066</v>
      </c>
      <c r="D10525" s="2">
        <f>HYPERLINK("http://mcb-m6.bioreg.kyushu-u.ac.jp/M3/20110404/F50777/2436/1", 60.59)</f>
        <v>60.59</v>
      </c>
      <c r="E10525" s="2">
        <v>45.31</v>
      </c>
      <c r="F10525" s="2">
        <v>2</v>
      </c>
      <c r="G10525" s="2" t="s">
        <v>9</v>
      </c>
      <c r="H10525" s="2" t="s">
        <v>4958</v>
      </c>
      <c r="I10525" s="2" t="s">
        <v>4892</v>
      </c>
    </row>
    <row r="10526" spans="1:9" x14ac:dyDescent="0.2">
      <c r="A10526" s="2" t="s">
        <v>3336</v>
      </c>
      <c r="B10526" s="2" t="s">
        <v>373</v>
      </c>
      <c r="C10526" s="2">
        <v>1045.422</v>
      </c>
      <c r="D10526" s="2">
        <f>HYPERLINK("http://mcb-m6.bioreg.kyushu-u.ac.jp/M3/20110404/F50777/1073/1", 60.6)</f>
        <v>60.6</v>
      </c>
      <c r="E10526" s="2">
        <v>33.75</v>
      </c>
      <c r="F10526" s="2">
        <v>1</v>
      </c>
      <c r="G10526" s="2" t="s">
        <v>9</v>
      </c>
    </row>
    <row r="10527" spans="1:9" x14ac:dyDescent="0.2">
      <c r="A10527" s="2" t="s">
        <v>3336</v>
      </c>
      <c r="B10527" s="2" t="s">
        <v>318</v>
      </c>
      <c r="C10527" s="2">
        <v>926.50070000000005</v>
      </c>
      <c r="D10527" s="2">
        <f>HYPERLINK("http://mcb-m6.bioreg.kyushu-u.ac.jp/M3/20110404/F50777/2637/1", 62.34)</f>
        <v>62.34</v>
      </c>
      <c r="E10527" s="2">
        <v>47.73</v>
      </c>
      <c r="F10527" s="2">
        <v>2</v>
      </c>
      <c r="G10527" s="2" t="s">
        <v>9</v>
      </c>
    </row>
    <row r="10528" spans="1:9" x14ac:dyDescent="0.2">
      <c r="A10528" s="2" t="s">
        <v>3336</v>
      </c>
      <c r="B10528" s="2" t="s">
        <v>124</v>
      </c>
      <c r="C10528" s="2">
        <v>893.89760000000001</v>
      </c>
      <c r="D10528" s="2">
        <f>HYPERLINK("http://mcb-m6.bioreg.kyushu-u.ac.jp/M3/20110404/F50777/2507/1", 64.71)</f>
        <v>64.709999999999994</v>
      </c>
      <c r="E10528" s="2">
        <v>47.27</v>
      </c>
      <c r="F10528" s="2">
        <v>2</v>
      </c>
      <c r="G10528" s="2" t="s">
        <v>9</v>
      </c>
      <c r="I10528" s="2" t="s">
        <v>4898</v>
      </c>
    </row>
    <row r="10529" spans="1:9" x14ac:dyDescent="0.2">
      <c r="A10529" s="2" t="s">
        <v>3336</v>
      </c>
      <c r="B10529" s="2" t="s">
        <v>1860</v>
      </c>
      <c r="C10529" s="2">
        <v>791.33759999999995</v>
      </c>
      <c r="D10529" s="2">
        <f>HYPERLINK("http://mcb-m6.bioreg.kyushu-u.ac.jp/M3/20110404/F50777/2137/1", 64.81)</f>
        <v>64.81</v>
      </c>
      <c r="E10529" s="2">
        <v>48.87</v>
      </c>
      <c r="F10529" s="2">
        <v>2</v>
      </c>
      <c r="G10529" s="2" t="s">
        <v>9</v>
      </c>
    </row>
    <row r="10530" spans="1:9" x14ac:dyDescent="0.2">
      <c r="A10530" s="2" t="s">
        <v>3336</v>
      </c>
      <c r="B10530" s="2" t="s">
        <v>623</v>
      </c>
      <c r="C10530" s="2">
        <v>1085.8900000000001</v>
      </c>
      <c r="D10530" s="2">
        <f>HYPERLINK("http://mcb-m6.bioreg.kyushu-u.ac.jp/M3/20110404/F50753/3109/1", 67.21)</f>
        <v>67.209999999999994</v>
      </c>
      <c r="E10530" s="2">
        <v>54.48</v>
      </c>
      <c r="F10530" s="2">
        <v>2</v>
      </c>
      <c r="G10530" s="2" t="s">
        <v>9</v>
      </c>
    </row>
    <row r="10531" spans="1:9" x14ac:dyDescent="0.2">
      <c r="A10531" s="2" t="s">
        <v>3336</v>
      </c>
      <c r="B10531" s="2" t="s">
        <v>222</v>
      </c>
      <c r="C10531" s="2">
        <v>554.71559999999999</v>
      </c>
      <c r="D10531" s="2">
        <f>HYPERLINK("http://mcb-m6.bioreg.kyushu-u.ac.jp/M3/20110404/F50777/1172/1", 68.01)</f>
        <v>68.010000000000005</v>
      </c>
      <c r="E10531" s="2">
        <v>51.2</v>
      </c>
      <c r="F10531" s="2">
        <v>2</v>
      </c>
      <c r="G10531" s="2" t="s">
        <v>9</v>
      </c>
    </row>
    <row r="10532" spans="1:9" x14ac:dyDescent="0.2">
      <c r="A10532" s="2" t="s">
        <v>3336</v>
      </c>
      <c r="B10532" s="2" t="s">
        <v>646</v>
      </c>
      <c r="C10532" s="2">
        <v>817.49369999999999</v>
      </c>
      <c r="D10532" s="2">
        <f>HYPERLINK("http://mcb-m6.bioreg.kyushu-u.ac.jp/M3/20110404/F50777/2241/1", 68.28)</f>
        <v>68.28</v>
      </c>
      <c r="E10532" s="2">
        <v>53.4</v>
      </c>
      <c r="F10532" s="2">
        <v>2</v>
      </c>
      <c r="G10532" s="2" t="s">
        <v>9</v>
      </c>
      <c r="H10532" s="2" t="s">
        <v>4904</v>
      </c>
      <c r="I10532" s="2" t="s">
        <v>4918</v>
      </c>
    </row>
    <row r="10533" spans="1:9" x14ac:dyDescent="0.2">
      <c r="A10533" s="2" t="s">
        <v>3336</v>
      </c>
      <c r="B10533" s="2" t="s">
        <v>1860</v>
      </c>
      <c r="C10533" s="2">
        <v>790.81119999999999</v>
      </c>
      <c r="D10533" s="2">
        <f>HYPERLINK("http://mcb-m6.bioreg.kyushu-u.ac.jp/M3/20110404/F50777/2134/1", 81.47)</f>
        <v>81.47</v>
      </c>
      <c r="E10533" s="2">
        <v>67.709999999999994</v>
      </c>
      <c r="F10533" s="2">
        <v>2</v>
      </c>
      <c r="G10533" s="2" t="s">
        <v>9</v>
      </c>
    </row>
    <row r="10534" spans="1:9" x14ac:dyDescent="0.2">
      <c r="A10534" s="2" t="s">
        <v>3336</v>
      </c>
      <c r="B10534" s="2" t="s">
        <v>450</v>
      </c>
      <c r="C10534" s="2">
        <v>1002.46</v>
      </c>
      <c r="D10534" s="2">
        <f>HYPERLINK("http://mcb-m6.bioreg.kyushu-u.ac.jp/M3/20110404/F50777/2870/1", 86.43)</f>
        <v>86.43</v>
      </c>
      <c r="E10534" s="2">
        <v>67.98</v>
      </c>
      <c r="F10534" s="2">
        <v>2</v>
      </c>
      <c r="G10534" s="2" t="s">
        <v>9</v>
      </c>
    </row>
    <row r="10535" spans="1:9" x14ac:dyDescent="0.2">
      <c r="A10535" s="2" t="s">
        <v>3336</v>
      </c>
      <c r="B10535" s="2" t="s">
        <v>124</v>
      </c>
      <c r="C10535" s="2">
        <v>893.33759999999995</v>
      </c>
      <c r="D10535" s="2">
        <f>HYPERLINK("http://mcb-m6.bioreg.kyushu-u.ac.jp/M3/20110404/F50777/2505/1", 88.89)</f>
        <v>88.89</v>
      </c>
      <c r="E10535" s="2">
        <v>75.930000000000007</v>
      </c>
      <c r="F10535" s="2">
        <v>2</v>
      </c>
      <c r="G10535" s="2" t="s">
        <v>9</v>
      </c>
      <c r="I10535" s="2" t="s">
        <v>4898</v>
      </c>
    </row>
    <row r="10536" spans="1:9" x14ac:dyDescent="0.2">
      <c r="A10536" s="2" t="s">
        <v>3336</v>
      </c>
      <c r="B10536" s="2" t="s">
        <v>6607</v>
      </c>
      <c r="C10536" s="2">
        <v>1103.4159999999999</v>
      </c>
      <c r="D10536" s="2">
        <f>HYPERLINK("http://mcb-m6.bioreg.kyushu-u.ac.jp/M3/20110404/F50756/3363/1", 92.09)</f>
        <v>92.09</v>
      </c>
      <c r="E10536" s="2">
        <v>79.11</v>
      </c>
      <c r="F10536" s="2">
        <v>2</v>
      </c>
      <c r="G10536" s="2" t="s">
        <v>9</v>
      </c>
    </row>
    <row r="10537" spans="1:9" x14ac:dyDescent="0.2">
      <c r="A10537" s="2" t="s">
        <v>3336</v>
      </c>
      <c r="B10537" s="2" t="s">
        <v>6607</v>
      </c>
      <c r="C10537" s="2">
        <v>1103.4259999999999</v>
      </c>
      <c r="D10537" s="2">
        <f>HYPERLINK("http://mcb-m6.bioreg.kyushu-u.ac.jp/M3/20110404/F50777/3057/1", 106.16)</f>
        <v>106.16</v>
      </c>
      <c r="E10537" s="2">
        <v>87.36</v>
      </c>
      <c r="F10537" s="2">
        <v>2</v>
      </c>
      <c r="G10537" s="2" t="s">
        <v>9</v>
      </c>
    </row>
    <row r="10538" spans="1:9" x14ac:dyDescent="0.2">
      <c r="A10538" s="2" t="s">
        <v>3336</v>
      </c>
      <c r="B10538" s="2" t="s">
        <v>623</v>
      </c>
      <c r="C10538" s="2">
        <v>1085.8679999999999</v>
      </c>
      <c r="D10538" s="2">
        <f>HYPERLINK("http://mcb-m6.bioreg.kyushu-u.ac.jp/M3/20110404/F50777/3023/1", 108.44)</f>
        <v>108.44</v>
      </c>
      <c r="E10538" s="2">
        <v>92.96</v>
      </c>
      <c r="F10538" s="2">
        <v>2</v>
      </c>
      <c r="G10538" s="2" t="s">
        <v>9</v>
      </c>
    </row>
    <row r="10539" spans="1:9" x14ac:dyDescent="0.2">
      <c r="A10539" s="2" t="s">
        <v>3336</v>
      </c>
      <c r="B10539" s="2" t="s">
        <v>138</v>
      </c>
      <c r="C10539" s="2">
        <v>883.91920000000005</v>
      </c>
      <c r="D10539" s="2">
        <f>HYPERLINK("http://mcb-m6.bioreg.kyushu-u.ac.jp/M3/20110404/F50774/2377/1", 40.32)</f>
        <v>40.32</v>
      </c>
      <c r="E10539" s="2">
        <v>27.02</v>
      </c>
      <c r="F10539" s="2">
        <v>2</v>
      </c>
      <c r="G10539" s="2" t="s">
        <v>10</v>
      </c>
      <c r="H10539" s="2" t="s">
        <v>4901</v>
      </c>
      <c r="I10539" s="2" t="s">
        <v>4892</v>
      </c>
    </row>
    <row r="10540" spans="1:9" x14ac:dyDescent="0.2">
      <c r="A10540" s="2" t="s">
        <v>3336</v>
      </c>
      <c r="B10540" s="2" t="s">
        <v>2626</v>
      </c>
      <c r="C10540" s="2">
        <v>974.38699999999994</v>
      </c>
      <c r="D10540" s="2">
        <f>HYPERLINK("http://mcb-m6.bioreg.kyushu-u.ac.jp/M3/20110404/F50774/998/1", 40.36)</f>
        <v>40.36</v>
      </c>
      <c r="E10540" s="2">
        <v>12.79</v>
      </c>
      <c r="F10540" s="2">
        <v>1</v>
      </c>
      <c r="G10540" s="2" t="s">
        <v>10</v>
      </c>
    </row>
    <row r="10541" spans="1:9" x14ac:dyDescent="0.2">
      <c r="A10541" s="2" t="s">
        <v>3336</v>
      </c>
      <c r="B10541" s="2" t="s">
        <v>337</v>
      </c>
      <c r="C10541" s="2">
        <v>1179.6279999999999</v>
      </c>
      <c r="D10541" s="2">
        <f>HYPERLINK("http://mcb-m6.bioreg.kyushu-u.ac.jp/M3/20110404/F50774/1298/1", 41.72)</f>
        <v>41.72</v>
      </c>
      <c r="E10541" s="2">
        <v>22.98</v>
      </c>
      <c r="F10541" s="2">
        <v>1</v>
      </c>
      <c r="G10541" s="2" t="s">
        <v>10</v>
      </c>
    </row>
    <row r="10542" spans="1:9" x14ac:dyDescent="0.2">
      <c r="A10542" s="2" t="s">
        <v>3336</v>
      </c>
      <c r="B10542" s="2" t="s">
        <v>373</v>
      </c>
      <c r="C10542" s="2">
        <v>523.28859999999997</v>
      </c>
      <c r="D10542" s="2">
        <f>HYPERLINK("http://mcb-m6.bioreg.kyushu-u.ac.jp/M3/20110404/F50761/1058/1", 43.44)</f>
        <v>43.44</v>
      </c>
      <c r="E10542" s="2">
        <v>22.86</v>
      </c>
      <c r="F10542" s="2">
        <v>2</v>
      </c>
      <c r="G10542" s="2" t="s">
        <v>10</v>
      </c>
    </row>
    <row r="10543" spans="1:9" x14ac:dyDescent="0.2">
      <c r="A10543" s="2" t="s">
        <v>3336</v>
      </c>
      <c r="B10543" s="2" t="s">
        <v>222</v>
      </c>
      <c r="C10543" s="2">
        <v>1108.578</v>
      </c>
      <c r="D10543" s="2">
        <f>HYPERLINK("http://mcb-m6.bioreg.kyushu-u.ac.jp/M3/20110404/F50774/1215/1", 44.18)</f>
        <v>44.18</v>
      </c>
      <c r="E10543" s="2">
        <v>27.05</v>
      </c>
      <c r="F10543" s="2">
        <v>1</v>
      </c>
      <c r="G10543" s="2" t="s">
        <v>10</v>
      </c>
    </row>
    <row r="10544" spans="1:9" x14ac:dyDescent="0.2">
      <c r="A10544" s="2" t="s">
        <v>3336</v>
      </c>
      <c r="B10544" s="2" t="s">
        <v>263</v>
      </c>
      <c r="C10544" s="2">
        <v>961.48099999999999</v>
      </c>
      <c r="D10544" s="2">
        <f>HYPERLINK("http://mcb-m6.bioreg.kyushu-u.ac.jp/M3/20110404/F50774/979/1", 44.9)</f>
        <v>44.9</v>
      </c>
      <c r="E10544" s="2">
        <v>11.69</v>
      </c>
      <c r="F10544" s="2">
        <v>1</v>
      </c>
      <c r="G10544" s="2" t="s">
        <v>10</v>
      </c>
    </row>
    <row r="10545" spans="1:9" x14ac:dyDescent="0.2">
      <c r="A10545" s="2" t="s">
        <v>3336</v>
      </c>
      <c r="B10545" s="2" t="s">
        <v>373</v>
      </c>
      <c r="C10545" s="2">
        <v>1045.454</v>
      </c>
      <c r="D10545" s="2">
        <f>HYPERLINK("http://mcb-m6.bioreg.kyushu-u.ac.jp/M3/20110404/F50774/1118/1", 46.35)</f>
        <v>46.35</v>
      </c>
      <c r="E10545" s="2">
        <v>14.77</v>
      </c>
      <c r="F10545" s="2">
        <v>1</v>
      </c>
      <c r="G10545" s="2" t="s">
        <v>10</v>
      </c>
    </row>
    <row r="10546" spans="1:9" x14ac:dyDescent="0.2">
      <c r="A10546" s="2" t="s">
        <v>3336</v>
      </c>
      <c r="B10546" s="2" t="s">
        <v>263</v>
      </c>
      <c r="C10546" s="2">
        <v>481.59710000000001</v>
      </c>
      <c r="D10546" s="2">
        <f>HYPERLINK("http://mcb-m6.bioreg.kyushu-u.ac.jp/M3/20110404/F50774/980/1", 51.12)</f>
        <v>51.12</v>
      </c>
      <c r="E10546" s="2">
        <v>16.22</v>
      </c>
      <c r="F10546" s="2">
        <v>2</v>
      </c>
      <c r="G10546" s="2" t="s">
        <v>10</v>
      </c>
    </row>
    <row r="10547" spans="1:9" x14ac:dyDescent="0.2">
      <c r="A10547" s="2" t="s">
        <v>3336</v>
      </c>
      <c r="B10547" s="2" t="s">
        <v>373</v>
      </c>
      <c r="C10547" s="2">
        <v>523.30970000000002</v>
      </c>
      <c r="D10547" s="2">
        <f>HYPERLINK("http://mcb-m6.bioreg.kyushu-u.ac.jp/M3/20110404/F50774/1121/1", 52.76)</f>
        <v>52.76</v>
      </c>
      <c r="E10547" s="2">
        <v>27.95</v>
      </c>
      <c r="F10547" s="2">
        <v>2</v>
      </c>
      <c r="G10547" s="2" t="s">
        <v>10</v>
      </c>
    </row>
    <row r="10548" spans="1:9" x14ac:dyDescent="0.2">
      <c r="A10548" s="2" t="s">
        <v>3336</v>
      </c>
      <c r="B10548" s="2" t="s">
        <v>1860</v>
      </c>
      <c r="C10548" s="2">
        <v>791.31669999999997</v>
      </c>
      <c r="D10548" s="2">
        <f>HYPERLINK("http://mcb-m6.bioreg.kyushu-u.ac.jp/M3/20110404/F50774/2102/1", 54.67)</f>
        <v>54.67</v>
      </c>
      <c r="E10548" s="2">
        <v>42.99</v>
      </c>
      <c r="F10548" s="2">
        <v>2</v>
      </c>
      <c r="G10548" s="2" t="s">
        <v>10</v>
      </c>
    </row>
    <row r="10549" spans="1:9" x14ac:dyDescent="0.2">
      <c r="A10549" s="2" t="s">
        <v>3336</v>
      </c>
      <c r="B10549" s="2" t="s">
        <v>450</v>
      </c>
      <c r="C10549" s="2">
        <v>1002.054</v>
      </c>
      <c r="D10549" s="2">
        <f>HYPERLINK("http://mcb-m6.bioreg.kyushu-u.ac.jp/M3/20110404/F50774/2710/1", 55.67)</f>
        <v>55.67</v>
      </c>
      <c r="E10549" s="2">
        <v>44.44</v>
      </c>
      <c r="F10549" s="2">
        <v>2</v>
      </c>
      <c r="G10549" s="2" t="s">
        <v>10</v>
      </c>
    </row>
    <row r="10550" spans="1:9" x14ac:dyDescent="0.2">
      <c r="A10550" s="2" t="s">
        <v>3336</v>
      </c>
      <c r="B10550" s="2" t="s">
        <v>318</v>
      </c>
      <c r="C10550" s="2">
        <v>926.48659999999995</v>
      </c>
      <c r="D10550" s="2">
        <f>HYPERLINK("http://mcb-m6.bioreg.kyushu-u.ac.jp/M3/20110404/F50774/2527/1", 57.33)</f>
        <v>57.33</v>
      </c>
      <c r="E10550" s="2">
        <v>41.73</v>
      </c>
      <c r="F10550" s="2">
        <v>2</v>
      </c>
      <c r="G10550" s="2" t="s">
        <v>10</v>
      </c>
    </row>
    <row r="10551" spans="1:9" x14ac:dyDescent="0.2">
      <c r="A10551" s="2" t="s">
        <v>3336</v>
      </c>
      <c r="B10551" s="2" t="s">
        <v>337</v>
      </c>
      <c r="C10551" s="2">
        <v>590.24620000000004</v>
      </c>
      <c r="D10551" s="2">
        <f>HYPERLINK("http://mcb-m6.bioreg.kyushu-u.ac.jp/M3/20110404/F50774/1297/1", 58.17)</f>
        <v>58.17</v>
      </c>
      <c r="E10551" s="2">
        <v>33.76</v>
      </c>
      <c r="F10551" s="2">
        <v>2</v>
      </c>
      <c r="G10551" s="2" t="s">
        <v>10</v>
      </c>
    </row>
    <row r="10552" spans="1:9" x14ac:dyDescent="0.2">
      <c r="A10552" s="2" t="s">
        <v>3336</v>
      </c>
      <c r="B10552" s="2" t="s">
        <v>646</v>
      </c>
      <c r="C10552" s="2">
        <v>826.21420000000001</v>
      </c>
      <c r="D10552" s="2">
        <f>HYPERLINK("http://mcb-m6.bioreg.kyushu-u.ac.jp/M3/20110404/F50774/2221/1", 59.47)</f>
        <v>59.47</v>
      </c>
      <c r="E10552" s="2">
        <v>45.65</v>
      </c>
      <c r="F10552" s="2">
        <v>2</v>
      </c>
      <c r="G10552" s="2" t="s">
        <v>10</v>
      </c>
      <c r="I10552" s="2" t="s">
        <v>4918</v>
      </c>
    </row>
    <row r="10553" spans="1:9" x14ac:dyDescent="0.2">
      <c r="A10553" s="2" t="s">
        <v>3336</v>
      </c>
      <c r="B10553" s="2" t="s">
        <v>222</v>
      </c>
      <c r="C10553" s="2">
        <v>554.80070000000001</v>
      </c>
      <c r="D10553" s="2">
        <f>HYPERLINK("http://mcb-m6.bioreg.kyushu-u.ac.jp/M3/20110404/F50774/1216/1", 62.56)</f>
        <v>62.56</v>
      </c>
      <c r="E10553" s="2">
        <v>41.75</v>
      </c>
      <c r="F10553" s="2">
        <v>2</v>
      </c>
      <c r="G10553" s="2" t="s">
        <v>10</v>
      </c>
    </row>
    <row r="10554" spans="1:9" x14ac:dyDescent="0.2">
      <c r="A10554" s="2" t="s">
        <v>3336</v>
      </c>
      <c r="B10554" s="2" t="s">
        <v>646</v>
      </c>
      <c r="C10554" s="2">
        <v>817.41920000000005</v>
      </c>
      <c r="D10554" s="2">
        <f>HYPERLINK("http://mcb-m6.bioreg.kyushu-u.ac.jp/M3/20110404/F50774/2188/1", 70.16)</f>
        <v>70.16</v>
      </c>
      <c r="E10554" s="2">
        <v>54.28</v>
      </c>
      <c r="F10554" s="2">
        <v>2</v>
      </c>
      <c r="G10554" s="2" t="s">
        <v>10</v>
      </c>
      <c r="H10554" s="2" t="s">
        <v>4904</v>
      </c>
      <c r="I10554" s="2" t="s">
        <v>4918</v>
      </c>
    </row>
    <row r="10555" spans="1:9" x14ac:dyDescent="0.2">
      <c r="A10555" s="2" t="s">
        <v>3336</v>
      </c>
      <c r="B10555" s="2" t="s">
        <v>124</v>
      </c>
      <c r="C10555" s="2">
        <v>893.68470000000002</v>
      </c>
      <c r="D10555" s="2">
        <f>HYPERLINK("http://mcb-m6.bioreg.kyushu-u.ac.jp/M3/20110404/F50774/2430/1", 85.02)</f>
        <v>85.02</v>
      </c>
      <c r="E10555" s="2">
        <v>64.709999999999994</v>
      </c>
      <c r="F10555" s="2">
        <v>2</v>
      </c>
      <c r="G10555" s="2" t="s">
        <v>10</v>
      </c>
      <c r="I10555" s="2" t="s">
        <v>4898</v>
      </c>
    </row>
    <row r="10556" spans="1:9" x14ac:dyDescent="0.2">
      <c r="A10556" s="2" t="s">
        <v>3336</v>
      </c>
      <c r="B10556" s="2" t="s">
        <v>623</v>
      </c>
      <c r="C10556" s="2">
        <v>1085.634</v>
      </c>
      <c r="D10556" s="2">
        <f>HYPERLINK("http://mcb-m6.bioreg.kyushu-u.ac.jp/M3/20110404/F50774/2840/1", 91.54)</f>
        <v>91.54</v>
      </c>
      <c r="E10556" s="2">
        <v>77.989999999999995</v>
      </c>
      <c r="F10556" s="2">
        <v>2</v>
      </c>
      <c r="G10556" s="2" t="s">
        <v>10</v>
      </c>
    </row>
    <row r="10557" spans="1:9" x14ac:dyDescent="0.2">
      <c r="A10557" s="2" t="s">
        <v>3336</v>
      </c>
      <c r="B10557" s="2" t="s">
        <v>6607</v>
      </c>
      <c r="C10557" s="2">
        <v>1103.663</v>
      </c>
      <c r="D10557" s="2">
        <f>HYPERLINK("http://mcb-m6.bioreg.kyushu-u.ac.jp/M3/20110404/F50774/2872/1", 92.2)</f>
        <v>92.2</v>
      </c>
      <c r="E10557" s="2">
        <v>81.37</v>
      </c>
      <c r="F10557" s="2">
        <v>2</v>
      </c>
      <c r="G10557" s="2" t="s">
        <v>10</v>
      </c>
    </row>
    <row r="10558" spans="1:9" x14ac:dyDescent="0.2">
      <c r="A10558" s="2" t="s">
        <v>3336</v>
      </c>
      <c r="B10558" s="2" t="s">
        <v>337</v>
      </c>
      <c r="C10558" s="2">
        <v>590.23969999999997</v>
      </c>
      <c r="D10558" s="2">
        <f>HYPERLINK("http://mcb-m6.bioreg.kyushu-u.ac.jp/M3/20110421/F51037/1156/1", 36.02)</f>
        <v>36.020000000000003</v>
      </c>
      <c r="E10558" s="2">
        <v>20.66</v>
      </c>
      <c r="F10558" s="2">
        <v>2</v>
      </c>
      <c r="G10558" s="2" t="s">
        <v>11</v>
      </c>
    </row>
    <row r="10559" spans="1:9" x14ac:dyDescent="0.2">
      <c r="A10559" s="2" t="s">
        <v>3336</v>
      </c>
      <c r="B10559" s="2" t="s">
        <v>222</v>
      </c>
      <c r="C10559" s="2">
        <v>554.78970000000004</v>
      </c>
      <c r="D10559" s="2">
        <f>HYPERLINK("http://mcb-m6.bioreg.kyushu-u.ac.jp/M3/20110421/F51018/1301/1", 36.83)</f>
        <v>36.83</v>
      </c>
      <c r="E10559" s="2">
        <v>20.420000000000002</v>
      </c>
      <c r="F10559" s="2">
        <v>2</v>
      </c>
      <c r="G10559" s="2" t="s">
        <v>11</v>
      </c>
    </row>
    <row r="10560" spans="1:9" x14ac:dyDescent="0.2">
      <c r="A10560" s="2" t="s">
        <v>3336</v>
      </c>
      <c r="B10560" s="2" t="s">
        <v>222</v>
      </c>
      <c r="C10560" s="2">
        <v>554.8732</v>
      </c>
      <c r="D10560" s="2">
        <f>HYPERLINK("http://mcb-m6.bioreg.kyushu-u.ac.jp/M3/20110421/F51034/1153/1", 44.58)</f>
        <v>44.58</v>
      </c>
      <c r="E10560" s="2">
        <v>30.8</v>
      </c>
      <c r="F10560" s="2">
        <v>2</v>
      </c>
      <c r="G10560" s="2" t="s">
        <v>11</v>
      </c>
    </row>
    <row r="10561" spans="1:9" x14ac:dyDescent="0.2">
      <c r="A10561" s="2" t="s">
        <v>3336</v>
      </c>
      <c r="B10561" s="2" t="s">
        <v>646</v>
      </c>
      <c r="C10561" s="2">
        <v>817.43960000000004</v>
      </c>
      <c r="D10561" s="2">
        <f>HYPERLINK("http://mcb-m6.bioreg.kyushu-u.ac.jp/M3/20110421/F51037/2497/1", 57.79)</f>
        <v>57.79</v>
      </c>
      <c r="E10561" s="2">
        <v>46.09</v>
      </c>
      <c r="F10561" s="2">
        <v>2</v>
      </c>
      <c r="G10561" s="2" t="s">
        <v>11</v>
      </c>
      <c r="H10561" s="2" t="s">
        <v>4904</v>
      </c>
      <c r="I10561" s="2" t="s">
        <v>4918</v>
      </c>
    </row>
    <row r="10562" spans="1:9" x14ac:dyDescent="0.2">
      <c r="A10562" s="2" t="s">
        <v>3336</v>
      </c>
      <c r="B10562" s="2" t="s">
        <v>373</v>
      </c>
      <c r="C10562" s="2">
        <v>1045.4390000000001</v>
      </c>
      <c r="D10562" s="2">
        <f>HYPERLINK("http://mcb-m6.bioreg.kyushu-u.ac.jp/M3/20110421/F51037/835/1", 60.84)</f>
        <v>60.84</v>
      </c>
      <c r="E10562" s="2">
        <v>33.659999999999997</v>
      </c>
      <c r="F10562" s="2">
        <v>1</v>
      </c>
      <c r="G10562" s="2" t="s">
        <v>11</v>
      </c>
    </row>
    <row r="10563" spans="1:9" x14ac:dyDescent="0.2">
      <c r="A10563" s="2" t="s">
        <v>3336</v>
      </c>
      <c r="B10563" s="2" t="s">
        <v>124</v>
      </c>
      <c r="C10563" s="2">
        <v>893.2441</v>
      </c>
      <c r="D10563" s="2">
        <f>HYPERLINK("http://mcb-m6.bioreg.kyushu-u.ac.jp/M3/20110421/F51037/2916/1", 93.1)</f>
        <v>93.1</v>
      </c>
      <c r="E10563" s="2">
        <v>71.34</v>
      </c>
      <c r="F10563" s="2">
        <v>2</v>
      </c>
      <c r="G10563" s="2" t="s">
        <v>11</v>
      </c>
      <c r="I10563" s="2" t="s">
        <v>4898</v>
      </c>
    </row>
    <row r="10564" spans="1:9" x14ac:dyDescent="0.2">
      <c r="A10564" s="2" t="s">
        <v>3336</v>
      </c>
      <c r="B10564" s="2" t="s">
        <v>6607</v>
      </c>
      <c r="C10564" s="2">
        <v>1103.9179999999999</v>
      </c>
      <c r="D10564" s="2">
        <f>HYPERLINK("http://mcb-m6.bioreg.kyushu-u.ac.jp/M3/20110421/F51037/3657/1", 97.09)</f>
        <v>97.09</v>
      </c>
      <c r="E10564" s="2">
        <v>87.52</v>
      </c>
      <c r="F10564" s="2">
        <v>2</v>
      </c>
      <c r="G10564" s="2" t="s">
        <v>11</v>
      </c>
    </row>
    <row r="10565" spans="1:9" x14ac:dyDescent="0.2">
      <c r="A10565" s="2" t="s">
        <v>3336</v>
      </c>
      <c r="B10565" s="2" t="s">
        <v>623</v>
      </c>
      <c r="C10565" s="2">
        <v>1086.021</v>
      </c>
      <c r="D10565" s="2">
        <f>HYPERLINK("http://mcb-m6.bioreg.kyushu-u.ac.jp/M3/20110421/F51037/3606/1", 104.16)</f>
        <v>104.16</v>
      </c>
      <c r="E10565" s="2">
        <v>89.57</v>
      </c>
      <c r="F10565" s="2">
        <v>2</v>
      </c>
      <c r="G10565" s="2" t="s">
        <v>11</v>
      </c>
    </row>
    <row r="10566" spans="1:9" x14ac:dyDescent="0.2">
      <c r="A10566" s="2" t="s">
        <v>3336</v>
      </c>
      <c r="B10566" s="2" t="s">
        <v>124</v>
      </c>
      <c r="C10566" s="2">
        <v>893.23170000000005</v>
      </c>
      <c r="D10566" s="2">
        <f>HYPERLINK("http://mcb-m6.bioreg.kyushu-u.ac.jp/M3/20110421/F51039/2833/1", 108.28)</f>
        <v>108.28</v>
      </c>
      <c r="E10566" s="2">
        <v>86.35</v>
      </c>
      <c r="F10566" s="2">
        <v>2</v>
      </c>
      <c r="G10566" s="2" t="s">
        <v>11</v>
      </c>
      <c r="I10566" s="2" t="s">
        <v>4898</v>
      </c>
    </row>
    <row r="10567" spans="1:9" x14ac:dyDescent="0.2">
      <c r="A10567" s="2" t="s">
        <v>3336</v>
      </c>
      <c r="B10567" s="2" t="s">
        <v>373</v>
      </c>
      <c r="C10567" s="2">
        <v>1045.5889999999999</v>
      </c>
      <c r="D10567" s="2">
        <f>HYPERLINK("http://mcb-m6.bioreg.kyushu-u.ac.jp/M3/20110421/F51047/1099/1", 46.48)</f>
        <v>46.48</v>
      </c>
      <c r="E10567" s="2">
        <v>19.36</v>
      </c>
      <c r="F10567" s="2">
        <v>1</v>
      </c>
      <c r="G10567" s="2" t="s">
        <v>12</v>
      </c>
    </row>
    <row r="10568" spans="1:9" x14ac:dyDescent="0.2">
      <c r="A10568" s="2" t="s">
        <v>3336</v>
      </c>
      <c r="B10568" s="2" t="s">
        <v>263</v>
      </c>
      <c r="C10568" s="2">
        <v>961.505</v>
      </c>
      <c r="D10568" s="2">
        <f>HYPERLINK("http://mcb-m6.bioreg.kyushu-u.ac.jp/M3/20110421/F51047/873/1", 57.93)</f>
        <v>57.93</v>
      </c>
      <c r="E10568" s="2">
        <v>16.13</v>
      </c>
      <c r="F10568" s="2">
        <v>1</v>
      </c>
      <c r="G10568" s="2" t="s">
        <v>12</v>
      </c>
    </row>
    <row r="10569" spans="1:9" x14ac:dyDescent="0.2">
      <c r="A10569" s="2" t="s">
        <v>3336</v>
      </c>
      <c r="B10569" s="2" t="s">
        <v>124</v>
      </c>
      <c r="C10569" s="2">
        <v>893.43520000000001</v>
      </c>
      <c r="D10569" s="2">
        <f>HYPERLINK("http://mcb-m6.bioreg.kyushu-u.ac.jp/M3/20110421/F51047/2786/1", 114.04)</f>
        <v>114.04</v>
      </c>
      <c r="E10569" s="2">
        <v>97.12</v>
      </c>
      <c r="F10569" s="2">
        <v>2</v>
      </c>
      <c r="G10569" s="2" t="s">
        <v>12</v>
      </c>
      <c r="I10569" s="2" t="s">
        <v>4898</v>
      </c>
    </row>
    <row r="10570" spans="1:9" x14ac:dyDescent="0.2">
      <c r="A10570" s="2" t="s">
        <v>3336</v>
      </c>
      <c r="B10570" s="2" t="s">
        <v>124</v>
      </c>
      <c r="C10570" s="2">
        <v>893.22860000000003</v>
      </c>
      <c r="D10570" s="2">
        <f>HYPERLINK("http://mcb-m6.bioreg.kyushu-u.ac.jp/M3/20110427/F51114/2817/1", 35.22)</f>
        <v>35.22</v>
      </c>
      <c r="E10570" s="2">
        <v>21.53</v>
      </c>
      <c r="F10570" s="2">
        <v>2</v>
      </c>
      <c r="G10570" s="2" t="s">
        <v>13</v>
      </c>
      <c r="I10570" s="2" t="s">
        <v>4898</v>
      </c>
    </row>
    <row r="10571" spans="1:9" x14ac:dyDescent="0.2">
      <c r="A10571" s="2" t="s">
        <v>3336</v>
      </c>
      <c r="B10571" s="2" t="s">
        <v>373</v>
      </c>
      <c r="C10571" s="2">
        <v>523.22720000000004</v>
      </c>
      <c r="D10571" s="2">
        <f>HYPERLINK("http://mcb-m6.bioreg.kyushu-u.ac.jp/M3/20110428/F51127/865/1", 36.72)</f>
        <v>36.72</v>
      </c>
      <c r="E10571" s="2">
        <v>14.83</v>
      </c>
      <c r="F10571" s="2">
        <v>2</v>
      </c>
      <c r="G10571" s="2" t="s">
        <v>13</v>
      </c>
    </row>
    <row r="10572" spans="1:9" x14ac:dyDescent="0.2">
      <c r="A10572" s="2" t="s">
        <v>3336</v>
      </c>
      <c r="B10572" s="2" t="s">
        <v>124</v>
      </c>
      <c r="C10572" s="2">
        <v>893.16420000000005</v>
      </c>
      <c r="D10572" s="2">
        <f>HYPERLINK("http://mcb-m6.bioreg.kyushu-u.ac.jp/M3/20110427/F51111/2828/1", 38.4)</f>
        <v>38.4</v>
      </c>
      <c r="E10572" s="2">
        <v>23.8</v>
      </c>
      <c r="F10572" s="2">
        <v>2</v>
      </c>
      <c r="G10572" s="2" t="s">
        <v>13</v>
      </c>
      <c r="I10572" s="2" t="s">
        <v>4898</v>
      </c>
    </row>
    <row r="10573" spans="1:9" x14ac:dyDescent="0.2">
      <c r="A10573" s="2" t="s">
        <v>3336</v>
      </c>
      <c r="B10573" s="2" t="s">
        <v>373</v>
      </c>
      <c r="C10573" s="2">
        <v>1045.306</v>
      </c>
      <c r="D10573" s="2">
        <f>HYPERLINK("http://mcb-m6.bioreg.kyushu-u.ac.jp/M3/20110428/F51132/1026/1", 42.56)</f>
        <v>42.56</v>
      </c>
      <c r="E10573" s="2">
        <v>17.149999999999999</v>
      </c>
      <c r="F10573" s="2">
        <v>1</v>
      </c>
      <c r="G10573" s="2" t="s">
        <v>13</v>
      </c>
    </row>
    <row r="10574" spans="1:9" x14ac:dyDescent="0.2">
      <c r="A10574" s="2" t="s">
        <v>3336</v>
      </c>
      <c r="B10574" s="2" t="s">
        <v>222</v>
      </c>
      <c r="C10574" s="2">
        <v>554.8981</v>
      </c>
      <c r="D10574" s="2">
        <f>HYPERLINK("http://mcb-m6.bioreg.kyushu-u.ac.jp/M3/20110427/F51111/1372/1", 43.81)</f>
        <v>43.81</v>
      </c>
      <c r="E10574" s="2">
        <v>25.37</v>
      </c>
      <c r="F10574" s="2">
        <v>2</v>
      </c>
      <c r="G10574" s="2" t="s">
        <v>13</v>
      </c>
    </row>
    <row r="10575" spans="1:9" x14ac:dyDescent="0.2">
      <c r="A10575" s="2" t="s">
        <v>3336</v>
      </c>
      <c r="B10575" s="2" t="s">
        <v>222</v>
      </c>
      <c r="C10575" s="2">
        <v>554.67319999999995</v>
      </c>
      <c r="D10575" s="2">
        <f>HYPERLINK("http://mcb-m6.bioreg.kyushu-u.ac.jp/M3/20110427/F51112/1299/1", 48.64)</f>
        <v>48.64</v>
      </c>
      <c r="E10575" s="2">
        <v>33.659999999999997</v>
      </c>
      <c r="F10575" s="2">
        <v>2</v>
      </c>
      <c r="G10575" s="2" t="s">
        <v>13</v>
      </c>
    </row>
    <row r="10576" spans="1:9" x14ac:dyDescent="0.2">
      <c r="A10576" s="2" t="s">
        <v>3336</v>
      </c>
      <c r="B10576" s="2" t="s">
        <v>222</v>
      </c>
      <c r="C10576" s="2">
        <v>554.59310000000005</v>
      </c>
      <c r="D10576" s="2">
        <f>HYPERLINK("http://mcb-m6.bioreg.kyushu-u.ac.jp/M3/20110428/F51132/1169/1", 58.16)</f>
        <v>58.16</v>
      </c>
      <c r="E10576" s="2">
        <v>36.409999999999997</v>
      </c>
      <c r="F10576" s="2">
        <v>2</v>
      </c>
      <c r="G10576" s="2" t="s">
        <v>13</v>
      </c>
    </row>
    <row r="10577" spans="1:9" x14ac:dyDescent="0.2">
      <c r="A10577" s="2" t="s">
        <v>3336</v>
      </c>
      <c r="B10577" s="2" t="s">
        <v>124</v>
      </c>
      <c r="C10577" s="2">
        <v>893.70119999999997</v>
      </c>
      <c r="D10577" s="2">
        <f>HYPERLINK("http://mcb-m6.bioreg.kyushu-u.ac.jp/M3/20110427/F51112/2793/1", 59.6)</f>
        <v>59.6</v>
      </c>
      <c r="E10577" s="2">
        <v>47.24</v>
      </c>
      <c r="F10577" s="2">
        <v>2</v>
      </c>
      <c r="G10577" s="2" t="s">
        <v>13</v>
      </c>
      <c r="I10577" s="2" t="s">
        <v>4898</v>
      </c>
    </row>
    <row r="10578" spans="1:9" x14ac:dyDescent="0.2">
      <c r="A10578" s="2" t="s">
        <v>3336</v>
      </c>
      <c r="B10578" s="2" t="s">
        <v>124</v>
      </c>
      <c r="C10578" s="2">
        <v>893.86220000000003</v>
      </c>
      <c r="D10578" s="2">
        <f>HYPERLINK("http://mcb-m6.bioreg.kyushu-u.ac.jp/M3/20110427/F51116/2753/1", 60.34)</f>
        <v>60.34</v>
      </c>
      <c r="E10578" s="2">
        <v>46.24</v>
      </c>
      <c r="F10578" s="2">
        <v>2</v>
      </c>
      <c r="G10578" s="2" t="s">
        <v>13</v>
      </c>
      <c r="I10578" s="2" t="s">
        <v>4898</v>
      </c>
    </row>
    <row r="10579" spans="1:9" x14ac:dyDescent="0.2">
      <c r="A10579" s="2" t="s">
        <v>3336</v>
      </c>
      <c r="B10579" s="2" t="s">
        <v>124</v>
      </c>
      <c r="C10579" s="2">
        <v>893.24570000000006</v>
      </c>
      <c r="D10579" s="2">
        <f>HYPERLINK("http://mcb-m6.bioreg.kyushu-u.ac.jp/M3/20110427/F51113/2610/1", 65.62)</f>
        <v>65.62</v>
      </c>
      <c r="E10579" s="2">
        <v>47.89</v>
      </c>
      <c r="F10579" s="2">
        <v>2</v>
      </c>
      <c r="G10579" s="2" t="s">
        <v>13</v>
      </c>
      <c r="I10579" s="2" t="s">
        <v>4898</v>
      </c>
    </row>
    <row r="10580" spans="1:9" x14ac:dyDescent="0.2">
      <c r="A10580" s="2" t="s">
        <v>3336</v>
      </c>
      <c r="B10580" s="2" t="s">
        <v>124</v>
      </c>
      <c r="C10580" s="2">
        <v>893.08619999999996</v>
      </c>
      <c r="D10580" s="2">
        <f>HYPERLINK("http://mcb-m6.bioreg.kyushu-u.ac.jp/M3/20110428/F51132/2748/1", 71.25)</f>
        <v>71.25</v>
      </c>
      <c r="E10580" s="2">
        <v>41.27</v>
      </c>
      <c r="F10580" s="2">
        <v>2</v>
      </c>
      <c r="G10580" s="2" t="s">
        <v>13</v>
      </c>
      <c r="I10580" s="2" t="s">
        <v>4898</v>
      </c>
    </row>
    <row r="10581" spans="1:9" x14ac:dyDescent="0.2">
      <c r="A10581" s="2" t="s">
        <v>3336</v>
      </c>
      <c r="B10581" s="2" t="s">
        <v>124</v>
      </c>
      <c r="C10581" s="2">
        <v>893.61159999999995</v>
      </c>
      <c r="D10581" s="2">
        <f>HYPERLINK("http://mcb-m6.bioreg.kyushu-u.ac.jp/M3/20110428/F51132/2751/1", 79.59)</f>
        <v>79.59</v>
      </c>
      <c r="E10581" s="2">
        <v>67.87</v>
      </c>
      <c r="F10581" s="2">
        <v>2</v>
      </c>
      <c r="G10581" s="2" t="s">
        <v>13</v>
      </c>
      <c r="I10581" s="2" t="s">
        <v>4898</v>
      </c>
    </row>
    <row r="10582" spans="1:9" x14ac:dyDescent="0.2">
      <c r="A10582" s="2" t="s">
        <v>3336</v>
      </c>
      <c r="B10582" s="2" t="s">
        <v>623</v>
      </c>
      <c r="C10582" s="2">
        <v>1085.473</v>
      </c>
      <c r="D10582" s="2">
        <f>HYPERLINK("http://mcb-m6.bioreg.kyushu-u.ac.jp/M3/20110428/F51132/3242/1", 88.63)</f>
        <v>88.63</v>
      </c>
      <c r="E10582" s="2">
        <v>68.709999999999994</v>
      </c>
      <c r="F10582" s="2">
        <v>2</v>
      </c>
      <c r="G10582" s="2" t="s">
        <v>13</v>
      </c>
    </row>
    <row r="10583" spans="1:9" x14ac:dyDescent="0.2">
      <c r="A10583" s="2" t="s">
        <v>3336</v>
      </c>
      <c r="B10583" s="2" t="s">
        <v>124</v>
      </c>
      <c r="C10583" s="2">
        <v>893.67169999999999</v>
      </c>
      <c r="D10583" s="2">
        <f>HYPERLINK("http://mcb-m6.bioreg.kyushu-u.ac.jp/M3/20110428/F51129/2746/1", 92.71)</f>
        <v>92.71</v>
      </c>
      <c r="E10583" s="2">
        <v>71.260000000000005</v>
      </c>
      <c r="F10583" s="2">
        <v>2</v>
      </c>
      <c r="G10583" s="2" t="s">
        <v>14</v>
      </c>
      <c r="I10583" s="2" t="s">
        <v>4898</v>
      </c>
    </row>
    <row r="10584" spans="1:9" x14ac:dyDescent="0.2">
      <c r="A10584" s="2" t="s">
        <v>3311</v>
      </c>
      <c r="B10584" s="2" t="s">
        <v>6091</v>
      </c>
      <c r="C10584" s="2">
        <v>733.77719999999999</v>
      </c>
      <c r="D10584" s="2">
        <f>HYPERLINK("http://mcb-m6.bioreg.kyushu-u.ac.jp/M3/20110404/F50777/3050/1", 41.87)</f>
        <v>41.87</v>
      </c>
      <c r="E10584" s="2">
        <v>22.15</v>
      </c>
      <c r="F10584" s="2">
        <v>3</v>
      </c>
      <c r="G10584" s="2" t="s">
        <v>9</v>
      </c>
    </row>
    <row r="10585" spans="1:9" x14ac:dyDescent="0.2">
      <c r="A10585" s="2" t="s">
        <v>3311</v>
      </c>
      <c r="B10585" s="2" t="s">
        <v>960</v>
      </c>
      <c r="C10585" s="2">
        <v>464.00009999999997</v>
      </c>
      <c r="D10585" s="2">
        <f>HYPERLINK("http://mcb-m6.bioreg.kyushu-u.ac.jp/M3/20110404/F50777/849/1", 50.84)</f>
        <v>50.84</v>
      </c>
      <c r="E10585" s="2">
        <v>32.950000000000003</v>
      </c>
      <c r="F10585" s="2">
        <v>2</v>
      </c>
      <c r="G10585" s="2" t="s">
        <v>9</v>
      </c>
    </row>
    <row r="10586" spans="1:9" x14ac:dyDescent="0.2">
      <c r="A10586" s="2" t="s">
        <v>3311</v>
      </c>
      <c r="B10586" s="2" t="s">
        <v>1407</v>
      </c>
      <c r="C10586" s="2">
        <v>758.96559999999999</v>
      </c>
      <c r="D10586" s="2">
        <f>HYPERLINK("http://mcb-m6.bioreg.kyushu-u.ac.jp/M3/20110404/F50777/2022/1", 56.08)</f>
        <v>56.08</v>
      </c>
      <c r="E10586" s="2">
        <v>43.67</v>
      </c>
      <c r="F10586" s="2">
        <v>2</v>
      </c>
      <c r="G10586" s="2" t="s">
        <v>9</v>
      </c>
    </row>
    <row r="10587" spans="1:9" x14ac:dyDescent="0.2">
      <c r="A10587" s="2" t="s">
        <v>3311</v>
      </c>
      <c r="B10587" s="2" t="s">
        <v>960</v>
      </c>
      <c r="C10587" s="2">
        <v>463.73259999999999</v>
      </c>
      <c r="D10587" s="2">
        <f>HYPERLINK("http://mcb-m6.bioreg.kyushu-u.ac.jp/M3/20110404/F50756/879/1", 60.65)</f>
        <v>60.65</v>
      </c>
      <c r="E10587" s="2">
        <v>34.75</v>
      </c>
      <c r="F10587" s="2">
        <v>2</v>
      </c>
      <c r="G10587" s="2" t="s">
        <v>9</v>
      </c>
    </row>
    <row r="10588" spans="1:9" x14ac:dyDescent="0.2">
      <c r="A10588" s="2" t="s">
        <v>3311</v>
      </c>
      <c r="B10588" s="2" t="s">
        <v>94</v>
      </c>
      <c r="C10588" s="2">
        <v>744.3152</v>
      </c>
      <c r="D10588" s="2">
        <f>HYPERLINK("http://mcb-m6.bioreg.kyushu-u.ac.jp/M3/20110404/F50777/1949/1", 62.95)</f>
        <v>62.95</v>
      </c>
      <c r="E10588" s="2">
        <v>31.47</v>
      </c>
      <c r="F10588" s="2">
        <v>2</v>
      </c>
      <c r="G10588" s="2" t="s">
        <v>9</v>
      </c>
    </row>
    <row r="10589" spans="1:9" x14ac:dyDescent="0.2">
      <c r="A10589" s="2" t="s">
        <v>3311</v>
      </c>
      <c r="B10589" s="2" t="s">
        <v>383</v>
      </c>
      <c r="C10589" s="2">
        <v>646.2527</v>
      </c>
      <c r="D10589" s="2">
        <f>HYPERLINK("http://mcb-m6.bioreg.kyushu-u.ac.jp/M3/20110404/F50767/1235/1", 66.11)</f>
        <v>66.11</v>
      </c>
      <c r="E10589" s="2">
        <v>51.21</v>
      </c>
      <c r="F10589" s="2">
        <v>2</v>
      </c>
      <c r="G10589" s="2" t="s">
        <v>9</v>
      </c>
    </row>
    <row r="10590" spans="1:9" x14ac:dyDescent="0.2">
      <c r="A10590" s="2" t="s">
        <v>3311</v>
      </c>
      <c r="B10590" s="2" t="s">
        <v>191</v>
      </c>
      <c r="C10590" s="2">
        <v>695.25819999999999</v>
      </c>
      <c r="D10590" s="2">
        <f>HYPERLINK("http://mcb-m6.bioreg.kyushu-u.ac.jp/M3/20110404/F50778/1576/1", 72.17)</f>
        <v>72.17</v>
      </c>
      <c r="E10590" s="2">
        <v>60.02</v>
      </c>
      <c r="F10590" s="2">
        <v>2</v>
      </c>
      <c r="G10590" s="2" t="s">
        <v>9</v>
      </c>
    </row>
    <row r="10591" spans="1:9" x14ac:dyDescent="0.2">
      <c r="A10591" s="2" t="s">
        <v>3311</v>
      </c>
      <c r="B10591" s="2" t="s">
        <v>191</v>
      </c>
      <c r="C10591" s="2">
        <v>694.75869999999998</v>
      </c>
      <c r="D10591" s="2">
        <f>HYPERLINK("http://mcb-m6.bioreg.kyushu-u.ac.jp/M3/20110404/F50756/1712/1", 73.85)</f>
        <v>73.849999999999994</v>
      </c>
      <c r="E10591" s="2">
        <v>58.98</v>
      </c>
      <c r="F10591" s="2">
        <v>2</v>
      </c>
      <c r="G10591" s="2" t="s">
        <v>9</v>
      </c>
    </row>
    <row r="10592" spans="1:9" x14ac:dyDescent="0.2">
      <c r="A10592" s="2" t="s">
        <v>3311</v>
      </c>
      <c r="B10592" s="2" t="s">
        <v>191</v>
      </c>
      <c r="C10592" s="2">
        <v>694.75670000000002</v>
      </c>
      <c r="D10592" s="2">
        <f>HYPERLINK("http://mcb-m6.bioreg.kyushu-u.ac.jp/M3/20110404/F50767/1462/1", 74.16)</f>
        <v>74.16</v>
      </c>
      <c r="E10592" s="2">
        <v>61.64</v>
      </c>
      <c r="F10592" s="2">
        <v>2</v>
      </c>
      <c r="G10592" s="2" t="s">
        <v>9</v>
      </c>
    </row>
    <row r="10593" spans="1:8" x14ac:dyDescent="0.2">
      <c r="A10593" s="2" t="s">
        <v>3311</v>
      </c>
      <c r="B10593" s="2" t="s">
        <v>6091</v>
      </c>
      <c r="C10593" s="2">
        <v>1107.577</v>
      </c>
      <c r="D10593" s="2">
        <f>HYPERLINK("http://mcb-m6.bioreg.kyushu-u.ac.jp/M3/20110404/F50777/3070/1", 85.43)</f>
        <v>85.43</v>
      </c>
      <c r="E10593" s="2">
        <v>77.62</v>
      </c>
      <c r="F10593" s="2">
        <v>2</v>
      </c>
      <c r="G10593" s="2" t="s">
        <v>9</v>
      </c>
      <c r="H10593" s="2" t="s">
        <v>4907</v>
      </c>
    </row>
    <row r="10594" spans="1:8" x14ac:dyDescent="0.2">
      <c r="A10594" s="2" t="s">
        <v>3311</v>
      </c>
      <c r="B10594" s="2" t="s">
        <v>191</v>
      </c>
      <c r="C10594" s="2">
        <v>695.30470000000003</v>
      </c>
      <c r="D10594" s="2">
        <f>HYPERLINK("http://mcb-m6.bioreg.kyushu-u.ac.jp/M3/20110404/F50763/1738/1", 86.44)</f>
        <v>86.44</v>
      </c>
      <c r="E10594" s="2">
        <v>74.150000000000006</v>
      </c>
      <c r="F10594" s="2">
        <v>2</v>
      </c>
      <c r="G10594" s="2" t="s">
        <v>9</v>
      </c>
    </row>
    <row r="10595" spans="1:8" x14ac:dyDescent="0.2">
      <c r="A10595" s="2" t="s">
        <v>3311</v>
      </c>
      <c r="B10595" s="2" t="s">
        <v>191</v>
      </c>
      <c r="C10595" s="2">
        <v>694.78610000000003</v>
      </c>
      <c r="D10595" s="2">
        <f>HYPERLINK("http://mcb-m6.bioreg.kyushu-u.ac.jp/M3/20110404/F50777/1689/1", 100.32)</f>
        <v>100.32</v>
      </c>
      <c r="E10595" s="2">
        <v>80.489999999999995</v>
      </c>
      <c r="F10595" s="2">
        <v>2</v>
      </c>
      <c r="G10595" s="2" t="s">
        <v>9</v>
      </c>
    </row>
    <row r="10596" spans="1:8" x14ac:dyDescent="0.2">
      <c r="A10596" s="2" t="s">
        <v>3311</v>
      </c>
      <c r="B10596" s="2" t="s">
        <v>191</v>
      </c>
      <c r="C10596" s="2">
        <v>1388.5889999999999</v>
      </c>
      <c r="D10596" s="2">
        <f>HYPERLINK("http://mcb-m6.bioreg.kyushu-u.ac.jp/M3/20110404/F50774/1690/1", 43.09)</f>
        <v>43.09</v>
      </c>
      <c r="E10596" s="2">
        <v>27.87</v>
      </c>
      <c r="F10596" s="2">
        <v>1</v>
      </c>
      <c r="G10596" s="2" t="s">
        <v>10</v>
      </c>
    </row>
    <row r="10597" spans="1:8" x14ac:dyDescent="0.2">
      <c r="A10597" s="2" t="s">
        <v>3311</v>
      </c>
      <c r="B10597" s="2" t="s">
        <v>383</v>
      </c>
      <c r="C10597" s="2">
        <v>1291.4929999999999</v>
      </c>
      <c r="D10597" s="2">
        <f>HYPERLINK("http://mcb-m6.bioreg.kyushu-u.ac.jp/M3/20110404/F50774/1497/1", 43.83)</f>
        <v>43.83</v>
      </c>
      <c r="E10597" s="2">
        <v>25.78</v>
      </c>
      <c r="F10597" s="2">
        <v>1</v>
      </c>
      <c r="G10597" s="2" t="s">
        <v>10</v>
      </c>
    </row>
    <row r="10598" spans="1:8" x14ac:dyDescent="0.2">
      <c r="A10598" s="2" t="s">
        <v>3311</v>
      </c>
      <c r="B10598" s="2" t="s">
        <v>960</v>
      </c>
      <c r="C10598" s="2">
        <v>463.76960000000003</v>
      </c>
      <c r="D10598" s="2">
        <f>HYPERLINK("http://mcb-m6.bioreg.kyushu-u.ac.jp/M3/20110404/F50774/889/1", 51.09)</f>
        <v>51.09</v>
      </c>
      <c r="E10598" s="2">
        <v>21.79</v>
      </c>
      <c r="F10598" s="2">
        <v>2</v>
      </c>
      <c r="G10598" s="2" t="s">
        <v>10</v>
      </c>
    </row>
    <row r="10599" spans="1:8" x14ac:dyDescent="0.2">
      <c r="A10599" s="2" t="s">
        <v>3311</v>
      </c>
      <c r="B10599" s="2" t="s">
        <v>960</v>
      </c>
      <c r="C10599" s="2">
        <v>464.22059999999999</v>
      </c>
      <c r="D10599" s="2">
        <f>HYPERLINK("http://mcb-m6.bioreg.kyushu-u.ac.jp/M3/20110404/F50761/865/1", 51.82)</f>
        <v>51.82</v>
      </c>
      <c r="E10599" s="2">
        <v>28.99</v>
      </c>
      <c r="F10599" s="2">
        <v>2</v>
      </c>
      <c r="G10599" s="2" t="s">
        <v>10</v>
      </c>
    </row>
    <row r="10600" spans="1:8" x14ac:dyDescent="0.2">
      <c r="A10600" s="2" t="s">
        <v>3311</v>
      </c>
      <c r="B10600" s="2" t="s">
        <v>960</v>
      </c>
      <c r="C10600" s="2">
        <v>463.71559999999999</v>
      </c>
      <c r="D10600" s="2">
        <f>HYPERLINK("http://mcb-m6.bioreg.kyushu-u.ac.jp/M3/20110404/F50761/862/1", 53.92)</f>
        <v>53.92</v>
      </c>
      <c r="E10600" s="2">
        <v>32.85</v>
      </c>
      <c r="F10600" s="2">
        <v>2</v>
      </c>
      <c r="G10600" s="2" t="s">
        <v>10</v>
      </c>
    </row>
    <row r="10601" spans="1:8" x14ac:dyDescent="0.2">
      <c r="A10601" s="2" t="s">
        <v>3311</v>
      </c>
      <c r="B10601" s="2" t="s">
        <v>94</v>
      </c>
      <c r="C10601" s="2">
        <v>751.84370000000001</v>
      </c>
      <c r="D10601" s="2">
        <f>HYPERLINK("http://mcb-m6.bioreg.kyushu-u.ac.jp/M3/20110404/F50774/1945/1", 55.53)</f>
        <v>55.53</v>
      </c>
      <c r="E10601" s="2">
        <v>41.65</v>
      </c>
      <c r="F10601" s="2">
        <v>2</v>
      </c>
      <c r="G10601" s="2" t="s">
        <v>10</v>
      </c>
      <c r="H10601" s="2" t="s">
        <v>4901</v>
      </c>
    </row>
    <row r="10602" spans="1:8" x14ac:dyDescent="0.2">
      <c r="A10602" s="2" t="s">
        <v>3311</v>
      </c>
      <c r="B10602" s="2" t="s">
        <v>1407</v>
      </c>
      <c r="C10602" s="2">
        <v>759.3116</v>
      </c>
      <c r="D10602" s="2">
        <f>HYPERLINK("http://mcb-m6.bioreg.kyushu-u.ac.jp/M3/20110404/F50774/1976/1", 56.58)</f>
        <v>56.58</v>
      </c>
      <c r="E10602" s="2">
        <v>40.200000000000003</v>
      </c>
      <c r="F10602" s="2">
        <v>2</v>
      </c>
      <c r="G10602" s="2" t="s">
        <v>10</v>
      </c>
    </row>
    <row r="10603" spans="1:8" x14ac:dyDescent="0.2">
      <c r="A10603" s="2" t="s">
        <v>3311</v>
      </c>
      <c r="B10603" s="2" t="s">
        <v>191</v>
      </c>
      <c r="C10603" s="2">
        <v>695.20370000000003</v>
      </c>
      <c r="D10603" s="2">
        <f>HYPERLINK("http://mcb-m6.bioreg.kyushu-u.ac.jp/M3/20110404/F50768/1710/1", 57.82)</f>
        <v>57.82</v>
      </c>
      <c r="E10603" s="2">
        <v>46.82</v>
      </c>
      <c r="F10603" s="2">
        <v>2</v>
      </c>
      <c r="G10603" s="2" t="s">
        <v>10</v>
      </c>
    </row>
    <row r="10604" spans="1:8" x14ac:dyDescent="0.2">
      <c r="A10604" s="2" t="s">
        <v>3311</v>
      </c>
      <c r="B10604" s="2" t="s">
        <v>191</v>
      </c>
      <c r="C10604" s="2">
        <v>695.06820000000005</v>
      </c>
      <c r="D10604" s="2">
        <f>HYPERLINK("http://mcb-m6.bioreg.kyushu-u.ac.jp/M3/20110404/F50769/1823/1", 59.33)</f>
        <v>59.33</v>
      </c>
      <c r="E10604" s="2">
        <v>47.31</v>
      </c>
      <c r="F10604" s="2">
        <v>2</v>
      </c>
      <c r="G10604" s="2" t="s">
        <v>10</v>
      </c>
    </row>
    <row r="10605" spans="1:8" x14ac:dyDescent="0.2">
      <c r="A10605" s="2" t="s">
        <v>3311</v>
      </c>
      <c r="B10605" s="2" t="s">
        <v>383</v>
      </c>
      <c r="C10605" s="2">
        <v>646.34969999999998</v>
      </c>
      <c r="D10605" s="2">
        <f>HYPERLINK("http://mcb-m6.bioreg.kyushu-u.ac.jp/M3/20110404/F50774/1498/1", 74.26)</f>
        <v>74.260000000000005</v>
      </c>
      <c r="E10605" s="2">
        <v>59.48</v>
      </c>
      <c r="F10605" s="2">
        <v>2</v>
      </c>
      <c r="G10605" s="2" t="s">
        <v>10</v>
      </c>
    </row>
    <row r="10606" spans="1:8" x14ac:dyDescent="0.2">
      <c r="A10606" s="2" t="s">
        <v>3311</v>
      </c>
      <c r="B10606" s="2" t="s">
        <v>191</v>
      </c>
      <c r="C10606" s="2">
        <v>695.04769999999996</v>
      </c>
      <c r="D10606" s="2">
        <f>HYPERLINK("http://mcb-m6.bioreg.kyushu-u.ac.jp/M3/20110404/F50774/1691/1", 97.4)</f>
        <v>97.4</v>
      </c>
      <c r="E10606" s="2">
        <v>83.93</v>
      </c>
      <c r="F10606" s="2">
        <v>2</v>
      </c>
      <c r="G10606" s="2" t="s">
        <v>10</v>
      </c>
    </row>
    <row r="10607" spans="1:8" x14ac:dyDescent="0.2">
      <c r="A10607" s="2" t="s">
        <v>3311</v>
      </c>
      <c r="B10607" s="2" t="s">
        <v>6091</v>
      </c>
      <c r="C10607" s="2">
        <v>1100.038</v>
      </c>
      <c r="D10607" s="2">
        <f>HYPERLINK("http://mcb-m6.bioreg.kyushu-u.ac.jp/M3/20110404/F50774/2866/1", 102.72)</f>
        <v>102.72</v>
      </c>
      <c r="E10607" s="2">
        <v>92.2</v>
      </c>
      <c r="F10607" s="2">
        <v>2</v>
      </c>
      <c r="G10607" s="2" t="s">
        <v>10</v>
      </c>
    </row>
    <row r="10608" spans="1:8" x14ac:dyDescent="0.2">
      <c r="A10608" s="2" t="s">
        <v>3311</v>
      </c>
      <c r="B10608" s="2" t="s">
        <v>960</v>
      </c>
      <c r="C10608" s="2">
        <v>463.82859999999999</v>
      </c>
      <c r="D10608" s="2">
        <f>HYPERLINK("http://mcb-m6.bioreg.kyushu-u.ac.jp/M3/20110421/F51039/744/1", 54.89)</f>
        <v>54.89</v>
      </c>
      <c r="E10608" s="2">
        <v>30.92</v>
      </c>
      <c r="F10608" s="2">
        <v>2</v>
      </c>
      <c r="G10608" s="2" t="s">
        <v>11</v>
      </c>
    </row>
    <row r="10609" spans="1:7" x14ac:dyDescent="0.2">
      <c r="A10609" s="2" t="s">
        <v>3311</v>
      </c>
      <c r="B10609" s="2" t="s">
        <v>383</v>
      </c>
      <c r="C10609" s="2">
        <v>646.28560000000004</v>
      </c>
      <c r="D10609" s="2">
        <f>HYPERLINK("http://mcb-m6.bioreg.kyushu-u.ac.jp/M3/20110421/F51039/1572/1", 55.6)</f>
        <v>55.6</v>
      </c>
      <c r="E10609" s="2">
        <v>45.4</v>
      </c>
      <c r="F10609" s="2">
        <v>2</v>
      </c>
      <c r="G10609" s="2" t="s">
        <v>11</v>
      </c>
    </row>
    <row r="10610" spans="1:7" x14ac:dyDescent="0.2">
      <c r="A10610" s="2" t="s">
        <v>3311</v>
      </c>
      <c r="B10610" s="2" t="s">
        <v>191</v>
      </c>
      <c r="C10610" s="2">
        <v>695.29060000000004</v>
      </c>
      <c r="D10610" s="2">
        <f>HYPERLINK("http://mcb-m6.bioreg.kyushu-u.ac.jp/M3/20110421/F51037/1721/1", 64.26)</f>
        <v>64.260000000000005</v>
      </c>
      <c r="E10610" s="2">
        <v>54.01</v>
      </c>
      <c r="F10610" s="2">
        <v>2</v>
      </c>
      <c r="G10610" s="2" t="s">
        <v>11</v>
      </c>
    </row>
    <row r="10611" spans="1:7" x14ac:dyDescent="0.2">
      <c r="A10611" s="2" t="s">
        <v>3311</v>
      </c>
      <c r="B10611" s="2" t="s">
        <v>191</v>
      </c>
      <c r="C10611" s="2">
        <v>695.27170000000001</v>
      </c>
      <c r="D10611" s="2">
        <f>HYPERLINK("http://mcb-m6.bioreg.kyushu-u.ac.jp/M3/20110421/F51039/1822/1", 64.48)</f>
        <v>64.48</v>
      </c>
      <c r="E10611" s="2">
        <v>52.89</v>
      </c>
      <c r="F10611" s="2">
        <v>2</v>
      </c>
      <c r="G10611" s="2" t="s">
        <v>11</v>
      </c>
    </row>
    <row r="10612" spans="1:7" x14ac:dyDescent="0.2">
      <c r="A10612" s="2" t="s">
        <v>3311</v>
      </c>
      <c r="B10612" s="2" t="s">
        <v>960</v>
      </c>
      <c r="C10612" s="2">
        <v>463.7681</v>
      </c>
      <c r="D10612" s="2">
        <f>HYPERLINK("http://mcb-m6.bioreg.kyushu-u.ac.jp/M3/20110421/F51037/545/1", 66.33)</f>
        <v>66.33</v>
      </c>
      <c r="E10612" s="2">
        <v>41.86</v>
      </c>
      <c r="F10612" s="2">
        <v>2</v>
      </c>
      <c r="G10612" s="2" t="s">
        <v>11</v>
      </c>
    </row>
    <row r="10613" spans="1:7" x14ac:dyDescent="0.2">
      <c r="A10613" s="2" t="s">
        <v>3311</v>
      </c>
      <c r="B10613" s="2" t="s">
        <v>191</v>
      </c>
      <c r="C10613" s="2">
        <v>694.76459999999997</v>
      </c>
      <c r="D10613" s="2">
        <f>HYPERLINK("http://mcb-m6.bioreg.kyushu-u.ac.jp/M3/20110421/F51037/1713/1", 79.65)</f>
        <v>79.650000000000006</v>
      </c>
      <c r="E10613" s="2">
        <v>67.400000000000006</v>
      </c>
      <c r="F10613" s="2">
        <v>2</v>
      </c>
      <c r="G10613" s="2" t="s">
        <v>11</v>
      </c>
    </row>
    <row r="10614" spans="1:7" x14ac:dyDescent="0.2">
      <c r="A10614" s="2" t="s">
        <v>3311</v>
      </c>
      <c r="B10614" s="2" t="s">
        <v>960</v>
      </c>
      <c r="C10614" s="2">
        <v>463.92410000000001</v>
      </c>
      <c r="D10614" s="2">
        <f>HYPERLINK("http://mcb-m6.bioreg.kyushu-u.ac.jp/M3/20110421/F51048/879/1", 40.2)</f>
        <v>40.200000000000003</v>
      </c>
      <c r="E10614" s="2">
        <v>22.92</v>
      </c>
      <c r="F10614" s="2">
        <v>2</v>
      </c>
      <c r="G10614" s="2" t="s">
        <v>12</v>
      </c>
    </row>
    <row r="10615" spans="1:7" x14ac:dyDescent="0.2">
      <c r="A10615" s="2" t="s">
        <v>3311</v>
      </c>
      <c r="B10615" s="2" t="s">
        <v>960</v>
      </c>
      <c r="C10615" s="2">
        <v>464.07560000000001</v>
      </c>
      <c r="D10615" s="2">
        <f>HYPERLINK("http://mcb-m6.bioreg.kyushu-u.ac.jp/M3/20110421/F51044/684/1", 52.01)</f>
        <v>52.01</v>
      </c>
      <c r="E10615" s="2">
        <v>32.49</v>
      </c>
      <c r="F10615" s="2">
        <v>2</v>
      </c>
      <c r="G10615" s="2" t="s">
        <v>12</v>
      </c>
    </row>
    <row r="10616" spans="1:7" x14ac:dyDescent="0.2">
      <c r="A10616" s="2" t="s">
        <v>3311</v>
      </c>
      <c r="B10616" s="2" t="s">
        <v>191</v>
      </c>
      <c r="C10616" s="2">
        <v>695.10419999999999</v>
      </c>
      <c r="D10616" s="2">
        <f>HYPERLINK("http://mcb-m6.bioreg.kyushu-u.ac.jp/M3/20110421/F51048/1934/1", 58.93)</f>
        <v>58.93</v>
      </c>
      <c r="E10616" s="2">
        <v>45.98</v>
      </c>
      <c r="F10616" s="2">
        <v>2</v>
      </c>
      <c r="G10616" s="2" t="s">
        <v>12</v>
      </c>
    </row>
    <row r="10617" spans="1:7" x14ac:dyDescent="0.2">
      <c r="A10617" s="2" t="s">
        <v>3311</v>
      </c>
      <c r="B10617" s="2" t="s">
        <v>383</v>
      </c>
      <c r="C10617" s="2">
        <v>646.36869999999999</v>
      </c>
      <c r="D10617" s="2">
        <f>HYPERLINK("http://mcb-m6.bioreg.kyushu-u.ac.jp/M3/20110421/F51047/1617/1", 66.35)</f>
        <v>66.349999999999994</v>
      </c>
      <c r="E10617" s="2">
        <v>45.81</v>
      </c>
      <c r="F10617" s="2">
        <v>2</v>
      </c>
      <c r="G10617" s="2" t="s">
        <v>12</v>
      </c>
    </row>
    <row r="10618" spans="1:7" x14ac:dyDescent="0.2">
      <c r="A10618" s="2" t="s">
        <v>3311</v>
      </c>
      <c r="B10618" s="2" t="s">
        <v>191</v>
      </c>
      <c r="C10618" s="2">
        <v>695.39869999999996</v>
      </c>
      <c r="D10618" s="2">
        <f>HYPERLINK("http://mcb-m6.bioreg.kyushu-u.ac.jp/M3/20110421/F51047/1851/1", 85.76)</f>
        <v>85.76</v>
      </c>
      <c r="E10618" s="2">
        <v>72.150000000000006</v>
      </c>
      <c r="F10618" s="2">
        <v>2</v>
      </c>
      <c r="G10618" s="2" t="s">
        <v>12</v>
      </c>
    </row>
    <row r="10619" spans="1:7" x14ac:dyDescent="0.2">
      <c r="A10619" s="2" t="s">
        <v>3311</v>
      </c>
      <c r="B10619" s="2" t="s">
        <v>191</v>
      </c>
      <c r="C10619" s="2">
        <v>694.88319999999999</v>
      </c>
      <c r="D10619" s="2">
        <f>HYPERLINK("http://mcb-m6.bioreg.kyushu-u.ac.jp/M3/20110421/F51047/1848/1", 95.94)</f>
        <v>95.94</v>
      </c>
      <c r="E10619" s="2">
        <v>73.989999999999995</v>
      </c>
      <c r="F10619" s="2">
        <v>2</v>
      </c>
      <c r="G10619" s="2" t="s">
        <v>12</v>
      </c>
    </row>
    <row r="10620" spans="1:7" x14ac:dyDescent="0.2">
      <c r="A10620" s="2" t="s">
        <v>3311</v>
      </c>
      <c r="B10620" s="2" t="s">
        <v>383</v>
      </c>
      <c r="C10620" s="2">
        <v>646.19209999999998</v>
      </c>
      <c r="D10620" s="2">
        <f>HYPERLINK("http://mcb-m6.bioreg.kyushu-u.ac.jp/M3/20110427/F51114/1549/1", 42.02)</f>
        <v>42.02</v>
      </c>
      <c r="E10620" s="2">
        <v>30.52</v>
      </c>
      <c r="F10620" s="2">
        <v>2</v>
      </c>
      <c r="G10620" s="2" t="s">
        <v>13</v>
      </c>
    </row>
    <row r="10621" spans="1:7" x14ac:dyDescent="0.2">
      <c r="A10621" s="2" t="s">
        <v>3311</v>
      </c>
      <c r="B10621" s="2" t="s">
        <v>191</v>
      </c>
      <c r="C10621" s="2">
        <v>695.09670000000006</v>
      </c>
      <c r="D10621" s="2">
        <f>HYPERLINK("http://mcb-m6.bioreg.kyushu-u.ac.jp/M3/20110427/F51115/1775/1", 46.78)</f>
        <v>46.78</v>
      </c>
      <c r="E10621" s="2">
        <v>30.52</v>
      </c>
      <c r="F10621" s="2">
        <v>2</v>
      </c>
      <c r="G10621" s="2" t="s">
        <v>13</v>
      </c>
    </row>
    <row r="10622" spans="1:7" x14ac:dyDescent="0.2">
      <c r="A10622" s="2" t="s">
        <v>3311</v>
      </c>
      <c r="B10622" s="2" t="s">
        <v>383</v>
      </c>
      <c r="C10622" s="2">
        <v>646.5317</v>
      </c>
      <c r="D10622" s="2">
        <f>HYPERLINK("http://mcb-m6.bioreg.kyushu-u.ac.jp/M3/20110428/F51132/1493/1", 49.7)</f>
        <v>49.7</v>
      </c>
      <c r="E10622" s="2">
        <v>33.31</v>
      </c>
      <c r="F10622" s="2">
        <v>2</v>
      </c>
      <c r="G10622" s="2" t="s">
        <v>13</v>
      </c>
    </row>
    <row r="10623" spans="1:7" x14ac:dyDescent="0.2">
      <c r="A10623" s="2" t="s">
        <v>3311</v>
      </c>
      <c r="B10623" s="2" t="s">
        <v>960</v>
      </c>
      <c r="C10623" s="2">
        <v>464.06959999999998</v>
      </c>
      <c r="D10623" s="2">
        <f>HYPERLINK("http://mcb-m6.bioreg.kyushu-u.ac.jp/M3/20110427/F51114/783/1", 56.65)</f>
        <v>56.65</v>
      </c>
      <c r="E10623" s="2">
        <v>39.01</v>
      </c>
      <c r="F10623" s="2">
        <v>2</v>
      </c>
      <c r="G10623" s="2" t="s">
        <v>13</v>
      </c>
    </row>
    <row r="10624" spans="1:7" x14ac:dyDescent="0.2">
      <c r="A10624" s="2" t="s">
        <v>3311</v>
      </c>
      <c r="B10624" s="2" t="s">
        <v>960</v>
      </c>
      <c r="C10624" s="2">
        <v>464.17059999999998</v>
      </c>
      <c r="D10624" s="2">
        <f>HYPERLINK("http://mcb-m6.bioreg.kyushu-u.ac.jp/M3/20110428/F51127/640/1", 60.77)</f>
        <v>60.77</v>
      </c>
      <c r="E10624" s="2">
        <v>38.24</v>
      </c>
      <c r="F10624" s="2">
        <v>2</v>
      </c>
      <c r="G10624" s="2" t="s">
        <v>13</v>
      </c>
    </row>
    <row r="10625" spans="1:9" x14ac:dyDescent="0.2">
      <c r="A10625" s="2" t="s">
        <v>3311</v>
      </c>
      <c r="B10625" s="2" t="s">
        <v>191</v>
      </c>
      <c r="C10625" s="2">
        <v>695.12819999999999</v>
      </c>
      <c r="D10625" s="2">
        <f>HYPERLINK("http://mcb-m6.bioreg.kyushu-u.ac.jp/M3/20110428/F51127/1624/1", 69.37)</f>
        <v>69.37</v>
      </c>
      <c r="E10625" s="2">
        <v>52.42</v>
      </c>
      <c r="F10625" s="2">
        <v>2</v>
      </c>
      <c r="G10625" s="2" t="s">
        <v>13</v>
      </c>
    </row>
    <row r="10626" spans="1:9" x14ac:dyDescent="0.2">
      <c r="A10626" s="2" t="s">
        <v>3311</v>
      </c>
      <c r="B10626" s="2" t="s">
        <v>191</v>
      </c>
      <c r="C10626" s="2">
        <v>694.98820000000001</v>
      </c>
      <c r="D10626" s="2">
        <f>HYPERLINK("http://mcb-m6.bioreg.kyushu-u.ac.jp/M3/20110428/F51133/1631/1", 71.31)</f>
        <v>71.31</v>
      </c>
      <c r="E10626" s="2">
        <v>59.94</v>
      </c>
      <c r="F10626" s="2">
        <v>2</v>
      </c>
      <c r="G10626" s="2" t="s">
        <v>13</v>
      </c>
    </row>
    <row r="10627" spans="1:9" x14ac:dyDescent="0.2">
      <c r="A10627" s="2" t="s">
        <v>3311</v>
      </c>
      <c r="B10627" s="2" t="s">
        <v>191</v>
      </c>
      <c r="C10627" s="2">
        <v>695.25160000000005</v>
      </c>
      <c r="D10627" s="2">
        <f>HYPERLINK("http://mcb-m6.bioreg.kyushu-u.ac.jp/M3/20110427/F51117/1766/1", 75)</f>
        <v>75</v>
      </c>
      <c r="E10627" s="2">
        <v>61.14</v>
      </c>
      <c r="F10627" s="2">
        <v>2</v>
      </c>
      <c r="G10627" s="2" t="s">
        <v>13</v>
      </c>
    </row>
    <row r="10628" spans="1:9" x14ac:dyDescent="0.2">
      <c r="A10628" s="2" t="s">
        <v>3311</v>
      </c>
      <c r="B10628" s="2" t="s">
        <v>191</v>
      </c>
      <c r="C10628" s="2">
        <v>695.09469999999999</v>
      </c>
      <c r="D10628" s="2">
        <f>HYPERLINK("http://mcb-m6.bioreg.kyushu-u.ac.jp/M3/20110428/F51132/1729/1", 95.67)</f>
        <v>95.67</v>
      </c>
      <c r="E10628" s="2">
        <v>80.62</v>
      </c>
      <c r="F10628" s="2">
        <v>2</v>
      </c>
      <c r="G10628" s="2" t="s">
        <v>13</v>
      </c>
    </row>
    <row r="10629" spans="1:9" x14ac:dyDescent="0.2">
      <c r="A10629" s="2" t="s">
        <v>3311</v>
      </c>
      <c r="B10629" s="2" t="s">
        <v>191</v>
      </c>
      <c r="C10629" s="2">
        <v>694.5607</v>
      </c>
      <c r="D10629" s="2">
        <f>HYPERLINK("http://mcb-m6.bioreg.kyushu-u.ac.jp/M3/20110428/F51132/1725/1", 100.65)</f>
        <v>100.65</v>
      </c>
      <c r="E10629" s="2">
        <v>81.349999999999994</v>
      </c>
      <c r="F10629" s="2">
        <v>2</v>
      </c>
      <c r="G10629" s="2" t="s">
        <v>13</v>
      </c>
    </row>
    <row r="10630" spans="1:9" x14ac:dyDescent="0.2">
      <c r="A10630" s="2" t="s">
        <v>3311</v>
      </c>
      <c r="B10630" s="2" t="s">
        <v>383</v>
      </c>
      <c r="C10630" s="2">
        <v>646.7106</v>
      </c>
      <c r="D10630" s="2">
        <f>HYPERLINK("http://mcb-m6.bioreg.kyushu-u.ac.jp/M3/20110427/F51123/1585/1", 46.95)</f>
        <v>46.95</v>
      </c>
      <c r="E10630" s="2">
        <v>32.479999999999997</v>
      </c>
      <c r="F10630" s="2">
        <v>2</v>
      </c>
      <c r="G10630" s="2" t="s">
        <v>14</v>
      </c>
    </row>
    <row r="10631" spans="1:9" x14ac:dyDescent="0.2">
      <c r="A10631" s="2" t="s">
        <v>3311</v>
      </c>
      <c r="B10631" s="2" t="s">
        <v>960</v>
      </c>
      <c r="C10631" s="2">
        <v>463.75060000000002</v>
      </c>
      <c r="D10631" s="2">
        <f>HYPERLINK("http://mcb-m6.bioreg.kyushu-u.ac.jp/M3/20110427/F51123/899/1", 49.36)</f>
        <v>49.36</v>
      </c>
      <c r="E10631" s="2">
        <v>28.97</v>
      </c>
      <c r="F10631" s="2">
        <v>2</v>
      </c>
      <c r="G10631" s="2" t="s">
        <v>14</v>
      </c>
    </row>
    <row r="10632" spans="1:9" x14ac:dyDescent="0.2">
      <c r="A10632" s="2" t="s">
        <v>3311</v>
      </c>
      <c r="B10632" s="2" t="s">
        <v>191</v>
      </c>
      <c r="C10632" s="2">
        <v>694.58969999999999</v>
      </c>
      <c r="D10632" s="2">
        <f>HYPERLINK("http://mcb-m6.bioreg.kyushu-u.ac.jp/M3/20110428/F51129/1782/1", 60.52)</f>
        <v>60.52</v>
      </c>
      <c r="E10632" s="2">
        <v>44.37</v>
      </c>
      <c r="F10632" s="2">
        <v>2</v>
      </c>
      <c r="G10632" s="2" t="s">
        <v>14</v>
      </c>
    </row>
    <row r="10633" spans="1:9" x14ac:dyDescent="0.2">
      <c r="A10633" s="2" t="s">
        <v>3311</v>
      </c>
      <c r="B10633" s="2" t="s">
        <v>383</v>
      </c>
      <c r="C10633" s="2">
        <v>646.13570000000004</v>
      </c>
      <c r="D10633" s="2">
        <f>HYPERLINK("http://mcb-m6.bioreg.kyushu-u.ac.jp/M3/20110428/F51129/1559/1", 61.87)</f>
        <v>61.87</v>
      </c>
      <c r="E10633" s="2">
        <v>48.43</v>
      </c>
      <c r="F10633" s="2">
        <v>2</v>
      </c>
      <c r="G10633" s="2" t="s">
        <v>14</v>
      </c>
    </row>
    <row r="10634" spans="1:9" x14ac:dyDescent="0.2">
      <c r="A10634" s="2" t="s">
        <v>3311</v>
      </c>
      <c r="B10634" s="2" t="s">
        <v>960</v>
      </c>
      <c r="C10634" s="2">
        <v>464.11610000000002</v>
      </c>
      <c r="D10634" s="2">
        <f>HYPERLINK("http://mcb-m6.bioreg.kyushu-u.ac.jp/M3/20110428/F51129/788/1", 67.6)</f>
        <v>67.599999999999994</v>
      </c>
      <c r="E10634" s="2">
        <v>45.41</v>
      </c>
      <c r="F10634" s="2">
        <v>2</v>
      </c>
      <c r="G10634" s="2" t="s">
        <v>14</v>
      </c>
    </row>
    <row r="10635" spans="1:9" x14ac:dyDescent="0.2">
      <c r="A10635" s="2" t="s">
        <v>3311</v>
      </c>
      <c r="B10635" s="2" t="s">
        <v>191</v>
      </c>
      <c r="C10635" s="2">
        <v>695.26869999999997</v>
      </c>
      <c r="D10635" s="2">
        <f>HYPERLINK("http://mcb-m6.bioreg.kyushu-u.ac.jp/M3/20110428/F51129/1788/1", 81.01)</f>
        <v>81.010000000000005</v>
      </c>
      <c r="E10635" s="2">
        <v>64.64</v>
      </c>
      <c r="F10635" s="2">
        <v>2</v>
      </c>
      <c r="G10635" s="2" t="s">
        <v>14</v>
      </c>
    </row>
    <row r="10636" spans="1:9" x14ac:dyDescent="0.2">
      <c r="A10636" s="2" t="s">
        <v>7570</v>
      </c>
      <c r="B10636" s="2" t="s">
        <v>6008</v>
      </c>
      <c r="C10636" s="2">
        <v>548.47670000000005</v>
      </c>
      <c r="D10636" s="2">
        <f>HYPERLINK("http://mcb-m6.bioreg.kyushu-u.ac.jp/M3/20110404/F50764/1141/1", 38.58)</f>
        <v>38.58</v>
      </c>
      <c r="E10636" s="2">
        <v>20.25</v>
      </c>
      <c r="F10636" s="2">
        <v>2</v>
      </c>
      <c r="G10636" s="2" t="s">
        <v>9</v>
      </c>
    </row>
    <row r="10637" spans="1:9" x14ac:dyDescent="0.2">
      <c r="A10637" s="2" t="s">
        <v>7570</v>
      </c>
      <c r="B10637" s="2" t="s">
        <v>6240</v>
      </c>
      <c r="C10637" s="2">
        <v>734.29219999999998</v>
      </c>
      <c r="D10637" s="2">
        <f>HYPERLINK("http://mcb-m6.bioreg.kyushu-u.ac.jp/M3/20110404/F50764/1861/1", 48.27)</f>
        <v>48.27</v>
      </c>
      <c r="E10637" s="2">
        <v>34.32</v>
      </c>
      <c r="F10637" s="2">
        <v>2</v>
      </c>
      <c r="G10637" s="2" t="s">
        <v>9</v>
      </c>
    </row>
    <row r="10638" spans="1:9" x14ac:dyDescent="0.2">
      <c r="A10638" s="2" t="s">
        <v>7570</v>
      </c>
      <c r="B10638" s="2" t="s">
        <v>6363</v>
      </c>
      <c r="C10638" s="2">
        <v>555.09969999999998</v>
      </c>
      <c r="D10638" s="2">
        <f>HYPERLINK("http://mcb-m6.bioreg.kyushu-u.ac.jp/M3/20110404/F50764/1159/1", 56.52)</f>
        <v>56.52</v>
      </c>
      <c r="E10638" s="2">
        <v>33.44</v>
      </c>
      <c r="F10638" s="2">
        <v>2</v>
      </c>
      <c r="G10638" s="2" t="s">
        <v>9</v>
      </c>
      <c r="I10638" s="2" t="s">
        <v>4923</v>
      </c>
    </row>
    <row r="10639" spans="1:9" x14ac:dyDescent="0.2">
      <c r="A10639" s="2" t="s">
        <v>7906</v>
      </c>
      <c r="B10639" s="2" t="s">
        <v>7069</v>
      </c>
      <c r="C10639" s="2">
        <v>463.98309999999998</v>
      </c>
      <c r="D10639" s="2">
        <f>HYPERLINK("http://mcb-m6.bioreg.kyushu-u.ac.jp/M3/20110421/F51039/747/1", 35.39)</f>
        <v>35.39</v>
      </c>
      <c r="E10639" s="2">
        <v>11.33</v>
      </c>
      <c r="F10639" s="2">
        <v>2</v>
      </c>
      <c r="G10639" s="2" t="s">
        <v>11</v>
      </c>
      <c r="I10639" s="2" t="s">
        <v>4899</v>
      </c>
    </row>
    <row r="10640" spans="1:9" x14ac:dyDescent="0.2">
      <c r="A10640" s="2" t="s">
        <v>8015</v>
      </c>
      <c r="B10640" s="2" t="s">
        <v>7262</v>
      </c>
      <c r="C10640" s="2">
        <v>827.34619999999995</v>
      </c>
      <c r="D10640" s="2">
        <f>HYPERLINK("http://mcb-m6.bioreg.kyushu-u.ac.jp/M3/20110421/F51021/2568/1", 75.53)</f>
        <v>75.53</v>
      </c>
      <c r="E10640" s="2">
        <v>54.86</v>
      </c>
      <c r="F10640" s="2">
        <v>2</v>
      </c>
      <c r="G10640" s="2" t="s">
        <v>12</v>
      </c>
    </row>
    <row r="10641" spans="1:9" x14ac:dyDescent="0.2">
      <c r="A10641" s="2" t="s">
        <v>5880</v>
      </c>
      <c r="B10641" s="2" t="s">
        <v>5594</v>
      </c>
      <c r="C10641" s="2">
        <v>681.33119999999997</v>
      </c>
      <c r="D10641" s="2">
        <f>HYPERLINK("http://mcb-m6.bioreg.kyushu-u.ac.jp/M3/20110421/F51039/1729/1", 59.09)</f>
        <v>59.09</v>
      </c>
      <c r="E10641" s="2">
        <v>39.32</v>
      </c>
      <c r="F10641" s="2">
        <v>2</v>
      </c>
      <c r="G10641" s="2" t="s">
        <v>11</v>
      </c>
    </row>
    <row r="10642" spans="1:9" x14ac:dyDescent="0.2">
      <c r="A10642" s="2" t="s">
        <v>5880</v>
      </c>
      <c r="B10642" s="2" t="s">
        <v>5594</v>
      </c>
      <c r="C10642" s="2">
        <v>681.18370000000004</v>
      </c>
      <c r="D10642" s="2">
        <f>HYPERLINK("http://mcb-m6.bioreg.kyushu-u.ac.jp/M3/20110428/F51132/1633/1", 76.43)</f>
        <v>76.430000000000007</v>
      </c>
      <c r="E10642" s="2">
        <v>60.68</v>
      </c>
      <c r="F10642" s="2">
        <v>2</v>
      </c>
      <c r="G10642" s="2" t="s">
        <v>13</v>
      </c>
    </row>
    <row r="10643" spans="1:9" x14ac:dyDescent="0.2">
      <c r="A10643" s="2" t="s">
        <v>3321</v>
      </c>
      <c r="B10643" s="2" t="s">
        <v>107</v>
      </c>
      <c r="C10643" s="2">
        <v>584.71969999999999</v>
      </c>
      <c r="D10643" s="2">
        <f>HYPERLINK("http://mcb-m6.bioreg.kyushu-u.ac.jp/M3/20110427/F51113/1328/2", 56.32)</f>
        <v>56.32</v>
      </c>
      <c r="E10643" s="2">
        <v>26.79</v>
      </c>
      <c r="F10643" s="2">
        <v>2</v>
      </c>
      <c r="G10643" s="2" t="s">
        <v>13</v>
      </c>
      <c r="I10643" s="2" t="s">
        <v>4892</v>
      </c>
    </row>
    <row r="10644" spans="1:9" x14ac:dyDescent="0.2">
      <c r="A10644" s="2" t="s">
        <v>7790</v>
      </c>
      <c r="B10644" s="2" t="s">
        <v>6693</v>
      </c>
      <c r="C10644" s="2">
        <v>516.32510000000002</v>
      </c>
      <c r="D10644" s="2">
        <f>HYPERLINK("http://mcb-m6.bioreg.kyushu-u.ac.jp/M3/20110404/F50769/1324/1", 36.35)</f>
        <v>36.35</v>
      </c>
      <c r="E10644" s="2">
        <v>11.51</v>
      </c>
      <c r="F10644" s="2">
        <v>2</v>
      </c>
      <c r="G10644" s="2" t="s">
        <v>10</v>
      </c>
      <c r="H10644" s="2" t="s">
        <v>4908</v>
      </c>
    </row>
    <row r="10645" spans="1:9" x14ac:dyDescent="0.2">
      <c r="A10645" s="2" t="s">
        <v>3381</v>
      </c>
      <c r="B10645" s="2" t="s">
        <v>1958</v>
      </c>
      <c r="C10645" s="2">
        <v>699.27470000000005</v>
      </c>
      <c r="D10645" s="2">
        <f>HYPERLINK("http://mcb-m6.bioreg.kyushu-u.ac.jp/M3/20110404/F50768/1731/1", 55.83)</f>
        <v>55.83</v>
      </c>
      <c r="E10645" s="2">
        <v>31.44</v>
      </c>
      <c r="F10645" s="2">
        <v>2</v>
      </c>
      <c r="G10645" s="2" t="s">
        <v>10</v>
      </c>
    </row>
    <row r="10646" spans="1:9" x14ac:dyDescent="0.2">
      <c r="A10646" s="2" t="s">
        <v>3381</v>
      </c>
      <c r="B10646" s="2" t="s">
        <v>173</v>
      </c>
      <c r="C10646" s="2">
        <v>698.31370000000004</v>
      </c>
      <c r="D10646" s="2">
        <f>HYPERLINK("http://mcb-m6.bioreg.kyushu-u.ac.jp/M3/20110404/F50768/1726/1", 61.46)</f>
        <v>61.46</v>
      </c>
      <c r="E10646" s="2">
        <v>33.78</v>
      </c>
      <c r="F10646" s="2">
        <v>2</v>
      </c>
      <c r="G10646" s="2" t="s">
        <v>10</v>
      </c>
    </row>
    <row r="10647" spans="1:9" x14ac:dyDescent="0.2">
      <c r="A10647" s="2" t="s">
        <v>3381</v>
      </c>
      <c r="B10647" s="2" t="s">
        <v>613</v>
      </c>
      <c r="C10647" s="2">
        <v>691.85059999999999</v>
      </c>
      <c r="D10647" s="2">
        <f>HYPERLINK("http://mcb-m6.bioreg.kyushu-u.ac.jp/M3/20110421/F51043/1795/1", 36.24)</f>
        <v>36.24</v>
      </c>
      <c r="E10647" s="2">
        <v>11.6</v>
      </c>
      <c r="F10647" s="2">
        <v>2</v>
      </c>
      <c r="G10647" s="2" t="s">
        <v>12</v>
      </c>
    </row>
    <row r="10648" spans="1:9" x14ac:dyDescent="0.2">
      <c r="A10648" s="2" t="s">
        <v>3381</v>
      </c>
      <c r="B10648" s="2" t="s">
        <v>613</v>
      </c>
      <c r="C10648" s="2">
        <v>692.35469999999998</v>
      </c>
      <c r="D10648" s="2">
        <f>HYPERLINK("http://mcb-m6.bioreg.kyushu-u.ac.jp/M3/20110421/F51045/1960/1", 51.45)</f>
        <v>51.45</v>
      </c>
      <c r="E10648" s="2">
        <v>27.09</v>
      </c>
      <c r="F10648" s="2">
        <v>2</v>
      </c>
      <c r="G10648" s="2" t="s">
        <v>12</v>
      </c>
    </row>
    <row r="10649" spans="1:9" x14ac:dyDescent="0.2">
      <c r="A10649" s="2" t="s">
        <v>3381</v>
      </c>
      <c r="B10649" s="2" t="s">
        <v>1380</v>
      </c>
      <c r="C10649" s="2">
        <v>797.39260000000002</v>
      </c>
      <c r="D10649" s="2">
        <f>HYPERLINK("http://mcb-m6.bioreg.kyushu-u.ac.jp/M3/20110421/F51045/2396/1", 53.1)</f>
        <v>53.1</v>
      </c>
      <c r="E10649" s="2">
        <v>40.03</v>
      </c>
      <c r="F10649" s="2">
        <v>2</v>
      </c>
      <c r="G10649" s="2" t="s">
        <v>12</v>
      </c>
    </row>
    <row r="10650" spans="1:9" x14ac:dyDescent="0.2">
      <c r="A10650" s="2" t="s">
        <v>3381</v>
      </c>
      <c r="B10650" s="2" t="s">
        <v>1958</v>
      </c>
      <c r="C10650" s="2">
        <v>699.65309999999999</v>
      </c>
      <c r="D10650" s="2">
        <f>HYPERLINK("http://mcb-m6.bioreg.kyushu-u.ac.jp/M3/20110421/F51043/1836/1", 54.04)</f>
        <v>54.04</v>
      </c>
      <c r="E10650" s="2">
        <v>38.57</v>
      </c>
      <c r="F10650" s="2">
        <v>2</v>
      </c>
      <c r="G10650" s="2" t="s">
        <v>12</v>
      </c>
    </row>
    <row r="10651" spans="1:9" x14ac:dyDescent="0.2">
      <c r="A10651" s="2" t="s">
        <v>3381</v>
      </c>
      <c r="B10651" s="2" t="s">
        <v>613</v>
      </c>
      <c r="C10651" s="2">
        <v>692.39620000000002</v>
      </c>
      <c r="D10651" s="2">
        <f>HYPERLINK("http://mcb-m6.bioreg.kyushu-u.ac.jp/M3/20110421/F51043/1801/1", 61.61)</f>
        <v>61.61</v>
      </c>
      <c r="E10651" s="2">
        <v>36.409999999999997</v>
      </c>
      <c r="F10651" s="2">
        <v>2</v>
      </c>
      <c r="G10651" s="2" t="s">
        <v>12</v>
      </c>
    </row>
    <row r="10652" spans="1:9" x14ac:dyDescent="0.2">
      <c r="A10652" s="2" t="s">
        <v>4044</v>
      </c>
      <c r="B10652" s="2" t="s">
        <v>1387</v>
      </c>
      <c r="C10652" s="2">
        <v>596.49959999999999</v>
      </c>
      <c r="D10652" s="2">
        <f>HYPERLINK("http://mcb-m6.bioreg.kyushu-u.ac.jp/M3/20110421/F51035/1228/1", 60.48)</f>
        <v>60.48</v>
      </c>
      <c r="E10652" s="2">
        <v>43.76</v>
      </c>
      <c r="F10652" s="2">
        <v>2</v>
      </c>
      <c r="G10652" s="2" t="s">
        <v>11</v>
      </c>
    </row>
    <row r="10653" spans="1:9" x14ac:dyDescent="0.2">
      <c r="A10653" s="2" t="s">
        <v>4044</v>
      </c>
      <c r="B10653" s="2" t="s">
        <v>1387</v>
      </c>
      <c r="C10653" s="2">
        <v>596.34059999999999</v>
      </c>
      <c r="D10653" s="2">
        <f>HYPERLINK("http://mcb-m6.bioreg.kyushu-u.ac.jp/M3/20110421/F51044/1315/1", 46.8)</f>
        <v>46.8</v>
      </c>
      <c r="E10653" s="2">
        <v>28.8</v>
      </c>
      <c r="F10653" s="2">
        <v>2</v>
      </c>
      <c r="G10653" s="2" t="s">
        <v>12</v>
      </c>
    </row>
    <row r="10654" spans="1:9" x14ac:dyDescent="0.2">
      <c r="A10654" s="2" t="s">
        <v>4230</v>
      </c>
      <c r="B10654" s="2" t="s">
        <v>7193</v>
      </c>
      <c r="C10654" s="2">
        <v>572.65309999999999</v>
      </c>
      <c r="D10654" s="2">
        <f>HYPERLINK("http://mcb-m6.bioreg.kyushu-u.ac.jp/M3/20110421/F51021/1173/1", 42)</f>
        <v>42</v>
      </c>
      <c r="E10654" s="2">
        <v>17.52</v>
      </c>
      <c r="F10654" s="2">
        <v>2</v>
      </c>
      <c r="G10654" s="2" t="s">
        <v>12</v>
      </c>
    </row>
    <row r="10655" spans="1:9" x14ac:dyDescent="0.2">
      <c r="A10655" s="2" t="s">
        <v>4230</v>
      </c>
      <c r="B10655" s="2" t="s">
        <v>7228</v>
      </c>
      <c r="C10655" s="2">
        <v>461.54559999999998</v>
      </c>
      <c r="D10655" s="2">
        <f>HYPERLINK("http://mcb-m6.bioreg.kyushu-u.ac.jp/M3/20110421/F51021/673/1", 52.71)</f>
        <v>52.71</v>
      </c>
      <c r="E10655" s="2">
        <v>24.13</v>
      </c>
      <c r="F10655" s="2">
        <v>2</v>
      </c>
      <c r="G10655" s="2" t="s">
        <v>12</v>
      </c>
    </row>
    <row r="10656" spans="1:9" x14ac:dyDescent="0.2">
      <c r="A10656" s="2" t="s">
        <v>4867</v>
      </c>
      <c r="B10656" s="2" t="s">
        <v>3164</v>
      </c>
      <c r="C10656" s="2">
        <v>621.76369999999997</v>
      </c>
      <c r="D10656" s="2">
        <f>HYPERLINK("http://mcb-m6.bioreg.kyushu-u.ac.jp/M3/20110421/F51021/1432/1", 48.04)</f>
        <v>48.04</v>
      </c>
      <c r="E10656" s="2">
        <v>27.44</v>
      </c>
      <c r="F10656" s="2">
        <v>2</v>
      </c>
      <c r="G10656" s="2" t="s">
        <v>12</v>
      </c>
    </row>
    <row r="10657" spans="1:9" x14ac:dyDescent="0.2">
      <c r="A10657" s="2" t="s">
        <v>4187</v>
      </c>
      <c r="B10657" s="2" t="s">
        <v>6085</v>
      </c>
      <c r="C10657" s="2">
        <v>805.94619999999998</v>
      </c>
      <c r="D10657" s="2">
        <f>HYPERLINK("http://mcb-m6.bioreg.kyushu-u.ac.jp/M3/20110404/F50755/2276/1", 41.68)</f>
        <v>41.68</v>
      </c>
      <c r="E10657" s="2">
        <v>21.17</v>
      </c>
      <c r="F10657" s="2">
        <v>2</v>
      </c>
      <c r="G10657" s="2" t="s">
        <v>9</v>
      </c>
      <c r="I10657" s="2" t="s">
        <v>4903</v>
      </c>
    </row>
    <row r="10658" spans="1:9" x14ac:dyDescent="0.2">
      <c r="A10658" s="2" t="s">
        <v>4187</v>
      </c>
      <c r="B10658" s="2" t="s">
        <v>1768</v>
      </c>
      <c r="C10658" s="2">
        <v>916.31500000000005</v>
      </c>
      <c r="D10658" s="2">
        <f>HYPERLINK("http://mcb-m6.bioreg.kyushu-u.ac.jp/M3/20110421/F51024/981/1", 36.72)</f>
        <v>36.72</v>
      </c>
      <c r="E10658" s="2">
        <v>23.03</v>
      </c>
      <c r="F10658" s="2">
        <v>1</v>
      </c>
      <c r="G10658" s="2" t="s">
        <v>12</v>
      </c>
      <c r="I10658" s="2" t="s">
        <v>4903</v>
      </c>
    </row>
    <row r="10659" spans="1:9" x14ac:dyDescent="0.2">
      <c r="A10659" s="2" t="s">
        <v>3301</v>
      </c>
      <c r="B10659" s="2" t="s">
        <v>3170</v>
      </c>
      <c r="C10659" s="2">
        <v>694.40769999999998</v>
      </c>
      <c r="D10659" s="2">
        <f>HYPERLINK("http://mcb-m6.bioreg.kyushu-u.ac.jp/M3/20110404/F50755/1724/1", 94.92)</f>
        <v>94.92</v>
      </c>
      <c r="E10659" s="2">
        <v>54.36</v>
      </c>
      <c r="F10659" s="2">
        <v>2</v>
      </c>
      <c r="G10659" s="2" t="s">
        <v>9</v>
      </c>
    </row>
    <row r="10660" spans="1:9" x14ac:dyDescent="0.2">
      <c r="A10660" s="2" t="s">
        <v>3301</v>
      </c>
      <c r="B10660" s="2" t="s">
        <v>1439</v>
      </c>
      <c r="C10660" s="2">
        <v>862.74659999999994</v>
      </c>
      <c r="D10660" s="2">
        <f>HYPERLINK("http://mcb-m6.bioreg.kyushu-u.ac.jp/M3/20110404/F50755/2485/1", 109.91)</f>
        <v>109.91</v>
      </c>
      <c r="E10660" s="2">
        <v>88.59</v>
      </c>
      <c r="F10660" s="2">
        <v>2</v>
      </c>
      <c r="G10660" s="2" t="s">
        <v>9</v>
      </c>
    </row>
    <row r="10661" spans="1:9" x14ac:dyDescent="0.2">
      <c r="A10661" s="2" t="s">
        <v>3301</v>
      </c>
      <c r="B10661" s="2" t="s">
        <v>6799</v>
      </c>
      <c r="C10661" s="2">
        <v>782.41219999999998</v>
      </c>
      <c r="D10661" s="2">
        <f>HYPERLINK("http://mcb-m6.bioreg.kyushu-u.ac.jp/M3/20110404/F50760/3092/1", 43.98)</f>
        <v>43.98</v>
      </c>
      <c r="E10661" s="2">
        <v>30.13</v>
      </c>
      <c r="F10661" s="2">
        <v>3</v>
      </c>
      <c r="G10661" s="2" t="s">
        <v>10</v>
      </c>
    </row>
    <row r="10662" spans="1:9" x14ac:dyDescent="0.2">
      <c r="A10662" s="2" t="s">
        <v>3301</v>
      </c>
      <c r="B10662" s="2" t="s">
        <v>640</v>
      </c>
      <c r="C10662" s="2">
        <v>671.26369999999997</v>
      </c>
      <c r="D10662" s="2">
        <f>HYPERLINK("http://mcb-m6.bioreg.kyushu-u.ac.jp/M3/20110404/F50760/1524/1", 46.74)</f>
        <v>46.74</v>
      </c>
      <c r="E10662" s="2">
        <v>31.46</v>
      </c>
      <c r="F10662" s="2">
        <v>2</v>
      </c>
      <c r="G10662" s="2" t="s">
        <v>10</v>
      </c>
    </row>
    <row r="10663" spans="1:9" x14ac:dyDescent="0.2">
      <c r="A10663" s="2" t="s">
        <v>3301</v>
      </c>
      <c r="B10663" s="2" t="s">
        <v>1103</v>
      </c>
      <c r="C10663" s="2">
        <v>632.18960000000004</v>
      </c>
      <c r="D10663" s="2">
        <f>HYPERLINK("http://mcb-m6.bioreg.kyushu-u.ac.jp/M3/20110404/F50760/1436/1", 47.5)</f>
        <v>47.5</v>
      </c>
      <c r="E10663" s="2">
        <v>29.12</v>
      </c>
      <c r="F10663" s="2">
        <v>2</v>
      </c>
      <c r="G10663" s="2" t="s">
        <v>10</v>
      </c>
    </row>
    <row r="10664" spans="1:9" x14ac:dyDescent="0.2">
      <c r="A10664" s="2" t="s">
        <v>3301</v>
      </c>
      <c r="B10664" s="2" t="s">
        <v>2778</v>
      </c>
      <c r="C10664" s="2">
        <v>911.32320000000004</v>
      </c>
      <c r="D10664" s="2">
        <f>HYPERLINK("http://mcb-m6.bioreg.kyushu-u.ac.jp/M3/20110404/F50760/2450/1", 58.01)</f>
        <v>58.01</v>
      </c>
      <c r="E10664" s="2">
        <v>45.59</v>
      </c>
      <c r="F10664" s="2">
        <v>2</v>
      </c>
      <c r="G10664" s="2" t="s">
        <v>10</v>
      </c>
      <c r="I10664" s="2" t="s">
        <v>4893</v>
      </c>
    </row>
    <row r="10665" spans="1:9" x14ac:dyDescent="0.2">
      <c r="A10665" s="2" t="s">
        <v>3301</v>
      </c>
      <c r="B10665" s="2" t="s">
        <v>1439</v>
      </c>
      <c r="C10665" s="2">
        <v>862.87019999999995</v>
      </c>
      <c r="D10665" s="2">
        <f>HYPERLINK("http://mcb-m6.bioreg.kyushu-u.ac.jp/M3/20110404/F50760/2260/1", 64.21)</f>
        <v>64.209999999999994</v>
      </c>
      <c r="E10665" s="2">
        <v>41.68</v>
      </c>
      <c r="F10665" s="2">
        <v>2</v>
      </c>
      <c r="G10665" s="2" t="s">
        <v>10</v>
      </c>
    </row>
    <row r="10666" spans="1:9" x14ac:dyDescent="0.2">
      <c r="A10666" s="2" t="s">
        <v>3301</v>
      </c>
      <c r="B10666" s="2" t="s">
        <v>3170</v>
      </c>
      <c r="C10666" s="2">
        <v>694.27509999999995</v>
      </c>
      <c r="D10666" s="2">
        <f>HYPERLINK("http://mcb-m6.bioreg.kyushu-u.ac.jp/M3/20110404/F50760/1619/1", 94.6)</f>
        <v>94.6</v>
      </c>
      <c r="E10666" s="2">
        <v>54.94</v>
      </c>
      <c r="F10666" s="2">
        <v>2</v>
      </c>
      <c r="G10666" s="2" t="s">
        <v>10</v>
      </c>
    </row>
    <row r="10667" spans="1:9" x14ac:dyDescent="0.2">
      <c r="A10667" s="2" t="s">
        <v>3301</v>
      </c>
      <c r="B10667" s="2" t="s">
        <v>1103</v>
      </c>
      <c r="C10667" s="2">
        <v>632.22559999999999</v>
      </c>
      <c r="D10667" s="2">
        <f>HYPERLINK("http://mcb-m6.bioreg.kyushu-u.ac.jp/M3/20110421/F51018/1618/1", 56.04)</f>
        <v>56.04</v>
      </c>
      <c r="E10667" s="2">
        <v>37.19</v>
      </c>
      <c r="F10667" s="2">
        <v>2</v>
      </c>
      <c r="G10667" s="2" t="s">
        <v>11</v>
      </c>
    </row>
    <row r="10668" spans="1:9" x14ac:dyDescent="0.2">
      <c r="A10668" s="2" t="s">
        <v>3301</v>
      </c>
      <c r="B10668" s="2" t="s">
        <v>1103</v>
      </c>
      <c r="C10668" s="2">
        <v>631.7106</v>
      </c>
      <c r="D10668" s="2">
        <f>HYPERLINK("http://mcb-m6.bioreg.kyushu-u.ac.jp/M3/20110421/F51018/1617/1", 71.09)</f>
        <v>71.09</v>
      </c>
      <c r="E10668" s="2">
        <v>53.94</v>
      </c>
      <c r="F10668" s="2">
        <v>2</v>
      </c>
      <c r="G10668" s="2" t="s">
        <v>11</v>
      </c>
    </row>
    <row r="10669" spans="1:9" x14ac:dyDescent="0.2">
      <c r="A10669" s="2" t="s">
        <v>3301</v>
      </c>
      <c r="B10669" s="2" t="s">
        <v>1439</v>
      </c>
      <c r="C10669" s="2">
        <v>862.87660000000005</v>
      </c>
      <c r="D10669" s="2">
        <f>HYPERLINK("http://mcb-m6.bioreg.kyushu-u.ac.jp/M3/20110421/F51018/2598/1", 98.17)</f>
        <v>98.17</v>
      </c>
      <c r="E10669" s="2">
        <v>77.400000000000006</v>
      </c>
      <c r="F10669" s="2">
        <v>2</v>
      </c>
      <c r="G10669" s="2" t="s">
        <v>11</v>
      </c>
    </row>
    <row r="10670" spans="1:9" x14ac:dyDescent="0.2">
      <c r="A10670" s="2" t="s">
        <v>3301</v>
      </c>
      <c r="B10670" s="2" t="s">
        <v>2778</v>
      </c>
      <c r="C10670" s="2">
        <v>911.22720000000004</v>
      </c>
      <c r="D10670" s="2">
        <f>HYPERLINK("http://mcb-m6.bioreg.kyushu-u.ac.jp/M3/20110421/F51024/2786/1", 77.74)</f>
        <v>77.739999999999995</v>
      </c>
      <c r="E10670" s="2">
        <v>63.79</v>
      </c>
      <c r="F10670" s="2">
        <v>2</v>
      </c>
      <c r="G10670" s="2" t="s">
        <v>12</v>
      </c>
      <c r="I10670" s="2" t="s">
        <v>4893</v>
      </c>
    </row>
    <row r="10671" spans="1:9" x14ac:dyDescent="0.2">
      <c r="A10671" s="2" t="s">
        <v>3301</v>
      </c>
      <c r="B10671" s="2" t="s">
        <v>1439</v>
      </c>
      <c r="C10671" s="2">
        <v>862.69269999999995</v>
      </c>
      <c r="D10671" s="2">
        <f>HYPERLINK("http://mcb-m6.bioreg.kyushu-u.ac.jp/M3/20110427/F51113/2489/1", 108.06)</f>
        <v>108.06</v>
      </c>
      <c r="E10671" s="2">
        <v>76.88</v>
      </c>
      <c r="F10671" s="2">
        <v>2</v>
      </c>
      <c r="G10671" s="2" t="s">
        <v>13</v>
      </c>
    </row>
    <row r="10672" spans="1:9" x14ac:dyDescent="0.2">
      <c r="A10672" s="2" t="s">
        <v>3301</v>
      </c>
      <c r="B10672" s="2" t="s">
        <v>1439</v>
      </c>
      <c r="C10672" s="2">
        <v>863.20259999999996</v>
      </c>
      <c r="D10672" s="2">
        <f>HYPERLINK("http://mcb-m6.bioreg.kyushu-u.ac.jp/M3/20110427/F51113/2492/1", 126.17)</f>
        <v>126.17</v>
      </c>
      <c r="E10672" s="2">
        <v>98.9</v>
      </c>
      <c r="F10672" s="2">
        <v>2</v>
      </c>
      <c r="G10672" s="2" t="s">
        <v>13</v>
      </c>
    </row>
    <row r="10673" spans="1:9" x14ac:dyDescent="0.2">
      <c r="A10673" s="2" t="s">
        <v>3301</v>
      </c>
      <c r="B10673" s="2" t="s">
        <v>2778</v>
      </c>
      <c r="C10673" s="2">
        <v>910.63570000000004</v>
      </c>
      <c r="D10673" s="2">
        <f>HYPERLINK("http://mcb-m6.bioreg.kyushu-u.ac.jp/M3/20110427/F51122/2726/1", 76.53)</f>
        <v>76.53</v>
      </c>
      <c r="E10673" s="2">
        <v>46.97</v>
      </c>
      <c r="F10673" s="2">
        <v>2</v>
      </c>
      <c r="G10673" s="2" t="s">
        <v>14</v>
      </c>
      <c r="I10673" s="2" t="s">
        <v>4893</v>
      </c>
    </row>
    <row r="10674" spans="1:9" x14ac:dyDescent="0.2">
      <c r="A10674" s="2" t="s">
        <v>3301</v>
      </c>
      <c r="B10674" s="2" t="s">
        <v>1439</v>
      </c>
      <c r="C10674" s="2">
        <v>862.67909999999995</v>
      </c>
      <c r="D10674" s="2">
        <f>HYPERLINK("http://mcb-m6.bioreg.kyushu-u.ac.jp/M3/20110427/F51122/2591/1", 106.9)</f>
        <v>106.9</v>
      </c>
      <c r="E10674" s="2">
        <v>82.47</v>
      </c>
      <c r="F10674" s="2">
        <v>2</v>
      </c>
      <c r="G10674" s="2" t="s">
        <v>14</v>
      </c>
    </row>
    <row r="10675" spans="1:9" x14ac:dyDescent="0.2">
      <c r="A10675" s="2" t="s">
        <v>7688</v>
      </c>
      <c r="B10675" s="2" t="s">
        <v>6330</v>
      </c>
      <c r="C10675" s="2">
        <v>755.84559999999999</v>
      </c>
      <c r="D10675" s="2">
        <f>HYPERLINK("http://mcb-m6.bioreg.kyushu-u.ac.jp/M3/20110404/F50756/2036/1", 53.54)</f>
        <v>53.54</v>
      </c>
      <c r="E10675" s="2">
        <v>40.159999999999997</v>
      </c>
      <c r="F10675" s="2">
        <v>2</v>
      </c>
      <c r="G10675" s="2" t="s">
        <v>9</v>
      </c>
    </row>
    <row r="10676" spans="1:9" x14ac:dyDescent="0.2">
      <c r="A10676" s="2" t="s">
        <v>3985</v>
      </c>
      <c r="B10676" s="2" t="s">
        <v>1250</v>
      </c>
      <c r="C10676" s="2">
        <v>779.76369999999997</v>
      </c>
      <c r="D10676" s="2">
        <f>HYPERLINK("http://mcb-m6.bioreg.kyushu-u.ac.jp/M3/20110404/F50756/2154/1", 52.98)</f>
        <v>52.98</v>
      </c>
      <c r="E10676" s="2">
        <v>41.2</v>
      </c>
      <c r="F10676" s="2">
        <v>2</v>
      </c>
      <c r="G10676" s="2" t="s">
        <v>9</v>
      </c>
      <c r="I10676" s="2" t="s">
        <v>4923</v>
      </c>
    </row>
    <row r="10677" spans="1:9" x14ac:dyDescent="0.2">
      <c r="A10677" s="2" t="s">
        <v>3985</v>
      </c>
      <c r="B10677" s="2" t="s">
        <v>1250</v>
      </c>
      <c r="C10677" s="2">
        <v>780.29909999999995</v>
      </c>
      <c r="D10677" s="2">
        <f>HYPERLINK("http://mcb-m6.bioreg.kyushu-u.ac.jp/M3/20110404/F50756/2156/1", 65)</f>
        <v>65</v>
      </c>
      <c r="E10677" s="2">
        <v>52.86</v>
      </c>
      <c r="F10677" s="2">
        <v>2</v>
      </c>
      <c r="G10677" s="2" t="s">
        <v>9</v>
      </c>
      <c r="I10677" s="2" t="s">
        <v>4923</v>
      </c>
    </row>
    <row r="10678" spans="1:9" x14ac:dyDescent="0.2">
      <c r="A10678" s="2" t="s">
        <v>3985</v>
      </c>
      <c r="B10678" s="2" t="s">
        <v>1250</v>
      </c>
      <c r="C10678" s="2">
        <v>780.19460000000004</v>
      </c>
      <c r="D10678" s="2">
        <f>HYPERLINK("http://mcb-m6.bioreg.kyushu-u.ac.jp/M3/20110404/F50761/2012/1", 70.58)</f>
        <v>70.58</v>
      </c>
      <c r="E10678" s="2">
        <v>60.64</v>
      </c>
      <c r="F10678" s="2">
        <v>2</v>
      </c>
      <c r="G10678" s="2" t="s">
        <v>10</v>
      </c>
      <c r="I10678" s="2" t="s">
        <v>4923</v>
      </c>
    </row>
    <row r="10679" spans="1:9" x14ac:dyDescent="0.2">
      <c r="A10679" s="2" t="s">
        <v>3985</v>
      </c>
      <c r="B10679" s="2" t="s">
        <v>1250</v>
      </c>
      <c r="C10679" s="2">
        <v>779.66769999999997</v>
      </c>
      <c r="D10679" s="2">
        <f>HYPERLINK("http://mcb-m6.bioreg.kyushu-u.ac.jp/M3/20110427/F51114/2267/1", 50.64)</f>
        <v>50.64</v>
      </c>
      <c r="E10679" s="2">
        <v>38.340000000000003</v>
      </c>
      <c r="F10679" s="2">
        <v>2</v>
      </c>
      <c r="G10679" s="2" t="s">
        <v>13</v>
      </c>
      <c r="I10679" s="2" t="s">
        <v>4923</v>
      </c>
    </row>
    <row r="10680" spans="1:9" x14ac:dyDescent="0.2">
      <c r="A10680" s="2" t="s">
        <v>4011</v>
      </c>
      <c r="B10680" s="2" t="s">
        <v>1306</v>
      </c>
      <c r="C10680" s="2">
        <v>700.27719999999999</v>
      </c>
      <c r="D10680" s="2">
        <f>HYPERLINK("http://mcb-m6.bioreg.kyushu-u.ac.jp/M3/20110404/F50763/1758/1", 78.61)</f>
        <v>78.61</v>
      </c>
      <c r="E10680" s="2">
        <v>33.01</v>
      </c>
      <c r="F10680" s="2">
        <v>2</v>
      </c>
      <c r="G10680" s="2" t="s">
        <v>9</v>
      </c>
    </row>
    <row r="10681" spans="1:9" x14ac:dyDescent="0.2">
      <c r="A10681" s="2" t="s">
        <v>4011</v>
      </c>
      <c r="B10681" s="2" t="s">
        <v>1535</v>
      </c>
      <c r="C10681" s="2">
        <v>879.66610000000003</v>
      </c>
      <c r="D10681" s="2">
        <f>HYPERLINK("http://mcb-m6.bioreg.kyushu-u.ac.jp/M3/20110404/F50763/2395/1", 81.07)</f>
        <v>81.069999999999993</v>
      </c>
      <c r="E10681" s="2">
        <v>60.85</v>
      </c>
      <c r="F10681" s="2">
        <v>2</v>
      </c>
      <c r="G10681" s="2" t="s">
        <v>9</v>
      </c>
    </row>
    <row r="10682" spans="1:9" x14ac:dyDescent="0.2">
      <c r="A10682" s="2" t="s">
        <v>4011</v>
      </c>
      <c r="B10682" s="2" t="s">
        <v>1306</v>
      </c>
      <c r="C10682" s="2">
        <v>700.78520000000003</v>
      </c>
      <c r="D10682" s="2">
        <f>HYPERLINK("http://mcb-m6.bioreg.kyushu-u.ac.jp/M3/20110404/F50763/1762/1", 103.58)</f>
        <v>103.58</v>
      </c>
      <c r="E10682" s="2">
        <v>44.78</v>
      </c>
      <c r="F10682" s="2">
        <v>2</v>
      </c>
      <c r="G10682" s="2" t="s">
        <v>9</v>
      </c>
    </row>
    <row r="10683" spans="1:9" x14ac:dyDescent="0.2">
      <c r="A10683" s="2" t="s">
        <v>4011</v>
      </c>
      <c r="B10683" s="2" t="s">
        <v>1306</v>
      </c>
      <c r="C10683" s="2">
        <v>1399.511</v>
      </c>
      <c r="D10683" s="2">
        <f>HYPERLINK("http://mcb-m6.bioreg.kyushu-u.ac.jp/M3/20110421/F51035/1735/1", 82.37)</f>
        <v>82.37</v>
      </c>
      <c r="E10683" s="2">
        <v>59.35</v>
      </c>
      <c r="F10683" s="2">
        <v>1</v>
      </c>
      <c r="G10683" s="2" t="s">
        <v>11</v>
      </c>
    </row>
    <row r="10684" spans="1:9" x14ac:dyDescent="0.2">
      <c r="A10684" s="2" t="s">
        <v>4011</v>
      </c>
      <c r="B10684" s="2" t="s">
        <v>1535</v>
      </c>
      <c r="C10684" s="2">
        <v>879.45510000000002</v>
      </c>
      <c r="D10684" s="2">
        <f>HYPERLINK("http://mcb-m6.bioreg.kyushu-u.ac.jp/M3/20110421/F51035/2641/1", 86.93)</f>
        <v>86.93</v>
      </c>
      <c r="E10684" s="2">
        <v>67.010000000000005</v>
      </c>
      <c r="F10684" s="2">
        <v>2</v>
      </c>
      <c r="G10684" s="2" t="s">
        <v>11</v>
      </c>
    </row>
    <row r="10685" spans="1:9" x14ac:dyDescent="0.2">
      <c r="A10685" s="2" t="s">
        <v>4011</v>
      </c>
      <c r="B10685" s="2" t="s">
        <v>1535</v>
      </c>
      <c r="C10685" s="2">
        <v>879.75620000000004</v>
      </c>
      <c r="D10685" s="2">
        <f>HYPERLINK("http://mcb-m6.bioreg.kyushu-u.ac.jp/M3/20110428/F51127/2676/1", 80.4)</f>
        <v>80.400000000000006</v>
      </c>
      <c r="E10685" s="2">
        <v>63.02</v>
      </c>
      <c r="F10685" s="2">
        <v>2</v>
      </c>
      <c r="G10685" s="2" t="s">
        <v>13</v>
      </c>
    </row>
    <row r="10686" spans="1:9" x14ac:dyDescent="0.2">
      <c r="A10686" s="2" t="s">
        <v>4011</v>
      </c>
      <c r="B10686" s="2" t="s">
        <v>1306</v>
      </c>
      <c r="C10686" s="2">
        <v>700.65719999999999</v>
      </c>
      <c r="D10686" s="2">
        <f>HYPERLINK("http://mcb-m6.bioreg.kyushu-u.ac.jp/M3/20110428/F51127/1657/1", 88.23)</f>
        <v>88.23</v>
      </c>
      <c r="E10686" s="2">
        <v>53.35</v>
      </c>
      <c r="F10686" s="2">
        <v>2</v>
      </c>
      <c r="G10686" s="2" t="s">
        <v>13</v>
      </c>
    </row>
    <row r="10687" spans="1:9" x14ac:dyDescent="0.2">
      <c r="A10687" s="2" t="s">
        <v>4011</v>
      </c>
      <c r="B10687" s="2" t="s">
        <v>1306</v>
      </c>
      <c r="C10687" s="2">
        <v>700.12869999999998</v>
      </c>
      <c r="D10687" s="2">
        <f>HYPERLINK("http://mcb-m6.bioreg.kyushu-u.ac.jp/M3/20110428/F51127/1655/1", 88.81)</f>
        <v>88.81</v>
      </c>
      <c r="E10687" s="2">
        <v>56.28</v>
      </c>
      <c r="F10687" s="2">
        <v>2</v>
      </c>
      <c r="G10687" s="2" t="s">
        <v>13</v>
      </c>
    </row>
    <row r="10688" spans="1:9" x14ac:dyDescent="0.2">
      <c r="A10688" s="2" t="s">
        <v>4011</v>
      </c>
      <c r="B10688" s="2" t="s">
        <v>1535</v>
      </c>
      <c r="C10688" s="2">
        <v>879.17769999999996</v>
      </c>
      <c r="D10688" s="2">
        <f>HYPERLINK("http://mcb-m6.bioreg.kyushu-u.ac.jp/M3/20110428/F51127/2673/1", 103.01)</f>
        <v>103.01</v>
      </c>
      <c r="E10688" s="2">
        <v>81.56</v>
      </c>
      <c r="F10688" s="2">
        <v>2</v>
      </c>
      <c r="G10688" s="2" t="s">
        <v>13</v>
      </c>
    </row>
    <row r="10689" spans="1:8" x14ac:dyDescent="0.2">
      <c r="A10689" s="2" t="s">
        <v>3441</v>
      </c>
      <c r="B10689" s="2" t="s">
        <v>2061</v>
      </c>
      <c r="C10689" s="2">
        <v>947.42970000000003</v>
      </c>
      <c r="D10689" s="2">
        <f>HYPERLINK("http://mcb-m6.bioreg.kyushu-u.ac.jp/M3/20110404/F50763/2626/1", 52.44)</f>
        <v>52.44</v>
      </c>
      <c r="E10689" s="2">
        <v>34.409999999999997</v>
      </c>
      <c r="F10689" s="2">
        <v>2</v>
      </c>
      <c r="G10689" s="2" t="s">
        <v>9</v>
      </c>
    </row>
    <row r="10690" spans="1:8" x14ac:dyDescent="0.2">
      <c r="A10690" s="2" t="s">
        <v>3441</v>
      </c>
      <c r="B10690" s="2" t="s">
        <v>2061</v>
      </c>
      <c r="C10690" s="2">
        <v>948.03769999999997</v>
      </c>
      <c r="D10690" s="2">
        <f>HYPERLINK("http://mcb-m6.bioreg.kyushu-u.ac.jp/M3/20110404/F50763/2627/1", 69.81)</f>
        <v>69.81</v>
      </c>
      <c r="E10690" s="2">
        <v>49.94</v>
      </c>
      <c r="F10690" s="2">
        <v>2</v>
      </c>
      <c r="G10690" s="2" t="s">
        <v>9</v>
      </c>
    </row>
    <row r="10691" spans="1:8" x14ac:dyDescent="0.2">
      <c r="A10691" s="2" t="s">
        <v>3441</v>
      </c>
      <c r="B10691" s="2" t="s">
        <v>249</v>
      </c>
      <c r="C10691" s="2">
        <v>877.37620000000004</v>
      </c>
      <c r="D10691" s="2">
        <f>HYPERLINK("http://mcb-m6.bioreg.kyushu-u.ac.jp/M3/20110404/F50774/2363/1", 71.85)</f>
        <v>71.849999999999994</v>
      </c>
      <c r="E10691" s="2">
        <v>58.84</v>
      </c>
      <c r="F10691" s="2">
        <v>2</v>
      </c>
      <c r="G10691" s="2" t="s">
        <v>10</v>
      </c>
    </row>
    <row r="10692" spans="1:8" x14ac:dyDescent="0.2">
      <c r="A10692" s="2" t="s">
        <v>3441</v>
      </c>
      <c r="B10692" s="2" t="s">
        <v>6994</v>
      </c>
      <c r="C10692" s="2">
        <v>746.38819999999998</v>
      </c>
      <c r="D10692" s="2">
        <f>HYPERLINK("http://mcb-m6.bioreg.kyushu-u.ac.jp/M3/20110404/F50769/2008/1", 75.4)</f>
        <v>75.400000000000006</v>
      </c>
      <c r="E10692" s="2">
        <v>51.47</v>
      </c>
      <c r="F10692" s="2">
        <v>2</v>
      </c>
      <c r="G10692" s="2" t="s">
        <v>10</v>
      </c>
    </row>
    <row r="10693" spans="1:8" x14ac:dyDescent="0.2">
      <c r="A10693" s="2" t="s">
        <v>3441</v>
      </c>
      <c r="B10693" s="2" t="s">
        <v>249</v>
      </c>
      <c r="C10693" s="2">
        <v>876.91970000000003</v>
      </c>
      <c r="D10693" s="2">
        <f>HYPERLINK("http://mcb-m6.bioreg.kyushu-u.ac.jp/M3/20110404/F50769/2311/1", 88.83)</f>
        <v>88.83</v>
      </c>
      <c r="E10693" s="2">
        <v>76.62</v>
      </c>
      <c r="F10693" s="2">
        <v>2</v>
      </c>
      <c r="G10693" s="2" t="s">
        <v>10</v>
      </c>
    </row>
    <row r="10694" spans="1:8" x14ac:dyDescent="0.2">
      <c r="A10694" s="2" t="s">
        <v>3441</v>
      </c>
      <c r="B10694" s="2" t="s">
        <v>2061</v>
      </c>
      <c r="C10694" s="2">
        <v>947.60360000000003</v>
      </c>
      <c r="D10694" s="2">
        <f>HYPERLINK("http://mcb-m6.bioreg.kyushu-u.ac.jp/M3/20110404/F50769/2508/1", 105.37)</f>
        <v>105.37</v>
      </c>
      <c r="E10694" s="2">
        <v>76.08</v>
      </c>
      <c r="F10694" s="2">
        <v>2</v>
      </c>
      <c r="G10694" s="2" t="s">
        <v>10</v>
      </c>
    </row>
    <row r="10695" spans="1:8" x14ac:dyDescent="0.2">
      <c r="A10695" s="2" t="s">
        <v>3441</v>
      </c>
      <c r="B10695" s="2" t="s">
        <v>2040</v>
      </c>
      <c r="C10695" s="2">
        <v>514.82460000000003</v>
      </c>
      <c r="D10695" s="2">
        <f>HYPERLINK("http://mcb-m6.bioreg.kyushu-u.ac.jp/M3/20110421/F51035/835/1", 65.99)</f>
        <v>65.989999999999995</v>
      </c>
      <c r="E10695" s="2">
        <v>34.9</v>
      </c>
      <c r="F10695" s="2">
        <v>2</v>
      </c>
      <c r="G10695" s="2" t="s">
        <v>11</v>
      </c>
    </row>
    <row r="10696" spans="1:8" x14ac:dyDescent="0.2">
      <c r="A10696" s="2" t="s">
        <v>3441</v>
      </c>
      <c r="B10696" s="2" t="s">
        <v>2061</v>
      </c>
      <c r="C10696" s="2">
        <v>955.8682</v>
      </c>
      <c r="D10696" s="2">
        <f>HYPERLINK("http://mcb-m6.bioreg.kyushu-u.ac.jp/M3/20110421/F51045/2978/1", 36.99)</f>
        <v>36.99</v>
      </c>
      <c r="E10696" s="2">
        <v>25.32</v>
      </c>
      <c r="F10696" s="2">
        <v>2</v>
      </c>
      <c r="G10696" s="2" t="s">
        <v>12</v>
      </c>
      <c r="H10696" s="2" t="s">
        <v>4908</v>
      </c>
    </row>
    <row r="10697" spans="1:8" x14ac:dyDescent="0.2">
      <c r="A10697" s="2" t="s">
        <v>3441</v>
      </c>
      <c r="B10697" s="2" t="s">
        <v>2059</v>
      </c>
      <c r="C10697" s="2">
        <v>746.8202</v>
      </c>
      <c r="D10697" s="2">
        <f>HYPERLINK("http://mcb-m6.bioreg.kyushu-u.ac.jp/M3/20110421/F51043/2105/1", 42.01)</f>
        <v>42.01</v>
      </c>
      <c r="E10697" s="2">
        <v>24.73</v>
      </c>
      <c r="F10697" s="2">
        <v>2</v>
      </c>
      <c r="G10697" s="2" t="s">
        <v>12</v>
      </c>
    </row>
    <row r="10698" spans="1:8" x14ac:dyDescent="0.2">
      <c r="A10698" s="2" t="s">
        <v>3441</v>
      </c>
      <c r="B10698" s="2" t="s">
        <v>2040</v>
      </c>
      <c r="C10698" s="2">
        <v>514.89670000000001</v>
      </c>
      <c r="D10698" s="2">
        <f>HYPERLINK("http://mcb-m6.bioreg.kyushu-u.ac.jp/M3/20110421/F51043/1003/1", 42.97)</f>
        <v>42.97</v>
      </c>
      <c r="E10698" s="2">
        <v>12.81</v>
      </c>
      <c r="F10698" s="2">
        <v>2</v>
      </c>
      <c r="G10698" s="2" t="s">
        <v>12</v>
      </c>
    </row>
    <row r="10699" spans="1:8" x14ac:dyDescent="0.2">
      <c r="A10699" s="2" t="s">
        <v>3441</v>
      </c>
      <c r="B10699" s="2" t="s">
        <v>3194</v>
      </c>
      <c r="C10699" s="2">
        <v>803.11410000000001</v>
      </c>
      <c r="D10699" s="2">
        <f>HYPERLINK("http://mcb-m6.bioreg.kyushu-u.ac.jp/M3/20110428/F51127/2266/1", 69.58)</f>
        <v>69.58</v>
      </c>
      <c r="E10699" s="2">
        <v>59.22</v>
      </c>
      <c r="F10699" s="2">
        <v>2</v>
      </c>
      <c r="G10699" s="2" t="s">
        <v>13</v>
      </c>
    </row>
    <row r="10700" spans="1:8" x14ac:dyDescent="0.2">
      <c r="A10700" s="2" t="s">
        <v>7888</v>
      </c>
      <c r="B10700" s="2" t="s">
        <v>6951</v>
      </c>
      <c r="C10700" s="2">
        <v>629.1567</v>
      </c>
      <c r="D10700" s="2">
        <f>HYPERLINK("http://mcb-m6.bioreg.kyushu-u.ac.jp/M3/20110404/F50781/1452/1", 65.05)</f>
        <v>65.05</v>
      </c>
      <c r="E10700" s="2">
        <v>51.05</v>
      </c>
      <c r="F10700" s="2">
        <v>2</v>
      </c>
      <c r="G10700" s="2" t="s">
        <v>10</v>
      </c>
    </row>
    <row r="10701" spans="1:8" x14ac:dyDescent="0.2">
      <c r="A10701" s="2" t="s">
        <v>4572</v>
      </c>
      <c r="B10701" s="2" t="s">
        <v>2617</v>
      </c>
      <c r="C10701" s="2">
        <v>472.25209999999998</v>
      </c>
      <c r="D10701" s="2">
        <f>HYPERLINK("http://mcb-m6.bioreg.kyushu-u.ac.jp/M3/20110404/F50763/970/1", 38.64)</f>
        <v>38.64</v>
      </c>
      <c r="E10701" s="2">
        <v>23.41</v>
      </c>
      <c r="F10701" s="2">
        <v>2</v>
      </c>
      <c r="G10701" s="2" t="s">
        <v>9</v>
      </c>
    </row>
    <row r="10702" spans="1:8" x14ac:dyDescent="0.2">
      <c r="A10702" s="2" t="s">
        <v>4572</v>
      </c>
      <c r="B10702" s="2" t="s">
        <v>2617</v>
      </c>
      <c r="C10702" s="2">
        <v>472.15910000000002</v>
      </c>
      <c r="D10702" s="2">
        <f>HYPERLINK("http://mcb-m6.bioreg.kyushu-u.ac.jp/M3/20110421/F51045/1001/1", 42.02)</f>
        <v>42.02</v>
      </c>
      <c r="E10702" s="2">
        <v>20.329999999999998</v>
      </c>
      <c r="F10702" s="2">
        <v>2</v>
      </c>
      <c r="G10702" s="2" t="s">
        <v>12</v>
      </c>
    </row>
    <row r="10703" spans="1:8" x14ac:dyDescent="0.2">
      <c r="A10703" s="2" t="s">
        <v>7581</v>
      </c>
      <c r="B10703" s="2" t="s">
        <v>6035</v>
      </c>
      <c r="C10703" s="2">
        <v>746.37070000000006</v>
      </c>
      <c r="D10703" s="2">
        <f>HYPERLINK("http://mcb-m6.bioreg.kyushu-u.ac.jp/M3/20110404/F50751/2140/1", 39.75)</f>
        <v>39.75</v>
      </c>
      <c r="E10703" s="2">
        <v>28.65</v>
      </c>
      <c r="F10703" s="2">
        <v>2</v>
      </c>
      <c r="G10703" s="2" t="s">
        <v>9</v>
      </c>
    </row>
    <row r="10704" spans="1:8" x14ac:dyDescent="0.2">
      <c r="A10704" s="2" t="s">
        <v>7896</v>
      </c>
      <c r="B10704" s="2" t="s">
        <v>6992</v>
      </c>
      <c r="C10704" s="2">
        <v>886.32119999999998</v>
      </c>
      <c r="D10704" s="2">
        <f>HYPERLINK("http://mcb-m6.bioreg.kyushu-u.ac.jp/M3/20110404/F50771/2453/1", 73.87)</f>
        <v>73.87</v>
      </c>
      <c r="E10704" s="2">
        <v>62.53</v>
      </c>
      <c r="F10704" s="2">
        <v>2</v>
      </c>
      <c r="G10704" s="2" t="s">
        <v>10</v>
      </c>
    </row>
    <row r="10705" spans="1:7" x14ac:dyDescent="0.2">
      <c r="A10705" s="2" t="s">
        <v>4111</v>
      </c>
      <c r="B10705" s="2" t="s">
        <v>5063</v>
      </c>
      <c r="C10705" s="2">
        <v>1196.271</v>
      </c>
      <c r="D10705" s="2">
        <f>HYPERLINK("http://mcb-m6.bioreg.kyushu-u.ac.jp/M3/20110404/F50753/1505/1", 54.86)</f>
        <v>54.86</v>
      </c>
      <c r="E10705" s="2">
        <v>30.5</v>
      </c>
      <c r="F10705" s="2">
        <v>1</v>
      </c>
      <c r="G10705" s="2" t="s">
        <v>9</v>
      </c>
    </row>
    <row r="10706" spans="1:7" x14ac:dyDescent="0.2">
      <c r="A10706" s="2" t="s">
        <v>4111</v>
      </c>
      <c r="B10706" s="2" t="s">
        <v>1596</v>
      </c>
      <c r="C10706" s="2">
        <v>1079.8710000000001</v>
      </c>
      <c r="D10706" s="2">
        <f>HYPERLINK("http://mcb-m6.bioreg.kyushu-u.ac.jp/M3/20110404/F50753/3095/1", 105.97)</f>
        <v>105.97</v>
      </c>
      <c r="E10706" s="2">
        <v>97.69</v>
      </c>
      <c r="F10706" s="2">
        <v>2</v>
      </c>
      <c r="G10706" s="2" t="s">
        <v>9</v>
      </c>
    </row>
    <row r="10707" spans="1:7" x14ac:dyDescent="0.2">
      <c r="A10707" s="2" t="s">
        <v>7771</v>
      </c>
      <c r="B10707" s="2" t="s">
        <v>6620</v>
      </c>
      <c r="C10707" s="2">
        <v>1080.327</v>
      </c>
      <c r="D10707" s="2">
        <f>HYPERLINK("http://mcb-m6.bioreg.kyushu-u.ac.jp/M3/20110404/F50753/3096/1", 96.59)</f>
        <v>96.59</v>
      </c>
      <c r="E10707" s="2">
        <v>83.98</v>
      </c>
      <c r="F10707" s="2">
        <v>2</v>
      </c>
      <c r="G10707" s="2" t="s">
        <v>9</v>
      </c>
    </row>
    <row r="10708" spans="1:7" x14ac:dyDescent="0.2">
      <c r="A10708" s="2" t="s">
        <v>3263</v>
      </c>
      <c r="B10708" s="2" t="s">
        <v>1045</v>
      </c>
      <c r="C10708" s="2">
        <v>1080.259</v>
      </c>
      <c r="D10708" s="2">
        <f>HYPERLINK("http://mcb-m6.bioreg.kyushu-u.ac.jp/M3/20110404/F50753/1314/1", 42.31)</f>
        <v>42.31</v>
      </c>
      <c r="E10708" s="2">
        <v>16.55</v>
      </c>
      <c r="F10708" s="2">
        <v>1</v>
      </c>
      <c r="G10708" s="2" t="s">
        <v>9</v>
      </c>
    </row>
    <row r="10709" spans="1:7" x14ac:dyDescent="0.2">
      <c r="A10709" s="2" t="s">
        <v>3263</v>
      </c>
      <c r="B10709" s="2" t="s">
        <v>1493</v>
      </c>
      <c r="C10709" s="2">
        <v>822.1182</v>
      </c>
      <c r="D10709" s="2">
        <f>HYPERLINK("http://mcb-m6.bioreg.kyushu-u.ac.jp/M3/20110404/F50753/2325/1", 84.8)</f>
        <v>84.8</v>
      </c>
      <c r="E10709" s="2">
        <v>66.989999999999995</v>
      </c>
      <c r="F10709" s="2">
        <v>2</v>
      </c>
      <c r="G10709" s="2" t="s">
        <v>9</v>
      </c>
    </row>
    <row r="10710" spans="1:7" x14ac:dyDescent="0.2">
      <c r="A10710" s="2" t="s">
        <v>3263</v>
      </c>
      <c r="B10710" s="2" t="s">
        <v>1045</v>
      </c>
      <c r="C10710" s="2">
        <v>1080.452</v>
      </c>
      <c r="D10710" s="2">
        <f>HYPERLINK("http://mcb-m6.bioreg.kyushu-u.ac.jp/M3/20110404/F50758/1315/1", 46.66)</f>
        <v>46.66</v>
      </c>
      <c r="E10710" s="2">
        <v>25.92</v>
      </c>
      <c r="F10710" s="2">
        <v>1</v>
      </c>
      <c r="G10710" s="2" t="s">
        <v>10</v>
      </c>
    </row>
    <row r="10711" spans="1:7" x14ac:dyDescent="0.2">
      <c r="A10711" s="2" t="s">
        <v>3263</v>
      </c>
      <c r="B10711" s="2" t="s">
        <v>1045</v>
      </c>
      <c r="C10711" s="2">
        <v>540.73270000000002</v>
      </c>
      <c r="D10711" s="2">
        <f>HYPERLINK("http://mcb-m6.bioreg.kyushu-u.ac.jp/M3/20110404/F50758/1316/1", 70.2)</f>
        <v>70.2</v>
      </c>
      <c r="E10711" s="2">
        <v>40.51</v>
      </c>
      <c r="F10711" s="2">
        <v>2</v>
      </c>
      <c r="G10711" s="2" t="s">
        <v>10</v>
      </c>
    </row>
    <row r="10712" spans="1:7" x14ac:dyDescent="0.2">
      <c r="A10712" s="2" t="s">
        <v>3263</v>
      </c>
      <c r="B10712" s="2" t="s">
        <v>1493</v>
      </c>
      <c r="C10712" s="2">
        <v>822.21810000000005</v>
      </c>
      <c r="D10712" s="2">
        <f>HYPERLINK("http://mcb-m6.bioreg.kyushu-u.ac.jp/M3/20110404/F50758/2209/1", 86.91)</f>
        <v>86.91</v>
      </c>
      <c r="E10712" s="2">
        <v>75.09</v>
      </c>
      <c r="F10712" s="2">
        <v>2</v>
      </c>
      <c r="G10712" s="2" t="s">
        <v>10</v>
      </c>
    </row>
    <row r="10713" spans="1:7" x14ac:dyDescent="0.2">
      <c r="A10713" s="2" t="s">
        <v>3263</v>
      </c>
      <c r="B10713" s="2" t="s">
        <v>1045</v>
      </c>
      <c r="C10713" s="2">
        <v>540.78219999999999</v>
      </c>
      <c r="D10713" s="2">
        <f>HYPERLINK("http://mcb-m6.bioreg.kyushu-u.ac.jp/M3/20110421/F51017/1100/1", 69.16)</f>
        <v>69.16</v>
      </c>
      <c r="E10713" s="2">
        <v>32.58</v>
      </c>
      <c r="F10713" s="2">
        <v>2</v>
      </c>
      <c r="G10713" s="2" t="s">
        <v>11</v>
      </c>
    </row>
    <row r="10714" spans="1:7" x14ac:dyDescent="0.2">
      <c r="A10714" s="2" t="s">
        <v>3263</v>
      </c>
      <c r="B10714" s="2" t="s">
        <v>1493</v>
      </c>
      <c r="C10714" s="2">
        <v>822.51459999999997</v>
      </c>
      <c r="D10714" s="2">
        <f>HYPERLINK("http://mcb-m6.bioreg.kyushu-u.ac.jp/M3/20110421/F51023/2416/1", 84.83)</f>
        <v>84.83</v>
      </c>
      <c r="E10714" s="2">
        <v>69.98</v>
      </c>
      <c r="F10714" s="2">
        <v>2</v>
      </c>
      <c r="G10714" s="2" t="s">
        <v>12</v>
      </c>
    </row>
    <row r="10715" spans="1:7" x14ac:dyDescent="0.2">
      <c r="A10715" s="2" t="s">
        <v>3263</v>
      </c>
      <c r="B10715" s="2" t="s">
        <v>1045</v>
      </c>
      <c r="C10715" s="2">
        <v>540.64970000000005</v>
      </c>
      <c r="D10715" s="2">
        <f>HYPERLINK("http://mcb-m6.bioreg.kyushu-u.ac.jp/M3/20110427/F51111/1311/1", 54.98)</f>
        <v>54.98</v>
      </c>
      <c r="E10715" s="2">
        <v>33.380000000000003</v>
      </c>
      <c r="F10715" s="2">
        <v>2</v>
      </c>
      <c r="G10715" s="2" t="s">
        <v>13</v>
      </c>
    </row>
    <row r="10716" spans="1:7" x14ac:dyDescent="0.2">
      <c r="A10716" s="2" t="s">
        <v>3263</v>
      </c>
      <c r="B10716" s="2" t="s">
        <v>1493</v>
      </c>
      <c r="C10716" s="2">
        <v>822.16859999999997</v>
      </c>
      <c r="D10716" s="2">
        <f>HYPERLINK("http://mcb-m6.bioreg.kyushu-u.ac.jp/M3/20110427/F51111/2553/1", 92.27)</f>
        <v>92.27</v>
      </c>
      <c r="E10716" s="2">
        <v>72.08</v>
      </c>
      <c r="F10716" s="2">
        <v>2</v>
      </c>
      <c r="G10716" s="2" t="s">
        <v>13</v>
      </c>
    </row>
    <row r="10717" spans="1:7" x14ac:dyDescent="0.2">
      <c r="A10717" s="2" t="s">
        <v>3263</v>
      </c>
      <c r="B10717" s="2" t="s">
        <v>1493</v>
      </c>
      <c r="C10717" s="2">
        <v>822.70920000000001</v>
      </c>
      <c r="D10717" s="2">
        <f>HYPERLINK("http://mcb-m6.bioreg.kyushu-u.ac.jp/M3/20110427/F51111/2555/1", 96.61)</f>
        <v>96.61</v>
      </c>
      <c r="E10717" s="2">
        <v>75.430000000000007</v>
      </c>
      <c r="F10717" s="2">
        <v>2</v>
      </c>
      <c r="G10717" s="2" t="s">
        <v>13</v>
      </c>
    </row>
    <row r="10718" spans="1:7" x14ac:dyDescent="0.2">
      <c r="A10718" s="2" t="s">
        <v>3263</v>
      </c>
      <c r="B10718" s="2" t="s">
        <v>1493</v>
      </c>
      <c r="C10718" s="2">
        <v>822.17110000000002</v>
      </c>
      <c r="D10718" s="2">
        <f>HYPERLINK("http://mcb-m6.bioreg.kyushu-u.ac.jp/M3/20110427/F51120/2398/1", 75.03)</f>
        <v>75.03</v>
      </c>
      <c r="E10718" s="2">
        <v>62.56</v>
      </c>
      <c r="F10718" s="2">
        <v>2</v>
      </c>
      <c r="G10718" s="2" t="s">
        <v>14</v>
      </c>
    </row>
    <row r="10719" spans="1:7" x14ac:dyDescent="0.2">
      <c r="A10719" s="2" t="s">
        <v>3263</v>
      </c>
      <c r="B10719" s="2" t="s">
        <v>1493</v>
      </c>
      <c r="C10719" s="2">
        <v>822.73720000000003</v>
      </c>
      <c r="D10719" s="2">
        <f>HYPERLINK("http://mcb-m6.bioreg.kyushu-u.ac.jp/M3/20110427/F51120/2401/1", 90.59)</f>
        <v>90.59</v>
      </c>
      <c r="E10719" s="2">
        <v>70.099999999999994</v>
      </c>
      <c r="F10719" s="2">
        <v>2</v>
      </c>
      <c r="G10719" s="2" t="s">
        <v>14</v>
      </c>
    </row>
    <row r="10720" spans="1:7" x14ac:dyDescent="0.2">
      <c r="A10720" s="2" t="s">
        <v>7645</v>
      </c>
      <c r="B10720" s="2" t="s">
        <v>6199</v>
      </c>
      <c r="C10720" s="2">
        <v>849.94799999999998</v>
      </c>
      <c r="D10720" s="2">
        <f>HYPERLINK("http://mcb-m6.bioreg.kyushu-u.ac.jp/M3/20110404/F50766/350/1", 46.24)</f>
        <v>46.24</v>
      </c>
      <c r="E10720" s="2">
        <v>19.350000000000001</v>
      </c>
      <c r="F10720" s="2">
        <v>1</v>
      </c>
      <c r="G10720" s="2" t="s">
        <v>9</v>
      </c>
    </row>
    <row r="10721" spans="1:7" x14ac:dyDescent="0.2">
      <c r="A10721" s="2" t="s">
        <v>7582</v>
      </c>
      <c r="B10721" s="2" t="s">
        <v>6037</v>
      </c>
      <c r="C10721" s="2">
        <v>513.95119999999997</v>
      </c>
      <c r="D10721" s="2">
        <f>HYPERLINK("http://mcb-m6.bioreg.kyushu-u.ac.jp/M3/20110404/F50751/1520/1", 39.89)</f>
        <v>39.89</v>
      </c>
      <c r="E10721" s="2">
        <v>14.73</v>
      </c>
      <c r="F10721" s="2">
        <v>2</v>
      </c>
      <c r="G10721" s="2" t="s">
        <v>9</v>
      </c>
    </row>
    <row r="10722" spans="1:7" x14ac:dyDescent="0.2">
      <c r="A10722" s="2" t="s">
        <v>7582</v>
      </c>
      <c r="B10722" s="2" t="s">
        <v>7165</v>
      </c>
      <c r="C10722" s="2">
        <v>779.84969999999998</v>
      </c>
      <c r="D10722" s="2">
        <f>HYPERLINK("http://mcb-m6.bioreg.kyushu-u.ac.jp/M3/20110421/F51023/2256/1", 36.7)</f>
        <v>36.700000000000003</v>
      </c>
      <c r="E10722" s="2">
        <v>14.51</v>
      </c>
      <c r="F10722" s="2">
        <v>2</v>
      </c>
      <c r="G10722" s="2" t="s">
        <v>12</v>
      </c>
    </row>
    <row r="10723" spans="1:7" x14ac:dyDescent="0.2">
      <c r="A10723" s="2" t="s">
        <v>3972</v>
      </c>
      <c r="B10723" s="2" t="s">
        <v>1216</v>
      </c>
      <c r="C10723" s="2">
        <v>677.75210000000004</v>
      </c>
      <c r="D10723" s="2">
        <f>HYPERLINK("http://mcb-m6.bioreg.kyushu-u.ac.jp/M3/20110404/F50752/1903/1", 44.07)</f>
        <v>44.07</v>
      </c>
      <c r="E10723" s="2">
        <v>29.78</v>
      </c>
      <c r="F10723" s="2">
        <v>2</v>
      </c>
      <c r="G10723" s="2" t="s">
        <v>9</v>
      </c>
    </row>
    <row r="10724" spans="1:7" x14ac:dyDescent="0.2">
      <c r="A10724" s="2" t="s">
        <v>3972</v>
      </c>
      <c r="B10724" s="2" t="s">
        <v>1216</v>
      </c>
      <c r="C10724" s="2">
        <v>677.93769999999995</v>
      </c>
      <c r="D10724" s="2">
        <f>HYPERLINK("http://mcb-m6.bioreg.kyushu-u.ac.jp/M3/20110404/F50751/1888/1", 57.17)</f>
        <v>57.17</v>
      </c>
      <c r="E10724" s="2">
        <v>35.61</v>
      </c>
      <c r="F10724" s="2">
        <v>2</v>
      </c>
      <c r="G10724" s="2" t="s">
        <v>9</v>
      </c>
    </row>
    <row r="10725" spans="1:7" x14ac:dyDescent="0.2">
      <c r="A10725" s="2" t="s">
        <v>3972</v>
      </c>
      <c r="B10725" s="2" t="s">
        <v>1216</v>
      </c>
      <c r="C10725" s="2">
        <v>678.39009999999996</v>
      </c>
      <c r="D10725" s="2">
        <f>HYPERLINK("http://mcb-m6.bioreg.kyushu-u.ac.jp/M3/20110404/F50758/1657/1", 49.66)</f>
        <v>49.66</v>
      </c>
      <c r="E10725" s="2">
        <v>25.66</v>
      </c>
      <c r="F10725" s="2">
        <v>2</v>
      </c>
      <c r="G10725" s="2" t="s">
        <v>10</v>
      </c>
    </row>
    <row r="10726" spans="1:7" x14ac:dyDescent="0.2">
      <c r="A10726" s="2" t="s">
        <v>3972</v>
      </c>
      <c r="B10726" s="2" t="s">
        <v>1216</v>
      </c>
      <c r="C10726" s="2">
        <v>677.77620000000002</v>
      </c>
      <c r="D10726" s="2">
        <f>HYPERLINK("http://mcb-m6.bioreg.kyushu-u.ac.jp/M3/20110404/F50757/1921/1", 65.58)</f>
        <v>65.58</v>
      </c>
      <c r="E10726" s="2">
        <v>38.26</v>
      </c>
      <c r="F10726" s="2">
        <v>2</v>
      </c>
      <c r="G10726" s="2" t="s">
        <v>10</v>
      </c>
    </row>
    <row r="10727" spans="1:7" x14ac:dyDescent="0.2">
      <c r="A10727" s="2" t="s">
        <v>3972</v>
      </c>
      <c r="B10727" s="2" t="s">
        <v>1216</v>
      </c>
      <c r="C10727" s="2">
        <v>677.71310000000005</v>
      </c>
      <c r="D10727" s="2">
        <f>HYPERLINK("http://mcb-m6.bioreg.kyushu-u.ac.jp/M3/20110421/F51015/1830/1", 60.95)</f>
        <v>60.95</v>
      </c>
      <c r="E10727" s="2">
        <v>40.99</v>
      </c>
      <c r="F10727" s="2">
        <v>2</v>
      </c>
      <c r="G10727" s="2" t="s">
        <v>11</v>
      </c>
    </row>
    <row r="10728" spans="1:7" x14ac:dyDescent="0.2">
      <c r="A10728" s="2" t="s">
        <v>3972</v>
      </c>
      <c r="B10728" s="2" t="s">
        <v>1216</v>
      </c>
      <c r="C10728" s="2">
        <v>678.00369999999998</v>
      </c>
      <c r="D10728" s="2">
        <f>HYPERLINK("http://mcb-m6.bioreg.kyushu-u.ac.jp/M3/20110421/F51014/1825/1", 63.8)</f>
        <v>63.8</v>
      </c>
      <c r="E10728" s="2">
        <v>39.869999999999997</v>
      </c>
      <c r="F10728" s="2">
        <v>2</v>
      </c>
      <c r="G10728" s="2" t="s">
        <v>11</v>
      </c>
    </row>
    <row r="10729" spans="1:7" x14ac:dyDescent="0.2">
      <c r="A10729" s="2" t="s">
        <v>3972</v>
      </c>
      <c r="B10729" s="2" t="s">
        <v>1216</v>
      </c>
      <c r="C10729" s="2">
        <v>677.46720000000005</v>
      </c>
      <c r="D10729" s="2">
        <f>HYPERLINK("http://mcb-m6.bioreg.kyushu-u.ac.jp/M3/20110421/F51014/1822/1", 74.38)</f>
        <v>74.38</v>
      </c>
      <c r="E10729" s="2">
        <v>48.97</v>
      </c>
      <c r="F10729" s="2">
        <v>2</v>
      </c>
      <c r="G10729" s="2" t="s">
        <v>11</v>
      </c>
    </row>
    <row r="10730" spans="1:7" x14ac:dyDescent="0.2">
      <c r="A10730" s="2" t="s">
        <v>3972</v>
      </c>
      <c r="B10730" s="2" t="s">
        <v>1216</v>
      </c>
      <c r="C10730" s="2">
        <v>1354.423</v>
      </c>
      <c r="D10730" s="2">
        <f>HYPERLINK("http://mcb-m6.bioreg.kyushu-u.ac.jp/M3/20110421/F51021/1675/1", 38.8)</f>
        <v>38.799999999999997</v>
      </c>
      <c r="E10730" s="2">
        <v>23.38</v>
      </c>
      <c r="F10730" s="2">
        <v>1</v>
      </c>
      <c r="G10730" s="2" t="s">
        <v>12</v>
      </c>
    </row>
    <row r="10731" spans="1:7" x14ac:dyDescent="0.2">
      <c r="A10731" s="2" t="s">
        <v>3972</v>
      </c>
      <c r="B10731" s="2" t="s">
        <v>1216</v>
      </c>
      <c r="C10731" s="2">
        <v>678.22270000000003</v>
      </c>
      <c r="D10731" s="2">
        <f>HYPERLINK("http://mcb-m6.bioreg.kyushu-u.ac.jp/M3/20110421/F51045/1876/1", 49.62)</f>
        <v>49.62</v>
      </c>
      <c r="E10731" s="2">
        <v>22.9</v>
      </c>
      <c r="F10731" s="2">
        <v>2</v>
      </c>
      <c r="G10731" s="2" t="s">
        <v>12</v>
      </c>
    </row>
    <row r="10732" spans="1:7" x14ac:dyDescent="0.2">
      <c r="A10732" s="2" t="s">
        <v>3972</v>
      </c>
      <c r="B10732" s="2" t="s">
        <v>1216</v>
      </c>
      <c r="C10732" s="2">
        <v>678.25319999999999</v>
      </c>
      <c r="D10732" s="2">
        <f>HYPERLINK("http://mcb-m6.bioreg.kyushu-u.ac.jp/M3/20110421/F51021/1681/1", 51.87)</f>
        <v>51.87</v>
      </c>
      <c r="E10732" s="2">
        <v>32.47</v>
      </c>
      <c r="F10732" s="2">
        <v>2</v>
      </c>
      <c r="G10732" s="2" t="s">
        <v>12</v>
      </c>
    </row>
    <row r="10733" spans="1:7" x14ac:dyDescent="0.2">
      <c r="A10733" s="2" t="s">
        <v>3972</v>
      </c>
      <c r="B10733" s="2" t="s">
        <v>1216</v>
      </c>
      <c r="C10733" s="2">
        <v>677.94920000000002</v>
      </c>
      <c r="D10733" s="2">
        <f>HYPERLINK("http://mcb-m6.bioreg.kyushu-u.ac.jp/M3/20110421/F51043/1699/1", 52.84)</f>
        <v>52.84</v>
      </c>
      <c r="E10733" s="2">
        <v>22.8</v>
      </c>
      <c r="F10733" s="2">
        <v>2</v>
      </c>
      <c r="G10733" s="2" t="s">
        <v>12</v>
      </c>
    </row>
    <row r="10734" spans="1:7" x14ac:dyDescent="0.2">
      <c r="A10734" s="2" t="s">
        <v>3972</v>
      </c>
      <c r="B10734" s="2" t="s">
        <v>1216</v>
      </c>
      <c r="C10734" s="2">
        <v>677.96810000000005</v>
      </c>
      <c r="D10734" s="2">
        <f>HYPERLINK("http://mcb-m6.bioreg.kyushu-u.ac.jp/M3/20110421/F51047/1739/1", 54.62)</f>
        <v>54.62</v>
      </c>
      <c r="E10734" s="2">
        <v>34.729999999999997</v>
      </c>
      <c r="F10734" s="2">
        <v>2</v>
      </c>
      <c r="G10734" s="2" t="s">
        <v>12</v>
      </c>
    </row>
    <row r="10735" spans="1:7" x14ac:dyDescent="0.2">
      <c r="A10735" s="2" t="s">
        <v>3972</v>
      </c>
      <c r="B10735" s="2" t="s">
        <v>1216</v>
      </c>
      <c r="C10735" s="2">
        <v>677.96720000000005</v>
      </c>
      <c r="D10735" s="2">
        <f>HYPERLINK("http://mcb-m6.bioreg.kyushu-u.ac.jp/M3/20110421/F51048/1816/1", 56.25)</f>
        <v>56.25</v>
      </c>
      <c r="E10735" s="2">
        <v>32.409999999999997</v>
      </c>
      <c r="F10735" s="2">
        <v>2</v>
      </c>
      <c r="G10735" s="2" t="s">
        <v>12</v>
      </c>
    </row>
    <row r="10736" spans="1:7" x14ac:dyDescent="0.2">
      <c r="A10736" s="2" t="s">
        <v>3972</v>
      </c>
      <c r="B10736" s="2" t="s">
        <v>1216</v>
      </c>
      <c r="C10736" s="2">
        <v>678.1241</v>
      </c>
      <c r="D10736" s="2">
        <f>HYPERLINK("http://mcb-m6.bioreg.kyushu-u.ac.jp/M3/20110421/F51024/1839/1", 57.47)</f>
        <v>57.47</v>
      </c>
      <c r="E10736" s="2">
        <v>37.01</v>
      </c>
      <c r="F10736" s="2">
        <v>2</v>
      </c>
      <c r="G10736" s="2" t="s">
        <v>12</v>
      </c>
    </row>
    <row r="10737" spans="1:9" x14ac:dyDescent="0.2">
      <c r="A10737" s="2" t="s">
        <v>3972</v>
      </c>
      <c r="B10737" s="2" t="s">
        <v>1216</v>
      </c>
      <c r="C10737" s="2">
        <v>677.69460000000004</v>
      </c>
      <c r="D10737" s="2">
        <f>HYPERLINK("http://mcb-m6.bioreg.kyushu-u.ac.jp/M3/20110421/F51021/1674/1", 66.25)</f>
        <v>66.25</v>
      </c>
      <c r="E10737" s="2">
        <v>43.25</v>
      </c>
      <c r="F10737" s="2">
        <v>2</v>
      </c>
      <c r="G10737" s="2" t="s">
        <v>12</v>
      </c>
    </row>
    <row r="10738" spans="1:9" x14ac:dyDescent="0.2">
      <c r="A10738" s="2" t="s">
        <v>3972</v>
      </c>
      <c r="B10738" s="2" t="s">
        <v>1216</v>
      </c>
      <c r="C10738" s="2">
        <v>677.81209999999999</v>
      </c>
      <c r="D10738" s="2">
        <f>HYPERLINK("http://mcb-m6.bioreg.kyushu-u.ac.jp/M3/20110421/F51023/1804/1", 67.43)</f>
        <v>67.430000000000007</v>
      </c>
      <c r="E10738" s="2">
        <v>39.9</v>
      </c>
      <c r="F10738" s="2">
        <v>2</v>
      </c>
      <c r="G10738" s="2" t="s">
        <v>12</v>
      </c>
    </row>
    <row r="10739" spans="1:9" x14ac:dyDescent="0.2">
      <c r="A10739" s="2" t="s">
        <v>3972</v>
      </c>
      <c r="B10739" s="2" t="s">
        <v>1216</v>
      </c>
      <c r="C10739" s="2">
        <v>677.72059999999999</v>
      </c>
      <c r="D10739" s="2">
        <f>HYPERLINK("http://mcb-m6.bioreg.kyushu-u.ac.jp/M3/20110421/F51022/1891/1", 68.05)</f>
        <v>68.05</v>
      </c>
      <c r="E10739" s="2">
        <v>40.770000000000003</v>
      </c>
      <c r="F10739" s="2">
        <v>2</v>
      </c>
      <c r="G10739" s="2" t="s">
        <v>12</v>
      </c>
    </row>
    <row r="10740" spans="1:9" x14ac:dyDescent="0.2">
      <c r="A10740" s="2" t="s">
        <v>3972</v>
      </c>
      <c r="B10740" s="2" t="s">
        <v>1216</v>
      </c>
      <c r="C10740" s="2">
        <v>677.88620000000003</v>
      </c>
      <c r="D10740" s="2">
        <f>HYPERLINK("http://mcb-m6.bioreg.kyushu-u.ac.jp/M3/20110427/F51108/1782/1", 54.1)</f>
        <v>54.1</v>
      </c>
      <c r="E10740" s="2">
        <v>30.48</v>
      </c>
      <c r="F10740" s="2">
        <v>2</v>
      </c>
      <c r="G10740" s="2" t="s">
        <v>13</v>
      </c>
    </row>
    <row r="10741" spans="1:9" x14ac:dyDescent="0.2">
      <c r="A10741" s="2" t="s">
        <v>3972</v>
      </c>
      <c r="B10741" s="2" t="s">
        <v>1216</v>
      </c>
      <c r="C10741" s="2">
        <v>678.08810000000005</v>
      </c>
      <c r="D10741" s="2">
        <f>HYPERLINK("http://mcb-m6.bioreg.kyushu-u.ac.jp/M3/20110427/F51109/1886/1", 55.88)</f>
        <v>55.88</v>
      </c>
      <c r="E10741" s="2">
        <v>33.799999999999997</v>
      </c>
      <c r="F10741" s="2">
        <v>2</v>
      </c>
      <c r="G10741" s="2" t="s">
        <v>13</v>
      </c>
    </row>
    <row r="10742" spans="1:9" x14ac:dyDescent="0.2">
      <c r="A10742" s="2" t="s">
        <v>3972</v>
      </c>
      <c r="B10742" s="2" t="s">
        <v>1216</v>
      </c>
      <c r="C10742" s="2">
        <v>677.61869999999999</v>
      </c>
      <c r="D10742" s="2">
        <f>HYPERLINK("http://mcb-m6.bioreg.kyushu-u.ac.jp/M3/20110427/F51125/1802/1", 43.01)</f>
        <v>43.01</v>
      </c>
      <c r="E10742" s="2">
        <v>12.24</v>
      </c>
      <c r="F10742" s="2">
        <v>2</v>
      </c>
      <c r="G10742" s="2" t="s">
        <v>14</v>
      </c>
    </row>
    <row r="10743" spans="1:9" x14ac:dyDescent="0.2">
      <c r="A10743" s="2" t="s">
        <v>3972</v>
      </c>
      <c r="B10743" s="2" t="s">
        <v>1216</v>
      </c>
      <c r="C10743" s="2">
        <v>678.22810000000004</v>
      </c>
      <c r="D10743" s="2">
        <f>HYPERLINK("http://mcb-m6.bioreg.kyushu-u.ac.jp/M3/20110428/F51134/1760/1", 53.91)</f>
        <v>53.91</v>
      </c>
      <c r="E10743" s="2">
        <v>27.27</v>
      </c>
      <c r="F10743" s="2">
        <v>2</v>
      </c>
      <c r="G10743" s="2" t="s">
        <v>14</v>
      </c>
    </row>
    <row r="10744" spans="1:9" x14ac:dyDescent="0.2">
      <c r="A10744" s="2" t="s">
        <v>3972</v>
      </c>
      <c r="B10744" s="2" t="s">
        <v>1216</v>
      </c>
      <c r="C10744" s="2">
        <v>678.15219999999999</v>
      </c>
      <c r="D10744" s="2">
        <f>HYPERLINK("http://mcb-m6.bioreg.kyushu-u.ac.jp/M3/20110427/F51119/1954/1", 57.84)</f>
        <v>57.84</v>
      </c>
      <c r="E10744" s="2">
        <v>35.299999999999997</v>
      </c>
      <c r="F10744" s="2">
        <v>2</v>
      </c>
      <c r="G10744" s="2" t="s">
        <v>14</v>
      </c>
    </row>
    <row r="10745" spans="1:9" x14ac:dyDescent="0.2">
      <c r="A10745" s="2" t="s">
        <v>3972</v>
      </c>
      <c r="B10745" s="2" t="s">
        <v>1216</v>
      </c>
      <c r="C10745" s="2">
        <v>677.73569999999995</v>
      </c>
      <c r="D10745" s="2">
        <f>HYPERLINK("http://mcb-m6.bioreg.kyushu-u.ac.jp/M3/20110428/F51128/1637/1", 58)</f>
        <v>58</v>
      </c>
      <c r="E10745" s="2">
        <v>30.6</v>
      </c>
      <c r="F10745" s="2">
        <v>2</v>
      </c>
      <c r="G10745" s="2" t="s">
        <v>14</v>
      </c>
    </row>
    <row r="10746" spans="1:9" x14ac:dyDescent="0.2">
      <c r="A10746" s="2" t="s">
        <v>3972</v>
      </c>
      <c r="B10746" s="2" t="s">
        <v>1216</v>
      </c>
      <c r="C10746" s="2">
        <v>677.70669999999996</v>
      </c>
      <c r="D10746" s="2">
        <f>HYPERLINK("http://mcb-m6.bioreg.kyushu-u.ac.jp/M3/20110427/F51120/1835/1", 59.09)</f>
        <v>59.09</v>
      </c>
      <c r="E10746" s="2">
        <v>37.049999999999997</v>
      </c>
      <c r="F10746" s="2">
        <v>2</v>
      </c>
      <c r="G10746" s="2" t="s">
        <v>14</v>
      </c>
    </row>
    <row r="10747" spans="1:9" x14ac:dyDescent="0.2">
      <c r="A10747" s="2" t="s">
        <v>3972</v>
      </c>
      <c r="B10747" s="2" t="s">
        <v>1216</v>
      </c>
      <c r="C10747" s="2">
        <v>677.64760000000001</v>
      </c>
      <c r="D10747" s="2">
        <f>HYPERLINK("http://mcb-m6.bioreg.kyushu-u.ac.jp/M3/20110427/F51118/1840/1", 74.12)</f>
        <v>74.12</v>
      </c>
      <c r="E10747" s="2">
        <v>46.63</v>
      </c>
      <c r="F10747" s="2">
        <v>2</v>
      </c>
      <c r="G10747" s="2" t="s">
        <v>14</v>
      </c>
    </row>
    <row r="10748" spans="1:9" x14ac:dyDescent="0.2">
      <c r="A10748" s="2" t="s">
        <v>7734</v>
      </c>
      <c r="B10748" s="2" t="s">
        <v>6466</v>
      </c>
      <c r="C10748" s="2">
        <v>709.82209999999998</v>
      </c>
      <c r="D10748" s="2">
        <f>HYPERLINK("http://mcb-m6.bioreg.kyushu-u.ac.jp/M3/20110404/F50754/1996/1", 66.88)</f>
        <v>66.88</v>
      </c>
      <c r="E10748" s="2">
        <v>49.05</v>
      </c>
      <c r="F10748" s="2">
        <v>2</v>
      </c>
      <c r="G10748" s="2" t="s">
        <v>9</v>
      </c>
    </row>
    <row r="10749" spans="1:9" x14ac:dyDescent="0.2">
      <c r="A10749" s="2" t="s">
        <v>7948</v>
      </c>
      <c r="B10749" s="2" t="s">
        <v>7151</v>
      </c>
      <c r="C10749" s="2">
        <v>827.40920000000006</v>
      </c>
      <c r="D10749" s="2">
        <f>HYPERLINK("http://mcb-m6.bioreg.kyushu-u.ac.jp/M3/20110421/F51018/2486/1", 100.13)</f>
        <v>100.13</v>
      </c>
      <c r="E10749" s="2">
        <v>78.59</v>
      </c>
      <c r="F10749" s="2">
        <v>2</v>
      </c>
      <c r="G10749" s="2" t="s">
        <v>11</v>
      </c>
      <c r="I10749" s="2" t="s">
        <v>4906</v>
      </c>
    </row>
    <row r="10750" spans="1:9" x14ac:dyDescent="0.2">
      <c r="A10750" s="2" t="s">
        <v>7806</v>
      </c>
      <c r="B10750" s="2" t="s">
        <v>6740</v>
      </c>
      <c r="C10750" s="2">
        <v>504.33359999999999</v>
      </c>
      <c r="D10750" s="2">
        <f>HYPERLINK("http://mcb-m6.bioreg.kyushu-u.ac.jp/M3/20110404/F50781/1070/1", 39.36)</f>
        <v>39.36</v>
      </c>
      <c r="E10750" s="2">
        <v>10.11</v>
      </c>
      <c r="F10750" s="2">
        <v>2</v>
      </c>
      <c r="G10750" s="2" t="s">
        <v>10</v>
      </c>
    </row>
    <row r="10751" spans="1:9" x14ac:dyDescent="0.2">
      <c r="A10751" s="2" t="s">
        <v>7907</v>
      </c>
      <c r="B10751" s="2" t="s">
        <v>7070</v>
      </c>
      <c r="C10751" s="2">
        <v>744.98419999999999</v>
      </c>
      <c r="D10751" s="2">
        <f>HYPERLINK("http://mcb-m6.bioreg.kyushu-u.ac.jp/M3/20110421/F51014/2155/1", 35.52)</f>
        <v>35.520000000000003</v>
      </c>
      <c r="E10751" s="2">
        <v>10.54</v>
      </c>
      <c r="F10751" s="2">
        <v>2</v>
      </c>
      <c r="G10751" s="2" t="s">
        <v>11</v>
      </c>
    </row>
    <row r="10752" spans="1:9" x14ac:dyDescent="0.2">
      <c r="A10752" s="2" t="s">
        <v>4387</v>
      </c>
      <c r="B10752" s="2" t="s">
        <v>7382</v>
      </c>
      <c r="C10752" s="2">
        <v>572.52470000000005</v>
      </c>
      <c r="D10752" s="2">
        <f>HYPERLINK("http://mcb-m6.bioreg.kyushu-u.ac.jp/M3/20110427/F51108/1471/1", 52.99)</f>
        <v>52.99</v>
      </c>
      <c r="E10752" s="2">
        <v>32.31</v>
      </c>
      <c r="F10752" s="2">
        <v>2</v>
      </c>
      <c r="G10752" s="2" t="s">
        <v>13</v>
      </c>
    </row>
    <row r="10753" spans="1:9" x14ac:dyDescent="0.2">
      <c r="A10753" s="2" t="s">
        <v>7828</v>
      </c>
      <c r="B10753" s="2" t="s">
        <v>6776</v>
      </c>
      <c r="C10753" s="2">
        <v>452.2851</v>
      </c>
      <c r="D10753" s="2">
        <f>HYPERLINK("http://mcb-m6.bioreg.kyushu-u.ac.jp/M3/20110404/F50758/1072/1", 41.77)</f>
        <v>41.77</v>
      </c>
      <c r="E10753" s="2">
        <v>13.62</v>
      </c>
      <c r="F10753" s="2">
        <v>2</v>
      </c>
      <c r="G10753" s="2" t="s">
        <v>10</v>
      </c>
    </row>
    <row r="10754" spans="1:9" x14ac:dyDescent="0.2">
      <c r="A10754" s="2" t="s">
        <v>4103</v>
      </c>
      <c r="B10754" s="2" t="s">
        <v>6627</v>
      </c>
      <c r="C10754" s="2">
        <v>851.22119999999995</v>
      </c>
      <c r="D10754" s="2">
        <f>HYPERLINK("http://mcb-m6.bioreg.kyushu-u.ac.jp/M3/20110404/F50753/2431/1", 98.17)</f>
        <v>98.17</v>
      </c>
      <c r="E10754" s="2">
        <v>70.7</v>
      </c>
      <c r="F10754" s="2">
        <v>2</v>
      </c>
      <c r="G10754" s="2" t="s">
        <v>9</v>
      </c>
      <c r="I10754" s="2" t="s">
        <v>4890</v>
      </c>
    </row>
    <row r="10755" spans="1:9" x14ac:dyDescent="0.2">
      <c r="A10755" s="2" t="s">
        <v>4103</v>
      </c>
      <c r="B10755" s="2" t="s">
        <v>6656</v>
      </c>
      <c r="C10755" s="2">
        <v>914.89760000000001</v>
      </c>
      <c r="D10755" s="2">
        <f>HYPERLINK("http://mcb-m6.bioreg.kyushu-u.ac.jp/M3/20110404/F50753/2669/1", 109.22)</f>
        <v>109.22</v>
      </c>
      <c r="E10755" s="2">
        <v>71.959999999999994</v>
      </c>
      <c r="F10755" s="2">
        <v>2</v>
      </c>
      <c r="G10755" s="2" t="s">
        <v>9</v>
      </c>
      <c r="I10755" s="2" t="s">
        <v>4899</v>
      </c>
    </row>
    <row r="10756" spans="1:9" x14ac:dyDescent="0.2">
      <c r="A10756" s="2" t="s">
        <v>4103</v>
      </c>
      <c r="B10756" s="2" t="s">
        <v>1575</v>
      </c>
      <c r="C10756" s="2">
        <v>1070.7729999999999</v>
      </c>
      <c r="D10756" s="2">
        <f>HYPERLINK("http://mcb-m6.bioreg.kyushu-u.ac.jp/M3/20110404/F50753/3068/1", 120.58)</f>
        <v>120.58</v>
      </c>
      <c r="E10756" s="2">
        <v>110.93</v>
      </c>
      <c r="F10756" s="2">
        <v>2</v>
      </c>
      <c r="G10756" s="2" t="s">
        <v>9</v>
      </c>
      <c r="I10756" s="2" t="s">
        <v>4890</v>
      </c>
    </row>
    <row r="10757" spans="1:9" x14ac:dyDescent="0.2">
      <c r="A10757" s="2" t="s">
        <v>4103</v>
      </c>
      <c r="B10757" s="2" t="s">
        <v>1575</v>
      </c>
      <c r="C10757" s="2">
        <v>1071.4590000000001</v>
      </c>
      <c r="D10757" s="2">
        <f>HYPERLINK("http://mcb-m6.bioreg.kyushu-u.ac.jp/M3/20110404/F50758/2846/1", 64.6)</f>
        <v>64.599999999999994</v>
      </c>
      <c r="E10757" s="2">
        <v>14.73</v>
      </c>
      <c r="F10757" s="2">
        <v>2</v>
      </c>
      <c r="G10757" s="2" t="s">
        <v>10</v>
      </c>
      <c r="I10757" s="2" t="s">
        <v>4890</v>
      </c>
    </row>
    <row r="10758" spans="1:9" x14ac:dyDescent="0.2">
      <c r="A10758" s="2" t="s">
        <v>7561</v>
      </c>
      <c r="B10758" s="2" t="s">
        <v>5987</v>
      </c>
      <c r="C10758" s="2">
        <v>729.78420000000006</v>
      </c>
      <c r="D10758" s="2">
        <f>HYPERLINK("http://mcb-m6.bioreg.kyushu-u.ac.jp/M3/20110404/F50753/1969/1", 37.79)</f>
        <v>37.79</v>
      </c>
      <c r="E10758" s="2">
        <v>10.67</v>
      </c>
      <c r="F10758" s="2">
        <v>2</v>
      </c>
      <c r="G10758" s="2" t="s">
        <v>9</v>
      </c>
    </row>
    <row r="10759" spans="1:9" x14ac:dyDescent="0.2">
      <c r="A10759" s="2" t="s">
        <v>4088</v>
      </c>
      <c r="B10759" s="2" t="s">
        <v>1528</v>
      </c>
      <c r="C10759" s="2">
        <v>785.79219999999998</v>
      </c>
      <c r="D10759" s="2">
        <f>HYPERLINK("http://mcb-m6.bioreg.kyushu-u.ac.jp/M3/20110404/F50754/2268/1", 95.08)</f>
        <v>95.08</v>
      </c>
      <c r="E10759" s="2">
        <v>85.37</v>
      </c>
      <c r="F10759" s="2">
        <v>2</v>
      </c>
      <c r="G10759" s="2" t="s">
        <v>9</v>
      </c>
    </row>
    <row r="10760" spans="1:9" x14ac:dyDescent="0.2">
      <c r="A10760" s="2" t="s">
        <v>4088</v>
      </c>
      <c r="B10760" s="2" t="s">
        <v>1528</v>
      </c>
      <c r="C10760" s="2">
        <v>785.31709999999998</v>
      </c>
      <c r="D10760" s="2">
        <f>HYPERLINK("http://mcb-m6.bioreg.kyushu-u.ac.jp/M3/20110404/F50753/2183/1", 104.17)</f>
        <v>104.17</v>
      </c>
      <c r="E10760" s="2">
        <v>89.64</v>
      </c>
      <c r="F10760" s="2">
        <v>2</v>
      </c>
      <c r="G10760" s="2" t="s">
        <v>9</v>
      </c>
    </row>
    <row r="10761" spans="1:9" x14ac:dyDescent="0.2">
      <c r="A10761" s="2" t="s">
        <v>4088</v>
      </c>
      <c r="B10761" s="2" t="s">
        <v>1528</v>
      </c>
      <c r="C10761" s="2">
        <v>785.34010000000001</v>
      </c>
      <c r="D10761" s="2">
        <f>HYPERLINK("http://mcb-m6.bioreg.kyushu-u.ac.jp/M3/20110404/F50758/2065/1", 106.84)</f>
        <v>106.84</v>
      </c>
      <c r="E10761" s="2">
        <v>94.89</v>
      </c>
      <c r="F10761" s="2">
        <v>2</v>
      </c>
      <c r="G10761" s="2" t="s">
        <v>10</v>
      </c>
    </row>
    <row r="10762" spans="1:9" x14ac:dyDescent="0.2">
      <c r="A10762" s="2" t="s">
        <v>4088</v>
      </c>
      <c r="B10762" s="2" t="s">
        <v>1528</v>
      </c>
      <c r="C10762" s="2">
        <v>785.97810000000004</v>
      </c>
      <c r="D10762" s="2">
        <f>HYPERLINK("http://mcb-m6.bioreg.kyushu-u.ac.jp/M3/20110427/F51111/2357/1", 78.54)</f>
        <v>78.540000000000006</v>
      </c>
      <c r="E10762" s="2">
        <v>67.91</v>
      </c>
      <c r="F10762" s="2">
        <v>2</v>
      </c>
      <c r="G10762" s="2" t="s">
        <v>13</v>
      </c>
    </row>
    <row r="10763" spans="1:9" x14ac:dyDescent="0.2">
      <c r="A10763" s="2" t="s">
        <v>4034</v>
      </c>
      <c r="B10763" s="2" t="s">
        <v>1363</v>
      </c>
      <c r="C10763" s="2">
        <v>737.15719999999999</v>
      </c>
      <c r="D10763" s="2">
        <f>HYPERLINK("http://mcb-m6.bioreg.kyushu-u.ac.jp/M3/20110404/F50753/1994/1", 39.51)</f>
        <v>39.51</v>
      </c>
      <c r="E10763" s="2">
        <v>20.94</v>
      </c>
      <c r="F10763" s="2">
        <v>2</v>
      </c>
      <c r="G10763" s="2" t="s">
        <v>9</v>
      </c>
    </row>
    <row r="10764" spans="1:9" x14ac:dyDescent="0.2">
      <c r="A10764" s="2" t="s">
        <v>4034</v>
      </c>
      <c r="B10764" s="2" t="s">
        <v>1544</v>
      </c>
      <c r="C10764" s="2">
        <v>1345.5170000000001</v>
      </c>
      <c r="D10764" s="2">
        <f>HYPERLINK("http://mcb-m6.bioreg.kyushu-u.ac.jp/M3/20110404/F50753/1726/1", 57.17)</f>
        <v>57.17</v>
      </c>
      <c r="E10764" s="2">
        <v>44.18</v>
      </c>
      <c r="F10764" s="2">
        <v>1</v>
      </c>
      <c r="G10764" s="2" t="s">
        <v>9</v>
      </c>
    </row>
    <row r="10765" spans="1:9" x14ac:dyDescent="0.2">
      <c r="A10765" s="2" t="s">
        <v>4034</v>
      </c>
      <c r="B10765" s="2" t="s">
        <v>1363</v>
      </c>
      <c r="C10765" s="2">
        <v>737.7527</v>
      </c>
      <c r="D10765" s="2">
        <f>HYPERLINK("http://mcb-m6.bioreg.kyushu-u.ac.jp/M3/20110404/F50753/1999/1", 58.51)</f>
        <v>58.51</v>
      </c>
      <c r="E10765" s="2">
        <v>34.03</v>
      </c>
      <c r="F10765" s="2">
        <v>2</v>
      </c>
      <c r="G10765" s="2" t="s">
        <v>9</v>
      </c>
    </row>
    <row r="10766" spans="1:9" x14ac:dyDescent="0.2">
      <c r="A10766" s="2" t="s">
        <v>4034</v>
      </c>
      <c r="B10766" s="2" t="s">
        <v>1544</v>
      </c>
      <c r="C10766" s="2">
        <v>673.27809999999999</v>
      </c>
      <c r="D10766" s="2">
        <f>HYPERLINK("http://mcb-m6.bioreg.kyushu-u.ac.jp/M3/20110404/F50754/1858/1", 97.59)</f>
        <v>97.59</v>
      </c>
      <c r="E10766" s="2">
        <v>81.08</v>
      </c>
      <c r="F10766" s="2">
        <v>2</v>
      </c>
      <c r="G10766" s="2" t="s">
        <v>9</v>
      </c>
    </row>
    <row r="10767" spans="1:9" x14ac:dyDescent="0.2">
      <c r="A10767" s="2" t="s">
        <v>4034</v>
      </c>
      <c r="B10767" s="2" t="s">
        <v>1544</v>
      </c>
      <c r="C10767" s="2">
        <v>673.24109999999996</v>
      </c>
      <c r="D10767" s="2">
        <f>HYPERLINK("http://mcb-m6.bioreg.kyushu-u.ac.jp/M3/20110404/F50758/1642/1", 77.21)</f>
        <v>77.209999999999994</v>
      </c>
      <c r="E10767" s="2">
        <v>57.12</v>
      </c>
      <c r="F10767" s="2">
        <v>2</v>
      </c>
      <c r="G10767" s="2" t="s">
        <v>10</v>
      </c>
    </row>
    <row r="10768" spans="1:9" x14ac:dyDescent="0.2">
      <c r="A10768" s="2" t="s">
        <v>4034</v>
      </c>
      <c r="B10768" s="2" t="s">
        <v>1544</v>
      </c>
      <c r="C10768" s="2">
        <v>673.17970000000003</v>
      </c>
      <c r="D10768" s="2">
        <f>HYPERLINK("http://mcb-m6.bioreg.kyushu-u.ac.jp/M3/20110421/F51017/1634/1", 82.71)</f>
        <v>82.71</v>
      </c>
      <c r="E10768" s="2">
        <v>59.48</v>
      </c>
      <c r="F10768" s="2">
        <v>2</v>
      </c>
      <c r="G10768" s="2" t="s">
        <v>11</v>
      </c>
    </row>
    <row r="10769" spans="1:9" x14ac:dyDescent="0.2">
      <c r="A10769" s="2" t="s">
        <v>4034</v>
      </c>
      <c r="B10769" s="2" t="s">
        <v>1363</v>
      </c>
      <c r="C10769" s="2">
        <v>737.58119999999997</v>
      </c>
      <c r="D10769" s="2">
        <f>HYPERLINK("http://mcb-m6.bioreg.kyushu-u.ac.jp/M3/20110427/F51111/2110/1", 40.18)</f>
        <v>40.18</v>
      </c>
      <c r="E10769" s="2">
        <v>24.92</v>
      </c>
      <c r="F10769" s="2">
        <v>2</v>
      </c>
      <c r="G10769" s="2" t="s">
        <v>13</v>
      </c>
    </row>
    <row r="10770" spans="1:9" x14ac:dyDescent="0.2">
      <c r="A10770" s="2" t="s">
        <v>4034</v>
      </c>
      <c r="B10770" s="2" t="s">
        <v>1544</v>
      </c>
      <c r="C10770" s="2">
        <v>673.69669999999996</v>
      </c>
      <c r="D10770" s="2">
        <f>HYPERLINK("http://mcb-m6.bioreg.kyushu-u.ac.jp/M3/20110427/F51111/1783/1", 100.86)</f>
        <v>100.86</v>
      </c>
      <c r="E10770" s="2">
        <v>79.55</v>
      </c>
      <c r="F10770" s="2">
        <v>2</v>
      </c>
      <c r="G10770" s="2" t="s">
        <v>13</v>
      </c>
    </row>
    <row r="10771" spans="1:9" x14ac:dyDescent="0.2">
      <c r="A10771" s="2" t="s">
        <v>3554</v>
      </c>
      <c r="B10771" s="2" t="s">
        <v>411</v>
      </c>
      <c r="C10771" s="2">
        <v>1216.2950000000001</v>
      </c>
      <c r="D10771" s="2">
        <f>HYPERLINK("http://mcb-m6.bioreg.kyushu-u.ac.jp/M3/20110404/F50753/1532/1", 51.39)</f>
        <v>51.39</v>
      </c>
      <c r="E10771" s="2">
        <v>8.67</v>
      </c>
      <c r="F10771" s="2">
        <v>1</v>
      </c>
      <c r="G10771" s="2" t="s">
        <v>9</v>
      </c>
    </row>
    <row r="10772" spans="1:9" x14ac:dyDescent="0.2">
      <c r="A10772" s="2" t="s">
        <v>3554</v>
      </c>
      <c r="B10772" s="2" t="s">
        <v>411</v>
      </c>
      <c r="C10772" s="2">
        <v>608.33010000000002</v>
      </c>
      <c r="D10772" s="2">
        <f>HYPERLINK("http://mcb-m6.bioreg.kyushu-u.ac.jp/M3/20110404/F50753/1531/1", 66.94)</f>
        <v>66.94</v>
      </c>
      <c r="E10772" s="2">
        <v>41.04</v>
      </c>
      <c r="F10772" s="2">
        <v>2</v>
      </c>
      <c r="G10772" s="2" t="s">
        <v>9</v>
      </c>
    </row>
    <row r="10773" spans="1:9" x14ac:dyDescent="0.2">
      <c r="A10773" s="2" t="s">
        <v>3554</v>
      </c>
      <c r="B10773" s="2" t="s">
        <v>411</v>
      </c>
      <c r="C10773" s="2">
        <v>608.65060000000005</v>
      </c>
      <c r="D10773" s="2">
        <f>HYPERLINK("http://mcb-m6.bioreg.kyushu-u.ac.jp/M3/20110427/F51111/1584/1", 37.57)</f>
        <v>37.57</v>
      </c>
      <c r="E10773" s="2">
        <v>15.36</v>
      </c>
      <c r="F10773" s="2">
        <v>2</v>
      </c>
      <c r="G10773" s="2" t="s">
        <v>13</v>
      </c>
    </row>
    <row r="10774" spans="1:9" x14ac:dyDescent="0.2">
      <c r="A10774" s="2" t="s">
        <v>3585</v>
      </c>
      <c r="B10774" s="2" t="s">
        <v>466</v>
      </c>
      <c r="C10774" s="2">
        <v>537.82709999999997</v>
      </c>
      <c r="D10774" s="2">
        <f>HYPERLINK("http://mcb-m6.bioreg.kyushu-u.ac.jp/M3/20110404/F50754/1453/1", 40.81)</f>
        <v>40.81</v>
      </c>
      <c r="E10774" s="2">
        <v>22.41</v>
      </c>
      <c r="F10774" s="2">
        <v>2</v>
      </c>
      <c r="G10774" s="2" t="s">
        <v>9</v>
      </c>
    </row>
    <row r="10775" spans="1:9" x14ac:dyDescent="0.2">
      <c r="A10775" s="2" t="s">
        <v>3585</v>
      </c>
      <c r="B10775" s="2" t="s">
        <v>466</v>
      </c>
      <c r="C10775" s="2">
        <v>1073.7750000000001</v>
      </c>
      <c r="D10775" s="2">
        <f>HYPERLINK("http://mcb-m6.bioreg.kyushu-u.ac.jp/M3/20110404/F50753/1308/1", 44.79)</f>
        <v>44.79</v>
      </c>
      <c r="E10775" s="2">
        <v>26.3</v>
      </c>
      <c r="F10775" s="2">
        <v>1</v>
      </c>
      <c r="G10775" s="2" t="s">
        <v>9</v>
      </c>
    </row>
    <row r="10776" spans="1:9" x14ac:dyDescent="0.2">
      <c r="A10776" s="2" t="s">
        <v>3585</v>
      </c>
      <c r="B10776" s="2" t="s">
        <v>466</v>
      </c>
      <c r="C10776" s="2">
        <v>537.64319999999998</v>
      </c>
      <c r="D10776" s="2">
        <f>HYPERLINK("http://mcb-m6.bioreg.kyushu-u.ac.jp/M3/20110404/F50753/1309/1", 48.85)</f>
        <v>48.85</v>
      </c>
      <c r="E10776" s="2">
        <v>28.73</v>
      </c>
      <c r="F10776" s="2">
        <v>2</v>
      </c>
      <c r="G10776" s="2" t="s">
        <v>9</v>
      </c>
    </row>
    <row r="10777" spans="1:9" x14ac:dyDescent="0.2">
      <c r="A10777" s="2" t="s">
        <v>3585</v>
      </c>
      <c r="B10777" s="2" t="s">
        <v>466</v>
      </c>
      <c r="C10777" s="2">
        <v>537.81460000000004</v>
      </c>
      <c r="D10777" s="2">
        <f>HYPERLINK("http://mcb-m6.bioreg.kyushu-u.ac.jp/M3/20110404/F50758/1311/1", 37.98)</f>
        <v>37.979999999999997</v>
      </c>
      <c r="E10777" s="2">
        <v>15.92</v>
      </c>
      <c r="F10777" s="2">
        <v>2</v>
      </c>
      <c r="G10777" s="2" t="s">
        <v>10</v>
      </c>
    </row>
    <row r="10778" spans="1:9" x14ac:dyDescent="0.2">
      <c r="A10778" s="2" t="s">
        <v>3585</v>
      </c>
      <c r="B10778" s="2" t="s">
        <v>466</v>
      </c>
      <c r="C10778" s="2">
        <v>537.73360000000002</v>
      </c>
      <c r="D10778" s="2">
        <f>HYPERLINK("http://mcb-m6.bioreg.kyushu-u.ac.jp/M3/20110421/F51017/1081/1", 36.26)</f>
        <v>36.26</v>
      </c>
      <c r="E10778" s="2">
        <v>21.76</v>
      </c>
      <c r="F10778" s="2">
        <v>2</v>
      </c>
      <c r="G10778" s="2" t="s">
        <v>11</v>
      </c>
    </row>
    <row r="10779" spans="1:9" x14ac:dyDescent="0.2">
      <c r="A10779" s="2" t="s">
        <v>7717</v>
      </c>
      <c r="B10779" s="2" t="s">
        <v>6420</v>
      </c>
      <c r="C10779" s="2">
        <v>905.78219999999999</v>
      </c>
      <c r="D10779" s="2">
        <f>HYPERLINK("http://mcb-m6.bioreg.kyushu-u.ac.jp/M3/20110404/F50753/2638/1", 62.09)</f>
        <v>62.09</v>
      </c>
      <c r="E10779" s="2">
        <v>45.51</v>
      </c>
      <c r="F10779" s="2">
        <v>2</v>
      </c>
      <c r="G10779" s="2" t="s">
        <v>9</v>
      </c>
    </row>
    <row r="10780" spans="1:9" x14ac:dyDescent="0.2">
      <c r="A10780" s="2" t="s">
        <v>4218</v>
      </c>
      <c r="B10780" s="2" t="s">
        <v>1820</v>
      </c>
      <c r="C10780" s="2">
        <v>589.76319999999998</v>
      </c>
      <c r="D10780" s="2">
        <f>HYPERLINK("http://mcb-m6.bioreg.kyushu-u.ac.jp/M3/20110404/F50762/1276/1", 39.9)</f>
        <v>39.9</v>
      </c>
      <c r="E10780" s="2">
        <v>22.06</v>
      </c>
      <c r="F10780" s="2">
        <v>2</v>
      </c>
      <c r="G10780" s="2" t="s">
        <v>9</v>
      </c>
      <c r="H10780" s="2" t="s">
        <v>4904</v>
      </c>
    </row>
    <row r="10781" spans="1:9" x14ac:dyDescent="0.2">
      <c r="A10781" s="2" t="s">
        <v>4218</v>
      </c>
      <c r="B10781" s="2" t="s">
        <v>1820</v>
      </c>
      <c r="C10781" s="2">
        <v>589.6952</v>
      </c>
      <c r="D10781" s="2">
        <f>HYPERLINK("http://mcb-m6.bioreg.kyushu-u.ac.jp/M3/20110428/F51127/1147/1", 38.29)</f>
        <v>38.29</v>
      </c>
      <c r="E10781" s="2">
        <v>17.25</v>
      </c>
      <c r="F10781" s="2">
        <v>2</v>
      </c>
      <c r="G10781" s="2" t="s">
        <v>13</v>
      </c>
      <c r="H10781" s="2" t="s">
        <v>4904</v>
      </c>
    </row>
    <row r="10782" spans="1:9" x14ac:dyDescent="0.2">
      <c r="A10782" s="2" t="s">
        <v>4212</v>
      </c>
      <c r="B10782" s="2" t="s">
        <v>6086</v>
      </c>
      <c r="C10782" s="2">
        <v>814.30520000000001</v>
      </c>
      <c r="D10782" s="2">
        <f>HYPERLINK("http://mcb-m6.bioreg.kyushu-u.ac.jp/M3/20110404/F50765/2171/1", 41.72)</f>
        <v>41.72</v>
      </c>
      <c r="E10782" s="2">
        <v>34.270000000000003</v>
      </c>
      <c r="F10782" s="2">
        <v>2</v>
      </c>
      <c r="G10782" s="2" t="s">
        <v>9</v>
      </c>
      <c r="H10782" s="2" t="s">
        <v>4908</v>
      </c>
      <c r="I10782" s="2" t="s">
        <v>4903</v>
      </c>
    </row>
    <row r="10783" spans="1:9" x14ac:dyDescent="0.2">
      <c r="A10783" s="2" t="s">
        <v>4212</v>
      </c>
      <c r="B10783" s="2" t="s">
        <v>6424</v>
      </c>
      <c r="C10783" s="2">
        <v>675.57119999999998</v>
      </c>
      <c r="D10783" s="2">
        <f>HYPERLINK("http://mcb-m6.bioreg.kyushu-u.ac.jp/M3/20110404/F50765/1507/1", 62.61)</f>
        <v>62.61</v>
      </c>
      <c r="E10783" s="2">
        <v>52.72</v>
      </c>
      <c r="F10783" s="2">
        <v>2</v>
      </c>
      <c r="G10783" s="2" t="s">
        <v>9</v>
      </c>
    </row>
    <row r="10784" spans="1:9" x14ac:dyDescent="0.2">
      <c r="A10784" s="2" t="s">
        <v>4212</v>
      </c>
      <c r="B10784" s="2" t="s">
        <v>6755</v>
      </c>
      <c r="C10784" s="2">
        <v>640.14009999999996</v>
      </c>
      <c r="D10784" s="2">
        <f>HYPERLINK("http://mcb-m6.bioreg.kyushu-u.ac.jp/M3/20110404/F50771/1469/1", 40.42)</f>
        <v>40.42</v>
      </c>
      <c r="E10784" s="2">
        <v>32.18</v>
      </c>
      <c r="F10784" s="2">
        <v>2</v>
      </c>
      <c r="G10784" s="2" t="s">
        <v>10</v>
      </c>
    </row>
    <row r="10785" spans="1:7" x14ac:dyDescent="0.2">
      <c r="A10785" s="2" t="s">
        <v>4212</v>
      </c>
      <c r="B10785" s="2" t="s">
        <v>6782</v>
      </c>
      <c r="C10785" s="2">
        <v>757.27470000000005</v>
      </c>
      <c r="D10785" s="2">
        <f>HYPERLINK("http://mcb-m6.bioreg.kyushu-u.ac.jp/M3/20110404/F50771/1961/1", 42.05)</f>
        <v>42.05</v>
      </c>
      <c r="E10785" s="2">
        <v>31.84</v>
      </c>
      <c r="F10785" s="2">
        <v>2</v>
      </c>
      <c r="G10785" s="2" t="s">
        <v>10</v>
      </c>
    </row>
    <row r="10786" spans="1:7" x14ac:dyDescent="0.2">
      <c r="A10786" s="2" t="s">
        <v>4212</v>
      </c>
      <c r="B10786" s="2" t="s">
        <v>6789</v>
      </c>
      <c r="C10786" s="2">
        <v>573.24069999999995</v>
      </c>
      <c r="D10786" s="2">
        <f>HYPERLINK("http://mcb-m6.bioreg.kyushu-u.ac.jp/M3/20110404/F50771/1250/1", 42.95)</f>
        <v>42.95</v>
      </c>
      <c r="E10786" s="2">
        <v>11.92</v>
      </c>
      <c r="F10786" s="2">
        <v>2</v>
      </c>
      <c r="G10786" s="2" t="s">
        <v>10</v>
      </c>
    </row>
    <row r="10787" spans="1:7" x14ac:dyDescent="0.2">
      <c r="A10787" s="2" t="s">
        <v>4212</v>
      </c>
      <c r="B10787" s="2" t="s">
        <v>6424</v>
      </c>
      <c r="C10787" s="2">
        <v>675.27419999999995</v>
      </c>
      <c r="D10787" s="2">
        <f>HYPERLINK("http://mcb-m6.bioreg.kyushu-u.ac.jp/M3/20110404/F50771/1585/1", 50.61)</f>
        <v>50.61</v>
      </c>
      <c r="E10787" s="2">
        <v>33.659999999999997</v>
      </c>
      <c r="F10787" s="2">
        <v>2</v>
      </c>
      <c r="G10787" s="2" t="s">
        <v>10</v>
      </c>
    </row>
    <row r="10788" spans="1:7" x14ac:dyDescent="0.2">
      <c r="A10788" s="2" t="s">
        <v>4212</v>
      </c>
      <c r="B10788" s="2" t="s">
        <v>6872</v>
      </c>
      <c r="C10788" s="2">
        <v>1052.4380000000001</v>
      </c>
      <c r="D10788" s="2">
        <f>HYPERLINK("http://mcb-m6.bioreg.kyushu-u.ac.jp/M3/20110404/F50771/2975/1", 52.08)</f>
        <v>52.08</v>
      </c>
      <c r="E10788" s="2">
        <v>35.159999999999997</v>
      </c>
      <c r="F10788" s="2">
        <v>2</v>
      </c>
      <c r="G10788" s="2" t="s">
        <v>10</v>
      </c>
    </row>
    <row r="10789" spans="1:7" x14ac:dyDescent="0.2">
      <c r="A10789" s="2" t="s">
        <v>4212</v>
      </c>
      <c r="B10789" s="2" t="s">
        <v>7019</v>
      </c>
      <c r="C10789" s="2">
        <v>730.42970000000003</v>
      </c>
      <c r="D10789" s="2">
        <f>HYPERLINK("http://mcb-m6.bioreg.kyushu-u.ac.jp/M3/20110404/F50771/1851/1", 80.82)</f>
        <v>80.819999999999993</v>
      </c>
      <c r="E10789" s="2">
        <v>56.09</v>
      </c>
      <c r="F10789" s="2">
        <v>2</v>
      </c>
      <c r="G10789" s="2" t="s">
        <v>10</v>
      </c>
    </row>
    <row r="10790" spans="1:7" x14ac:dyDescent="0.2">
      <c r="A10790" s="2" t="s">
        <v>4007</v>
      </c>
      <c r="B10790" s="2" t="s">
        <v>1302</v>
      </c>
      <c r="C10790" s="2">
        <v>1337.6420000000001</v>
      </c>
      <c r="D10790" s="2">
        <f>HYPERLINK("http://mcb-m6.bioreg.kyushu-u.ac.jp/M3/20110404/F50751/1855/1", 40.29)</f>
        <v>40.29</v>
      </c>
      <c r="E10790" s="2">
        <v>31.49</v>
      </c>
      <c r="F10790" s="2">
        <v>1</v>
      </c>
      <c r="G10790" s="2" t="s">
        <v>9</v>
      </c>
    </row>
    <row r="10791" spans="1:7" x14ac:dyDescent="0.2">
      <c r="A10791" s="2" t="s">
        <v>4007</v>
      </c>
      <c r="B10791" s="2" t="s">
        <v>1302</v>
      </c>
      <c r="C10791" s="2">
        <v>669.38869999999997</v>
      </c>
      <c r="D10791" s="2">
        <f>HYPERLINK("http://mcb-m6.bioreg.kyushu-u.ac.jp/M3/20110404/F50751/1856/1", 84.05)</f>
        <v>84.05</v>
      </c>
      <c r="E10791" s="2">
        <v>71.34</v>
      </c>
      <c r="F10791" s="2">
        <v>2</v>
      </c>
      <c r="G10791" s="2" t="s">
        <v>9</v>
      </c>
    </row>
    <row r="10792" spans="1:7" x14ac:dyDescent="0.2">
      <c r="A10792" s="2" t="s">
        <v>4007</v>
      </c>
      <c r="B10792" s="2" t="s">
        <v>1302</v>
      </c>
      <c r="C10792" s="2">
        <v>1338.104</v>
      </c>
      <c r="D10792" s="2">
        <f>HYPERLINK("http://mcb-m6.bioreg.kyushu-u.ac.jp/M3/20110421/F51014/1791/1", 40.05)</f>
        <v>40.049999999999997</v>
      </c>
      <c r="E10792" s="2">
        <v>23.85</v>
      </c>
      <c r="F10792" s="2">
        <v>1</v>
      </c>
      <c r="G10792" s="2" t="s">
        <v>11</v>
      </c>
    </row>
    <row r="10793" spans="1:7" x14ac:dyDescent="0.2">
      <c r="A10793" s="2" t="s">
        <v>4007</v>
      </c>
      <c r="B10793" s="2" t="s">
        <v>1302</v>
      </c>
      <c r="C10793" s="2">
        <v>668.92909999999995</v>
      </c>
      <c r="D10793" s="2">
        <f>HYPERLINK("http://mcb-m6.bioreg.kyushu-u.ac.jp/M3/20110421/F51014/1790/1", 68.23)</f>
        <v>68.23</v>
      </c>
      <c r="E10793" s="2">
        <v>44.32</v>
      </c>
      <c r="F10793" s="2">
        <v>2</v>
      </c>
      <c r="G10793" s="2" t="s">
        <v>11</v>
      </c>
    </row>
    <row r="10794" spans="1:7" x14ac:dyDescent="0.2">
      <c r="A10794" s="2" t="s">
        <v>4007</v>
      </c>
      <c r="B10794" s="2" t="s">
        <v>1302</v>
      </c>
      <c r="C10794" s="2">
        <v>669.10609999999997</v>
      </c>
      <c r="D10794" s="2">
        <f>HYPERLINK("http://mcb-m6.bioreg.kyushu-u.ac.jp/M3/20110421/F51021/1620/1", 74.04)</f>
        <v>74.040000000000006</v>
      </c>
      <c r="E10794" s="2">
        <v>48.28</v>
      </c>
      <c r="F10794" s="2">
        <v>2</v>
      </c>
      <c r="G10794" s="2" t="s">
        <v>12</v>
      </c>
    </row>
    <row r="10795" spans="1:7" x14ac:dyDescent="0.2">
      <c r="A10795" s="2" t="s">
        <v>4007</v>
      </c>
      <c r="B10795" s="2" t="s">
        <v>1302</v>
      </c>
      <c r="C10795" s="2">
        <v>669.04420000000005</v>
      </c>
      <c r="D10795" s="2">
        <f>HYPERLINK("http://mcb-m6.bioreg.kyushu-u.ac.jp/M3/20110427/F51108/1755/1", 66.29)</f>
        <v>66.290000000000006</v>
      </c>
      <c r="E10795" s="2">
        <v>39.14</v>
      </c>
      <c r="F10795" s="2">
        <v>2</v>
      </c>
      <c r="G10795" s="2" t="s">
        <v>13</v>
      </c>
    </row>
    <row r="10796" spans="1:7" x14ac:dyDescent="0.2">
      <c r="A10796" s="2" t="s">
        <v>4007</v>
      </c>
      <c r="B10796" s="2" t="s">
        <v>1302</v>
      </c>
      <c r="C10796" s="2">
        <v>669.15470000000005</v>
      </c>
      <c r="D10796" s="2">
        <f>HYPERLINK("http://mcb-m6.bioreg.kyushu-u.ac.jp/M3/20110427/F51118/1819/1", 73.83)</f>
        <v>73.83</v>
      </c>
      <c r="E10796" s="2">
        <v>43.33</v>
      </c>
      <c r="F10796" s="2">
        <v>2</v>
      </c>
      <c r="G10796" s="2" t="s">
        <v>14</v>
      </c>
    </row>
    <row r="10797" spans="1:7" x14ac:dyDescent="0.2">
      <c r="A10797" s="2" t="s">
        <v>3427</v>
      </c>
      <c r="B10797" s="2" t="s">
        <v>1573</v>
      </c>
      <c r="C10797" s="2">
        <v>788.90170000000001</v>
      </c>
      <c r="D10797" s="2">
        <f>HYPERLINK("http://mcb-m6.bioreg.kyushu-u.ac.jp/M3/20110404/F50763/2115/1", 98.34)</f>
        <v>98.34</v>
      </c>
      <c r="E10797" s="2">
        <v>79.28</v>
      </c>
      <c r="F10797" s="2">
        <v>2</v>
      </c>
      <c r="G10797" s="2" t="s">
        <v>9</v>
      </c>
    </row>
    <row r="10798" spans="1:7" x14ac:dyDescent="0.2">
      <c r="A10798" s="2" t="s">
        <v>3427</v>
      </c>
      <c r="B10798" s="2" t="s">
        <v>1573</v>
      </c>
      <c r="C10798" s="2">
        <v>526.25980000000004</v>
      </c>
      <c r="D10798" s="2">
        <f>HYPERLINK("http://mcb-m6.bioreg.kyushu-u.ac.jp/M3/20110421/F51035/2235/1", 54.77)</f>
        <v>54.77</v>
      </c>
      <c r="E10798" s="2">
        <v>39.090000000000003</v>
      </c>
      <c r="F10798" s="2">
        <v>3</v>
      </c>
      <c r="G10798" s="2" t="s">
        <v>11</v>
      </c>
    </row>
    <row r="10799" spans="1:7" x14ac:dyDescent="0.2">
      <c r="A10799" s="2" t="s">
        <v>3427</v>
      </c>
      <c r="B10799" s="2" t="s">
        <v>233</v>
      </c>
      <c r="C10799" s="2">
        <v>828.54169999999999</v>
      </c>
      <c r="D10799" s="2">
        <f>HYPERLINK("http://mcb-m6.bioreg.kyushu-u.ac.jp/M3/20110421/F51035/2431/1", 96.85)</f>
        <v>96.85</v>
      </c>
      <c r="E10799" s="2">
        <v>76.94</v>
      </c>
      <c r="F10799" s="2">
        <v>2</v>
      </c>
      <c r="G10799" s="2" t="s">
        <v>11</v>
      </c>
    </row>
    <row r="10800" spans="1:7" x14ac:dyDescent="0.2">
      <c r="A10800" s="2" t="s">
        <v>3427</v>
      </c>
      <c r="B10800" s="2" t="s">
        <v>1573</v>
      </c>
      <c r="C10800" s="2">
        <v>788.91359999999997</v>
      </c>
      <c r="D10800" s="2">
        <f>HYPERLINK("http://mcb-m6.bioreg.kyushu-u.ac.jp/M3/20110421/F51035/2236/1", 98.39)</f>
        <v>98.39</v>
      </c>
      <c r="E10800" s="2">
        <v>81.97</v>
      </c>
      <c r="F10800" s="2">
        <v>2</v>
      </c>
      <c r="G10800" s="2" t="s">
        <v>11</v>
      </c>
    </row>
    <row r="10801" spans="1:9" x14ac:dyDescent="0.2">
      <c r="A10801" s="2" t="s">
        <v>3427</v>
      </c>
      <c r="B10801" s="2" t="s">
        <v>233</v>
      </c>
      <c r="C10801" s="2">
        <v>552.64980000000003</v>
      </c>
      <c r="D10801" s="2">
        <f>HYPERLINK("http://mcb-m6.bioreg.kyushu-u.ac.jp/M3/20110428/F51127/2405/1", 47.07)</f>
        <v>47.07</v>
      </c>
      <c r="E10801" s="2">
        <v>27.48</v>
      </c>
      <c r="F10801" s="2">
        <v>3</v>
      </c>
      <c r="G10801" s="2" t="s">
        <v>13</v>
      </c>
    </row>
    <row r="10802" spans="1:9" x14ac:dyDescent="0.2">
      <c r="A10802" s="2" t="s">
        <v>3427</v>
      </c>
      <c r="B10802" s="2" t="s">
        <v>5342</v>
      </c>
      <c r="C10802" s="2">
        <v>644.58669999999995</v>
      </c>
      <c r="D10802" s="2">
        <f>HYPERLINK("http://mcb-m6.bioreg.kyushu-u.ac.jp/M3/20110428/F51127/1378/1", 62.72)</f>
        <v>62.72</v>
      </c>
      <c r="E10802" s="2">
        <v>30.45</v>
      </c>
      <c r="F10802" s="2">
        <v>2</v>
      </c>
      <c r="G10802" s="2" t="s">
        <v>13</v>
      </c>
    </row>
    <row r="10803" spans="1:9" x14ac:dyDescent="0.2">
      <c r="A10803" s="2" t="s">
        <v>3427</v>
      </c>
      <c r="B10803" s="2" t="s">
        <v>5419</v>
      </c>
      <c r="C10803" s="2">
        <v>750.16309999999999</v>
      </c>
      <c r="D10803" s="2">
        <f>HYPERLINK("http://mcb-m6.bioreg.kyushu-u.ac.jp/M3/20110428/F51127/1933/1", 77.87)</f>
        <v>77.87</v>
      </c>
      <c r="E10803" s="2">
        <v>43.82</v>
      </c>
      <c r="F10803" s="2">
        <v>2</v>
      </c>
      <c r="G10803" s="2" t="s">
        <v>13</v>
      </c>
    </row>
    <row r="10804" spans="1:9" x14ac:dyDescent="0.2">
      <c r="A10804" s="2" t="s">
        <v>3427</v>
      </c>
      <c r="B10804" s="2" t="s">
        <v>233</v>
      </c>
      <c r="C10804" s="2">
        <v>828.33420000000001</v>
      </c>
      <c r="D10804" s="2">
        <f>HYPERLINK("http://mcb-m6.bioreg.kyushu-u.ac.jp/M3/20110428/F51127/2404/1", 82.23)</f>
        <v>82.23</v>
      </c>
      <c r="E10804" s="2">
        <v>64.61</v>
      </c>
      <c r="F10804" s="2">
        <v>2</v>
      </c>
      <c r="G10804" s="2" t="s">
        <v>13</v>
      </c>
    </row>
    <row r="10805" spans="1:9" x14ac:dyDescent="0.2">
      <c r="A10805" s="2" t="s">
        <v>3427</v>
      </c>
      <c r="B10805" s="2" t="s">
        <v>5419</v>
      </c>
      <c r="C10805" s="2">
        <v>750.69920000000002</v>
      </c>
      <c r="D10805" s="2">
        <f>HYPERLINK("http://mcb-m6.bioreg.kyushu-u.ac.jp/M3/20110428/F51127/1935/1", 82.75)</f>
        <v>82.75</v>
      </c>
      <c r="E10805" s="2">
        <v>52.67</v>
      </c>
      <c r="F10805" s="2">
        <v>2</v>
      </c>
      <c r="G10805" s="2" t="s">
        <v>13</v>
      </c>
    </row>
    <row r="10806" spans="1:9" x14ac:dyDescent="0.2">
      <c r="A10806" s="2" t="s">
        <v>3427</v>
      </c>
      <c r="B10806" s="2" t="s">
        <v>1573</v>
      </c>
      <c r="C10806" s="2">
        <v>788.65809999999999</v>
      </c>
      <c r="D10806" s="2">
        <f>HYPERLINK("http://mcb-m6.bioreg.kyushu-u.ac.jp/M3/20110428/F51127/2174/1", 88.05)</f>
        <v>88.05</v>
      </c>
      <c r="E10806" s="2">
        <v>68.84</v>
      </c>
      <c r="F10806" s="2">
        <v>2</v>
      </c>
      <c r="G10806" s="2" t="s">
        <v>13</v>
      </c>
    </row>
    <row r="10807" spans="1:9" x14ac:dyDescent="0.2">
      <c r="A10807" s="2" t="s">
        <v>3794</v>
      </c>
      <c r="B10807" s="2" t="s">
        <v>5945</v>
      </c>
      <c r="C10807" s="2">
        <v>689.96619999999996</v>
      </c>
      <c r="D10807" s="2">
        <f>HYPERLINK("http://mcb-m6.bioreg.kyushu-u.ac.jp/M3/20110404/F50764/1633/1", 36.54)</f>
        <v>36.54</v>
      </c>
      <c r="E10807" s="2">
        <v>23.99</v>
      </c>
      <c r="F10807" s="2">
        <v>2</v>
      </c>
      <c r="G10807" s="2" t="s">
        <v>9</v>
      </c>
    </row>
    <row r="10808" spans="1:9" x14ac:dyDescent="0.2">
      <c r="A10808" s="2" t="s">
        <v>3794</v>
      </c>
      <c r="B10808" s="2" t="s">
        <v>6079</v>
      </c>
      <c r="C10808" s="2">
        <v>769.16020000000003</v>
      </c>
      <c r="D10808" s="2">
        <f>HYPERLINK("http://mcb-m6.bioreg.kyushu-u.ac.jp/M3/20110404/F50779/1881/1", 41.38)</f>
        <v>41.38</v>
      </c>
      <c r="E10808" s="2">
        <v>30.4</v>
      </c>
      <c r="F10808" s="2">
        <v>2</v>
      </c>
      <c r="G10808" s="2" t="s">
        <v>9</v>
      </c>
      <c r="I10808" s="2" t="s">
        <v>4918</v>
      </c>
    </row>
    <row r="10809" spans="1:9" x14ac:dyDescent="0.2">
      <c r="A10809" s="2" t="s">
        <v>3794</v>
      </c>
      <c r="B10809" s="2" t="s">
        <v>7203</v>
      </c>
      <c r="C10809" s="2">
        <v>471.26659999999998</v>
      </c>
      <c r="D10809" s="2">
        <f>HYPERLINK("http://mcb-m6.bioreg.kyushu-u.ac.jp/M3/20110421/F51050/984/1", 43.57)</f>
        <v>43.57</v>
      </c>
      <c r="E10809" s="2">
        <v>23.34</v>
      </c>
      <c r="F10809" s="2">
        <v>2</v>
      </c>
      <c r="G10809" s="2" t="s">
        <v>12</v>
      </c>
    </row>
    <row r="10810" spans="1:9" x14ac:dyDescent="0.2">
      <c r="A10810" s="2" t="s">
        <v>7968</v>
      </c>
      <c r="B10810" s="2" t="s">
        <v>7178</v>
      </c>
      <c r="C10810" s="2">
        <v>522.9742</v>
      </c>
      <c r="D10810" s="2">
        <f>HYPERLINK("http://mcb-m6.bioreg.kyushu-u.ac.jp/M3/20110421/F51059/816/1", 38.54)</f>
        <v>38.54</v>
      </c>
      <c r="E10810" s="2">
        <v>10.029999999999999</v>
      </c>
      <c r="F10810" s="2">
        <v>2</v>
      </c>
      <c r="G10810" s="2" t="s">
        <v>12</v>
      </c>
    </row>
    <row r="10811" spans="1:9" x14ac:dyDescent="0.2">
      <c r="A10811" s="2" t="s">
        <v>8092</v>
      </c>
      <c r="B10811" s="2" t="s">
        <v>7438</v>
      </c>
      <c r="C10811" s="2">
        <v>810.16610000000003</v>
      </c>
      <c r="D10811" s="2">
        <f>HYPERLINK("http://mcb-m6.bioreg.kyushu-u.ac.jp/M3/20110427/F51108/2327/1", 90.01)</f>
        <v>90.01</v>
      </c>
      <c r="E10811" s="2">
        <v>53.87</v>
      </c>
      <c r="F10811" s="2">
        <v>2</v>
      </c>
      <c r="G10811" s="2" t="s">
        <v>13</v>
      </c>
    </row>
    <row r="10812" spans="1:9" x14ac:dyDescent="0.2">
      <c r="A10812" s="2" t="s">
        <v>4449</v>
      </c>
      <c r="B10812" s="2" t="s">
        <v>2355</v>
      </c>
      <c r="C10812" s="2">
        <v>661.48270000000002</v>
      </c>
      <c r="D10812" s="2">
        <f>HYPERLINK("http://mcb-m6.bioreg.kyushu-u.ac.jp/M3/20110404/F50751/1831/1", 85.86)</f>
        <v>85.86</v>
      </c>
      <c r="E10812" s="2">
        <v>60.62</v>
      </c>
      <c r="F10812" s="2">
        <v>2</v>
      </c>
      <c r="G10812" s="2" t="s">
        <v>9</v>
      </c>
    </row>
    <row r="10813" spans="1:9" x14ac:dyDescent="0.2">
      <c r="A10813" s="2" t="s">
        <v>4449</v>
      </c>
      <c r="B10813" s="2" t="s">
        <v>2355</v>
      </c>
      <c r="C10813" s="2">
        <v>661.02919999999995</v>
      </c>
      <c r="D10813" s="2">
        <f>HYPERLINK("http://mcb-m6.bioreg.kyushu-u.ac.jp/M3/20110421/F51014/1768/1", 75.34)</f>
        <v>75.34</v>
      </c>
      <c r="E10813" s="2">
        <v>47.88</v>
      </c>
      <c r="F10813" s="2">
        <v>2</v>
      </c>
      <c r="G10813" s="2" t="s">
        <v>11</v>
      </c>
    </row>
    <row r="10814" spans="1:9" x14ac:dyDescent="0.2">
      <c r="A10814" s="2" t="s">
        <v>4449</v>
      </c>
      <c r="B10814" s="2" t="s">
        <v>2355</v>
      </c>
      <c r="C10814" s="2">
        <v>661.54909999999995</v>
      </c>
      <c r="D10814" s="2">
        <f>HYPERLINK("http://mcb-m6.bioreg.kyushu-u.ac.jp/M3/20110421/F51014/1770/1", 87.05)</f>
        <v>87.05</v>
      </c>
      <c r="E10814" s="2">
        <v>58.81</v>
      </c>
      <c r="F10814" s="2">
        <v>2</v>
      </c>
      <c r="G10814" s="2" t="s">
        <v>11</v>
      </c>
    </row>
    <row r="10815" spans="1:9" x14ac:dyDescent="0.2">
      <c r="A10815" s="2" t="s">
        <v>4492</v>
      </c>
      <c r="B10815" s="2" t="s">
        <v>2468</v>
      </c>
      <c r="C10815" s="2">
        <v>624.36869999999999</v>
      </c>
      <c r="D10815" s="2">
        <f>HYPERLINK("http://mcb-m6.bioreg.kyushu-u.ac.jp/M3/20110404/F50751/1756/1", 78.45)</f>
        <v>78.45</v>
      </c>
      <c r="E10815" s="2">
        <v>56.84</v>
      </c>
      <c r="F10815" s="2">
        <v>2</v>
      </c>
      <c r="G10815" s="2" t="s">
        <v>9</v>
      </c>
    </row>
    <row r="10816" spans="1:9" x14ac:dyDescent="0.2">
      <c r="A10816" s="2" t="s">
        <v>4492</v>
      </c>
      <c r="B10816" s="2" t="s">
        <v>2468</v>
      </c>
      <c r="C10816" s="2">
        <v>624.52620000000002</v>
      </c>
      <c r="D10816" s="2">
        <f>HYPERLINK("http://mcb-m6.bioreg.kyushu-u.ac.jp/M3/20110421/F51014/1679/1", 58.64)</f>
        <v>58.64</v>
      </c>
      <c r="E10816" s="2">
        <v>37.07</v>
      </c>
      <c r="F10816" s="2">
        <v>2</v>
      </c>
      <c r="G10816" s="2" t="s">
        <v>11</v>
      </c>
    </row>
    <row r="10817" spans="1:8" x14ac:dyDescent="0.2">
      <c r="A10817" s="2" t="s">
        <v>4492</v>
      </c>
      <c r="B10817" s="2" t="s">
        <v>2468</v>
      </c>
      <c r="C10817" s="2">
        <v>623.96469999999999</v>
      </c>
      <c r="D10817" s="2">
        <f>HYPERLINK("http://mcb-m6.bioreg.kyushu-u.ac.jp/M3/20110421/F51014/1678/1", 70.04)</f>
        <v>70.040000000000006</v>
      </c>
      <c r="E10817" s="2">
        <v>15.63</v>
      </c>
      <c r="F10817" s="2">
        <v>2</v>
      </c>
      <c r="G10817" s="2" t="s">
        <v>11</v>
      </c>
    </row>
    <row r="10818" spans="1:8" x14ac:dyDescent="0.2">
      <c r="A10818" s="2" t="s">
        <v>4492</v>
      </c>
      <c r="B10818" s="2" t="s">
        <v>2468</v>
      </c>
      <c r="C10818" s="2">
        <v>624.38019999999995</v>
      </c>
      <c r="D10818" s="2">
        <f>HYPERLINK("http://mcb-m6.bioreg.kyushu-u.ac.jp/M3/20110427/F51108/1635/1", 74.64)</f>
        <v>74.64</v>
      </c>
      <c r="E10818" s="2">
        <v>49.72</v>
      </c>
      <c r="F10818" s="2">
        <v>2</v>
      </c>
      <c r="G10818" s="2" t="s">
        <v>13</v>
      </c>
    </row>
    <row r="10819" spans="1:8" x14ac:dyDescent="0.2">
      <c r="A10819" s="2" t="s">
        <v>4047</v>
      </c>
      <c r="B10819" s="2" t="s">
        <v>1394</v>
      </c>
      <c r="C10819" s="2">
        <v>711.66859999999997</v>
      </c>
      <c r="D10819" s="2">
        <f>HYPERLINK("http://mcb-m6.bioreg.kyushu-u.ac.jp/M3/20110427/F51113/1862/1", 88.54)</f>
        <v>88.54</v>
      </c>
      <c r="E10819" s="2">
        <v>62.1</v>
      </c>
      <c r="F10819" s="2">
        <v>2</v>
      </c>
      <c r="G10819" s="2" t="s">
        <v>13</v>
      </c>
      <c r="H10819" s="2" t="s">
        <v>4927</v>
      </c>
    </row>
    <row r="10820" spans="1:8" x14ac:dyDescent="0.2">
      <c r="A10820" s="2" t="s">
        <v>4047</v>
      </c>
      <c r="B10820" s="2" t="s">
        <v>1394</v>
      </c>
      <c r="C10820" s="2">
        <v>704.17219999999998</v>
      </c>
      <c r="D10820" s="2">
        <f>HYPERLINK("http://mcb-m6.bioreg.kyushu-u.ac.jp/M3/20110427/F51113/1829/1", 97.27)</f>
        <v>97.27</v>
      </c>
      <c r="E10820" s="2">
        <v>78.33</v>
      </c>
      <c r="F10820" s="2">
        <v>2</v>
      </c>
      <c r="G10820" s="2" t="s">
        <v>13</v>
      </c>
    </row>
    <row r="10821" spans="1:8" x14ac:dyDescent="0.2">
      <c r="A10821" s="2" t="s">
        <v>3893</v>
      </c>
      <c r="B10821" s="2" t="s">
        <v>1038</v>
      </c>
      <c r="C10821" s="2">
        <v>586.20069999999998</v>
      </c>
      <c r="D10821" s="2">
        <f>HYPERLINK("http://mcb-m6.bioreg.kyushu-u.ac.jp/M3/20110404/F50754/1588/1", 76.5)</f>
        <v>76.5</v>
      </c>
      <c r="E10821" s="2">
        <v>55.7</v>
      </c>
      <c r="F10821" s="2">
        <v>2</v>
      </c>
      <c r="G10821" s="2" t="s">
        <v>9</v>
      </c>
    </row>
    <row r="10822" spans="1:8" x14ac:dyDescent="0.2">
      <c r="A10822" s="2" t="s">
        <v>3893</v>
      </c>
      <c r="B10822" s="2" t="s">
        <v>1038</v>
      </c>
      <c r="C10822" s="2">
        <v>586.30820000000006</v>
      </c>
      <c r="D10822" s="2">
        <f>HYPERLINK("http://mcb-m6.bioreg.kyushu-u.ac.jp/M3/20110421/F51018/1425/1", 64.68)</f>
        <v>64.680000000000007</v>
      </c>
      <c r="E10822" s="2">
        <v>44.41</v>
      </c>
      <c r="F10822" s="2">
        <v>2</v>
      </c>
      <c r="G10822" s="2" t="s">
        <v>11</v>
      </c>
    </row>
    <row r="10823" spans="1:8" x14ac:dyDescent="0.2">
      <c r="A10823" s="2" t="s">
        <v>3893</v>
      </c>
      <c r="B10823" s="2" t="s">
        <v>1038</v>
      </c>
      <c r="C10823" s="2">
        <v>586.68119999999999</v>
      </c>
      <c r="D10823" s="2">
        <f>HYPERLINK("http://mcb-m6.bioreg.kyushu-u.ac.jp/M3/20110427/F51112/1436/1", 76.47)</f>
        <v>76.47</v>
      </c>
      <c r="E10823" s="2">
        <v>52.69</v>
      </c>
      <c r="F10823" s="2">
        <v>2</v>
      </c>
      <c r="G10823" s="2" t="s">
        <v>13</v>
      </c>
    </row>
    <row r="10824" spans="1:8" x14ac:dyDescent="0.2">
      <c r="A10824" s="2" t="s">
        <v>3893</v>
      </c>
      <c r="B10824" s="2" t="s">
        <v>1038</v>
      </c>
      <c r="C10824" s="2">
        <v>586.17269999999996</v>
      </c>
      <c r="D10824" s="2">
        <f>HYPERLINK("http://mcb-m6.bioreg.kyushu-u.ac.jp/M3/20110427/F51121/1537/1", 57.77)</f>
        <v>57.77</v>
      </c>
      <c r="E10824" s="2">
        <v>39.01</v>
      </c>
      <c r="F10824" s="2">
        <v>2</v>
      </c>
      <c r="G10824" s="2" t="s">
        <v>14</v>
      </c>
    </row>
    <row r="10825" spans="1:8" x14ac:dyDescent="0.2">
      <c r="A10825" s="2" t="s">
        <v>4069</v>
      </c>
      <c r="B10825" s="2" t="s">
        <v>1449</v>
      </c>
      <c r="C10825" s="2">
        <v>669.14670000000001</v>
      </c>
      <c r="D10825" s="2">
        <f>HYPERLINK("http://mcb-m6.bioreg.kyushu-u.ac.jp/M3/20110404/F50754/1843/1", 84.13)</f>
        <v>84.13</v>
      </c>
      <c r="E10825" s="2">
        <v>67.099999999999994</v>
      </c>
      <c r="F10825" s="2">
        <v>2</v>
      </c>
      <c r="G10825" s="2" t="s">
        <v>9</v>
      </c>
    </row>
    <row r="10826" spans="1:8" x14ac:dyDescent="0.2">
      <c r="A10826" s="2" t="s">
        <v>4069</v>
      </c>
      <c r="B10826" s="2" t="s">
        <v>1449</v>
      </c>
      <c r="C10826" s="2">
        <v>669.1241</v>
      </c>
      <c r="D10826" s="2">
        <f>HYPERLINK("http://mcb-m6.bioreg.kyushu-u.ac.jp/M3/20110421/F51018/1724/1", 58.65)</f>
        <v>58.65</v>
      </c>
      <c r="E10826" s="2">
        <v>40.590000000000003</v>
      </c>
      <c r="F10826" s="2">
        <v>2</v>
      </c>
      <c r="G10826" s="2" t="s">
        <v>11</v>
      </c>
    </row>
    <row r="10827" spans="1:8" x14ac:dyDescent="0.2">
      <c r="A10827" s="2" t="s">
        <v>4069</v>
      </c>
      <c r="B10827" s="2" t="s">
        <v>1449</v>
      </c>
      <c r="C10827" s="2">
        <v>677.2722</v>
      </c>
      <c r="D10827" s="2">
        <f>HYPERLINK("http://mcb-m6.bioreg.kyushu-u.ac.jp/M3/20110421/F51017/1664/1", 77.16)</f>
        <v>77.16</v>
      </c>
      <c r="E10827" s="2">
        <v>55.29</v>
      </c>
      <c r="F10827" s="2">
        <v>2</v>
      </c>
      <c r="G10827" s="2" t="s">
        <v>11</v>
      </c>
      <c r="H10827" s="2" t="s">
        <v>4910</v>
      </c>
    </row>
    <row r="10828" spans="1:8" x14ac:dyDescent="0.2">
      <c r="A10828" s="2" t="s">
        <v>4069</v>
      </c>
      <c r="B10828" s="2" t="s">
        <v>1449</v>
      </c>
      <c r="C10828" s="2">
        <v>677.22559999999999</v>
      </c>
      <c r="D10828" s="2">
        <f>HYPERLINK("http://mcb-m6.bioreg.kyushu-u.ac.jp/M3/20110421/F51023/1802/1", 99.8)</f>
        <v>99.8</v>
      </c>
      <c r="E10828" s="2">
        <v>76.14</v>
      </c>
      <c r="F10828" s="2">
        <v>2</v>
      </c>
      <c r="G10828" s="2" t="s">
        <v>12</v>
      </c>
      <c r="H10828" s="2" t="s">
        <v>4910</v>
      </c>
    </row>
    <row r="10829" spans="1:8" x14ac:dyDescent="0.2">
      <c r="A10829" s="2" t="s">
        <v>5850</v>
      </c>
      <c r="B10829" s="2" t="s">
        <v>6143</v>
      </c>
      <c r="C10829" s="2">
        <v>659.49770000000001</v>
      </c>
      <c r="D10829" s="2">
        <f>HYPERLINK("http://mcb-m6.bioreg.kyushu-u.ac.jp/M3/20110404/F50755/1576/1", 44.16)</f>
        <v>44.16</v>
      </c>
      <c r="E10829" s="2">
        <v>23.51</v>
      </c>
      <c r="F10829" s="2">
        <v>2</v>
      </c>
      <c r="G10829" s="2" t="s">
        <v>9</v>
      </c>
    </row>
    <row r="10830" spans="1:8" x14ac:dyDescent="0.2">
      <c r="A10830" s="2" t="s">
        <v>5850</v>
      </c>
      <c r="B10830" s="2" t="s">
        <v>5544</v>
      </c>
      <c r="C10830" s="2">
        <v>638.71510000000001</v>
      </c>
      <c r="D10830" s="2">
        <f>HYPERLINK("http://mcb-m6.bioreg.kyushu-u.ac.jp/M3/20110427/F51122/1778/1", 60.39)</f>
        <v>60.39</v>
      </c>
      <c r="E10830" s="2">
        <v>43.19</v>
      </c>
      <c r="F10830" s="2">
        <v>2</v>
      </c>
      <c r="G10830" s="2" t="s">
        <v>14</v>
      </c>
    </row>
    <row r="10831" spans="1:8" x14ac:dyDescent="0.2">
      <c r="A10831" s="2" t="s">
        <v>3443</v>
      </c>
      <c r="B10831" s="2" t="s">
        <v>488</v>
      </c>
      <c r="C10831" s="2">
        <v>487.26010000000002</v>
      </c>
      <c r="D10831" s="2">
        <f>HYPERLINK("http://mcb-m6.bioreg.kyushu-u.ac.jp/M3/20110404/F50756/967/1", 36.78)</f>
        <v>36.78</v>
      </c>
      <c r="E10831" s="2">
        <v>18.63</v>
      </c>
      <c r="F10831" s="2">
        <v>2</v>
      </c>
      <c r="G10831" s="2" t="s">
        <v>9</v>
      </c>
    </row>
    <row r="10832" spans="1:8" x14ac:dyDescent="0.2">
      <c r="A10832" s="2" t="s">
        <v>3443</v>
      </c>
      <c r="B10832" s="2" t="s">
        <v>1557</v>
      </c>
      <c r="C10832" s="2">
        <v>664.78719999999998</v>
      </c>
      <c r="D10832" s="2">
        <f>HYPERLINK("http://mcb-m6.bioreg.kyushu-u.ac.jp/M3/20110404/F50756/1582/1", 53.32)</f>
        <v>53.32</v>
      </c>
      <c r="E10832" s="2">
        <v>26.36</v>
      </c>
      <c r="F10832" s="2">
        <v>2</v>
      </c>
      <c r="G10832" s="2" t="s">
        <v>9</v>
      </c>
    </row>
    <row r="10833" spans="1:8" x14ac:dyDescent="0.2">
      <c r="A10833" s="2" t="s">
        <v>3443</v>
      </c>
      <c r="B10833" s="2" t="s">
        <v>1074</v>
      </c>
      <c r="C10833" s="2">
        <v>579.72969999999998</v>
      </c>
      <c r="D10833" s="2">
        <f>HYPERLINK("http://mcb-m6.bioreg.kyushu-u.ac.jp/M3/20110404/F50756/1271/1", 67.59)</f>
        <v>67.59</v>
      </c>
      <c r="E10833" s="2">
        <v>33.909999999999997</v>
      </c>
      <c r="F10833" s="2">
        <v>2</v>
      </c>
      <c r="G10833" s="2" t="s">
        <v>9</v>
      </c>
    </row>
    <row r="10834" spans="1:8" x14ac:dyDescent="0.2">
      <c r="A10834" s="2" t="s">
        <v>3443</v>
      </c>
      <c r="B10834" s="2" t="s">
        <v>6552</v>
      </c>
      <c r="C10834" s="2">
        <v>935.50459999999998</v>
      </c>
      <c r="D10834" s="2">
        <f>HYPERLINK("http://mcb-m6.bioreg.kyushu-u.ac.jp/M3/20110404/F50756/2845/1", 79.16)</f>
        <v>79.16</v>
      </c>
      <c r="E10834" s="2">
        <v>63.4</v>
      </c>
      <c r="F10834" s="2">
        <v>2</v>
      </c>
      <c r="G10834" s="2" t="s">
        <v>9</v>
      </c>
    </row>
    <row r="10835" spans="1:8" x14ac:dyDescent="0.2">
      <c r="A10835" s="2" t="s">
        <v>3443</v>
      </c>
      <c r="B10835" s="2" t="s">
        <v>1174</v>
      </c>
      <c r="C10835" s="2">
        <v>739.41269999999997</v>
      </c>
      <c r="D10835" s="2">
        <f>HYPERLINK("http://mcb-m6.bioreg.kyushu-u.ac.jp/M3/20110404/F50756/1963/1", 80.8)</f>
        <v>80.8</v>
      </c>
      <c r="E10835" s="2">
        <v>64.209999999999994</v>
      </c>
      <c r="F10835" s="2">
        <v>2</v>
      </c>
      <c r="G10835" s="2" t="s">
        <v>9</v>
      </c>
    </row>
    <row r="10836" spans="1:8" x14ac:dyDescent="0.2">
      <c r="A10836" s="2" t="s">
        <v>3443</v>
      </c>
      <c r="B10836" s="2" t="s">
        <v>6630</v>
      </c>
      <c r="C10836" s="2">
        <v>1061.3710000000001</v>
      </c>
      <c r="D10836" s="2">
        <f>HYPERLINK("http://mcb-m6.bioreg.kyushu-u.ac.jp/M3/20110404/F50756/3239/1", 98.92)</f>
        <v>98.92</v>
      </c>
      <c r="E10836" s="2">
        <v>87.43</v>
      </c>
      <c r="F10836" s="2">
        <v>2</v>
      </c>
      <c r="G10836" s="2" t="s">
        <v>9</v>
      </c>
    </row>
    <row r="10837" spans="1:8" x14ac:dyDescent="0.2">
      <c r="A10837" s="2" t="s">
        <v>3443</v>
      </c>
      <c r="B10837" s="2" t="s">
        <v>6716</v>
      </c>
      <c r="C10837" s="2">
        <v>749.3152</v>
      </c>
      <c r="D10837" s="2">
        <f>HYPERLINK("http://mcb-m6.bioreg.kyushu-u.ac.jp/M3/20110404/F50761/1870/1", 37.47)</f>
        <v>37.47</v>
      </c>
      <c r="E10837" s="2">
        <v>19.28</v>
      </c>
      <c r="F10837" s="2">
        <v>2</v>
      </c>
      <c r="G10837" s="2" t="s">
        <v>10</v>
      </c>
    </row>
    <row r="10838" spans="1:8" x14ac:dyDescent="0.2">
      <c r="A10838" s="2" t="s">
        <v>3443</v>
      </c>
      <c r="B10838" s="2" t="s">
        <v>1557</v>
      </c>
      <c r="C10838" s="2">
        <v>664.7491</v>
      </c>
      <c r="D10838" s="2">
        <f>HYPERLINK("http://mcb-m6.bioreg.kyushu-u.ac.jp/M3/20110404/F50761/1513/1", 45.94)</f>
        <v>45.94</v>
      </c>
      <c r="E10838" s="2">
        <v>24.29</v>
      </c>
      <c r="F10838" s="2">
        <v>2</v>
      </c>
      <c r="G10838" s="2" t="s">
        <v>10</v>
      </c>
    </row>
    <row r="10839" spans="1:8" x14ac:dyDescent="0.2">
      <c r="A10839" s="2" t="s">
        <v>3443</v>
      </c>
      <c r="B10839" s="2" t="s">
        <v>1557</v>
      </c>
      <c r="C10839" s="2">
        <v>665.28809999999999</v>
      </c>
      <c r="D10839" s="2">
        <f>HYPERLINK("http://mcb-m6.bioreg.kyushu-u.ac.jp/M3/20110404/F50761/1517/1", 69.92)</f>
        <v>69.92</v>
      </c>
      <c r="E10839" s="2">
        <v>49</v>
      </c>
      <c r="F10839" s="2">
        <v>2</v>
      </c>
      <c r="G10839" s="2" t="s">
        <v>10</v>
      </c>
    </row>
    <row r="10840" spans="1:8" x14ac:dyDescent="0.2">
      <c r="A10840" s="2" t="s">
        <v>3443</v>
      </c>
      <c r="B10840" s="2" t="s">
        <v>1074</v>
      </c>
      <c r="C10840" s="2">
        <v>579.77369999999996</v>
      </c>
      <c r="D10840" s="2">
        <f>HYPERLINK("http://mcb-m6.bioreg.kyushu-u.ac.jp/M3/20110421/F51034/1235/1", 72.9)</f>
        <v>72.900000000000006</v>
      </c>
      <c r="E10840" s="2">
        <v>46.96</v>
      </c>
      <c r="F10840" s="2">
        <v>2</v>
      </c>
      <c r="G10840" s="2" t="s">
        <v>11</v>
      </c>
    </row>
    <row r="10841" spans="1:8" x14ac:dyDescent="0.2">
      <c r="A10841" s="2" t="s">
        <v>3443</v>
      </c>
      <c r="B10841" s="2" t="s">
        <v>7167</v>
      </c>
      <c r="C10841" s="2">
        <v>720.95259999999996</v>
      </c>
      <c r="D10841" s="2">
        <f>HYPERLINK("http://mcb-m6.bioreg.kyushu-u.ac.jp/M3/20110421/F51044/1936/1", 37.13)</f>
        <v>37.130000000000003</v>
      </c>
      <c r="E10841" s="2">
        <v>18.559999999999999</v>
      </c>
      <c r="F10841" s="2">
        <v>2</v>
      </c>
      <c r="G10841" s="2" t="s">
        <v>12</v>
      </c>
      <c r="H10841" s="2" t="s">
        <v>4904</v>
      </c>
    </row>
    <row r="10842" spans="1:8" x14ac:dyDescent="0.2">
      <c r="A10842" s="2" t="s">
        <v>3443</v>
      </c>
      <c r="B10842" s="2" t="s">
        <v>1074</v>
      </c>
      <c r="C10842" s="2">
        <v>579.41719999999998</v>
      </c>
      <c r="D10842" s="2">
        <f>HYPERLINK("http://mcb-m6.bioreg.kyushu-u.ac.jp/M3/20110421/F51044/1230/1", 37.79)</f>
        <v>37.79</v>
      </c>
      <c r="E10842" s="2">
        <v>23.75</v>
      </c>
      <c r="F10842" s="2">
        <v>2</v>
      </c>
      <c r="G10842" s="2" t="s">
        <v>12</v>
      </c>
    </row>
    <row r="10843" spans="1:8" x14ac:dyDescent="0.2">
      <c r="A10843" s="2" t="s">
        <v>3443</v>
      </c>
      <c r="B10843" s="2" t="s">
        <v>1074</v>
      </c>
      <c r="C10843" s="2">
        <v>579.6422</v>
      </c>
      <c r="D10843" s="2">
        <f>HYPERLINK("http://mcb-m6.bioreg.kyushu-u.ac.jp/M3/20110427/F51123/1342/1", 46.72)</f>
        <v>46.72</v>
      </c>
      <c r="E10843" s="2">
        <v>23.95</v>
      </c>
      <c r="F10843" s="2">
        <v>2</v>
      </c>
      <c r="G10843" s="2" t="s">
        <v>14</v>
      </c>
    </row>
    <row r="10844" spans="1:8" x14ac:dyDescent="0.2">
      <c r="A10844" s="2" t="s">
        <v>3818</v>
      </c>
      <c r="B10844" s="2" t="s">
        <v>880</v>
      </c>
      <c r="C10844" s="2">
        <v>814.81569999999999</v>
      </c>
      <c r="D10844" s="2">
        <f>HYPERLINK("http://mcb-m6.bioreg.kyushu-u.ac.jp/M3/20110404/F50754/2354/1", 74.03)</f>
        <v>74.03</v>
      </c>
      <c r="E10844" s="2">
        <v>45.56</v>
      </c>
      <c r="F10844" s="2">
        <v>2</v>
      </c>
      <c r="G10844" s="2" t="s">
        <v>9</v>
      </c>
    </row>
    <row r="10845" spans="1:8" x14ac:dyDescent="0.2">
      <c r="A10845" s="4" t="s">
        <v>3677</v>
      </c>
      <c r="B10845" s="2" t="s">
        <v>632</v>
      </c>
      <c r="C10845" s="2">
        <v>828.40309999999999</v>
      </c>
      <c r="D10845" s="2">
        <f>HYPERLINK("http://mcb-m6.bioreg.kyushu-u.ac.jp/M3/20110404/F50752/2380/1", 55.88)</f>
        <v>55.88</v>
      </c>
      <c r="E10845" s="2">
        <v>38.619999999999997</v>
      </c>
      <c r="F10845" s="2">
        <v>2</v>
      </c>
      <c r="G10845" s="2" t="s">
        <v>9</v>
      </c>
    </row>
    <row r="10846" spans="1:8" x14ac:dyDescent="0.2">
      <c r="A10846" s="4" t="s">
        <v>3677</v>
      </c>
      <c r="B10846" s="2" t="s">
        <v>632</v>
      </c>
      <c r="C10846" s="2">
        <v>828.07119999999998</v>
      </c>
      <c r="D10846" s="2">
        <f>HYPERLINK("http://mcb-m6.bioreg.kyushu-u.ac.jp/M3/20110404/F50752/2378/1", 100.03)</f>
        <v>100.03</v>
      </c>
      <c r="E10846" s="2">
        <v>81.69</v>
      </c>
      <c r="F10846" s="2">
        <v>2</v>
      </c>
      <c r="G10846" s="2" t="s">
        <v>9</v>
      </c>
    </row>
    <row r="10847" spans="1:8" x14ac:dyDescent="0.2">
      <c r="A10847" s="4" t="s">
        <v>3677</v>
      </c>
      <c r="B10847" s="2" t="s">
        <v>632</v>
      </c>
      <c r="C10847" s="2">
        <v>827.79319999999996</v>
      </c>
      <c r="D10847" s="2">
        <f>HYPERLINK("http://mcb-m6.bioreg.kyushu-u.ac.jp/M3/20110404/F50753/2345/1", 122.65)</f>
        <v>122.65</v>
      </c>
      <c r="E10847" s="2">
        <v>100.34</v>
      </c>
      <c r="F10847" s="2">
        <v>2</v>
      </c>
      <c r="G10847" s="2" t="s">
        <v>9</v>
      </c>
    </row>
    <row r="10848" spans="1:8" x14ac:dyDescent="0.2">
      <c r="A10848" s="4" t="s">
        <v>3677</v>
      </c>
      <c r="B10848" s="2" t="s">
        <v>632</v>
      </c>
      <c r="C10848" s="2">
        <v>828.50419999999997</v>
      </c>
      <c r="D10848" s="2">
        <f>HYPERLINK("http://mcb-m6.bioreg.kyushu-u.ac.jp/M3/20110427/F51110/2529/1", 43.92)</f>
        <v>43.92</v>
      </c>
      <c r="E10848" s="2">
        <v>28.57</v>
      </c>
      <c r="F10848" s="2">
        <v>2</v>
      </c>
      <c r="G10848" s="2" t="s">
        <v>13</v>
      </c>
    </row>
    <row r="10849" spans="1:7" x14ac:dyDescent="0.2">
      <c r="A10849" s="2" t="s">
        <v>4857</v>
      </c>
      <c r="B10849" s="2" t="s">
        <v>3140</v>
      </c>
      <c r="C10849" s="2">
        <v>509.80309999999997</v>
      </c>
      <c r="D10849" s="2">
        <f>HYPERLINK("http://mcb-m6.bioreg.kyushu-u.ac.jp/M3/20110404/F50752/1385/1", 51.05)</f>
        <v>51.05</v>
      </c>
      <c r="E10849" s="2">
        <v>12.62</v>
      </c>
      <c r="F10849" s="2">
        <v>2</v>
      </c>
      <c r="G10849" s="2" t="s">
        <v>9</v>
      </c>
    </row>
    <row r="10850" spans="1:7" x14ac:dyDescent="0.2">
      <c r="A10850" s="2" t="s">
        <v>3854</v>
      </c>
      <c r="B10850" s="2" t="s">
        <v>956</v>
      </c>
      <c r="C10850" s="2">
        <v>831.41359999999997</v>
      </c>
      <c r="D10850" s="2">
        <f>HYPERLINK("http://mcb-m6.bioreg.kyushu-u.ac.jp/M3/20110404/F50752/2387/1", 74.64)</f>
        <v>74.64</v>
      </c>
      <c r="E10850" s="2">
        <v>67.63</v>
      </c>
      <c r="F10850" s="2">
        <v>2</v>
      </c>
      <c r="G10850" s="2" t="s">
        <v>9</v>
      </c>
    </row>
    <row r="10851" spans="1:7" x14ac:dyDescent="0.2">
      <c r="A10851" s="2" t="s">
        <v>3854</v>
      </c>
      <c r="B10851" s="2" t="s">
        <v>956</v>
      </c>
      <c r="C10851" s="2">
        <v>830.74109999999996</v>
      </c>
      <c r="D10851" s="2">
        <f>HYPERLINK("http://mcb-m6.bioreg.kyushu-u.ac.jp/M3/20110404/F50752/2384/1", 88.8)</f>
        <v>88.8</v>
      </c>
      <c r="E10851" s="2">
        <v>79.75</v>
      </c>
      <c r="F10851" s="2">
        <v>2</v>
      </c>
      <c r="G10851" s="2" t="s">
        <v>9</v>
      </c>
    </row>
    <row r="10852" spans="1:7" x14ac:dyDescent="0.2">
      <c r="A10852" s="2" t="s">
        <v>3854</v>
      </c>
      <c r="B10852" s="2" t="s">
        <v>956</v>
      </c>
      <c r="C10852" s="2">
        <v>831.16219999999998</v>
      </c>
      <c r="D10852" s="2">
        <f>HYPERLINK("http://mcb-m6.bioreg.kyushu-u.ac.jp/M3/20110404/F50757/2298/1", 35.76)</f>
        <v>35.76</v>
      </c>
      <c r="E10852" s="2">
        <v>22.73</v>
      </c>
      <c r="F10852" s="2">
        <v>2</v>
      </c>
      <c r="G10852" s="2" t="s">
        <v>10</v>
      </c>
    </row>
    <row r="10853" spans="1:7" x14ac:dyDescent="0.2">
      <c r="A10853" s="2" t="s">
        <v>4128</v>
      </c>
      <c r="B10853" s="2" t="s">
        <v>1652</v>
      </c>
      <c r="C10853" s="2">
        <v>573.93679999999995</v>
      </c>
      <c r="D10853" s="2">
        <f>HYPERLINK("http://mcb-m6.bioreg.kyushu-u.ac.jp/M3/20110404/F50753/2462/1", 77.77)</f>
        <v>77.77</v>
      </c>
      <c r="E10853" s="2">
        <v>58.92</v>
      </c>
      <c r="F10853" s="2">
        <v>3</v>
      </c>
      <c r="G10853" s="2" t="s">
        <v>9</v>
      </c>
    </row>
    <row r="10854" spans="1:7" x14ac:dyDescent="0.2">
      <c r="A10854" s="2" t="s">
        <v>4128</v>
      </c>
      <c r="B10854" s="2" t="s">
        <v>1652</v>
      </c>
      <c r="C10854" s="2">
        <v>859.66020000000003</v>
      </c>
      <c r="D10854" s="2">
        <f>HYPERLINK("http://mcb-m6.bioreg.kyushu-u.ac.jp/M3/20110404/F50753/2461/1", 110.88)</f>
        <v>110.88</v>
      </c>
      <c r="E10854" s="2">
        <v>34.76</v>
      </c>
      <c r="F10854" s="2">
        <v>2</v>
      </c>
      <c r="G10854" s="2" t="s">
        <v>9</v>
      </c>
    </row>
    <row r="10855" spans="1:7" x14ac:dyDescent="0.2">
      <c r="A10855" s="2" t="s">
        <v>4128</v>
      </c>
      <c r="B10855" s="2" t="s">
        <v>1652</v>
      </c>
      <c r="C10855" s="2">
        <v>860.17769999999996</v>
      </c>
      <c r="D10855" s="2">
        <f>HYPERLINK("http://mcb-m6.bioreg.kyushu-u.ac.jp/M3/20110404/F50758/2309/1", 96.04)</f>
        <v>96.04</v>
      </c>
      <c r="E10855" s="2">
        <v>78.58</v>
      </c>
      <c r="F10855" s="2">
        <v>2</v>
      </c>
      <c r="G10855" s="2" t="s">
        <v>10</v>
      </c>
    </row>
    <row r="10856" spans="1:7" x14ac:dyDescent="0.2">
      <c r="A10856" s="2" t="s">
        <v>4128</v>
      </c>
      <c r="B10856" s="2" t="s">
        <v>1652</v>
      </c>
      <c r="C10856" s="2">
        <v>860.20510000000002</v>
      </c>
      <c r="D10856" s="2">
        <f>HYPERLINK("http://mcb-m6.bioreg.kyushu-u.ac.jp/M3/20110421/F51017/2661/1", 84.38)</f>
        <v>84.38</v>
      </c>
      <c r="E10856" s="2">
        <v>67.38</v>
      </c>
      <c r="F10856" s="2">
        <v>2</v>
      </c>
      <c r="G10856" s="2" t="s">
        <v>11</v>
      </c>
    </row>
    <row r="10857" spans="1:7" x14ac:dyDescent="0.2">
      <c r="A10857" s="2" t="s">
        <v>4128</v>
      </c>
      <c r="B10857" s="2" t="s">
        <v>1652</v>
      </c>
      <c r="C10857" s="2">
        <v>860.13070000000005</v>
      </c>
      <c r="D10857" s="2">
        <f>HYPERLINK("http://mcb-m6.bioreg.kyushu-u.ac.jp/M3/20110427/F51111/2695/1", 73.44)</f>
        <v>73.44</v>
      </c>
      <c r="E10857" s="2">
        <v>60.56</v>
      </c>
      <c r="F10857" s="2">
        <v>2</v>
      </c>
      <c r="G10857" s="2" t="s">
        <v>13</v>
      </c>
    </row>
    <row r="10858" spans="1:7" x14ac:dyDescent="0.2">
      <c r="A10858" s="2" t="s">
        <v>3374</v>
      </c>
      <c r="B10858" s="2" t="s">
        <v>6190</v>
      </c>
      <c r="C10858" s="2">
        <v>721.59370000000001</v>
      </c>
      <c r="D10858" s="2">
        <f>HYPERLINK("http://mcb-m6.bioreg.kyushu-u.ac.jp/M3/20110404/F50753/1940/1", 46.04)</f>
        <v>46.04</v>
      </c>
      <c r="E10858" s="2">
        <v>27.78</v>
      </c>
      <c r="F10858" s="2">
        <v>2</v>
      </c>
      <c r="G10858" s="2" t="s">
        <v>9</v>
      </c>
    </row>
    <row r="10859" spans="1:7" x14ac:dyDescent="0.2">
      <c r="A10859" s="2" t="s">
        <v>3374</v>
      </c>
      <c r="B10859" s="2" t="s">
        <v>283</v>
      </c>
      <c r="C10859" s="2">
        <v>754.11969999999997</v>
      </c>
      <c r="D10859" s="2">
        <f>HYPERLINK("http://mcb-m6.bioreg.kyushu-u.ac.jp/M3/20110404/F50753/2061/1", 47.56)</f>
        <v>47.56</v>
      </c>
      <c r="E10859" s="2">
        <v>29.67</v>
      </c>
      <c r="F10859" s="2">
        <v>2</v>
      </c>
      <c r="G10859" s="2" t="s">
        <v>9</v>
      </c>
    </row>
    <row r="10860" spans="1:7" x14ac:dyDescent="0.2">
      <c r="A10860" s="2" t="s">
        <v>3374</v>
      </c>
      <c r="B10860" s="2" t="s">
        <v>283</v>
      </c>
      <c r="C10860" s="2">
        <v>1506.4459999999999</v>
      </c>
      <c r="D10860" s="2">
        <f>HYPERLINK("http://mcb-m6.bioreg.kyushu-u.ac.jp/M3/20110404/F50753/2060/1", 72.63)</f>
        <v>72.63</v>
      </c>
      <c r="E10860" s="2">
        <v>49.73</v>
      </c>
      <c r="F10860" s="2">
        <v>1</v>
      </c>
      <c r="G10860" s="2" t="s">
        <v>9</v>
      </c>
    </row>
    <row r="10861" spans="1:7" x14ac:dyDescent="0.2">
      <c r="A10861" s="2" t="s">
        <v>3374</v>
      </c>
      <c r="B10861" s="2" t="s">
        <v>283</v>
      </c>
      <c r="C10861" s="2">
        <v>754.21010000000001</v>
      </c>
      <c r="D10861" s="2">
        <f>HYPERLINK("http://mcb-m6.bioreg.kyushu-u.ac.jp/M3/20110404/F50753/2063/1", 87.58)</f>
        <v>87.58</v>
      </c>
      <c r="E10861" s="2">
        <v>64.08</v>
      </c>
      <c r="F10861" s="2">
        <v>2</v>
      </c>
      <c r="G10861" s="2" t="s">
        <v>9</v>
      </c>
    </row>
    <row r="10862" spans="1:7" x14ac:dyDescent="0.2">
      <c r="A10862" s="2" t="s">
        <v>3374</v>
      </c>
      <c r="B10862" s="2" t="s">
        <v>166</v>
      </c>
      <c r="C10862" s="2">
        <v>657.65970000000004</v>
      </c>
      <c r="D10862" s="2">
        <f>HYPERLINK("http://mcb-m6.bioreg.kyushu-u.ac.jp/M3/20110404/F50758/1603/1", 41.63)</f>
        <v>41.63</v>
      </c>
      <c r="E10862" s="2">
        <v>24.33</v>
      </c>
      <c r="F10862" s="2">
        <v>2</v>
      </c>
      <c r="G10862" s="2" t="s">
        <v>10</v>
      </c>
    </row>
    <row r="10863" spans="1:7" x14ac:dyDescent="0.2">
      <c r="A10863" s="2" t="s">
        <v>3374</v>
      </c>
      <c r="B10863" s="2" t="s">
        <v>283</v>
      </c>
      <c r="C10863" s="2">
        <v>754.02719999999999</v>
      </c>
      <c r="D10863" s="2">
        <f>HYPERLINK("http://mcb-m6.bioreg.kyushu-u.ac.jp/M3/20110404/F50758/1957/1", 92.72)</f>
        <v>92.72</v>
      </c>
      <c r="E10863" s="2">
        <v>77.36</v>
      </c>
      <c r="F10863" s="2">
        <v>2</v>
      </c>
      <c r="G10863" s="2" t="s">
        <v>10</v>
      </c>
    </row>
    <row r="10864" spans="1:7" x14ac:dyDescent="0.2">
      <c r="A10864" s="2" t="s">
        <v>3374</v>
      </c>
      <c r="B10864" s="2" t="s">
        <v>283</v>
      </c>
      <c r="C10864" s="2">
        <v>753.66470000000004</v>
      </c>
      <c r="D10864" s="2">
        <f>HYPERLINK("http://mcb-m6.bioreg.kyushu-u.ac.jp/M3/20110421/F51017/2111/1", 100.43)</f>
        <v>100.43</v>
      </c>
      <c r="E10864" s="2">
        <v>64.42</v>
      </c>
      <c r="F10864" s="2">
        <v>2</v>
      </c>
      <c r="G10864" s="2" t="s">
        <v>11</v>
      </c>
    </row>
    <row r="10865" spans="1:8" x14ac:dyDescent="0.2">
      <c r="A10865" s="2" t="s">
        <v>3374</v>
      </c>
      <c r="B10865" s="2" t="s">
        <v>283</v>
      </c>
      <c r="C10865" s="2">
        <v>753.79859999999996</v>
      </c>
      <c r="D10865" s="2">
        <f>HYPERLINK("http://mcb-m6.bioreg.kyushu-u.ac.jp/M3/20110427/F51111/2198/1", 82.57)</f>
        <v>82.57</v>
      </c>
      <c r="E10865" s="2">
        <v>62.69</v>
      </c>
      <c r="F10865" s="2">
        <v>2</v>
      </c>
      <c r="G10865" s="2" t="s">
        <v>13</v>
      </c>
    </row>
    <row r="10866" spans="1:8" x14ac:dyDescent="0.2">
      <c r="A10866" s="2" t="s">
        <v>3481</v>
      </c>
      <c r="B10866" s="2" t="s">
        <v>303</v>
      </c>
      <c r="C10866" s="2">
        <v>476.02510000000001</v>
      </c>
      <c r="D10866" s="2">
        <f>HYPERLINK("http://mcb-m6.bioreg.kyushu-u.ac.jp/M3/20110404/F50753/1138/1", 56.8)</f>
        <v>56.8</v>
      </c>
      <c r="E10866" s="2">
        <v>29.29</v>
      </c>
      <c r="F10866" s="2">
        <v>2</v>
      </c>
      <c r="G10866" s="2" t="s">
        <v>9</v>
      </c>
    </row>
    <row r="10867" spans="1:8" x14ac:dyDescent="0.2">
      <c r="A10867" s="2" t="s">
        <v>3481</v>
      </c>
      <c r="B10867" s="2" t="s">
        <v>303</v>
      </c>
      <c r="C10867" s="2">
        <v>951.32799999999997</v>
      </c>
      <c r="D10867" s="2">
        <f>HYPERLINK("http://mcb-m6.bioreg.kyushu-u.ac.jp/M3/20110404/F50758/1165/1", 39.3)</f>
        <v>39.299999999999997</v>
      </c>
      <c r="E10867" s="2">
        <v>14.46</v>
      </c>
      <c r="F10867" s="2">
        <v>1</v>
      </c>
      <c r="G10867" s="2" t="s">
        <v>10</v>
      </c>
    </row>
    <row r="10868" spans="1:8" x14ac:dyDescent="0.2">
      <c r="A10868" s="2" t="s">
        <v>3956</v>
      </c>
      <c r="B10868" s="2" t="s">
        <v>2119</v>
      </c>
      <c r="C10868" s="2">
        <v>787.41610000000003</v>
      </c>
      <c r="D10868" s="2">
        <f>HYPERLINK("http://mcb-m6.bioreg.kyushu-u.ac.jp/M3/20110404/F50776/1923/1", 71.74)</f>
        <v>71.739999999999995</v>
      </c>
      <c r="E10868" s="2">
        <v>58.08</v>
      </c>
      <c r="F10868" s="2">
        <v>2</v>
      </c>
      <c r="G10868" s="2" t="s">
        <v>9</v>
      </c>
    </row>
    <row r="10869" spans="1:8" x14ac:dyDescent="0.2">
      <c r="A10869" s="2" t="s">
        <v>3956</v>
      </c>
      <c r="B10869" s="2" t="s">
        <v>6724</v>
      </c>
      <c r="C10869" s="2">
        <v>815.60400000000004</v>
      </c>
      <c r="D10869" s="2">
        <f>HYPERLINK("http://mcb-m6.bioreg.kyushu-u.ac.jp/M3/20110404/F50781/830/1", 38)</f>
        <v>38</v>
      </c>
      <c r="E10869" s="2">
        <v>16.23</v>
      </c>
      <c r="F10869" s="2">
        <v>1</v>
      </c>
      <c r="G10869" s="2" t="s">
        <v>10</v>
      </c>
    </row>
    <row r="10870" spans="1:8" x14ac:dyDescent="0.2">
      <c r="A10870" s="2" t="s">
        <v>3956</v>
      </c>
      <c r="B10870" s="2" t="s">
        <v>2119</v>
      </c>
      <c r="C10870" s="2">
        <v>787.16420000000005</v>
      </c>
      <c r="D10870" s="2">
        <f>HYPERLINK("http://mcb-m6.bioreg.kyushu-u.ac.jp/M3/20110404/F50761/2048/1", 38.03)</f>
        <v>38.03</v>
      </c>
      <c r="E10870" s="2">
        <v>22.63</v>
      </c>
      <c r="F10870" s="2">
        <v>2</v>
      </c>
      <c r="G10870" s="2" t="s">
        <v>10</v>
      </c>
    </row>
    <row r="10871" spans="1:8" x14ac:dyDescent="0.2">
      <c r="A10871" s="2" t="s">
        <v>3956</v>
      </c>
      <c r="B10871" s="2" t="s">
        <v>2119</v>
      </c>
      <c r="C10871" s="2">
        <v>787.44960000000003</v>
      </c>
      <c r="D10871" s="2">
        <f>HYPERLINK("http://mcb-m6.bioreg.kyushu-u.ac.jp/M3/20110404/F50781/1950/1", 47.44)</f>
        <v>47.44</v>
      </c>
      <c r="E10871" s="2">
        <v>35.58</v>
      </c>
      <c r="F10871" s="2">
        <v>2</v>
      </c>
      <c r="G10871" s="2" t="s">
        <v>10</v>
      </c>
    </row>
    <row r="10872" spans="1:8" x14ac:dyDescent="0.2">
      <c r="A10872" s="2" t="s">
        <v>3956</v>
      </c>
      <c r="B10872" s="2" t="s">
        <v>2119</v>
      </c>
      <c r="C10872" s="2">
        <v>786.92909999999995</v>
      </c>
      <c r="D10872" s="2">
        <f>HYPERLINK("http://mcb-m6.bioreg.kyushu-u.ac.jp/M3/20110404/F50781/1947/1", 52.29)</f>
        <v>52.29</v>
      </c>
      <c r="E10872" s="2">
        <v>37.950000000000003</v>
      </c>
      <c r="F10872" s="2">
        <v>2</v>
      </c>
      <c r="G10872" s="2" t="s">
        <v>10</v>
      </c>
    </row>
    <row r="10873" spans="1:8" x14ac:dyDescent="0.2">
      <c r="A10873" s="2" t="s">
        <v>3956</v>
      </c>
      <c r="B10873" s="2" t="s">
        <v>1551</v>
      </c>
      <c r="C10873" s="2">
        <v>593.63419999999996</v>
      </c>
      <c r="D10873" s="2">
        <f>HYPERLINK("http://mcb-m6.bioreg.kyushu-u.ac.jp/M3/20110404/F50761/1289/1", 85.36)</f>
        <v>85.36</v>
      </c>
      <c r="E10873" s="2">
        <v>50.64</v>
      </c>
      <c r="F10873" s="2">
        <v>2</v>
      </c>
      <c r="G10873" s="2" t="s">
        <v>10</v>
      </c>
    </row>
    <row r="10874" spans="1:8" x14ac:dyDescent="0.2">
      <c r="A10874" s="2" t="s">
        <v>3956</v>
      </c>
      <c r="B10874" s="2" t="s">
        <v>2119</v>
      </c>
      <c r="C10874" s="2">
        <v>787.16970000000003</v>
      </c>
      <c r="D10874" s="2">
        <f>HYPERLINK("http://mcb-m6.bioreg.kyushu-u.ac.jp/M3/20110428/F51131/2090/1", 51.83)</f>
        <v>51.83</v>
      </c>
      <c r="E10874" s="2">
        <v>37.9</v>
      </c>
      <c r="F10874" s="2">
        <v>2</v>
      </c>
      <c r="G10874" s="2" t="s">
        <v>13</v>
      </c>
    </row>
    <row r="10875" spans="1:8" x14ac:dyDescent="0.2">
      <c r="A10875" s="2" t="s">
        <v>3956</v>
      </c>
      <c r="B10875" s="2" t="s">
        <v>2119</v>
      </c>
      <c r="C10875" s="2">
        <v>787.23019999999997</v>
      </c>
      <c r="D10875" s="2">
        <f>HYPERLINK("http://mcb-m6.bioreg.kyushu-u.ac.jp/M3/20110427/F51123/2273/1", 42.09)</f>
        <v>42.09</v>
      </c>
      <c r="E10875" s="2">
        <v>35.15</v>
      </c>
      <c r="F10875" s="2">
        <v>2</v>
      </c>
      <c r="G10875" s="2" t="s">
        <v>14</v>
      </c>
    </row>
    <row r="10876" spans="1:8" x14ac:dyDescent="0.2">
      <c r="A10876" s="2" t="s">
        <v>4489</v>
      </c>
      <c r="B10876" s="2" t="s">
        <v>2454</v>
      </c>
      <c r="C10876" s="2">
        <v>544.01009999999997</v>
      </c>
      <c r="D10876" s="2">
        <f>HYPERLINK("http://mcb-m6.bioreg.kyushu-u.ac.jp/M3/20110421/F51014/1422/1", 68.38)</f>
        <v>68.38</v>
      </c>
      <c r="E10876" s="2">
        <v>31.7</v>
      </c>
      <c r="F10876" s="2">
        <v>2</v>
      </c>
      <c r="G10876" s="2" t="s">
        <v>11</v>
      </c>
      <c r="H10876" s="2" t="s">
        <v>4896</v>
      </c>
    </row>
    <row r="10877" spans="1:8" x14ac:dyDescent="0.2">
      <c r="A10877" s="2" t="s">
        <v>4489</v>
      </c>
      <c r="B10877" s="2" t="s">
        <v>2454</v>
      </c>
      <c r="C10877" s="2">
        <v>544.05870000000004</v>
      </c>
      <c r="D10877" s="2">
        <f>HYPERLINK("http://mcb-m6.bioreg.kyushu-u.ac.jp/M3/20110427/F51108/1387/1", 49.11)</f>
        <v>49.11</v>
      </c>
      <c r="E10877" s="2">
        <v>19.329999999999998</v>
      </c>
      <c r="F10877" s="2">
        <v>2</v>
      </c>
      <c r="G10877" s="2" t="s">
        <v>13</v>
      </c>
      <c r="H10877" s="2" t="s">
        <v>4896</v>
      </c>
    </row>
    <row r="10878" spans="1:8" x14ac:dyDescent="0.2">
      <c r="A10878" s="2" t="s">
        <v>8070</v>
      </c>
      <c r="B10878" s="2" t="s">
        <v>7381</v>
      </c>
      <c r="C10878" s="2">
        <v>538.78610000000003</v>
      </c>
      <c r="D10878" s="2">
        <f>HYPERLINK("http://mcb-m6.bioreg.kyushu-u.ac.jp/M3/20110427/F51108/1374/1", 52.84)</f>
        <v>52.84</v>
      </c>
      <c r="E10878" s="2">
        <v>28.29</v>
      </c>
      <c r="F10878" s="2">
        <v>2</v>
      </c>
      <c r="G10878" s="2" t="s">
        <v>13</v>
      </c>
    </row>
    <row r="10879" spans="1:8" x14ac:dyDescent="0.2">
      <c r="A10879" s="2" t="s">
        <v>4490</v>
      </c>
      <c r="B10879" s="2" t="s">
        <v>2455</v>
      </c>
      <c r="C10879" s="2">
        <v>501.3886</v>
      </c>
      <c r="D10879" s="2">
        <f>HYPERLINK("http://mcb-m6.bioreg.kyushu-u.ac.jp/M3/20110404/F50751/1488/1", 58.03)</f>
        <v>58.03</v>
      </c>
      <c r="E10879" s="2">
        <v>5.57</v>
      </c>
      <c r="F10879" s="2">
        <v>2</v>
      </c>
      <c r="G10879" s="2" t="s">
        <v>9</v>
      </c>
    </row>
    <row r="10880" spans="1:8" x14ac:dyDescent="0.2">
      <c r="A10880" s="2" t="s">
        <v>4490</v>
      </c>
      <c r="B10880" s="2" t="s">
        <v>2455</v>
      </c>
      <c r="C10880" s="2">
        <v>1001.256</v>
      </c>
      <c r="D10880" s="2">
        <f>HYPERLINK("http://mcb-m6.bioreg.kyushu-u.ac.jp/M3/20110421/F51014/1249/1", 38.71)</f>
        <v>38.71</v>
      </c>
      <c r="E10880" s="2">
        <v>17.010000000000002</v>
      </c>
      <c r="F10880" s="2">
        <v>1</v>
      </c>
      <c r="G10880" s="2" t="s">
        <v>11</v>
      </c>
    </row>
    <row r="10881" spans="1:9" x14ac:dyDescent="0.2">
      <c r="A10881" s="2" t="s">
        <v>4490</v>
      </c>
      <c r="B10881" s="2" t="s">
        <v>2455</v>
      </c>
      <c r="C10881" s="2">
        <v>501.07310000000001</v>
      </c>
      <c r="D10881" s="2">
        <f>HYPERLINK("http://mcb-m6.bioreg.kyushu-u.ac.jp/M3/20110421/F51014/1248/1", 69.35)</f>
        <v>69.349999999999994</v>
      </c>
      <c r="E10881" s="2">
        <v>19.3</v>
      </c>
      <c r="F10881" s="2">
        <v>2</v>
      </c>
      <c r="G10881" s="2" t="s">
        <v>11</v>
      </c>
    </row>
    <row r="10882" spans="1:9" x14ac:dyDescent="0.2">
      <c r="A10882" s="2" t="s">
        <v>3805</v>
      </c>
      <c r="B10882" s="2" t="s">
        <v>862</v>
      </c>
      <c r="C10882" s="2">
        <v>739.29819999999995</v>
      </c>
      <c r="D10882" s="2">
        <f>HYPERLINK("http://mcb-m6.bioreg.kyushu-u.ac.jp/M3/20110421/F51018/2111/1", 44.95)</f>
        <v>44.95</v>
      </c>
      <c r="E10882" s="2">
        <v>29.2</v>
      </c>
      <c r="F10882" s="2">
        <v>2</v>
      </c>
      <c r="G10882" s="2" t="s">
        <v>11</v>
      </c>
    </row>
    <row r="10883" spans="1:9" x14ac:dyDescent="0.2">
      <c r="A10883" s="2" t="s">
        <v>3805</v>
      </c>
      <c r="B10883" s="2" t="s">
        <v>862</v>
      </c>
      <c r="C10883" s="2">
        <v>739.30909999999994</v>
      </c>
      <c r="D10883" s="2">
        <f>HYPERLINK("http://mcb-m6.bioreg.kyushu-u.ac.jp/M3/20110427/F51113/1978/1", 44.37)</f>
        <v>44.37</v>
      </c>
      <c r="E10883" s="2">
        <v>31.07</v>
      </c>
      <c r="F10883" s="2">
        <v>2</v>
      </c>
      <c r="G10883" s="2" t="s">
        <v>13</v>
      </c>
    </row>
    <row r="10884" spans="1:9" x14ac:dyDescent="0.2">
      <c r="A10884" s="2" t="s">
        <v>3977</v>
      </c>
      <c r="B10884" s="2" t="s">
        <v>1806</v>
      </c>
      <c r="C10884" s="2">
        <v>1226.461</v>
      </c>
      <c r="D10884" s="2">
        <f>HYPERLINK("http://mcb-m6.bioreg.kyushu-u.ac.jp/M3/20110404/F50753/1555/1", 37.53)</f>
        <v>37.53</v>
      </c>
      <c r="E10884" s="2">
        <v>15.51</v>
      </c>
      <c r="F10884" s="2">
        <v>1</v>
      </c>
      <c r="G10884" s="2" t="s">
        <v>9</v>
      </c>
    </row>
    <row r="10885" spans="1:9" x14ac:dyDescent="0.2">
      <c r="A10885" s="2" t="s">
        <v>3977</v>
      </c>
      <c r="B10885" s="2" t="s">
        <v>6162</v>
      </c>
      <c r="C10885" s="2">
        <v>500.0566</v>
      </c>
      <c r="D10885" s="2">
        <f>HYPERLINK("http://mcb-m6.bioreg.kyushu-u.ac.jp/M3/20110404/F50753/1203/1", 44.97)</f>
        <v>44.97</v>
      </c>
      <c r="E10885" s="2">
        <v>17.53</v>
      </c>
      <c r="F10885" s="2">
        <v>2</v>
      </c>
      <c r="G10885" s="2" t="s">
        <v>9</v>
      </c>
    </row>
    <row r="10886" spans="1:9" x14ac:dyDescent="0.2">
      <c r="A10886" s="2" t="s">
        <v>3977</v>
      </c>
      <c r="B10886" s="2" t="s">
        <v>5218</v>
      </c>
      <c r="C10886" s="2">
        <v>452.00009999999997</v>
      </c>
      <c r="D10886" s="2">
        <f>HYPERLINK("http://mcb-m6.bioreg.kyushu-u.ac.jp/M3/20110404/F50753/1035/1", 52.86)</f>
        <v>52.86</v>
      </c>
      <c r="E10886" s="2">
        <v>31.49</v>
      </c>
      <c r="F10886" s="2">
        <v>2</v>
      </c>
      <c r="G10886" s="2" t="s">
        <v>9</v>
      </c>
    </row>
    <row r="10887" spans="1:9" x14ac:dyDescent="0.2">
      <c r="A10887" s="2" t="s">
        <v>3977</v>
      </c>
      <c r="B10887" s="2" t="s">
        <v>6500</v>
      </c>
      <c r="C10887" s="2">
        <v>1347.8620000000001</v>
      </c>
      <c r="D10887" s="2">
        <f>HYPERLINK("http://mcb-m6.bioreg.kyushu-u.ac.jp/M3/20110404/F50753/3586/1", 71)</f>
        <v>71</v>
      </c>
      <c r="E10887" s="2">
        <v>60.42</v>
      </c>
      <c r="F10887" s="2">
        <v>2</v>
      </c>
      <c r="G10887" s="2" t="s">
        <v>9</v>
      </c>
      <c r="I10887" s="2" t="s">
        <v>8133</v>
      </c>
    </row>
    <row r="10888" spans="1:9" x14ac:dyDescent="0.2">
      <c r="A10888" s="2" t="s">
        <v>3977</v>
      </c>
      <c r="B10888" s="2" t="s">
        <v>1806</v>
      </c>
      <c r="C10888" s="2">
        <v>613.63919999999996</v>
      </c>
      <c r="D10888" s="2">
        <f>HYPERLINK("http://mcb-m6.bioreg.kyushu-u.ac.jp/M3/20110404/F50753/1554/1", 78.17)</f>
        <v>78.17</v>
      </c>
      <c r="E10888" s="2">
        <v>48.23</v>
      </c>
      <c r="F10888" s="2">
        <v>2</v>
      </c>
      <c r="G10888" s="2" t="s">
        <v>9</v>
      </c>
    </row>
    <row r="10889" spans="1:9" x14ac:dyDescent="0.2">
      <c r="A10889" s="2" t="s">
        <v>3977</v>
      </c>
      <c r="B10889" s="2" t="s">
        <v>6611</v>
      </c>
      <c r="C10889" s="2">
        <v>812.11109999999996</v>
      </c>
      <c r="D10889" s="2">
        <f>HYPERLINK("http://mcb-m6.bioreg.kyushu-u.ac.jp/M3/20110404/F50753/2283/1", 92.92)</f>
        <v>92.92</v>
      </c>
      <c r="E10889" s="2">
        <v>70.09</v>
      </c>
      <c r="F10889" s="2">
        <v>2</v>
      </c>
      <c r="G10889" s="2" t="s">
        <v>9</v>
      </c>
      <c r="H10889" s="2" t="s">
        <v>4907</v>
      </c>
      <c r="I10889" s="2" t="s">
        <v>4899</v>
      </c>
    </row>
    <row r="10890" spans="1:9" x14ac:dyDescent="0.2">
      <c r="A10890" s="2" t="s">
        <v>3977</v>
      </c>
      <c r="B10890" s="2" t="s">
        <v>1223</v>
      </c>
      <c r="C10890" s="2">
        <v>715.71169999999995</v>
      </c>
      <c r="D10890" s="2">
        <f>HYPERLINK("http://mcb-m6.bioreg.kyushu-u.ac.jp/M3/20110404/F50753/1904/1", 106.98)</f>
        <v>106.98</v>
      </c>
      <c r="E10890" s="2">
        <v>85.1</v>
      </c>
      <c r="F10890" s="2">
        <v>2</v>
      </c>
      <c r="G10890" s="2" t="s">
        <v>9</v>
      </c>
    </row>
    <row r="10891" spans="1:9" x14ac:dyDescent="0.2">
      <c r="A10891" s="2" t="s">
        <v>3977</v>
      </c>
      <c r="B10891" s="2" t="s">
        <v>6725</v>
      </c>
      <c r="C10891" s="2">
        <v>504.1431</v>
      </c>
      <c r="D10891" s="2">
        <f>HYPERLINK("http://mcb-m6.bioreg.kyushu-u.ac.jp/M3/20110404/F50758/1232/1", 38.03)</f>
        <v>38.03</v>
      </c>
      <c r="E10891" s="2">
        <v>12.94</v>
      </c>
      <c r="F10891" s="2">
        <v>2</v>
      </c>
      <c r="G10891" s="2" t="s">
        <v>10</v>
      </c>
    </row>
    <row r="10892" spans="1:9" x14ac:dyDescent="0.2">
      <c r="A10892" s="2" t="s">
        <v>3977</v>
      </c>
      <c r="B10892" s="2" t="s">
        <v>1806</v>
      </c>
      <c r="C10892" s="2">
        <v>613.74369999999999</v>
      </c>
      <c r="D10892" s="2">
        <f>HYPERLINK("http://mcb-m6.bioreg.kyushu-u.ac.jp/M3/20110404/F50758/1507/1", 82.29)</f>
        <v>82.29</v>
      </c>
      <c r="E10892" s="2">
        <v>53.79</v>
      </c>
      <c r="F10892" s="2">
        <v>2</v>
      </c>
      <c r="G10892" s="2" t="s">
        <v>10</v>
      </c>
    </row>
    <row r="10893" spans="1:9" x14ac:dyDescent="0.2">
      <c r="A10893" s="2" t="s">
        <v>3977</v>
      </c>
      <c r="B10893" s="2" t="s">
        <v>6725</v>
      </c>
      <c r="C10893" s="2">
        <v>504.15609999999998</v>
      </c>
      <c r="D10893" s="2">
        <f>HYPERLINK("http://mcb-m6.bioreg.kyushu-u.ac.jp/M3/20110421/F51017/928/1", 38.37)</f>
        <v>38.369999999999997</v>
      </c>
      <c r="E10893" s="2">
        <v>20.18</v>
      </c>
      <c r="F10893" s="2">
        <v>2</v>
      </c>
      <c r="G10893" s="2" t="s">
        <v>11</v>
      </c>
    </row>
    <row r="10894" spans="1:9" x14ac:dyDescent="0.2">
      <c r="A10894" s="2" t="s">
        <v>3977</v>
      </c>
      <c r="B10894" s="2" t="s">
        <v>1223</v>
      </c>
      <c r="C10894" s="2">
        <v>716.36069999999995</v>
      </c>
      <c r="D10894" s="2">
        <f>HYPERLINK("http://mcb-m6.bioreg.kyushu-u.ac.jp/M3/20110427/F51111/2029/1", 60.93)</f>
        <v>60.93</v>
      </c>
      <c r="E10894" s="2">
        <v>49.18</v>
      </c>
      <c r="F10894" s="2">
        <v>2</v>
      </c>
      <c r="G10894" s="2" t="s">
        <v>13</v>
      </c>
    </row>
    <row r="10895" spans="1:9" x14ac:dyDescent="0.2">
      <c r="A10895" s="2" t="s">
        <v>3977</v>
      </c>
      <c r="B10895" s="2" t="s">
        <v>1806</v>
      </c>
      <c r="C10895" s="2">
        <v>614.10360000000003</v>
      </c>
      <c r="D10895" s="2">
        <f>HYPERLINK("http://mcb-m6.bioreg.kyushu-u.ac.jp/M3/20110427/F51111/1616/1", 67.73)</f>
        <v>67.73</v>
      </c>
      <c r="E10895" s="2">
        <v>42.47</v>
      </c>
      <c r="F10895" s="2">
        <v>2</v>
      </c>
      <c r="G10895" s="2" t="s">
        <v>13</v>
      </c>
    </row>
    <row r="10896" spans="1:9" x14ac:dyDescent="0.2">
      <c r="A10896" s="2" t="s">
        <v>3977</v>
      </c>
      <c r="B10896" s="2" t="s">
        <v>1806</v>
      </c>
      <c r="C10896" s="2">
        <v>613.59670000000006</v>
      </c>
      <c r="D10896" s="2">
        <f>HYPERLINK("http://mcb-m6.bioreg.kyushu-u.ac.jp/M3/20110427/F51111/1613/1", 77.13)</f>
        <v>77.13</v>
      </c>
      <c r="E10896" s="2">
        <v>51.22</v>
      </c>
      <c r="F10896" s="2">
        <v>2</v>
      </c>
      <c r="G10896" s="2" t="s">
        <v>13</v>
      </c>
    </row>
    <row r="10897" spans="1:9" x14ac:dyDescent="0.2">
      <c r="A10897" s="2" t="s">
        <v>7678</v>
      </c>
      <c r="B10897" s="2" t="s">
        <v>6305</v>
      </c>
      <c r="C10897" s="2">
        <v>575.02560000000005</v>
      </c>
      <c r="D10897" s="2">
        <f>HYPERLINK("http://mcb-m6.bioreg.kyushu-u.ac.jp/M3/20110404/F50751/1633/1", 51.83)</f>
        <v>51.83</v>
      </c>
      <c r="E10897" s="2">
        <v>35.299999999999997</v>
      </c>
      <c r="F10897" s="2">
        <v>2</v>
      </c>
      <c r="G10897" s="2" t="s">
        <v>9</v>
      </c>
      <c r="H10897" s="2" t="s">
        <v>4900</v>
      </c>
    </row>
    <row r="10898" spans="1:9" x14ac:dyDescent="0.2">
      <c r="A10898" s="2" t="s">
        <v>3847</v>
      </c>
      <c r="B10898" s="2" t="s">
        <v>7140</v>
      </c>
      <c r="C10898" s="2">
        <v>629.98609999999996</v>
      </c>
      <c r="D10898" s="2">
        <f>HYPERLINK("http://mcb-m6.bioreg.kyushu-u.ac.jp/M3/20110421/F51014/1689/1", 69.94)</f>
        <v>69.94</v>
      </c>
      <c r="E10898" s="2">
        <v>15.72</v>
      </c>
      <c r="F10898" s="2">
        <v>2</v>
      </c>
      <c r="G10898" s="2" t="s">
        <v>11</v>
      </c>
      <c r="I10898" s="2" t="s">
        <v>4890</v>
      </c>
    </row>
    <row r="10899" spans="1:9" x14ac:dyDescent="0.2">
      <c r="A10899" s="2" t="s">
        <v>3847</v>
      </c>
      <c r="B10899" s="2" t="s">
        <v>939</v>
      </c>
      <c r="C10899" s="2">
        <v>694.19709999999998</v>
      </c>
      <c r="D10899" s="2">
        <f>HYPERLINK("http://mcb-m6.bioreg.kyushu-u.ac.jp/M3/20110427/F51108/1883/1", 54.79)</f>
        <v>54.79</v>
      </c>
      <c r="E10899" s="2">
        <v>26.12</v>
      </c>
      <c r="F10899" s="2">
        <v>2</v>
      </c>
      <c r="G10899" s="2" t="s">
        <v>13</v>
      </c>
      <c r="I10899" s="2" t="s">
        <v>4890</v>
      </c>
    </row>
    <row r="10900" spans="1:9" x14ac:dyDescent="0.2">
      <c r="A10900" s="2" t="s">
        <v>4399</v>
      </c>
      <c r="B10900" s="2" t="s">
        <v>2389</v>
      </c>
      <c r="C10900" s="2">
        <v>683.75620000000004</v>
      </c>
      <c r="D10900" s="2">
        <f>HYPERLINK("http://mcb-m6.bioreg.kyushu-u.ac.jp/M3/20110404/F50765/1540/1", 43.83)</f>
        <v>43.83</v>
      </c>
      <c r="E10900" s="2">
        <v>16.260000000000002</v>
      </c>
      <c r="F10900" s="2">
        <v>2</v>
      </c>
      <c r="G10900" s="2" t="s">
        <v>9</v>
      </c>
    </row>
    <row r="10901" spans="1:9" x14ac:dyDescent="0.2">
      <c r="A10901" s="2" t="s">
        <v>4399</v>
      </c>
      <c r="B10901" s="2" t="s">
        <v>2249</v>
      </c>
      <c r="C10901" s="2">
        <v>779.33669999999995</v>
      </c>
      <c r="D10901" s="2">
        <f>HYPERLINK("http://mcb-m6.bioreg.kyushu-u.ac.jp/M3/20110404/F50765/2015/1", 56.22)</f>
        <v>56.22</v>
      </c>
      <c r="E10901" s="2">
        <v>41.77</v>
      </c>
      <c r="F10901" s="2">
        <v>2</v>
      </c>
      <c r="G10901" s="2" t="s">
        <v>9</v>
      </c>
    </row>
    <row r="10902" spans="1:9" x14ac:dyDescent="0.2">
      <c r="A10902" s="2" t="s">
        <v>4399</v>
      </c>
      <c r="B10902" s="2" t="s">
        <v>6604</v>
      </c>
      <c r="C10902" s="2">
        <v>969.43269999999995</v>
      </c>
      <c r="D10902" s="2">
        <f>HYPERLINK("http://mcb-m6.bioreg.kyushu-u.ac.jp/M3/20110404/F50765/2724/1", 91.12)</f>
        <v>91.12</v>
      </c>
      <c r="E10902" s="2">
        <v>81.37</v>
      </c>
      <c r="F10902" s="2">
        <v>2</v>
      </c>
      <c r="G10902" s="2" t="s">
        <v>9</v>
      </c>
    </row>
    <row r="10903" spans="1:9" x14ac:dyDescent="0.2">
      <c r="A10903" s="2" t="s">
        <v>4399</v>
      </c>
      <c r="B10903" s="2" t="s">
        <v>6807</v>
      </c>
      <c r="C10903" s="2">
        <v>596.81410000000005</v>
      </c>
      <c r="D10903" s="2">
        <f>HYPERLINK("http://mcb-m6.bioreg.kyushu-u.ac.jp/M3/20110404/F50771/1316/1", 44.94)</f>
        <v>44.94</v>
      </c>
      <c r="E10903" s="2">
        <v>26.82</v>
      </c>
      <c r="F10903" s="2">
        <v>2</v>
      </c>
      <c r="G10903" s="2" t="s">
        <v>10</v>
      </c>
      <c r="I10903" s="2" t="s">
        <v>4899</v>
      </c>
    </row>
    <row r="10904" spans="1:9" x14ac:dyDescent="0.2">
      <c r="A10904" s="2" t="s">
        <v>4399</v>
      </c>
      <c r="B10904" s="2" t="s">
        <v>2927</v>
      </c>
      <c r="C10904" s="2">
        <v>747.7242</v>
      </c>
      <c r="D10904" s="2">
        <f>HYPERLINK("http://mcb-m6.bioreg.kyushu-u.ac.jp/M3/20110404/F50771/1927/1", 46.07)</f>
        <v>46.07</v>
      </c>
      <c r="E10904" s="2">
        <v>32.909999999999997</v>
      </c>
      <c r="F10904" s="2">
        <v>2</v>
      </c>
      <c r="G10904" s="2" t="s">
        <v>10</v>
      </c>
    </row>
    <row r="10905" spans="1:9" x14ac:dyDescent="0.2">
      <c r="A10905" s="2" t="s">
        <v>4399</v>
      </c>
      <c r="B10905" s="2" t="s">
        <v>2249</v>
      </c>
      <c r="C10905" s="2">
        <v>778.88819999999998</v>
      </c>
      <c r="D10905" s="2">
        <f>HYPERLINK("http://mcb-m6.bioreg.kyushu-u.ac.jp/M3/20110404/F50771/2050/1", 71.82)</f>
        <v>71.819999999999993</v>
      </c>
      <c r="E10905" s="2">
        <v>58.12</v>
      </c>
      <c r="F10905" s="2">
        <v>2</v>
      </c>
      <c r="G10905" s="2" t="s">
        <v>10</v>
      </c>
    </row>
    <row r="10906" spans="1:9" x14ac:dyDescent="0.2">
      <c r="A10906" s="2" t="s">
        <v>4399</v>
      </c>
      <c r="B10906" s="2" t="s">
        <v>7115</v>
      </c>
      <c r="C10906" s="2">
        <v>705.38070000000005</v>
      </c>
      <c r="D10906" s="2">
        <f>HYPERLINK("http://mcb-m6.bioreg.kyushu-u.ac.jp/M3/20110421/F51042/1689/1", 48.21)</f>
        <v>48.21</v>
      </c>
      <c r="E10906" s="2">
        <v>35.01</v>
      </c>
      <c r="F10906" s="2">
        <v>2</v>
      </c>
      <c r="G10906" s="2" t="s">
        <v>11</v>
      </c>
    </row>
    <row r="10907" spans="1:9" x14ac:dyDescent="0.2">
      <c r="A10907" s="2" t="s">
        <v>4399</v>
      </c>
      <c r="B10907" s="2" t="s">
        <v>2249</v>
      </c>
      <c r="C10907" s="2">
        <v>779.23910000000001</v>
      </c>
      <c r="D10907" s="2">
        <f>HYPERLINK("http://mcb-m6.bioreg.kyushu-u.ac.jp/M3/20110427/F51116/2238/1", 39.61)</f>
        <v>39.61</v>
      </c>
      <c r="E10907" s="2">
        <v>25.59</v>
      </c>
      <c r="F10907" s="2">
        <v>2</v>
      </c>
      <c r="G10907" s="2" t="s">
        <v>13</v>
      </c>
    </row>
    <row r="10908" spans="1:9" x14ac:dyDescent="0.2">
      <c r="A10908" s="2" t="s">
        <v>4399</v>
      </c>
      <c r="B10908" s="2" t="s">
        <v>7368</v>
      </c>
      <c r="C10908" s="2">
        <v>502.87560000000002</v>
      </c>
      <c r="D10908" s="2">
        <f>HYPERLINK("http://mcb-m6.bioreg.kyushu-u.ac.jp/M3/20110427/F51116/1036/1", 48.17)</f>
        <v>48.17</v>
      </c>
      <c r="E10908" s="2">
        <v>35.25</v>
      </c>
      <c r="F10908" s="2">
        <v>2</v>
      </c>
      <c r="G10908" s="2" t="s">
        <v>13</v>
      </c>
    </row>
    <row r="10909" spans="1:9" x14ac:dyDescent="0.2">
      <c r="A10909" s="2" t="s">
        <v>4399</v>
      </c>
      <c r="B10909" s="2" t="s">
        <v>2249</v>
      </c>
      <c r="C10909" s="2">
        <v>778.88570000000004</v>
      </c>
      <c r="D10909" s="2">
        <f>HYPERLINK("http://mcb-m6.bioreg.kyushu-u.ac.jp/M3/20110427/F51115/2130/1", 60.59)</f>
        <v>60.59</v>
      </c>
      <c r="E10909" s="2">
        <v>30.2</v>
      </c>
      <c r="F10909" s="2">
        <v>2</v>
      </c>
      <c r="G10909" s="2" t="s">
        <v>13</v>
      </c>
    </row>
    <row r="10910" spans="1:9" x14ac:dyDescent="0.2">
      <c r="A10910" s="2" t="s">
        <v>4399</v>
      </c>
      <c r="B10910" s="2" t="s">
        <v>2927</v>
      </c>
      <c r="C10910" s="2">
        <v>747.61410000000001</v>
      </c>
      <c r="D10910" s="2">
        <f>HYPERLINK("http://mcb-m6.bioreg.kyushu-u.ac.jp/M3/20110427/F51115/2019/1", 83.51)</f>
        <v>83.51</v>
      </c>
      <c r="E10910" s="2">
        <v>58.65</v>
      </c>
      <c r="F10910" s="2">
        <v>2</v>
      </c>
      <c r="G10910" s="2" t="s">
        <v>13</v>
      </c>
    </row>
    <row r="10911" spans="1:9" x14ac:dyDescent="0.2">
      <c r="A10911" s="2" t="s">
        <v>3665</v>
      </c>
      <c r="B10911" s="2" t="s">
        <v>601</v>
      </c>
      <c r="C10911" s="2">
        <v>905.56799999999998</v>
      </c>
      <c r="D10911" s="2">
        <f>HYPERLINK("http://mcb-m6.bioreg.kyushu-u.ac.jp/M3/20110421/F51059/506/1", 45.7)</f>
        <v>45.7</v>
      </c>
      <c r="E10911" s="2">
        <v>13.61</v>
      </c>
      <c r="F10911" s="2">
        <v>1</v>
      </c>
      <c r="G10911" s="2" t="s">
        <v>12</v>
      </c>
    </row>
    <row r="10912" spans="1:9" x14ac:dyDescent="0.2">
      <c r="A10912" s="2" t="s">
        <v>7949</v>
      </c>
      <c r="B10912" s="2" t="s">
        <v>7152</v>
      </c>
      <c r="C10912" s="2">
        <v>527.25959999999998</v>
      </c>
      <c r="D10912" s="2">
        <f>HYPERLINK("http://mcb-m6.bioreg.kyushu-u.ac.jp/M3/20110421/F51044/1030/1", 35.08)</f>
        <v>35.08</v>
      </c>
      <c r="E10912" s="2">
        <v>12.16</v>
      </c>
      <c r="F10912" s="2">
        <v>2</v>
      </c>
      <c r="G10912" s="2" t="s">
        <v>12</v>
      </c>
    </row>
    <row r="10913" spans="1:9" x14ac:dyDescent="0.2">
      <c r="A10913" s="2" t="s">
        <v>4118</v>
      </c>
      <c r="B10913" s="2" t="s">
        <v>1625</v>
      </c>
      <c r="C10913" s="2">
        <v>801.79719999999998</v>
      </c>
      <c r="D10913" s="2">
        <f>HYPERLINK("http://mcb-m6.bioreg.kyushu-u.ac.jp/M3/20110404/F50752/2310/1", 60.91)</f>
        <v>60.91</v>
      </c>
      <c r="E10913" s="2">
        <v>38.5</v>
      </c>
      <c r="F10913" s="2">
        <v>2</v>
      </c>
      <c r="G10913" s="2" t="s">
        <v>9</v>
      </c>
      <c r="I10913" s="2" t="s">
        <v>4923</v>
      </c>
    </row>
    <row r="10914" spans="1:9" x14ac:dyDescent="0.2">
      <c r="A10914" s="2" t="s">
        <v>4118</v>
      </c>
      <c r="B10914" s="2" t="s">
        <v>1625</v>
      </c>
      <c r="C10914" s="2">
        <v>802.16269999999997</v>
      </c>
      <c r="D10914" s="2">
        <f>HYPERLINK("http://mcb-m6.bioreg.kyushu-u.ac.jp/M3/20110404/F50757/2238/1", 69.05)</f>
        <v>69.05</v>
      </c>
      <c r="E10914" s="2">
        <v>45.11</v>
      </c>
      <c r="F10914" s="2">
        <v>2</v>
      </c>
      <c r="G10914" s="2" t="s">
        <v>10</v>
      </c>
      <c r="I10914" s="2" t="s">
        <v>4923</v>
      </c>
    </row>
    <row r="10915" spans="1:9" x14ac:dyDescent="0.2">
      <c r="A10915" s="2" t="s">
        <v>3689</v>
      </c>
      <c r="B10915" s="2" t="s">
        <v>2298</v>
      </c>
      <c r="C10915" s="2">
        <v>854.37369999999999</v>
      </c>
      <c r="D10915" s="2">
        <f>HYPERLINK("http://mcb-m6.bioreg.kyushu-u.ac.jp/M3/20110404/F50765/2319/1", 64.68)</f>
        <v>64.680000000000007</v>
      </c>
      <c r="E10915" s="2">
        <v>52.5</v>
      </c>
      <c r="F10915" s="2">
        <v>2</v>
      </c>
      <c r="G10915" s="2" t="s">
        <v>9</v>
      </c>
    </row>
    <row r="10916" spans="1:9" x14ac:dyDescent="0.2">
      <c r="A10916" s="2" t="s">
        <v>3689</v>
      </c>
      <c r="B10916" s="2" t="s">
        <v>654</v>
      </c>
      <c r="C10916" s="2">
        <v>796.16219999999998</v>
      </c>
      <c r="D10916" s="2">
        <f>HYPERLINK("http://mcb-m6.bioreg.kyushu-u.ac.jp/M3/20110404/F50765/2084/1", 91.32)</f>
        <v>91.32</v>
      </c>
      <c r="E10916" s="2">
        <v>78</v>
      </c>
      <c r="F10916" s="2">
        <v>2</v>
      </c>
      <c r="G10916" s="2" t="s">
        <v>9</v>
      </c>
    </row>
    <row r="10917" spans="1:9" x14ac:dyDescent="0.2">
      <c r="A10917" s="2" t="s">
        <v>3689</v>
      </c>
      <c r="B10917" s="2" t="s">
        <v>654</v>
      </c>
      <c r="C10917" s="2">
        <v>796.11609999999996</v>
      </c>
      <c r="D10917" s="2">
        <f>HYPERLINK("http://mcb-m6.bioreg.kyushu-u.ac.jp/M3/20110421/F51020/2278/1", 35.26)</f>
        <v>35.26</v>
      </c>
      <c r="E10917" s="2">
        <v>24.74</v>
      </c>
      <c r="F10917" s="2">
        <v>2</v>
      </c>
      <c r="G10917" s="2" t="s">
        <v>11</v>
      </c>
    </row>
    <row r="10918" spans="1:9" x14ac:dyDescent="0.2">
      <c r="A10918" s="2" t="s">
        <v>3689</v>
      </c>
      <c r="B10918" s="2" t="s">
        <v>3176</v>
      </c>
      <c r="C10918" s="2">
        <v>609.78470000000004</v>
      </c>
      <c r="D10918" s="2">
        <f>HYPERLINK("http://mcb-m6.bioreg.kyushu-u.ac.jp/M3/20110427/F51116/1480/1", 61.23)</f>
        <v>61.23</v>
      </c>
      <c r="E10918" s="2">
        <v>36.03</v>
      </c>
      <c r="F10918" s="2">
        <v>2</v>
      </c>
      <c r="G10918" s="2" t="s">
        <v>13</v>
      </c>
    </row>
    <row r="10919" spans="1:9" x14ac:dyDescent="0.2">
      <c r="A10919" s="2" t="s">
        <v>3689</v>
      </c>
      <c r="B10919" s="2" t="s">
        <v>7417</v>
      </c>
      <c r="C10919" s="2">
        <v>918.23659999999995</v>
      </c>
      <c r="D10919" s="2">
        <f>HYPERLINK("http://mcb-m6.bioreg.kyushu-u.ac.jp/M3/20110427/F51115/2693/1", 66.7)</f>
        <v>66.7</v>
      </c>
      <c r="E10919" s="2">
        <v>51.54</v>
      </c>
      <c r="F10919" s="2">
        <v>2</v>
      </c>
      <c r="G10919" s="2" t="s">
        <v>13</v>
      </c>
    </row>
    <row r="10920" spans="1:9" x14ac:dyDescent="0.2">
      <c r="A10920" s="2" t="s">
        <v>3689</v>
      </c>
      <c r="B10920" s="2" t="s">
        <v>654</v>
      </c>
      <c r="C10920" s="2">
        <v>796.21969999999999</v>
      </c>
      <c r="D10920" s="2">
        <f>HYPERLINK("http://mcb-m6.bioreg.kyushu-u.ac.jp/M3/20110427/F51115/2237/1", 89.57)</f>
        <v>89.57</v>
      </c>
      <c r="E10920" s="2">
        <v>74.16</v>
      </c>
      <c r="F10920" s="2">
        <v>2</v>
      </c>
      <c r="G10920" s="2" t="s">
        <v>13</v>
      </c>
    </row>
    <row r="10921" spans="1:9" x14ac:dyDescent="0.2">
      <c r="A10921" s="2" t="s">
        <v>3689</v>
      </c>
      <c r="B10921" s="2" t="s">
        <v>2298</v>
      </c>
      <c r="C10921" s="2">
        <v>854.23519999999996</v>
      </c>
      <c r="D10921" s="2">
        <f>HYPERLINK("http://mcb-m6.bioreg.kyushu-u.ac.jp/M3/20110427/F51115/2462/1", 105.15)</f>
        <v>105.15</v>
      </c>
      <c r="E10921" s="2">
        <v>69.45</v>
      </c>
      <c r="F10921" s="2">
        <v>2</v>
      </c>
      <c r="G10921" s="2" t="s">
        <v>13</v>
      </c>
    </row>
    <row r="10922" spans="1:9" x14ac:dyDescent="0.2">
      <c r="A10922" s="2" t="s">
        <v>3689</v>
      </c>
      <c r="B10922" s="2" t="s">
        <v>3176</v>
      </c>
      <c r="C10922" s="2">
        <v>609.81410000000005</v>
      </c>
      <c r="D10922" s="2">
        <f>HYPERLINK("http://mcb-m6.bioreg.kyushu-u.ac.jp/M3/20110427/F51124/1516/1", 39.37)</f>
        <v>39.369999999999997</v>
      </c>
      <c r="E10922" s="2">
        <v>21.17</v>
      </c>
      <c r="F10922" s="2">
        <v>2</v>
      </c>
      <c r="G10922" s="2" t="s">
        <v>14</v>
      </c>
    </row>
    <row r="10923" spans="1:9" x14ac:dyDescent="0.2">
      <c r="A10923" s="2" t="s">
        <v>7838</v>
      </c>
      <c r="B10923" s="2" t="s">
        <v>6795</v>
      </c>
      <c r="C10923" s="2">
        <v>653.21220000000005</v>
      </c>
      <c r="D10923" s="2">
        <f>HYPERLINK("http://mcb-m6.bioreg.kyushu-u.ac.jp/M3/20110404/F50771/1513/1", 43.59)</f>
        <v>43.59</v>
      </c>
      <c r="E10923" s="2">
        <v>21.63</v>
      </c>
      <c r="F10923" s="2">
        <v>2</v>
      </c>
      <c r="G10923" s="2" t="s">
        <v>10</v>
      </c>
    </row>
    <row r="10924" spans="1:9" x14ac:dyDescent="0.2">
      <c r="A10924" s="2" t="s">
        <v>7838</v>
      </c>
      <c r="B10924" s="2" t="s">
        <v>6795</v>
      </c>
      <c r="C10924" s="2">
        <v>652.68269999999995</v>
      </c>
      <c r="D10924" s="2">
        <f>HYPERLINK("http://mcb-m6.bioreg.kyushu-u.ac.jp/M3/20110404/F50771/1511/1", 43.98)</f>
        <v>43.98</v>
      </c>
      <c r="E10924" s="2">
        <v>21.12</v>
      </c>
      <c r="F10924" s="2">
        <v>2</v>
      </c>
      <c r="G10924" s="2" t="s">
        <v>10</v>
      </c>
    </row>
    <row r="10925" spans="1:9" x14ac:dyDescent="0.2">
      <c r="A10925" s="2" t="s">
        <v>5641</v>
      </c>
      <c r="B10925" s="2" t="s">
        <v>5071</v>
      </c>
      <c r="C10925" s="2">
        <v>623.12710000000004</v>
      </c>
      <c r="D10925" s="2">
        <f>HYPERLINK("http://mcb-m6.bioreg.kyushu-u.ac.jp/M3/20110427/F51115/1510/1", 40.16)</f>
        <v>40.159999999999997</v>
      </c>
      <c r="E10925" s="2">
        <v>26.73</v>
      </c>
      <c r="F10925" s="2">
        <v>2</v>
      </c>
      <c r="G10925" s="2" t="s">
        <v>13</v>
      </c>
    </row>
    <row r="10926" spans="1:9" x14ac:dyDescent="0.2">
      <c r="A10926" s="2" t="s">
        <v>3341</v>
      </c>
      <c r="B10926" s="2" t="s">
        <v>1757</v>
      </c>
      <c r="C10926" s="2">
        <v>886.303</v>
      </c>
      <c r="D10926" s="2">
        <f>HYPERLINK("http://mcb-m6.bioreg.kyushu-u.ac.jp/M3/20110404/F50753/1013/1", 35.56)</f>
        <v>35.56</v>
      </c>
      <c r="E10926" s="2">
        <v>24.69</v>
      </c>
      <c r="F10926" s="2">
        <v>1</v>
      </c>
      <c r="G10926" s="2" t="s">
        <v>9</v>
      </c>
    </row>
    <row r="10927" spans="1:9" x14ac:dyDescent="0.2">
      <c r="A10927" s="2" t="s">
        <v>3341</v>
      </c>
      <c r="B10927" s="2" t="s">
        <v>1197</v>
      </c>
      <c r="C10927" s="2">
        <v>890.35860000000002</v>
      </c>
      <c r="D10927" s="2">
        <f>HYPERLINK("http://mcb-m6.bioreg.kyushu-u.ac.jp/M3/20110404/F50753/2568/1", 89.89)</f>
        <v>89.89</v>
      </c>
      <c r="E10927" s="2">
        <v>74.180000000000007</v>
      </c>
      <c r="F10927" s="2">
        <v>2</v>
      </c>
      <c r="G10927" s="2" t="s">
        <v>9</v>
      </c>
    </row>
    <row r="10928" spans="1:9" x14ac:dyDescent="0.2">
      <c r="A10928" s="2" t="s">
        <v>3341</v>
      </c>
      <c r="B10928" s="2" t="s">
        <v>1757</v>
      </c>
      <c r="C10928" s="2">
        <v>886.43399999999997</v>
      </c>
      <c r="D10928" s="2">
        <f>HYPERLINK("http://mcb-m6.bioreg.kyushu-u.ac.jp/M3/20110404/F50758/1055/1", 35.45)</f>
        <v>35.450000000000003</v>
      </c>
      <c r="E10928" s="2">
        <v>21.11</v>
      </c>
      <c r="F10928" s="2">
        <v>1</v>
      </c>
      <c r="G10928" s="2" t="s">
        <v>10</v>
      </c>
    </row>
    <row r="10929" spans="1:8" x14ac:dyDescent="0.2">
      <c r="A10929" s="2" t="s">
        <v>3341</v>
      </c>
      <c r="B10929" s="2" t="s">
        <v>551</v>
      </c>
      <c r="C10929" s="2">
        <v>951.36900000000003</v>
      </c>
      <c r="D10929" s="2">
        <f>HYPERLINK("http://mcb-m6.bioreg.kyushu-u.ac.jp/M3/20110404/F50758/1166/1", 46.41)</f>
        <v>46.41</v>
      </c>
      <c r="E10929" s="2">
        <v>15.72</v>
      </c>
      <c r="F10929" s="2">
        <v>1</v>
      </c>
      <c r="G10929" s="2" t="s">
        <v>10</v>
      </c>
    </row>
    <row r="10930" spans="1:8" x14ac:dyDescent="0.2">
      <c r="A10930" s="2" t="s">
        <v>3341</v>
      </c>
      <c r="B10930" s="2" t="s">
        <v>130</v>
      </c>
      <c r="C10930" s="2">
        <v>816.29600000000005</v>
      </c>
      <c r="D10930" s="2">
        <f>HYPERLINK("http://mcb-m6.bioreg.kyushu-u.ac.jp/M3/20110427/F51111/801/1", 38.91)</f>
        <v>38.909999999999997</v>
      </c>
      <c r="E10930" s="2">
        <v>11.35</v>
      </c>
      <c r="F10930" s="2">
        <v>1</v>
      </c>
      <c r="G10930" s="2" t="s">
        <v>13</v>
      </c>
    </row>
    <row r="10931" spans="1:8" x14ac:dyDescent="0.2">
      <c r="A10931" s="2" t="s">
        <v>7936</v>
      </c>
      <c r="B10931" s="2" t="s">
        <v>7118</v>
      </c>
      <c r="C10931" s="2">
        <v>638.67970000000003</v>
      </c>
      <c r="D10931" s="2">
        <f>HYPERLINK("http://mcb-m6.bioreg.kyushu-u.ac.jp/M3/20110421/F51017/1489/1", 48.54)</f>
        <v>48.54</v>
      </c>
      <c r="E10931" s="2">
        <v>37.28</v>
      </c>
      <c r="F10931" s="2">
        <v>2</v>
      </c>
      <c r="G10931" s="2" t="s">
        <v>11</v>
      </c>
    </row>
    <row r="10932" spans="1:8" x14ac:dyDescent="0.2">
      <c r="A10932" s="2" t="s">
        <v>7820</v>
      </c>
      <c r="B10932" s="2" t="s">
        <v>6760</v>
      </c>
      <c r="C10932" s="2">
        <v>844.85389999999995</v>
      </c>
      <c r="D10932" s="2">
        <f>HYPERLINK("http://mcb-m6.bioreg.kyushu-u.ac.jp/M3/20110404/F50761/3476/1", 40.79)</f>
        <v>40.79</v>
      </c>
      <c r="E10932" s="2">
        <v>25.28</v>
      </c>
      <c r="F10932" s="2">
        <v>3</v>
      </c>
      <c r="G10932" s="2" t="s">
        <v>10</v>
      </c>
      <c r="H10932" s="2" t="s">
        <v>4919</v>
      </c>
    </row>
    <row r="10933" spans="1:8" x14ac:dyDescent="0.2">
      <c r="A10933" s="2" t="s">
        <v>7820</v>
      </c>
      <c r="B10933" s="2" t="s">
        <v>6760</v>
      </c>
      <c r="C10933" s="2">
        <v>844.81820000000005</v>
      </c>
      <c r="D10933" s="2">
        <f>HYPERLINK("http://mcb-m6.bioreg.kyushu-u.ac.jp/M3/20110404/F50761/3475/1", 43.21)</f>
        <v>43.21</v>
      </c>
      <c r="E10933" s="2">
        <v>28.45</v>
      </c>
      <c r="F10933" s="2">
        <v>3</v>
      </c>
      <c r="G10933" s="2" t="s">
        <v>10</v>
      </c>
      <c r="H10933" s="2" t="s">
        <v>4919</v>
      </c>
    </row>
    <row r="10934" spans="1:8" x14ac:dyDescent="0.2">
      <c r="A10934" s="2" t="s">
        <v>3898</v>
      </c>
      <c r="B10934" s="2" t="s">
        <v>3149</v>
      </c>
      <c r="C10934" s="2">
        <v>641.37959999999998</v>
      </c>
      <c r="D10934" s="2">
        <f>HYPERLINK("http://mcb-m6.bioreg.kyushu-u.ac.jp/M3/20110404/F50756/1500/1", 42.75)</f>
        <v>42.75</v>
      </c>
      <c r="E10934" s="2">
        <v>21.71</v>
      </c>
      <c r="F10934" s="2">
        <v>2</v>
      </c>
      <c r="G10934" s="2" t="s">
        <v>9</v>
      </c>
    </row>
    <row r="10935" spans="1:8" x14ac:dyDescent="0.2">
      <c r="A10935" s="2" t="s">
        <v>3898</v>
      </c>
      <c r="B10935" s="2" t="s">
        <v>1046</v>
      </c>
      <c r="C10935" s="2">
        <v>703.23969999999997</v>
      </c>
      <c r="D10935" s="2">
        <f>HYPERLINK("http://mcb-m6.bioreg.kyushu-u.ac.jp/M3/20110404/F50762/1658/1", 47.08)</f>
        <v>47.08</v>
      </c>
      <c r="E10935" s="2">
        <v>35.020000000000003</v>
      </c>
      <c r="F10935" s="2">
        <v>2</v>
      </c>
      <c r="G10935" s="2" t="s">
        <v>9</v>
      </c>
    </row>
    <row r="10936" spans="1:8" x14ac:dyDescent="0.2">
      <c r="A10936" s="2" t="s">
        <v>3898</v>
      </c>
      <c r="B10936" s="2" t="s">
        <v>1046</v>
      </c>
      <c r="C10936" s="2">
        <v>702.77170000000001</v>
      </c>
      <c r="D10936" s="2">
        <f>HYPERLINK("http://mcb-m6.bioreg.kyushu-u.ac.jp/M3/20110404/F50756/1754/1", 61.16)</f>
        <v>61.16</v>
      </c>
      <c r="E10936" s="2">
        <v>46.22</v>
      </c>
      <c r="F10936" s="2">
        <v>2</v>
      </c>
      <c r="G10936" s="2" t="s">
        <v>9</v>
      </c>
    </row>
    <row r="10937" spans="1:8" x14ac:dyDescent="0.2">
      <c r="A10937" s="2" t="s">
        <v>3898</v>
      </c>
      <c r="B10937" s="2" t="s">
        <v>1046</v>
      </c>
      <c r="C10937" s="2">
        <v>468.74250000000001</v>
      </c>
      <c r="D10937" s="2">
        <f>HYPERLINK("http://mcb-m6.bioreg.kyushu-u.ac.jp/M3/20110404/F50756/1751/1", 68.17)</f>
        <v>68.17</v>
      </c>
      <c r="E10937" s="2">
        <v>51.08</v>
      </c>
      <c r="F10937" s="2">
        <v>3</v>
      </c>
      <c r="G10937" s="2" t="s">
        <v>9</v>
      </c>
    </row>
    <row r="10938" spans="1:8" x14ac:dyDescent="0.2">
      <c r="A10938" s="2" t="s">
        <v>3898</v>
      </c>
      <c r="B10938" s="2" t="s">
        <v>1046</v>
      </c>
      <c r="C10938" s="2">
        <v>469.27449999999999</v>
      </c>
      <c r="D10938" s="2">
        <f>HYPERLINK("http://mcb-m6.bioreg.kyushu-u.ac.jp/M3/20110404/F50756/1757/1", 68.71)</f>
        <v>68.709999999999994</v>
      </c>
      <c r="E10938" s="2">
        <v>44.2</v>
      </c>
      <c r="F10938" s="2">
        <v>3</v>
      </c>
      <c r="G10938" s="2" t="s">
        <v>9</v>
      </c>
    </row>
    <row r="10939" spans="1:8" x14ac:dyDescent="0.2">
      <c r="A10939" s="2" t="s">
        <v>3898</v>
      </c>
      <c r="B10939" s="2" t="s">
        <v>1046</v>
      </c>
      <c r="C10939" s="2">
        <v>703.01260000000002</v>
      </c>
      <c r="D10939" s="2">
        <f>HYPERLINK("http://mcb-m6.bioreg.kyushu-u.ac.jp/M3/20110404/F50761/1676/1", 45.91)</f>
        <v>45.91</v>
      </c>
      <c r="E10939" s="2">
        <v>30.97</v>
      </c>
      <c r="F10939" s="2">
        <v>2</v>
      </c>
      <c r="G10939" s="2" t="s">
        <v>10</v>
      </c>
    </row>
    <row r="10940" spans="1:8" x14ac:dyDescent="0.2">
      <c r="A10940" s="2" t="s">
        <v>3898</v>
      </c>
      <c r="B10940" s="2" t="s">
        <v>1046</v>
      </c>
      <c r="C10940" s="2">
        <v>703.21420000000001</v>
      </c>
      <c r="D10940" s="2">
        <f>HYPERLINK("http://mcb-m6.bioreg.kyushu-u.ac.jp/M3/20110404/F50761/1679/1", 55.46)</f>
        <v>55.46</v>
      </c>
      <c r="E10940" s="2">
        <v>41.61</v>
      </c>
      <c r="F10940" s="2">
        <v>2</v>
      </c>
      <c r="G10940" s="2" t="s">
        <v>10</v>
      </c>
    </row>
    <row r="10941" spans="1:8" x14ac:dyDescent="0.2">
      <c r="A10941" s="2" t="s">
        <v>3898</v>
      </c>
      <c r="B10941" s="2" t="s">
        <v>1046</v>
      </c>
      <c r="C10941" s="2">
        <v>703.16859999999997</v>
      </c>
      <c r="D10941" s="2">
        <f>HYPERLINK("http://mcb-m6.bioreg.kyushu-u.ac.jp/M3/20110427/F51114/1845/1", 44.45)</f>
        <v>44.45</v>
      </c>
      <c r="E10941" s="2">
        <v>31.36</v>
      </c>
      <c r="F10941" s="2">
        <v>2</v>
      </c>
      <c r="G10941" s="2" t="s">
        <v>13</v>
      </c>
    </row>
    <row r="10942" spans="1:8" x14ac:dyDescent="0.2">
      <c r="A10942" s="2" t="s">
        <v>7691</v>
      </c>
      <c r="B10942" s="2" t="s">
        <v>6337</v>
      </c>
      <c r="C10942" s="2">
        <v>786.36</v>
      </c>
      <c r="D10942" s="2">
        <f>HYPERLINK("http://mcb-m6.bioreg.kyushu-u.ac.jp/M3/20110404/F50756/720/1", 54.07)</f>
        <v>54.07</v>
      </c>
      <c r="E10942" s="2">
        <v>32.07</v>
      </c>
      <c r="F10942" s="2">
        <v>1</v>
      </c>
      <c r="G10942" s="2" t="s">
        <v>9</v>
      </c>
    </row>
    <row r="10943" spans="1:8" x14ac:dyDescent="0.2">
      <c r="A10943" s="2" t="s">
        <v>7691</v>
      </c>
      <c r="B10943" s="2" t="s">
        <v>6337</v>
      </c>
      <c r="C10943" s="2">
        <v>786.29100000000005</v>
      </c>
      <c r="D10943" s="2">
        <f>HYPERLINK("http://mcb-m6.bioreg.kyushu-u.ac.jp/M3/20110404/F50761/664/1", 49.1)</f>
        <v>49.1</v>
      </c>
      <c r="E10943" s="2">
        <v>21.11</v>
      </c>
      <c r="F10943" s="2">
        <v>1</v>
      </c>
      <c r="G10943" s="2" t="s">
        <v>10</v>
      </c>
    </row>
    <row r="10944" spans="1:8" x14ac:dyDescent="0.2">
      <c r="A10944" s="2" t="s">
        <v>3681</v>
      </c>
      <c r="B10944" s="2" t="s">
        <v>1904</v>
      </c>
      <c r="C10944" s="2">
        <v>606.18470000000002</v>
      </c>
      <c r="D10944" s="2">
        <f>HYPERLINK("http://mcb-m6.bioreg.kyushu-u.ac.jp/M3/20110404/F50762/1328/1", 51.7)</f>
        <v>51.7</v>
      </c>
      <c r="E10944" s="2">
        <v>38</v>
      </c>
      <c r="F10944" s="2">
        <v>2</v>
      </c>
      <c r="G10944" s="2" t="s">
        <v>9</v>
      </c>
    </row>
    <row r="10945" spans="1:8" x14ac:dyDescent="0.2">
      <c r="A10945" s="2" t="s">
        <v>3681</v>
      </c>
      <c r="B10945" s="2" t="s">
        <v>912</v>
      </c>
      <c r="C10945" s="2">
        <v>622.57820000000004</v>
      </c>
      <c r="D10945" s="2">
        <f>HYPERLINK("http://mcb-m6.bioreg.kyushu-u.ac.jp/M3/20110404/F50758/1528/1", 37.17)</f>
        <v>37.17</v>
      </c>
      <c r="E10945" s="2">
        <v>25.75</v>
      </c>
      <c r="F10945" s="2">
        <v>2</v>
      </c>
      <c r="G10945" s="2" t="s">
        <v>10</v>
      </c>
    </row>
    <row r="10946" spans="1:8" x14ac:dyDescent="0.2">
      <c r="A10946" s="2" t="s">
        <v>3681</v>
      </c>
      <c r="B10946" s="2" t="s">
        <v>2393</v>
      </c>
      <c r="C10946" s="2">
        <v>935.99570000000006</v>
      </c>
      <c r="D10946" s="2">
        <f>HYPERLINK("http://mcb-m6.bioreg.kyushu-u.ac.jp/M3/20110404/F50768/2558/1", 46.53)</f>
        <v>46.53</v>
      </c>
      <c r="E10946" s="2">
        <v>32.090000000000003</v>
      </c>
      <c r="F10946" s="2">
        <v>2</v>
      </c>
      <c r="G10946" s="2" t="s">
        <v>10</v>
      </c>
      <c r="H10946" s="2" t="s">
        <v>4901</v>
      </c>
    </row>
    <row r="10947" spans="1:8" x14ac:dyDescent="0.2">
      <c r="A10947" s="2" t="s">
        <v>3681</v>
      </c>
      <c r="B10947" s="2" t="s">
        <v>912</v>
      </c>
      <c r="C10947" s="2">
        <v>1243.5519999999999</v>
      </c>
      <c r="D10947" s="2">
        <f>HYPERLINK("http://mcb-m6.bioreg.kyushu-u.ac.jp/M3/20110404/F50768/1468/1", 60.89)</f>
        <v>60.89</v>
      </c>
      <c r="E10947" s="2">
        <v>42.59</v>
      </c>
      <c r="F10947" s="2">
        <v>1</v>
      </c>
      <c r="G10947" s="2" t="s">
        <v>10</v>
      </c>
    </row>
    <row r="10948" spans="1:8" x14ac:dyDescent="0.2">
      <c r="A10948" s="2" t="s">
        <v>3681</v>
      </c>
      <c r="B10948" s="2" t="s">
        <v>1904</v>
      </c>
      <c r="C10948" s="2">
        <v>605.81410000000005</v>
      </c>
      <c r="D10948" s="2">
        <f>HYPERLINK("http://mcb-m6.bioreg.kyushu-u.ac.jp/M3/20110404/F50768/1401/1", 64.55)</f>
        <v>64.55</v>
      </c>
      <c r="E10948" s="2">
        <v>51.35</v>
      </c>
      <c r="F10948" s="2">
        <v>2</v>
      </c>
      <c r="G10948" s="2" t="s">
        <v>10</v>
      </c>
    </row>
    <row r="10949" spans="1:8" x14ac:dyDescent="0.2">
      <c r="A10949" s="2" t="s">
        <v>3681</v>
      </c>
      <c r="B10949" s="2" t="s">
        <v>912</v>
      </c>
      <c r="C10949" s="2">
        <v>622.23469999999998</v>
      </c>
      <c r="D10949" s="2">
        <f>HYPERLINK("http://mcb-m6.bioreg.kyushu-u.ac.jp/M3/20110404/F50768/1465/1", 78.37)</f>
        <v>78.37</v>
      </c>
      <c r="E10949" s="2">
        <v>58.29</v>
      </c>
      <c r="F10949" s="2">
        <v>2</v>
      </c>
      <c r="G10949" s="2" t="s">
        <v>10</v>
      </c>
    </row>
    <row r="10950" spans="1:8" x14ac:dyDescent="0.2">
      <c r="A10950" s="2" t="s">
        <v>3681</v>
      </c>
      <c r="B10950" s="2" t="s">
        <v>912</v>
      </c>
      <c r="C10950" s="2">
        <v>622.42660000000001</v>
      </c>
      <c r="D10950" s="2">
        <f>HYPERLINK("http://mcb-m6.bioreg.kyushu-u.ac.jp/M3/20110421/F51034/1432/1", 42.87)</f>
        <v>42.87</v>
      </c>
      <c r="E10950" s="2">
        <v>24.89</v>
      </c>
      <c r="F10950" s="2">
        <v>2</v>
      </c>
      <c r="G10950" s="2" t="s">
        <v>11</v>
      </c>
    </row>
    <row r="10951" spans="1:8" x14ac:dyDescent="0.2">
      <c r="A10951" s="2" t="s">
        <v>3681</v>
      </c>
      <c r="B10951" s="2" t="s">
        <v>636</v>
      </c>
      <c r="C10951" s="2">
        <v>907.8732</v>
      </c>
      <c r="D10951" s="2">
        <f>HYPERLINK("http://mcb-m6.bioreg.kyushu-u.ac.jp/M3/20110421/F51035/2800/1", 43.85)</f>
        <v>43.85</v>
      </c>
      <c r="E10951" s="2">
        <v>31.65</v>
      </c>
      <c r="F10951" s="2">
        <v>2</v>
      </c>
      <c r="G10951" s="2" t="s">
        <v>11</v>
      </c>
      <c r="H10951" s="2" t="s">
        <v>4907</v>
      </c>
    </row>
    <row r="10952" spans="1:8" x14ac:dyDescent="0.2">
      <c r="A10952" s="2" t="s">
        <v>3681</v>
      </c>
      <c r="B10952" s="2" t="s">
        <v>1904</v>
      </c>
      <c r="C10952" s="2">
        <v>606.34619999999995</v>
      </c>
      <c r="D10952" s="2">
        <f>HYPERLINK("http://mcb-m6.bioreg.kyushu-u.ac.jp/M3/20110421/F51035/1272/1", 45.31)</f>
        <v>45.31</v>
      </c>
      <c r="E10952" s="2">
        <v>36.78</v>
      </c>
      <c r="F10952" s="2">
        <v>2</v>
      </c>
      <c r="G10952" s="2" t="s">
        <v>11</v>
      </c>
    </row>
    <row r="10953" spans="1:8" x14ac:dyDescent="0.2">
      <c r="A10953" s="2" t="s">
        <v>3681</v>
      </c>
      <c r="B10953" s="2" t="s">
        <v>636</v>
      </c>
      <c r="C10953" s="2">
        <v>907.50070000000005</v>
      </c>
      <c r="D10953" s="2">
        <f>HYPERLINK("http://mcb-m6.bioreg.kyushu-u.ac.jp/M3/20110421/F51034/2760/1", 47.31)</f>
        <v>47.31</v>
      </c>
      <c r="E10953" s="2">
        <v>25.04</v>
      </c>
      <c r="F10953" s="2">
        <v>2</v>
      </c>
      <c r="G10953" s="2" t="s">
        <v>11</v>
      </c>
      <c r="H10953" s="2" t="s">
        <v>4907</v>
      </c>
    </row>
    <row r="10954" spans="1:8" x14ac:dyDescent="0.2">
      <c r="A10954" s="2" t="s">
        <v>3681</v>
      </c>
      <c r="B10954" s="2" t="s">
        <v>636</v>
      </c>
      <c r="C10954" s="2">
        <v>605.4982</v>
      </c>
      <c r="D10954" s="2">
        <f>HYPERLINK("http://mcb-m6.bioreg.kyushu-u.ac.jp/M3/20110421/F51035/2799/1", 51.72)</f>
        <v>51.72</v>
      </c>
      <c r="E10954" s="2">
        <v>38.53</v>
      </c>
      <c r="F10954" s="2">
        <v>3</v>
      </c>
      <c r="G10954" s="2" t="s">
        <v>11</v>
      </c>
      <c r="H10954" s="2" t="s">
        <v>4907</v>
      </c>
    </row>
    <row r="10955" spans="1:8" x14ac:dyDescent="0.2">
      <c r="A10955" s="2" t="s">
        <v>3681</v>
      </c>
      <c r="B10955" s="2" t="s">
        <v>912</v>
      </c>
      <c r="C10955" s="2">
        <v>622.32669999999996</v>
      </c>
      <c r="D10955" s="2">
        <f>HYPERLINK("http://mcb-m6.bioreg.kyushu-u.ac.jp/M3/20110421/F51035/1340/1", 56.64)</f>
        <v>56.64</v>
      </c>
      <c r="E10955" s="2">
        <v>38.35</v>
      </c>
      <c r="F10955" s="2">
        <v>2</v>
      </c>
      <c r="G10955" s="2" t="s">
        <v>11</v>
      </c>
    </row>
    <row r="10956" spans="1:8" x14ac:dyDescent="0.2">
      <c r="A10956" s="2" t="s">
        <v>3681</v>
      </c>
      <c r="B10956" s="2" t="s">
        <v>1904</v>
      </c>
      <c r="C10956" s="2">
        <v>606.14369999999997</v>
      </c>
      <c r="D10956" s="2">
        <f>HYPERLINK("http://mcb-m6.bioreg.kyushu-u.ac.jp/M3/20110421/F51034/1353/1", 59.52)</f>
        <v>59.52</v>
      </c>
      <c r="E10956" s="2">
        <v>45.33</v>
      </c>
      <c r="F10956" s="2">
        <v>2</v>
      </c>
      <c r="G10956" s="2" t="s">
        <v>11</v>
      </c>
    </row>
    <row r="10957" spans="1:8" x14ac:dyDescent="0.2">
      <c r="A10957" s="2" t="s">
        <v>3681</v>
      </c>
      <c r="B10957" s="2" t="s">
        <v>912</v>
      </c>
      <c r="C10957" s="2">
        <v>622.36360000000002</v>
      </c>
      <c r="D10957" s="2">
        <f>HYPERLINK("http://mcb-m6.bioreg.kyushu-u.ac.jp/M3/20110421/F51034/1431/1", 89.84)</f>
        <v>89.84</v>
      </c>
      <c r="E10957" s="2">
        <v>68.099999999999994</v>
      </c>
      <c r="F10957" s="2">
        <v>2</v>
      </c>
      <c r="G10957" s="2" t="s">
        <v>11</v>
      </c>
    </row>
    <row r="10958" spans="1:8" x14ac:dyDescent="0.2">
      <c r="A10958" s="2" t="s">
        <v>3681</v>
      </c>
      <c r="B10958" s="2" t="s">
        <v>5111</v>
      </c>
      <c r="C10958" s="2">
        <v>1100.625</v>
      </c>
      <c r="D10958" s="2">
        <f>HYPERLINK("http://mcb-m6.bioreg.kyushu-u.ac.jp/M3/20110421/F51043/1162/1", 35.4)</f>
        <v>35.4</v>
      </c>
      <c r="E10958" s="2">
        <v>19.88</v>
      </c>
      <c r="F10958" s="2">
        <v>1</v>
      </c>
      <c r="G10958" s="2" t="s">
        <v>12</v>
      </c>
    </row>
    <row r="10959" spans="1:8" x14ac:dyDescent="0.2">
      <c r="A10959" s="2" t="s">
        <v>3681</v>
      </c>
      <c r="B10959" s="2" t="s">
        <v>636</v>
      </c>
      <c r="C10959" s="2">
        <v>907.55970000000002</v>
      </c>
      <c r="D10959" s="2">
        <f>HYPERLINK("http://mcb-m6.bioreg.kyushu-u.ac.jp/M3/20110421/F51043/2784/1", 41.4)</f>
        <v>41.4</v>
      </c>
      <c r="E10959" s="2">
        <v>28.78</v>
      </c>
      <c r="F10959" s="2">
        <v>2</v>
      </c>
      <c r="G10959" s="2" t="s">
        <v>12</v>
      </c>
      <c r="H10959" s="2" t="s">
        <v>4907</v>
      </c>
    </row>
    <row r="10960" spans="1:8" x14ac:dyDescent="0.2">
      <c r="A10960" s="2" t="s">
        <v>3681</v>
      </c>
      <c r="B10960" s="2" t="s">
        <v>1904</v>
      </c>
      <c r="C10960" s="2">
        <v>606.40060000000005</v>
      </c>
      <c r="D10960" s="2">
        <f>HYPERLINK("http://mcb-m6.bioreg.kyushu-u.ac.jp/M3/20110421/F51043/1403/1", 44.44)</f>
        <v>44.44</v>
      </c>
      <c r="E10960" s="2">
        <v>30.71</v>
      </c>
      <c r="F10960" s="2">
        <v>2</v>
      </c>
      <c r="G10960" s="2" t="s">
        <v>12</v>
      </c>
    </row>
    <row r="10961" spans="1:8" x14ac:dyDescent="0.2">
      <c r="A10961" s="2" t="s">
        <v>3681</v>
      </c>
      <c r="B10961" s="2" t="s">
        <v>1904</v>
      </c>
      <c r="C10961" s="2">
        <v>605.96870000000001</v>
      </c>
      <c r="D10961" s="2">
        <f>HYPERLINK("http://mcb-m6.bioreg.kyushu-u.ac.jp/M3/20110421/F51045/1601/1", 46.43)</f>
        <v>46.43</v>
      </c>
      <c r="E10961" s="2">
        <v>36.17</v>
      </c>
      <c r="F10961" s="2">
        <v>2</v>
      </c>
      <c r="G10961" s="2" t="s">
        <v>12</v>
      </c>
    </row>
    <row r="10962" spans="1:8" x14ac:dyDescent="0.2">
      <c r="A10962" s="2" t="s">
        <v>3681</v>
      </c>
      <c r="B10962" s="2" t="s">
        <v>636</v>
      </c>
      <c r="C10962" s="2">
        <v>908.07759999999996</v>
      </c>
      <c r="D10962" s="2">
        <f>HYPERLINK("http://mcb-m6.bioreg.kyushu-u.ac.jp/M3/20110421/F51045/2830/1", 51.5)</f>
        <v>51.5</v>
      </c>
      <c r="E10962" s="2">
        <v>39.25</v>
      </c>
      <c r="F10962" s="2">
        <v>2</v>
      </c>
      <c r="G10962" s="2" t="s">
        <v>12</v>
      </c>
      <c r="H10962" s="2" t="s">
        <v>4907</v>
      </c>
    </row>
    <row r="10963" spans="1:8" x14ac:dyDescent="0.2">
      <c r="A10963" s="2" t="s">
        <v>3681</v>
      </c>
      <c r="B10963" s="2" t="s">
        <v>912</v>
      </c>
      <c r="C10963" s="2">
        <v>622.26670000000001</v>
      </c>
      <c r="D10963" s="2">
        <f>HYPERLINK("http://mcb-m6.bioreg.kyushu-u.ac.jp/M3/20110421/F51043/1472/1", 53.3)</f>
        <v>53.3</v>
      </c>
      <c r="E10963" s="2">
        <v>30.78</v>
      </c>
      <c r="F10963" s="2">
        <v>2</v>
      </c>
      <c r="G10963" s="2" t="s">
        <v>12</v>
      </c>
    </row>
    <row r="10964" spans="1:8" x14ac:dyDescent="0.2">
      <c r="A10964" s="2" t="s">
        <v>3681</v>
      </c>
      <c r="B10964" s="2" t="s">
        <v>1904</v>
      </c>
      <c r="C10964" s="2">
        <v>605.89469999999994</v>
      </c>
      <c r="D10964" s="2">
        <f>HYPERLINK("http://mcb-m6.bioreg.kyushu-u.ac.jp/M3/20110421/F51043/1402/1", 56.46)</f>
        <v>56.46</v>
      </c>
      <c r="E10964" s="2">
        <v>45.17</v>
      </c>
      <c r="F10964" s="2">
        <v>2</v>
      </c>
      <c r="G10964" s="2" t="s">
        <v>12</v>
      </c>
    </row>
    <row r="10965" spans="1:8" x14ac:dyDescent="0.2">
      <c r="A10965" s="2" t="s">
        <v>3681</v>
      </c>
      <c r="B10965" s="2" t="s">
        <v>636</v>
      </c>
      <c r="C10965" s="2">
        <v>907.43370000000004</v>
      </c>
      <c r="D10965" s="2">
        <f>HYPERLINK("http://mcb-m6.bioreg.kyushu-u.ac.jp/M3/20110421/F51044/2754/1", 57.84)</f>
        <v>57.84</v>
      </c>
      <c r="E10965" s="2">
        <v>42.61</v>
      </c>
      <c r="F10965" s="2">
        <v>2</v>
      </c>
      <c r="G10965" s="2" t="s">
        <v>12</v>
      </c>
      <c r="H10965" s="2" t="s">
        <v>4907</v>
      </c>
    </row>
    <row r="10966" spans="1:8" x14ac:dyDescent="0.2">
      <c r="A10966" s="2" t="s">
        <v>3681</v>
      </c>
      <c r="B10966" s="2" t="s">
        <v>912</v>
      </c>
      <c r="C10966" s="2">
        <v>622.25710000000004</v>
      </c>
      <c r="D10966" s="2">
        <f>HYPERLINK("http://mcb-m6.bioreg.kyushu-u.ac.jp/M3/20110421/F51044/1429/1", 59.56)</f>
        <v>59.56</v>
      </c>
      <c r="E10966" s="2">
        <v>42.84</v>
      </c>
      <c r="F10966" s="2">
        <v>2</v>
      </c>
      <c r="G10966" s="2" t="s">
        <v>12</v>
      </c>
    </row>
    <row r="10967" spans="1:8" x14ac:dyDescent="0.2">
      <c r="A10967" s="2" t="s">
        <v>3681</v>
      </c>
      <c r="B10967" s="2" t="s">
        <v>912</v>
      </c>
      <c r="C10967" s="2">
        <v>622.70920000000001</v>
      </c>
      <c r="D10967" s="2">
        <f>HYPERLINK("http://mcb-m6.bioreg.kyushu-u.ac.jp/M3/20110421/F51050/1612/1", 59.65)</f>
        <v>59.65</v>
      </c>
      <c r="E10967" s="2">
        <v>45.7</v>
      </c>
      <c r="F10967" s="2">
        <v>2</v>
      </c>
      <c r="G10967" s="2" t="s">
        <v>12</v>
      </c>
    </row>
    <row r="10968" spans="1:8" x14ac:dyDescent="0.2">
      <c r="A10968" s="2" t="s">
        <v>3681</v>
      </c>
      <c r="B10968" s="2" t="s">
        <v>1904</v>
      </c>
      <c r="C10968" s="2">
        <v>605.84270000000004</v>
      </c>
      <c r="D10968" s="2">
        <f>HYPERLINK("http://mcb-m6.bioreg.kyushu-u.ac.jp/M3/20110421/F51044/1351/1", 62.37)</f>
        <v>62.37</v>
      </c>
      <c r="E10968" s="2">
        <v>48.17</v>
      </c>
      <c r="F10968" s="2">
        <v>2</v>
      </c>
      <c r="G10968" s="2" t="s">
        <v>12</v>
      </c>
    </row>
    <row r="10969" spans="1:8" x14ac:dyDescent="0.2">
      <c r="A10969" s="2" t="s">
        <v>3681</v>
      </c>
      <c r="B10969" s="2" t="s">
        <v>912</v>
      </c>
      <c r="C10969" s="2">
        <v>622.37270000000001</v>
      </c>
      <c r="D10969" s="2">
        <f>HYPERLINK("http://mcb-m6.bioreg.kyushu-u.ac.jp/M3/20110421/F51045/1665/1", 73.14)</f>
        <v>73.14</v>
      </c>
      <c r="E10969" s="2">
        <v>51.94</v>
      </c>
      <c r="F10969" s="2">
        <v>2</v>
      </c>
      <c r="G10969" s="2" t="s">
        <v>12</v>
      </c>
    </row>
    <row r="10970" spans="1:8" x14ac:dyDescent="0.2">
      <c r="A10970" s="2" t="s">
        <v>3681</v>
      </c>
      <c r="B10970" s="2" t="s">
        <v>1904</v>
      </c>
      <c r="C10970" s="2">
        <v>606.03769999999997</v>
      </c>
      <c r="D10970" s="2">
        <f>HYPERLINK("http://mcb-m6.bioreg.kyushu-u.ac.jp/M3/20110428/F51127/1228/1", 36.18)</f>
        <v>36.18</v>
      </c>
      <c r="E10970" s="2">
        <v>21.15</v>
      </c>
      <c r="F10970" s="2">
        <v>2</v>
      </c>
      <c r="G10970" s="2" t="s">
        <v>13</v>
      </c>
    </row>
    <row r="10971" spans="1:8" x14ac:dyDescent="0.2">
      <c r="A10971" s="2" t="s">
        <v>3681</v>
      </c>
      <c r="B10971" s="2" t="s">
        <v>1904</v>
      </c>
      <c r="C10971" s="2">
        <v>605.66470000000004</v>
      </c>
      <c r="D10971" s="2">
        <f>HYPERLINK("http://mcb-m6.bioreg.kyushu-u.ac.jp/M3/20110427/F51114/1391/1", 38.01)</f>
        <v>38.01</v>
      </c>
      <c r="E10971" s="2">
        <v>25.92</v>
      </c>
      <c r="F10971" s="2">
        <v>2</v>
      </c>
      <c r="G10971" s="2" t="s">
        <v>13</v>
      </c>
    </row>
    <row r="10972" spans="1:8" x14ac:dyDescent="0.2">
      <c r="A10972" s="2" t="s">
        <v>3681</v>
      </c>
      <c r="B10972" s="2" t="s">
        <v>636</v>
      </c>
      <c r="C10972" s="2">
        <v>605.71550000000002</v>
      </c>
      <c r="D10972" s="2">
        <f>HYPERLINK("http://mcb-m6.bioreg.kyushu-u.ac.jp/M3/20110428/F51127/2830/1", 39.15)</f>
        <v>39.15</v>
      </c>
      <c r="E10972" s="2">
        <v>28.06</v>
      </c>
      <c r="F10972" s="2">
        <v>3</v>
      </c>
      <c r="G10972" s="2" t="s">
        <v>13</v>
      </c>
      <c r="H10972" s="2" t="s">
        <v>4907</v>
      </c>
    </row>
    <row r="10973" spans="1:8" x14ac:dyDescent="0.2">
      <c r="A10973" s="2" t="s">
        <v>3681</v>
      </c>
      <c r="B10973" s="2" t="s">
        <v>636</v>
      </c>
      <c r="C10973" s="2">
        <v>907.25070000000005</v>
      </c>
      <c r="D10973" s="2">
        <f>HYPERLINK("http://mcb-m6.bioreg.kyushu-u.ac.jp/M3/20110427/F51114/2879/1", 39.72)</f>
        <v>39.72</v>
      </c>
      <c r="E10973" s="2">
        <v>24.53</v>
      </c>
      <c r="F10973" s="2">
        <v>2</v>
      </c>
      <c r="G10973" s="2" t="s">
        <v>13</v>
      </c>
      <c r="H10973" s="2" t="s">
        <v>4907</v>
      </c>
    </row>
    <row r="10974" spans="1:8" x14ac:dyDescent="0.2">
      <c r="A10974" s="2" t="s">
        <v>3681</v>
      </c>
      <c r="B10974" s="2" t="s">
        <v>1904</v>
      </c>
      <c r="C10974" s="2">
        <v>606.25959999999998</v>
      </c>
      <c r="D10974" s="2">
        <f>HYPERLINK("http://mcb-m6.bioreg.kyushu-u.ac.jp/M3/20110427/F51114/1395/1", 42.89)</f>
        <v>42.89</v>
      </c>
      <c r="E10974" s="2">
        <v>31.45</v>
      </c>
      <c r="F10974" s="2">
        <v>2</v>
      </c>
      <c r="G10974" s="2" t="s">
        <v>13</v>
      </c>
    </row>
    <row r="10975" spans="1:8" x14ac:dyDescent="0.2">
      <c r="A10975" s="2" t="s">
        <v>3681</v>
      </c>
      <c r="B10975" s="2" t="s">
        <v>1904</v>
      </c>
      <c r="C10975" s="2">
        <v>605.41060000000004</v>
      </c>
      <c r="D10975" s="2">
        <f>HYPERLINK("http://mcb-m6.bioreg.kyushu-u.ac.jp/M3/20110428/F51127/1224/1", 51.29)</f>
        <v>51.29</v>
      </c>
      <c r="E10975" s="2">
        <v>37.19</v>
      </c>
      <c r="F10975" s="2">
        <v>2</v>
      </c>
      <c r="G10975" s="2" t="s">
        <v>13</v>
      </c>
    </row>
    <row r="10976" spans="1:8" x14ac:dyDescent="0.2">
      <c r="A10976" s="2" t="s">
        <v>3681</v>
      </c>
      <c r="B10976" s="2" t="s">
        <v>636</v>
      </c>
      <c r="C10976" s="2">
        <v>907.72670000000005</v>
      </c>
      <c r="D10976" s="2">
        <f>HYPERLINK("http://mcb-m6.bioreg.kyushu-u.ac.jp/M3/20110428/F51127/2828/1", 55.71)</f>
        <v>55.71</v>
      </c>
      <c r="E10976" s="2">
        <v>38.03</v>
      </c>
      <c r="F10976" s="2">
        <v>2</v>
      </c>
      <c r="G10976" s="2" t="s">
        <v>13</v>
      </c>
      <c r="H10976" s="2" t="s">
        <v>4907</v>
      </c>
    </row>
    <row r="10977" spans="1:9" x14ac:dyDescent="0.2">
      <c r="A10977" s="2" t="s">
        <v>3681</v>
      </c>
      <c r="B10977" s="2" t="s">
        <v>912</v>
      </c>
      <c r="C10977" s="2">
        <v>622.12660000000005</v>
      </c>
      <c r="D10977" s="2">
        <f>HYPERLINK("http://mcb-m6.bioreg.kyushu-u.ac.jp/M3/20110428/F51127/1285/1", 69.08)</f>
        <v>69.08</v>
      </c>
      <c r="E10977" s="2">
        <v>46.24</v>
      </c>
      <c r="F10977" s="2">
        <v>2</v>
      </c>
      <c r="G10977" s="2" t="s">
        <v>13</v>
      </c>
    </row>
    <row r="10978" spans="1:9" x14ac:dyDescent="0.2">
      <c r="A10978" s="2" t="s">
        <v>3681</v>
      </c>
      <c r="B10978" s="2" t="s">
        <v>636</v>
      </c>
      <c r="C10978" s="2">
        <v>599.92819999999995</v>
      </c>
      <c r="D10978" s="2">
        <f>HYPERLINK("http://mcb-m6.bioreg.kyushu-u.ac.jp/M3/20110428/F51128/2755/1", 42.78)</f>
        <v>42.78</v>
      </c>
      <c r="E10978" s="2">
        <v>29.4</v>
      </c>
      <c r="F10978" s="2">
        <v>3</v>
      </c>
      <c r="G10978" s="2" t="s">
        <v>14</v>
      </c>
    </row>
    <row r="10979" spans="1:9" x14ac:dyDescent="0.2">
      <c r="A10979" s="2" t="s">
        <v>3681</v>
      </c>
      <c r="B10979" s="2" t="s">
        <v>1904</v>
      </c>
      <c r="C10979" s="2">
        <v>605.69820000000004</v>
      </c>
      <c r="D10979" s="2">
        <f>HYPERLINK("http://mcb-m6.bioreg.kyushu-u.ac.jp/M3/20110427/F51123/1458/1", 48.5)</f>
        <v>48.5</v>
      </c>
      <c r="E10979" s="2">
        <v>32.51</v>
      </c>
      <c r="F10979" s="2">
        <v>2</v>
      </c>
      <c r="G10979" s="2" t="s">
        <v>14</v>
      </c>
    </row>
    <row r="10980" spans="1:9" x14ac:dyDescent="0.2">
      <c r="A10980" s="2" t="s">
        <v>3681</v>
      </c>
      <c r="B10980" s="2" t="s">
        <v>1904</v>
      </c>
      <c r="C10980" s="2">
        <v>605.6241</v>
      </c>
      <c r="D10980" s="2">
        <f>HYPERLINK("http://mcb-m6.bioreg.kyushu-u.ac.jp/M3/20110428/F51128/1377/1", 49.07)</f>
        <v>49.07</v>
      </c>
      <c r="E10980" s="2">
        <v>29.6</v>
      </c>
      <c r="F10980" s="2">
        <v>2</v>
      </c>
      <c r="G10980" s="2" t="s">
        <v>14</v>
      </c>
    </row>
    <row r="10981" spans="1:9" x14ac:dyDescent="0.2">
      <c r="A10981" s="2" t="s">
        <v>3681</v>
      </c>
      <c r="B10981" s="2" t="s">
        <v>912</v>
      </c>
      <c r="C10981" s="2">
        <v>622.25419999999997</v>
      </c>
      <c r="D10981" s="2">
        <f>HYPERLINK("http://mcb-m6.bioreg.kyushu-u.ac.jp/M3/20110428/F51129/1492/1", 51.45)</f>
        <v>51.45</v>
      </c>
      <c r="E10981" s="2">
        <v>33.630000000000003</v>
      </c>
      <c r="F10981" s="2">
        <v>2</v>
      </c>
      <c r="G10981" s="2" t="s">
        <v>14</v>
      </c>
    </row>
    <row r="10982" spans="1:9" x14ac:dyDescent="0.2">
      <c r="A10982" s="2" t="s">
        <v>3681</v>
      </c>
      <c r="B10982" s="2" t="s">
        <v>1904</v>
      </c>
      <c r="C10982" s="2">
        <v>606.24570000000006</v>
      </c>
      <c r="D10982" s="2">
        <f>HYPERLINK("http://mcb-m6.bioreg.kyushu-u.ac.jp/M3/20110427/F51123/1460/1", 52.06)</f>
        <v>52.06</v>
      </c>
      <c r="E10982" s="2">
        <v>31.52</v>
      </c>
      <c r="F10982" s="2">
        <v>2</v>
      </c>
      <c r="G10982" s="2" t="s">
        <v>14</v>
      </c>
    </row>
    <row r="10983" spans="1:9" x14ac:dyDescent="0.2">
      <c r="A10983" s="2" t="s">
        <v>3681</v>
      </c>
      <c r="B10983" s="2" t="s">
        <v>912</v>
      </c>
      <c r="C10983" s="2">
        <v>622.5702</v>
      </c>
      <c r="D10983" s="2">
        <f>HYPERLINK("http://mcb-m6.bioreg.kyushu-u.ac.jp/M3/20110427/F51123/1521/1", 52.57)</f>
        <v>52.57</v>
      </c>
      <c r="E10983" s="2">
        <v>31.37</v>
      </c>
      <c r="F10983" s="2">
        <v>2</v>
      </c>
      <c r="G10983" s="2" t="s">
        <v>14</v>
      </c>
    </row>
    <row r="10984" spans="1:9" x14ac:dyDescent="0.2">
      <c r="A10984" s="2" t="s">
        <v>3681</v>
      </c>
      <c r="B10984" s="2" t="s">
        <v>636</v>
      </c>
      <c r="C10984" s="2">
        <v>907.70759999999996</v>
      </c>
      <c r="D10984" s="2">
        <f>HYPERLINK("http://mcb-m6.bioreg.kyushu-u.ac.jp/M3/20110428/F51128/2778/1", 66.52)</f>
        <v>66.52</v>
      </c>
      <c r="E10984" s="2">
        <v>51.28</v>
      </c>
      <c r="F10984" s="2">
        <v>2</v>
      </c>
      <c r="G10984" s="2" t="s">
        <v>14</v>
      </c>
      <c r="H10984" s="2" t="s">
        <v>4907</v>
      </c>
    </row>
    <row r="10985" spans="1:9" x14ac:dyDescent="0.2">
      <c r="A10985" s="2" t="s">
        <v>3681</v>
      </c>
      <c r="B10985" s="2" t="s">
        <v>912</v>
      </c>
      <c r="C10985" s="2">
        <v>622.15869999999995</v>
      </c>
      <c r="D10985" s="2">
        <f>HYPERLINK("http://mcb-m6.bioreg.kyushu-u.ac.jp/M3/20110428/F51128/1432/1", 97.94)</f>
        <v>97.94</v>
      </c>
      <c r="E10985" s="2">
        <v>74.41</v>
      </c>
      <c r="F10985" s="2">
        <v>2</v>
      </c>
      <c r="G10985" s="2" t="s">
        <v>14</v>
      </c>
    </row>
    <row r="10986" spans="1:9" x14ac:dyDescent="0.2">
      <c r="A10986" s="2" t="s">
        <v>5600</v>
      </c>
      <c r="B10986" s="2" t="s">
        <v>4990</v>
      </c>
      <c r="C10986" s="2">
        <v>1438.9580000000001</v>
      </c>
      <c r="D10986" s="2">
        <f>HYPERLINK("http://mcb-m6.bioreg.kyushu-u.ac.jp/M3/20110428/F51128/3829/1", 73.96)</f>
        <v>73.959999999999994</v>
      </c>
      <c r="E10986" s="2">
        <v>64</v>
      </c>
      <c r="F10986" s="2">
        <v>2</v>
      </c>
      <c r="G10986" s="2" t="s">
        <v>14</v>
      </c>
      <c r="H10986" s="2" t="s">
        <v>5885</v>
      </c>
      <c r="I10986" s="2" t="s">
        <v>5883</v>
      </c>
    </row>
    <row r="10987" spans="1:9" x14ac:dyDescent="0.2">
      <c r="A10987" s="2" t="s">
        <v>7761</v>
      </c>
      <c r="B10987" s="2" t="s">
        <v>6579</v>
      </c>
      <c r="C10987" s="2">
        <v>801.23609999999996</v>
      </c>
      <c r="D10987" s="2">
        <f>HYPERLINK("http://mcb-m6.bioreg.kyushu-u.ac.jp/M3/20110404/F50754/2318/1", 84.19)</f>
        <v>84.19</v>
      </c>
      <c r="E10987" s="2">
        <v>68.849999999999994</v>
      </c>
      <c r="F10987" s="2">
        <v>2</v>
      </c>
      <c r="G10987" s="2" t="s">
        <v>9</v>
      </c>
    </row>
    <row r="10988" spans="1:9" x14ac:dyDescent="0.2">
      <c r="A10988" s="2" t="s">
        <v>4092</v>
      </c>
      <c r="B10988" s="2" t="s">
        <v>5977</v>
      </c>
      <c r="C10988" s="2">
        <v>1001.413</v>
      </c>
      <c r="D10988" s="2">
        <f>HYPERLINK("http://mcb-m6.bioreg.kyushu-u.ac.jp/M3/20110404/F50754/1330/1", 37.47)</f>
        <v>37.47</v>
      </c>
      <c r="E10988" s="2">
        <v>18.989999999999998</v>
      </c>
      <c r="F10988" s="2">
        <v>1</v>
      </c>
      <c r="G10988" s="2" t="s">
        <v>9</v>
      </c>
    </row>
    <row r="10989" spans="1:9" x14ac:dyDescent="0.2">
      <c r="A10989" s="2" t="s">
        <v>4092</v>
      </c>
      <c r="B10989" s="2" t="s">
        <v>6028</v>
      </c>
      <c r="C10989" s="2">
        <v>726.0231</v>
      </c>
      <c r="D10989" s="2">
        <f>HYPERLINK("http://mcb-m6.bioreg.kyushu-u.ac.jp/M3/20110404/F50754/2066/1", 39.35)</f>
        <v>39.35</v>
      </c>
      <c r="E10989" s="2">
        <v>22.19</v>
      </c>
      <c r="F10989" s="2">
        <v>2</v>
      </c>
      <c r="G10989" s="2" t="s">
        <v>9</v>
      </c>
      <c r="H10989" s="2" t="s">
        <v>4927</v>
      </c>
    </row>
    <row r="10990" spans="1:9" x14ac:dyDescent="0.2">
      <c r="A10990" s="2" t="s">
        <v>4092</v>
      </c>
      <c r="B10990" s="2" t="s">
        <v>2339</v>
      </c>
      <c r="C10990" s="2">
        <v>670.34169999999995</v>
      </c>
      <c r="D10990" s="2">
        <f>HYPERLINK("http://mcb-m6.bioreg.kyushu-u.ac.jp/M3/20110404/F50754/1849/1", 39.51)</f>
        <v>39.51</v>
      </c>
      <c r="E10990" s="2">
        <v>19.66</v>
      </c>
      <c r="F10990" s="2">
        <v>2</v>
      </c>
      <c r="G10990" s="2" t="s">
        <v>9</v>
      </c>
    </row>
    <row r="10991" spans="1:9" x14ac:dyDescent="0.2">
      <c r="A10991" s="2" t="s">
        <v>4092</v>
      </c>
      <c r="B10991" s="2" t="s">
        <v>6049</v>
      </c>
      <c r="C10991" s="2">
        <v>1029.298</v>
      </c>
      <c r="D10991" s="2">
        <f>HYPERLINK("http://mcb-m6.bioreg.kyushu-u.ac.jp/M3/20110404/F50754/1387/1", 40.22)</f>
        <v>40.22</v>
      </c>
      <c r="E10991" s="2">
        <v>21.6</v>
      </c>
      <c r="F10991" s="2">
        <v>1</v>
      </c>
      <c r="G10991" s="2" t="s">
        <v>9</v>
      </c>
    </row>
    <row r="10992" spans="1:9" x14ac:dyDescent="0.2">
      <c r="A10992" s="2" t="s">
        <v>4092</v>
      </c>
      <c r="B10992" s="2" t="s">
        <v>6104</v>
      </c>
      <c r="C10992" s="2">
        <v>1222.5440000000001</v>
      </c>
      <c r="D10992" s="2">
        <f>HYPERLINK("http://mcb-m6.bioreg.kyushu-u.ac.jp/M3/20110404/F50754/1690/1", 42.81)</f>
        <v>42.81</v>
      </c>
      <c r="E10992" s="2">
        <v>27.48</v>
      </c>
      <c r="F10992" s="2">
        <v>1</v>
      </c>
      <c r="G10992" s="2" t="s">
        <v>9</v>
      </c>
      <c r="I10992" s="2" t="s">
        <v>4898</v>
      </c>
    </row>
    <row r="10993" spans="1:9" x14ac:dyDescent="0.2">
      <c r="A10993" s="2" t="s">
        <v>4092</v>
      </c>
      <c r="B10993" s="2" t="s">
        <v>5977</v>
      </c>
      <c r="C10993" s="2">
        <v>501.19110000000001</v>
      </c>
      <c r="D10993" s="2">
        <f>HYPERLINK("http://mcb-m6.bioreg.kyushu-u.ac.jp/M3/20110404/F50754/1329/1", 47.7)</f>
        <v>47.7</v>
      </c>
      <c r="E10993" s="2">
        <v>16.37</v>
      </c>
      <c r="F10993" s="2">
        <v>2</v>
      </c>
      <c r="G10993" s="2" t="s">
        <v>9</v>
      </c>
    </row>
    <row r="10994" spans="1:9" x14ac:dyDescent="0.2">
      <c r="A10994" s="2" t="s">
        <v>4092</v>
      </c>
      <c r="B10994" s="2" t="s">
        <v>2339</v>
      </c>
      <c r="C10994" s="2">
        <v>1339.5329999999999</v>
      </c>
      <c r="D10994" s="2">
        <f>HYPERLINK("http://mcb-m6.bioreg.kyushu-u.ac.jp/M3/20110404/F50754/1846/1", 52.61)</f>
        <v>52.61</v>
      </c>
      <c r="E10994" s="2">
        <v>42.25</v>
      </c>
      <c r="F10994" s="2">
        <v>1</v>
      </c>
      <c r="G10994" s="2" t="s">
        <v>9</v>
      </c>
    </row>
    <row r="10995" spans="1:9" x14ac:dyDescent="0.2">
      <c r="A10995" s="2" t="s">
        <v>4092</v>
      </c>
      <c r="B10995" s="2" t="s">
        <v>2339</v>
      </c>
      <c r="C10995" s="2">
        <v>1338.431</v>
      </c>
      <c r="D10995" s="2">
        <f>HYPERLINK("http://mcb-m6.bioreg.kyushu-u.ac.jp/M3/20110404/F50754/1844/1", 56.37)</f>
        <v>56.37</v>
      </c>
      <c r="E10995" s="2">
        <v>43.22</v>
      </c>
      <c r="F10995" s="2">
        <v>1</v>
      </c>
      <c r="G10995" s="2" t="s">
        <v>9</v>
      </c>
    </row>
    <row r="10996" spans="1:9" x14ac:dyDescent="0.2">
      <c r="A10996" s="2" t="s">
        <v>4092</v>
      </c>
      <c r="B10996" s="2" t="s">
        <v>2339</v>
      </c>
      <c r="C10996" s="2">
        <v>669.80269999999996</v>
      </c>
      <c r="D10996" s="2">
        <f>HYPERLINK("http://mcb-m6.bioreg.kyushu-u.ac.jp/M3/20110404/F50754/1845/1", 67.91)</f>
        <v>67.91</v>
      </c>
      <c r="E10996" s="2">
        <v>49.95</v>
      </c>
      <c r="F10996" s="2">
        <v>2</v>
      </c>
      <c r="G10996" s="2" t="s">
        <v>9</v>
      </c>
    </row>
    <row r="10997" spans="1:9" x14ac:dyDescent="0.2">
      <c r="A10997" s="2" t="s">
        <v>4092</v>
      </c>
      <c r="B10997" s="2" t="s">
        <v>6529</v>
      </c>
      <c r="C10997" s="2">
        <v>966.77170000000001</v>
      </c>
      <c r="D10997" s="2">
        <f>HYPERLINK("http://mcb-m6.bioreg.kyushu-u.ac.jp/M3/20110404/F50754/2776/1", 75.02)</f>
        <v>75.02</v>
      </c>
      <c r="E10997" s="2">
        <v>61.84</v>
      </c>
      <c r="F10997" s="2">
        <v>2</v>
      </c>
      <c r="G10997" s="2" t="s">
        <v>9</v>
      </c>
      <c r="H10997" s="2" t="s">
        <v>4896</v>
      </c>
      <c r="I10997" s="2" t="s">
        <v>4923</v>
      </c>
    </row>
    <row r="10998" spans="1:9" x14ac:dyDescent="0.2">
      <c r="A10998" s="2" t="s">
        <v>4092</v>
      </c>
      <c r="B10998" s="2" t="s">
        <v>6529</v>
      </c>
      <c r="C10998" s="2">
        <v>958.78219999999999</v>
      </c>
      <c r="D10998" s="2">
        <f>HYPERLINK("http://mcb-m6.bioreg.kyushu-u.ac.jp/M3/20110404/F50754/2758/1", 76.69)</f>
        <v>76.69</v>
      </c>
      <c r="E10998" s="2">
        <v>64.83</v>
      </c>
      <c r="F10998" s="2">
        <v>2</v>
      </c>
      <c r="G10998" s="2" t="s">
        <v>9</v>
      </c>
      <c r="I10998" s="2" t="s">
        <v>4923</v>
      </c>
    </row>
    <row r="10999" spans="1:9" x14ac:dyDescent="0.2">
      <c r="A10999" s="2" t="s">
        <v>4092</v>
      </c>
      <c r="B10999" s="2" t="s">
        <v>1536</v>
      </c>
      <c r="C10999" s="2">
        <v>964.08370000000002</v>
      </c>
      <c r="D10999" s="2">
        <f>HYPERLINK("http://mcb-m6.bioreg.kyushu-u.ac.jp/M3/20110404/F50756/2936/1", 81.15)</f>
        <v>81.150000000000006</v>
      </c>
      <c r="E10999" s="2">
        <v>66.13</v>
      </c>
      <c r="F10999" s="2">
        <v>2</v>
      </c>
      <c r="G10999" s="2" t="s">
        <v>9</v>
      </c>
      <c r="I10999" s="2" t="s">
        <v>4914</v>
      </c>
    </row>
    <row r="11000" spans="1:9" x14ac:dyDescent="0.2">
      <c r="A11000" s="2" t="s">
        <v>4092</v>
      </c>
      <c r="B11000" s="2" t="s">
        <v>6529</v>
      </c>
      <c r="C11000" s="2">
        <v>967.35220000000004</v>
      </c>
      <c r="D11000" s="2">
        <f>HYPERLINK("http://mcb-m6.bioreg.kyushu-u.ac.jp/M3/20110404/F50754/2778/1", 81.54)</f>
        <v>81.540000000000006</v>
      </c>
      <c r="E11000" s="2">
        <v>65.75</v>
      </c>
      <c r="F11000" s="2">
        <v>2</v>
      </c>
      <c r="G11000" s="2" t="s">
        <v>9</v>
      </c>
      <c r="H11000" s="2" t="s">
        <v>4896</v>
      </c>
      <c r="I11000" s="2" t="s">
        <v>4923</v>
      </c>
    </row>
    <row r="11001" spans="1:9" x14ac:dyDescent="0.2">
      <c r="A11001" s="2" t="s">
        <v>4092</v>
      </c>
      <c r="B11001" s="2" t="s">
        <v>6570</v>
      </c>
      <c r="C11001" s="2">
        <v>767.24109999999996</v>
      </c>
      <c r="D11001" s="2">
        <f>HYPERLINK("http://mcb-m6.bioreg.kyushu-u.ac.jp/M3/20110404/F50754/2208/1", 82.55)</f>
        <v>82.55</v>
      </c>
      <c r="E11001" s="2">
        <v>52.01</v>
      </c>
      <c r="F11001" s="2">
        <v>2</v>
      </c>
      <c r="G11001" s="2" t="s">
        <v>9</v>
      </c>
    </row>
    <row r="11002" spans="1:9" x14ac:dyDescent="0.2">
      <c r="A11002" s="2" t="s">
        <v>4092</v>
      </c>
      <c r="B11002" s="2" t="s">
        <v>1536</v>
      </c>
      <c r="C11002" s="2">
        <v>964.2817</v>
      </c>
      <c r="D11002" s="2">
        <f>HYPERLINK("http://mcb-m6.bioreg.kyushu-u.ac.jp/M3/20110404/F50754/2770/1", 88.87)</f>
        <v>88.87</v>
      </c>
      <c r="E11002" s="2">
        <v>76.83</v>
      </c>
      <c r="F11002" s="2">
        <v>2</v>
      </c>
      <c r="G11002" s="2" t="s">
        <v>9</v>
      </c>
      <c r="I11002" s="2" t="s">
        <v>4914</v>
      </c>
    </row>
    <row r="11003" spans="1:9" x14ac:dyDescent="0.2">
      <c r="A11003" s="2" t="s">
        <v>4092</v>
      </c>
      <c r="B11003" s="2" t="s">
        <v>2339</v>
      </c>
      <c r="C11003" s="2">
        <v>670.32420000000002</v>
      </c>
      <c r="D11003" s="2">
        <f>HYPERLINK("http://mcb-m6.bioreg.kyushu-u.ac.jp/M3/20110404/F50754/1848/1", 89.31)</f>
        <v>89.31</v>
      </c>
      <c r="E11003" s="2">
        <v>74.31</v>
      </c>
      <c r="F11003" s="2">
        <v>2</v>
      </c>
      <c r="G11003" s="2" t="s">
        <v>9</v>
      </c>
    </row>
    <row r="11004" spans="1:9" x14ac:dyDescent="0.2">
      <c r="A11004" s="2" t="s">
        <v>4092</v>
      </c>
      <c r="B11004" s="2" t="s">
        <v>2339</v>
      </c>
      <c r="C11004" s="2">
        <v>670.27719999999999</v>
      </c>
      <c r="D11004" s="2">
        <f>HYPERLINK("http://mcb-m6.bioreg.kyushu-u.ac.jp/M3/20110404/F50755/1614/1", 92)</f>
        <v>92</v>
      </c>
      <c r="E11004" s="2">
        <v>74.81</v>
      </c>
      <c r="F11004" s="2">
        <v>2</v>
      </c>
      <c r="G11004" s="2" t="s">
        <v>9</v>
      </c>
    </row>
    <row r="11005" spans="1:9" x14ac:dyDescent="0.2">
      <c r="A11005" s="2" t="s">
        <v>4092</v>
      </c>
      <c r="B11005" s="2" t="s">
        <v>1536</v>
      </c>
      <c r="C11005" s="2">
        <v>963.70719999999994</v>
      </c>
      <c r="D11005" s="2">
        <f>HYPERLINK("http://mcb-m6.bioreg.kyushu-u.ac.jp/M3/20110404/F50754/2766/1", 125.71)</f>
        <v>125.71</v>
      </c>
      <c r="E11005" s="2">
        <v>113.43</v>
      </c>
      <c r="F11005" s="2">
        <v>2</v>
      </c>
      <c r="G11005" s="2" t="s">
        <v>9</v>
      </c>
      <c r="I11005" s="2" t="s">
        <v>4914</v>
      </c>
    </row>
    <row r="11006" spans="1:9" x14ac:dyDescent="0.2">
      <c r="A11006" s="2" t="s">
        <v>3758</v>
      </c>
      <c r="B11006" s="2" t="s">
        <v>771</v>
      </c>
      <c r="C11006" s="2">
        <v>673.17359999999996</v>
      </c>
      <c r="D11006" s="2">
        <f>HYPERLINK("http://mcb-m6.bioreg.kyushu-u.ac.jp/M3/20110428/F51127/1489/1", 39.51)</f>
        <v>39.51</v>
      </c>
      <c r="E11006" s="2">
        <v>21.27</v>
      </c>
      <c r="F11006" s="2">
        <v>2</v>
      </c>
      <c r="G11006" s="2" t="s">
        <v>13</v>
      </c>
    </row>
    <row r="11007" spans="1:9" x14ac:dyDescent="0.2">
      <c r="A11007" s="2" t="s">
        <v>4321</v>
      </c>
      <c r="B11007" s="2" t="s">
        <v>2955</v>
      </c>
      <c r="C11007" s="2">
        <v>481.0761</v>
      </c>
      <c r="D11007" s="2">
        <f>HYPERLINK("http://mcb-m6.bioreg.kyushu-u.ac.jp/M3/20110428/F51127/707/1", 68.88)</f>
        <v>68.88</v>
      </c>
      <c r="E11007" s="2">
        <v>45.69</v>
      </c>
      <c r="F11007" s="2">
        <v>2</v>
      </c>
      <c r="G11007" s="2" t="s">
        <v>13</v>
      </c>
    </row>
    <row r="11008" spans="1:9" x14ac:dyDescent="0.2">
      <c r="A11008" s="2" t="s">
        <v>4571</v>
      </c>
      <c r="B11008" s="2" t="s">
        <v>6152</v>
      </c>
      <c r="C11008" s="2">
        <v>637.82820000000004</v>
      </c>
      <c r="D11008" s="2">
        <f>HYPERLINK("http://mcb-m6.bioreg.kyushu-u.ac.jp/M3/20110404/F50777/1474/1", 44.55)</f>
        <v>44.55</v>
      </c>
      <c r="E11008" s="2">
        <v>17.920000000000002</v>
      </c>
      <c r="F11008" s="2">
        <v>2</v>
      </c>
      <c r="G11008" s="2" t="s">
        <v>9</v>
      </c>
    </row>
    <row r="11009" spans="1:9" x14ac:dyDescent="0.2">
      <c r="A11009" s="2" t="s">
        <v>4571</v>
      </c>
      <c r="B11009" s="2" t="s">
        <v>6295</v>
      </c>
      <c r="C11009" s="2">
        <v>833.48109999999997</v>
      </c>
      <c r="D11009" s="2">
        <f>HYPERLINK("http://mcb-m6.bioreg.kyushu-u.ac.jp/M3/20110404/F50777/2311/1", 51.3)</f>
        <v>51.3</v>
      </c>
      <c r="E11009" s="2">
        <v>39.43</v>
      </c>
      <c r="F11009" s="2">
        <v>2</v>
      </c>
      <c r="G11009" s="2" t="s">
        <v>9</v>
      </c>
    </row>
    <row r="11010" spans="1:9" x14ac:dyDescent="0.2">
      <c r="A11010" s="2" t="s">
        <v>4571</v>
      </c>
      <c r="B11010" s="2" t="s">
        <v>6295</v>
      </c>
      <c r="C11010" s="2">
        <v>833.92610000000002</v>
      </c>
      <c r="D11010" s="2">
        <f>HYPERLINK("http://mcb-m6.bioreg.kyushu-u.ac.jp/M3/20110404/F50774/2254/1", 53.76)</f>
        <v>53.76</v>
      </c>
      <c r="E11010" s="2">
        <v>35.18</v>
      </c>
      <c r="F11010" s="2">
        <v>2</v>
      </c>
      <c r="G11010" s="2" t="s">
        <v>10</v>
      </c>
    </row>
    <row r="11011" spans="1:9" x14ac:dyDescent="0.2">
      <c r="A11011" s="2" t="s">
        <v>7532</v>
      </c>
      <c r="B11011" s="2" t="s">
        <v>5929</v>
      </c>
      <c r="C11011" s="2">
        <v>600.30409999999995</v>
      </c>
      <c r="D11011" s="2">
        <f>HYPERLINK("http://mcb-m6.bioreg.kyushu-u.ac.jp/M3/20110404/F50764/2445/1", 36.05)</f>
        <v>36.049999999999997</v>
      </c>
      <c r="E11011" s="2">
        <v>19.98</v>
      </c>
      <c r="F11011" s="2">
        <v>3</v>
      </c>
      <c r="G11011" s="2" t="s">
        <v>9</v>
      </c>
    </row>
    <row r="11012" spans="1:9" x14ac:dyDescent="0.2">
      <c r="A11012" s="2" t="s">
        <v>7532</v>
      </c>
      <c r="B11012" s="2" t="s">
        <v>5929</v>
      </c>
      <c r="C11012" s="2">
        <v>899.98109999999997</v>
      </c>
      <c r="D11012" s="2">
        <f>HYPERLINK("http://mcb-m6.bioreg.kyushu-u.ac.jp/M3/20110404/F50764/2446/1", 63.65)</f>
        <v>63.65</v>
      </c>
      <c r="E11012" s="2">
        <v>46.82</v>
      </c>
      <c r="F11012" s="2">
        <v>2</v>
      </c>
      <c r="G11012" s="2" t="s">
        <v>9</v>
      </c>
    </row>
    <row r="11013" spans="1:9" x14ac:dyDescent="0.2">
      <c r="A11013" s="2" t="s">
        <v>7532</v>
      </c>
      <c r="B11013" s="2" t="s">
        <v>5929</v>
      </c>
      <c r="C11013" s="2">
        <v>900.48659999999995</v>
      </c>
      <c r="D11013" s="2">
        <f>HYPERLINK("http://mcb-m6.bioreg.kyushu-u.ac.jp/M3/20110404/F50764/2448/1", 76.17)</f>
        <v>76.17</v>
      </c>
      <c r="E11013" s="2">
        <v>62.54</v>
      </c>
      <c r="F11013" s="2">
        <v>2</v>
      </c>
      <c r="G11013" s="2" t="s">
        <v>9</v>
      </c>
    </row>
    <row r="11014" spans="1:9" x14ac:dyDescent="0.2">
      <c r="A11014" s="2" t="s">
        <v>7532</v>
      </c>
      <c r="B11014" s="2" t="s">
        <v>6660</v>
      </c>
      <c r="C11014" s="2">
        <v>1006.934</v>
      </c>
      <c r="D11014" s="2">
        <f>HYPERLINK("http://mcb-m6.bioreg.kyushu-u.ac.jp/M3/20110404/F50764/2761/1", 113.19)</f>
        <v>113.19</v>
      </c>
      <c r="E11014" s="2">
        <v>99.33</v>
      </c>
      <c r="F11014" s="2">
        <v>2</v>
      </c>
      <c r="G11014" s="2" t="s">
        <v>9</v>
      </c>
    </row>
    <row r="11015" spans="1:9" x14ac:dyDescent="0.2">
      <c r="A11015" s="2" t="s">
        <v>7532</v>
      </c>
      <c r="B11015" s="2" t="s">
        <v>7360</v>
      </c>
      <c r="C11015" s="2">
        <v>691.78610000000003</v>
      </c>
      <c r="D11015" s="2">
        <f>HYPERLINK("http://mcb-m6.bioreg.kyushu-u.ac.jp/M3/20110427/F51115/1761/1", 46.64)</f>
        <v>46.64</v>
      </c>
      <c r="E11015" s="2">
        <v>20.100000000000001</v>
      </c>
      <c r="F11015" s="2">
        <v>2</v>
      </c>
      <c r="G11015" s="2" t="s">
        <v>13</v>
      </c>
      <c r="I11015" s="2" t="s">
        <v>4899</v>
      </c>
    </row>
    <row r="11016" spans="1:9" x14ac:dyDescent="0.2">
      <c r="A11016" s="2" t="s">
        <v>7532</v>
      </c>
      <c r="B11016" s="2" t="s">
        <v>7361</v>
      </c>
      <c r="C11016" s="2">
        <v>613.31020000000001</v>
      </c>
      <c r="D11016" s="2">
        <f>HYPERLINK("http://mcb-m6.bioreg.kyushu-u.ac.jp/M3/20110427/F51115/1484/1", 46.65)</f>
        <v>46.65</v>
      </c>
      <c r="E11016" s="2">
        <v>26.99</v>
      </c>
      <c r="F11016" s="2">
        <v>2</v>
      </c>
      <c r="G11016" s="2" t="s">
        <v>13</v>
      </c>
    </row>
    <row r="11017" spans="1:9" x14ac:dyDescent="0.2">
      <c r="A11017" s="2" t="s">
        <v>7532</v>
      </c>
      <c r="B11017" s="2" t="s">
        <v>5929</v>
      </c>
      <c r="C11017" s="2">
        <v>600.43650000000002</v>
      </c>
      <c r="D11017" s="2">
        <f>HYPERLINK("http://mcb-m6.bioreg.kyushu-u.ac.jp/M3/20110427/F51115/2630/1", 68.41)</f>
        <v>68.41</v>
      </c>
      <c r="E11017" s="2">
        <v>57.74</v>
      </c>
      <c r="F11017" s="2">
        <v>3</v>
      </c>
      <c r="G11017" s="2" t="s">
        <v>13</v>
      </c>
    </row>
    <row r="11018" spans="1:9" x14ac:dyDescent="0.2">
      <c r="A11018" s="2" t="s">
        <v>7532</v>
      </c>
      <c r="B11018" s="2" t="s">
        <v>6660</v>
      </c>
      <c r="C11018" s="2">
        <v>1006.6559999999999</v>
      </c>
      <c r="D11018" s="2">
        <f>HYPERLINK("http://mcb-m6.bioreg.kyushu-u.ac.jp/M3/20110427/F51115/2937/1", 129.31)</f>
        <v>129.31</v>
      </c>
      <c r="E11018" s="2">
        <v>114.29</v>
      </c>
      <c r="F11018" s="2">
        <v>2</v>
      </c>
      <c r="G11018" s="2" t="s">
        <v>13</v>
      </c>
    </row>
    <row r="11019" spans="1:9" x14ac:dyDescent="0.2">
      <c r="A11019" s="2" t="s">
        <v>7878</v>
      </c>
      <c r="B11019" s="2" t="s">
        <v>6902</v>
      </c>
      <c r="C11019" s="2">
        <v>652.05110000000002</v>
      </c>
      <c r="D11019" s="2">
        <f>HYPERLINK("http://mcb-m6.bioreg.kyushu-u.ac.jp/M3/20110404/F50758/1593/1", 55.46)</f>
        <v>55.46</v>
      </c>
      <c r="E11019" s="2">
        <v>38.200000000000003</v>
      </c>
      <c r="F11019" s="2">
        <v>2</v>
      </c>
      <c r="G11019" s="2" t="s">
        <v>10</v>
      </c>
      <c r="I11019" s="2" t="s">
        <v>8139</v>
      </c>
    </row>
    <row r="11020" spans="1:9" x14ac:dyDescent="0.2">
      <c r="A11020" s="2" t="s">
        <v>7857</v>
      </c>
      <c r="B11020" s="2" t="s">
        <v>6836</v>
      </c>
      <c r="C11020" s="2">
        <v>745.35019999999997</v>
      </c>
      <c r="D11020" s="2">
        <f>HYPERLINK("http://mcb-m6.bioreg.kyushu-u.ac.jp/M3/20110404/F50758/1936/1", 48.45)</f>
        <v>48.45</v>
      </c>
      <c r="E11020" s="2">
        <v>26.58</v>
      </c>
      <c r="F11020" s="2">
        <v>2</v>
      </c>
      <c r="G11020" s="2" t="s">
        <v>10</v>
      </c>
      <c r="I11020" s="2" t="s">
        <v>4893</v>
      </c>
    </row>
    <row r="11021" spans="1:9" x14ac:dyDescent="0.2">
      <c r="A11021" s="2" t="s">
        <v>7784</v>
      </c>
      <c r="B11021" s="2" t="s">
        <v>6680</v>
      </c>
      <c r="C11021" s="2">
        <v>590.73720000000003</v>
      </c>
      <c r="D11021" s="2">
        <f>HYPERLINK("http://mcb-m6.bioreg.kyushu-u.ac.jp/M3/20110404/F50758/1428/1", 35.51)</f>
        <v>35.51</v>
      </c>
      <c r="E11021" s="2">
        <v>17.46</v>
      </c>
      <c r="F11021" s="2">
        <v>2</v>
      </c>
      <c r="G11021" s="2" t="s">
        <v>10</v>
      </c>
    </row>
    <row r="11022" spans="1:9" x14ac:dyDescent="0.2">
      <c r="A11022" s="2" t="s">
        <v>7784</v>
      </c>
      <c r="B11022" s="2" t="s">
        <v>6680</v>
      </c>
      <c r="C11022" s="2">
        <v>591.27620000000002</v>
      </c>
      <c r="D11022" s="2">
        <f>HYPERLINK("http://mcb-m6.bioreg.kyushu-u.ac.jp/M3/20110404/F50758/1430/1", 45.8)</f>
        <v>45.8</v>
      </c>
      <c r="E11022" s="2">
        <v>28.41</v>
      </c>
      <c r="F11022" s="2">
        <v>2</v>
      </c>
      <c r="G11022" s="2" t="s">
        <v>10</v>
      </c>
    </row>
    <row r="11023" spans="1:9" x14ac:dyDescent="0.2">
      <c r="A11023" s="2" t="s">
        <v>7784</v>
      </c>
      <c r="B11023" s="2" t="s">
        <v>6987</v>
      </c>
      <c r="C11023" s="2">
        <v>653.66769999999997</v>
      </c>
      <c r="D11023" s="2">
        <f>HYPERLINK("http://mcb-m6.bioreg.kyushu-u.ac.jp/M3/20110404/F50758/1599/1", 72.95)</f>
        <v>72.95</v>
      </c>
      <c r="E11023" s="2">
        <v>52.05</v>
      </c>
      <c r="F11023" s="2">
        <v>2</v>
      </c>
      <c r="G11023" s="2" t="s">
        <v>10</v>
      </c>
    </row>
    <row r="11024" spans="1:9" x14ac:dyDescent="0.2">
      <c r="A11024" s="2" t="s">
        <v>7668</v>
      </c>
      <c r="B11024" s="2" t="s">
        <v>6284</v>
      </c>
      <c r="C11024" s="2">
        <v>957.30970000000002</v>
      </c>
      <c r="D11024" s="2">
        <f>HYPERLINK("http://mcb-m6.bioreg.kyushu-u.ac.jp/M3/20110404/F50753/2790/1", 50.77)</f>
        <v>50.77</v>
      </c>
      <c r="E11024" s="2">
        <v>36.53</v>
      </c>
      <c r="F11024" s="2">
        <v>2</v>
      </c>
      <c r="G11024" s="2" t="s">
        <v>9</v>
      </c>
      <c r="I11024" s="2" t="s">
        <v>8130</v>
      </c>
    </row>
    <row r="11025" spans="1:9" x14ac:dyDescent="0.2">
      <c r="A11025" s="2" t="s">
        <v>7668</v>
      </c>
      <c r="B11025" s="2" t="s">
        <v>6284</v>
      </c>
      <c r="C11025" s="2">
        <v>957.38459999999998</v>
      </c>
      <c r="D11025" s="2">
        <f>HYPERLINK("http://mcb-m6.bioreg.kyushu-u.ac.jp/M3/20110404/F50758/2599/1", 70.97)</f>
        <v>70.97</v>
      </c>
      <c r="E11025" s="2">
        <v>62.03</v>
      </c>
      <c r="F11025" s="2">
        <v>2</v>
      </c>
      <c r="G11025" s="2" t="s">
        <v>10</v>
      </c>
      <c r="I11025" s="2" t="s">
        <v>8130</v>
      </c>
    </row>
    <row r="11026" spans="1:9" x14ac:dyDescent="0.2">
      <c r="A11026" s="2" t="s">
        <v>7601</v>
      </c>
      <c r="B11026" s="2" t="s">
        <v>6083</v>
      </c>
      <c r="C11026" s="2">
        <v>1126.268</v>
      </c>
      <c r="D11026" s="2">
        <f>HYPERLINK("http://mcb-m6.bioreg.kyushu-u.ac.jp/M3/20110404/F50753/3222/1", 41.64)</f>
        <v>41.64</v>
      </c>
      <c r="E11026" s="2">
        <v>34.44</v>
      </c>
      <c r="F11026" s="2">
        <v>2</v>
      </c>
      <c r="G11026" s="2" t="s">
        <v>9</v>
      </c>
    </row>
    <row r="11027" spans="1:9" x14ac:dyDescent="0.2">
      <c r="A11027" s="2" t="s">
        <v>7601</v>
      </c>
      <c r="B11027" s="2" t="s">
        <v>6191</v>
      </c>
      <c r="C11027" s="2">
        <v>738.19960000000003</v>
      </c>
      <c r="D11027" s="2">
        <f>HYPERLINK("http://mcb-m6.bioreg.kyushu-u.ac.jp/M3/20110404/F50753/2002/1", 46.11)</f>
        <v>46.11</v>
      </c>
      <c r="E11027" s="2">
        <v>25.08</v>
      </c>
      <c r="F11027" s="2">
        <v>2</v>
      </c>
      <c r="G11027" s="2" t="s">
        <v>9</v>
      </c>
    </row>
    <row r="11028" spans="1:9" x14ac:dyDescent="0.2">
      <c r="A11028" s="2" t="s">
        <v>7601</v>
      </c>
      <c r="B11028" s="2" t="s">
        <v>6083</v>
      </c>
      <c r="C11028" s="2">
        <v>1126.8579999999999</v>
      </c>
      <c r="D11028" s="2">
        <f>HYPERLINK("http://mcb-m6.bioreg.kyushu-u.ac.jp/M3/20110404/F50753/3224/1", 55.78)</f>
        <v>55.78</v>
      </c>
      <c r="E11028" s="2">
        <v>47.15</v>
      </c>
      <c r="F11028" s="2">
        <v>2</v>
      </c>
      <c r="G11028" s="2" t="s">
        <v>9</v>
      </c>
    </row>
    <row r="11029" spans="1:9" x14ac:dyDescent="0.2">
      <c r="A11029" s="2" t="s">
        <v>7601</v>
      </c>
      <c r="B11029" s="2" t="s">
        <v>6191</v>
      </c>
      <c r="C11029" s="2">
        <v>737.87519999999995</v>
      </c>
      <c r="D11029" s="2">
        <f>HYPERLINK("http://mcb-m6.bioreg.kyushu-u.ac.jp/M3/20110404/F50758/1900/1", 45.87)</f>
        <v>45.87</v>
      </c>
      <c r="E11029" s="2">
        <v>29.45</v>
      </c>
      <c r="F11029" s="2">
        <v>2</v>
      </c>
      <c r="G11029" s="2" t="s">
        <v>10</v>
      </c>
    </row>
    <row r="11030" spans="1:9" x14ac:dyDescent="0.2">
      <c r="A11030" s="2" t="s">
        <v>7601</v>
      </c>
      <c r="B11030" s="2" t="s">
        <v>6191</v>
      </c>
      <c r="C11030" s="2">
        <v>738.46770000000004</v>
      </c>
      <c r="D11030" s="2">
        <f>HYPERLINK("http://mcb-m6.bioreg.kyushu-u.ac.jp/M3/20110404/F50758/1903/1", 46.23)</f>
        <v>46.23</v>
      </c>
      <c r="E11030" s="2">
        <v>25.05</v>
      </c>
      <c r="F11030" s="2">
        <v>2</v>
      </c>
      <c r="G11030" s="2" t="s">
        <v>10</v>
      </c>
    </row>
    <row r="11031" spans="1:9" x14ac:dyDescent="0.2">
      <c r="A11031" s="2" t="s">
        <v>7601</v>
      </c>
      <c r="B11031" s="2" t="s">
        <v>6083</v>
      </c>
      <c r="C11031" s="2">
        <v>1126.835</v>
      </c>
      <c r="D11031" s="2">
        <f>HYPERLINK("http://mcb-m6.bioreg.kyushu-u.ac.jp/M3/20110404/F50758/3008/1", 60.99)</f>
        <v>60.99</v>
      </c>
      <c r="E11031" s="2">
        <v>44.42</v>
      </c>
      <c r="F11031" s="2">
        <v>2</v>
      </c>
      <c r="G11031" s="2" t="s">
        <v>10</v>
      </c>
    </row>
    <row r="11032" spans="1:9" x14ac:dyDescent="0.2">
      <c r="A11032" s="2" t="s">
        <v>7601</v>
      </c>
      <c r="B11032" s="2" t="s">
        <v>6083</v>
      </c>
      <c r="C11032" s="2">
        <v>1126.328</v>
      </c>
      <c r="D11032" s="2">
        <f>HYPERLINK("http://mcb-m6.bioreg.kyushu-u.ac.jp/M3/20110404/F50758/3006/1", 90.27)</f>
        <v>90.27</v>
      </c>
      <c r="E11032" s="2">
        <v>82.05</v>
      </c>
      <c r="F11032" s="2">
        <v>2</v>
      </c>
      <c r="G11032" s="2" t="s">
        <v>10</v>
      </c>
    </row>
    <row r="11033" spans="1:9" x14ac:dyDescent="0.2">
      <c r="A11033" s="2" t="s">
        <v>7601</v>
      </c>
      <c r="B11033" s="2" t="s">
        <v>7051</v>
      </c>
      <c r="C11033" s="2">
        <v>801.75120000000004</v>
      </c>
      <c r="D11033" s="2">
        <f>HYPERLINK("http://mcb-m6.bioreg.kyushu-u.ac.jp/M3/20110404/F50758/2144/1", 107.2)</f>
        <v>107.2</v>
      </c>
      <c r="E11033" s="2">
        <v>88.05</v>
      </c>
      <c r="F11033" s="2">
        <v>2</v>
      </c>
      <c r="G11033" s="2" t="s">
        <v>10</v>
      </c>
      <c r="I11033" s="2" t="s">
        <v>8140</v>
      </c>
    </row>
    <row r="11034" spans="1:9" x14ac:dyDescent="0.2">
      <c r="A11034" s="2" t="s">
        <v>7601</v>
      </c>
      <c r="B11034" s="2" t="s">
        <v>7051</v>
      </c>
      <c r="C11034" s="2">
        <v>801.19169999999997</v>
      </c>
      <c r="D11034" s="2">
        <f>HYPERLINK("http://mcb-m6.bioreg.kyushu-u.ac.jp/M3/20110404/F50758/2140/1", 116.13)</f>
        <v>116.13</v>
      </c>
      <c r="E11034" s="2">
        <v>96.21</v>
      </c>
      <c r="F11034" s="2">
        <v>2</v>
      </c>
      <c r="G11034" s="2" t="s">
        <v>10</v>
      </c>
      <c r="I11034" s="2" t="s">
        <v>8140</v>
      </c>
    </row>
    <row r="11035" spans="1:9" x14ac:dyDescent="0.2">
      <c r="A11035" s="2" t="s">
        <v>7601</v>
      </c>
      <c r="B11035" s="2" t="s">
        <v>6191</v>
      </c>
      <c r="C11035" s="2">
        <v>737.76170000000002</v>
      </c>
      <c r="D11035" s="2">
        <f>HYPERLINK("http://mcb-m6.bioreg.kyushu-u.ac.jp/M3/20110421/F51017/2016/1", 42.69)</f>
        <v>42.69</v>
      </c>
      <c r="E11035" s="2">
        <v>28.12</v>
      </c>
      <c r="F11035" s="2">
        <v>2</v>
      </c>
      <c r="G11035" s="2" t="s">
        <v>11</v>
      </c>
    </row>
    <row r="11036" spans="1:9" x14ac:dyDescent="0.2">
      <c r="A11036" s="2" t="s">
        <v>7601</v>
      </c>
      <c r="B11036" s="2" t="s">
        <v>6083</v>
      </c>
      <c r="C11036" s="2">
        <v>1126.8</v>
      </c>
      <c r="D11036" s="2">
        <f>HYPERLINK("http://mcb-m6.bioreg.kyushu-u.ac.jp/M3/20110421/F51015/2742/1", 54.63)</f>
        <v>54.63</v>
      </c>
      <c r="E11036" s="2">
        <v>43.18</v>
      </c>
      <c r="F11036" s="2">
        <v>2</v>
      </c>
      <c r="G11036" s="2" t="s">
        <v>11</v>
      </c>
    </row>
    <row r="11037" spans="1:9" x14ac:dyDescent="0.2">
      <c r="A11037" s="2" t="s">
        <v>7601</v>
      </c>
      <c r="B11037" s="2" t="s">
        <v>6083</v>
      </c>
      <c r="C11037" s="2">
        <v>1126.7719999999999</v>
      </c>
      <c r="D11037" s="2">
        <f>HYPERLINK("http://mcb-m6.bioreg.kyushu-u.ac.jp/M3/20110421/F51017/3529/1", 66.04)</f>
        <v>66.040000000000006</v>
      </c>
      <c r="E11037" s="2">
        <v>58.99</v>
      </c>
      <c r="F11037" s="2">
        <v>2</v>
      </c>
      <c r="G11037" s="2" t="s">
        <v>11</v>
      </c>
    </row>
    <row r="11038" spans="1:9" x14ac:dyDescent="0.2">
      <c r="A11038" s="2" t="s">
        <v>7601</v>
      </c>
      <c r="B11038" s="2" t="s">
        <v>7051</v>
      </c>
      <c r="C11038" s="2">
        <v>801.15060000000005</v>
      </c>
      <c r="D11038" s="2">
        <f>HYPERLINK("http://mcb-m6.bioreg.kyushu-u.ac.jp/M3/20110421/F51017/2386/1", 97.51)</f>
        <v>97.51</v>
      </c>
      <c r="E11038" s="2">
        <v>49.66</v>
      </c>
      <c r="F11038" s="2">
        <v>2</v>
      </c>
      <c r="G11038" s="2" t="s">
        <v>11</v>
      </c>
      <c r="I11038" s="2" t="s">
        <v>8140</v>
      </c>
    </row>
    <row r="11039" spans="1:9" x14ac:dyDescent="0.2">
      <c r="A11039" s="2" t="s">
        <v>7601</v>
      </c>
      <c r="B11039" s="2" t="s">
        <v>6083</v>
      </c>
      <c r="C11039" s="2">
        <v>1126.1869999999999</v>
      </c>
      <c r="D11039" s="2">
        <f>HYPERLINK("http://mcb-m6.bioreg.kyushu-u.ac.jp/M3/20110421/F51021/3709/1", 42.96)</f>
        <v>42.96</v>
      </c>
      <c r="E11039" s="2">
        <v>34.99</v>
      </c>
      <c r="F11039" s="2">
        <v>2</v>
      </c>
      <c r="G11039" s="2" t="s">
        <v>12</v>
      </c>
    </row>
    <row r="11040" spans="1:9" x14ac:dyDescent="0.2">
      <c r="A11040" s="2" t="s">
        <v>7601</v>
      </c>
      <c r="B11040" s="2" t="s">
        <v>6191</v>
      </c>
      <c r="C11040" s="2">
        <v>737.90309999999999</v>
      </c>
      <c r="D11040" s="2">
        <f>HYPERLINK("http://mcb-m6.bioreg.kyushu-u.ac.jp/M3/20110421/F51021/2055/1", 43.24)</f>
        <v>43.24</v>
      </c>
      <c r="E11040" s="2">
        <v>30.18</v>
      </c>
      <c r="F11040" s="2">
        <v>2</v>
      </c>
      <c r="G11040" s="2" t="s">
        <v>12</v>
      </c>
    </row>
    <row r="11041" spans="1:9" x14ac:dyDescent="0.2">
      <c r="A11041" s="2" t="s">
        <v>7601</v>
      </c>
      <c r="B11041" s="2" t="s">
        <v>6083</v>
      </c>
      <c r="C11041" s="2">
        <v>1126.7760000000001</v>
      </c>
      <c r="D11041" s="2">
        <f>HYPERLINK("http://mcb-m6.bioreg.kyushu-u.ac.jp/M3/20110421/F51021/3713/1", 64.07)</f>
        <v>64.069999999999993</v>
      </c>
      <c r="E11041" s="2">
        <v>45.84</v>
      </c>
      <c r="F11041" s="2">
        <v>2</v>
      </c>
      <c r="G11041" s="2" t="s">
        <v>12</v>
      </c>
    </row>
    <row r="11042" spans="1:9" x14ac:dyDescent="0.2">
      <c r="A11042" s="2" t="s">
        <v>7601</v>
      </c>
      <c r="B11042" s="2" t="s">
        <v>6083</v>
      </c>
      <c r="C11042" s="2">
        <v>1126.7049999999999</v>
      </c>
      <c r="D11042" s="2">
        <f>HYPERLINK("http://mcb-m6.bioreg.kyushu-u.ac.jp/M3/20110421/F51023/3032/1", 64.85)</f>
        <v>64.849999999999994</v>
      </c>
      <c r="E11042" s="2">
        <v>53.44</v>
      </c>
      <c r="F11042" s="2">
        <v>2</v>
      </c>
      <c r="G11042" s="2" t="s">
        <v>12</v>
      </c>
    </row>
    <row r="11043" spans="1:9" x14ac:dyDescent="0.2">
      <c r="A11043" s="2" t="s">
        <v>7601</v>
      </c>
      <c r="B11043" s="2" t="s">
        <v>7051</v>
      </c>
      <c r="C11043" s="2">
        <v>801.29669999999999</v>
      </c>
      <c r="D11043" s="2">
        <f>HYPERLINK("http://mcb-m6.bioreg.kyushu-u.ac.jp/M3/20110421/F51023/2355/1", 112.85)</f>
        <v>112.85</v>
      </c>
      <c r="E11043" s="2">
        <v>79.05</v>
      </c>
      <c r="F11043" s="2">
        <v>2</v>
      </c>
      <c r="G11043" s="2" t="s">
        <v>12</v>
      </c>
      <c r="I11043" s="2" t="s">
        <v>8140</v>
      </c>
    </row>
    <row r="11044" spans="1:9" x14ac:dyDescent="0.2">
      <c r="A11044" s="2" t="s">
        <v>7601</v>
      </c>
      <c r="B11044" s="2" t="s">
        <v>6191</v>
      </c>
      <c r="C11044" s="2">
        <v>737.79420000000005</v>
      </c>
      <c r="D11044" s="2">
        <f>HYPERLINK("http://mcb-m6.bioreg.kyushu-u.ac.jp/M3/20110427/F51111/2111/1", 41.33)</f>
        <v>41.33</v>
      </c>
      <c r="E11044" s="2">
        <v>24.63</v>
      </c>
      <c r="F11044" s="2">
        <v>2</v>
      </c>
      <c r="G11044" s="2" t="s">
        <v>13</v>
      </c>
    </row>
    <row r="11045" spans="1:9" x14ac:dyDescent="0.2">
      <c r="A11045" s="2" t="s">
        <v>7601</v>
      </c>
      <c r="B11045" s="2" t="s">
        <v>6083</v>
      </c>
      <c r="C11045" s="2">
        <v>1126.7380000000001</v>
      </c>
      <c r="D11045" s="2">
        <f>HYPERLINK("http://mcb-m6.bioreg.kyushu-u.ac.jp/M3/20110427/F51108/3029/1", 73.12)</f>
        <v>73.12</v>
      </c>
      <c r="E11045" s="2">
        <v>62.49</v>
      </c>
      <c r="F11045" s="2">
        <v>2</v>
      </c>
      <c r="G11045" s="2" t="s">
        <v>13</v>
      </c>
    </row>
    <row r="11046" spans="1:9" x14ac:dyDescent="0.2">
      <c r="A11046" s="2" t="s">
        <v>7601</v>
      </c>
      <c r="B11046" s="2" t="s">
        <v>6083</v>
      </c>
      <c r="C11046" s="2">
        <v>1126.769</v>
      </c>
      <c r="D11046" s="2">
        <f>HYPERLINK("http://mcb-m6.bioreg.kyushu-u.ac.jp/M3/20110427/F51118/2784/1", 55.51)</f>
        <v>55.51</v>
      </c>
      <c r="E11046" s="2">
        <v>44.41</v>
      </c>
      <c r="F11046" s="2">
        <v>2</v>
      </c>
      <c r="G11046" s="2" t="s">
        <v>14</v>
      </c>
    </row>
    <row r="11047" spans="1:9" x14ac:dyDescent="0.2">
      <c r="A11047" s="2" t="s">
        <v>7601</v>
      </c>
      <c r="B11047" s="2" t="s">
        <v>6083</v>
      </c>
      <c r="C11047" s="2">
        <v>1126.806</v>
      </c>
      <c r="D11047" s="2">
        <f>HYPERLINK("http://mcb-m6.bioreg.kyushu-u.ac.jp/M3/20110427/F51120/2977/1", 58.9)</f>
        <v>58.9</v>
      </c>
      <c r="E11047" s="2">
        <v>47.7</v>
      </c>
      <c r="F11047" s="2">
        <v>2</v>
      </c>
      <c r="G11047" s="2" t="s">
        <v>14</v>
      </c>
    </row>
    <row r="11048" spans="1:9" x14ac:dyDescent="0.2">
      <c r="A11048" s="2" t="s">
        <v>3464</v>
      </c>
      <c r="B11048" s="2" t="s">
        <v>5068</v>
      </c>
      <c r="C11048" s="2">
        <v>688.70370000000003</v>
      </c>
      <c r="D11048" s="2">
        <f>HYPERLINK("http://mcb-m6.bioreg.kyushu-u.ac.jp/M3/20110404/F50763/1702/1", 51.35)</f>
        <v>51.35</v>
      </c>
      <c r="E11048" s="2">
        <v>25.42</v>
      </c>
      <c r="F11048" s="2">
        <v>2</v>
      </c>
      <c r="G11048" s="2" t="s">
        <v>9</v>
      </c>
    </row>
    <row r="11049" spans="1:9" x14ac:dyDescent="0.2">
      <c r="A11049" s="2" t="s">
        <v>3464</v>
      </c>
      <c r="B11049" s="2" t="s">
        <v>5201</v>
      </c>
      <c r="C11049" s="2">
        <v>1069.886</v>
      </c>
      <c r="D11049" s="2">
        <f>HYPERLINK("http://mcb-m6.bioreg.kyushu-u.ac.jp/M3/20110404/F50763/2929/1", 108.32)</f>
        <v>108.32</v>
      </c>
      <c r="E11049" s="2">
        <v>96.24</v>
      </c>
      <c r="F11049" s="2">
        <v>2</v>
      </c>
      <c r="G11049" s="2" t="s">
        <v>9</v>
      </c>
    </row>
    <row r="11050" spans="1:9" x14ac:dyDescent="0.2">
      <c r="A11050" s="2" t="s">
        <v>3464</v>
      </c>
      <c r="B11050" s="2" t="s">
        <v>1865</v>
      </c>
      <c r="C11050" s="2">
        <v>736.99270000000001</v>
      </c>
      <c r="D11050" s="2">
        <f>HYPERLINK("http://mcb-m6.bioreg.kyushu-u.ac.jp/M3/20110404/F50769/1976/1", 57.31)</f>
        <v>57.31</v>
      </c>
      <c r="E11050" s="2">
        <v>44.53</v>
      </c>
      <c r="F11050" s="2">
        <v>2</v>
      </c>
      <c r="G11050" s="2" t="s">
        <v>10</v>
      </c>
    </row>
    <row r="11051" spans="1:9" x14ac:dyDescent="0.2">
      <c r="A11051" s="2" t="s">
        <v>3464</v>
      </c>
      <c r="B11051" s="2" t="s">
        <v>2299</v>
      </c>
      <c r="C11051" s="2">
        <v>1097.731</v>
      </c>
      <c r="D11051" s="2">
        <f>HYPERLINK("http://mcb-m6.bioreg.kyushu-u.ac.jp/M3/20110404/F50769/2748/1", 106.2)</f>
        <v>106.2</v>
      </c>
      <c r="E11051" s="2">
        <v>99.57</v>
      </c>
      <c r="F11051" s="2">
        <v>2</v>
      </c>
      <c r="G11051" s="2" t="s">
        <v>10</v>
      </c>
    </row>
    <row r="11052" spans="1:9" x14ac:dyDescent="0.2">
      <c r="A11052" s="2" t="s">
        <v>3464</v>
      </c>
      <c r="B11052" s="2" t="s">
        <v>7100</v>
      </c>
      <c r="C11052" s="2">
        <v>654.87620000000004</v>
      </c>
      <c r="D11052" s="2">
        <f>HYPERLINK("http://mcb-m6.bioreg.kyushu-u.ac.jp/M3/20110421/F51035/1475/1", 41.99)</f>
        <v>41.99</v>
      </c>
      <c r="E11052" s="2">
        <v>24.37</v>
      </c>
      <c r="F11052" s="2">
        <v>2</v>
      </c>
      <c r="G11052" s="2" t="s">
        <v>11</v>
      </c>
      <c r="I11052" s="2" t="s">
        <v>4899</v>
      </c>
    </row>
    <row r="11053" spans="1:9" x14ac:dyDescent="0.2">
      <c r="A11053" s="2" t="s">
        <v>3464</v>
      </c>
      <c r="B11053" s="2" t="s">
        <v>879</v>
      </c>
      <c r="C11053" s="2">
        <v>581.38819999999998</v>
      </c>
      <c r="D11053" s="2">
        <f>HYPERLINK("http://mcb-m6.bioreg.kyushu-u.ac.jp/M3/20110421/F51035/1130/1", 61.56)</f>
        <v>61.56</v>
      </c>
      <c r="E11053" s="2">
        <v>32.5</v>
      </c>
      <c r="F11053" s="2">
        <v>2</v>
      </c>
      <c r="G11053" s="2" t="s">
        <v>11</v>
      </c>
    </row>
    <row r="11054" spans="1:9" x14ac:dyDescent="0.2">
      <c r="A11054" s="2" t="s">
        <v>3464</v>
      </c>
      <c r="B11054" s="2" t="s">
        <v>660</v>
      </c>
      <c r="C11054" s="2">
        <v>620.19709999999998</v>
      </c>
      <c r="D11054" s="2">
        <f>HYPERLINK("http://mcb-m6.bioreg.kyushu-u.ac.jp/M3/20110428/F51127/1278/1", 36.2)</f>
        <v>36.200000000000003</v>
      </c>
      <c r="E11054" s="2">
        <v>10.06</v>
      </c>
      <c r="F11054" s="2">
        <v>2</v>
      </c>
      <c r="G11054" s="2" t="s">
        <v>13</v>
      </c>
    </row>
    <row r="11055" spans="1:9" x14ac:dyDescent="0.2">
      <c r="A11055" s="2" t="s">
        <v>3464</v>
      </c>
      <c r="B11055" s="2" t="s">
        <v>2299</v>
      </c>
      <c r="C11055" s="2">
        <v>732.4796</v>
      </c>
      <c r="D11055" s="2">
        <f>HYPERLINK("http://mcb-m6.bioreg.kyushu-u.ac.jp/M3/20110428/F51127/3456/1", 38.27)</f>
        <v>38.270000000000003</v>
      </c>
      <c r="E11055" s="2">
        <v>29.52</v>
      </c>
      <c r="F11055" s="2">
        <v>3</v>
      </c>
      <c r="G11055" s="2" t="s">
        <v>13</v>
      </c>
    </row>
    <row r="11056" spans="1:9" x14ac:dyDescent="0.2">
      <c r="A11056" s="2" t="s">
        <v>3464</v>
      </c>
      <c r="B11056" s="2" t="s">
        <v>2299</v>
      </c>
      <c r="C11056" s="2">
        <v>731.96889999999996</v>
      </c>
      <c r="D11056" s="2">
        <f>HYPERLINK("http://mcb-m6.bioreg.kyushu-u.ac.jp/M3/20110428/F51127/3454/1", 39.74)</f>
        <v>39.74</v>
      </c>
      <c r="E11056" s="2">
        <v>28.43</v>
      </c>
      <c r="F11056" s="2">
        <v>3</v>
      </c>
      <c r="G11056" s="2" t="s">
        <v>13</v>
      </c>
    </row>
    <row r="11057" spans="1:9" x14ac:dyDescent="0.2">
      <c r="A11057" s="2" t="s">
        <v>3464</v>
      </c>
      <c r="B11057" s="2" t="s">
        <v>1865</v>
      </c>
      <c r="C11057" s="2">
        <v>736.84370000000001</v>
      </c>
      <c r="D11057" s="2">
        <f>HYPERLINK("http://mcb-m6.bioreg.kyushu-u.ac.jp/M3/20110428/F51127/1852/1", 57.96)</f>
        <v>57.96</v>
      </c>
      <c r="E11057" s="2">
        <v>43.21</v>
      </c>
      <c r="F11057" s="2">
        <v>2</v>
      </c>
      <c r="G11057" s="2" t="s">
        <v>13</v>
      </c>
    </row>
    <row r="11058" spans="1:9" x14ac:dyDescent="0.2">
      <c r="A11058" s="2" t="s">
        <v>3464</v>
      </c>
      <c r="B11058" s="2" t="s">
        <v>7100</v>
      </c>
      <c r="C11058" s="2">
        <v>654.0607</v>
      </c>
      <c r="D11058" s="2">
        <f>HYPERLINK("http://mcb-m6.bioreg.kyushu-u.ac.jp/M3/20110428/F51127/1414/1", 66.25)</f>
        <v>66.25</v>
      </c>
      <c r="E11058" s="2">
        <v>38.04</v>
      </c>
      <c r="F11058" s="2">
        <v>2</v>
      </c>
      <c r="G11058" s="2" t="s">
        <v>13</v>
      </c>
      <c r="I11058" s="2" t="s">
        <v>4899</v>
      </c>
    </row>
    <row r="11059" spans="1:9" x14ac:dyDescent="0.2">
      <c r="A11059" s="2" t="s">
        <v>3464</v>
      </c>
      <c r="B11059" s="2" t="s">
        <v>5174</v>
      </c>
      <c r="C11059" s="2">
        <v>555.2731</v>
      </c>
      <c r="D11059" s="2">
        <f>HYPERLINK("http://mcb-m6.bioreg.kyushu-u.ac.jp/M3/20110428/F51127/994/1", 79.11)</f>
        <v>79.11</v>
      </c>
      <c r="E11059" s="2">
        <v>52.12</v>
      </c>
      <c r="F11059" s="2">
        <v>2</v>
      </c>
      <c r="G11059" s="2" t="s">
        <v>13</v>
      </c>
    </row>
    <row r="11060" spans="1:9" x14ac:dyDescent="0.2">
      <c r="A11060" s="2" t="s">
        <v>3464</v>
      </c>
      <c r="B11060" s="2" t="s">
        <v>5201</v>
      </c>
      <c r="C11060" s="2">
        <v>1069.258</v>
      </c>
      <c r="D11060" s="2">
        <f>HYPERLINK("http://mcb-m6.bioreg.kyushu-u.ac.jp/M3/20110428/F51127/3383/1", 109.14)</f>
        <v>109.14</v>
      </c>
      <c r="E11060" s="2">
        <v>95.02</v>
      </c>
      <c r="F11060" s="2">
        <v>2</v>
      </c>
      <c r="G11060" s="2" t="s">
        <v>13</v>
      </c>
    </row>
    <row r="11061" spans="1:9" x14ac:dyDescent="0.2">
      <c r="A11061" s="2" t="s">
        <v>7833</v>
      </c>
      <c r="B11061" s="2" t="s">
        <v>6788</v>
      </c>
      <c r="C11061" s="2">
        <v>708.21969999999999</v>
      </c>
      <c r="D11061" s="2">
        <f>HYPERLINK("http://mcb-m6.bioreg.kyushu-u.ac.jp/M3/20110404/F50768/1767/1", 42.78)</f>
        <v>42.78</v>
      </c>
      <c r="E11061" s="2">
        <v>26.04</v>
      </c>
      <c r="F11061" s="2">
        <v>2</v>
      </c>
      <c r="G11061" s="2" t="s">
        <v>10</v>
      </c>
    </row>
    <row r="11062" spans="1:9" x14ac:dyDescent="0.2">
      <c r="A11062" s="2" t="s">
        <v>7833</v>
      </c>
      <c r="B11062" s="2" t="s">
        <v>6788</v>
      </c>
      <c r="C11062" s="2">
        <v>708.7722</v>
      </c>
      <c r="D11062" s="2">
        <f>HYPERLINK("http://mcb-m6.bioreg.kyushu-u.ac.jp/M3/20110404/F50768/1769/1", 61.06)</f>
        <v>61.06</v>
      </c>
      <c r="E11062" s="2">
        <v>44.58</v>
      </c>
      <c r="F11062" s="2">
        <v>2</v>
      </c>
      <c r="G11062" s="2" t="s">
        <v>10</v>
      </c>
    </row>
    <row r="11063" spans="1:9" x14ac:dyDescent="0.2">
      <c r="A11063" s="2" t="s">
        <v>3931</v>
      </c>
      <c r="B11063" s="2" t="s">
        <v>1118</v>
      </c>
      <c r="C11063" s="2">
        <v>931.27419999999995</v>
      </c>
      <c r="D11063" s="2">
        <f>HYPERLINK("http://mcb-m6.bioreg.kyushu-u.ac.jp/M3/20110427/F51115/2736/1", 61.76)</f>
        <v>61.76</v>
      </c>
      <c r="E11063" s="2">
        <v>51.53</v>
      </c>
      <c r="F11063" s="2">
        <v>2</v>
      </c>
      <c r="G11063" s="2" t="s">
        <v>13</v>
      </c>
    </row>
    <row r="11064" spans="1:9" x14ac:dyDescent="0.2">
      <c r="A11064" s="2" t="s">
        <v>3931</v>
      </c>
      <c r="B11064" s="2" t="s">
        <v>1118</v>
      </c>
      <c r="C11064" s="2">
        <v>931.25210000000004</v>
      </c>
      <c r="D11064" s="2">
        <f>HYPERLINK("http://mcb-m6.bioreg.kyushu-u.ac.jp/M3/20110427/F51123/2870/1", 64.02)</f>
        <v>64.02</v>
      </c>
      <c r="E11064" s="2">
        <v>44.86</v>
      </c>
      <c r="F11064" s="2">
        <v>2</v>
      </c>
      <c r="G11064" s="2" t="s">
        <v>14</v>
      </c>
    </row>
    <row r="11065" spans="1:9" x14ac:dyDescent="0.2">
      <c r="A11065" s="2" t="s">
        <v>3398</v>
      </c>
      <c r="B11065" s="2" t="s">
        <v>193</v>
      </c>
      <c r="C11065" s="2">
        <v>1198.6310000000001</v>
      </c>
      <c r="D11065" s="2">
        <f>HYPERLINK("http://mcb-m6.bioreg.kyushu-u.ac.jp/M3/20110404/F50752/1656/1", 41.49)</f>
        <v>41.49</v>
      </c>
      <c r="E11065" s="2">
        <v>26.53</v>
      </c>
      <c r="F11065" s="2">
        <v>1</v>
      </c>
      <c r="G11065" s="2" t="s">
        <v>9</v>
      </c>
    </row>
    <row r="11066" spans="1:9" x14ac:dyDescent="0.2">
      <c r="A11066" s="2" t="s">
        <v>3398</v>
      </c>
      <c r="B11066" s="2" t="s">
        <v>193</v>
      </c>
      <c r="C11066" s="2">
        <v>1181.5050000000001</v>
      </c>
      <c r="D11066" s="2">
        <f>HYPERLINK("http://mcb-m6.bioreg.kyushu-u.ac.jp/M3/20110404/F50752/1613/1", 43.06)</f>
        <v>43.06</v>
      </c>
      <c r="E11066" s="2">
        <v>16.690000000000001</v>
      </c>
      <c r="F11066" s="2">
        <v>1</v>
      </c>
      <c r="G11066" s="2" t="s">
        <v>9</v>
      </c>
      <c r="H11066" s="2" t="s">
        <v>4904</v>
      </c>
    </row>
    <row r="11067" spans="1:9" x14ac:dyDescent="0.2">
      <c r="A11067" s="2" t="s">
        <v>3398</v>
      </c>
      <c r="B11067" s="2" t="s">
        <v>335</v>
      </c>
      <c r="C11067" s="2">
        <v>1060.3869999999999</v>
      </c>
      <c r="D11067" s="2">
        <f>HYPERLINK("http://mcb-m6.bioreg.kyushu-u.ac.jp/M3/20110404/F50752/1457/1", 44.35)</f>
        <v>44.35</v>
      </c>
      <c r="E11067" s="2">
        <v>18.38</v>
      </c>
      <c r="F11067" s="2">
        <v>1</v>
      </c>
      <c r="G11067" s="2" t="s">
        <v>9</v>
      </c>
    </row>
    <row r="11068" spans="1:9" x14ac:dyDescent="0.2">
      <c r="A11068" s="2" t="s">
        <v>3398</v>
      </c>
      <c r="B11068" s="2" t="s">
        <v>784</v>
      </c>
      <c r="C11068" s="2">
        <v>595.74069999999995</v>
      </c>
      <c r="D11068" s="2">
        <f>HYPERLINK("http://mcb-m6.bioreg.kyushu-u.ac.jp/M3/20110404/F50752/1637/1", 49.9)</f>
        <v>49.9</v>
      </c>
      <c r="E11068" s="2">
        <v>36.1</v>
      </c>
      <c r="F11068" s="2">
        <v>2</v>
      </c>
      <c r="G11068" s="2" t="s">
        <v>9</v>
      </c>
      <c r="H11068" s="2" t="s">
        <v>4901</v>
      </c>
    </row>
    <row r="11069" spans="1:9" x14ac:dyDescent="0.2">
      <c r="A11069" s="2" t="s">
        <v>3398</v>
      </c>
      <c r="B11069" s="2" t="s">
        <v>193</v>
      </c>
      <c r="C11069" s="2">
        <v>600.04909999999995</v>
      </c>
      <c r="D11069" s="2">
        <f>HYPERLINK("http://mcb-m6.bioreg.kyushu-u.ac.jp/M3/20110404/F50752/1660/1", 72.85)</f>
        <v>72.849999999999994</v>
      </c>
      <c r="E11069" s="2">
        <v>44.8</v>
      </c>
      <c r="F11069" s="2">
        <v>2</v>
      </c>
      <c r="G11069" s="2" t="s">
        <v>9</v>
      </c>
    </row>
    <row r="11070" spans="1:9" x14ac:dyDescent="0.2">
      <c r="A11070" s="2" t="s">
        <v>3398</v>
      </c>
      <c r="B11070" s="2" t="s">
        <v>1675</v>
      </c>
      <c r="C11070" s="2">
        <v>1144.943</v>
      </c>
      <c r="D11070" s="2">
        <f>HYPERLINK("http://mcb-m6.bioreg.kyushu-u.ac.jp/M3/20110404/F50752/3027/1", 113.02)</f>
        <v>113.02</v>
      </c>
      <c r="E11070" s="2">
        <v>107.03</v>
      </c>
      <c r="F11070" s="2">
        <v>2</v>
      </c>
      <c r="G11070" s="2" t="s">
        <v>9</v>
      </c>
    </row>
    <row r="11071" spans="1:9" x14ac:dyDescent="0.2">
      <c r="A11071" s="2" t="s">
        <v>3398</v>
      </c>
      <c r="B11071" s="2" t="s">
        <v>335</v>
      </c>
      <c r="C11071" s="2">
        <v>1059.3440000000001</v>
      </c>
      <c r="D11071" s="2">
        <f>HYPERLINK("http://mcb-m6.bioreg.kyushu-u.ac.jp/M3/20110404/F50757/1586/1", 46.32)</f>
        <v>46.32</v>
      </c>
      <c r="E11071" s="2">
        <v>19.940000000000001</v>
      </c>
      <c r="F11071" s="2">
        <v>1</v>
      </c>
      <c r="G11071" s="2" t="s">
        <v>10</v>
      </c>
    </row>
    <row r="11072" spans="1:9" x14ac:dyDescent="0.2">
      <c r="A11072" s="2" t="s">
        <v>3398</v>
      </c>
      <c r="B11072" s="2" t="s">
        <v>193</v>
      </c>
      <c r="C11072" s="2">
        <v>599.71119999999996</v>
      </c>
      <c r="D11072" s="2">
        <f>HYPERLINK("http://mcb-m6.bioreg.kyushu-u.ac.jp/M3/20110404/F50757/1742/1", 52.14)</f>
        <v>52.14</v>
      </c>
      <c r="E11072" s="2">
        <v>25.92</v>
      </c>
      <c r="F11072" s="2">
        <v>2</v>
      </c>
      <c r="G11072" s="2" t="s">
        <v>10</v>
      </c>
    </row>
    <row r="11073" spans="1:8" x14ac:dyDescent="0.2">
      <c r="A11073" s="2" t="s">
        <v>3398</v>
      </c>
      <c r="B11073" s="2" t="s">
        <v>335</v>
      </c>
      <c r="C11073" s="2">
        <v>1059.2719999999999</v>
      </c>
      <c r="D11073" s="2">
        <f>HYPERLINK("http://mcb-m6.bioreg.kyushu-u.ac.jp/M3/20110421/F51015/1480/1", 35.67)</f>
        <v>35.67</v>
      </c>
      <c r="E11073" s="2">
        <v>16.77</v>
      </c>
      <c r="F11073" s="2">
        <v>1</v>
      </c>
      <c r="G11073" s="2" t="s">
        <v>11</v>
      </c>
    </row>
    <row r="11074" spans="1:8" x14ac:dyDescent="0.2">
      <c r="A11074" s="2" t="s">
        <v>3398</v>
      </c>
      <c r="B11074" s="2" t="s">
        <v>335</v>
      </c>
      <c r="C11074" s="2">
        <v>1059.279</v>
      </c>
      <c r="D11074" s="2">
        <f>HYPERLINK("http://mcb-m6.bioreg.kyushu-u.ac.jp/M3/20110421/F51016/1501/1", 41.73)</f>
        <v>41.73</v>
      </c>
      <c r="E11074" s="2">
        <v>15.07</v>
      </c>
      <c r="F11074" s="2">
        <v>1</v>
      </c>
      <c r="G11074" s="2" t="s">
        <v>11</v>
      </c>
    </row>
    <row r="11075" spans="1:8" x14ac:dyDescent="0.2">
      <c r="A11075" s="2" t="s">
        <v>3398</v>
      </c>
      <c r="B11075" s="2" t="s">
        <v>193</v>
      </c>
      <c r="C11075" s="2">
        <v>1181.335</v>
      </c>
      <c r="D11075" s="2">
        <f>HYPERLINK("http://mcb-m6.bioreg.kyushu-u.ac.jp/M3/20110421/F51016/1679/1", 45.63)</f>
        <v>45.63</v>
      </c>
      <c r="E11075" s="2">
        <v>25.68</v>
      </c>
      <c r="F11075" s="2">
        <v>1</v>
      </c>
      <c r="G11075" s="2" t="s">
        <v>11</v>
      </c>
      <c r="H11075" s="2" t="s">
        <v>4904</v>
      </c>
    </row>
    <row r="11076" spans="1:8" x14ac:dyDescent="0.2">
      <c r="A11076" s="2" t="s">
        <v>3398</v>
      </c>
      <c r="B11076" s="2" t="s">
        <v>193</v>
      </c>
      <c r="C11076" s="2">
        <v>1181.434</v>
      </c>
      <c r="D11076" s="2">
        <f>HYPERLINK("http://mcb-m6.bioreg.kyushu-u.ac.jp/M3/20110421/F51015/1612/1", 49.85)</f>
        <v>49.85</v>
      </c>
      <c r="E11076" s="2">
        <v>28.43</v>
      </c>
      <c r="F11076" s="2">
        <v>1</v>
      </c>
      <c r="G11076" s="2" t="s">
        <v>11</v>
      </c>
      <c r="H11076" s="2" t="s">
        <v>4904</v>
      </c>
    </row>
    <row r="11077" spans="1:8" x14ac:dyDescent="0.2">
      <c r="A11077" s="2" t="s">
        <v>3398</v>
      </c>
      <c r="B11077" s="2" t="s">
        <v>784</v>
      </c>
      <c r="C11077" s="2">
        <v>587.63210000000004</v>
      </c>
      <c r="D11077" s="2">
        <f>HYPERLINK("http://mcb-m6.bioreg.kyushu-u.ac.jp/M3/20110421/F51015/1601/1", 66.06)</f>
        <v>66.06</v>
      </c>
      <c r="E11077" s="2">
        <v>38.39</v>
      </c>
      <c r="F11077" s="2">
        <v>2</v>
      </c>
      <c r="G11077" s="2" t="s">
        <v>11</v>
      </c>
    </row>
    <row r="11078" spans="1:8" x14ac:dyDescent="0.2">
      <c r="A11078" s="2" t="s">
        <v>3398</v>
      </c>
      <c r="B11078" s="2" t="s">
        <v>193</v>
      </c>
      <c r="C11078" s="2">
        <v>600.07069999999999</v>
      </c>
      <c r="D11078" s="2">
        <f>HYPERLINK("http://mcb-m6.bioreg.kyushu-u.ac.jp/M3/20110421/F51016/1731/1", 72.83)</f>
        <v>72.83</v>
      </c>
      <c r="E11078" s="2">
        <v>46.62</v>
      </c>
      <c r="F11078" s="2">
        <v>2</v>
      </c>
      <c r="G11078" s="2" t="s">
        <v>11</v>
      </c>
    </row>
    <row r="11079" spans="1:8" x14ac:dyDescent="0.2">
      <c r="A11079" s="2" t="s">
        <v>3398</v>
      </c>
      <c r="B11079" s="2" t="s">
        <v>193</v>
      </c>
      <c r="C11079" s="2">
        <v>599.86720000000003</v>
      </c>
      <c r="D11079" s="2">
        <f>HYPERLINK("http://mcb-m6.bioreg.kyushu-u.ac.jp/M3/20110421/F51015/1656/1", 75.58)</f>
        <v>75.58</v>
      </c>
      <c r="E11079" s="2">
        <v>52.26</v>
      </c>
      <c r="F11079" s="2">
        <v>2</v>
      </c>
      <c r="G11079" s="2" t="s">
        <v>11</v>
      </c>
    </row>
    <row r="11080" spans="1:8" x14ac:dyDescent="0.2">
      <c r="A11080" s="2" t="s">
        <v>3398</v>
      </c>
      <c r="B11080" s="2" t="s">
        <v>1675</v>
      </c>
      <c r="C11080" s="2">
        <v>1144.72</v>
      </c>
      <c r="D11080" s="2">
        <f>HYPERLINK("http://mcb-m6.bioreg.kyushu-u.ac.jp/M3/20110421/F51015/2757/1", 115.17)</f>
        <v>115.17</v>
      </c>
      <c r="E11080" s="2">
        <v>104.64</v>
      </c>
      <c r="F11080" s="2">
        <v>2</v>
      </c>
      <c r="G11080" s="2" t="s">
        <v>11</v>
      </c>
    </row>
    <row r="11081" spans="1:8" x14ac:dyDescent="0.2">
      <c r="A11081" s="2" t="s">
        <v>3398</v>
      </c>
      <c r="B11081" s="2" t="s">
        <v>1675</v>
      </c>
      <c r="C11081" s="2">
        <v>1145.539</v>
      </c>
      <c r="D11081" s="2">
        <f>HYPERLINK("http://mcb-m6.bioreg.kyushu-u.ac.jp/M3/20110421/F51016/2819/1", 116.96)</f>
        <v>116.96</v>
      </c>
      <c r="E11081" s="2">
        <v>101.99</v>
      </c>
      <c r="F11081" s="2">
        <v>2</v>
      </c>
      <c r="G11081" s="2" t="s">
        <v>11</v>
      </c>
    </row>
    <row r="11082" spans="1:8" x14ac:dyDescent="0.2">
      <c r="A11082" s="2" t="s">
        <v>3398</v>
      </c>
      <c r="B11082" s="2" t="s">
        <v>335</v>
      </c>
      <c r="C11082" s="2">
        <v>1059.374</v>
      </c>
      <c r="D11082" s="2">
        <f>HYPERLINK("http://mcb-m6.bioreg.kyushu-u.ac.jp/M3/20110427/F51110/1431/1", 41.29)</f>
        <v>41.29</v>
      </c>
      <c r="E11082" s="2">
        <v>14.46</v>
      </c>
      <c r="F11082" s="2">
        <v>1</v>
      </c>
      <c r="G11082" s="2" t="s">
        <v>13</v>
      </c>
    </row>
    <row r="11083" spans="1:8" x14ac:dyDescent="0.2">
      <c r="A11083" s="2" t="s">
        <v>3398</v>
      </c>
      <c r="B11083" s="2" t="s">
        <v>335</v>
      </c>
      <c r="C11083" s="2">
        <v>530.62620000000004</v>
      </c>
      <c r="D11083" s="2">
        <f>HYPERLINK("http://mcb-m6.bioreg.kyushu-u.ac.jp/M3/20110427/F51110/1435/1", 56.56)</f>
        <v>56.56</v>
      </c>
      <c r="E11083" s="2">
        <v>28.88</v>
      </c>
      <c r="F11083" s="2">
        <v>2</v>
      </c>
      <c r="G11083" s="2" t="s">
        <v>13</v>
      </c>
    </row>
    <row r="11084" spans="1:8" x14ac:dyDescent="0.2">
      <c r="A11084" s="2" t="s">
        <v>3398</v>
      </c>
      <c r="B11084" s="2" t="s">
        <v>193</v>
      </c>
      <c r="C11084" s="2">
        <v>599.81920000000002</v>
      </c>
      <c r="D11084" s="2">
        <f>HYPERLINK("http://mcb-m6.bioreg.kyushu-u.ac.jp/M3/20110427/F51108/1563/1", 70.54)</f>
        <v>70.540000000000006</v>
      </c>
      <c r="E11084" s="2">
        <v>42.46</v>
      </c>
      <c r="F11084" s="2">
        <v>2</v>
      </c>
      <c r="G11084" s="2" t="s">
        <v>13</v>
      </c>
    </row>
    <row r="11085" spans="1:8" x14ac:dyDescent="0.2">
      <c r="A11085" s="2" t="s">
        <v>3398</v>
      </c>
      <c r="B11085" s="2" t="s">
        <v>193</v>
      </c>
      <c r="C11085" s="2">
        <v>600.14670000000001</v>
      </c>
      <c r="D11085" s="2">
        <f>HYPERLINK("http://mcb-m6.bioreg.kyushu-u.ac.jp/M3/20110427/F51110/1703/1", 70.55)</f>
        <v>70.55</v>
      </c>
      <c r="E11085" s="2">
        <v>49.82</v>
      </c>
      <c r="F11085" s="2">
        <v>2</v>
      </c>
      <c r="G11085" s="2" t="s">
        <v>13</v>
      </c>
    </row>
    <row r="11086" spans="1:8" x14ac:dyDescent="0.2">
      <c r="A11086" s="2" t="s">
        <v>3398</v>
      </c>
      <c r="B11086" s="2" t="s">
        <v>193</v>
      </c>
      <c r="C11086" s="2">
        <v>600.01419999999996</v>
      </c>
      <c r="D11086" s="2">
        <f>HYPERLINK("http://mcb-m6.bioreg.kyushu-u.ac.jp/M3/20110427/F51110/1702/1", 70.69)</f>
        <v>70.69</v>
      </c>
      <c r="E11086" s="2">
        <v>45.34</v>
      </c>
      <c r="F11086" s="2">
        <v>2</v>
      </c>
      <c r="G11086" s="2" t="s">
        <v>13</v>
      </c>
    </row>
    <row r="11087" spans="1:8" x14ac:dyDescent="0.2">
      <c r="A11087" s="2" t="s">
        <v>3398</v>
      </c>
      <c r="B11087" s="2" t="s">
        <v>193</v>
      </c>
      <c r="C11087" s="2">
        <v>599.6191</v>
      </c>
      <c r="D11087" s="2">
        <f>HYPERLINK("http://mcb-m6.bioreg.kyushu-u.ac.jp/M3/20110427/F51109/1712/1", 75.88)</f>
        <v>75.88</v>
      </c>
      <c r="E11087" s="2">
        <v>49.68</v>
      </c>
      <c r="F11087" s="2">
        <v>2</v>
      </c>
      <c r="G11087" s="2" t="s">
        <v>13</v>
      </c>
    </row>
    <row r="11088" spans="1:8" x14ac:dyDescent="0.2">
      <c r="A11088" s="2" t="s">
        <v>3398</v>
      </c>
      <c r="B11088" s="2" t="s">
        <v>1675</v>
      </c>
      <c r="C11088" s="2">
        <v>1145.2339999999999</v>
      </c>
      <c r="D11088" s="2">
        <f>HYPERLINK("http://mcb-m6.bioreg.kyushu-u.ac.jp/M3/20110427/F51109/2841/1", 96.8)</f>
        <v>96.8</v>
      </c>
      <c r="E11088" s="2">
        <v>81.099999999999994</v>
      </c>
      <c r="F11088" s="2">
        <v>2</v>
      </c>
      <c r="G11088" s="2" t="s">
        <v>13</v>
      </c>
    </row>
    <row r="11089" spans="1:7" x14ac:dyDescent="0.2">
      <c r="A11089" s="2" t="s">
        <v>3398</v>
      </c>
      <c r="B11089" s="2" t="s">
        <v>1675</v>
      </c>
      <c r="C11089" s="2">
        <v>1145.2170000000001</v>
      </c>
      <c r="D11089" s="2">
        <f>HYPERLINK("http://mcb-m6.bioreg.kyushu-u.ac.jp/M3/20110427/F51110/3163/1", 104.2)</f>
        <v>104.2</v>
      </c>
      <c r="E11089" s="2">
        <v>84.88</v>
      </c>
      <c r="F11089" s="2">
        <v>2</v>
      </c>
      <c r="G11089" s="2" t="s">
        <v>13</v>
      </c>
    </row>
    <row r="11090" spans="1:7" x14ac:dyDescent="0.2">
      <c r="A11090" s="2" t="s">
        <v>3568</v>
      </c>
      <c r="B11090" s="2" t="s">
        <v>6341</v>
      </c>
      <c r="C11090" s="2">
        <v>633.03809999999999</v>
      </c>
      <c r="D11090" s="2">
        <f>HYPERLINK("http://mcb-m6.bioreg.kyushu-u.ac.jp/M3/20110404/F50753/1606/1", 54.54)</f>
        <v>54.54</v>
      </c>
      <c r="E11090" s="2">
        <v>35.04</v>
      </c>
      <c r="F11090" s="2">
        <v>2</v>
      </c>
      <c r="G11090" s="2" t="s">
        <v>9</v>
      </c>
    </row>
    <row r="11091" spans="1:7" x14ac:dyDescent="0.2">
      <c r="A11091" s="2" t="s">
        <v>3568</v>
      </c>
      <c r="B11091" s="2" t="s">
        <v>1359</v>
      </c>
      <c r="C11091" s="2">
        <v>831.58010000000002</v>
      </c>
      <c r="D11091" s="2">
        <f>HYPERLINK("http://mcb-m6.bioreg.kyushu-u.ac.jp/M3/20110404/F50753/2360/1", 58.66)</f>
        <v>58.66</v>
      </c>
      <c r="E11091" s="2">
        <v>43.43</v>
      </c>
      <c r="F11091" s="2">
        <v>2</v>
      </c>
      <c r="G11091" s="2" t="s">
        <v>9</v>
      </c>
    </row>
    <row r="11092" spans="1:7" x14ac:dyDescent="0.2">
      <c r="A11092" s="2" t="s">
        <v>3568</v>
      </c>
      <c r="B11092" s="2" t="s">
        <v>1359</v>
      </c>
      <c r="C11092" s="2">
        <v>832.18119999999999</v>
      </c>
      <c r="D11092" s="2">
        <f>HYPERLINK("http://mcb-m6.bioreg.kyushu-u.ac.jp/M3/20110404/F50753/2365/1", 75.11)</f>
        <v>75.11</v>
      </c>
      <c r="E11092" s="2">
        <v>47.7</v>
      </c>
      <c r="F11092" s="2">
        <v>2</v>
      </c>
      <c r="G11092" s="2" t="s">
        <v>9</v>
      </c>
    </row>
    <row r="11093" spans="1:7" x14ac:dyDescent="0.2">
      <c r="A11093" s="2" t="s">
        <v>3568</v>
      </c>
      <c r="B11093" s="2" t="s">
        <v>6341</v>
      </c>
      <c r="C11093" s="2">
        <v>633.62070000000006</v>
      </c>
      <c r="D11093" s="2">
        <f>HYPERLINK("http://mcb-m6.bioreg.kyushu-u.ac.jp/M3/20110404/F50758/1548/1", 46.33)</f>
        <v>46.33</v>
      </c>
      <c r="E11093" s="2">
        <v>27.16</v>
      </c>
      <c r="F11093" s="2">
        <v>2</v>
      </c>
      <c r="G11093" s="2" t="s">
        <v>10</v>
      </c>
    </row>
    <row r="11094" spans="1:7" x14ac:dyDescent="0.2">
      <c r="A11094" s="2" t="s">
        <v>3568</v>
      </c>
      <c r="B11094" s="2" t="s">
        <v>1359</v>
      </c>
      <c r="C11094" s="2">
        <v>831.73860000000002</v>
      </c>
      <c r="D11094" s="2">
        <f>HYPERLINK("http://mcb-m6.bioreg.kyushu-u.ac.jp/M3/20110404/F50758/2236/1", 77.22)</f>
        <v>77.22</v>
      </c>
      <c r="E11094" s="2">
        <v>59.79</v>
      </c>
      <c r="F11094" s="2">
        <v>2</v>
      </c>
      <c r="G11094" s="2" t="s">
        <v>10</v>
      </c>
    </row>
    <row r="11095" spans="1:7" x14ac:dyDescent="0.2">
      <c r="A11095" s="2" t="s">
        <v>3568</v>
      </c>
      <c r="B11095" s="2" t="s">
        <v>1359</v>
      </c>
      <c r="C11095" s="2">
        <v>832.12959999999998</v>
      </c>
      <c r="D11095" s="2">
        <f>HYPERLINK("http://mcb-m6.bioreg.kyushu-u.ac.jp/M3/20110427/F51111/2599/1", 66.18)</f>
        <v>66.180000000000007</v>
      </c>
      <c r="E11095" s="2">
        <v>51.23</v>
      </c>
      <c r="F11095" s="2">
        <v>2</v>
      </c>
      <c r="G11095" s="2" t="s">
        <v>13</v>
      </c>
    </row>
    <row r="11096" spans="1:7" x14ac:dyDescent="0.2">
      <c r="A11096" s="2" t="s">
        <v>3583</v>
      </c>
      <c r="B11096" s="2" t="s">
        <v>5974</v>
      </c>
      <c r="C11096" s="2">
        <v>1014.432</v>
      </c>
      <c r="D11096" s="2">
        <f>HYPERLINK("http://mcb-m6.bioreg.kyushu-u.ac.jp/M3/20110404/F50753/1218/1", 37.39)</f>
        <v>37.39</v>
      </c>
      <c r="E11096" s="2">
        <v>18.45</v>
      </c>
      <c r="F11096" s="2">
        <v>1</v>
      </c>
      <c r="G11096" s="2" t="s">
        <v>9</v>
      </c>
    </row>
    <row r="11097" spans="1:7" x14ac:dyDescent="0.2">
      <c r="A11097" s="2" t="s">
        <v>3583</v>
      </c>
      <c r="B11097" s="2" t="s">
        <v>5974</v>
      </c>
      <c r="C11097" s="2">
        <v>507.1336</v>
      </c>
      <c r="D11097" s="2">
        <f>HYPERLINK("http://mcb-m6.bioreg.kyushu-u.ac.jp/M3/20110404/F50753/1215/1", 39.1)</f>
        <v>39.1</v>
      </c>
      <c r="E11097" s="2">
        <v>11.05</v>
      </c>
      <c r="F11097" s="2">
        <v>2</v>
      </c>
      <c r="G11097" s="2" t="s">
        <v>9</v>
      </c>
    </row>
    <row r="11098" spans="1:7" x14ac:dyDescent="0.2">
      <c r="A11098" s="2" t="s">
        <v>3445</v>
      </c>
      <c r="B11098" s="2" t="s">
        <v>1499</v>
      </c>
      <c r="C11098" s="2">
        <v>1186.5419999999999</v>
      </c>
      <c r="D11098" s="2">
        <f>HYPERLINK("http://mcb-m6.bioreg.kyushu-u.ac.jp/M3/20110404/F50754/1615/1", 38.08)</f>
        <v>38.08</v>
      </c>
      <c r="E11098" s="2">
        <v>26.13</v>
      </c>
      <c r="F11098" s="2">
        <v>1</v>
      </c>
      <c r="G11098" s="2" t="s">
        <v>9</v>
      </c>
    </row>
    <row r="11099" spans="1:7" x14ac:dyDescent="0.2">
      <c r="A11099" s="2" t="s">
        <v>3445</v>
      </c>
      <c r="B11099" s="2" t="s">
        <v>2311</v>
      </c>
      <c r="C11099" s="2">
        <v>596.60720000000003</v>
      </c>
      <c r="D11099" s="2">
        <f>HYPERLINK("http://mcb-m6.bioreg.kyushu-u.ac.jp/M3/20110404/F50753/1494/1", 40)</f>
        <v>40</v>
      </c>
      <c r="E11099" s="2">
        <v>22.47</v>
      </c>
      <c r="F11099" s="2">
        <v>2</v>
      </c>
      <c r="G11099" s="2" t="s">
        <v>9</v>
      </c>
    </row>
    <row r="11100" spans="1:7" x14ac:dyDescent="0.2">
      <c r="A11100" s="2" t="s">
        <v>3445</v>
      </c>
      <c r="B11100" s="2" t="s">
        <v>1499</v>
      </c>
      <c r="C11100" s="2">
        <v>1186.4659999999999</v>
      </c>
      <c r="D11100" s="2">
        <f>HYPERLINK("http://mcb-m6.bioreg.kyushu-u.ac.jp/M3/20110404/F50753/1476/1", 44.71)</f>
        <v>44.71</v>
      </c>
      <c r="E11100" s="2">
        <v>32.28</v>
      </c>
      <c r="F11100" s="2">
        <v>1</v>
      </c>
      <c r="G11100" s="2" t="s">
        <v>9</v>
      </c>
    </row>
    <row r="11101" spans="1:7" x14ac:dyDescent="0.2">
      <c r="A11101" s="2" t="s">
        <v>3445</v>
      </c>
      <c r="B11101" s="2" t="s">
        <v>255</v>
      </c>
      <c r="C11101" s="2">
        <v>660.63170000000002</v>
      </c>
      <c r="D11101" s="2">
        <f>HYPERLINK("http://mcb-m6.bioreg.kyushu-u.ac.jp/M3/20110404/F50753/1691/1", 46.3)</f>
        <v>46.3</v>
      </c>
      <c r="E11101" s="2">
        <v>13.35</v>
      </c>
      <c r="F11101" s="2">
        <v>2</v>
      </c>
      <c r="G11101" s="2" t="s">
        <v>9</v>
      </c>
    </row>
    <row r="11102" spans="1:7" x14ac:dyDescent="0.2">
      <c r="A11102" s="2" t="s">
        <v>3445</v>
      </c>
      <c r="B11102" s="2" t="s">
        <v>1499</v>
      </c>
      <c r="C11102" s="2">
        <v>593.89509999999996</v>
      </c>
      <c r="D11102" s="2">
        <f>HYPERLINK("http://mcb-m6.bioreg.kyushu-u.ac.jp/M3/20110404/F50754/1616/1", 68.33)</f>
        <v>68.33</v>
      </c>
      <c r="E11102" s="2">
        <v>40.83</v>
      </c>
      <c r="F11102" s="2">
        <v>2</v>
      </c>
      <c r="G11102" s="2" t="s">
        <v>9</v>
      </c>
    </row>
    <row r="11103" spans="1:7" x14ac:dyDescent="0.2">
      <c r="A11103" s="2" t="s">
        <v>3445</v>
      </c>
      <c r="B11103" s="2" t="s">
        <v>1499</v>
      </c>
      <c r="C11103" s="2">
        <v>594.1191</v>
      </c>
      <c r="D11103" s="2">
        <f>HYPERLINK("http://mcb-m6.bioreg.kyushu-u.ac.jp/M3/20110404/F50753/1477/1", 82.14)</f>
        <v>82.14</v>
      </c>
      <c r="E11103" s="2">
        <v>58.96</v>
      </c>
      <c r="F11103" s="2">
        <v>2</v>
      </c>
      <c r="G11103" s="2" t="s">
        <v>9</v>
      </c>
    </row>
    <row r="11104" spans="1:7" x14ac:dyDescent="0.2">
      <c r="A11104" s="2" t="s">
        <v>3445</v>
      </c>
      <c r="B11104" s="2" t="s">
        <v>1499</v>
      </c>
      <c r="C11104" s="2">
        <v>594.21420000000001</v>
      </c>
      <c r="D11104" s="2">
        <f>HYPERLINK("http://mcb-m6.bioreg.kyushu-u.ac.jp/M3/20110404/F50758/1442/1", 84.51)</f>
        <v>84.51</v>
      </c>
      <c r="E11104" s="2">
        <v>54.02</v>
      </c>
      <c r="F11104" s="2">
        <v>2</v>
      </c>
      <c r="G11104" s="2" t="s">
        <v>10</v>
      </c>
    </row>
    <row r="11105" spans="1:9" x14ac:dyDescent="0.2">
      <c r="A11105" s="2" t="s">
        <v>3445</v>
      </c>
      <c r="B11105" s="2" t="s">
        <v>1499</v>
      </c>
      <c r="C11105" s="2">
        <v>593.65170000000001</v>
      </c>
      <c r="D11105" s="2">
        <f>HYPERLINK("http://mcb-m6.bioreg.kyushu-u.ac.jp/M3/20110421/F51017/1320/1", 72.12)</f>
        <v>72.12</v>
      </c>
      <c r="E11105" s="2">
        <v>41.49</v>
      </c>
      <c r="F11105" s="2">
        <v>2</v>
      </c>
      <c r="G11105" s="2" t="s">
        <v>11</v>
      </c>
    </row>
    <row r="11106" spans="1:9" x14ac:dyDescent="0.2">
      <c r="A11106" s="2" t="s">
        <v>4878</v>
      </c>
      <c r="B11106" s="2" t="s">
        <v>3195</v>
      </c>
      <c r="C11106" s="2">
        <v>817.45569999999998</v>
      </c>
      <c r="D11106" s="2">
        <f>HYPERLINK("http://mcb-m6.bioreg.kyushu-u.ac.jp/M3/20110421/F51045/2475/1", 68.74)</f>
        <v>68.739999999999995</v>
      </c>
      <c r="E11106" s="2">
        <v>52.81</v>
      </c>
      <c r="F11106" s="2">
        <v>2</v>
      </c>
      <c r="G11106" s="2" t="s">
        <v>12</v>
      </c>
    </row>
    <row r="11107" spans="1:9" x14ac:dyDescent="0.2">
      <c r="A11107" s="2" t="s">
        <v>4623</v>
      </c>
      <c r="B11107" s="2" t="s">
        <v>2760</v>
      </c>
      <c r="C11107" s="2">
        <v>790.21469999999999</v>
      </c>
      <c r="D11107" s="2">
        <f>HYPERLINK("http://mcb-m6.bioreg.kyushu-u.ac.jp/M3/20110404/F50754/2289/1", 70.76)</f>
        <v>70.760000000000005</v>
      </c>
      <c r="E11107" s="2">
        <v>53.98</v>
      </c>
      <c r="F11107" s="2">
        <v>2</v>
      </c>
      <c r="G11107" s="2" t="s">
        <v>9</v>
      </c>
    </row>
    <row r="11108" spans="1:9" x14ac:dyDescent="0.2">
      <c r="A11108" s="2" t="s">
        <v>4623</v>
      </c>
      <c r="B11108" s="2" t="s">
        <v>2760</v>
      </c>
      <c r="C11108" s="2">
        <v>790.84810000000004</v>
      </c>
      <c r="D11108" s="2">
        <f>HYPERLINK("http://mcb-m6.bioreg.kyushu-u.ac.jp/M3/20110421/F51018/2347/1", 65.27)</f>
        <v>65.27</v>
      </c>
      <c r="E11108" s="2">
        <v>48.41</v>
      </c>
      <c r="F11108" s="2">
        <v>2</v>
      </c>
      <c r="G11108" s="2" t="s">
        <v>11</v>
      </c>
    </row>
    <row r="11109" spans="1:9" x14ac:dyDescent="0.2">
      <c r="A11109" s="2" t="s">
        <v>4364</v>
      </c>
      <c r="B11109" s="2" t="s">
        <v>2635</v>
      </c>
      <c r="C11109" s="2">
        <v>939.34169999999995</v>
      </c>
      <c r="D11109" s="2">
        <f>HYPERLINK("http://mcb-m6.bioreg.kyushu-u.ac.jp/M3/20110404/F50764/2578/1", 35.54)</f>
        <v>35.54</v>
      </c>
      <c r="E11109" s="2">
        <v>23</v>
      </c>
      <c r="F11109" s="2">
        <v>2</v>
      </c>
      <c r="G11109" s="2" t="s">
        <v>9</v>
      </c>
    </row>
    <row r="11110" spans="1:9" x14ac:dyDescent="0.2">
      <c r="A11110" s="2" t="s">
        <v>4364</v>
      </c>
      <c r="B11110" s="2" t="s">
        <v>2190</v>
      </c>
      <c r="C11110" s="2">
        <v>838.09270000000004</v>
      </c>
      <c r="D11110" s="2">
        <f>HYPERLINK("http://mcb-m6.bioreg.kyushu-u.ac.jp/M3/20110404/F50764/2222/1", 68.75)</f>
        <v>68.75</v>
      </c>
      <c r="E11110" s="2">
        <v>49.13</v>
      </c>
      <c r="F11110" s="2">
        <v>2</v>
      </c>
      <c r="G11110" s="2" t="s">
        <v>9</v>
      </c>
    </row>
    <row r="11111" spans="1:9" x14ac:dyDescent="0.2">
      <c r="A11111" s="2" t="s">
        <v>4364</v>
      </c>
      <c r="B11111" s="2" t="s">
        <v>2190</v>
      </c>
      <c r="C11111" s="2">
        <v>837.95420000000001</v>
      </c>
      <c r="D11111" s="2">
        <f>HYPERLINK("http://mcb-m6.bioreg.kyushu-u.ac.jp/M3/20110421/F51042/2511/1", 57.35)</f>
        <v>57.35</v>
      </c>
      <c r="E11111" s="2">
        <v>40.520000000000003</v>
      </c>
      <c r="F11111" s="2">
        <v>2</v>
      </c>
      <c r="G11111" s="2" t="s">
        <v>11</v>
      </c>
    </row>
    <row r="11112" spans="1:9" x14ac:dyDescent="0.2">
      <c r="A11112" s="2" t="s">
        <v>4364</v>
      </c>
      <c r="B11112" s="2" t="s">
        <v>2635</v>
      </c>
      <c r="C11112" s="2">
        <v>939.69569999999999</v>
      </c>
      <c r="D11112" s="2">
        <f>HYPERLINK("http://mcb-m6.bioreg.kyushu-u.ac.jp/M3/20110427/F51115/2753/1", 36.47)</f>
        <v>36.47</v>
      </c>
      <c r="E11112" s="2">
        <v>23.29</v>
      </c>
      <c r="F11112" s="2">
        <v>2</v>
      </c>
      <c r="G11112" s="2" t="s">
        <v>13</v>
      </c>
    </row>
    <row r="11113" spans="1:9" x14ac:dyDescent="0.2">
      <c r="A11113" s="2" t="s">
        <v>7791</v>
      </c>
      <c r="B11113" s="2" t="s">
        <v>6696</v>
      </c>
      <c r="C11113" s="2">
        <v>616.7432</v>
      </c>
      <c r="D11113" s="2">
        <f>HYPERLINK("http://mcb-m6.bioreg.kyushu-u.ac.jp/M3/20110404/F50761/1379/1", 36.57)</f>
        <v>36.57</v>
      </c>
      <c r="E11113" s="2">
        <v>18.29</v>
      </c>
      <c r="F11113" s="2">
        <v>2</v>
      </c>
      <c r="G11113" s="2" t="s">
        <v>10</v>
      </c>
      <c r="I11113" s="2" t="s">
        <v>4890</v>
      </c>
    </row>
    <row r="11114" spans="1:9" x14ac:dyDescent="0.2">
      <c r="A11114" s="2" t="s">
        <v>8003</v>
      </c>
      <c r="B11114" s="2" t="s">
        <v>7226</v>
      </c>
      <c r="C11114" s="2">
        <v>600.70209999999997</v>
      </c>
      <c r="D11114" s="2">
        <f>HYPERLINK("http://mcb-m6.bioreg.kyushu-u.ac.jp/M3/20110421/F51021/1331/1", 50.88)</f>
        <v>50.88</v>
      </c>
      <c r="E11114" s="2">
        <v>21.43</v>
      </c>
      <c r="F11114" s="2">
        <v>2</v>
      </c>
      <c r="G11114" s="2" t="s">
        <v>12</v>
      </c>
    </row>
    <row r="11115" spans="1:9" x14ac:dyDescent="0.2">
      <c r="A11115" s="2" t="s">
        <v>8003</v>
      </c>
      <c r="B11115" s="2" t="s">
        <v>7240</v>
      </c>
      <c r="C11115" s="2">
        <v>671.78970000000004</v>
      </c>
      <c r="D11115" s="2">
        <f>HYPERLINK("http://mcb-m6.bioreg.kyushu-u.ac.jp/M3/20110421/F51021/1640/1", 56.98)</f>
        <v>56.98</v>
      </c>
      <c r="E11115" s="2">
        <v>37.630000000000003</v>
      </c>
      <c r="F11115" s="2">
        <v>2</v>
      </c>
      <c r="G11115" s="2" t="s">
        <v>12</v>
      </c>
    </row>
    <row r="11116" spans="1:9" x14ac:dyDescent="0.2">
      <c r="A11116" s="2" t="s">
        <v>8003</v>
      </c>
      <c r="B11116" s="2" t="s">
        <v>7246</v>
      </c>
      <c r="C11116" s="2">
        <v>709.86069999999995</v>
      </c>
      <c r="D11116" s="2">
        <f>HYPERLINK("http://mcb-m6.bioreg.kyushu-u.ac.jp/M3/20110421/F51021/1908/1", 59.52)</f>
        <v>59.52</v>
      </c>
      <c r="E11116" s="2">
        <v>44.51</v>
      </c>
      <c r="F11116" s="2">
        <v>2</v>
      </c>
      <c r="G11116" s="2" t="s">
        <v>12</v>
      </c>
      <c r="H11116" s="2" t="s">
        <v>4919</v>
      </c>
    </row>
    <row r="11117" spans="1:9" x14ac:dyDescent="0.2">
      <c r="A11117" s="2" t="s">
        <v>8003</v>
      </c>
      <c r="B11117" s="2" t="s">
        <v>7246</v>
      </c>
      <c r="C11117" s="2">
        <v>709.9692</v>
      </c>
      <c r="D11117" s="2">
        <f>HYPERLINK("http://mcb-m6.bioreg.kyushu-u.ac.jp/M3/20110427/F51119/2030/1", 45.76)</f>
        <v>45.76</v>
      </c>
      <c r="E11117" s="2">
        <v>30.89</v>
      </c>
      <c r="F11117" s="2">
        <v>2</v>
      </c>
      <c r="G11117" s="2" t="s">
        <v>14</v>
      </c>
      <c r="H11117" s="2" t="s">
        <v>4919</v>
      </c>
    </row>
    <row r="11118" spans="1:9" x14ac:dyDescent="0.2">
      <c r="A11118" s="2" t="s">
        <v>4343</v>
      </c>
      <c r="B11118" s="2" t="s">
        <v>2158</v>
      </c>
      <c r="C11118" s="2">
        <v>570.20209999999997</v>
      </c>
      <c r="D11118" s="2">
        <f>HYPERLINK("http://mcb-m6.bioreg.kyushu-u.ac.jp/M3/20110404/F50754/1532/1", 68.36)</f>
        <v>68.36</v>
      </c>
      <c r="E11118" s="2">
        <v>46.37</v>
      </c>
      <c r="F11118" s="2">
        <v>2</v>
      </c>
      <c r="G11118" s="2" t="s">
        <v>9</v>
      </c>
    </row>
    <row r="11119" spans="1:9" x14ac:dyDescent="0.2">
      <c r="A11119" s="2" t="s">
        <v>3623</v>
      </c>
      <c r="B11119" s="2" t="s">
        <v>535</v>
      </c>
      <c r="C11119" s="2">
        <v>498.55410000000001</v>
      </c>
      <c r="D11119" s="2">
        <f>HYPERLINK("http://mcb-m6.bioreg.kyushu-u.ac.jp/M3/20110404/F50754/1311/1", 36.83)</f>
        <v>36.83</v>
      </c>
      <c r="E11119" s="2">
        <v>9.7100000000000009</v>
      </c>
      <c r="F11119" s="2">
        <v>2</v>
      </c>
      <c r="G11119" s="2" t="s">
        <v>9</v>
      </c>
    </row>
    <row r="11120" spans="1:9" x14ac:dyDescent="0.2">
      <c r="A11120" s="2" t="s">
        <v>3623</v>
      </c>
      <c r="B11120" s="2" t="s">
        <v>6498</v>
      </c>
      <c r="C11120" s="2">
        <v>666.6816</v>
      </c>
      <c r="D11120" s="2">
        <f>HYPERLINK("http://mcb-m6.bioreg.kyushu-u.ac.jp/M3/20110404/F50754/1837/1", 70.84)</f>
        <v>70.84</v>
      </c>
      <c r="E11120" s="2">
        <v>42.4</v>
      </c>
      <c r="F11120" s="2">
        <v>2</v>
      </c>
      <c r="G11120" s="2" t="s">
        <v>9</v>
      </c>
    </row>
    <row r="11121" spans="1:8" x14ac:dyDescent="0.2">
      <c r="A11121" s="2" t="s">
        <v>3623</v>
      </c>
      <c r="B11121" s="2" t="s">
        <v>1454</v>
      </c>
      <c r="C11121" s="2">
        <v>904.33720000000005</v>
      </c>
      <c r="D11121" s="2">
        <f>HYPERLINK("http://mcb-m6.bioreg.kyushu-u.ac.jp/M3/20110404/F50754/2624/1", 71.4)</f>
        <v>71.400000000000006</v>
      </c>
      <c r="E11121" s="2">
        <v>60.04</v>
      </c>
      <c r="F11121" s="2">
        <v>2</v>
      </c>
      <c r="G11121" s="2" t="s">
        <v>9</v>
      </c>
    </row>
    <row r="11122" spans="1:8" x14ac:dyDescent="0.2">
      <c r="A11122" s="2" t="s">
        <v>3623</v>
      </c>
      <c r="B11122" s="2" t="s">
        <v>1454</v>
      </c>
      <c r="C11122" s="2">
        <v>904.75070000000005</v>
      </c>
      <c r="D11122" s="2">
        <f>HYPERLINK("http://mcb-m6.bioreg.kyushu-u.ac.jp/M3/20110404/F50754/2628/1", 97.43)</f>
        <v>97.43</v>
      </c>
      <c r="E11122" s="2">
        <v>79.56</v>
      </c>
      <c r="F11122" s="2">
        <v>2</v>
      </c>
      <c r="G11122" s="2" t="s">
        <v>9</v>
      </c>
    </row>
    <row r="11123" spans="1:8" x14ac:dyDescent="0.2">
      <c r="A11123" s="2" t="s">
        <v>3623</v>
      </c>
      <c r="B11123" s="2" t="s">
        <v>1454</v>
      </c>
      <c r="C11123" s="2">
        <v>904.64009999999996</v>
      </c>
      <c r="D11123" s="2">
        <f>HYPERLINK("http://mcb-m6.bioreg.kyushu-u.ac.jp/M3/20110404/F50754/2627/1", 120.76)</f>
        <v>120.76</v>
      </c>
      <c r="E11123" s="2">
        <v>101.61</v>
      </c>
      <c r="F11123" s="2">
        <v>2</v>
      </c>
      <c r="G11123" s="2" t="s">
        <v>9</v>
      </c>
    </row>
    <row r="11124" spans="1:8" x14ac:dyDescent="0.2">
      <c r="A11124" s="2" t="s">
        <v>3623</v>
      </c>
      <c r="B11124" s="2" t="s">
        <v>1454</v>
      </c>
      <c r="C11124" s="2">
        <v>904.54060000000004</v>
      </c>
      <c r="D11124" s="2">
        <f>HYPERLINK("http://mcb-m6.bioreg.kyushu-u.ac.jp/M3/20110427/F51112/2837/1", 83.97)</f>
        <v>83.97</v>
      </c>
      <c r="E11124" s="2">
        <v>74.06</v>
      </c>
      <c r="F11124" s="2">
        <v>2</v>
      </c>
      <c r="G11124" s="2" t="s">
        <v>13</v>
      </c>
    </row>
    <row r="11125" spans="1:8" x14ac:dyDescent="0.2">
      <c r="A11125" s="2" t="s">
        <v>7780</v>
      </c>
      <c r="B11125" s="2" t="s">
        <v>6666</v>
      </c>
      <c r="C11125" s="2">
        <v>764.64070000000004</v>
      </c>
      <c r="D11125" s="2">
        <f>HYPERLINK("http://mcb-m6.bioreg.kyushu-u.ac.jp/M3/20110404/F50754/2197/1", 125.39)</f>
        <v>125.39</v>
      </c>
      <c r="E11125" s="2">
        <v>99.38</v>
      </c>
      <c r="F11125" s="2">
        <v>2</v>
      </c>
      <c r="G11125" s="2" t="s">
        <v>9</v>
      </c>
    </row>
    <row r="11126" spans="1:8" x14ac:dyDescent="0.2">
      <c r="A11126" s="2" t="s">
        <v>3858</v>
      </c>
      <c r="B11126" s="2" t="s">
        <v>2931</v>
      </c>
      <c r="C11126" s="2">
        <v>534.79359999999997</v>
      </c>
      <c r="D11126" s="2">
        <f>HYPERLINK("http://mcb-m6.bioreg.kyushu-u.ac.jp/M3/20110404/F50777/1117/1", 45.68)</f>
        <v>45.68</v>
      </c>
      <c r="E11126" s="2">
        <v>21.25</v>
      </c>
      <c r="F11126" s="2">
        <v>2</v>
      </c>
      <c r="G11126" s="2" t="s">
        <v>9</v>
      </c>
    </row>
    <row r="11127" spans="1:8" x14ac:dyDescent="0.2">
      <c r="A11127" s="2" t="s">
        <v>7537</v>
      </c>
      <c r="B11127" s="2" t="s">
        <v>5940</v>
      </c>
      <c r="C11127" s="2">
        <v>651.24720000000002</v>
      </c>
      <c r="D11127" s="2">
        <f>HYPERLINK("http://mcb-m6.bioreg.kyushu-u.ac.jp/M3/20110404/F50754/1797/1", 36.43)</f>
        <v>36.43</v>
      </c>
      <c r="E11127" s="2">
        <v>21.33</v>
      </c>
      <c r="F11127" s="2">
        <v>2</v>
      </c>
      <c r="G11127" s="2" t="s">
        <v>9</v>
      </c>
    </row>
    <row r="11128" spans="1:8" x14ac:dyDescent="0.2">
      <c r="A11128" s="2" t="s">
        <v>7652</v>
      </c>
      <c r="B11128" s="2" t="s">
        <v>6226</v>
      </c>
      <c r="C11128" s="2">
        <v>1059.873</v>
      </c>
      <c r="D11128" s="2">
        <f>HYPERLINK("http://mcb-m6.bioreg.kyushu-u.ac.jp/M3/20110404/F50767/3087/1", 47.46)</f>
        <v>47.46</v>
      </c>
      <c r="E11128" s="2">
        <v>39.72</v>
      </c>
      <c r="F11128" s="2">
        <v>2</v>
      </c>
      <c r="G11128" s="2" t="s">
        <v>9</v>
      </c>
    </row>
    <row r="11129" spans="1:8" x14ac:dyDescent="0.2">
      <c r="A11129" s="2" t="s">
        <v>7652</v>
      </c>
      <c r="B11129" s="2" t="s">
        <v>6408</v>
      </c>
      <c r="C11129" s="2">
        <v>912.43020000000001</v>
      </c>
      <c r="D11129" s="2">
        <f>HYPERLINK("http://mcb-m6.bioreg.kyushu-u.ac.jp/M3/20110404/F50767/2521/1", 60.84)</f>
        <v>60.84</v>
      </c>
      <c r="E11129" s="2">
        <v>53.48</v>
      </c>
      <c r="F11129" s="2">
        <v>2</v>
      </c>
      <c r="G11129" s="2" t="s">
        <v>9</v>
      </c>
    </row>
    <row r="11130" spans="1:8" x14ac:dyDescent="0.2">
      <c r="A11130" s="2" t="s">
        <v>7652</v>
      </c>
      <c r="B11130" s="2" t="s">
        <v>6439</v>
      </c>
      <c r="C11130" s="2">
        <v>674.27120000000002</v>
      </c>
      <c r="D11130" s="2">
        <f>HYPERLINK("http://mcb-m6.bioreg.kyushu-u.ac.jp/M3/20110404/F50767/1349/1", 64.8)</f>
        <v>64.8</v>
      </c>
      <c r="E11130" s="2">
        <v>50.9</v>
      </c>
      <c r="F11130" s="2">
        <v>2</v>
      </c>
      <c r="G11130" s="2" t="s">
        <v>9</v>
      </c>
    </row>
    <row r="11131" spans="1:8" x14ac:dyDescent="0.2">
      <c r="A11131" s="2" t="s">
        <v>7652</v>
      </c>
      <c r="B11131" s="2" t="s">
        <v>6470</v>
      </c>
      <c r="C11131" s="2">
        <v>849.53380000000004</v>
      </c>
      <c r="D11131" s="2">
        <f>HYPERLINK("http://mcb-m6.bioreg.kyushu-u.ac.jp/M3/20110404/F50767/3662/1", 67.52)</f>
        <v>67.52</v>
      </c>
      <c r="E11131" s="2">
        <v>55.05</v>
      </c>
      <c r="F11131" s="2">
        <v>3</v>
      </c>
      <c r="G11131" s="2" t="s">
        <v>9</v>
      </c>
      <c r="H11131" s="2" t="s">
        <v>4904</v>
      </c>
    </row>
    <row r="11132" spans="1:8" x14ac:dyDescent="0.2">
      <c r="A11132" s="2" t="s">
        <v>7652</v>
      </c>
      <c r="B11132" s="2" t="s">
        <v>6408</v>
      </c>
      <c r="C11132" s="2">
        <v>911.79669999999999</v>
      </c>
      <c r="D11132" s="2">
        <f>HYPERLINK("http://mcb-m6.bioreg.kyushu-u.ac.jp/M3/20110404/F50767/2516/1", 70.06)</f>
        <v>70.06</v>
      </c>
      <c r="E11132" s="2">
        <v>61.13</v>
      </c>
      <c r="F11132" s="2">
        <v>2</v>
      </c>
      <c r="G11132" s="2" t="s">
        <v>9</v>
      </c>
    </row>
    <row r="11133" spans="1:8" x14ac:dyDescent="0.2">
      <c r="A11133" s="2" t="s">
        <v>7652</v>
      </c>
      <c r="B11133" s="2" t="s">
        <v>6439</v>
      </c>
      <c r="C11133" s="2">
        <v>673.75019999999995</v>
      </c>
      <c r="D11133" s="2">
        <f>HYPERLINK("http://mcb-m6.bioreg.kyushu-u.ac.jp/M3/20110404/F50767/1345/1", 74.26)</f>
        <v>74.260000000000005</v>
      </c>
      <c r="E11133" s="2">
        <v>62.56</v>
      </c>
      <c r="F11133" s="2">
        <v>2</v>
      </c>
      <c r="G11133" s="2" t="s">
        <v>9</v>
      </c>
    </row>
    <row r="11134" spans="1:8" x14ac:dyDescent="0.2">
      <c r="A11134" s="2" t="s">
        <v>7652</v>
      </c>
      <c r="B11134" s="2" t="s">
        <v>6605</v>
      </c>
      <c r="C11134" s="2">
        <v>792.79520000000002</v>
      </c>
      <c r="D11134" s="2">
        <f>HYPERLINK("http://mcb-m6.bioreg.kyushu-u.ac.jp/M3/20110404/F50767/1997/1", 91.6)</f>
        <v>91.6</v>
      </c>
      <c r="E11134" s="2">
        <v>71.86</v>
      </c>
      <c r="F11134" s="2">
        <v>2</v>
      </c>
      <c r="G11134" s="2" t="s">
        <v>9</v>
      </c>
    </row>
    <row r="11135" spans="1:8" x14ac:dyDescent="0.2">
      <c r="A11135" s="2" t="s">
        <v>7652</v>
      </c>
      <c r="B11135" s="2" t="s">
        <v>6662</v>
      </c>
      <c r="C11135" s="2">
        <v>1057.4680000000001</v>
      </c>
      <c r="D11135" s="2">
        <f>HYPERLINK("http://mcb-m6.bioreg.kyushu-u.ac.jp/M3/20110404/F50767/3079/1", 120.69)</f>
        <v>120.69</v>
      </c>
      <c r="E11135" s="2">
        <v>104.74</v>
      </c>
      <c r="F11135" s="2">
        <v>2</v>
      </c>
      <c r="G11135" s="2" t="s">
        <v>9</v>
      </c>
    </row>
    <row r="11136" spans="1:8" x14ac:dyDescent="0.2">
      <c r="A11136" s="2" t="s">
        <v>7652</v>
      </c>
      <c r="B11136" s="2" t="s">
        <v>6226</v>
      </c>
      <c r="C11136" s="2">
        <v>1059.546</v>
      </c>
      <c r="D11136" s="2">
        <f>HYPERLINK("http://mcb-m6.bioreg.kyushu-u.ac.jp/M3/20110404/F50773/2928/1", 35.74)</f>
        <v>35.74</v>
      </c>
      <c r="E11136" s="2">
        <v>27.7</v>
      </c>
      <c r="F11136" s="2">
        <v>2</v>
      </c>
      <c r="G11136" s="2" t="s">
        <v>10</v>
      </c>
    </row>
    <row r="11137" spans="1:9" x14ac:dyDescent="0.2">
      <c r="A11137" s="2" t="s">
        <v>7652</v>
      </c>
      <c r="B11137" s="2" t="s">
        <v>6721</v>
      </c>
      <c r="C11137" s="2">
        <v>893.51509999999996</v>
      </c>
      <c r="D11137" s="2">
        <f>HYPERLINK("http://mcb-m6.bioreg.kyushu-u.ac.jp/M3/20110404/F50773/2400/1", 37.81)</f>
        <v>37.81</v>
      </c>
      <c r="E11137" s="2">
        <v>26.21</v>
      </c>
      <c r="F11137" s="2">
        <v>2</v>
      </c>
      <c r="G11137" s="2" t="s">
        <v>10</v>
      </c>
    </row>
    <row r="11138" spans="1:9" x14ac:dyDescent="0.2">
      <c r="A11138" s="2" t="s">
        <v>7652</v>
      </c>
      <c r="B11138" s="2" t="s">
        <v>6605</v>
      </c>
      <c r="C11138" s="2">
        <v>792.95569999999998</v>
      </c>
      <c r="D11138" s="2">
        <f>HYPERLINK("http://mcb-m6.bioreg.kyushu-u.ac.jp/M3/20110404/F50773/2047/1", 57.18)</f>
        <v>57.18</v>
      </c>
      <c r="E11138" s="2">
        <v>34.61</v>
      </c>
      <c r="F11138" s="2">
        <v>2</v>
      </c>
      <c r="G11138" s="2" t="s">
        <v>10</v>
      </c>
    </row>
    <row r="11139" spans="1:9" x14ac:dyDescent="0.2">
      <c r="A11139" s="2" t="s">
        <v>7652</v>
      </c>
      <c r="B11139" s="2" t="s">
        <v>6408</v>
      </c>
      <c r="C11139" s="2">
        <v>912.53219999999999</v>
      </c>
      <c r="D11139" s="2">
        <f>HYPERLINK("http://mcb-m6.bioreg.kyushu-u.ac.jp/M3/20110404/F50772/2596/1", 57.47)</f>
        <v>57.47</v>
      </c>
      <c r="E11139" s="2">
        <v>40.99</v>
      </c>
      <c r="F11139" s="2">
        <v>2</v>
      </c>
      <c r="G11139" s="2" t="s">
        <v>10</v>
      </c>
    </row>
    <row r="11140" spans="1:9" x14ac:dyDescent="0.2">
      <c r="A11140" s="2" t="s">
        <v>7652</v>
      </c>
      <c r="B11140" s="2" t="s">
        <v>6927</v>
      </c>
      <c r="C11140" s="2">
        <v>1246.633</v>
      </c>
      <c r="D11140" s="2">
        <f>HYPERLINK("http://mcb-m6.bioreg.kyushu-u.ac.jp/M3/20110404/F50773/1340/1", 60.53)</f>
        <v>60.53</v>
      </c>
      <c r="E11140" s="2">
        <v>31.37</v>
      </c>
      <c r="F11140" s="2">
        <v>1</v>
      </c>
      <c r="G11140" s="2" t="s">
        <v>10</v>
      </c>
    </row>
    <row r="11141" spans="1:9" x14ac:dyDescent="0.2">
      <c r="A11141" s="2" t="s">
        <v>7652</v>
      </c>
      <c r="B11141" s="2" t="s">
        <v>6408</v>
      </c>
      <c r="C11141" s="2">
        <v>911.97969999999998</v>
      </c>
      <c r="D11141" s="2">
        <f>HYPERLINK("http://mcb-m6.bioreg.kyushu-u.ac.jp/M3/20110404/F50773/2466/1", 70.66)</f>
        <v>70.66</v>
      </c>
      <c r="E11141" s="2">
        <v>52.62</v>
      </c>
      <c r="F11141" s="2">
        <v>2</v>
      </c>
      <c r="G11141" s="2" t="s">
        <v>10</v>
      </c>
    </row>
    <row r="11142" spans="1:9" x14ac:dyDescent="0.2">
      <c r="A11142" s="2" t="s">
        <v>7652</v>
      </c>
      <c r="B11142" s="2" t="s">
        <v>6662</v>
      </c>
      <c r="C11142" s="2">
        <v>1057.021</v>
      </c>
      <c r="D11142" s="2">
        <f>HYPERLINK("http://mcb-m6.bioreg.kyushu-u.ac.jp/M3/20110404/F50773/2920/1", 73.75)</f>
        <v>73.75</v>
      </c>
      <c r="E11142" s="2">
        <v>66.87</v>
      </c>
      <c r="F11142" s="2">
        <v>2</v>
      </c>
      <c r="G11142" s="2" t="s">
        <v>10</v>
      </c>
    </row>
    <row r="11143" spans="1:9" x14ac:dyDescent="0.2">
      <c r="A11143" s="2" t="s">
        <v>7652</v>
      </c>
      <c r="B11143" s="2" t="s">
        <v>6605</v>
      </c>
      <c r="C11143" s="2">
        <v>793.3732</v>
      </c>
      <c r="D11143" s="2">
        <f>HYPERLINK("http://mcb-m6.bioreg.kyushu-u.ac.jp/M3/20110404/F50772/2157/1", 80.65)</f>
        <v>80.650000000000006</v>
      </c>
      <c r="E11143" s="2">
        <v>58.18</v>
      </c>
      <c r="F11143" s="2">
        <v>2</v>
      </c>
      <c r="G11143" s="2" t="s">
        <v>10</v>
      </c>
    </row>
    <row r="11144" spans="1:9" x14ac:dyDescent="0.2">
      <c r="A11144" s="2" t="s">
        <v>7652</v>
      </c>
      <c r="B11144" s="2" t="s">
        <v>6662</v>
      </c>
      <c r="C11144" s="2">
        <v>1057.5609999999999</v>
      </c>
      <c r="D11144" s="2">
        <f>HYPERLINK("http://mcb-m6.bioreg.kyushu-u.ac.jp/M3/20110404/F50773/2922/1", 129.84)</f>
        <v>129.84</v>
      </c>
      <c r="E11144" s="2">
        <v>114.74</v>
      </c>
      <c r="F11144" s="2">
        <v>2</v>
      </c>
      <c r="G11144" s="2" t="s">
        <v>10</v>
      </c>
    </row>
    <row r="11145" spans="1:9" x14ac:dyDescent="0.2">
      <c r="A11145" s="2" t="s">
        <v>7652</v>
      </c>
      <c r="B11145" s="2" t="s">
        <v>7400</v>
      </c>
      <c r="C11145" s="2">
        <v>632.04669999999999</v>
      </c>
      <c r="D11145" s="2">
        <f>HYPERLINK("http://mcb-m6.bioreg.kyushu-u.ac.jp/M3/20110427/F51117/1500/1", 58.09)</f>
        <v>58.09</v>
      </c>
      <c r="E11145" s="2">
        <v>36.04</v>
      </c>
      <c r="F11145" s="2">
        <v>2</v>
      </c>
      <c r="G11145" s="2" t="s">
        <v>13</v>
      </c>
      <c r="I11145" s="2" t="s">
        <v>4899</v>
      </c>
    </row>
    <row r="11146" spans="1:9" x14ac:dyDescent="0.2">
      <c r="A11146" s="2" t="s">
        <v>7652</v>
      </c>
      <c r="B11146" s="2" t="s">
        <v>6605</v>
      </c>
      <c r="C11146" s="2">
        <v>792.91970000000003</v>
      </c>
      <c r="D11146" s="2">
        <f>HYPERLINK("http://mcb-m6.bioreg.kyushu-u.ac.jp/M3/20110427/F51117/2252/1", 86.29)</f>
        <v>86.29</v>
      </c>
      <c r="E11146" s="2">
        <v>65.38</v>
      </c>
      <c r="F11146" s="2">
        <v>2</v>
      </c>
      <c r="G11146" s="2" t="s">
        <v>13</v>
      </c>
    </row>
    <row r="11147" spans="1:9" x14ac:dyDescent="0.2">
      <c r="A11147" s="2" t="s">
        <v>7652</v>
      </c>
      <c r="B11147" s="2" t="s">
        <v>7400</v>
      </c>
      <c r="C11147" s="2">
        <v>631.93960000000004</v>
      </c>
      <c r="D11147" s="2">
        <f>HYPERLINK("http://mcb-m6.bioreg.kyushu-u.ac.jp/M3/20110428/F51126/1662/1", 37.88)</f>
        <v>37.880000000000003</v>
      </c>
      <c r="E11147" s="2">
        <v>19.32</v>
      </c>
      <c r="F11147" s="2">
        <v>2</v>
      </c>
      <c r="G11147" s="2" t="s">
        <v>14</v>
      </c>
      <c r="I11147" s="2" t="s">
        <v>4899</v>
      </c>
    </row>
    <row r="11148" spans="1:9" x14ac:dyDescent="0.2">
      <c r="A11148" s="2" t="s">
        <v>7652</v>
      </c>
      <c r="B11148" s="2" t="s">
        <v>6605</v>
      </c>
      <c r="C11148" s="2">
        <v>793.16819999999996</v>
      </c>
      <c r="D11148" s="2">
        <f>HYPERLINK("http://mcb-m6.bioreg.kyushu-u.ac.jp/M3/20110427/F51125/2325/1", 47.09)</f>
        <v>47.09</v>
      </c>
      <c r="E11148" s="2">
        <v>26.42</v>
      </c>
      <c r="F11148" s="2">
        <v>2</v>
      </c>
      <c r="G11148" s="2" t="s">
        <v>14</v>
      </c>
    </row>
    <row r="11149" spans="1:9" x14ac:dyDescent="0.2">
      <c r="A11149" s="2" t="s">
        <v>7700</v>
      </c>
      <c r="B11149" s="2" t="s">
        <v>6365</v>
      </c>
      <c r="C11149" s="2">
        <v>580.17970000000003</v>
      </c>
      <c r="D11149" s="2">
        <f>HYPERLINK("http://mcb-m6.bioreg.kyushu-u.ac.jp/M3/20110404/F50767/995/1", 56.67)</f>
        <v>56.67</v>
      </c>
      <c r="E11149" s="2">
        <v>33.299999999999997</v>
      </c>
      <c r="F11149" s="2">
        <v>2</v>
      </c>
      <c r="G11149" s="2" t="s">
        <v>9</v>
      </c>
    </row>
    <row r="11150" spans="1:9" x14ac:dyDescent="0.2">
      <c r="A11150" s="2" t="s">
        <v>7700</v>
      </c>
      <c r="B11150" s="2" t="s">
        <v>6365</v>
      </c>
      <c r="C11150" s="2">
        <v>579.78520000000003</v>
      </c>
      <c r="D11150" s="2">
        <f>HYPERLINK("http://mcb-m6.bioreg.kyushu-u.ac.jp/M3/20110404/F50773/1184/1", 62.87)</f>
        <v>62.87</v>
      </c>
      <c r="E11150" s="2">
        <v>37.04</v>
      </c>
      <c r="F11150" s="2">
        <v>2</v>
      </c>
      <c r="G11150" s="2" t="s">
        <v>10</v>
      </c>
    </row>
    <row r="11151" spans="1:9" x14ac:dyDescent="0.2">
      <c r="A11151" s="2" t="s">
        <v>7700</v>
      </c>
      <c r="B11151" s="2" t="s">
        <v>7358</v>
      </c>
      <c r="C11151" s="2">
        <v>848.42049999999995</v>
      </c>
      <c r="D11151" s="2">
        <f>HYPERLINK("http://mcb-m6.bioreg.kyushu-u.ac.jp/M3/20110427/F51117/3574/1", 46.3)</f>
        <v>46.3</v>
      </c>
      <c r="E11151" s="2">
        <v>31.73</v>
      </c>
      <c r="F11151" s="2">
        <v>3</v>
      </c>
      <c r="G11151" s="2" t="s">
        <v>13</v>
      </c>
    </row>
    <row r="11152" spans="1:9" x14ac:dyDescent="0.2">
      <c r="A11152" s="2" t="s">
        <v>7700</v>
      </c>
      <c r="B11152" s="2" t="s">
        <v>6365</v>
      </c>
      <c r="C11152" s="2">
        <v>580.12620000000004</v>
      </c>
      <c r="D11152" s="2">
        <f>HYPERLINK("http://mcb-m6.bioreg.kyushu-u.ac.jp/M3/20110427/F51117/1306/1", 47)</f>
        <v>47</v>
      </c>
      <c r="E11152" s="2">
        <v>26.49</v>
      </c>
      <c r="F11152" s="2">
        <v>2</v>
      </c>
      <c r="G11152" s="2" t="s">
        <v>13</v>
      </c>
    </row>
    <row r="11153" spans="1:8" x14ac:dyDescent="0.2">
      <c r="A11153" s="2" t="s">
        <v>7700</v>
      </c>
      <c r="B11153" s="2" t="s">
        <v>6365</v>
      </c>
      <c r="C11153" s="2">
        <v>579.61270000000002</v>
      </c>
      <c r="D11153" s="2">
        <f>HYPERLINK("http://mcb-m6.bioreg.kyushu-u.ac.jp/M3/20110427/F51117/1301/1", 63.34)</f>
        <v>63.34</v>
      </c>
      <c r="E11153" s="2">
        <v>41.82</v>
      </c>
      <c r="F11153" s="2">
        <v>2</v>
      </c>
      <c r="G11153" s="2" t="s">
        <v>13</v>
      </c>
    </row>
    <row r="11154" spans="1:8" x14ac:dyDescent="0.2">
      <c r="A11154" s="2" t="s">
        <v>7700</v>
      </c>
      <c r="B11154" s="2" t="s">
        <v>6365</v>
      </c>
      <c r="C11154" s="2">
        <v>579.98419999999999</v>
      </c>
      <c r="D11154" s="2">
        <f>HYPERLINK("http://mcb-m6.bioreg.kyushu-u.ac.jp/M3/20110428/F51126/1461/1", 57.12)</f>
        <v>57.12</v>
      </c>
      <c r="E11154" s="2">
        <v>23.28</v>
      </c>
      <c r="F11154" s="2">
        <v>2</v>
      </c>
      <c r="G11154" s="2" t="s">
        <v>14</v>
      </c>
    </row>
    <row r="11155" spans="1:8" x14ac:dyDescent="0.2">
      <c r="A11155" s="2" t="s">
        <v>7866</v>
      </c>
      <c r="B11155" s="2" t="s">
        <v>6861</v>
      </c>
      <c r="C11155" s="2">
        <v>716.95619999999997</v>
      </c>
      <c r="D11155" s="2">
        <f>HYPERLINK("http://mcb-m6.bioreg.kyushu-u.ac.jp/M3/20110404/F50773/1752/1", 50.7)</f>
        <v>50.7</v>
      </c>
      <c r="E11155" s="2">
        <v>32.81</v>
      </c>
      <c r="F11155" s="2">
        <v>2</v>
      </c>
      <c r="G11155" s="2" t="s">
        <v>10</v>
      </c>
    </row>
    <row r="11156" spans="1:8" x14ac:dyDescent="0.2">
      <c r="A11156" s="2" t="s">
        <v>3468</v>
      </c>
      <c r="B11156" s="2" t="s">
        <v>280</v>
      </c>
      <c r="C11156" s="2">
        <v>851.476</v>
      </c>
      <c r="D11156" s="2">
        <f>HYPERLINK("http://mcb-m6.bioreg.kyushu-u.ac.jp/M3/20110404/F50778/598/2", 41.25)</f>
        <v>41.25</v>
      </c>
      <c r="E11156" s="2">
        <v>23.01</v>
      </c>
      <c r="F11156" s="2">
        <v>1</v>
      </c>
      <c r="G11156" s="2" t="s">
        <v>9</v>
      </c>
      <c r="H11156" s="2" t="s">
        <v>4901</v>
      </c>
    </row>
    <row r="11157" spans="1:8" x14ac:dyDescent="0.2">
      <c r="A11157" s="2" t="s">
        <v>3468</v>
      </c>
      <c r="B11157" s="2" t="s">
        <v>280</v>
      </c>
      <c r="C11157" s="2">
        <v>850.51199999999994</v>
      </c>
      <c r="D11157" s="2">
        <f>HYPERLINK("http://mcb-m6.bioreg.kyushu-u.ac.jp/M3/20110404/F50778/597/2", 51.21)</f>
        <v>51.21</v>
      </c>
      <c r="E11157" s="2">
        <v>24.27</v>
      </c>
      <c r="F11157" s="2">
        <v>1</v>
      </c>
      <c r="G11157" s="2" t="s">
        <v>9</v>
      </c>
      <c r="H11157" s="2" t="s">
        <v>4901</v>
      </c>
    </row>
    <row r="11158" spans="1:8" x14ac:dyDescent="0.2">
      <c r="A11158" s="2" t="s">
        <v>3468</v>
      </c>
      <c r="B11158" s="2" t="s">
        <v>280</v>
      </c>
      <c r="C11158" s="2">
        <v>850.48900000000003</v>
      </c>
      <c r="D11158" s="2">
        <f>HYPERLINK("http://mcb-m6.bioreg.kyushu-u.ac.jp/M3/20110404/F50775/774/2", 51.08)</f>
        <v>51.08</v>
      </c>
      <c r="E11158" s="2">
        <v>28.61</v>
      </c>
      <c r="F11158" s="2">
        <v>1</v>
      </c>
      <c r="G11158" s="2" t="s">
        <v>10</v>
      </c>
      <c r="H11158" s="2" t="s">
        <v>4901</v>
      </c>
    </row>
    <row r="11159" spans="1:8" x14ac:dyDescent="0.2">
      <c r="A11159" s="2" t="s">
        <v>3522</v>
      </c>
      <c r="B11159" s="2" t="s">
        <v>479</v>
      </c>
      <c r="C11159" s="2">
        <v>780.73419999999999</v>
      </c>
      <c r="D11159" s="2">
        <f>HYPERLINK("http://mcb-m6.bioreg.kyushu-u.ac.jp/M3/20110404/F50762/1958/1", 37.6)</f>
        <v>37.6</v>
      </c>
      <c r="E11159" s="2">
        <v>22.24</v>
      </c>
      <c r="F11159" s="2">
        <v>2</v>
      </c>
      <c r="G11159" s="2" t="s">
        <v>9</v>
      </c>
    </row>
    <row r="11160" spans="1:8" x14ac:dyDescent="0.2">
      <c r="A11160" s="2" t="s">
        <v>3522</v>
      </c>
      <c r="B11160" s="2" t="s">
        <v>2036</v>
      </c>
      <c r="C11160" s="2">
        <v>736.35310000000004</v>
      </c>
      <c r="D11160" s="2">
        <f>HYPERLINK("http://mcb-m6.bioreg.kyushu-u.ac.jp/M3/20110404/F50764/1868/1", 45.65)</f>
        <v>45.65</v>
      </c>
      <c r="E11160" s="2">
        <v>27.08</v>
      </c>
      <c r="F11160" s="2">
        <v>2</v>
      </c>
      <c r="G11160" s="2" t="s">
        <v>9</v>
      </c>
    </row>
    <row r="11161" spans="1:8" x14ac:dyDescent="0.2">
      <c r="A11161" s="2" t="s">
        <v>3522</v>
      </c>
      <c r="B11161" s="2" t="s">
        <v>946</v>
      </c>
      <c r="C11161" s="2">
        <v>458.7276</v>
      </c>
      <c r="D11161" s="2">
        <f>HYPERLINK("http://mcb-m6.bioreg.kyushu-u.ac.jp/M3/20110404/F50763/908/1", 48.48)</f>
        <v>48.48</v>
      </c>
      <c r="E11161" s="2">
        <v>12.73</v>
      </c>
      <c r="F11161" s="2">
        <v>2</v>
      </c>
      <c r="G11161" s="2" t="s">
        <v>9</v>
      </c>
    </row>
    <row r="11162" spans="1:8" x14ac:dyDescent="0.2">
      <c r="A11162" s="2" t="s">
        <v>3522</v>
      </c>
      <c r="B11162" s="2" t="s">
        <v>2036</v>
      </c>
      <c r="C11162" s="2">
        <v>736.5607</v>
      </c>
      <c r="D11162" s="2">
        <f>HYPERLINK("http://mcb-m6.bioreg.kyushu-u.ac.jp/M3/20110404/F50756/1949/1", 63.83)</f>
        <v>63.83</v>
      </c>
      <c r="E11162" s="2">
        <v>45.93</v>
      </c>
      <c r="F11162" s="2">
        <v>2</v>
      </c>
      <c r="G11162" s="2" t="s">
        <v>9</v>
      </c>
    </row>
    <row r="11163" spans="1:8" x14ac:dyDescent="0.2">
      <c r="A11163" s="2" t="s">
        <v>3522</v>
      </c>
      <c r="B11163" s="2" t="s">
        <v>1199</v>
      </c>
      <c r="C11163" s="2">
        <v>711.65120000000002</v>
      </c>
      <c r="D11163" s="2">
        <f>HYPERLINK("http://mcb-m6.bioreg.kyushu-u.ac.jp/M3/20110404/F50754/2005/1", 65.25)</f>
        <v>65.25</v>
      </c>
      <c r="E11163" s="2">
        <v>51.53</v>
      </c>
      <c r="F11163" s="2">
        <v>2</v>
      </c>
      <c r="G11163" s="2" t="s">
        <v>9</v>
      </c>
    </row>
    <row r="11164" spans="1:8" x14ac:dyDescent="0.2">
      <c r="A11164" s="2" t="s">
        <v>3522</v>
      </c>
      <c r="B11164" s="2" t="s">
        <v>479</v>
      </c>
      <c r="C11164" s="2">
        <v>780.85569999999996</v>
      </c>
      <c r="D11164" s="2">
        <f>HYPERLINK("http://mcb-m6.bioreg.kyushu-u.ac.jp/M3/20110404/F50763/2088/1", 66.56)</f>
        <v>66.56</v>
      </c>
      <c r="E11164" s="2">
        <v>53.21</v>
      </c>
      <c r="F11164" s="2">
        <v>2</v>
      </c>
      <c r="G11164" s="2" t="s">
        <v>9</v>
      </c>
    </row>
    <row r="11165" spans="1:8" x14ac:dyDescent="0.2">
      <c r="A11165" s="2" t="s">
        <v>3522</v>
      </c>
      <c r="B11165" s="2" t="s">
        <v>2036</v>
      </c>
      <c r="C11165" s="2">
        <v>736.74770000000001</v>
      </c>
      <c r="D11165" s="2">
        <f>HYPERLINK("http://mcb-m6.bioreg.kyushu-u.ac.jp/M3/20110404/F50762/1793/1", 76.93)</f>
        <v>76.930000000000007</v>
      </c>
      <c r="E11165" s="2">
        <v>52.26</v>
      </c>
      <c r="F11165" s="2">
        <v>2</v>
      </c>
      <c r="G11165" s="2" t="s">
        <v>9</v>
      </c>
    </row>
    <row r="11166" spans="1:8" x14ac:dyDescent="0.2">
      <c r="A11166" s="2" t="s">
        <v>3522</v>
      </c>
      <c r="B11166" s="2" t="s">
        <v>479</v>
      </c>
      <c r="C11166" s="2">
        <v>780.76070000000004</v>
      </c>
      <c r="D11166" s="2">
        <f>HYPERLINK("http://mcb-m6.bioreg.kyushu-u.ac.jp/M3/20110404/F50756/2165/1", 77.18)</f>
        <v>77.180000000000007</v>
      </c>
      <c r="E11166" s="2">
        <v>52.02</v>
      </c>
      <c r="F11166" s="2">
        <v>2</v>
      </c>
      <c r="G11166" s="2" t="s">
        <v>9</v>
      </c>
    </row>
    <row r="11167" spans="1:8" x14ac:dyDescent="0.2">
      <c r="A11167" s="2" t="s">
        <v>3522</v>
      </c>
      <c r="B11167" s="2" t="s">
        <v>1199</v>
      </c>
      <c r="C11167" s="2">
        <v>712.19960000000003</v>
      </c>
      <c r="D11167" s="2">
        <f>HYPERLINK("http://mcb-m6.bioreg.kyushu-u.ac.jp/M3/20110404/F50756/1810/1", 79.33)</f>
        <v>79.33</v>
      </c>
      <c r="E11167" s="2">
        <v>59.87</v>
      </c>
      <c r="F11167" s="2">
        <v>2</v>
      </c>
      <c r="G11167" s="2" t="s">
        <v>9</v>
      </c>
    </row>
    <row r="11168" spans="1:8" x14ac:dyDescent="0.2">
      <c r="A11168" s="2" t="s">
        <v>3522</v>
      </c>
      <c r="B11168" s="2" t="s">
        <v>1199</v>
      </c>
      <c r="C11168" s="2">
        <v>712.31820000000005</v>
      </c>
      <c r="D11168" s="2">
        <f>HYPERLINK("http://mcb-m6.bioreg.kyushu-u.ac.jp/M3/20110404/F50762/1708/1", 91.5)</f>
        <v>91.5</v>
      </c>
      <c r="E11168" s="2">
        <v>70.37</v>
      </c>
      <c r="F11168" s="2">
        <v>2</v>
      </c>
      <c r="G11168" s="2" t="s">
        <v>9</v>
      </c>
    </row>
    <row r="11169" spans="1:8" x14ac:dyDescent="0.2">
      <c r="A11169" s="2" t="s">
        <v>3522</v>
      </c>
      <c r="B11169" s="2" t="s">
        <v>958</v>
      </c>
      <c r="C11169" s="2">
        <v>780.79610000000002</v>
      </c>
      <c r="D11169" s="2">
        <f>HYPERLINK("http://mcb-m6.bioreg.kyushu-u.ac.jp/M3/20110404/F50762/1961/1", 94.54)</f>
        <v>94.54</v>
      </c>
      <c r="E11169" s="2">
        <v>75.569999999999993</v>
      </c>
      <c r="F11169" s="2">
        <v>2</v>
      </c>
      <c r="G11169" s="2" t="s">
        <v>9</v>
      </c>
    </row>
    <row r="11170" spans="1:8" x14ac:dyDescent="0.2">
      <c r="A11170" s="2" t="s">
        <v>3522</v>
      </c>
      <c r="B11170" s="2" t="s">
        <v>1199</v>
      </c>
      <c r="C11170" s="2">
        <v>711.82420000000002</v>
      </c>
      <c r="D11170" s="2">
        <f>HYPERLINK("http://mcb-m6.bioreg.kyushu-u.ac.jp/M3/20110404/F50763/1823/1", 96.36)</f>
        <v>96.36</v>
      </c>
      <c r="E11170" s="2">
        <v>74.95</v>
      </c>
      <c r="F11170" s="2">
        <v>2</v>
      </c>
      <c r="G11170" s="2" t="s">
        <v>9</v>
      </c>
    </row>
    <row r="11171" spans="1:8" x14ac:dyDescent="0.2">
      <c r="A11171" s="2" t="s">
        <v>3522</v>
      </c>
      <c r="B11171" s="2" t="s">
        <v>1199</v>
      </c>
      <c r="C11171" s="2">
        <v>1422.654</v>
      </c>
      <c r="D11171" s="2">
        <f>HYPERLINK("http://mcb-m6.bioreg.kyushu-u.ac.jp/M3/20110404/F50768/1783/1", 59.32)</f>
        <v>59.32</v>
      </c>
      <c r="E11171" s="2">
        <v>42.7</v>
      </c>
      <c r="F11171" s="2">
        <v>1</v>
      </c>
      <c r="G11171" s="2" t="s">
        <v>10</v>
      </c>
    </row>
    <row r="11172" spans="1:8" x14ac:dyDescent="0.2">
      <c r="A11172" s="2" t="s">
        <v>3522</v>
      </c>
      <c r="B11172" s="2" t="s">
        <v>479</v>
      </c>
      <c r="C11172" s="2">
        <v>781.42769999999996</v>
      </c>
      <c r="D11172" s="2">
        <f>HYPERLINK("http://mcb-m6.bioreg.kyushu-u.ac.jp/M3/20110404/F50770/2065/1", 73.09)</f>
        <v>73.09</v>
      </c>
      <c r="E11172" s="2">
        <v>54.24</v>
      </c>
      <c r="F11172" s="2">
        <v>2</v>
      </c>
      <c r="G11172" s="2" t="s">
        <v>10</v>
      </c>
    </row>
    <row r="11173" spans="1:8" x14ac:dyDescent="0.2">
      <c r="A11173" s="2" t="s">
        <v>3522</v>
      </c>
      <c r="B11173" s="2" t="s">
        <v>2036</v>
      </c>
      <c r="C11173" s="2">
        <v>736.84370000000001</v>
      </c>
      <c r="D11173" s="2">
        <f>HYPERLINK("http://mcb-m6.bioreg.kyushu-u.ac.jp/M3/20110404/F50768/1878/1", 83.19)</f>
        <v>83.19</v>
      </c>
      <c r="E11173" s="2">
        <v>48.58</v>
      </c>
      <c r="F11173" s="2">
        <v>2</v>
      </c>
      <c r="G11173" s="2" t="s">
        <v>10</v>
      </c>
    </row>
    <row r="11174" spans="1:8" x14ac:dyDescent="0.2">
      <c r="A11174" s="2" t="s">
        <v>3522</v>
      </c>
      <c r="B11174" s="2" t="s">
        <v>1199</v>
      </c>
      <c r="C11174" s="2">
        <v>712.2817</v>
      </c>
      <c r="D11174" s="2">
        <f>HYPERLINK("http://mcb-m6.bioreg.kyushu-u.ac.jp/M3/20110404/F50769/1878/1", 87.13)</f>
        <v>87.13</v>
      </c>
      <c r="E11174" s="2">
        <v>64.14</v>
      </c>
      <c r="F11174" s="2">
        <v>2</v>
      </c>
      <c r="G11174" s="2" t="s">
        <v>10</v>
      </c>
    </row>
    <row r="11175" spans="1:8" x14ac:dyDescent="0.2">
      <c r="A11175" s="2" t="s">
        <v>3522</v>
      </c>
      <c r="B11175" s="2" t="s">
        <v>958</v>
      </c>
      <c r="C11175" s="2">
        <v>780.79769999999996</v>
      </c>
      <c r="D11175" s="2">
        <f>HYPERLINK("http://mcb-m6.bioreg.kyushu-u.ac.jp/M3/20110404/F50768/2050/1", 90.51)</f>
        <v>90.51</v>
      </c>
      <c r="E11175" s="2">
        <v>62.96</v>
      </c>
      <c r="F11175" s="2">
        <v>2</v>
      </c>
      <c r="G11175" s="2" t="s">
        <v>10</v>
      </c>
    </row>
    <row r="11176" spans="1:8" x14ac:dyDescent="0.2">
      <c r="A11176" s="2" t="s">
        <v>3522</v>
      </c>
      <c r="B11176" s="2" t="s">
        <v>2036</v>
      </c>
      <c r="C11176" s="2">
        <v>736.36410000000001</v>
      </c>
      <c r="D11176" s="2">
        <f>HYPERLINK("http://mcb-m6.bioreg.kyushu-u.ac.jp/M3/20110404/F50769/1974/1", 95.45)</f>
        <v>95.45</v>
      </c>
      <c r="E11176" s="2">
        <v>64.290000000000006</v>
      </c>
      <c r="F11176" s="2">
        <v>2</v>
      </c>
      <c r="G11176" s="2" t="s">
        <v>10</v>
      </c>
    </row>
    <row r="11177" spans="1:8" x14ac:dyDescent="0.2">
      <c r="A11177" s="2" t="s">
        <v>3522</v>
      </c>
      <c r="B11177" s="2" t="s">
        <v>2036</v>
      </c>
      <c r="C11177" s="2">
        <v>736.34220000000005</v>
      </c>
      <c r="D11177" s="2">
        <f>HYPERLINK("http://mcb-m6.bioreg.kyushu-u.ac.jp/M3/20110404/F50768/1876/1", 95.9)</f>
        <v>95.9</v>
      </c>
      <c r="E11177" s="2">
        <v>64.569999999999993</v>
      </c>
      <c r="F11177" s="2">
        <v>2</v>
      </c>
      <c r="G11177" s="2" t="s">
        <v>10</v>
      </c>
    </row>
    <row r="11178" spans="1:8" x14ac:dyDescent="0.2">
      <c r="A11178" s="2" t="s">
        <v>3522</v>
      </c>
      <c r="B11178" s="2" t="s">
        <v>1199</v>
      </c>
      <c r="C11178" s="2">
        <v>711.83619999999996</v>
      </c>
      <c r="D11178" s="2">
        <f>HYPERLINK("http://mcb-m6.bioreg.kyushu-u.ac.jp/M3/20110404/F50761/1723/1", 97.14)</f>
        <v>97.14</v>
      </c>
      <c r="E11178" s="2">
        <v>72.34</v>
      </c>
      <c r="F11178" s="2">
        <v>2</v>
      </c>
      <c r="G11178" s="2" t="s">
        <v>10</v>
      </c>
    </row>
    <row r="11179" spans="1:8" x14ac:dyDescent="0.2">
      <c r="A11179" s="2" t="s">
        <v>3522</v>
      </c>
      <c r="B11179" s="2" t="s">
        <v>1199</v>
      </c>
      <c r="C11179" s="2">
        <v>711.79970000000003</v>
      </c>
      <c r="D11179" s="2">
        <f>HYPERLINK("http://mcb-m6.bioreg.kyushu-u.ac.jp/M3/20110404/F50768/1782/1", 105.71)</f>
        <v>105.71</v>
      </c>
      <c r="E11179" s="2">
        <v>72.64</v>
      </c>
      <c r="F11179" s="2">
        <v>2</v>
      </c>
      <c r="G11179" s="2" t="s">
        <v>10</v>
      </c>
    </row>
    <row r="11180" spans="1:8" x14ac:dyDescent="0.2">
      <c r="A11180" s="2" t="s">
        <v>3522</v>
      </c>
      <c r="B11180" s="2" t="s">
        <v>852</v>
      </c>
      <c r="C11180" s="2">
        <v>554.17769999999996</v>
      </c>
      <c r="D11180" s="2">
        <f>HYPERLINK("http://mcb-m6.bioreg.kyushu-u.ac.jp/M3/20110421/F51034/1149/1", 35.72)</f>
        <v>35.72</v>
      </c>
      <c r="E11180" s="2">
        <v>10.5</v>
      </c>
      <c r="F11180" s="2">
        <v>2</v>
      </c>
      <c r="G11180" s="2" t="s">
        <v>11</v>
      </c>
      <c r="H11180" s="2" t="s">
        <v>4908</v>
      </c>
    </row>
    <row r="11181" spans="1:8" x14ac:dyDescent="0.2">
      <c r="A11181" s="2" t="s">
        <v>3522</v>
      </c>
      <c r="B11181" s="2" t="s">
        <v>1419</v>
      </c>
      <c r="C11181" s="2">
        <v>552.29269999999997</v>
      </c>
      <c r="D11181" s="2">
        <f>HYPERLINK("http://mcb-m6.bioreg.kyushu-u.ac.jp/M3/20110421/F51034/1143/1", 37.6)</f>
        <v>37.6</v>
      </c>
      <c r="E11181" s="2">
        <v>12.37</v>
      </c>
      <c r="F11181" s="2">
        <v>2</v>
      </c>
      <c r="G11181" s="2" t="s">
        <v>11</v>
      </c>
    </row>
    <row r="11182" spans="1:8" x14ac:dyDescent="0.2">
      <c r="A11182" s="2" t="s">
        <v>3522</v>
      </c>
      <c r="B11182" s="2" t="s">
        <v>1199</v>
      </c>
      <c r="C11182" s="2">
        <v>712.33669999999995</v>
      </c>
      <c r="D11182" s="2">
        <f>HYPERLINK("http://mcb-m6.bioreg.kyushu-u.ac.jp/M3/20110421/F51037/1831/1", 79.01)</f>
        <v>79.010000000000005</v>
      </c>
      <c r="E11182" s="2">
        <v>56.87</v>
      </c>
      <c r="F11182" s="2">
        <v>2</v>
      </c>
      <c r="G11182" s="2" t="s">
        <v>11</v>
      </c>
    </row>
    <row r="11183" spans="1:8" x14ac:dyDescent="0.2">
      <c r="A11183" s="2" t="s">
        <v>3522</v>
      </c>
      <c r="B11183" s="2" t="s">
        <v>2036</v>
      </c>
      <c r="C11183" s="2">
        <v>736.55020000000002</v>
      </c>
      <c r="D11183" s="2">
        <f>HYPERLINK("http://mcb-m6.bioreg.kyushu-u.ac.jp/M3/20110421/F51035/1964/1", 79.26)</f>
        <v>79.260000000000005</v>
      </c>
      <c r="E11183" s="2">
        <v>52.22</v>
      </c>
      <c r="F11183" s="2">
        <v>2</v>
      </c>
      <c r="G11183" s="2" t="s">
        <v>11</v>
      </c>
    </row>
    <row r="11184" spans="1:8" x14ac:dyDescent="0.2">
      <c r="A11184" s="2" t="s">
        <v>3522</v>
      </c>
      <c r="B11184" s="2" t="s">
        <v>1199</v>
      </c>
      <c r="C11184" s="2">
        <v>711.75419999999997</v>
      </c>
      <c r="D11184" s="2">
        <f>HYPERLINK("http://mcb-m6.bioreg.kyushu-u.ac.jp/M3/20110421/F51034/1873/1", 92.25)</f>
        <v>92.25</v>
      </c>
      <c r="E11184" s="2">
        <v>71.61</v>
      </c>
      <c r="F11184" s="2">
        <v>2</v>
      </c>
      <c r="G11184" s="2" t="s">
        <v>11</v>
      </c>
    </row>
    <row r="11185" spans="1:8" x14ac:dyDescent="0.2">
      <c r="A11185" s="2" t="s">
        <v>3522</v>
      </c>
      <c r="B11185" s="2" t="s">
        <v>1199</v>
      </c>
      <c r="C11185" s="2">
        <v>712.33069999999998</v>
      </c>
      <c r="D11185" s="2">
        <f>HYPERLINK("http://mcb-m6.bioreg.kyushu-u.ac.jp/M3/20110421/F51035/1820/1", 92.81)</f>
        <v>92.81</v>
      </c>
      <c r="E11185" s="2">
        <v>65.11</v>
      </c>
      <c r="F11185" s="2">
        <v>2</v>
      </c>
      <c r="G11185" s="2" t="s">
        <v>11</v>
      </c>
    </row>
    <row r="11186" spans="1:8" x14ac:dyDescent="0.2">
      <c r="A11186" s="2" t="s">
        <v>3522</v>
      </c>
      <c r="B11186" s="2" t="s">
        <v>479</v>
      </c>
      <c r="C11186" s="2">
        <v>780.88210000000004</v>
      </c>
      <c r="D11186" s="2">
        <f>HYPERLINK("http://mcb-m6.bioreg.kyushu-u.ac.jp/M3/20110421/F51035/2185/1", 93.69)</f>
        <v>93.69</v>
      </c>
      <c r="E11186" s="2">
        <v>73.45</v>
      </c>
      <c r="F11186" s="2">
        <v>2</v>
      </c>
      <c r="G11186" s="2" t="s">
        <v>11</v>
      </c>
    </row>
    <row r="11187" spans="1:8" x14ac:dyDescent="0.2">
      <c r="A11187" s="2" t="s">
        <v>3522</v>
      </c>
      <c r="B11187" s="2" t="s">
        <v>2036</v>
      </c>
      <c r="C11187" s="2">
        <v>736.45569999999998</v>
      </c>
      <c r="D11187" s="2">
        <f>HYPERLINK("http://mcb-m6.bioreg.kyushu-u.ac.jp/M3/20110421/F51037/1974/1", 96.93)</f>
        <v>96.93</v>
      </c>
      <c r="E11187" s="2">
        <v>68.37</v>
      </c>
      <c r="F11187" s="2">
        <v>2</v>
      </c>
      <c r="G11187" s="2" t="s">
        <v>11</v>
      </c>
    </row>
    <row r="11188" spans="1:8" x14ac:dyDescent="0.2">
      <c r="A11188" s="2" t="s">
        <v>3522</v>
      </c>
      <c r="B11188" s="2" t="s">
        <v>479</v>
      </c>
      <c r="C11188" s="2">
        <v>781.38459999999998</v>
      </c>
      <c r="D11188" s="2">
        <f>HYPERLINK("http://mcb-m6.bioreg.kyushu-u.ac.jp/M3/20110421/F51035/2191/1", 100.76)</f>
        <v>100.76</v>
      </c>
      <c r="E11188" s="2">
        <v>75.08</v>
      </c>
      <c r="F11188" s="2">
        <v>2</v>
      </c>
      <c r="G11188" s="2" t="s">
        <v>11</v>
      </c>
    </row>
    <row r="11189" spans="1:8" x14ac:dyDescent="0.2">
      <c r="A11189" s="2" t="s">
        <v>3522</v>
      </c>
      <c r="B11189" s="2" t="s">
        <v>3197</v>
      </c>
      <c r="C11189" s="2">
        <v>661.19460000000004</v>
      </c>
      <c r="D11189" s="2">
        <f>HYPERLINK("http://mcb-m6.bioreg.kyushu-u.ac.jp/M3/20110421/F51045/1788/1", 41.4)</f>
        <v>41.4</v>
      </c>
      <c r="E11189" s="2">
        <v>25.12</v>
      </c>
      <c r="F11189" s="2">
        <v>2</v>
      </c>
      <c r="G11189" s="2" t="s">
        <v>12</v>
      </c>
    </row>
    <row r="11190" spans="1:8" x14ac:dyDescent="0.2">
      <c r="A11190" s="2" t="s">
        <v>3522</v>
      </c>
      <c r="B11190" s="2" t="s">
        <v>3197</v>
      </c>
      <c r="C11190" s="2">
        <v>661.36220000000003</v>
      </c>
      <c r="D11190" s="2">
        <f>HYPERLINK("http://mcb-m6.bioreg.kyushu-u.ac.jp/M3/20110421/F51044/1546/1", 43.22)</f>
        <v>43.22</v>
      </c>
      <c r="E11190" s="2">
        <v>8.14</v>
      </c>
      <c r="F11190" s="2">
        <v>2</v>
      </c>
      <c r="G11190" s="2" t="s">
        <v>12</v>
      </c>
    </row>
    <row r="11191" spans="1:8" x14ac:dyDescent="0.2">
      <c r="A11191" s="2" t="s">
        <v>3522</v>
      </c>
      <c r="B11191" s="2" t="s">
        <v>946</v>
      </c>
      <c r="C11191" s="2">
        <v>458.90410000000003</v>
      </c>
      <c r="D11191" s="2">
        <f>HYPERLINK("http://mcb-m6.bioreg.kyushu-u.ac.jp/M3/20110421/F51045/944/1", 48.82)</f>
        <v>48.82</v>
      </c>
      <c r="E11191" s="2">
        <v>6.49</v>
      </c>
      <c r="F11191" s="2">
        <v>2</v>
      </c>
      <c r="G11191" s="2" t="s">
        <v>12</v>
      </c>
    </row>
    <row r="11192" spans="1:8" x14ac:dyDescent="0.2">
      <c r="A11192" s="2" t="s">
        <v>3522</v>
      </c>
      <c r="B11192" s="2" t="s">
        <v>1199</v>
      </c>
      <c r="C11192" s="2">
        <v>712.33619999999996</v>
      </c>
      <c r="D11192" s="2">
        <f>HYPERLINK("http://mcb-m6.bioreg.kyushu-u.ac.jp/M3/20110421/F51047/1961/1", 78.24)</f>
        <v>78.239999999999995</v>
      </c>
      <c r="E11192" s="2">
        <v>44.15</v>
      </c>
      <c r="F11192" s="2">
        <v>2</v>
      </c>
      <c r="G11192" s="2" t="s">
        <v>12</v>
      </c>
    </row>
    <row r="11193" spans="1:8" x14ac:dyDescent="0.2">
      <c r="A11193" s="2" t="s">
        <v>3522</v>
      </c>
      <c r="B11193" s="2" t="s">
        <v>1199</v>
      </c>
      <c r="C11193" s="2">
        <v>712.32460000000003</v>
      </c>
      <c r="D11193" s="2">
        <f>HYPERLINK("http://mcb-m6.bioreg.kyushu-u.ac.jp/M3/20110421/F51044/1869/1", 81.64)</f>
        <v>81.64</v>
      </c>
      <c r="E11193" s="2">
        <v>45.26</v>
      </c>
      <c r="F11193" s="2">
        <v>2</v>
      </c>
      <c r="G11193" s="2" t="s">
        <v>12</v>
      </c>
    </row>
    <row r="11194" spans="1:8" x14ac:dyDescent="0.2">
      <c r="A11194" s="2" t="s">
        <v>3522</v>
      </c>
      <c r="B11194" s="2" t="s">
        <v>479</v>
      </c>
      <c r="C11194" s="2">
        <v>781.08619999999996</v>
      </c>
      <c r="D11194" s="2">
        <f>HYPERLINK("http://mcb-m6.bioreg.kyushu-u.ac.jp/M3/20110421/F51043/2271/1", 91.74)</f>
        <v>91.74</v>
      </c>
      <c r="E11194" s="2">
        <v>73.650000000000006</v>
      </c>
      <c r="F11194" s="2">
        <v>2</v>
      </c>
      <c r="G11194" s="2" t="s">
        <v>12</v>
      </c>
    </row>
    <row r="11195" spans="1:8" x14ac:dyDescent="0.2">
      <c r="A11195" s="2" t="s">
        <v>3522</v>
      </c>
      <c r="B11195" s="2" t="s">
        <v>479</v>
      </c>
      <c r="C11195" s="2">
        <v>781.04110000000003</v>
      </c>
      <c r="D11195" s="2">
        <f>HYPERLINK("http://mcb-m6.bioreg.kyushu-u.ac.jp/M3/20110421/F51044/2259/1", 101.21)</f>
        <v>101.21</v>
      </c>
      <c r="E11195" s="2">
        <v>82.17</v>
      </c>
      <c r="F11195" s="2">
        <v>2</v>
      </c>
      <c r="G11195" s="2" t="s">
        <v>12</v>
      </c>
    </row>
    <row r="11196" spans="1:8" x14ac:dyDescent="0.2">
      <c r="A11196" s="2" t="s">
        <v>3522</v>
      </c>
      <c r="B11196" s="2" t="s">
        <v>1199</v>
      </c>
      <c r="C11196" s="2">
        <v>711.84969999999998</v>
      </c>
      <c r="D11196" s="2">
        <f>HYPERLINK("http://mcb-m6.bioreg.kyushu-u.ac.jp/M3/20110421/F51045/2040/1", 101.41)</f>
        <v>101.41</v>
      </c>
      <c r="E11196" s="2">
        <v>70.489999999999995</v>
      </c>
      <c r="F11196" s="2">
        <v>2</v>
      </c>
      <c r="G11196" s="2" t="s">
        <v>12</v>
      </c>
    </row>
    <row r="11197" spans="1:8" x14ac:dyDescent="0.2">
      <c r="A11197" s="2" t="s">
        <v>3522</v>
      </c>
      <c r="B11197" s="2" t="s">
        <v>947</v>
      </c>
      <c r="C11197" s="2">
        <v>579.12519999999995</v>
      </c>
      <c r="D11197" s="2">
        <f>HYPERLINK("http://mcb-m6.bioreg.kyushu-u.ac.jp/M3/20110427/F51114/1266/1", 41.4)</f>
        <v>41.4</v>
      </c>
      <c r="E11197" s="2">
        <v>13.94</v>
      </c>
      <c r="F11197" s="2">
        <v>2</v>
      </c>
      <c r="G11197" s="2" t="s">
        <v>13</v>
      </c>
    </row>
    <row r="11198" spans="1:8" x14ac:dyDescent="0.2">
      <c r="A11198" s="2" t="s">
        <v>3522</v>
      </c>
      <c r="B11198" s="2" t="s">
        <v>479</v>
      </c>
      <c r="C11198" s="2">
        <v>780.61410000000001</v>
      </c>
      <c r="D11198" s="2">
        <f>HYPERLINK("http://mcb-m6.bioreg.kyushu-u.ac.jp/M3/20110427/F51114/2282/1", 50.36)</f>
        <v>50.36</v>
      </c>
      <c r="E11198" s="2">
        <v>34.17</v>
      </c>
      <c r="F11198" s="2">
        <v>2</v>
      </c>
      <c r="G11198" s="2" t="s">
        <v>13</v>
      </c>
    </row>
    <row r="11199" spans="1:8" x14ac:dyDescent="0.2">
      <c r="A11199" s="2" t="s">
        <v>3522</v>
      </c>
      <c r="B11199" s="2" t="s">
        <v>852</v>
      </c>
      <c r="C11199" s="2">
        <v>553.64170000000001</v>
      </c>
      <c r="D11199" s="2">
        <f>HYPERLINK("http://mcb-m6.bioreg.kyushu-u.ac.jp/M3/20110427/F51114/1175/1", 52.1)</f>
        <v>52.1</v>
      </c>
      <c r="E11199" s="2">
        <v>6.57</v>
      </c>
      <c r="F11199" s="2">
        <v>2</v>
      </c>
      <c r="G11199" s="2" t="s">
        <v>13</v>
      </c>
      <c r="H11199" s="2" t="s">
        <v>4908</v>
      </c>
    </row>
    <row r="11200" spans="1:8" x14ac:dyDescent="0.2">
      <c r="A11200" s="2" t="s">
        <v>3522</v>
      </c>
      <c r="B11200" s="2" t="s">
        <v>946</v>
      </c>
      <c r="C11200" s="2">
        <v>458.64960000000002</v>
      </c>
      <c r="D11200" s="2">
        <f>HYPERLINK("http://mcb-m6.bioreg.kyushu-u.ac.jp/M3/20110428/F51127/612/1", 56.15)</f>
        <v>56.15</v>
      </c>
      <c r="E11200" s="2">
        <v>14.99</v>
      </c>
      <c r="F11200" s="2">
        <v>2</v>
      </c>
      <c r="G11200" s="2" t="s">
        <v>13</v>
      </c>
    </row>
    <row r="11201" spans="1:7" x14ac:dyDescent="0.2">
      <c r="A11201" s="2" t="s">
        <v>3522</v>
      </c>
      <c r="B11201" s="2" t="s">
        <v>958</v>
      </c>
      <c r="C11201" s="2">
        <v>781.20510000000002</v>
      </c>
      <c r="D11201" s="2">
        <f>HYPERLINK("http://mcb-m6.bioreg.kyushu-u.ac.jp/M3/20110427/F51114/2286/1", 56.81)</f>
        <v>56.81</v>
      </c>
      <c r="E11201" s="2">
        <v>25.43</v>
      </c>
      <c r="F11201" s="2">
        <v>2</v>
      </c>
      <c r="G11201" s="2" t="s">
        <v>13</v>
      </c>
    </row>
    <row r="11202" spans="1:7" x14ac:dyDescent="0.2">
      <c r="A11202" s="2" t="s">
        <v>3522</v>
      </c>
      <c r="B11202" s="2" t="s">
        <v>2036</v>
      </c>
      <c r="C11202" s="2">
        <v>736.79610000000002</v>
      </c>
      <c r="D11202" s="2">
        <f>HYPERLINK("http://mcb-m6.bioreg.kyushu-u.ac.jp/M3/20110428/F51127/1851/1", 66.06)</f>
        <v>66.06</v>
      </c>
      <c r="E11202" s="2">
        <v>42.54</v>
      </c>
      <c r="F11202" s="2">
        <v>2</v>
      </c>
      <c r="G11202" s="2" t="s">
        <v>13</v>
      </c>
    </row>
    <row r="11203" spans="1:7" x14ac:dyDescent="0.2">
      <c r="A11203" s="2" t="s">
        <v>3522</v>
      </c>
      <c r="B11203" s="2" t="s">
        <v>1419</v>
      </c>
      <c r="C11203" s="2">
        <v>551.63819999999998</v>
      </c>
      <c r="D11203" s="2">
        <f>HYPERLINK("http://mcb-m6.bioreg.kyushu-u.ac.jp/M3/20110427/F51114/1168/1", 66.68)</f>
        <v>66.680000000000007</v>
      </c>
      <c r="E11203" s="2">
        <v>29.77</v>
      </c>
      <c r="F11203" s="2">
        <v>2</v>
      </c>
      <c r="G11203" s="2" t="s">
        <v>13</v>
      </c>
    </row>
    <row r="11204" spans="1:7" x14ac:dyDescent="0.2">
      <c r="A11204" s="2" t="s">
        <v>3522</v>
      </c>
      <c r="B11204" s="2" t="s">
        <v>479</v>
      </c>
      <c r="C11204" s="2">
        <v>781.35469999999998</v>
      </c>
      <c r="D11204" s="2">
        <f>HYPERLINK("http://mcb-m6.bioreg.kyushu-u.ac.jp/M3/20110427/F51111/2332/1", 69.49)</f>
        <v>69.489999999999995</v>
      </c>
      <c r="E11204" s="2">
        <v>53.42</v>
      </c>
      <c r="F11204" s="2">
        <v>2</v>
      </c>
      <c r="G11204" s="2" t="s">
        <v>13</v>
      </c>
    </row>
    <row r="11205" spans="1:7" x14ac:dyDescent="0.2">
      <c r="A11205" s="2" t="s">
        <v>3522</v>
      </c>
      <c r="B11205" s="2" t="s">
        <v>1199</v>
      </c>
      <c r="C11205" s="2">
        <v>712.14260000000002</v>
      </c>
      <c r="D11205" s="2">
        <f>HYPERLINK("http://mcb-m6.bioreg.kyushu-u.ac.jp/M3/20110427/F51115/1850/1", 77)</f>
        <v>77</v>
      </c>
      <c r="E11205" s="2">
        <v>54.9</v>
      </c>
      <c r="F11205" s="2">
        <v>2</v>
      </c>
      <c r="G11205" s="2" t="s">
        <v>13</v>
      </c>
    </row>
    <row r="11206" spans="1:7" x14ac:dyDescent="0.2">
      <c r="A11206" s="2" t="s">
        <v>3522</v>
      </c>
      <c r="B11206" s="2" t="s">
        <v>1500</v>
      </c>
      <c r="C11206" s="2">
        <v>847.87570000000005</v>
      </c>
      <c r="D11206" s="2">
        <f>HYPERLINK("http://mcb-m6.bioreg.kyushu-u.ac.jp/M3/20110428/F51127/2495/1", 78.61)</f>
        <v>78.61</v>
      </c>
      <c r="E11206" s="2">
        <v>62.86</v>
      </c>
      <c r="F11206" s="2">
        <v>2</v>
      </c>
      <c r="G11206" s="2" t="s">
        <v>13</v>
      </c>
    </row>
    <row r="11207" spans="1:7" x14ac:dyDescent="0.2">
      <c r="A11207" s="2" t="s">
        <v>3522</v>
      </c>
      <c r="B11207" s="2" t="s">
        <v>1591</v>
      </c>
      <c r="C11207" s="2">
        <v>945.32920000000001</v>
      </c>
      <c r="D11207" s="2">
        <f>HYPERLINK("http://mcb-m6.bioreg.kyushu-u.ac.jp/M3/20110427/F51114/3045/1", 79.06)</f>
        <v>79.06</v>
      </c>
      <c r="E11207" s="2">
        <v>67.05</v>
      </c>
      <c r="F11207" s="2">
        <v>2</v>
      </c>
      <c r="G11207" s="2" t="s">
        <v>13</v>
      </c>
    </row>
    <row r="11208" spans="1:7" x14ac:dyDescent="0.2">
      <c r="A11208" s="2" t="s">
        <v>3522</v>
      </c>
      <c r="B11208" s="2" t="s">
        <v>2036</v>
      </c>
      <c r="C11208" s="2">
        <v>736.29169999999999</v>
      </c>
      <c r="D11208" s="2">
        <f>HYPERLINK("http://mcb-m6.bioreg.kyushu-u.ac.jp/M3/20110428/F51127/1849/1", 80.65)</f>
        <v>80.650000000000006</v>
      </c>
      <c r="E11208" s="2">
        <v>54.35</v>
      </c>
      <c r="F11208" s="2">
        <v>2</v>
      </c>
      <c r="G11208" s="2" t="s">
        <v>13</v>
      </c>
    </row>
    <row r="11209" spans="1:7" x14ac:dyDescent="0.2">
      <c r="A11209" s="2" t="s">
        <v>3522</v>
      </c>
      <c r="B11209" s="2" t="s">
        <v>1199</v>
      </c>
      <c r="C11209" s="2">
        <v>712.20870000000002</v>
      </c>
      <c r="D11209" s="2">
        <f>HYPERLINK("http://mcb-m6.bioreg.kyushu-u.ac.jp/M3/20110427/F51112/1956/1", 82.61)</f>
        <v>82.61</v>
      </c>
      <c r="E11209" s="2">
        <v>58.32</v>
      </c>
      <c r="F11209" s="2">
        <v>2</v>
      </c>
      <c r="G11209" s="2" t="s">
        <v>13</v>
      </c>
    </row>
    <row r="11210" spans="1:7" x14ac:dyDescent="0.2">
      <c r="A11210" s="2" t="s">
        <v>3522</v>
      </c>
      <c r="B11210" s="2" t="s">
        <v>1199</v>
      </c>
      <c r="C11210" s="2">
        <v>711.77070000000003</v>
      </c>
      <c r="D11210" s="2">
        <f>HYPERLINK("http://mcb-m6.bioreg.kyushu-u.ac.jp/M3/20110427/F51114/1887/1", 83.36)</f>
        <v>83.36</v>
      </c>
      <c r="E11210" s="2">
        <v>63.26</v>
      </c>
      <c r="F11210" s="2">
        <v>2</v>
      </c>
      <c r="G11210" s="2" t="s">
        <v>13</v>
      </c>
    </row>
    <row r="11211" spans="1:7" x14ac:dyDescent="0.2">
      <c r="A11211" s="2" t="s">
        <v>3522</v>
      </c>
      <c r="B11211" s="2" t="s">
        <v>1591</v>
      </c>
      <c r="C11211" s="2">
        <v>944.54269999999997</v>
      </c>
      <c r="D11211" s="2">
        <f>HYPERLINK("http://mcb-m6.bioreg.kyushu-u.ac.jp/M3/20110427/F51114/3043/1", 83.41)</f>
        <v>83.41</v>
      </c>
      <c r="E11211" s="2">
        <v>75.92</v>
      </c>
      <c r="F11211" s="2">
        <v>2</v>
      </c>
      <c r="G11211" s="2" t="s">
        <v>13</v>
      </c>
    </row>
    <row r="11212" spans="1:7" x14ac:dyDescent="0.2">
      <c r="A11212" s="2" t="s">
        <v>3522</v>
      </c>
      <c r="B11212" s="2" t="s">
        <v>1500</v>
      </c>
      <c r="C11212" s="2">
        <v>847.35109999999997</v>
      </c>
      <c r="D11212" s="2">
        <f>HYPERLINK("http://mcb-m6.bioreg.kyushu-u.ac.jp/M3/20110427/F51114/2601/1", 83.63)</f>
        <v>83.63</v>
      </c>
      <c r="E11212" s="2">
        <v>68.97</v>
      </c>
      <c r="F11212" s="2">
        <v>2</v>
      </c>
      <c r="G11212" s="2" t="s">
        <v>13</v>
      </c>
    </row>
    <row r="11213" spans="1:7" x14ac:dyDescent="0.2">
      <c r="A11213" s="2" t="s">
        <v>3522</v>
      </c>
      <c r="B11213" s="2" t="s">
        <v>479</v>
      </c>
      <c r="C11213" s="2">
        <v>781.1816</v>
      </c>
      <c r="D11213" s="2">
        <f>HYPERLINK("http://mcb-m6.bioreg.kyushu-u.ac.jp/M3/20110427/F51114/2285/1", 84.64)</f>
        <v>84.64</v>
      </c>
      <c r="E11213" s="2">
        <v>66.73</v>
      </c>
      <c r="F11213" s="2">
        <v>2</v>
      </c>
      <c r="G11213" s="2" t="s">
        <v>13</v>
      </c>
    </row>
    <row r="11214" spans="1:7" x14ac:dyDescent="0.2">
      <c r="A11214" s="2" t="s">
        <v>3522</v>
      </c>
      <c r="B11214" s="2" t="s">
        <v>479</v>
      </c>
      <c r="C11214" s="2">
        <v>781.17319999999995</v>
      </c>
      <c r="D11214" s="2">
        <f>HYPERLINK("http://mcb-m6.bioreg.kyushu-u.ac.jp/M3/20110428/F51127/2123/1", 85.83)</f>
        <v>85.83</v>
      </c>
      <c r="E11214" s="2">
        <v>66.7</v>
      </c>
      <c r="F11214" s="2">
        <v>2</v>
      </c>
      <c r="G11214" s="2" t="s">
        <v>13</v>
      </c>
    </row>
    <row r="11215" spans="1:7" x14ac:dyDescent="0.2">
      <c r="A11215" s="2" t="s">
        <v>3522</v>
      </c>
      <c r="B11215" s="2" t="s">
        <v>2036</v>
      </c>
      <c r="C11215" s="2">
        <v>736.26570000000004</v>
      </c>
      <c r="D11215" s="2">
        <f>HYPERLINK("http://mcb-m6.bioreg.kyushu-u.ac.jp/M3/20110427/F51114/2024/1", 87.73)</f>
        <v>87.73</v>
      </c>
      <c r="E11215" s="2">
        <v>61.48</v>
      </c>
      <c r="F11215" s="2">
        <v>2</v>
      </c>
      <c r="G11215" s="2" t="s">
        <v>13</v>
      </c>
    </row>
    <row r="11216" spans="1:7" x14ac:dyDescent="0.2">
      <c r="A11216" s="2" t="s">
        <v>3522</v>
      </c>
      <c r="B11216" s="2" t="s">
        <v>958</v>
      </c>
      <c r="C11216" s="2">
        <v>780.68119999999999</v>
      </c>
      <c r="D11216" s="2">
        <f>HYPERLINK("http://mcb-m6.bioreg.kyushu-u.ac.jp/M3/20110428/F51128/2164/1", 38.34)</f>
        <v>38.340000000000003</v>
      </c>
      <c r="E11216" s="2">
        <v>23.01</v>
      </c>
      <c r="F11216" s="2">
        <v>2</v>
      </c>
      <c r="G11216" s="2" t="s">
        <v>14</v>
      </c>
    </row>
    <row r="11217" spans="1:9" x14ac:dyDescent="0.2">
      <c r="A11217" s="2" t="s">
        <v>3522</v>
      </c>
      <c r="B11217" s="2" t="s">
        <v>947</v>
      </c>
      <c r="C11217" s="2">
        <v>579.6191</v>
      </c>
      <c r="D11217" s="2">
        <f>HYPERLINK("http://mcb-m6.bioreg.kyushu-u.ac.jp/M3/20110428/F51128/1239/1", 52.1)</f>
        <v>52.1</v>
      </c>
      <c r="E11217" s="2">
        <v>15.79</v>
      </c>
      <c r="F11217" s="2">
        <v>2</v>
      </c>
      <c r="G11217" s="2" t="s">
        <v>14</v>
      </c>
    </row>
    <row r="11218" spans="1:9" x14ac:dyDescent="0.2">
      <c r="A11218" s="2" t="s">
        <v>3522</v>
      </c>
      <c r="B11218" s="2" t="s">
        <v>946</v>
      </c>
      <c r="C11218" s="2">
        <v>458.5831</v>
      </c>
      <c r="D11218" s="2">
        <f>HYPERLINK("http://mcb-m6.bioreg.kyushu-u.ac.jp/M3/20110428/F51128/753/1", 56.35)</f>
        <v>56.35</v>
      </c>
      <c r="E11218" s="2">
        <v>16.97</v>
      </c>
      <c r="F11218" s="2">
        <v>2</v>
      </c>
      <c r="G11218" s="2" t="s">
        <v>14</v>
      </c>
    </row>
    <row r="11219" spans="1:9" x14ac:dyDescent="0.2">
      <c r="A11219" s="2" t="s">
        <v>3522</v>
      </c>
      <c r="B11219" s="2" t="s">
        <v>3197</v>
      </c>
      <c r="C11219" s="2">
        <v>660.69269999999995</v>
      </c>
      <c r="D11219" s="2">
        <f>HYPERLINK("http://mcb-m6.bioreg.kyushu-u.ac.jp/M3/20110428/F51128/1569/1", 58.27)</f>
        <v>58.27</v>
      </c>
      <c r="E11219" s="2">
        <v>32.54</v>
      </c>
      <c r="F11219" s="2">
        <v>2</v>
      </c>
      <c r="G11219" s="2" t="s">
        <v>14</v>
      </c>
    </row>
    <row r="11220" spans="1:9" x14ac:dyDescent="0.2">
      <c r="A11220" s="2" t="s">
        <v>3522</v>
      </c>
      <c r="B11220" s="2" t="s">
        <v>1199</v>
      </c>
      <c r="C11220" s="2">
        <v>712.19870000000003</v>
      </c>
      <c r="D11220" s="2">
        <f>HYPERLINK("http://mcb-m6.bioreg.kyushu-u.ac.jp/M3/20110427/F51123/1897/1", 70.78)</f>
        <v>70.78</v>
      </c>
      <c r="E11220" s="2">
        <v>53.29</v>
      </c>
      <c r="F11220" s="2">
        <v>2</v>
      </c>
      <c r="G11220" s="2" t="s">
        <v>14</v>
      </c>
    </row>
    <row r="11221" spans="1:9" x14ac:dyDescent="0.2">
      <c r="A11221" s="2" t="s">
        <v>3522</v>
      </c>
      <c r="B11221" s="2" t="s">
        <v>1199</v>
      </c>
      <c r="C11221" s="2">
        <v>712.18870000000004</v>
      </c>
      <c r="D11221" s="2">
        <f>HYPERLINK("http://mcb-m6.bioreg.kyushu-u.ac.jp/M3/20110427/F51124/1890/1", 71.39)</f>
        <v>71.39</v>
      </c>
      <c r="E11221" s="2">
        <v>36.729999999999997</v>
      </c>
      <c r="F11221" s="2">
        <v>2</v>
      </c>
      <c r="G11221" s="2" t="s">
        <v>14</v>
      </c>
    </row>
    <row r="11222" spans="1:9" x14ac:dyDescent="0.2">
      <c r="A11222" s="2" t="s">
        <v>3522</v>
      </c>
      <c r="B11222" s="2" t="s">
        <v>1199</v>
      </c>
      <c r="C11222" s="2">
        <v>712.19320000000005</v>
      </c>
      <c r="D11222" s="2">
        <f>HYPERLINK("http://mcb-m6.bioreg.kyushu-u.ac.jp/M3/20110428/F51130/1938/1", 72.19)</f>
        <v>72.19</v>
      </c>
      <c r="E11222" s="2">
        <v>51.32</v>
      </c>
      <c r="F11222" s="2">
        <v>2</v>
      </c>
      <c r="G11222" s="2" t="s">
        <v>14</v>
      </c>
    </row>
    <row r="11223" spans="1:9" x14ac:dyDescent="0.2">
      <c r="A11223" s="2" t="s">
        <v>3522</v>
      </c>
      <c r="B11223" s="2" t="s">
        <v>479</v>
      </c>
      <c r="C11223" s="2">
        <v>780.75919999999996</v>
      </c>
      <c r="D11223" s="2">
        <f>HYPERLINK("http://mcb-m6.bioreg.kyushu-u.ac.jp/M3/20110427/F51123/2235/1", 72.58)</f>
        <v>72.58</v>
      </c>
      <c r="E11223" s="2">
        <v>58.7</v>
      </c>
      <c r="F11223" s="2">
        <v>2</v>
      </c>
      <c r="G11223" s="2" t="s">
        <v>14</v>
      </c>
    </row>
    <row r="11224" spans="1:9" x14ac:dyDescent="0.2">
      <c r="A11224" s="2" t="s">
        <v>3522</v>
      </c>
      <c r="B11224" s="2" t="s">
        <v>1500</v>
      </c>
      <c r="C11224" s="2">
        <v>847.28269999999998</v>
      </c>
      <c r="D11224" s="2">
        <f>HYPERLINK("http://mcb-m6.bioreg.kyushu-u.ac.jp/M3/20110427/F51123/2504/1", 73.26)</f>
        <v>73.260000000000005</v>
      </c>
      <c r="E11224" s="2">
        <v>58.66</v>
      </c>
      <c r="F11224" s="2">
        <v>2</v>
      </c>
      <c r="G11224" s="2" t="s">
        <v>14</v>
      </c>
    </row>
    <row r="11225" spans="1:9" x14ac:dyDescent="0.2">
      <c r="A11225" s="2" t="s">
        <v>3522</v>
      </c>
      <c r="B11225" s="2" t="s">
        <v>7509</v>
      </c>
      <c r="C11225" s="2">
        <v>786.15880000000004</v>
      </c>
      <c r="D11225" s="2">
        <f>HYPERLINK("http://mcb-m6.bioreg.kyushu-u.ac.jp/M3/20110428/F51128/3487/1", 79.5)</f>
        <v>79.5</v>
      </c>
      <c r="E11225" s="2">
        <v>63.89</v>
      </c>
      <c r="F11225" s="2">
        <v>3</v>
      </c>
      <c r="G11225" s="2" t="s">
        <v>14</v>
      </c>
    </row>
    <row r="11226" spans="1:9" x14ac:dyDescent="0.2">
      <c r="A11226" s="2" t="s">
        <v>3522</v>
      </c>
      <c r="B11226" s="2" t="s">
        <v>2036</v>
      </c>
      <c r="C11226" s="2">
        <v>736.30520000000001</v>
      </c>
      <c r="D11226" s="2">
        <f>HYPERLINK("http://mcb-m6.bioreg.kyushu-u.ac.jp/M3/20110428/F51128/1931/1", 85.55)</f>
        <v>85.55</v>
      </c>
      <c r="E11226" s="2">
        <v>56.98</v>
      </c>
      <c r="F11226" s="2">
        <v>2</v>
      </c>
      <c r="G11226" s="2" t="s">
        <v>14</v>
      </c>
    </row>
    <row r="11227" spans="1:9" x14ac:dyDescent="0.2">
      <c r="A11227" s="2" t="s">
        <v>3522</v>
      </c>
      <c r="B11227" s="2" t="s">
        <v>1199</v>
      </c>
      <c r="C11227" s="2">
        <v>711.91859999999997</v>
      </c>
      <c r="D11227" s="2">
        <f>HYPERLINK("http://mcb-m6.bioreg.kyushu-u.ac.jp/M3/20110428/F51128/1827/1", 93.36)</f>
        <v>93.36</v>
      </c>
      <c r="E11227" s="2">
        <v>62.81</v>
      </c>
      <c r="F11227" s="2">
        <v>2</v>
      </c>
      <c r="G11227" s="2" t="s">
        <v>14</v>
      </c>
    </row>
    <row r="11228" spans="1:9" x14ac:dyDescent="0.2">
      <c r="A11228" s="2" t="s">
        <v>3522</v>
      </c>
      <c r="B11228" s="2" t="s">
        <v>2036</v>
      </c>
      <c r="C11228" s="2">
        <v>736.23270000000002</v>
      </c>
      <c r="D11228" s="2">
        <f>HYPERLINK("http://mcb-m6.bioreg.kyushu-u.ac.jp/M3/20110427/F51123/2008/1", 110.23)</f>
        <v>110.23</v>
      </c>
      <c r="E11228" s="2">
        <v>82.47</v>
      </c>
      <c r="F11228" s="2">
        <v>2</v>
      </c>
      <c r="G11228" s="2" t="s">
        <v>14</v>
      </c>
    </row>
    <row r="11229" spans="1:9" x14ac:dyDescent="0.2">
      <c r="A11229" s="2" t="s">
        <v>7882</v>
      </c>
      <c r="B11229" s="2" t="s">
        <v>6925</v>
      </c>
      <c r="C11229" s="2">
        <v>998.34010000000001</v>
      </c>
      <c r="D11229" s="2">
        <f>HYPERLINK("http://mcb-m6.bioreg.kyushu-u.ac.jp/M3/20110404/F50768/2715/1", 60.27)</f>
        <v>60.27</v>
      </c>
      <c r="E11229" s="2">
        <v>42.97</v>
      </c>
      <c r="F11229" s="2">
        <v>2</v>
      </c>
      <c r="G11229" s="2" t="s">
        <v>10</v>
      </c>
      <c r="I11229" s="2" t="s">
        <v>4899</v>
      </c>
    </row>
    <row r="11230" spans="1:9" x14ac:dyDescent="0.2">
      <c r="A11230" s="2" t="s">
        <v>7882</v>
      </c>
      <c r="B11230" s="2" t="s">
        <v>7106</v>
      </c>
      <c r="C11230" s="2">
        <v>810.97919999999999</v>
      </c>
      <c r="D11230" s="2">
        <f>HYPERLINK("http://mcb-m6.bioreg.kyushu-u.ac.jp/M3/20110421/F51035/2344/1", 44.69)</f>
        <v>44.69</v>
      </c>
      <c r="E11230" s="2">
        <v>30.83</v>
      </c>
      <c r="F11230" s="2">
        <v>2</v>
      </c>
      <c r="G11230" s="2" t="s">
        <v>11</v>
      </c>
    </row>
    <row r="11231" spans="1:9" x14ac:dyDescent="0.2">
      <c r="A11231" s="2" t="s">
        <v>7882</v>
      </c>
      <c r="B11231" s="2" t="s">
        <v>7106</v>
      </c>
      <c r="C11231" s="2">
        <v>810.93370000000004</v>
      </c>
      <c r="D11231" s="2">
        <f>HYPERLINK("http://mcb-m6.bioreg.kyushu-u.ac.jp/M3/20110421/F51043/2403/1", 60.27)</f>
        <v>60.27</v>
      </c>
      <c r="E11231" s="2">
        <v>41.06</v>
      </c>
      <c r="F11231" s="2">
        <v>2</v>
      </c>
      <c r="G11231" s="2" t="s">
        <v>12</v>
      </c>
    </row>
    <row r="11232" spans="1:9" x14ac:dyDescent="0.2">
      <c r="A11232" s="2" t="s">
        <v>4311</v>
      </c>
      <c r="B11232" s="2" t="s">
        <v>6285</v>
      </c>
      <c r="C11232" s="2">
        <v>590.6857</v>
      </c>
      <c r="D11232" s="2">
        <f>HYPERLINK("http://mcb-m6.bioreg.kyushu-u.ac.jp/M3/20110404/F50763/1356/1", 50.78)</f>
        <v>50.78</v>
      </c>
      <c r="E11232" s="2">
        <v>27.71</v>
      </c>
      <c r="F11232" s="2">
        <v>2</v>
      </c>
      <c r="G11232" s="2" t="s">
        <v>9</v>
      </c>
    </row>
    <row r="11233" spans="1:8" x14ac:dyDescent="0.2">
      <c r="A11233" s="2" t="s">
        <v>4311</v>
      </c>
      <c r="B11233" s="2" t="s">
        <v>2063</v>
      </c>
      <c r="C11233" s="2">
        <v>662.80820000000006</v>
      </c>
      <c r="D11233" s="2">
        <f>HYPERLINK("http://mcb-m6.bioreg.kyushu-u.ac.jp/M3/20110404/F50763/1600/1", 56.76)</f>
        <v>56.76</v>
      </c>
      <c r="E11233" s="2">
        <v>22.78</v>
      </c>
      <c r="F11233" s="2">
        <v>2</v>
      </c>
      <c r="G11233" s="2" t="s">
        <v>9</v>
      </c>
    </row>
    <row r="11234" spans="1:8" x14ac:dyDescent="0.2">
      <c r="A11234" s="2" t="s">
        <v>4311</v>
      </c>
      <c r="B11234" s="2" t="s">
        <v>6285</v>
      </c>
      <c r="C11234" s="2">
        <v>590.17409999999995</v>
      </c>
      <c r="D11234" s="2">
        <f>HYPERLINK("http://mcb-m6.bioreg.kyushu-u.ac.jp/M3/20110404/F50769/1489/1", 74.41)</f>
        <v>74.41</v>
      </c>
      <c r="E11234" s="2">
        <v>51.11</v>
      </c>
      <c r="F11234" s="2">
        <v>2</v>
      </c>
      <c r="G11234" s="2" t="s">
        <v>10</v>
      </c>
    </row>
    <row r="11235" spans="1:8" x14ac:dyDescent="0.2">
      <c r="A11235" s="2" t="s">
        <v>4311</v>
      </c>
      <c r="B11235" s="2" t="s">
        <v>6285</v>
      </c>
      <c r="C11235" s="2">
        <v>590.8297</v>
      </c>
      <c r="D11235" s="2">
        <f>HYPERLINK("http://mcb-m6.bioreg.kyushu-u.ac.jp/M3/20110421/F51043/1328/1", 40.74)</f>
        <v>40.74</v>
      </c>
      <c r="E11235" s="2">
        <v>16.91</v>
      </c>
      <c r="F11235" s="2">
        <v>2</v>
      </c>
      <c r="G11235" s="2" t="s">
        <v>12</v>
      </c>
    </row>
    <row r="11236" spans="1:8" x14ac:dyDescent="0.2">
      <c r="A11236" s="2" t="s">
        <v>4311</v>
      </c>
      <c r="B11236" s="2" t="s">
        <v>2063</v>
      </c>
      <c r="C11236" s="2">
        <v>662.83169999999996</v>
      </c>
      <c r="D11236" s="2">
        <f>HYPERLINK("http://mcb-m6.bioreg.kyushu-u.ac.jp/M3/20110421/F51045/1795/1", 59.53)</f>
        <v>59.53</v>
      </c>
      <c r="E11236" s="2">
        <v>15.41</v>
      </c>
      <c r="F11236" s="2">
        <v>2</v>
      </c>
      <c r="G11236" s="2" t="s">
        <v>12</v>
      </c>
    </row>
    <row r="11237" spans="1:8" x14ac:dyDescent="0.2">
      <c r="A11237" s="2" t="s">
        <v>4311</v>
      </c>
      <c r="B11237" s="2" t="s">
        <v>2063</v>
      </c>
      <c r="C11237" s="2">
        <v>662.93370000000004</v>
      </c>
      <c r="D11237" s="2">
        <f>HYPERLINK("http://mcb-m6.bioreg.kyushu-u.ac.jp/M3/20110421/F51043/1612/1", 85.78)</f>
        <v>85.78</v>
      </c>
      <c r="E11237" s="2">
        <v>63.09</v>
      </c>
      <c r="F11237" s="2">
        <v>2</v>
      </c>
      <c r="G11237" s="2" t="s">
        <v>12</v>
      </c>
    </row>
    <row r="11238" spans="1:8" x14ac:dyDescent="0.2">
      <c r="A11238" s="2" t="s">
        <v>4439</v>
      </c>
      <c r="B11238" s="2" t="s">
        <v>5962</v>
      </c>
      <c r="C11238" s="2">
        <v>766.38120000000004</v>
      </c>
      <c r="D11238" s="2">
        <f>HYPERLINK("http://mcb-m6.bioreg.kyushu-u.ac.jp/M3/20110404/F50763/3066/1", 37.08)</f>
        <v>37.08</v>
      </c>
      <c r="E11238" s="2">
        <v>29.53</v>
      </c>
      <c r="F11238" s="2">
        <v>3</v>
      </c>
      <c r="G11238" s="2" t="s">
        <v>9</v>
      </c>
    </row>
    <row r="11239" spans="1:8" x14ac:dyDescent="0.2">
      <c r="A11239" s="2" t="s">
        <v>4439</v>
      </c>
      <c r="B11239" s="2" t="s">
        <v>2328</v>
      </c>
      <c r="C11239" s="2">
        <v>837.82370000000003</v>
      </c>
      <c r="D11239" s="2">
        <f>HYPERLINK("http://mcb-m6.bioreg.kyushu-u.ac.jp/M3/20110404/F50763/2271/1", 83.28)</f>
        <v>83.28</v>
      </c>
      <c r="E11239" s="2">
        <v>65.540000000000006</v>
      </c>
      <c r="F11239" s="2">
        <v>2</v>
      </c>
      <c r="G11239" s="2" t="s">
        <v>9</v>
      </c>
    </row>
    <row r="11240" spans="1:8" x14ac:dyDescent="0.2">
      <c r="A11240" s="2" t="s">
        <v>4439</v>
      </c>
      <c r="B11240" s="2" t="s">
        <v>2328</v>
      </c>
      <c r="C11240" s="2">
        <v>838.32759999999996</v>
      </c>
      <c r="D11240" s="2">
        <f>HYPERLINK("http://mcb-m6.bioreg.kyushu-u.ac.jp/M3/20110404/F50769/2234/1", 90.07)</f>
        <v>90.07</v>
      </c>
      <c r="E11240" s="2">
        <v>77.28</v>
      </c>
      <c r="F11240" s="2">
        <v>2</v>
      </c>
      <c r="G11240" s="2" t="s">
        <v>10</v>
      </c>
    </row>
    <row r="11241" spans="1:8" x14ac:dyDescent="0.2">
      <c r="A11241" s="2" t="s">
        <v>4439</v>
      </c>
      <c r="B11241" s="2" t="s">
        <v>2328</v>
      </c>
      <c r="C11241" s="2">
        <v>837.81920000000002</v>
      </c>
      <c r="D11241" s="2">
        <f>HYPERLINK("http://mcb-m6.bioreg.kyushu-u.ac.jp/M3/20110404/F50769/2232/1", 109.86)</f>
        <v>109.86</v>
      </c>
      <c r="E11241" s="2">
        <v>94.85</v>
      </c>
      <c r="F11241" s="2">
        <v>2</v>
      </c>
      <c r="G11241" s="2" t="s">
        <v>10</v>
      </c>
    </row>
    <row r="11242" spans="1:8" x14ac:dyDescent="0.2">
      <c r="A11242" s="2" t="s">
        <v>4135</v>
      </c>
      <c r="B11242" s="2" t="s">
        <v>1678</v>
      </c>
      <c r="C11242" s="2">
        <v>944.89369999999997</v>
      </c>
      <c r="D11242" s="2">
        <f>HYPERLINK("http://mcb-m6.bioreg.kyushu-u.ac.jp/M3/20110404/F50753/2756/1", 85.47)</f>
        <v>85.47</v>
      </c>
      <c r="E11242" s="2">
        <v>59.95</v>
      </c>
      <c r="F11242" s="2">
        <v>2</v>
      </c>
      <c r="G11242" s="2" t="s">
        <v>9</v>
      </c>
    </row>
    <row r="11243" spans="1:8" x14ac:dyDescent="0.2">
      <c r="A11243" s="2" t="s">
        <v>4135</v>
      </c>
      <c r="B11243" s="2" t="s">
        <v>1678</v>
      </c>
      <c r="C11243" s="2">
        <v>945.42660000000001</v>
      </c>
      <c r="D11243" s="2">
        <f>HYPERLINK("http://mcb-m6.bioreg.kyushu-u.ac.jp/M3/20110427/F51110/2892/1", 101.29)</f>
        <v>101.29</v>
      </c>
      <c r="E11243" s="2">
        <v>70.58</v>
      </c>
      <c r="F11243" s="2">
        <v>2</v>
      </c>
      <c r="G11243" s="2" t="s">
        <v>13</v>
      </c>
    </row>
    <row r="11244" spans="1:8" x14ac:dyDescent="0.2">
      <c r="A11244" s="2" t="s">
        <v>3915</v>
      </c>
      <c r="B11244" s="2" t="s">
        <v>1089</v>
      </c>
      <c r="C11244" s="2">
        <v>777.65809999999999</v>
      </c>
      <c r="D11244" s="2">
        <f>HYPERLINK("http://mcb-m6.bioreg.kyushu-u.ac.jp/M3/20110404/F50758/2041/1", 40.89)</f>
        <v>40.89</v>
      </c>
      <c r="E11244" s="2">
        <v>28.52</v>
      </c>
      <c r="F11244" s="2">
        <v>2</v>
      </c>
      <c r="G11244" s="2" t="s">
        <v>10</v>
      </c>
    </row>
    <row r="11245" spans="1:8" x14ac:dyDescent="0.2">
      <c r="A11245" s="2" t="s">
        <v>4887</v>
      </c>
      <c r="B11245" s="2" t="s">
        <v>3230</v>
      </c>
      <c r="C11245" s="2">
        <v>815.82510000000002</v>
      </c>
      <c r="D11245" s="2">
        <f>HYPERLINK("http://mcb-m6.bioreg.kyushu-u.ac.jp/M3/20110404/F50758/2191/1", 81.77)</f>
        <v>81.77</v>
      </c>
      <c r="E11245" s="2">
        <v>65.180000000000007</v>
      </c>
      <c r="F11245" s="2">
        <v>2</v>
      </c>
      <c r="G11245" s="2" t="s">
        <v>10</v>
      </c>
      <c r="H11245" s="2" t="s">
        <v>4915</v>
      </c>
    </row>
    <row r="11246" spans="1:8" x14ac:dyDescent="0.2">
      <c r="A11246" s="2" t="s">
        <v>7769</v>
      </c>
      <c r="B11246" s="2" t="s">
        <v>6617</v>
      </c>
      <c r="C11246" s="2">
        <v>762.2722</v>
      </c>
      <c r="D11246" s="2">
        <f>HYPERLINK("http://mcb-m6.bioreg.kyushu-u.ac.jp/M3/20110404/F50763/2027/1", 95.32)</f>
        <v>95.32</v>
      </c>
      <c r="E11246" s="2">
        <v>79.42</v>
      </c>
      <c r="F11246" s="2">
        <v>2</v>
      </c>
      <c r="G11246" s="2" t="s">
        <v>9</v>
      </c>
    </row>
    <row r="11247" spans="1:8" x14ac:dyDescent="0.2">
      <c r="A11247" s="2" t="s">
        <v>7769</v>
      </c>
      <c r="B11247" s="2" t="s">
        <v>6617</v>
      </c>
      <c r="C11247" s="2">
        <v>762.79520000000002</v>
      </c>
      <c r="D11247" s="2">
        <f>HYPERLINK("http://mcb-m6.bioreg.kyushu-u.ac.jp/M3/20110404/F50769/2054/1", 74.26)</f>
        <v>74.260000000000005</v>
      </c>
      <c r="E11247" s="2">
        <v>57.24</v>
      </c>
      <c r="F11247" s="2">
        <v>2</v>
      </c>
      <c r="G11247" s="2" t="s">
        <v>10</v>
      </c>
    </row>
    <row r="11248" spans="1:8" x14ac:dyDescent="0.2">
      <c r="A11248" s="2" t="s">
        <v>7769</v>
      </c>
      <c r="B11248" s="2" t="s">
        <v>6617</v>
      </c>
      <c r="C11248" s="2">
        <v>762.22810000000004</v>
      </c>
      <c r="D11248" s="2">
        <f>HYPERLINK("http://mcb-m6.bioreg.kyushu-u.ac.jp/M3/20110404/F50769/2053/1", 97.15)</f>
        <v>97.15</v>
      </c>
      <c r="E11248" s="2">
        <v>82.31</v>
      </c>
      <c r="F11248" s="2">
        <v>2</v>
      </c>
      <c r="G11248" s="2" t="s">
        <v>10</v>
      </c>
    </row>
    <row r="11249" spans="1:9" x14ac:dyDescent="0.2">
      <c r="A11249" s="2" t="s">
        <v>7579</v>
      </c>
      <c r="B11249" s="2" t="s">
        <v>6032</v>
      </c>
      <c r="C11249" s="2">
        <v>727.27009999999996</v>
      </c>
      <c r="D11249" s="2">
        <f>HYPERLINK("http://mcb-m6.bioreg.kyushu-u.ac.jp/M3/20110404/F50755/1887/1", 39.67)</f>
        <v>39.67</v>
      </c>
      <c r="E11249" s="2">
        <v>20.49</v>
      </c>
      <c r="F11249" s="2">
        <v>2</v>
      </c>
      <c r="G11249" s="2" t="s">
        <v>9</v>
      </c>
    </row>
    <row r="11250" spans="1:9" x14ac:dyDescent="0.2">
      <c r="A11250" s="2" t="s">
        <v>7579</v>
      </c>
      <c r="B11250" s="2" t="s">
        <v>7005</v>
      </c>
      <c r="C11250" s="2">
        <v>1038.6320000000001</v>
      </c>
      <c r="D11250" s="2">
        <f>HYPERLINK("http://mcb-m6.bioreg.kyushu-u.ac.jp/M3/20110404/F50760/2749/1", 78.05)</f>
        <v>78.05</v>
      </c>
      <c r="E11250" s="2">
        <v>61</v>
      </c>
      <c r="F11250" s="2">
        <v>2</v>
      </c>
      <c r="G11250" s="2" t="s">
        <v>10</v>
      </c>
    </row>
    <row r="11251" spans="1:9" x14ac:dyDescent="0.2">
      <c r="A11251" s="2" t="s">
        <v>3994</v>
      </c>
      <c r="B11251" s="2" t="s">
        <v>1275</v>
      </c>
      <c r="C11251" s="2">
        <v>970.37959999999998</v>
      </c>
      <c r="D11251" s="2">
        <f>HYPERLINK("http://mcb-m6.bioreg.kyushu-u.ac.jp/M3/20110421/F51018/2932/1", 93.36)</f>
        <v>93.36</v>
      </c>
      <c r="E11251" s="2">
        <v>79.38</v>
      </c>
      <c r="F11251" s="2">
        <v>2</v>
      </c>
      <c r="G11251" s="2" t="s">
        <v>11</v>
      </c>
    </row>
    <row r="11252" spans="1:9" x14ac:dyDescent="0.2">
      <c r="A11252" s="2" t="s">
        <v>3994</v>
      </c>
      <c r="B11252" s="2" t="s">
        <v>1275</v>
      </c>
      <c r="C11252" s="2">
        <v>647.37049999999999</v>
      </c>
      <c r="D11252" s="2">
        <f>HYPERLINK("http://mcb-m6.bioreg.kyushu-u.ac.jp/M3/20110427/F51113/2825/1", 40.86)</f>
        <v>40.86</v>
      </c>
      <c r="E11252" s="2">
        <v>29.09</v>
      </c>
      <c r="F11252" s="2">
        <v>3</v>
      </c>
      <c r="G11252" s="2" t="s">
        <v>13</v>
      </c>
    </row>
    <row r="11253" spans="1:9" x14ac:dyDescent="0.2">
      <c r="A11253" s="2" t="s">
        <v>3994</v>
      </c>
      <c r="B11253" s="2" t="s">
        <v>1275</v>
      </c>
      <c r="C11253" s="2">
        <v>970.31569999999999</v>
      </c>
      <c r="D11253" s="2">
        <f>HYPERLINK("http://mcb-m6.bioreg.kyushu-u.ac.jp/M3/20110427/F51113/2824/1", 80.87)</f>
        <v>80.87</v>
      </c>
      <c r="E11253" s="2">
        <v>65.66</v>
      </c>
      <c r="F11253" s="2">
        <v>2</v>
      </c>
      <c r="G11253" s="2" t="s">
        <v>13</v>
      </c>
    </row>
    <row r="11254" spans="1:9" x14ac:dyDescent="0.2">
      <c r="A11254" s="2" t="s">
        <v>3537</v>
      </c>
      <c r="B11254" s="2" t="s">
        <v>391</v>
      </c>
      <c r="C11254" s="2">
        <v>1314.001</v>
      </c>
      <c r="D11254" s="2">
        <f>HYPERLINK("http://mcb-m6.bioreg.kyushu-u.ac.jp/M3/20110404/F50755/1568/1", 35.42)</f>
        <v>35.42</v>
      </c>
      <c r="E11254" s="2">
        <v>26.38</v>
      </c>
      <c r="F11254" s="2">
        <v>1</v>
      </c>
      <c r="G11254" s="2" t="s">
        <v>9</v>
      </c>
    </row>
    <row r="11255" spans="1:9" x14ac:dyDescent="0.2">
      <c r="A11255" s="2" t="s">
        <v>3537</v>
      </c>
      <c r="B11255" s="2" t="s">
        <v>391</v>
      </c>
      <c r="C11255" s="2">
        <v>1313.452</v>
      </c>
      <c r="D11255" s="2">
        <f>HYPERLINK("http://mcb-m6.bioreg.kyushu-u.ac.jp/M3/20110404/F50754/1810/1", 36.71)</f>
        <v>36.71</v>
      </c>
      <c r="E11255" s="2">
        <v>23.73</v>
      </c>
      <c r="F11255" s="2">
        <v>1</v>
      </c>
      <c r="G11255" s="2" t="s">
        <v>9</v>
      </c>
    </row>
    <row r="11256" spans="1:9" x14ac:dyDescent="0.2">
      <c r="A11256" s="2" t="s">
        <v>3537</v>
      </c>
      <c r="B11256" s="2" t="s">
        <v>391</v>
      </c>
      <c r="C11256" s="2">
        <v>657.16610000000003</v>
      </c>
      <c r="D11256" s="2">
        <f>HYPERLINK("http://mcb-m6.bioreg.kyushu-u.ac.jp/M3/20110404/F50754/1809/1", 61.36)</f>
        <v>61.36</v>
      </c>
      <c r="E11256" s="2">
        <v>53.99</v>
      </c>
      <c r="F11256" s="2">
        <v>2</v>
      </c>
      <c r="G11256" s="2" t="s">
        <v>9</v>
      </c>
    </row>
    <row r="11257" spans="1:9" x14ac:dyDescent="0.2">
      <c r="A11257" s="2" t="s">
        <v>3537</v>
      </c>
      <c r="B11257" s="2" t="s">
        <v>391</v>
      </c>
      <c r="C11257" s="2">
        <v>657.2047</v>
      </c>
      <c r="D11257" s="2">
        <f>HYPERLINK("http://mcb-m6.bioreg.kyushu-u.ac.jp/M3/20110404/F50755/1565/1", 65.27)</f>
        <v>65.27</v>
      </c>
      <c r="E11257" s="2">
        <v>56.89</v>
      </c>
      <c r="F11257" s="2">
        <v>2</v>
      </c>
      <c r="G11257" s="2" t="s">
        <v>9</v>
      </c>
    </row>
    <row r="11258" spans="1:9" x14ac:dyDescent="0.2">
      <c r="A11258" s="2" t="s">
        <v>3537</v>
      </c>
      <c r="B11258" s="2" t="s">
        <v>1648</v>
      </c>
      <c r="C11258" s="2">
        <v>1348.62</v>
      </c>
      <c r="D11258" s="2">
        <f>HYPERLINK("http://mcb-m6.bioreg.kyushu-u.ac.jp/M3/20110404/F50754/3303/1", 114.98)</f>
        <v>114.98</v>
      </c>
      <c r="E11258" s="2">
        <v>103.25</v>
      </c>
      <c r="F11258" s="2">
        <v>2</v>
      </c>
      <c r="G11258" s="2" t="s">
        <v>9</v>
      </c>
    </row>
    <row r="11259" spans="1:9" x14ac:dyDescent="0.2">
      <c r="A11259" s="2" t="s">
        <v>3537</v>
      </c>
      <c r="B11259" s="2" t="s">
        <v>1648</v>
      </c>
      <c r="C11259" s="2">
        <v>1348.921</v>
      </c>
      <c r="D11259" s="2">
        <f>HYPERLINK("http://mcb-m6.bioreg.kyushu-u.ac.jp/M3/20110404/F50755/3770/1", 126.14)</f>
        <v>126.14</v>
      </c>
      <c r="E11259" s="2">
        <v>117.15</v>
      </c>
      <c r="F11259" s="2">
        <v>2</v>
      </c>
      <c r="G11259" s="2" t="s">
        <v>9</v>
      </c>
    </row>
    <row r="11260" spans="1:9" x14ac:dyDescent="0.2">
      <c r="A11260" s="2" t="s">
        <v>3537</v>
      </c>
      <c r="B11260" s="2" t="s">
        <v>7135</v>
      </c>
      <c r="C11260" s="2">
        <v>930.21190000000001</v>
      </c>
      <c r="D11260" s="2">
        <f>HYPERLINK("http://mcb-m6.bioreg.kyushu-u.ac.jp/M3/20110421/F51018/3466/1", 62.01)</f>
        <v>62.01</v>
      </c>
      <c r="E11260" s="2">
        <v>52.83</v>
      </c>
      <c r="F11260" s="2">
        <v>3</v>
      </c>
      <c r="G11260" s="2" t="s">
        <v>11</v>
      </c>
      <c r="I11260" s="2" t="s">
        <v>4903</v>
      </c>
    </row>
    <row r="11261" spans="1:9" x14ac:dyDescent="0.2">
      <c r="A11261" s="2" t="s">
        <v>3537</v>
      </c>
      <c r="B11261" s="2" t="s">
        <v>1648</v>
      </c>
      <c r="C11261" s="2">
        <v>1348.9380000000001</v>
      </c>
      <c r="D11261" s="2">
        <f>HYPERLINK("http://mcb-m6.bioreg.kyushu-u.ac.jp/M3/20110421/F51018/3443/1", 100.09)</f>
        <v>100.09</v>
      </c>
      <c r="E11261" s="2">
        <v>82.87</v>
      </c>
      <c r="F11261" s="2">
        <v>2</v>
      </c>
      <c r="G11261" s="2" t="s">
        <v>11</v>
      </c>
    </row>
    <row r="11262" spans="1:9" x14ac:dyDescent="0.2">
      <c r="A11262" s="2" t="s">
        <v>3537</v>
      </c>
      <c r="B11262" s="2" t="s">
        <v>391</v>
      </c>
      <c r="C11262" s="2">
        <v>657.24959999999999</v>
      </c>
      <c r="D11262" s="2">
        <f>HYPERLINK("http://mcb-m6.bioreg.kyushu-u.ac.jp/M3/20110421/F51018/1684/1", 102.37)</f>
        <v>102.37</v>
      </c>
      <c r="E11262" s="2">
        <v>88.67</v>
      </c>
      <c r="F11262" s="2">
        <v>2</v>
      </c>
      <c r="G11262" s="2" t="s">
        <v>11</v>
      </c>
    </row>
    <row r="11263" spans="1:9" x14ac:dyDescent="0.2">
      <c r="A11263" s="2" t="s">
        <v>3537</v>
      </c>
      <c r="B11263" s="2" t="s">
        <v>1648</v>
      </c>
      <c r="C11263" s="2">
        <v>1348.8869999999999</v>
      </c>
      <c r="D11263" s="2">
        <f>HYPERLINK("http://mcb-m6.bioreg.kyushu-u.ac.jp/M3/20110421/F51024/3391/1", 126.29)</f>
        <v>126.29</v>
      </c>
      <c r="E11263" s="2">
        <v>116</v>
      </c>
      <c r="F11263" s="2">
        <v>2</v>
      </c>
      <c r="G11263" s="2" t="s">
        <v>12</v>
      </c>
    </row>
    <row r="11264" spans="1:9" x14ac:dyDescent="0.2">
      <c r="A11264" s="2" t="s">
        <v>3537</v>
      </c>
      <c r="B11264" s="2" t="s">
        <v>391</v>
      </c>
      <c r="C11264" s="2">
        <v>1313.4780000000001</v>
      </c>
      <c r="D11264" s="2">
        <f>HYPERLINK("http://mcb-m6.bioreg.kyushu-u.ac.jp/M3/20110427/F51113/1592/1", 44.15)</f>
        <v>44.15</v>
      </c>
      <c r="E11264" s="2">
        <v>28.23</v>
      </c>
      <c r="F11264" s="2">
        <v>1</v>
      </c>
      <c r="G11264" s="2" t="s">
        <v>13</v>
      </c>
    </row>
    <row r="11265" spans="1:9" x14ac:dyDescent="0.2">
      <c r="A11265" s="2" t="s">
        <v>3537</v>
      </c>
      <c r="B11265" s="2" t="s">
        <v>1648</v>
      </c>
      <c r="C11265" s="2">
        <v>1349.0150000000001</v>
      </c>
      <c r="D11265" s="2">
        <f>HYPERLINK("http://mcb-m6.bioreg.kyushu-u.ac.jp/M3/20110427/F51112/3579/1", 118.43)</f>
        <v>118.43</v>
      </c>
      <c r="E11265" s="2">
        <v>107.51</v>
      </c>
      <c r="F11265" s="2">
        <v>2</v>
      </c>
      <c r="G11265" s="2" t="s">
        <v>13</v>
      </c>
    </row>
    <row r="11266" spans="1:9" x14ac:dyDescent="0.2">
      <c r="A11266" s="2" t="s">
        <v>3537</v>
      </c>
      <c r="B11266" s="2" t="s">
        <v>1648</v>
      </c>
      <c r="C11266" s="2">
        <v>1348.9670000000001</v>
      </c>
      <c r="D11266" s="2">
        <f>HYPERLINK("http://mcb-m6.bioreg.kyushu-u.ac.jp/M3/20110427/F51113/3420/1", 122.98)</f>
        <v>122.98</v>
      </c>
      <c r="E11266" s="2">
        <v>107.13</v>
      </c>
      <c r="F11266" s="2">
        <v>2</v>
      </c>
      <c r="G11266" s="2" t="s">
        <v>13</v>
      </c>
    </row>
    <row r="11267" spans="1:9" x14ac:dyDescent="0.2">
      <c r="A11267" s="2" t="s">
        <v>3537</v>
      </c>
      <c r="B11267" s="2" t="s">
        <v>391</v>
      </c>
      <c r="C11267" s="2">
        <v>657.06460000000004</v>
      </c>
      <c r="D11267" s="2">
        <f>HYPERLINK("http://mcb-m6.bioreg.kyushu-u.ac.jp/M3/20110427/F51122/1811/1", 64.86)</f>
        <v>64.86</v>
      </c>
      <c r="E11267" s="2">
        <v>50.48</v>
      </c>
      <c r="F11267" s="2">
        <v>2</v>
      </c>
      <c r="G11267" s="2" t="s">
        <v>14</v>
      </c>
    </row>
    <row r="11268" spans="1:9" x14ac:dyDescent="0.2">
      <c r="A11268" s="2" t="s">
        <v>3537</v>
      </c>
      <c r="B11268" s="2" t="s">
        <v>391</v>
      </c>
      <c r="C11268" s="2">
        <v>657.63959999999997</v>
      </c>
      <c r="D11268" s="2">
        <f>HYPERLINK("http://mcb-m6.bioreg.kyushu-u.ac.jp/M3/20110427/F51122/1814/1", 78.9)</f>
        <v>78.900000000000006</v>
      </c>
      <c r="E11268" s="2">
        <v>63.28</v>
      </c>
      <c r="F11268" s="2">
        <v>2</v>
      </c>
      <c r="G11268" s="2" t="s">
        <v>14</v>
      </c>
    </row>
    <row r="11269" spans="1:9" x14ac:dyDescent="0.2">
      <c r="A11269" s="2" t="s">
        <v>3537</v>
      </c>
      <c r="B11269" s="2" t="s">
        <v>1648</v>
      </c>
      <c r="C11269" s="2">
        <v>1348.9079999999999</v>
      </c>
      <c r="D11269" s="2">
        <f>HYPERLINK("http://mcb-m6.bioreg.kyushu-u.ac.jp/M3/20110427/F51122/3210/1", 108.22)</f>
        <v>108.22</v>
      </c>
      <c r="E11269" s="2">
        <v>91.2</v>
      </c>
      <c r="F11269" s="2">
        <v>2</v>
      </c>
      <c r="G11269" s="2" t="s">
        <v>14</v>
      </c>
    </row>
    <row r="11270" spans="1:9" x14ac:dyDescent="0.2">
      <c r="A11270" s="2" t="s">
        <v>3748</v>
      </c>
      <c r="B11270" s="2" t="s">
        <v>1082</v>
      </c>
      <c r="C11270" s="2">
        <v>633.68320000000006</v>
      </c>
      <c r="D11270" s="2">
        <f>HYPERLINK("http://mcb-m6.bioreg.kyushu-u.ac.jp/M3/20110404/F50755/1510/1", 40.54)</f>
        <v>40.54</v>
      </c>
      <c r="E11270" s="2">
        <v>23.65</v>
      </c>
      <c r="F11270" s="2">
        <v>2</v>
      </c>
      <c r="G11270" s="2" t="s">
        <v>9</v>
      </c>
      <c r="I11270" s="2" t="s">
        <v>4893</v>
      </c>
    </row>
    <row r="11271" spans="1:9" x14ac:dyDescent="0.2">
      <c r="A11271" s="2" t="s">
        <v>3748</v>
      </c>
      <c r="B11271" s="2" t="s">
        <v>758</v>
      </c>
      <c r="C11271" s="2">
        <v>1218.4829999999999</v>
      </c>
      <c r="D11271" s="2">
        <f>HYPERLINK("http://mcb-m6.bioreg.kyushu-u.ac.jp/M3/20110404/F50755/1423/1", 40.93)</f>
        <v>40.93</v>
      </c>
      <c r="E11271" s="2">
        <v>15.39</v>
      </c>
      <c r="F11271" s="2">
        <v>1</v>
      </c>
      <c r="G11271" s="2" t="s">
        <v>9</v>
      </c>
    </row>
    <row r="11272" spans="1:9" x14ac:dyDescent="0.2">
      <c r="A11272" s="2" t="s">
        <v>3748</v>
      </c>
      <c r="B11272" s="2" t="s">
        <v>758</v>
      </c>
      <c r="C11272" s="2">
        <v>1217.423</v>
      </c>
      <c r="D11272" s="2">
        <f>HYPERLINK("http://mcb-m6.bioreg.kyushu-u.ac.jp/M3/20110404/F50754/1671/1", 43.5)</f>
        <v>43.5</v>
      </c>
      <c r="E11272" s="2">
        <v>13.32</v>
      </c>
      <c r="F11272" s="2">
        <v>1</v>
      </c>
      <c r="G11272" s="2" t="s">
        <v>9</v>
      </c>
    </row>
    <row r="11273" spans="1:9" x14ac:dyDescent="0.2">
      <c r="A11273" s="2" t="s">
        <v>3748</v>
      </c>
      <c r="B11273" s="2" t="s">
        <v>758</v>
      </c>
      <c r="C11273" s="2">
        <v>1217.367</v>
      </c>
      <c r="D11273" s="2">
        <f>HYPERLINK("http://mcb-m6.bioreg.kyushu-u.ac.jp/M3/20110404/F50755/1419/1", 44.3)</f>
        <v>44.3</v>
      </c>
      <c r="E11273" s="2">
        <v>22.56</v>
      </c>
      <c r="F11273" s="2">
        <v>1</v>
      </c>
      <c r="G11273" s="2" t="s">
        <v>9</v>
      </c>
    </row>
    <row r="11274" spans="1:9" x14ac:dyDescent="0.2">
      <c r="A11274" s="2" t="s">
        <v>3748</v>
      </c>
      <c r="B11274" s="2" t="s">
        <v>758</v>
      </c>
      <c r="C11274" s="2">
        <v>609.22119999999995</v>
      </c>
      <c r="D11274" s="2">
        <f>HYPERLINK("http://mcb-m6.bioreg.kyushu-u.ac.jp/M3/20110404/F50754/1672/1", 63.14)</f>
        <v>63.14</v>
      </c>
      <c r="E11274" s="2">
        <v>34.39</v>
      </c>
      <c r="F11274" s="2">
        <v>2</v>
      </c>
      <c r="G11274" s="2" t="s">
        <v>9</v>
      </c>
    </row>
    <row r="11275" spans="1:9" x14ac:dyDescent="0.2">
      <c r="A11275" s="2" t="s">
        <v>3748</v>
      </c>
      <c r="B11275" s="2" t="s">
        <v>758</v>
      </c>
      <c r="C11275" s="2">
        <v>609.25019999999995</v>
      </c>
      <c r="D11275" s="2">
        <f>HYPERLINK("http://mcb-m6.bioreg.kyushu-u.ac.jp/M3/20110404/F50755/1421/1", 66.04)</f>
        <v>66.040000000000006</v>
      </c>
      <c r="E11275" s="2">
        <v>37.04</v>
      </c>
      <c r="F11275" s="2">
        <v>2</v>
      </c>
      <c r="G11275" s="2" t="s">
        <v>9</v>
      </c>
    </row>
    <row r="11276" spans="1:9" x14ac:dyDescent="0.2">
      <c r="A11276" s="2" t="s">
        <v>3748</v>
      </c>
      <c r="B11276" s="2" t="s">
        <v>1082</v>
      </c>
      <c r="C11276" s="2">
        <v>1266.432</v>
      </c>
      <c r="D11276" s="2">
        <f>HYPERLINK("http://mcb-m6.bioreg.kyushu-u.ac.jp/M3/20110404/F50754/1750/1", 69.24)</f>
        <v>69.239999999999995</v>
      </c>
      <c r="E11276" s="2">
        <v>47.34</v>
      </c>
      <c r="F11276" s="2">
        <v>1</v>
      </c>
      <c r="G11276" s="2" t="s">
        <v>9</v>
      </c>
      <c r="I11276" s="2" t="s">
        <v>4893</v>
      </c>
    </row>
    <row r="11277" spans="1:9" x14ac:dyDescent="0.2">
      <c r="A11277" s="2" t="s">
        <v>3748</v>
      </c>
      <c r="B11277" s="2" t="s">
        <v>1082</v>
      </c>
      <c r="C11277" s="2">
        <v>633.70119999999997</v>
      </c>
      <c r="D11277" s="2">
        <f>HYPERLINK("http://mcb-m6.bioreg.kyushu-u.ac.jp/M3/20110404/F50754/1749/1", 88.1)</f>
        <v>88.1</v>
      </c>
      <c r="E11277" s="2">
        <v>56.19</v>
      </c>
      <c r="F11277" s="2">
        <v>2</v>
      </c>
      <c r="G11277" s="2" t="s">
        <v>9</v>
      </c>
      <c r="I11277" s="2" t="s">
        <v>4893</v>
      </c>
    </row>
    <row r="11278" spans="1:9" x14ac:dyDescent="0.2">
      <c r="A11278" s="2" t="s">
        <v>3748</v>
      </c>
      <c r="B11278" s="2" t="s">
        <v>755</v>
      </c>
      <c r="C11278" s="2">
        <v>485.1841</v>
      </c>
      <c r="D11278" s="2">
        <f>HYPERLINK("http://mcb-m6.bioreg.kyushu-u.ac.jp/M3/20110421/F51018/999/1", 40.14)</f>
        <v>40.14</v>
      </c>
      <c r="E11278" s="2">
        <v>21.95</v>
      </c>
      <c r="F11278" s="2">
        <v>2</v>
      </c>
      <c r="G11278" s="2" t="s">
        <v>11</v>
      </c>
    </row>
    <row r="11279" spans="1:9" x14ac:dyDescent="0.2">
      <c r="A11279" s="2" t="s">
        <v>3748</v>
      </c>
      <c r="B11279" s="2" t="s">
        <v>758</v>
      </c>
      <c r="C11279" s="2">
        <v>1217.431</v>
      </c>
      <c r="D11279" s="2">
        <f>HYPERLINK("http://mcb-m6.bioreg.kyushu-u.ac.jp/M3/20110421/F51018/1536/1", 50.37)</f>
        <v>50.37</v>
      </c>
      <c r="E11279" s="2">
        <v>23.6</v>
      </c>
      <c r="F11279" s="2">
        <v>1</v>
      </c>
      <c r="G11279" s="2" t="s">
        <v>11</v>
      </c>
    </row>
    <row r="11280" spans="1:9" x14ac:dyDescent="0.2">
      <c r="A11280" s="2" t="s">
        <v>3748</v>
      </c>
      <c r="B11280" s="2" t="s">
        <v>1082</v>
      </c>
      <c r="C11280" s="2">
        <v>1266.46</v>
      </c>
      <c r="D11280" s="2">
        <f>HYPERLINK("http://mcb-m6.bioreg.kyushu-u.ac.jp/M3/20110421/F51018/1622/1", 54.66)</f>
        <v>54.66</v>
      </c>
      <c r="E11280" s="2">
        <v>33.53</v>
      </c>
      <c r="F11280" s="2">
        <v>1</v>
      </c>
      <c r="G11280" s="2" t="s">
        <v>11</v>
      </c>
      <c r="I11280" s="2" t="s">
        <v>4893</v>
      </c>
    </row>
    <row r="11281" spans="1:9" x14ac:dyDescent="0.2">
      <c r="A11281" s="2" t="s">
        <v>3748</v>
      </c>
      <c r="B11281" s="2" t="s">
        <v>758</v>
      </c>
      <c r="C11281" s="2">
        <v>609.87710000000004</v>
      </c>
      <c r="D11281" s="2">
        <f>HYPERLINK("http://mcb-m6.bioreg.kyushu-u.ac.jp/M3/20110421/F51018/1541/1", 55.74)</f>
        <v>55.74</v>
      </c>
      <c r="E11281" s="2">
        <v>33.69</v>
      </c>
      <c r="F11281" s="2">
        <v>2</v>
      </c>
      <c r="G11281" s="2" t="s">
        <v>11</v>
      </c>
    </row>
    <row r="11282" spans="1:9" x14ac:dyDescent="0.2">
      <c r="A11282" s="2" t="s">
        <v>3748</v>
      </c>
      <c r="B11282" s="2" t="s">
        <v>1082</v>
      </c>
      <c r="C11282" s="2">
        <v>634.21469999999999</v>
      </c>
      <c r="D11282" s="2">
        <f>HYPERLINK("http://mcb-m6.bioreg.kyushu-u.ac.jp/M3/20110421/F51018/1624/1", 67.73)</f>
        <v>67.73</v>
      </c>
      <c r="E11282" s="2">
        <v>35.75</v>
      </c>
      <c r="F11282" s="2">
        <v>2</v>
      </c>
      <c r="G11282" s="2" t="s">
        <v>11</v>
      </c>
      <c r="I11282" s="2" t="s">
        <v>4893</v>
      </c>
    </row>
    <row r="11283" spans="1:9" x14ac:dyDescent="0.2">
      <c r="A11283" s="2" t="s">
        <v>3748</v>
      </c>
      <c r="B11283" s="2" t="s">
        <v>758</v>
      </c>
      <c r="C11283" s="2">
        <v>609.16219999999998</v>
      </c>
      <c r="D11283" s="2">
        <f>HYPERLINK("http://mcb-m6.bioreg.kyushu-u.ac.jp/M3/20110421/F51018/1535/1", 80.25)</f>
        <v>80.25</v>
      </c>
      <c r="E11283" s="2">
        <v>38.64</v>
      </c>
      <c r="F11283" s="2">
        <v>2</v>
      </c>
      <c r="G11283" s="2" t="s">
        <v>11</v>
      </c>
    </row>
    <row r="11284" spans="1:9" x14ac:dyDescent="0.2">
      <c r="A11284" s="2" t="s">
        <v>3748</v>
      </c>
      <c r="B11284" s="2" t="s">
        <v>758</v>
      </c>
      <c r="C11284" s="2">
        <v>609.20259999999996</v>
      </c>
      <c r="D11284" s="2">
        <f>HYPERLINK("http://mcb-m6.bioreg.kyushu-u.ac.jp/M3/20110421/F51024/1619/1", 66.68)</f>
        <v>66.680000000000007</v>
      </c>
      <c r="E11284" s="2">
        <v>36.630000000000003</v>
      </c>
      <c r="F11284" s="2">
        <v>2</v>
      </c>
      <c r="G11284" s="2" t="s">
        <v>12</v>
      </c>
    </row>
    <row r="11285" spans="1:9" x14ac:dyDescent="0.2">
      <c r="A11285" s="2" t="s">
        <v>3748</v>
      </c>
      <c r="B11285" s="2" t="s">
        <v>758</v>
      </c>
      <c r="C11285" s="2">
        <v>1217.463</v>
      </c>
      <c r="D11285" s="2">
        <f>HYPERLINK("http://mcb-m6.bioreg.kyushu-u.ac.jp/M3/20110427/F51113/1436/1", 46)</f>
        <v>46</v>
      </c>
      <c r="E11285" s="2">
        <v>11.52</v>
      </c>
      <c r="F11285" s="2">
        <v>1</v>
      </c>
      <c r="G11285" s="2" t="s">
        <v>13</v>
      </c>
    </row>
    <row r="11286" spans="1:9" x14ac:dyDescent="0.2">
      <c r="A11286" s="2" t="s">
        <v>3748</v>
      </c>
      <c r="B11286" s="2" t="s">
        <v>1082</v>
      </c>
      <c r="C11286" s="2">
        <v>633.62459999999999</v>
      </c>
      <c r="D11286" s="2">
        <f>HYPERLINK("http://mcb-m6.bioreg.kyushu-u.ac.jp/M3/20110427/F51112/1622/1", 68.72)</f>
        <v>68.72</v>
      </c>
      <c r="E11286" s="2">
        <v>39.479999999999997</v>
      </c>
      <c r="F11286" s="2">
        <v>2</v>
      </c>
      <c r="G11286" s="2" t="s">
        <v>13</v>
      </c>
      <c r="I11286" s="2" t="s">
        <v>4893</v>
      </c>
    </row>
    <row r="11287" spans="1:9" x14ac:dyDescent="0.2">
      <c r="A11287" s="2" t="s">
        <v>3748</v>
      </c>
      <c r="B11287" s="2" t="s">
        <v>1082</v>
      </c>
      <c r="C11287" s="2">
        <v>633.77670000000001</v>
      </c>
      <c r="D11287" s="2">
        <f>HYPERLINK("http://mcb-m6.bioreg.kyushu-u.ac.jp/M3/20110427/F51113/1522/1", 77.73)</f>
        <v>77.73</v>
      </c>
      <c r="E11287" s="2">
        <v>46.03</v>
      </c>
      <c r="F11287" s="2">
        <v>2</v>
      </c>
      <c r="G11287" s="2" t="s">
        <v>13</v>
      </c>
      <c r="I11287" s="2" t="s">
        <v>4893</v>
      </c>
    </row>
    <row r="11288" spans="1:9" x14ac:dyDescent="0.2">
      <c r="A11288" s="2" t="s">
        <v>3748</v>
      </c>
      <c r="B11288" s="2" t="s">
        <v>1121</v>
      </c>
      <c r="C11288" s="2">
        <v>913.35860000000002</v>
      </c>
      <c r="D11288" s="2">
        <f>HYPERLINK("http://mcb-m6.bioreg.kyushu-u.ac.jp/M3/20110427/F51113/2683/1", 80.8)</f>
        <v>80.8</v>
      </c>
      <c r="E11288" s="2">
        <v>67.16</v>
      </c>
      <c r="F11288" s="2">
        <v>2</v>
      </c>
      <c r="G11288" s="2" t="s">
        <v>13</v>
      </c>
    </row>
    <row r="11289" spans="1:9" x14ac:dyDescent="0.2">
      <c r="A11289" s="2" t="s">
        <v>3748</v>
      </c>
      <c r="B11289" s="2" t="s">
        <v>758</v>
      </c>
      <c r="C11289" s="2">
        <v>609.16669999999999</v>
      </c>
      <c r="D11289" s="2">
        <f>HYPERLINK("http://mcb-m6.bioreg.kyushu-u.ac.jp/M3/20110427/F51122/1697/1", 37.05)</f>
        <v>37.049999999999997</v>
      </c>
      <c r="E11289" s="2">
        <v>17.5</v>
      </c>
      <c r="F11289" s="2">
        <v>2</v>
      </c>
      <c r="G11289" s="2" t="s">
        <v>14</v>
      </c>
    </row>
    <row r="11290" spans="1:9" x14ac:dyDescent="0.2">
      <c r="A11290" s="2" t="s">
        <v>3748</v>
      </c>
      <c r="B11290" s="2" t="s">
        <v>758</v>
      </c>
      <c r="C11290" s="2">
        <v>609.65219999999999</v>
      </c>
      <c r="D11290" s="2">
        <f>HYPERLINK("http://mcb-m6.bioreg.kyushu-u.ac.jp/M3/20110427/F51121/1612/1", 52.61)</f>
        <v>52.61</v>
      </c>
      <c r="E11290" s="2">
        <v>24.04</v>
      </c>
      <c r="F11290" s="2">
        <v>2</v>
      </c>
      <c r="G11290" s="2" t="s">
        <v>14</v>
      </c>
    </row>
    <row r="11291" spans="1:9" x14ac:dyDescent="0.2">
      <c r="A11291" s="2" t="s">
        <v>3748</v>
      </c>
      <c r="B11291" s="2" t="s">
        <v>1082</v>
      </c>
      <c r="C11291" s="2">
        <v>633.63620000000003</v>
      </c>
      <c r="D11291" s="2">
        <f>HYPERLINK("http://mcb-m6.bioreg.kyushu-u.ac.jp/M3/20110427/F51122/1769/1", 55.01)</f>
        <v>55.01</v>
      </c>
      <c r="E11291" s="2">
        <v>36.82</v>
      </c>
      <c r="F11291" s="2">
        <v>2</v>
      </c>
      <c r="G11291" s="2" t="s">
        <v>14</v>
      </c>
      <c r="I11291" s="2" t="s">
        <v>4893</v>
      </c>
    </row>
    <row r="11292" spans="1:9" x14ac:dyDescent="0.2">
      <c r="A11292" s="2" t="s">
        <v>3753</v>
      </c>
      <c r="B11292" s="2" t="s">
        <v>1490</v>
      </c>
      <c r="C11292" s="2">
        <v>1090.3489999999999</v>
      </c>
      <c r="D11292" s="2">
        <f>HYPERLINK("http://mcb-m6.bioreg.kyushu-u.ac.jp/M3/20110404/F50755/3193/1", 83.6)</f>
        <v>83.6</v>
      </c>
      <c r="E11292" s="2">
        <v>69.69</v>
      </c>
      <c r="F11292" s="2">
        <v>2</v>
      </c>
      <c r="G11292" s="2" t="s">
        <v>9</v>
      </c>
      <c r="I11292" s="2" t="s">
        <v>4892</v>
      </c>
    </row>
    <row r="11293" spans="1:9" x14ac:dyDescent="0.2">
      <c r="A11293" s="2" t="s">
        <v>3753</v>
      </c>
      <c r="B11293" s="2" t="s">
        <v>1490</v>
      </c>
      <c r="C11293" s="2">
        <v>1090.32</v>
      </c>
      <c r="D11293" s="2">
        <f>HYPERLINK("http://mcb-m6.bioreg.kyushu-u.ac.jp/M3/20110404/F50754/2995/1", 97.48)</f>
        <v>97.48</v>
      </c>
      <c r="E11293" s="2">
        <v>85.93</v>
      </c>
      <c r="F11293" s="2">
        <v>2</v>
      </c>
      <c r="G11293" s="2" t="s">
        <v>9</v>
      </c>
      <c r="I11293" s="2" t="s">
        <v>4892</v>
      </c>
    </row>
    <row r="11294" spans="1:9" x14ac:dyDescent="0.2">
      <c r="A11294" s="2" t="s">
        <v>3753</v>
      </c>
      <c r="B11294" s="2" t="s">
        <v>1490</v>
      </c>
      <c r="C11294" s="2">
        <v>727.55190000000005</v>
      </c>
      <c r="D11294" s="2">
        <f>HYPERLINK("http://mcb-m6.bioreg.kyushu-u.ac.jp/M3/20110421/F51018/3183/1", 39.16)</f>
        <v>39.159999999999997</v>
      </c>
      <c r="E11294" s="2">
        <v>26.48</v>
      </c>
      <c r="F11294" s="2">
        <v>3</v>
      </c>
      <c r="G11294" s="2" t="s">
        <v>11</v>
      </c>
      <c r="I11294" s="2" t="s">
        <v>4892</v>
      </c>
    </row>
    <row r="11295" spans="1:9" x14ac:dyDescent="0.2">
      <c r="A11295" s="2" t="s">
        <v>3753</v>
      </c>
      <c r="B11295" s="2" t="s">
        <v>1490</v>
      </c>
      <c r="C11295" s="2">
        <v>1090.31</v>
      </c>
      <c r="D11295" s="2">
        <f>HYPERLINK("http://mcb-m6.bioreg.kyushu-u.ac.jp/M3/20110421/F51018/3181/1", 66.1)</f>
        <v>66.099999999999994</v>
      </c>
      <c r="E11295" s="2">
        <v>56.54</v>
      </c>
      <c r="F11295" s="2">
        <v>2</v>
      </c>
      <c r="G11295" s="2" t="s">
        <v>11</v>
      </c>
      <c r="I11295" s="2" t="s">
        <v>4892</v>
      </c>
    </row>
    <row r="11296" spans="1:9" x14ac:dyDescent="0.2">
      <c r="A11296" s="2" t="s">
        <v>3753</v>
      </c>
      <c r="B11296" s="2" t="s">
        <v>1490</v>
      </c>
      <c r="C11296" s="2">
        <v>1090.836</v>
      </c>
      <c r="D11296" s="2">
        <f>HYPERLINK("http://mcb-m6.bioreg.kyushu-u.ac.jp/M3/20110421/F51018/3184/1", 79.53)</f>
        <v>79.53</v>
      </c>
      <c r="E11296" s="2">
        <v>65.099999999999994</v>
      </c>
      <c r="F11296" s="2">
        <v>2</v>
      </c>
      <c r="G11296" s="2" t="s">
        <v>11</v>
      </c>
      <c r="I11296" s="2" t="s">
        <v>4892</v>
      </c>
    </row>
    <row r="11297" spans="1:9" x14ac:dyDescent="0.2">
      <c r="A11297" s="2" t="s">
        <v>3753</v>
      </c>
      <c r="B11297" s="2" t="s">
        <v>1052</v>
      </c>
      <c r="C11297" s="2">
        <v>685.20669999999996</v>
      </c>
      <c r="D11297" s="2">
        <f>HYPERLINK("http://mcb-m6.bioreg.kyushu-u.ac.jp/M3/20110427/F51113/1707/1", 57.31)</f>
        <v>57.31</v>
      </c>
      <c r="E11297" s="2">
        <v>33.630000000000003</v>
      </c>
      <c r="F11297" s="2">
        <v>2</v>
      </c>
      <c r="G11297" s="2" t="s">
        <v>13</v>
      </c>
    </row>
    <row r="11298" spans="1:9" x14ac:dyDescent="0.2">
      <c r="A11298" s="2" t="s">
        <v>3753</v>
      </c>
      <c r="B11298" s="2" t="s">
        <v>1490</v>
      </c>
      <c r="C11298" s="2">
        <v>1090.8140000000001</v>
      </c>
      <c r="D11298" s="2">
        <f>HYPERLINK("http://mcb-m6.bioreg.kyushu-u.ac.jp/M3/20110427/F51113/3080/1", 81.28)</f>
        <v>81.28</v>
      </c>
      <c r="E11298" s="2">
        <v>66.22</v>
      </c>
      <c r="F11298" s="2">
        <v>2</v>
      </c>
      <c r="G11298" s="2" t="s">
        <v>13</v>
      </c>
      <c r="I11298" s="2" t="s">
        <v>4892</v>
      </c>
    </row>
    <row r="11299" spans="1:9" x14ac:dyDescent="0.2">
      <c r="A11299" s="2" t="s">
        <v>3753</v>
      </c>
      <c r="B11299" s="2" t="s">
        <v>1490</v>
      </c>
      <c r="C11299" s="2">
        <v>1090.2550000000001</v>
      </c>
      <c r="D11299" s="2">
        <f>HYPERLINK("http://mcb-m6.bioreg.kyushu-u.ac.jp/M3/20110427/F51112/3231/1", 81.97)</f>
        <v>81.97</v>
      </c>
      <c r="E11299" s="2">
        <v>62.75</v>
      </c>
      <c r="F11299" s="2">
        <v>2</v>
      </c>
      <c r="G11299" s="2" t="s">
        <v>13</v>
      </c>
      <c r="I11299" s="2" t="s">
        <v>4892</v>
      </c>
    </row>
    <row r="11300" spans="1:9" x14ac:dyDescent="0.2">
      <c r="A11300" s="2" t="s">
        <v>3753</v>
      </c>
      <c r="B11300" s="2" t="s">
        <v>1490</v>
      </c>
      <c r="C11300" s="2">
        <v>1090.3109999999999</v>
      </c>
      <c r="D11300" s="2">
        <f>HYPERLINK("http://mcb-m6.bioreg.kyushu-u.ac.jp/M3/20110427/F51113/3078/1", 93.17)</f>
        <v>93.17</v>
      </c>
      <c r="E11300" s="2">
        <v>79.83</v>
      </c>
      <c r="F11300" s="2">
        <v>2</v>
      </c>
      <c r="G11300" s="2" t="s">
        <v>13</v>
      </c>
      <c r="I11300" s="2" t="s">
        <v>4892</v>
      </c>
    </row>
    <row r="11301" spans="1:9" x14ac:dyDescent="0.2">
      <c r="A11301" s="2" t="s">
        <v>3753</v>
      </c>
      <c r="B11301" s="2" t="s">
        <v>1490</v>
      </c>
      <c r="C11301" s="2">
        <v>1090.5070000000001</v>
      </c>
      <c r="D11301" s="2">
        <f>HYPERLINK("http://mcb-m6.bioreg.kyushu-u.ac.jp/M3/20110427/F51122/3008/1", 101.6)</f>
        <v>101.6</v>
      </c>
      <c r="E11301" s="2">
        <v>86.15</v>
      </c>
      <c r="F11301" s="2">
        <v>2</v>
      </c>
      <c r="G11301" s="2" t="s">
        <v>14</v>
      </c>
      <c r="I11301" s="2" t="s">
        <v>4892</v>
      </c>
    </row>
    <row r="11302" spans="1:9" x14ac:dyDescent="0.2">
      <c r="A11302" s="2" t="s">
        <v>3649</v>
      </c>
      <c r="B11302" s="2" t="s">
        <v>575</v>
      </c>
      <c r="C11302" s="2">
        <v>714.74659999999994</v>
      </c>
      <c r="D11302" s="2">
        <f>HYPERLINK("http://mcb-m6.bioreg.kyushu-u.ac.jp/M3/20110404/F50754/2016/1", 40.39)</f>
        <v>40.39</v>
      </c>
      <c r="E11302" s="2">
        <v>14.49</v>
      </c>
      <c r="F11302" s="2">
        <v>2</v>
      </c>
      <c r="G11302" s="2" t="s">
        <v>9</v>
      </c>
    </row>
    <row r="11303" spans="1:9" x14ac:dyDescent="0.2">
      <c r="A11303" s="2" t="s">
        <v>3649</v>
      </c>
      <c r="B11303" s="2" t="s">
        <v>575</v>
      </c>
      <c r="C11303" s="2">
        <v>715.25459999999998</v>
      </c>
      <c r="D11303" s="2">
        <f>HYPERLINK("http://mcb-m6.bioreg.kyushu-u.ac.jp/M3/20110404/F50755/1808/1", 68.02)</f>
        <v>68.02</v>
      </c>
      <c r="E11303" s="2">
        <v>30.05</v>
      </c>
      <c r="F11303" s="2">
        <v>2</v>
      </c>
      <c r="G11303" s="2" t="s">
        <v>9</v>
      </c>
    </row>
    <row r="11304" spans="1:9" x14ac:dyDescent="0.2">
      <c r="A11304" s="2" t="s">
        <v>3649</v>
      </c>
      <c r="B11304" s="2" t="s">
        <v>575</v>
      </c>
      <c r="C11304" s="2">
        <v>715.22919999999999</v>
      </c>
      <c r="D11304" s="2">
        <f>HYPERLINK("http://mcb-m6.bioreg.kyushu-u.ac.jp/M3/20110421/F51024/2028/1", 48.51)</f>
        <v>48.51</v>
      </c>
      <c r="E11304" s="2">
        <v>20.64</v>
      </c>
      <c r="F11304" s="2">
        <v>2</v>
      </c>
      <c r="G11304" s="2" t="s">
        <v>12</v>
      </c>
    </row>
    <row r="11305" spans="1:9" x14ac:dyDescent="0.2">
      <c r="A11305" s="2" t="s">
        <v>3649</v>
      </c>
      <c r="B11305" s="2" t="s">
        <v>575</v>
      </c>
      <c r="C11305" s="2">
        <v>1428.5820000000001</v>
      </c>
      <c r="D11305" s="2">
        <f>HYPERLINK("http://mcb-m6.bioreg.kyushu-u.ac.jp/M3/20110427/F51113/1884/1", 54.39)</f>
        <v>54.39</v>
      </c>
      <c r="E11305" s="2">
        <v>36.85</v>
      </c>
      <c r="F11305" s="2">
        <v>1</v>
      </c>
      <c r="G11305" s="2" t="s">
        <v>13</v>
      </c>
    </row>
    <row r="11306" spans="1:9" x14ac:dyDescent="0.2">
      <c r="A11306" s="2" t="s">
        <v>3649</v>
      </c>
      <c r="B11306" s="2" t="s">
        <v>575</v>
      </c>
      <c r="C11306" s="2">
        <v>714.7047</v>
      </c>
      <c r="D11306" s="2">
        <f>HYPERLINK("http://mcb-m6.bioreg.kyushu-u.ac.jp/M3/20110427/F51122/2065/1", 67.59)</f>
        <v>67.59</v>
      </c>
      <c r="E11306" s="2">
        <v>31.95</v>
      </c>
      <c r="F11306" s="2">
        <v>2</v>
      </c>
      <c r="G11306" s="2" t="s">
        <v>14</v>
      </c>
    </row>
    <row r="11307" spans="1:9" x14ac:dyDescent="0.2">
      <c r="A11307" s="2" t="s">
        <v>8055</v>
      </c>
      <c r="B11307" s="2" t="s">
        <v>7347</v>
      </c>
      <c r="C11307" s="2">
        <v>480.65660000000003</v>
      </c>
      <c r="D11307" s="2">
        <f>HYPERLINK("http://mcb-m6.bioreg.kyushu-u.ac.jp/M3/20110427/F51110/1208/1", 44.6)</f>
        <v>44.6</v>
      </c>
      <c r="E11307" s="2">
        <v>23.23</v>
      </c>
      <c r="F11307" s="2">
        <v>2</v>
      </c>
      <c r="G11307" s="2" t="s">
        <v>13</v>
      </c>
      <c r="H11307" s="2" t="s">
        <v>4917</v>
      </c>
      <c r="I11307" s="2" t="s">
        <v>4905</v>
      </c>
    </row>
    <row r="11308" spans="1:9" x14ac:dyDescent="0.2">
      <c r="A11308" s="2" t="s">
        <v>4608</v>
      </c>
      <c r="B11308" s="2" t="s">
        <v>3229</v>
      </c>
      <c r="C11308" s="2">
        <v>838.81569999999999</v>
      </c>
      <c r="D11308" s="2">
        <f>HYPERLINK("http://mcb-m6.bioreg.kyushu-u.ac.jp/M3/20110404/F50777/2329/1", 103.53)</f>
        <v>103.53</v>
      </c>
      <c r="E11308" s="2">
        <v>87.78</v>
      </c>
      <c r="F11308" s="2">
        <v>2</v>
      </c>
      <c r="G11308" s="2" t="s">
        <v>9</v>
      </c>
    </row>
    <row r="11309" spans="1:9" x14ac:dyDescent="0.2">
      <c r="A11309" s="2" t="s">
        <v>3923</v>
      </c>
      <c r="B11309" s="2" t="s">
        <v>1152</v>
      </c>
      <c r="C11309" s="2">
        <v>835.22519999999997</v>
      </c>
      <c r="D11309" s="2">
        <f>HYPERLINK("http://mcb-m6.bioreg.kyushu-u.ac.jp/M3/20110404/F50755/2389/1", 42.21)</f>
        <v>42.21</v>
      </c>
      <c r="E11309" s="2">
        <v>19.239999999999998</v>
      </c>
      <c r="F11309" s="2">
        <v>2</v>
      </c>
      <c r="G11309" s="2" t="s">
        <v>9</v>
      </c>
    </row>
    <row r="11310" spans="1:9" x14ac:dyDescent="0.2">
      <c r="A11310" s="2" t="s">
        <v>3923</v>
      </c>
      <c r="B11310" s="2" t="s">
        <v>1099</v>
      </c>
      <c r="C11310" s="2">
        <v>756.19709999999998</v>
      </c>
      <c r="D11310" s="2">
        <f>HYPERLINK("http://mcb-m6.bioreg.kyushu-u.ac.jp/M3/20110421/F51018/2205/1", 57.94)</f>
        <v>57.94</v>
      </c>
      <c r="E11310" s="2">
        <v>44.47</v>
      </c>
      <c r="F11310" s="2">
        <v>2</v>
      </c>
      <c r="G11310" s="2" t="s">
        <v>11</v>
      </c>
    </row>
    <row r="11311" spans="1:9" x14ac:dyDescent="0.2">
      <c r="A11311" s="2" t="s">
        <v>3923</v>
      </c>
      <c r="B11311" s="2" t="s">
        <v>1152</v>
      </c>
      <c r="C11311" s="2">
        <v>834.7097</v>
      </c>
      <c r="D11311" s="2">
        <f>HYPERLINK("http://mcb-m6.bioreg.kyushu-u.ac.jp/M3/20110427/F51113/2400/1", 77.62)</f>
        <v>77.62</v>
      </c>
      <c r="E11311" s="2">
        <v>58.27</v>
      </c>
      <c r="F11311" s="2">
        <v>2</v>
      </c>
      <c r="G11311" s="2" t="s">
        <v>13</v>
      </c>
    </row>
    <row r="11312" spans="1:9" x14ac:dyDescent="0.2">
      <c r="A11312" s="2" t="s">
        <v>4068</v>
      </c>
      <c r="B11312" s="2" t="s">
        <v>1448</v>
      </c>
      <c r="C11312" s="2">
        <v>701.22519999999997</v>
      </c>
      <c r="D11312" s="2">
        <f>HYPERLINK("http://mcb-m6.bioreg.kyushu-u.ac.jp/M3/20110427/F51113/1813/1", 78.09)</f>
        <v>78.09</v>
      </c>
      <c r="E11312" s="2">
        <v>44.52</v>
      </c>
      <c r="F11312" s="2">
        <v>2</v>
      </c>
      <c r="G11312" s="2" t="s">
        <v>13</v>
      </c>
    </row>
    <row r="11313" spans="1:9" x14ac:dyDescent="0.2">
      <c r="A11313" s="2" t="s">
        <v>4068</v>
      </c>
      <c r="B11313" s="2" t="s">
        <v>1448</v>
      </c>
      <c r="C11313" s="2">
        <v>700.71370000000002</v>
      </c>
      <c r="D11313" s="2">
        <f>HYPERLINK("http://mcb-m6.bioreg.kyushu-u.ac.jp/M3/20110427/F51113/1811/1", 88.88)</f>
        <v>88.88</v>
      </c>
      <c r="E11313" s="2">
        <v>42.61</v>
      </c>
      <c r="F11313" s="2">
        <v>2</v>
      </c>
      <c r="G11313" s="2" t="s">
        <v>13</v>
      </c>
    </row>
    <row r="11314" spans="1:9" x14ac:dyDescent="0.2">
      <c r="A11314" s="2" t="s">
        <v>4113</v>
      </c>
      <c r="B11314" s="2" t="s">
        <v>1604</v>
      </c>
      <c r="C11314" s="2">
        <v>1244.855</v>
      </c>
      <c r="D11314" s="2">
        <f>HYPERLINK("http://mcb-m6.bioreg.kyushu-u.ac.jp/M3/20110427/F51113/3332/1", 66.09)</f>
        <v>66.09</v>
      </c>
      <c r="E11314" s="2">
        <v>61.72</v>
      </c>
      <c r="F11314" s="2">
        <v>2</v>
      </c>
      <c r="G11314" s="2" t="s">
        <v>13</v>
      </c>
    </row>
    <row r="11315" spans="1:9" x14ac:dyDescent="0.2">
      <c r="A11315" s="2" t="s">
        <v>7935</v>
      </c>
      <c r="B11315" s="2" t="s">
        <v>7110</v>
      </c>
      <c r="C11315" s="2">
        <v>667.90309999999999</v>
      </c>
      <c r="D11315" s="2">
        <f>HYPERLINK("http://mcb-m6.bioreg.kyushu-u.ac.jp/M3/20110421/F51018/1717/1", 46.1)</f>
        <v>46.1</v>
      </c>
      <c r="E11315" s="2">
        <v>31.56</v>
      </c>
      <c r="F11315" s="2">
        <v>2</v>
      </c>
      <c r="G11315" s="2" t="s">
        <v>11</v>
      </c>
      <c r="H11315" s="2" t="s">
        <v>4919</v>
      </c>
    </row>
    <row r="11316" spans="1:9" x14ac:dyDescent="0.2">
      <c r="A11316" s="2" t="s">
        <v>4480</v>
      </c>
      <c r="B11316" s="2" t="s">
        <v>2430</v>
      </c>
      <c r="C11316" s="2">
        <v>796.22609999999997</v>
      </c>
      <c r="D11316" s="2">
        <f>HYPERLINK("http://mcb-m6.bioreg.kyushu-u.ac.jp/M3/20110404/F50753/2226/1", 62.87)</f>
        <v>62.87</v>
      </c>
      <c r="E11316" s="2">
        <v>38.54</v>
      </c>
      <c r="F11316" s="2">
        <v>2</v>
      </c>
      <c r="G11316" s="2" t="s">
        <v>9</v>
      </c>
    </row>
    <row r="11317" spans="1:9" x14ac:dyDescent="0.2">
      <c r="A11317" s="2" t="s">
        <v>3699</v>
      </c>
      <c r="B11317" s="2" t="s">
        <v>677</v>
      </c>
      <c r="C11317" s="2">
        <v>873.35699999999997</v>
      </c>
      <c r="D11317" s="2">
        <f>HYPERLINK("http://mcb-m6.bioreg.kyushu-u.ac.jp/M3/20110421/F51018/826/1", 48.07)</f>
        <v>48.07</v>
      </c>
      <c r="E11317" s="2">
        <v>1.63</v>
      </c>
      <c r="F11317" s="2">
        <v>1</v>
      </c>
      <c r="G11317" s="2" t="s">
        <v>11</v>
      </c>
    </row>
    <row r="11318" spans="1:9" x14ac:dyDescent="0.2">
      <c r="A11318" s="2" t="s">
        <v>3699</v>
      </c>
      <c r="B11318" s="2" t="s">
        <v>677</v>
      </c>
      <c r="C11318" s="2">
        <v>873.34</v>
      </c>
      <c r="D11318" s="2">
        <f>HYPERLINK("http://mcb-m6.bioreg.kyushu-u.ac.jp/M3/20110427/F51113/795/1", 48.19)</f>
        <v>48.19</v>
      </c>
      <c r="E11318" s="2">
        <v>1.62</v>
      </c>
      <c r="F11318" s="2">
        <v>1</v>
      </c>
      <c r="G11318" s="2" t="s">
        <v>13</v>
      </c>
    </row>
    <row r="11319" spans="1:9" x14ac:dyDescent="0.2">
      <c r="A11319" s="2" t="s">
        <v>7670</v>
      </c>
      <c r="B11319" s="2" t="s">
        <v>6287</v>
      </c>
      <c r="C11319" s="2">
        <v>740.74519999999995</v>
      </c>
      <c r="D11319" s="2">
        <f>HYPERLINK("http://mcb-m6.bioreg.kyushu-u.ac.jp/M3/20110404/F50764/1888/1", 50.9)</f>
        <v>50.9</v>
      </c>
      <c r="E11319" s="2">
        <v>40.58</v>
      </c>
      <c r="F11319" s="2">
        <v>2</v>
      </c>
      <c r="G11319" s="2" t="s">
        <v>9</v>
      </c>
      <c r="I11319" s="2" t="s">
        <v>4895</v>
      </c>
    </row>
    <row r="11320" spans="1:9" x14ac:dyDescent="0.2">
      <c r="A11320" s="2" t="s">
        <v>7670</v>
      </c>
      <c r="B11320" s="2" t="s">
        <v>6301</v>
      </c>
      <c r="C11320" s="2">
        <v>609.80110000000002</v>
      </c>
      <c r="D11320" s="2">
        <f>HYPERLINK("http://mcb-m6.bioreg.kyushu-u.ac.jp/M3/20110404/F50764/1348/1", 51.67)</f>
        <v>51.67</v>
      </c>
      <c r="E11320" s="2">
        <v>18.16</v>
      </c>
      <c r="F11320" s="2">
        <v>2</v>
      </c>
      <c r="G11320" s="2" t="s">
        <v>9</v>
      </c>
    </row>
    <row r="11321" spans="1:9" x14ac:dyDescent="0.2">
      <c r="A11321" s="2" t="s">
        <v>7670</v>
      </c>
      <c r="B11321" s="2" t="s">
        <v>6507</v>
      </c>
      <c r="C11321" s="2">
        <v>841.39170000000001</v>
      </c>
      <c r="D11321" s="2">
        <f>HYPERLINK("http://mcb-m6.bioreg.kyushu-u.ac.jp/M3/20110404/F50764/2233/1", 71.81)</f>
        <v>71.81</v>
      </c>
      <c r="E11321" s="2">
        <v>48.72</v>
      </c>
      <c r="F11321" s="2">
        <v>2</v>
      </c>
      <c r="G11321" s="2" t="s">
        <v>9</v>
      </c>
    </row>
    <row r="11322" spans="1:9" x14ac:dyDescent="0.2">
      <c r="A11322" s="2" t="s">
        <v>7670</v>
      </c>
      <c r="B11322" s="2" t="s">
        <v>6507</v>
      </c>
      <c r="C11322" s="2">
        <v>840.71510000000001</v>
      </c>
      <c r="D11322" s="2">
        <f>HYPERLINK("http://mcb-m6.bioreg.kyushu-u.ac.jp/M3/20110404/F50764/2230/1", 91.82)</f>
        <v>91.82</v>
      </c>
      <c r="E11322" s="2">
        <v>75.67</v>
      </c>
      <c r="F11322" s="2">
        <v>2</v>
      </c>
      <c r="G11322" s="2" t="s">
        <v>9</v>
      </c>
    </row>
    <row r="11323" spans="1:9" x14ac:dyDescent="0.2">
      <c r="A11323" s="2" t="s">
        <v>7670</v>
      </c>
      <c r="B11323" s="2" t="s">
        <v>6507</v>
      </c>
      <c r="C11323" s="2">
        <v>841.33169999999996</v>
      </c>
      <c r="D11323" s="2">
        <f>HYPERLINK("http://mcb-m6.bioreg.kyushu-u.ac.jp/M3/20110404/F50770/2246/1", 61.98)</f>
        <v>61.98</v>
      </c>
      <c r="E11323" s="2">
        <v>46.85</v>
      </c>
      <c r="F11323" s="2">
        <v>2</v>
      </c>
      <c r="G11323" s="2" t="s">
        <v>10</v>
      </c>
    </row>
    <row r="11324" spans="1:9" x14ac:dyDescent="0.2">
      <c r="A11324" s="2" t="s">
        <v>3715</v>
      </c>
      <c r="B11324" s="2" t="s">
        <v>6062</v>
      </c>
      <c r="C11324" s="2">
        <v>812.92970000000003</v>
      </c>
      <c r="D11324" s="2">
        <f>HYPERLINK("http://mcb-m6.bioreg.kyushu-u.ac.jp/M3/20110404/F50763/2190/1", 40.58)</f>
        <v>40.58</v>
      </c>
      <c r="E11324" s="2">
        <v>31.45</v>
      </c>
      <c r="F11324" s="2">
        <v>2</v>
      </c>
      <c r="G11324" s="2" t="s">
        <v>9</v>
      </c>
    </row>
    <row r="11325" spans="1:9" x14ac:dyDescent="0.2">
      <c r="A11325" s="2" t="s">
        <v>3715</v>
      </c>
      <c r="B11325" s="2" t="s">
        <v>702</v>
      </c>
      <c r="C11325" s="2">
        <v>746.35270000000003</v>
      </c>
      <c r="D11325" s="2">
        <f>HYPERLINK("http://mcb-m6.bioreg.kyushu-u.ac.jp/M3/20110404/F50772/1944/1", 83.89)</f>
        <v>83.89</v>
      </c>
      <c r="E11325" s="2">
        <v>55.45</v>
      </c>
      <c r="F11325" s="2">
        <v>2</v>
      </c>
      <c r="G11325" s="2" t="s">
        <v>10</v>
      </c>
    </row>
    <row r="11326" spans="1:9" x14ac:dyDescent="0.2">
      <c r="A11326" s="2" t="s">
        <v>3715</v>
      </c>
      <c r="B11326" s="2" t="s">
        <v>2438</v>
      </c>
      <c r="C11326" s="2">
        <v>715.38710000000003</v>
      </c>
      <c r="D11326" s="2">
        <f>HYPERLINK("http://mcb-m6.bioreg.kyushu-u.ac.jp/M3/20110404/F50772/1805/1", 89.05)</f>
        <v>89.05</v>
      </c>
      <c r="E11326" s="2">
        <v>68.69</v>
      </c>
      <c r="F11326" s="2">
        <v>2</v>
      </c>
      <c r="G11326" s="2" t="s">
        <v>10</v>
      </c>
    </row>
    <row r="11327" spans="1:9" x14ac:dyDescent="0.2">
      <c r="A11327" s="2" t="s">
        <v>3715</v>
      </c>
      <c r="B11327" s="2" t="s">
        <v>2822</v>
      </c>
      <c r="C11327" s="2">
        <v>771.44370000000004</v>
      </c>
      <c r="D11327" s="2">
        <f>HYPERLINK("http://mcb-m6.bioreg.kyushu-u.ac.jp/M3/20110421/F51042/2085/1", 44.28)</f>
        <v>44.28</v>
      </c>
      <c r="E11327" s="2">
        <v>22.28</v>
      </c>
      <c r="F11327" s="2">
        <v>2</v>
      </c>
      <c r="G11327" s="2" t="s">
        <v>11</v>
      </c>
    </row>
    <row r="11328" spans="1:9" x14ac:dyDescent="0.2">
      <c r="A11328" s="2" t="s">
        <v>3561</v>
      </c>
      <c r="B11328" s="2" t="s">
        <v>424</v>
      </c>
      <c r="C11328" s="2">
        <v>963.11770000000001</v>
      </c>
      <c r="D11328" s="2">
        <f>HYPERLINK("http://mcb-m6.bioreg.kyushu-u.ac.jp/M3/20110421/F51035/3003/1", 44.31)</f>
        <v>44.31</v>
      </c>
      <c r="E11328" s="2">
        <v>29.88</v>
      </c>
      <c r="F11328" s="2">
        <v>2</v>
      </c>
      <c r="G11328" s="2" t="s">
        <v>11</v>
      </c>
    </row>
    <row r="11329" spans="1:9" x14ac:dyDescent="0.2">
      <c r="A11329" s="2" t="s">
        <v>3261</v>
      </c>
      <c r="B11329" s="2" t="s">
        <v>386</v>
      </c>
      <c r="C11329" s="2">
        <v>1175.25</v>
      </c>
      <c r="D11329" s="2">
        <f>HYPERLINK("http://mcb-m6.bioreg.kyushu-u.ac.jp/M3/20110404/F50754/1591/1", 41.79)</f>
        <v>41.79</v>
      </c>
      <c r="E11329" s="2">
        <v>29.94</v>
      </c>
      <c r="F11329" s="2">
        <v>1</v>
      </c>
      <c r="G11329" s="2" t="s">
        <v>9</v>
      </c>
      <c r="I11329" s="2" t="s">
        <v>4903</v>
      </c>
    </row>
    <row r="11330" spans="1:9" x14ac:dyDescent="0.2">
      <c r="A11330" s="2" t="s">
        <v>3261</v>
      </c>
      <c r="B11330" s="2" t="s">
        <v>386</v>
      </c>
      <c r="C11330" s="2">
        <v>1176.2650000000001</v>
      </c>
      <c r="D11330" s="2">
        <f>HYPERLINK("http://mcb-m6.bioreg.kyushu-u.ac.jp/M3/20110404/F50754/1595/1", 45.03)</f>
        <v>45.03</v>
      </c>
      <c r="E11330" s="2">
        <v>34.89</v>
      </c>
      <c r="F11330" s="2">
        <v>1</v>
      </c>
      <c r="G11330" s="2" t="s">
        <v>9</v>
      </c>
      <c r="I11330" s="2" t="s">
        <v>4903</v>
      </c>
    </row>
    <row r="11331" spans="1:9" x14ac:dyDescent="0.2">
      <c r="A11331" s="2" t="s">
        <v>3261</v>
      </c>
      <c r="B11331" s="2" t="s">
        <v>308</v>
      </c>
      <c r="C11331" s="2">
        <v>992.41099999999994</v>
      </c>
      <c r="D11331" s="2">
        <f>HYPERLINK("http://mcb-m6.bioreg.kyushu-u.ac.jp/M3/20110404/F50754/1304/1", 50.14)</f>
        <v>50.14</v>
      </c>
      <c r="E11331" s="2">
        <v>25.7</v>
      </c>
      <c r="F11331" s="2">
        <v>1</v>
      </c>
      <c r="G11331" s="2" t="s">
        <v>9</v>
      </c>
    </row>
    <row r="11332" spans="1:9" x14ac:dyDescent="0.2">
      <c r="A11332" s="2" t="s">
        <v>3261</v>
      </c>
      <c r="B11332" s="2" t="s">
        <v>747</v>
      </c>
      <c r="C11332" s="2">
        <v>553.69669999999996</v>
      </c>
      <c r="D11332" s="2">
        <f>HYPERLINK("http://mcb-m6.bioreg.kyushu-u.ac.jp/M3/20110404/F50754/1491/1", 50.84)</f>
        <v>50.84</v>
      </c>
      <c r="E11332" s="2">
        <v>28.31</v>
      </c>
      <c r="F11332" s="2">
        <v>2</v>
      </c>
      <c r="G11332" s="2" t="s">
        <v>9</v>
      </c>
    </row>
    <row r="11333" spans="1:9" x14ac:dyDescent="0.2">
      <c r="A11333" s="2" t="s">
        <v>3261</v>
      </c>
      <c r="B11333" s="2" t="s">
        <v>41</v>
      </c>
      <c r="C11333" s="2">
        <v>501.17910000000001</v>
      </c>
      <c r="D11333" s="2">
        <f>HYPERLINK("http://mcb-m6.bioreg.kyushu-u.ac.jp/M3/20110404/F50754/1327/1", 57.54)</f>
        <v>57.54</v>
      </c>
      <c r="E11333" s="2">
        <v>8.39</v>
      </c>
      <c r="F11333" s="2">
        <v>2</v>
      </c>
      <c r="G11333" s="2" t="s">
        <v>9</v>
      </c>
    </row>
    <row r="11334" spans="1:9" x14ac:dyDescent="0.2">
      <c r="A11334" s="2" t="s">
        <v>3261</v>
      </c>
      <c r="B11334" s="2" t="s">
        <v>713</v>
      </c>
      <c r="C11334" s="2">
        <v>494.22559999999999</v>
      </c>
      <c r="D11334" s="2">
        <f>HYPERLINK("http://mcb-m6.bioreg.kyushu-u.ac.jp/M3/20110404/F50754/1297/1", 62.42)</f>
        <v>62.42</v>
      </c>
      <c r="E11334" s="2">
        <v>29.62</v>
      </c>
      <c r="F11334" s="2">
        <v>2</v>
      </c>
      <c r="G11334" s="2" t="s">
        <v>9</v>
      </c>
    </row>
    <row r="11335" spans="1:9" x14ac:dyDescent="0.2">
      <c r="A11335" s="2" t="s">
        <v>3261</v>
      </c>
      <c r="B11335" s="2" t="s">
        <v>308</v>
      </c>
      <c r="C11335" s="2">
        <v>496.62909999999999</v>
      </c>
      <c r="D11335" s="2">
        <f>HYPERLINK("http://mcb-m6.bioreg.kyushu-u.ac.jp/M3/20110404/F50754/1302/1", 66.85)</f>
        <v>66.849999999999994</v>
      </c>
      <c r="E11335" s="2">
        <v>35.65</v>
      </c>
      <c r="F11335" s="2">
        <v>2</v>
      </c>
      <c r="G11335" s="2" t="s">
        <v>9</v>
      </c>
    </row>
    <row r="11336" spans="1:9" x14ac:dyDescent="0.2">
      <c r="A11336" s="2" t="s">
        <v>3261</v>
      </c>
      <c r="B11336" s="2" t="s">
        <v>1498</v>
      </c>
      <c r="C11336" s="2">
        <v>716.81370000000004</v>
      </c>
      <c r="D11336" s="2">
        <f>HYPERLINK("http://mcb-m6.bioreg.kyushu-u.ac.jp/M3/20110404/F50754/2028/1", 81)</f>
        <v>81</v>
      </c>
      <c r="E11336" s="2">
        <v>62.7</v>
      </c>
      <c r="F11336" s="2">
        <v>2</v>
      </c>
      <c r="G11336" s="2" t="s">
        <v>9</v>
      </c>
    </row>
    <row r="11337" spans="1:9" x14ac:dyDescent="0.2">
      <c r="A11337" s="2" t="s">
        <v>3261</v>
      </c>
      <c r="B11337" s="2" t="s">
        <v>1550</v>
      </c>
      <c r="C11337" s="2">
        <v>807.75319999999999</v>
      </c>
      <c r="D11337" s="2">
        <f>HYPERLINK("http://mcb-m6.bioreg.kyushu-u.ac.jp/M3/20110404/F50754/2332/1", 95.41)</f>
        <v>95.41</v>
      </c>
      <c r="E11337" s="2">
        <v>75.14</v>
      </c>
      <c r="F11337" s="2">
        <v>2</v>
      </c>
      <c r="G11337" s="2" t="s">
        <v>9</v>
      </c>
    </row>
    <row r="11338" spans="1:9" x14ac:dyDescent="0.2">
      <c r="A11338" s="2" t="s">
        <v>3261</v>
      </c>
      <c r="B11338" s="2" t="s">
        <v>1580</v>
      </c>
      <c r="C11338" s="2">
        <v>852.5172</v>
      </c>
      <c r="D11338" s="2">
        <f>HYPERLINK("http://mcb-m6.bioreg.kyushu-u.ac.jp/M3/20110404/F50754/2454/1", 105.86)</f>
        <v>105.86</v>
      </c>
      <c r="E11338" s="2">
        <v>84.95</v>
      </c>
      <c r="F11338" s="2">
        <v>2</v>
      </c>
      <c r="G11338" s="2" t="s">
        <v>9</v>
      </c>
    </row>
    <row r="11339" spans="1:9" x14ac:dyDescent="0.2">
      <c r="A11339" s="2" t="s">
        <v>3261</v>
      </c>
      <c r="B11339" s="2" t="s">
        <v>713</v>
      </c>
      <c r="C11339" s="2">
        <v>987.4</v>
      </c>
      <c r="D11339" s="2">
        <f>HYPERLINK("http://mcb-m6.bioreg.kyushu-u.ac.jp/M3/20110421/F51018/1041/1", 36.79)</f>
        <v>36.79</v>
      </c>
      <c r="E11339" s="2">
        <v>16.8</v>
      </c>
      <c r="F11339" s="2">
        <v>1</v>
      </c>
      <c r="G11339" s="2" t="s">
        <v>11</v>
      </c>
    </row>
    <row r="11340" spans="1:9" x14ac:dyDescent="0.2">
      <c r="A11340" s="2" t="s">
        <v>3261</v>
      </c>
      <c r="B11340" s="2" t="s">
        <v>2573</v>
      </c>
      <c r="C11340" s="2">
        <v>875.29669999999999</v>
      </c>
      <c r="D11340" s="2">
        <f>HYPERLINK("http://mcb-m6.bioreg.kyushu-u.ac.jp/M3/20110421/F51018/2642/1", 36.9)</f>
        <v>36.9</v>
      </c>
      <c r="E11340" s="2">
        <v>27.5</v>
      </c>
      <c r="F11340" s="2">
        <v>2</v>
      </c>
      <c r="G11340" s="2" t="s">
        <v>11</v>
      </c>
      <c r="H11340" s="2" t="s">
        <v>4907</v>
      </c>
    </row>
    <row r="11341" spans="1:9" x14ac:dyDescent="0.2">
      <c r="A11341" s="2" t="s">
        <v>3261</v>
      </c>
      <c r="B11341" s="2" t="s">
        <v>308</v>
      </c>
      <c r="C11341" s="2">
        <v>975.44299999999998</v>
      </c>
      <c r="D11341" s="2">
        <f>HYPERLINK("http://mcb-m6.bioreg.kyushu-u.ac.jp/M3/20110421/F51018/1021/1", 41.49)</f>
        <v>41.49</v>
      </c>
      <c r="E11341" s="2">
        <v>18.670000000000002</v>
      </c>
      <c r="F11341" s="2">
        <v>1</v>
      </c>
      <c r="G11341" s="2" t="s">
        <v>11</v>
      </c>
      <c r="H11341" s="2" t="s">
        <v>4904</v>
      </c>
    </row>
    <row r="11342" spans="1:9" x14ac:dyDescent="0.2">
      <c r="A11342" s="2" t="s">
        <v>3261</v>
      </c>
      <c r="B11342" s="2" t="s">
        <v>386</v>
      </c>
      <c r="C11342" s="2">
        <v>1175.2729999999999</v>
      </c>
      <c r="D11342" s="2">
        <f>HYPERLINK("http://mcb-m6.bioreg.kyushu-u.ac.jp/M3/20110421/F51018/1431/1", 46.59)</f>
        <v>46.59</v>
      </c>
      <c r="E11342" s="2">
        <v>25.53</v>
      </c>
      <c r="F11342" s="2">
        <v>1</v>
      </c>
      <c r="G11342" s="2" t="s">
        <v>11</v>
      </c>
      <c r="I11342" s="2" t="s">
        <v>4903</v>
      </c>
    </row>
    <row r="11343" spans="1:9" x14ac:dyDescent="0.2">
      <c r="A11343" s="2" t="s">
        <v>3261</v>
      </c>
      <c r="B11343" s="2" t="s">
        <v>1580</v>
      </c>
      <c r="C11343" s="2">
        <v>852.75570000000005</v>
      </c>
      <c r="D11343" s="2">
        <f>HYPERLINK("http://mcb-m6.bioreg.kyushu-u.ac.jp/M3/20110421/F51018/2568/1", 61.64)</f>
        <v>61.64</v>
      </c>
      <c r="E11343" s="2">
        <v>50.02</v>
      </c>
      <c r="F11343" s="2">
        <v>2</v>
      </c>
      <c r="G11343" s="2" t="s">
        <v>11</v>
      </c>
    </row>
    <row r="11344" spans="1:9" x14ac:dyDescent="0.2">
      <c r="A11344" s="2" t="s">
        <v>3261</v>
      </c>
      <c r="B11344" s="2" t="s">
        <v>713</v>
      </c>
      <c r="C11344" s="2">
        <v>494.22809999999998</v>
      </c>
      <c r="D11344" s="2">
        <f>HYPERLINK("http://mcb-m6.bioreg.kyushu-u.ac.jp/M3/20110421/F51018/1042/1", 83.96)</f>
        <v>83.96</v>
      </c>
      <c r="E11344" s="2">
        <v>50.36</v>
      </c>
      <c r="F11344" s="2">
        <v>2</v>
      </c>
      <c r="G11344" s="2" t="s">
        <v>11</v>
      </c>
    </row>
    <row r="11345" spans="1:9" x14ac:dyDescent="0.2">
      <c r="A11345" s="2" t="s">
        <v>3261</v>
      </c>
      <c r="B11345" s="2" t="s">
        <v>1580</v>
      </c>
      <c r="C11345" s="2">
        <v>852.32259999999997</v>
      </c>
      <c r="D11345" s="2">
        <f>HYPERLINK("http://mcb-m6.bioreg.kyushu-u.ac.jp/M3/20110421/F51018/2567/1", 120)</f>
        <v>120</v>
      </c>
      <c r="E11345" s="2">
        <v>98.02</v>
      </c>
      <c r="F11345" s="2">
        <v>2</v>
      </c>
      <c r="G11345" s="2" t="s">
        <v>11</v>
      </c>
    </row>
    <row r="11346" spans="1:9" x14ac:dyDescent="0.2">
      <c r="A11346" s="2" t="s">
        <v>3261</v>
      </c>
      <c r="B11346" s="2" t="s">
        <v>713</v>
      </c>
      <c r="C11346" s="2">
        <v>987.33799999999997</v>
      </c>
      <c r="D11346" s="2">
        <f>HYPERLINK("http://mcb-m6.bioreg.kyushu-u.ac.jp/M3/20110421/F51024/1141/1", 38.66)</f>
        <v>38.659999999999997</v>
      </c>
      <c r="E11346" s="2">
        <v>18.8</v>
      </c>
      <c r="F11346" s="2">
        <v>1</v>
      </c>
      <c r="G11346" s="2" t="s">
        <v>12</v>
      </c>
    </row>
    <row r="11347" spans="1:9" x14ac:dyDescent="0.2">
      <c r="A11347" s="2" t="s">
        <v>3261</v>
      </c>
      <c r="B11347" s="2" t="s">
        <v>386</v>
      </c>
      <c r="C11347" s="2">
        <v>1175.2919999999999</v>
      </c>
      <c r="D11347" s="2">
        <f>HYPERLINK("http://mcb-m6.bioreg.kyushu-u.ac.jp/M3/20110421/F51024/1518/1", 39.23)</f>
        <v>39.229999999999997</v>
      </c>
      <c r="E11347" s="2">
        <v>17.350000000000001</v>
      </c>
      <c r="F11347" s="2">
        <v>1</v>
      </c>
      <c r="G11347" s="2" t="s">
        <v>12</v>
      </c>
      <c r="I11347" s="2" t="s">
        <v>4903</v>
      </c>
    </row>
    <row r="11348" spans="1:9" x14ac:dyDescent="0.2">
      <c r="A11348" s="2" t="s">
        <v>3261</v>
      </c>
      <c r="B11348" s="2" t="s">
        <v>386</v>
      </c>
      <c r="C11348" s="2">
        <v>1176.271</v>
      </c>
      <c r="D11348" s="2">
        <f>HYPERLINK("http://mcb-m6.bioreg.kyushu-u.ac.jp/M3/20110421/F51024/1526/1", 40.27)</f>
        <v>40.270000000000003</v>
      </c>
      <c r="E11348" s="2">
        <v>30.96</v>
      </c>
      <c r="F11348" s="2">
        <v>1</v>
      </c>
      <c r="G11348" s="2" t="s">
        <v>12</v>
      </c>
      <c r="I11348" s="2" t="s">
        <v>4903</v>
      </c>
    </row>
    <row r="11349" spans="1:9" x14ac:dyDescent="0.2">
      <c r="A11349" s="2" t="s">
        <v>3261</v>
      </c>
      <c r="B11349" s="2" t="s">
        <v>1974</v>
      </c>
      <c r="C11349" s="2">
        <v>451.80959999999999</v>
      </c>
      <c r="D11349" s="2">
        <f>HYPERLINK("http://mcb-m6.bioreg.kyushu-u.ac.jp/M3/20110421/F51024/942/1", 43.08)</f>
        <v>43.08</v>
      </c>
      <c r="E11349" s="2">
        <v>8.6300000000000008</v>
      </c>
      <c r="F11349" s="2">
        <v>2</v>
      </c>
      <c r="G11349" s="2" t="s">
        <v>12</v>
      </c>
    </row>
    <row r="11350" spans="1:9" x14ac:dyDescent="0.2">
      <c r="A11350" s="2" t="s">
        <v>3261</v>
      </c>
      <c r="B11350" s="2" t="s">
        <v>1498</v>
      </c>
      <c r="C11350" s="2">
        <v>717.06669999999997</v>
      </c>
      <c r="D11350" s="2">
        <f>HYPERLINK("http://mcb-m6.bioreg.kyushu-u.ac.jp/M3/20110421/F51025/1947/1", 49.18)</f>
        <v>49.18</v>
      </c>
      <c r="E11350" s="2">
        <v>30.15</v>
      </c>
      <c r="F11350" s="2">
        <v>2</v>
      </c>
      <c r="G11350" s="2" t="s">
        <v>12</v>
      </c>
    </row>
    <row r="11351" spans="1:9" x14ac:dyDescent="0.2">
      <c r="A11351" s="2" t="s">
        <v>3261</v>
      </c>
      <c r="B11351" s="2" t="s">
        <v>308</v>
      </c>
      <c r="C11351" s="2">
        <v>975.38699999999994</v>
      </c>
      <c r="D11351" s="2">
        <f>HYPERLINK("http://mcb-m6.bioreg.kyushu-u.ac.jp/M3/20110421/F51024/1114/1", 51.68)</f>
        <v>51.68</v>
      </c>
      <c r="E11351" s="2">
        <v>26.2</v>
      </c>
      <c r="F11351" s="2">
        <v>1</v>
      </c>
      <c r="G11351" s="2" t="s">
        <v>12</v>
      </c>
      <c r="H11351" s="2" t="s">
        <v>4904</v>
      </c>
    </row>
    <row r="11352" spans="1:9" x14ac:dyDescent="0.2">
      <c r="A11352" s="2" t="s">
        <v>3261</v>
      </c>
      <c r="B11352" s="2" t="s">
        <v>1550</v>
      </c>
      <c r="C11352" s="2">
        <v>807.87660000000005</v>
      </c>
      <c r="D11352" s="2">
        <f>HYPERLINK("http://mcb-m6.bioreg.kyushu-u.ac.jp/M3/20110421/F51025/2242/1", 65.25)</f>
        <v>65.25</v>
      </c>
      <c r="E11352" s="2">
        <v>32.909999999999997</v>
      </c>
      <c r="F11352" s="2">
        <v>2</v>
      </c>
      <c r="G11352" s="2" t="s">
        <v>12</v>
      </c>
    </row>
    <row r="11353" spans="1:9" x14ac:dyDescent="0.2">
      <c r="A11353" s="2" t="s">
        <v>3261</v>
      </c>
      <c r="B11353" s="2" t="s">
        <v>713</v>
      </c>
      <c r="C11353" s="2">
        <v>494.12509999999997</v>
      </c>
      <c r="D11353" s="2">
        <f>HYPERLINK("http://mcb-m6.bioreg.kyushu-u.ac.jp/M3/20110421/F51024/1140/1", 80.92)</f>
        <v>80.92</v>
      </c>
      <c r="E11353" s="2">
        <v>48.86</v>
      </c>
      <c r="F11353" s="2">
        <v>2</v>
      </c>
      <c r="G11353" s="2" t="s">
        <v>12</v>
      </c>
    </row>
    <row r="11354" spans="1:9" x14ac:dyDescent="0.2">
      <c r="A11354" s="2" t="s">
        <v>3261</v>
      </c>
      <c r="B11354" s="2" t="s">
        <v>1550</v>
      </c>
      <c r="C11354" s="2">
        <v>807.80470000000003</v>
      </c>
      <c r="D11354" s="2">
        <f>HYPERLINK("http://mcb-m6.bioreg.kyushu-u.ac.jp/M3/20110421/F51024/2413/1", 82.28)</f>
        <v>82.28</v>
      </c>
      <c r="E11354" s="2">
        <v>61.77</v>
      </c>
      <c r="F11354" s="2">
        <v>2</v>
      </c>
      <c r="G11354" s="2" t="s">
        <v>12</v>
      </c>
    </row>
    <row r="11355" spans="1:9" x14ac:dyDescent="0.2">
      <c r="A11355" s="2" t="s">
        <v>3261</v>
      </c>
      <c r="B11355" s="2" t="s">
        <v>1580</v>
      </c>
      <c r="C11355" s="2">
        <v>852.79319999999996</v>
      </c>
      <c r="D11355" s="2">
        <f>HYPERLINK("http://mcb-m6.bioreg.kyushu-u.ac.jp/M3/20110421/F51024/2585/1", 86.3)</f>
        <v>86.3</v>
      </c>
      <c r="E11355" s="2">
        <v>68.59</v>
      </c>
      <c r="F11355" s="2">
        <v>2</v>
      </c>
      <c r="G11355" s="2" t="s">
        <v>12</v>
      </c>
    </row>
    <row r="11356" spans="1:9" x14ac:dyDescent="0.2">
      <c r="A11356" s="2" t="s">
        <v>3261</v>
      </c>
      <c r="B11356" s="2" t="s">
        <v>935</v>
      </c>
      <c r="C11356" s="2">
        <v>634.67409999999995</v>
      </c>
      <c r="D11356" s="2">
        <f>HYPERLINK("http://mcb-m6.bioreg.kyushu-u.ac.jp/M3/20110421/F51024/1702/1", 88.68)</f>
        <v>88.68</v>
      </c>
      <c r="E11356" s="2">
        <v>72.510000000000005</v>
      </c>
      <c r="F11356" s="2">
        <v>2</v>
      </c>
      <c r="G11356" s="2" t="s">
        <v>12</v>
      </c>
    </row>
    <row r="11357" spans="1:9" x14ac:dyDescent="0.2">
      <c r="A11357" s="2" t="s">
        <v>3261</v>
      </c>
      <c r="B11357" s="2" t="s">
        <v>1580</v>
      </c>
      <c r="C11357" s="2">
        <v>852.3057</v>
      </c>
      <c r="D11357" s="2">
        <f>HYPERLINK("http://mcb-m6.bioreg.kyushu-u.ac.jp/M3/20110421/F51025/2399/1", 102.01)</f>
        <v>102.01</v>
      </c>
      <c r="E11357" s="2">
        <v>80.88</v>
      </c>
      <c r="F11357" s="2">
        <v>2</v>
      </c>
      <c r="G11357" s="2" t="s">
        <v>12</v>
      </c>
    </row>
    <row r="11358" spans="1:9" x14ac:dyDescent="0.2">
      <c r="A11358" s="2" t="s">
        <v>3261</v>
      </c>
      <c r="B11358" s="2" t="s">
        <v>1550</v>
      </c>
      <c r="C11358" s="2">
        <v>807.26260000000002</v>
      </c>
      <c r="D11358" s="2">
        <f>HYPERLINK("http://mcb-m6.bioreg.kyushu-u.ac.jp/M3/20110421/F51024/2411/1", 104)</f>
        <v>104</v>
      </c>
      <c r="E11358" s="2">
        <v>76.260000000000005</v>
      </c>
      <c r="F11358" s="2">
        <v>2</v>
      </c>
      <c r="G11358" s="2" t="s">
        <v>12</v>
      </c>
    </row>
    <row r="11359" spans="1:9" x14ac:dyDescent="0.2">
      <c r="A11359" s="2" t="s">
        <v>3261</v>
      </c>
      <c r="B11359" s="2" t="s">
        <v>1580</v>
      </c>
      <c r="C11359" s="2">
        <v>852.26670000000001</v>
      </c>
      <c r="D11359" s="2">
        <f>HYPERLINK("http://mcb-m6.bioreg.kyushu-u.ac.jp/M3/20110421/F51024/2583/1", 116.49)</f>
        <v>116.49</v>
      </c>
      <c r="E11359" s="2">
        <v>84.47</v>
      </c>
      <c r="F11359" s="2">
        <v>2</v>
      </c>
      <c r="G11359" s="2" t="s">
        <v>12</v>
      </c>
    </row>
    <row r="11360" spans="1:9" x14ac:dyDescent="0.2">
      <c r="A11360" s="2" t="s">
        <v>3261</v>
      </c>
      <c r="B11360" s="2" t="s">
        <v>41</v>
      </c>
      <c r="C11360" s="2">
        <v>1001.438</v>
      </c>
      <c r="D11360" s="2">
        <f>HYPERLINK("http://mcb-m6.bioreg.kyushu-u.ac.jp/M3/20110427/F51112/1042/1", 35.36)</f>
        <v>35.36</v>
      </c>
      <c r="E11360" s="2">
        <v>14.96</v>
      </c>
      <c r="F11360" s="2">
        <v>1</v>
      </c>
      <c r="G11360" s="2" t="s">
        <v>13</v>
      </c>
    </row>
    <row r="11361" spans="1:9" x14ac:dyDescent="0.2">
      <c r="A11361" s="2" t="s">
        <v>3261</v>
      </c>
      <c r="B11361" s="2" t="s">
        <v>386</v>
      </c>
      <c r="C11361" s="2">
        <v>1175.17</v>
      </c>
      <c r="D11361" s="2">
        <f>HYPERLINK("http://mcb-m6.bioreg.kyushu-u.ac.jp/M3/20110427/F51112/1444/1", 41.43)</f>
        <v>41.43</v>
      </c>
      <c r="E11361" s="2">
        <v>26.1</v>
      </c>
      <c r="F11361" s="2">
        <v>1</v>
      </c>
      <c r="G11361" s="2" t="s">
        <v>13</v>
      </c>
      <c r="I11361" s="2" t="s">
        <v>4903</v>
      </c>
    </row>
    <row r="11362" spans="1:9" x14ac:dyDescent="0.2">
      <c r="A11362" s="2" t="s">
        <v>3261</v>
      </c>
      <c r="B11362" s="2" t="s">
        <v>733</v>
      </c>
      <c r="C11362" s="2">
        <v>617.76120000000003</v>
      </c>
      <c r="D11362" s="2">
        <f>HYPERLINK("http://mcb-m6.bioreg.kyushu-u.ac.jp/M3/20110427/F51112/1579/1", 47.82)</f>
        <v>47.82</v>
      </c>
      <c r="E11362" s="2">
        <v>9.65</v>
      </c>
      <c r="F11362" s="2">
        <v>2</v>
      </c>
      <c r="G11362" s="2" t="s">
        <v>13</v>
      </c>
    </row>
    <row r="11363" spans="1:9" x14ac:dyDescent="0.2">
      <c r="A11363" s="2" t="s">
        <v>3261</v>
      </c>
      <c r="B11363" s="2" t="s">
        <v>713</v>
      </c>
      <c r="C11363" s="2">
        <v>494.7681</v>
      </c>
      <c r="D11363" s="2">
        <f>HYPERLINK("http://mcb-m6.bioreg.kyushu-u.ac.jp/M3/20110427/F51113/984/1", 50.9)</f>
        <v>50.9</v>
      </c>
      <c r="E11363" s="2">
        <v>26.31</v>
      </c>
      <c r="F11363" s="2">
        <v>2</v>
      </c>
      <c r="G11363" s="2" t="s">
        <v>13</v>
      </c>
    </row>
    <row r="11364" spans="1:9" x14ac:dyDescent="0.2">
      <c r="A11364" s="2" t="s">
        <v>3261</v>
      </c>
      <c r="B11364" s="2" t="s">
        <v>1550</v>
      </c>
      <c r="C11364" s="2">
        <v>807.23969999999997</v>
      </c>
      <c r="D11364" s="2">
        <f>HYPERLINK("http://mcb-m6.bioreg.kyushu-u.ac.jp/M3/20110427/F51112/2423/1", 52.38)</f>
        <v>52.38</v>
      </c>
      <c r="E11364" s="2">
        <v>37.64</v>
      </c>
      <c r="F11364" s="2">
        <v>2</v>
      </c>
      <c r="G11364" s="2" t="s">
        <v>13</v>
      </c>
    </row>
    <row r="11365" spans="1:9" x14ac:dyDescent="0.2">
      <c r="A11365" s="2" t="s">
        <v>3261</v>
      </c>
      <c r="B11365" s="2" t="s">
        <v>1241</v>
      </c>
      <c r="C11365" s="2">
        <v>578.13760000000002</v>
      </c>
      <c r="D11365" s="2">
        <f>HYPERLINK("http://mcb-m6.bioreg.kyushu-u.ac.jp/M3/20110427/F51112/1397/1", 81.7)</f>
        <v>81.7</v>
      </c>
      <c r="E11365" s="2">
        <v>46.73</v>
      </c>
      <c r="F11365" s="2">
        <v>2</v>
      </c>
      <c r="G11365" s="2" t="s">
        <v>13</v>
      </c>
    </row>
    <row r="11366" spans="1:9" x14ac:dyDescent="0.2">
      <c r="A11366" s="2" t="s">
        <v>3261</v>
      </c>
      <c r="B11366" s="2" t="s">
        <v>1498</v>
      </c>
      <c r="C11366" s="2">
        <v>716.70420000000001</v>
      </c>
      <c r="D11366" s="2">
        <f>HYPERLINK("http://mcb-m6.bioreg.kyushu-u.ac.jp/M3/20110427/F51112/1984/1", 84.38)</f>
        <v>84.38</v>
      </c>
      <c r="E11366" s="2">
        <v>68.260000000000005</v>
      </c>
      <c r="F11366" s="2">
        <v>2</v>
      </c>
      <c r="G11366" s="2" t="s">
        <v>13</v>
      </c>
    </row>
    <row r="11367" spans="1:9" x14ac:dyDescent="0.2">
      <c r="A11367" s="2" t="s">
        <v>3261</v>
      </c>
      <c r="B11367" s="2" t="s">
        <v>935</v>
      </c>
      <c r="C11367" s="2">
        <v>634.51070000000004</v>
      </c>
      <c r="D11367" s="2">
        <f>HYPERLINK("http://mcb-m6.bioreg.kyushu-u.ac.jp/M3/20110427/F51112/1624/1", 86.89)</f>
        <v>86.89</v>
      </c>
      <c r="E11367" s="2">
        <v>71.739999999999995</v>
      </c>
      <c r="F11367" s="2">
        <v>2</v>
      </c>
      <c r="G11367" s="2" t="s">
        <v>13</v>
      </c>
    </row>
    <row r="11368" spans="1:9" x14ac:dyDescent="0.2">
      <c r="A11368" s="2" t="s">
        <v>3261</v>
      </c>
      <c r="B11368" s="2" t="s">
        <v>1550</v>
      </c>
      <c r="C11368" s="2">
        <v>807.77620000000002</v>
      </c>
      <c r="D11368" s="2">
        <f>HYPERLINK("http://mcb-m6.bioreg.kyushu-u.ac.jp/M3/20110427/F51112/2426/1", 88.55)</f>
        <v>88.55</v>
      </c>
      <c r="E11368" s="2">
        <v>67.36</v>
      </c>
      <c r="F11368" s="2">
        <v>2</v>
      </c>
      <c r="G11368" s="2" t="s">
        <v>13</v>
      </c>
    </row>
    <row r="11369" spans="1:9" x14ac:dyDescent="0.2">
      <c r="A11369" s="2" t="s">
        <v>3261</v>
      </c>
      <c r="B11369" s="2" t="s">
        <v>1580</v>
      </c>
      <c r="C11369" s="2">
        <v>852.24869999999999</v>
      </c>
      <c r="D11369" s="2">
        <f>HYPERLINK("http://mcb-m6.bioreg.kyushu-u.ac.jp/M3/20110427/F51112/2613/1", 114.84)</f>
        <v>114.84</v>
      </c>
      <c r="E11369" s="2">
        <v>96.63</v>
      </c>
      <c r="F11369" s="2">
        <v>2</v>
      </c>
      <c r="G11369" s="2" t="s">
        <v>13</v>
      </c>
    </row>
    <row r="11370" spans="1:9" x14ac:dyDescent="0.2">
      <c r="A11370" s="2" t="s">
        <v>3261</v>
      </c>
      <c r="B11370" s="2" t="s">
        <v>386</v>
      </c>
      <c r="C11370" s="2">
        <v>1175.2539999999999</v>
      </c>
      <c r="D11370" s="2">
        <f>HYPERLINK("http://mcb-m6.bioreg.kyushu-u.ac.jp/M3/20110427/F51121/1541/1", 42.46)</f>
        <v>42.46</v>
      </c>
      <c r="E11370" s="2">
        <v>30.32</v>
      </c>
      <c r="F11370" s="2">
        <v>1</v>
      </c>
      <c r="G11370" s="2" t="s">
        <v>14</v>
      </c>
      <c r="I11370" s="2" t="s">
        <v>4903</v>
      </c>
    </row>
    <row r="11371" spans="1:9" x14ac:dyDescent="0.2">
      <c r="A11371" s="2" t="s">
        <v>3261</v>
      </c>
      <c r="B11371" s="2" t="s">
        <v>713</v>
      </c>
      <c r="C11371" s="2">
        <v>494.76710000000003</v>
      </c>
      <c r="D11371" s="2">
        <f>HYPERLINK("http://mcb-m6.bioreg.kyushu-u.ac.jp/M3/20110427/F51121/1225/1", 51.82)</f>
        <v>51.82</v>
      </c>
      <c r="E11371" s="2">
        <v>24.27</v>
      </c>
      <c r="F11371" s="2">
        <v>2</v>
      </c>
      <c r="G11371" s="2" t="s">
        <v>14</v>
      </c>
    </row>
    <row r="11372" spans="1:9" x14ac:dyDescent="0.2">
      <c r="A11372" s="2" t="s">
        <v>3261</v>
      </c>
      <c r="B11372" s="2" t="s">
        <v>1550</v>
      </c>
      <c r="C11372" s="2">
        <v>807.19209999999998</v>
      </c>
      <c r="D11372" s="2">
        <f>HYPERLINK("http://mcb-m6.bioreg.kyushu-u.ac.jp/M3/20110427/F51121/2242/1", 56.07)</f>
        <v>56.07</v>
      </c>
      <c r="E11372" s="2">
        <v>35.78</v>
      </c>
      <c r="F11372" s="2">
        <v>2</v>
      </c>
      <c r="G11372" s="2" t="s">
        <v>14</v>
      </c>
    </row>
    <row r="11373" spans="1:9" x14ac:dyDescent="0.2">
      <c r="A11373" s="2" t="s">
        <v>3261</v>
      </c>
      <c r="B11373" s="2" t="s">
        <v>1550</v>
      </c>
      <c r="C11373" s="2">
        <v>807.70420000000001</v>
      </c>
      <c r="D11373" s="2">
        <f>HYPERLINK("http://mcb-m6.bioreg.kyushu-u.ac.jp/M3/20110427/F51121/2245/1", 89.79)</f>
        <v>89.79</v>
      </c>
      <c r="E11373" s="2">
        <v>64.739999999999995</v>
      </c>
      <c r="F11373" s="2">
        <v>2</v>
      </c>
      <c r="G11373" s="2" t="s">
        <v>14</v>
      </c>
    </row>
    <row r="11374" spans="1:9" x14ac:dyDescent="0.2">
      <c r="A11374" s="2" t="s">
        <v>3261</v>
      </c>
      <c r="B11374" s="2" t="s">
        <v>1580</v>
      </c>
      <c r="C11374" s="2">
        <v>852.44119999999998</v>
      </c>
      <c r="D11374" s="2">
        <f>HYPERLINK("http://mcb-m6.bioreg.kyushu-u.ac.jp/M3/20110427/F51121/2366/1", 97.72)</f>
        <v>97.72</v>
      </c>
      <c r="E11374" s="2">
        <v>74.77</v>
      </c>
      <c r="F11374" s="2">
        <v>2</v>
      </c>
      <c r="G11374" s="2" t="s">
        <v>14</v>
      </c>
    </row>
    <row r="11375" spans="1:9" x14ac:dyDescent="0.2">
      <c r="A11375" s="2" t="s">
        <v>3261</v>
      </c>
      <c r="B11375" s="2" t="s">
        <v>935</v>
      </c>
      <c r="C11375" s="2">
        <v>634.56020000000001</v>
      </c>
      <c r="D11375" s="2">
        <f>HYPERLINK("http://mcb-m6.bioreg.kyushu-u.ac.jp/M3/20110427/F51121/1666/1", 103.82)</f>
        <v>103.82</v>
      </c>
      <c r="E11375" s="2">
        <v>88.58</v>
      </c>
      <c r="F11375" s="2">
        <v>2</v>
      </c>
      <c r="G11375" s="2" t="s">
        <v>14</v>
      </c>
    </row>
    <row r="11376" spans="1:9" x14ac:dyDescent="0.2">
      <c r="A11376" s="2" t="s">
        <v>7736</v>
      </c>
      <c r="B11376" s="2" t="s">
        <v>6475</v>
      </c>
      <c r="C11376" s="2">
        <v>879.94370000000004</v>
      </c>
      <c r="D11376" s="2">
        <f>HYPERLINK("http://mcb-m6.bioreg.kyushu-u.ac.jp/M3/20110404/F50764/2360/1", 68.07)</f>
        <v>68.069999999999993</v>
      </c>
      <c r="E11376" s="2">
        <v>54.95</v>
      </c>
      <c r="F11376" s="2">
        <v>2</v>
      </c>
      <c r="G11376" s="2" t="s">
        <v>9</v>
      </c>
    </row>
    <row r="11377" spans="1:9" x14ac:dyDescent="0.2">
      <c r="A11377" s="2" t="s">
        <v>4015</v>
      </c>
      <c r="B11377" s="2" t="s">
        <v>1319</v>
      </c>
      <c r="C11377" s="2">
        <v>954.73069999999996</v>
      </c>
      <c r="D11377" s="2">
        <f>HYPERLINK("http://mcb-m6.bioreg.kyushu-u.ac.jp/M3/20110404/F50754/2746/1", 57.74)</f>
        <v>57.74</v>
      </c>
      <c r="E11377" s="2">
        <v>45.36</v>
      </c>
      <c r="F11377" s="2">
        <v>2</v>
      </c>
      <c r="G11377" s="2" t="s">
        <v>9</v>
      </c>
      <c r="I11377" s="2" t="s">
        <v>4906</v>
      </c>
    </row>
    <row r="11378" spans="1:9" x14ac:dyDescent="0.2">
      <c r="A11378" s="2" t="s">
        <v>4015</v>
      </c>
      <c r="B11378" s="2" t="s">
        <v>7409</v>
      </c>
      <c r="C11378" s="2">
        <v>684.16520000000003</v>
      </c>
      <c r="D11378" s="2">
        <f>HYPERLINK("http://mcb-m6.bioreg.kyushu-u.ac.jp/M3/20110427/F51112/1793/1", 61.71)</f>
        <v>61.71</v>
      </c>
      <c r="E11378" s="2">
        <v>46.29</v>
      </c>
      <c r="F11378" s="2">
        <v>2</v>
      </c>
      <c r="G11378" s="2" t="s">
        <v>13</v>
      </c>
      <c r="I11378" s="2" t="s">
        <v>4898</v>
      </c>
    </row>
    <row r="11379" spans="1:9" x14ac:dyDescent="0.2">
      <c r="A11379" s="2" t="s">
        <v>4015</v>
      </c>
      <c r="B11379" s="2" t="s">
        <v>1531</v>
      </c>
      <c r="C11379" s="2">
        <v>894.81269999999995</v>
      </c>
      <c r="D11379" s="2">
        <f>HYPERLINK("http://mcb-m6.bioreg.kyushu-u.ac.jp/M3/20110427/F51113/2620/1", 70.43)</f>
        <v>70.430000000000007</v>
      </c>
      <c r="E11379" s="2">
        <v>59.79</v>
      </c>
      <c r="F11379" s="2">
        <v>2</v>
      </c>
      <c r="G11379" s="2" t="s">
        <v>13</v>
      </c>
    </row>
    <row r="11380" spans="1:9" x14ac:dyDescent="0.2">
      <c r="A11380" s="2" t="s">
        <v>4015</v>
      </c>
      <c r="B11380" s="2" t="s">
        <v>1531</v>
      </c>
      <c r="C11380" s="2">
        <v>894.80409999999995</v>
      </c>
      <c r="D11380" s="2">
        <f>HYPERLINK("http://mcb-m6.bioreg.kyushu-u.ac.jp/M3/20110427/F51112/2800/1", 84.84)</f>
        <v>84.84</v>
      </c>
      <c r="E11380" s="2">
        <v>76.540000000000006</v>
      </c>
      <c r="F11380" s="2">
        <v>2</v>
      </c>
      <c r="G11380" s="2" t="s">
        <v>13</v>
      </c>
    </row>
    <row r="11381" spans="1:9" x14ac:dyDescent="0.2">
      <c r="A11381" s="2" t="s">
        <v>4015</v>
      </c>
      <c r="B11381" s="2" t="s">
        <v>1531</v>
      </c>
      <c r="C11381" s="2">
        <v>895.3347</v>
      </c>
      <c r="D11381" s="2">
        <f>HYPERLINK("http://mcb-m6.bioreg.kyushu-u.ac.jp/M3/20110427/F51112/2806/1", 86.13)</f>
        <v>86.13</v>
      </c>
      <c r="E11381" s="2">
        <v>71.22</v>
      </c>
      <c r="F11381" s="2">
        <v>2</v>
      </c>
      <c r="G11381" s="2" t="s">
        <v>13</v>
      </c>
    </row>
    <row r="11382" spans="1:9" x14ac:dyDescent="0.2">
      <c r="A11382" s="2" t="s">
        <v>3851</v>
      </c>
      <c r="B11382" s="2" t="s">
        <v>6262</v>
      </c>
      <c r="C11382" s="2">
        <v>655.14509999999996</v>
      </c>
      <c r="D11382" s="2">
        <f>HYPERLINK("http://mcb-m6.bioreg.kyushu-u.ac.jp/M3/20110404/F50754/1808/1", 49.87)</f>
        <v>49.87</v>
      </c>
      <c r="E11382" s="2">
        <v>38.49</v>
      </c>
      <c r="F11382" s="2">
        <v>2</v>
      </c>
      <c r="G11382" s="2" t="s">
        <v>9</v>
      </c>
    </row>
    <row r="11383" spans="1:9" x14ac:dyDescent="0.2">
      <c r="A11383" s="2" t="s">
        <v>3299</v>
      </c>
      <c r="B11383" s="2" t="s">
        <v>1572</v>
      </c>
      <c r="C11383" s="2">
        <v>1144.94</v>
      </c>
      <c r="D11383" s="2">
        <f>HYPERLINK("http://mcb-m6.bioreg.kyushu-u.ac.jp/M3/20110404/F50778/3385/1", 58.54)</f>
        <v>58.54</v>
      </c>
      <c r="E11383" s="2">
        <v>50.51</v>
      </c>
      <c r="F11383" s="2">
        <v>2</v>
      </c>
      <c r="G11383" s="2" t="s">
        <v>9</v>
      </c>
    </row>
    <row r="11384" spans="1:9" x14ac:dyDescent="0.2">
      <c r="A11384" s="2" t="s">
        <v>3299</v>
      </c>
      <c r="B11384" s="2" t="s">
        <v>1022</v>
      </c>
      <c r="C11384" s="2">
        <v>513.71119999999996</v>
      </c>
      <c r="D11384" s="2">
        <f>HYPERLINK("http://mcb-m6.bioreg.kyushu-u.ac.jp/M3/20110404/F50779/814/1", 61.77)</f>
        <v>61.77</v>
      </c>
      <c r="E11384" s="2">
        <v>24.58</v>
      </c>
      <c r="F11384" s="2">
        <v>2</v>
      </c>
      <c r="G11384" s="2" t="s">
        <v>9</v>
      </c>
    </row>
    <row r="11385" spans="1:9" x14ac:dyDescent="0.2">
      <c r="A11385" s="2" t="s">
        <v>3299</v>
      </c>
      <c r="B11385" s="2" t="s">
        <v>1572</v>
      </c>
      <c r="C11385" s="2">
        <v>1145.056</v>
      </c>
      <c r="D11385" s="2">
        <f>HYPERLINK("http://mcb-m6.bioreg.kyushu-u.ac.jp/M3/20110404/F50779/3267/1", 97.36)</f>
        <v>97.36</v>
      </c>
      <c r="E11385" s="2">
        <v>86.75</v>
      </c>
      <c r="F11385" s="2">
        <v>2</v>
      </c>
      <c r="G11385" s="2" t="s">
        <v>9</v>
      </c>
    </row>
    <row r="11386" spans="1:9" x14ac:dyDescent="0.2">
      <c r="A11386" s="2" t="s">
        <v>3299</v>
      </c>
      <c r="B11386" s="2" t="s">
        <v>698</v>
      </c>
      <c r="C11386" s="2">
        <v>562.18910000000005</v>
      </c>
      <c r="D11386" s="2">
        <f>HYPERLINK("http://mcb-m6.bioreg.kyushu-u.ac.jp/M3/20110421/F51040/1209/1", 37.42)</f>
        <v>37.42</v>
      </c>
      <c r="E11386" s="2">
        <v>15.72</v>
      </c>
      <c r="F11386" s="2">
        <v>2</v>
      </c>
      <c r="G11386" s="2" t="s">
        <v>11</v>
      </c>
    </row>
    <row r="11387" spans="1:9" x14ac:dyDescent="0.2">
      <c r="A11387" s="2" t="s">
        <v>3299</v>
      </c>
      <c r="B11387" s="2" t="s">
        <v>3162</v>
      </c>
      <c r="C11387" s="2">
        <v>502.30860000000001</v>
      </c>
      <c r="D11387" s="2">
        <f>HYPERLINK("http://mcb-m6.bioreg.kyushu-u.ac.jp/M3/20110421/F51039/926/1", 42.74)</f>
        <v>42.74</v>
      </c>
      <c r="E11387" s="2">
        <v>22.94</v>
      </c>
      <c r="F11387" s="2">
        <v>2</v>
      </c>
      <c r="G11387" s="2" t="s">
        <v>11</v>
      </c>
    </row>
    <row r="11388" spans="1:9" x14ac:dyDescent="0.2">
      <c r="A11388" s="2" t="s">
        <v>3299</v>
      </c>
      <c r="B11388" s="2" t="s">
        <v>516</v>
      </c>
      <c r="C11388" s="2">
        <v>699.35969999999998</v>
      </c>
      <c r="D11388" s="2">
        <f>HYPERLINK("http://mcb-m6.bioreg.kyushu-u.ac.jp/M3/20110421/F51039/1852/1", 46.82)</f>
        <v>46.82</v>
      </c>
      <c r="E11388" s="2">
        <v>28.8</v>
      </c>
      <c r="F11388" s="2">
        <v>2</v>
      </c>
      <c r="G11388" s="2" t="s">
        <v>11</v>
      </c>
    </row>
    <row r="11389" spans="1:9" x14ac:dyDescent="0.2">
      <c r="A11389" s="2" t="s">
        <v>3299</v>
      </c>
      <c r="B11389" s="2" t="s">
        <v>2212</v>
      </c>
      <c r="C11389" s="2">
        <v>825.30679999999995</v>
      </c>
      <c r="D11389" s="2">
        <f>HYPERLINK("http://mcb-m6.bioreg.kyushu-u.ac.jp/M3/20110421/F51040/3417/1", 48.41)</f>
        <v>48.41</v>
      </c>
      <c r="E11389" s="2">
        <v>38.130000000000003</v>
      </c>
      <c r="F11389" s="2">
        <v>3</v>
      </c>
      <c r="G11389" s="2" t="s">
        <v>11</v>
      </c>
    </row>
    <row r="11390" spans="1:9" x14ac:dyDescent="0.2">
      <c r="A11390" s="2" t="s">
        <v>3299</v>
      </c>
      <c r="B11390" s="2" t="s">
        <v>1433</v>
      </c>
      <c r="C11390" s="2">
        <v>781.78560000000004</v>
      </c>
      <c r="D11390" s="2">
        <f>HYPERLINK("http://mcb-m6.bioreg.kyushu-u.ac.jp/M3/20110421/F51039/2309/1", 57.57)</f>
        <v>57.57</v>
      </c>
      <c r="E11390" s="2">
        <v>42.38</v>
      </c>
      <c r="F11390" s="2">
        <v>2</v>
      </c>
      <c r="G11390" s="2" t="s">
        <v>11</v>
      </c>
    </row>
    <row r="11391" spans="1:9" x14ac:dyDescent="0.2">
      <c r="A11391" s="2" t="s">
        <v>3299</v>
      </c>
      <c r="B11391" s="2" t="s">
        <v>1022</v>
      </c>
      <c r="C11391" s="2">
        <v>513.1816</v>
      </c>
      <c r="D11391" s="2">
        <f>HYPERLINK("http://mcb-m6.bioreg.kyushu-u.ac.jp/M3/20110421/F51040/985/1", 60.28)</f>
        <v>60.28</v>
      </c>
      <c r="E11391" s="2">
        <v>25.8</v>
      </c>
      <c r="F11391" s="2">
        <v>2</v>
      </c>
      <c r="G11391" s="2" t="s">
        <v>11</v>
      </c>
    </row>
    <row r="11392" spans="1:9" x14ac:dyDescent="0.2">
      <c r="A11392" s="2" t="s">
        <v>3299</v>
      </c>
      <c r="B11392" s="2" t="s">
        <v>1109</v>
      </c>
      <c r="C11392" s="2">
        <v>825.1277</v>
      </c>
      <c r="D11392" s="2">
        <f>HYPERLINK("http://mcb-m6.bioreg.kyushu-u.ac.jp/M3/20110421/F51039/2543/1", 85.84)</f>
        <v>85.84</v>
      </c>
      <c r="E11392" s="2">
        <v>73.209999999999994</v>
      </c>
      <c r="F11392" s="2">
        <v>2</v>
      </c>
      <c r="G11392" s="2" t="s">
        <v>11</v>
      </c>
    </row>
    <row r="11393" spans="1:8" x14ac:dyDescent="0.2">
      <c r="A11393" s="2" t="s">
        <v>3299</v>
      </c>
      <c r="B11393" s="2" t="s">
        <v>1109</v>
      </c>
      <c r="C11393" s="2">
        <v>825.3066</v>
      </c>
      <c r="D11393" s="2">
        <f>HYPERLINK("http://mcb-m6.bioreg.kyushu-u.ac.jp/M3/20110421/F51040/2475/1", 94.46)</f>
        <v>94.46</v>
      </c>
      <c r="E11393" s="2">
        <v>76.94</v>
      </c>
      <c r="F11393" s="2">
        <v>2</v>
      </c>
      <c r="G11393" s="2" t="s">
        <v>11</v>
      </c>
    </row>
    <row r="11394" spans="1:8" x14ac:dyDescent="0.2">
      <c r="A11394" s="2" t="s">
        <v>3299</v>
      </c>
      <c r="B11394" s="2" t="s">
        <v>1433</v>
      </c>
      <c r="C11394" s="2">
        <v>781.20719999999994</v>
      </c>
      <c r="D11394" s="2">
        <f>HYPERLINK("http://mcb-m6.bioreg.kyushu-u.ac.jp/M3/20110421/F51040/2263/1", 95.78)</f>
        <v>95.78</v>
      </c>
      <c r="E11394" s="2">
        <v>83.02</v>
      </c>
      <c r="F11394" s="2">
        <v>2</v>
      </c>
      <c r="G11394" s="2" t="s">
        <v>11</v>
      </c>
    </row>
    <row r="11395" spans="1:8" x14ac:dyDescent="0.2">
      <c r="A11395" s="2" t="s">
        <v>3299</v>
      </c>
      <c r="B11395" s="2" t="s">
        <v>1022</v>
      </c>
      <c r="C11395" s="2">
        <v>513.3442</v>
      </c>
      <c r="D11395" s="2">
        <f>HYPERLINK("http://mcb-m6.bioreg.kyushu-u.ac.jp/M3/20110421/F51050/1195/1", 40.13)</f>
        <v>40.130000000000003</v>
      </c>
      <c r="E11395" s="2">
        <v>10.6</v>
      </c>
      <c r="F11395" s="2">
        <v>2</v>
      </c>
      <c r="G11395" s="2" t="s">
        <v>12</v>
      </c>
    </row>
    <row r="11396" spans="1:8" x14ac:dyDescent="0.2">
      <c r="A11396" s="2" t="s">
        <v>3299</v>
      </c>
      <c r="B11396" s="2" t="s">
        <v>1308</v>
      </c>
      <c r="C11396" s="2">
        <v>682.24659999999994</v>
      </c>
      <c r="D11396" s="2">
        <f>HYPERLINK("http://mcb-m6.bioreg.kyushu-u.ac.jp/M3/20110428/F51133/1541/1", 71.16)</f>
        <v>71.16</v>
      </c>
      <c r="E11396" s="2">
        <v>46.92</v>
      </c>
      <c r="F11396" s="2">
        <v>2</v>
      </c>
      <c r="G11396" s="2" t="s">
        <v>13</v>
      </c>
    </row>
    <row r="11397" spans="1:8" x14ac:dyDescent="0.2">
      <c r="A11397" s="2" t="s">
        <v>3299</v>
      </c>
      <c r="B11397" s="2" t="s">
        <v>1433</v>
      </c>
      <c r="C11397" s="2">
        <v>781.45569999999998</v>
      </c>
      <c r="D11397" s="2">
        <f>HYPERLINK("http://mcb-m6.bioreg.kyushu-u.ac.jp/M3/20110428/F51133/2123/1", 76.34)</f>
        <v>76.34</v>
      </c>
      <c r="E11397" s="2">
        <v>59.25</v>
      </c>
      <c r="F11397" s="2">
        <v>2</v>
      </c>
      <c r="G11397" s="2" t="s">
        <v>13</v>
      </c>
    </row>
    <row r="11398" spans="1:8" x14ac:dyDescent="0.2">
      <c r="A11398" s="2" t="s">
        <v>3299</v>
      </c>
      <c r="B11398" s="2" t="s">
        <v>1210</v>
      </c>
      <c r="C11398" s="2">
        <v>500.62259999999998</v>
      </c>
      <c r="D11398" s="2">
        <f>HYPERLINK("http://mcb-m6.bioreg.kyushu-u.ac.jp/M3/20110428/F51133/818/1", 81.78)</f>
        <v>81.78</v>
      </c>
      <c r="E11398" s="2">
        <v>52.38</v>
      </c>
      <c r="F11398" s="2">
        <v>2</v>
      </c>
      <c r="G11398" s="2" t="s">
        <v>13</v>
      </c>
    </row>
    <row r="11399" spans="1:8" x14ac:dyDescent="0.2">
      <c r="A11399" s="2" t="s">
        <v>3299</v>
      </c>
      <c r="B11399" s="2" t="s">
        <v>516</v>
      </c>
      <c r="C11399" s="2">
        <v>699.0616</v>
      </c>
      <c r="D11399" s="2">
        <f>HYPERLINK("http://mcb-m6.bioreg.kyushu-u.ac.jp/M3/20110428/F51133/1656/1", 84.93)</f>
        <v>84.93</v>
      </c>
      <c r="E11399" s="2">
        <v>70.989999999999995</v>
      </c>
      <c r="F11399" s="2">
        <v>2</v>
      </c>
      <c r="G11399" s="2" t="s">
        <v>13</v>
      </c>
    </row>
    <row r="11400" spans="1:8" x14ac:dyDescent="0.2">
      <c r="A11400" s="2" t="s">
        <v>3642</v>
      </c>
      <c r="B11400" s="2" t="s">
        <v>564</v>
      </c>
      <c r="C11400" s="2">
        <v>1065.4110000000001</v>
      </c>
      <c r="D11400" s="2">
        <f>HYPERLINK("http://mcb-m6.bioreg.kyushu-u.ac.jp/M3/20110404/F50752/1469/1", 45.39)</f>
        <v>45.39</v>
      </c>
      <c r="E11400" s="2">
        <v>27.54</v>
      </c>
      <c r="F11400" s="2">
        <v>1</v>
      </c>
      <c r="G11400" s="2" t="s">
        <v>9</v>
      </c>
    </row>
    <row r="11401" spans="1:8" x14ac:dyDescent="0.2">
      <c r="A11401" s="2" t="s">
        <v>3642</v>
      </c>
      <c r="B11401" s="2" t="s">
        <v>1374</v>
      </c>
      <c r="C11401" s="2">
        <v>761.42819999999995</v>
      </c>
      <c r="D11401" s="2">
        <f>HYPERLINK("http://mcb-m6.bioreg.kyushu-u.ac.jp/M3/20110404/F50753/2089/1", 77.38)</f>
        <v>77.38</v>
      </c>
      <c r="E11401" s="2">
        <v>55.34</v>
      </c>
      <c r="F11401" s="2">
        <v>2</v>
      </c>
      <c r="G11401" s="2" t="s">
        <v>9</v>
      </c>
    </row>
    <row r="11402" spans="1:8" x14ac:dyDescent="0.2">
      <c r="A11402" s="2" t="s">
        <v>3642</v>
      </c>
      <c r="B11402" s="2" t="s">
        <v>1374</v>
      </c>
      <c r="C11402" s="2">
        <v>761.37220000000002</v>
      </c>
      <c r="D11402" s="2">
        <f>HYPERLINK("http://mcb-m6.bioreg.kyushu-u.ac.jp/M3/20110404/F50752/2181/1", 87.19)</f>
        <v>87.19</v>
      </c>
      <c r="E11402" s="2">
        <v>64.760000000000005</v>
      </c>
      <c r="F11402" s="2">
        <v>2</v>
      </c>
      <c r="G11402" s="2" t="s">
        <v>9</v>
      </c>
    </row>
    <row r="11403" spans="1:8" x14ac:dyDescent="0.2">
      <c r="A11403" s="2" t="s">
        <v>3642</v>
      </c>
      <c r="B11403" s="2" t="s">
        <v>564</v>
      </c>
      <c r="C11403" s="2">
        <v>1065.4739999999999</v>
      </c>
      <c r="D11403" s="2">
        <f>HYPERLINK("http://mcb-m6.bioreg.kyushu-u.ac.jp/M3/20110404/F50757/1594/1", 43.14)</f>
        <v>43.14</v>
      </c>
      <c r="E11403" s="2">
        <v>22.25</v>
      </c>
      <c r="F11403" s="2">
        <v>1</v>
      </c>
      <c r="G11403" s="2" t="s">
        <v>10</v>
      </c>
    </row>
    <row r="11404" spans="1:8" x14ac:dyDescent="0.2">
      <c r="A11404" s="2" t="s">
        <v>4082</v>
      </c>
      <c r="B11404" s="2" t="s">
        <v>3131</v>
      </c>
      <c r="C11404" s="2">
        <v>630.33810000000005</v>
      </c>
      <c r="D11404" s="2">
        <f>HYPERLINK("http://mcb-m6.bioreg.kyushu-u.ac.jp/M3/20110404/F50752/1763/1", 66.36)</f>
        <v>66.36</v>
      </c>
      <c r="E11404" s="2">
        <v>42.73</v>
      </c>
      <c r="F11404" s="2">
        <v>2</v>
      </c>
      <c r="G11404" s="2" t="s">
        <v>9</v>
      </c>
      <c r="H11404" s="2" t="s">
        <v>4896</v>
      </c>
    </row>
    <row r="11405" spans="1:8" x14ac:dyDescent="0.2">
      <c r="A11405" s="2" t="s">
        <v>4082</v>
      </c>
      <c r="B11405" s="2" t="s">
        <v>6478</v>
      </c>
      <c r="C11405" s="2">
        <v>713.86519999999996</v>
      </c>
      <c r="D11405" s="2">
        <f>HYPERLINK("http://mcb-m6.bioreg.kyushu-u.ac.jp/M3/20110404/F50752/2019/1", 68.36)</f>
        <v>68.36</v>
      </c>
      <c r="E11405" s="2">
        <v>31.24</v>
      </c>
      <c r="F11405" s="2">
        <v>2</v>
      </c>
      <c r="G11405" s="2" t="s">
        <v>9</v>
      </c>
    </row>
    <row r="11406" spans="1:8" x14ac:dyDescent="0.2">
      <c r="A11406" s="2" t="s">
        <v>4082</v>
      </c>
      <c r="B11406" s="2" t="s">
        <v>1501</v>
      </c>
      <c r="C11406" s="2">
        <v>641.25459999999998</v>
      </c>
      <c r="D11406" s="2">
        <f>HYPERLINK("http://mcb-m6.bioreg.kyushu-u.ac.jp/M3/20110404/F50752/1796/1", 82.33)</f>
        <v>82.33</v>
      </c>
      <c r="E11406" s="2">
        <v>66.239999999999995</v>
      </c>
      <c r="F11406" s="2">
        <v>2</v>
      </c>
      <c r="G11406" s="2" t="s">
        <v>9</v>
      </c>
    </row>
    <row r="11407" spans="1:8" x14ac:dyDescent="0.2">
      <c r="A11407" s="2" t="s">
        <v>4082</v>
      </c>
      <c r="B11407" s="2" t="s">
        <v>1501</v>
      </c>
      <c r="C11407" s="2">
        <v>640.69209999999998</v>
      </c>
      <c r="D11407" s="2">
        <f>HYPERLINK("http://mcb-m6.bioreg.kyushu-u.ac.jp/M3/20110404/F50752/1795/1", 101.24)</f>
        <v>101.24</v>
      </c>
      <c r="E11407" s="2">
        <v>82.39</v>
      </c>
      <c r="F11407" s="2">
        <v>2</v>
      </c>
      <c r="G11407" s="2" t="s">
        <v>9</v>
      </c>
    </row>
    <row r="11408" spans="1:8" x14ac:dyDescent="0.2">
      <c r="A11408" s="2" t="s">
        <v>4082</v>
      </c>
      <c r="B11408" s="2" t="s">
        <v>3131</v>
      </c>
      <c r="C11408" s="2">
        <v>629.65620000000001</v>
      </c>
      <c r="D11408" s="2">
        <f>HYPERLINK("http://mcb-m6.bioreg.kyushu-u.ac.jp/M3/20110404/F50757/1820/1", 40.34)</f>
        <v>40.340000000000003</v>
      </c>
      <c r="E11408" s="2">
        <v>27.92</v>
      </c>
      <c r="F11408" s="2">
        <v>2</v>
      </c>
      <c r="G11408" s="2" t="s">
        <v>10</v>
      </c>
      <c r="H11408" s="2" t="s">
        <v>4896</v>
      </c>
    </row>
    <row r="11409" spans="1:9" x14ac:dyDescent="0.2">
      <c r="A11409" s="2" t="s">
        <v>7951</v>
      </c>
      <c r="B11409" s="2" t="s">
        <v>7154</v>
      </c>
      <c r="C11409" s="2">
        <v>731.81960000000004</v>
      </c>
      <c r="D11409" s="2">
        <f>HYPERLINK("http://mcb-m6.bioreg.kyushu-u.ac.jp/M3/20110421/F51048/2139/1", 35.29)</f>
        <v>35.29</v>
      </c>
      <c r="E11409" s="2">
        <v>14.63</v>
      </c>
      <c r="F11409" s="2">
        <v>2</v>
      </c>
      <c r="G11409" s="2" t="s">
        <v>12</v>
      </c>
    </row>
    <row r="11410" spans="1:9" x14ac:dyDescent="0.2">
      <c r="A11410" s="2" t="s">
        <v>3442</v>
      </c>
      <c r="B11410" s="2" t="s">
        <v>805</v>
      </c>
      <c r="C11410" s="2">
        <v>574.66970000000003</v>
      </c>
      <c r="D11410" s="2">
        <f>HYPERLINK("http://mcb-m6.bioreg.kyushu-u.ac.jp/M3/20110427/F51112/1381/1", 39.82)</f>
        <v>39.82</v>
      </c>
      <c r="E11410" s="2">
        <v>20.69</v>
      </c>
      <c r="F11410" s="2">
        <v>2</v>
      </c>
      <c r="G11410" s="2" t="s">
        <v>13</v>
      </c>
      <c r="H11410" s="2" t="s">
        <v>4908</v>
      </c>
    </row>
    <row r="11411" spans="1:9" x14ac:dyDescent="0.2">
      <c r="A11411" s="2" t="s">
        <v>3856</v>
      </c>
      <c r="B11411" s="2" t="s">
        <v>959</v>
      </c>
      <c r="C11411" s="2">
        <v>645.29610000000002</v>
      </c>
      <c r="D11411" s="2">
        <f>HYPERLINK("http://mcb-m6.bioreg.kyushu-u.ac.jp/M3/20110421/F51018/1648/1", 77.87)</f>
        <v>77.87</v>
      </c>
      <c r="E11411" s="2">
        <v>51.42</v>
      </c>
      <c r="F11411" s="2">
        <v>2</v>
      </c>
      <c r="G11411" s="2" t="s">
        <v>11</v>
      </c>
      <c r="I11411" s="2" t="s">
        <v>4890</v>
      </c>
    </row>
    <row r="11412" spans="1:9" x14ac:dyDescent="0.2">
      <c r="A11412" s="2" t="s">
        <v>3856</v>
      </c>
      <c r="B11412" s="2" t="s">
        <v>959</v>
      </c>
      <c r="C11412" s="2">
        <v>645.15369999999996</v>
      </c>
      <c r="D11412" s="2">
        <f>HYPERLINK("http://mcb-m6.bioreg.kyushu-u.ac.jp/M3/20110427/F51112/1655/1", 71.3)</f>
        <v>71.3</v>
      </c>
      <c r="E11412" s="2">
        <v>41.89</v>
      </c>
      <c r="F11412" s="2">
        <v>2</v>
      </c>
      <c r="G11412" s="2" t="s">
        <v>13</v>
      </c>
      <c r="I11412" s="2" t="s">
        <v>4890</v>
      </c>
    </row>
    <row r="11413" spans="1:9" x14ac:dyDescent="0.2">
      <c r="A11413" s="2" t="s">
        <v>3252</v>
      </c>
      <c r="B11413" s="2" t="s">
        <v>1422</v>
      </c>
      <c r="C11413" s="2">
        <v>717.2192</v>
      </c>
      <c r="D11413" s="2">
        <f>HYPERLINK("http://mcb-m6.bioreg.kyushu-u.ac.jp/M3/20110427/F51112/1985/1", 74.09)</f>
        <v>74.09</v>
      </c>
      <c r="E11413" s="2">
        <v>55.82</v>
      </c>
      <c r="F11413" s="2">
        <v>2</v>
      </c>
      <c r="G11413" s="2" t="s">
        <v>13</v>
      </c>
    </row>
    <row r="11414" spans="1:9" x14ac:dyDescent="0.2">
      <c r="A11414" s="2" t="s">
        <v>4275</v>
      </c>
      <c r="B11414" s="2" t="s">
        <v>1951</v>
      </c>
      <c r="C11414" s="2">
        <v>513.68910000000005</v>
      </c>
      <c r="D11414" s="2">
        <f>HYPERLINK("http://mcb-m6.bioreg.kyushu-u.ac.jp/M3/20110404/F50754/1378/1", 47.52)</f>
        <v>47.52</v>
      </c>
      <c r="E11414" s="2">
        <v>32.6</v>
      </c>
      <c r="F11414" s="2">
        <v>2</v>
      </c>
      <c r="G11414" s="2" t="s">
        <v>9</v>
      </c>
    </row>
    <row r="11415" spans="1:9" x14ac:dyDescent="0.2">
      <c r="A11415" s="2" t="s">
        <v>4275</v>
      </c>
      <c r="B11415" s="2" t="s">
        <v>1951</v>
      </c>
      <c r="C11415" s="2">
        <v>513.61519999999996</v>
      </c>
      <c r="D11415" s="2">
        <f>HYPERLINK("http://mcb-m6.bioreg.kyushu-u.ac.jp/M3/20110427/F51112/1097/1", 55.34)</f>
        <v>55.34</v>
      </c>
      <c r="E11415" s="2">
        <v>33.49</v>
      </c>
      <c r="F11415" s="2">
        <v>2</v>
      </c>
      <c r="G11415" s="2" t="s">
        <v>13</v>
      </c>
    </row>
    <row r="11416" spans="1:9" x14ac:dyDescent="0.2">
      <c r="A11416" s="2" t="s">
        <v>3724</v>
      </c>
      <c r="B11416" s="2" t="s">
        <v>720</v>
      </c>
      <c r="C11416" s="2">
        <v>1139.355</v>
      </c>
      <c r="D11416" s="2">
        <f>HYPERLINK("http://mcb-m6.bioreg.kyushu-u.ac.jp/M3/20110404/F50754/1530/1", 46.81)</f>
        <v>46.81</v>
      </c>
      <c r="E11416" s="2">
        <v>32.26</v>
      </c>
      <c r="F11416" s="2">
        <v>1</v>
      </c>
      <c r="G11416" s="2" t="s">
        <v>9</v>
      </c>
      <c r="I11416" s="2" t="s">
        <v>4890</v>
      </c>
    </row>
    <row r="11417" spans="1:9" x14ac:dyDescent="0.2">
      <c r="A11417" s="2" t="s">
        <v>3724</v>
      </c>
      <c r="B11417" s="2" t="s">
        <v>720</v>
      </c>
      <c r="C11417" s="2">
        <v>570.14570000000003</v>
      </c>
      <c r="D11417" s="2">
        <f>HYPERLINK("http://mcb-m6.bioreg.kyushu-u.ac.jp/M3/20110404/F50754/1529/1", 59.28)</f>
        <v>59.28</v>
      </c>
      <c r="E11417" s="2">
        <v>28.16</v>
      </c>
      <c r="F11417" s="2">
        <v>2</v>
      </c>
      <c r="G11417" s="2" t="s">
        <v>9</v>
      </c>
      <c r="I11417" s="2" t="s">
        <v>4890</v>
      </c>
    </row>
    <row r="11418" spans="1:9" x14ac:dyDescent="0.2">
      <c r="A11418" s="2" t="s">
        <v>3724</v>
      </c>
      <c r="B11418" s="2" t="s">
        <v>720</v>
      </c>
      <c r="C11418" s="2">
        <v>570.74069999999995</v>
      </c>
      <c r="D11418" s="2">
        <f>HYPERLINK("http://mcb-m6.bioreg.kyushu-u.ac.jp/M3/20110427/F51112/1365/1", 43.01)</f>
        <v>43.01</v>
      </c>
      <c r="E11418" s="2">
        <v>12.53</v>
      </c>
      <c r="F11418" s="2">
        <v>2</v>
      </c>
      <c r="G11418" s="2" t="s">
        <v>13</v>
      </c>
      <c r="I11418" s="2" t="s">
        <v>4890</v>
      </c>
    </row>
    <row r="11419" spans="1:9" x14ac:dyDescent="0.2">
      <c r="A11419" s="2" t="s">
        <v>4268</v>
      </c>
      <c r="B11419" s="2" t="s">
        <v>1934</v>
      </c>
      <c r="C11419" s="2">
        <v>1315.481</v>
      </c>
      <c r="D11419" s="2">
        <f>HYPERLINK("http://mcb-m6.bioreg.kyushu-u.ac.jp/M3/20110404/F50754/1812/1", 60.56)</f>
        <v>60.56</v>
      </c>
      <c r="E11419" s="2">
        <v>16.39</v>
      </c>
      <c r="F11419" s="2">
        <v>1</v>
      </c>
      <c r="G11419" s="2" t="s">
        <v>9</v>
      </c>
    </row>
    <row r="11420" spans="1:9" x14ac:dyDescent="0.2">
      <c r="A11420" s="2" t="s">
        <v>4268</v>
      </c>
      <c r="B11420" s="2" t="s">
        <v>1934</v>
      </c>
      <c r="C11420" s="2">
        <v>658.22969999999998</v>
      </c>
      <c r="D11420" s="2">
        <f>HYPERLINK("http://mcb-m6.bioreg.kyushu-u.ac.jp/M3/20110404/F50754/1811/1", 78.07)</f>
        <v>78.069999999999993</v>
      </c>
      <c r="E11420" s="2">
        <v>20.22</v>
      </c>
      <c r="F11420" s="2">
        <v>2</v>
      </c>
      <c r="G11420" s="2" t="s">
        <v>9</v>
      </c>
    </row>
    <row r="11421" spans="1:9" x14ac:dyDescent="0.2">
      <c r="A11421" s="2" t="s">
        <v>4268</v>
      </c>
      <c r="B11421" s="2" t="s">
        <v>1934</v>
      </c>
      <c r="C11421" s="2">
        <v>658.31569999999999</v>
      </c>
      <c r="D11421" s="2">
        <f>HYPERLINK("http://mcb-m6.bioreg.kyushu-u.ac.jp/M3/20110404/F50758/1607/1", 45.81)</f>
        <v>45.81</v>
      </c>
      <c r="E11421" s="2">
        <v>13.99</v>
      </c>
      <c r="F11421" s="2">
        <v>2</v>
      </c>
      <c r="G11421" s="2" t="s">
        <v>10</v>
      </c>
    </row>
    <row r="11422" spans="1:9" x14ac:dyDescent="0.2">
      <c r="A11422" s="2" t="s">
        <v>3291</v>
      </c>
      <c r="B11422" s="2" t="s">
        <v>71</v>
      </c>
      <c r="C11422" s="2">
        <v>1551.6089999999999</v>
      </c>
      <c r="D11422" s="2">
        <f>HYPERLINK("http://mcb-m6.bioreg.kyushu-u.ac.jp/M3/20110404/F50754/2243/1", 43.73)</f>
        <v>43.73</v>
      </c>
      <c r="E11422" s="2">
        <v>30.72</v>
      </c>
      <c r="F11422" s="2">
        <v>1</v>
      </c>
      <c r="G11422" s="2" t="s">
        <v>9</v>
      </c>
    </row>
    <row r="11423" spans="1:9" x14ac:dyDescent="0.2">
      <c r="A11423" s="2" t="s">
        <v>3291</v>
      </c>
      <c r="B11423" s="2" t="s">
        <v>71</v>
      </c>
      <c r="C11423" s="2">
        <v>776.62270000000001</v>
      </c>
      <c r="D11423" s="2">
        <f>HYPERLINK("http://mcb-m6.bioreg.kyushu-u.ac.jp/M3/20110404/F50754/2245/1", 84.9)</f>
        <v>84.9</v>
      </c>
      <c r="E11423" s="2">
        <v>57.89</v>
      </c>
      <c r="F11423" s="2">
        <v>2</v>
      </c>
      <c r="G11423" s="2" t="s">
        <v>9</v>
      </c>
    </row>
    <row r="11424" spans="1:9" x14ac:dyDescent="0.2">
      <c r="A11424" s="2" t="s">
        <v>3291</v>
      </c>
      <c r="B11424" s="2" t="s">
        <v>71</v>
      </c>
      <c r="C11424" s="2">
        <v>776.52369999999996</v>
      </c>
      <c r="D11424" s="2">
        <f>HYPERLINK("http://mcb-m6.bioreg.kyushu-u.ac.jp/M3/20110404/F50758/2034/1", 43.61)</f>
        <v>43.61</v>
      </c>
      <c r="E11424" s="2">
        <v>15.97</v>
      </c>
      <c r="F11424" s="2">
        <v>2</v>
      </c>
      <c r="G11424" s="2" t="s">
        <v>10</v>
      </c>
    </row>
    <row r="11425" spans="1:7" x14ac:dyDescent="0.2">
      <c r="A11425" s="2" t="s">
        <v>4467</v>
      </c>
      <c r="B11425" s="2" t="s">
        <v>2403</v>
      </c>
      <c r="C11425" s="2">
        <v>1386.3979999999999</v>
      </c>
      <c r="D11425" s="2">
        <f>HYPERLINK("http://mcb-m6.bioreg.kyushu-u.ac.jp/M3/20110404/F50754/1939/1", 44.53)</f>
        <v>44.53</v>
      </c>
      <c r="E11425" s="2">
        <v>33.04</v>
      </c>
      <c r="F11425" s="2">
        <v>1</v>
      </c>
      <c r="G11425" s="2" t="s">
        <v>9</v>
      </c>
    </row>
    <row r="11426" spans="1:7" x14ac:dyDescent="0.2">
      <c r="A11426" s="2" t="s">
        <v>4467</v>
      </c>
      <c r="B11426" s="2" t="s">
        <v>2403</v>
      </c>
      <c r="C11426" s="2">
        <v>694.20569999999998</v>
      </c>
      <c r="D11426" s="2">
        <f>HYPERLINK("http://mcb-m6.bioreg.kyushu-u.ac.jp/M3/20110404/F50754/1940/1", 49.64)</f>
        <v>49.64</v>
      </c>
      <c r="E11426" s="2">
        <v>34.11</v>
      </c>
      <c r="F11426" s="2">
        <v>2</v>
      </c>
      <c r="G11426" s="2" t="s">
        <v>9</v>
      </c>
    </row>
    <row r="11427" spans="1:7" x14ac:dyDescent="0.2">
      <c r="A11427" s="2" t="s">
        <v>4467</v>
      </c>
      <c r="B11427" s="2" t="s">
        <v>2403</v>
      </c>
      <c r="C11427" s="2">
        <v>694.11519999999996</v>
      </c>
      <c r="D11427" s="2">
        <f>HYPERLINK("http://mcb-m6.bioreg.kyushu-u.ac.jp/M3/20110427/F51111/1915/1", 45.43)</f>
        <v>45.43</v>
      </c>
      <c r="E11427" s="2">
        <v>31.77</v>
      </c>
      <c r="F11427" s="2">
        <v>2</v>
      </c>
      <c r="G11427" s="2" t="s">
        <v>13</v>
      </c>
    </row>
    <row r="11428" spans="1:7" x14ac:dyDescent="0.2">
      <c r="A11428" s="2" t="s">
        <v>4467</v>
      </c>
      <c r="B11428" s="2" t="s">
        <v>2403</v>
      </c>
      <c r="C11428" s="2">
        <v>694.1327</v>
      </c>
      <c r="D11428" s="2">
        <f>HYPERLINK("http://mcb-m6.bioreg.kyushu-u.ac.jp/M3/20110427/F51112/1862/1", 51.49)</f>
        <v>51.49</v>
      </c>
      <c r="E11428" s="2">
        <v>38.64</v>
      </c>
      <c r="F11428" s="2">
        <v>2</v>
      </c>
      <c r="G11428" s="2" t="s">
        <v>13</v>
      </c>
    </row>
    <row r="11429" spans="1:7" x14ac:dyDescent="0.2">
      <c r="A11429" s="2" t="s">
        <v>4319</v>
      </c>
      <c r="B11429" s="2" t="s">
        <v>2087</v>
      </c>
      <c r="C11429" s="2">
        <v>787.34010000000001</v>
      </c>
      <c r="D11429" s="2">
        <f>HYPERLINK("http://mcb-m6.bioreg.kyushu-u.ac.jp/M3/20110404/F50761/2049/1", 53.41)</f>
        <v>53.41</v>
      </c>
      <c r="E11429" s="2">
        <v>35.75</v>
      </c>
      <c r="F11429" s="2">
        <v>2</v>
      </c>
      <c r="G11429" s="2" t="s">
        <v>10</v>
      </c>
    </row>
    <row r="11430" spans="1:7" x14ac:dyDescent="0.2">
      <c r="A11430" s="2" t="s">
        <v>3951</v>
      </c>
      <c r="B11430" s="2" t="s">
        <v>1155</v>
      </c>
      <c r="C11430" s="2">
        <v>561.67409999999995</v>
      </c>
      <c r="D11430" s="2">
        <f>HYPERLINK("http://mcb-m6.bioreg.kyushu-u.ac.jp/M3/20110427/F51114/1197/1", 40.79)</f>
        <v>40.79</v>
      </c>
      <c r="E11430" s="2">
        <v>11.09</v>
      </c>
      <c r="F11430" s="2">
        <v>2</v>
      </c>
      <c r="G11430" s="2" t="s">
        <v>13</v>
      </c>
    </row>
    <row r="11431" spans="1:7" x14ac:dyDescent="0.2">
      <c r="A11431" s="2" t="s">
        <v>3498</v>
      </c>
      <c r="B11431" s="2" t="s">
        <v>332</v>
      </c>
      <c r="C11431" s="2">
        <v>621.80020000000002</v>
      </c>
      <c r="D11431" s="2">
        <f>HYPERLINK("http://mcb-m6.bioreg.kyushu-u.ac.jp/M3/20110404/F50756/1443/1", 37.46)</f>
        <v>37.46</v>
      </c>
      <c r="E11431" s="2">
        <v>14.26</v>
      </c>
      <c r="F11431" s="2">
        <v>2</v>
      </c>
      <c r="G11431" s="2" t="s">
        <v>9</v>
      </c>
    </row>
    <row r="11432" spans="1:7" x14ac:dyDescent="0.2">
      <c r="A11432" s="2" t="s">
        <v>3498</v>
      </c>
      <c r="B11432" s="2" t="s">
        <v>332</v>
      </c>
      <c r="C11432" s="2">
        <v>621.2491</v>
      </c>
      <c r="D11432" s="2">
        <f>HYPERLINK("http://mcb-m6.bioreg.kyushu-u.ac.jp/M3/20110404/F50756/1442/1", 40.79)</f>
        <v>40.79</v>
      </c>
      <c r="E11432" s="2">
        <v>20.16</v>
      </c>
      <c r="F11432" s="2">
        <v>2</v>
      </c>
      <c r="G11432" s="2" t="s">
        <v>9</v>
      </c>
    </row>
    <row r="11433" spans="1:7" x14ac:dyDescent="0.2">
      <c r="A11433" s="2" t="s">
        <v>3498</v>
      </c>
      <c r="B11433" s="2" t="s">
        <v>1132</v>
      </c>
      <c r="C11433" s="2">
        <v>674.19569999999999</v>
      </c>
      <c r="D11433" s="2">
        <f>HYPERLINK("http://mcb-m6.bioreg.kyushu-u.ac.jp/M3/20110404/F50756/1613/1", 78.36)</f>
        <v>78.36</v>
      </c>
      <c r="E11433" s="2">
        <v>65.8</v>
      </c>
      <c r="F11433" s="2">
        <v>2</v>
      </c>
      <c r="G11433" s="2" t="s">
        <v>9</v>
      </c>
    </row>
    <row r="11434" spans="1:7" x14ac:dyDescent="0.2">
      <c r="A11434" s="2" t="s">
        <v>3498</v>
      </c>
      <c r="B11434" s="2" t="s">
        <v>1132</v>
      </c>
      <c r="C11434" s="2">
        <v>674.75959999999998</v>
      </c>
      <c r="D11434" s="2">
        <f>HYPERLINK("http://mcb-m6.bioreg.kyushu-u.ac.jp/M3/20110404/F50761/1544/1", 76.32)</f>
        <v>76.319999999999993</v>
      </c>
      <c r="E11434" s="2">
        <v>58.19</v>
      </c>
      <c r="F11434" s="2">
        <v>2</v>
      </c>
      <c r="G11434" s="2" t="s">
        <v>10</v>
      </c>
    </row>
    <row r="11435" spans="1:7" x14ac:dyDescent="0.2">
      <c r="A11435" s="2" t="s">
        <v>3498</v>
      </c>
      <c r="B11435" s="2" t="s">
        <v>332</v>
      </c>
      <c r="C11435" s="2">
        <v>621.19920000000002</v>
      </c>
      <c r="D11435" s="2">
        <f>HYPERLINK("http://mcb-m6.bioreg.kyushu-u.ac.jp/M3/20110427/F51114/1462/1", 41.6)</f>
        <v>41.6</v>
      </c>
      <c r="E11435" s="2">
        <v>20.329999999999998</v>
      </c>
      <c r="F11435" s="2">
        <v>2</v>
      </c>
      <c r="G11435" s="2" t="s">
        <v>13</v>
      </c>
    </row>
    <row r="11436" spans="1:7" x14ac:dyDescent="0.2">
      <c r="A11436" s="2" t="s">
        <v>3498</v>
      </c>
      <c r="B11436" s="2" t="s">
        <v>1132</v>
      </c>
      <c r="C11436" s="2">
        <v>674.1327</v>
      </c>
      <c r="D11436" s="2">
        <f>HYPERLINK("http://mcb-m6.bioreg.kyushu-u.ac.jp/M3/20110427/F51123/1699/1", 65.07)</f>
        <v>65.069999999999993</v>
      </c>
      <c r="E11436" s="2">
        <v>51.86</v>
      </c>
      <c r="F11436" s="2">
        <v>2</v>
      </c>
      <c r="G11436" s="2" t="s">
        <v>14</v>
      </c>
    </row>
    <row r="11437" spans="1:7" x14ac:dyDescent="0.2">
      <c r="A11437" s="2" t="s">
        <v>8008</v>
      </c>
      <c r="B11437" s="2" t="s">
        <v>7241</v>
      </c>
      <c r="C11437" s="2">
        <v>691.76070000000004</v>
      </c>
      <c r="D11437" s="2">
        <f>HYPERLINK("http://mcb-m6.bioreg.kyushu-u.ac.jp/M3/20110421/F51022/1927/1", 57.02)</f>
        <v>57.02</v>
      </c>
      <c r="E11437" s="2">
        <v>25.22</v>
      </c>
      <c r="F11437" s="2">
        <v>2</v>
      </c>
      <c r="G11437" s="2" t="s">
        <v>12</v>
      </c>
    </row>
    <row r="11438" spans="1:7" x14ac:dyDescent="0.2">
      <c r="A11438" s="2" t="s">
        <v>8008</v>
      </c>
      <c r="B11438" s="2" t="s">
        <v>7241</v>
      </c>
      <c r="C11438" s="2">
        <v>692.23659999999995</v>
      </c>
      <c r="D11438" s="2">
        <f>HYPERLINK("http://mcb-m6.bioreg.kyushu-u.ac.jp/M3/20110427/F51119/1993/1", 49.63)</f>
        <v>49.63</v>
      </c>
      <c r="E11438" s="2">
        <v>30.13</v>
      </c>
      <c r="F11438" s="2">
        <v>2</v>
      </c>
      <c r="G11438" s="2" t="s">
        <v>14</v>
      </c>
    </row>
    <row r="11439" spans="1:7" x14ac:dyDescent="0.2">
      <c r="A11439" s="2" t="s">
        <v>4551</v>
      </c>
      <c r="B11439" s="2" t="s">
        <v>5173</v>
      </c>
      <c r="C11439" s="2">
        <v>851.31119999999999</v>
      </c>
      <c r="D11439" s="2">
        <f>HYPERLINK("http://mcb-m6.bioreg.kyushu-u.ac.jp/M3/20110427/F51114/2629/1", 74.12)</f>
        <v>74.12</v>
      </c>
      <c r="E11439" s="2">
        <v>55.53</v>
      </c>
      <c r="F11439" s="2">
        <v>2</v>
      </c>
      <c r="G11439" s="2" t="s">
        <v>13</v>
      </c>
    </row>
    <row r="11440" spans="1:7" x14ac:dyDescent="0.2">
      <c r="A11440" s="2" t="s">
        <v>7757</v>
      </c>
      <c r="B11440" s="2" t="s">
        <v>6569</v>
      </c>
      <c r="C11440" s="2">
        <v>853.6241</v>
      </c>
      <c r="D11440" s="2">
        <f>HYPERLINK("http://mcb-m6.bioreg.kyushu-u.ac.jp/M3/20110404/F50753/2442/1", 82.46)</f>
        <v>82.46</v>
      </c>
      <c r="E11440" s="2">
        <v>62.56</v>
      </c>
      <c r="F11440" s="2">
        <v>2</v>
      </c>
      <c r="G11440" s="2" t="s">
        <v>9</v>
      </c>
    </row>
    <row r="11441" spans="1:9" x14ac:dyDescent="0.2">
      <c r="A11441" s="2" t="s">
        <v>4624</v>
      </c>
      <c r="B11441" s="2" t="s">
        <v>6813</v>
      </c>
      <c r="C11441" s="2">
        <v>692.7482</v>
      </c>
      <c r="D11441" s="2">
        <f>HYPERLINK("http://mcb-m6.bioreg.kyushu-u.ac.jp/M3/20110404/F50772/1704/1", 45.61)</f>
        <v>45.61</v>
      </c>
      <c r="E11441" s="2">
        <v>31.68</v>
      </c>
      <c r="F11441" s="2">
        <v>2</v>
      </c>
      <c r="G11441" s="2" t="s">
        <v>10</v>
      </c>
    </row>
    <row r="11442" spans="1:9" x14ac:dyDescent="0.2">
      <c r="A11442" s="2" t="s">
        <v>4624</v>
      </c>
      <c r="B11442" s="2" t="s">
        <v>2764</v>
      </c>
      <c r="C11442" s="2">
        <v>677.46010000000001</v>
      </c>
      <c r="D11442" s="2">
        <f>HYPERLINK("http://mcb-m6.bioreg.kyushu-u.ac.jp/M3/20110404/F50772/1606/1", 46.98)</f>
        <v>46.98</v>
      </c>
      <c r="E11442" s="2">
        <v>19.600000000000001</v>
      </c>
      <c r="F11442" s="2">
        <v>2</v>
      </c>
      <c r="G11442" s="2" t="s">
        <v>10</v>
      </c>
    </row>
    <row r="11443" spans="1:9" x14ac:dyDescent="0.2">
      <c r="A11443" s="2" t="s">
        <v>4624</v>
      </c>
      <c r="B11443" s="2" t="s">
        <v>7031</v>
      </c>
      <c r="C11443" s="2">
        <v>1030.0920000000001</v>
      </c>
      <c r="D11443" s="2">
        <f>HYPERLINK("http://mcb-m6.bioreg.kyushu-u.ac.jp/M3/20110404/F50772/2960/1", 86.17)</f>
        <v>86.17</v>
      </c>
      <c r="E11443" s="2">
        <v>69.05</v>
      </c>
      <c r="F11443" s="2">
        <v>2</v>
      </c>
      <c r="G11443" s="2" t="s">
        <v>10</v>
      </c>
    </row>
    <row r="11444" spans="1:9" x14ac:dyDescent="0.2">
      <c r="A11444" s="2" t="s">
        <v>7520</v>
      </c>
      <c r="B11444" s="2" t="s">
        <v>5909</v>
      </c>
      <c r="C11444" s="2">
        <v>590.24469999999997</v>
      </c>
      <c r="D11444" s="2">
        <f>HYPERLINK("http://mcb-m6.bioreg.kyushu-u.ac.jp/M3/20110404/F50755/1334/1", 35.14)</f>
        <v>35.14</v>
      </c>
      <c r="E11444" s="2">
        <v>10.53</v>
      </c>
      <c r="F11444" s="2">
        <v>2</v>
      </c>
      <c r="G11444" s="2" t="s">
        <v>9</v>
      </c>
    </row>
    <row r="11445" spans="1:9" x14ac:dyDescent="0.2">
      <c r="A11445" s="2" t="s">
        <v>3828</v>
      </c>
      <c r="B11445" s="2" t="s">
        <v>927</v>
      </c>
      <c r="C11445" s="2">
        <v>624.80110000000002</v>
      </c>
      <c r="D11445" s="2">
        <f>HYPERLINK("http://mcb-m6.bioreg.kyushu-u.ac.jp/M3/20110404/F50755/1485/1", 54.53)</f>
        <v>54.53</v>
      </c>
      <c r="E11445" s="2">
        <v>37.880000000000003</v>
      </c>
      <c r="F11445" s="2">
        <v>2</v>
      </c>
      <c r="G11445" s="2" t="s">
        <v>9</v>
      </c>
    </row>
    <row r="11446" spans="1:9" x14ac:dyDescent="0.2">
      <c r="A11446" s="2" t="s">
        <v>3828</v>
      </c>
      <c r="B11446" s="2" t="s">
        <v>7398</v>
      </c>
      <c r="C11446" s="2">
        <v>636.23360000000002</v>
      </c>
      <c r="D11446" s="2">
        <f>HYPERLINK("http://mcb-m6.bioreg.kyushu-u.ac.jp/M3/20110427/F51113/1531/1", 57.91)</f>
        <v>57.91</v>
      </c>
      <c r="E11446" s="2">
        <v>41.06</v>
      </c>
      <c r="F11446" s="2">
        <v>2</v>
      </c>
      <c r="G11446" s="2" t="s">
        <v>13</v>
      </c>
    </row>
    <row r="11447" spans="1:9" x14ac:dyDescent="0.2">
      <c r="A11447" s="2" t="s">
        <v>3276</v>
      </c>
      <c r="B11447" s="2" t="s">
        <v>7439</v>
      </c>
      <c r="C11447" s="2">
        <v>760.67169999999999</v>
      </c>
      <c r="D11447" s="2">
        <f>HYPERLINK("http://mcb-m6.bioreg.kyushu-u.ac.jp/M3/20110427/F51113/2083/1", 92.69)</f>
        <v>92.69</v>
      </c>
      <c r="E11447" s="2">
        <v>57.89</v>
      </c>
      <c r="F11447" s="2">
        <v>2</v>
      </c>
      <c r="G11447" s="2" t="s">
        <v>13</v>
      </c>
    </row>
    <row r="11448" spans="1:9" x14ac:dyDescent="0.2">
      <c r="A11448" s="2" t="s">
        <v>8065</v>
      </c>
      <c r="B11448" s="2" t="s">
        <v>7371</v>
      </c>
      <c r="C11448" s="2">
        <v>855.71420000000001</v>
      </c>
      <c r="D11448" s="2">
        <f>HYPERLINK("http://mcb-m6.bioreg.kyushu-u.ac.jp/M3/20110427/F51113/2473/1", 48.68)</f>
        <v>48.68</v>
      </c>
      <c r="E11448" s="2">
        <v>30.06</v>
      </c>
      <c r="F11448" s="2">
        <v>2</v>
      </c>
      <c r="G11448" s="2" t="s">
        <v>13</v>
      </c>
      <c r="I11448" s="2" t="s">
        <v>4906</v>
      </c>
    </row>
    <row r="11449" spans="1:9" x14ac:dyDescent="0.2">
      <c r="A11449" s="2" t="s">
        <v>7585</v>
      </c>
      <c r="B11449" s="2" t="s">
        <v>6044</v>
      </c>
      <c r="C11449" s="2">
        <v>802.54909999999995</v>
      </c>
      <c r="D11449" s="2">
        <f>HYPERLINK("http://mcb-m6.bioreg.kyushu-u.ac.jp/M3/20110404/F50776/1967/1", 40.03)</f>
        <v>40.03</v>
      </c>
      <c r="E11449" s="2">
        <v>23.98</v>
      </c>
      <c r="F11449" s="2">
        <v>2</v>
      </c>
      <c r="G11449" s="2" t="s">
        <v>9</v>
      </c>
    </row>
    <row r="11450" spans="1:9" x14ac:dyDescent="0.2">
      <c r="A11450" s="2" t="s">
        <v>7585</v>
      </c>
      <c r="B11450" s="2" t="s">
        <v>6247</v>
      </c>
      <c r="C11450" s="2">
        <v>751.35569999999996</v>
      </c>
      <c r="D11450" s="2">
        <f>HYPERLINK("http://mcb-m6.bioreg.kyushu-u.ac.jp/M3/20110404/F50776/1812/1", 49)</f>
        <v>49</v>
      </c>
      <c r="E11450" s="2">
        <v>28.39</v>
      </c>
      <c r="F11450" s="2">
        <v>2</v>
      </c>
      <c r="G11450" s="2" t="s">
        <v>9</v>
      </c>
    </row>
    <row r="11451" spans="1:9" x14ac:dyDescent="0.2">
      <c r="A11451" s="2" t="s">
        <v>7585</v>
      </c>
      <c r="B11451" s="2" t="s">
        <v>6497</v>
      </c>
      <c r="C11451" s="2">
        <v>785.95010000000002</v>
      </c>
      <c r="D11451" s="2">
        <f>HYPERLINK("http://mcb-m6.bioreg.kyushu-u.ac.jp/M3/20110404/F50776/1915/1", 70.64)</f>
        <v>70.64</v>
      </c>
      <c r="E11451" s="2">
        <v>58.21</v>
      </c>
      <c r="F11451" s="2">
        <v>2</v>
      </c>
      <c r="G11451" s="2" t="s">
        <v>9</v>
      </c>
    </row>
    <row r="11452" spans="1:9" x14ac:dyDescent="0.2">
      <c r="A11452" s="2" t="s">
        <v>7585</v>
      </c>
      <c r="B11452" s="2" t="s">
        <v>6247</v>
      </c>
      <c r="C11452" s="2">
        <v>751.37919999999997</v>
      </c>
      <c r="D11452" s="2">
        <f>HYPERLINK("http://mcb-m6.bioreg.kyushu-u.ac.jp/M3/20110404/F50781/1841/1", 43.27)</f>
        <v>43.27</v>
      </c>
      <c r="E11452" s="2">
        <v>24.68</v>
      </c>
      <c r="F11452" s="2">
        <v>2</v>
      </c>
      <c r="G11452" s="2" t="s">
        <v>10</v>
      </c>
    </row>
    <row r="11453" spans="1:9" x14ac:dyDescent="0.2">
      <c r="A11453" s="2" t="s">
        <v>3487</v>
      </c>
      <c r="B11453" s="2" t="s">
        <v>6026</v>
      </c>
      <c r="C11453" s="2">
        <v>986.59100000000001</v>
      </c>
      <c r="D11453" s="2">
        <f>HYPERLINK("http://mcb-m6.bioreg.kyushu-u.ac.jp/M3/20110404/F50777/967/1", 39.32)</f>
        <v>39.32</v>
      </c>
      <c r="E11453" s="2">
        <v>10.18</v>
      </c>
      <c r="F11453" s="2">
        <v>1</v>
      </c>
      <c r="G11453" s="2" t="s">
        <v>9</v>
      </c>
    </row>
    <row r="11454" spans="1:9" x14ac:dyDescent="0.2">
      <c r="A11454" s="2" t="s">
        <v>3487</v>
      </c>
      <c r="B11454" s="2" t="s">
        <v>2012</v>
      </c>
      <c r="C11454" s="2">
        <v>1316.5989999999999</v>
      </c>
      <c r="D11454" s="2">
        <f>HYPERLINK("http://mcb-m6.bioreg.kyushu-u.ac.jp/M3/20110404/F50777/1543/1", 42.4)</f>
        <v>42.4</v>
      </c>
      <c r="E11454" s="2">
        <v>27.67</v>
      </c>
      <c r="F11454" s="2">
        <v>1</v>
      </c>
      <c r="G11454" s="2" t="s">
        <v>9</v>
      </c>
    </row>
    <row r="11455" spans="1:9" x14ac:dyDescent="0.2">
      <c r="A11455" s="2" t="s">
        <v>3487</v>
      </c>
      <c r="B11455" s="2" t="s">
        <v>655</v>
      </c>
      <c r="C11455" s="2">
        <v>699.30160000000001</v>
      </c>
      <c r="D11455" s="2">
        <f>HYPERLINK("http://mcb-m6.bioreg.kyushu-u.ac.jp/M3/20110404/F50777/1722/1", 57.67)</f>
        <v>57.67</v>
      </c>
      <c r="E11455" s="2">
        <v>33.26</v>
      </c>
      <c r="F11455" s="2">
        <v>2</v>
      </c>
      <c r="G11455" s="2" t="s">
        <v>9</v>
      </c>
    </row>
    <row r="11456" spans="1:9" x14ac:dyDescent="0.2">
      <c r="A11456" s="2" t="s">
        <v>3487</v>
      </c>
      <c r="B11456" s="2" t="s">
        <v>1247</v>
      </c>
      <c r="C11456" s="2">
        <v>839.26570000000004</v>
      </c>
      <c r="D11456" s="2">
        <f>HYPERLINK("http://mcb-m6.bioreg.kyushu-u.ac.jp/M3/20110404/F50777/2330/1", 62.31)</f>
        <v>62.31</v>
      </c>
      <c r="E11456" s="2">
        <v>45.01</v>
      </c>
      <c r="F11456" s="2">
        <v>2</v>
      </c>
      <c r="G11456" s="2" t="s">
        <v>9</v>
      </c>
    </row>
    <row r="11457" spans="1:7" x14ac:dyDescent="0.2">
      <c r="A11457" s="2" t="s">
        <v>3487</v>
      </c>
      <c r="B11457" s="2" t="s">
        <v>1024</v>
      </c>
      <c r="C11457" s="2">
        <v>784.28970000000004</v>
      </c>
      <c r="D11457" s="2">
        <f>HYPERLINK("http://mcb-m6.bioreg.kyushu-u.ac.jp/M3/20110404/F50777/2108/1", 67.8)</f>
        <v>67.8</v>
      </c>
      <c r="E11457" s="2">
        <v>50.94</v>
      </c>
      <c r="F11457" s="2">
        <v>2</v>
      </c>
      <c r="G11457" s="2" t="s">
        <v>9</v>
      </c>
    </row>
    <row r="11458" spans="1:7" x14ac:dyDescent="0.2">
      <c r="A11458" s="2" t="s">
        <v>3487</v>
      </c>
      <c r="B11458" s="2" t="s">
        <v>1247</v>
      </c>
      <c r="C11458" s="2">
        <v>839.83510000000001</v>
      </c>
      <c r="D11458" s="2">
        <f>HYPERLINK("http://mcb-m6.bioreg.kyushu-u.ac.jp/M3/20110404/F50777/2334/1", 71.75)</f>
        <v>71.75</v>
      </c>
      <c r="E11458" s="2">
        <v>57.76</v>
      </c>
      <c r="F11458" s="2">
        <v>2</v>
      </c>
      <c r="G11458" s="2" t="s">
        <v>9</v>
      </c>
    </row>
    <row r="11459" spans="1:7" x14ac:dyDescent="0.2">
      <c r="A11459" s="2" t="s">
        <v>3487</v>
      </c>
      <c r="B11459" s="2" t="s">
        <v>2095</v>
      </c>
      <c r="C11459" s="2">
        <v>967.57169999999996</v>
      </c>
      <c r="D11459" s="2">
        <f>HYPERLINK("http://mcb-m6.bioreg.kyushu-u.ac.jp/M3/20110404/F50777/2759/1", 78.68)</f>
        <v>78.680000000000007</v>
      </c>
      <c r="E11459" s="2">
        <v>68.319999999999993</v>
      </c>
      <c r="F11459" s="2">
        <v>2</v>
      </c>
      <c r="G11459" s="2" t="s">
        <v>9</v>
      </c>
    </row>
    <row r="11460" spans="1:7" x14ac:dyDescent="0.2">
      <c r="A11460" s="2" t="s">
        <v>3487</v>
      </c>
      <c r="B11460" s="2" t="s">
        <v>2012</v>
      </c>
      <c r="C11460" s="2">
        <v>658.73569999999995</v>
      </c>
      <c r="D11460" s="2">
        <f>HYPERLINK("http://mcb-m6.bioreg.kyushu-u.ac.jp/M3/20110404/F50777/1542/1", 81.38)</f>
        <v>81.38</v>
      </c>
      <c r="E11460" s="2">
        <v>61.23</v>
      </c>
      <c r="F11460" s="2">
        <v>2</v>
      </c>
      <c r="G11460" s="2" t="s">
        <v>9</v>
      </c>
    </row>
    <row r="11461" spans="1:7" x14ac:dyDescent="0.2">
      <c r="A11461" s="2" t="s">
        <v>3487</v>
      </c>
      <c r="B11461" s="2" t="s">
        <v>2762</v>
      </c>
      <c r="C11461" s="2">
        <v>908.55070000000001</v>
      </c>
      <c r="D11461" s="2">
        <f>HYPERLINK("http://mcb-m6.bioreg.kyushu-u.ac.jp/M3/20110404/F50777/2559/1", 84.37)</f>
        <v>84.37</v>
      </c>
      <c r="E11461" s="2">
        <v>75.06</v>
      </c>
      <c r="F11461" s="2">
        <v>2</v>
      </c>
      <c r="G11461" s="2" t="s">
        <v>9</v>
      </c>
    </row>
    <row r="11462" spans="1:7" x14ac:dyDescent="0.2">
      <c r="A11462" s="2" t="s">
        <v>3487</v>
      </c>
      <c r="B11462" s="2" t="s">
        <v>2098</v>
      </c>
      <c r="C11462" s="2">
        <v>715.76760000000002</v>
      </c>
      <c r="D11462" s="2">
        <f>HYPERLINK("http://mcb-m6.bioreg.kyushu-u.ac.jp/M3/20110404/F50777/1802/1", 86.65)</f>
        <v>86.65</v>
      </c>
      <c r="E11462" s="2">
        <v>52.09</v>
      </c>
      <c r="F11462" s="2">
        <v>2</v>
      </c>
      <c r="G11462" s="2" t="s">
        <v>9</v>
      </c>
    </row>
    <row r="11463" spans="1:7" x14ac:dyDescent="0.2">
      <c r="A11463" s="2" t="s">
        <v>3487</v>
      </c>
      <c r="B11463" s="2" t="s">
        <v>2149</v>
      </c>
      <c r="C11463" s="2">
        <v>794.94269999999995</v>
      </c>
      <c r="D11463" s="2">
        <f>HYPERLINK("http://mcb-m6.bioreg.kyushu-u.ac.jp/M3/20110404/F50777/2152/1", 89.1)</f>
        <v>89.1</v>
      </c>
      <c r="E11463" s="2">
        <v>75.150000000000006</v>
      </c>
      <c r="F11463" s="2">
        <v>2</v>
      </c>
      <c r="G11463" s="2" t="s">
        <v>9</v>
      </c>
    </row>
    <row r="11464" spans="1:7" x14ac:dyDescent="0.2">
      <c r="A11464" s="2" t="s">
        <v>3487</v>
      </c>
      <c r="B11464" s="2" t="s">
        <v>1912</v>
      </c>
      <c r="C11464" s="2">
        <v>918.89260000000002</v>
      </c>
      <c r="D11464" s="2">
        <f>HYPERLINK("http://mcb-m6.bioreg.kyushu-u.ac.jp/M3/20110404/F50777/2608/1", 94.69)</f>
        <v>94.69</v>
      </c>
      <c r="E11464" s="2">
        <v>75.98</v>
      </c>
      <c r="F11464" s="2">
        <v>2</v>
      </c>
      <c r="G11464" s="2" t="s">
        <v>9</v>
      </c>
    </row>
    <row r="11465" spans="1:7" x14ac:dyDescent="0.2">
      <c r="A11465" s="2" t="s">
        <v>3487</v>
      </c>
      <c r="B11465" s="2" t="s">
        <v>2149</v>
      </c>
      <c r="C11465" s="2">
        <v>795.44920000000002</v>
      </c>
      <c r="D11465" s="2">
        <f>HYPERLINK("http://mcb-m6.bioreg.kyushu-u.ac.jp/M3/20110404/F50777/2153/1", 122.76)</f>
        <v>122.76</v>
      </c>
      <c r="E11465" s="2">
        <v>103.84</v>
      </c>
      <c r="F11465" s="2">
        <v>2</v>
      </c>
      <c r="G11465" s="2" t="s">
        <v>9</v>
      </c>
    </row>
    <row r="11466" spans="1:7" x14ac:dyDescent="0.2">
      <c r="A11466" s="2" t="s">
        <v>3487</v>
      </c>
      <c r="B11466" s="2" t="s">
        <v>315</v>
      </c>
      <c r="C11466" s="2">
        <v>538.00019999999995</v>
      </c>
      <c r="D11466" s="2">
        <f>HYPERLINK("http://mcb-m6.bioreg.kyushu-u.ac.jp/M3/20110404/F50774/1170/1", 37.01)</f>
        <v>37.01</v>
      </c>
      <c r="E11466" s="2">
        <v>18.690000000000001</v>
      </c>
      <c r="F11466" s="2">
        <v>2</v>
      </c>
      <c r="G11466" s="2" t="s">
        <v>10</v>
      </c>
    </row>
    <row r="11467" spans="1:7" x14ac:dyDescent="0.2">
      <c r="A11467" s="2" t="s">
        <v>3487</v>
      </c>
      <c r="B11467" s="2" t="s">
        <v>2762</v>
      </c>
      <c r="C11467" s="2">
        <v>908.44069999999999</v>
      </c>
      <c r="D11467" s="2">
        <f>HYPERLINK("http://mcb-m6.bioreg.kyushu-u.ac.jp/M3/20110404/F50774/2461/1", 57.41)</f>
        <v>57.41</v>
      </c>
      <c r="E11467" s="2">
        <v>49.27</v>
      </c>
      <c r="F11467" s="2">
        <v>2</v>
      </c>
      <c r="G11467" s="2" t="s">
        <v>10</v>
      </c>
    </row>
    <row r="11468" spans="1:7" x14ac:dyDescent="0.2">
      <c r="A11468" s="2" t="s">
        <v>3487</v>
      </c>
      <c r="B11468" s="2" t="s">
        <v>1247</v>
      </c>
      <c r="C11468" s="2">
        <v>839.49109999999996</v>
      </c>
      <c r="D11468" s="2">
        <f>HYPERLINK("http://mcb-m6.bioreg.kyushu-u.ac.jp/M3/20110404/F50774/2263/1", 72.61)</f>
        <v>72.61</v>
      </c>
      <c r="E11468" s="2">
        <v>50.34</v>
      </c>
      <c r="F11468" s="2">
        <v>2</v>
      </c>
      <c r="G11468" s="2" t="s">
        <v>10</v>
      </c>
    </row>
    <row r="11469" spans="1:7" x14ac:dyDescent="0.2">
      <c r="A11469" s="2" t="s">
        <v>3487</v>
      </c>
      <c r="B11469" s="2" t="s">
        <v>1912</v>
      </c>
      <c r="C11469" s="2">
        <v>918.81209999999999</v>
      </c>
      <c r="D11469" s="2">
        <f>HYPERLINK("http://mcb-m6.bioreg.kyushu-u.ac.jp/M3/20110404/F50774/2511/1", 77.24)</f>
        <v>77.239999999999995</v>
      </c>
      <c r="E11469" s="2">
        <v>65.790000000000006</v>
      </c>
      <c r="F11469" s="2">
        <v>2</v>
      </c>
      <c r="G11469" s="2" t="s">
        <v>10</v>
      </c>
    </row>
    <row r="11470" spans="1:7" x14ac:dyDescent="0.2">
      <c r="A11470" s="2" t="s">
        <v>3487</v>
      </c>
      <c r="B11470" s="2" t="s">
        <v>2098</v>
      </c>
      <c r="C11470" s="2">
        <v>716.02419999999995</v>
      </c>
      <c r="D11470" s="2">
        <f>HYPERLINK("http://mcb-m6.bioreg.kyushu-u.ac.jp/M3/20110404/F50774/1790/1", 80.73)</f>
        <v>80.73</v>
      </c>
      <c r="E11470" s="2">
        <v>44.03</v>
      </c>
      <c r="F11470" s="2">
        <v>2</v>
      </c>
      <c r="G11470" s="2" t="s">
        <v>10</v>
      </c>
    </row>
    <row r="11471" spans="1:7" x14ac:dyDescent="0.2">
      <c r="A11471" s="2" t="s">
        <v>3487</v>
      </c>
      <c r="B11471" s="2" t="s">
        <v>2149</v>
      </c>
      <c r="C11471" s="2">
        <v>794.87159999999994</v>
      </c>
      <c r="D11471" s="2">
        <f>HYPERLINK("http://mcb-m6.bioreg.kyushu-u.ac.jp/M3/20110404/F50774/2114/1", 118.11)</f>
        <v>118.11</v>
      </c>
      <c r="E11471" s="2">
        <v>99.13</v>
      </c>
      <c r="F11471" s="2">
        <v>2</v>
      </c>
      <c r="G11471" s="2" t="s">
        <v>10</v>
      </c>
    </row>
    <row r="11472" spans="1:7" x14ac:dyDescent="0.2">
      <c r="A11472" s="2" t="s">
        <v>3487</v>
      </c>
      <c r="B11472" s="2" t="s">
        <v>1912</v>
      </c>
      <c r="C11472" s="2">
        <v>918.88459999999998</v>
      </c>
      <c r="D11472" s="2">
        <f>HYPERLINK("http://mcb-m6.bioreg.kyushu-u.ac.jp/M3/20110421/F51037/3064/1", 39.36)</f>
        <v>39.36</v>
      </c>
      <c r="E11472" s="2">
        <v>25.31</v>
      </c>
      <c r="F11472" s="2">
        <v>2</v>
      </c>
      <c r="G11472" s="2" t="s">
        <v>11</v>
      </c>
    </row>
    <row r="11473" spans="1:7" x14ac:dyDescent="0.2">
      <c r="A11473" s="2" t="s">
        <v>3487</v>
      </c>
      <c r="B11473" s="2" t="s">
        <v>1912</v>
      </c>
      <c r="C11473" s="2">
        <v>919.35770000000002</v>
      </c>
      <c r="D11473" s="2">
        <f>HYPERLINK("http://mcb-m6.bioreg.kyushu-u.ac.jp/M3/20110421/F51039/2943/1", 44.61)</f>
        <v>44.61</v>
      </c>
      <c r="E11473" s="2">
        <v>34.6</v>
      </c>
      <c r="F11473" s="2">
        <v>2</v>
      </c>
      <c r="G11473" s="2" t="s">
        <v>11</v>
      </c>
    </row>
    <row r="11474" spans="1:7" x14ac:dyDescent="0.2">
      <c r="A11474" s="2" t="s">
        <v>3487</v>
      </c>
      <c r="B11474" s="2" t="s">
        <v>2012</v>
      </c>
      <c r="C11474" s="2">
        <v>658.89369999999997</v>
      </c>
      <c r="D11474" s="2">
        <f>HYPERLINK("http://mcb-m6.bioreg.kyushu-u.ac.jp/M3/20110421/F51037/1523/1", 48.65)</f>
        <v>48.65</v>
      </c>
      <c r="E11474" s="2">
        <v>26.94</v>
      </c>
      <c r="F11474" s="2">
        <v>2</v>
      </c>
      <c r="G11474" s="2" t="s">
        <v>11</v>
      </c>
    </row>
    <row r="11475" spans="1:7" x14ac:dyDescent="0.2">
      <c r="A11475" s="2" t="s">
        <v>3487</v>
      </c>
      <c r="B11475" s="2" t="s">
        <v>315</v>
      </c>
      <c r="C11475" s="2">
        <v>537.67570000000001</v>
      </c>
      <c r="D11475" s="2">
        <f>HYPERLINK("http://mcb-m6.bioreg.kyushu-u.ac.jp/M3/20110421/F51037/908/1", 48.98)</f>
        <v>48.98</v>
      </c>
      <c r="E11475" s="2">
        <v>25.94</v>
      </c>
      <c r="F11475" s="2">
        <v>2</v>
      </c>
      <c r="G11475" s="2" t="s">
        <v>11</v>
      </c>
    </row>
    <row r="11476" spans="1:7" x14ac:dyDescent="0.2">
      <c r="A11476" s="2" t="s">
        <v>3487</v>
      </c>
      <c r="B11476" s="2" t="s">
        <v>1064</v>
      </c>
      <c r="C11476" s="2">
        <v>596.6902</v>
      </c>
      <c r="D11476" s="2">
        <f>HYPERLINK("http://mcb-m6.bioreg.kyushu-u.ac.jp/M3/20110421/F51037/1208/1", 49.73)</f>
        <v>49.73</v>
      </c>
      <c r="E11476" s="2">
        <v>30.62</v>
      </c>
      <c r="F11476" s="2">
        <v>2</v>
      </c>
      <c r="G11476" s="2" t="s">
        <v>11</v>
      </c>
    </row>
    <row r="11477" spans="1:7" x14ac:dyDescent="0.2">
      <c r="A11477" s="2" t="s">
        <v>3487</v>
      </c>
      <c r="B11477" s="2" t="s">
        <v>1247</v>
      </c>
      <c r="C11477" s="2">
        <v>839.30269999999996</v>
      </c>
      <c r="D11477" s="2">
        <f>HYPERLINK("http://mcb-m6.bioreg.kyushu-u.ac.jp/M3/20110421/F51039/2607/1", 60.7)</f>
        <v>60.7</v>
      </c>
      <c r="E11477" s="2">
        <v>44.18</v>
      </c>
      <c r="F11477" s="2">
        <v>2</v>
      </c>
      <c r="G11477" s="2" t="s">
        <v>11</v>
      </c>
    </row>
    <row r="11478" spans="1:7" x14ac:dyDescent="0.2">
      <c r="A11478" s="2" t="s">
        <v>3487</v>
      </c>
      <c r="B11478" s="2" t="s">
        <v>2098</v>
      </c>
      <c r="C11478" s="2">
        <v>715.84010000000001</v>
      </c>
      <c r="D11478" s="2">
        <f>HYPERLINK("http://mcb-m6.bioreg.kyushu-u.ac.jp/M3/20110421/F51037/1851/1", 66.53)</f>
        <v>66.53</v>
      </c>
      <c r="E11478" s="2">
        <v>36.39</v>
      </c>
      <c r="F11478" s="2">
        <v>2</v>
      </c>
      <c r="G11478" s="2" t="s">
        <v>11</v>
      </c>
    </row>
    <row r="11479" spans="1:7" x14ac:dyDescent="0.2">
      <c r="A11479" s="2" t="s">
        <v>3487</v>
      </c>
      <c r="B11479" s="2" t="s">
        <v>2098</v>
      </c>
      <c r="C11479" s="2">
        <v>715.76969999999994</v>
      </c>
      <c r="D11479" s="2">
        <f>HYPERLINK("http://mcb-m6.bioreg.kyushu-u.ac.jp/M3/20110421/F51039/1946/1", 76.89)</f>
        <v>76.89</v>
      </c>
      <c r="E11479" s="2">
        <v>42.12</v>
      </c>
      <c r="F11479" s="2">
        <v>2</v>
      </c>
      <c r="G11479" s="2" t="s">
        <v>11</v>
      </c>
    </row>
    <row r="11480" spans="1:7" x14ac:dyDescent="0.2">
      <c r="A11480" s="2" t="s">
        <v>3487</v>
      </c>
      <c r="B11480" s="2" t="s">
        <v>1247</v>
      </c>
      <c r="C11480" s="2">
        <v>839.28219999999999</v>
      </c>
      <c r="D11480" s="2">
        <f>HYPERLINK("http://mcb-m6.bioreg.kyushu-u.ac.jp/M3/20110421/F51037/2639/1", 85.62)</f>
        <v>85.62</v>
      </c>
      <c r="E11480" s="2">
        <v>66.2</v>
      </c>
      <c r="F11480" s="2">
        <v>2</v>
      </c>
      <c r="G11480" s="2" t="s">
        <v>11</v>
      </c>
    </row>
    <row r="11481" spans="1:7" x14ac:dyDescent="0.2">
      <c r="A11481" s="2" t="s">
        <v>3487</v>
      </c>
      <c r="B11481" s="2" t="s">
        <v>2762</v>
      </c>
      <c r="C11481" s="2">
        <v>908.93370000000004</v>
      </c>
      <c r="D11481" s="2">
        <f>HYPERLINK("http://mcb-m6.bioreg.kyushu-u.ac.jp/M3/20110421/F51037/3006/1", 96.02)</f>
        <v>96.02</v>
      </c>
      <c r="E11481" s="2">
        <v>86.47</v>
      </c>
      <c r="F11481" s="2">
        <v>2</v>
      </c>
      <c r="G11481" s="2" t="s">
        <v>11</v>
      </c>
    </row>
    <row r="11482" spans="1:7" x14ac:dyDescent="0.2">
      <c r="A11482" s="2" t="s">
        <v>3487</v>
      </c>
      <c r="B11482" s="2" t="s">
        <v>1402</v>
      </c>
      <c r="C11482" s="2">
        <v>1089.8340000000001</v>
      </c>
      <c r="D11482" s="2">
        <f>HYPERLINK("http://mcb-m6.bioreg.kyushu-u.ac.jp/M3/20110421/F51037/3615/1", 117.99)</f>
        <v>117.99</v>
      </c>
      <c r="E11482" s="2">
        <v>104.65</v>
      </c>
      <c r="F11482" s="2">
        <v>2</v>
      </c>
      <c r="G11482" s="2" t="s">
        <v>11</v>
      </c>
    </row>
    <row r="11483" spans="1:7" x14ac:dyDescent="0.2">
      <c r="A11483" s="2" t="s">
        <v>3487</v>
      </c>
      <c r="B11483" s="2" t="s">
        <v>1064</v>
      </c>
      <c r="C11483" s="2">
        <v>596.54669999999999</v>
      </c>
      <c r="D11483" s="2">
        <f>HYPERLINK("http://mcb-m6.bioreg.kyushu-u.ac.jp/M3/20110421/F51048/1542/1", 37.91)</f>
        <v>37.909999999999997</v>
      </c>
      <c r="E11483" s="2">
        <v>22.39</v>
      </c>
      <c r="F11483" s="2">
        <v>2</v>
      </c>
      <c r="G11483" s="2" t="s">
        <v>12</v>
      </c>
    </row>
    <row r="11484" spans="1:7" x14ac:dyDescent="0.2">
      <c r="A11484" s="2" t="s">
        <v>3487</v>
      </c>
      <c r="B11484" s="2" t="s">
        <v>2012</v>
      </c>
      <c r="C11484" s="2">
        <v>659.02470000000005</v>
      </c>
      <c r="D11484" s="2">
        <f>HYPERLINK("http://mcb-m6.bioreg.kyushu-u.ac.jp/M3/20110421/F51047/1662/1", 39.62)</f>
        <v>39.619999999999997</v>
      </c>
      <c r="E11484" s="2">
        <v>26.18</v>
      </c>
      <c r="F11484" s="2">
        <v>2</v>
      </c>
      <c r="G11484" s="2" t="s">
        <v>12</v>
      </c>
    </row>
    <row r="11485" spans="1:7" x14ac:dyDescent="0.2">
      <c r="A11485" s="2" t="s">
        <v>3487</v>
      </c>
      <c r="B11485" s="2" t="s">
        <v>655</v>
      </c>
      <c r="C11485" s="2">
        <v>699.8827</v>
      </c>
      <c r="D11485" s="2">
        <f>HYPERLINK("http://mcb-m6.bioreg.kyushu-u.ac.jp/M3/20110421/F51048/1965/1", 61.27)</f>
        <v>61.27</v>
      </c>
      <c r="E11485" s="2">
        <v>33.08</v>
      </c>
      <c r="F11485" s="2">
        <v>2</v>
      </c>
      <c r="G11485" s="2" t="s">
        <v>12</v>
      </c>
    </row>
    <row r="11486" spans="1:7" x14ac:dyDescent="0.2">
      <c r="A11486" s="2" t="s">
        <v>3487</v>
      </c>
      <c r="B11486" s="2" t="s">
        <v>1930</v>
      </c>
      <c r="C11486" s="2">
        <v>609.88170000000002</v>
      </c>
      <c r="D11486" s="2">
        <f>HYPERLINK("http://mcb-m6.bioreg.kyushu-u.ac.jp/M3/20110421/F51048/1595/1", 66.2)</f>
        <v>66.2</v>
      </c>
      <c r="E11486" s="2">
        <v>35.590000000000003</v>
      </c>
      <c r="F11486" s="2">
        <v>2</v>
      </c>
      <c r="G11486" s="2" t="s">
        <v>12</v>
      </c>
    </row>
    <row r="11487" spans="1:7" x14ac:dyDescent="0.2">
      <c r="A11487" s="2" t="s">
        <v>3487</v>
      </c>
      <c r="B11487" s="2" t="s">
        <v>1247</v>
      </c>
      <c r="C11487" s="2">
        <v>839.38670000000002</v>
      </c>
      <c r="D11487" s="2">
        <f>HYPERLINK("http://mcb-m6.bioreg.kyushu-u.ac.jp/M3/20110421/F51048/2677/1", 70.13)</f>
        <v>70.13</v>
      </c>
      <c r="E11487" s="2">
        <v>50.62</v>
      </c>
      <c r="F11487" s="2">
        <v>2</v>
      </c>
      <c r="G11487" s="2" t="s">
        <v>12</v>
      </c>
    </row>
    <row r="11488" spans="1:7" x14ac:dyDescent="0.2">
      <c r="A11488" s="2" t="s">
        <v>3487</v>
      </c>
      <c r="B11488" s="2" t="s">
        <v>2098</v>
      </c>
      <c r="C11488" s="2">
        <v>716.06460000000004</v>
      </c>
      <c r="D11488" s="2">
        <f>HYPERLINK("http://mcb-m6.bioreg.kyushu-u.ac.jp/M3/20110421/F51047/1990/1", 73.1)</f>
        <v>73.099999999999994</v>
      </c>
      <c r="E11488" s="2">
        <v>38.340000000000003</v>
      </c>
      <c r="F11488" s="2">
        <v>2</v>
      </c>
      <c r="G11488" s="2" t="s">
        <v>12</v>
      </c>
    </row>
    <row r="11489" spans="1:7" x14ac:dyDescent="0.2">
      <c r="A11489" s="2" t="s">
        <v>3487</v>
      </c>
      <c r="B11489" s="2" t="s">
        <v>1247</v>
      </c>
      <c r="C11489" s="2">
        <v>839.89369999999997</v>
      </c>
      <c r="D11489" s="2">
        <f>HYPERLINK("http://mcb-m6.bioreg.kyushu-u.ac.jp/M3/20110421/F51048/2682/1", 86.15)</f>
        <v>86.15</v>
      </c>
      <c r="E11489" s="2">
        <v>57.72</v>
      </c>
      <c r="F11489" s="2">
        <v>2</v>
      </c>
      <c r="G11489" s="2" t="s">
        <v>12</v>
      </c>
    </row>
    <row r="11490" spans="1:7" x14ac:dyDescent="0.2">
      <c r="A11490" s="2" t="s">
        <v>3487</v>
      </c>
      <c r="B11490" s="2" t="s">
        <v>2098</v>
      </c>
      <c r="C11490" s="2">
        <v>715.93470000000002</v>
      </c>
      <c r="D11490" s="2">
        <f>HYPERLINK("http://mcb-m6.bioreg.kyushu-u.ac.jp/M3/20110421/F51048/2063/1", 86.92)</f>
        <v>86.92</v>
      </c>
      <c r="E11490" s="2">
        <v>45.53</v>
      </c>
      <c r="F11490" s="2">
        <v>2</v>
      </c>
      <c r="G11490" s="2" t="s">
        <v>12</v>
      </c>
    </row>
    <row r="11491" spans="1:7" x14ac:dyDescent="0.2">
      <c r="A11491" s="2" t="s">
        <v>3487</v>
      </c>
      <c r="B11491" s="2" t="s">
        <v>1912</v>
      </c>
      <c r="C11491" s="2">
        <v>919.47770000000003</v>
      </c>
      <c r="D11491" s="2">
        <f>HYPERLINK("http://mcb-m6.bioreg.kyushu-u.ac.jp/M3/20110421/F51047/2885/1", 92.33)</f>
        <v>92.33</v>
      </c>
      <c r="E11491" s="2">
        <v>77.3</v>
      </c>
      <c r="F11491" s="2">
        <v>2</v>
      </c>
      <c r="G11491" s="2" t="s">
        <v>12</v>
      </c>
    </row>
    <row r="11492" spans="1:7" x14ac:dyDescent="0.2">
      <c r="A11492" s="2" t="s">
        <v>3487</v>
      </c>
      <c r="B11492" s="2" t="s">
        <v>1247</v>
      </c>
      <c r="C11492" s="2">
        <v>839.4606</v>
      </c>
      <c r="D11492" s="2">
        <f>HYPERLINK("http://mcb-m6.bioreg.kyushu-u.ac.jp/M3/20110421/F51047/2573/1", 95.12)</f>
        <v>95.12</v>
      </c>
      <c r="E11492" s="2">
        <v>71.040000000000006</v>
      </c>
      <c r="F11492" s="2">
        <v>2</v>
      </c>
      <c r="G11492" s="2" t="s">
        <v>12</v>
      </c>
    </row>
    <row r="11493" spans="1:7" x14ac:dyDescent="0.2">
      <c r="A11493" s="2" t="s">
        <v>3487</v>
      </c>
      <c r="B11493" s="2" t="s">
        <v>1912</v>
      </c>
      <c r="C11493" s="2">
        <v>918.71119999999996</v>
      </c>
      <c r="D11493" s="2">
        <f>HYPERLINK("http://mcb-m6.bioreg.kyushu-u.ac.jp/M3/20110428/F51132/2841/1", 44.9)</f>
        <v>44.9</v>
      </c>
      <c r="E11493" s="2">
        <v>21.85</v>
      </c>
      <c r="F11493" s="2">
        <v>2</v>
      </c>
      <c r="G11493" s="2" t="s">
        <v>13</v>
      </c>
    </row>
    <row r="11494" spans="1:7" x14ac:dyDescent="0.2">
      <c r="A11494" s="2" t="s">
        <v>3487</v>
      </c>
      <c r="B11494" s="2" t="s">
        <v>1247</v>
      </c>
      <c r="C11494" s="2">
        <v>839.18409999999994</v>
      </c>
      <c r="D11494" s="2">
        <f>HYPERLINK("http://mcb-m6.bioreg.kyushu-u.ac.jp/M3/20110428/F51132/2530/1", 46.47)</f>
        <v>46.47</v>
      </c>
      <c r="E11494" s="2">
        <v>21.78</v>
      </c>
      <c r="F11494" s="2">
        <v>2</v>
      </c>
      <c r="G11494" s="2" t="s">
        <v>13</v>
      </c>
    </row>
    <row r="11495" spans="1:7" x14ac:dyDescent="0.2">
      <c r="A11495" s="2" t="s">
        <v>3487</v>
      </c>
      <c r="B11495" s="2" t="s">
        <v>2098</v>
      </c>
      <c r="C11495" s="2">
        <v>715.71469999999999</v>
      </c>
      <c r="D11495" s="2">
        <f>HYPERLINK("http://mcb-m6.bioreg.kyushu-u.ac.jp/M3/20110428/F51132/1855/1", 53.17)</f>
        <v>53.17</v>
      </c>
      <c r="E11495" s="2">
        <v>31.34</v>
      </c>
      <c r="F11495" s="2">
        <v>2</v>
      </c>
      <c r="G11495" s="2" t="s">
        <v>13</v>
      </c>
    </row>
    <row r="11496" spans="1:7" x14ac:dyDescent="0.2">
      <c r="A11496" s="2" t="s">
        <v>3487</v>
      </c>
      <c r="B11496" s="2" t="s">
        <v>2095</v>
      </c>
      <c r="C11496" s="2">
        <v>967.63570000000004</v>
      </c>
      <c r="D11496" s="2">
        <f>HYPERLINK("http://mcb-m6.bioreg.kyushu-u.ac.jp/M3/20110428/F51132/2969/1", 88.04)</f>
        <v>88.04</v>
      </c>
      <c r="E11496" s="2">
        <v>75.28</v>
      </c>
      <c r="F11496" s="2">
        <v>2</v>
      </c>
      <c r="G11496" s="2" t="s">
        <v>13</v>
      </c>
    </row>
    <row r="11497" spans="1:7" x14ac:dyDescent="0.2">
      <c r="A11497" s="2" t="s">
        <v>3487</v>
      </c>
      <c r="B11497" s="2" t="s">
        <v>315</v>
      </c>
      <c r="C11497" s="2">
        <v>538.1422</v>
      </c>
      <c r="D11497" s="2">
        <f>HYPERLINK("http://mcb-m6.bioreg.kyushu-u.ac.jp/M3/20110428/F51129/1188/1", 46.7)</f>
        <v>46.7</v>
      </c>
      <c r="E11497" s="2">
        <v>23.25</v>
      </c>
      <c r="F11497" s="2">
        <v>2</v>
      </c>
      <c r="G11497" s="2" t="s">
        <v>14</v>
      </c>
    </row>
    <row r="11498" spans="1:7" x14ac:dyDescent="0.2">
      <c r="A11498" s="2" t="s">
        <v>3487</v>
      </c>
      <c r="B11498" s="2" t="s">
        <v>1930</v>
      </c>
      <c r="C11498" s="2">
        <v>609.7527</v>
      </c>
      <c r="D11498" s="2">
        <f>HYPERLINK("http://mcb-m6.bioreg.kyushu-u.ac.jp/M3/20110428/F51129/1456/1", 74.82)</f>
        <v>74.819999999999993</v>
      </c>
      <c r="E11498" s="2">
        <v>37.93</v>
      </c>
      <c r="F11498" s="2">
        <v>2</v>
      </c>
      <c r="G11498" s="2" t="s">
        <v>14</v>
      </c>
    </row>
    <row r="11499" spans="1:7" x14ac:dyDescent="0.2">
      <c r="A11499" s="2" t="s">
        <v>3487</v>
      </c>
      <c r="B11499" s="2" t="s">
        <v>1247</v>
      </c>
      <c r="C11499" s="2">
        <v>839.15719999999999</v>
      </c>
      <c r="D11499" s="2">
        <f>HYPERLINK("http://mcb-m6.bioreg.kyushu-u.ac.jp/M3/20110428/F51129/2530/1", 83.11)</f>
        <v>83.11</v>
      </c>
      <c r="E11499" s="2">
        <v>64.36</v>
      </c>
      <c r="F11499" s="2">
        <v>2</v>
      </c>
      <c r="G11499" s="2" t="s">
        <v>14</v>
      </c>
    </row>
    <row r="11500" spans="1:7" x14ac:dyDescent="0.2">
      <c r="A11500" s="2" t="s">
        <v>3487</v>
      </c>
      <c r="B11500" s="2" t="s">
        <v>1912</v>
      </c>
      <c r="C11500" s="2">
        <v>918.78719999999998</v>
      </c>
      <c r="D11500" s="2">
        <f>HYPERLINK("http://mcb-m6.bioreg.kyushu-u.ac.jp/M3/20110428/F51129/2836/1", 92.57)</f>
        <v>92.57</v>
      </c>
      <c r="E11500" s="2">
        <v>69.489999999999995</v>
      </c>
      <c r="F11500" s="2">
        <v>2</v>
      </c>
      <c r="G11500" s="2" t="s">
        <v>14</v>
      </c>
    </row>
    <row r="11501" spans="1:7" x14ac:dyDescent="0.2">
      <c r="A11501" s="2" t="s">
        <v>3744</v>
      </c>
      <c r="B11501" s="2" t="s">
        <v>748</v>
      </c>
      <c r="C11501" s="2">
        <v>625.76070000000004</v>
      </c>
      <c r="D11501" s="2">
        <f>HYPERLINK("http://mcb-m6.bioreg.kyushu-u.ac.jp/M3/20110404/F50754/1729/1", 62.4)</f>
        <v>62.4</v>
      </c>
      <c r="E11501" s="2">
        <v>41.39</v>
      </c>
      <c r="F11501" s="2">
        <v>2</v>
      </c>
      <c r="G11501" s="2" t="s">
        <v>9</v>
      </c>
    </row>
    <row r="11502" spans="1:7" x14ac:dyDescent="0.2">
      <c r="A11502" s="2" t="s">
        <v>3744</v>
      </c>
      <c r="B11502" s="2" t="s">
        <v>748</v>
      </c>
      <c r="C11502" s="2">
        <v>626.21420000000001</v>
      </c>
      <c r="D11502" s="2">
        <f>HYPERLINK("http://mcb-m6.bioreg.kyushu-u.ac.jp/M3/20110421/F51018/1605/1", 52.76)</f>
        <v>52.76</v>
      </c>
      <c r="E11502" s="2">
        <v>31.45</v>
      </c>
      <c r="F11502" s="2">
        <v>2</v>
      </c>
      <c r="G11502" s="2" t="s">
        <v>11</v>
      </c>
    </row>
    <row r="11503" spans="1:7" x14ac:dyDescent="0.2">
      <c r="A11503" s="2" t="s">
        <v>3744</v>
      </c>
      <c r="B11503" s="2" t="s">
        <v>1694</v>
      </c>
      <c r="C11503" s="2">
        <v>573.30970000000002</v>
      </c>
      <c r="D11503" s="2">
        <f>HYPERLINK("http://mcb-m6.bioreg.kyushu-u.ac.jp/M3/20110421/F51024/1455/1", 40.53)</f>
        <v>40.53</v>
      </c>
      <c r="E11503" s="2">
        <v>17.2</v>
      </c>
      <c r="F11503" s="2">
        <v>2</v>
      </c>
      <c r="G11503" s="2" t="s">
        <v>12</v>
      </c>
    </row>
    <row r="11504" spans="1:7" x14ac:dyDescent="0.2">
      <c r="A11504" s="2" t="s">
        <v>3744</v>
      </c>
      <c r="B11504" s="2" t="s">
        <v>1694</v>
      </c>
      <c r="C11504" s="2">
        <v>572.61519999999996</v>
      </c>
      <c r="D11504" s="2">
        <f>HYPERLINK("http://mcb-m6.bioreg.kyushu-u.ac.jp/M3/20110427/F51112/1374/1", 44.4)</f>
        <v>44.4</v>
      </c>
      <c r="E11504" s="2">
        <v>14.64</v>
      </c>
      <c r="F11504" s="2">
        <v>2</v>
      </c>
      <c r="G11504" s="2" t="s">
        <v>13</v>
      </c>
    </row>
    <row r="11505" spans="1:8" x14ac:dyDescent="0.2">
      <c r="A11505" s="2" t="s">
        <v>3744</v>
      </c>
      <c r="B11505" s="2" t="s">
        <v>748</v>
      </c>
      <c r="C11505" s="2">
        <v>625.69709999999998</v>
      </c>
      <c r="D11505" s="2">
        <f>HYPERLINK("http://mcb-m6.bioreg.kyushu-u.ac.jp/M3/20110427/F51112/1597/1", 49.42)</f>
        <v>49.42</v>
      </c>
      <c r="E11505" s="2">
        <v>30.32</v>
      </c>
      <c r="F11505" s="2">
        <v>2</v>
      </c>
      <c r="G11505" s="2" t="s">
        <v>13</v>
      </c>
    </row>
    <row r="11506" spans="1:8" x14ac:dyDescent="0.2">
      <c r="A11506" s="2" t="s">
        <v>7542</v>
      </c>
      <c r="B11506" s="2" t="s">
        <v>5947</v>
      </c>
      <c r="C11506" s="2">
        <v>838.74270000000001</v>
      </c>
      <c r="D11506" s="2">
        <f>HYPERLINK("http://mcb-m6.bioreg.kyushu-u.ac.jp/M3/20110404/F50755/2401/1", 36.61)</f>
        <v>36.61</v>
      </c>
      <c r="E11506" s="2">
        <v>26.43</v>
      </c>
      <c r="F11506" s="2">
        <v>2</v>
      </c>
      <c r="G11506" s="2" t="s">
        <v>9</v>
      </c>
    </row>
    <row r="11507" spans="1:8" x14ac:dyDescent="0.2">
      <c r="A11507" s="2" t="s">
        <v>7542</v>
      </c>
      <c r="B11507" s="2" t="s">
        <v>6592</v>
      </c>
      <c r="C11507" s="2">
        <v>916.31870000000004</v>
      </c>
      <c r="D11507" s="2">
        <f>HYPERLINK("http://mcb-m6.bioreg.kyushu-u.ac.jp/M3/20110404/F50754/2670/1", 87.36)</f>
        <v>87.36</v>
      </c>
      <c r="E11507" s="2">
        <v>66.78</v>
      </c>
      <c r="F11507" s="2">
        <v>2</v>
      </c>
      <c r="G11507" s="2" t="s">
        <v>9</v>
      </c>
    </row>
    <row r="11508" spans="1:8" x14ac:dyDescent="0.2">
      <c r="A11508" s="2" t="s">
        <v>3809</v>
      </c>
      <c r="B11508" s="2" t="s">
        <v>1253</v>
      </c>
      <c r="C11508" s="2">
        <v>848.22519999999997</v>
      </c>
      <c r="D11508" s="2">
        <f>HYPERLINK("http://mcb-m6.bioreg.kyushu-u.ac.jp/M3/20110404/F50763/2297/1", 36.39)</f>
        <v>36.39</v>
      </c>
      <c r="E11508" s="2">
        <v>26.67</v>
      </c>
      <c r="F11508" s="2">
        <v>2</v>
      </c>
      <c r="G11508" s="2" t="s">
        <v>9</v>
      </c>
    </row>
    <row r="11509" spans="1:8" x14ac:dyDescent="0.2">
      <c r="A11509" s="2" t="s">
        <v>3809</v>
      </c>
      <c r="B11509" s="2" t="s">
        <v>1253</v>
      </c>
      <c r="C11509" s="2">
        <v>848.33169999999996</v>
      </c>
      <c r="D11509" s="2">
        <f>HYPERLINK("http://mcb-m6.bioreg.kyushu-u.ac.jp/M3/20110404/F50762/2139/1", 77.82)</f>
        <v>77.819999999999993</v>
      </c>
      <c r="E11509" s="2">
        <v>66.510000000000005</v>
      </c>
      <c r="F11509" s="2">
        <v>2</v>
      </c>
      <c r="G11509" s="2" t="s">
        <v>9</v>
      </c>
    </row>
    <row r="11510" spans="1:8" x14ac:dyDescent="0.2">
      <c r="A11510" s="2" t="s">
        <v>3809</v>
      </c>
      <c r="B11510" s="2" t="s">
        <v>1253</v>
      </c>
      <c r="C11510" s="2">
        <v>848.24069999999995</v>
      </c>
      <c r="D11510" s="2">
        <f>HYPERLINK("http://mcb-m6.bioreg.kyushu-u.ac.jp/M3/20110404/F50769/2255/1", 43.88)</f>
        <v>43.88</v>
      </c>
      <c r="E11510" s="2">
        <v>31.77</v>
      </c>
      <c r="F11510" s="2">
        <v>2</v>
      </c>
      <c r="G11510" s="2" t="s">
        <v>10</v>
      </c>
    </row>
    <row r="11511" spans="1:8" x14ac:dyDescent="0.2">
      <c r="A11511" s="2" t="s">
        <v>3809</v>
      </c>
      <c r="B11511" s="2" t="s">
        <v>1253</v>
      </c>
      <c r="C11511" s="2">
        <v>848.76509999999996</v>
      </c>
      <c r="D11511" s="2">
        <f>HYPERLINK("http://mcb-m6.bioreg.kyushu-u.ac.jp/M3/20110404/F50769/2257/1", 60.75)</f>
        <v>60.75</v>
      </c>
      <c r="E11511" s="2">
        <v>48.68</v>
      </c>
      <c r="F11511" s="2">
        <v>2</v>
      </c>
      <c r="G11511" s="2" t="s">
        <v>10</v>
      </c>
    </row>
    <row r="11512" spans="1:8" x14ac:dyDescent="0.2">
      <c r="A11512" s="2" t="s">
        <v>3809</v>
      </c>
      <c r="B11512" s="2" t="s">
        <v>6949</v>
      </c>
      <c r="C11512" s="2">
        <v>668.79319999999996</v>
      </c>
      <c r="D11512" s="2">
        <f>HYPERLINK("http://mcb-m6.bioreg.kyushu-u.ac.jp/M3/20110404/F50768/1585/1", 64.44)</f>
        <v>64.44</v>
      </c>
      <c r="E11512" s="2">
        <v>44.09</v>
      </c>
      <c r="F11512" s="2">
        <v>2</v>
      </c>
      <c r="G11512" s="2" t="s">
        <v>10</v>
      </c>
    </row>
    <row r="11513" spans="1:8" x14ac:dyDescent="0.2">
      <c r="A11513" s="2" t="s">
        <v>3809</v>
      </c>
      <c r="B11513" s="2" t="s">
        <v>1253</v>
      </c>
      <c r="C11513" s="2">
        <v>848.47119999999995</v>
      </c>
      <c r="D11513" s="2">
        <f>HYPERLINK("http://mcb-m6.bioreg.kyushu-u.ac.jp/M3/20110404/F50768/2253/1", 66.97)</f>
        <v>66.97</v>
      </c>
      <c r="E11513" s="2">
        <v>52.4</v>
      </c>
      <c r="F11513" s="2">
        <v>2</v>
      </c>
      <c r="G11513" s="2" t="s">
        <v>10</v>
      </c>
    </row>
    <row r="11514" spans="1:8" x14ac:dyDescent="0.2">
      <c r="A11514" s="2" t="s">
        <v>3809</v>
      </c>
      <c r="B11514" s="2" t="s">
        <v>1530</v>
      </c>
      <c r="C11514" s="2">
        <v>770.29420000000005</v>
      </c>
      <c r="D11514" s="2">
        <f>HYPERLINK("http://mcb-m6.bioreg.kyushu-u.ac.jp/M3/20110404/F50768/1995/1", 77.42)</f>
        <v>77.42</v>
      </c>
      <c r="E11514" s="2">
        <v>56.05</v>
      </c>
      <c r="F11514" s="2">
        <v>2</v>
      </c>
      <c r="G11514" s="2" t="s">
        <v>10</v>
      </c>
    </row>
    <row r="11515" spans="1:8" x14ac:dyDescent="0.2">
      <c r="A11515" s="2" t="s">
        <v>3809</v>
      </c>
      <c r="B11515" s="2" t="s">
        <v>1253</v>
      </c>
      <c r="C11515" s="2">
        <v>856.30870000000004</v>
      </c>
      <c r="D11515" s="2">
        <f>HYPERLINK("http://mcb-m6.bioreg.kyushu-u.ac.jp/M3/20110421/F51045/2621/1", 43.36)</f>
        <v>43.36</v>
      </c>
      <c r="E11515" s="2">
        <v>33.07</v>
      </c>
      <c r="F11515" s="2">
        <v>2</v>
      </c>
      <c r="G11515" s="2" t="s">
        <v>12</v>
      </c>
      <c r="H11515" s="2" t="s">
        <v>4912</v>
      </c>
    </row>
    <row r="11516" spans="1:8" x14ac:dyDescent="0.2">
      <c r="A11516" s="2" t="s">
        <v>3809</v>
      </c>
      <c r="B11516" s="2" t="s">
        <v>1253</v>
      </c>
      <c r="C11516" s="2">
        <v>848.36270000000002</v>
      </c>
      <c r="D11516" s="2">
        <f>HYPERLINK("http://mcb-m6.bioreg.kyushu-u.ac.jp/M3/20110421/F51043/2545/1", 84.06)</f>
        <v>84.06</v>
      </c>
      <c r="E11516" s="2">
        <v>69.36</v>
      </c>
      <c r="F11516" s="2">
        <v>2</v>
      </c>
      <c r="G11516" s="2" t="s">
        <v>12</v>
      </c>
    </row>
    <row r="11517" spans="1:8" x14ac:dyDescent="0.2">
      <c r="A11517" s="2" t="s">
        <v>3809</v>
      </c>
      <c r="B11517" s="2" t="s">
        <v>1253</v>
      </c>
      <c r="C11517" s="2">
        <v>848.60670000000005</v>
      </c>
      <c r="D11517" s="2">
        <f>HYPERLINK("http://mcb-m6.bioreg.kyushu-u.ac.jp/M3/20110428/F51128/2479/1", 60.19)</f>
        <v>60.19</v>
      </c>
      <c r="E11517" s="2">
        <v>40.53</v>
      </c>
      <c r="F11517" s="2">
        <v>2</v>
      </c>
      <c r="G11517" s="2" t="s">
        <v>14</v>
      </c>
    </row>
    <row r="11518" spans="1:8" x14ac:dyDescent="0.2">
      <c r="A11518" s="2" t="s">
        <v>3809</v>
      </c>
      <c r="B11518" s="2" t="s">
        <v>1253</v>
      </c>
      <c r="C11518" s="2">
        <v>848.05219999999997</v>
      </c>
      <c r="D11518" s="2">
        <f>HYPERLINK("http://mcb-m6.bioreg.kyushu-u.ac.jp/M3/20110428/F51128/2473/1", 72.68)</f>
        <v>72.680000000000007</v>
      </c>
      <c r="E11518" s="2">
        <v>61.08</v>
      </c>
      <c r="F11518" s="2">
        <v>2</v>
      </c>
      <c r="G11518" s="2" t="s">
        <v>14</v>
      </c>
    </row>
    <row r="11519" spans="1:8" x14ac:dyDescent="0.2">
      <c r="A11519" s="2" t="s">
        <v>3400</v>
      </c>
      <c r="B11519" s="2" t="s">
        <v>285</v>
      </c>
      <c r="C11519" s="2">
        <v>900.44200000000001</v>
      </c>
      <c r="D11519" s="2">
        <f>HYPERLINK("http://mcb-m6.bioreg.kyushu-u.ac.jp/M3/20110404/F50762/780/1", 35.86)</f>
        <v>35.86</v>
      </c>
      <c r="E11519" s="2">
        <v>8.02</v>
      </c>
      <c r="F11519" s="2">
        <v>1</v>
      </c>
      <c r="G11519" s="2" t="s">
        <v>9</v>
      </c>
    </row>
    <row r="11520" spans="1:8" x14ac:dyDescent="0.2">
      <c r="A11520" s="2" t="s">
        <v>3400</v>
      </c>
      <c r="B11520" s="2" t="s">
        <v>285</v>
      </c>
      <c r="C11520" s="2">
        <v>450.72160000000002</v>
      </c>
      <c r="D11520" s="2">
        <f>HYPERLINK("http://mcb-m6.bioreg.kyushu-u.ac.jp/M3/20110404/F50763/879/1", 45.08)</f>
        <v>45.08</v>
      </c>
      <c r="E11520" s="2">
        <v>11.69</v>
      </c>
      <c r="F11520" s="2">
        <v>2</v>
      </c>
      <c r="G11520" s="2" t="s">
        <v>9</v>
      </c>
    </row>
    <row r="11521" spans="1:8" x14ac:dyDescent="0.2">
      <c r="A11521" s="2" t="s">
        <v>3400</v>
      </c>
      <c r="B11521" s="2" t="s">
        <v>285</v>
      </c>
      <c r="C11521" s="2">
        <v>450.74459999999999</v>
      </c>
      <c r="D11521" s="2">
        <f>HYPERLINK("http://mcb-m6.bioreg.kyushu-u.ac.jp/M3/20110404/F50762/782/1", 45.39)</f>
        <v>45.39</v>
      </c>
      <c r="E11521" s="2">
        <v>12.47</v>
      </c>
      <c r="F11521" s="2">
        <v>2</v>
      </c>
      <c r="G11521" s="2" t="s">
        <v>9</v>
      </c>
    </row>
    <row r="11522" spans="1:8" x14ac:dyDescent="0.2">
      <c r="A11522" s="2" t="s">
        <v>3400</v>
      </c>
      <c r="B11522" s="2" t="s">
        <v>285</v>
      </c>
      <c r="C11522" s="2">
        <v>900.32</v>
      </c>
      <c r="D11522" s="2">
        <f>HYPERLINK("http://mcb-m6.bioreg.kyushu-u.ac.jp/M3/20110404/F50763/878/1", 45.75)</f>
        <v>45.75</v>
      </c>
      <c r="E11522" s="2">
        <v>17.559999999999999</v>
      </c>
      <c r="F11522" s="2">
        <v>1</v>
      </c>
      <c r="G11522" s="2" t="s">
        <v>9</v>
      </c>
    </row>
    <row r="11523" spans="1:8" x14ac:dyDescent="0.2">
      <c r="A11523" s="2" t="s">
        <v>3400</v>
      </c>
      <c r="B11523" s="2" t="s">
        <v>196</v>
      </c>
      <c r="C11523" s="2">
        <v>1086.3989999999999</v>
      </c>
      <c r="D11523" s="2">
        <f>HYPERLINK("http://mcb-m6.bioreg.kyushu-u.ac.jp/M3/20110404/F50762/1138/1", 52.84)</f>
        <v>52.84</v>
      </c>
      <c r="E11523" s="2">
        <v>37.33</v>
      </c>
      <c r="F11523" s="2">
        <v>1</v>
      </c>
      <c r="G11523" s="2" t="s">
        <v>9</v>
      </c>
    </row>
    <row r="11524" spans="1:8" x14ac:dyDescent="0.2">
      <c r="A11524" s="2" t="s">
        <v>3400</v>
      </c>
      <c r="B11524" s="2" t="s">
        <v>196</v>
      </c>
      <c r="C11524" s="2">
        <v>543.67819999999995</v>
      </c>
      <c r="D11524" s="2">
        <f>HYPERLINK("http://mcb-m6.bioreg.kyushu-u.ac.jp/M3/20110404/F50762/1137/1", 72.94)</f>
        <v>72.94</v>
      </c>
      <c r="E11524" s="2">
        <v>35.56</v>
      </c>
      <c r="F11524" s="2">
        <v>2</v>
      </c>
      <c r="G11524" s="2" t="s">
        <v>9</v>
      </c>
    </row>
    <row r="11525" spans="1:8" x14ac:dyDescent="0.2">
      <c r="A11525" s="2" t="s">
        <v>3400</v>
      </c>
      <c r="B11525" s="2" t="s">
        <v>196</v>
      </c>
      <c r="C11525" s="2">
        <v>543.72609999999997</v>
      </c>
      <c r="D11525" s="2">
        <f>HYPERLINK("http://mcb-m6.bioreg.kyushu-u.ac.jp/M3/20110404/F50763/1220/1", 75.35)</f>
        <v>75.349999999999994</v>
      </c>
      <c r="E11525" s="2">
        <v>42.04</v>
      </c>
      <c r="F11525" s="2">
        <v>2</v>
      </c>
      <c r="G11525" s="2" t="s">
        <v>9</v>
      </c>
    </row>
    <row r="11526" spans="1:8" x14ac:dyDescent="0.2">
      <c r="A11526" s="2" t="s">
        <v>3400</v>
      </c>
      <c r="B11526" s="2" t="s">
        <v>512</v>
      </c>
      <c r="C11526" s="2">
        <v>470.21109999999999</v>
      </c>
      <c r="D11526" s="2">
        <f>HYPERLINK("http://mcb-m6.bioreg.kyushu-u.ac.jp/M3/20110404/F50768/995/1", 37.19)</f>
        <v>37.19</v>
      </c>
      <c r="E11526" s="2">
        <v>18.45</v>
      </c>
      <c r="F11526" s="2">
        <v>2</v>
      </c>
      <c r="G11526" s="2" t="s">
        <v>10</v>
      </c>
    </row>
    <row r="11527" spans="1:8" x14ac:dyDescent="0.2">
      <c r="A11527" s="2" t="s">
        <v>3400</v>
      </c>
      <c r="B11527" s="2" t="s">
        <v>285</v>
      </c>
      <c r="C11527" s="2">
        <v>900.41499999999996</v>
      </c>
      <c r="D11527" s="2">
        <f>HYPERLINK("http://mcb-m6.bioreg.kyushu-u.ac.jp/M3/20110404/F50768/910/1", 39.45)</f>
        <v>39.450000000000003</v>
      </c>
      <c r="E11527" s="2">
        <v>11.16</v>
      </c>
      <c r="F11527" s="2">
        <v>1</v>
      </c>
      <c r="G11527" s="2" t="s">
        <v>10</v>
      </c>
    </row>
    <row r="11528" spans="1:8" x14ac:dyDescent="0.2">
      <c r="A11528" s="2" t="s">
        <v>3400</v>
      </c>
      <c r="B11528" s="2" t="s">
        <v>512</v>
      </c>
      <c r="C11528" s="2">
        <v>470.7561</v>
      </c>
      <c r="D11528" s="2">
        <f>HYPERLINK("http://mcb-m6.bioreg.kyushu-u.ac.jp/M3/20110404/F50768/999/1", 40.65)</f>
        <v>40.65</v>
      </c>
      <c r="E11528" s="2">
        <v>23.89</v>
      </c>
      <c r="F11528" s="2">
        <v>2</v>
      </c>
      <c r="G11528" s="2" t="s">
        <v>10</v>
      </c>
    </row>
    <row r="11529" spans="1:8" x14ac:dyDescent="0.2">
      <c r="A11529" s="2" t="s">
        <v>3400</v>
      </c>
      <c r="B11529" s="2" t="s">
        <v>196</v>
      </c>
      <c r="C11529" s="2">
        <v>1086.9290000000001</v>
      </c>
      <c r="D11529" s="2">
        <f>HYPERLINK("http://mcb-m6.bioreg.kyushu-u.ac.jp/M3/20110404/F50768/1224/1", 45.05)</f>
        <v>45.05</v>
      </c>
      <c r="E11529" s="2">
        <v>29.59</v>
      </c>
      <c r="F11529" s="2">
        <v>1</v>
      </c>
      <c r="G11529" s="2" t="s">
        <v>10</v>
      </c>
    </row>
    <row r="11530" spans="1:8" x14ac:dyDescent="0.2">
      <c r="A11530" s="2" t="s">
        <v>3400</v>
      </c>
      <c r="B11530" s="2" t="s">
        <v>1857</v>
      </c>
      <c r="C11530" s="2">
        <v>616.38869999999997</v>
      </c>
      <c r="D11530" s="2">
        <f>HYPERLINK("http://mcb-m6.bioreg.kyushu-u.ac.jp/M3/20110404/F50768/1448/1", 54.61)</f>
        <v>54.61</v>
      </c>
      <c r="E11530" s="2">
        <v>38.93</v>
      </c>
      <c r="F11530" s="2">
        <v>2</v>
      </c>
      <c r="G11530" s="2" t="s">
        <v>10</v>
      </c>
    </row>
    <row r="11531" spans="1:8" x14ac:dyDescent="0.2">
      <c r="A11531" s="2" t="s">
        <v>3400</v>
      </c>
      <c r="B11531" s="2" t="s">
        <v>196</v>
      </c>
      <c r="C11531" s="2">
        <v>544.15470000000005</v>
      </c>
      <c r="D11531" s="2">
        <f>HYPERLINK("http://mcb-m6.bioreg.kyushu-u.ac.jp/M3/20110404/F50769/1393/1", 67.55)</f>
        <v>67.55</v>
      </c>
      <c r="E11531" s="2">
        <v>36.78</v>
      </c>
      <c r="F11531" s="2">
        <v>2</v>
      </c>
      <c r="G11531" s="2" t="s">
        <v>10</v>
      </c>
    </row>
    <row r="11532" spans="1:8" x14ac:dyDescent="0.2">
      <c r="A11532" s="2" t="s">
        <v>3400</v>
      </c>
      <c r="B11532" s="2" t="s">
        <v>196</v>
      </c>
      <c r="C11532" s="2">
        <v>543.73069999999996</v>
      </c>
      <c r="D11532" s="2">
        <f>HYPERLINK("http://mcb-m6.bioreg.kyushu-u.ac.jp/M3/20110404/F50768/1223/1", 75.39)</f>
        <v>75.39</v>
      </c>
      <c r="E11532" s="2">
        <v>32.369999999999997</v>
      </c>
      <c r="F11532" s="2">
        <v>2</v>
      </c>
      <c r="G11532" s="2" t="s">
        <v>10</v>
      </c>
    </row>
    <row r="11533" spans="1:8" x14ac:dyDescent="0.2">
      <c r="A11533" s="2" t="s">
        <v>3400</v>
      </c>
      <c r="B11533" s="2" t="s">
        <v>196</v>
      </c>
      <c r="C11533" s="2">
        <v>551.6422</v>
      </c>
      <c r="D11533" s="2">
        <f>HYPERLINK("http://mcb-m6.bioreg.kyushu-u.ac.jp/M3/20110404/F50768/1244/1", 75.64)</f>
        <v>75.64</v>
      </c>
      <c r="E11533" s="2">
        <v>46.32</v>
      </c>
      <c r="F11533" s="2">
        <v>2</v>
      </c>
      <c r="G11533" s="2" t="s">
        <v>10</v>
      </c>
      <c r="H11533" s="2" t="s">
        <v>4910</v>
      </c>
    </row>
    <row r="11534" spans="1:8" x14ac:dyDescent="0.2">
      <c r="A11534" s="2" t="s">
        <v>3400</v>
      </c>
      <c r="B11534" s="2" t="s">
        <v>196</v>
      </c>
      <c r="C11534" s="2">
        <v>551.85019999999997</v>
      </c>
      <c r="D11534" s="2">
        <f>HYPERLINK("http://mcb-m6.bioreg.kyushu-u.ac.jp/M3/20110421/F51035/1010/1", 35.93)</f>
        <v>35.93</v>
      </c>
      <c r="E11534" s="2">
        <v>19.170000000000002</v>
      </c>
      <c r="F11534" s="2">
        <v>2</v>
      </c>
      <c r="G11534" s="2" t="s">
        <v>11</v>
      </c>
      <c r="H11534" s="2" t="s">
        <v>4910</v>
      </c>
    </row>
    <row r="11535" spans="1:8" x14ac:dyDescent="0.2">
      <c r="A11535" s="2" t="s">
        <v>3400</v>
      </c>
      <c r="B11535" s="2" t="s">
        <v>1857</v>
      </c>
      <c r="C11535" s="2">
        <v>616.28920000000005</v>
      </c>
      <c r="D11535" s="2">
        <f>HYPERLINK("http://mcb-m6.bioreg.kyushu-u.ac.jp/M3/20110421/F51044/1410/1", 39.99)</f>
        <v>39.99</v>
      </c>
      <c r="E11535" s="2">
        <v>24.8</v>
      </c>
      <c r="F11535" s="2">
        <v>2</v>
      </c>
      <c r="G11535" s="2" t="s">
        <v>12</v>
      </c>
    </row>
    <row r="11536" spans="1:8" x14ac:dyDescent="0.2">
      <c r="A11536" s="2" t="s">
        <v>3400</v>
      </c>
      <c r="B11536" s="2" t="s">
        <v>196</v>
      </c>
      <c r="C11536" s="2">
        <v>551.8492</v>
      </c>
      <c r="D11536" s="2">
        <f>HYPERLINK("http://mcb-m6.bioreg.kyushu-u.ac.jp/M3/20110421/F51043/1169/1", 44.56)</f>
        <v>44.56</v>
      </c>
      <c r="E11536" s="2">
        <v>22.11</v>
      </c>
      <c r="F11536" s="2">
        <v>2</v>
      </c>
      <c r="G11536" s="2" t="s">
        <v>12</v>
      </c>
      <c r="H11536" s="2" t="s">
        <v>4910</v>
      </c>
    </row>
    <row r="11537" spans="1:8" x14ac:dyDescent="0.2">
      <c r="A11537" s="2" t="s">
        <v>3400</v>
      </c>
      <c r="B11537" s="2" t="s">
        <v>1857</v>
      </c>
      <c r="C11537" s="2">
        <v>616.48969999999997</v>
      </c>
      <c r="D11537" s="2">
        <f>HYPERLINK("http://mcb-m6.bioreg.kyushu-u.ac.jp/M3/20110421/F51045/1641/1", 48.1)</f>
        <v>48.1</v>
      </c>
      <c r="E11537" s="2">
        <v>30.43</v>
      </c>
      <c r="F11537" s="2">
        <v>2</v>
      </c>
      <c r="G11537" s="2" t="s">
        <v>12</v>
      </c>
    </row>
    <row r="11538" spans="1:8" x14ac:dyDescent="0.2">
      <c r="A11538" s="2" t="s">
        <v>3400</v>
      </c>
      <c r="B11538" s="2" t="s">
        <v>1857</v>
      </c>
      <c r="C11538" s="2">
        <v>616.44960000000003</v>
      </c>
      <c r="D11538" s="2">
        <f>HYPERLINK("http://mcb-m6.bioreg.kyushu-u.ac.jp/M3/20110421/F51043/1451/1", 61.23)</f>
        <v>61.23</v>
      </c>
      <c r="E11538" s="2">
        <v>43.81</v>
      </c>
      <c r="F11538" s="2">
        <v>2</v>
      </c>
      <c r="G11538" s="2" t="s">
        <v>12</v>
      </c>
    </row>
    <row r="11539" spans="1:8" x14ac:dyDescent="0.2">
      <c r="A11539" s="2" t="s">
        <v>3400</v>
      </c>
      <c r="B11539" s="2" t="s">
        <v>196</v>
      </c>
      <c r="C11539" s="2">
        <v>543.80520000000001</v>
      </c>
      <c r="D11539" s="2">
        <f>HYPERLINK("http://mcb-m6.bioreg.kyushu-u.ac.jp/M3/20110421/F51043/1134/1", 75.25)</f>
        <v>75.25</v>
      </c>
      <c r="E11539" s="2">
        <v>38.200000000000003</v>
      </c>
      <c r="F11539" s="2">
        <v>2</v>
      </c>
      <c r="G11539" s="2" t="s">
        <v>12</v>
      </c>
    </row>
    <row r="11540" spans="1:8" x14ac:dyDescent="0.2">
      <c r="A11540" s="2" t="s">
        <v>3400</v>
      </c>
      <c r="B11540" s="2" t="s">
        <v>196</v>
      </c>
      <c r="C11540" s="2">
        <v>543.81320000000005</v>
      </c>
      <c r="D11540" s="2">
        <f>HYPERLINK("http://mcb-m6.bioreg.kyushu-u.ac.jp/M3/20110421/F51045/1312/1", 75.4)</f>
        <v>75.400000000000006</v>
      </c>
      <c r="E11540" s="2">
        <v>39.46</v>
      </c>
      <c r="F11540" s="2">
        <v>2</v>
      </c>
      <c r="G11540" s="2" t="s">
        <v>12</v>
      </c>
    </row>
    <row r="11541" spans="1:8" x14ac:dyDescent="0.2">
      <c r="A11541" s="2" t="s">
        <v>3400</v>
      </c>
      <c r="B11541" s="2" t="s">
        <v>512</v>
      </c>
      <c r="C11541" s="2">
        <v>470.12209999999999</v>
      </c>
      <c r="D11541" s="2">
        <f>HYPERLINK("http://mcb-m6.bioreg.kyushu-u.ac.jp/M3/20110428/F51127/661/1", 39.31)</f>
        <v>39.31</v>
      </c>
      <c r="E11541" s="2">
        <v>21.53</v>
      </c>
      <c r="F11541" s="2">
        <v>2</v>
      </c>
      <c r="G11541" s="2" t="s">
        <v>13</v>
      </c>
    </row>
    <row r="11542" spans="1:8" x14ac:dyDescent="0.2">
      <c r="A11542" s="2" t="s">
        <v>3400</v>
      </c>
      <c r="B11542" s="2" t="s">
        <v>1857</v>
      </c>
      <c r="C11542" s="2">
        <v>616.15809999999999</v>
      </c>
      <c r="D11542" s="2">
        <f>HYPERLINK("http://mcb-m6.bioreg.kyushu-u.ac.jp/M3/20110428/F51127/1266/1", 50.97)</f>
        <v>50.97</v>
      </c>
      <c r="E11542" s="2">
        <v>37.130000000000003</v>
      </c>
      <c r="F11542" s="2">
        <v>2</v>
      </c>
      <c r="G11542" s="2" t="s">
        <v>13</v>
      </c>
    </row>
    <row r="11543" spans="1:8" x14ac:dyDescent="0.2">
      <c r="A11543" s="2" t="s">
        <v>3400</v>
      </c>
      <c r="B11543" s="2" t="s">
        <v>196</v>
      </c>
      <c r="C11543" s="2">
        <v>543.57759999999996</v>
      </c>
      <c r="D11543" s="2">
        <f>HYPERLINK("http://mcb-m6.bioreg.kyushu-u.ac.jp/M3/20110428/F51128/1113/1", 37.27)</f>
        <v>37.270000000000003</v>
      </c>
      <c r="E11543" s="2">
        <v>18.46</v>
      </c>
      <c r="F11543" s="2">
        <v>2</v>
      </c>
      <c r="G11543" s="2" t="s">
        <v>14</v>
      </c>
    </row>
    <row r="11544" spans="1:8" x14ac:dyDescent="0.2">
      <c r="A11544" s="2" t="s">
        <v>3400</v>
      </c>
      <c r="B11544" s="2" t="s">
        <v>285</v>
      </c>
      <c r="C11544" s="2">
        <v>450.66059999999999</v>
      </c>
      <c r="D11544" s="2">
        <f>HYPERLINK("http://mcb-m6.bioreg.kyushu-u.ac.jp/M3/20110428/F51128/714/1", 47.75)</f>
        <v>47.75</v>
      </c>
      <c r="E11544" s="2">
        <v>10.039999999999999</v>
      </c>
      <c r="F11544" s="2">
        <v>2</v>
      </c>
      <c r="G11544" s="2" t="s">
        <v>14</v>
      </c>
    </row>
    <row r="11545" spans="1:8" x14ac:dyDescent="0.2">
      <c r="A11545" s="2" t="s">
        <v>3400</v>
      </c>
      <c r="B11545" s="2" t="s">
        <v>1857</v>
      </c>
      <c r="C11545" s="2">
        <v>616.25419999999997</v>
      </c>
      <c r="D11545" s="2">
        <f>HYPERLINK("http://mcb-m6.bioreg.kyushu-u.ac.jp/M3/20110428/F51128/1417/1", 54.21)</f>
        <v>54.21</v>
      </c>
      <c r="E11545" s="2">
        <v>40.479999999999997</v>
      </c>
      <c r="F11545" s="2">
        <v>2</v>
      </c>
      <c r="G11545" s="2" t="s">
        <v>14</v>
      </c>
    </row>
    <row r="11546" spans="1:8" x14ac:dyDescent="0.2">
      <c r="A11546" s="2" t="s">
        <v>3800</v>
      </c>
      <c r="B11546" s="2" t="s">
        <v>851</v>
      </c>
      <c r="C11546" s="2">
        <v>930.34010000000001</v>
      </c>
      <c r="D11546" s="2">
        <f>HYPERLINK("http://mcb-m6.bioreg.kyushu-u.ac.jp/M3/20110404/F50763/2583/1", 49.38)</f>
        <v>49.38</v>
      </c>
      <c r="E11546" s="2">
        <v>36.590000000000003</v>
      </c>
      <c r="F11546" s="2">
        <v>2</v>
      </c>
      <c r="G11546" s="2" t="s">
        <v>9</v>
      </c>
    </row>
    <row r="11547" spans="1:8" x14ac:dyDescent="0.2">
      <c r="A11547" s="2" t="s">
        <v>3800</v>
      </c>
      <c r="B11547" s="2" t="s">
        <v>851</v>
      </c>
      <c r="C11547" s="2">
        <v>938.38210000000004</v>
      </c>
      <c r="D11547" s="2">
        <f>HYPERLINK("http://mcb-m6.bioreg.kyushu-u.ac.jp/M3/20110404/F50762/2436/1", 55.24)</f>
        <v>55.24</v>
      </c>
      <c r="E11547" s="2">
        <v>45.35</v>
      </c>
      <c r="F11547" s="2">
        <v>2</v>
      </c>
      <c r="G11547" s="2" t="s">
        <v>9</v>
      </c>
      <c r="H11547" s="2" t="s">
        <v>4938</v>
      </c>
    </row>
    <row r="11548" spans="1:8" x14ac:dyDescent="0.2">
      <c r="A11548" s="2" t="s">
        <v>3800</v>
      </c>
      <c r="B11548" s="2" t="s">
        <v>851</v>
      </c>
      <c r="C11548" s="2">
        <v>930.85360000000003</v>
      </c>
      <c r="D11548" s="2">
        <f>HYPERLINK("http://mcb-m6.bioreg.kyushu-u.ac.jp/M3/20110404/F50762/2414/1", 72.02)</f>
        <v>72.02</v>
      </c>
      <c r="E11548" s="2">
        <v>56.07</v>
      </c>
      <c r="F11548" s="2">
        <v>2</v>
      </c>
      <c r="G11548" s="2" t="s">
        <v>9</v>
      </c>
    </row>
    <row r="11549" spans="1:8" x14ac:dyDescent="0.2">
      <c r="A11549" s="2" t="s">
        <v>3800</v>
      </c>
      <c r="B11549" s="2" t="s">
        <v>851</v>
      </c>
      <c r="C11549" s="2">
        <v>930.3347</v>
      </c>
      <c r="D11549" s="2">
        <f>HYPERLINK("http://mcb-m6.bioreg.kyushu-u.ac.jp/M3/20110404/F50768/2539/1", 64.11)</f>
        <v>64.11</v>
      </c>
      <c r="E11549" s="2">
        <v>47.86</v>
      </c>
      <c r="F11549" s="2">
        <v>2</v>
      </c>
      <c r="G11549" s="2" t="s">
        <v>10</v>
      </c>
    </row>
    <row r="11550" spans="1:8" x14ac:dyDescent="0.2">
      <c r="A11550" s="2" t="s">
        <v>3800</v>
      </c>
      <c r="B11550" s="2" t="s">
        <v>851</v>
      </c>
      <c r="C11550" s="2">
        <v>930.56119999999999</v>
      </c>
      <c r="D11550" s="2">
        <f>HYPERLINK("http://mcb-m6.bioreg.kyushu-u.ac.jp/M3/20110404/F50769/2465/1", 87.1)</f>
        <v>87.1</v>
      </c>
      <c r="E11550" s="2">
        <v>71.52</v>
      </c>
      <c r="F11550" s="2">
        <v>2</v>
      </c>
      <c r="G11550" s="2" t="s">
        <v>10</v>
      </c>
    </row>
    <row r="11551" spans="1:8" x14ac:dyDescent="0.2">
      <c r="A11551" s="2" t="s">
        <v>3800</v>
      </c>
      <c r="B11551" s="2" t="s">
        <v>851</v>
      </c>
      <c r="C11551" s="2">
        <v>938.54610000000002</v>
      </c>
      <c r="D11551" s="2">
        <f>HYPERLINK("http://mcb-m6.bioreg.kyushu-u.ac.jp/M3/20110404/F50768/2566/1", 93.39)</f>
        <v>93.39</v>
      </c>
      <c r="E11551" s="2">
        <v>75.56</v>
      </c>
      <c r="F11551" s="2">
        <v>2</v>
      </c>
      <c r="G11551" s="2" t="s">
        <v>10</v>
      </c>
      <c r="H11551" s="2" t="s">
        <v>4938</v>
      </c>
    </row>
    <row r="11552" spans="1:8" x14ac:dyDescent="0.2">
      <c r="A11552" s="2" t="s">
        <v>3800</v>
      </c>
      <c r="B11552" s="2" t="s">
        <v>851</v>
      </c>
      <c r="C11552" s="2">
        <v>930.93409999999994</v>
      </c>
      <c r="D11552" s="2">
        <f>HYPERLINK("http://mcb-m6.bioreg.kyushu-u.ac.jp/M3/20110421/F51035/2901/1", 50.62)</f>
        <v>50.62</v>
      </c>
      <c r="E11552" s="2">
        <v>32.94</v>
      </c>
      <c r="F11552" s="2">
        <v>2</v>
      </c>
      <c r="G11552" s="2" t="s">
        <v>11</v>
      </c>
    </row>
    <row r="11553" spans="1:8" x14ac:dyDescent="0.2">
      <c r="A11553" s="2" t="s">
        <v>3800</v>
      </c>
      <c r="B11553" s="2" t="s">
        <v>851</v>
      </c>
      <c r="C11553" s="2">
        <v>938.3356</v>
      </c>
      <c r="D11553" s="2">
        <f>HYPERLINK("http://mcb-m6.bioreg.kyushu-u.ac.jp/M3/20110421/F51035/2922/1", 71.62)</f>
        <v>71.62</v>
      </c>
      <c r="E11553" s="2">
        <v>59.43</v>
      </c>
      <c r="F11553" s="2">
        <v>2</v>
      </c>
      <c r="G11553" s="2" t="s">
        <v>11</v>
      </c>
      <c r="H11553" s="2" t="s">
        <v>4938</v>
      </c>
    </row>
    <row r="11554" spans="1:8" x14ac:dyDescent="0.2">
      <c r="A11554" s="2" t="s">
        <v>3800</v>
      </c>
      <c r="B11554" s="2" t="s">
        <v>851</v>
      </c>
      <c r="C11554" s="2">
        <v>938.86770000000001</v>
      </c>
      <c r="D11554" s="2">
        <f>HYPERLINK("http://mcb-m6.bioreg.kyushu-u.ac.jp/M3/20110421/F51045/2932/1", 36.4)</f>
        <v>36.4</v>
      </c>
      <c r="E11554" s="2">
        <v>22.88</v>
      </c>
      <c r="F11554" s="2">
        <v>2</v>
      </c>
      <c r="G11554" s="2" t="s">
        <v>12</v>
      </c>
      <c r="H11554" s="2" t="s">
        <v>4938</v>
      </c>
    </row>
    <row r="11555" spans="1:8" x14ac:dyDescent="0.2">
      <c r="A11555" s="2" t="s">
        <v>3800</v>
      </c>
      <c r="B11555" s="2" t="s">
        <v>851</v>
      </c>
      <c r="C11555" s="2">
        <v>930.31920000000002</v>
      </c>
      <c r="D11555" s="2">
        <f>HYPERLINK("http://mcb-m6.bioreg.kyushu-u.ac.jp/M3/20110421/F51045/2912/1", 47.69)</f>
        <v>47.69</v>
      </c>
      <c r="E11555" s="2">
        <v>33.35</v>
      </c>
      <c r="F11555" s="2">
        <v>2</v>
      </c>
      <c r="G11555" s="2" t="s">
        <v>12</v>
      </c>
    </row>
    <row r="11556" spans="1:8" x14ac:dyDescent="0.2">
      <c r="A11556" s="2" t="s">
        <v>3800</v>
      </c>
      <c r="B11556" s="2" t="s">
        <v>851</v>
      </c>
      <c r="C11556" s="2">
        <v>930.82669999999996</v>
      </c>
      <c r="D11556" s="2">
        <f>HYPERLINK("http://mcb-m6.bioreg.kyushu-u.ac.jp/M3/20110421/F51043/2876/1", 60.61)</f>
        <v>60.61</v>
      </c>
      <c r="E11556" s="2">
        <v>44.25</v>
      </c>
      <c r="F11556" s="2">
        <v>2</v>
      </c>
      <c r="G11556" s="2" t="s">
        <v>12</v>
      </c>
    </row>
    <row r="11557" spans="1:8" x14ac:dyDescent="0.2">
      <c r="A11557" s="2" t="s">
        <v>3800</v>
      </c>
      <c r="B11557" s="2" t="s">
        <v>851</v>
      </c>
      <c r="C11557" s="2">
        <v>930.83169999999996</v>
      </c>
      <c r="D11557" s="2">
        <f>HYPERLINK("http://mcb-m6.bioreg.kyushu-u.ac.jp/M3/20110421/F51044/2868/1", 76.91)</f>
        <v>76.91</v>
      </c>
      <c r="E11557" s="2">
        <v>60.33</v>
      </c>
      <c r="F11557" s="2">
        <v>2</v>
      </c>
      <c r="G11557" s="2" t="s">
        <v>12</v>
      </c>
    </row>
    <row r="11558" spans="1:8" x14ac:dyDescent="0.2">
      <c r="A11558" s="2" t="s">
        <v>3800</v>
      </c>
      <c r="B11558" s="2" t="s">
        <v>851</v>
      </c>
      <c r="C11558" s="2">
        <v>938.43470000000002</v>
      </c>
      <c r="D11558" s="2">
        <f>HYPERLINK("http://mcb-m6.bioreg.kyushu-u.ac.jp/M3/20110421/F51043/2899/1", 77.21)</f>
        <v>77.209999999999994</v>
      </c>
      <c r="E11558" s="2">
        <v>64.73</v>
      </c>
      <c r="F11558" s="2">
        <v>2</v>
      </c>
      <c r="G11558" s="2" t="s">
        <v>12</v>
      </c>
      <c r="H11558" s="2" t="s">
        <v>4938</v>
      </c>
    </row>
    <row r="11559" spans="1:8" x14ac:dyDescent="0.2">
      <c r="A11559" s="2" t="s">
        <v>3800</v>
      </c>
      <c r="B11559" s="2" t="s">
        <v>851</v>
      </c>
      <c r="C11559" s="2">
        <v>938.94169999999997</v>
      </c>
      <c r="D11559" s="2">
        <f>HYPERLINK("http://mcb-m6.bioreg.kyushu-u.ac.jp/M3/20110421/F51043/2903/1", 82.53)</f>
        <v>82.53</v>
      </c>
      <c r="E11559" s="2">
        <v>69.069999999999993</v>
      </c>
      <c r="F11559" s="2">
        <v>2</v>
      </c>
      <c r="G11559" s="2" t="s">
        <v>12</v>
      </c>
      <c r="H11559" s="2" t="s">
        <v>4938</v>
      </c>
    </row>
    <row r="11560" spans="1:8" x14ac:dyDescent="0.2">
      <c r="A11560" s="2" t="s">
        <v>3800</v>
      </c>
      <c r="B11560" s="2" t="s">
        <v>851</v>
      </c>
      <c r="C11560" s="2">
        <v>930.87369999999999</v>
      </c>
      <c r="D11560" s="2">
        <f>HYPERLINK("http://mcb-m6.bioreg.kyushu-u.ac.jp/M3/20110421/F51045/2913/1", 89.21)</f>
        <v>89.21</v>
      </c>
      <c r="E11560" s="2">
        <v>71.59</v>
      </c>
      <c r="F11560" s="2">
        <v>2</v>
      </c>
      <c r="G11560" s="2" t="s">
        <v>12</v>
      </c>
    </row>
    <row r="11561" spans="1:8" x14ac:dyDescent="0.2">
      <c r="A11561" s="2" t="s">
        <v>3800</v>
      </c>
      <c r="B11561" s="2" t="s">
        <v>851</v>
      </c>
      <c r="C11561" s="2">
        <v>930.91769999999997</v>
      </c>
      <c r="D11561" s="2">
        <f>HYPERLINK("http://mcb-m6.bioreg.kyushu-u.ac.jp/M3/20110421/F51043/2877/1", 95.41)</f>
        <v>95.41</v>
      </c>
      <c r="E11561" s="2">
        <v>80.489999999999995</v>
      </c>
      <c r="F11561" s="2">
        <v>2</v>
      </c>
      <c r="G11561" s="2" t="s">
        <v>12</v>
      </c>
    </row>
    <row r="11562" spans="1:8" x14ac:dyDescent="0.2">
      <c r="A11562" s="2" t="s">
        <v>3800</v>
      </c>
      <c r="B11562" s="2" t="s">
        <v>851</v>
      </c>
      <c r="C11562" s="2">
        <v>930.41219999999998</v>
      </c>
      <c r="D11562" s="2">
        <f>HYPERLINK("http://mcb-m6.bioreg.kyushu-u.ac.jp/M3/20110421/F51043/2875/1", 101.58)</f>
        <v>101.58</v>
      </c>
      <c r="E11562" s="2">
        <v>81.17</v>
      </c>
      <c r="F11562" s="2">
        <v>2</v>
      </c>
      <c r="G11562" s="2" t="s">
        <v>12</v>
      </c>
    </row>
    <row r="11563" spans="1:8" x14ac:dyDescent="0.2">
      <c r="A11563" s="2" t="s">
        <v>3800</v>
      </c>
      <c r="B11563" s="2" t="s">
        <v>851</v>
      </c>
      <c r="C11563" s="2">
        <v>930.17769999999996</v>
      </c>
      <c r="D11563" s="2">
        <f>HYPERLINK("http://mcb-m6.bioreg.kyushu-u.ac.jp/M3/20110428/F51127/2918/1", 60.75)</f>
        <v>60.75</v>
      </c>
      <c r="E11563" s="2">
        <v>42.57</v>
      </c>
      <c r="F11563" s="2">
        <v>2</v>
      </c>
      <c r="G11563" s="2" t="s">
        <v>13</v>
      </c>
    </row>
    <row r="11564" spans="1:8" x14ac:dyDescent="0.2">
      <c r="A11564" s="2" t="s">
        <v>3800</v>
      </c>
      <c r="B11564" s="2" t="s">
        <v>851</v>
      </c>
      <c r="C11564" s="2">
        <v>930.16920000000005</v>
      </c>
      <c r="D11564" s="2">
        <f>HYPERLINK("http://mcb-m6.bioreg.kyushu-u.ac.jp/M3/20110428/F51128/2867/1", 80.44)</f>
        <v>80.44</v>
      </c>
      <c r="E11564" s="2">
        <v>61.49</v>
      </c>
      <c r="F11564" s="2">
        <v>2</v>
      </c>
      <c r="G11564" s="2" t="s">
        <v>14</v>
      </c>
    </row>
    <row r="11565" spans="1:8" x14ac:dyDescent="0.2">
      <c r="A11565" s="2" t="s">
        <v>3876</v>
      </c>
      <c r="B11565" s="2" t="s">
        <v>1616</v>
      </c>
      <c r="C11565" s="2">
        <v>809.6472</v>
      </c>
      <c r="D11565" s="2">
        <f>HYPERLINK("http://mcb-m6.bioreg.kyushu-u.ac.jp/M3/20110404/F50754/2337/1", 90.52)</f>
        <v>90.52</v>
      </c>
      <c r="E11565" s="2">
        <v>81.8</v>
      </c>
      <c r="F11565" s="2">
        <v>2</v>
      </c>
      <c r="G11565" s="2" t="s">
        <v>9</v>
      </c>
    </row>
    <row r="11566" spans="1:8" x14ac:dyDescent="0.2">
      <c r="A11566" s="2" t="s">
        <v>3876</v>
      </c>
      <c r="B11566" s="2" t="s">
        <v>1616</v>
      </c>
      <c r="C11566" s="2">
        <v>809.31269999999995</v>
      </c>
      <c r="D11566" s="2">
        <f>HYPERLINK("http://mcb-m6.bioreg.kyushu-u.ac.jp/M3/20110421/F51018/2421/1", 115.96)</f>
        <v>115.96</v>
      </c>
      <c r="E11566" s="2">
        <v>99.28</v>
      </c>
      <c r="F11566" s="2">
        <v>2</v>
      </c>
      <c r="G11566" s="2" t="s">
        <v>11</v>
      </c>
    </row>
    <row r="11567" spans="1:8" x14ac:dyDescent="0.2">
      <c r="A11567" s="2" t="s">
        <v>3876</v>
      </c>
      <c r="B11567" s="2" t="s">
        <v>1616</v>
      </c>
      <c r="C11567" s="2">
        <v>809.84270000000004</v>
      </c>
      <c r="D11567" s="2">
        <f>HYPERLINK("http://mcb-m6.bioreg.kyushu-u.ac.jp/M3/20110427/F51112/2434/1", 112.6)</f>
        <v>112.6</v>
      </c>
      <c r="E11567" s="2">
        <v>95.31</v>
      </c>
      <c r="F11567" s="2">
        <v>2</v>
      </c>
      <c r="G11567" s="2" t="s">
        <v>13</v>
      </c>
    </row>
    <row r="11568" spans="1:8" x14ac:dyDescent="0.2">
      <c r="A11568" s="2" t="s">
        <v>4286</v>
      </c>
      <c r="B11568" s="2" t="s">
        <v>1973</v>
      </c>
      <c r="C11568" s="2">
        <v>665.7106</v>
      </c>
      <c r="D11568" s="2">
        <f>HYPERLINK("http://mcb-m6.bioreg.kyushu-u.ac.jp/M3/20110404/F50756/1585/1", 64.93)</f>
        <v>64.930000000000007</v>
      </c>
      <c r="E11568" s="2">
        <v>42.79</v>
      </c>
      <c r="F11568" s="2">
        <v>2</v>
      </c>
      <c r="G11568" s="2" t="s">
        <v>9</v>
      </c>
    </row>
    <row r="11569" spans="1:9" x14ac:dyDescent="0.2">
      <c r="A11569" s="2" t="s">
        <v>4286</v>
      </c>
      <c r="B11569" s="2" t="s">
        <v>1973</v>
      </c>
      <c r="C11569" s="2">
        <v>666.0172</v>
      </c>
      <c r="D11569" s="2">
        <f>HYPERLINK("http://mcb-m6.bioreg.kyushu-u.ac.jp/M3/20110404/F50762/1500/1", 84.04)</f>
        <v>84.04</v>
      </c>
      <c r="E11569" s="2">
        <v>68.64</v>
      </c>
      <c r="F11569" s="2">
        <v>2</v>
      </c>
      <c r="G11569" s="2" t="s">
        <v>9</v>
      </c>
    </row>
    <row r="11570" spans="1:9" x14ac:dyDescent="0.2">
      <c r="A11570" s="2" t="s">
        <v>4286</v>
      </c>
      <c r="B11570" s="2" t="s">
        <v>1973</v>
      </c>
      <c r="C11570" s="2">
        <v>665.69870000000003</v>
      </c>
      <c r="D11570" s="2">
        <f>HYPERLINK("http://mcb-m6.bioreg.kyushu-u.ac.jp/M3/20110404/F50768/1566/1", 53.32)</f>
        <v>53.32</v>
      </c>
      <c r="E11570" s="2">
        <v>35.54</v>
      </c>
      <c r="F11570" s="2">
        <v>2</v>
      </c>
      <c r="G11570" s="2" t="s">
        <v>10</v>
      </c>
    </row>
    <row r="11571" spans="1:9" x14ac:dyDescent="0.2">
      <c r="A11571" s="2" t="s">
        <v>4286</v>
      </c>
      <c r="B11571" s="2" t="s">
        <v>1973</v>
      </c>
      <c r="C11571" s="2">
        <v>666.23569999999995</v>
      </c>
      <c r="D11571" s="2">
        <f>HYPERLINK("http://mcb-m6.bioreg.kyushu-u.ac.jp/M3/20110404/F50768/1568/1", 67.69)</f>
        <v>67.69</v>
      </c>
      <c r="E11571" s="2">
        <v>47.46</v>
      </c>
      <c r="F11571" s="2">
        <v>2</v>
      </c>
      <c r="G11571" s="2" t="s">
        <v>10</v>
      </c>
    </row>
    <row r="11572" spans="1:9" x14ac:dyDescent="0.2">
      <c r="A11572" s="2" t="s">
        <v>4286</v>
      </c>
      <c r="B11572" s="2" t="s">
        <v>1973</v>
      </c>
      <c r="C11572" s="2">
        <v>665.70420000000001</v>
      </c>
      <c r="D11572" s="2">
        <f>HYPERLINK("http://mcb-m6.bioreg.kyushu-u.ac.jp/M3/20110427/F51114/1645/1", 71.36)</f>
        <v>71.36</v>
      </c>
      <c r="E11572" s="2">
        <v>53.32</v>
      </c>
      <c r="F11572" s="2">
        <v>2</v>
      </c>
      <c r="G11572" s="2" t="s">
        <v>13</v>
      </c>
    </row>
    <row r="11573" spans="1:9" x14ac:dyDescent="0.2">
      <c r="A11573" s="2" t="s">
        <v>3405</v>
      </c>
      <c r="B11573" s="2" t="s">
        <v>5282</v>
      </c>
      <c r="C11573" s="2">
        <v>1020.871</v>
      </c>
      <c r="D11573" s="2">
        <f>HYPERLINK("http://mcb-m6.bioreg.kyushu-u.ac.jp/M3/20110404/F50762/2626/1", 37.05)</f>
        <v>37.049999999999997</v>
      </c>
      <c r="E11573" s="2">
        <v>11.15</v>
      </c>
      <c r="F11573" s="2">
        <v>2</v>
      </c>
      <c r="G11573" s="2" t="s">
        <v>9</v>
      </c>
    </row>
    <row r="11574" spans="1:9" x14ac:dyDescent="0.2">
      <c r="A11574" s="2" t="s">
        <v>3405</v>
      </c>
      <c r="B11574" s="2" t="s">
        <v>6491</v>
      </c>
      <c r="C11574" s="2">
        <v>957.38459999999998</v>
      </c>
      <c r="D11574" s="2">
        <f>HYPERLINK("http://mcb-m6.bioreg.kyushu-u.ac.jp/M3/20110404/F50756/2917/1", 70.18)</f>
        <v>70.180000000000007</v>
      </c>
      <c r="E11574" s="2">
        <v>49.06</v>
      </c>
      <c r="F11574" s="2">
        <v>2</v>
      </c>
      <c r="G11574" s="2" t="s">
        <v>9</v>
      </c>
    </row>
    <row r="11575" spans="1:9" x14ac:dyDescent="0.2">
      <c r="A11575" s="2" t="s">
        <v>3405</v>
      </c>
      <c r="B11575" s="2" t="s">
        <v>1466</v>
      </c>
      <c r="C11575" s="2">
        <v>828.89070000000004</v>
      </c>
      <c r="D11575" s="2">
        <f>HYPERLINK("http://mcb-m6.bioreg.kyushu-u.ac.jp/M3/20110404/F50762/2090/1", 84.54)</f>
        <v>84.54</v>
      </c>
      <c r="E11575" s="2">
        <v>67.040000000000006</v>
      </c>
      <c r="F11575" s="2">
        <v>2</v>
      </c>
      <c r="G11575" s="2" t="s">
        <v>9</v>
      </c>
    </row>
    <row r="11576" spans="1:9" x14ac:dyDescent="0.2">
      <c r="A11576" s="2" t="s">
        <v>3405</v>
      </c>
      <c r="B11576" s="2" t="s">
        <v>3148</v>
      </c>
      <c r="C11576" s="2">
        <v>766.87660000000005</v>
      </c>
      <c r="D11576" s="2">
        <f>HYPERLINK("http://mcb-m6.bioreg.kyushu-u.ac.jp/M3/20110404/F50762/1912/1", 97.01)</f>
        <v>97.01</v>
      </c>
      <c r="E11576" s="2">
        <v>59.18</v>
      </c>
      <c r="F11576" s="2">
        <v>2</v>
      </c>
      <c r="G11576" s="2" t="s">
        <v>9</v>
      </c>
    </row>
    <row r="11577" spans="1:9" x14ac:dyDescent="0.2">
      <c r="A11577" s="2" t="s">
        <v>3405</v>
      </c>
      <c r="B11577" s="2" t="s">
        <v>1466</v>
      </c>
      <c r="C11577" s="2">
        <v>828.88670000000002</v>
      </c>
      <c r="D11577" s="2">
        <f>HYPERLINK("http://mcb-m6.bioreg.kyushu-u.ac.jp/M3/20110404/F50761/2191/1", 61.08)</f>
        <v>61.08</v>
      </c>
      <c r="E11577" s="2">
        <v>44.61</v>
      </c>
      <c r="F11577" s="2">
        <v>2</v>
      </c>
      <c r="G11577" s="2" t="s">
        <v>10</v>
      </c>
    </row>
    <row r="11578" spans="1:9" x14ac:dyDescent="0.2">
      <c r="A11578" s="2" t="s">
        <v>3405</v>
      </c>
      <c r="B11578" s="2" t="s">
        <v>3148</v>
      </c>
      <c r="C11578" s="2">
        <v>767.26170000000002</v>
      </c>
      <c r="D11578" s="2">
        <f>HYPERLINK("http://mcb-m6.bioreg.kyushu-u.ac.jp/M3/20110404/F50768/1986/1", 70.75)</f>
        <v>70.75</v>
      </c>
      <c r="E11578" s="2">
        <v>42.01</v>
      </c>
      <c r="F11578" s="2">
        <v>2</v>
      </c>
      <c r="G11578" s="2" t="s">
        <v>10</v>
      </c>
    </row>
    <row r="11579" spans="1:9" x14ac:dyDescent="0.2">
      <c r="A11579" s="2" t="s">
        <v>3405</v>
      </c>
      <c r="B11579" s="2" t="s">
        <v>1466</v>
      </c>
      <c r="C11579" s="2">
        <v>829.32069999999999</v>
      </c>
      <c r="D11579" s="2">
        <f>HYPERLINK("http://mcb-m6.bioreg.kyushu-u.ac.jp/M3/20110404/F50768/2208/1", 91.27)</f>
        <v>91.27</v>
      </c>
      <c r="E11579" s="2">
        <v>72.86</v>
      </c>
      <c r="F11579" s="2">
        <v>2</v>
      </c>
      <c r="G11579" s="2" t="s">
        <v>10</v>
      </c>
    </row>
    <row r="11580" spans="1:9" x14ac:dyDescent="0.2">
      <c r="A11580" s="2" t="s">
        <v>3405</v>
      </c>
      <c r="B11580" s="2" t="s">
        <v>1466</v>
      </c>
      <c r="C11580" s="2">
        <v>829.36609999999996</v>
      </c>
      <c r="D11580" s="2">
        <f>HYPERLINK("http://mcb-m6.bioreg.kyushu-u.ac.jp/M3/20110427/F51114/2538/1", 38.64)</f>
        <v>38.64</v>
      </c>
      <c r="E11580" s="2">
        <v>21.79</v>
      </c>
      <c r="F11580" s="2">
        <v>2</v>
      </c>
      <c r="G11580" s="2" t="s">
        <v>13</v>
      </c>
    </row>
    <row r="11581" spans="1:9" x14ac:dyDescent="0.2">
      <c r="A11581" s="2" t="s">
        <v>3405</v>
      </c>
      <c r="B11581" s="2" t="s">
        <v>1466</v>
      </c>
      <c r="C11581" s="2">
        <v>828.78610000000003</v>
      </c>
      <c r="D11581" s="2">
        <f>HYPERLINK("http://mcb-m6.bioreg.kyushu-u.ac.jp/M3/20110427/F51114/2535/1", 41.28)</f>
        <v>41.28</v>
      </c>
      <c r="E11581" s="2">
        <v>29.66</v>
      </c>
      <c r="F11581" s="2">
        <v>2</v>
      </c>
      <c r="G11581" s="2" t="s">
        <v>13</v>
      </c>
    </row>
    <row r="11582" spans="1:9" x14ac:dyDescent="0.2">
      <c r="A11582" s="2" t="s">
        <v>3405</v>
      </c>
      <c r="B11582" s="2" t="s">
        <v>3148</v>
      </c>
      <c r="C11582" s="2">
        <v>767.20669999999996</v>
      </c>
      <c r="D11582" s="2">
        <f>HYPERLINK("http://mcb-m6.bioreg.kyushu-u.ac.jp/M3/20110427/F51114/2203/1", 103.97)</f>
        <v>103.97</v>
      </c>
      <c r="E11582" s="2">
        <v>71.27</v>
      </c>
      <c r="F11582" s="2">
        <v>2</v>
      </c>
      <c r="G11582" s="2" t="s">
        <v>13</v>
      </c>
    </row>
    <row r="11583" spans="1:9" x14ac:dyDescent="0.2">
      <c r="A11583" s="2" t="s">
        <v>7733</v>
      </c>
      <c r="B11583" s="2" t="s">
        <v>6461</v>
      </c>
      <c r="C11583" s="2">
        <v>886.33370000000002</v>
      </c>
      <c r="D11583" s="2">
        <f>HYPERLINK("http://mcb-m6.bioreg.kyushu-u.ac.jp/M3/20110404/F50755/2583/1", 66.25)</f>
        <v>66.25</v>
      </c>
      <c r="E11583" s="2">
        <v>48.43</v>
      </c>
      <c r="F11583" s="2">
        <v>2</v>
      </c>
      <c r="G11583" s="2" t="s">
        <v>9</v>
      </c>
    </row>
    <row r="11584" spans="1:9" x14ac:dyDescent="0.2">
      <c r="A11584" s="2" t="s">
        <v>7793</v>
      </c>
      <c r="B11584" s="2" t="s">
        <v>6700</v>
      </c>
      <c r="C11584" s="2">
        <v>458.39749999999998</v>
      </c>
      <c r="D11584" s="2">
        <f>HYPERLINK("http://mcb-m6.bioreg.kyushu-u.ac.jp/M3/20110404/F50760/1585/1", 36.69)</f>
        <v>36.69</v>
      </c>
      <c r="E11584" s="2">
        <v>20.18</v>
      </c>
      <c r="F11584" s="2">
        <v>3</v>
      </c>
      <c r="G11584" s="2" t="s">
        <v>10</v>
      </c>
      <c r="I11584" s="2" t="s">
        <v>4923</v>
      </c>
    </row>
    <row r="11585" spans="1:9" x14ac:dyDescent="0.2">
      <c r="A11585" s="2" t="s">
        <v>3517</v>
      </c>
      <c r="B11585" s="2" t="s">
        <v>359</v>
      </c>
      <c r="C11585" s="2">
        <v>894.33510000000001</v>
      </c>
      <c r="D11585" s="2">
        <f>HYPERLINK("http://mcb-m6.bioreg.kyushu-u.ac.jp/M3/20110404/F50768/2417/1", 40.24)</f>
        <v>40.24</v>
      </c>
      <c r="E11585" s="2">
        <v>35.340000000000003</v>
      </c>
      <c r="F11585" s="2">
        <v>2</v>
      </c>
      <c r="G11585" s="2" t="s">
        <v>10</v>
      </c>
    </row>
    <row r="11586" spans="1:9" x14ac:dyDescent="0.2">
      <c r="A11586" s="2" t="s">
        <v>7659</v>
      </c>
      <c r="B11586" s="2" t="s">
        <v>6248</v>
      </c>
      <c r="C11586" s="2">
        <v>688.30700000000002</v>
      </c>
      <c r="D11586" s="2">
        <f>HYPERLINK("http://mcb-m6.bioreg.kyushu-u.ac.jp/M3/20110404/F50762/555/1", 49.08)</f>
        <v>49.08</v>
      </c>
      <c r="E11586" s="2">
        <v>12.74</v>
      </c>
      <c r="F11586" s="2">
        <v>1</v>
      </c>
      <c r="G11586" s="2" t="s">
        <v>9</v>
      </c>
    </row>
    <row r="11587" spans="1:9" x14ac:dyDescent="0.2">
      <c r="A11587" s="2" t="s">
        <v>7751</v>
      </c>
      <c r="B11587" s="2" t="s">
        <v>6533</v>
      </c>
      <c r="C11587" s="2">
        <v>786.79169999999999</v>
      </c>
      <c r="D11587" s="2">
        <f>HYPERLINK("http://mcb-m6.bioreg.kyushu-u.ac.jp/M3/20110404/F50762/1978/1", 76.19)</f>
        <v>76.19</v>
      </c>
      <c r="E11587" s="2">
        <v>58.93</v>
      </c>
      <c r="F11587" s="2">
        <v>2</v>
      </c>
      <c r="G11587" s="2" t="s">
        <v>9</v>
      </c>
    </row>
    <row r="11588" spans="1:9" x14ac:dyDescent="0.2">
      <c r="A11588" s="2" t="s">
        <v>7751</v>
      </c>
      <c r="B11588" s="2" t="s">
        <v>6533</v>
      </c>
      <c r="C11588" s="2">
        <v>787.34010000000001</v>
      </c>
      <c r="D11588" s="2">
        <f>HYPERLINK("http://mcb-m6.bioreg.kyushu-u.ac.jp/M3/20110404/F50768/2069/1", 81.26)</f>
        <v>81.260000000000005</v>
      </c>
      <c r="E11588" s="2">
        <v>65.89</v>
      </c>
      <c r="F11588" s="2">
        <v>2</v>
      </c>
      <c r="G11588" s="2" t="s">
        <v>10</v>
      </c>
    </row>
    <row r="11589" spans="1:9" x14ac:dyDescent="0.2">
      <c r="A11589" s="2" t="s">
        <v>8077</v>
      </c>
      <c r="B11589" s="2" t="s">
        <v>7396</v>
      </c>
      <c r="C11589" s="2">
        <v>717.46259999999995</v>
      </c>
      <c r="D11589" s="2">
        <f>HYPERLINK("http://mcb-m6.bioreg.kyushu-u.ac.jp/M3/20110427/F51113/1901/1", 56.93)</f>
        <v>56.93</v>
      </c>
      <c r="E11589" s="2">
        <v>35.270000000000003</v>
      </c>
      <c r="F11589" s="2">
        <v>2</v>
      </c>
      <c r="G11589" s="2" t="s">
        <v>13</v>
      </c>
    </row>
    <row r="11590" spans="1:9" x14ac:dyDescent="0.2">
      <c r="A11590" s="2" t="s">
        <v>3347</v>
      </c>
      <c r="B11590" s="2" t="s">
        <v>7080</v>
      </c>
      <c r="C11590" s="2">
        <v>806.29669999999999</v>
      </c>
      <c r="D11590" s="2">
        <f>HYPERLINK("http://mcb-m6.bioreg.kyushu-u.ac.jp/M3/20110421/F51039/2430/1", 36.9)</f>
        <v>36.9</v>
      </c>
      <c r="E11590" s="2">
        <v>23.32</v>
      </c>
      <c r="F11590" s="2">
        <v>2</v>
      </c>
      <c r="G11590" s="2" t="s">
        <v>11</v>
      </c>
    </row>
    <row r="11591" spans="1:9" x14ac:dyDescent="0.2">
      <c r="A11591" s="2" t="s">
        <v>3347</v>
      </c>
      <c r="B11591" s="2" t="s">
        <v>7114</v>
      </c>
      <c r="C11591" s="2">
        <v>802.80820000000006</v>
      </c>
      <c r="D11591" s="2">
        <f>HYPERLINK("http://mcb-m6.bioreg.kyushu-u.ac.jp/M3/20110421/F51039/2421/1", 48.08)</f>
        <v>48.08</v>
      </c>
      <c r="E11591" s="2">
        <v>29.53</v>
      </c>
      <c r="F11591" s="2">
        <v>2</v>
      </c>
      <c r="G11591" s="2" t="s">
        <v>11</v>
      </c>
    </row>
    <row r="11592" spans="1:9" x14ac:dyDescent="0.2">
      <c r="A11592" s="2" t="s">
        <v>4071</v>
      </c>
      <c r="B11592" s="2" t="s">
        <v>1457</v>
      </c>
      <c r="C11592" s="2">
        <v>828.92110000000002</v>
      </c>
      <c r="D11592" s="2">
        <f>HYPERLINK("http://mcb-m6.bioreg.kyushu-u.ac.jp/M3/20110404/F50778/2285/1", 68.05)</f>
        <v>68.05</v>
      </c>
      <c r="E11592" s="2">
        <v>54.19</v>
      </c>
      <c r="F11592" s="2">
        <v>2</v>
      </c>
      <c r="G11592" s="2" t="s">
        <v>9</v>
      </c>
      <c r="I11592" s="2" t="s">
        <v>4914</v>
      </c>
    </row>
    <row r="11593" spans="1:9" x14ac:dyDescent="0.2">
      <c r="A11593" s="2" t="s">
        <v>4071</v>
      </c>
      <c r="B11593" s="2" t="s">
        <v>1834</v>
      </c>
      <c r="C11593" s="2">
        <v>613.3202</v>
      </c>
      <c r="D11593" s="2">
        <f>HYPERLINK("http://mcb-m6.bioreg.kyushu-u.ac.jp/M3/20110404/F50777/1387/1", 71.85)</f>
        <v>71.849999999999994</v>
      </c>
      <c r="E11593" s="2">
        <v>45.07</v>
      </c>
      <c r="F11593" s="2">
        <v>2</v>
      </c>
      <c r="G11593" s="2" t="s">
        <v>9</v>
      </c>
    </row>
    <row r="11594" spans="1:9" x14ac:dyDescent="0.2">
      <c r="A11594" s="2" t="s">
        <v>4071</v>
      </c>
      <c r="B11594" s="2" t="s">
        <v>1457</v>
      </c>
      <c r="C11594" s="2">
        <v>829.33259999999996</v>
      </c>
      <c r="D11594" s="2">
        <f>HYPERLINK("http://mcb-m6.bioreg.kyushu-u.ac.jp/M3/20110404/F50777/2290/1", 99.46)</f>
        <v>99.46</v>
      </c>
      <c r="E11594" s="2">
        <v>82.13</v>
      </c>
      <c r="F11594" s="2">
        <v>2</v>
      </c>
      <c r="G11594" s="2" t="s">
        <v>9</v>
      </c>
      <c r="I11594" s="2" t="s">
        <v>4914</v>
      </c>
    </row>
    <row r="11595" spans="1:9" x14ac:dyDescent="0.2">
      <c r="A11595" s="2" t="s">
        <v>4071</v>
      </c>
      <c r="B11595" s="2" t="s">
        <v>1457</v>
      </c>
      <c r="C11595" s="2">
        <v>828.88459999999998</v>
      </c>
      <c r="D11595" s="2">
        <f>HYPERLINK("http://mcb-m6.bioreg.kyushu-u.ac.jp/M3/20110404/F50774/2230/1", 107.03)</f>
        <v>107.03</v>
      </c>
      <c r="E11595" s="2">
        <v>78.89</v>
      </c>
      <c r="F11595" s="2">
        <v>2</v>
      </c>
      <c r="G11595" s="2" t="s">
        <v>10</v>
      </c>
      <c r="I11595" s="2" t="s">
        <v>4914</v>
      </c>
    </row>
    <row r="11596" spans="1:9" x14ac:dyDescent="0.2">
      <c r="A11596" s="2" t="s">
        <v>4071</v>
      </c>
      <c r="B11596" s="2" t="s">
        <v>1834</v>
      </c>
      <c r="C11596" s="2">
        <v>613.44420000000002</v>
      </c>
      <c r="D11596" s="2">
        <f>HYPERLINK("http://mcb-m6.bioreg.kyushu-u.ac.jp/M3/20110421/F51048/1618/1", 68.54)</f>
        <v>68.540000000000006</v>
      </c>
      <c r="E11596" s="2">
        <v>47.67</v>
      </c>
      <c r="F11596" s="2">
        <v>2</v>
      </c>
      <c r="G11596" s="2" t="s">
        <v>12</v>
      </c>
    </row>
    <row r="11597" spans="1:9" x14ac:dyDescent="0.2">
      <c r="A11597" s="2" t="s">
        <v>4071</v>
      </c>
      <c r="B11597" s="2" t="s">
        <v>1457</v>
      </c>
      <c r="C11597" s="2">
        <v>828.96559999999999</v>
      </c>
      <c r="D11597" s="2">
        <f>HYPERLINK("http://mcb-m6.bioreg.kyushu-u.ac.jp/M3/20110421/F51048/2642/1", 99.34)</f>
        <v>99.34</v>
      </c>
      <c r="E11597" s="2">
        <v>72.75</v>
      </c>
      <c r="F11597" s="2">
        <v>2</v>
      </c>
      <c r="G11597" s="2" t="s">
        <v>12</v>
      </c>
      <c r="I11597" s="2" t="s">
        <v>4914</v>
      </c>
    </row>
    <row r="11598" spans="1:9" x14ac:dyDescent="0.2">
      <c r="A11598" s="2" t="s">
        <v>3865</v>
      </c>
      <c r="B11598" s="2" t="s">
        <v>1849</v>
      </c>
      <c r="C11598" s="2">
        <v>772.78719999999998</v>
      </c>
      <c r="D11598" s="2">
        <f>HYPERLINK("http://mcb-m6.bioreg.kyushu-u.ac.jp/M3/20110404/F50777/2061/1", 57.89)</f>
        <v>57.89</v>
      </c>
      <c r="E11598" s="2">
        <v>40.619999999999997</v>
      </c>
      <c r="F11598" s="2">
        <v>2</v>
      </c>
      <c r="G11598" s="2" t="s">
        <v>9</v>
      </c>
    </row>
    <row r="11599" spans="1:9" x14ac:dyDescent="0.2">
      <c r="A11599" s="2" t="s">
        <v>3865</v>
      </c>
      <c r="B11599" s="2" t="s">
        <v>1988</v>
      </c>
      <c r="C11599" s="2">
        <v>482.12810000000002</v>
      </c>
      <c r="D11599" s="2">
        <f>HYPERLINK("http://mcb-m6.bioreg.kyushu-u.ac.jp/M3/20110404/F50777/928/1", 59.64)</f>
        <v>59.64</v>
      </c>
      <c r="E11599" s="2">
        <v>35.32</v>
      </c>
      <c r="F11599" s="2">
        <v>2</v>
      </c>
      <c r="G11599" s="2" t="s">
        <v>9</v>
      </c>
    </row>
    <row r="11600" spans="1:9" x14ac:dyDescent="0.2">
      <c r="A11600" s="2" t="s">
        <v>3865</v>
      </c>
      <c r="B11600" s="2" t="s">
        <v>1849</v>
      </c>
      <c r="C11600" s="2">
        <v>773.40219999999999</v>
      </c>
      <c r="D11600" s="2">
        <f>HYPERLINK("http://mcb-m6.bioreg.kyushu-u.ac.jp/M3/20110404/F50777/2062/1", 77.93)</f>
        <v>77.930000000000007</v>
      </c>
      <c r="E11600" s="2">
        <v>62.54</v>
      </c>
      <c r="F11600" s="2">
        <v>2</v>
      </c>
      <c r="G11600" s="2" t="s">
        <v>9</v>
      </c>
    </row>
    <row r="11601" spans="1:8" x14ac:dyDescent="0.2">
      <c r="A11601" s="2" t="s">
        <v>3865</v>
      </c>
      <c r="B11601" s="2" t="s">
        <v>1988</v>
      </c>
      <c r="C11601" s="2">
        <v>482.10509999999999</v>
      </c>
      <c r="D11601" s="2">
        <f>HYPERLINK("http://mcb-m6.bioreg.kyushu-u.ac.jp/M3/20110404/F50775/990/1", 56.17)</f>
        <v>56.17</v>
      </c>
      <c r="E11601" s="2">
        <v>26.56</v>
      </c>
      <c r="F11601" s="2">
        <v>2</v>
      </c>
      <c r="G11601" s="2" t="s">
        <v>10</v>
      </c>
    </row>
    <row r="11602" spans="1:8" x14ac:dyDescent="0.2">
      <c r="A11602" s="2" t="s">
        <v>3865</v>
      </c>
      <c r="B11602" s="2" t="s">
        <v>1849</v>
      </c>
      <c r="C11602" s="2">
        <v>772.79169999999999</v>
      </c>
      <c r="D11602" s="2">
        <f>HYPERLINK("http://mcb-m6.bioreg.kyushu-u.ac.jp/M3/20110404/F50774/2018/1", 59.55)</f>
        <v>59.55</v>
      </c>
      <c r="E11602" s="2">
        <v>34.76</v>
      </c>
      <c r="F11602" s="2">
        <v>2</v>
      </c>
      <c r="G11602" s="2" t="s">
        <v>10</v>
      </c>
    </row>
    <row r="11603" spans="1:8" x14ac:dyDescent="0.2">
      <c r="A11603" s="2" t="s">
        <v>3865</v>
      </c>
      <c r="B11603" s="2" t="s">
        <v>1988</v>
      </c>
      <c r="C11603" s="2">
        <v>482.1361</v>
      </c>
      <c r="D11603" s="2">
        <f>HYPERLINK("http://mcb-m6.bioreg.kyushu-u.ac.jp/M3/20110404/F50774/981/1", 75.59)</f>
        <v>75.59</v>
      </c>
      <c r="E11603" s="2">
        <v>40.18</v>
      </c>
      <c r="F11603" s="2">
        <v>2</v>
      </c>
      <c r="G11603" s="2" t="s">
        <v>10</v>
      </c>
    </row>
    <row r="11604" spans="1:8" x14ac:dyDescent="0.2">
      <c r="A11604" s="2" t="s">
        <v>3865</v>
      </c>
      <c r="B11604" s="2" t="s">
        <v>1988</v>
      </c>
      <c r="C11604" s="2">
        <v>482.10059999999999</v>
      </c>
      <c r="D11604" s="2">
        <f>HYPERLINK("http://mcb-m6.bioreg.kyushu-u.ac.jp/M3/20110428/F51129/893/1", 54.17)</f>
        <v>54.17</v>
      </c>
      <c r="E11604" s="2">
        <v>25.49</v>
      </c>
      <c r="F11604" s="2">
        <v>2</v>
      </c>
      <c r="G11604" s="2" t="s">
        <v>14</v>
      </c>
    </row>
    <row r="11605" spans="1:8" x14ac:dyDescent="0.2">
      <c r="A11605" s="2" t="s">
        <v>3930</v>
      </c>
      <c r="B11605" s="2" t="s">
        <v>1115</v>
      </c>
      <c r="C11605" s="2">
        <v>802.68960000000004</v>
      </c>
      <c r="D11605" s="2">
        <f>HYPERLINK("http://mcb-m6.bioreg.kyushu-u.ac.jp/M3/20110404/F50774/2145/1", 64.67)</f>
        <v>64.67</v>
      </c>
      <c r="E11605" s="2">
        <v>50.54</v>
      </c>
      <c r="F11605" s="2">
        <v>2</v>
      </c>
      <c r="G11605" s="2" t="s">
        <v>10</v>
      </c>
    </row>
    <row r="11606" spans="1:8" x14ac:dyDescent="0.2">
      <c r="A11606" s="2" t="s">
        <v>3930</v>
      </c>
      <c r="B11606" s="2" t="s">
        <v>1115</v>
      </c>
      <c r="C11606" s="2">
        <v>803.28920000000005</v>
      </c>
      <c r="D11606" s="2">
        <f>HYPERLINK("http://mcb-m6.bioreg.kyushu-u.ac.jp/M3/20110404/F50774/2147/1", 67.56)</f>
        <v>67.56</v>
      </c>
      <c r="E11606" s="2">
        <v>51.27</v>
      </c>
      <c r="F11606" s="2">
        <v>2</v>
      </c>
      <c r="G11606" s="2" t="s">
        <v>10</v>
      </c>
    </row>
    <row r="11607" spans="1:8" x14ac:dyDescent="0.2">
      <c r="A11607" s="2" t="s">
        <v>3930</v>
      </c>
      <c r="B11607" s="2" t="s">
        <v>1115</v>
      </c>
      <c r="C11607" s="2">
        <v>802.92520000000002</v>
      </c>
      <c r="D11607" s="2">
        <f>HYPERLINK("http://mcb-m6.bioreg.kyushu-u.ac.jp/M3/20110421/F51048/2526/1", 51.63)</f>
        <v>51.63</v>
      </c>
      <c r="E11607" s="2">
        <v>32.299999999999997</v>
      </c>
      <c r="F11607" s="2">
        <v>2</v>
      </c>
      <c r="G11607" s="2" t="s">
        <v>12</v>
      </c>
    </row>
    <row r="11608" spans="1:8" x14ac:dyDescent="0.2">
      <c r="A11608" s="2" t="s">
        <v>3864</v>
      </c>
      <c r="B11608" s="2" t="s">
        <v>977</v>
      </c>
      <c r="C11608" s="2">
        <v>793.44269999999995</v>
      </c>
      <c r="D11608" s="2">
        <f>HYPERLINK("http://mcb-m6.bioreg.kyushu-u.ac.jp/M3/20110404/F50777/2146/1", 44.61)</f>
        <v>44.61</v>
      </c>
      <c r="E11608" s="2">
        <v>23.6</v>
      </c>
      <c r="F11608" s="2">
        <v>2</v>
      </c>
      <c r="G11608" s="2" t="s">
        <v>9</v>
      </c>
    </row>
    <row r="11609" spans="1:8" x14ac:dyDescent="0.2">
      <c r="A11609" s="2" t="s">
        <v>3864</v>
      </c>
      <c r="B11609" s="2" t="s">
        <v>6297</v>
      </c>
      <c r="C11609" s="2">
        <v>618.72019999999998</v>
      </c>
      <c r="D11609" s="2">
        <f>HYPERLINK("http://mcb-m6.bioreg.kyushu-u.ac.jp/M3/20110404/F50777/1414/1", 51.33)</f>
        <v>51.33</v>
      </c>
      <c r="E11609" s="2">
        <v>3.91</v>
      </c>
      <c r="F11609" s="2">
        <v>2</v>
      </c>
      <c r="G11609" s="2" t="s">
        <v>9</v>
      </c>
    </row>
    <row r="11610" spans="1:8" x14ac:dyDescent="0.2">
      <c r="A11610" s="2" t="s">
        <v>3864</v>
      </c>
      <c r="B11610" s="2" t="s">
        <v>977</v>
      </c>
      <c r="C11610" s="2">
        <v>792.69759999999997</v>
      </c>
      <c r="D11610" s="2">
        <f>HYPERLINK("http://mcb-m6.bioreg.kyushu-u.ac.jp/M3/20110404/F50775/2167/1", 37.66)</f>
        <v>37.659999999999997</v>
      </c>
      <c r="E11610" s="2">
        <v>16.87</v>
      </c>
      <c r="F11610" s="2">
        <v>2</v>
      </c>
      <c r="G11610" s="2" t="s">
        <v>10</v>
      </c>
    </row>
    <row r="11611" spans="1:8" x14ac:dyDescent="0.2">
      <c r="A11611" s="2" t="s">
        <v>3864</v>
      </c>
      <c r="B11611" s="2" t="s">
        <v>6738</v>
      </c>
      <c r="C11611" s="2">
        <v>706.41219999999998</v>
      </c>
      <c r="D11611" s="2">
        <f>HYPERLINK("http://mcb-m6.bioreg.kyushu-u.ac.jp/M3/20110404/F50774/1746/1", 39.16)</f>
        <v>39.159999999999997</v>
      </c>
      <c r="E11611" s="2">
        <v>21.69</v>
      </c>
      <c r="F11611" s="2">
        <v>2</v>
      </c>
      <c r="G11611" s="2" t="s">
        <v>10</v>
      </c>
    </row>
    <row r="11612" spans="1:8" x14ac:dyDescent="0.2">
      <c r="A11612" s="2" t="s">
        <v>3864</v>
      </c>
      <c r="B11612" s="2" t="s">
        <v>7218</v>
      </c>
      <c r="C11612" s="2">
        <v>649.98770000000002</v>
      </c>
      <c r="D11612" s="2">
        <f>HYPERLINK("http://mcb-m6.bioreg.kyushu-u.ac.jp/M3/20110421/F51048/1717/1", 48)</f>
        <v>48</v>
      </c>
      <c r="E11612" s="2">
        <v>26.87</v>
      </c>
      <c r="F11612" s="2">
        <v>2</v>
      </c>
      <c r="G11612" s="2" t="s">
        <v>12</v>
      </c>
      <c r="H11612" s="2" t="s">
        <v>4915</v>
      </c>
    </row>
    <row r="11613" spans="1:8" x14ac:dyDescent="0.2">
      <c r="A11613" s="2" t="s">
        <v>3864</v>
      </c>
      <c r="B11613" s="2" t="s">
        <v>977</v>
      </c>
      <c r="C11613" s="2">
        <v>793.47770000000003</v>
      </c>
      <c r="D11613" s="2">
        <f>HYPERLINK("http://mcb-m6.bioreg.kyushu-u.ac.jp/M3/20110421/F51048/2483/1", 56.71)</f>
        <v>56.71</v>
      </c>
      <c r="E11613" s="2">
        <v>34.61</v>
      </c>
      <c r="F11613" s="2">
        <v>2</v>
      </c>
      <c r="G11613" s="2" t="s">
        <v>12</v>
      </c>
    </row>
    <row r="11614" spans="1:8" x14ac:dyDescent="0.2">
      <c r="A11614" s="2" t="s">
        <v>3864</v>
      </c>
      <c r="B11614" s="2" t="s">
        <v>977</v>
      </c>
      <c r="C11614" s="2">
        <v>793.02120000000002</v>
      </c>
      <c r="D11614" s="2">
        <f>HYPERLINK("http://mcb-m6.bioreg.kyushu-u.ac.jp/M3/20110428/F51129/2352/1", 58.81)</f>
        <v>58.81</v>
      </c>
      <c r="E11614" s="2">
        <v>35.520000000000003</v>
      </c>
      <c r="F11614" s="2">
        <v>2</v>
      </c>
      <c r="G11614" s="2" t="s">
        <v>14</v>
      </c>
    </row>
    <row r="11615" spans="1:8" x14ac:dyDescent="0.2">
      <c r="A11615" s="2" t="s">
        <v>4251</v>
      </c>
      <c r="B11615" s="2" t="s">
        <v>1882</v>
      </c>
      <c r="C11615" s="2">
        <v>756.4941</v>
      </c>
      <c r="D11615" s="2">
        <f>HYPERLINK("http://mcb-m6.bioreg.kyushu-u.ac.jp/M3/20110421/F51048/2304/1", 41.23)</f>
        <v>41.23</v>
      </c>
      <c r="E11615" s="2">
        <v>22.91</v>
      </c>
      <c r="F11615" s="2">
        <v>2</v>
      </c>
      <c r="G11615" s="2" t="s">
        <v>12</v>
      </c>
    </row>
    <row r="11616" spans="1:8" x14ac:dyDescent="0.2">
      <c r="A11616" s="2" t="s">
        <v>8034</v>
      </c>
      <c r="B11616" s="2" t="s">
        <v>7304</v>
      </c>
      <c r="C11616" s="2">
        <v>1026.7670000000001</v>
      </c>
      <c r="D11616" s="2">
        <f>HYPERLINK("http://mcb-m6.bioreg.kyushu-u.ac.jp/M3/20110427/F51115/2984/1", 37.22)</f>
        <v>37.22</v>
      </c>
      <c r="E11616" s="2">
        <v>18.61</v>
      </c>
      <c r="F11616" s="2">
        <v>2</v>
      </c>
      <c r="G11616" s="2" t="s">
        <v>13</v>
      </c>
    </row>
    <row r="11617" spans="1:9" x14ac:dyDescent="0.2">
      <c r="A11617" s="2" t="s">
        <v>3666</v>
      </c>
      <c r="B11617" s="2" t="s">
        <v>605</v>
      </c>
      <c r="C11617" s="2">
        <v>772.84270000000004</v>
      </c>
      <c r="D11617" s="2">
        <f>HYPERLINK("http://mcb-m6.bioreg.kyushu-u.ac.jp/M3/20110404/F50764/2001/1", 59.08)</f>
        <v>59.08</v>
      </c>
      <c r="E11617" s="2">
        <v>35</v>
      </c>
      <c r="F11617" s="2">
        <v>2</v>
      </c>
      <c r="G11617" s="2" t="s">
        <v>9</v>
      </c>
    </row>
    <row r="11618" spans="1:9" x14ac:dyDescent="0.2">
      <c r="A11618" s="2" t="s">
        <v>3666</v>
      </c>
      <c r="B11618" s="2" t="s">
        <v>605</v>
      </c>
      <c r="C11618" s="2">
        <v>773.40470000000005</v>
      </c>
      <c r="D11618" s="2">
        <f>HYPERLINK("http://mcb-m6.bioreg.kyushu-u.ac.jp/M3/20110421/F51042/2098/1", 74.47)</f>
        <v>74.47</v>
      </c>
      <c r="E11618" s="2">
        <v>54.39</v>
      </c>
      <c r="F11618" s="2">
        <v>2</v>
      </c>
      <c r="G11618" s="2" t="s">
        <v>11</v>
      </c>
    </row>
    <row r="11619" spans="1:9" x14ac:dyDescent="0.2">
      <c r="A11619" s="2" t="s">
        <v>7710</v>
      </c>
      <c r="B11619" s="2" t="s">
        <v>6398</v>
      </c>
      <c r="C11619" s="2">
        <v>671.87120000000004</v>
      </c>
      <c r="D11619" s="2">
        <f>HYPERLINK("http://mcb-m6.bioreg.kyushu-u.ac.jp/M3/20110404/F50767/1334/1", 59.69)</f>
        <v>59.69</v>
      </c>
      <c r="E11619" s="2">
        <v>41.56</v>
      </c>
      <c r="F11619" s="2">
        <v>2</v>
      </c>
      <c r="G11619" s="2" t="s">
        <v>9</v>
      </c>
    </row>
    <row r="11620" spans="1:9" x14ac:dyDescent="0.2">
      <c r="A11620" s="2" t="s">
        <v>7755</v>
      </c>
      <c r="B11620" s="2" t="s">
        <v>6550</v>
      </c>
      <c r="C11620" s="2">
        <v>718.90769999999998</v>
      </c>
      <c r="D11620" s="2">
        <f>HYPERLINK("http://mcb-m6.bioreg.kyushu-u.ac.jp/M3/20110404/F50776/1715/1", 78.82)</f>
        <v>78.819999999999993</v>
      </c>
      <c r="E11620" s="2">
        <v>57.84</v>
      </c>
      <c r="F11620" s="2">
        <v>2</v>
      </c>
      <c r="G11620" s="2" t="s">
        <v>9</v>
      </c>
      <c r="I11620" s="2" t="s">
        <v>4914</v>
      </c>
    </row>
    <row r="11621" spans="1:9" x14ac:dyDescent="0.2">
      <c r="A11621" s="2" t="s">
        <v>7755</v>
      </c>
      <c r="B11621" s="2" t="s">
        <v>6550</v>
      </c>
      <c r="C11621" s="2">
        <v>718.2432</v>
      </c>
      <c r="D11621" s="2">
        <f>HYPERLINK("http://mcb-m6.bioreg.kyushu-u.ac.jp/M3/20110404/F50756/1860/1", 82.31)</f>
        <v>82.31</v>
      </c>
      <c r="E11621" s="2">
        <v>65.569999999999993</v>
      </c>
      <c r="F11621" s="2">
        <v>2</v>
      </c>
      <c r="G11621" s="2" t="s">
        <v>9</v>
      </c>
      <c r="I11621" s="2" t="s">
        <v>4914</v>
      </c>
    </row>
    <row r="11622" spans="1:9" x14ac:dyDescent="0.2">
      <c r="A11622" s="2" t="s">
        <v>7755</v>
      </c>
      <c r="B11622" s="2" t="s">
        <v>6550</v>
      </c>
      <c r="C11622" s="2">
        <v>718.80359999999996</v>
      </c>
      <c r="D11622" s="2">
        <f>HYPERLINK("http://mcb-m6.bioreg.kyushu-u.ac.jp/M3/20110404/F50761/1767/1", 82.18)</f>
        <v>82.18</v>
      </c>
      <c r="E11622" s="2">
        <v>68.56</v>
      </c>
      <c r="F11622" s="2">
        <v>2</v>
      </c>
      <c r="G11622" s="2" t="s">
        <v>10</v>
      </c>
      <c r="I11622" s="2" t="s">
        <v>4914</v>
      </c>
    </row>
    <row r="11623" spans="1:9" x14ac:dyDescent="0.2">
      <c r="A11623" s="2" t="s">
        <v>4180</v>
      </c>
      <c r="B11623" s="2" t="s">
        <v>1897</v>
      </c>
      <c r="C11623" s="2">
        <v>825.32759999999996</v>
      </c>
      <c r="D11623" s="2">
        <f>HYPERLINK("http://mcb-m6.bioreg.kyushu-u.ac.jp/M3/20110404/F50763/2233/1", 85.11)</f>
        <v>85.11</v>
      </c>
      <c r="E11623" s="2">
        <v>74.459999999999994</v>
      </c>
      <c r="F11623" s="2">
        <v>2</v>
      </c>
      <c r="G11623" s="2" t="s">
        <v>9</v>
      </c>
    </row>
    <row r="11624" spans="1:9" x14ac:dyDescent="0.2">
      <c r="A11624" s="2" t="s">
        <v>4180</v>
      </c>
      <c r="B11624" s="2" t="s">
        <v>1897</v>
      </c>
      <c r="C11624" s="2">
        <v>825.67520000000002</v>
      </c>
      <c r="D11624" s="2">
        <f>HYPERLINK("http://mcb-m6.bioreg.kyushu-u.ac.jp/M3/20110428/F51127/2388/1", 63.33)</f>
        <v>63.33</v>
      </c>
      <c r="E11624" s="2">
        <v>44.43</v>
      </c>
      <c r="F11624" s="2">
        <v>2</v>
      </c>
      <c r="G11624" s="2" t="s">
        <v>13</v>
      </c>
    </row>
    <row r="11625" spans="1:9" x14ac:dyDescent="0.2">
      <c r="A11625" s="2" t="s">
        <v>4180</v>
      </c>
      <c r="B11625" s="2" t="s">
        <v>1897</v>
      </c>
      <c r="C11625" s="2">
        <v>825.20320000000004</v>
      </c>
      <c r="D11625" s="2">
        <f>HYPERLINK("http://mcb-m6.bioreg.kyushu-u.ac.jp/M3/20110428/F51128/2389/1", 96.7)</f>
        <v>96.7</v>
      </c>
      <c r="E11625" s="2">
        <v>82.34</v>
      </c>
      <c r="F11625" s="2">
        <v>2</v>
      </c>
      <c r="G11625" s="2" t="s">
        <v>14</v>
      </c>
    </row>
    <row r="11626" spans="1:9" x14ac:dyDescent="0.2">
      <c r="A11626" s="2" t="s">
        <v>3692</v>
      </c>
      <c r="B11626" s="2" t="s">
        <v>6092</v>
      </c>
      <c r="C11626" s="2">
        <v>919.38570000000004</v>
      </c>
      <c r="D11626" s="2">
        <f>HYPERLINK("http://mcb-m6.bioreg.kyushu-u.ac.jp/M3/20110404/F50763/2549/1", 41.89)</f>
        <v>41.89</v>
      </c>
      <c r="E11626" s="2">
        <v>31.84</v>
      </c>
      <c r="F11626" s="2">
        <v>2</v>
      </c>
      <c r="G11626" s="2" t="s">
        <v>9</v>
      </c>
    </row>
    <row r="11627" spans="1:9" x14ac:dyDescent="0.2">
      <c r="A11627" s="2" t="s">
        <v>3692</v>
      </c>
      <c r="B11627" s="2" t="s">
        <v>1214</v>
      </c>
      <c r="C11627" s="2">
        <v>645.43520000000001</v>
      </c>
      <c r="D11627" s="2">
        <f>HYPERLINK("http://mcb-m6.bioreg.kyushu-u.ac.jp/M3/20110404/F50769/1672/1", 46.35)</f>
        <v>46.35</v>
      </c>
      <c r="E11627" s="2">
        <v>29.25</v>
      </c>
      <c r="F11627" s="2">
        <v>2</v>
      </c>
      <c r="G11627" s="2" t="s">
        <v>10</v>
      </c>
    </row>
    <row r="11628" spans="1:9" x14ac:dyDescent="0.2">
      <c r="A11628" s="2" t="s">
        <v>3692</v>
      </c>
      <c r="B11628" s="2" t="s">
        <v>2538</v>
      </c>
      <c r="C11628" s="2">
        <v>656.29610000000002</v>
      </c>
      <c r="D11628" s="2">
        <f>HYPERLINK("http://mcb-m6.bioreg.kyushu-u.ac.jp/M3/20110404/F50769/1698/1", 56.46)</f>
        <v>56.46</v>
      </c>
      <c r="E11628" s="2">
        <v>39.31</v>
      </c>
      <c r="F11628" s="2">
        <v>2</v>
      </c>
      <c r="G11628" s="2" t="s">
        <v>10</v>
      </c>
    </row>
    <row r="11629" spans="1:9" x14ac:dyDescent="0.2">
      <c r="A11629" s="2" t="s">
        <v>3692</v>
      </c>
      <c r="B11629" s="2" t="s">
        <v>2538</v>
      </c>
      <c r="C11629" s="2">
        <v>655.79520000000002</v>
      </c>
      <c r="D11629" s="2">
        <f>HYPERLINK("http://mcb-m6.bioreg.kyushu-u.ac.jp/M3/20110421/F51035/1478/1", 48.55)</f>
        <v>48.55</v>
      </c>
      <c r="E11629" s="2">
        <v>35.020000000000003</v>
      </c>
      <c r="F11629" s="2">
        <v>2</v>
      </c>
      <c r="G11629" s="2" t="s">
        <v>11</v>
      </c>
    </row>
    <row r="11630" spans="1:9" x14ac:dyDescent="0.2">
      <c r="A11630" s="2" t="s">
        <v>3692</v>
      </c>
      <c r="B11630" s="2" t="s">
        <v>2538</v>
      </c>
      <c r="C11630" s="2">
        <v>656.32460000000003</v>
      </c>
      <c r="D11630" s="2">
        <f>HYPERLINK("http://mcb-m6.bioreg.kyushu-u.ac.jp/M3/20110421/F51035/1483/1", 68.97)</f>
        <v>68.97</v>
      </c>
      <c r="E11630" s="2">
        <v>53.1</v>
      </c>
      <c r="F11630" s="2">
        <v>2</v>
      </c>
      <c r="G11630" s="2" t="s">
        <v>11</v>
      </c>
    </row>
    <row r="11631" spans="1:9" x14ac:dyDescent="0.2">
      <c r="A11631" s="2" t="s">
        <v>3692</v>
      </c>
      <c r="B11631" s="2" t="s">
        <v>2538</v>
      </c>
      <c r="C11631" s="2">
        <v>655.89070000000004</v>
      </c>
      <c r="D11631" s="2">
        <f>HYPERLINK("http://mcb-m6.bioreg.kyushu-u.ac.jp/M3/20110421/F51045/1770/1", 68.82)</f>
        <v>68.819999999999993</v>
      </c>
      <c r="E11631" s="2">
        <v>47.51</v>
      </c>
      <c r="F11631" s="2">
        <v>2</v>
      </c>
      <c r="G11631" s="2" t="s">
        <v>12</v>
      </c>
    </row>
    <row r="11632" spans="1:9" x14ac:dyDescent="0.2">
      <c r="A11632" s="2" t="s">
        <v>3692</v>
      </c>
      <c r="B11632" s="2" t="s">
        <v>2538</v>
      </c>
      <c r="C11632" s="2">
        <v>655.64170000000001</v>
      </c>
      <c r="D11632" s="2">
        <f>HYPERLINK("http://mcb-m6.bioreg.kyushu-u.ac.jp/M3/20110428/F51127/1423/1", 61.76)</f>
        <v>61.76</v>
      </c>
      <c r="E11632" s="2">
        <v>48.85</v>
      </c>
      <c r="F11632" s="2">
        <v>2</v>
      </c>
      <c r="G11632" s="2" t="s">
        <v>13</v>
      </c>
    </row>
    <row r="11633" spans="1:9" x14ac:dyDescent="0.2">
      <c r="A11633" s="2" t="s">
        <v>3692</v>
      </c>
      <c r="B11633" s="2" t="s">
        <v>1214</v>
      </c>
      <c r="C11633" s="2">
        <v>645.30870000000004</v>
      </c>
      <c r="D11633" s="2">
        <f>HYPERLINK("http://mcb-m6.bioreg.kyushu-u.ac.jp/M3/20110428/F51128/1517/1", 48.52)</f>
        <v>48.52</v>
      </c>
      <c r="E11633" s="2">
        <v>11.62</v>
      </c>
      <c r="F11633" s="2">
        <v>2</v>
      </c>
      <c r="G11633" s="2" t="s">
        <v>14</v>
      </c>
    </row>
    <row r="11634" spans="1:9" x14ac:dyDescent="0.2">
      <c r="A11634" s="2" t="s">
        <v>3692</v>
      </c>
      <c r="B11634" s="2" t="s">
        <v>2538</v>
      </c>
      <c r="C11634" s="2">
        <v>655.75070000000005</v>
      </c>
      <c r="D11634" s="2">
        <f>HYPERLINK("http://mcb-m6.bioreg.kyushu-u.ac.jp/M3/20110428/F51128/1557/1", 63.66)</f>
        <v>63.66</v>
      </c>
      <c r="E11634" s="2">
        <v>45.06</v>
      </c>
      <c r="F11634" s="2">
        <v>2</v>
      </c>
      <c r="G11634" s="2" t="s">
        <v>14</v>
      </c>
    </row>
    <row r="11635" spans="1:9" x14ac:dyDescent="0.2">
      <c r="A11635" s="2" t="s">
        <v>3709</v>
      </c>
      <c r="B11635" s="2" t="s">
        <v>693</v>
      </c>
      <c r="C11635" s="2">
        <v>622.0566</v>
      </c>
      <c r="D11635" s="2">
        <f>HYPERLINK("http://mcb-m6.bioreg.kyushu-u.ac.jp/M3/20110404/F50781/1440/1", 48.37)</f>
        <v>48.37</v>
      </c>
      <c r="E11635" s="2">
        <v>27.62</v>
      </c>
      <c r="F11635" s="2">
        <v>2</v>
      </c>
      <c r="G11635" s="2" t="s">
        <v>10</v>
      </c>
    </row>
    <row r="11636" spans="1:9" x14ac:dyDescent="0.2">
      <c r="A11636" s="2" t="s">
        <v>3709</v>
      </c>
      <c r="B11636" s="2" t="s">
        <v>6910</v>
      </c>
      <c r="C11636" s="2">
        <v>785.8972</v>
      </c>
      <c r="D11636" s="2">
        <f>HYPERLINK("http://mcb-m6.bioreg.kyushu-u.ac.jp/M3/20110404/F50781/1942/1", 57.21)</f>
        <v>57.21</v>
      </c>
      <c r="E11636" s="2">
        <v>41.8</v>
      </c>
      <c r="F11636" s="2">
        <v>2</v>
      </c>
      <c r="G11636" s="2" t="s">
        <v>10</v>
      </c>
    </row>
    <row r="11637" spans="1:9" x14ac:dyDescent="0.2">
      <c r="A11637" s="2" t="s">
        <v>7591</v>
      </c>
      <c r="B11637" s="2" t="s">
        <v>6060</v>
      </c>
      <c r="C11637" s="2">
        <v>676.35519999999997</v>
      </c>
      <c r="D11637" s="2">
        <f>HYPERLINK("http://mcb-m6.bioreg.kyushu-u.ac.jp/M3/20110404/F50767/1362/1", 40.54)</f>
        <v>40.54</v>
      </c>
      <c r="E11637" s="2">
        <v>17.97</v>
      </c>
      <c r="F11637" s="2">
        <v>2</v>
      </c>
      <c r="G11637" s="2" t="s">
        <v>9</v>
      </c>
      <c r="H11637" s="2" t="s">
        <v>4904</v>
      </c>
    </row>
    <row r="11638" spans="1:9" x14ac:dyDescent="0.2">
      <c r="A11638" s="2" t="s">
        <v>7591</v>
      </c>
      <c r="B11638" s="2" t="s">
        <v>6060</v>
      </c>
      <c r="C11638" s="2">
        <v>675.87019999999995</v>
      </c>
      <c r="D11638" s="2">
        <f>HYPERLINK("http://mcb-m6.bioreg.kyushu-u.ac.jp/M3/20110404/F50766/1172/1", 57.11)</f>
        <v>57.11</v>
      </c>
      <c r="E11638" s="2">
        <v>27.4</v>
      </c>
      <c r="F11638" s="2">
        <v>2</v>
      </c>
      <c r="G11638" s="2" t="s">
        <v>9</v>
      </c>
      <c r="H11638" s="2" t="s">
        <v>4904</v>
      </c>
    </row>
    <row r="11639" spans="1:9" x14ac:dyDescent="0.2">
      <c r="A11639" s="2" t="s">
        <v>7554</v>
      </c>
      <c r="B11639" s="2" t="s">
        <v>5972</v>
      </c>
      <c r="C11639" s="2">
        <v>506.08960000000002</v>
      </c>
      <c r="D11639" s="2">
        <f>HYPERLINK("http://mcb-m6.bioreg.kyushu-u.ac.jp/M3/20110404/F50766/534/1", 37.32)</f>
        <v>37.32</v>
      </c>
      <c r="E11639" s="2">
        <v>12.23</v>
      </c>
      <c r="F11639" s="2">
        <v>2</v>
      </c>
      <c r="G11639" s="2" t="s">
        <v>9</v>
      </c>
    </row>
    <row r="11640" spans="1:9" x14ac:dyDescent="0.2">
      <c r="A11640" s="2" t="s">
        <v>4881</v>
      </c>
      <c r="B11640" s="2" t="s">
        <v>6136</v>
      </c>
      <c r="C11640" s="2">
        <v>584.56209999999999</v>
      </c>
      <c r="D11640" s="2">
        <f>HYPERLINK("http://mcb-m6.bioreg.kyushu-u.ac.jp/M3/20110404/F50764/1248/1", 44.1)</f>
        <v>44.1</v>
      </c>
      <c r="E11640" s="2">
        <v>24.46</v>
      </c>
      <c r="F11640" s="2">
        <v>2</v>
      </c>
      <c r="G11640" s="2" t="s">
        <v>9</v>
      </c>
    </row>
    <row r="11641" spans="1:9" x14ac:dyDescent="0.2">
      <c r="A11641" s="2" t="s">
        <v>4881</v>
      </c>
      <c r="B11641" s="2" t="s">
        <v>3210</v>
      </c>
      <c r="C11641" s="2">
        <v>877.92020000000002</v>
      </c>
      <c r="D11641" s="2">
        <f>HYPERLINK("http://mcb-m6.bioreg.kyushu-u.ac.jp/M3/20110404/F50764/2355/1", 83.76)</f>
        <v>83.76</v>
      </c>
      <c r="E11641" s="2">
        <v>62.67</v>
      </c>
      <c r="F11641" s="2">
        <v>2</v>
      </c>
      <c r="G11641" s="2" t="s">
        <v>9</v>
      </c>
    </row>
    <row r="11642" spans="1:9" x14ac:dyDescent="0.2">
      <c r="A11642" s="2" t="s">
        <v>7640</v>
      </c>
      <c r="B11642" s="2" t="s">
        <v>6183</v>
      </c>
      <c r="C11642" s="2">
        <v>497.78609999999998</v>
      </c>
      <c r="D11642" s="2">
        <f>HYPERLINK("http://mcb-m6.bioreg.kyushu-u.ac.jp/M3/20110404/F50754/1308/1", 45.78)</f>
        <v>45.78</v>
      </c>
      <c r="E11642" s="2">
        <v>22.26</v>
      </c>
      <c r="F11642" s="2">
        <v>2</v>
      </c>
      <c r="G11642" s="2" t="s">
        <v>9</v>
      </c>
    </row>
    <row r="11643" spans="1:9" x14ac:dyDescent="0.2">
      <c r="A11643" s="2" t="s">
        <v>4865</v>
      </c>
      <c r="B11643" s="2" t="s">
        <v>3161</v>
      </c>
      <c r="C11643" s="2">
        <v>663.05110000000002</v>
      </c>
      <c r="D11643" s="2">
        <f>HYPERLINK("http://mcb-m6.bioreg.kyushu-u.ac.jp/M3/20110404/F50756/1576/1", 55.92)</f>
        <v>55.92</v>
      </c>
      <c r="E11643" s="2">
        <v>38.89</v>
      </c>
      <c r="F11643" s="2">
        <v>2</v>
      </c>
      <c r="G11643" s="2" t="s">
        <v>9</v>
      </c>
    </row>
    <row r="11644" spans="1:9" x14ac:dyDescent="0.2">
      <c r="A11644" s="2" t="s">
        <v>4865</v>
      </c>
      <c r="B11644" s="2" t="s">
        <v>3161</v>
      </c>
      <c r="C11644" s="2">
        <v>663.26760000000002</v>
      </c>
      <c r="D11644" s="2">
        <f>HYPERLINK("http://mcb-m6.bioreg.kyushu-u.ac.jp/M3/20110404/F50761/1508/1", 43.09)</f>
        <v>43.09</v>
      </c>
      <c r="E11644" s="2">
        <v>24.98</v>
      </c>
      <c r="F11644" s="2">
        <v>2</v>
      </c>
      <c r="G11644" s="2" t="s">
        <v>10</v>
      </c>
    </row>
    <row r="11645" spans="1:9" x14ac:dyDescent="0.2">
      <c r="A11645" s="2" t="s">
        <v>4477</v>
      </c>
      <c r="B11645" s="2" t="s">
        <v>2420</v>
      </c>
      <c r="C11645" s="2">
        <v>765.75570000000005</v>
      </c>
      <c r="D11645" s="2">
        <f>HYPERLINK("http://mcb-m6.bioreg.kyushu-u.ac.jp/M3/20110404/F50756/2082/1", 38.07)</f>
        <v>38.07</v>
      </c>
      <c r="E11645" s="2">
        <v>27.16</v>
      </c>
      <c r="F11645" s="2">
        <v>2</v>
      </c>
      <c r="G11645" s="2" t="s">
        <v>9</v>
      </c>
      <c r="I11645" s="2" t="s">
        <v>4914</v>
      </c>
    </row>
    <row r="11646" spans="1:9" x14ac:dyDescent="0.2">
      <c r="A11646" s="2" t="s">
        <v>4477</v>
      </c>
      <c r="B11646" s="2" t="s">
        <v>2420</v>
      </c>
      <c r="C11646" s="2">
        <v>766.23360000000002</v>
      </c>
      <c r="D11646" s="2">
        <f>HYPERLINK("http://mcb-m6.bioreg.kyushu-u.ac.jp/M3/20110404/F50761/1945/1", 75.34)</f>
        <v>75.34</v>
      </c>
      <c r="E11646" s="2">
        <v>60.5</v>
      </c>
      <c r="F11646" s="2">
        <v>2</v>
      </c>
      <c r="G11646" s="2" t="s">
        <v>10</v>
      </c>
      <c r="I11646" s="2" t="s">
        <v>4914</v>
      </c>
    </row>
    <row r="11647" spans="1:9" x14ac:dyDescent="0.2">
      <c r="A11647" s="2" t="s">
        <v>3273</v>
      </c>
      <c r="B11647" s="2" t="s">
        <v>53</v>
      </c>
      <c r="C11647" s="2">
        <v>1383.58</v>
      </c>
      <c r="D11647" s="2">
        <f>HYPERLINK("http://mcb-m6.bioreg.kyushu-u.ac.jp/M3/20110404/F50763/1728/1", 46.7)</f>
        <v>46.7</v>
      </c>
      <c r="E11647" s="2">
        <v>0.85</v>
      </c>
      <c r="F11647" s="2">
        <v>1</v>
      </c>
      <c r="G11647" s="2" t="s">
        <v>9</v>
      </c>
    </row>
    <row r="11648" spans="1:9" x14ac:dyDescent="0.2">
      <c r="A11648" s="2" t="s">
        <v>3273</v>
      </c>
      <c r="B11648" s="2" t="s">
        <v>53</v>
      </c>
      <c r="C11648" s="2">
        <v>692.18119999999999</v>
      </c>
      <c r="D11648" s="2">
        <f>HYPERLINK("http://mcb-m6.bioreg.kyushu-u.ac.jp/M3/20110404/F50767/1455/1", 66.09)</f>
        <v>66.09</v>
      </c>
      <c r="E11648" s="2">
        <v>48.88</v>
      </c>
      <c r="F11648" s="2">
        <v>2</v>
      </c>
      <c r="G11648" s="2" t="s">
        <v>9</v>
      </c>
    </row>
    <row r="11649" spans="1:7" x14ac:dyDescent="0.2">
      <c r="A11649" s="2" t="s">
        <v>3273</v>
      </c>
      <c r="B11649" s="2" t="s">
        <v>53</v>
      </c>
      <c r="C11649" s="2">
        <v>692.33320000000003</v>
      </c>
      <c r="D11649" s="2">
        <f>HYPERLINK("http://mcb-m6.bioreg.kyushu-u.ac.jp/M3/20110404/F50765/1600/1", 70)</f>
        <v>70</v>
      </c>
      <c r="E11649" s="2">
        <v>40.630000000000003</v>
      </c>
      <c r="F11649" s="2">
        <v>2</v>
      </c>
      <c r="G11649" s="2" t="s">
        <v>9</v>
      </c>
    </row>
    <row r="11650" spans="1:7" x14ac:dyDescent="0.2">
      <c r="A11650" s="2" t="s">
        <v>3273</v>
      </c>
      <c r="B11650" s="2" t="s">
        <v>53</v>
      </c>
      <c r="C11650" s="2">
        <v>692.1857</v>
      </c>
      <c r="D11650" s="2">
        <f>HYPERLINK("http://mcb-m6.bioreg.kyushu-u.ac.jp/M3/20110404/F50777/1685/1", 71.25)</f>
        <v>71.25</v>
      </c>
      <c r="E11650" s="2">
        <v>54.4</v>
      </c>
      <c r="F11650" s="2">
        <v>2</v>
      </c>
      <c r="G11650" s="2" t="s">
        <v>9</v>
      </c>
    </row>
    <row r="11651" spans="1:7" x14ac:dyDescent="0.2">
      <c r="A11651" s="2" t="s">
        <v>3273</v>
      </c>
      <c r="B11651" s="2" t="s">
        <v>53</v>
      </c>
      <c r="C11651" s="2">
        <v>692.14369999999997</v>
      </c>
      <c r="D11651" s="2">
        <f>HYPERLINK("http://mcb-m6.bioreg.kyushu-u.ac.jp/M3/20110404/F50753/1815/1", 74.74)</f>
        <v>74.739999999999995</v>
      </c>
      <c r="E11651" s="2">
        <v>52.91</v>
      </c>
      <c r="F11651" s="2">
        <v>2</v>
      </c>
      <c r="G11651" s="2" t="s">
        <v>9</v>
      </c>
    </row>
    <row r="11652" spans="1:7" x14ac:dyDescent="0.2">
      <c r="A11652" s="2" t="s">
        <v>3273</v>
      </c>
      <c r="B11652" s="2" t="s">
        <v>53</v>
      </c>
      <c r="C11652" s="2">
        <v>692.22170000000006</v>
      </c>
      <c r="D11652" s="2">
        <f>HYPERLINK("http://mcb-m6.bioreg.kyushu-u.ac.jp/M3/20110404/F50755/1716/1", 75.07)</f>
        <v>75.069999999999993</v>
      </c>
      <c r="E11652" s="2">
        <v>58.13</v>
      </c>
      <c r="F11652" s="2">
        <v>2</v>
      </c>
      <c r="G11652" s="2" t="s">
        <v>9</v>
      </c>
    </row>
    <row r="11653" spans="1:7" x14ac:dyDescent="0.2">
      <c r="A11653" s="2" t="s">
        <v>3273</v>
      </c>
      <c r="B11653" s="2" t="s">
        <v>53</v>
      </c>
      <c r="C11653" s="2">
        <v>692.30319999999995</v>
      </c>
      <c r="D11653" s="2">
        <f>HYPERLINK("http://mcb-m6.bioreg.kyushu-u.ac.jp/M3/20110404/F50764/1649/1", 81.92)</f>
        <v>81.92</v>
      </c>
      <c r="E11653" s="2">
        <v>49.81</v>
      </c>
      <c r="F11653" s="2">
        <v>2</v>
      </c>
      <c r="G11653" s="2" t="s">
        <v>9</v>
      </c>
    </row>
    <row r="11654" spans="1:7" x14ac:dyDescent="0.2">
      <c r="A11654" s="2" t="s">
        <v>3273</v>
      </c>
      <c r="B11654" s="2" t="s">
        <v>53</v>
      </c>
      <c r="C11654" s="2">
        <v>692.80520000000001</v>
      </c>
      <c r="D11654" s="2">
        <f>HYPERLINK("http://mcb-m6.bioreg.kyushu-u.ac.jp/M3/20110404/F50764/1653/1", 86.35)</f>
        <v>86.35</v>
      </c>
      <c r="E11654" s="2">
        <v>35.69</v>
      </c>
      <c r="F11654" s="2">
        <v>2</v>
      </c>
      <c r="G11654" s="2" t="s">
        <v>9</v>
      </c>
    </row>
    <row r="11655" spans="1:7" x14ac:dyDescent="0.2">
      <c r="A11655" s="2" t="s">
        <v>3273</v>
      </c>
      <c r="B11655" s="2" t="s">
        <v>53</v>
      </c>
      <c r="C11655" s="2">
        <v>692.1902</v>
      </c>
      <c r="D11655" s="2">
        <f>HYPERLINK("http://mcb-m6.bioreg.kyushu-u.ac.jp/M3/20110404/F50761/1630/1", 49.41)</f>
        <v>49.41</v>
      </c>
      <c r="E11655" s="2">
        <v>37.99</v>
      </c>
      <c r="F11655" s="2">
        <v>2</v>
      </c>
      <c r="G11655" s="2" t="s">
        <v>10</v>
      </c>
    </row>
    <row r="11656" spans="1:7" x14ac:dyDescent="0.2">
      <c r="A11656" s="2" t="s">
        <v>3273</v>
      </c>
      <c r="B11656" s="2" t="s">
        <v>53</v>
      </c>
      <c r="C11656" s="2">
        <v>692.22969999999998</v>
      </c>
      <c r="D11656" s="2">
        <f>HYPERLINK("http://mcb-m6.bioreg.kyushu-u.ac.jp/M3/20110404/F50782/1518/1", 58.76)</f>
        <v>58.76</v>
      </c>
      <c r="E11656" s="2">
        <v>22.7</v>
      </c>
      <c r="F11656" s="2">
        <v>2</v>
      </c>
      <c r="G11656" s="2" t="s">
        <v>10</v>
      </c>
    </row>
    <row r="11657" spans="1:7" x14ac:dyDescent="0.2">
      <c r="A11657" s="2" t="s">
        <v>3273</v>
      </c>
      <c r="B11657" s="2" t="s">
        <v>53</v>
      </c>
      <c r="C11657" s="2">
        <v>692.84770000000003</v>
      </c>
      <c r="D11657" s="2">
        <f>HYPERLINK("http://mcb-m6.bioreg.kyushu-u.ac.jp/M3/20110404/F50773/1633/1", 66.75)</f>
        <v>66.75</v>
      </c>
      <c r="E11657" s="2">
        <v>25.46</v>
      </c>
      <c r="F11657" s="2">
        <v>2</v>
      </c>
      <c r="G11657" s="2" t="s">
        <v>10</v>
      </c>
    </row>
    <row r="11658" spans="1:7" x14ac:dyDescent="0.2">
      <c r="A11658" s="2" t="s">
        <v>3273</v>
      </c>
      <c r="B11658" s="2" t="s">
        <v>53</v>
      </c>
      <c r="C11658" s="2">
        <v>692.3066</v>
      </c>
      <c r="D11658" s="2">
        <f>HYPERLINK("http://mcb-m6.bioreg.kyushu-u.ac.jp/M3/20110404/F50771/1670/1", 69.74)</f>
        <v>69.739999999999995</v>
      </c>
      <c r="E11658" s="2">
        <v>41.97</v>
      </c>
      <c r="F11658" s="2">
        <v>2</v>
      </c>
      <c r="G11658" s="2" t="s">
        <v>10</v>
      </c>
    </row>
    <row r="11659" spans="1:7" x14ac:dyDescent="0.2">
      <c r="A11659" s="2" t="s">
        <v>3273</v>
      </c>
      <c r="B11659" s="2" t="s">
        <v>53</v>
      </c>
      <c r="C11659" s="2">
        <v>692.42169999999999</v>
      </c>
      <c r="D11659" s="2">
        <f>HYPERLINK("http://mcb-m6.bioreg.kyushu-u.ac.jp/M3/20110404/F50772/1703/1", 71.53)</f>
        <v>71.53</v>
      </c>
      <c r="E11659" s="2">
        <v>46.79</v>
      </c>
      <c r="F11659" s="2">
        <v>2</v>
      </c>
      <c r="G11659" s="2" t="s">
        <v>10</v>
      </c>
    </row>
    <row r="11660" spans="1:7" x14ac:dyDescent="0.2">
      <c r="A11660" s="2" t="s">
        <v>3273</v>
      </c>
      <c r="B11660" s="2" t="s">
        <v>53</v>
      </c>
      <c r="C11660" s="2">
        <v>692.74570000000006</v>
      </c>
      <c r="D11660" s="2">
        <f>HYPERLINK("http://mcb-m6.bioreg.kyushu-u.ac.jp/M3/20110404/F50769/1821/1", 72.42)</f>
        <v>72.42</v>
      </c>
      <c r="E11660" s="2">
        <v>2.75</v>
      </c>
      <c r="F11660" s="2">
        <v>2</v>
      </c>
      <c r="G11660" s="2" t="s">
        <v>10</v>
      </c>
    </row>
    <row r="11661" spans="1:7" x14ac:dyDescent="0.2">
      <c r="A11661" s="2" t="s">
        <v>3273</v>
      </c>
      <c r="B11661" s="2" t="s">
        <v>53</v>
      </c>
      <c r="C11661" s="2">
        <v>692.33119999999997</v>
      </c>
      <c r="D11661" s="2">
        <f>HYPERLINK("http://mcb-m6.bioreg.kyushu-u.ac.jp/M3/20110404/F50773/1632/1", 72.5)</f>
        <v>72.5</v>
      </c>
      <c r="E11661" s="2">
        <v>41.56</v>
      </c>
      <c r="F11661" s="2">
        <v>2</v>
      </c>
      <c r="G11661" s="2" t="s">
        <v>10</v>
      </c>
    </row>
    <row r="11662" spans="1:7" x14ac:dyDescent="0.2">
      <c r="A11662" s="2" t="s">
        <v>3273</v>
      </c>
      <c r="B11662" s="2" t="s">
        <v>53</v>
      </c>
      <c r="C11662" s="2">
        <v>692.17520000000002</v>
      </c>
      <c r="D11662" s="2">
        <f>HYPERLINK("http://mcb-m6.bioreg.kyushu-u.ac.jp/M3/20110404/F50770/1744/1", 75.37)</f>
        <v>75.37</v>
      </c>
      <c r="E11662" s="2">
        <v>57.04</v>
      </c>
      <c r="F11662" s="2">
        <v>2</v>
      </c>
      <c r="G11662" s="2" t="s">
        <v>10</v>
      </c>
    </row>
    <row r="11663" spans="1:7" x14ac:dyDescent="0.2">
      <c r="A11663" s="2" t="s">
        <v>3273</v>
      </c>
      <c r="B11663" s="2" t="s">
        <v>53</v>
      </c>
      <c r="C11663" s="2">
        <v>692.23109999999997</v>
      </c>
      <c r="D11663" s="2">
        <f>HYPERLINK("http://mcb-m6.bioreg.kyushu-u.ac.jp/M3/20110404/F50769/1818/1", 76)</f>
        <v>76</v>
      </c>
      <c r="E11663" s="2">
        <v>57.43</v>
      </c>
      <c r="F11663" s="2">
        <v>2</v>
      </c>
      <c r="G11663" s="2" t="s">
        <v>10</v>
      </c>
    </row>
    <row r="11664" spans="1:7" x14ac:dyDescent="0.2">
      <c r="A11664" s="2" t="s">
        <v>3273</v>
      </c>
      <c r="B11664" s="2" t="s">
        <v>53</v>
      </c>
      <c r="C11664" s="2">
        <v>692.28020000000004</v>
      </c>
      <c r="D11664" s="2">
        <f>HYPERLINK("http://mcb-m6.bioreg.kyushu-u.ac.jp/M3/20110404/F50774/1687/1", 84.33)</f>
        <v>84.33</v>
      </c>
      <c r="E11664" s="2">
        <v>56.84</v>
      </c>
      <c r="F11664" s="2">
        <v>2</v>
      </c>
      <c r="G11664" s="2" t="s">
        <v>10</v>
      </c>
    </row>
    <row r="11665" spans="1:7" x14ac:dyDescent="0.2">
      <c r="A11665" s="2" t="s">
        <v>3273</v>
      </c>
      <c r="B11665" s="2" t="s">
        <v>53</v>
      </c>
      <c r="C11665" s="2">
        <v>692.2106</v>
      </c>
      <c r="D11665" s="2">
        <f>HYPERLINK("http://mcb-m6.bioreg.kyushu-u.ac.jp/M3/20110404/F50775/1732/1", 89.26)</f>
        <v>89.26</v>
      </c>
      <c r="E11665" s="2">
        <v>72.23</v>
      </c>
      <c r="F11665" s="2">
        <v>2</v>
      </c>
      <c r="G11665" s="2" t="s">
        <v>10</v>
      </c>
    </row>
    <row r="11666" spans="1:7" x14ac:dyDescent="0.2">
      <c r="A11666" s="2" t="s">
        <v>3273</v>
      </c>
      <c r="B11666" s="2" t="s">
        <v>53</v>
      </c>
      <c r="C11666" s="2">
        <v>692.43769999999995</v>
      </c>
      <c r="D11666" s="2">
        <f>HYPERLINK("http://mcb-m6.bioreg.kyushu-u.ac.jp/M3/20110421/F51017/1775/1", 51.98)</f>
        <v>51.98</v>
      </c>
      <c r="E11666" s="2">
        <v>19.170000000000002</v>
      </c>
      <c r="F11666" s="2">
        <v>2</v>
      </c>
      <c r="G11666" s="2" t="s">
        <v>11</v>
      </c>
    </row>
    <row r="11667" spans="1:7" x14ac:dyDescent="0.2">
      <c r="A11667" s="2" t="s">
        <v>3273</v>
      </c>
      <c r="B11667" s="2" t="s">
        <v>53</v>
      </c>
      <c r="C11667" s="2">
        <v>692.76210000000003</v>
      </c>
      <c r="D11667" s="2">
        <f>HYPERLINK("http://mcb-m6.bioreg.kyushu-u.ac.jp/M3/20110421/F51042/1626/1", 55.5)</f>
        <v>55.5</v>
      </c>
      <c r="E11667" s="2">
        <v>16.61</v>
      </c>
      <c r="F11667" s="2">
        <v>2</v>
      </c>
      <c r="G11667" s="2" t="s">
        <v>11</v>
      </c>
    </row>
    <row r="11668" spans="1:7" x14ac:dyDescent="0.2">
      <c r="A11668" s="2" t="s">
        <v>3273</v>
      </c>
      <c r="B11668" s="2" t="s">
        <v>53</v>
      </c>
      <c r="C11668" s="2">
        <v>692.46310000000005</v>
      </c>
      <c r="D11668" s="2">
        <f>HYPERLINK("http://mcb-m6.bioreg.kyushu-u.ac.jp/M3/20110421/F51035/1685/1", 58.79)</f>
        <v>58.79</v>
      </c>
      <c r="E11668" s="2">
        <v>34.299999999999997</v>
      </c>
      <c r="F11668" s="2">
        <v>2</v>
      </c>
      <c r="G11668" s="2" t="s">
        <v>11</v>
      </c>
    </row>
    <row r="11669" spans="1:7" x14ac:dyDescent="0.2">
      <c r="A11669" s="2" t="s">
        <v>3273</v>
      </c>
      <c r="B11669" s="2" t="s">
        <v>53</v>
      </c>
      <c r="C11669" s="2">
        <v>692.24270000000001</v>
      </c>
      <c r="D11669" s="2">
        <f>HYPERLINK("http://mcb-m6.bioreg.kyushu-u.ac.jp/M3/20110421/F51039/1815/1", 63)</f>
        <v>63</v>
      </c>
      <c r="E11669" s="2">
        <v>49.17</v>
      </c>
      <c r="F11669" s="2">
        <v>2</v>
      </c>
      <c r="G11669" s="2" t="s">
        <v>11</v>
      </c>
    </row>
    <row r="11670" spans="1:7" x14ac:dyDescent="0.2">
      <c r="A11670" s="2" t="s">
        <v>3273</v>
      </c>
      <c r="B11670" s="2" t="s">
        <v>53</v>
      </c>
      <c r="C11670" s="2">
        <v>692.15120000000002</v>
      </c>
      <c r="D11670" s="2">
        <f>HYPERLINK("http://mcb-m6.bioreg.kyushu-u.ac.jp/M3/20110421/F51015/1894/1", 71.38)</f>
        <v>71.38</v>
      </c>
      <c r="E11670" s="2">
        <v>45.44</v>
      </c>
      <c r="F11670" s="2">
        <v>2</v>
      </c>
      <c r="G11670" s="2" t="s">
        <v>11</v>
      </c>
    </row>
    <row r="11671" spans="1:7" x14ac:dyDescent="0.2">
      <c r="A11671" s="2" t="s">
        <v>3273</v>
      </c>
      <c r="B11671" s="2" t="s">
        <v>53</v>
      </c>
      <c r="C11671" s="2">
        <v>692.16060000000004</v>
      </c>
      <c r="D11671" s="2">
        <f>HYPERLINK("http://mcb-m6.bioreg.kyushu-u.ac.jp/M3/20110421/F51020/1796/1", 75.94)</f>
        <v>75.94</v>
      </c>
      <c r="E11671" s="2">
        <v>53.93</v>
      </c>
      <c r="F11671" s="2">
        <v>2</v>
      </c>
      <c r="G11671" s="2" t="s">
        <v>11</v>
      </c>
    </row>
    <row r="11672" spans="1:7" x14ac:dyDescent="0.2">
      <c r="A11672" s="2" t="s">
        <v>3273</v>
      </c>
      <c r="B11672" s="2" t="s">
        <v>53</v>
      </c>
      <c r="C11672" s="2">
        <v>692.75519999999995</v>
      </c>
      <c r="D11672" s="2">
        <f>HYPERLINK("http://mcb-m6.bioreg.kyushu-u.ac.jp/M3/20110421/F51020/1797/1", 78.1)</f>
        <v>78.099999999999994</v>
      </c>
      <c r="E11672" s="2">
        <v>2.99</v>
      </c>
      <c r="F11672" s="2">
        <v>2</v>
      </c>
      <c r="G11672" s="2" t="s">
        <v>11</v>
      </c>
    </row>
    <row r="11673" spans="1:7" x14ac:dyDescent="0.2">
      <c r="A11673" s="2" t="s">
        <v>3273</v>
      </c>
      <c r="B11673" s="2" t="s">
        <v>53</v>
      </c>
      <c r="C11673" s="2">
        <v>692.26170000000002</v>
      </c>
      <c r="D11673" s="2">
        <f>HYPERLINK("http://mcb-m6.bioreg.kyushu-u.ac.jp/M3/20110421/F51040/1766/1", 80.93)</f>
        <v>80.930000000000007</v>
      </c>
      <c r="E11673" s="2">
        <v>58.98</v>
      </c>
      <c r="F11673" s="2">
        <v>2</v>
      </c>
      <c r="G11673" s="2" t="s">
        <v>11</v>
      </c>
    </row>
    <row r="11674" spans="1:7" x14ac:dyDescent="0.2">
      <c r="A11674" s="2" t="s">
        <v>3273</v>
      </c>
      <c r="B11674" s="2" t="s">
        <v>53</v>
      </c>
      <c r="C11674" s="2">
        <v>1383.33</v>
      </c>
      <c r="D11674" s="2">
        <f>HYPERLINK("http://mcb-m6.bioreg.kyushu-u.ac.jp/M3/20110421/F51021/1804/1", 42.52)</f>
        <v>42.52</v>
      </c>
      <c r="E11674" s="2">
        <v>23.63</v>
      </c>
      <c r="F11674" s="2">
        <v>1</v>
      </c>
      <c r="G11674" s="2" t="s">
        <v>12</v>
      </c>
    </row>
    <row r="11675" spans="1:7" x14ac:dyDescent="0.2">
      <c r="A11675" s="2" t="s">
        <v>3273</v>
      </c>
      <c r="B11675" s="2" t="s">
        <v>53</v>
      </c>
      <c r="C11675" s="2">
        <v>692.17470000000003</v>
      </c>
      <c r="D11675" s="2">
        <f>HYPERLINK("http://mcb-m6.bioreg.kyushu-u.ac.jp/M3/20110421/F51021/1805/1", 46.08)</f>
        <v>46.08</v>
      </c>
      <c r="E11675" s="2">
        <v>1.32</v>
      </c>
      <c r="F11675" s="2">
        <v>2</v>
      </c>
      <c r="G11675" s="2" t="s">
        <v>12</v>
      </c>
    </row>
    <row r="11676" spans="1:7" x14ac:dyDescent="0.2">
      <c r="A11676" s="2" t="s">
        <v>3273</v>
      </c>
      <c r="B11676" s="2" t="s">
        <v>53</v>
      </c>
      <c r="C11676" s="2">
        <v>692.8297</v>
      </c>
      <c r="D11676" s="2">
        <f>HYPERLINK("http://mcb-m6.bioreg.kyushu-u.ac.jp/M3/20110421/F51021/1811/1", 46.56)</f>
        <v>46.56</v>
      </c>
      <c r="E11676" s="2">
        <v>1.04</v>
      </c>
      <c r="F11676" s="2">
        <v>2</v>
      </c>
      <c r="G11676" s="2" t="s">
        <v>12</v>
      </c>
    </row>
    <row r="11677" spans="1:7" x14ac:dyDescent="0.2">
      <c r="A11677" s="2" t="s">
        <v>3273</v>
      </c>
      <c r="B11677" s="2" t="s">
        <v>53</v>
      </c>
      <c r="C11677" s="2">
        <v>692.40120000000002</v>
      </c>
      <c r="D11677" s="2">
        <f>HYPERLINK("http://mcb-m6.bioreg.kyushu-u.ac.jp/M3/20110421/F51026/1914/1", 56.55)</f>
        <v>56.55</v>
      </c>
      <c r="E11677" s="2">
        <v>38.72</v>
      </c>
      <c r="F11677" s="2">
        <v>2</v>
      </c>
      <c r="G11677" s="2" t="s">
        <v>12</v>
      </c>
    </row>
    <row r="11678" spans="1:7" x14ac:dyDescent="0.2">
      <c r="A11678" s="2" t="s">
        <v>3273</v>
      </c>
      <c r="B11678" s="2" t="s">
        <v>53</v>
      </c>
      <c r="C11678" s="2">
        <v>692.69069999999999</v>
      </c>
      <c r="D11678" s="2">
        <f>HYPERLINK("http://mcb-m6.bioreg.kyushu-u.ac.jp/M3/20110421/F51021/1809/1", 60.2)</f>
        <v>60.2</v>
      </c>
      <c r="E11678" s="2">
        <v>25.83</v>
      </c>
      <c r="F11678" s="2">
        <v>2</v>
      </c>
      <c r="G11678" s="2" t="s">
        <v>12</v>
      </c>
    </row>
    <row r="11679" spans="1:7" x14ac:dyDescent="0.2">
      <c r="A11679" s="2" t="s">
        <v>3273</v>
      </c>
      <c r="B11679" s="2" t="s">
        <v>53</v>
      </c>
      <c r="C11679" s="2">
        <v>692.78859999999997</v>
      </c>
      <c r="D11679" s="2">
        <f>HYPERLINK("http://mcb-m6.bioreg.kyushu-u.ac.jp/M3/20110421/F51024/1927/1", 72.66)</f>
        <v>72.66</v>
      </c>
      <c r="E11679" s="2">
        <v>29.89</v>
      </c>
      <c r="F11679" s="2">
        <v>2</v>
      </c>
      <c r="G11679" s="2" t="s">
        <v>12</v>
      </c>
    </row>
    <row r="11680" spans="1:7" x14ac:dyDescent="0.2">
      <c r="A11680" s="2" t="s">
        <v>3273</v>
      </c>
      <c r="B11680" s="2" t="s">
        <v>53</v>
      </c>
      <c r="C11680" s="2">
        <v>692.87019999999995</v>
      </c>
      <c r="D11680" s="2">
        <f>HYPERLINK("http://mcb-m6.bioreg.kyushu-u.ac.jp/M3/20110421/F51061/1694/1", 78.33)</f>
        <v>78.33</v>
      </c>
      <c r="E11680" s="2">
        <v>34.840000000000003</v>
      </c>
      <c r="F11680" s="2">
        <v>2</v>
      </c>
      <c r="G11680" s="2" t="s">
        <v>12</v>
      </c>
    </row>
    <row r="11681" spans="1:7" x14ac:dyDescent="0.2">
      <c r="A11681" s="2" t="s">
        <v>3273</v>
      </c>
      <c r="B11681" s="2" t="s">
        <v>53</v>
      </c>
      <c r="C11681" s="2">
        <v>692.67859999999996</v>
      </c>
      <c r="D11681" s="2">
        <f>HYPERLINK("http://mcb-m6.bioreg.kyushu-u.ac.jp/M3/20110421/F51021/1808/1", 81.38)</f>
        <v>81.38</v>
      </c>
      <c r="E11681" s="2">
        <v>6.16</v>
      </c>
      <c r="F11681" s="2">
        <v>2</v>
      </c>
      <c r="G11681" s="2" t="s">
        <v>12</v>
      </c>
    </row>
    <row r="11682" spans="1:7" x14ac:dyDescent="0.2">
      <c r="A11682" s="2" t="s">
        <v>3273</v>
      </c>
      <c r="B11682" s="2" t="s">
        <v>53</v>
      </c>
      <c r="C11682" s="2">
        <v>692.0702</v>
      </c>
      <c r="D11682" s="2">
        <f>HYPERLINK("http://mcb-m6.bioreg.kyushu-u.ac.jp/M3/20110421/F51021/1799/1", 81.55)</f>
        <v>81.55</v>
      </c>
      <c r="E11682" s="2">
        <v>42.87</v>
      </c>
      <c r="F11682" s="2">
        <v>2</v>
      </c>
      <c r="G11682" s="2" t="s">
        <v>12</v>
      </c>
    </row>
    <row r="11683" spans="1:7" x14ac:dyDescent="0.2">
      <c r="A11683" s="2" t="s">
        <v>3273</v>
      </c>
      <c r="B11683" s="2" t="s">
        <v>53</v>
      </c>
      <c r="C11683" s="2">
        <v>692.24869999999999</v>
      </c>
      <c r="D11683" s="2">
        <f>HYPERLINK("http://mcb-m6.bioreg.kyushu-u.ac.jp/M3/20110421/F51024/1926/1", 81.6)</f>
        <v>81.599999999999994</v>
      </c>
      <c r="E11683" s="2">
        <v>58.59</v>
      </c>
      <c r="F11683" s="2">
        <v>2</v>
      </c>
      <c r="G11683" s="2" t="s">
        <v>12</v>
      </c>
    </row>
    <row r="11684" spans="1:7" x14ac:dyDescent="0.2">
      <c r="A11684" s="2" t="s">
        <v>3273</v>
      </c>
      <c r="B11684" s="2" t="s">
        <v>53</v>
      </c>
      <c r="C11684" s="2">
        <v>692.35569999999996</v>
      </c>
      <c r="D11684" s="2">
        <f>HYPERLINK("http://mcb-m6.bioreg.kyushu-u.ac.jp/M3/20110421/F51061/1692/1", 89.4)</f>
        <v>89.4</v>
      </c>
      <c r="E11684" s="2">
        <v>54.25</v>
      </c>
      <c r="F11684" s="2">
        <v>2</v>
      </c>
      <c r="G11684" s="2" t="s">
        <v>12</v>
      </c>
    </row>
    <row r="11685" spans="1:7" x14ac:dyDescent="0.2">
      <c r="A11685" s="2" t="s">
        <v>3273</v>
      </c>
      <c r="B11685" s="2" t="s">
        <v>53</v>
      </c>
      <c r="C11685" s="2">
        <v>692.20619999999997</v>
      </c>
      <c r="D11685" s="2">
        <f>HYPERLINK("http://mcb-m6.bioreg.kyushu-u.ac.jp/M3/20110428/F51132/1722/1", 47.47)</f>
        <v>47.47</v>
      </c>
      <c r="E11685" s="2">
        <v>33.53</v>
      </c>
      <c r="F11685" s="2">
        <v>2</v>
      </c>
      <c r="G11685" s="2" t="s">
        <v>13</v>
      </c>
    </row>
    <row r="11686" spans="1:7" x14ac:dyDescent="0.2">
      <c r="A11686" s="2" t="s">
        <v>3273</v>
      </c>
      <c r="B11686" s="2" t="s">
        <v>53</v>
      </c>
      <c r="C11686" s="2">
        <v>692.18910000000005</v>
      </c>
      <c r="D11686" s="2">
        <f>HYPERLINK("http://mcb-m6.bioreg.kyushu-u.ac.jp/M3/20110427/F51110/1985/1", 64.49)</f>
        <v>64.489999999999995</v>
      </c>
      <c r="E11686" s="2">
        <v>46.22</v>
      </c>
      <c r="F11686" s="2">
        <v>2</v>
      </c>
      <c r="G11686" s="2" t="s">
        <v>13</v>
      </c>
    </row>
    <row r="11687" spans="1:7" x14ac:dyDescent="0.2">
      <c r="A11687" s="2" t="s">
        <v>3273</v>
      </c>
      <c r="B11687" s="2" t="s">
        <v>53</v>
      </c>
      <c r="C11687" s="2">
        <v>692.34169999999995</v>
      </c>
      <c r="D11687" s="2">
        <f>HYPERLINK("http://mcb-m6.bioreg.kyushu-u.ac.jp/M3/20110427/F51116/1798/1", 69.69)</f>
        <v>69.69</v>
      </c>
      <c r="E11687" s="2">
        <v>44.91</v>
      </c>
      <c r="F11687" s="2">
        <v>2</v>
      </c>
      <c r="G11687" s="2" t="s">
        <v>13</v>
      </c>
    </row>
    <row r="11688" spans="1:7" x14ac:dyDescent="0.2">
      <c r="A11688" s="2" t="s">
        <v>3273</v>
      </c>
      <c r="B11688" s="2" t="s">
        <v>53</v>
      </c>
      <c r="C11688" s="2">
        <v>692.41520000000003</v>
      </c>
      <c r="D11688" s="2">
        <f>HYPERLINK("http://mcb-m6.bioreg.kyushu-u.ac.jp/M3/20110427/F51108/1879/1", 71.82)</f>
        <v>71.819999999999993</v>
      </c>
      <c r="E11688" s="2">
        <v>4.03</v>
      </c>
      <c r="F11688" s="2">
        <v>2</v>
      </c>
      <c r="G11688" s="2" t="s">
        <v>13</v>
      </c>
    </row>
    <row r="11689" spans="1:7" x14ac:dyDescent="0.2">
      <c r="A11689" s="2" t="s">
        <v>3273</v>
      </c>
      <c r="B11689" s="2" t="s">
        <v>53</v>
      </c>
      <c r="C11689" s="2">
        <v>692.09770000000003</v>
      </c>
      <c r="D11689" s="2">
        <f>HYPERLINK("http://mcb-m6.bioreg.kyushu-u.ac.jp/M3/20110427/F51109/1940/1", 75.35)</f>
        <v>75.349999999999994</v>
      </c>
      <c r="E11689" s="2">
        <v>51.93</v>
      </c>
      <c r="F11689" s="2">
        <v>2</v>
      </c>
      <c r="G11689" s="2" t="s">
        <v>13</v>
      </c>
    </row>
    <row r="11690" spans="1:7" x14ac:dyDescent="0.2">
      <c r="A11690" s="2" t="s">
        <v>3273</v>
      </c>
      <c r="B11690" s="2" t="s">
        <v>53</v>
      </c>
      <c r="C11690" s="2">
        <v>692.20119999999997</v>
      </c>
      <c r="D11690" s="2">
        <f>HYPERLINK("http://mcb-m6.bioreg.kyushu-u.ac.jp/M3/20110427/F51115/1764/1", 81.37)</f>
        <v>81.37</v>
      </c>
      <c r="E11690" s="2">
        <v>60.17</v>
      </c>
      <c r="F11690" s="2">
        <v>2</v>
      </c>
      <c r="G11690" s="2" t="s">
        <v>13</v>
      </c>
    </row>
    <row r="11691" spans="1:7" x14ac:dyDescent="0.2">
      <c r="A11691" s="2" t="s">
        <v>3273</v>
      </c>
      <c r="B11691" s="2" t="s">
        <v>53</v>
      </c>
      <c r="C11691" s="2">
        <v>692.10469999999998</v>
      </c>
      <c r="D11691" s="2">
        <f>HYPERLINK("http://mcb-m6.bioreg.kyushu-u.ac.jp/M3/20110427/F51113/1768/1", 85.32)</f>
        <v>85.32</v>
      </c>
      <c r="E11691" s="2">
        <v>64.34</v>
      </c>
      <c r="F11691" s="2">
        <v>2</v>
      </c>
      <c r="G11691" s="2" t="s">
        <v>13</v>
      </c>
    </row>
    <row r="11692" spans="1:7" x14ac:dyDescent="0.2">
      <c r="A11692" s="2" t="s">
        <v>3273</v>
      </c>
      <c r="B11692" s="2" t="s">
        <v>53</v>
      </c>
      <c r="C11692" s="2">
        <v>692.18520000000001</v>
      </c>
      <c r="D11692" s="2">
        <f>HYPERLINK("http://mcb-m6.bioreg.kyushu-u.ac.jp/M3/20110427/F51112/1855/1", 89.3)</f>
        <v>89.3</v>
      </c>
      <c r="E11692" s="2">
        <v>65.260000000000005</v>
      </c>
      <c r="F11692" s="2">
        <v>2</v>
      </c>
      <c r="G11692" s="2" t="s">
        <v>13</v>
      </c>
    </row>
    <row r="11693" spans="1:7" x14ac:dyDescent="0.2">
      <c r="A11693" s="2" t="s">
        <v>3273</v>
      </c>
      <c r="B11693" s="2" t="s">
        <v>53</v>
      </c>
      <c r="C11693" s="2">
        <v>692.13869999999997</v>
      </c>
      <c r="D11693" s="2">
        <f>HYPERLINK("http://mcb-m6.bioreg.kyushu-u.ac.jp/M3/20110428/F51127/1616/1", 89.35)</f>
        <v>89.35</v>
      </c>
      <c r="E11693" s="2">
        <v>71.930000000000007</v>
      </c>
      <c r="F11693" s="2">
        <v>2</v>
      </c>
      <c r="G11693" s="2" t="s">
        <v>13</v>
      </c>
    </row>
    <row r="11694" spans="1:7" x14ac:dyDescent="0.2">
      <c r="A11694" s="2" t="s">
        <v>3273</v>
      </c>
      <c r="B11694" s="2" t="s">
        <v>53</v>
      </c>
      <c r="C11694" s="2">
        <v>692.24270000000001</v>
      </c>
      <c r="D11694" s="2">
        <f>HYPERLINK("http://mcb-m6.bioreg.kyushu-u.ac.jp/M3/20110427/F51118/1897/1", 37.88)</f>
        <v>37.880000000000003</v>
      </c>
      <c r="E11694" s="2">
        <v>18.52</v>
      </c>
      <c r="F11694" s="2">
        <v>2</v>
      </c>
      <c r="G11694" s="2" t="s">
        <v>14</v>
      </c>
    </row>
    <row r="11695" spans="1:7" x14ac:dyDescent="0.2">
      <c r="A11695" s="2" t="s">
        <v>3273</v>
      </c>
      <c r="B11695" s="2" t="s">
        <v>53</v>
      </c>
      <c r="C11695" s="2">
        <v>692.82920000000001</v>
      </c>
      <c r="D11695" s="2">
        <f>HYPERLINK("http://mcb-m6.bioreg.kyushu-u.ac.jp/M3/20110428/F51130/1846/1", 54)</f>
        <v>54</v>
      </c>
      <c r="E11695" s="2">
        <v>7.31</v>
      </c>
      <c r="F11695" s="2">
        <v>2</v>
      </c>
      <c r="G11695" s="2" t="s">
        <v>14</v>
      </c>
    </row>
    <row r="11696" spans="1:7" x14ac:dyDescent="0.2">
      <c r="A11696" s="2" t="s">
        <v>3273</v>
      </c>
      <c r="B11696" s="2" t="s">
        <v>53</v>
      </c>
      <c r="C11696" s="2">
        <v>692.11969999999997</v>
      </c>
      <c r="D11696" s="2">
        <f>HYPERLINK("http://mcb-m6.bioreg.kyushu-u.ac.jp/M3/20110428/F51130/1845/1", 58.18)</f>
        <v>58.18</v>
      </c>
      <c r="E11696" s="2">
        <v>37.81</v>
      </c>
      <c r="F11696" s="2">
        <v>2</v>
      </c>
      <c r="G11696" s="2" t="s">
        <v>14</v>
      </c>
    </row>
    <row r="11697" spans="1:8" x14ac:dyDescent="0.2">
      <c r="A11697" s="2" t="s">
        <v>3273</v>
      </c>
      <c r="B11697" s="2" t="s">
        <v>53</v>
      </c>
      <c r="C11697" s="2">
        <v>692.14369999999997</v>
      </c>
      <c r="D11697" s="2">
        <f>HYPERLINK("http://mcb-m6.bioreg.kyushu-u.ac.jp/M3/20110427/F51123/1803/1", 58.28)</f>
        <v>58.28</v>
      </c>
      <c r="E11697" s="2">
        <v>42.77</v>
      </c>
      <c r="F11697" s="2">
        <v>2</v>
      </c>
      <c r="G11697" s="2" t="s">
        <v>14</v>
      </c>
    </row>
    <row r="11698" spans="1:8" x14ac:dyDescent="0.2">
      <c r="A11698" s="2" t="s">
        <v>3273</v>
      </c>
      <c r="B11698" s="2" t="s">
        <v>53</v>
      </c>
      <c r="C11698" s="2">
        <v>692.66470000000004</v>
      </c>
      <c r="D11698" s="2">
        <f>HYPERLINK("http://mcb-m6.bioreg.kyushu-u.ac.jp/M3/20110427/F51121/1830/1", 65.36)</f>
        <v>65.36</v>
      </c>
      <c r="E11698" s="2">
        <v>16.86</v>
      </c>
      <c r="F11698" s="2">
        <v>2</v>
      </c>
      <c r="G11698" s="2" t="s">
        <v>14</v>
      </c>
    </row>
    <row r="11699" spans="1:8" x14ac:dyDescent="0.2">
      <c r="A11699" s="2" t="s">
        <v>3273</v>
      </c>
      <c r="B11699" s="2" t="s">
        <v>53</v>
      </c>
      <c r="C11699" s="2">
        <v>692.15170000000001</v>
      </c>
      <c r="D11699" s="2">
        <f>HYPERLINK("http://mcb-m6.bioreg.kyushu-u.ac.jp/M3/20110427/F51124/1806/1", 75.67)</f>
        <v>75.67</v>
      </c>
      <c r="E11699" s="2">
        <v>40.450000000000003</v>
      </c>
      <c r="F11699" s="2">
        <v>2</v>
      </c>
      <c r="G11699" s="2" t="s">
        <v>14</v>
      </c>
    </row>
    <row r="11700" spans="1:8" x14ac:dyDescent="0.2">
      <c r="A11700" s="2" t="s">
        <v>3273</v>
      </c>
      <c r="B11700" s="2" t="s">
        <v>53</v>
      </c>
      <c r="C11700" s="2">
        <v>692.19669999999996</v>
      </c>
      <c r="D11700" s="2">
        <f>HYPERLINK("http://mcb-m6.bioreg.kyushu-u.ac.jp/M3/20110428/F51129/1777/1", 81.88)</f>
        <v>81.88</v>
      </c>
      <c r="E11700" s="2">
        <v>59.12</v>
      </c>
      <c r="F11700" s="2">
        <v>2</v>
      </c>
      <c r="G11700" s="2" t="s">
        <v>14</v>
      </c>
    </row>
    <row r="11701" spans="1:8" x14ac:dyDescent="0.2">
      <c r="A11701" s="2" t="s">
        <v>3273</v>
      </c>
      <c r="B11701" s="2" t="s">
        <v>53</v>
      </c>
      <c r="C11701" s="2">
        <v>692.12459999999999</v>
      </c>
      <c r="D11701" s="2">
        <f>HYPERLINK("http://mcb-m6.bioreg.kyushu-u.ac.jp/M3/20110427/F51120/1909/1", 89.09)</f>
        <v>89.09</v>
      </c>
      <c r="E11701" s="2">
        <v>68.13</v>
      </c>
      <c r="F11701" s="2">
        <v>2</v>
      </c>
      <c r="G11701" s="2" t="s">
        <v>14</v>
      </c>
    </row>
    <row r="11702" spans="1:8" x14ac:dyDescent="0.2">
      <c r="A11702" s="2" t="s">
        <v>3424</v>
      </c>
      <c r="B11702" s="2" t="s">
        <v>228</v>
      </c>
      <c r="C11702" s="2">
        <v>965.23599999999999</v>
      </c>
      <c r="D11702" s="2">
        <f>HYPERLINK("http://mcb-m6.bioreg.kyushu-u.ac.jp/M3/20110404/F50763/1028/1", 40.69)</f>
        <v>40.69</v>
      </c>
      <c r="E11702" s="2">
        <v>20.54</v>
      </c>
      <c r="F11702" s="2">
        <v>1</v>
      </c>
      <c r="G11702" s="2" t="s">
        <v>9</v>
      </c>
    </row>
    <row r="11703" spans="1:8" x14ac:dyDescent="0.2">
      <c r="A11703" s="2" t="s">
        <v>3424</v>
      </c>
      <c r="B11703" s="2" t="s">
        <v>228</v>
      </c>
      <c r="C11703" s="2">
        <v>964.49800000000005</v>
      </c>
      <c r="D11703" s="2">
        <f>HYPERLINK("http://mcb-m6.bioreg.kyushu-u.ac.jp/M3/20110404/F50763/1025/1", 41.01)</f>
        <v>41.01</v>
      </c>
      <c r="E11703" s="2">
        <v>19.48</v>
      </c>
      <c r="F11703" s="2">
        <v>1</v>
      </c>
      <c r="G11703" s="2" t="s">
        <v>9</v>
      </c>
    </row>
    <row r="11704" spans="1:8" x14ac:dyDescent="0.2">
      <c r="A11704" s="2" t="s">
        <v>3424</v>
      </c>
      <c r="B11704" s="2" t="s">
        <v>5164</v>
      </c>
      <c r="C11704" s="2">
        <v>584.70069999999998</v>
      </c>
      <c r="D11704" s="2">
        <f>HYPERLINK("http://mcb-m6.bioreg.kyushu-u.ac.jp/M3/20110404/F50777/1245/1", 57.15)</f>
        <v>57.15</v>
      </c>
      <c r="E11704" s="2">
        <v>41.46</v>
      </c>
      <c r="F11704" s="2">
        <v>2</v>
      </c>
      <c r="G11704" s="2" t="s">
        <v>9</v>
      </c>
    </row>
    <row r="11705" spans="1:8" x14ac:dyDescent="0.2">
      <c r="A11705" s="2" t="s">
        <v>3424</v>
      </c>
      <c r="B11705" s="2" t="s">
        <v>228</v>
      </c>
      <c r="C11705" s="2">
        <v>482.76260000000002</v>
      </c>
      <c r="D11705" s="2">
        <f>HYPERLINK("http://mcb-m6.bioreg.kyushu-u.ac.jp/M3/20110404/F50777/933/1", 62.25)</f>
        <v>62.25</v>
      </c>
      <c r="E11705" s="2">
        <v>35.840000000000003</v>
      </c>
      <c r="F11705" s="2">
        <v>2</v>
      </c>
      <c r="G11705" s="2" t="s">
        <v>9</v>
      </c>
    </row>
    <row r="11706" spans="1:8" x14ac:dyDescent="0.2">
      <c r="A11706" s="2" t="s">
        <v>3424</v>
      </c>
      <c r="B11706" s="2" t="s">
        <v>228</v>
      </c>
      <c r="C11706" s="2">
        <v>965.35500000000002</v>
      </c>
      <c r="D11706" s="2">
        <f>HYPERLINK("http://mcb-m6.bioreg.kyushu-u.ac.jp/M3/20110404/F50769/1228/1", 43.01)</f>
        <v>43.01</v>
      </c>
      <c r="E11706" s="2">
        <v>24.83</v>
      </c>
      <c r="F11706" s="2">
        <v>1</v>
      </c>
      <c r="G11706" s="2" t="s">
        <v>10</v>
      </c>
    </row>
    <row r="11707" spans="1:8" x14ac:dyDescent="0.2">
      <c r="A11707" s="2" t="s">
        <v>3424</v>
      </c>
      <c r="B11707" s="2" t="s">
        <v>228</v>
      </c>
      <c r="C11707" s="2">
        <v>964.52099999999996</v>
      </c>
      <c r="D11707" s="2">
        <f>HYPERLINK("http://mcb-m6.bioreg.kyushu-u.ac.jp/M3/20110421/F51035/688/1", 47.07)</f>
        <v>47.07</v>
      </c>
      <c r="E11707" s="2">
        <v>24.93</v>
      </c>
      <c r="F11707" s="2">
        <v>1</v>
      </c>
      <c r="G11707" s="2" t="s">
        <v>11</v>
      </c>
    </row>
    <row r="11708" spans="1:8" x14ac:dyDescent="0.2">
      <c r="A11708" s="2" t="s">
        <v>3424</v>
      </c>
      <c r="B11708" s="2" t="s">
        <v>7121</v>
      </c>
      <c r="C11708" s="2">
        <v>792.29060000000004</v>
      </c>
      <c r="D11708" s="2">
        <f>HYPERLINK("http://mcb-m6.bioreg.kyushu-u.ac.jp/M3/20110421/F51037/2350/1", 51.71)</f>
        <v>51.71</v>
      </c>
      <c r="E11708" s="2">
        <v>40.090000000000003</v>
      </c>
      <c r="F11708" s="2">
        <v>2</v>
      </c>
      <c r="G11708" s="2" t="s">
        <v>11</v>
      </c>
      <c r="H11708" s="2" t="s">
        <v>4904</v>
      </c>
    </row>
    <row r="11709" spans="1:8" x14ac:dyDescent="0.2">
      <c r="A11709" s="2" t="s">
        <v>3424</v>
      </c>
      <c r="B11709" s="2" t="s">
        <v>228</v>
      </c>
      <c r="C11709" s="2">
        <v>483.3766</v>
      </c>
      <c r="D11709" s="2">
        <f>HYPERLINK("http://mcb-m6.bioreg.kyushu-u.ac.jp/M3/20110421/F51035/692/1", 54.81)</f>
        <v>54.81</v>
      </c>
      <c r="E11709" s="2">
        <v>26.9</v>
      </c>
      <c r="F11709" s="2">
        <v>2</v>
      </c>
      <c r="G11709" s="2" t="s">
        <v>11</v>
      </c>
    </row>
    <row r="11710" spans="1:8" x14ac:dyDescent="0.2">
      <c r="A11710" s="2" t="s">
        <v>3424</v>
      </c>
      <c r="B11710" s="2" t="s">
        <v>7121</v>
      </c>
      <c r="C11710" s="2">
        <v>792.57870000000003</v>
      </c>
      <c r="D11710" s="2">
        <f>HYPERLINK("http://mcb-m6.bioreg.kyushu-u.ac.jp/M3/20110421/F51035/2258/1", 59.76)</f>
        <v>59.76</v>
      </c>
      <c r="E11710" s="2">
        <v>50.38</v>
      </c>
      <c r="F11710" s="2">
        <v>2</v>
      </c>
      <c r="G11710" s="2" t="s">
        <v>11</v>
      </c>
      <c r="H11710" s="2" t="s">
        <v>4904</v>
      </c>
    </row>
    <row r="11711" spans="1:8" x14ac:dyDescent="0.2">
      <c r="A11711" s="2" t="s">
        <v>3424</v>
      </c>
      <c r="B11711" s="2" t="s">
        <v>228</v>
      </c>
      <c r="C11711" s="2">
        <v>964.64099999999996</v>
      </c>
      <c r="D11711" s="2">
        <f>HYPERLINK("http://mcb-m6.bioreg.kyushu-u.ac.jp/M3/20110421/F51047/881/1", 46.61)</f>
        <v>46.61</v>
      </c>
      <c r="E11711" s="2">
        <v>22.69</v>
      </c>
      <c r="F11711" s="2">
        <v>1</v>
      </c>
      <c r="G11711" s="2" t="s">
        <v>12</v>
      </c>
    </row>
    <row r="11712" spans="1:8" x14ac:dyDescent="0.2">
      <c r="A11712" s="2" t="s">
        <v>3424</v>
      </c>
      <c r="B11712" s="2" t="s">
        <v>228</v>
      </c>
      <c r="C11712" s="2">
        <v>483.34210000000002</v>
      </c>
      <c r="D11712" s="2">
        <f>HYPERLINK("http://mcb-m6.bioreg.kyushu-u.ac.jp/M3/20110421/F51045/1064/1", 50.15)</f>
        <v>50.15</v>
      </c>
      <c r="E11712" s="2">
        <v>35.53</v>
      </c>
      <c r="F11712" s="2">
        <v>2</v>
      </c>
      <c r="G11712" s="2" t="s">
        <v>12</v>
      </c>
    </row>
    <row r="11713" spans="1:9" x14ac:dyDescent="0.2">
      <c r="A11713" s="2" t="s">
        <v>3424</v>
      </c>
      <c r="B11713" s="2" t="s">
        <v>7313</v>
      </c>
      <c r="C11713" s="2">
        <v>577.1318</v>
      </c>
      <c r="D11713" s="2">
        <f>HYPERLINK("http://mcb-m6.bioreg.kyushu-u.ac.jp/M3/20110428/F51127/2592/1", 38.5)</f>
        <v>38.5</v>
      </c>
      <c r="E11713" s="2">
        <v>18.03</v>
      </c>
      <c r="F11713" s="2">
        <v>3</v>
      </c>
      <c r="G11713" s="2" t="s">
        <v>13</v>
      </c>
    </row>
    <row r="11714" spans="1:9" x14ac:dyDescent="0.2">
      <c r="A11714" s="2" t="s">
        <v>3424</v>
      </c>
      <c r="B11714" s="2" t="s">
        <v>228</v>
      </c>
      <c r="C11714" s="2">
        <v>482.37810000000002</v>
      </c>
      <c r="D11714" s="2">
        <f>HYPERLINK("http://mcb-m6.bioreg.kyushu-u.ac.jp/M3/20110428/F51132/806/1", 49.14)</f>
        <v>49.14</v>
      </c>
      <c r="E11714" s="2">
        <v>18.489999999999998</v>
      </c>
      <c r="F11714" s="2">
        <v>2</v>
      </c>
      <c r="G11714" s="2" t="s">
        <v>13</v>
      </c>
    </row>
    <row r="11715" spans="1:9" x14ac:dyDescent="0.2">
      <c r="A11715" s="2" t="s">
        <v>3424</v>
      </c>
      <c r="B11715" s="2" t="s">
        <v>228</v>
      </c>
      <c r="C11715" s="2">
        <v>483.16109999999998</v>
      </c>
      <c r="D11715" s="2">
        <f>HYPERLINK("http://mcb-m6.bioreg.kyushu-u.ac.jp/M3/20110428/F51127/712/1", 55.52)</f>
        <v>55.52</v>
      </c>
      <c r="E11715" s="2">
        <v>29.26</v>
      </c>
      <c r="F11715" s="2">
        <v>2</v>
      </c>
      <c r="G11715" s="2" t="s">
        <v>13</v>
      </c>
    </row>
    <row r="11716" spans="1:9" x14ac:dyDescent="0.2">
      <c r="A11716" s="2" t="s">
        <v>3424</v>
      </c>
      <c r="B11716" s="2" t="s">
        <v>7498</v>
      </c>
      <c r="C11716" s="2">
        <v>894.21969999999999</v>
      </c>
      <c r="D11716" s="2">
        <f>HYPERLINK("http://mcb-m6.bioreg.kyushu-u.ac.jp/M3/20110428/F51128/2725/1", 53.26)</f>
        <v>53.26</v>
      </c>
      <c r="E11716" s="2">
        <v>42.66</v>
      </c>
      <c r="F11716" s="2">
        <v>2</v>
      </c>
      <c r="G11716" s="2" t="s">
        <v>14</v>
      </c>
      <c r="I11716" s="2" t="s">
        <v>4906</v>
      </c>
    </row>
    <row r="11717" spans="1:9" x14ac:dyDescent="0.2">
      <c r="A11717" s="2" t="s">
        <v>5616</v>
      </c>
      <c r="B11717" s="2" t="s">
        <v>6025</v>
      </c>
      <c r="C11717" s="2">
        <v>1031.547</v>
      </c>
      <c r="D11717" s="2">
        <f>HYPERLINK("http://mcb-m6.bioreg.kyushu-u.ac.jp/M3/20110404/F50777/1047/1", 39.3)</f>
        <v>39.299999999999997</v>
      </c>
      <c r="E11717" s="2">
        <v>20.57</v>
      </c>
      <c r="F11717" s="2">
        <v>1</v>
      </c>
      <c r="G11717" s="2" t="s">
        <v>9</v>
      </c>
    </row>
    <row r="11718" spans="1:9" x14ac:dyDescent="0.2">
      <c r="A11718" s="2" t="s">
        <v>5616</v>
      </c>
      <c r="B11718" s="2" t="s">
        <v>6150</v>
      </c>
      <c r="C11718" s="2">
        <v>603.37459999999999</v>
      </c>
      <c r="D11718" s="2">
        <f>HYPERLINK("http://mcb-m6.bioreg.kyushu-u.ac.jp/M3/20110404/F50777/1335/1", 44.51)</f>
        <v>44.51</v>
      </c>
      <c r="E11718" s="2">
        <v>21.65</v>
      </c>
      <c r="F11718" s="2">
        <v>2</v>
      </c>
      <c r="G11718" s="2" t="s">
        <v>9</v>
      </c>
    </row>
    <row r="11719" spans="1:9" x14ac:dyDescent="0.2">
      <c r="A11719" s="2" t="s">
        <v>5616</v>
      </c>
      <c r="B11719" s="2" t="s">
        <v>6025</v>
      </c>
      <c r="C11719" s="2">
        <v>516.25670000000002</v>
      </c>
      <c r="D11719" s="2">
        <f>HYPERLINK("http://mcb-m6.bioreg.kyushu-u.ac.jp/M3/20110404/F50777/1046/1", 50.31)</f>
        <v>50.31</v>
      </c>
      <c r="E11719" s="2">
        <v>20.76</v>
      </c>
      <c r="F11719" s="2">
        <v>2</v>
      </c>
      <c r="G11719" s="2" t="s">
        <v>9</v>
      </c>
    </row>
    <row r="11720" spans="1:9" x14ac:dyDescent="0.2">
      <c r="A11720" s="2" t="s">
        <v>5616</v>
      </c>
      <c r="B11720" s="2" t="s">
        <v>5018</v>
      </c>
      <c r="C11720" s="2">
        <v>721.2577</v>
      </c>
      <c r="D11720" s="2">
        <f>HYPERLINK("http://mcb-m6.bioreg.kyushu-u.ac.jp/M3/20110404/F50777/1835/1", 53.62)</f>
        <v>53.62</v>
      </c>
      <c r="E11720" s="2">
        <v>30.1</v>
      </c>
      <c r="F11720" s="2">
        <v>2</v>
      </c>
      <c r="G11720" s="2" t="s">
        <v>9</v>
      </c>
      <c r="I11720" s="2" t="s">
        <v>4923</v>
      </c>
    </row>
    <row r="11721" spans="1:9" x14ac:dyDescent="0.2">
      <c r="A11721" s="2" t="s">
        <v>5616</v>
      </c>
      <c r="B11721" s="2" t="s">
        <v>6025</v>
      </c>
      <c r="C11721" s="2">
        <v>1031.5139999999999</v>
      </c>
      <c r="D11721" s="2">
        <f>HYPERLINK("http://mcb-m6.bioreg.kyushu-u.ac.jp/M3/20110404/F50774/1086/1", 37.24)</f>
        <v>37.24</v>
      </c>
      <c r="E11721" s="2">
        <v>16.079999999999998</v>
      </c>
      <c r="F11721" s="2">
        <v>1</v>
      </c>
      <c r="G11721" s="2" t="s">
        <v>10</v>
      </c>
    </row>
    <row r="11722" spans="1:9" x14ac:dyDescent="0.2">
      <c r="A11722" s="2" t="s">
        <v>5616</v>
      </c>
      <c r="B11722" s="2" t="s">
        <v>5110</v>
      </c>
      <c r="C11722" s="2">
        <v>971.64620000000002</v>
      </c>
      <c r="D11722" s="2">
        <f>HYPERLINK("http://mcb-m6.bioreg.kyushu-u.ac.jp/M3/20110404/F50774/2641/1", 39.11)</f>
        <v>39.11</v>
      </c>
      <c r="E11722" s="2">
        <v>32.090000000000003</v>
      </c>
      <c r="F11722" s="2">
        <v>2</v>
      </c>
      <c r="G11722" s="2" t="s">
        <v>10</v>
      </c>
    </row>
    <row r="11723" spans="1:9" x14ac:dyDescent="0.2">
      <c r="A11723" s="2" t="s">
        <v>5616</v>
      </c>
      <c r="B11723" s="2" t="s">
        <v>6025</v>
      </c>
      <c r="C11723" s="2">
        <v>1031.5820000000001</v>
      </c>
      <c r="D11723" s="2">
        <f>HYPERLINK("http://mcb-m6.bioreg.kyushu-u.ac.jp/M3/20110421/F51035/841/1", 36.77)</f>
        <v>36.770000000000003</v>
      </c>
      <c r="E11723" s="2">
        <v>18.39</v>
      </c>
      <c r="F11723" s="2">
        <v>1</v>
      </c>
      <c r="G11723" s="2" t="s">
        <v>11</v>
      </c>
    </row>
    <row r="11724" spans="1:9" x14ac:dyDescent="0.2">
      <c r="A11724" s="2" t="s">
        <v>5616</v>
      </c>
      <c r="B11724" s="2" t="s">
        <v>6025</v>
      </c>
      <c r="C11724" s="2">
        <v>1031.462</v>
      </c>
      <c r="D11724" s="2">
        <f>HYPERLINK("http://mcb-m6.bioreg.kyushu-u.ac.jp/M3/20110421/F51037/801/1", 40.56)</f>
        <v>40.56</v>
      </c>
      <c r="E11724" s="2">
        <v>17.579999999999998</v>
      </c>
      <c r="F11724" s="2">
        <v>1</v>
      </c>
      <c r="G11724" s="2" t="s">
        <v>11</v>
      </c>
    </row>
    <row r="11725" spans="1:9" x14ac:dyDescent="0.2">
      <c r="A11725" s="2" t="s">
        <v>5616</v>
      </c>
      <c r="B11725" s="2" t="s">
        <v>6025</v>
      </c>
      <c r="C11725" s="2">
        <v>1031.67</v>
      </c>
      <c r="D11725" s="2">
        <f>HYPERLINK("http://mcb-m6.bioreg.kyushu-u.ac.jp/M3/20110421/F51047/1060/1", 39.19)</f>
        <v>39.19</v>
      </c>
      <c r="E11725" s="2">
        <v>8.4700000000000006</v>
      </c>
      <c r="F11725" s="2">
        <v>1</v>
      </c>
      <c r="G11725" s="2" t="s">
        <v>12</v>
      </c>
    </row>
    <row r="11726" spans="1:9" x14ac:dyDescent="0.2">
      <c r="A11726" s="2" t="s">
        <v>5616</v>
      </c>
      <c r="B11726" s="2" t="s">
        <v>5018</v>
      </c>
      <c r="C11726" s="2">
        <v>721.18910000000005</v>
      </c>
      <c r="D11726" s="2">
        <f>HYPERLINK("http://mcb-m6.bioreg.kyushu-u.ac.jp/M3/20110428/F51127/1777/1", 42.68)</f>
        <v>42.68</v>
      </c>
      <c r="E11726" s="2">
        <v>22.97</v>
      </c>
      <c r="F11726" s="2">
        <v>2</v>
      </c>
      <c r="G11726" s="2" t="s">
        <v>13</v>
      </c>
      <c r="I11726" s="2" t="s">
        <v>4923</v>
      </c>
    </row>
    <row r="11727" spans="1:9" x14ac:dyDescent="0.2">
      <c r="A11727" s="2" t="s">
        <v>5616</v>
      </c>
      <c r="B11727" s="2" t="s">
        <v>6150</v>
      </c>
      <c r="C11727" s="2">
        <v>603.04110000000003</v>
      </c>
      <c r="D11727" s="2">
        <f>HYPERLINK("http://mcb-m6.bioreg.kyushu-u.ac.jp/M3/20110428/F51127/1221/1", 43.99)</f>
        <v>43.99</v>
      </c>
      <c r="E11727" s="2">
        <v>18.809999999999999</v>
      </c>
      <c r="F11727" s="2">
        <v>2</v>
      </c>
      <c r="G11727" s="2" t="s">
        <v>13</v>
      </c>
    </row>
    <row r="11728" spans="1:9" x14ac:dyDescent="0.2">
      <c r="A11728" s="2" t="s">
        <v>5616</v>
      </c>
      <c r="B11728" s="2" t="s">
        <v>6025</v>
      </c>
      <c r="C11728" s="2">
        <v>516.69269999999995</v>
      </c>
      <c r="D11728" s="2">
        <f>HYPERLINK("http://mcb-m6.bioreg.kyushu-u.ac.jp/M3/20110428/F51129/1069/1", 46.34)</f>
        <v>46.34</v>
      </c>
      <c r="E11728" s="2">
        <v>17.16</v>
      </c>
      <c r="F11728" s="2">
        <v>2</v>
      </c>
      <c r="G11728" s="2" t="s">
        <v>14</v>
      </c>
    </row>
    <row r="11729" spans="1:7" x14ac:dyDescent="0.2">
      <c r="A11729" s="2" t="s">
        <v>5616</v>
      </c>
      <c r="B11729" s="2" t="s">
        <v>7490</v>
      </c>
      <c r="C11729" s="2">
        <v>484.16860000000003</v>
      </c>
      <c r="D11729" s="2">
        <f>HYPERLINK("http://mcb-m6.bioreg.kyushu-u.ac.jp/M3/20110428/F51128/865/1", 47.81)</f>
        <v>47.81</v>
      </c>
      <c r="E11729" s="2">
        <v>28.78</v>
      </c>
      <c r="F11729" s="2">
        <v>2</v>
      </c>
      <c r="G11729" s="2" t="s">
        <v>14</v>
      </c>
    </row>
    <row r="11730" spans="1:7" x14ac:dyDescent="0.2">
      <c r="A11730" s="2" t="s">
        <v>7988</v>
      </c>
      <c r="B11730" s="2" t="s">
        <v>7207</v>
      </c>
      <c r="C11730" s="2">
        <v>497.13310000000001</v>
      </c>
      <c r="D11730" s="2">
        <f>HYPERLINK("http://mcb-m6.bioreg.kyushu-u.ac.jp/M3/20110421/F51021/812/1", 45.84)</f>
        <v>45.84</v>
      </c>
      <c r="E11730" s="2">
        <v>21.97</v>
      </c>
      <c r="F11730" s="2">
        <v>2</v>
      </c>
      <c r="G11730" s="2" t="s">
        <v>12</v>
      </c>
    </row>
    <row r="11731" spans="1:7" x14ac:dyDescent="0.2">
      <c r="A11731" s="2" t="s">
        <v>7898</v>
      </c>
      <c r="B11731" s="2" t="s">
        <v>7011</v>
      </c>
      <c r="C11731" s="2">
        <v>829.82370000000003</v>
      </c>
      <c r="D11731" s="2">
        <f>HYPERLINK("http://mcb-m6.bioreg.kyushu-u.ac.jp/M3/20110404/F50769/2222/1", 79.3)</f>
        <v>79.3</v>
      </c>
      <c r="E11731" s="2">
        <v>63.69</v>
      </c>
      <c r="F11731" s="2">
        <v>2</v>
      </c>
      <c r="G11731" s="2" t="s">
        <v>10</v>
      </c>
    </row>
    <row r="11732" spans="1:7" x14ac:dyDescent="0.2">
      <c r="A11732" s="2" t="s">
        <v>4280</v>
      </c>
      <c r="B11732" s="2" t="s">
        <v>5587</v>
      </c>
      <c r="C11732" s="2">
        <v>847.42859999999996</v>
      </c>
      <c r="D11732" s="2">
        <f>HYPERLINK("http://mcb-m6.bioreg.kyushu-u.ac.jp/M3/20110404/F50763/2296/1", 67.58)</f>
        <v>67.58</v>
      </c>
      <c r="E11732" s="2">
        <v>52.48</v>
      </c>
      <c r="F11732" s="2">
        <v>2</v>
      </c>
      <c r="G11732" s="2" t="s">
        <v>9</v>
      </c>
    </row>
    <row r="11733" spans="1:7" x14ac:dyDescent="0.2">
      <c r="A11733" s="2" t="s">
        <v>4280</v>
      </c>
      <c r="B11733" s="2" t="s">
        <v>5587</v>
      </c>
      <c r="C11733" s="2">
        <v>846.90309999999999</v>
      </c>
      <c r="D11733" s="2">
        <f>HYPERLINK("http://mcb-m6.bioreg.kyushu-u.ac.jp/M3/20110421/F51035/2494/1", 99.37)</f>
        <v>99.37</v>
      </c>
      <c r="E11733" s="2">
        <v>80.22</v>
      </c>
      <c r="F11733" s="2">
        <v>2</v>
      </c>
      <c r="G11733" s="2" t="s">
        <v>11</v>
      </c>
    </row>
    <row r="11734" spans="1:7" x14ac:dyDescent="0.2">
      <c r="A11734" s="2" t="s">
        <v>4280</v>
      </c>
      <c r="B11734" s="2" t="s">
        <v>5587</v>
      </c>
      <c r="C11734" s="2">
        <v>847.19870000000003</v>
      </c>
      <c r="D11734" s="2">
        <f>HYPERLINK("http://mcb-m6.bioreg.kyushu-u.ac.jp/M3/20110428/F51127/2490/1", 94.61)</f>
        <v>94.61</v>
      </c>
      <c r="E11734" s="2">
        <v>71.63</v>
      </c>
      <c r="F11734" s="2">
        <v>2</v>
      </c>
      <c r="G11734" s="2" t="s">
        <v>13</v>
      </c>
    </row>
    <row r="11735" spans="1:7" x14ac:dyDescent="0.2">
      <c r="A11735" s="2" t="s">
        <v>3385</v>
      </c>
      <c r="B11735" s="2" t="s">
        <v>178</v>
      </c>
      <c r="C11735" s="2">
        <v>991.88170000000002</v>
      </c>
      <c r="D11735" s="2">
        <f>HYPERLINK("http://mcb-m6.bioreg.kyushu-u.ac.jp/M3/20110404/F50777/2831/1", 68.8)</f>
        <v>68.8</v>
      </c>
      <c r="E11735" s="2">
        <v>59.65</v>
      </c>
      <c r="F11735" s="2">
        <v>2</v>
      </c>
      <c r="G11735" s="2" t="s">
        <v>9</v>
      </c>
    </row>
    <row r="11736" spans="1:7" x14ac:dyDescent="0.2">
      <c r="A11736" s="2" t="s">
        <v>3385</v>
      </c>
      <c r="B11736" s="2" t="s">
        <v>178</v>
      </c>
      <c r="C11736" s="2">
        <v>991.43769999999995</v>
      </c>
      <c r="D11736" s="2">
        <f>HYPERLINK("http://mcb-m6.bioreg.kyushu-u.ac.jp/M3/20110404/F50774/2677/1", 66.89)</f>
        <v>66.89</v>
      </c>
      <c r="E11736" s="2">
        <v>54.6</v>
      </c>
      <c r="F11736" s="2">
        <v>2</v>
      </c>
      <c r="G11736" s="2" t="s">
        <v>10</v>
      </c>
    </row>
    <row r="11737" spans="1:7" x14ac:dyDescent="0.2">
      <c r="A11737" s="2" t="s">
        <v>3385</v>
      </c>
      <c r="B11737" s="2" t="s">
        <v>178</v>
      </c>
      <c r="C11737" s="2">
        <v>991.42359999999996</v>
      </c>
      <c r="D11737" s="2">
        <f>HYPERLINK("http://mcb-m6.bioreg.kyushu-u.ac.jp/M3/20110421/F51037/3353/1", 39.76)</f>
        <v>39.76</v>
      </c>
      <c r="E11737" s="2">
        <v>32.54</v>
      </c>
      <c r="F11737" s="2">
        <v>2</v>
      </c>
      <c r="G11737" s="2" t="s">
        <v>11</v>
      </c>
    </row>
    <row r="11738" spans="1:7" x14ac:dyDescent="0.2">
      <c r="A11738" s="2" t="s">
        <v>3385</v>
      </c>
      <c r="B11738" s="2" t="s">
        <v>178</v>
      </c>
      <c r="C11738" s="2">
        <v>991.75670000000002</v>
      </c>
      <c r="D11738" s="2">
        <f>HYPERLINK("http://mcb-m6.bioreg.kyushu-u.ac.jp/M3/20110421/F51037/3356/1", 42.24)</f>
        <v>42.24</v>
      </c>
      <c r="E11738" s="2">
        <v>19.46</v>
      </c>
      <c r="F11738" s="2">
        <v>2</v>
      </c>
      <c r="G11738" s="2" t="s">
        <v>11</v>
      </c>
    </row>
    <row r="11739" spans="1:7" x14ac:dyDescent="0.2">
      <c r="A11739" s="2" t="s">
        <v>3385</v>
      </c>
      <c r="B11739" s="2" t="s">
        <v>178</v>
      </c>
      <c r="C11739" s="2">
        <v>991.36360000000002</v>
      </c>
      <c r="D11739" s="2">
        <f>HYPERLINK("http://mcb-m6.bioreg.kyushu-u.ac.jp/M3/20110421/F51047/3068/1", 74.98)</f>
        <v>74.98</v>
      </c>
      <c r="E11739" s="2">
        <v>60.65</v>
      </c>
      <c r="F11739" s="2">
        <v>2</v>
      </c>
      <c r="G11739" s="2" t="s">
        <v>12</v>
      </c>
    </row>
    <row r="11740" spans="1:7" x14ac:dyDescent="0.2">
      <c r="A11740" s="2" t="s">
        <v>3385</v>
      </c>
      <c r="B11740" s="2" t="s">
        <v>178</v>
      </c>
      <c r="C11740" s="2">
        <v>991.76009999999997</v>
      </c>
      <c r="D11740" s="2">
        <f>HYPERLINK("http://mcb-m6.bioreg.kyushu-u.ac.jp/M3/20110428/F51129/3008/1", 60.75)</f>
        <v>60.75</v>
      </c>
      <c r="E11740" s="2">
        <v>52.63</v>
      </c>
      <c r="F11740" s="2">
        <v>2</v>
      </c>
      <c r="G11740" s="2" t="s">
        <v>14</v>
      </c>
    </row>
    <row r="11741" spans="1:7" x14ac:dyDescent="0.2">
      <c r="A11741" s="2" t="s">
        <v>3360</v>
      </c>
      <c r="B11741" s="2" t="s">
        <v>327</v>
      </c>
      <c r="C11741" s="2">
        <v>741.11609999999996</v>
      </c>
      <c r="D11741" s="2">
        <f>HYPERLINK("http://mcb-m6.bioreg.kyushu-u.ac.jp/M3/20110404/F50777/1925/1", 36.83)</f>
        <v>36.83</v>
      </c>
      <c r="E11741" s="2">
        <v>22.61</v>
      </c>
      <c r="F11741" s="2">
        <v>2</v>
      </c>
      <c r="G11741" s="2" t="s">
        <v>9</v>
      </c>
    </row>
    <row r="11742" spans="1:7" x14ac:dyDescent="0.2">
      <c r="A11742" s="2" t="s">
        <v>3360</v>
      </c>
      <c r="B11742" s="2" t="s">
        <v>152</v>
      </c>
      <c r="C11742" s="2">
        <v>541.29219999999998</v>
      </c>
      <c r="D11742" s="2">
        <f>HYPERLINK("http://mcb-m6.bioreg.kyushu-u.ac.jp/M3/20110404/F50763/1215/1", 40.6)</f>
        <v>40.6</v>
      </c>
      <c r="E11742" s="2">
        <v>19.27</v>
      </c>
      <c r="F11742" s="2">
        <v>2</v>
      </c>
      <c r="G11742" s="2" t="s">
        <v>9</v>
      </c>
    </row>
    <row r="11743" spans="1:7" x14ac:dyDescent="0.2">
      <c r="A11743" s="2" t="s">
        <v>3360</v>
      </c>
      <c r="B11743" s="2" t="s">
        <v>452</v>
      </c>
      <c r="C11743" s="2">
        <v>894.45320000000004</v>
      </c>
      <c r="D11743" s="2">
        <f>HYPERLINK("http://mcb-m6.bioreg.kyushu-u.ac.jp/M3/20110404/F50778/2563/1", 41.19)</f>
        <v>41.19</v>
      </c>
      <c r="E11743" s="2">
        <v>28.54</v>
      </c>
      <c r="F11743" s="2">
        <v>2</v>
      </c>
      <c r="G11743" s="2" t="s">
        <v>9</v>
      </c>
    </row>
    <row r="11744" spans="1:7" x14ac:dyDescent="0.2">
      <c r="A11744" s="2" t="s">
        <v>3360</v>
      </c>
      <c r="B11744" s="2" t="s">
        <v>504</v>
      </c>
      <c r="C11744" s="2">
        <v>773.32299999999998</v>
      </c>
      <c r="D11744" s="2">
        <f>HYPERLINK("http://mcb-m6.bioreg.kyushu-u.ac.jp/M3/20110404/F50777/674/1", 46.9)</f>
        <v>46.9</v>
      </c>
      <c r="E11744" s="2">
        <v>24.74</v>
      </c>
      <c r="F11744" s="2">
        <v>1</v>
      </c>
      <c r="G11744" s="2" t="s">
        <v>9</v>
      </c>
    </row>
    <row r="11745" spans="1:7" x14ac:dyDescent="0.2">
      <c r="A11745" s="2" t="s">
        <v>3360</v>
      </c>
      <c r="B11745" s="2" t="s">
        <v>327</v>
      </c>
      <c r="C11745" s="2">
        <v>740.91359999999997</v>
      </c>
      <c r="D11745" s="2">
        <f>HYPERLINK("http://mcb-m6.bioreg.kyushu-u.ac.jp/M3/20110404/F50777/1924/1", 47.86)</f>
        <v>47.86</v>
      </c>
      <c r="E11745" s="2">
        <v>30.92</v>
      </c>
      <c r="F11745" s="2">
        <v>2</v>
      </c>
      <c r="G11745" s="2" t="s">
        <v>9</v>
      </c>
    </row>
    <row r="11746" spans="1:7" x14ac:dyDescent="0.2">
      <c r="A11746" s="2" t="s">
        <v>3360</v>
      </c>
      <c r="B11746" s="2" t="s">
        <v>152</v>
      </c>
      <c r="C11746" s="2">
        <v>1081.691</v>
      </c>
      <c r="D11746" s="2">
        <f>HYPERLINK("http://mcb-m6.bioreg.kyushu-u.ac.jp/M3/20110404/F50777/1135/1", 49.88)</f>
        <v>49.88</v>
      </c>
      <c r="E11746" s="2">
        <v>34.18</v>
      </c>
      <c r="F11746" s="2">
        <v>1</v>
      </c>
      <c r="G11746" s="2" t="s">
        <v>9</v>
      </c>
    </row>
    <row r="11747" spans="1:7" x14ac:dyDescent="0.2">
      <c r="A11747" s="2" t="s">
        <v>3360</v>
      </c>
      <c r="B11747" s="2" t="s">
        <v>911</v>
      </c>
      <c r="C11747" s="2">
        <v>627.32420000000002</v>
      </c>
      <c r="D11747" s="2">
        <f>HYPERLINK("http://mcb-m6.bioreg.kyushu-u.ac.jp/M3/20110404/F50763/1500/1", 60.59)</f>
        <v>60.59</v>
      </c>
      <c r="E11747" s="2">
        <v>34.17</v>
      </c>
      <c r="F11747" s="2">
        <v>2</v>
      </c>
      <c r="G11747" s="2" t="s">
        <v>9</v>
      </c>
    </row>
    <row r="11748" spans="1:7" x14ac:dyDescent="0.2">
      <c r="A11748" s="2" t="s">
        <v>3360</v>
      </c>
      <c r="B11748" s="2" t="s">
        <v>152</v>
      </c>
      <c r="C11748" s="2">
        <v>541.22919999999999</v>
      </c>
      <c r="D11748" s="2">
        <f>HYPERLINK("http://mcb-m6.bioreg.kyushu-u.ac.jp/M3/20110404/F50777/1133/1", 64.18)</f>
        <v>64.180000000000007</v>
      </c>
      <c r="E11748" s="2">
        <v>35.380000000000003</v>
      </c>
      <c r="F11748" s="2">
        <v>2</v>
      </c>
      <c r="G11748" s="2" t="s">
        <v>9</v>
      </c>
    </row>
    <row r="11749" spans="1:7" x14ac:dyDescent="0.2">
      <c r="A11749" s="2" t="s">
        <v>3360</v>
      </c>
      <c r="B11749" s="2" t="s">
        <v>911</v>
      </c>
      <c r="C11749" s="2">
        <v>1253.595</v>
      </c>
      <c r="D11749" s="2">
        <f>HYPERLINK("http://mcb-m6.bioreg.kyushu-u.ac.jp/M3/20110404/F50777/1433/1", 70.93)</f>
        <v>70.930000000000007</v>
      </c>
      <c r="E11749" s="2">
        <v>48.12</v>
      </c>
      <c r="F11749" s="2">
        <v>1</v>
      </c>
      <c r="G11749" s="2" t="s">
        <v>9</v>
      </c>
    </row>
    <row r="11750" spans="1:7" x14ac:dyDescent="0.2">
      <c r="A11750" s="2" t="s">
        <v>3360</v>
      </c>
      <c r="B11750" s="2" t="s">
        <v>327</v>
      </c>
      <c r="C11750" s="2">
        <v>740.7482</v>
      </c>
      <c r="D11750" s="2">
        <f>HYPERLINK("http://mcb-m6.bioreg.kyushu-u.ac.jp/M3/20110404/F50774/1892/1", 37.68)</f>
        <v>37.68</v>
      </c>
      <c r="E11750" s="2">
        <v>11.31</v>
      </c>
      <c r="F11750" s="2">
        <v>2</v>
      </c>
      <c r="G11750" s="2" t="s">
        <v>10</v>
      </c>
    </row>
    <row r="11751" spans="1:7" x14ac:dyDescent="0.2">
      <c r="A11751" s="2" t="s">
        <v>3360</v>
      </c>
      <c r="B11751" s="2" t="s">
        <v>152</v>
      </c>
      <c r="C11751" s="2">
        <v>1081.441</v>
      </c>
      <c r="D11751" s="2">
        <f>HYPERLINK("http://mcb-m6.bioreg.kyushu-u.ac.jp/M3/20110404/F50774/1173/1", 42.94)</f>
        <v>42.94</v>
      </c>
      <c r="E11751" s="2">
        <v>27.07</v>
      </c>
      <c r="F11751" s="2">
        <v>1</v>
      </c>
      <c r="G11751" s="2" t="s">
        <v>10</v>
      </c>
    </row>
    <row r="11752" spans="1:7" x14ac:dyDescent="0.2">
      <c r="A11752" s="2" t="s">
        <v>3360</v>
      </c>
      <c r="B11752" s="2" t="s">
        <v>327</v>
      </c>
      <c r="C11752" s="2">
        <v>740.94669999999996</v>
      </c>
      <c r="D11752" s="2">
        <f>HYPERLINK("http://mcb-m6.bioreg.kyushu-u.ac.jp/M3/20110404/F50774/1893/1", 59.72)</f>
        <v>59.72</v>
      </c>
      <c r="E11752" s="2">
        <v>41.49</v>
      </c>
      <c r="F11752" s="2">
        <v>2</v>
      </c>
      <c r="G11752" s="2" t="s">
        <v>10</v>
      </c>
    </row>
    <row r="11753" spans="1:7" x14ac:dyDescent="0.2">
      <c r="A11753" s="2" t="s">
        <v>3360</v>
      </c>
      <c r="B11753" s="2" t="s">
        <v>152</v>
      </c>
      <c r="C11753" s="2">
        <v>541.28420000000006</v>
      </c>
      <c r="D11753" s="2">
        <f>HYPERLINK("http://mcb-m6.bioreg.kyushu-u.ac.jp/M3/20110404/F50774/1174/1", 64.13)</f>
        <v>64.13</v>
      </c>
      <c r="E11753" s="2">
        <v>39.81</v>
      </c>
      <c r="F11753" s="2">
        <v>2</v>
      </c>
      <c r="G11753" s="2" t="s">
        <v>10</v>
      </c>
    </row>
    <row r="11754" spans="1:7" x14ac:dyDescent="0.2">
      <c r="A11754" s="2" t="s">
        <v>3360</v>
      </c>
      <c r="B11754" s="2" t="s">
        <v>911</v>
      </c>
      <c r="C11754" s="2">
        <v>1253.566</v>
      </c>
      <c r="D11754" s="2">
        <f>HYPERLINK("http://mcb-m6.bioreg.kyushu-u.ac.jp/M3/20110404/F50774/1458/1", 69.28)</f>
        <v>69.28</v>
      </c>
      <c r="E11754" s="2">
        <v>50.13</v>
      </c>
      <c r="F11754" s="2">
        <v>1</v>
      </c>
      <c r="G11754" s="2" t="s">
        <v>10</v>
      </c>
    </row>
    <row r="11755" spans="1:7" x14ac:dyDescent="0.2">
      <c r="A11755" s="2" t="s">
        <v>3360</v>
      </c>
      <c r="B11755" s="2" t="s">
        <v>452</v>
      </c>
      <c r="C11755" s="2">
        <v>894.45820000000003</v>
      </c>
      <c r="D11755" s="2">
        <f>HYPERLINK("http://mcb-m6.bioreg.kyushu-u.ac.jp/M3/20110404/F50774/2431/1", 86.19)</f>
        <v>86.19</v>
      </c>
      <c r="E11755" s="2">
        <v>70.58</v>
      </c>
      <c r="F11755" s="2">
        <v>2</v>
      </c>
      <c r="G11755" s="2" t="s">
        <v>10</v>
      </c>
    </row>
    <row r="11756" spans="1:7" x14ac:dyDescent="0.2">
      <c r="A11756" s="2" t="s">
        <v>3360</v>
      </c>
      <c r="B11756" s="2" t="s">
        <v>152</v>
      </c>
      <c r="C11756" s="2">
        <v>1081.414</v>
      </c>
      <c r="D11756" s="2">
        <f>HYPERLINK("http://mcb-m6.bioreg.kyushu-u.ac.jp/M3/20110421/F51037/924/1", 42.81)</f>
        <v>42.81</v>
      </c>
      <c r="E11756" s="2">
        <v>26.1</v>
      </c>
      <c r="F11756" s="2">
        <v>1</v>
      </c>
      <c r="G11756" s="2" t="s">
        <v>11</v>
      </c>
    </row>
    <row r="11757" spans="1:7" x14ac:dyDescent="0.2">
      <c r="A11757" s="2" t="s">
        <v>3360</v>
      </c>
      <c r="B11757" s="2" t="s">
        <v>184</v>
      </c>
      <c r="C11757" s="2">
        <v>783.86109999999996</v>
      </c>
      <c r="D11757" s="2">
        <f>HYPERLINK("http://mcb-m6.bioreg.kyushu-u.ac.jp/M3/20110421/F51037/2288/1", 43.27)</f>
        <v>43.27</v>
      </c>
      <c r="E11757" s="2">
        <v>25.09</v>
      </c>
      <c r="F11757" s="2">
        <v>2</v>
      </c>
      <c r="G11757" s="2" t="s">
        <v>11</v>
      </c>
    </row>
    <row r="11758" spans="1:7" x14ac:dyDescent="0.2">
      <c r="A11758" s="2" t="s">
        <v>3360</v>
      </c>
      <c r="B11758" s="2" t="s">
        <v>452</v>
      </c>
      <c r="C11758" s="2">
        <v>894.35969999999998</v>
      </c>
      <c r="D11758" s="2">
        <f>HYPERLINK("http://mcb-m6.bioreg.kyushu-u.ac.jp/M3/20110421/F51037/2924/1", 52)</f>
        <v>52</v>
      </c>
      <c r="E11758" s="2">
        <v>31.99</v>
      </c>
      <c r="F11758" s="2">
        <v>2</v>
      </c>
      <c r="G11758" s="2" t="s">
        <v>11</v>
      </c>
    </row>
    <row r="11759" spans="1:7" x14ac:dyDescent="0.2">
      <c r="A11759" s="2" t="s">
        <v>3360</v>
      </c>
      <c r="B11759" s="2" t="s">
        <v>452</v>
      </c>
      <c r="C11759" s="2">
        <v>894.74959999999999</v>
      </c>
      <c r="D11759" s="2">
        <f>HYPERLINK("http://mcb-m6.bioreg.kyushu-u.ac.jp/M3/20110421/F51037/2931/1", 53.32)</f>
        <v>53.32</v>
      </c>
      <c r="E11759" s="2">
        <v>32.46</v>
      </c>
      <c r="F11759" s="2">
        <v>2</v>
      </c>
      <c r="G11759" s="2" t="s">
        <v>11</v>
      </c>
    </row>
    <row r="11760" spans="1:7" x14ac:dyDescent="0.2">
      <c r="A11760" s="2" t="s">
        <v>3360</v>
      </c>
      <c r="B11760" s="2" t="s">
        <v>452</v>
      </c>
      <c r="C11760" s="2">
        <v>894.60860000000002</v>
      </c>
      <c r="D11760" s="2">
        <f>HYPERLINK("http://mcb-m6.bioreg.kyushu-u.ac.jp/M3/20110421/F51037/2928/1", 57.56)</f>
        <v>57.56</v>
      </c>
      <c r="E11760" s="2">
        <v>35.81</v>
      </c>
      <c r="F11760" s="2">
        <v>2</v>
      </c>
      <c r="G11760" s="2" t="s">
        <v>11</v>
      </c>
    </row>
    <row r="11761" spans="1:7" x14ac:dyDescent="0.2">
      <c r="A11761" s="2" t="s">
        <v>3360</v>
      </c>
      <c r="B11761" s="2" t="s">
        <v>966</v>
      </c>
      <c r="C11761" s="2">
        <v>564.76289999999995</v>
      </c>
      <c r="D11761" s="2">
        <f>HYPERLINK("http://mcb-m6.bioreg.kyushu-u.ac.jp/M3/20110421/F51037/2672/1", 59.66)</f>
        <v>59.66</v>
      </c>
      <c r="E11761" s="2">
        <v>44.5</v>
      </c>
      <c r="F11761" s="2">
        <v>3</v>
      </c>
      <c r="G11761" s="2" t="s">
        <v>11</v>
      </c>
    </row>
    <row r="11762" spans="1:7" x14ac:dyDescent="0.2">
      <c r="A11762" s="2" t="s">
        <v>3360</v>
      </c>
      <c r="B11762" s="2" t="s">
        <v>452</v>
      </c>
      <c r="C11762" s="2">
        <v>894.46559999999999</v>
      </c>
      <c r="D11762" s="2">
        <f>HYPERLINK("http://mcb-m6.bioreg.kyushu-u.ac.jp/M3/20110421/F51037/2926/1", 66.23)</f>
        <v>66.23</v>
      </c>
      <c r="E11762" s="2">
        <v>54.02</v>
      </c>
      <c r="F11762" s="2">
        <v>2</v>
      </c>
      <c r="G11762" s="2" t="s">
        <v>11</v>
      </c>
    </row>
    <row r="11763" spans="1:7" x14ac:dyDescent="0.2">
      <c r="A11763" s="2" t="s">
        <v>3360</v>
      </c>
      <c r="B11763" s="2" t="s">
        <v>452</v>
      </c>
      <c r="C11763" s="2">
        <v>894.32460000000003</v>
      </c>
      <c r="D11763" s="2">
        <f>HYPERLINK("http://mcb-m6.bioreg.kyushu-u.ac.jp/M3/20110421/F51037/2923/1", 70.92)</f>
        <v>70.92</v>
      </c>
      <c r="E11763" s="2">
        <v>60.07</v>
      </c>
      <c r="F11763" s="2">
        <v>2</v>
      </c>
      <c r="G11763" s="2" t="s">
        <v>11</v>
      </c>
    </row>
    <row r="11764" spans="1:7" x14ac:dyDescent="0.2">
      <c r="A11764" s="2" t="s">
        <v>3360</v>
      </c>
      <c r="B11764" s="2" t="s">
        <v>966</v>
      </c>
      <c r="C11764" s="2">
        <v>846.37270000000001</v>
      </c>
      <c r="D11764" s="2">
        <f>HYPERLINK("http://mcb-m6.bioreg.kyushu-u.ac.jp/M3/20110421/F51037/2669/1", 77.59)</f>
        <v>77.59</v>
      </c>
      <c r="E11764" s="2">
        <v>60.9</v>
      </c>
      <c r="F11764" s="2">
        <v>2</v>
      </c>
      <c r="G11764" s="2" t="s">
        <v>11</v>
      </c>
    </row>
    <row r="11765" spans="1:7" x14ac:dyDescent="0.2">
      <c r="A11765" s="2" t="s">
        <v>3360</v>
      </c>
      <c r="B11765" s="2" t="s">
        <v>452</v>
      </c>
      <c r="C11765" s="2">
        <v>894.91060000000004</v>
      </c>
      <c r="D11765" s="2">
        <f>HYPERLINK("http://mcb-m6.bioreg.kyushu-u.ac.jp/M3/20110421/F51037/2938/1", 82.55)</f>
        <v>82.55</v>
      </c>
      <c r="E11765" s="2">
        <v>65.67</v>
      </c>
      <c r="F11765" s="2">
        <v>2</v>
      </c>
      <c r="G11765" s="2" t="s">
        <v>11</v>
      </c>
    </row>
    <row r="11766" spans="1:7" x14ac:dyDescent="0.2">
      <c r="A11766" s="2" t="s">
        <v>3360</v>
      </c>
      <c r="B11766" s="2" t="s">
        <v>452</v>
      </c>
      <c r="C11766" s="2">
        <v>894.83619999999996</v>
      </c>
      <c r="D11766" s="2">
        <f>HYPERLINK("http://mcb-m6.bioreg.kyushu-u.ac.jp/M3/20110421/F51037/2937/1", 93.32)</f>
        <v>93.32</v>
      </c>
      <c r="E11766" s="2">
        <v>74.2</v>
      </c>
      <c r="F11766" s="2">
        <v>2</v>
      </c>
      <c r="G11766" s="2" t="s">
        <v>11</v>
      </c>
    </row>
    <row r="11767" spans="1:7" x14ac:dyDescent="0.2">
      <c r="A11767" s="2" t="s">
        <v>3360</v>
      </c>
      <c r="B11767" s="2" t="s">
        <v>452</v>
      </c>
      <c r="C11767" s="2">
        <v>894.87459999999999</v>
      </c>
      <c r="D11767" s="2">
        <f>HYPERLINK("http://mcb-m6.bioreg.kyushu-u.ac.jp/M3/20110421/F51047/2792/1", 41.01)</f>
        <v>41.01</v>
      </c>
      <c r="E11767" s="2">
        <v>33.020000000000003</v>
      </c>
      <c r="F11767" s="2">
        <v>2</v>
      </c>
      <c r="G11767" s="2" t="s">
        <v>12</v>
      </c>
    </row>
    <row r="11768" spans="1:7" x14ac:dyDescent="0.2">
      <c r="A11768" s="2" t="s">
        <v>3360</v>
      </c>
      <c r="B11768" s="2" t="s">
        <v>152</v>
      </c>
      <c r="C11768" s="2">
        <v>1081.6389999999999</v>
      </c>
      <c r="D11768" s="2">
        <f>HYPERLINK("http://mcb-m6.bioreg.kyushu-u.ac.jp/M3/20110421/F51047/1179/1", 42.86)</f>
        <v>42.86</v>
      </c>
      <c r="E11768" s="2">
        <v>25.33</v>
      </c>
      <c r="F11768" s="2">
        <v>1</v>
      </c>
      <c r="G11768" s="2" t="s">
        <v>12</v>
      </c>
    </row>
    <row r="11769" spans="1:7" x14ac:dyDescent="0.2">
      <c r="A11769" s="2" t="s">
        <v>3360</v>
      </c>
      <c r="B11769" s="2" t="s">
        <v>966</v>
      </c>
      <c r="C11769" s="2">
        <v>564.62850000000003</v>
      </c>
      <c r="D11769" s="2">
        <f>HYPERLINK("http://mcb-m6.bioreg.kyushu-u.ac.jp/M3/20110421/F51047/2597/1", 43.07)</f>
        <v>43.07</v>
      </c>
      <c r="E11769" s="2">
        <v>31.26</v>
      </c>
      <c r="F11769" s="2">
        <v>3</v>
      </c>
      <c r="G11769" s="2" t="s">
        <v>12</v>
      </c>
    </row>
    <row r="11770" spans="1:7" x14ac:dyDescent="0.2">
      <c r="A11770" s="2" t="s">
        <v>3360</v>
      </c>
      <c r="B11770" s="2" t="s">
        <v>452</v>
      </c>
      <c r="C11770" s="2">
        <v>894.47860000000003</v>
      </c>
      <c r="D11770" s="2">
        <f>HYPERLINK("http://mcb-m6.bioreg.kyushu-u.ac.jp/M3/20110421/F51047/2790/1", 52.42)</f>
        <v>52.42</v>
      </c>
      <c r="E11770" s="2">
        <v>45.72</v>
      </c>
      <c r="F11770" s="2">
        <v>2</v>
      </c>
      <c r="G11770" s="2" t="s">
        <v>12</v>
      </c>
    </row>
    <row r="11771" spans="1:7" x14ac:dyDescent="0.2">
      <c r="A11771" s="2" t="s">
        <v>3360</v>
      </c>
      <c r="B11771" s="2" t="s">
        <v>152</v>
      </c>
      <c r="C11771" s="2">
        <v>541.40419999999995</v>
      </c>
      <c r="D11771" s="2">
        <f>HYPERLINK("http://mcb-m6.bioreg.kyushu-u.ac.jp/M3/20110421/F51047/1180/1", 67.35)</f>
        <v>67.349999999999994</v>
      </c>
      <c r="E11771" s="2">
        <v>39.79</v>
      </c>
      <c r="F11771" s="2">
        <v>2</v>
      </c>
      <c r="G11771" s="2" t="s">
        <v>12</v>
      </c>
    </row>
    <row r="11772" spans="1:7" x14ac:dyDescent="0.2">
      <c r="A11772" s="2" t="s">
        <v>3360</v>
      </c>
      <c r="B11772" s="2" t="s">
        <v>966</v>
      </c>
      <c r="C11772" s="2">
        <v>846.48910000000001</v>
      </c>
      <c r="D11772" s="2">
        <f>HYPERLINK("http://mcb-m6.bioreg.kyushu-u.ac.jp/M3/20110421/F51047/2598/1", 78.12)</f>
        <v>78.12</v>
      </c>
      <c r="E11772" s="2">
        <v>63.97</v>
      </c>
      <c r="F11772" s="2">
        <v>2</v>
      </c>
      <c r="G11772" s="2" t="s">
        <v>12</v>
      </c>
    </row>
    <row r="11773" spans="1:7" x14ac:dyDescent="0.2">
      <c r="A11773" s="2" t="s">
        <v>3360</v>
      </c>
      <c r="B11773" s="2" t="s">
        <v>966</v>
      </c>
      <c r="C11773" s="2">
        <v>564.49450000000002</v>
      </c>
      <c r="D11773" s="2">
        <f>HYPERLINK("http://mcb-m6.bioreg.kyushu-u.ac.jp/M3/20110428/F51132/2554/1", 37.83)</f>
        <v>37.83</v>
      </c>
      <c r="E11773" s="2">
        <v>18.22</v>
      </c>
      <c r="F11773" s="2">
        <v>3</v>
      </c>
      <c r="G11773" s="2" t="s">
        <v>13</v>
      </c>
    </row>
    <row r="11774" spans="1:7" x14ac:dyDescent="0.2">
      <c r="A11774" s="2" t="s">
        <v>3360</v>
      </c>
      <c r="B11774" s="2" t="s">
        <v>452</v>
      </c>
      <c r="C11774" s="2">
        <v>596.44889999999998</v>
      </c>
      <c r="D11774" s="2">
        <f>HYPERLINK("http://mcb-m6.bioreg.kyushu-u.ac.jp/M3/20110428/F51132/2753/1", 42.04)</f>
        <v>42.04</v>
      </c>
      <c r="E11774" s="2">
        <v>23.68</v>
      </c>
      <c r="F11774" s="2">
        <v>3</v>
      </c>
      <c r="G11774" s="2" t="s">
        <v>13</v>
      </c>
    </row>
    <row r="11775" spans="1:7" x14ac:dyDescent="0.2">
      <c r="A11775" s="2" t="s">
        <v>3360</v>
      </c>
      <c r="B11775" s="2" t="s">
        <v>966</v>
      </c>
      <c r="C11775" s="2">
        <v>846.24270000000001</v>
      </c>
      <c r="D11775" s="2">
        <f>HYPERLINK("http://mcb-m6.bioreg.kyushu-u.ac.jp/M3/20110428/F51132/2555/1", 46.11)</f>
        <v>46.11</v>
      </c>
      <c r="E11775" s="2">
        <v>33.619999999999997</v>
      </c>
      <c r="F11775" s="2">
        <v>2</v>
      </c>
      <c r="G11775" s="2" t="s">
        <v>13</v>
      </c>
    </row>
    <row r="11776" spans="1:7" x14ac:dyDescent="0.2">
      <c r="A11776" s="2" t="s">
        <v>3360</v>
      </c>
      <c r="B11776" s="2" t="s">
        <v>327</v>
      </c>
      <c r="C11776" s="2">
        <v>741.29470000000003</v>
      </c>
      <c r="D11776" s="2">
        <f>HYPERLINK("http://mcb-m6.bioreg.kyushu-u.ac.jp/M3/20110428/F51131/1803/1", 46.32)</f>
        <v>46.32</v>
      </c>
      <c r="E11776" s="2">
        <v>30.76</v>
      </c>
      <c r="F11776" s="2">
        <v>2</v>
      </c>
      <c r="G11776" s="2" t="s">
        <v>13</v>
      </c>
    </row>
    <row r="11777" spans="1:9" x14ac:dyDescent="0.2">
      <c r="A11777" s="2" t="s">
        <v>3360</v>
      </c>
      <c r="B11777" s="2" t="s">
        <v>184</v>
      </c>
      <c r="C11777" s="2">
        <v>783.70259999999996</v>
      </c>
      <c r="D11777" s="2">
        <f>HYPERLINK("http://mcb-m6.bioreg.kyushu-u.ac.jp/M3/20110428/F51132/2265/1", 52.97)</f>
        <v>52.97</v>
      </c>
      <c r="E11777" s="2">
        <v>27.54</v>
      </c>
      <c r="F11777" s="2">
        <v>2</v>
      </c>
      <c r="G11777" s="2" t="s">
        <v>13</v>
      </c>
    </row>
    <row r="11778" spans="1:9" x14ac:dyDescent="0.2">
      <c r="A11778" s="2" t="s">
        <v>3360</v>
      </c>
      <c r="B11778" s="2" t="s">
        <v>327</v>
      </c>
      <c r="C11778" s="2">
        <v>740.78470000000004</v>
      </c>
      <c r="D11778" s="2">
        <f>HYPERLINK("http://mcb-m6.bioreg.kyushu-u.ac.jp/M3/20110428/F51132/2002/1", 57.44)</f>
        <v>57.44</v>
      </c>
      <c r="E11778" s="2">
        <v>40.950000000000003</v>
      </c>
      <c r="F11778" s="2">
        <v>2</v>
      </c>
      <c r="G11778" s="2" t="s">
        <v>13</v>
      </c>
    </row>
    <row r="11779" spans="1:9" x14ac:dyDescent="0.2">
      <c r="A11779" s="2" t="s">
        <v>3360</v>
      </c>
      <c r="B11779" s="2" t="s">
        <v>152</v>
      </c>
      <c r="C11779" s="2">
        <v>541.18269999999995</v>
      </c>
      <c r="D11779" s="2">
        <f>HYPERLINK("http://mcb-m6.bioreg.kyushu-u.ac.jp/M3/20110428/F51132/1118/1", 62.3)</f>
        <v>62.3</v>
      </c>
      <c r="E11779" s="2">
        <v>37.24</v>
      </c>
      <c r="F11779" s="2">
        <v>2</v>
      </c>
      <c r="G11779" s="2" t="s">
        <v>13</v>
      </c>
    </row>
    <row r="11780" spans="1:9" x14ac:dyDescent="0.2">
      <c r="A11780" s="2" t="s">
        <v>3360</v>
      </c>
      <c r="B11780" s="2" t="s">
        <v>452</v>
      </c>
      <c r="C11780" s="2">
        <v>894.78560000000004</v>
      </c>
      <c r="D11780" s="2">
        <f>HYPERLINK("http://mcb-m6.bioreg.kyushu-u.ac.jp/M3/20110428/F51132/2757/1", 69.66)</f>
        <v>69.66</v>
      </c>
      <c r="E11780" s="2">
        <v>43.52</v>
      </c>
      <c r="F11780" s="2">
        <v>2</v>
      </c>
      <c r="G11780" s="2" t="s">
        <v>13</v>
      </c>
    </row>
    <row r="11781" spans="1:9" x14ac:dyDescent="0.2">
      <c r="A11781" s="2" t="s">
        <v>3360</v>
      </c>
      <c r="B11781" s="2" t="s">
        <v>452</v>
      </c>
      <c r="C11781" s="2">
        <v>894.20420000000001</v>
      </c>
      <c r="D11781" s="2">
        <f>HYPERLINK("http://mcb-m6.bioreg.kyushu-u.ac.jp/M3/20110428/F51132/2755/1", 90.93)</f>
        <v>90.93</v>
      </c>
      <c r="E11781" s="2">
        <v>63.03</v>
      </c>
      <c r="F11781" s="2">
        <v>2</v>
      </c>
      <c r="G11781" s="2" t="s">
        <v>13</v>
      </c>
    </row>
    <row r="11782" spans="1:9" x14ac:dyDescent="0.2">
      <c r="A11782" s="2" t="s">
        <v>3360</v>
      </c>
      <c r="B11782" s="2" t="s">
        <v>327</v>
      </c>
      <c r="C11782" s="2">
        <v>740.85519999999997</v>
      </c>
      <c r="D11782" s="2">
        <f>HYPERLINK("http://mcb-m6.bioreg.kyushu-u.ac.jp/M3/20110428/F51129/2052/1", 41.48)</f>
        <v>41.48</v>
      </c>
      <c r="E11782" s="2">
        <v>25.33</v>
      </c>
      <c r="F11782" s="2">
        <v>2</v>
      </c>
      <c r="G11782" s="2" t="s">
        <v>14</v>
      </c>
    </row>
    <row r="11783" spans="1:9" x14ac:dyDescent="0.2">
      <c r="A11783" s="2" t="s">
        <v>3360</v>
      </c>
      <c r="B11783" s="2" t="s">
        <v>184</v>
      </c>
      <c r="C11783" s="2">
        <v>783.23360000000002</v>
      </c>
      <c r="D11783" s="2">
        <f>HYPERLINK("http://mcb-m6.bioreg.kyushu-u.ac.jp/M3/20110428/F51129/2289/1", 46.12)</f>
        <v>46.12</v>
      </c>
      <c r="E11783" s="2">
        <v>22.24</v>
      </c>
      <c r="F11783" s="2">
        <v>2</v>
      </c>
      <c r="G11783" s="2" t="s">
        <v>14</v>
      </c>
    </row>
    <row r="11784" spans="1:9" x14ac:dyDescent="0.2">
      <c r="A11784" s="2" t="s">
        <v>3360</v>
      </c>
      <c r="B11784" s="2" t="s">
        <v>184</v>
      </c>
      <c r="C11784" s="2">
        <v>783.79319999999996</v>
      </c>
      <c r="D11784" s="2">
        <f>HYPERLINK("http://mcb-m6.bioreg.kyushu-u.ac.jp/M3/20110428/F51129/2296/1", 68.82)</f>
        <v>68.819999999999993</v>
      </c>
      <c r="E11784" s="2">
        <v>43.57</v>
      </c>
      <c r="F11784" s="2">
        <v>2</v>
      </c>
      <c r="G11784" s="2" t="s">
        <v>14</v>
      </c>
    </row>
    <row r="11785" spans="1:9" x14ac:dyDescent="0.2">
      <c r="A11785" s="2" t="s">
        <v>3360</v>
      </c>
      <c r="B11785" s="2" t="s">
        <v>966</v>
      </c>
      <c r="C11785" s="2">
        <v>846.26369999999997</v>
      </c>
      <c r="D11785" s="2">
        <f>HYPERLINK("http://mcb-m6.bioreg.kyushu-u.ac.jp/M3/20110428/F51129/2550/1", 70.81)</f>
        <v>70.81</v>
      </c>
      <c r="E11785" s="2">
        <v>59.25</v>
      </c>
      <c r="F11785" s="2">
        <v>2</v>
      </c>
      <c r="G11785" s="2" t="s">
        <v>14</v>
      </c>
    </row>
    <row r="11786" spans="1:9" x14ac:dyDescent="0.2">
      <c r="A11786" s="2" t="s">
        <v>3360</v>
      </c>
      <c r="B11786" s="2" t="s">
        <v>452</v>
      </c>
      <c r="C11786" s="2">
        <v>894.7097</v>
      </c>
      <c r="D11786" s="2">
        <f>HYPERLINK("http://mcb-m6.bioreg.kyushu-u.ac.jp/M3/20110428/F51129/2753/1", 82.4)</f>
        <v>82.4</v>
      </c>
      <c r="E11786" s="2">
        <v>53.05</v>
      </c>
      <c r="F11786" s="2">
        <v>2</v>
      </c>
      <c r="G11786" s="2" t="s">
        <v>14</v>
      </c>
    </row>
    <row r="11787" spans="1:9" x14ac:dyDescent="0.2">
      <c r="A11787" s="2" t="s">
        <v>3256</v>
      </c>
      <c r="B11787" s="2" t="s">
        <v>36</v>
      </c>
      <c r="C11787" s="2">
        <v>925.69119999999998</v>
      </c>
      <c r="D11787" s="2">
        <f>HYPERLINK("http://mcb-m6.bioreg.kyushu-u.ac.jp/M3/20110404/F50777/3447/1", 71.19)</f>
        <v>71.19</v>
      </c>
      <c r="E11787" s="2">
        <v>50.28</v>
      </c>
      <c r="F11787" s="2">
        <v>3</v>
      </c>
      <c r="G11787" s="2" t="s">
        <v>9</v>
      </c>
    </row>
    <row r="11788" spans="1:9" x14ac:dyDescent="0.2">
      <c r="A11788" s="2" t="s">
        <v>3256</v>
      </c>
      <c r="B11788" s="2" t="s">
        <v>36</v>
      </c>
      <c r="C11788" s="2">
        <v>1387.604</v>
      </c>
      <c r="D11788" s="2">
        <f>HYPERLINK("http://mcb-m6.bioreg.kyushu-u.ac.jp/M3/20110404/F50777/3446/1", 93.37)</f>
        <v>93.37</v>
      </c>
      <c r="E11788" s="2">
        <v>88.14</v>
      </c>
      <c r="F11788" s="2">
        <v>2</v>
      </c>
      <c r="G11788" s="2" t="s">
        <v>9</v>
      </c>
    </row>
    <row r="11789" spans="1:9" x14ac:dyDescent="0.2">
      <c r="A11789" s="2" t="s">
        <v>3256</v>
      </c>
      <c r="B11789" s="2" t="s">
        <v>36</v>
      </c>
      <c r="C11789" s="2">
        <v>1388.1489999999999</v>
      </c>
      <c r="D11789" s="2">
        <f>HYPERLINK("http://mcb-m6.bioreg.kyushu-u.ac.jp/M3/20110404/F50777/3448/1", 94.01)</f>
        <v>94.01</v>
      </c>
      <c r="E11789" s="2">
        <v>85.85</v>
      </c>
      <c r="F11789" s="2">
        <v>2</v>
      </c>
      <c r="G11789" s="2" t="s">
        <v>9</v>
      </c>
    </row>
    <row r="11790" spans="1:9" x14ac:dyDescent="0.2">
      <c r="A11790" s="2" t="s">
        <v>3256</v>
      </c>
      <c r="B11790" s="2" t="s">
        <v>36</v>
      </c>
      <c r="C11790" s="2">
        <v>920.09950000000003</v>
      </c>
      <c r="D11790" s="2">
        <f>HYPERLINK("http://mcb-m6.bioreg.kyushu-u.ac.jp/M3/20110428/F51132/3663/1", 44.12)</f>
        <v>44.12</v>
      </c>
      <c r="E11790" s="2">
        <v>30.25</v>
      </c>
      <c r="F11790" s="2">
        <v>3</v>
      </c>
      <c r="G11790" s="2" t="s">
        <v>13</v>
      </c>
      <c r="H11790" s="2" t="s">
        <v>4904</v>
      </c>
    </row>
    <row r="11791" spans="1:9" x14ac:dyDescent="0.2">
      <c r="A11791" s="2" t="s">
        <v>3488</v>
      </c>
      <c r="B11791" s="2" t="s">
        <v>1175</v>
      </c>
      <c r="C11791" s="2">
        <v>639.3972</v>
      </c>
      <c r="D11791" s="2">
        <f>HYPERLINK("http://mcb-m6.bioreg.kyushu-u.ac.jp/M3/20110404/F50778/1339/1", 51.34)</f>
        <v>51.34</v>
      </c>
      <c r="E11791" s="2">
        <v>27.38</v>
      </c>
      <c r="F11791" s="2">
        <v>2</v>
      </c>
      <c r="G11791" s="2" t="s">
        <v>9</v>
      </c>
      <c r="I11791" s="2" t="s">
        <v>4893</v>
      </c>
    </row>
    <row r="11792" spans="1:9" x14ac:dyDescent="0.2">
      <c r="A11792" s="2" t="s">
        <v>3488</v>
      </c>
      <c r="B11792" s="2" t="s">
        <v>1181</v>
      </c>
      <c r="C11792" s="2">
        <v>873.37070000000006</v>
      </c>
      <c r="D11792" s="2">
        <f>HYPERLINK("http://mcb-m6.bioreg.kyushu-u.ac.jp/M3/20110404/F50777/2428/1", 59.95)</f>
        <v>59.95</v>
      </c>
      <c r="E11792" s="2">
        <v>43.93</v>
      </c>
      <c r="F11792" s="2">
        <v>2</v>
      </c>
      <c r="G11792" s="2" t="s">
        <v>9</v>
      </c>
    </row>
    <row r="11793" spans="1:9" x14ac:dyDescent="0.2">
      <c r="A11793" s="2" t="s">
        <v>3488</v>
      </c>
      <c r="B11793" s="2" t="s">
        <v>6416</v>
      </c>
      <c r="C11793" s="2">
        <v>974.96619999999996</v>
      </c>
      <c r="D11793" s="2">
        <f>HYPERLINK("http://mcb-m6.bioreg.kyushu-u.ac.jp/M3/20110404/F50777/2785/1", 61.58)</f>
        <v>61.58</v>
      </c>
      <c r="E11793" s="2">
        <v>38.659999999999997</v>
      </c>
      <c r="F11793" s="2">
        <v>2</v>
      </c>
      <c r="G11793" s="2" t="s">
        <v>9</v>
      </c>
      <c r="I11793" s="2" t="s">
        <v>4893</v>
      </c>
    </row>
    <row r="11794" spans="1:9" x14ac:dyDescent="0.2">
      <c r="A11794" s="2" t="s">
        <v>3488</v>
      </c>
      <c r="B11794" s="2" t="s">
        <v>1175</v>
      </c>
      <c r="C11794" s="2">
        <v>639.3356</v>
      </c>
      <c r="D11794" s="2">
        <f>HYPERLINK("http://mcb-m6.bioreg.kyushu-u.ac.jp/M3/20110404/F50777/1477/1", 68.21)</f>
        <v>68.209999999999994</v>
      </c>
      <c r="E11794" s="2">
        <v>37.19</v>
      </c>
      <c r="F11794" s="2">
        <v>2</v>
      </c>
      <c r="G11794" s="2" t="s">
        <v>9</v>
      </c>
      <c r="I11794" s="2" t="s">
        <v>4893</v>
      </c>
    </row>
    <row r="11795" spans="1:9" x14ac:dyDescent="0.2">
      <c r="A11795" s="2" t="s">
        <v>3488</v>
      </c>
      <c r="B11795" s="2" t="s">
        <v>1396</v>
      </c>
      <c r="C11795" s="2">
        <v>873.95759999999996</v>
      </c>
      <c r="D11795" s="2">
        <f>HYPERLINK("http://mcb-m6.bioreg.kyushu-u.ac.jp/M3/20110404/F50777/2429/1", 77.76)</f>
        <v>77.760000000000005</v>
      </c>
      <c r="E11795" s="2">
        <v>53.51</v>
      </c>
      <c r="F11795" s="2">
        <v>2</v>
      </c>
      <c r="G11795" s="2" t="s">
        <v>9</v>
      </c>
      <c r="I11795" s="2" t="s">
        <v>4905</v>
      </c>
    </row>
    <row r="11796" spans="1:9" x14ac:dyDescent="0.2">
      <c r="A11796" s="2" t="s">
        <v>3488</v>
      </c>
      <c r="B11796" s="2" t="s">
        <v>1181</v>
      </c>
      <c r="C11796" s="2">
        <v>873.3442</v>
      </c>
      <c r="D11796" s="2">
        <f>HYPERLINK("http://mcb-m6.bioreg.kyushu-u.ac.jp/M3/20110404/F50774/2353/1", 42.95)</f>
        <v>42.95</v>
      </c>
      <c r="E11796" s="2">
        <v>28.7</v>
      </c>
      <c r="F11796" s="2">
        <v>2</v>
      </c>
      <c r="G11796" s="2" t="s">
        <v>10</v>
      </c>
    </row>
    <row r="11797" spans="1:9" x14ac:dyDescent="0.2">
      <c r="A11797" s="2" t="s">
        <v>3488</v>
      </c>
      <c r="B11797" s="2" t="s">
        <v>1175</v>
      </c>
      <c r="C11797" s="2">
        <v>639.32069999999999</v>
      </c>
      <c r="D11797" s="2">
        <f>HYPERLINK("http://mcb-m6.bioreg.kyushu-u.ac.jp/M3/20110404/F50774/1486/1", 74.7)</f>
        <v>74.7</v>
      </c>
      <c r="E11797" s="2">
        <v>45.91</v>
      </c>
      <c r="F11797" s="2">
        <v>2</v>
      </c>
      <c r="G11797" s="2" t="s">
        <v>10</v>
      </c>
      <c r="I11797" s="2" t="s">
        <v>4893</v>
      </c>
    </row>
    <row r="11798" spans="1:9" x14ac:dyDescent="0.2">
      <c r="A11798" s="2" t="s">
        <v>3488</v>
      </c>
      <c r="B11798" s="2" t="s">
        <v>317</v>
      </c>
      <c r="C11798" s="2">
        <v>472.77760000000001</v>
      </c>
      <c r="D11798" s="2">
        <f>HYPERLINK("http://mcb-m6.bioreg.kyushu-u.ac.jp/M3/20110421/F51039/781/1", 35.56)</f>
        <v>35.56</v>
      </c>
      <c r="E11798" s="2">
        <v>9.33</v>
      </c>
      <c r="F11798" s="2">
        <v>2</v>
      </c>
      <c r="G11798" s="2" t="s">
        <v>11</v>
      </c>
      <c r="I11798" s="2" t="s">
        <v>4890</v>
      </c>
    </row>
    <row r="11799" spans="1:9" x14ac:dyDescent="0.2">
      <c r="A11799" s="2" t="s">
        <v>3488</v>
      </c>
      <c r="B11799" s="2" t="s">
        <v>1175</v>
      </c>
      <c r="C11799" s="2">
        <v>639.09519999999998</v>
      </c>
      <c r="D11799" s="2">
        <f>HYPERLINK("http://mcb-m6.bioreg.kyushu-u.ac.jp/M3/20110428/F51132/1475/1", 51.76)</f>
        <v>51.76</v>
      </c>
      <c r="E11799" s="2">
        <v>23.43</v>
      </c>
      <c r="F11799" s="2">
        <v>2</v>
      </c>
      <c r="G11799" s="2" t="s">
        <v>13</v>
      </c>
      <c r="I11799" s="2" t="s">
        <v>4893</v>
      </c>
    </row>
    <row r="11800" spans="1:9" x14ac:dyDescent="0.2">
      <c r="A11800" s="2" t="s">
        <v>3383</v>
      </c>
      <c r="B11800" s="2" t="s">
        <v>368</v>
      </c>
      <c r="C11800" s="2">
        <v>825.53020000000004</v>
      </c>
      <c r="D11800" s="2">
        <f>HYPERLINK("http://mcb-m6.bioreg.kyushu-u.ac.jp/M3/20110404/F50777/2273/1", 50.68)</f>
        <v>50.68</v>
      </c>
      <c r="E11800" s="2">
        <v>39.840000000000003</v>
      </c>
      <c r="F11800" s="2">
        <v>2</v>
      </c>
      <c r="G11800" s="2" t="s">
        <v>9</v>
      </c>
    </row>
    <row r="11801" spans="1:9" x14ac:dyDescent="0.2">
      <c r="A11801" s="2" t="s">
        <v>3383</v>
      </c>
      <c r="B11801" s="2" t="s">
        <v>368</v>
      </c>
      <c r="C11801" s="2">
        <v>833.6191</v>
      </c>
      <c r="D11801" s="2">
        <f>HYPERLINK("http://mcb-m6.bioreg.kyushu-u.ac.jp/M3/20110404/F50777/2312/1", 51.96)</f>
        <v>51.96</v>
      </c>
      <c r="E11801" s="2">
        <v>43.02</v>
      </c>
      <c r="F11801" s="2">
        <v>2</v>
      </c>
      <c r="G11801" s="2" t="s">
        <v>9</v>
      </c>
      <c r="H11801" s="2" t="s">
        <v>4896</v>
      </c>
    </row>
    <row r="11802" spans="1:9" x14ac:dyDescent="0.2">
      <c r="A11802" s="2" t="s">
        <v>3383</v>
      </c>
      <c r="B11802" s="2" t="s">
        <v>368</v>
      </c>
      <c r="C11802" s="2">
        <v>1649.635</v>
      </c>
      <c r="D11802" s="2">
        <f>HYPERLINK("http://mcb-m6.bioreg.kyushu-u.ac.jp/M3/20110404/F50777/2272/1", 54.36)</f>
        <v>54.36</v>
      </c>
      <c r="E11802" s="2">
        <v>45.77</v>
      </c>
      <c r="F11802" s="2">
        <v>1</v>
      </c>
      <c r="G11802" s="2" t="s">
        <v>9</v>
      </c>
    </row>
    <row r="11803" spans="1:9" x14ac:dyDescent="0.2">
      <c r="A11803" s="2" t="s">
        <v>3383</v>
      </c>
      <c r="B11803" s="2" t="s">
        <v>368</v>
      </c>
      <c r="C11803" s="2">
        <v>825.42319999999995</v>
      </c>
      <c r="D11803" s="2">
        <f>HYPERLINK("http://mcb-m6.bioreg.kyushu-u.ac.jp/M3/20110404/F50765/2211/1", 60.53)</f>
        <v>60.53</v>
      </c>
      <c r="E11803" s="2">
        <v>47.73</v>
      </c>
      <c r="F11803" s="2">
        <v>2</v>
      </c>
      <c r="G11803" s="2" t="s">
        <v>9</v>
      </c>
    </row>
    <row r="11804" spans="1:9" x14ac:dyDescent="0.2">
      <c r="A11804" s="2" t="s">
        <v>3383</v>
      </c>
      <c r="B11804" s="2" t="s">
        <v>381</v>
      </c>
      <c r="C11804" s="2">
        <v>714.31669999999997</v>
      </c>
      <c r="D11804" s="2">
        <f>HYPERLINK("http://mcb-m6.bioreg.kyushu-u.ac.jp/M3/20110404/F50777/1798/1", 61.13)</f>
        <v>61.13</v>
      </c>
      <c r="E11804" s="2">
        <v>47.73</v>
      </c>
      <c r="F11804" s="2">
        <v>2</v>
      </c>
      <c r="G11804" s="2" t="s">
        <v>9</v>
      </c>
      <c r="H11804" s="2" t="s">
        <v>4927</v>
      </c>
    </row>
    <row r="11805" spans="1:9" x14ac:dyDescent="0.2">
      <c r="A11805" s="2" t="s">
        <v>3383</v>
      </c>
      <c r="B11805" s="2" t="s">
        <v>381</v>
      </c>
      <c r="C11805" s="2">
        <v>705.85220000000004</v>
      </c>
      <c r="D11805" s="2">
        <f>HYPERLINK("http://mcb-m6.bioreg.kyushu-u.ac.jp/M3/20110404/F50777/1751/1", 71.02)</f>
        <v>71.02</v>
      </c>
      <c r="E11805" s="2">
        <v>53.13</v>
      </c>
      <c r="F11805" s="2">
        <v>2</v>
      </c>
      <c r="G11805" s="2" t="s">
        <v>9</v>
      </c>
    </row>
    <row r="11806" spans="1:9" x14ac:dyDescent="0.2">
      <c r="A11806" s="2" t="s">
        <v>3383</v>
      </c>
      <c r="B11806" s="2" t="s">
        <v>368</v>
      </c>
      <c r="C11806" s="2">
        <v>825.89170000000001</v>
      </c>
      <c r="D11806" s="2">
        <f>HYPERLINK("http://mcb-m6.bioreg.kyushu-u.ac.jp/M3/20110404/F50763/2235/1", 71.14)</f>
        <v>71.14</v>
      </c>
      <c r="E11806" s="2">
        <v>48.93</v>
      </c>
      <c r="F11806" s="2">
        <v>2</v>
      </c>
      <c r="G11806" s="2" t="s">
        <v>9</v>
      </c>
    </row>
    <row r="11807" spans="1:9" x14ac:dyDescent="0.2">
      <c r="A11807" s="2" t="s">
        <v>3383</v>
      </c>
      <c r="B11807" s="2" t="s">
        <v>381</v>
      </c>
      <c r="C11807" s="2">
        <v>1410.6690000000001</v>
      </c>
      <c r="D11807" s="2">
        <f>HYPERLINK("http://mcb-m6.bioreg.kyushu-u.ac.jp/M3/20110404/F50777/1750/1", 72.24)</f>
        <v>72.239999999999995</v>
      </c>
      <c r="E11807" s="2">
        <v>56.53</v>
      </c>
      <c r="F11807" s="2">
        <v>1</v>
      </c>
      <c r="G11807" s="2" t="s">
        <v>9</v>
      </c>
    </row>
    <row r="11808" spans="1:9" x14ac:dyDescent="0.2">
      <c r="A11808" s="2" t="s">
        <v>3383</v>
      </c>
      <c r="B11808" s="2" t="s">
        <v>176</v>
      </c>
      <c r="C11808" s="2">
        <v>755.26059999999995</v>
      </c>
      <c r="D11808" s="2">
        <f>HYPERLINK("http://mcb-m6.bioreg.kyushu-u.ac.jp/M3/20110404/F50777/3130/1", 72.82)</f>
        <v>72.819999999999993</v>
      </c>
      <c r="E11808" s="2">
        <v>62.44</v>
      </c>
      <c r="F11808" s="2">
        <v>3</v>
      </c>
      <c r="G11808" s="2" t="s">
        <v>9</v>
      </c>
      <c r="I11808" s="2" t="s">
        <v>4909</v>
      </c>
    </row>
    <row r="11809" spans="1:9" x14ac:dyDescent="0.2">
      <c r="A11809" s="2" t="s">
        <v>3383</v>
      </c>
      <c r="B11809" s="2" t="s">
        <v>368</v>
      </c>
      <c r="C11809" s="2">
        <v>825.42610000000002</v>
      </c>
      <c r="D11809" s="2">
        <f>HYPERLINK("http://mcb-m6.bioreg.kyushu-u.ac.jp/M3/20110404/F50778/2264/1", 74.45)</f>
        <v>74.45</v>
      </c>
      <c r="E11809" s="2">
        <v>56.71</v>
      </c>
      <c r="F11809" s="2">
        <v>2</v>
      </c>
      <c r="G11809" s="2" t="s">
        <v>9</v>
      </c>
    </row>
    <row r="11810" spans="1:9" x14ac:dyDescent="0.2">
      <c r="A11810" s="2" t="s">
        <v>3383</v>
      </c>
      <c r="B11810" s="2" t="s">
        <v>368</v>
      </c>
      <c r="C11810" s="2">
        <v>825.9067</v>
      </c>
      <c r="D11810" s="2">
        <f>HYPERLINK("http://mcb-m6.bioreg.kyushu-u.ac.jp/M3/20110404/F50774/2219/1", 37.24)</f>
        <v>37.24</v>
      </c>
      <c r="E11810" s="2">
        <v>27.45</v>
      </c>
      <c r="F11810" s="2">
        <v>2</v>
      </c>
      <c r="G11810" s="2" t="s">
        <v>10</v>
      </c>
    </row>
    <row r="11811" spans="1:9" x14ac:dyDescent="0.2">
      <c r="A11811" s="2" t="s">
        <v>3383</v>
      </c>
      <c r="B11811" s="2" t="s">
        <v>368</v>
      </c>
      <c r="C11811" s="2">
        <v>833.85609999999997</v>
      </c>
      <c r="D11811" s="2">
        <f>HYPERLINK("http://mcb-m6.bioreg.kyushu-u.ac.jp/M3/20110404/F50774/2253/1", 43.61)</f>
        <v>43.61</v>
      </c>
      <c r="E11811" s="2">
        <v>30.38</v>
      </c>
      <c r="F11811" s="2">
        <v>2</v>
      </c>
      <c r="G11811" s="2" t="s">
        <v>10</v>
      </c>
      <c r="H11811" s="2" t="s">
        <v>4896</v>
      </c>
    </row>
    <row r="11812" spans="1:9" x14ac:dyDescent="0.2">
      <c r="A11812" s="2" t="s">
        <v>3383</v>
      </c>
      <c r="B11812" s="2" t="s">
        <v>381</v>
      </c>
      <c r="C11812" s="2">
        <v>1411.547</v>
      </c>
      <c r="D11812" s="2">
        <f>HYPERLINK("http://mcb-m6.bioreg.kyushu-u.ac.jp/M3/20110404/F50774/1744/1", 44.58)</f>
        <v>44.58</v>
      </c>
      <c r="E11812" s="2">
        <v>29.57</v>
      </c>
      <c r="F11812" s="2">
        <v>1</v>
      </c>
      <c r="G11812" s="2" t="s">
        <v>10</v>
      </c>
    </row>
    <row r="11813" spans="1:9" x14ac:dyDescent="0.2">
      <c r="A11813" s="2" t="s">
        <v>3383</v>
      </c>
      <c r="B11813" s="2" t="s">
        <v>176</v>
      </c>
      <c r="C11813" s="2">
        <v>1131.7159999999999</v>
      </c>
      <c r="D11813" s="2">
        <f>HYPERLINK("http://mcb-m6.bioreg.kyushu-u.ac.jp/M3/20110404/F50774/2931/1", 50.38)</f>
        <v>50.38</v>
      </c>
      <c r="E11813" s="2">
        <v>48.13</v>
      </c>
      <c r="F11813" s="2">
        <v>2</v>
      </c>
      <c r="G11813" s="2" t="s">
        <v>10</v>
      </c>
      <c r="I11813" s="2" t="s">
        <v>4909</v>
      </c>
    </row>
    <row r="11814" spans="1:9" x14ac:dyDescent="0.2">
      <c r="A11814" s="2" t="s">
        <v>3383</v>
      </c>
      <c r="B11814" s="2" t="s">
        <v>381</v>
      </c>
      <c r="C11814" s="2">
        <v>706.35770000000002</v>
      </c>
      <c r="D11814" s="2">
        <f>HYPERLINK("http://mcb-m6.bioreg.kyushu-u.ac.jp/M3/20110404/F50774/1745/1", 53.59)</f>
        <v>53.59</v>
      </c>
      <c r="E11814" s="2">
        <v>40.799999999999997</v>
      </c>
      <c r="F11814" s="2">
        <v>2</v>
      </c>
      <c r="G11814" s="2" t="s">
        <v>10</v>
      </c>
    </row>
    <row r="11815" spans="1:9" x14ac:dyDescent="0.2">
      <c r="A11815" s="2" t="s">
        <v>3383</v>
      </c>
      <c r="B11815" s="2" t="s">
        <v>1067</v>
      </c>
      <c r="C11815" s="2">
        <v>1254.482</v>
      </c>
      <c r="D11815" s="2">
        <f>HYPERLINK("http://mcb-m6.bioreg.kyushu-u.ac.jp/M3/20110404/F50774/1459/1", 61.54)</f>
        <v>61.54</v>
      </c>
      <c r="E11815" s="2">
        <v>48.98</v>
      </c>
      <c r="F11815" s="2">
        <v>1</v>
      </c>
      <c r="G11815" s="2" t="s">
        <v>10</v>
      </c>
    </row>
    <row r="11816" spans="1:9" x14ac:dyDescent="0.2">
      <c r="A11816" s="2" t="s">
        <v>3383</v>
      </c>
      <c r="B11816" s="2" t="s">
        <v>381</v>
      </c>
      <c r="C11816" s="2">
        <v>705.8297</v>
      </c>
      <c r="D11816" s="2">
        <f>HYPERLINK("http://mcb-m6.bioreg.kyushu-u.ac.jp/M3/20110404/F50774/1741/1", 67.12)</f>
        <v>67.12</v>
      </c>
      <c r="E11816" s="2">
        <v>49.06</v>
      </c>
      <c r="F11816" s="2">
        <v>2</v>
      </c>
      <c r="G11816" s="2" t="s">
        <v>10</v>
      </c>
    </row>
    <row r="11817" spans="1:9" x14ac:dyDescent="0.2">
      <c r="A11817" s="2" t="s">
        <v>3383</v>
      </c>
      <c r="B11817" s="2" t="s">
        <v>368</v>
      </c>
      <c r="C11817" s="2">
        <v>833.34010000000001</v>
      </c>
      <c r="D11817" s="2">
        <f>HYPERLINK("http://mcb-m6.bioreg.kyushu-u.ac.jp/M3/20110404/F50774/2250/1", 124.87)</f>
        <v>124.87</v>
      </c>
      <c r="E11817" s="2">
        <v>114.21</v>
      </c>
      <c r="F11817" s="2">
        <v>2</v>
      </c>
      <c r="G11817" s="2" t="s">
        <v>10</v>
      </c>
      <c r="H11817" s="2" t="s">
        <v>4896</v>
      </c>
    </row>
    <row r="11818" spans="1:9" x14ac:dyDescent="0.2">
      <c r="A11818" s="2" t="s">
        <v>3383</v>
      </c>
      <c r="B11818" s="2" t="s">
        <v>1067</v>
      </c>
      <c r="C11818" s="2">
        <v>636.28470000000004</v>
      </c>
      <c r="D11818" s="2">
        <f>HYPERLINK("http://mcb-m6.bioreg.kyushu-u.ac.jp/M3/20110421/F51037/1432/1", 50.27)</f>
        <v>50.27</v>
      </c>
      <c r="E11818" s="2">
        <v>33.950000000000003</v>
      </c>
      <c r="F11818" s="2">
        <v>2</v>
      </c>
      <c r="G11818" s="2" t="s">
        <v>11</v>
      </c>
      <c r="H11818" s="2" t="s">
        <v>4919</v>
      </c>
    </row>
    <row r="11819" spans="1:9" x14ac:dyDescent="0.2">
      <c r="A11819" s="2" t="s">
        <v>3383</v>
      </c>
      <c r="B11819" s="2" t="s">
        <v>381</v>
      </c>
      <c r="C11819" s="2">
        <v>714.02170000000001</v>
      </c>
      <c r="D11819" s="2">
        <f>HYPERLINK("http://mcb-m6.bioreg.kyushu-u.ac.jp/M3/20110421/F51037/1844/1", 57.17)</f>
        <v>57.17</v>
      </c>
      <c r="E11819" s="2">
        <v>39.96</v>
      </c>
      <c r="F11819" s="2">
        <v>2</v>
      </c>
      <c r="G11819" s="2" t="s">
        <v>11</v>
      </c>
      <c r="H11819" s="2" t="s">
        <v>4927</v>
      </c>
    </row>
    <row r="11820" spans="1:9" x14ac:dyDescent="0.2">
      <c r="A11820" s="2" t="s">
        <v>3383</v>
      </c>
      <c r="B11820" s="2" t="s">
        <v>381</v>
      </c>
      <c r="C11820" s="2">
        <v>706.42610000000002</v>
      </c>
      <c r="D11820" s="2">
        <f>HYPERLINK("http://mcb-m6.bioreg.kyushu-u.ac.jp/M3/20110421/F51037/1799/1", 65.55)</f>
        <v>65.55</v>
      </c>
      <c r="E11820" s="2">
        <v>49.7</v>
      </c>
      <c r="F11820" s="2">
        <v>2</v>
      </c>
      <c r="G11820" s="2" t="s">
        <v>11</v>
      </c>
    </row>
    <row r="11821" spans="1:9" x14ac:dyDescent="0.2">
      <c r="A11821" s="2" t="s">
        <v>3383</v>
      </c>
      <c r="B11821" s="2" t="s">
        <v>2494</v>
      </c>
      <c r="C11821" s="2">
        <v>911.4316</v>
      </c>
      <c r="D11821" s="2">
        <f>HYPERLINK("http://mcb-m6.bioreg.kyushu-u.ac.jp/M3/20110421/F51037/3021/1", 90.61)</f>
        <v>90.61</v>
      </c>
      <c r="E11821" s="2">
        <v>69.84</v>
      </c>
      <c r="F11821" s="2">
        <v>2</v>
      </c>
      <c r="G11821" s="2" t="s">
        <v>11</v>
      </c>
      <c r="H11821" s="2" t="s">
        <v>4896</v>
      </c>
    </row>
    <row r="11822" spans="1:9" x14ac:dyDescent="0.2">
      <c r="A11822" s="2" t="s">
        <v>3383</v>
      </c>
      <c r="B11822" s="2" t="s">
        <v>368</v>
      </c>
      <c r="C11822" s="2">
        <v>825.77919999999995</v>
      </c>
      <c r="D11822" s="2">
        <f>HYPERLINK("http://mcb-m6.bioreg.kyushu-u.ac.jp/M3/20110421/F51039/2546/1", 94)</f>
        <v>94</v>
      </c>
      <c r="E11822" s="2">
        <v>68.23</v>
      </c>
      <c r="F11822" s="2">
        <v>2</v>
      </c>
      <c r="G11822" s="2" t="s">
        <v>11</v>
      </c>
    </row>
    <row r="11823" spans="1:9" x14ac:dyDescent="0.2">
      <c r="A11823" s="2" t="s">
        <v>3383</v>
      </c>
      <c r="B11823" s="2" t="s">
        <v>368</v>
      </c>
      <c r="C11823" s="2">
        <v>825.22720000000004</v>
      </c>
      <c r="D11823" s="2">
        <f>HYPERLINK("http://mcb-m6.bioreg.kyushu-u.ac.jp/M3/20110421/F51037/2556/1", 94.37)</f>
        <v>94.37</v>
      </c>
      <c r="E11823" s="2">
        <v>78.88</v>
      </c>
      <c r="F11823" s="2">
        <v>2</v>
      </c>
      <c r="G11823" s="2" t="s">
        <v>11</v>
      </c>
    </row>
    <row r="11824" spans="1:9" x14ac:dyDescent="0.2">
      <c r="A11824" s="2" t="s">
        <v>3383</v>
      </c>
      <c r="B11824" s="2" t="s">
        <v>2494</v>
      </c>
      <c r="C11824" s="2">
        <v>903.88670000000002</v>
      </c>
      <c r="D11824" s="2">
        <f>HYPERLINK("http://mcb-m6.bioreg.kyushu-u.ac.jp/M3/20110421/F51037/2991/1", 94.89)</f>
        <v>94.89</v>
      </c>
      <c r="E11824" s="2">
        <v>81.760000000000005</v>
      </c>
      <c r="F11824" s="2">
        <v>2</v>
      </c>
      <c r="G11824" s="2" t="s">
        <v>11</v>
      </c>
    </row>
    <row r="11825" spans="1:8" x14ac:dyDescent="0.2">
      <c r="A11825" s="2" t="s">
        <v>3383</v>
      </c>
      <c r="B11825" s="2" t="s">
        <v>368</v>
      </c>
      <c r="C11825" s="2">
        <v>833.2817</v>
      </c>
      <c r="D11825" s="2">
        <f>HYPERLINK("http://mcb-m6.bioreg.kyushu-u.ac.jp/M3/20110421/F51037/2608/1", 108.6)</f>
        <v>108.6</v>
      </c>
      <c r="E11825" s="2">
        <v>98.94</v>
      </c>
      <c r="F11825" s="2">
        <v>2</v>
      </c>
      <c r="G11825" s="2" t="s">
        <v>11</v>
      </c>
      <c r="H11825" s="2" t="s">
        <v>4896</v>
      </c>
    </row>
    <row r="11826" spans="1:8" x14ac:dyDescent="0.2">
      <c r="A11826" s="2" t="s">
        <v>3383</v>
      </c>
      <c r="B11826" s="2" t="s">
        <v>1067</v>
      </c>
      <c r="C11826" s="2">
        <v>627.93269999999995</v>
      </c>
      <c r="D11826" s="2">
        <f>HYPERLINK("http://mcb-m6.bioreg.kyushu-u.ac.jp/M3/20110421/F51047/1560/1", 51.06)</f>
        <v>51.06</v>
      </c>
      <c r="E11826" s="2">
        <v>31.49</v>
      </c>
      <c r="F11826" s="2">
        <v>2</v>
      </c>
      <c r="G11826" s="2" t="s">
        <v>12</v>
      </c>
    </row>
    <row r="11827" spans="1:8" x14ac:dyDescent="0.2">
      <c r="A11827" s="2" t="s">
        <v>3383</v>
      </c>
      <c r="B11827" s="2" t="s">
        <v>381</v>
      </c>
      <c r="C11827" s="2">
        <v>706.02869999999996</v>
      </c>
      <c r="D11827" s="2">
        <f>HYPERLINK("http://mcb-m6.bioreg.kyushu-u.ac.jp/M3/20110421/F51047/1920/1", 53.26)</f>
        <v>53.26</v>
      </c>
      <c r="E11827" s="2">
        <v>34.42</v>
      </c>
      <c r="F11827" s="2">
        <v>2</v>
      </c>
      <c r="G11827" s="2" t="s">
        <v>12</v>
      </c>
    </row>
    <row r="11828" spans="1:8" x14ac:dyDescent="0.2">
      <c r="A11828" s="2" t="s">
        <v>3383</v>
      </c>
      <c r="B11828" s="2" t="s">
        <v>368</v>
      </c>
      <c r="C11828" s="2">
        <v>833.94820000000004</v>
      </c>
      <c r="D11828" s="2">
        <f>HYPERLINK("http://mcb-m6.bioreg.kyushu-u.ac.jp/M3/20110421/F51047/2560/1", 82.84)</f>
        <v>82.84</v>
      </c>
      <c r="E11828" s="2">
        <v>71.569999999999993</v>
      </c>
      <c r="F11828" s="2">
        <v>2</v>
      </c>
      <c r="G11828" s="2" t="s">
        <v>12</v>
      </c>
      <c r="H11828" s="2" t="s">
        <v>4896</v>
      </c>
    </row>
    <row r="11829" spans="1:8" x14ac:dyDescent="0.2">
      <c r="A11829" s="2" t="s">
        <v>3383</v>
      </c>
      <c r="B11829" s="2" t="s">
        <v>2494</v>
      </c>
      <c r="C11829" s="2">
        <v>903.5566</v>
      </c>
      <c r="D11829" s="2">
        <f>HYPERLINK("http://mcb-m6.bioreg.kyushu-u.ac.jp/M3/20110421/F51047/2825/1", 91.18)</f>
        <v>91.18</v>
      </c>
      <c r="E11829" s="2">
        <v>73.17</v>
      </c>
      <c r="F11829" s="2">
        <v>2</v>
      </c>
      <c r="G11829" s="2" t="s">
        <v>12</v>
      </c>
    </row>
    <row r="11830" spans="1:8" x14ac:dyDescent="0.2">
      <c r="A11830" s="2" t="s">
        <v>3383</v>
      </c>
      <c r="B11830" s="2" t="s">
        <v>368</v>
      </c>
      <c r="C11830" s="2">
        <v>825.44870000000003</v>
      </c>
      <c r="D11830" s="2">
        <f>HYPERLINK("http://mcb-m6.bioreg.kyushu-u.ac.jp/M3/20110421/F51047/2524/1", 106.08)</f>
        <v>106.08</v>
      </c>
      <c r="E11830" s="2">
        <v>95.69</v>
      </c>
      <c r="F11830" s="2">
        <v>2</v>
      </c>
      <c r="G11830" s="2" t="s">
        <v>12</v>
      </c>
    </row>
    <row r="11831" spans="1:8" x14ac:dyDescent="0.2">
      <c r="A11831" s="2" t="s">
        <v>3383</v>
      </c>
      <c r="B11831" s="2" t="s">
        <v>368</v>
      </c>
      <c r="C11831" s="2">
        <v>833.43910000000005</v>
      </c>
      <c r="D11831" s="2">
        <f>HYPERLINK("http://mcb-m6.bioreg.kyushu-u.ac.jp/M3/20110421/F51047/2556/1", 119.86)</f>
        <v>119.86</v>
      </c>
      <c r="E11831" s="2">
        <v>99.85</v>
      </c>
      <c r="F11831" s="2">
        <v>2</v>
      </c>
      <c r="G11831" s="2" t="s">
        <v>12</v>
      </c>
      <c r="H11831" s="2" t="s">
        <v>4896</v>
      </c>
    </row>
    <row r="11832" spans="1:8" x14ac:dyDescent="0.2">
      <c r="A11832" s="2" t="s">
        <v>3383</v>
      </c>
      <c r="B11832" s="2" t="s">
        <v>368</v>
      </c>
      <c r="C11832" s="2">
        <v>825.18870000000004</v>
      </c>
      <c r="D11832" s="2">
        <f>HYPERLINK("http://mcb-m6.bioreg.kyushu-u.ac.jp/M3/20110428/F51127/2386/1", 53.08)</f>
        <v>53.08</v>
      </c>
      <c r="E11832" s="2">
        <v>41.04</v>
      </c>
      <c r="F11832" s="2">
        <v>2</v>
      </c>
      <c r="G11832" s="2" t="s">
        <v>13</v>
      </c>
    </row>
    <row r="11833" spans="1:8" x14ac:dyDescent="0.2">
      <c r="A11833" s="2" t="s">
        <v>3383</v>
      </c>
      <c r="B11833" s="2" t="s">
        <v>381</v>
      </c>
      <c r="C11833" s="2">
        <v>705.78020000000004</v>
      </c>
      <c r="D11833" s="2">
        <f>HYPERLINK("http://mcb-m6.bioreg.kyushu-u.ac.jp/M3/20110428/F51132/1794/1", 57.31)</f>
        <v>57.31</v>
      </c>
      <c r="E11833" s="2">
        <v>40.22</v>
      </c>
      <c r="F11833" s="2">
        <v>2</v>
      </c>
      <c r="G11833" s="2" t="s">
        <v>13</v>
      </c>
    </row>
    <row r="11834" spans="1:8" x14ac:dyDescent="0.2">
      <c r="A11834" s="2" t="s">
        <v>3383</v>
      </c>
      <c r="B11834" s="2" t="s">
        <v>1067</v>
      </c>
      <c r="C11834" s="2">
        <v>636.24369999999999</v>
      </c>
      <c r="D11834" s="2">
        <f>HYPERLINK("http://mcb-m6.bioreg.kyushu-u.ac.jp/M3/20110428/F51132/1468/1", 71.15)</f>
        <v>71.150000000000006</v>
      </c>
      <c r="E11834" s="2">
        <v>51.55</v>
      </c>
      <c r="F11834" s="2">
        <v>2</v>
      </c>
      <c r="G11834" s="2" t="s">
        <v>13</v>
      </c>
      <c r="H11834" s="2" t="s">
        <v>4919</v>
      </c>
    </row>
    <row r="11835" spans="1:8" x14ac:dyDescent="0.2">
      <c r="A11835" s="2" t="s">
        <v>3383</v>
      </c>
      <c r="B11835" s="2" t="s">
        <v>368</v>
      </c>
      <c r="C11835" s="2">
        <v>825.85969999999998</v>
      </c>
      <c r="D11835" s="2">
        <f>HYPERLINK("http://mcb-m6.bioreg.kyushu-u.ac.jp/M3/20110428/F51127/2390/1", 72.74)</f>
        <v>72.739999999999995</v>
      </c>
      <c r="E11835" s="2">
        <v>45.27</v>
      </c>
      <c r="F11835" s="2">
        <v>2</v>
      </c>
      <c r="G11835" s="2" t="s">
        <v>13</v>
      </c>
    </row>
    <row r="11836" spans="1:8" x14ac:dyDescent="0.2">
      <c r="A11836" s="2" t="s">
        <v>3383</v>
      </c>
      <c r="B11836" s="2" t="s">
        <v>368</v>
      </c>
      <c r="C11836" s="2">
        <v>825.26120000000003</v>
      </c>
      <c r="D11836" s="2">
        <f>HYPERLINK("http://mcb-m6.bioreg.kyushu-u.ac.jp/M3/20110428/F51133/2353/1", 83.85)</f>
        <v>83.85</v>
      </c>
      <c r="E11836" s="2">
        <v>75</v>
      </c>
      <c r="F11836" s="2">
        <v>2</v>
      </c>
      <c r="G11836" s="2" t="s">
        <v>13</v>
      </c>
    </row>
    <row r="11837" spans="1:8" x14ac:dyDescent="0.2">
      <c r="A11837" s="2" t="s">
        <v>3383</v>
      </c>
      <c r="B11837" s="2" t="s">
        <v>368</v>
      </c>
      <c r="C11837" s="2">
        <v>833.67409999999995</v>
      </c>
      <c r="D11837" s="2">
        <f>HYPERLINK("http://mcb-m6.bioreg.kyushu-u.ac.jp/M3/20110428/F51132/2510/1", 101.27)</f>
        <v>101.27</v>
      </c>
      <c r="E11837" s="2">
        <v>90.16</v>
      </c>
      <c r="F11837" s="2">
        <v>2</v>
      </c>
      <c r="G11837" s="2" t="s">
        <v>13</v>
      </c>
      <c r="H11837" s="2" t="s">
        <v>4896</v>
      </c>
    </row>
    <row r="11838" spans="1:8" x14ac:dyDescent="0.2">
      <c r="A11838" s="2" t="s">
        <v>3383</v>
      </c>
      <c r="B11838" s="2" t="s">
        <v>368</v>
      </c>
      <c r="C11838" s="2">
        <v>825.6191</v>
      </c>
      <c r="D11838" s="2">
        <f>HYPERLINK("http://mcb-m6.bioreg.kyushu-u.ac.jp/M3/20110428/F51132/2483/1", 102.65)</f>
        <v>102.65</v>
      </c>
      <c r="E11838" s="2">
        <v>72.83</v>
      </c>
      <c r="F11838" s="2">
        <v>2</v>
      </c>
      <c r="G11838" s="2" t="s">
        <v>13</v>
      </c>
    </row>
    <row r="11839" spans="1:8" x14ac:dyDescent="0.2">
      <c r="A11839" s="2" t="s">
        <v>3383</v>
      </c>
      <c r="B11839" s="2" t="s">
        <v>368</v>
      </c>
      <c r="C11839" s="2">
        <v>833.15620000000001</v>
      </c>
      <c r="D11839" s="2">
        <f>HYPERLINK("http://mcb-m6.bioreg.kyushu-u.ac.jp/M3/20110428/F51132/2509/1", 121.29)</f>
        <v>121.29</v>
      </c>
      <c r="E11839" s="2">
        <v>104.89</v>
      </c>
      <c r="F11839" s="2">
        <v>2</v>
      </c>
      <c r="G11839" s="2" t="s">
        <v>13</v>
      </c>
      <c r="H11839" s="2" t="s">
        <v>4896</v>
      </c>
    </row>
    <row r="11840" spans="1:8" x14ac:dyDescent="0.2">
      <c r="A11840" s="2" t="s">
        <v>3383</v>
      </c>
      <c r="B11840" s="2" t="s">
        <v>381</v>
      </c>
      <c r="C11840" s="2">
        <v>705.72860000000003</v>
      </c>
      <c r="D11840" s="2">
        <f>HYPERLINK("http://mcb-m6.bioreg.kyushu-u.ac.jp/M3/20110428/F51129/1851/1", 49.1)</f>
        <v>49.1</v>
      </c>
      <c r="E11840" s="2">
        <v>35.5</v>
      </c>
      <c r="F11840" s="2">
        <v>2</v>
      </c>
      <c r="G11840" s="2" t="s">
        <v>14</v>
      </c>
    </row>
    <row r="11841" spans="1:8" x14ac:dyDescent="0.2">
      <c r="A11841" s="2" t="s">
        <v>3383</v>
      </c>
      <c r="B11841" s="2" t="s">
        <v>2494</v>
      </c>
      <c r="C11841" s="2">
        <v>911.29110000000003</v>
      </c>
      <c r="D11841" s="2">
        <f>HYPERLINK("http://mcb-m6.bioreg.kyushu-u.ac.jp/M3/20110428/F51129/2808/1", 90.52)</f>
        <v>90.52</v>
      </c>
      <c r="E11841" s="2">
        <v>74.459999999999994</v>
      </c>
      <c r="F11841" s="2">
        <v>2</v>
      </c>
      <c r="G11841" s="2" t="s">
        <v>14</v>
      </c>
      <c r="H11841" s="2" t="s">
        <v>4896</v>
      </c>
    </row>
    <row r="11842" spans="1:8" x14ac:dyDescent="0.2">
      <c r="A11842" s="2" t="s">
        <v>3383</v>
      </c>
      <c r="B11842" s="2" t="s">
        <v>368</v>
      </c>
      <c r="C11842" s="2">
        <v>833.17269999999996</v>
      </c>
      <c r="D11842" s="2">
        <f>HYPERLINK("http://mcb-m6.bioreg.kyushu-u.ac.jp/M3/20110428/F51129/2516/1", 111.66)</f>
        <v>111.66</v>
      </c>
      <c r="E11842" s="2">
        <v>94.16</v>
      </c>
      <c r="F11842" s="2">
        <v>2</v>
      </c>
      <c r="G11842" s="2" t="s">
        <v>14</v>
      </c>
      <c r="H11842" s="2" t="s">
        <v>4896</v>
      </c>
    </row>
    <row r="11843" spans="1:8" x14ac:dyDescent="0.2">
      <c r="A11843" s="2" t="s">
        <v>3383</v>
      </c>
      <c r="B11843" s="2" t="s">
        <v>368</v>
      </c>
      <c r="C11843" s="2">
        <v>825.15419999999995</v>
      </c>
      <c r="D11843" s="2">
        <f>HYPERLINK("http://mcb-m6.bioreg.kyushu-u.ac.jp/M3/20110428/F51129/2489/1", 116.67)</f>
        <v>116.67</v>
      </c>
      <c r="E11843" s="2">
        <v>99.02</v>
      </c>
      <c r="F11843" s="2">
        <v>2</v>
      </c>
      <c r="G11843" s="2" t="s">
        <v>14</v>
      </c>
    </row>
    <row r="11844" spans="1:8" x14ac:dyDescent="0.2">
      <c r="A11844" s="2" t="s">
        <v>3325</v>
      </c>
      <c r="B11844" s="2" t="s">
        <v>625</v>
      </c>
      <c r="C11844" s="2">
        <v>989.46900000000005</v>
      </c>
      <c r="D11844" s="2">
        <f>HYPERLINK("http://mcb-m6.bioreg.kyushu-u.ac.jp/M3/20110404/F50777/972/1", 40.03)</f>
        <v>40.03</v>
      </c>
      <c r="E11844" s="2">
        <v>10.35</v>
      </c>
      <c r="F11844" s="2">
        <v>1</v>
      </c>
      <c r="G11844" s="2" t="s">
        <v>9</v>
      </c>
    </row>
    <row r="11845" spans="1:8" x14ac:dyDescent="0.2">
      <c r="A11845" s="2" t="s">
        <v>3325</v>
      </c>
      <c r="B11845" s="2" t="s">
        <v>1043</v>
      </c>
      <c r="C11845" s="2">
        <v>494.68189999999998</v>
      </c>
      <c r="D11845" s="2">
        <f>HYPERLINK("http://mcb-m6.bioreg.kyushu-u.ac.jp/M3/20110404/F50777/1930/1", 41.51)</f>
        <v>41.51</v>
      </c>
      <c r="E11845" s="2">
        <v>16.48</v>
      </c>
      <c r="F11845" s="2">
        <v>3</v>
      </c>
      <c r="G11845" s="2" t="s">
        <v>9</v>
      </c>
    </row>
    <row r="11846" spans="1:8" x14ac:dyDescent="0.2">
      <c r="A11846" s="2" t="s">
        <v>3325</v>
      </c>
      <c r="B11846" s="2" t="s">
        <v>254</v>
      </c>
      <c r="C11846" s="2">
        <v>497.13909999999998</v>
      </c>
      <c r="D11846" s="2">
        <f>HYPERLINK("http://mcb-m6.bioreg.kyushu-u.ac.jp/M3/20110404/F50777/978/1", 42.37)</f>
        <v>42.37</v>
      </c>
      <c r="E11846" s="2">
        <v>18.66</v>
      </c>
      <c r="F11846" s="2">
        <v>2</v>
      </c>
      <c r="G11846" s="2" t="s">
        <v>9</v>
      </c>
    </row>
    <row r="11847" spans="1:8" x14ac:dyDescent="0.2">
      <c r="A11847" s="2" t="s">
        <v>3325</v>
      </c>
      <c r="B11847" s="2" t="s">
        <v>1569</v>
      </c>
      <c r="C11847" s="2">
        <v>754.23379999999997</v>
      </c>
      <c r="D11847" s="2">
        <f>HYPERLINK("http://mcb-m6.bioreg.kyushu-u.ac.jp/M3/20110404/F50777/3125/1", 45.85)</f>
        <v>45.85</v>
      </c>
      <c r="E11847" s="2">
        <v>32.64</v>
      </c>
      <c r="F11847" s="2">
        <v>3</v>
      </c>
      <c r="G11847" s="2" t="s">
        <v>9</v>
      </c>
    </row>
    <row r="11848" spans="1:8" x14ac:dyDescent="0.2">
      <c r="A11848" s="2" t="s">
        <v>3325</v>
      </c>
      <c r="B11848" s="2" t="s">
        <v>6223</v>
      </c>
      <c r="C11848" s="2">
        <v>609.08219999999994</v>
      </c>
      <c r="D11848" s="2">
        <f>HYPERLINK("http://mcb-m6.bioreg.kyushu-u.ac.jp/M3/20110404/F50753/1535/1", 47.27)</f>
        <v>47.27</v>
      </c>
      <c r="E11848" s="2">
        <v>24.71</v>
      </c>
      <c r="F11848" s="2">
        <v>2</v>
      </c>
      <c r="G11848" s="2" t="s">
        <v>9</v>
      </c>
    </row>
    <row r="11849" spans="1:8" x14ac:dyDescent="0.2">
      <c r="A11849" s="2" t="s">
        <v>3325</v>
      </c>
      <c r="B11849" s="2" t="s">
        <v>1020</v>
      </c>
      <c r="C11849" s="2">
        <v>1303.48</v>
      </c>
      <c r="D11849" s="2">
        <f>HYPERLINK("http://mcb-m6.bioreg.kyushu-u.ac.jp/M3/20110404/F50777/1518/1", 48.62)</f>
        <v>48.62</v>
      </c>
      <c r="E11849" s="2">
        <v>37.39</v>
      </c>
      <c r="F11849" s="2">
        <v>1</v>
      </c>
      <c r="G11849" s="2" t="s">
        <v>9</v>
      </c>
    </row>
    <row r="11850" spans="1:8" x14ac:dyDescent="0.2">
      <c r="A11850" s="2" t="s">
        <v>3325</v>
      </c>
      <c r="B11850" s="2" t="s">
        <v>1020</v>
      </c>
      <c r="C11850" s="2">
        <v>652.80769999999995</v>
      </c>
      <c r="D11850" s="2">
        <f>HYPERLINK("http://mcb-m6.bioreg.kyushu-u.ac.jp/M3/20110404/F50777/1520/1", 51.46)</f>
        <v>51.46</v>
      </c>
      <c r="E11850" s="2">
        <v>30.95</v>
      </c>
      <c r="F11850" s="2">
        <v>2</v>
      </c>
      <c r="G11850" s="2" t="s">
        <v>9</v>
      </c>
    </row>
    <row r="11851" spans="1:8" x14ac:dyDescent="0.2">
      <c r="A11851" s="2" t="s">
        <v>3325</v>
      </c>
      <c r="B11851" s="2" t="s">
        <v>237</v>
      </c>
      <c r="C11851" s="2">
        <v>600.85220000000004</v>
      </c>
      <c r="D11851" s="2">
        <f>HYPERLINK("http://mcb-m6.bioreg.kyushu-u.ac.jp/M3/20110404/F50777/1327/1", 54.79)</f>
        <v>54.79</v>
      </c>
      <c r="E11851" s="2">
        <v>26.51</v>
      </c>
      <c r="F11851" s="2">
        <v>2</v>
      </c>
      <c r="G11851" s="2" t="s">
        <v>9</v>
      </c>
    </row>
    <row r="11852" spans="1:8" x14ac:dyDescent="0.2">
      <c r="A11852" s="2" t="s">
        <v>3325</v>
      </c>
      <c r="B11852" s="2" t="s">
        <v>625</v>
      </c>
      <c r="C11852" s="2">
        <v>495.2441</v>
      </c>
      <c r="D11852" s="2">
        <f>HYPERLINK("http://mcb-m6.bioreg.kyushu-u.ac.jp/M3/20110404/F50777/973/1", 61.46)</f>
        <v>61.46</v>
      </c>
      <c r="E11852" s="2">
        <v>26.63</v>
      </c>
      <c r="F11852" s="2">
        <v>2</v>
      </c>
      <c r="G11852" s="2" t="s">
        <v>9</v>
      </c>
    </row>
    <row r="11853" spans="1:8" x14ac:dyDescent="0.2">
      <c r="A11853" s="2" t="s">
        <v>3325</v>
      </c>
      <c r="B11853" s="2" t="s">
        <v>650</v>
      </c>
      <c r="C11853" s="2">
        <v>626.79610000000002</v>
      </c>
      <c r="D11853" s="2">
        <f>HYPERLINK("http://mcb-m6.bioreg.kyushu-u.ac.jp/M3/20110404/F50777/1431/1", 61.71)</f>
        <v>61.71</v>
      </c>
      <c r="E11853" s="2">
        <v>31.6</v>
      </c>
      <c r="F11853" s="2">
        <v>2</v>
      </c>
      <c r="G11853" s="2" t="s">
        <v>9</v>
      </c>
    </row>
    <row r="11854" spans="1:8" x14ac:dyDescent="0.2">
      <c r="A11854" s="2" t="s">
        <v>3325</v>
      </c>
      <c r="B11854" s="2" t="s">
        <v>650</v>
      </c>
      <c r="C11854" s="2">
        <v>1252.5719999999999</v>
      </c>
      <c r="D11854" s="2">
        <f>HYPERLINK("http://mcb-m6.bioreg.kyushu-u.ac.jp/M3/20110404/F50777/1430/1", 62.64)</f>
        <v>62.64</v>
      </c>
      <c r="E11854" s="2">
        <v>23.68</v>
      </c>
      <c r="F11854" s="2">
        <v>1</v>
      </c>
      <c r="G11854" s="2" t="s">
        <v>9</v>
      </c>
    </row>
    <row r="11855" spans="1:8" x14ac:dyDescent="0.2">
      <c r="A11855" s="2" t="s">
        <v>3325</v>
      </c>
      <c r="B11855" s="2" t="s">
        <v>1020</v>
      </c>
      <c r="C11855" s="2">
        <v>660.7106</v>
      </c>
      <c r="D11855" s="2">
        <f>HYPERLINK("http://mcb-m6.bioreg.kyushu-u.ac.jp/M3/20110404/F50777/1551/1", 71.37)</f>
        <v>71.37</v>
      </c>
      <c r="E11855" s="2">
        <v>37.82</v>
      </c>
      <c r="F11855" s="2">
        <v>2</v>
      </c>
      <c r="G11855" s="2" t="s">
        <v>9</v>
      </c>
      <c r="H11855" s="2" t="s">
        <v>4919</v>
      </c>
    </row>
    <row r="11856" spans="1:8" x14ac:dyDescent="0.2">
      <c r="A11856" s="2" t="s">
        <v>3325</v>
      </c>
      <c r="B11856" s="2" t="s">
        <v>237</v>
      </c>
      <c r="C11856" s="2">
        <v>600.32259999999997</v>
      </c>
      <c r="D11856" s="2">
        <f>HYPERLINK("http://mcb-m6.bioreg.kyushu-u.ac.jp/M3/20110404/F50778/1170/1", 74.05)</f>
        <v>74.05</v>
      </c>
      <c r="E11856" s="2">
        <v>31.86</v>
      </c>
      <c r="F11856" s="2">
        <v>2</v>
      </c>
      <c r="G11856" s="2" t="s">
        <v>9</v>
      </c>
    </row>
    <row r="11857" spans="1:8" x14ac:dyDescent="0.2">
      <c r="A11857" s="2" t="s">
        <v>3325</v>
      </c>
      <c r="B11857" s="2" t="s">
        <v>1043</v>
      </c>
      <c r="C11857" s="2">
        <v>741.25570000000005</v>
      </c>
      <c r="D11857" s="2">
        <f>HYPERLINK("http://mcb-m6.bioreg.kyushu-u.ac.jp/M3/20110404/F50777/1926/1", 75.64)</f>
        <v>75.64</v>
      </c>
      <c r="E11857" s="2">
        <v>45.93</v>
      </c>
      <c r="F11857" s="2">
        <v>2</v>
      </c>
      <c r="G11857" s="2" t="s">
        <v>9</v>
      </c>
    </row>
    <row r="11858" spans="1:8" x14ac:dyDescent="0.2">
      <c r="A11858" s="2" t="s">
        <v>3325</v>
      </c>
      <c r="B11858" s="2" t="s">
        <v>1020</v>
      </c>
      <c r="C11858" s="2">
        <v>652.26670000000001</v>
      </c>
      <c r="D11858" s="2">
        <f>HYPERLINK("http://mcb-m6.bioreg.kyushu-u.ac.jp/M3/20110404/F50777/1519/1", 78.27)</f>
        <v>78.27</v>
      </c>
      <c r="E11858" s="2">
        <v>48.44</v>
      </c>
      <c r="F11858" s="2">
        <v>2</v>
      </c>
      <c r="G11858" s="2" t="s">
        <v>9</v>
      </c>
    </row>
    <row r="11859" spans="1:8" x14ac:dyDescent="0.2">
      <c r="A11859" s="2" t="s">
        <v>3325</v>
      </c>
      <c r="B11859" s="2" t="s">
        <v>1043</v>
      </c>
      <c r="C11859" s="2">
        <v>1481.893</v>
      </c>
      <c r="D11859" s="2">
        <f>HYPERLINK("http://mcb-m6.bioreg.kyushu-u.ac.jp/M3/20110404/F50777/1929/1", 78.39)</f>
        <v>78.39</v>
      </c>
      <c r="E11859" s="2">
        <v>67.709999999999994</v>
      </c>
      <c r="F11859" s="2">
        <v>1</v>
      </c>
      <c r="G11859" s="2" t="s">
        <v>9</v>
      </c>
    </row>
    <row r="11860" spans="1:8" x14ac:dyDescent="0.2">
      <c r="A11860" s="2" t="s">
        <v>3325</v>
      </c>
      <c r="B11860" s="2" t="s">
        <v>1043</v>
      </c>
      <c r="C11860" s="2">
        <v>741.46010000000001</v>
      </c>
      <c r="D11860" s="2">
        <f>HYPERLINK("http://mcb-m6.bioreg.kyushu-u.ac.jp/M3/20110404/F50763/1949/1", 83.86)</f>
        <v>83.86</v>
      </c>
      <c r="E11860" s="2">
        <v>67.39</v>
      </c>
      <c r="F11860" s="2">
        <v>2</v>
      </c>
      <c r="G11860" s="2" t="s">
        <v>9</v>
      </c>
    </row>
    <row r="11861" spans="1:8" x14ac:dyDescent="0.2">
      <c r="A11861" s="2" t="s">
        <v>3325</v>
      </c>
      <c r="B11861" s="2" t="s">
        <v>1043</v>
      </c>
      <c r="C11861" s="2">
        <v>741.42409999999995</v>
      </c>
      <c r="D11861" s="2">
        <f>HYPERLINK("http://mcb-m6.bioreg.kyushu-u.ac.jp/M3/20110404/F50777/1927/1", 91.51)</f>
        <v>91.51</v>
      </c>
      <c r="E11861" s="2">
        <v>81.819999999999993</v>
      </c>
      <c r="F11861" s="2">
        <v>2</v>
      </c>
      <c r="G11861" s="2" t="s">
        <v>9</v>
      </c>
    </row>
    <row r="11862" spans="1:8" x14ac:dyDescent="0.2">
      <c r="A11862" s="2" t="s">
        <v>3325</v>
      </c>
      <c r="B11862" s="2" t="s">
        <v>1020</v>
      </c>
      <c r="C11862" s="2">
        <v>660.20510000000002</v>
      </c>
      <c r="D11862" s="2">
        <f>HYPERLINK("http://mcb-m6.bioreg.kyushu-u.ac.jp/M3/20110404/F50777/1546/1", 91.98)</f>
        <v>91.98</v>
      </c>
      <c r="E11862" s="2">
        <v>68.290000000000006</v>
      </c>
      <c r="F11862" s="2">
        <v>2</v>
      </c>
      <c r="G11862" s="2" t="s">
        <v>9</v>
      </c>
      <c r="H11862" s="2" t="s">
        <v>4919</v>
      </c>
    </row>
    <row r="11863" spans="1:8" x14ac:dyDescent="0.2">
      <c r="A11863" s="2" t="s">
        <v>3325</v>
      </c>
      <c r="B11863" s="2" t="s">
        <v>1569</v>
      </c>
      <c r="C11863" s="2">
        <v>1131.027</v>
      </c>
      <c r="D11863" s="2">
        <f>HYPERLINK("http://mcb-m6.bioreg.kyushu-u.ac.jp/M3/20110404/F50778/3350/1", 110.87)</f>
        <v>110.87</v>
      </c>
      <c r="E11863" s="2">
        <v>102.03</v>
      </c>
      <c r="F11863" s="2">
        <v>2</v>
      </c>
      <c r="G11863" s="2" t="s">
        <v>9</v>
      </c>
    </row>
    <row r="11864" spans="1:8" x14ac:dyDescent="0.2">
      <c r="A11864" s="2" t="s">
        <v>3325</v>
      </c>
      <c r="B11864" s="2" t="s">
        <v>1569</v>
      </c>
      <c r="C11864" s="2">
        <v>1131.095</v>
      </c>
      <c r="D11864" s="2">
        <f>HYPERLINK("http://mcb-m6.bioreg.kyushu-u.ac.jp/M3/20110404/F50777/3127/1", 117.96)</f>
        <v>117.96</v>
      </c>
      <c r="E11864" s="2">
        <v>109.78</v>
      </c>
      <c r="F11864" s="2">
        <v>2</v>
      </c>
      <c r="G11864" s="2" t="s">
        <v>9</v>
      </c>
    </row>
    <row r="11865" spans="1:8" x14ac:dyDescent="0.2">
      <c r="A11865" s="2" t="s">
        <v>3325</v>
      </c>
      <c r="B11865" s="2" t="s">
        <v>1569</v>
      </c>
      <c r="C11865" s="2">
        <v>1130.498</v>
      </c>
      <c r="D11865" s="2">
        <f>HYPERLINK("http://mcb-m6.bioreg.kyushu-u.ac.jp/M3/20110404/F50777/3124/1", 123.18)</f>
        <v>123.18</v>
      </c>
      <c r="E11865" s="2">
        <v>112.47</v>
      </c>
      <c r="F11865" s="2">
        <v>2</v>
      </c>
      <c r="G11865" s="2" t="s">
        <v>9</v>
      </c>
    </row>
    <row r="11866" spans="1:8" x14ac:dyDescent="0.2">
      <c r="A11866" s="2" t="s">
        <v>3325</v>
      </c>
      <c r="B11866" s="2" t="s">
        <v>254</v>
      </c>
      <c r="C11866" s="2">
        <v>993.37300000000005</v>
      </c>
      <c r="D11866" s="2">
        <f>HYPERLINK("http://mcb-m6.bioreg.kyushu-u.ac.jp/M3/20110404/F50774/1020/1", 37.2)</f>
        <v>37.200000000000003</v>
      </c>
      <c r="E11866" s="2">
        <v>9.57</v>
      </c>
      <c r="F11866" s="2">
        <v>1</v>
      </c>
      <c r="G11866" s="2" t="s">
        <v>10</v>
      </c>
    </row>
    <row r="11867" spans="1:8" x14ac:dyDescent="0.2">
      <c r="A11867" s="2" t="s">
        <v>3325</v>
      </c>
      <c r="B11867" s="2" t="s">
        <v>549</v>
      </c>
      <c r="C11867" s="2">
        <v>1197.7329999999999</v>
      </c>
      <c r="D11867" s="2">
        <f>HYPERLINK("http://mcb-m6.bioreg.kyushu-u.ac.jp/M3/20110404/F50774/1356/1", 37.82)</f>
        <v>37.82</v>
      </c>
      <c r="E11867" s="2">
        <v>14.27</v>
      </c>
      <c r="F11867" s="2">
        <v>1</v>
      </c>
      <c r="G11867" s="2" t="s">
        <v>10</v>
      </c>
    </row>
    <row r="11868" spans="1:8" x14ac:dyDescent="0.2">
      <c r="A11868" s="2" t="s">
        <v>3325</v>
      </c>
      <c r="B11868" s="2" t="s">
        <v>237</v>
      </c>
      <c r="C11868" s="2">
        <v>1199.731</v>
      </c>
      <c r="D11868" s="2">
        <f>HYPERLINK("http://mcb-m6.bioreg.kyushu-u.ac.jp/M3/20110404/F50774/1359/1", 39.91)</f>
        <v>39.909999999999997</v>
      </c>
      <c r="E11868" s="2">
        <v>22.62</v>
      </c>
      <c r="F11868" s="2">
        <v>1</v>
      </c>
      <c r="G11868" s="2" t="s">
        <v>10</v>
      </c>
    </row>
    <row r="11869" spans="1:8" x14ac:dyDescent="0.2">
      <c r="A11869" s="2" t="s">
        <v>3325</v>
      </c>
      <c r="B11869" s="2" t="s">
        <v>650</v>
      </c>
      <c r="C11869" s="2">
        <v>1252.4960000000001</v>
      </c>
      <c r="D11869" s="2">
        <f>HYPERLINK("http://mcb-m6.bioreg.kyushu-u.ac.jp/M3/20110404/F50774/1454/1", 52.87)</f>
        <v>52.87</v>
      </c>
      <c r="E11869" s="2">
        <v>27.42</v>
      </c>
      <c r="F11869" s="2">
        <v>1</v>
      </c>
      <c r="G11869" s="2" t="s">
        <v>10</v>
      </c>
    </row>
    <row r="11870" spans="1:8" x14ac:dyDescent="0.2">
      <c r="A11870" s="2" t="s">
        <v>3325</v>
      </c>
      <c r="B11870" s="2" t="s">
        <v>1020</v>
      </c>
      <c r="C11870" s="2">
        <v>652.16970000000003</v>
      </c>
      <c r="D11870" s="2">
        <f>HYPERLINK("http://mcb-m6.bioreg.kyushu-u.ac.jp/M3/20110404/F50774/1514/1", 61.94)</f>
        <v>61.94</v>
      </c>
      <c r="E11870" s="2">
        <v>41.16</v>
      </c>
      <c r="F11870" s="2">
        <v>2</v>
      </c>
      <c r="G11870" s="2" t="s">
        <v>10</v>
      </c>
    </row>
    <row r="11871" spans="1:8" x14ac:dyDescent="0.2">
      <c r="A11871" s="2" t="s">
        <v>3325</v>
      </c>
      <c r="B11871" s="2" t="s">
        <v>650</v>
      </c>
      <c r="C11871" s="2">
        <v>626.85720000000003</v>
      </c>
      <c r="D11871" s="2">
        <f>HYPERLINK("http://mcb-m6.bioreg.kyushu-u.ac.jp/M3/20110404/F50774/1456/1", 63.52)</f>
        <v>63.52</v>
      </c>
      <c r="E11871" s="2">
        <v>33.79</v>
      </c>
      <c r="F11871" s="2">
        <v>2</v>
      </c>
      <c r="G11871" s="2" t="s">
        <v>10</v>
      </c>
    </row>
    <row r="11872" spans="1:8" x14ac:dyDescent="0.2">
      <c r="A11872" s="2" t="s">
        <v>3325</v>
      </c>
      <c r="B11872" s="2" t="s">
        <v>1020</v>
      </c>
      <c r="C11872" s="2">
        <v>1303.482</v>
      </c>
      <c r="D11872" s="2">
        <f>HYPERLINK("http://mcb-m6.bioreg.kyushu-u.ac.jp/M3/20110404/F50774/1515/1", 64.99)</f>
        <v>64.989999999999995</v>
      </c>
      <c r="E11872" s="2">
        <v>47.45</v>
      </c>
      <c r="F11872" s="2">
        <v>1</v>
      </c>
      <c r="G11872" s="2" t="s">
        <v>10</v>
      </c>
    </row>
    <row r="11873" spans="1:8" x14ac:dyDescent="0.2">
      <c r="A11873" s="2" t="s">
        <v>3325</v>
      </c>
      <c r="B11873" s="2" t="s">
        <v>1043</v>
      </c>
      <c r="C11873" s="2">
        <v>1481.7339999999999</v>
      </c>
      <c r="D11873" s="2">
        <f>HYPERLINK("http://mcb-m6.bioreg.kyushu-u.ac.jp/M3/20110404/F50774/1894/1", 73.7)</f>
        <v>73.7</v>
      </c>
      <c r="E11873" s="2">
        <v>63.13</v>
      </c>
      <c r="F11873" s="2">
        <v>1</v>
      </c>
      <c r="G11873" s="2" t="s">
        <v>10</v>
      </c>
    </row>
    <row r="11874" spans="1:8" x14ac:dyDescent="0.2">
      <c r="A11874" s="2" t="s">
        <v>3325</v>
      </c>
      <c r="B11874" s="2" t="s">
        <v>1020</v>
      </c>
      <c r="C11874" s="2">
        <v>660.25710000000004</v>
      </c>
      <c r="D11874" s="2">
        <f>HYPERLINK("http://mcb-m6.bioreg.kyushu-u.ac.jp/M3/20110404/F50774/1534/1", 73.98)</f>
        <v>73.98</v>
      </c>
      <c r="E11874" s="2">
        <v>48.9</v>
      </c>
      <c r="F11874" s="2">
        <v>2</v>
      </c>
      <c r="G11874" s="2" t="s">
        <v>10</v>
      </c>
      <c r="H11874" s="2" t="s">
        <v>4919</v>
      </c>
    </row>
    <row r="11875" spans="1:8" x14ac:dyDescent="0.2">
      <c r="A11875" s="2" t="s">
        <v>3325</v>
      </c>
      <c r="B11875" s="2" t="s">
        <v>1043</v>
      </c>
      <c r="C11875" s="2">
        <v>741.83259999999996</v>
      </c>
      <c r="D11875" s="2">
        <f>HYPERLINK("http://mcb-m6.bioreg.kyushu-u.ac.jp/M3/20110404/F50775/1964/1", 75.42)</f>
        <v>75.42</v>
      </c>
      <c r="E11875" s="2">
        <v>65.709999999999994</v>
      </c>
      <c r="F11875" s="2">
        <v>2</v>
      </c>
      <c r="G11875" s="2" t="s">
        <v>10</v>
      </c>
    </row>
    <row r="11876" spans="1:8" x14ac:dyDescent="0.2">
      <c r="A11876" s="2" t="s">
        <v>3325</v>
      </c>
      <c r="B11876" s="2" t="s">
        <v>1043</v>
      </c>
      <c r="C11876" s="2">
        <v>741.90419999999995</v>
      </c>
      <c r="D11876" s="2">
        <f>HYPERLINK("http://mcb-m6.bioreg.kyushu-u.ac.jp/M3/20110404/F50774/1898/1", 87.5)</f>
        <v>87.5</v>
      </c>
      <c r="E11876" s="2">
        <v>74.819999999999993</v>
      </c>
      <c r="F11876" s="2">
        <v>2</v>
      </c>
      <c r="G11876" s="2" t="s">
        <v>10</v>
      </c>
    </row>
    <row r="11877" spans="1:8" x14ac:dyDescent="0.2">
      <c r="A11877" s="2" t="s">
        <v>3325</v>
      </c>
      <c r="B11877" s="2" t="s">
        <v>1043</v>
      </c>
      <c r="C11877" s="2">
        <v>741.40009999999995</v>
      </c>
      <c r="D11877" s="2">
        <f>HYPERLINK("http://mcb-m6.bioreg.kyushu-u.ac.jp/M3/20110404/F50774/1895/1", 99.36)</f>
        <v>99.36</v>
      </c>
      <c r="E11877" s="2">
        <v>85.34</v>
      </c>
      <c r="F11877" s="2">
        <v>2</v>
      </c>
      <c r="G11877" s="2" t="s">
        <v>10</v>
      </c>
    </row>
    <row r="11878" spans="1:8" x14ac:dyDescent="0.2">
      <c r="A11878" s="2" t="s">
        <v>3325</v>
      </c>
      <c r="B11878" s="2" t="s">
        <v>1569</v>
      </c>
      <c r="C11878" s="2">
        <v>1130.9559999999999</v>
      </c>
      <c r="D11878" s="2">
        <f>HYPERLINK("http://mcb-m6.bioreg.kyushu-u.ac.jp/M3/20110404/F50774/2930/1", 119.06)</f>
        <v>119.06</v>
      </c>
      <c r="E11878" s="2">
        <v>112.75</v>
      </c>
      <c r="F11878" s="2">
        <v>2</v>
      </c>
      <c r="G11878" s="2" t="s">
        <v>10</v>
      </c>
    </row>
    <row r="11879" spans="1:8" x14ac:dyDescent="0.2">
      <c r="A11879" s="2" t="s">
        <v>3325</v>
      </c>
      <c r="B11879" s="2" t="s">
        <v>625</v>
      </c>
      <c r="C11879" s="2">
        <v>495.33960000000002</v>
      </c>
      <c r="D11879" s="2">
        <f>HYPERLINK("http://mcb-m6.bioreg.kyushu-u.ac.jp/M3/20110421/F51037/685/1", 35.49)</f>
        <v>35.49</v>
      </c>
      <c r="E11879" s="2">
        <v>11.74</v>
      </c>
      <c r="F11879" s="2">
        <v>2</v>
      </c>
      <c r="G11879" s="2" t="s">
        <v>11</v>
      </c>
    </row>
    <row r="11880" spans="1:8" x14ac:dyDescent="0.2">
      <c r="A11880" s="2" t="s">
        <v>3325</v>
      </c>
      <c r="B11880" s="2" t="s">
        <v>549</v>
      </c>
      <c r="C11880" s="2">
        <v>599.8297</v>
      </c>
      <c r="D11880" s="2">
        <f>HYPERLINK("http://mcb-m6.bioreg.kyushu-u.ac.jp/M3/20110421/F51037/1225/1", 38.78)</f>
        <v>38.78</v>
      </c>
      <c r="E11880" s="2">
        <v>12.41</v>
      </c>
      <c r="F11880" s="2">
        <v>2</v>
      </c>
      <c r="G11880" s="2" t="s">
        <v>11</v>
      </c>
    </row>
    <row r="11881" spans="1:8" x14ac:dyDescent="0.2">
      <c r="A11881" s="2" t="s">
        <v>3325</v>
      </c>
      <c r="B11881" s="2" t="s">
        <v>625</v>
      </c>
      <c r="C11881" s="2">
        <v>989.44200000000001</v>
      </c>
      <c r="D11881" s="2">
        <f>HYPERLINK("http://mcb-m6.bioreg.kyushu-u.ac.jp/M3/20110421/F51037/681/1", 40.03)</f>
        <v>40.03</v>
      </c>
      <c r="E11881" s="2">
        <v>10.27</v>
      </c>
      <c r="F11881" s="2">
        <v>1</v>
      </c>
      <c r="G11881" s="2" t="s">
        <v>11</v>
      </c>
    </row>
    <row r="11882" spans="1:8" x14ac:dyDescent="0.2">
      <c r="A11882" s="2" t="s">
        <v>3325</v>
      </c>
      <c r="B11882" s="2" t="s">
        <v>7097</v>
      </c>
      <c r="C11882" s="2">
        <v>563.30160000000001</v>
      </c>
      <c r="D11882" s="2">
        <f>HYPERLINK("http://mcb-m6.bioreg.kyushu-u.ac.jp/M3/20110421/F51037/1030/1", 40.58)</f>
        <v>40.58</v>
      </c>
      <c r="E11882" s="2">
        <v>24.27</v>
      </c>
      <c r="F11882" s="2">
        <v>2</v>
      </c>
      <c r="G11882" s="2" t="s">
        <v>11</v>
      </c>
    </row>
    <row r="11883" spans="1:8" x14ac:dyDescent="0.2">
      <c r="A11883" s="2" t="s">
        <v>3325</v>
      </c>
      <c r="B11883" s="2" t="s">
        <v>1020</v>
      </c>
      <c r="C11883" s="2">
        <v>1303.933</v>
      </c>
      <c r="D11883" s="2">
        <f>HYPERLINK("http://mcb-m6.bioreg.kyushu-u.ac.jp/M3/20110421/F51037/1490/1", 48.3)</f>
        <v>48.3</v>
      </c>
      <c r="E11883" s="2">
        <v>31.63</v>
      </c>
      <c r="F11883" s="2">
        <v>1</v>
      </c>
      <c r="G11883" s="2" t="s">
        <v>11</v>
      </c>
    </row>
    <row r="11884" spans="1:8" x14ac:dyDescent="0.2">
      <c r="A11884" s="2" t="s">
        <v>3325</v>
      </c>
      <c r="B11884" s="2" t="s">
        <v>1569</v>
      </c>
      <c r="C11884" s="2">
        <v>1130.3579999999999</v>
      </c>
      <c r="D11884" s="2">
        <f>HYPERLINK("http://mcb-m6.bioreg.kyushu-u.ac.jp/M3/20110421/F51039/3468/1", 51.24)</f>
        <v>51.24</v>
      </c>
      <c r="E11884" s="2">
        <v>40.93</v>
      </c>
      <c r="F11884" s="2">
        <v>2</v>
      </c>
      <c r="G11884" s="2" t="s">
        <v>11</v>
      </c>
    </row>
    <row r="11885" spans="1:8" x14ac:dyDescent="0.2">
      <c r="A11885" s="2" t="s">
        <v>3325</v>
      </c>
      <c r="B11885" s="2" t="s">
        <v>237</v>
      </c>
      <c r="C11885" s="2">
        <v>1199.597</v>
      </c>
      <c r="D11885" s="2">
        <f>HYPERLINK("http://mcb-m6.bioreg.kyushu-u.ac.jp/M3/20110421/F51037/1231/1", 52.79)</f>
        <v>52.79</v>
      </c>
      <c r="E11885" s="2">
        <v>31.89</v>
      </c>
      <c r="F11885" s="2">
        <v>1</v>
      </c>
      <c r="G11885" s="2" t="s">
        <v>11</v>
      </c>
    </row>
    <row r="11886" spans="1:8" x14ac:dyDescent="0.2">
      <c r="A11886" s="2" t="s">
        <v>3325</v>
      </c>
      <c r="B11886" s="2" t="s">
        <v>650</v>
      </c>
      <c r="C11886" s="2">
        <v>627.13959999999997</v>
      </c>
      <c r="D11886" s="2">
        <f>HYPERLINK("http://mcb-m6.bioreg.kyushu-u.ac.jp/M3/20110421/F51037/1378/1", 57.54)</f>
        <v>57.54</v>
      </c>
      <c r="E11886" s="2">
        <v>27.66</v>
      </c>
      <c r="F11886" s="2">
        <v>2</v>
      </c>
      <c r="G11886" s="2" t="s">
        <v>11</v>
      </c>
    </row>
    <row r="11887" spans="1:8" x14ac:dyDescent="0.2">
      <c r="A11887" s="2" t="s">
        <v>3325</v>
      </c>
      <c r="B11887" s="2" t="s">
        <v>650</v>
      </c>
      <c r="C11887" s="2">
        <v>634.80909999999994</v>
      </c>
      <c r="D11887" s="2">
        <f>HYPERLINK("http://mcb-m6.bioreg.kyushu-u.ac.jp/M3/20110421/F51037/1423/1", 58.69)</f>
        <v>58.69</v>
      </c>
      <c r="E11887" s="2">
        <v>24.31</v>
      </c>
      <c r="F11887" s="2">
        <v>2</v>
      </c>
      <c r="G11887" s="2" t="s">
        <v>11</v>
      </c>
      <c r="H11887" s="2" t="s">
        <v>4908</v>
      </c>
    </row>
    <row r="11888" spans="1:8" x14ac:dyDescent="0.2">
      <c r="A11888" s="2" t="s">
        <v>3325</v>
      </c>
      <c r="B11888" s="2" t="s">
        <v>1043</v>
      </c>
      <c r="C11888" s="2">
        <v>741.97360000000003</v>
      </c>
      <c r="D11888" s="2">
        <f>HYPERLINK("http://mcb-m6.bioreg.kyushu-u.ac.jp/M3/20110421/F51042/1927/1", 65.15)</f>
        <v>65.150000000000006</v>
      </c>
      <c r="E11888" s="2">
        <v>36.86</v>
      </c>
      <c r="F11888" s="2">
        <v>2</v>
      </c>
      <c r="G11888" s="2" t="s">
        <v>11</v>
      </c>
    </row>
    <row r="11889" spans="1:8" x14ac:dyDescent="0.2">
      <c r="A11889" s="2" t="s">
        <v>3325</v>
      </c>
      <c r="B11889" s="2" t="s">
        <v>1043</v>
      </c>
      <c r="C11889" s="2">
        <v>741.38120000000004</v>
      </c>
      <c r="D11889" s="2">
        <f>HYPERLINK("http://mcb-m6.bioreg.kyushu-u.ac.jp/M3/20110421/F51040/2057/1", 65.31)</f>
        <v>65.31</v>
      </c>
      <c r="E11889" s="2">
        <v>58.11</v>
      </c>
      <c r="F11889" s="2">
        <v>2</v>
      </c>
      <c r="G11889" s="2" t="s">
        <v>11</v>
      </c>
    </row>
    <row r="11890" spans="1:8" x14ac:dyDescent="0.2">
      <c r="A11890" s="2" t="s">
        <v>3325</v>
      </c>
      <c r="B11890" s="2" t="s">
        <v>625</v>
      </c>
      <c r="C11890" s="2">
        <v>495.2901</v>
      </c>
      <c r="D11890" s="2">
        <f>HYPERLINK("http://mcb-m6.bioreg.kyushu-u.ac.jp/M3/20110421/F51037/683/1", 66.59)</f>
        <v>66.59</v>
      </c>
      <c r="E11890" s="2">
        <v>30.26</v>
      </c>
      <c r="F11890" s="2">
        <v>2</v>
      </c>
      <c r="G11890" s="2" t="s">
        <v>11</v>
      </c>
    </row>
    <row r="11891" spans="1:8" x14ac:dyDescent="0.2">
      <c r="A11891" s="2" t="s">
        <v>3325</v>
      </c>
      <c r="B11891" s="2" t="s">
        <v>1569</v>
      </c>
      <c r="C11891" s="2">
        <v>754.25279999999998</v>
      </c>
      <c r="D11891" s="2">
        <f>HYPERLINK("http://mcb-m6.bioreg.kyushu-u.ac.jp/M3/20110421/F51037/3760/1", 80.23)</f>
        <v>80.23</v>
      </c>
      <c r="E11891" s="2">
        <v>68.28</v>
      </c>
      <c r="F11891" s="2">
        <v>3</v>
      </c>
      <c r="G11891" s="2" t="s">
        <v>11</v>
      </c>
    </row>
    <row r="11892" spans="1:8" x14ac:dyDescent="0.2">
      <c r="A11892" s="2" t="s">
        <v>3325</v>
      </c>
      <c r="B11892" s="2" t="s">
        <v>1020</v>
      </c>
      <c r="C11892" s="2">
        <v>652.23419999999999</v>
      </c>
      <c r="D11892" s="2">
        <f>HYPERLINK("http://mcb-m6.bioreg.kyushu-u.ac.jp/M3/20110421/F51037/1486/1", 80.24)</f>
        <v>80.239999999999995</v>
      </c>
      <c r="E11892" s="2">
        <v>51.05</v>
      </c>
      <c r="F11892" s="2">
        <v>2</v>
      </c>
      <c r="G11892" s="2" t="s">
        <v>11</v>
      </c>
    </row>
    <row r="11893" spans="1:8" x14ac:dyDescent="0.2">
      <c r="A11893" s="2" t="s">
        <v>3325</v>
      </c>
      <c r="B11893" s="2" t="s">
        <v>237</v>
      </c>
      <c r="C11893" s="2">
        <v>600.78120000000001</v>
      </c>
      <c r="D11893" s="2">
        <f>HYPERLINK("http://mcb-m6.bioreg.kyushu-u.ac.jp/M3/20110421/F51037/1234/1", 83.55)</f>
        <v>83.55</v>
      </c>
      <c r="E11893" s="2">
        <v>43.77</v>
      </c>
      <c r="F11893" s="2">
        <v>2</v>
      </c>
      <c r="G11893" s="2" t="s">
        <v>11</v>
      </c>
    </row>
    <row r="11894" spans="1:8" x14ac:dyDescent="0.2">
      <c r="A11894" s="2" t="s">
        <v>3325</v>
      </c>
      <c r="B11894" s="2" t="s">
        <v>1043</v>
      </c>
      <c r="C11894" s="2">
        <v>741.43619999999999</v>
      </c>
      <c r="D11894" s="2">
        <f>HYPERLINK("http://mcb-m6.bioreg.kyushu-u.ac.jp/M3/20110421/F51037/2019/1", 109.97)</f>
        <v>109.97</v>
      </c>
      <c r="E11894" s="2">
        <v>97.56</v>
      </c>
      <c r="F11894" s="2">
        <v>2</v>
      </c>
      <c r="G11894" s="2" t="s">
        <v>11</v>
      </c>
    </row>
    <row r="11895" spans="1:8" x14ac:dyDescent="0.2">
      <c r="A11895" s="2" t="s">
        <v>3325</v>
      </c>
      <c r="B11895" s="2" t="s">
        <v>1569</v>
      </c>
      <c r="C11895" s="2">
        <v>1130.43</v>
      </c>
      <c r="D11895" s="2">
        <f>HYPERLINK("http://mcb-m6.bioreg.kyushu-u.ac.jp/M3/20110421/F51037/3759/1", 120.5)</f>
        <v>120.5</v>
      </c>
      <c r="E11895" s="2">
        <v>109.15</v>
      </c>
      <c r="F11895" s="2">
        <v>2</v>
      </c>
      <c r="G11895" s="2" t="s">
        <v>11</v>
      </c>
    </row>
    <row r="11896" spans="1:8" x14ac:dyDescent="0.2">
      <c r="A11896" s="2" t="s">
        <v>3325</v>
      </c>
      <c r="B11896" s="2" t="s">
        <v>254</v>
      </c>
      <c r="C11896" s="2">
        <v>497.48509999999999</v>
      </c>
      <c r="D11896" s="2">
        <f>HYPERLINK("http://mcb-m6.bioreg.kyushu-u.ac.jp/M3/20110421/F51047/954/1", 37.94)</f>
        <v>37.94</v>
      </c>
      <c r="E11896" s="2">
        <v>17.670000000000002</v>
      </c>
      <c r="F11896" s="2">
        <v>2</v>
      </c>
      <c r="G11896" s="2" t="s">
        <v>12</v>
      </c>
    </row>
    <row r="11897" spans="1:8" x14ac:dyDescent="0.2">
      <c r="A11897" s="2" t="s">
        <v>3325</v>
      </c>
      <c r="B11897" s="2" t="s">
        <v>625</v>
      </c>
      <c r="C11897" s="2">
        <v>989.67499999999995</v>
      </c>
      <c r="D11897" s="2">
        <f>HYPERLINK("http://mcb-m6.bioreg.kyushu-u.ac.jp/M3/20110421/F51047/944/1", 40.72)</f>
        <v>40.72</v>
      </c>
      <c r="E11897" s="2">
        <v>14.85</v>
      </c>
      <c r="F11897" s="2">
        <v>1</v>
      </c>
      <c r="G11897" s="2" t="s">
        <v>12</v>
      </c>
    </row>
    <row r="11898" spans="1:8" x14ac:dyDescent="0.2">
      <c r="A11898" s="2" t="s">
        <v>3325</v>
      </c>
      <c r="B11898" s="2" t="s">
        <v>1043</v>
      </c>
      <c r="C11898" s="2">
        <v>741.43769999999995</v>
      </c>
      <c r="D11898" s="2">
        <f>HYPERLINK("http://mcb-m6.bioreg.kyushu-u.ac.jp/M3/20110421/F51044/2057/1", 45.39)</f>
        <v>45.39</v>
      </c>
      <c r="E11898" s="2">
        <v>35.5</v>
      </c>
      <c r="F11898" s="2">
        <v>2</v>
      </c>
      <c r="G11898" s="2" t="s">
        <v>12</v>
      </c>
    </row>
    <row r="11899" spans="1:8" x14ac:dyDescent="0.2">
      <c r="A11899" s="2" t="s">
        <v>3325</v>
      </c>
      <c r="B11899" s="2" t="s">
        <v>625</v>
      </c>
      <c r="C11899" s="2">
        <v>495.36360000000002</v>
      </c>
      <c r="D11899" s="2">
        <f>HYPERLINK("http://mcb-m6.bioreg.kyushu-u.ac.jp/M3/20110421/F51048/1058/1", 46.9)</f>
        <v>46.9</v>
      </c>
      <c r="E11899" s="2">
        <v>15.81</v>
      </c>
      <c r="F11899" s="2">
        <v>2</v>
      </c>
      <c r="G11899" s="2" t="s">
        <v>12</v>
      </c>
    </row>
    <row r="11900" spans="1:8" x14ac:dyDescent="0.2">
      <c r="A11900" s="2" t="s">
        <v>3325</v>
      </c>
      <c r="B11900" s="2" t="s">
        <v>237</v>
      </c>
      <c r="C11900" s="2">
        <v>1199.759</v>
      </c>
      <c r="D11900" s="2">
        <f>HYPERLINK("http://mcb-m6.bioreg.kyushu-u.ac.jp/M3/20110421/F51047/1447/1", 50.62)</f>
        <v>50.62</v>
      </c>
      <c r="E11900" s="2">
        <v>25.56</v>
      </c>
      <c r="F11900" s="2">
        <v>1</v>
      </c>
      <c r="G11900" s="2" t="s">
        <v>12</v>
      </c>
    </row>
    <row r="11901" spans="1:8" x14ac:dyDescent="0.2">
      <c r="A11901" s="2" t="s">
        <v>3325</v>
      </c>
      <c r="B11901" s="2" t="s">
        <v>1020</v>
      </c>
      <c r="C11901" s="2">
        <v>652.80020000000002</v>
      </c>
      <c r="D11901" s="2">
        <f>HYPERLINK("http://mcb-m6.bioreg.kyushu-u.ac.jp/M3/20110421/F51047/1632/1", 52.91)</f>
        <v>52.91</v>
      </c>
      <c r="E11901" s="2">
        <v>27.09</v>
      </c>
      <c r="F11901" s="2">
        <v>2</v>
      </c>
      <c r="G11901" s="2" t="s">
        <v>12</v>
      </c>
    </row>
    <row r="11902" spans="1:8" x14ac:dyDescent="0.2">
      <c r="A11902" s="2" t="s">
        <v>3325</v>
      </c>
      <c r="B11902" s="2" t="s">
        <v>650</v>
      </c>
      <c r="C11902" s="2">
        <v>626.99620000000004</v>
      </c>
      <c r="D11902" s="2">
        <f>HYPERLINK("http://mcb-m6.bioreg.kyushu-u.ac.jp/M3/20110421/F51047/1554/1", 53.05)</f>
        <v>53.05</v>
      </c>
      <c r="E11902" s="2">
        <v>23.55</v>
      </c>
      <c r="F11902" s="2">
        <v>2</v>
      </c>
      <c r="G11902" s="2" t="s">
        <v>12</v>
      </c>
    </row>
    <row r="11903" spans="1:8" x14ac:dyDescent="0.2">
      <c r="A11903" s="2" t="s">
        <v>3325</v>
      </c>
      <c r="B11903" s="2" t="s">
        <v>1020</v>
      </c>
      <c r="C11903" s="2">
        <v>1303.578</v>
      </c>
      <c r="D11903" s="2">
        <f>HYPERLINK("http://mcb-m6.bioreg.kyushu-u.ac.jp/M3/20110421/F51047/1628/1", 54.12)</f>
        <v>54.12</v>
      </c>
      <c r="E11903" s="2">
        <v>40.99</v>
      </c>
      <c r="F11903" s="2">
        <v>1</v>
      </c>
      <c r="G11903" s="2" t="s">
        <v>12</v>
      </c>
    </row>
    <row r="11904" spans="1:8" x14ac:dyDescent="0.2">
      <c r="A11904" s="2" t="s">
        <v>3325</v>
      </c>
      <c r="B11904" s="2" t="s">
        <v>650</v>
      </c>
      <c r="C11904" s="2">
        <v>635.07569999999998</v>
      </c>
      <c r="D11904" s="2">
        <f>HYPERLINK("http://mcb-m6.bioreg.kyushu-u.ac.jp/M3/20110421/F51047/1587/1", 56.65)</f>
        <v>56.65</v>
      </c>
      <c r="E11904" s="2">
        <v>36.619999999999997</v>
      </c>
      <c r="F11904" s="2">
        <v>2</v>
      </c>
      <c r="G11904" s="2" t="s">
        <v>12</v>
      </c>
      <c r="H11904" s="2" t="s">
        <v>4908</v>
      </c>
    </row>
    <row r="11905" spans="1:8" x14ac:dyDescent="0.2">
      <c r="A11905" s="2" t="s">
        <v>3325</v>
      </c>
      <c r="B11905" s="2" t="s">
        <v>625</v>
      </c>
      <c r="C11905" s="2">
        <v>495.40859999999998</v>
      </c>
      <c r="D11905" s="2">
        <f>HYPERLINK("http://mcb-m6.bioreg.kyushu-u.ac.jp/M3/20110421/F51047/945/1", 64.15)</f>
        <v>64.150000000000006</v>
      </c>
      <c r="E11905" s="2">
        <v>28.77</v>
      </c>
      <c r="F11905" s="2">
        <v>2</v>
      </c>
      <c r="G11905" s="2" t="s">
        <v>12</v>
      </c>
    </row>
    <row r="11906" spans="1:8" x14ac:dyDescent="0.2">
      <c r="A11906" s="2" t="s">
        <v>3325</v>
      </c>
      <c r="B11906" s="2" t="s">
        <v>1020</v>
      </c>
      <c r="C11906" s="2">
        <v>660.34119999999996</v>
      </c>
      <c r="D11906" s="2">
        <f>HYPERLINK("http://mcb-m6.bioreg.kyushu-u.ac.jp/M3/20110421/F51047/1665/1", 70.52)</f>
        <v>70.52</v>
      </c>
      <c r="E11906" s="2">
        <v>51.73</v>
      </c>
      <c r="F11906" s="2">
        <v>2</v>
      </c>
      <c r="G11906" s="2" t="s">
        <v>12</v>
      </c>
      <c r="H11906" s="2" t="s">
        <v>4919</v>
      </c>
    </row>
    <row r="11907" spans="1:8" x14ac:dyDescent="0.2">
      <c r="A11907" s="2" t="s">
        <v>3325</v>
      </c>
      <c r="B11907" s="2" t="s">
        <v>1043</v>
      </c>
      <c r="C11907" s="2">
        <v>741.56370000000004</v>
      </c>
      <c r="D11907" s="2">
        <f>HYPERLINK("http://mcb-m6.bioreg.kyushu-u.ac.jp/M3/20110421/F51047/2149/1", 95.8)</f>
        <v>95.8</v>
      </c>
      <c r="E11907" s="2">
        <v>73.36</v>
      </c>
      <c r="F11907" s="2">
        <v>2</v>
      </c>
      <c r="G11907" s="2" t="s">
        <v>12</v>
      </c>
    </row>
    <row r="11908" spans="1:8" x14ac:dyDescent="0.2">
      <c r="A11908" s="2" t="s">
        <v>3325</v>
      </c>
      <c r="B11908" s="2" t="s">
        <v>237</v>
      </c>
      <c r="C11908" s="2">
        <v>1199.421</v>
      </c>
      <c r="D11908" s="2">
        <f>HYPERLINK("http://mcb-m6.bioreg.kyushu-u.ac.jp/M3/20110428/F51132/1346/1", 42.16)</f>
        <v>42.16</v>
      </c>
      <c r="E11908" s="2">
        <v>18.05</v>
      </c>
      <c r="F11908" s="2">
        <v>1</v>
      </c>
      <c r="G11908" s="2" t="s">
        <v>13</v>
      </c>
    </row>
    <row r="11909" spans="1:8" x14ac:dyDescent="0.2">
      <c r="A11909" s="2" t="s">
        <v>3325</v>
      </c>
      <c r="B11909" s="2" t="s">
        <v>254</v>
      </c>
      <c r="C11909" s="2">
        <v>497.12759999999997</v>
      </c>
      <c r="D11909" s="2">
        <f>HYPERLINK("http://mcb-m6.bioreg.kyushu-u.ac.jp/M3/20110428/F51132/879/1", 42.77)</f>
        <v>42.77</v>
      </c>
      <c r="E11909" s="2">
        <v>14.47</v>
      </c>
      <c r="F11909" s="2">
        <v>2</v>
      </c>
      <c r="G11909" s="2" t="s">
        <v>13</v>
      </c>
    </row>
    <row r="11910" spans="1:8" x14ac:dyDescent="0.2">
      <c r="A11910" s="2" t="s">
        <v>3325</v>
      </c>
      <c r="B11910" s="2" t="s">
        <v>1043</v>
      </c>
      <c r="C11910" s="2">
        <v>741.8202</v>
      </c>
      <c r="D11910" s="2">
        <f>HYPERLINK("http://mcb-m6.bioreg.kyushu-u.ac.jp/M3/20110427/F51115/1987/1", 45.12)</f>
        <v>45.12</v>
      </c>
      <c r="E11910" s="2">
        <v>1.29</v>
      </c>
      <c r="F11910" s="2">
        <v>2</v>
      </c>
      <c r="G11910" s="2" t="s">
        <v>13</v>
      </c>
    </row>
    <row r="11911" spans="1:8" x14ac:dyDescent="0.2">
      <c r="A11911" s="2" t="s">
        <v>3325</v>
      </c>
      <c r="B11911" s="2" t="s">
        <v>650</v>
      </c>
      <c r="C11911" s="2">
        <v>634.68370000000004</v>
      </c>
      <c r="D11911" s="2">
        <f>HYPERLINK("http://mcb-m6.bioreg.kyushu-u.ac.jp/M3/20110428/F51132/1464/1", 48.12)</f>
        <v>48.12</v>
      </c>
      <c r="E11911" s="2">
        <v>26.12</v>
      </c>
      <c r="F11911" s="2">
        <v>2</v>
      </c>
      <c r="G11911" s="2" t="s">
        <v>13</v>
      </c>
      <c r="H11911" s="2" t="s">
        <v>4908</v>
      </c>
    </row>
    <row r="11912" spans="1:8" x14ac:dyDescent="0.2">
      <c r="A11912" s="2" t="s">
        <v>3325</v>
      </c>
      <c r="B11912" s="2" t="s">
        <v>237</v>
      </c>
      <c r="C11912" s="2">
        <v>600.09270000000004</v>
      </c>
      <c r="D11912" s="2">
        <f>HYPERLINK("http://mcb-m6.bioreg.kyushu-u.ac.jp/M3/20110428/F51132/1344/1", 48.75)</f>
        <v>48.75</v>
      </c>
      <c r="E11912" s="2">
        <v>27.48</v>
      </c>
      <c r="F11912" s="2">
        <v>2</v>
      </c>
      <c r="G11912" s="2" t="s">
        <v>13</v>
      </c>
    </row>
    <row r="11913" spans="1:8" x14ac:dyDescent="0.2">
      <c r="A11913" s="2" t="s">
        <v>3325</v>
      </c>
      <c r="B11913" s="2" t="s">
        <v>1043</v>
      </c>
      <c r="C11913" s="2">
        <v>740.86659999999995</v>
      </c>
      <c r="D11913" s="2">
        <f>HYPERLINK("http://mcb-m6.bioreg.kyushu-u.ac.jp/M3/20110428/F51133/1903/1", 48.78)</f>
        <v>48.78</v>
      </c>
      <c r="E11913" s="2">
        <v>35.33</v>
      </c>
      <c r="F11913" s="2">
        <v>2</v>
      </c>
      <c r="G11913" s="2" t="s">
        <v>13</v>
      </c>
    </row>
    <row r="11914" spans="1:8" x14ac:dyDescent="0.2">
      <c r="A11914" s="2" t="s">
        <v>3325</v>
      </c>
      <c r="B11914" s="2" t="s">
        <v>1020</v>
      </c>
      <c r="C11914" s="2">
        <v>652.55719999999997</v>
      </c>
      <c r="D11914" s="2">
        <f>HYPERLINK("http://mcb-m6.bioreg.kyushu-u.ac.jp/M3/20110428/F51127/1408/1", 49.75)</f>
        <v>49.75</v>
      </c>
      <c r="E11914" s="2">
        <v>29.75</v>
      </c>
      <c r="F11914" s="2">
        <v>2</v>
      </c>
      <c r="G11914" s="2" t="s">
        <v>13</v>
      </c>
    </row>
    <row r="11915" spans="1:8" x14ac:dyDescent="0.2">
      <c r="A11915" s="2" t="s">
        <v>3325</v>
      </c>
      <c r="B11915" s="2" t="s">
        <v>7383</v>
      </c>
      <c r="C11915" s="2">
        <v>860.78800000000001</v>
      </c>
      <c r="D11915" s="2">
        <f>HYPERLINK("http://mcb-m6.bioreg.kyushu-u.ac.jp/M3/20110428/F51132/591/1", 53.09)</f>
        <v>53.09</v>
      </c>
      <c r="E11915" s="2">
        <v>18.100000000000001</v>
      </c>
      <c r="F11915" s="2">
        <v>1</v>
      </c>
      <c r="G11915" s="2" t="s">
        <v>13</v>
      </c>
    </row>
    <row r="11916" spans="1:8" x14ac:dyDescent="0.2">
      <c r="A11916" s="2" t="s">
        <v>3325</v>
      </c>
      <c r="B11916" s="2" t="s">
        <v>1020</v>
      </c>
      <c r="C11916" s="2">
        <v>660.12019999999995</v>
      </c>
      <c r="D11916" s="2">
        <f>HYPERLINK("http://mcb-m6.bioreg.kyushu-u.ac.jp/M3/20110428/F51132/1535/1", 53.43)</f>
        <v>53.43</v>
      </c>
      <c r="E11916" s="2">
        <v>36.67</v>
      </c>
      <c r="F11916" s="2">
        <v>2</v>
      </c>
      <c r="G11916" s="2" t="s">
        <v>13</v>
      </c>
      <c r="H11916" s="2" t="s">
        <v>4919</v>
      </c>
    </row>
    <row r="11917" spans="1:8" x14ac:dyDescent="0.2">
      <c r="A11917" s="2" t="s">
        <v>3325</v>
      </c>
      <c r="B11917" s="2" t="s">
        <v>650</v>
      </c>
      <c r="C11917" s="2">
        <v>626.78470000000004</v>
      </c>
      <c r="D11917" s="2">
        <f>HYPERLINK("http://mcb-m6.bioreg.kyushu-u.ac.jp/M3/20110428/F51133/1332/1", 53.67)</f>
        <v>53.67</v>
      </c>
      <c r="E11917" s="2">
        <v>28.75</v>
      </c>
      <c r="F11917" s="2">
        <v>2</v>
      </c>
      <c r="G11917" s="2" t="s">
        <v>13</v>
      </c>
    </row>
    <row r="11918" spans="1:8" x14ac:dyDescent="0.2">
      <c r="A11918" s="2" t="s">
        <v>3325</v>
      </c>
      <c r="B11918" s="2" t="s">
        <v>650</v>
      </c>
      <c r="C11918" s="2">
        <v>626.72969999999998</v>
      </c>
      <c r="D11918" s="2">
        <f>HYPERLINK("http://mcb-m6.bioreg.kyushu-u.ac.jp/M3/20110428/F51132/1435/1", 64.92)</f>
        <v>64.92</v>
      </c>
      <c r="E11918" s="2">
        <v>41.34</v>
      </c>
      <c r="F11918" s="2">
        <v>2</v>
      </c>
      <c r="G11918" s="2" t="s">
        <v>13</v>
      </c>
    </row>
    <row r="11919" spans="1:8" x14ac:dyDescent="0.2">
      <c r="A11919" s="2" t="s">
        <v>3325</v>
      </c>
      <c r="B11919" s="2" t="s">
        <v>625</v>
      </c>
      <c r="C11919" s="2">
        <v>495.11360000000002</v>
      </c>
      <c r="D11919" s="2">
        <f>HYPERLINK("http://mcb-m6.bioreg.kyushu-u.ac.jp/M3/20110428/F51132/869/1", 66.75)</f>
        <v>66.75</v>
      </c>
      <c r="E11919" s="2">
        <v>31.41</v>
      </c>
      <c r="F11919" s="2">
        <v>2</v>
      </c>
      <c r="G11919" s="2" t="s">
        <v>13</v>
      </c>
    </row>
    <row r="11920" spans="1:8" x14ac:dyDescent="0.2">
      <c r="A11920" s="2" t="s">
        <v>3325</v>
      </c>
      <c r="B11920" s="2" t="s">
        <v>237</v>
      </c>
      <c r="C11920" s="2">
        <v>600.59559999999999</v>
      </c>
      <c r="D11920" s="2">
        <f>HYPERLINK("http://mcb-m6.bioreg.kyushu-u.ac.jp/M3/20110428/F51132/1349/1", 73.57)</f>
        <v>73.569999999999993</v>
      </c>
      <c r="E11920" s="2">
        <v>26.94</v>
      </c>
      <c r="F11920" s="2">
        <v>2</v>
      </c>
      <c r="G11920" s="2" t="s">
        <v>13</v>
      </c>
    </row>
    <row r="11921" spans="1:9" x14ac:dyDescent="0.2">
      <c r="A11921" s="2" t="s">
        <v>3325</v>
      </c>
      <c r="B11921" s="2" t="s">
        <v>1043</v>
      </c>
      <c r="C11921" s="2">
        <v>741.77070000000003</v>
      </c>
      <c r="D11921" s="2">
        <f>HYPERLINK("http://mcb-m6.bioreg.kyushu-u.ac.jp/M3/20110427/F51114/2062/1", 76.91)</f>
        <v>76.91</v>
      </c>
      <c r="E11921" s="2">
        <v>63.24</v>
      </c>
      <c r="F11921" s="2">
        <v>2</v>
      </c>
      <c r="G11921" s="2" t="s">
        <v>13</v>
      </c>
    </row>
    <row r="11922" spans="1:9" x14ac:dyDescent="0.2">
      <c r="A11922" s="2" t="s">
        <v>3325</v>
      </c>
      <c r="B11922" s="2" t="s">
        <v>237</v>
      </c>
      <c r="C11922" s="2">
        <v>600.73569999999995</v>
      </c>
      <c r="D11922" s="2">
        <f>HYPERLINK("http://mcb-m6.bioreg.kyushu-u.ac.jp/M3/20110428/F51127/1212/1", 79.2)</f>
        <v>79.2</v>
      </c>
      <c r="E11922" s="2">
        <v>34.840000000000003</v>
      </c>
      <c r="F11922" s="2">
        <v>2</v>
      </c>
      <c r="G11922" s="2" t="s">
        <v>13</v>
      </c>
    </row>
    <row r="11923" spans="1:9" x14ac:dyDescent="0.2">
      <c r="A11923" s="2" t="s">
        <v>3325</v>
      </c>
      <c r="B11923" s="2" t="s">
        <v>237</v>
      </c>
      <c r="C11923" s="2">
        <v>600.43370000000004</v>
      </c>
      <c r="D11923" s="2">
        <f>HYPERLINK("http://mcb-m6.bioreg.kyushu-u.ac.jp/M3/20110428/F51133/1243/1", 80.82)</f>
        <v>80.819999999999993</v>
      </c>
      <c r="E11923" s="2">
        <v>36.549999999999997</v>
      </c>
      <c r="F11923" s="2">
        <v>2</v>
      </c>
      <c r="G11923" s="2" t="s">
        <v>13</v>
      </c>
    </row>
    <row r="11924" spans="1:9" x14ac:dyDescent="0.2">
      <c r="A11924" s="2" t="s">
        <v>3325</v>
      </c>
      <c r="B11924" s="2" t="s">
        <v>1020</v>
      </c>
      <c r="C11924" s="2">
        <v>660.67909999999995</v>
      </c>
      <c r="D11924" s="2">
        <f>HYPERLINK("http://mcb-m6.bioreg.kyushu-u.ac.jp/M3/20110428/F51132/1538/1", 81.43)</f>
        <v>81.430000000000007</v>
      </c>
      <c r="E11924" s="2">
        <v>58.05</v>
      </c>
      <c r="F11924" s="2">
        <v>2</v>
      </c>
      <c r="G11924" s="2" t="s">
        <v>13</v>
      </c>
      <c r="H11924" s="2" t="s">
        <v>4919</v>
      </c>
    </row>
    <row r="11925" spans="1:9" x14ac:dyDescent="0.2">
      <c r="A11925" s="2" t="s">
        <v>3325</v>
      </c>
      <c r="B11925" s="2" t="s">
        <v>1043</v>
      </c>
      <c r="C11925" s="2">
        <v>741.26260000000002</v>
      </c>
      <c r="D11925" s="2">
        <f>HYPERLINK("http://mcb-m6.bioreg.kyushu-u.ac.jp/M3/20110428/F51132/2006/1", 90.7)</f>
        <v>90.7</v>
      </c>
      <c r="E11925" s="2">
        <v>78.540000000000006</v>
      </c>
      <c r="F11925" s="2">
        <v>2</v>
      </c>
      <c r="G11925" s="2" t="s">
        <v>13</v>
      </c>
    </row>
    <row r="11926" spans="1:9" x14ac:dyDescent="0.2">
      <c r="A11926" s="2" t="s">
        <v>3325</v>
      </c>
      <c r="B11926" s="2" t="s">
        <v>1043</v>
      </c>
      <c r="C11926" s="2">
        <v>741.26319999999998</v>
      </c>
      <c r="D11926" s="2">
        <f>HYPERLINK("http://mcb-m6.bioreg.kyushu-u.ac.jp/M3/20110428/F51127/1883/1", 101.72)</f>
        <v>101.72</v>
      </c>
      <c r="E11926" s="2">
        <v>88.53</v>
      </c>
      <c r="F11926" s="2">
        <v>2</v>
      </c>
      <c r="G11926" s="2" t="s">
        <v>13</v>
      </c>
    </row>
    <row r="11927" spans="1:9" x14ac:dyDescent="0.2">
      <c r="A11927" s="2" t="s">
        <v>3325</v>
      </c>
      <c r="B11927" s="2" t="s">
        <v>1569</v>
      </c>
      <c r="C11927" s="2">
        <v>1130.2239999999999</v>
      </c>
      <c r="D11927" s="2">
        <f>HYPERLINK("http://mcb-m6.bioreg.kyushu-u.ac.jp/M3/20110428/F51132/3342/1", 128.96)</f>
        <v>128.96</v>
      </c>
      <c r="E11927" s="2">
        <v>113.11</v>
      </c>
      <c r="F11927" s="2">
        <v>2</v>
      </c>
      <c r="G11927" s="2" t="s">
        <v>13</v>
      </c>
    </row>
    <row r="11928" spans="1:9" x14ac:dyDescent="0.2">
      <c r="A11928" s="2" t="s">
        <v>3325</v>
      </c>
      <c r="B11928" s="2" t="s">
        <v>1569</v>
      </c>
      <c r="C11928" s="2">
        <v>1130.7380000000001</v>
      </c>
      <c r="D11928" s="2">
        <f>HYPERLINK("http://mcb-m6.bioreg.kyushu-u.ac.jp/M3/20110428/F51132/3343/1", 129.43)</f>
        <v>129.43</v>
      </c>
      <c r="E11928" s="2">
        <v>117.29</v>
      </c>
      <c r="F11928" s="2">
        <v>2</v>
      </c>
      <c r="G11928" s="2" t="s">
        <v>13</v>
      </c>
    </row>
    <row r="11929" spans="1:9" x14ac:dyDescent="0.2">
      <c r="A11929" s="2" t="s">
        <v>3325</v>
      </c>
      <c r="B11929" s="2" t="s">
        <v>1725</v>
      </c>
      <c r="C11929" s="2">
        <v>858.24900000000002</v>
      </c>
      <c r="D11929" s="2">
        <f>HYPERLINK("http://mcb-m6.bioreg.kyushu-u.ac.jp/M3/20110428/F51129/684/1", 38.82)</f>
        <v>38.82</v>
      </c>
      <c r="E11929" s="2">
        <v>15.64</v>
      </c>
      <c r="F11929" s="2">
        <v>1</v>
      </c>
      <c r="G11929" s="2" t="s">
        <v>14</v>
      </c>
    </row>
    <row r="11930" spans="1:9" x14ac:dyDescent="0.2">
      <c r="A11930" s="2" t="s">
        <v>3325</v>
      </c>
      <c r="B11930" s="2" t="s">
        <v>7474</v>
      </c>
      <c r="C11930" s="2">
        <v>722.2527</v>
      </c>
      <c r="D11930" s="2">
        <f>HYPERLINK("http://mcb-m6.bioreg.kyushu-u.ac.jp/M3/20110428/F51129/1945/1", 39.17)</f>
        <v>39.17</v>
      </c>
      <c r="E11930" s="2">
        <v>19.079999999999998</v>
      </c>
      <c r="F11930" s="2">
        <v>2</v>
      </c>
      <c r="G11930" s="2" t="s">
        <v>14</v>
      </c>
      <c r="I11930" s="2" t="s">
        <v>4903</v>
      </c>
    </row>
    <row r="11931" spans="1:9" x14ac:dyDescent="0.2">
      <c r="A11931" s="2" t="s">
        <v>3325</v>
      </c>
      <c r="B11931" s="2" t="s">
        <v>625</v>
      </c>
      <c r="C11931" s="2">
        <v>495.19409999999999</v>
      </c>
      <c r="D11931" s="2">
        <f>HYPERLINK("http://mcb-m6.bioreg.kyushu-u.ac.jp/M3/20110428/F51128/892/1", 51.78)</f>
        <v>51.78</v>
      </c>
      <c r="E11931" s="2">
        <v>13.97</v>
      </c>
      <c r="F11931" s="2">
        <v>2</v>
      </c>
      <c r="G11931" s="2" t="s">
        <v>14</v>
      </c>
    </row>
    <row r="11932" spans="1:9" x14ac:dyDescent="0.2">
      <c r="A11932" s="2" t="s">
        <v>3325</v>
      </c>
      <c r="B11932" s="2" t="s">
        <v>1020</v>
      </c>
      <c r="C11932" s="2">
        <v>652.63509999999997</v>
      </c>
      <c r="D11932" s="2">
        <f>HYPERLINK("http://mcb-m6.bioreg.kyushu-u.ac.jp/M3/20110428/F51130/1656/1", 52.3)</f>
        <v>52.3</v>
      </c>
      <c r="E11932" s="2">
        <v>36.19</v>
      </c>
      <c r="F11932" s="2">
        <v>2</v>
      </c>
      <c r="G11932" s="2" t="s">
        <v>14</v>
      </c>
    </row>
    <row r="11933" spans="1:9" x14ac:dyDescent="0.2">
      <c r="A11933" s="2" t="s">
        <v>3325</v>
      </c>
      <c r="B11933" s="2" t="s">
        <v>625</v>
      </c>
      <c r="C11933" s="2">
        <v>495.69260000000003</v>
      </c>
      <c r="D11933" s="2">
        <f>HYPERLINK("http://mcb-m6.bioreg.kyushu-u.ac.jp/M3/20110428/F51129/956/1", 53.36)</f>
        <v>53.36</v>
      </c>
      <c r="E11933" s="2">
        <v>15.91</v>
      </c>
      <c r="F11933" s="2">
        <v>2</v>
      </c>
      <c r="G11933" s="2" t="s">
        <v>14</v>
      </c>
    </row>
    <row r="11934" spans="1:9" x14ac:dyDescent="0.2">
      <c r="A11934" s="2" t="s">
        <v>3325</v>
      </c>
      <c r="B11934" s="2" t="s">
        <v>1020</v>
      </c>
      <c r="C11934" s="2">
        <v>652.65369999999996</v>
      </c>
      <c r="D11934" s="2">
        <f>HYPERLINK("http://mcb-m6.bioreg.kyushu-u.ac.jp/M3/20110428/F51129/1575/1", 57.8)</f>
        <v>57.8</v>
      </c>
      <c r="E11934" s="2">
        <v>36.090000000000003</v>
      </c>
      <c r="F11934" s="2">
        <v>2</v>
      </c>
      <c r="G11934" s="2" t="s">
        <v>14</v>
      </c>
    </row>
    <row r="11935" spans="1:9" x14ac:dyDescent="0.2">
      <c r="A11935" s="2" t="s">
        <v>3325</v>
      </c>
      <c r="B11935" s="2" t="s">
        <v>650</v>
      </c>
      <c r="C11935" s="2">
        <v>627.1866</v>
      </c>
      <c r="D11935" s="2">
        <f>HYPERLINK("http://mcb-m6.bioreg.kyushu-u.ac.jp/M3/20110428/F51129/1506/1", 58.07)</f>
        <v>58.07</v>
      </c>
      <c r="E11935" s="2">
        <v>27.67</v>
      </c>
      <c r="F11935" s="2">
        <v>2</v>
      </c>
      <c r="G11935" s="2" t="s">
        <v>14</v>
      </c>
    </row>
    <row r="11936" spans="1:9" x14ac:dyDescent="0.2">
      <c r="A11936" s="2" t="s">
        <v>3325</v>
      </c>
      <c r="B11936" s="2" t="s">
        <v>237</v>
      </c>
      <c r="C11936" s="2">
        <v>600.67610000000002</v>
      </c>
      <c r="D11936" s="2">
        <f>HYPERLINK("http://mcb-m6.bioreg.kyushu-u.ac.jp/M3/20110427/F51125/1590/1", 59.87)</f>
        <v>59.87</v>
      </c>
      <c r="E11936" s="2">
        <v>28.81</v>
      </c>
      <c r="F11936" s="2">
        <v>2</v>
      </c>
      <c r="G11936" s="2" t="s">
        <v>14</v>
      </c>
    </row>
    <row r="11937" spans="1:8" x14ac:dyDescent="0.2">
      <c r="A11937" s="2" t="s">
        <v>3325</v>
      </c>
      <c r="B11937" s="2" t="s">
        <v>1043</v>
      </c>
      <c r="C11937" s="2">
        <v>741.53920000000005</v>
      </c>
      <c r="D11937" s="2">
        <f>HYPERLINK("http://mcb-m6.bioreg.kyushu-u.ac.jp/M3/20110428/F51129/2054/1", 75.31)</f>
        <v>75.31</v>
      </c>
      <c r="E11937" s="2">
        <v>66.16</v>
      </c>
      <c r="F11937" s="2">
        <v>2</v>
      </c>
      <c r="G11937" s="2" t="s">
        <v>14</v>
      </c>
    </row>
    <row r="11938" spans="1:8" x14ac:dyDescent="0.2">
      <c r="A11938" s="2" t="s">
        <v>3325</v>
      </c>
      <c r="B11938" s="2" t="s">
        <v>1020</v>
      </c>
      <c r="C11938" s="2">
        <v>652.09810000000004</v>
      </c>
      <c r="D11938" s="2">
        <f>HYPERLINK("http://mcb-m6.bioreg.kyushu-u.ac.jp/M3/20110428/F51129/1571/1", 75.49)</f>
        <v>75.489999999999995</v>
      </c>
      <c r="E11938" s="2">
        <v>45.19</v>
      </c>
      <c r="F11938" s="2">
        <v>2</v>
      </c>
      <c r="G11938" s="2" t="s">
        <v>14</v>
      </c>
    </row>
    <row r="11939" spans="1:8" x14ac:dyDescent="0.2">
      <c r="A11939" s="2" t="s">
        <v>3325</v>
      </c>
      <c r="B11939" s="2" t="s">
        <v>1020</v>
      </c>
      <c r="C11939" s="2">
        <v>660.5566</v>
      </c>
      <c r="D11939" s="2">
        <f>HYPERLINK("http://mcb-m6.bioreg.kyushu-u.ac.jp/M3/20110428/F51129/1599/1", 75.63)</f>
        <v>75.63</v>
      </c>
      <c r="E11939" s="2">
        <v>52.76</v>
      </c>
      <c r="F11939" s="2">
        <v>2</v>
      </c>
      <c r="G11939" s="2" t="s">
        <v>14</v>
      </c>
      <c r="H11939" s="2" t="s">
        <v>4919</v>
      </c>
    </row>
    <row r="11940" spans="1:8" x14ac:dyDescent="0.2">
      <c r="A11940" s="2" t="s">
        <v>3325</v>
      </c>
      <c r="B11940" s="2" t="s">
        <v>650</v>
      </c>
      <c r="C11940" s="2">
        <v>634.90219999999999</v>
      </c>
      <c r="D11940" s="2">
        <f>HYPERLINK("http://mcb-m6.bioreg.kyushu-u.ac.jp/M3/20110428/F51129/1529/1", 77.32)</f>
        <v>77.319999999999993</v>
      </c>
      <c r="E11940" s="2">
        <v>50.62</v>
      </c>
      <c r="F11940" s="2">
        <v>2</v>
      </c>
      <c r="G11940" s="2" t="s">
        <v>14</v>
      </c>
      <c r="H11940" s="2" t="s">
        <v>4908</v>
      </c>
    </row>
    <row r="11941" spans="1:8" x14ac:dyDescent="0.2">
      <c r="A11941" s="2" t="s">
        <v>3325</v>
      </c>
      <c r="B11941" s="2" t="s">
        <v>1569</v>
      </c>
      <c r="C11941" s="2">
        <v>1130.5840000000001</v>
      </c>
      <c r="D11941" s="2">
        <f>HYPERLINK("http://mcb-m6.bioreg.kyushu-u.ac.jp/M3/20110428/F51129/3301/1", 125.69)</f>
        <v>125.69</v>
      </c>
      <c r="E11941" s="2">
        <v>108.12</v>
      </c>
      <c r="F11941" s="2">
        <v>2</v>
      </c>
      <c r="G11941" s="2" t="s">
        <v>14</v>
      </c>
    </row>
    <row r="11942" spans="1:8" x14ac:dyDescent="0.2">
      <c r="A11942" s="2" t="s">
        <v>3633</v>
      </c>
      <c r="B11942" s="2" t="s">
        <v>548</v>
      </c>
      <c r="C11942" s="2">
        <v>1181.4459999999999</v>
      </c>
      <c r="D11942" s="2">
        <f>HYPERLINK("http://mcb-m6.bioreg.kyushu-u.ac.jp/M3/20110404/F50777/1264/1", 47.27)</f>
        <v>47.27</v>
      </c>
      <c r="E11942" s="2">
        <v>29.7</v>
      </c>
      <c r="F11942" s="2">
        <v>1</v>
      </c>
      <c r="G11942" s="2" t="s">
        <v>9</v>
      </c>
    </row>
    <row r="11943" spans="1:8" x14ac:dyDescent="0.2">
      <c r="A11943" s="2" t="s">
        <v>3633</v>
      </c>
      <c r="B11943" s="2" t="s">
        <v>548</v>
      </c>
      <c r="C11943" s="2">
        <v>1180.472</v>
      </c>
      <c r="D11943" s="2">
        <f>HYPERLINK("http://mcb-m6.bioreg.kyushu-u.ac.jp/M3/20110404/F50777/1261/1", 55.03)</f>
        <v>55.03</v>
      </c>
      <c r="E11943" s="2">
        <v>32.57</v>
      </c>
      <c r="F11943" s="2">
        <v>1</v>
      </c>
      <c r="G11943" s="2" t="s">
        <v>9</v>
      </c>
    </row>
    <row r="11944" spans="1:8" x14ac:dyDescent="0.2">
      <c r="A11944" s="2" t="s">
        <v>3633</v>
      </c>
      <c r="B11944" s="2" t="s">
        <v>548</v>
      </c>
      <c r="C11944" s="2">
        <v>590.72170000000006</v>
      </c>
      <c r="D11944" s="2">
        <f>HYPERLINK("http://mcb-m6.bioreg.kyushu-u.ac.jp/M3/20110404/F50777/1260/1", 57.35)</f>
        <v>57.35</v>
      </c>
      <c r="E11944" s="2">
        <v>24.78</v>
      </c>
      <c r="F11944" s="2">
        <v>2</v>
      </c>
      <c r="G11944" s="2" t="s">
        <v>9</v>
      </c>
    </row>
    <row r="11945" spans="1:8" x14ac:dyDescent="0.2">
      <c r="A11945" s="2" t="s">
        <v>3633</v>
      </c>
      <c r="B11945" s="2" t="s">
        <v>548</v>
      </c>
      <c r="C11945" s="2">
        <v>590.80719999999997</v>
      </c>
      <c r="D11945" s="2">
        <f>HYPERLINK("http://mcb-m6.bioreg.kyushu-u.ac.jp/M3/20110404/F50774/1300/1", 53.27)</f>
        <v>53.27</v>
      </c>
      <c r="E11945" s="2">
        <v>28.43</v>
      </c>
      <c r="F11945" s="2">
        <v>2</v>
      </c>
      <c r="G11945" s="2" t="s">
        <v>10</v>
      </c>
    </row>
    <row r="11946" spans="1:8" x14ac:dyDescent="0.2">
      <c r="A11946" s="2" t="s">
        <v>3633</v>
      </c>
      <c r="B11946" s="2" t="s">
        <v>548</v>
      </c>
      <c r="C11946" s="2">
        <v>590.94209999999998</v>
      </c>
      <c r="D11946" s="2">
        <f>HYPERLINK("http://mcb-m6.bioreg.kyushu-u.ac.jp/M3/20110421/F51047/1381/1", 53.44)</f>
        <v>53.44</v>
      </c>
      <c r="E11946" s="2">
        <v>33.22</v>
      </c>
      <c r="F11946" s="2">
        <v>2</v>
      </c>
      <c r="G11946" s="2" t="s">
        <v>12</v>
      </c>
    </row>
    <row r="11947" spans="1:8" x14ac:dyDescent="0.2">
      <c r="A11947" s="2" t="s">
        <v>3509</v>
      </c>
      <c r="B11947" s="2" t="s">
        <v>809</v>
      </c>
      <c r="C11947" s="2">
        <v>1235.5509999999999</v>
      </c>
      <c r="D11947" s="2">
        <f>HYPERLINK("http://mcb-m6.bioreg.kyushu-u.ac.jp/M3/20110404/F50777/1410/1", 46.31)</f>
        <v>46.31</v>
      </c>
      <c r="E11947" s="2">
        <v>23.51</v>
      </c>
      <c r="F11947" s="2">
        <v>1</v>
      </c>
      <c r="G11947" s="2" t="s">
        <v>9</v>
      </c>
    </row>
    <row r="11948" spans="1:8" x14ac:dyDescent="0.2">
      <c r="A11948" s="2" t="s">
        <v>3509</v>
      </c>
      <c r="B11948" s="2" t="s">
        <v>809</v>
      </c>
      <c r="C11948" s="2">
        <v>618.36220000000003</v>
      </c>
      <c r="D11948" s="2">
        <f>HYPERLINK("http://mcb-m6.bioreg.kyushu-u.ac.jp/M3/20110404/F50778/1261/1", 46.39)</f>
        <v>46.39</v>
      </c>
      <c r="E11948" s="2">
        <v>27.85</v>
      </c>
      <c r="F11948" s="2">
        <v>2</v>
      </c>
      <c r="G11948" s="2" t="s">
        <v>9</v>
      </c>
    </row>
    <row r="11949" spans="1:8" x14ac:dyDescent="0.2">
      <c r="A11949" s="2" t="s">
        <v>3509</v>
      </c>
      <c r="B11949" s="2" t="s">
        <v>348</v>
      </c>
      <c r="C11949" s="2">
        <v>1616.5989999999999</v>
      </c>
      <c r="D11949" s="2">
        <f>HYPERLINK("http://mcb-m6.bioreg.kyushu-u.ac.jp/M3/20110404/F50777/2213/1", 48.23)</f>
        <v>48.23</v>
      </c>
      <c r="E11949" s="2">
        <v>33.15</v>
      </c>
      <c r="F11949" s="2">
        <v>1</v>
      </c>
      <c r="G11949" s="2" t="s">
        <v>9</v>
      </c>
    </row>
    <row r="11950" spans="1:8" x14ac:dyDescent="0.2">
      <c r="A11950" s="2" t="s">
        <v>3509</v>
      </c>
      <c r="B11950" s="2" t="s">
        <v>348</v>
      </c>
      <c r="C11950" s="2">
        <v>1617.5650000000001</v>
      </c>
      <c r="D11950" s="2">
        <f>HYPERLINK("http://mcb-m6.bioreg.kyushu-u.ac.jp/M3/20110404/F50777/2216/1", 48.3)</f>
        <v>48.3</v>
      </c>
      <c r="E11950" s="2">
        <v>34.549999999999997</v>
      </c>
      <c r="F11950" s="2">
        <v>1</v>
      </c>
      <c r="G11950" s="2" t="s">
        <v>9</v>
      </c>
    </row>
    <row r="11951" spans="1:8" x14ac:dyDescent="0.2">
      <c r="A11951" s="2" t="s">
        <v>3509</v>
      </c>
      <c r="B11951" s="2" t="s">
        <v>809</v>
      </c>
      <c r="C11951" s="2">
        <v>626.46310000000005</v>
      </c>
      <c r="D11951" s="2">
        <f>HYPERLINK("http://mcb-m6.bioreg.kyushu-u.ac.jp/M3/20110404/F50777/1427/1", 48.35)</f>
        <v>48.35</v>
      </c>
      <c r="E11951" s="2">
        <v>23.07</v>
      </c>
      <c r="F11951" s="2">
        <v>2</v>
      </c>
      <c r="G11951" s="2" t="s">
        <v>9</v>
      </c>
      <c r="H11951" s="2" t="s">
        <v>4908</v>
      </c>
    </row>
    <row r="11952" spans="1:8" x14ac:dyDescent="0.2">
      <c r="A11952" s="2" t="s">
        <v>3509</v>
      </c>
      <c r="B11952" s="2" t="s">
        <v>809</v>
      </c>
      <c r="C11952" s="2">
        <v>618.17020000000002</v>
      </c>
      <c r="D11952" s="2">
        <f>HYPERLINK("http://mcb-m6.bioreg.kyushu-u.ac.jp/M3/20110404/F50777/1409/1", 48.77)</f>
        <v>48.77</v>
      </c>
      <c r="E11952" s="2">
        <v>32.43</v>
      </c>
      <c r="F11952" s="2">
        <v>2</v>
      </c>
      <c r="G11952" s="2" t="s">
        <v>9</v>
      </c>
    </row>
    <row r="11953" spans="1:8" x14ac:dyDescent="0.2">
      <c r="A11953" s="2" t="s">
        <v>3509</v>
      </c>
      <c r="B11953" s="2" t="s">
        <v>809</v>
      </c>
      <c r="C11953" s="2">
        <v>618.36360000000002</v>
      </c>
      <c r="D11953" s="2">
        <f>HYPERLINK("http://mcb-m6.bioreg.kyushu-u.ac.jp/M3/20110404/F50777/1412/1", 54.91)</f>
        <v>54.91</v>
      </c>
      <c r="E11953" s="2">
        <v>35.69</v>
      </c>
      <c r="F11953" s="2">
        <v>2</v>
      </c>
      <c r="G11953" s="2" t="s">
        <v>9</v>
      </c>
    </row>
    <row r="11954" spans="1:8" x14ac:dyDescent="0.2">
      <c r="A11954" s="2" t="s">
        <v>3509</v>
      </c>
      <c r="B11954" s="2" t="s">
        <v>348</v>
      </c>
      <c r="C11954" s="2">
        <v>539.75710000000004</v>
      </c>
      <c r="D11954" s="2">
        <f>HYPERLINK("http://mcb-m6.bioreg.kyushu-u.ac.jp/M3/20110404/F50777/2215/1", 58.33)</f>
        <v>58.33</v>
      </c>
      <c r="E11954" s="2">
        <v>29.02</v>
      </c>
      <c r="F11954" s="2">
        <v>3</v>
      </c>
      <c r="G11954" s="2" t="s">
        <v>9</v>
      </c>
    </row>
    <row r="11955" spans="1:8" x14ac:dyDescent="0.2">
      <c r="A11955" s="2" t="s">
        <v>3509</v>
      </c>
      <c r="B11955" s="2" t="s">
        <v>348</v>
      </c>
      <c r="C11955" s="2">
        <v>809.30110000000002</v>
      </c>
      <c r="D11955" s="2">
        <f>HYPERLINK("http://mcb-m6.bioreg.kyushu-u.ac.jp/M3/20110404/F50777/2217/1", 97.38)</f>
        <v>97.38</v>
      </c>
      <c r="E11955" s="2">
        <v>72.75</v>
      </c>
      <c r="F11955" s="2">
        <v>2</v>
      </c>
      <c r="G11955" s="2" t="s">
        <v>9</v>
      </c>
    </row>
    <row r="11956" spans="1:8" x14ac:dyDescent="0.2">
      <c r="A11956" s="2" t="s">
        <v>3509</v>
      </c>
      <c r="B11956" s="2" t="s">
        <v>809</v>
      </c>
      <c r="C11956" s="2">
        <v>1236.4929999999999</v>
      </c>
      <c r="D11956" s="2">
        <f>HYPERLINK("http://mcb-m6.bioreg.kyushu-u.ac.jp/M3/20110404/F50774/1429/1", 38.9)</f>
        <v>38.9</v>
      </c>
      <c r="E11956" s="2">
        <v>16.97</v>
      </c>
      <c r="F11956" s="2">
        <v>1</v>
      </c>
      <c r="G11956" s="2" t="s">
        <v>10</v>
      </c>
    </row>
    <row r="11957" spans="1:8" x14ac:dyDescent="0.2">
      <c r="A11957" s="2" t="s">
        <v>3509</v>
      </c>
      <c r="B11957" s="2" t="s">
        <v>809</v>
      </c>
      <c r="C11957" s="2">
        <v>626.35469999999998</v>
      </c>
      <c r="D11957" s="2">
        <f>HYPERLINK("http://mcb-m6.bioreg.kyushu-u.ac.jp/M3/20110404/F50774/1453/1", 48.14)</f>
        <v>48.14</v>
      </c>
      <c r="E11957" s="2">
        <v>24.64</v>
      </c>
      <c r="F11957" s="2">
        <v>2</v>
      </c>
      <c r="G11957" s="2" t="s">
        <v>10</v>
      </c>
      <c r="H11957" s="2" t="s">
        <v>4908</v>
      </c>
    </row>
    <row r="11958" spans="1:8" x14ac:dyDescent="0.2">
      <c r="A11958" s="2" t="s">
        <v>3509</v>
      </c>
      <c r="B11958" s="2" t="s">
        <v>809</v>
      </c>
      <c r="C11958" s="2">
        <v>618.82669999999996</v>
      </c>
      <c r="D11958" s="2">
        <f>HYPERLINK("http://mcb-m6.bioreg.kyushu-u.ac.jp/M3/20110404/F50774/1430/1", 50.58)</f>
        <v>50.58</v>
      </c>
      <c r="E11958" s="2">
        <v>28.42</v>
      </c>
      <c r="F11958" s="2">
        <v>2</v>
      </c>
      <c r="G11958" s="2" t="s">
        <v>10</v>
      </c>
    </row>
    <row r="11959" spans="1:8" x14ac:dyDescent="0.2">
      <c r="A11959" s="2" t="s">
        <v>3509</v>
      </c>
      <c r="B11959" s="2" t="s">
        <v>348</v>
      </c>
      <c r="C11959" s="2">
        <v>1617.489</v>
      </c>
      <c r="D11959" s="2">
        <f>HYPERLINK("http://mcb-m6.bioreg.kyushu-u.ac.jp/M3/20110404/F50774/2162/1", 50.81)</f>
        <v>50.81</v>
      </c>
      <c r="E11959" s="2">
        <v>38.42</v>
      </c>
      <c r="F11959" s="2">
        <v>1</v>
      </c>
      <c r="G11959" s="2" t="s">
        <v>10</v>
      </c>
    </row>
    <row r="11960" spans="1:8" x14ac:dyDescent="0.2">
      <c r="A11960" s="2" t="s">
        <v>3509</v>
      </c>
      <c r="B11960" s="2" t="s">
        <v>809</v>
      </c>
      <c r="C11960" s="2">
        <v>618.22170000000006</v>
      </c>
      <c r="D11960" s="2">
        <f>HYPERLINK("http://mcb-m6.bioreg.kyushu-u.ac.jp/M3/20110404/F50774/1426/1", 53.42)</f>
        <v>53.42</v>
      </c>
      <c r="E11960" s="2">
        <v>30.34</v>
      </c>
      <c r="F11960" s="2">
        <v>2</v>
      </c>
      <c r="G11960" s="2" t="s">
        <v>10</v>
      </c>
    </row>
    <row r="11961" spans="1:8" x14ac:dyDescent="0.2">
      <c r="A11961" s="2" t="s">
        <v>3509</v>
      </c>
      <c r="B11961" s="2" t="s">
        <v>348</v>
      </c>
      <c r="C11961" s="2">
        <v>1616.442</v>
      </c>
      <c r="D11961" s="2">
        <f>HYPERLINK("http://mcb-m6.bioreg.kyushu-u.ac.jp/M3/20110404/F50774/2161/1", 59.6)</f>
        <v>59.6</v>
      </c>
      <c r="E11961" s="2">
        <v>45.75</v>
      </c>
      <c r="F11961" s="2">
        <v>1</v>
      </c>
      <c r="G11961" s="2" t="s">
        <v>10</v>
      </c>
    </row>
    <row r="11962" spans="1:8" x14ac:dyDescent="0.2">
      <c r="A11962" s="2" t="s">
        <v>3509</v>
      </c>
      <c r="B11962" s="2" t="s">
        <v>348</v>
      </c>
      <c r="C11962" s="2">
        <v>816.79319999999996</v>
      </c>
      <c r="D11962" s="2">
        <f>HYPERLINK("http://mcb-m6.bioreg.kyushu-u.ac.jp/M3/20110404/F50774/2184/1", 85.5)</f>
        <v>85.5</v>
      </c>
      <c r="E11962" s="2">
        <v>69.06</v>
      </c>
      <c r="F11962" s="2">
        <v>2</v>
      </c>
      <c r="G11962" s="2" t="s">
        <v>10</v>
      </c>
      <c r="H11962" s="2" t="s">
        <v>4919</v>
      </c>
    </row>
    <row r="11963" spans="1:8" x14ac:dyDescent="0.2">
      <c r="A11963" s="2" t="s">
        <v>3509</v>
      </c>
      <c r="B11963" s="2" t="s">
        <v>809</v>
      </c>
      <c r="C11963" s="2">
        <v>626.81569999999999</v>
      </c>
      <c r="D11963" s="2">
        <f>HYPERLINK("http://mcb-m6.bioreg.kyushu-u.ac.jp/M3/20110421/F51037/1370/1", 44.38)</f>
        <v>44.38</v>
      </c>
      <c r="E11963" s="2">
        <v>25.12</v>
      </c>
      <c r="F11963" s="2">
        <v>2</v>
      </c>
      <c r="G11963" s="2" t="s">
        <v>11</v>
      </c>
      <c r="H11963" s="2" t="s">
        <v>4908</v>
      </c>
    </row>
    <row r="11964" spans="1:8" x14ac:dyDescent="0.2">
      <c r="A11964" s="2" t="s">
        <v>3509</v>
      </c>
      <c r="B11964" s="2" t="s">
        <v>348</v>
      </c>
      <c r="C11964" s="2">
        <v>809.34720000000004</v>
      </c>
      <c r="D11964" s="2">
        <f>HYPERLINK("http://mcb-m6.bioreg.kyushu-u.ac.jp/M3/20110421/F51037/2443/1", 60.18)</f>
        <v>60.18</v>
      </c>
      <c r="E11964" s="2">
        <v>49.29</v>
      </c>
      <c r="F11964" s="2">
        <v>2</v>
      </c>
      <c r="G11964" s="2" t="s">
        <v>11</v>
      </c>
    </row>
    <row r="11965" spans="1:8" x14ac:dyDescent="0.2">
      <c r="A11965" s="2" t="s">
        <v>3509</v>
      </c>
      <c r="B11965" s="2" t="s">
        <v>348</v>
      </c>
      <c r="C11965" s="2">
        <v>809.4597</v>
      </c>
      <c r="D11965" s="2">
        <f>HYPERLINK("http://mcb-m6.bioreg.kyushu-u.ac.jp/M3/20110421/F51037/2444/1", 67.97)</f>
        <v>67.97</v>
      </c>
      <c r="E11965" s="2">
        <v>40.880000000000003</v>
      </c>
      <c r="F11965" s="2">
        <v>2</v>
      </c>
      <c r="G11965" s="2" t="s">
        <v>11</v>
      </c>
    </row>
    <row r="11966" spans="1:8" x14ac:dyDescent="0.2">
      <c r="A11966" s="2" t="s">
        <v>3509</v>
      </c>
      <c r="B11966" s="2" t="s">
        <v>348</v>
      </c>
      <c r="C11966" s="2">
        <v>817.26419999999996</v>
      </c>
      <c r="D11966" s="2">
        <f>HYPERLINK("http://mcb-m6.bioreg.kyushu-u.ac.jp/M3/20110421/F51037/2496/1", 79.08)</f>
        <v>79.08</v>
      </c>
      <c r="E11966" s="2">
        <v>59.26</v>
      </c>
      <c r="F11966" s="2">
        <v>2</v>
      </c>
      <c r="G11966" s="2" t="s">
        <v>11</v>
      </c>
      <c r="H11966" s="2" t="s">
        <v>4919</v>
      </c>
    </row>
    <row r="11967" spans="1:8" x14ac:dyDescent="0.2">
      <c r="A11967" s="2" t="s">
        <v>3509</v>
      </c>
      <c r="B11967" s="2" t="s">
        <v>348</v>
      </c>
      <c r="C11967" s="2">
        <v>816.89570000000003</v>
      </c>
      <c r="D11967" s="2">
        <f>HYPERLINK("http://mcb-m6.bioreg.kyushu-u.ac.jp/M3/20110421/F51047/2490/1", 80.13)</f>
        <v>80.13</v>
      </c>
      <c r="E11967" s="2">
        <v>64.69</v>
      </c>
      <c r="F11967" s="2">
        <v>2</v>
      </c>
      <c r="G11967" s="2" t="s">
        <v>12</v>
      </c>
      <c r="H11967" s="2" t="s">
        <v>4919</v>
      </c>
    </row>
    <row r="11968" spans="1:8" x14ac:dyDescent="0.2">
      <c r="A11968" s="2" t="s">
        <v>3509</v>
      </c>
      <c r="B11968" s="2" t="s">
        <v>809</v>
      </c>
      <c r="C11968" s="2">
        <v>618.67610000000002</v>
      </c>
      <c r="D11968" s="2">
        <f>HYPERLINK("http://mcb-m6.bioreg.kyushu-u.ac.jp/M3/20110428/F51132/1416/1", 45.46)</f>
        <v>45.46</v>
      </c>
      <c r="E11968" s="2">
        <v>23.22</v>
      </c>
      <c r="F11968" s="2">
        <v>2</v>
      </c>
      <c r="G11968" s="2" t="s">
        <v>13</v>
      </c>
    </row>
    <row r="11969" spans="1:9" x14ac:dyDescent="0.2">
      <c r="A11969" s="2" t="s">
        <v>3509</v>
      </c>
      <c r="B11969" s="2" t="s">
        <v>809</v>
      </c>
      <c r="C11969" s="2">
        <v>618.16520000000003</v>
      </c>
      <c r="D11969" s="2">
        <f>HYPERLINK("http://mcb-m6.bioreg.kyushu-u.ac.jp/M3/20110428/F51132/1414/1", 45.52)</f>
        <v>45.52</v>
      </c>
      <c r="E11969" s="2">
        <v>22.92</v>
      </c>
      <c r="F11969" s="2">
        <v>2</v>
      </c>
      <c r="G11969" s="2" t="s">
        <v>13</v>
      </c>
    </row>
    <row r="11970" spans="1:9" x14ac:dyDescent="0.2">
      <c r="A11970" s="2" t="s">
        <v>3509</v>
      </c>
      <c r="B11970" s="2" t="s">
        <v>809</v>
      </c>
      <c r="C11970" s="2">
        <v>618.69669999999996</v>
      </c>
      <c r="D11970" s="2">
        <f>HYPERLINK("http://mcb-m6.bioreg.kyushu-u.ac.jp/M3/20110428/F51129/1486/1", 40.05)</f>
        <v>40.049999999999997</v>
      </c>
      <c r="E11970" s="2">
        <v>20.64</v>
      </c>
      <c r="F11970" s="2">
        <v>2</v>
      </c>
      <c r="G11970" s="2" t="s">
        <v>14</v>
      </c>
    </row>
    <row r="11971" spans="1:9" x14ac:dyDescent="0.2">
      <c r="A11971" s="2" t="s">
        <v>3509</v>
      </c>
      <c r="B11971" s="2" t="s">
        <v>348</v>
      </c>
      <c r="C11971" s="2">
        <v>816.5222</v>
      </c>
      <c r="D11971" s="2">
        <f>HYPERLINK("http://mcb-m6.bioreg.kyushu-u.ac.jp/M3/20110428/F51129/2453/1", 97.42)</f>
        <v>97.42</v>
      </c>
      <c r="E11971" s="2">
        <v>79.489999999999995</v>
      </c>
      <c r="F11971" s="2">
        <v>2</v>
      </c>
      <c r="G11971" s="2" t="s">
        <v>14</v>
      </c>
      <c r="H11971" s="2" t="s">
        <v>4919</v>
      </c>
    </row>
    <row r="11972" spans="1:9" x14ac:dyDescent="0.2">
      <c r="A11972" s="2" t="s">
        <v>5651</v>
      </c>
      <c r="B11972" s="2" t="s">
        <v>5108</v>
      </c>
      <c r="C11972" s="2">
        <v>1171.701</v>
      </c>
      <c r="D11972" s="2">
        <f>HYPERLINK("http://mcb-m6.bioreg.kyushu-u.ac.jp/M3/20110404/F50762/1271/1", 41.37)</f>
        <v>41.37</v>
      </c>
      <c r="E11972" s="2">
        <v>22.69</v>
      </c>
      <c r="F11972" s="2">
        <v>1</v>
      </c>
      <c r="G11972" s="2" t="s">
        <v>9</v>
      </c>
    </row>
    <row r="11973" spans="1:9" x14ac:dyDescent="0.2">
      <c r="A11973" s="2" t="s">
        <v>5651</v>
      </c>
      <c r="B11973" s="2" t="s">
        <v>6328</v>
      </c>
      <c r="C11973" s="2">
        <v>1216.4580000000001</v>
      </c>
      <c r="D11973" s="2">
        <f>HYPERLINK("http://mcb-m6.bioreg.kyushu-u.ac.jp/M3/20110404/F50762/2924/1", 53.37)</f>
        <v>53.37</v>
      </c>
      <c r="E11973" s="2">
        <v>42.97</v>
      </c>
      <c r="F11973" s="2">
        <v>2</v>
      </c>
      <c r="G11973" s="2" t="s">
        <v>9</v>
      </c>
    </row>
    <row r="11974" spans="1:9" x14ac:dyDescent="0.2">
      <c r="A11974" s="2" t="s">
        <v>5651</v>
      </c>
      <c r="B11974" s="2" t="s">
        <v>5108</v>
      </c>
      <c r="C11974" s="2">
        <v>586.33759999999995</v>
      </c>
      <c r="D11974" s="2">
        <f>HYPERLINK("http://mcb-m6.bioreg.kyushu-u.ac.jp/M3/20110404/F50756/1295/1", 61.53)</f>
        <v>61.53</v>
      </c>
      <c r="E11974" s="2">
        <v>41.91</v>
      </c>
      <c r="F11974" s="2">
        <v>2</v>
      </c>
      <c r="G11974" s="2" t="s">
        <v>9</v>
      </c>
    </row>
    <row r="11975" spans="1:9" x14ac:dyDescent="0.2">
      <c r="A11975" s="2" t="s">
        <v>5651</v>
      </c>
      <c r="B11975" s="2" t="s">
        <v>5125</v>
      </c>
      <c r="C11975" s="2">
        <v>1151.489</v>
      </c>
      <c r="D11975" s="2">
        <f>HYPERLINK("http://mcb-m6.bioreg.kyushu-u.ac.jp/M3/20110404/F50756/1246/1", 62.63)</f>
        <v>62.63</v>
      </c>
      <c r="E11975" s="2">
        <v>41.23</v>
      </c>
      <c r="F11975" s="2">
        <v>1</v>
      </c>
      <c r="G11975" s="2" t="s">
        <v>9</v>
      </c>
    </row>
    <row r="11976" spans="1:9" x14ac:dyDescent="0.2">
      <c r="A11976" s="2" t="s">
        <v>5651</v>
      </c>
      <c r="B11976" s="2" t="s">
        <v>5125</v>
      </c>
      <c r="C11976" s="2">
        <v>576.61270000000002</v>
      </c>
      <c r="D11976" s="2">
        <f>HYPERLINK("http://mcb-m6.bioreg.kyushu-u.ac.jp/M3/20110404/F50756/1249/1", 63.17)</f>
        <v>63.17</v>
      </c>
      <c r="E11976" s="2">
        <v>38.06</v>
      </c>
      <c r="F11976" s="2">
        <v>2</v>
      </c>
      <c r="G11976" s="2" t="s">
        <v>9</v>
      </c>
    </row>
    <row r="11977" spans="1:9" x14ac:dyDescent="0.2">
      <c r="A11977" s="2" t="s">
        <v>5651</v>
      </c>
      <c r="B11977" s="2" t="s">
        <v>5125</v>
      </c>
      <c r="C11977" s="2">
        <v>1151.635</v>
      </c>
      <c r="D11977" s="2">
        <f>HYPERLINK("http://mcb-m6.bioreg.kyushu-u.ac.jp/M3/20110404/F50762/1242/1", 64.8)</f>
        <v>64.8</v>
      </c>
      <c r="E11977" s="2">
        <v>50.21</v>
      </c>
      <c r="F11977" s="2">
        <v>1</v>
      </c>
      <c r="G11977" s="2" t="s">
        <v>9</v>
      </c>
    </row>
    <row r="11978" spans="1:9" x14ac:dyDescent="0.2">
      <c r="A11978" s="2" t="s">
        <v>5651</v>
      </c>
      <c r="B11978" s="2" t="s">
        <v>5108</v>
      </c>
      <c r="C11978" s="2">
        <v>586.27809999999999</v>
      </c>
      <c r="D11978" s="2">
        <f>HYPERLINK("http://mcb-m6.bioreg.kyushu-u.ac.jp/M3/20110404/F50762/1270/1", 76.42)</f>
        <v>76.42</v>
      </c>
      <c r="E11978" s="2">
        <v>48.54</v>
      </c>
      <c r="F11978" s="2">
        <v>2</v>
      </c>
      <c r="G11978" s="2" t="s">
        <v>9</v>
      </c>
    </row>
    <row r="11979" spans="1:9" x14ac:dyDescent="0.2">
      <c r="A11979" s="2" t="s">
        <v>5651</v>
      </c>
      <c r="B11979" s="2" t="s">
        <v>5108</v>
      </c>
      <c r="C11979" s="2">
        <v>586.31460000000004</v>
      </c>
      <c r="D11979" s="2">
        <f>HYPERLINK("http://mcb-m6.bioreg.kyushu-u.ac.jp/M3/20110404/F50761/1262/1", 83.13)</f>
        <v>83.13</v>
      </c>
      <c r="E11979" s="2">
        <v>47.54</v>
      </c>
      <c r="F11979" s="2">
        <v>2</v>
      </c>
      <c r="G11979" s="2" t="s">
        <v>10</v>
      </c>
    </row>
    <row r="11980" spans="1:9" x14ac:dyDescent="0.2">
      <c r="A11980" s="2" t="s">
        <v>5651</v>
      </c>
      <c r="B11980" s="2" t="s">
        <v>7105</v>
      </c>
      <c r="C11980" s="2">
        <v>1116.376</v>
      </c>
      <c r="D11980" s="2">
        <f>HYPERLINK("http://mcb-m6.bioreg.kyushu-u.ac.jp/M3/20110421/F51034/3406/1", 44.34)</f>
        <v>44.34</v>
      </c>
      <c r="E11980" s="2">
        <v>20.57</v>
      </c>
      <c r="F11980" s="2">
        <v>2</v>
      </c>
      <c r="G11980" s="2" t="s">
        <v>11</v>
      </c>
    </row>
    <row r="11981" spans="1:9" x14ac:dyDescent="0.2">
      <c r="A11981" s="2" t="s">
        <v>5651</v>
      </c>
      <c r="B11981" s="2" t="s">
        <v>5125</v>
      </c>
      <c r="C11981" s="2">
        <v>1151.451</v>
      </c>
      <c r="D11981" s="2">
        <f>HYPERLINK("http://mcb-m6.bioreg.kyushu-u.ac.jp/M3/20110421/F51034/1213/1", 72.68)</f>
        <v>72.680000000000007</v>
      </c>
      <c r="E11981" s="2">
        <v>52.79</v>
      </c>
      <c r="F11981" s="2">
        <v>1</v>
      </c>
      <c r="G11981" s="2" t="s">
        <v>11</v>
      </c>
    </row>
    <row r="11982" spans="1:9" x14ac:dyDescent="0.2">
      <c r="A11982" s="2" t="s">
        <v>5651</v>
      </c>
      <c r="B11982" s="2" t="s">
        <v>5108</v>
      </c>
      <c r="C11982" s="2">
        <v>586.36569999999995</v>
      </c>
      <c r="D11982" s="2">
        <f>HYPERLINK("http://mcb-m6.bioreg.kyushu-u.ac.jp/M3/20110421/F51034/1259/1", 74.21)</f>
        <v>74.209999999999994</v>
      </c>
      <c r="E11982" s="2">
        <v>46</v>
      </c>
      <c r="F11982" s="2">
        <v>2</v>
      </c>
      <c r="G11982" s="2" t="s">
        <v>11</v>
      </c>
    </row>
    <row r="11983" spans="1:9" x14ac:dyDescent="0.2">
      <c r="A11983" s="2" t="s">
        <v>5651</v>
      </c>
      <c r="B11983" s="2" t="s">
        <v>5108</v>
      </c>
      <c r="C11983" s="2">
        <v>586.36159999999995</v>
      </c>
      <c r="D11983" s="2">
        <f>HYPERLINK("http://mcb-m6.bioreg.kyushu-u.ac.jp/M3/20110421/F51044/1262/1", 44.23)</f>
        <v>44.23</v>
      </c>
      <c r="E11983" s="2">
        <v>29.13</v>
      </c>
      <c r="F11983" s="2">
        <v>2</v>
      </c>
      <c r="G11983" s="2" t="s">
        <v>12</v>
      </c>
    </row>
    <row r="11984" spans="1:9" x14ac:dyDescent="0.2">
      <c r="A11984" s="2" t="s">
        <v>5651</v>
      </c>
      <c r="B11984" s="2" t="s">
        <v>7308</v>
      </c>
      <c r="C11984" s="2">
        <v>707.64009999999996</v>
      </c>
      <c r="D11984" s="2">
        <f>HYPERLINK("http://mcb-m6.bioreg.kyushu-u.ac.jp/M3/20110427/F51114/1863/1", 37.71)</f>
        <v>37.71</v>
      </c>
      <c r="E11984" s="2">
        <v>19.420000000000002</v>
      </c>
      <c r="F11984" s="2">
        <v>2</v>
      </c>
      <c r="G11984" s="2" t="s">
        <v>13</v>
      </c>
      <c r="I11984" s="2" t="s">
        <v>8147</v>
      </c>
    </row>
    <row r="11985" spans="1:9" x14ac:dyDescent="0.2">
      <c r="A11985" s="2" t="s">
        <v>5651</v>
      </c>
      <c r="B11985" s="2" t="s">
        <v>5108</v>
      </c>
      <c r="C11985" s="2">
        <v>586.13919999999996</v>
      </c>
      <c r="D11985" s="2">
        <f>HYPERLINK("http://mcb-m6.bioreg.kyushu-u.ac.jp/M3/20110428/F51127/1126/1", 38.23)</f>
        <v>38.229999999999997</v>
      </c>
      <c r="E11985" s="2">
        <v>25.5</v>
      </c>
      <c r="F11985" s="2">
        <v>2</v>
      </c>
      <c r="G11985" s="2" t="s">
        <v>13</v>
      </c>
    </row>
    <row r="11986" spans="1:9" x14ac:dyDescent="0.2">
      <c r="A11986" s="2" t="s">
        <v>5651</v>
      </c>
      <c r="B11986" s="2" t="s">
        <v>5108</v>
      </c>
      <c r="C11986" s="2">
        <v>586.14760000000001</v>
      </c>
      <c r="D11986" s="2">
        <f>HYPERLINK("http://mcb-m6.bioreg.kyushu-u.ac.jp/M3/20110427/F51114/1303/1", 63.76)</f>
        <v>63.76</v>
      </c>
      <c r="E11986" s="2">
        <v>44.04</v>
      </c>
      <c r="F11986" s="2">
        <v>2</v>
      </c>
      <c r="G11986" s="2" t="s">
        <v>13</v>
      </c>
    </row>
    <row r="11987" spans="1:9" x14ac:dyDescent="0.2">
      <c r="A11987" s="2" t="s">
        <v>5651</v>
      </c>
      <c r="B11987" s="2" t="s">
        <v>5096</v>
      </c>
      <c r="C11987" s="2">
        <v>1021.193</v>
      </c>
      <c r="D11987" s="2">
        <f>HYPERLINK("http://mcb-m6.bioreg.kyushu-u.ac.jp/M3/20110428/F51127/4194/1", 67.06)</f>
        <v>67.06</v>
      </c>
      <c r="E11987" s="2">
        <v>59.09</v>
      </c>
      <c r="F11987" s="2">
        <v>3</v>
      </c>
      <c r="G11987" s="2" t="s">
        <v>13</v>
      </c>
    </row>
    <row r="11988" spans="1:9" x14ac:dyDescent="0.2">
      <c r="A11988" s="2" t="s">
        <v>5651</v>
      </c>
      <c r="B11988" s="2" t="s">
        <v>5125</v>
      </c>
      <c r="C11988" s="2">
        <v>1151.33</v>
      </c>
      <c r="D11988" s="2">
        <f>HYPERLINK("http://mcb-m6.bioreg.kyushu-u.ac.jp/M3/20110427/F51114/1255/1", 71.29)</f>
        <v>71.290000000000006</v>
      </c>
      <c r="E11988" s="2">
        <v>49.05</v>
      </c>
      <c r="F11988" s="2">
        <v>1</v>
      </c>
      <c r="G11988" s="2" t="s">
        <v>13</v>
      </c>
    </row>
    <row r="11989" spans="1:9" x14ac:dyDescent="0.2">
      <c r="A11989" s="2" t="s">
        <v>5651</v>
      </c>
      <c r="B11989" s="2" t="s">
        <v>7105</v>
      </c>
      <c r="C11989" s="2">
        <v>1116.3009999999999</v>
      </c>
      <c r="D11989" s="2">
        <f>HYPERLINK("http://mcb-m6.bioreg.kyushu-u.ac.jp/M3/20110427/F51114/3578/1", 105.23)</f>
        <v>105.23</v>
      </c>
      <c r="E11989" s="2">
        <v>97.05</v>
      </c>
      <c r="F11989" s="2">
        <v>2</v>
      </c>
      <c r="G11989" s="2" t="s">
        <v>13</v>
      </c>
    </row>
    <row r="11990" spans="1:9" x14ac:dyDescent="0.2">
      <c r="A11990" s="2" t="s">
        <v>7765</v>
      </c>
      <c r="B11990" s="2" t="s">
        <v>6597</v>
      </c>
      <c r="C11990" s="2">
        <v>991.34810000000004</v>
      </c>
      <c r="D11990" s="2">
        <f>HYPERLINK("http://mcb-m6.bioreg.kyushu-u.ac.jp/M3/20110404/F50752/2786/1", 89.22)</f>
        <v>89.22</v>
      </c>
      <c r="E11990" s="2">
        <v>75.45</v>
      </c>
      <c r="F11990" s="2">
        <v>2</v>
      </c>
      <c r="G11990" s="2" t="s">
        <v>9</v>
      </c>
      <c r="I11990" s="2" t="s">
        <v>4918</v>
      </c>
    </row>
    <row r="11991" spans="1:9" x14ac:dyDescent="0.2">
      <c r="A11991" s="2" t="s">
        <v>3254</v>
      </c>
      <c r="B11991" s="2" t="s">
        <v>34</v>
      </c>
      <c r="C11991" s="2">
        <v>620.7441</v>
      </c>
      <c r="D11991" s="2">
        <f>HYPERLINK("http://mcb-m6.bioreg.kyushu-u.ac.jp/M3/20110404/F50752/1735/1", 55.53)</f>
        <v>55.53</v>
      </c>
      <c r="E11991" s="2">
        <v>39.270000000000003</v>
      </c>
      <c r="F11991" s="2">
        <v>2</v>
      </c>
      <c r="G11991" s="2" t="s">
        <v>9</v>
      </c>
      <c r="I11991" s="2" t="s">
        <v>4892</v>
      </c>
    </row>
    <row r="11992" spans="1:9" x14ac:dyDescent="0.2">
      <c r="A11992" s="2" t="s">
        <v>3254</v>
      </c>
      <c r="B11992" s="2" t="s">
        <v>1541</v>
      </c>
      <c r="C11992" s="2">
        <v>839.60720000000003</v>
      </c>
      <c r="D11992" s="2">
        <f>HYPERLINK("http://mcb-m6.bioreg.kyushu-u.ac.jp/M3/20110404/F50753/2388/1", 64.83)</f>
        <v>64.83</v>
      </c>
      <c r="E11992" s="2">
        <v>48.1</v>
      </c>
      <c r="F11992" s="2">
        <v>2</v>
      </c>
      <c r="G11992" s="2" t="s">
        <v>9</v>
      </c>
    </row>
    <row r="11993" spans="1:9" x14ac:dyDescent="0.2">
      <c r="A11993" s="2" t="s">
        <v>3254</v>
      </c>
      <c r="B11993" s="2" t="s">
        <v>1541</v>
      </c>
      <c r="C11993" s="2">
        <v>839.7577</v>
      </c>
      <c r="D11993" s="2">
        <f>HYPERLINK("http://mcb-m6.bioreg.kyushu-u.ac.jp/M3/20110427/F51110/2577/1", 71.89)</f>
        <v>71.89</v>
      </c>
      <c r="E11993" s="2">
        <v>55.46</v>
      </c>
      <c r="F11993" s="2">
        <v>2</v>
      </c>
      <c r="G11993" s="2" t="s">
        <v>13</v>
      </c>
    </row>
    <row r="11994" spans="1:9" x14ac:dyDescent="0.2">
      <c r="A11994" s="2" t="s">
        <v>3269</v>
      </c>
      <c r="B11994" s="2" t="s">
        <v>2587</v>
      </c>
      <c r="C11994" s="2">
        <v>745.26419999999996</v>
      </c>
      <c r="D11994" s="2">
        <f>HYPERLINK("http://mcb-m6.bioreg.kyushu-u.ac.jp/M3/20110404/F50754/2135/1", 49.2)</f>
        <v>49.2</v>
      </c>
      <c r="E11994" s="2">
        <v>28.94</v>
      </c>
      <c r="F11994" s="2">
        <v>2</v>
      </c>
      <c r="G11994" s="2" t="s">
        <v>9</v>
      </c>
      <c r="I11994" s="2" t="s">
        <v>4914</v>
      </c>
    </row>
    <row r="11995" spans="1:9" x14ac:dyDescent="0.2">
      <c r="A11995" s="2" t="s">
        <v>3269</v>
      </c>
      <c r="B11995" s="2" t="s">
        <v>2587</v>
      </c>
      <c r="C11995" s="2">
        <v>745.68520000000001</v>
      </c>
      <c r="D11995" s="2">
        <f>HYPERLINK("http://mcb-m6.bioreg.kyushu-u.ac.jp/M3/20110427/F51113/2020/1", 35.42)</f>
        <v>35.42</v>
      </c>
      <c r="E11995" s="2">
        <v>13.02</v>
      </c>
      <c r="F11995" s="2">
        <v>2</v>
      </c>
      <c r="G11995" s="2" t="s">
        <v>13</v>
      </c>
      <c r="I11995" s="2" t="s">
        <v>4914</v>
      </c>
    </row>
    <row r="11996" spans="1:9" x14ac:dyDescent="0.2">
      <c r="A11996" s="2" t="s">
        <v>7870</v>
      </c>
      <c r="B11996" s="2" t="s">
        <v>6873</v>
      </c>
      <c r="C11996" s="2">
        <v>686.50459999999998</v>
      </c>
      <c r="D11996" s="2">
        <f>HYPERLINK("http://mcb-m6.bioreg.kyushu-u.ac.jp/M3/20110404/F50758/1690/1", 52.16)</f>
        <v>52.16</v>
      </c>
      <c r="E11996" s="2">
        <v>27.49</v>
      </c>
      <c r="F11996" s="2">
        <v>2</v>
      </c>
      <c r="G11996" s="2" t="s">
        <v>10</v>
      </c>
    </row>
    <row r="11997" spans="1:9" x14ac:dyDescent="0.2">
      <c r="A11997" s="2" t="s">
        <v>5737</v>
      </c>
      <c r="B11997" s="2" t="s">
        <v>6419</v>
      </c>
      <c r="C11997" s="2">
        <v>708.65260000000001</v>
      </c>
      <c r="D11997" s="2">
        <f>HYPERLINK("http://mcb-m6.bioreg.kyushu-u.ac.jp/M3/20110404/F50756/1791/1", 62.03)</f>
        <v>62.03</v>
      </c>
      <c r="E11997" s="2">
        <v>41.33</v>
      </c>
      <c r="F11997" s="2">
        <v>2</v>
      </c>
      <c r="G11997" s="2" t="s">
        <v>9</v>
      </c>
    </row>
    <row r="11998" spans="1:9" x14ac:dyDescent="0.2">
      <c r="A11998" s="2" t="s">
        <v>3970</v>
      </c>
      <c r="B11998" s="2" t="s">
        <v>1206</v>
      </c>
      <c r="C11998" s="2">
        <v>785.48170000000005</v>
      </c>
      <c r="D11998" s="2">
        <f>HYPERLINK("http://mcb-m6.bioreg.kyushu-u.ac.jp/M3/20110421/F51034/2265/1", 43.12)</f>
        <v>43.12</v>
      </c>
      <c r="E11998" s="2">
        <v>18.12</v>
      </c>
      <c r="F11998" s="2">
        <v>2</v>
      </c>
      <c r="G11998" s="2" t="s">
        <v>11</v>
      </c>
    </row>
    <row r="11999" spans="1:9" x14ac:dyDescent="0.2">
      <c r="A11999" s="2" t="s">
        <v>3970</v>
      </c>
      <c r="B11999" s="2" t="s">
        <v>1206</v>
      </c>
      <c r="C11999" s="2">
        <v>785.25710000000004</v>
      </c>
      <c r="D11999" s="2">
        <f>HYPERLINK("http://mcb-m6.bioreg.kyushu-u.ac.jp/M3/20110427/F51114/2313/1", 66.52)</f>
        <v>66.52</v>
      </c>
      <c r="E11999" s="2">
        <v>46.84</v>
      </c>
      <c r="F11999" s="2">
        <v>2</v>
      </c>
      <c r="G11999" s="2" t="s">
        <v>13</v>
      </c>
    </row>
    <row r="12000" spans="1:9" x14ac:dyDescent="0.2">
      <c r="A12000" s="2" t="s">
        <v>4695</v>
      </c>
      <c r="B12000" s="2" t="s">
        <v>6731</v>
      </c>
      <c r="C12000" s="2">
        <v>872.23659999999995</v>
      </c>
      <c r="D12000" s="2">
        <f>HYPERLINK("http://mcb-m6.bioreg.kyushu-u.ac.jp/M3/20110404/F50771/2412/1", 38.34)</f>
        <v>38.340000000000003</v>
      </c>
      <c r="E12000" s="2">
        <v>22.14</v>
      </c>
      <c r="F12000" s="2">
        <v>2</v>
      </c>
      <c r="G12000" s="2" t="s">
        <v>10</v>
      </c>
    </row>
    <row r="12001" spans="1:9" x14ac:dyDescent="0.2">
      <c r="A12001" s="2" t="s">
        <v>4695</v>
      </c>
      <c r="B12001" s="2" t="s">
        <v>6805</v>
      </c>
      <c r="C12001" s="2">
        <v>598.16359999999997</v>
      </c>
      <c r="D12001" s="2">
        <f>HYPERLINK("http://mcb-m6.bioreg.kyushu-u.ac.jp/M3/20110404/F50771/1321/1", 44.79)</f>
        <v>44.79</v>
      </c>
      <c r="E12001" s="2">
        <v>20.72</v>
      </c>
      <c r="F12001" s="2">
        <v>2</v>
      </c>
      <c r="G12001" s="2" t="s">
        <v>10</v>
      </c>
    </row>
    <row r="12002" spans="1:9" x14ac:dyDescent="0.2">
      <c r="A12002" s="2" t="s">
        <v>4695</v>
      </c>
      <c r="B12002" s="2" t="s">
        <v>6912</v>
      </c>
      <c r="C12002" s="2">
        <v>703.18269999999995</v>
      </c>
      <c r="D12002" s="2">
        <f>HYPERLINK("http://mcb-m6.bioreg.kyushu-u.ac.jp/M3/20110404/F50771/1721/1", 57.88)</f>
        <v>57.88</v>
      </c>
      <c r="E12002" s="2">
        <v>44.71</v>
      </c>
      <c r="F12002" s="2">
        <v>2</v>
      </c>
      <c r="G12002" s="2" t="s">
        <v>10</v>
      </c>
    </row>
    <row r="12003" spans="1:9" x14ac:dyDescent="0.2">
      <c r="A12003" s="2" t="s">
        <v>4695</v>
      </c>
      <c r="B12003" s="2" t="s">
        <v>6928</v>
      </c>
      <c r="C12003" s="2">
        <v>594.14970000000005</v>
      </c>
      <c r="D12003" s="2">
        <f>HYPERLINK("http://mcb-m6.bioreg.kyushu-u.ac.jp/M3/20110404/F50771/1307/1", 60.6)</f>
        <v>60.6</v>
      </c>
      <c r="E12003" s="2">
        <v>36.909999999999997</v>
      </c>
      <c r="F12003" s="2">
        <v>2</v>
      </c>
      <c r="G12003" s="2" t="s">
        <v>10</v>
      </c>
    </row>
    <row r="12004" spans="1:9" x14ac:dyDescent="0.2">
      <c r="A12004" s="2" t="s">
        <v>4695</v>
      </c>
      <c r="B12004" s="2" t="s">
        <v>7041</v>
      </c>
      <c r="C12004" s="2">
        <v>749.72310000000004</v>
      </c>
      <c r="D12004" s="2">
        <f>HYPERLINK("http://mcb-m6.bioreg.kyushu-u.ac.jp/M3/20110404/F50771/1938/1", 90.72)</f>
        <v>90.72</v>
      </c>
      <c r="E12004" s="2">
        <v>70.42</v>
      </c>
      <c r="F12004" s="2">
        <v>2</v>
      </c>
      <c r="G12004" s="2" t="s">
        <v>10</v>
      </c>
      <c r="I12004" s="2" t="s">
        <v>4899</v>
      </c>
    </row>
    <row r="12005" spans="1:9" x14ac:dyDescent="0.2">
      <c r="A12005" s="2" t="s">
        <v>4695</v>
      </c>
      <c r="B12005" s="2" t="s">
        <v>2870</v>
      </c>
      <c r="C12005" s="2">
        <v>694.67269999999996</v>
      </c>
      <c r="D12005" s="2">
        <f>HYPERLINK("http://mcb-m6.bioreg.kyushu-u.ac.jp/M3/20110427/F51115/1771/1", 44.06)</f>
        <v>44.06</v>
      </c>
      <c r="E12005" s="2">
        <v>33.28</v>
      </c>
      <c r="F12005" s="2">
        <v>2</v>
      </c>
      <c r="G12005" s="2" t="s">
        <v>13</v>
      </c>
    </row>
    <row r="12006" spans="1:9" x14ac:dyDescent="0.2">
      <c r="A12006" s="2" t="s">
        <v>4791</v>
      </c>
      <c r="B12006" s="2" t="s">
        <v>3028</v>
      </c>
      <c r="C12006" s="2">
        <v>621.09119999999996</v>
      </c>
      <c r="D12006" s="2">
        <f>HYPERLINK("http://mcb-m6.bioreg.kyushu-u.ac.jp/M3/20110404/F50771/1411/1", 64.38)</f>
        <v>64.38</v>
      </c>
      <c r="E12006" s="2">
        <v>52.42</v>
      </c>
      <c r="F12006" s="2">
        <v>2</v>
      </c>
      <c r="G12006" s="2" t="s">
        <v>10</v>
      </c>
    </row>
    <row r="12007" spans="1:9" x14ac:dyDescent="0.2">
      <c r="A12007" s="2" t="s">
        <v>7903</v>
      </c>
      <c r="B12007" s="2" t="s">
        <v>7059</v>
      </c>
      <c r="C12007" s="2">
        <v>965.80020000000002</v>
      </c>
      <c r="D12007" s="2">
        <f>HYPERLINK("http://mcb-m6.bioreg.kyushu-u.ac.jp/M3/20110404/F50758/2616/1", 120.34)</f>
        <v>120.34</v>
      </c>
      <c r="E12007" s="2">
        <v>108.83</v>
      </c>
      <c r="F12007" s="2">
        <v>2</v>
      </c>
      <c r="G12007" s="2" t="s">
        <v>10</v>
      </c>
    </row>
    <row r="12008" spans="1:9" x14ac:dyDescent="0.2">
      <c r="A12008" s="2" t="s">
        <v>3722</v>
      </c>
      <c r="B12008" s="2" t="s">
        <v>1908</v>
      </c>
      <c r="C12008" s="2">
        <v>676.19460000000004</v>
      </c>
      <c r="D12008" s="2">
        <f>HYPERLINK("http://mcb-m6.bioreg.kyushu-u.ac.jp/M3/20110421/F51021/1668/1", 46.02)</f>
        <v>46.02</v>
      </c>
      <c r="E12008" s="2">
        <v>18.21</v>
      </c>
      <c r="F12008" s="2">
        <v>2</v>
      </c>
      <c r="G12008" s="2" t="s">
        <v>12</v>
      </c>
    </row>
    <row r="12009" spans="1:9" x14ac:dyDescent="0.2">
      <c r="A12009" s="2" t="s">
        <v>3369</v>
      </c>
      <c r="B12009" s="2" t="s">
        <v>1495</v>
      </c>
      <c r="C12009" s="2">
        <v>834.3107</v>
      </c>
      <c r="D12009" s="2">
        <f>HYPERLINK("http://mcb-m6.bioreg.kyushu-u.ac.jp/M3/20110404/F50778/2313/1", 36.97)</f>
        <v>36.97</v>
      </c>
      <c r="E12009" s="2">
        <v>21.23</v>
      </c>
      <c r="F12009" s="2">
        <v>2</v>
      </c>
      <c r="G12009" s="2" t="s">
        <v>9</v>
      </c>
      <c r="I12009" s="2" t="s">
        <v>4899</v>
      </c>
    </row>
    <row r="12010" spans="1:9" x14ac:dyDescent="0.2">
      <c r="A12010" s="2" t="s">
        <v>3369</v>
      </c>
      <c r="B12010" s="2" t="s">
        <v>2501</v>
      </c>
      <c r="C12010" s="2">
        <v>803.84619999999995</v>
      </c>
      <c r="D12010" s="2">
        <f>HYPERLINK("http://mcb-m6.bioreg.kyushu-u.ac.jp/M3/20110404/F50756/2277/1", 42.5)</f>
        <v>42.5</v>
      </c>
      <c r="E12010" s="2">
        <v>33.619999999999997</v>
      </c>
      <c r="F12010" s="2">
        <v>2</v>
      </c>
      <c r="G12010" s="2" t="s">
        <v>9</v>
      </c>
    </row>
    <row r="12011" spans="1:9" x14ac:dyDescent="0.2">
      <c r="A12011" s="2" t="s">
        <v>3369</v>
      </c>
      <c r="B12011" s="2" t="s">
        <v>5376</v>
      </c>
      <c r="C12011" s="2">
        <v>723.5231</v>
      </c>
      <c r="D12011" s="2">
        <f>HYPERLINK("http://mcb-m6.bioreg.kyushu-u.ac.jp/M3/20110404/F50778/1767/1", 55.11)</f>
        <v>55.11</v>
      </c>
      <c r="E12011" s="2">
        <v>39.369999999999997</v>
      </c>
      <c r="F12011" s="2">
        <v>2</v>
      </c>
      <c r="G12011" s="2" t="s">
        <v>9</v>
      </c>
    </row>
    <row r="12012" spans="1:9" x14ac:dyDescent="0.2">
      <c r="A12012" s="2" t="s">
        <v>3369</v>
      </c>
      <c r="B12012" s="2" t="s">
        <v>2501</v>
      </c>
      <c r="C12012" s="2">
        <v>803.38019999999995</v>
      </c>
      <c r="D12012" s="2">
        <f>HYPERLINK("http://mcb-m6.bioreg.kyushu-u.ac.jp/M3/20110404/F50778/2143/1", 65.23)</f>
        <v>65.23</v>
      </c>
      <c r="E12012" s="2">
        <v>53.96</v>
      </c>
      <c r="F12012" s="2">
        <v>2</v>
      </c>
      <c r="G12012" s="2" t="s">
        <v>9</v>
      </c>
    </row>
    <row r="12013" spans="1:9" x14ac:dyDescent="0.2">
      <c r="A12013" s="2" t="s">
        <v>3369</v>
      </c>
      <c r="B12013" s="2" t="s">
        <v>5179</v>
      </c>
      <c r="C12013" s="2">
        <v>809.37710000000004</v>
      </c>
      <c r="D12013" s="2">
        <f>HYPERLINK("http://mcb-m6.bioreg.kyushu-u.ac.jp/M3/20110404/F50778/2178/1", 70.05)</f>
        <v>70.05</v>
      </c>
      <c r="E12013" s="2">
        <v>48.93</v>
      </c>
      <c r="F12013" s="2">
        <v>2</v>
      </c>
      <c r="G12013" s="2" t="s">
        <v>9</v>
      </c>
    </row>
    <row r="12014" spans="1:9" x14ac:dyDescent="0.2">
      <c r="A12014" s="2" t="s">
        <v>3369</v>
      </c>
      <c r="B12014" s="2" t="s">
        <v>5376</v>
      </c>
      <c r="C12014" s="2">
        <v>731.92769999999996</v>
      </c>
      <c r="D12014" s="2">
        <f>HYPERLINK("http://mcb-m6.bioreg.kyushu-u.ac.jp/M3/20110404/F50778/1806/1", 72.2)</f>
        <v>72.2</v>
      </c>
      <c r="E12014" s="2">
        <v>52.57</v>
      </c>
      <c r="F12014" s="2">
        <v>2</v>
      </c>
      <c r="G12014" s="2" t="s">
        <v>9</v>
      </c>
      <c r="H12014" s="2" t="s">
        <v>4925</v>
      </c>
    </row>
    <row r="12015" spans="1:9" x14ac:dyDescent="0.2">
      <c r="A12015" s="2" t="s">
        <v>3369</v>
      </c>
      <c r="B12015" s="2" t="s">
        <v>161</v>
      </c>
      <c r="C12015" s="2">
        <v>830.54110000000003</v>
      </c>
      <c r="D12015" s="2">
        <f>HYPERLINK("http://mcb-m6.bioreg.kyushu-u.ac.jp/M3/20110404/F50778/2292/1", 78.44)</f>
        <v>78.44</v>
      </c>
      <c r="E12015" s="2">
        <v>62.84</v>
      </c>
      <c r="F12015" s="2">
        <v>2</v>
      </c>
      <c r="G12015" s="2" t="s">
        <v>9</v>
      </c>
    </row>
    <row r="12016" spans="1:9" x14ac:dyDescent="0.2">
      <c r="A12016" s="2" t="s">
        <v>3369</v>
      </c>
      <c r="B12016" s="2" t="s">
        <v>2487</v>
      </c>
      <c r="C12016" s="2">
        <v>678.77869999999996</v>
      </c>
      <c r="D12016" s="2">
        <f>HYPERLINK("http://mcb-m6.bioreg.kyushu-u.ac.jp/M3/20110404/F50778/1501/1", 78.93)</f>
        <v>78.930000000000007</v>
      </c>
      <c r="E12016" s="2">
        <v>61.06</v>
      </c>
      <c r="F12016" s="2">
        <v>2</v>
      </c>
      <c r="G12016" s="2" t="s">
        <v>9</v>
      </c>
    </row>
    <row r="12017" spans="1:9" x14ac:dyDescent="0.2">
      <c r="A12017" s="2" t="s">
        <v>3369</v>
      </c>
      <c r="B12017" s="2" t="s">
        <v>1317</v>
      </c>
      <c r="C12017" s="2">
        <v>613.31920000000002</v>
      </c>
      <c r="D12017" s="2">
        <f>HYPERLINK("http://mcb-m6.bioreg.kyushu-u.ac.jp/M3/20110404/F50778/1233/1", 82.86)</f>
        <v>82.86</v>
      </c>
      <c r="E12017" s="2">
        <v>64.02</v>
      </c>
      <c r="F12017" s="2">
        <v>2</v>
      </c>
      <c r="G12017" s="2" t="s">
        <v>9</v>
      </c>
    </row>
    <row r="12018" spans="1:9" x14ac:dyDescent="0.2">
      <c r="A12018" s="2" t="s">
        <v>3369</v>
      </c>
      <c r="B12018" s="2" t="s">
        <v>1495</v>
      </c>
      <c r="C12018" s="2">
        <v>834.83810000000005</v>
      </c>
      <c r="D12018" s="2">
        <f>HYPERLINK("http://mcb-m6.bioreg.kyushu-u.ac.jp/M3/20110404/F50778/2317/1", 85.18)</f>
        <v>85.18</v>
      </c>
      <c r="E12018" s="2">
        <v>69.77</v>
      </c>
      <c r="F12018" s="2">
        <v>2</v>
      </c>
      <c r="G12018" s="2" t="s">
        <v>9</v>
      </c>
      <c r="I12018" s="2" t="s">
        <v>4899</v>
      </c>
    </row>
    <row r="12019" spans="1:9" x14ac:dyDescent="0.2">
      <c r="A12019" s="2" t="s">
        <v>3369</v>
      </c>
      <c r="B12019" s="2" t="s">
        <v>161</v>
      </c>
      <c r="C12019" s="2">
        <v>829.92610000000002</v>
      </c>
      <c r="D12019" s="2">
        <f>HYPERLINK("http://mcb-m6.bioreg.kyushu-u.ac.jp/M3/20110404/F50778/2288/1", 92)</f>
        <v>92</v>
      </c>
      <c r="E12019" s="2">
        <v>74.64</v>
      </c>
      <c r="F12019" s="2">
        <v>2</v>
      </c>
      <c r="G12019" s="2" t="s">
        <v>9</v>
      </c>
    </row>
    <row r="12020" spans="1:9" x14ac:dyDescent="0.2">
      <c r="A12020" s="2" t="s">
        <v>3369</v>
      </c>
      <c r="B12020" s="2" t="s">
        <v>5194</v>
      </c>
      <c r="C12020" s="2">
        <v>1074.028</v>
      </c>
      <c r="D12020" s="2">
        <f>HYPERLINK("http://mcb-m6.bioreg.kyushu-u.ac.jp/M3/20110404/F50778/3205/1", 123.38)</f>
        <v>123.38</v>
      </c>
      <c r="E12020" s="2">
        <v>110.09</v>
      </c>
      <c r="F12020" s="2">
        <v>2</v>
      </c>
      <c r="G12020" s="2" t="s">
        <v>9</v>
      </c>
    </row>
    <row r="12021" spans="1:9" x14ac:dyDescent="0.2">
      <c r="A12021" s="2" t="s">
        <v>3369</v>
      </c>
      <c r="B12021" s="2" t="s">
        <v>5113</v>
      </c>
      <c r="C12021" s="2">
        <v>1000.749</v>
      </c>
      <c r="D12021" s="2">
        <f>HYPERLINK("http://mcb-m6.bioreg.kyushu-u.ac.jp/M3/20110404/F50775/2781/1", 40.13)</f>
        <v>40.130000000000003</v>
      </c>
      <c r="E12021" s="2">
        <v>29.56</v>
      </c>
      <c r="F12021" s="2">
        <v>2</v>
      </c>
      <c r="G12021" s="2" t="s">
        <v>10</v>
      </c>
    </row>
    <row r="12022" spans="1:9" x14ac:dyDescent="0.2">
      <c r="A12022" s="2" t="s">
        <v>3369</v>
      </c>
      <c r="B12022" s="2" t="s">
        <v>2487</v>
      </c>
      <c r="C12022" s="2">
        <v>679.3827</v>
      </c>
      <c r="D12022" s="2">
        <f>HYPERLINK("http://mcb-m6.bioreg.kyushu-u.ac.jp/M3/20110404/F50775/1645/1", 42.55)</f>
        <v>42.55</v>
      </c>
      <c r="E12022" s="2">
        <v>24.8</v>
      </c>
      <c r="F12022" s="2">
        <v>2</v>
      </c>
      <c r="G12022" s="2" t="s">
        <v>10</v>
      </c>
    </row>
    <row r="12023" spans="1:9" x14ac:dyDescent="0.2">
      <c r="A12023" s="2" t="s">
        <v>3369</v>
      </c>
      <c r="B12023" s="2" t="s">
        <v>1495</v>
      </c>
      <c r="C12023" s="2">
        <v>835.00570000000005</v>
      </c>
      <c r="D12023" s="2">
        <f>HYPERLINK("http://mcb-m6.bioreg.kyushu-u.ac.jp/M3/20110404/F50775/2313/1", 84.21)</f>
        <v>84.21</v>
      </c>
      <c r="E12023" s="2">
        <v>68.55</v>
      </c>
      <c r="F12023" s="2">
        <v>2</v>
      </c>
      <c r="G12023" s="2" t="s">
        <v>10</v>
      </c>
      <c r="I12023" s="2" t="s">
        <v>4899</v>
      </c>
    </row>
    <row r="12024" spans="1:9" x14ac:dyDescent="0.2">
      <c r="A12024" s="2" t="s">
        <v>3369</v>
      </c>
      <c r="B12024" s="2" t="s">
        <v>1495</v>
      </c>
      <c r="C12024" s="2">
        <v>834.19069999999999</v>
      </c>
      <c r="D12024" s="2">
        <f>HYPERLINK("http://mcb-m6.bioreg.kyushu-u.ac.jp/M3/20110421/F51040/2524/1", 38.08)</f>
        <v>38.08</v>
      </c>
      <c r="E12024" s="2">
        <v>25.16</v>
      </c>
      <c r="F12024" s="2">
        <v>2</v>
      </c>
      <c r="G12024" s="2" t="s">
        <v>11</v>
      </c>
      <c r="I12024" s="2" t="s">
        <v>4899</v>
      </c>
    </row>
    <row r="12025" spans="1:9" x14ac:dyDescent="0.2">
      <c r="A12025" s="2" t="s">
        <v>3369</v>
      </c>
      <c r="B12025" s="2" t="s">
        <v>5376</v>
      </c>
      <c r="C12025" s="2">
        <v>723.91110000000003</v>
      </c>
      <c r="D12025" s="2">
        <f>HYPERLINK("http://mcb-m6.bioreg.kyushu-u.ac.jp/M3/20110421/F51039/1981/1", 41.39)</f>
        <v>41.39</v>
      </c>
      <c r="E12025" s="2">
        <v>25.85</v>
      </c>
      <c r="F12025" s="2">
        <v>2</v>
      </c>
      <c r="G12025" s="2" t="s">
        <v>11</v>
      </c>
    </row>
    <row r="12026" spans="1:9" x14ac:dyDescent="0.2">
      <c r="A12026" s="2" t="s">
        <v>3369</v>
      </c>
      <c r="B12026" s="2" t="s">
        <v>1317</v>
      </c>
      <c r="C12026" s="2">
        <v>613.32820000000004</v>
      </c>
      <c r="D12026" s="2">
        <f>HYPERLINK("http://mcb-m6.bioreg.kyushu-u.ac.jp/M3/20110421/F51042/1183/1", 42.38)</f>
        <v>42.38</v>
      </c>
      <c r="E12026" s="2">
        <v>24.43</v>
      </c>
      <c r="F12026" s="2">
        <v>2</v>
      </c>
      <c r="G12026" s="2" t="s">
        <v>11</v>
      </c>
    </row>
    <row r="12027" spans="1:9" x14ac:dyDescent="0.2">
      <c r="A12027" s="2" t="s">
        <v>3369</v>
      </c>
      <c r="B12027" s="2" t="s">
        <v>2200</v>
      </c>
      <c r="C12027" s="2">
        <v>503.83210000000003</v>
      </c>
      <c r="D12027" s="2">
        <f>HYPERLINK("http://mcb-m6.bioreg.kyushu-u.ac.jp/M3/20110421/F51039/939/1", 45.51)</f>
        <v>45.51</v>
      </c>
      <c r="E12027" s="2">
        <v>23.42</v>
      </c>
      <c r="F12027" s="2">
        <v>2</v>
      </c>
      <c r="G12027" s="2" t="s">
        <v>11</v>
      </c>
    </row>
    <row r="12028" spans="1:9" x14ac:dyDescent="0.2">
      <c r="A12028" s="2" t="s">
        <v>3369</v>
      </c>
      <c r="B12028" s="2" t="s">
        <v>2331</v>
      </c>
      <c r="C12028" s="2">
        <v>478.31310000000002</v>
      </c>
      <c r="D12028" s="2">
        <f>HYPERLINK("http://mcb-m6.bioreg.kyushu-u.ac.jp/M3/20110421/F51042/577/1", 48.54)</f>
        <v>48.54</v>
      </c>
      <c r="E12028" s="2">
        <v>20.14</v>
      </c>
      <c r="F12028" s="2">
        <v>2</v>
      </c>
      <c r="G12028" s="2" t="s">
        <v>11</v>
      </c>
    </row>
    <row r="12029" spans="1:9" x14ac:dyDescent="0.2">
      <c r="A12029" s="2" t="s">
        <v>3369</v>
      </c>
      <c r="B12029" s="2" t="s">
        <v>2501</v>
      </c>
      <c r="C12029" s="2">
        <v>803.97170000000006</v>
      </c>
      <c r="D12029" s="2">
        <f>HYPERLINK("http://mcb-m6.bioreg.kyushu-u.ac.jp/M3/20110421/F51039/2425/1", 49.12)</f>
        <v>49.12</v>
      </c>
      <c r="E12029" s="2">
        <v>27.8</v>
      </c>
      <c r="F12029" s="2">
        <v>2</v>
      </c>
      <c r="G12029" s="2" t="s">
        <v>11</v>
      </c>
    </row>
    <row r="12030" spans="1:9" x14ac:dyDescent="0.2">
      <c r="A12030" s="2" t="s">
        <v>3369</v>
      </c>
      <c r="B12030" s="2" t="s">
        <v>161</v>
      </c>
      <c r="C12030" s="2">
        <v>829.7722</v>
      </c>
      <c r="D12030" s="2">
        <f>HYPERLINK("http://mcb-m6.bioreg.kyushu-u.ac.jp/M3/20110421/F51040/2503/1", 49.71)</f>
        <v>49.71</v>
      </c>
      <c r="E12030" s="2">
        <v>29.85</v>
      </c>
      <c r="F12030" s="2">
        <v>2</v>
      </c>
      <c r="G12030" s="2" t="s">
        <v>11</v>
      </c>
    </row>
    <row r="12031" spans="1:9" x14ac:dyDescent="0.2">
      <c r="A12031" s="2" t="s">
        <v>3369</v>
      </c>
      <c r="B12031" s="2" t="s">
        <v>992</v>
      </c>
      <c r="C12031" s="2">
        <v>609.39009999999996</v>
      </c>
      <c r="D12031" s="2">
        <f>HYPERLINK("http://mcb-m6.bioreg.kyushu-u.ac.jp/M3/20110421/F51040/1413/1", 53.7)</f>
        <v>53.7</v>
      </c>
      <c r="E12031" s="2">
        <v>18.52</v>
      </c>
      <c r="F12031" s="2">
        <v>2</v>
      </c>
      <c r="G12031" s="2" t="s">
        <v>11</v>
      </c>
    </row>
    <row r="12032" spans="1:9" x14ac:dyDescent="0.2">
      <c r="A12032" s="2" t="s">
        <v>3369</v>
      </c>
      <c r="B12032" s="2" t="s">
        <v>814</v>
      </c>
      <c r="C12032" s="2">
        <v>778.90620000000001</v>
      </c>
      <c r="D12032" s="2">
        <f>HYPERLINK("http://mcb-m6.bioreg.kyushu-u.ac.jp/M3/20110421/F51040/2241/1", 53.89)</f>
        <v>53.89</v>
      </c>
      <c r="E12032" s="2">
        <v>33.26</v>
      </c>
      <c r="F12032" s="2">
        <v>2</v>
      </c>
      <c r="G12032" s="2" t="s">
        <v>11</v>
      </c>
    </row>
    <row r="12033" spans="1:9" x14ac:dyDescent="0.2">
      <c r="A12033" s="2" t="s">
        <v>3369</v>
      </c>
      <c r="B12033" s="2" t="s">
        <v>5194</v>
      </c>
      <c r="C12033" s="2">
        <v>1074.0340000000001</v>
      </c>
      <c r="D12033" s="2">
        <f>HYPERLINK("http://mcb-m6.bioreg.kyushu-u.ac.jp/M3/20110421/F51039/3355/1", 55.05)</f>
        <v>55.05</v>
      </c>
      <c r="E12033" s="2">
        <v>47.7</v>
      </c>
      <c r="F12033" s="2">
        <v>2</v>
      </c>
      <c r="G12033" s="2" t="s">
        <v>11</v>
      </c>
    </row>
    <row r="12034" spans="1:9" x14ac:dyDescent="0.2">
      <c r="A12034" s="2" t="s">
        <v>3369</v>
      </c>
      <c r="B12034" s="2" t="s">
        <v>2487</v>
      </c>
      <c r="C12034" s="2">
        <v>679.31709999999998</v>
      </c>
      <c r="D12034" s="2">
        <f>HYPERLINK("http://mcb-m6.bioreg.kyushu-u.ac.jp/M3/20110421/F51042/1516/1", 60.12)</f>
        <v>60.12</v>
      </c>
      <c r="E12034" s="2">
        <v>42.31</v>
      </c>
      <c r="F12034" s="2">
        <v>2</v>
      </c>
      <c r="G12034" s="2" t="s">
        <v>11</v>
      </c>
    </row>
    <row r="12035" spans="1:9" x14ac:dyDescent="0.2">
      <c r="A12035" s="2" t="s">
        <v>3369</v>
      </c>
      <c r="B12035" s="2" t="s">
        <v>5179</v>
      </c>
      <c r="C12035" s="2">
        <v>808.71770000000004</v>
      </c>
      <c r="D12035" s="2">
        <f>HYPERLINK("http://mcb-m6.bioreg.kyushu-u.ac.jp/M3/20110421/F51039/2447/1", 64.21)</f>
        <v>64.209999999999994</v>
      </c>
      <c r="E12035" s="2">
        <v>37.479999999999997</v>
      </c>
      <c r="F12035" s="2">
        <v>2</v>
      </c>
      <c r="G12035" s="2" t="s">
        <v>11</v>
      </c>
    </row>
    <row r="12036" spans="1:9" x14ac:dyDescent="0.2">
      <c r="A12036" s="2" t="s">
        <v>3369</v>
      </c>
      <c r="B12036" s="2" t="s">
        <v>5393</v>
      </c>
      <c r="C12036" s="2">
        <v>481.7706</v>
      </c>
      <c r="D12036" s="2">
        <f>HYPERLINK("http://mcb-m6.bioreg.kyushu-u.ac.jp/M3/20110421/F51039/820/1", 69.97)</f>
        <v>69.97</v>
      </c>
      <c r="E12036" s="2">
        <v>34.4</v>
      </c>
      <c r="F12036" s="2">
        <v>2</v>
      </c>
      <c r="G12036" s="2" t="s">
        <v>11</v>
      </c>
    </row>
    <row r="12037" spans="1:9" x14ac:dyDescent="0.2">
      <c r="A12037" s="2" t="s">
        <v>3369</v>
      </c>
      <c r="B12037" s="2" t="s">
        <v>1495</v>
      </c>
      <c r="C12037" s="2">
        <v>834.39869999999996</v>
      </c>
      <c r="D12037" s="2">
        <f>HYPERLINK("http://mcb-m6.bioreg.kyushu-u.ac.jp/M3/20110421/F51042/2491/1", 70.64)</f>
        <v>70.64</v>
      </c>
      <c r="E12037" s="2">
        <v>53.37</v>
      </c>
      <c r="F12037" s="2">
        <v>2</v>
      </c>
      <c r="G12037" s="2" t="s">
        <v>11</v>
      </c>
      <c r="I12037" s="2" t="s">
        <v>4899</v>
      </c>
    </row>
    <row r="12038" spans="1:9" x14ac:dyDescent="0.2">
      <c r="A12038" s="2" t="s">
        <v>3369</v>
      </c>
      <c r="B12038" s="2" t="s">
        <v>5421</v>
      </c>
      <c r="C12038" s="2">
        <v>917.86270000000002</v>
      </c>
      <c r="D12038" s="2">
        <f>HYPERLINK("http://mcb-m6.bioreg.kyushu-u.ac.jp/M3/20110421/F51040/2832/1", 73.37)</f>
        <v>73.37</v>
      </c>
      <c r="E12038" s="2">
        <v>59.83</v>
      </c>
      <c r="F12038" s="2">
        <v>2</v>
      </c>
      <c r="G12038" s="2" t="s">
        <v>11</v>
      </c>
    </row>
    <row r="12039" spans="1:9" x14ac:dyDescent="0.2">
      <c r="A12039" s="2" t="s">
        <v>3369</v>
      </c>
      <c r="B12039" s="2" t="s">
        <v>1317</v>
      </c>
      <c r="C12039" s="2">
        <v>613.77009999999996</v>
      </c>
      <c r="D12039" s="2">
        <f>HYPERLINK("http://mcb-m6.bioreg.kyushu-u.ac.jp/M3/20110421/F51040/1440/1", 78.77)</f>
        <v>78.77</v>
      </c>
      <c r="E12039" s="2">
        <v>62.35</v>
      </c>
      <c r="F12039" s="2">
        <v>2</v>
      </c>
      <c r="G12039" s="2" t="s">
        <v>11</v>
      </c>
    </row>
    <row r="12040" spans="1:9" x14ac:dyDescent="0.2">
      <c r="A12040" s="2" t="s">
        <v>3369</v>
      </c>
      <c r="B12040" s="2" t="s">
        <v>2487</v>
      </c>
      <c r="C12040" s="2">
        <v>678.81269999999995</v>
      </c>
      <c r="D12040" s="2">
        <f>HYPERLINK("http://mcb-m6.bioreg.kyushu-u.ac.jp/M3/20110421/F51039/1709/1", 79.18)</f>
        <v>79.180000000000007</v>
      </c>
      <c r="E12040" s="2">
        <v>56.58</v>
      </c>
      <c r="F12040" s="2">
        <v>2</v>
      </c>
      <c r="G12040" s="2" t="s">
        <v>11</v>
      </c>
    </row>
    <row r="12041" spans="1:9" x14ac:dyDescent="0.2">
      <c r="A12041" s="2" t="s">
        <v>3369</v>
      </c>
      <c r="B12041" s="2" t="s">
        <v>1495</v>
      </c>
      <c r="C12041" s="2">
        <v>834.19709999999998</v>
      </c>
      <c r="D12041" s="2">
        <f>HYPERLINK("http://mcb-m6.bioreg.kyushu-u.ac.jp/M3/20110421/F51039/2591/1", 80.73)</f>
        <v>80.73</v>
      </c>
      <c r="E12041" s="2">
        <v>63.81</v>
      </c>
      <c r="F12041" s="2">
        <v>2</v>
      </c>
      <c r="G12041" s="2" t="s">
        <v>11</v>
      </c>
      <c r="I12041" s="2" t="s">
        <v>4899</v>
      </c>
    </row>
    <row r="12042" spans="1:9" x14ac:dyDescent="0.2">
      <c r="A12042" s="2" t="s">
        <v>3369</v>
      </c>
      <c r="B12042" s="2" t="s">
        <v>5179</v>
      </c>
      <c r="C12042" s="2">
        <v>809.33920000000001</v>
      </c>
      <c r="D12042" s="2">
        <f>HYPERLINK("http://mcb-m6.bioreg.kyushu-u.ac.jp/M3/20110421/F51040/2411/1", 81.51)</f>
        <v>81.510000000000005</v>
      </c>
      <c r="E12042" s="2">
        <v>55.85</v>
      </c>
      <c r="F12042" s="2">
        <v>2</v>
      </c>
      <c r="G12042" s="2" t="s">
        <v>11</v>
      </c>
    </row>
    <row r="12043" spans="1:9" x14ac:dyDescent="0.2">
      <c r="A12043" s="2" t="s">
        <v>3369</v>
      </c>
      <c r="B12043" s="2" t="s">
        <v>1495</v>
      </c>
      <c r="C12043" s="2">
        <v>834.93910000000005</v>
      </c>
      <c r="D12043" s="2">
        <f>HYPERLINK("http://mcb-m6.bioreg.kyushu-u.ac.jp/M3/20110421/F51040/2527/1", 82.94)</f>
        <v>82.94</v>
      </c>
      <c r="E12043" s="2">
        <v>61.79</v>
      </c>
      <c r="F12043" s="2">
        <v>2</v>
      </c>
      <c r="G12043" s="2" t="s">
        <v>11</v>
      </c>
      <c r="I12043" s="2" t="s">
        <v>4899</v>
      </c>
    </row>
    <row r="12044" spans="1:9" x14ac:dyDescent="0.2">
      <c r="A12044" s="2" t="s">
        <v>3369</v>
      </c>
      <c r="B12044" s="2" t="s">
        <v>2501</v>
      </c>
      <c r="C12044" s="2">
        <v>803.86469999999997</v>
      </c>
      <c r="D12044" s="2">
        <f>HYPERLINK("http://mcb-m6.bioreg.kyushu-u.ac.jp/M3/20110421/F51042/2306/1", 83.88)</f>
        <v>83.88</v>
      </c>
      <c r="E12044" s="2">
        <v>52</v>
      </c>
      <c r="F12044" s="2">
        <v>2</v>
      </c>
      <c r="G12044" s="2" t="s">
        <v>11</v>
      </c>
    </row>
    <row r="12045" spans="1:9" x14ac:dyDescent="0.2">
      <c r="A12045" s="2" t="s">
        <v>3369</v>
      </c>
      <c r="B12045" s="2" t="s">
        <v>2501</v>
      </c>
      <c r="C12045" s="2">
        <v>803.74519999999995</v>
      </c>
      <c r="D12045" s="2">
        <f>HYPERLINK("http://mcb-m6.bioreg.kyushu-u.ac.jp/M3/20110421/F51034/2347/1", 87.63)</f>
        <v>87.63</v>
      </c>
      <c r="E12045" s="2">
        <v>72.11</v>
      </c>
      <c r="F12045" s="2">
        <v>2</v>
      </c>
      <c r="G12045" s="2" t="s">
        <v>11</v>
      </c>
    </row>
    <row r="12046" spans="1:9" x14ac:dyDescent="0.2">
      <c r="A12046" s="2" t="s">
        <v>3369</v>
      </c>
      <c r="B12046" s="2" t="s">
        <v>2487</v>
      </c>
      <c r="C12046" s="2">
        <v>678.70920000000001</v>
      </c>
      <c r="D12046" s="2">
        <f>HYPERLINK("http://mcb-m6.bioreg.kyushu-u.ac.jp/M3/20110421/F51040/1652/1", 88.87)</f>
        <v>88.87</v>
      </c>
      <c r="E12046" s="2">
        <v>61.85</v>
      </c>
      <c r="F12046" s="2">
        <v>2</v>
      </c>
      <c r="G12046" s="2" t="s">
        <v>11</v>
      </c>
    </row>
    <row r="12047" spans="1:9" x14ac:dyDescent="0.2">
      <c r="A12047" s="2" t="s">
        <v>3369</v>
      </c>
      <c r="B12047" s="2" t="s">
        <v>2501</v>
      </c>
      <c r="C12047" s="2">
        <v>803.35519999999997</v>
      </c>
      <c r="D12047" s="2">
        <f>HYPERLINK("http://mcb-m6.bioreg.kyushu-u.ac.jp/M3/20110421/F51039/2422/1", 92.74)</f>
        <v>92.74</v>
      </c>
      <c r="E12047" s="2">
        <v>78.959999999999994</v>
      </c>
      <c r="F12047" s="2">
        <v>2</v>
      </c>
      <c r="G12047" s="2" t="s">
        <v>11</v>
      </c>
    </row>
    <row r="12048" spans="1:9" x14ac:dyDescent="0.2">
      <c r="A12048" s="2" t="s">
        <v>3369</v>
      </c>
      <c r="B12048" s="2" t="s">
        <v>161</v>
      </c>
      <c r="C12048" s="2">
        <v>830.29110000000003</v>
      </c>
      <c r="D12048" s="2">
        <f>HYPERLINK("http://mcb-m6.bioreg.kyushu-u.ac.jp/M3/20110421/F51042/2470/1", 93.98)</f>
        <v>93.98</v>
      </c>
      <c r="E12048" s="2">
        <v>80.52</v>
      </c>
      <c r="F12048" s="2">
        <v>2</v>
      </c>
      <c r="G12048" s="2" t="s">
        <v>11</v>
      </c>
    </row>
    <row r="12049" spans="1:9" x14ac:dyDescent="0.2">
      <c r="A12049" s="2" t="s">
        <v>3369</v>
      </c>
      <c r="B12049" s="2" t="s">
        <v>161</v>
      </c>
      <c r="C12049" s="2">
        <v>830.36410000000001</v>
      </c>
      <c r="D12049" s="2">
        <f>HYPERLINK("http://mcb-m6.bioreg.kyushu-u.ac.jp/M3/20110421/F51039/2572/1", 95.31)</f>
        <v>95.31</v>
      </c>
      <c r="E12049" s="2">
        <v>75.599999999999994</v>
      </c>
      <c r="F12049" s="2">
        <v>2</v>
      </c>
      <c r="G12049" s="2" t="s">
        <v>11</v>
      </c>
    </row>
    <row r="12050" spans="1:9" x14ac:dyDescent="0.2">
      <c r="A12050" s="2" t="s">
        <v>3369</v>
      </c>
      <c r="B12050" s="2" t="s">
        <v>2501</v>
      </c>
      <c r="C12050" s="2">
        <v>803.29219999999998</v>
      </c>
      <c r="D12050" s="2">
        <f>HYPERLINK("http://mcb-m6.bioreg.kyushu-u.ac.jp/M3/20110421/F51042/2303/1", 96)</f>
        <v>96</v>
      </c>
      <c r="E12050" s="2">
        <v>78.17</v>
      </c>
      <c r="F12050" s="2">
        <v>2</v>
      </c>
      <c r="G12050" s="2" t="s">
        <v>11</v>
      </c>
    </row>
    <row r="12051" spans="1:9" x14ac:dyDescent="0.2">
      <c r="A12051" s="2" t="s">
        <v>3369</v>
      </c>
      <c r="B12051" s="2" t="s">
        <v>2501</v>
      </c>
      <c r="C12051" s="2">
        <v>803.38620000000003</v>
      </c>
      <c r="D12051" s="2">
        <f>HYPERLINK("http://mcb-m6.bioreg.kyushu-u.ac.jp/M3/20110421/F51040/2381/1", 113.03)</f>
        <v>113.03</v>
      </c>
      <c r="E12051" s="2">
        <v>95.69</v>
      </c>
      <c r="F12051" s="2">
        <v>2</v>
      </c>
      <c r="G12051" s="2" t="s">
        <v>11</v>
      </c>
    </row>
    <row r="12052" spans="1:9" x14ac:dyDescent="0.2">
      <c r="A12052" s="2" t="s">
        <v>3369</v>
      </c>
      <c r="B12052" s="2" t="s">
        <v>1317</v>
      </c>
      <c r="C12052" s="2">
        <v>613.07669999999996</v>
      </c>
      <c r="D12052" s="2">
        <f>HYPERLINK("http://mcb-m6.bioreg.kyushu-u.ac.jp/M3/20110427/F51114/1433/1", 36.81)</f>
        <v>36.81</v>
      </c>
      <c r="E12052" s="2">
        <v>24.46</v>
      </c>
      <c r="F12052" s="2">
        <v>2</v>
      </c>
      <c r="G12052" s="2" t="s">
        <v>13</v>
      </c>
    </row>
    <row r="12053" spans="1:9" x14ac:dyDescent="0.2">
      <c r="A12053" s="2" t="s">
        <v>3369</v>
      </c>
      <c r="B12053" s="2" t="s">
        <v>992</v>
      </c>
      <c r="C12053" s="2">
        <v>609.24620000000004</v>
      </c>
      <c r="D12053" s="2">
        <f>HYPERLINK("http://mcb-m6.bioreg.kyushu-u.ac.jp/M3/20110428/F51133/1272/1", 42.57)</f>
        <v>42.57</v>
      </c>
      <c r="E12053" s="2">
        <v>8.98</v>
      </c>
      <c r="F12053" s="2">
        <v>2</v>
      </c>
      <c r="G12053" s="2" t="s">
        <v>13</v>
      </c>
    </row>
    <row r="12054" spans="1:9" x14ac:dyDescent="0.2">
      <c r="A12054" s="2" t="s">
        <v>3369</v>
      </c>
      <c r="B12054" s="2" t="s">
        <v>5376</v>
      </c>
      <c r="C12054" s="2">
        <v>723.23820000000001</v>
      </c>
      <c r="D12054" s="2">
        <f>HYPERLINK("http://mcb-m6.bioreg.kyushu-u.ac.jp/M3/20110428/F51133/1812/1", 45.51)</f>
        <v>45.51</v>
      </c>
      <c r="E12054" s="2">
        <v>29.01</v>
      </c>
      <c r="F12054" s="2">
        <v>2</v>
      </c>
      <c r="G12054" s="2" t="s">
        <v>13</v>
      </c>
    </row>
    <row r="12055" spans="1:9" x14ac:dyDescent="0.2">
      <c r="A12055" s="2" t="s">
        <v>3369</v>
      </c>
      <c r="B12055" s="2" t="s">
        <v>5393</v>
      </c>
      <c r="C12055" s="2">
        <v>481.54259999999999</v>
      </c>
      <c r="D12055" s="2">
        <f>HYPERLINK("http://mcb-m6.bioreg.kyushu-u.ac.jp/M3/20110428/F51133/740/1", 45.69)</f>
        <v>45.69</v>
      </c>
      <c r="E12055" s="2">
        <v>20.87</v>
      </c>
      <c r="F12055" s="2">
        <v>2</v>
      </c>
      <c r="G12055" s="2" t="s">
        <v>13</v>
      </c>
    </row>
    <row r="12056" spans="1:9" x14ac:dyDescent="0.2">
      <c r="A12056" s="2" t="s">
        <v>3369</v>
      </c>
      <c r="B12056" s="2" t="s">
        <v>2501</v>
      </c>
      <c r="C12056" s="2">
        <v>803.79359999999997</v>
      </c>
      <c r="D12056" s="2">
        <f>HYPERLINK("http://mcb-m6.bioreg.kyushu-u.ac.jp/M3/20110428/F51133/2247/1", 49.66)</f>
        <v>49.66</v>
      </c>
      <c r="E12056" s="2">
        <v>28.3</v>
      </c>
      <c r="F12056" s="2">
        <v>2</v>
      </c>
      <c r="G12056" s="2" t="s">
        <v>13</v>
      </c>
    </row>
    <row r="12057" spans="1:9" x14ac:dyDescent="0.2">
      <c r="A12057" s="2" t="s">
        <v>3369</v>
      </c>
      <c r="B12057" s="2" t="s">
        <v>5194</v>
      </c>
      <c r="C12057" s="2">
        <v>1074.421</v>
      </c>
      <c r="D12057" s="2">
        <f>HYPERLINK("http://mcb-m6.bioreg.kyushu-u.ac.jp/M3/20110428/F51133/3124/1", 57.54)</f>
        <v>57.54</v>
      </c>
      <c r="E12057" s="2">
        <v>45.4</v>
      </c>
      <c r="F12057" s="2">
        <v>2</v>
      </c>
      <c r="G12057" s="2" t="s">
        <v>13</v>
      </c>
    </row>
    <row r="12058" spans="1:9" x14ac:dyDescent="0.2">
      <c r="A12058" s="2" t="s">
        <v>3369</v>
      </c>
      <c r="B12058" s="2" t="s">
        <v>1317</v>
      </c>
      <c r="C12058" s="2">
        <v>613.32169999999996</v>
      </c>
      <c r="D12058" s="2">
        <f>HYPERLINK("http://mcb-m6.bioreg.kyushu-u.ac.jp/M3/20110428/F51133/1299/1", 68.38)</f>
        <v>68.38</v>
      </c>
      <c r="E12058" s="2">
        <v>49.23</v>
      </c>
      <c r="F12058" s="2">
        <v>2</v>
      </c>
      <c r="G12058" s="2" t="s">
        <v>13</v>
      </c>
    </row>
    <row r="12059" spans="1:9" x14ac:dyDescent="0.2">
      <c r="A12059" s="2" t="s">
        <v>3369</v>
      </c>
      <c r="B12059" s="2" t="s">
        <v>1495</v>
      </c>
      <c r="C12059" s="2">
        <v>834.76369999999997</v>
      </c>
      <c r="D12059" s="2">
        <f>HYPERLINK("http://mcb-m6.bioreg.kyushu-u.ac.jp/M3/20110427/F51114/2559/1", 69.41)</f>
        <v>69.41</v>
      </c>
      <c r="E12059" s="2">
        <v>56.22</v>
      </c>
      <c r="F12059" s="2">
        <v>2</v>
      </c>
      <c r="G12059" s="2" t="s">
        <v>13</v>
      </c>
      <c r="I12059" s="2" t="s">
        <v>4899</v>
      </c>
    </row>
    <row r="12060" spans="1:9" x14ac:dyDescent="0.2">
      <c r="A12060" s="2" t="s">
        <v>3369</v>
      </c>
      <c r="B12060" s="2" t="s">
        <v>2487</v>
      </c>
      <c r="C12060" s="2">
        <v>678.61609999999996</v>
      </c>
      <c r="D12060" s="2">
        <f>HYPERLINK("http://mcb-m6.bioreg.kyushu-u.ac.jp/M3/20110428/F51133/1521/1", 89.96)</f>
        <v>89.96</v>
      </c>
      <c r="E12060" s="2">
        <v>65.41</v>
      </c>
      <c r="F12060" s="2">
        <v>2</v>
      </c>
      <c r="G12060" s="2" t="s">
        <v>13</v>
      </c>
    </row>
    <row r="12061" spans="1:9" x14ac:dyDescent="0.2">
      <c r="A12061" s="2" t="s">
        <v>3369</v>
      </c>
      <c r="B12061" s="2" t="s">
        <v>161</v>
      </c>
      <c r="C12061" s="2">
        <v>829.84720000000004</v>
      </c>
      <c r="D12061" s="2">
        <f>HYPERLINK("http://mcb-m6.bioreg.kyushu-u.ac.jp/M3/20110428/F51133/2368/1", 99.13)</f>
        <v>99.13</v>
      </c>
      <c r="E12061" s="2">
        <v>82.21</v>
      </c>
      <c r="F12061" s="2">
        <v>2</v>
      </c>
      <c r="G12061" s="2" t="s">
        <v>13</v>
      </c>
    </row>
    <row r="12062" spans="1:9" x14ac:dyDescent="0.2">
      <c r="A12062" s="2" t="s">
        <v>3369</v>
      </c>
      <c r="B12062" s="2" t="s">
        <v>1495</v>
      </c>
      <c r="C12062" s="2">
        <v>834.24659999999994</v>
      </c>
      <c r="D12062" s="2">
        <f>HYPERLINK("http://mcb-m6.bioreg.kyushu-u.ac.jp/M3/20110428/F51133/2386/1", 107.28)</f>
        <v>107.28</v>
      </c>
      <c r="E12062" s="2">
        <v>86.5</v>
      </c>
      <c r="F12062" s="2">
        <v>2</v>
      </c>
      <c r="G12062" s="2" t="s">
        <v>13</v>
      </c>
      <c r="I12062" s="2" t="s">
        <v>4899</v>
      </c>
    </row>
    <row r="12063" spans="1:9" x14ac:dyDescent="0.2">
      <c r="A12063" s="2" t="s">
        <v>3369</v>
      </c>
      <c r="B12063" s="2" t="s">
        <v>2501</v>
      </c>
      <c r="C12063" s="2">
        <v>804.01170000000002</v>
      </c>
      <c r="D12063" s="2">
        <f>HYPERLINK("http://mcb-m6.bioreg.kyushu-u.ac.jp/M3/20110428/F51133/2248/1", 107.7)</f>
        <v>107.7</v>
      </c>
      <c r="E12063" s="2">
        <v>88.59</v>
      </c>
      <c r="F12063" s="2">
        <v>2</v>
      </c>
      <c r="G12063" s="2" t="s">
        <v>13</v>
      </c>
    </row>
    <row r="12064" spans="1:9" x14ac:dyDescent="0.2">
      <c r="A12064" s="2" t="s">
        <v>3369</v>
      </c>
      <c r="B12064" s="2" t="s">
        <v>2501</v>
      </c>
      <c r="C12064" s="2">
        <v>803.21310000000005</v>
      </c>
      <c r="D12064" s="2">
        <f>HYPERLINK("http://mcb-m6.bioreg.kyushu-u.ac.jp/M3/20110428/F51133/2246/1", 123.35)</f>
        <v>123.35</v>
      </c>
      <c r="E12064" s="2">
        <v>103.39</v>
      </c>
      <c r="F12064" s="2">
        <v>2</v>
      </c>
      <c r="G12064" s="2" t="s">
        <v>13</v>
      </c>
    </row>
    <row r="12065" spans="1:9" x14ac:dyDescent="0.2">
      <c r="A12065" s="2" t="s">
        <v>5698</v>
      </c>
      <c r="B12065" s="2" t="s">
        <v>6930</v>
      </c>
      <c r="C12065" s="2">
        <v>608.83420000000001</v>
      </c>
      <c r="D12065" s="2">
        <f>HYPERLINK("http://mcb-m6.bioreg.kyushu-u.ac.jp/M3/20110404/F50770/1447/1", 61.11)</f>
        <v>61.11</v>
      </c>
      <c r="E12065" s="2">
        <v>36.29</v>
      </c>
      <c r="F12065" s="2">
        <v>2</v>
      </c>
      <c r="G12065" s="2" t="s">
        <v>10</v>
      </c>
    </row>
    <row r="12066" spans="1:9" x14ac:dyDescent="0.2">
      <c r="A12066" s="2" t="s">
        <v>3675</v>
      </c>
      <c r="B12066" s="2" t="s">
        <v>2427</v>
      </c>
      <c r="C12066" s="2">
        <v>912.23170000000005</v>
      </c>
      <c r="D12066" s="2">
        <f>HYPERLINK("http://mcb-m6.bioreg.kyushu-u.ac.jp/M3/20110404/F50770/2434/1", 35.72)</f>
        <v>35.72</v>
      </c>
      <c r="E12066" s="2">
        <v>21.93</v>
      </c>
      <c r="F12066" s="2">
        <v>2</v>
      </c>
      <c r="G12066" s="2" t="s">
        <v>10</v>
      </c>
      <c r="I12066" s="2" t="s">
        <v>4909</v>
      </c>
    </row>
    <row r="12067" spans="1:9" x14ac:dyDescent="0.2">
      <c r="A12067" s="2" t="s">
        <v>3675</v>
      </c>
      <c r="B12067" s="2" t="s">
        <v>2427</v>
      </c>
      <c r="C12067" s="2">
        <v>911.71169999999995</v>
      </c>
      <c r="D12067" s="2">
        <f>HYPERLINK("http://mcb-m6.bioreg.kyushu-u.ac.jp/M3/20110404/F50770/2430/1", 40.13)</f>
        <v>40.130000000000003</v>
      </c>
      <c r="E12067" s="2">
        <v>31.22</v>
      </c>
      <c r="F12067" s="2">
        <v>2</v>
      </c>
      <c r="G12067" s="2" t="s">
        <v>10</v>
      </c>
      <c r="I12067" s="2" t="s">
        <v>4909</v>
      </c>
    </row>
    <row r="12068" spans="1:9" x14ac:dyDescent="0.2">
      <c r="A12068" s="2" t="s">
        <v>3675</v>
      </c>
      <c r="B12068" s="2" t="s">
        <v>2655</v>
      </c>
      <c r="C12068" s="2">
        <v>599.19209999999998</v>
      </c>
      <c r="D12068" s="2">
        <f>HYPERLINK("http://mcb-m6.bioreg.kyushu-u.ac.jp/M3/20110404/F50770/1420/1", 65.66)</f>
        <v>65.66</v>
      </c>
      <c r="E12068" s="2">
        <v>37.369999999999997</v>
      </c>
      <c r="F12068" s="2">
        <v>2</v>
      </c>
      <c r="G12068" s="2" t="s">
        <v>10</v>
      </c>
    </row>
    <row r="12069" spans="1:9" x14ac:dyDescent="0.2">
      <c r="A12069" s="2" t="s">
        <v>3675</v>
      </c>
      <c r="B12069" s="2" t="s">
        <v>664</v>
      </c>
      <c r="C12069" s="2">
        <v>547.16359999999997</v>
      </c>
      <c r="D12069" s="2">
        <f>HYPERLINK("http://mcb-m6.bioreg.kyushu-u.ac.jp/M3/20110404/F50770/1294/1", 69.85)</f>
        <v>69.849999999999994</v>
      </c>
      <c r="E12069" s="2">
        <v>38.369999999999997</v>
      </c>
      <c r="F12069" s="2">
        <v>2</v>
      </c>
      <c r="G12069" s="2" t="s">
        <v>10</v>
      </c>
    </row>
    <row r="12070" spans="1:9" x14ac:dyDescent="0.2">
      <c r="A12070" s="2" t="s">
        <v>3675</v>
      </c>
      <c r="B12070" s="2" t="s">
        <v>628</v>
      </c>
      <c r="C12070" s="2">
        <v>657.21469999999999</v>
      </c>
      <c r="D12070" s="2">
        <f>HYPERLINK("http://mcb-m6.bioreg.kyushu-u.ac.jp/M3/20110404/F50770/1577/1", 83.74)</f>
        <v>83.74</v>
      </c>
      <c r="E12070" s="2">
        <v>61.46</v>
      </c>
      <c r="F12070" s="2">
        <v>2</v>
      </c>
      <c r="G12070" s="2" t="s">
        <v>10</v>
      </c>
    </row>
    <row r="12071" spans="1:9" x14ac:dyDescent="0.2">
      <c r="A12071" s="2" t="s">
        <v>3675</v>
      </c>
      <c r="B12071" s="2" t="s">
        <v>2427</v>
      </c>
      <c r="C12071" s="2">
        <v>911.71119999999996</v>
      </c>
      <c r="D12071" s="2">
        <f>HYPERLINK("http://mcb-m6.bioreg.kyushu-u.ac.jp/M3/20110427/F51115/2665/1", 39.56)</f>
        <v>39.56</v>
      </c>
      <c r="E12071" s="2">
        <v>28.15</v>
      </c>
      <c r="F12071" s="2">
        <v>2</v>
      </c>
      <c r="G12071" s="2" t="s">
        <v>13</v>
      </c>
      <c r="I12071" s="2" t="s">
        <v>4909</v>
      </c>
    </row>
    <row r="12072" spans="1:9" x14ac:dyDescent="0.2">
      <c r="A12072" s="2" t="s">
        <v>3675</v>
      </c>
      <c r="B12072" s="2" t="s">
        <v>628</v>
      </c>
      <c r="C12072" s="2">
        <v>657.0172</v>
      </c>
      <c r="D12072" s="2">
        <f>HYPERLINK("http://mcb-m6.bioreg.kyushu-u.ac.jp/M3/20110427/F51115/1595/1", 75.84)</f>
        <v>75.84</v>
      </c>
      <c r="E12072" s="2">
        <v>53.45</v>
      </c>
      <c r="F12072" s="2">
        <v>2</v>
      </c>
      <c r="G12072" s="2" t="s">
        <v>13</v>
      </c>
    </row>
    <row r="12073" spans="1:9" x14ac:dyDescent="0.2">
      <c r="A12073" s="2" t="s">
        <v>4877</v>
      </c>
      <c r="B12073" s="2" t="s">
        <v>6074</v>
      </c>
      <c r="C12073" s="2">
        <v>761.90009999999995</v>
      </c>
      <c r="D12073" s="2">
        <f>HYPERLINK("http://mcb-m6.bioreg.kyushu-u.ac.jp/M3/20110404/F50764/1967/1", 41.11)</f>
        <v>41.11</v>
      </c>
      <c r="E12073" s="2">
        <v>26.66</v>
      </c>
      <c r="F12073" s="2">
        <v>2</v>
      </c>
      <c r="G12073" s="2" t="s">
        <v>9</v>
      </c>
      <c r="I12073" s="2" t="s">
        <v>4914</v>
      </c>
    </row>
    <row r="12074" spans="1:9" x14ac:dyDescent="0.2">
      <c r="A12074" s="2" t="s">
        <v>4877</v>
      </c>
      <c r="B12074" s="2" t="s">
        <v>6354</v>
      </c>
      <c r="C12074" s="2">
        <v>982.81569999999999</v>
      </c>
      <c r="D12074" s="2">
        <f>HYPERLINK("http://mcb-m6.bioreg.kyushu-u.ac.jp/M3/20110404/F50764/2700/1", 55.99)</f>
        <v>55.99</v>
      </c>
      <c r="E12074" s="2">
        <v>41.02</v>
      </c>
      <c r="F12074" s="2">
        <v>2</v>
      </c>
      <c r="G12074" s="2" t="s">
        <v>9</v>
      </c>
      <c r="H12074" s="2" t="s">
        <v>4919</v>
      </c>
      <c r="I12074" s="2" t="s">
        <v>4909</v>
      </c>
    </row>
    <row r="12075" spans="1:9" x14ac:dyDescent="0.2">
      <c r="A12075" s="2" t="s">
        <v>4877</v>
      </c>
      <c r="B12075" s="2" t="s">
        <v>3191</v>
      </c>
      <c r="C12075" s="2">
        <v>574.32820000000004</v>
      </c>
      <c r="D12075" s="2">
        <f>HYPERLINK("http://mcb-m6.bioreg.kyushu-u.ac.jp/M3/20110404/F50764/1207/1", 58.9)</f>
        <v>58.9</v>
      </c>
      <c r="E12075" s="2">
        <v>40.11</v>
      </c>
      <c r="F12075" s="2">
        <v>2</v>
      </c>
      <c r="G12075" s="2" t="s">
        <v>9</v>
      </c>
    </row>
    <row r="12076" spans="1:9" x14ac:dyDescent="0.2">
      <c r="A12076" s="2" t="s">
        <v>4877</v>
      </c>
      <c r="B12076" s="2" t="s">
        <v>6437</v>
      </c>
      <c r="C12076" s="2">
        <v>699.89970000000005</v>
      </c>
      <c r="D12076" s="2">
        <f>HYPERLINK("http://mcb-m6.bioreg.kyushu-u.ac.jp/M3/20110404/F50764/1683/1", 64.63)</f>
        <v>64.63</v>
      </c>
      <c r="E12076" s="2">
        <v>52.27</v>
      </c>
      <c r="F12076" s="2">
        <v>2</v>
      </c>
      <c r="G12076" s="2" t="s">
        <v>9</v>
      </c>
    </row>
    <row r="12077" spans="1:9" x14ac:dyDescent="0.2">
      <c r="A12077" s="2" t="s">
        <v>4877</v>
      </c>
      <c r="B12077" s="2" t="s">
        <v>6437</v>
      </c>
      <c r="C12077" s="2">
        <v>699.38869999999997</v>
      </c>
      <c r="D12077" s="2">
        <f>HYPERLINK("http://mcb-m6.bioreg.kyushu-u.ac.jp/M3/20110404/F50764/1681/1", 73.85)</f>
        <v>73.849999999999994</v>
      </c>
      <c r="E12077" s="2">
        <v>61.93</v>
      </c>
      <c r="F12077" s="2">
        <v>2</v>
      </c>
      <c r="G12077" s="2" t="s">
        <v>9</v>
      </c>
    </row>
    <row r="12078" spans="1:9" x14ac:dyDescent="0.2">
      <c r="A12078" s="2" t="s">
        <v>4877</v>
      </c>
      <c r="B12078" s="2" t="s">
        <v>6556</v>
      </c>
      <c r="C12078" s="2">
        <v>694.32870000000003</v>
      </c>
      <c r="D12078" s="2">
        <f>HYPERLINK("http://mcb-m6.bioreg.kyushu-u.ac.jp/M3/20110404/F50764/1657/1", 79.26)</f>
        <v>79.260000000000005</v>
      </c>
      <c r="E12078" s="2">
        <v>47.31</v>
      </c>
      <c r="F12078" s="2">
        <v>2</v>
      </c>
      <c r="G12078" s="2" t="s">
        <v>9</v>
      </c>
    </row>
    <row r="12079" spans="1:9" x14ac:dyDescent="0.2">
      <c r="A12079" s="2" t="s">
        <v>4877</v>
      </c>
      <c r="B12079" s="2" t="s">
        <v>3199</v>
      </c>
      <c r="C12079" s="2">
        <v>1047.4960000000001</v>
      </c>
      <c r="D12079" s="2">
        <f>HYPERLINK("http://mcb-m6.bioreg.kyushu-u.ac.jp/M3/20110404/F50764/2865/1", 79.68)</f>
        <v>79.680000000000007</v>
      </c>
      <c r="E12079" s="2">
        <v>69.41</v>
      </c>
      <c r="F12079" s="2">
        <v>2</v>
      </c>
      <c r="G12079" s="2" t="s">
        <v>9</v>
      </c>
    </row>
    <row r="12080" spans="1:9" x14ac:dyDescent="0.2">
      <c r="A12080" s="2" t="s">
        <v>4877</v>
      </c>
      <c r="B12080" s="2" t="s">
        <v>6583</v>
      </c>
      <c r="C12080" s="2">
        <v>869.93910000000005</v>
      </c>
      <c r="D12080" s="2">
        <f>HYPERLINK("http://mcb-m6.bioreg.kyushu-u.ac.jp/M3/20110404/F50764/2327/1", 85.56)</f>
        <v>85.56</v>
      </c>
      <c r="E12080" s="2">
        <v>71.31</v>
      </c>
      <c r="F12080" s="2">
        <v>2</v>
      </c>
      <c r="G12080" s="2" t="s">
        <v>9</v>
      </c>
      <c r="I12080" s="2" t="s">
        <v>4914</v>
      </c>
    </row>
    <row r="12081" spans="1:9" x14ac:dyDescent="0.2">
      <c r="A12081" s="2" t="s">
        <v>4877</v>
      </c>
      <c r="B12081" s="2" t="s">
        <v>6354</v>
      </c>
      <c r="C12081" s="2">
        <v>974.82420000000002</v>
      </c>
      <c r="D12081" s="2">
        <f>HYPERLINK("http://mcb-m6.bioreg.kyushu-u.ac.jp/M3/20110404/F50764/2668/1", 93.57)</f>
        <v>93.57</v>
      </c>
      <c r="E12081" s="2">
        <v>75.44</v>
      </c>
      <c r="F12081" s="2">
        <v>2</v>
      </c>
      <c r="G12081" s="2" t="s">
        <v>9</v>
      </c>
      <c r="I12081" s="2" t="s">
        <v>4909</v>
      </c>
    </row>
    <row r="12082" spans="1:9" x14ac:dyDescent="0.2">
      <c r="A12082" s="2" t="s">
        <v>4877</v>
      </c>
      <c r="B12082" s="2" t="s">
        <v>6354</v>
      </c>
      <c r="C12082" s="2">
        <v>975.39369999999997</v>
      </c>
      <c r="D12082" s="2">
        <f>HYPERLINK("http://mcb-m6.bioreg.kyushu-u.ac.jp/M3/20110404/F50764/2669/1", 95.2)</f>
        <v>95.2</v>
      </c>
      <c r="E12082" s="2">
        <v>80.900000000000006</v>
      </c>
      <c r="F12082" s="2">
        <v>2</v>
      </c>
      <c r="G12082" s="2" t="s">
        <v>9</v>
      </c>
      <c r="I12082" s="2" t="s">
        <v>4909</v>
      </c>
    </row>
    <row r="12083" spans="1:9" x14ac:dyDescent="0.2">
      <c r="A12083" s="2" t="s">
        <v>4877</v>
      </c>
      <c r="B12083" s="2" t="s">
        <v>6074</v>
      </c>
      <c r="C12083" s="2">
        <v>761.34559999999999</v>
      </c>
      <c r="D12083" s="2">
        <f>HYPERLINK("http://mcb-m6.bioreg.kyushu-u.ac.jp/M3/20110404/F50770/1999/1", 37.54)</f>
        <v>37.54</v>
      </c>
      <c r="E12083" s="2">
        <v>25.72</v>
      </c>
      <c r="F12083" s="2">
        <v>2</v>
      </c>
      <c r="G12083" s="2" t="s">
        <v>10</v>
      </c>
      <c r="I12083" s="2" t="s">
        <v>4914</v>
      </c>
    </row>
    <row r="12084" spans="1:9" x14ac:dyDescent="0.2">
      <c r="A12084" s="2" t="s">
        <v>4877</v>
      </c>
      <c r="B12084" s="2" t="s">
        <v>6556</v>
      </c>
      <c r="C12084" s="2">
        <v>694.27919999999995</v>
      </c>
      <c r="D12084" s="2">
        <f>HYPERLINK("http://mcb-m6.bioreg.kyushu-u.ac.jp/M3/20110404/F50771/1676/1", 39.3)</f>
        <v>39.299999999999997</v>
      </c>
      <c r="E12084" s="2">
        <v>21.74</v>
      </c>
      <c r="F12084" s="2">
        <v>2</v>
      </c>
      <c r="G12084" s="2" t="s">
        <v>10</v>
      </c>
    </row>
    <row r="12085" spans="1:9" x14ac:dyDescent="0.2">
      <c r="A12085" s="2" t="s">
        <v>4877</v>
      </c>
      <c r="B12085" s="2" t="s">
        <v>6354</v>
      </c>
      <c r="C12085" s="2">
        <v>983.48720000000003</v>
      </c>
      <c r="D12085" s="2">
        <f>HYPERLINK("http://mcb-m6.bioreg.kyushu-u.ac.jp/M3/20110404/F50770/2611/1", 47.03)</f>
        <v>47.03</v>
      </c>
      <c r="E12085" s="2">
        <v>30.82</v>
      </c>
      <c r="F12085" s="2">
        <v>2</v>
      </c>
      <c r="G12085" s="2" t="s">
        <v>10</v>
      </c>
      <c r="H12085" s="2" t="s">
        <v>4919</v>
      </c>
      <c r="I12085" s="2" t="s">
        <v>4909</v>
      </c>
    </row>
    <row r="12086" spans="1:9" x14ac:dyDescent="0.2">
      <c r="A12086" s="2" t="s">
        <v>4877</v>
      </c>
      <c r="B12086" s="2" t="s">
        <v>6583</v>
      </c>
      <c r="C12086" s="2">
        <v>870.29110000000003</v>
      </c>
      <c r="D12086" s="2">
        <f>HYPERLINK("http://mcb-m6.bioreg.kyushu-u.ac.jp/M3/20110404/F50770/2316/1", 72.37)</f>
        <v>72.37</v>
      </c>
      <c r="E12086" s="2">
        <v>56.35</v>
      </c>
      <c r="F12086" s="2">
        <v>2</v>
      </c>
      <c r="G12086" s="2" t="s">
        <v>10</v>
      </c>
      <c r="I12086" s="2" t="s">
        <v>4914</v>
      </c>
    </row>
    <row r="12087" spans="1:9" x14ac:dyDescent="0.2">
      <c r="A12087" s="2" t="s">
        <v>4877</v>
      </c>
      <c r="B12087" s="2" t="s">
        <v>6556</v>
      </c>
      <c r="C12087" s="2">
        <v>694.73720000000003</v>
      </c>
      <c r="D12087" s="2">
        <f>HYPERLINK("http://mcb-m6.bioreg.kyushu-u.ac.jp/M3/20110404/F50770/1752/1", 75.71)</f>
        <v>75.709999999999994</v>
      </c>
      <c r="E12087" s="2">
        <v>53.76</v>
      </c>
      <c r="F12087" s="2">
        <v>2</v>
      </c>
      <c r="G12087" s="2" t="s">
        <v>10</v>
      </c>
    </row>
    <row r="12088" spans="1:9" x14ac:dyDescent="0.2">
      <c r="A12088" s="2" t="s">
        <v>4877</v>
      </c>
      <c r="B12088" s="2" t="s">
        <v>3199</v>
      </c>
      <c r="C12088" s="2">
        <v>1046.8679999999999</v>
      </c>
      <c r="D12088" s="2">
        <f>HYPERLINK("http://mcb-m6.bioreg.kyushu-u.ac.jp/M3/20110404/F50770/2761/1", 85.11)</f>
        <v>85.11</v>
      </c>
      <c r="E12088" s="2">
        <v>76.260000000000005</v>
      </c>
      <c r="F12088" s="2">
        <v>2</v>
      </c>
      <c r="G12088" s="2" t="s">
        <v>10</v>
      </c>
    </row>
    <row r="12089" spans="1:9" x14ac:dyDescent="0.2">
      <c r="A12089" s="2" t="s">
        <v>4877</v>
      </c>
      <c r="B12089" s="2" t="s">
        <v>6354</v>
      </c>
      <c r="C12089" s="2">
        <v>974.87819999999999</v>
      </c>
      <c r="D12089" s="2">
        <f>HYPERLINK("http://mcb-m6.bioreg.kyushu-u.ac.jp/M3/20110404/F50770/2585/1", 87.78)</f>
        <v>87.78</v>
      </c>
      <c r="E12089" s="2">
        <v>73.97</v>
      </c>
      <c r="F12089" s="2">
        <v>2</v>
      </c>
      <c r="G12089" s="2" t="s">
        <v>10</v>
      </c>
      <c r="I12089" s="2" t="s">
        <v>4909</v>
      </c>
    </row>
    <row r="12090" spans="1:9" x14ac:dyDescent="0.2">
      <c r="A12090" s="2" t="s">
        <v>4877</v>
      </c>
      <c r="B12090" s="2" t="s">
        <v>6556</v>
      </c>
      <c r="C12090" s="2">
        <v>694.57920000000001</v>
      </c>
      <c r="D12090" s="2">
        <f>HYPERLINK("http://mcb-m6.bioreg.kyushu-u.ac.jp/M3/20110427/F51115/1770/1", 81.78)</f>
        <v>81.78</v>
      </c>
      <c r="E12090" s="2">
        <v>55.1</v>
      </c>
      <c r="F12090" s="2">
        <v>2</v>
      </c>
      <c r="G12090" s="2" t="s">
        <v>13</v>
      </c>
    </row>
    <row r="12091" spans="1:9" x14ac:dyDescent="0.2">
      <c r="A12091" s="2" t="s">
        <v>3776</v>
      </c>
      <c r="B12091" s="2" t="s">
        <v>5967</v>
      </c>
      <c r="C12091" s="2">
        <v>567.74369999999999</v>
      </c>
      <c r="D12091" s="2">
        <f>HYPERLINK("http://mcb-m6.bioreg.kyushu-u.ac.jp/M3/20110404/F50766/733/1", 37.18)</f>
        <v>37.18</v>
      </c>
      <c r="E12091" s="2">
        <v>15.03</v>
      </c>
      <c r="F12091" s="2">
        <v>2</v>
      </c>
      <c r="G12091" s="2" t="s">
        <v>9</v>
      </c>
    </row>
    <row r="12092" spans="1:9" x14ac:dyDescent="0.2">
      <c r="A12092" s="2" t="s">
        <v>3776</v>
      </c>
      <c r="B12092" s="2" t="s">
        <v>6345</v>
      </c>
      <c r="C12092" s="2">
        <v>495.43509999999998</v>
      </c>
      <c r="D12092" s="2">
        <f>HYPERLINK("http://mcb-m6.bioreg.kyushu-u.ac.jp/M3/20110404/F50766/499/1", 55.35)</f>
        <v>55.35</v>
      </c>
      <c r="E12092" s="2">
        <v>20.62</v>
      </c>
      <c r="F12092" s="2">
        <v>2</v>
      </c>
      <c r="G12092" s="2" t="s">
        <v>9</v>
      </c>
    </row>
    <row r="12093" spans="1:9" x14ac:dyDescent="0.2">
      <c r="A12093" s="2" t="s">
        <v>3776</v>
      </c>
      <c r="B12093" s="2" t="s">
        <v>6456</v>
      </c>
      <c r="C12093" s="2">
        <v>590.58619999999996</v>
      </c>
      <c r="D12093" s="2">
        <f>HYPERLINK("http://mcb-m6.bioreg.kyushu-u.ac.jp/M3/20110404/F50766/821/1", 66.02)</f>
        <v>66.02</v>
      </c>
      <c r="E12093" s="2">
        <v>47.66</v>
      </c>
      <c r="F12093" s="2">
        <v>2</v>
      </c>
      <c r="G12093" s="2" t="s">
        <v>9</v>
      </c>
    </row>
    <row r="12094" spans="1:9" x14ac:dyDescent="0.2">
      <c r="A12094" s="2" t="s">
        <v>3776</v>
      </c>
      <c r="B12094" s="2" t="s">
        <v>6557</v>
      </c>
      <c r="C12094" s="2">
        <v>656.15970000000004</v>
      </c>
      <c r="D12094" s="2">
        <f>HYPERLINK("http://mcb-m6.bioreg.kyushu-u.ac.jp/M3/20110404/F50766/1088/1", 79.38)</f>
        <v>79.38</v>
      </c>
      <c r="E12094" s="2">
        <v>60.72</v>
      </c>
      <c r="F12094" s="2">
        <v>2</v>
      </c>
      <c r="G12094" s="2" t="s">
        <v>9</v>
      </c>
    </row>
    <row r="12095" spans="1:9" x14ac:dyDescent="0.2">
      <c r="A12095" s="2" t="s">
        <v>4001</v>
      </c>
      <c r="B12095" s="2" t="s">
        <v>1734</v>
      </c>
      <c r="C12095" s="2">
        <v>779.30359999999996</v>
      </c>
      <c r="D12095" s="2">
        <f>HYPERLINK("http://mcb-m6.bioreg.kyushu-u.ac.jp/M3/20110404/F50755/2169/1", 44.2)</f>
        <v>44.2</v>
      </c>
      <c r="E12095" s="2">
        <v>30.35</v>
      </c>
      <c r="F12095" s="2">
        <v>2</v>
      </c>
      <c r="G12095" s="2" t="s">
        <v>9</v>
      </c>
    </row>
    <row r="12096" spans="1:9" x14ac:dyDescent="0.2">
      <c r="A12096" s="2" t="s">
        <v>4001</v>
      </c>
      <c r="B12096" s="2" t="s">
        <v>1291</v>
      </c>
      <c r="C12096" s="2">
        <v>778.71810000000005</v>
      </c>
      <c r="D12096" s="2">
        <f>HYPERLINK("http://mcb-m6.bioreg.kyushu-u.ac.jp/M3/20110404/F50755/2166/1", 83.3)</f>
        <v>83.3</v>
      </c>
      <c r="E12096" s="2">
        <v>68.510000000000005</v>
      </c>
      <c r="F12096" s="2">
        <v>2</v>
      </c>
      <c r="G12096" s="2" t="s">
        <v>9</v>
      </c>
    </row>
    <row r="12097" spans="1:7" x14ac:dyDescent="0.2">
      <c r="A12097" s="2" t="s">
        <v>4001</v>
      </c>
      <c r="B12097" s="2" t="s">
        <v>1291</v>
      </c>
      <c r="C12097" s="2">
        <v>779.27670000000001</v>
      </c>
      <c r="D12097" s="2">
        <f>HYPERLINK("http://mcb-m6.bioreg.kyushu-u.ac.jp/M3/20110404/F50760/1999/1", 83.91)</f>
        <v>83.91</v>
      </c>
      <c r="E12097" s="2">
        <v>63.99</v>
      </c>
      <c r="F12097" s="2">
        <v>2</v>
      </c>
      <c r="G12097" s="2" t="s">
        <v>10</v>
      </c>
    </row>
    <row r="12098" spans="1:7" x14ac:dyDescent="0.2">
      <c r="A12098" s="2" t="s">
        <v>4001</v>
      </c>
      <c r="B12098" s="2" t="s">
        <v>1734</v>
      </c>
      <c r="C12098" s="2">
        <v>779.20010000000002</v>
      </c>
      <c r="D12098" s="2">
        <f>HYPERLINK("http://mcb-m6.bioreg.kyushu-u.ac.jp/M3/20110421/F51018/2292/1", 48.12)</f>
        <v>48.12</v>
      </c>
      <c r="E12098" s="2">
        <v>29.53</v>
      </c>
      <c r="F12098" s="2">
        <v>2</v>
      </c>
      <c r="G12098" s="2" t="s">
        <v>11</v>
      </c>
    </row>
    <row r="12099" spans="1:7" x14ac:dyDescent="0.2">
      <c r="A12099" s="2" t="s">
        <v>4001</v>
      </c>
      <c r="B12099" s="2" t="s">
        <v>1291</v>
      </c>
      <c r="C12099" s="2">
        <v>779.15309999999999</v>
      </c>
      <c r="D12099" s="2">
        <f>HYPERLINK("http://mcb-m6.bioreg.kyushu-u.ac.jp/M3/20110421/F51018/2291/1", 71.05)</f>
        <v>71.05</v>
      </c>
      <c r="E12099" s="2">
        <v>56.16</v>
      </c>
      <c r="F12099" s="2">
        <v>2</v>
      </c>
      <c r="G12099" s="2" t="s">
        <v>11</v>
      </c>
    </row>
    <row r="12100" spans="1:7" x14ac:dyDescent="0.2">
      <c r="A12100" s="2" t="s">
        <v>4001</v>
      </c>
      <c r="B12100" s="2" t="s">
        <v>1291</v>
      </c>
      <c r="C12100" s="2">
        <v>778.59220000000005</v>
      </c>
      <c r="D12100" s="2">
        <f>HYPERLINK("http://mcb-m6.bioreg.kyushu-u.ac.jp/M3/20110421/F51024/2297/1", 64.67)</f>
        <v>64.67</v>
      </c>
      <c r="E12100" s="2">
        <v>47.96</v>
      </c>
      <c r="F12100" s="2">
        <v>2</v>
      </c>
      <c r="G12100" s="2" t="s">
        <v>12</v>
      </c>
    </row>
    <row r="12101" spans="1:7" x14ac:dyDescent="0.2">
      <c r="A12101" s="2" t="s">
        <v>4001</v>
      </c>
      <c r="B12101" s="2" t="s">
        <v>1734</v>
      </c>
      <c r="C12101" s="2">
        <v>778.74019999999996</v>
      </c>
      <c r="D12101" s="2">
        <f>HYPERLINK("http://mcb-m6.bioreg.kyushu-u.ac.jp/M3/20110427/F51113/2160/1", 40.56)</f>
        <v>40.56</v>
      </c>
      <c r="E12101" s="2">
        <v>24.16</v>
      </c>
      <c r="F12101" s="2">
        <v>2</v>
      </c>
      <c r="G12101" s="2" t="s">
        <v>13</v>
      </c>
    </row>
    <row r="12102" spans="1:7" x14ac:dyDescent="0.2">
      <c r="A12102" s="2" t="s">
        <v>4001</v>
      </c>
      <c r="B12102" s="2" t="s">
        <v>1291</v>
      </c>
      <c r="C12102" s="2">
        <v>778.64469999999994</v>
      </c>
      <c r="D12102" s="2">
        <f>HYPERLINK("http://mcb-m6.bioreg.kyushu-u.ac.jp/M3/20110427/F51113/2158/1", 59.27)</f>
        <v>59.27</v>
      </c>
      <c r="E12102" s="2">
        <v>46.38</v>
      </c>
      <c r="F12102" s="2">
        <v>2</v>
      </c>
      <c r="G12102" s="2" t="s">
        <v>13</v>
      </c>
    </row>
    <row r="12103" spans="1:7" x14ac:dyDescent="0.2">
      <c r="A12103" s="2" t="s">
        <v>7764</v>
      </c>
      <c r="B12103" s="2" t="s">
        <v>6593</v>
      </c>
      <c r="C12103" s="2">
        <v>787.37459999999999</v>
      </c>
      <c r="D12103" s="2">
        <f>HYPERLINK("http://mcb-m6.bioreg.kyushu-u.ac.jp/M3/20110404/F50764/2055/1", 87.47)</f>
        <v>87.47</v>
      </c>
      <c r="E12103" s="2">
        <v>65.19</v>
      </c>
      <c r="F12103" s="2">
        <v>2</v>
      </c>
      <c r="G12103" s="2" t="s">
        <v>9</v>
      </c>
    </row>
    <row r="12104" spans="1:7" x14ac:dyDescent="0.2">
      <c r="A12104" s="2" t="s">
        <v>7764</v>
      </c>
      <c r="B12104" s="2" t="s">
        <v>6593</v>
      </c>
      <c r="C12104" s="2">
        <v>787.37120000000004</v>
      </c>
      <c r="D12104" s="2">
        <f>HYPERLINK("http://mcb-m6.bioreg.kyushu-u.ac.jp/M3/20110421/F51040/2306/1", 77.67)</f>
        <v>77.67</v>
      </c>
      <c r="E12104" s="2">
        <v>48.34</v>
      </c>
      <c r="F12104" s="2">
        <v>2</v>
      </c>
      <c r="G12104" s="2" t="s">
        <v>11</v>
      </c>
    </row>
    <row r="12105" spans="1:7" x14ac:dyDescent="0.2">
      <c r="A12105" s="2" t="s">
        <v>7764</v>
      </c>
      <c r="B12105" s="2" t="s">
        <v>6593</v>
      </c>
      <c r="C12105" s="2">
        <v>787.78120000000001</v>
      </c>
      <c r="D12105" s="2">
        <f>HYPERLINK("http://mcb-m6.bioreg.kyushu-u.ac.jp/M3/20110428/F51133/2158/1", 91.2)</f>
        <v>91.2</v>
      </c>
      <c r="E12105" s="2">
        <v>81.34</v>
      </c>
      <c r="F12105" s="2">
        <v>2</v>
      </c>
      <c r="G12105" s="2" t="s">
        <v>13</v>
      </c>
    </row>
    <row r="12106" spans="1:7" x14ac:dyDescent="0.2">
      <c r="A12106" s="2" t="s">
        <v>7764</v>
      </c>
      <c r="B12106" s="2" t="s">
        <v>6593</v>
      </c>
      <c r="C12106" s="2">
        <v>787.20069999999998</v>
      </c>
      <c r="D12106" s="2">
        <f>HYPERLINK("http://mcb-m6.bioreg.kyushu-u.ac.jp/M3/20110428/F51130/2291/1", 77.86)</f>
        <v>77.86</v>
      </c>
      <c r="E12106" s="2">
        <v>37.47</v>
      </c>
      <c r="F12106" s="2">
        <v>2</v>
      </c>
      <c r="G12106" s="2" t="s">
        <v>14</v>
      </c>
    </row>
    <row r="12107" spans="1:7" x14ac:dyDescent="0.2">
      <c r="A12107" s="2" t="s">
        <v>5688</v>
      </c>
      <c r="B12107" s="2" t="s">
        <v>5219</v>
      </c>
      <c r="C12107" s="2">
        <v>712.96119999999996</v>
      </c>
      <c r="D12107" s="2">
        <f>HYPERLINK("http://mcb-m6.bioreg.kyushu-u.ac.jp/M3/20110421/F51040/1887/1", 36.18)</f>
        <v>36.18</v>
      </c>
      <c r="E12107" s="2">
        <v>8.6999999999999993</v>
      </c>
      <c r="F12107" s="2">
        <v>2</v>
      </c>
      <c r="G12107" s="2" t="s">
        <v>11</v>
      </c>
    </row>
    <row r="12108" spans="1:7" x14ac:dyDescent="0.2">
      <c r="A12108" s="2" t="s">
        <v>5688</v>
      </c>
      <c r="B12108" s="2" t="s">
        <v>5219</v>
      </c>
      <c r="C12108" s="2">
        <v>712.32460000000003</v>
      </c>
      <c r="D12108" s="2">
        <f>HYPERLINK("http://mcb-m6.bioreg.kyushu-u.ac.jp/M3/20110421/F51039/1920/1", 56.08)</f>
        <v>56.08</v>
      </c>
      <c r="E12108" s="2">
        <v>33.99</v>
      </c>
      <c r="F12108" s="2">
        <v>2</v>
      </c>
      <c r="G12108" s="2" t="s">
        <v>11</v>
      </c>
    </row>
    <row r="12109" spans="1:7" x14ac:dyDescent="0.2">
      <c r="A12109" s="2" t="s">
        <v>5688</v>
      </c>
      <c r="B12109" s="2" t="s">
        <v>5547</v>
      </c>
      <c r="C12109" s="2">
        <v>689.25620000000004</v>
      </c>
      <c r="D12109" s="2">
        <f>HYPERLINK("http://mcb-m6.bioreg.kyushu-u.ac.jp/M3/20110421/F51039/1797/1", 81.33)</f>
        <v>81.33</v>
      </c>
      <c r="E12109" s="2">
        <v>50.53</v>
      </c>
      <c r="F12109" s="2">
        <v>2</v>
      </c>
      <c r="G12109" s="2" t="s">
        <v>11</v>
      </c>
    </row>
    <row r="12110" spans="1:7" x14ac:dyDescent="0.2">
      <c r="A12110" s="2" t="s">
        <v>5688</v>
      </c>
      <c r="B12110" s="2" t="s">
        <v>5547</v>
      </c>
      <c r="C12110" s="2">
        <v>689.34370000000001</v>
      </c>
      <c r="D12110" s="2">
        <f>HYPERLINK("http://mcb-m6.bioreg.kyushu-u.ac.jp/M3/20110421/F51048/1909/1", 42.86)</f>
        <v>42.86</v>
      </c>
      <c r="E12110" s="2">
        <v>15.58</v>
      </c>
      <c r="F12110" s="2">
        <v>2</v>
      </c>
      <c r="G12110" s="2" t="s">
        <v>12</v>
      </c>
    </row>
    <row r="12111" spans="1:7" x14ac:dyDescent="0.2">
      <c r="A12111" s="2" t="s">
        <v>8029</v>
      </c>
      <c r="B12111" s="2" t="s">
        <v>7294</v>
      </c>
      <c r="C12111" s="2">
        <v>811.75670000000002</v>
      </c>
      <c r="D12111" s="2">
        <f>HYPERLINK("http://mcb-m6.bioreg.kyushu-u.ac.jp/M3/20110427/F51115/2307/1", 36.05)</f>
        <v>36.049999999999997</v>
      </c>
      <c r="E12111" s="2">
        <v>26.18</v>
      </c>
      <c r="F12111" s="2">
        <v>2</v>
      </c>
      <c r="G12111" s="2" t="s">
        <v>13</v>
      </c>
    </row>
    <row r="12112" spans="1:7" x14ac:dyDescent="0.2">
      <c r="A12112" s="2" t="s">
        <v>3518</v>
      </c>
      <c r="B12112" s="2" t="s">
        <v>3051</v>
      </c>
      <c r="C12112" s="2">
        <v>668.78309999999999</v>
      </c>
      <c r="D12112" s="2">
        <f>HYPERLINK("http://mcb-m6.bioreg.kyushu-u.ac.jp/M3/20110404/F50758/1633/1", 38.07)</f>
        <v>38.07</v>
      </c>
      <c r="E12112" s="2">
        <v>19.29</v>
      </c>
      <c r="F12112" s="2">
        <v>2</v>
      </c>
      <c r="G12112" s="2" t="s">
        <v>10</v>
      </c>
    </row>
    <row r="12113" spans="1:9" x14ac:dyDescent="0.2">
      <c r="A12113" s="2" t="s">
        <v>3518</v>
      </c>
      <c r="B12113" s="2" t="s">
        <v>360</v>
      </c>
      <c r="C12113" s="2">
        <v>605.29669999999999</v>
      </c>
      <c r="D12113" s="2">
        <f>HYPERLINK("http://mcb-m6.bioreg.kyushu-u.ac.jp/M3/20110421/F51061/1365/1", 48.75)</f>
        <v>48.75</v>
      </c>
      <c r="E12113" s="2">
        <v>22.35</v>
      </c>
      <c r="F12113" s="2">
        <v>2</v>
      </c>
      <c r="G12113" s="2" t="s">
        <v>12</v>
      </c>
    </row>
    <row r="12114" spans="1:9" x14ac:dyDescent="0.2">
      <c r="A12114" s="2" t="s">
        <v>3518</v>
      </c>
      <c r="B12114" s="2" t="s">
        <v>3051</v>
      </c>
      <c r="C12114" s="2">
        <v>668.70669999999996</v>
      </c>
      <c r="D12114" s="2">
        <f>HYPERLINK("http://mcb-m6.bioreg.kyushu-u.ac.jp/M3/20110427/F51122/1846/1", 38.42)</f>
        <v>38.42</v>
      </c>
      <c r="E12114" s="2">
        <v>12.25</v>
      </c>
      <c r="F12114" s="2">
        <v>2</v>
      </c>
      <c r="G12114" s="2" t="s">
        <v>14</v>
      </c>
    </row>
    <row r="12115" spans="1:9" x14ac:dyDescent="0.2">
      <c r="A12115" s="2" t="s">
        <v>4522</v>
      </c>
      <c r="B12115" s="2" t="s">
        <v>6000</v>
      </c>
      <c r="C12115" s="2">
        <v>1037.2929999999999</v>
      </c>
      <c r="D12115" s="2">
        <f>HYPERLINK("http://mcb-m6.bioreg.kyushu-u.ac.jp/M3/20110404/F50767/3022/1", 38.32)</f>
        <v>38.32</v>
      </c>
      <c r="E12115" s="2">
        <v>32.369999999999997</v>
      </c>
      <c r="F12115" s="2">
        <v>2</v>
      </c>
      <c r="G12115" s="2" t="s">
        <v>9</v>
      </c>
      <c r="I12115" s="2" t="s">
        <v>4918</v>
      </c>
    </row>
    <row r="12116" spans="1:9" x14ac:dyDescent="0.2">
      <c r="A12116" s="2" t="s">
        <v>4522</v>
      </c>
      <c r="B12116" s="2" t="s">
        <v>2540</v>
      </c>
      <c r="C12116" s="2">
        <v>660.37019999999995</v>
      </c>
      <c r="D12116" s="2">
        <f>HYPERLINK("http://mcb-m6.bioreg.kyushu-u.ac.jp/M3/20110404/F50765/1457/1", 48.89)</f>
        <v>48.89</v>
      </c>
      <c r="E12116" s="2">
        <v>26.89</v>
      </c>
      <c r="F12116" s="2">
        <v>2</v>
      </c>
      <c r="G12116" s="2" t="s">
        <v>9</v>
      </c>
    </row>
    <row r="12117" spans="1:9" x14ac:dyDescent="0.2">
      <c r="A12117" s="2" t="s">
        <v>4522</v>
      </c>
      <c r="B12117" s="2" t="s">
        <v>2540</v>
      </c>
      <c r="C12117" s="2">
        <v>660.73419999999999</v>
      </c>
      <c r="D12117" s="2">
        <f>HYPERLINK("http://mcb-m6.bioreg.kyushu-u.ac.jp/M3/20110404/F50767/1289/1", 51.13)</f>
        <v>51.13</v>
      </c>
      <c r="E12117" s="2">
        <v>17.149999999999999</v>
      </c>
      <c r="F12117" s="2">
        <v>2</v>
      </c>
      <c r="G12117" s="2" t="s">
        <v>9</v>
      </c>
    </row>
    <row r="12118" spans="1:9" x14ac:dyDescent="0.2">
      <c r="A12118" s="2" t="s">
        <v>4522</v>
      </c>
      <c r="B12118" s="2" t="s">
        <v>2540</v>
      </c>
      <c r="C12118" s="2">
        <v>660.78520000000003</v>
      </c>
      <c r="D12118" s="2">
        <f>HYPERLINK("http://mcb-m6.bioreg.kyushu-u.ac.jp/M3/20110404/F50764/1507/1", 54.3)</f>
        <v>54.3</v>
      </c>
      <c r="E12118" s="2">
        <v>31.7</v>
      </c>
      <c r="F12118" s="2">
        <v>2</v>
      </c>
      <c r="G12118" s="2" t="s">
        <v>9</v>
      </c>
    </row>
    <row r="12119" spans="1:9" x14ac:dyDescent="0.2">
      <c r="A12119" s="2" t="s">
        <v>4522</v>
      </c>
      <c r="B12119" s="2" t="s">
        <v>2540</v>
      </c>
      <c r="C12119" s="2">
        <v>660.27760000000001</v>
      </c>
      <c r="D12119" s="2">
        <f>HYPERLINK("http://mcb-m6.bioreg.kyushu-u.ac.jp/M3/20110404/F50764/1503/1", 62.44)</f>
        <v>62.44</v>
      </c>
      <c r="E12119" s="2">
        <v>40.229999999999997</v>
      </c>
      <c r="F12119" s="2">
        <v>2</v>
      </c>
      <c r="G12119" s="2" t="s">
        <v>9</v>
      </c>
    </row>
    <row r="12120" spans="1:9" x14ac:dyDescent="0.2">
      <c r="A12120" s="2" t="s">
        <v>4522</v>
      </c>
      <c r="B12120" s="2" t="s">
        <v>6000</v>
      </c>
      <c r="C12120" s="2">
        <v>1037.377</v>
      </c>
      <c r="D12120" s="2">
        <f>HYPERLINK("http://mcb-m6.bioreg.kyushu-u.ac.jp/M3/20110404/F50764/2838/1", 77.93)</f>
        <v>77.930000000000007</v>
      </c>
      <c r="E12120" s="2">
        <v>56.81</v>
      </c>
      <c r="F12120" s="2">
        <v>2</v>
      </c>
      <c r="G12120" s="2" t="s">
        <v>9</v>
      </c>
      <c r="I12120" s="2" t="s">
        <v>4918</v>
      </c>
    </row>
    <row r="12121" spans="1:9" x14ac:dyDescent="0.2">
      <c r="A12121" s="2" t="s">
        <v>4522</v>
      </c>
      <c r="B12121" s="2" t="s">
        <v>6551</v>
      </c>
      <c r="C12121" s="2">
        <v>888.56769999999995</v>
      </c>
      <c r="D12121" s="2">
        <f>HYPERLINK("http://mcb-m6.bioreg.kyushu-u.ac.jp/M3/20110404/F50764/2383/1", 79.15)</f>
        <v>79.150000000000006</v>
      </c>
      <c r="E12121" s="2">
        <v>51.56</v>
      </c>
      <c r="F12121" s="2">
        <v>2</v>
      </c>
      <c r="G12121" s="2" t="s">
        <v>9</v>
      </c>
      <c r="I12121" s="2" t="s">
        <v>4914</v>
      </c>
    </row>
    <row r="12122" spans="1:9" x14ac:dyDescent="0.2">
      <c r="A12122" s="2" t="s">
        <v>4522</v>
      </c>
      <c r="B12122" s="2" t="s">
        <v>6000</v>
      </c>
      <c r="C12122" s="2">
        <v>1036.817</v>
      </c>
      <c r="D12122" s="2">
        <f>HYPERLINK("http://mcb-m6.bioreg.kyushu-u.ac.jp/M3/20110404/F50764/2835/1", 88.95)</f>
        <v>88.95</v>
      </c>
      <c r="E12122" s="2">
        <v>66.37</v>
      </c>
      <c r="F12122" s="2">
        <v>2</v>
      </c>
      <c r="G12122" s="2" t="s">
        <v>9</v>
      </c>
      <c r="I12122" s="2" t="s">
        <v>4918</v>
      </c>
    </row>
    <row r="12123" spans="1:9" x14ac:dyDescent="0.2">
      <c r="A12123" s="2" t="s">
        <v>4522</v>
      </c>
      <c r="B12123" s="2" t="s">
        <v>2763</v>
      </c>
      <c r="C12123" s="2">
        <v>775.36069999999995</v>
      </c>
      <c r="D12123" s="2">
        <f>HYPERLINK("http://mcb-m6.bioreg.kyushu-u.ac.jp/M3/20110404/F50764/2008/1", 93.65)</f>
        <v>93.65</v>
      </c>
      <c r="E12123" s="2">
        <v>73.819999999999993</v>
      </c>
      <c r="F12123" s="2">
        <v>2</v>
      </c>
      <c r="G12123" s="2" t="s">
        <v>9</v>
      </c>
    </row>
    <row r="12124" spans="1:9" x14ac:dyDescent="0.2">
      <c r="A12124" s="2" t="s">
        <v>4522</v>
      </c>
      <c r="B12124" s="2" t="s">
        <v>2763</v>
      </c>
      <c r="C12124" s="2">
        <v>775.74369999999999</v>
      </c>
      <c r="D12124" s="2">
        <f>HYPERLINK("http://mcb-m6.bioreg.kyushu-u.ac.jp/M3/20110404/F50767/1894/1", 96.57)</f>
        <v>96.57</v>
      </c>
      <c r="E12124" s="2">
        <v>73.88</v>
      </c>
      <c r="F12124" s="2">
        <v>2</v>
      </c>
      <c r="G12124" s="2" t="s">
        <v>9</v>
      </c>
    </row>
    <row r="12125" spans="1:9" x14ac:dyDescent="0.2">
      <c r="A12125" s="2" t="s">
        <v>4522</v>
      </c>
      <c r="B12125" s="2" t="s">
        <v>2540</v>
      </c>
      <c r="C12125" s="2">
        <v>660.19420000000002</v>
      </c>
      <c r="D12125" s="2">
        <f>HYPERLINK("http://mcb-m6.bioreg.kyushu-u.ac.jp/M3/20110404/F50770/1582/1", 71.34)</f>
        <v>71.34</v>
      </c>
      <c r="E12125" s="2">
        <v>50.96</v>
      </c>
      <c r="F12125" s="2">
        <v>2</v>
      </c>
      <c r="G12125" s="2" t="s">
        <v>10</v>
      </c>
    </row>
    <row r="12126" spans="1:9" x14ac:dyDescent="0.2">
      <c r="A12126" s="2" t="s">
        <v>4522</v>
      </c>
      <c r="B12126" s="2" t="s">
        <v>2540</v>
      </c>
      <c r="C12126" s="2">
        <v>660.78809999999999</v>
      </c>
      <c r="D12126" s="2">
        <f>HYPERLINK("http://mcb-m6.bioreg.kyushu-u.ac.jp/M3/20110421/F51042/1403/1", 59.28)</f>
        <v>59.28</v>
      </c>
      <c r="E12126" s="2">
        <v>43.51</v>
      </c>
      <c r="F12126" s="2">
        <v>2</v>
      </c>
      <c r="G12126" s="2" t="s">
        <v>11</v>
      </c>
    </row>
    <row r="12127" spans="1:9" x14ac:dyDescent="0.2">
      <c r="A12127" s="2" t="s">
        <v>4522</v>
      </c>
      <c r="B12127" s="2" t="s">
        <v>2737</v>
      </c>
      <c r="C12127" s="2">
        <v>796.33969999999999</v>
      </c>
      <c r="D12127" s="2">
        <f>HYPERLINK("http://mcb-m6.bioreg.kyushu-u.ac.jp/M3/20110421/F51042/2252/1", 81.06)</f>
        <v>81.06</v>
      </c>
      <c r="E12127" s="2">
        <v>57.33</v>
      </c>
      <c r="F12127" s="2">
        <v>2</v>
      </c>
      <c r="G12127" s="2" t="s">
        <v>11</v>
      </c>
    </row>
    <row r="12128" spans="1:9" x14ac:dyDescent="0.2">
      <c r="A12128" s="2" t="s">
        <v>4522</v>
      </c>
      <c r="B12128" s="2" t="s">
        <v>2763</v>
      </c>
      <c r="C12128" s="2">
        <v>775.78369999999995</v>
      </c>
      <c r="D12128" s="2">
        <f>HYPERLINK("http://mcb-m6.bioreg.kyushu-u.ac.jp/M3/20110421/F51042/2111/1", 99.57)</f>
        <v>99.57</v>
      </c>
      <c r="E12128" s="2">
        <v>77.19</v>
      </c>
      <c r="F12128" s="2">
        <v>2</v>
      </c>
      <c r="G12128" s="2" t="s">
        <v>11</v>
      </c>
    </row>
    <row r="12129" spans="1:9" x14ac:dyDescent="0.2">
      <c r="A12129" s="2" t="s">
        <v>4522</v>
      </c>
      <c r="B12129" s="2" t="s">
        <v>2763</v>
      </c>
      <c r="C12129" s="2">
        <v>783.5222</v>
      </c>
      <c r="D12129" s="2">
        <f>HYPERLINK("http://mcb-m6.bioreg.kyushu-u.ac.jp/M3/20110421/F51042/2168/1", 102.03)</f>
        <v>102.03</v>
      </c>
      <c r="E12129" s="2">
        <v>82.3</v>
      </c>
      <c r="F12129" s="2">
        <v>2</v>
      </c>
      <c r="G12129" s="2" t="s">
        <v>11</v>
      </c>
      <c r="H12129" s="2" t="s">
        <v>4915</v>
      </c>
    </row>
    <row r="12130" spans="1:9" x14ac:dyDescent="0.2">
      <c r="A12130" s="2" t="s">
        <v>4522</v>
      </c>
      <c r="B12130" s="2" t="s">
        <v>7289</v>
      </c>
      <c r="C12130" s="2">
        <v>512.23360000000002</v>
      </c>
      <c r="D12130" s="2">
        <f>HYPERLINK("http://mcb-m6.bioreg.kyushu-u.ac.jp/M3/20110427/F51115/1096/1", 35.77)</f>
        <v>35.770000000000003</v>
      </c>
      <c r="E12130" s="2">
        <v>15.08</v>
      </c>
      <c r="F12130" s="2">
        <v>2</v>
      </c>
      <c r="G12130" s="2" t="s">
        <v>13</v>
      </c>
    </row>
    <row r="12131" spans="1:9" x14ac:dyDescent="0.2">
      <c r="A12131" s="2" t="s">
        <v>4522</v>
      </c>
      <c r="B12131" s="2" t="s">
        <v>7324</v>
      </c>
      <c r="C12131" s="2">
        <v>686.32209999999998</v>
      </c>
      <c r="D12131" s="2">
        <f>HYPERLINK("http://mcb-m6.bioreg.kyushu-u.ac.jp/M3/20110427/F51115/1719/1", 40.18)</f>
        <v>40.18</v>
      </c>
      <c r="E12131" s="2">
        <v>19.309999999999999</v>
      </c>
      <c r="F12131" s="2">
        <v>2</v>
      </c>
      <c r="G12131" s="2" t="s">
        <v>13</v>
      </c>
      <c r="I12131" s="2" t="s">
        <v>4923</v>
      </c>
    </row>
    <row r="12132" spans="1:9" x14ac:dyDescent="0.2">
      <c r="A12132" s="2" t="s">
        <v>4522</v>
      </c>
      <c r="B12132" s="2" t="s">
        <v>7324</v>
      </c>
      <c r="C12132" s="2">
        <v>685.75210000000004</v>
      </c>
      <c r="D12132" s="2">
        <f>HYPERLINK("http://mcb-m6.bioreg.kyushu-u.ac.jp/M3/20110427/F51115/1712/1", 45.94)</f>
        <v>45.94</v>
      </c>
      <c r="E12132" s="2">
        <v>28.97</v>
      </c>
      <c r="F12132" s="2">
        <v>2</v>
      </c>
      <c r="G12132" s="2" t="s">
        <v>13</v>
      </c>
      <c r="I12132" s="2" t="s">
        <v>4923</v>
      </c>
    </row>
    <row r="12133" spans="1:9" x14ac:dyDescent="0.2">
      <c r="A12133" s="2" t="s">
        <v>4522</v>
      </c>
      <c r="B12133" s="2" t="s">
        <v>2540</v>
      </c>
      <c r="C12133" s="2">
        <v>660.1816</v>
      </c>
      <c r="D12133" s="2">
        <f>HYPERLINK("http://mcb-m6.bioreg.kyushu-u.ac.jp/M3/20110428/F51133/1435/1", 49.2)</f>
        <v>49.2</v>
      </c>
      <c r="E12133" s="2">
        <v>32.97</v>
      </c>
      <c r="F12133" s="2">
        <v>2</v>
      </c>
      <c r="G12133" s="2" t="s">
        <v>13</v>
      </c>
    </row>
    <row r="12134" spans="1:9" x14ac:dyDescent="0.2">
      <c r="A12134" s="2" t="s">
        <v>4522</v>
      </c>
      <c r="B12134" s="2" t="s">
        <v>2540</v>
      </c>
      <c r="C12134" s="2">
        <v>660.6866</v>
      </c>
      <c r="D12134" s="2">
        <f>HYPERLINK("http://mcb-m6.bioreg.kyushu-u.ac.jp/M3/20110427/F51115/1611/1", 49.38)</f>
        <v>49.38</v>
      </c>
      <c r="E12134" s="2">
        <v>25.31</v>
      </c>
      <c r="F12134" s="2">
        <v>2</v>
      </c>
      <c r="G12134" s="2" t="s">
        <v>13</v>
      </c>
    </row>
    <row r="12135" spans="1:9" x14ac:dyDescent="0.2">
      <c r="A12135" s="2" t="s">
        <v>4522</v>
      </c>
      <c r="B12135" s="2" t="s">
        <v>6551</v>
      </c>
      <c r="C12135" s="2">
        <v>888.12070000000006</v>
      </c>
      <c r="D12135" s="2">
        <f>HYPERLINK("http://mcb-m6.bioreg.kyushu-u.ac.jp/M3/20110427/F51115/2569/1", 60.05)</f>
        <v>60.05</v>
      </c>
      <c r="E12135" s="2">
        <v>39.049999999999997</v>
      </c>
      <c r="F12135" s="2">
        <v>2</v>
      </c>
      <c r="G12135" s="2" t="s">
        <v>13</v>
      </c>
      <c r="I12135" s="2" t="s">
        <v>4914</v>
      </c>
    </row>
    <row r="12136" spans="1:9" x14ac:dyDescent="0.2">
      <c r="A12136" s="2" t="s">
        <v>4522</v>
      </c>
      <c r="B12136" s="2" t="s">
        <v>2540</v>
      </c>
      <c r="C12136" s="2">
        <v>660.14469999999994</v>
      </c>
      <c r="D12136" s="2">
        <f>HYPERLINK("http://mcb-m6.bioreg.kyushu-u.ac.jp/M3/20110427/F51115/1608/1", 63.66)</f>
        <v>63.66</v>
      </c>
      <c r="E12136" s="2">
        <v>30.08</v>
      </c>
      <c r="F12136" s="2">
        <v>2</v>
      </c>
      <c r="G12136" s="2" t="s">
        <v>13</v>
      </c>
    </row>
    <row r="12137" spans="1:9" x14ac:dyDescent="0.2">
      <c r="A12137" s="2" t="s">
        <v>4522</v>
      </c>
      <c r="B12137" s="2" t="s">
        <v>2763</v>
      </c>
      <c r="C12137" s="2">
        <v>783.21420000000001</v>
      </c>
      <c r="D12137" s="2">
        <f>HYPERLINK("http://mcb-m6.bioreg.kyushu-u.ac.jp/M3/20110427/F51115/2163/1", 71.13)</f>
        <v>71.13</v>
      </c>
      <c r="E12137" s="2">
        <v>64.12</v>
      </c>
      <c r="F12137" s="2">
        <v>2</v>
      </c>
      <c r="G12137" s="2" t="s">
        <v>13</v>
      </c>
      <c r="H12137" s="2" t="s">
        <v>4915</v>
      </c>
    </row>
    <row r="12138" spans="1:9" x14ac:dyDescent="0.2">
      <c r="A12138" s="2" t="s">
        <v>4522</v>
      </c>
      <c r="B12138" s="2" t="s">
        <v>6551</v>
      </c>
      <c r="C12138" s="2">
        <v>888.64760000000001</v>
      </c>
      <c r="D12138" s="2">
        <f>HYPERLINK("http://mcb-m6.bioreg.kyushu-u.ac.jp/M3/20110427/F51115/2578/1", 75.52)</f>
        <v>75.52</v>
      </c>
      <c r="E12138" s="2">
        <v>48.51</v>
      </c>
      <c r="F12138" s="2">
        <v>2</v>
      </c>
      <c r="G12138" s="2" t="s">
        <v>13</v>
      </c>
      <c r="I12138" s="2" t="s">
        <v>4914</v>
      </c>
    </row>
    <row r="12139" spans="1:9" x14ac:dyDescent="0.2">
      <c r="A12139" s="2" t="s">
        <v>4522</v>
      </c>
      <c r="B12139" s="2" t="s">
        <v>2763</v>
      </c>
      <c r="C12139" s="2">
        <v>775.67169999999999</v>
      </c>
      <c r="D12139" s="2">
        <f>HYPERLINK("http://mcb-m6.bioreg.kyushu-u.ac.jp/M3/20110427/F51115/2117/1", 106.9)</f>
        <v>106.9</v>
      </c>
      <c r="E12139" s="2">
        <v>81.540000000000006</v>
      </c>
      <c r="F12139" s="2">
        <v>2</v>
      </c>
      <c r="G12139" s="2" t="s">
        <v>13</v>
      </c>
    </row>
    <row r="12140" spans="1:9" x14ac:dyDescent="0.2">
      <c r="A12140" s="2" t="s">
        <v>3605</v>
      </c>
      <c r="B12140" s="2" t="s">
        <v>499</v>
      </c>
      <c r="C12140" s="2">
        <v>781.89509999999996</v>
      </c>
      <c r="D12140" s="2">
        <f>HYPERLINK("http://mcb-m6.bioreg.kyushu-u.ac.jp/M3/20110404/F50778/2045/1", 35.45)</f>
        <v>35.450000000000003</v>
      </c>
      <c r="E12140" s="2">
        <v>18.86</v>
      </c>
      <c r="F12140" s="2">
        <v>2</v>
      </c>
      <c r="G12140" s="2" t="s">
        <v>9</v>
      </c>
    </row>
    <row r="12141" spans="1:9" x14ac:dyDescent="0.2">
      <c r="A12141" s="2" t="s">
        <v>3605</v>
      </c>
      <c r="B12141" s="2" t="s">
        <v>5983</v>
      </c>
      <c r="C12141" s="2">
        <v>1368.623</v>
      </c>
      <c r="D12141" s="2">
        <f>HYPERLINK("http://mcb-m6.bioreg.kyushu-u.ac.jp/M3/20110404/F50764/1597/1", 37.68)</f>
        <v>37.68</v>
      </c>
      <c r="E12141" s="2">
        <v>15.08</v>
      </c>
      <c r="F12141" s="2">
        <v>1</v>
      </c>
      <c r="G12141" s="2" t="s">
        <v>9</v>
      </c>
    </row>
    <row r="12142" spans="1:9" x14ac:dyDescent="0.2">
      <c r="A12142" s="2" t="s">
        <v>3605</v>
      </c>
      <c r="B12142" s="2" t="s">
        <v>5994</v>
      </c>
      <c r="C12142" s="2">
        <v>1106.4839999999999</v>
      </c>
      <c r="D12142" s="2">
        <f>HYPERLINK("http://mcb-m6.bioreg.kyushu-u.ac.jp/M3/20110404/F50764/2983/1", 38.1)</f>
        <v>38.1</v>
      </c>
      <c r="E12142" s="2">
        <v>19.34</v>
      </c>
      <c r="F12142" s="2">
        <v>2</v>
      </c>
      <c r="G12142" s="2" t="s">
        <v>9</v>
      </c>
      <c r="I12142" s="2" t="s">
        <v>4898</v>
      </c>
    </row>
    <row r="12143" spans="1:9" x14ac:dyDescent="0.2">
      <c r="A12143" s="2" t="s">
        <v>3605</v>
      </c>
      <c r="B12143" s="2" t="s">
        <v>6114</v>
      </c>
      <c r="C12143" s="2">
        <v>885.32709999999997</v>
      </c>
      <c r="D12143" s="2">
        <f>HYPERLINK("http://mcb-m6.bioreg.kyushu-u.ac.jp/M3/20110404/F50764/2370/1", 43.02)</f>
        <v>43.02</v>
      </c>
      <c r="E12143" s="2">
        <v>34.42</v>
      </c>
      <c r="F12143" s="2">
        <v>2</v>
      </c>
      <c r="G12143" s="2" t="s">
        <v>9</v>
      </c>
    </row>
    <row r="12144" spans="1:9" x14ac:dyDescent="0.2">
      <c r="A12144" s="2" t="s">
        <v>3605</v>
      </c>
      <c r="B12144" s="2" t="s">
        <v>2903</v>
      </c>
      <c r="C12144" s="2">
        <v>632.7441</v>
      </c>
      <c r="D12144" s="2">
        <f>HYPERLINK("http://mcb-m6.bioreg.kyushu-u.ac.jp/M3/20110404/F50767/1189/1", 48.46)</f>
        <v>48.46</v>
      </c>
      <c r="E12144" s="2">
        <v>27.02</v>
      </c>
      <c r="F12144" s="2">
        <v>2</v>
      </c>
      <c r="G12144" s="2" t="s">
        <v>9</v>
      </c>
    </row>
    <row r="12145" spans="1:7" x14ac:dyDescent="0.2">
      <c r="A12145" s="2" t="s">
        <v>3605</v>
      </c>
      <c r="B12145" s="2" t="s">
        <v>1601</v>
      </c>
      <c r="C12145" s="2">
        <v>772.36019999999996</v>
      </c>
      <c r="D12145" s="2">
        <f>HYPERLINK("http://mcb-m6.bioreg.kyushu-u.ac.jp/M3/20110404/F50765/1972/1", 50.38)</f>
        <v>50.38</v>
      </c>
      <c r="E12145" s="2">
        <v>21.08</v>
      </c>
      <c r="F12145" s="2">
        <v>2</v>
      </c>
      <c r="G12145" s="2" t="s">
        <v>9</v>
      </c>
    </row>
    <row r="12146" spans="1:7" x14ac:dyDescent="0.2">
      <c r="A12146" s="2" t="s">
        <v>3605</v>
      </c>
      <c r="B12146" s="2" t="s">
        <v>2903</v>
      </c>
      <c r="C12146" s="2">
        <v>1264.0640000000001</v>
      </c>
      <c r="D12146" s="2">
        <f>HYPERLINK("http://mcb-m6.bioreg.kyushu-u.ac.jp/M3/20110404/F50764/1432/1", 53.82)</f>
        <v>53.82</v>
      </c>
      <c r="E12146" s="2">
        <v>38.96</v>
      </c>
      <c r="F12146" s="2">
        <v>1</v>
      </c>
      <c r="G12146" s="2" t="s">
        <v>9</v>
      </c>
    </row>
    <row r="12147" spans="1:7" x14ac:dyDescent="0.2">
      <c r="A12147" s="2" t="s">
        <v>3605</v>
      </c>
      <c r="B12147" s="2" t="s">
        <v>499</v>
      </c>
      <c r="C12147" s="2">
        <v>782.02670000000001</v>
      </c>
      <c r="D12147" s="2">
        <f>HYPERLINK("http://mcb-m6.bioreg.kyushu-u.ac.jp/M3/20110404/F50765/2029/1", 57.91)</f>
        <v>57.91</v>
      </c>
      <c r="E12147" s="2">
        <v>44.41</v>
      </c>
      <c r="F12147" s="2">
        <v>2</v>
      </c>
      <c r="G12147" s="2" t="s">
        <v>9</v>
      </c>
    </row>
    <row r="12148" spans="1:7" x14ac:dyDescent="0.2">
      <c r="A12148" s="2" t="s">
        <v>3605</v>
      </c>
      <c r="B12148" s="2" t="s">
        <v>499</v>
      </c>
      <c r="C12148" s="2">
        <v>782.37620000000004</v>
      </c>
      <c r="D12148" s="2">
        <f>HYPERLINK("http://mcb-m6.bioreg.kyushu-u.ac.jp/M3/20110404/F50767/1936/1", 61.59)</f>
        <v>61.59</v>
      </c>
      <c r="E12148" s="2">
        <v>44.06</v>
      </c>
      <c r="F12148" s="2">
        <v>2</v>
      </c>
      <c r="G12148" s="2" t="s">
        <v>9</v>
      </c>
    </row>
    <row r="12149" spans="1:7" x14ac:dyDescent="0.2">
      <c r="A12149" s="2" t="s">
        <v>3605</v>
      </c>
      <c r="B12149" s="2" t="s">
        <v>499</v>
      </c>
      <c r="C12149" s="2">
        <v>781.68119999999999</v>
      </c>
      <c r="D12149" s="2">
        <f>HYPERLINK("http://mcb-m6.bioreg.kyushu-u.ac.jp/M3/20110404/F50767/1935/1", 66.44)</f>
        <v>66.44</v>
      </c>
      <c r="E12149" s="2">
        <v>51.3</v>
      </c>
      <c r="F12149" s="2">
        <v>2</v>
      </c>
      <c r="G12149" s="2" t="s">
        <v>9</v>
      </c>
    </row>
    <row r="12150" spans="1:7" x14ac:dyDescent="0.2">
      <c r="A12150" s="2" t="s">
        <v>3605</v>
      </c>
      <c r="B12150" s="2" t="s">
        <v>5983</v>
      </c>
      <c r="C12150" s="2">
        <v>685.22469999999998</v>
      </c>
      <c r="D12150" s="2">
        <f>HYPERLINK("http://mcb-m6.bioreg.kyushu-u.ac.jp/M3/20110404/F50764/1598/1", 67.33)</f>
        <v>67.33</v>
      </c>
      <c r="E12150" s="2">
        <v>44.81</v>
      </c>
      <c r="F12150" s="2">
        <v>2</v>
      </c>
      <c r="G12150" s="2" t="s">
        <v>9</v>
      </c>
    </row>
    <row r="12151" spans="1:7" x14ac:dyDescent="0.2">
      <c r="A12151" s="2" t="s">
        <v>3605</v>
      </c>
      <c r="B12151" s="2" t="s">
        <v>2374</v>
      </c>
      <c r="C12151" s="2">
        <v>551.32569999999998</v>
      </c>
      <c r="D12151" s="2">
        <f>HYPERLINK("http://mcb-m6.bioreg.kyushu-u.ac.jp/M3/20110404/F50764/1147/2", 68.1)</f>
        <v>68.099999999999994</v>
      </c>
      <c r="E12151" s="2">
        <v>37.85</v>
      </c>
      <c r="F12151" s="2">
        <v>2</v>
      </c>
      <c r="G12151" s="2" t="s">
        <v>9</v>
      </c>
    </row>
    <row r="12152" spans="1:7" x14ac:dyDescent="0.2">
      <c r="A12152" s="2" t="s">
        <v>3605</v>
      </c>
      <c r="B12152" s="2" t="s">
        <v>2244</v>
      </c>
      <c r="C12152" s="2">
        <v>500.76159999999999</v>
      </c>
      <c r="D12152" s="2">
        <f>HYPERLINK("http://mcb-m6.bioreg.kyushu-u.ac.jp/M3/20110404/F50764/1000/1", 68.31)</f>
        <v>68.31</v>
      </c>
      <c r="E12152" s="2">
        <v>38.11</v>
      </c>
      <c r="F12152" s="2">
        <v>2</v>
      </c>
      <c r="G12152" s="2" t="s">
        <v>9</v>
      </c>
    </row>
    <row r="12153" spans="1:7" x14ac:dyDescent="0.2">
      <c r="A12153" s="2" t="s">
        <v>3605</v>
      </c>
      <c r="B12153" s="2" t="s">
        <v>2903</v>
      </c>
      <c r="C12153" s="2">
        <v>632.31209999999999</v>
      </c>
      <c r="D12153" s="2">
        <f>HYPERLINK("http://mcb-m6.bioreg.kyushu-u.ac.jp/M3/20110404/F50764/1430/1", 70.99)</f>
        <v>70.989999999999995</v>
      </c>
      <c r="E12153" s="2">
        <v>33.700000000000003</v>
      </c>
      <c r="F12153" s="2">
        <v>2</v>
      </c>
      <c r="G12153" s="2" t="s">
        <v>9</v>
      </c>
    </row>
    <row r="12154" spans="1:7" x14ac:dyDescent="0.2">
      <c r="A12154" s="2" t="s">
        <v>3605</v>
      </c>
      <c r="B12154" s="2" t="s">
        <v>499</v>
      </c>
      <c r="C12154" s="2">
        <v>782.15009999999995</v>
      </c>
      <c r="D12154" s="2">
        <f>HYPERLINK("http://mcb-m6.bioreg.kyushu-u.ac.jp/M3/20110404/F50764/2037/1", 75.96)</f>
        <v>75.959999999999994</v>
      </c>
      <c r="E12154" s="2">
        <v>61.63</v>
      </c>
      <c r="F12154" s="2">
        <v>2</v>
      </c>
      <c r="G12154" s="2" t="s">
        <v>9</v>
      </c>
    </row>
    <row r="12155" spans="1:7" x14ac:dyDescent="0.2">
      <c r="A12155" s="2" t="s">
        <v>3605</v>
      </c>
      <c r="B12155" s="2" t="s">
        <v>6559</v>
      </c>
      <c r="C12155" s="2">
        <v>827.92610000000002</v>
      </c>
      <c r="D12155" s="2">
        <f>HYPERLINK("http://mcb-m6.bioreg.kyushu-u.ac.jp/M3/20110404/F50764/2192/1", 79.6)</f>
        <v>79.599999999999994</v>
      </c>
      <c r="E12155" s="2">
        <v>59.15</v>
      </c>
      <c r="F12155" s="2">
        <v>2</v>
      </c>
      <c r="G12155" s="2" t="s">
        <v>9</v>
      </c>
    </row>
    <row r="12156" spans="1:7" x14ac:dyDescent="0.2">
      <c r="A12156" s="2" t="s">
        <v>3605</v>
      </c>
      <c r="B12156" s="2" t="s">
        <v>706</v>
      </c>
      <c r="C12156" s="2">
        <v>701.30110000000002</v>
      </c>
      <c r="D12156" s="2">
        <f>HYPERLINK("http://mcb-m6.bioreg.kyushu-u.ac.jp/M3/20110404/F50764/1691/1", 81.83)</f>
        <v>81.83</v>
      </c>
      <c r="E12156" s="2">
        <v>62.05</v>
      </c>
      <c r="F12156" s="2">
        <v>2</v>
      </c>
      <c r="G12156" s="2" t="s">
        <v>9</v>
      </c>
    </row>
    <row r="12157" spans="1:7" x14ac:dyDescent="0.2">
      <c r="A12157" s="2" t="s">
        <v>3605</v>
      </c>
      <c r="B12157" s="2" t="s">
        <v>6559</v>
      </c>
      <c r="C12157" s="2">
        <v>827.42219999999998</v>
      </c>
      <c r="D12157" s="2">
        <f>HYPERLINK("http://mcb-m6.bioreg.kyushu-u.ac.jp/M3/20110404/F50764/2188/1", 83.81)</f>
        <v>83.81</v>
      </c>
      <c r="E12157" s="2">
        <v>66.06</v>
      </c>
      <c r="F12157" s="2">
        <v>2</v>
      </c>
      <c r="G12157" s="2" t="s">
        <v>9</v>
      </c>
    </row>
    <row r="12158" spans="1:7" x14ac:dyDescent="0.2">
      <c r="A12158" s="2" t="s">
        <v>3605</v>
      </c>
      <c r="B12158" s="2" t="s">
        <v>1504</v>
      </c>
      <c r="C12158" s="2">
        <v>896.34770000000003</v>
      </c>
      <c r="D12158" s="2">
        <f>HYPERLINK("http://mcb-m6.bioreg.kyushu-u.ac.jp/M3/20110404/F50764/2425/1", 98.24)</f>
        <v>98.24</v>
      </c>
      <c r="E12158" s="2">
        <v>87.62</v>
      </c>
      <c r="F12158" s="2">
        <v>2</v>
      </c>
      <c r="G12158" s="2" t="s">
        <v>9</v>
      </c>
    </row>
    <row r="12159" spans="1:7" x14ac:dyDescent="0.2">
      <c r="A12159" s="2" t="s">
        <v>3605</v>
      </c>
      <c r="B12159" s="2" t="s">
        <v>2244</v>
      </c>
      <c r="C12159" s="2">
        <v>1000.95</v>
      </c>
      <c r="D12159" s="2">
        <f>HYPERLINK("http://mcb-m6.bioreg.kyushu-u.ac.jp/M3/20110404/F50770/1147/1", 36.11)</f>
        <v>36.11</v>
      </c>
      <c r="E12159" s="2">
        <v>10.039999999999999</v>
      </c>
      <c r="F12159" s="2">
        <v>1</v>
      </c>
      <c r="G12159" s="2" t="s">
        <v>10</v>
      </c>
    </row>
    <row r="12160" spans="1:7" x14ac:dyDescent="0.2">
      <c r="A12160" s="2" t="s">
        <v>3605</v>
      </c>
      <c r="B12160" s="2" t="s">
        <v>2903</v>
      </c>
      <c r="C12160" s="2">
        <v>632.26319999999998</v>
      </c>
      <c r="D12160" s="2">
        <f>HYPERLINK("http://mcb-m6.bioreg.kyushu-u.ac.jp/M3/20110404/F50770/1519/1", 71.28)</f>
        <v>71.28</v>
      </c>
      <c r="E12160" s="2">
        <v>37.6</v>
      </c>
      <c r="F12160" s="2">
        <v>2</v>
      </c>
      <c r="G12160" s="2" t="s">
        <v>10</v>
      </c>
    </row>
    <row r="12161" spans="1:7" x14ac:dyDescent="0.2">
      <c r="A12161" s="2" t="s">
        <v>3605</v>
      </c>
      <c r="B12161" s="2" t="s">
        <v>6559</v>
      </c>
      <c r="C12161" s="2">
        <v>827.39970000000005</v>
      </c>
      <c r="D12161" s="2">
        <f>HYPERLINK("http://mcb-m6.bioreg.kyushu-u.ac.jp/M3/20110404/F50770/2219/1", 88.66)</f>
        <v>88.66</v>
      </c>
      <c r="E12161" s="2">
        <v>73.02</v>
      </c>
      <c r="F12161" s="2">
        <v>2</v>
      </c>
      <c r="G12161" s="2" t="s">
        <v>10</v>
      </c>
    </row>
    <row r="12162" spans="1:7" x14ac:dyDescent="0.2">
      <c r="A12162" s="2" t="s">
        <v>3605</v>
      </c>
      <c r="B12162" s="2" t="s">
        <v>1504</v>
      </c>
      <c r="C12162" s="2">
        <v>896.38070000000005</v>
      </c>
      <c r="D12162" s="2">
        <f>HYPERLINK("http://mcb-m6.bioreg.kyushu-u.ac.jp/M3/20110404/F50770/2390/1", 111.05)</f>
        <v>111.05</v>
      </c>
      <c r="E12162" s="2">
        <v>98.95</v>
      </c>
      <c r="F12162" s="2">
        <v>2</v>
      </c>
      <c r="G12162" s="2" t="s">
        <v>10</v>
      </c>
    </row>
    <row r="12163" spans="1:7" x14ac:dyDescent="0.2">
      <c r="A12163" s="2" t="s">
        <v>3605</v>
      </c>
      <c r="B12163" s="2" t="s">
        <v>1504</v>
      </c>
      <c r="C12163" s="2">
        <v>896.95420000000001</v>
      </c>
      <c r="D12163" s="2">
        <f>HYPERLINK("http://mcb-m6.bioreg.kyushu-u.ac.jp/M3/20110404/F50770/2393/1", 113.59)</f>
        <v>113.59</v>
      </c>
      <c r="E12163" s="2">
        <v>103.43</v>
      </c>
      <c r="F12163" s="2">
        <v>2</v>
      </c>
      <c r="G12163" s="2" t="s">
        <v>10</v>
      </c>
    </row>
    <row r="12164" spans="1:7" x14ac:dyDescent="0.2">
      <c r="A12164" s="2" t="s">
        <v>3605</v>
      </c>
      <c r="B12164" s="2" t="s">
        <v>5983</v>
      </c>
      <c r="C12164" s="2">
        <v>685.32669999999996</v>
      </c>
      <c r="D12164" s="2">
        <f>HYPERLINK("http://mcb-m6.bioreg.kyushu-u.ac.jp/M3/20110421/F51042/1559/1", 35.86)</f>
        <v>35.86</v>
      </c>
      <c r="E12164" s="2">
        <v>11.57</v>
      </c>
      <c r="F12164" s="2">
        <v>2</v>
      </c>
      <c r="G12164" s="2" t="s">
        <v>11</v>
      </c>
    </row>
    <row r="12165" spans="1:7" x14ac:dyDescent="0.2">
      <c r="A12165" s="2" t="s">
        <v>3605</v>
      </c>
      <c r="B12165" s="2" t="s">
        <v>499</v>
      </c>
      <c r="C12165" s="2">
        <v>782.26459999999997</v>
      </c>
      <c r="D12165" s="2">
        <f>HYPERLINK("http://mcb-m6.bioreg.kyushu-u.ac.jp/M3/20110421/F51039/2314/1", 36.79)</f>
        <v>36.79</v>
      </c>
      <c r="E12165" s="2">
        <v>19.489999999999998</v>
      </c>
      <c r="F12165" s="2">
        <v>2</v>
      </c>
      <c r="G12165" s="2" t="s">
        <v>11</v>
      </c>
    </row>
    <row r="12166" spans="1:7" x14ac:dyDescent="0.2">
      <c r="A12166" s="2" t="s">
        <v>3605</v>
      </c>
      <c r="B12166" s="2" t="s">
        <v>5983</v>
      </c>
      <c r="C12166" s="2">
        <v>685.25459999999998</v>
      </c>
      <c r="D12166" s="2">
        <f>HYPERLINK("http://mcb-m6.bioreg.kyushu-u.ac.jp/M3/20110421/F51040/1692/1", 37.28)</f>
        <v>37.28</v>
      </c>
      <c r="E12166" s="2">
        <v>11.33</v>
      </c>
      <c r="F12166" s="2">
        <v>2</v>
      </c>
      <c r="G12166" s="2" t="s">
        <v>11</v>
      </c>
    </row>
    <row r="12167" spans="1:7" x14ac:dyDescent="0.2">
      <c r="A12167" s="2" t="s">
        <v>3605</v>
      </c>
      <c r="B12167" s="2" t="s">
        <v>499</v>
      </c>
      <c r="C12167" s="2">
        <v>782.38459999999998</v>
      </c>
      <c r="D12167" s="2">
        <f>HYPERLINK("http://mcb-m6.bioreg.kyushu-u.ac.jp/M3/20110421/F51035/2194/1", 48.72)</f>
        <v>48.72</v>
      </c>
      <c r="E12167" s="2">
        <v>32.82</v>
      </c>
      <c r="F12167" s="2">
        <v>2</v>
      </c>
      <c r="G12167" s="2" t="s">
        <v>11</v>
      </c>
    </row>
    <row r="12168" spans="1:7" x14ac:dyDescent="0.2">
      <c r="A12168" s="2" t="s">
        <v>3605</v>
      </c>
      <c r="B12168" s="2" t="s">
        <v>2374</v>
      </c>
      <c r="C12168" s="2">
        <v>551.29859999999996</v>
      </c>
      <c r="D12168" s="2">
        <f>HYPERLINK("http://mcb-m6.bioreg.kyushu-u.ac.jp/M3/20110421/F51042/883/2", 62.48)</f>
        <v>62.48</v>
      </c>
      <c r="E12168" s="2">
        <v>42.78</v>
      </c>
      <c r="F12168" s="2">
        <v>2</v>
      </c>
      <c r="G12168" s="2" t="s">
        <v>11</v>
      </c>
    </row>
    <row r="12169" spans="1:7" x14ac:dyDescent="0.2">
      <c r="A12169" s="2" t="s">
        <v>3605</v>
      </c>
      <c r="B12169" s="2" t="s">
        <v>1601</v>
      </c>
      <c r="C12169" s="2">
        <v>772.83259999999996</v>
      </c>
      <c r="D12169" s="2">
        <f>HYPERLINK("http://mcb-m6.bioreg.kyushu-u.ac.jp/M3/20110421/F51042/2095/1", 63.04)</f>
        <v>63.04</v>
      </c>
      <c r="E12169" s="2">
        <v>22.71</v>
      </c>
      <c r="F12169" s="2">
        <v>2</v>
      </c>
      <c r="G12169" s="2" t="s">
        <v>11</v>
      </c>
    </row>
    <row r="12170" spans="1:7" x14ac:dyDescent="0.2">
      <c r="A12170" s="2" t="s">
        <v>3605</v>
      </c>
      <c r="B12170" s="2" t="s">
        <v>2903</v>
      </c>
      <c r="C12170" s="2">
        <v>632.31269999999995</v>
      </c>
      <c r="D12170" s="2">
        <f>HYPERLINK("http://mcb-m6.bioreg.kyushu-u.ac.jp/M3/20110421/F51040/1499/1", 64.52)</f>
        <v>64.52</v>
      </c>
      <c r="E12170" s="2">
        <v>34.869999999999997</v>
      </c>
      <c r="F12170" s="2">
        <v>2</v>
      </c>
      <c r="G12170" s="2" t="s">
        <v>11</v>
      </c>
    </row>
    <row r="12171" spans="1:7" x14ac:dyDescent="0.2">
      <c r="A12171" s="2" t="s">
        <v>3605</v>
      </c>
      <c r="B12171" s="2" t="s">
        <v>499</v>
      </c>
      <c r="C12171" s="2">
        <v>782.23519999999996</v>
      </c>
      <c r="D12171" s="2">
        <f>HYPERLINK("http://mcb-m6.bioreg.kyushu-u.ac.jp/M3/20110421/F51040/2266/1", 67.52)</f>
        <v>67.52</v>
      </c>
      <c r="E12171" s="2">
        <v>52.14</v>
      </c>
      <c r="F12171" s="2">
        <v>2</v>
      </c>
      <c r="G12171" s="2" t="s">
        <v>11</v>
      </c>
    </row>
    <row r="12172" spans="1:7" x14ac:dyDescent="0.2">
      <c r="A12172" s="2" t="s">
        <v>3605</v>
      </c>
      <c r="B12172" s="2" t="s">
        <v>706</v>
      </c>
      <c r="C12172" s="2">
        <v>701.31020000000001</v>
      </c>
      <c r="D12172" s="2">
        <f>HYPERLINK("http://mcb-m6.bioreg.kyushu-u.ac.jp/M3/20110421/F51042/1666/1", 70.18)</f>
        <v>70.180000000000007</v>
      </c>
      <c r="E12172" s="2">
        <v>52.82</v>
      </c>
      <c r="F12172" s="2">
        <v>2</v>
      </c>
      <c r="G12172" s="2" t="s">
        <v>11</v>
      </c>
    </row>
    <row r="12173" spans="1:7" x14ac:dyDescent="0.2">
      <c r="A12173" s="2" t="s">
        <v>3605</v>
      </c>
      <c r="B12173" s="2" t="s">
        <v>6559</v>
      </c>
      <c r="C12173" s="2">
        <v>827.7432</v>
      </c>
      <c r="D12173" s="2">
        <f>HYPERLINK("http://mcb-m6.bioreg.kyushu-u.ac.jp/M3/20110421/F51042/2455/1", 75.11)</f>
        <v>75.11</v>
      </c>
      <c r="E12173" s="2">
        <v>61.65</v>
      </c>
      <c r="F12173" s="2">
        <v>2</v>
      </c>
      <c r="G12173" s="2" t="s">
        <v>11</v>
      </c>
    </row>
    <row r="12174" spans="1:7" x14ac:dyDescent="0.2">
      <c r="A12174" s="2" t="s">
        <v>3605</v>
      </c>
      <c r="B12174" s="2" t="s">
        <v>1504</v>
      </c>
      <c r="C12174" s="2">
        <v>896.88819999999998</v>
      </c>
      <c r="D12174" s="2">
        <f>HYPERLINK("http://mcb-m6.bioreg.kyushu-u.ac.jp/M3/20110421/F51042/2832/1", 93.61)</f>
        <v>93.61</v>
      </c>
      <c r="E12174" s="2">
        <v>82.53</v>
      </c>
      <c r="F12174" s="2">
        <v>2</v>
      </c>
      <c r="G12174" s="2" t="s">
        <v>11</v>
      </c>
    </row>
    <row r="12175" spans="1:7" x14ac:dyDescent="0.2">
      <c r="A12175" s="2" t="s">
        <v>3605</v>
      </c>
      <c r="B12175" s="2" t="s">
        <v>1504</v>
      </c>
      <c r="C12175" s="2">
        <v>896.39120000000003</v>
      </c>
      <c r="D12175" s="2">
        <f>HYPERLINK("http://mcb-m6.bioreg.kyushu-u.ac.jp/M3/20110421/F51040/2738/1", 121.59)</f>
        <v>121.59</v>
      </c>
      <c r="E12175" s="2">
        <v>111.78</v>
      </c>
      <c r="F12175" s="2">
        <v>2</v>
      </c>
      <c r="G12175" s="2" t="s">
        <v>11</v>
      </c>
    </row>
    <row r="12176" spans="1:7" x14ac:dyDescent="0.2">
      <c r="A12176" s="2" t="s">
        <v>3605</v>
      </c>
      <c r="B12176" s="2" t="s">
        <v>1504</v>
      </c>
      <c r="C12176" s="2">
        <v>896.37919999999997</v>
      </c>
      <c r="D12176" s="2">
        <f>HYPERLINK("http://mcb-m6.bioreg.kyushu-u.ac.jp/M3/20110421/F51042/2830/1", 126.46)</f>
        <v>126.46</v>
      </c>
      <c r="E12176" s="2">
        <v>117.12</v>
      </c>
      <c r="F12176" s="2">
        <v>2</v>
      </c>
      <c r="G12176" s="2" t="s">
        <v>11</v>
      </c>
    </row>
    <row r="12177" spans="1:7" x14ac:dyDescent="0.2">
      <c r="A12177" s="2" t="s">
        <v>3605</v>
      </c>
      <c r="B12177" s="2" t="s">
        <v>499</v>
      </c>
      <c r="C12177" s="2">
        <v>782.14570000000003</v>
      </c>
      <c r="D12177" s="2">
        <f>HYPERLINK("http://mcb-m6.bioreg.kyushu-u.ac.jp/M3/20110421/F51048/2420/1", 46.86)</f>
        <v>46.86</v>
      </c>
      <c r="E12177" s="2">
        <v>31.84</v>
      </c>
      <c r="F12177" s="2">
        <v>2</v>
      </c>
      <c r="G12177" s="2" t="s">
        <v>12</v>
      </c>
    </row>
    <row r="12178" spans="1:7" x14ac:dyDescent="0.2">
      <c r="A12178" s="2" t="s">
        <v>3605</v>
      </c>
      <c r="B12178" s="2" t="s">
        <v>499</v>
      </c>
      <c r="C12178" s="2">
        <v>781.9307</v>
      </c>
      <c r="D12178" s="2">
        <f>HYPERLINK("http://mcb-m6.bioreg.kyushu-u.ac.jp/M3/20110421/F51050/2304/1", 49.53)</f>
        <v>49.53</v>
      </c>
      <c r="E12178" s="2">
        <v>31.65</v>
      </c>
      <c r="F12178" s="2">
        <v>2</v>
      </c>
      <c r="G12178" s="2" t="s">
        <v>12</v>
      </c>
    </row>
    <row r="12179" spans="1:7" x14ac:dyDescent="0.2">
      <c r="A12179" s="2" t="s">
        <v>3605</v>
      </c>
      <c r="B12179" s="2" t="s">
        <v>499</v>
      </c>
      <c r="C12179" s="2">
        <v>781.73860000000002</v>
      </c>
      <c r="D12179" s="2">
        <f>HYPERLINK("http://mcb-m6.bioreg.kyushu-u.ac.jp/M3/20110428/F51133/2125/1", 44.5)</f>
        <v>44.5</v>
      </c>
      <c r="E12179" s="2">
        <v>29.78</v>
      </c>
      <c r="F12179" s="2">
        <v>2</v>
      </c>
      <c r="G12179" s="2" t="s">
        <v>13</v>
      </c>
    </row>
    <row r="12180" spans="1:7" x14ac:dyDescent="0.2">
      <c r="A12180" s="2" t="s">
        <v>3605</v>
      </c>
      <c r="B12180" s="2" t="s">
        <v>2903</v>
      </c>
      <c r="C12180" s="2">
        <v>632.4692</v>
      </c>
      <c r="D12180" s="2">
        <f>HYPERLINK("http://mcb-m6.bioreg.kyushu-u.ac.jp/M3/20110428/F51133/1353/1", 51.94)</f>
        <v>51.94</v>
      </c>
      <c r="E12180" s="2">
        <v>16.05</v>
      </c>
      <c r="F12180" s="2">
        <v>2</v>
      </c>
      <c r="G12180" s="2" t="s">
        <v>13</v>
      </c>
    </row>
    <row r="12181" spans="1:7" x14ac:dyDescent="0.2">
      <c r="A12181" s="2" t="s">
        <v>3605</v>
      </c>
      <c r="B12181" s="2" t="s">
        <v>706</v>
      </c>
      <c r="C12181" s="2">
        <v>701.21420000000001</v>
      </c>
      <c r="D12181" s="2">
        <f>HYPERLINK("http://mcb-m6.bioreg.kyushu-u.ac.jp/M3/20110428/F51133/1668/1", 53.46)</f>
        <v>53.46</v>
      </c>
      <c r="E12181" s="2">
        <v>33.96</v>
      </c>
      <c r="F12181" s="2">
        <v>2</v>
      </c>
      <c r="G12181" s="2" t="s">
        <v>13</v>
      </c>
    </row>
    <row r="12182" spans="1:7" x14ac:dyDescent="0.2">
      <c r="A12182" s="2" t="s">
        <v>3605</v>
      </c>
      <c r="B12182" s="2" t="s">
        <v>2244</v>
      </c>
      <c r="C12182" s="2">
        <v>501.12709999999998</v>
      </c>
      <c r="D12182" s="2">
        <f>HYPERLINK("http://mcb-m6.bioreg.kyushu-u.ac.jp/M3/20110428/F51133/823/1", 54.55)</f>
        <v>54.55</v>
      </c>
      <c r="E12182" s="2">
        <v>24.45</v>
      </c>
      <c r="F12182" s="2">
        <v>2</v>
      </c>
      <c r="G12182" s="2" t="s">
        <v>13</v>
      </c>
    </row>
    <row r="12183" spans="1:7" x14ac:dyDescent="0.2">
      <c r="A12183" s="2" t="s">
        <v>3605</v>
      </c>
      <c r="B12183" s="2" t="s">
        <v>706</v>
      </c>
      <c r="C12183" s="2">
        <v>701.59370000000001</v>
      </c>
      <c r="D12183" s="2">
        <f>HYPERLINK("http://mcb-m6.bioreg.kyushu-u.ac.jp/M3/20110427/F51115/1803/1", 63.43)</f>
        <v>63.43</v>
      </c>
      <c r="E12183" s="2">
        <v>42.98</v>
      </c>
      <c r="F12183" s="2">
        <v>2</v>
      </c>
      <c r="G12183" s="2" t="s">
        <v>13</v>
      </c>
    </row>
    <row r="12184" spans="1:7" x14ac:dyDescent="0.2">
      <c r="A12184" s="2" t="s">
        <v>3605</v>
      </c>
      <c r="B12184" s="2" t="s">
        <v>499</v>
      </c>
      <c r="C12184" s="2">
        <v>782.38509999999997</v>
      </c>
      <c r="D12184" s="2">
        <f>HYPERLINK("http://mcb-m6.bioreg.kyushu-u.ac.jp/M3/20110428/F51133/2129/1", 65.13)</f>
        <v>65.13</v>
      </c>
      <c r="E12184" s="2">
        <v>50.05</v>
      </c>
      <c r="F12184" s="2">
        <v>2</v>
      </c>
      <c r="G12184" s="2" t="s">
        <v>13</v>
      </c>
    </row>
    <row r="12185" spans="1:7" x14ac:dyDescent="0.2">
      <c r="A12185" s="2" t="s">
        <v>3605</v>
      </c>
      <c r="B12185" s="2" t="s">
        <v>499</v>
      </c>
      <c r="C12185" s="2">
        <v>781.61659999999995</v>
      </c>
      <c r="D12185" s="2">
        <f>HYPERLINK("http://mcb-m6.bioreg.kyushu-u.ac.jp/M3/20110427/F51115/2153/1", 68.41)</f>
        <v>68.41</v>
      </c>
      <c r="E12185" s="2">
        <v>41.78</v>
      </c>
      <c r="F12185" s="2">
        <v>2</v>
      </c>
      <c r="G12185" s="2" t="s">
        <v>13</v>
      </c>
    </row>
    <row r="12186" spans="1:7" x14ac:dyDescent="0.2">
      <c r="A12186" s="2" t="s">
        <v>3605</v>
      </c>
      <c r="B12186" s="2" t="s">
        <v>1601</v>
      </c>
      <c r="C12186" s="2">
        <v>772.54570000000001</v>
      </c>
      <c r="D12186" s="2">
        <f>HYPERLINK("http://mcb-m6.bioreg.kyushu-u.ac.jp/M3/20110427/F51115/2104/1", 68.86)</f>
        <v>68.86</v>
      </c>
      <c r="E12186" s="2">
        <v>47.49</v>
      </c>
      <c r="F12186" s="2">
        <v>2</v>
      </c>
      <c r="G12186" s="2" t="s">
        <v>13</v>
      </c>
    </row>
    <row r="12187" spans="1:7" x14ac:dyDescent="0.2">
      <c r="A12187" s="2" t="s">
        <v>3605</v>
      </c>
      <c r="B12187" s="2" t="s">
        <v>2903</v>
      </c>
      <c r="C12187" s="2">
        <v>632.08870000000002</v>
      </c>
      <c r="D12187" s="2">
        <f>HYPERLINK("http://mcb-m6.bioreg.kyushu-u.ac.jp/M3/20110427/F51115/1539/1", 69.61)</f>
        <v>69.61</v>
      </c>
      <c r="E12187" s="2">
        <v>42.18</v>
      </c>
      <c r="F12187" s="2">
        <v>2</v>
      </c>
      <c r="G12187" s="2" t="s">
        <v>13</v>
      </c>
    </row>
    <row r="12188" spans="1:7" x14ac:dyDescent="0.2">
      <c r="A12188" s="2" t="s">
        <v>3605</v>
      </c>
      <c r="B12188" s="2" t="s">
        <v>6559</v>
      </c>
      <c r="C12188" s="2">
        <v>827.91420000000005</v>
      </c>
      <c r="D12188" s="2">
        <f>HYPERLINK("http://mcb-m6.bioreg.kyushu-u.ac.jp/M3/20110428/F51133/2364/1", 72.52)</f>
        <v>72.52</v>
      </c>
      <c r="E12188" s="2">
        <v>61.55</v>
      </c>
      <c r="F12188" s="2">
        <v>2</v>
      </c>
      <c r="G12188" s="2" t="s">
        <v>13</v>
      </c>
    </row>
    <row r="12189" spans="1:7" x14ac:dyDescent="0.2">
      <c r="A12189" s="2" t="s">
        <v>3605</v>
      </c>
      <c r="B12189" s="2" t="s">
        <v>6559</v>
      </c>
      <c r="C12189" s="2">
        <v>827.84810000000004</v>
      </c>
      <c r="D12189" s="2">
        <f>HYPERLINK("http://mcb-m6.bioreg.kyushu-u.ac.jp/M3/20110427/F51115/2370/1", 76.9)</f>
        <v>76.900000000000006</v>
      </c>
      <c r="E12189" s="2">
        <v>60.88</v>
      </c>
      <c r="F12189" s="2">
        <v>2</v>
      </c>
      <c r="G12189" s="2" t="s">
        <v>13</v>
      </c>
    </row>
    <row r="12190" spans="1:7" x14ac:dyDescent="0.2">
      <c r="A12190" s="2" t="s">
        <v>3605</v>
      </c>
      <c r="B12190" s="2" t="s">
        <v>1504</v>
      </c>
      <c r="C12190" s="2">
        <v>896.84370000000001</v>
      </c>
      <c r="D12190" s="2">
        <f>HYPERLINK("http://mcb-m6.bioreg.kyushu-u.ac.jp/M3/20110428/F51133/2627/1", 88.13)</f>
        <v>88.13</v>
      </c>
      <c r="E12190" s="2">
        <v>80.400000000000006</v>
      </c>
      <c r="F12190" s="2">
        <v>2</v>
      </c>
      <c r="G12190" s="2" t="s">
        <v>13</v>
      </c>
    </row>
    <row r="12191" spans="1:7" x14ac:dyDescent="0.2">
      <c r="A12191" s="2" t="s">
        <v>3605</v>
      </c>
      <c r="B12191" s="2" t="s">
        <v>6559</v>
      </c>
      <c r="C12191" s="2">
        <v>827.26260000000002</v>
      </c>
      <c r="D12191" s="2">
        <f>HYPERLINK("http://mcb-m6.bioreg.kyushu-u.ac.jp/M3/20110427/F51115/2366/1", 89.66)</f>
        <v>89.66</v>
      </c>
      <c r="E12191" s="2">
        <v>77.02</v>
      </c>
      <c r="F12191" s="2">
        <v>2</v>
      </c>
      <c r="G12191" s="2" t="s">
        <v>13</v>
      </c>
    </row>
    <row r="12192" spans="1:7" x14ac:dyDescent="0.2">
      <c r="A12192" s="2" t="s">
        <v>3605</v>
      </c>
      <c r="B12192" s="2" t="s">
        <v>1504</v>
      </c>
      <c r="C12192" s="2">
        <v>896.32510000000002</v>
      </c>
      <c r="D12192" s="2">
        <f>HYPERLINK("http://mcb-m6.bioreg.kyushu-u.ac.jp/M3/20110428/F51133/2623/1", 90.4)</f>
        <v>90.4</v>
      </c>
      <c r="E12192" s="2">
        <v>78.010000000000005</v>
      </c>
      <c r="F12192" s="2">
        <v>2</v>
      </c>
      <c r="G12192" s="2" t="s">
        <v>13</v>
      </c>
    </row>
    <row r="12193" spans="1:8" x14ac:dyDescent="0.2">
      <c r="A12193" s="2" t="s">
        <v>3605</v>
      </c>
      <c r="B12193" s="2" t="s">
        <v>1504</v>
      </c>
      <c r="C12193" s="2">
        <v>896.29669999999999</v>
      </c>
      <c r="D12193" s="2">
        <f>HYPERLINK("http://mcb-m6.bioreg.kyushu-u.ac.jp/M3/20110427/F51115/2617/1", 103.3)</f>
        <v>103.3</v>
      </c>
      <c r="E12193" s="2">
        <v>92.54</v>
      </c>
      <c r="F12193" s="2">
        <v>2</v>
      </c>
      <c r="G12193" s="2" t="s">
        <v>13</v>
      </c>
    </row>
    <row r="12194" spans="1:8" x14ac:dyDescent="0.2">
      <c r="A12194" s="2" t="s">
        <v>3605</v>
      </c>
      <c r="B12194" s="2" t="s">
        <v>499</v>
      </c>
      <c r="C12194" s="2">
        <v>781.69320000000005</v>
      </c>
      <c r="D12194" s="2">
        <f>HYPERLINK("http://mcb-m6.bioreg.kyushu-u.ac.jp/M3/20110427/F51124/2208/1", 64.93)</f>
        <v>64.930000000000007</v>
      </c>
      <c r="E12194" s="2">
        <v>50.98</v>
      </c>
      <c r="F12194" s="2">
        <v>2</v>
      </c>
      <c r="G12194" s="2" t="s">
        <v>14</v>
      </c>
    </row>
    <row r="12195" spans="1:8" x14ac:dyDescent="0.2">
      <c r="A12195" s="2" t="s">
        <v>4309</v>
      </c>
      <c r="B12195" s="2" t="s">
        <v>2058</v>
      </c>
      <c r="C12195" s="2">
        <v>643.42319999999995</v>
      </c>
      <c r="D12195" s="2">
        <f>HYPERLINK("http://mcb-m6.bioreg.kyushu-u.ac.jp/M3/20110404/F50778/1348/1", 60.68)</f>
        <v>60.68</v>
      </c>
      <c r="E12195" s="2">
        <v>45.22</v>
      </c>
      <c r="F12195" s="2">
        <v>2</v>
      </c>
      <c r="G12195" s="2" t="s">
        <v>9</v>
      </c>
    </row>
    <row r="12196" spans="1:8" x14ac:dyDescent="0.2">
      <c r="A12196" s="2" t="s">
        <v>3628</v>
      </c>
      <c r="B12196" s="2" t="s">
        <v>6352</v>
      </c>
      <c r="C12196" s="2">
        <v>697.63019999999995</v>
      </c>
      <c r="D12196" s="2">
        <f>HYPERLINK("http://mcb-m6.bioreg.kyushu-u.ac.jp/M3/20110404/F50754/1956/1", 55.96)</f>
        <v>55.96</v>
      </c>
      <c r="E12196" s="2">
        <v>26.81</v>
      </c>
      <c r="F12196" s="2">
        <v>2</v>
      </c>
      <c r="G12196" s="2" t="s">
        <v>9</v>
      </c>
      <c r="H12196" s="2" t="s">
        <v>4891</v>
      </c>
    </row>
    <row r="12197" spans="1:8" x14ac:dyDescent="0.2">
      <c r="A12197" s="2" t="s">
        <v>3628</v>
      </c>
      <c r="B12197" s="2" t="s">
        <v>7375</v>
      </c>
      <c r="C12197" s="2">
        <v>568.75019999999995</v>
      </c>
      <c r="D12197" s="2">
        <f>HYPERLINK("http://mcb-m6.bioreg.kyushu-u.ac.jp/M3/20110427/F51113/1273/1", 51.24)</f>
        <v>51.24</v>
      </c>
      <c r="E12197" s="2">
        <v>7.54</v>
      </c>
      <c r="F12197" s="2">
        <v>2</v>
      </c>
      <c r="G12197" s="2" t="s">
        <v>13</v>
      </c>
    </row>
    <row r="12198" spans="1:8" x14ac:dyDescent="0.2">
      <c r="A12198" s="2" t="s">
        <v>7690</v>
      </c>
      <c r="B12198" s="2" t="s">
        <v>6334</v>
      </c>
      <c r="C12198" s="2">
        <v>621.35609999999997</v>
      </c>
      <c r="D12198" s="2">
        <f>HYPERLINK("http://mcb-m6.bioreg.kyushu-u.ac.jp/M3/20110404/F50765/1323/1", 53.69)</f>
        <v>53.69</v>
      </c>
      <c r="E12198" s="2">
        <v>34.65</v>
      </c>
      <c r="F12198" s="2">
        <v>2</v>
      </c>
      <c r="G12198" s="2" t="s">
        <v>9</v>
      </c>
    </row>
    <row r="12199" spans="1:8" x14ac:dyDescent="0.2">
      <c r="A12199" s="2" t="s">
        <v>7690</v>
      </c>
      <c r="B12199" s="2" t="s">
        <v>6495</v>
      </c>
      <c r="C12199" s="2">
        <v>776.07320000000004</v>
      </c>
      <c r="D12199" s="2">
        <f>HYPERLINK("http://mcb-m6.bioreg.kyushu-u.ac.jp/M3/20110404/F50765/1994/1", 70.57)</f>
        <v>70.569999999999993</v>
      </c>
      <c r="E12199" s="2">
        <v>58.85</v>
      </c>
      <c r="F12199" s="2">
        <v>2</v>
      </c>
      <c r="G12199" s="2" t="s">
        <v>9</v>
      </c>
    </row>
    <row r="12200" spans="1:8" x14ac:dyDescent="0.2">
      <c r="A12200" s="2" t="s">
        <v>7690</v>
      </c>
      <c r="B12200" s="2" t="s">
        <v>7030</v>
      </c>
      <c r="C12200" s="2">
        <v>786.9597</v>
      </c>
      <c r="D12200" s="2">
        <f>HYPERLINK("http://mcb-m6.bioreg.kyushu-u.ac.jp/M3/20110404/F50771/2093/1", 84.86)</f>
        <v>84.86</v>
      </c>
      <c r="E12200" s="2">
        <v>70.36</v>
      </c>
      <c r="F12200" s="2">
        <v>2</v>
      </c>
      <c r="G12200" s="2" t="s">
        <v>10</v>
      </c>
    </row>
    <row r="12201" spans="1:8" x14ac:dyDescent="0.2">
      <c r="A12201" s="2" t="s">
        <v>3253</v>
      </c>
      <c r="B12201" s="2" t="s">
        <v>593</v>
      </c>
      <c r="C12201" s="2">
        <v>890.42610000000002</v>
      </c>
      <c r="D12201" s="2">
        <f>HYPERLINK("http://mcb-m6.bioreg.kyushu-u.ac.jp/M3/20110404/F50778/2534/1", 36.88)</f>
        <v>36.880000000000003</v>
      </c>
      <c r="E12201" s="2">
        <v>27.11</v>
      </c>
      <c r="F12201" s="2">
        <v>2</v>
      </c>
      <c r="G12201" s="2" t="s">
        <v>9</v>
      </c>
    </row>
    <row r="12202" spans="1:8" x14ac:dyDescent="0.2">
      <c r="A12202" s="2" t="s">
        <v>3253</v>
      </c>
      <c r="B12202" s="2" t="s">
        <v>471</v>
      </c>
      <c r="C12202" s="2">
        <v>604.91769999999997</v>
      </c>
      <c r="D12202" s="2">
        <f>HYPERLINK("http://mcb-m6.bioreg.kyushu-u.ac.jp/M3/20110404/F50778/1188/1", 44.32)</f>
        <v>44.32</v>
      </c>
      <c r="E12202" s="2">
        <v>26.96</v>
      </c>
      <c r="F12202" s="2">
        <v>2</v>
      </c>
      <c r="G12202" s="2" t="s">
        <v>9</v>
      </c>
    </row>
    <row r="12203" spans="1:8" x14ac:dyDescent="0.2">
      <c r="A12203" s="2" t="s">
        <v>3253</v>
      </c>
      <c r="B12203" s="2" t="s">
        <v>593</v>
      </c>
      <c r="C12203" s="2">
        <v>889.84270000000004</v>
      </c>
      <c r="D12203" s="2">
        <f>HYPERLINK("http://mcb-m6.bioreg.kyushu-u.ac.jp/M3/20110404/F50778/2524/1", 49.49)</f>
        <v>49.49</v>
      </c>
      <c r="E12203" s="2">
        <v>41.51</v>
      </c>
      <c r="F12203" s="2">
        <v>2</v>
      </c>
      <c r="G12203" s="2" t="s">
        <v>9</v>
      </c>
    </row>
    <row r="12204" spans="1:8" x14ac:dyDescent="0.2">
      <c r="A12204" s="2" t="s">
        <v>3253</v>
      </c>
      <c r="B12204" s="2" t="s">
        <v>1465</v>
      </c>
      <c r="C12204" s="2">
        <v>917.85170000000005</v>
      </c>
      <c r="D12204" s="2">
        <f>HYPERLINK("http://mcb-m6.bioreg.kyushu-u.ac.jp/M3/20110404/F50778/2672/1", 90.62)</f>
        <v>90.62</v>
      </c>
      <c r="E12204" s="2">
        <v>65.239999999999995</v>
      </c>
      <c r="F12204" s="2">
        <v>2</v>
      </c>
      <c r="G12204" s="2" t="s">
        <v>9</v>
      </c>
    </row>
    <row r="12205" spans="1:8" x14ac:dyDescent="0.2">
      <c r="A12205" s="2" t="s">
        <v>3253</v>
      </c>
      <c r="B12205" s="2" t="s">
        <v>1465</v>
      </c>
      <c r="C12205" s="2">
        <v>917.34469999999999</v>
      </c>
      <c r="D12205" s="2">
        <f>HYPERLINK("http://mcb-m6.bioreg.kyushu-u.ac.jp/M3/20110404/F50778/2667/1", 96.48)</f>
        <v>96.48</v>
      </c>
      <c r="E12205" s="2">
        <v>73.790000000000006</v>
      </c>
      <c r="F12205" s="2">
        <v>2</v>
      </c>
      <c r="G12205" s="2" t="s">
        <v>9</v>
      </c>
    </row>
    <row r="12206" spans="1:8" x14ac:dyDescent="0.2">
      <c r="A12206" s="2" t="s">
        <v>3253</v>
      </c>
      <c r="B12206" s="2" t="s">
        <v>1465</v>
      </c>
      <c r="C12206" s="2">
        <v>917.86770000000001</v>
      </c>
      <c r="D12206" s="2">
        <f>HYPERLINK("http://mcb-m6.bioreg.kyushu-u.ac.jp/M3/20110404/F50775/2578/1", 83.96)</f>
        <v>83.96</v>
      </c>
      <c r="E12206" s="2">
        <v>67.41</v>
      </c>
      <c r="F12206" s="2">
        <v>2</v>
      </c>
      <c r="G12206" s="2" t="s">
        <v>10</v>
      </c>
    </row>
    <row r="12207" spans="1:8" x14ac:dyDescent="0.2">
      <c r="A12207" s="2" t="s">
        <v>3253</v>
      </c>
      <c r="B12207" s="2" t="s">
        <v>5271</v>
      </c>
      <c r="C12207" s="2">
        <v>482.15609999999998</v>
      </c>
      <c r="D12207" s="2">
        <f>HYPERLINK("http://mcb-m6.bioreg.kyushu-u.ac.jp/M3/20110421/F51039/821/1", 42.4)</f>
        <v>42.4</v>
      </c>
      <c r="E12207" s="2">
        <v>17.12</v>
      </c>
      <c r="F12207" s="2">
        <v>2</v>
      </c>
      <c r="G12207" s="2" t="s">
        <v>11</v>
      </c>
    </row>
    <row r="12208" spans="1:8" x14ac:dyDescent="0.2">
      <c r="A12208" s="2" t="s">
        <v>3253</v>
      </c>
      <c r="B12208" s="2" t="s">
        <v>5331</v>
      </c>
      <c r="C12208" s="2">
        <v>554.79610000000002</v>
      </c>
      <c r="D12208" s="2">
        <f>HYPERLINK("http://mcb-m6.bioreg.kyushu-u.ac.jp/M3/20110421/F51039/1204/1", 47.21)</f>
        <v>47.21</v>
      </c>
      <c r="E12208" s="2">
        <v>34.97</v>
      </c>
      <c r="F12208" s="2">
        <v>2</v>
      </c>
      <c r="G12208" s="2" t="s">
        <v>11</v>
      </c>
    </row>
    <row r="12209" spans="1:8" x14ac:dyDescent="0.2">
      <c r="A12209" s="2" t="s">
        <v>3253</v>
      </c>
      <c r="B12209" s="2" t="s">
        <v>853</v>
      </c>
      <c r="C12209" s="2">
        <v>618.70569999999998</v>
      </c>
      <c r="D12209" s="2">
        <f>HYPERLINK("http://mcb-m6.bioreg.kyushu-u.ac.jp/M3/20110421/F51039/1477/1", 65.71)</f>
        <v>65.709999999999994</v>
      </c>
      <c r="E12209" s="2">
        <v>47.27</v>
      </c>
      <c r="F12209" s="2">
        <v>2</v>
      </c>
      <c r="G12209" s="2" t="s">
        <v>11</v>
      </c>
    </row>
    <row r="12210" spans="1:8" x14ac:dyDescent="0.2">
      <c r="A12210" s="2" t="s">
        <v>3253</v>
      </c>
      <c r="B12210" s="2" t="s">
        <v>1445</v>
      </c>
      <c r="C12210" s="2">
        <v>771.9402</v>
      </c>
      <c r="D12210" s="2">
        <f>HYPERLINK("http://mcb-m6.bioreg.kyushu-u.ac.jp/M3/20110421/F51039/2257/1", 77.5)</f>
        <v>77.5</v>
      </c>
      <c r="E12210" s="2">
        <v>55.01</v>
      </c>
      <c r="F12210" s="2">
        <v>2</v>
      </c>
      <c r="G12210" s="2" t="s">
        <v>11</v>
      </c>
    </row>
    <row r="12211" spans="1:8" x14ac:dyDescent="0.2">
      <c r="A12211" s="2" t="s">
        <v>3253</v>
      </c>
      <c r="B12211" s="2" t="s">
        <v>853</v>
      </c>
      <c r="C12211" s="2">
        <v>617.98860000000002</v>
      </c>
      <c r="D12211" s="2">
        <f>HYPERLINK("http://mcb-m6.bioreg.kyushu-u.ac.jp/M3/20110421/F51039/1473/1", 78.43)</f>
        <v>78.430000000000007</v>
      </c>
      <c r="E12211" s="2">
        <v>58.32</v>
      </c>
      <c r="F12211" s="2">
        <v>2</v>
      </c>
      <c r="G12211" s="2" t="s">
        <v>11</v>
      </c>
    </row>
    <row r="12212" spans="1:8" x14ac:dyDescent="0.2">
      <c r="A12212" s="2" t="s">
        <v>3253</v>
      </c>
      <c r="B12212" s="2" t="s">
        <v>1465</v>
      </c>
      <c r="C12212" s="2">
        <v>917.34559999999999</v>
      </c>
      <c r="D12212" s="2">
        <f>HYPERLINK("http://mcb-m6.bioreg.kyushu-u.ac.jp/M3/20110421/F51039/2938/1", 102.2)</f>
        <v>102.2</v>
      </c>
      <c r="E12212" s="2">
        <v>81.47</v>
      </c>
      <c r="F12212" s="2">
        <v>2</v>
      </c>
      <c r="G12212" s="2" t="s">
        <v>11</v>
      </c>
    </row>
    <row r="12213" spans="1:8" x14ac:dyDescent="0.2">
      <c r="A12213" s="2" t="s">
        <v>3253</v>
      </c>
      <c r="B12213" s="2" t="s">
        <v>1465</v>
      </c>
      <c r="C12213" s="2">
        <v>917.50869999999998</v>
      </c>
      <c r="D12213" s="2">
        <f>HYPERLINK("http://mcb-m6.bioreg.kyushu-u.ac.jp/M3/20110421/F51048/2936/1", 100.77)</f>
        <v>100.77</v>
      </c>
      <c r="E12213" s="2">
        <v>79.92</v>
      </c>
      <c r="F12213" s="2">
        <v>2</v>
      </c>
      <c r="G12213" s="2" t="s">
        <v>12</v>
      </c>
    </row>
    <row r="12214" spans="1:8" x14ac:dyDescent="0.2">
      <c r="A12214" s="2" t="s">
        <v>3253</v>
      </c>
      <c r="B12214" s="2" t="s">
        <v>2909</v>
      </c>
      <c r="C12214" s="2">
        <v>474.53609999999998</v>
      </c>
      <c r="D12214" s="2">
        <f>HYPERLINK("http://mcb-m6.bioreg.kyushu-u.ac.jp/M3/20110428/F51133/697/1", 39.4)</f>
        <v>39.4</v>
      </c>
      <c r="E12214" s="2">
        <v>21.2</v>
      </c>
      <c r="F12214" s="2">
        <v>2</v>
      </c>
      <c r="G12214" s="2" t="s">
        <v>13</v>
      </c>
    </row>
    <row r="12215" spans="1:8" x14ac:dyDescent="0.2">
      <c r="A12215" s="2" t="s">
        <v>3253</v>
      </c>
      <c r="B12215" s="2" t="s">
        <v>1465</v>
      </c>
      <c r="C12215" s="2">
        <v>917.29520000000002</v>
      </c>
      <c r="D12215" s="2">
        <f>HYPERLINK("http://mcb-m6.bioreg.kyushu-u.ac.jp/M3/20110428/F51133/2697/1", 97.37)</f>
        <v>97.37</v>
      </c>
      <c r="E12215" s="2">
        <v>75.180000000000007</v>
      </c>
      <c r="F12215" s="2">
        <v>2</v>
      </c>
      <c r="G12215" s="2" t="s">
        <v>13</v>
      </c>
    </row>
    <row r="12216" spans="1:8" x14ac:dyDescent="0.2">
      <c r="A12216" s="2" t="s">
        <v>3597</v>
      </c>
      <c r="B12216" s="2" t="s">
        <v>487</v>
      </c>
      <c r="C12216" s="2">
        <v>582.38319999999999</v>
      </c>
      <c r="D12216" s="2">
        <f>HYPERLINK("http://mcb-m6.bioreg.kyushu-u.ac.jp/M3/20110404/F50778/1098/1", 44.25)</f>
        <v>44.25</v>
      </c>
      <c r="E12216" s="2">
        <v>21.49</v>
      </c>
      <c r="F12216" s="2">
        <v>2</v>
      </c>
      <c r="G12216" s="2" t="s">
        <v>9</v>
      </c>
    </row>
    <row r="12217" spans="1:8" x14ac:dyDescent="0.2">
      <c r="A12217" s="2" t="s">
        <v>3597</v>
      </c>
      <c r="B12217" s="2" t="s">
        <v>1429</v>
      </c>
      <c r="C12217" s="2">
        <v>1349.759</v>
      </c>
      <c r="D12217" s="2">
        <f>HYPERLINK("http://mcb-m6.bioreg.kyushu-u.ac.jp/M3/20110404/F50778/1488/1", 48.67)</f>
        <v>48.67</v>
      </c>
      <c r="E12217" s="2">
        <v>39.94</v>
      </c>
      <c r="F12217" s="2">
        <v>1</v>
      </c>
      <c r="G12217" s="2" t="s">
        <v>9</v>
      </c>
    </row>
    <row r="12218" spans="1:8" x14ac:dyDescent="0.2">
      <c r="A12218" s="2" t="s">
        <v>3597</v>
      </c>
      <c r="B12218" s="2" t="s">
        <v>1429</v>
      </c>
      <c r="C12218" s="2">
        <v>675.80409999999995</v>
      </c>
      <c r="D12218" s="2">
        <f>HYPERLINK("http://mcb-m6.bioreg.kyushu-u.ac.jp/M3/20110404/F50778/1489/1", 50.13)</f>
        <v>50.13</v>
      </c>
      <c r="E12218" s="2">
        <v>39.44</v>
      </c>
      <c r="F12218" s="2">
        <v>2</v>
      </c>
      <c r="G12218" s="2" t="s">
        <v>9</v>
      </c>
    </row>
    <row r="12219" spans="1:8" x14ac:dyDescent="0.2">
      <c r="A12219" s="2" t="s">
        <v>3597</v>
      </c>
      <c r="B12219" s="2" t="s">
        <v>2482</v>
      </c>
      <c r="C12219" s="2">
        <v>781.3152</v>
      </c>
      <c r="D12219" s="2">
        <f>HYPERLINK("http://mcb-m6.bioreg.kyushu-u.ac.jp/M3/20110404/F50778/2041/1", 70.45)</f>
        <v>70.45</v>
      </c>
      <c r="E12219" s="2">
        <v>47.93</v>
      </c>
      <c r="F12219" s="2">
        <v>2</v>
      </c>
      <c r="G12219" s="2" t="s">
        <v>9</v>
      </c>
    </row>
    <row r="12220" spans="1:8" x14ac:dyDescent="0.2">
      <c r="A12220" s="2" t="s">
        <v>3597</v>
      </c>
      <c r="B12220" s="2" t="s">
        <v>2548</v>
      </c>
      <c r="C12220" s="2">
        <v>646.28809999999999</v>
      </c>
      <c r="D12220" s="2">
        <f>HYPERLINK("http://mcb-m6.bioreg.kyushu-u.ac.jp/M3/20110404/F50778/1359/1", 70.48)</f>
        <v>70.48</v>
      </c>
      <c r="E12220" s="2">
        <v>40.25</v>
      </c>
      <c r="F12220" s="2">
        <v>2</v>
      </c>
      <c r="G12220" s="2" t="s">
        <v>9</v>
      </c>
    </row>
    <row r="12221" spans="1:8" x14ac:dyDescent="0.2">
      <c r="A12221" s="2" t="s">
        <v>3597</v>
      </c>
      <c r="B12221" s="2" t="s">
        <v>1429</v>
      </c>
      <c r="C12221" s="2">
        <v>683.27120000000002</v>
      </c>
      <c r="D12221" s="2">
        <f>HYPERLINK("http://mcb-m6.bioreg.kyushu-u.ac.jp/M3/20110404/F50778/1515/1", 79.15)</f>
        <v>79.150000000000006</v>
      </c>
      <c r="E12221" s="2">
        <v>68.25</v>
      </c>
      <c r="F12221" s="2">
        <v>2</v>
      </c>
      <c r="G12221" s="2" t="s">
        <v>9</v>
      </c>
      <c r="H12221" s="2" t="s">
        <v>4927</v>
      </c>
    </row>
    <row r="12222" spans="1:8" x14ac:dyDescent="0.2">
      <c r="A12222" s="2" t="s">
        <v>3597</v>
      </c>
      <c r="B12222" s="2" t="s">
        <v>2548</v>
      </c>
      <c r="C12222" s="2">
        <v>646.21559999999999</v>
      </c>
      <c r="D12222" s="2">
        <f>HYPERLINK("http://mcb-m6.bioreg.kyushu-u.ac.jp/M3/20110404/F50775/1528/1", 58.42)</f>
        <v>58.42</v>
      </c>
      <c r="E12222" s="2">
        <v>31.32</v>
      </c>
      <c r="F12222" s="2">
        <v>2</v>
      </c>
      <c r="G12222" s="2" t="s">
        <v>10</v>
      </c>
    </row>
    <row r="12223" spans="1:8" x14ac:dyDescent="0.2">
      <c r="A12223" s="2" t="s">
        <v>3597</v>
      </c>
      <c r="B12223" s="2" t="s">
        <v>1429</v>
      </c>
      <c r="C12223" s="2">
        <v>1349.481</v>
      </c>
      <c r="D12223" s="2">
        <f>HYPERLINK("http://mcb-m6.bioreg.kyushu-u.ac.jp/M3/20110421/F51039/1685/1", 60.07)</f>
        <v>60.07</v>
      </c>
      <c r="E12223" s="2">
        <v>49.62</v>
      </c>
      <c r="F12223" s="2">
        <v>1</v>
      </c>
      <c r="G12223" s="2" t="s">
        <v>11</v>
      </c>
    </row>
    <row r="12224" spans="1:8" x14ac:dyDescent="0.2">
      <c r="A12224" s="2" t="s">
        <v>3597</v>
      </c>
      <c r="B12224" s="2" t="s">
        <v>2482</v>
      </c>
      <c r="C12224" s="2">
        <v>780.95669999999996</v>
      </c>
      <c r="D12224" s="2">
        <f>HYPERLINK("http://mcb-m6.bioreg.kyushu-u.ac.jp/M3/20110421/F51039/2302/1", 85.5)</f>
        <v>85.5</v>
      </c>
      <c r="E12224" s="2">
        <v>56.11</v>
      </c>
      <c r="F12224" s="2">
        <v>2</v>
      </c>
      <c r="G12224" s="2" t="s">
        <v>11</v>
      </c>
    </row>
    <row r="12225" spans="1:9" x14ac:dyDescent="0.2">
      <c r="A12225" s="2" t="s">
        <v>3597</v>
      </c>
      <c r="B12225" s="2" t="s">
        <v>1429</v>
      </c>
      <c r="C12225" s="2">
        <v>675.2441</v>
      </c>
      <c r="D12225" s="2">
        <f>HYPERLINK("http://mcb-m6.bioreg.kyushu-u.ac.jp/M3/20110421/F51039/1684/1", 103.77)</f>
        <v>103.77</v>
      </c>
      <c r="E12225" s="2">
        <v>90.11</v>
      </c>
      <c r="F12225" s="2">
        <v>2</v>
      </c>
      <c r="G12225" s="2" t="s">
        <v>11</v>
      </c>
    </row>
    <row r="12226" spans="1:9" x14ac:dyDescent="0.2">
      <c r="A12226" s="2" t="s">
        <v>3597</v>
      </c>
      <c r="B12226" s="2" t="s">
        <v>1429</v>
      </c>
      <c r="C12226" s="2">
        <v>683.42470000000003</v>
      </c>
      <c r="D12226" s="2">
        <f>HYPERLINK("http://mcb-m6.bioreg.kyushu-u.ac.jp/M3/20110421/F51048/1847/1", 59.77)</f>
        <v>59.77</v>
      </c>
      <c r="E12226" s="2">
        <v>38.520000000000003</v>
      </c>
      <c r="F12226" s="2">
        <v>2</v>
      </c>
      <c r="G12226" s="2" t="s">
        <v>12</v>
      </c>
      <c r="H12226" s="2" t="s">
        <v>4927</v>
      </c>
    </row>
    <row r="12227" spans="1:9" x14ac:dyDescent="0.2">
      <c r="A12227" s="2" t="s">
        <v>3597</v>
      </c>
      <c r="B12227" s="2" t="s">
        <v>1429</v>
      </c>
      <c r="C12227" s="2">
        <v>675.78560000000004</v>
      </c>
      <c r="D12227" s="2">
        <f>HYPERLINK("http://mcb-m6.bioreg.kyushu-u.ac.jp/M3/20110428/F51133/1511/1", 75.59)</f>
        <v>75.59</v>
      </c>
      <c r="E12227" s="2">
        <v>58.66</v>
      </c>
      <c r="F12227" s="2">
        <v>2</v>
      </c>
      <c r="G12227" s="2" t="s">
        <v>13</v>
      </c>
    </row>
    <row r="12228" spans="1:9" x14ac:dyDescent="0.2">
      <c r="A12228" s="2" t="s">
        <v>3597</v>
      </c>
      <c r="B12228" s="2" t="s">
        <v>2482</v>
      </c>
      <c r="C12228" s="2">
        <v>780.96420000000001</v>
      </c>
      <c r="D12228" s="2">
        <f>HYPERLINK("http://mcb-m6.bioreg.kyushu-u.ac.jp/M3/20110428/F51133/2119/1", 85.86)</f>
        <v>85.86</v>
      </c>
      <c r="E12228" s="2">
        <v>63.95</v>
      </c>
      <c r="F12228" s="2">
        <v>2</v>
      </c>
      <c r="G12228" s="2" t="s">
        <v>13</v>
      </c>
    </row>
    <row r="12229" spans="1:9" x14ac:dyDescent="0.2">
      <c r="A12229" s="2" t="s">
        <v>3597</v>
      </c>
      <c r="B12229" s="2" t="s">
        <v>1429</v>
      </c>
      <c r="C12229" s="2">
        <v>683.66859999999997</v>
      </c>
      <c r="D12229" s="2">
        <f>HYPERLINK("http://mcb-m6.bioreg.kyushu-u.ac.jp/M3/20110428/F51130/1782/1", 37.64)</f>
        <v>37.64</v>
      </c>
      <c r="E12229" s="2">
        <v>24.37</v>
      </c>
      <c r="F12229" s="2">
        <v>2</v>
      </c>
      <c r="G12229" s="2" t="s">
        <v>14</v>
      </c>
      <c r="H12229" s="2" t="s">
        <v>4927</v>
      </c>
    </row>
    <row r="12230" spans="1:9" x14ac:dyDescent="0.2">
      <c r="A12230" s="2" t="s">
        <v>3304</v>
      </c>
      <c r="B12230" s="2" t="s">
        <v>85</v>
      </c>
      <c r="C12230" s="2">
        <v>526.95820000000003</v>
      </c>
      <c r="D12230" s="2">
        <f>HYPERLINK("http://mcb-m6.bioreg.kyushu-u.ac.jp/M3/20110404/F50753/1277/1", 49.09)</f>
        <v>49.09</v>
      </c>
      <c r="E12230" s="2">
        <v>23.94</v>
      </c>
      <c r="F12230" s="2">
        <v>2</v>
      </c>
      <c r="G12230" s="2" t="s">
        <v>9</v>
      </c>
    </row>
    <row r="12231" spans="1:9" x14ac:dyDescent="0.2">
      <c r="A12231" s="2" t="s">
        <v>3304</v>
      </c>
      <c r="B12231" s="2" t="s">
        <v>85</v>
      </c>
      <c r="C12231" s="2">
        <v>527.23569999999995</v>
      </c>
      <c r="D12231" s="2">
        <f>HYPERLINK("http://mcb-m6.bioreg.kyushu-u.ac.jp/M3/20110404/F50758/1286/1", 39.97)</f>
        <v>39.97</v>
      </c>
      <c r="E12231" s="2">
        <v>19.420000000000002</v>
      </c>
      <c r="F12231" s="2">
        <v>2</v>
      </c>
      <c r="G12231" s="2" t="s">
        <v>10</v>
      </c>
    </row>
    <row r="12232" spans="1:9" x14ac:dyDescent="0.2">
      <c r="A12232" s="2" t="s">
        <v>3304</v>
      </c>
      <c r="B12232" s="2" t="s">
        <v>85</v>
      </c>
      <c r="C12232" s="2">
        <v>527.20820000000003</v>
      </c>
      <c r="D12232" s="2">
        <f>HYPERLINK("http://mcb-m6.bioreg.kyushu-u.ac.jp/M3/20110427/F51111/1240/1", 68.14)</f>
        <v>68.14</v>
      </c>
      <c r="E12232" s="2">
        <v>46.76</v>
      </c>
      <c r="F12232" s="2">
        <v>2</v>
      </c>
      <c r="G12232" s="2" t="s">
        <v>13</v>
      </c>
    </row>
    <row r="12233" spans="1:9" x14ac:dyDescent="0.2">
      <c r="A12233" s="2" t="s">
        <v>3721</v>
      </c>
      <c r="B12233" s="2" t="s">
        <v>715</v>
      </c>
      <c r="C12233" s="2">
        <v>498.09359999999998</v>
      </c>
      <c r="D12233" s="2">
        <f>HYPERLINK("http://mcb-m6.bioreg.kyushu-u.ac.jp/M3/20110404/F50753/1195/1", 62.56)</f>
        <v>62.56</v>
      </c>
      <c r="E12233" s="2">
        <v>23.93</v>
      </c>
      <c r="F12233" s="2">
        <v>2</v>
      </c>
      <c r="G12233" s="2" t="s">
        <v>9</v>
      </c>
    </row>
    <row r="12234" spans="1:9" x14ac:dyDescent="0.2">
      <c r="A12234" s="2" t="s">
        <v>3721</v>
      </c>
      <c r="B12234" s="2" t="s">
        <v>2428</v>
      </c>
      <c r="C12234" s="2">
        <v>562.09059999999999</v>
      </c>
      <c r="D12234" s="2">
        <f>HYPERLINK("http://mcb-m6.bioreg.kyushu-u.ac.jp/M3/20110404/F50753/1372/1", 64.32)</f>
        <v>64.319999999999993</v>
      </c>
      <c r="E12234" s="2">
        <v>35.67</v>
      </c>
      <c r="F12234" s="2">
        <v>2</v>
      </c>
      <c r="G12234" s="2" t="s">
        <v>9</v>
      </c>
    </row>
    <row r="12235" spans="1:9" x14ac:dyDescent="0.2">
      <c r="A12235" s="2" t="s">
        <v>3721</v>
      </c>
      <c r="B12235" s="2" t="s">
        <v>715</v>
      </c>
      <c r="C12235" s="2">
        <v>498.63709999999998</v>
      </c>
      <c r="D12235" s="2">
        <f>HYPERLINK("http://mcb-m6.bioreg.kyushu-u.ac.jp/M3/20110404/F50758/1220/1", 49.9)</f>
        <v>49.9</v>
      </c>
      <c r="E12235" s="2">
        <v>15.07</v>
      </c>
      <c r="F12235" s="2">
        <v>2</v>
      </c>
      <c r="G12235" s="2" t="s">
        <v>10</v>
      </c>
    </row>
    <row r="12236" spans="1:9" x14ac:dyDescent="0.2">
      <c r="A12236" s="2" t="s">
        <v>3721</v>
      </c>
      <c r="B12236" s="2" t="s">
        <v>715</v>
      </c>
      <c r="C12236" s="2">
        <v>498.12009999999998</v>
      </c>
      <c r="D12236" s="2">
        <f>HYPERLINK("http://mcb-m6.bioreg.kyushu-u.ac.jp/M3/20110404/F50758/1216/1", 67)</f>
        <v>67</v>
      </c>
      <c r="E12236" s="2">
        <v>37.1</v>
      </c>
      <c r="F12236" s="2">
        <v>2</v>
      </c>
      <c r="G12236" s="2" t="s">
        <v>10</v>
      </c>
    </row>
    <row r="12237" spans="1:9" x14ac:dyDescent="0.2">
      <c r="A12237" s="2" t="s">
        <v>3721</v>
      </c>
      <c r="B12237" s="2" t="s">
        <v>2428</v>
      </c>
      <c r="C12237" s="2">
        <v>562.21619999999996</v>
      </c>
      <c r="D12237" s="2">
        <f>HYPERLINK("http://mcb-m6.bioreg.kyushu-u.ac.jp/M3/20110421/F51017/1181/1", 52.59)</f>
        <v>52.59</v>
      </c>
      <c r="E12237" s="2">
        <v>31.23</v>
      </c>
      <c r="F12237" s="2">
        <v>2</v>
      </c>
      <c r="G12237" s="2" t="s">
        <v>11</v>
      </c>
    </row>
    <row r="12238" spans="1:9" x14ac:dyDescent="0.2">
      <c r="A12238" s="2" t="s">
        <v>3721</v>
      </c>
      <c r="B12238" s="2" t="s">
        <v>2428</v>
      </c>
      <c r="C12238" s="2">
        <v>562.21169999999995</v>
      </c>
      <c r="D12238" s="2">
        <f>HYPERLINK("http://mcb-m6.bioreg.kyushu-u.ac.jp/M3/20110427/F51111/1397/1", 57.27)</f>
        <v>57.27</v>
      </c>
      <c r="E12238" s="2">
        <v>38.85</v>
      </c>
      <c r="F12238" s="2">
        <v>2</v>
      </c>
      <c r="G12238" s="2" t="s">
        <v>13</v>
      </c>
    </row>
    <row r="12239" spans="1:9" x14ac:dyDescent="0.2">
      <c r="A12239" s="2" t="s">
        <v>3463</v>
      </c>
      <c r="B12239" s="2" t="s">
        <v>274</v>
      </c>
      <c r="C12239" s="2">
        <v>495.80360000000002</v>
      </c>
      <c r="D12239" s="2">
        <f>HYPERLINK("http://mcb-m6.bioreg.kyushu-u.ac.jp/M3/20110404/F50753/1188/1", 59.89)</f>
        <v>59.89</v>
      </c>
      <c r="E12239" s="2">
        <v>29.22</v>
      </c>
      <c r="F12239" s="2">
        <v>2</v>
      </c>
      <c r="G12239" s="2" t="s">
        <v>9</v>
      </c>
    </row>
    <row r="12240" spans="1:9" x14ac:dyDescent="0.2">
      <c r="A12240" s="2" t="s">
        <v>3463</v>
      </c>
      <c r="B12240" s="2" t="s">
        <v>1549</v>
      </c>
      <c r="C12240" s="2">
        <v>891.69669999999996</v>
      </c>
      <c r="D12240" s="2">
        <f>HYPERLINK("http://mcb-m6.bioreg.kyushu-u.ac.jp/M3/20110404/F50753/2575/1", 61.21)</f>
        <v>61.21</v>
      </c>
      <c r="E12240" s="2">
        <v>41.46</v>
      </c>
      <c r="F12240" s="2">
        <v>2</v>
      </c>
      <c r="G12240" s="2" t="s">
        <v>9</v>
      </c>
      <c r="I12240" s="2" t="s">
        <v>4892</v>
      </c>
    </row>
    <row r="12241" spans="1:9" x14ac:dyDescent="0.2">
      <c r="A12241" s="2" t="s">
        <v>3463</v>
      </c>
      <c r="B12241" s="2" t="s">
        <v>1549</v>
      </c>
      <c r="C12241" s="2">
        <v>899.72969999999998</v>
      </c>
      <c r="D12241" s="2">
        <f>HYPERLINK("http://mcb-m6.bioreg.kyushu-u.ac.jp/M3/20110404/F50753/2619/1", 110.64)</f>
        <v>110.64</v>
      </c>
      <c r="E12241" s="2">
        <v>93.66</v>
      </c>
      <c r="F12241" s="2">
        <v>2</v>
      </c>
      <c r="G12241" s="2" t="s">
        <v>9</v>
      </c>
      <c r="H12241" s="2" t="s">
        <v>4901</v>
      </c>
      <c r="I12241" s="2" t="s">
        <v>4892</v>
      </c>
    </row>
    <row r="12242" spans="1:9" x14ac:dyDescent="0.2">
      <c r="A12242" s="2" t="s">
        <v>3463</v>
      </c>
      <c r="B12242" s="2" t="s">
        <v>274</v>
      </c>
      <c r="C12242" s="2">
        <v>495.76209999999998</v>
      </c>
      <c r="D12242" s="2">
        <f>HYPERLINK("http://mcb-m6.bioreg.kyushu-u.ac.jp/M3/20110404/F50758/1208/1", 42.62)</f>
        <v>42.62</v>
      </c>
      <c r="E12242" s="2">
        <v>16.07</v>
      </c>
      <c r="F12242" s="2">
        <v>2</v>
      </c>
      <c r="G12242" s="2" t="s">
        <v>10</v>
      </c>
    </row>
    <row r="12243" spans="1:9" x14ac:dyDescent="0.2">
      <c r="A12243" s="2" t="s">
        <v>3463</v>
      </c>
      <c r="B12243" s="2" t="s">
        <v>1549</v>
      </c>
      <c r="C12243" s="2">
        <v>900.31020000000001</v>
      </c>
      <c r="D12243" s="2">
        <f>HYPERLINK("http://mcb-m6.bioreg.kyushu-u.ac.jp/M3/20110404/F50758/2446/1", 96.76)</f>
        <v>96.76</v>
      </c>
      <c r="E12243" s="2">
        <v>74.650000000000006</v>
      </c>
      <c r="F12243" s="2">
        <v>2</v>
      </c>
      <c r="G12243" s="2" t="s">
        <v>10</v>
      </c>
      <c r="H12243" s="2" t="s">
        <v>4901</v>
      </c>
      <c r="I12243" s="2" t="s">
        <v>4892</v>
      </c>
    </row>
    <row r="12244" spans="1:9" x14ac:dyDescent="0.2">
      <c r="A12244" s="2" t="s">
        <v>3463</v>
      </c>
      <c r="B12244" s="2" t="s">
        <v>274</v>
      </c>
      <c r="C12244" s="2">
        <v>496.09710000000001</v>
      </c>
      <c r="D12244" s="2">
        <f>HYPERLINK("http://mcb-m6.bioreg.kyushu-u.ac.jp/M3/20110421/F51017/888/1", 52.78)</f>
        <v>52.78</v>
      </c>
      <c r="E12244" s="2">
        <v>16.010000000000002</v>
      </c>
      <c r="F12244" s="2">
        <v>2</v>
      </c>
      <c r="G12244" s="2" t="s">
        <v>11</v>
      </c>
    </row>
    <row r="12245" spans="1:9" x14ac:dyDescent="0.2">
      <c r="A12245" s="2" t="s">
        <v>3463</v>
      </c>
      <c r="B12245" s="2" t="s">
        <v>1549</v>
      </c>
      <c r="C12245" s="2">
        <v>900.26120000000003</v>
      </c>
      <c r="D12245" s="2">
        <f>HYPERLINK("http://mcb-m6.bioreg.kyushu-u.ac.jp/M3/20110421/F51017/2871/1", 89.19)</f>
        <v>89.19</v>
      </c>
      <c r="E12245" s="2">
        <v>68.88</v>
      </c>
      <c r="F12245" s="2">
        <v>2</v>
      </c>
      <c r="G12245" s="2" t="s">
        <v>11</v>
      </c>
      <c r="H12245" s="2" t="s">
        <v>4901</v>
      </c>
      <c r="I12245" s="2" t="s">
        <v>4892</v>
      </c>
    </row>
    <row r="12246" spans="1:9" x14ac:dyDescent="0.2">
      <c r="A12246" s="2" t="s">
        <v>3463</v>
      </c>
      <c r="B12246" s="2" t="s">
        <v>1549</v>
      </c>
      <c r="C12246" s="2">
        <v>899.61069999999995</v>
      </c>
      <c r="D12246" s="2">
        <f>HYPERLINK("http://mcb-m6.bioreg.kyushu-u.ac.jp/M3/20110421/F51017/2864/1", 92.52)</f>
        <v>92.52</v>
      </c>
      <c r="E12246" s="2">
        <v>75.099999999999994</v>
      </c>
      <c r="F12246" s="2">
        <v>2</v>
      </c>
      <c r="G12246" s="2" t="s">
        <v>11</v>
      </c>
      <c r="H12246" s="2" t="s">
        <v>4901</v>
      </c>
      <c r="I12246" s="2" t="s">
        <v>4892</v>
      </c>
    </row>
    <row r="12247" spans="1:9" x14ac:dyDescent="0.2">
      <c r="A12247" s="2" t="s">
        <v>3463</v>
      </c>
      <c r="B12247" s="2" t="s">
        <v>274</v>
      </c>
      <c r="C12247" s="2">
        <v>495.61959999999999</v>
      </c>
      <c r="D12247" s="2">
        <f>HYPERLINK("http://mcb-m6.bioreg.kyushu-u.ac.jp/M3/20110427/F51111/1068/1", 63.26)</f>
        <v>63.26</v>
      </c>
      <c r="E12247" s="2">
        <v>30.66</v>
      </c>
      <c r="F12247" s="2">
        <v>2</v>
      </c>
      <c r="G12247" s="2" t="s">
        <v>13</v>
      </c>
    </row>
    <row r="12248" spans="1:9" x14ac:dyDescent="0.2">
      <c r="A12248" s="2" t="s">
        <v>3463</v>
      </c>
      <c r="B12248" s="2" t="s">
        <v>1549</v>
      </c>
      <c r="C12248" s="2">
        <v>891.95510000000002</v>
      </c>
      <c r="D12248" s="2">
        <f>HYPERLINK("http://mcb-m6.bioreg.kyushu-u.ac.jp/M3/20110427/F51111/2821/1", 107.8)</f>
        <v>107.8</v>
      </c>
      <c r="E12248" s="2">
        <v>82.13</v>
      </c>
      <c r="F12248" s="2">
        <v>2</v>
      </c>
      <c r="G12248" s="2" t="s">
        <v>13</v>
      </c>
      <c r="I12248" s="2" t="s">
        <v>4892</v>
      </c>
    </row>
    <row r="12249" spans="1:9" x14ac:dyDescent="0.2">
      <c r="A12249" s="2" t="s">
        <v>3312</v>
      </c>
      <c r="B12249" s="2" t="s">
        <v>95</v>
      </c>
      <c r="C12249" s="2">
        <v>951.61159999999995</v>
      </c>
      <c r="D12249" s="2">
        <f>HYPERLINK("http://mcb-m6.bioreg.kyushu-u.ac.jp/M3/20110404/F50753/2772/1", 41.11)</f>
        <v>41.11</v>
      </c>
      <c r="E12249" s="2">
        <v>24.24</v>
      </c>
      <c r="F12249" s="2">
        <v>2</v>
      </c>
      <c r="G12249" s="2" t="s">
        <v>9</v>
      </c>
      <c r="H12249" s="2" t="s">
        <v>4919</v>
      </c>
    </row>
    <row r="12250" spans="1:9" x14ac:dyDescent="0.2">
      <c r="A12250" s="2" t="s">
        <v>3312</v>
      </c>
      <c r="B12250" s="2" t="s">
        <v>95</v>
      </c>
      <c r="C12250" s="2">
        <v>943.1617</v>
      </c>
      <c r="D12250" s="2">
        <f>HYPERLINK("http://mcb-m6.bioreg.kyushu-u.ac.jp/M3/20110404/F50753/2748/1", 47.01)</f>
        <v>47.01</v>
      </c>
      <c r="E12250" s="2">
        <v>37.46</v>
      </c>
      <c r="F12250" s="2">
        <v>2</v>
      </c>
      <c r="G12250" s="2" t="s">
        <v>9</v>
      </c>
    </row>
    <row r="12251" spans="1:9" x14ac:dyDescent="0.2">
      <c r="A12251" s="2" t="s">
        <v>3312</v>
      </c>
      <c r="B12251" s="2" t="s">
        <v>95</v>
      </c>
      <c r="C12251" s="2">
        <v>951.10670000000005</v>
      </c>
      <c r="D12251" s="2">
        <f>HYPERLINK("http://mcb-m6.bioreg.kyushu-u.ac.jp/M3/20110404/F50753/2769/1", 52.01)</f>
        <v>52.01</v>
      </c>
      <c r="E12251" s="2">
        <v>38.26</v>
      </c>
      <c r="F12251" s="2">
        <v>2</v>
      </c>
      <c r="G12251" s="2" t="s">
        <v>9</v>
      </c>
      <c r="H12251" s="2" t="s">
        <v>4919</v>
      </c>
    </row>
    <row r="12252" spans="1:9" x14ac:dyDescent="0.2">
      <c r="A12252" s="2" t="s">
        <v>3312</v>
      </c>
      <c r="B12252" s="2" t="s">
        <v>1036</v>
      </c>
      <c r="C12252" s="2">
        <v>723.27009999999996</v>
      </c>
      <c r="D12252" s="2">
        <f>HYPERLINK("http://mcb-m6.bioreg.kyushu-u.ac.jp/M3/20110404/F50753/1943/1", 53.69)</f>
        <v>53.69</v>
      </c>
      <c r="E12252" s="2">
        <v>37.549999999999997</v>
      </c>
      <c r="F12252" s="2">
        <v>2</v>
      </c>
      <c r="G12252" s="2" t="s">
        <v>9</v>
      </c>
    </row>
    <row r="12253" spans="1:9" x14ac:dyDescent="0.2">
      <c r="A12253" s="2" t="s">
        <v>3312</v>
      </c>
      <c r="B12253" s="2" t="s">
        <v>95</v>
      </c>
      <c r="C12253" s="2">
        <v>943.79570000000001</v>
      </c>
      <c r="D12253" s="2">
        <f>HYPERLINK("http://mcb-m6.bioreg.kyushu-u.ac.jp/M3/20110404/F50753/2752/1", 71.78)</f>
        <v>71.78</v>
      </c>
      <c r="E12253" s="2">
        <v>58.44</v>
      </c>
      <c r="F12253" s="2">
        <v>2</v>
      </c>
      <c r="G12253" s="2" t="s">
        <v>9</v>
      </c>
    </row>
    <row r="12254" spans="1:9" x14ac:dyDescent="0.2">
      <c r="A12254" s="2" t="s">
        <v>3312</v>
      </c>
      <c r="B12254" s="2" t="s">
        <v>1036</v>
      </c>
      <c r="C12254" s="2">
        <v>723.4606</v>
      </c>
      <c r="D12254" s="2">
        <f>HYPERLINK("http://mcb-m6.bioreg.kyushu-u.ac.jp/M3/20110404/F50753/1945/1", 73.77)</f>
        <v>73.77</v>
      </c>
      <c r="E12254" s="2">
        <v>58.37</v>
      </c>
      <c r="F12254" s="2">
        <v>2</v>
      </c>
      <c r="G12254" s="2" t="s">
        <v>9</v>
      </c>
    </row>
    <row r="12255" spans="1:9" x14ac:dyDescent="0.2">
      <c r="A12255" s="2" t="s">
        <v>3312</v>
      </c>
      <c r="B12255" s="2" t="s">
        <v>95</v>
      </c>
      <c r="C12255" s="2">
        <v>951.86969999999997</v>
      </c>
      <c r="D12255" s="2">
        <f>HYPERLINK("http://mcb-m6.bioreg.kyushu-u.ac.jp/M3/20110404/F50758/2583/1", 46.63)</f>
        <v>46.63</v>
      </c>
      <c r="E12255" s="2">
        <v>28.49</v>
      </c>
      <c r="F12255" s="2">
        <v>2</v>
      </c>
      <c r="G12255" s="2" t="s">
        <v>10</v>
      </c>
      <c r="H12255" s="2" t="s">
        <v>4919</v>
      </c>
    </row>
    <row r="12256" spans="1:9" x14ac:dyDescent="0.2">
      <c r="A12256" s="2" t="s">
        <v>3312</v>
      </c>
      <c r="B12256" s="2" t="s">
        <v>1036</v>
      </c>
      <c r="C12256" s="2">
        <v>1446.3889999999999</v>
      </c>
      <c r="D12256" s="2">
        <f>HYPERLINK("http://mcb-m6.bioreg.kyushu-u.ac.jp/M3/20110404/F50758/1846/1", 48.59)</f>
        <v>48.59</v>
      </c>
      <c r="E12256" s="2">
        <v>45.29</v>
      </c>
      <c r="F12256" s="2">
        <v>1</v>
      </c>
      <c r="G12256" s="2" t="s">
        <v>10</v>
      </c>
    </row>
    <row r="12257" spans="1:9" x14ac:dyDescent="0.2">
      <c r="A12257" s="2" t="s">
        <v>3312</v>
      </c>
      <c r="B12257" s="2" t="s">
        <v>1036</v>
      </c>
      <c r="C12257" s="2">
        <v>723.65809999999999</v>
      </c>
      <c r="D12257" s="2">
        <f>HYPERLINK("http://mcb-m6.bioreg.kyushu-u.ac.jp/M3/20110404/F50758/1845/1", 57.8)</f>
        <v>57.8</v>
      </c>
      <c r="E12257" s="2">
        <v>47</v>
      </c>
      <c r="F12257" s="2">
        <v>2</v>
      </c>
      <c r="G12257" s="2" t="s">
        <v>10</v>
      </c>
    </row>
    <row r="12258" spans="1:9" x14ac:dyDescent="0.2">
      <c r="A12258" s="2" t="s">
        <v>3312</v>
      </c>
      <c r="B12258" s="2" t="s">
        <v>1036</v>
      </c>
      <c r="C12258" s="2">
        <v>723.21259999999995</v>
      </c>
      <c r="D12258" s="2">
        <f>HYPERLINK("http://mcb-m6.bioreg.kyushu-u.ac.jp/M3/20110404/F50758/1843/1", 62.63)</f>
        <v>62.63</v>
      </c>
      <c r="E12258" s="2">
        <v>55.25</v>
      </c>
      <c r="F12258" s="2">
        <v>2</v>
      </c>
      <c r="G12258" s="2" t="s">
        <v>10</v>
      </c>
    </row>
    <row r="12259" spans="1:9" x14ac:dyDescent="0.2">
      <c r="A12259" s="2" t="s">
        <v>3312</v>
      </c>
      <c r="B12259" s="2" t="s">
        <v>95</v>
      </c>
      <c r="C12259" s="2">
        <v>943.1807</v>
      </c>
      <c r="D12259" s="2">
        <f>HYPERLINK("http://mcb-m6.bioreg.kyushu-u.ac.jp/M3/20110404/F50758/2561/1", 91.94)</f>
        <v>91.94</v>
      </c>
      <c r="E12259" s="2">
        <v>78.040000000000006</v>
      </c>
      <c r="F12259" s="2">
        <v>2</v>
      </c>
      <c r="G12259" s="2" t="s">
        <v>10</v>
      </c>
    </row>
    <row r="12260" spans="1:9" x14ac:dyDescent="0.2">
      <c r="A12260" s="2" t="s">
        <v>3312</v>
      </c>
      <c r="B12260" s="2" t="s">
        <v>1036</v>
      </c>
      <c r="C12260" s="2">
        <v>723.74770000000001</v>
      </c>
      <c r="D12260" s="2">
        <f>HYPERLINK("http://mcb-m6.bioreg.kyushu-u.ac.jp/M3/20110404/F50758/1847/1", 93.12)</f>
        <v>93.12</v>
      </c>
      <c r="E12260" s="2">
        <v>79.69</v>
      </c>
      <c r="F12260" s="2">
        <v>2</v>
      </c>
      <c r="G12260" s="2" t="s">
        <v>10</v>
      </c>
    </row>
    <row r="12261" spans="1:9" x14ac:dyDescent="0.2">
      <c r="A12261" s="2" t="s">
        <v>3312</v>
      </c>
      <c r="B12261" s="2" t="s">
        <v>95</v>
      </c>
      <c r="C12261" s="2">
        <v>951.66520000000003</v>
      </c>
      <c r="D12261" s="2">
        <f>HYPERLINK("http://mcb-m6.bioreg.kyushu-u.ac.jp/M3/20110421/F51017/3037/1", 44.16)</f>
        <v>44.16</v>
      </c>
      <c r="E12261" s="2">
        <v>22.98</v>
      </c>
      <c r="F12261" s="2">
        <v>2</v>
      </c>
      <c r="G12261" s="2" t="s">
        <v>11</v>
      </c>
      <c r="H12261" s="2" t="s">
        <v>4919</v>
      </c>
    </row>
    <row r="12262" spans="1:9" x14ac:dyDescent="0.2">
      <c r="A12262" s="2" t="s">
        <v>3312</v>
      </c>
      <c r="B12262" s="2" t="s">
        <v>95</v>
      </c>
      <c r="C12262" s="2">
        <v>943.66219999999998</v>
      </c>
      <c r="D12262" s="2">
        <f>HYPERLINK("http://mcb-m6.bioreg.kyushu-u.ac.jp/M3/20110421/F51017/3018/1", 75.48)</f>
        <v>75.48</v>
      </c>
      <c r="E12262" s="2">
        <v>53.48</v>
      </c>
      <c r="F12262" s="2">
        <v>2</v>
      </c>
      <c r="G12262" s="2" t="s">
        <v>11</v>
      </c>
    </row>
    <row r="12263" spans="1:9" x14ac:dyDescent="0.2">
      <c r="A12263" s="2" t="s">
        <v>3312</v>
      </c>
      <c r="B12263" s="2" t="s">
        <v>95</v>
      </c>
      <c r="C12263" s="2">
        <v>943.39760000000001</v>
      </c>
      <c r="D12263" s="2">
        <f>HYPERLINK("http://mcb-m6.bioreg.kyushu-u.ac.jp/M3/20110427/F51112/2944/1", 61.42)</f>
        <v>61.42</v>
      </c>
      <c r="E12263" s="2">
        <v>46.23</v>
      </c>
      <c r="F12263" s="2">
        <v>2</v>
      </c>
      <c r="G12263" s="2" t="s">
        <v>13</v>
      </c>
    </row>
    <row r="12264" spans="1:9" x14ac:dyDescent="0.2">
      <c r="A12264" s="2" t="s">
        <v>3312</v>
      </c>
      <c r="B12264" s="2" t="s">
        <v>95</v>
      </c>
      <c r="C12264" s="2">
        <v>943.50959999999998</v>
      </c>
      <c r="D12264" s="2">
        <f>HYPERLINK("http://mcb-m6.bioreg.kyushu-u.ac.jp/M3/20110427/F51111/2970/1", 77.15)</f>
        <v>77.150000000000006</v>
      </c>
      <c r="E12264" s="2">
        <v>57.75</v>
      </c>
      <c r="F12264" s="2">
        <v>2</v>
      </c>
      <c r="G12264" s="2" t="s">
        <v>13</v>
      </c>
    </row>
    <row r="12265" spans="1:9" x14ac:dyDescent="0.2">
      <c r="A12265" s="2" t="s">
        <v>3312</v>
      </c>
      <c r="B12265" s="2" t="s">
        <v>95</v>
      </c>
      <c r="C12265" s="2">
        <v>944.04570000000001</v>
      </c>
      <c r="D12265" s="2">
        <f>HYPERLINK("http://mcb-m6.bioreg.kyushu-u.ac.jp/M3/20110427/F51111/2971/1", 96.46)</f>
        <v>96.46</v>
      </c>
      <c r="E12265" s="2">
        <v>78.650000000000006</v>
      </c>
      <c r="F12265" s="2">
        <v>2</v>
      </c>
      <c r="G12265" s="2" t="s">
        <v>13</v>
      </c>
    </row>
    <row r="12266" spans="1:9" x14ac:dyDescent="0.2">
      <c r="A12266" s="2" t="s">
        <v>3829</v>
      </c>
      <c r="B12266" s="2" t="s">
        <v>901</v>
      </c>
      <c r="C12266" s="2">
        <v>762.15719999999999</v>
      </c>
      <c r="D12266" s="2">
        <f>HYPERLINK("http://mcb-m6.bioreg.kyushu-u.ac.jp/M3/20110428/F51131/1926/1", 71.88)</f>
        <v>71.88</v>
      </c>
      <c r="E12266" s="2">
        <v>55.89</v>
      </c>
      <c r="F12266" s="2">
        <v>2</v>
      </c>
      <c r="G12266" s="2" t="s">
        <v>13</v>
      </c>
    </row>
    <row r="12267" spans="1:9" x14ac:dyDescent="0.2">
      <c r="A12267" s="2" t="s">
        <v>3519</v>
      </c>
      <c r="B12267" s="2" t="s">
        <v>384</v>
      </c>
      <c r="C12267" s="2">
        <v>905.58900000000006</v>
      </c>
      <c r="D12267" s="2">
        <f>HYPERLINK("http://mcb-m6.bioreg.kyushu-u.ac.jp/M3/20110404/F50751/1300/1", 45.78)</f>
        <v>45.78</v>
      </c>
      <c r="E12267" s="2">
        <v>30.64</v>
      </c>
      <c r="F12267" s="2">
        <v>1</v>
      </c>
      <c r="G12267" s="2" t="s">
        <v>9</v>
      </c>
      <c r="I12267" s="2" t="s">
        <v>4892</v>
      </c>
    </row>
    <row r="12268" spans="1:9" x14ac:dyDescent="0.2">
      <c r="A12268" s="2" t="s">
        <v>3519</v>
      </c>
      <c r="B12268" s="2" t="s">
        <v>1825</v>
      </c>
      <c r="C12268" s="2">
        <v>733.74570000000006</v>
      </c>
      <c r="D12268" s="2">
        <f>HYPERLINK("http://mcb-m6.bioreg.kyushu-u.ac.jp/M3/20110404/F50752/2086/1", 61.66)</f>
        <v>61.66</v>
      </c>
      <c r="E12268" s="2">
        <v>36.380000000000003</v>
      </c>
      <c r="F12268" s="2">
        <v>2</v>
      </c>
      <c r="G12268" s="2" t="s">
        <v>9</v>
      </c>
    </row>
    <row r="12269" spans="1:9" x14ac:dyDescent="0.2">
      <c r="A12269" s="2" t="s">
        <v>3519</v>
      </c>
      <c r="B12269" s="2" t="s">
        <v>1825</v>
      </c>
      <c r="C12269" s="2">
        <v>734.15170000000001</v>
      </c>
      <c r="D12269" s="2">
        <f>HYPERLINK("http://mcb-m6.bioreg.kyushu-u.ac.jp/M3/20110404/F50753/1987/1", 67.54)</f>
        <v>67.540000000000006</v>
      </c>
      <c r="E12269" s="2">
        <v>30.12</v>
      </c>
      <c r="F12269" s="2">
        <v>2</v>
      </c>
      <c r="G12269" s="2" t="s">
        <v>9</v>
      </c>
    </row>
    <row r="12270" spans="1:9" x14ac:dyDescent="0.2">
      <c r="A12270" s="2" t="s">
        <v>3519</v>
      </c>
      <c r="B12270" s="2" t="s">
        <v>1825</v>
      </c>
      <c r="C12270" s="2">
        <v>734.3827</v>
      </c>
      <c r="D12270" s="2">
        <f>HYPERLINK("http://mcb-m6.bioreg.kyushu-u.ac.jp/M3/20110404/F50752/2089/1", 74.21)</f>
        <v>74.209999999999994</v>
      </c>
      <c r="E12270" s="2">
        <v>51.33</v>
      </c>
      <c r="F12270" s="2">
        <v>2</v>
      </c>
      <c r="G12270" s="2" t="s">
        <v>9</v>
      </c>
    </row>
    <row r="12271" spans="1:9" x14ac:dyDescent="0.2">
      <c r="A12271" s="2" t="s">
        <v>3519</v>
      </c>
      <c r="B12271" s="2" t="s">
        <v>1825</v>
      </c>
      <c r="C12271" s="2">
        <v>733.91610000000003</v>
      </c>
      <c r="D12271" s="2">
        <f>HYPERLINK("http://mcb-m6.bioreg.kyushu-u.ac.jp/M3/20110404/F50751/2099/1", 78.64)</f>
        <v>78.64</v>
      </c>
      <c r="E12271" s="2">
        <v>46.57</v>
      </c>
      <c r="F12271" s="2">
        <v>2</v>
      </c>
      <c r="G12271" s="2" t="s">
        <v>9</v>
      </c>
    </row>
    <row r="12272" spans="1:9" x14ac:dyDescent="0.2">
      <c r="A12272" s="2" t="s">
        <v>3519</v>
      </c>
      <c r="B12272" s="2" t="s">
        <v>1600</v>
      </c>
      <c r="C12272" s="2">
        <v>1068.7550000000001</v>
      </c>
      <c r="D12272" s="2">
        <f>HYPERLINK("http://mcb-m6.bioreg.kyushu-u.ac.jp/M3/20110404/F50752/2912/1", 133.37)</f>
        <v>133.37</v>
      </c>
      <c r="E12272" s="2">
        <v>111</v>
      </c>
      <c r="F12272" s="2">
        <v>2</v>
      </c>
      <c r="G12272" s="2" t="s">
        <v>9</v>
      </c>
    </row>
    <row r="12273" spans="1:9" x14ac:dyDescent="0.2">
      <c r="A12273" s="2" t="s">
        <v>3519</v>
      </c>
      <c r="B12273" s="2" t="s">
        <v>384</v>
      </c>
      <c r="C12273" s="2">
        <v>905.32</v>
      </c>
      <c r="D12273" s="2">
        <f>HYPERLINK("http://mcb-m6.bioreg.kyushu-u.ac.jp/M3/20110404/F50757/1342/1", 37.69)</f>
        <v>37.69</v>
      </c>
      <c r="E12273" s="2">
        <v>19.920000000000002</v>
      </c>
      <c r="F12273" s="2">
        <v>1</v>
      </c>
      <c r="G12273" s="2" t="s">
        <v>10</v>
      </c>
      <c r="I12273" s="2" t="s">
        <v>4892</v>
      </c>
    </row>
    <row r="12274" spans="1:9" x14ac:dyDescent="0.2">
      <c r="A12274" s="2" t="s">
        <v>3519</v>
      </c>
      <c r="B12274" s="2" t="s">
        <v>361</v>
      </c>
      <c r="C12274" s="2">
        <v>1606.559</v>
      </c>
      <c r="D12274" s="2">
        <f>HYPERLINK("http://mcb-m6.bioreg.kyushu-u.ac.jp/M3/20110404/F50757/2243/1", 42.72)</f>
        <v>42.72</v>
      </c>
      <c r="E12274" s="2">
        <v>28.13</v>
      </c>
      <c r="F12274" s="2">
        <v>1</v>
      </c>
      <c r="G12274" s="2" t="s">
        <v>10</v>
      </c>
    </row>
    <row r="12275" spans="1:9" x14ac:dyDescent="0.2">
      <c r="A12275" s="2" t="s">
        <v>3519</v>
      </c>
      <c r="B12275" s="2" t="s">
        <v>361</v>
      </c>
      <c r="C12275" s="2">
        <v>1605.4849999999999</v>
      </c>
      <c r="D12275" s="2">
        <f>HYPERLINK("http://mcb-m6.bioreg.kyushu-u.ac.jp/M3/20110404/F50757/2240/1", 45.16)</f>
        <v>45.16</v>
      </c>
      <c r="E12275" s="2">
        <v>26.09</v>
      </c>
      <c r="F12275" s="2">
        <v>1</v>
      </c>
      <c r="G12275" s="2" t="s">
        <v>10</v>
      </c>
    </row>
    <row r="12276" spans="1:9" x14ac:dyDescent="0.2">
      <c r="A12276" s="2" t="s">
        <v>3519</v>
      </c>
      <c r="B12276" s="2" t="s">
        <v>384</v>
      </c>
      <c r="C12276" s="2">
        <v>905.38800000000003</v>
      </c>
      <c r="D12276" s="2">
        <f>HYPERLINK("http://mcb-m6.bioreg.kyushu-u.ac.jp/M3/20110404/F50758/1079/1", 45.42)</f>
        <v>45.42</v>
      </c>
      <c r="E12276" s="2">
        <v>26.38</v>
      </c>
      <c r="F12276" s="2">
        <v>1</v>
      </c>
      <c r="G12276" s="2" t="s">
        <v>10</v>
      </c>
      <c r="I12276" s="2" t="s">
        <v>4892</v>
      </c>
    </row>
    <row r="12277" spans="1:9" x14ac:dyDescent="0.2">
      <c r="A12277" s="2" t="s">
        <v>3519</v>
      </c>
      <c r="B12277" s="2" t="s">
        <v>384</v>
      </c>
      <c r="C12277" s="2">
        <v>905.31700000000001</v>
      </c>
      <c r="D12277" s="2">
        <f>HYPERLINK("http://mcb-m6.bioreg.kyushu-u.ac.jp/M3/20110404/F50769/1097/1", 45.45)</f>
        <v>45.45</v>
      </c>
      <c r="E12277" s="2">
        <v>30.76</v>
      </c>
      <c r="F12277" s="2">
        <v>1</v>
      </c>
      <c r="G12277" s="2" t="s">
        <v>10</v>
      </c>
      <c r="I12277" s="2" t="s">
        <v>4892</v>
      </c>
    </row>
    <row r="12278" spans="1:9" x14ac:dyDescent="0.2">
      <c r="A12278" s="2" t="s">
        <v>3519</v>
      </c>
      <c r="B12278" s="2" t="s">
        <v>384</v>
      </c>
      <c r="C12278" s="2">
        <v>905.32500000000005</v>
      </c>
      <c r="D12278" s="2">
        <f>HYPERLINK("http://mcb-m6.bioreg.kyushu-u.ac.jp/M3/20110404/F50760/898/1", 45.46)</f>
        <v>45.46</v>
      </c>
      <c r="E12278" s="2">
        <v>29.43</v>
      </c>
      <c r="F12278" s="2">
        <v>1</v>
      </c>
      <c r="G12278" s="2" t="s">
        <v>10</v>
      </c>
      <c r="I12278" s="2" t="s">
        <v>4892</v>
      </c>
    </row>
    <row r="12279" spans="1:9" x14ac:dyDescent="0.2">
      <c r="A12279" s="2" t="s">
        <v>3519</v>
      </c>
      <c r="B12279" s="2" t="s">
        <v>384</v>
      </c>
      <c r="C12279" s="2">
        <v>905.34199999999998</v>
      </c>
      <c r="D12279" s="2">
        <f>HYPERLINK("http://mcb-m6.bioreg.kyushu-u.ac.jp/M3/20110404/F50757/1343/1", 45.55)</f>
        <v>45.55</v>
      </c>
      <c r="E12279" s="2">
        <v>30.56</v>
      </c>
      <c r="F12279" s="2">
        <v>1</v>
      </c>
      <c r="G12279" s="2" t="s">
        <v>10</v>
      </c>
      <c r="I12279" s="2" t="s">
        <v>4892</v>
      </c>
    </row>
    <row r="12280" spans="1:9" x14ac:dyDescent="0.2">
      <c r="A12280" s="2" t="s">
        <v>3519</v>
      </c>
      <c r="B12280" s="2" t="s">
        <v>384</v>
      </c>
      <c r="C12280" s="2">
        <v>453.15010000000001</v>
      </c>
      <c r="D12280" s="2">
        <f>HYPERLINK("http://mcb-m6.bioreg.kyushu-u.ac.jp/M3/20110404/F50758/1078/1", 46.35)</f>
        <v>46.35</v>
      </c>
      <c r="E12280" s="2">
        <v>28.53</v>
      </c>
      <c r="F12280" s="2">
        <v>2</v>
      </c>
      <c r="G12280" s="2" t="s">
        <v>10</v>
      </c>
      <c r="I12280" s="2" t="s">
        <v>4892</v>
      </c>
    </row>
    <row r="12281" spans="1:9" x14ac:dyDescent="0.2">
      <c r="A12281" s="2" t="s">
        <v>3519</v>
      </c>
      <c r="B12281" s="2" t="s">
        <v>384</v>
      </c>
      <c r="C12281" s="2">
        <v>453.05009999999999</v>
      </c>
      <c r="D12281" s="2">
        <f>HYPERLINK("http://mcb-m6.bioreg.kyushu-u.ac.jp/M3/20110404/F50771/856/1", 46.41)</f>
        <v>46.41</v>
      </c>
      <c r="E12281" s="2">
        <v>27.94</v>
      </c>
      <c r="F12281" s="2">
        <v>2</v>
      </c>
      <c r="G12281" s="2" t="s">
        <v>10</v>
      </c>
      <c r="I12281" s="2" t="s">
        <v>4892</v>
      </c>
    </row>
    <row r="12282" spans="1:9" x14ac:dyDescent="0.2">
      <c r="A12282" s="2" t="s">
        <v>3519</v>
      </c>
      <c r="B12282" s="2" t="s">
        <v>1825</v>
      </c>
      <c r="C12282" s="2">
        <v>1466.9659999999999</v>
      </c>
      <c r="D12282" s="2">
        <f>HYPERLINK("http://mcb-m6.bioreg.kyushu-u.ac.jp/M3/20110404/F50757/2075/1", 47.29)</f>
        <v>47.29</v>
      </c>
      <c r="E12282" s="2">
        <v>28.15</v>
      </c>
      <c r="F12282" s="2">
        <v>1</v>
      </c>
      <c r="G12282" s="2" t="s">
        <v>10</v>
      </c>
    </row>
    <row r="12283" spans="1:9" x14ac:dyDescent="0.2">
      <c r="A12283" s="2" t="s">
        <v>3519</v>
      </c>
      <c r="B12283" s="2" t="s">
        <v>361</v>
      </c>
      <c r="C12283" s="2">
        <v>803.78369999999995</v>
      </c>
      <c r="D12283" s="2">
        <f>HYPERLINK("http://mcb-m6.bioreg.kyushu-u.ac.jp/M3/20110404/F50760/2050/1", 48.22)</f>
        <v>48.22</v>
      </c>
      <c r="E12283" s="2">
        <v>14.83</v>
      </c>
      <c r="F12283" s="2">
        <v>2</v>
      </c>
      <c r="G12283" s="2" t="s">
        <v>10</v>
      </c>
    </row>
    <row r="12284" spans="1:9" x14ac:dyDescent="0.2">
      <c r="A12284" s="2" t="s">
        <v>3519</v>
      </c>
      <c r="B12284" s="2" t="s">
        <v>384</v>
      </c>
      <c r="C12284" s="2">
        <v>453.36509999999998</v>
      </c>
      <c r="D12284" s="2">
        <f>HYPERLINK("http://mcb-m6.bioreg.kyushu-u.ac.jp/M3/20110404/F50757/1345/1", 48.59)</f>
        <v>48.59</v>
      </c>
      <c r="E12284" s="2">
        <v>26.47</v>
      </c>
      <c r="F12284" s="2">
        <v>2</v>
      </c>
      <c r="G12284" s="2" t="s">
        <v>10</v>
      </c>
      <c r="I12284" s="2" t="s">
        <v>4892</v>
      </c>
    </row>
    <row r="12285" spans="1:9" x14ac:dyDescent="0.2">
      <c r="A12285" s="2" t="s">
        <v>3519</v>
      </c>
      <c r="B12285" s="2" t="s">
        <v>361</v>
      </c>
      <c r="C12285" s="2">
        <v>803.94960000000003</v>
      </c>
      <c r="D12285" s="2">
        <f>HYPERLINK("http://mcb-m6.bioreg.kyushu-u.ac.jp/M3/20110404/F50772/2193/1", 49.47)</f>
        <v>49.47</v>
      </c>
      <c r="E12285" s="2">
        <v>21.73</v>
      </c>
      <c r="F12285" s="2">
        <v>2</v>
      </c>
      <c r="G12285" s="2" t="s">
        <v>10</v>
      </c>
    </row>
    <row r="12286" spans="1:9" x14ac:dyDescent="0.2">
      <c r="A12286" s="2" t="s">
        <v>3519</v>
      </c>
      <c r="B12286" s="2" t="s">
        <v>384</v>
      </c>
      <c r="C12286" s="2">
        <v>453.32659999999998</v>
      </c>
      <c r="D12286" s="2">
        <f>HYPERLINK("http://mcb-m6.bioreg.kyushu-u.ac.jp/M3/20110404/F50772/819/1", 51)</f>
        <v>51</v>
      </c>
      <c r="E12286" s="2">
        <v>33.380000000000003</v>
      </c>
      <c r="F12286" s="2">
        <v>2</v>
      </c>
      <c r="G12286" s="2" t="s">
        <v>10</v>
      </c>
      <c r="I12286" s="2" t="s">
        <v>4892</v>
      </c>
    </row>
    <row r="12287" spans="1:9" x14ac:dyDescent="0.2">
      <c r="A12287" s="2" t="s">
        <v>3519</v>
      </c>
      <c r="B12287" s="2" t="s">
        <v>384</v>
      </c>
      <c r="C12287" s="2">
        <v>453.20409999999998</v>
      </c>
      <c r="D12287" s="2">
        <f>HYPERLINK("http://mcb-m6.bioreg.kyushu-u.ac.jp/M3/20110404/F50773/793/1", 51.33)</f>
        <v>51.33</v>
      </c>
      <c r="E12287" s="2">
        <v>27.92</v>
      </c>
      <c r="F12287" s="2">
        <v>2</v>
      </c>
      <c r="G12287" s="2" t="s">
        <v>10</v>
      </c>
      <c r="I12287" s="2" t="s">
        <v>4892</v>
      </c>
    </row>
    <row r="12288" spans="1:9" x14ac:dyDescent="0.2">
      <c r="A12288" s="2" t="s">
        <v>3519</v>
      </c>
      <c r="B12288" s="2" t="s">
        <v>361</v>
      </c>
      <c r="C12288" s="2">
        <v>803.71559999999999</v>
      </c>
      <c r="D12288" s="2">
        <f>HYPERLINK("http://mcb-m6.bioreg.kyushu-u.ac.jp/M3/20110404/F50775/2205/1", 51.44)</f>
        <v>51.44</v>
      </c>
      <c r="E12288" s="2">
        <v>23.41</v>
      </c>
      <c r="F12288" s="2">
        <v>2</v>
      </c>
      <c r="G12288" s="2" t="s">
        <v>10</v>
      </c>
    </row>
    <row r="12289" spans="1:7" x14ac:dyDescent="0.2">
      <c r="A12289" s="2" t="s">
        <v>3519</v>
      </c>
      <c r="B12289" s="2" t="s">
        <v>1825</v>
      </c>
      <c r="C12289" s="2">
        <v>1466.8579999999999</v>
      </c>
      <c r="D12289" s="2">
        <f>HYPERLINK("http://mcb-m6.bioreg.kyushu-u.ac.jp/M3/20110404/F50772/1897/1", 54.22)</f>
        <v>54.22</v>
      </c>
      <c r="E12289" s="2">
        <v>36.71</v>
      </c>
      <c r="F12289" s="2">
        <v>1</v>
      </c>
      <c r="G12289" s="2" t="s">
        <v>10</v>
      </c>
    </row>
    <row r="12290" spans="1:7" x14ac:dyDescent="0.2">
      <c r="A12290" s="2" t="s">
        <v>3519</v>
      </c>
      <c r="B12290" s="2" t="s">
        <v>1825</v>
      </c>
      <c r="C12290" s="2">
        <v>733.83920000000001</v>
      </c>
      <c r="D12290" s="2">
        <f>HYPERLINK("http://mcb-m6.bioreg.kyushu-u.ac.jp/M3/20110404/F50773/1814/1", 57.73)</f>
        <v>57.73</v>
      </c>
      <c r="E12290" s="2">
        <v>34.58</v>
      </c>
      <c r="F12290" s="2">
        <v>2</v>
      </c>
      <c r="G12290" s="2" t="s">
        <v>10</v>
      </c>
    </row>
    <row r="12291" spans="1:7" x14ac:dyDescent="0.2">
      <c r="A12291" s="2" t="s">
        <v>3519</v>
      </c>
      <c r="B12291" s="2" t="s">
        <v>1825</v>
      </c>
      <c r="C12291" s="2">
        <v>1466.597</v>
      </c>
      <c r="D12291" s="2">
        <f>HYPERLINK("http://mcb-m6.bioreg.kyushu-u.ac.jp/M3/20110404/F50758/1886/1", 59.74)</f>
        <v>59.74</v>
      </c>
      <c r="E12291" s="2">
        <v>40.6</v>
      </c>
      <c r="F12291" s="2">
        <v>1</v>
      </c>
      <c r="G12291" s="2" t="s">
        <v>10</v>
      </c>
    </row>
    <row r="12292" spans="1:7" x14ac:dyDescent="0.2">
      <c r="A12292" s="2" t="s">
        <v>3519</v>
      </c>
      <c r="B12292" s="2" t="s">
        <v>1825</v>
      </c>
      <c r="C12292" s="2">
        <v>734.23419999999999</v>
      </c>
      <c r="D12292" s="2">
        <f>HYPERLINK("http://mcb-m6.bioreg.kyushu-u.ac.jp/M3/20110404/F50770/1914/1", 62.14)</f>
        <v>62.14</v>
      </c>
      <c r="E12292" s="2">
        <v>36.630000000000003</v>
      </c>
      <c r="F12292" s="2">
        <v>2</v>
      </c>
      <c r="G12292" s="2" t="s">
        <v>10</v>
      </c>
    </row>
    <row r="12293" spans="1:7" x14ac:dyDescent="0.2">
      <c r="A12293" s="2" t="s">
        <v>3519</v>
      </c>
      <c r="B12293" s="2" t="s">
        <v>361</v>
      </c>
      <c r="C12293" s="2">
        <v>803.6182</v>
      </c>
      <c r="D12293" s="2">
        <f>HYPERLINK("http://mcb-m6.bioreg.kyushu-u.ac.jp/M3/20110404/F50773/2085/1", 63.14)</f>
        <v>63.14</v>
      </c>
      <c r="E12293" s="2">
        <v>39.93</v>
      </c>
      <c r="F12293" s="2">
        <v>2</v>
      </c>
      <c r="G12293" s="2" t="s">
        <v>10</v>
      </c>
    </row>
    <row r="12294" spans="1:7" x14ac:dyDescent="0.2">
      <c r="A12294" s="2" t="s">
        <v>3519</v>
      </c>
      <c r="B12294" s="2" t="s">
        <v>361</v>
      </c>
      <c r="C12294" s="2">
        <v>803.55470000000003</v>
      </c>
      <c r="D12294" s="2">
        <f>HYPERLINK("http://mcb-m6.bioreg.kyushu-u.ac.jp/M3/20110404/F50770/2154/1", 63.4)</f>
        <v>63.4</v>
      </c>
      <c r="E12294" s="2">
        <v>37.979999999999997</v>
      </c>
      <c r="F12294" s="2">
        <v>2</v>
      </c>
      <c r="G12294" s="2" t="s">
        <v>10</v>
      </c>
    </row>
    <row r="12295" spans="1:7" x14ac:dyDescent="0.2">
      <c r="A12295" s="2" t="s">
        <v>3519</v>
      </c>
      <c r="B12295" s="2" t="s">
        <v>1825</v>
      </c>
      <c r="C12295" s="2">
        <v>734.14170000000001</v>
      </c>
      <c r="D12295" s="2">
        <f>HYPERLINK("http://mcb-m6.bioreg.kyushu-u.ac.jp/M3/20110404/F50757/2076/1", 63.44)</f>
        <v>63.44</v>
      </c>
      <c r="E12295" s="2">
        <v>37.49</v>
      </c>
      <c r="F12295" s="2">
        <v>2</v>
      </c>
      <c r="G12295" s="2" t="s">
        <v>10</v>
      </c>
    </row>
    <row r="12296" spans="1:7" x14ac:dyDescent="0.2">
      <c r="A12296" s="2" t="s">
        <v>3519</v>
      </c>
      <c r="B12296" s="2" t="s">
        <v>1825</v>
      </c>
      <c r="C12296" s="2">
        <v>734.31460000000004</v>
      </c>
      <c r="D12296" s="2">
        <f>HYPERLINK("http://mcb-m6.bioreg.kyushu-u.ac.jp/M3/20110404/F50757/2077/1", 64.43)</f>
        <v>64.430000000000007</v>
      </c>
      <c r="E12296" s="2">
        <v>33.909999999999997</v>
      </c>
      <c r="F12296" s="2">
        <v>2</v>
      </c>
      <c r="G12296" s="2" t="s">
        <v>10</v>
      </c>
    </row>
    <row r="12297" spans="1:7" x14ac:dyDescent="0.2">
      <c r="A12297" s="2" t="s">
        <v>3519</v>
      </c>
      <c r="B12297" s="2" t="s">
        <v>1709</v>
      </c>
      <c r="C12297" s="2">
        <v>881.33810000000005</v>
      </c>
      <c r="D12297" s="2">
        <f>HYPERLINK("http://mcb-m6.bioreg.kyushu-u.ac.jp/M3/20110404/F50758/2371/1", 65.09)</f>
        <v>65.09</v>
      </c>
      <c r="E12297" s="2">
        <v>34.049999999999997</v>
      </c>
      <c r="F12297" s="2">
        <v>2</v>
      </c>
      <c r="G12297" s="2" t="s">
        <v>10</v>
      </c>
    </row>
    <row r="12298" spans="1:7" x14ac:dyDescent="0.2">
      <c r="A12298" s="2" t="s">
        <v>3519</v>
      </c>
      <c r="B12298" s="2" t="s">
        <v>1825</v>
      </c>
      <c r="C12298" s="2">
        <v>733.84519999999998</v>
      </c>
      <c r="D12298" s="2">
        <f>HYPERLINK("http://mcb-m6.bioreg.kyushu-u.ac.jp/M3/20110404/F50775/1935/1", 67.9)</f>
        <v>67.900000000000006</v>
      </c>
      <c r="E12298" s="2">
        <v>46.13</v>
      </c>
      <c r="F12298" s="2">
        <v>2</v>
      </c>
      <c r="G12298" s="2" t="s">
        <v>10</v>
      </c>
    </row>
    <row r="12299" spans="1:7" x14ac:dyDescent="0.2">
      <c r="A12299" s="2" t="s">
        <v>3519</v>
      </c>
      <c r="B12299" s="2" t="s">
        <v>361</v>
      </c>
      <c r="C12299" s="2">
        <v>803.71420000000001</v>
      </c>
      <c r="D12299" s="2">
        <f>HYPERLINK("http://mcb-m6.bioreg.kyushu-u.ac.jp/M3/20110404/F50781/1993/1", 69.55)</f>
        <v>69.55</v>
      </c>
      <c r="E12299" s="2">
        <v>52.58</v>
      </c>
      <c r="F12299" s="2">
        <v>2</v>
      </c>
      <c r="G12299" s="2" t="s">
        <v>10</v>
      </c>
    </row>
    <row r="12300" spans="1:7" x14ac:dyDescent="0.2">
      <c r="A12300" s="2" t="s">
        <v>3519</v>
      </c>
      <c r="B12300" s="2" t="s">
        <v>1709</v>
      </c>
      <c r="C12300" s="2">
        <v>881.52170000000001</v>
      </c>
      <c r="D12300" s="2">
        <f>HYPERLINK("http://mcb-m6.bioreg.kyushu-u.ac.jp/M3/20110404/F50772/2470/1", 74.11)</f>
        <v>74.11</v>
      </c>
      <c r="E12300" s="2">
        <v>56.95</v>
      </c>
      <c r="F12300" s="2">
        <v>2</v>
      </c>
      <c r="G12300" s="2" t="s">
        <v>10</v>
      </c>
    </row>
    <row r="12301" spans="1:7" x14ac:dyDescent="0.2">
      <c r="A12301" s="2" t="s">
        <v>3519</v>
      </c>
      <c r="B12301" s="2" t="s">
        <v>1825</v>
      </c>
      <c r="C12301" s="2">
        <v>733.57870000000003</v>
      </c>
      <c r="D12301" s="2">
        <f>HYPERLINK("http://mcb-m6.bioreg.kyushu-u.ac.jp/M3/20110404/F50770/1912/1", 74.62)</f>
        <v>74.62</v>
      </c>
      <c r="E12301" s="2">
        <v>46.52</v>
      </c>
      <c r="F12301" s="2">
        <v>2</v>
      </c>
      <c r="G12301" s="2" t="s">
        <v>10</v>
      </c>
    </row>
    <row r="12302" spans="1:7" x14ac:dyDescent="0.2">
      <c r="A12302" s="2" t="s">
        <v>3519</v>
      </c>
      <c r="B12302" s="2" t="s">
        <v>1709</v>
      </c>
      <c r="C12302" s="2">
        <v>881.42169999999999</v>
      </c>
      <c r="D12302" s="2">
        <f>HYPERLINK("http://mcb-m6.bioreg.kyushu-u.ac.jp/M3/20110404/F50771/2442/1", 75.72)</f>
        <v>75.72</v>
      </c>
      <c r="E12302" s="2">
        <v>61.56</v>
      </c>
      <c r="F12302" s="2">
        <v>2</v>
      </c>
      <c r="G12302" s="2" t="s">
        <v>10</v>
      </c>
    </row>
    <row r="12303" spans="1:7" x14ac:dyDescent="0.2">
      <c r="A12303" s="2" t="s">
        <v>3519</v>
      </c>
      <c r="B12303" s="2" t="s">
        <v>1825</v>
      </c>
      <c r="C12303" s="2">
        <v>733.72609999999997</v>
      </c>
      <c r="D12303" s="2">
        <f>HYPERLINK("http://mcb-m6.bioreg.kyushu-u.ac.jp/M3/20110404/F50781/1786/1", 77.35)</f>
        <v>77.349999999999994</v>
      </c>
      <c r="E12303" s="2">
        <v>44.81</v>
      </c>
      <c r="F12303" s="2">
        <v>2</v>
      </c>
      <c r="G12303" s="2" t="s">
        <v>10</v>
      </c>
    </row>
    <row r="12304" spans="1:7" x14ac:dyDescent="0.2">
      <c r="A12304" s="2" t="s">
        <v>3519</v>
      </c>
      <c r="B12304" s="2" t="s">
        <v>1825</v>
      </c>
      <c r="C12304" s="2">
        <v>734.40260000000001</v>
      </c>
      <c r="D12304" s="2">
        <f>HYPERLINK("http://mcb-m6.bioreg.kyushu-u.ac.jp/M3/20110404/F50772/1899/1", 77.35)</f>
        <v>77.349999999999994</v>
      </c>
      <c r="E12304" s="2">
        <v>46.5</v>
      </c>
      <c r="F12304" s="2">
        <v>2</v>
      </c>
      <c r="G12304" s="2" t="s">
        <v>10</v>
      </c>
    </row>
    <row r="12305" spans="1:9" x14ac:dyDescent="0.2">
      <c r="A12305" s="2" t="s">
        <v>3519</v>
      </c>
      <c r="B12305" s="2" t="s">
        <v>1825</v>
      </c>
      <c r="C12305" s="2">
        <v>733.72519999999997</v>
      </c>
      <c r="D12305" s="2">
        <f>HYPERLINK("http://mcb-m6.bioreg.kyushu-u.ac.jp/M3/20110404/F50771/1869/1", 78.22)</f>
        <v>78.22</v>
      </c>
      <c r="E12305" s="2">
        <v>52.87</v>
      </c>
      <c r="F12305" s="2">
        <v>2</v>
      </c>
      <c r="G12305" s="2" t="s">
        <v>10</v>
      </c>
    </row>
    <row r="12306" spans="1:9" x14ac:dyDescent="0.2">
      <c r="A12306" s="2" t="s">
        <v>3519</v>
      </c>
      <c r="B12306" s="2" t="s">
        <v>2034</v>
      </c>
      <c r="C12306" s="2">
        <v>1035.49</v>
      </c>
      <c r="D12306" s="2">
        <f>HYPERLINK("http://mcb-m6.bioreg.kyushu-u.ac.jp/M3/20110404/F50760/2737/1", 78.42)</f>
        <v>78.42</v>
      </c>
      <c r="E12306" s="2">
        <v>59.53</v>
      </c>
      <c r="F12306" s="2">
        <v>2</v>
      </c>
      <c r="G12306" s="2" t="s">
        <v>10</v>
      </c>
    </row>
    <row r="12307" spans="1:9" x14ac:dyDescent="0.2">
      <c r="A12307" s="2" t="s">
        <v>3519</v>
      </c>
      <c r="B12307" s="2" t="s">
        <v>1825</v>
      </c>
      <c r="C12307" s="2">
        <v>733.63760000000002</v>
      </c>
      <c r="D12307" s="2">
        <f>HYPERLINK("http://mcb-m6.bioreg.kyushu-u.ac.jp/M3/20110404/F50758/1885/1", 78.86)</f>
        <v>78.86</v>
      </c>
      <c r="E12307" s="2">
        <v>42.16</v>
      </c>
      <c r="F12307" s="2">
        <v>2</v>
      </c>
      <c r="G12307" s="2" t="s">
        <v>10</v>
      </c>
    </row>
    <row r="12308" spans="1:9" x14ac:dyDescent="0.2">
      <c r="A12308" s="2" t="s">
        <v>3519</v>
      </c>
      <c r="B12308" s="2" t="s">
        <v>1709</v>
      </c>
      <c r="C12308" s="2">
        <v>881.31119999999999</v>
      </c>
      <c r="D12308" s="2">
        <f>HYPERLINK("http://mcb-m6.bioreg.kyushu-u.ac.jp/M3/20110404/F50757/2385/1", 80.43)</f>
        <v>80.430000000000007</v>
      </c>
      <c r="E12308" s="2">
        <v>57.14</v>
      </c>
      <c r="F12308" s="2">
        <v>2</v>
      </c>
      <c r="G12308" s="2" t="s">
        <v>10</v>
      </c>
    </row>
    <row r="12309" spans="1:9" x14ac:dyDescent="0.2">
      <c r="A12309" s="2" t="s">
        <v>3519</v>
      </c>
      <c r="B12309" s="2" t="s">
        <v>1825</v>
      </c>
      <c r="C12309" s="2">
        <v>733.65620000000001</v>
      </c>
      <c r="D12309" s="2">
        <f>HYPERLINK("http://mcb-m6.bioreg.kyushu-u.ac.jp/M3/20110404/F50760/1828/1", 82.06)</f>
        <v>82.06</v>
      </c>
      <c r="E12309" s="2">
        <v>50.22</v>
      </c>
      <c r="F12309" s="2">
        <v>2</v>
      </c>
      <c r="G12309" s="2" t="s">
        <v>10</v>
      </c>
    </row>
    <row r="12310" spans="1:9" x14ac:dyDescent="0.2">
      <c r="A12310" s="2" t="s">
        <v>3519</v>
      </c>
      <c r="B12310" s="2" t="s">
        <v>1825</v>
      </c>
      <c r="C12310" s="2">
        <v>733.76459999999997</v>
      </c>
      <c r="D12310" s="2">
        <f>HYPERLINK("http://mcb-m6.bioreg.kyushu-u.ac.jp/M3/20110404/F50761/1813/1", 83.76)</f>
        <v>83.76</v>
      </c>
      <c r="E12310" s="2">
        <v>51.68</v>
      </c>
      <c r="F12310" s="2">
        <v>2</v>
      </c>
      <c r="G12310" s="2" t="s">
        <v>10</v>
      </c>
    </row>
    <row r="12311" spans="1:9" x14ac:dyDescent="0.2">
      <c r="A12311" s="2" t="s">
        <v>3519</v>
      </c>
      <c r="B12311" s="2" t="s">
        <v>384</v>
      </c>
      <c r="C12311" s="2">
        <v>905.29899999999998</v>
      </c>
      <c r="D12311" s="2">
        <f>HYPERLINK("http://mcb-m6.bioreg.kyushu-u.ac.jp/M3/20110421/F51015/1191/1", 45.42)</f>
        <v>45.42</v>
      </c>
      <c r="E12311" s="2">
        <v>30.16</v>
      </c>
      <c r="F12311" s="2">
        <v>1</v>
      </c>
      <c r="G12311" s="2" t="s">
        <v>11</v>
      </c>
      <c r="I12311" s="2" t="s">
        <v>4892</v>
      </c>
    </row>
    <row r="12312" spans="1:9" x14ac:dyDescent="0.2">
      <c r="A12312" s="2" t="s">
        <v>3519</v>
      </c>
      <c r="B12312" s="2" t="s">
        <v>361</v>
      </c>
      <c r="C12312" s="2">
        <v>803.12369999999999</v>
      </c>
      <c r="D12312" s="2">
        <f>HYPERLINK("http://mcb-m6.bioreg.kyushu-u.ac.jp/M3/20110421/F51015/2237/1", 75.82)</f>
        <v>75.819999999999993</v>
      </c>
      <c r="E12312" s="2">
        <v>43.2</v>
      </c>
      <c r="F12312" s="2">
        <v>2</v>
      </c>
      <c r="G12312" s="2" t="s">
        <v>11</v>
      </c>
    </row>
    <row r="12313" spans="1:9" x14ac:dyDescent="0.2">
      <c r="A12313" s="2" t="s">
        <v>3519</v>
      </c>
      <c r="B12313" s="2" t="s">
        <v>1825</v>
      </c>
      <c r="C12313" s="2">
        <v>733.60019999999997</v>
      </c>
      <c r="D12313" s="2">
        <f>HYPERLINK("http://mcb-m6.bioreg.kyushu-u.ac.jp/M3/20110421/F51015/2036/1", 80.17)</f>
        <v>80.17</v>
      </c>
      <c r="E12313" s="2">
        <v>54.13</v>
      </c>
      <c r="F12313" s="2">
        <v>2</v>
      </c>
      <c r="G12313" s="2" t="s">
        <v>11</v>
      </c>
    </row>
    <row r="12314" spans="1:9" x14ac:dyDescent="0.2">
      <c r="A12314" s="2" t="s">
        <v>3519</v>
      </c>
      <c r="B12314" s="2" t="s">
        <v>1825</v>
      </c>
      <c r="C12314" s="2">
        <v>734.11869999999999</v>
      </c>
      <c r="D12314" s="2">
        <f>HYPERLINK("http://mcb-m6.bioreg.kyushu-u.ac.jp/M3/20110421/F51015/2037/1", 80.62)</f>
        <v>80.62</v>
      </c>
      <c r="E12314" s="2">
        <v>41.38</v>
      </c>
      <c r="F12314" s="2">
        <v>2</v>
      </c>
      <c r="G12314" s="2" t="s">
        <v>11</v>
      </c>
    </row>
    <row r="12315" spans="1:9" x14ac:dyDescent="0.2">
      <c r="A12315" s="2" t="s">
        <v>3519</v>
      </c>
      <c r="B12315" s="2" t="s">
        <v>384</v>
      </c>
      <c r="C12315" s="2">
        <v>905.46400000000006</v>
      </c>
      <c r="D12315" s="2">
        <f>HYPERLINK("http://mcb-m6.bioreg.kyushu-u.ac.jp/M3/20110421/F51050/881/1", 35.33)</f>
        <v>35.33</v>
      </c>
      <c r="E12315" s="2">
        <v>26.36</v>
      </c>
      <c r="F12315" s="2">
        <v>1</v>
      </c>
      <c r="G12315" s="2" t="s">
        <v>12</v>
      </c>
      <c r="I12315" s="2" t="s">
        <v>4892</v>
      </c>
    </row>
    <row r="12316" spans="1:9" x14ac:dyDescent="0.2">
      <c r="A12316" s="2" t="s">
        <v>3519</v>
      </c>
      <c r="B12316" s="2" t="s">
        <v>361</v>
      </c>
      <c r="C12316" s="2">
        <v>803.80319999999995</v>
      </c>
      <c r="D12316" s="2">
        <f>HYPERLINK("http://mcb-m6.bioreg.kyushu-u.ac.jp/M3/20110421/F51044/2361/1", 35.43)</f>
        <v>35.43</v>
      </c>
      <c r="E12316" s="2">
        <v>21.77</v>
      </c>
      <c r="F12316" s="2">
        <v>2</v>
      </c>
      <c r="G12316" s="2" t="s">
        <v>12</v>
      </c>
    </row>
    <row r="12317" spans="1:9" x14ac:dyDescent="0.2">
      <c r="A12317" s="2" t="s">
        <v>3519</v>
      </c>
      <c r="B12317" s="2" t="s">
        <v>361</v>
      </c>
      <c r="C12317" s="2">
        <v>803.26319999999998</v>
      </c>
      <c r="D12317" s="2">
        <f>HYPERLINK("http://mcb-m6.bioreg.kyushu-u.ac.jp/M3/20110421/F51045/2421/1", 37.2)</f>
        <v>37.200000000000003</v>
      </c>
      <c r="E12317" s="2">
        <v>21.34</v>
      </c>
      <c r="F12317" s="2">
        <v>2</v>
      </c>
      <c r="G12317" s="2" t="s">
        <v>12</v>
      </c>
    </row>
    <row r="12318" spans="1:9" x14ac:dyDescent="0.2">
      <c r="A12318" s="2" t="s">
        <v>3519</v>
      </c>
      <c r="B12318" s="2" t="s">
        <v>384</v>
      </c>
      <c r="C12318" s="2">
        <v>905.39099999999996</v>
      </c>
      <c r="D12318" s="2">
        <f>HYPERLINK("http://mcb-m6.bioreg.kyushu-u.ac.jp/M3/20110421/F51061/693/1", 37.43)</f>
        <v>37.43</v>
      </c>
      <c r="E12318" s="2">
        <v>26.95</v>
      </c>
      <c r="F12318" s="2">
        <v>1</v>
      </c>
      <c r="G12318" s="2" t="s">
        <v>12</v>
      </c>
      <c r="I12318" s="2" t="s">
        <v>4892</v>
      </c>
    </row>
    <row r="12319" spans="1:9" x14ac:dyDescent="0.2">
      <c r="A12319" s="2" t="s">
        <v>3519</v>
      </c>
      <c r="B12319" s="2" t="s">
        <v>384</v>
      </c>
      <c r="C12319" s="2">
        <v>453.12009999999998</v>
      </c>
      <c r="D12319" s="2">
        <f>HYPERLINK("http://mcb-m6.bioreg.kyushu-u.ac.jp/M3/20110421/F51022/1524/1", 39.86)</f>
        <v>39.86</v>
      </c>
      <c r="E12319" s="2">
        <v>20.329999999999998</v>
      </c>
      <c r="F12319" s="2">
        <v>2</v>
      </c>
      <c r="G12319" s="2" t="s">
        <v>12</v>
      </c>
      <c r="I12319" s="2" t="s">
        <v>4892</v>
      </c>
    </row>
    <row r="12320" spans="1:9" x14ac:dyDescent="0.2">
      <c r="A12320" s="2" t="s">
        <v>3519</v>
      </c>
      <c r="B12320" s="2" t="s">
        <v>384</v>
      </c>
      <c r="C12320" s="2">
        <v>453.24560000000002</v>
      </c>
      <c r="D12320" s="2">
        <f>HYPERLINK("http://mcb-m6.bioreg.kyushu-u.ac.jp/M3/20110421/F51023/1047/1", 40.92)</f>
        <v>40.92</v>
      </c>
      <c r="E12320" s="2">
        <v>14.68</v>
      </c>
      <c r="F12320" s="2">
        <v>2</v>
      </c>
      <c r="G12320" s="2" t="s">
        <v>12</v>
      </c>
      <c r="I12320" s="2" t="s">
        <v>4892</v>
      </c>
    </row>
    <row r="12321" spans="1:9" x14ac:dyDescent="0.2">
      <c r="A12321" s="2" t="s">
        <v>3519</v>
      </c>
      <c r="B12321" s="2" t="s">
        <v>384</v>
      </c>
      <c r="C12321" s="2">
        <v>453.42360000000002</v>
      </c>
      <c r="D12321" s="2">
        <f>HYPERLINK("http://mcb-m6.bioreg.kyushu-u.ac.jp/M3/20110421/F51061/696/1", 42)</f>
        <v>42</v>
      </c>
      <c r="E12321" s="2">
        <v>24.96</v>
      </c>
      <c r="F12321" s="2">
        <v>2</v>
      </c>
      <c r="G12321" s="2" t="s">
        <v>12</v>
      </c>
      <c r="I12321" s="2" t="s">
        <v>4892</v>
      </c>
    </row>
    <row r="12322" spans="1:9" x14ac:dyDescent="0.2">
      <c r="A12322" s="2" t="s">
        <v>3519</v>
      </c>
      <c r="B12322" s="2" t="s">
        <v>361</v>
      </c>
      <c r="C12322" s="2">
        <v>1606.6759999999999</v>
      </c>
      <c r="D12322" s="2">
        <f>HYPERLINK("http://mcb-m6.bioreg.kyushu-u.ac.jp/M3/20110421/F51061/2240/1", 43.35)</f>
        <v>43.35</v>
      </c>
      <c r="E12322" s="2">
        <v>33.94</v>
      </c>
      <c r="F12322" s="2">
        <v>1</v>
      </c>
      <c r="G12322" s="2" t="s">
        <v>12</v>
      </c>
    </row>
    <row r="12323" spans="1:9" x14ac:dyDescent="0.2">
      <c r="A12323" s="2" t="s">
        <v>3519</v>
      </c>
      <c r="B12323" s="2" t="s">
        <v>1825</v>
      </c>
      <c r="C12323" s="2">
        <v>489.93450000000001</v>
      </c>
      <c r="D12323" s="2">
        <f>HYPERLINK("http://mcb-m6.bioreg.kyushu-u.ac.jp/M3/20110421/F51021/2037/1", 43.45)</f>
        <v>43.45</v>
      </c>
      <c r="E12323" s="2">
        <v>16.2</v>
      </c>
      <c r="F12323" s="2">
        <v>3</v>
      </c>
      <c r="G12323" s="2" t="s">
        <v>12</v>
      </c>
    </row>
    <row r="12324" spans="1:9" x14ac:dyDescent="0.2">
      <c r="A12324" s="2" t="s">
        <v>3519</v>
      </c>
      <c r="B12324" s="2" t="s">
        <v>384</v>
      </c>
      <c r="C12324" s="2">
        <v>905.38800000000003</v>
      </c>
      <c r="D12324" s="2">
        <f>HYPERLINK("http://mcb-m6.bioreg.kyushu-u.ac.jp/M3/20110421/F51024/947/1", 43.92)</f>
        <v>43.92</v>
      </c>
      <c r="E12324" s="2">
        <v>25.95</v>
      </c>
      <c r="F12324" s="2">
        <v>1</v>
      </c>
      <c r="G12324" s="2" t="s">
        <v>12</v>
      </c>
      <c r="I12324" s="2" t="s">
        <v>4892</v>
      </c>
    </row>
    <row r="12325" spans="1:9" x14ac:dyDescent="0.2">
      <c r="A12325" s="2" t="s">
        <v>3519</v>
      </c>
      <c r="B12325" s="2" t="s">
        <v>384</v>
      </c>
      <c r="C12325" s="2">
        <v>905.30700000000002</v>
      </c>
      <c r="D12325" s="2">
        <f>HYPERLINK("http://mcb-m6.bioreg.kyushu-u.ac.jp/M3/20110421/F51022/1525/1", 43.94)</f>
        <v>43.94</v>
      </c>
      <c r="E12325" s="2">
        <v>29.11</v>
      </c>
      <c r="F12325" s="2">
        <v>1</v>
      </c>
      <c r="G12325" s="2" t="s">
        <v>12</v>
      </c>
      <c r="I12325" s="2" t="s">
        <v>4892</v>
      </c>
    </row>
    <row r="12326" spans="1:9" x14ac:dyDescent="0.2">
      <c r="A12326" s="2" t="s">
        <v>3519</v>
      </c>
      <c r="B12326" s="2" t="s">
        <v>384</v>
      </c>
      <c r="C12326" s="2">
        <v>905.52499999999998</v>
      </c>
      <c r="D12326" s="2">
        <f>HYPERLINK("http://mcb-m6.bioreg.kyushu-u.ac.jp/M3/20110421/F51048/809/1", 44.43)</f>
        <v>44.43</v>
      </c>
      <c r="E12326" s="2">
        <v>32.25</v>
      </c>
      <c r="F12326" s="2">
        <v>1</v>
      </c>
      <c r="G12326" s="2" t="s">
        <v>12</v>
      </c>
      <c r="I12326" s="2" t="s">
        <v>4892</v>
      </c>
    </row>
    <row r="12327" spans="1:9" x14ac:dyDescent="0.2">
      <c r="A12327" s="2" t="s">
        <v>3519</v>
      </c>
      <c r="B12327" s="2" t="s">
        <v>361</v>
      </c>
      <c r="C12327" s="2">
        <v>1605.69</v>
      </c>
      <c r="D12327" s="2">
        <f>HYPERLINK("http://mcb-m6.bioreg.kyushu-u.ac.jp/M3/20110421/F51061/2236/1", 44.57)</f>
        <v>44.57</v>
      </c>
      <c r="E12327" s="2">
        <v>27.14</v>
      </c>
      <c r="F12327" s="2">
        <v>1</v>
      </c>
      <c r="G12327" s="2" t="s">
        <v>12</v>
      </c>
    </row>
    <row r="12328" spans="1:9" x14ac:dyDescent="0.2">
      <c r="A12328" s="2" t="s">
        <v>3519</v>
      </c>
      <c r="B12328" s="2" t="s">
        <v>1825</v>
      </c>
      <c r="C12328" s="2">
        <v>733.83669999999995</v>
      </c>
      <c r="D12328" s="2">
        <f>HYPERLINK("http://mcb-m6.bioreg.kyushu-u.ac.jp/M3/20110421/F51045/2143/1", 45.11)</f>
        <v>45.11</v>
      </c>
      <c r="E12328" s="2">
        <v>29.47</v>
      </c>
      <c r="F12328" s="2">
        <v>2</v>
      </c>
      <c r="G12328" s="2" t="s">
        <v>12</v>
      </c>
    </row>
    <row r="12329" spans="1:9" x14ac:dyDescent="0.2">
      <c r="A12329" s="2" t="s">
        <v>3519</v>
      </c>
      <c r="B12329" s="2" t="s">
        <v>1825</v>
      </c>
      <c r="C12329" s="2">
        <v>734.40219999999999</v>
      </c>
      <c r="D12329" s="2">
        <f>HYPERLINK("http://mcb-m6.bioreg.kyushu-u.ac.jp/M3/20110421/F51050/2120/1", 45.36)</f>
        <v>45.36</v>
      </c>
      <c r="E12329" s="2">
        <v>21.5</v>
      </c>
      <c r="F12329" s="2">
        <v>2</v>
      </c>
      <c r="G12329" s="2" t="s">
        <v>12</v>
      </c>
    </row>
    <row r="12330" spans="1:9" x14ac:dyDescent="0.2">
      <c r="A12330" s="2" t="s">
        <v>3519</v>
      </c>
      <c r="B12330" s="2" t="s">
        <v>384</v>
      </c>
      <c r="C12330" s="2">
        <v>905.58799999999997</v>
      </c>
      <c r="D12330" s="2">
        <f>HYPERLINK("http://mcb-m6.bioreg.kyushu-u.ac.jp/M3/20110421/F51045/918/1", 45.4)</f>
        <v>45.4</v>
      </c>
      <c r="E12330" s="2">
        <v>30.47</v>
      </c>
      <c r="F12330" s="2">
        <v>1</v>
      </c>
      <c r="G12330" s="2" t="s">
        <v>12</v>
      </c>
      <c r="I12330" s="2" t="s">
        <v>4892</v>
      </c>
    </row>
    <row r="12331" spans="1:9" x14ac:dyDescent="0.2">
      <c r="A12331" s="2" t="s">
        <v>3519</v>
      </c>
      <c r="B12331" s="2" t="s">
        <v>384</v>
      </c>
      <c r="C12331" s="2">
        <v>905.22299999999996</v>
      </c>
      <c r="D12331" s="2">
        <f>HYPERLINK("http://mcb-m6.bioreg.kyushu-u.ac.jp/M3/20110421/F51021/618/1", 45.41)</f>
        <v>45.41</v>
      </c>
      <c r="E12331" s="2">
        <v>29.8</v>
      </c>
      <c r="F12331" s="2">
        <v>1</v>
      </c>
      <c r="G12331" s="2" t="s">
        <v>12</v>
      </c>
      <c r="I12331" s="2" t="s">
        <v>4892</v>
      </c>
    </row>
    <row r="12332" spans="1:9" x14ac:dyDescent="0.2">
      <c r="A12332" s="2" t="s">
        <v>3519</v>
      </c>
      <c r="B12332" s="2" t="s">
        <v>384</v>
      </c>
      <c r="C12332" s="2">
        <v>905.21600000000001</v>
      </c>
      <c r="D12332" s="2">
        <f>HYPERLINK("http://mcb-m6.bioreg.kyushu-u.ac.jp/M3/20110421/F51023/1044/1", 45.5)</f>
        <v>45.5</v>
      </c>
      <c r="E12332" s="2">
        <v>33.659999999999997</v>
      </c>
      <c r="F12332" s="2">
        <v>1</v>
      </c>
      <c r="G12332" s="2" t="s">
        <v>12</v>
      </c>
      <c r="I12332" s="2" t="s">
        <v>4892</v>
      </c>
    </row>
    <row r="12333" spans="1:9" x14ac:dyDescent="0.2">
      <c r="A12333" s="2" t="s">
        <v>3519</v>
      </c>
      <c r="B12333" s="2" t="s">
        <v>361</v>
      </c>
      <c r="C12333" s="2">
        <v>803.74869999999999</v>
      </c>
      <c r="D12333" s="2">
        <f>HYPERLINK("http://mcb-m6.bioreg.kyushu-u.ac.jp/M3/20110421/F51061/2239/1", 53.78)</f>
        <v>53.78</v>
      </c>
      <c r="E12333" s="2">
        <v>33.85</v>
      </c>
      <c r="F12333" s="2">
        <v>2</v>
      </c>
      <c r="G12333" s="2" t="s">
        <v>12</v>
      </c>
    </row>
    <row r="12334" spans="1:9" x14ac:dyDescent="0.2">
      <c r="A12334" s="2" t="s">
        <v>3519</v>
      </c>
      <c r="B12334" s="2" t="s">
        <v>1600</v>
      </c>
      <c r="C12334" s="2">
        <v>712.8442</v>
      </c>
      <c r="D12334" s="2">
        <f>HYPERLINK("http://mcb-m6.bioreg.kyushu-u.ac.jp/M3/20110421/F51061/2865/1", 54.1)</f>
        <v>54.1</v>
      </c>
      <c r="E12334" s="2">
        <v>25.08</v>
      </c>
      <c r="F12334" s="2">
        <v>3</v>
      </c>
      <c r="G12334" s="2" t="s">
        <v>12</v>
      </c>
    </row>
    <row r="12335" spans="1:9" x14ac:dyDescent="0.2">
      <c r="A12335" s="2" t="s">
        <v>3519</v>
      </c>
      <c r="B12335" s="2" t="s">
        <v>361</v>
      </c>
      <c r="C12335" s="2">
        <v>803.61969999999997</v>
      </c>
      <c r="D12335" s="2">
        <f>HYPERLINK("http://mcb-m6.bioreg.kyushu-u.ac.jp/M3/20110421/F51061/2237/1", 54.4)</f>
        <v>54.4</v>
      </c>
      <c r="E12335" s="2">
        <v>39.36</v>
      </c>
      <c r="F12335" s="2">
        <v>2</v>
      </c>
      <c r="G12335" s="2" t="s">
        <v>12</v>
      </c>
    </row>
    <row r="12336" spans="1:9" x14ac:dyDescent="0.2">
      <c r="A12336" s="2" t="s">
        <v>3519</v>
      </c>
      <c r="B12336" s="2" t="s">
        <v>2123</v>
      </c>
      <c r="C12336" s="2">
        <v>1005.341</v>
      </c>
      <c r="D12336" s="2">
        <f>HYPERLINK("http://mcb-m6.bioreg.kyushu-u.ac.jp/M3/20110421/F51021/4219/1", 56.89)</f>
        <v>56.89</v>
      </c>
      <c r="E12336" s="2">
        <v>43.75</v>
      </c>
      <c r="F12336" s="2">
        <v>3</v>
      </c>
      <c r="G12336" s="2" t="s">
        <v>12</v>
      </c>
      <c r="H12336" s="2" t="s">
        <v>4901</v>
      </c>
    </row>
    <row r="12337" spans="1:9" x14ac:dyDescent="0.2">
      <c r="A12337" s="2" t="s">
        <v>3519</v>
      </c>
      <c r="B12337" s="2" t="s">
        <v>1818</v>
      </c>
      <c r="C12337" s="2">
        <v>798.34220000000005</v>
      </c>
      <c r="D12337" s="2">
        <f>HYPERLINK("http://mcb-m6.bioreg.kyushu-u.ac.jp/M3/20110421/F51048/2503/1", 59.12)</f>
        <v>59.12</v>
      </c>
      <c r="E12337" s="2">
        <v>45.78</v>
      </c>
      <c r="F12337" s="2">
        <v>2</v>
      </c>
      <c r="G12337" s="2" t="s">
        <v>12</v>
      </c>
    </row>
    <row r="12338" spans="1:9" x14ac:dyDescent="0.2">
      <c r="A12338" s="2" t="s">
        <v>3519</v>
      </c>
      <c r="B12338" s="2" t="s">
        <v>1825</v>
      </c>
      <c r="C12338" s="2">
        <v>734.29909999999995</v>
      </c>
      <c r="D12338" s="2">
        <f>HYPERLINK("http://mcb-m6.bioreg.kyushu-u.ac.jp/M3/20110421/F51061/1935/1", 59.53)</f>
        <v>59.53</v>
      </c>
      <c r="E12338" s="2">
        <v>38.83</v>
      </c>
      <c r="F12338" s="2">
        <v>2</v>
      </c>
      <c r="G12338" s="2" t="s">
        <v>12</v>
      </c>
    </row>
    <row r="12339" spans="1:9" x14ac:dyDescent="0.2">
      <c r="A12339" s="2" t="s">
        <v>3519</v>
      </c>
      <c r="B12339" s="2" t="s">
        <v>1763</v>
      </c>
      <c r="C12339" s="2">
        <v>626.14070000000004</v>
      </c>
      <c r="D12339" s="2">
        <f>HYPERLINK("http://mcb-m6.bioreg.kyushu-u.ac.jp/M3/20110421/F51021/1448/1", 59.87)</f>
        <v>59.87</v>
      </c>
      <c r="E12339" s="2">
        <v>35.56</v>
      </c>
      <c r="F12339" s="2">
        <v>2</v>
      </c>
      <c r="G12339" s="2" t="s">
        <v>12</v>
      </c>
      <c r="I12339" s="2" t="s">
        <v>4903</v>
      </c>
    </row>
    <row r="12340" spans="1:9" x14ac:dyDescent="0.2">
      <c r="A12340" s="2" t="s">
        <v>3519</v>
      </c>
      <c r="B12340" s="2" t="s">
        <v>361</v>
      </c>
      <c r="C12340" s="2">
        <v>803.86659999999995</v>
      </c>
      <c r="D12340" s="2">
        <f>HYPERLINK("http://mcb-m6.bioreg.kyushu-u.ac.jp/M3/20110421/F51023/2367/1", 60.36)</f>
        <v>60.36</v>
      </c>
      <c r="E12340" s="2">
        <v>34.159999999999997</v>
      </c>
      <c r="F12340" s="2">
        <v>2</v>
      </c>
      <c r="G12340" s="2" t="s">
        <v>12</v>
      </c>
    </row>
    <row r="12341" spans="1:9" x14ac:dyDescent="0.2">
      <c r="A12341" s="2" t="s">
        <v>3519</v>
      </c>
      <c r="B12341" s="2" t="s">
        <v>1825</v>
      </c>
      <c r="C12341" s="2">
        <v>733.94619999999998</v>
      </c>
      <c r="D12341" s="2">
        <f>HYPERLINK("http://mcb-m6.bioreg.kyushu-u.ac.jp/M3/20110421/F51048/2159/1", 62.85)</f>
        <v>62.85</v>
      </c>
      <c r="E12341" s="2">
        <v>42.05</v>
      </c>
      <c r="F12341" s="2">
        <v>2</v>
      </c>
      <c r="G12341" s="2" t="s">
        <v>12</v>
      </c>
    </row>
    <row r="12342" spans="1:9" x14ac:dyDescent="0.2">
      <c r="A12342" s="2" t="s">
        <v>3519</v>
      </c>
      <c r="B12342" s="2" t="s">
        <v>1825</v>
      </c>
      <c r="C12342" s="2">
        <v>733.84270000000004</v>
      </c>
      <c r="D12342" s="2">
        <f>HYPERLINK("http://mcb-m6.bioreg.kyushu-u.ac.jp/M3/20110421/F51059/1770/1", 63.61)</f>
        <v>63.61</v>
      </c>
      <c r="E12342" s="2">
        <v>38.520000000000003</v>
      </c>
      <c r="F12342" s="2">
        <v>2</v>
      </c>
      <c r="G12342" s="2" t="s">
        <v>12</v>
      </c>
    </row>
    <row r="12343" spans="1:9" x14ac:dyDescent="0.2">
      <c r="A12343" s="2" t="s">
        <v>3519</v>
      </c>
      <c r="B12343" s="2" t="s">
        <v>1825</v>
      </c>
      <c r="C12343" s="2">
        <v>734.3492</v>
      </c>
      <c r="D12343" s="2">
        <f>HYPERLINK("http://mcb-m6.bioreg.kyushu-u.ac.jp/M3/20110421/F51061/1936/1", 68.93)</f>
        <v>68.930000000000007</v>
      </c>
      <c r="E12343" s="2">
        <v>44.61</v>
      </c>
      <c r="F12343" s="2">
        <v>2</v>
      </c>
      <c r="G12343" s="2" t="s">
        <v>12</v>
      </c>
    </row>
    <row r="12344" spans="1:9" x14ac:dyDescent="0.2">
      <c r="A12344" s="2" t="s">
        <v>3519</v>
      </c>
      <c r="B12344" s="2" t="s">
        <v>361</v>
      </c>
      <c r="C12344" s="2">
        <v>803.67719999999997</v>
      </c>
      <c r="D12344" s="2">
        <f>HYPERLINK("http://mcb-m6.bioreg.kyushu-u.ac.jp/M3/20110421/F51024/2400/1", 69.47)</f>
        <v>69.47</v>
      </c>
      <c r="E12344" s="2">
        <v>43.37</v>
      </c>
      <c r="F12344" s="2">
        <v>2</v>
      </c>
      <c r="G12344" s="2" t="s">
        <v>12</v>
      </c>
    </row>
    <row r="12345" spans="1:9" x14ac:dyDescent="0.2">
      <c r="A12345" s="2" t="s">
        <v>3519</v>
      </c>
      <c r="B12345" s="2" t="s">
        <v>1825</v>
      </c>
      <c r="C12345" s="2">
        <v>733.84469999999999</v>
      </c>
      <c r="D12345" s="2">
        <f>HYPERLINK("http://mcb-m6.bioreg.kyushu-u.ac.jp/M3/20110421/F51061/1932/1", 71.77)</f>
        <v>71.77</v>
      </c>
      <c r="E12345" s="2">
        <v>29.46</v>
      </c>
      <c r="F12345" s="2">
        <v>2</v>
      </c>
      <c r="G12345" s="2" t="s">
        <v>12</v>
      </c>
    </row>
    <row r="12346" spans="1:9" x14ac:dyDescent="0.2">
      <c r="A12346" s="2" t="s">
        <v>3519</v>
      </c>
      <c r="B12346" s="2" t="s">
        <v>1825</v>
      </c>
      <c r="C12346" s="2">
        <v>733.96510000000001</v>
      </c>
      <c r="D12346" s="2">
        <f>HYPERLINK("http://mcb-m6.bioreg.kyushu-u.ac.jp/M3/20110421/F51047/2111/1", 74.49)</f>
        <v>74.489999999999995</v>
      </c>
      <c r="E12346" s="2">
        <v>43.66</v>
      </c>
      <c r="F12346" s="2">
        <v>2</v>
      </c>
      <c r="G12346" s="2" t="s">
        <v>12</v>
      </c>
    </row>
    <row r="12347" spans="1:9" x14ac:dyDescent="0.2">
      <c r="A12347" s="2" t="s">
        <v>3519</v>
      </c>
      <c r="B12347" s="2" t="s">
        <v>1825</v>
      </c>
      <c r="C12347" s="2">
        <v>733.60860000000002</v>
      </c>
      <c r="D12347" s="2">
        <f>HYPERLINK("http://mcb-m6.bioreg.kyushu-u.ac.jp/M3/20110421/F51021/2035/1", 75.03)</f>
        <v>75.03</v>
      </c>
      <c r="E12347" s="2">
        <v>40.72</v>
      </c>
      <c r="F12347" s="2">
        <v>2</v>
      </c>
      <c r="G12347" s="2" t="s">
        <v>12</v>
      </c>
    </row>
    <row r="12348" spans="1:9" x14ac:dyDescent="0.2">
      <c r="A12348" s="2" t="s">
        <v>3519</v>
      </c>
      <c r="B12348" s="2" t="s">
        <v>361</v>
      </c>
      <c r="C12348" s="2">
        <v>803.1241</v>
      </c>
      <c r="D12348" s="2">
        <f>HYPERLINK("http://mcb-m6.bioreg.kyushu-u.ac.jp/M3/20110421/F51024/2398/1", 77.41)</f>
        <v>77.41</v>
      </c>
      <c r="E12348" s="2">
        <v>49.42</v>
      </c>
      <c r="F12348" s="2">
        <v>2</v>
      </c>
      <c r="G12348" s="2" t="s">
        <v>12</v>
      </c>
    </row>
    <row r="12349" spans="1:9" x14ac:dyDescent="0.2">
      <c r="A12349" s="2" t="s">
        <v>3519</v>
      </c>
      <c r="B12349" s="2" t="s">
        <v>2123</v>
      </c>
      <c r="C12349" s="2">
        <v>1499.549</v>
      </c>
      <c r="D12349" s="2">
        <f>HYPERLINK("http://mcb-m6.bioreg.kyushu-u.ac.jp/M3/20110421/F51061/3184/1", 77.48)</f>
        <v>77.48</v>
      </c>
      <c r="E12349" s="2">
        <v>66.709999999999994</v>
      </c>
      <c r="F12349" s="2">
        <v>2</v>
      </c>
      <c r="G12349" s="2" t="s">
        <v>12</v>
      </c>
    </row>
    <row r="12350" spans="1:9" x14ac:dyDescent="0.2">
      <c r="A12350" s="2" t="s">
        <v>3519</v>
      </c>
      <c r="B12350" s="2" t="s">
        <v>1709</v>
      </c>
      <c r="C12350" s="2">
        <v>881.19320000000005</v>
      </c>
      <c r="D12350" s="2">
        <f>HYPERLINK("http://mcb-m6.bioreg.kyushu-u.ac.jp/M3/20110421/F51021/2829/1", 78.19)</f>
        <v>78.19</v>
      </c>
      <c r="E12350" s="2">
        <v>51.64</v>
      </c>
      <c r="F12350" s="2">
        <v>2</v>
      </c>
      <c r="G12350" s="2" t="s">
        <v>12</v>
      </c>
    </row>
    <row r="12351" spans="1:9" x14ac:dyDescent="0.2">
      <c r="A12351" s="2" t="s">
        <v>3519</v>
      </c>
      <c r="B12351" s="2" t="s">
        <v>1825</v>
      </c>
      <c r="C12351" s="2">
        <v>733.73659999999995</v>
      </c>
      <c r="D12351" s="2">
        <f>HYPERLINK("http://mcb-m6.bioreg.kyushu-u.ac.jp/M3/20110421/F51023/2069/1", 78.76)</f>
        <v>78.760000000000005</v>
      </c>
      <c r="E12351" s="2">
        <v>46.13</v>
      </c>
      <c r="F12351" s="2">
        <v>2</v>
      </c>
      <c r="G12351" s="2" t="s">
        <v>12</v>
      </c>
    </row>
    <row r="12352" spans="1:9" x14ac:dyDescent="0.2">
      <c r="A12352" s="2" t="s">
        <v>3519</v>
      </c>
      <c r="B12352" s="2" t="s">
        <v>1825</v>
      </c>
      <c r="C12352" s="2">
        <v>733.85310000000004</v>
      </c>
      <c r="D12352" s="2">
        <f>HYPERLINK("http://mcb-m6.bioreg.kyushu-u.ac.jp/M3/20110421/F51061/1933/1", 79.71)</f>
        <v>79.709999999999994</v>
      </c>
      <c r="E12352" s="2">
        <v>45.02</v>
      </c>
      <c r="F12352" s="2">
        <v>2</v>
      </c>
      <c r="G12352" s="2" t="s">
        <v>12</v>
      </c>
    </row>
    <row r="12353" spans="1:9" x14ac:dyDescent="0.2">
      <c r="A12353" s="2" t="s">
        <v>3519</v>
      </c>
      <c r="B12353" s="2" t="s">
        <v>1825</v>
      </c>
      <c r="C12353" s="2">
        <v>733.72220000000004</v>
      </c>
      <c r="D12353" s="2">
        <f>HYPERLINK("http://mcb-m6.bioreg.kyushu-u.ac.jp/M3/20110421/F51024/2112/1", 79.72)</f>
        <v>79.72</v>
      </c>
      <c r="E12353" s="2">
        <v>45.65</v>
      </c>
      <c r="F12353" s="2">
        <v>2</v>
      </c>
      <c r="G12353" s="2" t="s">
        <v>12</v>
      </c>
    </row>
    <row r="12354" spans="1:9" x14ac:dyDescent="0.2">
      <c r="A12354" s="2" t="s">
        <v>3519</v>
      </c>
      <c r="B12354" s="2" t="s">
        <v>1818</v>
      </c>
      <c r="C12354" s="2">
        <v>797.81460000000004</v>
      </c>
      <c r="D12354" s="2">
        <f>HYPERLINK("http://mcb-m6.bioreg.kyushu-u.ac.jp/M3/20110421/F51021/2398/1", 80.91)</f>
        <v>80.91</v>
      </c>
      <c r="E12354" s="2">
        <v>56.51</v>
      </c>
      <c r="F12354" s="2">
        <v>2</v>
      </c>
      <c r="G12354" s="2" t="s">
        <v>12</v>
      </c>
    </row>
    <row r="12355" spans="1:9" x14ac:dyDescent="0.2">
      <c r="A12355" s="2" t="s">
        <v>3519</v>
      </c>
      <c r="B12355" s="2" t="s">
        <v>2034</v>
      </c>
      <c r="C12355" s="2">
        <v>1035.8910000000001</v>
      </c>
      <c r="D12355" s="2">
        <f>HYPERLINK("http://mcb-m6.bioreg.kyushu-u.ac.jp/M3/20110421/F51021/3454/1", 81.04)</f>
        <v>81.040000000000006</v>
      </c>
      <c r="E12355" s="2">
        <v>55.11</v>
      </c>
      <c r="F12355" s="2">
        <v>2</v>
      </c>
      <c r="G12355" s="2" t="s">
        <v>12</v>
      </c>
    </row>
    <row r="12356" spans="1:9" x14ac:dyDescent="0.2">
      <c r="A12356" s="2" t="s">
        <v>3519</v>
      </c>
      <c r="B12356" s="2" t="s">
        <v>361</v>
      </c>
      <c r="C12356" s="2">
        <v>803.16219999999998</v>
      </c>
      <c r="D12356" s="2">
        <f>HYPERLINK("http://mcb-m6.bioreg.kyushu-u.ac.jp/M3/20110421/F51021/2440/1", 81.52)</f>
        <v>81.52</v>
      </c>
      <c r="E12356" s="2">
        <v>41.41</v>
      </c>
      <c r="F12356" s="2">
        <v>2</v>
      </c>
      <c r="G12356" s="2" t="s">
        <v>12</v>
      </c>
    </row>
    <row r="12357" spans="1:9" x14ac:dyDescent="0.2">
      <c r="A12357" s="2" t="s">
        <v>3519</v>
      </c>
      <c r="B12357" s="2" t="s">
        <v>361</v>
      </c>
      <c r="C12357" s="2">
        <v>803.75319999999999</v>
      </c>
      <c r="D12357" s="2">
        <f>HYPERLINK("http://mcb-m6.bioreg.kyushu-u.ac.jp/M3/20110421/F51022/2122/1", 82.77)</f>
        <v>82.77</v>
      </c>
      <c r="E12357" s="2">
        <v>55.25</v>
      </c>
      <c r="F12357" s="2">
        <v>2</v>
      </c>
      <c r="G12357" s="2" t="s">
        <v>12</v>
      </c>
    </row>
    <row r="12358" spans="1:9" x14ac:dyDescent="0.2">
      <c r="A12358" s="2" t="s">
        <v>3519</v>
      </c>
      <c r="B12358" s="2" t="s">
        <v>1709</v>
      </c>
      <c r="C12358" s="2">
        <v>881.71810000000005</v>
      </c>
      <c r="D12358" s="2">
        <f>HYPERLINK("http://mcb-m6.bioreg.kyushu-u.ac.jp/M3/20110421/F51021/2834/1", 87.16)</f>
        <v>87.16</v>
      </c>
      <c r="E12358" s="2">
        <v>69.44</v>
      </c>
      <c r="F12358" s="2">
        <v>2</v>
      </c>
      <c r="G12358" s="2" t="s">
        <v>12</v>
      </c>
    </row>
    <row r="12359" spans="1:9" x14ac:dyDescent="0.2">
      <c r="A12359" s="2" t="s">
        <v>3519</v>
      </c>
      <c r="B12359" s="2" t="s">
        <v>361</v>
      </c>
      <c r="C12359" s="2">
        <v>803.2867</v>
      </c>
      <c r="D12359" s="2">
        <f>HYPERLINK("http://mcb-m6.bioreg.kyushu-u.ac.jp/M3/20110421/F51048/2530/1", 88.39)</f>
        <v>88.39</v>
      </c>
      <c r="E12359" s="2">
        <v>69.12</v>
      </c>
      <c r="F12359" s="2">
        <v>2</v>
      </c>
      <c r="G12359" s="2" t="s">
        <v>12</v>
      </c>
    </row>
    <row r="12360" spans="1:9" x14ac:dyDescent="0.2">
      <c r="A12360" s="2" t="s">
        <v>3519</v>
      </c>
      <c r="B12360" s="2" t="s">
        <v>1825</v>
      </c>
      <c r="C12360" s="2">
        <v>733.75210000000004</v>
      </c>
      <c r="D12360" s="2">
        <f>HYPERLINK("http://mcb-m6.bioreg.kyushu-u.ac.jp/M3/20110421/F51022/1999/1", 92.12)</f>
        <v>92.12</v>
      </c>
      <c r="E12360" s="2">
        <v>59.41</v>
      </c>
      <c r="F12360" s="2">
        <v>2</v>
      </c>
      <c r="G12360" s="2" t="s">
        <v>12</v>
      </c>
    </row>
    <row r="12361" spans="1:9" x14ac:dyDescent="0.2">
      <c r="A12361" s="2" t="s">
        <v>3519</v>
      </c>
      <c r="B12361" s="2" t="s">
        <v>2034</v>
      </c>
      <c r="C12361" s="2">
        <v>1035.2360000000001</v>
      </c>
      <c r="D12361" s="2">
        <f>HYPERLINK("http://mcb-m6.bioreg.kyushu-u.ac.jp/M3/20110421/F51021/3453/1", 92.6)</f>
        <v>92.6</v>
      </c>
      <c r="E12361" s="2">
        <v>69.260000000000005</v>
      </c>
      <c r="F12361" s="2">
        <v>2</v>
      </c>
      <c r="G12361" s="2" t="s">
        <v>12</v>
      </c>
    </row>
    <row r="12362" spans="1:9" x14ac:dyDescent="0.2">
      <c r="A12362" s="2" t="s">
        <v>3519</v>
      </c>
      <c r="B12362" s="2" t="s">
        <v>361</v>
      </c>
      <c r="C12362" s="2">
        <v>803.20119999999997</v>
      </c>
      <c r="D12362" s="2">
        <f>HYPERLINK("http://mcb-m6.bioreg.kyushu-u.ac.jp/M3/20110421/F51022/2121/1", 96.75)</f>
        <v>96.75</v>
      </c>
      <c r="E12362" s="2">
        <v>68.45</v>
      </c>
      <c r="F12362" s="2">
        <v>2</v>
      </c>
      <c r="G12362" s="2" t="s">
        <v>12</v>
      </c>
    </row>
    <row r="12363" spans="1:9" x14ac:dyDescent="0.2">
      <c r="A12363" s="2" t="s">
        <v>3519</v>
      </c>
      <c r="B12363" s="2" t="s">
        <v>1600</v>
      </c>
      <c r="C12363" s="2">
        <v>1069.0309999999999</v>
      </c>
      <c r="D12363" s="2">
        <f>HYPERLINK("http://mcb-m6.bioreg.kyushu-u.ac.jp/M3/20110421/F51061/2866/1", 130.54)</f>
        <v>130.54</v>
      </c>
      <c r="E12363" s="2">
        <v>117.92</v>
      </c>
      <c r="F12363" s="2">
        <v>2</v>
      </c>
      <c r="G12363" s="2" t="s">
        <v>12</v>
      </c>
    </row>
    <row r="12364" spans="1:9" x14ac:dyDescent="0.2">
      <c r="A12364" s="2" t="s">
        <v>3519</v>
      </c>
      <c r="B12364" s="2" t="s">
        <v>384</v>
      </c>
      <c r="C12364" s="2">
        <v>905.28399999999999</v>
      </c>
      <c r="D12364" s="2">
        <f>HYPERLINK("http://mcb-m6.bioreg.kyushu-u.ac.jp/M3/20110427/F51109/1255/1", 45.35)</f>
        <v>45.35</v>
      </c>
      <c r="E12364" s="2">
        <v>26.77</v>
      </c>
      <c r="F12364" s="2">
        <v>1</v>
      </c>
      <c r="G12364" s="2" t="s">
        <v>13</v>
      </c>
      <c r="I12364" s="2" t="s">
        <v>4892</v>
      </c>
    </row>
    <row r="12365" spans="1:9" x14ac:dyDescent="0.2">
      <c r="A12365" s="2" t="s">
        <v>3519</v>
      </c>
      <c r="B12365" s="2" t="s">
        <v>361</v>
      </c>
      <c r="C12365" s="2">
        <v>803.72720000000004</v>
      </c>
      <c r="D12365" s="2">
        <f>HYPERLINK("http://mcb-m6.bioreg.kyushu-u.ac.jp/M3/20110427/F51108/2307/1", 71.45)</f>
        <v>71.45</v>
      </c>
      <c r="E12365" s="2">
        <v>44.2</v>
      </c>
      <c r="F12365" s="2">
        <v>2</v>
      </c>
      <c r="G12365" s="2" t="s">
        <v>13</v>
      </c>
    </row>
    <row r="12366" spans="1:9" x14ac:dyDescent="0.2">
      <c r="A12366" s="2" t="s">
        <v>3519</v>
      </c>
      <c r="B12366" s="2" t="s">
        <v>1825</v>
      </c>
      <c r="C12366" s="2">
        <v>733.56020000000001</v>
      </c>
      <c r="D12366" s="2">
        <f>HYPERLINK("http://mcb-m6.bioreg.kyushu-u.ac.jp/M3/20110427/F51109/2084/1", 92.12)</f>
        <v>92.12</v>
      </c>
      <c r="E12366" s="2">
        <v>59.43</v>
      </c>
      <c r="F12366" s="2">
        <v>2</v>
      </c>
      <c r="G12366" s="2" t="s">
        <v>13</v>
      </c>
    </row>
    <row r="12367" spans="1:9" x14ac:dyDescent="0.2">
      <c r="A12367" s="2" t="s">
        <v>3519</v>
      </c>
      <c r="B12367" s="2" t="s">
        <v>384</v>
      </c>
      <c r="C12367" s="2">
        <v>453.0016</v>
      </c>
      <c r="D12367" s="2">
        <f>HYPERLINK("http://mcb-m6.bioreg.kyushu-u.ac.jp/M3/20110427/F51122/1068/1", 38.3)</f>
        <v>38.299999999999997</v>
      </c>
      <c r="E12367" s="2">
        <v>11.84</v>
      </c>
      <c r="F12367" s="2">
        <v>2</v>
      </c>
      <c r="G12367" s="2" t="s">
        <v>14</v>
      </c>
      <c r="I12367" s="2" t="s">
        <v>4892</v>
      </c>
    </row>
    <row r="12368" spans="1:9" x14ac:dyDescent="0.2">
      <c r="A12368" s="2" t="s">
        <v>3519</v>
      </c>
      <c r="B12368" s="2" t="s">
        <v>384</v>
      </c>
      <c r="C12368" s="2">
        <v>905.11599999999999</v>
      </c>
      <c r="D12368" s="2">
        <f>HYPERLINK("http://mcb-m6.bioreg.kyushu-u.ac.jp/M3/20110427/F51122/1069/1", 40.37)</f>
        <v>40.369999999999997</v>
      </c>
      <c r="E12368" s="2">
        <v>22.15</v>
      </c>
      <c r="F12368" s="2">
        <v>1</v>
      </c>
      <c r="G12368" s="2" t="s">
        <v>14</v>
      </c>
      <c r="I12368" s="2" t="s">
        <v>4892</v>
      </c>
    </row>
    <row r="12369" spans="1:9" x14ac:dyDescent="0.2">
      <c r="A12369" s="2" t="s">
        <v>3519</v>
      </c>
      <c r="B12369" s="2" t="s">
        <v>1825</v>
      </c>
      <c r="C12369" s="2">
        <v>733.92269999999996</v>
      </c>
      <c r="D12369" s="2">
        <f>HYPERLINK("http://mcb-m6.bioreg.kyushu-u.ac.jp/M3/20110427/F51118/2023/1", 41.17)</f>
        <v>41.17</v>
      </c>
      <c r="E12369" s="2">
        <v>18.920000000000002</v>
      </c>
      <c r="F12369" s="2">
        <v>2</v>
      </c>
      <c r="G12369" s="2" t="s">
        <v>14</v>
      </c>
    </row>
    <row r="12370" spans="1:9" x14ac:dyDescent="0.2">
      <c r="A12370" s="2" t="s">
        <v>3519</v>
      </c>
      <c r="B12370" s="2" t="s">
        <v>361</v>
      </c>
      <c r="C12370" s="2">
        <v>803.92769999999996</v>
      </c>
      <c r="D12370" s="2">
        <f>HYPERLINK("http://mcb-m6.bioreg.kyushu-u.ac.jp/M3/20110428/F51135/2115/1", 41.87)</f>
        <v>41.87</v>
      </c>
      <c r="E12370" s="2">
        <v>19.04</v>
      </c>
      <c r="F12370" s="2">
        <v>2</v>
      </c>
      <c r="G12370" s="2" t="s">
        <v>14</v>
      </c>
    </row>
    <row r="12371" spans="1:9" x14ac:dyDescent="0.2">
      <c r="A12371" s="2" t="s">
        <v>3519</v>
      </c>
      <c r="B12371" s="2" t="s">
        <v>384</v>
      </c>
      <c r="C12371" s="2">
        <v>453.4726</v>
      </c>
      <c r="D12371" s="2">
        <f>HYPERLINK("http://mcb-m6.bioreg.kyushu-u.ac.jp/M3/20110427/F51118/1219/1", 44.01)</f>
        <v>44.01</v>
      </c>
      <c r="E12371" s="2">
        <v>23.55</v>
      </c>
      <c r="F12371" s="2">
        <v>2</v>
      </c>
      <c r="G12371" s="2" t="s">
        <v>14</v>
      </c>
      <c r="I12371" s="2" t="s">
        <v>4892</v>
      </c>
    </row>
    <row r="12372" spans="1:9" x14ac:dyDescent="0.2">
      <c r="A12372" s="2" t="s">
        <v>3519</v>
      </c>
      <c r="B12372" s="2" t="s">
        <v>384</v>
      </c>
      <c r="C12372" s="2">
        <v>905.32799999999997</v>
      </c>
      <c r="D12372" s="2">
        <f>HYPERLINK("http://mcb-m6.bioreg.kyushu-u.ac.jp/M3/20110428/F51134/1235/1", 44.05)</f>
        <v>44.05</v>
      </c>
      <c r="E12372" s="2">
        <v>25.67</v>
      </c>
      <c r="F12372" s="2">
        <v>1</v>
      </c>
      <c r="G12372" s="2" t="s">
        <v>14</v>
      </c>
      <c r="I12372" s="2" t="s">
        <v>4892</v>
      </c>
    </row>
    <row r="12373" spans="1:9" x14ac:dyDescent="0.2">
      <c r="A12373" s="2" t="s">
        <v>3519</v>
      </c>
      <c r="B12373" s="2" t="s">
        <v>384</v>
      </c>
      <c r="C12373" s="2">
        <v>905.29</v>
      </c>
      <c r="D12373" s="2">
        <f>HYPERLINK("http://mcb-m6.bioreg.kyushu-u.ac.jp/M3/20110427/F51119/1425/1", 45.46)</f>
        <v>45.46</v>
      </c>
      <c r="E12373" s="2">
        <v>31.87</v>
      </c>
      <c r="F12373" s="2">
        <v>1</v>
      </c>
      <c r="G12373" s="2" t="s">
        <v>14</v>
      </c>
      <c r="I12373" s="2" t="s">
        <v>4892</v>
      </c>
    </row>
    <row r="12374" spans="1:9" x14ac:dyDescent="0.2">
      <c r="A12374" s="2" t="s">
        <v>3519</v>
      </c>
      <c r="B12374" s="2" t="s">
        <v>384</v>
      </c>
      <c r="C12374" s="2">
        <v>905.31600000000003</v>
      </c>
      <c r="D12374" s="2">
        <f>HYPERLINK("http://mcb-m6.bioreg.kyushu-u.ac.jp/M3/20110427/F51118/1218/1", 45.51)</f>
        <v>45.51</v>
      </c>
      <c r="E12374" s="2">
        <v>33.68</v>
      </c>
      <c r="F12374" s="2">
        <v>1</v>
      </c>
      <c r="G12374" s="2" t="s">
        <v>14</v>
      </c>
      <c r="I12374" s="2" t="s">
        <v>4892</v>
      </c>
    </row>
    <row r="12375" spans="1:9" x14ac:dyDescent="0.2">
      <c r="A12375" s="2" t="s">
        <v>3519</v>
      </c>
      <c r="B12375" s="2" t="s">
        <v>1763</v>
      </c>
      <c r="C12375" s="2">
        <v>625.80160000000001</v>
      </c>
      <c r="D12375" s="2">
        <f>HYPERLINK("http://mcb-m6.bioreg.kyushu-u.ac.jp/M3/20110428/F51134/1662/1", 46.02)</f>
        <v>46.02</v>
      </c>
      <c r="E12375" s="2">
        <v>23.35</v>
      </c>
      <c r="F12375" s="2">
        <v>2</v>
      </c>
      <c r="G12375" s="2" t="s">
        <v>14</v>
      </c>
      <c r="I12375" s="2" t="s">
        <v>4903</v>
      </c>
    </row>
    <row r="12376" spans="1:9" x14ac:dyDescent="0.2">
      <c r="A12376" s="2" t="s">
        <v>3519</v>
      </c>
      <c r="B12376" s="2" t="s">
        <v>384</v>
      </c>
      <c r="C12376" s="2">
        <v>453.37360000000001</v>
      </c>
      <c r="D12376" s="2">
        <f>HYPERLINK("http://mcb-m6.bioreg.kyushu-u.ac.jp/M3/20110428/F51134/1236/1", 46.19)</f>
        <v>46.19</v>
      </c>
      <c r="E12376" s="2">
        <v>22.1</v>
      </c>
      <c r="F12376" s="2">
        <v>2</v>
      </c>
      <c r="G12376" s="2" t="s">
        <v>14</v>
      </c>
      <c r="I12376" s="2" t="s">
        <v>4892</v>
      </c>
    </row>
    <row r="12377" spans="1:9" x14ac:dyDescent="0.2">
      <c r="A12377" s="2" t="s">
        <v>3519</v>
      </c>
      <c r="B12377" s="2" t="s">
        <v>5586</v>
      </c>
      <c r="C12377" s="2">
        <v>684.10519999999997</v>
      </c>
      <c r="D12377" s="2">
        <f>HYPERLINK("http://mcb-m6.bioreg.kyushu-u.ac.jp/M3/20110428/F51134/1792/1", 48.64)</f>
        <v>48.64</v>
      </c>
      <c r="E12377" s="2">
        <v>27.56</v>
      </c>
      <c r="F12377" s="2">
        <v>2</v>
      </c>
      <c r="G12377" s="2" t="s">
        <v>14</v>
      </c>
    </row>
    <row r="12378" spans="1:9" x14ac:dyDescent="0.2">
      <c r="A12378" s="2" t="s">
        <v>3519</v>
      </c>
      <c r="B12378" s="2" t="s">
        <v>1825</v>
      </c>
      <c r="C12378" s="2">
        <v>489.77080000000001</v>
      </c>
      <c r="D12378" s="2">
        <f>HYPERLINK("http://mcb-m6.bioreg.kyushu-u.ac.jp/M3/20110428/F51134/1937/1", 50.46)</f>
        <v>50.46</v>
      </c>
      <c r="E12378" s="2">
        <v>30.45</v>
      </c>
      <c r="F12378" s="2">
        <v>3</v>
      </c>
      <c r="G12378" s="2" t="s">
        <v>14</v>
      </c>
    </row>
    <row r="12379" spans="1:9" x14ac:dyDescent="0.2">
      <c r="A12379" s="2" t="s">
        <v>3519</v>
      </c>
      <c r="B12379" s="2" t="s">
        <v>384</v>
      </c>
      <c r="C12379" s="2">
        <v>453.1386</v>
      </c>
      <c r="D12379" s="2">
        <f>HYPERLINK("http://mcb-m6.bioreg.kyushu-u.ac.jp/M3/20110428/F51134/1234/1", 51.24)</f>
        <v>51.24</v>
      </c>
      <c r="E12379" s="2">
        <v>36.5</v>
      </c>
      <c r="F12379" s="2">
        <v>2</v>
      </c>
      <c r="G12379" s="2" t="s">
        <v>14</v>
      </c>
      <c r="I12379" s="2" t="s">
        <v>4892</v>
      </c>
    </row>
    <row r="12380" spans="1:9" x14ac:dyDescent="0.2">
      <c r="A12380" s="2" t="s">
        <v>3519</v>
      </c>
      <c r="B12380" s="2" t="s">
        <v>7500</v>
      </c>
      <c r="C12380" s="2">
        <v>561.46870000000001</v>
      </c>
      <c r="D12380" s="2">
        <f>HYPERLINK("http://mcb-m6.bioreg.kyushu-u.ac.jp/M3/20110428/F51134/1523/1", 53.79)</f>
        <v>53.79</v>
      </c>
      <c r="E12380" s="2">
        <v>27.66</v>
      </c>
      <c r="F12380" s="2">
        <v>2</v>
      </c>
      <c r="G12380" s="2" t="s">
        <v>14</v>
      </c>
      <c r="I12380" s="2" t="s">
        <v>4905</v>
      </c>
    </row>
    <row r="12381" spans="1:9" x14ac:dyDescent="0.2">
      <c r="A12381" s="2" t="s">
        <v>3519</v>
      </c>
      <c r="B12381" s="2" t="s">
        <v>2056</v>
      </c>
      <c r="C12381" s="2">
        <v>1048.0139999999999</v>
      </c>
      <c r="D12381" s="2">
        <f>HYPERLINK("http://mcb-m6.bioreg.kyushu-u.ac.jp/M3/20110427/F51119/2828/1", 54.37)</f>
        <v>54.37</v>
      </c>
      <c r="E12381" s="2">
        <v>47.47</v>
      </c>
      <c r="F12381" s="2">
        <v>3</v>
      </c>
      <c r="G12381" s="2" t="s">
        <v>14</v>
      </c>
      <c r="H12381" s="2" t="s">
        <v>4901</v>
      </c>
    </row>
    <row r="12382" spans="1:9" x14ac:dyDescent="0.2">
      <c r="A12382" s="2" t="s">
        <v>3519</v>
      </c>
      <c r="B12382" s="2" t="s">
        <v>361</v>
      </c>
      <c r="C12382" s="2">
        <v>803.1617</v>
      </c>
      <c r="D12382" s="2">
        <f>HYPERLINK("http://mcb-m6.bioreg.kyushu-u.ac.jp/M3/20110427/F51125/2368/1", 56.53)</f>
        <v>56.53</v>
      </c>
      <c r="E12382" s="2">
        <v>29.2</v>
      </c>
      <c r="F12382" s="2">
        <v>2</v>
      </c>
      <c r="G12382" s="2" t="s">
        <v>14</v>
      </c>
    </row>
    <row r="12383" spans="1:9" x14ac:dyDescent="0.2">
      <c r="A12383" s="2" t="s">
        <v>3519</v>
      </c>
      <c r="B12383" s="2" t="s">
        <v>361</v>
      </c>
      <c r="C12383" s="2">
        <v>803.40260000000001</v>
      </c>
      <c r="D12383" s="2">
        <f>HYPERLINK("http://mcb-m6.bioreg.kyushu-u.ac.jp/M3/20110428/F51135/2114/1", 56.88)</f>
        <v>56.88</v>
      </c>
      <c r="E12383" s="2">
        <v>35.82</v>
      </c>
      <c r="F12383" s="2">
        <v>2</v>
      </c>
      <c r="G12383" s="2" t="s">
        <v>14</v>
      </c>
    </row>
    <row r="12384" spans="1:9" x14ac:dyDescent="0.2">
      <c r="A12384" s="2" t="s">
        <v>3519</v>
      </c>
      <c r="B12384" s="2" t="s">
        <v>1825</v>
      </c>
      <c r="C12384" s="2">
        <v>733.63710000000003</v>
      </c>
      <c r="D12384" s="2">
        <f>HYPERLINK("http://mcb-m6.bioreg.kyushu-u.ac.jp/M3/20110427/F51119/2084/1", 58.78)</f>
        <v>58.78</v>
      </c>
      <c r="E12384" s="2">
        <v>35.1</v>
      </c>
      <c r="F12384" s="2">
        <v>2</v>
      </c>
      <c r="G12384" s="2" t="s">
        <v>14</v>
      </c>
    </row>
    <row r="12385" spans="1:7" x14ac:dyDescent="0.2">
      <c r="A12385" s="2" t="s">
        <v>3519</v>
      </c>
      <c r="B12385" s="2" t="s">
        <v>1825</v>
      </c>
      <c r="C12385" s="2">
        <v>734.05359999999996</v>
      </c>
      <c r="D12385" s="2">
        <f>HYPERLINK("http://mcb-m6.bioreg.kyushu-u.ac.jp/M3/20110427/F51124/1982/1", 64.05)</f>
        <v>64.05</v>
      </c>
      <c r="E12385" s="2">
        <v>37.17</v>
      </c>
      <c r="F12385" s="2">
        <v>2</v>
      </c>
      <c r="G12385" s="2" t="s">
        <v>14</v>
      </c>
    </row>
    <row r="12386" spans="1:7" x14ac:dyDescent="0.2">
      <c r="A12386" s="2" t="s">
        <v>3519</v>
      </c>
      <c r="B12386" s="2" t="s">
        <v>1825</v>
      </c>
      <c r="C12386" s="2">
        <v>734.10019999999997</v>
      </c>
      <c r="D12386" s="2">
        <f>HYPERLINK("http://mcb-m6.bioreg.kyushu-u.ac.jp/M3/20110427/F51121/1985/1", 67.34)</f>
        <v>67.34</v>
      </c>
      <c r="E12386" s="2">
        <v>42.57</v>
      </c>
      <c r="F12386" s="2">
        <v>2</v>
      </c>
      <c r="G12386" s="2" t="s">
        <v>14</v>
      </c>
    </row>
    <row r="12387" spans="1:7" x14ac:dyDescent="0.2">
      <c r="A12387" s="2" t="s">
        <v>3519</v>
      </c>
      <c r="B12387" s="2" t="s">
        <v>361</v>
      </c>
      <c r="C12387" s="2">
        <v>803.38170000000002</v>
      </c>
      <c r="D12387" s="2">
        <f>HYPERLINK("http://mcb-m6.bioreg.kyushu-u.ac.jp/M3/20110427/F51118/2256/1", 67.96)</f>
        <v>67.959999999999994</v>
      </c>
      <c r="E12387" s="2">
        <v>39.75</v>
      </c>
      <c r="F12387" s="2">
        <v>2</v>
      </c>
      <c r="G12387" s="2" t="s">
        <v>14</v>
      </c>
    </row>
    <row r="12388" spans="1:7" x14ac:dyDescent="0.2">
      <c r="A12388" s="2" t="s">
        <v>3519</v>
      </c>
      <c r="B12388" s="2" t="s">
        <v>2034</v>
      </c>
      <c r="C12388" s="2">
        <v>1035.45</v>
      </c>
      <c r="D12388" s="2">
        <f>HYPERLINK("http://mcb-m6.bioreg.kyushu-u.ac.jp/M3/20110428/F51134/2441/1", 70.07)</f>
        <v>70.069999999999993</v>
      </c>
      <c r="E12388" s="2">
        <v>55.42</v>
      </c>
      <c r="F12388" s="2">
        <v>2</v>
      </c>
      <c r="G12388" s="2" t="s">
        <v>14</v>
      </c>
    </row>
    <row r="12389" spans="1:7" x14ac:dyDescent="0.2">
      <c r="A12389" s="2" t="s">
        <v>3519</v>
      </c>
      <c r="B12389" s="2" t="s">
        <v>1709</v>
      </c>
      <c r="C12389" s="2">
        <v>881.89419999999996</v>
      </c>
      <c r="D12389" s="2">
        <f>HYPERLINK("http://mcb-m6.bioreg.kyushu-u.ac.jp/M3/20110427/F51118/2424/1", 70.27)</f>
        <v>70.27</v>
      </c>
      <c r="E12389" s="2">
        <v>53.15</v>
      </c>
      <c r="F12389" s="2">
        <v>2</v>
      </c>
      <c r="G12389" s="2" t="s">
        <v>14</v>
      </c>
    </row>
    <row r="12390" spans="1:7" x14ac:dyDescent="0.2">
      <c r="A12390" s="2" t="s">
        <v>3519</v>
      </c>
      <c r="B12390" s="2" t="s">
        <v>361</v>
      </c>
      <c r="C12390" s="2">
        <v>803.59469999999999</v>
      </c>
      <c r="D12390" s="2">
        <f>HYPERLINK("http://mcb-m6.bioreg.kyushu-u.ac.jp/M3/20110427/F51120/2338/1", 73.3)</f>
        <v>73.3</v>
      </c>
      <c r="E12390" s="2">
        <v>56.62</v>
      </c>
      <c r="F12390" s="2">
        <v>2</v>
      </c>
      <c r="G12390" s="2" t="s">
        <v>14</v>
      </c>
    </row>
    <row r="12391" spans="1:7" x14ac:dyDescent="0.2">
      <c r="A12391" s="2" t="s">
        <v>3519</v>
      </c>
      <c r="B12391" s="2" t="s">
        <v>1709</v>
      </c>
      <c r="C12391" s="2">
        <v>881.32510000000002</v>
      </c>
      <c r="D12391" s="2">
        <f>HYPERLINK("http://mcb-m6.bioreg.kyushu-u.ac.jp/M3/20110427/F51118/2420/1", 74.38)</f>
        <v>74.38</v>
      </c>
      <c r="E12391" s="2">
        <v>46.74</v>
      </c>
      <c r="F12391" s="2">
        <v>2</v>
      </c>
      <c r="G12391" s="2" t="s">
        <v>14</v>
      </c>
    </row>
    <row r="12392" spans="1:7" x14ac:dyDescent="0.2">
      <c r="A12392" s="2" t="s">
        <v>3519</v>
      </c>
      <c r="B12392" s="2" t="s">
        <v>1709</v>
      </c>
      <c r="C12392" s="2">
        <v>881.63459999999998</v>
      </c>
      <c r="D12392" s="2">
        <f>HYPERLINK("http://mcb-m6.bioreg.kyushu-u.ac.jp/M3/20110428/F51135/2312/1", 78.74)</f>
        <v>78.739999999999995</v>
      </c>
      <c r="E12392" s="2">
        <v>52.77</v>
      </c>
      <c r="F12392" s="2">
        <v>2</v>
      </c>
      <c r="G12392" s="2" t="s">
        <v>14</v>
      </c>
    </row>
    <row r="12393" spans="1:7" x14ac:dyDescent="0.2">
      <c r="A12393" s="2" t="s">
        <v>3519</v>
      </c>
      <c r="B12393" s="2" t="s">
        <v>1825</v>
      </c>
      <c r="C12393" s="2">
        <v>733.77070000000003</v>
      </c>
      <c r="D12393" s="2">
        <f>HYPERLINK("http://mcb-m6.bioreg.kyushu-u.ac.jp/M3/20110428/F51134/1936/1", 80.93)</f>
        <v>80.930000000000007</v>
      </c>
      <c r="E12393" s="2">
        <v>54.81</v>
      </c>
      <c r="F12393" s="2">
        <v>2</v>
      </c>
      <c r="G12393" s="2" t="s">
        <v>14</v>
      </c>
    </row>
    <row r="12394" spans="1:7" x14ac:dyDescent="0.2">
      <c r="A12394" s="2" t="s">
        <v>3519</v>
      </c>
      <c r="B12394" s="2" t="s">
        <v>2034</v>
      </c>
      <c r="C12394" s="2">
        <v>1035.671</v>
      </c>
      <c r="D12394" s="2">
        <f>HYPERLINK("http://mcb-m6.bioreg.kyushu-u.ac.jp/M3/20110428/F51134/2442/1", 80.96)</f>
        <v>80.959999999999994</v>
      </c>
      <c r="E12394" s="2">
        <v>70.25</v>
      </c>
      <c r="F12394" s="2">
        <v>2</v>
      </c>
      <c r="G12394" s="2" t="s">
        <v>14</v>
      </c>
    </row>
    <row r="12395" spans="1:7" x14ac:dyDescent="0.2">
      <c r="A12395" s="2" t="s">
        <v>3519</v>
      </c>
      <c r="B12395" s="2" t="s">
        <v>361</v>
      </c>
      <c r="C12395" s="2">
        <v>803.17909999999995</v>
      </c>
      <c r="D12395" s="2">
        <f>HYPERLINK("http://mcb-m6.bioreg.kyushu-u.ac.jp/M3/20110428/F51134/2094/1", 81.49)</f>
        <v>81.489999999999995</v>
      </c>
      <c r="E12395" s="2">
        <v>59.56</v>
      </c>
      <c r="F12395" s="2">
        <v>2</v>
      </c>
      <c r="G12395" s="2" t="s">
        <v>14</v>
      </c>
    </row>
    <row r="12396" spans="1:7" x14ac:dyDescent="0.2">
      <c r="A12396" s="2" t="s">
        <v>3519</v>
      </c>
      <c r="B12396" s="2" t="s">
        <v>2123</v>
      </c>
      <c r="C12396" s="2">
        <v>1499.421</v>
      </c>
      <c r="D12396" s="2">
        <f>HYPERLINK("http://mcb-m6.bioreg.kyushu-u.ac.jp/M3/20110428/F51134/2630/1", 81.5)</f>
        <v>81.5</v>
      </c>
      <c r="E12396" s="2">
        <v>68.319999999999993</v>
      </c>
      <c r="F12396" s="2">
        <v>2</v>
      </c>
      <c r="G12396" s="2" t="s">
        <v>14</v>
      </c>
    </row>
    <row r="12397" spans="1:7" x14ac:dyDescent="0.2">
      <c r="A12397" s="2" t="s">
        <v>3519</v>
      </c>
      <c r="B12397" s="2" t="s">
        <v>361</v>
      </c>
      <c r="C12397" s="2">
        <v>803.17110000000002</v>
      </c>
      <c r="D12397" s="2">
        <f>HYPERLINK("http://mcb-m6.bioreg.kyushu-u.ac.jp/M3/20110427/F51119/2253/1", 83.16)</f>
        <v>83.16</v>
      </c>
      <c r="E12397" s="2">
        <v>52.9</v>
      </c>
      <c r="F12397" s="2">
        <v>2</v>
      </c>
      <c r="G12397" s="2" t="s">
        <v>14</v>
      </c>
    </row>
    <row r="12398" spans="1:7" x14ac:dyDescent="0.2">
      <c r="A12398" s="2" t="s">
        <v>3519</v>
      </c>
      <c r="B12398" s="2" t="s">
        <v>1818</v>
      </c>
      <c r="C12398" s="2">
        <v>797.83119999999997</v>
      </c>
      <c r="D12398" s="2">
        <f>HYPERLINK("http://mcb-m6.bioreg.kyushu-u.ac.jp/M3/20110428/F51134/2078/1", 83.39)</f>
        <v>83.39</v>
      </c>
      <c r="E12398" s="2">
        <v>60.82</v>
      </c>
      <c r="F12398" s="2">
        <v>2</v>
      </c>
      <c r="G12398" s="2" t="s">
        <v>14</v>
      </c>
    </row>
    <row r="12399" spans="1:7" x14ac:dyDescent="0.2">
      <c r="A12399" s="2" t="s">
        <v>3519</v>
      </c>
      <c r="B12399" s="2" t="s">
        <v>1825</v>
      </c>
      <c r="C12399" s="2">
        <v>733.59619999999995</v>
      </c>
      <c r="D12399" s="2">
        <f>HYPERLINK("http://mcb-m6.bioreg.kyushu-u.ac.jp/M3/20110428/F51128/1925/1", 84.06)</f>
        <v>84.06</v>
      </c>
      <c r="E12399" s="2">
        <v>52.37</v>
      </c>
      <c r="F12399" s="2">
        <v>2</v>
      </c>
      <c r="G12399" s="2" t="s">
        <v>14</v>
      </c>
    </row>
    <row r="12400" spans="1:7" x14ac:dyDescent="0.2">
      <c r="A12400" s="2" t="s">
        <v>3519</v>
      </c>
      <c r="B12400" s="2" t="s">
        <v>1709</v>
      </c>
      <c r="C12400" s="2">
        <v>881.39620000000002</v>
      </c>
      <c r="D12400" s="2">
        <f>HYPERLINK("http://mcb-m6.bioreg.kyushu-u.ac.jp/M3/20110428/F51134/2198/1", 87.38)</f>
        <v>87.38</v>
      </c>
      <c r="E12400" s="2">
        <v>69.569999999999993</v>
      </c>
      <c r="F12400" s="2">
        <v>2</v>
      </c>
      <c r="G12400" s="2" t="s">
        <v>14</v>
      </c>
    </row>
    <row r="12401" spans="1:7" x14ac:dyDescent="0.2">
      <c r="A12401" s="2" t="s">
        <v>3519</v>
      </c>
      <c r="B12401" s="2" t="s">
        <v>1825</v>
      </c>
      <c r="C12401" s="2">
        <v>733.70420000000001</v>
      </c>
      <c r="D12401" s="2">
        <f>HYPERLINK("http://mcb-m6.bioreg.kyushu-u.ac.jp/M3/20110427/F51122/2124/1", 88.24)</f>
        <v>88.24</v>
      </c>
      <c r="E12401" s="2">
        <v>55.4</v>
      </c>
      <c r="F12401" s="2">
        <v>2</v>
      </c>
      <c r="G12401" s="2" t="s">
        <v>14</v>
      </c>
    </row>
    <row r="12402" spans="1:7" x14ac:dyDescent="0.2">
      <c r="A12402" s="2" t="s">
        <v>3519</v>
      </c>
      <c r="B12402" s="2" t="s">
        <v>1825</v>
      </c>
      <c r="C12402" s="2">
        <v>733.90869999999995</v>
      </c>
      <c r="D12402" s="2">
        <f>HYPERLINK("http://mcb-m6.bioreg.kyushu-u.ac.jp/M3/20110428/F51135/1806/1", 92.17)</f>
        <v>92.17</v>
      </c>
      <c r="E12402" s="2">
        <v>59.44</v>
      </c>
      <c r="F12402" s="2">
        <v>2</v>
      </c>
      <c r="G12402" s="2" t="s">
        <v>14</v>
      </c>
    </row>
    <row r="12403" spans="1:7" x14ac:dyDescent="0.2">
      <c r="A12403" s="2" t="s">
        <v>3519</v>
      </c>
      <c r="B12403" s="2" t="s">
        <v>1825</v>
      </c>
      <c r="C12403" s="2">
        <v>733.67610000000002</v>
      </c>
      <c r="D12403" s="2">
        <f>HYPERLINK("http://mcb-m6.bioreg.kyushu-u.ac.jp/M3/20110427/F51118/2022/1", 92.21)</f>
        <v>92.21</v>
      </c>
      <c r="E12403" s="2">
        <v>59.43</v>
      </c>
      <c r="F12403" s="2">
        <v>2</v>
      </c>
      <c r="G12403" s="2" t="s">
        <v>14</v>
      </c>
    </row>
    <row r="12404" spans="1:7" x14ac:dyDescent="0.2">
      <c r="A12404" s="2" t="s">
        <v>3519</v>
      </c>
      <c r="B12404" s="2" t="s">
        <v>1825</v>
      </c>
      <c r="C12404" s="2">
        <v>733.63959999999997</v>
      </c>
      <c r="D12404" s="2">
        <f>HYPERLINK("http://mcb-m6.bioreg.kyushu-u.ac.jp/M3/20110427/F51119/2085/1", 95.92)</f>
        <v>95.92</v>
      </c>
      <c r="E12404" s="2">
        <v>67.5</v>
      </c>
      <c r="F12404" s="2">
        <v>2</v>
      </c>
      <c r="G12404" s="2" t="s">
        <v>14</v>
      </c>
    </row>
    <row r="12405" spans="1:7" x14ac:dyDescent="0.2">
      <c r="A12405" s="2" t="s">
        <v>3358</v>
      </c>
      <c r="B12405" s="2" t="s">
        <v>150</v>
      </c>
      <c r="C12405" s="2">
        <v>939.55359999999996</v>
      </c>
      <c r="D12405" s="2">
        <f>HYPERLINK("http://mcb-m6.bioreg.kyushu-u.ac.jp/M3/20110404/F50756/2855/1", 48.14)</f>
        <v>48.14</v>
      </c>
      <c r="E12405" s="2">
        <v>36.700000000000003</v>
      </c>
      <c r="F12405" s="2">
        <v>2</v>
      </c>
      <c r="G12405" s="2" t="s">
        <v>9</v>
      </c>
    </row>
    <row r="12406" spans="1:7" x14ac:dyDescent="0.2">
      <c r="A12406" s="2" t="s">
        <v>3358</v>
      </c>
      <c r="B12406" s="2" t="s">
        <v>150</v>
      </c>
      <c r="C12406" s="2">
        <v>940.1327</v>
      </c>
      <c r="D12406" s="2">
        <f>HYPERLINK("http://mcb-m6.bioreg.kyushu-u.ac.jp/M3/20110404/F50755/2802/1", 50.57)</f>
        <v>50.57</v>
      </c>
      <c r="E12406" s="2">
        <v>31.98</v>
      </c>
      <c r="F12406" s="2">
        <v>2</v>
      </c>
      <c r="G12406" s="2" t="s">
        <v>9</v>
      </c>
    </row>
    <row r="12407" spans="1:7" x14ac:dyDescent="0.2">
      <c r="A12407" s="2" t="s">
        <v>3358</v>
      </c>
      <c r="B12407" s="2" t="s">
        <v>150</v>
      </c>
      <c r="C12407" s="2">
        <v>940.34169999999995</v>
      </c>
      <c r="D12407" s="2">
        <f>HYPERLINK("http://mcb-m6.bioreg.kyushu-u.ac.jp/M3/20110404/F50767/2631/1", 52.06)</f>
        <v>52.06</v>
      </c>
      <c r="E12407" s="2">
        <v>40.01</v>
      </c>
      <c r="F12407" s="2">
        <v>2</v>
      </c>
      <c r="G12407" s="2" t="s">
        <v>9</v>
      </c>
    </row>
    <row r="12408" spans="1:7" x14ac:dyDescent="0.2">
      <c r="A12408" s="2" t="s">
        <v>3358</v>
      </c>
      <c r="B12408" s="2" t="s">
        <v>150</v>
      </c>
      <c r="C12408" s="2">
        <v>940.05409999999995</v>
      </c>
      <c r="D12408" s="2">
        <f>HYPERLINK("http://mcb-m6.bioreg.kyushu-u.ac.jp/M3/20110404/F50756/2858/1", 57.43)</f>
        <v>57.43</v>
      </c>
      <c r="E12408" s="2">
        <v>44.57</v>
      </c>
      <c r="F12408" s="2">
        <v>2</v>
      </c>
      <c r="G12408" s="2" t="s">
        <v>9</v>
      </c>
    </row>
    <row r="12409" spans="1:7" x14ac:dyDescent="0.2">
      <c r="A12409" s="2" t="s">
        <v>3358</v>
      </c>
      <c r="B12409" s="2" t="s">
        <v>150</v>
      </c>
      <c r="C12409" s="2">
        <v>940.09119999999996</v>
      </c>
      <c r="D12409" s="2">
        <f>HYPERLINK("http://mcb-m6.bioreg.kyushu-u.ac.jp/M3/20110404/F50767/2627/1", 62.02)</f>
        <v>62.02</v>
      </c>
      <c r="E12409" s="2">
        <v>47.84</v>
      </c>
      <c r="F12409" s="2">
        <v>2</v>
      </c>
      <c r="G12409" s="2" t="s">
        <v>9</v>
      </c>
    </row>
    <row r="12410" spans="1:7" x14ac:dyDescent="0.2">
      <c r="A12410" s="2" t="s">
        <v>3358</v>
      </c>
      <c r="B12410" s="2" t="s">
        <v>150</v>
      </c>
      <c r="C12410" s="2">
        <v>939.91060000000004</v>
      </c>
      <c r="D12410" s="2">
        <f>HYPERLINK("http://mcb-m6.bioreg.kyushu-u.ac.jp/M3/20110404/F50765/2613/1", 77.74)</f>
        <v>77.739999999999995</v>
      </c>
      <c r="E12410" s="2">
        <v>58.77</v>
      </c>
      <c r="F12410" s="2">
        <v>2</v>
      </c>
      <c r="G12410" s="2" t="s">
        <v>9</v>
      </c>
    </row>
    <row r="12411" spans="1:7" x14ac:dyDescent="0.2">
      <c r="A12411" s="2" t="s">
        <v>3358</v>
      </c>
      <c r="B12411" s="2" t="s">
        <v>150</v>
      </c>
      <c r="C12411" s="2">
        <v>939.64419999999996</v>
      </c>
      <c r="D12411" s="2">
        <f>HYPERLINK("http://mcb-m6.bioreg.kyushu-u.ac.jp/M3/20110404/F50754/2722/1", 83.31)</f>
        <v>83.31</v>
      </c>
      <c r="E12411" s="2">
        <v>50.2</v>
      </c>
      <c r="F12411" s="2">
        <v>2</v>
      </c>
      <c r="G12411" s="2" t="s">
        <v>9</v>
      </c>
    </row>
    <row r="12412" spans="1:7" x14ac:dyDescent="0.2">
      <c r="A12412" s="2" t="s">
        <v>3358</v>
      </c>
      <c r="B12412" s="2" t="s">
        <v>150</v>
      </c>
      <c r="C12412" s="2">
        <v>940.24519999999995</v>
      </c>
      <c r="D12412" s="2">
        <f>HYPERLINK("http://mcb-m6.bioreg.kyushu-u.ac.jp/M3/20110404/F50756/2860/1", 85.75)</f>
        <v>85.75</v>
      </c>
      <c r="E12412" s="2">
        <v>67.62</v>
      </c>
      <c r="F12412" s="2">
        <v>2</v>
      </c>
      <c r="G12412" s="2" t="s">
        <v>9</v>
      </c>
    </row>
    <row r="12413" spans="1:7" x14ac:dyDescent="0.2">
      <c r="A12413" s="2" t="s">
        <v>3358</v>
      </c>
      <c r="B12413" s="2" t="s">
        <v>150</v>
      </c>
      <c r="C12413" s="2">
        <v>940.34969999999998</v>
      </c>
      <c r="D12413" s="2">
        <f>HYPERLINK("http://mcb-m6.bioreg.kyushu-u.ac.jp/M3/20110404/F50767/2632/1", 88.24)</f>
        <v>88.24</v>
      </c>
      <c r="E12413" s="2">
        <v>68.87</v>
      </c>
      <c r="F12413" s="2">
        <v>2</v>
      </c>
      <c r="G12413" s="2" t="s">
        <v>9</v>
      </c>
    </row>
    <row r="12414" spans="1:7" x14ac:dyDescent="0.2">
      <c r="A12414" s="2" t="s">
        <v>3358</v>
      </c>
      <c r="B12414" s="2" t="s">
        <v>150</v>
      </c>
      <c r="C12414" s="2">
        <v>939.98820000000001</v>
      </c>
      <c r="D12414" s="2">
        <f>HYPERLINK("http://mcb-m6.bioreg.kyushu-u.ac.jp/M3/20110404/F50765/2615/1", 92.53)</f>
        <v>92.53</v>
      </c>
      <c r="E12414" s="2">
        <v>77.2</v>
      </c>
      <c r="F12414" s="2">
        <v>2</v>
      </c>
      <c r="G12414" s="2" t="s">
        <v>9</v>
      </c>
    </row>
    <row r="12415" spans="1:7" x14ac:dyDescent="0.2">
      <c r="A12415" s="2" t="s">
        <v>3358</v>
      </c>
      <c r="B12415" s="2" t="s">
        <v>150</v>
      </c>
      <c r="C12415" s="2">
        <v>940.13760000000002</v>
      </c>
      <c r="D12415" s="2">
        <f>HYPERLINK("http://mcb-m6.bioreg.kyushu-u.ac.jp/M3/20110404/F50763/2606/1", 93.12)</f>
        <v>93.12</v>
      </c>
      <c r="E12415" s="2">
        <v>75.760000000000005</v>
      </c>
      <c r="F12415" s="2">
        <v>2</v>
      </c>
      <c r="G12415" s="2" t="s">
        <v>9</v>
      </c>
    </row>
    <row r="12416" spans="1:7" x14ac:dyDescent="0.2">
      <c r="A12416" s="2" t="s">
        <v>3358</v>
      </c>
      <c r="B12416" s="2" t="s">
        <v>150</v>
      </c>
      <c r="C12416" s="2">
        <v>939.83969999999999</v>
      </c>
      <c r="D12416" s="2">
        <f>HYPERLINK("http://mcb-m6.bioreg.kyushu-u.ac.jp/M3/20110404/F50763/2605/1", 96.66)</f>
        <v>96.66</v>
      </c>
      <c r="E12416" s="2">
        <v>77.400000000000006</v>
      </c>
      <c r="F12416" s="2">
        <v>2</v>
      </c>
      <c r="G12416" s="2" t="s">
        <v>9</v>
      </c>
    </row>
    <row r="12417" spans="1:7" x14ac:dyDescent="0.2">
      <c r="A12417" s="2" t="s">
        <v>3358</v>
      </c>
      <c r="B12417" s="2" t="s">
        <v>150</v>
      </c>
      <c r="C12417" s="2">
        <v>940.44960000000003</v>
      </c>
      <c r="D12417" s="2">
        <f>HYPERLINK("http://mcb-m6.bioreg.kyushu-u.ac.jp/M3/20110404/F50756/2861/1", 96.72)</f>
        <v>96.72</v>
      </c>
      <c r="E12417" s="2">
        <v>75.349999999999994</v>
      </c>
      <c r="F12417" s="2">
        <v>2</v>
      </c>
      <c r="G12417" s="2" t="s">
        <v>9</v>
      </c>
    </row>
    <row r="12418" spans="1:7" x14ac:dyDescent="0.2">
      <c r="A12418" s="2" t="s">
        <v>3358</v>
      </c>
      <c r="B12418" s="2" t="s">
        <v>150</v>
      </c>
      <c r="C12418" s="2">
        <v>939.65170000000001</v>
      </c>
      <c r="D12418" s="2">
        <f>HYPERLINK("http://mcb-m6.bioreg.kyushu-u.ac.jp/M3/20110404/F50765/2611/1", 103)</f>
        <v>103</v>
      </c>
      <c r="E12418" s="2">
        <v>83.78</v>
      </c>
      <c r="F12418" s="2">
        <v>2</v>
      </c>
      <c r="G12418" s="2" t="s">
        <v>9</v>
      </c>
    </row>
    <row r="12419" spans="1:7" x14ac:dyDescent="0.2">
      <c r="A12419" s="2" t="s">
        <v>3358</v>
      </c>
      <c r="B12419" s="2" t="s">
        <v>150</v>
      </c>
      <c r="C12419" s="2">
        <v>940.35860000000002</v>
      </c>
      <c r="D12419" s="2">
        <f>HYPERLINK("http://mcb-m6.bioreg.kyushu-u.ac.jp/M3/20110404/F50763/2608/1", 103.03)</f>
        <v>103.03</v>
      </c>
      <c r="E12419" s="2">
        <v>83.06</v>
      </c>
      <c r="F12419" s="2">
        <v>2</v>
      </c>
      <c r="G12419" s="2" t="s">
        <v>9</v>
      </c>
    </row>
    <row r="12420" spans="1:7" x14ac:dyDescent="0.2">
      <c r="A12420" s="2" t="s">
        <v>3358</v>
      </c>
      <c r="B12420" s="2" t="s">
        <v>150</v>
      </c>
      <c r="C12420" s="2">
        <v>940.41970000000003</v>
      </c>
      <c r="D12420" s="2">
        <f>HYPERLINK("http://mcb-m6.bioreg.kyushu-u.ac.jp/M3/20110404/F50752/2692/1", 104.16)</f>
        <v>104.16</v>
      </c>
      <c r="E12420" s="2">
        <v>88.26</v>
      </c>
      <c r="F12420" s="2">
        <v>2</v>
      </c>
      <c r="G12420" s="2" t="s">
        <v>9</v>
      </c>
    </row>
    <row r="12421" spans="1:7" x14ac:dyDescent="0.2">
      <c r="A12421" s="2" t="s">
        <v>3358</v>
      </c>
      <c r="B12421" s="2" t="s">
        <v>150</v>
      </c>
      <c r="C12421" s="2">
        <v>940.45370000000003</v>
      </c>
      <c r="D12421" s="2">
        <f>HYPERLINK("http://mcb-m6.bioreg.kyushu-u.ac.jp/M3/20110404/F50764/2582/1", 106.27)</f>
        <v>106.27</v>
      </c>
      <c r="E12421" s="2">
        <v>84.8</v>
      </c>
      <c r="F12421" s="2">
        <v>2</v>
      </c>
      <c r="G12421" s="2" t="s">
        <v>9</v>
      </c>
    </row>
    <row r="12422" spans="1:7" x14ac:dyDescent="0.2">
      <c r="A12422" s="2" t="s">
        <v>3358</v>
      </c>
      <c r="B12422" s="2" t="s">
        <v>150</v>
      </c>
      <c r="C12422" s="2">
        <v>940.25710000000004</v>
      </c>
      <c r="D12422" s="2">
        <f>HYPERLINK("http://mcb-m6.bioreg.kyushu-u.ac.jp/M3/20110404/F50767/2630/1", 107.66)</f>
        <v>107.66</v>
      </c>
      <c r="E12422" s="2">
        <v>89.13</v>
      </c>
      <c r="F12422" s="2">
        <v>2</v>
      </c>
      <c r="G12422" s="2" t="s">
        <v>9</v>
      </c>
    </row>
    <row r="12423" spans="1:7" x14ac:dyDescent="0.2">
      <c r="A12423" s="2" t="s">
        <v>3358</v>
      </c>
      <c r="B12423" s="2" t="s">
        <v>150</v>
      </c>
      <c r="C12423" s="2">
        <v>940.39319999999998</v>
      </c>
      <c r="D12423" s="2">
        <f>HYPERLINK("http://mcb-m6.bioreg.kyushu-u.ac.jp/M3/20110404/F50754/2723/1", 109.82)</f>
        <v>109.82</v>
      </c>
      <c r="E12423" s="2">
        <v>91.43</v>
      </c>
      <c r="F12423" s="2">
        <v>2</v>
      </c>
      <c r="G12423" s="2" t="s">
        <v>9</v>
      </c>
    </row>
    <row r="12424" spans="1:7" x14ac:dyDescent="0.2">
      <c r="A12424" s="2" t="s">
        <v>3358</v>
      </c>
      <c r="B12424" s="2" t="s">
        <v>150</v>
      </c>
      <c r="C12424" s="2">
        <v>940.52120000000002</v>
      </c>
      <c r="D12424" s="2">
        <f>HYPERLINK("http://mcb-m6.bioreg.kyushu-u.ac.jp/M3/20110404/F50751/2510/1", 110.58)</f>
        <v>110.58</v>
      </c>
      <c r="E12424" s="2">
        <v>88.43</v>
      </c>
      <c r="F12424" s="2">
        <v>2</v>
      </c>
      <c r="G12424" s="2" t="s">
        <v>9</v>
      </c>
    </row>
    <row r="12425" spans="1:7" x14ac:dyDescent="0.2">
      <c r="A12425" s="2" t="s">
        <v>3358</v>
      </c>
      <c r="B12425" s="2" t="s">
        <v>150</v>
      </c>
      <c r="C12425" s="2">
        <v>940.38760000000002</v>
      </c>
      <c r="D12425" s="2">
        <f>HYPERLINK("http://mcb-m6.bioreg.kyushu-u.ac.jp/M3/20110404/F50764/2581/1", 124.69)</f>
        <v>124.69</v>
      </c>
      <c r="E12425" s="2">
        <v>101.34</v>
      </c>
      <c r="F12425" s="2">
        <v>2</v>
      </c>
      <c r="G12425" s="2" t="s">
        <v>9</v>
      </c>
    </row>
    <row r="12426" spans="1:7" x14ac:dyDescent="0.2">
      <c r="A12426" s="2" t="s">
        <v>3358</v>
      </c>
      <c r="B12426" s="2" t="s">
        <v>150</v>
      </c>
      <c r="C12426" s="2">
        <v>939.81119999999999</v>
      </c>
      <c r="D12426" s="2">
        <f>HYPERLINK("http://mcb-m6.bioreg.kyushu-u.ac.jp/M3/20110404/F50776/2389/1", 125.88)</f>
        <v>125.88</v>
      </c>
      <c r="E12426" s="2">
        <v>104.08</v>
      </c>
      <c r="F12426" s="2">
        <v>2</v>
      </c>
      <c r="G12426" s="2" t="s">
        <v>9</v>
      </c>
    </row>
    <row r="12427" spans="1:7" x14ac:dyDescent="0.2">
      <c r="A12427" s="2" t="s">
        <v>3358</v>
      </c>
      <c r="B12427" s="2" t="s">
        <v>150</v>
      </c>
      <c r="C12427" s="2">
        <v>939.90520000000004</v>
      </c>
      <c r="D12427" s="2">
        <f>HYPERLINK("http://mcb-m6.bioreg.kyushu-u.ac.jp/M3/20110404/F50762/2444/1", 132.24)</f>
        <v>132.24</v>
      </c>
      <c r="E12427" s="2">
        <v>111.11</v>
      </c>
      <c r="F12427" s="2">
        <v>2</v>
      </c>
      <c r="G12427" s="2" t="s">
        <v>9</v>
      </c>
    </row>
    <row r="12428" spans="1:7" x14ac:dyDescent="0.2">
      <c r="A12428" s="2" t="s">
        <v>3358</v>
      </c>
      <c r="B12428" s="2" t="s">
        <v>150</v>
      </c>
      <c r="C12428" s="2">
        <v>939.88459999999998</v>
      </c>
      <c r="D12428" s="2">
        <f>HYPERLINK("http://mcb-m6.bioreg.kyushu-u.ac.jp/M3/20110404/F50764/2579/1", 132.61)</f>
        <v>132.61000000000001</v>
      </c>
      <c r="E12428" s="2">
        <v>109.25</v>
      </c>
      <c r="F12428" s="2">
        <v>2</v>
      </c>
      <c r="G12428" s="2" t="s">
        <v>9</v>
      </c>
    </row>
    <row r="12429" spans="1:7" x14ac:dyDescent="0.2">
      <c r="A12429" s="2" t="s">
        <v>3358</v>
      </c>
      <c r="B12429" s="2" t="s">
        <v>150</v>
      </c>
      <c r="C12429" s="2">
        <v>939.87819999999999</v>
      </c>
      <c r="D12429" s="2">
        <f>HYPERLINK("http://mcb-m6.bioreg.kyushu-u.ac.jp/M3/20110404/F50762/2443/1", 133.61)</f>
        <v>133.61000000000001</v>
      </c>
      <c r="E12429" s="2">
        <v>109.67</v>
      </c>
      <c r="F12429" s="2">
        <v>2</v>
      </c>
      <c r="G12429" s="2" t="s">
        <v>9</v>
      </c>
    </row>
    <row r="12430" spans="1:7" x14ac:dyDescent="0.2">
      <c r="A12430" s="2" t="s">
        <v>3358</v>
      </c>
      <c r="B12430" s="2" t="s">
        <v>150</v>
      </c>
      <c r="C12430" s="2">
        <v>940.20759999999996</v>
      </c>
      <c r="D12430" s="2">
        <f>HYPERLINK("http://mcb-m6.bioreg.kyushu-u.ac.jp/M3/20110404/F50758/2554/1", 41.36)</f>
        <v>41.36</v>
      </c>
      <c r="E12430" s="2">
        <v>31.27</v>
      </c>
      <c r="F12430" s="2">
        <v>2</v>
      </c>
      <c r="G12430" s="2" t="s">
        <v>10</v>
      </c>
    </row>
    <row r="12431" spans="1:7" x14ac:dyDescent="0.2">
      <c r="A12431" s="2" t="s">
        <v>3358</v>
      </c>
      <c r="B12431" s="2" t="s">
        <v>150</v>
      </c>
      <c r="C12431" s="2">
        <v>939.7672</v>
      </c>
      <c r="D12431" s="2">
        <f>HYPERLINK("http://mcb-m6.bioreg.kyushu-u.ac.jp/M3/20110404/F50773/2560/1", 42.6)</f>
        <v>42.6</v>
      </c>
      <c r="E12431" s="2">
        <v>22.7</v>
      </c>
      <c r="F12431" s="2">
        <v>2</v>
      </c>
      <c r="G12431" s="2" t="s">
        <v>10</v>
      </c>
    </row>
    <row r="12432" spans="1:7" x14ac:dyDescent="0.2">
      <c r="A12432" s="2" t="s">
        <v>3358</v>
      </c>
      <c r="B12432" s="2" t="s">
        <v>150</v>
      </c>
      <c r="C12432" s="2">
        <v>940.26009999999997</v>
      </c>
      <c r="D12432" s="2">
        <f>HYPERLINK("http://mcb-m6.bioreg.kyushu-u.ac.jp/M3/20110404/F50758/2555/1", 45.25)</f>
        <v>45.25</v>
      </c>
      <c r="E12432" s="2">
        <v>27.04</v>
      </c>
      <c r="F12432" s="2">
        <v>2</v>
      </c>
      <c r="G12432" s="2" t="s">
        <v>10</v>
      </c>
    </row>
    <row r="12433" spans="1:7" x14ac:dyDescent="0.2">
      <c r="A12433" s="2" t="s">
        <v>3358</v>
      </c>
      <c r="B12433" s="2" t="s">
        <v>150</v>
      </c>
      <c r="C12433" s="2">
        <v>939.59270000000004</v>
      </c>
      <c r="D12433" s="2">
        <f>HYPERLINK("http://mcb-m6.bioreg.kyushu-u.ac.jp/M3/20110404/F50782/2746/1", 56.02)</f>
        <v>56.02</v>
      </c>
      <c r="E12433" s="2">
        <v>45.04</v>
      </c>
      <c r="F12433" s="2">
        <v>2</v>
      </c>
      <c r="G12433" s="2" t="s">
        <v>10</v>
      </c>
    </row>
    <row r="12434" spans="1:7" x14ac:dyDescent="0.2">
      <c r="A12434" s="2" t="s">
        <v>3358</v>
      </c>
      <c r="B12434" s="2" t="s">
        <v>150</v>
      </c>
      <c r="C12434" s="2">
        <v>940.23170000000005</v>
      </c>
      <c r="D12434" s="2">
        <f>HYPERLINK("http://mcb-m6.bioreg.kyushu-u.ac.jp/M3/20110404/F50773/2564/1", 59.36)</f>
        <v>59.36</v>
      </c>
      <c r="E12434" s="2">
        <v>40.31</v>
      </c>
      <c r="F12434" s="2">
        <v>2</v>
      </c>
      <c r="G12434" s="2" t="s">
        <v>10</v>
      </c>
    </row>
    <row r="12435" spans="1:7" x14ac:dyDescent="0.2">
      <c r="A12435" s="2" t="s">
        <v>3358</v>
      </c>
      <c r="B12435" s="2" t="s">
        <v>150</v>
      </c>
      <c r="C12435" s="2">
        <v>939.56370000000004</v>
      </c>
      <c r="D12435" s="2">
        <f>HYPERLINK("http://mcb-m6.bioreg.kyushu-u.ac.jp/M3/20110404/F50782/2745/1", 60.3)</f>
        <v>60.3</v>
      </c>
      <c r="E12435" s="2">
        <v>47.88</v>
      </c>
      <c r="F12435" s="2">
        <v>2</v>
      </c>
      <c r="G12435" s="2" t="s">
        <v>10</v>
      </c>
    </row>
    <row r="12436" spans="1:7" x14ac:dyDescent="0.2">
      <c r="A12436" s="2" t="s">
        <v>3358</v>
      </c>
      <c r="B12436" s="2" t="s">
        <v>150</v>
      </c>
      <c r="C12436" s="2">
        <v>939.77670000000001</v>
      </c>
      <c r="D12436" s="2">
        <f>HYPERLINK("http://mcb-m6.bioreg.kyushu-u.ac.jp/M3/20110404/F50760/2527/1", 66.52)</f>
        <v>66.52</v>
      </c>
      <c r="E12436" s="2">
        <v>55.76</v>
      </c>
      <c r="F12436" s="2">
        <v>2</v>
      </c>
      <c r="G12436" s="2" t="s">
        <v>10</v>
      </c>
    </row>
    <row r="12437" spans="1:7" x14ac:dyDescent="0.2">
      <c r="A12437" s="2" t="s">
        <v>3358</v>
      </c>
      <c r="B12437" s="2" t="s">
        <v>150</v>
      </c>
      <c r="C12437" s="2">
        <v>940.4982</v>
      </c>
      <c r="D12437" s="2">
        <f>HYPERLINK("http://mcb-m6.bioreg.kyushu-u.ac.jp/M3/20110404/F50774/2564/1", 87.27)</f>
        <v>87.27</v>
      </c>
      <c r="E12437" s="2">
        <v>69.12</v>
      </c>
      <c r="F12437" s="2">
        <v>2</v>
      </c>
      <c r="G12437" s="2" t="s">
        <v>10</v>
      </c>
    </row>
    <row r="12438" spans="1:7" x14ac:dyDescent="0.2">
      <c r="A12438" s="2" t="s">
        <v>3358</v>
      </c>
      <c r="B12438" s="2" t="s">
        <v>150</v>
      </c>
      <c r="C12438" s="2">
        <v>940.52419999999995</v>
      </c>
      <c r="D12438" s="2">
        <f>HYPERLINK("http://mcb-m6.bioreg.kyushu-u.ac.jp/M3/20110404/F50772/2703/1", 90.68)</f>
        <v>90.68</v>
      </c>
      <c r="E12438" s="2">
        <v>74.33</v>
      </c>
      <c r="F12438" s="2">
        <v>2</v>
      </c>
      <c r="G12438" s="2" t="s">
        <v>10</v>
      </c>
    </row>
    <row r="12439" spans="1:7" x14ac:dyDescent="0.2">
      <c r="A12439" s="2" t="s">
        <v>3358</v>
      </c>
      <c r="B12439" s="2" t="s">
        <v>150</v>
      </c>
      <c r="C12439" s="2">
        <v>939.76969999999994</v>
      </c>
      <c r="D12439" s="2">
        <f>HYPERLINK("http://mcb-m6.bioreg.kyushu-u.ac.jp/M3/20110404/F50758/2552/1", 96.05)</f>
        <v>96.05</v>
      </c>
      <c r="E12439" s="2">
        <v>76.44</v>
      </c>
      <c r="F12439" s="2">
        <v>2</v>
      </c>
      <c r="G12439" s="2" t="s">
        <v>10</v>
      </c>
    </row>
    <row r="12440" spans="1:7" x14ac:dyDescent="0.2">
      <c r="A12440" s="2" t="s">
        <v>3358</v>
      </c>
      <c r="B12440" s="2" t="s">
        <v>150</v>
      </c>
      <c r="C12440" s="2">
        <v>939.95870000000002</v>
      </c>
      <c r="D12440" s="2">
        <f>HYPERLINK("http://mcb-m6.bioreg.kyushu-u.ac.jp/M3/20110404/F50769/2491/1", 97.22)</f>
        <v>97.22</v>
      </c>
      <c r="E12440" s="2">
        <v>78.08</v>
      </c>
      <c r="F12440" s="2">
        <v>2</v>
      </c>
      <c r="G12440" s="2" t="s">
        <v>10</v>
      </c>
    </row>
    <row r="12441" spans="1:7" x14ac:dyDescent="0.2">
      <c r="A12441" s="2" t="s">
        <v>3358</v>
      </c>
      <c r="B12441" s="2" t="s">
        <v>150</v>
      </c>
      <c r="C12441" s="2">
        <v>940.48609999999996</v>
      </c>
      <c r="D12441" s="2">
        <f>HYPERLINK("http://mcb-m6.bioreg.kyushu-u.ac.jp/M3/20110404/F50775/2639/1", 101.35)</f>
        <v>101.35</v>
      </c>
      <c r="E12441" s="2">
        <v>74.099999999999994</v>
      </c>
      <c r="F12441" s="2">
        <v>2</v>
      </c>
      <c r="G12441" s="2" t="s">
        <v>10</v>
      </c>
    </row>
    <row r="12442" spans="1:7" x14ac:dyDescent="0.2">
      <c r="A12442" s="2" t="s">
        <v>3358</v>
      </c>
      <c r="B12442" s="2" t="s">
        <v>150</v>
      </c>
      <c r="C12442" s="2">
        <v>939.75369999999998</v>
      </c>
      <c r="D12442" s="2">
        <f>HYPERLINK("http://mcb-m6.bioreg.kyushu-u.ac.jp/M3/20110404/F50761/2637/1", 104.09)</f>
        <v>104.09</v>
      </c>
      <c r="E12442" s="2">
        <v>78.27</v>
      </c>
      <c r="F12442" s="2">
        <v>2</v>
      </c>
      <c r="G12442" s="2" t="s">
        <v>10</v>
      </c>
    </row>
    <row r="12443" spans="1:7" x14ac:dyDescent="0.2">
      <c r="A12443" s="2" t="s">
        <v>3358</v>
      </c>
      <c r="B12443" s="2" t="s">
        <v>150</v>
      </c>
      <c r="C12443" s="2">
        <v>939.72270000000003</v>
      </c>
      <c r="D12443" s="2">
        <f>HYPERLINK("http://mcb-m6.bioreg.kyushu-u.ac.jp/M3/20110404/F50761/2636/1", 104.29)</f>
        <v>104.29</v>
      </c>
      <c r="E12443" s="2">
        <v>73.599999999999994</v>
      </c>
      <c r="F12443" s="2">
        <v>2</v>
      </c>
      <c r="G12443" s="2" t="s">
        <v>10</v>
      </c>
    </row>
    <row r="12444" spans="1:7" x14ac:dyDescent="0.2">
      <c r="A12444" s="2" t="s">
        <v>3358</v>
      </c>
      <c r="B12444" s="2" t="s">
        <v>150</v>
      </c>
      <c r="C12444" s="2">
        <v>940.32920000000001</v>
      </c>
      <c r="D12444" s="2">
        <f>HYPERLINK("http://mcb-m6.bioreg.kyushu-u.ac.jp/M3/20110404/F50761/2641/1", 104.92)</f>
        <v>104.92</v>
      </c>
      <c r="E12444" s="2">
        <v>83.52</v>
      </c>
      <c r="F12444" s="2">
        <v>2</v>
      </c>
      <c r="G12444" s="2" t="s">
        <v>10</v>
      </c>
    </row>
    <row r="12445" spans="1:7" x14ac:dyDescent="0.2">
      <c r="A12445" s="2" t="s">
        <v>3358</v>
      </c>
      <c r="B12445" s="2" t="s">
        <v>150</v>
      </c>
      <c r="C12445" s="2">
        <v>940.33119999999997</v>
      </c>
      <c r="D12445" s="2">
        <f>HYPERLINK("http://mcb-m6.bioreg.kyushu-u.ac.jp/M3/20110404/F50761/2642/1", 106.61)</f>
        <v>106.61</v>
      </c>
      <c r="E12445" s="2">
        <v>84.82</v>
      </c>
      <c r="F12445" s="2">
        <v>2</v>
      </c>
      <c r="G12445" s="2" t="s">
        <v>10</v>
      </c>
    </row>
    <row r="12446" spans="1:7" x14ac:dyDescent="0.2">
      <c r="A12446" s="2" t="s">
        <v>3358</v>
      </c>
      <c r="B12446" s="2" t="s">
        <v>150</v>
      </c>
      <c r="C12446" s="2">
        <v>940.36609999999996</v>
      </c>
      <c r="D12446" s="2">
        <f>HYPERLINK("http://mcb-m6.bioreg.kyushu-u.ac.jp/M3/20110404/F50760/2533/1", 108.83)</f>
        <v>108.83</v>
      </c>
      <c r="E12446" s="2">
        <v>87.78</v>
      </c>
      <c r="F12446" s="2">
        <v>2</v>
      </c>
      <c r="G12446" s="2" t="s">
        <v>10</v>
      </c>
    </row>
    <row r="12447" spans="1:7" x14ac:dyDescent="0.2">
      <c r="A12447" s="2" t="s">
        <v>3358</v>
      </c>
      <c r="B12447" s="2" t="s">
        <v>150</v>
      </c>
      <c r="C12447" s="2">
        <v>940.20320000000004</v>
      </c>
      <c r="D12447" s="2">
        <f>HYPERLINK("http://mcb-m6.bioreg.kyushu-u.ac.jp/M3/20110404/F50760/2531/1", 110.41)</f>
        <v>110.41</v>
      </c>
      <c r="E12447" s="2">
        <v>91.7</v>
      </c>
      <c r="F12447" s="2">
        <v>2</v>
      </c>
      <c r="G12447" s="2" t="s">
        <v>10</v>
      </c>
    </row>
    <row r="12448" spans="1:7" x14ac:dyDescent="0.2">
      <c r="A12448" s="2" t="s">
        <v>3358</v>
      </c>
      <c r="B12448" s="2" t="s">
        <v>150</v>
      </c>
      <c r="C12448" s="2">
        <v>939.85860000000002</v>
      </c>
      <c r="D12448" s="2">
        <f>HYPERLINK("http://mcb-m6.bioreg.kyushu-u.ac.jp/M3/20110404/F50760/2530/1", 110.55)</f>
        <v>110.55</v>
      </c>
      <c r="E12448" s="2">
        <v>89.48</v>
      </c>
      <c r="F12448" s="2">
        <v>2</v>
      </c>
      <c r="G12448" s="2" t="s">
        <v>10</v>
      </c>
    </row>
    <row r="12449" spans="1:7" x14ac:dyDescent="0.2">
      <c r="A12449" s="2" t="s">
        <v>3358</v>
      </c>
      <c r="B12449" s="2" t="s">
        <v>150</v>
      </c>
      <c r="C12449" s="2">
        <v>940.32619999999997</v>
      </c>
      <c r="D12449" s="2">
        <f>HYPERLINK("http://mcb-m6.bioreg.kyushu-u.ac.jp/M3/20110404/F50760/2532/1", 114.7)</f>
        <v>114.7</v>
      </c>
      <c r="E12449" s="2">
        <v>94.92</v>
      </c>
      <c r="F12449" s="2">
        <v>2</v>
      </c>
      <c r="G12449" s="2" t="s">
        <v>10</v>
      </c>
    </row>
    <row r="12450" spans="1:7" x14ac:dyDescent="0.2">
      <c r="A12450" s="2" t="s">
        <v>3358</v>
      </c>
      <c r="B12450" s="2" t="s">
        <v>150</v>
      </c>
      <c r="C12450" s="2">
        <v>939.90620000000001</v>
      </c>
      <c r="D12450" s="2">
        <f>HYPERLINK("http://mcb-m6.bioreg.kyushu-u.ac.jp/M3/20110404/F50757/2517/1", 115.76)</f>
        <v>115.76</v>
      </c>
      <c r="E12450" s="2">
        <v>94.97</v>
      </c>
      <c r="F12450" s="2">
        <v>2</v>
      </c>
      <c r="G12450" s="2" t="s">
        <v>10</v>
      </c>
    </row>
    <row r="12451" spans="1:7" x14ac:dyDescent="0.2">
      <c r="A12451" s="2" t="s">
        <v>3358</v>
      </c>
      <c r="B12451" s="2" t="s">
        <v>150</v>
      </c>
      <c r="C12451" s="2">
        <v>939.85670000000005</v>
      </c>
      <c r="D12451" s="2">
        <f>HYPERLINK("http://mcb-m6.bioreg.kyushu-u.ac.jp/M3/20110404/F50768/2571/1", 116.22)</f>
        <v>116.22</v>
      </c>
      <c r="E12451" s="2">
        <v>99.89</v>
      </c>
      <c r="F12451" s="2">
        <v>2</v>
      </c>
      <c r="G12451" s="2" t="s">
        <v>10</v>
      </c>
    </row>
    <row r="12452" spans="1:7" x14ac:dyDescent="0.2">
      <c r="A12452" s="2" t="s">
        <v>3358</v>
      </c>
      <c r="B12452" s="2" t="s">
        <v>150</v>
      </c>
      <c r="C12452" s="2">
        <v>939.7817</v>
      </c>
      <c r="D12452" s="2">
        <f>HYPERLINK("http://mcb-m6.bioreg.kyushu-u.ac.jp/M3/20110404/F50761/2638/1", 117.4)</f>
        <v>117.4</v>
      </c>
      <c r="E12452" s="2">
        <v>102.56</v>
      </c>
      <c r="F12452" s="2">
        <v>2</v>
      </c>
      <c r="G12452" s="2" t="s">
        <v>10</v>
      </c>
    </row>
    <row r="12453" spans="1:7" x14ac:dyDescent="0.2">
      <c r="A12453" s="2" t="s">
        <v>3358</v>
      </c>
      <c r="B12453" s="2" t="s">
        <v>150</v>
      </c>
      <c r="C12453" s="2">
        <v>940.06619999999998</v>
      </c>
      <c r="D12453" s="2">
        <f>HYPERLINK("http://mcb-m6.bioreg.kyushu-u.ac.jp/M3/20110404/F50773/2562/1", 119.32)</f>
        <v>119.32</v>
      </c>
      <c r="E12453" s="2">
        <v>98.56</v>
      </c>
      <c r="F12453" s="2">
        <v>2</v>
      </c>
      <c r="G12453" s="2" t="s">
        <v>10</v>
      </c>
    </row>
    <row r="12454" spans="1:7" x14ac:dyDescent="0.2">
      <c r="A12454" s="2" t="s">
        <v>3358</v>
      </c>
      <c r="B12454" s="2" t="s">
        <v>150</v>
      </c>
      <c r="C12454" s="2">
        <v>939.78120000000001</v>
      </c>
      <c r="D12454" s="2">
        <f>HYPERLINK("http://mcb-m6.bioreg.kyushu-u.ac.jp/M3/20110404/F50760/2528/1", 119.68)</f>
        <v>119.68</v>
      </c>
      <c r="E12454" s="2">
        <v>94.35</v>
      </c>
      <c r="F12454" s="2">
        <v>2</v>
      </c>
      <c r="G12454" s="2" t="s">
        <v>10</v>
      </c>
    </row>
    <row r="12455" spans="1:7" x14ac:dyDescent="0.2">
      <c r="A12455" s="2" t="s">
        <v>3358</v>
      </c>
      <c r="B12455" s="2" t="s">
        <v>150</v>
      </c>
      <c r="C12455" s="2">
        <v>939.90369999999996</v>
      </c>
      <c r="D12455" s="2">
        <f>HYPERLINK("http://mcb-m6.bioreg.kyushu-u.ac.jp/M3/20110404/F50757/2516/1", 129.29)</f>
        <v>129.29</v>
      </c>
      <c r="E12455" s="2">
        <v>111.42</v>
      </c>
      <c r="F12455" s="2">
        <v>2</v>
      </c>
      <c r="G12455" s="2" t="s">
        <v>10</v>
      </c>
    </row>
    <row r="12456" spans="1:7" x14ac:dyDescent="0.2">
      <c r="A12456" s="2" t="s">
        <v>3358</v>
      </c>
      <c r="B12456" s="2" t="s">
        <v>150</v>
      </c>
      <c r="C12456" s="2">
        <v>939.91920000000005</v>
      </c>
      <c r="D12456" s="2">
        <f>HYPERLINK("http://mcb-m6.bioreg.kyushu-u.ac.jp/M3/20110404/F50774/2563/1", 130.28)</f>
        <v>130.28</v>
      </c>
      <c r="E12456" s="2">
        <v>107.89</v>
      </c>
      <c r="F12456" s="2">
        <v>2</v>
      </c>
      <c r="G12456" s="2" t="s">
        <v>10</v>
      </c>
    </row>
    <row r="12457" spans="1:7" x14ac:dyDescent="0.2">
      <c r="A12457" s="2" t="s">
        <v>3358</v>
      </c>
      <c r="B12457" s="2" t="s">
        <v>150</v>
      </c>
      <c r="C12457" s="2">
        <v>939.81209999999999</v>
      </c>
      <c r="D12457" s="2">
        <f>HYPERLINK("http://mcb-m6.bioreg.kyushu-u.ac.jp/M3/20110404/F50760/2529/1", 137.63)</f>
        <v>137.63</v>
      </c>
      <c r="E12457" s="2">
        <v>111.45</v>
      </c>
      <c r="F12457" s="2">
        <v>2</v>
      </c>
      <c r="G12457" s="2" t="s">
        <v>10</v>
      </c>
    </row>
    <row r="12458" spans="1:7" x14ac:dyDescent="0.2">
      <c r="A12458" s="2" t="s">
        <v>3358</v>
      </c>
      <c r="B12458" s="2" t="s">
        <v>150</v>
      </c>
      <c r="C12458" s="2">
        <v>939.85059999999999</v>
      </c>
      <c r="D12458" s="2">
        <f>HYPERLINK("http://mcb-m6.bioreg.kyushu-u.ac.jp/M3/20110404/F50757/2514/1", 139.19)</f>
        <v>139.19</v>
      </c>
      <c r="E12458" s="2">
        <v>109.84</v>
      </c>
      <c r="F12458" s="2">
        <v>2</v>
      </c>
      <c r="G12458" s="2" t="s">
        <v>10</v>
      </c>
    </row>
    <row r="12459" spans="1:7" x14ac:dyDescent="0.2">
      <c r="A12459" s="2" t="s">
        <v>3358</v>
      </c>
      <c r="B12459" s="2" t="s">
        <v>150</v>
      </c>
      <c r="C12459" s="2">
        <v>940.07510000000002</v>
      </c>
      <c r="D12459" s="2">
        <f>HYPERLINK("http://mcb-m6.bioreg.kyushu-u.ac.jp/M3/20110421/F51021/3112/1", 56.68)</f>
        <v>56.68</v>
      </c>
      <c r="E12459" s="2">
        <v>41.03</v>
      </c>
      <c r="F12459" s="2">
        <v>2</v>
      </c>
      <c r="G12459" s="2" t="s">
        <v>12</v>
      </c>
    </row>
    <row r="12460" spans="1:7" x14ac:dyDescent="0.2">
      <c r="A12460" s="2" t="s">
        <v>3358</v>
      </c>
      <c r="B12460" s="2" t="s">
        <v>150</v>
      </c>
      <c r="C12460" s="2">
        <v>939.64369999999997</v>
      </c>
      <c r="D12460" s="2">
        <f>HYPERLINK("http://mcb-m6.bioreg.kyushu-u.ac.jp/M3/20110421/F51021/3107/1", 69.5)</f>
        <v>69.5</v>
      </c>
      <c r="E12460" s="2">
        <v>41.06</v>
      </c>
      <c r="F12460" s="2">
        <v>2</v>
      </c>
      <c r="G12460" s="2" t="s">
        <v>12</v>
      </c>
    </row>
    <row r="12461" spans="1:7" x14ac:dyDescent="0.2">
      <c r="A12461" s="2" t="s">
        <v>3358</v>
      </c>
      <c r="B12461" s="2" t="s">
        <v>150</v>
      </c>
      <c r="C12461" s="2">
        <v>940.32370000000003</v>
      </c>
      <c r="D12461" s="2">
        <f>HYPERLINK("http://mcb-m6.bioreg.kyushu-u.ac.jp/M3/20110421/F51022/2286/1", 103.97)</f>
        <v>103.97</v>
      </c>
      <c r="E12461" s="2">
        <v>81.36</v>
      </c>
      <c r="F12461" s="2">
        <v>2</v>
      </c>
      <c r="G12461" s="2" t="s">
        <v>12</v>
      </c>
    </row>
    <row r="12462" spans="1:7" x14ac:dyDescent="0.2">
      <c r="A12462" s="2" t="s">
        <v>3358</v>
      </c>
      <c r="B12462" s="2" t="s">
        <v>150</v>
      </c>
      <c r="C12462" s="2">
        <v>940.27509999999995</v>
      </c>
      <c r="D12462" s="2">
        <f>HYPERLINK("http://mcb-m6.bioreg.kyushu-u.ac.jp/M3/20110421/F51021/3115/1", 106.22)</f>
        <v>106.22</v>
      </c>
      <c r="E12462" s="2">
        <v>83.5</v>
      </c>
      <c r="F12462" s="2">
        <v>2</v>
      </c>
      <c r="G12462" s="2" t="s">
        <v>12</v>
      </c>
    </row>
    <row r="12463" spans="1:7" x14ac:dyDescent="0.2">
      <c r="A12463" s="2" t="s">
        <v>3358</v>
      </c>
      <c r="B12463" s="2" t="s">
        <v>150</v>
      </c>
      <c r="C12463" s="2">
        <v>940.24270000000001</v>
      </c>
      <c r="D12463" s="2">
        <f>HYPERLINK("http://mcb-m6.bioreg.kyushu-u.ac.jp/M3/20110421/F51021/3114/1", 111.19)</f>
        <v>111.19</v>
      </c>
      <c r="E12463" s="2">
        <v>86.95</v>
      </c>
      <c r="F12463" s="2">
        <v>2</v>
      </c>
      <c r="G12463" s="2" t="s">
        <v>12</v>
      </c>
    </row>
    <row r="12464" spans="1:7" x14ac:dyDescent="0.2">
      <c r="A12464" s="2" t="s">
        <v>3358</v>
      </c>
      <c r="B12464" s="2" t="s">
        <v>150</v>
      </c>
      <c r="C12464" s="2">
        <v>940.10170000000005</v>
      </c>
      <c r="D12464" s="2">
        <f>HYPERLINK("http://mcb-m6.bioreg.kyushu-u.ac.jp/M3/20110421/F51061/2609/1", 114.09)</f>
        <v>114.09</v>
      </c>
      <c r="E12464" s="2">
        <v>98.08</v>
      </c>
      <c r="F12464" s="2">
        <v>2</v>
      </c>
      <c r="G12464" s="2" t="s">
        <v>12</v>
      </c>
    </row>
    <row r="12465" spans="1:7" x14ac:dyDescent="0.2">
      <c r="A12465" s="2" t="s">
        <v>3358</v>
      </c>
      <c r="B12465" s="2" t="s">
        <v>150</v>
      </c>
      <c r="C12465" s="2">
        <v>939.93219999999997</v>
      </c>
      <c r="D12465" s="2">
        <f>HYPERLINK("http://mcb-m6.bioreg.kyushu-u.ac.jp/M3/20110421/F51023/2734/1", 115.93)</f>
        <v>115.93</v>
      </c>
      <c r="E12465" s="2">
        <v>90.44</v>
      </c>
      <c r="F12465" s="2">
        <v>2</v>
      </c>
      <c r="G12465" s="2" t="s">
        <v>12</v>
      </c>
    </row>
    <row r="12466" spans="1:7" x14ac:dyDescent="0.2">
      <c r="A12466" s="2" t="s">
        <v>3358</v>
      </c>
      <c r="B12466" s="2" t="s">
        <v>150</v>
      </c>
      <c r="C12466" s="2">
        <v>940.39509999999996</v>
      </c>
      <c r="D12466" s="2">
        <f>HYPERLINK("http://mcb-m6.bioreg.kyushu-u.ac.jp/M3/20110421/F51061/2611/1", 117.76)</f>
        <v>117.76</v>
      </c>
      <c r="E12466" s="2">
        <v>99.71</v>
      </c>
      <c r="F12466" s="2">
        <v>2</v>
      </c>
      <c r="G12466" s="2" t="s">
        <v>12</v>
      </c>
    </row>
    <row r="12467" spans="1:7" x14ac:dyDescent="0.2">
      <c r="A12467" s="2" t="s">
        <v>3358</v>
      </c>
      <c r="B12467" s="2" t="s">
        <v>150</v>
      </c>
      <c r="C12467" s="2">
        <v>939.78470000000004</v>
      </c>
      <c r="D12467" s="2">
        <f>HYPERLINK("http://mcb-m6.bioreg.kyushu-u.ac.jp/M3/20110421/F51025/2645/1", 119.62)</f>
        <v>119.62</v>
      </c>
      <c r="E12467" s="2">
        <v>98.07</v>
      </c>
      <c r="F12467" s="2">
        <v>2</v>
      </c>
      <c r="G12467" s="2" t="s">
        <v>12</v>
      </c>
    </row>
    <row r="12468" spans="1:7" x14ac:dyDescent="0.2">
      <c r="A12468" s="2" t="s">
        <v>3358</v>
      </c>
      <c r="B12468" s="2" t="s">
        <v>150</v>
      </c>
      <c r="C12468" s="2">
        <v>939.87570000000005</v>
      </c>
      <c r="D12468" s="2">
        <f>HYPERLINK("http://mcb-m6.bioreg.kyushu-u.ac.jp/M3/20110421/F51061/2606/1", 123.9)</f>
        <v>123.9</v>
      </c>
      <c r="E12468" s="2">
        <v>106.14</v>
      </c>
      <c r="F12468" s="2">
        <v>2</v>
      </c>
      <c r="G12468" s="2" t="s">
        <v>12</v>
      </c>
    </row>
    <row r="12469" spans="1:7" x14ac:dyDescent="0.2">
      <c r="A12469" s="2" t="s">
        <v>3358</v>
      </c>
      <c r="B12469" s="2" t="s">
        <v>150</v>
      </c>
      <c r="C12469" s="2">
        <v>940.06960000000004</v>
      </c>
      <c r="D12469" s="2">
        <f>HYPERLINK("http://mcb-m6.bioreg.kyushu-u.ac.jp/M3/20110421/F51061/2608/1", 132.19)</f>
        <v>132.19</v>
      </c>
      <c r="E12469" s="2">
        <v>115.11</v>
      </c>
      <c r="F12469" s="2">
        <v>2</v>
      </c>
      <c r="G12469" s="2" t="s">
        <v>12</v>
      </c>
    </row>
    <row r="12470" spans="1:7" x14ac:dyDescent="0.2">
      <c r="A12470" s="2" t="s">
        <v>3358</v>
      </c>
      <c r="B12470" s="2" t="s">
        <v>150</v>
      </c>
      <c r="C12470" s="2">
        <v>939.98170000000005</v>
      </c>
      <c r="D12470" s="2">
        <f>HYPERLINK("http://mcb-m6.bioreg.kyushu-u.ac.jp/M3/20110421/F51061/2607/1", 132.69)</f>
        <v>132.69</v>
      </c>
      <c r="E12470" s="2">
        <v>111.38</v>
      </c>
      <c r="F12470" s="2">
        <v>2</v>
      </c>
      <c r="G12470" s="2" t="s">
        <v>12</v>
      </c>
    </row>
    <row r="12471" spans="1:7" x14ac:dyDescent="0.2">
      <c r="A12471" s="2" t="s">
        <v>3358</v>
      </c>
      <c r="B12471" s="2" t="s">
        <v>150</v>
      </c>
      <c r="C12471" s="2">
        <v>940.02560000000005</v>
      </c>
      <c r="D12471" s="2">
        <f>HYPERLINK("http://mcb-m6.bioreg.kyushu-u.ac.jp/M3/20110428/F51131/2742/1", 52.47)</f>
        <v>52.47</v>
      </c>
      <c r="E12471" s="2">
        <v>39.74</v>
      </c>
      <c r="F12471" s="2">
        <v>2</v>
      </c>
      <c r="G12471" s="2" t="s">
        <v>13</v>
      </c>
    </row>
    <row r="12472" spans="1:7" x14ac:dyDescent="0.2">
      <c r="A12472" s="2" t="s">
        <v>3358</v>
      </c>
      <c r="B12472" s="2" t="s">
        <v>150</v>
      </c>
      <c r="C12472" s="2">
        <v>940.08759999999995</v>
      </c>
      <c r="D12472" s="2">
        <f>HYPERLINK("http://mcb-m6.bioreg.kyushu-u.ac.jp/M3/20110428/F51130/2925/1", 35.06)</f>
        <v>35.06</v>
      </c>
      <c r="E12472" s="2">
        <v>20.22</v>
      </c>
      <c r="F12472" s="2">
        <v>2</v>
      </c>
      <c r="G12472" s="2" t="s">
        <v>14</v>
      </c>
    </row>
    <row r="12473" spans="1:7" x14ac:dyDescent="0.2">
      <c r="A12473" s="2" t="s">
        <v>3358</v>
      </c>
      <c r="B12473" s="2" t="s">
        <v>150</v>
      </c>
      <c r="C12473" s="2">
        <v>939.8777</v>
      </c>
      <c r="D12473" s="2">
        <f>HYPERLINK("http://mcb-m6.bioreg.kyushu-u.ac.jp/M3/20110427/F51121/2581/1", 36.05)</f>
        <v>36.049999999999997</v>
      </c>
      <c r="E12473" s="2">
        <v>16.87</v>
      </c>
      <c r="F12473" s="2">
        <v>2</v>
      </c>
      <c r="G12473" s="2" t="s">
        <v>14</v>
      </c>
    </row>
    <row r="12474" spans="1:7" x14ac:dyDescent="0.2">
      <c r="A12474" s="2" t="s">
        <v>3358</v>
      </c>
      <c r="B12474" s="2" t="s">
        <v>150</v>
      </c>
      <c r="C12474" s="2">
        <v>939.78769999999997</v>
      </c>
      <c r="D12474" s="2">
        <f>HYPERLINK("http://mcb-m6.bioreg.kyushu-u.ac.jp/M3/20110428/F51126/2851/1", 38.06)</f>
        <v>38.06</v>
      </c>
      <c r="E12474" s="2">
        <v>20.8</v>
      </c>
      <c r="F12474" s="2">
        <v>2</v>
      </c>
      <c r="G12474" s="2" t="s">
        <v>14</v>
      </c>
    </row>
    <row r="12475" spans="1:7" x14ac:dyDescent="0.2">
      <c r="A12475" s="2" t="s">
        <v>3358</v>
      </c>
      <c r="B12475" s="2" t="s">
        <v>150</v>
      </c>
      <c r="C12475" s="2">
        <v>939.50120000000004</v>
      </c>
      <c r="D12475" s="2">
        <f>HYPERLINK("http://mcb-m6.bioreg.kyushu-u.ac.jp/M3/20110427/F51125/2843/1", 47.42)</f>
        <v>47.42</v>
      </c>
      <c r="E12475" s="2">
        <v>38.94</v>
      </c>
      <c r="F12475" s="2">
        <v>2</v>
      </c>
      <c r="G12475" s="2" t="s">
        <v>14</v>
      </c>
    </row>
    <row r="12476" spans="1:7" x14ac:dyDescent="0.2">
      <c r="A12476" s="2" t="s">
        <v>3358</v>
      </c>
      <c r="B12476" s="2" t="s">
        <v>150</v>
      </c>
      <c r="C12476" s="2">
        <v>940.26760000000002</v>
      </c>
      <c r="D12476" s="2">
        <f>HYPERLINK("http://mcb-m6.bioreg.kyushu-u.ac.jp/M3/20110428/F51128/2908/1", 50.06)</f>
        <v>50.06</v>
      </c>
      <c r="E12476" s="2">
        <v>31.54</v>
      </c>
      <c r="F12476" s="2">
        <v>2</v>
      </c>
      <c r="G12476" s="2" t="s">
        <v>14</v>
      </c>
    </row>
    <row r="12477" spans="1:7" x14ac:dyDescent="0.2">
      <c r="A12477" s="2" t="s">
        <v>3358</v>
      </c>
      <c r="B12477" s="2" t="s">
        <v>150</v>
      </c>
      <c r="C12477" s="2">
        <v>940.39469999999994</v>
      </c>
      <c r="D12477" s="2">
        <f>HYPERLINK("http://mcb-m6.bioreg.kyushu-u.ac.jp/M3/20110428/F51135/2543/1", 53.39)</f>
        <v>53.39</v>
      </c>
      <c r="E12477" s="2">
        <v>39</v>
      </c>
      <c r="F12477" s="2">
        <v>2</v>
      </c>
      <c r="G12477" s="2" t="s">
        <v>14</v>
      </c>
    </row>
    <row r="12478" spans="1:7" x14ac:dyDescent="0.2">
      <c r="A12478" s="2" t="s">
        <v>3358</v>
      </c>
      <c r="B12478" s="2" t="s">
        <v>150</v>
      </c>
      <c r="C12478" s="2">
        <v>939.78470000000004</v>
      </c>
      <c r="D12478" s="2">
        <f>HYPERLINK("http://mcb-m6.bioreg.kyushu-u.ac.jp/M3/20110427/F51124/2822/1", 56.66)</f>
        <v>56.66</v>
      </c>
      <c r="E12478" s="2">
        <v>43.12</v>
      </c>
      <c r="F12478" s="2">
        <v>2</v>
      </c>
      <c r="G12478" s="2" t="s">
        <v>14</v>
      </c>
    </row>
    <row r="12479" spans="1:7" x14ac:dyDescent="0.2">
      <c r="A12479" s="2" t="s">
        <v>3358</v>
      </c>
      <c r="B12479" s="2" t="s">
        <v>150</v>
      </c>
      <c r="C12479" s="2">
        <v>940.43870000000004</v>
      </c>
      <c r="D12479" s="2">
        <f>HYPERLINK("http://mcb-m6.bioreg.kyushu-u.ac.jp/M3/20110428/F51135/2544/1", 68.78)</f>
        <v>68.78</v>
      </c>
      <c r="E12479" s="2">
        <v>52.34</v>
      </c>
      <c r="F12479" s="2">
        <v>2</v>
      </c>
      <c r="G12479" s="2" t="s">
        <v>14</v>
      </c>
    </row>
    <row r="12480" spans="1:7" x14ac:dyDescent="0.2">
      <c r="A12480" s="2" t="s">
        <v>3358</v>
      </c>
      <c r="B12480" s="2" t="s">
        <v>150</v>
      </c>
      <c r="C12480" s="2">
        <v>940.27369999999996</v>
      </c>
      <c r="D12480" s="2">
        <f>HYPERLINK("http://mcb-m6.bioreg.kyushu-u.ac.jp/M3/20110428/F51135/2540/1", 86.64)</f>
        <v>86.64</v>
      </c>
      <c r="E12480" s="2">
        <v>61.41</v>
      </c>
      <c r="F12480" s="2">
        <v>2</v>
      </c>
      <c r="G12480" s="2" t="s">
        <v>14</v>
      </c>
    </row>
    <row r="12481" spans="1:7" x14ac:dyDescent="0.2">
      <c r="A12481" s="2" t="s">
        <v>3358</v>
      </c>
      <c r="B12481" s="2" t="s">
        <v>150</v>
      </c>
      <c r="C12481" s="2">
        <v>940.28309999999999</v>
      </c>
      <c r="D12481" s="2">
        <f>HYPERLINK("http://mcb-m6.bioreg.kyushu-u.ac.jp/M3/20110427/F51118/2565/1", 91.06)</f>
        <v>91.06</v>
      </c>
      <c r="E12481" s="2">
        <v>74.48</v>
      </c>
      <c r="F12481" s="2">
        <v>2</v>
      </c>
      <c r="G12481" s="2" t="s">
        <v>14</v>
      </c>
    </row>
    <row r="12482" spans="1:7" x14ac:dyDescent="0.2">
      <c r="A12482" s="2" t="s">
        <v>3358</v>
      </c>
      <c r="B12482" s="2" t="s">
        <v>150</v>
      </c>
      <c r="C12482" s="2">
        <v>939.65769999999998</v>
      </c>
      <c r="D12482" s="2">
        <f>HYPERLINK("http://mcb-m6.bioreg.kyushu-u.ac.jp/M3/20110427/F51124/2819/1", 95.38)</f>
        <v>95.38</v>
      </c>
      <c r="E12482" s="2">
        <v>78.75</v>
      </c>
      <c r="F12482" s="2">
        <v>2</v>
      </c>
      <c r="G12482" s="2" t="s">
        <v>14</v>
      </c>
    </row>
    <row r="12483" spans="1:7" x14ac:dyDescent="0.2">
      <c r="A12483" s="2" t="s">
        <v>3358</v>
      </c>
      <c r="B12483" s="2" t="s">
        <v>150</v>
      </c>
      <c r="C12483" s="2">
        <v>940.36969999999997</v>
      </c>
      <c r="D12483" s="2">
        <f>HYPERLINK("http://mcb-m6.bioreg.kyushu-u.ac.jp/M3/20110427/F51119/2524/1", 97.17)</f>
        <v>97.17</v>
      </c>
      <c r="E12483" s="2">
        <v>68.239999999999995</v>
      </c>
      <c r="F12483" s="2">
        <v>2</v>
      </c>
      <c r="G12483" s="2" t="s">
        <v>14</v>
      </c>
    </row>
    <row r="12484" spans="1:7" x14ac:dyDescent="0.2">
      <c r="A12484" s="2" t="s">
        <v>3358</v>
      </c>
      <c r="B12484" s="2" t="s">
        <v>150</v>
      </c>
      <c r="C12484" s="2">
        <v>940.12270000000001</v>
      </c>
      <c r="D12484" s="2">
        <f>HYPERLINK("http://mcb-m6.bioreg.kyushu-u.ac.jp/M3/20110428/F51134/2312/1", 105.82)</f>
        <v>105.82</v>
      </c>
      <c r="E12484" s="2">
        <v>85.55</v>
      </c>
      <c r="F12484" s="2">
        <v>2</v>
      </c>
      <c r="G12484" s="2" t="s">
        <v>14</v>
      </c>
    </row>
    <row r="12485" spans="1:7" x14ac:dyDescent="0.2">
      <c r="A12485" s="2" t="s">
        <v>3358</v>
      </c>
      <c r="B12485" s="2" t="s">
        <v>150</v>
      </c>
      <c r="C12485" s="2">
        <v>939.75459999999998</v>
      </c>
      <c r="D12485" s="2">
        <f>HYPERLINK("http://mcb-m6.bioreg.kyushu-u.ac.jp/M3/20110427/F51123/2894/1", 109.61)</f>
        <v>109.61</v>
      </c>
      <c r="E12485" s="2">
        <v>88.47</v>
      </c>
      <c r="F12485" s="2">
        <v>2</v>
      </c>
      <c r="G12485" s="2" t="s">
        <v>14</v>
      </c>
    </row>
    <row r="12486" spans="1:7" x14ac:dyDescent="0.2">
      <c r="A12486" s="2" t="s">
        <v>3358</v>
      </c>
      <c r="B12486" s="2" t="s">
        <v>150</v>
      </c>
      <c r="C12486" s="2">
        <v>940.00070000000005</v>
      </c>
      <c r="D12486" s="2">
        <f>HYPERLINK("http://mcb-m6.bioreg.kyushu-u.ac.jp/M3/20110428/F51135/2539/1", 123.07)</f>
        <v>123.07</v>
      </c>
      <c r="E12486" s="2">
        <v>104.83</v>
      </c>
      <c r="F12486" s="2">
        <v>2</v>
      </c>
      <c r="G12486" s="2" t="s">
        <v>14</v>
      </c>
    </row>
    <row r="12487" spans="1:7" x14ac:dyDescent="0.2">
      <c r="A12487" s="2" t="s">
        <v>3358</v>
      </c>
      <c r="B12487" s="2" t="s">
        <v>150</v>
      </c>
      <c r="C12487" s="2">
        <v>939.8202</v>
      </c>
      <c r="D12487" s="2">
        <f>HYPERLINK("http://mcb-m6.bioreg.kyushu-u.ac.jp/M3/20110428/F51134/2311/1", 128.19)</f>
        <v>128.19</v>
      </c>
      <c r="E12487" s="2">
        <v>105.98</v>
      </c>
      <c r="F12487" s="2">
        <v>2</v>
      </c>
      <c r="G12487" s="2" t="s">
        <v>14</v>
      </c>
    </row>
    <row r="12488" spans="1:7" x14ac:dyDescent="0.2">
      <c r="A12488" s="2" t="s">
        <v>3358</v>
      </c>
      <c r="B12488" s="2" t="s">
        <v>150</v>
      </c>
      <c r="C12488" s="2">
        <v>939.78420000000006</v>
      </c>
      <c r="D12488" s="2">
        <f>HYPERLINK("http://mcb-m6.bioreg.kyushu-u.ac.jp/M3/20110427/F51119/2520/1", 132.42)</f>
        <v>132.41999999999999</v>
      </c>
      <c r="E12488" s="2">
        <v>110.07</v>
      </c>
      <c r="F12488" s="2">
        <v>2</v>
      </c>
      <c r="G12488" s="2" t="s">
        <v>14</v>
      </c>
    </row>
    <row r="12489" spans="1:7" x14ac:dyDescent="0.2">
      <c r="A12489" s="2" t="s">
        <v>3964</v>
      </c>
      <c r="B12489" s="2" t="s">
        <v>1186</v>
      </c>
      <c r="C12489" s="2">
        <v>783.35860000000002</v>
      </c>
      <c r="D12489" s="2">
        <f>HYPERLINK("http://mcb-m6.bioreg.kyushu-u.ac.jp/M3/20110404/F50762/1971/1", 92.3)</f>
        <v>92.3</v>
      </c>
      <c r="E12489" s="2">
        <v>71.59</v>
      </c>
      <c r="F12489" s="2">
        <v>2</v>
      </c>
      <c r="G12489" s="2" t="s">
        <v>9</v>
      </c>
    </row>
    <row r="12490" spans="1:7" x14ac:dyDescent="0.2">
      <c r="A12490" s="2" t="s">
        <v>3964</v>
      </c>
      <c r="B12490" s="2" t="s">
        <v>6613</v>
      </c>
      <c r="C12490" s="2">
        <v>902.02170000000001</v>
      </c>
      <c r="D12490" s="2">
        <f>HYPERLINK("http://mcb-m6.bioreg.kyushu-u.ac.jp/M3/20110404/F50762/2320/1", 94.38)</f>
        <v>94.38</v>
      </c>
      <c r="E12490" s="2">
        <v>85.01</v>
      </c>
      <c r="F12490" s="2">
        <v>2</v>
      </c>
      <c r="G12490" s="2" t="s">
        <v>9</v>
      </c>
    </row>
    <row r="12491" spans="1:7" x14ac:dyDescent="0.2">
      <c r="A12491" s="2" t="s">
        <v>3964</v>
      </c>
      <c r="B12491" s="2" t="s">
        <v>6866</v>
      </c>
      <c r="C12491" s="2">
        <v>703.72059999999999</v>
      </c>
      <c r="D12491" s="2">
        <f>HYPERLINK("http://mcb-m6.bioreg.kyushu-u.ac.jp/M3/20110404/F50768/1748/1", 50.98)</f>
        <v>50.98</v>
      </c>
      <c r="E12491" s="2">
        <v>39.43</v>
      </c>
      <c r="F12491" s="2">
        <v>2</v>
      </c>
      <c r="G12491" s="2" t="s">
        <v>10</v>
      </c>
    </row>
    <row r="12492" spans="1:7" x14ac:dyDescent="0.2">
      <c r="A12492" s="2" t="s">
        <v>3964</v>
      </c>
      <c r="B12492" s="2" t="s">
        <v>1186</v>
      </c>
      <c r="C12492" s="2">
        <v>783.34860000000003</v>
      </c>
      <c r="D12492" s="2">
        <f>HYPERLINK("http://mcb-m6.bioreg.kyushu-u.ac.jp/M3/20110404/F50768/2058/1", 104.96)</f>
        <v>104.96</v>
      </c>
      <c r="E12492" s="2">
        <v>82.02</v>
      </c>
      <c r="F12492" s="2">
        <v>2</v>
      </c>
      <c r="G12492" s="2" t="s">
        <v>10</v>
      </c>
    </row>
    <row r="12493" spans="1:7" x14ac:dyDescent="0.2">
      <c r="A12493" s="2" t="s">
        <v>3731</v>
      </c>
      <c r="B12493" s="2" t="s">
        <v>729</v>
      </c>
      <c r="C12493" s="2">
        <v>830.21500000000003</v>
      </c>
      <c r="D12493" s="2">
        <f>HYPERLINK("http://mcb-m6.bioreg.kyushu-u.ac.jp/M3/20110404/F50769/1013/1", 49.73)</f>
        <v>49.73</v>
      </c>
      <c r="E12493" s="2">
        <v>14.06</v>
      </c>
      <c r="F12493" s="2">
        <v>1</v>
      </c>
      <c r="G12493" s="2" t="s">
        <v>10</v>
      </c>
    </row>
    <row r="12494" spans="1:7" x14ac:dyDescent="0.2">
      <c r="A12494" s="2" t="s">
        <v>3731</v>
      </c>
      <c r="B12494" s="2" t="s">
        <v>729</v>
      </c>
      <c r="C12494" s="2">
        <v>831.41200000000003</v>
      </c>
      <c r="D12494" s="2">
        <f>HYPERLINK("http://mcb-m6.bioreg.kyushu-u.ac.jp/M3/20110421/F51035/473/1", 49.62)</f>
        <v>49.62</v>
      </c>
      <c r="E12494" s="2">
        <v>15.89</v>
      </c>
      <c r="F12494" s="2">
        <v>1</v>
      </c>
      <c r="G12494" s="2" t="s">
        <v>11</v>
      </c>
    </row>
    <row r="12495" spans="1:7" x14ac:dyDescent="0.2">
      <c r="A12495" s="2" t="s">
        <v>3731</v>
      </c>
      <c r="B12495" s="2" t="s">
        <v>729</v>
      </c>
      <c r="C12495" s="2">
        <v>830.42</v>
      </c>
      <c r="D12495" s="2">
        <f>HYPERLINK("http://mcb-m6.bioreg.kyushu-u.ac.jp/M3/20110421/F51037/460/1", 49.92)</f>
        <v>49.92</v>
      </c>
      <c r="E12495" s="2">
        <v>15.72</v>
      </c>
      <c r="F12495" s="2">
        <v>1</v>
      </c>
      <c r="G12495" s="2" t="s">
        <v>11</v>
      </c>
    </row>
    <row r="12496" spans="1:7" x14ac:dyDescent="0.2">
      <c r="A12496" s="2" t="s">
        <v>3731</v>
      </c>
      <c r="B12496" s="2" t="s">
        <v>729</v>
      </c>
      <c r="C12496" s="2">
        <v>830.447</v>
      </c>
      <c r="D12496" s="2">
        <f>HYPERLINK("http://mcb-m6.bioreg.kyushu-u.ac.jp/M3/20110421/F51045/870/1", 49.94)</f>
        <v>49.94</v>
      </c>
      <c r="E12496" s="2">
        <v>14.02</v>
      </c>
      <c r="F12496" s="2">
        <v>1</v>
      </c>
      <c r="G12496" s="2" t="s">
        <v>12</v>
      </c>
    </row>
    <row r="12497" spans="1:9" x14ac:dyDescent="0.2">
      <c r="A12497" s="2" t="s">
        <v>3731</v>
      </c>
      <c r="B12497" s="2" t="s">
        <v>729</v>
      </c>
      <c r="C12497" s="2">
        <v>830.98</v>
      </c>
      <c r="D12497" s="2">
        <f>HYPERLINK("http://mcb-m6.bioreg.kyushu-u.ac.jp/M3/20110421/F51043/633/1", 53.72)</f>
        <v>53.72</v>
      </c>
      <c r="E12497" s="2">
        <v>18.07</v>
      </c>
      <c r="F12497" s="2">
        <v>1</v>
      </c>
      <c r="G12497" s="2" t="s">
        <v>12</v>
      </c>
    </row>
    <row r="12498" spans="1:9" x14ac:dyDescent="0.2">
      <c r="A12498" s="2" t="s">
        <v>3731</v>
      </c>
      <c r="B12498" s="2" t="s">
        <v>729</v>
      </c>
      <c r="C12498" s="2">
        <v>830.226</v>
      </c>
      <c r="D12498" s="2">
        <f>HYPERLINK("http://mcb-m6.bioreg.kyushu-u.ac.jp/M3/20110428/F51132/571/1", 49.94)</f>
        <v>49.94</v>
      </c>
      <c r="E12498" s="2">
        <v>14</v>
      </c>
      <c r="F12498" s="2">
        <v>1</v>
      </c>
      <c r="G12498" s="2" t="s">
        <v>13</v>
      </c>
    </row>
    <row r="12499" spans="1:9" x14ac:dyDescent="0.2">
      <c r="A12499" s="2" t="s">
        <v>3731</v>
      </c>
      <c r="B12499" s="2" t="s">
        <v>729</v>
      </c>
      <c r="C12499" s="2">
        <v>831.22900000000004</v>
      </c>
      <c r="D12499" s="2">
        <f>HYPERLINK("http://mcb-m6.bioreg.kyushu-u.ac.jp/M3/20110428/F51127/548/1", 53.5)</f>
        <v>53.5</v>
      </c>
      <c r="E12499" s="2">
        <v>13.21</v>
      </c>
      <c r="F12499" s="2">
        <v>1</v>
      </c>
      <c r="G12499" s="2" t="s">
        <v>13</v>
      </c>
    </row>
    <row r="12500" spans="1:9" x14ac:dyDescent="0.2">
      <c r="A12500" s="2" t="s">
        <v>3731</v>
      </c>
      <c r="B12500" s="2" t="s">
        <v>729</v>
      </c>
      <c r="C12500" s="2">
        <v>830.29600000000005</v>
      </c>
      <c r="D12500" s="2">
        <f>HYPERLINK("http://mcb-m6.bioreg.kyushu-u.ac.jp/M3/20110428/F51128/684/1", 54.09)</f>
        <v>54.09</v>
      </c>
      <c r="E12500" s="2">
        <v>13.2</v>
      </c>
      <c r="F12500" s="2">
        <v>1</v>
      </c>
      <c r="G12500" s="2" t="s">
        <v>14</v>
      </c>
    </row>
    <row r="12501" spans="1:9" x14ac:dyDescent="0.2">
      <c r="A12501" s="2" t="s">
        <v>3731</v>
      </c>
      <c r="B12501" s="2" t="s">
        <v>729</v>
      </c>
      <c r="C12501" s="2">
        <v>830.25699999999995</v>
      </c>
      <c r="D12501" s="2">
        <f>HYPERLINK("http://mcb-m6.bioreg.kyushu-u.ac.jp/M3/20110427/F51123/805/1", 54.11)</f>
        <v>54.11</v>
      </c>
      <c r="E12501" s="2">
        <v>13.2</v>
      </c>
      <c r="F12501" s="2">
        <v>1</v>
      </c>
      <c r="G12501" s="2" t="s">
        <v>14</v>
      </c>
    </row>
    <row r="12502" spans="1:9" x14ac:dyDescent="0.2">
      <c r="A12502" s="2" t="s">
        <v>5859</v>
      </c>
      <c r="B12502" s="2" t="s">
        <v>5555</v>
      </c>
      <c r="C12502" s="2">
        <v>904.48969999999997</v>
      </c>
      <c r="D12502" s="2">
        <f>HYPERLINK("http://mcb-m6.bioreg.kyushu-u.ac.jp/M3/20110404/F50758/2455/1", 81.09)</f>
        <v>81.09</v>
      </c>
      <c r="E12502" s="2">
        <v>63.87</v>
      </c>
      <c r="F12502" s="2">
        <v>2</v>
      </c>
      <c r="G12502" s="2" t="s">
        <v>10</v>
      </c>
    </row>
    <row r="12503" spans="1:9" x14ac:dyDescent="0.2">
      <c r="A12503" s="2" t="s">
        <v>5859</v>
      </c>
      <c r="B12503" s="2" t="s">
        <v>5555</v>
      </c>
      <c r="C12503" s="2">
        <v>904.22919999999999</v>
      </c>
      <c r="D12503" s="2">
        <f>HYPERLINK("http://mcb-m6.bioreg.kyushu-u.ac.jp/M3/20110421/F51017/2883/1", 82.04)</f>
        <v>82.04</v>
      </c>
      <c r="E12503" s="2">
        <v>67.59</v>
      </c>
      <c r="F12503" s="2">
        <v>2</v>
      </c>
      <c r="G12503" s="2" t="s">
        <v>11</v>
      </c>
    </row>
    <row r="12504" spans="1:9" x14ac:dyDescent="0.2">
      <c r="A12504" s="2" t="s">
        <v>5859</v>
      </c>
      <c r="B12504" s="2" t="s">
        <v>5555</v>
      </c>
      <c r="C12504" s="2">
        <v>904.35969999999998</v>
      </c>
      <c r="D12504" s="2">
        <f>HYPERLINK("http://mcb-m6.bioreg.kyushu-u.ac.jp/M3/20110421/F51023/2659/1", 87.64)</f>
        <v>87.64</v>
      </c>
      <c r="E12504" s="2">
        <v>76.86</v>
      </c>
      <c r="F12504" s="2">
        <v>2</v>
      </c>
      <c r="G12504" s="2" t="s">
        <v>12</v>
      </c>
    </row>
    <row r="12505" spans="1:9" x14ac:dyDescent="0.2">
      <c r="A12505" s="2" t="s">
        <v>5859</v>
      </c>
      <c r="B12505" s="2" t="s">
        <v>5555</v>
      </c>
      <c r="C12505" s="2">
        <v>904.71220000000005</v>
      </c>
      <c r="D12505" s="2">
        <f>HYPERLINK("http://mcb-m6.bioreg.kyushu-u.ac.jp/M3/20110427/F51111/2871/1", 53.84)</f>
        <v>53.84</v>
      </c>
      <c r="E12505" s="2">
        <v>39.9</v>
      </c>
      <c r="F12505" s="2">
        <v>2</v>
      </c>
      <c r="G12505" s="2" t="s">
        <v>13</v>
      </c>
    </row>
    <row r="12506" spans="1:9" x14ac:dyDescent="0.2">
      <c r="A12506" s="2" t="s">
        <v>5658</v>
      </c>
      <c r="B12506" s="2" t="s">
        <v>5417</v>
      </c>
      <c r="C12506" s="2">
        <v>707.26969999999994</v>
      </c>
      <c r="D12506" s="2">
        <f>HYPERLINK("http://mcb-m6.bioreg.kyushu-u.ac.jp/M3/20110421/F51039/1890/1", 79.45)</f>
        <v>79.45</v>
      </c>
      <c r="E12506" s="2">
        <v>63.99</v>
      </c>
      <c r="F12506" s="2">
        <v>2</v>
      </c>
      <c r="G12506" s="2" t="s">
        <v>11</v>
      </c>
    </row>
    <row r="12507" spans="1:9" x14ac:dyDescent="0.2">
      <c r="A12507" s="2" t="s">
        <v>5658</v>
      </c>
      <c r="B12507" s="2" t="s">
        <v>5116</v>
      </c>
      <c r="C12507" s="2">
        <v>753.92169999999999</v>
      </c>
      <c r="D12507" s="2">
        <f>HYPERLINK("http://mcb-m6.bioreg.kyushu-u.ac.jp/M3/20110421/F51039/2154/1", 91.02)</f>
        <v>91.02</v>
      </c>
      <c r="E12507" s="2">
        <v>65.63</v>
      </c>
      <c r="F12507" s="2">
        <v>2</v>
      </c>
      <c r="G12507" s="2" t="s">
        <v>11</v>
      </c>
    </row>
    <row r="12508" spans="1:9" x14ac:dyDescent="0.2">
      <c r="A12508" s="2" t="s">
        <v>3379</v>
      </c>
      <c r="B12508" s="2" t="s">
        <v>171</v>
      </c>
      <c r="C12508" s="2">
        <v>1002.283</v>
      </c>
      <c r="D12508" s="2">
        <f>HYPERLINK("http://mcb-m6.bioreg.kyushu-u.ac.jp/M3/20110404/F50754/1333/1", 39.85)</f>
        <v>39.85</v>
      </c>
      <c r="E12508" s="2">
        <v>19.739999999999998</v>
      </c>
      <c r="F12508" s="2">
        <v>1</v>
      </c>
      <c r="G12508" s="2" t="s">
        <v>9</v>
      </c>
    </row>
    <row r="12509" spans="1:9" x14ac:dyDescent="0.2">
      <c r="A12509" s="2" t="s">
        <v>3379</v>
      </c>
      <c r="B12509" s="2" t="s">
        <v>3143</v>
      </c>
      <c r="C12509" s="2">
        <v>486.17610000000002</v>
      </c>
      <c r="D12509" s="2">
        <f>HYPERLINK("http://mcb-m6.bioreg.kyushu-u.ac.jp/M3/20110404/F50754/1268/1", 53.15)</f>
        <v>53.15</v>
      </c>
      <c r="E12509" s="2">
        <v>30.63</v>
      </c>
      <c r="F12509" s="2">
        <v>2</v>
      </c>
      <c r="G12509" s="2" t="s">
        <v>9</v>
      </c>
      <c r="I12509" s="2" t="s">
        <v>4899</v>
      </c>
    </row>
    <row r="12510" spans="1:9" x14ac:dyDescent="0.2">
      <c r="A12510" s="2" t="s">
        <v>3379</v>
      </c>
      <c r="B12510" s="2" t="s">
        <v>171</v>
      </c>
      <c r="C12510" s="2">
        <v>501.9246</v>
      </c>
      <c r="D12510" s="2">
        <f>HYPERLINK("http://mcb-m6.bioreg.kyushu-u.ac.jp/M3/20110404/F50754/1334/1", 66.23)</f>
        <v>66.23</v>
      </c>
      <c r="E12510" s="2">
        <v>42.26</v>
      </c>
      <c r="F12510" s="2">
        <v>2</v>
      </c>
      <c r="G12510" s="2" t="s">
        <v>9</v>
      </c>
    </row>
    <row r="12511" spans="1:9" x14ac:dyDescent="0.2">
      <c r="A12511" s="2" t="s">
        <v>3379</v>
      </c>
      <c r="B12511" s="2" t="s">
        <v>3143</v>
      </c>
      <c r="C12511" s="2">
        <v>486.72410000000002</v>
      </c>
      <c r="D12511" s="2">
        <f>HYPERLINK("http://mcb-m6.bioreg.kyushu-u.ac.jp/M3/20110427/F51112/984/1", 43.61)</f>
        <v>43.61</v>
      </c>
      <c r="E12511" s="2">
        <v>18.489999999999998</v>
      </c>
      <c r="F12511" s="2">
        <v>2</v>
      </c>
      <c r="G12511" s="2" t="s">
        <v>13</v>
      </c>
      <c r="I12511" s="2" t="s">
        <v>4899</v>
      </c>
    </row>
    <row r="12512" spans="1:9" x14ac:dyDescent="0.2">
      <c r="A12512" s="2" t="s">
        <v>3300</v>
      </c>
      <c r="B12512" s="2" t="s">
        <v>197</v>
      </c>
      <c r="C12512" s="2">
        <v>946.25900000000001</v>
      </c>
      <c r="D12512" s="2">
        <f>HYPERLINK("http://mcb-m6.bioreg.kyushu-u.ac.jp/M3/20110404/F50754/1231/1", 39.4)</f>
        <v>39.4</v>
      </c>
      <c r="E12512" s="2">
        <v>16.64</v>
      </c>
      <c r="F12512" s="2">
        <v>1</v>
      </c>
      <c r="G12512" s="2" t="s">
        <v>9</v>
      </c>
    </row>
    <row r="12513" spans="1:9" x14ac:dyDescent="0.2">
      <c r="A12513" s="2" t="s">
        <v>3300</v>
      </c>
      <c r="B12513" s="2" t="s">
        <v>445</v>
      </c>
      <c r="C12513" s="2">
        <v>1290.2950000000001</v>
      </c>
      <c r="D12513" s="2">
        <f>HYPERLINK("http://mcb-m6.bioreg.kyushu-u.ac.jp/M3/20110404/F50754/1781/1", 41.87)</f>
        <v>41.87</v>
      </c>
      <c r="E12513" s="2">
        <v>33.130000000000003</v>
      </c>
      <c r="F12513" s="2">
        <v>1</v>
      </c>
      <c r="G12513" s="2" t="s">
        <v>9</v>
      </c>
    </row>
    <row r="12514" spans="1:9" x14ac:dyDescent="0.2">
      <c r="A12514" s="2" t="s">
        <v>3300</v>
      </c>
      <c r="B12514" s="2" t="s">
        <v>2591</v>
      </c>
      <c r="C12514" s="2">
        <v>664.25319999999999</v>
      </c>
      <c r="D12514" s="2">
        <f>HYPERLINK("http://mcb-m6.bioreg.kyushu-u.ac.jp/M3/20110404/F50754/1829/1", 44.83)</f>
        <v>44.83</v>
      </c>
      <c r="E12514" s="2">
        <v>24.91</v>
      </c>
      <c r="F12514" s="2">
        <v>2</v>
      </c>
      <c r="G12514" s="2" t="s">
        <v>9</v>
      </c>
    </row>
    <row r="12515" spans="1:9" x14ac:dyDescent="0.2">
      <c r="A12515" s="2" t="s">
        <v>3300</v>
      </c>
      <c r="B12515" s="2" t="s">
        <v>764</v>
      </c>
      <c r="C12515" s="2">
        <v>460.7056</v>
      </c>
      <c r="D12515" s="2">
        <f>HYPERLINK("http://mcb-m6.bioreg.kyushu-u.ac.jp/M3/20110404/F50754/1168/1", 51.79)</f>
        <v>51.79</v>
      </c>
      <c r="E12515" s="2">
        <v>21.46</v>
      </c>
      <c r="F12515" s="2">
        <v>2</v>
      </c>
      <c r="G12515" s="2" t="s">
        <v>9</v>
      </c>
    </row>
    <row r="12516" spans="1:9" x14ac:dyDescent="0.2">
      <c r="A12516" s="2" t="s">
        <v>3300</v>
      </c>
      <c r="B12516" s="2" t="s">
        <v>764</v>
      </c>
      <c r="C12516" s="2">
        <v>468.6696</v>
      </c>
      <c r="D12516" s="2">
        <f>HYPERLINK("http://mcb-m6.bioreg.kyushu-u.ac.jp/M3/20110404/F50754/1205/1", 53.88)</f>
        <v>53.88</v>
      </c>
      <c r="E12516" s="2">
        <v>30.82</v>
      </c>
      <c r="F12516" s="2">
        <v>2</v>
      </c>
      <c r="G12516" s="2" t="s">
        <v>9</v>
      </c>
      <c r="H12516" s="2" t="s">
        <v>4891</v>
      </c>
    </row>
    <row r="12517" spans="1:9" x14ac:dyDescent="0.2">
      <c r="A12517" s="2" t="s">
        <v>3300</v>
      </c>
      <c r="B12517" s="2" t="s">
        <v>81</v>
      </c>
      <c r="C12517" s="2">
        <v>790.33370000000002</v>
      </c>
      <c r="D12517" s="2">
        <f>HYPERLINK("http://mcb-m6.bioreg.kyushu-u.ac.jp/M3/20110404/F50754/2293/1", 54.96)</f>
        <v>54.96</v>
      </c>
      <c r="E12517" s="2">
        <v>35.590000000000003</v>
      </c>
      <c r="F12517" s="2">
        <v>2</v>
      </c>
      <c r="G12517" s="2" t="s">
        <v>9</v>
      </c>
      <c r="I12517" s="2" t="s">
        <v>4890</v>
      </c>
    </row>
    <row r="12518" spans="1:9" x14ac:dyDescent="0.2">
      <c r="A12518" s="2" t="s">
        <v>3300</v>
      </c>
      <c r="B12518" s="2" t="s">
        <v>197</v>
      </c>
      <c r="C12518" s="2">
        <v>474.14510000000001</v>
      </c>
      <c r="D12518" s="2">
        <f>HYPERLINK("http://mcb-m6.bioreg.kyushu-u.ac.jp/M3/20110404/F50754/1232/1", 55.91)</f>
        <v>55.91</v>
      </c>
      <c r="E12518" s="2">
        <v>26.17</v>
      </c>
      <c r="F12518" s="2">
        <v>2</v>
      </c>
      <c r="G12518" s="2" t="s">
        <v>9</v>
      </c>
    </row>
    <row r="12519" spans="1:9" x14ac:dyDescent="0.2">
      <c r="A12519" s="2" t="s">
        <v>3300</v>
      </c>
      <c r="B12519" s="2" t="s">
        <v>6362</v>
      </c>
      <c r="C12519" s="2">
        <v>609.89419999999996</v>
      </c>
      <c r="D12519" s="2">
        <f>HYPERLINK("http://mcb-m6.bioreg.kyushu-u.ac.jp/M3/20110404/F50754/1681/1", 56.39)</f>
        <v>56.39</v>
      </c>
      <c r="E12519" s="2">
        <v>39.31</v>
      </c>
      <c r="F12519" s="2">
        <v>2</v>
      </c>
      <c r="G12519" s="2" t="s">
        <v>9</v>
      </c>
    </row>
    <row r="12520" spans="1:9" x14ac:dyDescent="0.2">
      <c r="A12520" s="2" t="s">
        <v>3300</v>
      </c>
      <c r="B12520" s="2" t="s">
        <v>764</v>
      </c>
      <c r="C12520" s="2">
        <v>460.13760000000002</v>
      </c>
      <c r="D12520" s="2">
        <f>HYPERLINK("http://mcb-m6.bioreg.kyushu-u.ac.jp/M3/20110404/F50754/1160/1", 59.58)</f>
        <v>59.58</v>
      </c>
      <c r="E12520" s="2">
        <v>20.64</v>
      </c>
      <c r="F12520" s="2">
        <v>2</v>
      </c>
      <c r="G12520" s="2" t="s">
        <v>9</v>
      </c>
    </row>
    <row r="12521" spans="1:9" x14ac:dyDescent="0.2">
      <c r="A12521" s="2" t="s">
        <v>3300</v>
      </c>
      <c r="B12521" s="2" t="s">
        <v>323</v>
      </c>
      <c r="C12521" s="2">
        <v>853.36270000000002</v>
      </c>
      <c r="D12521" s="2">
        <f>HYPERLINK("http://mcb-m6.bioreg.kyushu-u.ac.jp/M3/20110404/F50754/2459/1", 61.32)</f>
        <v>61.32</v>
      </c>
      <c r="E12521" s="2">
        <v>47.25</v>
      </c>
      <c r="F12521" s="2">
        <v>2</v>
      </c>
      <c r="G12521" s="2" t="s">
        <v>9</v>
      </c>
      <c r="I12521" s="2" t="s">
        <v>4890</v>
      </c>
    </row>
    <row r="12522" spans="1:9" x14ac:dyDescent="0.2">
      <c r="A12522" s="2" t="s">
        <v>3300</v>
      </c>
      <c r="B12522" s="2" t="s">
        <v>5246</v>
      </c>
      <c r="C12522" s="2">
        <v>470.19409999999999</v>
      </c>
      <c r="D12522" s="2">
        <f>HYPERLINK("http://mcb-m6.bioreg.kyushu-u.ac.jp/M3/20110404/F50754/1215/1", 64.87)</f>
        <v>64.87</v>
      </c>
      <c r="E12522" s="2">
        <v>38.74</v>
      </c>
      <c r="F12522" s="2">
        <v>2</v>
      </c>
      <c r="G12522" s="2" t="s">
        <v>9</v>
      </c>
    </row>
    <row r="12523" spans="1:9" x14ac:dyDescent="0.2">
      <c r="A12523" s="2" t="s">
        <v>3300</v>
      </c>
      <c r="B12523" s="2" t="s">
        <v>1106</v>
      </c>
      <c r="C12523" s="2">
        <v>976.13070000000005</v>
      </c>
      <c r="D12523" s="2">
        <f>HYPERLINK("http://mcb-m6.bioreg.kyushu-u.ac.jp/M3/20110404/F50754/2796/1", 105.83)</f>
        <v>105.83</v>
      </c>
      <c r="E12523" s="2">
        <v>93.04</v>
      </c>
      <c r="F12523" s="2">
        <v>2</v>
      </c>
      <c r="G12523" s="2" t="s">
        <v>9</v>
      </c>
    </row>
    <row r="12524" spans="1:9" x14ac:dyDescent="0.2">
      <c r="A12524" s="2" t="s">
        <v>3300</v>
      </c>
      <c r="B12524" s="2" t="s">
        <v>5246</v>
      </c>
      <c r="C12524" s="2">
        <v>470.08260000000001</v>
      </c>
      <c r="D12524" s="2">
        <f>HYPERLINK("http://mcb-m6.bioreg.kyushu-u.ac.jp/M3/20110404/F50758/1152/1", 51.65)</f>
        <v>51.65</v>
      </c>
      <c r="E12524" s="2">
        <v>22.41</v>
      </c>
      <c r="F12524" s="2">
        <v>2</v>
      </c>
      <c r="G12524" s="2" t="s">
        <v>10</v>
      </c>
    </row>
    <row r="12525" spans="1:9" x14ac:dyDescent="0.2">
      <c r="A12525" s="2" t="s">
        <v>3300</v>
      </c>
      <c r="B12525" s="2" t="s">
        <v>764</v>
      </c>
      <c r="C12525" s="2">
        <v>460.72460000000001</v>
      </c>
      <c r="D12525" s="2">
        <f>HYPERLINK("http://mcb-m6.bioreg.kyushu-u.ac.jp/M3/20110421/F51018/896/1", 42.61)</f>
        <v>42.61</v>
      </c>
      <c r="E12525" s="2">
        <v>14.15</v>
      </c>
      <c r="F12525" s="2">
        <v>2</v>
      </c>
      <c r="G12525" s="2" t="s">
        <v>11</v>
      </c>
    </row>
    <row r="12526" spans="1:9" x14ac:dyDescent="0.2">
      <c r="A12526" s="2" t="s">
        <v>3300</v>
      </c>
      <c r="B12526" s="2" t="s">
        <v>445</v>
      </c>
      <c r="C12526" s="2">
        <v>1290.2840000000001</v>
      </c>
      <c r="D12526" s="2">
        <f>HYPERLINK("http://mcb-m6.bioreg.kyushu-u.ac.jp/M3/20110421/F51018/1649/1", 45.48)</f>
        <v>45.48</v>
      </c>
      <c r="E12526" s="2">
        <v>30.39</v>
      </c>
      <c r="F12526" s="2">
        <v>1</v>
      </c>
      <c r="G12526" s="2" t="s">
        <v>11</v>
      </c>
    </row>
    <row r="12527" spans="1:9" x14ac:dyDescent="0.2">
      <c r="A12527" s="2" t="s">
        <v>3300</v>
      </c>
      <c r="B12527" s="2" t="s">
        <v>2053</v>
      </c>
      <c r="C12527" s="2">
        <v>758.27070000000003</v>
      </c>
      <c r="D12527" s="2">
        <f>HYPERLINK("http://mcb-m6.bioreg.kyushu-u.ac.jp/M3/20110421/F51018/2215/1", 70.26)</f>
        <v>70.260000000000005</v>
      </c>
      <c r="E12527" s="2">
        <v>48.29</v>
      </c>
      <c r="F12527" s="2">
        <v>2</v>
      </c>
      <c r="G12527" s="2" t="s">
        <v>11</v>
      </c>
    </row>
    <row r="12528" spans="1:9" x14ac:dyDescent="0.2">
      <c r="A12528" s="2" t="s">
        <v>3300</v>
      </c>
      <c r="B12528" s="2" t="s">
        <v>445</v>
      </c>
      <c r="C12528" s="2">
        <v>1290.316</v>
      </c>
      <c r="D12528" s="2">
        <f>HYPERLINK("http://mcb-m6.bioreg.kyushu-u.ac.jp/M3/20110427/F51112/1658/1", 36.84)</f>
        <v>36.840000000000003</v>
      </c>
      <c r="E12528" s="2">
        <v>26.82</v>
      </c>
      <c r="F12528" s="2">
        <v>1</v>
      </c>
      <c r="G12528" s="2" t="s">
        <v>13</v>
      </c>
    </row>
    <row r="12529" spans="1:9" x14ac:dyDescent="0.2">
      <c r="A12529" s="2" t="s">
        <v>3300</v>
      </c>
      <c r="B12529" s="2" t="s">
        <v>445</v>
      </c>
      <c r="C12529" s="2">
        <v>646.03610000000003</v>
      </c>
      <c r="D12529" s="2">
        <f>HYPERLINK("http://mcb-m6.bioreg.kyushu-u.ac.jp/M3/20110427/F51112/1659/1", 40.13)</f>
        <v>40.130000000000003</v>
      </c>
      <c r="E12529" s="2">
        <v>26.57</v>
      </c>
      <c r="F12529" s="2">
        <v>2</v>
      </c>
      <c r="G12529" s="2" t="s">
        <v>13</v>
      </c>
    </row>
    <row r="12530" spans="1:9" x14ac:dyDescent="0.2">
      <c r="A12530" s="2" t="s">
        <v>3300</v>
      </c>
      <c r="B12530" s="2" t="s">
        <v>6362</v>
      </c>
      <c r="C12530" s="2">
        <v>609.83259999999996</v>
      </c>
      <c r="D12530" s="2">
        <f>HYPERLINK("http://mcb-m6.bioreg.kyushu-u.ac.jp/M3/20110427/F51112/1550/1", 60.98)</f>
        <v>60.98</v>
      </c>
      <c r="E12530" s="2">
        <v>41.58</v>
      </c>
      <c r="F12530" s="2">
        <v>2</v>
      </c>
      <c r="G12530" s="2" t="s">
        <v>13</v>
      </c>
    </row>
    <row r="12531" spans="1:9" x14ac:dyDescent="0.2">
      <c r="A12531" s="2" t="s">
        <v>3300</v>
      </c>
      <c r="B12531" s="2" t="s">
        <v>1106</v>
      </c>
      <c r="C12531" s="2">
        <v>976.87819999999999</v>
      </c>
      <c r="D12531" s="2">
        <f>HYPERLINK("http://mcb-m6.bioreg.kyushu-u.ac.jp/M3/20110427/F51113/2842/1", 78.63)</f>
        <v>78.63</v>
      </c>
      <c r="E12531" s="2">
        <v>68.03</v>
      </c>
      <c r="F12531" s="2">
        <v>2</v>
      </c>
      <c r="G12531" s="2" t="s">
        <v>13</v>
      </c>
    </row>
    <row r="12532" spans="1:9" x14ac:dyDescent="0.2">
      <c r="A12532" s="2" t="s">
        <v>4116</v>
      </c>
      <c r="B12532" s="2" t="s">
        <v>1615</v>
      </c>
      <c r="C12532" s="2">
        <v>960.40470000000005</v>
      </c>
      <c r="D12532" s="2">
        <f>HYPERLINK("http://mcb-m6.bioreg.kyushu-u.ac.jp/M3/20110404/F50763/2657/1", 104.59)</f>
        <v>104.59</v>
      </c>
      <c r="E12532" s="2">
        <v>94.17</v>
      </c>
      <c r="F12532" s="2">
        <v>2</v>
      </c>
      <c r="G12532" s="2" t="s">
        <v>9</v>
      </c>
    </row>
    <row r="12533" spans="1:9" x14ac:dyDescent="0.2">
      <c r="A12533" s="2" t="s">
        <v>4116</v>
      </c>
      <c r="B12533" s="2" t="s">
        <v>1615</v>
      </c>
      <c r="C12533" s="2">
        <v>968.00120000000004</v>
      </c>
      <c r="D12533" s="2">
        <f>HYPERLINK("http://mcb-m6.bioreg.kyushu-u.ac.jp/M3/20110421/F51043/2981/1", 114.86)</f>
        <v>114.86</v>
      </c>
      <c r="E12533" s="2">
        <v>103.47</v>
      </c>
      <c r="F12533" s="2">
        <v>2</v>
      </c>
      <c r="G12533" s="2" t="s">
        <v>12</v>
      </c>
      <c r="H12533" s="2" t="s">
        <v>4901</v>
      </c>
    </row>
    <row r="12534" spans="1:9" x14ac:dyDescent="0.2">
      <c r="A12534" s="2" t="s">
        <v>4116</v>
      </c>
      <c r="B12534" s="2" t="s">
        <v>1615</v>
      </c>
      <c r="C12534" s="2">
        <v>960.12159999999994</v>
      </c>
      <c r="D12534" s="2">
        <f>HYPERLINK("http://mcb-m6.bioreg.kyushu-u.ac.jp/M3/20110421/F51043/2959/1", 120.27)</f>
        <v>120.27</v>
      </c>
      <c r="E12534" s="2">
        <v>108.98</v>
      </c>
      <c r="F12534" s="2">
        <v>2</v>
      </c>
      <c r="G12534" s="2" t="s">
        <v>12</v>
      </c>
    </row>
    <row r="12535" spans="1:9" x14ac:dyDescent="0.2">
      <c r="A12535" s="2" t="s">
        <v>4116</v>
      </c>
      <c r="B12535" s="2" t="s">
        <v>5144</v>
      </c>
      <c r="C12535" s="2">
        <v>1016.557</v>
      </c>
      <c r="D12535" s="2">
        <f>HYPERLINK("http://mcb-m6.bioreg.kyushu-u.ac.jp/M3/20110428/F51127/3242/1", 36.51)</f>
        <v>36.51</v>
      </c>
      <c r="E12535" s="2">
        <v>30.88</v>
      </c>
      <c r="F12535" s="2">
        <v>2</v>
      </c>
      <c r="G12535" s="2" t="s">
        <v>13</v>
      </c>
    </row>
    <row r="12536" spans="1:9" x14ac:dyDescent="0.2">
      <c r="A12536" s="2" t="s">
        <v>4116</v>
      </c>
      <c r="B12536" s="2" t="s">
        <v>2321</v>
      </c>
      <c r="C12536" s="2">
        <v>938.31870000000004</v>
      </c>
      <c r="D12536" s="2">
        <f>HYPERLINK("http://mcb-m6.bioreg.kyushu-u.ac.jp/M3/20110428/F51127/2949/1", 50.67)</f>
        <v>50.67</v>
      </c>
      <c r="E12536" s="2">
        <v>37.869999999999997</v>
      </c>
      <c r="F12536" s="2">
        <v>2</v>
      </c>
      <c r="G12536" s="2" t="s">
        <v>13</v>
      </c>
    </row>
    <row r="12537" spans="1:9" x14ac:dyDescent="0.2">
      <c r="A12537" s="2" t="s">
        <v>4116</v>
      </c>
      <c r="B12537" s="2" t="s">
        <v>2321</v>
      </c>
      <c r="C12537" s="2">
        <v>938.88070000000005</v>
      </c>
      <c r="D12537" s="2">
        <f>HYPERLINK("http://mcb-m6.bioreg.kyushu-u.ac.jp/M3/20110428/F51127/2952/1", 62.11)</f>
        <v>62.11</v>
      </c>
      <c r="E12537" s="2">
        <v>46.82</v>
      </c>
      <c r="F12537" s="2">
        <v>2</v>
      </c>
      <c r="G12537" s="2" t="s">
        <v>13</v>
      </c>
    </row>
    <row r="12538" spans="1:9" x14ac:dyDescent="0.2">
      <c r="A12538" s="2" t="s">
        <v>4116</v>
      </c>
      <c r="B12538" s="2" t="s">
        <v>1615</v>
      </c>
      <c r="C12538" s="2">
        <v>960.30319999999995</v>
      </c>
      <c r="D12538" s="2">
        <f>HYPERLINK("http://mcb-m6.bioreg.kyushu-u.ac.jp/M3/20110428/F51127/3030/1", 87.31)</f>
        <v>87.31</v>
      </c>
      <c r="E12538" s="2">
        <v>72.36</v>
      </c>
      <c r="F12538" s="2">
        <v>2</v>
      </c>
      <c r="G12538" s="2" t="s">
        <v>13</v>
      </c>
    </row>
    <row r="12539" spans="1:9" x14ac:dyDescent="0.2">
      <c r="A12539" s="2" t="s">
        <v>4116</v>
      </c>
      <c r="B12539" s="2" t="s">
        <v>1615</v>
      </c>
      <c r="C12539" s="2">
        <v>960.14070000000004</v>
      </c>
      <c r="D12539" s="2">
        <f>HYPERLINK("http://mcb-m6.bioreg.kyushu-u.ac.jp/M3/20110428/F51128/2983/1", 110.64)</f>
        <v>110.64</v>
      </c>
      <c r="E12539" s="2">
        <v>96.98</v>
      </c>
      <c r="F12539" s="2">
        <v>2</v>
      </c>
      <c r="G12539" s="2" t="s">
        <v>14</v>
      </c>
    </row>
    <row r="12540" spans="1:9" x14ac:dyDescent="0.2">
      <c r="A12540" s="2" t="s">
        <v>3890</v>
      </c>
      <c r="B12540" s="2" t="s">
        <v>1033</v>
      </c>
      <c r="C12540" s="2">
        <v>1058.499</v>
      </c>
      <c r="D12540" s="2">
        <f>HYPERLINK("http://mcb-m6.bioreg.kyushu-u.ac.jp/M3/20110404/F50763/1180/1", 39.38)</f>
        <v>39.380000000000003</v>
      </c>
      <c r="E12540" s="2">
        <v>20.55</v>
      </c>
      <c r="F12540" s="2">
        <v>1</v>
      </c>
      <c r="G12540" s="2" t="s">
        <v>9</v>
      </c>
    </row>
    <row r="12541" spans="1:9" x14ac:dyDescent="0.2">
      <c r="A12541" s="2" t="s">
        <v>3890</v>
      </c>
      <c r="B12541" s="2" t="s">
        <v>6538</v>
      </c>
      <c r="C12541" s="2">
        <v>847.36270000000002</v>
      </c>
      <c r="D12541" s="2">
        <f>HYPERLINK("http://mcb-m6.bioreg.kyushu-u.ac.jp/M3/20110404/F50763/2295/1", 76.4)</f>
        <v>76.400000000000006</v>
      </c>
      <c r="E12541" s="2">
        <v>54.81</v>
      </c>
      <c r="F12541" s="2">
        <v>2</v>
      </c>
      <c r="G12541" s="2" t="s">
        <v>9</v>
      </c>
      <c r="I12541" s="2" t="s">
        <v>4905</v>
      </c>
    </row>
    <row r="12542" spans="1:9" x14ac:dyDescent="0.2">
      <c r="A12542" s="2" t="s">
        <v>3890</v>
      </c>
      <c r="B12542" s="2" t="s">
        <v>6538</v>
      </c>
      <c r="C12542" s="2">
        <v>847.21310000000005</v>
      </c>
      <c r="D12542" s="2">
        <f>HYPERLINK("http://mcb-m6.bioreg.kyushu-u.ac.jp/M3/20110404/F50768/2248/1", 82.82)</f>
        <v>82.82</v>
      </c>
      <c r="E12542" s="2">
        <v>51.63</v>
      </c>
      <c r="F12542" s="2">
        <v>2</v>
      </c>
      <c r="G12542" s="2" t="s">
        <v>10</v>
      </c>
      <c r="I12542" s="2" t="s">
        <v>4905</v>
      </c>
    </row>
    <row r="12543" spans="1:9" x14ac:dyDescent="0.2">
      <c r="A12543" s="2" t="s">
        <v>3890</v>
      </c>
      <c r="B12543" s="2" t="s">
        <v>1033</v>
      </c>
      <c r="C12543" s="2">
        <v>529.54719999999998</v>
      </c>
      <c r="D12543" s="2">
        <f>HYPERLINK("http://mcb-m6.bioreg.kyushu-u.ac.jp/M3/20110428/F51128/1056/1", 43.53)</f>
        <v>43.53</v>
      </c>
      <c r="E12543" s="2">
        <v>21.26</v>
      </c>
      <c r="F12543" s="2">
        <v>2</v>
      </c>
      <c r="G12543" s="2" t="s">
        <v>14</v>
      </c>
    </row>
    <row r="12544" spans="1:9" x14ac:dyDescent="0.2">
      <c r="A12544" s="2" t="s">
        <v>3890</v>
      </c>
      <c r="B12544" s="2" t="s">
        <v>1033</v>
      </c>
      <c r="C12544" s="2">
        <v>530.10569999999996</v>
      </c>
      <c r="D12544" s="2">
        <f>HYPERLINK("http://mcb-m6.bioreg.kyushu-u.ac.jp/M3/20110428/F51128/1059/1", 69.44)</f>
        <v>69.44</v>
      </c>
      <c r="E12544" s="2">
        <v>33.86</v>
      </c>
      <c r="F12544" s="2">
        <v>2</v>
      </c>
      <c r="G12544" s="2" t="s">
        <v>14</v>
      </c>
    </row>
    <row r="12545" spans="1:9" x14ac:dyDescent="0.2">
      <c r="A12545" s="2" t="s">
        <v>3529</v>
      </c>
      <c r="B12545" s="2" t="s">
        <v>6117</v>
      </c>
      <c r="C12545" s="2">
        <v>612.15369999999996</v>
      </c>
      <c r="D12545" s="2">
        <f>HYPERLINK("http://mcb-m6.bioreg.kyushu-u.ac.jp/M3/20110404/F50763/1456/1", 43.29)</f>
        <v>43.29</v>
      </c>
      <c r="E12545" s="2">
        <v>24.75</v>
      </c>
      <c r="F12545" s="2">
        <v>2</v>
      </c>
      <c r="G12545" s="2" t="s">
        <v>9</v>
      </c>
    </row>
    <row r="12546" spans="1:9" x14ac:dyDescent="0.2">
      <c r="A12546" s="2" t="s">
        <v>3529</v>
      </c>
      <c r="B12546" s="2" t="s">
        <v>1964</v>
      </c>
      <c r="C12546" s="2">
        <v>631.15620000000001</v>
      </c>
      <c r="D12546" s="2">
        <f>HYPERLINK("http://mcb-m6.bioreg.kyushu-u.ac.jp/M3/20110404/F50764/1424/1", 46.89)</f>
        <v>46.89</v>
      </c>
      <c r="E12546" s="2">
        <v>30.69</v>
      </c>
      <c r="F12546" s="2">
        <v>2</v>
      </c>
      <c r="G12546" s="2" t="s">
        <v>9</v>
      </c>
    </row>
    <row r="12547" spans="1:9" x14ac:dyDescent="0.2">
      <c r="A12547" s="2" t="s">
        <v>3529</v>
      </c>
      <c r="B12547" s="2" t="s">
        <v>2386</v>
      </c>
      <c r="C12547" s="2">
        <v>618.26919999999996</v>
      </c>
      <c r="D12547" s="2">
        <f>HYPERLINK("http://mcb-m6.bioreg.kyushu-u.ac.jp/M3/20110404/F50756/1435/1", 47.33)</f>
        <v>47.33</v>
      </c>
      <c r="E12547" s="2">
        <v>29.41</v>
      </c>
      <c r="F12547" s="2">
        <v>2</v>
      </c>
      <c r="G12547" s="2" t="s">
        <v>9</v>
      </c>
    </row>
    <row r="12548" spans="1:9" x14ac:dyDescent="0.2">
      <c r="A12548" s="2" t="s">
        <v>3529</v>
      </c>
      <c r="B12548" s="2" t="s">
        <v>1964</v>
      </c>
      <c r="C12548" s="2">
        <v>1261.605</v>
      </c>
      <c r="D12548" s="2">
        <f>HYPERLINK("http://mcb-m6.bioreg.kyushu-u.ac.jp/M3/20110404/F50763/1509/1", 55.27)</f>
        <v>55.27</v>
      </c>
      <c r="E12548" s="2">
        <v>35.229999999999997</v>
      </c>
      <c r="F12548" s="2">
        <v>1</v>
      </c>
      <c r="G12548" s="2" t="s">
        <v>9</v>
      </c>
    </row>
    <row r="12549" spans="1:9" x14ac:dyDescent="0.2">
      <c r="A12549" s="2" t="s">
        <v>3529</v>
      </c>
      <c r="B12549" s="2" t="s">
        <v>1964</v>
      </c>
      <c r="C12549" s="2">
        <v>1260.5989999999999</v>
      </c>
      <c r="D12549" s="2">
        <f>HYPERLINK("http://mcb-m6.bioreg.kyushu-u.ac.jp/M3/20110404/F50763/1506/1", 57.31)</f>
        <v>57.31</v>
      </c>
      <c r="E12549" s="2">
        <v>39.340000000000003</v>
      </c>
      <c r="F12549" s="2">
        <v>1</v>
      </c>
      <c r="G12549" s="2" t="s">
        <v>9</v>
      </c>
    </row>
    <row r="12550" spans="1:9" x14ac:dyDescent="0.2">
      <c r="A12550" s="2" t="s">
        <v>3529</v>
      </c>
      <c r="B12550" s="2" t="s">
        <v>1513</v>
      </c>
      <c r="C12550" s="2">
        <v>746.36720000000003</v>
      </c>
      <c r="D12550" s="2">
        <f>HYPERLINK("http://mcb-m6.bioreg.kyushu-u.ac.jp/M3/20110404/F50763/1976/1", 65.9)</f>
        <v>65.900000000000006</v>
      </c>
      <c r="E12550" s="2">
        <v>49.44</v>
      </c>
      <c r="F12550" s="2">
        <v>2</v>
      </c>
      <c r="G12550" s="2" t="s">
        <v>9</v>
      </c>
      <c r="H12550" s="2" t="s">
        <v>4915</v>
      </c>
      <c r="I12550" s="2" t="s">
        <v>4898</v>
      </c>
    </row>
    <row r="12551" spans="1:9" x14ac:dyDescent="0.2">
      <c r="A12551" s="2" t="s">
        <v>3529</v>
      </c>
      <c r="B12551" s="2" t="s">
        <v>1964</v>
      </c>
      <c r="C12551" s="2">
        <v>631.07259999999997</v>
      </c>
      <c r="D12551" s="2">
        <f>HYPERLINK("http://mcb-m6.bioreg.kyushu-u.ac.jp/M3/20110404/F50763/1507/1", 81.66)</f>
        <v>81.66</v>
      </c>
      <c r="E12551" s="2">
        <v>55.95</v>
      </c>
      <c r="F12551" s="2">
        <v>2</v>
      </c>
      <c r="G12551" s="2" t="s">
        <v>9</v>
      </c>
    </row>
    <row r="12552" spans="1:9" x14ac:dyDescent="0.2">
      <c r="A12552" s="2" t="s">
        <v>3529</v>
      </c>
      <c r="B12552" s="2" t="s">
        <v>1513</v>
      </c>
      <c r="C12552" s="2">
        <v>737.87270000000001</v>
      </c>
      <c r="D12552" s="2">
        <f>HYPERLINK("http://mcb-m6.bioreg.kyushu-u.ac.jp/M3/20110404/F50762/1801/1", 99.66)</f>
        <v>99.66</v>
      </c>
      <c r="E12552" s="2">
        <v>80.010000000000005</v>
      </c>
      <c r="F12552" s="2">
        <v>2</v>
      </c>
      <c r="G12552" s="2" t="s">
        <v>9</v>
      </c>
      <c r="I12552" s="2" t="s">
        <v>4898</v>
      </c>
    </row>
    <row r="12553" spans="1:9" x14ac:dyDescent="0.2">
      <c r="A12553" s="2" t="s">
        <v>3529</v>
      </c>
      <c r="B12553" s="2" t="s">
        <v>1513</v>
      </c>
      <c r="C12553" s="2">
        <v>745.81209999999999</v>
      </c>
      <c r="D12553" s="2">
        <f>HYPERLINK("http://mcb-m6.bioreg.kyushu-u.ac.jp/M3/20110404/F50763/1971/1", 103.75)</f>
        <v>103.75</v>
      </c>
      <c r="E12553" s="2">
        <v>84.86</v>
      </c>
      <c r="F12553" s="2">
        <v>2</v>
      </c>
      <c r="G12553" s="2" t="s">
        <v>9</v>
      </c>
      <c r="H12553" s="2" t="s">
        <v>4908</v>
      </c>
      <c r="I12553" s="2" t="s">
        <v>4898</v>
      </c>
    </row>
    <row r="12554" spans="1:9" x14ac:dyDescent="0.2">
      <c r="A12554" s="2" t="s">
        <v>3529</v>
      </c>
      <c r="B12554" s="2" t="s">
        <v>1513</v>
      </c>
      <c r="C12554" s="2">
        <v>737.90419999999995</v>
      </c>
      <c r="D12554" s="2">
        <f>HYPERLINK("http://mcb-m6.bioreg.kyushu-u.ac.jp/M3/20110404/F50763/1930/1", 107.1)</f>
        <v>107.1</v>
      </c>
      <c r="E12554" s="2">
        <v>79.56</v>
      </c>
      <c r="F12554" s="2">
        <v>2</v>
      </c>
      <c r="G12554" s="2" t="s">
        <v>9</v>
      </c>
      <c r="I12554" s="2" t="s">
        <v>4898</v>
      </c>
    </row>
    <row r="12555" spans="1:9" x14ac:dyDescent="0.2">
      <c r="A12555" s="2" t="s">
        <v>3529</v>
      </c>
      <c r="B12555" s="2" t="s">
        <v>1964</v>
      </c>
      <c r="C12555" s="2">
        <v>638.7817</v>
      </c>
      <c r="D12555" s="2">
        <f>HYPERLINK("http://mcb-m6.bioreg.kyushu-u.ac.jp/M3/20110404/F50768/1509/1", 69.49)</f>
        <v>69.489999999999995</v>
      </c>
      <c r="E12555" s="2">
        <v>38.25</v>
      </c>
      <c r="F12555" s="2">
        <v>2</v>
      </c>
      <c r="G12555" s="2" t="s">
        <v>10</v>
      </c>
      <c r="H12555" s="2" t="s">
        <v>4917</v>
      </c>
    </row>
    <row r="12556" spans="1:9" x14ac:dyDescent="0.2">
      <c r="A12556" s="2" t="s">
        <v>3529</v>
      </c>
      <c r="B12556" s="2" t="s">
        <v>1964</v>
      </c>
      <c r="C12556" s="2">
        <v>631.22059999999999</v>
      </c>
      <c r="D12556" s="2">
        <f>HYPERLINK("http://mcb-m6.bioreg.kyushu-u.ac.jp/M3/20110404/F50768/1487/1", 83.6)</f>
        <v>83.6</v>
      </c>
      <c r="E12556" s="2">
        <v>59.4</v>
      </c>
      <c r="F12556" s="2">
        <v>2</v>
      </c>
      <c r="G12556" s="2" t="s">
        <v>10</v>
      </c>
    </row>
    <row r="12557" spans="1:9" x14ac:dyDescent="0.2">
      <c r="A12557" s="2" t="s">
        <v>3529</v>
      </c>
      <c r="B12557" s="2" t="s">
        <v>1964</v>
      </c>
      <c r="C12557" s="2">
        <v>630.74369999999999</v>
      </c>
      <c r="D12557" s="2">
        <f>HYPERLINK("http://mcb-m6.bioreg.kyushu-u.ac.jp/M3/20110404/F50769/1639/1", 93.25)</f>
        <v>93.25</v>
      </c>
      <c r="E12557" s="2">
        <v>67.38</v>
      </c>
      <c r="F12557" s="2">
        <v>2</v>
      </c>
      <c r="G12557" s="2" t="s">
        <v>10</v>
      </c>
    </row>
    <row r="12558" spans="1:9" x14ac:dyDescent="0.2">
      <c r="A12558" s="2" t="s">
        <v>3529</v>
      </c>
      <c r="B12558" s="2" t="s">
        <v>1513</v>
      </c>
      <c r="C12558" s="2">
        <v>737.76869999999997</v>
      </c>
      <c r="D12558" s="2">
        <f>HYPERLINK("http://mcb-m6.bioreg.kyushu-u.ac.jp/M3/20110404/F50768/1881/1", 110.95)</f>
        <v>110.95</v>
      </c>
      <c r="E12558" s="2">
        <v>90.69</v>
      </c>
      <c r="F12558" s="2">
        <v>2</v>
      </c>
      <c r="G12558" s="2" t="s">
        <v>10</v>
      </c>
      <c r="I12558" s="2" t="s">
        <v>4898</v>
      </c>
    </row>
    <row r="12559" spans="1:9" x14ac:dyDescent="0.2">
      <c r="A12559" s="2" t="s">
        <v>3529</v>
      </c>
      <c r="B12559" s="2" t="s">
        <v>375</v>
      </c>
      <c r="C12559" s="2">
        <v>820.44399999999996</v>
      </c>
      <c r="D12559" s="2">
        <f>HYPERLINK("http://mcb-m6.bioreg.kyushu-u.ac.jp/M3/20110421/F51035/470/1", 36.26)</f>
        <v>36.26</v>
      </c>
      <c r="E12559" s="2">
        <v>18.63</v>
      </c>
      <c r="F12559" s="2">
        <v>1</v>
      </c>
      <c r="G12559" s="2" t="s">
        <v>11</v>
      </c>
      <c r="H12559" s="2" t="s">
        <v>4904</v>
      </c>
    </row>
    <row r="12560" spans="1:9" x14ac:dyDescent="0.2">
      <c r="A12560" s="2" t="s">
        <v>3529</v>
      </c>
      <c r="B12560" s="2" t="s">
        <v>1513</v>
      </c>
      <c r="C12560" s="2">
        <v>737.93320000000006</v>
      </c>
      <c r="D12560" s="2">
        <f>HYPERLINK("http://mcb-m6.bioreg.kyushu-u.ac.jp/M3/20110421/F51035/1974/1", 114.94)</f>
        <v>114.94</v>
      </c>
      <c r="E12560" s="2">
        <v>94.1</v>
      </c>
      <c r="F12560" s="2">
        <v>2</v>
      </c>
      <c r="G12560" s="2" t="s">
        <v>11</v>
      </c>
      <c r="I12560" s="2" t="s">
        <v>4898</v>
      </c>
    </row>
    <row r="12561" spans="1:9" x14ac:dyDescent="0.2">
      <c r="A12561" s="2" t="s">
        <v>3529</v>
      </c>
      <c r="B12561" s="2" t="s">
        <v>3080</v>
      </c>
      <c r="C12561" s="2">
        <v>1001.974</v>
      </c>
      <c r="D12561" s="2">
        <f>HYPERLINK("http://mcb-m6.bioreg.kyushu-u.ac.jp/M3/20110421/F51043/937/1", 36.84)</f>
        <v>36.840000000000003</v>
      </c>
      <c r="E12561" s="2">
        <v>17.170000000000002</v>
      </c>
      <c r="F12561" s="2">
        <v>1</v>
      </c>
      <c r="G12561" s="2" t="s">
        <v>12</v>
      </c>
      <c r="H12561" s="2" t="s">
        <v>4904</v>
      </c>
    </row>
    <row r="12562" spans="1:9" x14ac:dyDescent="0.2">
      <c r="A12562" s="2" t="s">
        <v>3529</v>
      </c>
      <c r="B12562" s="2" t="s">
        <v>375</v>
      </c>
      <c r="C12562" s="2">
        <v>820.55899999999997</v>
      </c>
      <c r="D12562" s="2">
        <f>HYPERLINK("http://mcb-m6.bioreg.kyushu-u.ac.jp/M3/20110421/F51045/866/1", 36.95)</f>
        <v>36.950000000000003</v>
      </c>
      <c r="E12562" s="2">
        <v>19.829999999999998</v>
      </c>
      <c r="F12562" s="2">
        <v>1</v>
      </c>
      <c r="G12562" s="2" t="s">
        <v>12</v>
      </c>
      <c r="H12562" s="2" t="s">
        <v>4904</v>
      </c>
    </row>
    <row r="12563" spans="1:9" x14ac:dyDescent="0.2">
      <c r="A12563" s="2" t="s">
        <v>3529</v>
      </c>
      <c r="B12563" s="2" t="s">
        <v>1964</v>
      </c>
      <c r="C12563" s="2">
        <v>639.38319999999999</v>
      </c>
      <c r="D12563" s="2">
        <f>HYPERLINK("http://mcb-m6.bioreg.kyushu-u.ac.jp/M3/20110421/F51043/1533/1", 63.16)</f>
        <v>63.16</v>
      </c>
      <c r="E12563" s="2">
        <v>46.34</v>
      </c>
      <c r="F12563" s="2">
        <v>2</v>
      </c>
      <c r="G12563" s="2" t="s">
        <v>12</v>
      </c>
      <c r="H12563" s="2" t="s">
        <v>4917</v>
      </c>
    </row>
    <row r="12564" spans="1:9" x14ac:dyDescent="0.2">
      <c r="A12564" s="2" t="s">
        <v>3529</v>
      </c>
      <c r="B12564" s="2" t="s">
        <v>1964</v>
      </c>
      <c r="C12564" s="2">
        <v>638.87220000000002</v>
      </c>
      <c r="D12564" s="2">
        <f>HYPERLINK("http://mcb-m6.bioreg.kyushu-u.ac.jp/M3/20110421/F51043/1531/1", 83.25)</f>
        <v>83.25</v>
      </c>
      <c r="E12564" s="2">
        <v>57.31</v>
      </c>
      <c r="F12564" s="2">
        <v>2</v>
      </c>
      <c r="G12564" s="2" t="s">
        <v>12</v>
      </c>
      <c r="H12564" s="2" t="s">
        <v>4917</v>
      </c>
    </row>
    <row r="12565" spans="1:9" x14ac:dyDescent="0.2">
      <c r="A12565" s="2" t="s">
        <v>3529</v>
      </c>
      <c r="B12565" s="2" t="s">
        <v>1513</v>
      </c>
      <c r="C12565" s="2">
        <v>745.9932</v>
      </c>
      <c r="D12565" s="2">
        <f>HYPERLINK("http://mcb-m6.bioreg.kyushu-u.ac.jp/M3/20110421/F51043/2100/1", 90.61)</f>
        <v>90.61</v>
      </c>
      <c r="E12565" s="2">
        <v>68.7</v>
      </c>
      <c r="F12565" s="2">
        <v>2</v>
      </c>
      <c r="G12565" s="2" t="s">
        <v>12</v>
      </c>
      <c r="H12565" s="2" t="s">
        <v>4908</v>
      </c>
      <c r="I12565" s="2" t="s">
        <v>4898</v>
      </c>
    </row>
    <row r="12566" spans="1:9" x14ac:dyDescent="0.2">
      <c r="A12566" s="2" t="s">
        <v>3529</v>
      </c>
      <c r="B12566" s="2" t="s">
        <v>1513</v>
      </c>
      <c r="C12566" s="2">
        <v>738.43119999999999</v>
      </c>
      <c r="D12566" s="2">
        <f>HYPERLINK("http://mcb-m6.bioreg.kyushu-u.ac.jp/M3/20110421/F51043/2061/1", 93.56)</f>
        <v>93.56</v>
      </c>
      <c r="E12566" s="2">
        <v>69.62</v>
      </c>
      <c r="F12566" s="2">
        <v>2</v>
      </c>
      <c r="G12566" s="2" t="s">
        <v>12</v>
      </c>
      <c r="I12566" s="2" t="s">
        <v>4898</v>
      </c>
    </row>
    <row r="12567" spans="1:9" x14ac:dyDescent="0.2">
      <c r="A12567" s="2" t="s">
        <v>3529</v>
      </c>
      <c r="B12567" s="2" t="s">
        <v>1513</v>
      </c>
      <c r="C12567" s="2">
        <v>737.86220000000003</v>
      </c>
      <c r="D12567" s="2">
        <f>HYPERLINK("http://mcb-m6.bioreg.kyushu-u.ac.jp/M3/20110421/F51043/2053/1", 107.21)</f>
        <v>107.21</v>
      </c>
      <c r="E12567" s="2">
        <v>80.290000000000006</v>
      </c>
      <c r="F12567" s="2">
        <v>2</v>
      </c>
      <c r="G12567" s="2" t="s">
        <v>12</v>
      </c>
      <c r="I12567" s="2" t="s">
        <v>4898</v>
      </c>
    </row>
    <row r="12568" spans="1:9" x14ac:dyDescent="0.2">
      <c r="A12568" s="2" t="s">
        <v>3529</v>
      </c>
      <c r="B12568" s="2" t="s">
        <v>3080</v>
      </c>
      <c r="C12568" s="2">
        <v>509.5831</v>
      </c>
      <c r="D12568" s="2">
        <f>HYPERLINK("http://mcb-m6.bioreg.kyushu-u.ac.jp/M3/20110428/F51127/795/1", 41.09)</f>
        <v>41.09</v>
      </c>
      <c r="E12568" s="2">
        <v>16.68</v>
      </c>
      <c r="F12568" s="2">
        <v>2</v>
      </c>
      <c r="G12568" s="2" t="s">
        <v>13</v>
      </c>
    </row>
    <row r="12569" spans="1:9" x14ac:dyDescent="0.2">
      <c r="A12569" s="2" t="s">
        <v>3529</v>
      </c>
      <c r="B12569" s="2" t="s">
        <v>1996</v>
      </c>
      <c r="C12569" s="2">
        <v>465.60660000000001</v>
      </c>
      <c r="D12569" s="2">
        <f>HYPERLINK("http://mcb-m6.bioreg.kyushu-u.ac.jp/M3/20110428/F51127/646/1", 42.12)</f>
        <v>42.12</v>
      </c>
      <c r="E12569" s="2">
        <v>18.02</v>
      </c>
      <c r="F12569" s="2">
        <v>2</v>
      </c>
      <c r="G12569" s="2" t="s">
        <v>13</v>
      </c>
    </row>
    <row r="12570" spans="1:9" x14ac:dyDescent="0.2">
      <c r="A12570" s="2" t="s">
        <v>3529</v>
      </c>
      <c r="B12570" s="2" t="s">
        <v>1513</v>
      </c>
      <c r="C12570" s="2">
        <v>745.71469999999999</v>
      </c>
      <c r="D12570" s="2">
        <f>HYPERLINK("http://mcb-m6.bioreg.kyushu-u.ac.jp/M3/20110428/F51127/1908/1", 53.25)</f>
        <v>53.25</v>
      </c>
      <c r="E12570" s="2">
        <v>34.090000000000003</v>
      </c>
      <c r="F12570" s="2">
        <v>2</v>
      </c>
      <c r="G12570" s="2" t="s">
        <v>13</v>
      </c>
      <c r="H12570" s="2" t="s">
        <v>4908</v>
      </c>
      <c r="I12570" s="2" t="s">
        <v>4898</v>
      </c>
    </row>
    <row r="12571" spans="1:9" x14ac:dyDescent="0.2">
      <c r="A12571" s="2" t="s">
        <v>3529</v>
      </c>
      <c r="B12571" s="2" t="s">
        <v>2386</v>
      </c>
      <c r="C12571" s="2">
        <v>618.16719999999998</v>
      </c>
      <c r="D12571" s="2">
        <f>HYPERLINK("http://mcb-m6.bioreg.kyushu-u.ac.jp/M3/20110428/F51127/1273/1", 81.04)</f>
        <v>81.040000000000006</v>
      </c>
      <c r="E12571" s="2">
        <v>55.34</v>
      </c>
      <c r="F12571" s="2">
        <v>2</v>
      </c>
      <c r="G12571" s="2" t="s">
        <v>13</v>
      </c>
    </row>
    <row r="12572" spans="1:9" x14ac:dyDescent="0.2">
      <c r="A12572" s="2" t="s">
        <v>3529</v>
      </c>
      <c r="B12572" s="2" t="s">
        <v>1964</v>
      </c>
      <c r="C12572" s="2">
        <v>631.19119999999998</v>
      </c>
      <c r="D12572" s="2">
        <f>HYPERLINK("http://mcb-m6.bioreg.kyushu-u.ac.jp/M3/20110428/F51127/1326/1", 86.5)</f>
        <v>86.5</v>
      </c>
      <c r="E12572" s="2">
        <v>61.8</v>
      </c>
      <c r="F12572" s="2">
        <v>2</v>
      </c>
      <c r="G12572" s="2" t="s">
        <v>13</v>
      </c>
    </row>
    <row r="12573" spans="1:9" x14ac:dyDescent="0.2">
      <c r="A12573" s="2" t="s">
        <v>3529</v>
      </c>
      <c r="B12573" s="2" t="s">
        <v>1964</v>
      </c>
      <c r="C12573" s="2">
        <v>630.64509999999996</v>
      </c>
      <c r="D12573" s="2">
        <f>HYPERLINK("http://mcb-m6.bioreg.kyushu-u.ac.jp/M3/20110428/F51127/1322/1", 91.49)</f>
        <v>91.49</v>
      </c>
      <c r="E12573" s="2">
        <v>69.52</v>
      </c>
      <c r="F12573" s="2">
        <v>2</v>
      </c>
      <c r="G12573" s="2" t="s">
        <v>13</v>
      </c>
    </row>
    <row r="12574" spans="1:9" x14ac:dyDescent="0.2">
      <c r="A12574" s="2" t="s">
        <v>3529</v>
      </c>
      <c r="B12574" s="2" t="s">
        <v>1513</v>
      </c>
      <c r="C12574" s="2">
        <v>746.19209999999998</v>
      </c>
      <c r="D12574" s="2">
        <f>HYPERLINK("http://mcb-m6.bioreg.kyushu-u.ac.jp/M3/20110428/F51128/1990/1", 59.27)</f>
        <v>59.27</v>
      </c>
      <c r="E12574" s="2">
        <v>45.35</v>
      </c>
      <c r="F12574" s="2">
        <v>2</v>
      </c>
      <c r="G12574" s="2" t="s">
        <v>14</v>
      </c>
      <c r="H12574" s="2" t="s">
        <v>4908</v>
      </c>
      <c r="I12574" s="2" t="s">
        <v>4898</v>
      </c>
    </row>
    <row r="12575" spans="1:9" x14ac:dyDescent="0.2">
      <c r="A12575" s="2" t="s">
        <v>3529</v>
      </c>
      <c r="B12575" s="2" t="s">
        <v>1964</v>
      </c>
      <c r="C12575" s="2">
        <v>638.74069999999995</v>
      </c>
      <c r="D12575" s="2">
        <f>HYPERLINK("http://mcb-m6.bioreg.kyushu-u.ac.jp/M3/20110428/F51128/1496/1", 62.31)</f>
        <v>62.31</v>
      </c>
      <c r="E12575" s="2">
        <v>31.58</v>
      </c>
      <c r="F12575" s="2">
        <v>2</v>
      </c>
      <c r="G12575" s="2" t="s">
        <v>14</v>
      </c>
      <c r="H12575" s="2" t="s">
        <v>4917</v>
      </c>
    </row>
    <row r="12576" spans="1:9" x14ac:dyDescent="0.2">
      <c r="A12576" s="2" t="s">
        <v>4019</v>
      </c>
      <c r="B12576" s="2" t="s">
        <v>1328</v>
      </c>
      <c r="C12576" s="2">
        <v>675.81020000000001</v>
      </c>
      <c r="D12576" s="2">
        <f>HYPERLINK("http://mcb-m6.bioreg.kyushu-u.ac.jp/M3/20110404/F50762/1530/1", 46.61)</f>
        <v>46.61</v>
      </c>
      <c r="E12576" s="2">
        <v>30.22</v>
      </c>
      <c r="F12576" s="2">
        <v>2</v>
      </c>
      <c r="G12576" s="2" t="s">
        <v>9</v>
      </c>
    </row>
    <row r="12577" spans="1:9" x14ac:dyDescent="0.2">
      <c r="A12577" s="2" t="s">
        <v>4019</v>
      </c>
      <c r="B12577" s="2" t="s">
        <v>1328</v>
      </c>
      <c r="C12577" s="2">
        <v>676.36869999999999</v>
      </c>
      <c r="D12577" s="2">
        <f>HYPERLINK("http://mcb-m6.bioreg.kyushu-u.ac.jp/M3/20110404/F50763/1647/1", 59.65)</f>
        <v>59.65</v>
      </c>
      <c r="E12577" s="2">
        <v>47.51</v>
      </c>
      <c r="F12577" s="2">
        <v>2</v>
      </c>
      <c r="G12577" s="2" t="s">
        <v>9</v>
      </c>
    </row>
    <row r="12578" spans="1:9" x14ac:dyDescent="0.2">
      <c r="A12578" s="2" t="s">
        <v>4019</v>
      </c>
      <c r="B12578" s="2" t="s">
        <v>1328</v>
      </c>
      <c r="C12578" s="2">
        <v>676.06870000000004</v>
      </c>
      <c r="D12578" s="2">
        <f>HYPERLINK("http://mcb-m6.bioreg.kyushu-u.ac.jp/M3/20110404/F50768/1610/1", 61.7)</f>
        <v>61.7</v>
      </c>
      <c r="E12578" s="2">
        <v>48.86</v>
      </c>
      <c r="F12578" s="2">
        <v>2</v>
      </c>
      <c r="G12578" s="2" t="s">
        <v>10</v>
      </c>
    </row>
    <row r="12579" spans="1:9" x14ac:dyDescent="0.2">
      <c r="A12579" s="2" t="s">
        <v>4019</v>
      </c>
      <c r="B12579" s="2" t="s">
        <v>1328</v>
      </c>
      <c r="C12579" s="2">
        <v>675.8152</v>
      </c>
      <c r="D12579" s="2">
        <f>HYPERLINK("http://mcb-m6.bioreg.kyushu-u.ac.jp/M3/20110404/F50769/1748/1", 68.93)</f>
        <v>68.930000000000007</v>
      </c>
      <c r="E12579" s="2">
        <v>59.08</v>
      </c>
      <c r="F12579" s="2">
        <v>2</v>
      </c>
      <c r="G12579" s="2" t="s">
        <v>10</v>
      </c>
    </row>
    <row r="12580" spans="1:9" x14ac:dyDescent="0.2">
      <c r="A12580" s="2" t="s">
        <v>4019</v>
      </c>
      <c r="B12580" s="2" t="s">
        <v>1328</v>
      </c>
      <c r="C12580" s="2">
        <v>676.13210000000004</v>
      </c>
      <c r="D12580" s="2">
        <f>HYPERLINK("http://mcb-m6.bioreg.kyushu-u.ac.jp/M3/20110421/F51043/1688/1", 65.28)</f>
        <v>65.28</v>
      </c>
      <c r="E12580" s="2">
        <v>50.9</v>
      </c>
      <c r="F12580" s="2">
        <v>2</v>
      </c>
      <c r="G12580" s="2" t="s">
        <v>12</v>
      </c>
    </row>
    <row r="12581" spans="1:9" x14ac:dyDescent="0.2">
      <c r="A12581" s="2" t="s">
        <v>4019</v>
      </c>
      <c r="B12581" s="2" t="s">
        <v>1328</v>
      </c>
      <c r="C12581" s="2">
        <v>676.2047</v>
      </c>
      <c r="D12581" s="2">
        <f>HYPERLINK("http://mcb-m6.bioreg.kyushu-u.ac.jp/M3/20110428/F51127/1507/1", 65.48)</f>
        <v>65.48</v>
      </c>
      <c r="E12581" s="2">
        <v>49.46</v>
      </c>
      <c r="F12581" s="2">
        <v>2</v>
      </c>
      <c r="G12581" s="2" t="s">
        <v>13</v>
      </c>
    </row>
    <row r="12582" spans="1:9" x14ac:dyDescent="0.2">
      <c r="A12582" s="2" t="s">
        <v>4019</v>
      </c>
      <c r="B12582" s="2" t="s">
        <v>1328</v>
      </c>
      <c r="C12582" s="2">
        <v>676.21669999999995</v>
      </c>
      <c r="D12582" s="2">
        <f>HYPERLINK("http://mcb-m6.bioreg.kyushu-u.ac.jp/M3/20110428/F51128/1631/1", 54.69)</f>
        <v>54.69</v>
      </c>
      <c r="E12582" s="2">
        <v>40.01</v>
      </c>
      <c r="F12582" s="2">
        <v>2</v>
      </c>
      <c r="G12582" s="2" t="s">
        <v>14</v>
      </c>
    </row>
    <row r="12583" spans="1:9" x14ac:dyDescent="0.2">
      <c r="A12583" s="2" t="s">
        <v>7592</v>
      </c>
      <c r="B12583" s="2" t="s">
        <v>6063</v>
      </c>
      <c r="C12583" s="2">
        <v>982.01670000000001</v>
      </c>
      <c r="D12583" s="2">
        <f>HYPERLINK("http://mcb-m6.bioreg.kyushu-u.ac.jp/M3/20110404/F50764/2696/1", 40.59)</f>
        <v>40.590000000000003</v>
      </c>
      <c r="E12583" s="2">
        <v>24.65</v>
      </c>
      <c r="F12583" s="2">
        <v>2</v>
      </c>
      <c r="G12583" s="2" t="s">
        <v>9</v>
      </c>
    </row>
    <row r="12584" spans="1:9" x14ac:dyDescent="0.2">
      <c r="A12584" s="2" t="s">
        <v>7594</v>
      </c>
      <c r="B12584" s="2" t="s">
        <v>6065</v>
      </c>
      <c r="C12584" s="2">
        <v>1024.4059999999999</v>
      </c>
      <c r="D12584" s="2">
        <f>HYPERLINK("http://mcb-m6.bioreg.kyushu-u.ac.jp/M3/20110404/F50766/556/1", 40.64)</f>
        <v>40.64</v>
      </c>
      <c r="E12584" s="2">
        <v>24.88</v>
      </c>
      <c r="F12584" s="2">
        <v>1</v>
      </c>
      <c r="G12584" s="2" t="s">
        <v>9</v>
      </c>
    </row>
    <row r="12585" spans="1:9" x14ac:dyDescent="0.2">
      <c r="A12585" s="2" t="s">
        <v>7594</v>
      </c>
      <c r="B12585" s="2" t="s">
        <v>6077</v>
      </c>
      <c r="C12585" s="2">
        <v>1348.413</v>
      </c>
      <c r="D12585" s="2">
        <f>HYPERLINK("http://mcb-m6.bioreg.kyushu-u.ac.jp/M3/20110404/F50766/1162/1", 41.31)</f>
        <v>41.31</v>
      </c>
      <c r="E12585" s="2">
        <v>19.27</v>
      </c>
      <c r="F12585" s="2">
        <v>1</v>
      </c>
      <c r="G12585" s="2" t="s">
        <v>9</v>
      </c>
    </row>
    <row r="12586" spans="1:9" x14ac:dyDescent="0.2">
      <c r="A12586" s="2" t="s">
        <v>7594</v>
      </c>
      <c r="B12586" s="2" t="s">
        <v>6184</v>
      </c>
      <c r="C12586" s="2">
        <v>610.74159999999995</v>
      </c>
      <c r="D12586" s="2">
        <f>HYPERLINK("http://mcb-m6.bioreg.kyushu-u.ac.jp/M3/20110404/F50767/1115/1", 45.82)</f>
        <v>45.82</v>
      </c>
      <c r="E12586" s="2">
        <v>13.4</v>
      </c>
      <c r="F12586" s="2">
        <v>2</v>
      </c>
      <c r="G12586" s="2" t="s">
        <v>9</v>
      </c>
    </row>
    <row r="12587" spans="1:9" x14ac:dyDescent="0.2">
      <c r="A12587" s="2" t="s">
        <v>7594</v>
      </c>
      <c r="B12587" s="2" t="s">
        <v>6234</v>
      </c>
      <c r="C12587" s="2">
        <v>1136.5239999999999</v>
      </c>
      <c r="D12587" s="2">
        <f>HYPERLINK("http://mcb-m6.bioreg.kyushu-u.ac.jp/M3/20110404/F50766/736/1", 47.93)</f>
        <v>47.93</v>
      </c>
      <c r="E12587" s="2">
        <v>31.43</v>
      </c>
      <c r="F12587" s="2">
        <v>1</v>
      </c>
      <c r="G12587" s="2" t="s">
        <v>9</v>
      </c>
    </row>
    <row r="12588" spans="1:9" x14ac:dyDescent="0.2">
      <c r="A12588" s="2" t="s">
        <v>7594</v>
      </c>
      <c r="B12588" s="2" t="s">
        <v>6244</v>
      </c>
      <c r="C12588" s="2">
        <v>1245.5309999999999</v>
      </c>
      <c r="D12588" s="2">
        <f>HYPERLINK("http://mcb-m6.bioreg.kyushu-u.ac.jp/M3/20110404/F50766/969/1", 48.79)</f>
        <v>48.79</v>
      </c>
      <c r="E12588" s="2">
        <v>25.93</v>
      </c>
      <c r="F12588" s="2">
        <v>1</v>
      </c>
      <c r="G12588" s="2" t="s">
        <v>9</v>
      </c>
    </row>
    <row r="12589" spans="1:9" x14ac:dyDescent="0.2">
      <c r="A12589" s="2" t="s">
        <v>7594</v>
      </c>
      <c r="B12589" s="2" t="s">
        <v>6234</v>
      </c>
      <c r="C12589" s="2">
        <v>568.82669999999996</v>
      </c>
      <c r="D12589" s="2">
        <f>HYPERLINK("http://mcb-m6.bioreg.kyushu-u.ac.jp/M3/20110404/F50766/737/1", 56)</f>
        <v>56</v>
      </c>
      <c r="E12589" s="2">
        <v>28.65</v>
      </c>
      <c r="F12589" s="2">
        <v>2</v>
      </c>
      <c r="G12589" s="2" t="s">
        <v>9</v>
      </c>
    </row>
    <row r="12590" spans="1:9" x14ac:dyDescent="0.2">
      <c r="A12590" s="2" t="s">
        <v>7594</v>
      </c>
      <c r="B12590" s="2" t="s">
        <v>6423</v>
      </c>
      <c r="C12590" s="2">
        <v>716.36410000000001</v>
      </c>
      <c r="D12590" s="2">
        <f>HYPERLINK("http://mcb-m6.bioreg.kyushu-u.ac.jp/M3/20110404/F50766/1398/1", 62.55)</f>
        <v>62.55</v>
      </c>
      <c r="E12590" s="2">
        <v>50.07</v>
      </c>
      <c r="F12590" s="2">
        <v>2</v>
      </c>
      <c r="G12590" s="2" t="s">
        <v>9</v>
      </c>
      <c r="I12590" s="2" t="s">
        <v>4926</v>
      </c>
    </row>
    <row r="12591" spans="1:9" x14ac:dyDescent="0.2">
      <c r="A12591" s="2" t="s">
        <v>7594</v>
      </c>
      <c r="B12591" s="2" t="s">
        <v>6184</v>
      </c>
      <c r="C12591" s="2">
        <v>610.67859999999996</v>
      </c>
      <c r="D12591" s="2">
        <f>HYPERLINK("http://mcb-m6.bioreg.kyushu-u.ac.jp/M3/20110404/F50766/907/1", 67.81)</f>
        <v>67.81</v>
      </c>
      <c r="E12591" s="2">
        <v>14.27</v>
      </c>
      <c r="F12591" s="2">
        <v>2</v>
      </c>
      <c r="G12591" s="2" t="s">
        <v>9</v>
      </c>
    </row>
    <row r="12592" spans="1:9" x14ac:dyDescent="0.2">
      <c r="A12592" s="2" t="s">
        <v>7594</v>
      </c>
      <c r="B12592" s="2" t="s">
        <v>6065</v>
      </c>
      <c r="C12592" s="2">
        <v>512.66219999999998</v>
      </c>
      <c r="D12592" s="2">
        <f>HYPERLINK("http://mcb-m6.bioreg.kyushu-u.ac.jp/M3/20110404/F50766/555/1", 68.01)</f>
        <v>68.010000000000005</v>
      </c>
      <c r="E12592" s="2">
        <v>42.64</v>
      </c>
      <c r="F12592" s="2">
        <v>2</v>
      </c>
      <c r="G12592" s="2" t="s">
        <v>9</v>
      </c>
    </row>
    <row r="12593" spans="1:9" x14ac:dyDescent="0.2">
      <c r="A12593" s="2" t="s">
        <v>7594</v>
      </c>
      <c r="B12593" s="2" t="s">
        <v>6077</v>
      </c>
      <c r="C12593" s="2">
        <v>675.17169999999999</v>
      </c>
      <c r="D12593" s="2">
        <f>HYPERLINK("http://mcb-m6.bioreg.kyushu-u.ac.jp/M3/20110404/F50766/1167/1", 80.53)</f>
        <v>80.53</v>
      </c>
      <c r="E12593" s="2">
        <v>4.9400000000000004</v>
      </c>
      <c r="F12593" s="2">
        <v>2</v>
      </c>
      <c r="G12593" s="2" t="s">
        <v>9</v>
      </c>
    </row>
    <row r="12594" spans="1:9" x14ac:dyDescent="0.2">
      <c r="A12594" s="2" t="s">
        <v>7629</v>
      </c>
      <c r="B12594" s="2" t="s">
        <v>6161</v>
      </c>
      <c r="C12594" s="2">
        <v>855.34770000000003</v>
      </c>
      <c r="D12594" s="2">
        <f>HYPERLINK("http://mcb-m6.bioreg.kyushu-u.ac.jp/M3/20110404/F50766/2207/1", 44.94)</f>
        <v>44.94</v>
      </c>
      <c r="E12594" s="2">
        <v>34</v>
      </c>
      <c r="F12594" s="2">
        <v>2</v>
      </c>
      <c r="G12594" s="2" t="s">
        <v>9</v>
      </c>
      <c r="I12594" s="2" t="s">
        <v>8128</v>
      </c>
    </row>
    <row r="12595" spans="1:9" x14ac:dyDescent="0.2">
      <c r="A12595" s="2" t="s">
        <v>7629</v>
      </c>
      <c r="B12595" s="2" t="s">
        <v>6161</v>
      </c>
      <c r="C12595" s="2">
        <v>855.32619999999997</v>
      </c>
      <c r="D12595" s="2">
        <f>HYPERLINK("http://mcb-m6.bioreg.kyushu-u.ac.jp/M3/20110404/F50766/2204/1", 46.77)</f>
        <v>46.77</v>
      </c>
      <c r="E12595" s="2">
        <v>36.51</v>
      </c>
      <c r="F12595" s="2">
        <v>2</v>
      </c>
      <c r="G12595" s="2" t="s">
        <v>9</v>
      </c>
      <c r="I12595" s="2" t="s">
        <v>8128</v>
      </c>
    </row>
    <row r="12596" spans="1:9" x14ac:dyDescent="0.2">
      <c r="A12596" s="2" t="s">
        <v>7629</v>
      </c>
      <c r="B12596" s="2" t="s">
        <v>6161</v>
      </c>
      <c r="C12596" s="2">
        <v>1709.48</v>
      </c>
      <c r="D12596" s="2">
        <f>HYPERLINK("http://mcb-m6.bioreg.kyushu-u.ac.jp/M3/20110404/F50766/2202/1", 60.98)</f>
        <v>60.98</v>
      </c>
      <c r="E12596" s="2">
        <v>51.83</v>
      </c>
      <c r="F12596" s="2">
        <v>1</v>
      </c>
      <c r="G12596" s="2" t="s">
        <v>9</v>
      </c>
      <c r="I12596" s="2" t="s">
        <v>8128</v>
      </c>
    </row>
    <row r="12597" spans="1:9" x14ac:dyDescent="0.2">
      <c r="A12597" s="2" t="s">
        <v>7629</v>
      </c>
      <c r="B12597" s="2" t="s">
        <v>6161</v>
      </c>
      <c r="C12597" s="2">
        <v>855.12459999999999</v>
      </c>
      <c r="D12597" s="2">
        <f>HYPERLINK("http://mcb-m6.bioreg.kyushu-u.ac.jp/M3/20110404/F50766/2200/1", 63.53)</f>
        <v>63.53</v>
      </c>
      <c r="E12597" s="2">
        <v>51.14</v>
      </c>
      <c r="F12597" s="2">
        <v>2</v>
      </c>
      <c r="G12597" s="2" t="s">
        <v>9</v>
      </c>
      <c r="I12597" s="2" t="s">
        <v>8128</v>
      </c>
    </row>
    <row r="12598" spans="1:9" x14ac:dyDescent="0.2">
      <c r="A12598" s="2" t="s">
        <v>7629</v>
      </c>
      <c r="B12598" s="2" t="s">
        <v>6161</v>
      </c>
      <c r="C12598" s="2">
        <v>855.88959999999997</v>
      </c>
      <c r="D12598" s="2">
        <f>HYPERLINK("http://mcb-m6.bioreg.kyushu-u.ac.jp/M3/20110404/F50766/2208/1", 70.32)</f>
        <v>70.319999999999993</v>
      </c>
      <c r="E12598" s="2">
        <v>47.58</v>
      </c>
      <c r="F12598" s="2">
        <v>2</v>
      </c>
      <c r="G12598" s="2" t="s">
        <v>9</v>
      </c>
      <c r="I12598" s="2" t="s">
        <v>8128</v>
      </c>
    </row>
    <row r="12599" spans="1:9" x14ac:dyDescent="0.2">
      <c r="A12599" s="2" t="s">
        <v>7629</v>
      </c>
      <c r="B12599" s="2" t="s">
        <v>6161</v>
      </c>
      <c r="C12599" s="2">
        <v>855.22469999999998</v>
      </c>
      <c r="D12599" s="2">
        <f>HYPERLINK("http://mcb-m6.bioreg.kyushu-u.ac.jp/M3/20110404/F50766/2201/1", 82.71)</f>
        <v>82.71</v>
      </c>
      <c r="E12599" s="2">
        <v>72.47</v>
      </c>
      <c r="F12599" s="2">
        <v>2</v>
      </c>
      <c r="G12599" s="2" t="s">
        <v>9</v>
      </c>
      <c r="I12599" s="2" t="s">
        <v>8128</v>
      </c>
    </row>
    <row r="12600" spans="1:9" x14ac:dyDescent="0.2">
      <c r="A12600" s="2" t="s">
        <v>7629</v>
      </c>
      <c r="B12600" s="2" t="s">
        <v>6161</v>
      </c>
      <c r="C12600" s="2">
        <v>855.34270000000004</v>
      </c>
      <c r="D12600" s="2">
        <f>HYPERLINK("http://mcb-m6.bioreg.kyushu-u.ac.jp/M3/20110404/F50766/2206/1", 84.05)</f>
        <v>84.05</v>
      </c>
      <c r="E12600" s="2">
        <v>74.989999999999995</v>
      </c>
      <c r="F12600" s="2">
        <v>2</v>
      </c>
      <c r="G12600" s="2" t="s">
        <v>9</v>
      </c>
      <c r="I12600" s="2" t="s">
        <v>8128</v>
      </c>
    </row>
    <row r="12601" spans="1:9" x14ac:dyDescent="0.2">
      <c r="A12601" s="2" t="s">
        <v>7629</v>
      </c>
      <c r="B12601" s="2" t="s">
        <v>6161</v>
      </c>
      <c r="C12601" s="2">
        <v>855.95119999999997</v>
      </c>
      <c r="D12601" s="2">
        <f>HYPERLINK("http://mcb-m6.bioreg.kyushu-u.ac.jp/M3/20110404/F50766/2211/1", 101.74)</f>
        <v>101.74</v>
      </c>
      <c r="E12601" s="2">
        <v>91.28</v>
      </c>
      <c r="F12601" s="2">
        <v>2</v>
      </c>
      <c r="G12601" s="2" t="s">
        <v>9</v>
      </c>
      <c r="I12601" s="2" t="s">
        <v>8128</v>
      </c>
    </row>
    <row r="12602" spans="1:9" x14ac:dyDescent="0.2">
      <c r="A12602" s="2" t="s">
        <v>7629</v>
      </c>
      <c r="B12602" s="2" t="s">
        <v>6161</v>
      </c>
      <c r="C12602" s="2">
        <v>855.31709999999998</v>
      </c>
      <c r="D12602" s="2">
        <f>HYPERLINK("http://mcb-m6.bioreg.kyushu-u.ac.jp/M3/20110404/F50767/2252/1", 104.79)</f>
        <v>104.79</v>
      </c>
      <c r="E12602" s="2">
        <v>94.93</v>
      </c>
      <c r="F12602" s="2">
        <v>2</v>
      </c>
      <c r="G12602" s="2" t="s">
        <v>9</v>
      </c>
      <c r="I12602" s="2" t="s">
        <v>8128</v>
      </c>
    </row>
    <row r="12603" spans="1:9" x14ac:dyDescent="0.2">
      <c r="A12603" s="2" t="s">
        <v>7629</v>
      </c>
      <c r="B12603" s="2" t="s">
        <v>6161</v>
      </c>
      <c r="C12603" s="2">
        <v>855.80409999999995</v>
      </c>
      <c r="D12603" s="2">
        <f>HYPERLINK("http://mcb-m6.bioreg.kyushu-u.ac.jp/M3/20110404/F50768/2277/1", 95.37)</f>
        <v>95.37</v>
      </c>
      <c r="E12603" s="2">
        <v>83.71</v>
      </c>
      <c r="F12603" s="2">
        <v>2</v>
      </c>
      <c r="G12603" s="2" t="s">
        <v>10</v>
      </c>
      <c r="I12603" s="2" t="s">
        <v>8128</v>
      </c>
    </row>
    <row r="12604" spans="1:9" x14ac:dyDescent="0.2">
      <c r="A12604" s="2" t="s">
        <v>7629</v>
      </c>
      <c r="B12604" s="2" t="s">
        <v>6161</v>
      </c>
      <c r="C12604" s="2">
        <v>855.2491</v>
      </c>
      <c r="D12604" s="2">
        <f>HYPERLINK("http://mcb-m6.bioreg.kyushu-u.ac.jp/M3/20110404/F50768/2275/1", 103.13)</f>
        <v>103.13</v>
      </c>
      <c r="E12604" s="2">
        <v>90.73</v>
      </c>
      <c r="F12604" s="2">
        <v>2</v>
      </c>
      <c r="G12604" s="2" t="s">
        <v>10</v>
      </c>
      <c r="I12604" s="2" t="s">
        <v>8128</v>
      </c>
    </row>
    <row r="12605" spans="1:9" x14ac:dyDescent="0.2">
      <c r="A12605" s="2" t="s">
        <v>3998</v>
      </c>
      <c r="B12605" s="2" t="s">
        <v>1285</v>
      </c>
      <c r="C12605" s="2">
        <v>1546.7670000000001</v>
      </c>
      <c r="D12605" s="2">
        <f>HYPERLINK("http://mcb-m6.bioreg.kyushu-u.ac.jp/M3/20110404/F50751/2195/1", 59.72)</f>
        <v>59.72</v>
      </c>
      <c r="E12605" s="2">
        <v>49.15</v>
      </c>
      <c r="F12605" s="2">
        <v>1</v>
      </c>
      <c r="G12605" s="2" t="s">
        <v>9</v>
      </c>
    </row>
    <row r="12606" spans="1:9" x14ac:dyDescent="0.2">
      <c r="A12606" s="2" t="s">
        <v>3998</v>
      </c>
      <c r="B12606" s="2" t="s">
        <v>1285</v>
      </c>
      <c r="C12606" s="2">
        <v>774.48069999999996</v>
      </c>
      <c r="D12606" s="2">
        <f>HYPERLINK("http://mcb-m6.bioreg.kyushu-u.ac.jp/M3/20110404/F50751/2196/1", 95.8)</f>
        <v>95.8</v>
      </c>
      <c r="E12606" s="2">
        <v>74.91</v>
      </c>
      <c r="F12606" s="2">
        <v>2</v>
      </c>
      <c r="G12606" s="2" t="s">
        <v>9</v>
      </c>
    </row>
    <row r="12607" spans="1:9" x14ac:dyDescent="0.2">
      <c r="A12607" s="2" t="s">
        <v>3998</v>
      </c>
      <c r="B12607" s="2" t="s">
        <v>1285</v>
      </c>
      <c r="C12607" s="2">
        <v>773.76210000000003</v>
      </c>
      <c r="D12607" s="2">
        <f>HYPERLINK("http://mcb-m6.bioreg.kyushu-u.ac.jp/M3/20110404/F50757/2179/1", 75.87)</f>
        <v>75.87</v>
      </c>
      <c r="E12607" s="2">
        <v>51.53</v>
      </c>
      <c r="F12607" s="2">
        <v>2</v>
      </c>
      <c r="G12607" s="2" t="s">
        <v>10</v>
      </c>
    </row>
    <row r="12608" spans="1:9" x14ac:dyDescent="0.2">
      <c r="A12608" s="2" t="s">
        <v>3998</v>
      </c>
      <c r="B12608" s="2" t="s">
        <v>1285</v>
      </c>
      <c r="C12608" s="2">
        <v>773.63120000000004</v>
      </c>
      <c r="D12608" s="2">
        <f>HYPERLINK("http://mcb-m6.bioreg.kyushu-u.ac.jp/M3/20110421/F51016/2178/1", 54.58)</f>
        <v>54.58</v>
      </c>
      <c r="E12608" s="2">
        <v>30.23</v>
      </c>
      <c r="F12608" s="2">
        <v>2</v>
      </c>
      <c r="G12608" s="2" t="s">
        <v>11</v>
      </c>
    </row>
    <row r="12609" spans="1:9" x14ac:dyDescent="0.2">
      <c r="A12609" s="2" t="s">
        <v>3998</v>
      </c>
      <c r="B12609" s="2" t="s">
        <v>1285</v>
      </c>
      <c r="C12609" s="2">
        <v>774.19619999999998</v>
      </c>
      <c r="D12609" s="2">
        <f>HYPERLINK("http://mcb-m6.bioreg.kyushu-u.ac.jp/M3/20110421/F51015/2165/1", 103.54)</f>
        <v>103.54</v>
      </c>
      <c r="E12609" s="2">
        <v>82.63</v>
      </c>
      <c r="F12609" s="2">
        <v>2</v>
      </c>
      <c r="G12609" s="2" t="s">
        <v>11</v>
      </c>
    </row>
    <row r="12610" spans="1:9" x14ac:dyDescent="0.2">
      <c r="A12610" s="2" t="s">
        <v>3998</v>
      </c>
      <c r="B12610" s="2" t="s">
        <v>1285</v>
      </c>
      <c r="C12610" s="2">
        <v>773.66020000000003</v>
      </c>
      <c r="D12610" s="2">
        <f>HYPERLINK("http://mcb-m6.bioreg.kyushu-u.ac.jp/M3/20110421/F51015/2163/1", 106.49)</f>
        <v>106.49</v>
      </c>
      <c r="E12610" s="2">
        <v>89.61</v>
      </c>
      <c r="F12610" s="2">
        <v>2</v>
      </c>
      <c r="G12610" s="2" t="s">
        <v>11</v>
      </c>
    </row>
    <row r="12611" spans="1:9" x14ac:dyDescent="0.2">
      <c r="A12611" s="2" t="s">
        <v>3998</v>
      </c>
      <c r="B12611" s="2" t="s">
        <v>1285</v>
      </c>
      <c r="C12611" s="2">
        <v>773.90520000000004</v>
      </c>
      <c r="D12611" s="2">
        <f>HYPERLINK("http://mcb-m6.bioreg.kyushu-u.ac.jp/M3/20110421/F51061/2109/1", 39.72)</f>
        <v>39.72</v>
      </c>
      <c r="E12611" s="2">
        <v>24.82</v>
      </c>
      <c r="F12611" s="2">
        <v>2</v>
      </c>
      <c r="G12611" s="2" t="s">
        <v>12</v>
      </c>
    </row>
    <row r="12612" spans="1:9" x14ac:dyDescent="0.2">
      <c r="A12612" s="2" t="s">
        <v>3998</v>
      </c>
      <c r="B12612" s="2" t="s">
        <v>1285</v>
      </c>
      <c r="C12612" s="2">
        <v>773.66560000000004</v>
      </c>
      <c r="D12612" s="2">
        <f>HYPERLINK("http://mcb-m6.bioreg.kyushu-u.ac.jp/M3/20110427/F51109/2190/1", 58.35)</f>
        <v>58.35</v>
      </c>
      <c r="E12612" s="2">
        <v>45.58</v>
      </c>
      <c r="F12612" s="2">
        <v>2</v>
      </c>
      <c r="G12612" s="2" t="s">
        <v>13</v>
      </c>
    </row>
    <row r="12613" spans="1:9" x14ac:dyDescent="0.2">
      <c r="A12613" s="2" t="s">
        <v>3998</v>
      </c>
      <c r="B12613" s="2" t="s">
        <v>1285</v>
      </c>
      <c r="C12613" s="2">
        <v>773.80619999999999</v>
      </c>
      <c r="D12613" s="2">
        <f>HYPERLINK("http://mcb-m6.bioreg.kyushu-u.ac.jp/M3/20110428/F51134/2032/1", 94.64)</f>
        <v>94.64</v>
      </c>
      <c r="E12613" s="2">
        <v>77.92</v>
      </c>
      <c r="F12613" s="2">
        <v>2</v>
      </c>
      <c r="G12613" s="2" t="s">
        <v>14</v>
      </c>
    </row>
    <row r="12614" spans="1:9" x14ac:dyDescent="0.2">
      <c r="A12614" s="2" t="s">
        <v>5848</v>
      </c>
      <c r="B12614" s="2" t="s">
        <v>5541</v>
      </c>
      <c r="C12614" s="2">
        <v>747.10310000000004</v>
      </c>
      <c r="D12614" s="2">
        <f>HYPERLINK("http://mcb-m6.bioreg.kyushu-u.ac.jp/M3/20110427/F51109/2129/1", 69.08)</f>
        <v>69.08</v>
      </c>
      <c r="E12614" s="2">
        <v>47.77</v>
      </c>
      <c r="F12614" s="2">
        <v>2</v>
      </c>
      <c r="G12614" s="2" t="s">
        <v>13</v>
      </c>
      <c r="I12614" s="2" t="s">
        <v>4942</v>
      </c>
    </row>
    <row r="12615" spans="1:9" x14ac:dyDescent="0.2">
      <c r="A12615" s="2" t="s">
        <v>3242</v>
      </c>
      <c r="B12615" s="2" t="s">
        <v>6057</v>
      </c>
      <c r="C12615" s="2">
        <v>825.43619999999999</v>
      </c>
      <c r="D12615" s="2">
        <f>HYPERLINK("http://mcb-m6.bioreg.kyushu-u.ac.jp/M3/20110404/F50764/2181/1", 40.49)</f>
        <v>40.49</v>
      </c>
      <c r="E12615" s="2">
        <v>24.74</v>
      </c>
      <c r="F12615" s="2">
        <v>2</v>
      </c>
      <c r="G12615" s="2" t="s">
        <v>9</v>
      </c>
      <c r="I12615" s="2" t="s">
        <v>4906</v>
      </c>
    </row>
    <row r="12616" spans="1:9" x14ac:dyDescent="0.2">
      <c r="A12616" s="2" t="s">
        <v>3242</v>
      </c>
      <c r="B12616" s="2" t="s">
        <v>6160</v>
      </c>
      <c r="C12616" s="2">
        <v>786.39570000000003</v>
      </c>
      <c r="D12616" s="2">
        <f>HYPERLINK("http://mcb-m6.bioreg.kyushu-u.ac.jp/M3/20110404/F50764/2053/1", 44.84)</f>
        <v>44.84</v>
      </c>
      <c r="E12616" s="2">
        <v>25.51</v>
      </c>
      <c r="F12616" s="2">
        <v>2</v>
      </c>
      <c r="G12616" s="2" t="s">
        <v>9</v>
      </c>
    </row>
    <row r="12617" spans="1:9" x14ac:dyDescent="0.2">
      <c r="A12617" s="2" t="s">
        <v>3242</v>
      </c>
      <c r="B12617" s="2" t="s">
        <v>6485</v>
      </c>
      <c r="C12617" s="2">
        <v>691.7577</v>
      </c>
      <c r="D12617" s="2">
        <f>HYPERLINK("http://mcb-m6.bioreg.kyushu-u.ac.jp/M3/20110404/F50764/1644/1", 69.43)</f>
        <v>69.430000000000007</v>
      </c>
      <c r="E12617" s="2">
        <v>43.72</v>
      </c>
      <c r="F12617" s="2">
        <v>2</v>
      </c>
      <c r="G12617" s="2" t="s">
        <v>9</v>
      </c>
      <c r="I12617" s="2" t="s">
        <v>4905</v>
      </c>
    </row>
    <row r="12618" spans="1:9" x14ac:dyDescent="0.2">
      <c r="A12618" s="2" t="s">
        <v>3242</v>
      </c>
      <c r="B12618" s="2" t="s">
        <v>5306</v>
      </c>
      <c r="C12618" s="2">
        <v>661.29570000000001</v>
      </c>
      <c r="D12618" s="2">
        <f>HYPERLINK("http://mcb-m6.bioreg.kyushu-u.ac.jp/M3/20110404/F50764/1508/1", 84.71)</f>
        <v>84.71</v>
      </c>
      <c r="E12618" s="2">
        <v>66.989999999999995</v>
      </c>
      <c r="F12618" s="2">
        <v>2</v>
      </c>
      <c r="G12618" s="2" t="s">
        <v>9</v>
      </c>
    </row>
    <row r="12619" spans="1:9" x14ac:dyDescent="0.2">
      <c r="A12619" s="2" t="s">
        <v>3242</v>
      </c>
      <c r="B12619" s="2" t="s">
        <v>22</v>
      </c>
      <c r="C12619" s="2">
        <v>760.8297</v>
      </c>
      <c r="D12619" s="2">
        <f>HYPERLINK("http://mcb-m6.bioreg.kyushu-u.ac.jp/M3/20110404/F50764/1964/1", 89.37)</f>
        <v>89.37</v>
      </c>
      <c r="E12619" s="2">
        <v>71.69</v>
      </c>
      <c r="F12619" s="2">
        <v>2</v>
      </c>
      <c r="G12619" s="2" t="s">
        <v>9</v>
      </c>
    </row>
    <row r="12620" spans="1:9" x14ac:dyDescent="0.2">
      <c r="A12620" s="2" t="s">
        <v>3242</v>
      </c>
      <c r="B12620" s="2" t="s">
        <v>6622</v>
      </c>
      <c r="C12620" s="2">
        <v>747.32169999999996</v>
      </c>
      <c r="D12620" s="2">
        <f>HYPERLINK("http://mcb-m6.bioreg.kyushu-u.ac.jp/M3/20110404/F50764/1913/1", 96.68)</f>
        <v>96.68</v>
      </c>
      <c r="E12620" s="2">
        <v>71.459999999999994</v>
      </c>
      <c r="F12620" s="2">
        <v>2</v>
      </c>
      <c r="G12620" s="2" t="s">
        <v>9</v>
      </c>
    </row>
    <row r="12621" spans="1:9" x14ac:dyDescent="0.2">
      <c r="A12621" s="2" t="s">
        <v>4041</v>
      </c>
      <c r="B12621" s="2" t="s">
        <v>1384</v>
      </c>
      <c r="C12621" s="2">
        <v>1217.3340000000001</v>
      </c>
      <c r="D12621" s="2">
        <f>HYPERLINK("http://mcb-m6.bioreg.kyushu-u.ac.jp/M3/20110404/F50753/1536/1", 47.03)</f>
        <v>47.03</v>
      </c>
      <c r="E12621" s="2">
        <v>27.36</v>
      </c>
      <c r="F12621" s="2">
        <v>1</v>
      </c>
      <c r="G12621" s="2" t="s">
        <v>9</v>
      </c>
    </row>
    <row r="12622" spans="1:9" x14ac:dyDescent="0.2">
      <c r="A12622" s="2" t="s">
        <v>4041</v>
      </c>
      <c r="B12622" s="2" t="s">
        <v>1384</v>
      </c>
      <c r="C12622" s="2">
        <v>609.73170000000005</v>
      </c>
      <c r="D12622" s="2">
        <f>HYPERLINK("http://mcb-m6.bioreg.kyushu-u.ac.jp/M3/20110404/F50753/1543/1", 72.73)</f>
        <v>72.73</v>
      </c>
      <c r="E12622" s="2">
        <v>38.25</v>
      </c>
      <c r="F12622" s="2">
        <v>2</v>
      </c>
      <c r="G12622" s="2" t="s">
        <v>9</v>
      </c>
    </row>
    <row r="12623" spans="1:9" x14ac:dyDescent="0.2">
      <c r="A12623" s="2" t="s">
        <v>4041</v>
      </c>
      <c r="B12623" s="2" t="s">
        <v>1384</v>
      </c>
      <c r="C12623" s="2">
        <v>609.03809999999999</v>
      </c>
      <c r="D12623" s="2">
        <f>HYPERLINK("http://mcb-m6.bioreg.kyushu-u.ac.jp/M3/20110427/F51111/1586/1", 37.76)</f>
        <v>37.76</v>
      </c>
      <c r="E12623" s="2">
        <v>18.22</v>
      </c>
      <c r="F12623" s="2">
        <v>2</v>
      </c>
      <c r="G12623" s="2" t="s">
        <v>13</v>
      </c>
    </row>
    <row r="12624" spans="1:9" x14ac:dyDescent="0.2">
      <c r="A12624" s="2" t="s">
        <v>4041</v>
      </c>
      <c r="B12624" s="2" t="s">
        <v>1384</v>
      </c>
      <c r="C12624" s="2">
        <v>609.75670000000002</v>
      </c>
      <c r="D12624" s="2">
        <f>HYPERLINK("http://mcb-m6.bioreg.kyushu-u.ac.jp/M3/20110427/F51111/1591/1", 83.09)</f>
        <v>83.09</v>
      </c>
      <c r="E12624" s="2">
        <v>52.2</v>
      </c>
      <c r="F12624" s="2">
        <v>2</v>
      </c>
      <c r="G12624" s="2" t="s">
        <v>13</v>
      </c>
    </row>
    <row r="12625" spans="1:9" x14ac:dyDescent="0.2">
      <c r="A12625" s="2" t="s">
        <v>7696</v>
      </c>
      <c r="B12625" s="2" t="s">
        <v>6355</v>
      </c>
      <c r="C12625" s="2">
        <v>619.08169999999996</v>
      </c>
      <c r="D12625" s="2">
        <f>HYPERLINK("http://mcb-m6.bioreg.kyushu-u.ac.jp/M3/20110404/F50753/1577/1", 56)</f>
        <v>56</v>
      </c>
      <c r="E12625" s="2">
        <v>29.77</v>
      </c>
      <c r="F12625" s="2">
        <v>2</v>
      </c>
      <c r="G12625" s="2" t="s">
        <v>9</v>
      </c>
      <c r="I12625" s="2" t="s">
        <v>4893</v>
      </c>
    </row>
    <row r="12626" spans="1:9" x14ac:dyDescent="0.2">
      <c r="A12626" s="2" t="s">
        <v>3712</v>
      </c>
      <c r="B12626" s="2" t="s">
        <v>696</v>
      </c>
      <c r="C12626" s="2">
        <v>576.5616</v>
      </c>
      <c r="D12626" s="2">
        <f>HYPERLINK("http://mcb-m6.bioreg.kyushu-u.ac.jp/M3/20110404/F50753/1422/1", 52.38)</f>
        <v>52.38</v>
      </c>
      <c r="E12626" s="2">
        <v>22.68</v>
      </c>
      <c r="F12626" s="2">
        <v>2</v>
      </c>
      <c r="G12626" s="2" t="s">
        <v>9</v>
      </c>
    </row>
    <row r="12627" spans="1:9" x14ac:dyDescent="0.2">
      <c r="A12627" s="2" t="s">
        <v>3712</v>
      </c>
      <c r="B12627" s="2" t="s">
        <v>696</v>
      </c>
      <c r="C12627" s="2">
        <v>576.75519999999995</v>
      </c>
      <c r="D12627" s="2">
        <f>HYPERLINK("http://mcb-m6.bioreg.kyushu-u.ac.jp/M3/20110404/F50758/1393/1", 49.48)</f>
        <v>49.48</v>
      </c>
      <c r="E12627" s="2">
        <v>26.19</v>
      </c>
      <c r="F12627" s="2">
        <v>2</v>
      </c>
      <c r="G12627" s="2" t="s">
        <v>10</v>
      </c>
    </row>
    <row r="12628" spans="1:9" x14ac:dyDescent="0.2">
      <c r="A12628" s="2" t="s">
        <v>3712</v>
      </c>
      <c r="B12628" s="2" t="s">
        <v>696</v>
      </c>
      <c r="C12628" s="2">
        <v>576.64419999999996</v>
      </c>
      <c r="D12628" s="2">
        <f>HYPERLINK("http://mcb-m6.bioreg.kyushu-u.ac.jp/M3/20110421/F51017/1240/1", 35.62)</f>
        <v>35.619999999999997</v>
      </c>
      <c r="E12628" s="2">
        <v>21.81</v>
      </c>
      <c r="F12628" s="2">
        <v>2</v>
      </c>
      <c r="G12628" s="2" t="s">
        <v>11</v>
      </c>
    </row>
    <row r="12629" spans="1:9" x14ac:dyDescent="0.2">
      <c r="A12629" s="2" t="s">
        <v>3712</v>
      </c>
      <c r="B12629" s="2" t="s">
        <v>7372</v>
      </c>
      <c r="C12629" s="2">
        <v>790.33119999999997</v>
      </c>
      <c r="D12629" s="2">
        <f>HYPERLINK("http://mcb-m6.bioreg.kyushu-u.ac.jp/M3/20110427/F51111/2390/1", 48.75)</f>
        <v>48.75</v>
      </c>
      <c r="E12629" s="2">
        <v>35.340000000000003</v>
      </c>
      <c r="F12629" s="2">
        <v>2</v>
      </c>
      <c r="G12629" s="2" t="s">
        <v>13</v>
      </c>
    </row>
    <row r="12630" spans="1:9" x14ac:dyDescent="0.2">
      <c r="A12630" s="2" t="s">
        <v>5684</v>
      </c>
      <c r="B12630" s="2" t="s">
        <v>5261</v>
      </c>
      <c r="C12630" s="2">
        <v>707.73360000000002</v>
      </c>
      <c r="D12630" s="2">
        <f>HYPERLINK("http://mcb-m6.bioreg.kyushu-u.ac.jp/M3/20110404/F50771/1742/1", 36.39)</f>
        <v>36.39</v>
      </c>
      <c r="E12630" s="2">
        <v>23.69</v>
      </c>
      <c r="F12630" s="2">
        <v>2</v>
      </c>
      <c r="G12630" s="2" t="s">
        <v>10</v>
      </c>
    </row>
    <row r="12631" spans="1:9" x14ac:dyDescent="0.2">
      <c r="A12631" s="2" t="s">
        <v>5684</v>
      </c>
      <c r="B12631" s="2" t="s">
        <v>6779</v>
      </c>
      <c r="C12631" s="2">
        <v>555.77170000000001</v>
      </c>
      <c r="D12631" s="2">
        <f>HYPERLINK("http://mcb-m6.bioreg.kyushu-u.ac.jp/M3/20110404/F50771/1206/1", 41.85)</f>
        <v>41.85</v>
      </c>
      <c r="E12631" s="2">
        <v>17.43</v>
      </c>
      <c r="F12631" s="2">
        <v>2</v>
      </c>
      <c r="G12631" s="2" t="s">
        <v>10</v>
      </c>
    </row>
    <row r="12632" spans="1:9" x14ac:dyDescent="0.2">
      <c r="A12632" s="2" t="s">
        <v>5684</v>
      </c>
      <c r="B12632" s="2" t="s">
        <v>6973</v>
      </c>
      <c r="C12632" s="2">
        <v>1009.444</v>
      </c>
      <c r="D12632" s="2">
        <f>HYPERLINK("http://mcb-m6.bioreg.kyushu-u.ac.jp/M3/20110404/F50771/2854/1", 69.27)</f>
        <v>69.27</v>
      </c>
      <c r="E12632" s="2">
        <v>40.54</v>
      </c>
      <c r="F12632" s="2">
        <v>2</v>
      </c>
      <c r="G12632" s="2" t="s">
        <v>10</v>
      </c>
    </row>
    <row r="12633" spans="1:9" x14ac:dyDescent="0.2">
      <c r="A12633" s="2" t="s">
        <v>5684</v>
      </c>
      <c r="B12633" s="2" t="s">
        <v>7027</v>
      </c>
      <c r="C12633" s="2">
        <v>757.2242</v>
      </c>
      <c r="D12633" s="2">
        <f>HYPERLINK("http://mcb-m6.bioreg.kyushu-u.ac.jp/M3/20110404/F50771/1960/1", 83.94)</f>
        <v>83.94</v>
      </c>
      <c r="E12633" s="2">
        <v>71.209999999999994</v>
      </c>
      <c r="F12633" s="2">
        <v>2</v>
      </c>
      <c r="G12633" s="2" t="s">
        <v>10</v>
      </c>
    </row>
    <row r="12634" spans="1:9" x14ac:dyDescent="0.2">
      <c r="A12634" s="2" t="s">
        <v>5684</v>
      </c>
      <c r="B12634" s="2" t="s">
        <v>7056</v>
      </c>
      <c r="C12634" s="2">
        <v>1025.9929999999999</v>
      </c>
      <c r="D12634" s="2">
        <f>HYPERLINK("http://mcb-m6.bioreg.kyushu-u.ac.jp/M3/20110404/F50771/2906/1", 113.87)</f>
        <v>113.87</v>
      </c>
      <c r="E12634" s="2">
        <v>105.8</v>
      </c>
      <c r="F12634" s="2">
        <v>2</v>
      </c>
      <c r="G12634" s="2" t="s">
        <v>10</v>
      </c>
    </row>
    <row r="12635" spans="1:9" x14ac:dyDescent="0.2">
      <c r="A12635" s="2" t="s">
        <v>4630</v>
      </c>
      <c r="B12635" s="2" t="s">
        <v>2782</v>
      </c>
      <c r="C12635" s="2">
        <v>829.79269999999997</v>
      </c>
      <c r="D12635" s="2">
        <f>HYPERLINK("http://mcb-m6.bioreg.kyushu-u.ac.jp/M3/20110404/F50761/2195/1", 100.55)</f>
        <v>100.55</v>
      </c>
      <c r="E12635" s="2">
        <v>84.27</v>
      </c>
      <c r="F12635" s="2">
        <v>2</v>
      </c>
      <c r="G12635" s="2" t="s">
        <v>10</v>
      </c>
    </row>
    <row r="12636" spans="1:9" x14ac:dyDescent="0.2">
      <c r="A12636" s="2" t="s">
        <v>7885</v>
      </c>
      <c r="B12636" s="2" t="s">
        <v>6946</v>
      </c>
      <c r="C12636" s="2">
        <v>660.66610000000003</v>
      </c>
      <c r="D12636" s="2">
        <f>HYPERLINK("http://mcb-m6.bioreg.kyushu-u.ac.jp/M3/20110404/F50772/1554/1", 64.05)</f>
        <v>64.05</v>
      </c>
      <c r="E12636" s="2">
        <v>40.39</v>
      </c>
      <c r="F12636" s="2">
        <v>2</v>
      </c>
      <c r="G12636" s="2" t="s">
        <v>10</v>
      </c>
    </row>
    <row r="12637" spans="1:9" x14ac:dyDescent="0.2">
      <c r="A12637" s="2" t="s">
        <v>7885</v>
      </c>
      <c r="B12637" s="2" t="s">
        <v>6946</v>
      </c>
      <c r="C12637" s="2">
        <v>668.46810000000005</v>
      </c>
      <c r="D12637" s="2">
        <f>HYPERLINK("http://mcb-m6.bioreg.kyushu-u.ac.jp/M3/20110404/F50772/1580/1", 64.05)</f>
        <v>64.05</v>
      </c>
      <c r="E12637" s="2">
        <v>31.6</v>
      </c>
      <c r="F12637" s="2">
        <v>2</v>
      </c>
      <c r="G12637" s="2" t="s">
        <v>10</v>
      </c>
      <c r="H12637" s="2" t="s">
        <v>4917</v>
      </c>
    </row>
    <row r="12638" spans="1:9" x14ac:dyDescent="0.2">
      <c r="A12638" s="2" t="s">
        <v>7885</v>
      </c>
      <c r="B12638" s="2" t="s">
        <v>6947</v>
      </c>
      <c r="C12638" s="2">
        <v>843.95069999999998</v>
      </c>
      <c r="D12638" s="2">
        <f>HYPERLINK("http://mcb-m6.bioreg.kyushu-u.ac.jp/M3/20110404/F50772/2326/1", 64.16)</f>
        <v>64.16</v>
      </c>
      <c r="E12638" s="2">
        <v>40.64</v>
      </c>
      <c r="F12638" s="2">
        <v>2</v>
      </c>
      <c r="G12638" s="2" t="s">
        <v>10</v>
      </c>
    </row>
    <row r="12639" spans="1:9" x14ac:dyDescent="0.2">
      <c r="A12639" s="2" t="s">
        <v>3473</v>
      </c>
      <c r="B12639" s="2" t="s">
        <v>288</v>
      </c>
      <c r="C12639" s="2">
        <v>866.45699999999999</v>
      </c>
      <c r="D12639" s="2">
        <f>HYPERLINK("http://mcb-m6.bioreg.kyushu-u.ac.jp/M3/20110421/F51035/484/1", 39.24)</f>
        <v>39.24</v>
      </c>
      <c r="E12639" s="2">
        <v>14.81</v>
      </c>
      <c r="F12639" s="2">
        <v>1</v>
      </c>
      <c r="G12639" s="2" t="s">
        <v>11</v>
      </c>
    </row>
    <row r="12640" spans="1:9" x14ac:dyDescent="0.2">
      <c r="A12640" s="2" t="s">
        <v>5646</v>
      </c>
      <c r="B12640" s="2" t="s">
        <v>7108</v>
      </c>
      <c r="C12640" s="2">
        <v>550.78719999999998</v>
      </c>
      <c r="D12640" s="2">
        <f>HYPERLINK("http://mcb-m6.bioreg.kyushu-u.ac.jp/M3/20110421/F51017/1140/1", 45.03)</f>
        <v>45.03</v>
      </c>
      <c r="E12640" s="2">
        <v>25.47</v>
      </c>
      <c r="F12640" s="2">
        <v>2</v>
      </c>
      <c r="G12640" s="2" t="s">
        <v>11</v>
      </c>
    </row>
    <row r="12641" spans="1:9" x14ac:dyDescent="0.2">
      <c r="A12641" s="2" t="s">
        <v>5646</v>
      </c>
      <c r="B12641" s="2" t="s">
        <v>7108</v>
      </c>
      <c r="C12641" s="2">
        <v>550.21619999999996</v>
      </c>
      <c r="D12641" s="2">
        <f>HYPERLINK("http://mcb-m6.bioreg.kyushu-u.ac.jp/M3/20110427/F51111/1352/1", 48.3)</f>
        <v>48.3</v>
      </c>
      <c r="E12641" s="2">
        <v>29.71</v>
      </c>
      <c r="F12641" s="2">
        <v>2</v>
      </c>
      <c r="G12641" s="2" t="s">
        <v>13</v>
      </c>
    </row>
    <row r="12642" spans="1:9" x14ac:dyDescent="0.2">
      <c r="A12642" s="2" t="s">
        <v>7779</v>
      </c>
      <c r="B12642" s="2" t="s">
        <v>6658</v>
      </c>
      <c r="C12642" s="2">
        <v>1014.7619999999999</v>
      </c>
      <c r="D12642" s="2">
        <f>HYPERLINK("http://mcb-m6.bioreg.kyushu-u.ac.jp/M3/20110404/F50753/2940/1", 111.89)</f>
        <v>111.89</v>
      </c>
      <c r="E12642" s="2">
        <v>88.09</v>
      </c>
      <c r="F12642" s="2">
        <v>2</v>
      </c>
      <c r="G12642" s="2" t="s">
        <v>9</v>
      </c>
    </row>
    <row r="12643" spans="1:9" x14ac:dyDescent="0.2">
      <c r="A12643" s="2" t="s">
        <v>7779</v>
      </c>
      <c r="B12643" s="2" t="s">
        <v>6658</v>
      </c>
      <c r="C12643" s="2">
        <v>1014.752</v>
      </c>
      <c r="D12643" s="2">
        <f>HYPERLINK("http://mcb-m6.bioreg.kyushu-u.ac.jp/M3/20110421/F51017/3243/1", 111.67)</f>
        <v>111.67</v>
      </c>
      <c r="E12643" s="2">
        <v>92.96</v>
      </c>
      <c r="F12643" s="2">
        <v>2</v>
      </c>
      <c r="G12643" s="2" t="s">
        <v>11</v>
      </c>
    </row>
    <row r="12644" spans="1:9" x14ac:dyDescent="0.2">
      <c r="A12644" s="2" t="s">
        <v>3740</v>
      </c>
      <c r="B12644" s="2" t="s">
        <v>742</v>
      </c>
      <c r="C12644" s="2">
        <v>678.21220000000005</v>
      </c>
      <c r="D12644" s="2">
        <f>HYPERLINK("http://mcb-m6.bioreg.kyushu-u.ac.jp/M3/20110427/F51114/1703/1", 91.66)</f>
        <v>91.66</v>
      </c>
      <c r="E12644" s="2">
        <v>70.760000000000005</v>
      </c>
      <c r="F12644" s="2">
        <v>2</v>
      </c>
      <c r="G12644" s="2" t="s">
        <v>13</v>
      </c>
    </row>
    <row r="12645" spans="1:9" x14ac:dyDescent="0.2">
      <c r="A12645" s="2" t="s">
        <v>3740</v>
      </c>
      <c r="B12645" s="2" t="s">
        <v>742</v>
      </c>
      <c r="C12645" s="2">
        <v>678.15120000000002</v>
      </c>
      <c r="D12645" s="2">
        <f>HYPERLINK("http://mcb-m6.bioreg.kyushu-u.ac.jp/M3/20110427/F51123/1716/1", 49.09)</f>
        <v>49.09</v>
      </c>
      <c r="E12645" s="2">
        <v>26.05</v>
      </c>
      <c r="F12645" s="2">
        <v>2</v>
      </c>
      <c r="G12645" s="2" t="s">
        <v>14</v>
      </c>
    </row>
    <row r="12646" spans="1:9" x14ac:dyDescent="0.2">
      <c r="A12646" s="2" t="s">
        <v>7994</v>
      </c>
      <c r="B12646" s="2" t="s">
        <v>7213</v>
      </c>
      <c r="C12646" s="2">
        <v>758.22519999999997</v>
      </c>
      <c r="D12646" s="2">
        <f>HYPERLINK("http://mcb-m6.bioreg.kyushu-u.ac.jp/M3/20110421/F51025/2087/1", 47.19)</f>
        <v>47.19</v>
      </c>
      <c r="E12646" s="2">
        <v>32.1</v>
      </c>
      <c r="F12646" s="2">
        <v>2</v>
      </c>
      <c r="G12646" s="2" t="s">
        <v>12</v>
      </c>
    </row>
    <row r="12647" spans="1:9" x14ac:dyDescent="0.2">
      <c r="A12647" s="2" t="s">
        <v>7752</v>
      </c>
      <c r="B12647" s="2" t="s">
        <v>6545</v>
      </c>
      <c r="C12647" s="2">
        <v>1049.672</v>
      </c>
      <c r="D12647" s="2">
        <f>HYPERLINK("http://mcb-m6.bioreg.kyushu-u.ac.jp/M3/20110404/F50766/3219/1", 77.84)</f>
        <v>77.84</v>
      </c>
      <c r="E12647" s="2">
        <v>51.58</v>
      </c>
      <c r="F12647" s="2">
        <v>2</v>
      </c>
      <c r="G12647" s="2" t="s">
        <v>9</v>
      </c>
      <c r="I12647" s="2" t="s">
        <v>4926</v>
      </c>
    </row>
    <row r="12648" spans="1:9" x14ac:dyDescent="0.2">
      <c r="A12648" s="2" t="s">
        <v>7752</v>
      </c>
      <c r="B12648" s="2" t="s">
        <v>6574</v>
      </c>
      <c r="C12648" s="2">
        <v>575.13019999999995</v>
      </c>
      <c r="D12648" s="2">
        <f>HYPERLINK("http://mcb-m6.bioreg.kyushu-u.ac.jp/M3/20110404/F50766/759/1", 83.09)</f>
        <v>83.09</v>
      </c>
      <c r="E12648" s="2">
        <v>58.28</v>
      </c>
      <c r="F12648" s="2">
        <v>2</v>
      </c>
      <c r="G12648" s="2" t="s">
        <v>9</v>
      </c>
    </row>
    <row r="12649" spans="1:9" x14ac:dyDescent="0.2">
      <c r="A12649" s="2" t="s">
        <v>7752</v>
      </c>
      <c r="B12649" s="2" t="s">
        <v>6800</v>
      </c>
      <c r="C12649" s="2">
        <v>581.4316</v>
      </c>
      <c r="D12649" s="2">
        <f>HYPERLINK("http://mcb-m6.bioreg.kyushu-u.ac.jp/M3/20110404/F50772/1273/1", 44.06)</f>
        <v>44.06</v>
      </c>
      <c r="E12649" s="2">
        <v>9.75</v>
      </c>
      <c r="F12649" s="2">
        <v>2</v>
      </c>
      <c r="G12649" s="2" t="s">
        <v>10</v>
      </c>
    </row>
    <row r="12650" spans="1:9" x14ac:dyDescent="0.2">
      <c r="A12650" s="2" t="s">
        <v>7752</v>
      </c>
      <c r="B12650" s="2" t="s">
        <v>6808</v>
      </c>
      <c r="C12650" s="2">
        <v>655.48770000000002</v>
      </c>
      <c r="D12650" s="2">
        <f>HYPERLINK("http://mcb-m6.bioreg.kyushu-u.ac.jp/M3/20110404/F50772/1542/1", 45.05)</f>
        <v>45.05</v>
      </c>
      <c r="E12650" s="2">
        <v>23.02</v>
      </c>
      <c r="F12650" s="2">
        <v>2</v>
      </c>
      <c r="G12650" s="2" t="s">
        <v>10</v>
      </c>
    </row>
    <row r="12651" spans="1:9" x14ac:dyDescent="0.2">
      <c r="A12651" s="2" t="s">
        <v>7752</v>
      </c>
      <c r="B12651" s="2" t="s">
        <v>6812</v>
      </c>
      <c r="C12651" s="2">
        <v>614.73069999999996</v>
      </c>
      <c r="D12651" s="2">
        <f>HYPERLINK("http://mcb-m6.bioreg.kyushu-u.ac.jp/M3/20110404/F50772/1415/1", 45.15)</f>
        <v>45.15</v>
      </c>
      <c r="E12651" s="2">
        <v>26.41</v>
      </c>
      <c r="F12651" s="2">
        <v>2</v>
      </c>
      <c r="G12651" s="2" t="s">
        <v>10</v>
      </c>
    </row>
    <row r="12652" spans="1:9" x14ac:dyDescent="0.2">
      <c r="A12652" s="2" t="s">
        <v>7752</v>
      </c>
      <c r="B12652" s="2" t="s">
        <v>6841</v>
      </c>
      <c r="C12652" s="2">
        <v>995.89970000000005</v>
      </c>
      <c r="D12652" s="2">
        <f>HYPERLINK("http://mcb-m6.bioreg.kyushu-u.ac.jp/M3/20110404/F50772/2863/1", 49.02)</f>
        <v>49.02</v>
      </c>
      <c r="E12652" s="2">
        <v>37.35</v>
      </c>
      <c r="F12652" s="2">
        <v>2</v>
      </c>
      <c r="G12652" s="2" t="s">
        <v>10</v>
      </c>
    </row>
    <row r="12653" spans="1:9" x14ac:dyDescent="0.2">
      <c r="A12653" s="2" t="s">
        <v>7752</v>
      </c>
      <c r="B12653" s="2" t="s">
        <v>6881</v>
      </c>
      <c r="C12653" s="2">
        <v>775.82870000000003</v>
      </c>
      <c r="D12653" s="2">
        <f>HYPERLINK("http://mcb-m6.bioreg.kyushu-u.ac.jp/M3/20110404/F50772/2063/1", 53.01)</f>
        <v>53.01</v>
      </c>
      <c r="E12653" s="2">
        <v>40</v>
      </c>
      <c r="F12653" s="2">
        <v>2</v>
      </c>
      <c r="G12653" s="2" t="s">
        <v>10</v>
      </c>
    </row>
    <row r="12654" spans="1:9" x14ac:dyDescent="0.2">
      <c r="A12654" s="2" t="s">
        <v>7752</v>
      </c>
      <c r="B12654" s="2" t="s">
        <v>6574</v>
      </c>
      <c r="C12654" s="2">
        <v>575.34059999999999</v>
      </c>
      <c r="D12654" s="2">
        <f>HYPERLINK("http://mcb-m6.bioreg.kyushu-u.ac.jp/M3/20110404/F50772/1253/1", 69.96)</f>
        <v>69.959999999999994</v>
      </c>
      <c r="E12654" s="2">
        <v>44.1</v>
      </c>
      <c r="F12654" s="2">
        <v>2</v>
      </c>
      <c r="G12654" s="2" t="s">
        <v>10</v>
      </c>
    </row>
    <row r="12655" spans="1:9" x14ac:dyDescent="0.2">
      <c r="A12655" s="2" t="s">
        <v>7752</v>
      </c>
      <c r="B12655" s="2" t="s">
        <v>6985</v>
      </c>
      <c r="C12655" s="2">
        <v>779.8682</v>
      </c>
      <c r="D12655" s="2">
        <f>HYPERLINK("http://mcb-m6.bioreg.kyushu-u.ac.jp/M3/20110404/F50772/2084/1", 72.62)</f>
        <v>72.62</v>
      </c>
      <c r="E12655" s="2">
        <v>52.91</v>
      </c>
      <c r="F12655" s="2">
        <v>2</v>
      </c>
      <c r="G12655" s="2" t="s">
        <v>10</v>
      </c>
    </row>
    <row r="12656" spans="1:9" x14ac:dyDescent="0.2">
      <c r="A12656" s="2" t="s">
        <v>7752</v>
      </c>
      <c r="B12656" s="2" t="s">
        <v>7006</v>
      </c>
      <c r="C12656" s="2">
        <v>662.23360000000002</v>
      </c>
      <c r="D12656" s="2">
        <f>HYPERLINK("http://mcb-m6.bioreg.kyushu-u.ac.jp/M3/20110404/F50772/1557/1", 78.25)</f>
        <v>78.25</v>
      </c>
      <c r="E12656" s="2">
        <v>58.62</v>
      </c>
      <c r="F12656" s="2">
        <v>2</v>
      </c>
      <c r="G12656" s="2" t="s">
        <v>10</v>
      </c>
    </row>
    <row r="12657" spans="1:8" x14ac:dyDescent="0.2">
      <c r="A12657" s="2" t="s">
        <v>7752</v>
      </c>
      <c r="B12657" s="2" t="s">
        <v>7038</v>
      </c>
      <c r="C12657" s="2">
        <v>913.47770000000003</v>
      </c>
      <c r="D12657" s="2">
        <f>HYPERLINK("http://mcb-m6.bioreg.kyushu-u.ac.jp/M3/20110404/F50772/2600/1", 88.9)</f>
        <v>88.9</v>
      </c>
      <c r="E12657" s="2">
        <v>71.63</v>
      </c>
      <c r="F12657" s="2">
        <v>2</v>
      </c>
      <c r="G12657" s="2" t="s">
        <v>10</v>
      </c>
    </row>
    <row r="12658" spans="1:8" x14ac:dyDescent="0.2">
      <c r="A12658" s="2" t="s">
        <v>4152</v>
      </c>
      <c r="B12658" s="2" t="s">
        <v>1705</v>
      </c>
      <c r="C12658" s="2">
        <v>881.28499999999997</v>
      </c>
      <c r="D12658" s="2">
        <f>HYPERLINK("http://mcb-m6.bioreg.kyushu-u.ac.jp/M3/20110421/F51015/1173/1", 36.95)</f>
        <v>36.950000000000003</v>
      </c>
      <c r="E12658" s="2">
        <v>20.59</v>
      </c>
      <c r="F12658" s="2">
        <v>1</v>
      </c>
      <c r="G12658" s="2" t="s">
        <v>11</v>
      </c>
    </row>
    <row r="12659" spans="1:8" x14ac:dyDescent="0.2">
      <c r="A12659" s="2" t="s">
        <v>3313</v>
      </c>
      <c r="B12659" s="2" t="s">
        <v>96</v>
      </c>
      <c r="C12659" s="2">
        <v>1666.7339999999999</v>
      </c>
      <c r="D12659" s="2">
        <f>HYPERLINK("http://mcb-m6.bioreg.kyushu-u.ac.jp/M3/20110404/F50751/2308/1", 37.37)</f>
        <v>37.369999999999997</v>
      </c>
      <c r="E12659" s="2">
        <v>22.51</v>
      </c>
      <c r="F12659" s="2">
        <v>1</v>
      </c>
      <c r="G12659" s="2" t="s">
        <v>9</v>
      </c>
    </row>
    <row r="12660" spans="1:8" x14ac:dyDescent="0.2">
      <c r="A12660" s="2" t="s">
        <v>3313</v>
      </c>
      <c r="B12660" s="2" t="s">
        <v>96</v>
      </c>
      <c r="C12660" s="2">
        <v>1650.934</v>
      </c>
      <c r="D12660" s="2">
        <f>HYPERLINK("http://mcb-m6.bioreg.kyushu-u.ac.jp/M3/20110404/F50751/2297/1", 39.15)</f>
        <v>39.15</v>
      </c>
      <c r="E12660" s="2">
        <v>25.25</v>
      </c>
      <c r="F12660" s="2">
        <v>1</v>
      </c>
      <c r="G12660" s="2" t="s">
        <v>9</v>
      </c>
      <c r="H12660" s="2" t="s">
        <v>4904</v>
      </c>
    </row>
    <row r="12661" spans="1:8" x14ac:dyDescent="0.2">
      <c r="A12661" s="2" t="s">
        <v>3313</v>
      </c>
      <c r="B12661" s="2" t="s">
        <v>96</v>
      </c>
      <c r="C12661" s="2">
        <v>834.52509999999995</v>
      </c>
      <c r="D12661" s="2">
        <f>HYPERLINK("http://mcb-m6.bioreg.kyushu-u.ac.jp/M3/20110404/F50752/2396/1", 66.27)</f>
        <v>66.27</v>
      </c>
      <c r="E12661" s="2">
        <v>46.33</v>
      </c>
      <c r="F12661" s="2">
        <v>2</v>
      </c>
      <c r="G12661" s="2" t="s">
        <v>9</v>
      </c>
    </row>
    <row r="12662" spans="1:8" x14ac:dyDescent="0.2">
      <c r="A12662" s="2" t="s">
        <v>3313</v>
      </c>
      <c r="B12662" s="2" t="s">
        <v>96</v>
      </c>
      <c r="C12662" s="2">
        <v>834.05219999999997</v>
      </c>
      <c r="D12662" s="2">
        <f>HYPERLINK("http://mcb-m6.bioreg.kyushu-u.ac.jp/M3/20110404/F50751/2309/1", 98.02)</f>
        <v>98.02</v>
      </c>
      <c r="E12662" s="2">
        <v>80.61</v>
      </c>
      <c r="F12662" s="2">
        <v>2</v>
      </c>
      <c r="G12662" s="2" t="s">
        <v>9</v>
      </c>
    </row>
    <row r="12663" spans="1:8" x14ac:dyDescent="0.2">
      <c r="A12663" s="2" t="s">
        <v>3313</v>
      </c>
      <c r="B12663" s="2" t="s">
        <v>96</v>
      </c>
      <c r="C12663" s="2">
        <v>825.82420000000002</v>
      </c>
      <c r="D12663" s="2">
        <f>HYPERLINK("http://mcb-m6.bioreg.kyushu-u.ac.jp/M3/20110421/F51015/2276/1", 62.7)</f>
        <v>62.7</v>
      </c>
      <c r="E12663" s="2">
        <v>46.84</v>
      </c>
      <c r="F12663" s="2">
        <v>2</v>
      </c>
      <c r="G12663" s="2" t="s">
        <v>11</v>
      </c>
      <c r="H12663" s="2" t="s">
        <v>4904</v>
      </c>
    </row>
    <row r="12664" spans="1:8" x14ac:dyDescent="0.2">
      <c r="A12664" s="2" t="s">
        <v>3313</v>
      </c>
      <c r="B12664" s="2" t="s">
        <v>96</v>
      </c>
      <c r="C12664" s="2">
        <v>833.56320000000005</v>
      </c>
      <c r="D12664" s="2">
        <f>HYPERLINK("http://mcb-m6.bioreg.kyushu-u.ac.jp/M3/20110421/F51014/2478/1", 64.29)</f>
        <v>64.290000000000006</v>
      </c>
      <c r="E12664" s="2">
        <v>47.24</v>
      </c>
      <c r="F12664" s="2">
        <v>2</v>
      </c>
      <c r="G12664" s="2" t="s">
        <v>11</v>
      </c>
    </row>
    <row r="12665" spans="1:8" x14ac:dyDescent="0.2">
      <c r="A12665" s="2" t="s">
        <v>3313</v>
      </c>
      <c r="B12665" s="2" t="s">
        <v>96</v>
      </c>
      <c r="C12665" s="2">
        <v>833.79470000000003</v>
      </c>
      <c r="D12665" s="2">
        <f>HYPERLINK("http://mcb-m6.bioreg.kyushu-u.ac.jp/M3/20110421/F51015/2293/1", 86.14)</f>
        <v>86.14</v>
      </c>
      <c r="E12665" s="2">
        <v>72.39</v>
      </c>
      <c r="F12665" s="2">
        <v>2</v>
      </c>
      <c r="G12665" s="2" t="s">
        <v>11</v>
      </c>
    </row>
    <row r="12666" spans="1:8" x14ac:dyDescent="0.2">
      <c r="A12666" s="2" t="s">
        <v>3313</v>
      </c>
      <c r="B12666" s="2" t="s">
        <v>96</v>
      </c>
      <c r="C12666" s="2">
        <v>834.33759999999995</v>
      </c>
      <c r="D12666" s="2">
        <f>HYPERLINK("http://mcb-m6.bioreg.kyushu-u.ac.jp/M3/20110421/F51015/2294/1", 93.98)</f>
        <v>93.98</v>
      </c>
      <c r="E12666" s="2">
        <v>77.430000000000007</v>
      </c>
      <c r="F12666" s="2">
        <v>2</v>
      </c>
      <c r="G12666" s="2" t="s">
        <v>11</v>
      </c>
    </row>
    <row r="12667" spans="1:8" x14ac:dyDescent="0.2">
      <c r="A12667" s="2" t="s">
        <v>3313</v>
      </c>
      <c r="B12667" s="2" t="s">
        <v>96</v>
      </c>
      <c r="C12667" s="2">
        <v>834.16520000000003</v>
      </c>
      <c r="D12667" s="2">
        <f>HYPERLINK("http://mcb-m6.bioreg.kyushu-u.ac.jp/M3/20110421/F51021/2611/1", 61.6)</f>
        <v>61.6</v>
      </c>
      <c r="E12667" s="2">
        <v>44.44</v>
      </c>
      <c r="F12667" s="2">
        <v>2</v>
      </c>
      <c r="G12667" s="2" t="s">
        <v>12</v>
      </c>
    </row>
    <row r="12668" spans="1:8" x14ac:dyDescent="0.2">
      <c r="A12668" s="2" t="s">
        <v>3313</v>
      </c>
      <c r="B12668" s="2" t="s">
        <v>96</v>
      </c>
      <c r="C12668" s="2">
        <v>834.09519999999998</v>
      </c>
      <c r="D12668" s="2">
        <f>HYPERLINK("http://mcb-m6.bioreg.kyushu-u.ac.jp/M3/20110427/F51110/2553/1", 45.67)</f>
        <v>45.67</v>
      </c>
      <c r="E12668" s="2">
        <v>35.200000000000003</v>
      </c>
      <c r="F12668" s="2">
        <v>2</v>
      </c>
      <c r="G12668" s="2" t="s">
        <v>13</v>
      </c>
    </row>
    <row r="12669" spans="1:8" x14ac:dyDescent="0.2">
      <c r="A12669" s="2" t="s">
        <v>3313</v>
      </c>
      <c r="B12669" s="2" t="s">
        <v>96</v>
      </c>
      <c r="C12669" s="2">
        <v>833.75919999999996</v>
      </c>
      <c r="D12669" s="2">
        <f>HYPERLINK("http://mcb-m6.bioreg.kyushu-u.ac.jp/M3/20110427/F51109/2368/1", 60.84)</f>
        <v>60.84</v>
      </c>
      <c r="E12669" s="2">
        <v>46.26</v>
      </c>
      <c r="F12669" s="2">
        <v>2</v>
      </c>
      <c r="G12669" s="2" t="s">
        <v>13</v>
      </c>
    </row>
    <row r="12670" spans="1:8" x14ac:dyDescent="0.2">
      <c r="A12670" s="2" t="s">
        <v>3313</v>
      </c>
      <c r="B12670" s="2" t="s">
        <v>96</v>
      </c>
      <c r="C12670" s="2">
        <v>833.67909999999995</v>
      </c>
      <c r="D12670" s="2">
        <f>HYPERLINK("http://mcb-m6.bioreg.kyushu-u.ac.jp/M3/20110427/F51108/2395/1", 74.04)</f>
        <v>74.040000000000006</v>
      </c>
      <c r="E12670" s="2">
        <v>62.07</v>
      </c>
      <c r="F12670" s="2">
        <v>2</v>
      </c>
      <c r="G12670" s="2" t="s">
        <v>13</v>
      </c>
    </row>
    <row r="12671" spans="1:8" x14ac:dyDescent="0.2">
      <c r="A12671" s="2" t="s">
        <v>3313</v>
      </c>
      <c r="B12671" s="2" t="s">
        <v>96</v>
      </c>
      <c r="C12671" s="2">
        <v>834.37070000000006</v>
      </c>
      <c r="D12671" s="2">
        <f>HYPERLINK("http://mcb-m6.bioreg.kyushu-u.ac.jp/M3/20110427/F51108/2397/1", 99.65)</f>
        <v>99.65</v>
      </c>
      <c r="E12671" s="2">
        <v>83.65</v>
      </c>
      <c r="F12671" s="2">
        <v>2</v>
      </c>
      <c r="G12671" s="2" t="s">
        <v>13</v>
      </c>
    </row>
    <row r="12672" spans="1:8" x14ac:dyDescent="0.2">
      <c r="A12672" s="2" t="s">
        <v>3313</v>
      </c>
      <c r="B12672" s="2" t="s">
        <v>96</v>
      </c>
      <c r="C12672" s="2">
        <v>834.03269999999998</v>
      </c>
      <c r="D12672" s="2">
        <f>HYPERLINK("http://mcb-m6.bioreg.kyushu-u.ac.jp/M3/20110427/F51118/2324/1", 78.76)</f>
        <v>78.760000000000005</v>
      </c>
      <c r="E12672" s="2">
        <v>63.65</v>
      </c>
      <c r="F12672" s="2">
        <v>2</v>
      </c>
      <c r="G12672" s="2" t="s">
        <v>14</v>
      </c>
    </row>
    <row r="12673" spans="1:9" x14ac:dyDescent="0.2">
      <c r="A12673" s="2" t="s">
        <v>3313</v>
      </c>
      <c r="B12673" s="2" t="s">
        <v>96</v>
      </c>
      <c r="C12673" s="2">
        <v>833.90970000000004</v>
      </c>
      <c r="D12673" s="2">
        <f>HYPERLINK("http://mcb-m6.bioreg.kyushu-u.ac.jp/M3/20110428/F51134/2142/1", 82.87)</f>
        <v>82.87</v>
      </c>
      <c r="E12673" s="2">
        <v>69.87</v>
      </c>
      <c r="F12673" s="2">
        <v>2</v>
      </c>
      <c r="G12673" s="2" t="s">
        <v>14</v>
      </c>
    </row>
    <row r="12674" spans="1:9" x14ac:dyDescent="0.2">
      <c r="A12674" s="2" t="s">
        <v>4866</v>
      </c>
      <c r="B12674" s="2" t="s">
        <v>3163</v>
      </c>
      <c r="C12674" s="2">
        <v>594.76260000000002</v>
      </c>
      <c r="D12674" s="2">
        <f>HYPERLINK("http://mcb-m6.bioreg.kyushu-u.ac.jp/M3/20110404/F50752/1634/1", 41.81)</f>
        <v>41.81</v>
      </c>
      <c r="E12674" s="2">
        <v>21.75</v>
      </c>
      <c r="F12674" s="2">
        <v>2</v>
      </c>
      <c r="G12674" s="2" t="s">
        <v>9</v>
      </c>
    </row>
    <row r="12675" spans="1:9" x14ac:dyDescent="0.2">
      <c r="A12675" s="2" t="s">
        <v>4866</v>
      </c>
      <c r="B12675" s="2" t="s">
        <v>3163</v>
      </c>
      <c r="C12675" s="2">
        <v>594.60919999999999</v>
      </c>
      <c r="D12675" s="2">
        <f>HYPERLINK("http://mcb-m6.bioreg.kyushu-u.ac.jp/M3/20110427/F51110/1678/1", 58.48)</f>
        <v>58.48</v>
      </c>
      <c r="E12675" s="2">
        <v>25.91</v>
      </c>
      <c r="F12675" s="2">
        <v>2</v>
      </c>
      <c r="G12675" s="2" t="s">
        <v>13</v>
      </c>
    </row>
    <row r="12676" spans="1:9" x14ac:dyDescent="0.2">
      <c r="A12676" s="2" t="s">
        <v>4479</v>
      </c>
      <c r="B12676" s="2" t="s">
        <v>2426</v>
      </c>
      <c r="C12676" s="2">
        <v>936.29200000000003</v>
      </c>
      <c r="D12676" s="2">
        <f>HYPERLINK("http://mcb-m6.bioreg.kyushu-u.ac.jp/M3/20110421/F51015/1242/1", 36.35)</f>
        <v>36.35</v>
      </c>
      <c r="E12676" s="2">
        <v>18.09</v>
      </c>
      <c r="F12676" s="2">
        <v>1</v>
      </c>
      <c r="G12676" s="2" t="s">
        <v>11</v>
      </c>
    </row>
    <row r="12677" spans="1:9" x14ac:dyDescent="0.2">
      <c r="A12677" s="2" t="s">
        <v>4479</v>
      </c>
      <c r="B12677" s="2" t="s">
        <v>2426</v>
      </c>
      <c r="C12677" s="2">
        <v>468.93509999999998</v>
      </c>
      <c r="D12677" s="2">
        <f>HYPERLINK("http://mcb-m6.bioreg.kyushu-u.ac.jp/M3/20110427/F51109/1302/1", 40.21)</f>
        <v>40.21</v>
      </c>
      <c r="E12677" s="2">
        <v>11.79</v>
      </c>
      <c r="F12677" s="2">
        <v>2</v>
      </c>
      <c r="G12677" s="2" t="s">
        <v>13</v>
      </c>
    </row>
    <row r="12678" spans="1:9" x14ac:dyDescent="0.2">
      <c r="A12678" s="2" t="s">
        <v>8022</v>
      </c>
      <c r="B12678" s="2" t="s">
        <v>7283</v>
      </c>
      <c r="C12678" s="2">
        <v>877.16049999999996</v>
      </c>
      <c r="D12678" s="2">
        <f>HYPERLINK("http://mcb-m6.bioreg.kyushu-u.ac.jp/M3/20110428/F51132/3627/1", 35.24)</f>
        <v>35.24</v>
      </c>
      <c r="E12678" s="2">
        <v>25.58</v>
      </c>
      <c r="F12678" s="2">
        <v>3</v>
      </c>
      <c r="G12678" s="2" t="s">
        <v>13</v>
      </c>
      <c r="I12678" s="2" t="s">
        <v>4890</v>
      </c>
    </row>
    <row r="12679" spans="1:9" x14ac:dyDescent="0.2">
      <c r="A12679" s="2" t="s">
        <v>7938</v>
      </c>
      <c r="B12679" s="2" t="s">
        <v>7122</v>
      </c>
      <c r="C12679" s="2">
        <v>566.83870000000002</v>
      </c>
      <c r="D12679" s="2">
        <f>HYPERLINK("http://mcb-m6.bioreg.kyushu-u.ac.jp/M3/20110421/F51037/1044/1", 52.53)</f>
        <v>52.53</v>
      </c>
      <c r="E12679" s="2">
        <v>37.94</v>
      </c>
      <c r="F12679" s="2">
        <v>2</v>
      </c>
      <c r="G12679" s="2" t="s">
        <v>11</v>
      </c>
    </row>
    <row r="12680" spans="1:9" x14ac:dyDescent="0.2">
      <c r="A12680" s="2" t="s">
        <v>7938</v>
      </c>
      <c r="B12680" s="2" t="s">
        <v>7334</v>
      </c>
      <c r="C12680" s="2">
        <v>569.76509999999996</v>
      </c>
      <c r="D12680" s="2">
        <f>HYPERLINK("http://mcb-m6.bioreg.kyushu-u.ac.jp/M3/20110428/F51132/1216/1", 42.59)</f>
        <v>42.59</v>
      </c>
      <c r="E12680" s="2">
        <v>22.7</v>
      </c>
      <c r="F12680" s="2">
        <v>2</v>
      </c>
      <c r="G12680" s="2" t="s">
        <v>13</v>
      </c>
    </row>
    <row r="12681" spans="1:9" x14ac:dyDescent="0.2">
      <c r="A12681" s="2" t="s">
        <v>7938</v>
      </c>
      <c r="B12681" s="2" t="s">
        <v>7334</v>
      </c>
      <c r="C12681" s="2">
        <v>569.10860000000002</v>
      </c>
      <c r="D12681" s="2">
        <f>HYPERLINK("http://mcb-m6.bioreg.kyushu-u.ac.jp/M3/20110428/F51132/1211/1", 51.5)</f>
        <v>51.5</v>
      </c>
      <c r="E12681" s="2">
        <v>34.79</v>
      </c>
      <c r="F12681" s="2">
        <v>2</v>
      </c>
      <c r="G12681" s="2" t="s">
        <v>13</v>
      </c>
    </row>
    <row r="12682" spans="1:9" x14ac:dyDescent="0.2">
      <c r="A12682" s="2" t="s">
        <v>7938</v>
      </c>
      <c r="B12682" s="2" t="s">
        <v>7334</v>
      </c>
      <c r="C12682" s="2">
        <v>569.68020000000001</v>
      </c>
      <c r="D12682" s="2">
        <f>HYPERLINK("http://mcb-m6.bioreg.kyushu-u.ac.jp/M3/20110428/F51129/1290/1", 37.7)</f>
        <v>37.700000000000003</v>
      </c>
      <c r="E12682" s="2">
        <v>21.37</v>
      </c>
      <c r="F12682" s="2">
        <v>2</v>
      </c>
      <c r="G12682" s="2" t="s">
        <v>14</v>
      </c>
    </row>
    <row r="12683" spans="1:9" x14ac:dyDescent="0.2">
      <c r="A12683" s="2" t="s">
        <v>3338</v>
      </c>
      <c r="B12683" s="2" t="s">
        <v>6176</v>
      </c>
      <c r="C12683" s="2">
        <v>592.23820000000001</v>
      </c>
      <c r="D12683" s="2">
        <f>HYPERLINK("http://mcb-m6.bioreg.kyushu-u.ac.jp/M3/20110404/F50777/1270/1", 45.54)</f>
        <v>45.54</v>
      </c>
      <c r="E12683" s="2">
        <v>18.43</v>
      </c>
      <c r="F12683" s="2">
        <v>2</v>
      </c>
      <c r="G12683" s="2" t="s">
        <v>9</v>
      </c>
    </row>
    <row r="12684" spans="1:9" x14ac:dyDescent="0.2">
      <c r="A12684" s="2" t="s">
        <v>3338</v>
      </c>
      <c r="B12684" s="2" t="s">
        <v>6602</v>
      </c>
      <c r="C12684" s="2">
        <v>733.40620000000001</v>
      </c>
      <c r="D12684" s="2">
        <f>HYPERLINK("http://mcb-m6.bioreg.kyushu-u.ac.jp/M3/20110404/F50777/1889/2", 89.79)</f>
        <v>89.79</v>
      </c>
      <c r="E12684" s="2">
        <v>72.75</v>
      </c>
      <c r="F12684" s="2">
        <v>2</v>
      </c>
      <c r="G12684" s="2" t="s">
        <v>9</v>
      </c>
    </row>
    <row r="12685" spans="1:9" x14ac:dyDescent="0.2">
      <c r="A12685" s="2" t="s">
        <v>3338</v>
      </c>
      <c r="B12685" s="2" t="s">
        <v>6918</v>
      </c>
      <c r="C12685" s="2">
        <v>658.4316</v>
      </c>
      <c r="D12685" s="2">
        <f>HYPERLINK("http://mcb-m6.bioreg.kyushu-u.ac.jp/M3/20110404/F50774/1531/1", 59.66)</f>
        <v>59.66</v>
      </c>
      <c r="E12685" s="2">
        <v>36.11</v>
      </c>
      <c r="F12685" s="2">
        <v>2</v>
      </c>
      <c r="G12685" s="2" t="s">
        <v>10</v>
      </c>
      <c r="I12685" s="2" t="s">
        <v>4905</v>
      </c>
    </row>
    <row r="12686" spans="1:9" x14ac:dyDescent="0.2">
      <c r="A12686" s="2" t="s">
        <v>3338</v>
      </c>
      <c r="B12686" s="2" t="s">
        <v>6602</v>
      </c>
      <c r="C12686" s="2">
        <v>733.90120000000002</v>
      </c>
      <c r="D12686" s="2">
        <f>HYPERLINK("http://mcb-m6.bioreg.kyushu-u.ac.jp/M3/20110404/F50774/1865/2", 67.03)</f>
        <v>67.03</v>
      </c>
      <c r="E12686" s="2">
        <v>47.1</v>
      </c>
      <c r="F12686" s="2">
        <v>2</v>
      </c>
      <c r="G12686" s="2" t="s">
        <v>10</v>
      </c>
    </row>
    <row r="12687" spans="1:9" x14ac:dyDescent="0.2">
      <c r="A12687" s="2" t="s">
        <v>3338</v>
      </c>
      <c r="B12687" s="2" t="s">
        <v>7043</v>
      </c>
      <c r="C12687" s="2">
        <v>845.01260000000002</v>
      </c>
      <c r="D12687" s="2">
        <f>HYPERLINK("http://mcb-m6.bioreg.kyushu-u.ac.jp/M3/20110404/F50774/2277/1", 91.39)</f>
        <v>91.39</v>
      </c>
      <c r="E12687" s="2">
        <v>82.06</v>
      </c>
      <c r="F12687" s="2">
        <v>2</v>
      </c>
      <c r="G12687" s="2" t="s">
        <v>10</v>
      </c>
    </row>
    <row r="12688" spans="1:9" x14ac:dyDescent="0.2">
      <c r="A12688" s="2" t="s">
        <v>3338</v>
      </c>
      <c r="B12688" s="2" t="s">
        <v>6602</v>
      </c>
      <c r="C12688" s="2">
        <v>733.84010000000001</v>
      </c>
      <c r="D12688" s="2">
        <f>HYPERLINK("http://mcb-m6.bioreg.kyushu-u.ac.jp/M3/20110421/F51037/1963/2", 35.9)</f>
        <v>35.9</v>
      </c>
      <c r="E12688" s="2">
        <v>19.84</v>
      </c>
      <c r="F12688" s="2">
        <v>2</v>
      </c>
      <c r="G12688" s="2" t="s">
        <v>11</v>
      </c>
    </row>
    <row r="12689" spans="1:9" x14ac:dyDescent="0.2">
      <c r="A12689" s="2" t="s">
        <v>3338</v>
      </c>
      <c r="B12689" s="2" t="s">
        <v>7043</v>
      </c>
      <c r="C12689" s="2">
        <v>844.50369999999998</v>
      </c>
      <c r="D12689" s="2">
        <f>HYPERLINK("http://mcb-m6.bioreg.kyushu-u.ac.jp/M3/20110421/F51040/2551/1", 41.82)</f>
        <v>41.82</v>
      </c>
      <c r="E12689" s="2">
        <v>30.57</v>
      </c>
      <c r="F12689" s="2">
        <v>2</v>
      </c>
      <c r="G12689" s="2" t="s">
        <v>11</v>
      </c>
    </row>
    <row r="12690" spans="1:9" x14ac:dyDescent="0.2">
      <c r="A12690" s="2" t="s">
        <v>3338</v>
      </c>
      <c r="B12690" s="2" t="s">
        <v>6176</v>
      </c>
      <c r="C12690" s="2">
        <v>592.76620000000003</v>
      </c>
      <c r="D12690" s="2">
        <f>HYPERLINK("http://mcb-m6.bioreg.kyushu-u.ac.jp/M3/20110421/F51037/1180/1", 54.69)</f>
        <v>54.69</v>
      </c>
      <c r="E12690" s="2">
        <v>25.32</v>
      </c>
      <c r="F12690" s="2">
        <v>2</v>
      </c>
      <c r="G12690" s="2" t="s">
        <v>11</v>
      </c>
    </row>
    <row r="12691" spans="1:9" x14ac:dyDescent="0.2">
      <c r="A12691" s="2" t="s">
        <v>3338</v>
      </c>
      <c r="B12691" s="2" t="s">
        <v>7132</v>
      </c>
      <c r="C12691" s="2">
        <v>829.90769999999998</v>
      </c>
      <c r="D12691" s="2">
        <f>HYPERLINK("http://mcb-m6.bioreg.kyushu-u.ac.jp/M3/20110421/F51037/2584/1", 60)</f>
        <v>60</v>
      </c>
      <c r="E12691" s="2">
        <v>46.78</v>
      </c>
      <c r="F12691" s="2">
        <v>2</v>
      </c>
      <c r="G12691" s="2" t="s">
        <v>11</v>
      </c>
    </row>
    <row r="12692" spans="1:9" x14ac:dyDescent="0.2">
      <c r="A12692" s="2" t="s">
        <v>3338</v>
      </c>
      <c r="B12692" s="2" t="s">
        <v>7143</v>
      </c>
      <c r="C12692" s="2">
        <v>807.79970000000003</v>
      </c>
      <c r="D12692" s="2">
        <f>HYPERLINK("http://mcb-m6.bioreg.kyushu-u.ac.jp/M3/20110421/F51037/2433/1", 74.58)</f>
        <v>74.58</v>
      </c>
      <c r="E12692" s="2">
        <v>12.74</v>
      </c>
      <c r="F12692" s="2">
        <v>2</v>
      </c>
      <c r="G12692" s="2" t="s">
        <v>11</v>
      </c>
    </row>
    <row r="12693" spans="1:9" x14ac:dyDescent="0.2">
      <c r="A12693" s="2" t="s">
        <v>3338</v>
      </c>
      <c r="B12693" s="2" t="s">
        <v>6176</v>
      </c>
      <c r="C12693" s="2">
        <v>592.8152</v>
      </c>
      <c r="D12693" s="2">
        <f>HYPERLINK("http://mcb-m6.bioreg.kyushu-u.ac.jp/M3/20110421/F51047/1395/1", 45.26)</f>
        <v>45.26</v>
      </c>
      <c r="E12693" s="2">
        <v>22.48</v>
      </c>
      <c r="F12693" s="2">
        <v>2</v>
      </c>
      <c r="G12693" s="2" t="s">
        <v>12</v>
      </c>
    </row>
    <row r="12694" spans="1:9" x14ac:dyDescent="0.2">
      <c r="A12694" s="2" t="s">
        <v>3338</v>
      </c>
      <c r="B12694" s="2" t="s">
        <v>7043</v>
      </c>
      <c r="C12694" s="2">
        <v>844.99959999999999</v>
      </c>
      <c r="D12694" s="2">
        <f>HYPERLINK("http://mcb-m6.bioreg.kyushu-u.ac.jp/M3/20110421/F51047/2591/1", 85.27)</f>
        <v>85.27</v>
      </c>
      <c r="E12694" s="2">
        <v>68.41</v>
      </c>
      <c r="F12694" s="2">
        <v>2</v>
      </c>
      <c r="G12694" s="2" t="s">
        <v>12</v>
      </c>
    </row>
    <row r="12695" spans="1:9" x14ac:dyDescent="0.2">
      <c r="A12695" s="2" t="s">
        <v>3338</v>
      </c>
      <c r="B12695" s="2" t="s">
        <v>6918</v>
      </c>
      <c r="C12695" s="2">
        <v>658.3107</v>
      </c>
      <c r="D12695" s="2">
        <f>HYPERLINK("http://mcb-m6.bioreg.kyushu-u.ac.jp/M3/20110428/F51132/1530/1", 65.22)</f>
        <v>65.22</v>
      </c>
      <c r="E12695" s="2">
        <v>40.56</v>
      </c>
      <c r="F12695" s="2">
        <v>2</v>
      </c>
      <c r="G12695" s="2" t="s">
        <v>13</v>
      </c>
      <c r="I12695" s="2" t="s">
        <v>4905</v>
      </c>
    </row>
    <row r="12696" spans="1:9" x14ac:dyDescent="0.2">
      <c r="A12696" s="2" t="s">
        <v>3338</v>
      </c>
      <c r="B12696" s="2" t="s">
        <v>7043</v>
      </c>
      <c r="C12696" s="2">
        <v>844.15009999999995</v>
      </c>
      <c r="D12696" s="2">
        <f>HYPERLINK("http://mcb-m6.bioreg.kyushu-u.ac.jp/M3/20110428/F51132/2542/1", 67.76)</f>
        <v>67.760000000000005</v>
      </c>
      <c r="E12696" s="2">
        <v>60.68</v>
      </c>
      <c r="F12696" s="2">
        <v>2</v>
      </c>
      <c r="G12696" s="2" t="s">
        <v>13</v>
      </c>
    </row>
    <row r="12697" spans="1:9" x14ac:dyDescent="0.2">
      <c r="A12697" s="2" t="s">
        <v>3338</v>
      </c>
      <c r="B12697" s="2" t="s">
        <v>7132</v>
      </c>
      <c r="C12697" s="2">
        <v>829.67610000000002</v>
      </c>
      <c r="D12697" s="2">
        <f>HYPERLINK("http://mcb-m6.bioreg.kyushu-u.ac.jp/M3/20110428/F51132/2499/1", 85.85)</f>
        <v>85.85</v>
      </c>
      <c r="E12697" s="2">
        <v>69.38</v>
      </c>
      <c r="F12697" s="2">
        <v>2</v>
      </c>
      <c r="G12697" s="2" t="s">
        <v>13</v>
      </c>
    </row>
    <row r="12698" spans="1:9" x14ac:dyDescent="0.2">
      <c r="A12698" s="2" t="s">
        <v>3338</v>
      </c>
      <c r="B12698" s="2" t="s">
        <v>7043</v>
      </c>
      <c r="C12698" s="2">
        <v>844.75459999999998</v>
      </c>
      <c r="D12698" s="2">
        <f>HYPERLINK("http://mcb-m6.bioreg.kyushu-u.ac.jp/M3/20110428/F51129/2544/1", 97.28)</f>
        <v>97.28</v>
      </c>
      <c r="E12698" s="2">
        <v>87.17</v>
      </c>
      <c r="F12698" s="2">
        <v>2</v>
      </c>
      <c r="G12698" s="2" t="s">
        <v>14</v>
      </c>
    </row>
    <row r="12699" spans="1:9" x14ac:dyDescent="0.2">
      <c r="A12699" s="2" t="s">
        <v>3338</v>
      </c>
      <c r="B12699" s="2" t="s">
        <v>7043</v>
      </c>
      <c r="C12699" s="2">
        <v>844.13710000000003</v>
      </c>
      <c r="D12699" s="2">
        <f>HYPERLINK("http://mcb-m6.bioreg.kyushu-u.ac.jp/M3/20110428/F51129/2541/1", 100.55)</f>
        <v>100.55</v>
      </c>
      <c r="E12699" s="2">
        <v>88.27</v>
      </c>
      <c r="F12699" s="2">
        <v>2</v>
      </c>
      <c r="G12699" s="2" t="s">
        <v>14</v>
      </c>
    </row>
    <row r="12700" spans="1:9" x14ac:dyDescent="0.2">
      <c r="A12700" s="2" t="s">
        <v>7929</v>
      </c>
      <c r="B12700" s="2" t="s">
        <v>7096</v>
      </c>
      <c r="C12700" s="2">
        <v>785.21010000000001</v>
      </c>
      <c r="D12700" s="2">
        <f>HYPERLINK("http://mcb-m6.bioreg.kyushu-u.ac.jp/M3/20110421/F51040/2296/1", 40.26)</f>
        <v>40.26</v>
      </c>
      <c r="E12700" s="2">
        <v>19.260000000000002</v>
      </c>
      <c r="F12700" s="2">
        <v>2</v>
      </c>
      <c r="G12700" s="2" t="s">
        <v>11</v>
      </c>
    </row>
    <row r="12701" spans="1:9" x14ac:dyDescent="0.2">
      <c r="A12701" s="2" t="s">
        <v>7929</v>
      </c>
      <c r="B12701" s="2" t="s">
        <v>7133</v>
      </c>
      <c r="C12701" s="2">
        <v>780.85270000000003</v>
      </c>
      <c r="D12701" s="2">
        <f>HYPERLINK("http://mcb-m6.bioreg.kyushu-u.ac.jp/M3/20110421/F51040/2256/1", 60.12)</f>
        <v>60.12</v>
      </c>
      <c r="E12701" s="2">
        <v>49.37</v>
      </c>
      <c r="F12701" s="2">
        <v>2</v>
      </c>
      <c r="G12701" s="2" t="s">
        <v>11</v>
      </c>
    </row>
    <row r="12702" spans="1:9" x14ac:dyDescent="0.2">
      <c r="A12702" s="2" t="s">
        <v>3404</v>
      </c>
      <c r="B12702" s="2" t="s">
        <v>201</v>
      </c>
      <c r="C12702" s="2">
        <v>1065.3879999999999</v>
      </c>
      <c r="D12702" s="2">
        <f>HYPERLINK("http://mcb-m6.bioreg.kyushu-u.ac.jp/M3/20110404/F50762/1105/1", 35.28)</f>
        <v>35.28</v>
      </c>
      <c r="E12702" s="2">
        <v>17.98</v>
      </c>
      <c r="F12702" s="2">
        <v>1</v>
      </c>
      <c r="G12702" s="2" t="s">
        <v>9</v>
      </c>
    </row>
    <row r="12703" spans="1:9" x14ac:dyDescent="0.2">
      <c r="A12703" s="2" t="s">
        <v>3404</v>
      </c>
      <c r="B12703" s="2" t="s">
        <v>201</v>
      </c>
      <c r="C12703" s="2">
        <v>1065.952</v>
      </c>
      <c r="D12703" s="2">
        <f>HYPERLINK("http://mcb-m6.bioreg.kyushu-u.ac.jp/M3/20110404/F50764/1113/1", 39.92)</f>
        <v>39.92</v>
      </c>
      <c r="E12703" s="2">
        <v>12.57</v>
      </c>
      <c r="F12703" s="2">
        <v>1</v>
      </c>
      <c r="G12703" s="2" t="s">
        <v>9</v>
      </c>
    </row>
    <row r="12704" spans="1:9" x14ac:dyDescent="0.2">
      <c r="A12704" s="2" t="s">
        <v>3404</v>
      </c>
      <c r="B12704" s="2" t="s">
        <v>201</v>
      </c>
      <c r="C12704" s="2">
        <v>533.26210000000003</v>
      </c>
      <c r="D12704" s="2">
        <f>HYPERLINK("http://mcb-m6.bioreg.kyushu-u.ac.jp/M3/20110404/F50777/1110/1", 40.74)</f>
        <v>40.74</v>
      </c>
      <c r="E12704" s="2">
        <v>17.32</v>
      </c>
      <c r="F12704" s="2">
        <v>2</v>
      </c>
      <c r="G12704" s="2" t="s">
        <v>9</v>
      </c>
    </row>
    <row r="12705" spans="1:7" x14ac:dyDescent="0.2">
      <c r="A12705" s="2" t="s">
        <v>3404</v>
      </c>
      <c r="B12705" s="2" t="s">
        <v>201</v>
      </c>
      <c r="C12705" s="2">
        <v>533.2527</v>
      </c>
      <c r="D12705" s="2">
        <f>HYPERLINK("http://mcb-m6.bioreg.kyushu-u.ac.jp/M3/20110404/F50756/1127/1", 41.31)</f>
        <v>41.31</v>
      </c>
      <c r="E12705" s="2">
        <v>23.49</v>
      </c>
      <c r="F12705" s="2">
        <v>2</v>
      </c>
      <c r="G12705" s="2" t="s">
        <v>9</v>
      </c>
    </row>
    <row r="12706" spans="1:7" x14ac:dyDescent="0.2">
      <c r="A12706" s="2" t="s">
        <v>3404</v>
      </c>
      <c r="B12706" s="2" t="s">
        <v>201</v>
      </c>
      <c r="C12706" s="2">
        <v>1065.279</v>
      </c>
      <c r="D12706" s="2">
        <f>HYPERLINK("http://mcb-m6.bioreg.kyushu-u.ac.jp/M3/20110404/F50756/1126/1", 48.21)</f>
        <v>48.21</v>
      </c>
      <c r="E12706" s="2">
        <v>22.17</v>
      </c>
      <c r="F12706" s="2">
        <v>1</v>
      </c>
      <c r="G12706" s="2" t="s">
        <v>9</v>
      </c>
    </row>
    <row r="12707" spans="1:7" x14ac:dyDescent="0.2">
      <c r="A12707" s="2" t="s">
        <v>3404</v>
      </c>
      <c r="B12707" s="2" t="s">
        <v>201</v>
      </c>
      <c r="C12707" s="2">
        <v>1065.45</v>
      </c>
      <c r="D12707" s="2">
        <f>HYPERLINK("http://mcb-m6.bioreg.kyushu-u.ac.jp/M3/20110404/F50768/1192/1", 37.13)</f>
        <v>37.130000000000003</v>
      </c>
      <c r="E12707" s="2">
        <v>15.85</v>
      </c>
      <c r="F12707" s="2">
        <v>1</v>
      </c>
      <c r="G12707" s="2" t="s">
        <v>10</v>
      </c>
    </row>
    <row r="12708" spans="1:7" x14ac:dyDescent="0.2">
      <c r="A12708" s="2" t="s">
        <v>3404</v>
      </c>
      <c r="B12708" s="2" t="s">
        <v>201</v>
      </c>
      <c r="C12708" s="2">
        <v>1065.9259999999999</v>
      </c>
      <c r="D12708" s="2">
        <f>HYPERLINK("http://mcb-m6.bioreg.kyushu-u.ac.jp/M3/20110404/F50775/1168/1", 43.34)</f>
        <v>43.34</v>
      </c>
      <c r="E12708" s="2">
        <v>17.579999999999998</v>
      </c>
      <c r="F12708" s="2">
        <v>1</v>
      </c>
      <c r="G12708" s="2" t="s">
        <v>10</v>
      </c>
    </row>
    <row r="12709" spans="1:7" x14ac:dyDescent="0.2">
      <c r="A12709" s="2" t="s">
        <v>3404</v>
      </c>
      <c r="B12709" s="2" t="s">
        <v>201</v>
      </c>
      <c r="C12709" s="2">
        <v>1065.2929999999999</v>
      </c>
      <c r="D12709" s="2">
        <f>HYPERLINK("http://mcb-m6.bioreg.kyushu-u.ac.jp/M3/20110404/F50782/866/1", 46.07)</f>
        <v>46.07</v>
      </c>
      <c r="E12709" s="2">
        <v>15.51</v>
      </c>
      <c r="F12709" s="2">
        <v>1</v>
      </c>
      <c r="G12709" s="2" t="s">
        <v>10</v>
      </c>
    </row>
    <row r="12710" spans="1:7" x14ac:dyDescent="0.2">
      <c r="A12710" s="2" t="s">
        <v>3404</v>
      </c>
      <c r="B12710" s="2" t="s">
        <v>201</v>
      </c>
      <c r="C12710" s="2">
        <v>1065.442</v>
      </c>
      <c r="D12710" s="2">
        <f>HYPERLINK("http://mcb-m6.bioreg.kyushu-u.ac.jp/M3/20110404/F50774/1153/1", 49.27)</f>
        <v>49.27</v>
      </c>
      <c r="E12710" s="2">
        <v>21.55</v>
      </c>
      <c r="F12710" s="2">
        <v>1</v>
      </c>
      <c r="G12710" s="2" t="s">
        <v>10</v>
      </c>
    </row>
    <row r="12711" spans="1:7" x14ac:dyDescent="0.2">
      <c r="A12711" s="2" t="s">
        <v>3404</v>
      </c>
      <c r="B12711" s="2" t="s">
        <v>201</v>
      </c>
      <c r="C12711" s="2">
        <v>1065.43</v>
      </c>
      <c r="D12711" s="2">
        <f>HYPERLINK("http://mcb-m6.bioreg.kyushu-u.ac.jp/M3/20110404/F50761/1097/1", 49.51)</f>
        <v>49.51</v>
      </c>
      <c r="E12711" s="2">
        <v>16.079999999999998</v>
      </c>
      <c r="F12711" s="2">
        <v>1</v>
      </c>
      <c r="G12711" s="2" t="s">
        <v>10</v>
      </c>
    </row>
    <row r="12712" spans="1:7" x14ac:dyDescent="0.2">
      <c r="A12712" s="2" t="s">
        <v>3404</v>
      </c>
      <c r="B12712" s="2" t="s">
        <v>201</v>
      </c>
      <c r="C12712" s="2">
        <v>533.79769999999996</v>
      </c>
      <c r="D12712" s="2">
        <f>HYPERLINK("http://mcb-m6.bioreg.kyushu-u.ac.jp/M3/20110404/F50782/870/1", 49.6)</f>
        <v>49.6</v>
      </c>
      <c r="E12712" s="2">
        <v>24</v>
      </c>
      <c r="F12712" s="2">
        <v>2</v>
      </c>
      <c r="G12712" s="2" t="s">
        <v>10</v>
      </c>
    </row>
    <row r="12713" spans="1:7" x14ac:dyDescent="0.2">
      <c r="A12713" s="2" t="s">
        <v>3404</v>
      </c>
      <c r="B12713" s="2" t="s">
        <v>201</v>
      </c>
      <c r="C12713" s="2">
        <v>533.76120000000003</v>
      </c>
      <c r="D12713" s="2">
        <f>HYPERLINK("http://mcb-m6.bioreg.kyushu-u.ac.jp/M3/20110421/F51040/1091/1", 47.06)</f>
        <v>47.06</v>
      </c>
      <c r="E12713" s="2">
        <v>31.24</v>
      </c>
      <c r="F12713" s="2">
        <v>2</v>
      </c>
      <c r="G12713" s="2" t="s">
        <v>11</v>
      </c>
    </row>
    <row r="12714" spans="1:7" x14ac:dyDescent="0.2">
      <c r="A12714" s="2" t="s">
        <v>3404</v>
      </c>
      <c r="B12714" s="2" t="s">
        <v>201</v>
      </c>
      <c r="C12714" s="2">
        <v>533.76120000000003</v>
      </c>
      <c r="D12714" s="2">
        <f>HYPERLINK("http://mcb-m6.bioreg.kyushu-u.ac.jp/M3/20110421/F51042/806/1", 49.39)</f>
        <v>49.39</v>
      </c>
      <c r="E12714" s="2">
        <v>26.55</v>
      </c>
      <c r="F12714" s="2">
        <v>2</v>
      </c>
      <c r="G12714" s="2" t="s">
        <v>11</v>
      </c>
    </row>
    <row r="12715" spans="1:7" x14ac:dyDescent="0.2">
      <c r="A12715" s="2" t="s">
        <v>3404</v>
      </c>
      <c r="B12715" s="2" t="s">
        <v>201</v>
      </c>
      <c r="C12715" s="2">
        <v>533.8057</v>
      </c>
      <c r="D12715" s="2">
        <f>HYPERLINK("http://mcb-m6.bioreg.kyushu-u.ac.jp/M3/20110421/F51014/1389/1", 51.01)</f>
        <v>51.01</v>
      </c>
      <c r="E12715" s="2">
        <v>23.74</v>
      </c>
      <c r="F12715" s="2">
        <v>2</v>
      </c>
      <c r="G12715" s="2" t="s">
        <v>11</v>
      </c>
    </row>
    <row r="12716" spans="1:7" x14ac:dyDescent="0.2">
      <c r="A12716" s="2" t="s">
        <v>3404</v>
      </c>
      <c r="B12716" s="2" t="s">
        <v>201</v>
      </c>
      <c r="C12716" s="2">
        <v>533.58510000000001</v>
      </c>
      <c r="D12716" s="2">
        <f>HYPERLINK("http://mcb-m6.bioreg.kyushu-u.ac.jp/M3/20110421/F51037/892/1", 59.32)</f>
        <v>59.32</v>
      </c>
      <c r="E12716" s="2">
        <v>35.72</v>
      </c>
      <c r="F12716" s="2">
        <v>2</v>
      </c>
      <c r="G12716" s="2" t="s">
        <v>11</v>
      </c>
    </row>
    <row r="12717" spans="1:7" x14ac:dyDescent="0.2">
      <c r="A12717" s="2" t="s">
        <v>3404</v>
      </c>
      <c r="B12717" s="2" t="s">
        <v>201</v>
      </c>
      <c r="C12717" s="2">
        <v>533.18709999999999</v>
      </c>
      <c r="D12717" s="2">
        <f>HYPERLINK("http://mcb-m6.bioreg.kyushu-u.ac.jp/M3/20110421/F51020/1192/1", 68.39)</f>
        <v>68.39</v>
      </c>
      <c r="E12717" s="2">
        <v>50.76</v>
      </c>
      <c r="F12717" s="2">
        <v>2</v>
      </c>
      <c r="G12717" s="2" t="s">
        <v>11</v>
      </c>
    </row>
    <row r="12718" spans="1:7" x14ac:dyDescent="0.2">
      <c r="A12718" s="2" t="s">
        <v>3404</v>
      </c>
      <c r="B12718" s="2" t="s">
        <v>201</v>
      </c>
      <c r="C12718" s="2">
        <v>533.16610000000003</v>
      </c>
      <c r="D12718" s="2">
        <f>HYPERLINK("http://mcb-m6.bioreg.kyushu-u.ac.jp/M3/20110421/F51021/988/1", 39.42)</f>
        <v>39.42</v>
      </c>
      <c r="E12718" s="2">
        <v>14.69</v>
      </c>
      <c r="F12718" s="2">
        <v>2</v>
      </c>
      <c r="G12718" s="2" t="s">
        <v>12</v>
      </c>
    </row>
    <row r="12719" spans="1:7" x14ac:dyDescent="0.2">
      <c r="A12719" s="2" t="s">
        <v>3404</v>
      </c>
      <c r="B12719" s="2" t="s">
        <v>201</v>
      </c>
      <c r="C12719" s="2">
        <v>1065.5840000000001</v>
      </c>
      <c r="D12719" s="2">
        <f>HYPERLINK("http://mcb-m6.bioreg.kyushu-u.ac.jp/M3/20110421/F51061/1119/1", 48.58)</f>
        <v>48.58</v>
      </c>
      <c r="E12719" s="2">
        <v>18.68</v>
      </c>
      <c r="F12719" s="2">
        <v>1</v>
      </c>
      <c r="G12719" s="2" t="s">
        <v>12</v>
      </c>
    </row>
    <row r="12720" spans="1:7" x14ac:dyDescent="0.2">
      <c r="A12720" s="2" t="s">
        <v>3404</v>
      </c>
      <c r="B12720" s="2" t="s">
        <v>201</v>
      </c>
      <c r="C12720" s="2">
        <v>533.68020000000001</v>
      </c>
      <c r="D12720" s="2">
        <f>HYPERLINK("http://mcb-m6.bioreg.kyushu-u.ac.jp/M3/20110421/F51061/1121/1", 50.48)</f>
        <v>50.48</v>
      </c>
      <c r="E12720" s="2">
        <v>21.79</v>
      </c>
      <c r="F12720" s="2">
        <v>2</v>
      </c>
      <c r="G12720" s="2" t="s">
        <v>12</v>
      </c>
    </row>
    <row r="12721" spans="1:7" x14ac:dyDescent="0.2">
      <c r="A12721" s="2" t="s">
        <v>3404</v>
      </c>
      <c r="B12721" s="2" t="s">
        <v>201</v>
      </c>
      <c r="C12721" s="2">
        <v>1065.3</v>
      </c>
      <c r="D12721" s="2">
        <f>HYPERLINK("http://mcb-m6.bioreg.kyushu-u.ac.jp/M3/20110428/F51127/909/1", 46.05)</f>
        <v>46.05</v>
      </c>
      <c r="E12721" s="2">
        <v>18.2</v>
      </c>
      <c r="F12721" s="2">
        <v>1</v>
      </c>
      <c r="G12721" s="2" t="s">
        <v>13</v>
      </c>
    </row>
    <row r="12722" spans="1:7" x14ac:dyDescent="0.2">
      <c r="A12722" s="2" t="s">
        <v>3404</v>
      </c>
      <c r="B12722" s="2" t="s">
        <v>201</v>
      </c>
      <c r="C12722" s="2">
        <v>533.59519999999998</v>
      </c>
      <c r="D12722" s="2">
        <f>HYPERLINK("http://mcb-m6.bioreg.kyushu-u.ac.jp/M3/20110428/F51132/1086/1", 47.3)</f>
        <v>47.3</v>
      </c>
      <c r="E12722" s="2">
        <v>18.91</v>
      </c>
      <c r="F12722" s="2">
        <v>2</v>
      </c>
      <c r="G12722" s="2" t="s">
        <v>13</v>
      </c>
    </row>
    <row r="12723" spans="1:7" x14ac:dyDescent="0.2">
      <c r="A12723" s="2" t="s">
        <v>3404</v>
      </c>
      <c r="B12723" s="2" t="s">
        <v>201</v>
      </c>
      <c r="C12723" s="2">
        <v>533.05020000000002</v>
      </c>
      <c r="D12723" s="2">
        <f>HYPERLINK("http://mcb-m6.bioreg.kyushu-u.ac.jp/M3/20110427/F51120/1444/1", 35.71)</f>
        <v>35.71</v>
      </c>
      <c r="E12723" s="2">
        <v>9.59</v>
      </c>
      <c r="F12723" s="2">
        <v>2</v>
      </c>
      <c r="G12723" s="2" t="s">
        <v>14</v>
      </c>
    </row>
    <row r="12724" spans="1:7" x14ac:dyDescent="0.2">
      <c r="A12724" s="2" t="s">
        <v>3404</v>
      </c>
      <c r="B12724" s="2" t="s">
        <v>201</v>
      </c>
      <c r="C12724" s="2">
        <v>533.5607</v>
      </c>
      <c r="D12724" s="2">
        <f>HYPERLINK("http://mcb-m6.bioreg.kyushu-u.ac.jp/M3/20110428/F51126/1292/1", 47.95)</f>
        <v>47.95</v>
      </c>
      <c r="E12724" s="2">
        <v>25.59</v>
      </c>
      <c r="F12724" s="2">
        <v>2</v>
      </c>
      <c r="G12724" s="2" t="s">
        <v>14</v>
      </c>
    </row>
    <row r="12725" spans="1:7" x14ac:dyDescent="0.2">
      <c r="A12725" s="2" t="s">
        <v>3404</v>
      </c>
      <c r="B12725" s="2" t="s">
        <v>201</v>
      </c>
      <c r="C12725" s="2">
        <v>1065.269</v>
      </c>
      <c r="D12725" s="2">
        <f>HYPERLINK("http://mcb-m6.bioreg.kyushu-u.ac.jp/M3/20110427/F51122/1428/1", 48.8)</f>
        <v>48.8</v>
      </c>
      <c r="E12725" s="2">
        <v>21.13</v>
      </c>
      <c r="F12725" s="2">
        <v>1</v>
      </c>
      <c r="G12725" s="2" t="s">
        <v>14</v>
      </c>
    </row>
    <row r="12726" spans="1:7" x14ac:dyDescent="0.2">
      <c r="A12726" s="2" t="s">
        <v>3404</v>
      </c>
      <c r="B12726" s="2" t="s">
        <v>201</v>
      </c>
      <c r="C12726" s="2">
        <v>1065.2090000000001</v>
      </c>
      <c r="D12726" s="2">
        <f>HYPERLINK("http://mcb-m6.bioreg.kyushu-u.ac.jp/M3/20110427/F51124/1218/1", 49.39)</f>
        <v>49.39</v>
      </c>
      <c r="E12726" s="2">
        <v>19.809999999999999</v>
      </c>
      <c r="F12726" s="2">
        <v>1</v>
      </c>
      <c r="G12726" s="2" t="s">
        <v>14</v>
      </c>
    </row>
    <row r="12727" spans="1:7" x14ac:dyDescent="0.2">
      <c r="A12727" s="2" t="s">
        <v>3404</v>
      </c>
      <c r="B12727" s="2" t="s">
        <v>201</v>
      </c>
      <c r="C12727" s="2">
        <v>1065.3219999999999</v>
      </c>
      <c r="D12727" s="2">
        <f>HYPERLINK("http://mcb-m6.bioreg.kyushu-u.ac.jp/M3/20110428/F51128/1077/1", 52.07)</f>
        <v>52.07</v>
      </c>
      <c r="E12727" s="2">
        <v>23</v>
      </c>
      <c r="F12727" s="2">
        <v>1</v>
      </c>
      <c r="G12727" s="2" t="s">
        <v>14</v>
      </c>
    </row>
    <row r="12728" spans="1:7" x14ac:dyDescent="0.2">
      <c r="A12728" s="2" t="s">
        <v>7564</v>
      </c>
      <c r="B12728" s="2" t="s">
        <v>5995</v>
      </c>
      <c r="C12728" s="2">
        <v>676.50620000000004</v>
      </c>
      <c r="D12728" s="2">
        <f>HYPERLINK("http://mcb-m6.bioreg.kyushu-u.ac.jp/M3/20110404/F50766/3062/1", 38.12)</f>
        <v>38.119999999999997</v>
      </c>
      <c r="E12728" s="2">
        <v>15.53</v>
      </c>
      <c r="F12728" s="2">
        <v>3</v>
      </c>
      <c r="G12728" s="2" t="s">
        <v>9</v>
      </c>
    </row>
    <row r="12729" spans="1:7" x14ac:dyDescent="0.2">
      <c r="A12729" s="2" t="s">
        <v>7564</v>
      </c>
      <c r="B12729" s="2" t="s">
        <v>5995</v>
      </c>
      <c r="C12729" s="2">
        <v>1014.352</v>
      </c>
      <c r="D12729" s="2">
        <f>HYPERLINK("http://mcb-m6.bioreg.kyushu-u.ac.jp/M3/20110404/F50766/3063/1", 103.08)</f>
        <v>103.08</v>
      </c>
      <c r="E12729" s="2">
        <v>86.09</v>
      </c>
      <c r="F12729" s="2">
        <v>2</v>
      </c>
      <c r="G12729" s="2" t="s">
        <v>9</v>
      </c>
    </row>
    <row r="12730" spans="1:7" x14ac:dyDescent="0.2">
      <c r="A12730" s="2" t="s">
        <v>3564</v>
      </c>
      <c r="B12730" s="2" t="s">
        <v>427</v>
      </c>
      <c r="C12730" s="2">
        <v>739.37869999999998</v>
      </c>
      <c r="D12730" s="2">
        <f>HYPERLINK("http://mcb-m6.bioreg.kyushu-u.ac.jp/M3/20110404/F50763/1939/2", 54.54)</f>
        <v>54.54</v>
      </c>
      <c r="E12730" s="2">
        <v>28.85</v>
      </c>
      <c r="F12730" s="2">
        <v>2</v>
      </c>
      <c r="G12730" s="2" t="s">
        <v>9</v>
      </c>
    </row>
    <row r="12731" spans="1:7" x14ac:dyDescent="0.2">
      <c r="A12731" s="2" t="s">
        <v>3564</v>
      </c>
      <c r="B12731" s="2" t="s">
        <v>427</v>
      </c>
      <c r="C12731" s="2">
        <v>739.35019999999997</v>
      </c>
      <c r="D12731" s="2">
        <f>HYPERLINK("http://mcb-m6.bioreg.kyushu-u.ac.jp/M3/20110421/F51026/2056/2", 45.15)</f>
        <v>45.15</v>
      </c>
      <c r="E12731" s="2">
        <v>17.55</v>
      </c>
      <c r="F12731" s="2">
        <v>2</v>
      </c>
      <c r="G12731" s="2" t="s">
        <v>12</v>
      </c>
    </row>
    <row r="12732" spans="1:7" x14ac:dyDescent="0.2">
      <c r="A12732" s="2" t="s">
        <v>3373</v>
      </c>
      <c r="B12732" s="2" t="s">
        <v>165</v>
      </c>
      <c r="C12732" s="2">
        <v>679.7722</v>
      </c>
      <c r="D12732" s="2">
        <f>HYPERLINK("http://mcb-m6.bioreg.kyushu-u.ac.jp/M3/20110404/F50762/1549/1", 36.23)</f>
        <v>36.229999999999997</v>
      </c>
      <c r="E12732" s="2">
        <v>9.64</v>
      </c>
      <c r="F12732" s="2">
        <v>2</v>
      </c>
      <c r="G12732" s="2" t="s">
        <v>9</v>
      </c>
    </row>
    <row r="12733" spans="1:7" x14ac:dyDescent="0.2">
      <c r="A12733" s="2" t="s">
        <v>3373</v>
      </c>
      <c r="B12733" s="2" t="s">
        <v>165</v>
      </c>
      <c r="C12733" s="2">
        <v>679.3152</v>
      </c>
      <c r="D12733" s="2">
        <f>HYPERLINK("http://mcb-m6.bioreg.kyushu-u.ac.jp/M3/20110404/F50764/1567/1", 37.06)</f>
        <v>37.06</v>
      </c>
      <c r="E12733" s="2">
        <v>14.4</v>
      </c>
      <c r="F12733" s="2">
        <v>2</v>
      </c>
      <c r="G12733" s="2" t="s">
        <v>9</v>
      </c>
    </row>
    <row r="12734" spans="1:7" x14ac:dyDescent="0.2">
      <c r="A12734" s="2" t="s">
        <v>3373</v>
      </c>
      <c r="B12734" s="2" t="s">
        <v>165</v>
      </c>
      <c r="C12734" s="2">
        <v>679.23360000000002</v>
      </c>
      <c r="D12734" s="2">
        <f>HYPERLINK("http://mcb-m6.bioreg.kyushu-u.ac.jp/M3/20110404/F50758/1663/1", 36.29)</f>
        <v>36.29</v>
      </c>
      <c r="E12734" s="2">
        <v>12.67</v>
      </c>
      <c r="F12734" s="2">
        <v>2</v>
      </c>
      <c r="G12734" s="2" t="s">
        <v>10</v>
      </c>
    </row>
    <row r="12735" spans="1:7" x14ac:dyDescent="0.2">
      <c r="A12735" s="2" t="s">
        <v>3373</v>
      </c>
      <c r="B12735" s="2" t="s">
        <v>165</v>
      </c>
      <c r="C12735" s="2">
        <v>679.24019999999996</v>
      </c>
      <c r="D12735" s="2">
        <f>HYPERLINK("http://mcb-m6.bioreg.kyushu-u.ac.jp/M3/20110404/F50770/1662/1", 41.21)</f>
        <v>41.21</v>
      </c>
      <c r="E12735" s="2">
        <v>17.8</v>
      </c>
      <c r="F12735" s="2">
        <v>2</v>
      </c>
      <c r="G12735" s="2" t="s">
        <v>10</v>
      </c>
    </row>
    <row r="12736" spans="1:7" x14ac:dyDescent="0.2">
      <c r="A12736" s="2" t="s">
        <v>3373</v>
      </c>
      <c r="B12736" s="2" t="s">
        <v>165</v>
      </c>
      <c r="C12736" s="2">
        <v>679.27260000000001</v>
      </c>
      <c r="D12736" s="2">
        <f>HYPERLINK("http://mcb-m6.bioreg.kyushu-u.ac.jp/M3/20110404/F50768/1626/1", 41.23)</f>
        <v>41.23</v>
      </c>
      <c r="E12736" s="2">
        <v>17.25</v>
      </c>
      <c r="F12736" s="2">
        <v>2</v>
      </c>
      <c r="G12736" s="2" t="s">
        <v>10</v>
      </c>
    </row>
    <row r="12737" spans="1:7" x14ac:dyDescent="0.2">
      <c r="A12737" s="2" t="s">
        <v>3373</v>
      </c>
      <c r="B12737" s="2" t="s">
        <v>165</v>
      </c>
      <c r="C12737" s="2">
        <v>679.3442</v>
      </c>
      <c r="D12737" s="2">
        <f>HYPERLINK("http://mcb-m6.bioreg.kyushu-u.ac.jp/M3/20110404/F50782/1450/1", 41.38)</f>
        <v>41.38</v>
      </c>
      <c r="E12737" s="2">
        <v>17.61</v>
      </c>
      <c r="F12737" s="2">
        <v>2</v>
      </c>
      <c r="G12737" s="2" t="s">
        <v>10</v>
      </c>
    </row>
    <row r="12738" spans="1:7" x14ac:dyDescent="0.2">
      <c r="A12738" s="2" t="s">
        <v>3373</v>
      </c>
      <c r="B12738" s="2" t="s">
        <v>165</v>
      </c>
      <c r="C12738" s="2">
        <v>679.33010000000002</v>
      </c>
      <c r="D12738" s="2">
        <f>HYPERLINK("http://mcb-m6.bioreg.kyushu-u.ac.jp/M3/20110421/F51034/1663/1", 36.27)</f>
        <v>36.270000000000003</v>
      </c>
      <c r="E12738" s="2">
        <v>11.96</v>
      </c>
      <c r="F12738" s="2">
        <v>2</v>
      </c>
      <c r="G12738" s="2" t="s">
        <v>11</v>
      </c>
    </row>
    <row r="12739" spans="1:7" x14ac:dyDescent="0.2">
      <c r="A12739" s="2" t="s">
        <v>3380</v>
      </c>
      <c r="B12739" s="2" t="s">
        <v>172</v>
      </c>
      <c r="C12739" s="2">
        <v>738.15309999999999</v>
      </c>
      <c r="D12739" s="2">
        <f>HYPERLINK("http://mcb-m6.bioreg.kyushu-u.ac.jp/M3/20110404/F50753/2001/1", 36.5)</f>
        <v>36.5</v>
      </c>
      <c r="E12739" s="2">
        <v>18.739999999999998</v>
      </c>
      <c r="F12739" s="2">
        <v>2</v>
      </c>
      <c r="G12739" s="2" t="s">
        <v>9</v>
      </c>
    </row>
    <row r="12740" spans="1:7" x14ac:dyDescent="0.2">
      <c r="A12740" s="2" t="s">
        <v>3380</v>
      </c>
      <c r="B12740" s="2" t="s">
        <v>172</v>
      </c>
      <c r="C12740" s="2">
        <v>738.82759999999996</v>
      </c>
      <c r="D12740" s="2">
        <f>HYPERLINK("http://mcb-m6.bioreg.kyushu-u.ac.jp/M3/20110404/F50763/1935/1", 37.84)</f>
        <v>37.840000000000003</v>
      </c>
      <c r="E12740" s="2">
        <v>20.420000000000002</v>
      </c>
      <c r="F12740" s="2">
        <v>2</v>
      </c>
      <c r="G12740" s="2" t="s">
        <v>9</v>
      </c>
    </row>
    <row r="12741" spans="1:7" x14ac:dyDescent="0.2">
      <c r="A12741" s="2" t="s">
        <v>3380</v>
      </c>
      <c r="B12741" s="2" t="s">
        <v>172</v>
      </c>
      <c r="C12741" s="2">
        <v>738.69269999999995</v>
      </c>
      <c r="D12741" s="2">
        <f>HYPERLINK("http://mcb-m6.bioreg.kyushu-u.ac.jp/M3/20110404/F50766/1541/1", 52.04)</f>
        <v>52.04</v>
      </c>
      <c r="E12741" s="2">
        <v>5.32</v>
      </c>
      <c r="F12741" s="2">
        <v>2</v>
      </c>
      <c r="G12741" s="2" t="s">
        <v>9</v>
      </c>
    </row>
    <row r="12742" spans="1:7" x14ac:dyDescent="0.2">
      <c r="A12742" s="2" t="s">
        <v>3380</v>
      </c>
      <c r="B12742" s="2" t="s">
        <v>172</v>
      </c>
      <c r="C12742" s="2">
        <v>1475.569</v>
      </c>
      <c r="D12742" s="2">
        <f>HYPERLINK("http://mcb-m6.bioreg.kyushu-u.ac.jp/M3/20110404/F50763/1932/1", 54.4)</f>
        <v>54.4</v>
      </c>
      <c r="E12742" s="2">
        <v>34.85</v>
      </c>
      <c r="F12742" s="2">
        <v>1</v>
      </c>
      <c r="G12742" s="2" t="s">
        <v>9</v>
      </c>
    </row>
    <row r="12743" spans="1:7" x14ac:dyDescent="0.2">
      <c r="A12743" s="2" t="s">
        <v>3380</v>
      </c>
      <c r="B12743" s="2" t="s">
        <v>172</v>
      </c>
      <c r="C12743" s="2">
        <v>738.26819999999998</v>
      </c>
      <c r="D12743" s="2">
        <f>HYPERLINK("http://mcb-m6.bioreg.kyushu-u.ac.jp/M3/20110404/F50762/1802/1", 60.46)</f>
        <v>60.46</v>
      </c>
      <c r="E12743" s="2">
        <v>42.04</v>
      </c>
      <c r="F12743" s="2">
        <v>2</v>
      </c>
      <c r="G12743" s="2" t="s">
        <v>9</v>
      </c>
    </row>
    <row r="12744" spans="1:7" x14ac:dyDescent="0.2">
      <c r="A12744" s="2" t="s">
        <v>3380</v>
      </c>
      <c r="B12744" s="2" t="s">
        <v>172</v>
      </c>
      <c r="C12744" s="2">
        <v>738.2867</v>
      </c>
      <c r="D12744" s="2">
        <f>HYPERLINK("http://mcb-m6.bioreg.kyushu-u.ac.jp/M3/20110404/F50755/1943/1", 60.56)</f>
        <v>60.56</v>
      </c>
      <c r="E12744" s="2">
        <v>37.89</v>
      </c>
      <c r="F12744" s="2">
        <v>2</v>
      </c>
      <c r="G12744" s="2" t="s">
        <v>9</v>
      </c>
    </row>
    <row r="12745" spans="1:7" x14ac:dyDescent="0.2">
      <c r="A12745" s="2" t="s">
        <v>3380</v>
      </c>
      <c r="B12745" s="2" t="s">
        <v>172</v>
      </c>
      <c r="C12745" s="2">
        <v>738.76120000000003</v>
      </c>
      <c r="D12745" s="2">
        <f>HYPERLINK("http://mcb-m6.bioreg.kyushu-u.ac.jp/M3/20110404/F50756/1958/1", 70.03)</f>
        <v>70.03</v>
      </c>
      <c r="E12745" s="2">
        <v>13.77</v>
      </c>
      <c r="F12745" s="2">
        <v>2</v>
      </c>
      <c r="G12745" s="2" t="s">
        <v>9</v>
      </c>
    </row>
    <row r="12746" spans="1:7" x14ac:dyDescent="0.2">
      <c r="A12746" s="2" t="s">
        <v>3380</v>
      </c>
      <c r="B12746" s="2" t="s">
        <v>172</v>
      </c>
      <c r="C12746" s="2">
        <v>738.37369999999999</v>
      </c>
      <c r="D12746" s="2">
        <f>HYPERLINK("http://mcb-m6.bioreg.kyushu-u.ac.jp/M3/20110404/F50764/1874/1", 74.17)</f>
        <v>74.17</v>
      </c>
      <c r="E12746" s="2">
        <v>51</v>
      </c>
      <c r="F12746" s="2">
        <v>2</v>
      </c>
      <c r="G12746" s="2" t="s">
        <v>9</v>
      </c>
    </row>
    <row r="12747" spans="1:7" x14ac:dyDescent="0.2">
      <c r="A12747" s="2" t="s">
        <v>3380</v>
      </c>
      <c r="B12747" s="2" t="s">
        <v>172</v>
      </c>
      <c r="C12747" s="2">
        <v>738.78920000000005</v>
      </c>
      <c r="D12747" s="2">
        <f>HYPERLINK("http://mcb-m6.bioreg.kyushu-u.ac.jp/M3/20110404/F50755/1945/1", 74.89)</f>
        <v>74.89</v>
      </c>
      <c r="E12747" s="2">
        <v>36.9</v>
      </c>
      <c r="F12747" s="2">
        <v>2</v>
      </c>
      <c r="G12747" s="2" t="s">
        <v>9</v>
      </c>
    </row>
    <row r="12748" spans="1:7" x14ac:dyDescent="0.2">
      <c r="A12748" s="2" t="s">
        <v>3380</v>
      </c>
      <c r="B12748" s="2" t="s">
        <v>172</v>
      </c>
      <c r="C12748" s="2">
        <v>738.32510000000002</v>
      </c>
      <c r="D12748" s="2">
        <f>HYPERLINK("http://mcb-m6.bioreg.kyushu-u.ac.jp/M3/20110404/F50763/1933/1", 75.6)</f>
        <v>75.599999999999994</v>
      </c>
      <c r="E12748" s="2">
        <v>46.15</v>
      </c>
      <c r="F12748" s="2">
        <v>2</v>
      </c>
      <c r="G12748" s="2" t="s">
        <v>9</v>
      </c>
    </row>
    <row r="12749" spans="1:7" x14ac:dyDescent="0.2">
      <c r="A12749" s="2" t="s">
        <v>3380</v>
      </c>
      <c r="B12749" s="2" t="s">
        <v>172</v>
      </c>
      <c r="C12749" s="2">
        <v>738.36069999999995</v>
      </c>
      <c r="D12749" s="2">
        <f>HYPERLINK("http://mcb-m6.bioreg.kyushu-u.ac.jp/M3/20110404/F50776/1763/1", 78.42)</f>
        <v>78.42</v>
      </c>
      <c r="E12749" s="2">
        <v>47.49</v>
      </c>
      <c r="F12749" s="2">
        <v>2</v>
      </c>
      <c r="G12749" s="2" t="s">
        <v>9</v>
      </c>
    </row>
    <row r="12750" spans="1:7" x14ac:dyDescent="0.2">
      <c r="A12750" s="2" t="s">
        <v>3380</v>
      </c>
      <c r="B12750" s="2" t="s">
        <v>172</v>
      </c>
      <c r="C12750" s="2">
        <v>738.51009999999997</v>
      </c>
      <c r="D12750" s="2">
        <f>HYPERLINK("http://mcb-m6.bioreg.kyushu-u.ac.jp/M3/20110404/F50777/1908/1", 79.43)</f>
        <v>79.430000000000007</v>
      </c>
      <c r="E12750" s="2">
        <v>53.52</v>
      </c>
      <c r="F12750" s="2">
        <v>2</v>
      </c>
      <c r="G12750" s="2" t="s">
        <v>9</v>
      </c>
    </row>
    <row r="12751" spans="1:7" x14ac:dyDescent="0.2">
      <c r="A12751" s="2" t="s">
        <v>3380</v>
      </c>
      <c r="B12751" s="2" t="s">
        <v>172</v>
      </c>
      <c r="C12751" s="2">
        <v>738.25019999999995</v>
      </c>
      <c r="D12751" s="2">
        <f>HYPERLINK("http://mcb-m6.bioreg.kyushu-u.ac.jp/M3/20110404/F50756/1957/1", 82.76)</f>
        <v>82.76</v>
      </c>
      <c r="E12751" s="2">
        <v>60.02</v>
      </c>
      <c r="F12751" s="2">
        <v>2</v>
      </c>
      <c r="G12751" s="2" t="s">
        <v>9</v>
      </c>
    </row>
    <row r="12752" spans="1:7" x14ac:dyDescent="0.2">
      <c r="A12752" s="2" t="s">
        <v>3380</v>
      </c>
      <c r="B12752" s="2" t="s">
        <v>172</v>
      </c>
      <c r="C12752" s="2">
        <v>738.35310000000004</v>
      </c>
      <c r="D12752" s="2">
        <f>HYPERLINK("http://mcb-m6.bioreg.kyushu-u.ac.jp/M3/20110404/F50752/2103/1", 86.6)</f>
        <v>86.6</v>
      </c>
      <c r="E12752" s="2">
        <v>50.25</v>
      </c>
      <c r="F12752" s="2">
        <v>2</v>
      </c>
      <c r="G12752" s="2" t="s">
        <v>9</v>
      </c>
    </row>
    <row r="12753" spans="1:7" x14ac:dyDescent="0.2">
      <c r="A12753" s="2" t="s">
        <v>3380</v>
      </c>
      <c r="B12753" s="2" t="s">
        <v>172</v>
      </c>
      <c r="C12753" s="2">
        <v>738.84270000000004</v>
      </c>
      <c r="D12753" s="2">
        <f>HYPERLINK("http://mcb-m6.bioreg.kyushu-u.ac.jp/M3/20110404/F50765/1842/1", 89.24)</f>
        <v>89.24</v>
      </c>
      <c r="E12753" s="2">
        <v>41.56</v>
      </c>
      <c r="F12753" s="2">
        <v>2</v>
      </c>
      <c r="G12753" s="2" t="s">
        <v>9</v>
      </c>
    </row>
    <row r="12754" spans="1:7" x14ac:dyDescent="0.2">
      <c r="A12754" s="2" t="s">
        <v>3380</v>
      </c>
      <c r="B12754" s="2" t="s">
        <v>172</v>
      </c>
      <c r="C12754" s="2">
        <v>738.24659999999994</v>
      </c>
      <c r="D12754" s="2">
        <f>HYPERLINK("http://mcb-m6.bioreg.kyushu-u.ac.jp/M3/20110404/F50754/2107/1", 89.66)</f>
        <v>89.66</v>
      </c>
      <c r="E12754" s="2">
        <v>65.13</v>
      </c>
      <c r="F12754" s="2">
        <v>2</v>
      </c>
      <c r="G12754" s="2" t="s">
        <v>9</v>
      </c>
    </row>
    <row r="12755" spans="1:7" x14ac:dyDescent="0.2">
      <c r="A12755" s="2" t="s">
        <v>3380</v>
      </c>
      <c r="B12755" s="2" t="s">
        <v>172</v>
      </c>
      <c r="C12755" s="2">
        <v>738.25210000000004</v>
      </c>
      <c r="D12755" s="2">
        <f>HYPERLINK("http://mcb-m6.bioreg.kyushu-u.ac.jp/M3/20110404/F50767/1716/1", 92.27)</f>
        <v>92.27</v>
      </c>
      <c r="E12755" s="2">
        <v>67.84</v>
      </c>
      <c r="F12755" s="2">
        <v>2</v>
      </c>
      <c r="G12755" s="2" t="s">
        <v>9</v>
      </c>
    </row>
    <row r="12756" spans="1:7" x14ac:dyDescent="0.2">
      <c r="A12756" s="2" t="s">
        <v>3380</v>
      </c>
      <c r="B12756" s="2" t="s">
        <v>172</v>
      </c>
      <c r="C12756" s="2">
        <v>738.73019999999997</v>
      </c>
      <c r="D12756" s="2">
        <f>HYPERLINK("http://mcb-m6.bioreg.kyushu-u.ac.jp/M3/20110404/F50751/2110/1", 92.52)</f>
        <v>92.52</v>
      </c>
      <c r="E12756" s="2">
        <v>35.35</v>
      </c>
      <c r="F12756" s="2">
        <v>2</v>
      </c>
      <c r="G12756" s="2" t="s">
        <v>9</v>
      </c>
    </row>
    <row r="12757" spans="1:7" x14ac:dyDescent="0.2">
      <c r="A12757" s="2" t="s">
        <v>3380</v>
      </c>
      <c r="B12757" s="2" t="s">
        <v>172</v>
      </c>
      <c r="C12757" s="2">
        <v>738.7867</v>
      </c>
      <c r="D12757" s="2">
        <f>HYPERLINK("http://mcb-m6.bioreg.kyushu-u.ac.jp/M3/20110404/F50754/2111/1", 95.03)</f>
        <v>95.03</v>
      </c>
      <c r="E12757" s="2">
        <v>48.04</v>
      </c>
      <c r="F12757" s="2">
        <v>2</v>
      </c>
      <c r="G12757" s="2" t="s">
        <v>9</v>
      </c>
    </row>
    <row r="12758" spans="1:7" x14ac:dyDescent="0.2">
      <c r="A12758" s="2" t="s">
        <v>3380</v>
      </c>
      <c r="B12758" s="2" t="s">
        <v>172</v>
      </c>
      <c r="C12758" s="2">
        <v>738.33619999999996</v>
      </c>
      <c r="D12758" s="2">
        <f>HYPERLINK("http://mcb-m6.bioreg.kyushu-u.ac.jp/M3/20110404/F50765/1835/1", 98.65)</f>
        <v>98.65</v>
      </c>
      <c r="E12758" s="2">
        <v>62.44</v>
      </c>
      <c r="F12758" s="2">
        <v>2</v>
      </c>
      <c r="G12758" s="2" t="s">
        <v>9</v>
      </c>
    </row>
    <row r="12759" spans="1:7" x14ac:dyDescent="0.2">
      <c r="A12759" s="2" t="s">
        <v>3380</v>
      </c>
      <c r="B12759" s="2" t="s">
        <v>172</v>
      </c>
      <c r="C12759" s="2">
        <v>738.27419999999995</v>
      </c>
      <c r="D12759" s="2">
        <f>HYPERLINK("http://mcb-m6.bioreg.kyushu-u.ac.jp/M3/20110404/F50758/1902/1", 50.12)</f>
        <v>50.12</v>
      </c>
      <c r="E12759" s="2">
        <v>28.25</v>
      </c>
      <c r="F12759" s="2">
        <v>2</v>
      </c>
      <c r="G12759" s="2" t="s">
        <v>10</v>
      </c>
    </row>
    <row r="12760" spans="1:7" x14ac:dyDescent="0.2">
      <c r="A12760" s="2" t="s">
        <v>3380</v>
      </c>
      <c r="B12760" s="2" t="s">
        <v>172</v>
      </c>
      <c r="C12760" s="2">
        <v>738.32320000000004</v>
      </c>
      <c r="D12760" s="2">
        <f>HYPERLINK("http://mcb-m6.bioreg.kyushu-u.ac.jp/M3/20110404/F50761/1828/1", 60.11)</f>
        <v>60.11</v>
      </c>
      <c r="E12760" s="2">
        <v>31.12</v>
      </c>
      <c r="F12760" s="2">
        <v>2</v>
      </c>
      <c r="G12760" s="2" t="s">
        <v>10</v>
      </c>
    </row>
    <row r="12761" spans="1:7" x14ac:dyDescent="0.2">
      <c r="A12761" s="2" t="s">
        <v>3380</v>
      </c>
      <c r="B12761" s="2" t="s">
        <v>172</v>
      </c>
      <c r="C12761" s="2">
        <v>738.26120000000003</v>
      </c>
      <c r="D12761" s="2">
        <f>HYPERLINK("http://mcb-m6.bioreg.kyushu-u.ac.jp/M3/20110404/F50769/1980/1", 65.5)</f>
        <v>65.5</v>
      </c>
      <c r="E12761" s="2">
        <v>39.28</v>
      </c>
      <c r="F12761" s="2">
        <v>2</v>
      </c>
      <c r="G12761" s="2" t="s">
        <v>10</v>
      </c>
    </row>
    <row r="12762" spans="1:7" x14ac:dyDescent="0.2">
      <c r="A12762" s="2" t="s">
        <v>3380</v>
      </c>
      <c r="B12762" s="2" t="s">
        <v>172</v>
      </c>
      <c r="C12762" s="2">
        <v>738.25519999999995</v>
      </c>
      <c r="D12762" s="2">
        <f>HYPERLINK("http://mcb-m6.bioreg.kyushu-u.ac.jp/M3/20110404/F50771/1887/1", 66.12)</f>
        <v>66.12</v>
      </c>
      <c r="E12762" s="2">
        <v>43.64</v>
      </c>
      <c r="F12762" s="2">
        <v>2</v>
      </c>
      <c r="G12762" s="2" t="s">
        <v>10</v>
      </c>
    </row>
    <row r="12763" spans="1:7" x14ac:dyDescent="0.2">
      <c r="A12763" s="2" t="s">
        <v>3380</v>
      </c>
      <c r="B12763" s="2" t="s">
        <v>172</v>
      </c>
      <c r="C12763" s="2">
        <v>738.90120000000002</v>
      </c>
      <c r="D12763" s="2">
        <f>HYPERLINK("http://mcb-m6.bioreg.kyushu-u.ac.jp/M3/20110404/F50775/1949/1", 66.74)</f>
        <v>66.739999999999995</v>
      </c>
      <c r="E12763" s="2">
        <v>12.87</v>
      </c>
      <c r="F12763" s="2">
        <v>2</v>
      </c>
      <c r="G12763" s="2" t="s">
        <v>10</v>
      </c>
    </row>
    <row r="12764" spans="1:7" x14ac:dyDescent="0.2">
      <c r="A12764" s="2" t="s">
        <v>3380</v>
      </c>
      <c r="B12764" s="2" t="s">
        <v>172</v>
      </c>
      <c r="C12764" s="2">
        <v>738.35609999999997</v>
      </c>
      <c r="D12764" s="2">
        <f>HYPERLINK("http://mcb-m6.bioreg.kyushu-u.ac.jp/M3/20110404/F50760/1842/1", 67.73)</f>
        <v>67.73</v>
      </c>
      <c r="E12764" s="2">
        <v>45.23</v>
      </c>
      <c r="F12764" s="2">
        <v>2</v>
      </c>
      <c r="G12764" s="2" t="s">
        <v>10</v>
      </c>
    </row>
    <row r="12765" spans="1:7" x14ac:dyDescent="0.2">
      <c r="A12765" s="2" t="s">
        <v>3380</v>
      </c>
      <c r="B12765" s="2" t="s">
        <v>172</v>
      </c>
      <c r="C12765" s="2">
        <v>738.51869999999997</v>
      </c>
      <c r="D12765" s="2">
        <f>HYPERLINK("http://mcb-m6.bioreg.kyushu-u.ac.jp/M3/20110404/F50772/1910/1", 69.89)</f>
        <v>69.89</v>
      </c>
      <c r="E12765" s="2">
        <v>33.96</v>
      </c>
      <c r="F12765" s="2">
        <v>2</v>
      </c>
      <c r="G12765" s="2" t="s">
        <v>10</v>
      </c>
    </row>
    <row r="12766" spans="1:7" x14ac:dyDescent="0.2">
      <c r="A12766" s="2" t="s">
        <v>3380</v>
      </c>
      <c r="B12766" s="2" t="s">
        <v>172</v>
      </c>
      <c r="C12766" s="2">
        <v>738.36720000000003</v>
      </c>
      <c r="D12766" s="2">
        <f>HYPERLINK("http://mcb-m6.bioreg.kyushu-u.ac.jp/M3/20110404/F50782/1792/1", 74.33)</f>
        <v>74.33</v>
      </c>
      <c r="E12766" s="2">
        <v>48.52</v>
      </c>
      <c r="F12766" s="2">
        <v>2</v>
      </c>
      <c r="G12766" s="2" t="s">
        <v>10</v>
      </c>
    </row>
    <row r="12767" spans="1:7" x14ac:dyDescent="0.2">
      <c r="A12767" s="2" t="s">
        <v>3380</v>
      </c>
      <c r="B12767" s="2" t="s">
        <v>172</v>
      </c>
      <c r="C12767" s="2">
        <v>738.97059999999999</v>
      </c>
      <c r="D12767" s="2">
        <f>HYPERLINK("http://mcb-m6.bioreg.kyushu-u.ac.jp/M3/20110404/F50773/1830/1", 76.6)</f>
        <v>76.599999999999994</v>
      </c>
      <c r="E12767" s="2">
        <v>13.25</v>
      </c>
      <c r="F12767" s="2">
        <v>2</v>
      </c>
      <c r="G12767" s="2" t="s">
        <v>10</v>
      </c>
    </row>
    <row r="12768" spans="1:7" x14ac:dyDescent="0.2">
      <c r="A12768" s="2" t="s">
        <v>3380</v>
      </c>
      <c r="B12768" s="2" t="s">
        <v>172</v>
      </c>
      <c r="C12768" s="2">
        <v>738.85220000000004</v>
      </c>
      <c r="D12768" s="2">
        <f>HYPERLINK("http://mcb-m6.bioreg.kyushu-u.ac.jp/M3/20110404/F50770/1926/1", 78.33)</f>
        <v>78.33</v>
      </c>
      <c r="E12768" s="2">
        <v>26.23</v>
      </c>
      <c r="F12768" s="2">
        <v>2</v>
      </c>
      <c r="G12768" s="2" t="s">
        <v>10</v>
      </c>
    </row>
    <row r="12769" spans="1:7" x14ac:dyDescent="0.2">
      <c r="A12769" s="2" t="s">
        <v>3380</v>
      </c>
      <c r="B12769" s="2" t="s">
        <v>172</v>
      </c>
      <c r="C12769" s="2">
        <v>738.57510000000002</v>
      </c>
      <c r="D12769" s="2">
        <f>HYPERLINK("http://mcb-m6.bioreg.kyushu-u.ac.jp/M3/20110404/F50774/1875/1", 81.97)</f>
        <v>81.97</v>
      </c>
      <c r="E12769" s="2">
        <v>24.81</v>
      </c>
      <c r="F12769" s="2">
        <v>2</v>
      </c>
      <c r="G12769" s="2" t="s">
        <v>10</v>
      </c>
    </row>
    <row r="12770" spans="1:7" x14ac:dyDescent="0.2">
      <c r="A12770" s="2" t="s">
        <v>3380</v>
      </c>
      <c r="B12770" s="2" t="s">
        <v>172</v>
      </c>
      <c r="C12770" s="2">
        <v>738.80020000000002</v>
      </c>
      <c r="D12770" s="2">
        <f>HYPERLINK("http://mcb-m6.bioreg.kyushu-u.ac.jp/M3/20110404/F50768/1884/1", 91.89)</f>
        <v>91.89</v>
      </c>
      <c r="E12770" s="2">
        <v>35.72</v>
      </c>
      <c r="F12770" s="2">
        <v>2</v>
      </c>
      <c r="G12770" s="2" t="s">
        <v>10</v>
      </c>
    </row>
    <row r="12771" spans="1:7" x14ac:dyDescent="0.2">
      <c r="A12771" s="2" t="s">
        <v>3380</v>
      </c>
      <c r="B12771" s="2" t="s">
        <v>172</v>
      </c>
      <c r="C12771" s="2">
        <v>738.28269999999998</v>
      </c>
      <c r="D12771" s="2">
        <f>HYPERLINK("http://mcb-m6.bioreg.kyushu-u.ac.jp/M3/20110404/F50768/1883/1", 95.41)</f>
        <v>95.41</v>
      </c>
      <c r="E12771" s="2">
        <v>69.02</v>
      </c>
      <c r="F12771" s="2">
        <v>2</v>
      </c>
      <c r="G12771" s="2" t="s">
        <v>10</v>
      </c>
    </row>
    <row r="12772" spans="1:7" x14ac:dyDescent="0.2">
      <c r="A12772" s="2" t="s">
        <v>3380</v>
      </c>
      <c r="B12772" s="2" t="s">
        <v>172</v>
      </c>
      <c r="C12772" s="2">
        <v>738.38120000000004</v>
      </c>
      <c r="D12772" s="2">
        <f>HYPERLINK("http://mcb-m6.bioreg.kyushu-u.ac.jp/M3/20110421/F51035/1978/1", 57.66)</f>
        <v>57.66</v>
      </c>
      <c r="E12772" s="2">
        <v>37.729999999999997</v>
      </c>
      <c r="F12772" s="2">
        <v>2</v>
      </c>
      <c r="G12772" s="2" t="s">
        <v>11</v>
      </c>
    </row>
    <row r="12773" spans="1:7" x14ac:dyDescent="0.2">
      <c r="A12773" s="2" t="s">
        <v>3380</v>
      </c>
      <c r="B12773" s="2" t="s">
        <v>172</v>
      </c>
      <c r="C12773" s="2">
        <v>738.90120000000002</v>
      </c>
      <c r="D12773" s="2">
        <f>HYPERLINK("http://mcb-m6.bioreg.kyushu-u.ac.jp/M3/20110421/F51020/2017/1", 69.51)</f>
        <v>69.510000000000005</v>
      </c>
      <c r="E12773" s="2">
        <v>19.84</v>
      </c>
      <c r="F12773" s="2">
        <v>2</v>
      </c>
      <c r="G12773" s="2" t="s">
        <v>11</v>
      </c>
    </row>
    <row r="12774" spans="1:7" x14ac:dyDescent="0.2">
      <c r="A12774" s="2" t="s">
        <v>3380</v>
      </c>
      <c r="B12774" s="2" t="s">
        <v>172</v>
      </c>
      <c r="C12774" s="2">
        <v>738.18020000000001</v>
      </c>
      <c r="D12774" s="2">
        <f>HYPERLINK("http://mcb-m6.bioreg.kyushu-u.ac.jp/M3/20110421/F51016/2069/1", 72.2)</f>
        <v>72.2</v>
      </c>
      <c r="E12774" s="2">
        <v>51.31</v>
      </c>
      <c r="F12774" s="2">
        <v>2</v>
      </c>
      <c r="G12774" s="2" t="s">
        <v>11</v>
      </c>
    </row>
    <row r="12775" spans="1:7" x14ac:dyDescent="0.2">
      <c r="A12775" s="2" t="s">
        <v>3380</v>
      </c>
      <c r="B12775" s="2" t="s">
        <v>172</v>
      </c>
      <c r="C12775" s="2">
        <v>738.19370000000004</v>
      </c>
      <c r="D12775" s="2">
        <f>HYPERLINK("http://mcb-m6.bioreg.kyushu-u.ac.jp/M3/20110421/F51015/2052/1", 76.59)</f>
        <v>76.59</v>
      </c>
      <c r="E12775" s="2">
        <v>48.26</v>
      </c>
      <c r="F12775" s="2">
        <v>2</v>
      </c>
      <c r="G12775" s="2" t="s">
        <v>11</v>
      </c>
    </row>
    <row r="12776" spans="1:7" x14ac:dyDescent="0.2">
      <c r="A12776" s="2" t="s">
        <v>3380</v>
      </c>
      <c r="B12776" s="2" t="s">
        <v>172</v>
      </c>
      <c r="C12776" s="2">
        <v>738.70619999999997</v>
      </c>
      <c r="D12776" s="2">
        <f>HYPERLINK("http://mcb-m6.bioreg.kyushu-u.ac.jp/M3/20110421/F51034/2033/1", 78.39)</f>
        <v>78.39</v>
      </c>
      <c r="E12776" s="2">
        <v>15.6</v>
      </c>
      <c r="F12776" s="2">
        <v>2</v>
      </c>
      <c r="G12776" s="2" t="s">
        <v>11</v>
      </c>
    </row>
    <row r="12777" spans="1:7" x14ac:dyDescent="0.2">
      <c r="A12777" s="2" t="s">
        <v>3380</v>
      </c>
      <c r="B12777" s="2" t="s">
        <v>172</v>
      </c>
      <c r="C12777" s="2">
        <v>738.42769999999996</v>
      </c>
      <c r="D12777" s="2">
        <f>HYPERLINK("http://mcb-m6.bioreg.kyushu-u.ac.jp/M3/20110421/F51035/1979/1", 79.81)</f>
        <v>79.81</v>
      </c>
      <c r="E12777" s="2">
        <v>56.97</v>
      </c>
      <c r="F12777" s="2">
        <v>2</v>
      </c>
      <c r="G12777" s="2" t="s">
        <v>11</v>
      </c>
    </row>
    <row r="12778" spans="1:7" x14ac:dyDescent="0.2">
      <c r="A12778" s="2" t="s">
        <v>3380</v>
      </c>
      <c r="B12778" s="2" t="s">
        <v>172</v>
      </c>
      <c r="C12778" s="2">
        <v>738.28060000000005</v>
      </c>
      <c r="D12778" s="2">
        <f>HYPERLINK("http://mcb-m6.bioreg.kyushu-u.ac.jp/M3/20110421/F51039/2056/1", 82.87)</f>
        <v>82.87</v>
      </c>
      <c r="E12778" s="2">
        <v>55.99</v>
      </c>
      <c r="F12778" s="2">
        <v>2</v>
      </c>
      <c r="G12778" s="2" t="s">
        <v>11</v>
      </c>
    </row>
    <row r="12779" spans="1:7" x14ac:dyDescent="0.2">
      <c r="A12779" s="2" t="s">
        <v>3380</v>
      </c>
      <c r="B12779" s="2" t="s">
        <v>172</v>
      </c>
      <c r="C12779" s="2">
        <v>738.60860000000002</v>
      </c>
      <c r="D12779" s="2">
        <f>HYPERLINK("http://mcb-m6.bioreg.kyushu-u.ac.jp/M3/20110421/F51014/2110/1", 84.43)</f>
        <v>84.43</v>
      </c>
      <c r="E12779" s="2">
        <v>27.02</v>
      </c>
      <c r="F12779" s="2">
        <v>2</v>
      </c>
      <c r="G12779" s="2" t="s">
        <v>11</v>
      </c>
    </row>
    <row r="12780" spans="1:7" x14ac:dyDescent="0.2">
      <c r="A12780" s="2" t="s">
        <v>3380</v>
      </c>
      <c r="B12780" s="2" t="s">
        <v>172</v>
      </c>
      <c r="C12780" s="2">
        <v>738.31269999999995</v>
      </c>
      <c r="D12780" s="2">
        <f>HYPERLINK("http://mcb-m6.bioreg.kyushu-u.ac.jp/M3/20110421/F51037/1986/1", 87.37)</f>
        <v>87.37</v>
      </c>
      <c r="E12780" s="2">
        <v>58.93</v>
      </c>
      <c r="F12780" s="2">
        <v>2</v>
      </c>
      <c r="G12780" s="2" t="s">
        <v>11</v>
      </c>
    </row>
    <row r="12781" spans="1:7" x14ac:dyDescent="0.2">
      <c r="A12781" s="2" t="s">
        <v>3380</v>
      </c>
      <c r="B12781" s="2" t="s">
        <v>172</v>
      </c>
      <c r="C12781" s="2">
        <v>738.17570000000001</v>
      </c>
      <c r="D12781" s="2">
        <f>HYPERLINK("http://mcb-m6.bioreg.kyushu-u.ac.jp/M3/20110421/F51017/2021/1", 89.49)</f>
        <v>89.49</v>
      </c>
      <c r="E12781" s="2">
        <v>62.17</v>
      </c>
      <c r="F12781" s="2">
        <v>2</v>
      </c>
      <c r="G12781" s="2" t="s">
        <v>11</v>
      </c>
    </row>
    <row r="12782" spans="1:7" x14ac:dyDescent="0.2">
      <c r="A12782" s="2" t="s">
        <v>3380</v>
      </c>
      <c r="B12782" s="2" t="s">
        <v>172</v>
      </c>
      <c r="C12782" s="2">
        <v>738.82920000000001</v>
      </c>
      <c r="D12782" s="2">
        <f>HYPERLINK("http://mcb-m6.bioreg.kyushu-u.ac.jp/M3/20110421/F51042/1903/1", 91.49)</f>
        <v>91.49</v>
      </c>
      <c r="E12782" s="2">
        <v>41.51</v>
      </c>
      <c r="F12782" s="2">
        <v>2</v>
      </c>
      <c r="G12782" s="2" t="s">
        <v>11</v>
      </c>
    </row>
    <row r="12783" spans="1:7" x14ac:dyDescent="0.2">
      <c r="A12783" s="2" t="s">
        <v>3380</v>
      </c>
      <c r="B12783" s="2" t="s">
        <v>172</v>
      </c>
      <c r="C12783" s="2">
        <v>738.36270000000002</v>
      </c>
      <c r="D12783" s="2">
        <f>HYPERLINK("http://mcb-m6.bioreg.kyushu-u.ac.jp/M3/20110421/F51020/2014/1", 92.13)</f>
        <v>92.13</v>
      </c>
      <c r="E12783" s="2">
        <v>61.5</v>
      </c>
      <c r="F12783" s="2">
        <v>2</v>
      </c>
      <c r="G12783" s="2" t="s">
        <v>11</v>
      </c>
    </row>
    <row r="12784" spans="1:7" x14ac:dyDescent="0.2">
      <c r="A12784" s="2" t="s">
        <v>3380</v>
      </c>
      <c r="B12784" s="2" t="s">
        <v>172</v>
      </c>
      <c r="C12784" s="2">
        <v>738.34310000000005</v>
      </c>
      <c r="D12784" s="2">
        <f>HYPERLINK("http://mcb-m6.bioreg.kyushu-u.ac.jp/M3/20110421/F51040/2038/1", 95.41)</f>
        <v>95.41</v>
      </c>
      <c r="E12784" s="2">
        <v>68.900000000000006</v>
      </c>
      <c r="F12784" s="2">
        <v>2</v>
      </c>
      <c r="G12784" s="2" t="s">
        <v>11</v>
      </c>
    </row>
    <row r="12785" spans="1:7" x14ac:dyDescent="0.2">
      <c r="A12785" s="2" t="s">
        <v>3380</v>
      </c>
      <c r="B12785" s="2" t="s">
        <v>172</v>
      </c>
      <c r="C12785" s="2">
        <v>738.06569999999999</v>
      </c>
      <c r="D12785" s="2">
        <f>HYPERLINK("http://mcb-m6.bioreg.kyushu-u.ac.jp/M3/20110421/F51014/2108/1", 95.49)</f>
        <v>95.49</v>
      </c>
      <c r="E12785" s="2">
        <v>65.45</v>
      </c>
      <c r="F12785" s="2">
        <v>2</v>
      </c>
      <c r="G12785" s="2" t="s">
        <v>11</v>
      </c>
    </row>
    <row r="12786" spans="1:7" x14ac:dyDescent="0.2">
      <c r="A12786" s="2" t="s">
        <v>3380</v>
      </c>
      <c r="B12786" s="2" t="s">
        <v>172</v>
      </c>
      <c r="C12786" s="2">
        <v>738.26919999999996</v>
      </c>
      <c r="D12786" s="2">
        <f>HYPERLINK("http://mcb-m6.bioreg.kyushu-u.ac.jp/M3/20110421/F51018/2102/1", 105.57)</f>
        <v>105.57</v>
      </c>
      <c r="E12786" s="2">
        <v>71.64</v>
      </c>
      <c r="F12786" s="2">
        <v>2</v>
      </c>
      <c r="G12786" s="2" t="s">
        <v>11</v>
      </c>
    </row>
    <row r="12787" spans="1:7" x14ac:dyDescent="0.2">
      <c r="A12787" s="2" t="s">
        <v>3380</v>
      </c>
      <c r="B12787" s="2" t="s">
        <v>172</v>
      </c>
      <c r="C12787" s="2">
        <v>738.47519999999997</v>
      </c>
      <c r="D12787" s="2">
        <f>HYPERLINK("http://mcb-m6.bioreg.kyushu-u.ac.jp/M3/20110421/F51048/2181/1", 39.39)</f>
        <v>39.39</v>
      </c>
      <c r="E12787" s="2">
        <v>20.46</v>
      </c>
      <c r="F12787" s="2">
        <v>2</v>
      </c>
      <c r="G12787" s="2" t="s">
        <v>12</v>
      </c>
    </row>
    <row r="12788" spans="1:7" x14ac:dyDescent="0.2">
      <c r="A12788" s="2" t="s">
        <v>3380</v>
      </c>
      <c r="B12788" s="2" t="s">
        <v>172</v>
      </c>
      <c r="C12788" s="2">
        <v>738.29610000000002</v>
      </c>
      <c r="D12788" s="2">
        <f>HYPERLINK("http://mcb-m6.bioreg.kyushu-u.ac.jp/M3/20110421/F51024/2132/1", 44.54)</f>
        <v>44.54</v>
      </c>
      <c r="E12788" s="2">
        <v>25.42</v>
      </c>
      <c r="F12788" s="2">
        <v>2</v>
      </c>
      <c r="G12788" s="2" t="s">
        <v>12</v>
      </c>
    </row>
    <row r="12789" spans="1:7" x14ac:dyDescent="0.2">
      <c r="A12789" s="2" t="s">
        <v>3380</v>
      </c>
      <c r="B12789" s="2" t="s">
        <v>172</v>
      </c>
      <c r="C12789" s="2">
        <v>738.2577</v>
      </c>
      <c r="D12789" s="2">
        <f>HYPERLINK("http://mcb-m6.bioreg.kyushu-u.ac.jp/M3/20110421/F51025/2015/1", 45.91)</f>
        <v>45.91</v>
      </c>
      <c r="E12789" s="2">
        <v>26.01</v>
      </c>
      <c r="F12789" s="2">
        <v>2</v>
      </c>
      <c r="G12789" s="2" t="s">
        <v>12</v>
      </c>
    </row>
    <row r="12790" spans="1:7" x14ac:dyDescent="0.2">
      <c r="A12790" s="2" t="s">
        <v>3380</v>
      </c>
      <c r="B12790" s="2" t="s">
        <v>172</v>
      </c>
      <c r="C12790" s="2">
        <v>738.80909999999994</v>
      </c>
      <c r="D12790" s="2">
        <f>HYPERLINK("http://mcb-m6.bioreg.kyushu-u.ac.jp/M3/20110421/F51023/2086/1", 47.47)</f>
        <v>47.47</v>
      </c>
      <c r="E12790" s="2">
        <v>17.77</v>
      </c>
      <c r="F12790" s="2">
        <v>2</v>
      </c>
      <c r="G12790" s="2" t="s">
        <v>12</v>
      </c>
    </row>
    <row r="12791" spans="1:7" x14ac:dyDescent="0.2">
      <c r="A12791" s="2" t="s">
        <v>3380</v>
      </c>
      <c r="B12791" s="2" t="s">
        <v>172</v>
      </c>
      <c r="C12791" s="2">
        <v>1475.5820000000001</v>
      </c>
      <c r="D12791" s="2">
        <f>HYPERLINK("http://mcb-m6.bioreg.kyushu-u.ac.jp/M3/20110421/F51021/2063/1", 48.65)</f>
        <v>48.65</v>
      </c>
      <c r="E12791" s="2">
        <v>28.39</v>
      </c>
      <c r="F12791" s="2">
        <v>1</v>
      </c>
      <c r="G12791" s="2" t="s">
        <v>12</v>
      </c>
    </row>
    <row r="12792" spans="1:7" x14ac:dyDescent="0.2">
      <c r="A12792" s="2" t="s">
        <v>3380</v>
      </c>
      <c r="B12792" s="2" t="s">
        <v>172</v>
      </c>
      <c r="C12792" s="2">
        <v>738.30359999999996</v>
      </c>
      <c r="D12792" s="2">
        <f>HYPERLINK("http://mcb-m6.bioreg.kyushu-u.ac.jp/M3/20110421/F51023/2084/1", 49.37)</f>
        <v>49.37</v>
      </c>
      <c r="E12792" s="2">
        <v>21.39</v>
      </c>
      <c r="F12792" s="2">
        <v>2</v>
      </c>
      <c r="G12792" s="2" t="s">
        <v>12</v>
      </c>
    </row>
    <row r="12793" spans="1:7" x14ac:dyDescent="0.2">
      <c r="A12793" s="2" t="s">
        <v>3380</v>
      </c>
      <c r="B12793" s="2" t="s">
        <v>172</v>
      </c>
      <c r="C12793" s="2">
        <v>738.49270000000001</v>
      </c>
      <c r="D12793" s="2">
        <f>HYPERLINK("http://mcb-m6.bioreg.kyushu-u.ac.jp/M3/20110421/F51045/2161/1", 51.9)</f>
        <v>51.9</v>
      </c>
      <c r="E12793" s="2">
        <v>27.89</v>
      </c>
      <c r="F12793" s="2">
        <v>2</v>
      </c>
      <c r="G12793" s="2" t="s">
        <v>12</v>
      </c>
    </row>
    <row r="12794" spans="1:7" x14ac:dyDescent="0.2">
      <c r="A12794" s="2" t="s">
        <v>3380</v>
      </c>
      <c r="B12794" s="2" t="s">
        <v>172</v>
      </c>
      <c r="C12794" s="2">
        <v>738.51459999999997</v>
      </c>
      <c r="D12794" s="2">
        <f>HYPERLINK("http://mcb-m6.bioreg.kyushu-u.ac.jp/M3/20110421/F51047/2131/1", 64.72)</f>
        <v>64.72</v>
      </c>
      <c r="E12794" s="2">
        <v>40.67</v>
      </c>
      <c r="F12794" s="2">
        <v>2</v>
      </c>
      <c r="G12794" s="2" t="s">
        <v>12</v>
      </c>
    </row>
    <row r="12795" spans="1:7" x14ac:dyDescent="0.2">
      <c r="A12795" s="2" t="s">
        <v>3380</v>
      </c>
      <c r="B12795" s="2" t="s">
        <v>172</v>
      </c>
      <c r="C12795" s="2">
        <v>738.79359999999997</v>
      </c>
      <c r="D12795" s="2">
        <f>HYPERLINK("http://mcb-m6.bioreg.kyushu-u.ac.jp/M3/20110421/F51061/1950/1", 66.04)</f>
        <v>66.040000000000006</v>
      </c>
      <c r="E12795" s="2">
        <v>28.01</v>
      </c>
      <c r="F12795" s="2">
        <v>2</v>
      </c>
      <c r="G12795" s="2" t="s">
        <v>12</v>
      </c>
    </row>
    <row r="12796" spans="1:7" x14ac:dyDescent="0.2">
      <c r="A12796" s="2" t="s">
        <v>3380</v>
      </c>
      <c r="B12796" s="2" t="s">
        <v>172</v>
      </c>
      <c r="C12796" s="2">
        <v>738.84270000000004</v>
      </c>
      <c r="D12796" s="2">
        <f>HYPERLINK("http://mcb-m6.bioreg.kyushu-u.ac.jp/M3/20110421/F51024/2136/1", 72.76)</f>
        <v>72.760000000000005</v>
      </c>
      <c r="E12796" s="2">
        <v>25.95</v>
      </c>
      <c r="F12796" s="2">
        <v>2</v>
      </c>
      <c r="G12796" s="2" t="s">
        <v>12</v>
      </c>
    </row>
    <row r="12797" spans="1:7" x14ac:dyDescent="0.2">
      <c r="A12797" s="2" t="s">
        <v>3380</v>
      </c>
      <c r="B12797" s="2" t="s">
        <v>172</v>
      </c>
      <c r="C12797" s="2">
        <v>738.91309999999999</v>
      </c>
      <c r="D12797" s="2">
        <f>HYPERLINK("http://mcb-m6.bioreg.kyushu-u.ac.jp/M3/20110421/F51061/1952/1", 78.05)</f>
        <v>78.05</v>
      </c>
      <c r="E12797" s="2">
        <v>26.45</v>
      </c>
      <c r="F12797" s="2">
        <v>2</v>
      </c>
      <c r="G12797" s="2" t="s">
        <v>12</v>
      </c>
    </row>
    <row r="12798" spans="1:7" x14ac:dyDescent="0.2">
      <c r="A12798" s="2" t="s">
        <v>3380</v>
      </c>
      <c r="B12798" s="2" t="s">
        <v>172</v>
      </c>
      <c r="C12798" s="2">
        <v>738.08870000000002</v>
      </c>
      <c r="D12798" s="2">
        <f>HYPERLINK("http://mcb-m6.bioreg.kyushu-u.ac.jp/M3/20110421/F51061/1947/1", 83.13)</f>
        <v>83.13</v>
      </c>
      <c r="E12798" s="2">
        <v>58.98</v>
      </c>
      <c r="F12798" s="2">
        <v>2</v>
      </c>
      <c r="G12798" s="2" t="s">
        <v>12</v>
      </c>
    </row>
    <row r="12799" spans="1:7" x14ac:dyDescent="0.2">
      <c r="A12799" s="2" t="s">
        <v>3380</v>
      </c>
      <c r="B12799" s="2" t="s">
        <v>172</v>
      </c>
      <c r="C12799" s="2">
        <v>738.24659999999994</v>
      </c>
      <c r="D12799" s="2">
        <f>HYPERLINK("http://mcb-m6.bioreg.kyushu-u.ac.jp/M3/20110421/F51022/2009/1", 83.72)</f>
        <v>83.72</v>
      </c>
      <c r="E12799" s="2">
        <v>59.54</v>
      </c>
      <c r="F12799" s="2">
        <v>2</v>
      </c>
      <c r="G12799" s="2" t="s">
        <v>12</v>
      </c>
    </row>
    <row r="12800" spans="1:7" x14ac:dyDescent="0.2">
      <c r="A12800" s="2" t="s">
        <v>3380</v>
      </c>
      <c r="B12800" s="2" t="s">
        <v>172</v>
      </c>
      <c r="C12800" s="2">
        <v>738.4547</v>
      </c>
      <c r="D12800" s="2">
        <f>HYPERLINK("http://mcb-m6.bioreg.kyushu-u.ac.jp/M3/20110421/F51050/2134/1", 86.86)</f>
        <v>86.86</v>
      </c>
      <c r="E12800" s="2">
        <v>48.44</v>
      </c>
      <c r="F12800" s="2">
        <v>2</v>
      </c>
      <c r="G12800" s="2" t="s">
        <v>12</v>
      </c>
    </row>
    <row r="12801" spans="1:7" x14ac:dyDescent="0.2">
      <c r="A12801" s="2" t="s">
        <v>3380</v>
      </c>
      <c r="B12801" s="2" t="s">
        <v>172</v>
      </c>
      <c r="C12801" s="2">
        <v>738.30619999999999</v>
      </c>
      <c r="D12801" s="2">
        <f>HYPERLINK("http://mcb-m6.bioreg.kyushu-u.ac.jp/M3/20110421/F51025/2018/1", 87.38)</f>
        <v>87.38</v>
      </c>
      <c r="E12801" s="2">
        <v>60.49</v>
      </c>
      <c r="F12801" s="2">
        <v>2</v>
      </c>
      <c r="G12801" s="2" t="s">
        <v>12</v>
      </c>
    </row>
    <row r="12802" spans="1:7" x14ac:dyDescent="0.2">
      <c r="A12802" s="2" t="s">
        <v>3380</v>
      </c>
      <c r="B12802" s="2" t="s">
        <v>172</v>
      </c>
      <c r="C12802" s="2">
        <v>738.28269999999998</v>
      </c>
      <c r="D12802" s="2">
        <f>HYPERLINK("http://mcb-m6.bioreg.kyushu-u.ac.jp/M3/20110421/F51021/2062/1", 89.42)</f>
        <v>89.42</v>
      </c>
      <c r="E12802" s="2">
        <v>62.88</v>
      </c>
      <c r="F12802" s="2">
        <v>2</v>
      </c>
      <c r="G12802" s="2" t="s">
        <v>12</v>
      </c>
    </row>
    <row r="12803" spans="1:7" x14ac:dyDescent="0.2">
      <c r="A12803" s="2" t="s">
        <v>3380</v>
      </c>
      <c r="B12803" s="2" t="s">
        <v>172</v>
      </c>
      <c r="C12803" s="2">
        <v>738.20719999999994</v>
      </c>
      <c r="D12803" s="2">
        <f>HYPERLINK("http://mcb-m6.bioreg.kyushu-u.ac.jp/M3/20110421/F51021/2059/1", 89.88)</f>
        <v>89.88</v>
      </c>
      <c r="E12803" s="2">
        <v>65.2</v>
      </c>
      <c r="F12803" s="2">
        <v>2</v>
      </c>
      <c r="G12803" s="2" t="s">
        <v>12</v>
      </c>
    </row>
    <row r="12804" spans="1:7" x14ac:dyDescent="0.2">
      <c r="A12804" s="2" t="s">
        <v>3380</v>
      </c>
      <c r="B12804" s="2" t="s">
        <v>172</v>
      </c>
      <c r="C12804" s="2">
        <v>738.05070000000001</v>
      </c>
      <c r="D12804" s="2">
        <f>HYPERLINK("http://mcb-m6.bioreg.kyushu-u.ac.jp/M3/20110421/F51044/2036/1", 91.02)</f>
        <v>91.02</v>
      </c>
      <c r="E12804" s="2">
        <v>62.44</v>
      </c>
      <c r="F12804" s="2">
        <v>2</v>
      </c>
      <c r="G12804" s="2" t="s">
        <v>12</v>
      </c>
    </row>
    <row r="12805" spans="1:7" x14ac:dyDescent="0.2">
      <c r="A12805" s="2" t="s">
        <v>3380</v>
      </c>
      <c r="B12805" s="2" t="s">
        <v>172</v>
      </c>
      <c r="C12805" s="2">
        <v>738.29859999999996</v>
      </c>
      <c r="D12805" s="2">
        <f>HYPERLINK("http://mcb-m6.bioreg.kyushu-u.ac.jp/M3/20110421/F51026/2049/1", 91.46)</f>
        <v>91.46</v>
      </c>
      <c r="E12805" s="2">
        <v>61.91</v>
      </c>
      <c r="F12805" s="2">
        <v>2</v>
      </c>
      <c r="G12805" s="2" t="s">
        <v>12</v>
      </c>
    </row>
    <row r="12806" spans="1:7" x14ac:dyDescent="0.2">
      <c r="A12806" s="2" t="s">
        <v>3380</v>
      </c>
      <c r="B12806" s="2" t="s">
        <v>172</v>
      </c>
      <c r="C12806" s="2">
        <v>738.79269999999997</v>
      </c>
      <c r="D12806" s="2">
        <f>HYPERLINK("http://mcb-m6.bioreg.kyushu-u.ac.jp/M3/20110421/F51022/2010/1", 92.13)</f>
        <v>92.13</v>
      </c>
      <c r="E12806" s="2">
        <v>43.19</v>
      </c>
      <c r="F12806" s="2">
        <v>2</v>
      </c>
      <c r="G12806" s="2" t="s">
        <v>12</v>
      </c>
    </row>
    <row r="12807" spans="1:7" x14ac:dyDescent="0.2">
      <c r="A12807" s="2" t="s">
        <v>3380</v>
      </c>
      <c r="B12807" s="2" t="s">
        <v>172</v>
      </c>
      <c r="C12807" s="2">
        <v>738.33069999999998</v>
      </c>
      <c r="D12807" s="2">
        <f>HYPERLINK("http://mcb-m6.bioreg.kyushu-u.ac.jp/M3/20110421/F51026/2050/1", 92.56)</f>
        <v>92.56</v>
      </c>
      <c r="E12807" s="2">
        <v>64.760000000000005</v>
      </c>
      <c r="F12807" s="2">
        <v>2</v>
      </c>
      <c r="G12807" s="2" t="s">
        <v>12</v>
      </c>
    </row>
    <row r="12808" spans="1:7" x14ac:dyDescent="0.2">
      <c r="A12808" s="2" t="s">
        <v>3380</v>
      </c>
      <c r="B12808" s="2" t="s">
        <v>172</v>
      </c>
      <c r="C12808" s="2">
        <v>738.83069999999998</v>
      </c>
      <c r="D12808" s="2">
        <f>HYPERLINK("http://mcb-m6.bioreg.kyushu-u.ac.jp/M3/20110421/F51044/2042/1", 95.1)</f>
        <v>95.1</v>
      </c>
      <c r="E12808" s="2">
        <v>30.35</v>
      </c>
      <c r="F12808" s="2">
        <v>2</v>
      </c>
      <c r="G12808" s="2" t="s">
        <v>12</v>
      </c>
    </row>
    <row r="12809" spans="1:7" x14ac:dyDescent="0.2">
      <c r="A12809" s="2" t="s">
        <v>3380</v>
      </c>
      <c r="B12809" s="2" t="s">
        <v>172</v>
      </c>
      <c r="C12809" s="2">
        <v>738.25959999999998</v>
      </c>
      <c r="D12809" s="2">
        <f>HYPERLINK("http://mcb-m6.bioreg.kyushu-u.ac.jp/M3/20110421/F51024/2131/1", 95.29)</f>
        <v>95.29</v>
      </c>
      <c r="E12809" s="2">
        <v>68.53</v>
      </c>
      <c r="F12809" s="2">
        <v>2</v>
      </c>
      <c r="G12809" s="2" t="s">
        <v>12</v>
      </c>
    </row>
    <row r="12810" spans="1:7" x14ac:dyDescent="0.2">
      <c r="A12810" s="2" t="s">
        <v>3380</v>
      </c>
      <c r="B12810" s="2" t="s">
        <v>172</v>
      </c>
      <c r="C12810" s="2">
        <v>738.42909999999995</v>
      </c>
      <c r="D12810" s="2">
        <f>HYPERLINK("http://mcb-m6.bioreg.kyushu-u.ac.jp/M3/20110421/F51043/2060/1", 100.66)</f>
        <v>100.66</v>
      </c>
      <c r="E12810" s="2">
        <v>53.98</v>
      </c>
      <c r="F12810" s="2">
        <v>2</v>
      </c>
      <c r="G12810" s="2" t="s">
        <v>12</v>
      </c>
    </row>
    <row r="12811" spans="1:7" x14ac:dyDescent="0.2">
      <c r="A12811" s="2" t="s">
        <v>3380</v>
      </c>
      <c r="B12811" s="2" t="s">
        <v>172</v>
      </c>
      <c r="C12811" s="2">
        <v>738.10919999999999</v>
      </c>
      <c r="D12811" s="2">
        <f>HYPERLINK("http://mcb-m6.bioreg.kyushu-u.ac.jp/M3/20110428/F51127/1864/1", 73.99)</f>
        <v>73.989999999999995</v>
      </c>
      <c r="E12811" s="2">
        <v>44.23</v>
      </c>
      <c r="F12811" s="2">
        <v>2</v>
      </c>
      <c r="G12811" s="2" t="s">
        <v>13</v>
      </c>
    </row>
    <row r="12812" spans="1:7" x14ac:dyDescent="0.2">
      <c r="A12812" s="2" t="s">
        <v>3380</v>
      </c>
      <c r="B12812" s="2" t="s">
        <v>172</v>
      </c>
      <c r="C12812" s="2">
        <v>738.24369999999999</v>
      </c>
      <c r="D12812" s="2">
        <f>HYPERLINK("http://mcb-m6.bioreg.kyushu-u.ac.jp/M3/20110428/F51133/1883/1", 74.54)</f>
        <v>74.540000000000006</v>
      </c>
      <c r="E12812" s="2">
        <v>42.56</v>
      </c>
      <c r="F12812" s="2">
        <v>2</v>
      </c>
      <c r="G12812" s="2" t="s">
        <v>13</v>
      </c>
    </row>
    <row r="12813" spans="1:7" x14ac:dyDescent="0.2">
      <c r="A12813" s="2" t="s">
        <v>3380</v>
      </c>
      <c r="B12813" s="2" t="s">
        <v>172</v>
      </c>
      <c r="C12813" s="2">
        <v>738.19119999999998</v>
      </c>
      <c r="D12813" s="2">
        <f>HYPERLINK("http://mcb-m6.bioreg.kyushu-u.ac.jp/M3/20110428/F51132/1977/1", 79.89)</f>
        <v>79.89</v>
      </c>
      <c r="E12813" s="2">
        <v>60.51</v>
      </c>
      <c r="F12813" s="2">
        <v>2</v>
      </c>
      <c r="G12813" s="2" t="s">
        <v>13</v>
      </c>
    </row>
    <row r="12814" spans="1:7" x14ac:dyDescent="0.2">
      <c r="A12814" s="2" t="s">
        <v>3380</v>
      </c>
      <c r="B12814" s="2" t="s">
        <v>172</v>
      </c>
      <c r="C12814" s="2">
        <v>738.20820000000003</v>
      </c>
      <c r="D12814" s="2">
        <f>HYPERLINK("http://mcb-m6.bioreg.kyushu-u.ac.jp/M3/20110427/F51110/2152/1", 83.36)</f>
        <v>83.36</v>
      </c>
      <c r="E12814" s="2">
        <v>56.8</v>
      </c>
      <c r="F12814" s="2">
        <v>2</v>
      </c>
      <c r="G12814" s="2" t="s">
        <v>13</v>
      </c>
    </row>
    <row r="12815" spans="1:7" x14ac:dyDescent="0.2">
      <c r="A12815" s="2" t="s">
        <v>3380</v>
      </c>
      <c r="B12815" s="2" t="s">
        <v>172</v>
      </c>
      <c r="C12815" s="2">
        <v>738.74659999999994</v>
      </c>
      <c r="D12815" s="2">
        <f>HYPERLINK("http://mcb-m6.bioreg.kyushu-u.ac.jp/M3/20110427/F51117/1976/1", 84.69)</f>
        <v>84.69</v>
      </c>
      <c r="E12815" s="2">
        <v>31.55</v>
      </c>
      <c r="F12815" s="2">
        <v>2</v>
      </c>
      <c r="G12815" s="2" t="s">
        <v>13</v>
      </c>
    </row>
    <row r="12816" spans="1:7" x14ac:dyDescent="0.2">
      <c r="A12816" s="2" t="s">
        <v>3380</v>
      </c>
      <c r="B12816" s="2" t="s">
        <v>172</v>
      </c>
      <c r="C12816" s="2">
        <v>738.2577</v>
      </c>
      <c r="D12816" s="2">
        <f>HYPERLINK("http://mcb-m6.bioreg.kyushu-u.ac.jp/M3/20110427/F51114/2037/1", 86.97)</f>
        <v>86.97</v>
      </c>
      <c r="E12816" s="2">
        <v>58.74</v>
      </c>
      <c r="F12816" s="2">
        <v>2</v>
      </c>
      <c r="G12816" s="2" t="s">
        <v>13</v>
      </c>
    </row>
    <row r="12817" spans="1:7" x14ac:dyDescent="0.2">
      <c r="A12817" s="2" t="s">
        <v>3380</v>
      </c>
      <c r="B12817" s="2" t="s">
        <v>172</v>
      </c>
      <c r="C12817" s="2">
        <v>738.74069999999995</v>
      </c>
      <c r="D12817" s="2">
        <f>HYPERLINK("http://mcb-m6.bioreg.kyushu-u.ac.jp/M3/20110427/F51108/2039/1", 88.51)</f>
        <v>88.51</v>
      </c>
      <c r="E12817" s="2">
        <v>29.27</v>
      </c>
      <c r="F12817" s="2">
        <v>2</v>
      </c>
      <c r="G12817" s="2" t="s">
        <v>13</v>
      </c>
    </row>
    <row r="12818" spans="1:7" x14ac:dyDescent="0.2">
      <c r="A12818" s="2" t="s">
        <v>3380</v>
      </c>
      <c r="B12818" s="2" t="s">
        <v>172</v>
      </c>
      <c r="C12818" s="2">
        <v>738.41859999999997</v>
      </c>
      <c r="D12818" s="2">
        <f>HYPERLINK("http://mcb-m6.bioreg.kyushu-u.ac.jp/M3/20110427/F51109/2098/1", 89.5)</f>
        <v>89.5</v>
      </c>
      <c r="E12818" s="2">
        <v>23.77</v>
      </c>
      <c r="F12818" s="2">
        <v>2</v>
      </c>
      <c r="G12818" s="2" t="s">
        <v>13</v>
      </c>
    </row>
    <row r="12819" spans="1:7" x14ac:dyDescent="0.2">
      <c r="A12819" s="2" t="s">
        <v>3380</v>
      </c>
      <c r="B12819" s="2" t="s">
        <v>172</v>
      </c>
      <c r="C12819" s="2">
        <v>738.22220000000004</v>
      </c>
      <c r="D12819" s="2">
        <f>HYPERLINK("http://mcb-m6.bioreg.kyushu-u.ac.jp/M3/20110427/F51113/1973/1", 90.41)</f>
        <v>90.41</v>
      </c>
      <c r="E12819" s="2">
        <v>64.87</v>
      </c>
      <c r="F12819" s="2">
        <v>2</v>
      </c>
      <c r="G12819" s="2" t="s">
        <v>13</v>
      </c>
    </row>
    <row r="12820" spans="1:7" x14ac:dyDescent="0.2">
      <c r="A12820" s="2" t="s">
        <v>3380</v>
      </c>
      <c r="B12820" s="2" t="s">
        <v>172</v>
      </c>
      <c r="C12820" s="2">
        <v>738.21559999999999</v>
      </c>
      <c r="D12820" s="2">
        <f>HYPERLINK("http://mcb-m6.bioreg.kyushu-u.ac.jp/M3/20110427/F51110/2153/1", 91.64)</f>
        <v>91.64</v>
      </c>
      <c r="E12820" s="2">
        <v>62.21</v>
      </c>
      <c r="F12820" s="2">
        <v>2</v>
      </c>
      <c r="G12820" s="2" t="s">
        <v>13</v>
      </c>
    </row>
    <row r="12821" spans="1:7" x14ac:dyDescent="0.2">
      <c r="A12821" s="2" t="s">
        <v>3380</v>
      </c>
      <c r="B12821" s="2" t="s">
        <v>172</v>
      </c>
      <c r="C12821" s="2">
        <v>738.23910000000001</v>
      </c>
      <c r="D12821" s="2">
        <f>HYPERLINK("http://mcb-m6.bioreg.kyushu-u.ac.jp/M3/20110427/F51112/2063/1", 92.65)</f>
        <v>92.65</v>
      </c>
      <c r="E12821" s="2">
        <v>66.98</v>
      </c>
      <c r="F12821" s="2">
        <v>2</v>
      </c>
      <c r="G12821" s="2" t="s">
        <v>13</v>
      </c>
    </row>
    <row r="12822" spans="1:7" x14ac:dyDescent="0.2">
      <c r="A12822" s="2" t="s">
        <v>3380</v>
      </c>
      <c r="B12822" s="2" t="s">
        <v>172</v>
      </c>
      <c r="C12822" s="2">
        <v>738.2432</v>
      </c>
      <c r="D12822" s="2">
        <f>HYPERLINK("http://mcb-m6.bioreg.kyushu-u.ac.jp/M3/20110427/F51115/1967/1", 96.62)</f>
        <v>96.62</v>
      </c>
      <c r="E12822" s="2">
        <v>70.72</v>
      </c>
      <c r="F12822" s="2">
        <v>2</v>
      </c>
      <c r="G12822" s="2" t="s">
        <v>13</v>
      </c>
    </row>
    <row r="12823" spans="1:7" x14ac:dyDescent="0.2">
      <c r="A12823" s="2" t="s">
        <v>3380</v>
      </c>
      <c r="B12823" s="2" t="s">
        <v>172</v>
      </c>
      <c r="C12823" s="2">
        <v>738.27760000000001</v>
      </c>
      <c r="D12823" s="2">
        <f>HYPERLINK("http://mcb-m6.bioreg.kyushu-u.ac.jp/M3/20110427/F51116/2028/1", 98.76)</f>
        <v>98.76</v>
      </c>
      <c r="E12823" s="2">
        <v>65.61</v>
      </c>
      <c r="F12823" s="2">
        <v>2</v>
      </c>
      <c r="G12823" s="2" t="s">
        <v>13</v>
      </c>
    </row>
    <row r="12824" spans="1:7" x14ac:dyDescent="0.2">
      <c r="A12824" s="2" t="s">
        <v>3380</v>
      </c>
      <c r="B12824" s="2" t="s">
        <v>172</v>
      </c>
      <c r="C12824" s="2">
        <v>738.17409999999995</v>
      </c>
      <c r="D12824" s="2">
        <f>HYPERLINK("http://mcb-m6.bioreg.kyushu-u.ac.jp/M3/20110427/F51108/2036/1", 98.87)</f>
        <v>98.87</v>
      </c>
      <c r="E12824" s="2">
        <v>68.45</v>
      </c>
      <c r="F12824" s="2">
        <v>2</v>
      </c>
      <c r="G12824" s="2" t="s">
        <v>13</v>
      </c>
    </row>
    <row r="12825" spans="1:7" x14ac:dyDescent="0.2">
      <c r="A12825" s="2" t="s">
        <v>3380</v>
      </c>
      <c r="B12825" s="2" t="s">
        <v>172</v>
      </c>
      <c r="C12825" s="2">
        <v>738.22969999999998</v>
      </c>
      <c r="D12825" s="2">
        <f>HYPERLINK("http://mcb-m6.bioreg.kyushu-u.ac.jp/M3/20110427/F51121/1998/1", 64.88)</f>
        <v>64.88</v>
      </c>
      <c r="E12825" s="2">
        <v>44.15</v>
      </c>
      <c r="F12825" s="2">
        <v>2</v>
      </c>
      <c r="G12825" s="2" t="s">
        <v>14</v>
      </c>
    </row>
    <row r="12826" spans="1:7" x14ac:dyDescent="0.2">
      <c r="A12826" s="2" t="s">
        <v>3380</v>
      </c>
      <c r="B12826" s="2" t="s">
        <v>172</v>
      </c>
      <c r="C12826" s="2">
        <v>738.83720000000005</v>
      </c>
      <c r="D12826" s="2">
        <f>HYPERLINK("http://mcb-m6.bioreg.kyushu-u.ac.jp/M3/20110427/F51120/2068/1", 76.23)</f>
        <v>76.23</v>
      </c>
      <c r="E12826" s="2">
        <v>23.11</v>
      </c>
      <c r="F12826" s="2">
        <v>2</v>
      </c>
      <c r="G12826" s="2" t="s">
        <v>14</v>
      </c>
    </row>
    <row r="12827" spans="1:7" x14ac:dyDescent="0.2">
      <c r="A12827" s="2" t="s">
        <v>3380</v>
      </c>
      <c r="B12827" s="2" t="s">
        <v>172</v>
      </c>
      <c r="C12827" s="2">
        <v>738.16060000000004</v>
      </c>
      <c r="D12827" s="2">
        <f>HYPERLINK("http://mcb-m6.bioreg.kyushu-u.ac.jp/M3/20110428/F51126/2052/1", 82.46)</f>
        <v>82.46</v>
      </c>
      <c r="E12827" s="2">
        <v>56.41</v>
      </c>
      <c r="F12827" s="2">
        <v>2</v>
      </c>
      <c r="G12827" s="2" t="s">
        <v>14</v>
      </c>
    </row>
    <row r="12828" spans="1:7" x14ac:dyDescent="0.2">
      <c r="A12828" s="2" t="s">
        <v>3380</v>
      </c>
      <c r="B12828" s="2" t="s">
        <v>172</v>
      </c>
      <c r="C12828" s="2">
        <v>738.18820000000005</v>
      </c>
      <c r="D12828" s="2">
        <f>HYPERLINK("http://mcb-m6.bioreg.kyushu-u.ac.jp/M3/20110427/F51125/2059/1", 83.19)</f>
        <v>83.19</v>
      </c>
      <c r="E12828" s="2">
        <v>59.78</v>
      </c>
      <c r="F12828" s="2">
        <v>2</v>
      </c>
      <c r="G12828" s="2" t="s">
        <v>14</v>
      </c>
    </row>
    <row r="12829" spans="1:7" x14ac:dyDescent="0.2">
      <c r="A12829" s="2" t="s">
        <v>3380</v>
      </c>
      <c r="B12829" s="2" t="s">
        <v>172</v>
      </c>
      <c r="C12829" s="2">
        <v>738.12120000000004</v>
      </c>
      <c r="D12829" s="2">
        <f>HYPERLINK("http://mcb-m6.bioreg.kyushu-u.ac.jp/M3/20110427/F51119/2103/1", 85.6)</f>
        <v>85.6</v>
      </c>
      <c r="E12829" s="2">
        <v>56.04</v>
      </c>
      <c r="F12829" s="2">
        <v>2</v>
      </c>
      <c r="G12829" s="2" t="s">
        <v>14</v>
      </c>
    </row>
    <row r="12830" spans="1:7" x14ac:dyDescent="0.2">
      <c r="A12830" s="2" t="s">
        <v>3380</v>
      </c>
      <c r="B12830" s="2" t="s">
        <v>172</v>
      </c>
      <c r="C12830" s="2">
        <v>738.19820000000004</v>
      </c>
      <c r="D12830" s="2">
        <f>HYPERLINK("http://mcb-m6.bioreg.kyushu-u.ac.jp/M3/20110427/F51122/2137/1", 86.82)</f>
        <v>86.82</v>
      </c>
      <c r="E12830" s="2">
        <v>47.54</v>
      </c>
      <c r="F12830" s="2">
        <v>2</v>
      </c>
      <c r="G12830" s="2" t="s">
        <v>14</v>
      </c>
    </row>
    <row r="12831" spans="1:7" x14ac:dyDescent="0.2">
      <c r="A12831" s="2" t="s">
        <v>3380</v>
      </c>
      <c r="B12831" s="2" t="s">
        <v>172</v>
      </c>
      <c r="C12831" s="2">
        <v>738.05769999999995</v>
      </c>
      <c r="D12831" s="2">
        <f>HYPERLINK("http://mcb-m6.bioreg.kyushu-u.ac.jp/M3/20110427/F51124/2000/1", 87.14)</f>
        <v>87.14</v>
      </c>
      <c r="E12831" s="2">
        <v>62.48</v>
      </c>
      <c r="F12831" s="2">
        <v>2</v>
      </c>
      <c r="G12831" s="2" t="s">
        <v>14</v>
      </c>
    </row>
    <row r="12832" spans="1:7" x14ac:dyDescent="0.2">
      <c r="A12832" s="2" t="s">
        <v>3380</v>
      </c>
      <c r="B12832" s="2" t="s">
        <v>172</v>
      </c>
      <c r="C12832" s="2">
        <v>738.72969999999998</v>
      </c>
      <c r="D12832" s="2">
        <f>HYPERLINK("http://mcb-m6.bioreg.kyushu-u.ac.jp/M3/20110428/F51130/2049/1", 88.6)</f>
        <v>88.6</v>
      </c>
      <c r="E12832" s="2">
        <v>31.17</v>
      </c>
      <c r="F12832" s="2">
        <v>2</v>
      </c>
      <c r="G12832" s="2" t="s">
        <v>14</v>
      </c>
    </row>
    <row r="12833" spans="1:7" x14ac:dyDescent="0.2">
      <c r="A12833" s="2" t="s">
        <v>3380</v>
      </c>
      <c r="B12833" s="2" t="s">
        <v>172</v>
      </c>
      <c r="C12833" s="2">
        <v>738.78719999999998</v>
      </c>
      <c r="D12833" s="2">
        <f>HYPERLINK("http://mcb-m6.bioreg.kyushu-u.ac.jp/M3/20110427/F51118/2040/1", 89.55)</f>
        <v>89.55</v>
      </c>
      <c r="E12833" s="2">
        <v>46.14</v>
      </c>
      <c r="F12833" s="2">
        <v>2</v>
      </c>
      <c r="G12833" s="2" t="s">
        <v>14</v>
      </c>
    </row>
    <row r="12834" spans="1:7" x14ac:dyDescent="0.2">
      <c r="A12834" s="2" t="s">
        <v>3380</v>
      </c>
      <c r="B12834" s="2" t="s">
        <v>172</v>
      </c>
      <c r="C12834" s="2">
        <v>738.26210000000003</v>
      </c>
      <c r="D12834" s="2">
        <f>HYPERLINK("http://mcb-m6.bioreg.kyushu-u.ac.jp/M3/20110427/F51118/2039/1", 89.71)</f>
        <v>89.71</v>
      </c>
      <c r="E12834" s="2">
        <v>58.33</v>
      </c>
      <c r="F12834" s="2">
        <v>2</v>
      </c>
      <c r="G12834" s="2" t="s">
        <v>14</v>
      </c>
    </row>
    <row r="12835" spans="1:7" x14ac:dyDescent="0.2">
      <c r="A12835" s="2" t="s">
        <v>3380</v>
      </c>
      <c r="B12835" s="2" t="s">
        <v>172</v>
      </c>
      <c r="C12835" s="2">
        <v>738.25710000000004</v>
      </c>
      <c r="D12835" s="2">
        <f>HYPERLINK("http://mcb-m6.bioreg.kyushu-u.ac.jp/M3/20110427/F51120/2063/1", 92.18)</f>
        <v>92.18</v>
      </c>
      <c r="E12835" s="2">
        <v>66.33</v>
      </c>
      <c r="F12835" s="2">
        <v>2</v>
      </c>
      <c r="G12835" s="2" t="s">
        <v>14</v>
      </c>
    </row>
    <row r="12836" spans="1:7" x14ac:dyDescent="0.2">
      <c r="A12836" s="2" t="s">
        <v>3380</v>
      </c>
      <c r="B12836" s="2" t="s">
        <v>172</v>
      </c>
      <c r="C12836" s="2">
        <v>738.47310000000004</v>
      </c>
      <c r="D12836" s="2">
        <f>HYPERLINK("http://mcb-m6.bioreg.kyushu-u.ac.jp/M3/20110427/F51123/2018/1", 92.19)</f>
        <v>92.19</v>
      </c>
      <c r="E12836" s="2">
        <v>38.01</v>
      </c>
      <c r="F12836" s="2">
        <v>2</v>
      </c>
      <c r="G12836" s="2" t="s">
        <v>14</v>
      </c>
    </row>
    <row r="12837" spans="1:7" x14ac:dyDescent="0.2">
      <c r="A12837" s="2" t="s">
        <v>3380</v>
      </c>
      <c r="B12837" s="2" t="s">
        <v>172</v>
      </c>
      <c r="C12837" s="2">
        <v>738.73109999999997</v>
      </c>
      <c r="D12837" s="2">
        <f>HYPERLINK("http://mcb-m6.bioreg.kyushu-u.ac.jp/M3/20110428/F51128/1945/1", 92.19)</f>
        <v>92.19</v>
      </c>
      <c r="E12837" s="2">
        <v>38.51</v>
      </c>
      <c r="F12837" s="2">
        <v>2</v>
      </c>
      <c r="G12837" s="2" t="s">
        <v>14</v>
      </c>
    </row>
    <row r="12838" spans="1:7" x14ac:dyDescent="0.2">
      <c r="A12838" s="2" t="s">
        <v>3380</v>
      </c>
      <c r="B12838" s="2" t="s">
        <v>172</v>
      </c>
      <c r="C12838" s="2">
        <v>738.43409999999994</v>
      </c>
      <c r="D12838" s="2">
        <f>HYPERLINK("http://mcb-m6.bioreg.kyushu-u.ac.jp/M3/20110428/F51129/2028/1", 92.3)</f>
        <v>92.3</v>
      </c>
      <c r="E12838" s="2">
        <v>32.97</v>
      </c>
      <c r="F12838" s="2">
        <v>2</v>
      </c>
      <c r="G12838" s="2" t="s">
        <v>14</v>
      </c>
    </row>
    <row r="12839" spans="1:7" x14ac:dyDescent="0.2">
      <c r="A12839" s="2" t="s">
        <v>3380</v>
      </c>
      <c r="B12839" s="2" t="s">
        <v>172</v>
      </c>
      <c r="C12839" s="2">
        <v>738.54819999999995</v>
      </c>
      <c r="D12839" s="2">
        <f>HYPERLINK("http://mcb-m6.bioreg.kyushu-u.ac.jp/M3/20110428/F51134/1950/1", 92.37)</f>
        <v>92.37</v>
      </c>
      <c r="E12839" s="2">
        <v>36.479999999999997</v>
      </c>
      <c r="F12839" s="2">
        <v>2</v>
      </c>
      <c r="G12839" s="2" t="s">
        <v>14</v>
      </c>
    </row>
    <row r="12840" spans="1:7" x14ac:dyDescent="0.2">
      <c r="A12840" s="2" t="s">
        <v>3380</v>
      </c>
      <c r="B12840" s="2" t="s">
        <v>172</v>
      </c>
      <c r="C12840" s="2">
        <v>738.18269999999995</v>
      </c>
      <c r="D12840" s="2">
        <f>HYPERLINK("http://mcb-m6.bioreg.kyushu-u.ac.jp/M3/20110428/F51128/1943/1", 98.79)</f>
        <v>98.79</v>
      </c>
      <c r="E12840" s="2">
        <v>73.02</v>
      </c>
      <c r="F12840" s="2">
        <v>2</v>
      </c>
      <c r="G12840" s="2" t="s">
        <v>14</v>
      </c>
    </row>
    <row r="12841" spans="1:7" x14ac:dyDescent="0.2">
      <c r="A12841" s="2" t="s">
        <v>7638</v>
      </c>
      <c r="B12841" s="2" t="s">
        <v>6181</v>
      </c>
      <c r="C12841" s="2">
        <v>593.61720000000003</v>
      </c>
      <c r="D12841" s="2">
        <f>HYPERLINK("http://mcb-m6.bioreg.kyushu-u.ac.jp/M3/20110404/F50766/836/1", 45.69)</f>
        <v>45.69</v>
      </c>
      <c r="E12841" s="2">
        <v>9.34</v>
      </c>
      <c r="F12841" s="2">
        <v>2</v>
      </c>
      <c r="G12841" s="2" t="s">
        <v>9</v>
      </c>
    </row>
    <row r="12842" spans="1:7" x14ac:dyDescent="0.2">
      <c r="A12842" s="2" t="s">
        <v>3274</v>
      </c>
      <c r="B12842" s="2" t="s">
        <v>54</v>
      </c>
      <c r="C12842" s="2">
        <v>692.18119999999999</v>
      </c>
      <c r="D12842" s="2">
        <f>HYPERLINK("http://mcb-m6.bioreg.kyushu-u.ac.jp/M3/20110404/F50767/1455/2", 66.09)</f>
        <v>66.09</v>
      </c>
      <c r="E12842" s="2">
        <v>48.88</v>
      </c>
      <c r="F12842" s="2">
        <v>2</v>
      </c>
      <c r="G12842" s="2" t="s">
        <v>9</v>
      </c>
    </row>
    <row r="12843" spans="1:7" x14ac:dyDescent="0.2">
      <c r="A12843" s="2" t="s">
        <v>3274</v>
      </c>
      <c r="B12843" s="2" t="s">
        <v>54</v>
      </c>
      <c r="C12843" s="2">
        <v>692.33320000000003</v>
      </c>
      <c r="D12843" s="2">
        <f>HYPERLINK("http://mcb-m6.bioreg.kyushu-u.ac.jp/M3/20110404/F50765/1600/2", 70)</f>
        <v>70</v>
      </c>
      <c r="E12843" s="2">
        <v>40.630000000000003</v>
      </c>
      <c r="F12843" s="2">
        <v>2</v>
      </c>
      <c r="G12843" s="2" t="s">
        <v>9</v>
      </c>
    </row>
    <row r="12844" spans="1:7" x14ac:dyDescent="0.2">
      <c r="A12844" s="2" t="s">
        <v>3274</v>
      </c>
      <c r="B12844" s="2" t="s">
        <v>54</v>
      </c>
      <c r="C12844" s="2">
        <v>692.1857</v>
      </c>
      <c r="D12844" s="2">
        <f>HYPERLINK("http://mcb-m6.bioreg.kyushu-u.ac.jp/M3/20110404/F50777/1685/2", 71.25)</f>
        <v>71.25</v>
      </c>
      <c r="E12844" s="2">
        <v>54.4</v>
      </c>
      <c r="F12844" s="2">
        <v>2</v>
      </c>
      <c r="G12844" s="2" t="s">
        <v>9</v>
      </c>
    </row>
    <row r="12845" spans="1:7" x14ac:dyDescent="0.2">
      <c r="A12845" s="2" t="s">
        <v>3274</v>
      </c>
      <c r="B12845" s="2" t="s">
        <v>54</v>
      </c>
      <c r="C12845" s="2">
        <v>692.14369999999997</v>
      </c>
      <c r="D12845" s="2">
        <f>HYPERLINK("http://mcb-m6.bioreg.kyushu-u.ac.jp/M3/20110404/F50753/1815/2", 74.74)</f>
        <v>74.739999999999995</v>
      </c>
      <c r="E12845" s="2">
        <v>52.91</v>
      </c>
      <c r="F12845" s="2">
        <v>2</v>
      </c>
      <c r="G12845" s="2" t="s">
        <v>9</v>
      </c>
    </row>
    <row r="12846" spans="1:7" x14ac:dyDescent="0.2">
      <c r="A12846" s="2" t="s">
        <v>3274</v>
      </c>
      <c r="B12846" s="2" t="s">
        <v>54</v>
      </c>
      <c r="C12846" s="2">
        <v>692.22170000000006</v>
      </c>
      <c r="D12846" s="2">
        <f>HYPERLINK("http://mcb-m6.bioreg.kyushu-u.ac.jp/M3/20110404/F50755/1716/2", 75.07)</f>
        <v>75.069999999999993</v>
      </c>
      <c r="E12846" s="2">
        <v>58.13</v>
      </c>
      <c r="F12846" s="2">
        <v>2</v>
      </c>
      <c r="G12846" s="2" t="s">
        <v>9</v>
      </c>
    </row>
    <row r="12847" spans="1:7" x14ac:dyDescent="0.2">
      <c r="A12847" s="2" t="s">
        <v>3274</v>
      </c>
      <c r="B12847" s="2" t="s">
        <v>54</v>
      </c>
      <c r="C12847" s="2">
        <v>692.30319999999995</v>
      </c>
      <c r="D12847" s="2">
        <f>HYPERLINK("http://mcb-m6.bioreg.kyushu-u.ac.jp/M3/20110404/F50764/1649/2", 81.92)</f>
        <v>81.92</v>
      </c>
      <c r="E12847" s="2">
        <v>49.81</v>
      </c>
      <c r="F12847" s="2">
        <v>2</v>
      </c>
      <c r="G12847" s="2" t="s">
        <v>9</v>
      </c>
    </row>
    <row r="12848" spans="1:7" x14ac:dyDescent="0.2">
      <c r="A12848" s="2" t="s">
        <v>3274</v>
      </c>
      <c r="B12848" s="2" t="s">
        <v>54</v>
      </c>
      <c r="C12848" s="2">
        <v>692.80520000000001</v>
      </c>
      <c r="D12848" s="2">
        <f>HYPERLINK("http://mcb-m6.bioreg.kyushu-u.ac.jp/M3/20110404/F50764/1653/2", 86.35)</f>
        <v>86.35</v>
      </c>
      <c r="E12848" s="2">
        <v>35.69</v>
      </c>
      <c r="F12848" s="2">
        <v>2</v>
      </c>
      <c r="G12848" s="2" t="s">
        <v>9</v>
      </c>
    </row>
    <row r="12849" spans="1:7" x14ac:dyDescent="0.2">
      <c r="A12849" s="2" t="s">
        <v>3274</v>
      </c>
      <c r="B12849" s="2" t="s">
        <v>54</v>
      </c>
      <c r="C12849" s="2">
        <v>692.1902</v>
      </c>
      <c r="D12849" s="2">
        <f>HYPERLINK("http://mcb-m6.bioreg.kyushu-u.ac.jp/M3/20110404/F50761/1630/2", 49.41)</f>
        <v>49.41</v>
      </c>
      <c r="E12849" s="2">
        <v>37.99</v>
      </c>
      <c r="F12849" s="2">
        <v>2</v>
      </c>
      <c r="G12849" s="2" t="s">
        <v>10</v>
      </c>
    </row>
    <row r="12850" spans="1:7" x14ac:dyDescent="0.2">
      <c r="A12850" s="2" t="s">
        <v>3274</v>
      </c>
      <c r="B12850" s="2" t="s">
        <v>54</v>
      </c>
      <c r="C12850" s="2">
        <v>692.22969999999998</v>
      </c>
      <c r="D12850" s="2">
        <f>HYPERLINK("http://mcb-m6.bioreg.kyushu-u.ac.jp/M3/20110404/F50782/1518/2", 58.76)</f>
        <v>58.76</v>
      </c>
      <c r="E12850" s="2">
        <v>22.7</v>
      </c>
      <c r="F12850" s="2">
        <v>2</v>
      </c>
      <c r="G12850" s="2" t="s">
        <v>10</v>
      </c>
    </row>
    <row r="12851" spans="1:7" x14ac:dyDescent="0.2">
      <c r="A12851" s="2" t="s">
        <v>3274</v>
      </c>
      <c r="B12851" s="2" t="s">
        <v>54</v>
      </c>
      <c r="C12851" s="2">
        <v>692.84770000000003</v>
      </c>
      <c r="D12851" s="2">
        <f>HYPERLINK("http://mcb-m6.bioreg.kyushu-u.ac.jp/M3/20110404/F50773/1633/2", 66.75)</f>
        <v>66.75</v>
      </c>
      <c r="E12851" s="2">
        <v>25.46</v>
      </c>
      <c r="F12851" s="2">
        <v>2</v>
      </c>
      <c r="G12851" s="2" t="s">
        <v>10</v>
      </c>
    </row>
    <row r="12852" spans="1:7" x14ac:dyDescent="0.2">
      <c r="A12852" s="2" t="s">
        <v>3274</v>
      </c>
      <c r="B12852" s="2" t="s">
        <v>54</v>
      </c>
      <c r="C12852" s="2">
        <v>692.7527</v>
      </c>
      <c r="D12852" s="2">
        <f>HYPERLINK("http://mcb-m6.bioreg.kyushu-u.ac.jp/M3/20110404/F50758/1718/1", 69.7)</f>
        <v>69.7</v>
      </c>
      <c r="E12852" s="2">
        <v>2.74</v>
      </c>
      <c r="F12852" s="2">
        <v>2</v>
      </c>
      <c r="G12852" s="2" t="s">
        <v>10</v>
      </c>
    </row>
    <row r="12853" spans="1:7" x14ac:dyDescent="0.2">
      <c r="A12853" s="2" t="s">
        <v>3274</v>
      </c>
      <c r="B12853" s="2" t="s">
        <v>54</v>
      </c>
      <c r="C12853" s="2">
        <v>692.3066</v>
      </c>
      <c r="D12853" s="2">
        <f>HYPERLINK("http://mcb-m6.bioreg.kyushu-u.ac.jp/M3/20110404/F50771/1670/2", 69.74)</f>
        <v>69.739999999999995</v>
      </c>
      <c r="E12853" s="2">
        <v>41.97</v>
      </c>
      <c r="F12853" s="2">
        <v>2</v>
      </c>
      <c r="G12853" s="2" t="s">
        <v>10</v>
      </c>
    </row>
    <row r="12854" spans="1:7" x14ac:dyDescent="0.2">
      <c r="A12854" s="2" t="s">
        <v>3274</v>
      </c>
      <c r="B12854" s="2" t="s">
        <v>54</v>
      </c>
      <c r="C12854" s="2">
        <v>692.42169999999999</v>
      </c>
      <c r="D12854" s="2">
        <f>HYPERLINK("http://mcb-m6.bioreg.kyushu-u.ac.jp/M3/20110404/F50772/1703/2", 71.53)</f>
        <v>71.53</v>
      </c>
      <c r="E12854" s="2">
        <v>46.79</v>
      </c>
      <c r="F12854" s="2">
        <v>2</v>
      </c>
      <c r="G12854" s="2" t="s">
        <v>10</v>
      </c>
    </row>
    <row r="12855" spans="1:7" x14ac:dyDescent="0.2">
      <c r="A12855" s="2" t="s">
        <v>3274</v>
      </c>
      <c r="B12855" s="2" t="s">
        <v>54</v>
      </c>
      <c r="C12855" s="2">
        <v>692.33119999999997</v>
      </c>
      <c r="D12855" s="2">
        <f>HYPERLINK("http://mcb-m6.bioreg.kyushu-u.ac.jp/M3/20110404/F50773/1632/2", 72.5)</f>
        <v>72.5</v>
      </c>
      <c r="E12855" s="2">
        <v>41.56</v>
      </c>
      <c r="F12855" s="2">
        <v>2</v>
      </c>
      <c r="G12855" s="2" t="s">
        <v>10</v>
      </c>
    </row>
    <row r="12856" spans="1:7" x14ac:dyDescent="0.2">
      <c r="A12856" s="2" t="s">
        <v>3274</v>
      </c>
      <c r="B12856" s="2" t="s">
        <v>54</v>
      </c>
      <c r="C12856" s="2">
        <v>692.17520000000002</v>
      </c>
      <c r="D12856" s="2">
        <f>HYPERLINK("http://mcb-m6.bioreg.kyushu-u.ac.jp/M3/20110404/F50770/1744/2", 75.37)</f>
        <v>75.37</v>
      </c>
      <c r="E12856" s="2">
        <v>57.04</v>
      </c>
      <c r="F12856" s="2">
        <v>2</v>
      </c>
      <c r="G12856" s="2" t="s">
        <v>10</v>
      </c>
    </row>
    <row r="12857" spans="1:7" x14ac:dyDescent="0.2">
      <c r="A12857" s="2" t="s">
        <v>3274</v>
      </c>
      <c r="B12857" s="2" t="s">
        <v>54</v>
      </c>
      <c r="C12857" s="2">
        <v>692.23109999999997</v>
      </c>
      <c r="D12857" s="2">
        <f>HYPERLINK("http://mcb-m6.bioreg.kyushu-u.ac.jp/M3/20110404/F50769/1818/2", 76)</f>
        <v>76</v>
      </c>
      <c r="E12857" s="2">
        <v>57.43</v>
      </c>
      <c r="F12857" s="2">
        <v>2</v>
      </c>
      <c r="G12857" s="2" t="s">
        <v>10</v>
      </c>
    </row>
    <row r="12858" spans="1:7" x14ac:dyDescent="0.2">
      <c r="A12858" s="2" t="s">
        <v>3274</v>
      </c>
      <c r="B12858" s="2" t="s">
        <v>54</v>
      </c>
      <c r="C12858" s="2">
        <v>692.28020000000004</v>
      </c>
      <c r="D12858" s="2">
        <f>HYPERLINK("http://mcb-m6.bioreg.kyushu-u.ac.jp/M3/20110404/F50774/1687/2", 84.33)</f>
        <v>84.33</v>
      </c>
      <c r="E12858" s="2">
        <v>56.84</v>
      </c>
      <c r="F12858" s="2">
        <v>2</v>
      </c>
      <c r="G12858" s="2" t="s">
        <v>10</v>
      </c>
    </row>
    <row r="12859" spans="1:7" x14ac:dyDescent="0.2">
      <c r="A12859" s="2" t="s">
        <v>3274</v>
      </c>
      <c r="B12859" s="2" t="s">
        <v>54</v>
      </c>
      <c r="C12859" s="2">
        <v>692.2106</v>
      </c>
      <c r="D12859" s="2">
        <f>HYPERLINK("http://mcb-m6.bioreg.kyushu-u.ac.jp/M3/20110404/F50775/1732/2", 89.26)</f>
        <v>89.26</v>
      </c>
      <c r="E12859" s="2">
        <v>72.23</v>
      </c>
      <c r="F12859" s="2">
        <v>2</v>
      </c>
      <c r="G12859" s="2" t="s">
        <v>10</v>
      </c>
    </row>
    <row r="12860" spans="1:7" x14ac:dyDescent="0.2">
      <c r="A12860" s="2" t="s">
        <v>3274</v>
      </c>
      <c r="B12860" s="2" t="s">
        <v>54</v>
      </c>
      <c r="C12860" s="2">
        <v>692.43769999999995</v>
      </c>
      <c r="D12860" s="2">
        <f>HYPERLINK("http://mcb-m6.bioreg.kyushu-u.ac.jp/M3/20110421/F51017/1775/2", 51.98)</f>
        <v>51.98</v>
      </c>
      <c r="E12860" s="2">
        <v>19.170000000000002</v>
      </c>
      <c r="F12860" s="2">
        <v>2</v>
      </c>
      <c r="G12860" s="2" t="s">
        <v>11</v>
      </c>
    </row>
    <row r="12861" spans="1:7" x14ac:dyDescent="0.2">
      <c r="A12861" s="2" t="s">
        <v>3274</v>
      </c>
      <c r="B12861" s="2" t="s">
        <v>54</v>
      </c>
      <c r="C12861" s="2">
        <v>692.76210000000003</v>
      </c>
      <c r="D12861" s="2">
        <f>HYPERLINK("http://mcb-m6.bioreg.kyushu-u.ac.jp/M3/20110421/F51042/1626/2", 55.5)</f>
        <v>55.5</v>
      </c>
      <c r="E12861" s="2">
        <v>16.61</v>
      </c>
      <c r="F12861" s="2">
        <v>2</v>
      </c>
      <c r="G12861" s="2" t="s">
        <v>11</v>
      </c>
    </row>
    <row r="12862" spans="1:7" x14ac:dyDescent="0.2">
      <c r="A12862" s="2" t="s">
        <v>3274</v>
      </c>
      <c r="B12862" s="2" t="s">
        <v>54</v>
      </c>
      <c r="C12862" s="2">
        <v>692.46310000000005</v>
      </c>
      <c r="D12862" s="2">
        <f>HYPERLINK("http://mcb-m6.bioreg.kyushu-u.ac.jp/M3/20110421/F51035/1685/2", 58.79)</f>
        <v>58.79</v>
      </c>
      <c r="E12862" s="2">
        <v>34.299999999999997</v>
      </c>
      <c r="F12862" s="2">
        <v>2</v>
      </c>
      <c r="G12862" s="2" t="s">
        <v>11</v>
      </c>
    </row>
    <row r="12863" spans="1:7" x14ac:dyDescent="0.2">
      <c r="A12863" s="2" t="s">
        <v>3274</v>
      </c>
      <c r="B12863" s="2" t="s">
        <v>54</v>
      </c>
      <c r="C12863" s="2">
        <v>692.24270000000001</v>
      </c>
      <c r="D12863" s="2">
        <f>HYPERLINK("http://mcb-m6.bioreg.kyushu-u.ac.jp/M3/20110421/F51039/1815/2", 63)</f>
        <v>63</v>
      </c>
      <c r="E12863" s="2">
        <v>49.17</v>
      </c>
      <c r="F12863" s="2">
        <v>2</v>
      </c>
      <c r="G12863" s="2" t="s">
        <v>11</v>
      </c>
    </row>
    <row r="12864" spans="1:7" x14ac:dyDescent="0.2">
      <c r="A12864" s="2" t="s">
        <v>3274</v>
      </c>
      <c r="B12864" s="2" t="s">
        <v>54</v>
      </c>
      <c r="C12864" s="2">
        <v>692.15120000000002</v>
      </c>
      <c r="D12864" s="2">
        <f>HYPERLINK("http://mcb-m6.bioreg.kyushu-u.ac.jp/M3/20110421/F51015/1894/2", 71.38)</f>
        <v>71.38</v>
      </c>
      <c r="E12864" s="2">
        <v>45.44</v>
      </c>
      <c r="F12864" s="2">
        <v>2</v>
      </c>
      <c r="G12864" s="2" t="s">
        <v>11</v>
      </c>
    </row>
    <row r="12865" spans="1:7" x14ac:dyDescent="0.2">
      <c r="A12865" s="2" t="s">
        <v>3274</v>
      </c>
      <c r="B12865" s="2" t="s">
        <v>54</v>
      </c>
      <c r="C12865" s="2">
        <v>692.16060000000004</v>
      </c>
      <c r="D12865" s="2">
        <f>HYPERLINK("http://mcb-m6.bioreg.kyushu-u.ac.jp/M3/20110421/F51020/1796/2", 75.94)</f>
        <v>75.94</v>
      </c>
      <c r="E12865" s="2">
        <v>53.93</v>
      </c>
      <c r="F12865" s="2">
        <v>2</v>
      </c>
      <c r="G12865" s="2" t="s">
        <v>11</v>
      </c>
    </row>
    <row r="12866" spans="1:7" x14ac:dyDescent="0.2">
      <c r="A12866" s="2" t="s">
        <v>3274</v>
      </c>
      <c r="B12866" s="2" t="s">
        <v>54</v>
      </c>
      <c r="C12866" s="2">
        <v>692.26170000000002</v>
      </c>
      <c r="D12866" s="2">
        <f>HYPERLINK("http://mcb-m6.bioreg.kyushu-u.ac.jp/M3/20110421/F51040/1766/2", 80.93)</f>
        <v>80.930000000000007</v>
      </c>
      <c r="E12866" s="2">
        <v>58.98</v>
      </c>
      <c r="F12866" s="2">
        <v>2</v>
      </c>
      <c r="G12866" s="2" t="s">
        <v>11</v>
      </c>
    </row>
    <row r="12867" spans="1:7" x14ac:dyDescent="0.2">
      <c r="A12867" s="2" t="s">
        <v>3274</v>
      </c>
      <c r="B12867" s="2" t="s">
        <v>54</v>
      </c>
      <c r="C12867" s="2">
        <v>1383.33</v>
      </c>
      <c r="D12867" s="2">
        <f>HYPERLINK("http://mcb-m6.bioreg.kyushu-u.ac.jp/M3/20110421/F51021/1804/2", 42.52)</f>
        <v>42.52</v>
      </c>
      <c r="E12867" s="2">
        <v>23.63</v>
      </c>
      <c r="F12867" s="2">
        <v>1</v>
      </c>
      <c r="G12867" s="2" t="s">
        <v>12</v>
      </c>
    </row>
    <row r="12868" spans="1:7" x14ac:dyDescent="0.2">
      <c r="A12868" s="2" t="s">
        <v>3274</v>
      </c>
      <c r="B12868" s="2" t="s">
        <v>54</v>
      </c>
      <c r="C12868" s="2">
        <v>692.40120000000002</v>
      </c>
      <c r="D12868" s="2">
        <f>HYPERLINK("http://mcb-m6.bioreg.kyushu-u.ac.jp/M3/20110421/F51026/1914/2", 56.55)</f>
        <v>56.55</v>
      </c>
      <c r="E12868" s="2">
        <v>38.72</v>
      </c>
      <c r="F12868" s="2">
        <v>2</v>
      </c>
      <c r="G12868" s="2" t="s">
        <v>12</v>
      </c>
    </row>
    <row r="12869" spans="1:7" x14ac:dyDescent="0.2">
      <c r="A12869" s="2" t="s">
        <v>3274</v>
      </c>
      <c r="B12869" s="2" t="s">
        <v>54</v>
      </c>
      <c r="C12869" s="2">
        <v>692.69069999999999</v>
      </c>
      <c r="D12869" s="2">
        <f>HYPERLINK("http://mcb-m6.bioreg.kyushu-u.ac.jp/M3/20110421/F51021/1809/2", 60.2)</f>
        <v>60.2</v>
      </c>
      <c r="E12869" s="2">
        <v>25.83</v>
      </c>
      <c r="F12869" s="2">
        <v>2</v>
      </c>
      <c r="G12869" s="2" t="s">
        <v>12</v>
      </c>
    </row>
    <row r="12870" spans="1:7" x14ac:dyDescent="0.2">
      <c r="A12870" s="2" t="s">
        <v>3274</v>
      </c>
      <c r="B12870" s="2" t="s">
        <v>54</v>
      </c>
      <c r="C12870" s="2">
        <v>692.78859999999997</v>
      </c>
      <c r="D12870" s="2">
        <f>HYPERLINK("http://mcb-m6.bioreg.kyushu-u.ac.jp/M3/20110421/F51024/1927/2", 72.66)</f>
        <v>72.66</v>
      </c>
      <c r="E12870" s="2">
        <v>29.89</v>
      </c>
      <c r="F12870" s="2">
        <v>2</v>
      </c>
      <c r="G12870" s="2" t="s">
        <v>12</v>
      </c>
    </row>
    <row r="12871" spans="1:7" x14ac:dyDescent="0.2">
      <c r="A12871" s="2" t="s">
        <v>3274</v>
      </c>
      <c r="B12871" s="2" t="s">
        <v>54</v>
      </c>
      <c r="C12871" s="2">
        <v>692.87019999999995</v>
      </c>
      <c r="D12871" s="2">
        <f>HYPERLINK("http://mcb-m6.bioreg.kyushu-u.ac.jp/M3/20110421/F51061/1694/2", 78.33)</f>
        <v>78.33</v>
      </c>
      <c r="E12871" s="2">
        <v>34.840000000000003</v>
      </c>
      <c r="F12871" s="2">
        <v>2</v>
      </c>
      <c r="G12871" s="2" t="s">
        <v>12</v>
      </c>
    </row>
    <row r="12872" spans="1:7" x14ac:dyDescent="0.2">
      <c r="A12872" s="2" t="s">
        <v>3274</v>
      </c>
      <c r="B12872" s="2" t="s">
        <v>118</v>
      </c>
      <c r="C12872" s="2">
        <v>819.68910000000005</v>
      </c>
      <c r="D12872" s="2">
        <f>HYPERLINK("http://mcb-m6.bioreg.kyushu-u.ac.jp/M3/20110421/F51021/2520/1", 78.85)</f>
        <v>78.849999999999994</v>
      </c>
      <c r="E12872" s="2">
        <v>56.11</v>
      </c>
      <c r="F12872" s="2">
        <v>2</v>
      </c>
      <c r="G12872" s="2" t="s">
        <v>12</v>
      </c>
    </row>
    <row r="12873" spans="1:7" x14ac:dyDescent="0.2">
      <c r="A12873" s="2" t="s">
        <v>3274</v>
      </c>
      <c r="B12873" s="2" t="s">
        <v>54</v>
      </c>
      <c r="C12873" s="2">
        <v>692.0702</v>
      </c>
      <c r="D12873" s="2">
        <f>HYPERLINK("http://mcb-m6.bioreg.kyushu-u.ac.jp/M3/20110421/F51021/1799/2", 81.55)</f>
        <v>81.55</v>
      </c>
      <c r="E12873" s="2">
        <v>42.87</v>
      </c>
      <c r="F12873" s="2">
        <v>2</v>
      </c>
      <c r="G12873" s="2" t="s">
        <v>12</v>
      </c>
    </row>
    <row r="12874" spans="1:7" x14ac:dyDescent="0.2">
      <c r="A12874" s="2" t="s">
        <v>3274</v>
      </c>
      <c r="B12874" s="2" t="s">
        <v>54</v>
      </c>
      <c r="C12874" s="2">
        <v>692.24869999999999</v>
      </c>
      <c r="D12874" s="2">
        <f>HYPERLINK("http://mcb-m6.bioreg.kyushu-u.ac.jp/M3/20110421/F51024/1926/2", 81.6)</f>
        <v>81.599999999999994</v>
      </c>
      <c r="E12874" s="2">
        <v>58.59</v>
      </c>
      <c r="F12874" s="2">
        <v>2</v>
      </c>
      <c r="G12874" s="2" t="s">
        <v>12</v>
      </c>
    </row>
    <row r="12875" spans="1:7" x14ac:dyDescent="0.2">
      <c r="A12875" s="2" t="s">
        <v>3274</v>
      </c>
      <c r="B12875" s="2" t="s">
        <v>54</v>
      </c>
      <c r="C12875" s="2">
        <v>692.35569999999996</v>
      </c>
      <c r="D12875" s="2">
        <f>HYPERLINK("http://mcb-m6.bioreg.kyushu-u.ac.jp/M3/20110421/F51061/1692/2", 89.4)</f>
        <v>89.4</v>
      </c>
      <c r="E12875" s="2">
        <v>54.25</v>
      </c>
      <c r="F12875" s="2">
        <v>2</v>
      </c>
      <c r="G12875" s="2" t="s">
        <v>12</v>
      </c>
    </row>
    <row r="12876" spans="1:7" x14ac:dyDescent="0.2">
      <c r="A12876" s="2" t="s">
        <v>3274</v>
      </c>
      <c r="B12876" s="2" t="s">
        <v>54</v>
      </c>
      <c r="C12876" s="2">
        <v>692.20619999999997</v>
      </c>
      <c r="D12876" s="2">
        <f>HYPERLINK("http://mcb-m6.bioreg.kyushu-u.ac.jp/M3/20110428/F51132/1722/2", 47.47)</f>
        <v>47.47</v>
      </c>
      <c r="E12876" s="2">
        <v>33.53</v>
      </c>
      <c r="F12876" s="2">
        <v>2</v>
      </c>
      <c r="G12876" s="2" t="s">
        <v>13</v>
      </c>
    </row>
    <row r="12877" spans="1:7" x14ac:dyDescent="0.2">
      <c r="A12877" s="2" t="s">
        <v>3274</v>
      </c>
      <c r="B12877" s="2" t="s">
        <v>54</v>
      </c>
      <c r="C12877" s="2">
        <v>692.18910000000005</v>
      </c>
      <c r="D12877" s="2">
        <f>HYPERLINK("http://mcb-m6.bioreg.kyushu-u.ac.jp/M3/20110427/F51110/1985/2", 64.49)</f>
        <v>64.489999999999995</v>
      </c>
      <c r="E12877" s="2">
        <v>46.22</v>
      </c>
      <c r="F12877" s="2">
        <v>2</v>
      </c>
      <c r="G12877" s="2" t="s">
        <v>13</v>
      </c>
    </row>
    <row r="12878" spans="1:7" x14ac:dyDescent="0.2">
      <c r="A12878" s="2" t="s">
        <v>3274</v>
      </c>
      <c r="B12878" s="2" t="s">
        <v>54</v>
      </c>
      <c r="C12878" s="2">
        <v>692.34169999999995</v>
      </c>
      <c r="D12878" s="2">
        <f>HYPERLINK("http://mcb-m6.bioreg.kyushu-u.ac.jp/M3/20110427/F51116/1798/2", 69.69)</f>
        <v>69.69</v>
      </c>
      <c r="E12878" s="2">
        <v>44.91</v>
      </c>
      <c r="F12878" s="2">
        <v>2</v>
      </c>
      <c r="G12878" s="2" t="s">
        <v>13</v>
      </c>
    </row>
    <row r="12879" spans="1:7" x14ac:dyDescent="0.2">
      <c r="A12879" s="2" t="s">
        <v>3274</v>
      </c>
      <c r="B12879" s="2" t="s">
        <v>54</v>
      </c>
      <c r="C12879" s="2">
        <v>692.09770000000003</v>
      </c>
      <c r="D12879" s="2">
        <f>HYPERLINK("http://mcb-m6.bioreg.kyushu-u.ac.jp/M3/20110427/F51109/1940/2", 75.35)</f>
        <v>75.349999999999994</v>
      </c>
      <c r="E12879" s="2">
        <v>51.93</v>
      </c>
      <c r="F12879" s="2">
        <v>2</v>
      </c>
      <c r="G12879" s="2" t="s">
        <v>13</v>
      </c>
    </row>
    <row r="12880" spans="1:7" x14ac:dyDescent="0.2">
      <c r="A12880" s="2" t="s">
        <v>3274</v>
      </c>
      <c r="B12880" s="2" t="s">
        <v>54</v>
      </c>
      <c r="C12880" s="2">
        <v>692.20119999999997</v>
      </c>
      <c r="D12880" s="2">
        <f>HYPERLINK("http://mcb-m6.bioreg.kyushu-u.ac.jp/M3/20110427/F51115/1764/2", 81.37)</f>
        <v>81.37</v>
      </c>
      <c r="E12880" s="2">
        <v>60.17</v>
      </c>
      <c r="F12880" s="2">
        <v>2</v>
      </c>
      <c r="G12880" s="2" t="s">
        <v>13</v>
      </c>
    </row>
    <row r="12881" spans="1:8" x14ac:dyDescent="0.2">
      <c r="A12881" s="2" t="s">
        <v>3274</v>
      </c>
      <c r="B12881" s="2" t="s">
        <v>54</v>
      </c>
      <c r="C12881" s="2">
        <v>692.10469999999998</v>
      </c>
      <c r="D12881" s="2">
        <f>HYPERLINK("http://mcb-m6.bioreg.kyushu-u.ac.jp/M3/20110427/F51113/1768/2", 85.32)</f>
        <v>85.32</v>
      </c>
      <c r="E12881" s="2">
        <v>64.34</v>
      </c>
      <c r="F12881" s="2">
        <v>2</v>
      </c>
      <c r="G12881" s="2" t="s">
        <v>13</v>
      </c>
    </row>
    <row r="12882" spans="1:8" x14ac:dyDescent="0.2">
      <c r="A12882" s="2" t="s">
        <v>3274</v>
      </c>
      <c r="B12882" s="2" t="s">
        <v>54</v>
      </c>
      <c r="C12882" s="2">
        <v>692.18520000000001</v>
      </c>
      <c r="D12882" s="2">
        <f>HYPERLINK("http://mcb-m6.bioreg.kyushu-u.ac.jp/M3/20110427/F51112/1855/2", 89.3)</f>
        <v>89.3</v>
      </c>
      <c r="E12882" s="2">
        <v>65.260000000000005</v>
      </c>
      <c r="F12882" s="2">
        <v>2</v>
      </c>
      <c r="G12882" s="2" t="s">
        <v>13</v>
      </c>
    </row>
    <row r="12883" spans="1:8" x14ac:dyDescent="0.2">
      <c r="A12883" s="2" t="s">
        <v>3274</v>
      </c>
      <c r="B12883" s="2" t="s">
        <v>54</v>
      </c>
      <c r="C12883" s="2">
        <v>692.13869999999997</v>
      </c>
      <c r="D12883" s="2">
        <f>HYPERLINK("http://mcb-m6.bioreg.kyushu-u.ac.jp/M3/20110428/F51127/1616/2", 89.35)</f>
        <v>89.35</v>
      </c>
      <c r="E12883" s="2">
        <v>71.930000000000007</v>
      </c>
      <c r="F12883" s="2">
        <v>2</v>
      </c>
      <c r="G12883" s="2" t="s">
        <v>13</v>
      </c>
    </row>
    <row r="12884" spans="1:8" x14ac:dyDescent="0.2">
      <c r="A12884" s="2" t="s">
        <v>3274</v>
      </c>
      <c r="B12884" s="2" t="s">
        <v>54</v>
      </c>
      <c r="C12884" s="2">
        <v>692.24270000000001</v>
      </c>
      <c r="D12884" s="2">
        <f>HYPERLINK("http://mcb-m6.bioreg.kyushu-u.ac.jp/M3/20110427/F51118/1897/2", 37.88)</f>
        <v>37.880000000000003</v>
      </c>
      <c r="E12884" s="2">
        <v>18.52</v>
      </c>
      <c r="F12884" s="2">
        <v>2</v>
      </c>
      <c r="G12884" s="2" t="s">
        <v>14</v>
      </c>
    </row>
    <row r="12885" spans="1:8" x14ac:dyDescent="0.2">
      <c r="A12885" s="2" t="s">
        <v>3274</v>
      </c>
      <c r="B12885" s="2" t="s">
        <v>54</v>
      </c>
      <c r="C12885" s="2">
        <v>692.82920000000001</v>
      </c>
      <c r="D12885" s="2">
        <f>HYPERLINK("http://mcb-m6.bioreg.kyushu-u.ac.jp/M3/20110428/F51130/1846/2", 54)</f>
        <v>54</v>
      </c>
      <c r="E12885" s="2">
        <v>7.31</v>
      </c>
      <c r="F12885" s="2">
        <v>2</v>
      </c>
      <c r="G12885" s="2" t="s">
        <v>14</v>
      </c>
    </row>
    <row r="12886" spans="1:8" x14ac:dyDescent="0.2">
      <c r="A12886" s="2" t="s">
        <v>3274</v>
      </c>
      <c r="B12886" s="2" t="s">
        <v>54</v>
      </c>
      <c r="C12886" s="2">
        <v>692.11969999999997</v>
      </c>
      <c r="D12886" s="2">
        <f>HYPERLINK("http://mcb-m6.bioreg.kyushu-u.ac.jp/M3/20110428/F51130/1845/2", 58.18)</f>
        <v>58.18</v>
      </c>
      <c r="E12886" s="2">
        <v>37.81</v>
      </c>
      <c r="F12886" s="2">
        <v>2</v>
      </c>
      <c r="G12886" s="2" t="s">
        <v>14</v>
      </c>
    </row>
    <row r="12887" spans="1:8" x14ac:dyDescent="0.2">
      <c r="A12887" s="2" t="s">
        <v>3274</v>
      </c>
      <c r="B12887" s="2" t="s">
        <v>54</v>
      </c>
      <c r="C12887" s="2">
        <v>692.14369999999997</v>
      </c>
      <c r="D12887" s="2">
        <f>HYPERLINK("http://mcb-m6.bioreg.kyushu-u.ac.jp/M3/20110427/F51123/1803/2", 58.28)</f>
        <v>58.28</v>
      </c>
      <c r="E12887" s="2">
        <v>42.77</v>
      </c>
      <c r="F12887" s="2">
        <v>2</v>
      </c>
      <c r="G12887" s="2" t="s">
        <v>14</v>
      </c>
    </row>
    <row r="12888" spans="1:8" x14ac:dyDescent="0.2">
      <c r="A12888" s="2" t="s">
        <v>3274</v>
      </c>
      <c r="B12888" s="2" t="s">
        <v>54</v>
      </c>
      <c r="C12888" s="2">
        <v>692.66470000000004</v>
      </c>
      <c r="D12888" s="2">
        <f>HYPERLINK("http://mcb-m6.bioreg.kyushu-u.ac.jp/M3/20110427/F51121/1830/2", 65.36)</f>
        <v>65.36</v>
      </c>
      <c r="E12888" s="2">
        <v>16.86</v>
      </c>
      <c r="F12888" s="2">
        <v>2</v>
      </c>
      <c r="G12888" s="2" t="s">
        <v>14</v>
      </c>
    </row>
    <row r="12889" spans="1:8" x14ac:dyDescent="0.2">
      <c r="A12889" s="2" t="s">
        <v>3274</v>
      </c>
      <c r="B12889" s="2" t="s">
        <v>118</v>
      </c>
      <c r="C12889" s="2">
        <v>820.24220000000003</v>
      </c>
      <c r="D12889" s="2">
        <f>HYPERLINK("http://mcb-m6.bioreg.kyushu-u.ac.jp/M3/20110428/F51128/2376/1", 66.69)</f>
        <v>66.69</v>
      </c>
      <c r="E12889" s="2">
        <v>54.68</v>
      </c>
      <c r="F12889" s="2">
        <v>2</v>
      </c>
      <c r="G12889" s="2" t="s">
        <v>14</v>
      </c>
    </row>
    <row r="12890" spans="1:8" x14ac:dyDescent="0.2">
      <c r="A12890" s="2" t="s">
        <v>3274</v>
      </c>
      <c r="B12890" s="2" t="s">
        <v>54</v>
      </c>
      <c r="C12890" s="2">
        <v>692.15170000000001</v>
      </c>
      <c r="D12890" s="2">
        <f>HYPERLINK("http://mcb-m6.bioreg.kyushu-u.ac.jp/M3/20110427/F51124/1806/2", 75.67)</f>
        <v>75.67</v>
      </c>
      <c r="E12890" s="2">
        <v>40.450000000000003</v>
      </c>
      <c r="F12890" s="2">
        <v>2</v>
      </c>
      <c r="G12890" s="2" t="s">
        <v>14</v>
      </c>
    </row>
    <row r="12891" spans="1:8" x14ac:dyDescent="0.2">
      <c r="A12891" s="2" t="s">
        <v>3274</v>
      </c>
      <c r="B12891" s="2" t="s">
        <v>54</v>
      </c>
      <c r="C12891" s="2">
        <v>692.19669999999996</v>
      </c>
      <c r="D12891" s="2">
        <f>HYPERLINK("http://mcb-m6.bioreg.kyushu-u.ac.jp/M3/20110428/F51129/1777/2", 81.88)</f>
        <v>81.88</v>
      </c>
      <c r="E12891" s="2">
        <v>59.12</v>
      </c>
      <c r="F12891" s="2">
        <v>2</v>
      </c>
      <c r="G12891" s="2" t="s">
        <v>14</v>
      </c>
    </row>
    <row r="12892" spans="1:8" x14ac:dyDescent="0.2">
      <c r="A12892" s="2" t="s">
        <v>3274</v>
      </c>
      <c r="B12892" s="2" t="s">
        <v>54</v>
      </c>
      <c r="C12892" s="2">
        <v>692.12459999999999</v>
      </c>
      <c r="D12892" s="2">
        <f>HYPERLINK("http://mcb-m6.bioreg.kyushu-u.ac.jp/M3/20110427/F51120/1909/2", 89.09)</f>
        <v>89.09</v>
      </c>
      <c r="E12892" s="2">
        <v>68.13</v>
      </c>
      <c r="F12892" s="2">
        <v>2</v>
      </c>
      <c r="G12892" s="2" t="s">
        <v>14</v>
      </c>
    </row>
    <row r="12893" spans="1:8" x14ac:dyDescent="0.2">
      <c r="A12893" s="2" t="s">
        <v>5634</v>
      </c>
      <c r="B12893" s="2" t="s">
        <v>5057</v>
      </c>
      <c r="C12893" s="2">
        <v>499.46960000000001</v>
      </c>
      <c r="D12893" s="2">
        <f>HYPERLINK("http://mcb-m6.bioreg.kyushu-u.ac.jp/M3/20110421/F51048/1084/1", 37.64)</f>
        <v>37.64</v>
      </c>
      <c r="E12893" s="2">
        <v>13.31</v>
      </c>
      <c r="F12893" s="2">
        <v>2</v>
      </c>
      <c r="G12893" s="2" t="s">
        <v>12</v>
      </c>
      <c r="H12893" s="2" t="s">
        <v>4915</v>
      </c>
    </row>
    <row r="12894" spans="1:8" x14ac:dyDescent="0.2">
      <c r="A12894" s="2" t="s">
        <v>3967</v>
      </c>
      <c r="B12894" s="2" t="s">
        <v>1944</v>
      </c>
      <c r="C12894" s="2">
        <v>606.35059999999999</v>
      </c>
      <c r="D12894" s="2">
        <f>HYPERLINK("http://mcb-m6.bioreg.kyushu-u.ac.jp/M3/20110404/F50765/1266/1", 40.34)</f>
        <v>40.340000000000003</v>
      </c>
      <c r="E12894" s="2">
        <v>25.38</v>
      </c>
      <c r="F12894" s="2">
        <v>2</v>
      </c>
      <c r="G12894" s="2" t="s">
        <v>9</v>
      </c>
    </row>
    <row r="12895" spans="1:8" x14ac:dyDescent="0.2">
      <c r="A12895" s="2" t="s">
        <v>3967</v>
      </c>
      <c r="B12895" s="2" t="s">
        <v>1198</v>
      </c>
      <c r="C12895" s="2">
        <v>657.63919999999996</v>
      </c>
      <c r="D12895" s="2">
        <f>HYPERLINK("http://mcb-m6.bioreg.kyushu-u.ac.jp/M3/20110427/F51115/1597/1", 52.46)</f>
        <v>52.46</v>
      </c>
      <c r="E12895" s="2">
        <v>31.47</v>
      </c>
      <c r="F12895" s="2">
        <v>2</v>
      </c>
      <c r="G12895" s="2" t="s">
        <v>13</v>
      </c>
    </row>
    <row r="12896" spans="1:8" x14ac:dyDescent="0.2">
      <c r="A12896" s="2" t="s">
        <v>7724</v>
      </c>
      <c r="B12896" s="2" t="s">
        <v>6444</v>
      </c>
      <c r="C12896" s="2">
        <v>869.27819999999997</v>
      </c>
      <c r="D12896" s="2">
        <f>HYPERLINK("http://mcb-m6.bioreg.kyushu-u.ac.jp/M3/20110404/F50766/4217/1", 65.22)</f>
        <v>65.22</v>
      </c>
      <c r="E12896" s="2">
        <v>55.3</v>
      </c>
      <c r="F12896" s="2">
        <v>3</v>
      </c>
      <c r="G12896" s="2" t="s">
        <v>9</v>
      </c>
    </row>
    <row r="12897" spans="1:9" x14ac:dyDescent="0.2">
      <c r="A12897" s="2" t="s">
        <v>7724</v>
      </c>
      <c r="B12897" s="2" t="s">
        <v>7000</v>
      </c>
      <c r="C12897" s="2">
        <v>912.89419999999996</v>
      </c>
      <c r="D12897" s="2">
        <f>HYPERLINK("http://mcb-m6.bioreg.kyushu-u.ac.jp/M3/20110404/F50772/2598/1", 76.86)</f>
        <v>76.86</v>
      </c>
      <c r="E12897" s="2">
        <v>54.95</v>
      </c>
      <c r="F12897" s="2">
        <v>2</v>
      </c>
      <c r="G12897" s="2" t="s">
        <v>10</v>
      </c>
      <c r="I12897" s="2" t="s">
        <v>4895</v>
      </c>
    </row>
    <row r="12898" spans="1:9" x14ac:dyDescent="0.2">
      <c r="A12898" s="2" t="s">
        <v>7724</v>
      </c>
      <c r="B12898" s="2" t="s">
        <v>7000</v>
      </c>
      <c r="C12898" s="2">
        <v>912.28809999999999</v>
      </c>
      <c r="D12898" s="2">
        <f>HYPERLINK("http://mcb-m6.bioreg.kyushu-u.ac.jp/M3/20110427/F51116/2818/1", 43.31)</f>
        <v>43.31</v>
      </c>
      <c r="E12898" s="2">
        <v>28.85</v>
      </c>
      <c r="F12898" s="2">
        <v>2</v>
      </c>
      <c r="G12898" s="2" t="s">
        <v>13</v>
      </c>
      <c r="I12898" s="2" t="s">
        <v>4895</v>
      </c>
    </row>
    <row r="12899" spans="1:9" x14ac:dyDescent="0.2">
      <c r="A12899" s="2" t="s">
        <v>7724</v>
      </c>
      <c r="B12899" s="2" t="s">
        <v>7000</v>
      </c>
      <c r="C12899" s="2">
        <v>912.23069999999996</v>
      </c>
      <c r="D12899" s="2">
        <f>HYPERLINK("http://mcb-m6.bioreg.kyushu-u.ac.jp/M3/20110427/F51115/2667/1", 71.1)</f>
        <v>71.099999999999994</v>
      </c>
      <c r="E12899" s="2">
        <v>46.99</v>
      </c>
      <c r="F12899" s="2">
        <v>2</v>
      </c>
      <c r="G12899" s="2" t="s">
        <v>13</v>
      </c>
      <c r="I12899" s="2" t="s">
        <v>4895</v>
      </c>
    </row>
    <row r="12900" spans="1:9" x14ac:dyDescent="0.2">
      <c r="A12900" s="2" t="s">
        <v>7724</v>
      </c>
      <c r="B12900" s="2" t="s">
        <v>7515</v>
      </c>
      <c r="C12900" s="2">
        <v>922.13959999999997</v>
      </c>
      <c r="D12900" s="2">
        <f>HYPERLINK("http://mcb-m6.bioreg.kyushu-u.ac.jp/M3/20110427/F51125/2809/1", 93.61)</f>
        <v>93.61</v>
      </c>
      <c r="E12900" s="2">
        <v>74.44</v>
      </c>
      <c r="F12900" s="2">
        <v>2</v>
      </c>
      <c r="G12900" s="2" t="s">
        <v>14</v>
      </c>
    </row>
    <row r="12901" spans="1:9" x14ac:dyDescent="0.2">
      <c r="A12901" s="2" t="s">
        <v>7869</v>
      </c>
      <c r="B12901" s="2" t="s">
        <v>6868</v>
      </c>
      <c r="C12901" s="2">
        <v>678.62019999999995</v>
      </c>
      <c r="D12901" s="2">
        <f>HYPERLINK("http://mcb-m6.bioreg.kyushu-u.ac.jp/M3/20110404/F50771/1598/1", 51.03)</f>
        <v>51.03</v>
      </c>
      <c r="E12901" s="2">
        <v>32.049999999999997</v>
      </c>
      <c r="F12901" s="2">
        <v>2</v>
      </c>
      <c r="G12901" s="2" t="s">
        <v>10</v>
      </c>
      <c r="I12901" s="2" t="s">
        <v>8138</v>
      </c>
    </row>
    <row r="12902" spans="1:9" x14ac:dyDescent="0.2">
      <c r="A12902" s="2" t="s">
        <v>7869</v>
      </c>
      <c r="B12902" s="2" t="s">
        <v>7131</v>
      </c>
      <c r="C12902" s="2">
        <v>722.18769999999995</v>
      </c>
      <c r="D12902" s="2">
        <f>HYPERLINK("http://mcb-m6.bioreg.kyushu-u.ac.jp/M3/20110421/F51042/1811/1", 59.94)</f>
        <v>59.94</v>
      </c>
      <c r="E12902" s="2">
        <v>43.83</v>
      </c>
      <c r="F12902" s="2">
        <v>2</v>
      </c>
      <c r="G12902" s="2" t="s">
        <v>11</v>
      </c>
      <c r="I12902" s="2" t="s">
        <v>5890</v>
      </c>
    </row>
    <row r="12903" spans="1:9" x14ac:dyDescent="0.2">
      <c r="A12903" s="2" t="s">
        <v>7869</v>
      </c>
      <c r="B12903" s="2" t="s">
        <v>7291</v>
      </c>
      <c r="C12903" s="2">
        <v>525.79719999999998</v>
      </c>
      <c r="D12903" s="2">
        <f>HYPERLINK("http://mcb-m6.bioreg.kyushu-u.ac.jp/M3/20110427/F51116/1141/1", 35.8)</f>
        <v>35.799999999999997</v>
      </c>
      <c r="E12903" s="2">
        <v>20.99</v>
      </c>
      <c r="F12903" s="2">
        <v>2</v>
      </c>
      <c r="G12903" s="2" t="s">
        <v>13</v>
      </c>
      <c r="I12903" s="2" t="s">
        <v>4923</v>
      </c>
    </row>
    <row r="12904" spans="1:9" x14ac:dyDescent="0.2">
      <c r="A12904" s="2" t="s">
        <v>7869</v>
      </c>
      <c r="B12904" s="2" t="s">
        <v>6868</v>
      </c>
      <c r="C12904" s="2">
        <v>679.15620000000001</v>
      </c>
      <c r="D12904" s="2">
        <f>HYPERLINK("http://mcb-m6.bioreg.kyushu-u.ac.jp/M3/20110427/F51117/1664/1", 53.71)</f>
        <v>53.71</v>
      </c>
      <c r="E12904" s="2">
        <v>39.07</v>
      </c>
      <c r="F12904" s="2">
        <v>2</v>
      </c>
      <c r="G12904" s="2" t="s">
        <v>13</v>
      </c>
      <c r="I12904" s="2" t="s">
        <v>8138</v>
      </c>
    </row>
    <row r="12905" spans="1:9" x14ac:dyDescent="0.2">
      <c r="A12905" s="2" t="s">
        <v>7869</v>
      </c>
      <c r="B12905" s="2" t="s">
        <v>7410</v>
      </c>
      <c r="C12905" s="2">
        <v>683.2097</v>
      </c>
      <c r="D12905" s="2">
        <f>HYPERLINK("http://mcb-m6.bioreg.kyushu-u.ac.jp/M3/20110427/F51116/1731/1", 61.82)</f>
        <v>61.82</v>
      </c>
      <c r="E12905" s="2">
        <v>35.46</v>
      </c>
      <c r="F12905" s="2">
        <v>2</v>
      </c>
      <c r="G12905" s="2" t="s">
        <v>13</v>
      </c>
      <c r="I12905" s="2" t="s">
        <v>8140</v>
      </c>
    </row>
    <row r="12906" spans="1:9" x14ac:dyDescent="0.2">
      <c r="A12906" s="2" t="s">
        <v>7869</v>
      </c>
      <c r="B12906" s="2" t="s">
        <v>6868</v>
      </c>
      <c r="C12906" s="2">
        <v>678.67169999999999</v>
      </c>
      <c r="D12906" s="2">
        <f>HYPERLINK("http://mcb-m6.bioreg.kyushu-u.ac.jp/M3/20110427/F51116/1704/1", 64.84)</f>
        <v>64.84</v>
      </c>
      <c r="E12906" s="2">
        <v>52.2</v>
      </c>
      <c r="F12906" s="2">
        <v>2</v>
      </c>
      <c r="G12906" s="2" t="s">
        <v>13</v>
      </c>
      <c r="I12906" s="2" t="s">
        <v>8138</v>
      </c>
    </row>
    <row r="12907" spans="1:9" x14ac:dyDescent="0.2">
      <c r="A12907" s="2" t="s">
        <v>7869</v>
      </c>
      <c r="B12907" s="2" t="s">
        <v>7419</v>
      </c>
      <c r="C12907" s="2">
        <v>960.25919999999996</v>
      </c>
      <c r="D12907" s="2">
        <f>HYPERLINK("http://mcb-m6.bioreg.kyushu-u.ac.jp/M3/20110427/F51117/2879/1", 68.31)</f>
        <v>68.31</v>
      </c>
      <c r="E12907" s="2">
        <v>56.85</v>
      </c>
      <c r="F12907" s="2">
        <v>2</v>
      </c>
      <c r="G12907" s="2" t="s">
        <v>13</v>
      </c>
      <c r="I12907" s="2" t="s">
        <v>8152</v>
      </c>
    </row>
    <row r="12908" spans="1:9" x14ac:dyDescent="0.2">
      <c r="A12908" s="2" t="s">
        <v>7869</v>
      </c>
      <c r="B12908" s="2" t="s">
        <v>7410</v>
      </c>
      <c r="C12908" s="2">
        <v>682.69370000000004</v>
      </c>
      <c r="D12908" s="2">
        <f>HYPERLINK("http://mcb-m6.bioreg.kyushu-u.ac.jp/M3/20110427/F51116/1728/1", 79.84)</f>
        <v>79.84</v>
      </c>
      <c r="E12908" s="2">
        <v>47.59</v>
      </c>
      <c r="F12908" s="2">
        <v>2</v>
      </c>
      <c r="G12908" s="2" t="s">
        <v>13</v>
      </c>
      <c r="I12908" s="2" t="s">
        <v>8140</v>
      </c>
    </row>
    <row r="12909" spans="1:9" x14ac:dyDescent="0.2">
      <c r="A12909" s="2" t="s">
        <v>7869</v>
      </c>
      <c r="B12909" s="2" t="s">
        <v>7419</v>
      </c>
      <c r="C12909" s="2">
        <v>959.71259999999995</v>
      </c>
      <c r="D12909" s="2">
        <f>HYPERLINK("http://mcb-m6.bioreg.kyushu-u.ac.jp/M3/20110427/F51116/2939/1", 87.8)</f>
        <v>87.8</v>
      </c>
      <c r="E12909" s="2">
        <v>55.57</v>
      </c>
      <c r="F12909" s="2">
        <v>2</v>
      </c>
      <c r="G12909" s="2" t="s">
        <v>13</v>
      </c>
      <c r="I12909" s="2" t="s">
        <v>8152</v>
      </c>
    </row>
    <row r="12910" spans="1:9" x14ac:dyDescent="0.2">
      <c r="A12910" s="2" t="s">
        <v>7869</v>
      </c>
      <c r="B12910" s="2" t="s">
        <v>7419</v>
      </c>
      <c r="C12910" s="2">
        <v>960.22810000000004</v>
      </c>
      <c r="D12910" s="2">
        <f>HYPERLINK("http://mcb-m6.bioreg.kyushu-u.ac.jp/M3/20110427/F51116/2941/1", 93.36)</f>
        <v>93.36</v>
      </c>
      <c r="E12910" s="2">
        <v>77.930000000000007</v>
      </c>
      <c r="F12910" s="2">
        <v>2</v>
      </c>
      <c r="G12910" s="2" t="s">
        <v>13</v>
      </c>
      <c r="I12910" s="2" t="s">
        <v>8152</v>
      </c>
    </row>
    <row r="12911" spans="1:9" x14ac:dyDescent="0.2">
      <c r="A12911" s="2" t="s">
        <v>7869</v>
      </c>
      <c r="B12911" s="2" t="s">
        <v>7419</v>
      </c>
      <c r="C12911" s="2">
        <v>960.11270000000002</v>
      </c>
      <c r="D12911" s="2">
        <f>HYPERLINK("http://mcb-m6.bioreg.kyushu-u.ac.jp/M3/20110427/F51125/2894/1", 57.99)</f>
        <v>57.99</v>
      </c>
      <c r="E12911" s="2">
        <v>38.61</v>
      </c>
      <c r="F12911" s="2">
        <v>2</v>
      </c>
      <c r="G12911" s="2" t="s">
        <v>14</v>
      </c>
      <c r="I12911" s="2" t="s">
        <v>8152</v>
      </c>
    </row>
    <row r="12912" spans="1:9" x14ac:dyDescent="0.2">
      <c r="A12912" s="2" t="s">
        <v>7869</v>
      </c>
      <c r="B12912" s="2" t="s">
        <v>7410</v>
      </c>
      <c r="C12912" s="2">
        <v>682.63919999999996</v>
      </c>
      <c r="D12912" s="2">
        <f>HYPERLINK("http://mcb-m6.bioreg.kyushu-u.ac.jp/M3/20110427/F51125/1818/1", 78.68)</f>
        <v>78.680000000000007</v>
      </c>
      <c r="E12912" s="2">
        <v>50.62</v>
      </c>
      <c r="F12912" s="2">
        <v>2</v>
      </c>
      <c r="G12912" s="2" t="s">
        <v>14</v>
      </c>
      <c r="I12912" s="2" t="s">
        <v>8140</v>
      </c>
    </row>
    <row r="12913" spans="1:9" x14ac:dyDescent="0.2">
      <c r="A12913" s="2" t="s">
        <v>7944</v>
      </c>
      <c r="B12913" s="2" t="s">
        <v>7138</v>
      </c>
      <c r="C12913" s="2">
        <v>972.40009999999995</v>
      </c>
      <c r="D12913" s="2">
        <f>HYPERLINK("http://mcb-m6.bioreg.kyushu-u.ac.jp/M3/20110421/F51042/3167/1", 64.42)</f>
        <v>64.42</v>
      </c>
      <c r="E12913" s="2">
        <v>55.49</v>
      </c>
      <c r="F12913" s="2">
        <v>2</v>
      </c>
      <c r="G12913" s="2" t="s">
        <v>11</v>
      </c>
    </row>
    <row r="12914" spans="1:9" x14ac:dyDescent="0.2">
      <c r="A12914" s="2" t="s">
        <v>7944</v>
      </c>
      <c r="B12914" s="2" t="s">
        <v>7138</v>
      </c>
      <c r="C12914" s="2">
        <v>972.74869999999999</v>
      </c>
      <c r="D12914" s="2">
        <f>HYPERLINK("http://mcb-m6.bioreg.kyushu-u.ac.jp/M3/20110427/F51116/2979/1", 78.25)</f>
        <v>78.25</v>
      </c>
      <c r="E12914" s="2">
        <v>68.510000000000005</v>
      </c>
      <c r="F12914" s="2">
        <v>2</v>
      </c>
      <c r="G12914" s="2" t="s">
        <v>13</v>
      </c>
    </row>
    <row r="12915" spans="1:9" x14ac:dyDescent="0.2">
      <c r="A12915" s="2" t="s">
        <v>7944</v>
      </c>
      <c r="B12915" s="2" t="s">
        <v>7434</v>
      </c>
      <c r="C12915" s="2">
        <v>708.16520000000003</v>
      </c>
      <c r="D12915" s="2">
        <f>HYPERLINK("http://mcb-m6.bioreg.kyushu-u.ac.jp/M3/20110427/F51117/1832/1", 82.81)</f>
        <v>82.81</v>
      </c>
      <c r="E12915" s="2">
        <v>60.49</v>
      </c>
      <c r="F12915" s="2">
        <v>2</v>
      </c>
      <c r="G12915" s="2" t="s">
        <v>13</v>
      </c>
      <c r="I12915" s="2" t="s">
        <v>8149</v>
      </c>
    </row>
    <row r="12916" spans="1:9" x14ac:dyDescent="0.2">
      <c r="A12916" s="2" t="s">
        <v>7584</v>
      </c>
      <c r="B12916" s="2" t="s">
        <v>6039</v>
      </c>
      <c r="C12916" s="2">
        <v>537.99869999999999</v>
      </c>
      <c r="D12916" s="2">
        <f>HYPERLINK("http://mcb-m6.bioreg.kyushu-u.ac.jp/M3/20110404/F50762/1124/1", 39.89)</f>
        <v>39.89</v>
      </c>
      <c r="E12916" s="2">
        <v>19.63</v>
      </c>
      <c r="F12916" s="2">
        <v>2</v>
      </c>
      <c r="G12916" s="2" t="s">
        <v>9</v>
      </c>
    </row>
    <row r="12917" spans="1:9" x14ac:dyDescent="0.2">
      <c r="A12917" s="2" t="s">
        <v>7992</v>
      </c>
      <c r="B12917" s="2" t="s">
        <v>7211</v>
      </c>
      <c r="C12917" s="2">
        <v>625.18870000000004</v>
      </c>
      <c r="D12917" s="2">
        <f>HYPERLINK("http://mcb-m6.bioreg.kyushu-u.ac.jp/M3/20110421/F51021/1447/1", 47.01)</f>
        <v>47.01</v>
      </c>
      <c r="E12917" s="2">
        <v>28.97</v>
      </c>
      <c r="F12917" s="2">
        <v>2</v>
      </c>
      <c r="G12917" s="2" t="s">
        <v>12</v>
      </c>
      <c r="H12917" s="2" t="s">
        <v>4915</v>
      </c>
    </row>
    <row r="12918" spans="1:9" x14ac:dyDescent="0.2">
      <c r="A12918" s="2" t="s">
        <v>7992</v>
      </c>
      <c r="B12918" s="2" t="s">
        <v>7234</v>
      </c>
      <c r="C12918" s="2">
        <v>862.32759999999996</v>
      </c>
      <c r="D12918" s="2">
        <f>HYPERLINK("http://mcb-m6.bioreg.kyushu-u.ac.jp/M3/20110421/F51021/2748/1", 54.95)</f>
        <v>54.95</v>
      </c>
      <c r="E12918" s="2">
        <v>36.14</v>
      </c>
      <c r="F12918" s="2">
        <v>2</v>
      </c>
      <c r="G12918" s="2" t="s">
        <v>12</v>
      </c>
    </row>
    <row r="12919" spans="1:9" x14ac:dyDescent="0.2">
      <c r="A12919" s="2" t="s">
        <v>7992</v>
      </c>
      <c r="B12919" s="2" t="s">
        <v>7257</v>
      </c>
      <c r="C12919" s="2">
        <v>952.23609999999996</v>
      </c>
      <c r="D12919" s="2">
        <f>HYPERLINK("http://mcb-m6.bioreg.kyushu-u.ac.jp/M3/20110421/F51021/3165/1", 69.18)</f>
        <v>69.180000000000007</v>
      </c>
      <c r="E12919" s="2">
        <v>56.15</v>
      </c>
      <c r="F12919" s="2">
        <v>2</v>
      </c>
      <c r="G12919" s="2" t="s">
        <v>12</v>
      </c>
      <c r="H12919" s="2" t="s">
        <v>4919</v>
      </c>
    </row>
    <row r="12920" spans="1:9" x14ac:dyDescent="0.2">
      <c r="A12920" s="2" t="s">
        <v>7992</v>
      </c>
      <c r="B12920" s="2" t="s">
        <v>7234</v>
      </c>
      <c r="C12920" s="2">
        <v>870.00459999999998</v>
      </c>
      <c r="D12920" s="2">
        <f>HYPERLINK("http://mcb-m6.bioreg.kyushu-u.ac.jp/M3/20110421/F51021/2781/1", 75.56)</f>
        <v>75.56</v>
      </c>
      <c r="E12920" s="2">
        <v>56.74</v>
      </c>
      <c r="F12920" s="2">
        <v>2</v>
      </c>
      <c r="G12920" s="2" t="s">
        <v>12</v>
      </c>
      <c r="H12920" s="2" t="s">
        <v>4927</v>
      </c>
    </row>
    <row r="12921" spans="1:9" x14ac:dyDescent="0.2">
      <c r="A12921" s="2" t="s">
        <v>7942</v>
      </c>
      <c r="B12921" s="2" t="s">
        <v>7130</v>
      </c>
      <c r="C12921" s="2">
        <v>671.61969999999997</v>
      </c>
      <c r="D12921" s="2">
        <f>HYPERLINK("http://mcb-m6.bioreg.kyushu-u.ac.jp/M3/20110421/F51014/1799/1", 59.9)</f>
        <v>59.9</v>
      </c>
      <c r="E12921" s="2">
        <v>42.55</v>
      </c>
      <c r="F12921" s="2">
        <v>2</v>
      </c>
      <c r="G12921" s="2" t="s">
        <v>11</v>
      </c>
      <c r="I12921" s="2" t="s">
        <v>4903</v>
      </c>
    </row>
    <row r="12922" spans="1:9" x14ac:dyDescent="0.2">
      <c r="A12922" s="2" t="s">
        <v>7942</v>
      </c>
      <c r="B12922" s="2" t="s">
        <v>7130</v>
      </c>
      <c r="C12922" s="2">
        <v>678.96510000000001</v>
      </c>
      <c r="D12922" s="2">
        <f>HYPERLINK("http://mcb-m6.bioreg.kyushu-u.ac.jp/M3/20110421/F51014/1833/1", 88.34)</f>
        <v>88.34</v>
      </c>
      <c r="E12922" s="2">
        <v>65.64</v>
      </c>
      <c r="F12922" s="2">
        <v>2</v>
      </c>
      <c r="G12922" s="2" t="s">
        <v>11</v>
      </c>
      <c r="H12922" s="2" t="s">
        <v>4919</v>
      </c>
      <c r="I12922" s="2" t="s">
        <v>4903</v>
      </c>
    </row>
    <row r="12923" spans="1:9" x14ac:dyDescent="0.2">
      <c r="A12923" s="2" t="s">
        <v>7942</v>
      </c>
      <c r="B12923" s="2" t="s">
        <v>7130</v>
      </c>
      <c r="C12923" s="2">
        <v>679.25459999999998</v>
      </c>
      <c r="D12923" s="2">
        <f>HYPERLINK("http://mcb-m6.bioreg.kyushu-u.ac.jp/M3/20110421/F51021/1691/1", 58.31)</f>
        <v>58.31</v>
      </c>
      <c r="E12923" s="2">
        <v>43.18</v>
      </c>
      <c r="F12923" s="2">
        <v>2</v>
      </c>
      <c r="G12923" s="2" t="s">
        <v>12</v>
      </c>
      <c r="H12923" s="2" t="s">
        <v>4919</v>
      </c>
      <c r="I12923" s="2" t="s">
        <v>4903</v>
      </c>
    </row>
    <row r="12924" spans="1:9" x14ac:dyDescent="0.2">
      <c r="A12924" s="2" t="s">
        <v>7942</v>
      </c>
      <c r="B12924" s="2" t="s">
        <v>7130</v>
      </c>
      <c r="C12924" s="2">
        <v>671.74570000000006</v>
      </c>
      <c r="D12924" s="2">
        <f>HYPERLINK("http://mcb-m6.bioreg.kyushu-u.ac.jp/M3/20110421/F51021/1639/1", 60.1)</f>
        <v>60.1</v>
      </c>
      <c r="E12924" s="2">
        <v>45.2</v>
      </c>
      <c r="F12924" s="2">
        <v>2</v>
      </c>
      <c r="G12924" s="2" t="s">
        <v>12</v>
      </c>
      <c r="I12924" s="2" t="s">
        <v>4903</v>
      </c>
    </row>
    <row r="12925" spans="1:9" x14ac:dyDescent="0.2">
      <c r="A12925" s="2" t="s">
        <v>7942</v>
      </c>
      <c r="B12925" s="2" t="s">
        <v>7130</v>
      </c>
      <c r="C12925" s="2">
        <v>671.60820000000001</v>
      </c>
      <c r="D12925" s="2">
        <f>HYPERLINK("http://mcb-m6.bioreg.kyushu-u.ac.jp/M3/20110427/F51108/1765/1", 38.51)</f>
        <v>38.51</v>
      </c>
      <c r="E12925" s="2">
        <v>27.44</v>
      </c>
      <c r="F12925" s="2">
        <v>2</v>
      </c>
      <c r="G12925" s="2" t="s">
        <v>13</v>
      </c>
      <c r="I12925" s="2" t="s">
        <v>4903</v>
      </c>
    </row>
    <row r="12926" spans="1:9" x14ac:dyDescent="0.2">
      <c r="A12926" s="2" t="s">
        <v>7942</v>
      </c>
      <c r="B12926" s="2" t="s">
        <v>7130</v>
      </c>
      <c r="C12926" s="2">
        <v>679.72609999999997</v>
      </c>
      <c r="D12926" s="2">
        <f>HYPERLINK("http://mcb-m6.bioreg.kyushu-u.ac.jp/M3/20110427/F51108/1795/1", 75.4)</f>
        <v>75.400000000000006</v>
      </c>
      <c r="E12926" s="2">
        <v>51.11</v>
      </c>
      <c r="F12926" s="2">
        <v>2</v>
      </c>
      <c r="G12926" s="2" t="s">
        <v>13</v>
      </c>
      <c r="H12926" s="2" t="s">
        <v>4919</v>
      </c>
      <c r="I12926" s="2" t="s">
        <v>4903</v>
      </c>
    </row>
    <row r="12927" spans="1:9" x14ac:dyDescent="0.2">
      <c r="A12927" s="2" t="s">
        <v>7942</v>
      </c>
      <c r="B12927" s="2" t="s">
        <v>7130</v>
      </c>
      <c r="C12927" s="2">
        <v>671.68470000000002</v>
      </c>
      <c r="D12927" s="2">
        <f>HYPERLINK("http://mcb-m6.bioreg.kyushu-u.ac.jp/M3/20110427/F51118/1826/1", 59.9)</f>
        <v>59.9</v>
      </c>
      <c r="E12927" s="2">
        <v>42.8</v>
      </c>
      <c r="F12927" s="2">
        <v>2</v>
      </c>
      <c r="G12927" s="2" t="s">
        <v>14</v>
      </c>
      <c r="I12927" s="2" t="s">
        <v>4903</v>
      </c>
    </row>
    <row r="12928" spans="1:9" x14ac:dyDescent="0.2">
      <c r="A12928" s="2" t="s">
        <v>7942</v>
      </c>
      <c r="B12928" s="2" t="s">
        <v>7130</v>
      </c>
      <c r="C12928" s="2">
        <v>679.58969999999999</v>
      </c>
      <c r="D12928" s="2">
        <f>HYPERLINK("http://mcb-m6.bioreg.kyushu-u.ac.jp/M3/20110427/F51118/1849/1", 75.57)</f>
        <v>75.569999999999993</v>
      </c>
      <c r="E12928" s="2">
        <v>53.42</v>
      </c>
      <c r="F12928" s="2">
        <v>2</v>
      </c>
      <c r="G12928" s="2" t="s">
        <v>14</v>
      </c>
      <c r="H12928" s="2" t="s">
        <v>4919</v>
      </c>
      <c r="I12928" s="2" t="s">
        <v>4903</v>
      </c>
    </row>
    <row r="12929" spans="1:9" x14ac:dyDescent="0.2">
      <c r="A12929" s="2" t="s">
        <v>7942</v>
      </c>
      <c r="B12929" s="2" t="s">
        <v>7130</v>
      </c>
      <c r="C12929" s="2">
        <v>679.08619999999996</v>
      </c>
      <c r="D12929" s="2">
        <f>HYPERLINK("http://mcb-m6.bioreg.kyushu-u.ac.jp/M3/20110427/F51118/1846/1", 83.74)</f>
        <v>83.74</v>
      </c>
      <c r="E12929" s="2">
        <v>61.28</v>
      </c>
      <c r="F12929" s="2">
        <v>2</v>
      </c>
      <c r="G12929" s="2" t="s">
        <v>14</v>
      </c>
      <c r="H12929" s="2" t="s">
        <v>4919</v>
      </c>
      <c r="I12929" s="2" t="s">
        <v>4903</v>
      </c>
    </row>
    <row r="12930" spans="1:9" x14ac:dyDescent="0.2">
      <c r="A12930" s="2" t="s">
        <v>7923</v>
      </c>
      <c r="B12930" s="2" t="s">
        <v>7089</v>
      </c>
      <c r="C12930" s="2">
        <v>498.8306</v>
      </c>
      <c r="D12930" s="2">
        <f>HYPERLINK("http://mcb-m6.bioreg.kyushu-u.ac.jp/M3/20110421/F51014/1235/1", 39.01)</f>
        <v>39.01</v>
      </c>
      <c r="E12930" s="2">
        <v>19.329999999999998</v>
      </c>
      <c r="F12930" s="2">
        <v>2</v>
      </c>
      <c r="G12930" s="2" t="s">
        <v>11</v>
      </c>
    </row>
    <row r="12931" spans="1:9" x14ac:dyDescent="0.2">
      <c r="A12931" s="2" t="s">
        <v>7923</v>
      </c>
      <c r="B12931" s="2" t="s">
        <v>7089</v>
      </c>
      <c r="C12931" s="2">
        <v>498.10860000000002</v>
      </c>
      <c r="D12931" s="2">
        <f>HYPERLINK("http://mcb-m6.bioreg.kyushu-u.ac.jp/M3/20110421/F51014/1229/1", 40.46)</f>
        <v>40.46</v>
      </c>
      <c r="E12931" s="2">
        <v>20.02</v>
      </c>
      <c r="F12931" s="2">
        <v>2</v>
      </c>
      <c r="G12931" s="2" t="s">
        <v>11</v>
      </c>
    </row>
    <row r="12932" spans="1:9" x14ac:dyDescent="0.2">
      <c r="A12932" s="2" t="s">
        <v>7923</v>
      </c>
      <c r="B12932" s="2" t="s">
        <v>7089</v>
      </c>
      <c r="C12932" s="2">
        <v>498.04860000000002</v>
      </c>
      <c r="D12932" s="2">
        <f>HYPERLINK("http://mcb-m6.bioreg.kyushu-u.ac.jp/M3/20110421/F51014/1228/1", 49.84)</f>
        <v>49.84</v>
      </c>
      <c r="E12932" s="2">
        <v>24.95</v>
      </c>
      <c r="F12932" s="2">
        <v>2</v>
      </c>
      <c r="G12932" s="2" t="s">
        <v>11</v>
      </c>
    </row>
    <row r="12933" spans="1:9" x14ac:dyDescent="0.2">
      <c r="A12933" s="2" t="s">
        <v>7923</v>
      </c>
      <c r="B12933" s="2" t="s">
        <v>7089</v>
      </c>
      <c r="C12933" s="2">
        <v>498.64159999999998</v>
      </c>
      <c r="D12933" s="2">
        <f>HYPERLINK("http://mcb-m6.bioreg.kyushu-u.ac.jp/M3/20110421/F51014/1232/1", 58.81)</f>
        <v>58.81</v>
      </c>
      <c r="E12933" s="2">
        <v>38.04</v>
      </c>
      <c r="F12933" s="2">
        <v>2</v>
      </c>
      <c r="G12933" s="2" t="s">
        <v>11</v>
      </c>
    </row>
    <row r="12934" spans="1:9" x14ac:dyDescent="0.2">
      <c r="A12934" s="2" t="s">
        <v>7923</v>
      </c>
      <c r="B12934" s="2" t="s">
        <v>7136</v>
      </c>
      <c r="C12934" s="2">
        <v>772.48609999999996</v>
      </c>
      <c r="D12934" s="2">
        <f>HYPERLINK("http://mcb-m6.bioreg.kyushu-u.ac.jp/M3/20110421/F51014/2267/1", 63.2)</f>
        <v>63.2</v>
      </c>
      <c r="E12934" s="2">
        <v>29.69</v>
      </c>
      <c r="F12934" s="2">
        <v>2</v>
      </c>
      <c r="G12934" s="2" t="s">
        <v>11</v>
      </c>
    </row>
    <row r="12935" spans="1:9" x14ac:dyDescent="0.2">
      <c r="A12935" s="2" t="s">
        <v>7923</v>
      </c>
      <c r="B12935" s="2" t="s">
        <v>7089</v>
      </c>
      <c r="C12935" s="2">
        <v>995.52</v>
      </c>
      <c r="D12935" s="2">
        <f>HYPERLINK("http://mcb-m6.bioreg.kyushu-u.ac.jp/M3/20110421/F51021/816/1", 53.46)</f>
        <v>53.46</v>
      </c>
      <c r="E12935" s="2">
        <v>27.67</v>
      </c>
      <c r="F12935" s="2">
        <v>1</v>
      </c>
      <c r="G12935" s="2" t="s">
        <v>12</v>
      </c>
    </row>
    <row r="12936" spans="1:9" x14ac:dyDescent="0.2">
      <c r="A12936" s="2" t="s">
        <v>7923</v>
      </c>
      <c r="B12936" s="2" t="s">
        <v>7089</v>
      </c>
      <c r="C12936" s="2">
        <v>498.79360000000003</v>
      </c>
      <c r="D12936" s="2">
        <f>HYPERLINK("http://mcb-m6.bioreg.kyushu-u.ac.jp/M3/20110421/F51021/821/1", 62.05)</f>
        <v>62.05</v>
      </c>
      <c r="E12936" s="2">
        <v>41.36</v>
      </c>
      <c r="F12936" s="2">
        <v>2</v>
      </c>
      <c r="G12936" s="2" t="s">
        <v>12</v>
      </c>
    </row>
    <row r="12937" spans="1:9" x14ac:dyDescent="0.2">
      <c r="A12937" s="2" t="s">
        <v>7923</v>
      </c>
      <c r="B12937" s="2" t="s">
        <v>7136</v>
      </c>
      <c r="C12937" s="2">
        <v>772.58010000000002</v>
      </c>
      <c r="D12937" s="2">
        <f>HYPERLINK("http://mcb-m6.bioreg.kyushu-u.ac.jp/M3/20110421/F51021/2255/1", 62.59)</f>
        <v>62.59</v>
      </c>
      <c r="E12937" s="2">
        <v>37.119999999999997</v>
      </c>
      <c r="F12937" s="2">
        <v>2</v>
      </c>
      <c r="G12937" s="2" t="s">
        <v>12</v>
      </c>
    </row>
    <row r="12938" spans="1:9" x14ac:dyDescent="0.2">
      <c r="A12938" s="2" t="s">
        <v>7923</v>
      </c>
      <c r="B12938" s="2" t="s">
        <v>7274</v>
      </c>
      <c r="C12938" s="2">
        <v>894.28219999999999</v>
      </c>
      <c r="D12938" s="2">
        <f>HYPERLINK("http://mcb-m6.bioreg.kyushu-u.ac.jp/M3/20110421/F51021/2907/1", 96.87)</f>
        <v>96.87</v>
      </c>
      <c r="E12938" s="2">
        <v>81.17</v>
      </c>
      <c r="F12938" s="2">
        <v>2</v>
      </c>
      <c r="G12938" s="2" t="s">
        <v>12</v>
      </c>
    </row>
    <row r="12939" spans="1:9" x14ac:dyDescent="0.2">
      <c r="A12939" s="2" t="s">
        <v>7923</v>
      </c>
      <c r="B12939" s="2" t="s">
        <v>7089</v>
      </c>
      <c r="C12939" s="2">
        <v>498.63159999999999</v>
      </c>
      <c r="D12939" s="2">
        <f>HYPERLINK("http://mcb-m6.bioreg.kyushu-u.ac.jp/M3/20110427/F51108/1201/1", 58.77)</f>
        <v>58.77</v>
      </c>
      <c r="E12939" s="2">
        <v>37.979999999999997</v>
      </c>
      <c r="F12939" s="2">
        <v>2</v>
      </c>
      <c r="G12939" s="2" t="s">
        <v>13</v>
      </c>
    </row>
    <row r="12940" spans="1:9" x14ac:dyDescent="0.2">
      <c r="A12940" s="2" t="s">
        <v>7923</v>
      </c>
      <c r="B12940" s="2" t="s">
        <v>7136</v>
      </c>
      <c r="C12940" s="2">
        <v>772.52509999999995</v>
      </c>
      <c r="D12940" s="2">
        <f>HYPERLINK("http://mcb-m6.bioreg.kyushu-u.ac.jp/M3/20110427/F51108/2161/1", 79.04)</f>
        <v>79.040000000000006</v>
      </c>
      <c r="E12940" s="2">
        <v>57.72</v>
      </c>
      <c r="F12940" s="2">
        <v>2</v>
      </c>
      <c r="G12940" s="2" t="s">
        <v>13</v>
      </c>
    </row>
    <row r="12941" spans="1:9" x14ac:dyDescent="0.2">
      <c r="A12941" s="2" t="s">
        <v>7923</v>
      </c>
      <c r="B12941" s="2" t="s">
        <v>7274</v>
      </c>
      <c r="C12941" s="2">
        <v>893.83169999999996</v>
      </c>
      <c r="D12941" s="2">
        <f>HYPERLINK("http://mcb-m6.bioreg.kyushu-u.ac.jp/M3/20110427/F51108/2589/1", 92.12)</f>
        <v>92.12</v>
      </c>
      <c r="E12941" s="2">
        <v>77.180000000000007</v>
      </c>
      <c r="F12941" s="2">
        <v>2</v>
      </c>
      <c r="G12941" s="2" t="s">
        <v>13</v>
      </c>
    </row>
    <row r="12942" spans="1:9" x14ac:dyDescent="0.2">
      <c r="A12942" s="2" t="s">
        <v>7923</v>
      </c>
      <c r="B12942" s="2" t="s">
        <v>7274</v>
      </c>
      <c r="C12942" s="2">
        <v>894.38459999999998</v>
      </c>
      <c r="D12942" s="2">
        <f>HYPERLINK("http://mcb-m6.bioreg.kyushu-u.ac.jp/M3/20110427/F51108/2591/1", 96.83)</f>
        <v>96.83</v>
      </c>
      <c r="E12942" s="2">
        <v>81.69</v>
      </c>
      <c r="F12942" s="2">
        <v>2</v>
      </c>
      <c r="G12942" s="2" t="s">
        <v>13</v>
      </c>
    </row>
    <row r="12943" spans="1:9" x14ac:dyDescent="0.2">
      <c r="A12943" s="2" t="s">
        <v>7923</v>
      </c>
      <c r="B12943" s="2" t="s">
        <v>7136</v>
      </c>
      <c r="C12943" s="2">
        <v>773.18219999999997</v>
      </c>
      <c r="D12943" s="2">
        <f>HYPERLINK("http://mcb-m6.bioreg.kyushu-u.ac.jp/M3/20110427/F51118/2152/1", 77.37)</f>
        <v>77.37</v>
      </c>
      <c r="E12943" s="2">
        <v>54.25</v>
      </c>
      <c r="F12943" s="2">
        <v>2</v>
      </c>
      <c r="G12943" s="2" t="s">
        <v>14</v>
      </c>
    </row>
    <row r="12944" spans="1:9" x14ac:dyDescent="0.2">
      <c r="A12944" s="2" t="s">
        <v>5773</v>
      </c>
      <c r="B12944" s="2" t="s">
        <v>5408</v>
      </c>
      <c r="C12944" s="2">
        <v>733.10820000000001</v>
      </c>
      <c r="D12944" s="2">
        <f>HYPERLINK("http://mcb-m6.bioreg.kyushu-u.ac.jp/M3/20110428/F51127/1838/1", 41.05)</f>
        <v>41.05</v>
      </c>
      <c r="E12944" s="2">
        <v>24.84</v>
      </c>
      <c r="F12944" s="2">
        <v>2</v>
      </c>
      <c r="G12944" s="2" t="s">
        <v>13</v>
      </c>
    </row>
    <row r="12945" spans="1:9" x14ac:dyDescent="0.2">
      <c r="A12945" s="2" t="s">
        <v>3555</v>
      </c>
      <c r="B12945" s="2" t="s">
        <v>412</v>
      </c>
      <c r="C12945" s="2">
        <v>621.75210000000004</v>
      </c>
      <c r="D12945" s="2">
        <f>HYPERLINK("http://mcb-m6.bioreg.kyushu-u.ac.jp/M3/20110427/F51111/1637/1", 47.89)</f>
        <v>47.89</v>
      </c>
      <c r="E12945" s="2">
        <v>16.920000000000002</v>
      </c>
      <c r="F12945" s="2">
        <v>2</v>
      </c>
      <c r="G12945" s="2" t="s">
        <v>13</v>
      </c>
      <c r="I12945" s="2" t="s">
        <v>4903</v>
      </c>
    </row>
    <row r="12946" spans="1:9" x14ac:dyDescent="0.2">
      <c r="A12946" s="2" t="s">
        <v>3924</v>
      </c>
      <c r="B12946" s="2" t="s">
        <v>1101</v>
      </c>
      <c r="C12946" s="2">
        <v>732.78219999999999</v>
      </c>
      <c r="D12946" s="2">
        <f>HYPERLINK("http://mcb-m6.bioreg.kyushu-u.ac.jp/M3/20110404/F50754/2090/1", 45.98)</f>
        <v>45.98</v>
      </c>
      <c r="E12946" s="2">
        <v>11.6</v>
      </c>
      <c r="F12946" s="2">
        <v>2</v>
      </c>
      <c r="G12946" s="2" t="s">
        <v>9</v>
      </c>
    </row>
    <row r="12947" spans="1:9" x14ac:dyDescent="0.2">
      <c r="A12947" s="2" t="s">
        <v>3924</v>
      </c>
      <c r="B12947" s="2" t="s">
        <v>1101</v>
      </c>
      <c r="C12947" s="2">
        <v>732.78520000000003</v>
      </c>
      <c r="D12947" s="2">
        <f>HYPERLINK("http://mcb-m6.bioreg.kyushu-u.ac.jp/M3/20110404/F50755/1921/1", 57.52)</f>
        <v>57.52</v>
      </c>
      <c r="E12947" s="2">
        <v>37.229999999999997</v>
      </c>
      <c r="F12947" s="2">
        <v>2</v>
      </c>
      <c r="G12947" s="2" t="s">
        <v>9</v>
      </c>
    </row>
    <row r="12948" spans="1:9" x14ac:dyDescent="0.2">
      <c r="A12948" s="2" t="s">
        <v>3924</v>
      </c>
      <c r="B12948" s="2" t="s">
        <v>1101</v>
      </c>
      <c r="C12948" s="2">
        <v>732.2441</v>
      </c>
      <c r="D12948" s="2">
        <f>HYPERLINK("http://mcb-m6.bioreg.kyushu-u.ac.jp/M3/20110404/F50755/1919/1", 69.2)</f>
        <v>69.2</v>
      </c>
      <c r="E12948" s="2">
        <v>56.32</v>
      </c>
      <c r="F12948" s="2">
        <v>2</v>
      </c>
      <c r="G12948" s="2" t="s">
        <v>9</v>
      </c>
    </row>
    <row r="12949" spans="1:9" x14ac:dyDescent="0.2">
      <c r="A12949" s="2" t="s">
        <v>3924</v>
      </c>
      <c r="B12949" s="2" t="s">
        <v>1101</v>
      </c>
      <c r="C12949" s="2">
        <v>732.20370000000003</v>
      </c>
      <c r="D12949" s="2">
        <f>HYPERLINK("http://mcb-m6.bioreg.kyushu-u.ac.jp/M3/20110404/F50758/1879/1", 57.47)</f>
        <v>57.47</v>
      </c>
      <c r="E12949" s="2">
        <v>38.19</v>
      </c>
      <c r="F12949" s="2">
        <v>2</v>
      </c>
      <c r="G12949" s="2" t="s">
        <v>10</v>
      </c>
    </row>
    <row r="12950" spans="1:9" x14ac:dyDescent="0.2">
      <c r="A12950" s="2" t="s">
        <v>5605</v>
      </c>
      <c r="B12950" s="2" t="s">
        <v>7300</v>
      </c>
      <c r="C12950" s="2">
        <v>652.59469999999999</v>
      </c>
      <c r="D12950" s="2">
        <f>HYPERLINK("http://mcb-m6.bioreg.kyushu-u.ac.jp/M3/20110428/F51133/1406/1", 36.74)</f>
        <v>36.74</v>
      </c>
      <c r="E12950" s="2">
        <v>11.35</v>
      </c>
      <c r="F12950" s="2">
        <v>2</v>
      </c>
      <c r="G12950" s="2" t="s">
        <v>13</v>
      </c>
    </row>
    <row r="12951" spans="1:9" x14ac:dyDescent="0.2">
      <c r="A12951" s="2" t="s">
        <v>7927</v>
      </c>
      <c r="B12951" s="2" t="s">
        <v>7093</v>
      </c>
      <c r="C12951" s="2">
        <v>470.4271</v>
      </c>
      <c r="D12951" s="2">
        <f>HYPERLINK("http://mcb-m6.bioreg.kyushu-u.ac.jp/M3/20110421/F51034/753/1", 39.88)</f>
        <v>39.880000000000003</v>
      </c>
      <c r="E12951" s="2">
        <v>19.440000000000001</v>
      </c>
      <c r="F12951" s="2">
        <v>2</v>
      </c>
      <c r="G12951" s="2" t="s">
        <v>11</v>
      </c>
    </row>
    <row r="12952" spans="1:9" x14ac:dyDescent="0.2">
      <c r="A12952" s="2" t="s">
        <v>4597</v>
      </c>
      <c r="B12952" s="2" t="s">
        <v>2688</v>
      </c>
      <c r="C12952" s="2">
        <v>731.87959999999998</v>
      </c>
      <c r="D12952" s="2">
        <f>HYPERLINK("http://mcb-m6.bioreg.kyushu-u.ac.jp/M3/20110404/F50778/1805/1", 60.58)</f>
        <v>60.58</v>
      </c>
      <c r="E12952" s="2">
        <v>21.91</v>
      </c>
      <c r="F12952" s="2">
        <v>2</v>
      </c>
      <c r="G12952" s="2" t="s">
        <v>9</v>
      </c>
    </row>
    <row r="12953" spans="1:9" x14ac:dyDescent="0.2">
      <c r="A12953" s="2" t="s">
        <v>4597</v>
      </c>
      <c r="B12953" s="2" t="s">
        <v>6758</v>
      </c>
      <c r="C12953" s="2">
        <v>986.42899999999997</v>
      </c>
      <c r="D12953" s="2">
        <f>HYPERLINK("http://mcb-m6.bioreg.kyushu-u.ac.jp/M3/20110404/F50775/1023/1", 40.66)</f>
        <v>40.659999999999997</v>
      </c>
      <c r="E12953" s="2">
        <v>20.53</v>
      </c>
      <c r="F12953" s="2">
        <v>1</v>
      </c>
      <c r="G12953" s="2" t="s">
        <v>10</v>
      </c>
    </row>
    <row r="12954" spans="1:9" x14ac:dyDescent="0.2">
      <c r="A12954" s="2" t="s">
        <v>4597</v>
      </c>
      <c r="B12954" s="2" t="s">
        <v>2688</v>
      </c>
      <c r="C12954" s="2">
        <v>731.71119999999996</v>
      </c>
      <c r="D12954" s="2">
        <f>HYPERLINK("http://mcb-m6.bioreg.kyushu-u.ac.jp/M3/20110404/F50775/1928/1", 75.04)</f>
        <v>75.040000000000006</v>
      </c>
      <c r="E12954" s="2">
        <v>28.7</v>
      </c>
      <c r="F12954" s="2">
        <v>2</v>
      </c>
      <c r="G12954" s="2" t="s">
        <v>10</v>
      </c>
    </row>
    <row r="12955" spans="1:9" x14ac:dyDescent="0.2">
      <c r="A12955" s="2" t="s">
        <v>4597</v>
      </c>
      <c r="B12955" s="2" t="s">
        <v>7028</v>
      </c>
      <c r="C12955" s="2">
        <v>500.73009999999999</v>
      </c>
      <c r="D12955" s="2">
        <f>HYPERLINK("http://mcb-m6.bioreg.kyushu-u.ac.jp/M3/20110404/F50775/1045/1", 84.48)</f>
        <v>84.48</v>
      </c>
      <c r="E12955" s="2">
        <v>34.450000000000003</v>
      </c>
      <c r="F12955" s="2">
        <v>2</v>
      </c>
      <c r="G12955" s="2" t="s">
        <v>10</v>
      </c>
    </row>
    <row r="12956" spans="1:9" x14ac:dyDescent="0.2">
      <c r="A12956" s="2" t="s">
        <v>4597</v>
      </c>
      <c r="B12956" s="2" t="s">
        <v>6758</v>
      </c>
      <c r="C12956" s="2">
        <v>493.85910000000001</v>
      </c>
      <c r="D12956" s="2">
        <f>HYPERLINK("http://mcb-m6.bioreg.kyushu-u.ac.jp/M3/20110421/F51039/875/1", 47.79)</f>
        <v>47.79</v>
      </c>
      <c r="E12956" s="2">
        <v>21.67</v>
      </c>
      <c r="F12956" s="2">
        <v>2</v>
      </c>
      <c r="G12956" s="2" t="s">
        <v>11</v>
      </c>
    </row>
    <row r="12957" spans="1:9" x14ac:dyDescent="0.2">
      <c r="A12957" s="2" t="s">
        <v>4597</v>
      </c>
      <c r="B12957" s="2" t="s">
        <v>2688</v>
      </c>
      <c r="C12957" s="2">
        <v>732.23519999999996</v>
      </c>
      <c r="D12957" s="2">
        <f>HYPERLINK("http://mcb-m6.bioreg.kyushu-u.ac.jp/M3/20110421/F51039/2020/1", 68.74)</f>
        <v>68.739999999999995</v>
      </c>
      <c r="E12957" s="2">
        <v>23.48</v>
      </c>
      <c r="F12957" s="2">
        <v>2</v>
      </c>
      <c r="G12957" s="2" t="s">
        <v>11</v>
      </c>
    </row>
    <row r="12958" spans="1:9" x14ac:dyDescent="0.2">
      <c r="A12958" s="2" t="s">
        <v>4252</v>
      </c>
      <c r="B12958" s="2" t="s">
        <v>6011</v>
      </c>
      <c r="C12958" s="2">
        <v>614.83810000000005</v>
      </c>
      <c r="D12958" s="2">
        <f>HYPERLINK("http://mcb-m6.bioreg.kyushu-u.ac.jp/M3/20110404/F50778/1239/1", 38.69)</f>
        <v>38.69</v>
      </c>
      <c r="E12958" s="2">
        <v>20.309999999999999</v>
      </c>
      <c r="F12958" s="2">
        <v>2</v>
      </c>
      <c r="G12958" s="2" t="s">
        <v>9</v>
      </c>
    </row>
    <row r="12959" spans="1:9" x14ac:dyDescent="0.2">
      <c r="A12959" s="2" t="s">
        <v>4252</v>
      </c>
      <c r="B12959" s="2" t="s">
        <v>6454</v>
      </c>
      <c r="C12959" s="2">
        <v>726.97559999999999</v>
      </c>
      <c r="D12959" s="2">
        <f>HYPERLINK("http://mcb-m6.bioreg.kyushu-u.ac.jp/M3/20110404/F50778/1786/1", 65.96)</f>
        <v>65.959999999999994</v>
      </c>
      <c r="E12959" s="2">
        <v>48.01</v>
      </c>
      <c r="F12959" s="2">
        <v>2</v>
      </c>
      <c r="G12959" s="2" t="s">
        <v>9</v>
      </c>
    </row>
    <row r="12960" spans="1:9" x14ac:dyDescent="0.2">
      <c r="A12960" s="2" t="s">
        <v>4252</v>
      </c>
      <c r="B12960" s="2" t="s">
        <v>6454</v>
      </c>
      <c r="C12960" s="2">
        <v>727.29169999999999</v>
      </c>
      <c r="D12960" s="2">
        <f>HYPERLINK("http://mcb-m6.bioreg.kyushu-u.ac.jp/M3/20110404/F50774/1838/1", 53.64)</f>
        <v>53.64</v>
      </c>
      <c r="E12960" s="2">
        <v>33.86</v>
      </c>
      <c r="F12960" s="2">
        <v>2</v>
      </c>
      <c r="G12960" s="2" t="s">
        <v>10</v>
      </c>
    </row>
    <row r="12961" spans="1:8" x14ac:dyDescent="0.2">
      <c r="A12961" s="2" t="s">
        <v>4252</v>
      </c>
      <c r="B12961" s="2" t="s">
        <v>6011</v>
      </c>
      <c r="C12961" s="2">
        <v>1228.575</v>
      </c>
      <c r="D12961" s="2">
        <f>HYPERLINK("http://mcb-m6.bioreg.kyushu-u.ac.jp/M3/20110404/F50775/1441/1", 67.18)</f>
        <v>67.180000000000007</v>
      </c>
      <c r="E12961" s="2">
        <v>44.44</v>
      </c>
      <c r="F12961" s="2">
        <v>1</v>
      </c>
      <c r="G12961" s="2" t="s">
        <v>10</v>
      </c>
    </row>
    <row r="12962" spans="1:8" x14ac:dyDescent="0.2">
      <c r="A12962" s="2" t="s">
        <v>4252</v>
      </c>
      <c r="B12962" s="2" t="s">
        <v>1884</v>
      </c>
      <c r="C12962" s="2">
        <v>798.72720000000004</v>
      </c>
      <c r="D12962" s="2">
        <f>HYPERLINK("http://mcb-m6.bioreg.kyushu-u.ac.jp/M3/20110404/F50775/2187/1", 78.34)</f>
        <v>78.34</v>
      </c>
      <c r="E12962" s="2">
        <v>65.05</v>
      </c>
      <c r="F12962" s="2">
        <v>2</v>
      </c>
      <c r="G12962" s="2" t="s">
        <v>10</v>
      </c>
    </row>
    <row r="12963" spans="1:8" x14ac:dyDescent="0.2">
      <c r="A12963" s="2" t="s">
        <v>4252</v>
      </c>
      <c r="B12963" s="2" t="s">
        <v>7018</v>
      </c>
      <c r="C12963" s="2">
        <v>605.29269999999997</v>
      </c>
      <c r="D12963" s="2">
        <f>HYPERLINK("http://mcb-m6.bioreg.kyushu-u.ac.jp/M3/20110404/F50775/1401/1", 80.66)</f>
        <v>80.66</v>
      </c>
      <c r="E12963" s="2">
        <v>36.49</v>
      </c>
      <c r="F12963" s="2">
        <v>2</v>
      </c>
      <c r="G12963" s="2" t="s">
        <v>10</v>
      </c>
    </row>
    <row r="12964" spans="1:8" x14ac:dyDescent="0.2">
      <c r="A12964" s="2" t="s">
        <v>4252</v>
      </c>
      <c r="B12964" s="2" t="s">
        <v>6011</v>
      </c>
      <c r="C12964" s="2">
        <v>614.90060000000005</v>
      </c>
      <c r="D12964" s="2">
        <f>HYPERLINK("http://mcb-m6.bioreg.kyushu-u.ac.jp/M3/20110404/F50775/1442/1", 80.74)</f>
        <v>80.739999999999995</v>
      </c>
      <c r="E12964" s="2">
        <v>61.4</v>
      </c>
      <c r="F12964" s="2">
        <v>2</v>
      </c>
      <c r="G12964" s="2" t="s">
        <v>10</v>
      </c>
    </row>
    <row r="12965" spans="1:8" x14ac:dyDescent="0.2">
      <c r="A12965" s="2" t="s">
        <v>4252</v>
      </c>
      <c r="B12965" s="2" t="s">
        <v>7022</v>
      </c>
      <c r="C12965" s="2">
        <v>792.96770000000004</v>
      </c>
      <c r="D12965" s="2">
        <f>HYPERLINK("http://mcb-m6.bioreg.kyushu-u.ac.jp/M3/20110404/F50775/2168/1", 81.85)</f>
        <v>81.849999999999994</v>
      </c>
      <c r="E12965" s="2">
        <v>27.83</v>
      </c>
      <c r="F12965" s="2">
        <v>2</v>
      </c>
      <c r="G12965" s="2" t="s">
        <v>10</v>
      </c>
    </row>
    <row r="12966" spans="1:8" x14ac:dyDescent="0.2">
      <c r="A12966" s="2" t="s">
        <v>4252</v>
      </c>
      <c r="B12966" s="2" t="s">
        <v>6454</v>
      </c>
      <c r="C12966" s="2">
        <v>726.83420000000001</v>
      </c>
      <c r="D12966" s="2">
        <f>HYPERLINK("http://mcb-m6.bioreg.kyushu-u.ac.jp/M3/20110404/F50775/1906/1", 86.59)</f>
        <v>86.59</v>
      </c>
      <c r="E12966" s="2">
        <v>59.77</v>
      </c>
      <c r="F12966" s="2">
        <v>2</v>
      </c>
      <c r="G12966" s="2" t="s">
        <v>10</v>
      </c>
    </row>
    <row r="12967" spans="1:8" x14ac:dyDescent="0.2">
      <c r="A12967" s="2" t="s">
        <v>4252</v>
      </c>
      <c r="B12967" s="2" t="s">
        <v>7053</v>
      </c>
      <c r="C12967" s="2">
        <v>790.37919999999997</v>
      </c>
      <c r="D12967" s="2">
        <f>HYPERLINK("http://mcb-m6.bioreg.kyushu-u.ac.jp/M3/20110404/F50775/2161/1", 108.67)</f>
        <v>108.67</v>
      </c>
      <c r="E12967" s="2">
        <v>90.15</v>
      </c>
      <c r="F12967" s="2">
        <v>2</v>
      </c>
      <c r="G12967" s="2" t="s">
        <v>10</v>
      </c>
    </row>
    <row r="12968" spans="1:8" x14ac:dyDescent="0.2">
      <c r="A12968" s="2" t="s">
        <v>4252</v>
      </c>
      <c r="B12968" s="2" t="s">
        <v>1884</v>
      </c>
      <c r="C12968" s="2">
        <v>798.46370000000002</v>
      </c>
      <c r="D12968" s="2">
        <f>HYPERLINK("http://mcb-m6.bioreg.kyushu-u.ac.jp/M3/20110421/F51040/2350/1", 57.73)</f>
        <v>57.73</v>
      </c>
      <c r="E12968" s="2">
        <v>12.52</v>
      </c>
      <c r="F12968" s="2">
        <v>2</v>
      </c>
      <c r="G12968" s="2" t="s">
        <v>11</v>
      </c>
    </row>
    <row r="12969" spans="1:8" x14ac:dyDescent="0.2">
      <c r="A12969" s="2" t="s">
        <v>4252</v>
      </c>
      <c r="B12969" s="2" t="s">
        <v>6011</v>
      </c>
      <c r="C12969" s="2">
        <v>615.3442</v>
      </c>
      <c r="D12969" s="2">
        <f>HYPERLINK("http://mcb-m6.bioreg.kyushu-u.ac.jp/M3/20110421/F51039/1464/1", 67.54)</f>
        <v>67.540000000000006</v>
      </c>
      <c r="E12969" s="2">
        <v>47.31</v>
      </c>
      <c r="F12969" s="2">
        <v>2</v>
      </c>
      <c r="G12969" s="2" t="s">
        <v>11</v>
      </c>
    </row>
    <row r="12970" spans="1:8" x14ac:dyDescent="0.2">
      <c r="A12970" s="2" t="s">
        <v>4252</v>
      </c>
      <c r="B12970" s="2" t="s">
        <v>7018</v>
      </c>
      <c r="C12970" s="2">
        <v>605.34059999999999</v>
      </c>
      <c r="D12970" s="2">
        <f>HYPERLINK("http://mcb-m6.bioreg.kyushu-u.ac.jp/M3/20110421/F51048/1576/1", 48.87)</f>
        <v>48.87</v>
      </c>
      <c r="E12970" s="2">
        <v>15.59</v>
      </c>
      <c r="F12970" s="2">
        <v>2</v>
      </c>
      <c r="G12970" s="2" t="s">
        <v>12</v>
      </c>
    </row>
    <row r="12971" spans="1:8" x14ac:dyDescent="0.2">
      <c r="A12971" s="2" t="s">
        <v>4252</v>
      </c>
      <c r="B12971" s="2" t="s">
        <v>7018</v>
      </c>
      <c r="C12971" s="2">
        <v>613.51369999999997</v>
      </c>
      <c r="D12971" s="2">
        <f>HYPERLINK("http://mcb-m6.bioreg.kyushu-u.ac.jp/M3/20110421/F51048/1619/1", 50.05)</f>
        <v>50.05</v>
      </c>
      <c r="E12971" s="2">
        <v>12.48</v>
      </c>
      <c r="F12971" s="2">
        <v>2</v>
      </c>
      <c r="G12971" s="2" t="s">
        <v>12</v>
      </c>
      <c r="H12971" s="2" t="s">
        <v>4908</v>
      </c>
    </row>
    <row r="12972" spans="1:8" x14ac:dyDescent="0.2">
      <c r="A12972" s="2" t="s">
        <v>4252</v>
      </c>
      <c r="B12972" s="2" t="s">
        <v>6011</v>
      </c>
      <c r="C12972" s="2">
        <v>614.62570000000005</v>
      </c>
      <c r="D12972" s="2">
        <f>HYPERLINK("http://mcb-m6.bioreg.kyushu-u.ac.jp/M3/20110421/F51048/1624/1", 69.98)</f>
        <v>69.98</v>
      </c>
      <c r="E12972" s="2">
        <v>52.48</v>
      </c>
      <c r="F12972" s="2">
        <v>2</v>
      </c>
      <c r="G12972" s="2" t="s">
        <v>12</v>
      </c>
    </row>
    <row r="12973" spans="1:8" x14ac:dyDescent="0.2">
      <c r="A12973" s="2" t="s">
        <v>4252</v>
      </c>
      <c r="B12973" s="2" t="s">
        <v>1884</v>
      </c>
      <c r="C12973" s="2">
        <v>798.95820000000003</v>
      </c>
      <c r="D12973" s="2">
        <f>HYPERLINK("http://mcb-m6.bioreg.kyushu-u.ac.jp/M3/20110421/F51048/2510/1", 78.22)</f>
        <v>78.22</v>
      </c>
      <c r="E12973" s="2">
        <v>62.88</v>
      </c>
      <c r="F12973" s="2">
        <v>2</v>
      </c>
      <c r="G12973" s="2" t="s">
        <v>12</v>
      </c>
    </row>
    <row r="12974" spans="1:8" x14ac:dyDescent="0.2">
      <c r="A12974" s="2" t="s">
        <v>4252</v>
      </c>
      <c r="B12974" s="2" t="s">
        <v>7512</v>
      </c>
      <c r="C12974" s="2">
        <v>609.11069999999995</v>
      </c>
      <c r="D12974" s="2">
        <f>HYPERLINK("http://mcb-m6.bioreg.kyushu-u.ac.jp/M3/20110428/F51130/1512/1", 83.73)</f>
        <v>83.73</v>
      </c>
      <c r="E12974" s="2">
        <v>58.73</v>
      </c>
      <c r="F12974" s="2">
        <v>2</v>
      </c>
      <c r="G12974" s="2" t="s">
        <v>14</v>
      </c>
    </row>
    <row r="12975" spans="1:8" x14ac:dyDescent="0.2">
      <c r="A12975" s="2" t="s">
        <v>7774</v>
      </c>
      <c r="B12975" s="2" t="s">
        <v>6631</v>
      </c>
      <c r="C12975" s="2">
        <v>761.97969999999998</v>
      </c>
      <c r="D12975" s="2">
        <f>HYPERLINK("http://mcb-m6.bioreg.kyushu-u.ac.jp/M3/20110404/F50751/2174/1", 99.05)</f>
        <v>99.05</v>
      </c>
      <c r="E12975" s="2">
        <v>71.900000000000006</v>
      </c>
      <c r="F12975" s="2">
        <v>2</v>
      </c>
      <c r="G12975" s="2" t="s">
        <v>9</v>
      </c>
    </row>
    <row r="12976" spans="1:8" x14ac:dyDescent="0.2">
      <c r="A12976" s="2" t="s">
        <v>7616</v>
      </c>
      <c r="B12976" s="2" t="s">
        <v>6127</v>
      </c>
      <c r="C12976" s="2">
        <v>575.96420000000001</v>
      </c>
      <c r="D12976" s="2">
        <f>HYPERLINK("http://mcb-m6.bioreg.kyushu-u.ac.jp/M3/20110404/F50751/1635/1", 43.76)</f>
        <v>43.76</v>
      </c>
      <c r="E12976" s="2">
        <v>22.14</v>
      </c>
      <c r="F12976" s="2">
        <v>2</v>
      </c>
      <c r="G12976" s="2" t="s">
        <v>9</v>
      </c>
      <c r="H12976" s="2" t="s">
        <v>4901</v>
      </c>
    </row>
    <row r="12977" spans="1:8" x14ac:dyDescent="0.2">
      <c r="A12977" s="2" t="s">
        <v>7616</v>
      </c>
      <c r="B12977" s="2" t="s">
        <v>6251</v>
      </c>
      <c r="C12977" s="2">
        <v>888.22860000000003</v>
      </c>
      <c r="D12977" s="2">
        <f>HYPERLINK("http://mcb-m6.bioreg.kyushu-u.ac.jp/M3/20110404/F50765/2419/1", 49.21)</f>
        <v>49.21</v>
      </c>
      <c r="E12977" s="2">
        <v>35.82</v>
      </c>
      <c r="F12977" s="2">
        <v>2</v>
      </c>
      <c r="G12977" s="2" t="s">
        <v>9</v>
      </c>
    </row>
    <row r="12978" spans="1:8" x14ac:dyDescent="0.2">
      <c r="A12978" s="2" t="s">
        <v>7616</v>
      </c>
      <c r="B12978" s="2" t="s">
        <v>6127</v>
      </c>
      <c r="C12978" s="2">
        <v>568.19619999999998</v>
      </c>
      <c r="D12978" s="2">
        <f>HYPERLINK("http://mcb-m6.bioreg.kyushu-u.ac.jp/M3/20110404/F50752/1550/1", 61.74)</f>
        <v>61.74</v>
      </c>
      <c r="E12978" s="2">
        <v>37.92</v>
      </c>
      <c r="F12978" s="2">
        <v>2</v>
      </c>
      <c r="G12978" s="2" t="s">
        <v>9</v>
      </c>
    </row>
    <row r="12979" spans="1:8" x14ac:dyDescent="0.2">
      <c r="A12979" s="2" t="s">
        <v>7616</v>
      </c>
      <c r="B12979" s="2" t="s">
        <v>6251</v>
      </c>
      <c r="C12979" s="2">
        <v>887.85569999999996</v>
      </c>
      <c r="D12979" s="2">
        <f>HYPERLINK("http://mcb-m6.bioreg.kyushu-u.ac.jp/M3/20110404/F50755/2589/1", 67.72)</f>
        <v>67.72</v>
      </c>
      <c r="E12979" s="2">
        <v>46.49</v>
      </c>
      <c r="F12979" s="2">
        <v>2</v>
      </c>
      <c r="G12979" s="2" t="s">
        <v>9</v>
      </c>
    </row>
    <row r="12980" spans="1:8" x14ac:dyDescent="0.2">
      <c r="A12980" s="2" t="s">
        <v>7616</v>
      </c>
      <c r="B12980" s="2" t="s">
        <v>6251</v>
      </c>
      <c r="C12980" s="2">
        <v>888.46220000000005</v>
      </c>
      <c r="D12980" s="2">
        <f>HYPERLINK("http://mcb-m6.bioreg.kyushu-u.ac.jp/M3/20110404/F50751/2397/1", 80.41)</f>
        <v>80.41</v>
      </c>
      <c r="E12980" s="2">
        <v>58.32</v>
      </c>
      <c r="F12980" s="2">
        <v>2</v>
      </c>
      <c r="G12980" s="2" t="s">
        <v>9</v>
      </c>
    </row>
    <row r="12981" spans="1:8" x14ac:dyDescent="0.2">
      <c r="A12981" s="2" t="s">
        <v>7616</v>
      </c>
      <c r="B12981" s="2" t="s">
        <v>6251</v>
      </c>
      <c r="C12981" s="2">
        <v>887.96810000000005</v>
      </c>
      <c r="D12981" s="2">
        <f>HYPERLINK("http://mcb-m6.bioreg.kyushu-u.ac.jp/M3/20110404/F50755/2590/1", 81.41)</f>
        <v>81.41</v>
      </c>
      <c r="E12981" s="2">
        <v>63.21</v>
      </c>
      <c r="F12981" s="2">
        <v>2</v>
      </c>
      <c r="G12981" s="2" t="s">
        <v>9</v>
      </c>
    </row>
    <row r="12982" spans="1:8" x14ac:dyDescent="0.2">
      <c r="A12982" s="2" t="s">
        <v>7616</v>
      </c>
      <c r="B12982" s="2" t="s">
        <v>6251</v>
      </c>
      <c r="C12982" s="2">
        <v>888.2491</v>
      </c>
      <c r="D12982" s="2">
        <f>HYPERLINK("http://mcb-m6.bioreg.kyushu-u.ac.jp/M3/20110404/F50756/2616/1", 84.62)</f>
        <v>84.62</v>
      </c>
      <c r="E12982" s="2">
        <v>69.680000000000007</v>
      </c>
      <c r="F12982" s="2">
        <v>2</v>
      </c>
      <c r="G12982" s="2" t="s">
        <v>9</v>
      </c>
    </row>
    <row r="12983" spans="1:8" x14ac:dyDescent="0.2">
      <c r="A12983" s="2" t="s">
        <v>7616</v>
      </c>
      <c r="B12983" s="2" t="s">
        <v>6251</v>
      </c>
      <c r="C12983" s="2">
        <v>887.81619999999998</v>
      </c>
      <c r="D12983" s="2">
        <f>HYPERLINK("http://mcb-m6.bioreg.kyushu-u.ac.jp/M3/20110404/F50767/2397/1", 85.8)</f>
        <v>85.8</v>
      </c>
      <c r="E12983" s="2">
        <v>57.73</v>
      </c>
      <c r="F12983" s="2">
        <v>2</v>
      </c>
      <c r="G12983" s="2" t="s">
        <v>9</v>
      </c>
    </row>
    <row r="12984" spans="1:8" x14ac:dyDescent="0.2">
      <c r="A12984" s="2" t="s">
        <v>7616</v>
      </c>
      <c r="B12984" s="2" t="s">
        <v>6251</v>
      </c>
      <c r="C12984" s="2">
        <v>887.76869999999997</v>
      </c>
      <c r="D12984" s="2">
        <f>HYPERLINK("http://mcb-m6.bioreg.kyushu-u.ac.jp/M3/20110404/F50753/2553/1", 87.21)</f>
        <v>87.21</v>
      </c>
      <c r="E12984" s="2">
        <v>63.79</v>
      </c>
      <c r="F12984" s="2">
        <v>2</v>
      </c>
      <c r="G12984" s="2" t="s">
        <v>9</v>
      </c>
    </row>
    <row r="12985" spans="1:8" x14ac:dyDescent="0.2">
      <c r="A12985" s="2" t="s">
        <v>7616</v>
      </c>
      <c r="B12985" s="2" t="s">
        <v>6609</v>
      </c>
      <c r="C12985" s="2">
        <v>883.46870000000001</v>
      </c>
      <c r="D12985" s="2">
        <f>HYPERLINK("http://mcb-m6.bioreg.kyushu-u.ac.jp/M3/20110404/F50751/2387/1", 92.47)</f>
        <v>92.47</v>
      </c>
      <c r="E12985" s="2">
        <v>83.5</v>
      </c>
      <c r="F12985" s="2">
        <v>2</v>
      </c>
      <c r="G12985" s="2" t="s">
        <v>9</v>
      </c>
      <c r="H12985" s="2" t="s">
        <v>4920</v>
      </c>
    </row>
    <row r="12986" spans="1:8" x14ac:dyDescent="0.2">
      <c r="A12986" s="2" t="s">
        <v>7616</v>
      </c>
      <c r="B12986" s="2" t="s">
        <v>6251</v>
      </c>
      <c r="C12986" s="2">
        <v>887.70619999999997</v>
      </c>
      <c r="D12986" s="2">
        <f>HYPERLINK("http://mcb-m6.bioreg.kyushu-u.ac.jp/M3/20110404/F50753/2551/1", 92.54)</f>
        <v>92.54</v>
      </c>
      <c r="E12986" s="2">
        <v>72.489999999999995</v>
      </c>
      <c r="F12986" s="2">
        <v>2</v>
      </c>
      <c r="G12986" s="2" t="s">
        <v>9</v>
      </c>
    </row>
    <row r="12987" spans="1:8" x14ac:dyDescent="0.2">
      <c r="A12987" s="2" t="s">
        <v>7616</v>
      </c>
      <c r="B12987" s="2" t="s">
        <v>6251</v>
      </c>
      <c r="C12987" s="2">
        <v>888.39620000000002</v>
      </c>
      <c r="D12987" s="2">
        <f>HYPERLINK("http://mcb-m6.bioreg.kyushu-u.ac.jp/M3/20110404/F50767/2404/1", 95.51)</f>
        <v>95.51</v>
      </c>
      <c r="E12987" s="2">
        <v>83.07</v>
      </c>
      <c r="F12987" s="2">
        <v>2</v>
      </c>
      <c r="G12987" s="2" t="s">
        <v>9</v>
      </c>
    </row>
    <row r="12988" spans="1:8" x14ac:dyDescent="0.2">
      <c r="A12988" s="2" t="s">
        <v>7616</v>
      </c>
      <c r="B12988" s="2" t="s">
        <v>6251</v>
      </c>
      <c r="C12988" s="2">
        <v>888.18409999999994</v>
      </c>
      <c r="D12988" s="2">
        <f>HYPERLINK("http://mcb-m6.bioreg.kyushu-u.ac.jp/M3/20110404/F50753/2555/1", 96.03)</f>
        <v>96.03</v>
      </c>
      <c r="E12988" s="2">
        <v>70.5</v>
      </c>
      <c r="F12988" s="2">
        <v>2</v>
      </c>
      <c r="G12988" s="2" t="s">
        <v>9</v>
      </c>
    </row>
    <row r="12989" spans="1:8" x14ac:dyDescent="0.2">
      <c r="A12989" s="2" t="s">
        <v>7616</v>
      </c>
      <c r="B12989" s="2" t="s">
        <v>6251</v>
      </c>
      <c r="C12989" s="2">
        <v>888.34770000000003</v>
      </c>
      <c r="D12989" s="2">
        <f>HYPERLINK("http://mcb-m6.bioreg.kyushu-u.ac.jp/M3/20110404/F50752/2533/1", 99.59)</f>
        <v>99.59</v>
      </c>
      <c r="E12989" s="2">
        <v>76.459999999999994</v>
      </c>
      <c r="F12989" s="2">
        <v>2</v>
      </c>
      <c r="G12989" s="2" t="s">
        <v>9</v>
      </c>
    </row>
    <row r="12990" spans="1:8" x14ac:dyDescent="0.2">
      <c r="A12990" s="2" t="s">
        <v>7616</v>
      </c>
      <c r="B12990" s="2" t="s">
        <v>6251</v>
      </c>
      <c r="C12990" s="2">
        <v>888.35059999999999</v>
      </c>
      <c r="D12990" s="2">
        <f>HYPERLINK("http://mcb-m6.bioreg.kyushu-u.ac.jp/M3/20110404/F50762/2264/1", 99.76)</f>
        <v>99.76</v>
      </c>
      <c r="E12990" s="2">
        <v>77.17</v>
      </c>
      <c r="F12990" s="2">
        <v>2</v>
      </c>
      <c r="G12990" s="2" t="s">
        <v>9</v>
      </c>
    </row>
    <row r="12991" spans="1:8" x14ac:dyDescent="0.2">
      <c r="A12991" s="2" t="s">
        <v>7616</v>
      </c>
      <c r="B12991" s="2" t="s">
        <v>6636</v>
      </c>
      <c r="C12991" s="2">
        <v>934.30219999999997</v>
      </c>
      <c r="D12991" s="2">
        <f>HYPERLINK("http://mcb-m6.bioreg.kyushu-u.ac.jp/M3/20110404/F50756/2841/1", 100.59)</f>
        <v>100.59</v>
      </c>
      <c r="E12991" s="2">
        <v>86.02</v>
      </c>
      <c r="F12991" s="2">
        <v>2</v>
      </c>
      <c r="G12991" s="2" t="s">
        <v>9</v>
      </c>
    </row>
    <row r="12992" spans="1:8" x14ac:dyDescent="0.2">
      <c r="A12992" s="2" t="s">
        <v>7616</v>
      </c>
      <c r="B12992" s="2" t="s">
        <v>6251</v>
      </c>
      <c r="C12992" s="2">
        <v>887.71119999999996</v>
      </c>
      <c r="D12992" s="2">
        <f>HYPERLINK("http://mcb-m6.bioreg.kyushu-u.ac.jp/M3/20110404/F50754/2552/1", 102.08)</f>
        <v>102.08</v>
      </c>
      <c r="E12992" s="2">
        <v>73.39</v>
      </c>
      <c r="F12992" s="2">
        <v>2</v>
      </c>
      <c r="G12992" s="2" t="s">
        <v>9</v>
      </c>
    </row>
    <row r="12993" spans="1:9" x14ac:dyDescent="0.2">
      <c r="A12993" s="2" t="s">
        <v>7616</v>
      </c>
      <c r="B12993" s="2" t="s">
        <v>6251</v>
      </c>
      <c r="C12993" s="2">
        <v>888.26419999999996</v>
      </c>
      <c r="D12993" s="2">
        <f>HYPERLINK("http://mcb-m6.bioreg.kyushu-u.ac.jp/M3/20110404/F50752/2531/1", 102.11)</f>
        <v>102.11</v>
      </c>
      <c r="E12993" s="2">
        <v>82.91</v>
      </c>
      <c r="F12993" s="2">
        <v>2</v>
      </c>
      <c r="G12993" s="2" t="s">
        <v>9</v>
      </c>
    </row>
    <row r="12994" spans="1:9" x14ac:dyDescent="0.2">
      <c r="A12994" s="2" t="s">
        <v>7616</v>
      </c>
      <c r="B12994" s="2" t="s">
        <v>6251</v>
      </c>
      <c r="C12994" s="2">
        <v>887.81669999999997</v>
      </c>
      <c r="D12994" s="2">
        <f>HYPERLINK("http://mcb-m6.bioreg.kyushu-u.ac.jp/M3/20110404/F50756/2613/1", 104.53)</f>
        <v>104.53</v>
      </c>
      <c r="E12994" s="2">
        <v>83.34</v>
      </c>
      <c r="F12994" s="2">
        <v>2</v>
      </c>
      <c r="G12994" s="2" t="s">
        <v>9</v>
      </c>
    </row>
    <row r="12995" spans="1:9" x14ac:dyDescent="0.2">
      <c r="A12995" s="2" t="s">
        <v>7616</v>
      </c>
      <c r="B12995" s="2" t="s">
        <v>6636</v>
      </c>
      <c r="C12995" s="2">
        <v>934.1241</v>
      </c>
      <c r="D12995" s="2">
        <f>HYPERLINK("http://mcb-m6.bioreg.kyushu-u.ac.jp/M3/20110404/F50751/2500/1", 108.8)</f>
        <v>108.8</v>
      </c>
      <c r="E12995" s="2">
        <v>84.26</v>
      </c>
      <c r="F12995" s="2">
        <v>2</v>
      </c>
      <c r="G12995" s="2" t="s">
        <v>9</v>
      </c>
    </row>
    <row r="12996" spans="1:9" x14ac:dyDescent="0.2">
      <c r="A12996" s="2" t="s">
        <v>7616</v>
      </c>
      <c r="B12996" s="2" t="s">
        <v>6636</v>
      </c>
      <c r="C12996" s="2">
        <v>934.36220000000003</v>
      </c>
      <c r="D12996" s="2">
        <f>HYPERLINK("http://mcb-m6.bioreg.kyushu-u.ac.jp/M3/20110404/F50752/2674/1", 114.44)</f>
        <v>114.44</v>
      </c>
      <c r="E12996" s="2">
        <v>98.6</v>
      </c>
      <c r="F12996" s="2">
        <v>2</v>
      </c>
      <c r="G12996" s="2" t="s">
        <v>9</v>
      </c>
    </row>
    <row r="12997" spans="1:9" x14ac:dyDescent="0.2">
      <c r="A12997" s="2" t="s">
        <v>7616</v>
      </c>
      <c r="B12997" s="2" t="s">
        <v>6842</v>
      </c>
      <c r="C12997" s="2">
        <v>1238.258</v>
      </c>
      <c r="D12997" s="2">
        <f>HYPERLINK("http://mcb-m6.bioreg.kyushu-u.ac.jp/M3/20110404/F50760/3175/1", 49.23)</f>
        <v>49.23</v>
      </c>
      <c r="E12997" s="2">
        <v>35.56</v>
      </c>
      <c r="F12997" s="2">
        <v>2</v>
      </c>
      <c r="G12997" s="2" t="s">
        <v>10</v>
      </c>
      <c r="I12997" s="2" t="s">
        <v>8137</v>
      </c>
    </row>
    <row r="12998" spans="1:9" x14ac:dyDescent="0.2">
      <c r="A12998" s="2" t="s">
        <v>7616</v>
      </c>
      <c r="B12998" s="2" t="s">
        <v>6842</v>
      </c>
      <c r="C12998" s="2">
        <v>1239.133</v>
      </c>
      <c r="D12998" s="2">
        <f>HYPERLINK("http://mcb-m6.bioreg.kyushu-u.ac.jp/M3/20110404/F50758/3229/1", 67.94)</f>
        <v>67.94</v>
      </c>
      <c r="E12998" s="2">
        <v>54.72</v>
      </c>
      <c r="F12998" s="2">
        <v>2</v>
      </c>
      <c r="G12998" s="2" t="s">
        <v>10</v>
      </c>
      <c r="I12998" s="2" t="s">
        <v>8137</v>
      </c>
    </row>
    <row r="12999" spans="1:9" x14ac:dyDescent="0.2">
      <c r="A12999" s="2" t="s">
        <v>7616</v>
      </c>
      <c r="B12999" s="2" t="s">
        <v>6251</v>
      </c>
      <c r="C12999" s="2">
        <v>888.20920000000001</v>
      </c>
      <c r="D12999" s="2">
        <f>HYPERLINK("http://mcb-m6.bioreg.kyushu-u.ac.jp/M3/20110404/F50760/2358/1", 95.04)</f>
        <v>95.04</v>
      </c>
      <c r="E12999" s="2">
        <v>67.180000000000007</v>
      </c>
      <c r="F12999" s="2">
        <v>2</v>
      </c>
      <c r="G12999" s="2" t="s">
        <v>10</v>
      </c>
    </row>
    <row r="13000" spans="1:9" x14ac:dyDescent="0.2">
      <c r="A13000" s="2" t="s">
        <v>7616</v>
      </c>
      <c r="B13000" s="2" t="s">
        <v>6842</v>
      </c>
      <c r="C13000" s="2">
        <v>1238.912</v>
      </c>
      <c r="D13000" s="2">
        <f>HYPERLINK("http://mcb-m6.bioreg.kyushu-u.ac.jp/M3/20110404/F50761/3417/1", 102.29)</f>
        <v>102.29</v>
      </c>
      <c r="E13000" s="2">
        <v>95.34</v>
      </c>
      <c r="F13000" s="2">
        <v>2</v>
      </c>
      <c r="G13000" s="2" t="s">
        <v>10</v>
      </c>
      <c r="I13000" s="2" t="s">
        <v>8137</v>
      </c>
    </row>
    <row r="13001" spans="1:9" x14ac:dyDescent="0.2">
      <c r="A13001" s="2" t="s">
        <v>7616</v>
      </c>
      <c r="B13001" s="2" t="s">
        <v>6251</v>
      </c>
      <c r="C13001" s="2">
        <v>888.09559999999999</v>
      </c>
      <c r="D13001" s="2">
        <f>HYPERLINK("http://mcb-m6.bioreg.kyushu-u.ac.jp/M3/20110404/F50758/2386/1", 109.25)</f>
        <v>109.25</v>
      </c>
      <c r="E13001" s="2">
        <v>92.41</v>
      </c>
      <c r="F13001" s="2">
        <v>2</v>
      </c>
      <c r="G13001" s="2" t="s">
        <v>10</v>
      </c>
    </row>
    <row r="13002" spans="1:9" x14ac:dyDescent="0.2">
      <c r="A13002" s="2" t="s">
        <v>7616</v>
      </c>
      <c r="B13002" s="2" t="s">
        <v>6842</v>
      </c>
      <c r="C13002" s="2">
        <v>1238.7940000000001</v>
      </c>
      <c r="D13002" s="2">
        <f>HYPERLINK("http://mcb-m6.bioreg.kyushu-u.ac.jp/M3/20110404/F50760/3178/1", 120.89)</f>
        <v>120.89</v>
      </c>
      <c r="E13002" s="2">
        <v>116.05</v>
      </c>
      <c r="F13002" s="2">
        <v>2</v>
      </c>
      <c r="G13002" s="2" t="s">
        <v>10</v>
      </c>
      <c r="I13002" s="2" t="s">
        <v>8137</v>
      </c>
    </row>
    <row r="13003" spans="1:9" x14ac:dyDescent="0.2">
      <c r="A13003" s="2" t="s">
        <v>7895</v>
      </c>
      <c r="B13003" s="2" t="s">
        <v>6974</v>
      </c>
      <c r="C13003" s="2">
        <v>959.26459999999997</v>
      </c>
      <c r="D13003" s="2">
        <f>HYPERLINK("http://mcb-m6.bioreg.kyushu-u.ac.jp/M3/20110404/F50758/2601/1", 69.5)</f>
        <v>69.5</v>
      </c>
      <c r="E13003" s="2">
        <v>56.88</v>
      </c>
      <c r="F13003" s="2">
        <v>2</v>
      </c>
      <c r="G13003" s="2" t="s">
        <v>10</v>
      </c>
      <c r="I13003" s="2" t="s">
        <v>4893</v>
      </c>
    </row>
    <row r="13004" spans="1:9" x14ac:dyDescent="0.2">
      <c r="A13004" s="2" t="s">
        <v>7683</v>
      </c>
      <c r="B13004" s="2" t="s">
        <v>6315</v>
      </c>
      <c r="C13004" s="2">
        <v>606.05909999999994</v>
      </c>
      <c r="D13004" s="2">
        <f>HYPERLINK("http://mcb-m6.bioreg.kyushu-u.ac.jp/M3/20110404/F50766/886/1", 52.57)</f>
        <v>52.57</v>
      </c>
      <c r="E13004" s="2">
        <v>24.35</v>
      </c>
      <c r="F13004" s="2">
        <v>2</v>
      </c>
      <c r="G13004" s="2" t="s">
        <v>9</v>
      </c>
    </row>
    <row r="13005" spans="1:9" x14ac:dyDescent="0.2">
      <c r="A13005" s="2" t="s">
        <v>7683</v>
      </c>
      <c r="B13005" s="2" t="s">
        <v>6326</v>
      </c>
      <c r="C13005" s="2">
        <v>659.25459999999998</v>
      </c>
      <c r="D13005" s="2">
        <f>HYPERLINK("http://mcb-m6.bioreg.kyushu-u.ac.jp/M3/20110404/F50767/1284/1", 53.24)</f>
        <v>53.24</v>
      </c>
      <c r="E13005" s="2">
        <v>31.32</v>
      </c>
      <c r="F13005" s="2">
        <v>2</v>
      </c>
      <c r="G13005" s="2" t="s">
        <v>9</v>
      </c>
    </row>
    <row r="13006" spans="1:9" x14ac:dyDescent="0.2">
      <c r="A13006" s="2" t="s">
        <v>7683</v>
      </c>
      <c r="B13006" s="2" t="s">
        <v>6333</v>
      </c>
      <c r="C13006" s="2">
        <v>762.2432</v>
      </c>
      <c r="D13006" s="2">
        <f>HYPERLINK("http://mcb-m6.bioreg.kyushu-u.ac.jp/M3/20110404/F50767/1828/1", 53.67)</f>
        <v>53.67</v>
      </c>
      <c r="E13006" s="2">
        <v>38.96</v>
      </c>
      <c r="F13006" s="2">
        <v>2</v>
      </c>
      <c r="G13006" s="2" t="s">
        <v>9</v>
      </c>
    </row>
    <row r="13007" spans="1:9" x14ac:dyDescent="0.2">
      <c r="A13007" s="2" t="s">
        <v>7683</v>
      </c>
      <c r="B13007" s="2" t="s">
        <v>6367</v>
      </c>
      <c r="C13007" s="2">
        <v>683.28610000000003</v>
      </c>
      <c r="D13007" s="2">
        <f>HYPERLINK("http://mcb-m6.bioreg.kyushu-u.ac.jp/M3/20110404/F50767/1391/1", 56.79)</f>
        <v>56.79</v>
      </c>
      <c r="E13007" s="2">
        <v>35.409999999999997</v>
      </c>
      <c r="F13007" s="2">
        <v>2</v>
      </c>
      <c r="G13007" s="2" t="s">
        <v>9</v>
      </c>
      <c r="I13007" s="2" t="s">
        <v>4899</v>
      </c>
    </row>
    <row r="13008" spans="1:9" x14ac:dyDescent="0.2">
      <c r="A13008" s="2" t="s">
        <v>7683</v>
      </c>
      <c r="B13008" s="2" t="s">
        <v>6371</v>
      </c>
      <c r="C13008" s="2">
        <v>721.85310000000004</v>
      </c>
      <c r="D13008" s="2">
        <f>HYPERLINK("http://mcb-m6.bioreg.kyushu-u.ac.jp/M3/20110404/F50767/1635/1", 57.08)</f>
        <v>57.08</v>
      </c>
      <c r="E13008" s="2">
        <v>45.83</v>
      </c>
      <c r="F13008" s="2">
        <v>2</v>
      </c>
      <c r="G13008" s="2" t="s">
        <v>9</v>
      </c>
      <c r="I13008" s="2" t="s">
        <v>8131</v>
      </c>
    </row>
    <row r="13009" spans="1:9" x14ac:dyDescent="0.2">
      <c r="A13009" s="2" t="s">
        <v>7683</v>
      </c>
      <c r="B13009" s="2" t="s">
        <v>6413</v>
      </c>
      <c r="C13009" s="2">
        <v>808.75519999999995</v>
      </c>
      <c r="D13009" s="2">
        <f>HYPERLINK("http://mcb-m6.bioreg.kyushu-u.ac.jp/M3/20110404/F50767/2062/1", 61.38)</f>
        <v>61.38</v>
      </c>
      <c r="E13009" s="2">
        <v>42.51</v>
      </c>
      <c r="F13009" s="2">
        <v>2</v>
      </c>
      <c r="G13009" s="2" t="s">
        <v>9</v>
      </c>
    </row>
    <row r="13010" spans="1:9" x14ac:dyDescent="0.2">
      <c r="A13010" s="2" t="s">
        <v>7683</v>
      </c>
      <c r="B13010" s="2" t="s">
        <v>6479</v>
      </c>
      <c r="C13010" s="2">
        <v>973.38459999999998</v>
      </c>
      <c r="D13010" s="2">
        <f>HYPERLINK("http://mcb-m6.bioreg.kyushu-u.ac.jp/M3/20110404/F50767/2774/1", 68.44)</f>
        <v>68.44</v>
      </c>
      <c r="E13010" s="2">
        <v>55.08</v>
      </c>
      <c r="F13010" s="2">
        <v>2</v>
      </c>
      <c r="G13010" s="2" t="s">
        <v>9</v>
      </c>
    </row>
    <row r="13011" spans="1:9" x14ac:dyDescent="0.2">
      <c r="A13011" s="2" t="s">
        <v>7683</v>
      </c>
      <c r="B13011" s="2" t="s">
        <v>6490</v>
      </c>
      <c r="C13011" s="2">
        <v>759.76070000000004</v>
      </c>
      <c r="D13011" s="2">
        <f>HYPERLINK("http://mcb-m6.bioreg.kyushu-u.ac.jp/M3/20110404/F50767/1817/1", 70.05)</f>
        <v>70.05</v>
      </c>
      <c r="E13011" s="2">
        <v>51.52</v>
      </c>
      <c r="F13011" s="2">
        <v>2</v>
      </c>
      <c r="G13011" s="2" t="s">
        <v>9</v>
      </c>
      <c r="I13011" s="2" t="s">
        <v>4895</v>
      </c>
    </row>
    <row r="13012" spans="1:9" x14ac:dyDescent="0.2">
      <c r="A13012" s="2" t="s">
        <v>7683</v>
      </c>
      <c r="B13012" s="2" t="s">
        <v>6516</v>
      </c>
      <c r="C13012" s="2">
        <v>904.34310000000005</v>
      </c>
      <c r="D13012" s="2">
        <f>HYPERLINK("http://mcb-m6.bioreg.kyushu-u.ac.jp/M3/20110404/F50767/2489/1", 73.52)</f>
        <v>73.52</v>
      </c>
      <c r="E13012" s="2">
        <v>61.33</v>
      </c>
      <c r="F13012" s="2">
        <v>2</v>
      </c>
      <c r="G13012" s="2" t="s">
        <v>9</v>
      </c>
    </row>
    <row r="13013" spans="1:9" x14ac:dyDescent="0.2">
      <c r="A13013" s="2" t="s">
        <v>7683</v>
      </c>
      <c r="B13013" s="2" t="s">
        <v>6544</v>
      </c>
      <c r="C13013" s="2">
        <v>783.79470000000003</v>
      </c>
      <c r="D13013" s="2">
        <f>HYPERLINK("http://mcb-m6.bioreg.kyushu-u.ac.jp/M3/20110404/F50767/1945/1", 77.8)</f>
        <v>77.8</v>
      </c>
      <c r="E13013" s="2">
        <v>53.56</v>
      </c>
      <c r="F13013" s="2">
        <v>2</v>
      </c>
      <c r="G13013" s="2" t="s">
        <v>9</v>
      </c>
    </row>
    <row r="13014" spans="1:9" x14ac:dyDescent="0.2">
      <c r="A13014" s="2" t="s">
        <v>7683</v>
      </c>
      <c r="B13014" s="2" t="s">
        <v>6544</v>
      </c>
      <c r="C13014" s="2">
        <v>783.64919999999995</v>
      </c>
      <c r="D13014" s="2">
        <f>HYPERLINK("http://mcb-m6.bioreg.kyushu-u.ac.jp/M3/20110404/F50766/1829/1", 78.96)</f>
        <v>78.959999999999994</v>
      </c>
      <c r="E13014" s="2">
        <v>42.6</v>
      </c>
      <c r="F13014" s="2">
        <v>2</v>
      </c>
      <c r="G13014" s="2" t="s">
        <v>9</v>
      </c>
    </row>
    <row r="13015" spans="1:9" x14ac:dyDescent="0.2">
      <c r="A13015" s="2" t="s">
        <v>7683</v>
      </c>
      <c r="B13015" s="2" t="s">
        <v>6575</v>
      </c>
      <c r="C13015" s="2">
        <v>724.69169999999997</v>
      </c>
      <c r="D13015" s="2">
        <f>HYPERLINK("http://mcb-m6.bioreg.kyushu-u.ac.jp/M3/20110404/F50767/1648/1", 83.28)</f>
        <v>83.28</v>
      </c>
      <c r="E13015" s="2">
        <v>59.51</v>
      </c>
      <c r="F13015" s="2">
        <v>2</v>
      </c>
      <c r="G13015" s="2" t="s">
        <v>9</v>
      </c>
    </row>
    <row r="13016" spans="1:9" x14ac:dyDescent="0.2">
      <c r="A13016" s="2" t="s">
        <v>7683</v>
      </c>
      <c r="B13016" s="2" t="s">
        <v>6516</v>
      </c>
      <c r="C13016" s="2">
        <v>903.79970000000003</v>
      </c>
      <c r="D13016" s="2">
        <f>HYPERLINK("http://mcb-m6.bioreg.kyushu-u.ac.jp/M3/20110404/F50767/2486/1", 83.9)</f>
        <v>83.9</v>
      </c>
      <c r="E13016" s="2">
        <v>71.45</v>
      </c>
      <c r="F13016" s="2">
        <v>2</v>
      </c>
      <c r="G13016" s="2" t="s">
        <v>9</v>
      </c>
    </row>
    <row r="13017" spans="1:9" x14ac:dyDescent="0.2">
      <c r="A13017" s="2" t="s">
        <v>7683</v>
      </c>
      <c r="B13017" s="2" t="s">
        <v>6591</v>
      </c>
      <c r="C13017" s="2">
        <v>859.26570000000004</v>
      </c>
      <c r="D13017" s="2">
        <f>HYPERLINK("http://mcb-m6.bioreg.kyushu-u.ac.jp/M3/20110404/F50766/2231/1", 87.06)</f>
        <v>87.06</v>
      </c>
      <c r="E13017" s="2">
        <v>63.25</v>
      </c>
      <c r="F13017" s="2">
        <v>2</v>
      </c>
      <c r="G13017" s="2" t="s">
        <v>9</v>
      </c>
    </row>
    <row r="13018" spans="1:9" x14ac:dyDescent="0.2">
      <c r="A13018" s="2" t="s">
        <v>7683</v>
      </c>
      <c r="B13018" s="2" t="s">
        <v>6606</v>
      </c>
      <c r="C13018" s="2">
        <v>871.31569999999999</v>
      </c>
      <c r="D13018" s="2">
        <f>HYPERLINK("http://mcb-m6.bioreg.kyushu-u.ac.jp/M3/20110404/F50767/2329/1", 91.88)</f>
        <v>91.88</v>
      </c>
      <c r="E13018" s="2">
        <v>74.739999999999995</v>
      </c>
      <c r="F13018" s="2">
        <v>2</v>
      </c>
      <c r="G13018" s="2" t="s">
        <v>9</v>
      </c>
    </row>
    <row r="13019" spans="1:9" x14ac:dyDescent="0.2">
      <c r="A13019" s="2" t="s">
        <v>7683</v>
      </c>
      <c r="B13019" s="2" t="s">
        <v>6606</v>
      </c>
      <c r="C13019" s="2">
        <v>870.80020000000002</v>
      </c>
      <c r="D13019" s="2">
        <f>HYPERLINK("http://mcb-m6.bioreg.kyushu-u.ac.jp/M3/20110404/F50767/2327/1", 99.32)</f>
        <v>99.32</v>
      </c>
      <c r="E13019" s="2">
        <v>83.39</v>
      </c>
      <c r="F13019" s="2">
        <v>2</v>
      </c>
      <c r="G13019" s="2" t="s">
        <v>9</v>
      </c>
    </row>
    <row r="13020" spans="1:9" x14ac:dyDescent="0.2">
      <c r="A13020" s="2" t="s">
        <v>7683</v>
      </c>
      <c r="B13020" s="2" t="s">
        <v>6643</v>
      </c>
      <c r="C13020" s="2">
        <v>1079.4290000000001</v>
      </c>
      <c r="D13020" s="2">
        <f>HYPERLINK("http://mcb-m6.bioreg.kyushu-u.ac.jp/M3/20110404/F50767/3161/1", 102.79)</f>
        <v>102.79</v>
      </c>
      <c r="E13020" s="2">
        <v>93.51</v>
      </c>
      <c r="F13020" s="2">
        <v>2</v>
      </c>
      <c r="G13020" s="2" t="s">
        <v>9</v>
      </c>
    </row>
    <row r="13021" spans="1:9" x14ac:dyDescent="0.2">
      <c r="A13021" s="2" t="s">
        <v>7683</v>
      </c>
      <c r="B13021" s="2" t="s">
        <v>6678</v>
      </c>
      <c r="C13021" s="2">
        <v>707.99019999999996</v>
      </c>
      <c r="D13021" s="2">
        <f>HYPERLINK("http://mcb-m6.bioreg.kyushu-u.ac.jp/M3/20110404/F50772/1763/1", 35.29)</f>
        <v>35.29</v>
      </c>
      <c r="E13021" s="2">
        <v>8.27</v>
      </c>
      <c r="F13021" s="2">
        <v>2</v>
      </c>
      <c r="G13021" s="2" t="s">
        <v>10</v>
      </c>
    </row>
    <row r="13022" spans="1:9" x14ac:dyDescent="0.2">
      <c r="A13022" s="2" t="s">
        <v>7683</v>
      </c>
      <c r="B13022" s="2" t="s">
        <v>6326</v>
      </c>
      <c r="C13022" s="2">
        <v>659.38210000000004</v>
      </c>
      <c r="D13022" s="2">
        <f>HYPERLINK("http://mcb-m6.bioreg.kyushu-u.ac.jp/M3/20110404/F50773/1457/1", 37.69)</f>
        <v>37.69</v>
      </c>
      <c r="E13022" s="2">
        <v>20.94</v>
      </c>
      <c r="F13022" s="2">
        <v>2</v>
      </c>
      <c r="G13022" s="2" t="s">
        <v>10</v>
      </c>
    </row>
    <row r="13023" spans="1:9" x14ac:dyDescent="0.2">
      <c r="A13023" s="2" t="s">
        <v>7683</v>
      </c>
      <c r="B13023" s="2" t="s">
        <v>6879</v>
      </c>
      <c r="C13023" s="2">
        <v>800.91610000000003</v>
      </c>
      <c r="D13023" s="2">
        <f>HYPERLINK("http://mcb-m6.bioreg.kyushu-u.ac.jp/M3/20110404/F50773/2073/1", 52.69)</f>
        <v>52.69</v>
      </c>
      <c r="E13023" s="2">
        <v>31.65</v>
      </c>
      <c r="F13023" s="2">
        <v>2</v>
      </c>
      <c r="G13023" s="2" t="s">
        <v>10</v>
      </c>
      <c r="I13023" s="2" t="s">
        <v>4893</v>
      </c>
    </row>
    <row r="13024" spans="1:9" x14ac:dyDescent="0.2">
      <c r="A13024" s="2" t="s">
        <v>7683</v>
      </c>
      <c r="B13024" s="2" t="s">
        <v>6490</v>
      </c>
      <c r="C13024" s="2">
        <v>759.32510000000002</v>
      </c>
      <c r="D13024" s="2">
        <f>HYPERLINK("http://mcb-m6.bioreg.kyushu-u.ac.jp/M3/20110404/F50773/1908/1", 55.86)</f>
        <v>55.86</v>
      </c>
      <c r="E13024" s="2">
        <v>45.03</v>
      </c>
      <c r="F13024" s="2">
        <v>2</v>
      </c>
      <c r="G13024" s="2" t="s">
        <v>10</v>
      </c>
      <c r="I13024" s="2" t="s">
        <v>4895</v>
      </c>
    </row>
    <row r="13025" spans="1:9" x14ac:dyDescent="0.2">
      <c r="A13025" s="2" t="s">
        <v>7683</v>
      </c>
      <c r="B13025" s="2" t="s">
        <v>6606</v>
      </c>
      <c r="C13025" s="2">
        <v>871.4357</v>
      </c>
      <c r="D13025" s="2">
        <f>HYPERLINK("http://mcb-m6.bioreg.kyushu-u.ac.jp/M3/20110404/F50772/2424/1", 58.83)</f>
        <v>58.83</v>
      </c>
      <c r="E13025" s="2">
        <v>42.57</v>
      </c>
      <c r="F13025" s="2">
        <v>2</v>
      </c>
      <c r="G13025" s="2" t="s">
        <v>10</v>
      </c>
    </row>
    <row r="13026" spans="1:9" x14ac:dyDescent="0.2">
      <c r="A13026" s="2" t="s">
        <v>7683</v>
      </c>
      <c r="B13026" s="2" t="s">
        <v>6479</v>
      </c>
      <c r="C13026" s="2">
        <v>973.56320000000005</v>
      </c>
      <c r="D13026" s="2">
        <f>HYPERLINK("http://mcb-m6.bioreg.kyushu-u.ac.jp/M3/20110404/F50772/2805/1", 64.53)</f>
        <v>64.53</v>
      </c>
      <c r="E13026" s="2">
        <v>52.26</v>
      </c>
      <c r="F13026" s="2">
        <v>2</v>
      </c>
      <c r="G13026" s="2" t="s">
        <v>10</v>
      </c>
    </row>
    <row r="13027" spans="1:9" x14ac:dyDescent="0.2">
      <c r="A13027" s="2" t="s">
        <v>7683</v>
      </c>
      <c r="B13027" s="2" t="s">
        <v>6544</v>
      </c>
      <c r="C13027" s="2">
        <v>784.42020000000002</v>
      </c>
      <c r="D13027" s="2">
        <f>HYPERLINK("http://mcb-m6.bioreg.kyushu-u.ac.jp/M3/20110404/F50772/2118/1", 73.47)</f>
        <v>73.47</v>
      </c>
      <c r="E13027" s="2">
        <v>50.19</v>
      </c>
      <c r="F13027" s="2">
        <v>2</v>
      </c>
      <c r="G13027" s="2" t="s">
        <v>10</v>
      </c>
    </row>
    <row r="13028" spans="1:9" x14ac:dyDescent="0.2">
      <c r="A13028" s="2" t="s">
        <v>4521</v>
      </c>
      <c r="B13028" s="2" t="s">
        <v>6041</v>
      </c>
      <c r="C13028" s="2">
        <v>647.39009999999996</v>
      </c>
      <c r="D13028" s="2">
        <f>HYPERLINK("http://mcb-m6.bioreg.kyushu-u.ac.jp/M3/20110404/F50779/1298/1", 39.97)</f>
        <v>39.97</v>
      </c>
      <c r="E13028" s="2">
        <v>29.31</v>
      </c>
      <c r="F13028" s="2">
        <v>2</v>
      </c>
      <c r="G13028" s="2" t="s">
        <v>9</v>
      </c>
    </row>
    <row r="13029" spans="1:9" x14ac:dyDescent="0.2">
      <c r="A13029" s="2" t="s">
        <v>4521</v>
      </c>
      <c r="B13029" s="2" t="s">
        <v>2536</v>
      </c>
      <c r="C13029" s="2">
        <v>856.38120000000004</v>
      </c>
      <c r="D13029" s="2">
        <f>HYPERLINK("http://mcb-m6.bioreg.kyushu-u.ac.jp/M3/20110404/F50779/2291/1", 55.22)</f>
        <v>55.22</v>
      </c>
      <c r="E13029" s="2">
        <v>48.09</v>
      </c>
      <c r="F13029" s="2">
        <v>2</v>
      </c>
      <c r="G13029" s="2" t="s">
        <v>9</v>
      </c>
    </row>
    <row r="13030" spans="1:9" x14ac:dyDescent="0.2">
      <c r="A13030" s="2" t="s">
        <v>4521</v>
      </c>
      <c r="B13030" s="2" t="s">
        <v>6041</v>
      </c>
      <c r="C13030" s="2">
        <v>647.38369999999998</v>
      </c>
      <c r="D13030" s="2">
        <f>HYPERLINK("http://mcb-m6.bioreg.kyushu-u.ac.jp/M3/20110404/F50778/1366/1", 56.39)</f>
        <v>56.39</v>
      </c>
      <c r="E13030" s="2">
        <v>39.880000000000003</v>
      </c>
      <c r="F13030" s="2">
        <v>2</v>
      </c>
      <c r="G13030" s="2" t="s">
        <v>9</v>
      </c>
    </row>
    <row r="13031" spans="1:9" x14ac:dyDescent="0.2">
      <c r="A13031" s="2" t="s">
        <v>4521</v>
      </c>
      <c r="B13031" s="2" t="s">
        <v>2536</v>
      </c>
      <c r="C13031" s="2">
        <v>856.9357</v>
      </c>
      <c r="D13031" s="2">
        <f>HYPERLINK("http://mcb-m6.bioreg.kyushu-u.ac.jp/M3/20110404/F50778/2404/1", 57.61)</f>
        <v>57.61</v>
      </c>
      <c r="E13031" s="2">
        <v>26.37</v>
      </c>
      <c r="F13031" s="2">
        <v>2</v>
      </c>
      <c r="G13031" s="2" t="s">
        <v>9</v>
      </c>
    </row>
    <row r="13032" spans="1:9" x14ac:dyDescent="0.2">
      <c r="A13032" s="2" t="s">
        <v>4521</v>
      </c>
      <c r="B13032" s="2" t="s">
        <v>6431</v>
      </c>
      <c r="C13032" s="2">
        <v>831.94920000000002</v>
      </c>
      <c r="D13032" s="2">
        <f>HYPERLINK("http://mcb-m6.bioreg.kyushu-u.ac.jp/M3/20110404/F50779/2189/1", 63.55)</f>
        <v>63.55</v>
      </c>
      <c r="E13032" s="2">
        <v>41.98</v>
      </c>
      <c r="F13032" s="2">
        <v>2</v>
      </c>
      <c r="G13032" s="2" t="s">
        <v>9</v>
      </c>
      <c r="I13032" s="2" t="s">
        <v>4890</v>
      </c>
    </row>
    <row r="13033" spans="1:9" x14ac:dyDescent="0.2">
      <c r="A13033" s="2" t="s">
        <v>4521</v>
      </c>
      <c r="B13033" s="2" t="s">
        <v>6431</v>
      </c>
      <c r="C13033" s="2">
        <v>831.92570000000001</v>
      </c>
      <c r="D13033" s="2">
        <f>HYPERLINK("http://mcb-m6.bioreg.kyushu-u.ac.jp/M3/20110404/F50778/2298/1", 73.37)</f>
        <v>73.37</v>
      </c>
      <c r="E13033" s="2">
        <v>49.97</v>
      </c>
      <c r="F13033" s="2">
        <v>2</v>
      </c>
      <c r="G13033" s="2" t="s">
        <v>9</v>
      </c>
      <c r="I13033" s="2" t="s">
        <v>4890</v>
      </c>
    </row>
    <row r="13034" spans="1:9" x14ac:dyDescent="0.2">
      <c r="A13034" s="2" t="s">
        <v>4521</v>
      </c>
      <c r="B13034" s="2" t="s">
        <v>6637</v>
      </c>
      <c r="C13034" s="2">
        <v>896.34969999999998</v>
      </c>
      <c r="D13034" s="2">
        <f>HYPERLINK("http://mcb-m6.bioreg.kyushu-u.ac.jp/M3/20110404/F50778/2571/1", 100.7)</f>
        <v>100.7</v>
      </c>
      <c r="E13034" s="2">
        <v>78.59</v>
      </c>
      <c r="F13034" s="2">
        <v>2</v>
      </c>
      <c r="G13034" s="2" t="s">
        <v>9</v>
      </c>
    </row>
    <row r="13035" spans="1:9" x14ac:dyDescent="0.2">
      <c r="A13035" s="2" t="s">
        <v>4521</v>
      </c>
      <c r="B13035" s="2" t="s">
        <v>6041</v>
      </c>
      <c r="C13035" s="2">
        <v>647.43619999999999</v>
      </c>
      <c r="D13035" s="2">
        <f>HYPERLINK("http://mcb-m6.bioreg.kyushu-u.ac.jp/M3/20110404/F50782/1330/1", 37.33)</f>
        <v>37.33</v>
      </c>
      <c r="E13035" s="2">
        <v>18.809999999999999</v>
      </c>
      <c r="F13035" s="2">
        <v>2</v>
      </c>
      <c r="G13035" s="2" t="s">
        <v>10</v>
      </c>
    </row>
    <row r="13036" spans="1:9" x14ac:dyDescent="0.2">
      <c r="A13036" s="2" t="s">
        <v>4521</v>
      </c>
      <c r="B13036" s="2" t="s">
        <v>6041</v>
      </c>
      <c r="C13036" s="2">
        <v>647.93709999999999</v>
      </c>
      <c r="D13036" s="2">
        <f>HYPERLINK("http://mcb-m6.bioreg.kyushu-u.ac.jp/M3/20110404/F50782/1331/1", 44.85)</f>
        <v>44.85</v>
      </c>
      <c r="E13036" s="2">
        <v>33.119999999999997</v>
      </c>
      <c r="F13036" s="2">
        <v>2</v>
      </c>
      <c r="G13036" s="2" t="s">
        <v>10</v>
      </c>
    </row>
    <row r="13037" spans="1:9" x14ac:dyDescent="0.2">
      <c r="A13037" s="2" t="s">
        <v>4521</v>
      </c>
      <c r="B13037" s="2" t="s">
        <v>6897</v>
      </c>
      <c r="C13037" s="2">
        <v>558.25019999999995</v>
      </c>
      <c r="D13037" s="2">
        <f>HYPERLINK("http://mcb-m6.bioreg.kyushu-u.ac.jp/M3/20110404/F50782/946/1", 54.91)</f>
        <v>54.91</v>
      </c>
      <c r="E13037" s="2">
        <v>30.46</v>
      </c>
      <c r="F13037" s="2">
        <v>2</v>
      </c>
      <c r="G13037" s="2" t="s">
        <v>10</v>
      </c>
    </row>
    <row r="13038" spans="1:9" x14ac:dyDescent="0.2">
      <c r="A13038" s="2" t="s">
        <v>4521</v>
      </c>
      <c r="B13038" s="2" t="s">
        <v>2536</v>
      </c>
      <c r="C13038" s="2">
        <v>856.23469999999998</v>
      </c>
      <c r="D13038" s="2">
        <f>HYPERLINK("http://mcb-m6.bioreg.kyushu-u.ac.jp/M3/20110404/F50782/2361/1", 64.87)</f>
        <v>64.87</v>
      </c>
      <c r="E13038" s="2">
        <v>52.87</v>
      </c>
      <c r="F13038" s="2">
        <v>2</v>
      </c>
      <c r="G13038" s="2" t="s">
        <v>10</v>
      </c>
    </row>
    <row r="13039" spans="1:9" x14ac:dyDescent="0.2">
      <c r="A13039" s="2" t="s">
        <v>4521</v>
      </c>
      <c r="B13039" s="2" t="s">
        <v>7107</v>
      </c>
      <c r="C13039" s="2">
        <v>678.25120000000004</v>
      </c>
      <c r="D13039" s="2">
        <f>HYPERLINK("http://mcb-m6.bioreg.kyushu-u.ac.jp/M3/20110421/F51040/1651/1", 44.81)</f>
        <v>44.81</v>
      </c>
      <c r="E13039" s="2">
        <v>28.37</v>
      </c>
      <c r="F13039" s="2">
        <v>2</v>
      </c>
      <c r="G13039" s="2" t="s">
        <v>11</v>
      </c>
      <c r="H13039" s="2" t="s">
        <v>4915</v>
      </c>
    </row>
    <row r="13040" spans="1:9" x14ac:dyDescent="0.2">
      <c r="A13040" s="2" t="s">
        <v>4521</v>
      </c>
      <c r="B13040" s="2" t="s">
        <v>7107</v>
      </c>
      <c r="C13040" s="2">
        <v>669.76570000000004</v>
      </c>
      <c r="D13040" s="2">
        <f>HYPERLINK("http://mcb-m6.bioreg.kyushu-u.ac.jp/M3/20110421/F51040/1613/1", 60.25)</f>
        <v>60.25</v>
      </c>
      <c r="E13040" s="2">
        <v>41.96</v>
      </c>
      <c r="F13040" s="2">
        <v>2</v>
      </c>
      <c r="G13040" s="2" t="s">
        <v>11</v>
      </c>
    </row>
    <row r="13041" spans="1:9" x14ac:dyDescent="0.2">
      <c r="A13041" s="2" t="s">
        <v>4521</v>
      </c>
      <c r="B13041" s="2" t="s">
        <v>7107</v>
      </c>
      <c r="C13041" s="2">
        <v>677.85860000000002</v>
      </c>
      <c r="D13041" s="2">
        <f>HYPERLINK("http://mcb-m6.bioreg.kyushu-u.ac.jp/M3/20110421/F51050/1811/1", 42.41)</f>
        <v>42.41</v>
      </c>
      <c r="E13041" s="2">
        <v>25.63</v>
      </c>
      <c r="F13041" s="2">
        <v>2</v>
      </c>
      <c r="G13041" s="2" t="s">
        <v>12</v>
      </c>
      <c r="H13041" s="2" t="s">
        <v>4915</v>
      </c>
    </row>
    <row r="13042" spans="1:9" x14ac:dyDescent="0.2">
      <c r="A13042" s="2" t="s">
        <v>4521</v>
      </c>
      <c r="B13042" s="2" t="s">
        <v>7107</v>
      </c>
      <c r="C13042" s="2">
        <v>678.37519999999995</v>
      </c>
      <c r="D13042" s="2">
        <f>HYPERLINK("http://mcb-m6.bioreg.kyushu-u.ac.jp/M3/20110421/F51050/1816/1", 46.85)</f>
        <v>46.85</v>
      </c>
      <c r="E13042" s="2">
        <v>29.87</v>
      </c>
      <c r="F13042" s="2">
        <v>2</v>
      </c>
      <c r="G13042" s="2" t="s">
        <v>12</v>
      </c>
      <c r="H13042" s="2" t="s">
        <v>4915</v>
      </c>
    </row>
    <row r="13043" spans="1:9" x14ac:dyDescent="0.2">
      <c r="A13043" s="2" t="s">
        <v>4521</v>
      </c>
      <c r="B13043" s="2" t="s">
        <v>7107</v>
      </c>
      <c r="C13043" s="2">
        <v>669.89260000000002</v>
      </c>
      <c r="D13043" s="2">
        <f>HYPERLINK("http://mcb-m6.bioreg.kyushu-u.ac.jp/M3/20110421/F51050/1769/1", 62.9)</f>
        <v>62.9</v>
      </c>
      <c r="E13043" s="2">
        <v>39.61</v>
      </c>
      <c r="F13043" s="2">
        <v>2</v>
      </c>
      <c r="G13043" s="2" t="s">
        <v>12</v>
      </c>
    </row>
    <row r="13044" spans="1:9" x14ac:dyDescent="0.2">
      <c r="A13044" s="2" t="s">
        <v>4521</v>
      </c>
      <c r="B13044" s="2" t="s">
        <v>6431</v>
      </c>
      <c r="C13044" s="2">
        <v>831.75319999999999</v>
      </c>
      <c r="D13044" s="2">
        <f>HYPERLINK("http://mcb-m6.bioreg.kyushu-u.ac.jp/M3/20110421/F51050/2470/1", 79.08)</f>
        <v>79.08</v>
      </c>
      <c r="E13044" s="2">
        <v>60.71</v>
      </c>
      <c r="F13044" s="2">
        <v>2</v>
      </c>
      <c r="G13044" s="2" t="s">
        <v>12</v>
      </c>
      <c r="I13044" s="2" t="s">
        <v>4890</v>
      </c>
    </row>
    <row r="13045" spans="1:9" x14ac:dyDescent="0.2">
      <c r="A13045" s="2" t="s">
        <v>4521</v>
      </c>
      <c r="B13045" s="2" t="s">
        <v>7277</v>
      </c>
      <c r="C13045" s="2">
        <v>1026.539</v>
      </c>
      <c r="D13045" s="2">
        <f>HYPERLINK("http://mcb-m6.bioreg.kyushu-u.ac.jp/M3/20110421/F51050/3005/1", 117.56)</f>
        <v>117.56</v>
      </c>
      <c r="E13045" s="2">
        <v>102.88</v>
      </c>
      <c r="F13045" s="2">
        <v>2</v>
      </c>
      <c r="G13045" s="2" t="s">
        <v>12</v>
      </c>
    </row>
    <row r="13046" spans="1:9" x14ac:dyDescent="0.2">
      <c r="A13046" s="2" t="s">
        <v>4521</v>
      </c>
      <c r="B13046" s="2" t="s">
        <v>7278</v>
      </c>
      <c r="C13046" s="2">
        <v>865.45759999999996</v>
      </c>
      <c r="D13046" s="2">
        <f>HYPERLINK("http://mcb-m6.bioreg.kyushu-u.ac.jp/M3/20110421/F51050/2562/1", 120.13)</f>
        <v>120.13</v>
      </c>
      <c r="E13046" s="2">
        <v>110.57</v>
      </c>
      <c r="F13046" s="2">
        <v>2</v>
      </c>
      <c r="G13046" s="2" t="s">
        <v>12</v>
      </c>
    </row>
    <row r="13047" spans="1:9" x14ac:dyDescent="0.2">
      <c r="A13047" s="2" t="s">
        <v>4521</v>
      </c>
      <c r="B13047" s="2" t="s">
        <v>6431</v>
      </c>
      <c r="C13047" s="2">
        <v>831.2441</v>
      </c>
      <c r="D13047" s="2">
        <f>HYPERLINK("http://mcb-m6.bioreg.kyushu-u.ac.jp/M3/20110428/F51133/2374/1", 63.14)</f>
        <v>63.14</v>
      </c>
      <c r="E13047" s="2">
        <v>48.43</v>
      </c>
      <c r="F13047" s="2">
        <v>2</v>
      </c>
      <c r="G13047" s="2" t="s">
        <v>13</v>
      </c>
      <c r="I13047" s="2" t="s">
        <v>4890</v>
      </c>
    </row>
    <row r="13048" spans="1:9" x14ac:dyDescent="0.2">
      <c r="A13048" s="2" t="s">
        <v>4521</v>
      </c>
      <c r="B13048" s="2" t="s">
        <v>7107</v>
      </c>
      <c r="C13048" s="2">
        <v>669.59969999999998</v>
      </c>
      <c r="D13048" s="2">
        <f>HYPERLINK("http://mcb-m6.bioreg.kyushu-u.ac.jp/M3/20110428/F51130/1716/1", 39.2)</f>
        <v>39.200000000000003</v>
      </c>
      <c r="E13048" s="2">
        <v>22.22</v>
      </c>
      <c r="F13048" s="2">
        <v>2</v>
      </c>
      <c r="G13048" s="2" t="s">
        <v>14</v>
      </c>
    </row>
    <row r="13049" spans="1:9" x14ac:dyDescent="0.2">
      <c r="A13049" s="2" t="s">
        <v>4521</v>
      </c>
      <c r="B13049" s="2" t="s">
        <v>6431</v>
      </c>
      <c r="C13049" s="2">
        <v>831.08010000000002</v>
      </c>
      <c r="D13049" s="2">
        <f>HYPERLINK("http://mcb-m6.bioreg.kyushu-u.ac.jp/M3/20110428/F51130/2502/1", 55.84)</f>
        <v>55.84</v>
      </c>
      <c r="E13049" s="2">
        <v>43.65</v>
      </c>
      <c r="F13049" s="2">
        <v>2</v>
      </c>
      <c r="G13049" s="2" t="s">
        <v>14</v>
      </c>
      <c r="I13049" s="2" t="s">
        <v>4890</v>
      </c>
    </row>
    <row r="13050" spans="1:9" x14ac:dyDescent="0.2">
      <c r="A13050" s="2" t="s">
        <v>3872</v>
      </c>
      <c r="B13050" s="2" t="s">
        <v>2112</v>
      </c>
      <c r="C13050" s="2">
        <v>715.92110000000002</v>
      </c>
      <c r="D13050" s="2">
        <f>HYPERLINK("http://mcb-m6.bioreg.kyushu-u.ac.jp/M3/20110404/F50763/1843/1", 68.62)</f>
        <v>68.62</v>
      </c>
      <c r="E13050" s="2">
        <v>54.15</v>
      </c>
      <c r="F13050" s="2">
        <v>2</v>
      </c>
      <c r="G13050" s="2" t="s">
        <v>9</v>
      </c>
    </row>
    <row r="13051" spans="1:9" x14ac:dyDescent="0.2">
      <c r="A13051" s="2" t="s">
        <v>3872</v>
      </c>
      <c r="B13051" s="2" t="s">
        <v>1556</v>
      </c>
      <c r="C13051" s="2">
        <v>737.32169999999996</v>
      </c>
      <c r="D13051" s="2">
        <f>HYPERLINK("http://mcb-m6.bioreg.kyushu-u.ac.jp/M3/20110404/F50763/1926/1", 102.64)</f>
        <v>102.64</v>
      </c>
      <c r="E13051" s="2">
        <v>79.72</v>
      </c>
      <c r="F13051" s="2">
        <v>2</v>
      </c>
      <c r="G13051" s="2" t="s">
        <v>9</v>
      </c>
    </row>
    <row r="13052" spans="1:9" x14ac:dyDescent="0.2">
      <c r="A13052" s="2" t="s">
        <v>3872</v>
      </c>
      <c r="B13052" s="2" t="s">
        <v>2028</v>
      </c>
      <c r="C13052" s="2">
        <v>644.90920000000006</v>
      </c>
      <c r="D13052" s="2">
        <f>HYPERLINK("http://mcb-m6.bioreg.kyushu-u.ac.jp/M3/20110404/F50769/1668/1", 83.72)</f>
        <v>83.72</v>
      </c>
      <c r="E13052" s="2">
        <v>63.37</v>
      </c>
      <c r="F13052" s="2">
        <v>2</v>
      </c>
      <c r="G13052" s="2" t="s">
        <v>10</v>
      </c>
    </row>
    <row r="13053" spans="1:9" x14ac:dyDescent="0.2">
      <c r="A13053" s="2" t="s">
        <v>3872</v>
      </c>
      <c r="B13053" s="2" t="s">
        <v>991</v>
      </c>
      <c r="C13053" s="2">
        <v>501.3091</v>
      </c>
      <c r="D13053" s="2">
        <f>HYPERLINK("http://mcb-m6.bioreg.kyushu-u.ac.jp/M3/20110421/F51035/767/1", 72.61)</f>
        <v>72.61</v>
      </c>
      <c r="E13053" s="2">
        <v>23.57</v>
      </c>
      <c r="F13053" s="2">
        <v>2</v>
      </c>
      <c r="G13053" s="2" t="s">
        <v>11</v>
      </c>
    </row>
    <row r="13054" spans="1:9" x14ac:dyDescent="0.2">
      <c r="A13054" s="2" t="s">
        <v>3872</v>
      </c>
      <c r="B13054" s="2" t="s">
        <v>2028</v>
      </c>
      <c r="C13054" s="2">
        <v>645.40470000000005</v>
      </c>
      <c r="D13054" s="2">
        <f>HYPERLINK("http://mcb-m6.bioreg.kyushu-u.ac.jp/M3/20110421/F51043/1549/1", 52.91)</f>
        <v>52.91</v>
      </c>
      <c r="E13054" s="2">
        <v>32.630000000000003</v>
      </c>
      <c r="F13054" s="2">
        <v>2</v>
      </c>
      <c r="G13054" s="2" t="s">
        <v>12</v>
      </c>
    </row>
    <row r="13055" spans="1:9" x14ac:dyDescent="0.2">
      <c r="A13055" s="2" t="s">
        <v>3872</v>
      </c>
      <c r="B13055" s="2" t="s">
        <v>2112</v>
      </c>
      <c r="C13055" s="2">
        <v>715.82510000000002</v>
      </c>
      <c r="D13055" s="2">
        <f>HYPERLINK("http://mcb-m6.bioreg.kyushu-u.ac.jp/M3/20110421/F51043/1953/1", 92.19)</f>
        <v>92.19</v>
      </c>
      <c r="E13055" s="2">
        <v>76.52</v>
      </c>
      <c r="F13055" s="2">
        <v>2</v>
      </c>
      <c r="G13055" s="2" t="s">
        <v>12</v>
      </c>
    </row>
    <row r="13056" spans="1:9" x14ac:dyDescent="0.2">
      <c r="A13056" s="2" t="s">
        <v>3872</v>
      </c>
      <c r="B13056" s="2" t="s">
        <v>1179</v>
      </c>
      <c r="C13056" s="2">
        <v>554.04769999999996</v>
      </c>
      <c r="D13056" s="2">
        <f>HYPERLINK("http://mcb-m6.bioreg.kyushu-u.ac.jp/M3/20110428/F51127/991/1", 43.51)</f>
        <v>43.51</v>
      </c>
      <c r="E13056" s="2">
        <v>17.48</v>
      </c>
      <c r="F13056" s="2">
        <v>2</v>
      </c>
      <c r="G13056" s="2" t="s">
        <v>13</v>
      </c>
    </row>
    <row r="13057" spans="1:8" x14ac:dyDescent="0.2">
      <c r="A13057" s="2" t="s">
        <v>3872</v>
      </c>
      <c r="B13057" s="2" t="s">
        <v>991</v>
      </c>
      <c r="C13057" s="2">
        <v>501.09460000000001</v>
      </c>
      <c r="D13057" s="2">
        <f>HYPERLINK("http://mcb-m6.bioreg.kyushu-u.ac.jp/M3/20110428/F51127/760/1", 44.83)</f>
        <v>44.83</v>
      </c>
      <c r="E13057" s="2">
        <v>8.11</v>
      </c>
      <c r="F13057" s="2">
        <v>2</v>
      </c>
      <c r="G13057" s="2" t="s">
        <v>13</v>
      </c>
    </row>
    <row r="13058" spans="1:8" x14ac:dyDescent="0.2">
      <c r="A13058" s="2" t="s">
        <v>3872</v>
      </c>
      <c r="B13058" s="2" t="s">
        <v>2502</v>
      </c>
      <c r="C13058" s="2">
        <v>719.77809999999999</v>
      </c>
      <c r="D13058" s="2">
        <f>HYPERLINK("http://mcb-m6.bioreg.kyushu-u.ac.jp/M3/20110428/F51127/1772/1", 76.27)</f>
        <v>76.27</v>
      </c>
      <c r="E13058" s="2">
        <v>51.27</v>
      </c>
      <c r="F13058" s="2">
        <v>2</v>
      </c>
      <c r="G13058" s="2" t="s">
        <v>13</v>
      </c>
    </row>
    <row r="13059" spans="1:8" x14ac:dyDescent="0.2">
      <c r="A13059" s="2" t="s">
        <v>3872</v>
      </c>
      <c r="B13059" s="2" t="s">
        <v>991</v>
      </c>
      <c r="C13059" s="2">
        <v>501.09160000000003</v>
      </c>
      <c r="D13059" s="2">
        <f>HYPERLINK("http://mcb-m6.bioreg.kyushu-u.ac.jp/M3/20110428/F51128/915/1", 37.87)</f>
        <v>37.869999999999997</v>
      </c>
      <c r="E13059" s="2">
        <v>8.5299999999999994</v>
      </c>
      <c r="F13059" s="2">
        <v>2</v>
      </c>
      <c r="G13059" s="2" t="s">
        <v>14</v>
      </c>
    </row>
    <row r="13060" spans="1:8" x14ac:dyDescent="0.2">
      <c r="A13060" s="2" t="s">
        <v>7789</v>
      </c>
      <c r="B13060" s="2" t="s">
        <v>6692</v>
      </c>
      <c r="C13060" s="2">
        <v>534.86320000000001</v>
      </c>
      <c r="D13060" s="2">
        <f>HYPERLINK("http://mcb-m6.bioreg.kyushu-u.ac.jp/M3/20110404/F50772/1147/1", 36.31)</f>
        <v>36.31</v>
      </c>
      <c r="E13060" s="2">
        <v>17.8</v>
      </c>
      <c r="F13060" s="2">
        <v>2</v>
      </c>
      <c r="G13060" s="2" t="s">
        <v>10</v>
      </c>
    </row>
    <row r="13061" spans="1:8" x14ac:dyDescent="0.2">
      <c r="A13061" s="2" t="s">
        <v>4460</v>
      </c>
      <c r="B13061" s="2" t="s">
        <v>6103</v>
      </c>
      <c r="C13061" s="2">
        <v>476.06209999999999</v>
      </c>
      <c r="D13061" s="2">
        <f>HYPERLINK("http://mcb-m6.bioreg.kyushu-u.ac.jp/M3/20110404/F50766/428/1", 42.73)</f>
        <v>42.73</v>
      </c>
      <c r="E13061" s="2">
        <v>14.63</v>
      </c>
      <c r="F13061" s="2">
        <v>2</v>
      </c>
      <c r="G13061" s="2" t="s">
        <v>9</v>
      </c>
    </row>
    <row r="13062" spans="1:8" x14ac:dyDescent="0.2">
      <c r="A13062" s="2" t="s">
        <v>5608</v>
      </c>
      <c r="B13062" s="2" t="s">
        <v>5340</v>
      </c>
      <c r="C13062" s="2">
        <v>842.77760000000001</v>
      </c>
      <c r="D13062" s="2">
        <f>HYPERLINK("http://mcb-m6.bioreg.kyushu-u.ac.jp/M3/20110421/F51039/2615/1", 37.89)</f>
        <v>37.89</v>
      </c>
      <c r="E13062" s="2">
        <v>20.52</v>
      </c>
      <c r="F13062" s="2">
        <v>2</v>
      </c>
      <c r="G13062" s="2" t="s">
        <v>11</v>
      </c>
    </row>
    <row r="13063" spans="1:8" x14ac:dyDescent="0.2">
      <c r="A13063" s="2" t="s">
        <v>5608</v>
      </c>
      <c r="B13063" s="2" t="s">
        <v>5129</v>
      </c>
      <c r="C13063" s="2">
        <v>585.30020000000002</v>
      </c>
      <c r="D13063" s="2">
        <f>HYPERLINK("http://mcb-m6.bioreg.kyushu-u.ac.jp/M3/20110421/F51039/1324/1", 44.59)</f>
        <v>44.59</v>
      </c>
      <c r="E13063" s="2">
        <v>26.88</v>
      </c>
      <c r="F13063" s="2">
        <v>2</v>
      </c>
      <c r="G13063" s="2" t="s">
        <v>11</v>
      </c>
    </row>
    <row r="13064" spans="1:8" x14ac:dyDescent="0.2">
      <c r="A13064" s="2" t="s">
        <v>5608</v>
      </c>
      <c r="B13064" s="2" t="s">
        <v>5129</v>
      </c>
      <c r="C13064" s="2">
        <v>592.82669999999996</v>
      </c>
      <c r="D13064" s="2">
        <f>HYPERLINK("http://mcb-m6.bioreg.kyushu-u.ac.jp/M3/20110421/F51039/1359/1", 52.81)</f>
        <v>52.81</v>
      </c>
      <c r="E13064" s="2">
        <v>33.700000000000003</v>
      </c>
      <c r="F13064" s="2">
        <v>2</v>
      </c>
      <c r="G13064" s="2" t="s">
        <v>11</v>
      </c>
      <c r="H13064" s="2" t="s">
        <v>4908</v>
      </c>
    </row>
    <row r="13065" spans="1:8" x14ac:dyDescent="0.2">
      <c r="A13065" s="2" t="s">
        <v>7642</v>
      </c>
      <c r="B13065" s="2" t="s">
        <v>6193</v>
      </c>
      <c r="C13065" s="2">
        <v>557.76369999999997</v>
      </c>
      <c r="D13065" s="2">
        <f>HYPERLINK("http://mcb-m6.bioreg.kyushu-u.ac.jp/M3/20110404/F50755/1202/1", 46.17)</f>
        <v>46.17</v>
      </c>
      <c r="E13065" s="2">
        <v>27.35</v>
      </c>
      <c r="F13065" s="2">
        <v>2</v>
      </c>
      <c r="G13065" s="2" t="s">
        <v>9</v>
      </c>
    </row>
    <row r="13066" spans="1:8" x14ac:dyDescent="0.2">
      <c r="A13066" s="2" t="s">
        <v>7642</v>
      </c>
      <c r="B13066" s="2" t="s">
        <v>6193</v>
      </c>
      <c r="C13066" s="2">
        <v>557.4606</v>
      </c>
      <c r="D13066" s="2">
        <f>HYPERLINK("http://mcb-m6.bioreg.kyushu-u.ac.jp/M3/20110404/F50781/1212/1", 39.43)</f>
        <v>39.43</v>
      </c>
      <c r="E13066" s="2">
        <v>20.36</v>
      </c>
      <c r="F13066" s="2">
        <v>2</v>
      </c>
      <c r="G13066" s="2" t="s">
        <v>10</v>
      </c>
    </row>
    <row r="13067" spans="1:8" x14ac:dyDescent="0.2">
      <c r="A13067" s="2" t="s">
        <v>7945</v>
      </c>
      <c r="B13067" s="2" t="s">
        <v>7141</v>
      </c>
      <c r="C13067" s="2">
        <v>678.15620000000001</v>
      </c>
      <c r="D13067" s="2">
        <f>HYPERLINK("http://mcb-m6.bioreg.kyushu-u.ac.jp/M3/20110421/F51039/1704/1", 73.97)</f>
        <v>73.97</v>
      </c>
      <c r="E13067" s="2">
        <v>50.99</v>
      </c>
      <c r="F13067" s="2">
        <v>2</v>
      </c>
      <c r="G13067" s="2" t="s">
        <v>11</v>
      </c>
    </row>
    <row r="13068" spans="1:8" x14ac:dyDescent="0.2">
      <c r="A13068" s="2" t="s">
        <v>5854</v>
      </c>
      <c r="B13068" s="2" t="s">
        <v>5549</v>
      </c>
      <c r="C13068" s="2">
        <v>695.26369999999997</v>
      </c>
      <c r="D13068" s="2">
        <f>HYPERLINK("http://mcb-m6.bioreg.kyushu-u.ac.jp/M3/20110421/F51037/1720/1", 39.9)</f>
        <v>39.9</v>
      </c>
      <c r="E13068" s="2">
        <v>27.89</v>
      </c>
      <c r="F13068" s="2">
        <v>2</v>
      </c>
      <c r="G13068" s="2" t="s">
        <v>11</v>
      </c>
    </row>
    <row r="13069" spans="1:8" x14ac:dyDescent="0.2">
      <c r="A13069" s="2" t="s">
        <v>7593</v>
      </c>
      <c r="B13069" s="2" t="s">
        <v>6064</v>
      </c>
      <c r="C13069" s="2">
        <v>783.73659999999995</v>
      </c>
      <c r="D13069" s="2">
        <f>HYPERLINK("http://mcb-m6.bioreg.kyushu-u.ac.jp/M3/20110404/F50778/2059/1", 40.61)</f>
        <v>40.61</v>
      </c>
      <c r="E13069" s="2">
        <v>19.11</v>
      </c>
      <c r="F13069" s="2">
        <v>2</v>
      </c>
      <c r="G13069" s="2" t="s">
        <v>9</v>
      </c>
    </row>
    <row r="13070" spans="1:8" x14ac:dyDescent="0.2">
      <c r="A13070" s="2" t="s">
        <v>7593</v>
      </c>
      <c r="B13070" s="2" t="s">
        <v>6064</v>
      </c>
      <c r="C13070" s="2">
        <v>783.49869999999999</v>
      </c>
      <c r="D13070" s="2">
        <f>HYPERLINK("http://mcb-m6.bioreg.kyushu-u.ac.jp/M3/20110421/F51048/2428/1", 78.57)</f>
        <v>78.569999999999993</v>
      </c>
      <c r="E13070" s="2">
        <v>53.38</v>
      </c>
      <c r="F13070" s="2">
        <v>2</v>
      </c>
      <c r="G13070" s="2" t="s">
        <v>12</v>
      </c>
    </row>
    <row r="13071" spans="1:8" x14ac:dyDescent="0.2">
      <c r="A13071" s="2" t="s">
        <v>3878</v>
      </c>
      <c r="B13071" s="2" t="s">
        <v>1010</v>
      </c>
      <c r="C13071" s="2">
        <v>588.84559999999999</v>
      </c>
      <c r="D13071" s="2">
        <f>HYPERLINK("http://mcb-m6.bioreg.kyushu-u.ac.jp/M3/20110404/F50762/1274/1", 46.32)</f>
        <v>46.32</v>
      </c>
      <c r="E13071" s="2">
        <v>22.61</v>
      </c>
      <c r="F13071" s="2">
        <v>2</v>
      </c>
      <c r="G13071" s="2" t="s">
        <v>9</v>
      </c>
    </row>
    <row r="13072" spans="1:8" x14ac:dyDescent="0.2">
      <c r="A13072" s="2" t="s">
        <v>3878</v>
      </c>
      <c r="B13072" s="2" t="s">
        <v>1010</v>
      </c>
      <c r="C13072" s="2">
        <v>588.07259999999997</v>
      </c>
      <c r="D13072" s="2">
        <f>HYPERLINK("http://mcb-m6.bioreg.kyushu-u.ac.jp/M3/20110404/F50753/1459/1", 48.98)</f>
        <v>48.98</v>
      </c>
      <c r="E13072" s="2">
        <v>13.23</v>
      </c>
      <c r="F13072" s="2">
        <v>2</v>
      </c>
      <c r="G13072" s="2" t="s">
        <v>9</v>
      </c>
    </row>
    <row r="13073" spans="1:7" x14ac:dyDescent="0.2">
      <c r="A13073" s="2" t="s">
        <v>3878</v>
      </c>
      <c r="B13073" s="2" t="s">
        <v>1010</v>
      </c>
      <c r="C13073" s="2">
        <v>588.88419999999996</v>
      </c>
      <c r="D13073" s="2">
        <f>HYPERLINK("http://mcb-m6.bioreg.kyushu-u.ac.jp/M3/20110404/F50751/1655/1", 50.13)</f>
        <v>50.13</v>
      </c>
      <c r="E13073" s="2">
        <v>2.56</v>
      </c>
      <c r="F13073" s="2">
        <v>2</v>
      </c>
      <c r="G13073" s="2" t="s">
        <v>9</v>
      </c>
    </row>
    <row r="13074" spans="1:7" x14ac:dyDescent="0.2">
      <c r="A13074" s="2" t="s">
        <v>3878</v>
      </c>
      <c r="B13074" s="2" t="s">
        <v>1010</v>
      </c>
      <c r="C13074" s="2">
        <v>588.12070000000006</v>
      </c>
      <c r="D13074" s="2">
        <f>HYPERLINK("http://mcb-m6.bioreg.kyushu-u.ac.jp/M3/20110404/F50754/1590/1", 51.74)</f>
        <v>51.74</v>
      </c>
      <c r="E13074" s="2">
        <v>18.920000000000002</v>
      </c>
      <c r="F13074" s="2">
        <v>2</v>
      </c>
      <c r="G13074" s="2" t="s">
        <v>9</v>
      </c>
    </row>
    <row r="13075" spans="1:7" x14ac:dyDescent="0.2">
      <c r="A13075" s="2" t="s">
        <v>3878</v>
      </c>
      <c r="B13075" s="2" t="s">
        <v>1010</v>
      </c>
      <c r="C13075" s="2">
        <v>588.31669999999997</v>
      </c>
      <c r="D13075" s="2">
        <f>HYPERLINK("http://mcb-m6.bioreg.kyushu-u.ac.jp/M3/20110404/F50756/1302/1", 55.01)</f>
        <v>55.01</v>
      </c>
      <c r="E13075" s="2">
        <v>27.86</v>
      </c>
      <c r="F13075" s="2">
        <v>2</v>
      </c>
      <c r="G13075" s="2" t="s">
        <v>9</v>
      </c>
    </row>
    <row r="13076" spans="1:7" x14ac:dyDescent="0.2">
      <c r="A13076" s="2" t="s">
        <v>3878</v>
      </c>
      <c r="B13076" s="2" t="s">
        <v>1010</v>
      </c>
      <c r="C13076" s="2">
        <v>588.54769999999996</v>
      </c>
      <c r="D13076" s="2">
        <f>HYPERLINK("http://mcb-m6.bioreg.kyushu-u.ac.jp/M3/20110404/F50758/1426/1", 56.43)</f>
        <v>56.43</v>
      </c>
      <c r="E13076" s="2">
        <v>19.18</v>
      </c>
      <c r="F13076" s="2">
        <v>2</v>
      </c>
      <c r="G13076" s="2" t="s">
        <v>10</v>
      </c>
    </row>
    <row r="13077" spans="1:7" x14ac:dyDescent="0.2">
      <c r="A13077" s="2" t="s">
        <v>3878</v>
      </c>
      <c r="B13077" s="2" t="s">
        <v>1010</v>
      </c>
      <c r="C13077" s="2">
        <v>588.79610000000002</v>
      </c>
      <c r="D13077" s="2">
        <f>HYPERLINK("http://mcb-m6.bioreg.kyushu-u.ac.jp/M3/20110404/F50761/1271/1", 65.1)</f>
        <v>65.099999999999994</v>
      </c>
      <c r="E13077" s="2">
        <v>30.5</v>
      </c>
      <c r="F13077" s="2">
        <v>2</v>
      </c>
      <c r="G13077" s="2" t="s">
        <v>10</v>
      </c>
    </row>
    <row r="13078" spans="1:7" x14ac:dyDescent="0.2">
      <c r="A13078" s="2" t="s">
        <v>3878</v>
      </c>
      <c r="B13078" s="2" t="s">
        <v>1010</v>
      </c>
      <c r="C13078" s="2">
        <v>588.19370000000004</v>
      </c>
      <c r="D13078" s="2">
        <f>HYPERLINK("http://mcb-m6.bioreg.kyushu-u.ac.jp/M3/20110421/F51018/1433/1", 40.27)</f>
        <v>40.270000000000003</v>
      </c>
      <c r="E13078" s="2">
        <v>8.4600000000000009</v>
      </c>
      <c r="F13078" s="2">
        <v>2</v>
      </c>
      <c r="G13078" s="2" t="s">
        <v>11</v>
      </c>
    </row>
    <row r="13079" spans="1:7" x14ac:dyDescent="0.2">
      <c r="A13079" s="2" t="s">
        <v>3878</v>
      </c>
      <c r="B13079" s="2" t="s">
        <v>1010</v>
      </c>
      <c r="C13079" s="2">
        <v>588.73109999999997</v>
      </c>
      <c r="D13079" s="2">
        <f>HYPERLINK("http://mcb-m6.bioreg.kyushu-u.ac.jp/M3/20110421/F51019/1470/1", 52.89)</f>
        <v>52.89</v>
      </c>
      <c r="E13079" s="2">
        <v>10.1</v>
      </c>
      <c r="F13079" s="2">
        <v>2</v>
      </c>
      <c r="G13079" s="2" t="s">
        <v>11</v>
      </c>
    </row>
    <row r="13080" spans="1:7" x14ac:dyDescent="0.2">
      <c r="A13080" s="2" t="s">
        <v>3878</v>
      </c>
      <c r="B13080" s="2" t="s">
        <v>1010</v>
      </c>
      <c r="C13080" s="2">
        <v>588.72609999999997</v>
      </c>
      <c r="D13080" s="2">
        <f>HYPERLINK("http://mcb-m6.bioreg.kyushu-u.ac.jp/M3/20110421/F51015/1604/1", 64.3)</f>
        <v>64.3</v>
      </c>
      <c r="E13080" s="2">
        <v>29.34</v>
      </c>
      <c r="F13080" s="2">
        <v>2</v>
      </c>
      <c r="G13080" s="2" t="s">
        <v>11</v>
      </c>
    </row>
    <row r="13081" spans="1:7" x14ac:dyDescent="0.2">
      <c r="A13081" s="2" t="s">
        <v>3878</v>
      </c>
      <c r="B13081" s="2" t="s">
        <v>1010</v>
      </c>
      <c r="C13081" s="2">
        <v>588.62159999999994</v>
      </c>
      <c r="D13081" s="2">
        <f>HYPERLINK("http://mcb-m6.bioreg.kyushu-u.ac.jp/M3/20110421/F51014/1558/1", 68.3)</f>
        <v>68.3</v>
      </c>
      <c r="E13081" s="2">
        <v>35.840000000000003</v>
      </c>
      <c r="F13081" s="2">
        <v>2</v>
      </c>
      <c r="G13081" s="2" t="s">
        <v>11</v>
      </c>
    </row>
    <row r="13082" spans="1:7" x14ac:dyDescent="0.2">
      <c r="A13082" s="2" t="s">
        <v>3878</v>
      </c>
      <c r="B13082" s="2" t="s">
        <v>1010</v>
      </c>
      <c r="C13082" s="2">
        <v>588.16420000000005</v>
      </c>
      <c r="D13082" s="2">
        <f>HYPERLINK("http://mcb-m6.bioreg.kyushu-u.ac.jp/M3/20110421/F51019/1467/1", 68.98)</f>
        <v>68.98</v>
      </c>
      <c r="E13082" s="2">
        <v>23.69</v>
      </c>
      <c r="F13082" s="2">
        <v>2</v>
      </c>
      <c r="G13082" s="2" t="s">
        <v>11</v>
      </c>
    </row>
    <row r="13083" spans="1:7" x14ac:dyDescent="0.2">
      <c r="A13083" s="2" t="s">
        <v>3878</v>
      </c>
      <c r="B13083" s="2" t="s">
        <v>1010</v>
      </c>
      <c r="C13083" s="2">
        <v>588.19960000000003</v>
      </c>
      <c r="D13083" s="2">
        <f>HYPERLINK("http://mcb-m6.bioreg.kyushu-u.ac.jp/M3/20110421/F51015/1602/1", 76.21)</f>
        <v>76.209999999999994</v>
      </c>
      <c r="E13083" s="2">
        <v>30.68</v>
      </c>
      <c r="F13083" s="2">
        <v>2</v>
      </c>
      <c r="G13083" s="2" t="s">
        <v>11</v>
      </c>
    </row>
    <row r="13084" spans="1:7" x14ac:dyDescent="0.2">
      <c r="A13084" s="2" t="s">
        <v>3878</v>
      </c>
      <c r="B13084" s="2" t="s">
        <v>1010</v>
      </c>
      <c r="C13084" s="2">
        <v>588.20759999999996</v>
      </c>
      <c r="D13084" s="2">
        <f>HYPERLINK("http://mcb-m6.bioreg.kyushu-u.ac.jp/M3/20110421/F51023/1566/1", 42.26)</f>
        <v>42.26</v>
      </c>
      <c r="E13084" s="2">
        <v>12.73</v>
      </c>
      <c r="F13084" s="2">
        <v>2</v>
      </c>
      <c r="G13084" s="2" t="s">
        <v>12</v>
      </c>
    </row>
    <row r="13085" spans="1:7" x14ac:dyDescent="0.2">
      <c r="A13085" s="2" t="s">
        <v>3878</v>
      </c>
      <c r="B13085" s="2" t="s">
        <v>1010</v>
      </c>
      <c r="C13085" s="2">
        <v>588.3741</v>
      </c>
      <c r="D13085" s="2">
        <f>HYPERLINK("http://mcb-m6.bioreg.kyushu-u.ac.jp/M3/20110421/F51022/1755/1", 49.81)</f>
        <v>49.81</v>
      </c>
      <c r="E13085" s="2">
        <v>23.82</v>
      </c>
      <c r="F13085" s="2">
        <v>2</v>
      </c>
      <c r="G13085" s="2" t="s">
        <v>12</v>
      </c>
    </row>
    <row r="13086" spans="1:7" x14ac:dyDescent="0.2">
      <c r="A13086" s="2" t="s">
        <v>3878</v>
      </c>
      <c r="B13086" s="2" t="s">
        <v>1010</v>
      </c>
      <c r="C13086" s="2">
        <v>588.6327</v>
      </c>
      <c r="D13086" s="2">
        <f>HYPERLINK("http://mcb-m6.bioreg.kyushu-u.ac.jp/M3/20110421/F51024/1525/1", 57.75)</f>
        <v>57.75</v>
      </c>
      <c r="E13086" s="2">
        <v>27.1</v>
      </c>
      <c r="F13086" s="2">
        <v>2</v>
      </c>
      <c r="G13086" s="2" t="s">
        <v>12</v>
      </c>
    </row>
    <row r="13087" spans="1:7" x14ac:dyDescent="0.2">
      <c r="A13087" s="2" t="s">
        <v>3878</v>
      </c>
      <c r="B13087" s="2" t="s">
        <v>1010</v>
      </c>
      <c r="C13087" s="2">
        <v>588.64170000000001</v>
      </c>
      <c r="D13087" s="2">
        <f>HYPERLINK("http://mcb-m6.bioreg.kyushu-u.ac.jp/M3/20110421/F51021/1250/1", 61.59)</f>
        <v>61.59</v>
      </c>
      <c r="E13087" s="2">
        <v>30.36</v>
      </c>
      <c r="F13087" s="2">
        <v>2</v>
      </c>
      <c r="G13087" s="2" t="s">
        <v>12</v>
      </c>
    </row>
    <row r="13088" spans="1:7" x14ac:dyDescent="0.2">
      <c r="A13088" s="2" t="s">
        <v>3878</v>
      </c>
      <c r="B13088" s="2" t="s">
        <v>1010</v>
      </c>
      <c r="C13088" s="2">
        <v>588.23519999999996</v>
      </c>
      <c r="D13088" s="2">
        <f>HYPERLINK("http://mcb-m6.bioreg.kyushu-u.ac.jp/M3/20110427/F51116/1382/1", 47.11)</f>
        <v>47.11</v>
      </c>
      <c r="E13088" s="2">
        <v>11.51</v>
      </c>
      <c r="F13088" s="2">
        <v>2</v>
      </c>
      <c r="G13088" s="2" t="s">
        <v>13</v>
      </c>
    </row>
    <row r="13089" spans="1:9" x14ac:dyDescent="0.2">
      <c r="A13089" s="2" t="s">
        <v>3878</v>
      </c>
      <c r="B13089" s="2" t="s">
        <v>1010</v>
      </c>
      <c r="C13089" s="2">
        <v>588.04420000000005</v>
      </c>
      <c r="D13089" s="2">
        <f>HYPERLINK("http://mcb-m6.bioreg.kyushu-u.ac.jp/M3/20110428/F51127/1137/1", 56.62)</f>
        <v>56.62</v>
      </c>
      <c r="E13089" s="2">
        <v>14.37</v>
      </c>
      <c r="F13089" s="2">
        <v>2</v>
      </c>
      <c r="G13089" s="2" t="s">
        <v>13</v>
      </c>
    </row>
    <row r="13090" spans="1:9" x14ac:dyDescent="0.2">
      <c r="A13090" s="2" t="s">
        <v>3878</v>
      </c>
      <c r="B13090" s="2" t="s">
        <v>1010</v>
      </c>
      <c r="C13090" s="2">
        <v>588.74369999999999</v>
      </c>
      <c r="D13090" s="2">
        <f>HYPERLINK("http://mcb-m6.bioreg.kyushu-u.ac.jp/M3/20110427/F51117/1336/1", 61.85)</f>
        <v>61.85</v>
      </c>
      <c r="E13090" s="2">
        <v>35.97</v>
      </c>
      <c r="F13090" s="2">
        <v>2</v>
      </c>
      <c r="G13090" s="2" t="s">
        <v>13</v>
      </c>
    </row>
    <row r="13091" spans="1:9" x14ac:dyDescent="0.2">
      <c r="A13091" s="2" t="s">
        <v>3878</v>
      </c>
      <c r="B13091" s="2" t="s">
        <v>1010</v>
      </c>
      <c r="C13091" s="2">
        <v>588.23659999999995</v>
      </c>
      <c r="D13091" s="2">
        <f>HYPERLINK("http://mcb-m6.bioreg.kyushu-u.ac.jp/M3/20110427/F51114/1311/1", 75.84)</f>
        <v>75.84</v>
      </c>
      <c r="E13091" s="2">
        <v>19.16</v>
      </c>
      <c r="F13091" s="2">
        <v>2</v>
      </c>
      <c r="G13091" s="2" t="s">
        <v>13</v>
      </c>
    </row>
    <row r="13092" spans="1:9" x14ac:dyDescent="0.2">
      <c r="A13092" s="2" t="s">
        <v>3878</v>
      </c>
      <c r="B13092" s="2" t="s">
        <v>1010</v>
      </c>
      <c r="C13092" s="2">
        <v>588.40219999999999</v>
      </c>
      <c r="D13092" s="2">
        <f>HYPERLINK("http://mcb-m6.bioreg.kyushu-u.ac.jp/M3/20110427/F51125/1525/1", 37.89)</f>
        <v>37.89</v>
      </c>
      <c r="E13092" s="2">
        <v>8.33</v>
      </c>
      <c r="F13092" s="2">
        <v>2</v>
      </c>
      <c r="G13092" s="2" t="s">
        <v>14</v>
      </c>
    </row>
    <row r="13093" spans="1:9" x14ac:dyDescent="0.2">
      <c r="A13093" s="2" t="s">
        <v>3878</v>
      </c>
      <c r="B13093" s="2" t="s">
        <v>1010</v>
      </c>
      <c r="C13093" s="2">
        <v>588.06370000000004</v>
      </c>
      <c r="D13093" s="2">
        <f>HYPERLINK("http://mcb-m6.bioreg.kyushu-u.ac.jp/M3/20110428/F51129/1361/1", 51.17)</f>
        <v>51.17</v>
      </c>
      <c r="E13093" s="2">
        <v>10.16</v>
      </c>
      <c r="F13093" s="2">
        <v>2</v>
      </c>
      <c r="G13093" s="2" t="s">
        <v>14</v>
      </c>
    </row>
    <row r="13094" spans="1:9" x14ac:dyDescent="0.2">
      <c r="A13094" s="2" t="s">
        <v>3878</v>
      </c>
      <c r="B13094" s="2" t="s">
        <v>1010</v>
      </c>
      <c r="C13094" s="2">
        <v>588.35670000000005</v>
      </c>
      <c r="D13094" s="2">
        <f>HYPERLINK("http://mcb-m6.bioreg.kyushu-u.ac.jp/M3/20110427/F51122/1616/1", 54.58)</f>
        <v>54.58</v>
      </c>
      <c r="E13094" s="2">
        <v>16.39</v>
      </c>
      <c r="F13094" s="2">
        <v>2</v>
      </c>
      <c r="G13094" s="2" t="s">
        <v>14</v>
      </c>
    </row>
    <row r="13095" spans="1:9" x14ac:dyDescent="0.2">
      <c r="A13095" s="2" t="s">
        <v>3878</v>
      </c>
      <c r="B13095" s="2" t="s">
        <v>1010</v>
      </c>
      <c r="C13095" s="2">
        <v>588.03020000000004</v>
      </c>
      <c r="D13095" s="2">
        <f>HYPERLINK("http://mcb-m6.bioreg.kyushu-u.ac.jp/M3/20110428/F51134/1558/1", 55.65)</f>
        <v>55.65</v>
      </c>
      <c r="E13095" s="2">
        <v>26.59</v>
      </c>
      <c r="F13095" s="2">
        <v>2</v>
      </c>
      <c r="G13095" s="2" t="s">
        <v>14</v>
      </c>
    </row>
    <row r="13096" spans="1:9" x14ac:dyDescent="0.2">
      <c r="A13096" s="2" t="s">
        <v>3878</v>
      </c>
      <c r="B13096" s="2" t="s">
        <v>1010</v>
      </c>
      <c r="C13096" s="2">
        <v>588.67520000000002</v>
      </c>
      <c r="D13096" s="2">
        <f>HYPERLINK("http://mcb-m6.bioreg.kyushu-u.ac.jp/M3/20110428/F51129/1363/1", 61.55)</f>
        <v>61.55</v>
      </c>
      <c r="E13096" s="2">
        <v>24.69</v>
      </c>
      <c r="F13096" s="2">
        <v>2</v>
      </c>
      <c r="G13096" s="2" t="s">
        <v>14</v>
      </c>
    </row>
    <row r="13097" spans="1:9" x14ac:dyDescent="0.2">
      <c r="A13097" s="2" t="s">
        <v>3878</v>
      </c>
      <c r="B13097" s="2" t="s">
        <v>1010</v>
      </c>
      <c r="C13097" s="2">
        <v>588.59469999999999</v>
      </c>
      <c r="D13097" s="2">
        <f>HYPERLINK("http://mcb-m6.bioreg.kyushu-u.ac.jp/M3/20110427/F51119/1746/1", 65.4)</f>
        <v>65.400000000000006</v>
      </c>
      <c r="E13097" s="2">
        <v>29.56</v>
      </c>
      <c r="F13097" s="2">
        <v>2</v>
      </c>
      <c r="G13097" s="2" t="s">
        <v>14</v>
      </c>
    </row>
    <row r="13098" spans="1:9" x14ac:dyDescent="0.2">
      <c r="A13098" s="2" t="s">
        <v>3878</v>
      </c>
      <c r="B13098" s="2" t="s">
        <v>1010</v>
      </c>
      <c r="C13098" s="2">
        <v>588.15719999999999</v>
      </c>
      <c r="D13098" s="2">
        <f>HYPERLINK("http://mcb-m6.bioreg.kyushu-u.ac.jp/M3/20110427/F51124/1419/1", 68.47)</f>
        <v>68.47</v>
      </c>
      <c r="E13098" s="2">
        <v>17.89</v>
      </c>
      <c r="F13098" s="2">
        <v>2</v>
      </c>
      <c r="G13098" s="2" t="s">
        <v>14</v>
      </c>
    </row>
    <row r="13099" spans="1:9" x14ac:dyDescent="0.2">
      <c r="A13099" s="2" t="s">
        <v>7826</v>
      </c>
      <c r="B13099" s="2" t="s">
        <v>6772</v>
      </c>
      <c r="C13099" s="2">
        <v>491.97710000000001</v>
      </c>
      <c r="D13099" s="2">
        <f>HYPERLINK("http://mcb-m6.bioreg.kyushu-u.ac.jp/M3/20110404/F50770/1127/1", 41.41)</f>
        <v>41.41</v>
      </c>
      <c r="E13099" s="2">
        <v>23.68</v>
      </c>
      <c r="F13099" s="2">
        <v>2</v>
      </c>
      <c r="G13099" s="2" t="s">
        <v>10</v>
      </c>
      <c r="I13099" s="2" t="s">
        <v>4905</v>
      </c>
    </row>
    <row r="13100" spans="1:9" x14ac:dyDescent="0.2">
      <c r="A13100" s="2" t="s">
        <v>7979</v>
      </c>
      <c r="B13100" s="2" t="s">
        <v>7192</v>
      </c>
      <c r="C13100" s="2">
        <v>482.87709999999998</v>
      </c>
      <c r="D13100" s="2">
        <f>HYPERLINK("http://mcb-m6.bioreg.kyushu-u.ac.jp/M3/20110421/F51047/882/1", 41.77)</f>
        <v>41.77</v>
      </c>
      <c r="E13100" s="2">
        <v>12.23</v>
      </c>
      <c r="F13100" s="2">
        <v>2</v>
      </c>
      <c r="G13100" s="2" t="s">
        <v>12</v>
      </c>
    </row>
    <row r="13101" spans="1:9" x14ac:dyDescent="0.2">
      <c r="A13101" s="2" t="s">
        <v>3735</v>
      </c>
      <c r="B13101" s="2" t="s">
        <v>735</v>
      </c>
      <c r="C13101" s="2">
        <v>684.81370000000004</v>
      </c>
      <c r="D13101" s="2">
        <f>HYPERLINK("http://mcb-m6.bioreg.kyushu-u.ac.jp/M3/20110421/F51037/1657/1", 43.96)</f>
        <v>43.96</v>
      </c>
      <c r="E13101" s="2">
        <v>12.81</v>
      </c>
      <c r="F13101" s="2">
        <v>2</v>
      </c>
      <c r="G13101" s="2" t="s">
        <v>11</v>
      </c>
      <c r="I13101" s="2" t="s">
        <v>4903</v>
      </c>
    </row>
    <row r="13102" spans="1:9" x14ac:dyDescent="0.2">
      <c r="A13102" s="2" t="s">
        <v>3735</v>
      </c>
      <c r="B13102" s="2" t="s">
        <v>735</v>
      </c>
      <c r="C13102" s="2">
        <v>685.39919999999995</v>
      </c>
      <c r="D13102" s="2">
        <f>HYPERLINK("http://mcb-m6.bioreg.kyushu-u.ac.jp/M3/20110421/F51037/1658/1", 53.84)</f>
        <v>53.84</v>
      </c>
      <c r="E13102" s="2">
        <v>31.14</v>
      </c>
      <c r="F13102" s="2">
        <v>2</v>
      </c>
      <c r="G13102" s="2" t="s">
        <v>11</v>
      </c>
      <c r="I13102" s="2" t="s">
        <v>4903</v>
      </c>
    </row>
    <row r="13103" spans="1:9" x14ac:dyDescent="0.2">
      <c r="A13103" s="2" t="s">
        <v>4498</v>
      </c>
      <c r="B13103" s="2" t="s">
        <v>2480</v>
      </c>
      <c r="C13103" s="2">
        <v>614.22270000000003</v>
      </c>
      <c r="D13103" s="2">
        <f>HYPERLINK("http://mcb-m6.bioreg.kyushu-u.ac.jp/M3/20110404/F50777/1391/1", 75.32)</f>
        <v>75.319999999999993</v>
      </c>
      <c r="E13103" s="2">
        <v>54.92</v>
      </c>
      <c r="F13103" s="2">
        <v>2</v>
      </c>
      <c r="G13103" s="2" t="s">
        <v>9</v>
      </c>
    </row>
    <row r="13104" spans="1:9" x14ac:dyDescent="0.2">
      <c r="A13104" s="2" t="s">
        <v>4498</v>
      </c>
      <c r="B13104" s="2" t="s">
        <v>2480</v>
      </c>
      <c r="C13104" s="2">
        <v>614.30470000000003</v>
      </c>
      <c r="D13104" s="2">
        <f>HYPERLINK("http://mcb-m6.bioreg.kyushu-u.ac.jp/M3/20110404/F50769/1588/1", 70.96)</f>
        <v>70.959999999999994</v>
      </c>
      <c r="E13104" s="2">
        <v>48.63</v>
      </c>
      <c r="F13104" s="2">
        <v>2</v>
      </c>
      <c r="G13104" s="2" t="s">
        <v>10</v>
      </c>
    </row>
    <row r="13105" spans="1:8" x14ac:dyDescent="0.2">
      <c r="A13105" s="2" t="s">
        <v>4498</v>
      </c>
      <c r="B13105" s="2" t="s">
        <v>2480</v>
      </c>
      <c r="C13105" s="2">
        <v>614.45209999999997</v>
      </c>
      <c r="D13105" s="2">
        <f>HYPERLINK("http://mcb-m6.bioreg.kyushu-u.ac.jp/M3/20110421/F51047/1513/1", 74.94)</f>
        <v>74.94</v>
      </c>
      <c r="E13105" s="2">
        <v>54.76</v>
      </c>
      <c r="F13105" s="2">
        <v>2</v>
      </c>
      <c r="G13105" s="2" t="s">
        <v>12</v>
      </c>
    </row>
    <row r="13106" spans="1:8" x14ac:dyDescent="0.2">
      <c r="A13106" s="2" t="s">
        <v>4498</v>
      </c>
      <c r="B13106" s="2" t="s">
        <v>2480</v>
      </c>
      <c r="C13106" s="2">
        <v>613.94069999999999</v>
      </c>
      <c r="D13106" s="2">
        <f>HYPERLINK("http://mcb-m6.bioreg.kyushu-u.ac.jp/M3/20110421/F51047/1510/1", 80.71)</f>
        <v>80.709999999999994</v>
      </c>
      <c r="E13106" s="2">
        <v>60.48</v>
      </c>
      <c r="F13106" s="2">
        <v>2</v>
      </c>
      <c r="G13106" s="2" t="s">
        <v>12</v>
      </c>
    </row>
    <row r="13107" spans="1:8" x14ac:dyDescent="0.2">
      <c r="A13107" s="2" t="s">
        <v>4498</v>
      </c>
      <c r="B13107" s="2" t="s">
        <v>2480</v>
      </c>
      <c r="C13107" s="2">
        <v>614.11720000000003</v>
      </c>
      <c r="D13107" s="2">
        <f>HYPERLINK("http://mcb-m6.bioreg.kyushu-u.ac.jp/M3/20110428/F51132/1404/1", 36.19)</f>
        <v>36.19</v>
      </c>
      <c r="E13107" s="2">
        <v>28.76</v>
      </c>
      <c r="F13107" s="2">
        <v>2</v>
      </c>
      <c r="G13107" s="2" t="s">
        <v>13</v>
      </c>
    </row>
    <row r="13108" spans="1:8" x14ac:dyDescent="0.2">
      <c r="A13108" s="2" t="s">
        <v>4498</v>
      </c>
      <c r="B13108" s="2" t="s">
        <v>2480</v>
      </c>
      <c r="C13108" s="2">
        <v>613.70069999999998</v>
      </c>
      <c r="D13108" s="2">
        <f>HYPERLINK("http://mcb-m6.bioreg.kyushu-u.ac.jp/M3/20110428/F51127/1258/1", 84.5)</f>
        <v>84.5</v>
      </c>
      <c r="E13108" s="2">
        <v>61.85</v>
      </c>
      <c r="F13108" s="2">
        <v>2</v>
      </c>
      <c r="G13108" s="2" t="s">
        <v>13</v>
      </c>
    </row>
    <row r="13109" spans="1:8" x14ac:dyDescent="0.2">
      <c r="A13109" s="2" t="s">
        <v>3832</v>
      </c>
      <c r="B13109" s="2" t="s">
        <v>7125</v>
      </c>
      <c r="C13109" s="2">
        <v>816.42319999999995</v>
      </c>
      <c r="D13109" s="2">
        <f>HYPERLINK("http://mcb-m6.bioreg.kyushu-u.ac.jp/M3/20110421/F51014/2423/1", 55.64)</f>
        <v>55.64</v>
      </c>
      <c r="E13109" s="2">
        <v>37.5</v>
      </c>
      <c r="F13109" s="2">
        <v>2</v>
      </c>
      <c r="G13109" s="2" t="s">
        <v>11</v>
      </c>
    </row>
    <row r="13110" spans="1:8" x14ac:dyDescent="0.2">
      <c r="A13110" s="2" t="s">
        <v>3832</v>
      </c>
      <c r="B13110" s="2" t="s">
        <v>7125</v>
      </c>
      <c r="C13110" s="2">
        <v>816.24659999999994</v>
      </c>
      <c r="D13110" s="2">
        <f>HYPERLINK("http://mcb-m6.bioreg.kyushu-u.ac.jp/M3/20110427/F51108/2343/1", 55.94)</f>
        <v>55.94</v>
      </c>
      <c r="E13110" s="2">
        <v>38.74</v>
      </c>
      <c r="F13110" s="2">
        <v>2</v>
      </c>
      <c r="G13110" s="2" t="s">
        <v>13</v>
      </c>
    </row>
    <row r="13111" spans="1:8" x14ac:dyDescent="0.2">
      <c r="A13111" s="2" t="s">
        <v>4378</v>
      </c>
      <c r="B13111" s="2" t="s">
        <v>2236</v>
      </c>
      <c r="C13111" s="2">
        <v>1070.749</v>
      </c>
      <c r="D13111" s="2">
        <f>HYPERLINK("http://mcb-m6.bioreg.kyushu-u.ac.jp/M3/20110404/F50751/1560/1", 36.28)</f>
        <v>36.28</v>
      </c>
      <c r="E13111" s="2">
        <v>23.14</v>
      </c>
      <c r="F13111" s="2">
        <v>1</v>
      </c>
      <c r="G13111" s="2" t="s">
        <v>9</v>
      </c>
    </row>
    <row r="13112" spans="1:8" x14ac:dyDescent="0.2">
      <c r="A13112" s="2" t="s">
        <v>4378</v>
      </c>
      <c r="B13112" s="2" t="s">
        <v>2211</v>
      </c>
      <c r="C13112" s="2">
        <v>677.45370000000003</v>
      </c>
      <c r="D13112" s="2">
        <f>HYPERLINK("http://mcb-m6.bioreg.kyushu-u.ac.jp/M3/20110404/F50751/1886/1", 58.96)</f>
        <v>58.96</v>
      </c>
      <c r="E13112" s="2">
        <v>39.61</v>
      </c>
      <c r="F13112" s="2">
        <v>2</v>
      </c>
      <c r="G13112" s="2" t="s">
        <v>9</v>
      </c>
    </row>
    <row r="13113" spans="1:8" x14ac:dyDescent="0.2">
      <c r="A13113" s="2" t="s">
        <v>4378</v>
      </c>
      <c r="B13113" s="2" t="s">
        <v>2383</v>
      </c>
      <c r="C13113" s="2">
        <v>667.00620000000004</v>
      </c>
      <c r="D13113" s="2">
        <f>HYPERLINK("http://mcb-m6.bioreg.kyushu-u.ac.jp/M3/20110404/F50751/1848/1", 71.68)</f>
        <v>71.680000000000007</v>
      </c>
      <c r="E13113" s="2">
        <v>36.94</v>
      </c>
      <c r="F13113" s="2">
        <v>2</v>
      </c>
      <c r="G13113" s="2" t="s">
        <v>9</v>
      </c>
      <c r="H13113" s="2" t="s">
        <v>4891</v>
      </c>
    </row>
    <row r="13114" spans="1:8" x14ac:dyDescent="0.2">
      <c r="A13114" s="2" t="s">
        <v>4378</v>
      </c>
      <c r="B13114" s="2" t="s">
        <v>2383</v>
      </c>
      <c r="C13114" s="2">
        <v>659.27369999999996</v>
      </c>
      <c r="D13114" s="2">
        <f>HYPERLINK("http://mcb-m6.bioreg.kyushu-u.ac.jp/M3/20110404/F50751/1830/1", 82.78)</f>
        <v>82.78</v>
      </c>
      <c r="E13114" s="2">
        <v>48.59</v>
      </c>
      <c r="F13114" s="2">
        <v>2</v>
      </c>
      <c r="G13114" s="2" t="s">
        <v>9</v>
      </c>
    </row>
    <row r="13115" spans="1:8" x14ac:dyDescent="0.2">
      <c r="A13115" s="2" t="s">
        <v>4378</v>
      </c>
      <c r="B13115" s="2" t="s">
        <v>2236</v>
      </c>
      <c r="C13115" s="2">
        <v>535.59270000000004</v>
      </c>
      <c r="D13115" s="2">
        <f>HYPERLINK("http://mcb-m6.bioreg.kyushu-u.ac.jp/M3/20110421/F51021/1005/1", 63.28)</f>
        <v>63.28</v>
      </c>
      <c r="E13115" s="2">
        <v>41.51</v>
      </c>
      <c r="F13115" s="2">
        <v>2</v>
      </c>
      <c r="G13115" s="2" t="s">
        <v>12</v>
      </c>
    </row>
    <row r="13116" spans="1:8" x14ac:dyDescent="0.2">
      <c r="A13116" s="2" t="s">
        <v>4378</v>
      </c>
      <c r="B13116" s="2" t="s">
        <v>2383</v>
      </c>
      <c r="C13116" s="2">
        <v>667.18470000000002</v>
      </c>
      <c r="D13116" s="2">
        <f>HYPERLINK("http://mcb-m6.bioreg.kyushu-u.ac.jp/M3/20110421/F51021/1609/1", 81.53)</f>
        <v>81.53</v>
      </c>
      <c r="E13116" s="2">
        <v>41.11</v>
      </c>
      <c r="F13116" s="2">
        <v>2</v>
      </c>
      <c r="G13116" s="2" t="s">
        <v>12</v>
      </c>
      <c r="H13116" s="2" t="s">
        <v>4891</v>
      </c>
    </row>
    <row r="13117" spans="1:8" x14ac:dyDescent="0.2">
      <c r="A13117" s="2" t="s">
        <v>4378</v>
      </c>
      <c r="B13117" s="2" t="s">
        <v>2383</v>
      </c>
      <c r="C13117" s="2">
        <v>658.78769999999997</v>
      </c>
      <c r="D13117" s="2">
        <f>HYPERLINK("http://mcb-m6.bioreg.kyushu-u.ac.jp/M3/20110427/F51108/1722/1", 81.64)</f>
        <v>81.64</v>
      </c>
      <c r="E13117" s="2">
        <v>54.21</v>
      </c>
      <c r="F13117" s="2">
        <v>2</v>
      </c>
      <c r="G13117" s="2" t="s">
        <v>13</v>
      </c>
    </row>
    <row r="13118" spans="1:8" x14ac:dyDescent="0.2">
      <c r="A13118" s="2" t="s">
        <v>4378</v>
      </c>
      <c r="B13118" s="2" t="s">
        <v>2236</v>
      </c>
      <c r="C13118" s="2">
        <v>1070.4860000000001</v>
      </c>
      <c r="D13118" s="2">
        <f>HYPERLINK("http://mcb-m6.bioreg.kyushu-u.ac.jp/M3/20110427/F51118/1508/1", 40)</f>
        <v>40</v>
      </c>
      <c r="E13118" s="2">
        <v>31.87</v>
      </c>
      <c r="F13118" s="2">
        <v>1</v>
      </c>
      <c r="G13118" s="2" t="s">
        <v>14</v>
      </c>
    </row>
    <row r="13119" spans="1:8" x14ac:dyDescent="0.2">
      <c r="A13119" s="2" t="s">
        <v>4378</v>
      </c>
      <c r="B13119" s="2" t="s">
        <v>2383</v>
      </c>
      <c r="C13119" s="2">
        <v>658.78120000000001</v>
      </c>
      <c r="D13119" s="2">
        <f>HYPERLINK("http://mcb-m6.bioreg.kyushu-u.ac.jp/M3/20110427/F51118/1800/1", 88.93)</f>
        <v>88.93</v>
      </c>
      <c r="E13119" s="2">
        <v>62.23</v>
      </c>
      <c r="F13119" s="2">
        <v>2</v>
      </c>
      <c r="G13119" s="2" t="s">
        <v>14</v>
      </c>
    </row>
    <row r="13120" spans="1:8" x14ac:dyDescent="0.2">
      <c r="A13120" s="2" t="s">
        <v>7738</v>
      </c>
      <c r="B13120" s="2" t="s">
        <v>6482</v>
      </c>
      <c r="C13120" s="2">
        <v>637.83920000000001</v>
      </c>
      <c r="D13120" s="2">
        <f>HYPERLINK("http://mcb-m6.bioreg.kyushu-u.ac.jp/M3/20110404/F50778/1327/1", 68.9)</f>
        <v>68.900000000000006</v>
      </c>
      <c r="E13120" s="2">
        <v>31.72</v>
      </c>
      <c r="F13120" s="2">
        <v>2</v>
      </c>
      <c r="G13120" s="2" t="s">
        <v>9</v>
      </c>
    </row>
    <row r="13121" spans="1:7" x14ac:dyDescent="0.2">
      <c r="A13121" s="2" t="s">
        <v>7738</v>
      </c>
      <c r="B13121" s="2" t="s">
        <v>6483</v>
      </c>
      <c r="C13121" s="2">
        <v>511.74610000000001</v>
      </c>
      <c r="D13121" s="2">
        <f>HYPERLINK("http://mcb-m6.bioreg.kyushu-u.ac.jp/M3/20110404/F50778/862/1", 68.96)</f>
        <v>68.959999999999994</v>
      </c>
      <c r="E13121" s="2">
        <v>33.47</v>
      </c>
      <c r="F13121" s="2">
        <v>2</v>
      </c>
      <c r="G13121" s="2" t="s">
        <v>9</v>
      </c>
    </row>
    <row r="13122" spans="1:7" x14ac:dyDescent="0.2">
      <c r="A13122" s="2" t="s">
        <v>7738</v>
      </c>
      <c r="B13122" s="2" t="s">
        <v>6848</v>
      </c>
      <c r="C13122" s="2">
        <v>887.46</v>
      </c>
      <c r="D13122" s="2">
        <f>HYPERLINK("http://mcb-m6.bioreg.kyushu-u.ac.jp/M3/20110404/F50775/806/1", 49.83)</f>
        <v>49.83</v>
      </c>
      <c r="E13122" s="2">
        <v>12.13</v>
      </c>
      <c r="F13122" s="2">
        <v>1</v>
      </c>
      <c r="G13122" s="2" t="s">
        <v>10</v>
      </c>
    </row>
    <row r="13123" spans="1:7" x14ac:dyDescent="0.2">
      <c r="A13123" s="2" t="s">
        <v>7738</v>
      </c>
      <c r="B13123" s="2" t="s">
        <v>6903</v>
      </c>
      <c r="C13123" s="2">
        <v>756.22059999999999</v>
      </c>
      <c r="D13123" s="2">
        <f>HYPERLINK("http://mcb-m6.bioreg.kyushu-u.ac.jp/M3/20110404/F50775/2017/1", 55.52)</f>
        <v>55.52</v>
      </c>
      <c r="E13123" s="2">
        <v>24.83</v>
      </c>
      <c r="F13123" s="2">
        <v>2</v>
      </c>
      <c r="G13123" s="2" t="s">
        <v>10</v>
      </c>
    </row>
    <row r="13124" spans="1:7" x14ac:dyDescent="0.2">
      <c r="A13124" s="2" t="s">
        <v>7738</v>
      </c>
      <c r="B13124" s="2" t="s">
        <v>6934</v>
      </c>
      <c r="C13124" s="2">
        <v>601.69320000000005</v>
      </c>
      <c r="D13124" s="2">
        <f>HYPERLINK("http://mcb-m6.bioreg.kyushu-u.ac.jp/M3/20110404/F50775/1396/1", 62.1)</f>
        <v>62.1</v>
      </c>
      <c r="E13124" s="2">
        <v>35.049999999999997</v>
      </c>
      <c r="F13124" s="2">
        <v>2</v>
      </c>
      <c r="G13124" s="2" t="s">
        <v>10</v>
      </c>
    </row>
    <row r="13125" spans="1:7" x14ac:dyDescent="0.2">
      <c r="A13125" s="2" t="s">
        <v>7738</v>
      </c>
      <c r="B13125" s="2" t="s">
        <v>6483</v>
      </c>
      <c r="C13125" s="2">
        <v>511.65960000000001</v>
      </c>
      <c r="D13125" s="2">
        <f>HYPERLINK("http://mcb-m6.bioreg.kyushu-u.ac.jp/M3/20110404/F50775/1085/1", 62.97)</f>
        <v>62.97</v>
      </c>
      <c r="E13125" s="2">
        <v>30.59</v>
      </c>
      <c r="F13125" s="2">
        <v>2</v>
      </c>
      <c r="G13125" s="2" t="s">
        <v>10</v>
      </c>
    </row>
    <row r="13126" spans="1:7" x14ac:dyDescent="0.2">
      <c r="A13126" s="2" t="s">
        <v>7738</v>
      </c>
      <c r="B13126" s="2" t="s">
        <v>6483</v>
      </c>
      <c r="C13126" s="2">
        <v>511.62909999999999</v>
      </c>
      <c r="D13126" s="2">
        <f>HYPERLINK("http://mcb-m6.bioreg.kyushu-u.ac.jp/M3/20110421/F51040/976/1", 59.16)</f>
        <v>59.16</v>
      </c>
      <c r="E13126" s="2">
        <v>29.64</v>
      </c>
      <c r="F13126" s="2">
        <v>2</v>
      </c>
      <c r="G13126" s="2" t="s">
        <v>11</v>
      </c>
    </row>
    <row r="13127" spans="1:7" x14ac:dyDescent="0.2">
      <c r="A13127" s="2" t="s">
        <v>7738</v>
      </c>
      <c r="B13127" s="2" t="s">
        <v>6903</v>
      </c>
      <c r="C13127" s="2">
        <v>756.26459999999997</v>
      </c>
      <c r="D13127" s="2">
        <f>HYPERLINK("http://mcb-m6.bioreg.kyushu-u.ac.jp/M3/20110421/F51039/2165/1", 75.13)</f>
        <v>75.13</v>
      </c>
      <c r="E13127" s="2">
        <v>46.3</v>
      </c>
      <c r="F13127" s="2">
        <v>2</v>
      </c>
      <c r="G13127" s="2" t="s">
        <v>11</v>
      </c>
    </row>
    <row r="13128" spans="1:7" x14ac:dyDescent="0.2">
      <c r="A13128" s="2" t="s">
        <v>7738</v>
      </c>
      <c r="B13128" s="2" t="s">
        <v>6934</v>
      </c>
      <c r="C13128" s="2">
        <v>601.75210000000004</v>
      </c>
      <c r="D13128" s="2">
        <f>HYPERLINK("http://mcb-m6.bioreg.kyushu-u.ac.jp/M3/20110421/F51040/1380/1", 81.06)</f>
        <v>81.06</v>
      </c>
      <c r="E13128" s="2">
        <v>58.35</v>
      </c>
      <c r="F13128" s="2">
        <v>2</v>
      </c>
      <c r="G13128" s="2" t="s">
        <v>11</v>
      </c>
    </row>
    <row r="13129" spans="1:7" x14ac:dyDescent="0.2">
      <c r="A13129" s="2" t="s">
        <v>7738</v>
      </c>
      <c r="B13129" s="2" t="s">
        <v>6848</v>
      </c>
      <c r="C13129" s="2">
        <v>887.59100000000001</v>
      </c>
      <c r="D13129" s="2">
        <f>HYPERLINK("http://mcb-m6.bioreg.kyushu-u.ac.jp/M3/20110421/F51050/858/1", 51.87)</f>
        <v>51.87</v>
      </c>
      <c r="E13129" s="2">
        <v>14.06</v>
      </c>
      <c r="F13129" s="2">
        <v>1</v>
      </c>
      <c r="G13129" s="2" t="s">
        <v>12</v>
      </c>
    </row>
    <row r="13130" spans="1:7" x14ac:dyDescent="0.2">
      <c r="A13130" s="2" t="s">
        <v>7738</v>
      </c>
      <c r="B13130" s="2" t="s">
        <v>6483</v>
      </c>
      <c r="C13130" s="2">
        <v>511.80959999999999</v>
      </c>
      <c r="D13130" s="2">
        <f>HYPERLINK("http://mcb-m6.bioreg.kyushu-u.ac.jp/M3/20110421/F51050/1188/1", 55.42)</f>
        <v>55.42</v>
      </c>
      <c r="E13130" s="2">
        <v>28.49</v>
      </c>
      <c r="F13130" s="2">
        <v>2</v>
      </c>
      <c r="G13130" s="2" t="s">
        <v>12</v>
      </c>
    </row>
    <row r="13131" spans="1:7" x14ac:dyDescent="0.2">
      <c r="A13131" s="2" t="s">
        <v>7738</v>
      </c>
      <c r="B13131" s="2" t="s">
        <v>6934</v>
      </c>
      <c r="C13131" s="2">
        <v>601.8297</v>
      </c>
      <c r="D13131" s="2">
        <f>HYPERLINK("http://mcb-m6.bioreg.kyushu-u.ac.jp/M3/20110421/F51050/1552/1", 75.28)</f>
        <v>75.28</v>
      </c>
      <c r="E13131" s="2">
        <v>50.09</v>
      </c>
      <c r="F13131" s="2">
        <v>2</v>
      </c>
      <c r="G13131" s="2" t="s">
        <v>12</v>
      </c>
    </row>
    <row r="13132" spans="1:7" x14ac:dyDescent="0.2">
      <c r="A13132" s="2" t="s">
        <v>7738</v>
      </c>
      <c r="B13132" s="2" t="s">
        <v>6934</v>
      </c>
      <c r="C13132" s="2">
        <v>601.68320000000006</v>
      </c>
      <c r="D13132" s="2">
        <f>HYPERLINK("http://mcb-m6.bioreg.kyushu-u.ac.jp/M3/20110428/F51133/1246/1", 41.67)</f>
        <v>41.67</v>
      </c>
      <c r="E13132" s="2">
        <v>21</v>
      </c>
      <c r="F13132" s="2">
        <v>2</v>
      </c>
      <c r="G13132" s="2" t="s">
        <v>13</v>
      </c>
    </row>
    <row r="13133" spans="1:7" x14ac:dyDescent="0.2">
      <c r="A13133" s="2" t="s">
        <v>7738</v>
      </c>
      <c r="B13133" s="2" t="s">
        <v>6483</v>
      </c>
      <c r="C13133" s="2">
        <v>512.15769999999998</v>
      </c>
      <c r="D13133" s="2">
        <f>HYPERLINK("http://mcb-m6.bioreg.kyushu-u.ac.jp/M3/20110428/F51133/880/1", 49.67)</f>
        <v>49.67</v>
      </c>
      <c r="E13133" s="2">
        <v>24.97</v>
      </c>
      <c r="F13133" s="2">
        <v>2</v>
      </c>
      <c r="G13133" s="2" t="s">
        <v>13</v>
      </c>
    </row>
    <row r="13134" spans="1:7" x14ac:dyDescent="0.2">
      <c r="A13134" s="2" t="s">
        <v>7738</v>
      </c>
      <c r="B13134" s="2" t="s">
        <v>6483</v>
      </c>
      <c r="C13134" s="2">
        <v>511.5951</v>
      </c>
      <c r="D13134" s="2">
        <f>HYPERLINK("http://mcb-m6.bioreg.kyushu-u.ac.jp/M3/20110428/F51130/1069/1", 54.03)</f>
        <v>54.03</v>
      </c>
      <c r="E13134" s="2">
        <v>21.06</v>
      </c>
      <c r="F13134" s="2">
        <v>2</v>
      </c>
      <c r="G13134" s="2" t="s">
        <v>14</v>
      </c>
    </row>
    <row r="13135" spans="1:7" x14ac:dyDescent="0.2">
      <c r="A13135" s="2" t="s">
        <v>7738</v>
      </c>
      <c r="B13135" s="2" t="s">
        <v>6848</v>
      </c>
      <c r="C13135" s="2">
        <v>887.29100000000005</v>
      </c>
      <c r="D13135" s="2">
        <f>HYPERLINK("http://mcb-m6.bioreg.kyushu-u.ac.jp/M3/20110428/F51130/789/1", 54.07)</f>
        <v>54.07</v>
      </c>
      <c r="E13135" s="2">
        <v>16.18</v>
      </c>
      <c r="F13135" s="2">
        <v>1</v>
      </c>
      <c r="G13135" s="2" t="s">
        <v>14</v>
      </c>
    </row>
    <row r="13136" spans="1:7" x14ac:dyDescent="0.2">
      <c r="A13136" s="2" t="s">
        <v>7738</v>
      </c>
      <c r="B13136" s="2" t="s">
        <v>6934</v>
      </c>
      <c r="C13136" s="2">
        <v>601.59469999999999</v>
      </c>
      <c r="D13136" s="2">
        <f>HYPERLINK("http://mcb-m6.bioreg.kyushu-u.ac.jp/M3/20110428/F51130/1486/1", 70.84)</f>
        <v>70.84</v>
      </c>
      <c r="E13136" s="2">
        <v>42.32</v>
      </c>
      <c r="F13136" s="2">
        <v>2</v>
      </c>
      <c r="G13136" s="2" t="s">
        <v>14</v>
      </c>
    </row>
    <row r="13137" spans="1:8" x14ac:dyDescent="0.2">
      <c r="A13137" s="2" t="s">
        <v>7609</v>
      </c>
      <c r="B13137" s="2" t="s">
        <v>6112</v>
      </c>
      <c r="C13137" s="2">
        <v>680.33969999999999</v>
      </c>
      <c r="D13137" s="2">
        <f>HYPERLINK("http://mcb-m6.bioreg.kyushu-u.ac.jp/M3/20110404/F50763/1662/1", 42.93)</f>
        <v>42.93</v>
      </c>
      <c r="E13137" s="2">
        <v>24.37</v>
      </c>
      <c r="F13137" s="2">
        <v>2</v>
      </c>
      <c r="G13137" s="2" t="s">
        <v>9</v>
      </c>
    </row>
    <row r="13138" spans="1:8" x14ac:dyDescent="0.2">
      <c r="A13138" s="2" t="s">
        <v>7609</v>
      </c>
      <c r="B13138" s="2" t="s">
        <v>7363</v>
      </c>
      <c r="C13138" s="2">
        <v>575.11720000000003</v>
      </c>
      <c r="D13138" s="2">
        <f>HYPERLINK("http://mcb-m6.bioreg.kyushu-u.ac.jp/M3/20110428/F51127/1069/1", 46.79)</f>
        <v>46.79</v>
      </c>
      <c r="E13138" s="2">
        <v>26.06</v>
      </c>
      <c r="F13138" s="2">
        <v>2</v>
      </c>
      <c r="G13138" s="2" t="s">
        <v>13</v>
      </c>
    </row>
    <row r="13139" spans="1:8" x14ac:dyDescent="0.2">
      <c r="A13139" s="2" t="s">
        <v>7609</v>
      </c>
      <c r="B13139" s="2" t="s">
        <v>7421</v>
      </c>
      <c r="C13139" s="2">
        <v>545.59310000000005</v>
      </c>
      <c r="D13139" s="2">
        <f>HYPERLINK("http://mcb-m6.bioreg.kyushu-u.ac.jp/M3/20110428/F51127/953/1", 68.77)</f>
        <v>68.77</v>
      </c>
      <c r="E13139" s="2">
        <v>40.83</v>
      </c>
      <c r="F13139" s="2">
        <v>2</v>
      </c>
      <c r="G13139" s="2" t="s">
        <v>13</v>
      </c>
    </row>
    <row r="13140" spans="1:8" x14ac:dyDescent="0.2">
      <c r="A13140" s="2" t="s">
        <v>4486</v>
      </c>
      <c r="B13140" s="2" t="s">
        <v>2450</v>
      </c>
      <c r="C13140" s="2">
        <v>849.51760000000002</v>
      </c>
      <c r="D13140" s="2">
        <f>HYPERLINK("http://mcb-m6.bioreg.kyushu-u.ac.jp/M3/20110404/F50751/2334/1", 79.62)</f>
        <v>79.62</v>
      </c>
      <c r="E13140" s="2">
        <v>56.35</v>
      </c>
      <c r="F13140" s="2">
        <v>2</v>
      </c>
      <c r="G13140" s="2" t="s">
        <v>9</v>
      </c>
      <c r="H13140" s="2" t="s">
        <v>4910</v>
      </c>
    </row>
    <row r="13141" spans="1:8" x14ac:dyDescent="0.2">
      <c r="A13141" s="2" t="s">
        <v>4486</v>
      </c>
      <c r="B13141" s="2" t="s">
        <v>2450</v>
      </c>
      <c r="C13141" s="2">
        <v>841.4357</v>
      </c>
      <c r="D13141" s="2">
        <f>HYPERLINK("http://mcb-m6.bioreg.kyushu-u.ac.jp/M3/20110404/F50751/2322/1", 86.09)</f>
        <v>86.09</v>
      </c>
      <c r="E13141" s="2">
        <v>75.58</v>
      </c>
      <c r="F13141" s="2">
        <v>2</v>
      </c>
      <c r="G13141" s="2" t="s">
        <v>9</v>
      </c>
    </row>
    <row r="13142" spans="1:8" x14ac:dyDescent="0.2">
      <c r="A13142" s="2" t="s">
        <v>4486</v>
      </c>
      <c r="B13142" s="2" t="s">
        <v>2450</v>
      </c>
      <c r="C13142" s="2">
        <v>841.65620000000001</v>
      </c>
      <c r="D13142" s="2">
        <f>HYPERLINK("http://mcb-m6.bioreg.kyushu-u.ac.jp/M3/20110427/F51108/2414/1", 58.05)</f>
        <v>58.05</v>
      </c>
      <c r="E13142" s="2">
        <v>41.16</v>
      </c>
      <c r="F13142" s="2">
        <v>2</v>
      </c>
      <c r="G13142" s="2" t="s">
        <v>13</v>
      </c>
    </row>
    <row r="13143" spans="1:8" x14ac:dyDescent="0.2">
      <c r="A13143" s="2" t="s">
        <v>4486</v>
      </c>
      <c r="B13143" s="2" t="s">
        <v>2450</v>
      </c>
      <c r="C13143" s="2">
        <v>849.64620000000002</v>
      </c>
      <c r="D13143" s="2">
        <f>HYPERLINK("http://mcb-m6.bioreg.kyushu-u.ac.jp/M3/20110427/F51108/2448/1", 67.4)</f>
        <v>67.400000000000006</v>
      </c>
      <c r="E13143" s="2">
        <v>51.95</v>
      </c>
      <c r="F13143" s="2">
        <v>2</v>
      </c>
      <c r="G13143" s="2" t="s">
        <v>13</v>
      </c>
      <c r="H13143" s="2" t="s">
        <v>4910</v>
      </c>
    </row>
    <row r="13144" spans="1:8" x14ac:dyDescent="0.2">
      <c r="A13144" s="2" t="s">
        <v>4486</v>
      </c>
      <c r="B13144" s="2" t="s">
        <v>2450</v>
      </c>
      <c r="C13144" s="2">
        <v>841.11869999999999</v>
      </c>
      <c r="D13144" s="2">
        <f>HYPERLINK("http://mcb-m6.bioreg.kyushu-u.ac.jp/M3/20110427/F51108/2413/1", 78.55)</f>
        <v>78.55</v>
      </c>
      <c r="E13144" s="2">
        <v>61.25</v>
      </c>
      <c r="F13144" s="2">
        <v>2</v>
      </c>
      <c r="G13144" s="2" t="s">
        <v>13</v>
      </c>
    </row>
    <row r="13145" spans="1:8" x14ac:dyDescent="0.2">
      <c r="A13145" s="2" t="s">
        <v>4486</v>
      </c>
      <c r="B13145" s="2" t="s">
        <v>2450</v>
      </c>
      <c r="C13145" s="2">
        <v>849.08720000000005</v>
      </c>
      <c r="D13145" s="2">
        <f>HYPERLINK("http://mcb-m6.bioreg.kyushu-u.ac.jp/M3/20110427/F51108/2446/1", 86.07)</f>
        <v>86.07</v>
      </c>
      <c r="E13145" s="2">
        <v>62.31</v>
      </c>
      <c r="F13145" s="2">
        <v>2</v>
      </c>
      <c r="G13145" s="2" t="s">
        <v>13</v>
      </c>
      <c r="H13145" s="2" t="s">
        <v>4910</v>
      </c>
    </row>
    <row r="13146" spans="1:8" x14ac:dyDescent="0.2">
      <c r="A13146" s="2" t="s">
        <v>3631</v>
      </c>
      <c r="B13146" s="2" t="s">
        <v>545</v>
      </c>
      <c r="C13146" s="2">
        <v>1328.5229999999999</v>
      </c>
      <c r="D13146" s="2">
        <f>HYPERLINK("http://mcb-m6.bioreg.kyushu-u.ac.jp/M3/20110404/F50755/1590/1", 42.14)</f>
        <v>42.14</v>
      </c>
      <c r="E13146" s="2">
        <v>35.6</v>
      </c>
      <c r="F13146" s="2">
        <v>1</v>
      </c>
      <c r="G13146" s="2" t="s">
        <v>9</v>
      </c>
    </row>
    <row r="13147" spans="1:8" x14ac:dyDescent="0.2">
      <c r="A13147" s="2" t="s">
        <v>3631</v>
      </c>
      <c r="B13147" s="2" t="s">
        <v>545</v>
      </c>
      <c r="C13147" s="2">
        <v>665.18709999999999</v>
      </c>
      <c r="D13147" s="2">
        <f>HYPERLINK("http://mcb-m6.bioreg.kyushu-u.ac.jp/M3/20110404/F50755/1592/1", 45.44)</f>
        <v>45.44</v>
      </c>
      <c r="E13147" s="2">
        <v>16.13</v>
      </c>
      <c r="F13147" s="2">
        <v>2</v>
      </c>
      <c r="G13147" s="2" t="s">
        <v>9</v>
      </c>
    </row>
    <row r="13148" spans="1:8" x14ac:dyDescent="0.2">
      <c r="A13148" s="2" t="s">
        <v>3631</v>
      </c>
      <c r="B13148" s="2" t="s">
        <v>545</v>
      </c>
      <c r="C13148" s="2">
        <v>665.20259999999996</v>
      </c>
      <c r="D13148" s="2">
        <f>HYPERLINK("http://mcb-m6.bioreg.kyushu-u.ac.jp/M3/20110404/F50755/1594/1", 48.41)</f>
        <v>48.41</v>
      </c>
      <c r="E13148" s="2">
        <v>14.02</v>
      </c>
      <c r="F13148" s="2">
        <v>2</v>
      </c>
      <c r="G13148" s="2" t="s">
        <v>9</v>
      </c>
    </row>
    <row r="13149" spans="1:8" x14ac:dyDescent="0.2">
      <c r="A13149" s="2" t="s">
        <v>3631</v>
      </c>
      <c r="B13149" s="2" t="s">
        <v>545</v>
      </c>
      <c r="C13149" s="2">
        <v>664.78920000000005</v>
      </c>
      <c r="D13149" s="2">
        <f>HYPERLINK("http://mcb-m6.bioreg.kyushu-u.ac.jp/M3/20110404/F50755/1591/1", 48.92)</f>
        <v>48.92</v>
      </c>
      <c r="E13149" s="2">
        <v>32.380000000000003</v>
      </c>
      <c r="F13149" s="2">
        <v>2</v>
      </c>
      <c r="G13149" s="2" t="s">
        <v>9</v>
      </c>
    </row>
    <row r="13150" spans="1:8" x14ac:dyDescent="0.2">
      <c r="A13150" s="2" t="s">
        <v>3631</v>
      </c>
      <c r="B13150" s="2" t="s">
        <v>545</v>
      </c>
      <c r="C13150" s="2">
        <v>664.54769999999996</v>
      </c>
      <c r="D13150" s="2">
        <f>HYPERLINK("http://mcb-m6.bioreg.kyushu-u.ac.jp/M3/20110404/F50755/1588/1", 64.67)</f>
        <v>64.67</v>
      </c>
      <c r="E13150" s="2">
        <v>46.18</v>
      </c>
      <c r="F13150" s="2">
        <v>2</v>
      </c>
      <c r="G13150" s="2" t="s">
        <v>9</v>
      </c>
    </row>
    <row r="13151" spans="1:8" x14ac:dyDescent="0.2">
      <c r="A13151" s="2" t="s">
        <v>3631</v>
      </c>
      <c r="B13151" s="2" t="s">
        <v>545</v>
      </c>
      <c r="C13151" s="2">
        <v>665.24620000000004</v>
      </c>
      <c r="D13151" s="2">
        <f>HYPERLINK("http://mcb-m6.bioreg.kyushu-u.ac.jp/M3/20110404/F50762/1499/1", 65.06)</f>
        <v>65.06</v>
      </c>
      <c r="E13151" s="2">
        <v>47.61</v>
      </c>
      <c r="F13151" s="2">
        <v>2</v>
      </c>
      <c r="G13151" s="2" t="s">
        <v>9</v>
      </c>
    </row>
    <row r="13152" spans="1:8" x14ac:dyDescent="0.2">
      <c r="A13152" s="2" t="s">
        <v>3631</v>
      </c>
      <c r="B13152" s="2" t="s">
        <v>545</v>
      </c>
      <c r="C13152" s="2">
        <v>664.67269999999996</v>
      </c>
      <c r="D13152" s="2">
        <f>HYPERLINK("http://mcb-m6.bioreg.kyushu-u.ac.jp/M3/20110404/F50755/1589/1", 66.64)</f>
        <v>66.64</v>
      </c>
      <c r="E13152" s="2">
        <v>44.46</v>
      </c>
      <c r="F13152" s="2">
        <v>2</v>
      </c>
      <c r="G13152" s="2" t="s">
        <v>9</v>
      </c>
    </row>
    <row r="13153" spans="1:7" x14ac:dyDescent="0.2">
      <c r="A13153" s="2" t="s">
        <v>3631</v>
      </c>
      <c r="B13153" s="2" t="s">
        <v>545</v>
      </c>
      <c r="C13153" s="2">
        <v>665.31820000000005</v>
      </c>
      <c r="D13153" s="2">
        <f>HYPERLINK("http://mcb-m6.bioreg.kyushu-u.ac.jp/M3/20110404/F50755/1595/1", 67.58)</f>
        <v>67.58</v>
      </c>
      <c r="E13153" s="2">
        <v>50.94</v>
      </c>
      <c r="F13153" s="2">
        <v>2</v>
      </c>
      <c r="G13153" s="2" t="s">
        <v>9</v>
      </c>
    </row>
    <row r="13154" spans="1:7" x14ac:dyDescent="0.2">
      <c r="A13154" s="2" t="s">
        <v>3631</v>
      </c>
      <c r="B13154" s="2" t="s">
        <v>545</v>
      </c>
      <c r="C13154" s="2">
        <v>665.19370000000004</v>
      </c>
      <c r="D13154" s="2">
        <f>HYPERLINK("http://mcb-m6.bioreg.kyushu-u.ac.jp/M3/20110404/F50755/1593/1", 74.25)</f>
        <v>74.25</v>
      </c>
      <c r="E13154" s="2">
        <v>57.66</v>
      </c>
      <c r="F13154" s="2">
        <v>2</v>
      </c>
      <c r="G13154" s="2" t="s">
        <v>9</v>
      </c>
    </row>
    <row r="13155" spans="1:7" x14ac:dyDescent="0.2">
      <c r="A13155" s="2" t="s">
        <v>3631</v>
      </c>
      <c r="B13155" s="2" t="s">
        <v>545</v>
      </c>
      <c r="C13155" s="2">
        <v>664.76009999999997</v>
      </c>
      <c r="D13155" s="2">
        <f>HYPERLINK("http://mcb-m6.bioreg.kyushu-u.ac.jp/M3/20110404/F50756/1581/1", 77.21)</f>
        <v>77.209999999999994</v>
      </c>
      <c r="E13155" s="2">
        <v>62.24</v>
      </c>
      <c r="F13155" s="2">
        <v>2</v>
      </c>
      <c r="G13155" s="2" t="s">
        <v>9</v>
      </c>
    </row>
    <row r="13156" spans="1:7" x14ac:dyDescent="0.2">
      <c r="A13156" s="2" t="s">
        <v>3631</v>
      </c>
      <c r="B13156" s="2" t="s">
        <v>545</v>
      </c>
      <c r="C13156" s="2">
        <v>664.85569999999996</v>
      </c>
      <c r="D13156" s="2">
        <f>HYPERLINK("http://mcb-m6.bioreg.kyushu-u.ac.jp/M3/20110404/F50753/1706/1", 79.6)</f>
        <v>79.599999999999994</v>
      </c>
      <c r="E13156" s="2">
        <v>64.459999999999994</v>
      </c>
      <c r="F13156" s="2">
        <v>2</v>
      </c>
      <c r="G13156" s="2" t="s">
        <v>9</v>
      </c>
    </row>
    <row r="13157" spans="1:7" x14ac:dyDescent="0.2">
      <c r="A13157" s="2" t="s">
        <v>3631</v>
      </c>
      <c r="B13157" s="2" t="s">
        <v>545</v>
      </c>
      <c r="C13157" s="2">
        <v>664.84169999999995</v>
      </c>
      <c r="D13157" s="2">
        <f>HYPERLINK("http://mcb-m6.bioreg.kyushu-u.ac.jp/M3/20110404/F50754/1830/1", 84)</f>
        <v>84</v>
      </c>
      <c r="E13157" s="2">
        <v>68.87</v>
      </c>
      <c r="F13157" s="2">
        <v>2</v>
      </c>
      <c r="G13157" s="2" t="s">
        <v>9</v>
      </c>
    </row>
    <row r="13158" spans="1:7" x14ac:dyDescent="0.2">
      <c r="A13158" s="2" t="s">
        <v>3631</v>
      </c>
      <c r="B13158" s="2" t="s">
        <v>545</v>
      </c>
      <c r="C13158" s="2">
        <v>665.29319999999996</v>
      </c>
      <c r="D13158" s="2">
        <f>HYPERLINK("http://mcb-m6.bioreg.kyushu-u.ac.jp/M3/20110404/F50760/1506/1", 42.62)</f>
        <v>42.62</v>
      </c>
      <c r="E13158" s="2">
        <v>30.54</v>
      </c>
      <c r="F13158" s="2">
        <v>2</v>
      </c>
      <c r="G13158" s="2" t="s">
        <v>10</v>
      </c>
    </row>
    <row r="13159" spans="1:7" x14ac:dyDescent="0.2">
      <c r="A13159" s="2" t="s">
        <v>3631</v>
      </c>
      <c r="B13159" s="2" t="s">
        <v>545</v>
      </c>
      <c r="C13159" s="2">
        <v>1328.5340000000001</v>
      </c>
      <c r="D13159" s="2">
        <f>HYPERLINK("http://mcb-m6.bioreg.kyushu-u.ac.jp/M3/20110404/F50760/1501/1", 44.56)</f>
        <v>44.56</v>
      </c>
      <c r="E13159" s="2">
        <v>34.590000000000003</v>
      </c>
      <c r="F13159" s="2">
        <v>1</v>
      </c>
      <c r="G13159" s="2" t="s">
        <v>10</v>
      </c>
    </row>
    <row r="13160" spans="1:7" x14ac:dyDescent="0.2">
      <c r="A13160" s="2" t="s">
        <v>3631</v>
      </c>
      <c r="B13160" s="2" t="s">
        <v>545</v>
      </c>
      <c r="C13160" s="2">
        <v>665.29020000000003</v>
      </c>
      <c r="D13160" s="2">
        <f>HYPERLINK("http://mcb-m6.bioreg.kyushu-u.ac.jp/M3/20110404/F50760/1505/1", 46.69)</f>
        <v>46.69</v>
      </c>
      <c r="E13160" s="2">
        <v>33.69</v>
      </c>
      <c r="F13160" s="2">
        <v>2</v>
      </c>
      <c r="G13160" s="2" t="s">
        <v>10</v>
      </c>
    </row>
    <row r="13161" spans="1:7" x14ac:dyDescent="0.2">
      <c r="A13161" s="2" t="s">
        <v>3631</v>
      </c>
      <c r="B13161" s="2" t="s">
        <v>545</v>
      </c>
      <c r="C13161" s="2">
        <v>664.66610000000003</v>
      </c>
      <c r="D13161" s="2">
        <f>HYPERLINK("http://mcb-m6.bioreg.kyushu-u.ac.jp/M3/20110404/F50760/1494/1", 65.32)</f>
        <v>65.319999999999993</v>
      </c>
      <c r="E13161" s="2">
        <v>41.51</v>
      </c>
      <c r="F13161" s="2">
        <v>2</v>
      </c>
      <c r="G13161" s="2" t="s">
        <v>10</v>
      </c>
    </row>
    <row r="13162" spans="1:7" x14ac:dyDescent="0.2">
      <c r="A13162" s="2" t="s">
        <v>3631</v>
      </c>
      <c r="B13162" s="2" t="s">
        <v>545</v>
      </c>
      <c r="C13162" s="2">
        <v>664.73220000000003</v>
      </c>
      <c r="D13162" s="2">
        <f>HYPERLINK("http://mcb-m6.bioreg.kyushu-u.ac.jp/M3/20110404/F50760/1497/1", 66.13)</f>
        <v>66.13</v>
      </c>
      <c r="E13162" s="2">
        <v>47.22</v>
      </c>
      <c r="F13162" s="2">
        <v>2</v>
      </c>
      <c r="G13162" s="2" t="s">
        <v>10</v>
      </c>
    </row>
    <row r="13163" spans="1:7" x14ac:dyDescent="0.2">
      <c r="A13163" s="2" t="s">
        <v>3631</v>
      </c>
      <c r="B13163" s="2" t="s">
        <v>545</v>
      </c>
      <c r="C13163" s="2">
        <v>664.78970000000004</v>
      </c>
      <c r="D13163" s="2">
        <f>HYPERLINK("http://mcb-m6.bioreg.kyushu-u.ac.jp/M3/20110404/F50760/1502/1", 71.99)</f>
        <v>71.989999999999995</v>
      </c>
      <c r="E13163" s="2">
        <v>51.4</v>
      </c>
      <c r="F13163" s="2">
        <v>2</v>
      </c>
      <c r="G13163" s="2" t="s">
        <v>10</v>
      </c>
    </row>
    <row r="13164" spans="1:7" x14ac:dyDescent="0.2">
      <c r="A13164" s="2" t="s">
        <v>3631</v>
      </c>
      <c r="B13164" s="2" t="s">
        <v>545</v>
      </c>
      <c r="C13164" s="2">
        <v>664.70510000000002</v>
      </c>
      <c r="D13164" s="2">
        <f>HYPERLINK("http://mcb-m6.bioreg.kyushu-u.ac.jp/M3/20110404/F50760/1496/1", 73.17)</f>
        <v>73.17</v>
      </c>
      <c r="E13164" s="2">
        <v>56.43</v>
      </c>
      <c r="F13164" s="2">
        <v>2</v>
      </c>
      <c r="G13164" s="2" t="s">
        <v>10</v>
      </c>
    </row>
    <row r="13165" spans="1:7" x14ac:dyDescent="0.2">
      <c r="A13165" s="2" t="s">
        <v>3631</v>
      </c>
      <c r="B13165" s="2" t="s">
        <v>545</v>
      </c>
      <c r="C13165" s="2">
        <v>665.0172</v>
      </c>
      <c r="D13165" s="2">
        <f>HYPERLINK("http://mcb-m6.bioreg.kyushu-u.ac.jp/M3/20110404/F50781/1530/1", 79.35)</f>
        <v>79.349999999999994</v>
      </c>
      <c r="E13165" s="2">
        <v>60.31</v>
      </c>
      <c r="F13165" s="2">
        <v>2</v>
      </c>
      <c r="G13165" s="2" t="s">
        <v>10</v>
      </c>
    </row>
    <row r="13166" spans="1:7" x14ac:dyDescent="0.2">
      <c r="A13166" s="2" t="s">
        <v>3631</v>
      </c>
      <c r="B13166" s="2" t="s">
        <v>545</v>
      </c>
      <c r="C13166" s="2">
        <v>664.75369999999998</v>
      </c>
      <c r="D13166" s="2">
        <f>HYPERLINK("http://mcb-m6.bioreg.kyushu-u.ac.jp/M3/20110404/F50760/1500/1", 83.58)</f>
        <v>83.58</v>
      </c>
      <c r="E13166" s="2">
        <v>68.44</v>
      </c>
      <c r="F13166" s="2">
        <v>2</v>
      </c>
      <c r="G13166" s="2" t="s">
        <v>10</v>
      </c>
    </row>
    <row r="13167" spans="1:7" x14ac:dyDescent="0.2">
      <c r="A13167" s="2" t="s">
        <v>3631</v>
      </c>
      <c r="B13167" s="2" t="s">
        <v>545</v>
      </c>
      <c r="C13167" s="2">
        <v>664.8116</v>
      </c>
      <c r="D13167" s="2">
        <f>HYPERLINK("http://mcb-m6.bioreg.kyushu-u.ac.jp/M3/20110404/F50760/1503/1", 91.88)</f>
        <v>91.88</v>
      </c>
      <c r="E13167" s="2">
        <v>77.069999999999993</v>
      </c>
      <c r="F13167" s="2">
        <v>2</v>
      </c>
      <c r="G13167" s="2" t="s">
        <v>10</v>
      </c>
    </row>
    <row r="13168" spans="1:7" x14ac:dyDescent="0.2">
      <c r="A13168" s="2" t="s">
        <v>3631</v>
      </c>
      <c r="B13168" s="2" t="s">
        <v>545</v>
      </c>
      <c r="C13168" s="2">
        <v>664.75319999999999</v>
      </c>
      <c r="D13168" s="2">
        <f>HYPERLINK("http://mcb-m6.bioreg.kyushu-u.ac.jp/M3/20110404/F50760/1499/1", 96.51)</f>
        <v>96.51</v>
      </c>
      <c r="E13168" s="2">
        <v>79.7</v>
      </c>
      <c r="F13168" s="2">
        <v>2</v>
      </c>
      <c r="G13168" s="2" t="s">
        <v>10</v>
      </c>
    </row>
    <row r="13169" spans="1:7" x14ac:dyDescent="0.2">
      <c r="A13169" s="2" t="s">
        <v>3631</v>
      </c>
      <c r="B13169" s="2" t="s">
        <v>545</v>
      </c>
      <c r="C13169" s="2">
        <v>664.88459999999998</v>
      </c>
      <c r="D13169" s="2">
        <f>HYPERLINK("http://mcb-m6.bioreg.kyushu-u.ac.jp/M3/20110421/F51058/1419/1", 38.35)</f>
        <v>38.35</v>
      </c>
      <c r="E13169" s="2">
        <v>21.64</v>
      </c>
      <c r="F13169" s="2">
        <v>2</v>
      </c>
      <c r="G13169" s="2" t="s">
        <v>11</v>
      </c>
    </row>
    <row r="13170" spans="1:7" x14ac:dyDescent="0.2">
      <c r="A13170" s="2" t="s">
        <v>3631</v>
      </c>
      <c r="B13170" s="2" t="s">
        <v>545</v>
      </c>
      <c r="C13170" s="2">
        <v>664.7491</v>
      </c>
      <c r="D13170" s="2">
        <f>HYPERLINK("http://mcb-m6.bioreg.kyushu-u.ac.jp/M3/20110421/F51035/1505/1", 66.04)</f>
        <v>66.040000000000006</v>
      </c>
      <c r="E13170" s="2">
        <v>51.04</v>
      </c>
      <c r="F13170" s="2">
        <v>2</v>
      </c>
      <c r="G13170" s="2" t="s">
        <v>11</v>
      </c>
    </row>
    <row r="13171" spans="1:7" x14ac:dyDescent="0.2">
      <c r="A13171" s="2" t="s">
        <v>3631</v>
      </c>
      <c r="B13171" s="2" t="s">
        <v>545</v>
      </c>
      <c r="C13171" s="2">
        <v>665.41769999999997</v>
      </c>
      <c r="D13171" s="2">
        <f>HYPERLINK("http://mcb-m6.bioreg.kyushu-u.ac.jp/M3/20110421/F51058/1423/1", 66.06)</f>
        <v>66.06</v>
      </c>
      <c r="E13171" s="2">
        <v>51.35</v>
      </c>
      <c r="F13171" s="2">
        <v>2</v>
      </c>
      <c r="G13171" s="2" t="s">
        <v>11</v>
      </c>
    </row>
    <row r="13172" spans="1:7" x14ac:dyDescent="0.2">
      <c r="A13172" s="2" t="s">
        <v>3631</v>
      </c>
      <c r="B13172" s="2" t="s">
        <v>545</v>
      </c>
      <c r="C13172" s="2">
        <v>664.82709999999997</v>
      </c>
      <c r="D13172" s="2">
        <f>HYPERLINK("http://mcb-m6.bioreg.kyushu-u.ac.jp/M3/20110421/F51058/1416/1", 68.52)</f>
        <v>68.52</v>
      </c>
      <c r="E13172" s="2">
        <v>58.41</v>
      </c>
      <c r="F13172" s="2">
        <v>2</v>
      </c>
      <c r="G13172" s="2" t="s">
        <v>11</v>
      </c>
    </row>
    <row r="13173" spans="1:7" x14ac:dyDescent="0.2">
      <c r="A13173" s="2" t="s">
        <v>3631</v>
      </c>
      <c r="B13173" s="2" t="s">
        <v>545</v>
      </c>
      <c r="C13173" s="2">
        <v>664.83810000000005</v>
      </c>
      <c r="D13173" s="2">
        <f>HYPERLINK("http://mcb-m6.bioreg.kyushu-u.ac.jp/M3/20110421/F51058/1417/1", 72.13)</f>
        <v>72.13</v>
      </c>
      <c r="E13173" s="2">
        <v>59.08</v>
      </c>
      <c r="F13173" s="2">
        <v>2</v>
      </c>
      <c r="G13173" s="2" t="s">
        <v>11</v>
      </c>
    </row>
    <row r="13174" spans="1:7" x14ac:dyDescent="0.2">
      <c r="A13174" s="2" t="s">
        <v>3631</v>
      </c>
      <c r="B13174" s="2" t="s">
        <v>545</v>
      </c>
      <c r="C13174" s="2">
        <v>664.8116</v>
      </c>
      <c r="D13174" s="2">
        <f>HYPERLINK("http://mcb-m6.bioreg.kyushu-u.ac.jp/M3/20110421/F51034/1577/1", 73.71)</f>
        <v>73.709999999999994</v>
      </c>
      <c r="E13174" s="2">
        <v>47.21</v>
      </c>
      <c r="F13174" s="2">
        <v>2</v>
      </c>
      <c r="G13174" s="2" t="s">
        <v>11</v>
      </c>
    </row>
    <row r="13175" spans="1:7" x14ac:dyDescent="0.2">
      <c r="A13175" s="2" t="s">
        <v>3631</v>
      </c>
      <c r="B13175" s="2" t="s">
        <v>545</v>
      </c>
      <c r="C13175" s="2">
        <v>664.91560000000004</v>
      </c>
      <c r="D13175" s="2">
        <f>HYPERLINK("http://mcb-m6.bioreg.kyushu-u.ac.jp/M3/20110421/F51058/1420/1", 85.88)</f>
        <v>85.88</v>
      </c>
      <c r="E13175" s="2">
        <v>67.84</v>
      </c>
      <c r="F13175" s="2">
        <v>2</v>
      </c>
      <c r="G13175" s="2" t="s">
        <v>11</v>
      </c>
    </row>
    <row r="13176" spans="1:7" x14ac:dyDescent="0.2">
      <c r="A13176" s="2" t="s">
        <v>3631</v>
      </c>
      <c r="B13176" s="2" t="s">
        <v>545</v>
      </c>
      <c r="C13176" s="2">
        <v>1328.626</v>
      </c>
      <c r="D13176" s="2">
        <f>HYPERLINK("http://mcb-m6.bioreg.kyushu-u.ac.jp/M3/20110421/F51059/1382/1", 43.08)</f>
        <v>43.08</v>
      </c>
      <c r="E13176" s="2">
        <v>32.03</v>
      </c>
      <c r="F13176" s="2">
        <v>1</v>
      </c>
      <c r="G13176" s="2" t="s">
        <v>12</v>
      </c>
    </row>
    <row r="13177" spans="1:7" x14ac:dyDescent="0.2">
      <c r="A13177" s="2" t="s">
        <v>3631</v>
      </c>
      <c r="B13177" s="2" t="s">
        <v>545</v>
      </c>
      <c r="C13177" s="2">
        <v>665.02120000000002</v>
      </c>
      <c r="D13177" s="2">
        <f>HYPERLINK("http://mcb-m6.bioreg.kyushu-u.ac.jp/M3/20110421/F51047/1676/1", 58.6)</f>
        <v>58.6</v>
      </c>
      <c r="E13177" s="2">
        <v>39.880000000000003</v>
      </c>
      <c r="F13177" s="2">
        <v>2</v>
      </c>
      <c r="G13177" s="2" t="s">
        <v>12</v>
      </c>
    </row>
    <row r="13178" spans="1:7" x14ac:dyDescent="0.2">
      <c r="A13178" s="2" t="s">
        <v>3631</v>
      </c>
      <c r="B13178" s="2" t="s">
        <v>545</v>
      </c>
      <c r="C13178" s="2">
        <v>665.38620000000003</v>
      </c>
      <c r="D13178" s="2">
        <f>HYPERLINK("http://mcb-m6.bioreg.kyushu-u.ac.jp/M3/20110421/F51059/1387/1", 59.23)</f>
        <v>59.23</v>
      </c>
      <c r="E13178" s="2">
        <v>41.82</v>
      </c>
      <c r="F13178" s="2">
        <v>2</v>
      </c>
      <c r="G13178" s="2" t="s">
        <v>12</v>
      </c>
    </row>
    <row r="13179" spans="1:7" x14ac:dyDescent="0.2">
      <c r="A13179" s="2" t="s">
        <v>3631</v>
      </c>
      <c r="B13179" s="2" t="s">
        <v>545</v>
      </c>
      <c r="C13179" s="2">
        <v>664.74570000000006</v>
      </c>
      <c r="D13179" s="2">
        <f>HYPERLINK("http://mcb-m6.bioreg.kyushu-u.ac.jp/M3/20110421/F51023/1766/1", 70.45)</f>
        <v>70.45</v>
      </c>
      <c r="E13179" s="2">
        <v>50.23</v>
      </c>
      <c r="F13179" s="2">
        <v>2</v>
      </c>
      <c r="G13179" s="2" t="s">
        <v>12</v>
      </c>
    </row>
    <row r="13180" spans="1:7" x14ac:dyDescent="0.2">
      <c r="A13180" s="2" t="s">
        <v>3631</v>
      </c>
      <c r="B13180" s="2" t="s">
        <v>545</v>
      </c>
      <c r="C13180" s="2">
        <v>664.88620000000003</v>
      </c>
      <c r="D13180" s="2">
        <f>HYPERLINK("http://mcb-m6.bioreg.kyushu-u.ac.jp/M3/20110421/F51059/1385/1", 72)</f>
        <v>72</v>
      </c>
      <c r="E13180" s="2">
        <v>53.65</v>
      </c>
      <c r="F13180" s="2">
        <v>2</v>
      </c>
      <c r="G13180" s="2" t="s">
        <v>12</v>
      </c>
    </row>
    <row r="13181" spans="1:7" x14ac:dyDescent="0.2">
      <c r="A13181" s="2" t="s">
        <v>3631</v>
      </c>
      <c r="B13181" s="2" t="s">
        <v>545</v>
      </c>
      <c r="C13181" s="2">
        <v>664.86320000000001</v>
      </c>
      <c r="D13181" s="2">
        <f>HYPERLINK("http://mcb-m6.bioreg.kyushu-u.ac.jp/M3/20110421/F51059/1384/1", 73.95)</f>
        <v>73.95</v>
      </c>
      <c r="E13181" s="2">
        <v>58.45</v>
      </c>
      <c r="F13181" s="2">
        <v>2</v>
      </c>
      <c r="G13181" s="2" t="s">
        <v>12</v>
      </c>
    </row>
    <row r="13182" spans="1:7" x14ac:dyDescent="0.2">
      <c r="A13182" s="2" t="s">
        <v>3631</v>
      </c>
      <c r="B13182" s="2" t="s">
        <v>545</v>
      </c>
      <c r="C13182" s="2">
        <v>664.75519999999995</v>
      </c>
      <c r="D13182" s="2">
        <f>HYPERLINK("http://mcb-m6.bioreg.kyushu-u.ac.jp/M3/20110421/F51044/1555/1", 77.92)</f>
        <v>77.92</v>
      </c>
      <c r="E13182" s="2">
        <v>65.42</v>
      </c>
      <c r="F13182" s="2">
        <v>2</v>
      </c>
      <c r="G13182" s="2" t="s">
        <v>12</v>
      </c>
    </row>
    <row r="13183" spans="1:7" x14ac:dyDescent="0.2">
      <c r="A13183" s="2" t="s">
        <v>3631</v>
      </c>
      <c r="B13183" s="2" t="s">
        <v>545</v>
      </c>
      <c r="C13183" s="2">
        <v>664.73770000000002</v>
      </c>
      <c r="D13183" s="2">
        <f>HYPERLINK("http://mcb-m6.bioreg.kyushu-u.ac.jp/M3/20110421/F51024/1778/1", 84.47)</f>
        <v>84.47</v>
      </c>
      <c r="E13183" s="2">
        <v>67.75</v>
      </c>
      <c r="F13183" s="2">
        <v>2</v>
      </c>
      <c r="G13183" s="2" t="s">
        <v>12</v>
      </c>
    </row>
    <row r="13184" spans="1:7" x14ac:dyDescent="0.2">
      <c r="A13184" s="2" t="s">
        <v>3631</v>
      </c>
      <c r="B13184" s="2" t="s">
        <v>545</v>
      </c>
      <c r="C13184" s="2">
        <v>664.85419999999999</v>
      </c>
      <c r="D13184" s="2">
        <f>HYPERLINK("http://mcb-m6.bioreg.kyushu-u.ac.jp/M3/20110421/F51061/1516/1", 91.93)</f>
        <v>91.93</v>
      </c>
      <c r="E13184" s="2">
        <v>72.66</v>
      </c>
      <c r="F13184" s="2">
        <v>2</v>
      </c>
      <c r="G13184" s="2" t="s">
        <v>12</v>
      </c>
    </row>
    <row r="13185" spans="1:7" x14ac:dyDescent="0.2">
      <c r="A13185" s="2" t="s">
        <v>3631</v>
      </c>
      <c r="B13185" s="2" t="s">
        <v>545</v>
      </c>
      <c r="C13185" s="2">
        <v>665.08720000000005</v>
      </c>
      <c r="D13185" s="2">
        <f>HYPERLINK("http://mcb-m6.bioreg.kyushu-u.ac.jp/M3/20110428/F51131/1394/1", 36.75)</f>
        <v>36.75</v>
      </c>
      <c r="E13185" s="2">
        <v>26.23</v>
      </c>
      <c r="F13185" s="2">
        <v>2</v>
      </c>
      <c r="G13185" s="2" t="s">
        <v>13</v>
      </c>
    </row>
    <row r="13186" spans="1:7" x14ac:dyDescent="0.2">
      <c r="A13186" s="2" t="s">
        <v>3631</v>
      </c>
      <c r="B13186" s="2" t="s">
        <v>545</v>
      </c>
      <c r="C13186" s="2">
        <v>1328.4059999999999</v>
      </c>
      <c r="D13186" s="2">
        <f>HYPERLINK("http://mcb-m6.bioreg.kyushu-u.ac.jp/M3/20110428/F51131/1393/1", 43.45)</f>
        <v>43.45</v>
      </c>
      <c r="E13186" s="2">
        <v>34.79</v>
      </c>
      <c r="F13186" s="2">
        <v>1</v>
      </c>
      <c r="G13186" s="2" t="s">
        <v>13</v>
      </c>
    </row>
    <row r="13187" spans="1:7" x14ac:dyDescent="0.2">
      <c r="A13187" s="2" t="s">
        <v>3631</v>
      </c>
      <c r="B13187" s="2" t="s">
        <v>545</v>
      </c>
      <c r="C13187" s="2">
        <v>665.28120000000001</v>
      </c>
      <c r="D13187" s="2">
        <f>HYPERLINK("http://mcb-m6.bioreg.kyushu-u.ac.jp/M3/20110428/F51131/1396/1", 45.59)</f>
        <v>45.59</v>
      </c>
      <c r="E13187" s="2">
        <v>28.61</v>
      </c>
      <c r="F13187" s="2">
        <v>2</v>
      </c>
      <c r="G13187" s="2" t="s">
        <v>13</v>
      </c>
    </row>
    <row r="13188" spans="1:7" x14ac:dyDescent="0.2">
      <c r="A13188" s="2" t="s">
        <v>3631</v>
      </c>
      <c r="B13188" s="2" t="s">
        <v>545</v>
      </c>
      <c r="C13188" s="2">
        <v>664.59370000000001</v>
      </c>
      <c r="D13188" s="2">
        <f>HYPERLINK("http://mcb-m6.bioreg.kyushu-u.ac.jp/M3/20110428/F51127/1448/1", 53.36)</f>
        <v>53.36</v>
      </c>
      <c r="E13188" s="2">
        <v>37.880000000000003</v>
      </c>
      <c r="F13188" s="2">
        <v>2</v>
      </c>
      <c r="G13188" s="2" t="s">
        <v>13</v>
      </c>
    </row>
    <row r="13189" spans="1:7" x14ac:dyDescent="0.2">
      <c r="A13189" s="2" t="s">
        <v>3631</v>
      </c>
      <c r="B13189" s="2" t="s">
        <v>545</v>
      </c>
      <c r="C13189" s="2">
        <v>665.13620000000003</v>
      </c>
      <c r="D13189" s="2">
        <f>HYPERLINK("http://mcb-m6.bioreg.kyushu-u.ac.jp/M3/20110427/F51112/1711/1", 59.82)</f>
        <v>59.82</v>
      </c>
      <c r="E13189" s="2">
        <v>42.48</v>
      </c>
      <c r="F13189" s="2">
        <v>2</v>
      </c>
      <c r="G13189" s="2" t="s">
        <v>13</v>
      </c>
    </row>
    <row r="13190" spans="1:7" x14ac:dyDescent="0.2">
      <c r="A13190" s="2" t="s">
        <v>3631</v>
      </c>
      <c r="B13190" s="2" t="s">
        <v>545</v>
      </c>
      <c r="C13190" s="2">
        <v>664.91610000000003</v>
      </c>
      <c r="D13190" s="2">
        <f>HYPERLINK("http://mcb-m6.bioreg.kyushu-u.ac.jp/M3/20110427/F51111/1753/1", 68.16)</f>
        <v>68.16</v>
      </c>
      <c r="E13190" s="2">
        <v>54.93</v>
      </c>
      <c r="F13190" s="2">
        <v>2</v>
      </c>
      <c r="G13190" s="2" t="s">
        <v>13</v>
      </c>
    </row>
    <row r="13191" spans="1:7" x14ac:dyDescent="0.2">
      <c r="A13191" s="2" t="s">
        <v>3631</v>
      </c>
      <c r="B13191" s="2" t="s">
        <v>545</v>
      </c>
      <c r="C13191" s="2">
        <v>665.1191</v>
      </c>
      <c r="D13191" s="2">
        <f>HYPERLINK("http://mcb-m6.bioreg.kyushu-u.ac.jp/M3/20110428/F51131/1395/1", 70.95)</f>
        <v>70.95</v>
      </c>
      <c r="E13191" s="2">
        <v>1.68</v>
      </c>
      <c r="F13191" s="2">
        <v>2</v>
      </c>
      <c r="G13191" s="2" t="s">
        <v>13</v>
      </c>
    </row>
    <row r="13192" spans="1:7" x14ac:dyDescent="0.2">
      <c r="A13192" s="2" t="s">
        <v>3631</v>
      </c>
      <c r="B13192" s="2" t="s">
        <v>545</v>
      </c>
      <c r="C13192" s="2">
        <v>664.67769999999996</v>
      </c>
      <c r="D13192" s="2">
        <f>HYPERLINK("http://mcb-m6.bioreg.kyushu-u.ac.jp/M3/20110427/F51115/1621/1", 72.96)</f>
        <v>72.959999999999994</v>
      </c>
      <c r="E13192" s="2">
        <v>52.66</v>
      </c>
      <c r="F13192" s="2">
        <v>2</v>
      </c>
      <c r="G13192" s="2" t="s">
        <v>13</v>
      </c>
    </row>
    <row r="13193" spans="1:7" x14ac:dyDescent="0.2">
      <c r="A13193" s="2" t="s">
        <v>3631</v>
      </c>
      <c r="B13193" s="2" t="s">
        <v>545</v>
      </c>
      <c r="C13193" s="2">
        <v>665.15470000000005</v>
      </c>
      <c r="D13193" s="2">
        <f>HYPERLINK("http://mcb-m6.bioreg.kyushu-u.ac.jp/M3/20110427/F51108/1738/1", 73.51)</f>
        <v>73.510000000000005</v>
      </c>
      <c r="E13193" s="2">
        <v>57.06</v>
      </c>
      <c r="F13193" s="2">
        <v>2</v>
      </c>
      <c r="G13193" s="2" t="s">
        <v>13</v>
      </c>
    </row>
    <row r="13194" spans="1:7" x14ac:dyDescent="0.2">
      <c r="A13194" s="2" t="s">
        <v>3631</v>
      </c>
      <c r="B13194" s="2" t="s">
        <v>545</v>
      </c>
      <c r="C13194" s="2">
        <v>664.62369999999999</v>
      </c>
      <c r="D13194" s="2">
        <f>HYPERLINK("http://mcb-m6.bioreg.kyushu-u.ac.jp/M3/20110427/F51110/1883/1", 74.01)</f>
        <v>74.010000000000005</v>
      </c>
      <c r="E13194" s="2">
        <v>58.81</v>
      </c>
      <c r="F13194" s="2">
        <v>2</v>
      </c>
      <c r="G13194" s="2" t="s">
        <v>13</v>
      </c>
    </row>
    <row r="13195" spans="1:7" x14ac:dyDescent="0.2">
      <c r="A13195" s="2" t="s">
        <v>3631</v>
      </c>
      <c r="B13195" s="2" t="s">
        <v>545</v>
      </c>
      <c r="C13195" s="2">
        <v>664.62070000000006</v>
      </c>
      <c r="D13195" s="2">
        <f>HYPERLINK("http://mcb-m6.bioreg.kyushu-u.ac.jp/M3/20110427/F51109/1858/1", 78.14)</f>
        <v>78.14</v>
      </c>
      <c r="E13195" s="2">
        <v>63.26</v>
      </c>
      <c r="F13195" s="2">
        <v>2</v>
      </c>
      <c r="G13195" s="2" t="s">
        <v>13</v>
      </c>
    </row>
    <row r="13196" spans="1:7" x14ac:dyDescent="0.2">
      <c r="A13196" s="2" t="s">
        <v>3631</v>
      </c>
      <c r="B13196" s="2" t="s">
        <v>545</v>
      </c>
      <c r="C13196" s="2">
        <v>664.76509999999996</v>
      </c>
      <c r="D13196" s="2">
        <f>HYPERLINK("http://mcb-m6.bioreg.kyushu-u.ac.jp/M3/20110427/F51113/1610/1", 78.19)</f>
        <v>78.19</v>
      </c>
      <c r="E13196" s="2">
        <v>61.22</v>
      </c>
      <c r="F13196" s="2">
        <v>2</v>
      </c>
      <c r="G13196" s="2" t="s">
        <v>13</v>
      </c>
    </row>
    <row r="13197" spans="1:7" x14ac:dyDescent="0.2">
      <c r="A13197" s="2" t="s">
        <v>3631</v>
      </c>
      <c r="B13197" s="2" t="s">
        <v>545</v>
      </c>
      <c r="C13197" s="2">
        <v>664.61109999999996</v>
      </c>
      <c r="D13197" s="2">
        <f>HYPERLINK("http://mcb-m6.bioreg.kyushu-u.ac.jp/M3/20110427/F51112/1710/1", 80.92)</f>
        <v>80.92</v>
      </c>
      <c r="E13197" s="2">
        <v>64.44</v>
      </c>
      <c r="F13197" s="2">
        <v>2</v>
      </c>
      <c r="G13197" s="2" t="s">
        <v>13</v>
      </c>
    </row>
    <row r="13198" spans="1:7" x14ac:dyDescent="0.2">
      <c r="A13198" s="2" t="s">
        <v>3631</v>
      </c>
      <c r="B13198" s="2" t="s">
        <v>545</v>
      </c>
      <c r="C13198" s="2">
        <v>664.64170000000001</v>
      </c>
      <c r="D13198" s="2">
        <f>HYPERLINK("http://mcb-m6.bioreg.kyushu-u.ac.jp/M3/20110428/F51131/1391/1", 84.77)</f>
        <v>84.77</v>
      </c>
      <c r="E13198" s="2">
        <v>69.489999999999995</v>
      </c>
      <c r="F13198" s="2">
        <v>2</v>
      </c>
      <c r="G13198" s="2" t="s">
        <v>13</v>
      </c>
    </row>
    <row r="13199" spans="1:7" x14ac:dyDescent="0.2">
      <c r="A13199" s="2" t="s">
        <v>3631</v>
      </c>
      <c r="B13199" s="2" t="s">
        <v>545</v>
      </c>
      <c r="C13199" s="2">
        <v>1328.798</v>
      </c>
      <c r="D13199" s="2">
        <f>HYPERLINK("http://mcb-m6.bioreg.kyushu-u.ac.jp/M3/20110428/F51135/1475/1", 42.29)</f>
        <v>42.29</v>
      </c>
      <c r="E13199" s="2">
        <v>29.35</v>
      </c>
      <c r="F13199" s="2">
        <v>1</v>
      </c>
      <c r="G13199" s="2" t="s">
        <v>14</v>
      </c>
    </row>
    <row r="13200" spans="1:7" x14ac:dyDescent="0.2">
      <c r="A13200" s="2" t="s">
        <v>3631</v>
      </c>
      <c r="B13200" s="2" t="s">
        <v>545</v>
      </c>
      <c r="C13200" s="2">
        <v>665.07209999999998</v>
      </c>
      <c r="D13200" s="2">
        <f>HYPERLINK("http://mcb-m6.bioreg.kyushu-u.ac.jp/M3/20110428/F51135/1476/1", 56.44)</f>
        <v>56.44</v>
      </c>
      <c r="E13200" s="2">
        <v>46.67</v>
      </c>
      <c r="F13200" s="2">
        <v>2</v>
      </c>
      <c r="G13200" s="2" t="s">
        <v>14</v>
      </c>
    </row>
    <row r="13201" spans="1:7" x14ac:dyDescent="0.2">
      <c r="A13201" s="2" t="s">
        <v>3631</v>
      </c>
      <c r="B13201" s="2" t="s">
        <v>545</v>
      </c>
      <c r="C13201" s="2">
        <v>665.18119999999999</v>
      </c>
      <c r="D13201" s="2">
        <f>HYPERLINK("http://mcb-m6.bioreg.kyushu-u.ac.jp/M3/20110427/F51120/1799/1", 57.57)</f>
        <v>57.57</v>
      </c>
      <c r="E13201" s="2">
        <v>39.82</v>
      </c>
      <c r="F13201" s="2">
        <v>2</v>
      </c>
      <c r="G13201" s="2" t="s">
        <v>14</v>
      </c>
    </row>
    <row r="13202" spans="1:7" x14ac:dyDescent="0.2">
      <c r="A13202" s="2" t="s">
        <v>3631</v>
      </c>
      <c r="B13202" s="2" t="s">
        <v>545</v>
      </c>
      <c r="C13202" s="2">
        <v>665.02369999999996</v>
      </c>
      <c r="D13202" s="2">
        <f>HYPERLINK("http://mcb-m6.bioreg.kyushu-u.ac.jp/M3/20110427/F51125/1761/1", 59.83)</f>
        <v>59.83</v>
      </c>
      <c r="E13202" s="2">
        <v>41.34</v>
      </c>
      <c r="F13202" s="2">
        <v>2</v>
      </c>
      <c r="G13202" s="2" t="s">
        <v>14</v>
      </c>
    </row>
    <row r="13203" spans="1:7" x14ac:dyDescent="0.2">
      <c r="A13203" s="2" t="s">
        <v>3631</v>
      </c>
      <c r="B13203" s="2" t="s">
        <v>545</v>
      </c>
      <c r="C13203" s="2">
        <v>665.08370000000002</v>
      </c>
      <c r="D13203" s="2">
        <f>HYPERLINK("http://mcb-m6.bioreg.kyushu-u.ac.jp/M3/20110428/F51129/1606/1", 69.75)</f>
        <v>69.75</v>
      </c>
      <c r="E13203" s="2">
        <v>52.45</v>
      </c>
      <c r="F13203" s="2">
        <v>2</v>
      </c>
      <c r="G13203" s="2" t="s">
        <v>14</v>
      </c>
    </row>
    <row r="13204" spans="1:7" x14ac:dyDescent="0.2">
      <c r="A13204" s="2" t="s">
        <v>3631</v>
      </c>
      <c r="B13204" s="2" t="s">
        <v>545</v>
      </c>
      <c r="C13204" s="2">
        <v>664.62919999999997</v>
      </c>
      <c r="D13204" s="2">
        <f>HYPERLINK("http://mcb-m6.bioreg.kyushu-u.ac.jp/M3/20110427/F51120/1797/1", 75.93)</f>
        <v>75.930000000000007</v>
      </c>
      <c r="E13204" s="2">
        <v>56.46</v>
      </c>
      <c r="F13204" s="2">
        <v>2</v>
      </c>
      <c r="G13204" s="2" t="s">
        <v>14</v>
      </c>
    </row>
    <row r="13205" spans="1:7" x14ac:dyDescent="0.2">
      <c r="A13205" s="2" t="s">
        <v>3631</v>
      </c>
      <c r="B13205" s="2" t="s">
        <v>545</v>
      </c>
      <c r="C13205" s="2">
        <v>664.95119999999997</v>
      </c>
      <c r="D13205" s="2">
        <f>HYPERLINK("http://mcb-m6.bioreg.kyushu-u.ac.jp/M3/20110427/F51124/1663/1", 77.86)</f>
        <v>77.86</v>
      </c>
      <c r="E13205" s="2">
        <v>57.38</v>
      </c>
      <c r="F13205" s="2">
        <v>2</v>
      </c>
      <c r="G13205" s="2" t="s">
        <v>14</v>
      </c>
    </row>
    <row r="13206" spans="1:7" x14ac:dyDescent="0.2">
      <c r="A13206" s="2" t="s">
        <v>3631</v>
      </c>
      <c r="B13206" s="2" t="s">
        <v>545</v>
      </c>
      <c r="C13206" s="2">
        <v>665.14970000000005</v>
      </c>
      <c r="D13206" s="2">
        <f>HYPERLINK("http://mcb-m6.bioreg.kyushu-u.ac.jp/M3/20110428/F51135/1477/1", 78.3)</f>
        <v>78.3</v>
      </c>
      <c r="E13206" s="2">
        <v>53.76</v>
      </c>
      <c r="F13206" s="2">
        <v>2</v>
      </c>
      <c r="G13206" s="2" t="s">
        <v>14</v>
      </c>
    </row>
    <row r="13207" spans="1:7" x14ac:dyDescent="0.2">
      <c r="A13207" s="2" t="s">
        <v>3631</v>
      </c>
      <c r="B13207" s="2" t="s">
        <v>545</v>
      </c>
      <c r="C13207" s="2">
        <v>664.63509999999997</v>
      </c>
      <c r="D13207" s="2">
        <f>HYPERLINK("http://mcb-m6.bioreg.kyushu-u.ac.jp/M3/20110427/F51119/1921/1", 80.85)</f>
        <v>80.849999999999994</v>
      </c>
      <c r="E13207" s="2">
        <v>59.49</v>
      </c>
      <c r="F13207" s="2">
        <v>2</v>
      </c>
      <c r="G13207" s="2" t="s">
        <v>14</v>
      </c>
    </row>
    <row r="13208" spans="1:7" x14ac:dyDescent="0.2">
      <c r="A13208" s="2" t="s">
        <v>3631</v>
      </c>
      <c r="B13208" s="2" t="s">
        <v>545</v>
      </c>
      <c r="C13208" s="2">
        <v>664.59720000000004</v>
      </c>
      <c r="D13208" s="2">
        <f>HYPERLINK("http://mcb-m6.bioreg.kyushu-u.ac.jp/M3/20110428/F51128/1575/1", 81.18)</f>
        <v>81.180000000000007</v>
      </c>
      <c r="E13208" s="2">
        <v>64.040000000000006</v>
      </c>
      <c r="F13208" s="2">
        <v>2</v>
      </c>
      <c r="G13208" s="2" t="s">
        <v>14</v>
      </c>
    </row>
    <row r="13209" spans="1:7" x14ac:dyDescent="0.2">
      <c r="A13209" s="2" t="s">
        <v>3631</v>
      </c>
      <c r="B13209" s="2" t="s">
        <v>545</v>
      </c>
      <c r="C13209" s="2">
        <v>665.06209999999999</v>
      </c>
      <c r="D13209" s="2">
        <f>HYPERLINK("http://mcb-m6.bioreg.kyushu-u.ac.jp/M3/20110427/F51122/1829/1", 83.94)</f>
        <v>83.94</v>
      </c>
      <c r="E13209" s="2">
        <v>61.74</v>
      </c>
      <c r="F13209" s="2">
        <v>2</v>
      </c>
      <c r="G13209" s="2" t="s">
        <v>14</v>
      </c>
    </row>
    <row r="13210" spans="1:7" x14ac:dyDescent="0.2">
      <c r="A13210" s="2" t="s">
        <v>3631</v>
      </c>
      <c r="B13210" s="2" t="s">
        <v>545</v>
      </c>
      <c r="C13210" s="2">
        <v>664.64009999999996</v>
      </c>
      <c r="D13210" s="2">
        <f>HYPERLINK("http://mcb-m6.bioreg.kyushu-u.ac.jp/M3/20110427/F51121/1721/1", 87.11)</f>
        <v>87.11</v>
      </c>
      <c r="E13210" s="2">
        <v>72.349999999999994</v>
      </c>
      <c r="F13210" s="2">
        <v>2</v>
      </c>
      <c r="G13210" s="2" t="s">
        <v>14</v>
      </c>
    </row>
    <row r="13211" spans="1:7" x14ac:dyDescent="0.2">
      <c r="A13211" s="2" t="s">
        <v>3502</v>
      </c>
      <c r="B13211" s="2" t="s">
        <v>339</v>
      </c>
      <c r="C13211" s="2">
        <v>1389.5309999999999</v>
      </c>
      <c r="D13211" s="2">
        <f>HYPERLINK("http://mcb-m6.bioreg.kyushu-u.ac.jp/M3/20110404/F50756/1716/1", 45.47)</f>
        <v>45.47</v>
      </c>
      <c r="E13211" s="2">
        <v>22.13</v>
      </c>
      <c r="F13211" s="2">
        <v>1</v>
      </c>
      <c r="G13211" s="2" t="s">
        <v>9</v>
      </c>
    </row>
    <row r="13212" spans="1:7" x14ac:dyDescent="0.2">
      <c r="A13212" s="2" t="s">
        <v>3502</v>
      </c>
      <c r="B13212" s="2" t="s">
        <v>339</v>
      </c>
      <c r="C13212" s="2">
        <v>695.31209999999999</v>
      </c>
      <c r="D13212" s="2">
        <f>HYPERLINK("http://mcb-m6.bioreg.kyushu-u.ac.jp/M3/20110404/F50755/1730/1", 48.85)</f>
        <v>48.85</v>
      </c>
      <c r="E13212" s="2">
        <v>21.72</v>
      </c>
      <c r="F13212" s="2">
        <v>2</v>
      </c>
      <c r="G13212" s="2" t="s">
        <v>9</v>
      </c>
    </row>
    <row r="13213" spans="1:7" x14ac:dyDescent="0.2">
      <c r="A13213" s="2" t="s">
        <v>3502</v>
      </c>
      <c r="B13213" s="2" t="s">
        <v>339</v>
      </c>
      <c r="C13213" s="2">
        <v>1390.6130000000001</v>
      </c>
      <c r="D13213" s="2">
        <f>HYPERLINK("http://mcb-m6.bioreg.kyushu-u.ac.jp/M3/20110404/F50765/1620/1", 56.72)</f>
        <v>56.72</v>
      </c>
      <c r="E13213" s="2">
        <v>34.770000000000003</v>
      </c>
      <c r="F13213" s="2">
        <v>1</v>
      </c>
      <c r="G13213" s="2" t="s">
        <v>9</v>
      </c>
    </row>
    <row r="13214" spans="1:7" x14ac:dyDescent="0.2">
      <c r="A13214" s="2" t="s">
        <v>3502</v>
      </c>
      <c r="B13214" s="2" t="s">
        <v>339</v>
      </c>
      <c r="C13214" s="2">
        <v>695.41920000000005</v>
      </c>
      <c r="D13214" s="2">
        <f>HYPERLINK("http://mcb-m6.bioreg.kyushu-u.ac.jp/M3/20110404/F50762/1631/1", 76.86)</f>
        <v>76.86</v>
      </c>
      <c r="E13214" s="2">
        <v>53.86</v>
      </c>
      <c r="F13214" s="2">
        <v>2</v>
      </c>
      <c r="G13214" s="2" t="s">
        <v>9</v>
      </c>
    </row>
    <row r="13215" spans="1:7" x14ac:dyDescent="0.2">
      <c r="A13215" s="2" t="s">
        <v>3502</v>
      </c>
      <c r="B13215" s="2" t="s">
        <v>339</v>
      </c>
      <c r="C13215" s="2">
        <v>695.78120000000001</v>
      </c>
      <c r="D13215" s="2">
        <f>HYPERLINK("http://mcb-m6.bioreg.kyushu-u.ac.jp/M3/20110404/F50771/1686/1", 38.82)</f>
        <v>38.82</v>
      </c>
      <c r="E13215" s="2">
        <v>20.309999999999999</v>
      </c>
      <c r="F13215" s="2">
        <v>2</v>
      </c>
      <c r="G13215" s="2" t="s">
        <v>10</v>
      </c>
    </row>
    <row r="13216" spans="1:7" x14ac:dyDescent="0.2">
      <c r="A13216" s="2" t="s">
        <v>3502</v>
      </c>
      <c r="B13216" s="2" t="s">
        <v>339</v>
      </c>
      <c r="C13216" s="2">
        <v>1389.4480000000001</v>
      </c>
      <c r="D13216" s="2">
        <f>HYPERLINK("http://mcb-m6.bioreg.kyushu-u.ac.jp/M3/20110404/F50761/1641/1", 50.7)</f>
        <v>50.7</v>
      </c>
      <c r="E13216" s="2">
        <v>29.95</v>
      </c>
      <c r="F13216" s="2">
        <v>1</v>
      </c>
      <c r="G13216" s="2" t="s">
        <v>10</v>
      </c>
    </row>
    <row r="13217" spans="1:7" x14ac:dyDescent="0.2">
      <c r="A13217" s="2" t="s">
        <v>3502</v>
      </c>
      <c r="B13217" s="2" t="s">
        <v>339</v>
      </c>
      <c r="C13217" s="2">
        <v>695.29769999999996</v>
      </c>
      <c r="D13217" s="2">
        <f>HYPERLINK("http://mcb-m6.bioreg.kyushu-u.ac.jp/M3/20110404/F50768/1711/1", 68.33)</f>
        <v>68.33</v>
      </c>
      <c r="E13217" s="2">
        <v>46.2</v>
      </c>
      <c r="F13217" s="2">
        <v>2</v>
      </c>
      <c r="G13217" s="2" t="s">
        <v>10</v>
      </c>
    </row>
    <row r="13218" spans="1:7" x14ac:dyDescent="0.2">
      <c r="A13218" s="2" t="s">
        <v>3502</v>
      </c>
      <c r="B13218" s="2" t="s">
        <v>339</v>
      </c>
      <c r="C13218" s="2">
        <v>695.33759999999995</v>
      </c>
      <c r="D13218" s="2">
        <f>HYPERLINK("http://mcb-m6.bioreg.kyushu-u.ac.jp/M3/20110404/F50761/1643/1", 81.54)</f>
        <v>81.540000000000006</v>
      </c>
      <c r="E13218" s="2">
        <v>57.77</v>
      </c>
      <c r="F13218" s="2">
        <v>2</v>
      </c>
      <c r="G13218" s="2" t="s">
        <v>10</v>
      </c>
    </row>
    <row r="13219" spans="1:7" x14ac:dyDescent="0.2">
      <c r="A13219" s="2" t="s">
        <v>3502</v>
      </c>
      <c r="B13219" s="2" t="s">
        <v>339</v>
      </c>
      <c r="C13219" s="2">
        <v>695.34619999999995</v>
      </c>
      <c r="D13219" s="2">
        <f>HYPERLINK("http://mcb-m6.bioreg.kyushu-u.ac.jp/M3/20110421/F51044/1755/1", 50.19)</f>
        <v>50.19</v>
      </c>
      <c r="E13219" s="2">
        <v>31.7</v>
      </c>
      <c r="F13219" s="2">
        <v>2</v>
      </c>
      <c r="G13219" s="2" t="s">
        <v>12</v>
      </c>
    </row>
    <row r="13220" spans="1:7" x14ac:dyDescent="0.2">
      <c r="A13220" s="2" t="s">
        <v>3502</v>
      </c>
      <c r="B13220" s="2" t="s">
        <v>339</v>
      </c>
      <c r="C13220" s="2">
        <v>695.28520000000003</v>
      </c>
      <c r="D13220" s="2">
        <f>HYPERLINK("http://mcb-m6.bioreg.kyushu-u.ac.jp/M3/20110427/F51112/1870/1", 35.26)</f>
        <v>35.26</v>
      </c>
      <c r="E13220" s="2">
        <v>16.52</v>
      </c>
      <c r="F13220" s="2">
        <v>2</v>
      </c>
      <c r="G13220" s="2" t="s">
        <v>13</v>
      </c>
    </row>
    <row r="13221" spans="1:7" x14ac:dyDescent="0.2">
      <c r="A13221" s="2" t="s">
        <v>3502</v>
      </c>
      <c r="B13221" s="2" t="s">
        <v>339</v>
      </c>
      <c r="C13221" s="2">
        <v>695.69069999999999</v>
      </c>
      <c r="D13221" s="2">
        <f>HYPERLINK("http://mcb-m6.bioreg.kyushu-u.ac.jp/M3/20110427/F51113/1787/1", 51.26)</f>
        <v>51.26</v>
      </c>
      <c r="E13221" s="2">
        <v>28.86</v>
      </c>
      <c r="F13221" s="2">
        <v>2</v>
      </c>
      <c r="G13221" s="2" t="s">
        <v>13</v>
      </c>
    </row>
    <row r="13222" spans="1:7" x14ac:dyDescent="0.2">
      <c r="A13222" s="2" t="s">
        <v>3502</v>
      </c>
      <c r="B13222" s="2" t="s">
        <v>339</v>
      </c>
      <c r="C13222" s="2">
        <v>1389.3330000000001</v>
      </c>
      <c r="D13222" s="2">
        <f>HYPERLINK("http://mcb-m6.bioreg.kyushu-u.ac.jp/M3/20110427/F51114/1802/1", 59.5)</f>
        <v>59.5</v>
      </c>
      <c r="E13222" s="2">
        <v>35.06</v>
      </c>
      <c r="F13222" s="2">
        <v>1</v>
      </c>
      <c r="G13222" s="2" t="s">
        <v>13</v>
      </c>
    </row>
    <row r="13223" spans="1:7" x14ac:dyDescent="0.2">
      <c r="A13223" s="2" t="s">
        <v>3502</v>
      </c>
      <c r="B13223" s="2" t="s">
        <v>339</v>
      </c>
      <c r="C13223" s="2">
        <v>695.26009999999997</v>
      </c>
      <c r="D13223" s="2">
        <f>HYPERLINK("http://mcb-m6.bioreg.kyushu-u.ac.jp/M3/20110427/F51114/1804/1", 61.24)</f>
        <v>61.24</v>
      </c>
      <c r="E13223" s="2">
        <v>30.88</v>
      </c>
      <c r="F13223" s="2">
        <v>2</v>
      </c>
      <c r="G13223" s="2" t="s">
        <v>13</v>
      </c>
    </row>
    <row r="13224" spans="1:7" x14ac:dyDescent="0.2">
      <c r="A13224" s="2" t="s">
        <v>3502</v>
      </c>
      <c r="B13224" s="2" t="s">
        <v>339</v>
      </c>
      <c r="C13224" s="2">
        <v>695.60969999999998</v>
      </c>
      <c r="D13224" s="2">
        <f>HYPERLINK("http://mcb-m6.bioreg.kyushu-u.ac.jp/M3/20110427/F51115/1783/1", 77.31)</f>
        <v>77.31</v>
      </c>
      <c r="E13224" s="2">
        <v>50.18</v>
      </c>
      <c r="F13224" s="2">
        <v>2</v>
      </c>
      <c r="G13224" s="2" t="s">
        <v>13</v>
      </c>
    </row>
    <row r="13225" spans="1:7" x14ac:dyDescent="0.2">
      <c r="A13225" s="2" t="s">
        <v>3502</v>
      </c>
      <c r="B13225" s="2" t="s">
        <v>339</v>
      </c>
      <c r="C13225" s="2">
        <v>695.68370000000004</v>
      </c>
      <c r="D13225" s="2">
        <f>HYPERLINK("http://mcb-m6.bioreg.kyushu-u.ac.jp/M3/20110427/F51125/1887/1", 45.66)</f>
        <v>45.66</v>
      </c>
      <c r="E13225" s="2">
        <v>24.03</v>
      </c>
      <c r="F13225" s="2">
        <v>2</v>
      </c>
      <c r="G13225" s="2" t="s">
        <v>14</v>
      </c>
    </row>
    <row r="13226" spans="1:7" x14ac:dyDescent="0.2">
      <c r="A13226" s="2" t="s">
        <v>3502</v>
      </c>
      <c r="B13226" s="2" t="s">
        <v>339</v>
      </c>
      <c r="C13226" s="2">
        <v>695.21220000000005</v>
      </c>
      <c r="D13226" s="2">
        <f>HYPERLINK("http://mcb-m6.bioreg.kyushu-u.ac.jp/M3/20110427/F51124/1815/1", 51.46)</f>
        <v>51.46</v>
      </c>
      <c r="E13226" s="2">
        <v>27.69</v>
      </c>
      <c r="F13226" s="2">
        <v>2</v>
      </c>
      <c r="G13226" s="2" t="s">
        <v>14</v>
      </c>
    </row>
    <row r="13227" spans="1:7" x14ac:dyDescent="0.2">
      <c r="A13227" s="2" t="s">
        <v>3889</v>
      </c>
      <c r="B13227" s="2" t="s">
        <v>1030</v>
      </c>
      <c r="C13227" s="2">
        <v>1429.6210000000001</v>
      </c>
      <c r="D13227" s="2">
        <f>HYPERLINK("http://mcb-m6.bioreg.kyushu-u.ac.jp/M3/20110404/F50756/1824/1", 51.15)</f>
        <v>51.15</v>
      </c>
      <c r="E13227" s="2">
        <v>32.22</v>
      </c>
      <c r="F13227" s="2">
        <v>1</v>
      </c>
      <c r="G13227" s="2" t="s">
        <v>9</v>
      </c>
    </row>
    <row r="13228" spans="1:7" x14ac:dyDescent="0.2">
      <c r="A13228" s="2" t="s">
        <v>3889</v>
      </c>
      <c r="B13228" s="2" t="s">
        <v>1030</v>
      </c>
      <c r="C13228" s="2">
        <v>715.79359999999997</v>
      </c>
      <c r="D13228" s="2">
        <f>HYPERLINK("http://mcb-m6.bioreg.kyushu-u.ac.jp/M3/20110404/F50756/1825/1", 70.11)</f>
        <v>70.11</v>
      </c>
      <c r="E13228" s="2">
        <v>46.33</v>
      </c>
      <c r="F13228" s="2">
        <v>2</v>
      </c>
      <c r="G13228" s="2" t="s">
        <v>9</v>
      </c>
    </row>
    <row r="13229" spans="1:7" x14ac:dyDescent="0.2">
      <c r="A13229" s="2" t="s">
        <v>3889</v>
      </c>
      <c r="B13229" s="2" t="s">
        <v>1030</v>
      </c>
      <c r="C13229" s="2">
        <v>715.86519999999996</v>
      </c>
      <c r="D13229" s="2">
        <f>HYPERLINK("http://mcb-m6.bioreg.kyushu-u.ac.jp/M3/20110404/F50765/1717/1", 84.9)</f>
        <v>84.9</v>
      </c>
      <c r="E13229" s="2">
        <v>63.28</v>
      </c>
      <c r="F13229" s="2">
        <v>2</v>
      </c>
      <c r="G13229" s="2" t="s">
        <v>9</v>
      </c>
    </row>
    <row r="13230" spans="1:7" x14ac:dyDescent="0.2">
      <c r="A13230" s="2" t="s">
        <v>3889</v>
      </c>
      <c r="B13230" s="2" t="s">
        <v>1030</v>
      </c>
      <c r="C13230" s="2">
        <v>715.3202</v>
      </c>
      <c r="D13230" s="2">
        <f>HYPERLINK("http://mcb-m6.bioreg.kyushu-u.ac.jp/M3/20110404/F50763/1842/1", 92.08)</f>
        <v>92.08</v>
      </c>
      <c r="E13230" s="2">
        <v>71.180000000000007</v>
      </c>
      <c r="F13230" s="2">
        <v>2</v>
      </c>
      <c r="G13230" s="2" t="s">
        <v>9</v>
      </c>
    </row>
    <row r="13231" spans="1:7" x14ac:dyDescent="0.2">
      <c r="A13231" s="2" t="s">
        <v>3889</v>
      </c>
      <c r="B13231" s="2" t="s">
        <v>1030</v>
      </c>
      <c r="C13231" s="2">
        <v>715.29719999999998</v>
      </c>
      <c r="D13231" s="2">
        <f>HYPERLINK("http://mcb-m6.bioreg.kyushu-u.ac.jp/M3/20110404/F50765/1714/1", 92.64)</f>
        <v>92.64</v>
      </c>
      <c r="E13231" s="2">
        <v>73.62</v>
      </c>
      <c r="F13231" s="2">
        <v>2</v>
      </c>
      <c r="G13231" s="2" t="s">
        <v>9</v>
      </c>
    </row>
    <row r="13232" spans="1:7" x14ac:dyDescent="0.2">
      <c r="A13232" s="2" t="s">
        <v>3889</v>
      </c>
      <c r="B13232" s="2" t="s">
        <v>1030</v>
      </c>
      <c r="C13232" s="2">
        <v>715.27919999999995</v>
      </c>
      <c r="D13232" s="2">
        <f>HYPERLINK("http://mcb-m6.bioreg.kyushu-u.ac.jp/M3/20110404/F50756/1823/1", 95.7)</f>
        <v>95.7</v>
      </c>
      <c r="E13232" s="2">
        <v>76.22</v>
      </c>
      <c r="F13232" s="2">
        <v>2</v>
      </c>
      <c r="G13232" s="2" t="s">
        <v>9</v>
      </c>
    </row>
    <row r="13233" spans="1:7" x14ac:dyDescent="0.2">
      <c r="A13233" s="2" t="s">
        <v>3889</v>
      </c>
      <c r="B13233" s="2" t="s">
        <v>1030</v>
      </c>
      <c r="C13233" s="2">
        <v>715.39970000000005</v>
      </c>
      <c r="D13233" s="2">
        <f>HYPERLINK("http://mcb-m6.bioreg.kyushu-u.ac.jp/M3/20110404/F50762/1731/1", 103.88)</f>
        <v>103.88</v>
      </c>
      <c r="E13233" s="2">
        <v>77.510000000000005</v>
      </c>
      <c r="F13233" s="2">
        <v>2</v>
      </c>
      <c r="G13233" s="2" t="s">
        <v>9</v>
      </c>
    </row>
    <row r="13234" spans="1:7" x14ac:dyDescent="0.2">
      <c r="A13234" s="2" t="s">
        <v>3889</v>
      </c>
      <c r="B13234" s="2" t="s">
        <v>1030</v>
      </c>
      <c r="C13234" s="2">
        <v>1430.53</v>
      </c>
      <c r="D13234" s="2">
        <f>HYPERLINK("http://mcb-m6.bioreg.kyushu-u.ac.jp/M3/20110404/F50761/1738/1", 45.26)</f>
        <v>45.26</v>
      </c>
      <c r="E13234" s="2">
        <v>35.65</v>
      </c>
      <c r="F13234" s="2">
        <v>1</v>
      </c>
      <c r="G13234" s="2" t="s">
        <v>10</v>
      </c>
    </row>
    <row r="13235" spans="1:7" x14ac:dyDescent="0.2">
      <c r="A13235" s="2" t="s">
        <v>3889</v>
      </c>
      <c r="B13235" s="2" t="s">
        <v>1030</v>
      </c>
      <c r="C13235" s="2">
        <v>1430.539</v>
      </c>
      <c r="D13235" s="2">
        <f>HYPERLINK("http://mcb-m6.bioreg.kyushu-u.ac.jp/M3/20110404/F50768/1807/1", 49.67)</f>
        <v>49.67</v>
      </c>
      <c r="E13235" s="2">
        <v>39.799999999999997</v>
      </c>
      <c r="F13235" s="2">
        <v>1</v>
      </c>
      <c r="G13235" s="2" t="s">
        <v>10</v>
      </c>
    </row>
    <row r="13236" spans="1:7" x14ac:dyDescent="0.2">
      <c r="A13236" s="2" t="s">
        <v>3889</v>
      </c>
      <c r="B13236" s="2" t="s">
        <v>1030</v>
      </c>
      <c r="C13236" s="2">
        <v>715.59559999999999</v>
      </c>
      <c r="D13236" s="2">
        <f>HYPERLINK("http://mcb-m6.bioreg.kyushu-u.ac.jp/M3/20110404/F50772/1806/1", 64.09)</f>
        <v>64.09</v>
      </c>
      <c r="E13236" s="2">
        <v>46.88</v>
      </c>
      <c r="F13236" s="2">
        <v>2</v>
      </c>
      <c r="G13236" s="2" t="s">
        <v>10</v>
      </c>
    </row>
    <row r="13237" spans="1:7" x14ac:dyDescent="0.2">
      <c r="A13237" s="2" t="s">
        <v>3889</v>
      </c>
      <c r="B13237" s="2" t="s">
        <v>1030</v>
      </c>
      <c r="C13237" s="2">
        <v>715.28859999999997</v>
      </c>
      <c r="D13237" s="2">
        <f>HYPERLINK("http://mcb-m6.bioreg.kyushu-u.ac.jp/M3/20110404/F50771/1776/1", 64.11)</f>
        <v>64.11</v>
      </c>
      <c r="E13237" s="2">
        <v>47.35</v>
      </c>
      <c r="F13237" s="2">
        <v>2</v>
      </c>
      <c r="G13237" s="2" t="s">
        <v>10</v>
      </c>
    </row>
    <row r="13238" spans="1:7" x14ac:dyDescent="0.2">
      <c r="A13238" s="2" t="s">
        <v>3889</v>
      </c>
      <c r="B13238" s="2" t="s">
        <v>1030</v>
      </c>
      <c r="C13238" s="2">
        <v>1429.5709999999999</v>
      </c>
      <c r="D13238" s="2">
        <f>HYPERLINK("http://mcb-m6.bioreg.kyushu-u.ac.jp/M3/20110404/F50761/1736/1", 70.59)</f>
        <v>70.59</v>
      </c>
      <c r="E13238" s="2">
        <v>50.57</v>
      </c>
      <c r="F13238" s="2">
        <v>1</v>
      </c>
      <c r="G13238" s="2" t="s">
        <v>10</v>
      </c>
    </row>
    <row r="13239" spans="1:7" x14ac:dyDescent="0.2">
      <c r="A13239" s="2" t="s">
        <v>3889</v>
      </c>
      <c r="B13239" s="2" t="s">
        <v>1030</v>
      </c>
      <c r="C13239" s="2">
        <v>715.29909999999995</v>
      </c>
      <c r="D13239" s="2">
        <f>HYPERLINK("http://mcb-m6.bioreg.kyushu-u.ac.jp/M3/20110404/F50768/1804/1", 92.53)</f>
        <v>92.53</v>
      </c>
      <c r="E13239" s="2">
        <v>70.38</v>
      </c>
      <c r="F13239" s="2">
        <v>2</v>
      </c>
      <c r="G13239" s="2" t="s">
        <v>10</v>
      </c>
    </row>
    <row r="13240" spans="1:7" x14ac:dyDescent="0.2">
      <c r="A13240" s="2" t="s">
        <v>3889</v>
      </c>
      <c r="B13240" s="2" t="s">
        <v>1030</v>
      </c>
      <c r="C13240" s="2">
        <v>715.26070000000004</v>
      </c>
      <c r="D13240" s="2">
        <f>HYPERLINK("http://mcb-m6.bioreg.kyushu-u.ac.jp/M3/20110404/F50761/1735/1", 95.66)</f>
        <v>95.66</v>
      </c>
      <c r="E13240" s="2">
        <v>74.58</v>
      </c>
      <c r="F13240" s="2">
        <v>2</v>
      </c>
      <c r="G13240" s="2" t="s">
        <v>10</v>
      </c>
    </row>
    <row r="13241" spans="1:7" x14ac:dyDescent="0.2">
      <c r="A13241" s="2" t="s">
        <v>3889</v>
      </c>
      <c r="B13241" s="2" t="s">
        <v>1030</v>
      </c>
      <c r="C13241" s="2">
        <v>715.41269999999997</v>
      </c>
      <c r="D13241" s="2">
        <f>HYPERLINK("http://mcb-m6.bioreg.kyushu-u.ac.jp/M3/20110421/F51040/1913/1", 47.04)</f>
        <v>47.04</v>
      </c>
      <c r="E13241" s="2">
        <v>22.94</v>
      </c>
      <c r="F13241" s="2">
        <v>2</v>
      </c>
      <c r="G13241" s="2" t="s">
        <v>11</v>
      </c>
    </row>
    <row r="13242" spans="1:7" x14ac:dyDescent="0.2">
      <c r="A13242" s="2" t="s">
        <v>3889</v>
      </c>
      <c r="B13242" s="2" t="s">
        <v>1030</v>
      </c>
      <c r="C13242" s="2">
        <v>715.83320000000003</v>
      </c>
      <c r="D13242" s="2">
        <f>HYPERLINK("http://mcb-m6.bioreg.kyushu-u.ac.jp/M3/20110421/F51037/1850/1", 58.76)</f>
        <v>58.76</v>
      </c>
      <c r="E13242" s="2">
        <v>34.58</v>
      </c>
      <c r="F13242" s="2">
        <v>2</v>
      </c>
      <c r="G13242" s="2" t="s">
        <v>11</v>
      </c>
    </row>
    <row r="13243" spans="1:7" x14ac:dyDescent="0.2">
      <c r="A13243" s="2" t="s">
        <v>3889</v>
      </c>
      <c r="B13243" s="2" t="s">
        <v>1030</v>
      </c>
      <c r="C13243" s="2">
        <v>715.19169999999997</v>
      </c>
      <c r="D13243" s="2">
        <f>HYPERLINK("http://mcb-m6.bioreg.kyushu-u.ac.jp/M3/20110421/F51039/1941/1", 59.18)</f>
        <v>59.18</v>
      </c>
      <c r="E13243" s="2">
        <v>40.17</v>
      </c>
      <c r="F13243" s="2">
        <v>2</v>
      </c>
      <c r="G13243" s="2" t="s">
        <v>11</v>
      </c>
    </row>
    <row r="13244" spans="1:7" x14ac:dyDescent="0.2">
      <c r="A13244" s="2" t="s">
        <v>3889</v>
      </c>
      <c r="B13244" s="2" t="s">
        <v>1030</v>
      </c>
      <c r="C13244" s="2">
        <v>715.81460000000004</v>
      </c>
      <c r="D13244" s="2">
        <f>HYPERLINK("http://mcb-m6.bioreg.kyushu-u.ac.jp/M3/20110421/F51034/1903/1", 61.49)</f>
        <v>61.49</v>
      </c>
      <c r="E13244" s="2">
        <v>35.25</v>
      </c>
      <c r="F13244" s="2">
        <v>2</v>
      </c>
      <c r="G13244" s="2" t="s">
        <v>11</v>
      </c>
    </row>
    <row r="13245" spans="1:7" x14ac:dyDescent="0.2">
      <c r="A13245" s="2" t="s">
        <v>3889</v>
      </c>
      <c r="B13245" s="2" t="s">
        <v>1030</v>
      </c>
      <c r="C13245" s="2">
        <v>715.38760000000002</v>
      </c>
      <c r="D13245" s="2">
        <f>HYPERLINK("http://mcb-m6.bioreg.kyushu-u.ac.jp/M3/20110421/F51034/1901/1", 78.95)</f>
        <v>78.95</v>
      </c>
      <c r="E13245" s="2">
        <v>57.66</v>
      </c>
      <c r="F13245" s="2">
        <v>2</v>
      </c>
      <c r="G13245" s="2" t="s">
        <v>11</v>
      </c>
    </row>
    <row r="13246" spans="1:7" x14ac:dyDescent="0.2">
      <c r="A13246" s="2" t="s">
        <v>3889</v>
      </c>
      <c r="B13246" s="2" t="s">
        <v>1030</v>
      </c>
      <c r="C13246" s="2">
        <v>715.42769999999996</v>
      </c>
      <c r="D13246" s="2">
        <f>HYPERLINK("http://mcb-m6.bioreg.kyushu-u.ac.jp/M3/20110421/F51035/1843/1", 81.99)</f>
        <v>81.99</v>
      </c>
      <c r="E13246" s="2">
        <v>64.14</v>
      </c>
      <c r="F13246" s="2">
        <v>2</v>
      </c>
      <c r="G13246" s="2" t="s">
        <v>11</v>
      </c>
    </row>
    <row r="13247" spans="1:7" x14ac:dyDescent="0.2">
      <c r="A13247" s="2" t="s">
        <v>3889</v>
      </c>
      <c r="B13247" s="2" t="s">
        <v>1030</v>
      </c>
      <c r="C13247" s="2">
        <v>715.19870000000003</v>
      </c>
      <c r="D13247" s="2">
        <f>HYPERLINK("http://mcb-m6.bioreg.kyushu-u.ac.jp/M3/20110421/F51018/1985/1", 82.09)</f>
        <v>82.09</v>
      </c>
      <c r="E13247" s="2">
        <v>61</v>
      </c>
      <c r="F13247" s="2">
        <v>2</v>
      </c>
      <c r="G13247" s="2" t="s">
        <v>11</v>
      </c>
    </row>
    <row r="13248" spans="1:7" x14ac:dyDescent="0.2">
      <c r="A13248" s="2" t="s">
        <v>3889</v>
      </c>
      <c r="B13248" s="2" t="s">
        <v>1030</v>
      </c>
      <c r="C13248" s="2">
        <v>715.82669999999996</v>
      </c>
      <c r="D13248" s="2">
        <f>HYPERLINK("http://mcb-m6.bioreg.kyushu-u.ac.jp/M3/20110421/F51019/1947/1", 84.72)</f>
        <v>84.72</v>
      </c>
      <c r="E13248" s="2">
        <v>61.37</v>
      </c>
      <c r="F13248" s="2">
        <v>2</v>
      </c>
      <c r="G13248" s="2" t="s">
        <v>11</v>
      </c>
    </row>
    <row r="13249" spans="1:7" x14ac:dyDescent="0.2">
      <c r="A13249" s="2" t="s">
        <v>3889</v>
      </c>
      <c r="B13249" s="2" t="s">
        <v>1030</v>
      </c>
      <c r="C13249" s="2">
        <v>715.33720000000005</v>
      </c>
      <c r="D13249" s="2">
        <f>HYPERLINK("http://mcb-m6.bioreg.kyushu-u.ac.jp/M3/20110421/F51042/1741/1", 92.53)</f>
        <v>92.53</v>
      </c>
      <c r="E13249" s="2">
        <v>74.14</v>
      </c>
      <c r="F13249" s="2">
        <v>2</v>
      </c>
      <c r="G13249" s="2" t="s">
        <v>11</v>
      </c>
    </row>
    <row r="13250" spans="1:7" x14ac:dyDescent="0.2">
      <c r="A13250" s="2" t="s">
        <v>3889</v>
      </c>
      <c r="B13250" s="2" t="s">
        <v>1030</v>
      </c>
      <c r="C13250" s="2">
        <v>715.27120000000002</v>
      </c>
      <c r="D13250" s="2">
        <f>HYPERLINK("http://mcb-m6.bioreg.kyushu-u.ac.jp/M3/20110421/F51019/1946/1", 96.02)</f>
        <v>96.02</v>
      </c>
      <c r="E13250" s="2">
        <v>74.290000000000006</v>
      </c>
      <c r="F13250" s="2">
        <v>2</v>
      </c>
      <c r="G13250" s="2" t="s">
        <v>11</v>
      </c>
    </row>
    <row r="13251" spans="1:7" x14ac:dyDescent="0.2">
      <c r="A13251" s="2" t="s">
        <v>3889</v>
      </c>
      <c r="B13251" s="2" t="s">
        <v>1030</v>
      </c>
      <c r="C13251" s="2">
        <v>715.18219999999997</v>
      </c>
      <c r="D13251" s="2">
        <f>HYPERLINK("http://mcb-m6.bioreg.kyushu-u.ac.jp/M3/20110421/F51017/1905/1", 103.45)</f>
        <v>103.45</v>
      </c>
      <c r="E13251" s="2">
        <v>77.02</v>
      </c>
      <c r="F13251" s="2">
        <v>2</v>
      </c>
      <c r="G13251" s="2" t="s">
        <v>11</v>
      </c>
    </row>
    <row r="13252" spans="1:7" x14ac:dyDescent="0.2">
      <c r="A13252" s="2" t="s">
        <v>3889</v>
      </c>
      <c r="B13252" s="2" t="s">
        <v>1030</v>
      </c>
      <c r="C13252" s="2">
        <v>715.82759999999996</v>
      </c>
      <c r="D13252" s="2">
        <f>HYPERLINK("http://mcb-m6.bioreg.kyushu-u.ac.jp/M3/20110421/F51044/1892/1", 36.38)</f>
        <v>36.380000000000003</v>
      </c>
      <c r="E13252" s="2">
        <v>16.04</v>
      </c>
      <c r="F13252" s="2">
        <v>2</v>
      </c>
      <c r="G13252" s="2" t="s">
        <v>12</v>
      </c>
    </row>
    <row r="13253" spans="1:7" x14ac:dyDescent="0.2">
      <c r="A13253" s="2" t="s">
        <v>3889</v>
      </c>
      <c r="B13253" s="2" t="s">
        <v>1030</v>
      </c>
      <c r="C13253" s="2">
        <v>1430.578</v>
      </c>
      <c r="D13253" s="2">
        <f>HYPERLINK("http://mcb-m6.bioreg.kyushu-u.ac.jp/M3/20110421/F51044/1891/1", 37.79)</f>
        <v>37.79</v>
      </c>
      <c r="E13253" s="2">
        <v>26.93</v>
      </c>
      <c r="F13253" s="2">
        <v>1</v>
      </c>
      <c r="G13253" s="2" t="s">
        <v>12</v>
      </c>
    </row>
    <row r="13254" spans="1:7" x14ac:dyDescent="0.2">
      <c r="A13254" s="2" t="s">
        <v>3889</v>
      </c>
      <c r="B13254" s="2" t="s">
        <v>1030</v>
      </c>
      <c r="C13254" s="2">
        <v>715.8442</v>
      </c>
      <c r="D13254" s="2">
        <f>HYPERLINK("http://mcb-m6.bioreg.kyushu-u.ac.jp/M3/20110421/F51044/1893/1", 45.41)</f>
        <v>45.41</v>
      </c>
      <c r="E13254" s="2">
        <v>24.79</v>
      </c>
      <c r="F13254" s="2">
        <v>2</v>
      </c>
      <c r="G13254" s="2" t="s">
        <v>12</v>
      </c>
    </row>
    <row r="13255" spans="1:7" x14ac:dyDescent="0.2">
      <c r="A13255" s="2" t="s">
        <v>3889</v>
      </c>
      <c r="B13255" s="2" t="s">
        <v>1030</v>
      </c>
      <c r="C13255" s="2">
        <v>715.4941</v>
      </c>
      <c r="D13255" s="2">
        <f>HYPERLINK("http://mcb-m6.bioreg.kyushu-u.ac.jp/M3/20110421/F51048/2061/1", 72.6)</f>
        <v>72.599999999999994</v>
      </c>
      <c r="E13255" s="2">
        <v>53.83</v>
      </c>
      <c r="F13255" s="2">
        <v>2</v>
      </c>
      <c r="G13255" s="2" t="s">
        <v>12</v>
      </c>
    </row>
    <row r="13256" spans="1:7" x14ac:dyDescent="0.2">
      <c r="A13256" s="2" t="s">
        <v>3889</v>
      </c>
      <c r="B13256" s="2" t="s">
        <v>1030</v>
      </c>
      <c r="C13256" s="2">
        <v>715.37159999999994</v>
      </c>
      <c r="D13256" s="2">
        <f>HYPERLINK("http://mcb-m6.bioreg.kyushu-u.ac.jp/M3/20110421/F51025/1939/1", 80.06)</f>
        <v>80.06</v>
      </c>
      <c r="E13256" s="2">
        <v>58.53</v>
      </c>
      <c r="F13256" s="2">
        <v>2</v>
      </c>
      <c r="G13256" s="2" t="s">
        <v>12</v>
      </c>
    </row>
    <row r="13257" spans="1:7" x14ac:dyDescent="0.2">
      <c r="A13257" s="2" t="s">
        <v>3889</v>
      </c>
      <c r="B13257" s="2" t="s">
        <v>1030</v>
      </c>
      <c r="C13257" s="2">
        <v>715.44920000000002</v>
      </c>
      <c r="D13257" s="2">
        <f>HYPERLINK("http://mcb-m6.bioreg.kyushu-u.ac.jp/M3/20110421/F51045/2059/1", 89.74)</f>
        <v>89.74</v>
      </c>
      <c r="E13257" s="2">
        <v>66.37</v>
      </c>
      <c r="F13257" s="2">
        <v>2</v>
      </c>
      <c r="G13257" s="2" t="s">
        <v>12</v>
      </c>
    </row>
    <row r="13258" spans="1:7" x14ac:dyDescent="0.2">
      <c r="A13258" s="2" t="s">
        <v>3889</v>
      </c>
      <c r="B13258" s="2" t="s">
        <v>1030</v>
      </c>
      <c r="C13258" s="2">
        <v>715.59469999999999</v>
      </c>
      <c r="D13258" s="2">
        <f>HYPERLINK("http://mcb-m6.bioreg.kyushu-u.ac.jp/M3/20110421/F51047/1986/1", 91.69)</f>
        <v>91.69</v>
      </c>
      <c r="E13258" s="2">
        <v>59.41</v>
      </c>
      <c r="F13258" s="2">
        <v>2</v>
      </c>
      <c r="G13258" s="2" t="s">
        <v>12</v>
      </c>
    </row>
    <row r="13259" spans="1:7" x14ac:dyDescent="0.2">
      <c r="A13259" s="2" t="s">
        <v>3889</v>
      </c>
      <c r="B13259" s="2" t="s">
        <v>1030</v>
      </c>
      <c r="C13259" s="2">
        <v>715.50819999999999</v>
      </c>
      <c r="D13259" s="2">
        <f>HYPERLINK("http://mcb-m6.bioreg.kyushu-u.ac.jp/M3/20110421/F51043/1952/1", 103.07)</f>
        <v>103.07</v>
      </c>
      <c r="E13259" s="2">
        <v>83.76</v>
      </c>
      <c r="F13259" s="2">
        <v>2</v>
      </c>
      <c r="G13259" s="2" t="s">
        <v>12</v>
      </c>
    </row>
    <row r="13260" spans="1:7" x14ac:dyDescent="0.2">
      <c r="A13260" s="2" t="s">
        <v>3889</v>
      </c>
      <c r="B13260" s="2" t="s">
        <v>1030</v>
      </c>
      <c r="C13260" s="2">
        <v>715.28719999999998</v>
      </c>
      <c r="D13260" s="2">
        <f>HYPERLINK("http://mcb-m6.bioreg.kyushu-u.ac.jp/M3/20110421/F51044/1890/1", 103.68)</f>
        <v>103.68</v>
      </c>
      <c r="E13260" s="2">
        <v>80.209999999999994</v>
      </c>
      <c r="F13260" s="2">
        <v>2</v>
      </c>
      <c r="G13260" s="2" t="s">
        <v>12</v>
      </c>
    </row>
    <row r="13261" spans="1:7" x14ac:dyDescent="0.2">
      <c r="A13261" s="2" t="s">
        <v>3889</v>
      </c>
      <c r="B13261" s="2" t="s">
        <v>1030</v>
      </c>
      <c r="C13261" s="2">
        <v>715.10220000000004</v>
      </c>
      <c r="D13261" s="2">
        <f>HYPERLINK("http://mcb-m6.bioreg.kyushu-u.ac.jp/M3/20110427/F51112/1970/1", 78.14)</f>
        <v>78.14</v>
      </c>
      <c r="E13261" s="2">
        <v>57.69</v>
      </c>
      <c r="F13261" s="2">
        <v>2</v>
      </c>
      <c r="G13261" s="2" t="s">
        <v>13</v>
      </c>
    </row>
    <row r="13262" spans="1:7" x14ac:dyDescent="0.2">
      <c r="A13262" s="2" t="s">
        <v>3889</v>
      </c>
      <c r="B13262" s="2" t="s">
        <v>1030</v>
      </c>
      <c r="C13262" s="2">
        <v>715.23360000000002</v>
      </c>
      <c r="D13262" s="2">
        <f>HYPERLINK("http://mcb-m6.bioreg.kyushu-u.ac.jp/M3/20110427/F51111/2020/1", 80.64)</f>
        <v>80.64</v>
      </c>
      <c r="E13262" s="2">
        <v>54.82</v>
      </c>
      <c r="F13262" s="2">
        <v>2</v>
      </c>
      <c r="G13262" s="2" t="s">
        <v>13</v>
      </c>
    </row>
    <row r="13263" spans="1:7" x14ac:dyDescent="0.2">
      <c r="A13263" s="2" t="s">
        <v>3889</v>
      </c>
      <c r="B13263" s="2" t="s">
        <v>1030</v>
      </c>
      <c r="C13263" s="2">
        <v>715.15419999999995</v>
      </c>
      <c r="D13263" s="2">
        <f>HYPERLINK("http://mcb-m6.bioreg.kyushu-u.ac.jp/M3/20110427/F51113/1885/1", 87.57)</f>
        <v>87.57</v>
      </c>
      <c r="E13263" s="2">
        <v>66.03</v>
      </c>
      <c r="F13263" s="2">
        <v>2</v>
      </c>
      <c r="G13263" s="2" t="s">
        <v>13</v>
      </c>
    </row>
    <row r="13264" spans="1:7" x14ac:dyDescent="0.2">
      <c r="A13264" s="2" t="s">
        <v>3889</v>
      </c>
      <c r="B13264" s="2" t="s">
        <v>1030</v>
      </c>
      <c r="C13264" s="2">
        <v>715.19169999999997</v>
      </c>
      <c r="D13264" s="2">
        <f>HYPERLINK("http://mcb-m6.bioreg.kyushu-u.ac.jp/M3/20110427/F51114/1906/1", 88.96)</f>
        <v>88.96</v>
      </c>
      <c r="E13264" s="2">
        <v>64.25</v>
      </c>
      <c r="F13264" s="2">
        <v>2</v>
      </c>
      <c r="G13264" s="2" t="s">
        <v>13</v>
      </c>
    </row>
    <row r="13265" spans="1:7" x14ac:dyDescent="0.2">
      <c r="A13265" s="2" t="s">
        <v>3889</v>
      </c>
      <c r="B13265" s="2" t="s">
        <v>1030</v>
      </c>
      <c r="C13265" s="2">
        <v>715.20719999999994</v>
      </c>
      <c r="D13265" s="2">
        <f>HYPERLINK("http://mcb-m6.bioreg.kyushu-u.ac.jp/M3/20110428/F51127/1737/1", 95.76)</f>
        <v>95.76</v>
      </c>
      <c r="E13265" s="2">
        <v>72.87</v>
      </c>
      <c r="F13265" s="2">
        <v>2</v>
      </c>
      <c r="G13265" s="2" t="s">
        <v>13</v>
      </c>
    </row>
    <row r="13266" spans="1:7" x14ac:dyDescent="0.2">
      <c r="A13266" s="2" t="s">
        <v>3889</v>
      </c>
      <c r="B13266" s="2" t="s">
        <v>1030</v>
      </c>
      <c r="C13266" s="2">
        <v>715.18520000000001</v>
      </c>
      <c r="D13266" s="2">
        <f>HYPERLINK("http://mcb-m6.bioreg.kyushu-u.ac.jp/M3/20110427/F51115/1865/1", 103.67)</f>
        <v>103.67</v>
      </c>
      <c r="E13266" s="2">
        <v>79.22</v>
      </c>
      <c r="F13266" s="2">
        <v>2</v>
      </c>
      <c r="G13266" s="2" t="s">
        <v>13</v>
      </c>
    </row>
    <row r="13267" spans="1:7" x14ac:dyDescent="0.2">
      <c r="A13267" s="2" t="s">
        <v>3889</v>
      </c>
      <c r="B13267" s="2" t="s">
        <v>1030</v>
      </c>
      <c r="C13267" s="2">
        <v>715.14469999999994</v>
      </c>
      <c r="D13267" s="2">
        <f>HYPERLINK("http://mcb-m6.bioreg.kyushu-u.ac.jp/M3/20110428/F51130/1952/1", 64.22)</f>
        <v>64.22</v>
      </c>
      <c r="E13267" s="2">
        <v>41.46</v>
      </c>
      <c r="F13267" s="2">
        <v>2</v>
      </c>
      <c r="G13267" s="2" t="s">
        <v>14</v>
      </c>
    </row>
    <row r="13268" spans="1:7" x14ac:dyDescent="0.2">
      <c r="A13268" s="2" t="s">
        <v>3889</v>
      </c>
      <c r="B13268" s="2" t="s">
        <v>1030</v>
      </c>
      <c r="C13268" s="2">
        <v>715.17020000000002</v>
      </c>
      <c r="D13268" s="2">
        <f>HYPERLINK("http://mcb-m6.bioreg.kyushu-u.ac.jp/M3/20110428/F51126/1957/1", 69.3)</f>
        <v>69.3</v>
      </c>
      <c r="E13268" s="2">
        <v>41.61</v>
      </c>
      <c r="F13268" s="2">
        <v>2</v>
      </c>
      <c r="G13268" s="2" t="s">
        <v>14</v>
      </c>
    </row>
    <row r="13269" spans="1:7" x14ac:dyDescent="0.2">
      <c r="A13269" s="2" t="s">
        <v>3889</v>
      </c>
      <c r="B13269" s="2" t="s">
        <v>1030</v>
      </c>
      <c r="C13269" s="2">
        <v>715.20870000000002</v>
      </c>
      <c r="D13269" s="2">
        <f>HYPERLINK("http://mcb-m6.bioreg.kyushu-u.ac.jp/M3/20110427/F51123/1909/1", 78.08)</f>
        <v>78.08</v>
      </c>
      <c r="E13269" s="2">
        <v>52.67</v>
      </c>
      <c r="F13269" s="2">
        <v>2</v>
      </c>
      <c r="G13269" s="2" t="s">
        <v>14</v>
      </c>
    </row>
    <row r="13270" spans="1:7" x14ac:dyDescent="0.2">
      <c r="A13270" s="2" t="s">
        <v>3889</v>
      </c>
      <c r="B13270" s="2" t="s">
        <v>1030</v>
      </c>
      <c r="C13270" s="2">
        <v>715.72170000000006</v>
      </c>
      <c r="D13270" s="2">
        <f>HYPERLINK("http://mcb-m6.bioreg.kyushu-u.ac.jp/M3/20110427/F51125/1966/1", 84.61)</f>
        <v>84.61</v>
      </c>
      <c r="E13270" s="2">
        <v>61.38</v>
      </c>
      <c r="F13270" s="2">
        <v>2</v>
      </c>
      <c r="G13270" s="2" t="s">
        <v>14</v>
      </c>
    </row>
    <row r="13271" spans="1:7" x14ac:dyDescent="0.2">
      <c r="A13271" s="2" t="s">
        <v>3889</v>
      </c>
      <c r="B13271" s="2" t="s">
        <v>1030</v>
      </c>
      <c r="C13271" s="2">
        <v>715.73569999999995</v>
      </c>
      <c r="D13271" s="2">
        <f>HYPERLINK("http://mcb-m6.bioreg.kyushu-u.ac.jp/M3/20110427/F51123/1911/1", 85.63)</f>
        <v>85.63</v>
      </c>
      <c r="E13271" s="2">
        <v>63.98</v>
      </c>
      <c r="F13271" s="2">
        <v>2</v>
      </c>
      <c r="G13271" s="2" t="s">
        <v>14</v>
      </c>
    </row>
    <row r="13272" spans="1:7" x14ac:dyDescent="0.2">
      <c r="A13272" s="2" t="s">
        <v>3889</v>
      </c>
      <c r="B13272" s="2" t="s">
        <v>1030</v>
      </c>
      <c r="C13272" s="2">
        <v>715.12620000000004</v>
      </c>
      <c r="D13272" s="2">
        <f>HYPERLINK("http://mcb-m6.bioreg.kyushu-u.ac.jp/M3/20110427/F51125/1963/1", 95.44)</f>
        <v>95.44</v>
      </c>
      <c r="E13272" s="2">
        <v>71.09</v>
      </c>
      <c r="F13272" s="2">
        <v>2</v>
      </c>
      <c r="G13272" s="2" t="s">
        <v>14</v>
      </c>
    </row>
    <row r="13273" spans="1:7" x14ac:dyDescent="0.2">
      <c r="A13273" s="2" t="s">
        <v>3889</v>
      </c>
      <c r="B13273" s="2" t="s">
        <v>1030</v>
      </c>
      <c r="C13273" s="2">
        <v>715.21559999999999</v>
      </c>
      <c r="D13273" s="2">
        <f>HYPERLINK("http://mcb-m6.bioreg.kyushu-u.ac.jp/M3/20110427/F51124/1905/1", 96.22)</f>
        <v>96.22</v>
      </c>
      <c r="E13273" s="2">
        <v>66.69</v>
      </c>
      <c r="F13273" s="2">
        <v>2</v>
      </c>
      <c r="G13273" s="2" t="s">
        <v>14</v>
      </c>
    </row>
    <row r="13274" spans="1:7" x14ac:dyDescent="0.2">
      <c r="A13274" s="2" t="s">
        <v>3889</v>
      </c>
      <c r="B13274" s="2" t="s">
        <v>1030</v>
      </c>
      <c r="C13274" s="2">
        <v>715.25819999999999</v>
      </c>
      <c r="D13274" s="2">
        <f>HYPERLINK("http://mcb-m6.bioreg.kyushu-u.ac.jp/M3/20110428/F51129/1911/1", 99.96)</f>
        <v>99.96</v>
      </c>
      <c r="E13274" s="2">
        <v>72.790000000000006</v>
      </c>
      <c r="F13274" s="2">
        <v>2</v>
      </c>
      <c r="G13274" s="2" t="s">
        <v>14</v>
      </c>
    </row>
    <row r="13275" spans="1:7" x14ac:dyDescent="0.2">
      <c r="A13275" s="2" t="s">
        <v>3889</v>
      </c>
      <c r="B13275" s="2" t="s">
        <v>1030</v>
      </c>
      <c r="C13275" s="2">
        <v>715.15920000000006</v>
      </c>
      <c r="D13275" s="2">
        <f>HYPERLINK("http://mcb-m6.bioreg.kyushu-u.ac.jp/M3/20110428/F51128/1843/1", 103.65)</f>
        <v>103.65</v>
      </c>
      <c r="E13275" s="2">
        <v>82.17</v>
      </c>
      <c r="F13275" s="2">
        <v>2</v>
      </c>
      <c r="G13275" s="2" t="s">
        <v>14</v>
      </c>
    </row>
    <row r="13276" spans="1:7" x14ac:dyDescent="0.2">
      <c r="A13276" s="2" t="s">
        <v>3671</v>
      </c>
      <c r="B13276" s="2" t="s">
        <v>615</v>
      </c>
      <c r="C13276" s="2">
        <v>477.0711</v>
      </c>
      <c r="D13276" s="2">
        <f>HYPERLINK("http://mcb-m6.bioreg.kyushu-u.ac.jp/M3/20110404/F50753/1145/1", 35.64)</f>
        <v>35.64</v>
      </c>
      <c r="E13276" s="2">
        <v>12.12</v>
      </c>
      <c r="F13276" s="2">
        <v>2</v>
      </c>
      <c r="G13276" s="2" t="s">
        <v>9</v>
      </c>
    </row>
    <row r="13277" spans="1:7" x14ac:dyDescent="0.2">
      <c r="A13277" s="2" t="s">
        <v>3671</v>
      </c>
      <c r="B13277" s="2" t="s">
        <v>5953</v>
      </c>
      <c r="C13277" s="2">
        <v>1093.325</v>
      </c>
      <c r="D13277" s="2">
        <f>HYPERLINK("http://mcb-m6.bioreg.kyushu-u.ac.jp/M3/20110404/F50753/1333/1", 36.8)</f>
        <v>36.799999999999997</v>
      </c>
      <c r="E13277" s="2">
        <v>17.440000000000001</v>
      </c>
      <c r="F13277" s="2">
        <v>1</v>
      </c>
      <c r="G13277" s="2" t="s">
        <v>9</v>
      </c>
    </row>
    <row r="13278" spans="1:7" x14ac:dyDescent="0.2">
      <c r="A13278" s="2" t="s">
        <v>3671</v>
      </c>
      <c r="B13278" s="2" t="s">
        <v>5287</v>
      </c>
      <c r="C13278" s="2">
        <v>460.63760000000002</v>
      </c>
      <c r="D13278" s="2">
        <f>HYPERLINK("http://mcb-m6.bioreg.kyushu-u.ac.jp/M3/20110404/F50753/1087/1", 52.3)</f>
        <v>52.3</v>
      </c>
      <c r="E13278" s="2">
        <v>31.52</v>
      </c>
      <c r="F13278" s="2">
        <v>2</v>
      </c>
      <c r="G13278" s="2" t="s">
        <v>9</v>
      </c>
    </row>
    <row r="13279" spans="1:7" x14ac:dyDescent="0.2">
      <c r="A13279" s="2" t="s">
        <v>3671</v>
      </c>
      <c r="B13279" s="2" t="s">
        <v>1474</v>
      </c>
      <c r="C13279" s="2">
        <v>829.89919999999995</v>
      </c>
      <c r="D13279" s="2">
        <f>HYPERLINK("http://mcb-m6.bioreg.kyushu-u.ac.jp/M3/20110404/F50753/2355/1", 52.99)</f>
        <v>52.99</v>
      </c>
      <c r="E13279" s="2">
        <v>33.76</v>
      </c>
      <c r="F13279" s="2">
        <v>2</v>
      </c>
      <c r="G13279" s="2" t="s">
        <v>9</v>
      </c>
    </row>
    <row r="13280" spans="1:7" x14ac:dyDescent="0.2">
      <c r="A13280" s="2" t="s">
        <v>3671</v>
      </c>
      <c r="B13280" s="2" t="s">
        <v>1076</v>
      </c>
      <c r="C13280" s="2">
        <v>615.73969999999997</v>
      </c>
      <c r="D13280" s="2">
        <f>HYPERLINK("http://mcb-m6.bioreg.kyushu-u.ac.jp/M3/20110404/F50753/1561/1", 74.05)</f>
        <v>74.05</v>
      </c>
      <c r="E13280" s="2">
        <v>46.49</v>
      </c>
      <c r="F13280" s="2">
        <v>2</v>
      </c>
      <c r="G13280" s="2" t="s">
        <v>9</v>
      </c>
    </row>
    <row r="13281" spans="1:7" x14ac:dyDescent="0.2">
      <c r="A13281" s="2" t="s">
        <v>3671</v>
      </c>
      <c r="B13281" s="2" t="s">
        <v>1076</v>
      </c>
      <c r="C13281" s="2">
        <v>615.81820000000005</v>
      </c>
      <c r="D13281" s="2">
        <f>HYPERLINK("http://mcb-m6.bioreg.kyushu-u.ac.jp/M3/20110404/F50758/1512/1", 70.3)</f>
        <v>70.3</v>
      </c>
      <c r="E13281" s="2">
        <v>46.8</v>
      </c>
      <c r="F13281" s="2">
        <v>2</v>
      </c>
      <c r="G13281" s="2" t="s">
        <v>10</v>
      </c>
    </row>
    <row r="13282" spans="1:7" x14ac:dyDescent="0.2">
      <c r="A13282" s="2" t="s">
        <v>3671</v>
      </c>
      <c r="B13282" s="2" t="s">
        <v>5287</v>
      </c>
      <c r="C13282" s="2">
        <v>461.1216</v>
      </c>
      <c r="D13282" s="2">
        <f>HYPERLINK("http://mcb-m6.bioreg.kyushu-u.ac.jp/M3/20110421/F51017/745/1", 48.27)</f>
        <v>48.27</v>
      </c>
      <c r="E13282" s="2">
        <v>21.35</v>
      </c>
      <c r="F13282" s="2">
        <v>2</v>
      </c>
      <c r="G13282" s="2" t="s">
        <v>11</v>
      </c>
    </row>
    <row r="13283" spans="1:7" x14ac:dyDescent="0.2">
      <c r="A13283" s="2" t="s">
        <v>3627</v>
      </c>
      <c r="B13283" s="2" t="s">
        <v>540</v>
      </c>
      <c r="C13283" s="2">
        <v>1107.462</v>
      </c>
      <c r="D13283" s="2">
        <f>HYPERLINK("http://mcb-m6.bioreg.kyushu-u.ac.jp/M3/20110404/F50752/2971/1", 37.36)</f>
        <v>37.36</v>
      </c>
      <c r="E13283" s="2">
        <v>23.69</v>
      </c>
      <c r="F13283" s="2">
        <v>2</v>
      </c>
      <c r="G13283" s="2" t="s">
        <v>9</v>
      </c>
    </row>
    <row r="13284" spans="1:7" x14ac:dyDescent="0.2">
      <c r="A13284" s="2" t="s">
        <v>3627</v>
      </c>
      <c r="B13284" s="2" t="s">
        <v>540</v>
      </c>
      <c r="C13284" s="2">
        <v>1107.4259999999999</v>
      </c>
      <c r="D13284" s="2">
        <f>HYPERLINK("http://mcb-m6.bioreg.kyushu-u.ac.jp/M3/20110404/F50755/3258/1", 43.98)</f>
        <v>43.98</v>
      </c>
      <c r="E13284" s="2">
        <v>30.23</v>
      </c>
      <c r="F13284" s="2">
        <v>2</v>
      </c>
      <c r="G13284" s="2" t="s">
        <v>9</v>
      </c>
    </row>
    <row r="13285" spans="1:7" x14ac:dyDescent="0.2">
      <c r="A13285" s="2" t="s">
        <v>3627</v>
      </c>
      <c r="B13285" s="2" t="s">
        <v>540</v>
      </c>
      <c r="C13285" s="2">
        <v>1107.3399999999999</v>
      </c>
      <c r="D13285" s="2">
        <f>HYPERLINK("http://mcb-m6.bioreg.kyushu-u.ac.jp/M3/20110421/F51019/3071/1", 35.46)</f>
        <v>35.46</v>
      </c>
      <c r="E13285" s="2">
        <v>21.69</v>
      </c>
      <c r="F13285" s="2">
        <v>2</v>
      </c>
      <c r="G13285" s="2" t="s">
        <v>11</v>
      </c>
    </row>
    <row r="13286" spans="1:7" x14ac:dyDescent="0.2">
      <c r="A13286" s="2" t="s">
        <v>3627</v>
      </c>
      <c r="B13286" s="2" t="s">
        <v>540</v>
      </c>
      <c r="C13286" s="2">
        <v>1107.3910000000001</v>
      </c>
      <c r="D13286" s="2">
        <f>HYPERLINK("http://mcb-m6.bioreg.kyushu-u.ac.jp/M3/20110421/F51014/3052/1", 44.1)</f>
        <v>44.1</v>
      </c>
      <c r="E13286" s="2">
        <v>25.97</v>
      </c>
      <c r="F13286" s="2">
        <v>2</v>
      </c>
      <c r="G13286" s="2" t="s">
        <v>11</v>
      </c>
    </row>
    <row r="13287" spans="1:7" x14ac:dyDescent="0.2">
      <c r="A13287" s="2" t="s">
        <v>3627</v>
      </c>
      <c r="B13287" s="2" t="s">
        <v>540</v>
      </c>
      <c r="C13287" s="2">
        <v>1107.325</v>
      </c>
      <c r="D13287" s="2">
        <f>HYPERLINK("http://mcb-m6.bioreg.kyushu-u.ac.jp/M3/20110421/F51021/3660/1", 44.13)</f>
        <v>44.13</v>
      </c>
      <c r="E13287" s="2">
        <v>25.65</v>
      </c>
      <c r="F13287" s="2">
        <v>2</v>
      </c>
      <c r="G13287" s="2" t="s">
        <v>12</v>
      </c>
    </row>
    <row r="13288" spans="1:7" x14ac:dyDescent="0.2">
      <c r="A13288" s="2" t="s">
        <v>3627</v>
      </c>
      <c r="B13288" s="2" t="s">
        <v>540</v>
      </c>
      <c r="C13288" s="2">
        <v>1107.3219999999999</v>
      </c>
      <c r="D13288" s="2">
        <f>HYPERLINK("http://mcb-m6.bioreg.kyushu-u.ac.jp/M3/20110421/F51021/3659/1", 56.66)</f>
        <v>56.66</v>
      </c>
      <c r="E13288" s="2">
        <v>39.369999999999997</v>
      </c>
      <c r="F13288" s="2">
        <v>2</v>
      </c>
      <c r="G13288" s="2" t="s">
        <v>12</v>
      </c>
    </row>
    <row r="13289" spans="1:7" x14ac:dyDescent="0.2">
      <c r="A13289" s="2" t="s">
        <v>3627</v>
      </c>
      <c r="B13289" s="2" t="s">
        <v>540</v>
      </c>
      <c r="C13289" s="2">
        <v>1107.3330000000001</v>
      </c>
      <c r="D13289" s="2">
        <f>HYPERLINK("http://mcb-m6.bioreg.kyushu-u.ac.jp/M3/20110427/F51113/3118/1", 41.05)</f>
        <v>41.05</v>
      </c>
      <c r="E13289" s="2">
        <v>30.04</v>
      </c>
      <c r="F13289" s="2">
        <v>2</v>
      </c>
      <c r="G13289" s="2" t="s">
        <v>13</v>
      </c>
    </row>
    <row r="13290" spans="1:7" x14ac:dyDescent="0.2">
      <c r="A13290" s="2" t="s">
        <v>3627</v>
      </c>
      <c r="B13290" s="2" t="s">
        <v>540</v>
      </c>
      <c r="C13290" s="2">
        <v>1107.4100000000001</v>
      </c>
      <c r="D13290" s="2">
        <f>HYPERLINK("http://mcb-m6.bioreg.kyushu-u.ac.jp/M3/20110427/F51112/3272/1", 46.21)</f>
        <v>46.21</v>
      </c>
      <c r="E13290" s="2">
        <v>29.53</v>
      </c>
      <c r="F13290" s="2">
        <v>2</v>
      </c>
      <c r="G13290" s="2" t="s">
        <v>13</v>
      </c>
    </row>
    <row r="13291" spans="1:7" x14ac:dyDescent="0.2">
      <c r="A13291" s="2" t="s">
        <v>3627</v>
      </c>
      <c r="B13291" s="2" t="s">
        <v>540</v>
      </c>
      <c r="C13291" s="2">
        <v>1107.2819999999999</v>
      </c>
      <c r="D13291" s="2">
        <f>HYPERLINK("http://mcb-m6.bioreg.kyushu-u.ac.jp/M3/20110428/F51126/3160/1", 36.09)</f>
        <v>36.090000000000003</v>
      </c>
      <c r="E13291" s="2">
        <v>10.17</v>
      </c>
      <c r="F13291" s="2">
        <v>2</v>
      </c>
      <c r="G13291" s="2" t="s">
        <v>14</v>
      </c>
    </row>
    <row r="13292" spans="1:7" x14ac:dyDescent="0.2">
      <c r="A13292" s="2" t="s">
        <v>3627</v>
      </c>
      <c r="B13292" s="2" t="s">
        <v>540</v>
      </c>
      <c r="C13292" s="2">
        <v>1107.434</v>
      </c>
      <c r="D13292" s="2">
        <f>HYPERLINK("http://mcb-m6.bioreg.kyushu-u.ac.jp/M3/20110427/F51123/3367/1", 43.1)</f>
        <v>43.1</v>
      </c>
      <c r="E13292" s="2">
        <v>20.2</v>
      </c>
      <c r="F13292" s="2">
        <v>2</v>
      </c>
      <c r="G13292" s="2" t="s">
        <v>14</v>
      </c>
    </row>
    <row r="13293" spans="1:7" x14ac:dyDescent="0.2">
      <c r="A13293" s="2" t="s">
        <v>3627</v>
      </c>
      <c r="B13293" s="2" t="s">
        <v>540</v>
      </c>
      <c r="C13293" s="2">
        <v>1107.3109999999999</v>
      </c>
      <c r="D13293" s="2">
        <f>HYPERLINK("http://mcb-m6.bioreg.kyushu-u.ac.jp/M3/20110427/F51121/2821/1", 45.94)</f>
        <v>45.94</v>
      </c>
      <c r="E13293" s="2">
        <v>29.4</v>
      </c>
      <c r="F13293" s="2">
        <v>2</v>
      </c>
      <c r="G13293" s="2" t="s">
        <v>14</v>
      </c>
    </row>
    <row r="13294" spans="1:7" x14ac:dyDescent="0.2">
      <c r="A13294" s="2" t="s">
        <v>3627</v>
      </c>
      <c r="B13294" s="2" t="s">
        <v>540</v>
      </c>
      <c r="C13294" s="2">
        <v>1107.328</v>
      </c>
      <c r="D13294" s="2">
        <f>HYPERLINK("http://mcb-m6.bioreg.kyushu-u.ac.jp/M3/20110427/F51125/3142/1", 54.06)</f>
        <v>54.06</v>
      </c>
      <c r="E13294" s="2">
        <v>28.87</v>
      </c>
      <c r="F13294" s="2">
        <v>2</v>
      </c>
      <c r="G13294" s="2" t="s">
        <v>14</v>
      </c>
    </row>
    <row r="13295" spans="1:7" x14ac:dyDescent="0.2">
      <c r="A13295" s="2" t="s">
        <v>4531</v>
      </c>
      <c r="B13295" s="2" t="s">
        <v>7351</v>
      </c>
      <c r="C13295" s="2">
        <v>501.72359999999998</v>
      </c>
      <c r="D13295" s="2">
        <f>HYPERLINK("http://mcb-m6.bioreg.kyushu-u.ac.jp/M3/20110427/F51116/1031/1", 45.21)</f>
        <v>45.21</v>
      </c>
      <c r="E13295" s="2">
        <v>7.7</v>
      </c>
      <c r="F13295" s="2">
        <v>2</v>
      </c>
      <c r="G13295" s="2" t="s">
        <v>13</v>
      </c>
    </row>
    <row r="13296" spans="1:7" x14ac:dyDescent="0.2">
      <c r="A13296" s="2" t="s">
        <v>8110</v>
      </c>
      <c r="B13296" s="2" t="s">
        <v>7463</v>
      </c>
      <c r="C13296" s="2">
        <v>581.73170000000005</v>
      </c>
      <c r="D13296" s="2">
        <f>HYPERLINK("http://mcb-m6.bioreg.kyushu-u.ac.jp/M3/20110427/F51123/1356/1", 36.9)</f>
        <v>36.9</v>
      </c>
      <c r="E13296" s="2">
        <v>8.6</v>
      </c>
      <c r="F13296" s="2">
        <v>2</v>
      </c>
      <c r="G13296" s="2" t="s">
        <v>14</v>
      </c>
    </row>
    <row r="13297" spans="1:9" x14ac:dyDescent="0.2">
      <c r="A13297" s="2" t="s">
        <v>3839</v>
      </c>
      <c r="B13297" s="2" t="s">
        <v>923</v>
      </c>
      <c r="C13297" s="2">
        <v>957.81960000000004</v>
      </c>
      <c r="D13297" s="2">
        <f>HYPERLINK("http://mcb-m6.bioreg.kyushu-u.ac.jp/M3/20110421/F51044/2959/1", 72.49)</f>
        <v>72.489999999999995</v>
      </c>
      <c r="E13297" s="2">
        <v>61.29</v>
      </c>
      <c r="F13297" s="2">
        <v>2</v>
      </c>
      <c r="G13297" s="2" t="s">
        <v>12</v>
      </c>
    </row>
    <row r="13298" spans="1:9" x14ac:dyDescent="0.2">
      <c r="A13298" s="2" t="s">
        <v>3839</v>
      </c>
      <c r="B13298" s="2" t="s">
        <v>7370</v>
      </c>
      <c r="C13298" s="2">
        <v>658.04970000000003</v>
      </c>
      <c r="D13298" s="2">
        <f>HYPERLINK("http://mcb-m6.bioreg.kyushu-u.ac.jp/M3/20110427/F51114/1604/1", 48.52)</f>
        <v>48.52</v>
      </c>
      <c r="E13298" s="2">
        <v>29.33</v>
      </c>
      <c r="F13298" s="2">
        <v>2</v>
      </c>
      <c r="G13298" s="2" t="s">
        <v>13</v>
      </c>
      <c r="I13298" s="2" t="s">
        <v>8149</v>
      </c>
    </row>
    <row r="13299" spans="1:9" x14ac:dyDescent="0.2">
      <c r="A13299" s="2" t="s">
        <v>3839</v>
      </c>
      <c r="B13299" s="2" t="s">
        <v>923</v>
      </c>
      <c r="C13299" s="2">
        <v>957.66970000000003</v>
      </c>
      <c r="D13299" s="2">
        <f>HYPERLINK("http://mcb-m6.bioreg.kyushu-u.ac.jp/M3/20110427/F51114/3082/1", 81.01)</f>
        <v>81.010000000000005</v>
      </c>
      <c r="E13299" s="2">
        <v>66.38</v>
      </c>
      <c r="F13299" s="2">
        <v>2</v>
      </c>
      <c r="G13299" s="2" t="s">
        <v>13</v>
      </c>
    </row>
    <row r="13300" spans="1:9" x14ac:dyDescent="0.2">
      <c r="A13300" s="2" t="s">
        <v>3839</v>
      </c>
      <c r="B13300" s="2" t="s">
        <v>923</v>
      </c>
      <c r="C13300" s="2">
        <v>958.14760000000001</v>
      </c>
      <c r="D13300" s="2">
        <f>HYPERLINK("http://mcb-m6.bioreg.kyushu-u.ac.jp/M3/20110427/F51123/2960/1", 67.31)</f>
        <v>67.31</v>
      </c>
      <c r="E13300" s="2">
        <v>57.94</v>
      </c>
      <c r="F13300" s="2">
        <v>2</v>
      </c>
      <c r="G13300" s="2" t="s">
        <v>14</v>
      </c>
    </row>
    <row r="13301" spans="1:9" x14ac:dyDescent="0.2">
      <c r="A13301" s="2" t="s">
        <v>7685</v>
      </c>
      <c r="B13301" s="2" t="s">
        <v>6319</v>
      </c>
      <c r="C13301" s="2">
        <v>509.12509999999997</v>
      </c>
      <c r="D13301" s="2">
        <f>HYPERLINK("http://mcb-m6.bioreg.kyushu-u.ac.jp/M3/20110404/F50766/547/1", 52.9)</f>
        <v>52.9</v>
      </c>
      <c r="E13301" s="2">
        <v>24.52</v>
      </c>
      <c r="F13301" s="2">
        <v>2</v>
      </c>
      <c r="G13301" s="2" t="s">
        <v>9</v>
      </c>
      <c r="I13301" s="2" t="s">
        <v>4942</v>
      </c>
    </row>
    <row r="13302" spans="1:9" x14ac:dyDescent="0.2">
      <c r="A13302" s="2" t="s">
        <v>4124</v>
      </c>
      <c r="B13302" s="2" t="s">
        <v>1643</v>
      </c>
      <c r="C13302" s="2">
        <v>810.82569999999998</v>
      </c>
      <c r="D13302" s="2">
        <f>HYPERLINK("http://mcb-m6.bioreg.kyushu-u.ac.jp/M3/20110404/F50755/2291/1", 91.1)</f>
        <v>91.1</v>
      </c>
      <c r="E13302" s="2">
        <v>65.67</v>
      </c>
      <c r="F13302" s="2">
        <v>2</v>
      </c>
      <c r="G13302" s="2" t="s">
        <v>9</v>
      </c>
    </row>
    <row r="13303" spans="1:9" x14ac:dyDescent="0.2">
      <c r="A13303" s="2" t="s">
        <v>4124</v>
      </c>
      <c r="B13303" s="2" t="s">
        <v>1643</v>
      </c>
      <c r="C13303" s="2">
        <v>810.90620000000001</v>
      </c>
      <c r="D13303" s="2">
        <f>HYPERLINK("http://mcb-m6.bioreg.kyushu-u.ac.jp/M3/20110421/F51059/2130/1", 96.72)</f>
        <v>96.72</v>
      </c>
      <c r="E13303" s="2">
        <v>80.19</v>
      </c>
      <c r="F13303" s="2">
        <v>2</v>
      </c>
      <c r="G13303" s="2" t="s">
        <v>12</v>
      </c>
    </row>
    <row r="13304" spans="1:9" x14ac:dyDescent="0.2">
      <c r="A13304" s="2" t="s">
        <v>4124</v>
      </c>
      <c r="B13304" s="2" t="s">
        <v>1643</v>
      </c>
      <c r="C13304" s="2">
        <v>810.94619999999998</v>
      </c>
      <c r="D13304" s="2">
        <f>HYPERLINK("http://mcb-m6.bioreg.kyushu-u.ac.jp/M3/20110428/F51131/2198/1", 69.42)</f>
        <v>69.42</v>
      </c>
      <c r="E13304" s="2">
        <v>52.54</v>
      </c>
      <c r="F13304" s="2">
        <v>2</v>
      </c>
      <c r="G13304" s="2" t="s">
        <v>13</v>
      </c>
    </row>
    <row r="13305" spans="1:9" x14ac:dyDescent="0.2">
      <c r="A13305" s="2" t="s">
        <v>3484</v>
      </c>
      <c r="B13305" s="2" t="s">
        <v>534</v>
      </c>
      <c r="C13305" s="2">
        <v>730.75070000000005</v>
      </c>
      <c r="D13305" s="2">
        <f>HYPERLINK("http://mcb-m6.bioreg.kyushu-u.ac.jp/M3/20110404/F50755/1912/1", 69.21)</f>
        <v>69.209999999999994</v>
      </c>
      <c r="E13305" s="2">
        <v>46.85</v>
      </c>
      <c r="F13305" s="2">
        <v>2</v>
      </c>
      <c r="G13305" s="2" t="s">
        <v>9</v>
      </c>
    </row>
    <row r="13306" spans="1:9" x14ac:dyDescent="0.2">
      <c r="A13306" s="2" t="s">
        <v>3484</v>
      </c>
      <c r="B13306" s="2" t="s">
        <v>534</v>
      </c>
      <c r="C13306" s="2">
        <v>730.84770000000003</v>
      </c>
      <c r="D13306" s="2">
        <f>HYPERLINK("http://mcb-m6.bioreg.kyushu-u.ac.jp/M3/20110404/F50760/1822/1", 43.33)</f>
        <v>43.33</v>
      </c>
      <c r="E13306" s="2">
        <v>21.76</v>
      </c>
      <c r="F13306" s="2">
        <v>2</v>
      </c>
      <c r="G13306" s="2" t="s">
        <v>10</v>
      </c>
    </row>
    <row r="13307" spans="1:9" x14ac:dyDescent="0.2">
      <c r="A13307" s="2" t="s">
        <v>3484</v>
      </c>
      <c r="B13307" s="2" t="s">
        <v>534</v>
      </c>
      <c r="C13307" s="2">
        <v>730.84670000000006</v>
      </c>
      <c r="D13307" s="2">
        <f>HYPERLINK("http://mcb-m6.bioreg.kyushu-u.ac.jp/M3/20110427/F51113/1945/1", 66.65)</f>
        <v>66.650000000000006</v>
      </c>
      <c r="E13307" s="2">
        <v>42.49</v>
      </c>
      <c r="F13307" s="2">
        <v>2</v>
      </c>
      <c r="G13307" s="2" t="s">
        <v>13</v>
      </c>
    </row>
    <row r="13308" spans="1:9" x14ac:dyDescent="0.2">
      <c r="A13308" s="2" t="s">
        <v>3484</v>
      </c>
      <c r="B13308" s="2" t="s">
        <v>1204</v>
      </c>
      <c r="C13308" s="2">
        <v>661.19960000000003</v>
      </c>
      <c r="D13308" s="2">
        <f>HYPERLINK("http://mcb-m6.bioreg.kyushu-u.ac.jp/M3/20110428/F51135/1468/1", 37.82)</f>
        <v>37.82</v>
      </c>
      <c r="E13308" s="2">
        <v>17.350000000000001</v>
      </c>
      <c r="F13308" s="2">
        <v>2</v>
      </c>
      <c r="G13308" s="2" t="s">
        <v>14</v>
      </c>
    </row>
    <row r="13309" spans="1:9" x14ac:dyDescent="0.2">
      <c r="A13309" s="4" t="s">
        <v>3944</v>
      </c>
      <c r="B13309" s="2" t="s">
        <v>2074</v>
      </c>
      <c r="C13309" s="2">
        <v>775.56269999999995</v>
      </c>
      <c r="D13309" s="2">
        <f>HYPERLINK("http://mcb-m6.bioreg.kyushu-u.ac.jp/M3/20110404/F50753/2144/1", 65.74)</f>
        <v>65.739999999999995</v>
      </c>
      <c r="E13309" s="2">
        <v>40.86</v>
      </c>
      <c r="F13309" s="2">
        <v>2</v>
      </c>
      <c r="G13309" s="2" t="s">
        <v>9</v>
      </c>
      <c r="H13309" s="2" t="s">
        <v>4910</v>
      </c>
    </row>
    <row r="13310" spans="1:9" x14ac:dyDescent="0.2">
      <c r="A13310" s="4" t="s">
        <v>3944</v>
      </c>
      <c r="B13310" s="2" t="s">
        <v>1143</v>
      </c>
      <c r="C13310" s="2">
        <v>787.66309999999999</v>
      </c>
      <c r="D13310" s="2">
        <f>HYPERLINK("http://mcb-m6.bioreg.kyushu-u.ac.jp/M3/20110404/F50753/2195/1", 71.84)</f>
        <v>71.84</v>
      </c>
      <c r="E13310" s="2">
        <v>55.19</v>
      </c>
      <c r="F13310" s="2">
        <v>2</v>
      </c>
      <c r="G13310" s="2" t="s">
        <v>9</v>
      </c>
      <c r="H13310" s="2" t="s">
        <v>4904</v>
      </c>
    </row>
    <row r="13311" spans="1:9" x14ac:dyDescent="0.2">
      <c r="A13311" s="4" t="s">
        <v>3944</v>
      </c>
      <c r="B13311" s="2" t="s">
        <v>1143</v>
      </c>
      <c r="C13311" s="2">
        <v>1574.405</v>
      </c>
      <c r="D13311" s="2">
        <f>HYPERLINK("http://mcb-m6.bioreg.kyushu-u.ac.jp/M3/20110404/F50753/2196/1", 80.71)</f>
        <v>80.709999999999994</v>
      </c>
      <c r="E13311" s="2">
        <v>65.92</v>
      </c>
      <c r="F13311" s="2">
        <v>1</v>
      </c>
      <c r="G13311" s="2" t="s">
        <v>9</v>
      </c>
      <c r="H13311" s="2" t="s">
        <v>4904</v>
      </c>
    </row>
    <row r="13312" spans="1:9" x14ac:dyDescent="0.2">
      <c r="A13312" s="4" t="s">
        <v>3944</v>
      </c>
      <c r="B13312" s="2" t="s">
        <v>1143</v>
      </c>
      <c r="C13312" s="2">
        <v>796.7047</v>
      </c>
      <c r="D13312" s="2">
        <f>HYPERLINK("http://mcb-m6.bioreg.kyushu-u.ac.jp/M3/20110404/F50753/2231/1", 81.88)</f>
        <v>81.88</v>
      </c>
      <c r="E13312" s="2">
        <v>45.06</v>
      </c>
      <c r="F13312" s="2">
        <v>2</v>
      </c>
      <c r="G13312" s="2" t="s">
        <v>9</v>
      </c>
    </row>
    <row r="13313" spans="1:9" x14ac:dyDescent="0.2">
      <c r="A13313" s="4" t="s">
        <v>3944</v>
      </c>
      <c r="B13313" s="2" t="s">
        <v>1611</v>
      </c>
      <c r="C13313" s="2">
        <v>1121.701</v>
      </c>
      <c r="D13313" s="2">
        <f>HYPERLINK("http://mcb-m6.bioreg.kyushu-u.ac.jp/M3/20110404/F50753/3216/1", 112.03)</f>
        <v>112.03</v>
      </c>
      <c r="E13313" s="2">
        <v>96.54</v>
      </c>
      <c r="F13313" s="2">
        <v>2</v>
      </c>
      <c r="G13313" s="2" t="s">
        <v>9</v>
      </c>
      <c r="H13313" s="2" t="s">
        <v>4910</v>
      </c>
    </row>
    <row r="13314" spans="1:9" x14ac:dyDescent="0.2">
      <c r="A13314" s="4" t="s">
        <v>3944</v>
      </c>
      <c r="B13314" s="2" t="s">
        <v>1683</v>
      </c>
      <c r="C13314" s="2">
        <v>674.37459999999999</v>
      </c>
      <c r="D13314" s="2">
        <f>HYPERLINK("http://mcb-m6.bioreg.kyushu-u.ac.jp/M3/20110404/F50758/1646/1", 37.49)</f>
        <v>37.49</v>
      </c>
      <c r="E13314" s="2">
        <v>20.65</v>
      </c>
      <c r="F13314" s="2">
        <v>2</v>
      </c>
      <c r="G13314" s="2" t="s">
        <v>10</v>
      </c>
      <c r="I13314" s="2" t="s">
        <v>4903</v>
      </c>
    </row>
    <row r="13315" spans="1:9" x14ac:dyDescent="0.2">
      <c r="A13315" s="4" t="s">
        <v>3944</v>
      </c>
      <c r="B13315" s="2" t="s">
        <v>2074</v>
      </c>
      <c r="C13315" s="2">
        <v>1534.41</v>
      </c>
      <c r="D13315" s="2">
        <f>HYPERLINK("http://mcb-m6.bioreg.kyushu-u.ac.jp/M3/20110404/F50758/1998/1", 38.89)</f>
        <v>38.89</v>
      </c>
      <c r="E13315" s="2">
        <v>23.05</v>
      </c>
      <c r="F13315" s="2">
        <v>1</v>
      </c>
      <c r="G13315" s="2" t="s">
        <v>10</v>
      </c>
    </row>
    <row r="13316" spans="1:9" x14ac:dyDescent="0.2">
      <c r="A13316" s="4" t="s">
        <v>3944</v>
      </c>
      <c r="B13316" s="2" t="s">
        <v>6745</v>
      </c>
      <c r="C13316" s="2">
        <v>669.30470000000003</v>
      </c>
      <c r="D13316" s="2">
        <f>HYPERLINK("http://mcb-m6.bioreg.kyushu-u.ac.jp/M3/20110404/F50758/1634/1", 39.69)</f>
        <v>39.69</v>
      </c>
      <c r="E13316" s="2">
        <v>24.09</v>
      </c>
      <c r="F13316" s="2">
        <v>2</v>
      </c>
      <c r="G13316" s="2" t="s">
        <v>10</v>
      </c>
    </row>
    <row r="13317" spans="1:9" x14ac:dyDescent="0.2">
      <c r="A13317" s="4" t="s">
        <v>3944</v>
      </c>
      <c r="B13317" s="2" t="s">
        <v>2074</v>
      </c>
      <c r="C13317" s="2">
        <v>1551.4949999999999</v>
      </c>
      <c r="D13317" s="2">
        <f>HYPERLINK("http://mcb-m6.bioreg.kyushu-u.ac.jp/M3/20110404/F50758/2031/1", 40.36)</f>
        <v>40.36</v>
      </c>
      <c r="E13317" s="2">
        <v>32.4</v>
      </c>
      <c r="F13317" s="2">
        <v>1</v>
      </c>
      <c r="G13317" s="2" t="s">
        <v>10</v>
      </c>
      <c r="H13317" s="2" t="s">
        <v>4910</v>
      </c>
    </row>
    <row r="13318" spans="1:9" x14ac:dyDescent="0.2">
      <c r="A13318" s="4" t="s">
        <v>3944</v>
      </c>
      <c r="B13318" s="2" t="s">
        <v>1143</v>
      </c>
      <c r="C13318" s="2">
        <v>788.00319999999999</v>
      </c>
      <c r="D13318" s="2">
        <f>HYPERLINK("http://mcb-m6.bioreg.kyushu-u.ac.jp/M3/20110404/F50758/2075/1", 41.7)</f>
        <v>41.7</v>
      </c>
      <c r="E13318" s="2">
        <v>25.23</v>
      </c>
      <c r="F13318" s="2">
        <v>2</v>
      </c>
      <c r="G13318" s="2" t="s">
        <v>10</v>
      </c>
      <c r="H13318" s="2" t="s">
        <v>4904</v>
      </c>
    </row>
    <row r="13319" spans="1:9" x14ac:dyDescent="0.2">
      <c r="A13319" s="4" t="s">
        <v>3944</v>
      </c>
      <c r="B13319" s="2" t="s">
        <v>2074</v>
      </c>
      <c r="C13319" s="2">
        <v>776.3057</v>
      </c>
      <c r="D13319" s="2">
        <f>HYPERLINK("http://mcb-m6.bioreg.kyushu-u.ac.jp/M3/20110404/F50758/2032/1", 52.64)</f>
        <v>52.64</v>
      </c>
      <c r="E13319" s="2">
        <v>32.119999999999997</v>
      </c>
      <c r="F13319" s="2">
        <v>2</v>
      </c>
      <c r="G13319" s="2" t="s">
        <v>10</v>
      </c>
      <c r="H13319" s="2" t="s">
        <v>4910</v>
      </c>
    </row>
    <row r="13320" spans="1:9" x14ac:dyDescent="0.2">
      <c r="A13320" s="4" t="s">
        <v>3944</v>
      </c>
      <c r="B13320" s="2" t="s">
        <v>1143</v>
      </c>
      <c r="C13320" s="2">
        <v>796.79909999999995</v>
      </c>
      <c r="D13320" s="2">
        <f>HYPERLINK("http://mcb-m6.bioreg.kyushu-u.ac.jp/M3/20110404/F50758/2119/1", 60.84)</f>
        <v>60.84</v>
      </c>
      <c r="E13320" s="2">
        <v>34.19</v>
      </c>
      <c r="F13320" s="2">
        <v>2</v>
      </c>
      <c r="G13320" s="2" t="s">
        <v>10</v>
      </c>
    </row>
    <row r="13321" spans="1:9" x14ac:dyDescent="0.2">
      <c r="A13321" s="4" t="s">
        <v>3944</v>
      </c>
      <c r="B13321" s="2" t="s">
        <v>1143</v>
      </c>
      <c r="C13321" s="2">
        <v>1574.4780000000001</v>
      </c>
      <c r="D13321" s="2">
        <f>HYPERLINK("http://mcb-m6.bioreg.kyushu-u.ac.jp/M3/20110404/F50758/2074/1", 66.55)</f>
        <v>66.55</v>
      </c>
      <c r="E13321" s="2">
        <v>43.74</v>
      </c>
      <c r="F13321" s="2">
        <v>1</v>
      </c>
      <c r="G13321" s="2" t="s">
        <v>10</v>
      </c>
      <c r="H13321" s="2" t="s">
        <v>4904</v>
      </c>
    </row>
    <row r="13322" spans="1:9" x14ac:dyDescent="0.2">
      <c r="A13322" s="4" t="s">
        <v>3944</v>
      </c>
      <c r="B13322" s="2" t="s">
        <v>2074</v>
      </c>
      <c r="C13322" s="2">
        <v>776.1182</v>
      </c>
      <c r="D13322" s="2">
        <f>HYPERLINK("http://mcb-m6.bioreg.kyushu-u.ac.jp/M3/20110404/F50758/2030/1", 75.02)</f>
        <v>75.02</v>
      </c>
      <c r="E13322" s="2">
        <v>44.82</v>
      </c>
      <c r="F13322" s="2">
        <v>2</v>
      </c>
      <c r="G13322" s="2" t="s">
        <v>10</v>
      </c>
      <c r="H13322" s="2" t="s">
        <v>4910</v>
      </c>
    </row>
    <row r="13323" spans="1:9" x14ac:dyDescent="0.2">
      <c r="A13323" s="4" t="s">
        <v>3944</v>
      </c>
      <c r="B13323" s="2" t="s">
        <v>2074</v>
      </c>
      <c r="C13323" s="2">
        <v>775.9366</v>
      </c>
      <c r="D13323" s="2">
        <f>HYPERLINK("http://mcb-m6.bioreg.kyushu-u.ac.jp/M3/20110404/F50758/2029/1", 76.91)</f>
        <v>76.91</v>
      </c>
      <c r="E13323" s="2">
        <v>51.84</v>
      </c>
      <c r="F13323" s="2">
        <v>2</v>
      </c>
      <c r="G13323" s="2" t="s">
        <v>10</v>
      </c>
      <c r="H13323" s="2" t="s">
        <v>4910</v>
      </c>
    </row>
    <row r="13324" spans="1:9" x14ac:dyDescent="0.2">
      <c r="A13324" s="4" t="s">
        <v>3944</v>
      </c>
      <c r="B13324" s="2" t="s">
        <v>1143</v>
      </c>
      <c r="C13324" s="2">
        <v>796.28420000000006</v>
      </c>
      <c r="D13324" s="2">
        <f>HYPERLINK("http://mcb-m6.bioreg.kyushu-u.ac.jp/M3/20110404/F50758/2114/1", 99.44)</f>
        <v>99.44</v>
      </c>
      <c r="E13324" s="2">
        <v>80.709999999999994</v>
      </c>
      <c r="F13324" s="2">
        <v>2</v>
      </c>
      <c r="G13324" s="2" t="s">
        <v>10</v>
      </c>
    </row>
    <row r="13325" spans="1:9" x14ac:dyDescent="0.2">
      <c r="A13325" s="4" t="s">
        <v>3944</v>
      </c>
      <c r="B13325" s="2" t="s">
        <v>1611</v>
      </c>
      <c r="C13325" s="2">
        <v>1122.1220000000001</v>
      </c>
      <c r="D13325" s="2">
        <f>HYPERLINK("http://mcb-m6.bioreg.kyushu-u.ac.jp/M3/20110404/F50758/3002/1", 111.53)</f>
        <v>111.53</v>
      </c>
      <c r="E13325" s="2">
        <v>96.41</v>
      </c>
      <c r="F13325" s="2">
        <v>2</v>
      </c>
      <c r="G13325" s="2" t="s">
        <v>10</v>
      </c>
      <c r="H13325" s="2" t="s">
        <v>4910</v>
      </c>
    </row>
    <row r="13326" spans="1:9" x14ac:dyDescent="0.2">
      <c r="A13326" s="4" t="s">
        <v>3944</v>
      </c>
      <c r="B13326" s="2" t="s">
        <v>1611</v>
      </c>
      <c r="C13326" s="2">
        <v>1114.097</v>
      </c>
      <c r="D13326" s="2">
        <f>HYPERLINK("http://mcb-m6.bioreg.kyushu-u.ac.jp/M3/20110404/F50758/2971/1", 111.66)</f>
        <v>111.66</v>
      </c>
      <c r="E13326" s="2">
        <v>106.41</v>
      </c>
      <c r="F13326" s="2">
        <v>2</v>
      </c>
      <c r="G13326" s="2" t="s">
        <v>10</v>
      </c>
    </row>
    <row r="13327" spans="1:9" x14ac:dyDescent="0.2">
      <c r="A13327" s="4" t="s">
        <v>3944</v>
      </c>
      <c r="B13327" s="2" t="s">
        <v>1143</v>
      </c>
      <c r="C13327" s="2">
        <v>788.24720000000002</v>
      </c>
      <c r="D13327" s="2">
        <f>HYPERLINK("http://mcb-m6.bioreg.kyushu-u.ac.jp/M3/20110421/F51017/2297/1", 44.71)</f>
        <v>44.71</v>
      </c>
      <c r="E13327" s="2">
        <v>31.61</v>
      </c>
      <c r="F13327" s="2">
        <v>2</v>
      </c>
      <c r="G13327" s="2" t="s">
        <v>11</v>
      </c>
      <c r="H13327" s="2" t="s">
        <v>4904</v>
      </c>
    </row>
    <row r="13328" spans="1:9" x14ac:dyDescent="0.2">
      <c r="A13328" s="4" t="s">
        <v>3944</v>
      </c>
      <c r="B13328" s="2" t="s">
        <v>2074</v>
      </c>
      <c r="C13328" s="2">
        <v>776.08870000000002</v>
      </c>
      <c r="D13328" s="2">
        <f>HYPERLINK("http://mcb-m6.bioreg.kyushu-u.ac.jp/M3/20110421/F51019/2215/1", 47.75)</f>
        <v>47.75</v>
      </c>
      <c r="E13328" s="2">
        <v>30.02</v>
      </c>
      <c r="F13328" s="2">
        <v>2</v>
      </c>
      <c r="G13328" s="2" t="s">
        <v>11</v>
      </c>
      <c r="H13328" s="2" t="s">
        <v>4910</v>
      </c>
    </row>
    <row r="13329" spans="1:8" x14ac:dyDescent="0.2">
      <c r="A13329" s="4" t="s">
        <v>3944</v>
      </c>
      <c r="B13329" s="2" t="s">
        <v>1143</v>
      </c>
      <c r="C13329" s="2">
        <v>796.63459999999998</v>
      </c>
      <c r="D13329" s="2">
        <f>HYPERLINK("http://mcb-m6.bioreg.kyushu-u.ac.jp/M3/20110421/F51017/2350/1", 63.21)</f>
        <v>63.21</v>
      </c>
      <c r="E13329" s="2">
        <v>44.07</v>
      </c>
      <c r="F13329" s="2">
        <v>2</v>
      </c>
      <c r="G13329" s="2" t="s">
        <v>11</v>
      </c>
    </row>
    <row r="13330" spans="1:8" x14ac:dyDescent="0.2">
      <c r="A13330" s="4" t="s">
        <v>3944</v>
      </c>
      <c r="B13330" s="2" t="s">
        <v>2074</v>
      </c>
      <c r="C13330" s="2">
        <v>775.60969999999998</v>
      </c>
      <c r="D13330" s="2">
        <f>HYPERLINK("http://mcb-m6.bioreg.kyushu-u.ac.jp/M3/20110421/F51017/2218/1", 64.62)</f>
        <v>64.62</v>
      </c>
      <c r="E13330" s="2">
        <v>37.15</v>
      </c>
      <c r="F13330" s="2">
        <v>2</v>
      </c>
      <c r="G13330" s="2" t="s">
        <v>11</v>
      </c>
      <c r="H13330" s="2" t="s">
        <v>4910</v>
      </c>
    </row>
    <row r="13331" spans="1:8" x14ac:dyDescent="0.2">
      <c r="A13331" s="4" t="s">
        <v>3944</v>
      </c>
      <c r="B13331" s="2" t="s">
        <v>1143</v>
      </c>
      <c r="C13331" s="2">
        <v>1574.26</v>
      </c>
      <c r="D13331" s="2">
        <f>HYPERLINK("http://mcb-m6.bioreg.kyushu-u.ac.jp/M3/20110421/F51017/2294/1", 66.47)</f>
        <v>66.47</v>
      </c>
      <c r="E13331" s="2">
        <v>48.5</v>
      </c>
      <c r="F13331" s="2">
        <v>1</v>
      </c>
      <c r="G13331" s="2" t="s">
        <v>11</v>
      </c>
      <c r="H13331" s="2" t="s">
        <v>4904</v>
      </c>
    </row>
    <row r="13332" spans="1:8" x14ac:dyDescent="0.2">
      <c r="A13332" s="4" t="s">
        <v>3944</v>
      </c>
      <c r="B13332" s="2" t="s">
        <v>1143</v>
      </c>
      <c r="C13332" s="2">
        <v>796.88760000000002</v>
      </c>
      <c r="D13332" s="2">
        <f>HYPERLINK("http://mcb-m6.bioreg.kyushu-u.ac.jp/M3/20110421/F51016/2237/1", 82.07)</f>
        <v>82.07</v>
      </c>
      <c r="E13332" s="2">
        <v>48.47</v>
      </c>
      <c r="F13332" s="2">
        <v>2</v>
      </c>
      <c r="G13332" s="2" t="s">
        <v>11</v>
      </c>
    </row>
    <row r="13333" spans="1:8" x14ac:dyDescent="0.2">
      <c r="A13333" s="4" t="s">
        <v>3944</v>
      </c>
      <c r="B13333" s="2" t="s">
        <v>1143</v>
      </c>
      <c r="C13333" s="2">
        <v>795.93960000000004</v>
      </c>
      <c r="D13333" s="2">
        <f>HYPERLINK("http://mcb-m6.bioreg.kyushu-u.ac.jp/M3/20110421/F51017/2344/1", 95.79)</f>
        <v>95.79</v>
      </c>
      <c r="E13333" s="2">
        <v>68.45</v>
      </c>
      <c r="F13333" s="2">
        <v>2</v>
      </c>
      <c r="G13333" s="2" t="s">
        <v>11</v>
      </c>
    </row>
    <row r="13334" spans="1:8" x14ac:dyDescent="0.2">
      <c r="A13334" s="4" t="s">
        <v>3944</v>
      </c>
      <c r="B13334" s="2" t="s">
        <v>1143</v>
      </c>
      <c r="C13334" s="2">
        <v>796.74469999999997</v>
      </c>
      <c r="D13334" s="2">
        <f>HYPERLINK("http://mcb-m6.bioreg.kyushu-u.ac.jp/M3/20110421/F51017/2351/1", 96.71)</f>
        <v>96.71</v>
      </c>
      <c r="E13334" s="2">
        <v>60.17</v>
      </c>
      <c r="F13334" s="2">
        <v>2</v>
      </c>
      <c r="G13334" s="2" t="s">
        <v>11</v>
      </c>
    </row>
    <row r="13335" spans="1:8" x14ac:dyDescent="0.2">
      <c r="A13335" s="4" t="s">
        <v>3944</v>
      </c>
      <c r="B13335" s="2" t="s">
        <v>1143</v>
      </c>
      <c r="C13335" s="2">
        <v>788.04020000000003</v>
      </c>
      <c r="D13335" s="2">
        <f>HYPERLINK("http://mcb-m6.bioreg.kyushu-u.ac.jp/M3/20110421/F51023/2293/1", 37.9)</f>
        <v>37.9</v>
      </c>
      <c r="E13335" s="2">
        <v>26.28</v>
      </c>
      <c r="F13335" s="2">
        <v>2</v>
      </c>
      <c r="G13335" s="2" t="s">
        <v>12</v>
      </c>
      <c r="H13335" s="2" t="s">
        <v>4904</v>
      </c>
    </row>
    <row r="13336" spans="1:8" x14ac:dyDescent="0.2">
      <c r="A13336" s="4" t="s">
        <v>3944</v>
      </c>
      <c r="B13336" s="2" t="s">
        <v>1143</v>
      </c>
      <c r="C13336" s="2">
        <v>1574.5119999999999</v>
      </c>
      <c r="D13336" s="2">
        <f>HYPERLINK("http://mcb-m6.bioreg.kyushu-u.ac.jp/M3/20110421/F51023/2292/1", 60.8)</f>
        <v>60.8</v>
      </c>
      <c r="E13336" s="2">
        <v>43.33</v>
      </c>
      <c r="F13336" s="2">
        <v>1</v>
      </c>
      <c r="G13336" s="2" t="s">
        <v>12</v>
      </c>
      <c r="H13336" s="2" t="s">
        <v>4904</v>
      </c>
    </row>
    <row r="13337" spans="1:8" x14ac:dyDescent="0.2">
      <c r="A13337" s="4" t="s">
        <v>3944</v>
      </c>
      <c r="B13337" s="2" t="s">
        <v>2074</v>
      </c>
      <c r="C13337" s="2">
        <v>775.70209999999997</v>
      </c>
      <c r="D13337" s="2">
        <f>HYPERLINK("http://mcb-m6.bioreg.kyushu-u.ac.jp/M3/20110421/F51023/2244/1", 70.31)</f>
        <v>70.31</v>
      </c>
      <c r="E13337" s="2">
        <v>42.96</v>
      </c>
      <c r="F13337" s="2">
        <v>2</v>
      </c>
      <c r="G13337" s="2" t="s">
        <v>12</v>
      </c>
      <c r="H13337" s="2" t="s">
        <v>4910</v>
      </c>
    </row>
    <row r="13338" spans="1:8" x14ac:dyDescent="0.2">
      <c r="A13338" s="4" t="s">
        <v>3944</v>
      </c>
      <c r="B13338" s="2" t="s">
        <v>2074</v>
      </c>
      <c r="C13338" s="2">
        <v>776.09559999999999</v>
      </c>
      <c r="D13338" s="2">
        <f>HYPERLINK("http://mcb-m6.bioreg.kyushu-u.ac.jp/M3/20110421/F51024/2292/1", 76.83)</f>
        <v>76.83</v>
      </c>
      <c r="E13338" s="2">
        <v>51.46</v>
      </c>
      <c r="F13338" s="2">
        <v>2</v>
      </c>
      <c r="G13338" s="2" t="s">
        <v>12</v>
      </c>
      <c r="H13338" s="2" t="s">
        <v>4910</v>
      </c>
    </row>
    <row r="13339" spans="1:8" x14ac:dyDescent="0.2">
      <c r="A13339" s="4" t="s">
        <v>3944</v>
      </c>
      <c r="B13339" s="2" t="s">
        <v>1143</v>
      </c>
      <c r="C13339" s="2">
        <v>796.82759999999996</v>
      </c>
      <c r="D13339" s="2">
        <f>HYPERLINK("http://mcb-m6.bioreg.kyushu-u.ac.jp/M3/20110421/F51023/2334/1", 77.3)</f>
        <v>77.3</v>
      </c>
      <c r="E13339" s="2">
        <v>49.45</v>
      </c>
      <c r="F13339" s="2">
        <v>2</v>
      </c>
      <c r="G13339" s="2" t="s">
        <v>12</v>
      </c>
    </row>
    <row r="13340" spans="1:8" x14ac:dyDescent="0.2">
      <c r="A13340" s="4" t="s">
        <v>3944</v>
      </c>
      <c r="B13340" s="2" t="s">
        <v>1143</v>
      </c>
      <c r="C13340" s="2">
        <v>796.8066</v>
      </c>
      <c r="D13340" s="2">
        <f>HYPERLINK("http://mcb-m6.bioreg.kyushu-u.ac.jp/M3/20110421/F51024/2370/1", 87.77)</f>
        <v>87.77</v>
      </c>
      <c r="E13340" s="2">
        <v>61.6</v>
      </c>
      <c r="F13340" s="2">
        <v>2</v>
      </c>
      <c r="G13340" s="2" t="s">
        <v>12</v>
      </c>
    </row>
    <row r="13341" spans="1:8" x14ac:dyDescent="0.2">
      <c r="A13341" s="4" t="s">
        <v>3944</v>
      </c>
      <c r="B13341" s="2" t="s">
        <v>1143</v>
      </c>
      <c r="C13341" s="2">
        <v>796.26620000000003</v>
      </c>
      <c r="D13341" s="2">
        <f>HYPERLINK("http://mcb-m6.bioreg.kyushu-u.ac.jp/M3/20110421/F51023/2331/1", 94.36)</f>
        <v>94.36</v>
      </c>
      <c r="E13341" s="2">
        <v>74.86</v>
      </c>
      <c r="F13341" s="2">
        <v>2</v>
      </c>
      <c r="G13341" s="2" t="s">
        <v>12</v>
      </c>
    </row>
    <row r="13342" spans="1:8" x14ac:dyDescent="0.2">
      <c r="A13342" s="4" t="s">
        <v>3944</v>
      </c>
      <c r="B13342" s="2" t="s">
        <v>2074</v>
      </c>
      <c r="C13342" s="2">
        <v>768.12220000000002</v>
      </c>
      <c r="D13342" s="2">
        <f>HYPERLINK("http://mcb-m6.bioreg.kyushu-u.ac.jp/M3/20110421/F51023/2224/1", 98.64)</f>
        <v>98.64</v>
      </c>
      <c r="E13342" s="2">
        <v>69.709999999999994</v>
      </c>
      <c r="F13342" s="2">
        <v>2</v>
      </c>
      <c r="G13342" s="2" t="s">
        <v>12</v>
      </c>
    </row>
    <row r="13343" spans="1:8" x14ac:dyDescent="0.2">
      <c r="A13343" s="4" t="s">
        <v>3944</v>
      </c>
      <c r="B13343" s="2" t="s">
        <v>1611</v>
      </c>
      <c r="C13343" s="2">
        <v>1122.4179999999999</v>
      </c>
      <c r="D13343" s="2">
        <f>HYPERLINK("http://mcb-m6.bioreg.kyushu-u.ac.jp/M3/20110421/F51023/3027/1", 105.33)</f>
        <v>105.33</v>
      </c>
      <c r="E13343" s="2">
        <v>97.12</v>
      </c>
      <c r="F13343" s="2">
        <v>2</v>
      </c>
      <c r="G13343" s="2" t="s">
        <v>12</v>
      </c>
      <c r="H13343" s="2" t="s">
        <v>4910</v>
      </c>
    </row>
    <row r="13344" spans="1:8" x14ac:dyDescent="0.2">
      <c r="A13344" s="4" t="s">
        <v>3944</v>
      </c>
      <c r="B13344" s="2" t="s">
        <v>1143</v>
      </c>
      <c r="C13344" s="2">
        <v>788.14509999999996</v>
      </c>
      <c r="D13344" s="2">
        <f>HYPERLINK("http://mcb-m6.bioreg.kyushu-u.ac.jp/M3/20110421/F51023/2294/1", 106.89)</f>
        <v>106.89</v>
      </c>
      <c r="E13344" s="2">
        <v>84.88</v>
      </c>
      <c r="F13344" s="2">
        <v>2</v>
      </c>
      <c r="G13344" s="2" t="s">
        <v>12</v>
      </c>
      <c r="H13344" s="2" t="s">
        <v>4904</v>
      </c>
    </row>
    <row r="13345" spans="1:9" x14ac:dyDescent="0.2">
      <c r="A13345" s="4" t="s">
        <v>3944</v>
      </c>
      <c r="B13345" s="2" t="s">
        <v>1683</v>
      </c>
      <c r="C13345" s="2">
        <v>450.15519999999998</v>
      </c>
      <c r="D13345" s="2">
        <f>HYPERLINK("http://mcb-m6.bioreg.kyushu-u.ac.jp/M3/20110427/F51113/1657/1", 39.49)</f>
        <v>39.49</v>
      </c>
      <c r="E13345" s="2">
        <v>22.01</v>
      </c>
      <c r="F13345" s="2">
        <v>3</v>
      </c>
      <c r="G13345" s="2" t="s">
        <v>13</v>
      </c>
      <c r="I13345" s="2" t="s">
        <v>4903</v>
      </c>
    </row>
    <row r="13346" spans="1:9" x14ac:dyDescent="0.2">
      <c r="A13346" s="4" t="s">
        <v>3944</v>
      </c>
      <c r="B13346" s="2" t="s">
        <v>1143</v>
      </c>
      <c r="C13346" s="2">
        <v>796.85419999999999</v>
      </c>
      <c r="D13346" s="2">
        <f>HYPERLINK("http://mcb-m6.bioreg.kyushu-u.ac.jp/M3/20110427/F51111/2431/1", 40.59)</f>
        <v>40.590000000000003</v>
      </c>
      <c r="E13346" s="2">
        <v>24.56</v>
      </c>
      <c r="F13346" s="2">
        <v>2</v>
      </c>
      <c r="G13346" s="2" t="s">
        <v>13</v>
      </c>
    </row>
    <row r="13347" spans="1:9" x14ac:dyDescent="0.2">
      <c r="A13347" s="4" t="s">
        <v>3944</v>
      </c>
      <c r="B13347" s="2" t="s">
        <v>1143</v>
      </c>
      <c r="C13347" s="2">
        <v>796.75819999999999</v>
      </c>
      <c r="D13347" s="2">
        <f>HYPERLINK("http://mcb-m6.bioreg.kyushu-u.ac.jp/M3/20110427/F51111/2430/1", 67.45)</f>
        <v>67.45</v>
      </c>
      <c r="E13347" s="2">
        <v>25.22</v>
      </c>
      <c r="F13347" s="2">
        <v>2</v>
      </c>
      <c r="G13347" s="2" t="s">
        <v>13</v>
      </c>
    </row>
    <row r="13348" spans="1:9" x14ac:dyDescent="0.2">
      <c r="A13348" s="4" t="s">
        <v>3944</v>
      </c>
      <c r="B13348" s="2" t="s">
        <v>2074</v>
      </c>
      <c r="C13348" s="2">
        <v>776.26070000000004</v>
      </c>
      <c r="D13348" s="2">
        <f>HYPERLINK("http://mcb-m6.bioreg.kyushu-u.ac.jp/M3/20110427/F51111/2300/1", 71.86)</f>
        <v>71.86</v>
      </c>
      <c r="E13348" s="2">
        <v>39.07</v>
      </c>
      <c r="F13348" s="2">
        <v>2</v>
      </c>
      <c r="G13348" s="2" t="s">
        <v>13</v>
      </c>
      <c r="H13348" s="2" t="s">
        <v>4910</v>
      </c>
    </row>
    <row r="13349" spans="1:9" x14ac:dyDescent="0.2">
      <c r="A13349" s="4" t="s">
        <v>3944</v>
      </c>
      <c r="B13349" s="2" t="s">
        <v>1143</v>
      </c>
      <c r="C13349" s="2">
        <v>796.72270000000003</v>
      </c>
      <c r="D13349" s="2">
        <f>HYPERLINK("http://mcb-m6.bioreg.kyushu-u.ac.jp/M3/20110427/F51112/2363/1", 78.43)</f>
        <v>78.430000000000007</v>
      </c>
      <c r="E13349" s="2">
        <v>56.98</v>
      </c>
      <c r="F13349" s="2">
        <v>2</v>
      </c>
      <c r="G13349" s="2" t="s">
        <v>13</v>
      </c>
    </row>
    <row r="13350" spans="1:9" x14ac:dyDescent="0.2">
      <c r="A13350" s="4" t="s">
        <v>3944</v>
      </c>
      <c r="B13350" s="2" t="s">
        <v>2074</v>
      </c>
      <c r="C13350" s="2">
        <v>775.63170000000002</v>
      </c>
      <c r="D13350" s="2">
        <f>HYPERLINK("http://mcb-m6.bioreg.kyushu-u.ac.jp/M3/20110427/F51111/2296/1", 78.97)</f>
        <v>78.97</v>
      </c>
      <c r="E13350" s="2">
        <v>57.85</v>
      </c>
      <c r="F13350" s="2">
        <v>2</v>
      </c>
      <c r="G13350" s="2" t="s">
        <v>13</v>
      </c>
      <c r="H13350" s="2" t="s">
        <v>4910</v>
      </c>
    </row>
    <row r="13351" spans="1:9" x14ac:dyDescent="0.2">
      <c r="A13351" s="4" t="s">
        <v>3944</v>
      </c>
      <c r="B13351" s="2" t="s">
        <v>1143</v>
      </c>
      <c r="C13351" s="2">
        <v>796.53610000000003</v>
      </c>
      <c r="D13351" s="2">
        <f>HYPERLINK("http://mcb-m6.bioreg.kyushu-u.ac.jp/M3/20110427/F51111/2428/1", 85.05)</f>
        <v>85.05</v>
      </c>
      <c r="E13351" s="2">
        <v>54.93</v>
      </c>
      <c r="F13351" s="2">
        <v>2</v>
      </c>
      <c r="G13351" s="2" t="s">
        <v>13</v>
      </c>
    </row>
    <row r="13352" spans="1:9" x14ac:dyDescent="0.2">
      <c r="A13352" s="4" t="s">
        <v>3944</v>
      </c>
      <c r="B13352" s="2" t="s">
        <v>1143</v>
      </c>
      <c r="C13352" s="2">
        <v>796.74069999999995</v>
      </c>
      <c r="D13352" s="2">
        <f>HYPERLINK("http://mcb-m6.bioreg.kyushu-u.ac.jp/M3/20110427/F51120/2305/1", 53.19)</f>
        <v>53.19</v>
      </c>
      <c r="E13352" s="2">
        <v>33.35</v>
      </c>
      <c r="F13352" s="2">
        <v>2</v>
      </c>
      <c r="G13352" s="2" t="s">
        <v>14</v>
      </c>
    </row>
    <row r="13353" spans="1:9" x14ac:dyDescent="0.2">
      <c r="A13353" s="4" t="s">
        <v>3944</v>
      </c>
      <c r="B13353" s="2" t="s">
        <v>1143</v>
      </c>
      <c r="C13353" s="2">
        <v>796.60609999999997</v>
      </c>
      <c r="D13353" s="2">
        <f>HYPERLINK("http://mcb-m6.bioreg.kyushu-u.ac.jp/M3/20110427/F51120/2303/1", 53.88)</f>
        <v>53.88</v>
      </c>
      <c r="E13353" s="2">
        <v>24.55</v>
      </c>
      <c r="F13353" s="2">
        <v>2</v>
      </c>
      <c r="G13353" s="2" t="s">
        <v>14</v>
      </c>
    </row>
    <row r="13354" spans="1:9" x14ac:dyDescent="0.2">
      <c r="A13354" s="4" t="s">
        <v>3944</v>
      </c>
      <c r="B13354" s="2" t="s">
        <v>1143</v>
      </c>
      <c r="C13354" s="2">
        <v>788.17970000000003</v>
      </c>
      <c r="D13354" s="2">
        <f>HYPERLINK("http://mcb-m6.bioreg.kyushu-u.ac.jp/M3/20110427/F51120/2264/1", 57.27)</f>
        <v>57.27</v>
      </c>
      <c r="E13354" s="2">
        <v>33.53</v>
      </c>
      <c r="F13354" s="2">
        <v>2</v>
      </c>
      <c r="G13354" s="2" t="s">
        <v>14</v>
      </c>
      <c r="H13354" s="2" t="s">
        <v>4904</v>
      </c>
    </row>
    <row r="13355" spans="1:9" x14ac:dyDescent="0.2">
      <c r="A13355" s="4" t="s">
        <v>3944</v>
      </c>
      <c r="B13355" s="2" t="s">
        <v>1143</v>
      </c>
      <c r="C13355" s="2">
        <v>796.85770000000002</v>
      </c>
      <c r="D13355" s="2">
        <f>HYPERLINK("http://mcb-m6.bioreg.kyushu-u.ac.jp/M3/20110427/F51124/2281/1", 57.43)</f>
        <v>57.43</v>
      </c>
      <c r="E13355" s="2">
        <v>34.770000000000003</v>
      </c>
      <c r="F13355" s="2">
        <v>2</v>
      </c>
      <c r="G13355" s="2" t="s">
        <v>14</v>
      </c>
    </row>
    <row r="13356" spans="1:9" x14ac:dyDescent="0.2">
      <c r="A13356" s="4" t="s">
        <v>3944</v>
      </c>
      <c r="B13356" s="2" t="s">
        <v>1143</v>
      </c>
      <c r="C13356" s="2">
        <v>796.19169999999997</v>
      </c>
      <c r="D13356" s="2">
        <f>HYPERLINK("http://mcb-m6.bioreg.kyushu-u.ac.jp/M3/20110427/F51120/2300/1", 59.15)</f>
        <v>59.15</v>
      </c>
      <c r="E13356" s="2">
        <v>26.99</v>
      </c>
      <c r="F13356" s="2">
        <v>2</v>
      </c>
      <c r="G13356" s="2" t="s">
        <v>14</v>
      </c>
    </row>
    <row r="13357" spans="1:9" x14ac:dyDescent="0.2">
      <c r="A13357" s="4" t="s">
        <v>3944</v>
      </c>
      <c r="B13357" s="2" t="s">
        <v>1143</v>
      </c>
      <c r="C13357" s="2">
        <v>1574.4280000000001</v>
      </c>
      <c r="D13357" s="2">
        <f>HYPERLINK("http://mcb-m6.bioreg.kyushu-u.ac.jp/M3/20110427/F51120/2260/1", 65.13)</f>
        <v>65.13</v>
      </c>
      <c r="E13357" s="2">
        <v>51.56</v>
      </c>
      <c r="F13357" s="2">
        <v>1</v>
      </c>
      <c r="G13357" s="2" t="s">
        <v>14</v>
      </c>
      <c r="H13357" s="2" t="s">
        <v>4904</v>
      </c>
    </row>
    <row r="13358" spans="1:9" x14ac:dyDescent="0.2">
      <c r="A13358" s="4" t="s">
        <v>3944</v>
      </c>
      <c r="B13358" s="2" t="s">
        <v>1143</v>
      </c>
      <c r="C13358" s="2">
        <v>796.69920000000002</v>
      </c>
      <c r="D13358" s="2">
        <f>HYPERLINK("http://mcb-m6.bioreg.kyushu-u.ac.jp/M3/20110427/F51121/2204/1", 67.21)</f>
        <v>67.209999999999994</v>
      </c>
      <c r="E13358" s="2">
        <v>41.57</v>
      </c>
      <c r="F13358" s="2">
        <v>2</v>
      </c>
      <c r="G13358" s="2" t="s">
        <v>14</v>
      </c>
    </row>
    <row r="13359" spans="1:9" x14ac:dyDescent="0.2">
      <c r="A13359" s="4" t="s">
        <v>3944</v>
      </c>
      <c r="B13359" s="2" t="s">
        <v>1143</v>
      </c>
      <c r="C13359" s="2">
        <v>796.76070000000004</v>
      </c>
      <c r="D13359" s="2">
        <f>HYPERLINK("http://mcb-m6.bioreg.kyushu-u.ac.jp/M3/20110427/F51120/2306/1", 73.25)</f>
        <v>73.25</v>
      </c>
      <c r="E13359" s="2">
        <v>34.9</v>
      </c>
      <c r="F13359" s="2">
        <v>2</v>
      </c>
      <c r="G13359" s="2" t="s">
        <v>14</v>
      </c>
    </row>
    <row r="13360" spans="1:9" x14ac:dyDescent="0.2">
      <c r="A13360" s="4" t="s">
        <v>3944</v>
      </c>
      <c r="B13360" s="2" t="s">
        <v>1143</v>
      </c>
      <c r="C13360" s="2">
        <v>788.07709999999997</v>
      </c>
      <c r="D13360" s="2">
        <f>HYPERLINK("http://mcb-m6.bioreg.kyushu-u.ac.jp/M3/20110427/F51120/2262/1", 76.37)</f>
        <v>76.37</v>
      </c>
      <c r="E13360" s="2">
        <v>60.44</v>
      </c>
      <c r="F13360" s="2">
        <v>2</v>
      </c>
      <c r="G13360" s="2" t="s">
        <v>14</v>
      </c>
      <c r="H13360" s="2" t="s">
        <v>4904</v>
      </c>
    </row>
    <row r="13361" spans="1:9" x14ac:dyDescent="0.2">
      <c r="A13361" s="4" t="s">
        <v>3944</v>
      </c>
      <c r="B13361" s="2" t="s">
        <v>1143</v>
      </c>
      <c r="C13361" s="2">
        <v>796.19870000000003</v>
      </c>
      <c r="D13361" s="2">
        <f>HYPERLINK("http://mcb-m6.bioreg.kyushu-u.ac.jp/M3/20110427/F51120/2301/1", 104.01)</f>
        <v>104.01</v>
      </c>
      <c r="E13361" s="2">
        <v>78.989999999999995</v>
      </c>
      <c r="F13361" s="2">
        <v>2</v>
      </c>
      <c r="G13361" s="2" t="s">
        <v>14</v>
      </c>
    </row>
    <row r="13362" spans="1:9" x14ac:dyDescent="0.2">
      <c r="A13362" s="4" t="s">
        <v>5701</v>
      </c>
      <c r="B13362" s="2" t="s">
        <v>5237</v>
      </c>
      <c r="C13362" s="2">
        <v>463.95659999999998</v>
      </c>
      <c r="D13362" s="2">
        <f>HYPERLINK("http://mcb-m6.bioreg.kyushu-u.ac.jp/M3/20110421/F51023/1107/1", 37.93)</f>
        <v>37.93</v>
      </c>
      <c r="E13362" s="2">
        <v>26.23</v>
      </c>
      <c r="F13362" s="2">
        <v>2</v>
      </c>
      <c r="G13362" s="2" t="s">
        <v>12</v>
      </c>
      <c r="I13362" s="2" t="s">
        <v>4892</v>
      </c>
    </row>
    <row r="13363" spans="1:9" x14ac:dyDescent="0.2">
      <c r="A13363" s="4" t="s">
        <v>5701</v>
      </c>
      <c r="B13363" s="2" t="s">
        <v>5237</v>
      </c>
      <c r="C13363" s="2">
        <v>464.05110000000002</v>
      </c>
      <c r="D13363" s="2">
        <f>HYPERLINK("http://mcb-m6.bioreg.kyushu-u.ac.jp/M3/20110427/F51120/1180/1", 42.84)</f>
        <v>42.84</v>
      </c>
      <c r="E13363" s="2">
        <v>29.51</v>
      </c>
      <c r="F13363" s="2">
        <v>2</v>
      </c>
      <c r="G13363" s="2" t="s">
        <v>14</v>
      </c>
      <c r="I13363" s="2" t="s">
        <v>4892</v>
      </c>
    </row>
    <row r="13364" spans="1:9" x14ac:dyDescent="0.2">
      <c r="A13364" s="2" t="s">
        <v>3289</v>
      </c>
      <c r="B13364" s="2" t="s">
        <v>6708</v>
      </c>
      <c r="C13364" s="2">
        <v>796.04819999999995</v>
      </c>
      <c r="D13364" s="2">
        <f>HYPERLINK("http://mcb-m6.bioreg.kyushu-u.ac.jp/M3/20110404/F50772/2171/1", 37.12)</f>
        <v>37.119999999999997</v>
      </c>
      <c r="E13364" s="2">
        <v>17.739999999999998</v>
      </c>
      <c r="F13364" s="2">
        <v>2</v>
      </c>
      <c r="G13364" s="2" t="s">
        <v>10</v>
      </c>
    </row>
    <row r="13365" spans="1:9" x14ac:dyDescent="0.2">
      <c r="A13365" s="2" t="s">
        <v>3289</v>
      </c>
      <c r="B13365" s="2" t="s">
        <v>69</v>
      </c>
      <c r="C13365" s="2">
        <v>724.26620000000003</v>
      </c>
      <c r="D13365" s="2">
        <f>HYPERLINK("http://mcb-m6.bioreg.kyushu-u.ac.jp/M3/20110427/F51116/1966/1", 61.3)</f>
        <v>61.3</v>
      </c>
      <c r="E13365" s="2">
        <v>49.11</v>
      </c>
      <c r="F13365" s="2">
        <v>2</v>
      </c>
      <c r="G13365" s="2" t="s">
        <v>13</v>
      </c>
    </row>
    <row r="13366" spans="1:9" x14ac:dyDescent="0.2">
      <c r="A13366" s="2" t="s">
        <v>7662</v>
      </c>
      <c r="B13366" s="2" t="s">
        <v>6257</v>
      </c>
      <c r="C13366" s="2">
        <v>942.91060000000004</v>
      </c>
      <c r="D13366" s="2">
        <f>HYPERLINK("http://mcb-m6.bioreg.kyushu-u.ac.jp/M3/20110404/F50756/2871/1", 49.64)</f>
        <v>49.64</v>
      </c>
      <c r="E13366" s="2">
        <v>38.96</v>
      </c>
      <c r="F13366" s="2">
        <v>2</v>
      </c>
      <c r="G13366" s="2" t="s">
        <v>9</v>
      </c>
    </row>
    <row r="13367" spans="1:9" x14ac:dyDescent="0.2">
      <c r="A13367" s="2" t="s">
        <v>7662</v>
      </c>
      <c r="B13367" s="2" t="s">
        <v>6257</v>
      </c>
      <c r="C13367" s="2">
        <v>942.54359999999997</v>
      </c>
      <c r="D13367" s="2">
        <f>HYPERLINK("http://mcb-m6.bioreg.kyushu-u.ac.jp/M3/20110404/F50751/2516/1", 64.05)</f>
        <v>64.05</v>
      </c>
      <c r="E13367" s="2">
        <v>48.21</v>
      </c>
      <c r="F13367" s="2">
        <v>2</v>
      </c>
      <c r="G13367" s="2" t="s">
        <v>9</v>
      </c>
    </row>
    <row r="13368" spans="1:9" x14ac:dyDescent="0.2">
      <c r="A13368" s="2" t="s">
        <v>7662</v>
      </c>
      <c r="B13368" s="2" t="s">
        <v>6257</v>
      </c>
      <c r="C13368" s="2">
        <v>942.67359999999996</v>
      </c>
      <c r="D13368" s="2">
        <f>HYPERLINK("http://mcb-m6.bioreg.kyushu-u.ac.jp/M3/20110404/F50753/2747/1", 64.2)</f>
        <v>64.2</v>
      </c>
      <c r="E13368" s="2">
        <v>44.75</v>
      </c>
      <c r="F13368" s="2">
        <v>2</v>
      </c>
      <c r="G13368" s="2" t="s">
        <v>9</v>
      </c>
    </row>
    <row r="13369" spans="1:9" x14ac:dyDescent="0.2">
      <c r="A13369" s="2" t="s">
        <v>4810</v>
      </c>
      <c r="B13369" s="2" t="s">
        <v>6534</v>
      </c>
      <c r="C13369" s="2">
        <v>818.97919999999999</v>
      </c>
      <c r="D13369" s="2">
        <f>HYPERLINK("http://mcb-m6.bioreg.kyushu-u.ac.jp/M3/20110404/F50763/2213/1", 76.25)</f>
        <v>76.25</v>
      </c>
      <c r="E13369" s="2">
        <v>61.88</v>
      </c>
      <c r="F13369" s="2">
        <v>2</v>
      </c>
      <c r="G13369" s="2" t="s">
        <v>9</v>
      </c>
    </row>
    <row r="13370" spans="1:9" x14ac:dyDescent="0.2">
      <c r="A13370" s="2" t="s">
        <v>4810</v>
      </c>
      <c r="B13370" s="2" t="s">
        <v>6534</v>
      </c>
      <c r="C13370" s="2">
        <v>819.27070000000003</v>
      </c>
      <c r="D13370" s="2">
        <f>HYPERLINK("http://mcb-m6.bioreg.kyushu-u.ac.jp/M3/20110404/F50769/2197/1", 41.72)</f>
        <v>41.72</v>
      </c>
      <c r="E13370" s="2">
        <v>29.58</v>
      </c>
      <c r="F13370" s="2">
        <v>2</v>
      </c>
      <c r="G13370" s="2" t="s">
        <v>10</v>
      </c>
    </row>
    <row r="13371" spans="1:9" x14ac:dyDescent="0.2">
      <c r="A13371" s="2" t="s">
        <v>4810</v>
      </c>
      <c r="B13371" s="2" t="s">
        <v>6870</v>
      </c>
      <c r="C13371" s="2">
        <v>732.39469999999994</v>
      </c>
      <c r="D13371" s="2">
        <f>HYPERLINK("http://mcb-m6.bioreg.kyushu-u.ac.jp/M3/20110404/F50768/1865/1", 51.63)</f>
        <v>51.63</v>
      </c>
      <c r="E13371" s="2">
        <v>32.72</v>
      </c>
      <c r="F13371" s="2">
        <v>2</v>
      </c>
      <c r="G13371" s="2" t="s">
        <v>10</v>
      </c>
    </row>
    <row r="13372" spans="1:9" x14ac:dyDescent="0.2">
      <c r="A13372" s="2" t="s">
        <v>4810</v>
      </c>
      <c r="B13372" s="2" t="s">
        <v>3059</v>
      </c>
      <c r="C13372" s="2">
        <v>586.24220000000003</v>
      </c>
      <c r="D13372" s="2">
        <f>HYPERLINK("http://mcb-m6.bioreg.kyushu-u.ac.jp/M3/20110404/F50768/1333/1", 63.31)</f>
        <v>63.31</v>
      </c>
      <c r="E13372" s="2">
        <v>39.43</v>
      </c>
      <c r="F13372" s="2">
        <v>2</v>
      </c>
      <c r="G13372" s="2" t="s">
        <v>10</v>
      </c>
    </row>
    <row r="13373" spans="1:9" x14ac:dyDescent="0.2">
      <c r="A13373" s="2" t="s">
        <v>4810</v>
      </c>
      <c r="B13373" s="2" t="s">
        <v>3185</v>
      </c>
      <c r="C13373" s="2">
        <v>680.94820000000004</v>
      </c>
      <c r="D13373" s="2">
        <f>HYPERLINK("http://mcb-m6.bioreg.kyushu-u.ac.jp/M3/20110404/F50768/1632/1", 75.05)</f>
        <v>75.05</v>
      </c>
      <c r="E13373" s="2">
        <v>53.85</v>
      </c>
      <c r="F13373" s="2">
        <v>2</v>
      </c>
      <c r="G13373" s="2" t="s">
        <v>10</v>
      </c>
      <c r="I13373" s="2" t="s">
        <v>4903</v>
      </c>
    </row>
    <row r="13374" spans="1:9" x14ac:dyDescent="0.2">
      <c r="A13374" s="2" t="s">
        <v>4810</v>
      </c>
      <c r="B13374" s="2" t="s">
        <v>6534</v>
      </c>
      <c r="C13374" s="2">
        <v>819.34619999999995</v>
      </c>
      <c r="D13374" s="2">
        <f>HYPERLINK("http://mcb-m6.bioreg.kyushu-u.ac.jp/M3/20110404/F50768/2178/1", 84.88)</f>
        <v>84.88</v>
      </c>
      <c r="E13374" s="2">
        <v>76.48</v>
      </c>
      <c r="F13374" s="2">
        <v>2</v>
      </c>
      <c r="G13374" s="2" t="s">
        <v>10</v>
      </c>
    </row>
    <row r="13375" spans="1:9" x14ac:dyDescent="0.2">
      <c r="A13375" s="2" t="s">
        <v>4810</v>
      </c>
      <c r="B13375" s="2" t="s">
        <v>3223</v>
      </c>
      <c r="C13375" s="2">
        <v>793.90520000000004</v>
      </c>
      <c r="D13375" s="2">
        <f>HYPERLINK("http://mcb-m6.bioreg.kyushu-u.ac.jp/M3/20110404/F50768/2088/1", 103.4)</f>
        <v>103.4</v>
      </c>
      <c r="E13375" s="2">
        <v>76.36</v>
      </c>
      <c r="F13375" s="2">
        <v>2</v>
      </c>
      <c r="G13375" s="2" t="s">
        <v>10</v>
      </c>
    </row>
    <row r="13376" spans="1:9" x14ac:dyDescent="0.2">
      <c r="A13376" s="2" t="s">
        <v>4810</v>
      </c>
      <c r="B13376" s="2" t="s">
        <v>3185</v>
      </c>
      <c r="C13376" s="2">
        <v>680.41920000000005</v>
      </c>
      <c r="D13376" s="2">
        <f>HYPERLINK("http://mcb-m6.bioreg.kyushu-u.ac.jp/M3/20110421/F51045/1889/1", 37.32)</f>
        <v>37.32</v>
      </c>
      <c r="E13376" s="2">
        <v>14.14</v>
      </c>
      <c r="F13376" s="2">
        <v>2</v>
      </c>
      <c r="G13376" s="2" t="s">
        <v>12</v>
      </c>
      <c r="I13376" s="2" t="s">
        <v>4903</v>
      </c>
    </row>
    <row r="13377" spans="1:8" x14ac:dyDescent="0.2">
      <c r="A13377" s="2" t="s">
        <v>4810</v>
      </c>
      <c r="B13377" s="2" t="s">
        <v>7217</v>
      </c>
      <c r="C13377" s="2">
        <v>599.78769999999997</v>
      </c>
      <c r="D13377" s="2">
        <f>HYPERLINK("http://mcb-m6.bioreg.kyushu-u.ac.jp/M3/20110421/F51043/1379/1", 47.86)</f>
        <v>47.86</v>
      </c>
      <c r="E13377" s="2">
        <v>27.07</v>
      </c>
      <c r="F13377" s="2">
        <v>2</v>
      </c>
      <c r="G13377" s="2" t="s">
        <v>12</v>
      </c>
    </row>
    <row r="13378" spans="1:8" x14ac:dyDescent="0.2">
      <c r="A13378" s="2" t="s">
        <v>7522</v>
      </c>
      <c r="B13378" s="2" t="s">
        <v>5912</v>
      </c>
      <c r="C13378" s="2">
        <v>738.87459999999999</v>
      </c>
      <c r="D13378" s="2">
        <f>HYPERLINK("http://mcb-m6.bioreg.kyushu-u.ac.jp/M3/20110404/F50764/1877/1", 35.37)</f>
        <v>35.369999999999997</v>
      </c>
      <c r="E13378" s="2">
        <v>22.37</v>
      </c>
      <c r="F13378" s="2">
        <v>2</v>
      </c>
      <c r="G13378" s="2" t="s">
        <v>9</v>
      </c>
    </row>
    <row r="13379" spans="1:8" x14ac:dyDescent="0.2">
      <c r="A13379" s="2" t="s">
        <v>7522</v>
      </c>
      <c r="B13379" s="2" t="s">
        <v>6005</v>
      </c>
      <c r="C13379" s="2">
        <v>921.39200000000005</v>
      </c>
      <c r="D13379" s="2">
        <f>HYPERLINK("http://mcb-m6.bioreg.kyushu-u.ac.jp/M3/20110404/F50765/793/1", 38.52)</f>
        <v>38.520000000000003</v>
      </c>
      <c r="E13379" s="2">
        <v>17.98</v>
      </c>
      <c r="F13379" s="2">
        <v>1</v>
      </c>
      <c r="G13379" s="2" t="s">
        <v>9</v>
      </c>
    </row>
    <row r="13380" spans="1:8" x14ac:dyDescent="0.2">
      <c r="A13380" s="2" t="s">
        <v>7522</v>
      </c>
      <c r="B13380" s="2" t="s">
        <v>6020</v>
      </c>
      <c r="C13380" s="2">
        <v>544.74220000000003</v>
      </c>
      <c r="D13380" s="2">
        <f>HYPERLINK("http://mcb-m6.bioreg.kyushu-u.ac.jp/M3/20110404/F50765/1089/1", 39.01)</f>
        <v>39.01</v>
      </c>
      <c r="E13380" s="2">
        <v>19.11</v>
      </c>
      <c r="F13380" s="2">
        <v>2</v>
      </c>
      <c r="G13380" s="2" t="s">
        <v>9</v>
      </c>
    </row>
    <row r="13381" spans="1:8" x14ac:dyDescent="0.2">
      <c r="A13381" s="2" t="s">
        <v>7522</v>
      </c>
      <c r="B13381" s="2" t="s">
        <v>5912</v>
      </c>
      <c r="C13381" s="2">
        <v>738.24869999999999</v>
      </c>
      <c r="D13381" s="2">
        <f>HYPERLINK("http://mcb-m6.bioreg.kyushu-u.ac.jp/M3/20110404/F50766/1538/1", 41.11)</f>
        <v>41.11</v>
      </c>
      <c r="E13381" s="2">
        <v>33.08</v>
      </c>
      <c r="F13381" s="2">
        <v>2</v>
      </c>
      <c r="G13381" s="2" t="s">
        <v>9</v>
      </c>
    </row>
    <row r="13382" spans="1:8" x14ac:dyDescent="0.2">
      <c r="A13382" s="2" t="s">
        <v>7522</v>
      </c>
      <c r="B13382" s="2" t="s">
        <v>6005</v>
      </c>
      <c r="C13382" s="2">
        <v>461.64909999999998</v>
      </c>
      <c r="D13382" s="2">
        <f>HYPERLINK("http://mcb-m6.bioreg.kyushu-u.ac.jp/M3/20110404/F50767/673/1", 43.15)</f>
        <v>43.15</v>
      </c>
      <c r="E13382" s="2">
        <v>17.489999999999998</v>
      </c>
      <c r="F13382" s="2">
        <v>2</v>
      </c>
      <c r="G13382" s="2" t="s">
        <v>9</v>
      </c>
    </row>
    <row r="13383" spans="1:8" x14ac:dyDescent="0.2">
      <c r="A13383" s="2" t="s">
        <v>7522</v>
      </c>
      <c r="B13383" s="2" t="s">
        <v>6147</v>
      </c>
      <c r="C13383" s="2">
        <v>918.41359999999997</v>
      </c>
      <c r="D13383" s="2">
        <f>HYPERLINK("http://mcb-m6.bioreg.kyushu-u.ac.jp/M3/20110404/F50767/2555/1", 44.36)</f>
        <v>44.36</v>
      </c>
      <c r="E13383" s="2">
        <v>37.42</v>
      </c>
      <c r="F13383" s="2">
        <v>2</v>
      </c>
      <c r="G13383" s="2" t="s">
        <v>9</v>
      </c>
    </row>
    <row r="13384" spans="1:8" x14ac:dyDescent="0.2">
      <c r="A13384" s="2" t="s">
        <v>7522</v>
      </c>
      <c r="B13384" s="2" t="s">
        <v>5912</v>
      </c>
      <c r="C13384" s="2">
        <v>738.65260000000001</v>
      </c>
      <c r="D13384" s="2">
        <f>HYPERLINK("http://mcb-m6.bioreg.kyushu-u.ac.jp/M3/20110404/F50755/1944/1", 45.92)</f>
        <v>45.92</v>
      </c>
      <c r="E13384" s="2">
        <v>27.5</v>
      </c>
      <c r="F13384" s="2">
        <v>2</v>
      </c>
      <c r="G13384" s="2" t="s">
        <v>9</v>
      </c>
    </row>
    <row r="13385" spans="1:8" x14ac:dyDescent="0.2">
      <c r="A13385" s="2" t="s">
        <v>7522</v>
      </c>
      <c r="B13385" s="2" t="s">
        <v>6270</v>
      </c>
      <c r="C13385" s="2">
        <v>643.34690000000001</v>
      </c>
      <c r="D13385" s="2">
        <f>HYPERLINK("http://mcb-m6.bioreg.kyushu-u.ac.jp/M3/20110404/F50765/2707/1", 50.35)</f>
        <v>50.35</v>
      </c>
      <c r="E13385" s="2">
        <v>35.590000000000003</v>
      </c>
      <c r="F13385" s="2">
        <v>3</v>
      </c>
      <c r="G13385" s="2" t="s">
        <v>9</v>
      </c>
    </row>
    <row r="13386" spans="1:8" x14ac:dyDescent="0.2">
      <c r="A13386" s="2" t="s">
        <v>7522</v>
      </c>
      <c r="B13386" s="2" t="s">
        <v>6338</v>
      </c>
      <c r="C13386" s="2">
        <v>533.75319999999999</v>
      </c>
      <c r="D13386" s="2">
        <f>HYPERLINK("http://mcb-m6.bioreg.kyushu-u.ac.jp/M3/20110404/F50765/1055/1", 54.09)</f>
        <v>54.09</v>
      </c>
      <c r="E13386" s="2">
        <v>30.03</v>
      </c>
      <c r="F13386" s="2">
        <v>2</v>
      </c>
      <c r="G13386" s="2" t="s">
        <v>9</v>
      </c>
    </row>
    <row r="13387" spans="1:8" x14ac:dyDescent="0.2">
      <c r="A13387" s="2" t="s">
        <v>7522</v>
      </c>
      <c r="B13387" s="2" t="s">
        <v>6338</v>
      </c>
      <c r="C13387" s="2">
        <v>1065.4449999999999</v>
      </c>
      <c r="D13387" s="2">
        <f>HYPERLINK("http://mcb-m6.bioreg.kyushu-u.ac.jp/M3/20110404/F50765/1051/1", 55.88)</f>
        <v>55.88</v>
      </c>
      <c r="E13387" s="2">
        <v>34.770000000000003</v>
      </c>
      <c r="F13387" s="2">
        <v>1</v>
      </c>
      <c r="G13387" s="2" t="s">
        <v>9</v>
      </c>
    </row>
    <row r="13388" spans="1:8" x14ac:dyDescent="0.2">
      <c r="A13388" s="2" t="s">
        <v>7522</v>
      </c>
      <c r="B13388" s="2" t="s">
        <v>5912</v>
      </c>
      <c r="C13388" s="2">
        <v>1459.6579999999999</v>
      </c>
      <c r="D13388" s="2">
        <f>HYPERLINK("http://mcb-m6.bioreg.kyushu-u.ac.jp/M3/20110404/F50765/1793/1", 60.02)</f>
        <v>60.02</v>
      </c>
      <c r="E13388" s="2">
        <v>48.66</v>
      </c>
      <c r="F13388" s="2">
        <v>1</v>
      </c>
      <c r="G13388" s="2" t="s">
        <v>9</v>
      </c>
      <c r="H13388" s="2" t="s">
        <v>4904</v>
      </c>
    </row>
    <row r="13389" spans="1:8" x14ac:dyDescent="0.2">
      <c r="A13389" s="2" t="s">
        <v>7522</v>
      </c>
      <c r="B13389" s="2" t="s">
        <v>6338</v>
      </c>
      <c r="C13389" s="2">
        <v>533.23069999999996</v>
      </c>
      <c r="D13389" s="2">
        <f>HYPERLINK("http://mcb-m6.bioreg.kyushu-u.ac.jp/M3/20110404/F50765/1052/1", 61.41)</f>
        <v>61.41</v>
      </c>
      <c r="E13389" s="2">
        <v>34.049999999999997</v>
      </c>
      <c r="F13389" s="2">
        <v>2</v>
      </c>
      <c r="G13389" s="2" t="s">
        <v>9</v>
      </c>
    </row>
    <row r="13390" spans="1:8" x14ac:dyDescent="0.2">
      <c r="A13390" s="2" t="s">
        <v>7522</v>
      </c>
      <c r="B13390" s="2" t="s">
        <v>5912</v>
      </c>
      <c r="C13390" s="2">
        <v>1475.6189999999999</v>
      </c>
      <c r="D13390" s="2">
        <f>HYPERLINK("http://mcb-m6.bioreg.kyushu-u.ac.jp/M3/20110404/F50765/1833/1", 63.08)</f>
        <v>63.08</v>
      </c>
      <c r="E13390" s="2">
        <v>44.45</v>
      </c>
      <c r="F13390" s="2">
        <v>1</v>
      </c>
      <c r="G13390" s="2" t="s">
        <v>9</v>
      </c>
    </row>
    <row r="13391" spans="1:8" x14ac:dyDescent="0.2">
      <c r="A13391" s="2" t="s">
        <v>7522</v>
      </c>
      <c r="B13391" s="2" t="s">
        <v>6462</v>
      </c>
      <c r="C13391" s="2">
        <v>1059.9359999999999</v>
      </c>
      <c r="D13391" s="2">
        <f>HYPERLINK("http://mcb-m6.bioreg.kyushu-u.ac.jp/M3/20110404/F50766/3278/1", 66.41)</f>
        <v>66.41</v>
      </c>
      <c r="E13391" s="2">
        <v>55.75</v>
      </c>
      <c r="F13391" s="2">
        <v>2</v>
      </c>
      <c r="G13391" s="2" t="s">
        <v>9</v>
      </c>
    </row>
    <row r="13392" spans="1:8" x14ac:dyDescent="0.2">
      <c r="A13392" s="2" t="s">
        <v>7522</v>
      </c>
      <c r="B13392" s="2" t="s">
        <v>5912</v>
      </c>
      <c r="C13392" s="2">
        <v>1458.5239999999999</v>
      </c>
      <c r="D13392" s="2">
        <f>HYPERLINK("http://mcb-m6.bioreg.kyushu-u.ac.jp/M3/20110404/F50765/1790/1", 71.55)</f>
        <v>71.55</v>
      </c>
      <c r="E13392" s="2">
        <v>56.16</v>
      </c>
      <c r="F13392" s="2">
        <v>1</v>
      </c>
      <c r="G13392" s="2" t="s">
        <v>9</v>
      </c>
      <c r="H13392" s="2" t="s">
        <v>4904</v>
      </c>
    </row>
    <row r="13393" spans="1:7" x14ac:dyDescent="0.2">
      <c r="A13393" s="2" t="s">
        <v>7522</v>
      </c>
      <c r="B13393" s="2" t="s">
        <v>6523</v>
      </c>
      <c r="C13393" s="2">
        <v>956.39319999999998</v>
      </c>
      <c r="D13393" s="2">
        <f>HYPERLINK("http://mcb-m6.bioreg.kyushu-u.ac.jp/M3/20110404/F50765/2670/1", 74.33)</f>
        <v>74.33</v>
      </c>
      <c r="E13393" s="2">
        <v>58.61</v>
      </c>
      <c r="F13393" s="2">
        <v>2</v>
      </c>
      <c r="G13393" s="2" t="s">
        <v>9</v>
      </c>
    </row>
    <row r="13394" spans="1:7" x14ac:dyDescent="0.2">
      <c r="A13394" s="2" t="s">
        <v>7522</v>
      </c>
      <c r="B13394" s="2" t="s">
        <v>6270</v>
      </c>
      <c r="C13394" s="2">
        <v>963.53610000000003</v>
      </c>
      <c r="D13394" s="2">
        <f>HYPERLINK("http://mcb-m6.bioreg.kyushu-u.ac.jp/M3/20110404/F50767/2726/1", 78.51)</f>
        <v>78.510000000000005</v>
      </c>
      <c r="E13394" s="2">
        <v>65.55</v>
      </c>
      <c r="F13394" s="2">
        <v>2</v>
      </c>
      <c r="G13394" s="2" t="s">
        <v>9</v>
      </c>
    </row>
    <row r="13395" spans="1:7" x14ac:dyDescent="0.2">
      <c r="A13395" s="2" t="s">
        <v>7522</v>
      </c>
      <c r="B13395" s="2" t="s">
        <v>6147</v>
      </c>
      <c r="C13395" s="2">
        <v>918.39919999999995</v>
      </c>
      <c r="D13395" s="2">
        <f>HYPERLINK("http://mcb-m6.bioreg.kyushu-u.ac.jp/M3/20110404/F50765/2556/1", 81.64)</f>
        <v>81.64</v>
      </c>
      <c r="E13395" s="2">
        <v>73.13</v>
      </c>
      <c r="F13395" s="2">
        <v>2</v>
      </c>
      <c r="G13395" s="2" t="s">
        <v>9</v>
      </c>
    </row>
    <row r="13396" spans="1:7" x14ac:dyDescent="0.2">
      <c r="A13396" s="2" t="s">
        <v>7522</v>
      </c>
      <c r="B13396" s="2" t="s">
        <v>6616</v>
      </c>
      <c r="C13396" s="2">
        <v>1136.876</v>
      </c>
      <c r="D13396" s="2">
        <f>HYPERLINK("http://mcb-m6.bioreg.kyushu-u.ac.jp/M3/20110404/F50765/3201/1", 95.13)</f>
        <v>95.13</v>
      </c>
      <c r="E13396" s="2">
        <v>79.319999999999993</v>
      </c>
      <c r="F13396" s="2">
        <v>2</v>
      </c>
      <c r="G13396" s="2" t="s">
        <v>9</v>
      </c>
    </row>
    <row r="13397" spans="1:7" x14ac:dyDescent="0.2">
      <c r="A13397" s="2" t="s">
        <v>7522</v>
      </c>
      <c r="B13397" s="2" t="s">
        <v>6270</v>
      </c>
      <c r="C13397" s="2">
        <v>964.23860000000002</v>
      </c>
      <c r="D13397" s="2">
        <f>HYPERLINK("http://mcb-m6.bioreg.kyushu-u.ac.jp/M3/20110404/F50765/2703/1", 105.82)</f>
        <v>105.82</v>
      </c>
      <c r="E13397" s="2">
        <v>88.72</v>
      </c>
      <c r="F13397" s="2">
        <v>2</v>
      </c>
      <c r="G13397" s="2" t="s">
        <v>9</v>
      </c>
    </row>
    <row r="13398" spans="1:7" x14ac:dyDescent="0.2">
      <c r="A13398" s="2" t="s">
        <v>7522</v>
      </c>
      <c r="B13398" s="2" t="s">
        <v>5912</v>
      </c>
      <c r="C13398" s="2">
        <v>738.27419999999995</v>
      </c>
      <c r="D13398" s="2">
        <f>HYPERLINK("http://mcb-m6.bioreg.kyushu-u.ac.jp/M3/20110404/F50767/1717/1", 109.11)</f>
        <v>109.11</v>
      </c>
      <c r="E13398" s="2">
        <v>95.46</v>
      </c>
      <c r="F13398" s="2">
        <v>2</v>
      </c>
      <c r="G13398" s="2" t="s">
        <v>9</v>
      </c>
    </row>
    <row r="13399" spans="1:7" x14ac:dyDescent="0.2">
      <c r="A13399" s="2" t="s">
        <v>7522</v>
      </c>
      <c r="B13399" s="2" t="s">
        <v>5912</v>
      </c>
      <c r="C13399" s="2">
        <v>738.78020000000004</v>
      </c>
      <c r="D13399" s="2">
        <f>HYPERLINK("http://mcb-m6.bioreg.kyushu-u.ac.jp/M3/20110404/F50765/1839/1", 126.16)</f>
        <v>126.16</v>
      </c>
      <c r="E13399" s="2">
        <v>108.27</v>
      </c>
      <c r="F13399" s="2">
        <v>2</v>
      </c>
      <c r="G13399" s="2" t="s">
        <v>9</v>
      </c>
    </row>
    <row r="13400" spans="1:7" x14ac:dyDescent="0.2">
      <c r="A13400" s="2" t="s">
        <v>7522</v>
      </c>
      <c r="B13400" s="2" t="s">
        <v>6523</v>
      </c>
      <c r="C13400" s="2">
        <v>637.71979999999996</v>
      </c>
      <c r="D13400" s="2">
        <f>HYPERLINK("http://mcb-m6.bioreg.kyushu-u.ac.jp/M3/20110404/F50771/2694/1", 35.01)</f>
        <v>35.01</v>
      </c>
      <c r="E13400" s="2">
        <v>14.71</v>
      </c>
      <c r="F13400" s="2">
        <v>3</v>
      </c>
      <c r="G13400" s="2" t="s">
        <v>10</v>
      </c>
    </row>
    <row r="13401" spans="1:7" x14ac:dyDescent="0.2">
      <c r="A13401" s="2" t="s">
        <v>7522</v>
      </c>
      <c r="B13401" s="2" t="s">
        <v>6005</v>
      </c>
      <c r="C13401" s="2">
        <v>921.47900000000004</v>
      </c>
      <c r="D13401" s="2">
        <f>HYPERLINK("http://mcb-m6.bioreg.kyushu-u.ac.jp/M3/20110404/F50773/840/1", 35.29)</f>
        <v>35.29</v>
      </c>
      <c r="E13401" s="2">
        <v>14.97</v>
      </c>
      <c r="F13401" s="2">
        <v>1</v>
      </c>
      <c r="G13401" s="2" t="s">
        <v>10</v>
      </c>
    </row>
    <row r="13402" spans="1:7" x14ac:dyDescent="0.2">
      <c r="A13402" s="2" t="s">
        <v>7522</v>
      </c>
      <c r="B13402" s="2" t="s">
        <v>6338</v>
      </c>
      <c r="C13402" s="2">
        <v>533.21810000000005</v>
      </c>
      <c r="D13402" s="2">
        <f>HYPERLINK("http://mcb-m6.bioreg.kyushu-u.ac.jp/M3/20110404/F50775/1167/1", 36.07)</f>
        <v>36.07</v>
      </c>
      <c r="E13402" s="2">
        <v>14.68</v>
      </c>
      <c r="F13402" s="2">
        <v>2</v>
      </c>
      <c r="G13402" s="2" t="s">
        <v>10</v>
      </c>
    </row>
    <row r="13403" spans="1:7" x14ac:dyDescent="0.2">
      <c r="A13403" s="2" t="s">
        <v>7522</v>
      </c>
      <c r="B13403" s="2" t="s">
        <v>6005</v>
      </c>
      <c r="C13403" s="2">
        <v>921.63099999999997</v>
      </c>
      <c r="D13403" s="2">
        <f>HYPERLINK("http://mcb-m6.bioreg.kyushu-u.ac.jp/M3/20110404/F50772/869/1", 38.44)</f>
        <v>38.44</v>
      </c>
      <c r="E13403" s="2">
        <v>16.079999999999998</v>
      </c>
      <c r="F13403" s="2">
        <v>1</v>
      </c>
      <c r="G13403" s="2" t="s">
        <v>10</v>
      </c>
    </row>
    <row r="13404" spans="1:7" x14ac:dyDescent="0.2">
      <c r="A13404" s="2" t="s">
        <v>7522</v>
      </c>
      <c r="B13404" s="2" t="s">
        <v>6005</v>
      </c>
      <c r="C13404" s="2">
        <v>921.30100000000004</v>
      </c>
      <c r="D13404" s="2">
        <f>HYPERLINK("http://mcb-m6.bioreg.kyushu-u.ac.jp/M3/20110404/F50771/892/1", 38.51)</f>
        <v>38.51</v>
      </c>
      <c r="E13404" s="2">
        <v>11.98</v>
      </c>
      <c r="F13404" s="2">
        <v>1</v>
      </c>
      <c r="G13404" s="2" t="s">
        <v>10</v>
      </c>
    </row>
    <row r="13405" spans="1:7" x14ac:dyDescent="0.2">
      <c r="A13405" s="2" t="s">
        <v>7522</v>
      </c>
      <c r="B13405" s="2" t="s">
        <v>6020</v>
      </c>
      <c r="C13405" s="2">
        <v>1088.4090000000001</v>
      </c>
      <c r="D13405" s="2">
        <f>HYPERLINK("http://mcb-m6.bioreg.kyushu-u.ac.jp/M3/20110404/F50771/1184/1", 44.67)</f>
        <v>44.67</v>
      </c>
      <c r="E13405" s="2">
        <v>22.18</v>
      </c>
      <c r="F13405" s="2">
        <v>1</v>
      </c>
      <c r="G13405" s="2" t="s">
        <v>10</v>
      </c>
    </row>
    <row r="13406" spans="1:7" x14ac:dyDescent="0.2">
      <c r="A13406" s="2" t="s">
        <v>7522</v>
      </c>
      <c r="B13406" s="2" t="s">
        <v>6270</v>
      </c>
      <c r="C13406" s="2">
        <v>963.70259999999996</v>
      </c>
      <c r="D13406" s="2">
        <f>HYPERLINK("http://mcb-m6.bioreg.kyushu-u.ac.jp/M3/20110404/F50771/2722/1", 46.49)</f>
        <v>46.49</v>
      </c>
      <c r="E13406" s="2">
        <v>35.9</v>
      </c>
      <c r="F13406" s="2">
        <v>2</v>
      </c>
      <c r="G13406" s="2" t="s">
        <v>10</v>
      </c>
    </row>
    <row r="13407" spans="1:7" x14ac:dyDescent="0.2">
      <c r="A13407" s="2" t="s">
        <v>7522</v>
      </c>
      <c r="B13407" s="2" t="s">
        <v>6020</v>
      </c>
      <c r="C13407" s="2">
        <v>544.81870000000004</v>
      </c>
      <c r="D13407" s="2">
        <f>HYPERLINK("http://mcb-m6.bioreg.kyushu-u.ac.jp/M3/20110404/F50773/1097/1", 48.96)</f>
        <v>48.96</v>
      </c>
      <c r="E13407" s="2">
        <v>22.78</v>
      </c>
      <c r="F13407" s="2">
        <v>2</v>
      </c>
      <c r="G13407" s="2" t="s">
        <v>10</v>
      </c>
    </row>
    <row r="13408" spans="1:7" x14ac:dyDescent="0.2">
      <c r="A13408" s="2" t="s">
        <v>7522</v>
      </c>
      <c r="B13408" s="2" t="s">
        <v>5912</v>
      </c>
      <c r="C13408" s="2">
        <v>738.23860000000002</v>
      </c>
      <c r="D13408" s="2">
        <f>HYPERLINK("http://mcb-m6.bioreg.kyushu-u.ac.jp/M3/20110404/F50771/1886/1", 54.39)</f>
        <v>54.39</v>
      </c>
      <c r="E13408" s="2">
        <v>39.42</v>
      </c>
      <c r="F13408" s="2">
        <v>2</v>
      </c>
      <c r="G13408" s="2" t="s">
        <v>10</v>
      </c>
    </row>
    <row r="13409" spans="1:8" x14ac:dyDescent="0.2">
      <c r="A13409" s="2" t="s">
        <v>7522</v>
      </c>
      <c r="B13409" s="2" t="s">
        <v>6338</v>
      </c>
      <c r="C13409" s="2">
        <v>1065.443</v>
      </c>
      <c r="D13409" s="2">
        <f>HYPERLINK("http://mcb-m6.bioreg.kyushu-u.ac.jp/M3/20110404/F50771/1147/1", 56.4)</f>
        <v>56.4</v>
      </c>
      <c r="E13409" s="2">
        <v>31.1</v>
      </c>
      <c r="F13409" s="2">
        <v>1</v>
      </c>
      <c r="G13409" s="2" t="s">
        <v>10</v>
      </c>
    </row>
    <row r="13410" spans="1:8" x14ac:dyDescent="0.2">
      <c r="A13410" s="2" t="s">
        <v>7522</v>
      </c>
      <c r="B13410" s="2" t="s">
        <v>6338</v>
      </c>
      <c r="C13410" s="2">
        <v>1066.3109999999999</v>
      </c>
      <c r="D13410" s="2">
        <f>HYPERLINK("http://mcb-m6.bioreg.kyushu-u.ac.jp/M3/20110404/F50761/1098/1", 58.06)</f>
        <v>58.06</v>
      </c>
      <c r="E13410" s="2">
        <v>36.94</v>
      </c>
      <c r="F13410" s="2">
        <v>1</v>
      </c>
      <c r="G13410" s="2" t="s">
        <v>10</v>
      </c>
    </row>
    <row r="13411" spans="1:8" x14ac:dyDescent="0.2">
      <c r="A13411" s="2" t="s">
        <v>7522</v>
      </c>
      <c r="B13411" s="2" t="s">
        <v>6338</v>
      </c>
      <c r="C13411" s="2">
        <v>1065.57</v>
      </c>
      <c r="D13411" s="2">
        <f>HYPERLINK("http://mcb-m6.bioreg.kyushu-u.ac.jp/M3/20110404/F50773/1071/1", 60.04)</f>
        <v>60.04</v>
      </c>
      <c r="E13411" s="2">
        <v>42.88</v>
      </c>
      <c r="F13411" s="2">
        <v>1</v>
      </c>
      <c r="G13411" s="2" t="s">
        <v>10</v>
      </c>
    </row>
    <row r="13412" spans="1:8" x14ac:dyDescent="0.2">
      <c r="A13412" s="2" t="s">
        <v>7522</v>
      </c>
      <c r="B13412" s="2" t="s">
        <v>6005</v>
      </c>
      <c r="C13412" s="2">
        <v>461.6481</v>
      </c>
      <c r="D13412" s="2">
        <f>HYPERLINK("http://mcb-m6.bioreg.kyushu-u.ac.jp/M3/20110404/F50772/870/1", 61.58)</f>
        <v>61.58</v>
      </c>
      <c r="E13412" s="2">
        <v>17.87</v>
      </c>
      <c r="F13412" s="2">
        <v>2</v>
      </c>
      <c r="G13412" s="2" t="s">
        <v>10</v>
      </c>
    </row>
    <row r="13413" spans="1:8" x14ac:dyDescent="0.2">
      <c r="A13413" s="2" t="s">
        <v>7522</v>
      </c>
      <c r="B13413" s="2" t="s">
        <v>6338</v>
      </c>
      <c r="C13413" s="2">
        <v>533.16769999999997</v>
      </c>
      <c r="D13413" s="2">
        <f>HYPERLINK("http://mcb-m6.bioreg.kyushu-u.ac.jp/M3/20110404/F50771/1145/1", 62.87)</f>
        <v>62.87</v>
      </c>
      <c r="E13413" s="2">
        <v>36.25</v>
      </c>
      <c r="F13413" s="2">
        <v>2</v>
      </c>
      <c r="G13413" s="2" t="s">
        <v>10</v>
      </c>
    </row>
    <row r="13414" spans="1:8" x14ac:dyDescent="0.2">
      <c r="A13414" s="2" t="s">
        <v>7522</v>
      </c>
      <c r="B13414" s="2" t="s">
        <v>6523</v>
      </c>
      <c r="C13414" s="2">
        <v>956.44460000000004</v>
      </c>
      <c r="D13414" s="2">
        <f>HYPERLINK("http://mcb-m6.bioreg.kyushu-u.ac.jp/M3/20110404/F50773/2620/1", 62.96)</f>
        <v>62.96</v>
      </c>
      <c r="E13414" s="2">
        <v>48.1</v>
      </c>
      <c r="F13414" s="2">
        <v>2</v>
      </c>
      <c r="G13414" s="2" t="s">
        <v>10</v>
      </c>
    </row>
    <row r="13415" spans="1:8" x14ac:dyDescent="0.2">
      <c r="A13415" s="2" t="s">
        <v>7522</v>
      </c>
      <c r="B13415" s="2" t="s">
        <v>6338</v>
      </c>
      <c r="C13415" s="2">
        <v>533.24519999999995</v>
      </c>
      <c r="D13415" s="2">
        <f>HYPERLINK("http://mcb-m6.bioreg.kyushu-u.ac.jp/M3/20110404/F50772/1141/1", 63.93)</f>
        <v>63.93</v>
      </c>
      <c r="E13415" s="2">
        <v>37.049999999999997</v>
      </c>
      <c r="F13415" s="2">
        <v>2</v>
      </c>
      <c r="G13415" s="2" t="s">
        <v>10</v>
      </c>
    </row>
    <row r="13416" spans="1:8" x14ac:dyDescent="0.2">
      <c r="A13416" s="2" t="s">
        <v>7522</v>
      </c>
      <c r="B13416" s="2" t="s">
        <v>6338</v>
      </c>
      <c r="C13416" s="2">
        <v>1065.569</v>
      </c>
      <c r="D13416" s="2">
        <f>HYPERLINK("http://mcb-m6.bioreg.kyushu-u.ac.jp/M3/20110404/F50772/1143/1", 64.56)</f>
        <v>64.56</v>
      </c>
      <c r="E13416" s="2">
        <v>41.5</v>
      </c>
      <c r="F13416" s="2">
        <v>1</v>
      </c>
      <c r="G13416" s="2" t="s">
        <v>10</v>
      </c>
    </row>
    <row r="13417" spans="1:8" x14ac:dyDescent="0.2">
      <c r="A13417" s="2" t="s">
        <v>7522</v>
      </c>
      <c r="B13417" s="2" t="s">
        <v>6338</v>
      </c>
      <c r="C13417" s="2">
        <v>533.69320000000005</v>
      </c>
      <c r="D13417" s="2">
        <f>HYPERLINK("http://mcb-m6.bioreg.kyushu-u.ac.jp/M3/20110404/F50773/1072/1", 66.26)</f>
        <v>66.260000000000005</v>
      </c>
      <c r="E13417" s="2">
        <v>37.06</v>
      </c>
      <c r="F13417" s="2">
        <v>2</v>
      </c>
      <c r="G13417" s="2" t="s">
        <v>10</v>
      </c>
    </row>
    <row r="13418" spans="1:8" x14ac:dyDescent="0.2">
      <c r="A13418" s="2" t="s">
        <v>7522</v>
      </c>
      <c r="B13418" s="2" t="s">
        <v>6462</v>
      </c>
      <c r="C13418" s="2">
        <v>1059.9939999999999</v>
      </c>
      <c r="D13418" s="2">
        <f>HYPERLINK("http://mcb-m6.bioreg.kyushu-u.ac.jp/M3/20110404/F50771/3002/1", 67.59)</f>
        <v>67.59</v>
      </c>
      <c r="E13418" s="2">
        <v>57.33</v>
      </c>
      <c r="F13418" s="2">
        <v>2</v>
      </c>
      <c r="G13418" s="2" t="s">
        <v>10</v>
      </c>
    </row>
    <row r="13419" spans="1:8" x14ac:dyDescent="0.2">
      <c r="A13419" s="2" t="s">
        <v>7522</v>
      </c>
      <c r="B13419" s="2" t="s">
        <v>5912</v>
      </c>
      <c r="C13419" s="2">
        <v>1458.4760000000001</v>
      </c>
      <c r="D13419" s="2">
        <f>HYPERLINK("http://mcb-m6.bioreg.kyushu-u.ac.jp/M3/20110404/F50771/1848/1", 72.36)</f>
        <v>72.36</v>
      </c>
      <c r="E13419" s="2">
        <v>60.11</v>
      </c>
      <c r="F13419" s="2">
        <v>1</v>
      </c>
      <c r="G13419" s="2" t="s">
        <v>10</v>
      </c>
      <c r="H13419" s="2" t="s">
        <v>4904</v>
      </c>
    </row>
    <row r="13420" spans="1:8" x14ac:dyDescent="0.2">
      <c r="A13420" s="2" t="s">
        <v>7522</v>
      </c>
      <c r="B13420" s="2" t="s">
        <v>6338</v>
      </c>
      <c r="C13420" s="2">
        <v>533.10720000000003</v>
      </c>
      <c r="D13420" s="2">
        <f>HYPERLINK("http://mcb-m6.bioreg.kyushu-u.ac.jp/M3/20110404/F50771/1144/1", 72.62)</f>
        <v>72.62</v>
      </c>
      <c r="E13420" s="2">
        <v>41.74</v>
      </c>
      <c r="F13420" s="2">
        <v>2</v>
      </c>
      <c r="G13420" s="2" t="s">
        <v>10</v>
      </c>
    </row>
    <row r="13421" spans="1:8" x14ac:dyDescent="0.2">
      <c r="A13421" s="2" t="s">
        <v>7522</v>
      </c>
      <c r="B13421" s="2" t="s">
        <v>6147</v>
      </c>
      <c r="C13421" s="2">
        <v>918.37620000000004</v>
      </c>
      <c r="D13421" s="2">
        <f>HYPERLINK("http://mcb-m6.bioreg.kyushu-u.ac.jp/M3/20110404/F50771/2588/1", 72.62)</f>
        <v>72.62</v>
      </c>
      <c r="E13421" s="2">
        <v>64.069999999999993</v>
      </c>
      <c r="F13421" s="2">
        <v>2</v>
      </c>
      <c r="G13421" s="2" t="s">
        <v>10</v>
      </c>
    </row>
    <row r="13422" spans="1:8" x14ac:dyDescent="0.2">
      <c r="A13422" s="2" t="s">
        <v>7522</v>
      </c>
      <c r="B13422" s="2" t="s">
        <v>5912</v>
      </c>
      <c r="C13422" s="2">
        <v>730.44320000000005</v>
      </c>
      <c r="D13422" s="2">
        <f>HYPERLINK("http://mcb-m6.bioreg.kyushu-u.ac.jp/M3/20110404/F50773/1808/1", 73.1)</f>
        <v>73.099999999999994</v>
      </c>
      <c r="E13422" s="2">
        <v>55.73</v>
      </c>
      <c r="F13422" s="2">
        <v>2</v>
      </c>
      <c r="G13422" s="2" t="s">
        <v>10</v>
      </c>
      <c r="H13422" s="2" t="s">
        <v>4904</v>
      </c>
    </row>
    <row r="13423" spans="1:8" x14ac:dyDescent="0.2">
      <c r="A13423" s="2" t="s">
        <v>7522</v>
      </c>
      <c r="B13423" s="2" t="s">
        <v>6270</v>
      </c>
      <c r="C13423" s="2">
        <v>643.02980000000002</v>
      </c>
      <c r="D13423" s="2">
        <f>HYPERLINK("http://mcb-m6.bioreg.kyushu-u.ac.jp/M3/20110404/F50771/2724/1", 75.13)</f>
        <v>75.13</v>
      </c>
      <c r="E13423" s="2">
        <v>54.46</v>
      </c>
      <c r="F13423" s="2">
        <v>3</v>
      </c>
      <c r="G13423" s="2" t="s">
        <v>10</v>
      </c>
    </row>
    <row r="13424" spans="1:8" x14ac:dyDescent="0.2">
      <c r="A13424" s="2" t="s">
        <v>7522</v>
      </c>
      <c r="B13424" s="2" t="s">
        <v>6147</v>
      </c>
      <c r="C13424" s="2">
        <v>926.35469999999998</v>
      </c>
      <c r="D13424" s="2">
        <f>HYPERLINK("http://mcb-m6.bioreg.kyushu-u.ac.jp/M3/20110404/F50771/2611/1", 75.79)</f>
        <v>75.790000000000006</v>
      </c>
      <c r="E13424" s="2">
        <v>66.37</v>
      </c>
      <c r="F13424" s="2">
        <v>2</v>
      </c>
      <c r="G13424" s="2" t="s">
        <v>10</v>
      </c>
      <c r="H13424" s="2" t="s">
        <v>4920</v>
      </c>
    </row>
    <row r="13425" spans="1:8" x14ac:dyDescent="0.2">
      <c r="A13425" s="2" t="s">
        <v>7522</v>
      </c>
      <c r="B13425" s="2" t="s">
        <v>5912</v>
      </c>
      <c r="C13425" s="2">
        <v>1475.413</v>
      </c>
      <c r="D13425" s="2">
        <f>HYPERLINK("http://mcb-m6.bioreg.kyushu-u.ac.jp/M3/20110404/F50771/1885/1", 76.77)</f>
        <v>76.77</v>
      </c>
      <c r="E13425" s="2">
        <v>57.06</v>
      </c>
      <c r="F13425" s="2">
        <v>1</v>
      </c>
      <c r="G13425" s="2" t="s">
        <v>10</v>
      </c>
    </row>
    <row r="13426" spans="1:8" x14ac:dyDescent="0.2">
      <c r="A13426" s="2" t="s">
        <v>7522</v>
      </c>
      <c r="B13426" s="2" t="s">
        <v>5912</v>
      </c>
      <c r="C13426" s="2">
        <v>729.93320000000006</v>
      </c>
      <c r="D13426" s="2">
        <f>HYPERLINK("http://mcb-m6.bioreg.kyushu-u.ac.jp/M3/20110404/F50771/1850/1", 79.94)</f>
        <v>79.94</v>
      </c>
      <c r="E13426" s="2">
        <v>59.23</v>
      </c>
      <c r="F13426" s="2">
        <v>2</v>
      </c>
      <c r="G13426" s="2" t="s">
        <v>10</v>
      </c>
      <c r="H13426" s="2" t="s">
        <v>4904</v>
      </c>
    </row>
    <row r="13427" spans="1:8" x14ac:dyDescent="0.2">
      <c r="A13427" s="2" t="s">
        <v>7522</v>
      </c>
      <c r="B13427" s="2" t="s">
        <v>6523</v>
      </c>
      <c r="C13427" s="2">
        <v>956.29520000000002</v>
      </c>
      <c r="D13427" s="2">
        <f>HYPERLINK("http://mcb-m6.bioreg.kyushu-u.ac.jp/M3/20110404/F50771/2695/1", 89.05)</f>
        <v>89.05</v>
      </c>
      <c r="E13427" s="2">
        <v>73.239999999999995</v>
      </c>
      <c r="F13427" s="2">
        <v>2</v>
      </c>
      <c r="G13427" s="2" t="s">
        <v>10</v>
      </c>
    </row>
    <row r="13428" spans="1:8" x14ac:dyDescent="0.2">
      <c r="A13428" s="2" t="s">
        <v>7522</v>
      </c>
      <c r="B13428" s="2" t="s">
        <v>6462</v>
      </c>
      <c r="C13428" s="2">
        <v>1060.5340000000001</v>
      </c>
      <c r="D13428" s="2">
        <f>HYPERLINK("http://mcb-m6.bioreg.kyushu-u.ac.jp/M3/20110404/F50771/3005/1", 93.07)</f>
        <v>93.07</v>
      </c>
      <c r="E13428" s="2">
        <v>79.89</v>
      </c>
      <c r="F13428" s="2">
        <v>2</v>
      </c>
      <c r="G13428" s="2" t="s">
        <v>10</v>
      </c>
    </row>
    <row r="13429" spans="1:8" x14ac:dyDescent="0.2">
      <c r="A13429" s="2" t="s">
        <v>7522</v>
      </c>
      <c r="B13429" s="2" t="s">
        <v>6523</v>
      </c>
      <c r="C13429" s="2">
        <v>956.56569999999999</v>
      </c>
      <c r="D13429" s="2">
        <f>HYPERLINK("http://mcb-m6.bioreg.kyushu-u.ac.jp/M3/20110404/F50772/2751/1", 101.99)</f>
        <v>101.99</v>
      </c>
      <c r="E13429" s="2">
        <v>85.16</v>
      </c>
      <c r="F13429" s="2">
        <v>2</v>
      </c>
      <c r="G13429" s="2" t="s">
        <v>10</v>
      </c>
    </row>
    <row r="13430" spans="1:8" x14ac:dyDescent="0.2">
      <c r="A13430" s="2" t="s">
        <v>7522</v>
      </c>
      <c r="B13430" s="2" t="s">
        <v>6616</v>
      </c>
      <c r="C13430" s="2">
        <v>1137.027</v>
      </c>
      <c r="D13430" s="2">
        <f>HYPERLINK("http://mcb-m6.bioreg.kyushu-u.ac.jp/M3/20110404/F50771/3194/1", 104.08)</f>
        <v>104.08</v>
      </c>
      <c r="E13430" s="2">
        <v>95.28</v>
      </c>
      <c r="F13430" s="2">
        <v>2</v>
      </c>
      <c r="G13430" s="2" t="s">
        <v>10</v>
      </c>
    </row>
    <row r="13431" spans="1:8" x14ac:dyDescent="0.2">
      <c r="A13431" s="2" t="s">
        <v>7522</v>
      </c>
      <c r="B13431" s="2" t="s">
        <v>6270</v>
      </c>
      <c r="C13431" s="2">
        <v>964.46969999999999</v>
      </c>
      <c r="D13431" s="2">
        <f>HYPERLINK("http://mcb-m6.bioreg.kyushu-u.ac.jp/M3/20110404/F50772/2781/1", 108.59)</f>
        <v>108.59</v>
      </c>
      <c r="E13431" s="2">
        <v>96.29</v>
      </c>
      <c r="F13431" s="2">
        <v>2</v>
      </c>
      <c r="G13431" s="2" t="s">
        <v>10</v>
      </c>
    </row>
    <row r="13432" spans="1:8" x14ac:dyDescent="0.2">
      <c r="A13432" s="2" t="s">
        <v>7522</v>
      </c>
      <c r="B13432" s="2" t="s">
        <v>5912</v>
      </c>
      <c r="C13432" s="2">
        <v>738.3922</v>
      </c>
      <c r="D13432" s="2">
        <f>HYPERLINK("http://mcb-m6.bioreg.kyushu-u.ac.jp/M3/20110404/F50761/1829/1", 108.78)</f>
        <v>108.78</v>
      </c>
      <c r="E13432" s="2">
        <v>94.22</v>
      </c>
      <c r="F13432" s="2">
        <v>2</v>
      </c>
      <c r="G13432" s="2" t="s">
        <v>10</v>
      </c>
    </row>
    <row r="13433" spans="1:8" x14ac:dyDescent="0.2">
      <c r="A13433" s="2" t="s">
        <v>7522</v>
      </c>
      <c r="B13433" s="2" t="s">
        <v>5912</v>
      </c>
      <c r="C13433" s="2">
        <v>738.80470000000003</v>
      </c>
      <c r="D13433" s="2">
        <f>HYPERLINK("http://mcb-m6.bioreg.kyushu-u.ac.jp/M3/20110404/F50772/1911/1", 112.7)</f>
        <v>112.7</v>
      </c>
      <c r="E13433" s="2">
        <v>97.32</v>
      </c>
      <c r="F13433" s="2">
        <v>2</v>
      </c>
      <c r="G13433" s="2" t="s">
        <v>10</v>
      </c>
    </row>
    <row r="13434" spans="1:8" x14ac:dyDescent="0.2">
      <c r="A13434" s="2" t="s">
        <v>7522</v>
      </c>
      <c r="B13434" s="2" t="s">
        <v>5912</v>
      </c>
      <c r="C13434" s="2">
        <v>738.33669999999995</v>
      </c>
      <c r="D13434" s="2">
        <f>HYPERLINK("http://mcb-m6.bioreg.kyushu-u.ac.jp/M3/20110404/F50773/1827/1", 114.69)</f>
        <v>114.69</v>
      </c>
      <c r="E13434" s="2">
        <v>94.61</v>
      </c>
      <c r="F13434" s="2">
        <v>2</v>
      </c>
      <c r="G13434" s="2" t="s">
        <v>10</v>
      </c>
    </row>
    <row r="13435" spans="1:8" x14ac:dyDescent="0.2">
      <c r="A13435" s="2" t="s">
        <v>7522</v>
      </c>
      <c r="B13435" s="2" t="s">
        <v>5912</v>
      </c>
      <c r="C13435" s="2">
        <v>738.31820000000005</v>
      </c>
      <c r="D13435" s="2">
        <f>HYPERLINK("http://mcb-m6.bioreg.kyushu-u.ac.jp/M3/20110404/F50770/1925/1", 118.5)</f>
        <v>118.5</v>
      </c>
      <c r="E13435" s="2">
        <v>98.39</v>
      </c>
      <c r="F13435" s="2">
        <v>2</v>
      </c>
      <c r="G13435" s="2" t="s">
        <v>10</v>
      </c>
    </row>
    <row r="13436" spans="1:8" x14ac:dyDescent="0.2">
      <c r="A13436" s="2" t="s">
        <v>7522</v>
      </c>
      <c r="B13436" s="2" t="s">
        <v>6616</v>
      </c>
      <c r="C13436" s="2">
        <v>1136.451</v>
      </c>
      <c r="D13436" s="2">
        <f>HYPERLINK("http://mcb-m6.bioreg.kyushu-u.ac.jp/M3/20110404/F50771/3192/1", 119.71)</f>
        <v>119.71</v>
      </c>
      <c r="E13436" s="2">
        <v>108.81</v>
      </c>
      <c r="F13436" s="2">
        <v>2</v>
      </c>
      <c r="G13436" s="2" t="s">
        <v>10</v>
      </c>
    </row>
    <row r="13437" spans="1:8" x14ac:dyDescent="0.2">
      <c r="A13437" s="2" t="s">
        <v>7522</v>
      </c>
      <c r="B13437" s="2" t="s">
        <v>7064</v>
      </c>
      <c r="C13437" s="2">
        <v>1069.893</v>
      </c>
      <c r="D13437" s="2">
        <f>HYPERLINK("http://mcb-m6.bioreg.kyushu-u.ac.jp/M3/20110404/F50771/3025/1", 131.43)</f>
        <v>131.43</v>
      </c>
      <c r="E13437" s="2">
        <v>119.66</v>
      </c>
      <c r="F13437" s="2">
        <v>2</v>
      </c>
      <c r="G13437" s="2" t="s">
        <v>10</v>
      </c>
    </row>
    <row r="13438" spans="1:8" x14ac:dyDescent="0.2">
      <c r="A13438" s="2" t="s">
        <v>7522</v>
      </c>
      <c r="B13438" s="2" t="s">
        <v>6005</v>
      </c>
      <c r="C13438" s="2">
        <v>461.65559999999999</v>
      </c>
      <c r="D13438" s="2">
        <f>HYPERLINK("http://mcb-m6.bioreg.kyushu-u.ac.jp/M3/20110421/F51019/956/1", 45.64)</f>
        <v>45.64</v>
      </c>
      <c r="E13438" s="2">
        <v>22.48</v>
      </c>
      <c r="F13438" s="2">
        <v>2</v>
      </c>
      <c r="G13438" s="2" t="s">
        <v>11</v>
      </c>
    </row>
    <row r="13439" spans="1:8" x14ac:dyDescent="0.2">
      <c r="A13439" s="2" t="s">
        <v>7522</v>
      </c>
      <c r="B13439" s="2" t="s">
        <v>5912</v>
      </c>
      <c r="C13439" s="2">
        <v>730.3116</v>
      </c>
      <c r="D13439" s="2">
        <f>HYPERLINK("http://mcb-m6.bioreg.kyushu-u.ac.jp/M3/20110421/F51019/2018/1", 72.8)</f>
        <v>72.8</v>
      </c>
      <c r="E13439" s="2">
        <v>60.43</v>
      </c>
      <c r="F13439" s="2">
        <v>2</v>
      </c>
      <c r="G13439" s="2" t="s">
        <v>11</v>
      </c>
      <c r="H13439" s="2" t="s">
        <v>4904</v>
      </c>
    </row>
    <row r="13440" spans="1:8" x14ac:dyDescent="0.2">
      <c r="A13440" s="2" t="s">
        <v>7522</v>
      </c>
      <c r="B13440" s="2" t="s">
        <v>5912</v>
      </c>
      <c r="C13440" s="2">
        <v>738.23969999999997</v>
      </c>
      <c r="D13440" s="2">
        <f>HYPERLINK("http://mcb-m6.bioreg.kyushu-u.ac.jp/M3/20110421/F51020/2013/1", 92.36)</f>
        <v>92.36</v>
      </c>
      <c r="E13440" s="2">
        <v>76.52</v>
      </c>
      <c r="F13440" s="2">
        <v>2</v>
      </c>
      <c r="G13440" s="2" t="s">
        <v>11</v>
      </c>
    </row>
    <row r="13441" spans="1:8" x14ac:dyDescent="0.2">
      <c r="A13441" s="2" t="s">
        <v>7522</v>
      </c>
      <c r="B13441" s="2" t="s">
        <v>6338</v>
      </c>
      <c r="C13441" s="2">
        <v>533.60360000000003</v>
      </c>
      <c r="D13441" s="2">
        <f>HYPERLINK("http://mcb-m6.bioreg.kyushu-u.ac.jp/M3/20110421/F51043/1096/1", 36.31)</f>
        <v>36.31</v>
      </c>
      <c r="E13441" s="2">
        <v>15.27</v>
      </c>
      <c r="F13441" s="2">
        <v>2</v>
      </c>
      <c r="G13441" s="2" t="s">
        <v>12</v>
      </c>
    </row>
    <row r="13442" spans="1:8" x14ac:dyDescent="0.2">
      <c r="A13442" s="2" t="s">
        <v>7522</v>
      </c>
      <c r="B13442" s="2" t="s">
        <v>6020</v>
      </c>
      <c r="C13442" s="2">
        <v>545.23720000000003</v>
      </c>
      <c r="D13442" s="2">
        <f>HYPERLINK("http://mcb-m6.bioreg.kyushu-u.ac.jp/M3/20110421/F51025/1487/1", 37.4)</f>
        <v>37.4</v>
      </c>
      <c r="E13442" s="2">
        <v>18.14</v>
      </c>
      <c r="F13442" s="2">
        <v>2</v>
      </c>
      <c r="G13442" s="2" t="s">
        <v>12</v>
      </c>
    </row>
    <row r="13443" spans="1:8" x14ac:dyDescent="0.2">
      <c r="A13443" s="2" t="s">
        <v>7522</v>
      </c>
      <c r="B13443" s="2" t="s">
        <v>5912</v>
      </c>
      <c r="C13443" s="2">
        <v>738.97360000000003</v>
      </c>
      <c r="D13443" s="2">
        <f>HYPERLINK("http://mcb-m6.bioreg.kyushu-u.ac.jp/M3/20110421/F51026/2052/1", 38.26)</f>
        <v>38.26</v>
      </c>
      <c r="E13443" s="2">
        <v>18.829999999999998</v>
      </c>
      <c r="F13443" s="2">
        <v>2</v>
      </c>
      <c r="G13443" s="2" t="s">
        <v>12</v>
      </c>
    </row>
    <row r="13444" spans="1:8" x14ac:dyDescent="0.2">
      <c r="A13444" s="2" t="s">
        <v>7522</v>
      </c>
      <c r="B13444" s="2" t="s">
        <v>6020</v>
      </c>
      <c r="C13444" s="2">
        <v>544.76919999999996</v>
      </c>
      <c r="D13444" s="2">
        <f>HYPERLINK("http://mcb-m6.bioreg.kyushu-u.ac.jp/M3/20110421/F51025/1485/1", 41.73)</f>
        <v>41.73</v>
      </c>
      <c r="E13444" s="2">
        <v>24.39</v>
      </c>
      <c r="F13444" s="2">
        <v>2</v>
      </c>
      <c r="G13444" s="2" t="s">
        <v>12</v>
      </c>
    </row>
    <row r="13445" spans="1:8" x14ac:dyDescent="0.2">
      <c r="A13445" s="2" t="s">
        <v>7522</v>
      </c>
      <c r="B13445" s="2" t="s">
        <v>7225</v>
      </c>
      <c r="C13445" s="2">
        <v>712.65480000000002</v>
      </c>
      <c r="D13445" s="2">
        <f>HYPERLINK("http://mcb-m6.bioreg.kyushu-u.ac.jp/M3/20110421/F51025/2871/1", 50.8)</f>
        <v>50.8</v>
      </c>
      <c r="E13445" s="2">
        <v>36.26</v>
      </c>
      <c r="F13445" s="2">
        <v>3</v>
      </c>
      <c r="G13445" s="2" t="s">
        <v>12</v>
      </c>
    </row>
    <row r="13446" spans="1:8" x14ac:dyDescent="0.2">
      <c r="A13446" s="2" t="s">
        <v>7522</v>
      </c>
      <c r="B13446" s="2" t="s">
        <v>6338</v>
      </c>
      <c r="C13446" s="2">
        <v>1065.499</v>
      </c>
      <c r="D13446" s="2">
        <f>HYPERLINK("http://mcb-m6.bioreg.kyushu-u.ac.jp/M3/20110421/F51025/1458/1", 55.75)</f>
        <v>55.75</v>
      </c>
      <c r="E13446" s="2">
        <v>35.72</v>
      </c>
      <c r="F13446" s="2">
        <v>1</v>
      </c>
      <c r="G13446" s="2" t="s">
        <v>12</v>
      </c>
    </row>
    <row r="13447" spans="1:8" x14ac:dyDescent="0.2">
      <c r="A13447" s="2" t="s">
        <v>7522</v>
      </c>
      <c r="B13447" s="2" t="s">
        <v>5912</v>
      </c>
      <c r="C13447" s="2">
        <v>1458.54</v>
      </c>
      <c r="D13447" s="2">
        <f>HYPERLINK("http://mcb-m6.bioreg.kyushu-u.ac.jp/M3/20110421/F51025/1987/1", 69.93)</f>
        <v>69.930000000000007</v>
      </c>
      <c r="E13447" s="2">
        <v>54.59</v>
      </c>
      <c r="F13447" s="2">
        <v>1</v>
      </c>
      <c r="G13447" s="2" t="s">
        <v>12</v>
      </c>
      <c r="H13447" s="2" t="s">
        <v>4904</v>
      </c>
    </row>
    <row r="13448" spans="1:8" x14ac:dyDescent="0.2">
      <c r="A13448" s="2" t="s">
        <v>7522</v>
      </c>
      <c r="B13448" s="2" t="s">
        <v>5912</v>
      </c>
      <c r="C13448" s="2">
        <v>738.76369999999997</v>
      </c>
      <c r="D13448" s="2">
        <f>HYPERLINK("http://mcb-m6.bioreg.kyushu-u.ac.jp/M3/20110421/F51025/2021/1", 89.98)</f>
        <v>89.98</v>
      </c>
      <c r="E13448" s="2">
        <v>78.58</v>
      </c>
      <c r="F13448" s="2">
        <v>2</v>
      </c>
      <c r="G13448" s="2" t="s">
        <v>12</v>
      </c>
    </row>
    <row r="13449" spans="1:8" x14ac:dyDescent="0.2">
      <c r="A13449" s="2" t="s">
        <v>7522</v>
      </c>
      <c r="B13449" s="2" t="s">
        <v>5912</v>
      </c>
      <c r="C13449" s="2">
        <v>738.41920000000005</v>
      </c>
      <c r="D13449" s="2">
        <f>HYPERLINK("http://mcb-m6.bioreg.kyushu-u.ac.jp/M3/20110421/F51048/2180/1", 117.35)</f>
        <v>117.35</v>
      </c>
      <c r="E13449" s="2">
        <v>105.11</v>
      </c>
      <c r="F13449" s="2">
        <v>2</v>
      </c>
      <c r="G13449" s="2" t="s">
        <v>12</v>
      </c>
    </row>
    <row r="13450" spans="1:8" x14ac:dyDescent="0.2">
      <c r="A13450" s="2" t="s">
        <v>7522</v>
      </c>
      <c r="B13450" s="2" t="s">
        <v>5912</v>
      </c>
      <c r="C13450" s="2">
        <v>738.36519999999996</v>
      </c>
      <c r="D13450" s="2">
        <f>HYPERLINK("http://mcb-m6.bioreg.kyushu-u.ac.jp/M3/20110421/F51044/2038/1", 127.22)</f>
        <v>127.22</v>
      </c>
      <c r="E13450" s="2">
        <v>105.7</v>
      </c>
      <c r="F13450" s="2">
        <v>2</v>
      </c>
      <c r="G13450" s="2" t="s">
        <v>12</v>
      </c>
    </row>
    <row r="13451" spans="1:8" x14ac:dyDescent="0.2">
      <c r="A13451" s="2" t="s">
        <v>7522</v>
      </c>
      <c r="B13451" s="2" t="s">
        <v>7064</v>
      </c>
      <c r="C13451" s="2">
        <v>714.03650000000005</v>
      </c>
      <c r="D13451" s="2">
        <f>HYPERLINK("http://mcb-m6.bioreg.kyushu-u.ac.jp/M3/20110427/F51116/3220/1", 50.25)</f>
        <v>50.25</v>
      </c>
      <c r="E13451" s="2">
        <v>35.799999999999997</v>
      </c>
      <c r="F13451" s="2">
        <v>3</v>
      </c>
      <c r="G13451" s="2" t="s">
        <v>13</v>
      </c>
    </row>
    <row r="13452" spans="1:8" x14ac:dyDescent="0.2">
      <c r="A13452" s="2" t="s">
        <v>7522</v>
      </c>
      <c r="B13452" s="2" t="s">
        <v>6338</v>
      </c>
      <c r="C13452" s="2">
        <v>533.07209999999998</v>
      </c>
      <c r="D13452" s="2">
        <f>HYPERLINK("http://mcb-m6.bioreg.kyushu-u.ac.jp/M3/20110427/F51117/1137/1", 57.31)</f>
        <v>57.31</v>
      </c>
      <c r="E13452" s="2">
        <v>24.87</v>
      </c>
      <c r="F13452" s="2">
        <v>2</v>
      </c>
      <c r="G13452" s="2" t="s">
        <v>13</v>
      </c>
    </row>
    <row r="13453" spans="1:8" x14ac:dyDescent="0.2">
      <c r="A13453" s="2" t="s">
        <v>7522</v>
      </c>
      <c r="B13453" s="2" t="s">
        <v>5912</v>
      </c>
      <c r="C13453" s="2">
        <v>738.23569999999995</v>
      </c>
      <c r="D13453" s="2">
        <f>HYPERLINK("http://mcb-m6.bioreg.kyushu-u.ac.jp/M3/20110427/F51117/1973/1", 97.78)</f>
        <v>97.78</v>
      </c>
      <c r="E13453" s="2">
        <v>79.94</v>
      </c>
      <c r="F13453" s="2">
        <v>2</v>
      </c>
      <c r="G13453" s="2" t="s">
        <v>13</v>
      </c>
    </row>
    <row r="13454" spans="1:8" x14ac:dyDescent="0.2">
      <c r="A13454" s="2" t="s">
        <v>7522</v>
      </c>
      <c r="B13454" s="2" t="s">
        <v>5912</v>
      </c>
      <c r="C13454" s="2">
        <v>738.25369999999998</v>
      </c>
      <c r="D13454" s="2">
        <f>HYPERLINK("http://mcb-m6.bioreg.kyushu-u.ac.jp/M3/20110427/F51116/2026/1", 122.39)</f>
        <v>122.39</v>
      </c>
      <c r="E13454" s="2">
        <v>105.37</v>
      </c>
      <c r="F13454" s="2">
        <v>2</v>
      </c>
      <c r="G13454" s="2" t="s">
        <v>13</v>
      </c>
    </row>
    <row r="13455" spans="1:8" x14ac:dyDescent="0.2">
      <c r="A13455" s="2" t="s">
        <v>7522</v>
      </c>
      <c r="B13455" s="2" t="s">
        <v>5912</v>
      </c>
      <c r="C13455" s="2">
        <v>738.0992</v>
      </c>
      <c r="D13455" s="2">
        <f>HYPERLINK("http://mcb-m6.bioreg.kyushu-u.ac.jp/M3/20110427/F51125/2057/1", 39.14)</f>
        <v>39.14</v>
      </c>
      <c r="E13455" s="2">
        <v>25.1</v>
      </c>
      <c r="F13455" s="2">
        <v>2</v>
      </c>
      <c r="G13455" s="2" t="s">
        <v>14</v>
      </c>
    </row>
    <row r="13456" spans="1:8" x14ac:dyDescent="0.2">
      <c r="A13456" s="2" t="s">
        <v>7522</v>
      </c>
      <c r="B13456" s="2" t="s">
        <v>5912</v>
      </c>
      <c r="C13456" s="2">
        <v>730.08669999999995</v>
      </c>
      <c r="D13456" s="2">
        <f>HYPERLINK("http://mcb-m6.bioreg.kyushu-u.ac.jp/M3/20110427/F51125/2030/1", 62.88)</f>
        <v>62.88</v>
      </c>
      <c r="E13456" s="2">
        <v>50.66</v>
      </c>
      <c r="F13456" s="2">
        <v>2</v>
      </c>
      <c r="G13456" s="2" t="s">
        <v>14</v>
      </c>
      <c r="H13456" s="2" t="s">
        <v>4904</v>
      </c>
    </row>
    <row r="13457" spans="1:9" x14ac:dyDescent="0.2">
      <c r="A13457" s="2" t="s">
        <v>7522</v>
      </c>
      <c r="B13457" s="2" t="s">
        <v>5912</v>
      </c>
      <c r="C13457" s="2">
        <v>738.66420000000005</v>
      </c>
      <c r="D13457" s="2">
        <f>HYPERLINK("http://mcb-m6.bioreg.kyushu-u.ac.jp/M3/20110427/F51123/2019/1", 72.43)</f>
        <v>72.430000000000007</v>
      </c>
      <c r="E13457" s="2">
        <v>54.12</v>
      </c>
      <c r="F13457" s="2">
        <v>2</v>
      </c>
      <c r="G13457" s="2" t="s">
        <v>14</v>
      </c>
    </row>
    <row r="13458" spans="1:9" x14ac:dyDescent="0.2">
      <c r="A13458" s="2" t="s">
        <v>7522</v>
      </c>
      <c r="B13458" s="2" t="s">
        <v>5912</v>
      </c>
      <c r="C13458" s="2">
        <v>738.69709999999998</v>
      </c>
      <c r="D13458" s="2">
        <f>HYPERLINK("http://mcb-m6.bioreg.kyushu-u.ac.jp/M3/20110428/F51129/2030/1", 92.37)</f>
        <v>92.37</v>
      </c>
      <c r="E13458" s="2">
        <v>79.78</v>
      </c>
      <c r="F13458" s="2">
        <v>2</v>
      </c>
      <c r="G13458" s="2" t="s">
        <v>14</v>
      </c>
    </row>
    <row r="13459" spans="1:9" x14ac:dyDescent="0.2">
      <c r="A13459" s="2" t="s">
        <v>7522</v>
      </c>
      <c r="B13459" s="2" t="s">
        <v>5912</v>
      </c>
      <c r="C13459" s="2">
        <v>738.25570000000005</v>
      </c>
      <c r="D13459" s="2">
        <f>HYPERLINK("http://mcb-m6.bioreg.kyushu-u.ac.jp/M3/20110427/F51122/2139/1", 98.6)</f>
        <v>98.6</v>
      </c>
      <c r="E13459" s="2">
        <v>69.12</v>
      </c>
      <c r="F13459" s="2">
        <v>2</v>
      </c>
      <c r="G13459" s="2" t="s">
        <v>14</v>
      </c>
    </row>
    <row r="13460" spans="1:9" x14ac:dyDescent="0.2">
      <c r="A13460" s="2" t="s">
        <v>7522</v>
      </c>
      <c r="B13460" s="2" t="s">
        <v>5912</v>
      </c>
      <c r="C13460" s="2">
        <v>738.25819999999999</v>
      </c>
      <c r="D13460" s="2">
        <f>HYPERLINK("http://mcb-m6.bioreg.kyushu-u.ac.jp/M3/20110427/F51124/2002/1", 100.8)</f>
        <v>100.8</v>
      </c>
      <c r="E13460" s="2">
        <v>81.180000000000007</v>
      </c>
      <c r="F13460" s="2">
        <v>2</v>
      </c>
      <c r="G13460" s="2" t="s">
        <v>14</v>
      </c>
    </row>
    <row r="13461" spans="1:9" x14ac:dyDescent="0.2">
      <c r="A13461" s="2" t="s">
        <v>7522</v>
      </c>
      <c r="B13461" s="2" t="s">
        <v>5912</v>
      </c>
      <c r="C13461" s="2">
        <v>738.1816</v>
      </c>
      <c r="D13461" s="2">
        <f>HYPERLINK("http://mcb-m6.bioreg.kyushu-u.ac.jp/M3/20110428/F51126/2053/1", 118.71)</f>
        <v>118.71</v>
      </c>
      <c r="E13461" s="2">
        <v>103.02</v>
      </c>
      <c r="F13461" s="2">
        <v>2</v>
      </c>
      <c r="G13461" s="2" t="s">
        <v>14</v>
      </c>
    </row>
    <row r="13462" spans="1:9" x14ac:dyDescent="0.2">
      <c r="A13462" s="2" t="s">
        <v>7859</v>
      </c>
      <c r="B13462" s="2" t="s">
        <v>6846</v>
      </c>
      <c r="C13462" s="2">
        <v>889.31899999999996</v>
      </c>
      <c r="D13462" s="2">
        <f>HYPERLINK("http://mcb-m6.bioreg.kyushu-u.ac.jp/M3/20110404/F50771/844/1", 49.6)</f>
        <v>49.6</v>
      </c>
      <c r="E13462" s="2">
        <v>30.77</v>
      </c>
      <c r="F13462" s="2">
        <v>1</v>
      </c>
      <c r="G13462" s="2" t="s">
        <v>10</v>
      </c>
    </row>
    <row r="13463" spans="1:9" x14ac:dyDescent="0.2">
      <c r="A13463" s="2" t="s">
        <v>7859</v>
      </c>
      <c r="B13463" s="2" t="s">
        <v>6846</v>
      </c>
      <c r="C13463" s="2">
        <v>889.46299999999997</v>
      </c>
      <c r="D13463" s="2">
        <f>HYPERLINK("http://mcb-m6.bioreg.kyushu-u.ac.jp/M3/20110404/F50772/803/1", 50.16)</f>
        <v>50.16</v>
      </c>
      <c r="E13463" s="2">
        <v>25.58</v>
      </c>
      <c r="F13463" s="2">
        <v>1</v>
      </c>
      <c r="G13463" s="2" t="s">
        <v>10</v>
      </c>
    </row>
    <row r="13464" spans="1:9" x14ac:dyDescent="0.2">
      <c r="A13464" s="2" t="s">
        <v>7899</v>
      </c>
      <c r="B13464" s="2" t="s">
        <v>7023</v>
      </c>
      <c r="C13464" s="2">
        <v>790.19169999999997</v>
      </c>
      <c r="D13464" s="2">
        <f>HYPERLINK("http://mcb-m6.bioreg.kyushu-u.ac.jp/M3/20110404/F50771/2108/1", 82.66)</f>
        <v>82.66</v>
      </c>
      <c r="E13464" s="2">
        <v>64.58</v>
      </c>
      <c r="F13464" s="2">
        <v>2</v>
      </c>
      <c r="G13464" s="2" t="s">
        <v>10</v>
      </c>
    </row>
    <row r="13465" spans="1:9" x14ac:dyDescent="0.2">
      <c r="A13465" s="2" t="s">
        <v>7899</v>
      </c>
      <c r="B13465" s="2" t="s">
        <v>7023</v>
      </c>
      <c r="C13465" s="2">
        <v>789.63170000000002</v>
      </c>
      <c r="D13465" s="2">
        <f>HYPERLINK("http://mcb-m6.bioreg.kyushu-u.ac.jp/M3/20110404/F50771/2107/1", 87.84)</f>
        <v>87.84</v>
      </c>
      <c r="E13465" s="2">
        <v>71.650000000000006</v>
      </c>
      <c r="F13465" s="2">
        <v>2</v>
      </c>
      <c r="G13465" s="2" t="s">
        <v>10</v>
      </c>
    </row>
    <row r="13466" spans="1:9" x14ac:dyDescent="0.2">
      <c r="A13466" s="2" t="s">
        <v>7899</v>
      </c>
      <c r="B13466" s="2" t="s">
        <v>7045</v>
      </c>
      <c r="C13466" s="2">
        <v>910.69209999999998</v>
      </c>
      <c r="D13466" s="2">
        <f>HYPERLINK("http://mcb-m6.bioreg.kyushu-u.ac.jp/M3/20110404/F50771/2551/1", 92.45)</f>
        <v>92.45</v>
      </c>
      <c r="E13466" s="2">
        <v>80.17</v>
      </c>
      <c r="F13466" s="2">
        <v>2</v>
      </c>
      <c r="G13466" s="2" t="s">
        <v>10</v>
      </c>
    </row>
    <row r="13467" spans="1:9" x14ac:dyDescent="0.2">
      <c r="A13467" s="2" t="s">
        <v>7526</v>
      </c>
      <c r="B13467" s="2" t="s">
        <v>5918</v>
      </c>
      <c r="C13467" s="2">
        <v>485.8021</v>
      </c>
      <c r="D13467" s="2">
        <f>HYPERLINK("http://mcb-m6.bioreg.kyushu-u.ac.jp/M3/20110404/F50765/880/1", 35.71)</f>
        <v>35.71</v>
      </c>
      <c r="E13467" s="2">
        <v>19.579999999999998</v>
      </c>
      <c r="F13467" s="2">
        <v>2</v>
      </c>
      <c r="G13467" s="2" t="s">
        <v>9</v>
      </c>
    </row>
    <row r="13468" spans="1:9" x14ac:dyDescent="0.2">
      <c r="A13468" s="2" t="s">
        <v>7526</v>
      </c>
      <c r="B13468" s="2" t="s">
        <v>5918</v>
      </c>
      <c r="C13468" s="2">
        <v>485.1001</v>
      </c>
      <c r="D13468" s="2">
        <f>HYPERLINK("http://mcb-m6.bioreg.kyushu-u.ac.jp/M3/20110404/F50766/455/1", 35.76)</f>
        <v>35.76</v>
      </c>
      <c r="E13468" s="2">
        <v>12.94</v>
      </c>
      <c r="F13468" s="2">
        <v>2</v>
      </c>
      <c r="G13468" s="2" t="s">
        <v>9</v>
      </c>
    </row>
    <row r="13469" spans="1:9" x14ac:dyDescent="0.2">
      <c r="A13469" s="2" t="s">
        <v>7526</v>
      </c>
      <c r="B13469" s="2" t="s">
        <v>5922</v>
      </c>
      <c r="C13469" s="2">
        <v>849.37270000000001</v>
      </c>
      <c r="D13469" s="2">
        <f>HYPERLINK("http://mcb-m6.bioreg.kyushu-u.ac.jp/M3/20110404/F50765/2295/1", 35.83)</f>
        <v>35.83</v>
      </c>
      <c r="E13469" s="2">
        <v>19.899999999999999</v>
      </c>
      <c r="F13469" s="2">
        <v>2</v>
      </c>
      <c r="G13469" s="2" t="s">
        <v>9</v>
      </c>
      <c r="I13469" s="2" t="s">
        <v>4926</v>
      </c>
    </row>
    <row r="13470" spans="1:9" x14ac:dyDescent="0.2">
      <c r="A13470" s="2" t="s">
        <v>7526</v>
      </c>
      <c r="B13470" s="2" t="s">
        <v>5939</v>
      </c>
      <c r="C13470" s="2">
        <v>1113.5889999999999</v>
      </c>
      <c r="D13470" s="2">
        <f>HYPERLINK("http://mcb-m6.bioreg.kyushu-u.ac.jp/M3/20110404/F50765/1123/1", 36.4)</f>
        <v>36.4</v>
      </c>
      <c r="E13470" s="2">
        <v>16.920000000000002</v>
      </c>
      <c r="F13470" s="2">
        <v>1</v>
      </c>
      <c r="G13470" s="2" t="s">
        <v>9</v>
      </c>
    </row>
    <row r="13471" spans="1:9" x14ac:dyDescent="0.2">
      <c r="A13471" s="2" t="s">
        <v>7526</v>
      </c>
      <c r="B13471" s="2" t="s">
        <v>5943</v>
      </c>
      <c r="C13471" s="2">
        <v>1079.6679999999999</v>
      </c>
      <c r="D13471" s="2">
        <f>HYPERLINK("http://mcb-m6.bioreg.kyushu-u.ac.jp/M3/20110404/F50765/1080/1", 36.49)</f>
        <v>36.49</v>
      </c>
      <c r="E13471" s="2">
        <v>16.38</v>
      </c>
      <c r="F13471" s="2">
        <v>1</v>
      </c>
      <c r="G13471" s="2" t="s">
        <v>9</v>
      </c>
    </row>
    <row r="13472" spans="1:9" x14ac:dyDescent="0.2">
      <c r="A13472" s="2" t="s">
        <v>7526</v>
      </c>
      <c r="B13472" s="2" t="s">
        <v>6056</v>
      </c>
      <c r="C13472" s="2">
        <v>835.53309999999999</v>
      </c>
      <c r="D13472" s="2">
        <f>HYPERLINK("http://mcb-m6.bioreg.kyushu-u.ac.jp/M3/20110404/F50765/2248/1", 40.43)</f>
        <v>40.43</v>
      </c>
      <c r="E13472" s="2">
        <v>22.73</v>
      </c>
      <c r="F13472" s="2">
        <v>2</v>
      </c>
      <c r="G13472" s="2" t="s">
        <v>9</v>
      </c>
    </row>
    <row r="13473" spans="1:7" x14ac:dyDescent="0.2">
      <c r="A13473" s="2" t="s">
        <v>7526</v>
      </c>
      <c r="B13473" s="2" t="s">
        <v>6058</v>
      </c>
      <c r="C13473" s="2">
        <v>1261.616</v>
      </c>
      <c r="D13473" s="2">
        <f>HYPERLINK("http://mcb-m6.bioreg.kyushu-u.ac.jp/M3/20110404/F50765/1352/1", 40.5)</f>
        <v>40.5</v>
      </c>
      <c r="E13473" s="2">
        <v>25.27</v>
      </c>
      <c r="F13473" s="2">
        <v>1</v>
      </c>
      <c r="G13473" s="2" t="s">
        <v>9</v>
      </c>
    </row>
    <row r="13474" spans="1:7" x14ac:dyDescent="0.2">
      <c r="A13474" s="2" t="s">
        <v>7526</v>
      </c>
      <c r="B13474" s="2" t="s">
        <v>6061</v>
      </c>
      <c r="C13474" s="2">
        <v>698.52089999999998</v>
      </c>
      <c r="D13474" s="2">
        <f>HYPERLINK("http://mcb-m6.bioreg.kyushu-u.ac.jp/M3/20110404/F50766/3210/1", 40.55)</f>
        <v>40.549999999999997</v>
      </c>
      <c r="E13474" s="2">
        <v>28.6</v>
      </c>
      <c r="F13474" s="2">
        <v>3</v>
      </c>
      <c r="G13474" s="2" t="s">
        <v>9</v>
      </c>
    </row>
    <row r="13475" spans="1:7" x14ac:dyDescent="0.2">
      <c r="A13475" s="2" t="s">
        <v>7526</v>
      </c>
      <c r="B13475" s="2" t="s">
        <v>6090</v>
      </c>
      <c r="C13475" s="2">
        <v>741.57749999999999</v>
      </c>
      <c r="D13475" s="2">
        <f>HYPERLINK("http://mcb-m6.bioreg.kyushu-u.ac.jp/M3/20110404/F50765/3142/1", 41.86)</f>
        <v>41.86</v>
      </c>
      <c r="E13475" s="2">
        <v>27.26</v>
      </c>
      <c r="F13475" s="2">
        <v>3</v>
      </c>
      <c r="G13475" s="2" t="s">
        <v>9</v>
      </c>
    </row>
    <row r="13476" spans="1:7" x14ac:dyDescent="0.2">
      <c r="A13476" s="2" t="s">
        <v>7526</v>
      </c>
      <c r="B13476" s="2" t="s">
        <v>6101</v>
      </c>
      <c r="C13476" s="2">
        <v>513.80409999999995</v>
      </c>
      <c r="D13476" s="2">
        <f>HYPERLINK("http://mcb-m6.bioreg.kyushu-u.ac.jp/M3/20110404/F50765/980/1", 42.48)</f>
        <v>42.48</v>
      </c>
      <c r="E13476" s="2">
        <v>24.96</v>
      </c>
      <c r="F13476" s="2">
        <v>2</v>
      </c>
      <c r="G13476" s="2" t="s">
        <v>9</v>
      </c>
    </row>
    <row r="13477" spans="1:7" x14ac:dyDescent="0.2">
      <c r="A13477" s="2" t="s">
        <v>7526</v>
      </c>
      <c r="B13477" s="2" t="s">
        <v>6105</v>
      </c>
      <c r="C13477" s="2">
        <v>1046.48</v>
      </c>
      <c r="D13477" s="2">
        <f>HYPERLINK("http://mcb-m6.bioreg.kyushu-u.ac.jp/M3/20110404/F50765/1017/1", 42.83)</f>
        <v>42.83</v>
      </c>
      <c r="E13477" s="2">
        <v>29.56</v>
      </c>
      <c r="F13477" s="2">
        <v>1</v>
      </c>
      <c r="G13477" s="2" t="s">
        <v>9</v>
      </c>
    </row>
    <row r="13478" spans="1:7" x14ac:dyDescent="0.2">
      <c r="A13478" s="2" t="s">
        <v>7526</v>
      </c>
      <c r="B13478" s="2" t="s">
        <v>6118</v>
      </c>
      <c r="C13478" s="2">
        <v>1018.472</v>
      </c>
      <c r="D13478" s="2">
        <f>HYPERLINK("http://mcb-m6.bioreg.kyushu-u.ac.jp/M3/20110404/F50765/966/1", 43.34)</f>
        <v>43.34</v>
      </c>
      <c r="E13478" s="2">
        <v>17.23</v>
      </c>
      <c r="F13478" s="2">
        <v>1</v>
      </c>
      <c r="G13478" s="2" t="s">
        <v>9</v>
      </c>
    </row>
    <row r="13479" spans="1:7" x14ac:dyDescent="0.2">
      <c r="A13479" s="2" t="s">
        <v>7526</v>
      </c>
      <c r="B13479" s="2" t="s">
        <v>6123</v>
      </c>
      <c r="C13479" s="2">
        <v>1208.4960000000001</v>
      </c>
      <c r="D13479" s="2">
        <f>HYPERLINK("http://mcb-m6.bioreg.kyushu-u.ac.jp/M3/20110404/F50765/1256/1", 43.61)</f>
        <v>43.61</v>
      </c>
      <c r="E13479" s="2">
        <v>20.72</v>
      </c>
      <c r="F13479" s="2">
        <v>1</v>
      </c>
      <c r="G13479" s="2" t="s">
        <v>9</v>
      </c>
    </row>
    <row r="13480" spans="1:7" x14ac:dyDescent="0.2">
      <c r="A13480" s="2" t="s">
        <v>7526</v>
      </c>
      <c r="B13480" s="2" t="s">
        <v>6126</v>
      </c>
      <c r="C13480" s="2">
        <v>480.3236</v>
      </c>
      <c r="D13480" s="2">
        <f>HYPERLINK("http://mcb-m6.bioreg.kyushu-u.ac.jp/M3/20110404/F50765/866/1", 43.68)</f>
        <v>43.68</v>
      </c>
      <c r="E13480" s="2">
        <v>12.65</v>
      </c>
      <c r="F13480" s="2">
        <v>2</v>
      </c>
      <c r="G13480" s="2" t="s">
        <v>9</v>
      </c>
    </row>
    <row r="13481" spans="1:7" x14ac:dyDescent="0.2">
      <c r="A13481" s="2" t="s">
        <v>7526</v>
      </c>
      <c r="B13481" s="2" t="s">
        <v>6131</v>
      </c>
      <c r="C13481" s="2">
        <v>1393.652</v>
      </c>
      <c r="D13481" s="2">
        <f>HYPERLINK("http://mcb-m6.bioreg.kyushu-u.ac.jp/M3/20110404/F50765/1629/1", 43.88)</f>
        <v>43.88</v>
      </c>
      <c r="E13481" s="2">
        <v>28.58</v>
      </c>
      <c r="F13481" s="2">
        <v>1</v>
      </c>
      <c r="G13481" s="2" t="s">
        <v>9</v>
      </c>
    </row>
    <row r="13482" spans="1:7" x14ac:dyDescent="0.2">
      <c r="A13482" s="2" t="s">
        <v>7526</v>
      </c>
      <c r="B13482" s="2" t="s">
        <v>6058</v>
      </c>
      <c r="C13482" s="2">
        <v>1260.6389999999999</v>
      </c>
      <c r="D13482" s="2">
        <f>HYPERLINK("http://mcb-m6.bioreg.kyushu-u.ac.jp/M3/20110404/F50765/1346/1", 43.96)</f>
        <v>43.96</v>
      </c>
      <c r="E13482" s="2">
        <v>25.59</v>
      </c>
      <c r="F13482" s="2">
        <v>1</v>
      </c>
      <c r="G13482" s="2" t="s">
        <v>9</v>
      </c>
    </row>
    <row r="13483" spans="1:7" x14ac:dyDescent="0.2">
      <c r="A13483" s="2" t="s">
        <v>7526</v>
      </c>
      <c r="B13483" s="2" t="s">
        <v>6123</v>
      </c>
      <c r="C13483" s="2">
        <v>604.73419999999999</v>
      </c>
      <c r="D13483" s="2">
        <f>HYPERLINK("http://mcb-m6.bioreg.kyushu-u.ac.jp/M3/20110404/F50765/1255/1", 44.48)</f>
        <v>44.48</v>
      </c>
      <c r="E13483" s="2">
        <v>24.02</v>
      </c>
      <c r="F13483" s="2">
        <v>2</v>
      </c>
      <c r="G13483" s="2" t="s">
        <v>9</v>
      </c>
    </row>
    <row r="13484" spans="1:7" x14ac:dyDescent="0.2">
      <c r="A13484" s="2" t="s">
        <v>7526</v>
      </c>
      <c r="B13484" s="2" t="s">
        <v>5918</v>
      </c>
      <c r="C13484" s="2">
        <v>969.50300000000004</v>
      </c>
      <c r="D13484" s="2">
        <f>HYPERLINK("http://mcb-m6.bioreg.kyushu-u.ac.jp/M3/20110404/F50765/878/1", 44.58)</f>
        <v>44.58</v>
      </c>
      <c r="E13484" s="2">
        <v>26.35</v>
      </c>
      <c r="F13484" s="2">
        <v>1</v>
      </c>
      <c r="G13484" s="2" t="s">
        <v>9</v>
      </c>
    </row>
    <row r="13485" spans="1:7" x14ac:dyDescent="0.2">
      <c r="A13485" s="2" t="s">
        <v>7526</v>
      </c>
      <c r="B13485" s="2" t="s">
        <v>6163</v>
      </c>
      <c r="C13485" s="2">
        <v>518.13959999999997</v>
      </c>
      <c r="D13485" s="2">
        <f>HYPERLINK("http://mcb-m6.bioreg.kyushu-u.ac.jp/M3/20110404/F50767/835/1", 45.13)</f>
        <v>45.13</v>
      </c>
      <c r="E13485" s="2">
        <v>21.27</v>
      </c>
      <c r="F13485" s="2">
        <v>2</v>
      </c>
      <c r="G13485" s="2" t="s">
        <v>9</v>
      </c>
    </row>
    <row r="13486" spans="1:7" x14ac:dyDescent="0.2">
      <c r="A13486" s="2" t="s">
        <v>7526</v>
      </c>
      <c r="B13486" s="2" t="s">
        <v>6164</v>
      </c>
      <c r="C13486" s="2">
        <v>568.83010000000002</v>
      </c>
      <c r="D13486" s="2">
        <f>HYPERLINK("http://mcb-m6.bioreg.kyushu-u.ac.jp/M3/20110404/F50765/1156/1", 45.22)</f>
        <v>45.22</v>
      </c>
      <c r="E13486" s="2">
        <v>17.25</v>
      </c>
      <c r="F13486" s="2">
        <v>2</v>
      </c>
      <c r="G13486" s="2" t="s">
        <v>9</v>
      </c>
    </row>
    <row r="13487" spans="1:7" x14ac:dyDescent="0.2">
      <c r="A13487" s="2" t="s">
        <v>7526</v>
      </c>
      <c r="B13487" s="2" t="s">
        <v>6170</v>
      </c>
      <c r="C13487" s="2">
        <v>859.13350000000003</v>
      </c>
      <c r="D13487" s="2">
        <f>HYPERLINK("http://mcb-m6.bioreg.kyushu-u.ac.jp/M3/20110404/F50766/4175/1", 45.41)</f>
        <v>45.41</v>
      </c>
      <c r="E13487" s="2">
        <v>37.770000000000003</v>
      </c>
      <c r="F13487" s="2">
        <v>3</v>
      </c>
      <c r="G13487" s="2" t="s">
        <v>9</v>
      </c>
    </row>
    <row r="13488" spans="1:7" x14ac:dyDescent="0.2">
      <c r="A13488" s="2" t="s">
        <v>7526</v>
      </c>
      <c r="B13488" s="2" t="s">
        <v>6173</v>
      </c>
      <c r="C13488" s="2">
        <v>692.82709999999997</v>
      </c>
      <c r="D13488" s="2">
        <f>HYPERLINK("http://mcb-m6.bioreg.kyushu-u.ac.jp/M3/20110404/F50765/1603/1", 45.46)</f>
        <v>45.46</v>
      </c>
      <c r="E13488" s="2">
        <v>33.840000000000003</v>
      </c>
      <c r="F13488" s="2">
        <v>2</v>
      </c>
      <c r="G13488" s="2" t="s">
        <v>9</v>
      </c>
    </row>
    <row r="13489" spans="1:8" x14ac:dyDescent="0.2">
      <c r="A13489" s="2" t="s">
        <v>7526</v>
      </c>
      <c r="B13489" s="2" t="s">
        <v>6200</v>
      </c>
      <c r="C13489" s="2">
        <v>614.80769999999995</v>
      </c>
      <c r="D13489" s="2">
        <f>HYPERLINK("http://mcb-m6.bioreg.kyushu-u.ac.jp/M3/20110404/F50765/1304/1", 46.25)</f>
        <v>46.25</v>
      </c>
      <c r="E13489" s="2">
        <v>29.65</v>
      </c>
      <c r="F13489" s="2">
        <v>2</v>
      </c>
      <c r="G13489" s="2" t="s">
        <v>9</v>
      </c>
    </row>
    <row r="13490" spans="1:8" x14ac:dyDescent="0.2">
      <c r="A13490" s="2" t="s">
        <v>7526</v>
      </c>
      <c r="B13490" s="2" t="s">
        <v>6210</v>
      </c>
      <c r="C13490" s="2">
        <v>1272.5709999999999</v>
      </c>
      <c r="D13490" s="2">
        <f>HYPERLINK("http://mcb-m6.bioreg.kyushu-u.ac.jp/M3/20110404/F50765/1371/1", 46.79)</f>
        <v>46.79</v>
      </c>
      <c r="E13490" s="2">
        <v>26.17</v>
      </c>
      <c r="F13490" s="2">
        <v>1</v>
      </c>
      <c r="G13490" s="2" t="s">
        <v>9</v>
      </c>
    </row>
    <row r="13491" spans="1:8" x14ac:dyDescent="0.2">
      <c r="A13491" s="2" t="s">
        <v>7526</v>
      </c>
      <c r="B13491" s="2" t="s">
        <v>6229</v>
      </c>
      <c r="C13491" s="2">
        <v>798.85770000000002</v>
      </c>
      <c r="D13491" s="2">
        <f>HYPERLINK("http://mcb-m6.bioreg.kyushu-u.ac.jp/M3/20110404/F50765/2102/1", 47.63)</f>
        <v>47.63</v>
      </c>
      <c r="E13491" s="2">
        <v>38.57</v>
      </c>
      <c r="F13491" s="2">
        <v>2</v>
      </c>
      <c r="G13491" s="2" t="s">
        <v>9</v>
      </c>
      <c r="H13491" s="2" t="s">
        <v>4904</v>
      </c>
    </row>
    <row r="13492" spans="1:8" x14ac:dyDescent="0.2">
      <c r="A13492" s="2" t="s">
        <v>7526</v>
      </c>
      <c r="B13492" s="2" t="s">
        <v>6126</v>
      </c>
      <c r="C13492" s="2">
        <v>479.80160000000001</v>
      </c>
      <c r="D13492" s="2">
        <f>HYPERLINK("http://mcb-m6.bioreg.kyushu-u.ac.jp/M3/20110404/F50765/861/1", 48.75)</f>
        <v>48.75</v>
      </c>
      <c r="E13492" s="2">
        <v>18</v>
      </c>
      <c r="F13492" s="2">
        <v>2</v>
      </c>
      <c r="G13492" s="2" t="s">
        <v>9</v>
      </c>
    </row>
    <row r="13493" spans="1:8" x14ac:dyDescent="0.2">
      <c r="A13493" s="2" t="s">
        <v>7526</v>
      </c>
      <c r="B13493" s="2" t="s">
        <v>6243</v>
      </c>
      <c r="C13493" s="2">
        <v>755.96119999999996</v>
      </c>
      <c r="D13493" s="2">
        <f>HYPERLINK("http://mcb-m6.bioreg.kyushu-u.ac.jp/M3/20110404/F50765/1919/1", 48.75)</f>
        <v>48.75</v>
      </c>
      <c r="E13493" s="2">
        <v>32.36</v>
      </c>
      <c r="F13493" s="2">
        <v>2</v>
      </c>
      <c r="G13493" s="2" t="s">
        <v>9</v>
      </c>
      <c r="H13493" s="2" t="s">
        <v>4891</v>
      </c>
    </row>
    <row r="13494" spans="1:8" x14ac:dyDescent="0.2">
      <c r="A13494" s="2" t="s">
        <v>7526</v>
      </c>
      <c r="B13494" s="2" t="s">
        <v>5918</v>
      </c>
      <c r="C13494" s="2">
        <v>485.29910000000001</v>
      </c>
      <c r="D13494" s="2">
        <f>HYPERLINK("http://mcb-m6.bioreg.kyushu-u.ac.jp/M3/20110404/F50765/879/1", 49.33)</f>
        <v>49.33</v>
      </c>
      <c r="E13494" s="2">
        <v>26.33</v>
      </c>
      <c r="F13494" s="2">
        <v>2</v>
      </c>
      <c r="G13494" s="2" t="s">
        <v>9</v>
      </c>
    </row>
    <row r="13495" spans="1:8" x14ac:dyDescent="0.2">
      <c r="A13495" s="2" t="s">
        <v>7526</v>
      </c>
      <c r="B13495" s="2" t="s">
        <v>6254</v>
      </c>
      <c r="C13495" s="2">
        <v>645.34519999999998</v>
      </c>
      <c r="D13495" s="2">
        <f>HYPERLINK("http://mcb-m6.bioreg.kyushu-u.ac.jp/M3/20110404/F50765/1407/1", 49.36)</f>
        <v>49.36</v>
      </c>
      <c r="E13495" s="2">
        <v>29.06</v>
      </c>
      <c r="F13495" s="2">
        <v>2</v>
      </c>
      <c r="G13495" s="2" t="s">
        <v>9</v>
      </c>
    </row>
    <row r="13496" spans="1:8" x14ac:dyDescent="0.2">
      <c r="A13496" s="2" t="s">
        <v>7526</v>
      </c>
      <c r="B13496" s="2" t="s">
        <v>6258</v>
      </c>
      <c r="C13496" s="2">
        <v>990.4597</v>
      </c>
      <c r="D13496" s="2">
        <f>HYPERLINK("http://mcb-m6.bioreg.kyushu-u.ac.jp/M3/20110404/F50765/2798/1", 49.65)</f>
        <v>49.65</v>
      </c>
      <c r="E13496" s="2">
        <v>40.08</v>
      </c>
      <c r="F13496" s="2">
        <v>2</v>
      </c>
      <c r="G13496" s="2" t="s">
        <v>9</v>
      </c>
      <c r="H13496" s="2" t="s">
        <v>4917</v>
      </c>
    </row>
    <row r="13497" spans="1:8" x14ac:dyDescent="0.2">
      <c r="A13497" s="2" t="s">
        <v>7526</v>
      </c>
      <c r="B13497" s="2" t="s">
        <v>6259</v>
      </c>
      <c r="C13497" s="2">
        <v>577.92359999999996</v>
      </c>
      <c r="D13497" s="2">
        <f>HYPERLINK("http://mcb-m6.bioreg.kyushu-u.ac.jp/M3/20110404/F50765/1177/1", 49.74)</f>
        <v>49.74</v>
      </c>
      <c r="E13497" s="2">
        <v>31.07</v>
      </c>
      <c r="F13497" s="2">
        <v>2</v>
      </c>
      <c r="G13497" s="2" t="s">
        <v>9</v>
      </c>
    </row>
    <row r="13498" spans="1:8" x14ac:dyDescent="0.2">
      <c r="A13498" s="2" t="s">
        <v>7526</v>
      </c>
      <c r="B13498" s="2" t="s">
        <v>6131</v>
      </c>
      <c r="C13498" s="2">
        <v>1392.6179999999999</v>
      </c>
      <c r="D13498" s="2">
        <f>HYPERLINK("http://mcb-m6.bioreg.kyushu-u.ac.jp/M3/20110404/F50765/1626/1", 49.74)</f>
        <v>49.74</v>
      </c>
      <c r="E13498" s="2">
        <v>32.450000000000003</v>
      </c>
      <c r="F13498" s="2">
        <v>1</v>
      </c>
      <c r="G13498" s="2" t="s">
        <v>9</v>
      </c>
    </row>
    <row r="13499" spans="1:8" x14ac:dyDescent="0.2">
      <c r="A13499" s="2" t="s">
        <v>7526</v>
      </c>
      <c r="B13499" s="2" t="s">
        <v>5943</v>
      </c>
      <c r="C13499" s="2">
        <v>540.25019999999995</v>
      </c>
      <c r="D13499" s="2">
        <f>HYPERLINK("http://mcb-m6.bioreg.kyushu-u.ac.jp/M3/20110404/F50765/1077/1", 50.12)</f>
        <v>50.12</v>
      </c>
      <c r="E13499" s="2">
        <v>24</v>
      </c>
      <c r="F13499" s="2">
        <v>2</v>
      </c>
      <c r="G13499" s="2" t="s">
        <v>9</v>
      </c>
    </row>
    <row r="13500" spans="1:8" x14ac:dyDescent="0.2">
      <c r="A13500" s="2" t="s">
        <v>7526</v>
      </c>
      <c r="B13500" s="2" t="s">
        <v>6304</v>
      </c>
      <c r="C13500" s="2">
        <v>702.40620000000001</v>
      </c>
      <c r="D13500" s="2">
        <f>HYPERLINK("http://mcb-m6.bioreg.kyushu-u.ac.jp/M3/20110404/F50765/1648/1", 51.78)</f>
        <v>51.78</v>
      </c>
      <c r="E13500" s="2">
        <v>21.39</v>
      </c>
      <c r="F13500" s="2">
        <v>2</v>
      </c>
      <c r="G13500" s="2" t="s">
        <v>9</v>
      </c>
    </row>
    <row r="13501" spans="1:8" x14ac:dyDescent="0.2">
      <c r="A13501" s="2" t="s">
        <v>7526</v>
      </c>
      <c r="B13501" s="2" t="s">
        <v>6309</v>
      </c>
      <c r="C13501" s="2">
        <v>668.96310000000005</v>
      </c>
      <c r="D13501" s="2">
        <f>HYPERLINK("http://mcb-m6.bioreg.kyushu-u.ac.jp/M3/20110404/F50764/1535/1", 52.13)</f>
        <v>52.13</v>
      </c>
      <c r="E13501" s="2">
        <v>27.99</v>
      </c>
      <c r="F13501" s="2">
        <v>2</v>
      </c>
      <c r="G13501" s="2" t="s">
        <v>9</v>
      </c>
    </row>
    <row r="13502" spans="1:8" x14ac:dyDescent="0.2">
      <c r="A13502" s="2" t="s">
        <v>7526</v>
      </c>
      <c r="B13502" s="2" t="s">
        <v>6316</v>
      </c>
      <c r="C13502" s="2">
        <v>549.17219999999998</v>
      </c>
      <c r="D13502" s="2">
        <f>HYPERLINK("http://mcb-m6.bioreg.kyushu-u.ac.jp/M3/20110404/F50765/1102/1", 52.72)</f>
        <v>52.72</v>
      </c>
      <c r="E13502" s="2">
        <v>35.270000000000003</v>
      </c>
      <c r="F13502" s="2">
        <v>2</v>
      </c>
      <c r="G13502" s="2" t="s">
        <v>9</v>
      </c>
    </row>
    <row r="13503" spans="1:8" x14ac:dyDescent="0.2">
      <c r="A13503" s="2" t="s">
        <v>7526</v>
      </c>
      <c r="B13503" s="2" t="s">
        <v>6105</v>
      </c>
      <c r="C13503" s="2">
        <v>523.65520000000004</v>
      </c>
      <c r="D13503" s="2">
        <f>HYPERLINK("http://mcb-m6.bioreg.kyushu-u.ac.jp/M3/20110404/F50766/584/1", 53.11)</f>
        <v>53.11</v>
      </c>
      <c r="E13503" s="2">
        <v>26.06</v>
      </c>
      <c r="F13503" s="2">
        <v>2</v>
      </c>
      <c r="G13503" s="2" t="s">
        <v>9</v>
      </c>
    </row>
    <row r="13504" spans="1:8" x14ac:dyDescent="0.2">
      <c r="A13504" s="2" t="s">
        <v>7526</v>
      </c>
      <c r="B13504" s="2" t="s">
        <v>6327</v>
      </c>
      <c r="C13504" s="2">
        <v>1309.146</v>
      </c>
      <c r="D13504" s="2">
        <f>HYPERLINK("http://mcb-m6.bioreg.kyushu-u.ac.jp/M3/20110404/F50765/1442/1", 53.28)</f>
        <v>53.28</v>
      </c>
      <c r="E13504" s="2">
        <v>39.47</v>
      </c>
      <c r="F13504" s="2">
        <v>1</v>
      </c>
      <c r="G13504" s="2" t="s">
        <v>9</v>
      </c>
    </row>
    <row r="13505" spans="1:8" x14ac:dyDescent="0.2">
      <c r="A13505" s="2" t="s">
        <v>7526</v>
      </c>
      <c r="B13505" s="2" t="s">
        <v>6170</v>
      </c>
      <c r="C13505" s="2">
        <v>859.65219999999999</v>
      </c>
      <c r="D13505" s="2">
        <f>HYPERLINK("http://mcb-m6.bioreg.kyushu-u.ac.jp/M3/20110404/F50765/3473/1", 53.75)</f>
        <v>53.75</v>
      </c>
      <c r="E13505" s="2">
        <v>43.98</v>
      </c>
      <c r="F13505" s="2">
        <v>3</v>
      </c>
      <c r="G13505" s="2" t="s">
        <v>9</v>
      </c>
    </row>
    <row r="13506" spans="1:8" x14ac:dyDescent="0.2">
      <c r="A13506" s="2" t="s">
        <v>7526</v>
      </c>
      <c r="B13506" s="2" t="s">
        <v>6254</v>
      </c>
      <c r="C13506" s="2">
        <v>644.79669999999999</v>
      </c>
      <c r="D13506" s="2">
        <f>HYPERLINK("http://mcb-m6.bioreg.kyushu-u.ac.jp/M3/20110404/F50765/1405/1", 53.82)</f>
        <v>53.82</v>
      </c>
      <c r="E13506" s="2">
        <v>37.39</v>
      </c>
      <c r="F13506" s="2">
        <v>2</v>
      </c>
      <c r="G13506" s="2" t="s">
        <v>9</v>
      </c>
    </row>
    <row r="13507" spans="1:8" x14ac:dyDescent="0.2">
      <c r="A13507" s="2" t="s">
        <v>7526</v>
      </c>
      <c r="B13507" s="2" t="s">
        <v>6342</v>
      </c>
      <c r="C13507" s="2">
        <v>479.26909999999998</v>
      </c>
      <c r="D13507" s="2">
        <f>HYPERLINK("http://mcb-m6.bioreg.kyushu-u.ac.jp/M3/20110404/F50765/860/1", 54.6)</f>
        <v>54.6</v>
      </c>
      <c r="E13507" s="2">
        <v>24.45</v>
      </c>
      <c r="F13507" s="2">
        <v>2</v>
      </c>
      <c r="G13507" s="2" t="s">
        <v>9</v>
      </c>
    </row>
    <row r="13508" spans="1:8" x14ac:dyDescent="0.2">
      <c r="A13508" s="2" t="s">
        <v>7526</v>
      </c>
      <c r="B13508" s="2" t="s">
        <v>6357</v>
      </c>
      <c r="C13508" s="2">
        <v>776.35469999999998</v>
      </c>
      <c r="D13508" s="2">
        <f>HYPERLINK("http://mcb-m6.bioreg.kyushu-u.ac.jp/M3/20110404/F50767/1901/1", 56.12)</f>
        <v>56.12</v>
      </c>
      <c r="E13508" s="2">
        <v>45.99</v>
      </c>
      <c r="F13508" s="2">
        <v>2</v>
      </c>
      <c r="G13508" s="2" t="s">
        <v>9</v>
      </c>
    </row>
    <row r="13509" spans="1:8" x14ac:dyDescent="0.2">
      <c r="A13509" s="2" t="s">
        <v>7526</v>
      </c>
      <c r="B13509" s="2" t="s">
        <v>6210</v>
      </c>
      <c r="C13509" s="2">
        <v>636.83169999999996</v>
      </c>
      <c r="D13509" s="2">
        <f>HYPERLINK("http://mcb-m6.bioreg.kyushu-u.ac.jp/M3/20110404/F50765/1372/1", 56.36)</f>
        <v>56.36</v>
      </c>
      <c r="E13509" s="2">
        <v>32.53</v>
      </c>
      <c r="F13509" s="2">
        <v>2</v>
      </c>
      <c r="G13509" s="2" t="s">
        <v>9</v>
      </c>
    </row>
    <row r="13510" spans="1:8" x14ac:dyDescent="0.2">
      <c r="A13510" s="2" t="s">
        <v>7526</v>
      </c>
      <c r="B13510" s="2" t="s">
        <v>6058</v>
      </c>
      <c r="C13510" s="2">
        <v>631.01419999999996</v>
      </c>
      <c r="D13510" s="2">
        <f>HYPERLINK("http://mcb-m6.bioreg.kyushu-u.ac.jp/M3/20110404/F50765/1348/1", 56.85)</f>
        <v>56.85</v>
      </c>
      <c r="E13510" s="2">
        <v>31.38</v>
      </c>
      <c r="F13510" s="2">
        <v>2</v>
      </c>
      <c r="G13510" s="2" t="s">
        <v>9</v>
      </c>
    </row>
    <row r="13511" spans="1:8" x14ac:dyDescent="0.2">
      <c r="A13511" s="2" t="s">
        <v>7526</v>
      </c>
      <c r="B13511" s="2" t="s">
        <v>6243</v>
      </c>
      <c r="C13511" s="2">
        <v>755.8057</v>
      </c>
      <c r="D13511" s="2">
        <f>HYPERLINK("http://mcb-m6.bioreg.kyushu-u.ac.jp/M3/20110404/F50767/1806/1", 57.19)</f>
        <v>57.19</v>
      </c>
      <c r="E13511" s="2">
        <v>39.020000000000003</v>
      </c>
      <c r="F13511" s="2">
        <v>2</v>
      </c>
      <c r="G13511" s="2" t="s">
        <v>9</v>
      </c>
      <c r="H13511" s="2" t="s">
        <v>4891</v>
      </c>
    </row>
    <row r="13512" spans="1:8" x14ac:dyDescent="0.2">
      <c r="A13512" s="2" t="s">
        <v>7526</v>
      </c>
      <c r="B13512" s="2" t="s">
        <v>6376</v>
      </c>
      <c r="C13512" s="2">
        <v>979.43</v>
      </c>
      <c r="D13512" s="2">
        <f>HYPERLINK("http://mcb-m6.bioreg.kyushu-u.ac.jp/M3/20110404/F50765/901/1", 57.34)</f>
        <v>57.34</v>
      </c>
      <c r="E13512" s="2">
        <v>32.090000000000003</v>
      </c>
      <c r="F13512" s="2">
        <v>1</v>
      </c>
      <c r="G13512" s="2" t="s">
        <v>9</v>
      </c>
    </row>
    <row r="13513" spans="1:8" x14ac:dyDescent="0.2">
      <c r="A13513" s="2" t="s">
        <v>7526</v>
      </c>
      <c r="B13513" s="2" t="s">
        <v>6229</v>
      </c>
      <c r="C13513" s="2">
        <v>798.33169999999996</v>
      </c>
      <c r="D13513" s="2">
        <f>HYPERLINK("http://mcb-m6.bioreg.kyushu-u.ac.jp/M3/20110404/F50765/2098/1", 58.65)</f>
        <v>58.65</v>
      </c>
      <c r="E13513" s="2">
        <v>49.84</v>
      </c>
      <c r="F13513" s="2">
        <v>2</v>
      </c>
      <c r="G13513" s="2" t="s">
        <v>9</v>
      </c>
      <c r="H13513" s="2" t="s">
        <v>4904</v>
      </c>
    </row>
    <row r="13514" spans="1:8" x14ac:dyDescent="0.2">
      <c r="A13514" s="2" t="s">
        <v>7526</v>
      </c>
      <c r="B13514" s="2" t="s">
        <v>6243</v>
      </c>
      <c r="C13514" s="2">
        <v>755.90369999999996</v>
      </c>
      <c r="D13514" s="2">
        <f>HYPERLINK("http://mcb-m6.bioreg.kyushu-u.ac.jp/M3/20110404/F50765/1918/1", 58.82)</f>
        <v>58.82</v>
      </c>
      <c r="E13514" s="2">
        <v>47.7</v>
      </c>
      <c r="F13514" s="2">
        <v>2</v>
      </c>
      <c r="G13514" s="2" t="s">
        <v>9</v>
      </c>
      <c r="H13514" s="2" t="s">
        <v>4891</v>
      </c>
    </row>
    <row r="13515" spans="1:8" x14ac:dyDescent="0.2">
      <c r="A13515" s="2" t="s">
        <v>7526</v>
      </c>
      <c r="B13515" s="2" t="s">
        <v>6173</v>
      </c>
      <c r="C13515" s="2">
        <v>692.77120000000002</v>
      </c>
      <c r="D13515" s="2">
        <f>HYPERLINK("http://mcb-m6.bioreg.kyushu-u.ac.jp/M3/20110404/F50766/1267/1", 59.57)</f>
        <v>59.57</v>
      </c>
      <c r="E13515" s="2">
        <v>40.450000000000003</v>
      </c>
      <c r="F13515" s="2">
        <v>2</v>
      </c>
      <c r="G13515" s="2" t="s">
        <v>9</v>
      </c>
    </row>
    <row r="13516" spans="1:8" x14ac:dyDescent="0.2">
      <c r="A13516" s="2" t="s">
        <v>7526</v>
      </c>
      <c r="B13516" s="2" t="s">
        <v>6357</v>
      </c>
      <c r="C13516" s="2">
        <v>784.54020000000003</v>
      </c>
      <c r="D13516" s="2">
        <f>HYPERLINK("http://mcb-m6.bioreg.kyushu-u.ac.jp/M3/20110404/F50765/2036/1", 61)</f>
        <v>61</v>
      </c>
      <c r="E13516" s="2">
        <v>47.89</v>
      </c>
      <c r="F13516" s="2">
        <v>2</v>
      </c>
      <c r="G13516" s="2" t="s">
        <v>9</v>
      </c>
      <c r="H13516" s="2" t="s">
        <v>4900</v>
      </c>
    </row>
    <row r="13517" spans="1:8" x14ac:dyDescent="0.2">
      <c r="A13517" s="2" t="s">
        <v>7526</v>
      </c>
      <c r="B13517" s="2" t="s">
        <v>6163</v>
      </c>
      <c r="C13517" s="2">
        <v>518.13869999999997</v>
      </c>
      <c r="D13517" s="2">
        <f>HYPERLINK("http://mcb-m6.bioreg.kyushu-u.ac.jp/M3/20110404/F50765/997/1", 61.26)</f>
        <v>61.26</v>
      </c>
      <c r="E13517" s="2">
        <v>30.74</v>
      </c>
      <c r="F13517" s="2">
        <v>2</v>
      </c>
      <c r="G13517" s="2" t="s">
        <v>9</v>
      </c>
    </row>
    <row r="13518" spans="1:8" x14ac:dyDescent="0.2">
      <c r="A13518" s="2" t="s">
        <v>7526</v>
      </c>
      <c r="B13518" s="2" t="s">
        <v>6414</v>
      </c>
      <c r="C13518" s="2">
        <v>744.57920000000001</v>
      </c>
      <c r="D13518" s="2">
        <f>HYPERLINK("http://mcb-m6.bioreg.kyushu-u.ac.jp/M3/20110404/F50765/1868/1", 61.44)</f>
        <v>61.44</v>
      </c>
      <c r="E13518" s="2">
        <v>42.02</v>
      </c>
      <c r="F13518" s="2">
        <v>2</v>
      </c>
      <c r="G13518" s="2" t="s">
        <v>9</v>
      </c>
    </row>
    <row r="13519" spans="1:8" x14ac:dyDescent="0.2">
      <c r="A13519" s="2" t="s">
        <v>7526</v>
      </c>
      <c r="B13519" s="2" t="s">
        <v>6309</v>
      </c>
      <c r="C13519" s="2">
        <v>669.10109999999997</v>
      </c>
      <c r="D13519" s="2">
        <f>HYPERLINK("http://mcb-m6.bioreg.kyushu-u.ac.jp/M3/20110404/F50765/1489/1", 62.63)</f>
        <v>62.63</v>
      </c>
      <c r="E13519" s="2">
        <v>40.35</v>
      </c>
      <c r="F13519" s="2">
        <v>2</v>
      </c>
      <c r="G13519" s="2" t="s">
        <v>9</v>
      </c>
    </row>
    <row r="13520" spans="1:8" x14ac:dyDescent="0.2">
      <c r="A13520" s="2" t="s">
        <v>7526</v>
      </c>
      <c r="B13520" s="2" t="s">
        <v>6243</v>
      </c>
      <c r="C13520" s="2">
        <v>747.89869999999996</v>
      </c>
      <c r="D13520" s="2">
        <f>HYPERLINK("http://mcb-m6.bioreg.kyushu-u.ac.jp/M3/20110404/F50765/1888/1", 63.34)</f>
        <v>63.34</v>
      </c>
      <c r="E13520" s="2">
        <v>49.17</v>
      </c>
      <c r="F13520" s="2">
        <v>2</v>
      </c>
      <c r="G13520" s="2" t="s">
        <v>9</v>
      </c>
    </row>
    <row r="13521" spans="1:8" x14ac:dyDescent="0.2">
      <c r="A13521" s="2" t="s">
        <v>7526</v>
      </c>
      <c r="B13521" s="2" t="s">
        <v>5939</v>
      </c>
      <c r="C13521" s="2">
        <v>557.26570000000004</v>
      </c>
      <c r="D13521" s="2">
        <f>HYPERLINK("http://mcb-m6.bioreg.kyushu-u.ac.jp/M3/20110404/F50765/1122/1", 64.01)</f>
        <v>64.010000000000005</v>
      </c>
      <c r="E13521" s="2">
        <v>30.28</v>
      </c>
      <c r="F13521" s="2">
        <v>2</v>
      </c>
      <c r="G13521" s="2" t="s">
        <v>9</v>
      </c>
    </row>
    <row r="13522" spans="1:8" x14ac:dyDescent="0.2">
      <c r="A13522" s="2" t="s">
        <v>7526</v>
      </c>
      <c r="B13522" s="2" t="s">
        <v>6173</v>
      </c>
      <c r="C13522" s="2">
        <v>692.84559999999999</v>
      </c>
      <c r="D13522" s="2">
        <f>HYPERLINK("http://mcb-m6.bioreg.kyushu-u.ac.jp/M3/20110404/F50765/1604/1", 64.2)</f>
        <v>64.2</v>
      </c>
      <c r="E13522" s="2">
        <v>44.45</v>
      </c>
      <c r="F13522" s="2">
        <v>2</v>
      </c>
      <c r="G13522" s="2" t="s">
        <v>9</v>
      </c>
    </row>
    <row r="13523" spans="1:8" x14ac:dyDescent="0.2">
      <c r="A13523" s="2" t="s">
        <v>7526</v>
      </c>
      <c r="B13523" s="2" t="s">
        <v>6440</v>
      </c>
      <c r="C13523" s="2">
        <v>931.31410000000005</v>
      </c>
      <c r="D13523" s="2">
        <f>HYPERLINK("http://mcb-m6.bioreg.kyushu-u.ac.jp/M3/20110404/F50766/2639/1", 64.83)</f>
        <v>64.83</v>
      </c>
      <c r="E13523" s="2">
        <v>50.41</v>
      </c>
      <c r="F13523" s="2">
        <v>2</v>
      </c>
      <c r="G13523" s="2" t="s">
        <v>9</v>
      </c>
    </row>
    <row r="13524" spans="1:8" x14ac:dyDescent="0.2">
      <c r="A13524" s="2" t="s">
        <v>7526</v>
      </c>
      <c r="B13524" s="2" t="s">
        <v>6058</v>
      </c>
      <c r="C13524" s="2">
        <v>630.73720000000003</v>
      </c>
      <c r="D13524" s="2">
        <f>HYPERLINK("http://mcb-m6.bioreg.kyushu-u.ac.jp/M3/20110404/F50767/1176/1", 64.92)</f>
        <v>64.92</v>
      </c>
      <c r="E13524" s="2">
        <v>42.09</v>
      </c>
      <c r="F13524" s="2">
        <v>2</v>
      </c>
      <c r="G13524" s="2" t="s">
        <v>9</v>
      </c>
    </row>
    <row r="13525" spans="1:8" x14ac:dyDescent="0.2">
      <c r="A13525" s="2" t="s">
        <v>7526</v>
      </c>
      <c r="B13525" s="2" t="s">
        <v>6465</v>
      </c>
      <c r="C13525" s="2">
        <v>766.23770000000002</v>
      </c>
      <c r="D13525" s="2">
        <f>HYPERLINK("http://mcb-m6.bioreg.kyushu-u.ac.jp/M3/20110404/F50765/1954/1", 66.87)</f>
        <v>66.87</v>
      </c>
      <c r="E13525" s="2">
        <v>48.74</v>
      </c>
      <c r="F13525" s="2">
        <v>2</v>
      </c>
      <c r="G13525" s="2" t="s">
        <v>9</v>
      </c>
    </row>
    <row r="13526" spans="1:8" x14ac:dyDescent="0.2">
      <c r="A13526" s="2" t="s">
        <v>7526</v>
      </c>
      <c r="B13526" s="2" t="s">
        <v>6471</v>
      </c>
      <c r="C13526" s="2">
        <v>954.92219999999998</v>
      </c>
      <c r="D13526" s="2">
        <f>HYPERLINK("http://mcb-m6.bioreg.kyushu-u.ac.jp/M3/20110404/F50765/2666/1", 67.61)</f>
        <v>67.61</v>
      </c>
      <c r="E13526" s="2">
        <v>37.07</v>
      </c>
      <c r="F13526" s="2">
        <v>2</v>
      </c>
      <c r="G13526" s="2" t="s">
        <v>9</v>
      </c>
      <c r="H13526" s="2" t="s">
        <v>4904</v>
      </c>
    </row>
    <row r="13527" spans="1:8" x14ac:dyDescent="0.2">
      <c r="A13527" s="2" t="s">
        <v>7526</v>
      </c>
      <c r="B13527" s="2" t="s">
        <v>6118</v>
      </c>
      <c r="C13527" s="2">
        <v>509.72460000000001</v>
      </c>
      <c r="D13527" s="2">
        <f>HYPERLINK("http://mcb-m6.bioreg.kyushu-u.ac.jp/M3/20110404/F50765/965/1", 69.22)</f>
        <v>69.22</v>
      </c>
      <c r="E13527" s="2">
        <v>28.22</v>
      </c>
      <c r="F13527" s="2">
        <v>2</v>
      </c>
      <c r="G13527" s="2" t="s">
        <v>9</v>
      </c>
    </row>
    <row r="13528" spans="1:8" x14ac:dyDescent="0.2">
      <c r="A13528" s="2" t="s">
        <v>7526</v>
      </c>
      <c r="B13528" s="2" t="s">
        <v>6487</v>
      </c>
      <c r="C13528" s="2">
        <v>517.01120000000003</v>
      </c>
      <c r="D13528" s="2">
        <f>HYPERLINK("http://mcb-m6.bioreg.kyushu-u.ac.jp/M3/20110404/F50767/830/1", 69.52)</f>
        <v>69.52</v>
      </c>
      <c r="E13528" s="2">
        <v>34.1</v>
      </c>
      <c r="F13528" s="2">
        <v>2</v>
      </c>
      <c r="G13528" s="2" t="s">
        <v>9</v>
      </c>
    </row>
    <row r="13529" spans="1:8" x14ac:dyDescent="0.2">
      <c r="A13529" s="2" t="s">
        <v>7526</v>
      </c>
      <c r="B13529" s="2" t="s">
        <v>6513</v>
      </c>
      <c r="C13529" s="2">
        <v>1050.124</v>
      </c>
      <c r="D13529" s="2">
        <f>HYPERLINK("http://mcb-m6.bioreg.kyushu-u.ac.jp/M3/20110404/F50765/2970/1", 72.91)</f>
        <v>72.91</v>
      </c>
      <c r="E13529" s="2">
        <v>49.94</v>
      </c>
      <c r="F13529" s="2">
        <v>2</v>
      </c>
      <c r="G13529" s="2" t="s">
        <v>9</v>
      </c>
    </row>
    <row r="13530" spans="1:8" x14ac:dyDescent="0.2">
      <c r="A13530" s="2" t="s">
        <v>7526</v>
      </c>
      <c r="B13530" s="2" t="s">
        <v>6487</v>
      </c>
      <c r="C13530" s="2">
        <v>516.73910000000001</v>
      </c>
      <c r="D13530" s="2">
        <f>HYPERLINK("http://mcb-m6.bioreg.kyushu-u.ac.jp/M3/20110404/F50765/988/1", 73.13)</f>
        <v>73.13</v>
      </c>
      <c r="E13530" s="2">
        <v>32.85</v>
      </c>
      <c r="F13530" s="2">
        <v>2</v>
      </c>
      <c r="G13530" s="2" t="s">
        <v>9</v>
      </c>
    </row>
    <row r="13531" spans="1:8" x14ac:dyDescent="0.2">
      <c r="A13531" s="2" t="s">
        <v>7526</v>
      </c>
      <c r="B13531" s="2" t="s">
        <v>6243</v>
      </c>
      <c r="C13531" s="2">
        <v>747.88210000000004</v>
      </c>
      <c r="D13531" s="2">
        <f>HYPERLINK("http://mcb-m6.bioreg.kyushu-u.ac.jp/M3/20110404/F50765/1887/1", 74.4)</f>
        <v>74.400000000000006</v>
      </c>
      <c r="E13531" s="2">
        <v>61.89</v>
      </c>
      <c r="F13531" s="2">
        <v>2</v>
      </c>
      <c r="G13531" s="2" t="s">
        <v>9</v>
      </c>
    </row>
    <row r="13532" spans="1:8" x14ac:dyDescent="0.2">
      <c r="A13532" s="2" t="s">
        <v>7526</v>
      </c>
      <c r="B13532" s="2" t="s">
        <v>6357</v>
      </c>
      <c r="C13532" s="2">
        <v>776.9307</v>
      </c>
      <c r="D13532" s="2">
        <f>HYPERLINK("http://mcb-m6.bioreg.kyushu-u.ac.jp/M3/20110404/F50765/2002/1", 75.71)</f>
        <v>75.709999999999994</v>
      </c>
      <c r="E13532" s="2">
        <v>50.17</v>
      </c>
      <c r="F13532" s="2">
        <v>2</v>
      </c>
      <c r="G13532" s="2" t="s">
        <v>9</v>
      </c>
    </row>
    <row r="13533" spans="1:8" x14ac:dyDescent="0.2">
      <c r="A13533" s="2" t="s">
        <v>7526</v>
      </c>
      <c r="B13533" s="2" t="s">
        <v>6200</v>
      </c>
      <c r="C13533" s="2">
        <v>614.83259999999996</v>
      </c>
      <c r="D13533" s="2">
        <f>HYPERLINK("http://mcb-m6.bioreg.kyushu-u.ac.jp/M3/20110404/F50765/1305/1", 78.77)</f>
        <v>78.77</v>
      </c>
      <c r="E13533" s="2">
        <v>56.88</v>
      </c>
      <c r="F13533" s="2">
        <v>2</v>
      </c>
      <c r="G13533" s="2" t="s">
        <v>9</v>
      </c>
    </row>
    <row r="13534" spans="1:8" x14ac:dyDescent="0.2">
      <c r="A13534" s="2" t="s">
        <v>7526</v>
      </c>
      <c r="B13534" s="2" t="s">
        <v>6568</v>
      </c>
      <c r="C13534" s="2">
        <v>820.33069999999998</v>
      </c>
      <c r="D13534" s="2">
        <f>HYPERLINK("http://mcb-m6.bioreg.kyushu-u.ac.jp/M3/20110404/F50765/2199/1", 81.71)</f>
        <v>81.709999999999994</v>
      </c>
      <c r="E13534" s="2">
        <v>67.61</v>
      </c>
      <c r="F13534" s="2">
        <v>2</v>
      </c>
      <c r="G13534" s="2" t="s">
        <v>9</v>
      </c>
      <c r="H13534" s="2" t="s">
        <v>4925</v>
      </c>
    </row>
    <row r="13535" spans="1:8" x14ac:dyDescent="0.2">
      <c r="A13535" s="2" t="s">
        <v>7526</v>
      </c>
      <c r="B13535" s="2" t="s">
        <v>6254</v>
      </c>
      <c r="C13535" s="2">
        <v>1271.5830000000001</v>
      </c>
      <c r="D13535" s="2">
        <f>HYPERLINK("http://mcb-m6.bioreg.kyushu-u.ac.jp/M3/20110404/F50765/1367/1", 82.34)</f>
        <v>82.34</v>
      </c>
      <c r="E13535" s="2">
        <v>67.099999999999994</v>
      </c>
      <c r="F13535" s="2">
        <v>1</v>
      </c>
      <c r="G13535" s="2" t="s">
        <v>9</v>
      </c>
      <c r="H13535" s="2" t="s">
        <v>4904</v>
      </c>
    </row>
    <row r="13536" spans="1:8" x14ac:dyDescent="0.2">
      <c r="A13536" s="2" t="s">
        <v>7526</v>
      </c>
      <c r="B13536" s="2" t="s">
        <v>6327</v>
      </c>
      <c r="C13536" s="2">
        <v>654.81020000000001</v>
      </c>
      <c r="D13536" s="2">
        <f>HYPERLINK("http://mcb-m6.bioreg.kyushu-u.ac.jp/M3/20110404/F50765/1440/1", 83.09)</f>
        <v>83.09</v>
      </c>
      <c r="E13536" s="2">
        <v>54.78</v>
      </c>
      <c r="F13536" s="2">
        <v>2</v>
      </c>
      <c r="G13536" s="2" t="s">
        <v>9</v>
      </c>
    </row>
    <row r="13537" spans="1:9" x14ac:dyDescent="0.2">
      <c r="A13537" s="2" t="s">
        <v>7526</v>
      </c>
      <c r="B13537" s="2" t="s">
        <v>6471</v>
      </c>
      <c r="C13537" s="2">
        <v>963.97119999999995</v>
      </c>
      <c r="D13537" s="2">
        <f>HYPERLINK("http://mcb-m6.bioreg.kyushu-u.ac.jp/M3/20110404/F50765/2702/1", 85.95)</f>
        <v>85.95</v>
      </c>
      <c r="E13537" s="2">
        <v>62.84</v>
      </c>
      <c r="F13537" s="2">
        <v>2</v>
      </c>
      <c r="G13537" s="2" t="s">
        <v>9</v>
      </c>
    </row>
    <row r="13538" spans="1:9" x14ac:dyDescent="0.2">
      <c r="A13538" s="2" t="s">
        <v>7526</v>
      </c>
      <c r="B13538" s="2" t="s">
        <v>6588</v>
      </c>
      <c r="C13538" s="2">
        <v>838.43960000000004</v>
      </c>
      <c r="D13538" s="2">
        <f>HYPERLINK("http://mcb-m6.bioreg.kyushu-u.ac.jp/M3/20110404/F50765/2257/1", 86.38)</f>
        <v>86.38</v>
      </c>
      <c r="E13538" s="2">
        <v>73.05</v>
      </c>
      <c r="F13538" s="2">
        <v>2</v>
      </c>
      <c r="G13538" s="2" t="s">
        <v>9</v>
      </c>
    </row>
    <row r="13539" spans="1:9" x14ac:dyDescent="0.2">
      <c r="A13539" s="2" t="s">
        <v>7526</v>
      </c>
      <c r="B13539" s="2" t="s">
        <v>6590</v>
      </c>
      <c r="C13539" s="2">
        <v>917.05319999999995</v>
      </c>
      <c r="D13539" s="2">
        <f>HYPERLINK("http://mcb-m6.bioreg.kyushu-u.ac.jp/M3/20110404/F50766/2554/1", 86.54)</f>
        <v>86.54</v>
      </c>
      <c r="E13539" s="2">
        <v>72.459999999999994</v>
      </c>
      <c r="F13539" s="2">
        <v>2</v>
      </c>
      <c r="G13539" s="2" t="s">
        <v>9</v>
      </c>
    </row>
    <row r="13540" spans="1:9" x14ac:dyDescent="0.2">
      <c r="A13540" s="2" t="s">
        <v>7526</v>
      </c>
      <c r="B13540" s="2" t="s">
        <v>6594</v>
      </c>
      <c r="C13540" s="2">
        <v>717.22720000000004</v>
      </c>
      <c r="D13540" s="2">
        <f>HYPERLINK("http://mcb-m6.bioreg.kyushu-u.ac.jp/M3/20110404/F50765/1728/1", 88.3)</f>
        <v>88.3</v>
      </c>
      <c r="E13540" s="2">
        <v>58.88</v>
      </c>
      <c r="F13540" s="2">
        <v>2</v>
      </c>
      <c r="G13540" s="2" t="s">
        <v>9</v>
      </c>
    </row>
    <row r="13541" spans="1:9" x14ac:dyDescent="0.2">
      <c r="A13541" s="2" t="s">
        <v>7526</v>
      </c>
      <c r="B13541" s="2" t="s">
        <v>6131</v>
      </c>
      <c r="C13541" s="2">
        <v>696.78020000000004</v>
      </c>
      <c r="D13541" s="2">
        <f>HYPERLINK("http://mcb-m6.bioreg.kyushu-u.ac.jp/M3/20110404/F50764/1675/1", 89.18)</f>
        <v>89.18</v>
      </c>
      <c r="E13541" s="2">
        <v>69.95</v>
      </c>
      <c r="F13541" s="2">
        <v>2</v>
      </c>
      <c r="G13541" s="2" t="s">
        <v>9</v>
      </c>
    </row>
    <row r="13542" spans="1:9" x14ac:dyDescent="0.2">
      <c r="A13542" s="2" t="s">
        <v>7526</v>
      </c>
      <c r="B13542" s="2" t="s">
        <v>6131</v>
      </c>
      <c r="C13542" s="2">
        <v>696.68910000000005</v>
      </c>
      <c r="D13542" s="2">
        <f>HYPERLINK("http://mcb-m6.bioreg.kyushu-u.ac.jp/M3/20110404/F50766/1274/1", 92.22)</f>
        <v>92.22</v>
      </c>
      <c r="E13542" s="2">
        <v>74.61</v>
      </c>
      <c r="F13542" s="2">
        <v>2</v>
      </c>
      <c r="G13542" s="2" t="s">
        <v>9</v>
      </c>
    </row>
    <row r="13543" spans="1:9" x14ac:dyDescent="0.2">
      <c r="A13543" s="2" t="s">
        <v>7526</v>
      </c>
      <c r="B13543" s="2" t="s">
        <v>5922</v>
      </c>
      <c r="C13543" s="2">
        <v>848.9597</v>
      </c>
      <c r="D13543" s="2">
        <f>HYPERLINK("http://mcb-m6.bioreg.kyushu-u.ac.jp/M3/20110404/F50764/2252/1", 96.89)</f>
        <v>96.89</v>
      </c>
      <c r="E13543" s="2">
        <v>73.599999999999994</v>
      </c>
      <c r="F13543" s="2">
        <v>2</v>
      </c>
      <c r="G13543" s="2" t="s">
        <v>9</v>
      </c>
      <c r="I13543" s="2" t="s">
        <v>4926</v>
      </c>
    </row>
    <row r="13544" spans="1:9" x14ac:dyDescent="0.2">
      <c r="A13544" s="2" t="s">
        <v>7526</v>
      </c>
      <c r="B13544" s="2" t="s">
        <v>6170</v>
      </c>
      <c r="C13544" s="2">
        <v>1288.7070000000001</v>
      </c>
      <c r="D13544" s="2">
        <f>HYPERLINK("http://mcb-m6.bioreg.kyushu-u.ac.jp/M3/20110404/F50765/3472/1", 99.16)</f>
        <v>99.16</v>
      </c>
      <c r="E13544" s="2">
        <v>92.76</v>
      </c>
      <c r="F13544" s="2">
        <v>2</v>
      </c>
      <c r="G13544" s="2" t="s">
        <v>9</v>
      </c>
    </row>
    <row r="13545" spans="1:9" x14ac:dyDescent="0.2">
      <c r="A13545" s="2" t="s">
        <v>7526</v>
      </c>
      <c r="B13545" s="2" t="s">
        <v>6640</v>
      </c>
      <c r="C13545" s="2">
        <v>995.70719999999994</v>
      </c>
      <c r="D13545" s="2">
        <f>HYPERLINK("http://mcb-m6.bioreg.kyushu-u.ac.jp/M3/20110404/F50765/2812/1", 102.22)</f>
        <v>102.22</v>
      </c>
      <c r="E13545" s="2">
        <v>79.58</v>
      </c>
      <c r="F13545" s="2">
        <v>2</v>
      </c>
      <c r="G13545" s="2" t="s">
        <v>9</v>
      </c>
    </row>
    <row r="13546" spans="1:9" x14ac:dyDescent="0.2">
      <c r="A13546" s="2" t="s">
        <v>7526</v>
      </c>
      <c r="B13546" s="2" t="s">
        <v>6568</v>
      </c>
      <c r="C13546" s="2">
        <v>812.24620000000004</v>
      </c>
      <c r="D13546" s="2">
        <f>HYPERLINK("http://mcb-m6.bioreg.kyushu-u.ac.jp/M3/20110404/F50765/2166/1", 103.58)</f>
        <v>103.58</v>
      </c>
      <c r="E13546" s="2">
        <v>86.12</v>
      </c>
      <c r="F13546" s="2">
        <v>2</v>
      </c>
      <c r="G13546" s="2" t="s">
        <v>9</v>
      </c>
    </row>
    <row r="13547" spans="1:9" x14ac:dyDescent="0.2">
      <c r="A13547" s="2" t="s">
        <v>7526</v>
      </c>
      <c r="B13547" s="2" t="s">
        <v>6471</v>
      </c>
      <c r="C13547" s="2">
        <v>963.44960000000003</v>
      </c>
      <c r="D13547" s="2">
        <f>HYPERLINK("http://mcb-m6.bioreg.kyushu-u.ac.jp/M3/20110404/F50765/2701/1", 103.69)</f>
        <v>103.69</v>
      </c>
      <c r="E13547" s="2">
        <v>73.11</v>
      </c>
      <c r="F13547" s="2">
        <v>2</v>
      </c>
      <c r="G13547" s="2" t="s">
        <v>9</v>
      </c>
    </row>
    <row r="13548" spans="1:9" x14ac:dyDescent="0.2">
      <c r="A13548" s="2" t="s">
        <v>7526</v>
      </c>
      <c r="B13548" s="2" t="s">
        <v>5922</v>
      </c>
      <c r="C13548" s="2">
        <v>848.73770000000002</v>
      </c>
      <c r="D13548" s="2">
        <f>HYPERLINK("http://mcb-m6.bioreg.kyushu-u.ac.jp/M3/20110404/F50766/2154/1", 106.3)</f>
        <v>106.3</v>
      </c>
      <c r="E13548" s="2">
        <v>85.98</v>
      </c>
      <c r="F13548" s="2">
        <v>2</v>
      </c>
      <c r="G13548" s="2" t="s">
        <v>9</v>
      </c>
      <c r="I13548" s="2" t="s">
        <v>4926</v>
      </c>
    </row>
    <row r="13549" spans="1:9" x14ac:dyDescent="0.2">
      <c r="A13549" s="2" t="s">
        <v>7526</v>
      </c>
      <c r="B13549" s="2" t="s">
        <v>6090</v>
      </c>
      <c r="C13549" s="2">
        <v>1111.45</v>
      </c>
      <c r="D13549" s="2">
        <f>HYPERLINK("http://mcb-m6.bioreg.kyushu-u.ac.jp/M3/20110404/F50765/3141/1", 106.38)</f>
        <v>106.38</v>
      </c>
      <c r="E13549" s="2">
        <v>98.13</v>
      </c>
      <c r="F13549" s="2">
        <v>2</v>
      </c>
      <c r="G13549" s="2" t="s">
        <v>9</v>
      </c>
    </row>
    <row r="13550" spans="1:9" x14ac:dyDescent="0.2">
      <c r="A13550" s="2" t="s">
        <v>7526</v>
      </c>
      <c r="B13550" s="2" t="s">
        <v>6131</v>
      </c>
      <c r="C13550" s="2">
        <v>696.74959999999999</v>
      </c>
      <c r="D13550" s="2">
        <f>HYPERLINK("http://mcb-m6.bioreg.kyushu-u.ac.jp/M3/20110404/F50765/1625/1", 108.49)</f>
        <v>108.49</v>
      </c>
      <c r="E13550" s="2">
        <v>88.54</v>
      </c>
      <c r="F13550" s="2">
        <v>2</v>
      </c>
      <c r="G13550" s="2" t="s">
        <v>9</v>
      </c>
    </row>
    <row r="13551" spans="1:9" x14ac:dyDescent="0.2">
      <c r="A13551" s="2" t="s">
        <v>7526</v>
      </c>
      <c r="B13551" s="2" t="s">
        <v>6654</v>
      </c>
      <c r="C13551" s="2">
        <v>896.67909999999995</v>
      </c>
      <c r="D13551" s="2">
        <f>HYPERLINK("http://mcb-m6.bioreg.kyushu-u.ac.jp/M3/20110404/F50766/2442/1", 108.94)</f>
        <v>108.94</v>
      </c>
      <c r="E13551" s="2">
        <v>86.6</v>
      </c>
      <c r="F13551" s="2">
        <v>2</v>
      </c>
      <c r="G13551" s="2" t="s">
        <v>9</v>
      </c>
    </row>
    <row r="13552" spans="1:9" x14ac:dyDescent="0.2">
      <c r="A13552" s="2" t="s">
        <v>7526</v>
      </c>
      <c r="B13552" s="2" t="s">
        <v>6440</v>
      </c>
      <c r="C13552" s="2">
        <v>931.55359999999996</v>
      </c>
      <c r="D13552" s="2">
        <f>HYPERLINK("http://mcb-m6.bioreg.kyushu-u.ac.jp/M3/20110404/F50765/2594/1", 117.45)</f>
        <v>117.45</v>
      </c>
      <c r="E13552" s="2">
        <v>101.27</v>
      </c>
      <c r="F13552" s="2">
        <v>2</v>
      </c>
      <c r="G13552" s="2" t="s">
        <v>9</v>
      </c>
    </row>
    <row r="13553" spans="1:9" x14ac:dyDescent="0.2">
      <c r="A13553" s="2" t="s">
        <v>7526</v>
      </c>
      <c r="B13553" s="2" t="s">
        <v>6061</v>
      </c>
      <c r="C13553" s="2">
        <v>1055.5150000000001</v>
      </c>
      <c r="D13553" s="2">
        <f>HYPERLINK("http://mcb-m6.bioreg.kyushu-u.ac.jp/M3/20110404/F50765/2979/1", 117.64)</f>
        <v>117.64</v>
      </c>
      <c r="E13553" s="2">
        <v>102.21</v>
      </c>
      <c r="F13553" s="2">
        <v>2</v>
      </c>
      <c r="G13553" s="2" t="s">
        <v>9</v>
      </c>
      <c r="H13553" s="2" t="s">
        <v>4938</v>
      </c>
    </row>
    <row r="13554" spans="1:9" x14ac:dyDescent="0.2">
      <c r="A13554" s="2" t="s">
        <v>7526</v>
      </c>
      <c r="B13554" s="2" t="s">
        <v>6061</v>
      </c>
      <c r="C13554" s="2">
        <v>1047.3</v>
      </c>
      <c r="D13554" s="2">
        <f>HYPERLINK("http://mcb-m6.bioreg.kyushu-u.ac.jp/M3/20110404/F50767/3046/1", 119.09)</f>
        <v>119.09</v>
      </c>
      <c r="E13554" s="2">
        <v>107.11</v>
      </c>
      <c r="F13554" s="2">
        <v>2</v>
      </c>
      <c r="G13554" s="2" t="s">
        <v>9</v>
      </c>
    </row>
    <row r="13555" spans="1:9" x14ac:dyDescent="0.2">
      <c r="A13555" s="2" t="s">
        <v>7526</v>
      </c>
      <c r="B13555" s="2" t="s">
        <v>6654</v>
      </c>
      <c r="C13555" s="2">
        <v>896.35270000000003</v>
      </c>
      <c r="D13555" s="2">
        <f>HYPERLINK("http://mcb-m6.bioreg.kyushu-u.ac.jp/M3/20110404/F50767/2447/1", 119.83)</f>
        <v>119.83</v>
      </c>
      <c r="E13555" s="2">
        <v>101.72</v>
      </c>
      <c r="F13555" s="2">
        <v>2</v>
      </c>
      <c r="G13555" s="2" t="s">
        <v>9</v>
      </c>
    </row>
    <row r="13556" spans="1:9" x14ac:dyDescent="0.2">
      <c r="A13556" s="2" t="s">
        <v>7526</v>
      </c>
      <c r="B13556" s="2" t="s">
        <v>6667</v>
      </c>
      <c r="C13556" s="2">
        <v>986.20920000000001</v>
      </c>
      <c r="D13556" s="2">
        <f>HYPERLINK("http://mcb-m6.bioreg.kyushu-u.ac.jp/M3/20110404/F50766/2929/1", 126.92)</f>
        <v>126.92</v>
      </c>
      <c r="E13556" s="2">
        <v>103.08</v>
      </c>
      <c r="F13556" s="2">
        <v>2</v>
      </c>
      <c r="G13556" s="2" t="s">
        <v>9</v>
      </c>
      <c r="I13556" s="2" t="s">
        <v>4892</v>
      </c>
    </row>
    <row r="13557" spans="1:9" x14ac:dyDescent="0.2">
      <c r="A13557" s="2" t="s">
        <v>7526</v>
      </c>
      <c r="B13557" s="2" t="s">
        <v>6671</v>
      </c>
      <c r="C13557" s="2">
        <v>959.96420000000001</v>
      </c>
      <c r="D13557" s="2">
        <f>HYPERLINK("http://mcb-m6.bioreg.kyushu-u.ac.jp/M3/20110404/F50765/2687/1", 131.79)</f>
        <v>131.79</v>
      </c>
      <c r="E13557" s="2">
        <v>116.15</v>
      </c>
      <c r="F13557" s="2">
        <v>2</v>
      </c>
      <c r="G13557" s="2" t="s">
        <v>9</v>
      </c>
    </row>
    <row r="13558" spans="1:9" x14ac:dyDescent="0.2">
      <c r="A13558" s="2" t="s">
        <v>7526</v>
      </c>
      <c r="B13558" s="2" t="s">
        <v>6673</v>
      </c>
      <c r="C13558" s="2">
        <v>1058.1569999999999</v>
      </c>
      <c r="D13558" s="2">
        <f>HYPERLINK("http://mcb-m6.bioreg.kyushu-u.ac.jp/M3/20110404/F50767/3080/1", 134.99)</f>
        <v>134.99</v>
      </c>
      <c r="E13558" s="2">
        <v>111</v>
      </c>
      <c r="F13558" s="2">
        <v>2</v>
      </c>
      <c r="G13558" s="2" t="s">
        <v>9</v>
      </c>
    </row>
    <row r="13559" spans="1:9" x14ac:dyDescent="0.2">
      <c r="A13559" s="2" t="s">
        <v>7526</v>
      </c>
      <c r="B13559" s="2" t="s">
        <v>6061</v>
      </c>
      <c r="C13559" s="2">
        <v>1047.5060000000001</v>
      </c>
      <c r="D13559" s="2">
        <f>HYPERLINK("http://mcb-m6.bioreg.kyushu-u.ac.jp/M3/20110404/F50766/3211/1", 140.63)</f>
        <v>140.63</v>
      </c>
      <c r="E13559" s="2">
        <v>118.76</v>
      </c>
      <c r="F13559" s="2">
        <v>2</v>
      </c>
      <c r="G13559" s="2" t="s">
        <v>9</v>
      </c>
    </row>
    <row r="13560" spans="1:9" x14ac:dyDescent="0.2">
      <c r="A13560" s="2" t="s">
        <v>7526</v>
      </c>
      <c r="B13560" s="2" t="s">
        <v>6654</v>
      </c>
      <c r="C13560" s="2">
        <v>896.39170000000001</v>
      </c>
      <c r="D13560" s="2">
        <f>HYPERLINK("http://mcb-m6.bioreg.kyushu-u.ac.jp/M3/20110404/F50765/2458/1", 144.77)</f>
        <v>144.77000000000001</v>
      </c>
      <c r="E13560" s="2">
        <v>123.31</v>
      </c>
      <c r="F13560" s="2">
        <v>2</v>
      </c>
      <c r="G13560" s="2" t="s">
        <v>9</v>
      </c>
    </row>
    <row r="13561" spans="1:9" x14ac:dyDescent="0.2">
      <c r="A13561" s="2" t="s">
        <v>7526</v>
      </c>
      <c r="B13561" s="2" t="s">
        <v>6061</v>
      </c>
      <c r="C13561" s="2">
        <v>1046.902</v>
      </c>
      <c r="D13561" s="2">
        <f>HYPERLINK("http://mcb-m6.bioreg.kyushu-u.ac.jp/M3/20110404/F50765/2959/1", 152.14)</f>
        <v>152.13999999999999</v>
      </c>
      <c r="E13561" s="2">
        <v>142.32</v>
      </c>
      <c r="F13561" s="2">
        <v>2</v>
      </c>
      <c r="G13561" s="2" t="s">
        <v>9</v>
      </c>
    </row>
    <row r="13562" spans="1:9" x14ac:dyDescent="0.2">
      <c r="A13562" s="2" t="s">
        <v>7526</v>
      </c>
      <c r="B13562" s="2" t="s">
        <v>6229</v>
      </c>
      <c r="C13562" s="2">
        <v>806.75710000000004</v>
      </c>
      <c r="D13562" s="2">
        <f>HYPERLINK("http://mcb-m6.bioreg.kyushu-u.ac.jp/M3/20110404/F50771/2185/1", 35.2)</f>
        <v>35.200000000000003</v>
      </c>
      <c r="E13562" s="2">
        <v>18.27</v>
      </c>
      <c r="F13562" s="2">
        <v>2</v>
      </c>
      <c r="G13562" s="2" t="s">
        <v>10</v>
      </c>
    </row>
    <row r="13563" spans="1:9" x14ac:dyDescent="0.2">
      <c r="A13563" s="2" t="s">
        <v>7526</v>
      </c>
      <c r="B13563" s="2" t="s">
        <v>5939</v>
      </c>
      <c r="C13563" s="2">
        <v>1113.8710000000001</v>
      </c>
      <c r="D13563" s="2">
        <f>HYPERLINK("http://mcb-m6.bioreg.kyushu-u.ac.jp/M3/20110404/F50772/1206/1", 35.55)</f>
        <v>35.549999999999997</v>
      </c>
      <c r="E13563" s="2">
        <v>8.77</v>
      </c>
      <c r="F13563" s="2">
        <v>1</v>
      </c>
      <c r="G13563" s="2" t="s">
        <v>10</v>
      </c>
    </row>
    <row r="13564" spans="1:9" x14ac:dyDescent="0.2">
      <c r="A13564" s="2" t="s">
        <v>7526</v>
      </c>
      <c r="B13564" s="2" t="s">
        <v>6061</v>
      </c>
      <c r="C13564" s="2">
        <v>1055.079</v>
      </c>
      <c r="D13564" s="2">
        <f>HYPERLINK("http://mcb-m6.bioreg.kyushu-u.ac.jp/M3/20110404/F50772/3012/1", 35.56)</f>
        <v>35.56</v>
      </c>
      <c r="E13564" s="2">
        <v>31.02</v>
      </c>
      <c r="F13564" s="2">
        <v>2</v>
      </c>
      <c r="G13564" s="2" t="s">
        <v>10</v>
      </c>
      <c r="H13564" s="2" t="s">
        <v>4938</v>
      </c>
    </row>
    <row r="13565" spans="1:9" x14ac:dyDescent="0.2">
      <c r="A13565" s="2" t="s">
        <v>7526</v>
      </c>
      <c r="B13565" s="2" t="s">
        <v>6342</v>
      </c>
      <c r="C13565" s="2">
        <v>956.48400000000004</v>
      </c>
      <c r="D13565" s="2">
        <f>HYPERLINK("http://mcb-m6.bioreg.kyushu-u.ac.jp/M3/20110404/F50771/964/1", 35.66)</f>
        <v>35.659999999999997</v>
      </c>
      <c r="E13565" s="2">
        <v>11.51</v>
      </c>
      <c r="F13565" s="2">
        <v>1</v>
      </c>
      <c r="G13565" s="2" t="s">
        <v>10</v>
      </c>
    </row>
    <row r="13566" spans="1:9" x14ac:dyDescent="0.2">
      <c r="A13566" s="2" t="s">
        <v>7526</v>
      </c>
      <c r="B13566" s="2" t="s">
        <v>5943</v>
      </c>
      <c r="C13566" s="2">
        <v>1079.498</v>
      </c>
      <c r="D13566" s="2">
        <f>HYPERLINK("http://mcb-m6.bioreg.kyushu-u.ac.jp/M3/20110404/F50771/1172/1", 36.44)</f>
        <v>36.44</v>
      </c>
      <c r="E13566" s="2">
        <v>16.600000000000001</v>
      </c>
      <c r="F13566" s="2">
        <v>1</v>
      </c>
      <c r="G13566" s="2" t="s">
        <v>10</v>
      </c>
    </row>
    <row r="13567" spans="1:9" x14ac:dyDescent="0.2">
      <c r="A13567" s="2" t="s">
        <v>7526</v>
      </c>
      <c r="B13567" s="2" t="s">
        <v>6316</v>
      </c>
      <c r="C13567" s="2">
        <v>1096.4480000000001</v>
      </c>
      <c r="D13567" s="2">
        <f>HYPERLINK("http://mcb-m6.bioreg.kyushu-u.ac.jp/M3/20110404/F50771/1196/1", 36.45)</f>
        <v>36.450000000000003</v>
      </c>
      <c r="E13567" s="2">
        <v>15.16</v>
      </c>
      <c r="F13567" s="2">
        <v>1</v>
      </c>
      <c r="G13567" s="2" t="s">
        <v>10</v>
      </c>
    </row>
    <row r="13568" spans="1:9" x14ac:dyDescent="0.2">
      <c r="A13568" s="2" t="s">
        <v>7526</v>
      </c>
      <c r="B13568" s="2" t="s">
        <v>5943</v>
      </c>
      <c r="C13568" s="2">
        <v>1079.761</v>
      </c>
      <c r="D13568" s="2">
        <f>HYPERLINK("http://mcb-m6.bioreg.kyushu-u.ac.jp/M3/20110404/F50772/1160/1", 36.5)</f>
        <v>36.5</v>
      </c>
      <c r="E13568" s="2">
        <v>11.7</v>
      </c>
      <c r="F13568" s="2">
        <v>1</v>
      </c>
      <c r="G13568" s="2" t="s">
        <v>10</v>
      </c>
    </row>
    <row r="13569" spans="1:8" x14ac:dyDescent="0.2">
      <c r="A13569" s="2" t="s">
        <v>7526</v>
      </c>
      <c r="B13569" s="2" t="s">
        <v>6316</v>
      </c>
      <c r="C13569" s="2">
        <v>1079.48</v>
      </c>
      <c r="D13569" s="2">
        <f>HYPERLINK("http://mcb-m6.bioreg.kyushu-u.ac.jp/M3/20110404/F50771/1171/1", 38.08)</f>
        <v>38.08</v>
      </c>
      <c r="E13569" s="2">
        <v>24.38</v>
      </c>
      <c r="F13569" s="2">
        <v>1</v>
      </c>
      <c r="G13569" s="2" t="s">
        <v>10</v>
      </c>
      <c r="H13569" s="2" t="s">
        <v>4904</v>
      </c>
    </row>
    <row r="13570" spans="1:8" x14ac:dyDescent="0.2">
      <c r="A13570" s="2" t="s">
        <v>7526</v>
      </c>
      <c r="B13570" s="2" t="s">
        <v>6376</v>
      </c>
      <c r="C13570" s="2">
        <v>490.52809999999999</v>
      </c>
      <c r="D13570" s="2">
        <f>HYPERLINK("http://mcb-m6.bioreg.kyushu-u.ac.jp/M3/20110404/F50772/991/1", 38.33)</f>
        <v>38.33</v>
      </c>
      <c r="E13570" s="2">
        <v>10.81</v>
      </c>
      <c r="F13570" s="2">
        <v>2</v>
      </c>
      <c r="G13570" s="2" t="s">
        <v>10</v>
      </c>
    </row>
    <row r="13571" spans="1:8" x14ac:dyDescent="0.2">
      <c r="A13571" s="2" t="s">
        <v>7526</v>
      </c>
      <c r="B13571" s="2" t="s">
        <v>6309</v>
      </c>
      <c r="C13571" s="2">
        <v>1336.4860000000001</v>
      </c>
      <c r="D13571" s="2">
        <f>HYPERLINK("http://mcb-m6.bioreg.kyushu-u.ac.jp/M3/20110404/F50771/1561/1", 38.88)</f>
        <v>38.880000000000003</v>
      </c>
      <c r="E13571" s="2">
        <v>14.17</v>
      </c>
      <c r="F13571" s="2">
        <v>1</v>
      </c>
      <c r="G13571" s="2" t="s">
        <v>10</v>
      </c>
    </row>
    <row r="13572" spans="1:8" x14ac:dyDescent="0.2">
      <c r="A13572" s="2" t="s">
        <v>7526</v>
      </c>
      <c r="B13572" s="2" t="s">
        <v>6342</v>
      </c>
      <c r="C13572" s="2">
        <v>478.94810000000001</v>
      </c>
      <c r="D13572" s="2">
        <f>HYPERLINK("http://mcb-m6.bioreg.kyushu-u.ac.jp/M3/20110404/F50771/965/1", 39.44)</f>
        <v>39.44</v>
      </c>
      <c r="E13572" s="2">
        <v>14.63</v>
      </c>
      <c r="F13572" s="2">
        <v>2</v>
      </c>
      <c r="G13572" s="2" t="s">
        <v>10</v>
      </c>
    </row>
    <row r="13573" spans="1:8" x14ac:dyDescent="0.2">
      <c r="A13573" s="2" t="s">
        <v>7526</v>
      </c>
      <c r="B13573" s="2" t="s">
        <v>5939</v>
      </c>
      <c r="C13573" s="2">
        <v>1113.3230000000001</v>
      </c>
      <c r="D13573" s="2">
        <f>HYPERLINK("http://mcb-m6.bioreg.kyushu-u.ac.jp/M3/20110404/F50771/1210/1", 39.93)</f>
        <v>39.93</v>
      </c>
      <c r="E13573" s="2">
        <v>18.850000000000001</v>
      </c>
      <c r="F13573" s="2">
        <v>1</v>
      </c>
      <c r="G13573" s="2" t="s">
        <v>10</v>
      </c>
    </row>
    <row r="13574" spans="1:8" x14ac:dyDescent="0.2">
      <c r="A13574" s="2" t="s">
        <v>7526</v>
      </c>
      <c r="B13574" s="2" t="s">
        <v>6200</v>
      </c>
      <c r="C13574" s="2">
        <v>1228.6199999999999</v>
      </c>
      <c r="D13574" s="2">
        <f>HYPERLINK("http://mcb-m6.bioreg.kyushu-u.ac.jp/M3/20110404/F50771/1392/1", 40.97)</f>
        <v>40.97</v>
      </c>
      <c r="E13574" s="2">
        <v>17.46</v>
      </c>
      <c r="F13574" s="2">
        <v>1</v>
      </c>
      <c r="G13574" s="2" t="s">
        <v>10</v>
      </c>
    </row>
    <row r="13575" spans="1:8" x14ac:dyDescent="0.2">
      <c r="A13575" s="2" t="s">
        <v>7526</v>
      </c>
      <c r="B13575" s="2" t="s">
        <v>6673</v>
      </c>
      <c r="C13575" s="2">
        <v>706.08450000000005</v>
      </c>
      <c r="D13575" s="2">
        <f>HYPERLINK("http://mcb-m6.bioreg.kyushu-u.ac.jp/M3/20110404/F50772/3023/1", 41.42)</f>
        <v>41.42</v>
      </c>
      <c r="E13575" s="2">
        <v>19.29</v>
      </c>
      <c r="F13575" s="2">
        <v>3</v>
      </c>
      <c r="G13575" s="2" t="s">
        <v>10</v>
      </c>
    </row>
    <row r="13576" spans="1:8" x14ac:dyDescent="0.2">
      <c r="A13576" s="2" t="s">
        <v>7526</v>
      </c>
      <c r="B13576" s="2" t="s">
        <v>6376</v>
      </c>
      <c r="C13576" s="2">
        <v>490.1841</v>
      </c>
      <c r="D13576" s="2">
        <f>HYPERLINK("http://mcb-m6.bioreg.kyushu-u.ac.jp/M3/20110404/F50771/1003/1", 41.93)</f>
        <v>41.93</v>
      </c>
      <c r="E13576" s="2">
        <v>14.8</v>
      </c>
      <c r="F13576" s="2">
        <v>2</v>
      </c>
      <c r="G13576" s="2" t="s">
        <v>10</v>
      </c>
    </row>
    <row r="13577" spans="1:8" x14ac:dyDescent="0.2">
      <c r="A13577" s="2" t="s">
        <v>7526</v>
      </c>
      <c r="B13577" s="2" t="s">
        <v>6229</v>
      </c>
      <c r="C13577" s="2">
        <v>798.9366</v>
      </c>
      <c r="D13577" s="2">
        <f>HYPERLINK("http://mcb-m6.bioreg.kyushu-u.ac.jp/M3/20110404/F50771/2146/1", 42.28)</f>
        <v>42.28</v>
      </c>
      <c r="E13577" s="2">
        <v>26.35</v>
      </c>
      <c r="F13577" s="2">
        <v>2</v>
      </c>
      <c r="G13577" s="2" t="s">
        <v>10</v>
      </c>
      <c r="H13577" s="2" t="s">
        <v>4904</v>
      </c>
    </row>
    <row r="13578" spans="1:8" x14ac:dyDescent="0.2">
      <c r="A13578" s="2" t="s">
        <v>7526</v>
      </c>
      <c r="B13578" s="2" t="s">
        <v>6200</v>
      </c>
      <c r="C13578" s="2">
        <v>1228.645</v>
      </c>
      <c r="D13578" s="2">
        <f>HYPERLINK("http://mcb-m6.bioreg.kyushu-u.ac.jp/M3/20110404/F50772/1416/1", 42.33)</f>
        <v>42.33</v>
      </c>
      <c r="E13578" s="2">
        <v>18.63</v>
      </c>
      <c r="F13578" s="2">
        <v>1</v>
      </c>
      <c r="G13578" s="2" t="s">
        <v>10</v>
      </c>
    </row>
    <row r="13579" spans="1:8" x14ac:dyDescent="0.2">
      <c r="A13579" s="2" t="s">
        <v>7526</v>
      </c>
      <c r="B13579" s="2" t="s">
        <v>6791</v>
      </c>
      <c r="C13579" s="2">
        <v>570.85360000000003</v>
      </c>
      <c r="D13579" s="2">
        <f>HYPERLINK("http://mcb-m6.bioreg.kyushu-u.ac.jp/M3/20110404/F50773/1158/1", 43.12)</f>
        <v>43.12</v>
      </c>
      <c r="E13579" s="2">
        <v>19.2</v>
      </c>
      <c r="F13579" s="2">
        <v>2</v>
      </c>
      <c r="G13579" s="2" t="s">
        <v>10</v>
      </c>
    </row>
    <row r="13580" spans="1:8" x14ac:dyDescent="0.2">
      <c r="A13580" s="2" t="s">
        <v>7526</v>
      </c>
      <c r="B13580" s="2" t="s">
        <v>6200</v>
      </c>
      <c r="C13580" s="2">
        <v>1229.643</v>
      </c>
      <c r="D13580" s="2">
        <f>HYPERLINK("http://mcb-m6.bioreg.kyushu-u.ac.jp/M3/20110404/F50772/1419/1", 43.88)</f>
        <v>43.88</v>
      </c>
      <c r="E13580" s="2">
        <v>28.1</v>
      </c>
      <c r="F13580" s="2">
        <v>1</v>
      </c>
      <c r="G13580" s="2" t="s">
        <v>10</v>
      </c>
    </row>
    <row r="13581" spans="1:8" x14ac:dyDescent="0.2">
      <c r="A13581" s="2" t="s">
        <v>7526</v>
      </c>
      <c r="B13581" s="2" t="s">
        <v>6229</v>
      </c>
      <c r="C13581" s="2">
        <v>798.54909999999995</v>
      </c>
      <c r="D13581" s="2">
        <f>HYPERLINK("http://mcb-m6.bioreg.kyushu-u.ac.jp/M3/20110404/F50772/2177/1", 44.08)</f>
        <v>44.08</v>
      </c>
      <c r="E13581" s="2">
        <v>34.840000000000003</v>
      </c>
      <c r="F13581" s="2">
        <v>2</v>
      </c>
      <c r="G13581" s="2" t="s">
        <v>10</v>
      </c>
      <c r="H13581" s="2" t="s">
        <v>4904</v>
      </c>
    </row>
    <row r="13582" spans="1:8" x14ac:dyDescent="0.2">
      <c r="A13582" s="2" t="s">
        <v>7526</v>
      </c>
      <c r="B13582" s="2" t="s">
        <v>6126</v>
      </c>
      <c r="C13582" s="2">
        <v>479.85509999999999</v>
      </c>
      <c r="D13582" s="2">
        <f>HYPERLINK("http://mcb-m6.bioreg.kyushu-u.ac.jp/M3/20110404/F50773/907/1", 44.09)</f>
        <v>44.09</v>
      </c>
      <c r="E13582" s="2">
        <v>12.23</v>
      </c>
      <c r="F13582" s="2">
        <v>2</v>
      </c>
      <c r="G13582" s="2" t="s">
        <v>10</v>
      </c>
    </row>
    <row r="13583" spans="1:8" x14ac:dyDescent="0.2">
      <c r="A13583" s="2" t="s">
        <v>7526</v>
      </c>
      <c r="B13583" s="2" t="s">
        <v>6243</v>
      </c>
      <c r="C13583" s="2">
        <v>748.43910000000005</v>
      </c>
      <c r="D13583" s="2">
        <f>HYPERLINK("http://mcb-m6.bioreg.kyushu-u.ac.jp/M3/20110404/F50773/1865/1", 44.12)</f>
        <v>44.12</v>
      </c>
      <c r="E13583" s="2">
        <v>23.22</v>
      </c>
      <c r="F13583" s="2">
        <v>2</v>
      </c>
      <c r="G13583" s="2" t="s">
        <v>10</v>
      </c>
    </row>
    <row r="13584" spans="1:8" x14ac:dyDescent="0.2">
      <c r="A13584" s="2" t="s">
        <v>7526</v>
      </c>
      <c r="B13584" s="2" t="s">
        <v>6791</v>
      </c>
      <c r="C13584" s="2">
        <v>1140.5170000000001</v>
      </c>
      <c r="D13584" s="2">
        <f>HYPERLINK("http://mcb-m6.bioreg.kyushu-u.ac.jp/M3/20110404/F50771/1245/1", 44.17)</f>
        <v>44.17</v>
      </c>
      <c r="E13584" s="2">
        <v>29.53</v>
      </c>
      <c r="F13584" s="2">
        <v>1</v>
      </c>
      <c r="G13584" s="2" t="s">
        <v>10</v>
      </c>
    </row>
    <row r="13585" spans="1:8" x14ac:dyDescent="0.2">
      <c r="A13585" s="2" t="s">
        <v>7526</v>
      </c>
      <c r="B13585" s="2" t="s">
        <v>6259</v>
      </c>
      <c r="C13585" s="2">
        <v>1154.3699999999999</v>
      </c>
      <c r="D13585" s="2">
        <f>HYPERLINK("http://mcb-m6.bioreg.kyushu-u.ac.jp/M3/20110404/F50771/1260/1", 45.03)</f>
        <v>45.03</v>
      </c>
      <c r="E13585" s="2">
        <v>23.96</v>
      </c>
      <c r="F13585" s="2">
        <v>1</v>
      </c>
      <c r="G13585" s="2" t="s">
        <v>10</v>
      </c>
    </row>
    <row r="13586" spans="1:8" x14ac:dyDescent="0.2">
      <c r="A13586" s="2" t="s">
        <v>7526</v>
      </c>
      <c r="B13586" s="2" t="s">
        <v>6101</v>
      </c>
      <c r="C13586" s="2">
        <v>514.13959999999997</v>
      </c>
      <c r="D13586" s="2">
        <f>HYPERLINK("http://mcb-m6.bioreg.kyushu-u.ac.jp/M3/20110404/F50771/1059/1", 45.14)</f>
        <v>45.14</v>
      </c>
      <c r="E13586" s="2">
        <v>27.91</v>
      </c>
      <c r="F13586" s="2">
        <v>2</v>
      </c>
      <c r="G13586" s="2" t="s">
        <v>10</v>
      </c>
    </row>
    <row r="13587" spans="1:8" x14ac:dyDescent="0.2">
      <c r="A13587" s="2" t="s">
        <v>7526</v>
      </c>
      <c r="B13587" s="2" t="s">
        <v>5943</v>
      </c>
      <c r="C13587" s="2">
        <v>540.71559999999999</v>
      </c>
      <c r="D13587" s="2">
        <f>HYPERLINK("http://mcb-m6.bioreg.kyushu-u.ac.jp/M3/20110404/F50772/1162/1", 45.17)</f>
        <v>45.17</v>
      </c>
      <c r="E13587" s="2">
        <v>19.05</v>
      </c>
      <c r="F13587" s="2">
        <v>2</v>
      </c>
      <c r="G13587" s="2" t="s">
        <v>10</v>
      </c>
    </row>
    <row r="13588" spans="1:8" x14ac:dyDescent="0.2">
      <c r="A13588" s="2" t="s">
        <v>7526</v>
      </c>
      <c r="B13588" s="2" t="s">
        <v>6163</v>
      </c>
      <c r="C13588" s="2">
        <v>518.31669999999997</v>
      </c>
      <c r="D13588" s="2">
        <f>HYPERLINK("http://mcb-m6.bioreg.kyushu-u.ac.jp/M3/20110404/F50771/1077/1", 45.67)</f>
        <v>45.67</v>
      </c>
      <c r="E13588" s="2">
        <v>18.73</v>
      </c>
      <c r="F13588" s="2">
        <v>2</v>
      </c>
      <c r="G13588" s="2" t="s">
        <v>10</v>
      </c>
    </row>
    <row r="13589" spans="1:8" x14ac:dyDescent="0.2">
      <c r="A13589" s="2" t="s">
        <v>7526</v>
      </c>
      <c r="B13589" s="2" t="s">
        <v>6105</v>
      </c>
      <c r="C13589" s="2">
        <v>524.00019999999995</v>
      </c>
      <c r="D13589" s="2">
        <f>HYPERLINK("http://mcb-m6.bioreg.kyushu-u.ac.jp/M3/20110404/F50771/1109/1", 45.72)</f>
        <v>45.72</v>
      </c>
      <c r="E13589" s="2">
        <v>26.57</v>
      </c>
      <c r="F13589" s="2">
        <v>2</v>
      </c>
      <c r="G13589" s="2" t="s">
        <v>10</v>
      </c>
    </row>
    <row r="13590" spans="1:8" x14ac:dyDescent="0.2">
      <c r="A13590" s="2" t="s">
        <v>7526</v>
      </c>
      <c r="B13590" s="2" t="s">
        <v>6123</v>
      </c>
      <c r="C13590" s="2">
        <v>1208.443</v>
      </c>
      <c r="D13590" s="2">
        <f>HYPERLINK("http://mcb-m6.bioreg.kyushu-u.ac.jp/M3/20110404/F50771/1346/1", 45.82)</f>
        <v>45.82</v>
      </c>
      <c r="E13590" s="2">
        <v>18.93</v>
      </c>
      <c r="F13590" s="2">
        <v>1</v>
      </c>
      <c r="G13590" s="2" t="s">
        <v>10</v>
      </c>
    </row>
    <row r="13591" spans="1:8" x14ac:dyDescent="0.2">
      <c r="A13591" s="2" t="s">
        <v>7526</v>
      </c>
      <c r="B13591" s="2" t="s">
        <v>6131</v>
      </c>
      <c r="C13591" s="2">
        <v>1392.5129999999999</v>
      </c>
      <c r="D13591" s="2">
        <f>HYPERLINK("http://mcb-m6.bioreg.kyushu-u.ac.jp/M3/20110404/F50771/1691/1", 46.07)</f>
        <v>46.07</v>
      </c>
      <c r="E13591" s="2">
        <v>26.21</v>
      </c>
      <c r="F13591" s="2">
        <v>1</v>
      </c>
      <c r="G13591" s="2" t="s">
        <v>10</v>
      </c>
    </row>
    <row r="13592" spans="1:8" x14ac:dyDescent="0.2">
      <c r="A13592" s="2" t="s">
        <v>7526</v>
      </c>
      <c r="B13592" s="2" t="s">
        <v>6118</v>
      </c>
      <c r="C13592" s="2">
        <v>1018.635</v>
      </c>
      <c r="D13592" s="2">
        <f>HYPERLINK("http://mcb-m6.bioreg.kyushu-u.ac.jp/M3/20110404/F50772/1051/1", 46.58)</f>
        <v>46.58</v>
      </c>
      <c r="E13592" s="2">
        <v>20.94</v>
      </c>
      <c r="F13592" s="2">
        <v>1</v>
      </c>
      <c r="G13592" s="2" t="s">
        <v>10</v>
      </c>
    </row>
    <row r="13593" spans="1:8" x14ac:dyDescent="0.2">
      <c r="A13593" s="2" t="s">
        <v>7526</v>
      </c>
      <c r="B13593" s="2" t="s">
        <v>6327</v>
      </c>
      <c r="C13593" s="2">
        <v>655.24869999999999</v>
      </c>
      <c r="D13593" s="2">
        <f>HYPERLINK("http://mcb-m6.bioreg.kyushu-u.ac.jp/M3/20110404/F50771/1521/1", 49.29)</f>
        <v>49.29</v>
      </c>
      <c r="E13593" s="2">
        <v>29.15</v>
      </c>
      <c r="F13593" s="2">
        <v>2</v>
      </c>
      <c r="G13593" s="2" t="s">
        <v>10</v>
      </c>
    </row>
    <row r="13594" spans="1:8" x14ac:dyDescent="0.2">
      <c r="A13594" s="2" t="s">
        <v>7526</v>
      </c>
      <c r="B13594" s="2" t="s">
        <v>6229</v>
      </c>
      <c r="C13594" s="2">
        <v>806.22270000000003</v>
      </c>
      <c r="D13594" s="2">
        <f>HYPERLINK("http://mcb-m6.bioreg.kyushu-u.ac.jp/M3/20110404/F50771/2175/1", 50.03)</f>
        <v>50.03</v>
      </c>
      <c r="E13594" s="2">
        <v>36.869999999999997</v>
      </c>
      <c r="F13594" s="2">
        <v>2</v>
      </c>
      <c r="G13594" s="2" t="s">
        <v>10</v>
      </c>
      <c r="H13594" s="2" t="s">
        <v>4961</v>
      </c>
    </row>
    <row r="13595" spans="1:8" x14ac:dyDescent="0.2">
      <c r="A13595" s="2" t="s">
        <v>7526</v>
      </c>
      <c r="B13595" s="2" t="s">
        <v>6376</v>
      </c>
      <c r="C13595" s="2">
        <v>979.69500000000005</v>
      </c>
      <c r="D13595" s="2">
        <f>HYPERLINK("http://mcb-m6.bioreg.kyushu-u.ac.jp/M3/20110404/F50772/989/1", 50.04)</f>
        <v>50.04</v>
      </c>
      <c r="E13595" s="2">
        <v>22.27</v>
      </c>
      <c r="F13595" s="2">
        <v>1</v>
      </c>
      <c r="G13595" s="2" t="s">
        <v>10</v>
      </c>
    </row>
    <row r="13596" spans="1:8" x14ac:dyDescent="0.2">
      <c r="A13596" s="2" t="s">
        <v>7526</v>
      </c>
      <c r="B13596" s="2" t="s">
        <v>6123</v>
      </c>
      <c r="C13596" s="2">
        <v>604.6191</v>
      </c>
      <c r="D13596" s="2">
        <f>HYPERLINK("http://mcb-m6.bioreg.kyushu-u.ac.jp/M3/20110404/F50771/1344/1", 50.49)</f>
        <v>50.49</v>
      </c>
      <c r="E13596" s="2">
        <v>21.97</v>
      </c>
      <c r="F13596" s="2">
        <v>2</v>
      </c>
      <c r="G13596" s="2" t="s">
        <v>10</v>
      </c>
    </row>
    <row r="13597" spans="1:8" x14ac:dyDescent="0.2">
      <c r="A13597" s="2" t="s">
        <v>7526</v>
      </c>
      <c r="B13597" s="2" t="s">
        <v>6164</v>
      </c>
      <c r="C13597" s="2">
        <v>568.8981</v>
      </c>
      <c r="D13597" s="2">
        <f>HYPERLINK("http://mcb-m6.bioreg.kyushu-u.ac.jp/M3/20110404/F50772/1241/1", 50.57)</f>
        <v>50.57</v>
      </c>
      <c r="E13597" s="2">
        <v>23.44</v>
      </c>
      <c r="F13597" s="2">
        <v>2</v>
      </c>
      <c r="G13597" s="2" t="s">
        <v>10</v>
      </c>
    </row>
    <row r="13598" spans="1:8" x14ac:dyDescent="0.2">
      <c r="A13598" s="2" t="s">
        <v>7526</v>
      </c>
      <c r="B13598" s="2" t="s">
        <v>6863</v>
      </c>
      <c r="C13598" s="2">
        <v>1136.1669999999999</v>
      </c>
      <c r="D13598" s="2">
        <f>HYPERLINK("http://mcb-m6.bioreg.kyushu-u.ac.jp/M3/20110404/F50771/3191/1", 50.72)</f>
        <v>50.72</v>
      </c>
      <c r="E13598" s="2">
        <v>44.81</v>
      </c>
      <c r="F13598" s="2">
        <v>2</v>
      </c>
      <c r="G13598" s="2" t="s">
        <v>10</v>
      </c>
    </row>
    <row r="13599" spans="1:8" x14ac:dyDescent="0.2">
      <c r="A13599" s="2" t="s">
        <v>7526</v>
      </c>
      <c r="B13599" s="2" t="s">
        <v>6376</v>
      </c>
      <c r="C13599" s="2">
        <v>979.36900000000003</v>
      </c>
      <c r="D13599" s="2">
        <f>HYPERLINK("http://mcb-m6.bioreg.kyushu-u.ac.jp/M3/20110404/F50773/934/1", 50.74)</f>
        <v>50.74</v>
      </c>
      <c r="E13599" s="2">
        <v>23.13</v>
      </c>
      <c r="F13599" s="2">
        <v>1</v>
      </c>
      <c r="G13599" s="2" t="s">
        <v>10</v>
      </c>
    </row>
    <row r="13600" spans="1:8" x14ac:dyDescent="0.2">
      <c r="A13600" s="2" t="s">
        <v>7526</v>
      </c>
      <c r="B13600" s="2" t="s">
        <v>6101</v>
      </c>
      <c r="C13600" s="2">
        <v>513.6182</v>
      </c>
      <c r="D13600" s="2">
        <f>HYPERLINK("http://mcb-m6.bioreg.kyushu-u.ac.jp/M3/20110404/F50771/1056/1", 51.02)</f>
        <v>51.02</v>
      </c>
      <c r="E13600" s="2">
        <v>25.98</v>
      </c>
      <c r="F13600" s="2">
        <v>2</v>
      </c>
      <c r="G13600" s="2" t="s">
        <v>10</v>
      </c>
    </row>
    <row r="13601" spans="1:9" x14ac:dyDescent="0.2">
      <c r="A13601" s="2" t="s">
        <v>7526</v>
      </c>
      <c r="B13601" s="2" t="s">
        <v>6327</v>
      </c>
      <c r="C13601" s="2">
        <v>1308.5619999999999</v>
      </c>
      <c r="D13601" s="2">
        <f>HYPERLINK("http://mcb-m6.bioreg.kyushu-u.ac.jp/M3/20110404/F50771/1518/1", 51.1)</f>
        <v>51.1</v>
      </c>
      <c r="E13601" s="2">
        <v>38.020000000000003</v>
      </c>
      <c r="F13601" s="2">
        <v>1</v>
      </c>
      <c r="G13601" s="2" t="s">
        <v>10</v>
      </c>
    </row>
    <row r="13602" spans="1:9" x14ac:dyDescent="0.2">
      <c r="A13602" s="2" t="s">
        <v>7526</v>
      </c>
      <c r="B13602" s="2" t="s">
        <v>6164</v>
      </c>
      <c r="C13602" s="2">
        <v>568.20320000000004</v>
      </c>
      <c r="D13602" s="2">
        <f>HYPERLINK("http://mcb-m6.bioreg.kyushu-u.ac.jp/M3/20110404/F50771/1237/1", 51.36)</f>
        <v>51.36</v>
      </c>
      <c r="E13602" s="2">
        <v>22.61</v>
      </c>
      <c r="F13602" s="2">
        <v>2</v>
      </c>
      <c r="G13602" s="2" t="s">
        <v>10</v>
      </c>
    </row>
    <row r="13603" spans="1:9" x14ac:dyDescent="0.2">
      <c r="A13603" s="2" t="s">
        <v>7526</v>
      </c>
      <c r="B13603" s="2" t="s">
        <v>6259</v>
      </c>
      <c r="C13603" s="2">
        <v>586.27869999999996</v>
      </c>
      <c r="D13603" s="2">
        <f>HYPERLINK("http://mcb-m6.bioreg.kyushu-u.ac.jp/M3/20110404/F50771/1284/1", 51.68)</f>
        <v>51.68</v>
      </c>
      <c r="E13603" s="2">
        <v>26.72</v>
      </c>
      <c r="F13603" s="2">
        <v>2</v>
      </c>
      <c r="G13603" s="2" t="s">
        <v>10</v>
      </c>
      <c r="H13603" s="2" t="s">
        <v>4915</v>
      </c>
    </row>
    <row r="13604" spans="1:9" x14ac:dyDescent="0.2">
      <c r="A13604" s="2" t="s">
        <v>7526</v>
      </c>
      <c r="B13604" s="2" t="s">
        <v>6210</v>
      </c>
      <c r="C13604" s="2">
        <v>636.96469999999999</v>
      </c>
      <c r="D13604" s="2">
        <f>HYPERLINK("http://mcb-m6.bioreg.kyushu-u.ac.jp/M3/20110404/F50772/1490/1", 51.69)</f>
        <v>51.69</v>
      </c>
      <c r="E13604" s="2">
        <v>19.329999999999998</v>
      </c>
      <c r="F13604" s="2">
        <v>2</v>
      </c>
      <c r="G13604" s="2" t="s">
        <v>10</v>
      </c>
    </row>
    <row r="13605" spans="1:9" x14ac:dyDescent="0.2">
      <c r="A13605" s="2" t="s">
        <v>7526</v>
      </c>
      <c r="B13605" s="2" t="s">
        <v>6126</v>
      </c>
      <c r="C13605" s="2">
        <v>479.94459999999998</v>
      </c>
      <c r="D13605" s="2">
        <f>HYPERLINK("http://mcb-m6.bioreg.kyushu-u.ac.jp/M3/20110404/F50772/952/1", 51.87)</f>
        <v>51.87</v>
      </c>
      <c r="E13605" s="2">
        <v>19.46</v>
      </c>
      <c r="F13605" s="2">
        <v>2</v>
      </c>
      <c r="G13605" s="2" t="s">
        <v>10</v>
      </c>
    </row>
    <row r="13606" spans="1:9" x14ac:dyDescent="0.2">
      <c r="A13606" s="2" t="s">
        <v>7526</v>
      </c>
      <c r="B13606" s="2" t="s">
        <v>6090</v>
      </c>
      <c r="C13606" s="2">
        <v>746.99210000000005</v>
      </c>
      <c r="D13606" s="2">
        <f>HYPERLINK("http://mcb-m6.bioreg.kyushu-u.ac.jp/M3/20110404/F50771/3163/1", 52.4)</f>
        <v>52.4</v>
      </c>
      <c r="E13606" s="2">
        <v>38.01</v>
      </c>
      <c r="F13606" s="2">
        <v>3</v>
      </c>
      <c r="G13606" s="2" t="s">
        <v>10</v>
      </c>
      <c r="H13606" s="2" t="s">
        <v>4917</v>
      </c>
    </row>
    <row r="13607" spans="1:9" x14ac:dyDescent="0.2">
      <c r="A13607" s="2" t="s">
        <v>7526</v>
      </c>
      <c r="B13607" s="2" t="s">
        <v>6880</v>
      </c>
      <c r="C13607" s="2">
        <v>609.02670000000001</v>
      </c>
      <c r="D13607" s="2">
        <f>HYPERLINK("http://mcb-m6.bioreg.kyushu-u.ac.jp/M3/20110404/F50772/1383/1", 52.7)</f>
        <v>52.7</v>
      </c>
      <c r="E13607" s="2">
        <v>37.15</v>
      </c>
      <c r="F13607" s="2">
        <v>2</v>
      </c>
      <c r="G13607" s="2" t="s">
        <v>10</v>
      </c>
      <c r="I13607" s="2" t="s">
        <v>4895</v>
      </c>
    </row>
    <row r="13608" spans="1:9" x14ac:dyDescent="0.2">
      <c r="A13608" s="2" t="s">
        <v>7526</v>
      </c>
      <c r="B13608" s="2" t="s">
        <v>6210</v>
      </c>
      <c r="C13608" s="2">
        <v>636.7577</v>
      </c>
      <c r="D13608" s="2">
        <f>HYPERLINK("http://mcb-m6.bioreg.kyushu-u.ac.jp/M3/20110404/F50771/1457/1", 53.91)</f>
        <v>53.91</v>
      </c>
      <c r="E13608" s="2">
        <v>29.05</v>
      </c>
      <c r="F13608" s="2">
        <v>2</v>
      </c>
      <c r="G13608" s="2" t="s">
        <v>10</v>
      </c>
    </row>
    <row r="13609" spans="1:9" x14ac:dyDescent="0.2">
      <c r="A13609" s="2" t="s">
        <v>7526</v>
      </c>
      <c r="B13609" s="2" t="s">
        <v>6126</v>
      </c>
      <c r="C13609" s="2">
        <v>479.75459999999998</v>
      </c>
      <c r="D13609" s="2">
        <f>HYPERLINK("http://mcb-m6.bioreg.kyushu-u.ac.jp/M3/20110404/F50771/967/1", 54.05)</f>
        <v>54.05</v>
      </c>
      <c r="E13609" s="2">
        <v>17.48</v>
      </c>
      <c r="F13609" s="2">
        <v>2</v>
      </c>
      <c r="G13609" s="2" t="s">
        <v>10</v>
      </c>
    </row>
    <row r="13610" spans="1:9" x14ac:dyDescent="0.2">
      <c r="A13610" s="2" t="s">
        <v>7526</v>
      </c>
      <c r="B13610" s="2" t="s">
        <v>6327</v>
      </c>
      <c r="C13610" s="2">
        <v>1309.461</v>
      </c>
      <c r="D13610" s="2">
        <f>HYPERLINK("http://mcb-m6.bioreg.kyushu-u.ac.jp/M3/20110404/F50771/1520/1", 54.2)</f>
        <v>54.2</v>
      </c>
      <c r="E13610" s="2">
        <v>36.33</v>
      </c>
      <c r="F13610" s="2">
        <v>1</v>
      </c>
      <c r="G13610" s="2" t="s">
        <v>10</v>
      </c>
    </row>
    <row r="13611" spans="1:9" x14ac:dyDescent="0.2">
      <c r="A13611" s="2" t="s">
        <v>7526</v>
      </c>
      <c r="B13611" s="2" t="s">
        <v>6376</v>
      </c>
      <c r="C13611" s="2">
        <v>979.4</v>
      </c>
      <c r="D13611" s="2">
        <f>HYPERLINK("http://mcb-m6.bioreg.kyushu-u.ac.jp/M3/20110404/F50771/1004/1", 54.39)</f>
        <v>54.39</v>
      </c>
      <c r="E13611" s="2">
        <v>26.53</v>
      </c>
      <c r="F13611" s="2">
        <v>1</v>
      </c>
      <c r="G13611" s="2" t="s">
        <v>10</v>
      </c>
    </row>
    <row r="13612" spans="1:9" x14ac:dyDescent="0.2">
      <c r="A13612" s="2" t="s">
        <v>7526</v>
      </c>
      <c r="B13612" s="2" t="s">
        <v>6414</v>
      </c>
      <c r="C13612" s="2">
        <v>744.61220000000003</v>
      </c>
      <c r="D13612" s="2">
        <f>HYPERLINK("http://mcb-m6.bioreg.kyushu-u.ac.jp/M3/20110404/F50770/1949/1", 54.41)</f>
        <v>54.41</v>
      </c>
      <c r="E13612" s="2">
        <v>38.56</v>
      </c>
      <c r="F13612" s="2">
        <v>2</v>
      </c>
      <c r="G13612" s="2" t="s">
        <v>10</v>
      </c>
    </row>
    <row r="13613" spans="1:9" x14ac:dyDescent="0.2">
      <c r="A13613" s="2" t="s">
        <v>7526</v>
      </c>
      <c r="B13613" s="2" t="s">
        <v>5939</v>
      </c>
      <c r="C13613" s="2">
        <v>557.35670000000005</v>
      </c>
      <c r="D13613" s="2">
        <f>HYPERLINK("http://mcb-m6.bioreg.kyushu-u.ac.jp/M3/20110404/F50772/1205/1", 54.64)</f>
        <v>54.64</v>
      </c>
      <c r="E13613" s="2">
        <v>17.28</v>
      </c>
      <c r="F13613" s="2">
        <v>2</v>
      </c>
      <c r="G13613" s="2" t="s">
        <v>10</v>
      </c>
    </row>
    <row r="13614" spans="1:9" x14ac:dyDescent="0.2">
      <c r="A13614" s="2" t="s">
        <v>7526</v>
      </c>
      <c r="B13614" s="2" t="s">
        <v>6105</v>
      </c>
      <c r="C13614" s="2">
        <v>523.78970000000004</v>
      </c>
      <c r="D13614" s="2">
        <f>HYPERLINK("http://mcb-m6.bioreg.kyushu-u.ac.jp/M3/20110404/F50773/1039/1", 55.02)</f>
        <v>55.02</v>
      </c>
      <c r="E13614" s="2">
        <v>31.03</v>
      </c>
      <c r="F13614" s="2">
        <v>2</v>
      </c>
      <c r="G13614" s="2" t="s">
        <v>10</v>
      </c>
    </row>
    <row r="13615" spans="1:9" x14ac:dyDescent="0.2">
      <c r="A13615" s="2" t="s">
        <v>7526</v>
      </c>
      <c r="B13615" s="2" t="s">
        <v>5922</v>
      </c>
      <c r="C13615" s="2">
        <v>849.01070000000004</v>
      </c>
      <c r="D13615" s="2">
        <f>HYPERLINK("http://mcb-m6.bioreg.kyushu-u.ac.jp/M3/20110404/F50772/2343/1", 55.16)</f>
        <v>55.16</v>
      </c>
      <c r="E13615" s="2">
        <v>42.2</v>
      </c>
      <c r="F13615" s="2">
        <v>2</v>
      </c>
      <c r="G13615" s="2" t="s">
        <v>10</v>
      </c>
      <c r="I13615" s="2" t="s">
        <v>4926</v>
      </c>
    </row>
    <row r="13616" spans="1:9" x14ac:dyDescent="0.2">
      <c r="A13616" s="2" t="s">
        <v>7526</v>
      </c>
      <c r="B13616" s="2" t="s">
        <v>6791</v>
      </c>
      <c r="C13616" s="2">
        <v>570.83669999999995</v>
      </c>
      <c r="D13616" s="2">
        <f>HYPERLINK("http://mcb-m6.bioreg.kyushu-u.ac.jp/M3/20110404/F50772/1244/1", 55.45)</f>
        <v>55.45</v>
      </c>
      <c r="E13616" s="2">
        <v>34.83</v>
      </c>
      <c r="F13616" s="2">
        <v>2</v>
      </c>
      <c r="G13616" s="2" t="s">
        <v>10</v>
      </c>
    </row>
    <row r="13617" spans="1:9" x14ac:dyDescent="0.2">
      <c r="A13617" s="2" t="s">
        <v>7526</v>
      </c>
      <c r="B13617" s="2" t="s">
        <v>5943</v>
      </c>
      <c r="C13617" s="2">
        <v>540.20259999999996</v>
      </c>
      <c r="D13617" s="2">
        <f>HYPERLINK("http://mcb-m6.bioreg.kyushu-u.ac.jp/M3/20110404/F50771/1170/1", 55.84)</f>
        <v>55.84</v>
      </c>
      <c r="E13617" s="2">
        <v>29.75</v>
      </c>
      <c r="F13617" s="2">
        <v>2</v>
      </c>
      <c r="G13617" s="2" t="s">
        <v>10</v>
      </c>
    </row>
    <row r="13618" spans="1:9" x14ac:dyDescent="0.2">
      <c r="A13618" s="2" t="s">
        <v>7526</v>
      </c>
      <c r="B13618" s="2" t="s">
        <v>6304</v>
      </c>
      <c r="C13618" s="2">
        <v>702.1807</v>
      </c>
      <c r="D13618" s="2">
        <f>HYPERLINK("http://mcb-m6.bioreg.kyushu-u.ac.jp/M3/20110404/F50771/1713/1", 56.19)</f>
        <v>56.19</v>
      </c>
      <c r="E13618" s="2">
        <v>28.81</v>
      </c>
      <c r="F13618" s="2">
        <v>2</v>
      </c>
      <c r="G13618" s="2" t="s">
        <v>10</v>
      </c>
    </row>
    <row r="13619" spans="1:9" x14ac:dyDescent="0.2">
      <c r="A13619" s="2" t="s">
        <v>7526</v>
      </c>
      <c r="B13619" s="2" t="s">
        <v>6414</v>
      </c>
      <c r="C13619" s="2">
        <v>1488.5730000000001</v>
      </c>
      <c r="D13619" s="2">
        <f>HYPERLINK("http://mcb-m6.bioreg.kyushu-u.ac.jp/M3/20110404/F50772/1937/1", 56.49)</f>
        <v>56.49</v>
      </c>
      <c r="E13619" s="2">
        <v>34.75</v>
      </c>
      <c r="F13619" s="2">
        <v>1</v>
      </c>
      <c r="G13619" s="2" t="s">
        <v>10</v>
      </c>
    </row>
    <row r="13620" spans="1:9" x14ac:dyDescent="0.2">
      <c r="A13620" s="2" t="s">
        <v>7526</v>
      </c>
      <c r="B13620" s="2" t="s">
        <v>6163</v>
      </c>
      <c r="C13620" s="2">
        <v>518.1567</v>
      </c>
      <c r="D13620" s="2">
        <f>HYPERLINK("http://mcb-m6.bioreg.kyushu-u.ac.jp/M3/20110404/F50771/1075/1", 56.5)</f>
        <v>56.5</v>
      </c>
      <c r="E13620" s="2">
        <v>30.61</v>
      </c>
      <c r="F13620" s="2">
        <v>2</v>
      </c>
      <c r="G13620" s="2" t="s">
        <v>10</v>
      </c>
    </row>
    <row r="13621" spans="1:9" x14ac:dyDescent="0.2">
      <c r="A13621" s="2" t="s">
        <v>7526</v>
      </c>
      <c r="B13621" s="2" t="s">
        <v>6414</v>
      </c>
      <c r="C13621" s="2">
        <v>744.41359999999997</v>
      </c>
      <c r="D13621" s="2">
        <f>HYPERLINK("http://mcb-m6.bioreg.kyushu-u.ac.jp/M3/20110404/F50771/1912/1", 56.83)</f>
        <v>56.83</v>
      </c>
      <c r="E13621" s="2">
        <v>26.66</v>
      </c>
      <c r="F13621" s="2">
        <v>2</v>
      </c>
      <c r="G13621" s="2" t="s">
        <v>10</v>
      </c>
    </row>
    <row r="13622" spans="1:9" x14ac:dyDescent="0.2">
      <c r="A13622" s="2" t="s">
        <v>7526</v>
      </c>
      <c r="B13622" s="2" t="s">
        <v>6880</v>
      </c>
      <c r="C13622" s="2">
        <v>608.97969999999998</v>
      </c>
      <c r="D13622" s="2">
        <f>HYPERLINK("http://mcb-m6.bioreg.kyushu-u.ac.jp/M3/20110404/F50771/1361/1", 57.19)</f>
        <v>57.19</v>
      </c>
      <c r="E13622" s="2">
        <v>44.37</v>
      </c>
      <c r="F13622" s="2">
        <v>2</v>
      </c>
      <c r="G13622" s="2" t="s">
        <v>10</v>
      </c>
      <c r="I13622" s="2" t="s">
        <v>4895</v>
      </c>
    </row>
    <row r="13623" spans="1:9" x14ac:dyDescent="0.2">
      <c r="A13623" s="2" t="s">
        <v>7526</v>
      </c>
      <c r="B13623" s="2" t="s">
        <v>6909</v>
      </c>
      <c r="C13623" s="2">
        <v>554.60860000000002</v>
      </c>
      <c r="D13623" s="2">
        <f>HYPERLINK("http://mcb-m6.bioreg.kyushu-u.ac.jp/M3/20110404/F50771/1205/1", 57.2)</f>
        <v>57.2</v>
      </c>
      <c r="E13623" s="2">
        <v>38.68</v>
      </c>
      <c r="F13623" s="2">
        <v>2</v>
      </c>
      <c r="G13623" s="2" t="s">
        <v>10</v>
      </c>
    </row>
    <row r="13624" spans="1:9" x14ac:dyDescent="0.2">
      <c r="A13624" s="2" t="s">
        <v>7526</v>
      </c>
      <c r="B13624" s="2" t="s">
        <v>6304</v>
      </c>
      <c r="C13624" s="2">
        <v>1403.3630000000001</v>
      </c>
      <c r="D13624" s="2">
        <f>HYPERLINK("http://mcb-m6.bioreg.kyushu-u.ac.jp/M3/20110404/F50771/1714/1", 57.49)</f>
        <v>57.49</v>
      </c>
      <c r="E13624" s="2">
        <v>36.49</v>
      </c>
      <c r="F13624" s="2">
        <v>1</v>
      </c>
      <c r="G13624" s="2" t="s">
        <v>10</v>
      </c>
    </row>
    <row r="13625" spans="1:9" x14ac:dyDescent="0.2">
      <c r="A13625" s="2" t="s">
        <v>7526</v>
      </c>
      <c r="B13625" s="2" t="s">
        <v>6101</v>
      </c>
      <c r="C13625" s="2">
        <v>514.32420000000002</v>
      </c>
      <c r="D13625" s="2">
        <f>HYPERLINK("http://mcb-m6.bioreg.kyushu-u.ac.jp/M3/20110404/F50772/1065/1", 57.62)</f>
        <v>57.62</v>
      </c>
      <c r="E13625" s="2">
        <v>34.25</v>
      </c>
      <c r="F13625" s="2">
        <v>2</v>
      </c>
      <c r="G13625" s="2" t="s">
        <v>10</v>
      </c>
    </row>
    <row r="13626" spans="1:9" x14ac:dyDescent="0.2">
      <c r="A13626" s="2" t="s">
        <v>7526</v>
      </c>
      <c r="B13626" s="2" t="s">
        <v>6061</v>
      </c>
      <c r="C13626" s="2">
        <v>698.72720000000004</v>
      </c>
      <c r="D13626" s="2">
        <f>HYPERLINK("http://mcb-m6.bioreg.kyushu-u.ac.jp/M3/20110404/F50771/2963/1", 59.02)</f>
        <v>59.02</v>
      </c>
      <c r="E13626" s="2">
        <v>45.08</v>
      </c>
      <c r="F13626" s="2">
        <v>3</v>
      </c>
      <c r="G13626" s="2" t="s">
        <v>10</v>
      </c>
    </row>
    <row r="13627" spans="1:9" x14ac:dyDescent="0.2">
      <c r="A13627" s="2" t="s">
        <v>7526</v>
      </c>
      <c r="B13627" s="2" t="s">
        <v>6163</v>
      </c>
      <c r="C13627" s="2">
        <v>518.21619999999996</v>
      </c>
      <c r="D13627" s="2">
        <f>HYPERLINK("http://mcb-m6.bioreg.kyushu-u.ac.jp/M3/20110404/F50772/1082/1", 59.25)</f>
        <v>59.25</v>
      </c>
      <c r="E13627" s="2">
        <v>30.69</v>
      </c>
      <c r="F13627" s="2">
        <v>2</v>
      </c>
      <c r="G13627" s="2" t="s">
        <v>10</v>
      </c>
    </row>
    <row r="13628" spans="1:9" x14ac:dyDescent="0.2">
      <c r="A13628" s="2" t="s">
        <v>7526</v>
      </c>
      <c r="B13628" s="2" t="s">
        <v>6254</v>
      </c>
      <c r="C13628" s="2">
        <v>1271.7349999999999</v>
      </c>
      <c r="D13628" s="2">
        <f>HYPERLINK("http://mcb-m6.bioreg.kyushu-u.ac.jp/M3/20110404/F50772/1487/1", 59.59)</f>
        <v>59.59</v>
      </c>
      <c r="E13628" s="2">
        <v>45.75</v>
      </c>
      <c r="F13628" s="2">
        <v>1</v>
      </c>
      <c r="G13628" s="2" t="s">
        <v>10</v>
      </c>
      <c r="H13628" s="2" t="s">
        <v>4904</v>
      </c>
    </row>
    <row r="13629" spans="1:9" x14ac:dyDescent="0.2">
      <c r="A13629" s="2" t="s">
        <v>7526</v>
      </c>
      <c r="B13629" s="2" t="s">
        <v>6791</v>
      </c>
      <c r="C13629" s="2">
        <v>570.72969999999998</v>
      </c>
      <c r="D13629" s="2">
        <f>HYPERLINK("http://mcb-m6.bioreg.kyushu-u.ac.jp/M3/20110404/F50771/1244/1", 59.61)</f>
        <v>59.61</v>
      </c>
      <c r="E13629" s="2">
        <v>33.979999999999997</v>
      </c>
      <c r="F13629" s="2">
        <v>2</v>
      </c>
      <c r="G13629" s="2" t="s">
        <v>10</v>
      </c>
    </row>
    <row r="13630" spans="1:9" x14ac:dyDescent="0.2">
      <c r="A13630" s="2" t="s">
        <v>7526</v>
      </c>
      <c r="B13630" s="2" t="s">
        <v>6118</v>
      </c>
      <c r="C13630" s="2">
        <v>1018.403</v>
      </c>
      <c r="D13630" s="2">
        <f>HYPERLINK("http://mcb-m6.bioreg.kyushu-u.ac.jp/M3/20110404/F50771/1045/1", 61.01)</f>
        <v>61.01</v>
      </c>
      <c r="E13630" s="2">
        <v>24.94</v>
      </c>
      <c r="F13630" s="2">
        <v>1</v>
      </c>
      <c r="G13630" s="2" t="s">
        <v>10</v>
      </c>
    </row>
    <row r="13631" spans="1:9" x14ac:dyDescent="0.2">
      <c r="A13631" s="2" t="s">
        <v>7526</v>
      </c>
      <c r="B13631" s="2" t="s">
        <v>6309</v>
      </c>
      <c r="C13631" s="2">
        <v>669.02620000000002</v>
      </c>
      <c r="D13631" s="2">
        <f>HYPERLINK("http://mcb-m6.bioreg.kyushu-u.ac.jp/M3/20110404/F50772/1583/1", 61.17)</f>
        <v>61.17</v>
      </c>
      <c r="E13631" s="2">
        <v>31.45</v>
      </c>
      <c r="F13631" s="2">
        <v>2</v>
      </c>
      <c r="G13631" s="2" t="s">
        <v>10</v>
      </c>
    </row>
    <row r="13632" spans="1:9" x14ac:dyDescent="0.2">
      <c r="A13632" s="2" t="s">
        <v>7526</v>
      </c>
      <c r="B13632" s="2" t="s">
        <v>6163</v>
      </c>
      <c r="C13632" s="2">
        <v>518.22270000000003</v>
      </c>
      <c r="D13632" s="2">
        <f>HYPERLINK("http://mcb-m6.bioreg.kyushu-u.ac.jp/M3/20110404/F50773/1009/1", 61.36)</f>
        <v>61.36</v>
      </c>
      <c r="E13632" s="2">
        <v>29.4</v>
      </c>
      <c r="F13632" s="2">
        <v>2</v>
      </c>
      <c r="G13632" s="2" t="s">
        <v>10</v>
      </c>
    </row>
    <row r="13633" spans="1:8" x14ac:dyDescent="0.2">
      <c r="A13633" s="2" t="s">
        <v>7526</v>
      </c>
      <c r="B13633" s="2" t="s">
        <v>6210</v>
      </c>
      <c r="C13633" s="2">
        <v>1272.559</v>
      </c>
      <c r="D13633" s="2">
        <f>HYPERLINK("http://mcb-m6.bioreg.kyushu-u.ac.jp/M3/20110404/F50771/1458/1", 61.67)</f>
        <v>61.67</v>
      </c>
      <c r="E13633" s="2">
        <v>35.83</v>
      </c>
      <c r="F13633" s="2">
        <v>1</v>
      </c>
      <c r="G13633" s="2" t="s">
        <v>10</v>
      </c>
    </row>
    <row r="13634" spans="1:8" x14ac:dyDescent="0.2">
      <c r="A13634" s="2" t="s">
        <v>7526</v>
      </c>
      <c r="B13634" s="2" t="s">
        <v>6105</v>
      </c>
      <c r="C13634" s="2">
        <v>523.91970000000003</v>
      </c>
      <c r="D13634" s="2">
        <f>HYPERLINK("http://mcb-m6.bioreg.kyushu-u.ac.jp/M3/20110404/F50772/1109/1", 61.83)</f>
        <v>61.83</v>
      </c>
      <c r="E13634" s="2">
        <v>30.38</v>
      </c>
      <c r="F13634" s="2">
        <v>2</v>
      </c>
      <c r="G13634" s="2" t="s">
        <v>10</v>
      </c>
    </row>
    <row r="13635" spans="1:8" x14ac:dyDescent="0.2">
      <c r="A13635" s="2" t="s">
        <v>7526</v>
      </c>
      <c r="B13635" s="2" t="s">
        <v>6229</v>
      </c>
      <c r="C13635" s="2">
        <v>798.28970000000004</v>
      </c>
      <c r="D13635" s="2">
        <f>HYPERLINK("http://mcb-m6.bioreg.kyushu-u.ac.jp/M3/20110404/F50771/2143/1", 61.91)</f>
        <v>61.91</v>
      </c>
      <c r="E13635" s="2">
        <v>50.03</v>
      </c>
      <c r="F13635" s="2">
        <v>2</v>
      </c>
      <c r="G13635" s="2" t="s">
        <v>10</v>
      </c>
      <c r="H13635" s="2" t="s">
        <v>4904</v>
      </c>
    </row>
    <row r="13636" spans="1:8" x14ac:dyDescent="0.2">
      <c r="A13636" s="2" t="s">
        <v>7526</v>
      </c>
      <c r="B13636" s="2" t="s">
        <v>6254</v>
      </c>
      <c r="C13636" s="2">
        <v>644.55520000000001</v>
      </c>
      <c r="D13636" s="2">
        <f>HYPERLINK("http://mcb-m6.bioreg.kyushu-u.ac.jp/M3/20110404/F50772/1513/1", 62.01)</f>
        <v>62.01</v>
      </c>
      <c r="E13636" s="2">
        <v>49.65</v>
      </c>
      <c r="F13636" s="2">
        <v>2</v>
      </c>
      <c r="G13636" s="2" t="s">
        <v>10</v>
      </c>
    </row>
    <row r="13637" spans="1:8" x14ac:dyDescent="0.2">
      <c r="A13637" s="2" t="s">
        <v>7526</v>
      </c>
      <c r="B13637" s="2" t="s">
        <v>6935</v>
      </c>
      <c r="C13637" s="2">
        <v>814.75819999999999</v>
      </c>
      <c r="D13637" s="2">
        <f>HYPERLINK("http://mcb-m6.bioreg.kyushu-u.ac.jp/M3/20110404/F50771/2219/1", 62.11)</f>
        <v>62.11</v>
      </c>
      <c r="E13637" s="2">
        <v>41.68</v>
      </c>
      <c r="F13637" s="2">
        <v>2</v>
      </c>
      <c r="G13637" s="2" t="s">
        <v>10</v>
      </c>
      <c r="H13637" s="2" t="s">
        <v>4915</v>
      </c>
    </row>
    <row r="13638" spans="1:8" x14ac:dyDescent="0.2">
      <c r="A13638" s="2" t="s">
        <v>7526</v>
      </c>
      <c r="B13638" s="2" t="s">
        <v>6254</v>
      </c>
      <c r="C13638" s="2">
        <v>636.16819999999996</v>
      </c>
      <c r="D13638" s="2">
        <f>HYPERLINK("http://mcb-m6.bioreg.kyushu-u.ac.jp/M3/20110404/F50771/1454/1", 62.48)</f>
        <v>62.48</v>
      </c>
      <c r="E13638" s="2">
        <v>32.520000000000003</v>
      </c>
      <c r="F13638" s="2">
        <v>2</v>
      </c>
      <c r="G13638" s="2" t="s">
        <v>10</v>
      </c>
      <c r="H13638" s="2" t="s">
        <v>4904</v>
      </c>
    </row>
    <row r="13639" spans="1:8" x14ac:dyDescent="0.2">
      <c r="A13639" s="2" t="s">
        <v>7526</v>
      </c>
      <c r="B13639" s="2" t="s">
        <v>6357</v>
      </c>
      <c r="C13639" s="2">
        <v>784.49959999999999</v>
      </c>
      <c r="D13639" s="2">
        <f>HYPERLINK("http://mcb-m6.bioreg.kyushu-u.ac.jp/M3/20110404/F50772/2120/1", 62.64)</f>
        <v>62.64</v>
      </c>
      <c r="E13639" s="2">
        <v>51.73</v>
      </c>
      <c r="F13639" s="2">
        <v>2</v>
      </c>
      <c r="G13639" s="2" t="s">
        <v>10</v>
      </c>
      <c r="H13639" s="2" t="s">
        <v>4900</v>
      </c>
    </row>
    <row r="13640" spans="1:8" x14ac:dyDescent="0.2">
      <c r="A13640" s="2" t="s">
        <v>7526</v>
      </c>
      <c r="B13640" s="2" t="s">
        <v>6791</v>
      </c>
      <c r="C13640" s="2">
        <v>571.24720000000002</v>
      </c>
      <c r="D13640" s="2">
        <f>HYPERLINK("http://mcb-m6.bioreg.kyushu-u.ac.jp/M3/20110404/F50771/1248/1", 62.67)</f>
        <v>62.67</v>
      </c>
      <c r="E13640" s="2">
        <v>39.01</v>
      </c>
      <c r="F13640" s="2">
        <v>2</v>
      </c>
      <c r="G13640" s="2" t="s">
        <v>10</v>
      </c>
    </row>
    <row r="13641" spans="1:8" x14ac:dyDescent="0.2">
      <c r="A13641" s="2" t="s">
        <v>7526</v>
      </c>
      <c r="B13641" s="2" t="s">
        <v>6327</v>
      </c>
      <c r="C13641" s="2">
        <v>654.87120000000004</v>
      </c>
      <c r="D13641" s="2">
        <f>HYPERLINK("http://mcb-m6.bioreg.kyushu-u.ac.jp/M3/20110404/F50772/1539/1", 62.72)</f>
        <v>62.72</v>
      </c>
      <c r="E13641" s="2">
        <v>26.39</v>
      </c>
      <c r="F13641" s="2">
        <v>2</v>
      </c>
      <c r="G13641" s="2" t="s">
        <v>10</v>
      </c>
    </row>
    <row r="13642" spans="1:8" x14ac:dyDescent="0.2">
      <c r="A13642" s="2" t="s">
        <v>7526</v>
      </c>
      <c r="B13642" s="2" t="s">
        <v>6942</v>
      </c>
      <c r="C13642" s="2">
        <v>580.79169999999999</v>
      </c>
      <c r="D13642" s="2">
        <f>HYPERLINK("http://mcb-m6.bioreg.kyushu-u.ac.jp/M3/20110404/F50771/1269/1", 63.11)</f>
        <v>63.11</v>
      </c>
      <c r="E13642" s="2">
        <v>34.119999999999997</v>
      </c>
      <c r="F13642" s="2">
        <v>2</v>
      </c>
      <c r="G13642" s="2" t="s">
        <v>10</v>
      </c>
    </row>
    <row r="13643" spans="1:8" x14ac:dyDescent="0.2">
      <c r="A13643" s="2" t="s">
        <v>7526</v>
      </c>
      <c r="B13643" s="2" t="s">
        <v>6471</v>
      </c>
      <c r="C13643" s="2">
        <v>955.51670000000001</v>
      </c>
      <c r="D13643" s="2">
        <f>HYPERLINK("http://mcb-m6.bioreg.kyushu-u.ac.jp/M3/20110404/F50773/2615/1", 65.11)</f>
        <v>65.11</v>
      </c>
      <c r="E13643" s="2">
        <v>44.57</v>
      </c>
      <c r="F13643" s="2">
        <v>2</v>
      </c>
      <c r="G13643" s="2" t="s">
        <v>10</v>
      </c>
      <c r="H13643" s="2" t="s">
        <v>4904</v>
      </c>
    </row>
    <row r="13644" spans="1:8" x14ac:dyDescent="0.2">
      <c r="A13644" s="2" t="s">
        <v>7526</v>
      </c>
      <c r="B13644" s="2" t="s">
        <v>6058</v>
      </c>
      <c r="C13644" s="2">
        <v>630.81709999999998</v>
      </c>
      <c r="D13644" s="2">
        <f>HYPERLINK("http://mcb-m6.bioreg.kyushu-u.ac.jp/M3/20110404/F50773/1363/1", 65.17)</f>
        <v>65.17</v>
      </c>
      <c r="E13644" s="2">
        <v>38.82</v>
      </c>
      <c r="F13644" s="2">
        <v>2</v>
      </c>
      <c r="G13644" s="2" t="s">
        <v>10</v>
      </c>
    </row>
    <row r="13645" spans="1:8" x14ac:dyDescent="0.2">
      <c r="A13645" s="2" t="s">
        <v>7526</v>
      </c>
      <c r="B13645" s="2" t="s">
        <v>5939</v>
      </c>
      <c r="C13645" s="2">
        <v>557.14869999999996</v>
      </c>
      <c r="D13645" s="2">
        <f>HYPERLINK("http://mcb-m6.bioreg.kyushu-u.ac.jp/M3/20110404/F50771/1209/1", 65.85)</f>
        <v>65.849999999999994</v>
      </c>
      <c r="E13645" s="2">
        <v>28.46</v>
      </c>
      <c r="F13645" s="2">
        <v>2</v>
      </c>
      <c r="G13645" s="2" t="s">
        <v>10</v>
      </c>
    </row>
    <row r="13646" spans="1:8" x14ac:dyDescent="0.2">
      <c r="A13646" s="2" t="s">
        <v>7526</v>
      </c>
      <c r="B13646" s="2" t="s">
        <v>6357</v>
      </c>
      <c r="C13646" s="2">
        <v>784.49869999999999</v>
      </c>
      <c r="D13646" s="2">
        <f>HYPERLINK("http://mcb-m6.bioreg.kyushu-u.ac.jp/M3/20110404/F50773/2012/1", 66.14)</f>
        <v>66.14</v>
      </c>
      <c r="E13646" s="2">
        <v>52.69</v>
      </c>
      <c r="F13646" s="2">
        <v>2</v>
      </c>
      <c r="G13646" s="2" t="s">
        <v>10</v>
      </c>
      <c r="H13646" s="2" t="s">
        <v>4900</v>
      </c>
    </row>
    <row r="13647" spans="1:8" x14ac:dyDescent="0.2">
      <c r="A13647" s="2" t="s">
        <v>7526</v>
      </c>
      <c r="B13647" s="2" t="s">
        <v>6170</v>
      </c>
      <c r="C13647" s="2">
        <v>859.74549999999999</v>
      </c>
      <c r="D13647" s="2">
        <f>HYPERLINK("http://mcb-m6.bioreg.kyushu-u.ac.jp/M3/20110404/F50771/3479/1", 66.76)</f>
        <v>66.760000000000005</v>
      </c>
      <c r="E13647" s="2">
        <v>47.86</v>
      </c>
      <c r="F13647" s="2">
        <v>3</v>
      </c>
      <c r="G13647" s="2" t="s">
        <v>10</v>
      </c>
    </row>
    <row r="13648" spans="1:8" x14ac:dyDescent="0.2">
      <c r="A13648" s="2" t="s">
        <v>7526</v>
      </c>
      <c r="B13648" s="2" t="s">
        <v>6200</v>
      </c>
      <c r="C13648" s="2">
        <v>614.90260000000001</v>
      </c>
      <c r="D13648" s="2">
        <f>HYPERLINK("http://mcb-m6.bioreg.kyushu-u.ac.jp/M3/20110404/F50773/1313/1", 66.84)</f>
        <v>66.84</v>
      </c>
      <c r="E13648" s="2">
        <v>36.4</v>
      </c>
      <c r="F13648" s="2">
        <v>2</v>
      </c>
      <c r="G13648" s="2" t="s">
        <v>10</v>
      </c>
    </row>
    <row r="13649" spans="1:9" x14ac:dyDescent="0.2">
      <c r="A13649" s="2" t="s">
        <v>7526</v>
      </c>
      <c r="B13649" s="2" t="s">
        <v>6465</v>
      </c>
      <c r="C13649" s="2">
        <v>766.26319999999998</v>
      </c>
      <c r="D13649" s="2">
        <f>HYPERLINK("http://mcb-m6.bioreg.kyushu-u.ac.jp/M3/20110404/F50771/1992/1", 67.29)</f>
        <v>67.290000000000006</v>
      </c>
      <c r="E13649" s="2">
        <v>46.71</v>
      </c>
      <c r="F13649" s="2">
        <v>2</v>
      </c>
      <c r="G13649" s="2" t="s">
        <v>10</v>
      </c>
    </row>
    <row r="13650" spans="1:9" x14ac:dyDescent="0.2">
      <c r="A13650" s="2" t="s">
        <v>7526</v>
      </c>
      <c r="B13650" s="2" t="s">
        <v>6327</v>
      </c>
      <c r="C13650" s="2">
        <v>654.6866</v>
      </c>
      <c r="D13650" s="2">
        <f>HYPERLINK("http://mcb-m6.bioreg.kyushu-u.ac.jp/M3/20110404/F50771/1516/1", 67.67)</f>
        <v>67.67</v>
      </c>
      <c r="E13650" s="2">
        <v>44.82</v>
      </c>
      <c r="F13650" s="2">
        <v>2</v>
      </c>
      <c r="G13650" s="2" t="s">
        <v>10</v>
      </c>
    </row>
    <row r="13651" spans="1:9" x14ac:dyDescent="0.2">
      <c r="A13651" s="2" t="s">
        <v>7526</v>
      </c>
      <c r="B13651" s="2" t="s">
        <v>6243</v>
      </c>
      <c r="C13651" s="2">
        <v>755.86320000000001</v>
      </c>
      <c r="D13651" s="2">
        <f>HYPERLINK("http://mcb-m6.bioreg.kyushu-u.ac.jp/M3/20110404/F50771/1958/1", 68.05)</f>
        <v>68.05</v>
      </c>
      <c r="E13651" s="2">
        <v>40.24</v>
      </c>
      <c r="F13651" s="2">
        <v>2</v>
      </c>
      <c r="G13651" s="2" t="s">
        <v>10</v>
      </c>
      <c r="H13651" s="2" t="s">
        <v>4891</v>
      </c>
    </row>
    <row r="13652" spans="1:9" x14ac:dyDescent="0.2">
      <c r="A13652" s="2" t="s">
        <v>7526</v>
      </c>
      <c r="B13652" s="2" t="s">
        <v>6304</v>
      </c>
      <c r="C13652" s="2">
        <v>702.4357</v>
      </c>
      <c r="D13652" s="2">
        <f>HYPERLINK("http://mcb-m6.bioreg.kyushu-u.ac.jp/M3/20110404/F50772/1742/1", 69.75)</f>
        <v>69.75</v>
      </c>
      <c r="E13652" s="2">
        <v>46.81</v>
      </c>
      <c r="F13652" s="2">
        <v>2</v>
      </c>
      <c r="G13652" s="2" t="s">
        <v>10</v>
      </c>
    </row>
    <row r="13653" spans="1:9" x14ac:dyDescent="0.2">
      <c r="A13653" s="2" t="s">
        <v>7526</v>
      </c>
      <c r="B13653" s="2" t="s">
        <v>6471</v>
      </c>
      <c r="C13653" s="2">
        <v>955.04520000000002</v>
      </c>
      <c r="D13653" s="2">
        <f>HYPERLINK("http://mcb-m6.bioreg.kyushu-u.ac.jp/M3/20110404/F50771/2691/1", 70.42)</f>
        <v>70.42</v>
      </c>
      <c r="E13653" s="2">
        <v>46.5</v>
      </c>
      <c r="F13653" s="2">
        <v>2</v>
      </c>
      <c r="G13653" s="2" t="s">
        <v>10</v>
      </c>
      <c r="H13653" s="2" t="s">
        <v>4904</v>
      </c>
    </row>
    <row r="13654" spans="1:9" x14ac:dyDescent="0.2">
      <c r="A13654" s="2" t="s">
        <v>7526</v>
      </c>
      <c r="B13654" s="2" t="s">
        <v>6229</v>
      </c>
      <c r="C13654" s="2">
        <v>798.47519999999997</v>
      </c>
      <c r="D13654" s="2">
        <f>HYPERLINK("http://mcb-m6.bioreg.kyushu-u.ac.jp/M3/20110404/F50773/2065/1", 70.55)</f>
        <v>70.55</v>
      </c>
      <c r="E13654" s="2">
        <v>56.54</v>
      </c>
      <c r="F13654" s="2">
        <v>2</v>
      </c>
      <c r="G13654" s="2" t="s">
        <v>10</v>
      </c>
      <c r="H13654" s="2" t="s">
        <v>4904</v>
      </c>
    </row>
    <row r="13655" spans="1:9" x14ac:dyDescent="0.2">
      <c r="A13655" s="2" t="s">
        <v>7526</v>
      </c>
      <c r="B13655" s="2" t="s">
        <v>6465</v>
      </c>
      <c r="C13655" s="2">
        <v>766.52809999999999</v>
      </c>
      <c r="D13655" s="2">
        <f>HYPERLINK("http://mcb-m6.bioreg.kyushu-u.ac.jp/M3/20110404/F50772/2027/1", 70.71)</f>
        <v>70.709999999999994</v>
      </c>
      <c r="E13655" s="2">
        <v>51.99</v>
      </c>
      <c r="F13655" s="2">
        <v>2</v>
      </c>
      <c r="G13655" s="2" t="s">
        <v>10</v>
      </c>
    </row>
    <row r="13656" spans="1:9" x14ac:dyDescent="0.2">
      <c r="A13656" s="2" t="s">
        <v>7526</v>
      </c>
      <c r="B13656" s="2" t="s">
        <v>6414</v>
      </c>
      <c r="C13656" s="2">
        <v>1487.614</v>
      </c>
      <c r="D13656" s="2">
        <f>HYPERLINK("http://mcb-m6.bioreg.kyushu-u.ac.jp/M3/20110404/F50771/1911/1", 71.05)</f>
        <v>71.05</v>
      </c>
      <c r="E13656" s="2">
        <v>47.22</v>
      </c>
      <c r="F13656" s="2">
        <v>1</v>
      </c>
      <c r="G13656" s="2" t="s">
        <v>10</v>
      </c>
    </row>
    <row r="13657" spans="1:9" x14ac:dyDescent="0.2">
      <c r="A13657" s="2" t="s">
        <v>7526</v>
      </c>
      <c r="B13657" s="2" t="s">
        <v>6465</v>
      </c>
      <c r="C13657" s="2">
        <v>766.39469999999994</v>
      </c>
      <c r="D13657" s="2">
        <f>HYPERLINK("http://mcb-m6.bioreg.kyushu-u.ac.jp/M3/20110404/F50773/1931/1", 71.16)</f>
        <v>71.16</v>
      </c>
      <c r="E13657" s="2">
        <v>54.01</v>
      </c>
      <c r="F13657" s="2">
        <v>2</v>
      </c>
      <c r="G13657" s="2" t="s">
        <v>10</v>
      </c>
    </row>
    <row r="13658" spans="1:9" x14ac:dyDescent="0.2">
      <c r="A13658" s="2" t="s">
        <v>7526</v>
      </c>
      <c r="B13658" s="2" t="s">
        <v>6170</v>
      </c>
      <c r="C13658" s="2">
        <v>859.42550000000006</v>
      </c>
      <c r="D13658" s="2">
        <f>HYPERLINK("http://mcb-m6.bioreg.kyushu-u.ac.jp/M3/20110404/F50772/3415/1", 71.43)</f>
        <v>71.430000000000007</v>
      </c>
      <c r="E13658" s="2">
        <v>58.75</v>
      </c>
      <c r="F13658" s="2">
        <v>3</v>
      </c>
      <c r="G13658" s="2" t="s">
        <v>10</v>
      </c>
    </row>
    <row r="13659" spans="1:9" x14ac:dyDescent="0.2">
      <c r="A13659" s="2" t="s">
        <v>7526</v>
      </c>
      <c r="B13659" s="2" t="s">
        <v>6487</v>
      </c>
      <c r="C13659" s="2">
        <v>516.71370000000002</v>
      </c>
      <c r="D13659" s="2">
        <f>HYPERLINK("http://mcb-m6.bioreg.kyushu-u.ac.jp/M3/20110404/F50771/1069/1", 71.63)</f>
        <v>71.63</v>
      </c>
      <c r="E13659" s="2">
        <v>34.82</v>
      </c>
      <c r="F13659" s="2">
        <v>2</v>
      </c>
      <c r="G13659" s="2" t="s">
        <v>10</v>
      </c>
    </row>
    <row r="13660" spans="1:9" x14ac:dyDescent="0.2">
      <c r="A13660" s="2" t="s">
        <v>7526</v>
      </c>
      <c r="B13660" s="2" t="s">
        <v>6170</v>
      </c>
      <c r="C13660" s="2">
        <v>1288.5409999999999</v>
      </c>
      <c r="D13660" s="2">
        <f>HYPERLINK("http://mcb-m6.bioreg.kyushu-u.ac.jp/M3/20110404/F50771/3477/1", 71.96)</f>
        <v>71.959999999999994</v>
      </c>
      <c r="E13660" s="2">
        <v>62.07</v>
      </c>
      <c r="F13660" s="2">
        <v>2</v>
      </c>
      <c r="G13660" s="2" t="s">
        <v>10</v>
      </c>
    </row>
    <row r="13661" spans="1:9" x14ac:dyDescent="0.2">
      <c r="A13661" s="2" t="s">
        <v>7526</v>
      </c>
      <c r="B13661" s="2" t="s">
        <v>6982</v>
      </c>
      <c r="C13661" s="2">
        <v>520.77070000000003</v>
      </c>
      <c r="D13661" s="2">
        <f>HYPERLINK("http://mcb-m6.bioreg.kyushu-u.ac.jp/M3/20110404/F50773/1017/1", 72.16)</f>
        <v>72.16</v>
      </c>
      <c r="E13661" s="2">
        <v>42.51</v>
      </c>
      <c r="F13661" s="2">
        <v>2</v>
      </c>
      <c r="G13661" s="2" t="s">
        <v>10</v>
      </c>
      <c r="I13661" s="2" t="s">
        <v>4943</v>
      </c>
    </row>
    <row r="13662" spans="1:9" x14ac:dyDescent="0.2">
      <c r="A13662" s="2" t="s">
        <v>7526</v>
      </c>
      <c r="B13662" s="2" t="s">
        <v>6327</v>
      </c>
      <c r="C13662" s="2">
        <v>654.90869999999995</v>
      </c>
      <c r="D13662" s="2">
        <f>HYPERLINK("http://mcb-m6.bioreg.kyushu-u.ac.jp/M3/20110404/F50773/1445/1", 72.56)</f>
        <v>72.56</v>
      </c>
      <c r="E13662" s="2">
        <v>42</v>
      </c>
      <c r="F13662" s="2">
        <v>2</v>
      </c>
      <c r="G13662" s="2" t="s">
        <v>10</v>
      </c>
    </row>
    <row r="13663" spans="1:9" x14ac:dyDescent="0.2">
      <c r="A13663" s="2" t="s">
        <v>7526</v>
      </c>
      <c r="B13663" s="2" t="s">
        <v>6986</v>
      </c>
      <c r="C13663" s="2">
        <v>822.45669999999996</v>
      </c>
      <c r="D13663" s="2">
        <f>HYPERLINK("http://mcb-m6.bioreg.kyushu-u.ac.jp/M3/20110404/F50771/2246/1", 72.64)</f>
        <v>72.64</v>
      </c>
      <c r="E13663" s="2">
        <v>54.86</v>
      </c>
      <c r="F13663" s="2">
        <v>2</v>
      </c>
      <c r="G13663" s="2" t="s">
        <v>10</v>
      </c>
    </row>
    <row r="13664" spans="1:9" x14ac:dyDescent="0.2">
      <c r="A13664" s="2" t="s">
        <v>7526</v>
      </c>
      <c r="B13664" s="2" t="s">
        <v>6118</v>
      </c>
      <c r="C13664" s="2">
        <v>509.77960000000002</v>
      </c>
      <c r="D13664" s="2">
        <f>HYPERLINK("http://mcb-m6.bioreg.kyushu-u.ac.jp/M3/20110404/F50772/1050/1", 73.38)</f>
        <v>73.38</v>
      </c>
      <c r="E13664" s="2">
        <v>30.04</v>
      </c>
      <c r="F13664" s="2">
        <v>2</v>
      </c>
      <c r="G13664" s="2" t="s">
        <v>10</v>
      </c>
    </row>
    <row r="13665" spans="1:8" x14ac:dyDescent="0.2">
      <c r="A13665" s="2" t="s">
        <v>7526</v>
      </c>
      <c r="B13665" s="2" t="s">
        <v>6414</v>
      </c>
      <c r="C13665" s="2">
        <v>744.78309999999999</v>
      </c>
      <c r="D13665" s="2">
        <f>HYPERLINK("http://mcb-m6.bioreg.kyushu-u.ac.jp/M3/20110404/F50773/1852/1", 73.43)</f>
        <v>73.430000000000007</v>
      </c>
      <c r="E13665" s="2">
        <v>44.66</v>
      </c>
      <c r="F13665" s="2">
        <v>2</v>
      </c>
      <c r="G13665" s="2" t="s">
        <v>10</v>
      </c>
    </row>
    <row r="13666" spans="1:8" x14ac:dyDescent="0.2">
      <c r="A13666" s="2" t="s">
        <v>7526</v>
      </c>
      <c r="B13666" s="2" t="s">
        <v>6588</v>
      </c>
      <c r="C13666" s="2">
        <v>839.27670000000001</v>
      </c>
      <c r="D13666" s="2">
        <f>HYPERLINK("http://mcb-m6.bioreg.kyushu-u.ac.jp/M3/20110404/F50771/2294/1", 73.63)</f>
        <v>73.63</v>
      </c>
      <c r="E13666" s="2">
        <v>51.52</v>
      </c>
      <c r="F13666" s="2">
        <v>2</v>
      </c>
      <c r="G13666" s="2" t="s">
        <v>10</v>
      </c>
    </row>
    <row r="13667" spans="1:8" x14ac:dyDescent="0.2">
      <c r="A13667" s="2" t="s">
        <v>7526</v>
      </c>
      <c r="B13667" s="2" t="s">
        <v>6440</v>
      </c>
      <c r="C13667" s="2">
        <v>931.37369999999999</v>
      </c>
      <c r="D13667" s="2">
        <f>HYPERLINK("http://mcb-m6.bioreg.kyushu-u.ac.jp/M3/20110404/F50771/2629/1", 74.57)</f>
        <v>74.569999999999993</v>
      </c>
      <c r="E13667" s="2">
        <v>65</v>
      </c>
      <c r="F13667" s="2">
        <v>2</v>
      </c>
      <c r="G13667" s="2" t="s">
        <v>10</v>
      </c>
    </row>
    <row r="13668" spans="1:8" x14ac:dyDescent="0.2">
      <c r="A13668" s="2" t="s">
        <v>7526</v>
      </c>
      <c r="B13668" s="2" t="s">
        <v>6254</v>
      </c>
      <c r="C13668" s="2">
        <v>644.70119999999997</v>
      </c>
      <c r="D13668" s="2">
        <f>HYPERLINK("http://mcb-m6.bioreg.kyushu-u.ac.jp/M3/20110404/F50771/1484/1", 74.6)</f>
        <v>74.599999999999994</v>
      </c>
      <c r="E13668" s="2">
        <v>57.01</v>
      </c>
      <c r="F13668" s="2">
        <v>2</v>
      </c>
      <c r="G13668" s="2" t="s">
        <v>10</v>
      </c>
    </row>
    <row r="13669" spans="1:8" x14ac:dyDescent="0.2">
      <c r="A13669" s="2" t="s">
        <v>7526</v>
      </c>
      <c r="B13669" s="2" t="s">
        <v>6170</v>
      </c>
      <c r="C13669" s="2">
        <v>1288.5730000000001</v>
      </c>
      <c r="D13669" s="2">
        <f>HYPERLINK("http://mcb-m6.bioreg.kyushu-u.ac.jp/M3/20110404/F50773/3329/1", 74.7)</f>
        <v>74.7</v>
      </c>
      <c r="E13669" s="2">
        <v>69.819999999999993</v>
      </c>
      <c r="F13669" s="2">
        <v>2</v>
      </c>
      <c r="G13669" s="2" t="s">
        <v>10</v>
      </c>
    </row>
    <row r="13670" spans="1:8" x14ac:dyDescent="0.2">
      <c r="A13670" s="2" t="s">
        <v>7526</v>
      </c>
      <c r="B13670" s="2" t="s">
        <v>6986</v>
      </c>
      <c r="C13670" s="2">
        <v>822.44709999999998</v>
      </c>
      <c r="D13670" s="2">
        <f>HYPERLINK("http://mcb-m6.bioreg.kyushu-u.ac.jp/M3/20110404/F50773/2149/1", 74.72)</f>
        <v>74.72</v>
      </c>
      <c r="E13670" s="2">
        <v>49.73</v>
      </c>
      <c r="F13670" s="2">
        <v>2</v>
      </c>
      <c r="G13670" s="2" t="s">
        <v>10</v>
      </c>
    </row>
    <row r="13671" spans="1:8" x14ac:dyDescent="0.2">
      <c r="A13671" s="2" t="s">
        <v>7526</v>
      </c>
      <c r="B13671" s="2" t="s">
        <v>6594</v>
      </c>
      <c r="C13671" s="2">
        <v>717.6617</v>
      </c>
      <c r="D13671" s="2">
        <f>HYPERLINK("http://mcb-m6.bioreg.kyushu-u.ac.jp/M3/20110404/F50771/1797/1", 75.9)</f>
        <v>75.900000000000006</v>
      </c>
      <c r="E13671" s="2">
        <v>50.28</v>
      </c>
      <c r="F13671" s="2">
        <v>2</v>
      </c>
      <c r="G13671" s="2" t="s">
        <v>10</v>
      </c>
    </row>
    <row r="13672" spans="1:8" x14ac:dyDescent="0.2">
      <c r="A13672" s="2" t="s">
        <v>7526</v>
      </c>
      <c r="B13672" s="2" t="s">
        <v>6487</v>
      </c>
      <c r="C13672" s="2">
        <v>516.85860000000002</v>
      </c>
      <c r="D13672" s="2">
        <f>HYPERLINK("http://mcb-m6.bioreg.kyushu-u.ac.jp/M3/20110404/F50772/1077/1", 76.94)</f>
        <v>76.94</v>
      </c>
      <c r="E13672" s="2">
        <v>40.22</v>
      </c>
      <c r="F13672" s="2">
        <v>2</v>
      </c>
      <c r="G13672" s="2" t="s">
        <v>10</v>
      </c>
    </row>
    <row r="13673" spans="1:8" x14ac:dyDescent="0.2">
      <c r="A13673" s="2" t="s">
        <v>7526</v>
      </c>
      <c r="B13673" s="2" t="s">
        <v>6588</v>
      </c>
      <c r="C13673" s="2">
        <v>838.74659999999994</v>
      </c>
      <c r="D13673" s="2">
        <f>HYPERLINK("http://mcb-m6.bioreg.kyushu-u.ac.jp/M3/20110404/F50771/2292/1", 77.3)</f>
        <v>77.3</v>
      </c>
      <c r="E13673" s="2">
        <v>57.44</v>
      </c>
      <c r="F13673" s="2">
        <v>2</v>
      </c>
      <c r="G13673" s="2" t="s">
        <v>10</v>
      </c>
    </row>
    <row r="13674" spans="1:8" x14ac:dyDescent="0.2">
      <c r="A13674" s="2" t="s">
        <v>7526</v>
      </c>
      <c r="B13674" s="2" t="s">
        <v>6170</v>
      </c>
      <c r="C13674" s="2">
        <v>1289.0540000000001</v>
      </c>
      <c r="D13674" s="2">
        <f>HYPERLINK("http://mcb-m6.bioreg.kyushu-u.ac.jp/M3/20110404/F50771/3478/1", 78.64)</f>
        <v>78.64</v>
      </c>
      <c r="E13674" s="2">
        <v>69.44</v>
      </c>
      <c r="F13674" s="2">
        <v>2</v>
      </c>
      <c r="G13674" s="2" t="s">
        <v>10</v>
      </c>
    </row>
    <row r="13675" spans="1:8" x14ac:dyDescent="0.2">
      <c r="A13675" s="2" t="s">
        <v>7526</v>
      </c>
      <c r="B13675" s="2" t="s">
        <v>7009</v>
      </c>
      <c r="C13675" s="2">
        <v>619.1807</v>
      </c>
      <c r="D13675" s="2">
        <f>HYPERLINK("http://mcb-m6.bioreg.kyushu-u.ac.jp/M3/20110404/F50771/1408/1", 78.8)</f>
        <v>78.8</v>
      </c>
      <c r="E13675" s="2">
        <v>49.81</v>
      </c>
      <c r="F13675" s="2">
        <v>2</v>
      </c>
      <c r="G13675" s="2" t="s">
        <v>10</v>
      </c>
    </row>
    <row r="13676" spans="1:8" x14ac:dyDescent="0.2">
      <c r="A13676" s="2" t="s">
        <v>7526</v>
      </c>
      <c r="B13676" s="2" t="s">
        <v>6471</v>
      </c>
      <c r="C13676" s="2">
        <v>954.9547</v>
      </c>
      <c r="D13676" s="2">
        <f>HYPERLINK("http://mcb-m6.bioreg.kyushu-u.ac.jp/M3/20110404/F50772/2744/1", 79.54)</f>
        <v>79.540000000000006</v>
      </c>
      <c r="E13676" s="2">
        <v>53.93</v>
      </c>
      <c r="F13676" s="2">
        <v>2</v>
      </c>
      <c r="G13676" s="2" t="s">
        <v>10</v>
      </c>
      <c r="H13676" s="2" t="s">
        <v>4904</v>
      </c>
    </row>
    <row r="13677" spans="1:8" x14ac:dyDescent="0.2">
      <c r="A13677" s="2" t="s">
        <v>7526</v>
      </c>
      <c r="B13677" s="2" t="s">
        <v>6243</v>
      </c>
      <c r="C13677" s="2">
        <v>748.36220000000003</v>
      </c>
      <c r="D13677" s="2">
        <f>HYPERLINK("http://mcb-m6.bioreg.kyushu-u.ac.jp/M3/20110404/F50771/1931/1", 79.55)</f>
        <v>79.55</v>
      </c>
      <c r="E13677" s="2">
        <v>55.36</v>
      </c>
      <c r="F13677" s="2">
        <v>2</v>
      </c>
      <c r="G13677" s="2" t="s">
        <v>10</v>
      </c>
    </row>
    <row r="13678" spans="1:8" x14ac:dyDescent="0.2">
      <c r="A13678" s="2" t="s">
        <v>7526</v>
      </c>
      <c r="B13678" s="2" t="s">
        <v>7013</v>
      </c>
      <c r="C13678" s="2">
        <v>884.51369999999997</v>
      </c>
      <c r="D13678" s="2">
        <f>HYPERLINK("http://mcb-m6.bioreg.kyushu-u.ac.jp/M3/20110404/F50771/2451/1", 79.64)</f>
        <v>79.64</v>
      </c>
      <c r="E13678" s="2">
        <v>53.45</v>
      </c>
      <c r="F13678" s="2">
        <v>2</v>
      </c>
      <c r="G13678" s="2" t="s">
        <v>10</v>
      </c>
      <c r="H13678" s="2" t="s">
        <v>4925</v>
      </c>
    </row>
    <row r="13679" spans="1:8" x14ac:dyDescent="0.2">
      <c r="A13679" s="2" t="s">
        <v>7526</v>
      </c>
      <c r="B13679" s="2" t="s">
        <v>6254</v>
      </c>
      <c r="C13679" s="2">
        <v>1271.4870000000001</v>
      </c>
      <c r="D13679" s="2">
        <f>HYPERLINK("http://mcb-m6.bioreg.kyushu-u.ac.jp/M3/20110404/F50771/1455/1", 80.43)</f>
        <v>80.430000000000007</v>
      </c>
      <c r="E13679" s="2">
        <v>61.73</v>
      </c>
      <c r="F13679" s="2">
        <v>1</v>
      </c>
      <c r="G13679" s="2" t="s">
        <v>10</v>
      </c>
      <c r="H13679" s="2" t="s">
        <v>4904</v>
      </c>
    </row>
    <row r="13680" spans="1:8" x14ac:dyDescent="0.2">
      <c r="A13680" s="2" t="s">
        <v>7526</v>
      </c>
      <c r="B13680" s="2" t="s">
        <v>6058</v>
      </c>
      <c r="C13680" s="2">
        <v>630.71259999999995</v>
      </c>
      <c r="D13680" s="2">
        <f>HYPERLINK("http://mcb-m6.bioreg.kyushu-u.ac.jp/M3/20110404/F50771/1433/1", 80.91)</f>
        <v>80.91</v>
      </c>
      <c r="E13680" s="2">
        <v>56.98</v>
      </c>
      <c r="F13680" s="2">
        <v>2</v>
      </c>
      <c r="G13680" s="2" t="s">
        <v>10</v>
      </c>
    </row>
    <row r="13681" spans="1:8" x14ac:dyDescent="0.2">
      <c r="A13681" s="2" t="s">
        <v>7526</v>
      </c>
      <c r="B13681" s="2" t="s">
        <v>6357</v>
      </c>
      <c r="C13681" s="2">
        <v>776.34370000000001</v>
      </c>
      <c r="D13681" s="2">
        <f>HYPERLINK("http://mcb-m6.bioreg.kyushu-u.ac.jp/M3/20110404/F50771/2035/1", 81.36)</f>
        <v>81.36</v>
      </c>
      <c r="E13681" s="2">
        <v>68.05</v>
      </c>
      <c r="F13681" s="2">
        <v>2</v>
      </c>
      <c r="G13681" s="2" t="s">
        <v>10</v>
      </c>
    </row>
    <row r="13682" spans="1:8" x14ac:dyDescent="0.2">
      <c r="A13682" s="2" t="s">
        <v>7526</v>
      </c>
      <c r="B13682" s="2" t="s">
        <v>6200</v>
      </c>
      <c r="C13682" s="2">
        <v>614.81209999999999</v>
      </c>
      <c r="D13682" s="2">
        <f>HYPERLINK("http://mcb-m6.bioreg.kyushu-u.ac.jp/M3/20110404/F50771/1391/1", 82.34)</f>
        <v>82.34</v>
      </c>
      <c r="E13682" s="2">
        <v>59.32</v>
      </c>
      <c r="F13682" s="2">
        <v>2</v>
      </c>
      <c r="G13682" s="2" t="s">
        <v>10</v>
      </c>
    </row>
    <row r="13683" spans="1:8" x14ac:dyDescent="0.2">
      <c r="A13683" s="2" t="s">
        <v>7526</v>
      </c>
      <c r="B13683" s="2" t="s">
        <v>6357</v>
      </c>
      <c r="C13683" s="2">
        <v>776.74069999999995</v>
      </c>
      <c r="D13683" s="2">
        <f>HYPERLINK("http://mcb-m6.bioreg.kyushu-u.ac.jp/M3/20110404/F50782/1969/1", 82.95)</f>
        <v>82.95</v>
      </c>
      <c r="E13683" s="2">
        <v>69.98</v>
      </c>
      <c r="F13683" s="2">
        <v>2</v>
      </c>
      <c r="G13683" s="2" t="s">
        <v>10</v>
      </c>
    </row>
    <row r="13684" spans="1:8" x14ac:dyDescent="0.2">
      <c r="A13684" s="2" t="s">
        <v>7526</v>
      </c>
      <c r="B13684" s="2" t="s">
        <v>6588</v>
      </c>
      <c r="C13684" s="2">
        <v>839.26509999999996</v>
      </c>
      <c r="D13684" s="2">
        <f>HYPERLINK("http://mcb-m6.bioreg.kyushu-u.ac.jp/M3/20110404/F50772/2310/1", 83.41)</f>
        <v>83.41</v>
      </c>
      <c r="E13684" s="2">
        <v>67.150000000000006</v>
      </c>
      <c r="F13684" s="2">
        <v>2</v>
      </c>
      <c r="G13684" s="2" t="s">
        <v>10</v>
      </c>
    </row>
    <row r="13685" spans="1:8" x14ac:dyDescent="0.2">
      <c r="A13685" s="2" t="s">
        <v>7526</v>
      </c>
      <c r="B13685" s="2" t="s">
        <v>6170</v>
      </c>
      <c r="C13685" s="2">
        <v>1289.097</v>
      </c>
      <c r="D13685" s="2">
        <f>HYPERLINK("http://mcb-m6.bioreg.kyushu-u.ac.jp/M3/20110404/F50772/3418/1", 84.24)</f>
        <v>84.24</v>
      </c>
      <c r="E13685" s="2">
        <v>76.73</v>
      </c>
      <c r="F13685" s="2">
        <v>2</v>
      </c>
      <c r="G13685" s="2" t="s">
        <v>10</v>
      </c>
    </row>
    <row r="13686" spans="1:8" x14ac:dyDescent="0.2">
      <c r="A13686" s="2" t="s">
        <v>7526</v>
      </c>
      <c r="B13686" s="2" t="s">
        <v>6568</v>
      </c>
      <c r="C13686" s="2">
        <v>820.1816</v>
      </c>
      <c r="D13686" s="2">
        <f>HYPERLINK("http://mcb-m6.bioreg.kyushu-u.ac.jp/M3/20110404/F50771/2242/1", 85.49)</f>
        <v>85.49</v>
      </c>
      <c r="E13686" s="2">
        <v>52.61</v>
      </c>
      <c r="F13686" s="2">
        <v>2</v>
      </c>
      <c r="G13686" s="2" t="s">
        <v>10</v>
      </c>
      <c r="H13686" s="2" t="s">
        <v>4901</v>
      </c>
    </row>
    <row r="13687" spans="1:8" x14ac:dyDescent="0.2">
      <c r="A13687" s="2" t="s">
        <v>7526</v>
      </c>
      <c r="B13687" s="2" t="s">
        <v>6654</v>
      </c>
      <c r="C13687" s="2">
        <v>896.90869999999995</v>
      </c>
      <c r="D13687" s="2">
        <f>HYPERLINK("http://mcb-m6.bioreg.kyushu-u.ac.jp/M3/20110404/F50773/2412/1", 85.7)</f>
        <v>85.7</v>
      </c>
      <c r="E13687" s="2">
        <v>62.96</v>
      </c>
      <c r="F13687" s="2">
        <v>2</v>
      </c>
      <c r="G13687" s="2" t="s">
        <v>10</v>
      </c>
    </row>
    <row r="13688" spans="1:8" x14ac:dyDescent="0.2">
      <c r="A13688" s="2" t="s">
        <v>7526</v>
      </c>
      <c r="B13688" s="2" t="s">
        <v>6640</v>
      </c>
      <c r="C13688" s="2">
        <v>1003.873</v>
      </c>
      <c r="D13688" s="2">
        <f>HYPERLINK("http://mcb-m6.bioreg.kyushu-u.ac.jp/M3/20110404/F50771/2836/1", 85.87)</f>
        <v>85.87</v>
      </c>
      <c r="E13688" s="2">
        <v>71.92</v>
      </c>
      <c r="F13688" s="2">
        <v>2</v>
      </c>
      <c r="G13688" s="2" t="s">
        <v>10</v>
      </c>
      <c r="H13688" s="2" t="s">
        <v>4900</v>
      </c>
    </row>
    <row r="13689" spans="1:8" x14ac:dyDescent="0.2">
      <c r="A13689" s="2" t="s">
        <v>7526</v>
      </c>
      <c r="B13689" s="2" t="s">
        <v>6170</v>
      </c>
      <c r="C13689" s="2">
        <v>1288.527</v>
      </c>
      <c r="D13689" s="2">
        <f>HYPERLINK("http://mcb-m6.bioreg.kyushu-u.ac.jp/M3/20110404/F50772/3414/1", 86.06)</f>
        <v>86.06</v>
      </c>
      <c r="E13689" s="2">
        <v>75.87</v>
      </c>
      <c r="F13689" s="2">
        <v>2</v>
      </c>
      <c r="G13689" s="2" t="s">
        <v>10</v>
      </c>
    </row>
    <row r="13690" spans="1:8" x14ac:dyDescent="0.2">
      <c r="A13690" s="2" t="s">
        <v>7526</v>
      </c>
      <c r="B13690" s="2" t="s">
        <v>6061</v>
      </c>
      <c r="C13690" s="2">
        <v>703.97109999999998</v>
      </c>
      <c r="D13690" s="2">
        <f>HYPERLINK("http://mcb-m6.bioreg.kyushu-u.ac.jp/M3/20110404/F50771/2983/1", 86.29)</f>
        <v>86.29</v>
      </c>
      <c r="E13690" s="2">
        <v>69.94</v>
      </c>
      <c r="F13690" s="2">
        <v>3</v>
      </c>
      <c r="G13690" s="2" t="s">
        <v>10</v>
      </c>
      <c r="H13690" s="2" t="s">
        <v>4938</v>
      </c>
    </row>
    <row r="13691" spans="1:8" x14ac:dyDescent="0.2">
      <c r="A13691" s="2" t="s">
        <v>7526</v>
      </c>
      <c r="B13691" s="2" t="s">
        <v>7034</v>
      </c>
      <c r="C13691" s="2">
        <v>795.32820000000004</v>
      </c>
      <c r="D13691" s="2">
        <f>HYPERLINK("http://mcb-m6.bioreg.kyushu-u.ac.jp/M3/20110404/F50771/2125/1", 87.19)</f>
        <v>87.19</v>
      </c>
      <c r="E13691" s="2">
        <v>72.75</v>
      </c>
      <c r="F13691" s="2">
        <v>2</v>
      </c>
      <c r="G13691" s="2" t="s">
        <v>10</v>
      </c>
    </row>
    <row r="13692" spans="1:8" x14ac:dyDescent="0.2">
      <c r="A13692" s="2" t="s">
        <v>7526</v>
      </c>
      <c r="B13692" s="2" t="s">
        <v>6090</v>
      </c>
      <c r="C13692" s="2">
        <v>1111.3620000000001</v>
      </c>
      <c r="D13692" s="2">
        <f>HYPERLINK("http://mcb-m6.bioreg.kyushu-u.ac.jp/M3/20110404/F50771/3128/1", 87.58)</f>
        <v>87.58</v>
      </c>
      <c r="E13692" s="2">
        <v>69.040000000000006</v>
      </c>
      <c r="F13692" s="2">
        <v>2</v>
      </c>
      <c r="G13692" s="2" t="s">
        <v>10</v>
      </c>
    </row>
    <row r="13693" spans="1:8" x14ac:dyDescent="0.2">
      <c r="A13693" s="2" t="s">
        <v>7526</v>
      </c>
      <c r="B13693" s="2" t="s">
        <v>6357</v>
      </c>
      <c r="C13693" s="2">
        <v>784.58069999999998</v>
      </c>
      <c r="D13693" s="2">
        <f>HYPERLINK("http://mcb-m6.bioreg.kyushu-u.ac.jp/M3/20110404/F50771/2084/1", 88.05)</f>
        <v>88.05</v>
      </c>
      <c r="E13693" s="2">
        <v>72.290000000000006</v>
      </c>
      <c r="F13693" s="2">
        <v>2</v>
      </c>
      <c r="G13693" s="2" t="s">
        <v>10</v>
      </c>
      <c r="H13693" s="2" t="s">
        <v>4900</v>
      </c>
    </row>
    <row r="13694" spans="1:8" x14ac:dyDescent="0.2">
      <c r="A13694" s="2" t="s">
        <v>7526</v>
      </c>
      <c r="B13694" s="2" t="s">
        <v>6056</v>
      </c>
      <c r="C13694" s="2">
        <v>835.72059999999999</v>
      </c>
      <c r="D13694" s="2">
        <f>HYPERLINK("http://mcb-m6.bioreg.kyushu-u.ac.jp/M3/20110404/F50771/2286/1", 88.64)</f>
        <v>88.64</v>
      </c>
      <c r="E13694" s="2">
        <v>60.21</v>
      </c>
      <c r="F13694" s="2">
        <v>2</v>
      </c>
      <c r="G13694" s="2" t="s">
        <v>10</v>
      </c>
    </row>
    <row r="13695" spans="1:8" x14ac:dyDescent="0.2">
      <c r="A13695" s="2" t="s">
        <v>7526</v>
      </c>
      <c r="B13695" s="2" t="s">
        <v>6471</v>
      </c>
      <c r="C13695" s="2">
        <v>963.74069999999995</v>
      </c>
      <c r="D13695" s="2">
        <f>HYPERLINK("http://mcb-m6.bioreg.kyushu-u.ac.jp/M3/20110404/F50772/2777/1", 91.95)</f>
        <v>91.95</v>
      </c>
      <c r="E13695" s="2">
        <v>73.95</v>
      </c>
      <c r="F13695" s="2">
        <v>2</v>
      </c>
      <c r="G13695" s="2" t="s">
        <v>10</v>
      </c>
    </row>
    <row r="13696" spans="1:8" x14ac:dyDescent="0.2">
      <c r="A13696" s="2" t="s">
        <v>7526</v>
      </c>
      <c r="B13696" s="2" t="s">
        <v>6200</v>
      </c>
      <c r="C13696" s="2">
        <v>614.9366</v>
      </c>
      <c r="D13696" s="2">
        <f>HYPERLINK("http://mcb-m6.bioreg.kyushu-u.ac.jp/M3/20110404/F50772/1418/1", 93.29)</f>
        <v>93.29</v>
      </c>
      <c r="E13696" s="2">
        <v>69.3</v>
      </c>
      <c r="F13696" s="2">
        <v>2</v>
      </c>
      <c r="G13696" s="2" t="s">
        <v>10</v>
      </c>
    </row>
    <row r="13697" spans="1:9" x14ac:dyDescent="0.2">
      <c r="A13697" s="2" t="s">
        <v>7526</v>
      </c>
      <c r="B13697" s="2" t="s">
        <v>6440</v>
      </c>
      <c r="C13697" s="2">
        <v>931.95569999999998</v>
      </c>
      <c r="D13697" s="2">
        <f>HYPERLINK("http://mcb-m6.bioreg.kyushu-u.ac.jp/M3/20110404/F50772/2679/1", 93.36)</f>
        <v>93.36</v>
      </c>
      <c r="E13697" s="2">
        <v>83.16</v>
      </c>
      <c r="F13697" s="2">
        <v>2</v>
      </c>
      <c r="G13697" s="2" t="s">
        <v>10</v>
      </c>
    </row>
    <row r="13698" spans="1:9" x14ac:dyDescent="0.2">
      <c r="A13698" s="2" t="s">
        <v>7526</v>
      </c>
      <c r="B13698" s="2" t="s">
        <v>5922</v>
      </c>
      <c r="C13698" s="2">
        <v>849.1902</v>
      </c>
      <c r="D13698" s="2">
        <f>HYPERLINK("http://mcb-m6.bioreg.kyushu-u.ac.jp/M3/20110404/F50771/2324/1", 94.17)</f>
        <v>94.17</v>
      </c>
      <c r="E13698" s="2">
        <v>78.599999999999994</v>
      </c>
      <c r="F13698" s="2">
        <v>2</v>
      </c>
      <c r="G13698" s="2" t="s">
        <v>10</v>
      </c>
      <c r="I13698" s="2" t="s">
        <v>4926</v>
      </c>
    </row>
    <row r="13699" spans="1:9" x14ac:dyDescent="0.2">
      <c r="A13699" s="2" t="s">
        <v>7526</v>
      </c>
      <c r="B13699" s="2" t="s">
        <v>6568</v>
      </c>
      <c r="C13699" s="2">
        <v>812.48360000000002</v>
      </c>
      <c r="D13699" s="2">
        <f>HYPERLINK("http://mcb-m6.bioreg.kyushu-u.ac.jp/M3/20110404/F50772/2217/1", 94.25)</f>
        <v>94.25</v>
      </c>
      <c r="E13699" s="2">
        <v>73.040000000000006</v>
      </c>
      <c r="F13699" s="2">
        <v>2</v>
      </c>
      <c r="G13699" s="2" t="s">
        <v>10</v>
      </c>
    </row>
    <row r="13700" spans="1:9" x14ac:dyDescent="0.2">
      <c r="A13700" s="2" t="s">
        <v>7526</v>
      </c>
      <c r="B13700" s="2" t="s">
        <v>6640</v>
      </c>
      <c r="C13700" s="2">
        <v>995.62369999999999</v>
      </c>
      <c r="D13700" s="2">
        <f>HYPERLINK("http://mcb-m6.bioreg.kyushu-u.ac.jp/M3/20110404/F50771/2813/1", 94.59)</f>
        <v>94.59</v>
      </c>
      <c r="E13700" s="2">
        <v>78.58</v>
      </c>
      <c r="F13700" s="2">
        <v>2</v>
      </c>
      <c r="G13700" s="2" t="s">
        <v>10</v>
      </c>
    </row>
    <row r="13701" spans="1:9" x14ac:dyDescent="0.2">
      <c r="A13701" s="2" t="s">
        <v>7526</v>
      </c>
      <c r="B13701" s="2" t="s">
        <v>6568</v>
      </c>
      <c r="C13701" s="2">
        <v>812.18020000000001</v>
      </c>
      <c r="D13701" s="2">
        <f>HYPERLINK("http://mcb-m6.bioreg.kyushu-u.ac.jp/M3/20110404/F50771/2211/1", 95.89)</f>
        <v>95.89</v>
      </c>
      <c r="E13701" s="2">
        <v>71.239999999999995</v>
      </c>
      <c r="F13701" s="2">
        <v>2</v>
      </c>
      <c r="G13701" s="2" t="s">
        <v>10</v>
      </c>
    </row>
    <row r="13702" spans="1:9" x14ac:dyDescent="0.2">
      <c r="A13702" s="2" t="s">
        <v>7526</v>
      </c>
      <c r="B13702" s="2" t="s">
        <v>6440</v>
      </c>
      <c r="C13702" s="2">
        <v>931.49220000000003</v>
      </c>
      <c r="D13702" s="2">
        <f>HYPERLINK("http://mcb-m6.bioreg.kyushu-u.ac.jp/M3/20110404/F50773/2539/1", 96.15)</f>
        <v>96.15</v>
      </c>
      <c r="E13702" s="2">
        <v>85.49</v>
      </c>
      <c r="F13702" s="2">
        <v>2</v>
      </c>
      <c r="G13702" s="2" t="s">
        <v>10</v>
      </c>
    </row>
    <row r="13703" spans="1:9" x14ac:dyDescent="0.2">
      <c r="A13703" s="2" t="s">
        <v>7526</v>
      </c>
      <c r="B13703" s="2" t="s">
        <v>6671</v>
      </c>
      <c r="C13703" s="2">
        <v>960.22019999999998</v>
      </c>
      <c r="D13703" s="2">
        <f>HYPERLINK("http://mcb-m6.bioreg.kyushu-u.ac.jp/M3/20110404/F50771/2710/1", 96.19)</f>
        <v>96.19</v>
      </c>
      <c r="E13703" s="2">
        <v>71.03</v>
      </c>
      <c r="F13703" s="2">
        <v>2</v>
      </c>
      <c r="G13703" s="2" t="s">
        <v>10</v>
      </c>
    </row>
    <row r="13704" spans="1:9" x14ac:dyDescent="0.2">
      <c r="A13704" s="2" t="s">
        <v>7526</v>
      </c>
      <c r="B13704" s="2" t="s">
        <v>6440</v>
      </c>
      <c r="C13704" s="2">
        <v>931.42219999999998</v>
      </c>
      <c r="D13704" s="2">
        <f>HYPERLINK("http://mcb-m6.bioreg.kyushu-u.ac.jp/M3/20110404/F50772/2677/1", 96.83)</f>
        <v>96.83</v>
      </c>
      <c r="E13704" s="2">
        <v>81.209999999999994</v>
      </c>
      <c r="F13704" s="2">
        <v>2</v>
      </c>
      <c r="G13704" s="2" t="s">
        <v>10</v>
      </c>
    </row>
    <row r="13705" spans="1:9" x14ac:dyDescent="0.2">
      <c r="A13705" s="2" t="s">
        <v>7526</v>
      </c>
      <c r="B13705" s="2" t="s">
        <v>6935</v>
      </c>
      <c r="C13705" s="2">
        <v>822.86720000000003</v>
      </c>
      <c r="D13705" s="2">
        <f>HYPERLINK("http://mcb-m6.bioreg.kyushu-u.ac.jp/M3/20110404/F50771/2247/1", 98.22)</f>
        <v>98.22</v>
      </c>
      <c r="E13705" s="2">
        <v>74.05</v>
      </c>
      <c r="F13705" s="2">
        <v>2</v>
      </c>
      <c r="G13705" s="2" t="s">
        <v>10</v>
      </c>
      <c r="H13705" s="2" t="s">
        <v>8135</v>
      </c>
    </row>
    <row r="13706" spans="1:9" x14ac:dyDescent="0.2">
      <c r="A13706" s="2" t="s">
        <v>7526</v>
      </c>
      <c r="B13706" s="2" t="s">
        <v>6594</v>
      </c>
      <c r="C13706" s="2">
        <v>717.45759999999996</v>
      </c>
      <c r="D13706" s="2">
        <f>HYPERLINK("http://mcb-m6.bioreg.kyushu-u.ac.jp/M3/20110404/F50772/1826/1", 98.69)</f>
        <v>98.69</v>
      </c>
      <c r="E13706" s="2">
        <v>73.900000000000006</v>
      </c>
      <c r="F13706" s="2">
        <v>2</v>
      </c>
      <c r="G13706" s="2" t="s">
        <v>10</v>
      </c>
    </row>
    <row r="13707" spans="1:9" x14ac:dyDescent="0.2">
      <c r="A13707" s="2" t="s">
        <v>7526</v>
      </c>
      <c r="B13707" s="2" t="s">
        <v>6471</v>
      </c>
      <c r="C13707" s="2">
        <v>963.52170000000001</v>
      </c>
      <c r="D13707" s="2">
        <f>HYPERLINK("http://mcb-m6.bioreg.kyushu-u.ac.jp/M3/20110404/F50771/2721/1", 99.66)</f>
        <v>99.66</v>
      </c>
      <c r="E13707" s="2">
        <v>76.959999999999994</v>
      </c>
      <c r="F13707" s="2">
        <v>2</v>
      </c>
      <c r="G13707" s="2" t="s">
        <v>10</v>
      </c>
    </row>
    <row r="13708" spans="1:9" x14ac:dyDescent="0.2">
      <c r="A13708" s="2" t="s">
        <v>7526</v>
      </c>
      <c r="B13708" s="2" t="s">
        <v>6513</v>
      </c>
      <c r="C13708" s="2">
        <v>1050.829</v>
      </c>
      <c r="D13708" s="2">
        <f>HYPERLINK("http://mcb-m6.bioreg.kyushu-u.ac.jp/M3/20110404/F50771/2970/1", 99.7)</f>
        <v>99.7</v>
      </c>
      <c r="E13708" s="2">
        <v>75.78</v>
      </c>
      <c r="F13708" s="2">
        <v>2</v>
      </c>
      <c r="G13708" s="2" t="s">
        <v>10</v>
      </c>
    </row>
    <row r="13709" spans="1:9" x14ac:dyDescent="0.2">
      <c r="A13709" s="2" t="s">
        <v>7526</v>
      </c>
      <c r="B13709" s="2" t="s">
        <v>6671</v>
      </c>
      <c r="C13709" s="2">
        <v>960.47220000000004</v>
      </c>
      <c r="D13709" s="2">
        <f>HYPERLINK("http://mcb-m6.bioreg.kyushu-u.ac.jp/M3/20110404/F50772/2768/1", 101.55)</f>
        <v>101.55</v>
      </c>
      <c r="E13709" s="2">
        <v>87.09</v>
      </c>
      <c r="F13709" s="2">
        <v>2</v>
      </c>
      <c r="G13709" s="2" t="s">
        <v>10</v>
      </c>
    </row>
    <row r="13710" spans="1:9" x14ac:dyDescent="0.2">
      <c r="A13710" s="2" t="s">
        <v>7526</v>
      </c>
      <c r="B13710" s="2" t="s">
        <v>6131</v>
      </c>
      <c r="C13710" s="2">
        <v>696.8732</v>
      </c>
      <c r="D13710" s="2">
        <f>HYPERLINK("http://mcb-m6.bioreg.kyushu-u.ac.jp/M3/20110404/F50772/1719/1", 103.92)</f>
        <v>103.92</v>
      </c>
      <c r="E13710" s="2">
        <v>83.41</v>
      </c>
      <c r="F13710" s="2">
        <v>2</v>
      </c>
      <c r="G13710" s="2" t="s">
        <v>10</v>
      </c>
    </row>
    <row r="13711" spans="1:9" x14ac:dyDescent="0.2">
      <c r="A13711" s="2" t="s">
        <v>7526</v>
      </c>
      <c r="B13711" s="2" t="s">
        <v>6594</v>
      </c>
      <c r="C13711" s="2">
        <v>717.14009999999996</v>
      </c>
      <c r="D13711" s="2">
        <f>HYPERLINK("http://mcb-m6.bioreg.kyushu-u.ac.jp/M3/20110404/F50771/1791/1", 103.95)</f>
        <v>103.95</v>
      </c>
      <c r="E13711" s="2">
        <v>82.24</v>
      </c>
      <c r="F13711" s="2">
        <v>2</v>
      </c>
      <c r="G13711" s="2" t="s">
        <v>10</v>
      </c>
    </row>
    <row r="13712" spans="1:9" x14ac:dyDescent="0.2">
      <c r="A13712" s="2" t="s">
        <v>7526</v>
      </c>
      <c r="B13712" s="2" t="s">
        <v>5922</v>
      </c>
      <c r="C13712" s="2">
        <v>848.84619999999995</v>
      </c>
      <c r="D13712" s="2">
        <f>HYPERLINK("http://mcb-m6.bioreg.kyushu-u.ac.jp/M3/20110404/F50770/2261/1", 104.21)</f>
        <v>104.21</v>
      </c>
      <c r="E13712" s="2">
        <v>80.81</v>
      </c>
      <c r="F13712" s="2">
        <v>2</v>
      </c>
      <c r="G13712" s="2" t="s">
        <v>10</v>
      </c>
      <c r="I13712" s="2" t="s">
        <v>4926</v>
      </c>
    </row>
    <row r="13713" spans="1:9" x14ac:dyDescent="0.2">
      <c r="A13713" s="2" t="s">
        <v>7526</v>
      </c>
      <c r="B13713" s="2" t="s">
        <v>5922</v>
      </c>
      <c r="C13713" s="2">
        <v>849.16110000000003</v>
      </c>
      <c r="D13713" s="2">
        <f>HYPERLINK("http://mcb-m6.bioreg.kyushu-u.ac.jp/M3/20110404/F50773/2233/1", 106.85)</f>
        <v>106.85</v>
      </c>
      <c r="E13713" s="2">
        <v>81.52</v>
      </c>
      <c r="F13713" s="2">
        <v>2</v>
      </c>
      <c r="G13713" s="2" t="s">
        <v>10</v>
      </c>
      <c r="I13713" s="2" t="s">
        <v>4926</v>
      </c>
    </row>
    <row r="13714" spans="1:9" x14ac:dyDescent="0.2">
      <c r="A13714" s="2" t="s">
        <v>7526</v>
      </c>
      <c r="B13714" s="2" t="s">
        <v>6061</v>
      </c>
      <c r="C13714" s="2">
        <v>1055.47</v>
      </c>
      <c r="D13714" s="2">
        <f>HYPERLINK("http://mcb-m6.bioreg.kyushu-u.ac.jp/M3/20110404/F50773/2916/1", 107.74)</f>
        <v>107.74</v>
      </c>
      <c r="E13714" s="2">
        <v>95.51</v>
      </c>
      <c r="F13714" s="2">
        <v>2</v>
      </c>
      <c r="G13714" s="2" t="s">
        <v>10</v>
      </c>
      <c r="H13714" s="2" t="s">
        <v>4938</v>
      </c>
    </row>
    <row r="13715" spans="1:9" x14ac:dyDescent="0.2">
      <c r="A13715" s="2" t="s">
        <v>7526</v>
      </c>
      <c r="B13715" s="2" t="s">
        <v>6061</v>
      </c>
      <c r="C13715" s="2">
        <v>1054.9000000000001</v>
      </c>
      <c r="D13715" s="2">
        <f>HYPERLINK("http://mcb-m6.bioreg.kyushu-u.ac.jp/M3/20110404/F50771/2982/1", 108.8)</f>
        <v>108.8</v>
      </c>
      <c r="E13715" s="2">
        <v>95.87</v>
      </c>
      <c r="F13715" s="2">
        <v>2</v>
      </c>
      <c r="G13715" s="2" t="s">
        <v>10</v>
      </c>
      <c r="H13715" s="2" t="s">
        <v>4938</v>
      </c>
    </row>
    <row r="13716" spans="1:9" x14ac:dyDescent="0.2">
      <c r="A13716" s="2" t="s">
        <v>7526</v>
      </c>
      <c r="B13716" s="2" t="s">
        <v>6654</v>
      </c>
      <c r="C13716" s="2">
        <v>896.29060000000004</v>
      </c>
      <c r="D13716" s="2">
        <f>HYPERLINK("http://mcb-m6.bioreg.kyushu-u.ac.jp/M3/20110404/F50771/2499/1", 114)</f>
        <v>114</v>
      </c>
      <c r="E13716" s="2">
        <v>95.62</v>
      </c>
      <c r="F13716" s="2">
        <v>2</v>
      </c>
      <c r="G13716" s="2" t="s">
        <v>10</v>
      </c>
    </row>
    <row r="13717" spans="1:9" x14ac:dyDescent="0.2">
      <c r="A13717" s="2" t="s">
        <v>7526</v>
      </c>
      <c r="B13717" s="2" t="s">
        <v>6654</v>
      </c>
      <c r="C13717" s="2">
        <v>896.40260000000001</v>
      </c>
      <c r="D13717" s="2">
        <f>HYPERLINK("http://mcb-m6.bioreg.kyushu-u.ac.jp/M3/20110404/F50773/2409/1", 115.08)</f>
        <v>115.08</v>
      </c>
      <c r="E13717" s="2">
        <v>91.95</v>
      </c>
      <c r="F13717" s="2">
        <v>2</v>
      </c>
      <c r="G13717" s="2" t="s">
        <v>10</v>
      </c>
    </row>
    <row r="13718" spans="1:9" x14ac:dyDescent="0.2">
      <c r="A13718" s="2" t="s">
        <v>7526</v>
      </c>
      <c r="B13718" s="2" t="s">
        <v>6061</v>
      </c>
      <c r="C13718" s="2">
        <v>1047.4860000000001</v>
      </c>
      <c r="D13718" s="2">
        <f>HYPERLINK("http://mcb-m6.bioreg.kyushu-u.ac.jp/M3/20110404/F50772/2998/1", 124.25)</f>
        <v>124.25</v>
      </c>
      <c r="E13718" s="2">
        <v>109.23</v>
      </c>
      <c r="F13718" s="2">
        <v>2</v>
      </c>
      <c r="G13718" s="2" t="s">
        <v>10</v>
      </c>
    </row>
    <row r="13719" spans="1:9" x14ac:dyDescent="0.2">
      <c r="A13719" s="2" t="s">
        <v>7526</v>
      </c>
      <c r="B13719" s="2" t="s">
        <v>6061</v>
      </c>
      <c r="C13719" s="2">
        <v>1046.9639999999999</v>
      </c>
      <c r="D13719" s="2">
        <f>HYPERLINK("http://mcb-m6.bioreg.kyushu-u.ac.jp/M3/20110404/F50772/2996/1", 126.05)</f>
        <v>126.05</v>
      </c>
      <c r="E13719" s="2">
        <v>118.09</v>
      </c>
      <c r="F13719" s="2">
        <v>2</v>
      </c>
      <c r="G13719" s="2" t="s">
        <v>10</v>
      </c>
    </row>
    <row r="13720" spans="1:9" x14ac:dyDescent="0.2">
      <c r="A13720" s="2" t="s">
        <v>7526</v>
      </c>
      <c r="B13720" s="2" t="s">
        <v>6673</v>
      </c>
      <c r="C13720" s="2">
        <v>1058.44</v>
      </c>
      <c r="D13720" s="2">
        <f>HYPERLINK("http://mcb-m6.bioreg.kyushu-u.ac.jp/M3/20110404/F50771/2995/1", 126.35)</f>
        <v>126.35</v>
      </c>
      <c r="E13720" s="2">
        <v>96.44</v>
      </c>
      <c r="F13720" s="2">
        <v>2</v>
      </c>
      <c r="G13720" s="2" t="s">
        <v>10</v>
      </c>
    </row>
    <row r="13721" spans="1:9" x14ac:dyDescent="0.2">
      <c r="A13721" s="2" t="s">
        <v>7526</v>
      </c>
      <c r="B13721" s="2" t="s">
        <v>6671</v>
      </c>
      <c r="C13721" s="2">
        <v>959.63459999999998</v>
      </c>
      <c r="D13721" s="2">
        <f>HYPERLINK("http://mcb-m6.bioreg.kyushu-u.ac.jp/M3/20110404/F50771/2706/1", 132.11)</f>
        <v>132.11000000000001</v>
      </c>
      <c r="E13721" s="2">
        <v>114.1</v>
      </c>
      <c r="F13721" s="2">
        <v>2</v>
      </c>
      <c r="G13721" s="2" t="s">
        <v>10</v>
      </c>
    </row>
    <row r="13722" spans="1:9" x14ac:dyDescent="0.2">
      <c r="A13722" s="2" t="s">
        <v>7526</v>
      </c>
      <c r="B13722" s="2" t="s">
        <v>6654</v>
      </c>
      <c r="C13722" s="2">
        <v>896.45259999999996</v>
      </c>
      <c r="D13722" s="2">
        <f>HYPERLINK("http://mcb-m6.bioreg.kyushu-u.ac.jp/M3/20110404/F50772/2531/1", 133.76)</f>
        <v>133.76</v>
      </c>
      <c r="E13722" s="2">
        <v>110.4</v>
      </c>
      <c r="F13722" s="2">
        <v>2</v>
      </c>
      <c r="G13722" s="2" t="s">
        <v>10</v>
      </c>
    </row>
    <row r="13723" spans="1:9" x14ac:dyDescent="0.2">
      <c r="A13723" s="2" t="s">
        <v>7526</v>
      </c>
      <c r="B13723" s="2" t="s">
        <v>6061</v>
      </c>
      <c r="C13723" s="2">
        <v>1047.289</v>
      </c>
      <c r="D13723" s="2">
        <f>HYPERLINK("http://mcb-m6.bioreg.kyushu-u.ac.jp/M3/20110404/F50771/2962/1", 134.32)</f>
        <v>134.32</v>
      </c>
      <c r="E13723" s="2">
        <v>118.82</v>
      </c>
      <c r="F13723" s="2">
        <v>2</v>
      </c>
      <c r="G13723" s="2" t="s">
        <v>10</v>
      </c>
    </row>
    <row r="13724" spans="1:9" x14ac:dyDescent="0.2">
      <c r="A13724" s="2" t="s">
        <v>7526</v>
      </c>
      <c r="B13724" s="2" t="s">
        <v>6673</v>
      </c>
      <c r="C13724" s="2">
        <v>1058.5250000000001</v>
      </c>
      <c r="D13724" s="2">
        <f>HYPERLINK("http://mcb-m6.bioreg.kyushu-u.ac.jp/M3/20110404/F50772/3021/1", 150.29)</f>
        <v>150.29</v>
      </c>
      <c r="E13724" s="2">
        <v>132.08000000000001</v>
      </c>
      <c r="F13724" s="2">
        <v>2</v>
      </c>
      <c r="G13724" s="2" t="s">
        <v>10</v>
      </c>
    </row>
    <row r="13725" spans="1:9" x14ac:dyDescent="0.2">
      <c r="A13725" s="2" t="s">
        <v>7526</v>
      </c>
      <c r="B13725" s="2" t="s">
        <v>6131</v>
      </c>
      <c r="C13725" s="2">
        <v>696.79110000000003</v>
      </c>
      <c r="D13725" s="2">
        <f>HYPERLINK("http://mcb-m6.bioreg.kyushu-u.ac.jp/M3/20110421/F51042/1643/1", 37.55)</f>
        <v>37.549999999999997</v>
      </c>
      <c r="E13725" s="2">
        <v>29.33</v>
      </c>
      <c r="F13725" s="2">
        <v>2</v>
      </c>
      <c r="G13725" s="2" t="s">
        <v>11</v>
      </c>
    </row>
    <row r="13726" spans="1:9" x14ac:dyDescent="0.2">
      <c r="A13726" s="2" t="s">
        <v>7526</v>
      </c>
      <c r="B13726" s="2" t="s">
        <v>6058</v>
      </c>
      <c r="C13726" s="2">
        <v>630.79269999999997</v>
      </c>
      <c r="D13726" s="2">
        <f>HYPERLINK("http://mcb-m6.bioreg.kyushu-u.ac.jp/M3/20110421/F51019/1636/1", 61.86)</f>
        <v>61.86</v>
      </c>
      <c r="E13726" s="2">
        <v>39.85</v>
      </c>
      <c r="F13726" s="2">
        <v>2</v>
      </c>
      <c r="G13726" s="2" t="s">
        <v>11</v>
      </c>
    </row>
    <row r="13727" spans="1:9" x14ac:dyDescent="0.2">
      <c r="A13727" s="2" t="s">
        <v>7526</v>
      </c>
      <c r="B13727" s="2" t="s">
        <v>5939</v>
      </c>
      <c r="C13727" s="2">
        <v>557.31870000000004</v>
      </c>
      <c r="D13727" s="2">
        <f>HYPERLINK("http://mcb-m6.bioreg.kyushu-u.ac.jp/M3/20110421/F51019/1360/1", 64.15)</f>
        <v>64.150000000000006</v>
      </c>
      <c r="E13727" s="2">
        <v>26.89</v>
      </c>
      <c r="F13727" s="2">
        <v>2</v>
      </c>
      <c r="G13727" s="2" t="s">
        <v>11</v>
      </c>
    </row>
    <row r="13728" spans="1:9" x14ac:dyDescent="0.2">
      <c r="A13728" s="2" t="s">
        <v>7526</v>
      </c>
      <c r="B13728" s="2" t="s">
        <v>6131</v>
      </c>
      <c r="C13728" s="2">
        <v>696.77509999999995</v>
      </c>
      <c r="D13728" s="2">
        <f>HYPERLINK("http://mcb-m6.bioreg.kyushu-u.ac.jp/M3/20110421/F51019/1876/1", 81.48)</f>
        <v>81.48</v>
      </c>
      <c r="E13728" s="2">
        <v>67.08</v>
      </c>
      <c r="F13728" s="2">
        <v>2</v>
      </c>
      <c r="G13728" s="2" t="s">
        <v>11</v>
      </c>
    </row>
    <row r="13729" spans="1:9" x14ac:dyDescent="0.2">
      <c r="A13729" s="2" t="s">
        <v>7526</v>
      </c>
      <c r="B13729" s="2" t="s">
        <v>5922</v>
      </c>
      <c r="C13729" s="2">
        <v>849.41309999999999</v>
      </c>
      <c r="D13729" s="2">
        <f>HYPERLINK("http://mcb-m6.bioreg.kyushu-u.ac.jp/M3/20110421/F51040/2573/1", 85.27)</f>
        <v>85.27</v>
      </c>
      <c r="E13729" s="2">
        <v>63.93</v>
      </c>
      <c r="F13729" s="2">
        <v>2</v>
      </c>
      <c r="G13729" s="2" t="s">
        <v>11</v>
      </c>
      <c r="I13729" s="2" t="s">
        <v>4926</v>
      </c>
    </row>
    <row r="13730" spans="1:9" x14ac:dyDescent="0.2">
      <c r="A13730" s="2" t="s">
        <v>7526</v>
      </c>
      <c r="B13730" s="2" t="s">
        <v>6594</v>
      </c>
      <c r="C13730" s="2">
        <v>717.1567</v>
      </c>
      <c r="D13730" s="2">
        <f>HYPERLINK("http://mcb-m6.bioreg.kyushu-u.ac.jp/M3/20110421/F51019/1959/1", 88.83)</f>
        <v>88.83</v>
      </c>
      <c r="E13730" s="2">
        <v>71.91</v>
      </c>
      <c r="F13730" s="2">
        <v>2</v>
      </c>
      <c r="G13730" s="2" t="s">
        <v>11</v>
      </c>
    </row>
    <row r="13731" spans="1:9" x14ac:dyDescent="0.2">
      <c r="A13731" s="2" t="s">
        <v>7526</v>
      </c>
      <c r="B13731" s="2" t="s">
        <v>6568</v>
      </c>
      <c r="C13731" s="2">
        <v>812.2047</v>
      </c>
      <c r="D13731" s="2">
        <f>HYPERLINK("http://mcb-m6.bioreg.kyushu-u.ac.jp/M3/20110421/F51019/2356/1", 98.81)</f>
        <v>98.81</v>
      </c>
      <c r="E13731" s="2">
        <v>79.84</v>
      </c>
      <c r="F13731" s="2">
        <v>2</v>
      </c>
      <c r="G13731" s="2" t="s">
        <v>11</v>
      </c>
    </row>
    <row r="13732" spans="1:9" x14ac:dyDescent="0.2">
      <c r="A13732" s="2" t="s">
        <v>7526</v>
      </c>
      <c r="B13732" s="2" t="s">
        <v>6654</v>
      </c>
      <c r="C13732" s="2">
        <v>896.33069999999998</v>
      </c>
      <c r="D13732" s="2">
        <f>HYPERLINK("http://mcb-m6.bioreg.kyushu-u.ac.jp/M3/20110421/F51019/2648/1", 129.87)</f>
        <v>129.87</v>
      </c>
      <c r="E13732" s="2">
        <v>110.37</v>
      </c>
      <c r="F13732" s="2">
        <v>2</v>
      </c>
      <c r="G13732" s="2" t="s">
        <v>11</v>
      </c>
    </row>
    <row r="13733" spans="1:9" x14ac:dyDescent="0.2">
      <c r="A13733" s="2" t="s">
        <v>7526</v>
      </c>
      <c r="B13733" s="2" t="s">
        <v>6304</v>
      </c>
      <c r="C13733" s="2">
        <v>702.32569999999998</v>
      </c>
      <c r="D13733" s="2">
        <f>HYPERLINK("http://mcb-m6.bioreg.kyushu-u.ac.jp/M3/20110421/F51025/1907/1", 35.98)</f>
        <v>35.979999999999997</v>
      </c>
      <c r="E13733" s="2">
        <v>11.7</v>
      </c>
      <c r="F13733" s="2">
        <v>2</v>
      </c>
      <c r="G13733" s="2" t="s">
        <v>12</v>
      </c>
    </row>
    <row r="13734" spans="1:9" x14ac:dyDescent="0.2">
      <c r="A13734" s="2" t="s">
        <v>7526</v>
      </c>
      <c r="B13734" s="2" t="s">
        <v>6440</v>
      </c>
      <c r="C13734" s="2">
        <v>931.23419999999999</v>
      </c>
      <c r="D13734" s="2">
        <f>HYPERLINK("http://mcb-m6.bioreg.kyushu-u.ac.jp/M3/20110421/F51025/2628/1", 36.53)</f>
        <v>36.53</v>
      </c>
      <c r="E13734" s="2">
        <v>27.99</v>
      </c>
      <c r="F13734" s="2">
        <v>2</v>
      </c>
      <c r="G13734" s="2" t="s">
        <v>12</v>
      </c>
    </row>
    <row r="13735" spans="1:9" x14ac:dyDescent="0.2">
      <c r="A13735" s="2" t="s">
        <v>7526</v>
      </c>
      <c r="B13735" s="2" t="s">
        <v>7174</v>
      </c>
      <c r="C13735" s="2">
        <v>504.19260000000003</v>
      </c>
      <c r="D13735" s="2">
        <f>HYPERLINK("http://mcb-m6.bioreg.kyushu-u.ac.jp/M3/20110421/F51025/1370/1", 37.91)</f>
        <v>37.909999999999997</v>
      </c>
      <c r="E13735" s="2">
        <v>18.61</v>
      </c>
      <c r="F13735" s="2">
        <v>2</v>
      </c>
      <c r="G13735" s="2" t="s">
        <v>12</v>
      </c>
    </row>
    <row r="13736" spans="1:9" x14ac:dyDescent="0.2">
      <c r="A13736" s="2" t="s">
        <v>7526</v>
      </c>
      <c r="B13736" s="2" t="s">
        <v>5939</v>
      </c>
      <c r="C13736" s="2">
        <v>557.32259999999997</v>
      </c>
      <c r="D13736" s="2">
        <f>HYPERLINK("http://mcb-m6.bioreg.kyushu-u.ac.jp/M3/20110421/F51025/1528/1", 38.71)</f>
        <v>38.71</v>
      </c>
      <c r="E13736" s="2">
        <v>10</v>
      </c>
      <c r="F13736" s="2">
        <v>2</v>
      </c>
      <c r="G13736" s="2" t="s">
        <v>12</v>
      </c>
    </row>
    <row r="13737" spans="1:9" x14ac:dyDescent="0.2">
      <c r="A13737" s="2" t="s">
        <v>7526</v>
      </c>
      <c r="B13737" s="2" t="s">
        <v>6863</v>
      </c>
      <c r="C13737" s="2">
        <v>1135.9259999999999</v>
      </c>
      <c r="D13737" s="2">
        <f>HYPERLINK("http://mcb-m6.bioreg.kyushu-u.ac.jp/M3/20110421/F51025/2997/1", 39.45)</f>
        <v>39.450000000000003</v>
      </c>
      <c r="E13737" s="2">
        <v>34.5</v>
      </c>
      <c r="F13737" s="2">
        <v>2</v>
      </c>
      <c r="G13737" s="2" t="s">
        <v>12</v>
      </c>
    </row>
    <row r="13738" spans="1:9" x14ac:dyDescent="0.2">
      <c r="A13738" s="2" t="s">
        <v>7526</v>
      </c>
      <c r="B13738" s="2" t="s">
        <v>5918</v>
      </c>
      <c r="C13738" s="2">
        <v>485.2731</v>
      </c>
      <c r="D13738" s="2">
        <f>HYPERLINK("http://mcb-m6.bioreg.kyushu-u.ac.jp/M3/20110421/F51025/1330/1", 39.8)</f>
        <v>39.799999999999997</v>
      </c>
      <c r="E13738" s="2">
        <v>23.52</v>
      </c>
      <c r="F13738" s="2">
        <v>2</v>
      </c>
      <c r="G13738" s="2" t="s">
        <v>12</v>
      </c>
    </row>
    <row r="13739" spans="1:9" x14ac:dyDescent="0.2">
      <c r="A13739" s="2" t="s">
        <v>7526</v>
      </c>
      <c r="B13739" s="2" t="s">
        <v>6210</v>
      </c>
      <c r="C13739" s="2">
        <v>636.89509999999996</v>
      </c>
      <c r="D13739" s="2">
        <f>HYPERLINK("http://mcb-m6.bioreg.kyushu-u.ac.jp/M3/20110421/F51025/1751/1", 40.67)</f>
        <v>40.67</v>
      </c>
      <c r="E13739" s="2">
        <v>23.18</v>
      </c>
      <c r="F13739" s="2">
        <v>2</v>
      </c>
      <c r="G13739" s="2" t="s">
        <v>12</v>
      </c>
    </row>
    <row r="13740" spans="1:9" x14ac:dyDescent="0.2">
      <c r="A13740" s="2" t="s">
        <v>7526</v>
      </c>
      <c r="B13740" s="2" t="s">
        <v>6304</v>
      </c>
      <c r="C13740" s="2">
        <v>702.32119999999998</v>
      </c>
      <c r="D13740" s="2">
        <f>HYPERLINK("http://mcb-m6.bioreg.kyushu-u.ac.jp/M3/20110421/F51025/1906/1", 44.09)</f>
        <v>44.09</v>
      </c>
      <c r="E13740" s="2">
        <v>15.92</v>
      </c>
      <c r="F13740" s="2">
        <v>2</v>
      </c>
      <c r="G13740" s="2" t="s">
        <v>12</v>
      </c>
    </row>
    <row r="13741" spans="1:9" x14ac:dyDescent="0.2">
      <c r="A13741" s="2" t="s">
        <v>7526</v>
      </c>
      <c r="B13741" s="2" t="s">
        <v>6105</v>
      </c>
      <c r="C13741" s="2">
        <v>523.71220000000005</v>
      </c>
      <c r="D13741" s="2">
        <f>HYPERLINK("http://mcb-m6.bioreg.kyushu-u.ac.jp/M3/20110421/F51025/1416/1", 44.77)</f>
        <v>44.77</v>
      </c>
      <c r="E13741" s="2">
        <v>24.3</v>
      </c>
      <c r="F13741" s="2">
        <v>2</v>
      </c>
      <c r="G13741" s="2" t="s">
        <v>12</v>
      </c>
    </row>
    <row r="13742" spans="1:9" x14ac:dyDescent="0.2">
      <c r="A13742" s="2" t="s">
        <v>7526</v>
      </c>
      <c r="B13742" s="2" t="s">
        <v>6126</v>
      </c>
      <c r="C13742" s="2">
        <v>479.90710000000001</v>
      </c>
      <c r="D13742" s="2">
        <f>HYPERLINK("http://mcb-m6.bioreg.kyushu-u.ac.jp/M3/20110421/F51025/1317/1", 47.42)</f>
        <v>47.42</v>
      </c>
      <c r="E13742" s="2">
        <v>17.3</v>
      </c>
      <c r="F13742" s="2">
        <v>2</v>
      </c>
      <c r="G13742" s="2" t="s">
        <v>12</v>
      </c>
    </row>
    <row r="13743" spans="1:9" x14ac:dyDescent="0.2">
      <c r="A13743" s="2" t="s">
        <v>7526</v>
      </c>
      <c r="B13743" s="2" t="s">
        <v>6229</v>
      </c>
      <c r="C13743" s="2">
        <v>798.48170000000005</v>
      </c>
      <c r="D13743" s="2">
        <f>HYPERLINK("http://mcb-m6.bioreg.kyushu-u.ac.jp/M3/20110421/F51025/2216/1", 49.34)</f>
        <v>49.34</v>
      </c>
      <c r="E13743" s="2">
        <v>38.14</v>
      </c>
      <c r="F13743" s="2">
        <v>2</v>
      </c>
      <c r="G13743" s="2" t="s">
        <v>12</v>
      </c>
      <c r="H13743" s="2" t="s">
        <v>4904</v>
      </c>
    </row>
    <row r="13744" spans="1:9" x14ac:dyDescent="0.2">
      <c r="A13744" s="2" t="s">
        <v>7526</v>
      </c>
      <c r="B13744" s="2" t="s">
        <v>6058</v>
      </c>
      <c r="C13744" s="2">
        <v>631.05520000000001</v>
      </c>
      <c r="D13744" s="2">
        <f>HYPERLINK("http://mcb-m6.bioreg.kyushu-u.ac.jp/M3/20110421/F51025/1732/1", 49.76)</f>
        <v>49.76</v>
      </c>
      <c r="E13744" s="2">
        <v>22.03</v>
      </c>
      <c r="F13744" s="2">
        <v>2</v>
      </c>
      <c r="G13744" s="2" t="s">
        <v>12</v>
      </c>
    </row>
    <row r="13745" spans="1:9" x14ac:dyDescent="0.2">
      <c r="A13745" s="2" t="s">
        <v>7526</v>
      </c>
      <c r="B13745" s="2" t="s">
        <v>6791</v>
      </c>
      <c r="C13745" s="2">
        <v>570.90260000000001</v>
      </c>
      <c r="D13745" s="2">
        <f>HYPERLINK("http://mcb-m6.bioreg.kyushu-u.ac.jp/M3/20110421/F51025/1563/1", 51.87)</f>
        <v>51.87</v>
      </c>
      <c r="E13745" s="2">
        <v>20.62</v>
      </c>
      <c r="F13745" s="2">
        <v>2</v>
      </c>
      <c r="G13745" s="2" t="s">
        <v>12</v>
      </c>
    </row>
    <row r="13746" spans="1:9" x14ac:dyDescent="0.2">
      <c r="A13746" s="2" t="s">
        <v>7526</v>
      </c>
      <c r="B13746" s="2" t="s">
        <v>6327</v>
      </c>
      <c r="C13746" s="2">
        <v>655.37710000000004</v>
      </c>
      <c r="D13746" s="2">
        <f>HYPERLINK("http://mcb-m6.bioreg.kyushu-u.ac.jp/M3/20110421/F51025/1795/1", 52.57)</f>
        <v>52.57</v>
      </c>
      <c r="E13746" s="2">
        <v>34.51</v>
      </c>
      <c r="F13746" s="2">
        <v>2</v>
      </c>
      <c r="G13746" s="2" t="s">
        <v>12</v>
      </c>
    </row>
    <row r="13747" spans="1:9" x14ac:dyDescent="0.2">
      <c r="A13747" s="2" t="s">
        <v>7526</v>
      </c>
      <c r="B13747" s="2" t="s">
        <v>6058</v>
      </c>
      <c r="C13747" s="2">
        <v>630.75419999999997</v>
      </c>
      <c r="D13747" s="2">
        <f>HYPERLINK("http://mcb-m6.bioreg.kyushu-u.ac.jp/M3/20110421/F51025/1731/1", 53.07)</f>
        <v>53.07</v>
      </c>
      <c r="E13747" s="2">
        <v>38.200000000000003</v>
      </c>
      <c r="F13747" s="2">
        <v>2</v>
      </c>
      <c r="G13747" s="2" t="s">
        <v>12</v>
      </c>
    </row>
    <row r="13748" spans="1:9" x14ac:dyDescent="0.2">
      <c r="A13748" s="2" t="s">
        <v>7526</v>
      </c>
      <c r="B13748" s="2" t="s">
        <v>6327</v>
      </c>
      <c r="C13748" s="2">
        <v>654.82169999999996</v>
      </c>
      <c r="D13748" s="2">
        <f>HYPERLINK("http://mcb-m6.bioreg.kyushu-u.ac.jp/M3/20110421/F51025/1794/1", 53.17)</f>
        <v>53.17</v>
      </c>
      <c r="E13748" s="2">
        <v>27.73</v>
      </c>
      <c r="F13748" s="2">
        <v>2</v>
      </c>
      <c r="G13748" s="2" t="s">
        <v>12</v>
      </c>
    </row>
    <row r="13749" spans="1:9" x14ac:dyDescent="0.2">
      <c r="A13749" s="2" t="s">
        <v>7526</v>
      </c>
      <c r="B13749" s="2" t="s">
        <v>6594</v>
      </c>
      <c r="C13749" s="2">
        <v>717.86659999999995</v>
      </c>
      <c r="D13749" s="2">
        <f>HYPERLINK("http://mcb-m6.bioreg.kyushu-u.ac.jp/M3/20110421/F51025/1952/1", 53.71)</f>
        <v>53.71</v>
      </c>
      <c r="E13749" s="2">
        <v>38.19</v>
      </c>
      <c r="F13749" s="2">
        <v>2</v>
      </c>
      <c r="G13749" s="2" t="s">
        <v>12</v>
      </c>
    </row>
    <row r="13750" spans="1:9" x14ac:dyDescent="0.2">
      <c r="A13750" s="2" t="s">
        <v>7526</v>
      </c>
      <c r="B13750" s="2" t="s">
        <v>6357</v>
      </c>
      <c r="C13750" s="2">
        <v>784.23609999999996</v>
      </c>
      <c r="D13750" s="2">
        <f>HYPERLINK("http://mcb-m6.bioreg.kyushu-u.ac.jp/M3/20110421/F51025/2156/1", 54.76)</f>
        <v>54.76</v>
      </c>
      <c r="E13750" s="2">
        <v>46.12</v>
      </c>
      <c r="F13750" s="2">
        <v>2</v>
      </c>
      <c r="G13750" s="2" t="s">
        <v>12</v>
      </c>
      <c r="H13750" s="2" t="s">
        <v>4900</v>
      </c>
    </row>
    <row r="13751" spans="1:9" x14ac:dyDescent="0.2">
      <c r="A13751" s="2" t="s">
        <v>7526</v>
      </c>
      <c r="B13751" s="2" t="s">
        <v>6200</v>
      </c>
      <c r="C13751" s="2">
        <v>615.34810000000004</v>
      </c>
      <c r="D13751" s="2">
        <f>HYPERLINK("http://mcb-m6.bioreg.kyushu-u.ac.jp/M3/20110421/F51025/1686/1", 55.83)</f>
        <v>55.83</v>
      </c>
      <c r="E13751" s="2">
        <v>29.08</v>
      </c>
      <c r="F13751" s="2">
        <v>2</v>
      </c>
      <c r="G13751" s="2" t="s">
        <v>12</v>
      </c>
    </row>
    <row r="13752" spans="1:9" x14ac:dyDescent="0.2">
      <c r="A13752" s="2" t="s">
        <v>7526</v>
      </c>
      <c r="B13752" s="2" t="s">
        <v>6131</v>
      </c>
      <c r="C13752" s="2">
        <v>696.83759999999995</v>
      </c>
      <c r="D13752" s="2">
        <f>HYPERLINK("http://mcb-m6.bioreg.kyushu-u.ac.jp/M3/20110421/F51050/1931/1", 56.6)</f>
        <v>56.6</v>
      </c>
      <c r="E13752" s="2">
        <v>40.549999999999997</v>
      </c>
      <c r="F13752" s="2">
        <v>2</v>
      </c>
      <c r="G13752" s="2" t="s">
        <v>12</v>
      </c>
    </row>
    <row r="13753" spans="1:9" x14ac:dyDescent="0.2">
      <c r="A13753" s="2" t="s">
        <v>7526</v>
      </c>
      <c r="B13753" s="2" t="s">
        <v>6254</v>
      </c>
      <c r="C13753" s="2">
        <v>644.90120000000002</v>
      </c>
      <c r="D13753" s="2">
        <f>HYPERLINK("http://mcb-m6.bioreg.kyushu-u.ac.jp/M3/20110421/F51048/1706/1", 57.38)</f>
        <v>57.38</v>
      </c>
      <c r="E13753" s="2">
        <v>44.63</v>
      </c>
      <c r="F13753" s="2">
        <v>2</v>
      </c>
      <c r="G13753" s="2" t="s">
        <v>12</v>
      </c>
    </row>
    <row r="13754" spans="1:9" x14ac:dyDescent="0.2">
      <c r="A13754" s="2" t="s">
        <v>7526</v>
      </c>
      <c r="B13754" s="2" t="s">
        <v>6058</v>
      </c>
      <c r="C13754" s="2">
        <v>630.86519999999996</v>
      </c>
      <c r="D13754" s="2">
        <f>HYPERLINK("http://mcb-m6.bioreg.kyushu-u.ac.jp/M3/20110421/F51048/1672/1", 58.75)</f>
        <v>58.75</v>
      </c>
      <c r="E13754" s="2">
        <v>40.85</v>
      </c>
      <c r="F13754" s="2">
        <v>2</v>
      </c>
      <c r="G13754" s="2" t="s">
        <v>12</v>
      </c>
    </row>
    <row r="13755" spans="1:9" x14ac:dyDescent="0.2">
      <c r="A13755" s="2" t="s">
        <v>7526</v>
      </c>
      <c r="B13755" s="2" t="s">
        <v>5922</v>
      </c>
      <c r="C13755" s="2">
        <v>848.91560000000004</v>
      </c>
      <c r="D13755" s="2">
        <f>HYPERLINK("http://mcb-m6.bioreg.kyushu-u.ac.jp/M3/20110421/F51050/2513/1", 59.92)</f>
        <v>59.92</v>
      </c>
      <c r="E13755" s="2">
        <v>48.07</v>
      </c>
      <c r="F13755" s="2">
        <v>2</v>
      </c>
      <c r="G13755" s="2" t="s">
        <v>12</v>
      </c>
      <c r="I13755" s="2" t="s">
        <v>4926</v>
      </c>
    </row>
    <row r="13756" spans="1:9" x14ac:dyDescent="0.2">
      <c r="A13756" s="2" t="s">
        <v>7526</v>
      </c>
      <c r="B13756" s="2" t="s">
        <v>6309</v>
      </c>
      <c r="C13756" s="2">
        <v>668.82820000000004</v>
      </c>
      <c r="D13756" s="2">
        <f>HYPERLINK("http://mcb-m6.bioreg.kyushu-u.ac.jp/M3/20110421/F51025/1825/1", 59.99)</f>
        <v>59.99</v>
      </c>
      <c r="E13756" s="2">
        <v>39.92</v>
      </c>
      <c r="F13756" s="2">
        <v>2</v>
      </c>
      <c r="G13756" s="2" t="s">
        <v>12</v>
      </c>
    </row>
    <row r="13757" spans="1:9" x14ac:dyDescent="0.2">
      <c r="A13757" s="2" t="s">
        <v>7526</v>
      </c>
      <c r="B13757" s="2" t="s">
        <v>5939</v>
      </c>
      <c r="C13757" s="2">
        <v>557.23469999999998</v>
      </c>
      <c r="D13757" s="2">
        <f>HYPERLINK("http://mcb-m6.bioreg.kyushu-u.ac.jp/M3/20110421/F51025/1527/1", 60.74)</f>
        <v>60.74</v>
      </c>
      <c r="E13757" s="2">
        <v>27.02</v>
      </c>
      <c r="F13757" s="2">
        <v>2</v>
      </c>
      <c r="G13757" s="2" t="s">
        <v>12</v>
      </c>
    </row>
    <row r="13758" spans="1:9" x14ac:dyDescent="0.2">
      <c r="A13758" s="2" t="s">
        <v>7526</v>
      </c>
      <c r="B13758" s="2" t="s">
        <v>6465</v>
      </c>
      <c r="C13758" s="2">
        <v>766.29110000000003</v>
      </c>
      <c r="D13758" s="2">
        <f>HYPERLINK("http://mcb-m6.bioreg.kyushu-u.ac.jp/M3/20110421/F51025/2109/1", 61.01)</f>
        <v>61.01</v>
      </c>
      <c r="E13758" s="2">
        <v>38.56</v>
      </c>
      <c r="F13758" s="2">
        <v>2</v>
      </c>
      <c r="G13758" s="2" t="s">
        <v>12</v>
      </c>
    </row>
    <row r="13759" spans="1:9" x14ac:dyDescent="0.2">
      <c r="A13759" s="2" t="s">
        <v>7526</v>
      </c>
      <c r="B13759" s="2" t="s">
        <v>5922</v>
      </c>
      <c r="C13759" s="2">
        <v>849.35770000000002</v>
      </c>
      <c r="D13759" s="2">
        <f>HYPERLINK("http://mcb-m6.bioreg.kyushu-u.ac.jp/M3/20110421/F51026/2430/1", 63.12)</f>
        <v>63.12</v>
      </c>
      <c r="E13759" s="2">
        <v>44.58</v>
      </c>
      <c r="F13759" s="2">
        <v>2</v>
      </c>
      <c r="G13759" s="2" t="s">
        <v>12</v>
      </c>
      <c r="I13759" s="2" t="s">
        <v>4926</v>
      </c>
    </row>
    <row r="13760" spans="1:9" x14ac:dyDescent="0.2">
      <c r="A13760" s="2" t="s">
        <v>7526</v>
      </c>
      <c r="B13760" s="2" t="s">
        <v>6414</v>
      </c>
      <c r="C13760" s="2">
        <v>1487.3820000000001</v>
      </c>
      <c r="D13760" s="2">
        <f>HYPERLINK("http://mcb-m6.bioreg.kyushu-u.ac.jp/M3/20110421/F51025/2039/1", 63.19)</f>
        <v>63.19</v>
      </c>
      <c r="E13760" s="2">
        <v>23.52</v>
      </c>
      <c r="F13760" s="2">
        <v>1</v>
      </c>
      <c r="G13760" s="2" t="s">
        <v>12</v>
      </c>
    </row>
    <row r="13761" spans="1:9" x14ac:dyDescent="0.2">
      <c r="A13761" s="2" t="s">
        <v>7526</v>
      </c>
      <c r="B13761" s="2" t="s">
        <v>5922</v>
      </c>
      <c r="C13761" s="2">
        <v>848.65120000000002</v>
      </c>
      <c r="D13761" s="2">
        <f>HYPERLINK("http://mcb-m6.bioreg.kyushu-u.ac.jp/M3/20110421/F51025/2385/1", 64.79)</f>
        <v>64.790000000000006</v>
      </c>
      <c r="E13761" s="2">
        <v>50.42</v>
      </c>
      <c r="F13761" s="2">
        <v>2</v>
      </c>
      <c r="G13761" s="2" t="s">
        <v>12</v>
      </c>
      <c r="I13761" s="2" t="s">
        <v>4926</v>
      </c>
    </row>
    <row r="13762" spans="1:9" x14ac:dyDescent="0.2">
      <c r="A13762" s="2" t="s">
        <v>7526</v>
      </c>
      <c r="B13762" s="2" t="s">
        <v>6487</v>
      </c>
      <c r="C13762" s="2">
        <v>517.34310000000005</v>
      </c>
      <c r="D13762" s="2">
        <f>HYPERLINK("http://mcb-m6.bioreg.kyushu-u.ac.jp/M3/20110421/F51025/1391/1", 65.24)</f>
        <v>65.239999999999995</v>
      </c>
      <c r="E13762" s="2">
        <v>31.31</v>
      </c>
      <c r="F13762" s="2">
        <v>2</v>
      </c>
      <c r="G13762" s="2" t="s">
        <v>12</v>
      </c>
    </row>
    <row r="13763" spans="1:9" x14ac:dyDescent="0.2">
      <c r="A13763" s="2" t="s">
        <v>7526</v>
      </c>
      <c r="B13763" s="2" t="s">
        <v>6058</v>
      </c>
      <c r="C13763" s="2">
        <v>630.73320000000001</v>
      </c>
      <c r="D13763" s="2">
        <f>HYPERLINK("http://mcb-m6.bioreg.kyushu-u.ac.jp/M3/20110421/F51025/1730/1", 65.61)</f>
        <v>65.61</v>
      </c>
      <c r="E13763" s="2">
        <v>42.17</v>
      </c>
      <c r="F13763" s="2">
        <v>2</v>
      </c>
      <c r="G13763" s="2" t="s">
        <v>12</v>
      </c>
    </row>
    <row r="13764" spans="1:9" x14ac:dyDescent="0.2">
      <c r="A13764" s="2" t="s">
        <v>7526</v>
      </c>
      <c r="B13764" s="2" t="s">
        <v>6173</v>
      </c>
      <c r="C13764" s="2">
        <v>692.90309999999999</v>
      </c>
      <c r="D13764" s="2">
        <f>HYPERLINK("http://mcb-m6.bioreg.kyushu-u.ac.jp/M3/20110421/F51025/1879/1", 66.92)</f>
        <v>66.92</v>
      </c>
      <c r="E13764" s="2">
        <v>40.25</v>
      </c>
      <c r="F13764" s="2">
        <v>2</v>
      </c>
      <c r="G13764" s="2" t="s">
        <v>12</v>
      </c>
    </row>
    <row r="13765" spans="1:9" x14ac:dyDescent="0.2">
      <c r="A13765" s="2" t="s">
        <v>7526</v>
      </c>
      <c r="B13765" s="2" t="s">
        <v>6254</v>
      </c>
      <c r="C13765" s="2">
        <v>644.90170000000001</v>
      </c>
      <c r="D13765" s="2">
        <f>HYPERLINK("http://mcb-m6.bioreg.kyushu-u.ac.jp/M3/20110421/F51025/1771/1", 67.39)</f>
        <v>67.39</v>
      </c>
      <c r="E13765" s="2">
        <v>44.29</v>
      </c>
      <c r="F13765" s="2">
        <v>2</v>
      </c>
      <c r="G13765" s="2" t="s">
        <v>12</v>
      </c>
    </row>
    <row r="13766" spans="1:9" x14ac:dyDescent="0.2">
      <c r="A13766" s="2" t="s">
        <v>7526</v>
      </c>
      <c r="B13766" s="2" t="s">
        <v>6254</v>
      </c>
      <c r="C13766" s="2">
        <v>1271.499</v>
      </c>
      <c r="D13766" s="2">
        <f>HYPERLINK("http://mcb-m6.bioreg.kyushu-u.ac.jp/M3/20110421/F51025/1748/1", 67.53)</f>
        <v>67.53</v>
      </c>
      <c r="E13766" s="2">
        <v>42.73</v>
      </c>
      <c r="F13766" s="2">
        <v>1</v>
      </c>
      <c r="G13766" s="2" t="s">
        <v>12</v>
      </c>
      <c r="H13766" s="2" t="s">
        <v>4904</v>
      </c>
    </row>
    <row r="13767" spans="1:9" x14ac:dyDescent="0.2">
      <c r="A13767" s="2" t="s">
        <v>7526</v>
      </c>
      <c r="B13767" s="2" t="s">
        <v>6942</v>
      </c>
      <c r="C13767" s="2">
        <v>581.36720000000003</v>
      </c>
      <c r="D13767" s="2">
        <f>HYPERLINK("http://mcb-m6.bioreg.kyushu-u.ac.jp/M3/20110421/F51025/1586/1", 68.7)</f>
        <v>68.7</v>
      </c>
      <c r="E13767" s="2">
        <v>46.39</v>
      </c>
      <c r="F13767" s="2">
        <v>2</v>
      </c>
      <c r="G13767" s="2" t="s">
        <v>12</v>
      </c>
    </row>
    <row r="13768" spans="1:9" x14ac:dyDescent="0.2">
      <c r="A13768" s="2" t="s">
        <v>7526</v>
      </c>
      <c r="B13768" s="2" t="s">
        <v>6118</v>
      </c>
      <c r="C13768" s="2">
        <v>510.00209999999998</v>
      </c>
      <c r="D13768" s="2">
        <f>HYPERLINK("http://mcb-m6.bioreg.kyushu-u.ac.jp/M3/20110421/F51025/1382/1", 69.18)</f>
        <v>69.180000000000007</v>
      </c>
      <c r="E13768" s="2">
        <v>33.840000000000003</v>
      </c>
      <c r="F13768" s="2">
        <v>2</v>
      </c>
      <c r="G13768" s="2" t="s">
        <v>12</v>
      </c>
    </row>
    <row r="13769" spans="1:9" x14ac:dyDescent="0.2">
      <c r="A13769" s="2" t="s">
        <v>7526</v>
      </c>
      <c r="B13769" s="2" t="s">
        <v>6594</v>
      </c>
      <c r="C13769" s="2">
        <v>717.90120000000002</v>
      </c>
      <c r="D13769" s="2">
        <f>HYPERLINK("http://mcb-m6.bioreg.kyushu-u.ac.jp/M3/20110421/F51025/1953/1", 69.75)</f>
        <v>69.75</v>
      </c>
      <c r="E13769" s="2">
        <v>49.9</v>
      </c>
      <c r="F13769" s="2">
        <v>2</v>
      </c>
      <c r="G13769" s="2" t="s">
        <v>12</v>
      </c>
    </row>
    <row r="13770" spans="1:9" x14ac:dyDescent="0.2">
      <c r="A13770" s="2" t="s">
        <v>7526</v>
      </c>
      <c r="B13770" s="2" t="s">
        <v>6058</v>
      </c>
      <c r="C13770" s="2">
        <v>630.96510000000001</v>
      </c>
      <c r="D13770" s="2">
        <f>HYPERLINK("http://mcb-m6.bioreg.kyushu-u.ac.jp/M3/20110421/F51050/1646/1", 72.05)</f>
        <v>72.05</v>
      </c>
      <c r="E13770" s="2">
        <v>44.23</v>
      </c>
      <c r="F13770" s="2">
        <v>2</v>
      </c>
      <c r="G13770" s="2" t="s">
        <v>12</v>
      </c>
    </row>
    <row r="13771" spans="1:9" x14ac:dyDescent="0.2">
      <c r="A13771" s="2" t="s">
        <v>7526</v>
      </c>
      <c r="B13771" s="2" t="s">
        <v>6254</v>
      </c>
      <c r="C13771" s="2">
        <v>644.82119999999998</v>
      </c>
      <c r="D13771" s="2">
        <f>HYPERLINK("http://mcb-m6.bioreg.kyushu-u.ac.jp/M3/20110421/F51025/1770/1", 72.57)</f>
        <v>72.569999999999993</v>
      </c>
      <c r="E13771" s="2">
        <v>53.34</v>
      </c>
      <c r="F13771" s="2">
        <v>2</v>
      </c>
      <c r="G13771" s="2" t="s">
        <v>12</v>
      </c>
    </row>
    <row r="13772" spans="1:9" x14ac:dyDescent="0.2">
      <c r="A13772" s="2" t="s">
        <v>7526</v>
      </c>
      <c r="B13772" s="2" t="s">
        <v>6170</v>
      </c>
      <c r="C13772" s="2">
        <v>859.3768</v>
      </c>
      <c r="D13772" s="2">
        <f>HYPERLINK("http://mcb-m6.bioreg.kyushu-u.ac.jp/M3/20110421/F51025/3186/1", 72.9)</f>
        <v>72.900000000000006</v>
      </c>
      <c r="E13772" s="2">
        <v>59.55</v>
      </c>
      <c r="F13772" s="2">
        <v>3</v>
      </c>
      <c r="G13772" s="2" t="s">
        <v>12</v>
      </c>
    </row>
    <row r="13773" spans="1:9" x14ac:dyDescent="0.2">
      <c r="A13773" s="2" t="s">
        <v>7526</v>
      </c>
      <c r="B13773" s="2" t="s">
        <v>6058</v>
      </c>
      <c r="C13773" s="2">
        <v>630.74469999999997</v>
      </c>
      <c r="D13773" s="2">
        <f>HYPERLINK("http://mcb-m6.bioreg.kyushu-u.ac.jp/M3/20110421/F51026/1733/1", 73.55)</f>
        <v>73.55</v>
      </c>
      <c r="E13773" s="2">
        <v>47.1</v>
      </c>
      <c r="F13773" s="2">
        <v>2</v>
      </c>
      <c r="G13773" s="2" t="s">
        <v>12</v>
      </c>
    </row>
    <row r="13774" spans="1:9" x14ac:dyDescent="0.2">
      <c r="A13774" s="2" t="s">
        <v>7526</v>
      </c>
      <c r="B13774" s="2" t="s">
        <v>6588</v>
      </c>
      <c r="C13774" s="2">
        <v>838.78369999999995</v>
      </c>
      <c r="D13774" s="2">
        <f>HYPERLINK("http://mcb-m6.bioreg.kyushu-u.ac.jp/M3/20110421/F51025/2361/1", 79.17)</f>
        <v>79.17</v>
      </c>
      <c r="E13774" s="2">
        <v>67.59</v>
      </c>
      <c r="F13774" s="2">
        <v>2</v>
      </c>
      <c r="G13774" s="2" t="s">
        <v>12</v>
      </c>
    </row>
    <row r="13775" spans="1:9" x14ac:dyDescent="0.2">
      <c r="A13775" s="2" t="s">
        <v>7526</v>
      </c>
      <c r="B13775" s="2" t="s">
        <v>7267</v>
      </c>
      <c r="C13775" s="2">
        <v>1056.018</v>
      </c>
      <c r="D13775" s="2">
        <f>HYPERLINK("http://mcb-m6.bioreg.kyushu-u.ac.jp/M3/20110421/F51025/3302/1", 79.8)</f>
        <v>79.8</v>
      </c>
      <c r="E13775" s="2">
        <v>73.819999999999993</v>
      </c>
      <c r="F13775" s="2">
        <v>3</v>
      </c>
      <c r="G13775" s="2" t="s">
        <v>12</v>
      </c>
    </row>
    <row r="13776" spans="1:9" x14ac:dyDescent="0.2">
      <c r="A13776" s="2" t="s">
        <v>7526</v>
      </c>
      <c r="B13776" s="2" t="s">
        <v>7269</v>
      </c>
      <c r="C13776" s="2">
        <v>932.42610000000002</v>
      </c>
      <c r="D13776" s="2">
        <f>HYPERLINK("http://mcb-m6.bioreg.kyushu-u.ac.jp/M3/20110421/F51025/2635/1", 83.12)</f>
        <v>83.12</v>
      </c>
      <c r="E13776" s="2">
        <v>67.25</v>
      </c>
      <c r="F13776" s="2">
        <v>2</v>
      </c>
      <c r="G13776" s="2" t="s">
        <v>12</v>
      </c>
      <c r="H13776" s="2" t="s">
        <v>4904</v>
      </c>
    </row>
    <row r="13777" spans="1:9" x14ac:dyDescent="0.2">
      <c r="A13777" s="2" t="s">
        <v>7526</v>
      </c>
      <c r="B13777" s="2" t="s">
        <v>5922</v>
      </c>
      <c r="C13777" s="2">
        <v>849.37159999999994</v>
      </c>
      <c r="D13777" s="2">
        <f>HYPERLINK("http://mcb-m6.bioreg.kyushu-u.ac.jp/M3/20110421/F51048/2708/1", 93.39)</f>
        <v>93.39</v>
      </c>
      <c r="E13777" s="2">
        <v>68.16</v>
      </c>
      <c r="F13777" s="2">
        <v>2</v>
      </c>
      <c r="G13777" s="2" t="s">
        <v>12</v>
      </c>
      <c r="I13777" s="2" t="s">
        <v>4926</v>
      </c>
    </row>
    <row r="13778" spans="1:9" x14ac:dyDescent="0.2">
      <c r="A13778" s="2" t="s">
        <v>7526</v>
      </c>
      <c r="B13778" s="2" t="s">
        <v>6568</v>
      </c>
      <c r="C13778" s="2">
        <v>812.75519999999995</v>
      </c>
      <c r="D13778" s="2">
        <f>HYPERLINK("http://mcb-m6.bioreg.kyushu-u.ac.jp/M3/20110421/F51025/2261/1", 95.21)</f>
        <v>95.21</v>
      </c>
      <c r="E13778" s="2">
        <v>69.510000000000005</v>
      </c>
      <c r="F13778" s="2">
        <v>2</v>
      </c>
      <c r="G13778" s="2" t="s">
        <v>12</v>
      </c>
    </row>
    <row r="13779" spans="1:9" x14ac:dyDescent="0.2">
      <c r="A13779" s="2" t="s">
        <v>7526</v>
      </c>
      <c r="B13779" s="2" t="s">
        <v>6568</v>
      </c>
      <c r="C13779" s="2">
        <v>812.18269999999995</v>
      </c>
      <c r="D13779" s="2">
        <f>HYPERLINK("http://mcb-m6.bioreg.kyushu-u.ac.jp/M3/20110421/F51025/2258/1", 95.32)</f>
        <v>95.32</v>
      </c>
      <c r="E13779" s="2">
        <v>70.069999999999993</v>
      </c>
      <c r="F13779" s="2">
        <v>2</v>
      </c>
      <c r="G13779" s="2" t="s">
        <v>12</v>
      </c>
    </row>
    <row r="13780" spans="1:9" x14ac:dyDescent="0.2">
      <c r="A13780" s="2" t="s">
        <v>7526</v>
      </c>
      <c r="B13780" s="2" t="s">
        <v>6440</v>
      </c>
      <c r="C13780" s="2">
        <v>931.80269999999996</v>
      </c>
      <c r="D13780" s="2">
        <f>HYPERLINK("http://mcb-m6.bioreg.kyushu-u.ac.jp/M3/20110421/F51025/2632/1", 95.58)</f>
        <v>95.58</v>
      </c>
      <c r="E13780" s="2">
        <v>83.5</v>
      </c>
      <c r="F13780" s="2">
        <v>2</v>
      </c>
      <c r="G13780" s="2" t="s">
        <v>12</v>
      </c>
    </row>
    <row r="13781" spans="1:9" x14ac:dyDescent="0.2">
      <c r="A13781" s="2" t="s">
        <v>7526</v>
      </c>
      <c r="B13781" s="2" t="s">
        <v>5922</v>
      </c>
      <c r="C13781" s="2">
        <v>849.42520000000002</v>
      </c>
      <c r="D13781" s="2">
        <f>HYPERLINK("http://mcb-m6.bioreg.kyushu-u.ac.jp/M3/20110421/F51050/2516/1", 99.39)</f>
        <v>99.39</v>
      </c>
      <c r="E13781" s="2">
        <v>75.33</v>
      </c>
      <c r="F13781" s="2">
        <v>2</v>
      </c>
      <c r="G13781" s="2" t="s">
        <v>12</v>
      </c>
      <c r="I13781" s="2" t="s">
        <v>4926</v>
      </c>
    </row>
    <row r="13782" spans="1:9" x14ac:dyDescent="0.2">
      <c r="A13782" s="2" t="s">
        <v>7526</v>
      </c>
      <c r="B13782" s="2" t="s">
        <v>6671</v>
      </c>
      <c r="C13782" s="2">
        <v>960.17020000000002</v>
      </c>
      <c r="D13782" s="2">
        <f>HYPERLINK("http://mcb-m6.bioreg.kyushu-u.ac.jp/M3/20110421/F51025/2692/1", 100.66)</f>
        <v>100.66</v>
      </c>
      <c r="E13782" s="2">
        <v>76.510000000000005</v>
      </c>
      <c r="F13782" s="2">
        <v>2</v>
      </c>
      <c r="G13782" s="2" t="s">
        <v>12</v>
      </c>
    </row>
    <row r="13783" spans="1:9" x14ac:dyDescent="0.2">
      <c r="A13783" s="2" t="s">
        <v>7526</v>
      </c>
      <c r="B13783" s="2" t="s">
        <v>6131</v>
      </c>
      <c r="C13783" s="2">
        <v>696.73170000000005</v>
      </c>
      <c r="D13783" s="2">
        <f>HYPERLINK("http://mcb-m6.bioreg.kyushu-u.ac.jp/M3/20110421/F51025/1891/1", 103.56)</f>
        <v>103.56</v>
      </c>
      <c r="E13783" s="2">
        <v>82</v>
      </c>
      <c r="F13783" s="2">
        <v>2</v>
      </c>
      <c r="G13783" s="2" t="s">
        <v>12</v>
      </c>
    </row>
    <row r="13784" spans="1:9" x14ac:dyDescent="0.2">
      <c r="A13784" s="2" t="s">
        <v>7526</v>
      </c>
      <c r="B13784" s="2" t="s">
        <v>6654</v>
      </c>
      <c r="C13784" s="2">
        <v>896.80870000000004</v>
      </c>
      <c r="D13784" s="2">
        <f>HYPERLINK("http://mcb-m6.bioreg.kyushu-u.ac.jp/M3/20110421/F51025/2541/1", 107.86)</f>
        <v>107.86</v>
      </c>
      <c r="E13784" s="2">
        <v>85.22</v>
      </c>
      <c r="F13784" s="2">
        <v>2</v>
      </c>
      <c r="G13784" s="2" t="s">
        <v>12</v>
      </c>
    </row>
    <row r="13785" spans="1:9" x14ac:dyDescent="0.2">
      <c r="A13785" s="2" t="s">
        <v>7526</v>
      </c>
      <c r="B13785" s="2" t="s">
        <v>6357</v>
      </c>
      <c r="C13785" s="2">
        <v>776.27470000000005</v>
      </c>
      <c r="D13785" s="2">
        <f>HYPERLINK("http://mcb-m6.bioreg.kyushu-u.ac.jp/M3/20110421/F51025/2129/1", 108.33)</f>
        <v>108.33</v>
      </c>
      <c r="E13785" s="2">
        <v>88.89</v>
      </c>
      <c r="F13785" s="2">
        <v>2</v>
      </c>
      <c r="G13785" s="2" t="s">
        <v>12</v>
      </c>
    </row>
    <row r="13786" spans="1:9" x14ac:dyDescent="0.2">
      <c r="A13786" s="2" t="s">
        <v>7526</v>
      </c>
      <c r="B13786" s="2" t="s">
        <v>6170</v>
      </c>
      <c r="C13786" s="2">
        <v>1288.626</v>
      </c>
      <c r="D13786" s="2">
        <f>HYPERLINK("http://mcb-m6.bioreg.kyushu-u.ac.jp/M3/20110421/F51025/3187/1", 110.6)</f>
        <v>110.6</v>
      </c>
      <c r="E13786" s="2">
        <v>100.67</v>
      </c>
      <c r="F13786" s="2">
        <v>2</v>
      </c>
      <c r="G13786" s="2" t="s">
        <v>12</v>
      </c>
    </row>
    <row r="13787" spans="1:9" x14ac:dyDescent="0.2">
      <c r="A13787" s="2" t="s">
        <v>7526</v>
      </c>
      <c r="B13787" s="2" t="s">
        <v>6667</v>
      </c>
      <c r="C13787" s="2">
        <v>986.42970000000003</v>
      </c>
      <c r="D13787" s="2">
        <f>HYPERLINK("http://mcb-m6.bioreg.kyushu-u.ac.jp/M3/20110421/F51025/2747/1", 112.29)</f>
        <v>112.29</v>
      </c>
      <c r="E13787" s="2">
        <v>92.86</v>
      </c>
      <c r="F13787" s="2">
        <v>2</v>
      </c>
      <c r="G13787" s="2" t="s">
        <v>12</v>
      </c>
      <c r="I13787" s="2" t="s">
        <v>4892</v>
      </c>
    </row>
    <row r="13788" spans="1:9" x14ac:dyDescent="0.2">
      <c r="A13788" s="2" t="s">
        <v>7526</v>
      </c>
      <c r="B13788" s="2" t="s">
        <v>5922</v>
      </c>
      <c r="C13788" s="2">
        <v>849.34770000000003</v>
      </c>
      <c r="D13788" s="2">
        <f>HYPERLINK("http://mcb-m6.bioreg.kyushu-u.ac.jp/M3/20110421/F51025/2387/1", 120.2)</f>
        <v>120.2</v>
      </c>
      <c r="E13788" s="2">
        <v>90.53</v>
      </c>
      <c r="F13788" s="2">
        <v>2</v>
      </c>
      <c r="G13788" s="2" t="s">
        <v>12</v>
      </c>
      <c r="I13788" s="2" t="s">
        <v>4926</v>
      </c>
    </row>
    <row r="13789" spans="1:9" x14ac:dyDescent="0.2">
      <c r="A13789" s="2" t="s">
        <v>7526</v>
      </c>
      <c r="B13789" s="2" t="s">
        <v>6654</v>
      </c>
      <c r="C13789" s="2">
        <v>896.26570000000004</v>
      </c>
      <c r="D13789" s="2">
        <f>HYPERLINK("http://mcb-m6.bioreg.kyushu-u.ac.jp/M3/20110421/F51025/2537/1", 121.93)</f>
        <v>121.93</v>
      </c>
      <c r="E13789" s="2">
        <v>98.93</v>
      </c>
      <c r="F13789" s="2">
        <v>2</v>
      </c>
      <c r="G13789" s="2" t="s">
        <v>12</v>
      </c>
    </row>
    <row r="13790" spans="1:9" x14ac:dyDescent="0.2">
      <c r="A13790" s="2" t="s">
        <v>7526</v>
      </c>
      <c r="B13790" s="2" t="s">
        <v>6673</v>
      </c>
      <c r="C13790" s="2">
        <v>1058.1130000000001</v>
      </c>
      <c r="D13790" s="2">
        <f>HYPERLINK("http://mcb-m6.bioreg.kyushu-u.ac.jp/M3/20110421/F51025/2858/1", 131.19)</f>
        <v>131.19</v>
      </c>
      <c r="E13790" s="2">
        <v>114.82</v>
      </c>
      <c r="F13790" s="2">
        <v>2</v>
      </c>
      <c r="G13790" s="2" t="s">
        <v>12</v>
      </c>
    </row>
    <row r="13791" spans="1:9" x14ac:dyDescent="0.2">
      <c r="A13791" s="2" t="s">
        <v>7526</v>
      </c>
      <c r="B13791" s="2" t="s">
        <v>6061</v>
      </c>
      <c r="C13791" s="2">
        <v>1046.8510000000001</v>
      </c>
      <c r="D13791" s="2">
        <f>HYPERLINK("http://mcb-m6.bioreg.kyushu-u.ac.jp/M3/20110421/F51025/2839/1", 159.64)</f>
        <v>159.63999999999999</v>
      </c>
      <c r="E13791" s="2">
        <v>145.82</v>
      </c>
      <c r="F13791" s="2">
        <v>2</v>
      </c>
      <c r="G13791" s="2" t="s">
        <v>12</v>
      </c>
    </row>
    <row r="13792" spans="1:9" x14ac:dyDescent="0.2">
      <c r="A13792" s="2" t="s">
        <v>7526</v>
      </c>
      <c r="B13792" s="2" t="s">
        <v>6982</v>
      </c>
      <c r="C13792" s="2">
        <v>520.6567</v>
      </c>
      <c r="D13792" s="2">
        <f>HYPERLINK("http://mcb-m6.bioreg.kyushu-u.ac.jp/M3/20110427/F51116/1101/1", 35.76)</f>
        <v>35.76</v>
      </c>
      <c r="E13792" s="2">
        <v>14.96</v>
      </c>
      <c r="F13792" s="2">
        <v>2</v>
      </c>
      <c r="G13792" s="2" t="s">
        <v>13</v>
      </c>
      <c r="I13792" s="2" t="s">
        <v>4943</v>
      </c>
    </row>
    <row r="13793" spans="1:7" x14ac:dyDescent="0.2">
      <c r="A13793" s="2" t="s">
        <v>7526</v>
      </c>
      <c r="B13793" s="2" t="s">
        <v>6164</v>
      </c>
      <c r="C13793" s="2">
        <v>568.72720000000004</v>
      </c>
      <c r="D13793" s="2">
        <f>HYPERLINK("http://mcb-m6.bioreg.kyushu-u.ac.jp/M3/20110427/F51116/1308/1", 37.89)</f>
        <v>37.89</v>
      </c>
      <c r="E13793" s="2">
        <v>13.72</v>
      </c>
      <c r="F13793" s="2">
        <v>2</v>
      </c>
      <c r="G13793" s="2" t="s">
        <v>13</v>
      </c>
    </row>
    <row r="13794" spans="1:7" x14ac:dyDescent="0.2">
      <c r="A13794" s="2" t="s">
        <v>7526</v>
      </c>
      <c r="B13794" s="2" t="s">
        <v>6058</v>
      </c>
      <c r="C13794" s="2">
        <v>630.70619999999997</v>
      </c>
      <c r="D13794" s="2">
        <f>HYPERLINK("http://mcb-m6.bioreg.kyushu-u.ac.jp/M3/20110427/F51117/1493/1", 41.86)</f>
        <v>41.86</v>
      </c>
      <c r="E13794" s="2">
        <v>18.97</v>
      </c>
      <c r="F13794" s="2">
        <v>2</v>
      </c>
      <c r="G13794" s="2" t="s">
        <v>13</v>
      </c>
    </row>
    <row r="13795" spans="1:7" x14ac:dyDescent="0.2">
      <c r="A13795" s="2" t="s">
        <v>7526</v>
      </c>
      <c r="B13795" s="2" t="s">
        <v>6163</v>
      </c>
      <c r="C13795" s="2">
        <v>518.08619999999996</v>
      </c>
      <c r="D13795" s="2">
        <f>HYPERLINK("http://mcb-m6.bioreg.kyushu-u.ac.jp/M3/20110427/F51116/1090/1", 42.03)</f>
        <v>42.03</v>
      </c>
      <c r="E13795" s="2">
        <v>19.559999999999999</v>
      </c>
      <c r="F13795" s="2">
        <v>2</v>
      </c>
      <c r="G13795" s="2" t="s">
        <v>13</v>
      </c>
    </row>
    <row r="13796" spans="1:7" x14ac:dyDescent="0.2">
      <c r="A13796" s="2" t="s">
        <v>7526</v>
      </c>
      <c r="B13796" s="2" t="s">
        <v>6342</v>
      </c>
      <c r="C13796" s="2">
        <v>478.65609999999998</v>
      </c>
      <c r="D13796" s="2">
        <f>HYPERLINK("http://mcb-m6.bioreg.kyushu-u.ac.jp/M3/20110427/F51116/960/1", 49.18)</f>
        <v>49.18</v>
      </c>
      <c r="E13796" s="2">
        <v>15.35</v>
      </c>
      <c r="F13796" s="2">
        <v>2</v>
      </c>
      <c r="G13796" s="2" t="s">
        <v>13</v>
      </c>
    </row>
    <row r="13797" spans="1:7" x14ac:dyDescent="0.2">
      <c r="A13797" s="2" t="s">
        <v>7526</v>
      </c>
      <c r="B13797" s="2" t="s">
        <v>6304</v>
      </c>
      <c r="C13797" s="2">
        <v>702.25519999999995</v>
      </c>
      <c r="D13797" s="2">
        <f>HYPERLINK("http://mcb-m6.bioreg.kyushu-u.ac.jp/M3/20110427/F51116/1851/1", 50.26)</f>
        <v>50.26</v>
      </c>
      <c r="E13797" s="2">
        <v>30.24</v>
      </c>
      <c r="F13797" s="2">
        <v>2</v>
      </c>
      <c r="G13797" s="2" t="s">
        <v>13</v>
      </c>
    </row>
    <row r="13798" spans="1:7" x14ac:dyDescent="0.2">
      <c r="A13798" s="2" t="s">
        <v>7526</v>
      </c>
      <c r="B13798" s="2" t="s">
        <v>6210</v>
      </c>
      <c r="C13798" s="2">
        <v>636.74959999999999</v>
      </c>
      <c r="D13798" s="2">
        <f>HYPERLINK("http://mcb-m6.bioreg.kyushu-u.ac.jp/M3/20110427/F51116/1557/1", 54.03)</f>
        <v>54.03</v>
      </c>
      <c r="E13798" s="2">
        <v>28.41</v>
      </c>
      <c r="F13798" s="2">
        <v>2</v>
      </c>
      <c r="G13798" s="2" t="s">
        <v>13</v>
      </c>
    </row>
    <row r="13799" spans="1:7" x14ac:dyDescent="0.2">
      <c r="A13799" s="2" t="s">
        <v>7526</v>
      </c>
      <c r="B13799" s="2" t="s">
        <v>6316</v>
      </c>
      <c r="C13799" s="2">
        <v>549.1277</v>
      </c>
      <c r="D13799" s="2">
        <f>HYPERLINK("http://mcb-m6.bioreg.kyushu-u.ac.jp/M3/20110427/F51116/1229/1", 57.59)</f>
        <v>57.59</v>
      </c>
      <c r="E13799" s="2">
        <v>32.72</v>
      </c>
      <c r="F13799" s="2">
        <v>2</v>
      </c>
      <c r="G13799" s="2" t="s">
        <v>13</v>
      </c>
    </row>
    <row r="13800" spans="1:7" x14ac:dyDescent="0.2">
      <c r="A13800" s="2" t="s">
        <v>7526</v>
      </c>
      <c r="B13800" s="2" t="s">
        <v>6909</v>
      </c>
      <c r="C13800" s="2">
        <v>554.66110000000003</v>
      </c>
      <c r="D13800" s="2">
        <f>HYPERLINK("http://mcb-m6.bioreg.kyushu-u.ac.jp/M3/20110427/F51116/1256/1", 62.23)</f>
        <v>62.23</v>
      </c>
      <c r="E13800" s="2">
        <v>44.62</v>
      </c>
      <c r="F13800" s="2">
        <v>2</v>
      </c>
      <c r="G13800" s="2" t="s">
        <v>13</v>
      </c>
    </row>
    <row r="13801" spans="1:7" x14ac:dyDescent="0.2">
      <c r="A13801" s="2" t="s">
        <v>7526</v>
      </c>
      <c r="B13801" s="2" t="s">
        <v>6568</v>
      </c>
      <c r="C13801" s="2">
        <v>812.20920000000001</v>
      </c>
      <c r="D13801" s="2">
        <f>HYPERLINK("http://mcb-m6.bioreg.kyushu-u.ac.jp/M3/20110427/F51116/2407/1", 62.88)</f>
        <v>62.88</v>
      </c>
      <c r="E13801" s="2">
        <v>47.33</v>
      </c>
      <c r="F13801" s="2">
        <v>2</v>
      </c>
      <c r="G13801" s="2" t="s">
        <v>13</v>
      </c>
    </row>
    <row r="13802" spans="1:7" x14ac:dyDescent="0.2">
      <c r="A13802" s="2" t="s">
        <v>7526</v>
      </c>
      <c r="B13802" s="2" t="s">
        <v>5939</v>
      </c>
      <c r="C13802" s="2">
        <v>557.1277</v>
      </c>
      <c r="D13802" s="2">
        <f>HYPERLINK("http://mcb-m6.bioreg.kyushu-u.ac.jp/M3/20110427/F51116/1262/1", 63.42)</f>
        <v>63.42</v>
      </c>
      <c r="E13802" s="2">
        <v>26.28</v>
      </c>
      <c r="F13802" s="2">
        <v>2</v>
      </c>
      <c r="G13802" s="2" t="s">
        <v>13</v>
      </c>
    </row>
    <row r="13803" spans="1:7" x14ac:dyDescent="0.2">
      <c r="A13803" s="2" t="s">
        <v>7526</v>
      </c>
      <c r="B13803" s="2" t="s">
        <v>6594</v>
      </c>
      <c r="C13803" s="2">
        <v>717.70870000000002</v>
      </c>
      <c r="D13803" s="2">
        <f>HYPERLINK("http://mcb-m6.bioreg.kyushu-u.ac.jp/M3/20110427/F51116/1934/1", 68.93)</f>
        <v>68.930000000000007</v>
      </c>
      <c r="E13803" s="2">
        <v>43.61</v>
      </c>
      <c r="F13803" s="2">
        <v>2</v>
      </c>
      <c r="G13803" s="2" t="s">
        <v>13</v>
      </c>
    </row>
    <row r="13804" spans="1:7" x14ac:dyDescent="0.2">
      <c r="A13804" s="2" t="s">
        <v>7526</v>
      </c>
      <c r="B13804" s="2" t="s">
        <v>6058</v>
      </c>
      <c r="C13804" s="2">
        <v>630.68709999999999</v>
      </c>
      <c r="D13804" s="2">
        <f>HYPERLINK("http://mcb-m6.bioreg.kyushu-u.ac.jp/M3/20110427/F51116/1537/1", 72.04)</f>
        <v>72.040000000000006</v>
      </c>
      <c r="E13804" s="2">
        <v>45.28</v>
      </c>
      <c r="F13804" s="2">
        <v>2</v>
      </c>
      <c r="G13804" s="2" t="s">
        <v>13</v>
      </c>
    </row>
    <row r="13805" spans="1:7" x14ac:dyDescent="0.2">
      <c r="A13805" s="2" t="s">
        <v>7526</v>
      </c>
      <c r="B13805" s="2" t="s">
        <v>6594</v>
      </c>
      <c r="C13805" s="2">
        <v>717.11159999999995</v>
      </c>
      <c r="D13805" s="2">
        <f>HYPERLINK("http://mcb-m6.bioreg.kyushu-u.ac.jp/M3/20110427/F51116/1932/1", 75.8)</f>
        <v>75.8</v>
      </c>
      <c r="E13805" s="2">
        <v>34.57</v>
      </c>
      <c r="F13805" s="2">
        <v>2</v>
      </c>
      <c r="G13805" s="2" t="s">
        <v>13</v>
      </c>
    </row>
    <row r="13806" spans="1:7" x14ac:dyDescent="0.2">
      <c r="A13806" s="2" t="s">
        <v>7526</v>
      </c>
      <c r="B13806" s="2" t="s">
        <v>6131</v>
      </c>
      <c r="C13806" s="2">
        <v>696.58219999999994</v>
      </c>
      <c r="D13806" s="2">
        <f>HYPERLINK("http://mcb-m6.bioreg.kyushu-u.ac.jp/M3/20110427/F51116/1823/1", 86.58)</f>
        <v>86.58</v>
      </c>
      <c r="E13806" s="2">
        <v>70.989999999999995</v>
      </c>
      <c r="F13806" s="2">
        <v>2</v>
      </c>
      <c r="G13806" s="2" t="s">
        <v>13</v>
      </c>
    </row>
    <row r="13807" spans="1:7" x14ac:dyDescent="0.2">
      <c r="A13807" s="2" t="s">
        <v>7526</v>
      </c>
      <c r="B13807" s="2" t="s">
        <v>6414</v>
      </c>
      <c r="C13807" s="2">
        <v>744.85170000000005</v>
      </c>
      <c r="D13807" s="2">
        <f>HYPERLINK("http://mcb-m6.bioreg.kyushu-u.ac.jp/M3/20110427/F51116/2070/1", 86.75)</f>
        <v>86.75</v>
      </c>
      <c r="E13807" s="2">
        <v>59.59</v>
      </c>
      <c r="F13807" s="2">
        <v>2</v>
      </c>
      <c r="G13807" s="2" t="s">
        <v>13</v>
      </c>
    </row>
    <row r="13808" spans="1:7" x14ac:dyDescent="0.2">
      <c r="A13808" s="2" t="s">
        <v>7526</v>
      </c>
      <c r="B13808" s="2" t="s">
        <v>6131</v>
      </c>
      <c r="C13808" s="2">
        <v>697.19759999999997</v>
      </c>
      <c r="D13808" s="2">
        <f>HYPERLINK("http://mcb-m6.bioreg.kyushu-u.ac.jp/M3/20110427/F51116/1826/1", 89.14)</f>
        <v>89.14</v>
      </c>
      <c r="E13808" s="2">
        <v>70.08</v>
      </c>
      <c r="F13808" s="2">
        <v>2</v>
      </c>
      <c r="G13808" s="2" t="s">
        <v>13</v>
      </c>
    </row>
    <row r="13809" spans="1:9" x14ac:dyDescent="0.2">
      <c r="A13809" s="2" t="s">
        <v>7526</v>
      </c>
      <c r="B13809" s="2" t="s">
        <v>5922</v>
      </c>
      <c r="C13809" s="2">
        <v>848.71220000000005</v>
      </c>
      <c r="D13809" s="2">
        <f>HYPERLINK("http://mcb-m6.bioreg.kyushu-u.ac.jp/M3/20110427/F51115/2438/1", 96.95)</f>
        <v>96.95</v>
      </c>
      <c r="E13809" s="2">
        <v>76.87</v>
      </c>
      <c r="F13809" s="2">
        <v>2</v>
      </c>
      <c r="G13809" s="2" t="s">
        <v>13</v>
      </c>
      <c r="I13809" s="2" t="s">
        <v>4926</v>
      </c>
    </row>
    <row r="13810" spans="1:9" x14ac:dyDescent="0.2">
      <c r="A13810" s="2" t="s">
        <v>7526</v>
      </c>
      <c r="B13810" s="2" t="s">
        <v>6654</v>
      </c>
      <c r="C13810" s="2">
        <v>896.7106</v>
      </c>
      <c r="D13810" s="2">
        <f>HYPERLINK("http://mcb-m6.bioreg.kyushu-u.ac.jp/M3/20110427/F51116/2766/1", 100)</f>
        <v>100</v>
      </c>
      <c r="E13810" s="2">
        <v>79.17</v>
      </c>
      <c r="F13810" s="2">
        <v>2</v>
      </c>
      <c r="G13810" s="2" t="s">
        <v>13</v>
      </c>
    </row>
    <row r="13811" spans="1:9" x14ac:dyDescent="0.2">
      <c r="A13811" s="2" t="s">
        <v>7526</v>
      </c>
      <c r="B13811" s="2" t="s">
        <v>6131</v>
      </c>
      <c r="C13811" s="2">
        <v>696.68709999999999</v>
      </c>
      <c r="D13811" s="2">
        <f>HYPERLINK("http://mcb-m6.bioreg.kyushu-u.ac.jp/M3/20110427/F51115/1787/1", 100.14)</f>
        <v>100.14</v>
      </c>
      <c r="E13811" s="2">
        <v>81.459999999999994</v>
      </c>
      <c r="F13811" s="2">
        <v>2</v>
      </c>
      <c r="G13811" s="2" t="s">
        <v>13</v>
      </c>
    </row>
    <row r="13812" spans="1:9" x14ac:dyDescent="0.2">
      <c r="A13812" s="2" t="s">
        <v>7526</v>
      </c>
      <c r="B13812" s="2" t="s">
        <v>6061</v>
      </c>
      <c r="C13812" s="2">
        <v>1046.8230000000001</v>
      </c>
      <c r="D13812" s="2">
        <f>HYPERLINK("http://mcb-m6.bioreg.kyushu-u.ac.jp/M3/20110427/F51116/3174/1", 153.29)</f>
        <v>153.29</v>
      </c>
      <c r="E13812" s="2">
        <v>143.51</v>
      </c>
      <c r="F13812" s="2">
        <v>2</v>
      </c>
      <c r="G13812" s="2" t="s">
        <v>13</v>
      </c>
    </row>
    <row r="13813" spans="1:9" x14ac:dyDescent="0.2">
      <c r="A13813" s="2" t="s">
        <v>7526</v>
      </c>
      <c r="B13813" s="2" t="s">
        <v>6210</v>
      </c>
      <c r="C13813" s="2">
        <v>636.71370000000002</v>
      </c>
      <c r="D13813" s="2">
        <f>HYPERLINK("http://mcb-m6.bioreg.kyushu-u.ac.jp/M3/20110427/F51124/1588/1", 42.84)</f>
        <v>42.84</v>
      </c>
      <c r="E13813" s="2">
        <v>14.56</v>
      </c>
      <c r="F13813" s="2">
        <v>2</v>
      </c>
      <c r="G13813" s="2" t="s">
        <v>14</v>
      </c>
    </row>
    <row r="13814" spans="1:9" x14ac:dyDescent="0.2">
      <c r="A13814" s="2" t="s">
        <v>7526</v>
      </c>
      <c r="B13814" s="2" t="s">
        <v>6126</v>
      </c>
      <c r="C13814" s="2">
        <v>480.30959999999999</v>
      </c>
      <c r="D13814" s="2">
        <f>HYPERLINK("http://mcb-m6.bioreg.kyushu-u.ac.jp/M3/20110428/F51129/886/1", 44.04)</f>
        <v>44.04</v>
      </c>
      <c r="E13814" s="2">
        <v>10.56</v>
      </c>
      <c r="F13814" s="2">
        <v>2</v>
      </c>
      <c r="G13814" s="2" t="s">
        <v>14</v>
      </c>
    </row>
    <row r="13815" spans="1:9" x14ac:dyDescent="0.2">
      <c r="A13815" s="2" t="s">
        <v>7526</v>
      </c>
      <c r="B13815" s="2" t="s">
        <v>6126</v>
      </c>
      <c r="C13815" s="2">
        <v>479.77809999999999</v>
      </c>
      <c r="D13815" s="2">
        <f>HYPERLINK("http://mcb-m6.bioreg.kyushu-u.ac.jp/M3/20110427/F51123/961/1", 44.34)</f>
        <v>44.34</v>
      </c>
      <c r="E13815" s="2">
        <v>14.11</v>
      </c>
      <c r="F13815" s="2">
        <v>2</v>
      </c>
      <c r="G13815" s="2" t="s">
        <v>14</v>
      </c>
    </row>
    <row r="13816" spans="1:9" x14ac:dyDescent="0.2">
      <c r="A13816" s="2" t="s">
        <v>7526</v>
      </c>
      <c r="B13816" s="2" t="s">
        <v>6164</v>
      </c>
      <c r="C13816" s="2">
        <v>568.07709999999997</v>
      </c>
      <c r="D13816" s="2">
        <f>HYPERLINK("http://mcb-m6.bioreg.kyushu-u.ac.jp/M3/20110427/F51124/1340/1", 46.69)</f>
        <v>46.69</v>
      </c>
      <c r="E13816" s="2">
        <v>17.600000000000001</v>
      </c>
      <c r="F13816" s="2">
        <v>2</v>
      </c>
      <c r="G13816" s="2" t="s">
        <v>14</v>
      </c>
    </row>
    <row r="13817" spans="1:9" x14ac:dyDescent="0.2">
      <c r="A13817" s="2" t="s">
        <v>7526</v>
      </c>
      <c r="B13817" s="2" t="s">
        <v>6982</v>
      </c>
      <c r="C13817" s="2">
        <v>520.64369999999997</v>
      </c>
      <c r="D13817" s="2">
        <f>HYPERLINK("http://mcb-m6.bioreg.kyushu-u.ac.jp/M3/20110427/F51125/1229/1", 48.54)</f>
        <v>48.54</v>
      </c>
      <c r="E13817" s="2">
        <v>21.81</v>
      </c>
      <c r="F13817" s="2">
        <v>2</v>
      </c>
      <c r="G13817" s="2" t="s">
        <v>14</v>
      </c>
      <c r="I13817" s="2" t="s">
        <v>4943</v>
      </c>
    </row>
    <row r="13818" spans="1:9" x14ac:dyDescent="0.2">
      <c r="A13818" s="2" t="s">
        <v>7526</v>
      </c>
      <c r="B13818" s="2" t="s">
        <v>5939</v>
      </c>
      <c r="C13818" s="2">
        <v>557.09670000000006</v>
      </c>
      <c r="D13818" s="2">
        <f>HYPERLINK("http://mcb-m6.bioreg.kyushu-u.ac.jp/M3/20110427/F51125/1403/1", 48.92)</f>
        <v>48.92</v>
      </c>
      <c r="E13818" s="2">
        <v>16.23</v>
      </c>
      <c r="F13818" s="2">
        <v>2</v>
      </c>
      <c r="G13818" s="2" t="s">
        <v>14</v>
      </c>
    </row>
    <row r="13819" spans="1:9" x14ac:dyDescent="0.2">
      <c r="A13819" s="2" t="s">
        <v>7526</v>
      </c>
      <c r="B13819" s="2" t="s">
        <v>6309</v>
      </c>
      <c r="C13819" s="2">
        <v>668.73609999999996</v>
      </c>
      <c r="D13819" s="2">
        <f>HYPERLINK("http://mcb-m6.bioreg.kyushu-u.ac.jp/M3/20110427/F51125/1781/1", 49.96)</f>
        <v>49.96</v>
      </c>
      <c r="E13819" s="2">
        <v>24.61</v>
      </c>
      <c r="F13819" s="2">
        <v>2</v>
      </c>
      <c r="G13819" s="2" t="s">
        <v>14</v>
      </c>
    </row>
    <row r="13820" spans="1:9" x14ac:dyDescent="0.2">
      <c r="A13820" s="2" t="s">
        <v>7526</v>
      </c>
      <c r="B13820" s="2" t="s">
        <v>6058</v>
      </c>
      <c r="C13820" s="2">
        <v>630.62959999999998</v>
      </c>
      <c r="D13820" s="2">
        <f>HYPERLINK("http://mcb-m6.bioreg.kyushu-u.ac.jp/M3/20110428/F51128/1470/1", 52.66)</f>
        <v>52.66</v>
      </c>
      <c r="E13820" s="2">
        <v>34.53</v>
      </c>
      <c r="F13820" s="2">
        <v>2</v>
      </c>
      <c r="G13820" s="2" t="s">
        <v>14</v>
      </c>
    </row>
    <row r="13821" spans="1:9" x14ac:dyDescent="0.2">
      <c r="A13821" s="2" t="s">
        <v>7526</v>
      </c>
      <c r="B13821" s="2" t="s">
        <v>6131</v>
      </c>
      <c r="C13821" s="2">
        <v>696.95069999999998</v>
      </c>
      <c r="D13821" s="2">
        <f>HYPERLINK("http://mcb-m6.bioreg.kyushu-u.ac.jp/M3/20110428/F51130/1863/1", 52.84)</f>
        <v>52.84</v>
      </c>
      <c r="E13821" s="2">
        <v>36.22</v>
      </c>
      <c r="F13821" s="2">
        <v>2</v>
      </c>
      <c r="G13821" s="2" t="s">
        <v>14</v>
      </c>
    </row>
    <row r="13822" spans="1:9" x14ac:dyDescent="0.2">
      <c r="A13822" s="2" t="s">
        <v>7526</v>
      </c>
      <c r="B13822" s="2" t="s">
        <v>6594</v>
      </c>
      <c r="C13822" s="2">
        <v>717.14570000000003</v>
      </c>
      <c r="D13822" s="2">
        <f>HYPERLINK("http://mcb-m6.bioreg.kyushu-u.ac.jp/M3/20110428/F51126/1969/1", 54.24)</f>
        <v>54.24</v>
      </c>
      <c r="E13822" s="2">
        <v>25.75</v>
      </c>
      <c r="F13822" s="2">
        <v>2</v>
      </c>
      <c r="G13822" s="2" t="s">
        <v>14</v>
      </c>
    </row>
    <row r="13823" spans="1:9" x14ac:dyDescent="0.2">
      <c r="A13823" s="2" t="s">
        <v>7526</v>
      </c>
      <c r="B13823" s="2" t="s">
        <v>6254</v>
      </c>
      <c r="C13823" s="2">
        <v>644.73860000000002</v>
      </c>
      <c r="D13823" s="2">
        <f>HYPERLINK("http://mcb-m6.bioreg.kyushu-u.ac.jp/M3/20110427/F51125/1713/1", 55.24)</f>
        <v>55.24</v>
      </c>
      <c r="E13823" s="2">
        <v>31.24</v>
      </c>
      <c r="F13823" s="2">
        <v>2</v>
      </c>
      <c r="G13823" s="2" t="s">
        <v>14</v>
      </c>
    </row>
    <row r="13824" spans="1:9" x14ac:dyDescent="0.2">
      <c r="A13824" s="2" t="s">
        <v>7526</v>
      </c>
      <c r="B13824" s="2" t="s">
        <v>6058</v>
      </c>
      <c r="C13824" s="2">
        <v>631.11109999999996</v>
      </c>
      <c r="D13824" s="2">
        <f>HYPERLINK("http://mcb-m6.bioreg.kyushu-u.ac.jp/M3/20110428/F51126/1660/1", 57.23)</f>
        <v>57.23</v>
      </c>
      <c r="E13824" s="2">
        <v>27.2</v>
      </c>
      <c r="F13824" s="2">
        <v>2</v>
      </c>
      <c r="G13824" s="2" t="s">
        <v>14</v>
      </c>
    </row>
    <row r="13825" spans="1:7" x14ac:dyDescent="0.2">
      <c r="A13825" s="2" t="s">
        <v>7526</v>
      </c>
      <c r="B13825" s="2" t="s">
        <v>6304</v>
      </c>
      <c r="C13825" s="2">
        <v>702.12620000000004</v>
      </c>
      <c r="D13825" s="2">
        <f>HYPERLINK("http://mcb-m6.bioreg.kyushu-u.ac.jp/M3/20110427/F51125/1913/1", 59.52)</f>
        <v>59.52</v>
      </c>
      <c r="E13825" s="2">
        <v>29.87</v>
      </c>
      <c r="F13825" s="2">
        <v>2</v>
      </c>
      <c r="G13825" s="2" t="s">
        <v>14</v>
      </c>
    </row>
    <row r="13826" spans="1:7" x14ac:dyDescent="0.2">
      <c r="A13826" s="2" t="s">
        <v>7526</v>
      </c>
      <c r="B13826" s="2" t="s">
        <v>6058</v>
      </c>
      <c r="C13826" s="2">
        <v>630.69069999999999</v>
      </c>
      <c r="D13826" s="2">
        <f>HYPERLINK("http://mcb-m6.bioreg.kyushu-u.ac.jp/M3/20110428/F51129/1520/1", 65.08)</f>
        <v>65.08</v>
      </c>
      <c r="E13826" s="2">
        <v>39.619999999999997</v>
      </c>
      <c r="F13826" s="2">
        <v>2</v>
      </c>
      <c r="G13826" s="2" t="s">
        <v>14</v>
      </c>
    </row>
    <row r="13827" spans="1:7" x14ac:dyDescent="0.2">
      <c r="A13827" s="2" t="s">
        <v>7526</v>
      </c>
      <c r="B13827" s="2" t="s">
        <v>6058</v>
      </c>
      <c r="C13827" s="2">
        <v>630.6472</v>
      </c>
      <c r="D13827" s="2">
        <f>HYPERLINK("http://mcb-m6.bioreg.kyushu-u.ac.jp/M3/20110427/F51124/1576/1", 65.86)</f>
        <v>65.86</v>
      </c>
      <c r="E13827" s="2">
        <v>41.47</v>
      </c>
      <c r="F13827" s="2">
        <v>2</v>
      </c>
      <c r="G13827" s="2" t="s">
        <v>14</v>
      </c>
    </row>
    <row r="13828" spans="1:7" x14ac:dyDescent="0.2">
      <c r="A13828" s="2" t="s">
        <v>7526</v>
      </c>
      <c r="B13828" s="2" t="s">
        <v>6316</v>
      </c>
      <c r="C13828" s="2">
        <v>548.57820000000004</v>
      </c>
      <c r="D13828" s="2">
        <f>HYPERLINK("http://mcb-m6.bioreg.kyushu-u.ac.jp/M3/20110428/F51126/1345/1", 67.02)</f>
        <v>67.02</v>
      </c>
      <c r="E13828" s="2">
        <v>45.33</v>
      </c>
      <c r="F13828" s="2">
        <v>2</v>
      </c>
      <c r="G13828" s="2" t="s">
        <v>14</v>
      </c>
    </row>
    <row r="13829" spans="1:7" x14ac:dyDescent="0.2">
      <c r="A13829" s="2" t="s">
        <v>7526</v>
      </c>
      <c r="B13829" s="2" t="s">
        <v>6594</v>
      </c>
      <c r="C13829" s="2">
        <v>717.14070000000004</v>
      </c>
      <c r="D13829" s="2">
        <f>HYPERLINK("http://mcb-m6.bioreg.kyushu-u.ac.jp/M3/20110427/F51124/1921/1", 68.29)</f>
        <v>68.290000000000006</v>
      </c>
      <c r="E13829" s="2">
        <v>48.86</v>
      </c>
      <c r="F13829" s="2">
        <v>2</v>
      </c>
      <c r="G13829" s="2" t="s">
        <v>14</v>
      </c>
    </row>
    <row r="13830" spans="1:7" x14ac:dyDescent="0.2">
      <c r="A13830" s="2" t="s">
        <v>7526</v>
      </c>
      <c r="B13830" s="2" t="s">
        <v>6058</v>
      </c>
      <c r="C13830" s="2">
        <v>630.59119999999996</v>
      </c>
      <c r="D13830" s="2">
        <f>HYPERLINK("http://mcb-m6.bioreg.kyushu-u.ac.jp/M3/20110428/F51130/1593/1", 68.47)</f>
        <v>68.47</v>
      </c>
      <c r="E13830" s="2">
        <v>42.21</v>
      </c>
      <c r="F13830" s="2">
        <v>2</v>
      </c>
      <c r="G13830" s="2" t="s">
        <v>14</v>
      </c>
    </row>
    <row r="13831" spans="1:7" x14ac:dyDescent="0.2">
      <c r="A13831" s="2" t="s">
        <v>7526</v>
      </c>
      <c r="B13831" s="2" t="s">
        <v>6316</v>
      </c>
      <c r="C13831" s="2">
        <v>548.67470000000003</v>
      </c>
      <c r="D13831" s="2">
        <f>HYPERLINK("http://mcb-m6.bioreg.kyushu-u.ac.jp/M3/20110427/F51124/1269/1", 68.62)</f>
        <v>68.62</v>
      </c>
      <c r="E13831" s="2">
        <v>44.39</v>
      </c>
      <c r="F13831" s="2">
        <v>2</v>
      </c>
      <c r="G13831" s="2" t="s">
        <v>14</v>
      </c>
    </row>
    <row r="13832" spans="1:7" x14ac:dyDescent="0.2">
      <c r="A13832" s="2" t="s">
        <v>7526</v>
      </c>
      <c r="B13832" s="2" t="s">
        <v>6316</v>
      </c>
      <c r="C13832" s="2">
        <v>548.56209999999999</v>
      </c>
      <c r="D13832" s="2">
        <f>HYPERLINK("http://mcb-m6.bioreg.kyushu-u.ac.jp/M3/20110427/F51125/1364/1", 73.55)</f>
        <v>73.55</v>
      </c>
      <c r="E13832" s="2">
        <v>55.59</v>
      </c>
      <c r="F13832" s="2">
        <v>2</v>
      </c>
      <c r="G13832" s="2" t="s">
        <v>14</v>
      </c>
    </row>
    <row r="13833" spans="1:7" x14ac:dyDescent="0.2">
      <c r="A13833" s="2" t="s">
        <v>7526</v>
      </c>
      <c r="B13833" s="2" t="s">
        <v>6058</v>
      </c>
      <c r="C13833" s="2">
        <v>630.64970000000005</v>
      </c>
      <c r="D13833" s="2">
        <f>HYPERLINK("http://mcb-m6.bioreg.kyushu-u.ac.jp/M3/20110427/F51125/1679/1", 75.05)</f>
        <v>75.05</v>
      </c>
      <c r="E13833" s="2">
        <v>48.64</v>
      </c>
      <c r="F13833" s="2">
        <v>2</v>
      </c>
      <c r="G13833" s="2" t="s">
        <v>14</v>
      </c>
    </row>
    <row r="13834" spans="1:7" x14ac:dyDescent="0.2">
      <c r="A13834" s="2" t="s">
        <v>7526</v>
      </c>
      <c r="B13834" s="2" t="s">
        <v>6131</v>
      </c>
      <c r="C13834" s="2">
        <v>697.0942</v>
      </c>
      <c r="D13834" s="2">
        <f>HYPERLINK("http://mcb-m6.bioreg.kyushu-u.ac.jp/M3/20110427/F51124/1830/1", 80)</f>
        <v>80</v>
      </c>
      <c r="E13834" s="2">
        <v>62.04</v>
      </c>
      <c r="F13834" s="2">
        <v>2</v>
      </c>
      <c r="G13834" s="2" t="s">
        <v>14</v>
      </c>
    </row>
    <row r="13835" spans="1:7" x14ac:dyDescent="0.2">
      <c r="A13835" s="2" t="s">
        <v>7526</v>
      </c>
      <c r="B13835" s="2" t="s">
        <v>6131</v>
      </c>
      <c r="C13835" s="2">
        <v>696.60860000000002</v>
      </c>
      <c r="D13835" s="2">
        <f>HYPERLINK("http://mcb-m6.bioreg.kyushu-u.ac.jp/M3/20110428/F51126/1889/1", 80.41)</f>
        <v>80.41</v>
      </c>
      <c r="E13835" s="2">
        <v>59.97</v>
      </c>
      <c r="F13835" s="2">
        <v>2</v>
      </c>
      <c r="G13835" s="2" t="s">
        <v>14</v>
      </c>
    </row>
    <row r="13836" spans="1:7" x14ac:dyDescent="0.2">
      <c r="A13836" s="2" t="s">
        <v>7526</v>
      </c>
      <c r="B13836" s="2" t="s">
        <v>6131</v>
      </c>
      <c r="C13836" s="2">
        <v>696.57569999999998</v>
      </c>
      <c r="D13836" s="2">
        <f>HYPERLINK("http://mcb-m6.bioreg.kyushu-u.ac.jp/M3/20110427/F51124/1828/1", 85.25)</f>
        <v>85.25</v>
      </c>
      <c r="E13836" s="2">
        <v>68.08</v>
      </c>
      <c r="F13836" s="2">
        <v>2</v>
      </c>
      <c r="G13836" s="2" t="s">
        <v>14</v>
      </c>
    </row>
    <row r="13837" spans="1:7" x14ac:dyDescent="0.2">
      <c r="A13837" s="2" t="s">
        <v>7526</v>
      </c>
      <c r="B13837" s="2" t="s">
        <v>6131</v>
      </c>
      <c r="C13837" s="2">
        <v>696.58619999999996</v>
      </c>
      <c r="D13837" s="2">
        <f>HYPERLINK("http://mcb-m6.bioreg.kyushu-u.ac.jp/M3/20110427/F51125/1891/1", 89.22)</f>
        <v>89.22</v>
      </c>
      <c r="E13837" s="2">
        <v>72.14</v>
      </c>
      <c r="F13837" s="2">
        <v>2</v>
      </c>
      <c r="G13837" s="2" t="s">
        <v>14</v>
      </c>
    </row>
    <row r="13838" spans="1:7" x14ac:dyDescent="0.2">
      <c r="A13838" s="2" t="s">
        <v>7526</v>
      </c>
      <c r="B13838" s="2" t="s">
        <v>6654</v>
      </c>
      <c r="C13838" s="2">
        <v>896.78859999999997</v>
      </c>
      <c r="D13838" s="2">
        <f>HYPERLINK("http://mcb-m6.bioreg.kyushu-u.ac.jp/M3/20110427/F51125/2731/1", 94.19)</f>
        <v>94.19</v>
      </c>
      <c r="E13838" s="2">
        <v>73.27</v>
      </c>
      <c r="F13838" s="2">
        <v>2</v>
      </c>
      <c r="G13838" s="2" t="s">
        <v>14</v>
      </c>
    </row>
    <row r="13839" spans="1:7" x14ac:dyDescent="0.2">
      <c r="A13839" s="2" t="s">
        <v>7526</v>
      </c>
      <c r="B13839" s="2" t="s">
        <v>6131</v>
      </c>
      <c r="C13839" s="2">
        <v>697.18370000000004</v>
      </c>
      <c r="D13839" s="2">
        <f>HYPERLINK("http://mcb-m6.bioreg.kyushu-u.ac.jp/M3/20110428/F51126/1890/1", 95.24)</f>
        <v>95.24</v>
      </c>
      <c r="E13839" s="2">
        <v>76.19</v>
      </c>
      <c r="F13839" s="2">
        <v>2</v>
      </c>
      <c r="G13839" s="2" t="s">
        <v>14</v>
      </c>
    </row>
    <row r="13840" spans="1:7" x14ac:dyDescent="0.2">
      <c r="A13840" s="2" t="s">
        <v>7526</v>
      </c>
      <c r="B13840" s="2" t="s">
        <v>6594</v>
      </c>
      <c r="C13840" s="2">
        <v>717.04909999999995</v>
      </c>
      <c r="D13840" s="2">
        <f>HYPERLINK("http://mcb-m6.bioreg.kyushu-u.ac.jp/M3/20110427/F51125/1976/1", 96.49)</f>
        <v>96.49</v>
      </c>
      <c r="E13840" s="2">
        <v>72.19</v>
      </c>
      <c r="F13840" s="2">
        <v>2</v>
      </c>
      <c r="G13840" s="2" t="s">
        <v>14</v>
      </c>
    </row>
    <row r="13841" spans="1:9" x14ac:dyDescent="0.2">
      <c r="A13841" s="2" t="s">
        <v>7526</v>
      </c>
      <c r="B13841" s="2" t="s">
        <v>5922</v>
      </c>
      <c r="C13841" s="2">
        <v>848.57169999999996</v>
      </c>
      <c r="D13841" s="2">
        <f>HYPERLINK("http://mcb-m6.bioreg.kyushu-u.ac.jp/M3/20110428/F51126/2538/1", 100.26)</f>
        <v>100.26</v>
      </c>
      <c r="E13841" s="2">
        <v>68.89</v>
      </c>
      <c r="F13841" s="2">
        <v>2</v>
      </c>
      <c r="G13841" s="2" t="s">
        <v>14</v>
      </c>
      <c r="I13841" s="2" t="s">
        <v>4926</v>
      </c>
    </row>
    <row r="13842" spans="1:9" x14ac:dyDescent="0.2">
      <c r="A13842" s="2" t="s">
        <v>7526</v>
      </c>
      <c r="B13842" s="2" t="s">
        <v>6654</v>
      </c>
      <c r="C13842" s="2">
        <v>896.76170000000002</v>
      </c>
      <c r="D13842" s="2">
        <f>HYPERLINK("http://mcb-m6.bioreg.kyushu-u.ac.jp/M3/20110428/F51126/2720/1", 104.7)</f>
        <v>104.7</v>
      </c>
      <c r="E13842" s="2">
        <v>79.66</v>
      </c>
      <c r="F13842" s="2">
        <v>2</v>
      </c>
      <c r="G13842" s="2" t="s">
        <v>14</v>
      </c>
    </row>
    <row r="13843" spans="1:9" x14ac:dyDescent="0.2">
      <c r="A13843" s="2" t="s">
        <v>7526</v>
      </c>
      <c r="B13843" s="2" t="s">
        <v>5922</v>
      </c>
      <c r="C13843" s="2">
        <v>848.7097</v>
      </c>
      <c r="D13843" s="2">
        <f>HYPERLINK("http://mcb-m6.bioreg.kyushu-u.ac.jp/M3/20110428/F51130/2566/1", 110.73)</f>
        <v>110.73</v>
      </c>
      <c r="E13843" s="2">
        <v>87.16</v>
      </c>
      <c r="F13843" s="2">
        <v>2</v>
      </c>
      <c r="G13843" s="2" t="s">
        <v>14</v>
      </c>
      <c r="I13843" s="2" t="s">
        <v>4926</v>
      </c>
    </row>
    <row r="13844" spans="1:9" x14ac:dyDescent="0.2">
      <c r="A13844" s="2" t="s">
        <v>7526</v>
      </c>
      <c r="B13844" s="2" t="s">
        <v>5922</v>
      </c>
      <c r="C13844" s="2">
        <v>848.71770000000004</v>
      </c>
      <c r="D13844" s="2">
        <f>HYPERLINK("http://mcb-m6.bioreg.kyushu-u.ac.jp/M3/20110428/F51129/2563/1", 114.88)</f>
        <v>114.88</v>
      </c>
      <c r="E13844" s="2">
        <v>90.97</v>
      </c>
      <c r="F13844" s="2">
        <v>2</v>
      </c>
      <c r="G13844" s="2" t="s">
        <v>14</v>
      </c>
      <c r="I13844" s="2" t="s">
        <v>4926</v>
      </c>
    </row>
    <row r="13845" spans="1:9" x14ac:dyDescent="0.2">
      <c r="A13845" s="2" t="s">
        <v>7526</v>
      </c>
      <c r="B13845" s="2" t="s">
        <v>5922</v>
      </c>
      <c r="C13845" s="2">
        <v>848.59469999999999</v>
      </c>
      <c r="D13845" s="2">
        <f>HYPERLINK("http://mcb-m6.bioreg.kyushu-u.ac.jp/M3/20110427/F51124/2487/1", 120.39)</f>
        <v>120.39</v>
      </c>
      <c r="E13845" s="2">
        <v>88.72</v>
      </c>
      <c r="F13845" s="2">
        <v>2</v>
      </c>
      <c r="G13845" s="2" t="s">
        <v>14</v>
      </c>
      <c r="I13845" s="2" t="s">
        <v>4926</v>
      </c>
    </row>
    <row r="13846" spans="1:9" x14ac:dyDescent="0.2">
      <c r="A13846" s="2" t="s">
        <v>7526</v>
      </c>
      <c r="B13846" s="2" t="s">
        <v>5922</v>
      </c>
      <c r="C13846" s="2">
        <v>849.16420000000005</v>
      </c>
      <c r="D13846" s="2">
        <f>HYPERLINK("http://mcb-m6.bioreg.kyushu-u.ac.jp/M3/20110428/F51126/2543/1", 120.62)</f>
        <v>120.62</v>
      </c>
      <c r="E13846" s="2">
        <v>100.63</v>
      </c>
      <c r="F13846" s="2">
        <v>2</v>
      </c>
      <c r="G13846" s="2" t="s">
        <v>14</v>
      </c>
      <c r="I13846" s="2" t="s">
        <v>4926</v>
      </c>
    </row>
    <row r="13847" spans="1:9" x14ac:dyDescent="0.2">
      <c r="A13847" s="2" t="s">
        <v>7556</v>
      </c>
      <c r="B13847" s="2" t="s">
        <v>5978</v>
      </c>
      <c r="C13847" s="2">
        <v>840.36919999999998</v>
      </c>
      <c r="D13847" s="2">
        <f>HYPERLINK("http://mcb-m6.bioreg.kyushu-u.ac.jp/M3/20110404/F50766/4096/1", 37.5)</f>
        <v>37.5</v>
      </c>
      <c r="E13847" s="2">
        <v>25.22</v>
      </c>
      <c r="F13847" s="2">
        <v>3</v>
      </c>
      <c r="G13847" s="2" t="s">
        <v>9</v>
      </c>
    </row>
    <row r="13848" spans="1:9" x14ac:dyDescent="0.2">
      <c r="A13848" s="2" t="s">
        <v>7556</v>
      </c>
      <c r="B13848" s="2" t="s">
        <v>6088</v>
      </c>
      <c r="C13848" s="2">
        <v>469.14010000000002</v>
      </c>
      <c r="D13848" s="2">
        <f>HYPERLINK("http://mcb-m6.bioreg.kyushu-u.ac.jp/M3/20110404/F50765/826/1", 41.76)</f>
        <v>41.76</v>
      </c>
      <c r="E13848" s="2">
        <v>19.21</v>
      </c>
      <c r="F13848" s="2">
        <v>2</v>
      </c>
      <c r="G13848" s="2" t="s">
        <v>9</v>
      </c>
    </row>
    <row r="13849" spans="1:9" x14ac:dyDescent="0.2">
      <c r="A13849" s="2" t="s">
        <v>7556</v>
      </c>
      <c r="B13849" s="2" t="s">
        <v>5978</v>
      </c>
      <c r="C13849" s="2">
        <v>839.82989999999995</v>
      </c>
      <c r="D13849" s="2">
        <f>HYPERLINK("http://mcb-m6.bioreg.kyushu-u.ac.jp/M3/20110404/F50766/4092/1", 56.93)</f>
        <v>56.93</v>
      </c>
      <c r="E13849" s="2">
        <v>41.03</v>
      </c>
      <c r="F13849" s="2">
        <v>3</v>
      </c>
      <c r="G13849" s="2" t="s">
        <v>9</v>
      </c>
    </row>
    <row r="13850" spans="1:9" x14ac:dyDescent="0.2">
      <c r="A13850" s="2" t="s">
        <v>7556</v>
      </c>
      <c r="B13850" s="2" t="s">
        <v>6750</v>
      </c>
      <c r="C13850" s="2">
        <v>603.72720000000004</v>
      </c>
      <c r="D13850" s="2">
        <f>HYPERLINK("http://mcb-m6.bioreg.kyushu-u.ac.jp/M3/20110404/F50771/1338/1", 40.19)</f>
        <v>40.19</v>
      </c>
      <c r="E13850" s="2">
        <v>19.579999999999998</v>
      </c>
      <c r="F13850" s="2">
        <v>2</v>
      </c>
      <c r="G13850" s="2" t="s">
        <v>10</v>
      </c>
    </row>
    <row r="13851" spans="1:9" x14ac:dyDescent="0.2">
      <c r="A13851" s="2" t="s">
        <v>7556</v>
      </c>
      <c r="B13851" s="2" t="s">
        <v>6766</v>
      </c>
      <c r="C13851" s="2">
        <v>489.12810000000002</v>
      </c>
      <c r="D13851" s="2">
        <f>HYPERLINK("http://mcb-m6.bioreg.kyushu-u.ac.jp/M3/20110404/F50771/999/1", 40.99)</f>
        <v>40.99</v>
      </c>
      <c r="E13851" s="2">
        <v>9.86</v>
      </c>
      <c r="F13851" s="2">
        <v>2</v>
      </c>
      <c r="G13851" s="2" t="s">
        <v>10</v>
      </c>
    </row>
    <row r="13852" spans="1:9" x14ac:dyDescent="0.2">
      <c r="A13852" s="2" t="s">
        <v>7556</v>
      </c>
      <c r="B13852" s="2" t="s">
        <v>6088</v>
      </c>
      <c r="C13852" s="2">
        <v>469.1046</v>
      </c>
      <c r="D13852" s="2">
        <f>HYPERLINK("http://mcb-m6.bioreg.kyushu-u.ac.jp/M3/20110404/F50771/934/1", 43.3)</f>
        <v>43.3</v>
      </c>
      <c r="E13852" s="2">
        <v>21.34</v>
      </c>
      <c r="F13852" s="2">
        <v>2</v>
      </c>
      <c r="G13852" s="2" t="s">
        <v>10</v>
      </c>
    </row>
    <row r="13853" spans="1:9" x14ac:dyDescent="0.2">
      <c r="A13853" s="2" t="s">
        <v>7556</v>
      </c>
      <c r="B13853" s="2" t="s">
        <v>6766</v>
      </c>
      <c r="C13853" s="2">
        <v>976.26400000000001</v>
      </c>
      <c r="D13853" s="2">
        <f>HYPERLINK("http://mcb-m6.bioreg.kyushu-u.ac.jp/M3/20110404/F50771/994/1", 45.71)</f>
        <v>45.71</v>
      </c>
      <c r="E13853" s="2">
        <v>14.37</v>
      </c>
      <c r="F13853" s="2">
        <v>1</v>
      </c>
      <c r="G13853" s="2" t="s">
        <v>10</v>
      </c>
    </row>
    <row r="13854" spans="1:9" x14ac:dyDescent="0.2">
      <c r="A13854" s="2" t="s">
        <v>7556</v>
      </c>
      <c r="B13854" s="2" t="s">
        <v>6088</v>
      </c>
      <c r="C13854" s="2">
        <v>477.74160000000001</v>
      </c>
      <c r="D13854" s="2">
        <f>HYPERLINK("http://mcb-m6.bioreg.kyushu-u.ac.jp/M3/20110404/F50771/961/1", 45.74)</f>
        <v>45.74</v>
      </c>
      <c r="E13854" s="2">
        <v>22.85</v>
      </c>
      <c r="F13854" s="2">
        <v>2</v>
      </c>
      <c r="G13854" s="2" t="s">
        <v>10</v>
      </c>
      <c r="H13854" s="2" t="s">
        <v>4920</v>
      </c>
    </row>
    <row r="13855" spans="1:9" x14ac:dyDescent="0.2">
      <c r="A13855" s="2" t="s">
        <v>7556</v>
      </c>
      <c r="B13855" s="2" t="s">
        <v>6766</v>
      </c>
      <c r="C13855" s="2">
        <v>976.62599999999998</v>
      </c>
      <c r="D13855" s="2">
        <f>HYPERLINK("http://mcb-m6.bioreg.kyushu-u.ac.jp/M3/20110404/F50772/985/1", 54.3)</f>
        <v>54.3</v>
      </c>
      <c r="E13855" s="2">
        <v>23.04</v>
      </c>
      <c r="F13855" s="2">
        <v>1</v>
      </c>
      <c r="G13855" s="2" t="s">
        <v>10</v>
      </c>
    </row>
    <row r="13856" spans="1:9" x14ac:dyDescent="0.2">
      <c r="A13856" s="2" t="s">
        <v>7556</v>
      </c>
      <c r="B13856" s="2" t="s">
        <v>5978</v>
      </c>
      <c r="C13856" s="2">
        <v>839.87080000000003</v>
      </c>
      <c r="D13856" s="2">
        <f>HYPERLINK("http://mcb-m6.bioreg.kyushu-u.ac.jp/M3/20110404/F50771/3422/1", 67.89)</f>
        <v>67.89</v>
      </c>
      <c r="E13856" s="2">
        <v>50.64</v>
      </c>
      <c r="F13856" s="2">
        <v>3</v>
      </c>
      <c r="G13856" s="2" t="s">
        <v>10</v>
      </c>
    </row>
    <row r="13857" spans="1:9" x14ac:dyDescent="0.2">
      <c r="A13857" s="2" t="s">
        <v>7556</v>
      </c>
      <c r="B13857" s="2" t="s">
        <v>5978</v>
      </c>
      <c r="C13857" s="2">
        <v>1267.414</v>
      </c>
      <c r="D13857" s="2">
        <f>HYPERLINK("http://mcb-m6.bioreg.kyushu-u.ac.jp/M3/20110404/F50771/3434/1", 94.73)</f>
        <v>94.73</v>
      </c>
      <c r="E13857" s="2">
        <v>80.75</v>
      </c>
      <c r="F13857" s="2">
        <v>2</v>
      </c>
      <c r="G13857" s="2" t="s">
        <v>10</v>
      </c>
      <c r="H13857" s="2" t="s">
        <v>4971</v>
      </c>
    </row>
    <row r="13858" spans="1:9" x14ac:dyDescent="0.2">
      <c r="A13858" s="2" t="s">
        <v>7556</v>
      </c>
      <c r="B13858" s="2" t="s">
        <v>5978</v>
      </c>
      <c r="C13858" s="2">
        <v>1259.4739999999999</v>
      </c>
      <c r="D13858" s="2">
        <f>HYPERLINK("http://mcb-m6.bioreg.kyushu-u.ac.jp/M3/20110404/F50772/3376/1", 102.75)</f>
        <v>102.75</v>
      </c>
      <c r="E13858" s="2">
        <v>91.96</v>
      </c>
      <c r="F13858" s="2">
        <v>2</v>
      </c>
      <c r="G13858" s="2" t="s">
        <v>10</v>
      </c>
    </row>
    <row r="13859" spans="1:9" x14ac:dyDescent="0.2">
      <c r="A13859" s="2" t="s">
        <v>7556</v>
      </c>
      <c r="B13859" s="2" t="s">
        <v>7058</v>
      </c>
      <c r="C13859" s="2">
        <v>1146.4100000000001</v>
      </c>
      <c r="D13859" s="2">
        <f>HYPERLINK("http://mcb-m6.bioreg.kyushu-u.ac.jp/M3/20110404/F50771/3215/1", 119.67)</f>
        <v>119.67</v>
      </c>
      <c r="E13859" s="2">
        <v>109.02</v>
      </c>
      <c r="F13859" s="2">
        <v>2</v>
      </c>
      <c r="G13859" s="2" t="s">
        <v>10</v>
      </c>
    </row>
    <row r="13860" spans="1:9" x14ac:dyDescent="0.2">
      <c r="A13860" s="2" t="s">
        <v>4339</v>
      </c>
      <c r="B13860" s="2" t="s">
        <v>2154</v>
      </c>
      <c r="C13860" s="2">
        <v>744.32320000000004</v>
      </c>
      <c r="D13860" s="2">
        <f>HYPERLINK("http://mcb-m6.bioreg.kyushu-u.ac.jp/M3/20110427/F51116/2066/1", 48.94)</f>
        <v>48.94</v>
      </c>
      <c r="E13860" s="2">
        <v>33.92</v>
      </c>
      <c r="F13860" s="2">
        <v>2</v>
      </c>
      <c r="G13860" s="2" t="s">
        <v>13</v>
      </c>
    </row>
    <row r="13861" spans="1:9" x14ac:dyDescent="0.2">
      <c r="A13861" s="2" t="s">
        <v>4339</v>
      </c>
      <c r="B13861" s="2" t="s">
        <v>2719</v>
      </c>
      <c r="C13861" s="2">
        <v>763.15560000000005</v>
      </c>
      <c r="D13861" s="2">
        <f>HYPERLINK("http://mcb-m6.bioreg.kyushu-u.ac.jp/M3/20110427/F51116/2164/1", 54.59)</f>
        <v>54.59</v>
      </c>
      <c r="E13861" s="2">
        <v>38.340000000000003</v>
      </c>
      <c r="F13861" s="2">
        <v>2</v>
      </c>
      <c r="G13861" s="2" t="s">
        <v>13</v>
      </c>
    </row>
    <row r="13862" spans="1:9" x14ac:dyDescent="0.2">
      <c r="A13862" s="2" t="s">
        <v>4339</v>
      </c>
      <c r="B13862" s="2" t="s">
        <v>2154</v>
      </c>
      <c r="C13862" s="2">
        <v>744.18910000000005</v>
      </c>
      <c r="D13862" s="2">
        <f>HYPERLINK("http://mcb-m6.bioreg.kyushu-u.ac.jp/M3/20110427/F51124/2030/1", 40)</f>
        <v>40</v>
      </c>
      <c r="E13862" s="2">
        <v>27.06</v>
      </c>
      <c r="F13862" s="2">
        <v>2</v>
      </c>
      <c r="G13862" s="2" t="s">
        <v>14</v>
      </c>
    </row>
    <row r="13863" spans="1:9" x14ac:dyDescent="0.2">
      <c r="A13863" s="2" t="s">
        <v>8047</v>
      </c>
      <c r="B13863" s="2" t="s">
        <v>7331</v>
      </c>
      <c r="C13863" s="2">
        <v>794.44119999999998</v>
      </c>
      <c r="D13863" s="2">
        <f>HYPERLINK("http://mcb-m6.bioreg.kyushu-u.ac.jp/M3/20110428/F51131/2127/1", 42.2)</f>
        <v>42.2</v>
      </c>
      <c r="E13863" s="2">
        <v>25.33</v>
      </c>
      <c r="F13863" s="2">
        <v>2</v>
      </c>
      <c r="G13863" s="2" t="s">
        <v>13</v>
      </c>
      <c r="H13863" s="2" t="s">
        <v>4900</v>
      </c>
    </row>
    <row r="13864" spans="1:9" x14ac:dyDescent="0.2">
      <c r="A13864" s="2" t="s">
        <v>4511</v>
      </c>
      <c r="B13864" s="2" t="s">
        <v>2520</v>
      </c>
      <c r="C13864" s="2">
        <v>582.77070000000003</v>
      </c>
      <c r="D13864" s="2">
        <f>HYPERLINK("http://mcb-m6.bioreg.kyushu-u.ac.jp/M3/20110404/F50755/1303/1", 37.85)</f>
        <v>37.85</v>
      </c>
      <c r="E13864" s="2">
        <v>14.39</v>
      </c>
      <c r="F13864" s="2">
        <v>2</v>
      </c>
      <c r="G13864" s="2" t="s">
        <v>9</v>
      </c>
    </row>
    <row r="13865" spans="1:9" x14ac:dyDescent="0.2">
      <c r="A13865" s="2" t="s">
        <v>4322</v>
      </c>
      <c r="B13865" s="2" t="s">
        <v>2094</v>
      </c>
      <c r="C13865" s="2">
        <v>1321.306</v>
      </c>
      <c r="D13865" s="2">
        <f>HYPERLINK("http://mcb-m6.bioreg.kyushu-u.ac.jp/M3/20110404/F50753/1694/1", 46.44)</f>
        <v>46.44</v>
      </c>
      <c r="E13865" s="2">
        <v>24.49</v>
      </c>
      <c r="F13865" s="2">
        <v>1</v>
      </c>
      <c r="G13865" s="2" t="s">
        <v>9</v>
      </c>
    </row>
    <row r="13866" spans="1:9" x14ac:dyDescent="0.2">
      <c r="A13866" s="2" t="s">
        <v>4322</v>
      </c>
      <c r="B13866" s="2" t="s">
        <v>2094</v>
      </c>
      <c r="C13866" s="2">
        <v>1320.2360000000001</v>
      </c>
      <c r="D13866" s="2">
        <f>HYPERLINK("http://mcb-m6.bioreg.kyushu-u.ac.jp/M3/20110404/F50753/1690/1", 50.54)</f>
        <v>50.54</v>
      </c>
      <c r="E13866" s="2">
        <v>22.01</v>
      </c>
      <c r="F13866" s="2">
        <v>1</v>
      </c>
      <c r="G13866" s="2" t="s">
        <v>9</v>
      </c>
    </row>
    <row r="13867" spans="1:9" x14ac:dyDescent="0.2">
      <c r="A13867" s="2" t="s">
        <v>4322</v>
      </c>
      <c r="B13867" s="2" t="s">
        <v>6664</v>
      </c>
      <c r="C13867" s="2">
        <v>1015.2569999999999</v>
      </c>
      <c r="D13867" s="2">
        <f>HYPERLINK("http://mcb-m6.bioreg.kyushu-u.ac.jp/M3/20110404/F50753/2941/1", 123.3)</f>
        <v>123.3</v>
      </c>
      <c r="E13867" s="2">
        <v>107.79</v>
      </c>
      <c r="F13867" s="2">
        <v>2</v>
      </c>
      <c r="G13867" s="2" t="s">
        <v>9</v>
      </c>
    </row>
    <row r="13868" spans="1:9" x14ac:dyDescent="0.2">
      <c r="A13868" s="2" t="s">
        <v>4322</v>
      </c>
      <c r="B13868" s="2" t="s">
        <v>6664</v>
      </c>
      <c r="C13868" s="2">
        <v>1014.742</v>
      </c>
      <c r="D13868" s="2">
        <f>HYPERLINK("http://mcb-m6.bioreg.kyushu-u.ac.jp/M3/20110404/F50753/2939/1", 137.28)</f>
        <v>137.28</v>
      </c>
      <c r="E13868" s="2">
        <v>124.42</v>
      </c>
      <c r="F13868" s="2">
        <v>2</v>
      </c>
      <c r="G13868" s="2" t="s">
        <v>9</v>
      </c>
    </row>
    <row r="13869" spans="1:9" x14ac:dyDescent="0.2">
      <c r="A13869" s="2" t="s">
        <v>4322</v>
      </c>
      <c r="B13869" s="2" t="s">
        <v>2094</v>
      </c>
      <c r="C13869" s="2">
        <v>1321.0609999999999</v>
      </c>
      <c r="D13869" s="2">
        <f>HYPERLINK("http://mcb-m6.bioreg.kyushu-u.ac.jp/M3/20110404/F50758/1611/1", 47.56)</f>
        <v>47.56</v>
      </c>
      <c r="E13869" s="2">
        <v>28.25</v>
      </c>
      <c r="F13869" s="2">
        <v>1</v>
      </c>
      <c r="G13869" s="2" t="s">
        <v>10</v>
      </c>
    </row>
    <row r="13870" spans="1:9" x14ac:dyDescent="0.2">
      <c r="A13870" s="2" t="s">
        <v>4322</v>
      </c>
      <c r="B13870" s="2" t="s">
        <v>2094</v>
      </c>
      <c r="C13870" s="2">
        <v>660.66819999999996</v>
      </c>
      <c r="D13870" s="2">
        <f>HYPERLINK("http://mcb-m6.bioreg.kyushu-u.ac.jp/M3/20110421/F51017/1583/1", 65.97)</f>
        <v>65.97</v>
      </c>
      <c r="E13870" s="2">
        <v>36.65</v>
      </c>
      <c r="F13870" s="2">
        <v>2</v>
      </c>
      <c r="G13870" s="2" t="s">
        <v>11</v>
      </c>
    </row>
    <row r="13871" spans="1:9" x14ac:dyDescent="0.2">
      <c r="A13871" s="2" t="s">
        <v>4322</v>
      </c>
      <c r="B13871" s="2" t="s">
        <v>2094</v>
      </c>
      <c r="C13871" s="2">
        <v>660.62459999999999</v>
      </c>
      <c r="D13871" s="2">
        <f>HYPERLINK("http://mcb-m6.bioreg.kyushu-u.ac.jp/M3/20110427/F51111/1743/1", 44.07)</f>
        <v>44.07</v>
      </c>
      <c r="E13871" s="2">
        <v>16.32</v>
      </c>
      <c r="F13871" s="2">
        <v>2</v>
      </c>
      <c r="G13871" s="2" t="s">
        <v>13</v>
      </c>
    </row>
    <row r="13872" spans="1:9" x14ac:dyDescent="0.2">
      <c r="A13872" s="2" t="s">
        <v>3790</v>
      </c>
      <c r="B13872" s="2" t="s">
        <v>1902</v>
      </c>
      <c r="C13872" s="2">
        <v>696.17819999999995</v>
      </c>
      <c r="D13872" s="2">
        <f>HYPERLINK("http://mcb-m6.bioreg.kyushu-u.ac.jp/M3/20110404/F50753/1832/1", 75.57)</f>
        <v>75.569999999999993</v>
      </c>
      <c r="E13872" s="2">
        <v>46.93</v>
      </c>
      <c r="F13872" s="2">
        <v>2</v>
      </c>
      <c r="G13872" s="2" t="s">
        <v>9</v>
      </c>
      <c r="I13872" s="2" t="s">
        <v>4899</v>
      </c>
    </row>
    <row r="13873" spans="1:9" x14ac:dyDescent="0.2">
      <c r="A13873" s="2" t="s">
        <v>3790</v>
      </c>
      <c r="B13873" s="2" t="s">
        <v>1560</v>
      </c>
      <c r="C13873" s="2">
        <v>766.63819999999998</v>
      </c>
      <c r="D13873" s="2">
        <f>HYPERLINK("http://mcb-m6.bioreg.kyushu-u.ac.jp/M3/20110404/F50753/2111/1", 98.63)</f>
        <v>98.63</v>
      </c>
      <c r="E13873" s="2">
        <v>76.62</v>
      </c>
      <c r="F13873" s="2">
        <v>2</v>
      </c>
      <c r="G13873" s="2" t="s">
        <v>9</v>
      </c>
    </row>
    <row r="13874" spans="1:9" x14ac:dyDescent="0.2">
      <c r="A13874" s="2" t="s">
        <v>3790</v>
      </c>
      <c r="B13874" s="2" t="s">
        <v>1902</v>
      </c>
      <c r="C13874" s="2">
        <v>696.65869999999995</v>
      </c>
      <c r="D13874" s="2">
        <f>HYPERLINK("http://mcb-m6.bioreg.kyushu-u.ac.jp/M3/20110404/F50758/1730/1", 80.06)</f>
        <v>80.06</v>
      </c>
      <c r="E13874" s="2">
        <v>53.32</v>
      </c>
      <c r="F13874" s="2">
        <v>2</v>
      </c>
      <c r="G13874" s="2" t="s">
        <v>10</v>
      </c>
      <c r="I13874" s="2" t="s">
        <v>4899</v>
      </c>
    </row>
    <row r="13875" spans="1:9" x14ac:dyDescent="0.2">
      <c r="A13875" s="2" t="s">
        <v>3790</v>
      </c>
      <c r="B13875" s="2" t="s">
        <v>1560</v>
      </c>
      <c r="C13875" s="2">
        <v>767.30070000000001</v>
      </c>
      <c r="D13875" s="2">
        <f>HYPERLINK("http://mcb-m6.bioreg.kyushu-u.ac.jp/M3/20110404/F50758/1996/1", 85.74)</f>
        <v>85.74</v>
      </c>
      <c r="E13875" s="2">
        <v>62.14</v>
      </c>
      <c r="F13875" s="2">
        <v>2</v>
      </c>
      <c r="G13875" s="2" t="s">
        <v>10</v>
      </c>
    </row>
    <row r="13876" spans="1:9" x14ac:dyDescent="0.2">
      <c r="A13876" s="2" t="s">
        <v>3790</v>
      </c>
      <c r="B13876" s="2" t="s">
        <v>833</v>
      </c>
      <c r="C13876" s="2">
        <v>1073.201</v>
      </c>
      <c r="D13876" s="2">
        <f>HYPERLINK("http://mcb-m6.bioreg.kyushu-u.ac.jp/M3/20110404/F50758/2852/1", 135.07)</f>
        <v>135.07</v>
      </c>
      <c r="E13876" s="2">
        <v>118.86</v>
      </c>
      <c r="F13876" s="2">
        <v>2</v>
      </c>
      <c r="G13876" s="2" t="s">
        <v>10</v>
      </c>
    </row>
    <row r="13877" spans="1:9" x14ac:dyDescent="0.2">
      <c r="A13877" s="2" t="s">
        <v>3790</v>
      </c>
      <c r="B13877" s="2" t="s">
        <v>1902</v>
      </c>
      <c r="C13877" s="2">
        <v>696.13369999999998</v>
      </c>
      <c r="D13877" s="2">
        <f>HYPERLINK("http://mcb-m6.bioreg.kyushu-u.ac.jp/M3/20110421/F51017/1798/1", 58.14)</f>
        <v>58.14</v>
      </c>
      <c r="E13877" s="2">
        <v>36.29</v>
      </c>
      <c r="F13877" s="2">
        <v>2</v>
      </c>
      <c r="G13877" s="2" t="s">
        <v>11</v>
      </c>
      <c r="I13877" s="2" t="s">
        <v>4899</v>
      </c>
    </row>
    <row r="13878" spans="1:9" x14ac:dyDescent="0.2">
      <c r="A13878" s="2" t="s">
        <v>3790</v>
      </c>
      <c r="B13878" s="2" t="s">
        <v>1560</v>
      </c>
      <c r="C13878" s="2">
        <v>766.50710000000004</v>
      </c>
      <c r="D13878" s="2">
        <f>HYPERLINK("http://mcb-m6.bioreg.kyushu-u.ac.jp/M3/20110421/F51017/2178/1", 79.65)</f>
        <v>79.650000000000006</v>
      </c>
      <c r="E13878" s="2">
        <v>62.67</v>
      </c>
      <c r="F13878" s="2">
        <v>2</v>
      </c>
      <c r="G13878" s="2" t="s">
        <v>11</v>
      </c>
    </row>
    <row r="13879" spans="1:9" x14ac:dyDescent="0.2">
      <c r="A13879" s="2" t="s">
        <v>3790</v>
      </c>
      <c r="B13879" s="2" t="s">
        <v>1560</v>
      </c>
      <c r="C13879" s="2">
        <v>767.11659999999995</v>
      </c>
      <c r="D13879" s="2">
        <f>HYPERLINK("http://mcb-m6.bioreg.kyushu-u.ac.jp/M3/20110421/F51017/2182/1", 106.01)</f>
        <v>106.01</v>
      </c>
      <c r="E13879" s="2">
        <v>77.959999999999994</v>
      </c>
      <c r="F13879" s="2">
        <v>2</v>
      </c>
      <c r="G13879" s="2" t="s">
        <v>11</v>
      </c>
    </row>
    <row r="13880" spans="1:9" x14ac:dyDescent="0.2">
      <c r="A13880" s="2" t="s">
        <v>3790</v>
      </c>
      <c r="B13880" s="2" t="s">
        <v>833</v>
      </c>
      <c r="C13880" s="2">
        <v>1073.095</v>
      </c>
      <c r="D13880" s="2">
        <f>HYPERLINK("http://mcb-m6.bioreg.kyushu-u.ac.jp/M3/20110421/F51017/3396/1", 126.38)</f>
        <v>126.38</v>
      </c>
      <c r="E13880" s="2">
        <v>107.15</v>
      </c>
      <c r="F13880" s="2">
        <v>2</v>
      </c>
      <c r="G13880" s="2" t="s">
        <v>11</v>
      </c>
    </row>
    <row r="13881" spans="1:9" x14ac:dyDescent="0.2">
      <c r="A13881" s="2" t="s">
        <v>3790</v>
      </c>
      <c r="B13881" s="2" t="s">
        <v>1560</v>
      </c>
      <c r="C13881" s="2">
        <v>767.29970000000003</v>
      </c>
      <c r="D13881" s="2">
        <f>HYPERLINK("http://mcb-m6.bioreg.kyushu-u.ac.jp/M3/20110421/F51023/2220/1", 82.93)</f>
        <v>82.93</v>
      </c>
      <c r="E13881" s="2">
        <v>57.55</v>
      </c>
      <c r="F13881" s="2">
        <v>2</v>
      </c>
      <c r="G13881" s="2" t="s">
        <v>12</v>
      </c>
    </row>
    <row r="13882" spans="1:9" x14ac:dyDescent="0.2">
      <c r="A13882" s="2" t="s">
        <v>3790</v>
      </c>
      <c r="B13882" s="2" t="s">
        <v>1560</v>
      </c>
      <c r="C13882" s="2">
        <v>766.76369999999997</v>
      </c>
      <c r="D13882" s="2">
        <f>HYPERLINK("http://mcb-m6.bioreg.kyushu-u.ac.jp/M3/20110421/F51023/2218/1", 109.71)</f>
        <v>109.71</v>
      </c>
      <c r="E13882" s="2">
        <v>93.76</v>
      </c>
      <c r="F13882" s="2">
        <v>2</v>
      </c>
      <c r="G13882" s="2" t="s">
        <v>12</v>
      </c>
    </row>
    <row r="13883" spans="1:9" x14ac:dyDescent="0.2">
      <c r="A13883" s="2" t="s">
        <v>3790</v>
      </c>
      <c r="B13883" s="2" t="s">
        <v>1560</v>
      </c>
      <c r="C13883" s="2">
        <v>766.62270000000001</v>
      </c>
      <c r="D13883" s="2">
        <f>HYPERLINK("http://mcb-m6.bioreg.kyushu-u.ac.jp/M3/20110427/F51112/2207/1", 103.67)</f>
        <v>103.67</v>
      </c>
      <c r="E13883" s="2">
        <v>79.849999999999994</v>
      </c>
      <c r="F13883" s="2">
        <v>2</v>
      </c>
      <c r="G13883" s="2" t="s">
        <v>13</v>
      </c>
    </row>
    <row r="13884" spans="1:9" x14ac:dyDescent="0.2">
      <c r="A13884" s="2" t="s">
        <v>3790</v>
      </c>
      <c r="B13884" s="2" t="s">
        <v>1560</v>
      </c>
      <c r="C13884" s="2">
        <v>766.70420000000001</v>
      </c>
      <c r="D13884" s="2">
        <f>HYPERLINK("http://mcb-m6.bioreg.kyushu-u.ac.jp/M3/20110427/F51111/2254/1", 117.13)</f>
        <v>117.13</v>
      </c>
      <c r="E13884" s="2">
        <v>93.58</v>
      </c>
      <c r="F13884" s="2">
        <v>2</v>
      </c>
      <c r="G13884" s="2" t="s">
        <v>13</v>
      </c>
    </row>
    <row r="13885" spans="1:9" x14ac:dyDescent="0.2">
      <c r="A13885" s="2" t="s">
        <v>3904</v>
      </c>
      <c r="B13885" s="2" t="s">
        <v>1205</v>
      </c>
      <c r="C13885" s="2">
        <v>634.80520000000001</v>
      </c>
      <c r="D13885" s="2">
        <f>HYPERLINK("http://mcb-m6.bioreg.kyushu-u.ac.jp/M3/20110404/F50753/1610/1", 67.52)</f>
        <v>67.52</v>
      </c>
      <c r="E13885" s="2">
        <v>44.56</v>
      </c>
      <c r="F13885" s="2">
        <v>2</v>
      </c>
      <c r="G13885" s="2" t="s">
        <v>9</v>
      </c>
      <c r="I13885" s="2" t="s">
        <v>4892</v>
      </c>
    </row>
    <row r="13886" spans="1:9" x14ac:dyDescent="0.2">
      <c r="A13886" s="2" t="s">
        <v>3904</v>
      </c>
      <c r="B13886" s="2" t="s">
        <v>1062</v>
      </c>
      <c r="C13886" s="2">
        <v>698.62869999999998</v>
      </c>
      <c r="D13886" s="2">
        <f>HYPERLINK("http://mcb-m6.bioreg.kyushu-u.ac.jp/M3/20110404/F50753/1841/1", 71.92)</f>
        <v>71.92</v>
      </c>
      <c r="E13886" s="2">
        <v>45.82</v>
      </c>
      <c r="F13886" s="2">
        <v>2</v>
      </c>
      <c r="G13886" s="2" t="s">
        <v>9</v>
      </c>
      <c r="I13886" s="2" t="s">
        <v>4892</v>
      </c>
    </row>
    <row r="13887" spans="1:9" x14ac:dyDescent="0.2">
      <c r="A13887" s="2" t="s">
        <v>3904</v>
      </c>
      <c r="B13887" s="2" t="s">
        <v>1205</v>
      </c>
      <c r="C13887" s="2">
        <v>634.58810000000005</v>
      </c>
      <c r="D13887" s="2">
        <f>HYPERLINK("http://mcb-m6.bioreg.kyushu-u.ac.jp/M3/20110421/F51017/1477/1", 74.44)</f>
        <v>74.44</v>
      </c>
      <c r="E13887" s="2">
        <v>50.01</v>
      </c>
      <c r="F13887" s="2">
        <v>2</v>
      </c>
      <c r="G13887" s="2" t="s">
        <v>11</v>
      </c>
      <c r="I13887" s="2" t="s">
        <v>4892</v>
      </c>
    </row>
    <row r="13888" spans="1:9" x14ac:dyDescent="0.2">
      <c r="A13888" s="2" t="s">
        <v>3904</v>
      </c>
      <c r="B13888" s="2" t="s">
        <v>1205</v>
      </c>
      <c r="C13888" s="2">
        <v>634.64419999999996</v>
      </c>
      <c r="D13888" s="2">
        <f>HYPERLINK("http://mcb-m6.bioreg.kyushu-u.ac.jp/M3/20110427/F51111/1667/1", 74.37)</f>
        <v>74.37</v>
      </c>
      <c r="E13888" s="2">
        <v>49.14</v>
      </c>
      <c r="F13888" s="2">
        <v>2</v>
      </c>
      <c r="G13888" s="2" t="s">
        <v>13</v>
      </c>
      <c r="I13888" s="2" t="s">
        <v>4892</v>
      </c>
    </row>
    <row r="13889" spans="1:9" x14ac:dyDescent="0.2">
      <c r="A13889" s="2" t="s">
        <v>4438</v>
      </c>
      <c r="B13889" s="2" t="s">
        <v>2327</v>
      </c>
      <c r="C13889" s="2">
        <v>670.98220000000003</v>
      </c>
      <c r="D13889" s="2">
        <f>HYPERLINK("http://mcb-m6.bioreg.kyushu-u.ac.jp/M3/20110404/F50751/1863/1", 79.56)</f>
        <v>79.56</v>
      </c>
      <c r="E13889" s="2">
        <v>61.32</v>
      </c>
      <c r="F13889" s="2">
        <v>2</v>
      </c>
      <c r="G13889" s="2" t="s">
        <v>9</v>
      </c>
    </row>
    <row r="13890" spans="1:9" x14ac:dyDescent="0.2">
      <c r="A13890" s="2" t="s">
        <v>4438</v>
      </c>
      <c r="B13890" s="2" t="s">
        <v>2327</v>
      </c>
      <c r="C13890" s="2">
        <v>671.21119999999996</v>
      </c>
      <c r="D13890" s="2">
        <f>HYPERLINK("http://mcb-m6.bioreg.kyushu-u.ac.jp/M3/20110427/F51118/1825/1", 45.61)</f>
        <v>45.61</v>
      </c>
      <c r="E13890" s="2">
        <v>31.19</v>
      </c>
      <c r="F13890" s="2">
        <v>2</v>
      </c>
      <c r="G13890" s="2" t="s">
        <v>14</v>
      </c>
    </row>
    <row r="13891" spans="1:9" x14ac:dyDescent="0.2">
      <c r="A13891" s="2" t="s">
        <v>7836</v>
      </c>
      <c r="B13891" s="2" t="s">
        <v>6793</v>
      </c>
      <c r="C13891" s="2">
        <v>740.77369999999996</v>
      </c>
      <c r="D13891" s="2">
        <f>HYPERLINK("http://mcb-m6.bioreg.kyushu-u.ac.jp/M3/20110404/F50761/1845/1", 43.45)</f>
        <v>43.45</v>
      </c>
      <c r="E13891" s="2">
        <v>30.58</v>
      </c>
      <c r="F13891" s="2">
        <v>2</v>
      </c>
      <c r="G13891" s="2" t="s">
        <v>10</v>
      </c>
    </row>
    <row r="13892" spans="1:9" x14ac:dyDescent="0.2">
      <c r="A13892" s="2" t="s">
        <v>7663</v>
      </c>
      <c r="B13892" s="2" t="s">
        <v>6261</v>
      </c>
      <c r="C13892" s="2">
        <v>683.9932</v>
      </c>
      <c r="D13892" s="2">
        <f>HYPERLINK("http://mcb-m6.bioreg.kyushu-u.ac.jp/M3/20110404/F50764/1594/1", 49.83)</f>
        <v>49.83</v>
      </c>
      <c r="E13892" s="2">
        <v>34.479999999999997</v>
      </c>
      <c r="F13892" s="2">
        <v>2</v>
      </c>
      <c r="G13892" s="2" t="s">
        <v>9</v>
      </c>
    </row>
    <row r="13893" spans="1:9" x14ac:dyDescent="0.2">
      <c r="A13893" s="2" t="s">
        <v>3618</v>
      </c>
      <c r="B13893" s="2" t="s">
        <v>2488</v>
      </c>
      <c r="C13893" s="2">
        <v>651.15560000000005</v>
      </c>
      <c r="D13893" s="2">
        <f>HYPERLINK("http://mcb-m6.bioreg.kyushu-u.ac.jp/M3/20110427/F51112/1669/1", 54.22)</f>
        <v>54.22</v>
      </c>
      <c r="E13893" s="2">
        <v>10.62</v>
      </c>
      <c r="F13893" s="2">
        <v>2</v>
      </c>
      <c r="G13893" s="2" t="s">
        <v>13</v>
      </c>
      <c r="I13893" s="2" t="s">
        <v>4890</v>
      </c>
    </row>
    <row r="13894" spans="1:9" x14ac:dyDescent="0.2">
      <c r="A13894" s="2" t="s">
        <v>8090</v>
      </c>
      <c r="B13894" s="2" t="s">
        <v>7426</v>
      </c>
      <c r="C13894" s="2">
        <v>627.6807</v>
      </c>
      <c r="D13894" s="2">
        <f>HYPERLINK("http://mcb-m6.bioreg.kyushu-u.ac.jp/M3/20110427/F51108/1646/1", 74.54)</f>
        <v>74.540000000000006</v>
      </c>
      <c r="E13894" s="2">
        <v>50.3</v>
      </c>
      <c r="F13894" s="2">
        <v>2</v>
      </c>
      <c r="G13894" s="2" t="s">
        <v>13</v>
      </c>
    </row>
    <row r="13895" spans="1:9" x14ac:dyDescent="0.2">
      <c r="A13895" s="2" t="s">
        <v>7595</v>
      </c>
      <c r="B13895" s="2" t="s">
        <v>6069</v>
      </c>
      <c r="C13895" s="2">
        <v>509.6671</v>
      </c>
      <c r="D13895" s="2">
        <f>HYPERLINK("http://mcb-m6.bioreg.kyushu-u.ac.jp/M3/20110404/F50766/551/1", 40.74)</f>
        <v>40.74</v>
      </c>
      <c r="E13895" s="2">
        <v>19.059999999999999</v>
      </c>
      <c r="F13895" s="2">
        <v>2</v>
      </c>
      <c r="G13895" s="2" t="s">
        <v>9</v>
      </c>
    </row>
    <row r="13896" spans="1:9" x14ac:dyDescent="0.2">
      <c r="A13896" s="2" t="s">
        <v>4617</v>
      </c>
      <c r="B13896" s="2" t="s">
        <v>2957</v>
      </c>
      <c r="C13896" s="2">
        <v>634.88319999999999</v>
      </c>
      <c r="D13896" s="2">
        <f>HYPERLINK("http://mcb-m6.bioreg.kyushu-u.ac.jp/M3/20110421/F51019/1642/1", 67.05)</f>
        <v>67.05</v>
      </c>
      <c r="E13896" s="2">
        <v>53.17</v>
      </c>
      <c r="F13896" s="2">
        <v>2</v>
      </c>
      <c r="G13896" s="2" t="s">
        <v>11</v>
      </c>
    </row>
    <row r="13897" spans="1:9" x14ac:dyDescent="0.2">
      <c r="A13897" s="2" t="s">
        <v>4617</v>
      </c>
      <c r="B13897" s="2" t="s">
        <v>2957</v>
      </c>
      <c r="C13897" s="2">
        <v>635.1857</v>
      </c>
      <c r="D13897" s="2">
        <f>HYPERLINK("http://mcb-m6.bioreg.kyushu-u.ac.jp/M3/20110427/F51116/1552/1", 75.93)</f>
        <v>75.930000000000007</v>
      </c>
      <c r="E13897" s="2">
        <v>61.23</v>
      </c>
      <c r="F13897" s="2">
        <v>2</v>
      </c>
      <c r="G13897" s="2" t="s">
        <v>13</v>
      </c>
    </row>
    <row r="13898" spans="1:9" x14ac:dyDescent="0.2">
      <c r="A13898" s="2" t="s">
        <v>3825</v>
      </c>
      <c r="B13898" s="2" t="s">
        <v>897</v>
      </c>
      <c r="C13898" s="2">
        <v>640.18409999999994</v>
      </c>
      <c r="D13898" s="2">
        <f>HYPERLINK("http://mcb-m6.bioreg.kyushu-u.ac.jp/M3/20110404/F50753/1629/1", 64.57)</f>
        <v>64.569999999999993</v>
      </c>
      <c r="E13898" s="2">
        <v>46.41</v>
      </c>
      <c r="F13898" s="2">
        <v>2</v>
      </c>
      <c r="G13898" s="2" t="s">
        <v>9</v>
      </c>
    </row>
    <row r="13899" spans="1:9" x14ac:dyDescent="0.2">
      <c r="A13899" s="2" t="s">
        <v>3825</v>
      </c>
      <c r="B13899" s="2" t="s">
        <v>897</v>
      </c>
      <c r="C13899" s="2">
        <v>640.31820000000005</v>
      </c>
      <c r="D13899" s="2">
        <f>HYPERLINK("http://mcb-m6.bioreg.kyushu-u.ac.jp/M3/20110404/F50758/1561/1", 62.72)</f>
        <v>62.72</v>
      </c>
      <c r="E13899" s="2">
        <v>51.29</v>
      </c>
      <c r="F13899" s="2">
        <v>2</v>
      </c>
      <c r="G13899" s="2" t="s">
        <v>10</v>
      </c>
    </row>
    <row r="13900" spans="1:9" x14ac:dyDescent="0.2">
      <c r="A13900" s="2" t="s">
        <v>3825</v>
      </c>
      <c r="B13900" s="2" t="s">
        <v>897</v>
      </c>
      <c r="C13900" s="2">
        <v>640.79610000000002</v>
      </c>
      <c r="D13900" s="2">
        <f>HYPERLINK("http://mcb-m6.bioreg.kyushu-u.ac.jp/M3/20110427/F51111/1682/1", 41.3)</f>
        <v>41.3</v>
      </c>
      <c r="E13900" s="2">
        <v>22.59</v>
      </c>
      <c r="F13900" s="2">
        <v>2</v>
      </c>
      <c r="G13900" s="2" t="s">
        <v>13</v>
      </c>
    </row>
    <row r="13901" spans="1:9" x14ac:dyDescent="0.2">
      <c r="A13901" s="2" t="s">
        <v>3995</v>
      </c>
      <c r="B13901" s="2" t="s">
        <v>1279</v>
      </c>
      <c r="C13901" s="2">
        <v>749.14419999999996</v>
      </c>
      <c r="D13901" s="2">
        <f>HYPERLINK("http://mcb-m6.bioreg.kyushu-u.ac.jp/M3/20110404/F50753/2049/1", 74.62)</f>
        <v>74.62</v>
      </c>
      <c r="E13901" s="2">
        <v>17.38</v>
      </c>
      <c r="F13901" s="2">
        <v>2</v>
      </c>
      <c r="G13901" s="2" t="s">
        <v>9</v>
      </c>
      <c r="I13901" s="2" t="s">
        <v>4914</v>
      </c>
    </row>
    <row r="13902" spans="1:9" x14ac:dyDescent="0.2">
      <c r="A13902" s="2" t="s">
        <v>3995</v>
      </c>
      <c r="B13902" s="2" t="s">
        <v>1279</v>
      </c>
      <c r="C13902" s="2">
        <v>757.31320000000005</v>
      </c>
      <c r="D13902" s="2">
        <f>HYPERLINK("http://mcb-m6.bioreg.kyushu-u.ac.jp/M3/20110404/F50758/1966/1", 79.53)</f>
        <v>79.53</v>
      </c>
      <c r="E13902" s="2">
        <v>66.2</v>
      </c>
      <c r="F13902" s="2">
        <v>2</v>
      </c>
      <c r="G13902" s="2" t="s">
        <v>10</v>
      </c>
      <c r="H13902" s="2" t="s">
        <v>4908</v>
      </c>
      <c r="I13902" s="2" t="s">
        <v>4914</v>
      </c>
    </row>
    <row r="13903" spans="1:9" x14ac:dyDescent="0.2">
      <c r="A13903" s="2" t="s">
        <v>3995</v>
      </c>
      <c r="B13903" s="2" t="s">
        <v>1279</v>
      </c>
      <c r="C13903" s="2">
        <v>748.98019999999997</v>
      </c>
      <c r="D13903" s="2">
        <f>HYPERLINK("http://mcb-m6.bioreg.kyushu-u.ac.jp/M3/20110404/F50758/1951/1", 90.16)</f>
        <v>90.16</v>
      </c>
      <c r="E13903" s="2">
        <v>25.24</v>
      </c>
      <c r="F13903" s="2">
        <v>2</v>
      </c>
      <c r="G13903" s="2" t="s">
        <v>10</v>
      </c>
      <c r="I13903" s="2" t="s">
        <v>4914</v>
      </c>
    </row>
    <row r="13904" spans="1:9" x14ac:dyDescent="0.2">
      <c r="A13904" s="2" t="s">
        <v>3995</v>
      </c>
      <c r="B13904" s="2" t="s">
        <v>1279</v>
      </c>
      <c r="C13904" s="2">
        <v>749.15719999999999</v>
      </c>
      <c r="D13904" s="2">
        <f>HYPERLINK("http://mcb-m6.bioreg.kyushu-u.ac.jp/M3/20110421/F51017/2093/1", 55.82)</f>
        <v>55.82</v>
      </c>
      <c r="E13904" s="2">
        <v>8.7100000000000009</v>
      </c>
      <c r="F13904" s="2">
        <v>2</v>
      </c>
      <c r="G13904" s="2" t="s">
        <v>11</v>
      </c>
      <c r="I13904" s="2" t="s">
        <v>4914</v>
      </c>
    </row>
    <row r="13905" spans="1:9" x14ac:dyDescent="0.2">
      <c r="A13905" s="2" t="s">
        <v>3995</v>
      </c>
      <c r="B13905" s="2" t="s">
        <v>1279</v>
      </c>
      <c r="C13905" s="2">
        <v>748.7106</v>
      </c>
      <c r="D13905" s="2">
        <f>HYPERLINK("http://mcb-m6.bioreg.kyushu-u.ac.jp/M3/20110427/F51111/2177/1", 52.75)</f>
        <v>52.75</v>
      </c>
      <c r="E13905" s="2">
        <v>12.7</v>
      </c>
      <c r="F13905" s="2">
        <v>2</v>
      </c>
      <c r="G13905" s="2" t="s">
        <v>13</v>
      </c>
      <c r="I13905" s="2" t="s">
        <v>4914</v>
      </c>
    </row>
    <row r="13906" spans="1:9" x14ac:dyDescent="0.2">
      <c r="A13906" s="2" t="s">
        <v>3587</v>
      </c>
      <c r="B13906" s="2" t="s">
        <v>470</v>
      </c>
      <c r="C13906" s="2">
        <v>760.74770000000001</v>
      </c>
      <c r="D13906" s="2">
        <f>HYPERLINK("http://mcb-m6.bioreg.kyushu-u.ac.jp/M3/20110404/F50753/2087/1", 53.01)</f>
        <v>53.01</v>
      </c>
      <c r="E13906" s="2">
        <v>32.28</v>
      </c>
      <c r="F13906" s="2">
        <v>2</v>
      </c>
      <c r="G13906" s="2" t="s">
        <v>9</v>
      </c>
    </row>
    <row r="13907" spans="1:9" x14ac:dyDescent="0.2">
      <c r="A13907" s="2" t="s">
        <v>3272</v>
      </c>
      <c r="B13907" s="2" t="s">
        <v>52</v>
      </c>
      <c r="C13907" s="2">
        <v>567.06209999999999</v>
      </c>
      <c r="D13907" s="2">
        <f>HYPERLINK("http://mcb-m6.bioreg.kyushu-u.ac.jp/M3/20110404/F50753/1387/1", 37.88)</f>
        <v>37.880000000000003</v>
      </c>
      <c r="E13907" s="2">
        <v>14.65</v>
      </c>
      <c r="F13907" s="2">
        <v>2</v>
      </c>
      <c r="G13907" s="2" t="s">
        <v>9</v>
      </c>
    </row>
    <row r="13908" spans="1:9" x14ac:dyDescent="0.2">
      <c r="A13908" s="2" t="s">
        <v>3774</v>
      </c>
      <c r="B13908" s="2" t="s">
        <v>799</v>
      </c>
      <c r="C13908" s="2">
        <v>487.18810000000002</v>
      </c>
      <c r="D13908" s="2">
        <f>HYPERLINK("http://mcb-m6.bioreg.kyushu-u.ac.jp/M3/20110404/F50763/1040/1", 42.67)</f>
        <v>42.67</v>
      </c>
      <c r="E13908" s="2">
        <v>14.44</v>
      </c>
      <c r="F13908" s="2">
        <v>2</v>
      </c>
      <c r="G13908" s="2" t="s">
        <v>9</v>
      </c>
    </row>
    <row r="13909" spans="1:9" x14ac:dyDescent="0.2">
      <c r="A13909" s="2" t="s">
        <v>3774</v>
      </c>
      <c r="B13909" s="2" t="s">
        <v>799</v>
      </c>
      <c r="C13909" s="2">
        <v>487.15710000000001</v>
      </c>
      <c r="D13909" s="2">
        <f>HYPERLINK("http://mcb-m6.bioreg.kyushu-u.ac.jp/M3/20110404/F50777/944/1", 43.44)</f>
        <v>43.44</v>
      </c>
      <c r="E13909" s="2">
        <v>13.63</v>
      </c>
      <c r="F13909" s="2">
        <v>2</v>
      </c>
      <c r="G13909" s="2" t="s">
        <v>9</v>
      </c>
    </row>
    <row r="13910" spans="1:9" x14ac:dyDescent="0.2">
      <c r="A13910" s="2" t="s">
        <v>3774</v>
      </c>
      <c r="B13910" s="2" t="s">
        <v>799</v>
      </c>
      <c r="C13910" s="2">
        <v>487.25709999999998</v>
      </c>
      <c r="D13910" s="2">
        <f>HYPERLINK("http://mcb-m6.bioreg.kyushu-u.ac.jp/M3/20110404/F50764/956/1", 45.95)</f>
        <v>45.95</v>
      </c>
      <c r="E13910" s="2">
        <v>14.44</v>
      </c>
      <c r="F13910" s="2">
        <v>2</v>
      </c>
      <c r="G13910" s="2" t="s">
        <v>9</v>
      </c>
    </row>
    <row r="13911" spans="1:9" x14ac:dyDescent="0.2">
      <c r="A13911" s="2" t="s">
        <v>3774</v>
      </c>
      <c r="B13911" s="2" t="s">
        <v>799</v>
      </c>
      <c r="C13911" s="2">
        <v>487.78410000000002</v>
      </c>
      <c r="D13911" s="2">
        <f>HYPERLINK("http://mcb-m6.bioreg.kyushu-u.ac.jp/M3/20110404/F50782/732/1", 46.22)</f>
        <v>46.22</v>
      </c>
      <c r="E13911" s="2">
        <v>9.32</v>
      </c>
      <c r="F13911" s="2">
        <v>2</v>
      </c>
      <c r="G13911" s="2" t="s">
        <v>10</v>
      </c>
    </row>
    <row r="13912" spans="1:9" x14ac:dyDescent="0.2">
      <c r="A13912" s="2" t="s">
        <v>3774</v>
      </c>
      <c r="B13912" s="2" t="s">
        <v>799</v>
      </c>
      <c r="C13912" s="2">
        <v>487.30110000000002</v>
      </c>
      <c r="D13912" s="2">
        <f>HYPERLINK("http://mcb-m6.bioreg.kyushu-u.ac.jp/M3/20110404/F50773/927/1", 48.15)</f>
        <v>48.15</v>
      </c>
      <c r="E13912" s="2">
        <v>13.72</v>
      </c>
      <c r="F13912" s="2">
        <v>2</v>
      </c>
      <c r="G13912" s="2" t="s">
        <v>10</v>
      </c>
    </row>
    <row r="13913" spans="1:9" x14ac:dyDescent="0.2">
      <c r="A13913" s="2" t="s">
        <v>3774</v>
      </c>
      <c r="B13913" s="2" t="s">
        <v>799</v>
      </c>
      <c r="C13913" s="2">
        <v>487.68759999999997</v>
      </c>
      <c r="D13913" s="2">
        <f>HYPERLINK("http://mcb-m6.bioreg.kyushu-u.ac.jp/M3/20110421/F51015/1326/1", 46.29)</f>
        <v>46.29</v>
      </c>
      <c r="E13913" s="2">
        <v>16.66</v>
      </c>
      <c r="F13913" s="2">
        <v>2</v>
      </c>
      <c r="G13913" s="2" t="s">
        <v>11</v>
      </c>
    </row>
    <row r="13914" spans="1:9" x14ac:dyDescent="0.2">
      <c r="A13914" s="2" t="s">
        <v>3774</v>
      </c>
      <c r="B13914" s="2" t="s">
        <v>799</v>
      </c>
      <c r="C13914" s="2">
        <v>487.8236</v>
      </c>
      <c r="D13914" s="2">
        <f>HYPERLINK("http://mcb-m6.bioreg.kyushu-u.ac.jp/M3/20110421/F51044/829/1", 54.6)</f>
        <v>54.6</v>
      </c>
      <c r="E13914" s="2">
        <v>17.12</v>
      </c>
      <c r="F13914" s="2">
        <v>2</v>
      </c>
      <c r="G13914" s="2" t="s">
        <v>12</v>
      </c>
    </row>
    <row r="13915" spans="1:9" x14ac:dyDescent="0.2">
      <c r="A13915" s="2" t="s">
        <v>3774</v>
      </c>
      <c r="B13915" s="2" t="s">
        <v>799</v>
      </c>
      <c r="C13915" s="2">
        <v>487.22710000000001</v>
      </c>
      <c r="D13915" s="2">
        <f>HYPERLINK("http://mcb-m6.bioreg.kyushu-u.ac.jp/M3/20110427/F51110/1241/1", 41.91)</f>
        <v>41.91</v>
      </c>
      <c r="E13915" s="2">
        <v>15.92</v>
      </c>
      <c r="F13915" s="2">
        <v>2</v>
      </c>
      <c r="G13915" s="2" t="s">
        <v>13</v>
      </c>
    </row>
    <row r="13916" spans="1:9" x14ac:dyDescent="0.2">
      <c r="A13916" s="2" t="s">
        <v>3774</v>
      </c>
      <c r="B13916" s="2" t="s">
        <v>799</v>
      </c>
      <c r="C13916" s="2">
        <v>488.26209999999998</v>
      </c>
      <c r="D13916" s="2">
        <f>HYPERLINK("http://mcb-m6.bioreg.kyushu-u.ac.jp/M3/20110427/F51121/1206/1", 36.84)</f>
        <v>36.840000000000003</v>
      </c>
      <c r="E13916" s="2">
        <v>9.2899999999999991</v>
      </c>
      <c r="F13916" s="2">
        <v>2</v>
      </c>
      <c r="G13916" s="2" t="s">
        <v>14</v>
      </c>
    </row>
    <row r="13917" spans="1:9" x14ac:dyDescent="0.2">
      <c r="A13917" s="2" t="s">
        <v>4814</v>
      </c>
      <c r="B13917" s="2" t="s">
        <v>3065</v>
      </c>
      <c r="C13917" s="2">
        <v>587.21220000000005</v>
      </c>
      <c r="D13917" s="2">
        <f>HYPERLINK("http://mcb-m6.bioreg.kyushu-u.ac.jp/M3/20110404/F50761/1264/1", 36.99)</f>
        <v>36.99</v>
      </c>
      <c r="E13917" s="2">
        <v>19.21</v>
      </c>
      <c r="F13917" s="2">
        <v>2</v>
      </c>
      <c r="G13917" s="2" t="s">
        <v>10</v>
      </c>
    </row>
    <row r="13918" spans="1:9" x14ac:dyDescent="0.2">
      <c r="A13918" s="2" t="s">
        <v>4814</v>
      </c>
      <c r="B13918" s="2" t="s">
        <v>3065</v>
      </c>
      <c r="C13918" s="2">
        <v>1172.1959999999999</v>
      </c>
      <c r="D13918" s="2">
        <f>HYPERLINK("http://mcb-m6.bioreg.kyushu-u.ac.jp/M3/20110421/F51021/1243/1", 53.03)</f>
        <v>53.03</v>
      </c>
      <c r="E13918" s="2">
        <v>32.880000000000003</v>
      </c>
      <c r="F13918" s="2">
        <v>1</v>
      </c>
      <c r="G13918" s="2" t="s">
        <v>12</v>
      </c>
    </row>
    <row r="13919" spans="1:9" x14ac:dyDescent="0.2">
      <c r="A13919" s="2" t="s">
        <v>3793</v>
      </c>
      <c r="B13919" s="2" t="s">
        <v>1075</v>
      </c>
      <c r="C13919" s="2">
        <v>896.86019999999996</v>
      </c>
      <c r="D13919" s="2">
        <f>HYPERLINK("http://mcb-m6.bioreg.kyushu-u.ac.jp/M3/20110404/F50763/2470/1", 83.27)</f>
        <v>83.27</v>
      </c>
      <c r="E13919" s="2">
        <v>75.23</v>
      </c>
      <c r="F13919" s="2">
        <v>2</v>
      </c>
      <c r="G13919" s="2" t="s">
        <v>9</v>
      </c>
      <c r="I13919" s="2" t="s">
        <v>4909</v>
      </c>
    </row>
    <row r="13920" spans="1:9" x14ac:dyDescent="0.2">
      <c r="A13920" s="2" t="s">
        <v>3793</v>
      </c>
      <c r="B13920" s="2" t="s">
        <v>1075</v>
      </c>
      <c r="C13920" s="2">
        <v>896.74069999999995</v>
      </c>
      <c r="D13920" s="2">
        <f>HYPERLINK("http://mcb-m6.bioreg.kyushu-u.ac.jp/M3/20110421/F51037/2944/1", 49.05)</f>
        <v>49.05</v>
      </c>
      <c r="E13920" s="2">
        <v>42.17</v>
      </c>
      <c r="F13920" s="2">
        <v>2</v>
      </c>
      <c r="G13920" s="2" t="s">
        <v>11</v>
      </c>
      <c r="I13920" s="2" t="s">
        <v>4909</v>
      </c>
    </row>
    <row r="13921" spans="1:9" x14ac:dyDescent="0.2">
      <c r="A13921" s="2" t="s">
        <v>3793</v>
      </c>
      <c r="B13921" s="2" t="s">
        <v>1075</v>
      </c>
      <c r="C13921" s="2">
        <v>897.26620000000003</v>
      </c>
      <c r="D13921" s="2">
        <f>HYPERLINK("http://mcb-m6.bioreg.kyushu-u.ac.jp/M3/20110421/F51037/2949/1", 55.1)</f>
        <v>55.1</v>
      </c>
      <c r="E13921" s="2">
        <v>42.33</v>
      </c>
      <c r="F13921" s="2">
        <v>2</v>
      </c>
      <c r="G13921" s="2" t="s">
        <v>11</v>
      </c>
      <c r="I13921" s="2" t="s">
        <v>4909</v>
      </c>
    </row>
    <row r="13922" spans="1:9" x14ac:dyDescent="0.2">
      <c r="A13922" s="2" t="s">
        <v>3793</v>
      </c>
      <c r="B13922" s="2" t="s">
        <v>1903</v>
      </c>
      <c r="C13922" s="2">
        <v>788.43619999999999</v>
      </c>
      <c r="D13922" s="2">
        <f>HYPERLINK("http://mcb-m6.bioreg.kyushu-u.ac.jp/M3/20110421/F51035/2230/1", 57.1)</f>
        <v>57.1</v>
      </c>
      <c r="E13922" s="2">
        <v>39.56</v>
      </c>
      <c r="F13922" s="2">
        <v>2</v>
      </c>
      <c r="G13922" s="2" t="s">
        <v>11</v>
      </c>
    </row>
    <row r="13923" spans="1:9" x14ac:dyDescent="0.2">
      <c r="A13923" s="2" t="s">
        <v>3793</v>
      </c>
      <c r="B13923" s="2" t="s">
        <v>2712</v>
      </c>
      <c r="C13923" s="2">
        <v>648.69669999999996</v>
      </c>
      <c r="D13923" s="2">
        <f>HYPERLINK("http://mcb-m6.bioreg.kyushu-u.ac.jp/M3/20110421/F51035/1443/1", 59.14)</f>
        <v>59.14</v>
      </c>
      <c r="E13923" s="2">
        <v>41.99</v>
      </c>
      <c r="F13923" s="2">
        <v>2</v>
      </c>
      <c r="G13923" s="2" t="s">
        <v>11</v>
      </c>
    </row>
    <row r="13924" spans="1:9" x14ac:dyDescent="0.2">
      <c r="A13924" s="2" t="s">
        <v>3793</v>
      </c>
      <c r="B13924" s="2" t="s">
        <v>1903</v>
      </c>
      <c r="C13924" s="2">
        <v>788.31569999999999</v>
      </c>
      <c r="D13924" s="2">
        <f>HYPERLINK("http://mcb-m6.bioreg.kyushu-u.ac.jp/M3/20110421/F51037/2321/1", 69.24)</f>
        <v>69.239999999999995</v>
      </c>
      <c r="E13924" s="2">
        <v>47.44</v>
      </c>
      <c r="F13924" s="2">
        <v>2</v>
      </c>
      <c r="G13924" s="2" t="s">
        <v>11</v>
      </c>
    </row>
    <row r="13925" spans="1:9" x14ac:dyDescent="0.2">
      <c r="A13925" s="2" t="s">
        <v>3793</v>
      </c>
      <c r="B13925" s="2" t="s">
        <v>1903</v>
      </c>
      <c r="C13925" s="2">
        <v>787.79570000000001</v>
      </c>
      <c r="D13925" s="2">
        <f>HYPERLINK("http://mcb-m6.bioreg.kyushu-u.ac.jp/M3/20110421/F51037/2318/1", 75.39)</f>
        <v>75.39</v>
      </c>
      <c r="E13925" s="2">
        <v>61.71</v>
      </c>
      <c r="F13925" s="2">
        <v>2</v>
      </c>
      <c r="G13925" s="2" t="s">
        <v>11</v>
      </c>
    </row>
    <row r="13926" spans="1:9" x14ac:dyDescent="0.2">
      <c r="A13926" s="2" t="s">
        <v>3793</v>
      </c>
      <c r="B13926" s="2" t="s">
        <v>1075</v>
      </c>
      <c r="C13926" s="2">
        <v>896.76570000000004</v>
      </c>
      <c r="D13926" s="2">
        <f>HYPERLINK("http://mcb-m6.bioreg.kyushu-u.ac.jp/M3/20110428/F51132/2766/1", 41.11)</f>
        <v>41.11</v>
      </c>
      <c r="E13926" s="2">
        <v>34.44</v>
      </c>
      <c r="F13926" s="2">
        <v>2</v>
      </c>
      <c r="G13926" s="2" t="s">
        <v>13</v>
      </c>
      <c r="I13926" s="2" t="s">
        <v>4909</v>
      </c>
    </row>
    <row r="13927" spans="1:9" x14ac:dyDescent="0.2">
      <c r="A13927" s="2" t="s">
        <v>3793</v>
      </c>
      <c r="B13927" s="2" t="s">
        <v>856</v>
      </c>
      <c r="C13927" s="2">
        <v>493.06509999999997</v>
      </c>
      <c r="D13927" s="2">
        <f>HYPERLINK("http://mcb-m6.bioreg.kyushu-u.ac.jp/M3/20110428/F51127/740/1", 57.08)</f>
        <v>57.08</v>
      </c>
      <c r="E13927" s="2">
        <v>30.31</v>
      </c>
      <c r="F13927" s="2">
        <v>2</v>
      </c>
      <c r="G13927" s="2" t="s">
        <v>13</v>
      </c>
    </row>
    <row r="13928" spans="1:9" x14ac:dyDescent="0.2">
      <c r="A13928" s="2" t="s">
        <v>3793</v>
      </c>
      <c r="B13928" s="2" t="s">
        <v>2712</v>
      </c>
      <c r="C13928" s="2">
        <v>648.67409999999995</v>
      </c>
      <c r="D13928" s="2">
        <f>HYPERLINK("http://mcb-m6.bioreg.kyushu-u.ac.jp/M3/20110428/F51132/1499/1", 58.05)</f>
        <v>58.05</v>
      </c>
      <c r="E13928" s="2">
        <v>39.97</v>
      </c>
      <c r="F13928" s="2">
        <v>2</v>
      </c>
      <c r="G13928" s="2" t="s">
        <v>13</v>
      </c>
    </row>
    <row r="13929" spans="1:9" x14ac:dyDescent="0.2">
      <c r="A13929" s="2" t="s">
        <v>3793</v>
      </c>
      <c r="B13929" s="2" t="s">
        <v>1903</v>
      </c>
      <c r="C13929" s="2">
        <v>787.76969999999994</v>
      </c>
      <c r="D13929" s="2">
        <f>HYPERLINK("http://mcb-m6.bioreg.kyushu-u.ac.jp/M3/20110428/F51132/2288/1", 59.6)</f>
        <v>59.6</v>
      </c>
      <c r="E13929" s="2">
        <v>46.52</v>
      </c>
      <c r="F13929" s="2">
        <v>2</v>
      </c>
      <c r="G13929" s="2" t="s">
        <v>13</v>
      </c>
    </row>
    <row r="13930" spans="1:9" x14ac:dyDescent="0.2">
      <c r="A13930" s="2" t="s">
        <v>3793</v>
      </c>
      <c r="B13930" s="2" t="s">
        <v>2712</v>
      </c>
      <c r="C13930" s="2">
        <v>648.32920000000001</v>
      </c>
      <c r="D13930" s="2">
        <f>HYPERLINK("http://mcb-m6.bioreg.kyushu-u.ac.jp/M3/20110428/F51127/1394/1", 71.85)</f>
        <v>71.849999999999994</v>
      </c>
      <c r="E13930" s="2">
        <v>47.92</v>
      </c>
      <c r="F13930" s="2">
        <v>2</v>
      </c>
      <c r="G13930" s="2" t="s">
        <v>13</v>
      </c>
    </row>
    <row r="13931" spans="1:9" x14ac:dyDescent="0.2">
      <c r="A13931" s="2" t="s">
        <v>7983</v>
      </c>
      <c r="B13931" s="2" t="s">
        <v>7200</v>
      </c>
      <c r="C13931" s="2">
        <v>613.27809999999999</v>
      </c>
      <c r="D13931" s="2">
        <f>HYPERLINK("http://mcb-m6.bioreg.kyushu-u.ac.jp/M3/20110421/F51044/1399/1", 43.26)</f>
        <v>43.26</v>
      </c>
      <c r="E13931" s="2">
        <v>19.670000000000002</v>
      </c>
      <c r="F13931" s="2">
        <v>2</v>
      </c>
      <c r="G13931" s="2" t="s">
        <v>12</v>
      </c>
    </row>
    <row r="13932" spans="1:9" x14ac:dyDescent="0.2">
      <c r="A13932" s="2" t="s">
        <v>7893</v>
      </c>
      <c r="B13932" s="2" t="s">
        <v>6968</v>
      </c>
      <c r="C13932" s="2">
        <v>642.73270000000002</v>
      </c>
      <c r="D13932" s="2">
        <f>HYPERLINK("http://mcb-m6.bioreg.kyushu-u.ac.jp/M3/20110404/F50775/1521/1", 68.53)</f>
        <v>68.53</v>
      </c>
      <c r="E13932" s="2">
        <v>35.99</v>
      </c>
      <c r="F13932" s="2">
        <v>2</v>
      </c>
      <c r="G13932" s="2" t="s">
        <v>10</v>
      </c>
    </row>
    <row r="13933" spans="1:9" x14ac:dyDescent="0.2">
      <c r="A13933" s="2" t="s">
        <v>7893</v>
      </c>
      <c r="B13933" s="2" t="s">
        <v>6968</v>
      </c>
      <c r="C13933" s="2">
        <v>642.40120000000002</v>
      </c>
      <c r="D13933" s="2">
        <f>HYPERLINK("http://mcb-m6.bioreg.kyushu-u.ac.jp/M3/20110421/F51048/1702/1", 44.36)</f>
        <v>44.36</v>
      </c>
      <c r="E13933" s="2">
        <v>17.38</v>
      </c>
      <c r="F13933" s="2">
        <v>2</v>
      </c>
      <c r="G13933" s="2" t="s">
        <v>12</v>
      </c>
    </row>
    <row r="13934" spans="1:9" x14ac:dyDescent="0.2">
      <c r="A13934" s="2" t="s">
        <v>7830</v>
      </c>
      <c r="B13934" s="2" t="s">
        <v>6778</v>
      </c>
      <c r="C13934" s="2">
        <v>666.37019999999995</v>
      </c>
      <c r="D13934" s="2">
        <f>HYPERLINK("http://mcb-m6.bioreg.kyushu-u.ac.jp/M3/20110404/F50775/1584/1", 41.81)</f>
        <v>41.81</v>
      </c>
      <c r="E13934" s="2">
        <v>17.89</v>
      </c>
      <c r="F13934" s="2">
        <v>2</v>
      </c>
      <c r="G13934" s="2" t="s">
        <v>10</v>
      </c>
    </row>
    <row r="13935" spans="1:9" x14ac:dyDescent="0.2">
      <c r="A13935" s="2" t="s">
        <v>3925</v>
      </c>
      <c r="B13935" s="2" t="s">
        <v>2634</v>
      </c>
      <c r="C13935" s="2">
        <v>597.6952</v>
      </c>
      <c r="D13935" s="2">
        <f>HYPERLINK("http://mcb-m6.bioreg.kyushu-u.ac.jp/M3/20110404/F50777/1310/1", 48.3)</f>
        <v>48.3</v>
      </c>
      <c r="E13935" s="2">
        <v>26.58</v>
      </c>
      <c r="F13935" s="2">
        <v>2</v>
      </c>
      <c r="G13935" s="2" t="s">
        <v>9</v>
      </c>
      <c r="I13935" s="2" t="s">
        <v>4890</v>
      </c>
    </row>
    <row r="13936" spans="1:9" x14ac:dyDescent="0.2">
      <c r="A13936" s="2" t="s">
        <v>3925</v>
      </c>
      <c r="B13936" s="2" t="s">
        <v>1102</v>
      </c>
      <c r="C13936" s="2">
        <v>699.2867</v>
      </c>
      <c r="D13936" s="2">
        <f>HYPERLINK("http://mcb-m6.bioreg.kyushu-u.ac.jp/M3/20110404/F50777/1720/1", 71.23)</f>
        <v>71.23</v>
      </c>
      <c r="E13936" s="2">
        <v>46.02</v>
      </c>
      <c r="F13936" s="2">
        <v>2</v>
      </c>
      <c r="G13936" s="2" t="s">
        <v>9</v>
      </c>
    </row>
    <row r="13937" spans="1:9" x14ac:dyDescent="0.2">
      <c r="A13937" s="2" t="s">
        <v>3925</v>
      </c>
      <c r="B13937" s="2" t="s">
        <v>1102</v>
      </c>
      <c r="C13937" s="2">
        <v>698.78060000000005</v>
      </c>
      <c r="D13937" s="2">
        <f>HYPERLINK("http://mcb-m6.bioreg.kyushu-u.ac.jp/M3/20110404/F50777/1719/1", 77.33)</f>
        <v>77.33</v>
      </c>
      <c r="E13937" s="2">
        <v>53</v>
      </c>
      <c r="F13937" s="2">
        <v>2</v>
      </c>
      <c r="G13937" s="2" t="s">
        <v>9</v>
      </c>
    </row>
    <row r="13938" spans="1:9" x14ac:dyDescent="0.2">
      <c r="A13938" s="2" t="s">
        <v>3925</v>
      </c>
      <c r="B13938" s="2" t="s">
        <v>1102</v>
      </c>
      <c r="C13938" s="2">
        <v>698.7817</v>
      </c>
      <c r="D13938" s="2">
        <f>HYPERLINK("http://mcb-m6.bioreg.kyushu-u.ac.jp/M3/20110404/F50774/1715/1", 62.24)</f>
        <v>62.24</v>
      </c>
      <c r="E13938" s="2">
        <v>39.9</v>
      </c>
      <c r="F13938" s="2">
        <v>2</v>
      </c>
      <c r="G13938" s="2" t="s">
        <v>10</v>
      </c>
    </row>
    <row r="13939" spans="1:9" x14ac:dyDescent="0.2">
      <c r="A13939" s="2" t="s">
        <v>3925</v>
      </c>
      <c r="B13939" s="2" t="s">
        <v>1102</v>
      </c>
      <c r="C13939" s="2">
        <v>698.78719999999998</v>
      </c>
      <c r="D13939" s="2">
        <f>HYPERLINK("http://mcb-m6.bioreg.kyushu-u.ac.jp/M3/20110421/F51039/1845/1", 49.01)</f>
        <v>49.01</v>
      </c>
      <c r="E13939" s="2">
        <v>27.5</v>
      </c>
      <c r="F13939" s="2">
        <v>2</v>
      </c>
      <c r="G13939" s="2" t="s">
        <v>11</v>
      </c>
    </row>
    <row r="13940" spans="1:9" x14ac:dyDescent="0.2">
      <c r="A13940" s="2" t="s">
        <v>3925</v>
      </c>
      <c r="B13940" s="2" t="s">
        <v>1102</v>
      </c>
      <c r="C13940" s="2">
        <v>698.78520000000003</v>
      </c>
      <c r="D13940" s="2">
        <f>HYPERLINK("http://mcb-m6.bioreg.kyushu-u.ac.jp/M3/20110421/F51037/1753/1", 66.6)</f>
        <v>66.599999999999994</v>
      </c>
      <c r="E13940" s="2">
        <v>41.64</v>
      </c>
      <c r="F13940" s="2">
        <v>2</v>
      </c>
      <c r="G13940" s="2" t="s">
        <v>11</v>
      </c>
    </row>
    <row r="13941" spans="1:9" x14ac:dyDescent="0.2">
      <c r="A13941" s="2" t="s">
        <v>3925</v>
      </c>
      <c r="B13941" s="2" t="s">
        <v>7179</v>
      </c>
      <c r="C13941" s="2">
        <v>468.23509999999999</v>
      </c>
      <c r="D13941" s="2">
        <f>HYPERLINK("http://mcb-m6.bioreg.kyushu-u.ac.jp/M3/20110421/F51047/770/1", 38.68)</f>
        <v>38.68</v>
      </c>
      <c r="E13941" s="2">
        <v>18.11</v>
      </c>
      <c r="F13941" s="2">
        <v>2</v>
      </c>
      <c r="G13941" s="2" t="s">
        <v>12</v>
      </c>
    </row>
    <row r="13942" spans="1:9" x14ac:dyDescent="0.2">
      <c r="A13942" s="2" t="s">
        <v>3925</v>
      </c>
      <c r="B13942" s="2" t="s">
        <v>2634</v>
      </c>
      <c r="C13942" s="2">
        <v>597.90170000000001</v>
      </c>
      <c r="D13942" s="2">
        <f>HYPERLINK("http://mcb-m6.bioreg.kyushu-u.ac.jp/M3/20110421/F51048/1551/1", 44.28)</f>
        <v>44.28</v>
      </c>
      <c r="E13942" s="2">
        <v>16.13</v>
      </c>
      <c r="F13942" s="2">
        <v>2</v>
      </c>
      <c r="G13942" s="2" t="s">
        <v>12</v>
      </c>
      <c r="I13942" s="2" t="s">
        <v>4890</v>
      </c>
    </row>
    <row r="13943" spans="1:9" x14ac:dyDescent="0.2">
      <c r="A13943" s="2" t="s">
        <v>3925</v>
      </c>
      <c r="B13943" s="2" t="s">
        <v>1102</v>
      </c>
      <c r="C13943" s="2">
        <v>698.97969999999998</v>
      </c>
      <c r="D13943" s="2">
        <f>HYPERLINK("http://mcb-m6.bioreg.kyushu-u.ac.jp/M3/20110421/F51047/1884/1", 56.21)</f>
        <v>56.21</v>
      </c>
      <c r="E13943" s="2">
        <v>32.43</v>
      </c>
      <c r="F13943" s="2">
        <v>2</v>
      </c>
      <c r="G13943" s="2" t="s">
        <v>12</v>
      </c>
    </row>
    <row r="13944" spans="1:9" x14ac:dyDescent="0.2">
      <c r="A13944" s="2" t="s">
        <v>3925</v>
      </c>
      <c r="B13944" s="2" t="s">
        <v>1102</v>
      </c>
      <c r="C13944" s="2">
        <v>698.98569999999995</v>
      </c>
      <c r="D13944" s="2">
        <f>HYPERLINK("http://mcb-m6.bioreg.kyushu-u.ac.jp/M3/20110421/F51048/1957/1", 65.08)</f>
        <v>65.08</v>
      </c>
      <c r="E13944" s="2">
        <v>41.48</v>
      </c>
      <c r="F13944" s="2">
        <v>2</v>
      </c>
      <c r="G13944" s="2" t="s">
        <v>12</v>
      </c>
    </row>
    <row r="13945" spans="1:9" x14ac:dyDescent="0.2">
      <c r="A13945" s="2" t="s">
        <v>3925</v>
      </c>
      <c r="B13945" s="2" t="s">
        <v>1102</v>
      </c>
      <c r="C13945" s="2">
        <v>699.17409999999995</v>
      </c>
      <c r="D13945" s="2">
        <f>HYPERLINK("http://mcb-m6.bioreg.kyushu-u.ac.jp/M3/20110427/F51117/1788/1", 46.34)</f>
        <v>46.34</v>
      </c>
      <c r="E13945" s="2">
        <v>2.2400000000000002</v>
      </c>
      <c r="F13945" s="2">
        <v>2</v>
      </c>
      <c r="G13945" s="2" t="s">
        <v>13</v>
      </c>
    </row>
    <row r="13946" spans="1:9" x14ac:dyDescent="0.2">
      <c r="A13946" s="2" t="s">
        <v>3925</v>
      </c>
      <c r="B13946" s="2" t="s">
        <v>1102</v>
      </c>
      <c r="C13946" s="2">
        <v>698.64919999999995</v>
      </c>
      <c r="D13946" s="2">
        <f>HYPERLINK("http://mcb-m6.bioreg.kyushu-u.ac.jp/M3/20110428/F51132/1760/1", 83.19)</f>
        <v>83.19</v>
      </c>
      <c r="E13946" s="2">
        <v>48.15</v>
      </c>
      <c r="F13946" s="2">
        <v>2</v>
      </c>
      <c r="G13946" s="2" t="s">
        <v>13</v>
      </c>
    </row>
    <row r="13947" spans="1:9" x14ac:dyDescent="0.2">
      <c r="A13947" s="2" t="s">
        <v>3925</v>
      </c>
      <c r="B13947" s="2" t="s">
        <v>1102</v>
      </c>
      <c r="C13947" s="2">
        <v>698.64970000000005</v>
      </c>
      <c r="D13947" s="2">
        <f>HYPERLINK("http://mcb-m6.bioreg.kyushu-u.ac.jp/M3/20110428/F51129/1809/1", 60.06)</f>
        <v>60.06</v>
      </c>
      <c r="E13947" s="2">
        <v>27.5</v>
      </c>
      <c r="F13947" s="2">
        <v>2</v>
      </c>
      <c r="G13947" s="2" t="s">
        <v>14</v>
      </c>
    </row>
    <row r="13948" spans="1:9" x14ac:dyDescent="0.2">
      <c r="A13948" s="2" t="s">
        <v>3925</v>
      </c>
      <c r="B13948" s="2" t="s">
        <v>1102</v>
      </c>
      <c r="C13948" s="2">
        <v>699.17359999999996</v>
      </c>
      <c r="D13948" s="2">
        <f>HYPERLINK("http://mcb-m6.bioreg.kyushu-u.ac.jp/M3/20110428/F51129/1812/1", 70.69)</f>
        <v>70.69</v>
      </c>
      <c r="E13948" s="2">
        <v>41.98</v>
      </c>
      <c r="F13948" s="2">
        <v>2</v>
      </c>
      <c r="G13948" s="2" t="s">
        <v>14</v>
      </c>
    </row>
    <row r="13949" spans="1:9" x14ac:dyDescent="0.2">
      <c r="A13949" s="2" t="s">
        <v>4170</v>
      </c>
      <c r="B13949" s="2" t="s">
        <v>6954</v>
      </c>
      <c r="C13949" s="2">
        <v>811.52809999999999</v>
      </c>
      <c r="D13949" s="2">
        <f>HYPERLINK("http://mcb-m6.bioreg.kyushu-u.ac.jp/M3/20110404/F50770/2177/1", 65.41)</f>
        <v>65.41</v>
      </c>
      <c r="E13949" s="2">
        <v>42.9</v>
      </c>
      <c r="F13949" s="2">
        <v>2</v>
      </c>
      <c r="G13949" s="2" t="s">
        <v>10</v>
      </c>
    </row>
    <row r="13950" spans="1:9" x14ac:dyDescent="0.2">
      <c r="A13950" s="2" t="s">
        <v>4170</v>
      </c>
      <c r="B13950" s="2" t="s">
        <v>6995</v>
      </c>
      <c r="C13950" s="2">
        <v>663.79319999999996</v>
      </c>
      <c r="D13950" s="2">
        <f>HYPERLINK("http://mcb-m6.bioreg.kyushu-u.ac.jp/M3/20110404/F50770/1598/1", 75.75)</f>
        <v>75.75</v>
      </c>
      <c r="E13950" s="2">
        <v>51.76</v>
      </c>
      <c r="F13950" s="2">
        <v>2</v>
      </c>
      <c r="G13950" s="2" t="s">
        <v>10</v>
      </c>
    </row>
    <row r="13951" spans="1:9" x14ac:dyDescent="0.2">
      <c r="A13951" s="2" t="s">
        <v>8118</v>
      </c>
      <c r="B13951" s="2" t="s">
        <v>7479</v>
      </c>
      <c r="C13951" s="2">
        <v>862.56200000000001</v>
      </c>
      <c r="D13951" s="2">
        <f>HYPERLINK("http://mcb-m6.bioreg.kyushu-u.ac.jp/M3/20110428/F51135/680/2", 39.81)</f>
        <v>39.81</v>
      </c>
      <c r="E13951" s="2">
        <v>15.61</v>
      </c>
      <c r="F13951" s="2">
        <v>1</v>
      </c>
      <c r="G13951" s="2" t="s">
        <v>14</v>
      </c>
    </row>
    <row r="13952" spans="1:9" x14ac:dyDescent="0.2">
      <c r="A13952" s="2" t="s">
        <v>3806</v>
      </c>
      <c r="B13952" s="2" t="s">
        <v>2292</v>
      </c>
      <c r="C13952" s="2">
        <v>636.80520000000001</v>
      </c>
      <c r="D13952" s="2">
        <f>HYPERLINK("http://mcb-m6.bioreg.kyushu-u.ac.jp/M3/20110404/F50752/1785/1", 46.03)</f>
        <v>46.03</v>
      </c>
      <c r="E13952" s="2">
        <v>23.29</v>
      </c>
      <c r="F13952" s="2">
        <v>2</v>
      </c>
      <c r="G13952" s="2" t="s">
        <v>9</v>
      </c>
    </row>
    <row r="13953" spans="1:7" x14ac:dyDescent="0.2">
      <c r="A13953" s="2" t="s">
        <v>3806</v>
      </c>
      <c r="B13953" s="2" t="s">
        <v>2292</v>
      </c>
      <c r="C13953" s="2">
        <v>636.75160000000005</v>
      </c>
      <c r="D13953" s="2">
        <f>HYPERLINK("http://mcb-m6.bioreg.kyushu-u.ac.jp/M3/20110404/F50757/1834/1", 48.37)</f>
        <v>48.37</v>
      </c>
      <c r="E13953" s="2">
        <v>30.8</v>
      </c>
      <c r="F13953" s="2">
        <v>2</v>
      </c>
      <c r="G13953" s="2" t="s">
        <v>10</v>
      </c>
    </row>
    <row r="13954" spans="1:7" x14ac:dyDescent="0.2">
      <c r="A13954" s="2" t="s">
        <v>4697</v>
      </c>
      <c r="B13954" s="2" t="s">
        <v>2873</v>
      </c>
      <c r="C13954" s="2">
        <v>461.36259999999999</v>
      </c>
      <c r="D13954" s="2">
        <f>HYPERLINK("http://mcb-m6.bioreg.kyushu-u.ac.jp/M3/20110404/F50752/1216/1", 59.94)</f>
        <v>59.94</v>
      </c>
      <c r="E13954" s="2">
        <v>34.549999999999997</v>
      </c>
      <c r="F13954" s="2">
        <v>2</v>
      </c>
      <c r="G13954" s="2" t="s">
        <v>9</v>
      </c>
    </row>
    <row r="13955" spans="1:7" x14ac:dyDescent="0.2">
      <c r="A13955" s="2" t="s">
        <v>7665</v>
      </c>
      <c r="B13955" s="2" t="s">
        <v>6268</v>
      </c>
      <c r="C13955" s="2">
        <v>960.47400000000005</v>
      </c>
      <c r="D13955" s="2">
        <f>HYPERLINK("http://mcb-m6.bioreg.kyushu-u.ac.jp/M3/20110404/F50752/1287/1", 50.16)</f>
        <v>50.16</v>
      </c>
      <c r="E13955" s="2">
        <v>7.28</v>
      </c>
      <c r="F13955" s="2">
        <v>1</v>
      </c>
      <c r="G13955" s="2" t="s">
        <v>9</v>
      </c>
    </row>
    <row r="13956" spans="1:7" x14ac:dyDescent="0.2">
      <c r="A13956" s="2" t="s">
        <v>3636</v>
      </c>
      <c r="B13956" s="2" t="s">
        <v>800</v>
      </c>
      <c r="C13956" s="2">
        <v>921.55499999999995</v>
      </c>
      <c r="D13956" s="2">
        <f>HYPERLINK("http://mcb-m6.bioreg.kyushu-u.ac.jp/M3/20110404/F50752/1214/1", 35.39)</f>
        <v>35.39</v>
      </c>
      <c r="E13956" s="2">
        <v>10.23</v>
      </c>
      <c r="F13956" s="2">
        <v>1</v>
      </c>
      <c r="G13956" s="2" t="s">
        <v>9</v>
      </c>
    </row>
    <row r="13957" spans="1:7" x14ac:dyDescent="0.2">
      <c r="A13957" s="2" t="s">
        <v>3636</v>
      </c>
      <c r="B13957" s="2" t="s">
        <v>554</v>
      </c>
      <c r="C13957" s="2">
        <v>468.27159999999998</v>
      </c>
      <c r="D13957" s="2">
        <f>HYPERLINK("http://mcb-m6.bioreg.kyushu-u.ac.jp/M3/20110404/F50752/1242/1", 36.07)</f>
        <v>36.07</v>
      </c>
      <c r="E13957" s="2">
        <v>18.95</v>
      </c>
      <c r="F13957" s="2">
        <v>2</v>
      </c>
      <c r="G13957" s="2" t="s">
        <v>9</v>
      </c>
    </row>
    <row r="13958" spans="1:7" x14ac:dyDescent="0.2">
      <c r="A13958" s="2" t="s">
        <v>3636</v>
      </c>
      <c r="B13958" s="2" t="s">
        <v>800</v>
      </c>
      <c r="C13958" s="2">
        <v>461.30509999999998</v>
      </c>
      <c r="D13958" s="2">
        <f>HYPERLINK("http://mcb-m6.bioreg.kyushu-u.ac.jp/M3/20110404/F50752/1215/1", 44.46)</f>
        <v>44.46</v>
      </c>
      <c r="E13958" s="2">
        <v>12.72</v>
      </c>
      <c r="F13958" s="2">
        <v>2</v>
      </c>
      <c r="G13958" s="2" t="s">
        <v>9</v>
      </c>
    </row>
    <row r="13959" spans="1:7" x14ac:dyDescent="0.2">
      <c r="A13959" s="2" t="s">
        <v>3636</v>
      </c>
      <c r="B13959" s="2" t="s">
        <v>1397</v>
      </c>
      <c r="C13959" s="2">
        <v>517.16669999999999</v>
      </c>
      <c r="D13959" s="2">
        <f>HYPERLINK("http://mcb-m6.bioreg.kyushu-u.ac.jp/M3/20110404/F50752/1404/1", 74.56)</f>
        <v>74.56</v>
      </c>
      <c r="E13959" s="2">
        <v>34.15</v>
      </c>
      <c r="F13959" s="2">
        <v>2</v>
      </c>
      <c r="G13959" s="2" t="s">
        <v>9</v>
      </c>
    </row>
    <row r="13960" spans="1:7" x14ac:dyDescent="0.2">
      <c r="A13960" s="2" t="s">
        <v>3636</v>
      </c>
      <c r="B13960" s="2" t="s">
        <v>1397</v>
      </c>
      <c r="C13960" s="2">
        <v>517.12019999999995</v>
      </c>
      <c r="D13960" s="2">
        <f>HYPERLINK("http://mcb-m6.bioreg.kyushu-u.ac.jp/M3/20110404/F50757/1542/1", 52.09)</f>
        <v>52.09</v>
      </c>
      <c r="E13960" s="2">
        <v>14.34</v>
      </c>
      <c r="F13960" s="2">
        <v>2</v>
      </c>
      <c r="G13960" s="2" t="s">
        <v>10</v>
      </c>
    </row>
    <row r="13961" spans="1:7" x14ac:dyDescent="0.2">
      <c r="A13961" s="2" t="s">
        <v>3636</v>
      </c>
      <c r="B13961" s="2" t="s">
        <v>1397</v>
      </c>
      <c r="C13961" s="2">
        <v>516.72360000000003</v>
      </c>
      <c r="D13961" s="2">
        <f>HYPERLINK("http://mcb-m6.bioreg.kyushu-u.ac.jp/M3/20110427/F51110/1368/1", 41.07)</f>
        <v>41.07</v>
      </c>
      <c r="E13961" s="2">
        <v>12.29</v>
      </c>
      <c r="F13961" s="2">
        <v>2</v>
      </c>
      <c r="G13961" s="2" t="s">
        <v>13</v>
      </c>
    </row>
    <row r="13962" spans="1:7" x14ac:dyDescent="0.2">
      <c r="A13962" s="2" t="s">
        <v>3331</v>
      </c>
      <c r="B13962" s="2" t="s">
        <v>2282</v>
      </c>
      <c r="C13962" s="2">
        <v>670.9307</v>
      </c>
      <c r="D13962" s="2">
        <f>HYPERLINK("http://mcb-m6.bioreg.kyushu-u.ac.jp/M3/20110404/F50762/1513/1", 48.93)</f>
        <v>48.93</v>
      </c>
      <c r="E13962" s="2">
        <v>29.95</v>
      </c>
      <c r="F13962" s="2">
        <v>2</v>
      </c>
      <c r="G13962" s="2" t="s">
        <v>9</v>
      </c>
    </row>
    <row r="13963" spans="1:7" x14ac:dyDescent="0.2">
      <c r="A13963" s="2" t="s">
        <v>3331</v>
      </c>
      <c r="B13963" s="2" t="s">
        <v>119</v>
      </c>
      <c r="C13963" s="2">
        <v>880.78970000000004</v>
      </c>
      <c r="D13963" s="2">
        <f>HYPERLINK("http://mcb-m6.bioreg.kyushu-u.ac.jp/M3/20110404/F50762/2249/1", 70.7)</f>
        <v>70.7</v>
      </c>
      <c r="E13963" s="2">
        <v>49.78</v>
      </c>
      <c r="F13963" s="2">
        <v>2</v>
      </c>
      <c r="G13963" s="2" t="s">
        <v>9</v>
      </c>
    </row>
    <row r="13964" spans="1:7" x14ac:dyDescent="0.2">
      <c r="A13964" s="2" t="s">
        <v>3331</v>
      </c>
      <c r="B13964" s="2" t="s">
        <v>119</v>
      </c>
      <c r="C13964" s="2">
        <v>881.46870000000001</v>
      </c>
      <c r="D13964" s="2">
        <f>HYPERLINK("http://mcb-m6.bioreg.kyushu-u.ac.jp/M3/20110404/F50762/2250/1", 81.57)</f>
        <v>81.569999999999993</v>
      </c>
      <c r="E13964" s="2">
        <v>62.01</v>
      </c>
      <c r="F13964" s="2">
        <v>2</v>
      </c>
      <c r="G13964" s="2" t="s">
        <v>9</v>
      </c>
    </row>
    <row r="13965" spans="1:7" x14ac:dyDescent="0.2">
      <c r="A13965" s="2" t="s">
        <v>3331</v>
      </c>
      <c r="B13965" s="2" t="s">
        <v>1232</v>
      </c>
      <c r="C13965" s="2">
        <v>887.48910000000001</v>
      </c>
      <c r="D13965" s="2">
        <f>HYPERLINK("http://mcb-m6.bioreg.kyushu-u.ac.jp/M3/20110404/F50762/2260/1", 87.92)</f>
        <v>87.92</v>
      </c>
      <c r="E13965" s="2">
        <v>72.66</v>
      </c>
      <c r="F13965" s="2">
        <v>2</v>
      </c>
      <c r="G13965" s="2" t="s">
        <v>9</v>
      </c>
    </row>
    <row r="13966" spans="1:7" x14ac:dyDescent="0.2">
      <c r="A13966" s="2" t="s">
        <v>3331</v>
      </c>
      <c r="B13966" s="2" t="s">
        <v>2055</v>
      </c>
      <c r="C13966" s="2">
        <v>757.78020000000004</v>
      </c>
      <c r="D13966" s="2">
        <f>HYPERLINK("http://mcb-m6.bioreg.kyushu-u.ac.jp/M3/20110404/F50762/1891/1", 98.01)</f>
        <v>98.01</v>
      </c>
      <c r="E13966" s="2">
        <v>76.5</v>
      </c>
      <c r="F13966" s="2">
        <v>2</v>
      </c>
      <c r="G13966" s="2" t="s">
        <v>9</v>
      </c>
    </row>
    <row r="13967" spans="1:7" x14ac:dyDescent="0.2">
      <c r="A13967" s="2" t="s">
        <v>3331</v>
      </c>
      <c r="B13967" s="2" t="s">
        <v>119</v>
      </c>
      <c r="C13967" s="2">
        <v>587.52419999999995</v>
      </c>
      <c r="D13967" s="2">
        <f>HYPERLINK("http://mcb-m6.bioreg.kyushu-u.ac.jp/M3/20110404/F50768/2364/1", 50.8)</f>
        <v>50.8</v>
      </c>
      <c r="E13967" s="2">
        <v>29.3</v>
      </c>
      <c r="F13967" s="2">
        <v>3</v>
      </c>
      <c r="G13967" s="2" t="s">
        <v>10</v>
      </c>
    </row>
    <row r="13968" spans="1:7" x14ac:dyDescent="0.2">
      <c r="A13968" s="2" t="s">
        <v>3331</v>
      </c>
      <c r="B13968" s="2" t="s">
        <v>2282</v>
      </c>
      <c r="C13968" s="2">
        <v>671.09310000000005</v>
      </c>
      <c r="D13968" s="2">
        <f>HYPERLINK("http://mcb-m6.bioreg.kyushu-u.ac.jp/M3/20110404/F50768/1591/1", 65.1)</f>
        <v>65.099999999999994</v>
      </c>
      <c r="E13968" s="2">
        <v>54.29</v>
      </c>
      <c r="F13968" s="2">
        <v>2</v>
      </c>
      <c r="G13968" s="2" t="s">
        <v>10</v>
      </c>
    </row>
    <row r="13969" spans="1:8" x14ac:dyDescent="0.2">
      <c r="A13969" s="2" t="s">
        <v>3331</v>
      </c>
      <c r="B13969" s="2" t="s">
        <v>119</v>
      </c>
      <c r="C13969" s="2">
        <v>881.4307</v>
      </c>
      <c r="D13969" s="2">
        <f>HYPERLINK("http://mcb-m6.bioreg.kyushu-u.ac.jp/M3/20110404/F50768/2366/1", 82.4)</f>
        <v>82.4</v>
      </c>
      <c r="E13969" s="2">
        <v>66.45</v>
      </c>
      <c r="F13969" s="2">
        <v>2</v>
      </c>
      <c r="G13969" s="2" t="s">
        <v>10</v>
      </c>
    </row>
    <row r="13970" spans="1:8" x14ac:dyDescent="0.2">
      <c r="A13970" s="2" t="s">
        <v>3331</v>
      </c>
      <c r="B13970" s="2" t="s">
        <v>2055</v>
      </c>
      <c r="C13970" s="2">
        <v>757.99659999999994</v>
      </c>
      <c r="D13970" s="2">
        <f>HYPERLINK("http://mcb-m6.bioreg.kyushu-u.ac.jp/M3/20110404/F50768/1950/1", 84.06)</f>
        <v>84.06</v>
      </c>
      <c r="E13970" s="2">
        <v>59.94</v>
      </c>
      <c r="F13970" s="2">
        <v>2</v>
      </c>
      <c r="G13970" s="2" t="s">
        <v>10</v>
      </c>
    </row>
    <row r="13971" spans="1:8" x14ac:dyDescent="0.2">
      <c r="A13971" s="2" t="s">
        <v>3331</v>
      </c>
      <c r="B13971" s="2" t="s">
        <v>119</v>
      </c>
      <c r="C13971" s="2">
        <v>880.84670000000006</v>
      </c>
      <c r="D13971" s="2">
        <f>HYPERLINK("http://mcb-m6.bioreg.kyushu-u.ac.jp/M3/20110404/F50768/2365/1", 93.68)</f>
        <v>93.68</v>
      </c>
      <c r="E13971" s="2">
        <v>71.34</v>
      </c>
      <c r="F13971" s="2">
        <v>2</v>
      </c>
      <c r="G13971" s="2" t="s">
        <v>10</v>
      </c>
    </row>
    <row r="13972" spans="1:8" x14ac:dyDescent="0.2">
      <c r="A13972" s="2" t="s">
        <v>3331</v>
      </c>
      <c r="B13972" s="2" t="s">
        <v>1232</v>
      </c>
      <c r="C13972" s="2">
        <v>887.30070000000001</v>
      </c>
      <c r="D13972" s="2">
        <f>HYPERLINK("http://mcb-m6.bioreg.kyushu-u.ac.jp/M3/20110404/F50768/2382/1", 117.49)</f>
        <v>117.49</v>
      </c>
      <c r="E13972" s="2">
        <v>97.26</v>
      </c>
      <c r="F13972" s="2">
        <v>2</v>
      </c>
      <c r="G13972" s="2" t="s">
        <v>10</v>
      </c>
    </row>
    <row r="13973" spans="1:8" x14ac:dyDescent="0.2">
      <c r="A13973" s="2" t="s">
        <v>3331</v>
      </c>
      <c r="B13973" s="2" t="s">
        <v>2282</v>
      </c>
      <c r="C13973" s="2">
        <v>671.39419999999996</v>
      </c>
      <c r="D13973" s="2">
        <f>HYPERLINK("http://mcb-m6.bioreg.kyushu-u.ac.jp/M3/20110421/F51035/1545/1", 38.71)</f>
        <v>38.71</v>
      </c>
      <c r="E13973" s="2">
        <v>23.37</v>
      </c>
      <c r="F13973" s="2">
        <v>2</v>
      </c>
      <c r="G13973" s="2" t="s">
        <v>11</v>
      </c>
    </row>
    <row r="13974" spans="1:8" x14ac:dyDescent="0.2">
      <c r="A13974" s="2" t="s">
        <v>3331</v>
      </c>
      <c r="B13974" s="2" t="s">
        <v>2186</v>
      </c>
      <c r="C13974" s="2">
        <v>774.71220000000005</v>
      </c>
      <c r="D13974" s="2">
        <f>HYPERLINK("http://mcb-m6.bioreg.kyushu-u.ac.jp/M3/20110421/F51035/2154/1", 73.85)</f>
        <v>73.849999999999994</v>
      </c>
      <c r="E13974" s="2">
        <v>54.27</v>
      </c>
      <c r="F13974" s="2">
        <v>2</v>
      </c>
      <c r="G13974" s="2" t="s">
        <v>11</v>
      </c>
    </row>
    <row r="13975" spans="1:8" x14ac:dyDescent="0.2">
      <c r="A13975" s="2" t="s">
        <v>3331</v>
      </c>
      <c r="B13975" s="2" t="s">
        <v>1771</v>
      </c>
      <c r="C13975" s="2">
        <v>995.65300000000002</v>
      </c>
      <c r="D13975" s="2">
        <f>HYPERLINK("http://mcb-m6.bioreg.kyushu-u.ac.jp/M3/20110421/F51045/1115/1", 41.63)</f>
        <v>41.63</v>
      </c>
      <c r="E13975" s="2">
        <v>18.27</v>
      </c>
      <c r="F13975" s="2">
        <v>1</v>
      </c>
      <c r="G13975" s="2" t="s">
        <v>12</v>
      </c>
    </row>
    <row r="13976" spans="1:8" x14ac:dyDescent="0.2">
      <c r="A13976" s="2" t="s">
        <v>3331</v>
      </c>
      <c r="B13976" s="2" t="s">
        <v>2282</v>
      </c>
      <c r="C13976" s="2">
        <v>671.01009999999997</v>
      </c>
      <c r="D13976" s="2">
        <f>HYPERLINK("http://mcb-m6.bioreg.kyushu-u.ac.jp/M3/20110421/F51045/1839/1", 46.59)</f>
        <v>46.59</v>
      </c>
      <c r="E13976" s="2">
        <v>33.049999999999997</v>
      </c>
      <c r="F13976" s="2">
        <v>2</v>
      </c>
      <c r="G13976" s="2" t="s">
        <v>12</v>
      </c>
    </row>
    <row r="13977" spans="1:8" x14ac:dyDescent="0.2">
      <c r="A13977" s="2" t="s">
        <v>3331</v>
      </c>
      <c r="B13977" s="2" t="s">
        <v>1232</v>
      </c>
      <c r="C13977" s="2">
        <v>887.43470000000002</v>
      </c>
      <c r="D13977" s="2">
        <f>HYPERLINK("http://mcb-m6.bioreg.kyushu-u.ac.jp/M3/20110421/F51045/2737/1", 78.5)</f>
        <v>78.5</v>
      </c>
      <c r="E13977" s="2">
        <v>69.19</v>
      </c>
      <c r="F13977" s="2">
        <v>2</v>
      </c>
      <c r="G13977" s="2" t="s">
        <v>12</v>
      </c>
    </row>
    <row r="13978" spans="1:8" x14ac:dyDescent="0.2">
      <c r="A13978" s="2" t="s">
        <v>3331</v>
      </c>
      <c r="B13978" s="2" t="s">
        <v>2186</v>
      </c>
      <c r="C13978" s="2">
        <v>774.92070000000001</v>
      </c>
      <c r="D13978" s="2">
        <f>HYPERLINK("http://mcb-m6.bioreg.kyushu-u.ac.jp/M3/20110421/F51045/2304/1", 83.2)</f>
        <v>83.2</v>
      </c>
      <c r="E13978" s="2">
        <v>58.62</v>
      </c>
      <c r="F13978" s="2">
        <v>2</v>
      </c>
      <c r="G13978" s="2" t="s">
        <v>12</v>
      </c>
    </row>
    <row r="13979" spans="1:8" x14ac:dyDescent="0.2">
      <c r="A13979" s="2" t="s">
        <v>3331</v>
      </c>
      <c r="B13979" s="2" t="s">
        <v>1232</v>
      </c>
      <c r="C13979" s="2">
        <v>896.01260000000002</v>
      </c>
      <c r="D13979" s="2">
        <f>HYPERLINK("http://mcb-m6.bioreg.kyushu-u.ac.jp/M3/20110421/F51045/2789/1", 84.07)</f>
        <v>84.07</v>
      </c>
      <c r="E13979" s="2">
        <v>67.17</v>
      </c>
      <c r="F13979" s="2">
        <v>2</v>
      </c>
      <c r="G13979" s="2" t="s">
        <v>12</v>
      </c>
      <c r="H13979" s="2" t="s">
        <v>4891</v>
      </c>
    </row>
    <row r="13980" spans="1:8" x14ac:dyDescent="0.2">
      <c r="A13980" s="2" t="s">
        <v>3331</v>
      </c>
      <c r="B13980" s="2" t="s">
        <v>119</v>
      </c>
      <c r="C13980" s="2">
        <v>872.50319999999999</v>
      </c>
      <c r="D13980" s="2">
        <f>HYPERLINK("http://mcb-m6.bioreg.kyushu-u.ac.jp/M3/20110421/F51043/2637/1", 87.25)</f>
        <v>87.25</v>
      </c>
      <c r="E13980" s="2">
        <v>58.72</v>
      </c>
      <c r="F13980" s="2">
        <v>2</v>
      </c>
      <c r="G13980" s="2" t="s">
        <v>12</v>
      </c>
      <c r="H13980" s="2" t="s">
        <v>4904</v>
      </c>
    </row>
    <row r="13981" spans="1:8" x14ac:dyDescent="0.2">
      <c r="A13981" s="2" t="s">
        <v>3331</v>
      </c>
      <c r="B13981" s="2" t="s">
        <v>2186</v>
      </c>
      <c r="C13981" s="2">
        <v>774.59119999999996</v>
      </c>
      <c r="D13981" s="2">
        <f>HYPERLINK("http://mcb-m6.bioreg.kyushu-u.ac.jp/M3/20110428/F51127/2061/1", 61.9)</f>
        <v>61.9</v>
      </c>
      <c r="E13981" s="2">
        <v>38.29</v>
      </c>
      <c r="F13981" s="2">
        <v>2</v>
      </c>
      <c r="G13981" s="2" t="s">
        <v>13</v>
      </c>
    </row>
    <row r="13982" spans="1:8" x14ac:dyDescent="0.2">
      <c r="A13982" s="2" t="s">
        <v>3331</v>
      </c>
      <c r="B13982" s="2" t="s">
        <v>2055</v>
      </c>
      <c r="C13982" s="2">
        <v>758.13019999999995</v>
      </c>
      <c r="D13982" s="2">
        <f>HYPERLINK("http://mcb-m6.bioreg.kyushu-u.ac.jp/M3/20110428/F51127/1979/1", 69.72)</f>
        <v>69.72</v>
      </c>
      <c r="E13982" s="2">
        <v>45.45</v>
      </c>
      <c r="F13982" s="2">
        <v>2</v>
      </c>
      <c r="G13982" s="2" t="s">
        <v>13</v>
      </c>
    </row>
    <row r="13983" spans="1:8" x14ac:dyDescent="0.2">
      <c r="A13983" s="2" t="s">
        <v>3331</v>
      </c>
      <c r="B13983" s="2" t="s">
        <v>1232</v>
      </c>
      <c r="C13983" s="2">
        <v>887.5797</v>
      </c>
      <c r="D13983" s="2">
        <f>HYPERLINK("http://mcb-m6.bioreg.kyushu-u.ac.jp/M3/20110428/F51127/2716/1", 95.69)</f>
        <v>95.69</v>
      </c>
      <c r="E13983" s="2">
        <v>76.67</v>
      </c>
      <c r="F13983" s="2">
        <v>2</v>
      </c>
      <c r="G13983" s="2" t="s">
        <v>13</v>
      </c>
    </row>
    <row r="13984" spans="1:8" x14ac:dyDescent="0.2">
      <c r="A13984" s="2" t="s">
        <v>3331</v>
      </c>
      <c r="B13984" s="2" t="s">
        <v>1232</v>
      </c>
      <c r="C13984" s="2">
        <v>591.94550000000004</v>
      </c>
      <c r="D13984" s="2">
        <f>HYPERLINK("http://mcb-m6.bioreg.kyushu-u.ac.jp/M3/20110428/F51128/2682/1", 36.4)</f>
        <v>36.4</v>
      </c>
      <c r="E13984" s="2">
        <v>14.87</v>
      </c>
      <c r="F13984" s="2">
        <v>3</v>
      </c>
      <c r="G13984" s="2" t="s">
        <v>14</v>
      </c>
    </row>
    <row r="13985" spans="1:9" x14ac:dyDescent="0.2">
      <c r="A13985" s="2" t="s">
        <v>3331</v>
      </c>
      <c r="B13985" s="2" t="s">
        <v>2282</v>
      </c>
      <c r="C13985" s="2">
        <v>671.22810000000004</v>
      </c>
      <c r="D13985" s="2">
        <f>HYPERLINK("http://mcb-m6.bioreg.kyushu-u.ac.jp/M3/20110428/F51128/1609/1", 38.63)</f>
        <v>38.630000000000003</v>
      </c>
      <c r="E13985" s="2">
        <v>24.99</v>
      </c>
      <c r="F13985" s="2">
        <v>2</v>
      </c>
      <c r="G13985" s="2" t="s">
        <v>14</v>
      </c>
    </row>
    <row r="13986" spans="1:9" x14ac:dyDescent="0.2">
      <c r="A13986" s="2" t="s">
        <v>3331</v>
      </c>
      <c r="B13986" s="2" t="s">
        <v>1771</v>
      </c>
      <c r="C13986" s="2">
        <v>995.21299999999997</v>
      </c>
      <c r="D13986" s="2">
        <f>HYPERLINK("http://mcb-m6.bioreg.kyushu-u.ac.jp/M3/20110428/F51128/900/1", 39.95)</f>
        <v>39.950000000000003</v>
      </c>
      <c r="E13986" s="2">
        <v>17.3</v>
      </c>
      <c r="F13986" s="2">
        <v>1</v>
      </c>
      <c r="G13986" s="2" t="s">
        <v>14</v>
      </c>
    </row>
    <row r="13987" spans="1:9" x14ac:dyDescent="0.2">
      <c r="A13987" s="2" t="s">
        <v>3331</v>
      </c>
      <c r="B13987" s="2" t="s">
        <v>1771</v>
      </c>
      <c r="C13987" s="2">
        <v>498.09109999999998</v>
      </c>
      <c r="D13987" s="2">
        <f>HYPERLINK("http://mcb-m6.bioreg.kyushu-u.ac.jp/M3/20110428/F51128/899/1", 46.71)</f>
        <v>46.71</v>
      </c>
      <c r="E13987" s="2">
        <v>21.75</v>
      </c>
      <c r="F13987" s="2">
        <v>2</v>
      </c>
      <c r="G13987" s="2" t="s">
        <v>14</v>
      </c>
    </row>
    <row r="13988" spans="1:9" x14ac:dyDescent="0.2">
      <c r="A13988" s="2" t="s">
        <v>3331</v>
      </c>
      <c r="B13988" s="2" t="s">
        <v>2282</v>
      </c>
      <c r="C13988" s="2">
        <v>670.72770000000003</v>
      </c>
      <c r="D13988" s="2">
        <f>HYPERLINK("http://mcb-m6.bioreg.kyushu-u.ac.jp/M3/20110428/F51128/1607/1", 47.76)</f>
        <v>47.76</v>
      </c>
      <c r="E13988" s="2">
        <v>34.159999999999997</v>
      </c>
      <c r="F13988" s="2">
        <v>2</v>
      </c>
      <c r="G13988" s="2" t="s">
        <v>14</v>
      </c>
    </row>
    <row r="13989" spans="1:9" x14ac:dyDescent="0.2">
      <c r="A13989" s="2" t="s">
        <v>3331</v>
      </c>
      <c r="B13989" s="2" t="s">
        <v>119</v>
      </c>
      <c r="C13989" s="2">
        <v>880.95510000000002</v>
      </c>
      <c r="D13989" s="2">
        <f>HYPERLINK("http://mcb-m6.bioreg.kyushu-u.ac.jp/M3/20110428/F51128/2653/1", 55.13)</f>
        <v>55.13</v>
      </c>
      <c r="E13989" s="2">
        <v>34.909999999999997</v>
      </c>
      <c r="F13989" s="2">
        <v>2</v>
      </c>
      <c r="G13989" s="2" t="s">
        <v>14</v>
      </c>
    </row>
    <row r="13990" spans="1:9" x14ac:dyDescent="0.2">
      <c r="A13990" s="2" t="s">
        <v>3331</v>
      </c>
      <c r="B13990" s="2" t="s">
        <v>2186</v>
      </c>
      <c r="C13990" s="2">
        <v>774.52670000000001</v>
      </c>
      <c r="D13990" s="2">
        <f>HYPERLINK("http://mcb-m6.bioreg.kyushu-u.ac.jp/M3/20110428/F51128/2121/1", 71.14)</f>
        <v>71.14</v>
      </c>
      <c r="E13990" s="2">
        <v>53.1</v>
      </c>
      <c r="F13990" s="2">
        <v>2</v>
      </c>
      <c r="G13990" s="2" t="s">
        <v>14</v>
      </c>
    </row>
    <row r="13991" spans="1:9" x14ac:dyDescent="0.2">
      <c r="A13991" s="2" t="s">
        <v>3331</v>
      </c>
      <c r="B13991" s="2" t="s">
        <v>2055</v>
      </c>
      <c r="C13991" s="2">
        <v>757.7527</v>
      </c>
      <c r="D13991" s="2">
        <f>HYPERLINK("http://mcb-m6.bioreg.kyushu-u.ac.jp/M3/20110428/F51128/2040/1", 88.07)</f>
        <v>88.07</v>
      </c>
      <c r="E13991" s="2">
        <v>69.34</v>
      </c>
      <c r="F13991" s="2">
        <v>2</v>
      </c>
      <c r="G13991" s="2" t="s">
        <v>14</v>
      </c>
    </row>
    <row r="13992" spans="1:9" x14ac:dyDescent="0.2">
      <c r="A13992" s="2" t="s">
        <v>3891</v>
      </c>
      <c r="B13992" s="2" t="s">
        <v>1034</v>
      </c>
      <c r="C13992" s="2">
        <v>709.09969999999998</v>
      </c>
      <c r="D13992" s="2">
        <f>HYPERLINK("http://mcb-m6.bioreg.kyushu-u.ac.jp/M3/20110427/F51112/1942/1", 60.82)</f>
        <v>60.82</v>
      </c>
      <c r="E13992" s="2">
        <v>48.41</v>
      </c>
      <c r="F13992" s="2">
        <v>2</v>
      </c>
      <c r="G13992" s="2" t="s">
        <v>13</v>
      </c>
      <c r="I13992" s="2" t="s">
        <v>4903</v>
      </c>
    </row>
    <row r="13993" spans="1:9" x14ac:dyDescent="0.2">
      <c r="A13993" s="2" t="s">
        <v>3598</v>
      </c>
      <c r="B13993" s="2" t="s">
        <v>489</v>
      </c>
      <c r="C13993" s="2">
        <v>833.40470000000005</v>
      </c>
      <c r="D13993" s="2">
        <f>HYPERLINK("http://mcb-m6.bioreg.kyushu-u.ac.jp/M3/20110404/F50777/2310/1", 96.74)</f>
        <v>96.74</v>
      </c>
      <c r="E13993" s="2">
        <v>84.78</v>
      </c>
      <c r="F13993" s="2">
        <v>2</v>
      </c>
      <c r="G13993" s="2" t="s">
        <v>9</v>
      </c>
    </row>
    <row r="13994" spans="1:9" x14ac:dyDescent="0.2">
      <c r="A13994" s="2" t="s">
        <v>3598</v>
      </c>
      <c r="B13994" s="2" t="s">
        <v>6941</v>
      </c>
      <c r="C13994" s="2">
        <v>862.24469999999997</v>
      </c>
      <c r="D13994" s="2">
        <f>HYPERLINK("http://mcb-m6.bioreg.kyushu-u.ac.jp/M3/20110404/F50774/2328/1", 62.85)</f>
        <v>62.85</v>
      </c>
      <c r="E13994" s="2">
        <v>44.91</v>
      </c>
      <c r="F13994" s="2">
        <v>2</v>
      </c>
      <c r="G13994" s="2" t="s">
        <v>10</v>
      </c>
    </row>
    <row r="13995" spans="1:9" x14ac:dyDescent="0.2">
      <c r="A13995" s="2" t="s">
        <v>3598</v>
      </c>
      <c r="B13995" s="2" t="s">
        <v>1242</v>
      </c>
      <c r="C13995" s="2">
        <v>899.87869999999998</v>
      </c>
      <c r="D13995" s="2">
        <f>HYPERLINK("http://mcb-m6.bioreg.kyushu-u.ac.jp/M3/20110404/F50774/2454/1", 91.11)</f>
        <v>91.11</v>
      </c>
      <c r="E13995" s="2">
        <v>79.430000000000007</v>
      </c>
      <c r="F13995" s="2">
        <v>2</v>
      </c>
      <c r="G13995" s="2" t="s">
        <v>10</v>
      </c>
      <c r="I13995" s="2" t="s">
        <v>4895</v>
      </c>
    </row>
    <row r="13996" spans="1:9" x14ac:dyDescent="0.2">
      <c r="A13996" s="2" t="s">
        <v>3598</v>
      </c>
      <c r="B13996" s="2" t="s">
        <v>2092</v>
      </c>
      <c r="C13996" s="2">
        <v>655.33320000000003</v>
      </c>
      <c r="D13996" s="2">
        <f>HYPERLINK("http://mcb-m6.bioreg.kyushu-u.ac.jp/M3/20110421/F51037/1508/1", 66.53)</f>
        <v>66.53</v>
      </c>
      <c r="E13996" s="2">
        <v>53.85</v>
      </c>
      <c r="F13996" s="2">
        <v>2</v>
      </c>
      <c r="G13996" s="2" t="s">
        <v>11</v>
      </c>
    </row>
    <row r="13997" spans="1:9" x14ac:dyDescent="0.2">
      <c r="A13997" s="2" t="s">
        <v>3598</v>
      </c>
      <c r="B13997" s="2" t="s">
        <v>489</v>
      </c>
      <c r="C13997" s="2">
        <v>841.21010000000001</v>
      </c>
      <c r="D13997" s="2">
        <f>HYPERLINK("http://mcb-m6.bioreg.kyushu-u.ac.jp/M3/20110421/F51037/2645/1", 111.59)</f>
        <v>111.59</v>
      </c>
      <c r="E13997" s="2">
        <v>101.56</v>
      </c>
      <c r="F13997" s="2">
        <v>2</v>
      </c>
      <c r="G13997" s="2" t="s">
        <v>11</v>
      </c>
      <c r="H13997" s="2" t="s">
        <v>4925</v>
      </c>
    </row>
    <row r="13998" spans="1:9" x14ac:dyDescent="0.2">
      <c r="A13998" s="2" t="s">
        <v>3598</v>
      </c>
      <c r="B13998" s="2" t="s">
        <v>2210</v>
      </c>
      <c r="C13998" s="2">
        <v>671.41859999999997</v>
      </c>
      <c r="D13998" s="2">
        <f>HYPERLINK("http://mcb-m6.bioreg.kyushu-u.ac.jp/M3/20110421/F51047/1711/1", 69.7)</f>
        <v>69.7</v>
      </c>
      <c r="E13998" s="2">
        <v>53.44</v>
      </c>
      <c r="F13998" s="2">
        <v>2</v>
      </c>
      <c r="G13998" s="2" t="s">
        <v>12</v>
      </c>
    </row>
    <row r="13999" spans="1:9" x14ac:dyDescent="0.2">
      <c r="A13999" s="2" t="s">
        <v>3598</v>
      </c>
      <c r="B13999" s="2" t="s">
        <v>2210</v>
      </c>
      <c r="C13999" s="2">
        <v>670.62959999999998</v>
      </c>
      <c r="D13999" s="2">
        <f>HYPERLINK("http://mcb-m6.bioreg.kyushu-u.ac.jp/M3/20110428/F51132/1582/1", 65.69)</f>
        <v>65.69</v>
      </c>
      <c r="E13999" s="2">
        <v>53.02</v>
      </c>
      <c r="F13999" s="2">
        <v>2</v>
      </c>
      <c r="G13999" s="2" t="s">
        <v>13</v>
      </c>
    </row>
    <row r="14000" spans="1:9" x14ac:dyDescent="0.2">
      <c r="A14000" s="2" t="s">
        <v>3598</v>
      </c>
      <c r="B14000" s="2" t="s">
        <v>2092</v>
      </c>
      <c r="C14000" s="2">
        <v>655.13819999999998</v>
      </c>
      <c r="D14000" s="2">
        <f>HYPERLINK("http://mcb-m6.bioreg.kyushu-u.ac.jp/M3/20110428/F51129/1585/1", 51.79)</f>
        <v>51.79</v>
      </c>
      <c r="E14000" s="2">
        <v>36.6</v>
      </c>
      <c r="F14000" s="2">
        <v>2</v>
      </c>
      <c r="G14000" s="2" t="s">
        <v>14</v>
      </c>
    </row>
    <row r="14001" spans="1:9" x14ac:dyDescent="0.2">
      <c r="A14001" s="2" t="s">
        <v>4448</v>
      </c>
      <c r="B14001" s="2" t="s">
        <v>3078</v>
      </c>
      <c r="C14001" s="2">
        <v>479.62509999999997</v>
      </c>
      <c r="D14001" s="2">
        <f>HYPERLINK("http://mcb-m6.bioreg.kyushu-u.ac.jp/M3/20110404/F50766/436/1", 53.85)</f>
        <v>53.85</v>
      </c>
      <c r="E14001" s="2">
        <v>20.28</v>
      </c>
      <c r="F14001" s="2">
        <v>2</v>
      </c>
      <c r="G14001" s="2" t="s">
        <v>9</v>
      </c>
    </row>
    <row r="14002" spans="1:9" x14ac:dyDescent="0.2">
      <c r="A14002" s="2" t="s">
        <v>4448</v>
      </c>
      <c r="B14002" s="2" t="s">
        <v>2347</v>
      </c>
      <c r="C14002" s="2">
        <v>681.89869999999996</v>
      </c>
      <c r="D14002" s="2">
        <f>HYPERLINK("http://mcb-m6.bioreg.kyushu-u.ac.jp/M3/20110404/F50772/1624/1", 63.2)</f>
        <v>63.2</v>
      </c>
      <c r="E14002" s="2">
        <v>40.369999999999997</v>
      </c>
      <c r="F14002" s="2">
        <v>2</v>
      </c>
      <c r="G14002" s="2" t="s">
        <v>10</v>
      </c>
      <c r="I14002" s="2" t="s">
        <v>4960</v>
      </c>
    </row>
    <row r="14003" spans="1:9" x14ac:dyDescent="0.2">
      <c r="A14003" s="2" t="s">
        <v>3726</v>
      </c>
      <c r="B14003" s="2" t="s">
        <v>2665</v>
      </c>
      <c r="C14003" s="2">
        <v>701.85059999999999</v>
      </c>
      <c r="D14003" s="2">
        <f>HYPERLINK("http://mcb-m6.bioreg.kyushu-u.ac.jp/M3/20110404/F50766/1303/1", 43.07)</f>
        <v>43.07</v>
      </c>
      <c r="E14003" s="2">
        <v>18.739999999999998</v>
      </c>
      <c r="F14003" s="2">
        <v>2</v>
      </c>
      <c r="G14003" s="2" t="s">
        <v>9</v>
      </c>
    </row>
    <row r="14004" spans="1:9" x14ac:dyDescent="0.2">
      <c r="A14004" s="2" t="s">
        <v>3726</v>
      </c>
      <c r="B14004" s="2" t="s">
        <v>6124</v>
      </c>
      <c r="C14004" s="2">
        <v>625.85220000000004</v>
      </c>
      <c r="D14004" s="2">
        <f>HYPERLINK("http://mcb-m6.bioreg.kyushu-u.ac.jp/M3/20110404/F50767/1160/1", 43.61)</f>
        <v>43.61</v>
      </c>
      <c r="E14004" s="2">
        <v>23.96</v>
      </c>
      <c r="F14004" s="2">
        <v>2</v>
      </c>
      <c r="G14004" s="2" t="s">
        <v>9</v>
      </c>
      <c r="I14004" s="2" t="s">
        <v>4890</v>
      </c>
    </row>
    <row r="14005" spans="1:9" x14ac:dyDescent="0.2">
      <c r="A14005" s="2" t="s">
        <v>3726</v>
      </c>
      <c r="B14005" s="2" t="s">
        <v>2948</v>
      </c>
      <c r="C14005" s="2">
        <v>731.39570000000003</v>
      </c>
      <c r="D14005" s="2">
        <f>HYPERLINK("http://mcb-m6.bioreg.kyushu-u.ac.jp/M3/20110404/F50765/1804/1", 50.13)</f>
        <v>50.13</v>
      </c>
      <c r="E14005" s="2">
        <v>35.950000000000003</v>
      </c>
      <c r="F14005" s="2">
        <v>2</v>
      </c>
      <c r="G14005" s="2" t="s">
        <v>9</v>
      </c>
    </row>
    <row r="14006" spans="1:9" x14ac:dyDescent="0.2">
      <c r="A14006" s="2" t="s">
        <v>3726</v>
      </c>
      <c r="B14006" s="2" t="s">
        <v>6403</v>
      </c>
      <c r="C14006" s="2">
        <v>602.27970000000005</v>
      </c>
      <c r="D14006" s="2">
        <f>HYPERLINK("http://mcb-m6.bioreg.kyushu-u.ac.jp/M3/20110404/F50767/1074/1", 60.41)</f>
        <v>60.41</v>
      </c>
      <c r="E14006" s="2">
        <v>38.11</v>
      </c>
      <c r="F14006" s="2">
        <v>2</v>
      </c>
      <c r="G14006" s="2" t="s">
        <v>9</v>
      </c>
    </row>
    <row r="14007" spans="1:9" x14ac:dyDescent="0.2">
      <c r="A14007" s="2" t="s">
        <v>3726</v>
      </c>
      <c r="B14007" s="2" t="s">
        <v>6563</v>
      </c>
      <c r="C14007" s="2">
        <v>898.43759999999997</v>
      </c>
      <c r="D14007" s="2">
        <f>HYPERLINK("http://mcb-m6.bioreg.kyushu-u.ac.jp/M3/20110404/F50767/3810/1", 80.8)</f>
        <v>80.8</v>
      </c>
      <c r="E14007" s="2">
        <v>70.989999999999995</v>
      </c>
      <c r="F14007" s="2">
        <v>3</v>
      </c>
      <c r="G14007" s="2" t="s">
        <v>9</v>
      </c>
    </row>
    <row r="14008" spans="1:9" x14ac:dyDescent="0.2">
      <c r="A14008" s="2" t="s">
        <v>3726</v>
      </c>
      <c r="B14008" s="2" t="s">
        <v>1891</v>
      </c>
      <c r="C14008" s="2">
        <v>934.49959999999999</v>
      </c>
      <c r="D14008" s="2">
        <f>HYPERLINK("http://mcb-m6.bioreg.kyushu-u.ac.jp/M3/20110404/F50766/2660/1", 105.54)</f>
        <v>105.54</v>
      </c>
      <c r="E14008" s="2">
        <v>88.78</v>
      </c>
      <c r="F14008" s="2">
        <v>2</v>
      </c>
      <c r="G14008" s="2" t="s">
        <v>9</v>
      </c>
    </row>
    <row r="14009" spans="1:9" x14ac:dyDescent="0.2">
      <c r="A14009" s="2" t="s">
        <v>3726</v>
      </c>
      <c r="B14009" s="2" t="s">
        <v>1891</v>
      </c>
      <c r="C14009" s="2">
        <v>934.30619999999999</v>
      </c>
      <c r="D14009" s="2">
        <f>HYPERLINK("http://mcb-m6.bioreg.kyushu-u.ac.jp/M3/20110404/F50767/2615/1", 106.56)</f>
        <v>106.56</v>
      </c>
      <c r="E14009" s="2">
        <v>90.84</v>
      </c>
      <c r="F14009" s="2">
        <v>2</v>
      </c>
      <c r="G14009" s="2" t="s">
        <v>9</v>
      </c>
    </row>
    <row r="14010" spans="1:9" x14ac:dyDescent="0.2">
      <c r="A14010" s="2" t="s">
        <v>3726</v>
      </c>
      <c r="B14010" s="2" t="s">
        <v>2948</v>
      </c>
      <c r="C14010" s="2">
        <v>731.27070000000003</v>
      </c>
      <c r="D14010" s="2">
        <f>HYPERLINK("http://mcb-m6.bioreg.kyushu-u.ac.jp/M3/20110404/F50772/1889/1", 39.95)</f>
        <v>39.950000000000003</v>
      </c>
      <c r="E14010" s="2">
        <v>18.920000000000002</v>
      </c>
      <c r="F14010" s="2">
        <v>2</v>
      </c>
      <c r="G14010" s="2" t="s">
        <v>10</v>
      </c>
    </row>
    <row r="14011" spans="1:9" x14ac:dyDescent="0.2">
      <c r="A14011" s="2" t="s">
        <v>3726</v>
      </c>
      <c r="B14011" s="2" t="s">
        <v>6801</v>
      </c>
      <c r="C14011" s="2">
        <v>674.85860000000002</v>
      </c>
      <c r="D14011" s="2">
        <f>HYPERLINK("http://mcb-m6.bioreg.kyushu-u.ac.jp/M3/20110404/F50772/1598/1", 44.19)</f>
        <v>44.19</v>
      </c>
      <c r="E14011" s="2">
        <v>26.99</v>
      </c>
      <c r="F14011" s="2">
        <v>2</v>
      </c>
      <c r="G14011" s="2" t="s">
        <v>10</v>
      </c>
    </row>
    <row r="14012" spans="1:9" x14ac:dyDescent="0.2">
      <c r="A14012" s="2" t="s">
        <v>3726</v>
      </c>
      <c r="B14012" s="2" t="s">
        <v>2275</v>
      </c>
      <c r="C14012" s="2">
        <v>712.99519999999995</v>
      </c>
      <c r="D14012" s="2">
        <f>HYPERLINK("http://mcb-m6.bioreg.kyushu-u.ac.jp/M3/20110404/F50772/1787/1", 47.58)</f>
        <v>47.58</v>
      </c>
      <c r="E14012" s="2">
        <v>29.54</v>
      </c>
      <c r="F14012" s="2">
        <v>2</v>
      </c>
      <c r="G14012" s="2" t="s">
        <v>10</v>
      </c>
      <c r="I14012" s="2" t="s">
        <v>4914</v>
      </c>
    </row>
    <row r="14013" spans="1:9" x14ac:dyDescent="0.2">
      <c r="A14013" s="2" t="s">
        <v>3726</v>
      </c>
      <c r="B14013" s="2" t="s">
        <v>6838</v>
      </c>
      <c r="C14013" s="2">
        <v>721.75070000000005</v>
      </c>
      <c r="D14013" s="2">
        <f>HYPERLINK("http://mcb-m6.bioreg.kyushu-u.ac.jp/M3/20110404/F50772/1851/1", 48.51)</f>
        <v>48.51</v>
      </c>
      <c r="E14013" s="2">
        <v>17</v>
      </c>
      <c r="F14013" s="2">
        <v>2</v>
      </c>
      <c r="G14013" s="2" t="s">
        <v>10</v>
      </c>
      <c r="I14013" s="2" t="s">
        <v>4903</v>
      </c>
    </row>
    <row r="14014" spans="1:9" x14ac:dyDescent="0.2">
      <c r="A14014" s="2" t="s">
        <v>3726</v>
      </c>
      <c r="B14014" s="2" t="s">
        <v>2794</v>
      </c>
      <c r="C14014" s="2">
        <v>559.28610000000003</v>
      </c>
      <c r="D14014" s="2">
        <f>HYPERLINK("http://mcb-m6.bioreg.kyushu-u.ac.jp/M3/20110404/F50772/1210/1", 51.41)</f>
        <v>51.41</v>
      </c>
      <c r="E14014" s="2">
        <v>7.78</v>
      </c>
      <c r="F14014" s="2">
        <v>2</v>
      </c>
      <c r="G14014" s="2" t="s">
        <v>10</v>
      </c>
      <c r="I14014" s="2" t="s">
        <v>4898</v>
      </c>
    </row>
    <row r="14015" spans="1:9" x14ac:dyDescent="0.2">
      <c r="A14015" s="2" t="s">
        <v>3726</v>
      </c>
      <c r="B14015" s="2" t="s">
        <v>6978</v>
      </c>
      <c r="C14015" s="2">
        <v>777.05359999999996</v>
      </c>
      <c r="D14015" s="2">
        <f>HYPERLINK("http://mcb-m6.bioreg.kyushu-u.ac.jp/M3/20110404/F50772/2074/1", 70.28)</f>
        <v>70.28</v>
      </c>
      <c r="E14015" s="2">
        <v>50.54</v>
      </c>
      <c r="F14015" s="2">
        <v>2</v>
      </c>
      <c r="G14015" s="2" t="s">
        <v>10</v>
      </c>
    </row>
    <row r="14016" spans="1:9" x14ac:dyDescent="0.2">
      <c r="A14016" s="2" t="s">
        <v>3726</v>
      </c>
      <c r="B14016" s="2" t="s">
        <v>6801</v>
      </c>
      <c r="C14016" s="2">
        <v>675.30719999999997</v>
      </c>
      <c r="D14016" s="2">
        <f>HYPERLINK("http://mcb-m6.bioreg.kyushu-u.ac.jp/M3/20110421/F51020/1699/1", 47.07)</f>
        <v>47.07</v>
      </c>
      <c r="E14016" s="2">
        <v>25.94</v>
      </c>
      <c r="F14016" s="2">
        <v>2</v>
      </c>
      <c r="G14016" s="2" t="s">
        <v>11</v>
      </c>
    </row>
    <row r="14017" spans="1:9" x14ac:dyDescent="0.2">
      <c r="A14017" s="2" t="s">
        <v>3726</v>
      </c>
      <c r="B14017" s="2" t="s">
        <v>2794</v>
      </c>
      <c r="C14017" s="2">
        <v>559.66309999999999</v>
      </c>
      <c r="D14017" s="2">
        <f>HYPERLINK("http://mcb-m6.bioreg.kyushu-u.ac.jp/M3/20110427/F51115/1286/1", 38.95)</f>
        <v>38.950000000000003</v>
      </c>
      <c r="E14017" s="2">
        <v>11.11</v>
      </c>
      <c r="F14017" s="2">
        <v>2</v>
      </c>
      <c r="G14017" s="2" t="s">
        <v>13</v>
      </c>
      <c r="I14017" s="2" t="s">
        <v>4898</v>
      </c>
    </row>
    <row r="14018" spans="1:9" x14ac:dyDescent="0.2">
      <c r="A14018" s="2" t="s">
        <v>3726</v>
      </c>
      <c r="B14018" s="2" t="s">
        <v>2223</v>
      </c>
      <c r="C14018" s="2">
        <v>703.64419999999996</v>
      </c>
      <c r="D14018" s="2">
        <f>HYPERLINK("http://mcb-m6.bioreg.kyushu-u.ac.jp/M3/20110427/F51115/1817/1", 57.64)</f>
        <v>57.64</v>
      </c>
      <c r="E14018" s="2">
        <v>30.07</v>
      </c>
      <c r="F14018" s="2">
        <v>2</v>
      </c>
      <c r="G14018" s="2" t="s">
        <v>13</v>
      </c>
    </row>
    <row r="14019" spans="1:9" x14ac:dyDescent="0.2">
      <c r="A14019" s="2" t="s">
        <v>3726</v>
      </c>
      <c r="B14019" s="2" t="s">
        <v>3227</v>
      </c>
      <c r="C14019" s="2">
        <v>734.41769999999997</v>
      </c>
      <c r="D14019" s="2">
        <f>HYPERLINK("http://mcb-m6.bioreg.kyushu-u.ac.jp/M3/20110427/F51117/1958/1", 70.06)</f>
        <v>70.06</v>
      </c>
      <c r="E14019" s="2">
        <v>48.63</v>
      </c>
      <c r="F14019" s="2">
        <v>2</v>
      </c>
      <c r="G14019" s="2" t="s">
        <v>13</v>
      </c>
      <c r="I14019" s="2" t="s">
        <v>4983</v>
      </c>
    </row>
    <row r="14020" spans="1:9" x14ac:dyDescent="0.2">
      <c r="A14020" s="2" t="s">
        <v>3726</v>
      </c>
      <c r="B14020" s="2" t="s">
        <v>1891</v>
      </c>
      <c r="C14020" s="2">
        <v>934.75120000000004</v>
      </c>
      <c r="D14020" s="2">
        <f>HYPERLINK("http://mcb-m6.bioreg.kyushu-u.ac.jp/M3/20110427/F51116/2875/1", 99.14)</f>
        <v>99.14</v>
      </c>
      <c r="E14020" s="2">
        <v>86.47</v>
      </c>
      <c r="F14020" s="2">
        <v>2</v>
      </c>
      <c r="G14020" s="2" t="s">
        <v>13</v>
      </c>
    </row>
    <row r="14021" spans="1:9" x14ac:dyDescent="0.2">
      <c r="A14021" s="2" t="s">
        <v>4835</v>
      </c>
      <c r="B14021" s="2" t="s">
        <v>5937</v>
      </c>
      <c r="C14021" s="2">
        <v>797.3922</v>
      </c>
      <c r="D14021" s="2">
        <f>HYPERLINK("http://mcb-m6.bioreg.kyushu-u.ac.jp/M3/20110404/F50767/2009/1", 36.35)</f>
        <v>36.35</v>
      </c>
      <c r="E14021" s="2">
        <v>24.77</v>
      </c>
      <c r="F14021" s="2">
        <v>2</v>
      </c>
      <c r="G14021" s="2" t="s">
        <v>9</v>
      </c>
    </row>
    <row r="14022" spans="1:9" x14ac:dyDescent="0.2">
      <c r="A14022" s="2" t="s">
        <v>4835</v>
      </c>
      <c r="B14022" s="2" t="s">
        <v>6188</v>
      </c>
      <c r="C14022" s="2">
        <v>803.34469999999999</v>
      </c>
      <c r="D14022" s="2">
        <f>HYPERLINK("http://mcb-m6.bioreg.kyushu-u.ac.jp/M3/20110404/F50767/2043/1", 45.89)</f>
        <v>45.89</v>
      </c>
      <c r="E14022" s="2">
        <v>7.07</v>
      </c>
      <c r="F14022" s="2">
        <v>2</v>
      </c>
      <c r="G14022" s="2" t="s">
        <v>9</v>
      </c>
    </row>
    <row r="14023" spans="1:9" x14ac:dyDescent="0.2">
      <c r="A14023" s="2" t="s">
        <v>4835</v>
      </c>
      <c r="B14023" s="2" t="s">
        <v>6188</v>
      </c>
      <c r="C14023" s="2">
        <v>803.17909999999995</v>
      </c>
      <c r="D14023" s="2">
        <f>HYPERLINK("http://mcb-m6.bioreg.kyushu-u.ac.jp/M3/20110404/F50766/1941/1", 72.23)</f>
        <v>72.23</v>
      </c>
      <c r="E14023" s="2">
        <v>39.28</v>
      </c>
      <c r="F14023" s="2">
        <v>2</v>
      </c>
      <c r="G14023" s="2" t="s">
        <v>9</v>
      </c>
    </row>
    <row r="14024" spans="1:9" x14ac:dyDescent="0.2">
      <c r="A14024" s="2" t="s">
        <v>7777</v>
      </c>
      <c r="B14024" s="2" t="s">
        <v>6645</v>
      </c>
      <c r="C14024" s="2">
        <v>943.32510000000002</v>
      </c>
      <c r="D14024" s="2">
        <f>HYPERLINK("http://mcb-m6.bioreg.kyushu-u.ac.jp/M3/20110404/F50753/2751/1", 103.47)</f>
        <v>103.47</v>
      </c>
      <c r="E14024" s="2">
        <v>82.54</v>
      </c>
      <c r="F14024" s="2">
        <v>2</v>
      </c>
      <c r="G14024" s="2" t="s">
        <v>9</v>
      </c>
    </row>
    <row r="14025" spans="1:9" x14ac:dyDescent="0.2">
      <c r="A14025" s="2" t="s">
        <v>7777</v>
      </c>
      <c r="B14025" s="2" t="s">
        <v>6652</v>
      </c>
      <c r="C14025" s="2">
        <v>800.57420000000002</v>
      </c>
      <c r="D14025" s="2">
        <f>HYPERLINK("http://mcb-m6.bioreg.kyushu-u.ac.jp/M3/20110404/F50753/2247/1", 107.85)</f>
        <v>107.85</v>
      </c>
      <c r="E14025" s="2">
        <v>80.52</v>
      </c>
      <c r="F14025" s="2">
        <v>2</v>
      </c>
      <c r="G14025" s="2" t="s">
        <v>9</v>
      </c>
    </row>
    <row r="14026" spans="1:9" x14ac:dyDescent="0.2">
      <c r="A14026" s="2" t="s">
        <v>7777</v>
      </c>
      <c r="B14026" s="2" t="s">
        <v>6645</v>
      </c>
      <c r="C14026" s="2">
        <v>943.48109999999997</v>
      </c>
      <c r="D14026" s="2">
        <f>HYPERLINK("http://mcb-m6.bioreg.kyushu-u.ac.jp/M3/20110404/F50758/2562/1", 99.37)</f>
        <v>99.37</v>
      </c>
      <c r="E14026" s="2">
        <v>77.83</v>
      </c>
      <c r="F14026" s="2">
        <v>2</v>
      </c>
      <c r="G14026" s="2" t="s">
        <v>10</v>
      </c>
    </row>
    <row r="14027" spans="1:9" x14ac:dyDescent="0.2">
      <c r="A14027" s="2" t="s">
        <v>7777</v>
      </c>
      <c r="B14027" s="2" t="s">
        <v>6652</v>
      </c>
      <c r="C14027" s="2">
        <v>801.25369999999998</v>
      </c>
      <c r="D14027" s="2">
        <f>HYPERLINK("http://mcb-m6.bioreg.kyushu-u.ac.jp/M3/20110427/F51111/2457/1", 72.5)</f>
        <v>72.5</v>
      </c>
      <c r="E14027" s="2">
        <v>8.32</v>
      </c>
      <c r="F14027" s="2">
        <v>2</v>
      </c>
      <c r="G14027" s="2" t="s">
        <v>13</v>
      </c>
    </row>
    <row r="14028" spans="1:9" x14ac:dyDescent="0.2">
      <c r="A14028" s="2" t="s">
        <v>7675</v>
      </c>
      <c r="B14028" s="2" t="s">
        <v>6298</v>
      </c>
      <c r="C14028" s="2">
        <v>671.36659999999995</v>
      </c>
      <c r="D14028" s="2">
        <f>HYPERLINK("http://mcb-m6.bioreg.kyushu-u.ac.jp/M3/20110404/F50763/1630/1", 51.36)</f>
        <v>51.36</v>
      </c>
      <c r="E14028" s="2">
        <v>26.67</v>
      </c>
      <c r="F14028" s="2">
        <v>2</v>
      </c>
      <c r="G14028" s="2" t="s">
        <v>9</v>
      </c>
    </row>
    <row r="14029" spans="1:9" x14ac:dyDescent="0.2">
      <c r="A14029" s="2" t="s">
        <v>3786</v>
      </c>
      <c r="B14029" s="2" t="s">
        <v>2830</v>
      </c>
      <c r="C14029" s="2">
        <v>771.95420000000001</v>
      </c>
      <c r="D14029" s="2">
        <f>HYPERLINK("http://mcb-m6.bioreg.kyushu-u.ac.jp/M3/20110404/F50763/2050/1", 42.01)</f>
        <v>42.01</v>
      </c>
      <c r="E14029" s="2">
        <v>24.13</v>
      </c>
      <c r="F14029" s="2">
        <v>2</v>
      </c>
      <c r="G14029" s="2" t="s">
        <v>9</v>
      </c>
    </row>
    <row r="14030" spans="1:9" x14ac:dyDescent="0.2">
      <c r="A14030" s="2" t="s">
        <v>3786</v>
      </c>
      <c r="B14030" s="2" t="s">
        <v>6167</v>
      </c>
      <c r="C14030" s="2">
        <v>518.49720000000002</v>
      </c>
      <c r="D14030" s="2">
        <f>HYPERLINK("http://mcb-m6.bioreg.kyushu-u.ac.jp/M3/20110404/F50763/1148/1", 45.3)</f>
        <v>45.3</v>
      </c>
      <c r="E14030" s="2">
        <v>24.71</v>
      </c>
      <c r="F14030" s="2">
        <v>2</v>
      </c>
      <c r="G14030" s="2" t="s">
        <v>9</v>
      </c>
    </row>
    <row r="14031" spans="1:9" x14ac:dyDescent="0.2">
      <c r="A14031" s="2" t="s">
        <v>3786</v>
      </c>
      <c r="B14031" s="2" t="s">
        <v>6219</v>
      </c>
      <c r="C14031" s="2">
        <v>707.82619999999997</v>
      </c>
      <c r="D14031" s="2">
        <f>HYPERLINK("http://mcb-m6.bioreg.kyushu-u.ac.jp/M3/20110404/F50763/1798/1", 47.11)</f>
        <v>47.11</v>
      </c>
      <c r="E14031" s="2">
        <v>28.68</v>
      </c>
      <c r="F14031" s="2">
        <v>2</v>
      </c>
      <c r="G14031" s="2" t="s">
        <v>9</v>
      </c>
    </row>
    <row r="14032" spans="1:9" x14ac:dyDescent="0.2">
      <c r="A14032" s="2" t="s">
        <v>3786</v>
      </c>
      <c r="B14032" s="2" t="s">
        <v>825</v>
      </c>
      <c r="C14032" s="2">
        <v>569.18219999999997</v>
      </c>
      <c r="D14032" s="2">
        <f>HYPERLINK("http://mcb-m6.bioreg.kyushu-u.ac.jp/M3/20110404/F50754/1526/1", 51.66)</f>
        <v>51.66</v>
      </c>
      <c r="E14032" s="2">
        <v>29.19</v>
      </c>
      <c r="F14032" s="2">
        <v>2</v>
      </c>
      <c r="G14032" s="2" t="s">
        <v>9</v>
      </c>
    </row>
    <row r="14033" spans="1:7" x14ac:dyDescent="0.2">
      <c r="A14033" s="2" t="s">
        <v>3786</v>
      </c>
      <c r="B14033" s="2" t="s">
        <v>825</v>
      </c>
      <c r="C14033" s="2">
        <v>569.01070000000004</v>
      </c>
      <c r="D14033" s="2">
        <f>HYPERLINK("http://mcb-m6.bioreg.kyushu-u.ac.jp/M3/20110404/F50756/1216/1", 56.04)</f>
        <v>56.04</v>
      </c>
      <c r="E14033" s="2">
        <v>34.520000000000003</v>
      </c>
      <c r="F14033" s="2">
        <v>2</v>
      </c>
      <c r="G14033" s="2" t="s">
        <v>9</v>
      </c>
    </row>
    <row r="14034" spans="1:7" x14ac:dyDescent="0.2">
      <c r="A14034" s="2" t="s">
        <v>3786</v>
      </c>
      <c r="B14034" s="2" t="s">
        <v>825</v>
      </c>
      <c r="C14034" s="2">
        <v>568.71310000000005</v>
      </c>
      <c r="D14034" s="2">
        <f>HYPERLINK("http://mcb-m6.bioreg.kyushu-u.ac.jp/M3/20110404/F50763/1282/1", 57.43)</f>
        <v>57.43</v>
      </c>
      <c r="E14034" s="2">
        <v>29.11</v>
      </c>
      <c r="F14034" s="2">
        <v>2</v>
      </c>
      <c r="G14034" s="2" t="s">
        <v>9</v>
      </c>
    </row>
    <row r="14035" spans="1:7" x14ac:dyDescent="0.2">
      <c r="A14035" s="2" t="s">
        <v>3786</v>
      </c>
      <c r="B14035" s="2" t="s">
        <v>6472</v>
      </c>
      <c r="C14035" s="2">
        <v>1039.9290000000001</v>
      </c>
      <c r="D14035" s="2">
        <f>HYPERLINK("http://mcb-m6.bioreg.kyushu-u.ac.jp/M3/20110404/F50763/2861/1", 67.63)</f>
        <v>67.63</v>
      </c>
      <c r="E14035" s="2">
        <v>57.55</v>
      </c>
      <c r="F14035" s="2">
        <v>2</v>
      </c>
      <c r="G14035" s="2" t="s">
        <v>9</v>
      </c>
    </row>
    <row r="14036" spans="1:7" x14ac:dyDescent="0.2">
      <c r="A14036" s="2" t="s">
        <v>3786</v>
      </c>
      <c r="B14036" s="2" t="s">
        <v>825</v>
      </c>
      <c r="C14036" s="2">
        <v>568.8297</v>
      </c>
      <c r="D14036" s="2">
        <f>HYPERLINK("http://mcb-m6.bioreg.kyushu-u.ac.jp/M3/20110404/F50762/1217/1", 75.62)</f>
        <v>75.62</v>
      </c>
      <c r="E14036" s="2">
        <v>45.94</v>
      </c>
      <c r="F14036" s="2">
        <v>2</v>
      </c>
      <c r="G14036" s="2" t="s">
        <v>9</v>
      </c>
    </row>
    <row r="14037" spans="1:7" x14ac:dyDescent="0.2">
      <c r="A14037" s="2" t="s">
        <v>3786</v>
      </c>
      <c r="B14037" s="2" t="s">
        <v>6167</v>
      </c>
      <c r="C14037" s="2">
        <v>518.46119999999996</v>
      </c>
      <c r="D14037" s="2">
        <f>HYPERLINK("http://mcb-m6.bioreg.kyushu-u.ac.jp/M3/20110404/F50769/1329/1", 35.71)</f>
        <v>35.71</v>
      </c>
      <c r="E14037" s="2">
        <v>16.190000000000001</v>
      </c>
      <c r="F14037" s="2">
        <v>2</v>
      </c>
      <c r="G14037" s="2" t="s">
        <v>10</v>
      </c>
    </row>
    <row r="14038" spans="1:7" x14ac:dyDescent="0.2">
      <c r="A14038" s="2" t="s">
        <v>3786</v>
      </c>
      <c r="B14038" s="2" t="s">
        <v>2830</v>
      </c>
      <c r="C14038" s="2">
        <v>771.73220000000003</v>
      </c>
      <c r="D14038" s="2">
        <f>HYPERLINK("http://mcb-m6.bioreg.kyushu-u.ac.jp/M3/20110404/F50769/2065/1", 35.96)</f>
        <v>35.96</v>
      </c>
      <c r="E14038" s="2">
        <v>19.14</v>
      </c>
      <c r="F14038" s="2">
        <v>2</v>
      </c>
      <c r="G14038" s="2" t="s">
        <v>10</v>
      </c>
    </row>
    <row r="14039" spans="1:7" x14ac:dyDescent="0.2">
      <c r="A14039" s="2" t="s">
        <v>3786</v>
      </c>
      <c r="B14039" s="2" t="s">
        <v>825</v>
      </c>
      <c r="C14039" s="2">
        <v>568.61469999999997</v>
      </c>
      <c r="D14039" s="2">
        <f>HYPERLINK("http://mcb-m6.bioreg.kyushu-u.ac.jp/M3/20110404/F50758/1369/1", 42.43)</f>
        <v>42.43</v>
      </c>
      <c r="E14039" s="2">
        <v>19.23</v>
      </c>
      <c r="F14039" s="2">
        <v>2</v>
      </c>
      <c r="G14039" s="2" t="s">
        <v>10</v>
      </c>
    </row>
    <row r="14040" spans="1:7" x14ac:dyDescent="0.2">
      <c r="A14040" s="2" t="s">
        <v>3786</v>
      </c>
      <c r="B14040" s="2" t="s">
        <v>825</v>
      </c>
      <c r="C14040" s="2">
        <v>568.86019999999996</v>
      </c>
      <c r="D14040" s="2">
        <f>HYPERLINK("http://mcb-m6.bioreg.kyushu-u.ac.jp/M3/20110404/F50768/1282/1", 51.27)</f>
        <v>51.27</v>
      </c>
      <c r="E14040" s="2">
        <v>29.08</v>
      </c>
      <c r="F14040" s="2">
        <v>2</v>
      </c>
      <c r="G14040" s="2" t="s">
        <v>10</v>
      </c>
    </row>
    <row r="14041" spans="1:7" x14ac:dyDescent="0.2">
      <c r="A14041" s="2" t="s">
        <v>3786</v>
      </c>
      <c r="B14041" s="2" t="s">
        <v>825</v>
      </c>
      <c r="C14041" s="2">
        <v>569.12660000000005</v>
      </c>
      <c r="D14041" s="2">
        <f>HYPERLINK("http://mcb-m6.bioreg.kyushu-u.ac.jp/M3/20110404/F50769/1439/1", 56.02)</f>
        <v>56.02</v>
      </c>
      <c r="E14041" s="2">
        <v>34.15</v>
      </c>
      <c r="F14041" s="2">
        <v>2</v>
      </c>
      <c r="G14041" s="2" t="s">
        <v>10</v>
      </c>
    </row>
    <row r="14042" spans="1:7" x14ac:dyDescent="0.2">
      <c r="A14042" s="2" t="s">
        <v>3786</v>
      </c>
      <c r="B14042" s="2" t="s">
        <v>825</v>
      </c>
      <c r="C14042" s="2">
        <v>569.15369999999996</v>
      </c>
      <c r="D14042" s="2">
        <f>HYPERLINK("http://mcb-m6.bioreg.kyushu-u.ac.jp/M3/20110421/F51035/1073/1", 45.03)</f>
        <v>45.03</v>
      </c>
      <c r="E14042" s="2">
        <v>15.26</v>
      </c>
      <c r="F14042" s="2">
        <v>2</v>
      </c>
      <c r="G14042" s="2" t="s">
        <v>11</v>
      </c>
    </row>
    <row r="14043" spans="1:7" x14ac:dyDescent="0.2">
      <c r="A14043" s="2" t="s">
        <v>3786</v>
      </c>
      <c r="B14043" s="2" t="s">
        <v>825</v>
      </c>
      <c r="C14043" s="2">
        <v>568.3682</v>
      </c>
      <c r="D14043" s="2">
        <f>HYPERLINK("http://mcb-m6.bioreg.kyushu-u.ac.jp/M3/20110428/F51128/1196/1", 45.32)</f>
        <v>45.32</v>
      </c>
      <c r="E14043" s="2">
        <v>20</v>
      </c>
      <c r="F14043" s="2">
        <v>2</v>
      </c>
      <c r="G14043" s="2" t="s">
        <v>14</v>
      </c>
    </row>
    <row r="14044" spans="1:7" x14ac:dyDescent="0.2">
      <c r="A14044" s="2" t="s">
        <v>8001</v>
      </c>
      <c r="B14044" s="2" t="s">
        <v>7222</v>
      </c>
      <c r="C14044" s="2">
        <v>619.40520000000004</v>
      </c>
      <c r="D14044" s="2">
        <f>HYPERLINK("http://mcb-m6.bioreg.kyushu-u.ac.jp/M3/20110421/F51048/1643/1", 50.25)</f>
        <v>50.25</v>
      </c>
      <c r="E14044" s="2">
        <v>22.96</v>
      </c>
      <c r="F14044" s="2">
        <v>2</v>
      </c>
      <c r="G14044" s="2" t="s">
        <v>12</v>
      </c>
    </row>
    <row r="14045" spans="1:7" x14ac:dyDescent="0.2">
      <c r="A14045" s="2" t="s">
        <v>4000</v>
      </c>
      <c r="B14045" s="2" t="s">
        <v>1290</v>
      </c>
      <c r="C14045" s="2">
        <v>488.68860000000001</v>
      </c>
      <c r="D14045" s="2">
        <f>HYPERLINK("http://mcb-m6.bioreg.kyushu-u.ac.jp/M3/20110421/F51016/1361/1", 39.76)</f>
        <v>39.76</v>
      </c>
      <c r="E14045" s="2">
        <v>18.39</v>
      </c>
      <c r="F14045" s="2">
        <v>2</v>
      </c>
      <c r="G14045" s="2" t="s">
        <v>11</v>
      </c>
    </row>
    <row r="14046" spans="1:7" x14ac:dyDescent="0.2">
      <c r="A14046" s="4" t="s">
        <v>3831</v>
      </c>
      <c r="B14046" s="2" t="s">
        <v>903</v>
      </c>
      <c r="C14046" s="2">
        <v>890.29909999999995</v>
      </c>
      <c r="D14046" s="2">
        <f>HYPERLINK("http://mcb-m6.bioreg.kyushu-u.ac.jp/M3/20110404/F50753/2567/1", 73.64)</f>
        <v>73.64</v>
      </c>
      <c r="E14046" s="2">
        <v>56.22</v>
      </c>
      <c r="F14046" s="2">
        <v>2</v>
      </c>
      <c r="G14046" s="2" t="s">
        <v>9</v>
      </c>
    </row>
    <row r="14047" spans="1:7" x14ac:dyDescent="0.2">
      <c r="A14047" s="4" t="s">
        <v>3831</v>
      </c>
      <c r="B14047" s="2" t="s">
        <v>903</v>
      </c>
      <c r="C14047" s="2">
        <v>890.54110000000003</v>
      </c>
      <c r="D14047" s="2">
        <f>HYPERLINK("http://mcb-m6.bioreg.kyushu-u.ac.jp/M3/20110404/F50752/2548/1", 76.92)</f>
        <v>76.92</v>
      </c>
      <c r="E14047" s="2">
        <v>61.29</v>
      </c>
      <c r="F14047" s="2">
        <v>2</v>
      </c>
      <c r="G14047" s="2" t="s">
        <v>9</v>
      </c>
    </row>
    <row r="14048" spans="1:7" x14ac:dyDescent="0.2">
      <c r="A14048" s="4" t="s">
        <v>3831</v>
      </c>
      <c r="B14048" s="2" t="s">
        <v>903</v>
      </c>
      <c r="C14048" s="2">
        <v>890.00210000000004</v>
      </c>
      <c r="D14048" s="2">
        <f>HYPERLINK("http://mcb-m6.bioreg.kyushu-u.ac.jp/M3/20110404/F50752/2544/1", 80.02)</f>
        <v>80.02</v>
      </c>
      <c r="E14048" s="2">
        <v>63.86</v>
      </c>
      <c r="F14048" s="2">
        <v>2</v>
      </c>
      <c r="G14048" s="2" t="s">
        <v>9</v>
      </c>
    </row>
    <row r="14049" spans="1:7" x14ac:dyDescent="0.2">
      <c r="A14049" s="2" t="s">
        <v>4004</v>
      </c>
      <c r="B14049" s="2" t="s">
        <v>1295</v>
      </c>
      <c r="C14049" s="2">
        <v>812.44820000000004</v>
      </c>
      <c r="D14049" s="2">
        <f>HYPERLINK("http://mcb-m6.bioreg.kyushu-u.ac.jp/M3/20110404/F50752/2332/1", 75.83)</f>
        <v>75.83</v>
      </c>
      <c r="E14049" s="2">
        <v>53.01</v>
      </c>
      <c r="F14049" s="2">
        <v>2</v>
      </c>
      <c r="G14049" s="2" t="s">
        <v>9</v>
      </c>
    </row>
    <row r="14050" spans="1:7" x14ac:dyDescent="0.2">
      <c r="A14050" s="2" t="s">
        <v>7692</v>
      </c>
      <c r="B14050" s="2" t="s">
        <v>6343</v>
      </c>
      <c r="C14050" s="2">
        <v>774.87070000000006</v>
      </c>
      <c r="D14050" s="2">
        <f>HYPERLINK("http://mcb-m6.bioreg.kyushu-u.ac.jp/M3/20110404/F50764/2004/1", 55.17)</f>
        <v>55.17</v>
      </c>
      <c r="E14050" s="2">
        <v>41.78</v>
      </c>
      <c r="F14050" s="2">
        <v>2</v>
      </c>
      <c r="G14050" s="2" t="s">
        <v>9</v>
      </c>
    </row>
    <row r="14051" spans="1:7" x14ac:dyDescent="0.2">
      <c r="A14051" s="2" t="s">
        <v>7732</v>
      </c>
      <c r="B14051" s="2" t="s">
        <v>6460</v>
      </c>
      <c r="C14051" s="2">
        <v>490.19810000000001</v>
      </c>
      <c r="D14051" s="2">
        <f>HYPERLINK("http://mcb-m6.bioreg.kyushu-u.ac.jp/M3/20110404/F50756/977/1", 66.24)</f>
        <v>66.239999999999995</v>
      </c>
      <c r="E14051" s="2">
        <v>35.33</v>
      </c>
      <c r="F14051" s="2">
        <v>2</v>
      </c>
      <c r="G14051" s="2" t="s">
        <v>9</v>
      </c>
    </row>
    <row r="14052" spans="1:7" x14ac:dyDescent="0.2">
      <c r="A14052" s="2" t="s">
        <v>7732</v>
      </c>
      <c r="B14052" s="2" t="s">
        <v>6874</v>
      </c>
      <c r="C14052" s="2">
        <v>843.42899999999997</v>
      </c>
      <c r="D14052" s="2">
        <f>HYPERLINK("http://mcb-m6.bioreg.kyushu-u.ac.jp/M3/20110404/F50761/734/1", 52.25)</f>
        <v>52.25</v>
      </c>
      <c r="E14052" s="2">
        <v>18.23</v>
      </c>
      <c r="F14052" s="2">
        <v>1</v>
      </c>
      <c r="G14052" s="2" t="s">
        <v>10</v>
      </c>
    </row>
    <row r="14053" spans="1:7" x14ac:dyDescent="0.2">
      <c r="A14053" s="2" t="s">
        <v>4081</v>
      </c>
      <c r="B14053" s="2" t="s">
        <v>6447</v>
      </c>
      <c r="C14053" s="2">
        <v>685.31669999999997</v>
      </c>
      <c r="D14053" s="2">
        <f>HYPERLINK("http://mcb-m6.bioreg.kyushu-u.ac.jp/M3/20110404/F50756/1661/1", 65.6)</f>
        <v>65.599999999999994</v>
      </c>
      <c r="E14053" s="2">
        <v>50.33</v>
      </c>
      <c r="F14053" s="2">
        <v>2</v>
      </c>
      <c r="G14053" s="2" t="s">
        <v>9</v>
      </c>
    </row>
    <row r="14054" spans="1:7" x14ac:dyDescent="0.2">
      <c r="A14054" s="2" t="s">
        <v>4081</v>
      </c>
      <c r="B14054" s="2" t="s">
        <v>6447</v>
      </c>
      <c r="C14054" s="2">
        <v>684.71370000000002</v>
      </c>
      <c r="D14054" s="2">
        <f>HYPERLINK("http://mcb-m6.bioreg.kyushu-u.ac.jp/M3/20110404/F50756/1659/1", 74.33)</f>
        <v>74.33</v>
      </c>
      <c r="E14054" s="2">
        <v>59.47</v>
      </c>
      <c r="F14054" s="2">
        <v>2</v>
      </c>
      <c r="G14054" s="2" t="s">
        <v>9</v>
      </c>
    </row>
    <row r="14055" spans="1:7" x14ac:dyDescent="0.2">
      <c r="A14055" s="2" t="s">
        <v>4081</v>
      </c>
      <c r="B14055" s="2" t="s">
        <v>6566</v>
      </c>
      <c r="C14055" s="2">
        <v>904.32320000000004</v>
      </c>
      <c r="D14055" s="2">
        <f>HYPERLINK("http://mcb-m6.bioreg.kyushu-u.ac.jp/M3/20110404/F50756/2709/1", 81.42)</f>
        <v>81.42</v>
      </c>
      <c r="E14055" s="2">
        <v>58.47</v>
      </c>
      <c r="F14055" s="2">
        <v>2</v>
      </c>
      <c r="G14055" s="2" t="s">
        <v>9</v>
      </c>
    </row>
    <row r="14056" spans="1:7" x14ac:dyDescent="0.2">
      <c r="A14056" s="2" t="s">
        <v>4081</v>
      </c>
      <c r="B14056" s="2" t="s">
        <v>6780</v>
      </c>
      <c r="C14056" s="2">
        <v>681.82870000000003</v>
      </c>
      <c r="D14056" s="2">
        <f>HYPERLINK("http://mcb-m6.bioreg.kyushu-u.ac.jp/M3/20110404/F50761/1589/1", 42.04)</f>
        <v>42.04</v>
      </c>
      <c r="E14056" s="2">
        <v>23.06</v>
      </c>
      <c r="F14056" s="2">
        <v>2</v>
      </c>
      <c r="G14056" s="2" t="s">
        <v>10</v>
      </c>
    </row>
    <row r="14057" spans="1:7" x14ac:dyDescent="0.2">
      <c r="A14057" s="2" t="s">
        <v>4081</v>
      </c>
      <c r="B14057" s="2" t="s">
        <v>6447</v>
      </c>
      <c r="C14057" s="2">
        <v>685.25210000000004</v>
      </c>
      <c r="D14057" s="2">
        <f>HYPERLINK("http://mcb-m6.bioreg.kyushu-u.ac.jp/M3/20110404/F50761/1596/1", 61.25)</f>
        <v>61.25</v>
      </c>
      <c r="E14057" s="2">
        <v>47.27</v>
      </c>
      <c r="F14057" s="2">
        <v>2</v>
      </c>
      <c r="G14057" s="2" t="s">
        <v>10</v>
      </c>
    </row>
    <row r="14058" spans="1:7" x14ac:dyDescent="0.2">
      <c r="A14058" s="2" t="s">
        <v>4081</v>
      </c>
      <c r="B14058" s="2" t="s">
        <v>6566</v>
      </c>
      <c r="C14058" s="2">
        <v>904.34860000000003</v>
      </c>
      <c r="D14058" s="2">
        <f>HYPERLINK("http://mcb-m6.bioreg.kyushu-u.ac.jp/M3/20110404/F50761/2513/1", 72.18)</f>
        <v>72.180000000000007</v>
      </c>
      <c r="E14058" s="2">
        <v>55.66</v>
      </c>
      <c r="F14058" s="2">
        <v>2</v>
      </c>
      <c r="G14058" s="2" t="s">
        <v>10</v>
      </c>
    </row>
    <row r="14059" spans="1:7" x14ac:dyDescent="0.2">
      <c r="A14059" s="2" t="s">
        <v>4081</v>
      </c>
      <c r="B14059" s="2" t="s">
        <v>6566</v>
      </c>
      <c r="C14059" s="2">
        <v>903.7722</v>
      </c>
      <c r="D14059" s="2">
        <f>HYPERLINK("http://mcb-m6.bioreg.kyushu-u.ac.jp/M3/20110404/F50761/2510/1", 73.22)</f>
        <v>73.22</v>
      </c>
      <c r="E14059" s="2">
        <v>51.71</v>
      </c>
      <c r="F14059" s="2">
        <v>2</v>
      </c>
      <c r="G14059" s="2" t="s">
        <v>10</v>
      </c>
    </row>
    <row r="14060" spans="1:7" x14ac:dyDescent="0.2">
      <c r="A14060" s="2" t="s">
        <v>4081</v>
      </c>
      <c r="B14060" s="2" t="s">
        <v>6447</v>
      </c>
      <c r="C14060" s="2">
        <v>684.73320000000001</v>
      </c>
      <c r="D14060" s="2">
        <f>HYPERLINK("http://mcb-m6.bioreg.kyushu-u.ac.jp/M3/20110404/F50761/1595/1", 74.64)</f>
        <v>74.64</v>
      </c>
      <c r="E14060" s="2">
        <v>60.28</v>
      </c>
      <c r="F14060" s="2">
        <v>2</v>
      </c>
      <c r="G14060" s="2" t="s">
        <v>10</v>
      </c>
    </row>
    <row r="14061" spans="1:7" x14ac:dyDescent="0.2">
      <c r="A14061" s="2" t="s">
        <v>4081</v>
      </c>
      <c r="B14061" s="2" t="s">
        <v>1497</v>
      </c>
      <c r="C14061" s="2">
        <v>722.73270000000002</v>
      </c>
      <c r="D14061" s="2">
        <f>HYPERLINK("http://mcb-m6.bioreg.kyushu-u.ac.jp/M3/20110404/F50761/1778/1", 100.7)</f>
        <v>100.7</v>
      </c>
      <c r="E14061" s="2">
        <v>74.81</v>
      </c>
      <c r="F14061" s="2">
        <v>2</v>
      </c>
      <c r="G14061" s="2" t="s">
        <v>10</v>
      </c>
    </row>
    <row r="14062" spans="1:7" x14ac:dyDescent="0.2">
      <c r="A14062" s="2" t="s">
        <v>4081</v>
      </c>
      <c r="B14062" s="2" t="s">
        <v>1497</v>
      </c>
      <c r="C14062" s="2">
        <v>723.23469999999998</v>
      </c>
      <c r="D14062" s="2">
        <f>HYPERLINK("http://mcb-m6.bioreg.kyushu-u.ac.jp/M3/20110404/F50761/1779/1", 108.38)</f>
        <v>108.38</v>
      </c>
      <c r="E14062" s="2">
        <v>86.16</v>
      </c>
      <c r="F14062" s="2">
        <v>2</v>
      </c>
      <c r="G14062" s="2" t="s">
        <v>10</v>
      </c>
    </row>
    <row r="14063" spans="1:7" x14ac:dyDescent="0.2">
      <c r="A14063" s="2" t="s">
        <v>4081</v>
      </c>
      <c r="B14063" s="2" t="s">
        <v>1497</v>
      </c>
      <c r="C14063" s="2">
        <v>722.9357</v>
      </c>
      <c r="D14063" s="2">
        <f>HYPERLINK("http://mcb-m6.bioreg.kyushu-u.ac.jp/M3/20110421/F51034/1951/1", 64.93)</f>
        <v>64.930000000000007</v>
      </c>
      <c r="E14063" s="2">
        <v>50.81</v>
      </c>
      <c r="F14063" s="2">
        <v>2</v>
      </c>
      <c r="G14063" s="2" t="s">
        <v>11</v>
      </c>
    </row>
    <row r="14064" spans="1:7" x14ac:dyDescent="0.2">
      <c r="A14064" s="2" t="s">
        <v>4081</v>
      </c>
      <c r="B14064" s="2" t="s">
        <v>1497</v>
      </c>
      <c r="C14064" s="2">
        <v>722.87620000000004</v>
      </c>
      <c r="D14064" s="2">
        <f>HYPERLINK("http://mcb-m6.bioreg.kyushu-u.ac.jp/M3/20110421/F51044/1946/1", 111.19)</f>
        <v>111.19</v>
      </c>
      <c r="E14064" s="2">
        <v>86.7</v>
      </c>
      <c r="F14064" s="2">
        <v>2</v>
      </c>
      <c r="G14064" s="2" t="s">
        <v>12</v>
      </c>
    </row>
    <row r="14065" spans="1:9" x14ac:dyDescent="0.2">
      <c r="A14065" s="2" t="s">
        <v>4081</v>
      </c>
      <c r="B14065" s="2" t="s">
        <v>1497</v>
      </c>
      <c r="C14065" s="2">
        <v>722.69619999999998</v>
      </c>
      <c r="D14065" s="2">
        <f>HYPERLINK("http://mcb-m6.bioreg.kyushu-u.ac.jp/M3/20110427/F51114/1950/1", 50.81)</f>
        <v>50.81</v>
      </c>
      <c r="E14065" s="2">
        <v>38.869999999999997</v>
      </c>
      <c r="F14065" s="2">
        <v>2</v>
      </c>
      <c r="G14065" s="2" t="s">
        <v>13</v>
      </c>
    </row>
    <row r="14066" spans="1:9" x14ac:dyDescent="0.2">
      <c r="A14066" s="2" t="s">
        <v>4081</v>
      </c>
      <c r="B14066" s="2" t="s">
        <v>6566</v>
      </c>
      <c r="C14066" s="2">
        <v>603.34780000000001</v>
      </c>
      <c r="D14066" s="2">
        <f>HYPERLINK("http://mcb-m6.bioreg.kyushu-u.ac.jp/M3/20110427/F51123/2757/1", 42.66)</f>
        <v>42.66</v>
      </c>
      <c r="E14066" s="2">
        <v>26.37</v>
      </c>
      <c r="F14066" s="2">
        <v>3</v>
      </c>
      <c r="G14066" s="2" t="s">
        <v>14</v>
      </c>
    </row>
    <row r="14067" spans="1:9" x14ac:dyDescent="0.2">
      <c r="A14067" s="2" t="s">
        <v>4081</v>
      </c>
      <c r="B14067" s="2" t="s">
        <v>6447</v>
      </c>
      <c r="C14067" s="2">
        <v>685.14170000000001</v>
      </c>
      <c r="D14067" s="2">
        <f>HYPERLINK("http://mcb-m6.bioreg.kyushu-u.ac.jp/M3/20110427/F51123/1758/1", 71.82)</f>
        <v>71.819999999999993</v>
      </c>
      <c r="E14067" s="2">
        <v>55.78</v>
      </c>
      <c r="F14067" s="2">
        <v>2</v>
      </c>
      <c r="G14067" s="2" t="s">
        <v>14</v>
      </c>
    </row>
    <row r="14068" spans="1:9" x14ac:dyDescent="0.2">
      <c r="A14068" s="2" t="s">
        <v>4024</v>
      </c>
      <c r="B14068" s="2" t="s">
        <v>1401</v>
      </c>
      <c r="C14068" s="2">
        <v>645.19870000000003</v>
      </c>
      <c r="D14068" s="2">
        <f>HYPERLINK("http://mcb-m6.bioreg.kyushu-u.ac.jp/M3/20110404/F50753/1643/1", 87.19)</f>
        <v>87.19</v>
      </c>
      <c r="E14068" s="2">
        <v>52.4</v>
      </c>
      <c r="F14068" s="2">
        <v>2</v>
      </c>
      <c r="G14068" s="2" t="s">
        <v>9</v>
      </c>
      <c r="I14068" s="2" t="s">
        <v>4923</v>
      </c>
    </row>
    <row r="14069" spans="1:9" x14ac:dyDescent="0.2">
      <c r="A14069" s="2" t="s">
        <v>7610</v>
      </c>
      <c r="B14069" s="2" t="s">
        <v>6115</v>
      </c>
      <c r="C14069" s="2">
        <v>823.1816</v>
      </c>
      <c r="D14069" s="2">
        <f>HYPERLINK("http://mcb-m6.bioreg.kyushu-u.ac.jp/M3/20110404/F50767/2127/1", 43.23)</f>
        <v>43.23</v>
      </c>
      <c r="E14069" s="2">
        <v>31.52</v>
      </c>
      <c r="F14069" s="2">
        <v>2</v>
      </c>
      <c r="G14069" s="2" t="s">
        <v>9</v>
      </c>
    </row>
    <row r="14070" spans="1:9" x14ac:dyDescent="0.2">
      <c r="A14070" s="2" t="s">
        <v>7610</v>
      </c>
      <c r="B14070" s="2" t="s">
        <v>6115</v>
      </c>
      <c r="C14070" s="2">
        <v>823.44669999999996</v>
      </c>
      <c r="D14070" s="2">
        <f>HYPERLINK("http://mcb-m6.bioreg.kyushu-u.ac.jp/M3/20110404/F50765/2203/1", 53.37)</f>
        <v>53.37</v>
      </c>
      <c r="E14070" s="2">
        <v>29.96</v>
      </c>
      <c r="F14070" s="2">
        <v>2</v>
      </c>
      <c r="G14070" s="2" t="s">
        <v>9</v>
      </c>
    </row>
    <row r="14071" spans="1:9" x14ac:dyDescent="0.2">
      <c r="A14071" s="2" t="s">
        <v>4244</v>
      </c>
      <c r="B14071" s="2" t="s">
        <v>1868</v>
      </c>
      <c r="C14071" s="2">
        <v>475.95409999999998</v>
      </c>
      <c r="D14071" s="2">
        <f>HYPERLINK("http://mcb-m6.bioreg.kyushu-u.ac.jp/M3/20110404/F50774/955/1", 46.21)</f>
        <v>46.21</v>
      </c>
      <c r="E14071" s="2">
        <v>15.68</v>
      </c>
      <c r="F14071" s="2">
        <v>2</v>
      </c>
      <c r="G14071" s="2" t="s">
        <v>10</v>
      </c>
      <c r="I14071" s="2" t="s">
        <v>4890</v>
      </c>
    </row>
    <row r="14072" spans="1:9" x14ac:dyDescent="0.2">
      <c r="A14072" s="2" t="s">
        <v>4108</v>
      </c>
      <c r="B14072" s="2" t="s">
        <v>1588</v>
      </c>
      <c r="C14072" s="2">
        <v>867.30870000000004</v>
      </c>
      <c r="D14072" s="2">
        <f>HYPERLINK("http://mcb-m6.bioreg.kyushu-u.ac.jp/M3/20110421/F51035/2595/1", 54.19)</f>
        <v>54.19</v>
      </c>
      <c r="E14072" s="2">
        <v>45.46</v>
      </c>
      <c r="F14072" s="2">
        <v>2</v>
      </c>
      <c r="G14072" s="2" t="s">
        <v>11</v>
      </c>
    </row>
    <row r="14073" spans="1:9" x14ac:dyDescent="0.2">
      <c r="A14073" s="2" t="s">
        <v>7583</v>
      </c>
      <c r="B14073" s="2" t="s">
        <v>6038</v>
      </c>
      <c r="C14073" s="2">
        <v>842.27509999999995</v>
      </c>
      <c r="D14073" s="2">
        <f>HYPERLINK("http://mcb-m6.bioreg.kyushu-u.ac.jp/M3/20110404/F50753/2396/1", 39.89)</f>
        <v>39.89</v>
      </c>
      <c r="E14073" s="2">
        <v>21.91</v>
      </c>
      <c r="F14073" s="2">
        <v>2</v>
      </c>
      <c r="G14073" s="2" t="s">
        <v>9</v>
      </c>
    </row>
    <row r="14074" spans="1:9" x14ac:dyDescent="0.2">
      <c r="A14074" s="2" t="s">
        <v>3510</v>
      </c>
      <c r="B14074" s="2" t="s">
        <v>6042</v>
      </c>
      <c r="C14074" s="2">
        <v>511.29559999999998</v>
      </c>
      <c r="D14074" s="2">
        <f>HYPERLINK("http://mcb-m6.bioreg.kyushu-u.ac.jp/M3/20110404/F50764/1031/1", 39.99)</f>
        <v>39.99</v>
      </c>
      <c r="E14074" s="2">
        <v>8.89</v>
      </c>
      <c r="F14074" s="2">
        <v>2</v>
      </c>
      <c r="G14074" s="2" t="s">
        <v>9</v>
      </c>
    </row>
    <row r="14075" spans="1:9" x14ac:dyDescent="0.2">
      <c r="A14075" s="2" t="s">
        <v>3510</v>
      </c>
      <c r="B14075" s="2" t="s">
        <v>349</v>
      </c>
      <c r="C14075" s="2">
        <v>824.85569999999996</v>
      </c>
      <c r="D14075" s="2">
        <f>HYPERLINK("http://mcb-m6.bioreg.kyushu-u.ac.jp/M3/20110404/F50764/2180/1", 116.38)</f>
        <v>116.38</v>
      </c>
      <c r="E14075" s="2">
        <v>95.04</v>
      </c>
      <c r="F14075" s="2">
        <v>2</v>
      </c>
      <c r="G14075" s="2" t="s">
        <v>9</v>
      </c>
    </row>
    <row r="14076" spans="1:9" x14ac:dyDescent="0.2">
      <c r="A14076" s="2" t="s">
        <v>8057</v>
      </c>
      <c r="B14076" s="2" t="s">
        <v>7349</v>
      </c>
      <c r="C14076" s="2">
        <v>781.81320000000005</v>
      </c>
      <c r="D14076" s="2">
        <f>HYPERLINK("http://mcb-m6.bioreg.kyushu-u.ac.jp/M3/20110427/F51116/2262/1", 44.94)</f>
        <v>44.94</v>
      </c>
      <c r="E14076" s="2">
        <v>30.61</v>
      </c>
      <c r="F14076" s="2">
        <v>2</v>
      </c>
      <c r="G14076" s="2" t="s">
        <v>13</v>
      </c>
    </row>
    <row r="14077" spans="1:9" x14ac:dyDescent="0.2">
      <c r="A14077" s="2" t="s">
        <v>8057</v>
      </c>
      <c r="B14077" s="2" t="s">
        <v>7429</v>
      </c>
      <c r="C14077" s="2">
        <v>676.66819999999996</v>
      </c>
      <c r="D14077" s="2">
        <f>HYPERLINK("http://mcb-m6.bioreg.kyushu-u.ac.jp/M3/20110427/F51117/1653/1", 78.47)</f>
        <v>78.47</v>
      </c>
      <c r="E14077" s="2">
        <v>61.44</v>
      </c>
      <c r="F14077" s="2">
        <v>2</v>
      </c>
      <c r="G14077" s="2" t="s">
        <v>13</v>
      </c>
      <c r="I14077" s="2" t="s">
        <v>4898</v>
      </c>
    </row>
    <row r="14078" spans="1:9" x14ac:dyDescent="0.2">
      <c r="A14078" s="2" t="s">
        <v>7587</v>
      </c>
      <c r="B14078" s="2" t="s">
        <v>6047</v>
      </c>
      <c r="C14078" s="2">
        <v>904.31899999999996</v>
      </c>
      <c r="D14078" s="2">
        <f>HYPERLINK("http://mcb-m6.bioreg.kyushu-u.ac.jp/M3/20110404/F50763/884/1", 40.14)</f>
        <v>40.14</v>
      </c>
      <c r="E14078" s="2">
        <v>13.53</v>
      </c>
      <c r="F14078" s="2">
        <v>1</v>
      </c>
      <c r="G14078" s="2" t="s">
        <v>9</v>
      </c>
      <c r="I14078" s="2" t="s">
        <v>4890</v>
      </c>
    </row>
    <row r="14079" spans="1:9" x14ac:dyDescent="0.2">
      <c r="A14079" s="2" t="s">
        <v>7587</v>
      </c>
      <c r="B14079" s="2" t="s">
        <v>6418</v>
      </c>
      <c r="C14079" s="2">
        <v>573.82320000000004</v>
      </c>
      <c r="D14079" s="2">
        <f>HYPERLINK("http://mcb-m6.bioreg.kyushu-u.ac.jp/M3/20110404/F50763/1301/1", 61.73)</f>
        <v>61.73</v>
      </c>
      <c r="E14079" s="2">
        <v>24.72</v>
      </c>
      <c r="F14079" s="2">
        <v>2</v>
      </c>
      <c r="G14079" s="2" t="s">
        <v>9</v>
      </c>
    </row>
    <row r="14080" spans="1:9" x14ac:dyDescent="0.2">
      <c r="A14080" s="2" t="s">
        <v>7587</v>
      </c>
      <c r="B14080" s="2" t="s">
        <v>6649</v>
      </c>
      <c r="C14080" s="2">
        <v>888.94709999999998</v>
      </c>
      <c r="D14080" s="2">
        <f>HYPERLINK("http://mcb-m6.bioreg.kyushu-u.ac.jp/M3/20110404/F50763/2437/1", 107.35)</f>
        <v>107.35</v>
      </c>
      <c r="E14080" s="2">
        <v>87.09</v>
      </c>
      <c r="F14080" s="2">
        <v>2</v>
      </c>
      <c r="G14080" s="2" t="s">
        <v>9</v>
      </c>
    </row>
    <row r="14081" spans="1:8" x14ac:dyDescent="0.2">
      <c r="A14081" s="2" t="s">
        <v>7824</v>
      </c>
      <c r="B14081" s="2" t="s">
        <v>6769</v>
      </c>
      <c r="C14081" s="2">
        <v>655.76070000000004</v>
      </c>
      <c r="D14081" s="2">
        <f>HYPERLINK("http://mcb-m6.bioreg.kyushu-u.ac.jp/M3/20110404/F50771/1522/1", 41.21)</f>
        <v>41.21</v>
      </c>
      <c r="E14081" s="2">
        <v>25.34</v>
      </c>
      <c r="F14081" s="2">
        <v>2</v>
      </c>
      <c r="G14081" s="2" t="s">
        <v>10</v>
      </c>
    </row>
    <row r="14082" spans="1:8" x14ac:dyDescent="0.2">
      <c r="A14082" s="2" t="s">
        <v>7715</v>
      </c>
      <c r="B14082" s="2" t="s">
        <v>6415</v>
      </c>
      <c r="C14082" s="2">
        <v>749.40120000000002</v>
      </c>
      <c r="D14082" s="2">
        <f>HYPERLINK("http://mcb-m6.bioreg.kyushu-u.ac.jp/M3/20110404/F50778/1878/1", 61.55)</f>
        <v>61.55</v>
      </c>
      <c r="E14082" s="2">
        <v>42.28</v>
      </c>
      <c r="F14082" s="2">
        <v>2</v>
      </c>
      <c r="G14082" s="2" t="s">
        <v>9</v>
      </c>
    </row>
    <row r="14083" spans="1:8" x14ac:dyDescent="0.2">
      <c r="A14083" s="2" t="s">
        <v>7715</v>
      </c>
      <c r="B14083" s="2" t="s">
        <v>6415</v>
      </c>
      <c r="C14083" s="2">
        <v>741.32510000000002</v>
      </c>
      <c r="D14083" s="2">
        <f>HYPERLINK("http://mcb-m6.bioreg.kyushu-u.ac.jp/M3/20110404/F50775/1961/1", 54.7)</f>
        <v>54.7</v>
      </c>
      <c r="E14083" s="2">
        <v>34.35</v>
      </c>
      <c r="F14083" s="2">
        <v>2</v>
      </c>
      <c r="G14083" s="2" t="s">
        <v>10</v>
      </c>
      <c r="H14083" s="2" t="s">
        <v>4904</v>
      </c>
    </row>
    <row r="14084" spans="1:8" x14ac:dyDescent="0.2">
      <c r="A14084" s="2" t="s">
        <v>7715</v>
      </c>
      <c r="B14084" s="2" t="s">
        <v>6415</v>
      </c>
      <c r="C14084" s="2">
        <v>749.83510000000001</v>
      </c>
      <c r="D14084" s="2">
        <f>HYPERLINK("http://mcb-m6.bioreg.kyushu-u.ac.jp/M3/20110404/F50775/1996/1", 68.47)</f>
        <v>68.47</v>
      </c>
      <c r="E14084" s="2">
        <v>42.24</v>
      </c>
      <c r="F14084" s="2">
        <v>2</v>
      </c>
      <c r="G14084" s="2" t="s">
        <v>10</v>
      </c>
    </row>
    <row r="14085" spans="1:8" x14ac:dyDescent="0.2">
      <c r="A14085" s="2" t="s">
        <v>7715</v>
      </c>
      <c r="B14085" s="2" t="s">
        <v>6415</v>
      </c>
      <c r="C14085" s="2">
        <v>749.31269999999995</v>
      </c>
      <c r="D14085" s="2">
        <f>HYPERLINK("http://mcb-m6.bioreg.kyushu-u.ac.jp/M3/20110404/F50775/1994/1", 79.77)</f>
        <v>79.77</v>
      </c>
      <c r="E14085" s="2">
        <v>49.58</v>
      </c>
      <c r="F14085" s="2">
        <v>2</v>
      </c>
      <c r="G14085" s="2" t="s">
        <v>10</v>
      </c>
    </row>
    <row r="14086" spans="1:8" x14ac:dyDescent="0.2">
      <c r="A14086" s="2" t="s">
        <v>7715</v>
      </c>
      <c r="B14086" s="2" t="s">
        <v>6415</v>
      </c>
      <c r="C14086" s="2">
        <v>749.80319999999995</v>
      </c>
      <c r="D14086" s="2">
        <f>HYPERLINK("http://mcb-m6.bioreg.kyushu-u.ac.jp/M3/20110421/F51037/2082/1", 48.58)</f>
        <v>48.58</v>
      </c>
      <c r="E14086" s="2">
        <v>14.92</v>
      </c>
      <c r="F14086" s="2">
        <v>2</v>
      </c>
      <c r="G14086" s="2" t="s">
        <v>11</v>
      </c>
    </row>
    <row r="14087" spans="1:8" x14ac:dyDescent="0.2">
      <c r="A14087" s="2" t="s">
        <v>7715</v>
      </c>
      <c r="B14087" s="2" t="s">
        <v>6415</v>
      </c>
      <c r="C14087" s="2">
        <v>749.28020000000004</v>
      </c>
      <c r="D14087" s="2">
        <f>HYPERLINK("http://mcb-m6.bioreg.kyushu-u.ac.jp/M3/20110421/F51039/2115/1", 90.05)</f>
        <v>90.05</v>
      </c>
      <c r="E14087" s="2">
        <v>62.08</v>
      </c>
      <c r="F14087" s="2">
        <v>2</v>
      </c>
      <c r="G14087" s="2" t="s">
        <v>11</v>
      </c>
    </row>
    <row r="14088" spans="1:8" x14ac:dyDescent="0.2">
      <c r="A14088" s="2" t="s">
        <v>7715</v>
      </c>
      <c r="B14088" s="2" t="s">
        <v>7265</v>
      </c>
      <c r="C14088" s="2">
        <v>736.51070000000004</v>
      </c>
      <c r="D14088" s="2">
        <f>HYPERLINK("http://mcb-m6.bioreg.kyushu-u.ac.jp/M3/20110421/F51048/2172/1", 77.6)</f>
        <v>77.599999999999994</v>
      </c>
      <c r="E14088" s="2">
        <v>56.57</v>
      </c>
      <c r="F14088" s="2">
        <v>2</v>
      </c>
      <c r="G14088" s="2" t="s">
        <v>12</v>
      </c>
    </row>
    <row r="14089" spans="1:8" x14ac:dyDescent="0.2">
      <c r="A14089" s="2" t="s">
        <v>7715</v>
      </c>
      <c r="B14089" s="2" t="s">
        <v>6415</v>
      </c>
      <c r="C14089" s="2">
        <v>749.37519999999995</v>
      </c>
      <c r="D14089" s="2">
        <f>HYPERLINK("http://mcb-m6.bioreg.kyushu-u.ac.jp/M3/20110421/F51048/2250/1", 83.96)</f>
        <v>83.96</v>
      </c>
      <c r="E14089" s="2">
        <v>46.28</v>
      </c>
      <c r="F14089" s="2">
        <v>2</v>
      </c>
      <c r="G14089" s="2" t="s">
        <v>12</v>
      </c>
    </row>
    <row r="14090" spans="1:8" x14ac:dyDescent="0.2">
      <c r="A14090" s="2" t="s">
        <v>7715</v>
      </c>
      <c r="B14090" s="2" t="s">
        <v>6415</v>
      </c>
      <c r="C14090" s="2">
        <v>749.93619999999999</v>
      </c>
      <c r="D14090" s="2">
        <f>HYPERLINK("http://mcb-m6.bioreg.kyushu-u.ac.jp/M3/20110421/F51048/2255/1", 106.28)</f>
        <v>106.28</v>
      </c>
      <c r="E14090" s="2">
        <v>69.75</v>
      </c>
      <c r="F14090" s="2">
        <v>2</v>
      </c>
      <c r="G14090" s="2" t="s">
        <v>12</v>
      </c>
    </row>
    <row r="14091" spans="1:8" x14ac:dyDescent="0.2">
      <c r="A14091" s="2" t="s">
        <v>4459</v>
      </c>
      <c r="B14091" s="2" t="s">
        <v>2373</v>
      </c>
      <c r="C14091" s="2">
        <v>551.32569999999998</v>
      </c>
      <c r="D14091" s="2">
        <f>HYPERLINK("http://mcb-m6.bioreg.kyushu-u.ac.jp/M3/20110404/F50764/1147/1", 68.1)</f>
        <v>68.099999999999994</v>
      </c>
      <c r="E14091" s="2">
        <v>37.85</v>
      </c>
      <c r="F14091" s="2">
        <v>2</v>
      </c>
      <c r="G14091" s="2" t="s">
        <v>9</v>
      </c>
    </row>
    <row r="14092" spans="1:8" x14ac:dyDescent="0.2">
      <c r="A14092" s="2" t="s">
        <v>4459</v>
      </c>
      <c r="B14092" s="2" t="s">
        <v>2373</v>
      </c>
      <c r="C14092" s="2">
        <v>551.29859999999996</v>
      </c>
      <c r="D14092" s="2">
        <f>HYPERLINK("http://mcb-m6.bioreg.kyushu-u.ac.jp/M3/20110421/F51042/883/1", 62.48)</f>
        <v>62.48</v>
      </c>
      <c r="E14092" s="2">
        <v>42.78</v>
      </c>
      <c r="F14092" s="2">
        <v>2</v>
      </c>
      <c r="G14092" s="2" t="s">
        <v>11</v>
      </c>
    </row>
    <row r="14093" spans="1:8" x14ac:dyDescent="0.2">
      <c r="A14093" s="2" t="s">
        <v>3773</v>
      </c>
      <c r="B14093" s="2" t="s">
        <v>6936</v>
      </c>
      <c r="C14093" s="2">
        <v>814.34519999999998</v>
      </c>
      <c r="D14093" s="2">
        <f>HYPERLINK("http://mcb-m6.bioreg.kyushu-u.ac.jp/M3/20110404/F50773/2120/1", 62.16)</f>
        <v>62.16</v>
      </c>
      <c r="E14093" s="2">
        <v>41.85</v>
      </c>
      <c r="F14093" s="2">
        <v>2</v>
      </c>
      <c r="G14093" s="2" t="s">
        <v>10</v>
      </c>
    </row>
    <row r="14094" spans="1:8" x14ac:dyDescent="0.2">
      <c r="A14094" s="2" t="s">
        <v>3773</v>
      </c>
      <c r="B14094" s="2" t="s">
        <v>6936</v>
      </c>
      <c r="C14094" s="2">
        <v>813.85220000000004</v>
      </c>
      <c r="D14094" s="2">
        <f>HYPERLINK("http://mcb-m6.bioreg.kyushu-u.ac.jp/M3/20110404/F50772/2220/1", 73.45)</f>
        <v>73.45</v>
      </c>
      <c r="E14094" s="2">
        <v>44.48</v>
      </c>
      <c r="F14094" s="2">
        <v>2</v>
      </c>
      <c r="G14094" s="2" t="s">
        <v>10</v>
      </c>
    </row>
    <row r="14095" spans="1:8" x14ac:dyDescent="0.2">
      <c r="A14095" s="2" t="s">
        <v>3773</v>
      </c>
      <c r="B14095" s="2" t="s">
        <v>6936</v>
      </c>
      <c r="C14095" s="2">
        <v>813.82709999999997</v>
      </c>
      <c r="D14095" s="2">
        <f>HYPERLINK("http://mcb-m6.bioreg.kyushu-u.ac.jp/M3/20110404/F50773/2119/1", 75.48)</f>
        <v>75.48</v>
      </c>
      <c r="E14095" s="2">
        <v>49.14</v>
      </c>
      <c r="F14095" s="2">
        <v>2</v>
      </c>
      <c r="G14095" s="2" t="s">
        <v>10</v>
      </c>
    </row>
    <row r="14096" spans="1:8" x14ac:dyDescent="0.2">
      <c r="A14096" s="2" t="s">
        <v>3773</v>
      </c>
      <c r="B14096" s="2" t="s">
        <v>797</v>
      </c>
      <c r="C14096" s="2">
        <v>910.37959999999998</v>
      </c>
      <c r="D14096" s="2">
        <f>HYPERLINK("http://mcb-m6.bioreg.kyushu-u.ac.jp/M3/20110404/F50773/2460/1", 90.22)</f>
        <v>90.22</v>
      </c>
      <c r="E14096" s="2">
        <v>68.349999999999994</v>
      </c>
      <c r="F14096" s="2">
        <v>2</v>
      </c>
      <c r="G14096" s="2" t="s">
        <v>10</v>
      </c>
    </row>
    <row r="14097" spans="1:9" x14ac:dyDescent="0.2">
      <c r="A14097" s="2" t="s">
        <v>3773</v>
      </c>
      <c r="B14097" s="2" t="s">
        <v>6936</v>
      </c>
      <c r="C14097" s="2">
        <v>814.23270000000002</v>
      </c>
      <c r="D14097" s="2">
        <f>HYPERLINK("http://mcb-m6.bioreg.kyushu-u.ac.jp/M3/20110427/F51117/2355/1", 40.38)</f>
        <v>40.380000000000003</v>
      </c>
      <c r="E14097" s="2">
        <v>24.54</v>
      </c>
      <c r="F14097" s="2">
        <v>2</v>
      </c>
      <c r="G14097" s="2" t="s">
        <v>13</v>
      </c>
    </row>
    <row r="14098" spans="1:9" x14ac:dyDescent="0.2">
      <c r="A14098" s="2" t="s">
        <v>3773</v>
      </c>
      <c r="B14098" s="2" t="s">
        <v>797</v>
      </c>
      <c r="C14098" s="2">
        <v>910.23170000000005</v>
      </c>
      <c r="D14098" s="2">
        <f>HYPERLINK("http://mcb-m6.bioreg.kyushu-u.ac.jp/M3/20110427/F51117/2744/1", 61.35)</f>
        <v>61.35</v>
      </c>
      <c r="E14098" s="2">
        <v>29.92</v>
      </c>
      <c r="F14098" s="2">
        <v>2</v>
      </c>
      <c r="G14098" s="2" t="s">
        <v>13</v>
      </c>
    </row>
    <row r="14099" spans="1:9" x14ac:dyDescent="0.2">
      <c r="A14099" s="2" t="s">
        <v>3773</v>
      </c>
      <c r="B14099" s="2" t="s">
        <v>6936</v>
      </c>
      <c r="C14099" s="2">
        <v>814.30470000000003</v>
      </c>
      <c r="D14099" s="2">
        <f>HYPERLINK("http://mcb-m6.bioreg.kyushu-u.ac.jp/M3/20110427/F51125/2407/1", 54.11)</f>
        <v>54.11</v>
      </c>
      <c r="E14099" s="2">
        <v>10.08</v>
      </c>
      <c r="F14099" s="2">
        <v>2</v>
      </c>
      <c r="G14099" s="2" t="s">
        <v>14</v>
      </c>
    </row>
    <row r="14100" spans="1:9" x14ac:dyDescent="0.2">
      <c r="A14100" s="2" t="s">
        <v>3773</v>
      </c>
      <c r="B14100" s="2" t="s">
        <v>797</v>
      </c>
      <c r="C14100" s="2">
        <v>910.09469999999999</v>
      </c>
      <c r="D14100" s="2">
        <f>HYPERLINK("http://mcb-m6.bioreg.kyushu-u.ac.jp/M3/20110427/F51125/2768/1", 78.8)</f>
        <v>78.8</v>
      </c>
      <c r="E14100" s="2">
        <v>56.57</v>
      </c>
      <c r="F14100" s="2">
        <v>2</v>
      </c>
      <c r="G14100" s="2" t="s">
        <v>14</v>
      </c>
    </row>
    <row r="14101" spans="1:9" x14ac:dyDescent="0.2">
      <c r="A14101" s="2" t="s">
        <v>3773</v>
      </c>
      <c r="B14101" s="2" t="s">
        <v>797</v>
      </c>
      <c r="C14101" s="2">
        <v>910.62660000000005</v>
      </c>
      <c r="D14101" s="2">
        <f>HYPERLINK("http://mcb-m6.bioreg.kyushu-u.ac.jp/M3/20110428/F51126/2762/1", 85.66)</f>
        <v>85.66</v>
      </c>
      <c r="E14101" s="2">
        <v>63.09</v>
      </c>
      <c r="F14101" s="2">
        <v>2</v>
      </c>
      <c r="G14101" s="2" t="s">
        <v>14</v>
      </c>
    </row>
    <row r="14102" spans="1:9" x14ac:dyDescent="0.2">
      <c r="A14102" s="2" t="s">
        <v>3773</v>
      </c>
      <c r="B14102" s="2" t="s">
        <v>797</v>
      </c>
      <c r="C14102" s="2">
        <v>910.1182</v>
      </c>
      <c r="D14102" s="2">
        <f>HYPERLINK("http://mcb-m6.bioreg.kyushu-u.ac.jp/M3/20110428/F51126/2761/1", 100.2)</f>
        <v>100.2</v>
      </c>
      <c r="E14102" s="2">
        <v>80.03</v>
      </c>
      <c r="F14102" s="2">
        <v>2</v>
      </c>
      <c r="G14102" s="2" t="s">
        <v>14</v>
      </c>
    </row>
    <row r="14103" spans="1:9" x14ac:dyDescent="0.2">
      <c r="A14103" s="2" t="s">
        <v>4869</v>
      </c>
      <c r="B14103" s="2" t="s">
        <v>6463</v>
      </c>
      <c r="C14103" s="2">
        <v>763.39919999999995</v>
      </c>
      <c r="D14103" s="2">
        <f>HYPERLINK("http://mcb-m6.bioreg.kyushu-u.ac.jp/M3/20110404/F50764/1971/1", 66.54)</f>
        <v>66.540000000000006</v>
      </c>
      <c r="E14103" s="2">
        <v>42.98</v>
      </c>
      <c r="F14103" s="2">
        <v>2</v>
      </c>
      <c r="G14103" s="2" t="s">
        <v>9</v>
      </c>
    </row>
    <row r="14104" spans="1:9" x14ac:dyDescent="0.2">
      <c r="A14104" s="2" t="s">
        <v>4869</v>
      </c>
      <c r="B14104" s="2" t="s">
        <v>6589</v>
      </c>
      <c r="C14104" s="2">
        <v>842.34310000000005</v>
      </c>
      <c r="D14104" s="2">
        <f>HYPERLINK("http://mcb-m6.bioreg.kyushu-u.ac.jp/M3/20110404/F50767/2192/1", 86.45)</f>
        <v>86.45</v>
      </c>
      <c r="E14104" s="2">
        <v>77.7</v>
      </c>
      <c r="F14104" s="2">
        <v>2</v>
      </c>
      <c r="G14104" s="2" t="s">
        <v>9</v>
      </c>
    </row>
    <row r="14105" spans="1:9" x14ac:dyDescent="0.2">
      <c r="A14105" s="2" t="s">
        <v>4869</v>
      </c>
      <c r="B14105" s="2" t="s">
        <v>6463</v>
      </c>
      <c r="C14105" s="2">
        <v>762.79719999999998</v>
      </c>
      <c r="D14105" s="2">
        <f>HYPERLINK("http://mcb-m6.bioreg.kyushu-u.ac.jp/M3/20110404/F50767/1831/1", 111.88)</f>
        <v>111.88</v>
      </c>
      <c r="E14105" s="2">
        <v>93.64</v>
      </c>
      <c r="F14105" s="2">
        <v>2</v>
      </c>
      <c r="G14105" s="2" t="s">
        <v>9</v>
      </c>
    </row>
    <row r="14106" spans="1:9" x14ac:dyDescent="0.2">
      <c r="A14106" s="2" t="s">
        <v>4869</v>
      </c>
      <c r="B14106" s="2" t="s">
        <v>6704</v>
      </c>
      <c r="C14106" s="2">
        <v>654.79669999999999</v>
      </c>
      <c r="D14106" s="2">
        <f>HYPERLINK("http://mcb-m6.bioreg.kyushu-u.ac.jp/M3/20110404/F50770/1572/1", 36.94)</f>
        <v>36.94</v>
      </c>
      <c r="E14106" s="2">
        <v>11.2</v>
      </c>
      <c r="F14106" s="2">
        <v>2</v>
      </c>
      <c r="G14106" s="2" t="s">
        <v>10</v>
      </c>
    </row>
    <row r="14107" spans="1:9" x14ac:dyDescent="0.2">
      <c r="A14107" s="2" t="s">
        <v>4869</v>
      </c>
      <c r="B14107" s="2" t="s">
        <v>6806</v>
      </c>
      <c r="C14107" s="2">
        <v>660.45619999999997</v>
      </c>
      <c r="D14107" s="2">
        <f>HYPERLINK("http://mcb-m6.bioreg.kyushu-u.ac.jp/M3/20110404/F50773/1461/1", 44.86)</f>
        <v>44.86</v>
      </c>
      <c r="E14107" s="2">
        <v>28.41</v>
      </c>
      <c r="F14107" s="2">
        <v>2</v>
      </c>
      <c r="G14107" s="2" t="s">
        <v>10</v>
      </c>
    </row>
    <row r="14108" spans="1:9" x14ac:dyDescent="0.2">
      <c r="A14108" s="2" t="s">
        <v>4869</v>
      </c>
      <c r="B14108" s="2" t="s">
        <v>6704</v>
      </c>
      <c r="C14108" s="2">
        <v>654.82709999999997</v>
      </c>
      <c r="D14108" s="2">
        <f>HYPERLINK("http://mcb-m6.bioreg.kyushu-u.ac.jp/M3/20110404/F50773/1444/1", 45.26)</f>
        <v>45.26</v>
      </c>
      <c r="E14108" s="2">
        <v>21.36</v>
      </c>
      <c r="F14108" s="2">
        <v>2</v>
      </c>
      <c r="G14108" s="2" t="s">
        <v>10</v>
      </c>
    </row>
    <row r="14109" spans="1:9" x14ac:dyDescent="0.2">
      <c r="A14109" s="2" t="s">
        <v>4869</v>
      </c>
      <c r="B14109" s="2" t="s">
        <v>6704</v>
      </c>
      <c r="C14109" s="2">
        <v>654.1952</v>
      </c>
      <c r="D14109" s="2">
        <f>HYPERLINK("http://mcb-m6.bioreg.kyushu-u.ac.jp/M3/20110404/F50773/1441/1", 54.67)</f>
        <v>54.67</v>
      </c>
      <c r="E14109" s="2">
        <v>34.26</v>
      </c>
      <c r="F14109" s="2">
        <v>2</v>
      </c>
      <c r="G14109" s="2" t="s">
        <v>10</v>
      </c>
    </row>
    <row r="14110" spans="1:9" x14ac:dyDescent="0.2">
      <c r="A14110" s="2" t="s">
        <v>4869</v>
      </c>
      <c r="B14110" s="2" t="s">
        <v>6806</v>
      </c>
      <c r="C14110" s="2">
        <v>651.42719999999997</v>
      </c>
      <c r="D14110" s="2">
        <f>HYPERLINK("http://mcb-m6.bioreg.kyushu-u.ac.jp/M3/20110404/F50773/1431/1", 61.92)</f>
        <v>61.92</v>
      </c>
      <c r="E14110" s="2">
        <v>49.27</v>
      </c>
      <c r="F14110" s="2">
        <v>2</v>
      </c>
      <c r="G14110" s="2" t="s">
        <v>10</v>
      </c>
      <c r="H14110" s="2" t="s">
        <v>4904</v>
      </c>
    </row>
    <row r="14111" spans="1:9" x14ac:dyDescent="0.2">
      <c r="A14111" s="2" t="s">
        <v>4869</v>
      </c>
      <c r="B14111" s="2" t="s">
        <v>3167</v>
      </c>
      <c r="C14111" s="2">
        <v>865.85569999999996</v>
      </c>
      <c r="D14111" s="2">
        <f>HYPERLINK("http://mcb-m6.bioreg.kyushu-u.ac.jp/M3/20110404/F50773/2304/1", 68.95)</f>
        <v>68.95</v>
      </c>
      <c r="E14111" s="2">
        <v>55.88</v>
      </c>
      <c r="F14111" s="2">
        <v>2</v>
      </c>
      <c r="G14111" s="2" t="s">
        <v>10</v>
      </c>
      <c r="I14111" s="2" t="s">
        <v>4923</v>
      </c>
    </row>
    <row r="14112" spans="1:9" x14ac:dyDescent="0.2">
      <c r="A14112" s="2" t="s">
        <v>4869</v>
      </c>
      <c r="B14112" s="2" t="s">
        <v>6463</v>
      </c>
      <c r="C14112" s="2">
        <v>763.4067</v>
      </c>
      <c r="D14112" s="2">
        <f>HYPERLINK("http://mcb-m6.bioreg.kyushu-u.ac.jp/M3/20110404/F50773/1924/1", 94.94)</f>
        <v>94.94</v>
      </c>
      <c r="E14112" s="2">
        <v>77.88</v>
      </c>
      <c r="F14112" s="2">
        <v>2</v>
      </c>
      <c r="G14112" s="2" t="s">
        <v>10</v>
      </c>
    </row>
    <row r="14113" spans="1:9" x14ac:dyDescent="0.2">
      <c r="A14113" s="2" t="s">
        <v>4869</v>
      </c>
      <c r="B14113" s="2" t="s">
        <v>6463</v>
      </c>
      <c r="C14113" s="2">
        <v>762.89509999999996</v>
      </c>
      <c r="D14113" s="2">
        <f>HYPERLINK("http://mcb-m6.bioreg.kyushu-u.ac.jp/M3/20110404/F50773/1922/1", 106.25)</f>
        <v>106.25</v>
      </c>
      <c r="E14113" s="2">
        <v>89.98</v>
      </c>
      <c r="F14113" s="2">
        <v>2</v>
      </c>
      <c r="G14113" s="2" t="s">
        <v>10</v>
      </c>
    </row>
    <row r="14114" spans="1:9" x14ac:dyDescent="0.2">
      <c r="A14114" s="2" t="s">
        <v>4869</v>
      </c>
      <c r="B14114" s="2" t="s">
        <v>3167</v>
      </c>
      <c r="C14114" s="2">
        <v>866.35770000000002</v>
      </c>
      <c r="D14114" s="2">
        <f>HYPERLINK("http://mcb-m6.bioreg.kyushu-u.ac.jp/M3/20110421/F51042/2684/1", 70.04)</f>
        <v>70.040000000000006</v>
      </c>
      <c r="E14114" s="2">
        <v>48.03</v>
      </c>
      <c r="F14114" s="2">
        <v>2</v>
      </c>
      <c r="G14114" s="2" t="s">
        <v>11</v>
      </c>
      <c r="I14114" s="2" t="s">
        <v>4923</v>
      </c>
    </row>
    <row r="14115" spans="1:9" x14ac:dyDescent="0.2">
      <c r="A14115" s="2" t="s">
        <v>4869</v>
      </c>
      <c r="B14115" s="2" t="s">
        <v>3167</v>
      </c>
      <c r="C14115" s="2">
        <v>865.85019999999997</v>
      </c>
      <c r="D14115" s="2">
        <f>HYPERLINK("http://mcb-m6.bioreg.kyushu-u.ac.jp/M3/20110421/F51042/2681/1", 77.1)</f>
        <v>77.099999999999994</v>
      </c>
      <c r="E14115" s="2">
        <v>67.37</v>
      </c>
      <c r="F14115" s="2">
        <v>2</v>
      </c>
      <c r="G14115" s="2" t="s">
        <v>11</v>
      </c>
      <c r="I14115" s="2" t="s">
        <v>4923</v>
      </c>
    </row>
    <row r="14116" spans="1:9" x14ac:dyDescent="0.2">
      <c r="A14116" s="2" t="s">
        <v>4869</v>
      </c>
      <c r="B14116" s="2" t="s">
        <v>6806</v>
      </c>
      <c r="C14116" s="2">
        <v>659.80520000000001</v>
      </c>
      <c r="D14116" s="2">
        <f>HYPERLINK("http://mcb-m6.bioreg.kyushu-u.ac.jp/M3/20110427/F51117/1590/1", 51.68)</f>
        <v>51.68</v>
      </c>
      <c r="E14116" s="2">
        <v>32.96</v>
      </c>
      <c r="F14116" s="2">
        <v>2</v>
      </c>
      <c r="G14116" s="2" t="s">
        <v>13</v>
      </c>
    </row>
    <row r="14117" spans="1:9" x14ac:dyDescent="0.2">
      <c r="A14117" s="2" t="s">
        <v>4869</v>
      </c>
      <c r="B14117" s="2" t="s">
        <v>6704</v>
      </c>
      <c r="C14117" s="2">
        <v>654.77170000000001</v>
      </c>
      <c r="D14117" s="2">
        <f>HYPERLINK("http://mcb-m6.bioreg.kyushu-u.ac.jp/M3/20110427/F51116/1611/1", 54.05)</f>
        <v>54.05</v>
      </c>
      <c r="E14117" s="2">
        <v>33.68</v>
      </c>
      <c r="F14117" s="2">
        <v>2</v>
      </c>
      <c r="G14117" s="2" t="s">
        <v>13</v>
      </c>
    </row>
    <row r="14118" spans="1:9" x14ac:dyDescent="0.2">
      <c r="A14118" s="2" t="s">
        <v>4869</v>
      </c>
      <c r="B14118" s="2" t="s">
        <v>3167</v>
      </c>
      <c r="C14118" s="2">
        <v>866.31769999999995</v>
      </c>
      <c r="D14118" s="2">
        <f>HYPERLINK("http://mcb-m6.bioreg.kyushu-u.ac.jp/M3/20110427/F51116/2644/1", 64.3)</f>
        <v>64.3</v>
      </c>
      <c r="E14118" s="2">
        <v>49.28</v>
      </c>
      <c r="F14118" s="2">
        <v>2</v>
      </c>
      <c r="G14118" s="2" t="s">
        <v>13</v>
      </c>
      <c r="I14118" s="2" t="s">
        <v>4923</v>
      </c>
    </row>
    <row r="14119" spans="1:9" x14ac:dyDescent="0.2">
      <c r="A14119" s="2" t="s">
        <v>4869</v>
      </c>
      <c r="B14119" s="2" t="s">
        <v>6704</v>
      </c>
      <c r="C14119" s="2">
        <v>654.36019999999996</v>
      </c>
      <c r="D14119" s="2">
        <f>HYPERLINK("http://mcb-m6.bioreg.kyushu-u.ac.jp/M3/20110428/F51126/1727/1", 45.43)</f>
        <v>45.43</v>
      </c>
      <c r="E14119" s="2">
        <v>28.43</v>
      </c>
      <c r="F14119" s="2">
        <v>2</v>
      </c>
      <c r="G14119" s="2" t="s">
        <v>14</v>
      </c>
    </row>
    <row r="14120" spans="1:9" x14ac:dyDescent="0.2">
      <c r="A14120" s="2" t="s">
        <v>4869</v>
      </c>
      <c r="B14120" s="2" t="s">
        <v>6806</v>
      </c>
      <c r="C14120" s="2">
        <v>651.6182</v>
      </c>
      <c r="D14120" s="2">
        <f>HYPERLINK("http://mcb-m6.bioreg.kyushu-u.ac.jp/M3/20110427/F51125/1729/1", 47.75)</f>
        <v>47.75</v>
      </c>
      <c r="E14120" s="2">
        <v>31.91</v>
      </c>
      <c r="F14120" s="2">
        <v>2</v>
      </c>
      <c r="G14120" s="2" t="s">
        <v>14</v>
      </c>
      <c r="H14120" s="2" t="s">
        <v>4904</v>
      </c>
    </row>
    <row r="14121" spans="1:9" x14ac:dyDescent="0.2">
      <c r="A14121" s="2" t="s">
        <v>4869</v>
      </c>
      <c r="B14121" s="2" t="s">
        <v>6806</v>
      </c>
      <c r="C14121" s="2">
        <v>651.76210000000003</v>
      </c>
      <c r="D14121" s="2">
        <f>HYPERLINK("http://mcb-m6.bioreg.kyushu-u.ac.jp/M3/20110428/F51126/1713/1", 50.7)</f>
        <v>50.7</v>
      </c>
      <c r="E14121" s="2">
        <v>30.34</v>
      </c>
      <c r="F14121" s="2">
        <v>2</v>
      </c>
      <c r="G14121" s="2" t="s">
        <v>14</v>
      </c>
      <c r="H14121" s="2" t="s">
        <v>4904</v>
      </c>
    </row>
    <row r="14122" spans="1:9" x14ac:dyDescent="0.2">
      <c r="A14122" s="2" t="s">
        <v>4869</v>
      </c>
      <c r="B14122" s="2" t="s">
        <v>3167</v>
      </c>
      <c r="C14122" s="2">
        <v>865.62620000000004</v>
      </c>
      <c r="D14122" s="2">
        <f>HYPERLINK("http://mcb-m6.bioreg.kyushu-u.ac.jp/M3/20110428/F51126/2606/1", 50.83)</f>
        <v>50.83</v>
      </c>
      <c r="E14122" s="2">
        <v>41.05</v>
      </c>
      <c r="F14122" s="2">
        <v>2</v>
      </c>
      <c r="G14122" s="2" t="s">
        <v>14</v>
      </c>
      <c r="I14122" s="2" t="s">
        <v>4923</v>
      </c>
    </row>
    <row r="14123" spans="1:9" x14ac:dyDescent="0.2">
      <c r="A14123" s="2" t="s">
        <v>4869</v>
      </c>
      <c r="B14123" s="2" t="s">
        <v>3167</v>
      </c>
      <c r="C14123" s="2">
        <v>865.8202</v>
      </c>
      <c r="D14123" s="2">
        <f>HYPERLINK("http://mcb-m6.bioreg.kyushu-u.ac.jp/M3/20110427/F51125/2605/1", 67.73)</f>
        <v>67.73</v>
      </c>
      <c r="E14123" s="2">
        <v>47.03</v>
      </c>
      <c r="F14123" s="2">
        <v>2</v>
      </c>
      <c r="G14123" s="2" t="s">
        <v>14</v>
      </c>
      <c r="I14123" s="2" t="s">
        <v>4923</v>
      </c>
    </row>
    <row r="14124" spans="1:9" x14ac:dyDescent="0.2">
      <c r="A14124" s="2" t="s">
        <v>4258</v>
      </c>
      <c r="B14124" s="2" t="s">
        <v>6054</v>
      </c>
      <c r="C14124" s="2">
        <v>835.43949999999995</v>
      </c>
      <c r="D14124" s="2">
        <f>HYPERLINK("http://mcb-m6.bioreg.kyushu-u.ac.jp/M3/20110404/F50767/3615/1", 40.38)</f>
        <v>40.380000000000003</v>
      </c>
      <c r="E14124" s="2">
        <v>29.37</v>
      </c>
      <c r="F14124" s="2">
        <v>3</v>
      </c>
      <c r="G14124" s="2" t="s">
        <v>9</v>
      </c>
    </row>
    <row r="14125" spans="1:9" x14ac:dyDescent="0.2">
      <c r="A14125" s="2" t="s">
        <v>4258</v>
      </c>
      <c r="B14125" s="2" t="s">
        <v>6054</v>
      </c>
      <c r="C14125" s="2">
        <v>1252.3789999999999</v>
      </c>
      <c r="D14125" s="2">
        <f>HYPERLINK("http://mcb-m6.bioreg.kyushu-u.ac.jp/M3/20110404/F50767/3614/1", 72.58)</f>
        <v>72.58</v>
      </c>
      <c r="E14125" s="2">
        <v>67.75</v>
      </c>
      <c r="F14125" s="2">
        <v>2</v>
      </c>
      <c r="G14125" s="2" t="s">
        <v>9</v>
      </c>
    </row>
    <row r="14126" spans="1:9" x14ac:dyDescent="0.2">
      <c r="A14126" s="2" t="s">
        <v>4258</v>
      </c>
      <c r="B14126" s="2" t="s">
        <v>1901</v>
      </c>
      <c r="C14126" s="2">
        <v>866.41420000000005</v>
      </c>
      <c r="D14126" s="2">
        <f>HYPERLINK("http://mcb-m6.bioreg.kyushu-u.ac.jp/M3/20110404/F50767/2307/1", 82.35)</f>
        <v>82.35</v>
      </c>
      <c r="E14126" s="2">
        <v>51.96</v>
      </c>
      <c r="F14126" s="2">
        <v>2</v>
      </c>
      <c r="G14126" s="2" t="s">
        <v>9</v>
      </c>
    </row>
    <row r="14127" spans="1:9" x14ac:dyDescent="0.2">
      <c r="A14127" s="2" t="s">
        <v>4258</v>
      </c>
      <c r="B14127" s="2" t="s">
        <v>1901</v>
      </c>
      <c r="C14127" s="2">
        <v>866.9941</v>
      </c>
      <c r="D14127" s="2">
        <f>HYPERLINK("http://mcb-m6.bioreg.kyushu-u.ac.jp/M3/20110404/F50773/2308/1", 71.87)</f>
        <v>71.87</v>
      </c>
      <c r="E14127" s="2">
        <v>51</v>
      </c>
      <c r="F14127" s="2">
        <v>2</v>
      </c>
      <c r="G14127" s="2" t="s">
        <v>10</v>
      </c>
    </row>
    <row r="14128" spans="1:9" x14ac:dyDescent="0.2">
      <c r="A14128" s="2" t="s">
        <v>4258</v>
      </c>
      <c r="B14128" s="2" t="s">
        <v>1901</v>
      </c>
      <c r="C14128" s="2">
        <v>866.48820000000001</v>
      </c>
      <c r="D14128" s="2">
        <f>HYPERLINK("http://mcb-m6.bioreg.kyushu-u.ac.jp/M3/20110404/F50773/2307/1", 81.11)</f>
        <v>81.11</v>
      </c>
      <c r="E14128" s="2">
        <v>54.8</v>
      </c>
      <c r="F14128" s="2">
        <v>2</v>
      </c>
      <c r="G14128" s="2" t="s">
        <v>10</v>
      </c>
    </row>
    <row r="14129" spans="1:9" x14ac:dyDescent="0.2">
      <c r="A14129" s="2" t="s">
        <v>4258</v>
      </c>
      <c r="B14129" s="2" t="s">
        <v>6054</v>
      </c>
      <c r="C14129" s="2">
        <v>1252.5440000000001</v>
      </c>
      <c r="D14129" s="2">
        <f>HYPERLINK("http://mcb-m6.bioreg.kyushu-u.ac.jp/M3/20110404/F50773/3271/1", 96.41)</f>
        <v>96.41</v>
      </c>
      <c r="E14129" s="2">
        <v>86.42</v>
      </c>
      <c r="F14129" s="2">
        <v>2</v>
      </c>
      <c r="G14129" s="2" t="s">
        <v>10</v>
      </c>
    </row>
    <row r="14130" spans="1:9" x14ac:dyDescent="0.2">
      <c r="A14130" s="2" t="s">
        <v>4258</v>
      </c>
      <c r="B14130" s="2" t="s">
        <v>1901</v>
      </c>
      <c r="C14130" s="2">
        <v>866.30909999999994</v>
      </c>
      <c r="D14130" s="2">
        <f>HYPERLINK("http://mcb-m6.bioreg.kyushu-u.ac.jp/M3/20110427/F51117/2585/1", 63.41)</f>
        <v>63.41</v>
      </c>
      <c r="E14130" s="2">
        <v>37.299999999999997</v>
      </c>
      <c r="F14130" s="2">
        <v>2</v>
      </c>
      <c r="G14130" s="2" t="s">
        <v>13</v>
      </c>
    </row>
    <row r="14131" spans="1:9" x14ac:dyDescent="0.2">
      <c r="A14131" s="2" t="s">
        <v>4258</v>
      </c>
      <c r="B14131" s="2" t="s">
        <v>1901</v>
      </c>
      <c r="C14131" s="2">
        <v>866.9452</v>
      </c>
      <c r="D14131" s="2">
        <f>HYPERLINK("http://mcb-m6.bioreg.kyushu-u.ac.jp/M3/20110427/F51117/2589/1", 66.35)</f>
        <v>66.349999999999994</v>
      </c>
      <c r="E14131" s="2">
        <v>42.12</v>
      </c>
      <c r="F14131" s="2">
        <v>2</v>
      </c>
      <c r="G14131" s="2" t="s">
        <v>13</v>
      </c>
    </row>
    <row r="14132" spans="1:9" x14ac:dyDescent="0.2">
      <c r="A14132" s="2" t="s">
        <v>4258</v>
      </c>
      <c r="B14132" s="2" t="s">
        <v>6054</v>
      </c>
      <c r="C14132" s="2">
        <v>1252.432</v>
      </c>
      <c r="D14132" s="2">
        <f>HYPERLINK("http://mcb-m6.bioreg.kyushu-u.ac.jp/M3/20110427/F51117/3537/1", 96.04)</f>
        <v>96.04</v>
      </c>
      <c r="E14132" s="2">
        <v>81.92</v>
      </c>
      <c r="F14132" s="2">
        <v>2</v>
      </c>
      <c r="G14132" s="2" t="s">
        <v>13</v>
      </c>
    </row>
    <row r="14133" spans="1:9" x14ac:dyDescent="0.2">
      <c r="A14133" s="2" t="s">
        <v>4258</v>
      </c>
      <c r="B14133" s="2" t="s">
        <v>6054</v>
      </c>
      <c r="C14133" s="2">
        <v>1252.336</v>
      </c>
      <c r="D14133" s="2">
        <f>HYPERLINK("http://mcb-m6.bioreg.kyushu-u.ac.jp/M3/20110427/F51125/3313/1", 80.92)</f>
        <v>80.92</v>
      </c>
      <c r="E14133" s="2">
        <v>69.52</v>
      </c>
      <c r="F14133" s="2">
        <v>2</v>
      </c>
      <c r="G14133" s="2" t="s">
        <v>14</v>
      </c>
    </row>
    <row r="14134" spans="1:9" x14ac:dyDescent="0.2">
      <c r="A14134" s="2" t="s">
        <v>8031</v>
      </c>
      <c r="B14134" s="2" t="s">
        <v>7299</v>
      </c>
      <c r="C14134" s="2">
        <v>459.6721</v>
      </c>
      <c r="D14134" s="2">
        <f>HYPERLINK("http://mcb-m6.bioreg.kyushu-u.ac.jp/M3/20110427/F51114/762/1", 36.62)</f>
        <v>36.619999999999997</v>
      </c>
      <c r="E14134" s="2">
        <v>21.51</v>
      </c>
      <c r="F14134" s="2">
        <v>2</v>
      </c>
      <c r="G14134" s="2" t="s">
        <v>13</v>
      </c>
      <c r="H14134" s="2" t="s">
        <v>4917</v>
      </c>
    </row>
    <row r="14135" spans="1:9" x14ac:dyDescent="0.2">
      <c r="A14135" s="2" t="s">
        <v>7876</v>
      </c>
      <c r="B14135" s="2" t="s">
        <v>6894</v>
      </c>
      <c r="C14135" s="2">
        <v>826.97220000000004</v>
      </c>
      <c r="D14135" s="2">
        <f>HYPERLINK("http://mcb-m6.bioreg.kyushu-u.ac.jp/M3/20110404/F50772/2268/1", 54.74)</f>
        <v>54.74</v>
      </c>
      <c r="E14135" s="2">
        <v>39.729999999999997</v>
      </c>
      <c r="F14135" s="2">
        <v>2</v>
      </c>
      <c r="G14135" s="2" t="s">
        <v>10</v>
      </c>
    </row>
    <row r="14136" spans="1:9" x14ac:dyDescent="0.2">
      <c r="A14136" s="2" t="s">
        <v>3650</v>
      </c>
      <c r="B14136" s="2" t="s">
        <v>576</v>
      </c>
      <c r="C14136" s="2">
        <v>1404.6610000000001</v>
      </c>
      <c r="D14136" s="2">
        <f>HYPERLINK("http://mcb-m6.bioreg.kyushu-u.ac.jp/M3/20110404/F50751/1980/1", 54.47)</f>
        <v>54.47</v>
      </c>
      <c r="E14136" s="2">
        <v>33.46</v>
      </c>
      <c r="F14136" s="2">
        <v>1</v>
      </c>
      <c r="G14136" s="2" t="s">
        <v>9</v>
      </c>
    </row>
    <row r="14137" spans="1:9" x14ac:dyDescent="0.2">
      <c r="A14137" s="2" t="s">
        <v>3650</v>
      </c>
      <c r="B14137" s="2" t="s">
        <v>576</v>
      </c>
      <c r="C14137" s="2">
        <v>702.91110000000003</v>
      </c>
      <c r="D14137" s="2">
        <f>HYPERLINK("http://mcb-m6.bioreg.kyushu-u.ac.jp/M3/20110404/F50751/1981/1", 59.63)</f>
        <v>59.63</v>
      </c>
      <c r="E14137" s="2">
        <v>44.87</v>
      </c>
      <c r="F14137" s="2">
        <v>2</v>
      </c>
      <c r="G14137" s="2" t="s">
        <v>9</v>
      </c>
    </row>
    <row r="14138" spans="1:9" x14ac:dyDescent="0.2">
      <c r="A14138" s="2" t="s">
        <v>3650</v>
      </c>
      <c r="B14138" s="2" t="s">
        <v>576</v>
      </c>
      <c r="C14138" s="2">
        <v>702.99019999999996</v>
      </c>
      <c r="D14138" s="2">
        <f>HYPERLINK("http://mcb-m6.bioreg.kyushu-u.ac.jp/M3/20110421/F51014/1965/1", 58.36)</f>
        <v>58.36</v>
      </c>
      <c r="E14138" s="2">
        <v>39.1</v>
      </c>
      <c r="F14138" s="2">
        <v>2</v>
      </c>
      <c r="G14138" s="2" t="s">
        <v>11</v>
      </c>
    </row>
    <row r="14139" spans="1:9" x14ac:dyDescent="0.2">
      <c r="A14139" s="2" t="s">
        <v>3650</v>
      </c>
      <c r="B14139" s="2" t="s">
        <v>576</v>
      </c>
      <c r="C14139" s="2">
        <v>702.57370000000003</v>
      </c>
      <c r="D14139" s="2">
        <f>HYPERLINK("http://mcb-m6.bioreg.kyushu-u.ac.jp/M3/20110421/F51015/1918/1", 78.46)</f>
        <v>78.459999999999994</v>
      </c>
      <c r="E14139" s="2">
        <v>58.92</v>
      </c>
      <c r="F14139" s="2">
        <v>2</v>
      </c>
      <c r="G14139" s="2" t="s">
        <v>11</v>
      </c>
    </row>
    <row r="14140" spans="1:9" x14ac:dyDescent="0.2">
      <c r="A14140" s="2" t="s">
        <v>3650</v>
      </c>
      <c r="B14140" s="2" t="s">
        <v>576</v>
      </c>
      <c r="C14140" s="2">
        <v>702.68409999999994</v>
      </c>
      <c r="D14140" s="2">
        <f>HYPERLINK("http://mcb-m6.bioreg.kyushu-u.ac.jp/M3/20110427/F51109/1971/1", 72.74)</f>
        <v>72.739999999999995</v>
      </c>
      <c r="E14140" s="2">
        <v>35.799999999999997</v>
      </c>
      <c r="F14140" s="2">
        <v>2</v>
      </c>
      <c r="G14140" s="2" t="s">
        <v>13</v>
      </c>
    </row>
    <row r="14141" spans="1:9" x14ac:dyDescent="0.2">
      <c r="A14141" s="2" t="s">
        <v>4300</v>
      </c>
      <c r="B14141" s="2" t="s">
        <v>2025</v>
      </c>
      <c r="C14141" s="2">
        <v>1139.7239999999999</v>
      </c>
      <c r="D14141" s="2">
        <f>HYPERLINK("http://mcb-m6.bioreg.kyushu-u.ac.jp/M3/20110404/F50751/1621/1", 35.2)</f>
        <v>35.200000000000003</v>
      </c>
      <c r="E14141" s="2">
        <v>19.32</v>
      </c>
      <c r="F14141" s="2">
        <v>1</v>
      </c>
      <c r="G14141" s="2" t="s">
        <v>9</v>
      </c>
    </row>
    <row r="14142" spans="1:9" x14ac:dyDescent="0.2">
      <c r="A14142" s="2" t="s">
        <v>4300</v>
      </c>
      <c r="B14142" s="2" t="s">
        <v>2025</v>
      </c>
      <c r="C14142" s="2">
        <v>1140.787</v>
      </c>
      <c r="D14142" s="2">
        <f>HYPERLINK("http://mcb-m6.bioreg.kyushu-u.ac.jp/M3/20110404/F50751/1623/1", 36.56)</f>
        <v>36.56</v>
      </c>
      <c r="E14142" s="2">
        <v>20.350000000000001</v>
      </c>
      <c r="F14142" s="2">
        <v>1</v>
      </c>
      <c r="G14142" s="2" t="s">
        <v>9</v>
      </c>
    </row>
    <row r="14143" spans="1:9" x14ac:dyDescent="0.2">
      <c r="A14143" s="2" t="s">
        <v>4300</v>
      </c>
      <c r="B14143" s="2" t="s">
        <v>2025</v>
      </c>
      <c r="C14143" s="2">
        <v>570.40869999999995</v>
      </c>
      <c r="D14143" s="2">
        <f>HYPERLINK("http://mcb-m6.bioreg.kyushu-u.ac.jp/M3/20110404/F50751/1622/1", 87.89)</f>
        <v>87.89</v>
      </c>
      <c r="E14143" s="2">
        <v>57.26</v>
      </c>
      <c r="F14143" s="2">
        <v>2</v>
      </c>
      <c r="G14143" s="2" t="s">
        <v>9</v>
      </c>
    </row>
    <row r="14144" spans="1:9" x14ac:dyDescent="0.2">
      <c r="A14144" s="2" t="s">
        <v>3833</v>
      </c>
      <c r="B14144" s="2" t="s">
        <v>1427</v>
      </c>
      <c r="C14144" s="2">
        <v>626.79669999999999</v>
      </c>
      <c r="D14144" s="2">
        <f>HYPERLINK("http://mcb-m6.bioreg.kyushu-u.ac.jp/M3/20110404/F50762/1422/1", 66.1)</f>
        <v>66.099999999999994</v>
      </c>
      <c r="E14144" s="2">
        <v>36.35</v>
      </c>
      <c r="F14144" s="2">
        <v>2</v>
      </c>
      <c r="G14144" s="2" t="s">
        <v>9</v>
      </c>
      <c r="I14144" s="2" t="s">
        <v>4890</v>
      </c>
    </row>
    <row r="14145" spans="1:9" x14ac:dyDescent="0.2">
      <c r="A14145" s="2" t="s">
        <v>3833</v>
      </c>
      <c r="B14145" s="2" t="s">
        <v>7328</v>
      </c>
      <c r="C14145" s="2">
        <v>533.14260000000002</v>
      </c>
      <c r="D14145" s="2">
        <f>HYPERLINK("http://mcb-m6.bioreg.kyushu-u.ac.jp/M3/20110427/F51114/1086/1", 40.77)</f>
        <v>40.770000000000003</v>
      </c>
      <c r="E14145" s="2">
        <v>23.68</v>
      </c>
      <c r="F14145" s="2">
        <v>2</v>
      </c>
      <c r="G14145" s="2" t="s">
        <v>13</v>
      </c>
    </row>
    <row r="14146" spans="1:9" x14ac:dyDescent="0.2">
      <c r="A14146" s="2" t="s">
        <v>3833</v>
      </c>
      <c r="B14146" s="2" t="s">
        <v>7436</v>
      </c>
      <c r="C14146" s="2">
        <v>1085.1079999999999</v>
      </c>
      <c r="D14146" s="2">
        <f>HYPERLINK("http://mcb-m6.bioreg.kyushu-u.ac.jp/M3/20110427/F51114/3472/1", 84.51)</f>
        <v>84.51</v>
      </c>
      <c r="E14146" s="2">
        <v>67.87</v>
      </c>
      <c r="F14146" s="2">
        <v>2</v>
      </c>
      <c r="G14146" s="2" t="s">
        <v>13</v>
      </c>
      <c r="I14146" s="2" t="s">
        <v>4935</v>
      </c>
    </row>
    <row r="14147" spans="1:9" x14ac:dyDescent="0.2">
      <c r="A14147" s="2" t="s">
        <v>7735</v>
      </c>
      <c r="B14147" s="2" t="s">
        <v>6469</v>
      </c>
      <c r="C14147" s="2">
        <v>572.35220000000004</v>
      </c>
      <c r="D14147" s="2">
        <f>HYPERLINK("http://mcb-m6.bioreg.kyushu-u.ac.jp/M3/20110404/F50756/1230/1", 67.43)</f>
        <v>67.430000000000007</v>
      </c>
      <c r="E14147" s="2">
        <v>43.69</v>
      </c>
      <c r="F14147" s="2">
        <v>2</v>
      </c>
      <c r="G14147" s="2" t="s">
        <v>9</v>
      </c>
    </row>
    <row r="14148" spans="1:9" x14ac:dyDescent="0.2">
      <c r="A14148" s="2" t="s">
        <v>3718</v>
      </c>
      <c r="B14148" s="2" t="s">
        <v>707</v>
      </c>
      <c r="C14148" s="2">
        <v>591.29169999999999</v>
      </c>
      <c r="D14148" s="2">
        <f>HYPERLINK("http://mcb-m6.bioreg.kyushu-u.ac.jp/M3/20110404/F50761/1283/1", 52)</f>
        <v>52</v>
      </c>
      <c r="E14148" s="2">
        <v>31.05</v>
      </c>
      <c r="F14148" s="2">
        <v>2</v>
      </c>
      <c r="G14148" s="2" t="s">
        <v>10</v>
      </c>
    </row>
    <row r="14149" spans="1:9" x14ac:dyDescent="0.2">
      <c r="A14149" s="2" t="s">
        <v>4334</v>
      </c>
      <c r="B14149" s="2" t="s">
        <v>5216</v>
      </c>
      <c r="C14149" s="2">
        <v>720.7482</v>
      </c>
      <c r="D14149" s="2">
        <f>HYPERLINK("http://mcb-m6.bioreg.kyushu-u.ac.jp/M3/20110404/F50756/1877/1", 51.84)</f>
        <v>51.84</v>
      </c>
      <c r="E14149" s="2">
        <v>33.619999999999997</v>
      </c>
      <c r="F14149" s="2">
        <v>2</v>
      </c>
      <c r="G14149" s="2" t="s">
        <v>9</v>
      </c>
    </row>
    <row r="14150" spans="1:9" x14ac:dyDescent="0.2">
      <c r="A14150" s="2" t="s">
        <v>4334</v>
      </c>
      <c r="B14150" s="2" t="s">
        <v>6757</v>
      </c>
      <c r="C14150" s="2">
        <v>504.24959999999999</v>
      </c>
      <c r="D14150" s="2">
        <f>HYPERLINK("http://mcb-m6.bioreg.kyushu-u.ac.jp/M3/20110404/F50761/987/1", 40.51)</f>
        <v>40.51</v>
      </c>
      <c r="E14150" s="2">
        <v>14.28</v>
      </c>
      <c r="F14150" s="2">
        <v>2</v>
      </c>
      <c r="G14150" s="2" t="s">
        <v>10</v>
      </c>
      <c r="I14150" s="2" t="s">
        <v>8136</v>
      </c>
    </row>
    <row r="14151" spans="1:9" x14ac:dyDescent="0.2">
      <c r="A14151" s="2" t="s">
        <v>4334</v>
      </c>
      <c r="B14151" s="2" t="s">
        <v>2144</v>
      </c>
      <c r="C14151" s="2">
        <v>817.91269999999997</v>
      </c>
      <c r="D14151" s="2">
        <f>HYPERLINK("http://mcb-m6.bioreg.kyushu-u.ac.jp/M3/20110404/F50761/2156/2", 111.64)</f>
        <v>111.64</v>
      </c>
      <c r="E14151" s="2">
        <v>97.98</v>
      </c>
      <c r="F14151" s="2">
        <v>2</v>
      </c>
      <c r="G14151" s="2" t="s">
        <v>10</v>
      </c>
      <c r="I14151" s="2" t="s">
        <v>4909</v>
      </c>
    </row>
    <row r="14152" spans="1:9" x14ac:dyDescent="0.2">
      <c r="A14152" s="2" t="s">
        <v>4334</v>
      </c>
      <c r="B14152" s="2" t="s">
        <v>5216</v>
      </c>
      <c r="C14152" s="2">
        <v>720.34770000000003</v>
      </c>
      <c r="D14152" s="2">
        <f>HYPERLINK("http://mcb-m6.bioreg.kyushu-u.ac.jp/M3/20110421/F51034/1941/1", 38.01)</f>
        <v>38.01</v>
      </c>
      <c r="E14152" s="2">
        <v>16.05</v>
      </c>
      <c r="F14152" s="2">
        <v>2</v>
      </c>
      <c r="G14152" s="2" t="s">
        <v>11</v>
      </c>
    </row>
    <row r="14153" spans="1:9" x14ac:dyDescent="0.2">
      <c r="A14153" s="2" t="s">
        <v>4334</v>
      </c>
      <c r="B14153" s="2" t="s">
        <v>5216</v>
      </c>
      <c r="C14153" s="2">
        <v>720.13369999999998</v>
      </c>
      <c r="D14153" s="2">
        <f>HYPERLINK("http://mcb-m6.bioreg.kyushu-u.ac.jp/M3/20110427/F51114/1942/1", 54.15)</f>
        <v>54.15</v>
      </c>
      <c r="E14153" s="2">
        <v>32.72</v>
      </c>
      <c r="F14153" s="2">
        <v>2</v>
      </c>
      <c r="G14153" s="2" t="s">
        <v>13</v>
      </c>
    </row>
    <row r="14154" spans="1:9" x14ac:dyDescent="0.2">
      <c r="A14154" s="2" t="s">
        <v>4334</v>
      </c>
      <c r="B14154" s="2" t="s">
        <v>2144</v>
      </c>
      <c r="C14154" s="2">
        <v>817.42819999999995</v>
      </c>
      <c r="D14154" s="2">
        <f>HYPERLINK("http://mcb-m6.bioreg.kyushu-u.ac.jp/M3/20110427/F51114/2485/2", 115.26)</f>
        <v>115.26</v>
      </c>
      <c r="E14154" s="2">
        <v>101.21</v>
      </c>
      <c r="F14154" s="2">
        <v>2</v>
      </c>
      <c r="G14154" s="2" t="s">
        <v>13</v>
      </c>
      <c r="I14154" s="2" t="s">
        <v>4909</v>
      </c>
    </row>
    <row r="14155" spans="1:9" x14ac:dyDescent="0.2">
      <c r="A14155" s="2" t="s">
        <v>4334</v>
      </c>
      <c r="B14155" s="2" t="s">
        <v>2144</v>
      </c>
      <c r="C14155" s="2">
        <v>817.7482</v>
      </c>
      <c r="D14155" s="2">
        <f>HYPERLINK("http://mcb-m6.bioreg.kyushu-u.ac.jp/M3/20110427/F51123/2413/2", 90.8)</f>
        <v>90.8</v>
      </c>
      <c r="E14155" s="2">
        <v>74.17</v>
      </c>
      <c r="F14155" s="2">
        <v>2</v>
      </c>
      <c r="G14155" s="2" t="s">
        <v>14</v>
      </c>
      <c r="I14155" s="2" t="s">
        <v>4909</v>
      </c>
    </row>
    <row r="14156" spans="1:9" x14ac:dyDescent="0.2">
      <c r="A14156" s="2" t="s">
        <v>4325</v>
      </c>
      <c r="B14156" s="2" t="s">
        <v>2106</v>
      </c>
      <c r="C14156" s="2">
        <v>980.8777</v>
      </c>
      <c r="D14156" s="2">
        <f>HYPERLINK("http://mcb-m6.bioreg.kyushu-u.ac.jp/M3/20110404/F50756/3004/1", 45.27)</f>
        <v>45.27</v>
      </c>
      <c r="E14156" s="2">
        <v>32.99</v>
      </c>
      <c r="F14156" s="2">
        <v>2</v>
      </c>
      <c r="G14156" s="2" t="s">
        <v>9</v>
      </c>
    </row>
    <row r="14157" spans="1:9" x14ac:dyDescent="0.2">
      <c r="A14157" s="2" t="s">
        <v>4325</v>
      </c>
      <c r="B14157" s="2" t="s">
        <v>2106</v>
      </c>
      <c r="C14157" s="2">
        <v>981.39970000000005</v>
      </c>
      <c r="D14157" s="2">
        <f>HYPERLINK("http://mcb-m6.bioreg.kyushu-u.ac.jp/M3/20110404/F50756/3007/1", 73.76)</f>
        <v>73.760000000000005</v>
      </c>
      <c r="E14157" s="2">
        <v>55.34</v>
      </c>
      <c r="F14157" s="2">
        <v>2</v>
      </c>
      <c r="G14157" s="2" t="s">
        <v>9</v>
      </c>
    </row>
    <row r="14158" spans="1:9" x14ac:dyDescent="0.2">
      <c r="A14158" s="2" t="s">
        <v>4325</v>
      </c>
      <c r="B14158" s="2" t="s">
        <v>2106</v>
      </c>
      <c r="C14158" s="2">
        <v>981.05219999999997</v>
      </c>
      <c r="D14158" s="2">
        <f>HYPERLINK("http://mcb-m6.bioreg.kyushu-u.ac.jp/M3/20110404/F50761/2768/1", 85.17)</f>
        <v>85.17</v>
      </c>
      <c r="E14158" s="2">
        <v>55.95</v>
      </c>
      <c r="F14158" s="2">
        <v>2</v>
      </c>
      <c r="G14158" s="2" t="s">
        <v>10</v>
      </c>
    </row>
    <row r="14159" spans="1:9" x14ac:dyDescent="0.2">
      <c r="A14159" s="2" t="s">
        <v>7851</v>
      </c>
      <c r="B14159" s="2" t="s">
        <v>6830</v>
      </c>
      <c r="C14159" s="2">
        <v>904.37599999999998</v>
      </c>
      <c r="D14159" s="2">
        <f>HYPERLINK("http://mcb-m6.bioreg.kyushu-u.ac.jp/M3/20110404/F50761/818/1", 47.7)</f>
        <v>47.7</v>
      </c>
      <c r="E14159" s="2">
        <v>4.12</v>
      </c>
      <c r="F14159" s="2">
        <v>1</v>
      </c>
      <c r="G14159" s="2" t="s">
        <v>10</v>
      </c>
    </row>
    <row r="14160" spans="1:9" x14ac:dyDescent="0.2">
      <c r="A14160" s="2" t="s">
        <v>5731</v>
      </c>
      <c r="B14160" s="2" t="s">
        <v>7487</v>
      </c>
      <c r="C14160" s="2">
        <v>738.19870000000003</v>
      </c>
      <c r="D14160" s="2">
        <f>HYPERLINK("http://mcb-m6.bioreg.kyushu-u.ac.jp/M3/20110427/F51120/2062/1", 44.93)</f>
        <v>44.93</v>
      </c>
      <c r="E14160" s="2">
        <v>23.29</v>
      </c>
      <c r="F14160" s="2">
        <v>2</v>
      </c>
      <c r="G14160" s="2" t="s">
        <v>14</v>
      </c>
    </row>
    <row r="14161" spans="1:8" x14ac:dyDescent="0.2">
      <c r="A14161" s="2" t="s">
        <v>5731</v>
      </c>
      <c r="B14161" s="2" t="s">
        <v>7487</v>
      </c>
      <c r="C14161" s="2">
        <v>738.22170000000006</v>
      </c>
      <c r="D14161" s="2">
        <f>HYPERLINK("http://mcb-m6.bioreg.kyushu-u.ac.jp/M3/20110427/F51122/2138/1", 50.22)</f>
        <v>50.22</v>
      </c>
      <c r="E14161" s="2">
        <v>35.83</v>
      </c>
      <c r="F14161" s="2">
        <v>2</v>
      </c>
      <c r="G14161" s="2" t="s">
        <v>14</v>
      </c>
    </row>
    <row r="14162" spans="1:8" x14ac:dyDescent="0.2">
      <c r="A14162" s="2" t="s">
        <v>3849</v>
      </c>
      <c r="B14162" s="2" t="s">
        <v>948</v>
      </c>
      <c r="C14162" s="2">
        <v>669.2242</v>
      </c>
      <c r="D14162" s="2">
        <f>HYPERLINK("http://mcb-m6.bioreg.kyushu-u.ac.jp/M3/20110404/F50753/1721/1", 59.69)</f>
        <v>59.69</v>
      </c>
      <c r="E14162" s="2">
        <v>34.26</v>
      </c>
      <c r="F14162" s="2">
        <v>2</v>
      </c>
      <c r="G14162" s="2" t="s">
        <v>9</v>
      </c>
    </row>
    <row r="14163" spans="1:8" x14ac:dyDescent="0.2">
      <c r="A14163" s="2" t="s">
        <v>7634</v>
      </c>
      <c r="B14163" s="2" t="s">
        <v>6174</v>
      </c>
      <c r="C14163" s="2">
        <v>807.38959999999997</v>
      </c>
      <c r="D14163" s="2">
        <f>HYPERLINK("http://mcb-m6.bioreg.kyushu-u.ac.jp/M3/20110404/F50764/2132/1", 45.51)</f>
        <v>45.51</v>
      </c>
      <c r="E14163" s="2">
        <v>22.98</v>
      </c>
      <c r="F14163" s="2">
        <v>2</v>
      </c>
      <c r="G14163" s="2" t="s">
        <v>9</v>
      </c>
    </row>
    <row r="14164" spans="1:8" x14ac:dyDescent="0.2">
      <c r="A14164" s="2" t="s">
        <v>7634</v>
      </c>
      <c r="B14164" s="2" t="s">
        <v>6299</v>
      </c>
      <c r="C14164" s="2">
        <v>793.74019999999996</v>
      </c>
      <c r="D14164" s="2">
        <f>HYPERLINK("http://mcb-m6.bioreg.kyushu-u.ac.jp/M3/20110404/F50764/2082/1", 51.49)</f>
        <v>51.49</v>
      </c>
      <c r="E14164" s="2">
        <v>39.89</v>
      </c>
      <c r="F14164" s="2">
        <v>2</v>
      </c>
      <c r="G14164" s="2" t="s">
        <v>9</v>
      </c>
    </row>
    <row r="14165" spans="1:8" x14ac:dyDescent="0.2">
      <c r="A14165" s="2" t="s">
        <v>7747</v>
      </c>
      <c r="B14165" s="2" t="s">
        <v>6526</v>
      </c>
      <c r="C14165" s="2">
        <v>935.47519999999997</v>
      </c>
      <c r="D14165" s="2">
        <f>HYPERLINK("http://mcb-m6.bioreg.kyushu-u.ac.jp/M3/20110404/F50764/2567/1", 74.58)</f>
        <v>74.58</v>
      </c>
      <c r="E14165" s="2">
        <v>56.4</v>
      </c>
      <c r="F14165" s="2">
        <v>2</v>
      </c>
      <c r="G14165" s="2" t="s">
        <v>9</v>
      </c>
      <c r="H14165" s="2" t="s">
        <v>4915</v>
      </c>
    </row>
    <row r="14166" spans="1:8" x14ac:dyDescent="0.2">
      <c r="A14166" s="2" t="s">
        <v>3711</v>
      </c>
      <c r="B14166" s="2" t="s">
        <v>847</v>
      </c>
      <c r="C14166" s="2">
        <v>1141.5550000000001</v>
      </c>
      <c r="D14166" s="2">
        <f>HYPERLINK("http://mcb-m6.bioreg.kyushu-u.ac.jp/M3/20110404/F50764/1202/1", 56.92)</f>
        <v>56.92</v>
      </c>
      <c r="E14166" s="2">
        <v>22.44</v>
      </c>
      <c r="F14166" s="2">
        <v>1</v>
      </c>
      <c r="G14166" s="2" t="s">
        <v>9</v>
      </c>
    </row>
    <row r="14167" spans="1:8" x14ac:dyDescent="0.2">
      <c r="A14167" s="2" t="s">
        <v>3711</v>
      </c>
      <c r="B14167" s="2" t="s">
        <v>847</v>
      </c>
      <c r="C14167" s="2">
        <v>1141.4169999999999</v>
      </c>
      <c r="D14167" s="2">
        <f>HYPERLINK("http://mcb-m6.bioreg.kyushu-u.ac.jp/M3/20110404/F50763/1290/1", 60.98)</f>
        <v>60.98</v>
      </c>
      <c r="E14167" s="2">
        <v>32.35</v>
      </c>
      <c r="F14167" s="2">
        <v>1</v>
      </c>
      <c r="G14167" s="2" t="s">
        <v>9</v>
      </c>
    </row>
    <row r="14168" spans="1:8" x14ac:dyDescent="0.2">
      <c r="A14168" s="2" t="s">
        <v>3711</v>
      </c>
      <c r="B14168" s="2" t="s">
        <v>847</v>
      </c>
      <c r="C14168" s="2">
        <v>1141.4449999999999</v>
      </c>
      <c r="D14168" s="2">
        <f>HYPERLINK("http://mcb-m6.bioreg.kyushu-u.ac.jp/M3/20110404/F50768/1286/1", 50.73)</f>
        <v>50.73</v>
      </c>
      <c r="E14168" s="2">
        <v>26.92</v>
      </c>
      <c r="F14168" s="2">
        <v>1</v>
      </c>
      <c r="G14168" s="2" t="s">
        <v>10</v>
      </c>
    </row>
    <row r="14169" spans="1:8" x14ac:dyDescent="0.2">
      <c r="A14169" s="2" t="s">
        <v>3711</v>
      </c>
      <c r="B14169" s="2" t="s">
        <v>847</v>
      </c>
      <c r="C14169" s="2">
        <v>1141.8689999999999</v>
      </c>
      <c r="D14169" s="2">
        <f>HYPERLINK("http://mcb-m6.bioreg.kyushu-u.ac.jp/M3/20110404/F50769/1447/1", 56.71)</f>
        <v>56.71</v>
      </c>
      <c r="E14169" s="2">
        <v>25.7</v>
      </c>
      <c r="F14169" s="2">
        <v>1</v>
      </c>
      <c r="G14169" s="2" t="s">
        <v>10</v>
      </c>
    </row>
    <row r="14170" spans="1:8" x14ac:dyDescent="0.2">
      <c r="A14170" s="2" t="s">
        <v>3711</v>
      </c>
      <c r="B14170" s="2" t="s">
        <v>847</v>
      </c>
      <c r="C14170" s="2">
        <v>579.32569999999998</v>
      </c>
      <c r="D14170" s="2">
        <f>HYPERLINK("http://mcb-m6.bioreg.kyushu-u.ac.jp/M3/20110421/F51035/1121/1", 46.78)</f>
        <v>46.78</v>
      </c>
      <c r="E14170" s="2">
        <v>25.89</v>
      </c>
      <c r="F14170" s="2">
        <v>2</v>
      </c>
      <c r="G14170" s="2" t="s">
        <v>11</v>
      </c>
      <c r="H14170" s="2" t="s">
        <v>4910</v>
      </c>
    </row>
    <row r="14171" spans="1:8" x14ac:dyDescent="0.2">
      <c r="A14171" s="2" t="s">
        <v>3711</v>
      </c>
      <c r="B14171" s="2" t="s">
        <v>847</v>
      </c>
      <c r="C14171" s="2">
        <v>1141.4159999999999</v>
      </c>
      <c r="D14171" s="2">
        <f>HYPERLINK("http://mcb-m6.bioreg.kyushu-u.ac.jp/M3/20110421/F51035/1084/1", 57.69)</f>
        <v>57.69</v>
      </c>
      <c r="E14171" s="2">
        <v>29.46</v>
      </c>
      <c r="F14171" s="2">
        <v>1</v>
      </c>
      <c r="G14171" s="2" t="s">
        <v>11</v>
      </c>
    </row>
    <row r="14172" spans="1:8" x14ac:dyDescent="0.2">
      <c r="A14172" s="2" t="s">
        <v>3711</v>
      </c>
      <c r="B14172" s="2" t="s">
        <v>847</v>
      </c>
      <c r="C14172" s="2">
        <v>1142.3109999999999</v>
      </c>
      <c r="D14172" s="2">
        <f>HYPERLINK("http://mcb-m6.bioreg.kyushu-u.ac.jp/M3/20110421/F51021/1168/1", 50.39)</f>
        <v>50.39</v>
      </c>
      <c r="E14172" s="2">
        <v>20.45</v>
      </c>
      <c r="F14172" s="2">
        <v>1</v>
      </c>
      <c r="G14172" s="2" t="s">
        <v>12</v>
      </c>
    </row>
    <row r="14173" spans="1:8" x14ac:dyDescent="0.2">
      <c r="A14173" s="2" t="s">
        <v>3711</v>
      </c>
      <c r="B14173" s="2" t="s">
        <v>847</v>
      </c>
      <c r="C14173" s="2">
        <v>1141.299</v>
      </c>
      <c r="D14173" s="2">
        <f>HYPERLINK("http://mcb-m6.bioreg.kyushu-u.ac.jp/M3/20110421/F51021/1162/1", 57.1)</f>
        <v>57.1</v>
      </c>
      <c r="E14173" s="2">
        <v>25.74</v>
      </c>
      <c r="F14173" s="2">
        <v>1</v>
      </c>
      <c r="G14173" s="2" t="s">
        <v>12</v>
      </c>
    </row>
    <row r="14174" spans="1:8" x14ac:dyDescent="0.2">
      <c r="A14174" s="2" t="s">
        <v>3711</v>
      </c>
      <c r="B14174" s="2" t="s">
        <v>847</v>
      </c>
      <c r="C14174" s="2">
        <v>1141.578</v>
      </c>
      <c r="D14174" s="2">
        <f>HYPERLINK("http://mcb-m6.bioreg.kyushu-u.ac.jp/M3/20110421/F51043/1235/1", 57.53)</f>
        <v>57.53</v>
      </c>
      <c r="E14174" s="2">
        <v>31.11</v>
      </c>
      <c r="F14174" s="2">
        <v>1</v>
      </c>
      <c r="G14174" s="2" t="s">
        <v>12</v>
      </c>
    </row>
    <row r="14175" spans="1:8" x14ac:dyDescent="0.2">
      <c r="A14175" s="2" t="s">
        <v>3711</v>
      </c>
      <c r="B14175" s="2" t="s">
        <v>695</v>
      </c>
      <c r="C14175" s="2">
        <v>762.24770000000001</v>
      </c>
      <c r="D14175" s="2">
        <f>HYPERLINK("http://mcb-m6.bioreg.kyushu-u.ac.jp/M3/20110421/F51021/2208/1", 62.66)</f>
        <v>62.66</v>
      </c>
      <c r="E14175" s="2">
        <v>36.799999999999997</v>
      </c>
      <c r="F14175" s="2">
        <v>2</v>
      </c>
      <c r="G14175" s="2" t="s">
        <v>12</v>
      </c>
    </row>
    <row r="14176" spans="1:8" x14ac:dyDescent="0.2">
      <c r="A14176" s="2" t="s">
        <v>3711</v>
      </c>
      <c r="B14176" s="2" t="s">
        <v>847</v>
      </c>
      <c r="C14176" s="2">
        <v>571.7482</v>
      </c>
      <c r="D14176" s="2">
        <f>HYPERLINK("http://mcb-m6.bioreg.kyushu-u.ac.jp/M3/20110428/F51127/1057/1", 35.18)</f>
        <v>35.18</v>
      </c>
      <c r="E14176" s="2">
        <v>18.98</v>
      </c>
      <c r="F14176" s="2">
        <v>2</v>
      </c>
      <c r="G14176" s="2" t="s">
        <v>13</v>
      </c>
    </row>
    <row r="14177" spans="1:9" x14ac:dyDescent="0.2">
      <c r="A14177" s="2" t="s">
        <v>3711</v>
      </c>
      <c r="B14177" s="2" t="s">
        <v>695</v>
      </c>
      <c r="C14177" s="2">
        <v>762.26009999999997</v>
      </c>
      <c r="D14177" s="2">
        <f>HYPERLINK("http://mcb-m6.bioreg.kyushu-u.ac.jp/M3/20110428/F51127/2000/1", 44.26)</f>
        <v>44.26</v>
      </c>
      <c r="E14177" s="2">
        <v>20.38</v>
      </c>
      <c r="F14177" s="2">
        <v>2</v>
      </c>
      <c r="G14177" s="2" t="s">
        <v>13</v>
      </c>
    </row>
    <row r="14178" spans="1:9" x14ac:dyDescent="0.2">
      <c r="A14178" s="2" t="s">
        <v>3711</v>
      </c>
      <c r="B14178" s="2" t="s">
        <v>695</v>
      </c>
      <c r="C14178" s="2">
        <v>762.18119999999999</v>
      </c>
      <c r="D14178" s="2">
        <f>HYPERLINK("http://mcb-m6.bioreg.kyushu-u.ac.jp/M3/20110427/F51108/2128/1", 58.1)</f>
        <v>58.1</v>
      </c>
      <c r="E14178" s="2">
        <v>34.840000000000003</v>
      </c>
      <c r="F14178" s="2">
        <v>2</v>
      </c>
      <c r="G14178" s="2" t="s">
        <v>13</v>
      </c>
    </row>
    <row r="14179" spans="1:9" x14ac:dyDescent="0.2">
      <c r="A14179" s="2" t="s">
        <v>3711</v>
      </c>
      <c r="B14179" s="2" t="s">
        <v>847</v>
      </c>
      <c r="C14179" s="2">
        <v>1141.2639999999999</v>
      </c>
      <c r="D14179" s="2">
        <f>HYPERLINK("http://mcb-m6.bioreg.kyushu-u.ac.jp/M3/20110428/F51127/1052/1", 63.45)</f>
        <v>63.45</v>
      </c>
      <c r="E14179" s="2">
        <v>20.54</v>
      </c>
      <c r="F14179" s="2">
        <v>1</v>
      </c>
      <c r="G14179" s="2" t="s">
        <v>13</v>
      </c>
    </row>
    <row r="14180" spans="1:9" x14ac:dyDescent="0.2">
      <c r="A14180" s="2" t="s">
        <v>3711</v>
      </c>
      <c r="B14180" s="2" t="s">
        <v>847</v>
      </c>
      <c r="C14180" s="2">
        <v>571.10469999999998</v>
      </c>
      <c r="D14180" s="2">
        <f>HYPERLINK("http://mcb-m6.bioreg.kyushu-u.ac.jp/M3/20110428/F51134/1531/1", 37.44)</f>
        <v>37.44</v>
      </c>
      <c r="E14180" s="2">
        <v>20.74</v>
      </c>
      <c r="F14180" s="2">
        <v>2</v>
      </c>
      <c r="G14180" s="2" t="s">
        <v>14</v>
      </c>
    </row>
    <row r="14181" spans="1:9" x14ac:dyDescent="0.2">
      <c r="A14181" s="2" t="s">
        <v>5677</v>
      </c>
      <c r="B14181" s="2" t="s">
        <v>5186</v>
      </c>
      <c r="C14181" s="2">
        <v>811.15309999999999</v>
      </c>
      <c r="D14181" s="2">
        <f>HYPERLINK("http://mcb-m6.bioreg.kyushu-u.ac.jp/M3/20110428/F51128/2332/1", 56.69)</f>
        <v>56.69</v>
      </c>
      <c r="E14181" s="2">
        <v>41.8</v>
      </c>
      <c r="F14181" s="2">
        <v>2</v>
      </c>
      <c r="G14181" s="2" t="s">
        <v>14</v>
      </c>
      <c r="I14181" s="2" t="s">
        <v>4918</v>
      </c>
    </row>
    <row r="14182" spans="1:9" x14ac:dyDescent="0.2">
      <c r="A14182" s="2" t="s">
        <v>7557</v>
      </c>
      <c r="B14182" s="2" t="s">
        <v>5979</v>
      </c>
      <c r="C14182" s="2">
        <v>952.41819999999996</v>
      </c>
      <c r="D14182" s="2">
        <f>HYPERLINK("http://mcb-m6.bioreg.kyushu-u.ac.jp/M3/20110404/F50763/2635/1", 37.56)</f>
        <v>37.56</v>
      </c>
      <c r="E14182" s="2">
        <v>32.65</v>
      </c>
      <c r="F14182" s="2">
        <v>2</v>
      </c>
      <c r="G14182" s="2" t="s">
        <v>9</v>
      </c>
      <c r="I14182" s="2" t="s">
        <v>4909</v>
      </c>
    </row>
    <row r="14183" spans="1:9" x14ac:dyDescent="0.2">
      <c r="A14183" s="2" t="s">
        <v>7557</v>
      </c>
      <c r="B14183" s="2" t="s">
        <v>5979</v>
      </c>
      <c r="C14183" s="2">
        <v>952.34519999999998</v>
      </c>
      <c r="D14183" s="2">
        <f>HYPERLINK("http://mcb-m6.bioreg.kyushu-u.ac.jp/M3/20110404/F50769/2519/1", 38.33)</f>
        <v>38.33</v>
      </c>
      <c r="E14183" s="2">
        <v>35.35</v>
      </c>
      <c r="F14183" s="2">
        <v>2</v>
      </c>
      <c r="G14183" s="2" t="s">
        <v>10</v>
      </c>
      <c r="I14183" s="2" t="s">
        <v>4909</v>
      </c>
    </row>
    <row r="14184" spans="1:9" x14ac:dyDescent="0.2">
      <c r="A14184" s="2" t="s">
        <v>4328</v>
      </c>
      <c r="B14184" s="2" t="s">
        <v>2121</v>
      </c>
      <c r="C14184" s="2">
        <v>1418.675</v>
      </c>
      <c r="D14184" s="2">
        <f>HYPERLINK("http://mcb-m6.bioreg.kyushu-u.ac.jp/M3/20110404/F50751/2004/1", 58.46)</f>
        <v>58.46</v>
      </c>
      <c r="E14184" s="2">
        <v>38.14</v>
      </c>
      <c r="F14184" s="2">
        <v>1</v>
      </c>
      <c r="G14184" s="2" t="s">
        <v>9</v>
      </c>
      <c r="I14184" s="2" t="s">
        <v>4893</v>
      </c>
    </row>
    <row r="14185" spans="1:9" x14ac:dyDescent="0.2">
      <c r="A14185" s="2" t="s">
        <v>4328</v>
      </c>
      <c r="B14185" s="2" t="s">
        <v>2121</v>
      </c>
      <c r="C14185" s="2">
        <v>710.26009999999997</v>
      </c>
      <c r="D14185" s="2">
        <f>HYPERLINK("http://mcb-m6.bioreg.kyushu-u.ac.jp/M3/20110421/F51015/1942/1", 88.79)</f>
        <v>88.79</v>
      </c>
      <c r="E14185" s="2">
        <v>66.36</v>
      </c>
      <c r="F14185" s="2">
        <v>2</v>
      </c>
      <c r="G14185" s="2" t="s">
        <v>11</v>
      </c>
      <c r="I14185" s="2" t="s">
        <v>4893</v>
      </c>
    </row>
    <row r="14186" spans="1:9" x14ac:dyDescent="0.2">
      <c r="A14186" s="2" t="s">
        <v>4328</v>
      </c>
      <c r="B14186" s="2" t="s">
        <v>2121</v>
      </c>
      <c r="C14186" s="2">
        <v>709.78120000000001</v>
      </c>
      <c r="D14186" s="2">
        <f>HYPERLINK("http://mcb-m6.bioreg.kyushu-u.ac.jp/M3/20110421/F51021/1907/1", 86.48)</f>
        <v>86.48</v>
      </c>
      <c r="E14186" s="2">
        <v>63.59</v>
      </c>
      <c r="F14186" s="2">
        <v>2</v>
      </c>
      <c r="G14186" s="2" t="s">
        <v>12</v>
      </c>
      <c r="I14186" s="2" t="s">
        <v>4893</v>
      </c>
    </row>
    <row r="14187" spans="1:9" x14ac:dyDescent="0.2">
      <c r="A14187" s="2" t="s">
        <v>4328</v>
      </c>
      <c r="B14187" s="2" t="s">
        <v>2121</v>
      </c>
      <c r="C14187" s="2">
        <v>709.70209999999997</v>
      </c>
      <c r="D14187" s="2">
        <f>HYPERLINK("http://mcb-m6.bioreg.kyushu-u.ac.jp/M3/20110427/F51109/1993/1", 112.32)</f>
        <v>112.32</v>
      </c>
      <c r="E14187" s="2">
        <v>84.07</v>
      </c>
      <c r="F14187" s="2">
        <v>2</v>
      </c>
      <c r="G14187" s="2" t="s">
        <v>13</v>
      </c>
      <c r="I14187" s="2" t="s">
        <v>4893</v>
      </c>
    </row>
    <row r="14188" spans="1:9" x14ac:dyDescent="0.2">
      <c r="A14188" s="2" t="s">
        <v>4328</v>
      </c>
      <c r="B14188" s="2" t="s">
        <v>2121</v>
      </c>
      <c r="C14188" s="2">
        <v>709.65009999999995</v>
      </c>
      <c r="D14188" s="2">
        <f>HYPERLINK("http://mcb-m6.bioreg.kyushu-u.ac.jp/M3/20110427/F51108/1936/1", 114.83)</f>
        <v>114.83</v>
      </c>
      <c r="E14188" s="2">
        <v>88.91</v>
      </c>
      <c r="F14188" s="2">
        <v>2</v>
      </c>
      <c r="G14188" s="2" t="s">
        <v>13</v>
      </c>
      <c r="I14188" s="2" t="s">
        <v>4893</v>
      </c>
    </row>
    <row r="14189" spans="1:9" x14ac:dyDescent="0.2">
      <c r="A14189" s="2" t="s">
        <v>8049</v>
      </c>
      <c r="B14189" s="2" t="s">
        <v>7336</v>
      </c>
      <c r="C14189" s="2">
        <v>458.15960000000001</v>
      </c>
      <c r="D14189" s="2">
        <f>HYPERLINK("http://mcb-m6.bioreg.kyushu-u.ac.jp/M3/20110427/F51114/744/1", 43.02)</f>
        <v>43.02</v>
      </c>
      <c r="E14189" s="2">
        <v>14.59</v>
      </c>
      <c r="F14189" s="2">
        <v>2</v>
      </c>
      <c r="G14189" s="2" t="s">
        <v>13</v>
      </c>
    </row>
    <row r="14190" spans="1:9" x14ac:dyDescent="0.2">
      <c r="A14190" s="2" t="s">
        <v>7787</v>
      </c>
      <c r="B14190" s="2" t="s">
        <v>6685</v>
      </c>
      <c r="C14190" s="2">
        <v>802.41800000000001</v>
      </c>
      <c r="D14190" s="2">
        <f>HYPERLINK("http://mcb-m6.bioreg.kyushu-u.ac.jp/M3/20110404/F50760/712/1", 35.69)</f>
        <v>35.69</v>
      </c>
      <c r="E14190" s="2">
        <v>8.11</v>
      </c>
      <c r="F14190" s="2">
        <v>1</v>
      </c>
      <c r="G14190" s="2" t="s">
        <v>10</v>
      </c>
    </row>
    <row r="14191" spans="1:9" x14ac:dyDescent="0.2">
      <c r="A14191" s="2" t="s">
        <v>3521</v>
      </c>
      <c r="B14191" s="2" t="s">
        <v>364</v>
      </c>
      <c r="C14191" s="2">
        <v>1303.3389999999999</v>
      </c>
      <c r="D14191" s="2">
        <f>HYPERLINK("http://mcb-m6.bioreg.kyushu-u.ac.jp/M3/20110404/F50753/1665/1", 50.59)</f>
        <v>50.59</v>
      </c>
      <c r="E14191" s="2">
        <v>32.75</v>
      </c>
      <c r="F14191" s="2">
        <v>1</v>
      </c>
      <c r="G14191" s="2" t="s">
        <v>9</v>
      </c>
    </row>
    <row r="14192" spans="1:9" x14ac:dyDescent="0.2">
      <c r="A14192" s="2" t="s">
        <v>3521</v>
      </c>
      <c r="B14192" s="2" t="s">
        <v>364</v>
      </c>
      <c r="C14192" s="2">
        <v>652.32709999999997</v>
      </c>
      <c r="D14192" s="2">
        <f>HYPERLINK("http://mcb-m6.bioreg.kyushu-u.ac.jp/M3/20110404/F50752/1823/1", 85.18)</f>
        <v>85.18</v>
      </c>
      <c r="E14192" s="2">
        <v>66.930000000000007</v>
      </c>
      <c r="F14192" s="2">
        <v>2</v>
      </c>
      <c r="G14192" s="2" t="s">
        <v>9</v>
      </c>
    </row>
    <row r="14193" spans="1:7" x14ac:dyDescent="0.2">
      <c r="A14193" s="2" t="s">
        <v>3521</v>
      </c>
      <c r="B14193" s="2" t="s">
        <v>364</v>
      </c>
      <c r="C14193" s="2">
        <v>652.60670000000005</v>
      </c>
      <c r="D14193" s="2">
        <f>HYPERLINK("http://mcb-m6.bioreg.kyushu-u.ac.jp/M3/20110404/F50753/1667/1", 90.2)</f>
        <v>90.2</v>
      </c>
      <c r="E14193" s="2">
        <v>69.64</v>
      </c>
      <c r="F14193" s="2">
        <v>2</v>
      </c>
      <c r="G14193" s="2" t="s">
        <v>9</v>
      </c>
    </row>
    <row r="14194" spans="1:7" x14ac:dyDescent="0.2">
      <c r="A14194" s="2" t="s">
        <v>3521</v>
      </c>
      <c r="B14194" s="2" t="s">
        <v>364</v>
      </c>
      <c r="C14194" s="2">
        <v>652.10670000000005</v>
      </c>
      <c r="D14194" s="2">
        <f>HYPERLINK("http://mcb-m6.bioreg.kyushu-u.ac.jp/M3/20110404/F50753/1663/1", 100.08)</f>
        <v>100.08</v>
      </c>
      <c r="E14194" s="2">
        <v>73.27</v>
      </c>
      <c r="F14194" s="2">
        <v>2</v>
      </c>
      <c r="G14194" s="2" t="s">
        <v>9</v>
      </c>
    </row>
    <row r="14195" spans="1:7" x14ac:dyDescent="0.2">
      <c r="A14195" s="2" t="s">
        <v>3521</v>
      </c>
      <c r="B14195" s="2" t="s">
        <v>364</v>
      </c>
      <c r="C14195" s="2">
        <v>652.09619999999995</v>
      </c>
      <c r="D14195" s="2">
        <f>HYPERLINK("http://mcb-m6.bioreg.kyushu-u.ac.jp/M3/20110404/F50758/1595/1", 36.67)</f>
        <v>36.67</v>
      </c>
      <c r="E14195" s="2">
        <v>24.12</v>
      </c>
      <c r="F14195" s="2">
        <v>2</v>
      </c>
      <c r="G14195" s="2" t="s">
        <v>10</v>
      </c>
    </row>
    <row r="14196" spans="1:7" x14ac:dyDescent="0.2">
      <c r="A14196" s="2" t="s">
        <v>3521</v>
      </c>
      <c r="B14196" s="2" t="s">
        <v>364</v>
      </c>
      <c r="C14196" s="2">
        <v>1303.299</v>
      </c>
      <c r="D14196" s="2">
        <f>HYPERLINK("http://mcb-m6.bioreg.kyushu-u.ac.jp/M3/20110404/F50757/1863/1", 38.06)</f>
        <v>38.06</v>
      </c>
      <c r="E14196" s="2">
        <v>28.15</v>
      </c>
      <c r="F14196" s="2">
        <v>1</v>
      </c>
      <c r="G14196" s="2" t="s">
        <v>10</v>
      </c>
    </row>
    <row r="14197" spans="1:7" x14ac:dyDescent="0.2">
      <c r="A14197" s="2" t="s">
        <v>3521</v>
      </c>
      <c r="B14197" s="2" t="s">
        <v>364</v>
      </c>
      <c r="C14197" s="2">
        <v>1303.556</v>
      </c>
      <c r="D14197" s="2">
        <f>HYPERLINK("http://mcb-m6.bioreg.kyushu-u.ac.jp/M3/20110404/F50758/1596/1", 49.21)</f>
        <v>49.21</v>
      </c>
      <c r="E14197" s="2">
        <v>38.74</v>
      </c>
      <c r="F14197" s="2">
        <v>1</v>
      </c>
      <c r="G14197" s="2" t="s">
        <v>10</v>
      </c>
    </row>
    <row r="14198" spans="1:7" x14ac:dyDescent="0.2">
      <c r="A14198" s="2" t="s">
        <v>3521</v>
      </c>
      <c r="B14198" s="2" t="s">
        <v>364</v>
      </c>
      <c r="C14198" s="2">
        <v>652.0856</v>
      </c>
      <c r="D14198" s="2">
        <f>HYPERLINK("http://mcb-m6.bioreg.kyushu-u.ac.jp/M3/20110404/F50758/1594/1", 72.68)</f>
        <v>72.680000000000007</v>
      </c>
      <c r="E14198" s="2">
        <v>56.8</v>
      </c>
      <c r="F14198" s="2">
        <v>2</v>
      </c>
      <c r="G14198" s="2" t="s">
        <v>10</v>
      </c>
    </row>
    <row r="14199" spans="1:7" x14ac:dyDescent="0.2">
      <c r="A14199" s="2" t="s">
        <v>3521</v>
      </c>
      <c r="B14199" s="2" t="s">
        <v>364</v>
      </c>
      <c r="C14199" s="2">
        <v>652.18269999999995</v>
      </c>
      <c r="D14199" s="2">
        <f>HYPERLINK("http://mcb-m6.bioreg.kyushu-u.ac.jp/M3/20110404/F50757/1864/1", 78.95)</f>
        <v>78.95</v>
      </c>
      <c r="E14199" s="2">
        <v>58.94</v>
      </c>
      <c r="F14199" s="2">
        <v>2</v>
      </c>
      <c r="G14199" s="2" t="s">
        <v>10</v>
      </c>
    </row>
    <row r="14200" spans="1:7" x14ac:dyDescent="0.2">
      <c r="A14200" s="2" t="s">
        <v>3521</v>
      </c>
      <c r="B14200" s="2" t="s">
        <v>364</v>
      </c>
      <c r="C14200" s="2">
        <v>652.48109999999997</v>
      </c>
      <c r="D14200" s="2">
        <f>HYPERLINK("http://mcb-m6.bioreg.kyushu-u.ac.jp/M3/20110404/F50758/1597/1", 93.66)</f>
        <v>93.66</v>
      </c>
      <c r="E14200" s="2">
        <v>70.16</v>
      </c>
      <c r="F14200" s="2">
        <v>2</v>
      </c>
      <c r="G14200" s="2" t="s">
        <v>10</v>
      </c>
    </row>
    <row r="14201" spans="1:7" x14ac:dyDescent="0.2">
      <c r="A14201" s="2" t="s">
        <v>3521</v>
      </c>
      <c r="B14201" s="2" t="s">
        <v>364</v>
      </c>
      <c r="C14201" s="2">
        <v>1303.316</v>
      </c>
      <c r="D14201" s="2">
        <f>HYPERLINK("http://mcb-m6.bioreg.kyushu-u.ac.jp/M3/20110421/F51017/1547/1", 43.24)</f>
        <v>43.24</v>
      </c>
      <c r="E14201" s="2">
        <v>26.66</v>
      </c>
      <c r="F14201" s="2">
        <v>1</v>
      </c>
      <c r="G14201" s="2" t="s">
        <v>11</v>
      </c>
    </row>
    <row r="14202" spans="1:7" x14ac:dyDescent="0.2">
      <c r="A14202" s="2" t="s">
        <v>3521</v>
      </c>
      <c r="B14202" s="2" t="s">
        <v>364</v>
      </c>
      <c r="C14202" s="2">
        <v>652.2432</v>
      </c>
      <c r="D14202" s="2">
        <f>HYPERLINK("http://mcb-m6.bioreg.kyushu-u.ac.jp/M3/20110421/F51017/1550/1", 56.33)</f>
        <v>56.33</v>
      </c>
      <c r="E14202" s="2">
        <v>41.72</v>
      </c>
      <c r="F14202" s="2">
        <v>2</v>
      </c>
      <c r="G14202" s="2" t="s">
        <v>11</v>
      </c>
    </row>
    <row r="14203" spans="1:7" x14ac:dyDescent="0.2">
      <c r="A14203" s="2" t="s">
        <v>3521</v>
      </c>
      <c r="B14203" s="2" t="s">
        <v>364</v>
      </c>
      <c r="C14203" s="2">
        <v>652.2432</v>
      </c>
      <c r="D14203" s="2">
        <f>HYPERLINK("http://mcb-m6.bioreg.kyushu-u.ac.jp/M3/20110421/F51017/1551/1", 62.85)</f>
        <v>62.85</v>
      </c>
      <c r="E14203" s="2">
        <v>41.41</v>
      </c>
      <c r="F14203" s="2">
        <v>2</v>
      </c>
      <c r="G14203" s="2" t="s">
        <v>11</v>
      </c>
    </row>
    <row r="14204" spans="1:7" x14ac:dyDescent="0.2">
      <c r="A14204" s="2" t="s">
        <v>3521</v>
      </c>
      <c r="B14204" s="2" t="s">
        <v>364</v>
      </c>
      <c r="C14204" s="2">
        <v>652.62919999999997</v>
      </c>
      <c r="D14204" s="2">
        <f>HYPERLINK("http://mcb-m6.bioreg.kyushu-u.ac.jp/M3/20110421/F51017/1553/1", 71.42)</f>
        <v>71.42</v>
      </c>
      <c r="E14204" s="2">
        <v>54.46</v>
      </c>
      <c r="F14204" s="2">
        <v>2</v>
      </c>
      <c r="G14204" s="2" t="s">
        <v>11</v>
      </c>
    </row>
    <row r="14205" spans="1:7" x14ac:dyDescent="0.2">
      <c r="A14205" s="2" t="s">
        <v>3521</v>
      </c>
      <c r="B14205" s="2" t="s">
        <v>364</v>
      </c>
      <c r="C14205" s="2">
        <v>652.76210000000003</v>
      </c>
      <c r="D14205" s="2">
        <f>HYPERLINK("http://mcb-m6.bioreg.kyushu-u.ac.jp/M3/20110421/F51040/1557/1", 74.56)</f>
        <v>74.56</v>
      </c>
      <c r="E14205" s="2">
        <v>57.05</v>
      </c>
      <c r="F14205" s="2">
        <v>2</v>
      </c>
      <c r="G14205" s="2" t="s">
        <v>11</v>
      </c>
    </row>
    <row r="14206" spans="1:7" x14ac:dyDescent="0.2">
      <c r="A14206" s="2" t="s">
        <v>3521</v>
      </c>
      <c r="B14206" s="2" t="s">
        <v>364</v>
      </c>
      <c r="C14206" s="2">
        <v>652.32709999999997</v>
      </c>
      <c r="D14206" s="2">
        <f>HYPERLINK("http://mcb-m6.bioreg.kyushu-u.ac.jp/M3/20110421/F51015/1759/1", 77.33)</f>
        <v>77.33</v>
      </c>
      <c r="E14206" s="2">
        <v>59.16</v>
      </c>
      <c r="F14206" s="2">
        <v>2</v>
      </c>
      <c r="G14206" s="2" t="s">
        <v>11</v>
      </c>
    </row>
    <row r="14207" spans="1:7" x14ac:dyDescent="0.2">
      <c r="A14207" s="2" t="s">
        <v>3521</v>
      </c>
      <c r="B14207" s="2" t="s">
        <v>364</v>
      </c>
      <c r="C14207" s="2">
        <v>652.12159999999994</v>
      </c>
      <c r="D14207" s="2">
        <f>HYPERLINK("http://mcb-m6.bioreg.kyushu-u.ac.jp/M3/20110421/F51017/1544/1", 81.15)</f>
        <v>81.150000000000006</v>
      </c>
      <c r="E14207" s="2">
        <v>55.05</v>
      </c>
      <c r="F14207" s="2">
        <v>2</v>
      </c>
      <c r="G14207" s="2" t="s">
        <v>11</v>
      </c>
    </row>
    <row r="14208" spans="1:7" x14ac:dyDescent="0.2">
      <c r="A14208" s="2" t="s">
        <v>3521</v>
      </c>
      <c r="B14208" s="2" t="s">
        <v>364</v>
      </c>
      <c r="C14208" s="2">
        <v>652.14070000000004</v>
      </c>
      <c r="D14208" s="2">
        <f>HYPERLINK("http://mcb-m6.bioreg.kyushu-u.ac.jp/M3/20110421/F51017/1545/1", 81.7)</f>
        <v>81.7</v>
      </c>
      <c r="E14208" s="2">
        <v>58.75</v>
      </c>
      <c r="F14208" s="2">
        <v>2</v>
      </c>
      <c r="G14208" s="2" t="s">
        <v>11</v>
      </c>
    </row>
    <row r="14209" spans="1:7" x14ac:dyDescent="0.2">
      <c r="A14209" s="2" t="s">
        <v>3521</v>
      </c>
      <c r="B14209" s="2" t="s">
        <v>364</v>
      </c>
      <c r="C14209" s="2">
        <v>652.13670000000002</v>
      </c>
      <c r="D14209" s="2">
        <f>HYPERLINK("http://mcb-m6.bioreg.kyushu-u.ac.jp/M3/20110421/F51016/1829/1", 82.22)</f>
        <v>82.22</v>
      </c>
      <c r="E14209" s="2">
        <v>57.8</v>
      </c>
      <c r="F14209" s="2">
        <v>2</v>
      </c>
      <c r="G14209" s="2" t="s">
        <v>11</v>
      </c>
    </row>
    <row r="14210" spans="1:7" x14ac:dyDescent="0.2">
      <c r="A14210" s="2" t="s">
        <v>3521</v>
      </c>
      <c r="B14210" s="2" t="s">
        <v>364</v>
      </c>
      <c r="C14210" s="2">
        <v>652.2722</v>
      </c>
      <c r="D14210" s="2">
        <f>HYPERLINK("http://mcb-m6.bioreg.kyushu-u.ac.jp/M3/20110421/F51017/1552/1", 87.02)</f>
        <v>87.02</v>
      </c>
      <c r="E14210" s="2">
        <v>57.3</v>
      </c>
      <c r="F14210" s="2">
        <v>2</v>
      </c>
      <c r="G14210" s="2" t="s">
        <v>11</v>
      </c>
    </row>
    <row r="14211" spans="1:7" x14ac:dyDescent="0.2">
      <c r="A14211" s="2" t="s">
        <v>3521</v>
      </c>
      <c r="B14211" s="2" t="s">
        <v>364</v>
      </c>
      <c r="C14211" s="2">
        <v>652.05409999999995</v>
      </c>
      <c r="D14211" s="2">
        <f>HYPERLINK("http://mcb-m6.bioreg.kyushu-u.ac.jp/M3/20110421/F51014/1746/1", 88.44)</f>
        <v>88.44</v>
      </c>
      <c r="E14211" s="2">
        <v>44.74</v>
      </c>
      <c r="F14211" s="2">
        <v>2</v>
      </c>
      <c r="G14211" s="2" t="s">
        <v>11</v>
      </c>
    </row>
    <row r="14212" spans="1:7" x14ac:dyDescent="0.2">
      <c r="A14212" s="2" t="s">
        <v>3521</v>
      </c>
      <c r="B14212" s="2" t="s">
        <v>364</v>
      </c>
      <c r="C14212" s="2">
        <v>652.21259999999995</v>
      </c>
      <c r="D14212" s="2">
        <f>HYPERLINK("http://mcb-m6.bioreg.kyushu-u.ac.jp/M3/20110421/F51018/1672/1", 88.55)</f>
        <v>88.55</v>
      </c>
      <c r="E14212" s="2">
        <v>67.66</v>
      </c>
      <c r="F14212" s="2">
        <v>2</v>
      </c>
      <c r="G14212" s="2" t="s">
        <v>11</v>
      </c>
    </row>
    <row r="14213" spans="1:7" x14ac:dyDescent="0.2">
      <c r="A14213" s="2" t="s">
        <v>3521</v>
      </c>
      <c r="B14213" s="2" t="s">
        <v>364</v>
      </c>
      <c r="C14213" s="2">
        <v>652.16060000000004</v>
      </c>
      <c r="D14213" s="2">
        <f>HYPERLINK("http://mcb-m6.bioreg.kyushu-u.ac.jp/M3/20110421/F51017/1546/1", 90.91)</f>
        <v>90.91</v>
      </c>
      <c r="E14213" s="2">
        <v>62.27</v>
      </c>
      <c r="F14213" s="2">
        <v>2</v>
      </c>
      <c r="G14213" s="2" t="s">
        <v>11</v>
      </c>
    </row>
    <row r="14214" spans="1:7" x14ac:dyDescent="0.2">
      <c r="A14214" s="2" t="s">
        <v>3521</v>
      </c>
      <c r="B14214" s="2" t="s">
        <v>364</v>
      </c>
      <c r="C14214" s="2">
        <v>1303.866</v>
      </c>
      <c r="D14214" s="2">
        <f>HYPERLINK("http://mcb-m6.bioreg.kyushu-u.ac.jp/M3/20110421/F51023/1740/1", 43.4)</f>
        <v>43.4</v>
      </c>
      <c r="E14214" s="2">
        <v>30.22</v>
      </c>
      <c r="F14214" s="2">
        <v>1</v>
      </c>
      <c r="G14214" s="2" t="s">
        <v>12</v>
      </c>
    </row>
    <row r="14215" spans="1:7" x14ac:dyDescent="0.2">
      <c r="A14215" s="2" t="s">
        <v>3521</v>
      </c>
      <c r="B14215" s="2" t="s">
        <v>364</v>
      </c>
      <c r="C14215" s="2">
        <v>652.37919999999997</v>
      </c>
      <c r="D14215" s="2">
        <f>HYPERLINK("http://mcb-m6.bioreg.kyushu-u.ac.jp/M3/20110421/F51023/1739/1", 73.28)</f>
        <v>73.28</v>
      </c>
      <c r="E14215" s="2">
        <v>54.42</v>
      </c>
      <c r="F14215" s="2">
        <v>2</v>
      </c>
      <c r="G14215" s="2" t="s">
        <v>12</v>
      </c>
    </row>
    <row r="14216" spans="1:7" x14ac:dyDescent="0.2">
      <c r="A14216" s="2" t="s">
        <v>3521</v>
      </c>
      <c r="B14216" s="2" t="s">
        <v>364</v>
      </c>
      <c r="C14216" s="2">
        <v>652.2192</v>
      </c>
      <c r="D14216" s="2">
        <f>HYPERLINK("http://mcb-m6.bioreg.kyushu-u.ac.jp/M3/20110421/F51023/1737/1", 75.98)</f>
        <v>75.98</v>
      </c>
      <c r="E14216" s="2">
        <v>60.54</v>
      </c>
      <c r="F14216" s="2">
        <v>2</v>
      </c>
      <c r="G14216" s="2" t="s">
        <v>12</v>
      </c>
    </row>
    <row r="14217" spans="1:7" x14ac:dyDescent="0.2">
      <c r="A14217" s="2" t="s">
        <v>3521</v>
      </c>
      <c r="B14217" s="2" t="s">
        <v>364</v>
      </c>
      <c r="C14217" s="2">
        <v>652.24069999999995</v>
      </c>
      <c r="D14217" s="2">
        <f>HYPERLINK("http://mcb-m6.bioreg.kyushu-u.ac.jp/M3/20110421/F51023/1738/1", 82.29)</f>
        <v>82.29</v>
      </c>
      <c r="E14217" s="2">
        <v>62.68</v>
      </c>
      <c r="F14217" s="2">
        <v>2</v>
      </c>
      <c r="G14217" s="2" t="s">
        <v>12</v>
      </c>
    </row>
    <row r="14218" spans="1:7" x14ac:dyDescent="0.2">
      <c r="A14218" s="2" t="s">
        <v>3521</v>
      </c>
      <c r="B14218" s="2" t="s">
        <v>364</v>
      </c>
      <c r="C14218" s="2">
        <v>652.77919999999995</v>
      </c>
      <c r="D14218" s="2">
        <f>HYPERLINK("http://mcb-m6.bioreg.kyushu-u.ac.jp/M3/20110421/F51024/1750/1", 82.86)</f>
        <v>82.86</v>
      </c>
      <c r="E14218" s="2">
        <v>63.11</v>
      </c>
      <c r="F14218" s="2">
        <v>2</v>
      </c>
      <c r="G14218" s="2" t="s">
        <v>12</v>
      </c>
    </row>
    <row r="14219" spans="1:7" x14ac:dyDescent="0.2">
      <c r="A14219" s="2" t="s">
        <v>3521</v>
      </c>
      <c r="B14219" s="2" t="s">
        <v>364</v>
      </c>
      <c r="C14219" s="2">
        <v>651.98170000000005</v>
      </c>
      <c r="D14219" s="2">
        <f>HYPERLINK("http://mcb-m6.bioreg.kyushu-u.ac.jp/M3/20110421/F51022/1849/1", 86.35)</f>
        <v>86.35</v>
      </c>
      <c r="E14219" s="2">
        <v>72.19</v>
      </c>
      <c r="F14219" s="2">
        <v>2</v>
      </c>
      <c r="G14219" s="2" t="s">
        <v>12</v>
      </c>
    </row>
    <row r="14220" spans="1:7" x14ac:dyDescent="0.2">
      <c r="A14220" s="2" t="s">
        <v>3521</v>
      </c>
      <c r="B14220" s="2" t="s">
        <v>364</v>
      </c>
      <c r="C14220" s="2">
        <v>652.67359999999996</v>
      </c>
      <c r="D14220" s="2">
        <f>HYPERLINK("http://mcb-m6.bioreg.kyushu-u.ac.jp/M3/20110421/F51022/1852/1", 89.86)</f>
        <v>89.86</v>
      </c>
      <c r="E14220" s="2">
        <v>63.34</v>
      </c>
      <c r="F14220" s="2">
        <v>2</v>
      </c>
      <c r="G14220" s="2" t="s">
        <v>12</v>
      </c>
    </row>
    <row r="14221" spans="1:7" x14ac:dyDescent="0.2">
      <c r="A14221" s="2" t="s">
        <v>3521</v>
      </c>
      <c r="B14221" s="2" t="s">
        <v>364</v>
      </c>
      <c r="C14221" s="2">
        <v>652.10569999999996</v>
      </c>
      <c r="D14221" s="2">
        <f>HYPERLINK("http://mcb-m6.bioreg.kyushu-u.ac.jp/M3/20110427/F51110/1858/1", 37.61)</f>
        <v>37.61</v>
      </c>
      <c r="E14221" s="2">
        <v>17.61</v>
      </c>
      <c r="F14221" s="2">
        <v>2</v>
      </c>
      <c r="G14221" s="2" t="s">
        <v>13</v>
      </c>
    </row>
    <row r="14222" spans="1:7" x14ac:dyDescent="0.2">
      <c r="A14222" s="2" t="s">
        <v>3521</v>
      </c>
      <c r="B14222" s="2" t="s">
        <v>364</v>
      </c>
      <c r="C14222" s="2">
        <v>1303.4280000000001</v>
      </c>
      <c r="D14222" s="2">
        <f>HYPERLINK("http://mcb-m6.bioreg.kyushu-u.ac.jp/M3/20110427/F51111/1717/1", 44.16)</f>
        <v>44.16</v>
      </c>
      <c r="E14222" s="2">
        <v>28.99</v>
      </c>
      <c r="F14222" s="2">
        <v>1</v>
      </c>
      <c r="G14222" s="2" t="s">
        <v>13</v>
      </c>
    </row>
    <row r="14223" spans="1:7" x14ac:dyDescent="0.2">
      <c r="A14223" s="2" t="s">
        <v>3521</v>
      </c>
      <c r="B14223" s="2" t="s">
        <v>364</v>
      </c>
      <c r="C14223" s="2">
        <v>652.20510000000002</v>
      </c>
      <c r="D14223" s="2">
        <f>HYPERLINK("http://mcb-m6.bioreg.kyushu-u.ac.jp/M3/20110427/F51111/1716/1", 51.39)</f>
        <v>51.39</v>
      </c>
      <c r="E14223" s="2">
        <v>31.13</v>
      </c>
      <c r="F14223" s="2">
        <v>2</v>
      </c>
      <c r="G14223" s="2" t="s">
        <v>13</v>
      </c>
    </row>
    <row r="14224" spans="1:7" x14ac:dyDescent="0.2">
      <c r="A14224" s="2" t="s">
        <v>3521</v>
      </c>
      <c r="B14224" s="2" t="s">
        <v>364</v>
      </c>
      <c r="C14224" s="2">
        <v>652.8356</v>
      </c>
      <c r="D14224" s="2">
        <f>HYPERLINK("http://mcb-m6.bioreg.kyushu-u.ac.jp/M3/20110427/F51111/1719/1", 65.32)</f>
        <v>65.319999999999993</v>
      </c>
      <c r="E14224" s="2">
        <v>44.5</v>
      </c>
      <c r="F14224" s="2">
        <v>2</v>
      </c>
      <c r="G14224" s="2" t="s">
        <v>13</v>
      </c>
    </row>
    <row r="14225" spans="1:7" x14ac:dyDescent="0.2">
      <c r="A14225" s="2" t="s">
        <v>3521</v>
      </c>
      <c r="B14225" s="2" t="s">
        <v>364</v>
      </c>
      <c r="C14225" s="2">
        <v>652.18219999999997</v>
      </c>
      <c r="D14225" s="2">
        <f>HYPERLINK("http://mcb-m6.bioreg.kyushu-u.ac.jp/M3/20110427/F51111/1715/1", 72.6)</f>
        <v>72.599999999999994</v>
      </c>
      <c r="E14225" s="2">
        <v>50.1</v>
      </c>
      <c r="F14225" s="2">
        <v>2</v>
      </c>
      <c r="G14225" s="2" t="s">
        <v>13</v>
      </c>
    </row>
    <row r="14226" spans="1:7" x14ac:dyDescent="0.2">
      <c r="A14226" s="2" t="s">
        <v>3521</v>
      </c>
      <c r="B14226" s="2" t="s">
        <v>364</v>
      </c>
      <c r="C14226" s="2">
        <v>652.09519999999998</v>
      </c>
      <c r="D14226" s="2">
        <f>HYPERLINK("http://mcb-m6.bioreg.kyushu-u.ac.jp/M3/20110427/F51113/1572/1", 73.03)</f>
        <v>73.03</v>
      </c>
      <c r="E14226" s="2">
        <v>51.43</v>
      </c>
      <c r="F14226" s="2">
        <v>2</v>
      </c>
      <c r="G14226" s="2" t="s">
        <v>13</v>
      </c>
    </row>
    <row r="14227" spans="1:7" x14ac:dyDescent="0.2">
      <c r="A14227" s="2" t="s">
        <v>3521</v>
      </c>
      <c r="B14227" s="2" t="s">
        <v>364</v>
      </c>
      <c r="C14227" s="2">
        <v>652.20209999999997</v>
      </c>
      <c r="D14227" s="2">
        <f>HYPERLINK("http://mcb-m6.bioreg.kyushu-u.ac.jp/M3/20110427/F51112/1676/1", 79.96)</f>
        <v>79.959999999999994</v>
      </c>
      <c r="E14227" s="2">
        <v>55.29</v>
      </c>
      <c r="F14227" s="2">
        <v>2</v>
      </c>
      <c r="G14227" s="2" t="s">
        <v>13</v>
      </c>
    </row>
    <row r="14228" spans="1:7" x14ac:dyDescent="0.2">
      <c r="A14228" s="2" t="s">
        <v>3521</v>
      </c>
      <c r="B14228" s="2" t="s">
        <v>364</v>
      </c>
      <c r="C14228" s="2">
        <v>652.22559999999999</v>
      </c>
      <c r="D14228" s="2">
        <f>HYPERLINK("http://mcb-m6.bioreg.kyushu-u.ac.jp/M3/20110427/F51110/1859/1", 82.04)</f>
        <v>82.04</v>
      </c>
      <c r="E14228" s="2">
        <v>59.75</v>
      </c>
      <c r="F14228" s="2">
        <v>2</v>
      </c>
      <c r="G14228" s="2" t="s">
        <v>13</v>
      </c>
    </row>
    <row r="14229" spans="1:7" x14ac:dyDescent="0.2">
      <c r="A14229" s="2" t="s">
        <v>3521</v>
      </c>
      <c r="B14229" s="2" t="s">
        <v>364</v>
      </c>
      <c r="C14229" s="2">
        <v>652.15170000000001</v>
      </c>
      <c r="D14229" s="2">
        <f>HYPERLINK("http://mcb-m6.bioreg.kyushu-u.ac.jp/M3/20110427/F51111/1713/1", 92.22)</f>
        <v>92.22</v>
      </c>
      <c r="E14229" s="2">
        <v>69.11</v>
      </c>
      <c r="F14229" s="2">
        <v>2</v>
      </c>
      <c r="G14229" s="2" t="s">
        <v>13</v>
      </c>
    </row>
    <row r="14230" spans="1:7" x14ac:dyDescent="0.2">
      <c r="A14230" s="2" t="s">
        <v>3521</v>
      </c>
      <c r="B14230" s="2" t="s">
        <v>364</v>
      </c>
      <c r="C14230" s="2">
        <v>652.11019999999996</v>
      </c>
      <c r="D14230" s="2">
        <f>HYPERLINK("http://mcb-m6.bioreg.kyushu-u.ac.jp/M3/20110427/F51108/1700/1", 99.77)</f>
        <v>99.77</v>
      </c>
      <c r="E14230" s="2">
        <v>81.819999999999993</v>
      </c>
      <c r="F14230" s="2">
        <v>2</v>
      </c>
      <c r="G14230" s="2" t="s">
        <v>13</v>
      </c>
    </row>
    <row r="14231" spans="1:7" x14ac:dyDescent="0.2">
      <c r="A14231" s="2" t="s">
        <v>3521</v>
      </c>
      <c r="B14231" s="2" t="s">
        <v>364</v>
      </c>
      <c r="C14231" s="2">
        <v>652.13210000000004</v>
      </c>
      <c r="D14231" s="2">
        <f>HYPERLINK("http://mcb-m6.bioreg.kyushu-u.ac.jp/M3/20110427/F51109/1836/1", 100.01)</f>
        <v>100.01</v>
      </c>
      <c r="E14231" s="2">
        <v>81.22</v>
      </c>
      <c r="F14231" s="2">
        <v>2</v>
      </c>
      <c r="G14231" s="2" t="s">
        <v>13</v>
      </c>
    </row>
    <row r="14232" spans="1:7" x14ac:dyDescent="0.2">
      <c r="A14232" s="2" t="s">
        <v>3521</v>
      </c>
      <c r="B14232" s="2" t="s">
        <v>364</v>
      </c>
      <c r="C14232" s="2">
        <v>1304.4349999999999</v>
      </c>
      <c r="D14232" s="2">
        <f>HYPERLINK("http://mcb-m6.bioreg.kyushu-u.ac.jp/M3/20110427/F51120/1777/1", 38)</f>
        <v>38</v>
      </c>
      <c r="E14232" s="2">
        <v>24.85</v>
      </c>
      <c r="F14232" s="2">
        <v>1</v>
      </c>
      <c r="G14232" s="2" t="s">
        <v>14</v>
      </c>
    </row>
    <row r="14233" spans="1:7" x14ac:dyDescent="0.2">
      <c r="A14233" s="2" t="s">
        <v>3521</v>
      </c>
      <c r="B14233" s="2" t="s">
        <v>364</v>
      </c>
      <c r="C14233" s="2">
        <v>1303.396</v>
      </c>
      <c r="D14233" s="2">
        <f>HYPERLINK("http://mcb-m6.bioreg.kyushu-u.ac.jp/M3/20110427/F51120/1772/1", 44.54)</f>
        <v>44.54</v>
      </c>
      <c r="E14233" s="2">
        <v>30.62</v>
      </c>
      <c r="F14233" s="2">
        <v>1</v>
      </c>
      <c r="G14233" s="2" t="s">
        <v>14</v>
      </c>
    </row>
    <row r="14234" spans="1:7" x14ac:dyDescent="0.2">
      <c r="A14234" s="2" t="s">
        <v>3521</v>
      </c>
      <c r="B14234" s="2" t="s">
        <v>364</v>
      </c>
      <c r="C14234" s="2">
        <v>652.18409999999994</v>
      </c>
      <c r="D14234" s="2">
        <f>HYPERLINK("http://mcb-m6.bioreg.kyushu-u.ac.jp/M3/20110427/F51120/1770/1", 69.51)</f>
        <v>69.510000000000005</v>
      </c>
      <c r="E14234" s="2">
        <v>52.15</v>
      </c>
      <c r="F14234" s="2">
        <v>2</v>
      </c>
      <c r="G14234" s="2" t="s">
        <v>14</v>
      </c>
    </row>
    <row r="14235" spans="1:7" x14ac:dyDescent="0.2">
      <c r="A14235" s="2" t="s">
        <v>3521</v>
      </c>
      <c r="B14235" s="2" t="s">
        <v>364</v>
      </c>
      <c r="C14235" s="2">
        <v>652.11320000000001</v>
      </c>
      <c r="D14235" s="2">
        <f>HYPERLINK("http://mcb-m6.bioreg.kyushu-u.ac.jp/M3/20110427/F51120/1766/1", 73.92)</f>
        <v>73.92</v>
      </c>
      <c r="E14235" s="2">
        <v>45.54</v>
      </c>
      <c r="F14235" s="2">
        <v>2</v>
      </c>
      <c r="G14235" s="2" t="s">
        <v>14</v>
      </c>
    </row>
    <row r="14236" spans="1:7" x14ac:dyDescent="0.2">
      <c r="A14236" s="2" t="s">
        <v>3521</v>
      </c>
      <c r="B14236" s="2" t="s">
        <v>364</v>
      </c>
      <c r="C14236" s="2">
        <v>652.12959999999998</v>
      </c>
      <c r="D14236" s="2">
        <f>HYPERLINK("http://mcb-m6.bioreg.kyushu-u.ac.jp/M3/20110427/F51120/1768/1", 76.9)</f>
        <v>76.900000000000006</v>
      </c>
      <c r="E14236" s="2">
        <v>51.33</v>
      </c>
      <c r="F14236" s="2">
        <v>2</v>
      </c>
      <c r="G14236" s="2" t="s">
        <v>14</v>
      </c>
    </row>
    <row r="14237" spans="1:7" x14ac:dyDescent="0.2">
      <c r="A14237" s="2" t="s">
        <v>3521</v>
      </c>
      <c r="B14237" s="2" t="s">
        <v>364</v>
      </c>
      <c r="C14237" s="2">
        <v>652.64570000000003</v>
      </c>
      <c r="D14237" s="2">
        <f>HYPERLINK("http://mcb-m6.bioreg.kyushu-u.ac.jp/M3/20110427/F51120/1776/1", 78.41)</f>
        <v>78.41</v>
      </c>
      <c r="E14237" s="2">
        <v>56.38</v>
      </c>
      <c r="F14237" s="2">
        <v>2</v>
      </c>
      <c r="G14237" s="2" t="s">
        <v>14</v>
      </c>
    </row>
    <row r="14238" spans="1:7" x14ac:dyDescent="0.2">
      <c r="A14238" s="2" t="s">
        <v>3521</v>
      </c>
      <c r="B14238" s="2" t="s">
        <v>364</v>
      </c>
      <c r="C14238" s="2">
        <v>652.59310000000005</v>
      </c>
      <c r="D14238" s="2">
        <f>HYPERLINK("http://mcb-m6.bioreg.kyushu-u.ac.jp/M3/20110427/F51120/1773/1", 79.31)</f>
        <v>79.31</v>
      </c>
      <c r="E14238" s="2">
        <v>56.13</v>
      </c>
      <c r="F14238" s="2">
        <v>2</v>
      </c>
      <c r="G14238" s="2" t="s">
        <v>14</v>
      </c>
    </row>
    <row r="14239" spans="1:7" x14ac:dyDescent="0.2">
      <c r="A14239" s="2" t="s">
        <v>3521</v>
      </c>
      <c r="B14239" s="2" t="s">
        <v>364</v>
      </c>
      <c r="C14239" s="2">
        <v>652.11019999999996</v>
      </c>
      <c r="D14239" s="2">
        <f>HYPERLINK("http://mcb-m6.bioreg.kyushu-u.ac.jp/M3/20110427/F51120/1765/1", 84.22)</f>
        <v>84.22</v>
      </c>
      <c r="E14239" s="2">
        <v>63.76</v>
      </c>
      <c r="F14239" s="2">
        <v>2</v>
      </c>
      <c r="G14239" s="2" t="s">
        <v>14</v>
      </c>
    </row>
    <row r="14240" spans="1:7" x14ac:dyDescent="0.2">
      <c r="A14240" s="2" t="s">
        <v>3521</v>
      </c>
      <c r="B14240" s="2" t="s">
        <v>364</v>
      </c>
      <c r="C14240" s="2">
        <v>652.61569999999995</v>
      </c>
      <c r="D14240" s="2">
        <f>HYPERLINK("http://mcb-m6.bioreg.kyushu-u.ac.jp/M3/20110427/F51120/1775/1", 85.16)</f>
        <v>85.16</v>
      </c>
      <c r="E14240" s="2">
        <v>59.46</v>
      </c>
      <c r="F14240" s="2">
        <v>2</v>
      </c>
      <c r="G14240" s="2" t="s">
        <v>14</v>
      </c>
    </row>
    <row r="14241" spans="1:9" x14ac:dyDescent="0.2">
      <c r="A14241" s="2" t="s">
        <v>3521</v>
      </c>
      <c r="B14241" s="2" t="s">
        <v>364</v>
      </c>
      <c r="C14241" s="2">
        <v>652.15809999999999</v>
      </c>
      <c r="D14241" s="2">
        <f>HYPERLINK("http://mcb-m6.bioreg.kyushu-u.ac.jp/M3/20110427/F51120/1769/1", 87.3)</f>
        <v>87.3</v>
      </c>
      <c r="E14241" s="2">
        <v>65.08</v>
      </c>
      <c r="F14241" s="2">
        <v>2</v>
      </c>
      <c r="G14241" s="2" t="s">
        <v>14</v>
      </c>
    </row>
    <row r="14242" spans="1:9" x14ac:dyDescent="0.2">
      <c r="A14242" s="2" t="s">
        <v>3521</v>
      </c>
      <c r="B14242" s="2" t="s">
        <v>364</v>
      </c>
      <c r="C14242" s="2">
        <v>652.14469999999994</v>
      </c>
      <c r="D14242" s="2">
        <f>HYPERLINK("http://mcb-m6.bioreg.kyushu-u.ac.jp/M3/20110427/F51123/1607/1", 90.12)</f>
        <v>90.12</v>
      </c>
      <c r="E14242" s="2">
        <v>74.33</v>
      </c>
      <c r="F14242" s="2">
        <v>2</v>
      </c>
      <c r="G14242" s="2" t="s">
        <v>14</v>
      </c>
    </row>
    <row r="14243" spans="1:9" x14ac:dyDescent="0.2">
      <c r="A14243" s="2" t="s">
        <v>3521</v>
      </c>
      <c r="B14243" s="2" t="s">
        <v>364</v>
      </c>
      <c r="C14243" s="2">
        <v>652.18409999999994</v>
      </c>
      <c r="D14243" s="2">
        <f>HYPERLINK("http://mcb-m6.bioreg.kyushu-u.ac.jp/M3/20110427/F51119/1905/1", 90.49)</f>
        <v>90.49</v>
      </c>
      <c r="E14243" s="2">
        <v>64.66</v>
      </c>
      <c r="F14243" s="2">
        <v>2</v>
      </c>
      <c r="G14243" s="2" t="s">
        <v>14</v>
      </c>
    </row>
    <row r="14244" spans="1:9" x14ac:dyDescent="0.2">
      <c r="A14244" s="2" t="s">
        <v>3521</v>
      </c>
      <c r="B14244" s="2" t="s">
        <v>364</v>
      </c>
      <c r="C14244" s="2">
        <v>652.34969999999998</v>
      </c>
      <c r="D14244" s="2">
        <f>HYPERLINK("http://mcb-m6.bioreg.kyushu-u.ac.jp/M3/20110427/F51118/1786/1", 93.8)</f>
        <v>93.8</v>
      </c>
      <c r="E14244" s="2">
        <v>73.2</v>
      </c>
      <c r="F14244" s="2">
        <v>2</v>
      </c>
      <c r="G14244" s="2" t="s">
        <v>14</v>
      </c>
    </row>
    <row r="14245" spans="1:9" x14ac:dyDescent="0.2">
      <c r="A14245" s="2" t="s">
        <v>3521</v>
      </c>
      <c r="B14245" s="2" t="s">
        <v>364</v>
      </c>
      <c r="C14245" s="2">
        <v>652.00919999999996</v>
      </c>
      <c r="D14245" s="2">
        <f>HYPERLINK("http://mcb-m6.bioreg.kyushu-u.ac.jp/M3/20110427/F51121/1698/1", 93.8)</f>
        <v>93.8</v>
      </c>
      <c r="E14245" s="2">
        <v>68.849999999999994</v>
      </c>
      <c r="F14245" s="2">
        <v>2</v>
      </c>
      <c r="G14245" s="2" t="s">
        <v>14</v>
      </c>
    </row>
    <row r="14246" spans="1:9" x14ac:dyDescent="0.2">
      <c r="A14246" s="2" t="s">
        <v>3521</v>
      </c>
      <c r="B14246" s="2" t="s">
        <v>364</v>
      </c>
      <c r="C14246" s="2">
        <v>652.11270000000002</v>
      </c>
      <c r="D14246" s="2">
        <f>HYPERLINK("http://mcb-m6.bioreg.kyushu-u.ac.jp/M3/20110427/F51122/1802/1", 95.77)</f>
        <v>95.77</v>
      </c>
      <c r="E14246" s="2">
        <v>70.34</v>
      </c>
      <c r="F14246" s="2">
        <v>2</v>
      </c>
      <c r="G14246" s="2" t="s">
        <v>14</v>
      </c>
    </row>
    <row r="14247" spans="1:9" x14ac:dyDescent="0.2">
      <c r="A14247" s="2" t="s">
        <v>4619</v>
      </c>
      <c r="B14247" s="2" t="s">
        <v>2745</v>
      </c>
      <c r="C14247" s="2">
        <v>1031.78</v>
      </c>
      <c r="D14247" s="2">
        <f>HYPERLINK("http://mcb-m6.bioreg.kyushu-u.ac.jp/M3/20110421/F51017/3288/1", 94.94)</f>
        <v>94.94</v>
      </c>
      <c r="E14247" s="2">
        <v>71.64</v>
      </c>
      <c r="F14247" s="2">
        <v>2</v>
      </c>
      <c r="G14247" s="2" t="s">
        <v>11</v>
      </c>
    </row>
    <row r="14248" spans="1:9" x14ac:dyDescent="0.2">
      <c r="A14248" s="2" t="s">
        <v>4619</v>
      </c>
      <c r="B14248" s="2" t="s">
        <v>2745</v>
      </c>
      <c r="C14248" s="2">
        <v>1031.8599999999999</v>
      </c>
      <c r="D14248" s="2">
        <f>HYPERLINK("http://mcb-m6.bioreg.kyushu-u.ac.jp/M3/20110427/F51111/3172/1", 68.44)</f>
        <v>68.44</v>
      </c>
      <c r="E14248" s="2">
        <v>52.09</v>
      </c>
      <c r="F14248" s="2">
        <v>2</v>
      </c>
      <c r="G14248" s="2" t="s">
        <v>13</v>
      </c>
    </row>
    <row r="14249" spans="1:9" x14ac:dyDescent="0.2">
      <c r="A14249" s="2" t="s">
        <v>4619</v>
      </c>
      <c r="B14249" s="2" t="s">
        <v>2745</v>
      </c>
      <c r="C14249" s="2">
        <v>1031.325</v>
      </c>
      <c r="D14249" s="2">
        <f>HYPERLINK("http://mcb-m6.bioreg.kyushu-u.ac.jp/M3/20110427/F51120/2857/1", 79)</f>
        <v>79</v>
      </c>
      <c r="E14249" s="2">
        <v>67.27</v>
      </c>
      <c r="F14249" s="2">
        <v>2</v>
      </c>
      <c r="G14249" s="2" t="s">
        <v>14</v>
      </c>
    </row>
    <row r="14250" spans="1:9" x14ac:dyDescent="0.2">
      <c r="A14250" s="2" t="s">
        <v>4619</v>
      </c>
      <c r="B14250" s="2" t="s">
        <v>2745</v>
      </c>
      <c r="C14250" s="2">
        <v>1031.8440000000001</v>
      </c>
      <c r="D14250" s="2">
        <f>HYPERLINK("http://mcb-m6.bioreg.kyushu-u.ac.jp/M3/20110427/F51120/2858/1", 86.02)</f>
        <v>86.02</v>
      </c>
      <c r="E14250" s="2">
        <v>66.98</v>
      </c>
      <c r="F14250" s="2">
        <v>2</v>
      </c>
      <c r="G14250" s="2" t="s">
        <v>14</v>
      </c>
    </row>
    <row r="14251" spans="1:9" x14ac:dyDescent="0.2">
      <c r="A14251" s="2" t="s">
        <v>8112</v>
      </c>
      <c r="B14251" s="2" t="s">
        <v>7468</v>
      </c>
      <c r="C14251" s="2">
        <v>968.57460000000003</v>
      </c>
      <c r="D14251" s="2">
        <f>HYPERLINK("http://mcb-m6.bioreg.kyushu-u.ac.jp/M3/20110427/F51125/2912/1", 38.12)</f>
        <v>38.119999999999997</v>
      </c>
      <c r="E14251" s="2">
        <v>18.12</v>
      </c>
      <c r="F14251" s="2">
        <v>2</v>
      </c>
      <c r="G14251" s="2" t="s">
        <v>14</v>
      </c>
    </row>
    <row r="14252" spans="1:9" x14ac:dyDescent="0.2">
      <c r="A14252" s="2" t="s">
        <v>8085</v>
      </c>
      <c r="B14252" s="2" t="s">
        <v>7413</v>
      </c>
      <c r="C14252" s="2">
        <v>871.6739</v>
      </c>
      <c r="D14252" s="2">
        <f>HYPERLINK("http://mcb-m6.bioreg.kyushu-u.ac.jp/M3/20110427/F51112/3550/1", 63.81)</f>
        <v>63.81</v>
      </c>
      <c r="E14252" s="2">
        <v>49.61</v>
      </c>
      <c r="F14252" s="2">
        <v>3</v>
      </c>
      <c r="G14252" s="2" t="s">
        <v>13</v>
      </c>
    </row>
    <row r="14253" spans="1:9" x14ac:dyDescent="0.2">
      <c r="A14253" s="2" t="s">
        <v>7753</v>
      </c>
      <c r="B14253" s="2" t="s">
        <v>6547</v>
      </c>
      <c r="C14253" s="2">
        <v>900.92070000000001</v>
      </c>
      <c r="D14253" s="2">
        <f>HYPERLINK("http://mcb-m6.bioreg.kyushu-u.ac.jp/M3/20110404/F50778/2598/1", 78.45)</f>
        <v>78.45</v>
      </c>
      <c r="E14253" s="2">
        <v>65.05</v>
      </c>
      <c r="F14253" s="2">
        <v>2</v>
      </c>
      <c r="G14253" s="2" t="s">
        <v>9</v>
      </c>
    </row>
    <row r="14254" spans="1:9" x14ac:dyDescent="0.2">
      <c r="A14254" s="2" t="s">
        <v>4819</v>
      </c>
      <c r="B14254" s="2" t="s">
        <v>6512</v>
      </c>
      <c r="C14254" s="2">
        <v>1053.018</v>
      </c>
      <c r="D14254" s="2">
        <f>HYPERLINK("http://mcb-m6.bioreg.kyushu-u.ac.jp/M3/20110404/F50778/3143/1", 72.85)</f>
        <v>72.849999999999994</v>
      </c>
      <c r="E14254" s="2">
        <v>57.27</v>
      </c>
      <c r="F14254" s="2">
        <v>2</v>
      </c>
      <c r="G14254" s="2" t="s">
        <v>9</v>
      </c>
      <c r="I14254" s="2" t="s">
        <v>4899</v>
      </c>
    </row>
    <row r="14255" spans="1:9" x14ac:dyDescent="0.2">
      <c r="A14255" s="2" t="s">
        <v>3375</v>
      </c>
      <c r="B14255" s="2" t="s">
        <v>167</v>
      </c>
      <c r="C14255" s="2">
        <v>1451.4780000000001</v>
      </c>
      <c r="D14255" s="2">
        <f>HYPERLINK("http://mcb-m6.bioreg.kyushu-u.ac.jp/M3/20110404/F50753/1955/1", 39.64)</f>
        <v>39.64</v>
      </c>
      <c r="E14255" s="2">
        <v>14.45</v>
      </c>
      <c r="F14255" s="2">
        <v>1</v>
      </c>
      <c r="G14255" s="2" t="s">
        <v>9</v>
      </c>
      <c r="I14255" s="2" t="s">
        <v>4890</v>
      </c>
    </row>
    <row r="14256" spans="1:9" x14ac:dyDescent="0.2">
      <c r="A14256" s="2" t="s">
        <v>3375</v>
      </c>
      <c r="B14256" s="2" t="s">
        <v>167</v>
      </c>
      <c r="C14256" s="2">
        <v>725.62120000000004</v>
      </c>
      <c r="D14256" s="2">
        <f>HYPERLINK("http://mcb-m6.bioreg.kyushu-u.ac.jp/M3/20110404/F50753/1951/1", 51.03)</f>
        <v>51.03</v>
      </c>
      <c r="E14256" s="2">
        <v>32.229999999999997</v>
      </c>
      <c r="F14256" s="2">
        <v>2</v>
      </c>
      <c r="G14256" s="2" t="s">
        <v>9</v>
      </c>
      <c r="I14256" s="2" t="s">
        <v>4890</v>
      </c>
    </row>
    <row r="14257" spans="1:9" x14ac:dyDescent="0.2">
      <c r="A14257" s="2" t="s">
        <v>3375</v>
      </c>
      <c r="B14257" s="2" t="s">
        <v>167</v>
      </c>
      <c r="C14257" s="2">
        <v>725.74570000000006</v>
      </c>
      <c r="D14257" s="2">
        <f>HYPERLINK("http://mcb-m6.bioreg.kyushu-u.ac.jp/M3/20110404/F50758/1854/1", 62.41)</f>
        <v>62.41</v>
      </c>
      <c r="E14257" s="2">
        <v>36.74</v>
      </c>
      <c r="F14257" s="2">
        <v>2</v>
      </c>
      <c r="G14257" s="2" t="s">
        <v>10</v>
      </c>
      <c r="I14257" s="2" t="s">
        <v>4890</v>
      </c>
    </row>
    <row r="14258" spans="1:9" x14ac:dyDescent="0.2">
      <c r="A14258" s="2" t="s">
        <v>3501</v>
      </c>
      <c r="B14258" s="2" t="s">
        <v>338</v>
      </c>
      <c r="C14258" s="2">
        <v>801.83510000000001</v>
      </c>
      <c r="D14258" s="2">
        <f>HYPERLINK("http://mcb-m6.bioreg.kyushu-u.ac.jp/M3/20110404/F50753/2256/1", 43)</f>
        <v>43</v>
      </c>
      <c r="E14258" s="2">
        <v>11.32</v>
      </c>
      <c r="F14258" s="2">
        <v>2</v>
      </c>
      <c r="G14258" s="2" t="s">
        <v>9</v>
      </c>
      <c r="H14258" s="2" t="s">
        <v>4904</v>
      </c>
    </row>
    <row r="14259" spans="1:9" x14ac:dyDescent="0.2">
      <c r="A14259" s="2" t="s">
        <v>3559</v>
      </c>
      <c r="B14259" s="2" t="s">
        <v>422</v>
      </c>
      <c r="C14259" s="2">
        <v>894.15809999999999</v>
      </c>
      <c r="D14259" s="2">
        <f>HYPERLINK("http://mcb-m6.bioreg.kyushu-u.ac.jp/M3/20110404/F50753/2587/1", 71.48)</f>
        <v>71.48</v>
      </c>
      <c r="E14259" s="2">
        <v>52.16</v>
      </c>
      <c r="F14259" s="2">
        <v>2</v>
      </c>
      <c r="G14259" s="2" t="s">
        <v>9</v>
      </c>
      <c r="I14259" s="2" t="s">
        <v>4924</v>
      </c>
    </row>
    <row r="14260" spans="1:9" x14ac:dyDescent="0.2">
      <c r="A14260" s="2" t="s">
        <v>3559</v>
      </c>
      <c r="B14260" s="2" t="s">
        <v>422</v>
      </c>
      <c r="C14260" s="2">
        <v>894.27919999999995</v>
      </c>
      <c r="D14260" s="2">
        <f>HYPERLINK("http://mcb-m6.bioreg.kyushu-u.ac.jp/M3/20110404/F50758/2419/1", 43.07)</f>
        <v>43.07</v>
      </c>
      <c r="E14260" s="2">
        <v>25.16</v>
      </c>
      <c r="F14260" s="2">
        <v>2</v>
      </c>
      <c r="G14260" s="2" t="s">
        <v>10</v>
      </c>
      <c r="I14260" s="2" t="s">
        <v>4924</v>
      </c>
    </row>
    <row r="14261" spans="1:9" x14ac:dyDescent="0.2">
      <c r="A14261" s="2" t="s">
        <v>7600</v>
      </c>
      <c r="B14261" s="2" t="s">
        <v>6082</v>
      </c>
      <c r="C14261" s="2">
        <v>721.43870000000004</v>
      </c>
      <c r="D14261" s="2">
        <f>HYPERLINK("http://mcb-m6.bioreg.kyushu-u.ac.jp/M3/20110404/F50756/1880/1", 41.55)</f>
        <v>41.55</v>
      </c>
      <c r="E14261" s="2">
        <v>29.23</v>
      </c>
      <c r="F14261" s="2">
        <v>2</v>
      </c>
      <c r="G14261" s="2" t="s">
        <v>9</v>
      </c>
    </row>
    <row r="14262" spans="1:9" x14ac:dyDescent="0.2">
      <c r="A14262" s="2" t="s">
        <v>3270</v>
      </c>
      <c r="B14262" s="2" t="s">
        <v>3039</v>
      </c>
      <c r="C14262" s="2">
        <v>491.6046</v>
      </c>
      <c r="D14262" s="2">
        <f>HYPERLINK("http://mcb-m6.bioreg.kyushu-u.ac.jp/M3/20110404/F50765/906/1", 37.35)</f>
        <v>37.35</v>
      </c>
      <c r="E14262" s="2">
        <v>15.49</v>
      </c>
      <c r="F14262" s="2">
        <v>2</v>
      </c>
      <c r="G14262" s="2" t="s">
        <v>9</v>
      </c>
      <c r="I14262" s="2" t="s">
        <v>4892</v>
      </c>
    </row>
    <row r="14263" spans="1:9" x14ac:dyDescent="0.2">
      <c r="A14263" s="2" t="s">
        <v>3270</v>
      </c>
      <c r="B14263" s="2" t="s">
        <v>5975</v>
      </c>
      <c r="C14263" s="2">
        <v>475.19959999999998</v>
      </c>
      <c r="D14263" s="2">
        <f>HYPERLINK("http://mcb-m6.bioreg.kyushu-u.ac.jp/M3/20110404/F50765/840/1", 37.4)</f>
        <v>37.4</v>
      </c>
      <c r="E14263" s="2">
        <v>12.99</v>
      </c>
      <c r="F14263" s="2">
        <v>2</v>
      </c>
      <c r="G14263" s="2" t="s">
        <v>9</v>
      </c>
      <c r="H14263" s="2" t="s">
        <v>4891</v>
      </c>
    </row>
    <row r="14264" spans="1:9" x14ac:dyDescent="0.2">
      <c r="A14264" s="2" t="s">
        <v>3270</v>
      </c>
      <c r="B14264" s="2" t="s">
        <v>1299</v>
      </c>
      <c r="C14264" s="2">
        <v>1211.663</v>
      </c>
      <c r="D14264" s="2">
        <f>HYPERLINK("http://mcb-m6.bioreg.kyushu-u.ac.jp/M3/20110404/F50765/1264/1", 38.34)</f>
        <v>38.340000000000003</v>
      </c>
      <c r="E14264" s="2">
        <v>20.75</v>
      </c>
      <c r="F14264" s="2">
        <v>1</v>
      </c>
      <c r="G14264" s="2" t="s">
        <v>9</v>
      </c>
      <c r="I14264" s="2" t="s">
        <v>4890</v>
      </c>
    </row>
    <row r="14265" spans="1:9" x14ac:dyDescent="0.2">
      <c r="A14265" s="2" t="s">
        <v>3270</v>
      </c>
      <c r="B14265" s="2" t="s">
        <v>2415</v>
      </c>
      <c r="C14265" s="2">
        <v>1091.5930000000001</v>
      </c>
      <c r="D14265" s="2">
        <f>HYPERLINK("http://mcb-m6.bioreg.kyushu-u.ac.jp/M3/20110404/F50767/918/1", 38.39)</f>
        <v>38.39</v>
      </c>
      <c r="E14265" s="2">
        <v>30.21</v>
      </c>
      <c r="F14265" s="2">
        <v>1</v>
      </c>
      <c r="G14265" s="2" t="s">
        <v>9</v>
      </c>
    </row>
    <row r="14266" spans="1:9" x14ac:dyDescent="0.2">
      <c r="A14266" s="2" t="s">
        <v>3270</v>
      </c>
      <c r="B14266" s="2" t="s">
        <v>2888</v>
      </c>
      <c r="C14266" s="2">
        <v>819.9547</v>
      </c>
      <c r="D14266" s="2">
        <f>HYPERLINK("http://mcb-m6.bioreg.kyushu-u.ac.jp/M3/20110404/F50765/2194/1", 39.06)</f>
        <v>39.06</v>
      </c>
      <c r="E14266" s="2">
        <v>19.25</v>
      </c>
      <c r="F14266" s="2">
        <v>2</v>
      </c>
      <c r="G14266" s="2" t="s">
        <v>9</v>
      </c>
      <c r="H14266" s="2" t="s">
        <v>4896</v>
      </c>
    </row>
    <row r="14267" spans="1:9" x14ac:dyDescent="0.2">
      <c r="A14267" s="2" t="s">
        <v>3270</v>
      </c>
      <c r="B14267" s="2" t="s">
        <v>2229</v>
      </c>
      <c r="C14267" s="2">
        <v>914.41099999999994</v>
      </c>
      <c r="D14267" s="2">
        <f>HYPERLINK("http://mcb-m6.bioreg.kyushu-u.ac.jp/M3/20110404/F50765/762/1", 39.33)</f>
        <v>39.33</v>
      </c>
      <c r="E14267" s="2">
        <v>27.68</v>
      </c>
      <c r="F14267" s="2">
        <v>1</v>
      </c>
      <c r="G14267" s="2" t="s">
        <v>9</v>
      </c>
    </row>
    <row r="14268" spans="1:9" x14ac:dyDescent="0.2">
      <c r="A14268" s="2" t="s">
        <v>3270</v>
      </c>
      <c r="B14268" s="2" t="s">
        <v>380</v>
      </c>
      <c r="C14268" s="2">
        <v>1058.297</v>
      </c>
      <c r="D14268" s="2">
        <f>HYPERLINK("http://mcb-m6.bioreg.kyushu-u.ac.jp/M3/20110404/F50765/1036/1", 39.83)</f>
        <v>39.83</v>
      </c>
      <c r="E14268" s="2">
        <v>21.6</v>
      </c>
      <c r="F14268" s="2">
        <v>1</v>
      </c>
      <c r="G14268" s="2" t="s">
        <v>9</v>
      </c>
    </row>
    <row r="14269" spans="1:9" x14ac:dyDescent="0.2">
      <c r="A14269" s="2" t="s">
        <v>3270</v>
      </c>
      <c r="B14269" s="2" t="s">
        <v>6048</v>
      </c>
      <c r="C14269" s="2">
        <v>1218.4559999999999</v>
      </c>
      <c r="D14269" s="2">
        <f>HYPERLINK("http://mcb-m6.bioreg.kyushu-u.ac.jp/M3/20110404/F50765/1279/1", 40.19)</f>
        <v>40.19</v>
      </c>
      <c r="E14269" s="2">
        <v>22.65</v>
      </c>
      <c r="F14269" s="2">
        <v>1</v>
      </c>
      <c r="G14269" s="2" t="s">
        <v>9</v>
      </c>
    </row>
    <row r="14270" spans="1:9" x14ac:dyDescent="0.2">
      <c r="A14270" s="2" t="s">
        <v>3270</v>
      </c>
      <c r="B14270" s="2" t="s">
        <v>909</v>
      </c>
      <c r="C14270" s="2">
        <v>1208.5550000000001</v>
      </c>
      <c r="D14270" s="2">
        <f>HYPERLINK("http://mcb-m6.bioreg.kyushu-u.ac.jp/M3/20110404/F50765/1257/1", 40.24)</f>
        <v>40.24</v>
      </c>
      <c r="E14270" s="2">
        <v>19.940000000000001</v>
      </c>
      <c r="F14270" s="2">
        <v>1</v>
      </c>
      <c r="G14270" s="2" t="s">
        <v>9</v>
      </c>
    </row>
    <row r="14271" spans="1:9" x14ac:dyDescent="0.2">
      <c r="A14271" s="2" t="s">
        <v>3270</v>
      </c>
      <c r="B14271" s="2" t="s">
        <v>6048</v>
      </c>
      <c r="C14271" s="2">
        <v>1219.5709999999999</v>
      </c>
      <c r="D14271" s="2">
        <f>HYPERLINK("http://mcb-m6.bioreg.kyushu-u.ac.jp/M3/20110404/F50765/1289/1", 40.45)</f>
        <v>40.450000000000003</v>
      </c>
      <c r="E14271" s="2">
        <v>22.55</v>
      </c>
      <c r="F14271" s="2">
        <v>1</v>
      </c>
      <c r="G14271" s="2" t="s">
        <v>9</v>
      </c>
    </row>
    <row r="14272" spans="1:9" x14ac:dyDescent="0.2">
      <c r="A14272" s="2" t="s">
        <v>3270</v>
      </c>
      <c r="B14272" s="2" t="s">
        <v>2023</v>
      </c>
      <c r="C14272" s="2">
        <v>1105.47</v>
      </c>
      <c r="D14272" s="2">
        <f>HYPERLINK("http://mcb-m6.bioreg.kyushu-u.ac.jp/M3/20110404/F50756/3370/1", 40.9)</f>
        <v>40.9</v>
      </c>
      <c r="E14272" s="2">
        <v>37.299999999999997</v>
      </c>
      <c r="F14272" s="2">
        <v>2</v>
      </c>
      <c r="G14272" s="2" t="s">
        <v>9</v>
      </c>
    </row>
    <row r="14273" spans="1:9" x14ac:dyDescent="0.2">
      <c r="A14273" s="2" t="s">
        <v>3270</v>
      </c>
      <c r="B14273" s="2" t="s">
        <v>519</v>
      </c>
      <c r="C14273" s="2">
        <v>853.3066</v>
      </c>
      <c r="D14273" s="2">
        <f>HYPERLINK("http://mcb-m6.bioreg.kyushu-u.ac.jp/M3/20110404/F50767/2244/1", 40.93)</f>
        <v>40.93</v>
      </c>
      <c r="E14273" s="2">
        <v>28.31</v>
      </c>
      <c r="F14273" s="2">
        <v>2</v>
      </c>
      <c r="G14273" s="2" t="s">
        <v>9</v>
      </c>
      <c r="I14273" s="2" t="s">
        <v>4898</v>
      </c>
    </row>
    <row r="14274" spans="1:9" x14ac:dyDescent="0.2">
      <c r="A14274" s="2" t="s">
        <v>3270</v>
      </c>
      <c r="B14274" s="2" t="s">
        <v>2229</v>
      </c>
      <c r="C14274" s="2">
        <v>457.74009999999998</v>
      </c>
      <c r="D14274" s="2">
        <f>HYPERLINK("http://mcb-m6.bioreg.kyushu-u.ac.jp/M3/20110404/F50765/763/1", 41.15)</f>
        <v>41.15</v>
      </c>
      <c r="E14274" s="2">
        <v>25.67</v>
      </c>
      <c r="F14274" s="2">
        <v>2</v>
      </c>
      <c r="G14274" s="2" t="s">
        <v>9</v>
      </c>
    </row>
    <row r="14275" spans="1:9" x14ac:dyDescent="0.2">
      <c r="A14275" s="2" t="s">
        <v>3270</v>
      </c>
      <c r="B14275" s="2" t="s">
        <v>380</v>
      </c>
      <c r="C14275" s="2">
        <v>529.91819999999996</v>
      </c>
      <c r="D14275" s="2">
        <f>HYPERLINK("http://mcb-m6.bioreg.kyushu-u.ac.jp/M3/20110404/F50763/1181/1", 41.27)</f>
        <v>41.27</v>
      </c>
      <c r="E14275" s="2">
        <v>19.03</v>
      </c>
      <c r="F14275" s="2">
        <v>2</v>
      </c>
      <c r="G14275" s="2" t="s">
        <v>9</v>
      </c>
    </row>
    <row r="14276" spans="1:9" x14ac:dyDescent="0.2">
      <c r="A14276" s="2" t="s">
        <v>3270</v>
      </c>
      <c r="B14276" s="2" t="s">
        <v>2237</v>
      </c>
      <c r="C14276" s="2">
        <v>1061.5050000000001</v>
      </c>
      <c r="D14276" s="2">
        <f>HYPERLINK("http://mcb-m6.bioreg.kyushu-u.ac.jp/M3/20110404/F50765/1040/1", 42.06)</f>
        <v>42.06</v>
      </c>
      <c r="E14276" s="2">
        <v>14.08</v>
      </c>
      <c r="F14276" s="2">
        <v>1</v>
      </c>
      <c r="G14276" s="2" t="s">
        <v>9</v>
      </c>
    </row>
    <row r="14277" spans="1:9" x14ac:dyDescent="0.2">
      <c r="A14277" s="2" t="s">
        <v>3270</v>
      </c>
      <c r="B14277" s="2" t="s">
        <v>909</v>
      </c>
      <c r="C14277" s="2">
        <v>604.70010000000002</v>
      </c>
      <c r="D14277" s="2">
        <f>HYPERLINK("http://mcb-m6.bioreg.kyushu-u.ac.jp/M3/20110404/F50767/1080/1", 42.08)</f>
        <v>42.08</v>
      </c>
      <c r="E14277" s="2">
        <v>23.89</v>
      </c>
      <c r="F14277" s="2">
        <v>2</v>
      </c>
      <c r="G14277" s="2" t="s">
        <v>9</v>
      </c>
    </row>
    <row r="14278" spans="1:9" x14ac:dyDescent="0.2">
      <c r="A14278" s="2" t="s">
        <v>3270</v>
      </c>
      <c r="B14278" s="2" t="s">
        <v>2274</v>
      </c>
      <c r="C14278" s="2">
        <v>711.38959999999997</v>
      </c>
      <c r="D14278" s="2">
        <f>HYPERLINK("http://mcb-m6.bioreg.kyushu-u.ac.jp/M3/20110404/F50779/1577/1", 42.38)</f>
        <v>42.38</v>
      </c>
      <c r="E14278" s="2">
        <v>30.38</v>
      </c>
      <c r="F14278" s="2">
        <v>2</v>
      </c>
      <c r="G14278" s="2" t="s">
        <v>9</v>
      </c>
      <c r="I14278" s="2" t="s">
        <v>4903</v>
      </c>
    </row>
    <row r="14279" spans="1:9" x14ac:dyDescent="0.2">
      <c r="A14279" s="2" t="s">
        <v>3270</v>
      </c>
      <c r="B14279" s="2" t="s">
        <v>6110</v>
      </c>
      <c r="C14279" s="2">
        <v>1091.396</v>
      </c>
      <c r="D14279" s="2">
        <f>HYPERLINK("http://mcb-m6.bioreg.kyushu-u.ac.jp/M3/20110404/F50765/1092/1", 42.91)</f>
        <v>42.91</v>
      </c>
      <c r="E14279" s="2">
        <v>27.8</v>
      </c>
      <c r="F14279" s="2">
        <v>1</v>
      </c>
      <c r="G14279" s="2" t="s">
        <v>9</v>
      </c>
    </row>
    <row r="14280" spans="1:9" x14ac:dyDescent="0.2">
      <c r="A14280" s="2" t="s">
        <v>3270</v>
      </c>
      <c r="B14280" s="2" t="s">
        <v>2286</v>
      </c>
      <c r="C14280" s="2">
        <v>784.06569999999999</v>
      </c>
      <c r="D14280" s="2">
        <f>HYPERLINK("http://mcb-m6.bioreg.kyushu-u.ac.jp/M3/20110404/F50765/2032/1", 43.75)</f>
        <v>43.75</v>
      </c>
      <c r="E14280" s="2">
        <v>27.71</v>
      </c>
      <c r="F14280" s="2">
        <v>2</v>
      </c>
      <c r="G14280" s="2" t="s">
        <v>9</v>
      </c>
      <c r="H14280" s="2" t="s">
        <v>4915</v>
      </c>
    </row>
    <row r="14281" spans="1:9" x14ac:dyDescent="0.2">
      <c r="A14281" s="2" t="s">
        <v>3270</v>
      </c>
      <c r="B14281" s="2" t="s">
        <v>6146</v>
      </c>
      <c r="C14281" s="2">
        <v>1113.463</v>
      </c>
      <c r="D14281" s="2">
        <f>HYPERLINK("http://mcb-m6.bioreg.kyushu-u.ac.jp/M3/20110404/F50767/3254/1", 44.31)</f>
        <v>44.31</v>
      </c>
      <c r="E14281" s="2">
        <v>31.58</v>
      </c>
      <c r="F14281" s="2">
        <v>2</v>
      </c>
      <c r="G14281" s="2" t="s">
        <v>9</v>
      </c>
      <c r="I14281" s="2" t="s">
        <v>4966</v>
      </c>
    </row>
    <row r="14282" spans="1:9" x14ac:dyDescent="0.2">
      <c r="A14282" s="2" t="s">
        <v>3270</v>
      </c>
      <c r="B14282" s="2" t="s">
        <v>2023</v>
      </c>
      <c r="C14282" s="2">
        <v>1104.8969999999999</v>
      </c>
      <c r="D14282" s="2">
        <f>HYPERLINK("http://mcb-m6.bioreg.kyushu-u.ac.jp/M3/20110404/F50765/3106/1", 44.48)</f>
        <v>44.48</v>
      </c>
      <c r="E14282" s="2">
        <v>36.69</v>
      </c>
      <c r="F14282" s="2">
        <v>2</v>
      </c>
      <c r="G14282" s="2" t="s">
        <v>9</v>
      </c>
    </row>
    <row r="14283" spans="1:9" x14ac:dyDescent="0.2">
      <c r="A14283" s="2" t="s">
        <v>3270</v>
      </c>
      <c r="B14283" s="2" t="s">
        <v>2415</v>
      </c>
      <c r="C14283" s="2">
        <v>1091.58</v>
      </c>
      <c r="D14283" s="2">
        <f>HYPERLINK("http://mcb-m6.bioreg.kyushu-u.ac.jp/M3/20110404/F50765/1096/1", 44.49)</f>
        <v>44.49</v>
      </c>
      <c r="E14283" s="2">
        <v>33.590000000000003</v>
      </c>
      <c r="F14283" s="2">
        <v>1</v>
      </c>
      <c r="G14283" s="2" t="s">
        <v>9</v>
      </c>
    </row>
    <row r="14284" spans="1:9" x14ac:dyDescent="0.2">
      <c r="A14284" s="2" t="s">
        <v>3270</v>
      </c>
      <c r="B14284" s="2" t="s">
        <v>291</v>
      </c>
      <c r="C14284" s="2">
        <v>1051.472</v>
      </c>
      <c r="D14284" s="2">
        <f>HYPERLINK("http://mcb-m6.bioreg.kyushu-u.ac.jp/M3/20110404/F50765/1024/1", 44.74)</f>
        <v>44.74</v>
      </c>
      <c r="E14284" s="2">
        <v>23.24</v>
      </c>
      <c r="F14284" s="2">
        <v>1</v>
      </c>
      <c r="G14284" s="2" t="s">
        <v>9</v>
      </c>
    </row>
    <row r="14285" spans="1:9" x14ac:dyDescent="0.2">
      <c r="A14285" s="2" t="s">
        <v>3270</v>
      </c>
      <c r="B14285" s="2" t="s">
        <v>2888</v>
      </c>
      <c r="C14285" s="2">
        <v>811.81669999999997</v>
      </c>
      <c r="D14285" s="2">
        <f>HYPERLINK("http://mcb-m6.bioreg.kyushu-u.ac.jp/M3/20110404/F50765/2164/1", 44.99)</f>
        <v>44.99</v>
      </c>
      <c r="E14285" s="2">
        <v>34.57</v>
      </c>
      <c r="F14285" s="2">
        <v>2</v>
      </c>
      <c r="G14285" s="2" t="s">
        <v>9</v>
      </c>
    </row>
    <row r="14286" spans="1:9" x14ac:dyDescent="0.2">
      <c r="A14286" s="2" t="s">
        <v>3270</v>
      </c>
      <c r="B14286" s="2" t="s">
        <v>2888</v>
      </c>
      <c r="C14286" s="2">
        <v>812.53920000000005</v>
      </c>
      <c r="D14286" s="2">
        <f>HYPERLINK("http://mcb-m6.bioreg.kyushu-u.ac.jp/M3/20110404/F50765/2167/1", 45.66)</f>
        <v>45.66</v>
      </c>
      <c r="E14286" s="2">
        <v>34.82</v>
      </c>
      <c r="F14286" s="2">
        <v>2</v>
      </c>
      <c r="G14286" s="2" t="s">
        <v>9</v>
      </c>
    </row>
    <row r="14287" spans="1:9" x14ac:dyDescent="0.2">
      <c r="A14287" s="2" t="s">
        <v>3270</v>
      </c>
      <c r="B14287" s="2" t="s">
        <v>6110</v>
      </c>
      <c r="C14287" s="2">
        <v>546.24220000000003</v>
      </c>
      <c r="D14287" s="2">
        <f>HYPERLINK("http://mcb-m6.bioreg.kyushu-u.ac.jp/M3/20110404/F50765/1094/1", 45.84)</f>
        <v>45.84</v>
      </c>
      <c r="E14287" s="2">
        <v>28.86</v>
      </c>
      <c r="F14287" s="2">
        <v>2</v>
      </c>
      <c r="G14287" s="2" t="s">
        <v>9</v>
      </c>
    </row>
    <row r="14288" spans="1:9" x14ac:dyDescent="0.2">
      <c r="A14288" s="2" t="s">
        <v>3270</v>
      </c>
      <c r="B14288" s="2" t="s">
        <v>2274</v>
      </c>
      <c r="C14288" s="2">
        <v>710.78859999999997</v>
      </c>
      <c r="D14288" s="2">
        <f>HYPERLINK("http://mcb-m6.bioreg.kyushu-u.ac.jp/M3/20110404/F50767/1548/1", 46.44)</f>
        <v>46.44</v>
      </c>
      <c r="E14288" s="2">
        <v>32.47</v>
      </c>
      <c r="F14288" s="2">
        <v>2</v>
      </c>
      <c r="G14288" s="2" t="s">
        <v>9</v>
      </c>
      <c r="I14288" s="2" t="s">
        <v>4903</v>
      </c>
    </row>
    <row r="14289" spans="1:9" x14ac:dyDescent="0.2">
      <c r="A14289" s="2" t="s">
        <v>3270</v>
      </c>
      <c r="B14289" s="2" t="s">
        <v>1925</v>
      </c>
      <c r="C14289" s="2">
        <v>724.40369999999996</v>
      </c>
      <c r="D14289" s="2">
        <f>HYPERLINK("http://mcb-m6.bioreg.kyushu-u.ac.jp/M3/20110404/F50765/1770/1", 46.66)</f>
        <v>46.66</v>
      </c>
      <c r="E14289" s="2">
        <v>20.47</v>
      </c>
      <c r="F14289" s="2">
        <v>2</v>
      </c>
      <c r="G14289" s="2" t="s">
        <v>9</v>
      </c>
      <c r="I14289" s="2" t="s">
        <v>4898</v>
      </c>
    </row>
    <row r="14290" spans="1:9" x14ac:dyDescent="0.2">
      <c r="A14290" s="2" t="s">
        <v>3270</v>
      </c>
      <c r="B14290" s="2" t="s">
        <v>380</v>
      </c>
      <c r="C14290" s="2">
        <v>529.65219999999999</v>
      </c>
      <c r="D14290" s="2">
        <f>HYPERLINK("http://mcb-m6.bioreg.kyushu-u.ac.jp/M3/20110404/F50777/1096/1", 46.8)</f>
        <v>46.8</v>
      </c>
      <c r="E14290" s="2">
        <v>22.66</v>
      </c>
      <c r="F14290" s="2">
        <v>2</v>
      </c>
      <c r="G14290" s="2" t="s">
        <v>9</v>
      </c>
    </row>
    <row r="14291" spans="1:9" x14ac:dyDescent="0.2">
      <c r="A14291" s="2" t="s">
        <v>3270</v>
      </c>
      <c r="B14291" s="2" t="s">
        <v>1208</v>
      </c>
      <c r="C14291" s="2">
        <v>909.44209999999998</v>
      </c>
      <c r="D14291" s="2">
        <f>HYPERLINK("http://mcb-m6.bioreg.kyushu-u.ac.jp/M3/20110404/F50765/2516/1", 47.09)</f>
        <v>47.09</v>
      </c>
      <c r="E14291" s="2">
        <v>33.18</v>
      </c>
      <c r="F14291" s="2">
        <v>2</v>
      </c>
      <c r="G14291" s="2" t="s">
        <v>9</v>
      </c>
    </row>
    <row r="14292" spans="1:9" x14ac:dyDescent="0.2">
      <c r="A14292" s="2" t="s">
        <v>3270</v>
      </c>
      <c r="B14292" s="2" t="s">
        <v>1925</v>
      </c>
      <c r="C14292" s="2">
        <v>724.31020000000001</v>
      </c>
      <c r="D14292" s="2">
        <f>HYPERLINK("http://mcb-m6.bioreg.kyushu-u.ac.jp/M3/20110404/F50764/1813/1", 47.3)</f>
        <v>47.3</v>
      </c>
      <c r="E14292" s="2">
        <v>29.16</v>
      </c>
      <c r="F14292" s="2">
        <v>2</v>
      </c>
      <c r="G14292" s="2" t="s">
        <v>9</v>
      </c>
      <c r="I14292" s="2" t="s">
        <v>4898</v>
      </c>
    </row>
    <row r="14293" spans="1:9" x14ac:dyDescent="0.2">
      <c r="A14293" s="2" t="s">
        <v>3270</v>
      </c>
      <c r="B14293" s="2" t="s">
        <v>291</v>
      </c>
      <c r="C14293" s="2">
        <v>1052.412</v>
      </c>
      <c r="D14293" s="2">
        <f>HYPERLINK("http://mcb-m6.bioreg.kyushu-u.ac.jp/M3/20110404/F50765/1027/1", 47.82)</f>
        <v>47.82</v>
      </c>
      <c r="E14293" s="2">
        <v>27.24</v>
      </c>
      <c r="F14293" s="2">
        <v>1</v>
      </c>
      <c r="G14293" s="2" t="s">
        <v>9</v>
      </c>
    </row>
    <row r="14294" spans="1:9" x14ac:dyDescent="0.2">
      <c r="A14294" s="2" t="s">
        <v>3270</v>
      </c>
      <c r="B14294" s="2" t="s">
        <v>291</v>
      </c>
      <c r="C14294" s="2">
        <v>1051.4010000000001</v>
      </c>
      <c r="D14294" s="2">
        <f>HYPERLINK("http://mcb-m6.bioreg.kyushu-u.ac.jp/M3/20110404/F50762/1089/1", 48.56)</f>
        <v>48.56</v>
      </c>
      <c r="E14294" s="2">
        <v>27.08</v>
      </c>
      <c r="F14294" s="2">
        <v>1</v>
      </c>
      <c r="G14294" s="2" t="s">
        <v>9</v>
      </c>
    </row>
    <row r="14295" spans="1:9" x14ac:dyDescent="0.2">
      <c r="A14295" s="2" t="s">
        <v>3270</v>
      </c>
      <c r="B14295" s="2" t="s">
        <v>519</v>
      </c>
      <c r="C14295" s="2">
        <v>853.32920000000001</v>
      </c>
      <c r="D14295" s="2">
        <f>HYPERLINK("http://mcb-m6.bioreg.kyushu-u.ac.jp/M3/20110404/F50765/2315/1", 48.9)</f>
        <v>48.9</v>
      </c>
      <c r="E14295" s="2">
        <v>33.270000000000003</v>
      </c>
      <c r="F14295" s="2">
        <v>2</v>
      </c>
      <c r="G14295" s="2" t="s">
        <v>9</v>
      </c>
      <c r="I14295" s="2" t="s">
        <v>4898</v>
      </c>
    </row>
    <row r="14296" spans="1:9" x14ac:dyDescent="0.2">
      <c r="A14296" s="2" t="s">
        <v>3270</v>
      </c>
      <c r="B14296" s="2" t="s">
        <v>1507</v>
      </c>
      <c r="C14296" s="2">
        <v>1033.8140000000001</v>
      </c>
      <c r="D14296" s="2">
        <f>HYPERLINK("http://mcb-m6.bioreg.kyushu-u.ac.jp/M3/20110404/F50779/2976/1", 49.51)</f>
        <v>49.51</v>
      </c>
      <c r="E14296" s="2">
        <v>42.72</v>
      </c>
      <c r="F14296" s="2">
        <v>2</v>
      </c>
      <c r="G14296" s="2" t="s">
        <v>9</v>
      </c>
    </row>
    <row r="14297" spans="1:9" x14ac:dyDescent="0.2">
      <c r="A14297" s="2" t="s">
        <v>3270</v>
      </c>
      <c r="B14297" s="2" t="s">
        <v>2445</v>
      </c>
      <c r="C14297" s="2">
        <v>1275.665</v>
      </c>
      <c r="D14297" s="2">
        <f>HYPERLINK("http://mcb-m6.bioreg.kyushu-u.ac.jp/M3/20110404/F50765/1377/1", 49.67)</f>
        <v>49.67</v>
      </c>
      <c r="E14297" s="2">
        <v>34.92</v>
      </c>
      <c r="F14297" s="2">
        <v>1</v>
      </c>
      <c r="G14297" s="2" t="s">
        <v>9</v>
      </c>
      <c r="I14297" s="2" t="s">
        <v>4890</v>
      </c>
    </row>
    <row r="14298" spans="1:9" x14ac:dyDescent="0.2">
      <c r="A14298" s="2" t="s">
        <v>3270</v>
      </c>
      <c r="B14298" s="2" t="s">
        <v>1925</v>
      </c>
      <c r="C14298" s="2">
        <v>724.92909999999995</v>
      </c>
      <c r="D14298" s="2">
        <f>HYPERLINK("http://mcb-m6.bioreg.kyushu-u.ac.jp/M3/20110404/F50765/1771/1", 50.01)</f>
        <v>50.01</v>
      </c>
      <c r="E14298" s="2">
        <v>39.08</v>
      </c>
      <c r="F14298" s="2">
        <v>2</v>
      </c>
      <c r="G14298" s="2" t="s">
        <v>9</v>
      </c>
      <c r="I14298" s="2" t="s">
        <v>4898</v>
      </c>
    </row>
    <row r="14299" spans="1:9" x14ac:dyDescent="0.2">
      <c r="A14299" s="2" t="s">
        <v>3270</v>
      </c>
      <c r="B14299" s="2" t="s">
        <v>519</v>
      </c>
      <c r="C14299" s="2">
        <v>853.20370000000003</v>
      </c>
      <c r="D14299" s="2">
        <f>HYPERLINK("http://mcb-m6.bioreg.kyushu-u.ac.jp/M3/20110404/F50766/2189/1", 50.43)</f>
        <v>50.43</v>
      </c>
      <c r="E14299" s="2">
        <v>32.86</v>
      </c>
      <c r="F14299" s="2">
        <v>2</v>
      </c>
      <c r="G14299" s="2" t="s">
        <v>9</v>
      </c>
      <c r="I14299" s="2" t="s">
        <v>4898</v>
      </c>
    </row>
    <row r="14300" spans="1:9" x14ac:dyDescent="0.2">
      <c r="A14300" s="2" t="s">
        <v>3270</v>
      </c>
      <c r="B14300" s="2" t="s">
        <v>2491</v>
      </c>
      <c r="C14300" s="2">
        <v>873.4067</v>
      </c>
      <c r="D14300" s="2">
        <f>HYPERLINK("http://mcb-m6.bioreg.kyushu-u.ac.jp/M3/20110404/F50767/2341/1", 50.73)</f>
        <v>50.73</v>
      </c>
      <c r="E14300" s="2">
        <v>42.1</v>
      </c>
      <c r="F14300" s="2">
        <v>2</v>
      </c>
      <c r="G14300" s="2" t="s">
        <v>9</v>
      </c>
    </row>
    <row r="14301" spans="1:9" x14ac:dyDescent="0.2">
      <c r="A14301" s="2" t="s">
        <v>3270</v>
      </c>
      <c r="B14301" s="2" t="s">
        <v>1507</v>
      </c>
      <c r="C14301" s="2">
        <v>689.61609999999996</v>
      </c>
      <c r="D14301" s="2">
        <f>HYPERLINK("http://mcb-m6.bioreg.kyushu-u.ac.jp/M3/20110404/F50765/2927/1", 53.95)</f>
        <v>53.95</v>
      </c>
      <c r="E14301" s="2">
        <v>30.26</v>
      </c>
      <c r="F14301" s="2">
        <v>3</v>
      </c>
      <c r="G14301" s="2" t="s">
        <v>9</v>
      </c>
    </row>
    <row r="14302" spans="1:9" x14ac:dyDescent="0.2">
      <c r="A14302" s="2" t="s">
        <v>3270</v>
      </c>
      <c r="B14302" s="2" t="s">
        <v>2398</v>
      </c>
      <c r="C14302" s="2">
        <v>526.81209999999999</v>
      </c>
      <c r="D14302" s="2">
        <f>HYPERLINK("http://mcb-m6.bioreg.kyushu-u.ac.jp/M3/20110404/F50767/870/1", 53.99)</f>
        <v>53.99</v>
      </c>
      <c r="E14302" s="2">
        <v>29.88</v>
      </c>
      <c r="F14302" s="2">
        <v>2</v>
      </c>
      <c r="G14302" s="2" t="s">
        <v>9</v>
      </c>
    </row>
    <row r="14303" spans="1:9" x14ac:dyDescent="0.2">
      <c r="A14303" s="2" t="s">
        <v>3270</v>
      </c>
      <c r="B14303" s="2" t="s">
        <v>2398</v>
      </c>
      <c r="C14303" s="2">
        <v>526.77470000000005</v>
      </c>
      <c r="D14303" s="2">
        <f>HYPERLINK("http://mcb-m6.bioreg.kyushu-u.ac.jp/M3/20110404/F50765/1028/1", 54.64)</f>
        <v>54.64</v>
      </c>
      <c r="E14303" s="2">
        <v>27.38</v>
      </c>
      <c r="F14303" s="2">
        <v>2</v>
      </c>
      <c r="G14303" s="2" t="s">
        <v>9</v>
      </c>
    </row>
    <row r="14304" spans="1:9" x14ac:dyDescent="0.2">
      <c r="A14304" s="2" t="s">
        <v>3270</v>
      </c>
      <c r="B14304" s="2" t="s">
        <v>6344</v>
      </c>
      <c r="C14304" s="2">
        <v>961.38699999999994</v>
      </c>
      <c r="D14304" s="2">
        <f>HYPERLINK("http://mcb-m6.bioreg.kyushu-u.ac.jp/M3/20110404/F50765/869/1", 55.23)</f>
        <v>55.23</v>
      </c>
      <c r="E14304" s="2">
        <v>24.27</v>
      </c>
      <c r="F14304" s="2">
        <v>1</v>
      </c>
      <c r="G14304" s="2" t="s">
        <v>9</v>
      </c>
    </row>
    <row r="14305" spans="1:9" x14ac:dyDescent="0.2">
      <c r="A14305" s="2" t="s">
        <v>3270</v>
      </c>
      <c r="B14305" s="2" t="s">
        <v>1299</v>
      </c>
      <c r="C14305" s="2">
        <v>606.32119999999998</v>
      </c>
      <c r="D14305" s="2">
        <f>HYPERLINK("http://mcb-m6.bioreg.kyushu-u.ac.jp/M3/20110404/F50767/1087/1", 55.47)</f>
        <v>55.47</v>
      </c>
      <c r="E14305" s="2">
        <v>35.869999999999997</v>
      </c>
      <c r="F14305" s="2">
        <v>2</v>
      </c>
      <c r="G14305" s="2" t="s">
        <v>9</v>
      </c>
      <c r="I14305" s="2" t="s">
        <v>4890</v>
      </c>
    </row>
    <row r="14306" spans="1:9" x14ac:dyDescent="0.2">
      <c r="A14306" s="2" t="s">
        <v>3270</v>
      </c>
      <c r="B14306" s="2" t="s">
        <v>6349</v>
      </c>
      <c r="C14306" s="2">
        <v>1025.9449999999999</v>
      </c>
      <c r="D14306" s="2">
        <f>HYPERLINK("http://mcb-m6.bioreg.kyushu-u.ac.jp/M3/20110404/F50765/2903/1", 55.76)</f>
        <v>55.76</v>
      </c>
      <c r="E14306" s="2">
        <v>39.33</v>
      </c>
      <c r="F14306" s="2">
        <v>2</v>
      </c>
      <c r="G14306" s="2" t="s">
        <v>9</v>
      </c>
    </row>
    <row r="14307" spans="1:9" x14ac:dyDescent="0.2">
      <c r="A14307" s="2" t="s">
        <v>3270</v>
      </c>
      <c r="B14307" s="2" t="s">
        <v>1208</v>
      </c>
      <c r="C14307" s="2">
        <v>917.23720000000003</v>
      </c>
      <c r="D14307" s="2">
        <f>HYPERLINK("http://mcb-m6.bioreg.kyushu-u.ac.jp/M3/20110404/F50765/2550/1", 57.81)</f>
        <v>57.81</v>
      </c>
      <c r="E14307" s="2">
        <v>45.18</v>
      </c>
      <c r="F14307" s="2">
        <v>2</v>
      </c>
      <c r="G14307" s="2" t="s">
        <v>9</v>
      </c>
      <c r="H14307" s="2" t="s">
        <v>4900</v>
      </c>
    </row>
    <row r="14308" spans="1:9" x14ac:dyDescent="0.2">
      <c r="A14308" s="2" t="s">
        <v>3270</v>
      </c>
      <c r="B14308" s="2" t="s">
        <v>2357</v>
      </c>
      <c r="C14308" s="2">
        <v>1331.575</v>
      </c>
      <c r="D14308" s="2">
        <f>HYPERLINK("http://mcb-m6.bioreg.kyushu-u.ac.jp/M3/20110404/F50765/1473/1", 58.64)</f>
        <v>58.64</v>
      </c>
      <c r="E14308" s="2">
        <v>44.77</v>
      </c>
      <c r="F14308" s="2">
        <v>1</v>
      </c>
      <c r="G14308" s="2" t="s">
        <v>9</v>
      </c>
      <c r="I14308" s="2" t="s">
        <v>4914</v>
      </c>
    </row>
    <row r="14309" spans="1:9" x14ac:dyDescent="0.2">
      <c r="A14309" s="2" t="s">
        <v>3270</v>
      </c>
      <c r="B14309" s="2" t="s">
        <v>1925</v>
      </c>
      <c r="C14309" s="2">
        <v>724.88210000000004</v>
      </c>
      <c r="D14309" s="2">
        <f>HYPERLINK("http://mcb-m6.bioreg.kyushu-u.ac.jp/M3/20110404/F50756/1897/1", 58.83)</f>
        <v>58.83</v>
      </c>
      <c r="E14309" s="2">
        <v>43.77</v>
      </c>
      <c r="F14309" s="2">
        <v>2</v>
      </c>
      <c r="G14309" s="2" t="s">
        <v>9</v>
      </c>
      <c r="I14309" s="2" t="s">
        <v>4898</v>
      </c>
    </row>
    <row r="14310" spans="1:9" x14ac:dyDescent="0.2">
      <c r="A14310" s="2" t="s">
        <v>3270</v>
      </c>
      <c r="B14310" s="2" t="s">
        <v>289</v>
      </c>
      <c r="C14310" s="2">
        <v>809.36320000000001</v>
      </c>
      <c r="D14310" s="2">
        <f>HYPERLINK("http://mcb-m6.bioreg.kyushu-u.ac.jp/M3/20110404/F50765/2155/1", 59.9)</f>
        <v>59.9</v>
      </c>
      <c r="E14310" s="2">
        <v>47.61</v>
      </c>
      <c r="F14310" s="2">
        <v>2</v>
      </c>
      <c r="G14310" s="2" t="s">
        <v>9</v>
      </c>
    </row>
    <row r="14311" spans="1:9" x14ac:dyDescent="0.2">
      <c r="A14311" s="2" t="s">
        <v>3270</v>
      </c>
      <c r="B14311" s="2" t="s">
        <v>289</v>
      </c>
      <c r="C14311" s="2">
        <v>809.91110000000003</v>
      </c>
      <c r="D14311" s="2">
        <f>HYPERLINK("http://mcb-m6.bioreg.kyushu-u.ac.jp/M3/20110404/F50764/2141/1", 61.23)</f>
        <v>61.23</v>
      </c>
      <c r="E14311" s="2">
        <v>46.69</v>
      </c>
      <c r="F14311" s="2">
        <v>2</v>
      </c>
      <c r="G14311" s="2" t="s">
        <v>9</v>
      </c>
    </row>
    <row r="14312" spans="1:9" x14ac:dyDescent="0.2">
      <c r="A14312" s="2" t="s">
        <v>3270</v>
      </c>
      <c r="B14312" s="2" t="s">
        <v>6048</v>
      </c>
      <c r="C14312" s="2">
        <v>609.81209999999999</v>
      </c>
      <c r="D14312" s="2">
        <f>HYPERLINK("http://mcb-m6.bioreg.kyushu-u.ac.jp/M3/20110404/F50765/1280/1", 61.77)</f>
        <v>61.77</v>
      </c>
      <c r="E14312" s="2">
        <v>42.32</v>
      </c>
      <c r="F14312" s="2">
        <v>2</v>
      </c>
      <c r="G14312" s="2" t="s">
        <v>9</v>
      </c>
    </row>
    <row r="14313" spans="1:9" x14ac:dyDescent="0.2">
      <c r="A14313" s="2" t="s">
        <v>3270</v>
      </c>
      <c r="B14313" s="2" t="s">
        <v>2888</v>
      </c>
      <c r="C14313" s="2">
        <v>803.40419999999995</v>
      </c>
      <c r="D14313" s="2">
        <f>HYPERLINK("http://mcb-m6.bioreg.kyushu-u.ac.jp/M3/20110404/F50765/2126/1", 62.3)</f>
        <v>62.3</v>
      </c>
      <c r="E14313" s="2">
        <v>49.93</v>
      </c>
      <c r="F14313" s="2">
        <v>2</v>
      </c>
      <c r="G14313" s="2" t="s">
        <v>9</v>
      </c>
      <c r="H14313" s="2" t="s">
        <v>4904</v>
      </c>
    </row>
    <row r="14314" spans="1:9" x14ac:dyDescent="0.2">
      <c r="A14314" s="2" t="s">
        <v>3270</v>
      </c>
      <c r="B14314" s="2" t="s">
        <v>2499</v>
      </c>
      <c r="C14314" s="2">
        <v>829.17269999999996</v>
      </c>
      <c r="D14314" s="2">
        <f>HYPERLINK("http://mcb-m6.bioreg.kyushu-u.ac.jp/M3/20110404/F50756/2374/1", 62.59)</f>
        <v>62.59</v>
      </c>
      <c r="E14314" s="2">
        <v>56.15</v>
      </c>
      <c r="F14314" s="2">
        <v>2</v>
      </c>
      <c r="G14314" s="2" t="s">
        <v>9</v>
      </c>
    </row>
    <row r="14315" spans="1:9" x14ac:dyDescent="0.2">
      <c r="A14315" s="2" t="s">
        <v>3270</v>
      </c>
      <c r="B14315" s="2" t="s">
        <v>909</v>
      </c>
      <c r="C14315" s="2">
        <v>604.78610000000003</v>
      </c>
      <c r="D14315" s="2">
        <f>HYPERLINK("http://mcb-m6.bioreg.kyushu-u.ac.jp/M3/20110404/F50764/1322/1", 63.4)</f>
        <v>63.4</v>
      </c>
      <c r="E14315" s="2">
        <v>36.33</v>
      </c>
      <c r="F14315" s="2">
        <v>2</v>
      </c>
      <c r="G14315" s="2" t="s">
        <v>9</v>
      </c>
    </row>
    <row r="14316" spans="1:9" x14ac:dyDescent="0.2">
      <c r="A14316" s="2" t="s">
        <v>3270</v>
      </c>
      <c r="B14316" s="2" t="s">
        <v>6146</v>
      </c>
      <c r="C14316" s="2">
        <v>1112.981</v>
      </c>
      <c r="D14316" s="2">
        <f>HYPERLINK("http://mcb-m6.bioreg.kyushu-u.ac.jp/M3/20110404/F50765/3146/1", 64.07)</f>
        <v>64.069999999999993</v>
      </c>
      <c r="E14316" s="2">
        <v>53.83</v>
      </c>
      <c r="F14316" s="2">
        <v>2</v>
      </c>
      <c r="G14316" s="2" t="s">
        <v>9</v>
      </c>
      <c r="I14316" s="2" t="s">
        <v>4966</v>
      </c>
    </row>
    <row r="14317" spans="1:9" x14ac:dyDescent="0.2">
      <c r="A14317" s="2" t="s">
        <v>3270</v>
      </c>
      <c r="B14317" s="2" t="s">
        <v>1925</v>
      </c>
      <c r="C14317" s="2">
        <v>724.58370000000002</v>
      </c>
      <c r="D14317" s="2">
        <f>HYPERLINK("http://mcb-m6.bioreg.kyushu-u.ac.jp/M3/20110404/F50767/1646/1", 64.56)</f>
        <v>64.56</v>
      </c>
      <c r="E14317" s="2">
        <v>44.35</v>
      </c>
      <c r="F14317" s="2">
        <v>2</v>
      </c>
      <c r="G14317" s="2" t="s">
        <v>9</v>
      </c>
      <c r="I14317" s="2" t="s">
        <v>4898</v>
      </c>
    </row>
    <row r="14318" spans="1:9" x14ac:dyDescent="0.2">
      <c r="A14318" s="2" t="s">
        <v>3270</v>
      </c>
      <c r="B14318" s="2" t="s">
        <v>1925</v>
      </c>
      <c r="C14318" s="2">
        <v>724.26210000000003</v>
      </c>
      <c r="D14318" s="2">
        <f>HYPERLINK("http://mcb-m6.bioreg.kyushu-u.ac.jp/M3/20110404/F50762/1766/1", 64.64)</f>
        <v>64.64</v>
      </c>
      <c r="E14318" s="2">
        <v>40.99</v>
      </c>
      <c r="F14318" s="2">
        <v>2</v>
      </c>
      <c r="G14318" s="2" t="s">
        <v>9</v>
      </c>
      <c r="I14318" s="2" t="s">
        <v>4898</v>
      </c>
    </row>
    <row r="14319" spans="1:9" x14ac:dyDescent="0.2">
      <c r="A14319" s="2" t="s">
        <v>3270</v>
      </c>
      <c r="B14319" s="2" t="s">
        <v>1507</v>
      </c>
      <c r="C14319" s="2">
        <v>1033.7449999999999</v>
      </c>
      <c r="D14319" s="2">
        <f>HYPERLINK("http://mcb-m6.bioreg.kyushu-u.ac.jp/M3/20110404/F50765/2926/1", 65.94)</f>
        <v>65.94</v>
      </c>
      <c r="E14319" s="2">
        <v>57.58</v>
      </c>
      <c r="F14319" s="2">
        <v>2</v>
      </c>
      <c r="G14319" s="2" t="s">
        <v>9</v>
      </c>
    </row>
    <row r="14320" spans="1:9" x14ac:dyDescent="0.2">
      <c r="A14320" s="2" t="s">
        <v>3270</v>
      </c>
      <c r="B14320" s="2" t="s">
        <v>2243</v>
      </c>
      <c r="C14320" s="2">
        <v>490.1386</v>
      </c>
      <c r="D14320" s="2">
        <f>HYPERLINK("http://mcb-m6.bioreg.kyushu-u.ac.jp/M3/20110404/F50765/900/1", 67.66)</f>
        <v>67.66</v>
      </c>
      <c r="E14320" s="2">
        <v>40.159999999999997</v>
      </c>
      <c r="F14320" s="2">
        <v>2</v>
      </c>
      <c r="G14320" s="2" t="s">
        <v>9</v>
      </c>
      <c r="I14320" s="2" t="s">
        <v>4892</v>
      </c>
    </row>
    <row r="14321" spans="1:9" x14ac:dyDescent="0.2">
      <c r="A14321" s="2" t="s">
        <v>3270</v>
      </c>
      <c r="B14321" s="2" t="s">
        <v>2072</v>
      </c>
      <c r="C14321" s="2">
        <v>558.78859999999997</v>
      </c>
      <c r="D14321" s="2">
        <f>HYPERLINK("http://mcb-m6.bioreg.kyushu-u.ac.jp/M3/20110404/F50765/1127/1", 68.04)</f>
        <v>68.040000000000006</v>
      </c>
      <c r="E14321" s="2">
        <v>35.31</v>
      </c>
      <c r="F14321" s="2">
        <v>2</v>
      </c>
      <c r="G14321" s="2" t="s">
        <v>9</v>
      </c>
    </row>
    <row r="14322" spans="1:9" x14ac:dyDescent="0.2">
      <c r="A14322" s="2" t="s">
        <v>3270</v>
      </c>
      <c r="B14322" s="2" t="s">
        <v>1299</v>
      </c>
      <c r="C14322" s="2">
        <v>606.38670000000002</v>
      </c>
      <c r="D14322" s="2">
        <f>HYPERLINK("http://mcb-m6.bioreg.kyushu-u.ac.jp/M3/20110404/F50778/1194/1", 68.55)</f>
        <v>68.55</v>
      </c>
      <c r="E14322" s="2">
        <v>50.65</v>
      </c>
      <c r="F14322" s="2">
        <v>2</v>
      </c>
      <c r="G14322" s="2" t="s">
        <v>9</v>
      </c>
      <c r="I14322" s="2" t="s">
        <v>4890</v>
      </c>
    </row>
    <row r="14323" spans="1:9" x14ac:dyDescent="0.2">
      <c r="A14323" s="2" t="s">
        <v>3270</v>
      </c>
      <c r="B14323" s="2" t="s">
        <v>2888</v>
      </c>
      <c r="C14323" s="2">
        <v>803.76509999999996</v>
      </c>
      <c r="D14323" s="2">
        <f>HYPERLINK("http://mcb-m6.bioreg.kyushu-u.ac.jp/M3/20110404/F50767/2044/1", 68.65)</f>
        <v>68.650000000000006</v>
      </c>
      <c r="E14323" s="2">
        <v>53.04</v>
      </c>
      <c r="F14323" s="2">
        <v>2</v>
      </c>
      <c r="G14323" s="2" t="s">
        <v>9</v>
      </c>
      <c r="H14323" s="2" t="s">
        <v>4904</v>
      </c>
    </row>
    <row r="14324" spans="1:9" x14ac:dyDescent="0.2">
      <c r="A14324" s="2" t="s">
        <v>3270</v>
      </c>
      <c r="B14324" s="2" t="s">
        <v>2274</v>
      </c>
      <c r="C14324" s="2">
        <v>710.85860000000002</v>
      </c>
      <c r="D14324" s="2">
        <f>HYPERLINK("http://mcb-m6.bioreg.kyushu-u.ac.jp/M3/20110404/F50765/1687/1", 68.83)</f>
        <v>68.83</v>
      </c>
      <c r="E14324" s="2">
        <v>49.77</v>
      </c>
      <c r="F14324" s="2">
        <v>2</v>
      </c>
      <c r="G14324" s="2" t="s">
        <v>9</v>
      </c>
      <c r="I14324" s="2" t="s">
        <v>4903</v>
      </c>
    </row>
    <row r="14325" spans="1:9" x14ac:dyDescent="0.2">
      <c r="A14325" s="2" t="s">
        <v>3270</v>
      </c>
      <c r="B14325" s="2" t="s">
        <v>1208</v>
      </c>
      <c r="C14325" s="2">
        <v>909.39509999999996</v>
      </c>
      <c r="D14325" s="2">
        <f>HYPERLINK("http://mcb-m6.bioreg.kyushu-u.ac.jp/M3/20110404/F50765/2514/1", 68.84)</f>
        <v>68.84</v>
      </c>
      <c r="E14325" s="2">
        <v>52.88</v>
      </c>
      <c r="F14325" s="2">
        <v>2</v>
      </c>
      <c r="G14325" s="2" t="s">
        <v>9</v>
      </c>
    </row>
    <row r="14326" spans="1:9" x14ac:dyDescent="0.2">
      <c r="A14326" s="2" t="s">
        <v>3270</v>
      </c>
      <c r="B14326" s="2" t="s">
        <v>2499</v>
      </c>
      <c r="C14326" s="2">
        <v>1657.654</v>
      </c>
      <c r="D14326" s="2">
        <f>HYPERLINK("http://mcb-m6.bioreg.kyushu-u.ac.jp/M3/20110404/F50765/2228/1", 68.93)</f>
        <v>68.930000000000007</v>
      </c>
      <c r="E14326" s="2">
        <v>57.47</v>
      </c>
      <c r="F14326" s="2">
        <v>1</v>
      </c>
      <c r="G14326" s="2" t="s">
        <v>9</v>
      </c>
    </row>
    <row r="14327" spans="1:9" x14ac:dyDescent="0.2">
      <c r="A14327" s="2" t="s">
        <v>3270</v>
      </c>
      <c r="B14327" s="2" t="s">
        <v>1299</v>
      </c>
      <c r="C14327" s="2">
        <v>606.31269999999995</v>
      </c>
      <c r="D14327" s="2">
        <f>HYPERLINK("http://mcb-m6.bioreg.kyushu-u.ac.jp/M3/20110404/F50764/1325/1", 69.95)</f>
        <v>69.95</v>
      </c>
      <c r="E14327" s="2">
        <v>49.96</v>
      </c>
      <c r="F14327" s="2">
        <v>2</v>
      </c>
      <c r="G14327" s="2" t="s">
        <v>9</v>
      </c>
      <c r="I14327" s="2" t="s">
        <v>4890</v>
      </c>
    </row>
    <row r="14328" spans="1:9" x14ac:dyDescent="0.2">
      <c r="A14328" s="2" t="s">
        <v>3270</v>
      </c>
      <c r="B14328" s="2" t="s">
        <v>2415</v>
      </c>
      <c r="C14328" s="2">
        <v>546.2242</v>
      </c>
      <c r="D14328" s="2">
        <f>HYPERLINK("http://mcb-m6.bioreg.kyushu-u.ac.jp/M3/20110404/F50765/1093/1", 71.07)</f>
        <v>71.069999999999993</v>
      </c>
      <c r="E14328" s="2">
        <v>46.25</v>
      </c>
      <c r="F14328" s="2">
        <v>2</v>
      </c>
      <c r="G14328" s="2" t="s">
        <v>9</v>
      </c>
    </row>
    <row r="14329" spans="1:9" x14ac:dyDescent="0.2">
      <c r="A14329" s="2" t="s">
        <v>3270</v>
      </c>
      <c r="B14329" s="2" t="s">
        <v>1507</v>
      </c>
      <c r="C14329" s="2">
        <v>1033.2619999999999</v>
      </c>
      <c r="D14329" s="2">
        <f>HYPERLINK("http://mcb-m6.bioreg.kyushu-u.ac.jp/M3/20110404/F50767/3012/1", 71.14)</f>
        <v>71.14</v>
      </c>
      <c r="E14329" s="2">
        <v>59.39</v>
      </c>
      <c r="F14329" s="2">
        <v>2</v>
      </c>
      <c r="G14329" s="2" t="s">
        <v>9</v>
      </c>
    </row>
    <row r="14330" spans="1:9" x14ac:dyDescent="0.2">
      <c r="A14330" s="2" t="s">
        <v>3270</v>
      </c>
      <c r="B14330" s="2" t="s">
        <v>909</v>
      </c>
      <c r="C14330" s="2">
        <v>604.69709999999998</v>
      </c>
      <c r="D14330" s="2">
        <f>HYPERLINK("http://mcb-m6.bioreg.kyushu-u.ac.jp/M3/20110404/F50765/1254/1", 71.88)</f>
        <v>71.88</v>
      </c>
      <c r="E14330" s="2">
        <v>44.34</v>
      </c>
      <c r="F14330" s="2">
        <v>2</v>
      </c>
      <c r="G14330" s="2" t="s">
        <v>9</v>
      </c>
    </row>
    <row r="14331" spans="1:9" x14ac:dyDescent="0.2">
      <c r="A14331" s="2" t="s">
        <v>3270</v>
      </c>
      <c r="B14331" s="2" t="s">
        <v>2445</v>
      </c>
      <c r="C14331" s="2">
        <v>638.38620000000003</v>
      </c>
      <c r="D14331" s="2">
        <f>HYPERLINK("http://mcb-m6.bioreg.kyushu-u.ac.jp/M3/20110404/F50767/1213/1", 72.3)</f>
        <v>72.3</v>
      </c>
      <c r="E14331" s="2">
        <v>51.74</v>
      </c>
      <c r="F14331" s="2">
        <v>2</v>
      </c>
      <c r="G14331" s="2" t="s">
        <v>9</v>
      </c>
      <c r="I14331" s="2" t="s">
        <v>4890</v>
      </c>
    </row>
    <row r="14332" spans="1:9" x14ac:dyDescent="0.2">
      <c r="A14332" s="2" t="s">
        <v>3270</v>
      </c>
      <c r="B14332" s="2" t="s">
        <v>2499</v>
      </c>
      <c r="C14332" s="2">
        <v>828.90219999999999</v>
      </c>
      <c r="D14332" s="2">
        <f>HYPERLINK("http://mcb-m6.bioreg.kyushu-u.ac.jp/M3/20110404/F50765/2222/1", 73.5)</f>
        <v>73.5</v>
      </c>
      <c r="E14332" s="2">
        <v>63.53</v>
      </c>
      <c r="F14332" s="2">
        <v>2</v>
      </c>
      <c r="G14332" s="2" t="s">
        <v>9</v>
      </c>
    </row>
    <row r="14333" spans="1:9" x14ac:dyDescent="0.2">
      <c r="A14333" s="2" t="s">
        <v>3270</v>
      </c>
      <c r="B14333" s="2" t="s">
        <v>2942</v>
      </c>
      <c r="C14333" s="2">
        <v>652.3057</v>
      </c>
      <c r="D14333" s="2">
        <f>HYPERLINK("http://mcb-m6.bioreg.kyushu-u.ac.jp/M3/20110404/F50765/1430/1", 74.46)</f>
        <v>74.459999999999994</v>
      </c>
      <c r="E14333" s="2">
        <v>54.67</v>
      </c>
      <c r="F14333" s="2">
        <v>2</v>
      </c>
      <c r="G14333" s="2" t="s">
        <v>9</v>
      </c>
    </row>
    <row r="14334" spans="1:9" x14ac:dyDescent="0.2">
      <c r="A14334" s="2" t="s">
        <v>3270</v>
      </c>
      <c r="B14334" s="2" t="s">
        <v>3198</v>
      </c>
      <c r="C14334" s="2">
        <v>1262.4639999999999</v>
      </c>
      <c r="D14334" s="2">
        <f>HYPERLINK("http://mcb-m6.bioreg.kyushu-u.ac.jp/M3/20110404/F50765/1354/1", 74.82)</f>
        <v>74.819999999999993</v>
      </c>
      <c r="E14334" s="2">
        <v>55.4</v>
      </c>
      <c r="F14334" s="2">
        <v>1</v>
      </c>
      <c r="G14334" s="2" t="s">
        <v>9</v>
      </c>
    </row>
    <row r="14335" spans="1:9" x14ac:dyDescent="0.2">
      <c r="A14335" s="2" t="s">
        <v>3270</v>
      </c>
      <c r="B14335" s="2" t="s">
        <v>1299</v>
      </c>
      <c r="C14335" s="2">
        <v>606.29570000000001</v>
      </c>
      <c r="D14335" s="2">
        <f>HYPERLINK("http://mcb-m6.bioreg.kyushu-u.ac.jp/M3/20110404/F50765/1263/1", 75.3)</f>
        <v>75.3</v>
      </c>
      <c r="E14335" s="2">
        <v>55.46</v>
      </c>
      <c r="F14335" s="2">
        <v>2</v>
      </c>
      <c r="G14335" s="2" t="s">
        <v>9</v>
      </c>
      <c r="I14335" s="2" t="s">
        <v>4890</v>
      </c>
    </row>
    <row r="14336" spans="1:9" x14ac:dyDescent="0.2">
      <c r="A14336" s="2" t="s">
        <v>3270</v>
      </c>
      <c r="B14336" s="2" t="s">
        <v>1925</v>
      </c>
      <c r="C14336" s="2">
        <v>724.38570000000004</v>
      </c>
      <c r="D14336" s="2">
        <f>HYPERLINK("http://mcb-m6.bioreg.kyushu-u.ac.jp/M3/20110404/F50765/1769/1", 76.06)</f>
        <v>76.06</v>
      </c>
      <c r="E14336" s="2">
        <v>56.16</v>
      </c>
      <c r="F14336" s="2">
        <v>2</v>
      </c>
      <c r="G14336" s="2" t="s">
        <v>9</v>
      </c>
      <c r="I14336" s="2" t="s">
        <v>4898</v>
      </c>
    </row>
    <row r="14337" spans="1:9" x14ac:dyDescent="0.2">
      <c r="A14337" s="2" t="s">
        <v>3270</v>
      </c>
      <c r="B14337" s="2" t="s">
        <v>2072</v>
      </c>
      <c r="C14337" s="2">
        <v>559.14319999999998</v>
      </c>
      <c r="D14337" s="2">
        <f>HYPERLINK("http://mcb-m6.bioreg.kyushu-u.ac.jp/M3/20110404/F50764/1165/1", 77.09)</f>
        <v>77.09</v>
      </c>
      <c r="E14337" s="2">
        <v>32.81</v>
      </c>
      <c r="F14337" s="2">
        <v>2</v>
      </c>
      <c r="G14337" s="2" t="s">
        <v>9</v>
      </c>
    </row>
    <row r="14338" spans="1:9" x14ac:dyDescent="0.2">
      <c r="A14338" s="2" t="s">
        <v>3270</v>
      </c>
      <c r="B14338" s="2" t="s">
        <v>2020</v>
      </c>
      <c r="C14338" s="2">
        <v>748.77509999999995</v>
      </c>
      <c r="D14338" s="2">
        <f>HYPERLINK("http://mcb-m6.bioreg.kyushu-u.ac.jp/M3/20110404/F50765/1893/1", 77.18)</f>
        <v>77.180000000000007</v>
      </c>
      <c r="E14338" s="2">
        <v>62.6</v>
      </c>
      <c r="F14338" s="2">
        <v>2</v>
      </c>
      <c r="G14338" s="2" t="s">
        <v>9</v>
      </c>
    </row>
    <row r="14339" spans="1:9" x14ac:dyDescent="0.2">
      <c r="A14339" s="2" t="s">
        <v>3270</v>
      </c>
      <c r="B14339" s="2" t="s">
        <v>6349</v>
      </c>
      <c r="C14339" s="2">
        <v>1026.4770000000001</v>
      </c>
      <c r="D14339" s="2">
        <f>HYPERLINK("http://mcb-m6.bioreg.kyushu-u.ac.jp/M3/20110404/F50765/2907/1", 77.5)</f>
        <v>77.5</v>
      </c>
      <c r="E14339" s="2">
        <v>69.91</v>
      </c>
      <c r="F14339" s="2">
        <v>2</v>
      </c>
      <c r="G14339" s="2" t="s">
        <v>9</v>
      </c>
    </row>
    <row r="14340" spans="1:9" x14ac:dyDescent="0.2">
      <c r="A14340" s="2" t="s">
        <v>3270</v>
      </c>
      <c r="B14340" s="2" t="s">
        <v>1208</v>
      </c>
      <c r="C14340" s="2">
        <v>909.29769999999996</v>
      </c>
      <c r="D14340" s="2">
        <f>HYPERLINK("http://mcb-m6.bioreg.kyushu-u.ac.jp/M3/20110404/F50779/2507/1", 78.74)</f>
        <v>78.739999999999995</v>
      </c>
      <c r="E14340" s="2">
        <v>69.59</v>
      </c>
      <c r="F14340" s="2">
        <v>2</v>
      </c>
      <c r="G14340" s="2" t="s">
        <v>9</v>
      </c>
    </row>
    <row r="14341" spans="1:9" x14ac:dyDescent="0.2">
      <c r="A14341" s="2" t="s">
        <v>3270</v>
      </c>
      <c r="B14341" s="2" t="s">
        <v>6146</v>
      </c>
      <c r="C14341" s="2">
        <v>1113.069</v>
      </c>
      <c r="D14341" s="2">
        <f>HYPERLINK("http://mcb-m6.bioreg.kyushu-u.ac.jp/M3/20110404/F50765/3148/1", 80.43)</f>
        <v>80.430000000000007</v>
      </c>
      <c r="E14341" s="2">
        <v>69.75</v>
      </c>
      <c r="F14341" s="2">
        <v>2</v>
      </c>
      <c r="G14341" s="2" t="s">
        <v>9</v>
      </c>
      <c r="I14341" s="2" t="s">
        <v>4966</v>
      </c>
    </row>
    <row r="14342" spans="1:9" x14ac:dyDescent="0.2">
      <c r="A14342" s="2" t="s">
        <v>3270</v>
      </c>
      <c r="B14342" s="2" t="s">
        <v>1208</v>
      </c>
      <c r="C14342" s="2">
        <v>909.77170000000001</v>
      </c>
      <c r="D14342" s="2">
        <f>HYPERLINK("http://mcb-m6.bioreg.kyushu-u.ac.jp/M3/20110404/F50778/2636/1", 81.17)</f>
        <v>81.17</v>
      </c>
      <c r="E14342" s="2">
        <v>67.430000000000007</v>
      </c>
      <c r="F14342" s="2">
        <v>2</v>
      </c>
      <c r="G14342" s="2" t="s">
        <v>9</v>
      </c>
    </row>
    <row r="14343" spans="1:9" x14ac:dyDescent="0.2">
      <c r="A14343" s="2" t="s">
        <v>3270</v>
      </c>
      <c r="B14343" s="2" t="s">
        <v>1208</v>
      </c>
      <c r="C14343" s="2">
        <v>910.01969999999994</v>
      </c>
      <c r="D14343" s="2">
        <f>HYPERLINK("http://mcb-m6.bioreg.kyushu-u.ac.jp/M3/20110404/F50767/2509/1", 83.17)</f>
        <v>83.17</v>
      </c>
      <c r="E14343" s="2">
        <v>50.28</v>
      </c>
      <c r="F14343" s="2">
        <v>2</v>
      </c>
      <c r="G14343" s="2" t="s">
        <v>9</v>
      </c>
    </row>
    <row r="14344" spans="1:9" x14ac:dyDescent="0.2">
      <c r="A14344" s="2" t="s">
        <v>3270</v>
      </c>
      <c r="B14344" s="2" t="s">
        <v>2007</v>
      </c>
      <c r="C14344" s="2">
        <v>888.90260000000001</v>
      </c>
      <c r="D14344" s="2">
        <f>HYPERLINK("http://mcb-m6.bioreg.kyushu-u.ac.jp/M3/20110404/F50765/2427/1", 85.93)</f>
        <v>85.93</v>
      </c>
      <c r="E14344" s="2">
        <v>75.34</v>
      </c>
      <c r="F14344" s="2">
        <v>2</v>
      </c>
      <c r="G14344" s="2" t="s">
        <v>9</v>
      </c>
    </row>
    <row r="14345" spans="1:9" x14ac:dyDescent="0.2">
      <c r="A14345" s="2" t="s">
        <v>3270</v>
      </c>
      <c r="B14345" s="2" t="s">
        <v>2072</v>
      </c>
      <c r="C14345" s="2">
        <v>558.69669999999996</v>
      </c>
      <c r="D14345" s="2">
        <f>HYPERLINK("http://mcb-m6.bioreg.kyushu-u.ac.jp/M3/20110404/F50765/1126/1", 86.64)</f>
        <v>86.64</v>
      </c>
      <c r="E14345" s="2">
        <v>47.34</v>
      </c>
      <c r="F14345" s="2">
        <v>2</v>
      </c>
      <c r="G14345" s="2" t="s">
        <v>9</v>
      </c>
    </row>
    <row r="14346" spans="1:9" x14ac:dyDescent="0.2">
      <c r="A14346" s="2" t="s">
        <v>3270</v>
      </c>
      <c r="B14346" s="2" t="s">
        <v>2357</v>
      </c>
      <c r="C14346" s="2">
        <v>666.29359999999997</v>
      </c>
      <c r="D14346" s="2">
        <f>HYPERLINK("http://mcb-m6.bioreg.kyushu-u.ac.jp/M3/20110404/F50765/1474/1", 88.55)</f>
        <v>88.55</v>
      </c>
      <c r="E14346" s="2">
        <v>67.78</v>
      </c>
      <c r="F14346" s="2">
        <v>2</v>
      </c>
      <c r="G14346" s="2" t="s">
        <v>9</v>
      </c>
      <c r="I14346" s="2" t="s">
        <v>4914</v>
      </c>
    </row>
    <row r="14347" spans="1:9" x14ac:dyDescent="0.2">
      <c r="A14347" s="2" t="s">
        <v>3270</v>
      </c>
      <c r="B14347" s="2" t="s">
        <v>2047</v>
      </c>
      <c r="C14347" s="2">
        <v>1371.6030000000001</v>
      </c>
      <c r="D14347" s="2">
        <f>HYPERLINK("http://mcb-m6.bioreg.kyushu-u.ac.jp/M3/20110404/F50765/1556/1", 91.53)</f>
        <v>91.53</v>
      </c>
      <c r="E14347" s="2">
        <v>72.34</v>
      </c>
      <c r="F14347" s="2">
        <v>1</v>
      </c>
      <c r="G14347" s="2" t="s">
        <v>9</v>
      </c>
    </row>
    <row r="14348" spans="1:9" x14ac:dyDescent="0.2">
      <c r="A14348" s="2" t="s">
        <v>3270</v>
      </c>
      <c r="B14348" s="2" t="s">
        <v>2499</v>
      </c>
      <c r="C14348" s="2">
        <v>553.18820000000005</v>
      </c>
      <c r="D14348" s="2">
        <f>HYPERLINK("http://mcb-m6.bioreg.kyushu-u.ac.jp/M3/20110404/F50765/2226/1", 92.31)</f>
        <v>92.31</v>
      </c>
      <c r="E14348" s="2">
        <v>70.510000000000005</v>
      </c>
      <c r="F14348" s="2">
        <v>3</v>
      </c>
      <c r="G14348" s="2" t="s">
        <v>9</v>
      </c>
    </row>
    <row r="14349" spans="1:9" x14ac:dyDescent="0.2">
      <c r="A14349" s="2" t="s">
        <v>3270</v>
      </c>
      <c r="B14349" s="2" t="s">
        <v>1208</v>
      </c>
      <c r="C14349" s="2">
        <v>909.8741</v>
      </c>
      <c r="D14349" s="2">
        <f>HYPERLINK("http://mcb-m6.bioreg.kyushu-u.ac.jp/M3/20110404/F50779/2511/1", 92.5)</f>
        <v>92.5</v>
      </c>
      <c r="E14349" s="2">
        <v>75.37</v>
      </c>
      <c r="F14349" s="2">
        <v>2</v>
      </c>
      <c r="G14349" s="2" t="s">
        <v>9</v>
      </c>
    </row>
    <row r="14350" spans="1:9" x14ac:dyDescent="0.2">
      <c r="A14350" s="2" t="s">
        <v>3270</v>
      </c>
      <c r="B14350" s="2" t="s">
        <v>2491</v>
      </c>
      <c r="C14350" s="2">
        <v>873.47810000000004</v>
      </c>
      <c r="D14350" s="2">
        <f>HYPERLINK("http://mcb-m6.bioreg.kyushu-u.ac.jp/M3/20110404/F50765/2375/1", 98.94)</f>
        <v>98.94</v>
      </c>
      <c r="E14350" s="2">
        <v>83.96</v>
      </c>
      <c r="F14350" s="2">
        <v>2</v>
      </c>
      <c r="G14350" s="2" t="s">
        <v>9</v>
      </c>
    </row>
    <row r="14351" spans="1:9" x14ac:dyDescent="0.2">
      <c r="A14351" s="2" t="s">
        <v>3270</v>
      </c>
      <c r="B14351" s="2" t="s">
        <v>3224</v>
      </c>
      <c r="C14351" s="2">
        <v>1475.0129999999999</v>
      </c>
      <c r="D14351" s="2">
        <f>HYPERLINK("http://mcb-m6.bioreg.kyushu-u.ac.jp/M3/20110404/F50765/3681/1", 101.17)</f>
        <v>101.17</v>
      </c>
      <c r="E14351" s="2">
        <v>95.68</v>
      </c>
      <c r="F14351" s="2">
        <v>2</v>
      </c>
      <c r="G14351" s="2" t="s">
        <v>9</v>
      </c>
      <c r="I14351" s="2" t="s">
        <v>4982</v>
      </c>
    </row>
    <row r="14352" spans="1:9" x14ac:dyDescent="0.2">
      <c r="A14352" s="2" t="s">
        <v>3270</v>
      </c>
      <c r="B14352" s="2" t="s">
        <v>2047</v>
      </c>
      <c r="C14352" s="2">
        <v>686.31460000000004</v>
      </c>
      <c r="D14352" s="2">
        <f>HYPERLINK("http://mcb-m6.bioreg.kyushu-u.ac.jp/M3/20110404/F50765/1557/1", 104.07)</f>
        <v>104.07</v>
      </c>
      <c r="E14352" s="2">
        <v>74.28</v>
      </c>
      <c r="F14352" s="2">
        <v>2</v>
      </c>
      <c r="G14352" s="2" t="s">
        <v>9</v>
      </c>
    </row>
    <row r="14353" spans="1:9" x14ac:dyDescent="0.2">
      <c r="A14353" s="2" t="s">
        <v>3270</v>
      </c>
      <c r="B14353" s="2" t="s">
        <v>2047</v>
      </c>
      <c r="C14353" s="2">
        <v>686.7817</v>
      </c>
      <c r="D14353" s="2">
        <f>HYPERLINK("http://mcb-m6.bioreg.kyushu-u.ac.jp/M3/20110404/F50767/1412/1", 115.38)</f>
        <v>115.38</v>
      </c>
      <c r="E14353" s="2">
        <v>89.8</v>
      </c>
      <c r="F14353" s="2">
        <v>2</v>
      </c>
      <c r="G14353" s="2" t="s">
        <v>9</v>
      </c>
    </row>
    <row r="14354" spans="1:9" x14ac:dyDescent="0.2">
      <c r="A14354" s="2" t="s">
        <v>3270</v>
      </c>
      <c r="B14354" s="2" t="s">
        <v>2023</v>
      </c>
      <c r="C14354" s="2">
        <v>1105.519</v>
      </c>
      <c r="D14354" s="2">
        <f>HYPERLINK("http://mcb-m6.bioreg.kyushu-u.ac.jp/M3/20110404/F50764/2978/1", 127.23)</f>
        <v>127.23</v>
      </c>
      <c r="E14354" s="2">
        <v>117.95</v>
      </c>
      <c r="F14354" s="2">
        <v>2</v>
      </c>
      <c r="G14354" s="2" t="s">
        <v>9</v>
      </c>
    </row>
    <row r="14355" spans="1:9" x14ac:dyDescent="0.2">
      <c r="A14355" s="2" t="s">
        <v>3270</v>
      </c>
      <c r="B14355" s="2" t="s">
        <v>2286</v>
      </c>
      <c r="C14355" s="2">
        <v>517.79020000000003</v>
      </c>
      <c r="D14355" s="2">
        <f>HYPERLINK("http://mcb-m6.bioreg.kyushu-u.ac.jp/M3/20110404/F50771/2031/1", 35)</f>
        <v>35</v>
      </c>
      <c r="E14355" s="2">
        <v>23.13</v>
      </c>
      <c r="F14355" s="2">
        <v>3</v>
      </c>
      <c r="G14355" s="2" t="s">
        <v>10</v>
      </c>
    </row>
    <row r="14356" spans="1:9" x14ac:dyDescent="0.2">
      <c r="A14356" s="2" t="s">
        <v>3270</v>
      </c>
      <c r="B14356" s="2" t="s">
        <v>2888</v>
      </c>
      <c r="C14356" s="2">
        <v>811.94119999999998</v>
      </c>
      <c r="D14356" s="2">
        <f>HYPERLINK("http://mcb-m6.bioreg.kyushu-u.ac.jp/M3/20110404/F50771/2208/1", 35.04)</f>
        <v>35.04</v>
      </c>
      <c r="E14356" s="2">
        <v>19.27</v>
      </c>
      <c r="F14356" s="2">
        <v>2</v>
      </c>
      <c r="G14356" s="2" t="s">
        <v>10</v>
      </c>
      <c r="H14356" s="2" t="s">
        <v>4977</v>
      </c>
    </row>
    <row r="14357" spans="1:9" x14ac:dyDescent="0.2">
      <c r="A14357" s="2" t="s">
        <v>3270</v>
      </c>
      <c r="B14357" s="2" t="s">
        <v>2445</v>
      </c>
      <c r="C14357" s="2">
        <v>1275.579</v>
      </c>
      <c r="D14357" s="2">
        <f>HYPERLINK("http://mcb-m6.bioreg.kyushu-u.ac.jp/M3/20110404/F50771/1464/1", 35.31)</f>
        <v>35.31</v>
      </c>
      <c r="E14357" s="2">
        <v>22.54</v>
      </c>
      <c r="F14357" s="2">
        <v>1</v>
      </c>
      <c r="G14357" s="2" t="s">
        <v>10</v>
      </c>
      <c r="I14357" s="2" t="s">
        <v>4890</v>
      </c>
    </row>
    <row r="14358" spans="1:9" x14ac:dyDescent="0.2">
      <c r="A14358" s="2" t="s">
        <v>3270</v>
      </c>
      <c r="B14358" s="2" t="s">
        <v>380</v>
      </c>
      <c r="C14358" s="2">
        <v>1058.527</v>
      </c>
      <c r="D14358" s="2">
        <f>HYPERLINK("http://mcb-m6.bioreg.kyushu-u.ac.jp/M3/20110404/F50771/1131/1", 35.4)</f>
        <v>35.4</v>
      </c>
      <c r="E14358" s="2">
        <v>10.29</v>
      </c>
      <c r="F14358" s="2">
        <v>1</v>
      </c>
      <c r="G14358" s="2" t="s">
        <v>10</v>
      </c>
    </row>
    <row r="14359" spans="1:9" x14ac:dyDescent="0.2">
      <c r="A14359" s="2" t="s">
        <v>3270</v>
      </c>
      <c r="B14359" s="2" t="s">
        <v>1925</v>
      </c>
      <c r="C14359" s="2">
        <v>1447.61</v>
      </c>
      <c r="D14359" s="2">
        <f>HYPERLINK("http://mcb-m6.bioreg.kyushu-u.ac.jp/M3/20110404/F50771/1828/1", 35.73)</f>
        <v>35.729999999999997</v>
      </c>
      <c r="E14359" s="2">
        <v>29.85</v>
      </c>
      <c r="F14359" s="2">
        <v>1</v>
      </c>
      <c r="G14359" s="2" t="s">
        <v>10</v>
      </c>
      <c r="I14359" s="2" t="s">
        <v>4898</v>
      </c>
    </row>
    <row r="14360" spans="1:9" x14ac:dyDescent="0.2">
      <c r="A14360" s="2" t="s">
        <v>3270</v>
      </c>
      <c r="B14360" s="2" t="s">
        <v>2047</v>
      </c>
      <c r="C14360" s="2">
        <v>686.75869999999998</v>
      </c>
      <c r="D14360" s="2">
        <f>HYPERLINK("http://mcb-m6.bioreg.kyushu-u.ac.jp/M3/20110404/F50771/1633/1", 35.86)</f>
        <v>35.86</v>
      </c>
      <c r="E14360" s="2">
        <v>17.350000000000001</v>
      </c>
      <c r="F14360" s="2">
        <v>2</v>
      </c>
      <c r="G14360" s="2" t="s">
        <v>10</v>
      </c>
    </row>
    <row r="14361" spans="1:9" x14ac:dyDescent="0.2">
      <c r="A14361" s="2" t="s">
        <v>3270</v>
      </c>
      <c r="B14361" s="2" t="s">
        <v>2237</v>
      </c>
      <c r="C14361" s="2">
        <v>1061.376</v>
      </c>
      <c r="D14361" s="2">
        <f>HYPERLINK("http://mcb-m6.bioreg.kyushu-u.ac.jp/M3/20110404/F50771/1137/1", 36.16)</f>
        <v>36.159999999999997</v>
      </c>
      <c r="E14361" s="2">
        <v>16.899999999999999</v>
      </c>
      <c r="F14361" s="2">
        <v>1</v>
      </c>
      <c r="G14361" s="2" t="s">
        <v>10</v>
      </c>
    </row>
    <row r="14362" spans="1:9" x14ac:dyDescent="0.2">
      <c r="A14362" s="2" t="s">
        <v>3270</v>
      </c>
      <c r="B14362" s="2" t="s">
        <v>1925</v>
      </c>
      <c r="C14362" s="2">
        <v>724.8152</v>
      </c>
      <c r="D14362" s="2">
        <f>HYPERLINK("http://mcb-m6.bioreg.kyushu-u.ac.jp/M3/20110404/F50775/1901/1", 36.27)</f>
        <v>36.270000000000003</v>
      </c>
      <c r="E14362" s="2">
        <v>18.86</v>
      </c>
      <c r="F14362" s="2">
        <v>2</v>
      </c>
      <c r="G14362" s="2" t="s">
        <v>10</v>
      </c>
      <c r="I14362" s="2" t="s">
        <v>4898</v>
      </c>
    </row>
    <row r="14363" spans="1:9" x14ac:dyDescent="0.2">
      <c r="A14363" s="2" t="s">
        <v>3270</v>
      </c>
      <c r="B14363" s="2" t="s">
        <v>2274</v>
      </c>
      <c r="C14363" s="2">
        <v>1420.3409999999999</v>
      </c>
      <c r="D14363" s="2">
        <f>HYPERLINK("http://mcb-m6.bioreg.kyushu-u.ac.jp/M3/20110404/F50771/1753/1", 36.66)</f>
        <v>36.659999999999997</v>
      </c>
      <c r="E14363" s="2">
        <v>10.97</v>
      </c>
      <c r="F14363" s="2">
        <v>1</v>
      </c>
      <c r="G14363" s="2" t="s">
        <v>10</v>
      </c>
      <c r="I14363" s="2" t="s">
        <v>4903</v>
      </c>
    </row>
    <row r="14364" spans="1:9" x14ac:dyDescent="0.2">
      <c r="A14364" s="2" t="s">
        <v>3270</v>
      </c>
      <c r="B14364" s="2" t="s">
        <v>6707</v>
      </c>
      <c r="C14364" s="2">
        <v>544.25419999999997</v>
      </c>
      <c r="D14364" s="2">
        <f>HYPERLINK("http://mcb-m6.bioreg.kyushu-u.ac.jp/M3/20110404/F50771/1181/1", 37.07)</f>
        <v>37.07</v>
      </c>
      <c r="E14364" s="2">
        <v>9.81</v>
      </c>
      <c r="F14364" s="2">
        <v>2</v>
      </c>
      <c r="G14364" s="2" t="s">
        <v>10</v>
      </c>
      <c r="H14364" s="2" t="s">
        <v>4901</v>
      </c>
    </row>
    <row r="14365" spans="1:9" x14ac:dyDescent="0.2">
      <c r="A14365" s="2" t="s">
        <v>3270</v>
      </c>
      <c r="B14365" s="2" t="s">
        <v>2942</v>
      </c>
      <c r="C14365" s="2">
        <v>652.91520000000003</v>
      </c>
      <c r="D14365" s="2">
        <f>HYPERLINK("http://mcb-m6.bioreg.kyushu-u.ac.jp/M3/20110404/F50773/1439/1", 38.71)</f>
        <v>38.71</v>
      </c>
      <c r="E14365" s="2">
        <v>19.670000000000002</v>
      </c>
      <c r="F14365" s="2">
        <v>2</v>
      </c>
      <c r="G14365" s="2" t="s">
        <v>10</v>
      </c>
    </row>
    <row r="14366" spans="1:9" x14ac:dyDescent="0.2">
      <c r="A14366" s="2" t="s">
        <v>3270</v>
      </c>
      <c r="B14366" s="2" t="s">
        <v>2286</v>
      </c>
      <c r="C14366" s="2">
        <v>775.77970000000005</v>
      </c>
      <c r="D14366" s="2">
        <f>HYPERLINK("http://mcb-m6.bioreg.kyushu-u.ac.jp/M3/20110404/F50771/2029/1", 38.91)</f>
        <v>38.909999999999997</v>
      </c>
      <c r="E14366" s="2">
        <v>10.84</v>
      </c>
      <c r="F14366" s="2">
        <v>2</v>
      </c>
      <c r="G14366" s="2" t="s">
        <v>10</v>
      </c>
    </row>
    <row r="14367" spans="1:9" x14ac:dyDescent="0.2">
      <c r="A14367" s="2" t="s">
        <v>3270</v>
      </c>
      <c r="B14367" s="2" t="s">
        <v>2398</v>
      </c>
      <c r="C14367" s="2">
        <v>1052.365</v>
      </c>
      <c r="D14367" s="2">
        <f>HYPERLINK("http://mcb-m6.bioreg.kyushu-u.ac.jp/M3/20110404/F50771/1122/1", 39.36)</f>
        <v>39.36</v>
      </c>
      <c r="E14367" s="2">
        <v>12.86</v>
      </c>
      <c r="F14367" s="2">
        <v>1</v>
      </c>
      <c r="G14367" s="2" t="s">
        <v>10</v>
      </c>
    </row>
    <row r="14368" spans="1:9" x14ac:dyDescent="0.2">
      <c r="A14368" s="2" t="s">
        <v>3270</v>
      </c>
      <c r="B14368" s="2" t="s">
        <v>380</v>
      </c>
      <c r="C14368" s="2">
        <v>529.73609999999996</v>
      </c>
      <c r="D14368" s="2">
        <f>HYPERLINK("http://mcb-m6.bioreg.kyushu-u.ac.jp/M3/20110404/F50773/1060/1", 39.88)</f>
        <v>39.880000000000003</v>
      </c>
      <c r="E14368" s="2">
        <v>11.86</v>
      </c>
      <c r="F14368" s="2">
        <v>2</v>
      </c>
      <c r="G14368" s="2" t="s">
        <v>10</v>
      </c>
    </row>
    <row r="14369" spans="1:9" x14ac:dyDescent="0.2">
      <c r="A14369" s="2" t="s">
        <v>3270</v>
      </c>
      <c r="B14369" s="2" t="s">
        <v>909</v>
      </c>
      <c r="C14369" s="2">
        <v>1208.42</v>
      </c>
      <c r="D14369" s="2">
        <f>HYPERLINK("http://mcb-m6.bioreg.kyushu-u.ac.jp/M3/20110404/F50771/1345/1", 40.26)</f>
        <v>40.26</v>
      </c>
      <c r="E14369" s="2">
        <v>24.85</v>
      </c>
      <c r="F14369" s="2">
        <v>1</v>
      </c>
      <c r="G14369" s="2" t="s">
        <v>10</v>
      </c>
    </row>
    <row r="14370" spans="1:9" x14ac:dyDescent="0.2">
      <c r="A14370" s="2" t="s">
        <v>3270</v>
      </c>
      <c r="B14370" s="2" t="s">
        <v>291</v>
      </c>
      <c r="C14370" s="2">
        <v>1051.8040000000001</v>
      </c>
      <c r="D14370" s="2">
        <f>HYPERLINK("http://mcb-m6.bioreg.kyushu-u.ac.jp/M3/20110404/F50771/1120/1", 41.21)</f>
        <v>41.21</v>
      </c>
      <c r="E14370" s="2">
        <v>21.71</v>
      </c>
      <c r="F14370" s="2">
        <v>1</v>
      </c>
      <c r="G14370" s="2" t="s">
        <v>10</v>
      </c>
    </row>
    <row r="14371" spans="1:9" x14ac:dyDescent="0.2">
      <c r="A14371" s="2" t="s">
        <v>3270</v>
      </c>
      <c r="B14371" s="2" t="s">
        <v>6707</v>
      </c>
      <c r="C14371" s="2">
        <v>535.59270000000004</v>
      </c>
      <c r="D14371" s="2">
        <f>HYPERLINK("http://mcb-m6.bioreg.kyushu-u.ac.jp/M3/20110404/F50771/1153/1", 41.55)</f>
        <v>41.55</v>
      </c>
      <c r="E14371" s="2">
        <v>12.7</v>
      </c>
      <c r="F14371" s="2">
        <v>2</v>
      </c>
      <c r="G14371" s="2" t="s">
        <v>10</v>
      </c>
    </row>
    <row r="14372" spans="1:9" x14ac:dyDescent="0.2">
      <c r="A14372" s="2" t="s">
        <v>3270</v>
      </c>
      <c r="B14372" s="2" t="s">
        <v>2888</v>
      </c>
      <c r="C14372" s="2">
        <v>828.36720000000003</v>
      </c>
      <c r="D14372" s="2">
        <f>HYPERLINK("http://mcb-m6.bioreg.kyushu-u.ac.jp/M3/20110404/F50771/2261/1", 41.73)</f>
        <v>41.73</v>
      </c>
      <c r="E14372" s="2">
        <v>26.77</v>
      </c>
      <c r="F14372" s="2">
        <v>2</v>
      </c>
      <c r="G14372" s="2" t="s">
        <v>10</v>
      </c>
      <c r="H14372" s="2" t="s">
        <v>4964</v>
      </c>
    </row>
    <row r="14373" spans="1:9" x14ac:dyDescent="0.2">
      <c r="A14373" s="2" t="s">
        <v>3270</v>
      </c>
      <c r="B14373" s="2" t="s">
        <v>2023</v>
      </c>
      <c r="C14373" s="2">
        <v>737.02189999999996</v>
      </c>
      <c r="D14373" s="2">
        <f>HYPERLINK("http://mcb-m6.bioreg.kyushu-u.ac.jp/M3/20110404/F50773/3018/1", 41.93)</f>
        <v>41.93</v>
      </c>
      <c r="E14373" s="2">
        <v>33.299999999999997</v>
      </c>
      <c r="F14373" s="2">
        <v>3</v>
      </c>
      <c r="G14373" s="2" t="s">
        <v>10</v>
      </c>
    </row>
    <row r="14374" spans="1:9" x14ac:dyDescent="0.2">
      <c r="A14374" s="2" t="s">
        <v>3270</v>
      </c>
      <c r="B14374" s="2" t="s">
        <v>2415</v>
      </c>
      <c r="C14374" s="2">
        <v>1091.3789999999999</v>
      </c>
      <c r="D14374" s="2">
        <f>HYPERLINK("http://mcb-m6.bioreg.kyushu-u.ac.jp/M3/20110404/F50771/1192/1", 42.35)</f>
        <v>42.35</v>
      </c>
      <c r="E14374" s="2">
        <v>31.37</v>
      </c>
      <c r="F14374" s="2">
        <v>1</v>
      </c>
      <c r="G14374" s="2" t="s">
        <v>10</v>
      </c>
    </row>
    <row r="14375" spans="1:9" x14ac:dyDescent="0.2">
      <c r="A14375" s="2" t="s">
        <v>3270</v>
      </c>
      <c r="B14375" s="2" t="s">
        <v>2888</v>
      </c>
      <c r="C14375" s="2">
        <v>819.35670000000005</v>
      </c>
      <c r="D14375" s="2">
        <f>HYPERLINK("http://mcb-m6.bioreg.kyushu-u.ac.jp/M3/20110404/F50771/2239/1", 44.77)</f>
        <v>44.77</v>
      </c>
      <c r="E14375" s="2">
        <v>24.6</v>
      </c>
      <c r="F14375" s="2">
        <v>2</v>
      </c>
      <c r="G14375" s="2" t="s">
        <v>10</v>
      </c>
      <c r="H14375" s="2" t="s">
        <v>4896</v>
      </c>
    </row>
    <row r="14376" spans="1:9" x14ac:dyDescent="0.2">
      <c r="A14376" s="2" t="s">
        <v>3270</v>
      </c>
      <c r="B14376" s="2" t="s">
        <v>6110</v>
      </c>
      <c r="C14376" s="2">
        <v>1091.357</v>
      </c>
      <c r="D14376" s="2">
        <f>HYPERLINK("http://mcb-m6.bioreg.kyushu-u.ac.jp/M3/20110404/F50771/1191/1", 45)</f>
        <v>45</v>
      </c>
      <c r="E14376" s="2">
        <v>28.79</v>
      </c>
      <c r="F14376" s="2">
        <v>1</v>
      </c>
      <c r="G14376" s="2" t="s">
        <v>10</v>
      </c>
    </row>
    <row r="14377" spans="1:9" x14ac:dyDescent="0.2">
      <c r="A14377" s="2" t="s">
        <v>3270</v>
      </c>
      <c r="B14377" s="2" t="s">
        <v>3039</v>
      </c>
      <c r="C14377" s="2">
        <v>491.81060000000002</v>
      </c>
      <c r="D14377" s="2">
        <f>HYPERLINK("http://mcb-m6.bioreg.kyushu-u.ac.jp/M3/20110404/F50771/1013/1", 45.79)</f>
        <v>45.79</v>
      </c>
      <c r="E14377" s="2">
        <v>19.329999999999998</v>
      </c>
      <c r="F14377" s="2">
        <v>2</v>
      </c>
      <c r="G14377" s="2" t="s">
        <v>10</v>
      </c>
      <c r="I14377" s="2" t="s">
        <v>4892</v>
      </c>
    </row>
    <row r="14378" spans="1:9" x14ac:dyDescent="0.2">
      <c r="A14378" s="2" t="s">
        <v>3270</v>
      </c>
      <c r="B14378" s="2" t="s">
        <v>1299</v>
      </c>
      <c r="C14378" s="2">
        <v>1211.5250000000001</v>
      </c>
      <c r="D14378" s="2">
        <f>HYPERLINK("http://mcb-m6.bioreg.kyushu-u.ac.jp/M3/20110404/F50771/1351/1", 47.17)</f>
        <v>47.17</v>
      </c>
      <c r="E14378" s="2">
        <v>21.5</v>
      </c>
      <c r="F14378" s="2">
        <v>1</v>
      </c>
      <c r="G14378" s="2" t="s">
        <v>10</v>
      </c>
      <c r="I14378" s="2" t="s">
        <v>4890</v>
      </c>
    </row>
    <row r="14379" spans="1:9" x14ac:dyDescent="0.2">
      <c r="A14379" s="2" t="s">
        <v>3270</v>
      </c>
      <c r="B14379" s="2" t="s">
        <v>6829</v>
      </c>
      <c r="C14379" s="2">
        <v>505.69310000000002</v>
      </c>
      <c r="D14379" s="2">
        <f>HYPERLINK("http://mcb-m6.bioreg.kyushu-u.ac.jp/M3/20110404/F50771/1041/1", 47.18)</f>
        <v>47.18</v>
      </c>
      <c r="E14379" s="2">
        <v>23.17</v>
      </c>
      <c r="F14379" s="2">
        <v>2</v>
      </c>
      <c r="G14379" s="2" t="s">
        <v>10</v>
      </c>
    </row>
    <row r="14380" spans="1:9" x14ac:dyDescent="0.2">
      <c r="A14380" s="2" t="s">
        <v>3270</v>
      </c>
      <c r="B14380" s="2" t="s">
        <v>909</v>
      </c>
      <c r="C14380" s="2">
        <v>604.75819999999999</v>
      </c>
      <c r="D14380" s="2">
        <f>HYPERLINK("http://mcb-m6.bioreg.kyushu-u.ac.jp/M3/20110404/F50772/1366/1", 47.41)</f>
        <v>47.41</v>
      </c>
      <c r="E14380" s="2">
        <v>24.76</v>
      </c>
      <c r="F14380" s="2">
        <v>2</v>
      </c>
      <c r="G14380" s="2" t="s">
        <v>10</v>
      </c>
    </row>
    <row r="14381" spans="1:9" x14ac:dyDescent="0.2">
      <c r="A14381" s="2" t="s">
        <v>3270</v>
      </c>
      <c r="B14381" s="2" t="s">
        <v>289</v>
      </c>
      <c r="C14381" s="2">
        <v>809.68870000000004</v>
      </c>
      <c r="D14381" s="2">
        <f>HYPERLINK("http://mcb-m6.bioreg.kyushu-u.ac.jp/M3/20110404/F50771/2197/1", 48.16)</f>
        <v>48.16</v>
      </c>
      <c r="E14381" s="2">
        <v>31.44</v>
      </c>
      <c r="F14381" s="2">
        <v>2</v>
      </c>
      <c r="G14381" s="2" t="s">
        <v>10</v>
      </c>
    </row>
    <row r="14382" spans="1:9" x14ac:dyDescent="0.2">
      <c r="A14382" s="2" t="s">
        <v>3270</v>
      </c>
      <c r="B14382" s="2" t="s">
        <v>6837</v>
      </c>
      <c r="C14382" s="2">
        <v>1051.431</v>
      </c>
      <c r="D14382" s="2">
        <f>HYPERLINK("http://mcb-m6.bioreg.kyushu-u.ac.jp/M3/20110404/F50771/2971/1", 48.47)</f>
        <v>48.47</v>
      </c>
      <c r="E14382" s="2">
        <v>38.6</v>
      </c>
      <c r="F14382" s="2">
        <v>2</v>
      </c>
      <c r="G14382" s="2" t="s">
        <v>10</v>
      </c>
      <c r="I14382" s="2" t="s">
        <v>4923</v>
      </c>
    </row>
    <row r="14383" spans="1:9" x14ac:dyDescent="0.2">
      <c r="A14383" s="2" t="s">
        <v>3270</v>
      </c>
      <c r="B14383" s="2" t="s">
        <v>291</v>
      </c>
      <c r="C14383" s="2">
        <v>526.52509999999995</v>
      </c>
      <c r="D14383" s="2">
        <f>HYPERLINK("http://mcb-m6.bioreg.kyushu-u.ac.jp/M3/20110404/F50771/1121/1", 50.04)</f>
        <v>50.04</v>
      </c>
      <c r="E14383" s="2">
        <v>19.66</v>
      </c>
      <c r="F14383" s="2">
        <v>2</v>
      </c>
      <c r="G14383" s="2" t="s">
        <v>10</v>
      </c>
    </row>
    <row r="14384" spans="1:9" x14ac:dyDescent="0.2">
      <c r="A14384" s="2" t="s">
        <v>3270</v>
      </c>
      <c r="B14384" s="2" t="s">
        <v>6852</v>
      </c>
      <c r="C14384" s="2">
        <v>545.28369999999995</v>
      </c>
      <c r="D14384" s="2">
        <f>HYPERLINK("http://mcb-m6.bioreg.kyushu-u.ac.jp/M3/20110404/F50771/1186/1", 50.1)</f>
        <v>50.1</v>
      </c>
      <c r="E14384" s="2">
        <v>30.01</v>
      </c>
      <c r="F14384" s="2">
        <v>2</v>
      </c>
      <c r="G14384" s="2" t="s">
        <v>10</v>
      </c>
    </row>
    <row r="14385" spans="1:9" x14ac:dyDescent="0.2">
      <c r="A14385" s="2" t="s">
        <v>3270</v>
      </c>
      <c r="B14385" s="2" t="s">
        <v>1925</v>
      </c>
      <c r="C14385" s="2">
        <v>724.32569999999998</v>
      </c>
      <c r="D14385" s="2">
        <f>HYPERLINK("http://mcb-m6.bioreg.kyushu-u.ac.jp/M3/20110404/F50771/1829/1", 51.12)</f>
        <v>51.12</v>
      </c>
      <c r="E14385" s="2">
        <v>33.99</v>
      </c>
      <c r="F14385" s="2">
        <v>2</v>
      </c>
      <c r="G14385" s="2" t="s">
        <v>10</v>
      </c>
      <c r="I14385" s="2" t="s">
        <v>4898</v>
      </c>
    </row>
    <row r="14386" spans="1:9" x14ac:dyDescent="0.2">
      <c r="A14386" s="2" t="s">
        <v>3270</v>
      </c>
      <c r="B14386" s="2" t="s">
        <v>2243</v>
      </c>
      <c r="C14386" s="2">
        <v>490.63709999999998</v>
      </c>
      <c r="D14386" s="2">
        <f>HYPERLINK("http://mcb-m6.bioreg.kyushu-u.ac.jp/M3/20110404/F50771/1005/1", 51.13)</f>
        <v>51.13</v>
      </c>
      <c r="E14386" s="2">
        <v>31.34</v>
      </c>
      <c r="F14386" s="2">
        <v>2</v>
      </c>
      <c r="G14386" s="2" t="s">
        <v>10</v>
      </c>
      <c r="I14386" s="2" t="s">
        <v>4892</v>
      </c>
    </row>
    <row r="14387" spans="1:9" x14ac:dyDescent="0.2">
      <c r="A14387" s="2" t="s">
        <v>3270</v>
      </c>
      <c r="B14387" s="2" t="s">
        <v>2357</v>
      </c>
      <c r="C14387" s="2">
        <v>1331.3109999999999</v>
      </c>
      <c r="D14387" s="2">
        <f>HYPERLINK("http://mcb-m6.bioreg.kyushu-u.ac.jp/M3/20110404/F50771/1547/1", 51.21)</f>
        <v>51.21</v>
      </c>
      <c r="E14387" s="2">
        <v>34.979999999999997</v>
      </c>
      <c r="F14387" s="2">
        <v>1</v>
      </c>
      <c r="G14387" s="2" t="s">
        <v>10</v>
      </c>
      <c r="I14387" s="2" t="s">
        <v>4914</v>
      </c>
    </row>
    <row r="14388" spans="1:9" x14ac:dyDescent="0.2">
      <c r="A14388" s="2" t="s">
        <v>3270</v>
      </c>
      <c r="B14388" s="2" t="s">
        <v>2398</v>
      </c>
      <c r="C14388" s="2">
        <v>526.70870000000002</v>
      </c>
      <c r="D14388" s="2">
        <f>HYPERLINK("http://mcb-m6.bioreg.kyushu-u.ac.jp/M3/20110404/F50771/1123/1", 52.49)</f>
        <v>52.49</v>
      </c>
      <c r="E14388" s="2">
        <v>18.04</v>
      </c>
      <c r="F14388" s="2">
        <v>2</v>
      </c>
      <c r="G14388" s="2" t="s">
        <v>10</v>
      </c>
    </row>
    <row r="14389" spans="1:9" x14ac:dyDescent="0.2">
      <c r="A14389" s="2" t="s">
        <v>3270</v>
      </c>
      <c r="B14389" s="2" t="s">
        <v>6048</v>
      </c>
      <c r="C14389" s="2">
        <v>1218.413</v>
      </c>
      <c r="D14389" s="2">
        <f>HYPERLINK("http://mcb-m6.bioreg.kyushu-u.ac.jp/M3/20110404/F50771/1365/1", 53.75)</f>
        <v>53.75</v>
      </c>
      <c r="E14389" s="2">
        <v>37.479999999999997</v>
      </c>
      <c r="F14389" s="2">
        <v>1</v>
      </c>
      <c r="G14389" s="2" t="s">
        <v>10</v>
      </c>
    </row>
    <row r="14390" spans="1:9" x14ac:dyDescent="0.2">
      <c r="A14390" s="2" t="s">
        <v>3270</v>
      </c>
      <c r="B14390" s="2" t="s">
        <v>6048</v>
      </c>
      <c r="C14390" s="2">
        <v>610.22810000000004</v>
      </c>
      <c r="D14390" s="2">
        <f>HYPERLINK("http://mcb-m6.bioreg.kyushu-u.ac.jp/M3/20110404/F50771/1374/1", 54.44)</f>
        <v>54.44</v>
      </c>
      <c r="E14390" s="2">
        <v>40.14</v>
      </c>
      <c r="F14390" s="2">
        <v>2</v>
      </c>
      <c r="G14390" s="2" t="s">
        <v>10</v>
      </c>
    </row>
    <row r="14391" spans="1:9" x14ac:dyDescent="0.2">
      <c r="A14391" s="2" t="s">
        <v>3270</v>
      </c>
      <c r="B14391" s="2" t="s">
        <v>1925</v>
      </c>
      <c r="C14391" s="2">
        <v>724.42859999999996</v>
      </c>
      <c r="D14391" s="2">
        <f>HYPERLINK("http://mcb-m6.bioreg.kyushu-u.ac.jp/M3/20110404/F50772/1859/1", 54.76)</f>
        <v>54.76</v>
      </c>
      <c r="E14391" s="2">
        <v>27.31</v>
      </c>
      <c r="F14391" s="2">
        <v>2</v>
      </c>
      <c r="G14391" s="2" t="s">
        <v>10</v>
      </c>
      <c r="I14391" s="2" t="s">
        <v>4898</v>
      </c>
    </row>
    <row r="14392" spans="1:9" x14ac:dyDescent="0.2">
      <c r="A14392" s="2" t="s">
        <v>3270</v>
      </c>
      <c r="B14392" s="2" t="s">
        <v>2237</v>
      </c>
      <c r="C14392" s="2">
        <v>531.05870000000004</v>
      </c>
      <c r="D14392" s="2">
        <f>HYPERLINK("http://mcb-m6.bioreg.kyushu-u.ac.jp/M3/20110404/F50771/1135/1", 55.33)</f>
        <v>55.33</v>
      </c>
      <c r="E14392" s="2">
        <v>32.130000000000003</v>
      </c>
      <c r="F14392" s="2">
        <v>2</v>
      </c>
      <c r="G14392" s="2" t="s">
        <v>10</v>
      </c>
    </row>
    <row r="14393" spans="1:9" x14ac:dyDescent="0.2">
      <c r="A14393" s="2" t="s">
        <v>3270</v>
      </c>
      <c r="B14393" s="2" t="s">
        <v>2274</v>
      </c>
      <c r="C14393" s="2">
        <v>711.24270000000001</v>
      </c>
      <c r="D14393" s="2">
        <f>HYPERLINK("http://mcb-m6.bioreg.kyushu-u.ac.jp/M3/20110404/F50770/1807/1", 55.8)</f>
        <v>55.8</v>
      </c>
      <c r="E14393" s="2">
        <v>39.549999999999997</v>
      </c>
      <c r="F14393" s="2">
        <v>2</v>
      </c>
      <c r="G14393" s="2" t="s">
        <v>10</v>
      </c>
      <c r="I14393" s="2" t="s">
        <v>4903</v>
      </c>
    </row>
    <row r="14394" spans="1:9" x14ac:dyDescent="0.2">
      <c r="A14394" s="2" t="s">
        <v>3270</v>
      </c>
      <c r="B14394" s="2" t="s">
        <v>2229</v>
      </c>
      <c r="C14394" s="2">
        <v>457.62459999999999</v>
      </c>
      <c r="D14394" s="2">
        <f>HYPERLINK("http://mcb-m6.bioreg.kyushu-u.ac.jp/M3/20110404/F50771/863/1", 57.51)</f>
        <v>57.51</v>
      </c>
      <c r="E14394" s="2">
        <v>38.56</v>
      </c>
      <c r="F14394" s="2">
        <v>2</v>
      </c>
      <c r="G14394" s="2" t="s">
        <v>10</v>
      </c>
    </row>
    <row r="14395" spans="1:9" x14ac:dyDescent="0.2">
      <c r="A14395" s="2" t="s">
        <v>3270</v>
      </c>
      <c r="B14395" s="2" t="s">
        <v>519</v>
      </c>
      <c r="C14395" s="2">
        <v>853.26459999999997</v>
      </c>
      <c r="D14395" s="2">
        <f>HYPERLINK("http://mcb-m6.bioreg.kyushu-u.ac.jp/M3/20110404/F50770/2273/1", 57.52)</f>
        <v>57.52</v>
      </c>
      <c r="E14395" s="2">
        <v>38.6</v>
      </c>
      <c r="F14395" s="2">
        <v>2</v>
      </c>
      <c r="G14395" s="2" t="s">
        <v>10</v>
      </c>
      <c r="I14395" s="2" t="s">
        <v>4898</v>
      </c>
    </row>
    <row r="14396" spans="1:9" x14ac:dyDescent="0.2">
      <c r="A14396" s="2" t="s">
        <v>3270</v>
      </c>
      <c r="B14396" s="2" t="s">
        <v>2286</v>
      </c>
      <c r="C14396" s="2">
        <v>783.84059999999999</v>
      </c>
      <c r="D14396" s="2">
        <f>HYPERLINK("http://mcb-m6.bioreg.kyushu-u.ac.jp/M3/20110404/F50771/2077/1", 57.9)</f>
        <v>57.9</v>
      </c>
      <c r="E14396" s="2">
        <v>44.21</v>
      </c>
      <c r="F14396" s="2">
        <v>2</v>
      </c>
      <c r="G14396" s="2" t="s">
        <v>10</v>
      </c>
      <c r="H14396" s="2" t="s">
        <v>4915</v>
      </c>
    </row>
    <row r="14397" spans="1:9" x14ac:dyDescent="0.2">
      <c r="A14397" s="2" t="s">
        <v>3270</v>
      </c>
      <c r="B14397" s="2" t="s">
        <v>519</v>
      </c>
      <c r="C14397" s="2">
        <v>853.44820000000004</v>
      </c>
      <c r="D14397" s="2">
        <f>HYPERLINK("http://mcb-m6.bioreg.kyushu-u.ac.jp/M3/20110404/F50773/2252/1", 58.81)</f>
        <v>58.81</v>
      </c>
      <c r="E14397" s="2">
        <v>44.06</v>
      </c>
      <c r="F14397" s="2">
        <v>2</v>
      </c>
      <c r="G14397" s="2" t="s">
        <v>10</v>
      </c>
      <c r="I14397" s="2" t="s">
        <v>4898</v>
      </c>
    </row>
    <row r="14398" spans="1:9" x14ac:dyDescent="0.2">
      <c r="A14398" s="2" t="s">
        <v>3270</v>
      </c>
      <c r="B14398" s="2" t="s">
        <v>6048</v>
      </c>
      <c r="C14398" s="2">
        <v>609.6952</v>
      </c>
      <c r="D14398" s="2">
        <f>HYPERLINK("http://mcb-m6.bioreg.kyushu-u.ac.jp/M3/20110404/F50771/1364/1", 59.14)</f>
        <v>59.14</v>
      </c>
      <c r="E14398" s="2">
        <v>38.81</v>
      </c>
      <c r="F14398" s="2">
        <v>2</v>
      </c>
      <c r="G14398" s="2" t="s">
        <v>10</v>
      </c>
    </row>
    <row r="14399" spans="1:9" x14ac:dyDescent="0.2">
      <c r="A14399" s="2" t="s">
        <v>3270</v>
      </c>
      <c r="B14399" s="2" t="s">
        <v>2445</v>
      </c>
      <c r="C14399" s="2">
        <v>638.13869999999997</v>
      </c>
      <c r="D14399" s="2">
        <f>HYPERLINK("http://mcb-m6.bioreg.kyushu-u.ac.jp/M3/20110404/F50771/1461/1", 59.87)</f>
        <v>59.87</v>
      </c>
      <c r="E14399" s="2">
        <v>39.450000000000003</v>
      </c>
      <c r="F14399" s="2">
        <v>2</v>
      </c>
      <c r="G14399" s="2" t="s">
        <v>10</v>
      </c>
      <c r="I14399" s="2" t="s">
        <v>4890</v>
      </c>
    </row>
    <row r="14400" spans="1:9" x14ac:dyDescent="0.2">
      <c r="A14400" s="2" t="s">
        <v>3270</v>
      </c>
      <c r="B14400" s="2" t="s">
        <v>1299</v>
      </c>
      <c r="C14400" s="2">
        <v>606.42110000000002</v>
      </c>
      <c r="D14400" s="2">
        <f>HYPERLINK("http://mcb-m6.bioreg.kyushu-u.ac.jp/M3/20110404/F50773/1271/1", 60.5)</f>
        <v>60.5</v>
      </c>
      <c r="E14400" s="2">
        <v>43.5</v>
      </c>
      <c r="F14400" s="2">
        <v>2</v>
      </c>
      <c r="G14400" s="2" t="s">
        <v>10</v>
      </c>
      <c r="I14400" s="2" t="s">
        <v>4890</v>
      </c>
    </row>
    <row r="14401" spans="1:9" x14ac:dyDescent="0.2">
      <c r="A14401" s="2" t="s">
        <v>3270</v>
      </c>
      <c r="B14401" s="2" t="s">
        <v>2274</v>
      </c>
      <c r="C14401" s="2">
        <v>710.75019999999995</v>
      </c>
      <c r="D14401" s="2">
        <f>HYPERLINK("http://mcb-m6.bioreg.kyushu-u.ac.jp/M3/20110404/F50775/1818/1", 61.23)</f>
        <v>61.23</v>
      </c>
      <c r="E14401" s="2">
        <v>42.58</v>
      </c>
      <c r="F14401" s="2">
        <v>2</v>
      </c>
      <c r="G14401" s="2" t="s">
        <v>10</v>
      </c>
      <c r="I14401" s="2" t="s">
        <v>4903</v>
      </c>
    </row>
    <row r="14402" spans="1:9" x14ac:dyDescent="0.2">
      <c r="A14402" s="2" t="s">
        <v>3270</v>
      </c>
      <c r="B14402" s="2" t="s">
        <v>2888</v>
      </c>
      <c r="C14402" s="2">
        <v>820.09220000000005</v>
      </c>
      <c r="D14402" s="2">
        <f>HYPERLINK("http://mcb-m6.bioreg.kyushu-u.ac.jp/M3/20110404/F50771/2240/1", 61.94)</f>
        <v>61.94</v>
      </c>
      <c r="E14402" s="2">
        <v>48.33</v>
      </c>
      <c r="F14402" s="2">
        <v>2</v>
      </c>
      <c r="G14402" s="2" t="s">
        <v>10</v>
      </c>
      <c r="H14402" s="2" t="s">
        <v>4896</v>
      </c>
    </row>
    <row r="14403" spans="1:9" x14ac:dyDescent="0.2">
      <c r="A14403" s="2" t="s">
        <v>3270</v>
      </c>
      <c r="B14403" s="2" t="s">
        <v>909</v>
      </c>
      <c r="C14403" s="2">
        <v>605.12570000000005</v>
      </c>
      <c r="D14403" s="2">
        <f>HYPERLINK("http://mcb-m6.bioreg.kyushu-u.ac.jp/M3/20110404/F50771/1347/1", 62)</f>
        <v>62</v>
      </c>
      <c r="E14403" s="2">
        <v>39.71</v>
      </c>
      <c r="F14403" s="2">
        <v>2</v>
      </c>
      <c r="G14403" s="2" t="s">
        <v>10</v>
      </c>
    </row>
    <row r="14404" spans="1:9" x14ac:dyDescent="0.2">
      <c r="A14404" s="2" t="s">
        <v>3270</v>
      </c>
      <c r="B14404" s="2" t="s">
        <v>1925</v>
      </c>
      <c r="C14404" s="2">
        <v>724.97670000000005</v>
      </c>
      <c r="D14404" s="2">
        <f>HYPERLINK("http://mcb-m6.bioreg.kyushu-u.ac.jp/M3/20110404/F50773/1791/1", 62.34)</f>
        <v>62.34</v>
      </c>
      <c r="E14404" s="2">
        <v>46.14</v>
      </c>
      <c r="F14404" s="2">
        <v>2</v>
      </c>
      <c r="G14404" s="2" t="s">
        <v>10</v>
      </c>
      <c r="I14404" s="2" t="s">
        <v>4898</v>
      </c>
    </row>
    <row r="14405" spans="1:9" x14ac:dyDescent="0.2">
      <c r="A14405" s="2" t="s">
        <v>3270</v>
      </c>
      <c r="B14405" s="2" t="s">
        <v>6349</v>
      </c>
      <c r="C14405" s="2">
        <v>1026.4639999999999</v>
      </c>
      <c r="D14405" s="2">
        <f>HYPERLINK("http://mcb-m6.bioreg.kyushu-u.ac.jp/M3/20110404/F50771/2907/1", 62.92)</f>
        <v>62.92</v>
      </c>
      <c r="E14405" s="2">
        <v>55.51</v>
      </c>
      <c r="F14405" s="2">
        <v>2</v>
      </c>
      <c r="G14405" s="2" t="s">
        <v>10</v>
      </c>
    </row>
    <row r="14406" spans="1:9" x14ac:dyDescent="0.2">
      <c r="A14406" s="2" t="s">
        <v>3270</v>
      </c>
      <c r="B14406" s="2" t="s">
        <v>289</v>
      </c>
      <c r="C14406" s="2">
        <v>809.91970000000003</v>
      </c>
      <c r="D14406" s="2">
        <f>HYPERLINK("http://mcb-m6.bioreg.kyushu-u.ac.jp/M3/20110404/F50772/2209/1", 63.29)</f>
        <v>63.29</v>
      </c>
      <c r="E14406" s="2">
        <v>47.35</v>
      </c>
      <c r="F14406" s="2">
        <v>2</v>
      </c>
      <c r="G14406" s="2" t="s">
        <v>10</v>
      </c>
    </row>
    <row r="14407" spans="1:9" x14ac:dyDescent="0.2">
      <c r="A14407" s="2" t="s">
        <v>3270</v>
      </c>
      <c r="B14407" s="2" t="s">
        <v>1925</v>
      </c>
      <c r="C14407" s="2">
        <v>724.41970000000003</v>
      </c>
      <c r="D14407" s="2">
        <f>HYPERLINK("http://mcb-m6.bioreg.kyushu-u.ac.jp/M3/20110404/F50773/1790/1", 63.52)</f>
        <v>63.52</v>
      </c>
      <c r="E14407" s="2">
        <v>45.79</v>
      </c>
      <c r="F14407" s="2">
        <v>2</v>
      </c>
      <c r="G14407" s="2" t="s">
        <v>10</v>
      </c>
      <c r="I14407" s="2" t="s">
        <v>4898</v>
      </c>
    </row>
    <row r="14408" spans="1:9" x14ac:dyDescent="0.2">
      <c r="A14408" s="2" t="s">
        <v>3270</v>
      </c>
      <c r="B14408" s="2" t="s">
        <v>2007</v>
      </c>
      <c r="C14408" s="2">
        <v>889.41819999999996</v>
      </c>
      <c r="D14408" s="2">
        <f>HYPERLINK("http://mcb-m6.bioreg.kyushu-u.ac.jp/M3/20110404/F50771/2468/1", 64.04)</f>
        <v>64.040000000000006</v>
      </c>
      <c r="E14408" s="2">
        <v>54.5</v>
      </c>
      <c r="F14408" s="2">
        <v>2</v>
      </c>
      <c r="G14408" s="2" t="s">
        <v>10</v>
      </c>
    </row>
    <row r="14409" spans="1:9" x14ac:dyDescent="0.2">
      <c r="A14409" s="2" t="s">
        <v>3270</v>
      </c>
      <c r="B14409" s="2" t="s">
        <v>2007</v>
      </c>
      <c r="C14409" s="2">
        <v>889.38710000000003</v>
      </c>
      <c r="D14409" s="2">
        <f>HYPERLINK("http://mcb-m6.bioreg.kyushu-u.ac.jp/M3/20110404/F50773/2373/1", 64.35)</f>
        <v>64.349999999999994</v>
      </c>
      <c r="E14409" s="2">
        <v>54.57</v>
      </c>
      <c r="F14409" s="2">
        <v>2</v>
      </c>
      <c r="G14409" s="2" t="s">
        <v>10</v>
      </c>
    </row>
    <row r="14410" spans="1:9" x14ac:dyDescent="0.2">
      <c r="A14410" s="2" t="s">
        <v>3270</v>
      </c>
      <c r="B14410" s="2" t="s">
        <v>2007</v>
      </c>
      <c r="C14410" s="2">
        <v>888.82370000000003</v>
      </c>
      <c r="D14410" s="2">
        <f>HYPERLINK("http://mcb-m6.bioreg.kyushu-u.ac.jp/M3/20110404/F50773/2371/1", 64.66)</f>
        <v>64.66</v>
      </c>
      <c r="E14410" s="2">
        <v>57.26</v>
      </c>
      <c r="F14410" s="2">
        <v>2</v>
      </c>
      <c r="G14410" s="2" t="s">
        <v>10</v>
      </c>
    </row>
    <row r="14411" spans="1:9" x14ac:dyDescent="0.2">
      <c r="A14411" s="2" t="s">
        <v>3270</v>
      </c>
      <c r="B14411" s="2" t="s">
        <v>519</v>
      </c>
      <c r="C14411" s="2">
        <v>853.3492</v>
      </c>
      <c r="D14411" s="2">
        <f>HYPERLINK("http://mcb-m6.bioreg.kyushu-u.ac.jp/M3/20110404/F50761/2289/1", 64.91)</f>
        <v>64.91</v>
      </c>
      <c r="E14411" s="2">
        <v>47.85</v>
      </c>
      <c r="F14411" s="2">
        <v>2</v>
      </c>
      <c r="G14411" s="2" t="s">
        <v>10</v>
      </c>
      <c r="I14411" s="2" t="s">
        <v>4898</v>
      </c>
    </row>
    <row r="14412" spans="1:9" x14ac:dyDescent="0.2">
      <c r="A14412" s="2" t="s">
        <v>3270</v>
      </c>
      <c r="B14412" s="2" t="s">
        <v>909</v>
      </c>
      <c r="C14412" s="2">
        <v>604.36220000000003</v>
      </c>
      <c r="D14412" s="2">
        <f>HYPERLINK("http://mcb-m6.bioreg.kyushu-u.ac.jp/M3/20110404/F50771/1343/1", 64.96)</f>
        <v>64.959999999999994</v>
      </c>
      <c r="E14412" s="2">
        <v>36.979999999999997</v>
      </c>
      <c r="F14412" s="2">
        <v>2</v>
      </c>
      <c r="G14412" s="2" t="s">
        <v>10</v>
      </c>
    </row>
    <row r="14413" spans="1:9" x14ac:dyDescent="0.2">
      <c r="A14413" s="2" t="s">
        <v>3270</v>
      </c>
      <c r="B14413" s="2" t="s">
        <v>380</v>
      </c>
      <c r="C14413" s="2">
        <v>530.14419999999996</v>
      </c>
      <c r="D14413" s="2">
        <f>HYPERLINK("http://mcb-m6.bioreg.kyushu-u.ac.jp/M3/20110404/F50775/1155/1", 65.82)</f>
        <v>65.819999999999993</v>
      </c>
      <c r="E14413" s="2">
        <v>42.58</v>
      </c>
      <c r="F14413" s="2">
        <v>2</v>
      </c>
      <c r="G14413" s="2" t="s">
        <v>10</v>
      </c>
    </row>
    <row r="14414" spans="1:9" x14ac:dyDescent="0.2">
      <c r="A14414" s="2" t="s">
        <v>3270</v>
      </c>
      <c r="B14414" s="2" t="s">
        <v>2357</v>
      </c>
      <c r="C14414" s="2">
        <v>666.45920000000001</v>
      </c>
      <c r="D14414" s="2">
        <f>HYPERLINK("http://mcb-m6.bioreg.kyushu-u.ac.jp/M3/20110404/F50772/1569/1", 65.94)</f>
        <v>65.94</v>
      </c>
      <c r="E14414" s="2">
        <v>45.04</v>
      </c>
      <c r="F14414" s="2">
        <v>2</v>
      </c>
      <c r="G14414" s="2" t="s">
        <v>10</v>
      </c>
      <c r="I14414" s="2" t="s">
        <v>4914</v>
      </c>
    </row>
    <row r="14415" spans="1:9" x14ac:dyDescent="0.2">
      <c r="A14415" s="2" t="s">
        <v>3270</v>
      </c>
      <c r="B14415" s="2" t="s">
        <v>519</v>
      </c>
      <c r="C14415" s="2">
        <v>853.94820000000004</v>
      </c>
      <c r="D14415" s="2">
        <f>HYPERLINK("http://mcb-m6.bioreg.kyushu-u.ac.jp/M3/20110404/F50775/2354/1", 66.38)</f>
        <v>66.38</v>
      </c>
      <c r="E14415" s="2">
        <v>46.03</v>
      </c>
      <c r="F14415" s="2">
        <v>2</v>
      </c>
      <c r="G14415" s="2" t="s">
        <v>10</v>
      </c>
      <c r="I14415" s="2" t="s">
        <v>4898</v>
      </c>
    </row>
    <row r="14416" spans="1:9" x14ac:dyDescent="0.2">
      <c r="A14416" s="2" t="s">
        <v>3270</v>
      </c>
      <c r="B14416" s="2" t="s">
        <v>289</v>
      </c>
      <c r="C14416" s="2">
        <v>809.87710000000004</v>
      </c>
      <c r="D14416" s="2">
        <f>HYPERLINK("http://mcb-m6.bioreg.kyushu-u.ac.jp/M3/20110404/F50773/2109/1", 67.07)</f>
        <v>67.069999999999993</v>
      </c>
      <c r="E14416" s="2">
        <v>44.52</v>
      </c>
      <c r="F14416" s="2">
        <v>2</v>
      </c>
      <c r="G14416" s="2" t="s">
        <v>10</v>
      </c>
    </row>
    <row r="14417" spans="1:9" x14ac:dyDescent="0.2">
      <c r="A14417" s="2" t="s">
        <v>3270</v>
      </c>
      <c r="B14417" s="2" t="s">
        <v>519</v>
      </c>
      <c r="C14417" s="2">
        <v>853.86569999999995</v>
      </c>
      <c r="D14417" s="2">
        <f>HYPERLINK("http://mcb-m6.bioreg.kyushu-u.ac.jp/M3/20110404/F50770/2274/1", 67.32)</f>
        <v>67.319999999999993</v>
      </c>
      <c r="E14417" s="2">
        <v>50.43</v>
      </c>
      <c r="F14417" s="2">
        <v>2</v>
      </c>
      <c r="G14417" s="2" t="s">
        <v>10</v>
      </c>
      <c r="I14417" s="2" t="s">
        <v>4898</v>
      </c>
    </row>
    <row r="14418" spans="1:9" x14ac:dyDescent="0.2">
      <c r="A14418" s="2" t="s">
        <v>3270</v>
      </c>
      <c r="B14418" s="2" t="s">
        <v>519</v>
      </c>
      <c r="C14418" s="2">
        <v>853.3732</v>
      </c>
      <c r="D14418" s="2">
        <f>HYPERLINK("http://mcb-m6.bioreg.kyushu-u.ac.jp/M3/20110404/F50772/2361/1", 67.52)</f>
        <v>67.52</v>
      </c>
      <c r="E14418" s="2">
        <v>48.36</v>
      </c>
      <c r="F14418" s="2">
        <v>2</v>
      </c>
      <c r="G14418" s="2" t="s">
        <v>10</v>
      </c>
      <c r="I14418" s="2" t="s">
        <v>4898</v>
      </c>
    </row>
    <row r="14419" spans="1:9" x14ac:dyDescent="0.2">
      <c r="A14419" s="2" t="s">
        <v>3270</v>
      </c>
      <c r="B14419" s="2" t="s">
        <v>2274</v>
      </c>
      <c r="C14419" s="2">
        <v>711.37369999999999</v>
      </c>
      <c r="D14419" s="2">
        <f>HYPERLINK("http://mcb-m6.bioreg.kyushu-u.ac.jp/M3/20110404/F50775/1822/1", 67.72)</f>
        <v>67.72</v>
      </c>
      <c r="E14419" s="2">
        <v>56.8</v>
      </c>
      <c r="F14419" s="2">
        <v>2</v>
      </c>
      <c r="G14419" s="2" t="s">
        <v>10</v>
      </c>
      <c r="I14419" s="2" t="s">
        <v>4903</v>
      </c>
    </row>
    <row r="14420" spans="1:9" x14ac:dyDescent="0.2">
      <c r="A14420" s="2" t="s">
        <v>3270</v>
      </c>
      <c r="B14420" s="2" t="s">
        <v>1925</v>
      </c>
      <c r="C14420" s="2">
        <v>724.37570000000005</v>
      </c>
      <c r="D14420" s="2">
        <f>HYPERLINK("http://mcb-m6.bioreg.kyushu-u.ac.jp/M3/20110404/F50768/1843/1", 67.94)</f>
        <v>67.94</v>
      </c>
      <c r="E14420" s="2">
        <v>46.34</v>
      </c>
      <c r="F14420" s="2">
        <v>2</v>
      </c>
      <c r="G14420" s="2" t="s">
        <v>10</v>
      </c>
      <c r="I14420" s="2" t="s">
        <v>4898</v>
      </c>
    </row>
    <row r="14421" spans="1:9" x14ac:dyDescent="0.2">
      <c r="A14421" s="2" t="s">
        <v>3270</v>
      </c>
      <c r="B14421" s="2" t="s">
        <v>909</v>
      </c>
      <c r="C14421" s="2">
        <v>604.66560000000004</v>
      </c>
      <c r="D14421" s="2">
        <f>HYPERLINK("http://mcb-m6.bioreg.kyushu-u.ac.jp/M3/20110404/F50773/1266/1", 68.05)</f>
        <v>68.05</v>
      </c>
      <c r="E14421" s="2">
        <v>34.630000000000003</v>
      </c>
      <c r="F14421" s="2">
        <v>2</v>
      </c>
      <c r="G14421" s="2" t="s">
        <v>10</v>
      </c>
    </row>
    <row r="14422" spans="1:9" x14ac:dyDescent="0.2">
      <c r="A14422" s="2" t="s">
        <v>3270</v>
      </c>
      <c r="B14422" s="2" t="s">
        <v>3198</v>
      </c>
      <c r="C14422" s="2">
        <v>1262.3900000000001</v>
      </c>
      <c r="D14422" s="2">
        <f>HYPERLINK("http://mcb-m6.bioreg.kyushu-u.ac.jp/M3/20110404/F50771/1440/1", 68.18)</f>
        <v>68.180000000000007</v>
      </c>
      <c r="E14422" s="2">
        <v>40.200000000000003</v>
      </c>
      <c r="F14422" s="2">
        <v>1</v>
      </c>
      <c r="G14422" s="2" t="s">
        <v>10</v>
      </c>
    </row>
    <row r="14423" spans="1:9" x14ac:dyDescent="0.2">
      <c r="A14423" s="2" t="s">
        <v>3270</v>
      </c>
      <c r="B14423" s="2" t="s">
        <v>2023</v>
      </c>
      <c r="C14423" s="2">
        <v>1105.654</v>
      </c>
      <c r="D14423" s="2">
        <f>HYPERLINK("http://mcb-m6.bioreg.kyushu-u.ac.jp/M3/20110404/F50773/3020/1", 68.82)</f>
        <v>68.819999999999993</v>
      </c>
      <c r="E14423" s="2">
        <v>61.95</v>
      </c>
      <c r="F14423" s="2">
        <v>2</v>
      </c>
      <c r="G14423" s="2" t="s">
        <v>10</v>
      </c>
    </row>
    <row r="14424" spans="1:9" x14ac:dyDescent="0.2">
      <c r="A14424" s="2" t="s">
        <v>3270</v>
      </c>
      <c r="B14424" s="2" t="s">
        <v>909</v>
      </c>
      <c r="C14424" s="2">
        <v>605.14469999999994</v>
      </c>
      <c r="D14424" s="2">
        <f>HYPERLINK("http://mcb-m6.bioreg.kyushu-u.ac.jp/M3/20110404/F50770/1432/1", 71.59)</f>
        <v>71.59</v>
      </c>
      <c r="E14424" s="2">
        <v>43.95</v>
      </c>
      <c r="F14424" s="2">
        <v>2</v>
      </c>
      <c r="G14424" s="2" t="s">
        <v>10</v>
      </c>
    </row>
    <row r="14425" spans="1:9" x14ac:dyDescent="0.2">
      <c r="A14425" s="2" t="s">
        <v>3270</v>
      </c>
      <c r="B14425" s="2" t="s">
        <v>380</v>
      </c>
      <c r="C14425" s="2">
        <v>529.6481</v>
      </c>
      <c r="D14425" s="2">
        <f>HYPERLINK("http://mcb-m6.bioreg.kyushu-u.ac.jp/M3/20110404/F50771/1130/1", 71.64)</f>
        <v>71.64</v>
      </c>
      <c r="E14425" s="2">
        <v>40.36</v>
      </c>
      <c r="F14425" s="2">
        <v>2</v>
      </c>
      <c r="G14425" s="2" t="s">
        <v>10</v>
      </c>
    </row>
    <row r="14426" spans="1:9" x14ac:dyDescent="0.2">
      <c r="A14426" s="2" t="s">
        <v>3270</v>
      </c>
      <c r="B14426" s="2" t="s">
        <v>6981</v>
      </c>
      <c r="C14426" s="2">
        <v>1037.26</v>
      </c>
      <c r="D14426" s="2">
        <f>HYPERLINK("http://mcb-m6.bioreg.kyushu-u.ac.jp/M3/20110404/F50771/2935/1", 71.74)</f>
        <v>71.739999999999995</v>
      </c>
      <c r="E14426" s="2">
        <v>52.11</v>
      </c>
      <c r="F14426" s="2">
        <v>2</v>
      </c>
      <c r="G14426" s="2" t="s">
        <v>10</v>
      </c>
    </row>
    <row r="14427" spans="1:9" x14ac:dyDescent="0.2">
      <c r="A14427" s="2" t="s">
        <v>3270</v>
      </c>
      <c r="B14427" s="2" t="s">
        <v>1507</v>
      </c>
      <c r="C14427" s="2">
        <v>1033.9739999999999</v>
      </c>
      <c r="D14427" s="2">
        <f>HYPERLINK("http://mcb-m6.bioreg.kyushu-u.ac.jp/M3/20110404/F50772/2967/1", 71.98)</f>
        <v>71.98</v>
      </c>
      <c r="E14427" s="2">
        <v>61.58</v>
      </c>
      <c r="F14427" s="2">
        <v>2</v>
      </c>
      <c r="G14427" s="2" t="s">
        <v>10</v>
      </c>
    </row>
    <row r="14428" spans="1:9" x14ac:dyDescent="0.2">
      <c r="A14428" s="2" t="s">
        <v>3270</v>
      </c>
      <c r="B14428" s="2" t="s">
        <v>6981</v>
      </c>
      <c r="C14428" s="2">
        <v>1036.75</v>
      </c>
      <c r="D14428" s="2">
        <f>HYPERLINK("http://mcb-m6.bioreg.kyushu-u.ac.jp/M3/20110404/F50771/2933/1", 73.17)</f>
        <v>73.17</v>
      </c>
      <c r="E14428" s="2">
        <v>41.13</v>
      </c>
      <c r="F14428" s="2">
        <v>2</v>
      </c>
      <c r="G14428" s="2" t="s">
        <v>10</v>
      </c>
    </row>
    <row r="14429" spans="1:9" x14ac:dyDescent="0.2">
      <c r="A14429" s="2" t="s">
        <v>3270</v>
      </c>
      <c r="B14429" s="2" t="s">
        <v>1299</v>
      </c>
      <c r="C14429" s="2">
        <v>606.38070000000005</v>
      </c>
      <c r="D14429" s="2">
        <f>HYPERLINK("http://mcb-m6.bioreg.kyushu-u.ac.jp/M3/20110404/F50775/1405/1", 74.46)</f>
        <v>74.459999999999994</v>
      </c>
      <c r="E14429" s="2">
        <v>54.22</v>
      </c>
      <c r="F14429" s="2">
        <v>2</v>
      </c>
      <c r="G14429" s="2" t="s">
        <v>10</v>
      </c>
      <c r="I14429" s="2" t="s">
        <v>4890</v>
      </c>
    </row>
    <row r="14430" spans="1:9" x14ac:dyDescent="0.2">
      <c r="A14430" s="2" t="s">
        <v>3270</v>
      </c>
      <c r="B14430" s="2" t="s">
        <v>2020</v>
      </c>
      <c r="C14430" s="2">
        <v>749.21559999999999</v>
      </c>
      <c r="D14430" s="2">
        <f>HYPERLINK("http://mcb-m6.bioreg.kyushu-u.ac.jp/M3/20110404/F50771/1936/1", 75)</f>
        <v>75</v>
      </c>
      <c r="E14430" s="2">
        <v>52</v>
      </c>
      <c r="F14430" s="2">
        <v>2</v>
      </c>
      <c r="G14430" s="2" t="s">
        <v>10</v>
      </c>
    </row>
    <row r="14431" spans="1:9" x14ac:dyDescent="0.2">
      <c r="A14431" s="2" t="s">
        <v>3270</v>
      </c>
      <c r="B14431" s="2" t="s">
        <v>1507</v>
      </c>
      <c r="C14431" s="2">
        <v>1033.998</v>
      </c>
      <c r="D14431" s="2">
        <f>HYPERLINK("http://mcb-m6.bioreg.kyushu-u.ac.jp/M3/20110404/F50771/2929/1", 75.68)</f>
        <v>75.680000000000007</v>
      </c>
      <c r="E14431" s="2">
        <v>63.94</v>
      </c>
      <c r="F14431" s="2">
        <v>2</v>
      </c>
      <c r="G14431" s="2" t="s">
        <v>10</v>
      </c>
    </row>
    <row r="14432" spans="1:9" x14ac:dyDescent="0.2">
      <c r="A14432" s="2" t="s">
        <v>3270</v>
      </c>
      <c r="B14432" s="2" t="s">
        <v>2888</v>
      </c>
      <c r="C14432" s="2">
        <v>803.3442</v>
      </c>
      <c r="D14432" s="2">
        <f>HYPERLINK("http://mcb-m6.bioreg.kyushu-u.ac.jp/M3/20110404/F50771/2166/1", 76.27)</f>
        <v>76.27</v>
      </c>
      <c r="E14432" s="2">
        <v>59.72</v>
      </c>
      <c r="F14432" s="2">
        <v>2</v>
      </c>
      <c r="G14432" s="2" t="s">
        <v>10</v>
      </c>
      <c r="H14432" s="2" t="s">
        <v>4904</v>
      </c>
    </row>
    <row r="14433" spans="1:9" x14ac:dyDescent="0.2">
      <c r="A14433" s="2" t="s">
        <v>3270</v>
      </c>
      <c r="B14433" s="2" t="s">
        <v>2415</v>
      </c>
      <c r="C14433" s="2">
        <v>546.14620000000002</v>
      </c>
      <c r="D14433" s="2">
        <f>HYPERLINK("http://mcb-m6.bioreg.kyushu-u.ac.jp/M3/20110404/F50771/1190/1", 77.08)</f>
        <v>77.08</v>
      </c>
      <c r="E14433" s="2">
        <v>52.14</v>
      </c>
      <c r="F14433" s="2">
        <v>2</v>
      </c>
      <c r="G14433" s="2" t="s">
        <v>10</v>
      </c>
    </row>
    <row r="14434" spans="1:9" x14ac:dyDescent="0.2">
      <c r="A14434" s="2" t="s">
        <v>3270</v>
      </c>
      <c r="B14434" s="2" t="s">
        <v>2888</v>
      </c>
      <c r="C14434" s="2">
        <v>811.22810000000004</v>
      </c>
      <c r="D14434" s="2">
        <f>HYPERLINK("http://mcb-m6.bioreg.kyushu-u.ac.jp/M3/20110404/F50771/2204/1", 79.73)</f>
        <v>79.73</v>
      </c>
      <c r="E14434" s="2">
        <v>68.05</v>
      </c>
      <c r="F14434" s="2">
        <v>2</v>
      </c>
      <c r="G14434" s="2" t="s">
        <v>10</v>
      </c>
      <c r="H14434" s="2" t="s">
        <v>4977</v>
      </c>
    </row>
    <row r="14435" spans="1:9" x14ac:dyDescent="0.2">
      <c r="A14435" s="2" t="s">
        <v>3270</v>
      </c>
      <c r="B14435" s="2" t="s">
        <v>2020</v>
      </c>
      <c r="C14435" s="2">
        <v>749.13919999999996</v>
      </c>
      <c r="D14435" s="2">
        <f>HYPERLINK("http://mcb-m6.bioreg.kyushu-u.ac.jp/M3/20110404/F50773/1867/1", 80.1)</f>
        <v>80.099999999999994</v>
      </c>
      <c r="E14435" s="2">
        <v>55.37</v>
      </c>
      <c r="F14435" s="2">
        <v>2</v>
      </c>
      <c r="G14435" s="2" t="s">
        <v>10</v>
      </c>
    </row>
    <row r="14436" spans="1:9" x14ac:dyDescent="0.2">
      <c r="A14436" s="2" t="s">
        <v>3270</v>
      </c>
      <c r="B14436" s="2" t="s">
        <v>2491</v>
      </c>
      <c r="C14436" s="2">
        <v>873.83370000000002</v>
      </c>
      <c r="D14436" s="2">
        <f>HYPERLINK("http://mcb-m6.bioreg.kyushu-u.ac.jp/M3/20110404/F50771/2417/1", 80.17)</f>
        <v>80.17</v>
      </c>
      <c r="E14436" s="2">
        <v>66.069999999999993</v>
      </c>
      <c r="F14436" s="2">
        <v>2</v>
      </c>
      <c r="G14436" s="2" t="s">
        <v>10</v>
      </c>
    </row>
    <row r="14437" spans="1:9" x14ac:dyDescent="0.2">
      <c r="A14437" s="2" t="s">
        <v>3270</v>
      </c>
      <c r="B14437" s="2" t="s">
        <v>2072</v>
      </c>
      <c r="C14437" s="2">
        <v>559.15170000000001</v>
      </c>
      <c r="D14437" s="2">
        <f>HYPERLINK("http://mcb-m6.bioreg.kyushu-u.ac.jp/M3/20110404/F50771/1217/1", 82.08)</f>
        <v>82.08</v>
      </c>
      <c r="E14437" s="2">
        <v>40.71</v>
      </c>
      <c r="F14437" s="2">
        <v>2</v>
      </c>
      <c r="G14437" s="2" t="s">
        <v>10</v>
      </c>
    </row>
    <row r="14438" spans="1:9" x14ac:dyDescent="0.2">
      <c r="A14438" s="2" t="s">
        <v>3270</v>
      </c>
      <c r="B14438" s="2" t="s">
        <v>2072</v>
      </c>
      <c r="C14438" s="2">
        <v>559.24159999999995</v>
      </c>
      <c r="D14438" s="2">
        <f>HYPERLINK("http://mcb-m6.bioreg.kyushu-u.ac.jp/M3/20110404/F50773/1130/1", 82.11)</f>
        <v>82.11</v>
      </c>
      <c r="E14438" s="2">
        <v>32.76</v>
      </c>
      <c r="F14438" s="2">
        <v>2</v>
      </c>
      <c r="G14438" s="2" t="s">
        <v>10</v>
      </c>
    </row>
    <row r="14439" spans="1:9" x14ac:dyDescent="0.2">
      <c r="A14439" s="2" t="s">
        <v>3270</v>
      </c>
      <c r="B14439" s="2" t="s">
        <v>6146</v>
      </c>
      <c r="C14439" s="2">
        <v>1113.5340000000001</v>
      </c>
      <c r="D14439" s="2">
        <f>HYPERLINK("http://mcb-m6.bioreg.kyushu-u.ac.jp/M3/20110404/F50771/3139/1", 82.21)</f>
        <v>82.21</v>
      </c>
      <c r="E14439" s="2">
        <v>70.34</v>
      </c>
      <c r="F14439" s="2">
        <v>2</v>
      </c>
      <c r="G14439" s="2" t="s">
        <v>10</v>
      </c>
      <c r="I14439" s="2" t="s">
        <v>4966</v>
      </c>
    </row>
    <row r="14440" spans="1:9" x14ac:dyDescent="0.2">
      <c r="A14440" s="2" t="s">
        <v>3270</v>
      </c>
      <c r="B14440" s="2" t="s">
        <v>2274</v>
      </c>
      <c r="C14440" s="2">
        <v>710.69420000000002</v>
      </c>
      <c r="D14440" s="2">
        <f>HYPERLINK("http://mcb-m6.bioreg.kyushu-u.ac.jp/M3/20110404/F50771/1754/1", 82.85)</f>
        <v>82.85</v>
      </c>
      <c r="E14440" s="2">
        <v>59.36</v>
      </c>
      <c r="F14440" s="2">
        <v>2</v>
      </c>
      <c r="G14440" s="2" t="s">
        <v>10</v>
      </c>
      <c r="I14440" s="2" t="s">
        <v>4903</v>
      </c>
    </row>
    <row r="14441" spans="1:9" x14ac:dyDescent="0.2">
      <c r="A14441" s="2" t="s">
        <v>3270</v>
      </c>
      <c r="B14441" s="2" t="s">
        <v>1507</v>
      </c>
      <c r="C14441" s="2">
        <v>1033.492</v>
      </c>
      <c r="D14441" s="2">
        <f>HYPERLINK("http://mcb-m6.bioreg.kyushu-u.ac.jp/M3/20110404/F50773/2871/1", 84.31)</f>
        <v>84.31</v>
      </c>
      <c r="E14441" s="2">
        <v>69.12</v>
      </c>
      <c r="F14441" s="2">
        <v>2</v>
      </c>
      <c r="G14441" s="2" t="s">
        <v>10</v>
      </c>
    </row>
    <row r="14442" spans="1:9" x14ac:dyDescent="0.2">
      <c r="A14442" s="2" t="s">
        <v>3270</v>
      </c>
      <c r="B14442" s="2" t="s">
        <v>2047</v>
      </c>
      <c r="C14442" s="2">
        <v>1371.9590000000001</v>
      </c>
      <c r="D14442" s="2">
        <f>HYPERLINK("http://mcb-m6.bioreg.kyushu-u.ac.jp/M3/20110404/F50771/1630/1", 84.82)</f>
        <v>84.82</v>
      </c>
      <c r="E14442" s="2">
        <v>61.35</v>
      </c>
      <c r="F14442" s="2">
        <v>1</v>
      </c>
      <c r="G14442" s="2" t="s">
        <v>10</v>
      </c>
    </row>
    <row r="14443" spans="1:9" x14ac:dyDescent="0.2">
      <c r="A14443" s="2" t="s">
        <v>3270</v>
      </c>
      <c r="B14443" s="2" t="s">
        <v>2499</v>
      </c>
      <c r="C14443" s="2">
        <v>1656.5709999999999</v>
      </c>
      <c r="D14443" s="2">
        <f>HYPERLINK("http://mcb-m6.bioreg.kyushu-u.ac.jp/M3/20110404/F50771/2263/1", 87.89)</f>
        <v>87.89</v>
      </c>
      <c r="E14443" s="2">
        <v>75.66</v>
      </c>
      <c r="F14443" s="2">
        <v>1</v>
      </c>
      <c r="G14443" s="2" t="s">
        <v>10</v>
      </c>
    </row>
    <row r="14444" spans="1:9" x14ac:dyDescent="0.2">
      <c r="A14444" s="2" t="s">
        <v>3270</v>
      </c>
      <c r="B14444" s="2" t="s">
        <v>1507</v>
      </c>
      <c r="C14444" s="2">
        <v>1033.4369999999999</v>
      </c>
      <c r="D14444" s="2">
        <f>HYPERLINK("http://mcb-m6.bioreg.kyushu-u.ac.jp/M3/20110404/F50771/2928/1", 87.99)</f>
        <v>87.99</v>
      </c>
      <c r="E14444" s="2">
        <v>79.37</v>
      </c>
      <c r="F14444" s="2">
        <v>2</v>
      </c>
      <c r="G14444" s="2" t="s">
        <v>10</v>
      </c>
    </row>
    <row r="14445" spans="1:9" x14ac:dyDescent="0.2">
      <c r="A14445" s="2" t="s">
        <v>3270</v>
      </c>
      <c r="B14445" s="2" t="s">
        <v>6349</v>
      </c>
      <c r="C14445" s="2">
        <v>1025.9169999999999</v>
      </c>
      <c r="D14445" s="2">
        <f>HYPERLINK("http://mcb-m6.bioreg.kyushu-u.ac.jp/M3/20110404/F50771/2905/1", 89.91)</f>
        <v>89.91</v>
      </c>
      <c r="E14445" s="2">
        <v>72.95</v>
      </c>
      <c r="F14445" s="2">
        <v>2</v>
      </c>
      <c r="G14445" s="2" t="s">
        <v>10</v>
      </c>
    </row>
    <row r="14446" spans="1:9" x14ac:dyDescent="0.2">
      <c r="A14446" s="2" t="s">
        <v>3270</v>
      </c>
      <c r="B14446" s="2" t="s">
        <v>2023</v>
      </c>
      <c r="C14446" s="2">
        <v>1105.386</v>
      </c>
      <c r="D14446" s="2">
        <f>HYPERLINK("http://mcb-m6.bioreg.kyushu-u.ac.jp/M3/20110404/F50771/3104/1", 91.39)</f>
        <v>91.39</v>
      </c>
      <c r="E14446" s="2">
        <v>76.45</v>
      </c>
      <c r="F14446" s="2">
        <v>2</v>
      </c>
      <c r="G14446" s="2" t="s">
        <v>10</v>
      </c>
    </row>
    <row r="14447" spans="1:9" x14ac:dyDescent="0.2">
      <c r="A14447" s="2" t="s">
        <v>3270</v>
      </c>
      <c r="B14447" s="2" t="s">
        <v>2047</v>
      </c>
      <c r="C14447" s="2">
        <v>686.51319999999998</v>
      </c>
      <c r="D14447" s="2">
        <f>HYPERLINK("http://mcb-m6.bioreg.kyushu-u.ac.jp/M3/20110404/F50772/1648/1", 91.39)</f>
        <v>91.39</v>
      </c>
      <c r="E14447" s="2">
        <v>61.59</v>
      </c>
      <c r="F14447" s="2">
        <v>2</v>
      </c>
      <c r="G14447" s="2" t="s">
        <v>10</v>
      </c>
    </row>
    <row r="14448" spans="1:9" x14ac:dyDescent="0.2">
      <c r="A14448" s="2" t="s">
        <v>3270</v>
      </c>
      <c r="B14448" s="2" t="s">
        <v>1208</v>
      </c>
      <c r="C14448" s="2">
        <v>909.34010000000001</v>
      </c>
      <c r="D14448" s="2">
        <f>HYPERLINK("http://mcb-m6.bioreg.kyushu-u.ac.jp/M3/20110404/F50773/2455/1", 92.25)</f>
        <v>92.25</v>
      </c>
      <c r="E14448" s="2">
        <v>82.27</v>
      </c>
      <c r="F14448" s="2">
        <v>2</v>
      </c>
      <c r="G14448" s="2" t="s">
        <v>10</v>
      </c>
    </row>
    <row r="14449" spans="1:9" x14ac:dyDescent="0.2">
      <c r="A14449" s="2" t="s">
        <v>3270</v>
      </c>
      <c r="B14449" s="2" t="s">
        <v>6146</v>
      </c>
      <c r="C14449" s="2">
        <v>1113.0219999999999</v>
      </c>
      <c r="D14449" s="2">
        <f>HYPERLINK("http://mcb-m6.bioreg.kyushu-u.ac.jp/M3/20110404/F50771/3137/1", 93.13)</f>
        <v>93.13</v>
      </c>
      <c r="E14449" s="2">
        <v>81.33</v>
      </c>
      <c r="F14449" s="2">
        <v>2</v>
      </c>
      <c r="G14449" s="2" t="s">
        <v>10</v>
      </c>
      <c r="I14449" s="2" t="s">
        <v>4966</v>
      </c>
    </row>
    <row r="14450" spans="1:9" x14ac:dyDescent="0.2">
      <c r="A14450" s="2" t="s">
        <v>3270</v>
      </c>
      <c r="B14450" s="2" t="s">
        <v>1208</v>
      </c>
      <c r="C14450" s="2">
        <v>917.28219999999999</v>
      </c>
      <c r="D14450" s="2">
        <f>HYPERLINK("http://mcb-m6.bioreg.kyushu-u.ac.jp/M3/20110404/F50771/2582/1", 98.08)</f>
        <v>98.08</v>
      </c>
      <c r="E14450" s="2">
        <v>81.13</v>
      </c>
      <c r="F14450" s="2">
        <v>2</v>
      </c>
      <c r="G14450" s="2" t="s">
        <v>10</v>
      </c>
      <c r="H14450" s="2" t="s">
        <v>4900</v>
      </c>
    </row>
    <row r="14451" spans="1:9" x14ac:dyDescent="0.2">
      <c r="A14451" s="2" t="s">
        <v>3270</v>
      </c>
      <c r="B14451" s="2" t="s">
        <v>1208</v>
      </c>
      <c r="C14451" s="2">
        <v>909.51760000000002</v>
      </c>
      <c r="D14451" s="2">
        <f>HYPERLINK("http://mcb-m6.bioreg.kyushu-u.ac.jp/M3/20110404/F50782/2600/1", 100.22)</f>
        <v>100.22</v>
      </c>
      <c r="E14451" s="2">
        <v>68.78</v>
      </c>
      <c r="F14451" s="2">
        <v>2</v>
      </c>
      <c r="G14451" s="2" t="s">
        <v>10</v>
      </c>
    </row>
    <row r="14452" spans="1:9" x14ac:dyDescent="0.2">
      <c r="A14452" s="2" t="s">
        <v>3270</v>
      </c>
      <c r="B14452" s="2" t="s">
        <v>2499</v>
      </c>
      <c r="C14452" s="2">
        <v>828.93269999999995</v>
      </c>
      <c r="D14452" s="2">
        <f>HYPERLINK("http://mcb-m6.bioreg.kyushu-u.ac.jp/M3/20110404/F50772/2275/1", 100.28)</f>
        <v>100.28</v>
      </c>
      <c r="E14452" s="2">
        <v>89.94</v>
      </c>
      <c r="F14452" s="2">
        <v>2</v>
      </c>
      <c r="G14452" s="2" t="s">
        <v>10</v>
      </c>
    </row>
    <row r="14453" spans="1:9" x14ac:dyDescent="0.2">
      <c r="A14453" s="2" t="s">
        <v>3270</v>
      </c>
      <c r="B14453" s="2" t="s">
        <v>2047</v>
      </c>
      <c r="C14453" s="2">
        <v>686.78970000000004</v>
      </c>
      <c r="D14453" s="2">
        <f>HYPERLINK("http://mcb-m6.bioreg.kyushu-u.ac.jp/M3/20110404/F50770/1707/1", 102.91)</f>
        <v>102.91</v>
      </c>
      <c r="E14453" s="2">
        <v>75.73</v>
      </c>
      <c r="F14453" s="2">
        <v>2</v>
      </c>
      <c r="G14453" s="2" t="s">
        <v>10</v>
      </c>
    </row>
    <row r="14454" spans="1:9" x14ac:dyDescent="0.2">
      <c r="A14454" s="2" t="s">
        <v>3270</v>
      </c>
      <c r="B14454" s="2" t="s">
        <v>3224</v>
      </c>
      <c r="C14454" s="2">
        <v>1475.1320000000001</v>
      </c>
      <c r="D14454" s="2">
        <f>HYPERLINK("http://mcb-m6.bioreg.kyushu-u.ac.jp/M3/20110404/F50771/3663/1", 104.4)</f>
        <v>104.4</v>
      </c>
      <c r="E14454" s="2">
        <v>96.83</v>
      </c>
      <c r="F14454" s="2">
        <v>2</v>
      </c>
      <c r="G14454" s="2" t="s">
        <v>10</v>
      </c>
      <c r="I14454" s="2" t="s">
        <v>4982</v>
      </c>
    </row>
    <row r="14455" spans="1:9" x14ac:dyDescent="0.2">
      <c r="A14455" s="2" t="s">
        <v>3270</v>
      </c>
      <c r="B14455" s="2" t="s">
        <v>2499</v>
      </c>
      <c r="C14455" s="2">
        <v>829.4357</v>
      </c>
      <c r="D14455" s="2">
        <f>HYPERLINK("http://mcb-m6.bioreg.kyushu-u.ac.jp/M3/20110404/F50772/2276/1", 108.93)</f>
        <v>108.93</v>
      </c>
      <c r="E14455" s="2">
        <v>99.33</v>
      </c>
      <c r="F14455" s="2">
        <v>2</v>
      </c>
      <c r="G14455" s="2" t="s">
        <v>10</v>
      </c>
    </row>
    <row r="14456" spans="1:9" x14ac:dyDescent="0.2">
      <c r="A14456" s="2" t="s">
        <v>3270</v>
      </c>
      <c r="B14456" s="2" t="s">
        <v>2047</v>
      </c>
      <c r="C14456" s="2">
        <v>686.22519999999997</v>
      </c>
      <c r="D14456" s="2">
        <f>HYPERLINK("http://mcb-m6.bioreg.kyushu-u.ac.jp/M3/20110404/F50771/1627/1", 113.05)</f>
        <v>113.05</v>
      </c>
      <c r="E14456" s="2">
        <v>85.84</v>
      </c>
      <c r="F14456" s="2">
        <v>2</v>
      </c>
      <c r="G14456" s="2" t="s">
        <v>10</v>
      </c>
    </row>
    <row r="14457" spans="1:9" x14ac:dyDescent="0.2">
      <c r="A14457" s="2" t="s">
        <v>3270</v>
      </c>
      <c r="B14457" s="2" t="s">
        <v>1711</v>
      </c>
      <c r="C14457" s="2">
        <v>886.37369999999999</v>
      </c>
      <c r="D14457" s="2">
        <f>HYPERLINK("http://mcb-m6.bioreg.kyushu-u.ac.jp/M3/20110404/F50771/2454/1", 120.22)</f>
        <v>120.22</v>
      </c>
      <c r="E14457" s="2">
        <v>102.94</v>
      </c>
      <c r="F14457" s="2">
        <v>2</v>
      </c>
      <c r="G14457" s="2" t="s">
        <v>10</v>
      </c>
    </row>
    <row r="14458" spans="1:9" x14ac:dyDescent="0.2">
      <c r="A14458" s="2" t="s">
        <v>3270</v>
      </c>
      <c r="B14458" s="2" t="s">
        <v>2023</v>
      </c>
      <c r="C14458" s="2">
        <v>1104.8620000000001</v>
      </c>
      <c r="D14458" s="2">
        <f>HYPERLINK("http://mcb-m6.bioreg.kyushu-u.ac.jp/M3/20110404/F50771/3103/1", 134.72)</f>
        <v>134.72</v>
      </c>
      <c r="E14458" s="2">
        <v>113.16</v>
      </c>
      <c r="F14458" s="2">
        <v>2</v>
      </c>
      <c r="G14458" s="2" t="s">
        <v>10</v>
      </c>
    </row>
    <row r="14459" spans="1:9" x14ac:dyDescent="0.2">
      <c r="A14459" s="2" t="s">
        <v>3270</v>
      </c>
      <c r="B14459" s="2" t="s">
        <v>2499</v>
      </c>
      <c r="C14459" s="2">
        <v>828.79420000000005</v>
      </c>
      <c r="D14459" s="2">
        <f>HYPERLINK("http://mcb-m6.bioreg.kyushu-u.ac.jp/M3/20110404/F50771/2264/1", 144.95)</f>
        <v>144.94999999999999</v>
      </c>
      <c r="E14459" s="2">
        <v>133.78</v>
      </c>
      <c r="F14459" s="2">
        <v>2</v>
      </c>
      <c r="G14459" s="2" t="s">
        <v>10</v>
      </c>
    </row>
    <row r="14460" spans="1:9" x14ac:dyDescent="0.2">
      <c r="A14460" s="2" t="s">
        <v>3270</v>
      </c>
      <c r="B14460" s="2" t="s">
        <v>3198</v>
      </c>
      <c r="C14460" s="2">
        <v>631.60270000000003</v>
      </c>
      <c r="D14460" s="2">
        <f>HYPERLINK("http://mcb-m6.bioreg.kyushu-u.ac.jp/M3/20110421/F51042/1261/1", 48.81)</f>
        <v>48.81</v>
      </c>
      <c r="E14460" s="2">
        <v>27.87</v>
      </c>
      <c r="F14460" s="2">
        <v>2</v>
      </c>
      <c r="G14460" s="2" t="s">
        <v>11</v>
      </c>
    </row>
    <row r="14461" spans="1:9" x14ac:dyDescent="0.2">
      <c r="A14461" s="2" t="s">
        <v>3270</v>
      </c>
      <c r="B14461" s="2" t="s">
        <v>519</v>
      </c>
      <c r="C14461" s="2">
        <v>853.8682</v>
      </c>
      <c r="D14461" s="2">
        <f>HYPERLINK("http://mcb-m6.bioreg.kyushu-u.ac.jp/M3/20110421/F51042/2609/1", 50.51)</f>
        <v>50.51</v>
      </c>
      <c r="E14461" s="2">
        <v>38.19</v>
      </c>
      <c r="F14461" s="2">
        <v>2</v>
      </c>
      <c r="G14461" s="2" t="s">
        <v>11</v>
      </c>
      <c r="I14461" s="2" t="s">
        <v>4898</v>
      </c>
    </row>
    <row r="14462" spans="1:9" x14ac:dyDescent="0.2">
      <c r="A14462" s="2" t="s">
        <v>3270</v>
      </c>
      <c r="B14462" s="2" t="s">
        <v>2243</v>
      </c>
      <c r="C14462" s="2">
        <v>490.75310000000002</v>
      </c>
      <c r="D14462" s="2">
        <f>HYPERLINK("http://mcb-m6.bioreg.kyushu-u.ac.jp/M3/20110421/F51042/621/1", 50.57)</f>
        <v>50.57</v>
      </c>
      <c r="E14462" s="2">
        <v>22.68</v>
      </c>
      <c r="F14462" s="2">
        <v>2</v>
      </c>
      <c r="G14462" s="2" t="s">
        <v>11</v>
      </c>
      <c r="I14462" s="2" t="s">
        <v>4892</v>
      </c>
    </row>
    <row r="14463" spans="1:9" x14ac:dyDescent="0.2">
      <c r="A14463" s="2" t="s">
        <v>3270</v>
      </c>
      <c r="B14463" s="2" t="s">
        <v>2072</v>
      </c>
      <c r="C14463" s="2">
        <v>559.19119999999998</v>
      </c>
      <c r="D14463" s="2">
        <f>HYPERLINK("http://mcb-m6.bioreg.kyushu-u.ac.jp/M3/20110421/F51042/926/1", 52.42)</f>
        <v>52.42</v>
      </c>
      <c r="E14463" s="2">
        <v>20.32</v>
      </c>
      <c r="F14463" s="2">
        <v>2</v>
      </c>
      <c r="G14463" s="2" t="s">
        <v>11</v>
      </c>
    </row>
    <row r="14464" spans="1:9" x14ac:dyDescent="0.2">
      <c r="A14464" s="2" t="s">
        <v>3270</v>
      </c>
      <c r="B14464" s="2" t="s">
        <v>289</v>
      </c>
      <c r="C14464" s="2">
        <v>809.56320000000005</v>
      </c>
      <c r="D14464" s="2">
        <f>HYPERLINK("http://mcb-m6.bioreg.kyushu-u.ac.jp/M3/20110421/F51042/2332/1", 55.89)</f>
        <v>55.89</v>
      </c>
      <c r="E14464" s="2">
        <v>38.24</v>
      </c>
      <c r="F14464" s="2">
        <v>2</v>
      </c>
      <c r="G14464" s="2" t="s">
        <v>11</v>
      </c>
    </row>
    <row r="14465" spans="1:9" x14ac:dyDescent="0.2">
      <c r="A14465" s="2" t="s">
        <v>3270</v>
      </c>
      <c r="B14465" s="2" t="s">
        <v>1925</v>
      </c>
      <c r="C14465" s="2">
        <v>724.77070000000003</v>
      </c>
      <c r="D14465" s="2">
        <f>HYPERLINK("http://mcb-m6.bioreg.kyushu-u.ac.jp/M3/20110421/F51034/1961/1", 59.51)</f>
        <v>59.51</v>
      </c>
      <c r="E14465" s="2">
        <v>40.11</v>
      </c>
      <c r="F14465" s="2">
        <v>2</v>
      </c>
      <c r="G14465" s="2" t="s">
        <v>11</v>
      </c>
      <c r="I14465" s="2" t="s">
        <v>4898</v>
      </c>
    </row>
    <row r="14466" spans="1:9" x14ac:dyDescent="0.2">
      <c r="A14466" s="2" t="s">
        <v>3270</v>
      </c>
      <c r="B14466" s="2" t="s">
        <v>2007</v>
      </c>
      <c r="C14466" s="2">
        <v>888.87019999999995</v>
      </c>
      <c r="D14466" s="2">
        <f>HYPERLINK("http://mcb-m6.bioreg.kyushu-u.ac.jp/M3/20110421/F51042/2785/1", 70.68)</f>
        <v>70.680000000000007</v>
      </c>
      <c r="E14466" s="2">
        <v>56.47</v>
      </c>
      <c r="F14466" s="2">
        <v>2</v>
      </c>
      <c r="G14466" s="2" t="s">
        <v>11</v>
      </c>
    </row>
    <row r="14467" spans="1:9" x14ac:dyDescent="0.2">
      <c r="A14467" s="2" t="s">
        <v>3270</v>
      </c>
      <c r="B14467" s="2" t="s">
        <v>1208</v>
      </c>
      <c r="C14467" s="2">
        <v>909.8492</v>
      </c>
      <c r="D14467" s="2">
        <f>HYPERLINK("http://mcb-m6.bioreg.kyushu-u.ac.jp/M3/20110421/F51042/2892/1", 75.14)</f>
        <v>75.14</v>
      </c>
      <c r="E14467" s="2">
        <v>54.14</v>
      </c>
      <c r="F14467" s="2">
        <v>2</v>
      </c>
      <c r="G14467" s="2" t="s">
        <v>11</v>
      </c>
    </row>
    <row r="14468" spans="1:9" x14ac:dyDescent="0.2">
      <c r="A14468" s="2" t="s">
        <v>3270</v>
      </c>
      <c r="B14468" s="2" t="s">
        <v>2023</v>
      </c>
      <c r="C14468" s="2">
        <v>737.36879999999996</v>
      </c>
      <c r="D14468" s="2">
        <f>HYPERLINK("http://mcb-m6.bioreg.kyushu-u.ac.jp/M3/20110421/F51047/3279/1", 39.71)</f>
        <v>39.71</v>
      </c>
      <c r="E14468" s="2">
        <v>29.4</v>
      </c>
      <c r="F14468" s="2">
        <v>3</v>
      </c>
      <c r="G14468" s="2" t="s">
        <v>12</v>
      </c>
    </row>
    <row r="14469" spans="1:9" x14ac:dyDescent="0.2">
      <c r="A14469" s="2" t="s">
        <v>3270</v>
      </c>
      <c r="B14469" s="2" t="s">
        <v>2007</v>
      </c>
      <c r="C14469" s="2">
        <v>889.36469999999997</v>
      </c>
      <c r="D14469" s="2">
        <f>HYPERLINK("http://mcb-m6.bioreg.kyushu-u.ac.jp/M3/20110421/F51025/2513/1", 60.39)</f>
        <v>60.39</v>
      </c>
      <c r="E14469" s="2">
        <v>51.29</v>
      </c>
      <c r="F14469" s="2">
        <v>2</v>
      </c>
      <c r="G14469" s="2" t="s">
        <v>12</v>
      </c>
    </row>
    <row r="14470" spans="1:9" x14ac:dyDescent="0.2">
      <c r="A14470" s="2" t="s">
        <v>3270</v>
      </c>
      <c r="B14470" s="2" t="s">
        <v>2888</v>
      </c>
      <c r="C14470" s="2">
        <v>803.36609999999996</v>
      </c>
      <c r="D14470" s="2">
        <f>HYPERLINK("http://mcb-m6.bioreg.kyushu-u.ac.jp/M3/20110421/F51025/2227/1", 60.92)</f>
        <v>60.92</v>
      </c>
      <c r="E14470" s="2">
        <v>45.64</v>
      </c>
      <c r="F14470" s="2">
        <v>2</v>
      </c>
      <c r="G14470" s="2" t="s">
        <v>12</v>
      </c>
      <c r="H14470" s="2" t="s">
        <v>4904</v>
      </c>
    </row>
    <row r="14471" spans="1:9" x14ac:dyDescent="0.2">
      <c r="A14471" s="2" t="s">
        <v>3270</v>
      </c>
      <c r="B14471" s="2" t="s">
        <v>909</v>
      </c>
      <c r="C14471" s="2">
        <v>605.32669999999996</v>
      </c>
      <c r="D14471" s="2">
        <f>HYPERLINK("http://mcb-m6.bioreg.kyushu-u.ac.jp/M3/20110421/F51050/1558/1", 63.74)</f>
        <v>63.74</v>
      </c>
      <c r="E14471" s="2">
        <v>41.06</v>
      </c>
      <c r="F14471" s="2">
        <v>2</v>
      </c>
      <c r="G14471" s="2" t="s">
        <v>12</v>
      </c>
    </row>
    <row r="14472" spans="1:9" x14ac:dyDescent="0.2">
      <c r="A14472" s="2" t="s">
        <v>3270</v>
      </c>
      <c r="B14472" s="2" t="s">
        <v>289</v>
      </c>
      <c r="C14472" s="2">
        <v>810.04719999999998</v>
      </c>
      <c r="D14472" s="2">
        <f>HYPERLINK("http://mcb-m6.bioreg.kyushu-u.ac.jp/M3/20110421/F51025/2253/1", 67.86)</f>
        <v>67.86</v>
      </c>
      <c r="E14472" s="2">
        <v>52.93</v>
      </c>
      <c r="F14472" s="2">
        <v>2</v>
      </c>
      <c r="G14472" s="2" t="s">
        <v>12</v>
      </c>
    </row>
    <row r="14473" spans="1:9" x14ac:dyDescent="0.2">
      <c r="A14473" s="2" t="s">
        <v>3270</v>
      </c>
      <c r="B14473" s="2" t="s">
        <v>289</v>
      </c>
      <c r="C14473" s="2">
        <v>809.51760000000002</v>
      </c>
      <c r="D14473" s="2">
        <f>HYPERLINK("http://mcb-m6.bioreg.kyushu-u.ac.jp/M3/20110421/F51050/2412/1", 83.27)</f>
        <v>83.27</v>
      </c>
      <c r="E14473" s="2">
        <v>65.13</v>
      </c>
      <c r="F14473" s="2">
        <v>2</v>
      </c>
      <c r="G14473" s="2" t="s">
        <v>12</v>
      </c>
    </row>
    <row r="14474" spans="1:9" x14ac:dyDescent="0.2">
      <c r="A14474" s="2" t="s">
        <v>3270</v>
      </c>
      <c r="B14474" s="2" t="s">
        <v>2047</v>
      </c>
      <c r="C14474" s="2">
        <v>686.38419999999996</v>
      </c>
      <c r="D14474" s="2">
        <f>HYPERLINK("http://mcb-m6.bioreg.kyushu-u.ac.jp/M3/20110421/F51050/1864/1", 89.98)</f>
        <v>89.98</v>
      </c>
      <c r="E14474" s="2">
        <v>72.400000000000006</v>
      </c>
      <c r="F14474" s="2">
        <v>2</v>
      </c>
      <c r="G14474" s="2" t="s">
        <v>12</v>
      </c>
    </row>
    <row r="14475" spans="1:9" x14ac:dyDescent="0.2">
      <c r="A14475" s="2" t="s">
        <v>3270</v>
      </c>
      <c r="B14475" s="2" t="s">
        <v>2007</v>
      </c>
      <c r="C14475" s="2">
        <v>888.82759999999996</v>
      </c>
      <c r="D14475" s="2">
        <f>HYPERLINK("http://mcb-m6.bioreg.kyushu-u.ac.jp/M3/20110421/F51025/2510/1", 93.23)</f>
        <v>93.23</v>
      </c>
      <c r="E14475" s="2">
        <v>81.81</v>
      </c>
      <c r="F14475" s="2">
        <v>2</v>
      </c>
      <c r="G14475" s="2" t="s">
        <v>12</v>
      </c>
    </row>
    <row r="14476" spans="1:9" x14ac:dyDescent="0.2">
      <c r="A14476" s="2" t="s">
        <v>3270</v>
      </c>
      <c r="B14476" s="2" t="s">
        <v>2646</v>
      </c>
      <c r="C14476" s="2">
        <v>483.06959999999998</v>
      </c>
      <c r="D14476" s="2">
        <f>HYPERLINK("http://mcb-m6.bioreg.kyushu-u.ac.jp/M3/20110427/F51114/848/1", 36.72)</f>
        <v>36.72</v>
      </c>
      <c r="E14476" s="2">
        <v>12.56</v>
      </c>
      <c r="F14476" s="2">
        <v>2</v>
      </c>
      <c r="G14476" s="2" t="s">
        <v>13</v>
      </c>
    </row>
    <row r="14477" spans="1:9" x14ac:dyDescent="0.2">
      <c r="A14477" s="2" t="s">
        <v>3270</v>
      </c>
      <c r="B14477" s="2" t="s">
        <v>2229</v>
      </c>
      <c r="C14477" s="2">
        <v>914.30700000000002</v>
      </c>
      <c r="D14477" s="2">
        <f>HYPERLINK("http://mcb-m6.bioreg.kyushu-u.ac.jp/M3/20110427/F51115/899/1", 37.42)</f>
        <v>37.42</v>
      </c>
      <c r="E14477" s="2">
        <v>21.25</v>
      </c>
      <c r="F14477" s="2">
        <v>1</v>
      </c>
      <c r="G14477" s="2" t="s">
        <v>13</v>
      </c>
    </row>
    <row r="14478" spans="1:9" x14ac:dyDescent="0.2">
      <c r="A14478" s="2" t="s">
        <v>3270</v>
      </c>
      <c r="B14478" s="2" t="s">
        <v>7307</v>
      </c>
      <c r="C14478" s="2">
        <v>642.90120000000002</v>
      </c>
      <c r="D14478" s="2">
        <f>HYPERLINK("http://mcb-m6.bioreg.kyushu-u.ac.jp/M3/20110427/F51115/1564/1", 37.69)</f>
        <v>37.69</v>
      </c>
      <c r="E14478" s="2">
        <v>20.010000000000002</v>
      </c>
      <c r="F14478" s="2">
        <v>2</v>
      </c>
      <c r="G14478" s="2" t="s">
        <v>13</v>
      </c>
    </row>
    <row r="14479" spans="1:9" x14ac:dyDescent="0.2">
      <c r="A14479" s="2" t="s">
        <v>3270</v>
      </c>
      <c r="B14479" s="2" t="s">
        <v>2047</v>
      </c>
      <c r="C14479" s="2">
        <v>686.03020000000004</v>
      </c>
      <c r="D14479" s="2">
        <f>HYPERLINK("http://mcb-m6.bioreg.kyushu-u.ac.jp/M3/20110427/F51116/1745/1", 38.39)</f>
        <v>38.39</v>
      </c>
      <c r="E14479" s="2">
        <v>9.0299999999999994</v>
      </c>
      <c r="F14479" s="2">
        <v>2</v>
      </c>
      <c r="G14479" s="2" t="s">
        <v>13</v>
      </c>
    </row>
    <row r="14480" spans="1:9" x14ac:dyDescent="0.2">
      <c r="A14480" s="2" t="s">
        <v>3270</v>
      </c>
      <c r="B14480" s="2" t="s">
        <v>2357</v>
      </c>
      <c r="C14480" s="2">
        <v>666.69709999999998</v>
      </c>
      <c r="D14480" s="2">
        <f>HYPERLINK("http://mcb-m6.bioreg.kyushu-u.ac.jp/M3/20110427/F51117/1610/1", 39.98)</f>
        <v>39.979999999999997</v>
      </c>
      <c r="E14480" s="2">
        <v>20.86</v>
      </c>
      <c r="F14480" s="2">
        <v>2</v>
      </c>
      <c r="G14480" s="2" t="s">
        <v>13</v>
      </c>
      <c r="I14480" s="2" t="s">
        <v>4914</v>
      </c>
    </row>
    <row r="14481" spans="1:9" x14ac:dyDescent="0.2">
      <c r="A14481" s="2" t="s">
        <v>3270</v>
      </c>
      <c r="B14481" s="2" t="s">
        <v>2415</v>
      </c>
      <c r="C14481" s="2">
        <v>1091.327</v>
      </c>
      <c r="D14481" s="2">
        <f>HYPERLINK("http://mcb-m6.bioreg.kyushu-u.ac.jp/M3/20110427/F51115/1244/1", 41.11)</f>
        <v>41.11</v>
      </c>
      <c r="E14481" s="2">
        <v>26.16</v>
      </c>
      <c r="F14481" s="2">
        <v>1</v>
      </c>
      <c r="G14481" s="2" t="s">
        <v>13</v>
      </c>
    </row>
    <row r="14482" spans="1:9" x14ac:dyDescent="0.2">
      <c r="A14482" s="2" t="s">
        <v>3270</v>
      </c>
      <c r="B14482" s="2" t="s">
        <v>2072</v>
      </c>
      <c r="C14482" s="2">
        <v>558.64319999999998</v>
      </c>
      <c r="D14482" s="2">
        <f>HYPERLINK("http://mcb-m6.bioreg.kyushu-u.ac.jp/M3/20110427/F51116/1267/1", 43.27)</f>
        <v>43.27</v>
      </c>
      <c r="E14482" s="2">
        <v>15.49</v>
      </c>
      <c r="F14482" s="2">
        <v>2</v>
      </c>
      <c r="G14482" s="2" t="s">
        <v>13</v>
      </c>
    </row>
    <row r="14483" spans="1:9" x14ac:dyDescent="0.2">
      <c r="A14483" s="2" t="s">
        <v>3270</v>
      </c>
      <c r="B14483" s="2" t="s">
        <v>2023</v>
      </c>
      <c r="C14483" s="2">
        <v>737.2165</v>
      </c>
      <c r="D14483" s="2">
        <f>HYPERLINK("http://mcb-m6.bioreg.kyushu-u.ac.jp/M3/20110427/F51116/3290/1", 44.06)</f>
        <v>44.06</v>
      </c>
      <c r="E14483" s="2">
        <v>33.46</v>
      </c>
      <c r="F14483" s="2">
        <v>3</v>
      </c>
      <c r="G14483" s="2" t="s">
        <v>13</v>
      </c>
    </row>
    <row r="14484" spans="1:9" x14ac:dyDescent="0.2">
      <c r="A14484" s="2" t="s">
        <v>3270</v>
      </c>
      <c r="B14484" s="2" t="s">
        <v>289</v>
      </c>
      <c r="C14484" s="2">
        <v>809.21810000000005</v>
      </c>
      <c r="D14484" s="2">
        <f>HYPERLINK("http://mcb-m6.bioreg.kyushu-u.ac.jp/M3/20110427/F51116/2395/1", 44.53)</f>
        <v>44.53</v>
      </c>
      <c r="E14484" s="2">
        <v>24.81</v>
      </c>
      <c r="F14484" s="2">
        <v>2</v>
      </c>
      <c r="G14484" s="2" t="s">
        <v>13</v>
      </c>
    </row>
    <row r="14485" spans="1:9" x14ac:dyDescent="0.2">
      <c r="A14485" s="2" t="s">
        <v>3270</v>
      </c>
      <c r="B14485" s="2" t="s">
        <v>289</v>
      </c>
      <c r="C14485" s="2">
        <v>809.20370000000003</v>
      </c>
      <c r="D14485" s="2">
        <f>HYPERLINK("http://mcb-m6.bioreg.kyushu-u.ac.jp/M3/20110427/F51115/2301/1", 46.39)</f>
        <v>46.39</v>
      </c>
      <c r="E14485" s="2">
        <v>29.51</v>
      </c>
      <c r="F14485" s="2">
        <v>2</v>
      </c>
      <c r="G14485" s="2" t="s">
        <v>13</v>
      </c>
    </row>
    <row r="14486" spans="1:9" x14ac:dyDescent="0.2">
      <c r="A14486" s="2" t="s">
        <v>3270</v>
      </c>
      <c r="B14486" s="2" t="s">
        <v>909</v>
      </c>
      <c r="C14486" s="2">
        <v>604.6191</v>
      </c>
      <c r="D14486" s="2">
        <f>HYPERLINK("http://mcb-m6.bioreg.kyushu-u.ac.jp/M3/20110427/F51115/1444/1", 48.02)</f>
        <v>48.02</v>
      </c>
      <c r="E14486" s="2">
        <v>23.05</v>
      </c>
      <c r="F14486" s="2">
        <v>2</v>
      </c>
      <c r="G14486" s="2" t="s">
        <v>13</v>
      </c>
    </row>
    <row r="14487" spans="1:9" x14ac:dyDescent="0.2">
      <c r="A14487" s="2" t="s">
        <v>3270</v>
      </c>
      <c r="B14487" s="2" t="s">
        <v>2888</v>
      </c>
      <c r="C14487" s="2">
        <v>811.87120000000004</v>
      </c>
      <c r="D14487" s="2">
        <f>HYPERLINK("http://mcb-m6.bioreg.kyushu-u.ac.jp/M3/20110427/F51115/2309/1", 49.84)</f>
        <v>49.84</v>
      </c>
      <c r="E14487" s="2">
        <v>29.06</v>
      </c>
      <c r="F14487" s="2">
        <v>2</v>
      </c>
      <c r="G14487" s="2" t="s">
        <v>13</v>
      </c>
      <c r="H14487" s="2" t="s">
        <v>4977</v>
      </c>
    </row>
    <row r="14488" spans="1:9" x14ac:dyDescent="0.2">
      <c r="A14488" s="2" t="s">
        <v>3270</v>
      </c>
      <c r="B14488" s="2" t="s">
        <v>2398</v>
      </c>
      <c r="C14488" s="2">
        <v>526.74519999999995</v>
      </c>
      <c r="D14488" s="2">
        <f>HYPERLINK("http://mcb-m6.bioreg.kyushu-u.ac.jp/M3/20110427/F51115/1168/1", 54.18)</f>
        <v>54.18</v>
      </c>
      <c r="E14488" s="2">
        <v>27.17</v>
      </c>
      <c r="F14488" s="2">
        <v>2</v>
      </c>
      <c r="G14488" s="2" t="s">
        <v>13</v>
      </c>
    </row>
    <row r="14489" spans="1:9" x14ac:dyDescent="0.2">
      <c r="A14489" s="2" t="s">
        <v>3270</v>
      </c>
      <c r="B14489" s="2" t="s">
        <v>1925</v>
      </c>
      <c r="C14489" s="2">
        <v>724.31709999999998</v>
      </c>
      <c r="D14489" s="2">
        <f>HYPERLINK("http://mcb-m6.bioreg.kyushu-u.ac.jp/M3/20110428/F51127/1791/1", 54.53)</f>
        <v>54.53</v>
      </c>
      <c r="E14489" s="2">
        <v>33.71</v>
      </c>
      <c r="F14489" s="2">
        <v>2</v>
      </c>
      <c r="G14489" s="2" t="s">
        <v>13</v>
      </c>
      <c r="I14489" s="2" t="s">
        <v>4898</v>
      </c>
    </row>
    <row r="14490" spans="1:9" x14ac:dyDescent="0.2">
      <c r="A14490" s="2" t="s">
        <v>3270</v>
      </c>
      <c r="B14490" s="2" t="s">
        <v>380</v>
      </c>
      <c r="C14490" s="2">
        <v>529.63620000000003</v>
      </c>
      <c r="D14490" s="2">
        <f>HYPERLINK("http://mcb-m6.bioreg.kyushu-u.ac.jp/M3/20110427/F51116/1154/1", 54.75)</f>
        <v>54.75</v>
      </c>
      <c r="E14490" s="2">
        <v>23.62</v>
      </c>
      <c r="F14490" s="2">
        <v>2</v>
      </c>
      <c r="G14490" s="2" t="s">
        <v>13</v>
      </c>
    </row>
    <row r="14491" spans="1:9" x14ac:dyDescent="0.2">
      <c r="A14491" s="2" t="s">
        <v>3270</v>
      </c>
      <c r="B14491" s="2" t="s">
        <v>519</v>
      </c>
      <c r="C14491" s="2">
        <v>853.90869999999995</v>
      </c>
      <c r="D14491" s="2">
        <f>HYPERLINK("http://mcb-m6.bioreg.kyushu-u.ac.jp/M3/20110427/F51116/2589/1", 54.9)</f>
        <v>54.9</v>
      </c>
      <c r="E14491" s="2">
        <v>40.71</v>
      </c>
      <c r="F14491" s="2">
        <v>2</v>
      </c>
      <c r="G14491" s="2" t="s">
        <v>13</v>
      </c>
      <c r="I14491" s="2" t="s">
        <v>4898</v>
      </c>
    </row>
    <row r="14492" spans="1:9" x14ac:dyDescent="0.2">
      <c r="A14492" s="2" t="s">
        <v>3270</v>
      </c>
      <c r="B14492" s="2" t="s">
        <v>2072</v>
      </c>
      <c r="C14492" s="2">
        <v>558.59670000000006</v>
      </c>
      <c r="D14492" s="2">
        <f>HYPERLINK("http://mcb-m6.bioreg.kyushu-u.ac.jp/M3/20110427/F51115/1280/1", 55.4)</f>
        <v>55.4</v>
      </c>
      <c r="E14492" s="2">
        <v>24.45</v>
      </c>
      <c r="F14492" s="2">
        <v>2</v>
      </c>
      <c r="G14492" s="2" t="s">
        <v>13</v>
      </c>
    </row>
    <row r="14493" spans="1:9" x14ac:dyDescent="0.2">
      <c r="A14493" s="2" t="s">
        <v>3270</v>
      </c>
      <c r="B14493" s="2" t="s">
        <v>2357</v>
      </c>
      <c r="C14493" s="2">
        <v>666.38170000000002</v>
      </c>
      <c r="D14493" s="2">
        <f>HYPERLINK("http://mcb-m6.bioreg.kyushu-u.ac.jp/M3/20110427/F51115/1628/1", 55.68)</f>
        <v>55.68</v>
      </c>
      <c r="E14493" s="2">
        <v>28.73</v>
      </c>
      <c r="F14493" s="2">
        <v>2</v>
      </c>
      <c r="G14493" s="2" t="s">
        <v>13</v>
      </c>
      <c r="I14493" s="2" t="s">
        <v>4914</v>
      </c>
    </row>
    <row r="14494" spans="1:9" x14ac:dyDescent="0.2">
      <c r="A14494" s="2" t="s">
        <v>3270</v>
      </c>
      <c r="B14494" s="2" t="s">
        <v>909</v>
      </c>
      <c r="C14494" s="2">
        <v>604.75019999999995</v>
      </c>
      <c r="D14494" s="2">
        <f>HYPERLINK("http://mcb-m6.bioreg.kyushu-u.ac.jp/M3/20110427/F51116/1458/1", 56.42)</f>
        <v>56.42</v>
      </c>
      <c r="E14494" s="2">
        <v>36.15</v>
      </c>
      <c r="F14494" s="2">
        <v>2</v>
      </c>
      <c r="G14494" s="2" t="s">
        <v>13</v>
      </c>
    </row>
    <row r="14495" spans="1:9" x14ac:dyDescent="0.2">
      <c r="A14495" s="2" t="s">
        <v>3270</v>
      </c>
      <c r="B14495" s="2" t="s">
        <v>1299</v>
      </c>
      <c r="C14495" s="2">
        <v>606.21720000000005</v>
      </c>
      <c r="D14495" s="2">
        <f>HYPERLINK("http://mcb-m6.bioreg.kyushu-u.ac.jp/M3/20110427/F51116/1461/1", 56.82)</f>
        <v>56.82</v>
      </c>
      <c r="E14495" s="2">
        <v>39.72</v>
      </c>
      <c r="F14495" s="2">
        <v>2</v>
      </c>
      <c r="G14495" s="2" t="s">
        <v>13</v>
      </c>
      <c r="I14495" s="2" t="s">
        <v>4890</v>
      </c>
    </row>
    <row r="14496" spans="1:9" x14ac:dyDescent="0.2">
      <c r="A14496" s="2" t="s">
        <v>3270</v>
      </c>
      <c r="B14496" s="2" t="s">
        <v>2415</v>
      </c>
      <c r="C14496" s="2">
        <v>546.11220000000003</v>
      </c>
      <c r="D14496" s="2">
        <f>HYPERLINK("http://mcb-m6.bioreg.kyushu-u.ac.jp/M3/20110427/F51115/1242/1", 58.7)</f>
        <v>58.7</v>
      </c>
      <c r="E14496" s="2">
        <v>33.71</v>
      </c>
      <c r="F14496" s="2">
        <v>2</v>
      </c>
      <c r="G14496" s="2" t="s">
        <v>13</v>
      </c>
    </row>
    <row r="14497" spans="1:9" x14ac:dyDescent="0.2">
      <c r="A14497" s="2" t="s">
        <v>3270</v>
      </c>
      <c r="B14497" s="2" t="s">
        <v>2888</v>
      </c>
      <c r="C14497" s="2">
        <v>803.5652</v>
      </c>
      <c r="D14497" s="2">
        <f>HYPERLINK("http://mcb-m6.bioreg.kyushu-u.ac.jp/M3/20110427/F51114/2418/1", 58.86)</f>
        <v>58.86</v>
      </c>
      <c r="E14497" s="2">
        <v>44.22</v>
      </c>
      <c r="F14497" s="2">
        <v>2</v>
      </c>
      <c r="G14497" s="2" t="s">
        <v>13</v>
      </c>
      <c r="H14497" s="2" t="s">
        <v>4904</v>
      </c>
    </row>
    <row r="14498" spans="1:9" x14ac:dyDescent="0.2">
      <c r="A14498" s="2" t="s">
        <v>3270</v>
      </c>
      <c r="B14498" s="2" t="s">
        <v>1299</v>
      </c>
      <c r="C14498" s="2">
        <v>606.13509999999997</v>
      </c>
      <c r="D14498" s="2">
        <f>HYPERLINK("http://mcb-m6.bioreg.kyushu-u.ac.jp/M3/20110427/F51115/1447/1", 59.9)</f>
        <v>59.9</v>
      </c>
      <c r="E14498" s="2">
        <v>40.340000000000003</v>
      </c>
      <c r="F14498" s="2">
        <v>2</v>
      </c>
      <c r="G14498" s="2" t="s">
        <v>13</v>
      </c>
      <c r="I14498" s="2" t="s">
        <v>4890</v>
      </c>
    </row>
    <row r="14499" spans="1:9" x14ac:dyDescent="0.2">
      <c r="A14499" s="2" t="s">
        <v>3270</v>
      </c>
      <c r="B14499" s="2" t="s">
        <v>1925</v>
      </c>
      <c r="C14499" s="2">
        <v>724.21420000000001</v>
      </c>
      <c r="D14499" s="2">
        <f>HYPERLINK("http://mcb-m6.bioreg.kyushu-u.ac.jp/M3/20110427/F51115/1912/1", 62.7)</f>
        <v>62.7</v>
      </c>
      <c r="E14499" s="2">
        <v>47.12</v>
      </c>
      <c r="F14499" s="2">
        <v>2</v>
      </c>
      <c r="G14499" s="2" t="s">
        <v>13</v>
      </c>
      <c r="I14499" s="2" t="s">
        <v>4898</v>
      </c>
    </row>
    <row r="14500" spans="1:9" x14ac:dyDescent="0.2">
      <c r="A14500" s="2" t="s">
        <v>3270</v>
      </c>
      <c r="B14500" s="2" t="s">
        <v>289</v>
      </c>
      <c r="C14500" s="2">
        <v>809.32259999999997</v>
      </c>
      <c r="D14500" s="2">
        <f>HYPERLINK("http://mcb-m6.bioreg.kyushu-u.ac.jp/M3/20110427/F51117/2332/1", 63.75)</f>
        <v>63.75</v>
      </c>
      <c r="E14500" s="2">
        <v>42.75</v>
      </c>
      <c r="F14500" s="2">
        <v>2</v>
      </c>
      <c r="G14500" s="2" t="s">
        <v>13</v>
      </c>
    </row>
    <row r="14501" spans="1:9" x14ac:dyDescent="0.2">
      <c r="A14501" s="2" t="s">
        <v>3270</v>
      </c>
      <c r="B14501" s="2" t="s">
        <v>2499</v>
      </c>
      <c r="C14501" s="2">
        <v>829.29570000000001</v>
      </c>
      <c r="D14501" s="2">
        <f>HYPERLINK("http://mcb-m6.bioreg.kyushu-u.ac.jp/M3/20110427/F51114/2537/1", 64.03)</f>
        <v>64.03</v>
      </c>
      <c r="E14501" s="2">
        <v>51.36</v>
      </c>
      <c r="F14501" s="2">
        <v>2</v>
      </c>
      <c r="G14501" s="2" t="s">
        <v>13</v>
      </c>
    </row>
    <row r="14502" spans="1:9" x14ac:dyDescent="0.2">
      <c r="A14502" s="2" t="s">
        <v>3270</v>
      </c>
      <c r="B14502" s="2" t="s">
        <v>2888</v>
      </c>
      <c r="C14502" s="2">
        <v>803.22119999999995</v>
      </c>
      <c r="D14502" s="2">
        <f>HYPERLINK("http://mcb-m6.bioreg.kyushu-u.ac.jp/M3/20110427/F51115/2277/1", 69.35)</f>
        <v>69.349999999999994</v>
      </c>
      <c r="E14502" s="2">
        <v>54.32</v>
      </c>
      <c r="F14502" s="2">
        <v>2</v>
      </c>
      <c r="G14502" s="2" t="s">
        <v>13</v>
      </c>
      <c r="H14502" s="2" t="s">
        <v>4904</v>
      </c>
    </row>
    <row r="14503" spans="1:9" x14ac:dyDescent="0.2">
      <c r="A14503" s="2" t="s">
        <v>3270</v>
      </c>
      <c r="B14503" s="2" t="s">
        <v>2072</v>
      </c>
      <c r="C14503" s="2">
        <v>559.10770000000002</v>
      </c>
      <c r="D14503" s="2">
        <f>HYPERLINK("http://mcb-m6.bioreg.kyushu-u.ac.jp/M3/20110427/F51115/1283/1", 76.84)</f>
        <v>76.84</v>
      </c>
      <c r="E14503" s="2">
        <v>39.92</v>
      </c>
      <c r="F14503" s="2">
        <v>2</v>
      </c>
      <c r="G14503" s="2" t="s">
        <v>13</v>
      </c>
    </row>
    <row r="14504" spans="1:9" x14ac:dyDescent="0.2">
      <c r="A14504" s="2" t="s">
        <v>3270</v>
      </c>
      <c r="B14504" s="2" t="s">
        <v>3198</v>
      </c>
      <c r="C14504" s="2">
        <v>631.48910000000001</v>
      </c>
      <c r="D14504" s="2">
        <f>HYPERLINK("http://mcb-m6.bioreg.kyushu-u.ac.jp/M3/20110427/F51115/1536/1", 83.37)</f>
        <v>83.37</v>
      </c>
      <c r="E14504" s="2">
        <v>58.12</v>
      </c>
      <c r="F14504" s="2">
        <v>2</v>
      </c>
      <c r="G14504" s="2" t="s">
        <v>13</v>
      </c>
    </row>
    <row r="14505" spans="1:9" x14ac:dyDescent="0.2">
      <c r="A14505" s="2" t="s">
        <v>3270</v>
      </c>
      <c r="B14505" s="2" t="s">
        <v>2942</v>
      </c>
      <c r="C14505" s="2">
        <v>652.07370000000003</v>
      </c>
      <c r="D14505" s="2">
        <f>HYPERLINK("http://mcb-m6.bioreg.kyushu-u.ac.jp/M3/20110427/F51115/1583/1", 84)</f>
        <v>84</v>
      </c>
      <c r="E14505" s="2">
        <v>61.41</v>
      </c>
      <c r="F14505" s="2">
        <v>2</v>
      </c>
      <c r="G14505" s="2" t="s">
        <v>13</v>
      </c>
    </row>
    <row r="14506" spans="1:9" x14ac:dyDescent="0.2">
      <c r="A14506" s="2" t="s">
        <v>3270</v>
      </c>
      <c r="B14506" s="2" t="s">
        <v>2023</v>
      </c>
      <c r="C14506" s="2">
        <v>1105.376</v>
      </c>
      <c r="D14506" s="2">
        <f>HYPERLINK("http://mcb-m6.bioreg.kyushu-u.ac.jp/M3/20110427/F51115/3149/1", 92.08)</f>
        <v>92.08</v>
      </c>
      <c r="E14506" s="2">
        <v>78.94</v>
      </c>
      <c r="F14506" s="2">
        <v>2</v>
      </c>
      <c r="G14506" s="2" t="s">
        <v>13</v>
      </c>
    </row>
    <row r="14507" spans="1:9" x14ac:dyDescent="0.2">
      <c r="A14507" s="2" t="s">
        <v>3270</v>
      </c>
      <c r="B14507" s="2" t="s">
        <v>1507</v>
      </c>
      <c r="C14507" s="2">
        <v>1033.325</v>
      </c>
      <c r="D14507" s="2">
        <f>HYPERLINK("http://mcb-m6.bioreg.kyushu-u.ac.jp/M3/20110427/F51115/3008/1", 94.89)</f>
        <v>94.89</v>
      </c>
      <c r="E14507" s="2">
        <v>82.99</v>
      </c>
      <c r="F14507" s="2">
        <v>2</v>
      </c>
      <c r="G14507" s="2" t="s">
        <v>13</v>
      </c>
    </row>
    <row r="14508" spans="1:9" x14ac:dyDescent="0.2">
      <c r="A14508" s="2" t="s">
        <v>3270</v>
      </c>
      <c r="B14508" s="2" t="s">
        <v>1208</v>
      </c>
      <c r="C14508" s="2">
        <v>909.24019999999996</v>
      </c>
      <c r="D14508" s="2">
        <f>HYPERLINK("http://mcb-m6.bioreg.kyushu-u.ac.jp/M3/20110427/F51115/2653/1", 104.79)</f>
        <v>104.79</v>
      </c>
      <c r="E14508" s="2">
        <v>68.59</v>
      </c>
      <c r="F14508" s="2">
        <v>2</v>
      </c>
      <c r="G14508" s="2" t="s">
        <v>13</v>
      </c>
    </row>
    <row r="14509" spans="1:9" x14ac:dyDescent="0.2">
      <c r="A14509" s="2" t="s">
        <v>3270</v>
      </c>
      <c r="B14509" s="2" t="s">
        <v>2047</v>
      </c>
      <c r="C14509" s="2">
        <v>686.12220000000002</v>
      </c>
      <c r="D14509" s="2">
        <f>HYPERLINK("http://mcb-m6.bioreg.kyushu-u.ac.jp/M3/20110427/F51124/1756/1", 38.24)</f>
        <v>38.24</v>
      </c>
      <c r="E14509" s="2">
        <v>24.89</v>
      </c>
      <c r="F14509" s="2">
        <v>2</v>
      </c>
      <c r="G14509" s="2" t="s">
        <v>14</v>
      </c>
    </row>
    <row r="14510" spans="1:9" x14ac:dyDescent="0.2">
      <c r="A14510" s="2" t="s">
        <v>3270</v>
      </c>
      <c r="B14510" s="2" t="s">
        <v>2243</v>
      </c>
      <c r="C14510" s="2">
        <v>490.62459999999999</v>
      </c>
      <c r="D14510" s="2">
        <f>HYPERLINK("http://mcb-m6.bioreg.kyushu-u.ac.jp/M3/20110427/F51124/1016/1", 39.13)</f>
        <v>39.130000000000003</v>
      </c>
      <c r="E14510" s="2">
        <v>19.329999999999998</v>
      </c>
      <c r="F14510" s="2">
        <v>2</v>
      </c>
      <c r="G14510" s="2" t="s">
        <v>14</v>
      </c>
      <c r="I14510" s="2" t="s">
        <v>4892</v>
      </c>
    </row>
    <row r="14511" spans="1:9" x14ac:dyDescent="0.2">
      <c r="A14511" s="2" t="s">
        <v>3270</v>
      </c>
      <c r="B14511" s="2" t="s">
        <v>1299</v>
      </c>
      <c r="C14511" s="2">
        <v>606.89970000000005</v>
      </c>
      <c r="D14511" s="2">
        <f>HYPERLINK("http://mcb-m6.bioreg.kyushu-u.ac.jp/M3/20110428/F51126/1574/1", 51.58)</f>
        <v>51.58</v>
      </c>
      <c r="E14511" s="2">
        <v>34.21</v>
      </c>
      <c r="F14511" s="2">
        <v>2</v>
      </c>
      <c r="G14511" s="2" t="s">
        <v>14</v>
      </c>
      <c r="I14511" s="2" t="s">
        <v>4890</v>
      </c>
    </row>
    <row r="14512" spans="1:9" x14ac:dyDescent="0.2">
      <c r="A14512" s="2" t="s">
        <v>3270</v>
      </c>
      <c r="B14512" s="2" t="s">
        <v>1925</v>
      </c>
      <c r="C14512" s="2">
        <v>724.31320000000005</v>
      </c>
      <c r="D14512" s="2">
        <f>HYPERLINK("http://mcb-m6.bioreg.kyushu-u.ac.jp/M3/20110427/F51123/1957/1", 58.04)</f>
        <v>58.04</v>
      </c>
      <c r="E14512" s="2">
        <v>42.31</v>
      </c>
      <c r="F14512" s="2">
        <v>2</v>
      </c>
      <c r="G14512" s="2" t="s">
        <v>14</v>
      </c>
      <c r="I14512" s="2" t="s">
        <v>4898</v>
      </c>
    </row>
    <row r="14513" spans="1:9" x14ac:dyDescent="0.2">
      <c r="A14513" s="2" t="s">
        <v>3270</v>
      </c>
      <c r="B14513" s="2" t="s">
        <v>3039</v>
      </c>
      <c r="C14513" s="2">
        <v>491.48759999999999</v>
      </c>
      <c r="D14513" s="2">
        <f>HYPERLINK("http://mcb-m6.bioreg.kyushu-u.ac.jp/M3/20110427/F51124/1019/1", 59.16)</f>
        <v>59.16</v>
      </c>
      <c r="E14513" s="2">
        <v>25.65</v>
      </c>
      <c r="F14513" s="2">
        <v>2</v>
      </c>
      <c r="G14513" s="2" t="s">
        <v>14</v>
      </c>
      <c r="I14513" s="2" t="s">
        <v>4892</v>
      </c>
    </row>
    <row r="14514" spans="1:9" x14ac:dyDescent="0.2">
      <c r="A14514" s="2" t="s">
        <v>3270</v>
      </c>
      <c r="B14514" s="2" t="s">
        <v>1925</v>
      </c>
      <c r="C14514" s="2">
        <v>724.2047</v>
      </c>
      <c r="D14514" s="2">
        <f>HYPERLINK("http://mcb-m6.bioreg.kyushu-u.ac.jp/M3/20110427/F51124/1947/1", 60.23)</f>
        <v>60.23</v>
      </c>
      <c r="E14514" s="2">
        <v>42.2</v>
      </c>
      <c r="F14514" s="2">
        <v>2</v>
      </c>
      <c r="G14514" s="2" t="s">
        <v>14</v>
      </c>
      <c r="I14514" s="2" t="s">
        <v>4898</v>
      </c>
    </row>
    <row r="14515" spans="1:9" x14ac:dyDescent="0.2">
      <c r="A14515" s="2" t="s">
        <v>3270</v>
      </c>
      <c r="B14515" s="2" t="s">
        <v>909</v>
      </c>
      <c r="C14515" s="2">
        <v>605.08010000000002</v>
      </c>
      <c r="D14515" s="2">
        <f>HYPERLINK("http://mcb-m6.bioreg.kyushu-u.ac.jp/M3/20110427/F51124/1490/1", 63.55)</f>
        <v>63.55</v>
      </c>
      <c r="E14515" s="2">
        <v>34.270000000000003</v>
      </c>
      <c r="F14515" s="2">
        <v>2</v>
      </c>
      <c r="G14515" s="2" t="s">
        <v>14</v>
      </c>
    </row>
    <row r="14516" spans="1:9" x14ac:dyDescent="0.2">
      <c r="A14516" s="2" t="s">
        <v>3270</v>
      </c>
      <c r="B14516" s="2" t="s">
        <v>2047</v>
      </c>
      <c r="C14516" s="2">
        <v>686.02419999999995</v>
      </c>
      <c r="D14516" s="2">
        <f>HYPERLINK("http://mcb-m6.bioreg.kyushu-u.ac.jp/M3/20110427/F51125/1837/1", 67.54)</f>
        <v>67.540000000000006</v>
      </c>
      <c r="E14516" s="2">
        <v>45.6</v>
      </c>
      <c r="F14516" s="2">
        <v>2</v>
      </c>
      <c r="G14516" s="2" t="s">
        <v>14</v>
      </c>
    </row>
    <row r="14517" spans="1:9" x14ac:dyDescent="0.2">
      <c r="A14517" s="2" t="s">
        <v>3270</v>
      </c>
      <c r="B14517" s="2" t="s">
        <v>289</v>
      </c>
      <c r="C14517" s="2">
        <v>809.73069999999996</v>
      </c>
      <c r="D14517" s="2">
        <f>HYPERLINK("http://mcb-m6.bioreg.kyushu-u.ac.jp/M3/20110427/F51124/2346/1", 67.57)</f>
        <v>67.569999999999993</v>
      </c>
      <c r="E14517" s="2">
        <v>43.55</v>
      </c>
      <c r="F14517" s="2">
        <v>2</v>
      </c>
      <c r="G14517" s="2" t="s">
        <v>14</v>
      </c>
    </row>
    <row r="14518" spans="1:9" x14ac:dyDescent="0.2">
      <c r="A14518" s="2" t="s">
        <v>3270</v>
      </c>
      <c r="B14518" s="2" t="s">
        <v>1507</v>
      </c>
      <c r="C14518" s="2">
        <v>1033.77</v>
      </c>
      <c r="D14518" s="2">
        <f>HYPERLINK("http://mcb-m6.bioreg.kyushu-u.ac.jp/M3/20110427/F51124/3039/1", 70.1)</f>
        <v>70.099999999999994</v>
      </c>
      <c r="E14518" s="2">
        <v>58.25</v>
      </c>
      <c r="F14518" s="2">
        <v>2</v>
      </c>
      <c r="G14518" s="2" t="s">
        <v>14</v>
      </c>
    </row>
    <row r="14519" spans="1:9" x14ac:dyDescent="0.2">
      <c r="A14519" s="2" t="s">
        <v>3270</v>
      </c>
      <c r="B14519" s="2" t="s">
        <v>2007</v>
      </c>
      <c r="C14519" s="2">
        <v>888.8827</v>
      </c>
      <c r="D14519" s="2">
        <f>HYPERLINK("http://mcb-m6.bioreg.kyushu-u.ac.jp/M3/20110427/F51124/2646/1", 74.02)</f>
        <v>74.02</v>
      </c>
      <c r="E14519" s="2">
        <v>57.01</v>
      </c>
      <c r="F14519" s="2">
        <v>2</v>
      </c>
      <c r="G14519" s="2" t="s">
        <v>14</v>
      </c>
    </row>
    <row r="14520" spans="1:9" x14ac:dyDescent="0.2">
      <c r="A14520" s="2" t="s">
        <v>3270</v>
      </c>
      <c r="B14520" s="2" t="s">
        <v>289</v>
      </c>
      <c r="C14520" s="2">
        <v>809.22670000000005</v>
      </c>
      <c r="D14520" s="2">
        <f>HYPERLINK("http://mcb-m6.bioreg.kyushu-u.ac.jp/M3/20110427/F51124/2343/1", 78.76)</f>
        <v>78.760000000000005</v>
      </c>
      <c r="E14520" s="2">
        <v>59.26</v>
      </c>
      <c r="F14520" s="2">
        <v>2</v>
      </c>
      <c r="G14520" s="2" t="s">
        <v>14</v>
      </c>
    </row>
    <row r="14521" spans="1:9" x14ac:dyDescent="0.2">
      <c r="A14521" s="2" t="s">
        <v>3270</v>
      </c>
      <c r="B14521" s="2" t="s">
        <v>1299</v>
      </c>
      <c r="C14521" s="2">
        <v>606.49720000000002</v>
      </c>
      <c r="D14521" s="2">
        <f>HYPERLINK("http://mcb-m6.bioreg.kyushu-u.ac.jp/M3/20110427/F51124/1495/1", 79.93)</f>
        <v>79.930000000000007</v>
      </c>
      <c r="E14521" s="2">
        <v>61.84</v>
      </c>
      <c r="F14521" s="2">
        <v>2</v>
      </c>
      <c r="G14521" s="2" t="s">
        <v>14</v>
      </c>
      <c r="I14521" s="2" t="s">
        <v>4890</v>
      </c>
    </row>
    <row r="14522" spans="1:9" x14ac:dyDescent="0.2">
      <c r="A14522" s="2" t="s">
        <v>3270</v>
      </c>
      <c r="B14522" s="2" t="s">
        <v>2499</v>
      </c>
      <c r="C14522" s="2">
        <v>828.75459999999998</v>
      </c>
      <c r="D14522" s="2">
        <f>HYPERLINK("http://mcb-m6.bioreg.kyushu-u.ac.jp/M3/20110427/F51123/2461/1", 95.98)</f>
        <v>95.98</v>
      </c>
      <c r="E14522" s="2">
        <v>88</v>
      </c>
      <c r="F14522" s="2">
        <v>2</v>
      </c>
      <c r="G14522" s="2" t="s">
        <v>14</v>
      </c>
    </row>
    <row r="14523" spans="1:9" x14ac:dyDescent="0.2">
      <c r="A14523" s="2" t="s">
        <v>3270</v>
      </c>
      <c r="B14523" s="2" t="s">
        <v>2047</v>
      </c>
      <c r="C14523" s="2">
        <v>686.11320000000001</v>
      </c>
      <c r="D14523" s="2">
        <f>HYPERLINK("http://mcb-m6.bioreg.kyushu-u.ac.jp/M3/20110428/F51126/1831/1", 100.84)</f>
        <v>100.84</v>
      </c>
      <c r="E14523" s="2">
        <v>70.05</v>
      </c>
      <c r="F14523" s="2">
        <v>2</v>
      </c>
      <c r="G14523" s="2" t="s">
        <v>14</v>
      </c>
    </row>
    <row r="14524" spans="1:9" x14ac:dyDescent="0.2">
      <c r="A14524" s="2" t="s">
        <v>3270</v>
      </c>
      <c r="B14524" s="2" t="s">
        <v>2047</v>
      </c>
      <c r="C14524" s="2">
        <v>686.6902</v>
      </c>
      <c r="D14524" s="2">
        <f>HYPERLINK("http://mcb-m6.bioreg.kyushu-u.ac.jp/M3/20110427/F51124/1759/1", 112.73)</f>
        <v>112.73</v>
      </c>
      <c r="E14524" s="2">
        <v>82.56</v>
      </c>
      <c r="F14524" s="2">
        <v>2</v>
      </c>
      <c r="G14524" s="2" t="s">
        <v>14</v>
      </c>
    </row>
    <row r="14525" spans="1:9" x14ac:dyDescent="0.2">
      <c r="A14525" s="2" t="s">
        <v>4701</v>
      </c>
      <c r="B14525" s="2" t="s">
        <v>6764</v>
      </c>
      <c r="C14525" s="2">
        <v>1029.462</v>
      </c>
      <c r="D14525" s="2">
        <f>HYPERLINK("http://mcb-m6.bioreg.kyushu-u.ac.jp/M3/20110404/F50760/1071/1", 40.9)</f>
        <v>40.9</v>
      </c>
      <c r="E14525" s="2">
        <v>14.93</v>
      </c>
      <c r="F14525" s="2">
        <v>1</v>
      </c>
      <c r="G14525" s="2" t="s">
        <v>10</v>
      </c>
      <c r="I14525" s="2" t="s">
        <v>4890</v>
      </c>
    </row>
    <row r="14526" spans="1:9" x14ac:dyDescent="0.2">
      <c r="A14526" s="2" t="s">
        <v>3976</v>
      </c>
      <c r="B14526" s="2" t="s">
        <v>1221</v>
      </c>
      <c r="C14526" s="2">
        <v>964.49659999999994</v>
      </c>
      <c r="D14526" s="2">
        <f>HYPERLINK("http://mcb-m6.bioreg.kyushu-u.ac.jp/M3/20110404/F50764/2636/1", 81.75)</f>
        <v>81.75</v>
      </c>
      <c r="E14526" s="2">
        <v>68.2</v>
      </c>
      <c r="F14526" s="2">
        <v>2</v>
      </c>
      <c r="G14526" s="2" t="s">
        <v>9</v>
      </c>
    </row>
    <row r="14527" spans="1:9" x14ac:dyDescent="0.2">
      <c r="A14527" s="2" t="s">
        <v>3976</v>
      </c>
      <c r="B14527" s="2" t="s">
        <v>6736</v>
      </c>
      <c r="C14527" s="2">
        <v>752.9452</v>
      </c>
      <c r="D14527" s="2">
        <f>HYPERLINK("http://mcb-m6.bioreg.kyushu-u.ac.jp/M3/20110404/F50782/1845/1", 38.74)</f>
        <v>38.74</v>
      </c>
      <c r="E14527" s="2">
        <v>24.41</v>
      </c>
      <c r="F14527" s="2">
        <v>2</v>
      </c>
      <c r="G14527" s="2" t="s">
        <v>10</v>
      </c>
      <c r="I14527" s="2" t="s">
        <v>4893</v>
      </c>
    </row>
    <row r="14528" spans="1:9" x14ac:dyDescent="0.2">
      <c r="A14528" s="2" t="s">
        <v>3976</v>
      </c>
      <c r="B14528" s="2" t="s">
        <v>6915</v>
      </c>
      <c r="C14528" s="2">
        <v>666.27670000000001</v>
      </c>
      <c r="D14528" s="2">
        <f>HYPERLINK("http://mcb-m6.bioreg.kyushu-u.ac.jp/M3/20110404/F50782/1405/1", 58.79)</f>
        <v>58.79</v>
      </c>
      <c r="E14528" s="2">
        <v>38.25</v>
      </c>
      <c r="F14528" s="2">
        <v>2</v>
      </c>
      <c r="G14528" s="2" t="s">
        <v>10</v>
      </c>
      <c r="H14528" s="2" t="s">
        <v>4908</v>
      </c>
    </row>
    <row r="14529" spans="1:9" x14ac:dyDescent="0.2">
      <c r="A14529" s="2" t="s">
        <v>3917</v>
      </c>
      <c r="B14529" s="2" t="s">
        <v>6250</v>
      </c>
      <c r="C14529" s="2">
        <v>612.87710000000004</v>
      </c>
      <c r="D14529" s="2">
        <f>HYPERLINK("http://mcb-m6.bioreg.kyushu-u.ac.jp/M3/20110404/F50764/1371/1", 49.16)</f>
        <v>49.16</v>
      </c>
      <c r="E14529" s="2">
        <v>32.72</v>
      </c>
      <c r="F14529" s="2">
        <v>2</v>
      </c>
      <c r="G14529" s="2" t="s">
        <v>9</v>
      </c>
    </row>
    <row r="14530" spans="1:9" x14ac:dyDescent="0.2">
      <c r="A14530" s="2" t="s">
        <v>3917</v>
      </c>
      <c r="B14530" s="2" t="s">
        <v>2342</v>
      </c>
      <c r="C14530" s="2">
        <v>801.03809999999999</v>
      </c>
      <c r="D14530" s="2">
        <f>HYPERLINK("http://mcb-m6.bioreg.kyushu-u.ac.jp/M3/20110404/F50764/2113/1", 53.36)</f>
        <v>53.36</v>
      </c>
      <c r="E14530" s="2">
        <v>36.19</v>
      </c>
      <c r="F14530" s="2">
        <v>2</v>
      </c>
      <c r="G14530" s="2" t="s">
        <v>9</v>
      </c>
    </row>
    <row r="14531" spans="1:9" x14ac:dyDescent="0.2">
      <c r="A14531" s="2" t="s">
        <v>3917</v>
      </c>
      <c r="B14531" s="2" t="s">
        <v>2342</v>
      </c>
      <c r="C14531" s="2">
        <v>801.52560000000005</v>
      </c>
      <c r="D14531" s="2">
        <f>HYPERLINK("http://mcb-m6.bioreg.kyushu-u.ac.jp/M3/20110404/F50779/2045/1", 73.28)</f>
        <v>73.28</v>
      </c>
      <c r="E14531" s="2">
        <v>63.07</v>
      </c>
      <c r="F14531" s="2">
        <v>2</v>
      </c>
      <c r="G14531" s="2" t="s">
        <v>9</v>
      </c>
    </row>
    <row r="14532" spans="1:9" x14ac:dyDescent="0.2">
      <c r="A14532" s="2" t="s">
        <v>3917</v>
      </c>
      <c r="B14532" s="2" t="s">
        <v>1091</v>
      </c>
      <c r="C14532" s="2">
        <v>777.4402</v>
      </c>
      <c r="D14532" s="2">
        <f>HYPERLINK("http://mcb-m6.bioreg.kyushu-u.ac.jp/M3/20110404/F50779/1917/1", 83.33)</f>
        <v>83.33</v>
      </c>
      <c r="E14532" s="2">
        <v>62.55</v>
      </c>
      <c r="F14532" s="2">
        <v>2</v>
      </c>
      <c r="G14532" s="2" t="s">
        <v>9</v>
      </c>
    </row>
    <row r="14533" spans="1:9" x14ac:dyDescent="0.2">
      <c r="A14533" s="2" t="s">
        <v>3917</v>
      </c>
      <c r="B14533" s="2" t="s">
        <v>1091</v>
      </c>
      <c r="C14533" s="2">
        <v>777.97770000000003</v>
      </c>
      <c r="D14533" s="2">
        <f>HYPERLINK("http://mcb-m6.bioreg.kyushu-u.ac.jp/M3/20110404/F50779/1923/1", 84.35)</f>
        <v>84.35</v>
      </c>
      <c r="E14533" s="2">
        <v>57.61</v>
      </c>
      <c r="F14533" s="2">
        <v>2</v>
      </c>
      <c r="G14533" s="2" t="s">
        <v>9</v>
      </c>
    </row>
    <row r="14534" spans="1:9" x14ac:dyDescent="0.2">
      <c r="A14534" s="2" t="s">
        <v>3917</v>
      </c>
      <c r="B14534" s="2" t="s">
        <v>1618</v>
      </c>
      <c r="C14534" s="2">
        <v>937.43119999999999</v>
      </c>
      <c r="D14534" s="2">
        <f>HYPERLINK("http://mcb-m6.bioreg.kyushu-u.ac.jp/M3/20110404/F50764/2573/1", 103.85)</f>
        <v>103.85</v>
      </c>
      <c r="E14534" s="2">
        <v>91.14</v>
      </c>
      <c r="F14534" s="2">
        <v>2</v>
      </c>
      <c r="G14534" s="2" t="s">
        <v>9</v>
      </c>
    </row>
    <row r="14535" spans="1:9" x14ac:dyDescent="0.2">
      <c r="A14535" s="2" t="s">
        <v>3917</v>
      </c>
      <c r="B14535" s="2" t="s">
        <v>1618</v>
      </c>
      <c r="C14535" s="2">
        <v>937.65869999999995</v>
      </c>
      <c r="D14535" s="2">
        <f>HYPERLINK("http://mcb-m6.bioreg.kyushu-u.ac.jp/M3/20110404/F50782/2739/1", 80.75)</f>
        <v>80.75</v>
      </c>
      <c r="E14535" s="2">
        <v>69.040000000000006</v>
      </c>
      <c r="F14535" s="2">
        <v>2</v>
      </c>
      <c r="G14535" s="2" t="s">
        <v>10</v>
      </c>
    </row>
    <row r="14536" spans="1:9" x14ac:dyDescent="0.2">
      <c r="A14536" s="2" t="s">
        <v>3917</v>
      </c>
      <c r="B14536" s="2" t="s">
        <v>1091</v>
      </c>
      <c r="C14536" s="2">
        <v>777.23820000000001</v>
      </c>
      <c r="D14536" s="2">
        <f>HYPERLINK("http://mcb-m6.bioreg.kyushu-u.ac.jp/M3/20110404/F50782/1972/1", 109.14)</f>
        <v>109.14</v>
      </c>
      <c r="E14536" s="2">
        <v>83.82</v>
      </c>
      <c r="F14536" s="2">
        <v>2</v>
      </c>
      <c r="G14536" s="2" t="s">
        <v>10</v>
      </c>
    </row>
    <row r="14537" spans="1:9" x14ac:dyDescent="0.2">
      <c r="A14537" s="2" t="s">
        <v>7682</v>
      </c>
      <c r="B14537" s="2" t="s">
        <v>6312</v>
      </c>
      <c r="C14537" s="2">
        <v>742.3152</v>
      </c>
      <c r="D14537" s="2">
        <f>HYPERLINK("http://mcb-m6.bioreg.kyushu-u.ac.jp/M3/20110404/F50765/1861/1", 52.29)</f>
        <v>52.29</v>
      </c>
      <c r="E14537" s="2">
        <v>38.81</v>
      </c>
      <c r="F14537" s="2">
        <v>2</v>
      </c>
      <c r="G14537" s="2" t="s">
        <v>9</v>
      </c>
    </row>
    <row r="14538" spans="1:9" x14ac:dyDescent="0.2">
      <c r="A14538" s="2" t="s">
        <v>7682</v>
      </c>
      <c r="B14538" s="2" t="s">
        <v>6786</v>
      </c>
      <c r="C14538" s="2">
        <v>946.47860000000003</v>
      </c>
      <c r="D14538" s="2">
        <f>HYPERLINK("http://mcb-m6.bioreg.kyushu-u.ac.jp/M3/20110404/F50772/2718/1", 42.57)</f>
        <v>42.57</v>
      </c>
      <c r="E14538" s="2">
        <v>37.11</v>
      </c>
      <c r="F14538" s="2">
        <v>2</v>
      </c>
      <c r="G14538" s="2" t="s">
        <v>10</v>
      </c>
    </row>
    <row r="14539" spans="1:9" x14ac:dyDescent="0.2">
      <c r="A14539" s="2" t="s">
        <v>7682</v>
      </c>
      <c r="B14539" s="2" t="s">
        <v>6882</v>
      </c>
      <c r="C14539" s="2">
        <v>888.40719999999999</v>
      </c>
      <c r="D14539" s="2">
        <f>HYPERLINK("http://mcb-m6.bioreg.kyushu-u.ac.jp/M3/20110404/F50771/2463/1", 53.28)</f>
        <v>53.28</v>
      </c>
      <c r="E14539" s="2">
        <v>23.06</v>
      </c>
      <c r="F14539" s="2">
        <v>2</v>
      </c>
      <c r="G14539" s="2" t="s">
        <v>10</v>
      </c>
    </row>
    <row r="14540" spans="1:9" x14ac:dyDescent="0.2">
      <c r="A14540" s="2" t="s">
        <v>7682</v>
      </c>
      <c r="B14540" s="2" t="s">
        <v>7040</v>
      </c>
      <c r="C14540" s="2">
        <v>862.83370000000002</v>
      </c>
      <c r="D14540" s="2">
        <f>HYPERLINK("http://mcb-m6.bioreg.kyushu-u.ac.jp/M3/20110404/F50771/2383/1", 89.93)</f>
        <v>89.93</v>
      </c>
      <c r="E14540" s="2">
        <v>79.27</v>
      </c>
      <c r="F14540" s="2">
        <v>2</v>
      </c>
      <c r="G14540" s="2" t="s">
        <v>10</v>
      </c>
    </row>
    <row r="14541" spans="1:9" x14ac:dyDescent="0.2">
      <c r="A14541" s="2" t="s">
        <v>7682</v>
      </c>
      <c r="B14541" s="2" t="s">
        <v>6786</v>
      </c>
      <c r="C14541" s="2">
        <v>946.29719999999998</v>
      </c>
      <c r="D14541" s="2">
        <f>HYPERLINK("http://mcb-m6.bioreg.kyushu-u.ac.jp/M3/20110404/F50771/2665/1", 110.8)</f>
        <v>110.8</v>
      </c>
      <c r="E14541" s="2">
        <v>101.29</v>
      </c>
      <c r="F14541" s="2">
        <v>2</v>
      </c>
      <c r="G14541" s="2" t="s">
        <v>10</v>
      </c>
    </row>
    <row r="14542" spans="1:9" x14ac:dyDescent="0.2">
      <c r="A14542" s="2" t="s">
        <v>3669</v>
      </c>
      <c r="B14542" s="2" t="s">
        <v>6329</v>
      </c>
      <c r="C14542" s="2">
        <v>569.1232</v>
      </c>
      <c r="D14542" s="2">
        <f>HYPERLINK("http://mcb-m6.bioreg.kyushu-u.ac.jp/M3/20110404/F50753/1396/1", 53.47)</f>
        <v>53.47</v>
      </c>
      <c r="E14542" s="2">
        <v>34.82</v>
      </c>
      <c r="F14542" s="2">
        <v>2</v>
      </c>
      <c r="G14542" s="2" t="s">
        <v>9</v>
      </c>
      <c r="I14542" s="2" t="s">
        <v>4923</v>
      </c>
    </row>
    <row r="14543" spans="1:9" x14ac:dyDescent="0.2">
      <c r="A14543" s="2" t="s">
        <v>3669</v>
      </c>
      <c r="B14543" s="2" t="s">
        <v>6536</v>
      </c>
      <c r="C14543" s="2">
        <v>819.9982</v>
      </c>
      <c r="D14543" s="2">
        <f>HYPERLINK("http://mcb-m6.bioreg.kyushu-u.ac.jp/M3/20110404/F50753/2320/1", 76.35)</f>
        <v>76.349999999999994</v>
      </c>
      <c r="E14543" s="2">
        <v>60.86</v>
      </c>
      <c r="F14543" s="2">
        <v>2</v>
      </c>
      <c r="G14543" s="2" t="s">
        <v>9</v>
      </c>
      <c r="H14543" s="2" t="s">
        <v>4907</v>
      </c>
    </row>
    <row r="14544" spans="1:9" x14ac:dyDescent="0.2">
      <c r="A14544" s="2" t="s">
        <v>3669</v>
      </c>
      <c r="B14544" s="2" t="s">
        <v>6329</v>
      </c>
      <c r="C14544" s="2">
        <v>569.31460000000004</v>
      </c>
      <c r="D14544" s="2">
        <f>HYPERLINK("http://mcb-m6.bioreg.kyushu-u.ac.jp/M3/20110404/F50758/1370/1", 50.03)</f>
        <v>50.03</v>
      </c>
      <c r="E14544" s="2">
        <v>32.200000000000003</v>
      </c>
      <c r="F14544" s="2">
        <v>2</v>
      </c>
      <c r="G14544" s="2" t="s">
        <v>10</v>
      </c>
      <c r="I14544" s="2" t="s">
        <v>4923</v>
      </c>
    </row>
    <row r="14545" spans="1:9" x14ac:dyDescent="0.2">
      <c r="A14545" s="2" t="s">
        <v>3669</v>
      </c>
      <c r="B14545" s="2" t="s">
        <v>7035</v>
      </c>
      <c r="C14545" s="2">
        <v>802.24659999999994</v>
      </c>
      <c r="D14545" s="2">
        <f>HYPERLINK("http://mcb-m6.bioreg.kyushu-u.ac.jp/M3/20110404/F50758/2148/1", 87.41)</f>
        <v>87.41</v>
      </c>
      <c r="E14545" s="2">
        <v>72.78</v>
      </c>
      <c r="F14545" s="2">
        <v>2</v>
      </c>
      <c r="G14545" s="2" t="s">
        <v>10</v>
      </c>
    </row>
    <row r="14546" spans="1:9" x14ac:dyDescent="0.2">
      <c r="A14546" s="2" t="s">
        <v>3669</v>
      </c>
      <c r="B14546" s="2" t="s">
        <v>6329</v>
      </c>
      <c r="C14546" s="2">
        <v>569.38620000000003</v>
      </c>
      <c r="D14546" s="2">
        <f>HYPERLINK("http://mcb-m6.bioreg.kyushu-u.ac.jp/M3/20110421/F51023/1510/1", 35.16)</f>
        <v>35.159999999999997</v>
      </c>
      <c r="E14546" s="2">
        <v>22.48</v>
      </c>
      <c r="F14546" s="2">
        <v>2</v>
      </c>
      <c r="G14546" s="2" t="s">
        <v>12</v>
      </c>
      <c r="I14546" s="2" t="s">
        <v>4923</v>
      </c>
    </row>
    <row r="14547" spans="1:9" x14ac:dyDescent="0.2">
      <c r="A14547" s="2" t="s">
        <v>3669</v>
      </c>
      <c r="B14547" s="2" t="s">
        <v>1451</v>
      </c>
      <c r="C14547" s="2">
        <v>663.69619999999998</v>
      </c>
      <c r="D14547" s="2">
        <f>HYPERLINK("http://mcb-m6.bioreg.kyushu-u.ac.jp/M3/20110427/F51111/1751/1", 57.9)</f>
        <v>57.9</v>
      </c>
      <c r="E14547" s="2">
        <v>43.35</v>
      </c>
      <c r="F14547" s="2">
        <v>2</v>
      </c>
      <c r="G14547" s="2" t="s">
        <v>13</v>
      </c>
      <c r="I14547" s="2" t="s">
        <v>4918</v>
      </c>
    </row>
    <row r="14548" spans="1:9" x14ac:dyDescent="0.2">
      <c r="A14548" s="2" t="s">
        <v>3888</v>
      </c>
      <c r="B14548" s="2" t="s">
        <v>6021</v>
      </c>
      <c r="C14548" s="2">
        <v>556.30970000000002</v>
      </c>
      <c r="D14548" s="2">
        <f>HYPERLINK("http://mcb-m6.bioreg.kyushu-u.ac.jp/M3/20110404/F50755/1197/1", 39.03)</f>
        <v>39.03</v>
      </c>
      <c r="E14548" s="2">
        <v>20.75</v>
      </c>
      <c r="F14548" s="2">
        <v>2</v>
      </c>
      <c r="G14548" s="2" t="s">
        <v>9</v>
      </c>
    </row>
    <row r="14549" spans="1:9" x14ac:dyDescent="0.2">
      <c r="A14549" s="2" t="s">
        <v>3888</v>
      </c>
      <c r="B14549" s="2" t="s">
        <v>6021</v>
      </c>
      <c r="C14549" s="2">
        <v>556.67070000000001</v>
      </c>
      <c r="D14549" s="2">
        <f>HYPERLINK("http://mcb-m6.bioreg.kyushu-u.ac.jp/M3/20110404/F50754/1496/1", 40.59)</f>
        <v>40.590000000000003</v>
      </c>
      <c r="E14549" s="2">
        <v>19.84</v>
      </c>
      <c r="F14549" s="2">
        <v>2</v>
      </c>
      <c r="G14549" s="2" t="s">
        <v>9</v>
      </c>
    </row>
    <row r="14550" spans="1:9" x14ac:dyDescent="0.2">
      <c r="A14550" s="2" t="s">
        <v>3888</v>
      </c>
      <c r="B14550" s="2" t="s">
        <v>6283</v>
      </c>
      <c r="C14550" s="2">
        <v>771.8347</v>
      </c>
      <c r="D14550" s="2">
        <f>HYPERLINK("http://mcb-m6.bioreg.kyushu-u.ac.jp/M3/20110404/F50756/2118/1", 50.73)</f>
        <v>50.73</v>
      </c>
      <c r="E14550" s="2">
        <v>31.38</v>
      </c>
      <c r="F14550" s="2">
        <v>2</v>
      </c>
      <c r="G14550" s="2" t="s">
        <v>9</v>
      </c>
    </row>
    <row r="14551" spans="1:9" x14ac:dyDescent="0.2">
      <c r="A14551" s="2" t="s">
        <v>3888</v>
      </c>
      <c r="B14551" s="2" t="s">
        <v>1029</v>
      </c>
      <c r="C14551" s="2">
        <v>611.75120000000004</v>
      </c>
      <c r="D14551" s="2">
        <f>HYPERLINK("http://mcb-m6.bioreg.kyushu-u.ac.jp/M3/20110404/F50755/1434/1", 61.16)</f>
        <v>61.16</v>
      </c>
      <c r="E14551" s="2">
        <v>42.2</v>
      </c>
      <c r="F14551" s="2">
        <v>2</v>
      </c>
      <c r="G14551" s="2" t="s">
        <v>9</v>
      </c>
    </row>
    <row r="14552" spans="1:9" x14ac:dyDescent="0.2">
      <c r="A14552" s="2" t="s">
        <v>3888</v>
      </c>
      <c r="B14552" s="2" t="s">
        <v>6509</v>
      </c>
      <c r="C14552" s="2">
        <v>537.70259999999996</v>
      </c>
      <c r="D14552" s="2">
        <f>HYPERLINK("http://mcb-m6.bioreg.kyushu-u.ac.jp/M3/20110404/F50755/1148/1", 72.25)</f>
        <v>72.25</v>
      </c>
      <c r="E14552" s="2">
        <v>45.56</v>
      </c>
      <c r="F14552" s="2">
        <v>2</v>
      </c>
      <c r="G14552" s="2" t="s">
        <v>9</v>
      </c>
    </row>
    <row r="14553" spans="1:9" x14ac:dyDescent="0.2">
      <c r="A14553" s="2" t="s">
        <v>3888</v>
      </c>
      <c r="B14553" s="2" t="s">
        <v>1318</v>
      </c>
      <c r="C14553" s="2">
        <v>889.78520000000003</v>
      </c>
      <c r="D14553" s="2">
        <f>HYPERLINK("http://mcb-m6.bioreg.kyushu-u.ac.jp/M3/20110404/F50755/2600/1", 76.95)</f>
        <v>76.95</v>
      </c>
      <c r="E14553" s="2">
        <v>46.9</v>
      </c>
      <c r="F14553" s="2">
        <v>2</v>
      </c>
      <c r="G14553" s="2" t="s">
        <v>9</v>
      </c>
      <c r="I14553" s="2" t="s">
        <v>4909</v>
      </c>
    </row>
    <row r="14554" spans="1:9" x14ac:dyDescent="0.2">
      <c r="A14554" s="2" t="s">
        <v>3888</v>
      </c>
      <c r="B14554" s="2" t="s">
        <v>1029</v>
      </c>
      <c r="C14554" s="2">
        <v>611.84670000000006</v>
      </c>
      <c r="D14554" s="2">
        <f>HYPERLINK("http://mcb-m6.bioreg.kyushu-u.ac.jp/M3/20110421/F51018/1552/1", 66.21)</f>
        <v>66.209999999999994</v>
      </c>
      <c r="E14554" s="2">
        <v>49.66</v>
      </c>
      <c r="F14554" s="2">
        <v>2</v>
      </c>
      <c r="G14554" s="2" t="s">
        <v>11</v>
      </c>
    </row>
    <row r="14555" spans="1:9" x14ac:dyDescent="0.2">
      <c r="A14555" s="2" t="s">
        <v>3888</v>
      </c>
      <c r="B14555" s="2" t="s">
        <v>1318</v>
      </c>
      <c r="C14555" s="2">
        <v>889.14170000000001</v>
      </c>
      <c r="D14555" s="2">
        <f>HYPERLINK("http://mcb-m6.bioreg.kyushu-u.ac.jp/M3/20110427/F51113/2584/1", 45.27)</f>
        <v>45.27</v>
      </c>
      <c r="E14555" s="2">
        <v>30.86</v>
      </c>
      <c r="F14555" s="2">
        <v>2</v>
      </c>
      <c r="G14555" s="2" t="s">
        <v>13</v>
      </c>
      <c r="I14555" s="2" t="s">
        <v>4909</v>
      </c>
    </row>
    <row r="14556" spans="1:9" x14ac:dyDescent="0.2">
      <c r="A14556" s="2" t="s">
        <v>3888</v>
      </c>
      <c r="B14556" s="2" t="s">
        <v>1318</v>
      </c>
      <c r="C14556" s="2">
        <v>889.7242</v>
      </c>
      <c r="D14556" s="2">
        <f>HYPERLINK("http://mcb-m6.bioreg.kyushu-u.ac.jp/M3/20110427/F51113/2587/1", 51.13)</f>
        <v>51.13</v>
      </c>
      <c r="E14556" s="2">
        <v>32.450000000000003</v>
      </c>
      <c r="F14556" s="2">
        <v>2</v>
      </c>
      <c r="G14556" s="2" t="s">
        <v>13</v>
      </c>
      <c r="I14556" s="2" t="s">
        <v>4909</v>
      </c>
    </row>
    <row r="14557" spans="1:9" x14ac:dyDescent="0.2">
      <c r="A14557" s="2" t="s">
        <v>3888</v>
      </c>
      <c r="B14557" s="2" t="s">
        <v>1029</v>
      </c>
      <c r="C14557" s="2">
        <v>611.67719999999997</v>
      </c>
      <c r="D14557" s="2">
        <f>HYPERLINK("http://mcb-m6.bioreg.kyushu-u.ac.jp/M3/20110427/F51113/1456/1", 74.89)</f>
        <v>74.89</v>
      </c>
      <c r="E14557" s="2">
        <v>46.92</v>
      </c>
      <c r="F14557" s="2">
        <v>2</v>
      </c>
      <c r="G14557" s="2" t="s">
        <v>13</v>
      </c>
    </row>
    <row r="14558" spans="1:9" x14ac:dyDescent="0.2">
      <c r="A14558" s="2" t="s">
        <v>3975</v>
      </c>
      <c r="B14558" s="2" t="s">
        <v>1219</v>
      </c>
      <c r="C14558" s="2">
        <v>622.80619999999999</v>
      </c>
      <c r="D14558" s="2">
        <f>HYPERLINK("http://mcb-m6.bioreg.kyushu-u.ac.jp/M3/20110404/F50754/1723/1", 49.69)</f>
        <v>49.69</v>
      </c>
      <c r="E14558" s="2">
        <v>22.73</v>
      </c>
      <c r="F14558" s="2">
        <v>2</v>
      </c>
      <c r="G14558" s="2" t="s">
        <v>9</v>
      </c>
    </row>
    <row r="14559" spans="1:9" x14ac:dyDescent="0.2">
      <c r="A14559" s="2" t="s">
        <v>3975</v>
      </c>
      <c r="B14559" s="2" t="s">
        <v>1219</v>
      </c>
      <c r="C14559" s="2">
        <v>622.6422</v>
      </c>
      <c r="D14559" s="2">
        <f>HYPERLINK("http://mcb-m6.bioreg.kyushu-u.ac.jp/M3/20110404/F50755/1475/1", 75.88)</f>
        <v>75.88</v>
      </c>
      <c r="E14559" s="2">
        <v>46.81</v>
      </c>
      <c r="F14559" s="2">
        <v>2</v>
      </c>
      <c r="G14559" s="2" t="s">
        <v>9</v>
      </c>
    </row>
    <row r="14560" spans="1:9" x14ac:dyDescent="0.2">
      <c r="A14560" s="2" t="s">
        <v>3975</v>
      </c>
      <c r="B14560" s="2" t="s">
        <v>1219</v>
      </c>
      <c r="C14560" s="2">
        <v>622.63819999999998</v>
      </c>
      <c r="D14560" s="2">
        <f>HYPERLINK("http://mcb-m6.bioreg.kyushu-u.ac.jp/M3/20110421/F51018/1591/1", 63.22)</f>
        <v>63.22</v>
      </c>
      <c r="E14560" s="2">
        <v>30.9</v>
      </c>
      <c r="F14560" s="2">
        <v>2</v>
      </c>
      <c r="G14560" s="2" t="s">
        <v>11</v>
      </c>
    </row>
    <row r="14561" spans="1:9" x14ac:dyDescent="0.2">
      <c r="A14561" s="2" t="s">
        <v>3975</v>
      </c>
      <c r="B14561" s="2" t="s">
        <v>1219</v>
      </c>
      <c r="C14561" s="2">
        <v>623.07709999999997</v>
      </c>
      <c r="D14561" s="2">
        <f>HYPERLINK("http://mcb-m6.bioreg.kyushu-u.ac.jp/M3/20110421/F51024/1671/1", 67.56)</f>
        <v>67.56</v>
      </c>
      <c r="E14561" s="2">
        <v>37.35</v>
      </c>
      <c r="F14561" s="2">
        <v>2</v>
      </c>
      <c r="G14561" s="2" t="s">
        <v>12</v>
      </c>
    </row>
    <row r="14562" spans="1:9" x14ac:dyDescent="0.2">
      <c r="A14562" s="2" t="s">
        <v>3975</v>
      </c>
      <c r="B14562" s="2" t="s">
        <v>1219</v>
      </c>
      <c r="C14562" s="2">
        <v>622.65560000000005</v>
      </c>
      <c r="D14562" s="2">
        <f>HYPERLINK("http://mcb-m6.bioreg.kyushu-u.ac.jp/M3/20110427/F51122/1741/1", 53.56)</f>
        <v>53.56</v>
      </c>
      <c r="E14562" s="2">
        <v>10.61</v>
      </c>
      <c r="F14562" s="2">
        <v>2</v>
      </c>
      <c r="G14562" s="2" t="s">
        <v>14</v>
      </c>
    </row>
    <row r="14563" spans="1:9" x14ac:dyDescent="0.2">
      <c r="A14563" s="2" t="s">
        <v>3840</v>
      </c>
      <c r="B14563" s="2" t="s">
        <v>2272</v>
      </c>
      <c r="C14563" s="2">
        <v>1096.1959999999999</v>
      </c>
      <c r="D14563" s="2">
        <f>HYPERLINK("http://mcb-m6.bioreg.kyushu-u.ac.jp/M3/20110404/F50755/1174/1", 41.57)</f>
        <v>41.57</v>
      </c>
      <c r="E14563" s="2">
        <v>16.29</v>
      </c>
      <c r="F14563" s="2">
        <v>1</v>
      </c>
      <c r="G14563" s="2" t="s">
        <v>9</v>
      </c>
      <c r="I14563" s="2" t="s">
        <v>4903</v>
      </c>
    </row>
    <row r="14564" spans="1:9" x14ac:dyDescent="0.2">
      <c r="A14564" s="2" t="s">
        <v>3840</v>
      </c>
      <c r="B14564" s="2" t="s">
        <v>926</v>
      </c>
      <c r="C14564" s="2">
        <v>711.65419999999995</v>
      </c>
      <c r="D14564" s="2">
        <f>HYPERLINK("http://mcb-m6.bioreg.kyushu-u.ac.jp/M3/20110404/F50755/1790/1", 79.61)</f>
        <v>79.61</v>
      </c>
      <c r="E14564" s="2">
        <v>57.12</v>
      </c>
      <c r="F14564" s="2">
        <v>2</v>
      </c>
      <c r="G14564" s="2" t="s">
        <v>9</v>
      </c>
    </row>
    <row r="14565" spans="1:9" x14ac:dyDescent="0.2">
      <c r="A14565" s="2" t="s">
        <v>3840</v>
      </c>
      <c r="B14565" s="2" t="s">
        <v>2272</v>
      </c>
      <c r="C14565" s="2">
        <v>1096.1389999999999</v>
      </c>
      <c r="D14565" s="2">
        <f>HYPERLINK("http://mcb-m6.bioreg.kyushu-u.ac.jp/M3/20110427/F51122/1479/1", 50.98)</f>
        <v>50.98</v>
      </c>
      <c r="E14565" s="2">
        <v>26.31</v>
      </c>
      <c r="F14565" s="2">
        <v>1</v>
      </c>
      <c r="G14565" s="2" t="s">
        <v>14</v>
      </c>
      <c r="I14565" s="2" t="s">
        <v>4903</v>
      </c>
    </row>
    <row r="14566" spans="1:9" x14ac:dyDescent="0.2">
      <c r="A14566" s="2" t="s">
        <v>3746</v>
      </c>
      <c r="B14566" s="2" t="s">
        <v>1514</v>
      </c>
      <c r="C14566" s="2">
        <v>994.73220000000003</v>
      </c>
      <c r="D14566" s="2">
        <f>HYPERLINK("http://mcb-m6.bioreg.kyushu-u.ac.jp/M3/20110404/F50756/3052/1", 62.86)</f>
        <v>62.86</v>
      </c>
      <c r="E14566" s="2">
        <v>49.65</v>
      </c>
      <c r="F14566" s="2">
        <v>2</v>
      </c>
      <c r="G14566" s="2" t="s">
        <v>9</v>
      </c>
    </row>
    <row r="14567" spans="1:9" x14ac:dyDescent="0.2">
      <c r="A14567" s="2" t="s">
        <v>3746</v>
      </c>
      <c r="B14567" s="2" t="s">
        <v>1514</v>
      </c>
      <c r="C14567" s="2">
        <v>994.80359999999996</v>
      </c>
      <c r="D14567" s="2">
        <f>HYPERLINK("http://mcb-m6.bioreg.kyushu-u.ac.jp/M3/20110427/F51123/3068/1", 71.99)</f>
        <v>71.989999999999995</v>
      </c>
      <c r="E14567" s="2">
        <v>51.61</v>
      </c>
      <c r="F14567" s="2">
        <v>2</v>
      </c>
      <c r="G14567" s="2" t="s">
        <v>14</v>
      </c>
    </row>
    <row r="14568" spans="1:9" x14ac:dyDescent="0.2">
      <c r="A14568" s="2" t="s">
        <v>3807</v>
      </c>
      <c r="B14568" s="2" t="s">
        <v>865</v>
      </c>
      <c r="C14568" s="2">
        <v>651.23360000000002</v>
      </c>
      <c r="D14568" s="2">
        <f>HYPERLINK("http://mcb-m6.bioreg.kyushu-u.ac.jp/M3/20110404/F50766/1067/1", 59.79)</f>
        <v>59.79</v>
      </c>
      <c r="E14568" s="2">
        <v>23.14</v>
      </c>
      <c r="F14568" s="2">
        <v>2</v>
      </c>
      <c r="G14568" s="2" t="s">
        <v>9</v>
      </c>
    </row>
    <row r="14569" spans="1:9" x14ac:dyDescent="0.2">
      <c r="A14569" s="2" t="s">
        <v>3807</v>
      </c>
      <c r="B14569" s="2" t="s">
        <v>865</v>
      </c>
      <c r="C14569" s="2">
        <v>651.3152</v>
      </c>
      <c r="D14569" s="2">
        <f>HYPERLINK("http://mcb-m6.bioreg.kyushu-u.ac.jp/M3/20110404/F50776/1461/1", 66.41)</f>
        <v>66.41</v>
      </c>
      <c r="E14569" s="2">
        <v>38.369999999999997</v>
      </c>
      <c r="F14569" s="2">
        <v>2</v>
      </c>
      <c r="G14569" s="2" t="s">
        <v>9</v>
      </c>
    </row>
    <row r="14570" spans="1:9" x14ac:dyDescent="0.2">
      <c r="A14570" s="2" t="s">
        <v>3807</v>
      </c>
      <c r="B14570" s="2" t="s">
        <v>865</v>
      </c>
      <c r="C14570" s="2">
        <v>651.35310000000004</v>
      </c>
      <c r="D14570" s="2">
        <f>HYPERLINK("http://mcb-m6.bioreg.kyushu-u.ac.jp/M3/20110404/F50763/1570/1", 70.82)</f>
        <v>70.819999999999993</v>
      </c>
      <c r="E14570" s="2">
        <v>46.39</v>
      </c>
      <c r="F14570" s="2">
        <v>2</v>
      </c>
      <c r="G14570" s="2" t="s">
        <v>9</v>
      </c>
    </row>
    <row r="14571" spans="1:9" x14ac:dyDescent="0.2">
      <c r="A14571" s="2" t="s">
        <v>3807</v>
      </c>
      <c r="B14571" s="2" t="s">
        <v>865</v>
      </c>
      <c r="C14571" s="2">
        <v>651.20119999999997</v>
      </c>
      <c r="D14571" s="2">
        <f>HYPERLINK("http://mcb-m6.bioreg.kyushu-u.ac.jp/M3/20110404/F50761/1467/1", 41.21)</f>
        <v>41.21</v>
      </c>
      <c r="E14571" s="2">
        <v>18.559999999999999</v>
      </c>
      <c r="F14571" s="2">
        <v>2</v>
      </c>
      <c r="G14571" s="2" t="s">
        <v>10</v>
      </c>
    </row>
    <row r="14572" spans="1:9" x14ac:dyDescent="0.2">
      <c r="A14572" s="2" t="s">
        <v>3807</v>
      </c>
      <c r="B14572" s="2" t="s">
        <v>865</v>
      </c>
      <c r="C14572" s="2">
        <v>651.6481</v>
      </c>
      <c r="D14572" s="2">
        <f>HYPERLINK("http://mcb-m6.bioreg.kyushu-u.ac.jp/M3/20110421/F51021/1548/1", 43.22)</f>
        <v>43.22</v>
      </c>
      <c r="E14572" s="2">
        <v>18.899999999999999</v>
      </c>
      <c r="F14572" s="2">
        <v>2</v>
      </c>
      <c r="G14572" s="2" t="s">
        <v>12</v>
      </c>
    </row>
    <row r="14573" spans="1:9" x14ac:dyDescent="0.2">
      <c r="A14573" s="2" t="s">
        <v>3807</v>
      </c>
      <c r="B14573" s="2" t="s">
        <v>865</v>
      </c>
      <c r="C14573" s="2">
        <v>1301.3630000000001</v>
      </c>
      <c r="D14573" s="2">
        <f>HYPERLINK("http://mcb-m6.bioreg.kyushu-u.ac.jp/M3/20110421/F51021/1543/1", 64.87)</f>
        <v>64.87</v>
      </c>
      <c r="E14573" s="2">
        <v>44.61</v>
      </c>
      <c r="F14573" s="2">
        <v>1</v>
      </c>
      <c r="G14573" s="2" t="s">
        <v>12</v>
      </c>
    </row>
    <row r="14574" spans="1:9" x14ac:dyDescent="0.2">
      <c r="A14574" s="2" t="s">
        <v>3807</v>
      </c>
      <c r="B14574" s="2" t="s">
        <v>865</v>
      </c>
      <c r="C14574" s="2">
        <v>651.52760000000001</v>
      </c>
      <c r="D14574" s="2">
        <f>HYPERLINK("http://mcb-m6.bioreg.kyushu-u.ac.jp/M3/20110421/F51021/1545/1", 81.06)</f>
        <v>81.06</v>
      </c>
      <c r="E14574" s="2">
        <v>53.13</v>
      </c>
      <c r="F14574" s="2">
        <v>2</v>
      </c>
      <c r="G14574" s="2" t="s">
        <v>12</v>
      </c>
    </row>
    <row r="14575" spans="1:9" x14ac:dyDescent="0.2">
      <c r="A14575" s="2" t="s">
        <v>3807</v>
      </c>
      <c r="B14575" s="2" t="s">
        <v>865</v>
      </c>
      <c r="C14575" s="2">
        <v>651.66610000000003</v>
      </c>
      <c r="D14575" s="2">
        <f>HYPERLINK("http://mcb-m6.bioreg.kyushu-u.ac.jp/M3/20110427/F51110/1854/1", 54.97)</f>
        <v>54.97</v>
      </c>
      <c r="E14575" s="2">
        <v>26.98</v>
      </c>
      <c r="F14575" s="2">
        <v>2</v>
      </c>
      <c r="G14575" s="2" t="s">
        <v>13</v>
      </c>
    </row>
    <row r="14576" spans="1:9" x14ac:dyDescent="0.2">
      <c r="A14576" s="2" t="s">
        <v>3807</v>
      </c>
      <c r="B14576" s="2" t="s">
        <v>865</v>
      </c>
      <c r="C14576" s="2">
        <v>651.39070000000004</v>
      </c>
      <c r="D14576" s="2">
        <f>HYPERLINK("http://mcb-m6.bioreg.kyushu-u.ac.jp/M3/20110427/F51108/1694/1", 67.14)</f>
        <v>67.14</v>
      </c>
      <c r="E14576" s="2">
        <v>24.54</v>
      </c>
      <c r="F14576" s="2">
        <v>2</v>
      </c>
      <c r="G14576" s="2" t="s">
        <v>13</v>
      </c>
    </row>
    <row r="14577" spans="1:9" x14ac:dyDescent="0.2">
      <c r="A14577" s="2" t="s">
        <v>3807</v>
      </c>
      <c r="B14577" s="2" t="s">
        <v>865</v>
      </c>
      <c r="C14577" s="2">
        <v>651.13459999999998</v>
      </c>
      <c r="D14577" s="2">
        <f>HYPERLINK("http://mcb-m6.bioreg.kyushu-u.ac.jp/M3/20110427/F51122/1798/1", 70.04)</f>
        <v>70.040000000000006</v>
      </c>
      <c r="E14577" s="2">
        <v>35.06</v>
      </c>
      <c r="F14577" s="2">
        <v>2</v>
      </c>
      <c r="G14577" s="2" t="s">
        <v>14</v>
      </c>
    </row>
    <row r="14578" spans="1:9" x14ac:dyDescent="0.2">
      <c r="A14578" s="2" t="s">
        <v>4616</v>
      </c>
      <c r="B14578" s="2" t="s">
        <v>2739</v>
      </c>
      <c r="C14578" s="2">
        <v>776.96559999999999</v>
      </c>
      <c r="D14578" s="2">
        <f>HYPERLINK("http://mcb-m6.bioreg.kyushu-u.ac.jp/M3/20110421/F51037/2245/1", 77.05)</f>
        <v>77.05</v>
      </c>
      <c r="E14578" s="2">
        <v>53.75</v>
      </c>
      <c r="F14578" s="2">
        <v>2</v>
      </c>
      <c r="G14578" s="2" t="s">
        <v>11</v>
      </c>
    </row>
    <row r="14579" spans="1:9" x14ac:dyDescent="0.2">
      <c r="A14579" s="2" t="s">
        <v>7905</v>
      </c>
      <c r="B14579" s="2" t="s">
        <v>7068</v>
      </c>
      <c r="C14579" s="2">
        <v>971.27719999999999</v>
      </c>
      <c r="D14579" s="2">
        <f>HYPERLINK("http://mcb-m6.bioreg.kyushu-u.ac.jp/M3/20110421/F51039/3087/1", 35.36)</f>
        <v>35.36</v>
      </c>
      <c r="E14579" s="2">
        <v>22.85</v>
      </c>
      <c r="F14579" s="2">
        <v>2</v>
      </c>
      <c r="G14579" s="2" t="s">
        <v>11</v>
      </c>
    </row>
    <row r="14580" spans="1:9" x14ac:dyDescent="0.2">
      <c r="A14580" s="2" t="s">
        <v>7763</v>
      </c>
      <c r="B14580" s="2" t="s">
        <v>6586</v>
      </c>
      <c r="C14580" s="2">
        <v>967.98320000000001</v>
      </c>
      <c r="D14580" s="2">
        <f>HYPERLINK("http://mcb-m6.bioreg.kyushu-u.ac.jp/M3/20110404/F50764/2648/1", 86.13)</f>
        <v>86.13</v>
      </c>
      <c r="E14580" s="2">
        <v>74.209999999999994</v>
      </c>
      <c r="F14580" s="2">
        <v>2</v>
      </c>
      <c r="G14580" s="2" t="s">
        <v>9</v>
      </c>
    </row>
    <row r="14581" spans="1:9" x14ac:dyDescent="0.2">
      <c r="A14581" s="2" t="s">
        <v>3303</v>
      </c>
      <c r="B14581" s="2" t="s">
        <v>6111</v>
      </c>
      <c r="C14581" s="2">
        <v>916.38819999999998</v>
      </c>
      <c r="D14581" s="2">
        <f>HYPERLINK("http://mcb-m6.bioreg.kyushu-u.ac.jp/M3/20110404/F50763/2537/1", 42.92)</f>
        <v>42.92</v>
      </c>
      <c r="E14581" s="2">
        <v>35.659999999999997</v>
      </c>
      <c r="F14581" s="2">
        <v>2</v>
      </c>
      <c r="G14581" s="2" t="s">
        <v>9</v>
      </c>
      <c r="I14581" s="2" t="s">
        <v>4903</v>
      </c>
    </row>
    <row r="14582" spans="1:9" x14ac:dyDescent="0.2">
      <c r="A14582" s="2" t="s">
        <v>3303</v>
      </c>
      <c r="B14582" s="2" t="s">
        <v>6293</v>
      </c>
      <c r="C14582" s="2">
        <v>1132.424</v>
      </c>
      <c r="D14582" s="2">
        <f>HYPERLINK("http://mcb-m6.bioreg.kyushu-u.ac.jp/M3/20110404/F50763/1276/1", 51.18)</f>
        <v>51.18</v>
      </c>
      <c r="E14582" s="2">
        <v>28.68</v>
      </c>
      <c r="F14582" s="2">
        <v>1</v>
      </c>
      <c r="G14582" s="2" t="s">
        <v>9</v>
      </c>
    </row>
    <row r="14583" spans="1:9" x14ac:dyDescent="0.2">
      <c r="A14583" s="2" t="s">
        <v>3303</v>
      </c>
      <c r="B14583" s="2" t="s">
        <v>637</v>
      </c>
      <c r="C14583" s="2">
        <v>683.29169999999999</v>
      </c>
      <c r="D14583" s="2">
        <f>HYPERLINK("http://mcb-m6.bioreg.kyushu-u.ac.jp/M3/20110404/F50763/1669/1", 62.69)</f>
        <v>62.69</v>
      </c>
      <c r="E14583" s="2">
        <v>46.42</v>
      </c>
      <c r="F14583" s="2">
        <v>2</v>
      </c>
      <c r="G14583" s="2" t="s">
        <v>9</v>
      </c>
    </row>
    <row r="14584" spans="1:9" x14ac:dyDescent="0.2">
      <c r="A14584" s="2" t="s">
        <v>3303</v>
      </c>
      <c r="B14584" s="2" t="s">
        <v>84</v>
      </c>
      <c r="C14584" s="2">
        <v>575.68269999999995</v>
      </c>
      <c r="D14584" s="2">
        <f>HYPERLINK("http://mcb-m6.bioreg.kyushu-u.ac.jp/M3/20110404/F50763/1306/1", 64.91)</f>
        <v>64.91</v>
      </c>
      <c r="E14584" s="2">
        <v>46.15</v>
      </c>
      <c r="F14584" s="2">
        <v>2</v>
      </c>
      <c r="G14584" s="2" t="s">
        <v>9</v>
      </c>
    </row>
    <row r="14585" spans="1:9" x14ac:dyDescent="0.2">
      <c r="A14585" s="2" t="s">
        <v>3303</v>
      </c>
      <c r="B14585" s="2" t="s">
        <v>2097</v>
      </c>
      <c r="C14585" s="2">
        <v>667.3297</v>
      </c>
      <c r="D14585" s="2">
        <f>HYPERLINK("http://mcb-m6.bioreg.kyushu-u.ac.jp/M3/20110404/F50763/1614/1", 85.68)</f>
        <v>85.68</v>
      </c>
      <c r="E14585" s="2">
        <v>61.31</v>
      </c>
      <c r="F14585" s="2">
        <v>2</v>
      </c>
      <c r="G14585" s="2" t="s">
        <v>9</v>
      </c>
    </row>
    <row r="14586" spans="1:9" x14ac:dyDescent="0.2">
      <c r="A14586" s="2" t="s">
        <v>3303</v>
      </c>
      <c r="B14586" s="2" t="s">
        <v>6618</v>
      </c>
      <c r="C14586" s="2">
        <v>784.87819999999999</v>
      </c>
      <c r="D14586" s="2">
        <f>HYPERLINK("http://mcb-m6.bioreg.kyushu-u.ac.jp/M3/20110404/F50763/2101/1", 95.61)</f>
        <v>95.61</v>
      </c>
      <c r="E14586" s="2">
        <v>80.849999999999994</v>
      </c>
      <c r="F14586" s="2">
        <v>2</v>
      </c>
      <c r="G14586" s="2" t="s">
        <v>9</v>
      </c>
    </row>
    <row r="14587" spans="1:9" x14ac:dyDescent="0.2">
      <c r="A14587" s="2" t="s">
        <v>3303</v>
      </c>
      <c r="B14587" s="2" t="s">
        <v>2097</v>
      </c>
      <c r="C14587" s="2">
        <v>667.23019999999997</v>
      </c>
      <c r="D14587" s="2">
        <f>HYPERLINK("http://mcb-m6.bioreg.kyushu-u.ac.jp/M3/20110404/F50769/1722/1", 91.54)</f>
        <v>91.54</v>
      </c>
      <c r="E14587" s="2">
        <v>65.39</v>
      </c>
      <c r="F14587" s="2">
        <v>2</v>
      </c>
      <c r="G14587" s="2" t="s">
        <v>10</v>
      </c>
    </row>
    <row r="14588" spans="1:9" x14ac:dyDescent="0.2">
      <c r="A14588" s="2" t="s">
        <v>3303</v>
      </c>
      <c r="B14588" s="2" t="s">
        <v>84</v>
      </c>
      <c r="C14588" s="2">
        <v>576.25919999999996</v>
      </c>
      <c r="D14588" s="2">
        <f>HYPERLINK("http://mcb-m6.bioreg.kyushu-u.ac.jp/M3/20110421/F51035/1104/1", 39.38)</f>
        <v>39.380000000000003</v>
      </c>
      <c r="E14588" s="2">
        <v>17.760000000000002</v>
      </c>
      <c r="F14588" s="2">
        <v>2</v>
      </c>
      <c r="G14588" s="2" t="s">
        <v>11</v>
      </c>
    </row>
    <row r="14589" spans="1:9" x14ac:dyDescent="0.2">
      <c r="A14589" s="2" t="s">
        <v>3303</v>
      </c>
      <c r="B14589" s="2" t="s">
        <v>2097</v>
      </c>
      <c r="C14589" s="2">
        <v>667.87519999999995</v>
      </c>
      <c r="D14589" s="2">
        <f>HYPERLINK("http://mcb-m6.bioreg.kyushu-u.ac.jp/M3/20110421/F51035/1528/1", 74.74)</f>
        <v>74.739999999999995</v>
      </c>
      <c r="E14589" s="2">
        <v>54.32</v>
      </c>
      <c r="F14589" s="2">
        <v>2</v>
      </c>
      <c r="G14589" s="2" t="s">
        <v>11</v>
      </c>
    </row>
    <row r="14590" spans="1:9" x14ac:dyDescent="0.2">
      <c r="A14590" s="2" t="s">
        <v>3303</v>
      </c>
      <c r="B14590" s="2" t="s">
        <v>3122</v>
      </c>
      <c r="C14590" s="2">
        <v>665.05160000000001</v>
      </c>
      <c r="D14590" s="2">
        <f>HYPERLINK("http://mcb-m6.bioreg.kyushu-u.ac.jp/M3/20110421/F51045/1801/1", 40.59)</f>
        <v>40.590000000000003</v>
      </c>
      <c r="E14590" s="2">
        <v>28.41</v>
      </c>
      <c r="F14590" s="2">
        <v>2</v>
      </c>
      <c r="G14590" s="2" t="s">
        <v>12</v>
      </c>
    </row>
    <row r="14591" spans="1:9" x14ac:dyDescent="0.2">
      <c r="A14591" s="2" t="s">
        <v>3303</v>
      </c>
      <c r="B14591" s="2" t="s">
        <v>3122</v>
      </c>
      <c r="C14591" s="2">
        <v>665.40419999999995</v>
      </c>
      <c r="D14591" s="2">
        <f>HYPERLINK("http://mcb-m6.bioreg.kyushu-u.ac.jp/M3/20110421/F51043/1620/1", 77.3)</f>
        <v>77.3</v>
      </c>
      <c r="E14591" s="2">
        <v>62.53</v>
      </c>
      <c r="F14591" s="2">
        <v>2</v>
      </c>
      <c r="G14591" s="2" t="s">
        <v>12</v>
      </c>
    </row>
    <row r="14592" spans="1:9" x14ac:dyDescent="0.2">
      <c r="A14592" s="2" t="s">
        <v>3303</v>
      </c>
      <c r="B14592" s="2" t="s">
        <v>2097</v>
      </c>
      <c r="C14592" s="2">
        <v>667.73969999999997</v>
      </c>
      <c r="D14592" s="2">
        <f>HYPERLINK("http://mcb-m6.bioreg.kyushu-u.ac.jp/M3/20110428/F51127/1466/1", 83.5)</f>
        <v>83.5</v>
      </c>
      <c r="E14592" s="2">
        <v>59.07</v>
      </c>
      <c r="F14592" s="2">
        <v>2</v>
      </c>
      <c r="G14592" s="2" t="s">
        <v>13</v>
      </c>
    </row>
    <row r="14593" spans="1:8" x14ac:dyDescent="0.2">
      <c r="A14593" s="2" t="s">
        <v>3991</v>
      </c>
      <c r="B14593" s="2" t="s">
        <v>1268</v>
      </c>
      <c r="C14593" s="2">
        <v>850.1617</v>
      </c>
      <c r="D14593" s="2">
        <f>HYPERLINK("http://mcb-m6.bioreg.kyushu-u.ac.jp/M3/20110404/F50754/2447/1", 60.34)</f>
        <v>60.34</v>
      </c>
      <c r="E14593" s="2">
        <v>41.77</v>
      </c>
      <c r="F14593" s="2">
        <v>2</v>
      </c>
      <c r="G14593" s="2" t="s">
        <v>9</v>
      </c>
    </row>
    <row r="14594" spans="1:8" x14ac:dyDescent="0.2">
      <c r="A14594" s="2" t="s">
        <v>3428</v>
      </c>
      <c r="B14594" s="2" t="s">
        <v>2475</v>
      </c>
      <c r="C14594" s="2">
        <v>782.55319999999995</v>
      </c>
      <c r="D14594" s="2">
        <f>HYPERLINK("http://mcb-m6.bioreg.kyushu-u.ac.jp/M3/20110421/F51059/2023/1", 56.7)</f>
        <v>56.7</v>
      </c>
      <c r="E14594" s="2">
        <v>44.46</v>
      </c>
      <c r="F14594" s="2">
        <v>2</v>
      </c>
      <c r="G14594" s="2" t="s">
        <v>12</v>
      </c>
    </row>
    <row r="14595" spans="1:8" x14ac:dyDescent="0.2">
      <c r="A14595" s="2" t="s">
        <v>4429</v>
      </c>
      <c r="B14595" s="2" t="s">
        <v>6715</v>
      </c>
      <c r="C14595" s="2">
        <v>1108.443</v>
      </c>
      <c r="D14595" s="2">
        <f>HYPERLINK("http://mcb-m6.bioreg.kyushu-u.ac.jp/M3/20110404/F50757/1634/1", 37.38)</f>
        <v>37.380000000000003</v>
      </c>
      <c r="E14595" s="2">
        <v>18.170000000000002</v>
      </c>
      <c r="F14595" s="2">
        <v>1</v>
      </c>
      <c r="G14595" s="2" t="s">
        <v>10</v>
      </c>
    </row>
    <row r="14596" spans="1:8" x14ac:dyDescent="0.2">
      <c r="A14596" s="2" t="s">
        <v>4429</v>
      </c>
      <c r="B14596" s="2" t="s">
        <v>2306</v>
      </c>
      <c r="C14596" s="2">
        <v>717.07820000000004</v>
      </c>
      <c r="D14596" s="2">
        <f>HYPERLINK("http://mcb-m6.bioreg.kyushu-u.ac.jp/M3/20110404/F50757/2033/1", 88.51)</f>
        <v>88.51</v>
      </c>
      <c r="E14596" s="2">
        <v>62.96</v>
      </c>
      <c r="F14596" s="2">
        <v>2</v>
      </c>
      <c r="G14596" s="2" t="s">
        <v>10</v>
      </c>
    </row>
    <row r="14597" spans="1:8" x14ac:dyDescent="0.2">
      <c r="A14597" s="2" t="s">
        <v>4429</v>
      </c>
      <c r="B14597" s="2" t="s">
        <v>2306</v>
      </c>
      <c r="C14597" s="2">
        <v>717.19960000000003</v>
      </c>
      <c r="D14597" s="2">
        <f>HYPERLINK("http://mcb-m6.bioreg.kyushu-u.ac.jp/M3/20110421/F51022/1976/1", 72.04)</f>
        <v>72.040000000000006</v>
      </c>
      <c r="E14597" s="2">
        <v>52.73</v>
      </c>
      <c r="F14597" s="2">
        <v>2</v>
      </c>
      <c r="G14597" s="2" t="s">
        <v>12</v>
      </c>
    </row>
    <row r="14598" spans="1:8" x14ac:dyDescent="0.2">
      <c r="A14598" s="2" t="s">
        <v>4429</v>
      </c>
      <c r="B14598" s="2" t="s">
        <v>2306</v>
      </c>
      <c r="C14598" s="2">
        <v>716.63620000000003</v>
      </c>
      <c r="D14598" s="2">
        <f>HYPERLINK("http://mcb-m6.bioreg.kyushu-u.ac.jp/M3/20110421/F51022/1974/1", 80.73)</f>
        <v>80.73</v>
      </c>
      <c r="E14598" s="2">
        <v>62.66</v>
      </c>
      <c r="F14598" s="2">
        <v>2</v>
      </c>
      <c r="G14598" s="2" t="s">
        <v>12</v>
      </c>
    </row>
    <row r="14599" spans="1:8" x14ac:dyDescent="0.2">
      <c r="A14599" s="2" t="s">
        <v>4429</v>
      </c>
      <c r="B14599" s="2" t="s">
        <v>7268</v>
      </c>
      <c r="C14599" s="2">
        <v>788.15009999999995</v>
      </c>
      <c r="D14599" s="2">
        <f>HYPERLINK("http://mcb-m6.bioreg.kyushu-u.ac.jp/M3/20110421/F51022/2096/1", 80.86)</f>
        <v>80.86</v>
      </c>
      <c r="E14599" s="2">
        <v>65.66</v>
      </c>
      <c r="F14599" s="2">
        <v>2</v>
      </c>
      <c r="G14599" s="2" t="s">
        <v>12</v>
      </c>
      <c r="H14599" s="2" t="s">
        <v>4912</v>
      </c>
    </row>
    <row r="14600" spans="1:8" x14ac:dyDescent="0.2">
      <c r="A14600" s="2" t="s">
        <v>8040</v>
      </c>
      <c r="B14600" s="2" t="s">
        <v>7316</v>
      </c>
      <c r="C14600" s="2">
        <v>576.96469999999999</v>
      </c>
      <c r="D14600" s="2">
        <f>HYPERLINK("http://mcb-m6.bioreg.kyushu-u.ac.jp/M3/20110427/F51108/1484/1", 38.97)</f>
        <v>38.97</v>
      </c>
      <c r="E14600" s="2">
        <v>10.4</v>
      </c>
      <c r="F14600" s="2">
        <v>2</v>
      </c>
      <c r="G14600" s="2" t="s">
        <v>13</v>
      </c>
    </row>
    <row r="14601" spans="1:8" x14ac:dyDescent="0.2">
      <c r="A14601" s="2" t="s">
        <v>8040</v>
      </c>
      <c r="B14601" s="2" t="s">
        <v>7318</v>
      </c>
      <c r="C14601" s="2">
        <v>495.59710000000001</v>
      </c>
      <c r="D14601" s="2">
        <f>HYPERLINK("http://mcb-m6.bioreg.kyushu-u.ac.jp/M3/20110427/F51108/1188/1", 39.59)</f>
        <v>39.590000000000003</v>
      </c>
      <c r="E14601" s="2">
        <v>10.71</v>
      </c>
      <c r="F14601" s="2">
        <v>2</v>
      </c>
      <c r="G14601" s="2" t="s">
        <v>13</v>
      </c>
    </row>
    <row r="14602" spans="1:8" x14ac:dyDescent="0.2">
      <c r="A14602" s="2" t="s">
        <v>8040</v>
      </c>
      <c r="B14602" s="2" t="s">
        <v>7392</v>
      </c>
      <c r="C14602" s="2">
        <v>604.26760000000002</v>
      </c>
      <c r="D14602" s="2">
        <f>HYPERLINK("http://mcb-m6.bioreg.kyushu-u.ac.jp/M3/20110427/F51108/1575/1", 55.04)</f>
        <v>55.04</v>
      </c>
      <c r="E14602" s="2">
        <v>26.54</v>
      </c>
      <c r="F14602" s="2">
        <v>2</v>
      </c>
      <c r="G14602" s="2" t="s">
        <v>13</v>
      </c>
    </row>
    <row r="14603" spans="1:8" x14ac:dyDescent="0.2">
      <c r="A14603" s="2" t="s">
        <v>3988</v>
      </c>
      <c r="B14603" s="2" t="s">
        <v>2319</v>
      </c>
      <c r="C14603" s="2">
        <v>972.25710000000004</v>
      </c>
      <c r="D14603" s="2">
        <f>HYPERLINK("http://mcb-m6.bioreg.kyushu-u.ac.jp/M3/20110404/F50768/2659/1", 96.11)</f>
        <v>96.11</v>
      </c>
      <c r="E14603" s="2">
        <v>75.13</v>
      </c>
      <c r="F14603" s="2">
        <v>2</v>
      </c>
      <c r="G14603" s="2" t="s">
        <v>10</v>
      </c>
    </row>
    <row r="14604" spans="1:8" x14ac:dyDescent="0.2">
      <c r="A14604" s="2" t="s">
        <v>3988</v>
      </c>
      <c r="B14604" s="2" t="s">
        <v>1257</v>
      </c>
      <c r="C14604" s="2">
        <v>621.23069999999996</v>
      </c>
      <c r="D14604" s="2">
        <f>HYPERLINK("http://mcb-m6.bioreg.kyushu-u.ac.jp/M3/20110427/F51114/1464/1", 56.05)</f>
        <v>56.05</v>
      </c>
      <c r="E14604" s="2">
        <v>38.299999999999997</v>
      </c>
      <c r="F14604" s="2">
        <v>2</v>
      </c>
      <c r="G14604" s="2" t="s">
        <v>13</v>
      </c>
    </row>
    <row r="14605" spans="1:8" x14ac:dyDescent="0.2">
      <c r="A14605" s="2" t="s">
        <v>3988</v>
      </c>
      <c r="B14605" s="2" t="s">
        <v>1256</v>
      </c>
      <c r="C14605" s="2">
        <v>507.09960000000001</v>
      </c>
      <c r="D14605" s="2">
        <f>HYPERLINK("http://mcb-m6.bioreg.kyushu-u.ac.jp/M3/20110427/F51114/948/1", 78.97)</f>
        <v>78.97</v>
      </c>
      <c r="E14605" s="2">
        <v>57.66</v>
      </c>
      <c r="F14605" s="2">
        <v>2</v>
      </c>
      <c r="G14605" s="2" t="s">
        <v>13</v>
      </c>
    </row>
    <row r="14606" spans="1:8" x14ac:dyDescent="0.2">
      <c r="A14606" s="2" t="s">
        <v>3988</v>
      </c>
      <c r="B14606" s="2" t="s">
        <v>1651</v>
      </c>
      <c r="C14606" s="2">
        <v>730.69119999999998</v>
      </c>
      <c r="D14606" s="2">
        <f>HYPERLINK("http://mcb-m6.bioreg.kyushu-u.ac.jp/M3/20110427/F51114/1999/1", 89.48)</f>
        <v>89.48</v>
      </c>
      <c r="E14606" s="2">
        <v>68.91</v>
      </c>
      <c r="F14606" s="2">
        <v>2</v>
      </c>
      <c r="G14606" s="2" t="s">
        <v>13</v>
      </c>
    </row>
    <row r="14607" spans="1:8" x14ac:dyDescent="0.2">
      <c r="A14607" s="2" t="s">
        <v>3988</v>
      </c>
      <c r="B14607" s="2" t="s">
        <v>2319</v>
      </c>
      <c r="C14607" s="2">
        <v>972.74469999999997</v>
      </c>
      <c r="D14607" s="2">
        <f>HYPERLINK("http://mcb-m6.bioreg.kyushu-u.ac.jp/M3/20110427/F51114/3136/1", 100.82)</f>
        <v>100.82</v>
      </c>
      <c r="E14607" s="2">
        <v>76.19</v>
      </c>
      <c r="F14607" s="2">
        <v>2</v>
      </c>
      <c r="G14607" s="2" t="s">
        <v>13</v>
      </c>
    </row>
    <row r="14608" spans="1:8" x14ac:dyDescent="0.2">
      <c r="A14608" s="2" t="s">
        <v>3988</v>
      </c>
      <c r="B14608" s="2" t="s">
        <v>1651</v>
      </c>
      <c r="C14608" s="2">
        <v>731.20569999999998</v>
      </c>
      <c r="D14608" s="2">
        <f>HYPERLINK("http://mcb-m6.bioreg.kyushu-u.ac.jp/M3/20110427/F51123/1987/1", 74.51)</f>
        <v>74.510000000000005</v>
      </c>
      <c r="E14608" s="2">
        <v>55.23</v>
      </c>
      <c r="F14608" s="2">
        <v>2</v>
      </c>
      <c r="G14608" s="2" t="s">
        <v>14</v>
      </c>
    </row>
    <row r="14609" spans="1:9" x14ac:dyDescent="0.2">
      <c r="A14609" s="2" t="s">
        <v>3988</v>
      </c>
      <c r="B14609" s="2" t="s">
        <v>1651</v>
      </c>
      <c r="C14609" s="2">
        <v>730.69759999999997</v>
      </c>
      <c r="D14609" s="2">
        <f>HYPERLINK("http://mcb-m6.bioreg.kyushu-u.ac.jp/M3/20110427/F51123/1982/1", 119.81)</f>
        <v>119.81</v>
      </c>
      <c r="E14609" s="2">
        <v>96.53</v>
      </c>
      <c r="F14609" s="2">
        <v>2</v>
      </c>
      <c r="G14609" s="2" t="s">
        <v>14</v>
      </c>
    </row>
    <row r="14610" spans="1:9" x14ac:dyDescent="0.2">
      <c r="A14610" s="2" t="s">
        <v>3281</v>
      </c>
      <c r="B14610" s="2" t="s">
        <v>415</v>
      </c>
      <c r="C14610" s="2">
        <v>1052.7560000000001</v>
      </c>
      <c r="D14610" s="2">
        <f>HYPERLINK("http://mcb-m6.bioreg.kyushu-u.ac.jp/M3/20110427/F51114/3399/1", 44.69)</f>
        <v>44.69</v>
      </c>
      <c r="E14610" s="2">
        <v>35.79</v>
      </c>
      <c r="F14610" s="2">
        <v>2</v>
      </c>
      <c r="G14610" s="2" t="s">
        <v>13</v>
      </c>
    </row>
    <row r="14611" spans="1:9" x14ac:dyDescent="0.2">
      <c r="A14611" s="2" t="s">
        <v>7517</v>
      </c>
      <c r="B14611" s="2" t="s">
        <v>5904</v>
      </c>
      <c r="C14611" s="2">
        <v>511.17559999999997</v>
      </c>
      <c r="D14611" s="2">
        <f>HYPERLINK("http://mcb-m6.bioreg.kyushu-u.ac.jp/M3/20110404/F50778/858/1", 35.05)</f>
        <v>35.049999999999997</v>
      </c>
      <c r="E14611" s="2">
        <v>16.489999999999998</v>
      </c>
      <c r="F14611" s="2">
        <v>2</v>
      </c>
      <c r="G14611" s="2" t="s">
        <v>9</v>
      </c>
    </row>
    <row r="14612" spans="1:9" x14ac:dyDescent="0.2">
      <c r="A14612" s="2" t="s">
        <v>4398</v>
      </c>
      <c r="B14612" s="2" t="s">
        <v>2248</v>
      </c>
      <c r="C14612" s="2">
        <v>532.76070000000004</v>
      </c>
      <c r="D14612" s="2">
        <f>HYPERLINK("http://mcb-m6.bioreg.kyushu-u.ac.jp/M3/20110404/F50781/1161/1", 41.32)</f>
        <v>41.32</v>
      </c>
      <c r="E14612" s="2">
        <v>20.2</v>
      </c>
      <c r="F14612" s="2">
        <v>2</v>
      </c>
      <c r="G14612" s="2" t="s">
        <v>10</v>
      </c>
    </row>
    <row r="14613" spans="1:9" x14ac:dyDescent="0.2">
      <c r="A14613" s="2" t="s">
        <v>7707</v>
      </c>
      <c r="B14613" s="2" t="s">
        <v>6386</v>
      </c>
      <c r="C14613" s="2">
        <v>673.90869999999995</v>
      </c>
      <c r="D14613" s="2">
        <f>HYPERLINK("http://mcb-m6.bioreg.kyushu-u.ac.jp/M3/20110404/F50763/1636/1", 58.03)</f>
        <v>58.03</v>
      </c>
      <c r="E14613" s="2">
        <v>40.33</v>
      </c>
      <c r="F14613" s="2">
        <v>2</v>
      </c>
      <c r="G14613" s="2" t="s">
        <v>9</v>
      </c>
    </row>
    <row r="14614" spans="1:9" x14ac:dyDescent="0.2">
      <c r="A14614" s="2" t="s">
        <v>3929</v>
      </c>
      <c r="B14614" s="2" t="s">
        <v>1567</v>
      </c>
      <c r="C14614" s="2">
        <v>787.66920000000005</v>
      </c>
      <c r="D14614" s="2">
        <f>HYPERLINK("http://mcb-m6.bioreg.kyushu-u.ac.jp/M3/20110404/F50755/2208/1", 50.28)</f>
        <v>50.28</v>
      </c>
      <c r="E14614" s="2">
        <v>28.4</v>
      </c>
      <c r="F14614" s="2">
        <v>2</v>
      </c>
      <c r="G14614" s="2" t="s">
        <v>9</v>
      </c>
    </row>
    <row r="14615" spans="1:9" x14ac:dyDescent="0.2">
      <c r="A14615" s="2" t="s">
        <v>3929</v>
      </c>
      <c r="B14615" s="2" t="s">
        <v>1483</v>
      </c>
      <c r="C14615" s="2">
        <v>674.63419999999996</v>
      </c>
      <c r="D14615" s="2">
        <f>HYPERLINK("http://mcb-m6.bioreg.kyushu-u.ac.jp/M3/20110421/F51018/1744/1", 61.46)</f>
        <v>61.46</v>
      </c>
      <c r="E14615" s="2">
        <v>44.92</v>
      </c>
      <c r="F14615" s="2">
        <v>2</v>
      </c>
      <c r="G14615" s="2" t="s">
        <v>11</v>
      </c>
    </row>
    <row r="14616" spans="1:9" x14ac:dyDescent="0.2">
      <c r="A14616" s="2" t="s">
        <v>3929</v>
      </c>
      <c r="B14616" s="2" t="s">
        <v>1111</v>
      </c>
      <c r="C14616" s="2">
        <v>711.29859999999996</v>
      </c>
      <c r="D14616" s="2">
        <f>HYPERLINK("http://mcb-m6.bioreg.kyushu-u.ac.jp/M3/20110427/F51113/1861/1", 47.49)</f>
        <v>47.49</v>
      </c>
      <c r="E14616" s="2">
        <v>31.87</v>
      </c>
      <c r="F14616" s="2">
        <v>2</v>
      </c>
      <c r="G14616" s="2" t="s">
        <v>13</v>
      </c>
      <c r="I14616" s="2" t="s">
        <v>4905</v>
      </c>
    </row>
    <row r="14617" spans="1:9" x14ac:dyDescent="0.2">
      <c r="A14617" s="2" t="s">
        <v>3929</v>
      </c>
      <c r="B14617" s="2" t="s">
        <v>1567</v>
      </c>
      <c r="C14617" s="2">
        <v>787.23820000000001</v>
      </c>
      <c r="D14617" s="2">
        <f>HYPERLINK("http://mcb-m6.bioreg.kyushu-u.ac.jp/M3/20110427/F51113/2215/1", 79.12)</f>
        <v>79.12</v>
      </c>
      <c r="E14617" s="2">
        <v>48.07</v>
      </c>
      <c r="F14617" s="2">
        <v>2</v>
      </c>
      <c r="G14617" s="2" t="s">
        <v>13</v>
      </c>
    </row>
    <row r="14618" spans="1:9" x14ac:dyDescent="0.2">
      <c r="A14618" s="2" t="s">
        <v>3929</v>
      </c>
      <c r="B14618" s="2" t="s">
        <v>1483</v>
      </c>
      <c r="C14618" s="2">
        <v>674.66769999999997</v>
      </c>
      <c r="D14618" s="2">
        <f>HYPERLINK("http://mcb-m6.bioreg.kyushu-u.ac.jp/M3/20110427/F51113/1655/1", 95.16)</f>
        <v>95.16</v>
      </c>
      <c r="E14618" s="2">
        <v>74.34</v>
      </c>
      <c r="F14618" s="2">
        <v>2</v>
      </c>
      <c r="G14618" s="2" t="s">
        <v>13</v>
      </c>
    </row>
    <row r="14619" spans="1:9" x14ac:dyDescent="0.2">
      <c r="A14619" s="2" t="s">
        <v>8081</v>
      </c>
      <c r="B14619" s="2" t="s">
        <v>7404</v>
      </c>
      <c r="C14619" s="2">
        <v>628.6816</v>
      </c>
      <c r="D14619" s="2">
        <f>HYPERLINK("http://mcb-m6.bioreg.kyushu-u.ac.jp/M3/20110428/F51127/1317/1", 60.22)</f>
        <v>60.22</v>
      </c>
      <c r="E14619" s="2">
        <v>38.869999999999997</v>
      </c>
      <c r="F14619" s="2">
        <v>2</v>
      </c>
      <c r="G14619" s="2" t="s">
        <v>13</v>
      </c>
    </row>
    <row r="14620" spans="1:9" x14ac:dyDescent="0.2">
      <c r="A14620" s="2" t="s">
        <v>5663</v>
      </c>
      <c r="B14620" s="2" t="s">
        <v>7148</v>
      </c>
      <c r="C14620" s="2">
        <v>546.28769999999997</v>
      </c>
      <c r="D14620" s="2">
        <f>HYPERLINK("http://mcb-m6.bioreg.kyushu-u.ac.jp/M3/20110421/F51035/977/1", 87.44)</f>
        <v>87.44</v>
      </c>
      <c r="E14620" s="2">
        <v>61.21</v>
      </c>
      <c r="F14620" s="2">
        <v>2</v>
      </c>
      <c r="G14620" s="2" t="s">
        <v>11</v>
      </c>
    </row>
    <row r="14621" spans="1:9" x14ac:dyDescent="0.2">
      <c r="A14621" s="2" t="s">
        <v>4098</v>
      </c>
      <c r="B14621" s="2" t="s">
        <v>1558</v>
      </c>
      <c r="C14621" s="2">
        <v>780.73270000000002</v>
      </c>
      <c r="D14621" s="2">
        <f>HYPERLINK("http://mcb-m6.bioreg.kyushu-u.ac.jp/M3/20110404/F50752/2239/1", 80.45)</f>
        <v>80.45</v>
      </c>
      <c r="E14621" s="2">
        <v>56.16</v>
      </c>
      <c r="F14621" s="2">
        <v>2</v>
      </c>
      <c r="G14621" s="2" t="s">
        <v>9</v>
      </c>
      <c r="H14621" s="2" t="s">
        <v>4900</v>
      </c>
    </row>
    <row r="14622" spans="1:9" x14ac:dyDescent="0.2">
      <c r="A14622" s="2" t="s">
        <v>4098</v>
      </c>
      <c r="B14622" s="2" t="s">
        <v>1558</v>
      </c>
      <c r="C14622" s="2">
        <v>781.25519999999995</v>
      </c>
      <c r="D14622" s="2">
        <f>HYPERLINK("http://mcb-m6.bioreg.kyushu-u.ac.jp/M3/20110404/F50752/2247/1", 95.07)</f>
        <v>95.07</v>
      </c>
      <c r="E14622" s="2">
        <v>62.87</v>
      </c>
      <c r="F14622" s="2">
        <v>2</v>
      </c>
      <c r="G14622" s="2" t="s">
        <v>9</v>
      </c>
      <c r="H14622" s="2" t="s">
        <v>4900</v>
      </c>
    </row>
    <row r="14623" spans="1:9" x14ac:dyDescent="0.2">
      <c r="A14623" s="2" t="s">
        <v>4098</v>
      </c>
      <c r="B14623" s="2" t="s">
        <v>1558</v>
      </c>
      <c r="C14623" s="2">
        <v>772.74869999999999</v>
      </c>
      <c r="D14623" s="2">
        <f>HYPERLINK("http://mcb-m6.bioreg.kyushu-u.ac.jp/M3/20110404/F50752/2214/1", 96.12)</f>
        <v>96.12</v>
      </c>
      <c r="E14623" s="2">
        <v>56.3</v>
      </c>
      <c r="F14623" s="2">
        <v>2</v>
      </c>
      <c r="G14623" s="2" t="s">
        <v>9</v>
      </c>
    </row>
    <row r="14624" spans="1:9" x14ac:dyDescent="0.2">
      <c r="A14624" s="2" t="s">
        <v>3867</v>
      </c>
      <c r="B14624" s="2" t="s">
        <v>982</v>
      </c>
      <c r="C14624" s="2">
        <v>858.8682</v>
      </c>
      <c r="D14624" s="2">
        <f>HYPERLINK("http://mcb-m6.bioreg.kyushu-u.ac.jp/M3/20110404/F50752/2473/1", 38.43)</f>
        <v>38.43</v>
      </c>
      <c r="E14624" s="2">
        <v>27.24</v>
      </c>
      <c r="F14624" s="2">
        <v>2</v>
      </c>
      <c r="G14624" s="2" t="s">
        <v>9</v>
      </c>
      <c r="H14624" s="2" t="s">
        <v>4900</v>
      </c>
    </row>
    <row r="14625" spans="1:9" x14ac:dyDescent="0.2">
      <c r="A14625" s="2" t="s">
        <v>3867</v>
      </c>
      <c r="B14625" s="2" t="s">
        <v>982</v>
      </c>
      <c r="C14625" s="2">
        <v>851.09770000000003</v>
      </c>
      <c r="D14625" s="2">
        <f>HYPERLINK("http://mcb-m6.bioreg.kyushu-u.ac.jp/M3/20110404/F50752/2449/1", 66.91)</f>
        <v>66.91</v>
      </c>
      <c r="E14625" s="2">
        <v>51.43</v>
      </c>
      <c r="F14625" s="2">
        <v>2</v>
      </c>
      <c r="G14625" s="2" t="s">
        <v>9</v>
      </c>
    </row>
    <row r="14626" spans="1:9" x14ac:dyDescent="0.2">
      <c r="A14626" s="2" t="s">
        <v>7831</v>
      </c>
      <c r="B14626" s="2" t="s">
        <v>6783</v>
      </c>
      <c r="C14626" s="2">
        <v>854.3691</v>
      </c>
      <c r="D14626" s="2">
        <f>HYPERLINK("http://mcb-m6.bioreg.kyushu-u.ac.jp/M3/20110404/F50761/2294/1", 42.2)</f>
        <v>42.2</v>
      </c>
      <c r="E14626" s="2">
        <v>32.340000000000003</v>
      </c>
      <c r="F14626" s="2">
        <v>2</v>
      </c>
      <c r="G14626" s="2" t="s">
        <v>10</v>
      </c>
    </row>
    <row r="14627" spans="1:9" x14ac:dyDescent="0.2">
      <c r="A14627" s="2" t="s">
        <v>8043</v>
      </c>
      <c r="B14627" s="2" t="s">
        <v>7321</v>
      </c>
      <c r="C14627" s="2">
        <v>819.13459999999998</v>
      </c>
      <c r="D14627" s="2">
        <f>HYPERLINK("http://mcb-m6.bioreg.kyushu-u.ac.jp/M3/20110427/F51115/2335/1", 39.7)</f>
        <v>39.700000000000003</v>
      </c>
      <c r="E14627" s="2">
        <v>27.18</v>
      </c>
      <c r="F14627" s="2">
        <v>2</v>
      </c>
      <c r="G14627" s="2" t="s">
        <v>13</v>
      </c>
    </row>
    <row r="14628" spans="1:9" x14ac:dyDescent="0.2">
      <c r="A14628" s="2" t="s">
        <v>8045</v>
      </c>
      <c r="B14628" s="2" t="s">
        <v>7327</v>
      </c>
      <c r="C14628" s="2">
        <v>789.23910000000001</v>
      </c>
      <c r="D14628" s="2">
        <f>HYPERLINK("http://mcb-m6.bioreg.kyushu-u.ac.jp/M3/20110427/F51115/2203/1", 40.72)</f>
        <v>40.72</v>
      </c>
      <c r="E14628" s="2">
        <v>28.27</v>
      </c>
      <c r="F14628" s="2">
        <v>2</v>
      </c>
      <c r="G14628" s="2" t="s">
        <v>13</v>
      </c>
    </row>
    <row r="14629" spans="1:9" x14ac:dyDescent="0.2">
      <c r="A14629" s="2" t="s">
        <v>7819</v>
      </c>
      <c r="B14629" s="2" t="s">
        <v>6759</v>
      </c>
      <c r="C14629" s="2">
        <v>803.06320000000005</v>
      </c>
      <c r="D14629" s="2">
        <f>HYPERLINK("http://mcb-m6.bioreg.kyushu-u.ac.jp/M3/20110404/F50772/2191/1", 40.71)</f>
        <v>40.71</v>
      </c>
      <c r="E14629" s="2">
        <v>27.46</v>
      </c>
      <c r="F14629" s="2">
        <v>2</v>
      </c>
      <c r="G14629" s="2" t="s">
        <v>10</v>
      </c>
    </row>
    <row r="14630" spans="1:9" x14ac:dyDescent="0.2">
      <c r="A14630" s="2" t="s">
        <v>4861</v>
      </c>
      <c r="B14630" s="2" t="s">
        <v>3233</v>
      </c>
      <c r="C14630" s="2">
        <v>1014.69</v>
      </c>
      <c r="D14630" s="2">
        <f>HYPERLINK("http://mcb-m6.bioreg.kyushu-u.ac.jp/M3/20110421/F51021/3381/1", 98.92)</f>
        <v>98.92</v>
      </c>
      <c r="E14630" s="2">
        <v>82</v>
      </c>
      <c r="F14630" s="2">
        <v>2</v>
      </c>
      <c r="G14630" s="2" t="s">
        <v>12</v>
      </c>
    </row>
    <row r="14631" spans="1:9" x14ac:dyDescent="0.2">
      <c r="A14631" s="2" t="s">
        <v>4861</v>
      </c>
      <c r="B14631" s="2" t="s">
        <v>3233</v>
      </c>
      <c r="C14631" s="2">
        <v>1015.211</v>
      </c>
      <c r="D14631" s="2">
        <f>HYPERLINK("http://mcb-m6.bioreg.kyushu-u.ac.jp/M3/20110421/F51021/3383/1", 103.76)</f>
        <v>103.76</v>
      </c>
      <c r="E14631" s="2">
        <v>85.52</v>
      </c>
      <c r="F14631" s="2">
        <v>2</v>
      </c>
      <c r="G14631" s="2" t="s">
        <v>12</v>
      </c>
    </row>
    <row r="14632" spans="1:9" x14ac:dyDescent="0.2">
      <c r="A14632" s="2" t="s">
        <v>4145</v>
      </c>
      <c r="B14632" s="2" t="s">
        <v>1696</v>
      </c>
      <c r="C14632" s="2">
        <v>757.15009999999995</v>
      </c>
      <c r="D14632" s="2">
        <f>HYPERLINK("http://mcb-m6.bioreg.kyushu-u.ac.jp/M3/20110421/F51021/2183/1", 43.36)</f>
        <v>43.36</v>
      </c>
      <c r="E14632" s="2">
        <v>21.97</v>
      </c>
      <c r="F14632" s="2">
        <v>2</v>
      </c>
      <c r="G14632" s="2" t="s">
        <v>12</v>
      </c>
    </row>
    <row r="14633" spans="1:9" x14ac:dyDescent="0.2">
      <c r="A14633" s="2" t="s">
        <v>4145</v>
      </c>
      <c r="B14633" s="2" t="s">
        <v>2590</v>
      </c>
      <c r="C14633" s="2">
        <v>844.0702</v>
      </c>
      <c r="D14633" s="2">
        <f>HYPERLINK("http://mcb-m6.bioreg.kyushu-u.ac.jp/M3/20110421/F51021/2648/1", 97.99)</f>
        <v>97.99</v>
      </c>
      <c r="E14633" s="2">
        <v>83.29</v>
      </c>
      <c r="F14633" s="2">
        <v>2</v>
      </c>
      <c r="G14633" s="2" t="s">
        <v>12</v>
      </c>
    </row>
    <row r="14634" spans="1:9" x14ac:dyDescent="0.2">
      <c r="A14634" s="2" t="s">
        <v>3298</v>
      </c>
      <c r="B14634" s="2" t="s">
        <v>6093</v>
      </c>
      <c r="C14634" s="2">
        <v>1084.4549999999999</v>
      </c>
      <c r="D14634" s="2">
        <f>HYPERLINK("http://mcb-m6.bioreg.kyushu-u.ac.jp/M3/20110404/F50762/1135/1", 41.92)</f>
        <v>41.92</v>
      </c>
      <c r="E14634" s="2">
        <v>28.45</v>
      </c>
      <c r="F14634" s="2">
        <v>1</v>
      </c>
      <c r="G14634" s="2" t="s">
        <v>9</v>
      </c>
    </row>
    <row r="14635" spans="1:9" x14ac:dyDescent="0.2">
      <c r="A14635" s="2" t="s">
        <v>3298</v>
      </c>
      <c r="B14635" s="2" t="s">
        <v>416</v>
      </c>
      <c r="C14635" s="2">
        <v>1301.51</v>
      </c>
      <c r="D14635" s="2">
        <f>HYPERLINK("http://mcb-m6.bioreg.kyushu-u.ac.jp/M3/20110404/F50762/1472/1", 44.8)</f>
        <v>44.8</v>
      </c>
      <c r="E14635" s="2">
        <v>33.799999999999997</v>
      </c>
      <c r="F14635" s="2">
        <v>1</v>
      </c>
      <c r="G14635" s="2" t="s">
        <v>9</v>
      </c>
    </row>
    <row r="14636" spans="1:9" x14ac:dyDescent="0.2">
      <c r="A14636" s="2" t="s">
        <v>3298</v>
      </c>
      <c r="B14636" s="2" t="s">
        <v>416</v>
      </c>
      <c r="C14636" s="2">
        <v>659.70169999999996</v>
      </c>
      <c r="D14636" s="2">
        <f>HYPERLINK("http://mcb-m6.bioreg.kyushu-u.ac.jp/M3/20110404/F50762/1486/1", 64.44)</f>
        <v>64.44</v>
      </c>
      <c r="E14636" s="2">
        <v>44.19</v>
      </c>
      <c r="F14636" s="2">
        <v>2</v>
      </c>
      <c r="G14636" s="2" t="s">
        <v>9</v>
      </c>
      <c r="H14636" s="2" t="s">
        <v>4901</v>
      </c>
    </row>
    <row r="14637" spans="1:9" x14ac:dyDescent="0.2">
      <c r="A14637" s="2" t="s">
        <v>3298</v>
      </c>
      <c r="B14637" s="2" t="s">
        <v>416</v>
      </c>
      <c r="C14637" s="2">
        <v>651.26369999999997</v>
      </c>
      <c r="D14637" s="2">
        <f>HYPERLINK("http://mcb-m6.bioreg.kyushu-u.ac.jp/M3/20110404/F50762/1473/1", 76.68)</f>
        <v>76.680000000000007</v>
      </c>
      <c r="E14637" s="2">
        <v>57.61</v>
      </c>
      <c r="F14637" s="2">
        <v>2</v>
      </c>
      <c r="G14637" s="2" t="s">
        <v>9</v>
      </c>
    </row>
    <row r="14638" spans="1:9" x14ac:dyDescent="0.2">
      <c r="A14638" s="2" t="s">
        <v>3298</v>
      </c>
      <c r="B14638" s="2" t="s">
        <v>79</v>
      </c>
      <c r="C14638" s="2">
        <v>872.95870000000002</v>
      </c>
      <c r="D14638" s="2">
        <f>HYPERLINK("http://mcb-m6.bioreg.kyushu-u.ac.jp/M3/20110404/F50762/2225/1", 102.03)</f>
        <v>102.03</v>
      </c>
      <c r="E14638" s="2">
        <v>87.55</v>
      </c>
      <c r="F14638" s="2">
        <v>2</v>
      </c>
      <c r="G14638" s="2" t="s">
        <v>9</v>
      </c>
      <c r="I14638" s="2" t="s">
        <v>4899</v>
      </c>
    </row>
    <row r="14639" spans="1:9" x14ac:dyDescent="0.2">
      <c r="A14639" s="2" t="s">
        <v>3298</v>
      </c>
      <c r="B14639" s="2" t="s">
        <v>1552</v>
      </c>
      <c r="C14639" s="2">
        <v>847.03809999999999</v>
      </c>
      <c r="D14639" s="2">
        <f>HYPERLINK("http://mcb-m6.bioreg.kyushu-u.ac.jp/M3/20110404/F50762/2130/1", 102.83)</f>
        <v>102.83</v>
      </c>
      <c r="E14639" s="2">
        <v>78</v>
      </c>
      <c r="F14639" s="2">
        <v>2</v>
      </c>
      <c r="G14639" s="2" t="s">
        <v>9</v>
      </c>
      <c r="I14639" s="2" t="s">
        <v>4903</v>
      </c>
    </row>
    <row r="14640" spans="1:9" x14ac:dyDescent="0.2">
      <c r="A14640" s="2" t="s">
        <v>3298</v>
      </c>
      <c r="B14640" s="2" t="s">
        <v>416</v>
      </c>
      <c r="C14640" s="2">
        <v>1302.5129999999999</v>
      </c>
      <c r="D14640" s="2">
        <f>HYPERLINK("http://mcb-m6.bioreg.kyushu-u.ac.jp/M3/20110404/F50768/1536/1", 45.16)</f>
        <v>45.16</v>
      </c>
      <c r="E14640" s="2">
        <v>33.479999999999997</v>
      </c>
      <c r="F14640" s="2">
        <v>1</v>
      </c>
      <c r="G14640" s="2" t="s">
        <v>10</v>
      </c>
    </row>
    <row r="14641" spans="1:9" x14ac:dyDescent="0.2">
      <c r="A14641" s="2" t="s">
        <v>3298</v>
      </c>
      <c r="B14641" s="2" t="s">
        <v>2371</v>
      </c>
      <c r="C14641" s="2">
        <v>521.75120000000004</v>
      </c>
      <c r="D14641" s="2">
        <f>HYPERLINK("http://mcb-m6.bioreg.kyushu-u.ac.jp/M3/20110404/F50768/1163/1", 65.99)</f>
        <v>65.989999999999995</v>
      </c>
      <c r="E14641" s="2">
        <v>45.67</v>
      </c>
      <c r="F14641" s="2">
        <v>2</v>
      </c>
      <c r="G14641" s="2" t="s">
        <v>10</v>
      </c>
    </row>
    <row r="14642" spans="1:9" x14ac:dyDescent="0.2">
      <c r="A14642" s="2" t="s">
        <v>3298</v>
      </c>
      <c r="B14642" s="2" t="s">
        <v>1446</v>
      </c>
      <c r="C14642" s="2">
        <v>526.62459999999999</v>
      </c>
      <c r="D14642" s="2">
        <f>HYPERLINK("http://mcb-m6.bioreg.kyushu-u.ac.jp/M3/20110404/F50768/1176/1", 70.16)</f>
        <v>70.16</v>
      </c>
      <c r="E14642" s="2">
        <v>39.97</v>
      </c>
      <c r="F14642" s="2">
        <v>2</v>
      </c>
      <c r="G14642" s="2" t="s">
        <v>10</v>
      </c>
    </row>
    <row r="14643" spans="1:9" x14ac:dyDescent="0.2">
      <c r="A14643" s="2" t="s">
        <v>3298</v>
      </c>
      <c r="B14643" s="2" t="s">
        <v>416</v>
      </c>
      <c r="C14643" s="2">
        <v>651.23860000000002</v>
      </c>
      <c r="D14643" s="2">
        <f>HYPERLINK("http://mcb-m6.bioreg.kyushu-u.ac.jp/M3/20110404/F50768/1535/1", 73.34)</f>
        <v>73.34</v>
      </c>
      <c r="E14643" s="2">
        <v>53.8</v>
      </c>
      <c r="F14643" s="2">
        <v>2</v>
      </c>
      <c r="G14643" s="2" t="s">
        <v>10</v>
      </c>
    </row>
    <row r="14644" spans="1:9" x14ac:dyDescent="0.2">
      <c r="A14644" s="2" t="s">
        <v>3298</v>
      </c>
      <c r="B14644" s="2" t="s">
        <v>79</v>
      </c>
      <c r="C14644" s="2">
        <v>873.09169999999995</v>
      </c>
      <c r="D14644" s="2">
        <f>HYPERLINK("http://mcb-m6.bioreg.kyushu-u.ac.jp/M3/20110404/F50768/2342/1", 96.84)</f>
        <v>96.84</v>
      </c>
      <c r="E14644" s="2">
        <v>72.849999999999994</v>
      </c>
      <c r="F14644" s="2">
        <v>2</v>
      </c>
      <c r="G14644" s="2" t="s">
        <v>10</v>
      </c>
      <c r="I14644" s="2" t="s">
        <v>4899</v>
      </c>
    </row>
    <row r="14645" spans="1:9" x14ac:dyDescent="0.2">
      <c r="A14645" s="2" t="s">
        <v>3298</v>
      </c>
      <c r="B14645" s="2" t="s">
        <v>2371</v>
      </c>
      <c r="C14645" s="2">
        <v>522.29859999999996</v>
      </c>
      <c r="D14645" s="2">
        <f>HYPERLINK("http://mcb-m6.bioreg.kyushu-u.ac.jp/M3/20110421/F51035/865/1", 64.92)</f>
        <v>64.92</v>
      </c>
      <c r="E14645" s="2">
        <v>41.52</v>
      </c>
      <c r="F14645" s="2">
        <v>2</v>
      </c>
      <c r="G14645" s="2" t="s">
        <v>11</v>
      </c>
    </row>
    <row r="14646" spans="1:9" x14ac:dyDescent="0.2">
      <c r="A14646" s="2" t="s">
        <v>3298</v>
      </c>
      <c r="B14646" s="2" t="s">
        <v>79</v>
      </c>
      <c r="C14646" s="2">
        <v>873.04169999999999</v>
      </c>
      <c r="D14646" s="2">
        <f>HYPERLINK("http://mcb-m6.bioreg.kyushu-u.ac.jp/M3/20110421/F51035/2614/1", 95.33)</f>
        <v>95.33</v>
      </c>
      <c r="E14646" s="2">
        <v>71.5</v>
      </c>
      <c r="F14646" s="2">
        <v>2</v>
      </c>
      <c r="G14646" s="2" t="s">
        <v>11</v>
      </c>
      <c r="I14646" s="2" t="s">
        <v>4899</v>
      </c>
    </row>
    <row r="14647" spans="1:9" x14ac:dyDescent="0.2">
      <c r="A14647" s="2" t="s">
        <v>3298</v>
      </c>
      <c r="B14647" s="2" t="s">
        <v>79</v>
      </c>
      <c r="C14647" s="2">
        <v>872.90170000000001</v>
      </c>
      <c r="D14647" s="2">
        <f>HYPERLINK("http://mcb-m6.bioreg.kyushu-u.ac.jp/M3/20110421/F51045/2684/1", 57.42)</f>
        <v>57.42</v>
      </c>
      <c r="E14647" s="2">
        <v>45.53</v>
      </c>
      <c r="F14647" s="2">
        <v>2</v>
      </c>
      <c r="G14647" s="2" t="s">
        <v>12</v>
      </c>
      <c r="I14647" s="2" t="s">
        <v>4899</v>
      </c>
    </row>
    <row r="14648" spans="1:9" x14ac:dyDescent="0.2">
      <c r="A14648" s="2" t="s">
        <v>3298</v>
      </c>
      <c r="B14648" s="2" t="s">
        <v>416</v>
      </c>
      <c r="C14648" s="2">
        <v>651.32709999999997</v>
      </c>
      <c r="D14648" s="2">
        <f>HYPERLINK("http://mcb-m6.bioreg.kyushu-u.ac.jp/M3/20110421/F51045/1755/1", 71.67)</f>
        <v>71.67</v>
      </c>
      <c r="E14648" s="2">
        <v>53.07</v>
      </c>
      <c r="F14648" s="2">
        <v>2</v>
      </c>
      <c r="G14648" s="2" t="s">
        <v>12</v>
      </c>
    </row>
    <row r="14649" spans="1:9" x14ac:dyDescent="0.2">
      <c r="A14649" s="2" t="s">
        <v>3298</v>
      </c>
      <c r="B14649" s="2" t="s">
        <v>416</v>
      </c>
      <c r="C14649" s="2">
        <v>651.37070000000006</v>
      </c>
      <c r="D14649" s="2">
        <f>HYPERLINK("http://mcb-m6.bioreg.kyushu-u.ac.jp/M3/20110421/F51043/1569/1", 78.79)</f>
        <v>78.790000000000006</v>
      </c>
      <c r="E14649" s="2">
        <v>59.99</v>
      </c>
      <c r="F14649" s="2">
        <v>2</v>
      </c>
      <c r="G14649" s="2" t="s">
        <v>12</v>
      </c>
    </row>
    <row r="14650" spans="1:9" x14ac:dyDescent="0.2">
      <c r="A14650" s="2" t="s">
        <v>3298</v>
      </c>
      <c r="B14650" s="2" t="s">
        <v>79</v>
      </c>
      <c r="C14650" s="2">
        <v>873.41420000000005</v>
      </c>
      <c r="D14650" s="2">
        <f>HYPERLINK("http://mcb-m6.bioreg.kyushu-u.ac.jp/M3/20110421/F51043/2643/1", 112.12)</f>
        <v>112.12</v>
      </c>
      <c r="E14650" s="2">
        <v>94.65</v>
      </c>
      <c r="F14650" s="2">
        <v>2</v>
      </c>
      <c r="G14650" s="2" t="s">
        <v>12</v>
      </c>
      <c r="I14650" s="2" t="s">
        <v>4899</v>
      </c>
    </row>
    <row r="14651" spans="1:9" x14ac:dyDescent="0.2">
      <c r="A14651" s="2" t="s">
        <v>3298</v>
      </c>
      <c r="B14651" s="2" t="s">
        <v>1446</v>
      </c>
      <c r="C14651" s="2">
        <v>526.64260000000002</v>
      </c>
      <c r="D14651" s="2">
        <f>HYPERLINK("http://mcb-m6.bioreg.kyushu-u.ac.jp/M3/20110428/F51127/882/1", 52.13)</f>
        <v>52.13</v>
      </c>
      <c r="E14651" s="2">
        <v>31.37</v>
      </c>
      <c r="F14651" s="2">
        <v>2</v>
      </c>
      <c r="G14651" s="2" t="s">
        <v>13</v>
      </c>
    </row>
    <row r="14652" spans="1:9" x14ac:dyDescent="0.2">
      <c r="A14652" s="2" t="s">
        <v>3298</v>
      </c>
      <c r="B14652" s="2" t="s">
        <v>79</v>
      </c>
      <c r="C14652" s="2">
        <v>872.75319999999999</v>
      </c>
      <c r="D14652" s="2">
        <f>HYPERLINK("http://mcb-m6.bioreg.kyushu-u.ac.jp/M3/20110428/F51127/2636/1", 105.61)</f>
        <v>105.61</v>
      </c>
      <c r="E14652" s="2">
        <v>88.02</v>
      </c>
      <c r="F14652" s="2">
        <v>2</v>
      </c>
      <c r="G14652" s="2" t="s">
        <v>13</v>
      </c>
      <c r="I14652" s="2" t="s">
        <v>4899</v>
      </c>
    </row>
    <row r="14653" spans="1:9" x14ac:dyDescent="0.2">
      <c r="A14653" s="2" t="s">
        <v>3298</v>
      </c>
      <c r="B14653" s="2" t="s">
        <v>416</v>
      </c>
      <c r="C14653" s="2">
        <v>659.11410000000001</v>
      </c>
      <c r="D14653" s="2">
        <f>HYPERLINK("http://mcb-m6.bioreg.kyushu-u.ac.jp/M3/20110428/F51128/1563/1", 50.17)</f>
        <v>50.17</v>
      </c>
      <c r="E14653" s="2">
        <v>22.53</v>
      </c>
      <c r="F14653" s="2">
        <v>2</v>
      </c>
      <c r="G14653" s="2" t="s">
        <v>14</v>
      </c>
      <c r="H14653" s="2" t="s">
        <v>4901</v>
      </c>
    </row>
    <row r="14654" spans="1:9" x14ac:dyDescent="0.2">
      <c r="A14654" s="2" t="s">
        <v>3298</v>
      </c>
      <c r="B14654" s="2" t="s">
        <v>1446</v>
      </c>
      <c r="C14654" s="2">
        <v>526.73770000000002</v>
      </c>
      <c r="D14654" s="2">
        <f>HYPERLINK("http://mcb-m6.bioreg.kyushu-u.ac.jp/M3/20110428/F51128/1044/1", 58.54)</f>
        <v>58.54</v>
      </c>
      <c r="E14654" s="2">
        <v>33.56</v>
      </c>
      <c r="F14654" s="2">
        <v>2</v>
      </c>
      <c r="G14654" s="2" t="s">
        <v>14</v>
      </c>
    </row>
    <row r="14655" spans="1:9" x14ac:dyDescent="0.2">
      <c r="A14655" s="2" t="s">
        <v>3298</v>
      </c>
      <c r="B14655" s="2" t="s">
        <v>416</v>
      </c>
      <c r="C14655" s="2">
        <v>659.74570000000006</v>
      </c>
      <c r="D14655" s="2">
        <f>HYPERLINK("http://mcb-m6.bioreg.kyushu-u.ac.jp/M3/20110428/F51128/1564/1", 67.56)</f>
        <v>67.56</v>
      </c>
      <c r="E14655" s="2">
        <v>37.89</v>
      </c>
      <c r="F14655" s="2">
        <v>2</v>
      </c>
      <c r="G14655" s="2" t="s">
        <v>14</v>
      </c>
      <c r="H14655" s="2" t="s">
        <v>4901</v>
      </c>
    </row>
    <row r="14656" spans="1:9" x14ac:dyDescent="0.2">
      <c r="A14656" s="2" t="s">
        <v>3298</v>
      </c>
      <c r="B14656" s="2" t="s">
        <v>2371</v>
      </c>
      <c r="C14656" s="2">
        <v>522.11659999999995</v>
      </c>
      <c r="D14656" s="2">
        <f>HYPERLINK("http://mcb-m6.bioreg.kyushu-u.ac.jp/M3/20110428/F51128/1014/1", 69.28)</f>
        <v>69.28</v>
      </c>
      <c r="E14656" s="2">
        <v>40.53</v>
      </c>
      <c r="F14656" s="2">
        <v>2</v>
      </c>
      <c r="G14656" s="2" t="s">
        <v>14</v>
      </c>
    </row>
    <row r="14657" spans="1:9" x14ac:dyDescent="0.2">
      <c r="A14657" s="2" t="s">
        <v>3298</v>
      </c>
      <c r="B14657" s="2" t="s">
        <v>79</v>
      </c>
      <c r="C14657" s="2">
        <v>873.33510000000001</v>
      </c>
      <c r="D14657" s="2">
        <f>HYPERLINK("http://mcb-m6.bioreg.kyushu-u.ac.jp/M3/20110428/F51128/2613/1", 94.21)</f>
        <v>94.21</v>
      </c>
      <c r="E14657" s="2">
        <v>68.569999999999993</v>
      </c>
      <c r="F14657" s="2">
        <v>2</v>
      </c>
      <c r="G14657" s="2" t="s">
        <v>14</v>
      </c>
      <c r="I14657" s="2" t="s">
        <v>4899</v>
      </c>
    </row>
    <row r="14658" spans="1:9" x14ac:dyDescent="0.2">
      <c r="A14658" s="2" t="s">
        <v>3298</v>
      </c>
      <c r="B14658" s="2" t="s">
        <v>1552</v>
      </c>
      <c r="C14658" s="2">
        <v>847.20259999999996</v>
      </c>
      <c r="D14658" s="2">
        <f>HYPERLINK("http://mcb-m6.bioreg.kyushu-u.ac.jp/M3/20110428/F51128/2471/1", 111.23)</f>
        <v>111.23</v>
      </c>
      <c r="E14658" s="2">
        <v>84.66</v>
      </c>
      <c r="F14658" s="2">
        <v>2</v>
      </c>
      <c r="G14658" s="2" t="s">
        <v>14</v>
      </c>
      <c r="I14658" s="2" t="s">
        <v>4903</v>
      </c>
    </row>
    <row r="14659" spans="1:9" x14ac:dyDescent="0.2">
      <c r="A14659" s="2" t="s">
        <v>3298</v>
      </c>
      <c r="B14659" s="2" t="s">
        <v>79</v>
      </c>
      <c r="C14659" s="2">
        <v>872.76319999999998</v>
      </c>
      <c r="D14659" s="2">
        <f>HYPERLINK("http://mcb-m6.bioreg.kyushu-u.ac.jp/M3/20110428/F51128/2608/1", 119.63)</f>
        <v>119.63</v>
      </c>
      <c r="E14659" s="2">
        <v>103.69</v>
      </c>
      <c r="F14659" s="2">
        <v>2</v>
      </c>
      <c r="G14659" s="2" t="s">
        <v>14</v>
      </c>
      <c r="I14659" s="2" t="s">
        <v>4899</v>
      </c>
    </row>
    <row r="14660" spans="1:9" x14ac:dyDescent="0.2">
      <c r="A14660" s="2" t="s">
        <v>3431</v>
      </c>
      <c r="B14660" s="2" t="s">
        <v>239</v>
      </c>
      <c r="C14660" s="2">
        <v>814.6866</v>
      </c>
      <c r="D14660" s="2">
        <f>HYPERLINK("http://mcb-m6.bioreg.kyushu-u.ac.jp/M3/20110427/F51112/2449/1", 94.83)</f>
        <v>94.83</v>
      </c>
      <c r="E14660" s="2">
        <v>77.23</v>
      </c>
      <c r="F14660" s="2">
        <v>2</v>
      </c>
      <c r="G14660" s="2" t="s">
        <v>13</v>
      </c>
    </row>
    <row r="14661" spans="1:9" x14ac:dyDescent="0.2">
      <c r="A14661" s="2" t="s">
        <v>3431</v>
      </c>
      <c r="B14661" s="2" t="s">
        <v>1676</v>
      </c>
      <c r="C14661" s="2">
        <v>847.99069999999995</v>
      </c>
      <c r="D14661" s="2">
        <f>HYPERLINK("http://mcb-m6.bioreg.kyushu-u.ac.jp/M3/20110427/F51112/2590/1", 128.88)</f>
        <v>128.88</v>
      </c>
      <c r="E14661" s="2">
        <v>117.19</v>
      </c>
      <c r="F14661" s="2">
        <v>2</v>
      </c>
      <c r="G14661" s="2" t="s">
        <v>13</v>
      </c>
    </row>
    <row r="14662" spans="1:9" x14ac:dyDescent="0.2">
      <c r="A14662" s="2" t="s">
        <v>3679</v>
      </c>
      <c r="B14662" s="2" t="s">
        <v>634</v>
      </c>
      <c r="C14662" s="2">
        <v>901.45299999999997</v>
      </c>
      <c r="D14662" s="2">
        <f>HYPERLINK("http://mcb-m6.bioreg.kyushu-u.ac.jp/M3/20110404/F50767/633/2", 46.27)</f>
        <v>46.27</v>
      </c>
      <c r="E14662" s="2">
        <v>5.6</v>
      </c>
      <c r="F14662" s="2">
        <v>1</v>
      </c>
      <c r="G14662" s="2" t="s">
        <v>9</v>
      </c>
    </row>
    <row r="14663" spans="1:9" x14ac:dyDescent="0.2">
      <c r="A14663" s="2" t="s">
        <v>3679</v>
      </c>
      <c r="B14663" s="2" t="s">
        <v>6346</v>
      </c>
      <c r="C14663" s="2">
        <v>630.26459999999997</v>
      </c>
      <c r="D14663" s="2">
        <f>HYPERLINK("http://mcb-m6.bioreg.kyushu-u.ac.jp/M3/20110404/F50767/1174/1", 55.63)</f>
        <v>55.63</v>
      </c>
      <c r="E14663" s="2">
        <v>10.24</v>
      </c>
      <c r="F14663" s="2">
        <v>2</v>
      </c>
      <c r="G14663" s="2" t="s">
        <v>9</v>
      </c>
    </row>
    <row r="14664" spans="1:9" x14ac:dyDescent="0.2">
      <c r="A14664" s="2" t="s">
        <v>3679</v>
      </c>
      <c r="B14664" s="2" t="s">
        <v>2827</v>
      </c>
      <c r="C14664" s="2">
        <v>727.85360000000003</v>
      </c>
      <c r="D14664" s="2">
        <f>HYPERLINK("http://mcb-m6.bioreg.kyushu-u.ac.jp/M3/20110404/F50767/1659/1", 57.92)</f>
        <v>57.92</v>
      </c>
      <c r="E14664" s="2">
        <v>26.11</v>
      </c>
      <c r="F14664" s="2">
        <v>2</v>
      </c>
      <c r="G14664" s="2" t="s">
        <v>9</v>
      </c>
    </row>
    <row r="14665" spans="1:9" x14ac:dyDescent="0.2">
      <c r="A14665" s="2" t="s">
        <v>3679</v>
      </c>
      <c r="B14665" s="2" t="s">
        <v>634</v>
      </c>
      <c r="C14665" s="2">
        <v>902.52</v>
      </c>
      <c r="D14665" s="2">
        <f>HYPERLINK("http://mcb-m6.bioreg.kyushu-u.ac.jp/M3/20110404/F50773/787/2", 46.34)</f>
        <v>46.34</v>
      </c>
      <c r="E14665" s="2">
        <v>29.21</v>
      </c>
      <c r="F14665" s="2">
        <v>1</v>
      </c>
      <c r="G14665" s="2" t="s">
        <v>10</v>
      </c>
    </row>
    <row r="14666" spans="1:9" x14ac:dyDescent="0.2">
      <c r="A14666" s="2" t="s">
        <v>3679</v>
      </c>
      <c r="B14666" s="2" t="s">
        <v>6899</v>
      </c>
      <c r="C14666" s="2">
        <v>919.35670000000005</v>
      </c>
      <c r="D14666" s="2">
        <f>HYPERLINK("http://mcb-m6.bioreg.kyushu-u.ac.jp/M3/20110404/F50773/2496/1", 55.08)</f>
        <v>55.08</v>
      </c>
      <c r="E14666" s="2">
        <v>32.08</v>
      </c>
      <c r="F14666" s="2">
        <v>2</v>
      </c>
      <c r="G14666" s="2" t="s">
        <v>10</v>
      </c>
    </row>
    <row r="14667" spans="1:9" x14ac:dyDescent="0.2">
      <c r="A14667" s="2" t="s">
        <v>3679</v>
      </c>
      <c r="B14667" s="2" t="s">
        <v>2024</v>
      </c>
      <c r="C14667" s="2">
        <v>627.90719999999999</v>
      </c>
      <c r="D14667" s="2">
        <f>HYPERLINK("http://mcb-m6.bioreg.kyushu-u.ac.jp/M3/20110404/F50773/1355/1", 56.04)</f>
        <v>56.04</v>
      </c>
      <c r="E14667" s="2">
        <v>30.54</v>
      </c>
      <c r="F14667" s="2">
        <v>2</v>
      </c>
      <c r="G14667" s="2" t="s">
        <v>10</v>
      </c>
    </row>
    <row r="14668" spans="1:9" x14ac:dyDescent="0.2">
      <c r="A14668" s="2" t="s">
        <v>3679</v>
      </c>
      <c r="B14668" s="2" t="s">
        <v>6924</v>
      </c>
      <c r="C14668" s="2">
        <v>780.81920000000002</v>
      </c>
      <c r="D14668" s="2">
        <f>HYPERLINK("http://mcb-m6.bioreg.kyushu-u.ac.jp/M3/20110404/F50773/1989/1", 60.08)</f>
        <v>60.08</v>
      </c>
      <c r="E14668" s="2">
        <v>41.01</v>
      </c>
      <c r="F14668" s="2">
        <v>2</v>
      </c>
      <c r="G14668" s="2" t="s">
        <v>10</v>
      </c>
    </row>
    <row r="14669" spans="1:9" x14ac:dyDescent="0.2">
      <c r="A14669" s="2" t="s">
        <v>3679</v>
      </c>
      <c r="B14669" s="2" t="s">
        <v>942</v>
      </c>
      <c r="C14669" s="2">
        <v>613.79020000000003</v>
      </c>
      <c r="D14669" s="2">
        <f>HYPERLINK("http://mcb-m6.bioreg.kyushu-u.ac.jp/M3/20110404/F50773/1307/1", 60.77)</f>
        <v>60.77</v>
      </c>
      <c r="E14669" s="2">
        <v>33.4</v>
      </c>
      <c r="F14669" s="2">
        <v>2</v>
      </c>
      <c r="G14669" s="2" t="s">
        <v>10</v>
      </c>
    </row>
    <row r="14670" spans="1:9" x14ac:dyDescent="0.2">
      <c r="A14670" s="2" t="s">
        <v>3679</v>
      </c>
      <c r="B14670" s="2" t="s">
        <v>6953</v>
      </c>
      <c r="C14670" s="2">
        <v>962.99159999999995</v>
      </c>
      <c r="D14670" s="2">
        <f>HYPERLINK("http://mcb-m6.bioreg.kyushu-u.ac.jp/M3/20110404/F50773/2639/1", 65.18)</f>
        <v>65.180000000000007</v>
      </c>
      <c r="E14670" s="2">
        <v>55.58</v>
      </c>
      <c r="F14670" s="2">
        <v>2</v>
      </c>
      <c r="G14670" s="2" t="s">
        <v>10</v>
      </c>
    </row>
    <row r="14671" spans="1:9" x14ac:dyDescent="0.2">
      <c r="A14671" s="2" t="s">
        <v>3679</v>
      </c>
      <c r="B14671" s="2" t="s">
        <v>2827</v>
      </c>
      <c r="C14671" s="2">
        <v>728.12459999999999</v>
      </c>
      <c r="D14671" s="2">
        <f>HYPERLINK("http://mcb-m6.bioreg.kyushu-u.ac.jp/M3/20110404/F50773/1797/1", 67.77)</f>
        <v>67.77</v>
      </c>
      <c r="E14671" s="2">
        <v>40.67</v>
      </c>
      <c r="F14671" s="2">
        <v>2</v>
      </c>
      <c r="G14671" s="2" t="s">
        <v>10</v>
      </c>
    </row>
    <row r="14672" spans="1:9" x14ac:dyDescent="0.2">
      <c r="A14672" s="2" t="s">
        <v>3679</v>
      </c>
      <c r="B14672" s="2" t="s">
        <v>7015</v>
      </c>
      <c r="C14672" s="2">
        <v>1021.355</v>
      </c>
      <c r="D14672" s="2">
        <f>HYPERLINK("http://mcb-m6.bioreg.kyushu-u.ac.jp/M3/20110404/F50773/2830/1", 80.2)</f>
        <v>80.2</v>
      </c>
      <c r="E14672" s="2">
        <v>68.45</v>
      </c>
      <c r="F14672" s="2">
        <v>2</v>
      </c>
      <c r="G14672" s="2" t="s">
        <v>10</v>
      </c>
      <c r="I14672" s="2" t="s">
        <v>4944</v>
      </c>
    </row>
    <row r="14673" spans="1:7" x14ac:dyDescent="0.2">
      <c r="A14673" s="2" t="s">
        <v>3679</v>
      </c>
      <c r="B14673" s="2" t="s">
        <v>634</v>
      </c>
      <c r="C14673" s="2">
        <v>901.42899999999997</v>
      </c>
      <c r="D14673" s="2">
        <f>HYPERLINK("http://mcb-m6.bioreg.kyushu-u.ac.jp/M3/20110427/F51117/846/2", 40.09)</f>
        <v>40.090000000000003</v>
      </c>
      <c r="E14673" s="2">
        <v>24.17</v>
      </c>
      <c r="F14673" s="2">
        <v>1</v>
      </c>
      <c r="G14673" s="2" t="s">
        <v>13</v>
      </c>
    </row>
    <row r="14674" spans="1:7" x14ac:dyDescent="0.2">
      <c r="A14674" s="2" t="s">
        <v>3679</v>
      </c>
      <c r="B14674" s="2" t="s">
        <v>2833</v>
      </c>
      <c r="C14674" s="2">
        <v>856.2047</v>
      </c>
      <c r="D14674" s="2">
        <f>HYPERLINK("http://mcb-m6.bioreg.kyushu-u.ac.jp/M3/20110427/F51117/2543/1", 41.16)</f>
        <v>41.16</v>
      </c>
      <c r="E14674" s="2">
        <v>30.83</v>
      </c>
      <c r="F14674" s="2">
        <v>2</v>
      </c>
      <c r="G14674" s="2" t="s">
        <v>13</v>
      </c>
    </row>
    <row r="14675" spans="1:7" x14ac:dyDescent="0.2">
      <c r="A14675" s="2" t="s">
        <v>3679</v>
      </c>
      <c r="B14675" s="2" t="s">
        <v>2827</v>
      </c>
      <c r="C14675" s="2">
        <v>727.8297</v>
      </c>
      <c r="D14675" s="2">
        <f>HYPERLINK("http://mcb-m6.bioreg.kyushu-u.ac.jp/M3/20110427/F51117/1928/1", 44.82)</f>
        <v>44.82</v>
      </c>
      <c r="E14675" s="2">
        <v>12.06</v>
      </c>
      <c r="F14675" s="2">
        <v>2</v>
      </c>
      <c r="G14675" s="2" t="s">
        <v>13</v>
      </c>
    </row>
    <row r="14676" spans="1:7" x14ac:dyDescent="0.2">
      <c r="A14676" s="2" t="s">
        <v>3679</v>
      </c>
      <c r="B14676" s="2" t="s">
        <v>7394</v>
      </c>
      <c r="C14676" s="2">
        <v>716.72170000000006</v>
      </c>
      <c r="D14676" s="2">
        <f>HYPERLINK("http://mcb-m6.bioreg.kyushu-u.ac.jp/M3/20110427/F51117/1880/1", 55.37)</f>
        <v>55.37</v>
      </c>
      <c r="E14676" s="2">
        <v>21.96</v>
      </c>
      <c r="F14676" s="2">
        <v>2</v>
      </c>
      <c r="G14676" s="2" t="s">
        <v>13</v>
      </c>
    </row>
    <row r="14677" spans="1:7" x14ac:dyDescent="0.2">
      <c r="A14677" s="2" t="s">
        <v>3679</v>
      </c>
      <c r="B14677" s="2" t="s">
        <v>634</v>
      </c>
      <c r="C14677" s="2">
        <v>450.97710000000001</v>
      </c>
      <c r="D14677" s="2">
        <f>HYPERLINK("http://mcb-m6.bioreg.kyushu-u.ac.jp/M3/20110427/F51117/844/2", 55.96)</f>
        <v>55.96</v>
      </c>
      <c r="E14677" s="2">
        <v>12.43</v>
      </c>
      <c r="F14677" s="2">
        <v>2</v>
      </c>
      <c r="G14677" s="2" t="s">
        <v>13</v>
      </c>
    </row>
    <row r="14678" spans="1:7" x14ac:dyDescent="0.2">
      <c r="A14678" s="2" t="s">
        <v>3679</v>
      </c>
      <c r="B14678" s="2" t="s">
        <v>7430</v>
      </c>
      <c r="C14678" s="2">
        <v>819.27809999999999</v>
      </c>
      <c r="D14678" s="2">
        <f>HYPERLINK("http://mcb-m6.bioreg.kyushu-u.ac.jp/M3/20110427/F51117/2380/1", 79.45)</f>
        <v>79.45</v>
      </c>
      <c r="E14678" s="2">
        <v>62.78</v>
      </c>
      <c r="F14678" s="2">
        <v>2</v>
      </c>
      <c r="G14678" s="2" t="s">
        <v>13</v>
      </c>
    </row>
    <row r="14679" spans="1:7" x14ac:dyDescent="0.2">
      <c r="A14679" s="2" t="s">
        <v>3679</v>
      </c>
      <c r="B14679" s="2" t="s">
        <v>7494</v>
      </c>
      <c r="C14679" s="2">
        <v>699.05870000000004</v>
      </c>
      <c r="D14679" s="2">
        <f>HYPERLINK("http://mcb-m6.bioreg.kyushu-u.ac.jp/M3/20110428/F51126/1895/1", 50.78)</f>
        <v>50.78</v>
      </c>
      <c r="E14679" s="2">
        <v>7.67</v>
      </c>
      <c r="F14679" s="2">
        <v>2</v>
      </c>
      <c r="G14679" s="2" t="s">
        <v>14</v>
      </c>
    </row>
    <row r="14680" spans="1:7" x14ac:dyDescent="0.2">
      <c r="A14680" s="2" t="s">
        <v>3679</v>
      </c>
      <c r="B14680" s="2" t="s">
        <v>7502</v>
      </c>
      <c r="C14680" s="2">
        <v>606.07169999999996</v>
      </c>
      <c r="D14680" s="2">
        <f>HYPERLINK("http://mcb-m6.bioreg.kyushu-u.ac.jp/M3/20110428/F51126/1570/1", 55.87)</f>
        <v>55.87</v>
      </c>
      <c r="E14680" s="2">
        <v>38.61</v>
      </c>
      <c r="F14680" s="2">
        <v>2</v>
      </c>
      <c r="G14680" s="2" t="s">
        <v>14</v>
      </c>
    </row>
    <row r="14681" spans="1:7" x14ac:dyDescent="0.2">
      <c r="A14681" s="2" t="s">
        <v>3678</v>
      </c>
      <c r="B14681" s="2" t="s">
        <v>6034</v>
      </c>
      <c r="C14681" s="2">
        <v>450.83760000000001</v>
      </c>
      <c r="D14681" s="2">
        <f>HYPERLINK("http://mcb-m6.bioreg.kyushu-u.ac.jp/M3/20110404/F50767/629/1", 39.71)</f>
        <v>39.71</v>
      </c>
      <c r="E14681" s="2">
        <v>10.94</v>
      </c>
      <c r="F14681" s="2">
        <v>2</v>
      </c>
      <c r="G14681" s="2" t="s">
        <v>9</v>
      </c>
    </row>
    <row r="14682" spans="1:7" x14ac:dyDescent="0.2">
      <c r="A14682" s="2" t="s">
        <v>3678</v>
      </c>
      <c r="B14682" s="2" t="s">
        <v>633</v>
      </c>
      <c r="C14682" s="2">
        <v>901.45299999999997</v>
      </c>
      <c r="D14682" s="2">
        <f>HYPERLINK("http://mcb-m6.bioreg.kyushu-u.ac.jp/M3/20110404/F50767/633/1", 46.27)</f>
        <v>46.27</v>
      </c>
      <c r="E14682" s="2">
        <v>5.6</v>
      </c>
      <c r="F14682" s="2">
        <v>1</v>
      </c>
      <c r="G14682" s="2" t="s">
        <v>9</v>
      </c>
    </row>
    <row r="14683" spans="1:7" x14ac:dyDescent="0.2">
      <c r="A14683" s="2" t="s">
        <v>3678</v>
      </c>
      <c r="B14683" s="2" t="s">
        <v>2936</v>
      </c>
      <c r="C14683" s="2">
        <v>634.7527</v>
      </c>
      <c r="D14683" s="2">
        <f>HYPERLINK("http://mcb-m6.bioreg.kyushu-u.ac.jp/M3/20110404/F50767/1201/1", 59.49)</f>
        <v>59.49</v>
      </c>
      <c r="E14683" s="2">
        <v>41.21</v>
      </c>
      <c r="F14683" s="2">
        <v>2</v>
      </c>
      <c r="G14683" s="2" t="s">
        <v>9</v>
      </c>
    </row>
    <row r="14684" spans="1:7" x14ac:dyDescent="0.2">
      <c r="A14684" s="2" t="s">
        <v>3678</v>
      </c>
      <c r="B14684" s="2" t="s">
        <v>1286</v>
      </c>
      <c r="C14684" s="2">
        <v>848.45169999999996</v>
      </c>
      <c r="D14684" s="2">
        <f>HYPERLINK("http://mcb-m6.bioreg.kyushu-u.ac.jp/M3/20110404/F50772/2338/1", 37.95)</f>
        <v>37.950000000000003</v>
      </c>
      <c r="E14684" s="2">
        <v>25.26</v>
      </c>
      <c r="F14684" s="2">
        <v>2</v>
      </c>
      <c r="G14684" s="2" t="s">
        <v>10</v>
      </c>
    </row>
    <row r="14685" spans="1:7" x14ac:dyDescent="0.2">
      <c r="A14685" s="2" t="s">
        <v>3678</v>
      </c>
      <c r="B14685" s="2" t="s">
        <v>6722</v>
      </c>
      <c r="C14685" s="2">
        <v>848.45169999999996</v>
      </c>
      <c r="D14685" s="2">
        <f>HYPERLINK("http://mcb-m6.bioreg.kyushu-u.ac.jp/M3/20110404/F50772/2338/2", 37.95)</f>
        <v>37.950000000000003</v>
      </c>
      <c r="E14685" s="2">
        <v>25.26</v>
      </c>
      <c r="F14685" s="2">
        <v>2</v>
      </c>
      <c r="G14685" s="2" t="s">
        <v>10</v>
      </c>
    </row>
    <row r="14686" spans="1:7" x14ac:dyDescent="0.2">
      <c r="A14686" s="2" t="s">
        <v>3678</v>
      </c>
      <c r="B14686" s="2" t="s">
        <v>633</v>
      </c>
      <c r="C14686" s="2">
        <v>902.52</v>
      </c>
      <c r="D14686" s="2">
        <f>HYPERLINK("http://mcb-m6.bioreg.kyushu-u.ac.jp/M3/20110404/F50773/787/1", 46.34)</f>
        <v>46.34</v>
      </c>
      <c r="E14686" s="2">
        <v>29.21</v>
      </c>
      <c r="F14686" s="2">
        <v>1</v>
      </c>
      <c r="G14686" s="2" t="s">
        <v>10</v>
      </c>
    </row>
    <row r="14687" spans="1:7" x14ac:dyDescent="0.2">
      <c r="A14687" s="2" t="s">
        <v>3678</v>
      </c>
      <c r="B14687" s="2" t="s">
        <v>6034</v>
      </c>
      <c r="C14687" s="2">
        <v>450.87259999999998</v>
      </c>
      <c r="D14687" s="2">
        <f>HYPERLINK("http://mcb-m6.bioreg.kyushu-u.ac.jp/M3/20110404/F50773/782/1", 48.2)</f>
        <v>48.2</v>
      </c>
      <c r="E14687" s="2">
        <v>18.95</v>
      </c>
      <c r="F14687" s="2">
        <v>2</v>
      </c>
      <c r="G14687" s="2" t="s">
        <v>10</v>
      </c>
    </row>
    <row r="14688" spans="1:7" x14ac:dyDescent="0.2">
      <c r="A14688" s="2" t="s">
        <v>3678</v>
      </c>
      <c r="B14688" s="2" t="s">
        <v>6970</v>
      </c>
      <c r="C14688" s="2">
        <v>827.84670000000006</v>
      </c>
      <c r="D14688" s="2">
        <f>HYPERLINK("http://mcb-m6.bioreg.kyushu-u.ac.jp/M3/20110404/F50773/2167/1", 68.83)</f>
        <v>68.83</v>
      </c>
      <c r="E14688" s="2">
        <v>50.93</v>
      </c>
      <c r="F14688" s="2">
        <v>2</v>
      </c>
      <c r="G14688" s="2" t="s">
        <v>10</v>
      </c>
    </row>
    <row r="14689" spans="1:9" x14ac:dyDescent="0.2">
      <c r="A14689" s="2" t="s">
        <v>3678</v>
      </c>
      <c r="B14689" s="2" t="s">
        <v>6979</v>
      </c>
      <c r="C14689" s="2">
        <v>578.84519999999998</v>
      </c>
      <c r="D14689" s="2">
        <f>HYPERLINK("http://mcb-m6.bioreg.kyushu-u.ac.jp/M3/20110404/F50773/1180/1", 70.77)</f>
        <v>70.77</v>
      </c>
      <c r="E14689" s="2">
        <v>12.6</v>
      </c>
      <c r="F14689" s="2">
        <v>2</v>
      </c>
      <c r="G14689" s="2" t="s">
        <v>10</v>
      </c>
    </row>
    <row r="14690" spans="1:9" x14ac:dyDescent="0.2">
      <c r="A14690" s="2" t="s">
        <v>3678</v>
      </c>
      <c r="B14690" s="2" t="s">
        <v>2936</v>
      </c>
      <c r="C14690" s="2">
        <v>634.8777</v>
      </c>
      <c r="D14690" s="2">
        <f>HYPERLINK("http://mcb-m6.bioreg.kyushu-u.ac.jp/M3/20110404/F50773/1379/1", 71.13)</f>
        <v>71.13</v>
      </c>
      <c r="E14690" s="2">
        <v>50.81</v>
      </c>
      <c r="F14690" s="2">
        <v>2</v>
      </c>
      <c r="G14690" s="2" t="s">
        <v>10</v>
      </c>
    </row>
    <row r="14691" spans="1:9" x14ac:dyDescent="0.2">
      <c r="A14691" s="2" t="s">
        <v>3678</v>
      </c>
      <c r="B14691" s="2" t="s">
        <v>1286</v>
      </c>
      <c r="C14691" s="2">
        <v>848.69169999999997</v>
      </c>
      <c r="D14691" s="2">
        <f>HYPERLINK("http://mcb-m6.bioreg.kyushu-u.ac.jp/M3/20110421/F51019/2490/1", 54.6)</f>
        <v>54.6</v>
      </c>
      <c r="E14691" s="2">
        <v>6.49</v>
      </c>
      <c r="F14691" s="2">
        <v>2</v>
      </c>
      <c r="G14691" s="2" t="s">
        <v>11</v>
      </c>
    </row>
    <row r="14692" spans="1:9" x14ac:dyDescent="0.2">
      <c r="A14692" s="2" t="s">
        <v>3678</v>
      </c>
      <c r="B14692" s="2" t="s">
        <v>1286</v>
      </c>
      <c r="C14692" s="2">
        <v>848.27970000000005</v>
      </c>
      <c r="D14692" s="2">
        <f>HYPERLINK("http://mcb-m6.bioreg.kyushu-u.ac.jp/M3/20110421/F51020/2488/1", 64.43)</f>
        <v>64.430000000000007</v>
      </c>
      <c r="E14692" s="2">
        <v>0.03</v>
      </c>
      <c r="F14692" s="2">
        <v>2</v>
      </c>
      <c r="G14692" s="2" t="s">
        <v>11</v>
      </c>
    </row>
    <row r="14693" spans="1:9" x14ac:dyDescent="0.2">
      <c r="A14693" s="2" t="s">
        <v>3678</v>
      </c>
      <c r="B14693" s="2" t="s">
        <v>633</v>
      </c>
      <c r="C14693" s="2">
        <v>901.42899999999997</v>
      </c>
      <c r="D14693" s="2">
        <f>HYPERLINK("http://mcb-m6.bioreg.kyushu-u.ac.jp/M3/20110427/F51117/846/1", 40.09)</f>
        <v>40.090000000000003</v>
      </c>
      <c r="E14693" s="2">
        <v>24.17</v>
      </c>
      <c r="F14693" s="2">
        <v>1</v>
      </c>
      <c r="G14693" s="2" t="s">
        <v>13</v>
      </c>
    </row>
    <row r="14694" spans="1:9" x14ac:dyDescent="0.2">
      <c r="A14694" s="2" t="s">
        <v>3678</v>
      </c>
      <c r="B14694" s="2" t="s">
        <v>7337</v>
      </c>
      <c r="C14694" s="2">
        <v>713.76969999999994</v>
      </c>
      <c r="D14694" s="2">
        <f>HYPERLINK("http://mcb-m6.bioreg.kyushu-u.ac.jp/M3/20110427/F51117/1862/1", 43.03)</f>
        <v>43.03</v>
      </c>
      <c r="E14694" s="2">
        <v>27.1</v>
      </c>
      <c r="F14694" s="2">
        <v>2</v>
      </c>
      <c r="G14694" s="2" t="s">
        <v>13</v>
      </c>
    </row>
    <row r="14695" spans="1:9" x14ac:dyDescent="0.2">
      <c r="A14695" s="2" t="s">
        <v>3678</v>
      </c>
      <c r="B14695" s="2" t="s">
        <v>633</v>
      </c>
      <c r="C14695" s="2">
        <v>450.97710000000001</v>
      </c>
      <c r="D14695" s="2">
        <f>HYPERLINK("http://mcb-m6.bioreg.kyushu-u.ac.jp/M3/20110427/F51117/844/1", 55.96)</f>
        <v>55.96</v>
      </c>
      <c r="E14695" s="2">
        <v>12.43</v>
      </c>
      <c r="F14695" s="2">
        <v>2</v>
      </c>
      <c r="G14695" s="2" t="s">
        <v>13</v>
      </c>
    </row>
    <row r="14696" spans="1:9" x14ac:dyDescent="0.2">
      <c r="A14696" s="2" t="s">
        <v>3678</v>
      </c>
      <c r="B14696" s="2" t="s">
        <v>1286</v>
      </c>
      <c r="C14696" s="2">
        <v>848.63760000000002</v>
      </c>
      <c r="D14696" s="2">
        <f>HYPERLINK("http://mcb-m6.bioreg.kyushu-u.ac.jp/M3/20110427/F51125/2539/1", 47.78)</f>
        <v>47.78</v>
      </c>
      <c r="E14696" s="2">
        <v>31.17</v>
      </c>
      <c r="F14696" s="2">
        <v>2</v>
      </c>
      <c r="G14696" s="2" t="s">
        <v>14</v>
      </c>
    </row>
    <row r="14697" spans="1:9" x14ac:dyDescent="0.2">
      <c r="A14697" s="2" t="s">
        <v>3678</v>
      </c>
      <c r="B14697" s="2" t="s">
        <v>6722</v>
      </c>
      <c r="C14697" s="2">
        <v>848.63760000000002</v>
      </c>
      <c r="D14697" s="2">
        <f>HYPERLINK("http://mcb-m6.bioreg.kyushu-u.ac.jp/M3/20110427/F51125/2539/2", 47.78)</f>
        <v>47.78</v>
      </c>
      <c r="E14697" s="2">
        <v>31.17</v>
      </c>
      <c r="F14697" s="2">
        <v>2</v>
      </c>
      <c r="G14697" s="2" t="s">
        <v>14</v>
      </c>
    </row>
    <row r="14698" spans="1:9" x14ac:dyDescent="0.2">
      <c r="A14698" s="2" t="s">
        <v>3678</v>
      </c>
      <c r="B14698" s="2" t="s">
        <v>1286</v>
      </c>
      <c r="C14698" s="2">
        <v>848.47720000000004</v>
      </c>
      <c r="D14698" s="2">
        <f>HYPERLINK("http://mcb-m6.bioreg.kyushu-u.ac.jp/M3/20110428/F51126/2536/1", 47.84)</f>
        <v>47.84</v>
      </c>
      <c r="E14698" s="2">
        <v>2.54</v>
      </c>
      <c r="F14698" s="2">
        <v>2</v>
      </c>
      <c r="G14698" s="2" t="s">
        <v>14</v>
      </c>
    </row>
    <row r="14699" spans="1:9" x14ac:dyDescent="0.2">
      <c r="A14699" s="2" t="s">
        <v>3678</v>
      </c>
      <c r="B14699" s="2" t="s">
        <v>2936</v>
      </c>
      <c r="C14699" s="2">
        <v>634.69759999999997</v>
      </c>
      <c r="D14699" s="2">
        <f>HYPERLINK("http://mcb-m6.bioreg.kyushu-u.ac.jp/M3/20110428/F51126/1667/1", 58.02)</f>
        <v>58.02</v>
      </c>
      <c r="E14699" s="2">
        <v>34.799999999999997</v>
      </c>
      <c r="F14699" s="2">
        <v>2</v>
      </c>
      <c r="G14699" s="2" t="s">
        <v>14</v>
      </c>
    </row>
    <row r="14700" spans="1:9" x14ac:dyDescent="0.2">
      <c r="A14700" s="2" t="s">
        <v>5722</v>
      </c>
      <c r="B14700" s="2" t="s">
        <v>5290</v>
      </c>
      <c r="C14700" s="2">
        <v>597.75710000000004</v>
      </c>
      <c r="D14700" s="2">
        <f>HYPERLINK("http://mcb-m6.bioreg.kyushu-u.ac.jp/M3/20110404/F50775/1382/2", 45.14)</f>
        <v>45.14</v>
      </c>
      <c r="E14700" s="2">
        <v>14.61</v>
      </c>
      <c r="F14700" s="2">
        <v>2</v>
      </c>
      <c r="G14700" s="2" t="s">
        <v>10</v>
      </c>
    </row>
    <row r="14701" spans="1:9" x14ac:dyDescent="0.2">
      <c r="A14701" s="2" t="s">
        <v>5722</v>
      </c>
      <c r="B14701" s="2" t="s">
        <v>5290</v>
      </c>
      <c r="C14701" s="2">
        <v>597.96259999999995</v>
      </c>
      <c r="D14701" s="2">
        <f>HYPERLINK("http://mcb-m6.bioreg.kyushu-u.ac.jp/M3/20110421/F51039/1386/2", 38.48)</f>
        <v>38.479999999999997</v>
      </c>
      <c r="E14701" s="2">
        <v>13.54</v>
      </c>
      <c r="F14701" s="2">
        <v>2</v>
      </c>
      <c r="G14701" s="2" t="s">
        <v>11</v>
      </c>
    </row>
    <row r="14702" spans="1:9" x14ac:dyDescent="0.2">
      <c r="A14702" s="2" t="s">
        <v>4123</v>
      </c>
      <c r="B14702" s="2" t="s">
        <v>1637</v>
      </c>
      <c r="C14702" s="2">
        <v>1003.272</v>
      </c>
      <c r="D14702" s="2">
        <f>HYPERLINK("http://mcb-m6.bioreg.kyushu-u.ac.jp/M3/20110421/F51014/2912/1", 96.19)</f>
        <v>96.19</v>
      </c>
      <c r="E14702" s="2">
        <v>85.21</v>
      </c>
      <c r="F14702" s="2">
        <v>2</v>
      </c>
      <c r="G14702" s="2" t="s">
        <v>11</v>
      </c>
    </row>
    <row r="14703" spans="1:9" x14ac:dyDescent="0.2">
      <c r="A14703" s="2" t="s">
        <v>4123</v>
      </c>
      <c r="B14703" s="2" t="s">
        <v>7346</v>
      </c>
      <c r="C14703" s="2">
        <v>568.04219999999998</v>
      </c>
      <c r="D14703" s="2">
        <f>HYPERLINK("http://mcb-m6.bioreg.kyushu-u.ac.jp/M3/20110427/F51108/1454/1", 44.55)</f>
        <v>44.55</v>
      </c>
      <c r="E14703" s="2">
        <v>29.23</v>
      </c>
      <c r="F14703" s="2">
        <v>2</v>
      </c>
      <c r="G14703" s="2" t="s">
        <v>13</v>
      </c>
      <c r="I14703" s="2" t="s">
        <v>4892</v>
      </c>
    </row>
    <row r="14704" spans="1:9" x14ac:dyDescent="0.2">
      <c r="A14704" s="2" t="s">
        <v>4123</v>
      </c>
      <c r="B14704" s="2" t="s">
        <v>1637</v>
      </c>
      <c r="C14704" s="2">
        <v>1003.188</v>
      </c>
      <c r="D14704" s="2">
        <f>HYPERLINK("http://mcb-m6.bioreg.kyushu-u.ac.jp/M3/20110427/F51108/2852/1", 88.2)</f>
        <v>88.2</v>
      </c>
      <c r="E14704" s="2">
        <v>81.67</v>
      </c>
      <c r="F14704" s="2">
        <v>2</v>
      </c>
      <c r="G14704" s="2" t="s">
        <v>13</v>
      </c>
    </row>
    <row r="14705" spans="1:9" x14ac:dyDescent="0.2">
      <c r="A14705" s="2" t="s">
        <v>3736</v>
      </c>
      <c r="B14705" s="2" t="s">
        <v>859</v>
      </c>
      <c r="C14705" s="2">
        <v>800.43910000000005</v>
      </c>
      <c r="D14705" s="2">
        <f>HYPERLINK("http://mcb-m6.bioreg.kyushu-u.ac.jp/M3/20110404/F50751/2250/1", 72.81)</f>
        <v>72.81</v>
      </c>
      <c r="E14705" s="2">
        <v>55.13</v>
      </c>
      <c r="F14705" s="2">
        <v>2</v>
      </c>
      <c r="G14705" s="2" t="s">
        <v>9</v>
      </c>
      <c r="I14705" s="2" t="s">
        <v>4892</v>
      </c>
    </row>
    <row r="14706" spans="1:9" x14ac:dyDescent="0.2">
      <c r="A14706" s="2" t="s">
        <v>3736</v>
      </c>
      <c r="B14706" s="2" t="s">
        <v>859</v>
      </c>
      <c r="C14706" s="2">
        <v>799.4402</v>
      </c>
      <c r="D14706" s="2">
        <f>HYPERLINK("http://mcb-m6.bioreg.kyushu-u.ac.jp/M3/20110421/F51014/2366/1", 38.31)</f>
        <v>38.31</v>
      </c>
      <c r="E14706" s="2">
        <v>24.17</v>
      </c>
      <c r="F14706" s="2">
        <v>2</v>
      </c>
      <c r="G14706" s="2" t="s">
        <v>11</v>
      </c>
      <c r="I14706" s="2" t="s">
        <v>4892</v>
      </c>
    </row>
    <row r="14707" spans="1:9" x14ac:dyDescent="0.2">
      <c r="A14707" s="2" t="s">
        <v>3736</v>
      </c>
      <c r="B14707" s="2" t="s">
        <v>738</v>
      </c>
      <c r="C14707" s="2">
        <v>578.04970000000003</v>
      </c>
      <c r="D14707" s="2">
        <f>HYPERLINK("http://mcb-m6.bioreg.kyushu-u.ac.jp/M3/20110421/F51014/1526/1", 62.01)</f>
        <v>62.01</v>
      </c>
      <c r="E14707" s="2">
        <v>30.05</v>
      </c>
      <c r="F14707" s="2">
        <v>2</v>
      </c>
      <c r="G14707" s="2" t="s">
        <v>11</v>
      </c>
    </row>
    <row r="14708" spans="1:9" x14ac:dyDescent="0.2">
      <c r="A14708" s="2" t="s">
        <v>3736</v>
      </c>
      <c r="B14708" s="2" t="s">
        <v>859</v>
      </c>
      <c r="C14708" s="2">
        <v>807.51070000000004</v>
      </c>
      <c r="D14708" s="2">
        <f>HYPERLINK("http://mcb-m6.bioreg.kyushu-u.ac.jp/M3/20110421/F51014/2397/1", 69.93)</f>
        <v>69.930000000000007</v>
      </c>
      <c r="E14708" s="2">
        <v>53.41</v>
      </c>
      <c r="F14708" s="2">
        <v>2</v>
      </c>
      <c r="G14708" s="2" t="s">
        <v>11</v>
      </c>
      <c r="H14708" s="2" t="s">
        <v>4910</v>
      </c>
      <c r="I14708" s="2" t="s">
        <v>4892</v>
      </c>
    </row>
    <row r="14709" spans="1:9" x14ac:dyDescent="0.2">
      <c r="A14709" s="2" t="s">
        <v>3736</v>
      </c>
      <c r="B14709" s="2" t="s">
        <v>859</v>
      </c>
      <c r="C14709" s="2">
        <v>799.95420000000001</v>
      </c>
      <c r="D14709" s="2">
        <f>HYPERLINK("http://mcb-m6.bioreg.kyushu-u.ac.jp/M3/20110421/F51021/2412/1", 37.88)</f>
        <v>37.880000000000003</v>
      </c>
      <c r="E14709" s="2">
        <v>26.37</v>
      </c>
      <c r="F14709" s="2">
        <v>2</v>
      </c>
      <c r="G14709" s="2" t="s">
        <v>12</v>
      </c>
      <c r="I14709" s="2" t="s">
        <v>4892</v>
      </c>
    </row>
    <row r="14710" spans="1:9" x14ac:dyDescent="0.2">
      <c r="A14710" s="2" t="s">
        <v>3736</v>
      </c>
      <c r="B14710" s="2" t="s">
        <v>738</v>
      </c>
      <c r="C14710" s="2">
        <v>578.10109999999997</v>
      </c>
      <c r="D14710" s="2">
        <f>HYPERLINK("http://mcb-m6.bioreg.kyushu-u.ac.jp/M3/20110427/F51108/1486/1", 58.56)</f>
        <v>58.56</v>
      </c>
      <c r="E14710" s="2">
        <v>21.17</v>
      </c>
      <c r="F14710" s="2">
        <v>2</v>
      </c>
      <c r="G14710" s="2" t="s">
        <v>13</v>
      </c>
    </row>
    <row r="14711" spans="1:9" x14ac:dyDescent="0.2">
      <c r="A14711" s="2" t="s">
        <v>3736</v>
      </c>
      <c r="B14711" s="2" t="s">
        <v>907</v>
      </c>
      <c r="C14711" s="2">
        <v>916.17660000000001</v>
      </c>
      <c r="D14711" s="2">
        <f>HYPERLINK("http://mcb-m6.bioreg.kyushu-u.ac.jp/M3/20110427/F51108/2649/1", 60.26)</f>
        <v>60.26</v>
      </c>
      <c r="E14711" s="2">
        <v>42.78</v>
      </c>
      <c r="F14711" s="2">
        <v>2</v>
      </c>
      <c r="G14711" s="2" t="s">
        <v>13</v>
      </c>
    </row>
    <row r="14712" spans="1:9" x14ac:dyDescent="0.2">
      <c r="A14712" s="2" t="s">
        <v>3736</v>
      </c>
      <c r="B14712" s="2" t="s">
        <v>859</v>
      </c>
      <c r="C14712" s="2">
        <v>799.56320000000005</v>
      </c>
      <c r="D14712" s="2">
        <f>HYPERLINK("http://mcb-m6.bioreg.kyushu-u.ac.jp/M3/20110427/F51108/2290/1", 70.99)</f>
        <v>70.989999999999995</v>
      </c>
      <c r="E14712" s="2">
        <v>45.7</v>
      </c>
      <c r="F14712" s="2">
        <v>2</v>
      </c>
      <c r="G14712" s="2" t="s">
        <v>13</v>
      </c>
      <c r="I14712" s="2" t="s">
        <v>4892</v>
      </c>
    </row>
    <row r="14713" spans="1:9" x14ac:dyDescent="0.2">
      <c r="A14713" s="2" t="s">
        <v>3736</v>
      </c>
      <c r="B14713" s="2" t="s">
        <v>738</v>
      </c>
      <c r="C14713" s="2">
        <v>577.63919999999996</v>
      </c>
      <c r="D14713" s="2">
        <f>HYPERLINK("http://mcb-m6.bioreg.kyushu-u.ac.jp/M3/20110427/F51118/1601/1", 42.29)</f>
        <v>42.29</v>
      </c>
      <c r="E14713" s="2">
        <v>17.899999999999999</v>
      </c>
      <c r="F14713" s="2">
        <v>2</v>
      </c>
      <c r="G14713" s="2" t="s">
        <v>14</v>
      </c>
    </row>
    <row r="14714" spans="1:9" x14ac:dyDescent="0.2">
      <c r="A14714" s="2" t="s">
        <v>3802</v>
      </c>
      <c r="B14714" s="2" t="s">
        <v>1631</v>
      </c>
      <c r="C14714" s="2">
        <v>666.33920000000001</v>
      </c>
      <c r="D14714" s="2">
        <f>HYPERLINK("http://mcb-m6.bioreg.kyushu-u.ac.jp/M3/20110404/F50752/1853/1", 35.26)</f>
        <v>35.26</v>
      </c>
      <c r="E14714" s="2">
        <v>16.53</v>
      </c>
      <c r="F14714" s="2">
        <v>2</v>
      </c>
      <c r="G14714" s="2" t="s">
        <v>9</v>
      </c>
    </row>
    <row r="14715" spans="1:9" x14ac:dyDescent="0.2">
      <c r="A14715" s="2" t="s">
        <v>3802</v>
      </c>
      <c r="B14715" s="2" t="s">
        <v>857</v>
      </c>
      <c r="C14715" s="2">
        <v>1474.5940000000001</v>
      </c>
      <c r="D14715" s="2">
        <f>HYPERLINK("http://mcb-m6.bioreg.kyushu-u.ac.jp/M3/20110404/F50752/2100/1", 45.18)</f>
        <v>45.18</v>
      </c>
      <c r="E14715" s="2">
        <v>21.86</v>
      </c>
      <c r="F14715" s="2">
        <v>1</v>
      </c>
      <c r="G14715" s="2" t="s">
        <v>9</v>
      </c>
    </row>
    <row r="14716" spans="1:9" x14ac:dyDescent="0.2">
      <c r="A14716" s="2" t="s">
        <v>3802</v>
      </c>
      <c r="B14716" s="2" t="s">
        <v>1631</v>
      </c>
      <c r="C14716" s="2">
        <v>1331.5419999999999</v>
      </c>
      <c r="D14716" s="2">
        <f>HYPERLINK("http://mcb-m6.bioreg.kyushu-u.ac.jp/M3/20110404/F50752/1850/1", 49.75)</f>
        <v>49.75</v>
      </c>
      <c r="E14716" s="2">
        <v>41.52</v>
      </c>
      <c r="F14716" s="2">
        <v>1</v>
      </c>
      <c r="G14716" s="2" t="s">
        <v>9</v>
      </c>
    </row>
    <row r="14717" spans="1:9" x14ac:dyDescent="0.2">
      <c r="A14717" s="2" t="s">
        <v>3802</v>
      </c>
      <c r="B14717" s="2" t="s">
        <v>1259</v>
      </c>
      <c r="C14717" s="2">
        <v>625.88710000000003</v>
      </c>
      <c r="D14717" s="2">
        <f>HYPERLINK("http://mcb-m6.bioreg.kyushu-u.ac.jp/M3/20110404/F50752/1751/1", 58.95)</f>
        <v>58.95</v>
      </c>
      <c r="E14717" s="2">
        <v>32.9</v>
      </c>
      <c r="F14717" s="2">
        <v>2</v>
      </c>
      <c r="G14717" s="2" t="s">
        <v>9</v>
      </c>
    </row>
    <row r="14718" spans="1:9" x14ac:dyDescent="0.2">
      <c r="A14718" s="2" t="s">
        <v>3802</v>
      </c>
      <c r="B14718" s="2" t="s">
        <v>857</v>
      </c>
      <c r="C14718" s="2">
        <v>737.84559999999999</v>
      </c>
      <c r="D14718" s="2">
        <f>HYPERLINK("http://mcb-m6.bioreg.kyushu-u.ac.jp/M3/20110404/F50752/2101/1", 82.42)</f>
        <v>82.42</v>
      </c>
      <c r="E14718" s="2">
        <v>57.36</v>
      </c>
      <c r="F14718" s="2">
        <v>2</v>
      </c>
      <c r="G14718" s="2" t="s">
        <v>9</v>
      </c>
    </row>
    <row r="14719" spans="1:9" x14ac:dyDescent="0.2">
      <c r="A14719" s="2" t="s">
        <v>3802</v>
      </c>
      <c r="B14719" s="2" t="s">
        <v>1631</v>
      </c>
      <c r="C14719" s="2">
        <v>666.39670000000001</v>
      </c>
      <c r="D14719" s="2">
        <f>HYPERLINK("http://mcb-m6.bioreg.kyushu-u.ac.jp/M3/20110404/F50752/1855/1", 82.7)</f>
        <v>82.7</v>
      </c>
      <c r="E14719" s="2">
        <v>63.34</v>
      </c>
      <c r="F14719" s="2">
        <v>2</v>
      </c>
      <c r="G14719" s="2" t="s">
        <v>9</v>
      </c>
    </row>
    <row r="14720" spans="1:9" x14ac:dyDescent="0.2">
      <c r="A14720" s="2" t="s">
        <v>3802</v>
      </c>
      <c r="B14720" s="2" t="s">
        <v>1631</v>
      </c>
      <c r="C14720" s="2">
        <v>666.89760000000001</v>
      </c>
      <c r="D14720" s="2">
        <f>HYPERLINK("http://mcb-m6.bioreg.kyushu-u.ac.jp/M3/20110404/F50752/1858/1", 107.75)</f>
        <v>107.75</v>
      </c>
      <c r="E14720" s="2">
        <v>89.41</v>
      </c>
      <c r="F14720" s="2">
        <v>2</v>
      </c>
      <c r="G14720" s="2" t="s">
        <v>9</v>
      </c>
    </row>
    <row r="14721" spans="1:7" x14ac:dyDescent="0.2">
      <c r="A14721" s="2" t="s">
        <v>3802</v>
      </c>
      <c r="B14721" s="2" t="s">
        <v>857</v>
      </c>
      <c r="C14721" s="2">
        <v>737.92020000000002</v>
      </c>
      <c r="D14721" s="2">
        <f>HYPERLINK("http://mcb-m6.bioreg.kyushu-u.ac.jp/M3/20110404/F50757/2088/1", 43.23)</f>
        <v>43.23</v>
      </c>
      <c r="E14721" s="2">
        <v>29.22</v>
      </c>
      <c r="F14721" s="2">
        <v>2</v>
      </c>
      <c r="G14721" s="2" t="s">
        <v>10</v>
      </c>
    </row>
    <row r="14722" spans="1:7" x14ac:dyDescent="0.2">
      <c r="A14722" s="2" t="s">
        <v>3802</v>
      </c>
      <c r="B14722" s="2" t="s">
        <v>857</v>
      </c>
      <c r="C14722" s="2">
        <v>738.1277</v>
      </c>
      <c r="D14722" s="2">
        <f>HYPERLINK("http://mcb-m6.bioreg.kyushu-u.ac.jp/M3/20110421/F51016/2068/1", 51.9)</f>
        <v>51.9</v>
      </c>
      <c r="E14722" s="2">
        <v>31.43</v>
      </c>
      <c r="F14722" s="2">
        <v>2</v>
      </c>
      <c r="G14722" s="2" t="s">
        <v>11</v>
      </c>
    </row>
    <row r="14723" spans="1:7" x14ac:dyDescent="0.2">
      <c r="A14723" s="2" t="s">
        <v>3802</v>
      </c>
      <c r="B14723" s="2" t="s">
        <v>1259</v>
      </c>
      <c r="C14723" s="2">
        <v>625.79570000000001</v>
      </c>
      <c r="D14723" s="2">
        <f>HYPERLINK("http://mcb-m6.bioreg.kyushu-u.ac.jp/M3/20110421/F51016/1791/1", 61.38)</f>
        <v>61.38</v>
      </c>
      <c r="E14723" s="2">
        <v>34.880000000000003</v>
      </c>
      <c r="F14723" s="2">
        <v>2</v>
      </c>
      <c r="G14723" s="2" t="s">
        <v>11</v>
      </c>
    </row>
    <row r="14724" spans="1:7" x14ac:dyDescent="0.2">
      <c r="A14724" s="2" t="s">
        <v>3802</v>
      </c>
      <c r="B14724" s="2" t="s">
        <v>1071</v>
      </c>
      <c r="C14724" s="2">
        <v>450.18610000000001</v>
      </c>
      <c r="D14724" s="2">
        <f>HYPERLINK("http://mcb-m6.bioreg.kyushu-u.ac.jp/M3/20110427/F51110/1091/1", 68.53)</f>
        <v>68.53</v>
      </c>
      <c r="E14724" s="2">
        <v>38.49</v>
      </c>
      <c r="F14724" s="2">
        <v>2</v>
      </c>
      <c r="G14724" s="2" t="s">
        <v>13</v>
      </c>
    </row>
    <row r="14725" spans="1:7" x14ac:dyDescent="0.2">
      <c r="A14725" s="2" t="s">
        <v>3458</v>
      </c>
      <c r="B14725" s="2" t="s">
        <v>269</v>
      </c>
      <c r="C14725" s="2">
        <v>895.36500000000001</v>
      </c>
      <c r="D14725" s="2">
        <f>HYPERLINK("http://mcb-m6.bioreg.kyushu-u.ac.jp/M3/20110404/F50765/741/1", 35.28)</f>
        <v>35.28</v>
      </c>
      <c r="E14725" s="2">
        <v>17.47</v>
      </c>
      <c r="F14725" s="2">
        <v>1</v>
      </c>
      <c r="G14725" s="2" t="s">
        <v>9</v>
      </c>
    </row>
    <row r="14726" spans="1:7" x14ac:dyDescent="0.2">
      <c r="A14726" s="2" t="s">
        <v>3458</v>
      </c>
      <c r="B14726" s="2" t="s">
        <v>2472</v>
      </c>
      <c r="C14726" s="2">
        <v>492.79059999999998</v>
      </c>
      <c r="D14726" s="2">
        <f>HYPERLINK("http://mcb-m6.bioreg.kyushu-u.ac.jp/M3/20110404/F50765/912/1", 80.83)</f>
        <v>80.83</v>
      </c>
      <c r="E14726" s="2">
        <v>52</v>
      </c>
      <c r="F14726" s="2">
        <v>2</v>
      </c>
      <c r="G14726" s="2" t="s">
        <v>9</v>
      </c>
    </row>
    <row r="14727" spans="1:7" x14ac:dyDescent="0.2">
      <c r="A14727" s="2" t="s">
        <v>3458</v>
      </c>
      <c r="B14727" s="2" t="s">
        <v>2472</v>
      </c>
      <c r="C14727" s="2">
        <v>492.8261</v>
      </c>
      <c r="D14727" s="2">
        <f>HYPERLINK("http://mcb-m6.bioreg.kyushu-u.ac.jp/M3/20110421/F51019/1084/1", 36.83)</f>
        <v>36.83</v>
      </c>
      <c r="E14727" s="2">
        <v>17.239999999999998</v>
      </c>
      <c r="F14727" s="2">
        <v>2</v>
      </c>
      <c r="G14727" s="2" t="s">
        <v>11</v>
      </c>
    </row>
    <row r="14728" spans="1:7" x14ac:dyDescent="0.2">
      <c r="A14728" s="2" t="s">
        <v>3458</v>
      </c>
      <c r="B14728" s="2" t="s">
        <v>2472</v>
      </c>
      <c r="C14728" s="2">
        <v>492.89409999999998</v>
      </c>
      <c r="D14728" s="2">
        <f>HYPERLINK("http://mcb-m6.bioreg.kyushu-u.ac.jp/M3/20110421/F51042/627/1", 42.47)</f>
        <v>42.47</v>
      </c>
      <c r="E14728" s="2">
        <v>20.170000000000002</v>
      </c>
      <c r="F14728" s="2">
        <v>2</v>
      </c>
      <c r="G14728" s="2" t="s">
        <v>11</v>
      </c>
    </row>
    <row r="14729" spans="1:7" x14ac:dyDescent="0.2">
      <c r="A14729" s="2" t="s">
        <v>3458</v>
      </c>
      <c r="B14729" s="2" t="s">
        <v>2472</v>
      </c>
      <c r="C14729" s="2">
        <v>492.64010000000002</v>
      </c>
      <c r="D14729" s="2">
        <f>HYPERLINK("http://mcb-m6.bioreg.kyushu-u.ac.jp/M3/20110427/F51115/1029/1", 48.43)</f>
        <v>48.43</v>
      </c>
      <c r="E14729" s="2">
        <v>15.37</v>
      </c>
      <c r="F14729" s="2">
        <v>2</v>
      </c>
      <c r="G14729" s="2" t="s">
        <v>13</v>
      </c>
    </row>
    <row r="14730" spans="1:7" x14ac:dyDescent="0.2">
      <c r="A14730" s="2" t="s">
        <v>3458</v>
      </c>
      <c r="B14730" s="2" t="s">
        <v>7418</v>
      </c>
      <c r="C14730" s="2">
        <v>614.51760000000002</v>
      </c>
      <c r="D14730" s="2">
        <f>HYPERLINK("http://mcb-m6.bioreg.kyushu-u.ac.jp/M3/20110427/F51115/1487/1", 67.26)</f>
        <v>67.260000000000005</v>
      </c>
      <c r="E14730" s="2">
        <v>46.46</v>
      </c>
      <c r="F14730" s="2">
        <v>2</v>
      </c>
      <c r="G14730" s="2" t="s">
        <v>13</v>
      </c>
    </row>
    <row r="14731" spans="1:7" x14ac:dyDescent="0.2">
      <c r="A14731" s="2" t="s">
        <v>7848</v>
      </c>
      <c r="B14731" s="2" t="s">
        <v>6826</v>
      </c>
      <c r="C14731" s="2">
        <v>772.47799999999995</v>
      </c>
      <c r="D14731" s="2">
        <f>HYPERLINK("http://mcb-m6.bioreg.kyushu-u.ac.jp/M3/20110404/F50770/832/2", 46.66)</f>
        <v>46.66</v>
      </c>
      <c r="E14731" s="2">
        <v>5.04</v>
      </c>
      <c r="F14731" s="2">
        <v>1</v>
      </c>
      <c r="G14731" s="2" t="s">
        <v>10</v>
      </c>
    </row>
    <row r="14732" spans="1:7" x14ac:dyDescent="0.2">
      <c r="A14732" s="2" t="s">
        <v>7792</v>
      </c>
      <c r="B14732" s="2" t="s">
        <v>6699</v>
      </c>
      <c r="C14732" s="2">
        <v>669.37369999999999</v>
      </c>
      <c r="D14732" s="2">
        <f>HYPERLINK("http://mcb-m6.bioreg.kyushu-u.ac.jp/M3/20110404/F50772/1584/1", 36.66)</f>
        <v>36.659999999999997</v>
      </c>
      <c r="E14732" s="2">
        <v>13.35</v>
      </c>
      <c r="F14732" s="2">
        <v>2</v>
      </c>
      <c r="G14732" s="2" t="s">
        <v>10</v>
      </c>
    </row>
    <row r="14733" spans="1:7" x14ac:dyDescent="0.2">
      <c r="A14733" s="2" t="s">
        <v>7792</v>
      </c>
      <c r="B14733" s="2" t="s">
        <v>6762</v>
      </c>
      <c r="C14733" s="2">
        <v>691.06569999999999</v>
      </c>
      <c r="D14733" s="2">
        <f>HYPERLINK("http://mcb-m6.bioreg.kyushu-u.ac.jp/M3/20110404/F50772/1693/1", 40.83)</f>
        <v>40.83</v>
      </c>
      <c r="E14733" s="2">
        <v>18.600000000000001</v>
      </c>
      <c r="F14733" s="2">
        <v>2</v>
      </c>
      <c r="G14733" s="2" t="s">
        <v>10</v>
      </c>
    </row>
    <row r="14734" spans="1:7" x14ac:dyDescent="0.2">
      <c r="A14734" s="2" t="s">
        <v>7792</v>
      </c>
      <c r="B14734" s="2" t="s">
        <v>6814</v>
      </c>
      <c r="C14734" s="2">
        <v>606.93709999999999</v>
      </c>
      <c r="D14734" s="2">
        <f>HYPERLINK("http://mcb-m6.bioreg.kyushu-u.ac.jp/M3/20110404/F50772/1373/1", 45.66)</f>
        <v>45.66</v>
      </c>
      <c r="E14734" s="2">
        <v>30.34</v>
      </c>
      <c r="F14734" s="2">
        <v>2</v>
      </c>
      <c r="G14734" s="2" t="s">
        <v>10</v>
      </c>
    </row>
    <row r="14735" spans="1:7" x14ac:dyDescent="0.2">
      <c r="A14735" s="2" t="s">
        <v>7792</v>
      </c>
      <c r="B14735" s="2" t="s">
        <v>7010</v>
      </c>
      <c r="C14735" s="2">
        <v>563.74369999999999</v>
      </c>
      <c r="D14735" s="2">
        <f>HYPERLINK("http://mcb-m6.bioreg.kyushu-u.ac.jp/M3/20110404/F50772/1225/1", 78.97)</f>
        <v>78.97</v>
      </c>
      <c r="E14735" s="2">
        <v>63.26</v>
      </c>
      <c r="F14735" s="2">
        <v>2</v>
      </c>
      <c r="G14735" s="2" t="s">
        <v>10</v>
      </c>
    </row>
    <row r="14736" spans="1:7" x14ac:dyDescent="0.2">
      <c r="A14736" s="2" t="s">
        <v>3420</v>
      </c>
      <c r="B14736" s="2" t="s">
        <v>5970</v>
      </c>
      <c r="C14736" s="2">
        <v>877.46619999999996</v>
      </c>
      <c r="D14736" s="2">
        <f>HYPERLINK("http://mcb-m6.bioreg.kyushu-u.ac.jp/M3/20110404/F50764/2353/1", 37.26)</f>
        <v>37.26</v>
      </c>
      <c r="E14736" s="2">
        <v>28.76</v>
      </c>
      <c r="F14736" s="2">
        <v>2</v>
      </c>
      <c r="G14736" s="2" t="s">
        <v>9</v>
      </c>
    </row>
    <row r="14737" spans="1:9" x14ac:dyDescent="0.2">
      <c r="A14737" s="2" t="s">
        <v>3420</v>
      </c>
      <c r="B14737" s="2" t="s">
        <v>224</v>
      </c>
      <c r="C14737" s="2">
        <v>848.3691</v>
      </c>
      <c r="D14737" s="2">
        <f>HYPERLINK("http://mcb-m6.bioreg.kyushu-u.ac.jp/M3/20110404/F50779/2239/1", 90.03)</f>
        <v>90.03</v>
      </c>
      <c r="E14737" s="2">
        <v>76.38</v>
      </c>
      <c r="F14737" s="2">
        <v>2</v>
      </c>
      <c r="G14737" s="2" t="s">
        <v>9</v>
      </c>
    </row>
    <row r="14738" spans="1:9" x14ac:dyDescent="0.2">
      <c r="A14738" s="2" t="s">
        <v>7874</v>
      </c>
      <c r="B14738" s="2" t="s">
        <v>6887</v>
      </c>
      <c r="C14738" s="2">
        <v>783.75919999999996</v>
      </c>
      <c r="D14738" s="2">
        <f>HYPERLINK("http://mcb-m6.bioreg.kyushu-u.ac.jp/M3/20110404/F50761/2030/1", 54.04)</f>
        <v>54.04</v>
      </c>
      <c r="E14738" s="2">
        <v>35.99</v>
      </c>
      <c r="F14738" s="2">
        <v>2</v>
      </c>
      <c r="G14738" s="2" t="s">
        <v>10</v>
      </c>
    </row>
    <row r="14739" spans="1:9" x14ac:dyDescent="0.2">
      <c r="A14739" s="2" t="s">
        <v>4424</v>
      </c>
      <c r="B14739" s="2" t="s">
        <v>2295</v>
      </c>
      <c r="C14739" s="2">
        <v>452.67860000000002</v>
      </c>
      <c r="D14739" s="2">
        <f>HYPERLINK("http://mcb-m6.bioreg.kyushu-u.ac.jp/M3/20110404/F50753/1039/1", 62.97)</f>
        <v>62.97</v>
      </c>
      <c r="E14739" s="2">
        <v>26.79</v>
      </c>
      <c r="F14739" s="2">
        <v>2</v>
      </c>
      <c r="G14739" s="2" t="s">
        <v>9</v>
      </c>
      <c r="I14739" s="2" t="s">
        <v>4898</v>
      </c>
    </row>
    <row r="14740" spans="1:9" x14ac:dyDescent="0.2">
      <c r="A14740" s="2" t="s">
        <v>4573</v>
      </c>
      <c r="B14740" s="2" t="s">
        <v>2619</v>
      </c>
      <c r="C14740" s="2">
        <v>894.20169999999996</v>
      </c>
      <c r="D14740" s="2">
        <f>HYPERLINK("http://mcb-m6.bioreg.kyushu-u.ac.jp/M3/20110421/F51015/2435/1", 83.95)</f>
        <v>83.95</v>
      </c>
      <c r="E14740" s="2">
        <v>0.01</v>
      </c>
      <c r="F14740" s="2">
        <v>2</v>
      </c>
      <c r="G14740" s="2" t="s">
        <v>11</v>
      </c>
    </row>
    <row r="14741" spans="1:9" x14ac:dyDescent="0.2">
      <c r="A14741" s="2" t="s">
        <v>4573</v>
      </c>
      <c r="B14741" s="2" t="s">
        <v>2619</v>
      </c>
      <c r="C14741" s="2">
        <v>894.19960000000003</v>
      </c>
      <c r="D14741" s="2">
        <f>HYPERLINK("http://mcb-m6.bioreg.kyushu-u.ac.jp/M3/20110421/F51021/2905/2", 75.11)</f>
        <v>75.11</v>
      </c>
      <c r="E14741" s="2">
        <v>14.37</v>
      </c>
      <c r="F14741" s="2">
        <v>2</v>
      </c>
      <c r="G14741" s="2" t="s">
        <v>12</v>
      </c>
    </row>
    <row r="14742" spans="1:9" x14ac:dyDescent="0.2">
      <c r="A14742" s="2" t="s">
        <v>3453</v>
      </c>
      <c r="B14742" s="2" t="s">
        <v>2529</v>
      </c>
      <c r="C14742" s="2">
        <v>770.87660000000005</v>
      </c>
      <c r="D14742" s="2">
        <f>HYPERLINK("http://mcb-m6.bioreg.kyushu-u.ac.jp/M3/20110404/F50778/1982/1", 74.86)</f>
        <v>74.86</v>
      </c>
      <c r="E14742" s="2">
        <v>58.29</v>
      </c>
      <c r="F14742" s="2">
        <v>2</v>
      </c>
      <c r="G14742" s="2" t="s">
        <v>9</v>
      </c>
      <c r="I14742" s="2" t="s">
        <v>4926</v>
      </c>
    </row>
    <row r="14743" spans="1:9" x14ac:dyDescent="0.2">
      <c r="A14743" s="2" t="s">
        <v>3453</v>
      </c>
      <c r="B14743" s="2" t="s">
        <v>1494</v>
      </c>
      <c r="C14743" s="2">
        <v>778.92909999999995</v>
      </c>
      <c r="D14743" s="2">
        <f>HYPERLINK("http://mcb-m6.bioreg.kyushu-u.ac.jp/M3/20110404/F50778/2022/1", 91.86)</f>
        <v>91.86</v>
      </c>
      <c r="E14743" s="2">
        <v>63.77</v>
      </c>
      <c r="F14743" s="2">
        <v>2</v>
      </c>
      <c r="G14743" s="2" t="s">
        <v>9</v>
      </c>
    </row>
    <row r="14744" spans="1:9" x14ac:dyDescent="0.2">
      <c r="A14744" s="2" t="s">
        <v>3453</v>
      </c>
      <c r="B14744" s="2" t="s">
        <v>6610</v>
      </c>
      <c r="C14744" s="2">
        <v>840.78520000000003</v>
      </c>
      <c r="D14744" s="2">
        <f>HYPERLINK("http://mcb-m6.bioreg.kyushu-u.ac.jp/M3/20110404/F50778/2330/1", 92.65)</f>
        <v>92.65</v>
      </c>
      <c r="E14744" s="2">
        <v>80.900000000000006</v>
      </c>
      <c r="F14744" s="2">
        <v>2</v>
      </c>
      <c r="G14744" s="2" t="s">
        <v>9</v>
      </c>
    </row>
    <row r="14745" spans="1:9" x14ac:dyDescent="0.2">
      <c r="A14745" s="2" t="s">
        <v>3453</v>
      </c>
      <c r="B14745" s="2" t="s">
        <v>1177</v>
      </c>
      <c r="C14745" s="2">
        <v>789.7482</v>
      </c>
      <c r="D14745" s="2">
        <f>HYPERLINK("http://mcb-m6.bioreg.kyushu-u.ac.jp/M3/20110404/F50775/2158/1", 68.57)</f>
        <v>68.569999999999993</v>
      </c>
      <c r="E14745" s="2">
        <v>51.13</v>
      </c>
      <c r="F14745" s="2">
        <v>2</v>
      </c>
      <c r="G14745" s="2" t="s">
        <v>10</v>
      </c>
      <c r="I14745" s="2" t="s">
        <v>4903</v>
      </c>
    </row>
    <row r="14746" spans="1:9" x14ac:dyDescent="0.2">
      <c r="A14746" s="2" t="s">
        <v>3453</v>
      </c>
      <c r="B14746" s="2" t="s">
        <v>1177</v>
      </c>
      <c r="C14746" s="2">
        <v>790.26509999999996</v>
      </c>
      <c r="D14746" s="2">
        <f>HYPERLINK("http://mcb-m6.bioreg.kyushu-u.ac.jp/M3/20110404/F50775/2160/1", 70.17)</f>
        <v>70.17</v>
      </c>
      <c r="E14746" s="2">
        <v>54.74</v>
      </c>
      <c r="F14746" s="2">
        <v>2</v>
      </c>
      <c r="G14746" s="2" t="s">
        <v>10</v>
      </c>
      <c r="I14746" s="2" t="s">
        <v>4903</v>
      </c>
    </row>
    <row r="14747" spans="1:9" x14ac:dyDescent="0.2">
      <c r="A14747" s="2" t="s">
        <v>3453</v>
      </c>
      <c r="B14747" s="2" t="s">
        <v>1494</v>
      </c>
      <c r="C14747" s="2">
        <v>778.94269999999995</v>
      </c>
      <c r="D14747" s="2">
        <f>HYPERLINK("http://mcb-m6.bioreg.kyushu-u.ac.jp/M3/20110404/F50775/2111/1", 79.85)</f>
        <v>79.849999999999994</v>
      </c>
      <c r="E14747" s="2">
        <v>48.65</v>
      </c>
      <c r="F14747" s="2">
        <v>2</v>
      </c>
      <c r="G14747" s="2" t="s">
        <v>10</v>
      </c>
    </row>
    <row r="14748" spans="1:9" x14ac:dyDescent="0.2">
      <c r="A14748" s="2" t="s">
        <v>3453</v>
      </c>
      <c r="B14748" s="2" t="s">
        <v>7127</v>
      </c>
      <c r="C14748" s="2">
        <v>1085.953</v>
      </c>
      <c r="D14748" s="2">
        <f>HYPERLINK("http://mcb-m6.bioreg.kyushu-u.ac.jp/M3/20110421/F51040/3197/1", 56.48)</f>
        <v>56.48</v>
      </c>
      <c r="E14748" s="2">
        <v>40.14</v>
      </c>
      <c r="F14748" s="2">
        <v>2</v>
      </c>
      <c r="G14748" s="2" t="s">
        <v>11</v>
      </c>
    </row>
    <row r="14749" spans="1:9" x14ac:dyDescent="0.2">
      <c r="A14749" s="2" t="s">
        <v>3453</v>
      </c>
      <c r="B14749" s="2" t="s">
        <v>1177</v>
      </c>
      <c r="C14749" s="2">
        <v>790.2441</v>
      </c>
      <c r="D14749" s="2">
        <f>HYPERLINK("http://mcb-m6.bioreg.kyushu-u.ac.jp/M3/20110421/F51040/2318/1", 57.62)</f>
        <v>57.62</v>
      </c>
      <c r="E14749" s="2">
        <v>39.94</v>
      </c>
      <c r="F14749" s="2">
        <v>2</v>
      </c>
      <c r="G14749" s="2" t="s">
        <v>11</v>
      </c>
      <c r="I14749" s="2" t="s">
        <v>4903</v>
      </c>
    </row>
    <row r="14750" spans="1:9" x14ac:dyDescent="0.2">
      <c r="A14750" s="2" t="s">
        <v>3453</v>
      </c>
      <c r="B14750" s="2" t="s">
        <v>1494</v>
      </c>
      <c r="C14750" s="2">
        <v>779.27260000000001</v>
      </c>
      <c r="D14750" s="2">
        <f>HYPERLINK("http://mcb-m6.bioreg.kyushu-u.ac.jp/M3/20110421/F51040/2242/1", 69.47)</f>
        <v>69.47</v>
      </c>
      <c r="E14750" s="2">
        <v>41.92</v>
      </c>
      <c r="F14750" s="2">
        <v>2</v>
      </c>
      <c r="G14750" s="2" t="s">
        <v>11</v>
      </c>
    </row>
    <row r="14751" spans="1:9" x14ac:dyDescent="0.2">
      <c r="A14751" s="2" t="s">
        <v>3453</v>
      </c>
      <c r="B14751" s="2" t="s">
        <v>264</v>
      </c>
      <c r="C14751" s="2">
        <v>586.96469999999999</v>
      </c>
      <c r="D14751" s="2">
        <f>HYPERLINK("http://mcb-m6.bioreg.kyushu-u.ac.jp/M3/20110421/F51050/1474/1", 53.06)</f>
        <v>53.06</v>
      </c>
      <c r="E14751" s="2">
        <v>41.45</v>
      </c>
      <c r="F14751" s="2">
        <v>2</v>
      </c>
      <c r="G14751" s="2" t="s">
        <v>12</v>
      </c>
    </row>
    <row r="14752" spans="1:9" x14ac:dyDescent="0.2">
      <c r="A14752" s="2" t="s">
        <v>3453</v>
      </c>
      <c r="B14752" s="2" t="s">
        <v>1258</v>
      </c>
      <c r="C14752" s="2">
        <v>665.87159999999994</v>
      </c>
      <c r="D14752" s="2">
        <f>HYPERLINK("http://mcb-m6.bioreg.kyushu-u.ac.jp/M3/20110421/F51050/1740/1", 78.21)</f>
        <v>78.209999999999994</v>
      </c>
      <c r="E14752" s="2">
        <v>46.94</v>
      </c>
      <c r="F14752" s="2">
        <v>2</v>
      </c>
      <c r="G14752" s="2" t="s">
        <v>12</v>
      </c>
    </row>
    <row r="14753" spans="1:9" x14ac:dyDescent="0.2">
      <c r="A14753" s="2" t="s">
        <v>3453</v>
      </c>
      <c r="B14753" s="2" t="s">
        <v>1177</v>
      </c>
      <c r="C14753" s="2">
        <v>789.86069999999995</v>
      </c>
      <c r="D14753" s="2">
        <f>HYPERLINK("http://mcb-m6.bioreg.kyushu-u.ac.jp/M3/20110421/F51050/2345/1", 94.54)</f>
        <v>94.54</v>
      </c>
      <c r="E14753" s="2">
        <v>74.239999999999995</v>
      </c>
      <c r="F14753" s="2">
        <v>2</v>
      </c>
      <c r="G14753" s="2" t="s">
        <v>12</v>
      </c>
      <c r="I14753" s="2" t="s">
        <v>4903</v>
      </c>
    </row>
    <row r="14754" spans="1:9" x14ac:dyDescent="0.2">
      <c r="A14754" s="2" t="s">
        <v>3453</v>
      </c>
      <c r="B14754" s="2" t="s">
        <v>2529</v>
      </c>
      <c r="C14754" s="2">
        <v>771.34169999999995</v>
      </c>
      <c r="D14754" s="2">
        <f>HYPERLINK("http://mcb-m6.bioreg.kyushu-u.ac.jp/M3/20110428/F51133/2056/1", 73.75)</f>
        <v>73.75</v>
      </c>
      <c r="E14754" s="2">
        <v>53.1</v>
      </c>
      <c r="F14754" s="2">
        <v>2</v>
      </c>
      <c r="G14754" s="2" t="s">
        <v>13</v>
      </c>
      <c r="I14754" s="2" t="s">
        <v>4926</v>
      </c>
    </row>
    <row r="14755" spans="1:9" x14ac:dyDescent="0.2">
      <c r="A14755" s="2" t="s">
        <v>3453</v>
      </c>
      <c r="B14755" s="2" t="s">
        <v>1494</v>
      </c>
      <c r="C14755" s="2">
        <v>779.28560000000004</v>
      </c>
      <c r="D14755" s="2">
        <f>HYPERLINK("http://mcb-m6.bioreg.kyushu-u.ac.jp/M3/20110428/F51133/2099/1", 74.19)</f>
        <v>74.19</v>
      </c>
      <c r="E14755" s="2">
        <v>48.83</v>
      </c>
      <c r="F14755" s="2">
        <v>2</v>
      </c>
      <c r="G14755" s="2" t="s">
        <v>13</v>
      </c>
    </row>
    <row r="14756" spans="1:9" x14ac:dyDescent="0.2">
      <c r="A14756" s="2" t="s">
        <v>4121</v>
      </c>
      <c r="B14756" s="2" t="s">
        <v>1629</v>
      </c>
      <c r="C14756" s="2">
        <v>627.67359999999996</v>
      </c>
      <c r="D14756" s="2">
        <f>HYPERLINK("http://mcb-m6.bioreg.kyushu-u.ac.jp/M3/20110404/F50763/1501/1", 100)</f>
        <v>100</v>
      </c>
      <c r="E14756" s="2">
        <v>72.650000000000006</v>
      </c>
      <c r="F14756" s="2">
        <v>2</v>
      </c>
      <c r="G14756" s="2" t="s">
        <v>9</v>
      </c>
    </row>
    <row r="14757" spans="1:9" x14ac:dyDescent="0.2">
      <c r="A14757" s="2" t="s">
        <v>4121</v>
      </c>
      <c r="B14757" s="2" t="s">
        <v>6723</v>
      </c>
      <c r="C14757" s="2">
        <v>521.13369999999998</v>
      </c>
      <c r="D14757" s="2">
        <f>HYPERLINK("http://mcb-m6.bioreg.kyushu-u.ac.jp/M3/20110404/F50769/1339/1", 37.97)</f>
        <v>37.97</v>
      </c>
      <c r="E14757" s="2">
        <v>21.53</v>
      </c>
      <c r="F14757" s="2">
        <v>2</v>
      </c>
      <c r="G14757" s="2" t="s">
        <v>10</v>
      </c>
    </row>
    <row r="14758" spans="1:9" x14ac:dyDescent="0.2">
      <c r="A14758" s="2" t="s">
        <v>4121</v>
      </c>
      <c r="B14758" s="2" t="s">
        <v>1629</v>
      </c>
      <c r="C14758" s="2">
        <v>627.84969999999998</v>
      </c>
      <c r="D14758" s="2">
        <f>HYPERLINK("http://mcb-m6.bioreg.kyushu-u.ac.jp/M3/20110404/F50761/1406/1", 88.09)</f>
        <v>88.09</v>
      </c>
      <c r="E14758" s="2">
        <v>59.18</v>
      </c>
      <c r="F14758" s="2">
        <v>2</v>
      </c>
      <c r="G14758" s="2" t="s">
        <v>10</v>
      </c>
    </row>
    <row r="14759" spans="1:9" x14ac:dyDescent="0.2">
      <c r="A14759" s="2" t="s">
        <v>4121</v>
      </c>
      <c r="B14759" s="2" t="s">
        <v>1629</v>
      </c>
      <c r="C14759" s="2">
        <v>627.9932</v>
      </c>
      <c r="D14759" s="2">
        <f>HYPERLINK("http://mcb-m6.bioreg.kyushu-u.ac.jp/M3/20110421/F51035/1368/1", 101.53)</f>
        <v>101.53</v>
      </c>
      <c r="E14759" s="2">
        <v>63.06</v>
      </c>
      <c r="F14759" s="2">
        <v>2</v>
      </c>
      <c r="G14759" s="2" t="s">
        <v>11</v>
      </c>
    </row>
    <row r="14760" spans="1:9" x14ac:dyDescent="0.2">
      <c r="A14760" s="2" t="s">
        <v>4121</v>
      </c>
      <c r="B14760" s="2" t="s">
        <v>1629</v>
      </c>
      <c r="C14760" s="2">
        <v>627.82320000000004</v>
      </c>
      <c r="D14760" s="2">
        <f>HYPERLINK("http://mcb-m6.bioreg.kyushu-u.ac.jp/M3/20110421/F51050/1629/1", 91.38)</f>
        <v>91.38</v>
      </c>
      <c r="E14760" s="2">
        <v>64.150000000000006</v>
      </c>
      <c r="F14760" s="2">
        <v>2</v>
      </c>
      <c r="G14760" s="2" t="s">
        <v>12</v>
      </c>
    </row>
    <row r="14761" spans="1:9" x14ac:dyDescent="0.2">
      <c r="A14761" s="2" t="s">
        <v>4121</v>
      </c>
      <c r="B14761" s="2" t="s">
        <v>1629</v>
      </c>
      <c r="C14761" s="2">
        <v>627.86770000000001</v>
      </c>
      <c r="D14761" s="2">
        <f>HYPERLINK("http://mcb-m6.bioreg.kyushu-u.ac.jp/M3/20110421/F51045/1686/1", 97.05)</f>
        <v>97.05</v>
      </c>
      <c r="E14761" s="2">
        <v>69.13</v>
      </c>
      <c r="F14761" s="2">
        <v>2</v>
      </c>
      <c r="G14761" s="2" t="s">
        <v>12</v>
      </c>
    </row>
    <row r="14762" spans="1:9" x14ac:dyDescent="0.2">
      <c r="A14762" s="2" t="s">
        <v>4121</v>
      </c>
      <c r="B14762" s="2" t="s">
        <v>1629</v>
      </c>
      <c r="C14762" s="2">
        <v>627.81320000000005</v>
      </c>
      <c r="D14762" s="2">
        <f>HYPERLINK("http://mcb-m6.bioreg.kyushu-u.ac.jp/M3/20110421/F51061/1444/1", 104.48)</f>
        <v>104.48</v>
      </c>
      <c r="E14762" s="2">
        <v>76.3</v>
      </c>
      <c r="F14762" s="2">
        <v>2</v>
      </c>
      <c r="G14762" s="2" t="s">
        <v>12</v>
      </c>
    </row>
    <row r="14763" spans="1:9" x14ac:dyDescent="0.2">
      <c r="A14763" s="2" t="s">
        <v>4121</v>
      </c>
      <c r="B14763" s="2" t="s">
        <v>1629</v>
      </c>
      <c r="C14763" s="2">
        <v>627.9366</v>
      </c>
      <c r="D14763" s="2">
        <f>HYPERLINK("http://mcb-m6.bioreg.kyushu-u.ac.jp/M3/20110421/F51043/1497/1", 112.55)</f>
        <v>112.55</v>
      </c>
      <c r="E14763" s="2">
        <v>84.67</v>
      </c>
      <c r="F14763" s="2">
        <v>2</v>
      </c>
      <c r="G14763" s="2" t="s">
        <v>12</v>
      </c>
    </row>
    <row r="14764" spans="1:9" x14ac:dyDescent="0.2">
      <c r="A14764" s="2" t="s">
        <v>4121</v>
      </c>
      <c r="B14764" s="2" t="s">
        <v>1629</v>
      </c>
      <c r="C14764" s="2">
        <v>628.02670000000001</v>
      </c>
      <c r="D14764" s="2">
        <f>HYPERLINK("http://mcb-m6.bioreg.kyushu-u.ac.jp/M3/20110427/F51108/1647/1", 88.23)</f>
        <v>88.23</v>
      </c>
      <c r="E14764" s="2">
        <v>62.52</v>
      </c>
      <c r="F14764" s="2">
        <v>2</v>
      </c>
      <c r="G14764" s="2" t="s">
        <v>13</v>
      </c>
    </row>
    <row r="14765" spans="1:9" x14ac:dyDescent="0.2">
      <c r="A14765" s="2" t="s">
        <v>4121</v>
      </c>
      <c r="B14765" s="2" t="s">
        <v>1629</v>
      </c>
      <c r="C14765" s="2">
        <v>627.48519999999996</v>
      </c>
      <c r="D14765" s="2">
        <f>HYPERLINK("http://mcb-m6.bioreg.kyushu-u.ac.jp/M3/20110427/F51108/1645/1", 90.66)</f>
        <v>90.66</v>
      </c>
      <c r="E14765" s="2">
        <v>59.49</v>
      </c>
      <c r="F14765" s="2">
        <v>2</v>
      </c>
      <c r="G14765" s="2" t="s">
        <v>13</v>
      </c>
    </row>
    <row r="14766" spans="1:9" x14ac:dyDescent="0.2">
      <c r="A14766" s="2" t="s">
        <v>4121</v>
      </c>
      <c r="B14766" s="2" t="s">
        <v>1629</v>
      </c>
      <c r="C14766" s="2">
        <v>627.71510000000001</v>
      </c>
      <c r="D14766" s="2">
        <f>HYPERLINK("http://mcb-m6.bioreg.kyushu-u.ac.jp/M3/20110427/F51112/1604/1", 92.62)</f>
        <v>92.62</v>
      </c>
      <c r="E14766" s="2">
        <v>57.87</v>
      </c>
      <c r="F14766" s="2">
        <v>2</v>
      </c>
      <c r="G14766" s="2" t="s">
        <v>13</v>
      </c>
    </row>
    <row r="14767" spans="1:9" x14ac:dyDescent="0.2">
      <c r="A14767" s="2" t="s">
        <v>4121</v>
      </c>
      <c r="B14767" s="2" t="s">
        <v>1629</v>
      </c>
      <c r="C14767" s="2">
        <v>627.59270000000004</v>
      </c>
      <c r="D14767" s="2">
        <f>HYPERLINK("http://mcb-m6.bioreg.kyushu-u.ac.jp/M3/20110427/F51109/1781/1", 104.54)</f>
        <v>104.54</v>
      </c>
      <c r="E14767" s="2">
        <v>65.8</v>
      </c>
      <c r="F14767" s="2">
        <v>2</v>
      </c>
      <c r="G14767" s="2" t="s">
        <v>13</v>
      </c>
    </row>
    <row r="14768" spans="1:9" x14ac:dyDescent="0.2">
      <c r="A14768" s="2" t="s">
        <v>4121</v>
      </c>
      <c r="B14768" s="2" t="s">
        <v>1629</v>
      </c>
      <c r="C14768" s="2">
        <v>627.54909999999995</v>
      </c>
      <c r="D14768" s="2">
        <f>HYPERLINK("http://mcb-m6.bioreg.kyushu-u.ac.jp/M3/20110427/F51122/1753/1", 92.87)</f>
        <v>92.87</v>
      </c>
      <c r="E14768" s="2">
        <v>66.95</v>
      </c>
      <c r="F14768" s="2">
        <v>2</v>
      </c>
      <c r="G14768" s="2" t="s">
        <v>14</v>
      </c>
    </row>
    <row r="14769" spans="1:9" x14ac:dyDescent="0.2">
      <c r="A14769" s="2" t="s">
        <v>4121</v>
      </c>
      <c r="B14769" s="2" t="s">
        <v>1629</v>
      </c>
      <c r="C14769" s="2">
        <v>627.60310000000004</v>
      </c>
      <c r="D14769" s="2">
        <f>HYPERLINK("http://mcb-m6.bioreg.kyushu-u.ac.jp/M3/20110427/F51120/1734/1", 94.32)</f>
        <v>94.32</v>
      </c>
      <c r="E14769" s="2">
        <v>67.739999999999995</v>
      </c>
      <c r="F14769" s="2">
        <v>2</v>
      </c>
      <c r="G14769" s="2" t="s">
        <v>14</v>
      </c>
    </row>
    <row r="14770" spans="1:9" x14ac:dyDescent="0.2">
      <c r="A14770" s="2" t="s">
        <v>4121</v>
      </c>
      <c r="B14770" s="2" t="s">
        <v>1629</v>
      </c>
      <c r="C14770" s="2">
        <v>627.61360000000002</v>
      </c>
      <c r="D14770" s="2">
        <f>HYPERLINK("http://mcb-m6.bioreg.kyushu-u.ac.jp/M3/20110428/F51134/1665/1", 97.03)</f>
        <v>97.03</v>
      </c>
      <c r="E14770" s="2">
        <v>75.34</v>
      </c>
      <c r="F14770" s="2">
        <v>2</v>
      </c>
      <c r="G14770" s="2" t="s">
        <v>14</v>
      </c>
    </row>
    <row r="14771" spans="1:9" x14ac:dyDescent="0.2">
      <c r="A14771" s="2" t="s">
        <v>4121</v>
      </c>
      <c r="B14771" s="2" t="s">
        <v>1629</v>
      </c>
      <c r="C14771" s="2">
        <v>627.71420000000001</v>
      </c>
      <c r="D14771" s="2">
        <f>HYPERLINK("http://mcb-m6.bioreg.kyushu-u.ac.jp/M3/20110428/F51126/1649/1", 99.19)</f>
        <v>99.19</v>
      </c>
      <c r="E14771" s="2">
        <v>60.63</v>
      </c>
      <c r="F14771" s="2">
        <v>2</v>
      </c>
      <c r="G14771" s="2" t="s">
        <v>14</v>
      </c>
    </row>
    <row r="14772" spans="1:9" x14ac:dyDescent="0.2">
      <c r="A14772" s="2" t="s">
        <v>5776</v>
      </c>
      <c r="B14772" s="2" t="s">
        <v>5418</v>
      </c>
      <c r="C14772" s="2">
        <v>734.46870000000001</v>
      </c>
      <c r="D14772" s="2">
        <f>HYPERLINK("http://mcb-m6.bioreg.kyushu-u.ac.jp/M3/20110421/F51034/2022/1", 52.37)</f>
        <v>52.37</v>
      </c>
      <c r="E14772" s="2">
        <v>33.590000000000003</v>
      </c>
      <c r="F14772" s="2">
        <v>2</v>
      </c>
      <c r="G14772" s="2" t="s">
        <v>11</v>
      </c>
    </row>
    <row r="14773" spans="1:9" x14ac:dyDescent="0.2">
      <c r="A14773" s="2" t="s">
        <v>7984</v>
      </c>
      <c r="B14773" s="2" t="s">
        <v>7201</v>
      </c>
      <c r="C14773" s="2">
        <v>647.40309999999999</v>
      </c>
      <c r="D14773" s="2">
        <f>HYPERLINK("http://mcb-m6.bioreg.kyushu-u.ac.jp/M3/20110421/F51050/1695/1", 43.3)</f>
        <v>43.3</v>
      </c>
      <c r="E14773" s="2">
        <v>20.16</v>
      </c>
      <c r="F14773" s="2">
        <v>2</v>
      </c>
      <c r="G14773" s="2" t="s">
        <v>12</v>
      </c>
    </row>
    <row r="14774" spans="1:9" x14ac:dyDescent="0.2">
      <c r="A14774" s="2" t="s">
        <v>7984</v>
      </c>
      <c r="B14774" s="2" t="s">
        <v>7201</v>
      </c>
      <c r="C14774" s="2">
        <v>647.18219999999997</v>
      </c>
      <c r="D14774" s="2">
        <f>HYPERLINK("http://mcb-m6.bioreg.kyushu-u.ac.jp/M3/20110428/F51130/1643/1", 47.84)</f>
        <v>47.84</v>
      </c>
      <c r="E14774" s="2">
        <v>29.76</v>
      </c>
      <c r="F14774" s="2">
        <v>2</v>
      </c>
      <c r="G14774" s="2" t="s">
        <v>14</v>
      </c>
    </row>
    <row r="14775" spans="1:9" x14ac:dyDescent="0.2">
      <c r="A14775" s="2" t="s">
        <v>5770</v>
      </c>
      <c r="B14775" s="2" t="s">
        <v>7314</v>
      </c>
      <c r="C14775" s="2">
        <v>503.67410000000001</v>
      </c>
      <c r="D14775" s="2">
        <f>HYPERLINK("http://mcb-m6.bioreg.kyushu-u.ac.jp/M3/20110427/F51115/1070/1", 38.7)</f>
        <v>38.700000000000003</v>
      </c>
      <c r="E14775" s="2">
        <v>10.85</v>
      </c>
      <c r="F14775" s="2">
        <v>2</v>
      </c>
      <c r="G14775" s="2" t="s">
        <v>13</v>
      </c>
    </row>
    <row r="14776" spans="1:9" x14ac:dyDescent="0.2">
      <c r="A14776" s="2" t="s">
        <v>5770</v>
      </c>
      <c r="B14776" s="2" t="s">
        <v>7415</v>
      </c>
      <c r="C14776" s="2">
        <v>632.22170000000006</v>
      </c>
      <c r="D14776" s="2">
        <f>HYPERLINK("http://mcb-m6.bioreg.kyushu-u.ac.jp/M3/20110427/F51115/1540/1", 65.81)</f>
        <v>65.81</v>
      </c>
      <c r="E14776" s="2">
        <v>44.49</v>
      </c>
      <c r="F14776" s="2">
        <v>2</v>
      </c>
      <c r="G14776" s="2" t="s">
        <v>13</v>
      </c>
    </row>
    <row r="14777" spans="1:9" x14ac:dyDescent="0.2">
      <c r="A14777" s="2" t="s">
        <v>5770</v>
      </c>
      <c r="B14777" s="2" t="s">
        <v>5401</v>
      </c>
      <c r="C14777" s="2">
        <v>738.90419999999995</v>
      </c>
      <c r="D14777" s="2">
        <f>HYPERLINK("http://mcb-m6.bioreg.kyushu-u.ac.jp/M3/20110427/F51115/1971/1", 77.6)</f>
        <v>77.599999999999994</v>
      </c>
      <c r="E14777" s="2">
        <v>62.23</v>
      </c>
      <c r="F14777" s="2">
        <v>2</v>
      </c>
      <c r="G14777" s="2" t="s">
        <v>13</v>
      </c>
    </row>
    <row r="14778" spans="1:9" x14ac:dyDescent="0.2">
      <c r="A14778" s="2" t="s">
        <v>5770</v>
      </c>
      <c r="B14778" s="2" t="s">
        <v>7437</v>
      </c>
      <c r="C14778" s="2">
        <v>735.61659999999995</v>
      </c>
      <c r="D14778" s="2">
        <f>HYPERLINK("http://mcb-m6.bioreg.kyushu-u.ac.jp/M3/20110427/F51115/1956/1", 85.55)</f>
        <v>85.55</v>
      </c>
      <c r="E14778" s="2">
        <v>63.43</v>
      </c>
      <c r="F14778" s="2">
        <v>2</v>
      </c>
      <c r="G14778" s="2" t="s">
        <v>13</v>
      </c>
      <c r="I14778" s="2" t="s">
        <v>4892</v>
      </c>
    </row>
    <row r="14779" spans="1:9" x14ac:dyDescent="0.2">
      <c r="A14779" s="2" t="s">
        <v>5762</v>
      </c>
      <c r="B14779" s="2" t="s">
        <v>5384</v>
      </c>
      <c r="C14779" s="2">
        <v>836.24770000000001</v>
      </c>
      <c r="D14779" s="2">
        <f>HYPERLINK("http://mcb-m6.bioreg.kyushu-u.ac.jp/M3/20110421/F51042/2502/1", 61.97)</f>
        <v>61.97</v>
      </c>
      <c r="E14779" s="2">
        <v>42.69</v>
      </c>
      <c r="F14779" s="2">
        <v>2</v>
      </c>
      <c r="G14779" s="2" t="s">
        <v>11</v>
      </c>
    </row>
    <row r="14780" spans="1:9" x14ac:dyDescent="0.2">
      <c r="A14780" s="2" t="s">
        <v>5761</v>
      </c>
      <c r="B14780" s="2" t="s">
        <v>5383</v>
      </c>
      <c r="C14780" s="2">
        <v>558.76459999999997</v>
      </c>
      <c r="D14780" s="2">
        <f>HYPERLINK("http://mcb-m6.bioreg.kyushu-u.ac.jp/M3/20110421/F51018/1313/1", 39.23)</f>
        <v>39.229999999999997</v>
      </c>
      <c r="E14780" s="2">
        <v>12.41</v>
      </c>
      <c r="F14780" s="2">
        <v>2</v>
      </c>
      <c r="G14780" s="2" t="s">
        <v>11</v>
      </c>
    </row>
    <row r="14781" spans="1:9" x14ac:dyDescent="0.2">
      <c r="A14781" s="2" t="s">
        <v>5761</v>
      </c>
      <c r="B14781" s="2" t="s">
        <v>5383</v>
      </c>
      <c r="C14781" s="2">
        <v>558.75919999999996</v>
      </c>
      <c r="D14781" s="2">
        <f>HYPERLINK("http://mcb-m6.bioreg.kyushu-u.ac.jp/M3/20110427/F51111/1382/1", 44.7)</f>
        <v>44.7</v>
      </c>
      <c r="E14781" s="2">
        <v>21.13</v>
      </c>
      <c r="F14781" s="2">
        <v>2</v>
      </c>
      <c r="G14781" s="2" t="s">
        <v>13</v>
      </c>
    </row>
    <row r="14782" spans="1:9" x14ac:dyDescent="0.2">
      <c r="A14782" s="2" t="s">
        <v>5761</v>
      </c>
      <c r="B14782" s="2" t="s">
        <v>5383</v>
      </c>
      <c r="C14782" s="2">
        <v>559.26969999999994</v>
      </c>
      <c r="D14782" s="2">
        <f>HYPERLINK("http://mcb-m6.bioreg.kyushu-u.ac.jp/M3/20110427/F51111/1386/1", 58.8)</f>
        <v>58.8</v>
      </c>
      <c r="E14782" s="2">
        <v>29.66</v>
      </c>
      <c r="F14782" s="2">
        <v>2</v>
      </c>
      <c r="G14782" s="2" t="s">
        <v>13</v>
      </c>
    </row>
    <row r="14783" spans="1:9" x14ac:dyDescent="0.2">
      <c r="A14783" s="2" t="s">
        <v>5761</v>
      </c>
      <c r="B14783" s="2" t="s">
        <v>5383</v>
      </c>
      <c r="C14783" s="2">
        <v>559.25869999999998</v>
      </c>
      <c r="D14783" s="2">
        <f>HYPERLINK("http://mcb-m6.bioreg.kyushu-u.ac.jp/M3/20110427/F51120/1537/1", 51.69)</f>
        <v>51.69</v>
      </c>
      <c r="E14783" s="2">
        <v>31.94</v>
      </c>
      <c r="F14783" s="2">
        <v>2</v>
      </c>
      <c r="G14783" s="2" t="s">
        <v>14</v>
      </c>
    </row>
    <row r="14784" spans="1:9" x14ac:dyDescent="0.2">
      <c r="A14784" s="2" t="s">
        <v>3588</v>
      </c>
      <c r="B14784" s="2" t="s">
        <v>473</v>
      </c>
      <c r="C14784" s="2">
        <v>633.25210000000004</v>
      </c>
      <c r="D14784" s="2">
        <f>HYPERLINK("http://mcb-m6.bioreg.kyushu-u.ac.jp/M3/20110404/F50767/1193/1", 35.72)</f>
        <v>35.72</v>
      </c>
      <c r="E14784" s="2">
        <v>10.86</v>
      </c>
      <c r="F14784" s="2">
        <v>2</v>
      </c>
      <c r="G14784" s="2" t="s">
        <v>9</v>
      </c>
    </row>
    <row r="14785" spans="1:7" x14ac:dyDescent="0.2">
      <c r="A14785" s="2" t="s">
        <v>3588</v>
      </c>
      <c r="B14785" s="2" t="s">
        <v>473</v>
      </c>
      <c r="C14785" s="2">
        <v>633.18020000000001</v>
      </c>
      <c r="D14785" s="2">
        <f>HYPERLINK("http://mcb-m6.bioreg.kyushu-u.ac.jp/M3/20110404/F50756/1471/1", 36.53)</f>
        <v>36.53</v>
      </c>
      <c r="E14785" s="2">
        <v>19.989999999999998</v>
      </c>
      <c r="F14785" s="2">
        <v>2</v>
      </c>
      <c r="G14785" s="2" t="s">
        <v>9</v>
      </c>
    </row>
    <row r="14786" spans="1:7" x14ac:dyDescent="0.2">
      <c r="A14786" s="2" t="s">
        <v>3588</v>
      </c>
      <c r="B14786" s="2" t="s">
        <v>712</v>
      </c>
      <c r="C14786" s="2">
        <v>697.25120000000004</v>
      </c>
      <c r="D14786" s="2">
        <f>HYPERLINK("http://mcb-m6.bioreg.kyushu-u.ac.jp/M3/20110404/F50755/1737/1", 48.09)</f>
        <v>48.09</v>
      </c>
      <c r="E14786" s="2">
        <v>34.71</v>
      </c>
      <c r="F14786" s="2">
        <v>2</v>
      </c>
      <c r="G14786" s="2" t="s">
        <v>9</v>
      </c>
    </row>
    <row r="14787" spans="1:7" x14ac:dyDescent="0.2">
      <c r="A14787" s="2" t="s">
        <v>3588</v>
      </c>
      <c r="B14787" s="2" t="s">
        <v>712</v>
      </c>
      <c r="C14787" s="2">
        <v>697.32709999999997</v>
      </c>
      <c r="D14787" s="2">
        <f>HYPERLINK("http://mcb-m6.bioreg.kyushu-u.ac.jp/M3/20110404/F50767/1478/1", 50.75)</f>
        <v>50.75</v>
      </c>
      <c r="E14787" s="2">
        <v>35.229999999999997</v>
      </c>
      <c r="F14787" s="2">
        <v>2</v>
      </c>
      <c r="G14787" s="2" t="s">
        <v>9</v>
      </c>
    </row>
    <row r="14788" spans="1:7" x14ac:dyDescent="0.2">
      <c r="A14788" s="2" t="s">
        <v>3588</v>
      </c>
      <c r="B14788" s="2" t="s">
        <v>712</v>
      </c>
      <c r="C14788" s="2">
        <v>697.17219999999998</v>
      </c>
      <c r="D14788" s="2">
        <f>HYPERLINK("http://mcb-m6.bioreg.kyushu-u.ac.jp/M3/20110404/F50753/1834/1", 54.28)</f>
        <v>54.28</v>
      </c>
      <c r="E14788" s="2">
        <v>40.119999999999997</v>
      </c>
      <c r="F14788" s="2">
        <v>2</v>
      </c>
      <c r="G14788" s="2" t="s">
        <v>9</v>
      </c>
    </row>
    <row r="14789" spans="1:7" x14ac:dyDescent="0.2">
      <c r="A14789" s="2" t="s">
        <v>3588</v>
      </c>
      <c r="B14789" s="2" t="s">
        <v>473</v>
      </c>
      <c r="C14789" s="2">
        <v>633.83370000000002</v>
      </c>
      <c r="D14789" s="2">
        <f>HYPERLINK("http://mcb-m6.bioreg.kyushu-u.ac.jp/M3/20110404/F50765/1363/1", 57.12)</f>
        <v>57.12</v>
      </c>
      <c r="E14789" s="2">
        <v>33.89</v>
      </c>
      <c r="F14789" s="2">
        <v>2</v>
      </c>
      <c r="G14789" s="2" t="s">
        <v>9</v>
      </c>
    </row>
    <row r="14790" spans="1:7" x14ac:dyDescent="0.2">
      <c r="A14790" s="2" t="s">
        <v>3588</v>
      </c>
      <c r="B14790" s="2" t="s">
        <v>712</v>
      </c>
      <c r="C14790" s="2">
        <v>697.39419999999996</v>
      </c>
      <c r="D14790" s="2">
        <f>HYPERLINK("http://mcb-m6.bioreg.kyushu-u.ac.jp/M3/20110404/F50756/1728/1", 59.61)</f>
        <v>59.61</v>
      </c>
      <c r="E14790" s="2">
        <v>45.94</v>
      </c>
      <c r="F14790" s="2">
        <v>2</v>
      </c>
      <c r="G14790" s="2" t="s">
        <v>9</v>
      </c>
    </row>
    <row r="14791" spans="1:7" x14ac:dyDescent="0.2">
      <c r="A14791" s="2" t="s">
        <v>3588</v>
      </c>
      <c r="B14791" s="2" t="s">
        <v>473</v>
      </c>
      <c r="C14791" s="2">
        <v>633.69370000000004</v>
      </c>
      <c r="D14791" s="2">
        <f>HYPERLINK("http://mcb-m6.bioreg.kyushu-u.ac.jp/M3/20110404/F50763/1516/1", 60.34)</f>
        <v>60.34</v>
      </c>
      <c r="E14791" s="2">
        <v>35.18</v>
      </c>
      <c r="F14791" s="2">
        <v>2</v>
      </c>
      <c r="G14791" s="2" t="s">
        <v>9</v>
      </c>
    </row>
    <row r="14792" spans="1:7" x14ac:dyDescent="0.2">
      <c r="A14792" s="2" t="s">
        <v>3588</v>
      </c>
      <c r="B14792" s="2" t="s">
        <v>712</v>
      </c>
      <c r="C14792" s="2">
        <v>697.28369999999995</v>
      </c>
      <c r="D14792" s="2">
        <f>HYPERLINK("http://mcb-m6.bioreg.kyushu-u.ac.jp/M3/20110404/F50777/1711/1", 69.6)</f>
        <v>69.599999999999994</v>
      </c>
      <c r="E14792" s="2">
        <v>50.49</v>
      </c>
      <c r="F14792" s="2">
        <v>2</v>
      </c>
      <c r="G14792" s="2" t="s">
        <v>9</v>
      </c>
    </row>
    <row r="14793" spans="1:7" x14ac:dyDescent="0.2">
      <c r="A14793" s="2" t="s">
        <v>3588</v>
      </c>
      <c r="B14793" s="2" t="s">
        <v>553</v>
      </c>
      <c r="C14793" s="2">
        <v>693.36659999999995</v>
      </c>
      <c r="D14793" s="2">
        <f>HYPERLINK("http://mcb-m6.bioreg.kyushu-u.ac.jp/M3/20110404/F50763/1735/1", 71.82)</f>
        <v>71.819999999999993</v>
      </c>
      <c r="E14793" s="2">
        <v>56.86</v>
      </c>
      <c r="F14793" s="2">
        <v>2</v>
      </c>
      <c r="G14793" s="2" t="s">
        <v>9</v>
      </c>
    </row>
    <row r="14794" spans="1:7" x14ac:dyDescent="0.2">
      <c r="A14794" s="2" t="s">
        <v>3588</v>
      </c>
      <c r="B14794" s="2" t="s">
        <v>712</v>
      </c>
      <c r="C14794" s="2">
        <v>697.36609999999996</v>
      </c>
      <c r="D14794" s="2">
        <f>HYPERLINK("http://mcb-m6.bioreg.kyushu-u.ac.jp/M3/20110404/F50763/1749/1", 72.42)</f>
        <v>72.42</v>
      </c>
      <c r="E14794" s="2">
        <v>56.44</v>
      </c>
      <c r="F14794" s="2">
        <v>2</v>
      </c>
      <c r="G14794" s="2" t="s">
        <v>9</v>
      </c>
    </row>
    <row r="14795" spans="1:7" x14ac:dyDescent="0.2">
      <c r="A14795" s="2" t="s">
        <v>3588</v>
      </c>
      <c r="B14795" s="2" t="s">
        <v>473</v>
      </c>
      <c r="C14795" s="2">
        <v>633.12120000000004</v>
      </c>
      <c r="D14795" s="2">
        <f>HYPERLINK("http://mcb-m6.bioreg.kyushu-u.ac.jp/M3/20110404/F50771/1446/1", 36.45)</f>
        <v>36.450000000000003</v>
      </c>
      <c r="E14795" s="2">
        <v>12.08</v>
      </c>
      <c r="F14795" s="2">
        <v>2</v>
      </c>
      <c r="G14795" s="2" t="s">
        <v>10</v>
      </c>
    </row>
    <row r="14796" spans="1:7" x14ac:dyDescent="0.2">
      <c r="A14796" s="2" t="s">
        <v>3588</v>
      </c>
      <c r="B14796" s="2" t="s">
        <v>553</v>
      </c>
      <c r="C14796" s="2">
        <v>693.31269999999995</v>
      </c>
      <c r="D14796" s="2">
        <f>HYPERLINK("http://mcb-m6.bioreg.kyushu-u.ac.jp/M3/20110404/F50772/1705/1", 44.95)</f>
        <v>44.95</v>
      </c>
      <c r="E14796" s="2">
        <v>20.04</v>
      </c>
      <c r="F14796" s="2">
        <v>2</v>
      </c>
      <c r="G14796" s="2" t="s">
        <v>10</v>
      </c>
    </row>
    <row r="14797" spans="1:7" x14ac:dyDescent="0.2">
      <c r="A14797" s="2" t="s">
        <v>3588</v>
      </c>
      <c r="B14797" s="2" t="s">
        <v>473</v>
      </c>
      <c r="C14797" s="2">
        <v>633.28920000000005</v>
      </c>
      <c r="D14797" s="2">
        <f>HYPERLINK("http://mcb-m6.bioreg.kyushu-u.ac.jp/M3/20110404/F50769/1644/1", 51.05)</f>
        <v>51.05</v>
      </c>
      <c r="E14797" s="2">
        <v>35.659999999999997</v>
      </c>
      <c r="F14797" s="2">
        <v>2</v>
      </c>
      <c r="G14797" s="2" t="s">
        <v>10</v>
      </c>
    </row>
    <row r="14798" spans="1:7" x14ac:dyDescent="0.2">
      <c r="A14798" s="2" t="s">
        <v>3588</v>
      </c>
      <c r="B14798" s="2" t="s">
        <v>473</v>
      </c>
      <c r="C14798" s="2">
        <v>633.22220000000004</v>
      </c>
      <c r="D14798" s="2">
        <f>HYPERLINK("http://mcb-m6.bioreg.kyushu-u.ac.jp/M3/20110404/F50761/1417/1", 63.11)</f>
        <v>63.11</v>
      </c>
      <c r="E14798" s="2">
        <v>42.38</v>
      </c>
      <c r="F14798" s="2">
        <v>2</v>
      </c>
      <c r="G14798" s="2" t="s">
        <v>10</v>
      </c>
    </row>
    <row r="14799" spans="1:7" x14ac:dyDescent="0.2">
      <c r="A14799" s="2" t="s">
        <v>3588</v>
      </c>
      <c r="B14799" s="2" t="s">
        <v>712</v>
      </c>
      <c r="C14799" s="2">
        <v>697.39419999999996</v>
      </c>
      <c r="D14799" s="2">
        <f>HYPERLINK("http://mcb-m6.bioreg.kyushu-u.ac.jp/M3/20110404/F50775/1757/1", 63.67)</f>
        <v>63.67</v>
      </c>
      <c r="E14799" s="2">
        <v>46.43</v>
      </c>
      <c r="F14799" s="2">
        <v>2</v>
      </c>
      <c r="G14799" s="2" t="s">
        <v>10</v>
      </c>
    </row>
    <row r="14800" spans="1:7" x14ac:dyDescent="0.2">
      <c r="A14800" s="2" t="s">
        <v>3588</v>
      </c>
      <c r="B14800" s="2" t="s">
        <v>712</v>
      </c>
      <c r="C14800" s="2">
        <v>697.43769999999995</v>
      </c>
      <c r="D14800" s="2">
        <f>HYPERLINK("http://mcb-m6.bioreg.kyushu-u.ac.jp/M3/20110404/F50773/1652/1", 65.38)</f>
        <v>65.38</v>
      </c>
      <c r="E14800" s="2">
        <v>43.13</v>
      </c>
      <c r="F14800" s="2">
        <v>2</v>
      </c>
      <c r="G14800" s="2" t="s">
        <v>10</v>
      </c>
    </row>
    <row r="14801" spans="1:7" x14ac:dyDescent="0.2">
      <c r="A14801" s="2" t="s">
        <v>3588</v>
      </c>
      <c r="B14801" s="2" t="s">
        <v>473</v>
      </c>
      <c r="C14801" s="2">
        <v>633.31410000000005</v>
      </c>
      <c r="D14801" s="2">
        <f>HYPERLINK("http://mcb-m6.bioreg.kyushu-u.ac.jp/M3/20110404/F50773/1374/1", 65.61)</f>
        <v>65.61</v>
      </c>
      <c r="E14801" s="2">
        <v>33.229999999999997</v>
      </c>
      <c r="F14801" s="2">
        <v>2</v>
      </c>
      <c r="G14801" s="2" t="s">
        <v>10</v>
      </c>
    </row>
    <row r="14802" spans="1:7" x14ac:dyDescent="0.2">
      <c r="A14802" s="2" t="s">
        <v>3588</v>
      </c>
      <c r="B14802" s="2" t="s">
        <v>712</v>
      </c>
      <c r="C14802" s="2">
        <v>697.30219999999997</v>
      </c>
      <c r="D14802" s="2">
        <f>HYPERLINK("http://mcb-m6.bioreg.kyushu-u.ac.jp/M3/20110404/F50761/1653/1", 66.1)</f>
        <v>66.099999999999994</v>
      </c>
      <c r="E14802" s="2">
        <v>52.83</v>
      </c>
      <c r="F14802" s="2">
        <v>2</v>
      </c>
      <c r="G14802" s="2" t="s">
        <v>10</v>
      </c>
    </row>
    <row r="14803" spans="1:7" x14ac:dyDescent="0.2">
      <c r="A14803" s="2" t="s">
        <v>3588</v>
      </c>
      <c r="B14803" s="2" t="s">
        <v>473</v>
      </c>
      <c r="C14803" s="2">
        <v>633.23019999999997</v>
      </c>
      <c r="D14803" s="2">
        <f>HYPERLINK("http://mcb-m6.bioreg.kyushu-u.ac.jp/M3/20110404/F50775/1501/1", 67.75)</f>
        <v>67.75</v>
      </c>
      <c r="E14803" s="2">
        <v>33.729999999999997</v>
      </c>
      <c r="F14803" s="2">
        <v>2</v>
      </c>
      <c r="G14803" s="2" t="s">
        <v>10</v>
      </c>
    </row>
    <row r="14804" spans="1:7" x14ac:dyDescent="0.2">
      <c r="A14804" s="2" t="s">
        <v>3588</v>
      </c>
      <c r="B14804" s="2" t="s">
        <v>712</v>
      </c>
      <c r="C14804" s="2">
        <v>697.37819999999999</v>
      </c>
      <c r="D14804" s="2">
        <f>HYPERLINK("http://mcb-m6.bioreg.kyushu-u.ac.jp/M3/20110404/F50758/1732/1", 72.32)</f>
        <v>72.319999999999993</v>
      </c>
      <c r="E14804" s="2">
        <v>55.53</v>
      </c>
      <c r="F14804" s="2">
        <v>2</v>
      </c>
      <c r="G14804" s="2" t="s">
        <v>10</v>
      </c>
    </row>
    <row r="14805" spans="1:7" x14ac:dyDescent="0.2">
      <c r="A14805" s="2" t="s">
        <v>3588</v>
      </c>
      <c r="B14805" s="2" t="s">
        <v>712</v>
      </c>
      <c r="C14805" s="2">
        <v>697.42769999999996</v>
      </c>
      <c r="D14805" s="2">
        <f>HYPERLINK("http://mcb-m6.bioreg.kyushu-u.ac.jp/M3/20110404/F50768/1723/1", 72.53)</f>
        <v>72.53</v>
      </c>
      <c r="E14805" s="2">
        <v>53.17</v>
      </c>
      <c r="F14805" s="2">
        <v>2</v>
      </c>
      <c r="G14805" s="2" t="s">
        <v>10</v>
      </c>
    </row>
    <row r="14806" spans="1:7" x14ac:dyDescent="0.2">
      <c r="A14806" s="2" t="s">
        <v>3588</v>
      </c>
      <c r="B14806" s="2" t="s">
        <v>712</v>
      </c>
      <c r="C14806" s="2">
        <v>697.76459999999997</v>
      </c>
      <c r="D14806" s="2">
        <f>HYPERLINK("http://mcb-m6.bioreg.kyushu-u.ac.jp/M3/20110421/F51016/1958/1", 35.84)</f>
        <v>35.840000000000003</v>
      </c>
      <c r="E14806" s="2">
        <v>22.3</v>
      </c>
      <c r="F14806" s="2">
        <v>2</v>
      </c>
      <c r="G14806" s="2" t="s">
        <v>11</v>
      </c>
    </row>
    <row r="14807" spans="1:7" x14ac:dyDescent="0.2">
      <c r="A14807" s="2" t="s">
        <v>3588</v>
      </c>
      <c r="B14807" s="2" t="s">
        <v>473</v>
      </c>
      <c r="C14807" s="2">
        <v>633.26459999999997</v>
      </c>
      <c r="D14807" s="2">
        <f>HYPERLINK("http://mcb-m6.bioreg.kyushu-u.ac.jp/M3/20110421/F51037/1419/1", 38.74)</f>
        <v>38.74</v>
      </c>
      <c r="E14807" s="2">
        <v>15.56</v>
      </c>
      <c r="F14807" s="2">
        <v>2</v>
      </c>
      <c r="G14807" s="2" t="s">
        <v>11</v>
      </c>
    </row>
    <row r="14808" spans="1:7" x14ac:dyDescent="0.2">
      <c r="A14808" s="2" t="s">
        <v>3588</v>
      </c>
      <c r="B14808" s="2" t="s">
        <v>712</v>
      </c>
      <c r="C14808" s="2">
        <v>697.51869999999997</v>
      </c>
      <c r="D14808" s="2">
        <f>HYPERLINK("http://mcb-m6.bioreg.kyushu-u.ac.jp/M3/20110421/F51034/1776/1", 45.36)</f>
        <v>45.36</v>
      </c>
      <c r="E14808" s="2">
        <v>22.67</v>
      </c>
      <c r="F14808" s="2">
        <v>2</v>
      </c>
      <c r="G14808" s="2" t="s">
        <v>11</v>
      </c>
    </row>
    <row r="14809" spans="1:7" x14ac:dyDescent="0.2">
      <c r="A14809" s="2" t="s">
        <v>3588</v>
      </c>
      <c r="B14809" s="2" t="s">
        <v>712</v>
      </c>
      <c r="C14809" s="2">
        <v>697.34310000000005</v>
      </c>
      <c r="D14809" s="2">
        <f>HYPERLINK("http://mcb-m6.bioreg.kyushu-u.ac.jp/M3/20110421/F51042/1648/1", 47.48)</f>
        <v>47.48</v>
      </c>
      <c r="E14809" s="2">
        <v>32.729999999999997</v>
      </c>
      <c r="F14809" s="2">
        <v>2</v>
      </c>
      <c r="G14809" s="2" t="s">
        <v>11</v>
      </c>
    </row>
    <row r="14810" spans="1:7" x14ac:dyDescent="0.2">
      <c r="A14810" s="2" t="s">
        <v>3588</v>
      </c>
      <c r="B14810" s="2" t="s">
        <v>473</v>
      </c>
      <c r="C14810" s="2">
        <v>633.23270000000002</v>
      </c>
      <c r="D14810" s="2">
        <f>HYPERLINK("http://mcb-m6.bioreg.kyushu-u.ac.jp/M3/20110421/F51020/1570/1", 51.2)</f>
        <v>51.2</v>
      </c>
      <c r="E14810" s="2">
        <v>28.33</v>
      </c>
      <c r="F14810" s="2">
        <v>2</v>
      </c>
      <c r="G14810" s="2" t="s">
        <v>11</v>
      </c>
    </row>
    <row r="14811" spans="1:7" x14ac:dyDescent="0.2">
      <c r="A14811" s="2" t="s">
        <v>3588</v>
      </c>
      <c r="B14811" s="2" t="s">
        <v>473</v>
      </c>
      <c r="C14811" s="2">
        <v>633.90120000000002</v>
      </c>
      <c r="D14811" s="2">
        <f>HYPERLINK("http://mcb-m6.bioreg.kyushu-u.ac.jp/M3/20110421/F51034/1471/1", 55.85)</f>
        <v>55.85</v>
      </c>
      <c r="E14811" s="2">
        <v>34.4</v>
      </c>
      <c r="F14811" s="2">
        <v>2</v>
      </c>
      <c r="G14811" s="2" t="s">
        <v>11</v>
      </c>
    </row>
    <row r="14812" spans="1:7" x14ac:dyDescent="0.2">
      <c r="A14812" s="2" t="s">
        <v>3588</v>
      </c>
      <c r="B14812" s="2" t="s">
        <v>712</v>
      </c>
      <c r="C14812" s="2">
        <v>697.35109999999997</v>
      </c>
      <c r="D14812" s="2">
        <f>HYPERLINK("http://mcb-m6.bioreg.kyushu-u.ac.jp/M3/20110421/F51039/1840/1", 57.16)</f>
        <v>57.16</v>
      </c>
      <c r="E14812" s="2">
        <v>41.3</v>
      </c>
      <c r="F14812" s="2">
        <v>2</v>
      </c>
      <c r="G14812" s="2" t="s">
        <v>11</v>
      </c>
    </row>
    <row r="14813" spans="1:7" x14ac:dyDescent="0.2">
      <c r="A14813" s="2" t="s">
        <v>3588</v>
      </c>
      <c r="B14813" s="2" t="s">
        <v>553</v>
      </c>
      <c r="C14813" s="2">
        <v>693.02620000000002</v>
      </c>
      <c r="D14813" s="2">
        <f>HYPERLINK("http://mcb-m6.bioreg.kyushu-u.ac.jp/M3/20110421/F51016/1948/1", 57.33)</f>
        <v>57.33</v>
      </c>
      <c r="E14813" s="2">
        <v>44.09</v>
      </c>
      <c r="F14813" s="2">
        <v>2</v>
      </c>
      <c r="G14813" s="2" t="s">
        <v>11</v>
      </c>
    </row>
    <row r="14814" spans="1:7" x14ac:dyDescent="0.2">
      <c r="A14814" s="2" t="s">
        <v>3588</v>
      </c>
      <c r="B14814" s="2" t="s">
        <v>473</v>
      </c>
      <c r="C14814" s="2">
        <v>633.30619999999999</v>
      </c>
      <c r="D14814" s="2">
        <f>HYPERLINK("http://mcb-m6.bioreg.kyushu-u.ac.jp/M3/20110421/F51034/1469/1", 57.87)</f>
        <v>57.87</v>
      </c>
      <c r="E14814" s="2">
        <v>38.380000000000003</v>
      </c>
      <c r="F14814" s="2">
        <v>2</v>
      </c>
      <c r="G14814" s="2" t="s">
        <v>11</v>
      </c>
    </row>
    <row r="14815" spans="1:7" x14ac:dyDescent="0.2">
      <c r="A14815" s="2" t="s">
        <v>3588</v>
      </c>
      <c r="B14815" s="2" t="s">
        <v>712</v>
      </c>
      <c r="C14815" s="2">
        <v>697.78610000000003</v>
      </c>
      <c r="D14815" s="2">
        <f>HYPERLINK("http://mcb-m6.bioreg.kyushu-u.ac.jp/M3/20110421/F51037/1743/1", 72.26)</f>
        <v>72.260000000000005</v>
      </c>
      <c r="E14815" s="2">
        <v>58.19</v>
      </c>
      <c r="F14815" s="2">
        <v>2</v>
      </c>
      <c r="G14815" s="2" t="s">
        <v>11</v>
      </c>
    </row>
    <row r="14816" spans="1:7" x14ac:dyDescent="0.2">
      <c r="A14816" s="2" t="s">
        <v>3588</v>
      </c>
      <c r="B14816" s="2" t="s">
        <v>712</v>
      </c>
      <c r="C14816" s="2">
        <v>697.33259999999996</v>
      </c>
      <c r="D14816" s="2">
        <f>HYPERLINK("http://mcb-m6.bioreg.kyushu-u.ac.jp/M3/20110421/F51020/1823/1", 72.53)</f>
        <v>72.53</v>
      </c>
      <c r="E14816" s="2">
        <v>52.63</v>
      </c>
      <c r="F14816" s="2">
        <v>2</v>
      </c>
      <c r="G14816" s="2" t="s">
        <v>11</v>
      </c>
    </row>
    <row r="14817" spans="1:7" x14ac:dyDescent="0.2">
      <c r="A14817" s="2" t="s">
        <v>3588</v>
      </c>
      <c r="B14817" s="2" t="s">
        <v>473</v>
      </c>
      <c r="C14817" s="2">
        <v>633.33320000000003</v>
      </c>
      <c r="D14817" s="2">
        <f>HYPERLINK("http://mcb-m6.bioreg.kyushu-u.ac.jp/M3/20110421/F51035/1397/1", 78.1)</f>
        <v>78.099999999999994</v>
      </c>
      <c r="E14817" s="2">
        <v>49.13</v>
      </c>
      <c r="F14817" s="2">
        <v>2</v>
      </c>
      <c r="G14817" s="2" t="s">
        <v>11</v>
      </c>
    </row>
    <row r="14818" spans="1:7" x14ac:dyDescent="0.2">
      <c r="A14818" s="2" t="s">
        <v>3588</v>
      </c>
      <c r="B14818" s="2" t="s">
        <v>712</v>
      </c>
      <c r="C14818" s="2">
        <v>697.34619999999995</v>
      </c>
      <c r="D14818" s="2">
        <f>HYPERLINK("http://mcb-m6.bioreg.kyushu-u.ac.jp/M3/20110421/F51035/1716/1", 81.92)</f>
        <v>81.92</v>
      </c>
      <c r="E14818" s="2">
        <v>62.13</v>
      </c>
      <c r="F14818" s="2">
        <v>2</v>
      </c>
      <c r="G14818" s="2" t="s">
        <v>11</v>
      </c>
    </row>
    <row r="14819" spans="1:7" x14ac:dyDescent="0.2">
      <c r="A14819" s="2" t="s">
        <v>3588</v>
      </c>
      <c r="B14819" s="2" t="s">
        <v>712</v>
      </c>
      <c r="C14819" s="2">
        <v>697.39070000000004</v>
      </c>
      <c r="D14819" s="2">
        <f>HYPERLINK("http://mcb-m6.bioreg.kyushu-u.ac.jp/M3/20110421/F51025/1892/1", 38.22)</f>
        <v>38.22</v>
      </c>
      <c r="E14819" s="2">
        <v>24.6</v>
      </c>
      <c r="F14819" s="2">
        <v>2</v>
      </c>
      <c r="G14819" s="2" t="s">
        <v>12</v>
      </c>
    </row>
    <row r="14820" spans="1:7" x14ac:dyDescent="0.2">
      <c r="A14820" s="2" t="s">
        <v>3588</v>
      </c>
      <c r="B14820" s="2" t="s">
        <v>473</v>
      </c>
      <c r="C14820" s="2">
        <v>633.26170000000002</v>
      </c>
      <c r="D14820" s="2">
        <f>HYPERLINK("http://mcb-m6.bioreg.kyushu-u.ac.jp/M3/20110421/F51044/1465/1", 44.02)</f>
        <v>44.02</v>
      </c>
      <c r="E14820" s="2">
        <v>31.35</v>
      </c>
      <c r="F14820" s="2">
        <v>2</v>
      </c>
      <c r="G14820" s="2" t="s">
        <v>12</v>
      </c>
    </row>
    <row r="14821" spans="1:7" x14ac:dyDescent="0.2">
      <c r="A14821" s="2" t="s">
        <v>3588</v>
      </c>
      <c r="B14821" s="2" t="s">
        <v>473</v>
      </c>
      <c r="C14821" s="2">
        <v>633.86969999999997</v>
      </c>
      <c r="D14821" s="2">
        <f>HYPERLINK("http://mcb-m6.bioreg.kyushu-u.ac.jp/M3/20110421/F51047/1584/1", 59.16)</f>
        <v>59.16</v>
      </c>
      <c r="E14821" s="2">
        <v>38.049999999999997</v>
      </c>
      <c r="F14821" s="2">
        <v>2</v>
      </c>
      <c r="G14821" s="2" t="s">
        <v>12</v>
      </c>
    </row>
    <row r="14822" spans="1:7" x14ac:dyDescent="0.2">
      <c r="A14822" s="2" t="s">
        <v>3588</v>
      </c>
      <c r="B14822" s="2" t="s">
        <v>473</v>
      </c>
      <c r="C14822" s="2">
        <v>633.67219999999998</v>
      </c>
      <c r="D14822" s="2">
        <f>HYPERLINK("http://mcb-m6.bioreg.kyushu-u.ac.jp/M3/20110421/F51045/1704/1", 61.14)</f>
        <v>61.14</v>
      </c>
      <c r="E14822" s="2">
        <v>34.1</v>
      </c>
      <c r="F14822" s="2">
        <v>2</v>
      </c>
      <c r="G14822" s="2" t="s">
        <v>12</v>
      </c>
    </row>
    <row r="14823" spans="1:7" x14ac:dyDescent="0.2">
      <c r="A14823" s="2" t="s">
        <v>3588</v>
      </c>
      <c r="B14823" s="2" t="s">
        <v>473</v>
      </c>
      <c r="C14823" s="2">
        <v>633.35310000000004</v>
      </c>
      <c r="D14823" s="2">
        <f>HYPERLINK("http://mcb-m6.bioreg.kyushu-u.ac.jp/M3/20110421/F51043/1516/1", 61.58)</f>
        <v>61.58</v>
      </c>
      <c r="E14823" s="2">
        <v>39.270000000000003</v>
      </c>
      <c r="F14823" s="2">
        <v>2</v>
      </c>
      <c r="G14823" s="2" t="s">
        <v>12</v>
      </c>
    </row>
    <row r="14824" spans="1:7" x14ac:dyDescent="0.2">
      <c r="A14824" s="2" t="s">
        <v>3588</v>
      </c>
      <c r="B14824" s="2" t="s">
        <v>473</v>
      </c>
      <c r="C14824" s="2">
        <v>633.26419999999996</v>
      </c>
      <c r="D14824" s="2">
        <f>HYPERLINK("http://mcb-m6.bioreg.kyushu-u.ac.jp/M3/20110421/F51061/1468/1", 61.99)</f>
        <v>61.99</v>
      </c>
      <c r="E14824" s="2">
        <v>34.29</v>
      </c>
      <c r="F14824" s="2">
        <v>2</v>
      </c>
      <c r="G14824" s="2" t="s">
        <v>12</v>
      </c>
    </row>
    <row r="14825" spans="1:7" x14ac:dyDescent="0.2">
      <c r="A14825" s="2" t="s">
        <v>3588</v>
      </c>
      <c r="B14825" s="2" t="s">
        <v>712</v>
      </c>
      <c r="C14825" s="2">
        <v>697.56209999999999</v>
      </c>
      <c r="D14825" s="2">
        <f>HYPERLINK("http://mcb-m6.bioreg.kyushu-u.ac.jp/M3/20110421/F51021/1836/1", 64.89)</f>
        <v>64.89</v>
      </c>
      <c r="E14825" s="2">
        <v>45.65</v>
      </c>
      <c r="F14825" s="2">
        <v>2</v>
      </c>
      <c r="G14825" s="2" t="s">
        <v>12</v>
      </c>
    </row>
    <row r="14826" spans="1:7" x14ac:dyDescent="0.2">
      <c r="A14826" s="2" t="s">
        <v>3588</v>
      </c>
      <c r="B14826" s="2" t="s">
        <v>712</v>
      </c>
      <c r="C14826" s="2">
        <v>697.56870000000004</v>
      </c>
      <c r="D14826" s="2">
        <f>HYPERLINK("http://mcb-m6.bioreg.kyushu-u.ac.jp/M3/20110421/F51047/1877/1", 65.65)</f>
        <v>65.650000000000006</v>
      </c>
      <c r="E14826" s="2">
        <v>46.21</v>
      </c>
      <c r="F14826" s="2">
        <v>2</v>
      </c>
      <c r="G14826" s="2" t="s">
        <v>12</v>
      </c>
    </row>
    <row r="14827" spans="1:7" x14ac:dyDescent="0.2">
      <c r="A14827" s="2" t="s">
        <v>3588</v>
      </c>
      <c r="B14827" s="2" t="s">
        <v>712</v>
      </c>
      <c r="C14827" s="2">
        <v>697.48469999999998</v>
      </c>
      <c r="D14827" s="2">
        <f>HYPERLINK("http://mcb-m6.bioreg.kyushu-u.ac.jp/M3/20110421/F51061/1721/1", 67.12)</f>
        <v>67.12</v>
      </c>
      <c r="E14827" s="2">
        <v>52.52</v>
      </c>
      <c r="F14827" s="2">
        <v>2</v>
      </c>
      <c r="G14827" s="2" t="s">
        <v>12</v>
      </c>
    </row>
    <row r="14828" spans="1:7" x14ac:dyDescent="0.2">
      <c r="A14828" s="2" t="s">
        <v>3588</v>
      </c>
      <c r="B14828" s="2" t="s">
        <v>473</v>
      </c>
      <c r="C14828" s="2">
        <v>633.20320000000004</v>
      </c>
      <c r="D14828" s="2">
        <f>HYPERLINK("http://mcb-m6.bioreg.kyushu-u.ac.jp/M3/20110421/F51024/1699/1", 67.46)</f>
        <v>67.459999999999994</v>
      </c>
      <c r="E14828" s="2">
        <v>44.66</v>
      </c>
      <c r="F14828" s="2">
        <v>2</v>
      </c>
      <c r="G14828" s="2" t="s">
        <v>12</v>
      </c>
    </row>
    <row r="14829" spans="1:7" x14ac:dyDescent="0.2">
      <c r="A14829" s="2" t="s">
        <v>3588</v>
      </c>
      <c r="B14829" s="2" t="s">
        <v>712</v>
      </c>
      <c r="C14829" s="2">
        <v>697.45259999999996</v>
      </c>
      <c r="D14829" s="2">
        <f>HYPERLINK("http://mcb-m6.bioreg.kyushu-u.ac.jp/M3/20110421/F51045/1980/1", 69.54)</f>
        <v>69.540000000000006</v>
      </c>
      <c r="E14829" s="2">
        <v>52.79</v>
      </c>
      <c r="F14829" s="2">
        <v>2</v>
      </c>
      <c r="G14829" s="2" t="s">
        <v>12</v>
      </c>
    </row>
    <row r="14830" spans="1:7" x14ac:dyDescent="0.2">
      <c r="A14830" s="2" t="s">
        <v>3588</v>
      </c>
      <c r="B14830" s="2" t="s">
        <v>473</v>
      </c>
      <c r="C14830" s="2">
        <v>633.11969999999997</v>
      </c>
      <c r="D14830" s="2">
        <f>HYPERLINK("http://mcb-m6.bioreg.kyushu-u.ac.jp/M3/20110421/F51021/1479/1", 71.67)</f>
        <v>71.67</v>
      </c>
      <c r="E14830" s="2">
        <v>46.55</v>
      </c>
      <c r="F14830" s="2">
        <v>2</v>
      </c>
      <c r="G14830" s="2" t="s">
        <v>12</v>
      </c>
    </row>
    <row r="14831" spans="1:7" x14ac:dyDescent="0.2">
      <c r="A14831" s="2" t="s">
        <v>3588</v>
      </c>
      <c r="B14831" s="2" t="s">
        <v>712</v>
      </c>
      <c r="C14831" s="2">
        <v>697.46969999999999</v>
      </c>
      <c r="D14831" s="2">
        <f>HYPERLINK("http://mcb-m6.bioreg.kyushu-u.ac.jp/M3/20110421/F51043/1827/1", 75.76)</f>
        <v>75.760000000000005</v>
      </c>
      <c r="E14831" s="2">
        <v>56.17</v>
      </c>
      <c r="F14831" s="2">
        <v>2</v>
      </c>
      <c r="G14831" s="2" t="s">
        <v>12</v>
      </c>
    </row>
    <row r="14832" spans="1:7" x14ac:dyDescent="0.2">
      <c r="A14832" s="2" t="s">
        <v>3588</v>
      </c>
      <c r="B14832" s="2" t="s">
        <v>473</v>
      </c>
      <c r="C14832" s="2">
        <v>633.1241</v>
      </c>
      <c r="D14832" s="2">
        <f>HYPERLINK("http://mcb-m6.bioreg.kyushu-u.ac.jp/M3/20110427/F51108/1659/1", 35.88)</f>
        <v>35.880000000000003</v>
      </c>
      <c r="E14832" s="2">
        <v>22.32</v>
      </c>
      <c r="F14832" s="2">
        <v>2</v>
      </c>
      <c r="G14832" s="2" t="s">
        <v>13</v>
      </c>
    </row>
    <row r="14833" spans="1:7" x14ac:dyDescent="0.2">
      <c r="A14833" s="2" t="s">
        <v>3588</v>
      </c>
      <c r="B14833" s="2" t="s">
        <v>712</v>
      </c>
      <c r="C14833" s="2">
        <v>697.34860000000003</v>
      </c>
      <c r="D14833" s="2">
        <f>HYPERLINK("http://mcb-m6.bioreg.kyushu-u.ac.jp/M3/20110427/F51110/1997/1", 40.76)</f>
        <v>40.76</v>
      </c>
      <c r="E14833" s="2">
        <v>23.98</v>
      </c>
      <c r="F14833" s="2">
        <v>2</v>
      </c>
      <c r="G14833" s="2" t="s">
        <v>13</v>
      </c>
    </row>
    <row r="14834" spans="1:7" x14ac:dyDescent="0.2">
      <c r="A14834" s="2" t="s">
        <v>3588</v>
      </c>
      <c r="B14834" s="2" t="s">
        <v>553</v>
      </c>
      <c r="C14834" s="2">
        <v>693.07920000000001</v>
      </c>
      <c r="D14834" s="2">
        <f>HYPERLINK("http://mcb-m6.bioreg.kyushu-u.ac.jp/M3/20110428/F51132/1723/1", 46.01)</f>
        <v>46.01</v>
      </c>
      <c r="E14834" s="2">
        <v>29.11</v>
      </c>
      <c r="F14834" s="2">
        <v>2</v>
      </c>
      <c r="G14834" s="2" t="s">
        <v>13</v>
      </c>
    </row>
    <row r="14835" spans="1:7" x14ac:dyDescent="0.2">
      <c r="A14835" s="2" t="s">
        <v>3588</v>
      </c>
      <c r="B14835" s="2" t="s">
        <v>473</v>
      </c>
      <c r="C14835" s="2">
        <v>633.24109999999996</v>
      </c>
      <c r="D14835" s="2">
        <f>HYPERLINK("http://mcb-m6.bioreg.kyushu-u.ac.jp/M3/20110427/F51110/1815/1", 50.61)</f>
        <v>50.61</v>
      </c>
      <c r="E14835" s="2">
        <v>17.28</v>
      </c>
      <c r="F14835" s="2">
        <v>2</v>
      </c>
      <c r="G14835" s="2" t="s">
        <v>13</v>
      </c>
    </row>
    <row r="14836" spans="1:7" x14ac:dyDescent="0.2">
      <c r="A14836" s="2" t="s">
        <v>3588</v>
      </c>
      <c r="B14836" s="2" t="s">
        <v>473</v>
      </c>
      <c r="C14836" s="2">
        <v>633.22969999999998</v>
      </c>
      <c r="D14836" s="2">
        <f>HYPERLINK("http://mcb-m6.bioreg.kyushu-u.ac.jp/M3/20110428/F51127/1332/1", 55.66)</f>
        <v>55.66</v>
      </c>
      <c r="E14836" s="2">
        <v>31.63</v>
      </c>
      <c r="F14836" s="2">
        <v>2</v>
      </c>
      <c r="G14836" s="2" t="s">
        <v>13</v>
      </c>
    </row>
    <row r="14837" spans="1:7" x14ac:dyDescent="0.2">
      <c r="A14837" s="2" t="s">
        <v>3588</v>
      </c>
      <c r="B14837" s="2" t="s">
        <v>712</v>
      </c>
      <c r="C14837" s="2">
        <v>697.20420000000001</v>
      </c>
      <c r="D14837" s="2">
        <f>HYPERLINK("http://mcb-m6.bioreg.kyushu-u.ac.jp/M3/20110428/F51132/1752/1", 56.02)</f>
        <v>56.02</v>
      </c>
      <c r="E14837" s="2">
        <v>42.89</v>
      </c>
      <c r="F14837" s="2">
        <v>2</v>
      </c>
      <c r="G14837" s="2" t="s">
        <v>13</v>
      </c>
    </row>
    <row r="14838" spans="1:7" x14ac:dyDescent="0.2">
      <c r="A14838" s="2" t="s">
        <v>3588</v>
      </c>
      <c r="B14838" s="2" t="s">
        <v>473</v>
      </c>
      <c r="C14838" s="2">
        <v>633.1902</v>
      </c>
      <c r="D14838" s="2">
        <f>HYPERLINK("http://mcb-m6.bioreg.kyushu-u.ac.jp/M3/20110427/F51113/1520/1", 56.1)</f>
        <v>56.1</v>
      </c>
      <c r="E14838" s="2">
        <v>32.28</v>
      </c>
      <c r="F14838" s="2">
        <v>2</v>
      </c>
      <c r="G14838" s="2" t="s">
        <v>13</v>
      </c>
    </row>
    <row r="14839" spans="1:7" x14ac:dyDescent="0.2">
      <c r="A14839" s="2" t="s">
        <v>3588</v>
      </c>
      <c r="B14839" s="2" t="s">
        <v>473</v>
      </c>
      <c r="C14839" s="2">
        <v>633.16359999999997</v>
      </c>
      <c r="D14839" s="2">
        <f>HYPERLINK("http://mcb-m6.bioreg.kyushu-u.ac.jp/M3/20110427/F51114/1504/1", 57.85)</f>
        <v>57.85</v>
      </c>
      <c r="E14839" s="2">
        <v>28.89</v>
      </c>
      <c r="F14839" s="2">
        <v>2</v>
      </c>
      <c r="G14839" s="2" t="s">
        <v>13</v>
      </c>
    </row>
    <row r="14840" spans="1:7" x14ac:dyDescent="0.2">
      <c r="A14840" s="2" t="s">
        <v>3588</v>
      </c>
      <c r="B14840" s="2" t="s">
        <v>712</v>
      </c>
      <c r="C14840" s="2">
        <v>697.71720000000005</v>
      </c>
      <c r="D14840" s="2">
        <f>HYPERLINK("http://mcb-m6.bioreg.kyushu-u.ac.jp/M3/20110427/F51109/1954/1", 60.27)</f>
        <v>60.27</v>
      </c>
      <c r="E14840" s="2">
        <v>40.35</v>
      </c>
      <c r="F14840" s="2">
        <v>2</v>
      </c>
      <c r="G14840" s="2" t="s">
        <v>13</v>
      </c>
    </row>
    <row r="14841" spans="1:7" x14ac:dyDescent="0.2">
      <c r="A14841" s="2" t="s">
        <v>3588</v>
      </c>
      <c r="B14841" s="2" t="s">
        <v>473</v>
      </c>
      <c r="C14841" s="2">
        <v>633.69820000000004</v>
      </c>
      <c r="D14841" s="2">
        <f>HYPERLINK("http://mcb-m6.bioreg.kyushu-u.ac.jp/M3/20110427/F51115/1546/1", 60.78)</f>
        <v>60.78</v>
      </c>
      <c r="E14841" s="2">
        <v>37.49</v>
      </c>
      <c r="F14841" s="2">
        <v>2</v>
      </c>
      <c r="G14841" s="2" t="s">
        <v>13</v>
      </c>
    </row>
    <row r="14842" spans="1:7" x14ac:dyDescent="0.2">
      <c r="A14842" s="2" t="s">
        <v>3588</v>
      </c>
      <c r="B14842" s="2" t="s">
        <v>712</v>
      </c>
      <c r="C14842" s="2">
        <v>697.31269999999995</v>
      </c>
      <c r="D14842" s="2">
        <f>HYPERLINK("http://mcb-m6.bioreg.kyushu-u.ac.jp/M3/20110427/F51116/1827/1", 63.34)</f>
        <v>63.34</v>
      </c>
      <c r="E14842" s="2">
        <v>44.34</v>
      </c>
      <c r="F14842" s="2">
        <v>2</v>
      </c>
      <c r="G14842" s="2" t="s">
        <v>13</v>
      </c>
    </row>
    <row r="14843" spans="1:7" x14ac:dyDescent="0.2">
      <c r="A14843" s="2" t="s">
        <v>3588</v>
      </c>
      <c r="B14843" s="2" t="s">
        <v>712</v>
      </c>
      <c r="C14843" s="2">
        <v>697.2432</v>
      </c>
      <c r="D14843" s="2">
        <f>HYPERLINK("http://mcb-m6.bioreg.kyushu-u.ac.jp/M3/20110427/F51112/1884/1", 72.8)</f>
        <v>72.8</v>
      </c>
      <c r="E14843" s="2">
        <v>53.07</v>
      </c>
      <c r="F14843" s="2">
        <v>2</v>
      </c>
      <c r="G14843" s="2" t="s">
        <v>13</v>
      </c>
    </row>
    <row r="14844" spans="1:7" x14ac:dyDescent="0.2">
      <c r="A14844" s="2" t="s">
        <v>3588</v>
      </c>
      <c r="B14844" s="2" t="s">
        <v>473</v>
      </c>
      <c r="C14844" s="2">
        <v>633.17660000000001</v>
      </c>
      <c r="D14844" s="2">
        <f>HYPERLINK("http://mcb-m6.bioreg.kyushu-u.ac.jp/M3/20110427/F51116/1545/1", 74.1)</f>
        <v>74.099999999999994</v>
      </c>
      <c r="E14844" s="2">
        <v>46.64</v>
      </c>
      <c r="F14844" s="2">
        <v>2</v>
      </c>
      <c r="G14844" s="2" t="s">
        <v>13</v>
      </c>
    </row>
    <row r="14845" spans="1:7" x14ac:dyDescent="0.2">
      <c r="A14845" s="2" t="s">
        <v>3588</v>
      </c>
      <c r="B14845" s="2" t="s">
        <v>712</v>
      </c>
      <c r="C14845" s="2">
        <v>697.2672</v>
      </c>
      <c r="D14845" s="2">
        <f>HYPERLINK("http://mcb-m6.bioreg.kyushu-u.ac.jp/M3/20110427/F51115/1788/1", 75.53)</f>
        <v>75.53</v>
      </c>
      <c r="E14845" s="2">
        <v>55.99</v>
      </c>
      <c r="F14845" s="2">
        <v>2</v>
      </c>
      <c r="G14845" s="2" t="s">
        <v>13</v>
      </c>
    </row>
    <row r="14846" spans="1:7" x14ac:dyDescent="0.2">
      <c r="A14846" s="2" t="s">
        <v>3588</v>
      </c>
      <c r="B14846" s="2" t="s">
        <v>712</v>
      </c>
      <c r="C14846" s="2">
        <v>697.2106</v>
      </c>
      <c r="D14846" s="2">
        <f>HYPERLINK("http://mcb-m6.bioreg.kyushu-u.ac.jp/M3/20110427/F51108/1897/1", 75.54)</f>
        <v>75.540000000000006</v>
      </c>
      <c r="E14846" s="2">
        <v>58.85</v>
      </c>
      <c r="F14846" s="2">
        <v>2</v>
      </c>
      <c r="G14846" s="2" t="s">
        <v>13</v>
      </c>
    </row>
    <row r="14847" spans="1:7" x14ac:dyDescent="0.2">
      <c r="A14847" s="2" t="s">
        <v>3588</v>
      </c>
      <c r="B14847" s="2" t="s">
        <v>712</v>
      </c>
      <c r="C14847" s="2">
        <v>697.25710000000004</v>
      </c>
      <c r="D14847" s="2">
        <f>HYPERLINK("http://mcb-m6.bioreg.kyushu-u.ac.jp/M3/20110427/F51114/1815/1", 78.5)</f>
        <v>78.5</v>
      </c>
      <c r="E14847" s="2">
        <v>59.12</v>
      </c>
      <c r="F14847" s="2">
        <v>2</v>
      </c>
      <c r="G14847" s="2" t="s">
        <v>13</v>
      </c>
    </row>
    <row r="14848" spans="1:7" x14ac:dyDescent="0.2">
      <c r="A14848" s="2" t="s">
        <v>3588</v>
      </c>
      <c r="B14848" s="2" t="s">
        <v>712</v>
      </c>
      <c r="C14848" s="2">
        <v>697.19320000000005</v>
      </c>
      <c r="D14848" s="2">
        <f>HYPERLINK("http://mcb-m6.bioreg.kyushu-u.ac.jp/M3/20110428/F51127/1643/1", 78.84)</f>
        <v>78.84</v>
      </c>
      <c r="E14848" s="2">
        <v>61.21</v>
      </c>
      <c r="F14848" s="2">
        <v>2</v>
      </c>
      <c r="G14848" s="2" t="s">
        <v>13</v>
      </c>
    </row>
    <row r="14849" spans="1:7" x14ac:dyDescent="0.2">
      <c r="A14849" s="2" t="s">
        <v>3588</v>
      </c>
      <c r="B14849" s="2" t="s">
        <v>712</v>
      </c>
      <c r="C14849" s="2">
        <v>697.34270000000004</v>
      </c>
      <c r="D14849" s="2">
        <f>HYPERLINK("http://mcb-m6.bioreg.kyushu-u.ac.jp/M3/20110427/F51117/1780/1", 78.93)</f>
        <v>78.930000000000007</v>
      </c>
      <c r="E14849" s="2">
        <v>61.25</v>
      </c>
      <c r="F14849" s="2">
        <v>2</v>
      </c>
      <c r="G14849" s="2" t="s">
        <v>13</v>
      </c>
    </row>
    <row r="14850" spans="1:7" x14ac:dyDescent="0.2">
      <c r="A14850" s="2" t="s">
        <v>3588</v>
      </c>
      <c r="B14850" s="2" t="s">
        <v>473</v>
      </c>
      <c r="C14850" s="2">
        <v>633.23019999999997</v>
      </c>
      <c r="D14850" s="2">
        <f>HYPERLINK("http://mcb-m6.bioreg.kyushu-u.ac.jp/M3/20110427/F51120/1739/1", 59.92)</f>
        <v>59.92</v>
      </c>
      <c r="E14850" s="2">
        <v>31.76</v>
      </c>
      <c r="F14850" s="2">
        <v>2</v>
      </c>
      <c r="G14850" s="2" t="s">
        <v>14</v>
      </c>
    </row>
    <row r="14851" spans="1:7" x14ac:dyDescent="0.2">
      <c r="A14851" s="2" t="s">
        <v>3588</v>
      </c>
      <c r="B14851" s="2" t="s">
        <v>473</v>
      </c>
      <c r="C14851" s="2">
        <v>633.15920000000006</v>
      </c>
      <c r="D14851" s="2">
        <f>HYPERLINK("http://mcb-m6.bioreg.kyushu-u.ac.jp/M3/20110428/F51126/1665/1", 60.23)</f>
        <v>60.23</v>
      </c>
      <c r="E14851" s="2">
        <v>34.15</v>
      </c>
      <c r="F14851" s="2">
        <v>2</v>
      </c>
      <c r="G14851" s="2" t="s">
        <v>14</v>
      </c>
    </row>
    <row r="14852" spans="1:7" x14ac:dyDescent="0.2">
      <c r="A14852" s="2" t="s">
        <v>3588</v>
      </c>
      <c r="B14852" s="2" t="s">
        <v>712</v>
      </c>
      <c r="C14852" s="2">
        <v>697.18470000000002</v>
      </c>
      <c r="D14852" s="2">
        <f>HYPERLINK("http://mcb-m6.bioreg.kyushu-u.ac.jp/M3/20110428/F51126/1891/1", 63.98)</f>
        <v>63.98</v>
      </c>
      <c r="E14852" s="2">
        <v>45.11</v>
      </c>
      <c r="F14852" s="2">
        <v>2</v>
      </c>
      <c r="G14852" s="2" t="s">
        <v>14</v>
      </c>
    </row>
    <row r="14853" spans="1:7" x14ac:dyDescent="0.2">
      <c r="A14853" s="2" t="s">
        <v>3588</v>
      </c>
      <c r="B14853" s="2" t="s">
        <v>712</v>
      </c>
      <c r="C14853" s="2">
        <v>697.17269999999996</v>
      </c>
      <c r="D14853" s="2">
        <f>HYPERLINK("http://mcb-m6.bioreg.kyushu-u.ac.jp/M3/20110427/F51122/1992/1", 64.04)</f>
        <v>64.040000000000006</v>
      </c>
      <c r="E14853" s="2">
        <v>48.3</v>
      </c>
      <c r="F14853" s="2">
        <v>2</v>
      </c>
      <c r="G14853" s="2" t="s">
        <v>14</v>
      </c>
    </row>
    <row r="14854" spans="1:7" x14ac:dyDescent="0.2">
      <c r="A14854" s="2" t="s">
        <v>3588</v>
      </c>
      <c r="B14854" s="2" t="s">
        <v>473</v>
      </c>
      <c r="C14854" s="2">
        <v>633.04110000000003</v>
      </c>
      <c r="D14854" s="2">
        <f>HYPERLINK("http://mcb-m6.bioreg.kyushu-u.ac.jp/M3/20110427/F51122/1768/1", 65.91)</f>
        <v>65.91</v>
      </c>
      <c r="E14854" s="2">
        <v>39.47</v>
      </c>
      <c r="F14854" s="2">
        <v>2</v>
      </c>
      <c r="G14854" s="2" t="s">
        <v>14</v>
      </c>
    </row>
    <row r="14855" spans="1:7" x14ac:dyDescent="0.2">
      <c r="A14855" s="2" t="s">
        <v>3588</v>
      </c>
      <c r="B14855" s="2" t="s">
        <v>473</v>
      </c>
      <c r="C14855" s="2">
        <v>633.73170000000005</v>
      </c>
      <c r="D14855" s="2">
        <f>HYPERLINK("http://mcb-m6.bioreg.kyushu-u.ac.jp/M3/20110427/F51120/1741/1", 67.47)</f>
        <v>67.47</v>
      </c>
      <c r="E14855" s="2">
        <v>43.31</v>
      </c>
      <c r="F14855" s="2">
        <v>2</v>
      </c>
      <c r="G14855" s="2" t="s">
        <v>14</v>
      </c>
    </row>
    <row r="14856" spans="1:7" x14ac:dyDescent="0.2">
      <c r="A14856" s="2" t="s">
        <v>3588</v>
      </c>
      <c r="B14856" s="2" t="s">
        <v>473</v>
      </c>
      <c r="C14856" s="2">
        <v>633.32119999999998</v>
      </c>
      <c r="D14856" s="2">
        <f>HYPERLINK("http://mcb-m6.bioreg.kyushu-u.ac.jp/M3/20110427/F51124/1584/1", 68.05)</f>
        <v>68.05</v>
      </c>
      <c r="E14856" s="2">
        <v>44.3</v>
      </c>
      <c r="F14856" s="2">
        <v>2</v>
      </c>
      <c r="G14856" s="2" t="s">
        <v>14</v>
      </c>
    </row>
    <row r="14857" spans="1:7" x14ac:dyDescent="0.2">
      <c r="A14857" s="2" t="s">
        <v>3588</v>
      </c>
      <c r="B14857" s="2" t="s">
        <v>712</v>
      </c>
      <c r="C14857" s="2">
        <v>697.21310000000005</v>
      </c>
      <c r="D14857" s="2">
        <f>HYPERLINK("http://mcb-m6.bioreg.kyushu-u.ac.jp/M3/20110427/F51123/1826/1", 68.83)</f>
        <v>68.83</v>
      </c>
      <c r="E14857" s="2">
        <v>56.94</v>
      </c>
      <c r="F14857" s="2">
        <v>2</v>
      </c>
      <c r="G14857" s="2" t="s">
        <v>14</v>
      </c>
    </row>
    <row r="14858" spans="1:7" x14ac:dyDescent="0.2">
      <c r="A14858" s="2" t="s">
        <v>3588</v>
      </c>
      <c r="B14858" s="2" t="s">
        <v>712</v>
      </c>
      <c r="C14858" s="2">
        <v>697.68709999999999</v>
      </c>
      <c r="D14858" s="2">
        <f>HYPERLINK("http://mcb-m6.bioreg.kyushu-u.ac.jp/M3/20110428/F51129/1804/1", 69.27)</f>
        <v>69.27</v>
      </c>
      <c r="E14858" s="2">
        <v>46.99</v>
      </c>
      <c r="F14858" s="2">
        <v>2</v>
      </c>
      <c r="G14858" s="2" t="s">
        <v>14</v>
      </c>
    </row>
    <row r="14859" spans="1:7" x14ac:dyDescent="0.2">
      <c r="A14859" s="2" t="s">
        <v>3588</v>
      </c>
      <c r="B14859" s="2" t="s">
        <v>712</v>
      </c>
      <c r="C14859" s="2">
        <v>697.28219999999999</v>
      </c>
      <c r="D14859" s="2">
        <f>HYPERLINK("http://mcb-m6.bioreg.kyushu-u.ac.jp/M3/20110427/F51120/1929/1", 70.09)</f>
        <v>70.09</v>
      </c>
      <c r="E14859" s="2">
        <v>50.04</v>
      </c>
      <c r="F14859" s="2">
        <v>2</v>
      </c>
      <c r="G14859" s="2" t="s">
        <v>14</v>
      </c>
    </row>
    <row r="14860" spans="1:7" x14ac:dyDescent="0.2">
      <c r="A14860" s="2" t="s">
        <v>3588</v>
      </c>
      <c r="B14860" s="2" t="s">
        <v>473</v>
      </c>
      <c r="C14860" s="2">
        <v>633.19619999999998</v>
      </c>
      <c r="D14860" s="2">
        <f>HYPERLINK("http://mcb-m6.bioreg.kyushu-u.ac.jp/M3/20110428/F51134/1678/1", 70.53)</f>
        <v>70.53</v>
      </c>
      <c r="E14860" s="2">
        <v>42.99</v>
      </c>
      <c r="F14860" s="2">
        <v>2</v>
      </c>
      <c r="G14860" s="2" t="s">
        <v>14</v>
      </c>
    </row>
    <row r="14861" spans="1:7" x14ac:dyDescent="0.2">
      <c r="A14861" s="2" t="s">
        <v>3588</v>
      </c>
      <c r="B14861" s="2" t="s">
        <v>712</v>
      </c>
      <c r="C14861" s="2">
        <v>697.23519999999996</v>
      </c>
      <c r="D14861" s="2">
        <f>HYPERLINK("http://mcb-m6.bioreg.kyushu-u.ac.jp/M3/20110428/F51128/1750/1", 71.29)</f>
        <v>71.290000000000006</v>
      </c>
      <c r="E14861" s="2">
        <v>53.84</v>
      </c>
      <c r="F14861" s="2">
        <v>2</v>
      </c>
      <c r="G14861" s="2" t="s">
        <v>14</v>
      </c>
    </row>
    <row r="14862" spans="1:7" x14ac:dyDescent="0.2">
      <c r="A14862" s="2" t="s">
        <v>3588</v>
      </c>
      <c r="B14862" s="2" t="s">
        <v>712</v>
      </c>
      <c r="C14862" s="2">
        <v>697.17359999999996</v>
      </c>
      <c r="D14862" s="2">
        <f>HYPERLINK("http://mcb-m6.bioreg.kyushu-u.ac.jp/M3/20110427/F51124/1831/1", 82.08)</f>
        <v>82.08</v>
      </c>
      <c r="E14862" s="2">
        <v>66.09</v>
      </c>
      <c r="F14862" s="2">
        <v>2</v>
      </c>
      <c r="G14862" s="2" t="s">
        <v>14</v>
      </c>
    </row>
    <row r="14863" spans="1:7" x14ac:dyDescent="0.2">
      <c r="A14863" s="2" t="s">
        <v>7881</v>
      </c>
      <c r="B14863" s="2" t="s">
        <v>6923</v>
      </c>
      <c r="C14863" s="2">
        <v>686.36720000000003</v>
      </c>
      <c r="D14863" s="2">
        <f>HYPERLINK("http://mcb-m6.bioreg.kyushu-u.ac.jp/M3/20110404/F50768/1653/1", 60.01)</f>
        <v>60.01</v>
      </c>
      <c r="E14863" s="2">
        <v>48.93</v>
      </c>
      <c r="F14863" s="2">
        <v>2</v>
      </c>
      <c r="G14863" s="2" t="s">
        <v>10</v>
      </c>
    </row>
    <row r="14864" spans="1:7" x14ac:dyDescent="0.2">
      <c r="A14864" s="2" t="s">
        <v>7669</v>
      </c>
      <c r="B14864" s="2" t="s">
        <v>6286</v>
      </c>
      <c r="C14864" s="2">
        <v>531.14419999999996</v>
      </c>
      <c r="D14864" s="2">
        <f>HYPERLINK("http://mcb-m6.bioreg.kyushu-u.ac.jp/M3/20110404/F50766/600/1", 50.83)</f>
        <v>50.83</v>
      </c>
      <c r="E14864" s="2">
        <v>10.25</v>
      </c>
      <c r="F14864" s="2">
        <v>2</v>
      </c>
      <c r="G14864" s="2" t="s">
        <v>9</v>
      </c>
    </row>
    <row r="14865" spans="1:9" x14ac:dyDescent="0.2">
      <c r="A14865" s="2" t="s">
        <v>7818</v>
      </c>
      <c r="B14865" s="2" t="s">
        <v>6754</v>
      </c>
      <c r="C14865" s="2">
        <v>460.25510000000003</v>
      </c>
      <c r="D14865" s="2">
        <f>HYPERLINK("http://mcb-m6.bioreg.kyushu-u.ac.jp/M3/20110404/F50772/858/1", 40.4)</f>
        <v>40.4</v>
      </c>
      <c r="E14865" s="2">
        <v>9.91</v>
      </c>
      <c r="F14865" s="2">
        <v>2</v>
      </c>
      <c r="G14865" s="2" t="s">
        <v>10</v>
      </c>
      <c r="I14865" s="2" t="s">
        <v>4899</v>
      </c>
    </row>
    <row r="14866" spans="1:9" x14ac:dyDescent="0.2">
      <c r="A14866" s="2" t="s">
        <v>7842</v>
      </c>
      <c r="B14866" s="2" t="s">
        <v>6815</v>
      </c>
      <c r="C14866" s="2">
        <v>673.24770000000001</v>
      </c>
      <c r="D14866" s="2">
        <f>HYPERLINK("http://mcb-m6.bioreg.kyushu-u.ac.jp/M3/20110404/F50761/1540/1", 45.68)</f>
        <v>45.68</v>
      </c>
      <c r="E14866" s="2">
        <v>32.590000000000003</v>
      </c>
      <c r="F14866" s="2">
        <v>2</v>
      </c>
      <c r="G14866" s="2" t="s">
        <v>10</v>
      </c>
    </row>
    <row r="14867" spans="1:9" x14ac:dyDescent="0.2">
      <c r="A14867" s="2" t="s">
        <v>8028</v>
      </c>
      <c r="B14867" s="2" t="s">
        <v>7293</v>
      </c>
      <c r="C14867" s="2">
        <v>468.25959999999998</v>
      </c>
      <c r="D14867" s="2">
        <f>HYPERLINK("http://mcb-m6.bioreg.kyushu-u.ac.jp/M3/20110428/F51132/724/1", 35.96)</f>
        <v>35.96</v>
      </c>
      <c r="E14867" s="2">
        <v>16.670000000000002</v>
      </c>
      <c r="F14867" s="2">
        <v>2</v>
      </c>
      <c r="G14867" s="2" t="s">
        <v>13</v>
      </c>
    </row>
    <row r="14868" spans="1:9" x14ac:dyDescent="0.2">
      <c r="A14868" s="2" t="s">
        <v>3784</v>
      </c>
      <c r="B14868" s="2" t="s">
        <v>820</v>
      </c>
      <c r="C14868" s="2">
        <v>796.95320000000004</v>
      </c>
      <c r="D14868" s="2">
        <f>HYPERLINK("http://mcb-m6.bioreg.kyushu-u.ac.jp/M3/20110404/F50755/2250/1", 52.45)</f>
        <v>52.45</v>
      </c>
      <c r="E14868" s="2">
        <v>31.71</v>
      </c>
      <c r="F14868" s="2">
        <v>2</v>
      </c>
      <c r="G14868" s="2" t="s">
        <v>9</v>
      </c>
    </row>
    <row r="14869" spans="1:9" x14ac:dyDescent="0.2">
      <c r="A14869" s="2" t="s">
        <v>3784</v>
      </c>
      <c r="B14869" s="2" t="s">
        <v>820</v>
      </c>
      <c r="C14869" s="2">
        <v>796.36969999999997</v>
      </c>
      <c r="D14869" s="2">
        <f>HYPERLINK("http://mcb-m6.bioreg.kyushu-u.ac.jp/M3/20110404/F50756/2250/1", 58.22)</f>
        <v>58.22</v>
      </c>
      <c r="E14869" s="2">
        <v>26.3</v>
      </c>
      <c r="F14869" s="2">
        <v>2</v>
      </c>
      <c r="G14869" s="2" t="s">
        <v>9</v>
      </c>
    </row>
    <row r="14870" spans="1:9" x14ac:dyDescent="0.2">
      <c r="A14870" s="2" t="s">
        <v>3784</v>
      </c>
      <c r="B14870" s="2" t="s">
        <v>820</v>
      </c>
      <c r="C14870" s="2">
        <v>796.96220000000005</v>
      </c>
      <c r="D14870" s="2">
        <f>HYPERLINK("http://mcb-m6.bioreg.kyushu-u.ac.jp/M3/20110404/F50771/2135/1", 43.93)</f>
        <v>43.93</v>
      </c>
      <c r="E14870" s="2">
        <v>10.92</v>
      </c>
      <c r="F14870" s="2">
        <v>2</v>
      </c>
      <c r="G14870" s="2" t="s">
        <v>10</v>
      </c>
    </row>
    <row r="14871" spans="1:9" x14ac:dyDescent="0.2">
      <c r="A14871" s="2" t="s">
        <v>3784</v>
      </c>
      <c r="B14871" s="2" t="s">
        <v>820</v>
      </c>
      <c r="C14871" s="2">
        <v>796.38620000000003</v>
      </c>
      <c r="D14871" s="2">
        <f>HYPERLINK("http://mcb-m6.bioreg.kyushu-u.ac.jp/M3/20110404/F50771/2134/1", 54.51)</f>
        <v>54.51</v>
      </c>
      <c r="E14871" s="2">
        <v>20.03</v>
      </c>
      <c r="F14871" s="2">
        <v>2</v>
      </c>
      <c r="G14871" s="2" t="s">
        <v>10</v>
      </c>
    </row>
    <row r="14872" spans="1:9" x14ac:dyDescent="0.2">
      <c r="A14872" s="2" t="s">
        <v>3784</v>
      </c>
      <c r="B14872" s="2" t="s">
        <v>820</v>
      </c>
      <c r="C14872" s="2">
        <v>796.39760000000001</v>
      </c>
      <c r="D14872" s="2">
        <f>HYPERLINK("http://mcb-m6.bioreg.kyushu-u.ac.jp/M3/20110421/F51037/2372/1", 37.73)</f>
        <v>37.729999999999997</v>
      </c>
      <c r="E14872" s="2">
        <v>19.5</v>
      </c>
      <c r="F14872" s="2">
        <v>2</v>
      </c>
      <c r="G14872" s="2" t="s">
        <v>11</v>
      </c>
    </row>
    <row r="14873" spans="1:9" x14ac:dyDescent="0.2">
      <c r="A14873" s="2" t="s">
        <v>3784</v>
      </c>
      <c r="B14873" s="2" t="s">
        <v>820</v>
      </c>
      <c r="C14873" s="2">
        <v>796.90369999999996</v>
      </c>
      <c r="D14873" s="2">
        <f>HYPERLINK("http://mcb-m6.bioreg.kyushu-u.ac.jp/M3/20110421/F51042/2258/1", 53.81)</f>
        <v>53.81</v>
      </c>
      <c r="E14873" s="2">
        <v>17.41</v>
      </c>
      <c r="F14873" s="2">
        <v>2</v>
      </c>
      <c r="G14873" s="2" t="s">
        <v>11</v>
      </c>
    </row>
    <row r="14874" spans="1:9" x14ac:dyDescent="0.2">
      <c r="A14874" s="2" t="s">
        <v>3784</v>
      </c>
      <c r="B14874" s="2" t="s">
        <v>820</v>
      </c>
      <c r="C14874" s="2">
        <v>796.77369999999996</v>
      </c>
      <c r="D14874" s="2">
        <f>HYPERLINK("http://mcb-m6.bioreg.kyushu-u.ac.jp/M3/20110427/F51116/2334/1", 38.72)</f>
        <v>38.72</v>
      </c>
      <c r="E14874" s="2">
        <v>13.68</v>
      </c>
      <c r="F14874" s="2">
        <v>2</v>
      </c>
      <c r="G14874" s="2" t="s">
        <v>13</v>
      </c>
    </row>
    <row r="14875" spans="1:9" x14ac:dyDescent="0.2">
      <c r="A14875" s="2" t="s">
        <v>3784</v>
      </c>
      <c r="B14875" s="2" t="s">
        <v>820</v>
      </c>
      <c r="C14875" s="2">
        <v>796.30909999999994</v>
      </c>
      <c r="D14875" s="2">
        <f>HYPERLINK("http://mcb-m6.bioreg.kyushu-u.ac.jp/M3/20110427/F51115/2239/1", 71.14)</f>
        <v>71.14</v>
      </c>
      <c r="E14875" s="2">
        <v>34.69</v>
      </c>
      <c r="F14875" s="2">
        <v>2</v>
      </c>
      <c r="G14875" s="2" t="s">
        <v>13</v>
      </c>
    </row>
    <row r="14876" spans="1:9" x14ac:dyDescent="0.2">
      <c r="A14876" s="2" t="s">
        <v>3784</v>
      </c>
      <c r="B14876" s="2" t="s">
        <v>7467</v>
      </c>
      <c r="C14876" s="2">
        <v>532.32420000000002</v>
      </c>
      <c r="D14876" s="2">
        <f>HYPERLINK("http://mcb-m6.bioreg.kyushu-u.ac.jp/M3/20110427/F51124/1209/1", 38.03)</f>
        <v>38.03</v>
      </c>
      <c r="E14876" s="2">
        <v>12.05</v>
      </c>
      <c r="F14876" s="2">
        <v>2</v>
      </c>
      <c r="G14876" s="2" t="s">
        <v>14</v>
      </c>
    </row>
    <row r="14877" spans="1:9" x14ac:dyDescent="0.2">
      <c r="A14877" s="2" t="s">
        <v>3784</v>
      </c>
      <c r="B14877" s="2" t="s">
        <v>820</v>
      </c>
      <c r="C14877" s="2">
        <v>796.36720000000003</v>
      </c>
      <c r="D14877" s="2">
        <f>HYPERLINK("http://mcb-m6.bioreg.kyushu-u.ac.jp/M3/20110427/F51123/2315/1", 61.72)</f>
        <v>61.72</v>
      </c>
      <c r="E14877" s="2">
        <v>33.590000000000003</v>
      </c>
      <c r="F14877" s="2">
        <v>2</v>
      </c>
      <c r="G14877" s="2" t="s">
        <v>14</v>
      </c>
    </row>
    <row r="14878" spans="1:9" x14ac:dyDescent="0.2">
      <c r="A14878" s="2" t="s">
        <v>3577</v>
      </c>
      <c r="B14878" s="2" t="s">
        <v>5984</v>
      </c>
      <c r="C14878" s="2">
        <v>1447.568</v>
      </c>
      <c r="D14878" s="2">
        <f>HYPERLINK("http://mcb-m6.bioreg.kyushu-u.ac.jp/M3/20110404/F50765/3649/1", 37.77)</f>
        <v>37.770000000000003</v>
      </c>
      <c r="E14878" s="2">
        <v>31.08</v>
      </c>
      <c r="F14878" s="2">
        <v>2</v>
      </c>
      <c r="G14878" s="2" t="s">
        <v>9</v>
      </c>
    </row>
    <row r="14879" spans="1:9" x14ac:dyDescent="0.2">
      <c r="A14879" s="2" t="s">
        <v>3577</v>
      </c>
      <c r="B14879" s="2" t="s">
        <v>455</v>
      </c>
      <c r="C14879" s="2">
        <v>474.58210000000003</v>
      </c>
      <c r="D14879" s="2">
        <f>HYPERLINK("http://mcb-m6.bioreg.kyushu-u.ac.jp/M3/20110404/F50765/837/1", 41.37)</f>
        <v>41.37</v>
      </c>
      <c r="E14879" s="2">
        <v>14.3</v>
      </c>
      <c r="F14879" s="2">
        <v>2</v>
      </c>
      <c r="G14879" s="2" t="s">
        <v>9</v>
      </c>
    </row>
    <row r="14880" spans="1:9" x14ac:dyDescent="0.2">
      <c r="A14880" s="2" t="s">
        <v>3577</v>
      </c>
      <c r="B14880" s="2" t="s">
        <v>1114</v>
      </c>
      <c r="C14880" s="2">
        <v>964.47559999999999</v>
      </c>
      <c r="D14880" s="2">
        <f>HYPERLINK("http://mcb-m6.bioreg.kyushu-u.ac.jp/M3/20110404/F50765/2706/1", 72.67)</f>
        <v>72.67</v>
      </c>
      <c r="E14880" s="2">
        <v>64.17</v>
      </c>
      <c r="F14880" s="2">
        <v>2</v>
      </c>
      <c r="G14880" s="2" t="s">
        <v>9</v>
      </c>
    </row>
    <row r="14881" spans="1:9" x14ac:dyDescent="0.2">
      <c r="A14881" s="2" t="s">
        <v>3577</v>
      </c>
      <c r="B14881" s="2" t="s">
        <v>1114</v>
      </c>
      <c r="C14881" s="2">
        <v>964.99469999999997</v>
      </c>
      <c r="D14881" s="2">
        <f>HYPERLINK("http://mcb-m6.bioreg.kyushu-u.ac.jp/M3/20110404/F50765/2709/1", 75.14)</f>
        <v>75.14</v>
      </c>
      <c r="E14881" s="2">
        <v>59.04</v>
      </c>
      <c r="F14881" s="2">
        <v>2</v>
      </c>
      <c r="G14881" s="2" t="s">
        <v>9</v>
      </c>
    </row>
    <row r="14882" spans="1:9" x14ac:dyDescent="0.2">
      <c r="A14882" s="2" t="s">
        <v>3577</v>
      </c>
      <c r="B14882" s="2" t="s">
        <v>1381</v>
      </c>
      <c r="C14882" s="2">
        <v>779.90009999999995</v>
      </c>
      <c r="D14882" s="2">
        <f>HYPERLINK("http://mcb-m6.bioreg.kyushu-u.ac.jp/M3/20110404/F50765/2018/1", 88.01)</f>
        <v>88.01</v>
      </c>
      <c r="E14882" s="2">
        <v>65.94</v>
      </c>
      <c r="F14882" s="2">
        <v>2</v>
      </c>
      <c r="G14882" s="2" t="s">
        <v>9</v>
      </c>
    </row>
    <row r="14883" spans="1:9" x14ac:dyDescent="0.2">
      <c r="A14883" s="2" t="s">
        <v>3577</v>
      </c>
      <c r="B14883" s="2" t="s">
        <v>1116</v>
      </c>
      <c r="C14883" s="2">
        <v>716.39070000000004</v>
      </c>
      <c r="D14883" s="2">
        <f>HYPERLINK("http://mcb-m6.bioreg.kyushu-u.ac.jp/M3/20110404/F50765/1722/1", 90.79)</f>
        <v>90.79</v>
      </c>
      <c r="E14883" s="2">
        <v>66.5</v>
      </c>
      <c r="F14883" s="2">
        <v>2</v>
      </c>
      <c r="G14883" s="2" t="s">
        <v>9</v>
      </c>
    </row>
    <row r="14884" spans="1:9" x14ac:dyDescent="0.2">
      <c r="A14884" s="2" t="s">
        <v>3577</v>
      </c>
      <c r="B14884" s="2" t="s">
        <v>1161</v>
      </c>
      <c r="C14884" s="2">
        <v>1040.038</v>
      </c>
      <c r="D14884" s="2">
        <f>HYPERLINK("http://mcb-m6.bioreg.kyushu-u.ac.jp/M3/20110404/F50765/2939/1", 99.22)</f>
        <v>99.22</v>
      </c>
      <c r="E14884" s="2">
        <v>89.31</v>
      </c>
      <c r="F14884" s="2">
        <v>2</v>
      </c>
      <c r="G14884" s="2" t="s">
        <v>9</v>
      </c>
    </row>
    <row r="14885" spans="1:9" x14ac:dyDescent="0.2">
      <c r="A14885" s="2" t="s">
        <v>3577</v>
      </c>
      <c r="B14885" s="2" t="s">
        <v>2514</v>
      </c>
      <c r="C14885" s="2">
        <v>1247.8309999999999</v>
      </c>
      <c r="D14885" s="2">
        <f>HYPERLINK("http://mcb-m6.bioreg.kyushu-u.ac.jp/M3/20110404/F50765/3409/1", 109.72)</f>
        <v>109.72</v>
      </c>
      <c r="E14885" s="2">
        <v>101.45</v>
      </c>
      <c r="F14885" s="2">
        <v>2</v>
      </c>
      <c r="G14885" s="2" t="s">
        <v>9</v>
      </c>
      <c r="I14885" s="2" t="s">
        <v>4923</v>
      </c>
    </row>
    <row r="14886" spans="1:9" x14ac:dyDescent="0.2">
      <c r="A14886" s="2" t="s">
        <v>3577</v>
      </c>
      <c r="B14886" s="2" t="s">
        <v>2353</v>
      </c>
      <c r="C14886" s="2">
        <v>1070.546</v>
      </c>
      <c r="D14886" s="2">
        <f>HYPERLINK("http://mcb-m6.bioreg.kyushu-u.ac.jp/M3/20110404/F50765/3025/1", 113.7)</f>
        <v>113.7</v>
      </c>
      <c r="E14886" s="2">
        <v>97.44</v>
      </c>
      <c r="F14886" s="2">
        <v>2</v>
      </c>
      <c r="G14886" s="2" t="s">
        <v>9</v>
      </c>
      <c r="I14886" s="2" t="s">
        <v>4903</v>
      </c>
    </row>
    <row r="14887" spans="1:9" x14ac:dyDescent="0.2">
      <c r="A14887" s="2" t="s">
        <v>3577</v>
      </c>
      <c r="B14887" s="2" t="s">
        <v>1049</v>
      </c>
      <c r="C14887" s="2">
        <v>1201.921</v>
      </c>
      <c r="D14887" s="2">
        <f>HYPERLINK("http://mcb-m6.bioreg.kyushu-u.ac.jp/M3/20110404/F50765/3336/1", 156.88)</f>
        <v>156.88</v>
      </c>
      <c r="E14887" s="2">
        <v>141.22999999999999</v>
      </c>
      <c r="F14887" s="2">
        <v>2</v>
      </c>
      <c r="G14887" s="2" t="s">
        <v>9</v>
      </c>
    </row>
    <row r="14888" spans="1:9" x14ac:dyDescent="0.2">
      <c r="A14888" s="2" t="s">
        <v>3577</v>
      </c>
      <c r="B14888" s="2" t="s">
        <v>1116</v>
      </c>
      <c r="C14888" s="2">
        <v>716.24159999999995</v>
      </c>
      <c r="D14888" s="2">
        <f>HYPERLINK("http://mcb-m6.bioreg.kyushu-u.ac.jp/M3/20110404/F50770/1837/1", 38.99)</f>
        <v>38.99</v>
      </c>
      <c r="E14888" s="2">
        <v>17.850000000000001</v>
      </c>
      <c r="F14888" s="2">
        <v>2</v>
      </c>
      <c r="G14888" s="2" t="s">
        <v>10</v>
      </c>
    </row>
    <row r="14889" spans="1:9" x14ac:dyDescent="0.2">
      <c r="A14889" s="2" t="s">
        <v>3577</v>
      </c>
      <c r="B14889" s="2" t="s">
        <v>455</v>
      </c>
      <c r="C14889" s="2">
        <v>948.37699999999995</v>
      </c>
      <c r="D14889" s="2">
        <f>HYPERLINK("http://mcb-m6.bioreg.kyushu-u.ac.jp/M3/20110404/F50771/949/1", 47.3)</f>
        <v>47.3</v>
      </c>
      <c r="E14889" s="2">
        <v>30.12</v>
      </c>
      <c r="F14889" s="2">
        <v>1</v>
      </c>
      <c r="G14889" s="2" t="s">
        <v>10</v>
      </c>
    </row>
    <row r="14890" spans="1:9" x14ac:dyDescent="0.2">
      <c r="A14890" s="2" t="s">
        <v>3577</v>
      </c>
      <c r="B14890" s="2" t="s">
        <v>1161</v>
      </c>
      <c r="C14890" s="2">
        <v>1040.3889999999999</v>
      </c>
      <c r="D14890" s="2">
        <f>HYPERLINK("http://mcb-m6.bioreg.kyushu-u.ac.jp/M3/20110404/F50771/2944/1", 64.64)</f>
        <v>64.64</v>
      </c>
      <c r="E14890" s="2">
        <v>54.48</v>
      </c>
      <c r="F14890" s="2">
        <v>2</v>
      </c>
      <c r="G14890" s="2" t="s">
        <v>10</v>
      </c>
    </row>
    <row r="14891" spans="1:9" x14ac:dyDescent="0.2">
      <c r="A14891" s="2" t="s">
        <v>3577</v>
      </c>
      <c r="B14891" s="2" t="s">
        <v>1381</v>
      </c>
      <c r="C14891" s="2">
        <v>780.29570000000001</v>
      </c>
      <c r="D14891" s="2">
        <f>HYPERLINK("http://mcb-m6.bioreg.kyushu-u.ac.jp/M3/20110404/F50771/2055/1", 69.43)</f>
        <v>69.430000000000007</v>
      </c>
      <c r="E14891" s="2">
        <v>48.62</v>
      </c>
      <c r="F14891" s="2">
        <v>2</v>
      </c>
      <c r="G14891" s="2" t="s">
        <v>10</v>
      </c>
    </row>
    <row r="14892" spans="1:9" x14ac:dyDescent="0.2">
      <c r="A14892" s="2" t="s">
        <v>3577</v>
      </c>
      <c r="B14892" s="2" t="s">
        <v>5984</v>
      </c>
      <c r="C14892" s="2">
        <v>1448.0740000000001</v>
      </c>
      <c r="D14892" s="2">
        <f>HYPERLINK("http://mcb-m6.bioreg.kyushu-u.ac.jp/M3/20110404/F50771/3642/1", 69.93)</f>
        <v>69.930000000000007</v>
      </c>
      <c r="E14892" s="2">
        <v>61.32</v>
      </c>
      <c r="F14892" s="2">
        <v>2</v>
      </c>
      <c r="G14892" s="2" t="s">
        <v>10</v>
      </c>
    </row>
    <row r="14893" spans="1:9" x14ac:dyDescent="0.2">
      <c r="A14893" s="2" t="s">
        <v>3577</v>
      </c>
      <c r="B14893" s="2" t="s">
        <v>869</v>
      </c>
      <c r="C14893" s="2">
        <v>1025.1410000000001</v>
      </c>
      <c r="D14893" s="2">
        <f>HYPERLINK("http://mcb-m6.bioreg.kyushu-u.ac.jp/M3/20110404/F50771/3699/1", 73.46)</f>
        <v>73.459999999999994</v>
      </c>
      <c r="E14893" s="2">
        <v>61.03</v>
      </c>
      <c r="F14893" s="2">
        <v>3</v>
      </c>
      <c r="G14893" s="2" t="s">
        <v>10</v>
      </c>
    </row>
    <row r="14894" spans="1:9" x14ac:dyDescent="0.2">
      <c r="A14894" s="2" t="s">
        <v>3577</v>
      </c>
      <c r="B14894" s="2" t="s">
        <v>5984</v>
      </c>
      <c r="C14894" s="2">
        <v>965.84649999999999</v>
      </c>
      <c r="D14894" s="2">
        <f>HYPERLINK("http://mcb-m6.bioreg.kyushu-u.ac.jp/M3/20110404/F50771/3644/1", 73.51)</f>
        <v>73.510000000000005</v>
      </c>
      <c r="E14894" s="2">
        <v>52.78</v>
      </c>
      <c r="F14894" s="2">
        <v>3</v>
      </c>
      <c r="G14894" s="2" t="s">
        <v>10</v>
      </c>
    </row>
    <row r="14895" spans="1:9" x14ac:dyDescent="0.2">
      <c r="A14895" s="2" t="s">
        <v>3577</v>
      </c>
      <c r="B14895" s="2" t="s">
        <v>1116</v>
      </c>
      <c r="C14895" s="2">
        <v>716.22969999999998</v>
      </c>
      <c r="D14895" s="2">
        <f>HYPERLINK("http://mcb-m6.bioreg.kyushu-u.ac.jp/M3/20110404/F50771/1783/1", 92.21)</f>
        <v>92.21</v>
      </c>
      <c r="E14895" s="2">
        <v>66.02</v>
      </c>
      <c r="F14895" s="2">
        <v>2</v>
      </c>
      <c r="G14895" s="2" t="s">
        <v>10</v>
      </c>
    </row>
    <row r="14896" spans="1:9" x14ac:dyDescent="0.2">
      <c r="A14896" s="2" t="s">
        <v>3577</v>
      </c>
      <c r="B14896" s="2" t="s">
        <v>2514</v>
      </c>
      <c r="C14896" s="2">
        <v>1247.6769999999999</v>
      </c>
      <c r="D14896" s="2">
        <f>HYPERLINK("http://mcb-m6.bioreg.kyushu-u.ac.jp/M3/20110404/F50771/3408/1", 95.77)</f>
        <v>95.77</v>
      </c>
      <c r="E14896" s="2">
        <v>82.53</v>
      </c>
      <c r="F14896" s="2">
        <v>2</v>
      </c>
      <c r="G14896" s="2" t="s">
        <v>10</v>
      </c>
      <c r="I14896" s="2" t="s">
        <v>4923</v>
      </c>
    </row>
    <row r="14897" spans="1:9" x14ac:dyDescent="0.2">
      <c r="A14897" s="2" t="s">
        <v>3577</v>
      </c>
      <c r="B14897" s="2" t="s">
        <v>2353</v>
      </c>
      <c r="C14897" s="2">
        <v>1070.415</v>
      </c>
      <c r="D14897" s="2">
        <f>HYPERLINK("http://mcb-m6.bioreg.kyushu-u.ac.jp/M3/20110404/F50771/3027/1", 109.99)</f>
        <v>109.99</v>
      </c>
      <c r="E14897" s="2">
        <v>91.55</v>
      </c>
      <c r="F14897" s="2">
        <v>2</v>
      </c>
      <c r="G14897" s="2" t="s">
        <v>10</v>
      </c>
      <c r="I14897" s="2" t="s">
        <v>4903</v>
      </c>
    </row>
    <row r="14898" spans="1:9" x14ac:dyDescent="0.2">
      <c r="A14898" s="2" t="s">
        <v>3577</v>
      </c>
      <c r="B14898" s="2" t="s">
        <v>1049</v>
      </c>
      <c r="C14898" s="2">
        <v>1201.82</v>
      </c>
      <c r="D14898" s="2">
        <f>HYPERLINK("http://mcb-m6.bioreg.kyushu-u.ac.jp/M3/20110404/F50771/3327/1", 128.57)</f>
        <v>128.57</v>
      </c>
      <c r="E14898" s="2">
        <v>116.95</v>
      </c>
      <c r="F14898" s="2">
        <v>2</v>
      </c>
      <c r="G14898" s="2" t="s">
        <v>10</v>
      </c>
    </row>
    <row r="14899" spans="1:9" x14ac:dyDescent="0.2">
      <c r="A14899" s="2" t="s">
        <v>3577</v>
      </c>
      <c r="B14899" s="2" t="s">
        <v>455</v>
      </c>
      <c r="C14899" s="2">
        <v>948.42200000000003</v>
      </c>
      <c r="D14899" s="2">
        <f>HYPERLINK("http://mcb-m6.bioreg.kyushu-u.ac.jp/M3/20110421/F51042/562/1", 37.93)</f>
        <v>37.93</v>
      </c>
      <c r="E14899" s="2">
        <v>18.96</v>
      </c>
      <c r="F14899" s="2">
        <v>1</v>
      </c>
      <c r="G14899" s="2" t="s">
        <v>11</v>
      </c>
    </row>
    <row r="14900" spans="1:9" x14ac:dyDescent="0.2">
      <c r="A14900" s="2" t="s">
        <v>3577</v>
      </c>
      <c r="B14900" s="2" t="s">
        <v>5984</v>
      </c>
      <c r="C14900" s="2">
        <v>965.44889999999998</v>
      </c>
      <c r="D14900" s="2">
        <f>HYPERLINK("http://mcb-m6.bioreg.kyushu-u.ac.jp/M3/20110421/F51042/4299/1", 39.95)</f>
        <v>39.950000000000003</v>
      </c>
      <c r="E14900" s="2">
        <v>33.11</v>
      </c>
      <c r="F14900" s="2">
        <v>3</v>
      </c>
      <c r="G14900" s="2" t="s">
        <v>11</v>
      </c>
    </row>
    <row r="14901" spans="1:9" x14ac:dyDescent="0.2">
      <c r="A14901" s="2" t="s">
        <v>3577</v>
      </c>
      <c r="B14901" s="2" t="s">
        <v>5984</v>
      </c>
      <c r="C14901" s="2">
        <v>1447.4290000000001</v>
      </c>
      <c r="D14901" s="2">
        <f>HYPERLINK("http://mcb-m6.bioreg.kyushu-u.ac.jp/M3/20110421/F51019/3310/1", 54.02)</f>
        <v>54.02</v>
      </c>
      <c r="E14901" s="2">
        <v>41.27</v>
      </c>
      <c r="F14901" s="2">
        <v>2</v>
      </c>
      <c r="G14901" s="2" t="s">
        <v>11</v>
      </c>
    </row>
    <row r="14902" spans="1:9" x14ac:dyDescent="0.2">
      <c r="A14902" s="2" t="s">
        <v>3577</v>
      </c>
      <c r="B14902" s="2" t="s">
        <v>5984</v>
      </c>
      <c r="C14902" s="2">
        <v>1447.9580000000001</v>
      </c>
      <c r="D14902" s="2">
        <f>HYPERLINK("http://mcb-m6.bioreg.kyushu-u.ac.jp/M3/20110421/F51042/4300/1", 68.58)</f>
        <v>68.58</v>
      </c>
      <c r="E14902" s="2">
        <v>56.66</v>
      </c>
      <c r="F14902" s="2">
        <v>2</v>
      </c>
      <c r="G14902" s="2" t="s">
        <v>11</v>
      </c>
    </row>
    <row r="14903" spans="1:9" x14ac:dyDescent="0.2">
      <c r="A14903" s="2" t="s">
        <v>3577</v>
      </c>
      <c r="B14903" s="2" t="s">
        <v>1112</v>
      </c>
      <c r="C14903" s="2">
        <v>658.70759999999996</v>
      </c>
      <c r="D14903" s="2">
        <f>HYPERLINK("http://mcb-m6.bioreg.kyushu-u.ac.jp/M3/20110421/F51042/1394/1", 69.66)</f>
        <v>69.66</v>
      </c>
      <c r="E14903" s="2">
        <v>55.32</v>
      </c>
      <c r="F14903" s="2">
        <v>2</v>
      </c>
      <c r="G14903" s="2" t="s">
        <v>11</v>
      </c>
    </row>
    <row r="14904" spans="1:9" x14ac:dyDescent="0.2">
      <c r="A14904" s="2" t="s">
        <v>3577</v>
      </c>
      <c r="B14904" s="2" t="s">
        <v>1114</v>
      </c>
      <c r="C14904" s="2">
        <v>964.40120000000002</v>
      </c>
      <c r="D14904" s="2">
        <f>HYPERLINK("http://mcb-m6.bioreg.kyushu-u.ac.jp/M3/20110421/F51042/3128/1", 69.91)</f>
        <v>69.91</v>
      </c>
      <c r="E14904" s="2">
        <v>55.33</v>
      </c>
      <c r="F14904" s="2">
        <v>2</v>
      </c>
      <c r="G14904" s="2" t="s">
        <v>11</v>
      </c>
    </row>
    <row r="14905" spans="1:9" x14ac:dyDescent="0.2">
      <c r="A14905" s="2" t="s">
        <v>3577</v>
      </c>
      <c r="B14905" s="2" t="s">
        <v>1049</v>
      </c>
      <c r="C14905" s="2">
        <v>802.07150000000001</v>
      </c>
      <c r="D14905" s="2">
        <f>HYPERLINK("http://mcb-m6.bioreg.kyushu-u.ac.jp/M3/20110421/F51042/3924/1", 74.73)</f>
        <v>74.73</v>
      </c>
      <c r="E14905" s="2">
        <v>58.87</v>
      </c>
      <c r="F14905" s="2">
        <v>3</v>
      </c>
      <c r="G14905" s="2" t="s">
        <v>11</v>
      </c>
    </row>
    <row r="14906" spans="1:9" x14ac:dyDescent="0.2">
      <c r="A14906" s="2" t="s">
        <v>3577</v>
      </c>
      <c r="B14906" s="2" t="s">
        <v>1381</v>
      </c>
      <c r="C14906" s="2">
        <v>779.91309999999999</v>
      </c>
      <c r="D14906" s="2">
        <f>HYPERLINK("http://mcb-m6.bioreg.kyushu-u.ac.jp/M3/20110421/F51042/2133/1", 74.79)</f>
        <v>74.790000000000006</v>
      </c>
      <c r="E14906" s="2">
        <v>58.79</v>
      </c>
      <c r="F14906" s="2">
        <v>2</v>
      </c>
      <c r="G14906" s="2" t="s">
        <v>11</v>
      </c>
    </row>
    <row r="14907" spans="1:9" x14ac:dyDescent="0.2">
      <c r="A14907" s="2" t="s">
        <v>3577</v>
      </c>
      <c r="B14907" s="2" t="s">
        <v>869</v>
      </c>
      <c r="C14907" s="2">
        <v>1025.3219999999999</v>
      </c>
      <c r="D14907" s="2">
        <f>HYPERLINK("http://mcb-m6.bioreg.kyushu-u.ac.jp/M3/20110421/F51042/4372/1", 80.93)</f>
        <v>80.930000000000007</v>
      </c>
      <c r="E14907" s="2">
        <v>67.78</v>
      </c>
      <c r="F14907" s="2">
        <v>3</v>
      </c>
      <c r="G14907" s="2" t="s">
        <v>11</v>
      </c>
    </row>
    <row r="14908" spans="1:9" x14ac:dyDescent="0.2">
      <c r="A14908" s="2" t="s">
        <v>3577</v>
      </c>
      <c r="B14908" s="2" t="s">
        <v>1161</v>
      </c>
      <c r="C14908" s="2">
        <v>1040.0429999999999</v>
      </c>
      <c r="D14908" s="2">
        <f>HYPERLINK("http://mcb-m6.bioreg.kyushu-u.ac.jp/M3/20110421/F51042/3464/1", 85.32)</f>
        <v>85.32</v>
      </c>
      <c r="E14908" s="2">
        <v>70.150000000000006</v>
      </c>
      <c r="F14908" s="2">
        <v>2</v>
      </c>
      <c r="G14908" s="2" t="s">
        <v>11</v>
      </c>
    </row>
    <row r="14909" spans="1:9" x14ac:dyDescent="0.2">
      <c r="A14909" s="2" t="s">
        <v>3577</v>
      </c>
      <c r="B14909" s="2" t="s">
        <v>1381</v>
      </c>
      <c r="C14909" s="2">
        <v>779.8297</v>
      </c>
      <c r="D14909" s="2">
        <f>HYPERLINK("http://mcb-m6.bioreg.kyushu-u.ac.jp/M3/20110421/F51020/2193/1", 85.57)</f>
        <v>85.57</v>
      </c>
      <c r="E14909" s="2">
        <v>66.239999999999995</v>
      </c>
      <c r="F14909" s="2">
        <v>2</v>
      </c>
      <c r="G14909" s="2" t="s">
        <v>11</v>
      </c>
    </row>
    <row r="14910" spans="1:9" x14ac:dyDescent="0.2">
      <c r="A14910" s="2" t="s">
        <v>3577</v>
      </c>
      <c r="B14910" s="2" t="s">
        <v>1425</v>
      </c>
      <c r="C14910" s="2">
        <v>844.47519999999997</v>
      </c>
      <c r="D14910" s="2">
        <f>HYPERLINK("http://mcb-m6.bioreg.kyushu-u.ac.jp/M3/20110421/F51020/2473/1", 88.97)</f>
        <v>88.97</v>
      </c>
      <c r="E14910" s="2">
        <v>77.12</v>
      </c>
      <c r="F14910" s="2">
        <v>2</v>
      </c>
      <c r="G14910" s="2" t="s">
        <v>11</v>
      </c>
    </row>
    <row r="14911" spans="1:9" x14ac:dyDescent="0.2">
      <c r="A14911" s="2" t="s">
        <v>3577</v>
      </c>
      <c r="B14911" s="2" t="s">
        <v>1116</v>
      </c>
      <c r="C14911" s="2">
        <v>716.08669999999995</v>
      </c>
      <c r="D14911" s="2">
        <f>HYPERLINK("http://mcb-m6.bioreg.kyushu-u.ac.jp/M3/20110421/F51019/1948/1", 103.09)</f>
        <v>103.09</v>
      </c>
      <c r="E14911" s="2">
        <v>81.180000000000007</v>
      </c>
      <c r="F14911" s="2">
        <v>2</v>
      </c>
      <c r="G14911" s="2" t="s">
        <v>11</v>
      </c>
    </row>
    <row r="14912" spans="1:9" x14ac:dyDescent="0.2">
      <c r="A14912" s="2" t="s">
        <v>3577</v>
      </c>
      <c r="B14912" s="2" t="s">
        <v>1425</v>
      </c>
      <c r="C14912" s="2">
        <v>844.62369999999999</v>
      </c>
      <c r="D14912" s="2">
        <f>HYPERLINK("http://mcb-m6.bioreg.kyushu-u.ac.jp/M3/20110421/F51042/2544/1", 118.36)</f>
        <v>118.36</v>
      </c>
      <c r="E14912" s="2">
        <v>103.79</v>
      </c>
      <c r="F14912" s="2">
        <v>2</v>
      </c>
      <c r="G14912" s="2" t="s">
        <v>11</v>
      </c>
    </row>
    <row r="14913" spans="1:9" x14ac:dyDescent="0.2">
      <c r="A14913" s="2" t="s">
        <v>3577</v>
      </c>
      <c r="B14913" s="2" t="s">
        <v>1049</v>
      </c>
      <c r="C14913" s="2">
        <v>1201.8579999999999</v>
      </c>
      <c r="D14913" s="2">
        <f>HYPERLINK("http://mcb-m6.bioreg.kyushu-u.ac.jp/M3/20110421/F51042/3923/1", 154.16)</f>
        <v>154.16</v>
      </c>
      <c r="E14913" s="2">
        <v>138.34</v>
      </c>
      <c r="F14913" s="2">
        <v>2</v>
      </c>
      <c r="G14913" s="2" t="s">
        <v>11</v>
      </c>
    </row>
    <row r="14914" spans="1:9" x14ac:dyDescent="0.2">
      <c r="A14914" s="2" t="s">
        <v>3577</v>
      </c>
      <c r="B14914" s="2" t="s">
        <v>1381</v>
      </c>
      <c r="C14914" s="2">
        <v>780.03020000000004</v>
      </c>
      <c r="D14914" s="2">
        <f>HYPERLINK("http://mcb-m6.bioreg.kyushu-u.ac.jp/M3/20110428/F51127/2102/1", 35)</f>
        <v>35</v>
      </c>
      <c r="E14914" s="2">
        <v>18.03</v>
      </c>
      <c r="F14914" s="2">
        <v>2</v>
      </c>
      <c r="G14914" s="2" t="s">
        <v>13</v>
      </c>
    </row>
    <row r="14915" spans="1:9" x14ac:dyDescent="0.2">
      <c r="A14915" s="2" t="s">
        <v>3577</v>
      </c>
      <c r="B14915" s="2" t="s">
        <v>1114</v>
      </c>
      <c r="C14915" s="2">
        <v>643.21979999999996</v>
      </c>
      <c r="D14915" s="2">
        <f>HYPERLINK("http://mcb-m6.bioreg.kyushu-u.ac.jp/M3/20110427/F51115/2811/1", 36.01)</f>
        <v>36.01</v>
      </c>
      <c r="E14915" s="2">
        <v>21.59</v>
      </c>
      <c r="F14915" s="2">
        <v>3</v>
      </c>
      <c r="G14915" s="2" t="s">
        <v>13</v>
      </c>
    </row>
    <row r="14916" spans="1:9" x14ac:dyDescent="0.2">
      <c r="A14916" s="2" t="s">
        <v>3577</v>
      </c>
      <c r="B14916" s="2" t="s">
        <v>7355</v>
      </c>
      <c r="C14916" s="2">
        <v>616.14369999999997</v>
      </c>
      <c r="D14916" s="2">
        <f>HYPERLINK("http://mcb-m6.bioreg.kyushu-u.ac.jp/M3/20110427/F51115/1493/1", 45.81)</f>
        <v>45.81</v>
      </c>
      <c r="E14916" s="2">
        <v>22.57</v>
      </c>
      <c r="F14916" s="2">
        <v>2</v>
      </c>
      <c r="G14916" s="2" t="s">
        <v>13</v>
      </c>
      <c r="I14916" s="2" t="s">
        <v>4895</v>
      </c>
    </row>
    <row r="14917" spans="1:9" x14ac:dyDescent="0.2">
      <c r="A14917" s="2" t="s">
        <v>3577</v>
      </c>
      <c r="B14917" s="2" t="s">
        <v>7355</v>
      </c>
      <c r="C14917" s="2">
        <v>616.19269999999995</v>
      </c>
      <c r="D14917" s="2">
        <f>HYPERLINK("http://mcb-m6.bioreg.kyushu-u.ac.jp/M3/20110427/F51116/1497/1", 46.64)</f>
        <v>46.64</v>
      </c>
      <c r="E14917" s="2">
        <v>17.21</v>
      </c>
      <c r="F14917" s="2">
        <v>2</v>
      </c>
      <c r="G14917" s="2" t="s">
        <v>13</v>
      </c>
      <c r="I14917" s="2" t="s">
        <v>4895</v>
      </c>
    </row>
    <row r="14918" spans="1:9" x14ac:dyDescent="0.2">
      <c r="A14918" s="2" t="s">
        <v>3577</v>
      </c>
      <c r="B14918" s="2" t="s">
        <v>1049</v>
      </c>
      <c r="C14918" s="2">
        <v>1201.8810000000001</v>
      </c>
      <c r="D14918" s="2">
        <f>HYPERLINK("http://mcb-m6.bioreg.kyushu-u.ac.jp/M3/20110427/F51116/3490/1", 48.25)</f>
        <v>48.25</v>
      </c>
      <c r="E14918" s="2">
        <v>45.37</v>
      </c>
      <c r="F14918" s="2">
        <v>2</v>
      </c>
      <c r="G14918" s="2" t="s">
        <v>13</v>
      </c>
    </row>
    <row r="14919" spans="1:9" x14ac:dyDescent="0.2">
      <c r="A14919" s="2" t="s">
        <v>3577</v>
      </c>
      <c r="B14919" s="2" t="s">
        <v>1425</v>
      </c>
      <c r="C14919" s="2">
        <v>563.21090000000004</v>
      </c>
      <c r="D14919" s="2">
        <f>HYPERLINK("http://mcb-m6.bioreg.kyushu-u.ac.jp/M3/20110427/F51116/2537/1", 48.36)</f>
        <v>48.36</v>
      </c>
      <c r="E14919" s="2">
        <v>27.78</v>
      </c>
      <c r="F14919" s="2">
        <v>3</v>
      </c>
      <c r="G14919" s="2" t="s">
        <v>13</v>
      </c>
    </row>
    <row r="14920" spans="1:9" x14ac:dyDescent="0.2">
      <c r="A14920" s="2" t="s">
        <v>3577</v>
      </c>
      <c r="B14920" s="2" t="s">
        <v>455</v>
      </c>
      <c r="C14920" s="2">
        <v>948.19799999999998</v>
      </c>
      <c r="D14920" s="2">
        <f>HYPERLINK("http://mcb-m6.bioreg.kyushu-u.ac.jp/M3/20110427/F51115/972/1", 51.03)</f>
        <v>51.03</v>
      </c>
      <c r="E14920" s="2">
        <v>29.21</v>
      </c>
      <c r="F14920" s="2">
        <v>1</v>
      </c>
      <c r="G14920" s="2" t="s">
        <v>13</v>
      </c>
    </row>
    <row r="14921" spans="1:9" x14ac:dyDescent="0.2">
      <c r="A14921" s="2" t="s">
        <v>3577</v>
      </c>
      <c r="B14921" s="2" t="s">
        <v>7355</v>
      </c>
      <c r="C14921" s="2">
        <v>616.72860000000003</v>
      </c>
      <c r="D14921" s="2">
        <f>HYPERLINK("http://mcb-m6.bioreg.kyushu-u.ac.jp/M3/20110427/F51116/1502/1", 51.26)</f>
        <v>51.26</v>
      </c>
      <c r="E14921" s="2">
        <v>30.11</v>
      </c>
      <c r="F14921" s="2">
        <v>2</v>
      </c>
      <c r="G14921" s="2" t="s">
        <v>13</v>
      </c>
      <c r="I14921" s="2" t="s">
        <v>4895</v>
      </c>
    </row>
    <row r="14922" spans="1:9" x14ac:dyDescent="0.2">
      <c r="A14922" s="2" t="s">
        <v>3577</v>
      </c>
      <c r="B14922" s="2" t="s">
        <v>2312</v>
      </c>
      <c r="C14922" s="2">
        <v>987.34249999999997</v>
      </c>
      <c r="D14922" s="2">
        <f>HYPERLINK("http://mcb-m6.bioreg.kyushu-u.ac.jp/M3/20110427/F51115/3572/1", 54.5)</f>
        <v>54.5</v>
      </c>
      <c r="E14922" s="2">
        <v>41.81</v>
      </c>
      <c r="F14922" s="2">
        <v>3</v>
      </c>
      <c r="G14922" s="2" t="s">
        <v>13</v>
      </c>
      <c r="I14922" s="2" t="s">
        <v>4959</v>
      </c>
    </row>
    <row r="14923" spans="1:9" x14ac:dyDescent="0.2">
      <c r="A14923" s="2" t="s">
        <v>3577</v>
      </c>
      <c r="B14923" s="2" t="s">
        <v>1112</v>
      </c>
      <c r="C14923" s="2">
        <v>659.16859999999997</v>
      </c>
      <c r="D14923" s="2">
        <f>HYPERLINK("http://mcb-m6.bioreg.kyushu-u.ac.jp/M3/20110427/F51116/1624/1", 54.58)</f>
        <v>54.58</v>
      </c>
      <c r="E14923" s="2">
        <v>44.07</v>
      </c>
      <c r="F14923" s="2">
        <v>2</v>
      </c>
      <c r="G14923" s="2" t="s">
        <v>13</v>
      </c>
    </row>
    <row r="14924" spans="1:9" x14ac:dyDescent="0.2">
      <c r="A14924" s="2" t="s">
        <v>3577</v>
      </c>
      <c r="B14924" s="2" t="s">
        <v>1425</v>
      </c>
      <c r="C14924" s="2">
        <v>563.35979999999995</v>
      </c>
      <c r="D14924" s="2">
        <f>HYPERLINK("http://mcb-m6.bioreg.kyushu-u.ac.jp/M3/20110427/F51115/2420/1", 54.75)</f>
        <v>54.75</v>
      </c>
      <c r="E14924" s="2">
        <v>36.64</v>
      </c>
      <c r="F14924" s="2">
        <v>3</v>
      </c>
      <c r="G14924" s="2" t="s">
        <v>13</v>
      </c>
    </row>
    <row r="14925" spans="1:9" x14ac:dyDescent="0.2">
      <c r="A14925" s="2" t="s">
        <v>3577</v>
      </c>
      <c r="B14925" s="2" t="s">
        <v>1161</v>
      </c>
      <c r="C14925" s="2">
        <v>693.8202</v>
      </c>
      <c r="D14925" s="2">
        <f>HYPERLINK("http://mcb-m6.bioreg.kyushu-u.ac.jp/M3/20110427/F51115/3020/1", 59.87)</f>
        <v>59.87</v>
      </c>
      <c r="E14925" s="2">
        <v>44.86</v>
      </c>
      <c r="F14925" s="2">
        <v>3</v>
      </c>
      <c r="G14925" s="2" t="s">
        <v>13</v>
      </c>
    </row>
    <row r="14926" spans="1:9" x14ac:dyDescent="0.2">
      <c r="A14926" s="2" t="s">
        <v>3577</v>
      </c>
      <c r="B14926" s="2" t="s">
        <v>5984</v>
      </c>
      <c r="C14926" s="2">
        <v>965.20249999999999</v>
      </c>
      <c r="D14926" s="2">
        <f>HYPERLINK("http://mcb-m6.bioreg.kyushu-u.ac.jp/M3/20110427/F51116/3697/1", 64.02)</f>
        <v>64.02</v>
      </c>
      <c r="E14926" s="2">
        <v>49.12</v>
      </c>
      <c r="F14926" s="2">
        <v>3</v>
      </c>
      <c r="G14926" s="2" t="s">
        <v>13</v>
      </c>
    </row>
    <row r="14927" spans="1:9" x14ac:dyDescent="0.2">
      <c r="A14927" s="2" t="s">
        <v>3577</v>
      </c>
      <c r="B14927" s="2" t="s">
        <v>1112</v>
      </c>
      <c r="C14927" s="2">
        <v>658.65470000000005</v>
      </c>
      <c r="D14927" s="2">
        <f>HYPERLINK("http://mcb-m6.bioreg.kyushu-u.ac.jp/M3/20110427/F51116/1623/1", 64.23)</f>
        <v>64.23</v>
      </c>
      <c r="E14927" s="2">
        <v>55.29</v>
      </c>
      <c r="F14927" s="2">
        <v>2</v>
      </c>
      <c r="G14927" s="2" t="s">
        <v>13</v>
      </c>
    </row>
    <row r="14928" spans="1:9" x14ac:dyDescent="0.2">
      <c r="A14928" s="2" t="s">
        <v>3577</v>
      </c>
      <c r="B14928" s="2" t="s">
        <v>7420</v>
      </c>
      <c r="C14928" s="2">
        <v>721.34879999999998</v>
      </c>
      <c r="D14928" s="2">
        <f>HYPERLINK("http://mcb-m6.bioreg.kyushu-u.ac.jp/M3/20110427/F51115/3111/1", 68.38)</f>
        <v>68.38</v>
      </c>
      <c r="E14928" s="2">
        <v>50.8</v>
      </c>
      <c r="F14928" s="2">
        <v>3</v>
      </c>
      <c r="G14928" s="2" t="s">
        <v>13</v>
      </c>
      <c r="I14928" s="2" t="s">
        <v>4895</v>
      </c>
    </row>
    <row r="14929" spans="1:9" x14ac:dyDescent="0.2">
      <c r="A14929" s="2" t="s">
        <v>3577</v>
      </c>
      <c r="B14929" s="2" t="s">
        <v>1161</v>
      </c>
      <c r="C14929" s="2">
        <v>1040.412</v>
      </c>
      <c r="D14929" s="2">
        <f>HYPERLINK("http://mcb-m6.bioreg.kyushu-u.ac.jp/M3/20110427/F51115/3021/1", 71.72)</f>
        <v>71.72</v>
      </c>
      <c r="E14929" s="2">
        <v>53.26</v>
      </c>
      <c r="F14929" s="2">
        <v>2</v>
      </c>
      <c r="G14929" s="2" t="s">
        <v>13</v>
      </c>
    </row>
    <row r="14930" spans="1:9" x14ac:dyDescent="0.2">
      <c r="A14930" s="2" t="s">
        <v>3577</v>
      </c>
      <c r="B14930" s="2" t="s">
        <v>5984</v>
      </c>
      <c r="C14930" s="2">
        <v>1447.8910000000001</v>
      </c>
      <c r="D14930" s="2">
        <f>HYPERLINK("http://mcb-m6.bioreg.kyushu-u.ac.jp/M3/20110427/F51116/3700/1", 73.08)</f>
        <v>73.08</v>
      </c>
      <c r="E14930" s="2">
        <v>60.39</v>
      </c>
      <c r="F14930" s="2">
        <v>2</v>
      </c>
      <c r="G14930" s="2" t="s">
        <v>13</v>
      </c>
    </row>
    <row r="14931" spans="1:9" x14ac:dyDescent="0.2">
      <c r="A14931" s="2" t="s">
        <v>3577</v>
      </c>
      <c r="B14931" s="2" t="s">
        <v>1114</v>
      </c>
      <c r="C14931" s="2">
        <v>964.78309999999999</v>
      </c>
      <c r="D14931" s="2">
        <f>HYPERLINK("http://mcb-m6.bioreg.kyushu-u.ac.jp/M3/20110427/F51115/2814/1", 74.2)</f>
        <v>74.2</v>
      </c>
      <c r="E14931" s="2">
        <v>57.42</v>
      </c>
      <c r="F14931" s="2">
        <v>2</v>
      </c>
      <c r="G14931" s="2" t="s">
        <v>13</v>
      </c>
    </row>
    <row r="14932" spans="1:9" x14ac:dyDescent="0.2">
      <c r="A14932" s="2" t="s">
        <v>3577</v>
      </c>
      <c r="B14932" s="2" t="s">
        <v>869</v>
      </c>
      <c r="C14932" s="2">
        <v>1025.0319999999999</v>
      </c>
      <c r="D14932" s="2">
        <f>HYPERLINK("http://mcb-m6.bioreg.kyushu-u.ac.jp/M3/20110427/F51115/3594/1", 74.83)</f>
        <v>74.83</v>
      </c>
      <c r="E14932" s="2">
        <v>62.73</v>
      </c>
      <c r="F14932" s="2">
        <v>3</v>
      </c>
      <c r="G14932" s="2" t="s">
        <v>13</v>
      </c>
    </row>
    <row r="14933" spans="1:9" x14ac:dyDescent="0.2">
      <c r="A14933" s="2" t="s">
        <v>3577</v>
      </c>
      <c r="B14933" s="2" t="s">
        <v>1114</v>
      </c>
      <c r="C14933" s="2">
        <v>964.24570000000006</v>
      </c>
      <c r="D14933" s="2">
        <f>HYPERLINK("http://mcb-m6.bioreg.kyushu-u.ac.jp/M3/20110427/F51115/2810/1", 76.4)</f>
        <v>76.400000000000006</v>
      </c>
      <c r="E14933" s="2">
        <v>62.12</v>
      </c>
      <c r="F14933" s="2">
        <v>2</v>
      </c>
      <c r="G14933" s="2" t="s">
        <v>13</v>
      </c>
    </row>
    <row r="14934" spans="1:9" x14ac:dyDescent="0.2">
      <c r="A14934" s="2" t="s">
        <v>3577</v>
      </c>
      <c r="B14934" s="2" t="s">
        <v>1161</v>
      </c>
      <c r="C14934" s="2">
        <v>1039.895</v>
      </c>
      <c r="D14934" s="2">
        <f>HYPERLINK("http://mcb-m6.bioreg.kyushu-u.ac.jp/M3/20110427/F51116/3157/1", 77.71)</f>
        <v>77.709999999999994</v>
      </c>
      <c r="E14934" s="2">
        <v>65.8</v>
      </c>
      <c r="F14934" s="2">
        <v>2</v>
      </c>
      <c r="G14934" s="2" t="s">
        <v>13</v>
      </c>
    </row>
    <row r="14935" spans="1:9" x14ac:dyDescent="0.2">
      <c r="A14935" s="2" t="s">
        <v>3577</v>
      </c>
      <c r="B14935" s="2" t="s">
        <v>1425</v>
      </c>
      <c r="C14935" s="2">
        <v>844.8691</v>
      </c>
      <c r="D14935" s="2">
        <f>HYPERLINK("http://mcb-m6.bioreg.kyushu-u.ac.jp/M3/20110427/F51116/2541/1", 79.32)</f>
        <v>79.319999999999993</v>
      </c>
      <c r="E14935" s="2">
        <v>67.650000000000006</v>
      </c>
      <c r="F14935" s="2">
        <v>2</v>
      </c>
      <c r="G14935" s="2" t="s">
        <v>13</v>
      </c>
    </row>
    <row r="14936" spans="1:9" x14ac:dyDescent="0.2">
      <c r="A14936" s="2" t="s">
        <v>3577</v>
      </c>
      <c r="B14936" s="2" t="s">
        <v>1161</v>
      </c>
      <c r="C14936" s="2">
        <v>1040.395</v>
      </c>
      <c r="D14936" s="2">
        <f>HYPERLINK("http://mcb-m6.bioreg.kyushu-u.ac.jp/M3/20110427/F51116/3158/1", 80.42)</f>
        <v>80.42</v>
      </c>
      <c r="E14936" s="2">
        <v>63.21</v>
      </c>
      <c r="F14936" s="2">
        <v>2</v>
      </c>
      <c r="G14936" s="2" t="s">
        <v>13</v>
      </c>
    </row>
    <row r="14937" spans="1:9" x14ac:dyDescent="0.2">
      <c r="A14937" s="2" t="s">
        <v>3577</v>
      </c>
      <c r="B14937" s="2" t="s">
        <v>5984</v>
      </c>
      <c r="C14937" s="2">
        <v>1447.8969999999999</v>
      </c>
      <c r="D14937" s="2">
        <f>HYPERLINK("http://mcb-m6.bioreg.kyushu-u.ac.jp/M3/20110427/F51115/3539/1", 81.57)</f>
        <v>81.569999999999993</v>
      </c>
      <c r="E14937" s="2">
        <v>65.680000000000007</v>
      </c>
      <c r="F14937" s="2">
        <v>2</v>
      </c>
      <c r="G14937" s="2" t="s">
        <v>13</v>
      </c>
    </row>
    <row r="14938" spans="1:9" x14ac:dyDescent="0.2">
      <c r="A14938" s="2" t="s">
        <v>3577</v>
      </c>
      <c r="B14938" s="2" t="s">
        <v>1161</v>
      </c>
      <c r="C14938" s="2">
        <v>1039.835</v>
      </c>
      <c r="D14938" s="2">
        <f>HYPERLINK("http://mcb-m6.bioreg.kyushu-u.ac.jp/M3/20110427/F51115/3019/1", 81.71)</f>
        <v>81.709999999999994</v>
      </c>
      <c r="E14938" s="2">
        <v>73.33</v>
      </c>
      <c r="F14938" s="2">
        <v>2</v>
      </c>
      <c r="G14938" s="2" t="s">
        <v>13</v>
      </c>
    </row>
    <row r="14939" spans="1:9" x14ac:dyDescent="0.2">
      <c r="A14939" s="2" t="s">
        <v>3577</v>
      </c>
      <c r="B14939" s="2" t="s">
        <v>1112</v>
      </c>
      <c r="C14939" s="2">
        <v>659.13210000000004</v>
      </c>
      <c r="D14939" s="2">
        <f>HYPERLINK("http://mcb-m6.bioreg.kyushu-u.ac.jp/M3/20110427/F51115/1603/1", 81.98)</f>
        <v>81.98</v>
      </c>
      <c r="E14939" s="2">
        <v>67.790000000000006</v>
      </c>
      <c r="F14939" s="2">
        <v>2</v>
      </c>
      <c r="G14939" s="2" t="s">
        <v>13</v>
      </c>
    </row>
    <row r="14940" spans="1:9" x14ac:dyDescent="0.2">
      <c r="A14940" s="2" t="s">
        <v>3577</v>
      </c>
      <c r="B14940" s="2" t="s">
        <v>1425</v>
      </c>
      <c r="C14940" s="2">
        <v>844.74570000000006</v>
      </c>
      <c r="D14940" s="2">
        <f>HYPERLINK("http://mcb-m6.bioreg.kyushu-u.ac.jp/M3/20110427/F51115/2423/1", 83.19)</f>
        <v>83.19</v>
      </c>
      <c r="E14940" s="2">
        <v>66.95</v>
      </c>
      <c r="F14940" s="2">
        <v>2</v>
      </c>
      <c r="G14940" s="2" t="s">
        <v>13</v>
      </c>
    </row>
    <row r="14941" spans="1:9" x14ac:dyDescent="0.2">
      <c r="A14941" s="2" t="s">
        <v>3577</v>
      </c>
      <c r="B14941" s="2" t="s">
        <v>1116</v>
      </c>
      <c r="C14941" s="2">
        <v>715.61410000000001</v>
      </c>
      <c r="D14941" s="2">
        <f>HYPERLINK("http://mcb-m6.bioreg.kyushu-u.ac.jp/M3/20110427/F51115/1868/1", 84.88)</f>
        <v>84.88</v>
      </c>
      <c r="E14941" s="2">
        <v>59.63</v>
      </c>
      <c r="F14941" s="2">
        <v>2</v>
      </c>
      <c r="G14941" s="2" t="s">
        <v>13</v>
      </c>
    </row>
    <row r="14942" spans="1:9" x14ac:dyDescent="0.2">
      <c r="A14942" s="2" t="s">
        <v>3577</v>
      </c>
      <c r="B14942" s="2" t="s">
        <v>869</v>
      </c>
      <c r="C14942" s="2">
        <v>1025.1869999999999</v>
      </c>
      <c r="D14942" s="2">
        <f>HYPERLINK("http://mcb-m6.bioreg.kyushu-u.ac.jp/M3/20110427/F51116/3742/1", 84.91)</f>
        <v>84.91</v>
      </c>
      <c r="E14942" s="2">
        <v>69.010000000000005</v>
      </c>
      <c r="F14942" s="2">
        <v>3</v>
      </c>
      <c r="G14942" s="2" t="s">
        <v>13</v>
      </c>
    </row>
    <row r="14943" spans="1:9" x14ac:dyDescent="0.2">
      <c r="A14943" s="2" t="s">
        <v>3577</v>
      </c>
      <c r="B14943" s="2" t="s">
        <v>2946</v>
      </c>
      <c r="C14943" s="2">
        <v>757.19209999999998</v>
      </c>
      <c r="D14943" s="2">
        <f>HYPERLINK("http://mcb-m6.bioreg.kyushu-u.ac.jp/M3/20110427/F51115/2058/1", 86.91)</f>
        <v>86.91</v>
      </c>
      <c r="E14943" s="2">
        <v>68.430000000000007</v>
      </c>
      <c r="F14943" s="2">
        <v>2</v>
      </c>
      <c r="G14943" s="2" t="s">
        <v>13</v>
      </c>
    </row>
    <row r="14944" spans="1:9" x14ac:dyDescent="0.2">
      <c r="A14944" s="2" t="s">
        <v>3577</v>
      </c>
      <c r="B14944" s="2" t="s">
        <v>2459</v>
      </c>
      <c r="C14944" s="2">
        <v>1087.7170000000001</v>
      </c>
      <c r="D14944" s="2">
        <f>HYPERLINK("http://mcb-m6.bioreg.kyushu-u.ac.jp/M3/20110427/F51115/3626/1", 88.01)</f>
        <v>88.01</v>
      </c>
      <c r="E14944" s="2">
        <v>76.02</v>
      </c>
      <c r="F14944" s="2">
        <v>3</v>
      </c>
      <c r="G14944" s="2" t="s">
        <v>13</v>
      </c>
      <c r="I14944" s="2" t="s">
        <v>4926</v>
      </c>
    </row>
    <row r="14945" spans="1:9" x14ac:dyDescent="0.2">
      <c r="A14945" s="2" t="s">
        <v>3577</v>
      </c>
      <c r="B14945" s="2" t="s">
        <v>1116</v>
      </c>
      <c r="C14945" s="2">
        <v>716.2106</v>
      </c>
      <c r="D14945" s="2">
        <f>HYPERLINK("http://mcb-m6.bioreg.kyushu-u.ac.jp/M3/20110427/F51115/1875/1", 90.97)</f>
        <v>90.97</v>
      </c>
      <c r="E14945" s="2">
        <v>61.02</v>
      </c>
      <c r="F14945" s="2">
        <v>2</v>
      </c>
      <c r="G14945" s="2" t="s">
        <v>13</v>
      </c>
    </row>
    <row r="14946" spans="1:9" x14ac:dyDescent="0.2">
      <c r="A14946" s="2" t="s">
        <v>3577</v>
      </c>
      <c r="B14946" s="2" t="s">
        <v>1425</v>
      </c>
      <c r="C14946" s="2">
        <v>844.31709999999998</v>
      </c>
      <c r="D14946" s="2">
        <f>HYPERLINK("http://mcb-m6.bioreg.kyushu-u.ac.jp/M3/20110427/F51116/2538/1", 91.48)</f>
        <v>91.48</v>
      </c>
      <c r="E14946" s="2">
        <v>74.19</v>
      </c>
      <c r="F14946" s="2">
        <v>2</v>
      </c>
      <c r="G14946" s="2" t="s">
        <v>13</v>
      </c>
    </row>
    <row r="14947" spans="1:9" x14ac:dyDescent="0.2">
      <c r="A14947" s="2" t="s">
        <v>3577</v>
      </c>
      <c r="B14947" s="2" t="s">
        <v>1381</v>
      </c>
      <c r="C14947" s="2">
        <v>779.70619999999997</v>
      </c>
      <c r="D14947" s="2">
        <f>HYPERLINK("http://mcb-m6.bioreg.kyushu-u.ac.jp/M3/20110427/F51116/2239/1", 91.6)</f>
        <v>91.6</v>
      </c>
      <c r="E14947" s="2">
        <v>72.89</v>
      </c>
      <c r="F14947" s="2">
        <v>2</v>
      </c>
      <c r="G14947" s="2" t="s">
        <v>13</v>
      </c>
    </row>
    <row r="14948" spans="1:9" x14ac:dyDescent="0.2">
      <c r="A14948" s="2" t="s">
        <v>3577</v>
      </c>
      <c r="B14948" s="2" t="s">
        <v>1425</v>
      </c>
      <c r="C14948" s="2">
        <v>844.24519999999995</v>
      </c>
      <c r="D14948" s="2">
        <f>HYPERLINK("http://mcb-m6.bioreg.kyushu-u.ac.jp/M3/20110427/F51115/2419/1", 94.82)</f>
        <v>94.82</v>
      </c>
      <c r="E14948" s="2">
        <v>73.59</v>
      </c>
      <c r="F14948" s="2">
        <v>2</v>
      </c>
      <c r="G14948" s="2" t="s">
        <v>13</v>
      </c>
    </row>
    <row r="14949" spans="1:9" x14ac:dyDescent="0.2">
      <c r="A14949" s="2" t="s">
        <v>3577</v>
      </c>
      <c r="B14949" s="2" t="s">
        <v>1116</v>
      </c>
      <c r="C14949" s="2">
        <v>715.97059999999999</v>
      </c>
      <c r="D14949" s="2">
        <f>HYPERLINK("http://mcb-m6.bioreg.kyushu-u.ac.jp/M3/20110427/F51116/1922/1", 96.57)</f>
        <v>96.57</v>
      </c>
      <c r="E14949" s="2">
        <v>74.790000000000006</v>
      </c>
      <c r="F14949" s="2">
        <v>2</v>
      </c>
      <c r="G14949" s="2" t="s">
        <v>13</v>
      </c>
    </row>
    <row r="14950" spans="1:9" x14ac:dyDescent="0.2">
      <c r="A14950" s="2" t="s">
        <v>3577</v>
      </c>
      <c r="B14950" s="2" t="s">
        <v>1381</v>
      </c>
      <c r="C14950" s="2">
        <v>779.66560000000004</v>
      </c>
      <c r="D14950" s="2">
        <f>HYPERLINK("http://mcb-m6.bioreg.kyushu-u.ac.jp/M3/20110427/F51115/2133/1", 98.12)</f>
        <v>98.12</v>
      </c>
      <c r="E14950" s="2">
        <v>75.040000000000006</v>
      </c>
      <c r="F14950" s="2">
        <v>2</v>
      </c>
      <c r="G14950" s="2" t="s">
        <v>13</v>
      </c>
    </row>
    <row r="14951" spans="1:9" x14ac:dyDescent="0.2">
      <c r="A14951" s="2" t="s">
        <v>3577</v>
      </c>
      <c r="B14951" s="2" t="s">
        <v>2353</v>
      </c>
      <c r="C14951" s="2">
        <v>1070.2360000000001</v>
      </c>
      <c r="D14951" s="2">
        <f>HYPERLINK("http://mcb-m6.bioreg.kyushu-u.ac.jp/M3/20110427/F51115/3082/1", 111.24)</f>
        <v>111.24</v>
      </c>
      <c r="E14951" s="2">
        <v>90.9</v>
      </c>
      <c r="F14951" s="2">
        <v>2</v>
      </c>
      <c r="G14951" s="2" t="s">
        <v>13</v>
      </c>
      <c r="I14951" s="2" t="s">
        <v>4903</v>
      </c>
    </row>
    <row r="14952" spans="1:9" x14ac:dyDescent="0.2">
      <c r="A14952" s="2" t="s">
        <v>3577</v>
      </c>
      <c r="B14952" s="2" t="s">
        <v>2516</v>
      </c>
      <c r="C14952" s="2">
        <v>1018.846</v>
      </c>
      <c r="D14952" s="2">
        <f>HYPERLINK("http://mcb-m6.bioreg.kyushu-u.ac.jp/M3/20110427/F51116/3104/1", 111.58)</f>
        <v>111.58</v>
      </c>
      <c r="E14952" s="2">
        <v>92.28</v>
      </c>
      <c r="F14952" s="2">
        <v>2</v>
      </c>
      <c r="G14952" s="2" t="s">
        <v>13</v>
      </c>
      <c r="I14952" s="2" t="s">
        <v>4893</v>
      </c>
    </row>
    <row r="14953" spans="1:9" x14ac:dyDescent="0.2">
      <c r="A14953" s="2" t="s">
        <v>3577</v>
      </c>
      <c r="B14953" s="2" t="s">
        <v>2516</v>
      </c>
      <c r="C14953" s="2">
        <v>1018.692</v>
      </c>
      <c r="D14953" s="2">
        <f>HYPERLINK("http://mcb-m6.bioreg.kyushu-u.ac.jp/M3/20110427/F51115/2963/1", 114.72)</f>
        <v>114.72</v>
      </c>
      <c r="E14953" s="2">
        <v>96.52</v>
      </c>
      <c r="F14953" s="2">
        <v>2</v>
      </c>
      <c r="G14953" s="2" t="s">
        <v>13</v>
      </c>
      <c r="I14953" s="2" t="s">
        <v>4893</v>
      </c>
    </row>
    <row r="14954" spans="1:9" x14ac:dyDescent="0.2">
      <c r="A14954" s="2" t="s">
        <v>3577</v>
      </c>
      <c r="B14954" s="2" t="s">
        <v>2353</v>
      </c>
      <c r="C14954" s="2">
        <v>1070.242</v>
      </c>
      <c r="D14954" s="2">
        <f>HYPERLINK("http://mcb-m6.bioreg.kyushu-u.ac.jp/M3/20110427/F51116/3219/1", 115.09)</f>
        <v>115.09</v>
      </c>
      <c r="E14954" s="2">
        <v>95.78</v>
      </c>
      <c r="F14954" s="2">
        <v>2</v>
      </c>
      <c r="G14954" s="2" t="s">
        <v>13</v>
      </c>
      <c r="I14954" s="2" t="s">
        <v>4903</v>
      </c>
    </row>
    <row r="14955" spans="1:9" x14ac:dyDescent="0.2">
      <c r="A14955" s="2" t="s">
        <v>3577</v>
      </c>
      <c r="B14955" s="2" t="s">
        <v>2353</v>
      </c>
      <c r="C14955" s="2">
        <v>1070.7729999999999</v>
      </c>
      <c r="D14955" s="2">
        <f>HYPERLINK("http://mcb-m6.bioreg.kyushu-u.ac.jp/M3/20110427/F51116/3221/1", 116.82)</f>
        <v>116.82</v>
      </c>
      <c r="E14955" s="2">
        <v>103.37</v>
      </c>
      <c r="F14955" s="2">
        <v>2</v>
      </c>
      <c r="G14955" s="2" t="s">
        <v>13</v>
      </c>
      <c r="I14955" s="2" t="s">
        <v>4903</v>
      </c>
    </row>
    <row r="14956" spans="1:9" x14ac:dyDescent="0.2">
      <c r="A14956" s="2" t="s">
        <v>3577</v>
      </c>
      <c r="B14956" s="2" t="s">
        <v>2353</v>
      </c>
      <c r="C14956" s="2">
        <v>1070.748</v>
      </c>
      <c r="D14956" s="2">
        <f>HYPERLINK("http://mcb-m6.bioreg.kyushu-u.ac.jp/M3/20110427/F51115/3084/1", 118.55)</f>
        <v>118.55</v>
      </c>
      <c r="E14956" s="2">
        <v>100.54</v>
      </c>
      <c r="F14956" s="2">
        <v>2</v>
      </c>
      <c r="G14956" s="2" t="s">
        <v>13</v>
      </c>
      <c r="I14956" s="2" t="s">
        <v>4903</v>
      </c>
    </row>
    <row r="14957" spans="1:9" x14ac:dyDescent="0.2">
      <c r="A14957" s="2" t="s">
        <v>3577</v>
      </c>
      <c r="B14957" s="2" t="s">
        <v>2459</v>
      </c>
      <c r="C14957" s="2">
        <v>1087.625</v>
      </c>
      <c r="D14957" s="2">
        <f>HYPERLINK("http://mcb-m6.bioreg.kyushu-u.ac.jp/M3/20110427/F51116/3759/1", 120.58)</f>
        <v>120.58</v>
      </c>
      <c r="E14957" s="2">
        <v>106.77</v>
      </c>
      <c r="F14957" s="2">
        <v>3</v>
      </c>
      <c r="G14957" s="2" t="s">
        <v>13</v>
      </c>
      <c r="I14957" s="2" t="s">
        <v>4926</v>
      </c>
    </row>
    <row r="14958" spans="1:9" x14ac:dyDescent="0.2">
      <c r="A14958" s="2" t="s">
        <v>3577</v>
      </c>
      <c r="B14958" s="2" t="s">
        <v>1049</v>
      </c>
      <c r="C14958" s="2">
        <v>1201.998</v>
      </c>
      <c r="D14958" s="2">
        <f>HYPERLINK("http://mcb-m6.bioreg.kyushu-u.ac.jp/M3/20110427/F51115/3320/1", 132.47)</f>
        <v>132.47</v>
      </c>
      <c r="E14958" s="2">
        <v>116.11</v>
      </c>
      <c r="F14958" s="2">
        <v>2</v>
      </c>
      <c r="G14958" s="2" t="s">
        <v>13</v>
      </c>
    </row>
    <row r="14959" spans="1:9" x14ac:dyDescent="0.2">
      <c r="A14959" s="2" t="s">
        <v>3577</v>
      </c>
      <c r="B14959" s="2" t="s">
        <v>455</v>
      </c>
      <c r="C14959" s="2">
        <v>475.12509999999997</v>
      </c>
      <c r="D14959" s="2">
        <f>HYPERLINK("http://mcb-m6.bioreg.kyushu-u.ac.jp/M3/20110427/F51124/962/1", 37.1)</f>
        <v>37.1</v>
      </c>
      <c r="E14959" s="2">
        <v>17.690000000000001</v>
      </c>
      <c r="F14959" s="2">
        <v>2</v>
      </c>
      <c r="G14959" s="2" t="s">
        <v>14</v>
      </c>
    </row>
    <row r="14960" spans="1:9" x14ac:dyDescent="0.2">
      <c r="A14960" s="2" t="s">
        <v>3577</v>
      </c>
      <c r="B14960" s="2" t="s">
        <v>5984</v>
      </c>
      <c r="C14960" s="2">
        <v>1447.88</v>
      </c>
      <c r="D14960" s="2">
        <f>HYPERLINK("http://mcb-m6.bioreg.kyushu-u.ac.jp/M3/20110427/F51125/3423/1", 45.14)</f>
        <v>45.14</v>
      </c>
      <c r="E14960" s="2">
        <v>29.24</v>
      </c>
      <c r="F14960" s="2">
        <v>2</v>
      </c>
      <c r="G14960" s="2" t="s">
        <v>14</v>
      </c>
    </row>
    <row r="14961" spans="1:9" x14ac:dyDescent="0.2">
      <c r="A14961" s="2" t="s">
        <v>3577</v>
      </c>
      <c r="B14961" s="2" t="s">
        <v>2514</v>
      </c>
      <c r="C14961" s="2">
        <v>837.36519999999996</v>
      </c>
      <c r="D14961" s="2">
        <f>HYPERLINK("http://mcb-m6.bioreg.kyushu-u.ac.jp/M3/20110427/F51124/3370/1", 51.27)</f>
        <v>51.27</v>
      </c>
      <c r="E14961" s="2">
        <v>37.04</v>
      </c>
      <c r="F14961" s="2">
        <v>3</v>
      </c>
      <c r="G14961" s="2" t="s">
        <v>14</v>
      </c>
      <c r="H14961" s="2" t="s">
        <v>4979</v>
      </c>
      <c r="I14961" s="2" t="s">
        <v>4923</v>
      </c>
    </row>
    <row r="14962" spans="1:9" x14ac:dyDescent="0.2">
      <c r="A14962" s="2" t="s">
        <v>3577</v>
      </c>
      <c r="B14962" s="2" t="s">
        <v>1112</v>
      </c>
      <c r="C14962" s="2">
        <v>659.21870000000001</v>
      </c>
      <c r="D14962" s="2">
        <f>HYPERLINK("http://mcb-m6.bioreg.kyushu-u.ac.jp/M3/20110427/F51124/1654/1", 54.48)</f>
        <v>54.48</v>
      </c>
      <c r="E14962" s="2">
        <v>36.18</v>
      </c>
      <c r="F14962" s="2">
        <v>2</v>
      </c>
      <c r="G14962" s="2" t="s">
        <v>14</v>
      </c>
    </row>
    <row r="14963" spans="1:9" x14ac:dyDescent="0.2">
      <c r="A14963" s="2" t="s">
        <v>3577</v>
      </c>
      <c r="B14963" s="2" t="s">
        <v>5984</v>
      </c>
      <c r="C14963" s="2">
        <v>965.43010000000004</v>
      </c>
      <c r="D14963" s="2">
        <f>HYPERLINK("http://mcb-m6.bioreg.kyushu-u.ac.jp/M3/20110427/F51124/3516/1", 56.26)</f>
        <v>56.26</v>
      </c>
      <c r="E14963" s="2">
        <v>35.32</v>
      </c>
      <c r="F14963" s="2">
        <v>3</v>
      </c>
      <c r="G14963" s="2" t="s">
        <v>14</v>
      </c>
    </row>
    <row r="14964" spans="1:9" x14ac:dyDescent="0.2">
      <c r="A14964" s="2" t="s">
        <v>3577</v>
      </c>
      <c r="B14964" s="2" t="s">
        <v>1381</v>
      </c>
      <c r="C14964" s="2">
        <v>780.24369999999999</v>
      </c>
      <c r="D14964" s="2">
        <f>HYPERLINK("http://mcb-m6.bioreg.kyushu-u.ac.jp/M3/20110427/F51124/2187/1", 64.14)</f>
        <v>64.14</v>
      </c>
      <c r="E14964" s="2">
        <v>42.79</v>
      </c>
      <c r="F14964" s="2">
        <v>2</v>
      </c>
      <c r="G14964" s="2" t="s">
        <v>14</v>
      </c>
    </row>
    <row r="14965" spans="1:9" x14ac:dyDescent="0.2">
      <c r="A14965" s="2" t="s">
        <v>3577</v>
      </c>
      <c r="B14965" s="2" t="s">
        <v>1112</v>
      </c>
      <c r="C14965" s="2">
        <v>658.54570000000001</v>
      </c>
      <c r="D14965" s="2">
        <f>HYPERLINK("http://mcb-m6.bioreg.kyushu-u.ac.jp/M3/20110427/F51124/1650/1", 67.11)</f>
        <v>67.11</v>
      </c>
      <c r="E14965" s="2">
        <v>50.52</v>
      </c>
      <c r="F14965" s="2">
        <v>2</v>
      </c>
      <c r="G14965" s="2" t="s">
        <v>14</v>
      </c>
    </row>
    <row r="14966" spans="1:9" x14ac:dyDescent="0.2">
      <c r="A14966" s="2" t="s">
        <v>3577</v>
      </c>
      <c r="B14966" s="2" t="s">
        <v>1114</v>
      </c>
      <c r="C14966" s="2">
        <v>964.85670000000005</v>
      </c>
      <c r="D14966" s="2">
        <f>HYPERLINK("http://mcb-m6.bioreg.kyushu-u.ac.jp/M3/20110427/F51124/2881/1", 68.78)</f>
        <v>68.78</v>
      </c>
      <c r="E14966" s="2">
        <v>56.04</v>
      </c>
      <c r="F14966" s="2">
        <v>2</v>
      </c>
      <c r="G14966" s="2" t="s">
        <v>14</v>
      </c>
    </row>
    <row r="14967" spans="1:9" x14ac:dyDescent="0.2">
      <c r="A14967" s="2" t="s">
        <v>3577</v>
      </c>
      <c r="B14967" s="2" t="s">
        <v>5984</v>
      </c>
      <c r="C14967" s="2">
        <v>1447.86</v>
      </c>
      <c r="D14967" s="2">
        <f>HYPERLINK("http://mcb-m6.bioreg.kyushu-u.ac.jp/M3/20110427/F51124/3517/1", 72.5)</f>
        <v>72.5</v>
      </c>
      <c r="E14967" s="2">
        <v>55.41</v>
      </c>
      <c r="F14967" s="2">
        <v>2</v>
      </c>
      <c r="G14967" s="2" t="s">
        <v>14</v>
      </c>
    </row>
    <row r="14968" spans="1:9" x14ac:dyDescent="0.2">
      <c r="A14968" s="2" t="s">
        <v>3577</v>
      </c>
      <c r="B14968" s="2" t="s">
        <v>1381</v>
      </c>
      <c r="C14968" s="2">
        <v>779.73659999999995</v>
      </c>
      <c r="D14968" s="2">
        <f>HYPERLINK("http://mcb-m6.bioreg.kyushu-u.ac.jp/M3/20110427/F51124/2186/1", 86.82)</f>
        <v>86.82</v>
      </c>
      <c r="E14968" s="2">
        <v>64.03</v>
      </c>
      <c r="F14968" s="2">
        <v>2</v>
      </c>
      <c r="G14968" s="2" t="s">
        <v>14</v>
      </c>
    </row>
    <row r="14969" spans="1:9" x14ac:dyDescent="0.2">
      <c r="A14969" s="2" t="s">
        <v>3577</v>
      </c>
      <c r="B14969" s="2" t="s">
        <v>1116</v>
      </c>
      <c r="C14969" s="2">
        <v>715.94619999999998</v>
      </c>
      <c r="D14969" s="2">
        <f>HYPERLINK("http://mcb-m6.bioreg.kyushu-u.ac.jp/M3/20110427/F51124/1908/1", 95.18)</f>
        <v>95.18</v>
      </c>
      <c r="E14969" s="2">
        <v>70.430000000000007</v>
      </c>
      <c r="F14969" s="2">
        <v>2</v>
      </c>
      <c r="G14969" s="2" t="s">
        <v>14</v>
      </c>
    </row>
    <row r="14970" spans="1:9" x14ac:dyDescent="0.2">
      <c r="A14970" s="2" t="s">
        <v>3577</v>
      </c>
      <c r="B14970" s="2" t="s">
        <v>1116</v>
      </c>
      <c r="C14970" s="2">
        <v>715.57069999999999</v>
      </c>
      <c r="D14970" s="2">
        <f>HYPERLINK("http://mcb-m6.bioreg.kyushu-u.ac.jp/M3/20110427/F51125/1965/1", 100.31)</f>
        <v>100.31</v>
      </c>
      <c r="E14970" s="2">
        <v>75.069999999999993</v>
      </c>
      <c r="F14970" s="2">
        <v>2</v>
      </c>
      <c r="G14970" s="2" t="s">
        <v>14</v>
      </c>
    </row>
    <row r="14971" spans="1:9" x14ac:dyDescent="0.2">
      <c r="A14971" s="2" t="s">
        <v>3577</v>
      </c>
      <c r="B14971" s="2" t="s">
        <v>1425</v>
      </c>
      <c r="C14971" s="2">
        <v>844.26760000000002</v>
      </c>
      <c r="D14971" s="2">
        <f>HYPERLINK("http://mcb-m6.bioreg.kyushu-u.ac.jp/M3/20110427/F51124/2468/1", 100.78)</f>
        <v>100.78</v>
      </c>
      <c r="E14971" s="2">
        <v>88.59</v>
      </c>
      <c r="F14971" s="2">
        <v>2</v>
      </c>
      <c r="G14971" s="2" t="s">
        <v>14</v>
      </c>
    </row>
    <row r="14972" spans="1:9" x14ac:dyDescent="0.2">
      <c r="A14972" s="2" t="s">
        <v>4060</v>
      </c>
      <c r="B14972" s="2" t="s">
        <v>1423</v>
      </c>
      <c r="C14972" s="2">
        <v>717.2192</v>
      </c>
      <c r="D14972" s="2">
        <f>HYPERLINK("http://mcb-m6.bioreg.kyushu-u.ac.jp/M3/20110427/F51112/1985/2", 74.09)</f>
        <v>74.09</v>
      </c>
      <c r="E14972" s="2">
        <v>55.82</v>
      </c>
      <c r="F14972" s="2">
        <v>2</v>
      </c>
      <c r="G14972" s="2" t="s">
        <v>13</v>
      </c>
    </row>
    <row r="14973" spans="1:9" x14ac:dyDescent="0.2">
      <c r="A14973" s="2" t="s">
        <v>3725</v>
      </c>
      <c r="B14973" s="2" t="s">
        <v>830</v>
      </c>
      <c r="C14973" s="2">
        <v>710.28470000000004</v>
      </c>
      <c r="D14973" s="2">
        <f>HYPERLINK("http://mcb-m6.bioreg.kyushu-u.ac.jp/M3/20110404/F50762/1700/1", 46.78)</f>
        <v>46.78</v>
      </c>
      <c r="E14973" s="2">
        <v>26.97</v>
      </c>
      <c r="F14973" s="2">
        <v>2</v>
      </c>
      <c r="G14973" s="2" t="s">
        <v>9</v>
      </c>
    </row>
    <row r="14974" spans="1:9" x14ac:dyDescent="0.2">
      <c r="A14974" s="2" t="s">
        <v>3725</v>
      </c>
      <c r="B14974" s="2" t="s">
        <v>721</v>
      </c>
      <c r="C14974" s="2">
        <v>1068.5419999999999</v>
      </c>
      <c r="D14974" s="2">
        <f>HYPERLINK("http://mcb-m6.bioreg.kyushu-u.ac.jp/M3/20110404/F50768/1199/1", 51.7)</f>
        <v>51.7</v>
      </c>
      <c r="E14974" s="2">
        <v>30.79</v>
      </c>
      <c r="F14974" s="2">
        <v>1</v>
      </c>
      <c r="G14974" s="2" t="s">
        <v>10</v>
      </c>
    </row>
    <row r="14975" spans="1:9" x14ac:dyDescent="0.2">
      <c r="A14975" s="2" t="s">
        <v>3725</v>
      </c>
      <c r="B14975" s="2" t="s">
        <v>830</v>
      </c>
      <c r="C14975" s="2">
        <v>710.32569999999998</v>
      </c>
      <c r="D14975" s="2">
        <f>HYPERLINK("http://mcb-m6.bioreg.kyushu-u.ac.jp/M3/20110404/F50768/1773/1", 53.34)</f>
        <v>53.34</v>
      </c>
      <c r="E14975" s="2">
        <v>31.55</v>
      </c>
      <c r="F14975" s="2">
        <v>2</v>
      </c>
      <c r="G14975" s="2" t="s">
        <v>10</v>
      </c>
    </row>
    <row r="14976" spans="1:9" x14ac:dyDescent="0.2">
      <c r="A14976" s="2" t="s">
        <v>3725</v>
      </c>
      <c r="B14976" s="2" t="s">
        <v>830</v>
      </c>
      <c r="C14976" s="2">
        <v>710.82669999999996</v>
      </c>
      <c r="D14976" s="2">
        <f>HYPERLINK("http://mcb-m6.bioreg.kyushu-u.ac.jp/M3/20110404/F50768/1775/1", 54.85)</f>
        <v>54.85</v>
      </c>
      <c r="E14976" s="2">
        <v>32.520000000000003</v>
      </c>
      <c r="F14976" s="2">
        <v>2</v>
      </c>
      <c r="G14976" s="2" t="s">
        <v>10</v>
      </c>
    </row>
    <row r="14977" spans="1:7" x14ac:dyDescent="0.2">
      <c r="A14977" s="2" t="s">
        <v>3725</v>
      </c>
      <c r="B14977" s="2" t="s">
        <v>970</v>
      </c>
      <c r="C14977" s="2">
        <v>725.35609999999997</v>
      </c>
      <c r="D14977" s="2">
        <f>HYPERLINK("http://mcb-m6.bioreg.kyushu-u.ac.jp/M3/20110421/F51034/1962/1", 39.72)</f>
        <v>39.72</v>
      </c>
      <c r="E14977" s="2">
        <v>14.21</v>
      </c>
      <c r="F14977" s="2">
        <v>2</v>
      </c>
      <c r="G14977" s="2" t="s">
        <v>11</v>
      </c>
    </row>
    <row r="14978" spans="1:7" x14ac:dyDescent="0.2">
      <c r="A14978" s="2" t="s">
        <v>3725</v>
      </c>
      <c r="B14978" s="2" t="s">
        <v>830</v>
      </c>
      <c r="C14978" s="2">
        <v>710.32709999999997</v>
      </c>
      <c r="D14978" s="2">
        <f>HYPERLINK("http://mcb-m6.bioreg.kyushu-u.ac.jp/M3/20110421/F51037/1820/1", 40.04)</f>
        <v>40.04</v>
      </c>
      <c r="E14978" s="2">
        <v>22.03</v>
      </c>
      <c r="F14978" s="2">
        <v>2</v>
      </c>
      <c r="G14978" s="2" t="s">
        <v>11</v>
      </c>
    </row>
    <row r="14979" spans="1:7" x14ac:dyDescent="0.2">
      <c r="A14979" s="2" t="s">
        <v>3725</v>
      </c>
      <c r="B14979" s="2" t="s">
        <v>830</v>
      </c>
      <c r="C14979" s="2">
        <v>710.25210000000004</v>
      </c>
      <c r="D14979" s="2">
        <f>HYPERLINK("http://mcb-m6.bioreg.kyushu-u.ac.jp/M3/20110421/F51035/1808/1", 45.97)</f>
        <v>45.97</v>
      </c>
      <c r="E14979" s="2">
        <v>31.26</v>
      </c>
      <c r="F14979" s="2">
        <v>2</v>
      </c>
      <c r="G14979" s="2" t="s">
        <v>11</v>
      </c>
    </row>
    <row r="14980" spans="1:7" x14ac:dyDescent="0.2">
      <c r="A14980" s="2" t="s">
        <v>3725</v>
      </c>
      <c r="B14980" s="2" t="s">
        <v>830</v>
      </c>
      <c r="C14980" s="2">
        <v>710.39919999999995</v>
      </c>
      <c r="D14980" s="2">
        <f>HYPERLINK("http://mcb-m6.bioreg.kyushu-u.ac.jp/M3/20110421/F51034/1866/1", 49.2)</f>
        <v>49.2</v>
      </c>
      <c r="E14980" s="2">
        <v>28.79</v>
      </c>
      <c r="F14980" s="2">
        <v>2</v>
      </c>
      <c r="G14980" s="2" t="s">
        <v>11</v>
      </c>
    </row>
    <row r="14981" spans="1:7" x14ac:dyDescent="0.2">
      <c r="A14981" s="2" t="s">
        <v>3725</v>
      </c>
      <c r="B14981" s="2" t="s">
        <v>721</v>
      </c>
      <c r="C14981" s="2">
        <v>534.94709999999998</v>
      </c>
      <c r="D14981" s="2">
        <f>HYPERLINK("http://mcb-m6.bioreg.kyushu-u.ac.jp/M3/20110421/F51034/1073/1", 52.63)</f>
        <v>52.63</v>
      </c>
      <c r="E14981" s="2">
        <v>29.04</v>
      </c>
      <c r="F14981" s="2">
        <v>2</v>
      </c>
      <c r="G14981" s="2" t="s">
        <v>11</v>
      </c>
    </row>
    <row r="14982" spans="1:7" x14ac:dyDescent="0.2">
      <c r="A14982" s="2" t="s">
        <v>3725</v>
      </c>
      <c r="B14982" s="2" t="s">
        <v>970</v>
      </c>
      <c r="C14982" s="2">
        <v>725.91970000000003</v>
      </c>
      <c r="D14982" s="2">
        <f>HYPERLINK("http://mcb-m6.bioreg.kyushu-u.ac.jp/M3/20110421/F51034/1972/1", 71.97)</f>
        <v>71.97</v>
      </c>
      <c r="E14982" s="2">
        <v>52.32</v>
      </c>
      <c r="F14982" s="2">
        <v>2</v>
      </c>
      <c r="G14982" s="2" t="s">
        <v>11</v>
      </c>
    </row>
    <row r="14983" spans="1:7" x14ac:dyDescent="0.2">
      <c r="A14983" s="2" t="s">
        <v>3725</v>
      </c>
      <c r="B14983" s="2" t="s">
        <v>830</v>
      </c>
      <c r="C14983" s="2">
        <v>710.91470000000004</v>
      </c>
      <c r="D14983" s="2">
        <f>HYPERLINK("http://mcb-m6.bioreg.kyushu-u.ac.jp/M3/20110421/F51044/1861/1", 44.75)</f>
        <v>44.75</v>
      </c>
      <c r="E14983" s="2">
        <v>24.16</v>
      </c>
      <c r="F14983" s="2">
        <v>2</v>
      </c>
      <c r="G14983" s="2" t="s">
        <v>12</v>
      </c>
    </row>
    <row r="14984" spans="1:7" x14ac:dyDescent="0.2">
      <c r="A14984" s="2" t="s">
        <v>3725</v>
      </c>
      <c r="B14984" s="2" t="s">
        <v>721</v>
      </c>
      <c r="C14984" s="2">
        <v>534.85519999999997</v>
      </c>
      <c r="D14984" s="2">
        <f>HYPERLINK("http://mcb-m6.bioreg.kyushu-u.ac.jp/M3/20110421/F51045/1276/1", 50)</f>
        <v>50</v>
      </c>
      <c r="E14984" s="2">
        <v>32.44</v>
      </c>
      <c r="F14984" s="2">
        <v>2</v>
      </c>
      <c r="G14984" s="2" t="s">
        <v>12</v>
      </c>
    </row>
    <row r="14985" spans="1:7" x14ac:dyDescent="0.2">
      <c r="A14985" s="2" t="s">
        <v>3725</v>
      </c>
      <c r="B14985" s="2" t="s">
        <v>830</v>
      </c>
      <c r="C14985" s="2">
        <v>710.4452</v>
      </c>
      <c r="D14985" s="2">
        <f>HYPERLINK("http://mcb-m6.bioreg.kyushu-u.ac.jp/M3/20110421/F51045/2030/1", 53.85)</f>
        <v>53.85</v>
      </c>
      <c r="E14985" s="2">
        <v>34.159999999999997</v>
      </c>
      <c r="F14985" s="2">
        <v>2</v>
      </c>
      <c r="G14985" s="2" t="s">
        <v>12</v>
      </c>
    </row>
    <row r="14986" spans="1:7" x14ac:dyDescent="0.2">
      <c r="A14986" s="2" t="s">
        <v>3725</v>
      </c>
      <c r="B14986" s="2" t="s">
        <v>830</v>
      </c>
      <c r="C14986" s="2">
        <v>710.32259999999997</v>
      </c>
      <c r="D14986" s="2">
        <f>HYPERLINK("http://mcb-m6.bioreg.kyushu-u.ac.jp/M3/20110421/F51044/1855/1", 68.34)</f>
        <v>68.34</v>
      </c>
      <c r="E14986" s="2">
        <v>44.1</v>
      </c>
      <c r="F14986" s="2">
        <v>2</v>
      </c>
      <c r="G14986" s="2" t="s">
        <v>12</v>
      </c>
    </row>
    <row r="14987" spans="1:7" x14ac:dyDescent="0.2">
      <c r="A14987" s="2" t="s">
        <v>3725</v>
      </c>
      <c r="B14987" s="2" t="s">
        <v>1477</v>
      </c>
      <c r="C14987" s="2">
        <v>606.13710000000003</v>
      </c>
      <c r="D14987" s="2">
        <f>HYPERLINK("http://mcb-m6.bioreg.kyushu-u.ac.jp/M3/20110427/F51114/2883/1", 39.56)</f>
        <v>39.56</v>
      </c>
      <c r="E14987" s="2">
        <v>27.56</v>
      </c>
      <c r="F14987" s="2">
        <v>3</v>
      </c>
      <c r="G14987" s="2" t="s">
        <v>13</v>
      </c>
    </row>
    <row r="14988" spans="1:7" x14ac:dyDescent="0.2">
      <c r="A14988" s="2" t="s">
        <v>3725</v>
      </c>
      <c r="B14988" s="2" t="s">
        <v>721</v>
      </c>
      <c r="C14988" s="2">
        <v>535.17819999999995</v>
      </c>
      <c r="D14988" s="2">
        <f>HYPERLINK("http://mcb-m6.bioreg.kyushu-u.ac.jp/M3/20110427/F51114/1099/1", 41.34)</f>
        <v>41.34</v>
      </c>
      <c r="E14988" s="2">
        <v>24.91</v>
      </c>
      <c r="F14988" s="2">
        <v>2</v>
      </c>
      <c r="G14988" s="2" t="s">
        <v>13</v>
      </c>
    </row>
    <row r="14989" spans="1:7" x14ac:dyDescent="0.2">
      <c r="A14989" s="2" t="s">
        <v>3725</v>
      </c>
      <c r="B14989" s="2" t="s">
        <v>970</v>
      </c>
      <c r="C14989" s="2">
        <v>725.60860000000002</v>
      </c>
      <c r="D14989" s="2">
        <f>HYPERLINK("http://mcb-m6.bioreg.kyushu-u.ac.jp/M3/20110428/F51127/1798/1", 51.98)</f>
        <v>51.98</v>
      </c>
      <c r="E14989" s="2">
        <v>37.35</v>
      </c>
      <c r="F14989" s="2">
        <v>2</v>
      </c>
      <c r="G14989" s="2" t="s">
        <v>13</v>
      </c>
    </row>
    <row r="14990" spans="1:7" x14ac:dyDescent="0.2">
      <c r="A14990" s="2" t="s">
        <v>3725</v>
      </c>
      <c r="B14990" s="2" t="s">
        <v>830</v>
      </c>
      <c r="C14990" s="2">
        <v>710.27509999999995</v>
      </c>
      <c r="D14990" s="2">
        <f>HYPERLINK("http://mcb-m6.bioreg.kyushu-u.ac.jp/M3/20110427/F51114/1879/1", 82.26)</f>
        <v>82.26</v>
      </c>
      <c r="E14990" s="2">
        <v>54.19</v>
      </c>
      <c r="F14990" s="2">
        <v>2</v>
      </c>
      <c r="G14990" s="2" t="s">
        <v>13</v>
      </c>
    </row>
    <row r="14991" spans="1:7" x14ac:dyDescent="0.2">
      <c r="A14991" s="2" t="s">
        <v>3725</v>
      </c>
      <c r="B14991" s="2" t="s">
        <v>830</v>
      </c>
      <c r="C14991" s="2">
        <v>710.47770000000003</v>
      </c>
      <c r="D14991" s="2">
        <f>HYPERLINK("http://mcb-m6.bioreg.kyushu-u.ac.jp/M3/20110427/F51123/1890/1", 61.12)</f>
        <v>61.12</v>
      </c>
      <c r="E14991" s="2">
        <v>38.04</v>
      </c>
      <c r="F14991" s="2">
        <v>2</v>
      </c>
      <c r="G14991" s="2" t="s">
        <v>14</v>
      </c>
    </row>
    <row r="14992" spans="1:7" x14ac:dyDescent="0.2">
      <c r="A14992" s="2" t="s">
        <v>3725</v>
      </c>
      <c r="B14992" s="2" t="s">
        <v>830</v>
      </c>
      <c r="C14992" s="2">
        <v>710.26210000000003</v>
      </c>
      <c r="D14992" s="2">
        <f>HYPERLINK("http://mcb-m6.bioreg.kyushu-u.ac.jp/M3/20110428/F51128/1816/1", 61.3)</f>
        <v>61.3</v>
      </c>
      <c r="E14992" s="2">
        <v>38.24</v>
      </c>
      <c r="F14992" s="2">
        <v>2</v>
      </c>
      <c r="G14992" s="2" t="s">
        <v>14</v>
      </c>
    </row>
    <row r="14993" spans="1:9" x14ac:dyDescent="0.2">
      <c r="A14993" s="2" t="s">
        <v>4503</v>
      </c>
      <c r="B14993" s="2" t="s">
        <v>2492</v>
      </c>
      <c r="C14993" s="2">
        <v>779.33180000000004</v>
      </c>
      <c r="D14993" s="2">
        <f>HYPERLINK("http://mcb-m6.bioreg.kyushu-u.ac.jp/M3/20110404/F50760/3084/1", 50.02)</f>
        <v>50.02</v>
      </c>
      <c r="E14993" s="2">
        <v>34.700000000000003</v>
      </c>
      <c r="F14993" s="2">
        <v>3</v>
      </c>
      <c r="G14993" s="2" t="s">
        <v>10</v>
      </c>
      <c r="I14993" s="2" t="s">
        <v>4965</v>
      </c>
    </row>
    <row r="14994" spans="1:9" x14ac:dyDescent="0.2">
      <c r="A14994" s="2" t="s">
        <v>3370</v>
      </c>
      <c r="B14994" s="2" t="s">
        <v>162</v>
      </c>
      <c r="C14994" s="2">
        <v>681.12570000000005</v>
      </c>
      <c r="D14994" s="2">
        <f>HYPERLINK("http://mcb-m6.bioreg.kyushu-u.ac.jp/M3/20110404/F50772/1623/1", 42.19)</f>
        <v>42.19</v>
      </c>
      <c r="E14994" s="2">
        <v>26.27</v>
      </c>
      <c r="F14994" s="2">
        <v>2</v>
      </c>
      <c r="G14994" s="2" t="s">
        <v>10</v>
      </c>
      <c r="H14994" s="2" t="s">
        <v>4908</v>
      </c>
    </row>
    <row r="14995" spans="1:9" x14ac:dyDescent="0.2">
      <c r="A14995" s="2" t="s">
        <v>3370</v>
      </c>
      <c r="B14995" s="2" t="s">
        <v>162</v>
      </c>
      <c r="C14995" s="2">
        <v>680.66819999999996</v>
      </c>
      <c r="D14995" s="2">
        <f>HYPERLINK("http://mcb-m6.bioreg.kyushu-u.ac.jp/M3/20110421/F51021/1710/1", 35.21)</f>
        <v>35.21</v>
      </c>
      <c r="E14995" s="2">
        <v>16.47</v>
      </c>
      <c r="F14995" s="2">
        <v>2</v>
      </c>
      <c r="G14995" s="2" t="s">
        <v>12</v>
      </c>
      <c r="H14995" s="2" t="s">
        <v>4908</v>
      </c>
    </row>
    <row r="14996" spans="1:9" x14ac:dyDescent="0.2">
      <c r="A14996" s="2" t="s">
        <v>3990</v>
      </c>
      <c r="B14996" s="2" t="s">
        <v>1261</v>
      </c>
      <c r="C14996" s="2">
        <v>515.26009999999997</v>
      </c>
      <c r="D14996" s="2">
        <f>HYPERLINK("http://mcb-m6.bioreg.kyushu-u.ac.jp/M3/20110404/F50754/1390/1", 57.48)</f>
        <v>57.48</v>
      </c>
      <c r="E14996" s="2">
        <v>22.24</v>
      </c>
      <c r="F14996" s="2">
        <v>2</v>
      </c>
      <c r="G14996" s="2" t="s">
        <v>9</v>
      </c>
    </row>
    <row r="14997" spans="1:9" x14ac:dyDescent="0.2">
      <c r="A14997" s="2" t="s">
        <v>3397</v>
      </c>
      <c r="B14997" s="2" t="s">
        <v>192</v>
      </c>
      <c r="C14997" s="2">
        <v>1101.4390000000001</v>
      </c>
      <c r="D14997" s="2">
        <f>HYPERLINK("http://mcb-m6.bioreg.kyushu-u.ac.jp/M3/20110404/F50754/1484/1", 36.31)</f>
        <v>36.31</v>
      </c>
      <c r="E14997" s="2">
        <v>19.41</v>
      </c>
      <c r="F14997" s="2">
        <v>1</v>
      </c>
      <c r="G14997" s="2" t="s">
        <v>9</v>
      </c>
      <c r="I14997" s="2" t="s">
        <v>4890</v>
      </c>
    </row>
    <row r="14998" spans="1:9" x14ac:dyDescent="0.2">
      <c r="A14998" s="2" t="s">
        <v>3397</v>
      </c>
      <c r="B14998" s="2" t="s">
        <v>510</v>
      </c>
      <c r="C14998" s="2">
        <v>599.72720000000004</v>
      </c>
      <c r="D14998" s="2">
        <f>HYPERLINK("http://mcb-m6.bioreg.kyushu-u.ac.jp/M3/20110404/F50754/1646/1", 43.51)</f>
        <v>43.51</v>
      </c>
      <c r="E14998" s="2">
        <v>26.49</v>
      </c>
      <c r="F14998" s="2">
        <v>2</v>
      </c>
      <c r="G14998" s="2" t="s">
        <v>9</v>
      </c>
    </row>
    <row r="14999" spans="1:9" x14ac:dyDescent="0.2">
      <c r="A14999" s="2" t="s">
        <v>3397</v>
      </c>
      <c r="B14999" s="2" t="s">
        <v>510</v>
      </c>
      <c r="C14999" s="2">
        <v>599.76120000000003</v>
      </c>
      <c r="D14999" s="2">
        <f>HYPERLINK("http://mcb-m6.bioreg.kyushu-u.ac.jp/M3/20110404/F50755/1380/1", 46.36)</f>
        <v>46.36</v>
      </c>
      <c r="E14999" s="2">
        <v>29.92</v>
      </c>
      <c r="F14999" s="2">
        <v>2</v>
      </c>
      <c r="G14999" s="2" t="s">
        <v>9</v>
      </c>
    </row>
    <row r="15000" spans="1:9" x14ac:dyDescent="0.2">
      <c r="A15000" s="2" t="s">
        <v>3397</v>
      </c>
      <c r="B15000" s="2" t="s">
        <v>6216</v>
      </c>
      <c r="C15000" s="2">
        <v>975.27</v>
      </c>
      <c r="D15000" s="2">
        <f>HYPERLINK("http://mcb-m6.bioreg.kyushu-u.ac.jp/M3/20110404/F50754/1278/1", 47.04)</f>
        <v>47.04</v>
      </c>
      <c r="E15000" s="2">
        <v>21.94</v>
      </c>
      <c r="F15000" s="2">
        <v>1</v>
      </c>
      <c r="G15000" s="2" t="s">
        <v>9</v>
      </c>
    </row>
    <row r="15001" spans="1:9" x14ac:dyDescent="0.2">
      <c r="A15001" s="2" t="s">
        <v>3397</v>
      </c>
      <c r="B15001" s="2" t="s">
        <v>690</v>
      </c>
      <c r="C15001" s="2">
        <v>588.17660000000001</v>
      </c>
      <c r="D15001" s="2">
        <f>HYPERLINK("http://mcb-m6.bioreg.kyushu-u.ac.jp/M3/20110404/F50754/1592/1", 50.7)</f>
        <v>50.7</v>
      </c>
      <c r="E15001" s="2">
        <v>35.72</v>
      </c>
      <c r="F15001" s="2">
        <v>2</v>
      </c>
      <c r="G15001" s="2" t="s">
        <v>9</v>
      </c>
    </row>
    <row r="15002" spans="1:9" x14ac:dyDescent="0.2">
      <c r="A15002" s="2" t="s">
        <v>3397</v>
      </c>
      <c r="B15002" s="2" t="s">
        <v>510</v>
      </c>
      <c r="C15002" s="2">
        <v>1198.463</v>
      </c>
      <c r="D15002" s="2">
        <f>HYPERLINK("http://mcb-m6.bioreg.kyushu-u.ac.jp/M3/20110404/F50754/1647/1", 51.96)</f>
        <v>51.96</v>
      </c>
      <c r="E15002" s="2">
        <v>29.72</v>
      </c>
      <c r="F15002" s="2">
        <v>1</v>
      </c>
      <c r="G15002" s="2" t="s">
        <v>9</v>
      </c>
    </row>
    <row r="15003" spans="1:9" x14ac:dyDescent="0.2">
      <c r="A15003" s="2" t="s">
        <v>3397</v>
      </c>
      <c r="B15003" s="2" t="s">
        <v>192</v>
      </c>
      <c r="C15003" s="2">
        <v>551.15009999999995</v>
      </c>
      <c r="D15003" s="2">
        <f>HYPERLINK("http://mcb-m6.bioreg.kyushu-u.ac.jp/M3/20110404/F50754/1483/1", 52.19)</f>
        <v>52.19</v>
      </c>
      <c r="E15003" s="2">
        <v>28.32</v>
      </c>
      <c r="F15003" s="2">
        <v>2</v>
      </c>
      <c r="G15003" s="2" t="s">
        <v>9</v>
      </c>
      <c r="I15003" s="2" t="s">
        <v>4890</v>
      </c>
    </row>
    <row r="15004" spans="1:9" x14ac:dyDescent="0.2">
      <c r="A15004" s="2" t="s">
        <v>3397</v>
      </c>
      <c r="B15004" s="2" t="s">
        <v>218</v>
      </c>
      <c r="C15004" s="2">
        <v>1324.498</v>
      </c>
      <c r="D15004" s="2">
        <f>HYPERLINK("http://mcb-m6.bioreg.kyushu-u.ac.jp/M3/20110404/F50754/1825/1", 53)</f>
        <v>53</v>
      </c>
      <c r="E15004" s="2">
        <v>13.52</v>
      </c>
      <c r="F15004" s="2">
        <v>1</v>
      </c>
      <c r="G15004" s="2" t="s">
        <v>9</v>
      </c>
    </row>
    <row r="15005" spans="1:9" x14ac:dyDescent="0.2">
      <c r="A15005" s="2" t="s">
        <v>3397</v>
      </c>
      <c r="B15005" s="2" t="s">
        <v>510</v>
      </c>
      <c r="C15005" s="2">
        <v>607.70669999999996</v>
      </c>
      <c r="D15005" s="2">
        <f>HYPERLINK("http://mcb-m6.bioreg.kyushu-u.ac.jp/M3/20110404/F50754/1665/1", 53.5)</f>
        <v>53.5</v>
      </c>
      <c r="E15005" s="2">
        <v>28.4</v>
      </c>
      <c r="F15005" s="2">
        <v>2</v>
      </c>
      <c r="G15005" s="2" t="s">
        <v>9</v>
      </c>
      <c r="H15005" s="2" t="s">
        <v>4900</v>
      </c>
    </row>
    <row r="15006" spans="1:9" x14ac:dyDescent="0.2">
      <c r="A15006" s="2" t="s">
        <v>3397</v>
      </c>
      <c r="B15006" s="2" t="s">
        <v>940</v>
      </c>
      <c r="C15006" s="2">
        <v>725.89469999999994</v>
      </c>
      <c r="D15006" s="2">
        <f>HYPERLINK("http://mcb-m6.bioreg.kyushu-u.ac.jp/M3/20110404/F50755/1878/1", 53.65)</f>
        <v>53.65</v>
      </c>
      <c r="E15006" s="2">
        <v>39.950000000000003</v>
      </c>
      <c r="F15006" s="2">
        <v>2</v>
      </c>
      <c r="G15006" s="2" t="s">
        <v>9</v>
      </c>
    </row>
    <row r="15007" spans="1:9" x14ac:dyDescent="0.2">
      <c r="A15007" s="2" t="s">
        <v>3397</v>
      </c>
      <c r="B15007" s="2" t="s">
        <v>6374</v>
      </c>
      <c r="C15007" s="2">
        <v>1216.2660000000001</v>
      </c>
      <c r="D15007" s="2">
        <f>HYPERLINK("http://mcb-m6.bioreg.kyushu-u.ac.jp/M3/20110404/F50754/1668/1", 57.21)</f>
        <v>57.21</v>
      </c>
      <c r="E15007" s="2">
        <v>35.68</v>
      </c>
      <c r="F15007" s="2">
        <v>1</v>
      </c>
      <c r="G15007" s="2" t="s">
        <v>9</v>
      </c>
    </row>
    <row r="15008" spans="1:9" x14ac:dyDescent="0.2">
      <c r="A15008" s="2" t="s">
        <v>3397</v>
      </c>
      <c r="B15008" s="2" t="s">
        <v>3151</v>
      </c>
      <c r="C15008" s="2">
        <v>472.60610000000003</v>
      </c>
      <c r="D15008" s="2">
        <f>HYPERLINK("http://mcb-m6.bioreg.kyushu-u.ac.jp/M3/20110404/F50754/1224/1", 57.9)</f>
        <v>57.9</v>
      </c>
      <c r="E15008" s="2">
        <v>24.91</v>
      </c>
      <c r="F15008" s="2">
        <v>2</v>
      </c>
      <c r="G15008" s="2" t="s">
        <v>9</v>
      </c>
      <c r="H15008" s="2" t="s">
        <v>4920</v>
      </c>
    </row>
    <row r="15009" spans="1:9" x14ac:dyDescent="0.2">
      <c r="A15009" s="2" t="s">
        <v>3397</v>
      </c>
      <c r="B15009" s="2" t="s">
        <v>447</v>
      </c>
      <c r="C15009" s="2">
        <v>672.25210000000004</v>
      </c>
      <c r="D15009" s="2">
        <f>HYPERLINK("http://mcb-m6.bioreg.kyushu-u.ac.jp/M3/20110404/F50754/1855/1", 59.09)</f>
        <v>59.09</v>
      </c>
      <c r="E15009" s="2">
        <v>43.91</v>
      </c>
      <c r="F15009" s="2">
        <v>2</v>
      </c>
      <c r="G15009" s="2" t="s">
        <v>9</v>
      </c>
    </row>
    <row r="15010" spans="1:9" x14ac:dyDescent="0.2">
      <c r="A15010" s="2" t="s">
        <v>3397</v>
      </c>
      <c r="B15010" s="2" t="s">
        <v>6374</v>
      </c>
      <c r="C15010" s="2">
        <v>617.2192</v>
      </c>
      <c r="D15010" s="2">
        <f>HYPERLINK("http://mcb-m6.bioreg.kyushu-u.ac.jp/M3/20110404/F50754/1712/1", 61.26)</f>
        <v>61.26</v>
      </c>
      <c r="E15010" s="2">
        <v>37.92</v>
      </c>
      <c r="F15010" s="2">
        <v>2</v>
      </c>
      <c r="G15010" s="2" t="s">
        <v>9</v>
      </c>
      <c r="H15010" s="2" t="s">
        <v>4896</v>
      </c>
    </row>
    <row r="15011" spans="1:9" x14ac:dyDescent="0.2">
      <c r="A15011" s="2" t="s">
        <v>3397</v>
      </c>
      <c r="B15011" s="2" t="s">
        <v>218</v>
      </c>
      <c r="C15011" s="2">
        <v>662.81320000000005</v>
      </c>
      <c r="D15011" s="2">
        <f>HYPERLINK("http://mcb-m6.bioreg.kyushu-u.ac.jp/M3/20110404/F50754/1826/1", 66.24)</f>
        <v>66.239999999999995</v>
      </c>
      <c r="E15011" s="2">
        <v>41.36</v>
      </c>
      <c r="F15011" s="2">
        <v>2</v>
      </c>
      <c r="G15011" s="2" t="s">
        <v>9</v>
      </c>
    </row>
    <row r="15012" spans="1:9" x14ac:dyDescent="0.2">
      <c r="A15012" s="2" t="s">
        <v>3397</v>
      </c>
      <c r="B15012" s="2" t="s">
        <v>6374</v>
      </c>
      <c r="C15012" s="2">
        <v>609.0797</v>
      </c>
      <c r="D15012" s="2">
        <f>HYPERLINK("http://mcb-m6.bioreg.kyushu-u.ac.jp/M3/20110404/F50754/1670/1", 72.69)</f>
        <v>72.69</v>
      </c>
      <c r="E15012" s="2">
        <v>51.85</v>
      </c>
      <c r="F15012" s="2">
        <v>2</v>
      </c>
      <c r="G15012" s="2" t="s">
        <v>9</v>
      </c>
    </row>
    <row r="15013" spans="1:9" x14ac:dyDescent="0.2">
      <c r="A15013" s="2" t="s">
        <v>3397</v>
      </c>
      <c r="B15013" s="2" t="s">
        <v>218</v>
      </c>
      <c r="C15013" s="2">
        <v>662.29219999999998</v>
      </c>
      <c r="D15013" s="2">
        <f>HYPERLINK("http://mcb-m6.bioreg.kyushu-u.ac.jp/M3/20110404/F50754/1822/1", 73.96)</f>
        <v>73.959999999999994</v>
      </c>
      <c r="E15013" s="2">
        <v>45.48</v>
      </c>
      <c r="F15013" s="2">
        <v>2</v>
      </c>
      <c r="G15013" s="2" t="s">
        <v>9</v>
      </c>
    </row>
    <row r="15014" spans="1:9" x14ac:dyDescent="0.2">
      <c r="A15014" s="2" t="s">
        <v>3397</v>
      </c>
      <c r="B15014" s="2" t="s">
        <v>3151</v>
      </c>
      <c r="C15014" s="2">
        <v>473.13709999999998</v>
      </c>
      <c r="D15014" s="2">
        <f>HYPERLINK("http://mcb-m6.bioreg.kyushu-u.ac.jp/M3/20110421/F51024/1047/1", 41.94)</f>
        <v>41.94</v>
      </c>
      <c r="E15014" s="2">
        <v>16.309999999999999</v>
      </c>
      <c r="F15014" s="2">
        <v>2</v>
      </c>
      <c r="G15014" s="2" t="s">
        <v>12</v>
      </c>
      <c r="H15014" s="2" t="s">
        <v>4920</v>
      </c>
    </row>
    <row r="15015" spans="1:9" x14ac:dyDescent="0.2">
      <c r="A15015" s="2" t="s">
        <v>3397</v>
      </c>
      <c r="B15015" s="2" t="s">
        <v>447</v>
      </c>
      <c r="C15015" s="2">
        <v>672.7722</v>
      </c>
      <c r="D15015" s="2">
        <f>HYPERLINK("http://mcb-m6.bioreg.kyushu-u.ac.jp/M3/20110427/F51112/1737/1", 41.52)</f>
        <v>41.52</v>
      </c>
      <c r="E15015" s="2">
        <v>27.49</v>
      </c>
      <c r="F15015" s="2">
        <v>2</v>
      </c>
      <c r="G15015" s="2" t="s">
        <v>13</v>
      </c>
    </row>
    <row r="15016" spans="1:9" x14ac:dyDescent="0.2">
      <c r="A15016" s="2" t="s">
        <v>3397</v>
      </c>
      <c r="B15016" s="2" t="s">
        <v>3151</v>
      </c>
      <c r="C15016" s="2">
        <v>472.99160000000001</v>
      </c>
      <c r="D15016" s="2">
        <f>HYPERLINK("http://mcb-m6.bioreg.kyushu-u.ac.jp/M3/20110427/F51121/1154/1", 37.91)</f>
        <v>37.909999999999997</v>
      </c>
      <c r="E15016" s="2">
        <v>12.18</v>
      </c>
      <c r="F15016" s="2">
        <v>2</v>
      </c>
      <c r="G15016" s="2" t="s">
        <v>14</v>
      </c>
      <c r="H15016" s="2" t="s">
        <v>4920</v>
      </c>
    </row>
    <row r="15017" spans="1:9" x14ac:dyDescent="0.2">
      <c r="A15017" s="2" t="s">
        <v>4626</v>
      </c>
      <c r="B15017" s="2" t="s">
        <v>5908</v>
      </c>
      <c r="C15017" s="2">
        <v>802.85919999999999</v>
      </c>
      <c r="D15017" s="2">
        <f>HYPERLINK("http://mcb-m6.bioreg.kyushu-u.ac.jp/M3/20110404/F50767/2040/1", 35.13)</f>
        <v>35.130000000000003</v>
      </c>
      <c r="E15017" s="2">
        <v>10.19</v>
      </c>
      <c r="F15017" s="2">
        <v>2</v>
      </c>
      <c r="G15017" s="2" t="s">
        <v>9</v>
      </c>
    </row>
    <row r="15018" spans="1:9" x14ac:dyDescent="0.2">
      <c r="A15018" s="2" t="s">
        <v>4626</v>
      </c>
      <c r="B15018" s="2" t="s">
        <v>6681</v>
      </c>
      <c r="C15018" s="2">
        <v>781.97860000000003</v>
      </c>
      <c r="D15018" s="2">
        <f>HYPERLINK("http://mcb-m6.bioreg.kyushu-u.ac.jp/M3/20110404/F50772/2105/1", 35.51)</f>
        <v>35.51</v>
      </c>
      <c r="E15018" s="2">
        <v>11.62</v>
      </c>
      <c r="F15018" s="2">
        <v>2</v>
      </c>
      <c r="G15018" s="2" t="s">
        <v>10</v>
      </c>
    </row>
    <row r="15019" spans="1:9" x14ac:dyDescent="0.2">
      <c r="A15019" s="2" t="s">
        <v>4626</v>
      </c>
      <c r="B15019" s="2" t="s">
        <v>6756</v>
      </c>
      <c r="C15019" s="2">
        <v>643.10820000000001</v>
      </c>
      <c r="D15019" s="2">
        <f>HYPERLINK("http://mcb-m6.bioreg.kyushu-u.ac.jp/M3/20110404/F50772/1510/1", 40.45)</f>
        <v>40.450000000000003</v>
      </c>
      <c r="E15019" s="2">
        <v>16.600000000000001</v>
      </c>
      <c r="F15019" s="2">
        <v>2</v>
      </c>
      <c r="G15019" s="2" t="s">
        <v>10</v>
      </c>
      <c r="I15019" s="2" t="s">
        <v>4893</v>
      </c>
    </row>
    <row r="15020" spans="1:9" x14ac:dyDescent="0.2">
      <c r="A15020" s="2" t="s">
        <v>4626</v>
      </c>
      <c r="B15020" s="2" t="s">
        <v>6787</v>
      </c>
      <c r="C15020" s="2">
        <v>877.56410000000005</v>
      </c>
      <c r="D15020" s="2">
        <f>HYPERLINK("http://mcb-m6.bioreg.kyushu-u.ac.jp/M3/20110404/F50772/2456/1", 42.64)</f>
        <v>42.64</v>
      </c>
      <c r="E15020" s="2">
        <v>27.14</v>
      </c>
      <c r="F15020" s="2">
        <v>2</v>
      </c>
      <c r="G15020" s="2" t="s">
        <v>10</v>
      </c>
    </row>
    <row r="15021" spans="1:9" x14ac:dyDescent="0.2">
      <c r="A15021" s="2" t="s">
        <v>4626</v>
      </c>
      <c r="B15021" s="2" t="s">
        <v>6681</v>
      </c>
      <c r="C15021" s="2">
        <v>781.42169999999999</v>
      </c>
      <c r="D15021" s="2">
        <f>HYPERLINK("http://mcb-m6.bioreg.kyushu-u.ac.jp/M3/20110404/F50772/2102/1", 49.97)</f>
        <v>49.97</v>
      </c>
      <c r="E15021" s="2">
        <v>33.51</v>
      </c>
      <c r="F15021" s="2">
        <v>2</v>
      </c>
      <c r="G15021" s="2" t="s">
        <v>10</v>
      </c>
    </row>
    <row r="15022" spans="1:9" x14ac:dyDescent="0.2">
      <c r="A15022" s="2" t="s">
        <v>4626</v>
      </c>
      <c r="B15022" s="2" t="s">
        <v>6955</v>
      </c>
      <c r="C15022" s="2">
        <v>1063.5619999999999</v>
      </c>
      <c r="D15022" s="2">
        <f>HYPERLINK("http://mcb-m6.bioreg.kyushu-u.ac.jp/M3/20110404/F50772/3033/1", 65.73)</f>
        <v>65.73</v>
      </c>
      <c r="E15022" s="2">
        <v>52.74</v>
      </c>
      <c r="F15022" s="2">
        <v>2</v>
      </c>
      <c r="G15022" s="2" t="s">
        <v>10</v>
      </c>
    </row>
    <row r="15023" spans="1:9" x14ac:dyDescent="0.2">
      <c r="A15023" s="2" t="s">
        <v>4626</v>
      </c>
      <c r="B15023" s="2" t="s">
        <v>5908</v>
      </c>
      <c r="C15023" s="2">
        <v>810.92269999999996</v>
      </c>
      <c r="D15023" s="2">
        <f>HYPERLINK("http://mcb-m6.bioreg.kyushu-u.ac.jp/M3/20110404/F50772/2213/1", 66.19)</f>
        <v>66.19</v>
      </c>
      <c r="E15023" s="2">
        <v>43.92</v>
      </c>
      <c r="F15023" s="2">
        <v>2</v>
      </c>
      <c r="G15023" s="2" t="s">
        <v>10</v>
      </c>
      <c r="H15023" s="2" t="s">
        <v>4912</v>
      </c>
    </row>
    <row r="15024" spans="1:9" x14ac:dyDescent="0.2">
      <c r="A15024" s="2" t="s">
        <v>4626</v>
      </c>
      <c r="B15024" s="2" t="s">
        <v>6962</v>
      </c>
      <c r="C15024" s="2">
        <v>701.86220000000003</v>
      </c>
      <c r="D15024" s="2">
        <f>HYPERLINK("http://mcb-m6.bioreg.kyushu-u.ac.jp/M3/20110404/F50772/1739/1", 66.78)</f>
        <v>66.78</v>
      </c>
      <c r="E15024" s="2">
        <v>40.54</v>
      </c>
      <c r="F15024" s="2">
        <v>2</v>
      </c>
      <c r="G15024" s="2" t="s">
        <v>10</v>
      </c>
    </row>
    <row r="15025" spans="1:9" x14ac:dyDescent="0.2">
      <c r="A15025" s="2" t="s">
        <v>4626</v>
      </c>
      <c r="B15025" s="2" t="s">
        <v>6983</v>
      </c>
      <c r="C15025" s="2">
        <v>906.35109999999997</v>
      </c>
      <c r="D15025" s="2">
        <f>HYPERLINK("http://mcb-m6.bioreg.kyushu-u.ac.jp/M3/20110404/F50772/2567/1", 72.28)</f>
        <v>72.28</v>
      </c>
      <c r="E15025" s="2">
        <v>54.27</v>
      </c>
      <c r="F15025" s="2">
        <v>2</v>
      </c>
      <c r="G15025" s="2" t="s">
        <v>10</v>
      </c>
    </row>
    <row r="15026" spans="1:9" x14ac:dyDescent="0.2">
      <c r="A15026" s="2" t="s">
        <v>4626</v>
      </c>
      <c r="B15026" s="2" t="s">
        <v>6991</v>
      </c>
      <c r="C15026" s="2">
        <v>878.3777</v>
      </c>
      <c r="D15026" s="2">
        <f>HYPERLINK("http://mcb-m6.bioreg.kyushu-u.ac.jp/M3/20110404/F50772/2458/1", 73.72)</f>
        <v>73.72</v>
      </c>
      <c r="E15026" s="2">
        <v>52.74</v>
      </c>
      <c r="F15026" s="2">
        <v>2</v>
      </c>
      <c r="G15026" s="2" t="s">
        <v>10</v>
      </c>
    </row>
    <row r="15027" spans="1:9" x14ac:dyDescent="0.2">
      <c r="A15027" s="2" t="s">
        <v>4626</v>
      </c>
      <c r="B15027" s="2" t="s">
        <v>7007</v>
      </c>
      <c r="C15027" s="2">
        <v>602.46810000000005</v>
      </c>
      <c r="D15027" s="2">
        <f>HYPERLINK("http://mcb-m6.bioreg.kyushu-u.ac.jp/M3/20110404/F50772/1358/1", 78.55)</f>
        <v>78.55</v>
      </c>
      <c r="E15027" s="2">
        <v>41.69</v>
      </c>
      <c r="F15027" s="2">
        <v>2</v>
      </c>
      <c r="G15027" s="2" t="s">
        <v>10</v>
      </c>
      <c r="I15027" s="2" t="s">
        <v>4892</v>
      </c>
    </row>
    <row r="15028" spans="1:9" x14ac:dyDescent="0.2">
      <c r="A15028" s="2" t="s">
        <v>4626</v>
      </c>
      <c r="B15028" s="2" t="s">
        <v>2767</v>
      </c>
      <c r="C15028" s="2">
        <v>815.46220000000005</v>
      </c>
      <c r="D15028" s="2">
        <f>HYPERLINK("http://mcb-m6.bioreg.kyushu-u.ac.jp/M3/20110404/F50772/2228/1", 84.46)</f>
        <v>84.46</v>
      </c>
      <c r="E15028" s="2">
        <v>60.96</v>
      </c>
      <c r="F15028" s="2">
        <v>2</v>
      </c>
      <c r="G15028" s="2" t="s">
        <v>10</v>
      </c>
    </row>
    <row r="15029" spans="1:9" x14ac:dyDescent="0.2">
      <c r="A15029" s="2" t="s">
        <v>4626</v>
      </c>
      <c r="B15029" s="2" t="s">
        <v>7029</v>
      </c>
      <c r="C15029" s="2">
        <v>814.93709999999999</v>
      </c>
      <c r="D15029" s="2">
        <f>HYPERLINK("http://mcb-m6.bioreg.kyushu-u.ac.jp/M3/20110404/F50772/2224/1", 84.58)</f>
        <v>84.58</v>
      </c>
      <c r="E15029" s="2">
        <v>67.19</v>
      </c>
      <c r="F15029" s="2">
        <v>2</v>
      </c>
      <c r="G15029" s="2" t="s">
        <v>10</v>
      </c>
      <c r="I15029" s="2" t="s">
        <v>4914</v>
      </c>
    </row>
    <row r="15030" spans="1:9" x14ac:dyDescent="0.2">
      <c r="A15030" s="2" t="s">
        <v>4626</v>
      </c>
      <c r="B15030" s="2" t="s">
        <v>7052</v>
      </c>
      <c r="C15030" s="2">
        <v>1023.4829999999999</v>
      </c>
      <c r="D15030" s="2">
        <f>HYPERLINK("http://mcb-m6.bioreg.kyushu-u.ac.jp/M3/20110404/F50773/2836/1", 108.34)</f>
        <v>108.34</v>
      </c>
      <c r="E15030" s="2">
        <v>98.51</v>
      </c>
      <c r="F15030" s="2">
        <v>2</v>
      </c>
      <c r="G15030" s="2" t="s">
        <v>10</v>
      </c>
    </row>
    <row r="15031" spans="1:9" x14ac:dyDescent="0.2">
      <c r="A15031" s="2" t="s">
        <v>4626</v>
      </c>
      <c r="B15031" s="2" t="s">
        <v>7052</v>
      </c>
      <c r="C15031" s="2">
        <v>1024.0350000000001</v>
      </c>
      <c r="D15031" s="2">
        <f>HYPERLINK("http://mcb-m6.bioreg.kyushu-u.ac.jp/M3/20110404/F50772/2940/1", 114)</f>
        <v>114</v>
      </c>
      <c r="E15031" s="2">
        <v>98.93</v>
      </c>
      <c r="F15031" s="2">
        <v>2</v>
      </c>
      <c r="G15031" s="2" t="s">
        <v>10</v>
      </c>
    </row>
    <row r="15032" spans="1:9" x14ac:dyDescent="0.2">
      <c r="A15032" s="2" t="s">
        <v>4626</v>
      </c>
      <c r="B15032" s="2" t="s">
        <v>5908</v>
      </c>
      <c r="C15032" s="2">
        <v>802.24659999999994</v>
      </c>
      <c r="D15032" s="2">
        <f>HYPERLINK("http://mcb-m6.bioreg.kyushu-u.ac.jp/M3/20110427/F51117/2302/1", 43.4)</f>
        <v>43.4</v>
      </c>
      <c r="E15032" s="2">
        <v>24.26</v>
      </c>
      <c r="F15032" s="2">
        <v>2</v>
      </c>
      <c r="G15032" s="2" t="s">
        <v>13</v>
      </c>
    </row>
    <row r="15033" spans="1:9" x14ac:dyDescent="0.2">
      <c r="A15033" s="2" t="s">
        <v>4626</v>
      </c>
      <c r="B15033" s="2" t="s">
        <v>7357</v>
      </c>
      <c r="C15033" s="2">
        <v>751.3202</v>
      </c>
      <c r="D15033" s="2">
        <f>HYPERLINK("http://mcb-m6.bioreg.kyushu-u.ac.jp/M3/20110427/F51117/2038/1", 46.04)</f>
        <v>46.04</v>
      </c>
      <c r="E15033" s="2">
        <v>35.47</v>
      </c>
      <c r="F15033" s="2">
        <v>2</v>
      </c>
      <c r="G15033" s="2" t="s">
        <v>13</v>
      </c>
    </row>
    <row r="15034" spans="1:9" x14ac:dyDescent="0.2">
      <c r="A15034" s="2" t="s">
        <v>4626</v>
      </c>
      <c r="B15034" s="2" t="s">
        <v>7052</v>
      </c>
      <c r="C15034" s="2">
        <v>1023.278</v>
      </c>
      <c r="D15034" s="2">
        <f>HYPERLINK("http://mcb-m6.bioreg.kyushu-u.ac.jp/M3/20110427/F51117/3046/1", 71.42)</f>
        <v>71.42</v>
      </c>
      <c r="E15034" s="2">
        <v>59.12</v>
      </c>
      <c r="F15034" s="2">
        <v>2</v>
      </c>
      <c r="G15034" s="2" t="s">
        <v>13</v>
      </c>
    </row>
    <row r="15035" spans="1:9" x14ac:dyDescent="0.2">
      <c r="A15035" s="2" t="s">
        <v>4626</v>
      </c>
      <c r="B15035" s="2" t="s">
        <v>7007</v>
      </c>
      <c r="C15035" s="2">
        <v>602.10820000000001</v>
      </c>
      <c r="D15035" s="2">
        <f>HYPERLINK("http://mcb-m6.bioreg.kyushu-u.ac.jp/M3/20110428/F51126/1560/1", 38.04)</f>
        <v>38.04</v>
      </c>
      <c r="E15035" s="2">
        <v>15.81</v>
      </c>
      <c r="F15035" s="2">
        <v>2</v>
      </c>
      <c r="G15035" s="2" t="s">
        <v>14</v>
      </c>
      <c r="I15035" s="2" t="s">
        <v>4892</v>
      </c>
    </row>
    <row r="15036" spans="1:9" x14ac:dyDescent="0.2">
      <c r="A15036" s="2" t="s">
        <v>4886</v>
      </c>
      <c r="B15036" s="2" t="s">
        <v>3221</v>
      </c>
      <c r="C15036" s="2">
        <v>837.79319999999996</v>
      </c>
      <c r="D15036" s="2">
        <f>HYPERLINK("http://mcb-m6.bioreg.kyushu-u.ac.jp/M3/20110404/F50767/2183/1", 50.06)</f>
        <v>50.06</v>
      </c>
      <c r="E15036" s="2">
        <v>41.55</v>
      </c>
      <c r="F15036" s="2">
        <v>2</v>
      </c>
      <c r="G15036" s="2" t="s">
        <v>9</v>
      </c>
      <c r="I15036" s="2" t="s">
        <v>4944</v>
      </c>
    </row>
    <row r="15037" spans="1:9" x14ac:dyDescent="0.2">
      <c r="A15037" s="2" t="s">
        <v>4886</v>
      </c>
      <c r="B15037" s="2" t="s">
        <v>3221</v>
      </c>
      <c r="C15037" s="2">
        <v>837.85569999999996</v>
      </c>
      <c r="D15037" s="2">
        <f>HYPERLINK("http://mcb-m6.bioreg.kyushu-u.ac.jp/M3/20110421/F51020/2450/1", 65.76)</f>
        <v>65.760000000000005</v>
      </c>
      <c r="E15037" s="2">
        <v>57.65</v>
      </c>
      <c r="F15037" s="2">
        <v>2</v>
      </c>
      <c r="G15037" s="2" t="s">
        <v>11</v>
      </c>
      <c r="I15037" s="2" t="s">
        <v>4944</v>
      </c>
    </row>
    <row r="15038" spans="1:9" x14ac:dyDescent="0.2">
      <c r="A15038" s="2" t="s">
        <v>7816</v>
      </c>
      <c r="B15038" s="2" t="s">
        <v>6752</v>
      </c>
      <c r="C15038" s="2">
        <v>972.45799999999997</v>
      </c>
      <c r="D15038" s="2">
        <f>HYPERLINK("http://mcb-m6.bioreg.kyushu-u.ac.jp/M3/20110404/F50775/1002/1", 40.32)</f>
        <v>40.32</v>
      </c>
      <c r="E15038" s="2">
        <v>10.31</v>
      </c>
      <c r="F15038" s="2">
        <v>1</v>
      </c>
      <c r="G15038" s="2" t="s">
        <v>10</v>
      </c>
    </row>
    <row r="15039" spans="1:9" x14ac:dyDescent="0.2">
      <c r="A15039" s="2" t="s">
        <v>4533</v>
      </c>
      <c r="B15039" s="2" t="s">
        <v>6687</v>
      </c>
      <c r="C15039" s="2">
        <v>886.86720000000003</v>
      </c>
      <c r="D15039" s="2">
        <f>HYPERLINK("http://mcb-m6.bioreg.kyushu-u.ac.jp/M3/20110404/F50772/2481/1", 35.88)</f>
        <v>35.880000000000003</v>
      </c>
      <c r="E15039" s="2">
        <v>16.87</v>
      </c>
      <c r="F15039" s="2">
        <v>2</v>
      </c>
      <c r="G15039" s="2" t="s">
        <v>10</v>
      </c>
      <c r="H15039" s="2" t="s">
        <v>4904</v>
      </c>
      <c r="I15039" s="2" t="s">
        <v>4918</v>
      </c>
    </row>
    <row r="15040" spans="1:9" x14ac:dyDescent="0.2">
      <c r="A15040" s="2" t="s">
        <v>4533</v>
      </c>
      <c r="B15040" s="2" t="s">
        <v>6689</v>
      </c>
      <c r="C15040" s="2">
        <v>1008.482</v>
      </c>
      <c r="D15040" s="2">
        <f>HYPERLINK("http://mcb-m6.bioreg.kyushu-u.ac.jp/M3/20110404/F50772/2900/1", 36.07)</f>
        <v>36.07</v>
      </c>
      <c r="E15040" s="2">
        <v>26.02</v>
      </c>
      <c r="F15040" s="2">
        <v>2</v>
      </c>
      <c r="G15040" s="2" t="s">
        <v>10</v>
      </c>
      <c r="I15040" s="2" t="s">
        <v>4895</v>
      </c>
    </row>
    <row r="15041" spans="1:9" x14ac:dyDescent="0.2">
      <c r="A15041" s="2" t="s">
        <v>4533</v>
      </c>
      <c r="B15041" s="2" t="s">
        <v>6694</v>
      </c>
      <c r="C15041" s="2">
        <v>594.86519999999996</v>
      </c>
      <c r="D15041" s="2">
        <f>HYPERLINK("http://mcb-m6.bioreg.kyushu-u.ac.jp/M3/20110404/F50772/1332/1", 36.42)</f>
        <v>36.42</v>
      </c>
      <c r="E15041" s="2">
        <v>24.24</v>
      </c>
      <c r="F15041" s="2">
        <v>2</v>
      </c>
      <c r="G15041" s="2" t="s">
        <v>10</v>
      </c>
    </row>
    <row r="15042" spans="1:9" x14ac:dyDescent="0.2">
      <c r="A15042" s="2" t="s">
        <v>4533</v>
      </c>
      <c r="B15042" s="2" t="s">
        <v>2559</v>
      </c>
      <c r="C15042" s="2">
        <v>649.86969999999997</v>
      </c>
      <c r="D15042" s="2">
        <f>HYPERLINK("http://mcb-m6.bioreg.kyushu-u.ac.jp/M3/20110404/F50772/1526/1", 40.46)</f>
        <v>40.46</v>
      </c>
      <c r="E15042" s="2">
        <v>17.98</v>
      </c>
      <c r="F15042" s="2">
        <v>2</v>
      </c>
      <c r="G15042" s="2" t="s">
        <v>10</v>
      </c>
    </row>
    <row r="15043" spans="1:9" x14ac:dyDescent="0.2">
      <c r="A15043" s="2" t="s">
        <v>4533</v>
      </c>
      <c r="B15043" s="2" t="s">
        <v>6785</v>
      </c>
      <c r="C15043" s="2">
        <v>989.98860000000002</v>
      </c>
      <c r="D15043" s="2">
        <f>HYPERLINK("http://mcb-m6.bioreg.kyushu-u.ac.jp/M3/20110404/F50772/2851/1", 42.46)</f>
        <v>42.46</v>
      </c>
      <c r="E15043" s="2">
        <v>34.51</v>
      </c>
      <c r="F15043" s="2">
        <v>2</v>
      </c>
      <c r="G15043" s="2" t="s">
        <v>10</v>
      </c>
    </row>
    <row r="15044" spans="1:9" x14ac:dyDescent="0.2">
      <c r="A15044" s="2" t="s">
        <v>4533</v>
      </c>
      <c r="B15044" s="2" t="s">
        <v>6844</v>
      </c>
      <c r="C15044" s="2">
        <v>783.49469999999997</v>
      </c>
      <c r="D15044" s="2">
        <f>HYPERLINK("http://mcb-m6.bioreg.kyushu-u.ac.jp/M3/20110404/F50772/2113/1", 49.28)</f>
        <v>49.28</v>
      </c>
      <c r="E15044" s="2">
        <v>23.78</v>
      </c>
      <c r="F15044" s="2">
        <v>2</v>
      </c>
      <c r="G15044" s="2" t="s">
        <v>10</v>
      </c>
      <c r="I15044" s="2" t="s">
        <v>4895</v>
      </c>
    </row>
    <row r="15045" spans="1:9" x14ac:dyDescent="0.2">
      <c r="A15045" s="2" t="s">
        <v>4533</v>
      </c>
      <c r="B15045" s="2" t="s">
        <v>6920</v>
      </c>
      <c r="C15045" s="2">
        <v>760.2432</v>
      </c>
      <c r="D15045" s="2">
        <f>HYPERLINK("http://mcb-m6.bioreg.kyushu-u.ac.jp/M3/20110404/F50772/2003/1", 59.7)</f>
        <v>59.7</v>
      </c>
      <c r="E15045" s="2">
        <v>47.59</v>
      </c>
      <c r="F15045" s="2">
        <v>2</v>
      </c>
      <c r="G15045" s="2" t="s">
        <v>10</v>
      </c>
    </row>
    <row r="15046" spans="1:9" x14ac:dyDescent="0.2">
      <c r="A15046" s="2" t="s">
        <v>4533</v>
      </c>
      <c r="B15046" s="2" t="s">
        <v>2726</v>
      </c>
      <c r="C15046" s="2">
        <v>793.3152</v>
      </c>
      <c r="D15046" s="2">
        <f>HYPERLINK("http://mcb-m6.bioreg.kyushu-u.ac.jp/M3/20110404/F50773/2050/1", 63.01)</f>
        <v>63.01</v>
      </c>
      <c r="E15046" s="2">
        <v>51.44</v>
      </c>
      <c r="F15046" s="2">
        <v>2</v>
      </c>
      <c r="G15046" s="2" t="s">
        <v>10</v>
      </c>
    </row>
    <row r="15047" spans="1:9" x14ac:dyDescent="0.2">
      <c r="A15047" s="2" t="s">
        <v>4533</v>
      </c>
      <c r="B15047" s="2" t="s">
        <v>2753</v>
      </c>
      <c r="C15047" s="2">
        <v>790.01509999999996</v>
      </c>
      <c r="D15047" s="2">
        <f>HYPERLINK("http://mcb-m6.bioreg.kyushu-u.ac.jp/M3/20110404/F50772/2145/1", 70.2)</f>
        <v>70.2</v>
      </c>
      <c r="E15047" s="2">
        <v>52.39</v>
      </c>
      <c r="F15047" s="2">
        <v>2</v>
      </c>
      <c r="G15047" s="2" t="s">
        <v>10</v>
      </c>
      <c r="I15047" s="2" t="s">
        <v>4895</v>
      </c>
    </row>
    <row r="15048" spans="1:9" x14ac:dyDescent="0.2">
      <c r="A15048" s="2" t="s">
        <v>4533</v>
      </c>
      <c r="B15048" s="2" t="s">
        <v>7002</v>
      </c>
      <c r="C15048" s="2">
        <v>787.58219999999994</v>
      </c>
      <c r="D15048" s="2">
        <f>HYPERLINK("http://mcb-m6.bioreg.kyushu-u.ac.jp/M3/20110404/F50772/2136/1", 76.99)</f>
        <v>76.989999999999995</v>
      </c>
      <c r="E15048" s="2">
        <v>62.05</v>
      </c>
      <c r="F15048" s="2">
        <v>2</v>
      </c>
      <c r="G15048" s="2" t="s">
        <v>10</v>
      </c>
    </row>
    <row r="15049" spans="1:9" x14ac:dyDescent="0.2">
      <c r="A15049" s="2" t="s">
        <v>4533</v>
      </c>
      <c r="B15049" s="2" t="s">
        <v>3172</v>
      </c>
      <c r="C15049" s="2">
        <v>791.91819999999996</v>
      </c>
      <c r="D15049" s="2">
        <f>HYPERLINK("http://mcb-m6.bioreg.kyushu-u.ac.jp/M3/20110404/F50772/2152/1", 79.97)</f>
        <v>79.97</v>
      </c>
      <c r="E15049" s="2">
        <v>58.61</v>
      </c>
      <c r="F15049" s="2">
        <v>2</v>
      </c>
      <c r="G15049" s="2" t="s">
        <v>10</v>
      </c>
    </row>
    <row r="15050" spans="1:9" x14ac:dyDescent="0.2">
      <c r="A15050" s="2" t="s">
        <v>4533</v>
      </c>
      <c r="B15050" s="2" t="s">
        <v>7020</v>
      </c>
      <c r="C15050" s="2">
        <v>753.96969999999999</v>
      </c>
      <c r="D15050" s="2">
        <f>HYPERLINK("http://mcb-m6.bioreg.kyushu-u.ac.jp/M3/20110404/F50772/1976/1", 80.89)</f>
        <v>80.89</v>
      </c>
      <c r="E15050" s="2">
        <v>60.27</v>
      </c>
      <c r="F15050" s="2">
        <v>2</v>
      </c>
      <c r="G15050" s="2" t="s">
        <v>10</v>
      </c>
    </row>
    <row r="15051" spans="1:9" x14ac:dyDescent="0.2">
      <c r="A15051" s="2" t="s">
        <v>4533</v>
      </c>
      <c r="B15051" s="2" t="s">
        <v>7026</v>
      </c>
      <c r="C15051" s="2">
        <v>1002.066</v>
      </c>
      <c r="D15051" s="2">
        <f>HYPERLINK("http://mcb-m6.bioreg.kyushu-u.ac.jp/M3/20110404/F50772/2887/1", 83.54)</f>
        <v>83.54</v>
      </c>
      <c r="E15051" s="2">
        <v>75.09</v>
      </c>
      <c r="F15051" s="2">
        <v>2</v>
      </c>
      <c r="G15051" s="2" t="s">
        <v>10</v>
      </c>
    </row>
    <row r="15052" spans="1:9" x14ac:dyDescent="0.2">
      <c r="A15052" s="2" t="s">
        <v>4533</v>
      </c>
      <c r="B15052" s="2" t="s">
        <v>7026</v>
      </c>
      <c r="C15052" s="2">
        <v>1002.068</v>
      </c>
      <c r="D15052" s="2">
        <f>HYPERLINK("http://mcb-m6.bioreg.kyushu-u.ac.jp/M3/20110404/F50773/2772/1", 84.39)</f>
        <v>84.39</v>
      </c>
      <c r="E15052" s="2">
        <v>76.23</v>
      </c>
      <c r="F15052" s="2">
        <v>2</v>
      </c>
      <c r="G15052" s="2" t="s">
        <v>10</v>
      </c>
    </row>
    <row r="15053" spans="1:9" x14ac:dyDescent="0.2">
      <c r="A15053" s="2" t="s">
        <v>4533</v>
      </c>
      <c r="B15053" s="2" t="s">
        <v>7032</v>
      </c>
      <c r="C15053" s="2">
        <v>752.95719999999994</v>
      </c>
      <c r="D15053" s="2">
        <f>HYPERLINK("http://mcb-m6.bioreg.kyushu-u.ac.jp/M3/20110404/F50772/1973/1", 87.06)</f>
        <v>87.06</v>
      </c>
      <c r="E15053" s="2">
        <v>59.8</v>
      </c>
      <c r="F15053" s="2">
        <v>2</v>
      </c>
      <c r="G15053" s="2" t="s">
        <v>10</v>
      </c>
    </row>
    <row r="15054" spans="1:9" x14ac:dyDescent="0.2">
      <c r="A15054" s="2" t="s">
        <v>4533</v>
      </c>
      <c r="B15054" s="2" t="s">
        <v>2726</v>
      </c>
      <c r="C15054" s="2">
        <v>792.90470000000005</v>
      </c>
      <c r="D15054" s="2">
        <f>HYPERLINK("http://mcb-m6.bioreg.kyushu-u.ac.jp/M3/20110404/F50772/2156/1", 101.3)</f>
        <v>101.3</v>
      </c>
      <c r="E15054" s="2">
        <v>88.2</v>
      </c>
      <c r="F15054" s="2">
        <v>2</v>
      </c>
      <c r="G15054" s="2" t="s">
        <v>10</v>
      </c>
    </row>
    <row r="15055" spans="1:9" x14ac:dyDescent="0.2">
      <c r="A15055" s="2" t="s">
        <v>4533</v>
      </c>
      <c r="B15055" s="2" t="s">
        <v>2726</v>
      </c>
      <c r="C15055" s="2">
        <v>793.22720000000004</v>
      </c>
      <c r="D15055" s="2">
        <f>HYPERLINK("http://mcb-m6.bioreg.kyushu-u.ac.jp/M3/20110427/F51117/2255/1", 88.29)</f>
        <v>88.29</v>
      </c>
      <c r="E15055" s="2">
        <v>74.47</v>
      </c>
      <c r="F15055" s="2">
        <v>2</v>
      </c>
      <c r="G15055" s="2" t="s">
        <v>13</v>
      </c>
    </row>
    <row r="15056" spans="1:9" x14ac:dyDescent="0.2">
      <c r="A15056" s="2" t="s">
        <v>4533</v>
      </c>
      <c r="B15056" s="2" t="s">
        <v>7486</v>
      </c>
      <c r="C15056" s="2">
        <v>595.54169999999999</v>
      </c>
      <c r="D15056" s="2">
        <f>HYPERLINK("http://mcb-m6.bioreg.kyushu-u.ac.jp/M3/20110427/F51125/1563/1", 44.78)</f>
        <v>44.78</v>
      </c>
      <c r="E15056" s="2">
        <v>18.34</v>
      </c>
      <c r="F15056" s="2">
        <v>2</v>
      </c>
      <c r="G15056" s="2" t="s">
        <v>14</v>
      </c>
      <c r="I15056" s="2" t="s">
        <v>4892</v>
      </c>
    </row>
    <row r="15057" spans="1:8" x14ac:dyDescent="0.2">
      <c r="A15057" s="2" t="s">
        <v>3896</v>
      </c>
      <c r="B15057" s="2" t="s">
        <v>1364</v>
      </c>
      <c r="C15057" s="2">
        <v>681.5557</v>
      </c>
      <c r="D15057" s="2">
        <f>HYPERLINK("http://mcb-m6.bioreg.kyushu-u.ac.jp/M3/20110404/F50762/1557/1", 61.57)</f>
        <v>61.57</v>
      </c>
      <c r="E15057" s="2">
        <v>32.119999999999997</v>
      </c>
      <c r="F15057" s="2">
        <v>2</v>
      </c>
      <c r="G15057" s="2" t="s">
        <v>9</v>
      </c>
    </row>
    <row r="15058" spans="1:8" x14ac:dyDescent="0.2">
      <c r="A15058" s="2" t="s">
        <v>3896</v>
      </c>
      <c r="B15058" s="2" t="s">
        <v>1042</v>
      </c>
      <c r="C15058" s="2">
        <v>661.23720000000003</v>
      </c>
      <c r="D15058" s="2">
        <f>HYPERLINK("http://mcb-m6.bioreg.kyushu-u.ac.jp/M3/20110404/F50756/1569/1", 83.35)</f>
        <v>83.35</v>
      </c>
      <c r="E15058" s="2">
        <v>63.97</v>
      </c>
      <c r="F15058" s="2">
        <v>2</v>
      </c>
      <c r="G15058" s="2" t="s">
        <v>9</v>
      </c>
    </row>
    <row r="15059" spans="1:8" x14ac:dyDescent="0.2">
      <c r="A15059" s="2" t="s">
        <v>3896</v>
      </c>
      <c r="B15059" s="2" t="s">
        <v>1042</v>
      </c>
      <c r="C15059" s="2">
        <v>661.21119999999996</v>
      </c>
      <c r="D15059" s="2">
        <f>HYPERLINK("http://mcb-m6.bioreg.kyushu-u.ac.jp/M3/20110404/F50761/1500/1", 53.75)</f>
        <v>53.75</v>
      </c>
      <c r="E15059" s="2">
        <v>43.48</v>
      </c>
      <c r="F15059" s="2">
        <v>2</v>
      </c>
      <c r="G15059" s="2" t="s">
        <v>10</v>
      </c>
    </row>
    <row r="15060" spans="1:8" x14ac:dyDescent="0.2">
      <c r="A15060" s="2" t="s">
        <v>3896</v>
      </c>
      <c r="B15060" s="2" t="s">
        <v>1042</v>
      </c>
      <c r="C15060" s="2">
        <v>661.47670000000005</v>
      </c>
      <c r="D15060" s="2">
        <f>HYPERLINK("http://mcb-m6.bioreg.kyushu-u.ac.jp/M3/20110421/F51034/1570/1", 43.27)</f>
        <v>43.27</v>
      </c>
      <c r="E15060" s="2">
        <v>32.81</v>
      </c>
      <c r="F15060" s="2">
        <v>2</v>
      </c>
      <c r="G15060" s="2" t="s">
        <v>11</v>
      </c>
    </row>
    <row r="15061" spans="1:8" x14ac:dyDescent="0.2">
      <c r="A15061" s="2" t="s">
        <v>3896</v>
      </c>
      <c r="B15061" s="2" t="s">
        <v>1364</v>
      </c>
      <c r="C15061" s="2">
        <v>681.23609999999996</v>
      </c>
      <c r="D15061" s="2">
        <f>HYPERLINK("http://mcb-m6.bioreg.kyushu-u.ac.jp/M3/20110427/F51114/1723/1", 77.8)</f>
        <v>77.8</v>
      </c>
      <c r="E15061" s="2">
        <v>55.22</v>
      </c>
      <c r="F15061" s="2">
        <v>2</v>
      </c>
      <c r="G15061" s="2" t="s">
        <v>13</v>
      </c>
    </row>
    <row r="15062" spans="1:8" x14ac:dyDescent="0.2">
      <c r="A15062" s="2" t="s">
        <v>4316</v>
      </c>
      <c r="B15062" s="2" t="s">
        <v>2083</v>
      </c>
      <c r="C15062" s="2">
        <v>762.31269999999995</v>
      </c>
      <c r="D15062" s="2">
        <f>HYPERLINK("http://mcb-m6.bioreg.kyushu-u.ac.jp/M3/20110404/F50756/2065/2", 35.06)</f>
        <v>35.06</v>
      </c>
      <c r="E15062" s="2">
        <v>24.88</v>
      </c>
      <c r="F15062" s="2">
        <v>2</v>
      </c>
      <c r="G15062" s="2" t="s">
        <v>9</v>
      </c>
    </row>
    <row r="15063" spans="1:8" x14ac:dyDescent="0.2">
      <c r="A15063" s="2" t="s">
        <v>4316</v>
      </c>
      <c r="B15063" s="2" t="s">
        <v>2083</v>
      </c>
      <c r="C15063" s="2">
        <v>762.83420000000001</v>
      </c>
      <c r="D15063" s="2">
        <f>HYPERLINK("http://mcb-m6.bioreg.kyushu-u.ac.jp/M3/20110404/F50755/2075/2", 61.59)</f>
        <v>61.59</v>
      </c>
      <c r="E15063" s="2">
        <v>34.869999999999997</v>
      </c>
      <c r="F15063" s="2">
        <v>2</v>
      </c>
      <c r="G15063" s="2" t="s">
        <v>9</v>
      </c>
    </row>
    <row r="15064" spans="1:8" x14ac:dyDescent="0.2">
      <c r="A15064" s="2" t="s">
        <v>4316</v>
      </c>
      <c r="B15064" s="2" t="s">
        <v>2083</v>
      </c>
      <c r="C15064" s="2">
        <v>762.38819999999998</v>
      </c>
      <c r="D15064" s="2">
        <f>HYPERLINK("http://mcb-m6.bioreg.kyushu-u.ac.jp/M3/20110404/F50765/1940/2", 89.39)</f>
        <v>89.39</v>
      </c>
      <c r="E15064" s="2">
        <v>73.400000000000006</v>
      </c>
      <c r="F15064" s="2">
        <v>2</v>
      </c>
      <c r="G15064" s="2" t="s">
        <v>9</v>
      </c>
    </row>
    <row r="15065" spans="1:8" x14ac:dyDescent="0.2">
      <c r="A15065" s="2" t="s">
        <v>4316</v>
      </c>
      <c r="B15065" s="2" t="s">
        <v>2083</v>
      </c>
      <c r="C15065" s="2">
        <v>762.5847</v>
      </c>
      <c r="D15065" s="2">
        <f>HYPERLINK("http://mcb-m6.bioreg.kyushu-u.ac.jp/M3/20110404/F50773/1920/2", 62.91)</f>
        <v>62.91</v>
      </c>
      <c r="E15065" s="2">
        <v>33.76</v>
      </c>
      <c r="F15065" s="2">
        <v>2</v>
      </c>
      <c r="G15065" s="2" t="s">
        <v>10</v>
      </c>
    </row>
    <row r="15066" spans="1:8" x14ac:dyDescent="0.2">
      <c r="A15066" s="2" t="s">
        <v>4316</v>
      </c>
      <c r="B15066" s="2" t="s">
        <v>2083</v>
      </c>
      <c r="C15066" s="2">
        <v>762.86469999999997</v>
      </c>
      <c r="D15066" s="2">
        <f>HYPERLINK("http://mcb-m6.bioreg.kyushu-u.ac.jp/M3/20110421/F51039/2202/2", 44.11)</f>
        <v>44.11</v>
      </c>
      <c r="E15066" s="2">
        <v>25.66</v>
      </c>
      <c r="F15066" s="2">
        <v>2</v>
      </c>
      <c r="G15066" s="2" t="s">
        <v>11</v>
      </c>
    </row>
    <row r="15067" spans="1:8" x14ac:dyDescent="0.2">
      <c r="A15067" s="2" t="s">
        <v>4316</v>
      </c>
      <c r="B15067" s="2" t="s">
        <v>2083</v>
      </c>
      <c r="C15067" s="2">
        <v>762.32259999999997</v>
      </c>
      <c r="D15067" s="2">
        <f>HYPERLINK("http://mcb-m6.bioreg.kyushu-u.ac.jp/M3/20110421/F51042/2033/2", 61.07)</f>
        <v>61.07</v>
      </c>
      <c r="E15067" s="2">
        <v>50.44</v>
      </c>
      <c r="F15067" s="2">
        <v>2</v>
      </c>
      <c r="G15067" s="2" t="s">
        <v>11</v>
      </c>
    </row>
    <row r="15068" spans="1:8" x14ac:dyDescent="0.2">
      <c r="A15068" s="2" t="s">
        <v>4316</v>
      </c>
      <c r="B15068" s="2" t="s">
        <v>2083</v>
      </c>
      <c r="C15068" s="2">
        <v>762.47220000000004</v>
      </c>
      <c r="D15068" s="2">
        <f>HYPERLINK("http://mcb-m6.bioreg.kyushu-u.ac.jp/M3/20110421/F51048/2331/2", 58.92)</f>
        <v>58.92</v>
      </c>
      <c r="E15068" s="2">
        <v>34.130000000000003</v>
      </c>
      <c r="F15068" s="2">
        <v>2</v>
      </c>
      <c r="G15068" s="2" t="s">
        <v>12</v>
      </c>
    </row>
    <row r="15069" spans="1:8" x14ac:dyDescent="0.2">
      <c r="A15069" s="2" t="s">
        <v>4316</v>
      </c>
      <c r="B15069" s="2" t="s">
        <v>2083</v>
      </c>
      <c r="C15069" s="2">
        <v>762.31410000000005</v>
      </c>
      <c r="D15069" s="2">
        <f>HYPERLINK("http://mcb-m6.bioreg.kyushu-u.ac.jp/M3/20110427/F51117/2092/2", 68.7)</f>
        <v>68.7</v>
      </c>
      <c r="E15069" s="2">
        <v>55.27</v>
      </c>
      <c r="F15069" s="2">
        <v>2</v>
      </c>
      <c r="G15069" s="2" t="s">
        <v>13</v>
      </c>
    </row>
    <row r="15070" spans="1:8" x14ac:dyDescent="0.2">
      <c r="A15070" s="2" t="s">
        <v>4316</v>
      </c>
      <c r="B15070" s="2" t="s">
        <v>2083</v>
      </c>
      <c r="C15070" s="2">
        <v>762.32510000000002</v>
      </c>
      <c r="D15070" s="2">
        <f>HYPERLINK("http://mcb-m6.bioreg.kyushu-u.ac.jp/M3/20110427/F51115/2072/2", 68.92)</f>
        <v>68.92</v>
      </c>
      <c r="E15070" s="2">
        <v>48.27</v>
      </c>
      <c r="F15070" s="2">
        <v>2</v>
      </c>
      <c r="G15070" s="2" t="s">
        <v>13</v>
      </c>
    </row>
    <row r="15071" spans="1:8" x14ac:dyDescent="0.2">
      <c r="A15071" s="2" t="s">
        <v>4316</v>
      </c>
      <c r="B15071" s="2" t="s">
        <v>2083</v>
      </c>
      <c r="C15071" s="2">
        <v>762.18409999999994</v>
      </c>
      <c r="D15071" s="2">
        <f>HYPERLINK("http://mcb-m6.bioreg.kyushu-u.ac.jp/M3/20110427/F51116/2158/2", 70.77)</f>
        <v>70.77</v>
      </c>
      <c r="E15071" s="2">
        <v>49.6</v>
      </c>
      <c r="F15071" s="2">
        <v>2</v>
      </c>
      <c r="G15071" s="2" t="s">
        <v>13</v>
      </c>
    </row>
    <row r="15072" spans="1:8" x14ac:dyDescent="0.2">
      <c r="A15072" s="2" t="s">
        <v>7844</v>
      </c>
      <c r="B15072" s="2" t="s">
        <v>6818</v>
      </c>
      <c r="C15072" s="2">
        <v>475.63459999999998</v>
      </c>
      <c r="D15072" s="2">
        <f>HYPERLINK("http://mcb-m6.bioreg.kyushu-u.ac.jp/M3/20110404/F50758/1159/1", 45.83)</f>
        <v>45.83</v>
      </c>
      <c r="E15072" s="2">
        <v>3.25</v>
      </c>
      <c r="F15072" s="2">
        <v>2</v>
      </c>
      <c r="G15072" s="2" t="s">
        <v>10</v>
      </c>
      <c r="H15072" s="2" t="s">
        <v>4908</v>
      </c>
    </row>
    <row r="15073" spans="1:9" x14ac:dyDescent="0.2">
      <c r="A15073" s="2" t="s">
        <v>4074</v>
      </c>
      <c r="B15073" s="2" t="s">
        <v>1467</v>
      </c>
      <c r="C15073" s="2">
        <v>843.18119999999999</v>
      </c>
      <c r="D15073" s="2">
        <f>HYPERLINK("http://mcb-m6.bioreg.kyushu-u.ac.jp/M3/20110427/F51108/2418/1", 60.51)</f>
        <v>60.51</v>
      </c>
      <c r="E15073" s="2">
        <v>51.31</v>
      </c>
      <c r="F15073" s="2">
        <v>2</v>
      </c>
      <c r="G15073" s="2" t="s">
        <v>13</v>
      </c>
    </row>
    <row r="15074" spans="1:9" x14ac:dyDescent="0.2">
      <c r="A15074" s="2" t="s">
        <v>8075</v>
      </c>
      <c r="B15074" s="2" t="s">
        <v>7391</v>
      </c>
      <c r="C15074" s="2">
        <v>624.13959999999997</v>
      </c>
      <c r="D15074" s="2">
        <f>HYPERLINK("http://mcb-m6.bioreg.kyushu-u.ac.jp/M3/20110427/F51109/1779/1", 55)</f>
        <v>55</v>
      </c>
      <c r="E15074" s="2">
        <v>27.82</v>
      </c>
      <c r="F15074" s="2">
        <v>2</v>
      </c>
      <c r="G15074" s="2" t="s">
        <v>13</v>
      </c>
    </row>
    <row r="15075" spans="1:9" x14ac:dyDescent="0.2">
      <c r="A15075" s="2" t="s">
        <v>7647</v>
      </c>
      <c r="B15075" s="2" t="s">
        <v>6212</v>
      </c>
      <c r="C15075" s="2">
        <v>926.43619999999999</v>
      </c>
      <c r="D15075" s="2">
        <f>HYPERLINK("http://mcb-m6.bioreg.kyushu-u.ac.jp/M3/20110404/F50778/2716/1", 46.92)</f>
        <v>46.92</v>
      </c>
      <c r="E15075" s="2">
        <v>37.61</v>
      </c>
      <c r="F15075" s="2">
        <v>2</v>
      </c>
      <c r="G15075" s="2" t="s">
        <v>9</v>
      </c>
    </row>
    <row r="15076" spans="1:9" x14ac:dyDescent="0.2">
      <c r="A15076" s="2" t="s">
        <v>7762</v>
      </c>
      <c r="B15076" s="2" t="s">
        <v>6582</v>
      </c>
      <c r="C15076" s="2">
        <v>920.75819999999999</v>
      </c>
      <c r="D15076" s="2">
        <f>HYPERLINK("http://mcb-m6.bioreg.kyushu-u.ac.jp/M3/20110404/F50766/2574/1", 85.3)</f>
        <v>85.3</v>
      </c>
      <c r="E15076" s="2">
        <v>70.97</v>
      </c>
      <c r="F15076" s="2">
        <v>2</v>
      </c>
      <c r="G15076" s="2" t="s">
        <v>9</v>
      </c>
    </row>
    <row r="15077" spans="1:9" x14ac:dyDescent="0.2">
      <c r="A15077" s="2" t="s">
        <v>7762</v>
      </c>
      <c r="B15077" s="2" t="s">
        <v>6582</v>
      </c>
      <c r="C15077" s="2">
        <v>920.23910000000001</v>
      </c>
      <c r="D15077" s="2">
        <f>HYPERLINK("http://mcb-m6.bioreg.kyushu-u.ac.jp/M3/20110404/F50766/2568/1", 117.5)</f>
        <v>117.5</v>
      </c>
      <c r="E15077" s="2">
        <v>99.89</v>
      </c>
      <c r="F15077" s="2">
        <v>2</v>
      </c>
      <c r="G15077" s="2" t="s">
        <v>9</v>
      </c>
    </row>
    <row r="15078" spans="1:9" x14ac:dyDescent="0.2">
      <c r="A15078" s="2" t="s">
        <v>5833</v>
      </c>
      <c r="B15078" s="2" t="s">
        <v>5952</v>
      </c>
      <c r="C15078" s="2">
        <v>700.27869999999996</v>
      </c>
      <c r="D15078" s="2">
        <f>HYPERLINK("http://mcb-m6.bioreg.kyushu-u.ac.jp/M3/20110404/F50766/1287/2", 36.79)</f>
        <v>36.79</v>
      </c>
      <c r="E15078" s="2">
        <v>16.079999999999998</v>
      </c>
      <c r="F15078" s="2">
        <v>2</v>
      </c>
      <c r="G15078" s="2" t="s">
        <v>9</v>
      </c>
    </row>
    <row r="15079" spans="1:9" x14ac:dyDescent="0.2">
      <c r="A15079" s="2" t="s">
        <v>5833</v>
      </c>
      <c r="B15079" s="2" t="s">
        <v>5952</v>
      </c>
      <c r="C15079" s="2">
        <v>467.51819999999998</v>
      </c>
      <c r="D15079" s="2">
        <f>HYPERLINK("http://mcb-m6.bioreg.kyushu-u.ac.jp/M3/20110404/F50766/1294/2", 44.9)</f>
        <v>44.9</v>
      </c>
      <c r="E15079" s="2">
        <v>20.27</v>
      </c>
      <c r="F15079" s="2">
        <v>3</v>
      </c>
      <c r="G15079" s="2" t="s">
        <v>9</v>
      </c>
    </row>
    <row r="15080" spans="1:9" x14ac:dyDescent="0.2">
      <c r="A15080" s="2" t="s">
        <v>5833</v>
      </c>
      <c r="B15080" s="2" t="s">
        <v>5517</v>
      </c>
      <c r="C15080" s="2">
        <v>622.23360000000002</v>
      </c>
      <c r="D15080" s="2">
        <f>HYPERLINK("http://mcb-m6.bioreg.kyushu-u.ac.jp/M3/20110404/F50766/964/2", 87.06)</f>
        <v>87.06</v>
      </c>
      <c r="E15080" s="2">
        <v>61.17</v>
      </c>
      <c r="F15080" s="2">
        <v>2</v>
      </c>
      <c r="G15080" s="2" t="s">
        <v>9</v>
      </c>
    </row>
    <row r="15081" spans="1:9" x14ac:dyDescent="0.2">
      <c r="A15081" s="2" t="s">
        <v>4628</v>
      </c>
      <c r="B15081" s="2" t="s">
        <v>2777</v>
      </c>
      <c r="C15081" s="2">
        <v>854.21259999999995</v>
      </c>
      <c r="D15081" s="2">
        <f>HYPERLINK("http://mcb-m6.bioreg.kyushu-u.ac.jp/M3/20110421/F51019/2511/1", 37.56)</f>
        <v>37.56</v>
      </c>
      <c r="E15081" s="2">
        <v>26.7</v>
      </c>
      <c r="F15081" s="2">
        <v>2</v>
      </c>
      <c r="G15081" s="2" t="s">
        <v>11</v>
      </c>
    </row>
    <row r="15082" spans="1:9" x14ac:dyDescent="0.2">
      <c r="A15082" s="2" t="s">
        <v>4628</v>
      </c>
      <c r="B15082" s="2" t="s">
        <v>2777</v>
      </c>
      <c r="C15082" s="2">
        <v>853.78060000000005</v>
      </c>
      <c r="D15082" s="2">
        <f>HYPERLINK("http://mcb-m6.bioreg.kyushu-u.ac.jp/M3/20110421/F51020/2519/1", 98.1)</f>
        <v>98.1</v>
      </c>
      <c r="E15082" s="2">
        <v>81.95</v>
      </c>
      <c r="F15082" s="2">
        <v>2</v>
      </c>
      <c r="G15082" s="2" t="s">
        <v>11</v>
      </c>
    </row>
    <row r="15083" spans="1:9" x14ac:dyDescent="0.2">
      <c r="A15083" s="2" t="s">
        <v>4628</v>
      </c>
      <c r="B15083" s="2" t="s">
        <v>2777</v>
      </c>
      <c r="C15083" s="2">
        <v>853.61019999999996</v>
      </c>
      <c r="D15083" s="2">
        <f>HYPERLINK("http://mcb-m6.bioreg.kyushu-u.ac.jp/M3/20110427/F51117/2529/1", 39.25)</f>
        <v>39.25</v>
      </c>
      <c r="E15083" s="2">
        <v>25.08</v>
      </c>
      <c r="F15083" s="2">
        <v>2</v>
      </c>
      <c r="G15083" s="2" t="s">
        <v>13</v>
      </c>
    </row>
    <row r="15084" spans="1:9" x14ac:dyDescent="0.2">
      <c r="A15084" s="2" t="s">
        <v>4628</v>
      </c>
      <c r="B15084" s="2" t="s">
        <v>7343</v>
      </c>
      <c r="C15084" s="2">
        <v>554.3057</v>
      </c>
      <c r="D15084" s="2">
        <f>HYPERLINK("http://mcb-m6.bioreg.kyushu-u.ac.jp/M3/20110427/F51116/1254/1", 44.04)</f>
        <v>44.04</v>
      </c>
      <c r="E15084" s="2">
        <v>18.86</v>
      </c>
      <c r="F15084" s="2">
        <v>2</v>
      </c>
      <c r="G15084" s="2" t="s">
        <v>13</v>
      </c>
      <c r="I15084" s="2" t="s">
        <v>4898</v>
      </c>
    </row>
    <row r="15085" spans="1:9" x14ac:dyDescent="0.2">
      <c r="A15085" s="2" t="s">
        <v>4628</v>
      </c>
      <c r="B15085" s="2" t="s">
        <v>2777</v>
      </c>
      <c r="C15085" s="2">
        <v>853.49869999999999</v>
      </c>
      <c r="D15085" s="2">
        <f>HYPERLINK("http://mcb-m6.bioreg.kyushu-u.ac.jp/M3/20110427/F51125/2563/1", 38.25)</f>
        <v>38.25</v>
      </c>
      <c r="E15085" s="2">
        <v>26.4</v>
      </c>
      <c r="F15085" s="2">
        <v>2</v>
      </c>
      <c r="G15085" s="2" t="s">
        <v>14</v>
      </c>
    </row>
    <row r="15086" spans="1:9" x14ac:dyDescent="0.2">
      <c r="A15086" s="2" t="s">
        <v>4434</v>
      </c>
      <c r="B15086" s="2" t="s">
        <v>2314</v>
      </c>
      <c r="C15086" s="2">
        <v>481.16160000000002</v>
      </c>
      <c r="D15086" s="2">
        <f>HYPERLINK("http://mcb-m6.bioreg.kyushu-u.ac.jp/M3/20110404/F50777/925/1", 42.38)</f>
        <v>42.38</v>
      </c>
      <c r="E15086" s="2">
        <v>15.41</v>
      </c>
      <c r="F15086" s="2">
        <v>2</v>
      </c>
      <c r="G15086" s="2" t="s">
        <v>9</v>
      </c>
      <c r="H15086" s="2" t="s">
        <v>4917</v>
      </c>
    </row>
    <row r="15087" spans="1:9" x14ac:dyDescent="0.2">
      <c r="A15087" s="2" t="s">
        <v>8113</v>
      </c>
      <c r="B15087" s="2" t="s">
        <v>7470</v>
      </c>
      <c r="C15087" s="2">
        <v>971.70119999999997</v>
      </c>
      <c r="D15087" s="2">
        <f>HYPERLINK("http://mcb-m6.bioreg.kyushu-u.ac.jp/M3/20110427/F51125/3430/1", 38.27)</f>
        <v>38.270000000000003</v>
      </c>
      <c r="E15087" s="2">
        <v>29.48</v>
      </c>
      <c r="F15087" s="2">
        <v>3</v>
      </c>
      <c r="G15087" s="2" t="s">
        <v>14</v>
      </c>
    </row>
    <row r="15088" spans="1:9" x14ac:dyDescent="0.2">
      <c r="A15088" s="2" t="s">
        <v>8120</v>
      </c>
      <c r="B15088" s="2" t="s">
        <v>7483</v>
      </c>
      <c r="C15088" s="2">
        <v>946.66359999999997</v>
      </c>
      <c r="D15088" s="2">
        <f>HYPERLINK("http://mcb-m6.bioreg.kyushu-u.ac.jp/M3/20110427/F51124/2841/1", 42.64)</f>
        <v>42.64</v>
      </c>
      <c r="E15088" s="2">
        <v>29.77</v>
      </c>
      <c r="F15088" s="2">
        <v>2</v>
      </c>
      <c r="G15088" s="2" t="s">
        <v>14</v>
      </c>
    </row>
    <row r="15089" spans="1:9" x14ac:dyDescent="0.2">
      <c r="A15089" s="2" t="s">
        <v>8083</v>
      </c>
      <c r="B15089" s="2" t="s">
        <v>7407</v>
      </c>
      <c r="C15089" s="2">
        <v>588.18709999999999</v>
      </c>
      <c r="D15089" s="2">
        <f>HYPERLINK("http://mcb-m6.bioreg.kyushu-u.ac.jp/M3/20110427/F51108/1518/2", 61.58)</f>
        <v>61.58</v>
      </c>
      <c r="E15089" s="2">
        <v>2.58</v>
      </c>
      <c r="F15089" s="2">
        <v>2</v>
      </c>
      <c r="G15089" s="2" t="s">
        <v>13</v>
      </c>
    </row>
    <row r="15090" spans="1:9" x14ac:dyDescent="0.2">
      <c r="A15090" s="2" t="s">
        <v>3646</v>
      </c>
      <c r="B15090" s="2" t="s">
        <v>572</v>
      </c>
      <c r="C15090" s="2">
        <v>452.87810000000002</v>
      </c>
      <c r="D15090" s="2">
        <f>HYPERLINK("http://mcb-m6.bioreg.kyushu-u.ac.jp/M3/20110421/F51017/682/1", 61.37)</f>
        <v>61.37</v>
      </c>
      <c r="E15090" s="2">
        <v>33.270000000000003</v>
      </c>
      <c r="F15090" s="2">
        <v>2</v>
      </c>
      <c r="G15090" s="2" t="s">
        <v>11</v>
      </c>
    </row>
    <row r="15091" spans="1:9" x14ac:dyDescent="0.2">
      <c r="A15091" s="2" t="s">
        <v>3646</v>
      </c>
      <c r="B15091" s="2" t="s">
        <v>572</v>
      </c>
      <c r="C15091" s="2">
        <v>903.33799999999997</v>
      </c>
      <c r="D15091" s="2">
        <f>HYPERLINK("http://mcb-m6.bioreg.kyushu-u.ac.jp/M3/20110427/F51111/852/1", 39.93)</f>
        <v>39.93</v>
      </c>
      <c r="E15091" s="2">
        <v>11.16</v>
      </c>
      <c r="F15091" s="2">
        <v>1</v>
      </c>
      <c r="G15091" s="2" t="s">
        <v>13</v>
      </c>
    </row>
    <row r="15092" spans="1:9" x14ac:dyDescent="0.2">
      <c r="A15092" s="2" t="s">
        <v>3646</v>
      </c>
      <c r="B15092" s="2" t="s">
        <v>572</v>
      </c>
      <c r="C15092" s="2">
        <v>452.17410000000001</v>
      </c>
      <c r="D15092" s="2">
        <f>HYPERLINK("http://mcb-m6.bioreg.kyushu-u.ac.jp/M3/20110427/F51111/853/1", 58.81)</f>
        <v>58.81</v>
      </c>
      <c r="E15092" s="2">
        <v>26.84</v>
      </c>
      <c r="F15092" s="2">
        <v>2</v>
      </c>
      <c r="G15092" s="2" t="s">
        <v>13</v>
      </c>
    </row>
    <row r="15093" spans="1:9" x14ac:dyDescent="0.2">
      <c r="A15093" s="2" t="s">
        <v>7884</v>
      </c>
      <c r="B15093" s="2" t="s">
        <v>6940</v>
      </c>
      <c r="C15093" s="2">
        <v>843.68370000000004</v>
      </c>
      <c r="D15093" s="2">
        <f>HYPERLINK("http://mcb-m6.bioreg.kyushu-u.ac.jp/M3/20110404/F50772/2325/1", 62.78)</f>
        <v>62.78</v>
      </c>
      <c r="E15093" s="2">
        <v>53.79</v>
      </c>
      <c r="F15093" s="2">
        <v>2</v>
      </c>
      <c r="G15093" s="2" t="s">
        <v>10</v>
      </c>
    </row>
    <row r="15094" spans="1:9" x14ac:dyDescent="0.2">
      <c r="A15094" s="2" t="s">
        <v>4020</v>
      </c>
      <c r="B15094" s="2" t="s">
        <v>3089</v>
      </c>
      <c r="C15094" s="2">
        <v>736.91819999999996</v>
      </c>
      <c r="D15094" s="2">
        <f>HYPERLINK("http://mcb-m6.bioreg.kyushu-u.ac.jp/M3/20110404/F50767/1711/1", 35.25)</f>
        <v>35.25</v>
      </c>
      <c r="E15094" s="2">
        <v>20.79</v>
      </c>
      <c r="F15094" s="2">
        <v>2</v>
      </c>
      <c r="G15094" s="2" t="s">
        <v>9</v>
      </c>
    </row>
    <row r="15095" spans="1:9" x14ac:dyDescent="0.2">
      <c r="A15095" s="2" t="s">
        <v>4020</v>
      </c>
      <c r="B15095" s="2" t="s">
        <v>6325</v>
      </c>
      <c r="C15095" s="2">
        <v>687.08609999999999</v>
      </c>
      <c r="D15095" s="2">
        <f>HYPERLINK("http://mcb-m6.bioreg.kyushu-u.ac.jp/M3/20110404/F50766/3139/1", 53.21)</f>
        <v>53.21</v>
      </c>
      <c r="E15095" s="2">
        <v>34.72</v>
      </c>
      <c r="F15095" s="2">
        <v>3</v>
      </c>
      <c r="G15095" s="2" t="s">
        <v>9</v>
      </c>
    </row>
    <row r="15096" spans="1:9" x14ac:dyDescent="0.2">
      <c r="A15096" s="2" t="s">
        <v>4020</v>
      </c>
      <c r="B15096" s="2" t="s">
        <v>6703</v>
      </c>
      <c r="C15096" s="2">
        <v>726.36609999999996</v>
      </c>
      <c r="D15096" s="2">
        <f>HYPERLINK("http://mcb-m6.bioreg.kyushu-u.ac.jp/M3/20110404/F50772/3085/1", 36.92)</f>
        <v>36.92</v>
      </c>
      <c r="E15096" s="2">
        <v>23.21</v>
      </c>
      <c r="F15096" s="2">
        <v>3</v>
      </c>
      <c r="G15096" s="2" t="s">
        <v>10</v>
      </c>
    </row>
    <row r="15097" spans="1:9" x14ac:dyDescent="0.2">
      <c r="A15097" s="2" t="s">
        <v>4020</v>
      </c>
      <c r="B15097" s="2" t="s">
        <v>2752</v>
      </c>
      <c r="C15097" s="2">
        <v>754.42319999999995</v>
      </c>
      <c r="D15097" s="2">
        <f>HYPERLINK("http://mcb-m6.bioreg.kyushu-u.ac.jp/M3/20110404/F50772/1982/1", 60.29)</f>
        <v>60.29</v>
      </c>
      <c r="E15097" s="2">
        <v>40.159999999999997</v>
      </c>
      <c r="F15097" s="2">
        <v>2</v>
      </c>
      <c r="G15097" s="2" t="s">
        <v>10</v>
      </c>
      <c r="I15097" s="2" t="s">
        <v>4893</v>
      </c>
    </row>
    <row r="15098" spans="1:9" x14ac:dyDescent="0.2">
      <c r="A15098" s="2" t="s">
        <v>4020</v>
      </c>
      <c r="B15098" s="2" t="s">
        <v>6933</v>
      </c>
      <c r="C15098" s="2">
        <v>1183.5730000000001</v>
      </c>
      <c r="D15098" s="2">
        <f>HYPERLINK("http://mcb-m6.bioreg.kyushu-u.ac.jp/M3/20110404/F50772/3278/1", 61.83)</f>
        <v>61.83</v>
      </c>
      <c r="E15098" s="2">
        <v>51.26</v>
      </c>
      <c r="F15098" s="2">
        <v>2</v>
      </c>
      <c r="G15098" s="2" t="s">
        <v>10</v>
      </c>
    </row>
    <row r="15099" spans="1:9" x14ac:dyDescent="0.2">
      <c r="A15099" s="2" t="s">
        <v>4020</v>
      </c>
      <c r="B15099" s="2" t="s">
        <v>6937</v>
      </c>
      <c r="C15099" s="2">
        <v>663.0942</v>
      </c>
      <c r="D15099" s="2">
        <f>HYPERLINK("http://mcb-m6.bioreg.kyushu-u.ac.jp/M3/20110404/F50772/1561/1", 62.22)</f>
        <v>62.22</v>
      </c>
      <c r="E15099" s="2">
        <v>34.590000000000003</v>
      </c>
      <c r="F15099" s="2">
        <v>2</v>
      </c>
      <c r="G15099" s="2" t="s">
        <v>10</v>
      </c>
    </row>
    <row r="15100" spans="1:9" x14ac:dyDescent="0.2">
      <c r="A15100" s="2" t="s">
        <v>4020</v>
      </c>
      <c r="B15100" s="2" t="s">
        <v>2721</v>
      </c>
      <c r="C15100" s="2">
        <v>806.81569999999999</v>
      </c>
      <c r="D15100" s="2">
        <f>HYPERLINK("http://mcb-m6.bioreg.kyushu-u.ac.jp/M3/20110404/F50772/2202/1", 64.29)</f>
        <v>64.290000000000006</v>
      </c>
      <c r="E15100" s="2">
        <v>40.54</v>
      </c>
      <c r="F15100" s="2">
        <v>2</v>
      </c>
      <c r="G15100" s="2" t="s">
        <v>10</v>
      </c>
    </row>
    <row r="15101" spans="1:9" x14ac:dyDescent="0.2">
      <c r="A15101" s="2" t="s">
        <v>4020</v>
      </c>
      <c r="B15101" s="2" t="s">
        <v>6961</v>
      </c>
      <c r="C15101" s="2">
        <v>815.90009999999995</v>
      </c>
      <c r="D15101" s="2">
        <f>HYPERLINK("http://mcb-m6.bioreg.kyushu-u.ac.jp/M3/20110404/F50772/2230/1", 66.48)</f>
        <v>66.48</v>
      </c>
      <c r="E15101" s="2">
        <v>49.62</v>
      </c>
      <c r="F15101" s="2">
        <v>2</v>
      </c>
      <c r="G15101" s="2" t="s">
        <v>10</v>
      </c>
    </row>
    <row r="15102" spans="1:9" x14ac:dyDescent="0.2">
      <c r="A15102" s="2" t="s">
        <v>4020</v>
      </c>
      <c r="B15102" s="2" t="s">
        <v>2731</v>
      </c>
      <c r="C15102" s="2">
        <v>832.53859999999997</v>
      </c>
      <c r="D15102" s="2">
        <f>HYPERLINK("http://mcb-m6.bioreg.kyushu-u.ac.jp/M3/20110404/F50772/2288/1", 70.61)</f>
        <v>70.61</v>
      </c>
      <c r="E15102" s="2">
        <v>50.69</v>
      </c>
      <c r="F15102" s="2">
        <v>2</v>
      </c>
      <c r="G15102" s="2" t="s">
        <v>10</v>
      </c>
    </row>
    <row r="15103" spans="1:9" x14ac:dyDescent="0.2">
      <c r="A15103" s="2" t="s">
        <v>4020</v>
      </c>
      <c r="B15103" s="2" t="s">
        <v>2729</v>
      </c>
      <c r="C15103" s="2">
        <v>495.8186</v>
      </c>
      <c r="D15103" s="2">
        <f>HYPERLINK("http://mcb-m6.bioreg.kyushu-u.ac.jp/M3/20110404/F50772/1003/1", 80.72)</f>
        <v>80.72</v>
      </c>
      <c r="E15103" s="2">
        <v>39.44</v>
      </c>
      <c r="F15103" s="2">
        <v>2</v>
      </c>
      <c r="G15103" s="2" t="s">
        <v>10</v>
      </c>
    </row>
    <row r="15104" spans="1:9" x14ac:dyDescent="0.2">
      <c r="A15104" s="2" t="s">
        <v>4020</v>
      </c>
      <c r="B15104" s="2" t="s">
        <v>1352</v>
      </c>
      <c r="C15104" s="2">
        <v>697.52009999999996</v>
      </c>
      <c r="D15104" s="2">
        <f>HYPERLINK("http://mcb-m6.bioreg.kyushu-u.ac.jp/M3/20110404/F50772/1722/1", 84.36)</f>
        <v>84.36</v>
      </c>
      <c r="E15104" s="2">
        <v>59.51</v>
      </c>
      <c r="F15104" s="2">
        <v>2</v>
      </c>
      <c r="G15104" s="2" t="s">
        <v>10</v>
      </c>
    </row>
    <row r="15105" spans="1:9" x14ac:dyDescent="0.2">
      <c r="A15105" s="2" t="s">
        <v>4020</v>
      </c>
      <c r="B15105" s="2" t="s">
        <v>3089</v>
      </c>
      <c r="C15105" s="2">
        <v>736.41669999999999</v>
      </c>
      <c r="D15105" s="2">
        <f>HYPERLINK("http://mcb-m6.bioreg.kyushu-u.ac.jp/M3/20110404/F50772/1907/1", 95.25)</f>
        <v>95.25</v>
      </c>
      <c r="E15105" s="2">
        <v>73.58</v>
      </c>
      <c r="F15105" s="2">
        <v>2</v>
      </c>
      <c r="G15105" s="2" t="s">
        <v>10</v>
      </c>
    </row>
    <row r="15106" spans="1:9" x14ac:dyDescent="0.2">
      <c r="A15106" s="2" t="s">
        <v>4020</v>
      </c>
      <c r="B15106" s="2" t="s">
        <v>6703</v>
      </c>
      <c r="C15106" s="2">
        <v>1089.604</v>
      </c>
      <c r="D15106" s="2">
        <f>HYPERLINK("http://mcb-m6.bioreg.kyushu-u.ac.jp/M3/20110404/F50772/3087/1", 104.78)</f>
        <v>104.78</v>
      </c>
      <c r="E15106" s="2">
        <v>96.18</v>
      </c>
      <c r="F15106" s="2">
        <v>2</v>
      </c>
      <c r="G15106" s="2" t="s">
        <v>10</v>
      </c>
    </row>
    <row r="15107" spans="1:9" x14ac:dyDescent="0.2">
      <c r="A15107" s="2" t="s">
        <v>4020</v>
      </c>
      <c r="B15107" s="2" t="s">
        <v>1352</v>
      </c>
      <c r="C15107" s="2">
        <v>697.13570000000004</v>
      </c>
      <c r="D15107" s="2">
        <f>HYPERLINK("http://mcb-m6.bioreg.kyushu-u.ac.jp/M3/20110421/F51026/1927/1", 36.54)</f>
        <v>36.54</v>
      </c>
      <c r="E15107" s="2">
        <v>26.87</v>
      </c>
      <c r="F15107" s="2">
        <v>2</v>
      </c>
      <c r="G15107" s="2" t="s">
        <v>12</v>
      </c>
    </row>
    <row r="15108" spans="1:9" x14ac:dyDescent="0.2">
      <c r="A15108" s="2" t="s">
        <v>4020</v>
      </c>
      <c r="B15108" s="2" t="s">
        <v>6961</v>
      </c>
      <c r="C15108" s="2">
        <v>816.37710000000004</v>
      </c>
      <c r="D15108" s="2">
        <f>HYPERLINK("http://mcb-m6.bioreg.kyushu-u.ac.jp/M3/20110421/F51025/2267/1", 68.27)</f>
        <v>68.27</v>
      </c>
      <c r="E15108" s="2">
        <v>48.15</v>
      </c>
      <c r="F15108" s="2">
        <v>2</v>
      </c>
      <c r="G15108" s="2" t="s">
        <v>12</v>
      </c>
    </row>
    <row r="15109" spans="1:9" x14ac:dyDescent="0.2">
      <c r="A15109" s="2" t="s">
        <v>7901</v>
      </c>
      <c r="B15109" s="2" t="s">
        <v>7047</v>
      </c>
      <c r="C15109" s="2">
        <v>982.54470000000003</v>
      </c>
      <c r="D15109" s="2">
        <f>HYPERLINK("http://mcb-m6.bioreg.kyushu-u.ac.jp/M3/20110404/F50772/2834/1", 93.87)</f>
        <v>93.87</v>
      </c>
      <c r="E15109" s="2">
        <v>65.17</v>
      </c>
      <c r="F15109" s="2">
        <v>2</v>
      </c>
      <c r="G15109" s="2" t="s">
        <v>10</v>
      </c>
    </row>
    <row r="15110" spans="1:9" x14ac:dyDescent="0.2">
      <c r="A15110" s="2" t="s">
        <v>7901</v>
      </c>
      <c r="B15110" s="2" t="s">
        <v>7047</v>
      </c>
      <c r="C15110" s="2">
        <v>982.03309999999999</v>
      </c>
      <c r="D15110" s="2">
        <f>HYPERLINK("http://mcb-m6.bioreg.kyushu-u.ac.jp/M3/20110404/F50772/2831/1", 98.96)</f>
        <v>98.96</v>
      </c>
      <c r="E15110" s="2">
        <v>85.84</v>
      </c>
      <c r="F15110" s="2">
        <v>2</v>
      </c>
      <c r="G15110" s="2" t="s">
        <v>10</v>
      </c>
    </row>
    <row r="15111" spans="1:9" x14ac:dyDescent="0.2">
      <c r="A15111" s="2" t="s">
        <v>4377</v>
      </c>
      <c r="B15111" s="2" t="s">
        <v>2209</v>
      </c>
      <c r="C15111" s="2">
        <v>943.83069999999998</v>
      </c>
      <c r="D15111" s="2">
        <f>HYPERLINK("http://mcb-m6.bioreg.kyushu-u.ac.jp/M3/20110404/F50765/2625/1", 44.98)</f>
        <v>44.98</v>
      </c>
      <c r="E15111" s="2">
        <v>32.06</v>
      </c>
      <c r="F15111" s="2">
        <v>2</v>
      </c>
      <c r="G15111" s="2" t="s">
        <v>9</v>
      </c>
    </row>
    <row r="15112" spans="1:9" x14ac:dyDescent="0.2">
      <c r="A15112" s="2" t="s">
        <v>4377</v>
      </c>
      <c r="B15112" s="2" t="s">
        <v>6187</v>
      </c>
      <c r="C15112" s="2">
        <v>892.8175</v>
      </c>
      <c r="D15112" s="2">
        <f>HYPERLINK("http://mcb-m6.bioreg.kyushu-u.ac.jp/M3/20110404/F50765/3533/1", 45.88)</f>
        <v>45.88</v>
      </c>
      <c r="E15112" s="2">
        <v>38.979999999999997</v>
      </c>
      <c r="F15112" s="2">
        <v>3</v>
      </c>
      <c r="G15112" s="2" t="s">
        <v>9</v>
      </c>
    </row>
    <row r="15113" spans="1:9" x14ac:dyDescent="0.2">
      <c r="A15113" s="2" t="s">
        <v>4377</v>
      </c>
      <c r="B15113" s="2" t="s">
        <v>6307</v>
      </c>
      <c r="C15113" s="2">
        <v>606.85059999999999</v>
      </c>
      <c r="D15113" s="2">
        <f>HYPERLINK("http://mcb-m6.bioreg.kyushu-u.ac.jp/M3/20110404/F50765/1268/1", 51.99)</f>
        <v>51.99</v>
      </c>
      <c r="E15113" s="2">
        <v>34.409999999999997</v>
      </c>
      <c r="F15113" s="2">
        <v>2</v>
      </c>
      <c r="G15113" s="2" t="s">
        <v>9</v>
      </c>
    </row>
    <row r="15114" spans="1:9" x14ac:dyDescent="0.2">
      <c r="A15114" s="2" t="s">
        <v>4377</v>
      </c>
      <c r="B15114" s="2" t="s">
        <v>5262</v>
      </c>
      <c r="C15114" s="2">
        <v>677.37070000000006</v>
      </c>
      <c r="D15114" s="2">
        <f>HYPERLINK("http://mcb-m6.bioreg.kyushu-u.ac.jp/M3/20110404/F50765/1516/1", 62.61)</f>
        <v>62.61</v>
      </c>
      <c r="E15114" s="2">
        <v>43.39</v>
      </c>
      <c r="F15114" s="2">
        <v>2</v>
      </c>
      <c r="G15114" s="2" t="s">
        <v>9</v>
      </c>
    </row>
    <row r="15115" spans="1:9" x14ac:dyDescent="0.2">
      <c r="A15115" s="2" t="s">
        <v>4377</v>
      </c>
      <c r="B15115" s="2" t="s">
        <v>2209</v>
      </c>
      <c r="C15115" s="2">
        <v>944.39009999999996</v>
      </c>
      <c r="D15115" s="2">
        <f>HYPERLINK("http://mcb-m6.bioreg.kyushu-u.ac.jp/M3/20110404/F50765/2629/1", 64.23)</f>
        <v>64.23</v>
      </c>
      <c r="E15115" s="2">
        <v>52.1</v>
      </c>
      <c r="F15115" s="2">
        <v>2</v>
      </c>
      <c r="G15115" s="2" t="s">
        <v>9</v>
      </c>
    </row>
    <row r="15116" spans="1:9" x14ac:dyDescent="0.2">
      <c r="A15116" s="2" t="s">
        <v>4377</v>
      </c>
      <c r="B15116" s="2" t="s">
        <v>6449</v>
      </c>
      <c r="C15116" s="2">
        <v>961.70510000000002</v>
      </c>
      <c r="D15116" s="2">
        <f>HYPERLINK("http://mcb-m6.bioreg.kyushu-u.ac.jp/M3/20110404/F50765/2693/1", 65.85)</f>
        <v>65.849999999999994</v>
      </c>
      <c r="E15116" s="2">
        <v>38.04</v>
      </c>
      <c r="F15116" s="2">
        <v>2</v>
      </c>
      <c r="G15116" s="2" t="s">
        <v>9</v>
      </c>
      <c r="I15116" s="2" t="s">
        <v>4890</v>
      </c>
    </row>
    <row r="15117" spans="1:9" x14ac:dyDescent="0.2">
      <c r="A15117" s="2" t="s">
        <v>4377</v>
      </c>
      <c r="B15117" s="2" t="s">
        <v>5341</v>
      </c>
      <c r="C15117" s="2">
        <v>608.26869999999997</v>
      </c>
      <c r="D15117" s="2">
        <f>HYPERLINK("http://mcb-m6.bioreg.kyushu-u.ac.jp/M3/20110404/F50765/1273/1", 74.77)</f>
        <v>74.77</v>
      </c>
      <c r="E15117" s="2">
        <v>50.86</v>
      </c>
      <c r="F15117" s="2">
        <v>2</v>
      </c>
      <c r="G15117" s="2" t="s">
        <v>9</v>
      </c>
    </row>
    <row r="15118" spans="1:9" x14ac:dyDescent="0.2">
      <c r="A15118" s="2" t="s">
        <v>4377</v>
      </c>
      <c r="B15118" s="2" t="s">
        <v>6546</v>
      </c>
      <c r="C15118" s="2">
        <v>587.69420000000002</v>
      </c>
      <c r="D15118" s="2">
        <f>HYPERLINK("http://mcb-m6.bioreg.kyushu-u.ac.jp/M3/20110404/F50765/1200/1", 78.17)</f>
        <v>78.17</v>
      </c>
      <c r="E15118" s="2">
        <v>49.17</v>
      </c>
      <c r="F15118" s="2">
        <v>2</v>
      </c>
      <c r="G15118" s="2" t="s">
        <v>9</v>
      </c>
    </row>
    <row r="15119" spans="1:9" x14ac:dyDescent="0.2">
      <c r="A15119" s="2" t="s">
        <v>4377</v>
      </c>
      <c r="B15119" s="2" t="s">
        <v>6624</v>
      </c>
      <c r="C15119" s="2">
        <v>876.70119999999997</v>
      </c>
      <c r="D15119" s="2">
        <f>HYPERLINK("http://mcb-m6.bioreg.kyushu-u.ac.jp/M3/20110404/F50765/2386/1", 97.69)</f>
        <v>97.69</v>
      </c>
      <c r="E15119" s="2">
        <v>83.94</v>
      </c>
      <c r="F15119" s="2">
        <v>2</v>
      </c>
      <c r="G15119" s="2" t="s">
        <v>9</v>
      </c>
    </row>
    <row r="15120" spans="1:9" x14ac:dyDescent="0.2">
      <c r="A15120" s="2" t="s">
        <v>4377</v>
      </c>
      <c r="B15120" s="2" t="s">
        <v>6647</v>
      </c>
      <c r="C15120" s="2">
        <v>1114.9880000000001</v>
      </c>
      <c r="D15120" s="2">
        <f>HYPERLINK("http://mcb-m6.bioreg.kyushu-u.ac.jp/M3/20110404/F50765/3154/1", 105.87)</f>
        <v>105.87</v>
      </c>
      <c r="E15120" s="2">
        <v>89.83</v>
      </c>
      <c r="F15120" s="2">
        <v>2</v>
      </c>
      <c r="G15120" s="2" t="s">
        <v>9</v>
      </c>
    </row>
    <row r="15121" spans="1:7" x14ac:dyDescent="0.2">
      <c r="A15121" s="2" t="s">
        <v>4377</v>
      </c>
      <c r="B15121" s="2" t="s">
        <v>6730</v>
      </c>
      <c r="C15121" s="2">
        <v>811.23099999999999</v>
      </c>
      <c r="D15121" s="2">
        <f>HYPERLINK("http://mcb-m6.bioreg.kyushu-u.ac.jp/M3/20110404/F50771/794/1", 38.24)</f>
        <v>38.24</v>
      </c>
      <c r="E15121" s="2">
        <v>10.210000000000001</v>
      </c>
      <c r="F15121" s="2">
        <v>1</v>
      </c>
      <c r="G15121" s="2" t="s">
        <v>10</v>
      </c>
    </row>
    <row r="15122" spans="1:7" x14ac:dyDescent="0.2">
      <c r="A15122" s="2" t="s">
        <v>4377</v>
      </c>
      <c r="B15122" s="2" t="s">
        <v>6546</v>
      </c>
      <c r="C15122" s="2">
        <v>587.07820000000004</v>
      </c>
      <c r="D15122" s="2">
        <f>HYPERLINK("http://mcb-m6.bioreg.kyushu-u.ac.jp/M3/20110404/F50771/1285/1", 41.05)</f>
        <v>41.05</v>
      </c>
      <c r="E15122" s="2">
        <v>12.17</v>
      </c>
      <c r="F15122" s="2">
        <v>2</v>
      </c>
      <c r="G15122" s="2" t="s">
        <v>10</v>
      </c>
    </row>
    <row r="15123" spans="1:7" x14ac:dyDescent="0.2">
      <c r="A15123" s="2" t="s">
        <v>4377</v>
      </c>
      <c r="B15123" s="2" t="s">
        <v>5262</v>
      </c>
      <c r="C15123" s="2">
        <v>676.83759999999995</v>
      </c>
      <c r="D15123" s="2">
        <f>HYPERLINK("http://mcb-m6.bioreg.kyushu-u.ac.jp/M3/20110404/F50771/1590/1", 44.67)</f>
        <v>44.67</v>
      </c>
      <c r="E15123" s="2">
        <v>14.01</v>
      </c>
      <c r="F15123" s="2">
        <v>2</v>
      </c>
      <c r="G15123" s="2" t="s">
        <v>10</v>
      </c>
    </row>
    <row r="15124" spans="1:7" x14ac:dyDescent="0.2">
      <c r="A15124" s="2" t="s">
        <v>4377</v>
      </c>
      <c r="B15124" s="2" t="s">
        <v>6898</v>
      </c>
      <c r="C15124" s="2">
        <v>726.91309999999999</v>
      </c>
      <c r="D15124" s="2">
        <f>HYPERLINK("http://mcb-m6.bioreg.kyushu-u.ac.jp/M3/20110404/F50771/1835/1", 55.03)</f>
        <v>55.03</v>
      </c>
      <c r="E15124" s="2">
        <v>44.43</v>
      </c>
      <c r="F15124" s="2">
        <v>2</v>
      </c>
      <c r="G15124" s="2" t="s">
        <v>10</v>
      </c>
    </row>
    <row r="15125" spans="1:7" x14ac:dyDescent="0.2">
      <c r="A15125" s="2" t="s">
        <v>4377</v>
      </c>
      <c r="B15125" s="2" t="s">
        <v>6984</v>
      </c>
      <c r="C15125" s="2">
        <v>607.65560000000005</v>
      </c>
      <c r="D15125" s="2">
        <f>HYPERLINK("http://mcb-m6.bioreg.kyushu-u.ac.jp/M3/20110404/F50771/1356/1", 72.36)</f>
        <v>72.36</v>
      </c>
      <c r="E15125" s="2">
        <v>34.79</v>
      </c>
      <c r="F15125" s="2">
        <v>2</v>
      </c>
      <c r="G15125" s="2" t="s">
        <v>10</v>
      </c>
    </row>
    <row r="15126" spans="1:7" x14ac:dyDescent="0.2">
      <c r="A15126" s="2" t="s">
        <v>4377</v>
      </c>
      <c r="B15126" s="2" t="s">
        <v>5341</v>
      </c>
      <c r="C15126" s="2">
        <v>608.19320000000005</v>
      </c>
      <c r="D15126" s="2">
        <f>HYPERLINK("http://mcb-m6.bioreg.kyushu-u.ac.jp/M3/20110404/F50771/1359/1", 78.71)</f>
        <v>78.709999999999994</v>
      </c>
      <c r="E15126" s="2">
        <v>57.07</v>
      </c>
      <c r="F15126" s="2">
        <v>2</v>
      </c>
      <c r="G15126" s="2" t="s">
        <v>10</v>
      </c>
    </row>
    <row r="15127" spans="1:7" x14ac:dyDescent="0.2">
      <c r="A15127" s="2" t="s">
        <v>4377</v>
      </c>
      <c r="B15127" s="2" t="s">
        <v>2209</v>
      </c>
      <c r="C15127" s="2">
        <v>943.83259999999996</v>
      </c>
      <c r="D15127" s="2">
        <f>HYPERLINK("http://mcb-m6.bioreg.kyushu-u.ac.jp/M3/20110404/F50771/2653/1", 98.38)</f>
        <v>98.38</v>
      </c>
      <c r="E15127" s="2">
        <v>81.260000000000005</v>
      </c>
      <c r="F15127" s="2">
        <v>2</v>
      </c>
      <c r="G15127" s="2" t="s">
        <v>10</v>
      </c>
    </row>
    <row r="15128" spans="1:7" x14ac:dyDescent="0.2">
      <c r="A15128" s="2" t="s">
        <v>4377</v>
      </c>
      <c r="B15128" s="2" t="s">
        <v>6624</v>
      </c>
      <c r="C15128" s="2">
        <v>877.31769999999995</v>
      </c>
      <c r="D15128" s="2">
        <f>HYPERLINK("http://mcb-m6.bioreg.kyushu-u.ac.jp/M3/20110404/F50771/2428/1", 99.92)</f>
        <v>99.92</v>
      </c>
      <c r="E15128" s="2">
        <v>86.15</v>
      </c>
      <c r="F15128" s="2">
        <v>2</v>
      </c>
      <c r="G15128" s="2" t="s">
        <v>10</v>
      </c>
    </row>
    <row r="15129" spans="1:7" x14ac:dyDescent="0.2">
      <c r="A15129" s="2" t="s">
        <v>4377</v>
      </c>
      <c r="B15129" s="2" t="s">
        <v>6647</v>
      </c>
      <c r="C15129" s="2">
        <v>1114.365</v>
      </c>
      <c r="D15129" s="2">
        <f>HYPERLINK("http://mcb-m6.bioreg.kyushu-u.ac.jp/M3/20110404/F50771/3141/1", 118)</f>
        <v>118</v>
      </c>
      <c r="E15129" s="2">
        <v>98.13</v>
      </c>
      <c r="F15129" s="2">
        <v>2</v>
      </c>
      <c r="G15129" s="2" t="s">
        <v>10</v>
      </c>
    </row>
    <row r="15130" spans="1:7" x14ac:dyDescent="0.2">
      <c r="A15130" s="2" t="s">
        <v>4377</v>
      </c>
      <c r="B15130" s="2" t="s">
        <v>2209</v>
      </c>
      <c r="C15130" s="2">
        <v>944.48419999999999</v>
      </c>
      <c r="D15130" s="2">
        <f>HYPERLINK("http://mcb-m6.bioreg.kyushu-u.ac.jp/M3/20110421/F51058/2743/1", 45.98)</f>
        <v>45.98</v>
      </c>
      <c r="E15130" s="2">
        <v>34.22</v>
      </c>
      <c r="F15130" s="2">
        <v>2</v>
      </c>
      <c r="G15130" s="2" t="s">
        <v>11</v>
      </c>
    </row>
    <row r="15131" spans="1:7" x14ac:dyDescent="0.2">
      <c r="A15131" s="2" t="s">
        <v>4377</v>
      </c>
      <c r="B15131" s="2" t="s">
        <v>5341</v>
      </c>
      <c r="C15131" s="2">
        <v>608.55470000000003</v>
      </c>
      <c r="D15131" s="2">
        <f>HYPERLINK("http://mcb-m6.bioreg.kyushu-u.ac.jp/M3/20110427/F51115/1461/1", 61.16)</f>
        <v>61.16</v>
      </c>
      <c r="E15131" s="2">
        <v>44.23</v>
      </c>
      <c r="F15131" s="2">
        <v>2</v>
      </c>
      <c r="G15131" s="2" t="s">
        <v>13</v>
      </c>
    </row>
    <row r="15132" spans="1:7" x14ac:dyDescent="0.2">
      <c r="A15132" s="2" t="s">
        <v>4377</v>
      </c>
      <c r="B15132" s="2" t="s">
        <v>2209</v>
      </c>
      <c r="C15132" s="2">
        <v>944.32619999999997</v>
      </c>
      <c r="D15132" s="2">
        <f>HYPERLINK("http://mcb-m6.bioreg.kyushu-u.ac.jp/M3/20110427/F51115/2763/1", 101.12)</f>
        <v>101.12</v>
      </c>
      <c r="E15132" s="2">
        <v>84.98</v>
      </c>
      <c r="F15132" s="2">
        <v>2</v>
      </c>
      <c r="G15132" s="2" t="s">
        <v>13</v>
      </c>
    </row>
    <row r="15133" spans="1:7" x14ac:dyDescent="0.2">
      <c r="A15133" s="2" t="s">
        <v>3540</v>
      </c>
      <c r="B15133" s="2" t="s">
        <v>395</v>
      </c>
      <c r="C15133" s="2">
        <v>502.31110000000001</v>
      </c>
      <c r="D15133" s="2">
        <f>HYPERLINK("http://mcb-m6.bioreg.kyushu-u.ac.jp/M3/20110404/F50756/1005/1", 41.31)</f>
        <v>41.31</v>
      </c>
      <c r="E15133" s="2">
        <v>12.27</v>
      </c>
      <c r="F15133" s="2">
        <v>2</v>
      </c>
      <c r="G15133" s="2" t="s">
        <v>9</v>
      </c>
    </row>
    <row r="15134" spans="1:7" x14ac:dyDescent="0.2">
      <c r="A15134" s="2" t="s">
        <v>3540</v>
      </c>
      <c r="B15134" s="2" t="s">
        <v>737</v>
      </c>
      <c r="C15134" s="2">
        <v>1382.598</v>
      </c>
      <c r="D15134" s="2">
        <f>HYPERLINK("http://mcb-m6.bioreg.kyushu-u.ac.jp/M3/20110404/F50763/1721/1", 52.82)</f>
        <v>52.82</v>
      </c>
      <c r="E15134" s="2">
        <v>35.42</v>
      </c>
      <c r="F15134" s="2">
        <v>1</v>
      </c>
      <c r="G15134" s="2" t="s">
        <v>9</v>
      </c>
    </row>
    <row r="15135" spans="1:7" x14ac:dyDescent="0.2">
      <c r="A15135" s="2" t="s">
        <v>3540</v>
      </c>
      <c r="B15135" s="2" t="s">
        <v>737</v>
      </c>
      <c r="C15135" s="2">
        <v>1381.7159999999999</v>
      </c>
      <c r="D15135" s="2">
        <f>HYPERLINK("http://mcb-m6.bioreg.kyushu-u.ac.jp/M3/20110404/F50762/1612/1", 57.18)</f>
        <v>57.18</v>
      </c>
      <c r="E15135" s="2">
        <v>37.33</v>
      </c>
      <c r="F15135" s="2">
        <v>1</v>
      </c>
      <c r="G15135" s="2" t="s">
        <v>9</v>
      </c>
    </row>
    <row r="15136" spans="1:7" x14ac:dyDescent="0.2">
      <c r="A15136" s="2" t="s">
        <v>3540</v>
      </c>
      <c r="B15136" s="2" t="s">
        <v>737</v>
      </c>
      <c r="C15136" s="2">
        <v>1381.4829999999999</v>
      </c>
      <c r="D15136" s="2">
        <f>HYPERLINK("http://mcb-m6.bioreg.kyushu-u.ac.jp/M3/20110404/F50763/1715/1", 58.79)</f>
        <v>58.79</v>
      </c>
      <c r="E15136" s="2">
        <v>39.28</v>
      </c>
      <c r="F15136" s="2">
        <v>1</v>
      </c>
      <c r="G15136" s="2" t="s">
        <v>9</v>
      </c>
    </row>
    <row r="15137" spans="1:7" x14ac:dyDescent="0.2">
      <c r="A15137" s="2" t="s">
        <v>3540</v>
      </c>
      <c r="B15137" s="2" t="s">
        <v>645</v>
      </c>
      <c r="C15137" s="2">
        <v>583.17819999999995</v>
      </c>
      <c r="D15137" s="2">
        <f>HYPERLINK("http://mcb-m6.bioreg.kyushu-u.ac.jp/M3/20110404/F50763/1331/1", 61.65)</f>
        <v>61.65</v>
      </c>
      <c r="E15137" s="2">
        <v>35.64</v>
      </c>
      <c r="F15137" s="2">
        <v>2</v>
      </c>
      <c r="G15137" s="2" t="s">
        <v>9</v>
      </c>
    </row>
    <row r="15138" spans="1:7" x14ac:dyDescent="0.2">
      <c r="A15138" s="2" t="s">
        <v>3540</v>
      </c>
      <c r="B15138" s="2" t="s">
        <v>645</v>
      </c>
      <c r="C15138" s="2">
        <v>583.21310000000005</v>
      </c>
      <c r="D15138" s="2">
        <f>HYPERLINK("http://mcb-m6.bioreg.kyushu-u.ac.jp/M3/20110404/F50756/1288/1", 63.4)</f>
        <v>63.4</v>
      </c>
      <c r="E15138" s="2">
        <v>35.99</v>
      </c>
      <c r="F15138" s="2">
        <v>2</v>
      </c>
      <c r="G15138" s="2" t="s">
        <v>9</v>
      </c>
    </row>
    <row r="15139" spans="1:7" x14ac:dyDescent="0.2">
      <c r="A15139" s="2" t="s">
        <v>3540</v>
      </c>
      <c r="B15139" s="2" t="s">
        <v>645</v>
      </c>
      <c r="C15139" s="2">
        <v>583.62459999999999</v>
      </c>
      <c r="D15139" s="2">
        <f>HYPERLINK("http://mcb-m6.bioreg.kyushu-u.ac.jp/M3/20110404/F50755/1308/1", 65.22)</f>
        <v>65.22</v>
      </c>
      <c r="E15139" s="2">
        <v>39.44</v>
      </c>
      <c r="F15139" s="2">
        <v>2</v>
      </c>
      <c r="G15139" s="2" t="s">
        <v>9</v>
      </c>
    </row>
    <row r="15140" spans="1:7" x14ac:dyDescent="0.2">
      <c r="A15140" s="2" t="s">
        <v>3540</v>
      </c>
      <c r="B15140" s="2" t="s">
        <v>737</v>
      </c>
      <c r="C15140" s="2">
        <v>691.7672</v>
      </c>
      <c r="D15140" s="2">
        <f>HYPERLINK("http://mcb-m6.bioreg.kyushu-u.ac.jp/M3/20110404/F50763/1718/1", 69.92)</f>
        <v>69.92</v>
      </c>
      <c r="E15140" s="2">
        <v>54.78</v>
      </c>
      <c r="F15140" s="2">
        <v>2</v>
      </c>
      <c r="G15140" s="2" t="s">
        <v>9</v>
      </c>
    </row>
    <row r="15141" spans="1:7" x14ac:dyDescent="0.2">
      <c r="A15141" s="2" t="s">
        <v>3540</v>
      </c>
      <c r="B15141" s="2" t="s">
        <v>737</v>
      </c>
      <c r="C15141" s="2">
        <v>691.03309999999999</v>
      </c>
      <c r="D15141" s="2">
        <f>HYPERLINK("http://mcb-m6.bioreg.kyushu-u.ac.jp/M3/20110404/F50753/1806/1", 71.92)</f>
        <v>71.92</v>
      </c>
      <c r="E15141" s="2">
        <v>48.23</v>
      </c>
      <c r="F15141" s="2">
        <v>2</v>
      </c>
      <c r="G15141" s="2" t="s">
        <v>9</v>
      </c>
    </row>
    <row r="15142" spans="1:7" x14ac:dyDescent="0.2">
      <c r="A15142" s="2" t="s">
        <v>3540</v>
      </c>
      <c r="B15142" s="2" t="s">
        <v>737</v>
      </c>
      <c r="C15142" s="2">
        <v>691.19069999999999</v>
      </c>
      <c r="D15142" s="2">
        <f>HYPERLINK("http://mcb-m6.bioreg.kyushu-u.ac.jp/M3/20110404/F50756/1697/1", 77.87)</f>
        <v>77.87</v>
      </c>
      <c r="E15142" s="2">
        <v>64.400000000000006</v>
      </c>
      <c r="F15142" s="2">
        <v>2</v>
      </c>
      <c r="G15142" s="2" t="s">
        <v>9</v>
      </c>
    </row>
    <row r="15143" spans="1:7" x14ac:dyDescent="0.2">
      <c r="A15143" s="2" t="s">
        <v>3540</v>
      </c>
      <c r="B15143" s="2" t="s">
        <v>737</v>
      </c>
      <c r="C15143" s="2">
        <v>691.62369999999999</v>
      </c>
      <c r="D15143" s="2">
        <f>HYPERLINK("http://mcb-m6.bioreg.kyushu-u.ac.jp/M3/20110404/F50753/1809/1", 85.57)</f>
        <v>85.57</v>
      </c>
      <c r="E15143" s="2">
        <v>64.569999999999993</v>
      </c>
      <c r="F15143" s="2">
        <v>2</v>
      </c>
      <c r="G15143" s="2" t="s">
        <v>9</v>
      </c>
    </row>
    <row r="15144" spans="1:7" x14ac:dyDescent="0.2">
      <c r="A15144" s="2" t="s">
        <v>3540</v>
      </c>
      <c r="B15144" s="2" t="s">
        <v>737</v>
      </c>
      <c r="C15144" s="2">
        <v>691.18960000000004</v>
      </c>
      <c r="D15144" s="2">
        <f>HYPERLINK("http://mcb-m6.bioreg.kyushu-u.ac.jp/M3/20110404/F50755/1708/1", 85.59)</f>
        <v>85.59</v>
      </c>
      <c r="E15144" s="2">
        <v>71.41</v>
      </c>
      <c r="F15144" s="2">
        <v>2</v>
      </c>
      <c r="G15144" s="2" t="s">
        <v>9</v>
      </c>
    </row>
    <row r="15145" spans="1:7" x14ac:dyDescent="0.2">
      <c r="A15145" s="2" t="s">
        <v>3540</v>
      </c>
      <c r="B15145" s="2" t="s">
        <v>727</v>
      </c>
      <c r="C15145" s="2">
        <v>695.61869999999999</v>
      </c>
      <c r="D15145" s="2">
        <f>HYPERLINK("http://mcb-m6.bioreg.kyushu-u.ac.jp/M3/20110404/F50753/1829/1", 95.92)</f>
        <v>95.92</v>
      </c>
      <c r="E15145" s="2">
        <v>72.03</v>
      </c>
      <c r="F15145" s="2">
        <v>2</v>
      </c>
      <c r="G15145" s="2" t="s">
        <v>9</v>
      </c>
    </row>
    <row r="15146" spans="1:7" x14ac:dyDescent="0.2">
      <c r="A15146" s="2" t="s">
        <v>3540</v>
      </c>
      <c r="B15146" s="2" t="s">
        <v>727</v>
      </c>
      <c r="C15146" s="2">
        <v>695.80870000000004</v>
      </c>
      <c r="D15146" s="2">
        <f>HYPERLINK("http://mcb-m6.bioreg.kyushu-u.ac.jp/M3/20110404/F50762/1633/1", 112.73)</f>
        <v>112.73</v>
      </c>
      <c r="E15146" s="2">
        <v>74.900000000000006</v>
      </c>
      <c r="F15146" s="2">
        <v>2</v>
      </c>
      <c r="G15146" s="2" t="s">
        <v>9</v>
      </c>
    </row>
    <row r="15147" spans="1:7" x14ac:dyDescent="0.2">
      <c r="A15147" s="2" t="s">
        <v>3540</v>
      </c>
      <c r="B15147" s="2" t="s">
        <v>727</v>
      </c>
      <c r="C15147" s="2">
        <v>696.13620000000003</v>
      </c>
      <c r="D15147" s="2">
        <f>HYPERLINK("http://mcb-m6.bioreg.kyushu-u.ac.jp/M3/20110404/F50753/1831/1", 113.69)</f>
        <v>113.69</v>
      </c>
      <c r="E15147" s="2">
        <v>91.66</v>
      </c>
      <c r="F15147" s="2">
        <v>2</v>
      </c>
      <c r="G15147" s="2" t="s">
        <v>9</v>
      </c>
    </row>
    <row r="15148" spans="1:7" x14ac:dyDescent="0.2">
      <c r="A15148" s="2" t="s">
        <v>3540</v>
      </c>
      <c r="B15148" s="2" t="s">
        <v>727</v>
      </c>
      <c r="C15148" s="2">
        <v>695.69759999999997</v>
      </c>
      <c r="D15148" s="2">
        <f>HYPERLINK("http://mcb-m6.bioreg.kyushu-u.ac.jp/M3/20110404/F50763/1743/1", 116.37)</f>
        <v>116.37</v>
      </c>
      <c r="E15148" s="2">
        <v>90.42</v>
      </c>
      <c r="F15148" s="2">
        <v>2</v>
      </c>
      <c r="G15148" s="2" t="s">
        <v>9</v>
      </c>
    </row>
    <row r="15149" spans="1:7" x14ac:dyDescent="0.2">
      <c r="A15149" s="2" t="s">
        <v>3540</v>
      </c>
      <c r="B15149" s="2" t="s">
        <v>737</v>
      </c>
      <c r="C15149" s="2">
        <v>1382.5050000000001</v>
      </c>
      <c r="D15149" s="2">
        <f>HYPERLINK("http://mcb-m6.bioreg.kyushu-u.ac.jp/M3/20110404/F50761/1628/1", 47.18)</f>
        <v>47.18</v>
      </c>
      <c r="E15149" s="2">
        <v>26.7</v>
      </c>
      <c r="F15149" s="2">
        <v>1</v>
      </c>
      <c r="G15149" s="2" t="s">
        <v>10</v>
      </c>
    </row>
    <row r="15150" spans="1:7" x14ac:dyDescent="0.2">
      <c r="A15150" s="2" t="s">
        <v>3540</v>
      </c>
      <c r="B15150" s="2" t="s">
        <v>737</v>
      </c>
      <c r="C15150" s="2">
        <v>1381.454</v>
      </c>
      <c r="D15150" s="2">
        <f>HYPERLINK("http://mcb-m6.bioreg.kyushu-u.ac.jp/M3/20110404/F50761/1624/1", 49.64)</f>
        <v>49.64</v>
      </c>
      <c r="E15150" s="2">
        <v>29.4</v>
      </c>
      <c r="F15150" s="2">
        <v>1</v>
      </c>
      <c r="G15150" s="2" t="s">
        <v>10</v>
      </c>
    </row>
    <row r="15151" spans="1:7" x14ac:dyDescent="0.2">
      <c r="A15151" s="2" t="s">
        <v>3540</v>
      </c>
      <c r="B15151" s="2" t="s">
        <v>737</v>
      </c>
      <c r="C15151" s="2">
        <v>1381.519</v>
      </c>
      <c r="D15151" s="2">
        <f>HYPERLINK("http://mcb-m6.bioreg.kyushu-u.ac.jp/M3/20110404/F50775/1726/1", 52.59)</f>
        <v>52.59</v>
      </c>
      <c r="E15151" s="2">
        <v>35.200000000000003</v>
      </c>
      <c r="F15151" s="2">
        <v>1</v>
      </c>
      <c r="G15151" s="2" t="s">
        <v>10</v>
      </c>
    </row>
    <row r="15152" spans="1:7" x14ac:dyDescent="0.2">
      <c r="A15152" s="2" t="s">
        <v>3540</v>
      </c>
      <c r="B15152" s="2" t="s">
        <v>645</v>
      </c>
      <c r="C15152" s="2">
        <v>583.68910000000005</v>
      </c>
      <c r="D15152" s="2">
        <f>HYPERLINK("http://mcb-m6.bioreg.kyushu-u.ac.jp/M3/20110404/F50768/1327/1", 58.78)</f>
        <v>58.78</v>
      </c>
      <c r="E15152" s="2">
        <v>32.33</v>
      </c>
      <c r="F15152" s="2">
        <v>2</v>
      </c>
      <c r="G15152" s="2" t="s">
        <v>10</v>
      </c>
    </row>
    <row r="15153" spans="1:7" x14ac:dyDescent="0.2">
      <c r="A15153" s="2" t="s">
        <v>3540</v>
      </c>
      <c r="B15153" s="2" t="s">
        <v>737</v>
      </c>
      <c r="C15153" s="2">
        <v>1381.52</v>
      </c>
      <c r="D15153" s="2">
        <f>HYPERLINK("http://mcb-m6.bioreg.kyushu-u.ac.jp/M3/20110404/F50768/1692/1", 61.11)</f>
        <v>61.11</v>
      </c>
      <c r="E15153" s="2">
        <v>43.83</v>
      </c>
      <c r="F15153" s="2">
        <v>1</v>
      </c>
      <c r="G15153" s="2" t="s">
        <v>10</v>
      </c>
    </row>
    <row r="15154" spans="1:7" x14ac:dyDescent="0.2">
      <c r="A15154" s="2" t="s">
        <v>3540</v>
      </c>
      <c r="B15154" s="2" t="s">
        <v>645</v>
      </c>
      <c r="C15154" s="2">
        <v>583.37660000000005</v>
      </c>
      <c r="D15154" s="2">
        <f>HYPERLINK("http://mcb-m6.bioreg.kyushu-u.ac.jp/M3/20110404/F50782/1037/1", 61.51)</f>
        <v>61.51</v>
      </c>
      <c r="E15154" s="2">
        <v>26.95</v>
      </c>
      <c r="F15154" s="2">
        <v>2</v>
      </c>
      <c r="G15154" s="2" t="s">
        <v>10</v>
      </c>
    </row>
    <row r="15155" spans="1:7" x14ac:dyDescent="0.2">
      <c r="A15155" s="2" t="s">
        <v>3540</v>
      </c>
      <c r="B15155" s="2" t="s">
        <v>645</v>
      </c>
      <c r="C15155" s="2">
        <v>583.13869999999997</v>
      </c>
      <c r="D15155" s="2">
        <f>HYPERLINK("http://mcb-m6.bioreg.kyushu-u.ac.jp/M3/20110404/F50768/1324/1", 62.27)</f>
        <v>62.27</v>
      </c>
      <c r="E15155" s="2">
        <v>34.270000000000003</v>
      </c>
      <c r="F15155" s="2">
        <v>2</v>
      </c>
      <c r="G15155" s="2" t="s">
        <v>10</v>
      </c>
    </row>
    <row r="15156" spans="1:7" x14ac:dyDescent="0.2">
      <c r="A15156" s="2" t="s">
        <v>3540</v>
      </c>
      <c r="B15156" s="2" t="s">
        <v>645</v>
      </c>
      <c r="C15156" s="2">
        <v>583.25819999999999</v>
      </c>
      <c r="D15156" s="2">
        <f>HYPERLINK("http://mcb-m6.bioreg.kyushu-u.ac.jp/M3/20110404/F50761/1253/1", 65.09)</f>
        <v>65.09</v>
      </c>
      <c r="E15156" s="2">
        <v>39.020000000000003</v>
      </c>
      <c r="F15156" s="2">
        <v>2</v>
      </c>
      <c r="G15156" s="2" t="s">
        <v>10</v>
      </c>
    </row>
    <row r="15157" spans="1:7" x14ac:dyDescent="0.2">
      <c r="A15157" s="2" t="s">
        <v>3540</v>
      </c>
      <c r="B15157" s="2" t="s">
        <v>737</v>
      </c>
      <c r="C15157" s="2">
        <v>691.72220000000004</v>
      </c>
      <c r="D15157" s="2">
        <f>HYPERLINK("http://mcb-m6.bioreg.kyushu-u.ac.jp/M3/20110404/F50760/1608/1", 73.61)</f>
        <v>73.61</v>
      </c>
      <c r="E15157" s="2">
        <v>53.36</v>
      </c>
      <c r="F15157" s="2">
        <v>2</v>
      </c>
      <c r="G15157" s="2" t="s">
        <v>10</v>
      </c>
    </row>
    <row r="15158" spans="1:7" x14ac:dyDescent="0.2">
      <c r="A15158" s="2" t="s">
        <v>3540</v>
      </c>
      <c r="B15158" s="2" t="s">
        <v>727</v>
      </c>
      <c r="C15158" s="2">
        <v>695.85220000000004</v>
      </c>
      <c r="D15158" s="2">
        <f>HYPERLINK("http://mcb-m6.bioreg.kyushu-u.ac.jp/M3/20110404/F50782/1536/1", 82.65)</f>
        <v>82.65</v>
      </c>
      <c r="E15158" s="2">
        <v>66.77</v>
      </c>
      <c r="F15158" s="2">
        <v>2</v>
      </c>
      <c r="G15158" s="2" t="s">
        <v>10</v>
      </c>
    </row>
    <row r="15159" spans="1:7" x14ac:dyDescent="0.2">
      <c r="A15159" s="2" t="s">
        <v>3540</v>
      </c>
      <c r="B15159" s="2" t="s">
        <v>727</v>
      </c>
      <c r="C15159" s="2">
        <v>695.93910000000005</v>
      </c>
      <c r="D15159" s="2">
        <f>HYPERLINK("http://mcb-m6.bioreg.kyushu-u.ac.jp/M3/20110404/F50775/1752/1", 89.25)</f>
        <v>89.25</v>
      </c>
      <c r="E15159" s="2">
        <v>73.98</v>
      </c>
      <c r="F15159" s="2">
        <v>2</v>
      </c>
      <c r="G15159" s="2" t="s">
        <v>10</v>
      </c>
    </row>
    <row r="15160" spans="1:7" x14ac:dyDescent="0.2">
      <c r="A15160" s="2" t="s">
        <v>3540</v>
      </c>
      <c r="B15160" s="2" t="s">
        <v>727</v>
      </c>
      <c r="C15160" s="2">
        <v>695.97360000000003</v>
      </c>
      <c r="D15160" s="2">
        <f>HYPERLINK("http://mcb-m6.bioreg.kyushu-u.ac.jp/M3/20110404/F50772/1718/1", 95.13)</f>
        <v>95.13</v>
      </c>
      <c r="E15160" s="2">
        <v>75.25</v>
      </c>
      <c r="F15160" s="2">
        <v>2</v>
      </c>
      <c r="G15160" s="2" t="s">
        <v>10</v>
      </c>
    </row>
    <row r="15161" spans="1:7" x14ac:dyDescent="0.2">
      <c r="A15161" s="2" t="s">
        <v>3540</v>
      </c>
      <c r="B15161" s="2" t="s">
        <v>727</v>
      </c>
      <c r="C15161" s="2">
        <v>696.25519999999995</v>
      </c>
      <c r="D15161" s="2">
        <f>HYPERLINK("http://mcb-m6.bioreg.kyushu-u.ac.jp/M3/20110404/F50768/1719/1", 95.77)</f>
        <v>95.77</v>
      </c>
      <c r="E15161" s="2">
        <v>76.5</v>
      </c>
      <c r="F15161" s="2">
        <v>2</v>
      </c>
      <c r="G15161" s="2" t="s">
        <v>10</v>
      </c>
    </row>
    <row r="15162" spans="1:7" x14ac:dyDescent="0.2">
      <c r="A15162" s="2" t="s">
        <v>3540</v>
      </c>
      <c r="B15162" s="2" t="s">
        <v>727</v>
      </c>
      <c r="C15162" s="2">
        <v>695.87120000000004</v>
      </c>
      <c r="D15162" s="2">
        <f>HYPERLINK("http://mcb-m6.bioreg.kyushu-u.ac.jp/M3/20110404/F50773/1650/1", 107.16)</f>
        <v>107.16</v>
      </c>
      <c r="E15162" s="2">
        <v>80.290000000000006</v>
      </c>
      <c r="F15162" s="2">
        <v>2</v>
      </c>
      <c r="G15162" s="2" t="s">
        <v>10</v>
      </c>
    </row>
    <row r="15163" spans="1:7" x14ac:dyDescent="0.2">
      <c r="A15163" s="2" t="s">
        <v>3540</v>
      </c>
      <c r="B15163" s="2" t="s">
        <v>727</v>
      </c>
      <c r="C15163" s="2">
        <v>695.70870000000002</v>
      </c>
      <c r="D15163" s="2">
        <f>HYPERLINK("http://mcb-m6.bioreg.kyushu-u.ac.jp/M3/20110404/F50768/1718/1", 118.83)</f>
        <v>118.83</v>
      </c>
      <c r="E15163" s="2">
        <v>92.37</v>
      </c>
      <c r="F15163" s="2">
        <v>2</v>
      </c>
      <c r="G15163" s="2" t="s">
        <v>10</v>
      </c>
    </row>
    <row r="15164" spans="1:7" x14ac:dyDescent="0.2">
      <c r="A15164" s="2" t="s">
        <v>3540</v>
      </c>
      <c r="B15164" s="2" t="s">
        <v>645</v>
      </c>
      <c r="C15164" s="2">
        <v>583.28859999999997</v>
      </c>
      <c r="D15164" s="2">
        <f>HYPERLINK("http://mcb-m6.bioreg.kyushu-u.ac.jp/M3/20110421/F51042/1031/1", 48.28)</f>
        <v>48.28</v>
      </c>
      <c r="E15164" s="2">
        <v>11.63</v>
      </c>
      <c r="F15164" s="2">
        <v>2</v>
      </c>
      <c r="G15164" s="2" t="s">
        <v>11</v>
      </c>
    </row>
    <row r="15165" spans="1:7" x14ac:dyDescent="0.2">
      <c r="A15165" s="2" t="s">
        <v>3540</v>
      </c>
      <c r="B15165" s="2" t="s">
        <v>645</v>
      </c>
      <c r="C15165" s="2">
        <v>583.31960000000004</v>
      </c>
      <c r="D15165" s="2">
        <f>HYPERLINK("http://mcb-m6.bioreg.kyushu-u.ac.jp/M3/20110421/F51040/1297/1", 54.38)</f>
        <v>54.38</v>
      </c>
      <c r="E15165" s="2">
        <v>21.01</v>
      </c>
      <c r="F15165" s="2">
        <v>2</v>
      </c>
      <c r="G15165" s="2" t="s">
        <v>11</v>
      </c>
    </row>
    <row r="15166" spans="1:7" x14ac:dyDescent="0.2">
      <c r="A15166" s="2" t="s">
        <v>3540</v>
      </c>
      <c r="B15166" s="2" t="s">
        <v>727</v>
      </c>
      <c r="C15166" s="2">
        <v>695.78060000000005</v>
      </c>
      <c r="D15166" s="2">
        <f>HYPERLINK("http://mcb-m6.bioreg.kyushu-u.ac.jp/M3/20110421/F51042/1639/1", 54.85)</f>
        <v>54.85</v>
      </c>
      <c r="E15166" s="2">
        <v>42.3</v>
      </c>
      <c r="F15166" s="2">
        <v>2</v>
      </c>
      <c r="G15166" s="2" t="s">
        <v>11</v>
      </c>
    </row>
    <row r="15167" spans="1:7" x14ac:dyDescent="0.2">
      <c r="A15167" s="2" t="s">
        <v>3540</v>
      </c>
      <c r="B15167" s="2" t="s">
        <v>737</v>
      </c>
      <c r="C15167" s="2">
        <v>1381.585</v>
      </c>
      <c r="D15167" s="2">
        <f>HYPERLINK("http://mcb-m6.bioreg.kyushu-u.ac.jp/M3/20110421/F51034/1742/1", 55.17)</f>
        <v>55.17</v>
      </c>
      <c r="E15167" s="2">
        <v>36.659999999999997</v>
      </c>
      <c r="F15167" s="2">
        <v>1</v>
      </c>
      <c r="G15167" s="2" t="s">
        <v>11</v>
      </c>
    </row>
    <row r="15168" spans="1:7" x14ac:dyDescent="0.2">
      <c r="A15168" s="2" t="s">
        <v>3540</v>
      </c>
      <c r="B15168" s="2" t="s">
        <v>645</v>
      </c>
      <c r="C15168" s="2">
        <v>583.2441</v>
      </c>
      <c r="D15168" s="2">
        <f>HYPERLINK("http://mcb-m6.bioreg.kyushu-u.ac.jp/M3/20110421/F51035/1137/1", 56.97)</f>
        <v>56.97</v>
      </c>
      <c r="E15168" s="2">
        <v>28.36</v>
      </c>
      <c r="F15168" s="2">
        <v>2</v>
      </c>
      <c r="G15168" s="2" t="s">
        <v>11</v>
      </c>
    </row>
    <row r="15169" spans="1:7" x14ac:dyDescent="0.2">
      <c r="A15169" s="2" t="s">
        <v>3540</v>
      </c>
      <c r="B15169" s="2" t="s">
        <v>727</v>
      </c>
      <c r="C15169" s="2">
        <v>696.22969999999998</v>
      </c>
      <c r="D15169" s="2">
        <f>HYPERLINK("http://mcb-m6.bioreg.kyushu-u.ac.jp/M3/20110421/F51016/1954/1", 60.23)</f>
        <v>60.23</v>
      </c>
      <c r="E15169" s="2">
        <v>44.04</v>
      </c>
      <c r="F15169" s="2">
        <v>2</v>
      </c>
      <c r="G15169" s="2" t="s">
        <v>11</v>
      </c>
    </row>
    <row r="15170" spans="1:7" x14ac:dyDescent="0.2">
      <c r="A15170" s="2" t="s">
        <v>3540</v>
      </c>
      <c r="B15170" s="2" t="s">
        <v>645</v>
      </c>
      <c r="C15170" s="2">
        <v>583.33069999999998</v>
      </c>
      <c r="D15170" s="2">
        <f>HYPERLINK("http://mcb-m6.bioreg.kyushu-u.ac.jp/M3/20110421/F51034/1251/1", 61.7)</f>
        <v>61.7</v>
      </c>
      <c r="E15170" s="2">
        <v>34.19</v>
      </c>
      <c r="F15170" s="2">
        <v>2</v>
      </c>
      <c r="G15170" s="2" t="s">
        <v>11</v>
      </c>
    </row>
    <row r="15171" spans="1:7" x14ac:dyDescent="0.2">
      <c r="A15171" s="2" t="s">
        <v>3540</v>
      </c>
      <c r="B15171" s="2" t="s">
        <v>737</v>
      </c>
      <c r="C15171" s="2">
        <v>691.15470000000005</v>
      </c>
      <c r="D15171" s="2">
        <f>HYPERLINK("http://mcb-m6.bioreg.kyushu-u.ac.jp/M3/20110421/F51039/1811/1", 63.28)</f>
        <v>63.28</v>
      </c>
      <c r="E15171" s="2">
        <v>52.95</v>
      </c>
      <c r="F15171" s="2">
        <v>2</v>
      </c>
      <c r="G15171" s="2" t="s">
        <v>11</v>
      </c>
    </row>
    <row r="15172" spans="1:7" x14ac:dyDescent="0.2">
      <c r="A15172" s="2" t="s">
        <v>3540</v>
      </c>
      <c r="B15172" s="2" t="s">
        <v>737</v>
      </c>
      <c r="C15172" s="2">
        <v>691.69320000000005</v>
      </c>
      <c r="D15172" s="2">
        <f>HYPERLINK("http://mcb-m6.bioreg.kyushu-u.ac.jp/M3/20110421/F51018/1857/1", 65.83)</f>
        <v>65.83</v>
      </c>
      <c r="E15172" s="2">
        <v>49.91</v>
      </c>
      <c r="F15172" s="2">
        <v>2</v>
      </c>
      <c r="G15172" s="2" t="s">
        <v>11</v>
      </c>
    </row>
    <row r="15173" spans="1:7" x14ac:dyDescent="0.2">
      <c r="A15173" s="2" t="s">
        <v>3540</v>
      </c>
      <c r="B15173" s="2" t="s">
        <v>645</v>
      </c>
      <c r="C15173" s="2">
        <v>583.21010000000001</v>
      </c>
      <c r="D15173" s="2">
        <f>HYPERLINK("http://mcb-m6.bioreg.kyushu-u.ac.jp/M3/20110421/F51020/1390/1", 69.11)</f>
        <v>69.11</v>
      </c>
      <c r="E15173" s="2">
        <v>41.56</v>
      </c>
      <c r="F15173" s="2">
        <v>2</v>
      </c>
      <c r="G15173" s="2" t="s">
        <v>11</v>
      </c>
    </row>
    <row r="15174" spans="1:7" x14ac:dyDescent="0.2">
      <c r="A15174" s="2" t="s">
        <v>3540</v>
      </c>
      <c r="B15174" s="2" t="s">
        <v>737</v>
      </c>
      <c r="C15174" s="2">
        <v>691.73220000000003</v>
      </c>
      <c r="D15174" s="2">
        <f>HYPERLINK("http://mcb-m6.bioreg.kyushu-u.ac.jp/M3/20110421/F51037/1704/1", 73.7)</f>
        <v>73.7</v>
      </c>
      <c r="E15174" s="2">
        <v>55.77</v>
      </c>
      <c r="F15174" s="2">
        <v>2</v>
      </c>
      <c r="G15174" s="2" t="s">
        <v>11</v>
      </c>
    </row>
    <row r="15175" spans="1:7" x14ac:dyDescent="0.2">
      <c r="A15175" s="2" t="s">
        <v>3540</v>
      </c>
      <c r="B15175" s="2" t="s">
        <v>737</v>
      </c>
      <c r="C15175" s="2">
        <v>691.73270000000002</v>
      </c>
      <c r="D15175" s="2">
        <f>HYPERLINK("http://mcb-m6.bioreg.kyushu-u.ac.jp/M3/20110421/F51019/1854/1", 77.13)</f>
        <v>77.13</v>
      </c>
      <c r="E15175" s="2">
        <v>55.95</v>
      </c>
      <c r="F15175" s="2">
        <v>2</v>
      </c>
      <c r="G15175" s="2" t="s">
        <v>11</v>
      </c>
    </row>
    <row r="15176" spans="1:7" x14ac:dyDescent="0.2">
      <c r="A15176" s="2" t="s">
        <v>3540</v>
      </c>
      <c r="B15176" s="2" t="s">
        <v>737</v>
      </c>
      <c r="C15176" s="2">
        <v>691.51869999999997</v>
      </c>
      <c r="D15176" s="2">
        <f>HYPERLINK("http://mcb-m6.bioreg.kyushu-u.ac.jp/M3/20110421/F51014/1906/1", 78.94)</f>
        <v>78.94</v>
      </c>
      <c r="E15176" s="2">
        <v>57.76</v>
      </c>
      <c r="F15176" s="2">
        <v>2</v>
      </c>
      <c r="G15176" s="2" t="s">
        <v>11</v>
      </c>
    </row>
    <row r="15177" spans="1:7" x14ac:dyDescent="0.2">
      <c r="A15177" s="2" t="s">
        <v>3540</v>
      </c>
      <c r="B15177" s="2" t="s">
        <v>737</v>
      </c>
      <c r="C15177" s="2">
        <v>691.33920000000001</v>
      </c>
      <c r="D15177" s="2">
        <f>HYPERLINK("http://mcb-m6.bioreg.kyushu-u.ac.jp/M3/20110421/F51034/1743/1", 81.65)</f>
        <v>81.650000000000006</v>
      </c>
      <c r="E15177" s="2">
        <v>67.81</v>
      </c>
      <c r="F15177" s="2">
        <v>2</v>
      </c>
      <c r="G15177" s="2" t="s">
        <v>11</v>
      </c>
    </row>
    <row r="15178" spans="1:7" x14ac:dyDescent="0.2">
      <c r="A15178" s="2" t="s">
        <v>3540</v>
      </c>
      <c r="B15178" s="2" t="s">
        <v>727</v>
      </c>
      <c r="C15178" s="2">
        <v>696.23519999999996</v>
      </c>
      <c r="D15178" s="2">
        <f>HYPERLINK("http://mcb-m6.bioreg.kyushu-u.ac.jp/M3/20110421/F51017/1800/1", 82.09)</f>
        <v>82.09</v>
      </c>
      <c r="E15178" s="2">
        <v>63.81</v>
      </c>
      <c r="F15178" s="2">
        <v>2</v>
      </c>
      <c r="G15178" s="2" t="s">
        <v>11</v>
      </c>
    </row>
    <row r="15179" spans="1:7" x14ac:dyDescent="0.2">
      <c r="A15179" s="2" t="s">
        <v>3540</v>
      </c>
      <c r="B15179" s="2" t="s">
        <v>737</v>
      </c>
      <c r="C15179" s="2">
        <v>691.21770000000004</v>
      </c>
      <c r="D15179" s="2">
        <f>HYPERLINK("http://mcb-m6.bioreg.kyushu-u.ac.jp/M3/20110421/F51037/1701/1", 82.38)</f>
        <v>82.38</v>
      </c>
      <c r="E15179" s="2">
        <v>67.790000000000006</v>
      </c>
      <c r="F15179" s="2">
        <v>2</v>
      </c>
      <c r="G15179" s="2" t="s">
        <v>11</v>
      </c>
    </row>
    <row r="15180" spans="1:7" x14ac:dyDescent="0.2">
      <c r="A15180" s="2" t="s">
        <v>3540</v>
      </c>
      <c r="B15180" s="2" t="s">
        <v>727</v>
      </c>
      <c r="C15180" s="2">
        <v>696.36720000000003</v>
      </c>
      <c r="D15180" s="2">
        <f>HYPERLINK("http://mcb-m6.bioreg.kyushu-u.ac.jp/M3/20110421/F51034/1770/1", 82.97)</f>
        <v>82.97</v>
      </c>
      <c r="E15180" s="2">
        <v>66.95</v>
      </c>
      <c r="F15180" s="2">
        <v>2</v>
      </c>
      <c r="G15180" s="2" t="s">
        <v>11</v>
      </c>
    </row>
    <row r="15181" spans="1:7" x14ac:dyDescent="0.2">
      <c r="A15181" s="2" t="s">
        <v>3540</v>
      </c>
      <c r="B15181" s="2" t="s">
        <v>737</v>
      </c>
      <c r="C15181" s="2">
        <v>691.57460000000003</v>
      </c>
      <c r="D15181" s="2">
        <f>HYPERLINK("http://mcb-m6.bioreg.kyushu-u.ac.jp/M3/20110421/F51035/1676/1", 87.28)</f>
        <v>87.28</v>
      </c>
      <c r="E15181" s="2">
        <v>71.040000000000006</v>
      </c>
      <c r="F15181" s="2">
        <v>2</v>
      </c>
      <c r="G15181" s="2" t="s">
        <v>11</v>
      </c>
    </row>
    <row r="15182" spans="1:7" x14ac:dyDescent="0.2">
      <c r="A15182" s="2" t="s">
        <v>3540</v>
      </c>
      <c r="B15182" s="2" t="s">
        <v>737</v>
      </c>
      <c r="C15182" s="2">
        <v>691.07069999999999</v>
      </c>
      <c r="D15182" s="2">
        <f>HYPERLINK("http://mcb-m6.bioreg.kyushu-u.ac.jp/M3/20110421/F51017/1765/1", 89.46)</f>
        <v>89.46</v>
      </c>
      <c r="E15182" s="2">
        <v>69.11</v>
      </c>
      <c r="F15182" s="2">
        <v>2</v>
      </c>
      <c r="G15182" s="2" t="s">
        <v>11</v>
      </c>
    </row>
    <row r="15183" spans="1:7" x14ac:dyDescent="0.2">
      <c r="A15183" s="2" t="s">
        <v>3540</v>
      </c>
      <c r="B15183" s="2" t="s">
        <v>737</v>
      </c>
      <c r="C15183" s="2">
        <v>691.10059999999999</v>
      </c>
      <c r="D15183" s="2">
        <f>HYPERLINK("http://mcb-m6.bioreg.kyushu-u.ac.jp/M3/20110421/F51015/1889/1", 89.79)</f>
        <v>89.79</v>
      </c>
      <c r="E15183" s="2">
        <v>70.069999999999993</v>
      </c>
      <c r="F15183" s="2">
        <v>2</v>
      </c>
      <c r="G15183" s="2" t="s">
        <v>11</v>
      </c>
    </row>
    <row r="15184" spans="1:7" x14ac:dyDescent="0.2">
      <c r="A15184" s="2" t="s">
        <v>3540</v>
      </c>
      <c r="B15184" s="2" t="s">
        <v>727</v>
      </c>
      <c r="C15184" s="2">
        <v>696.37959999999998</v>
      </c>
      <c r="D15184" s="2">
        <f>HYPERLINK("http://mcb-m6.bioreg.kyushu-u.ac.jp/M3/20110421/F51035/1710/1", 92.19)</f>
        <v>92.19</v>
      </c>
      <c r="E15184" s="2">
        <v>70.14</v>
      </c>
      <c r="F15184" s="2">
        <v>2</v>
      </c>
      <c r="G15184" s="2" t="s">
        <v>11</v>
      </c>
    </row>
    <row r="15185" spans="1:8" x14ac:dyDescent="0.2">
      <c r="A15185" s="2" t="s">
        <v>3540</v>
      </c>
      <c r="B15185" s="2" t="s">
        <v>737</v>
      </c>
      <c r="C15185" s="2">
        <v>691.42359999999996</v>
      </c>
      <c r="D15185" s="2">
        <f>HYPERLINK("http://mcb-m6.bioreg.kyushu-u.ac.jp/M3/20110421/F51058/1581/1", 99.59)</f>
        <v>99.59</v>
      </c>
      <c r="E15185" s="2">
        <v>84.39</v>
      </c>
      <c r="F15185" s="2">
        <v>2</v>
      </c>
      <c r="G15185" s="2" t="s">
        <v>11</v>
      </c>
    </row>
    <row r="15186" spans="1:8" x14ac:dyDescent="0.2">
      <c r="A15186" s="2" t="s">
        <v>3540</v>
      </c>
      <c r="B15186" s="2" t="s">
        <v>737</v>
      </c>
      <c r="C15186" s="2">
        <v>691.27919999999995</v>
      </c>
      <c r="D15186" s="2">
        <f>HYPERLINK("http://mcb-m6.bioreg.kyushu-u.ac.jp/M3/20110421/F51020/1791/1", 100.17)</f>
        <v>100.17</v>
      </c>
      <c r="E15186" s="2">
        <v>78.22</v>
      </c>
      <c r="F15186" s="2">
        <v>2</v>
      </c>
      <c r="G15186" s="2" t="s">
        <v>11</v>
      </c>
    </row>
    <row r="15187" spans="1:8" x14ac:dyDescent="0.2">
      <c r="A15187" s="2" t="s">
        <v>3540</v>
      </c>
      <c r="B15187" s="2" t="s">
        <v>727</v>
      </c>
      <c r="C15187" s="2">
        <v>695.84010000000001</v>
      </c>
      <c r="D15187" s="2">
        <f>HYPERLINK("http://mcb-m6.bioreg.kyushu-u.ac.jp/M3/20110421/F51035/1705/1", 123.62)</f>
        <v>123.62</v>
      </c>
      <c r="E15187" s="2">
        <v>95.49</v>
      </c>
      <c r="F15187" s="2">
        <v>2</v>
      </c>
      <c r="G15187" s="2" t="s">
        <v>11</v>
      </c>
    </row>
    <row r="15188" spans="1:8" x14ac:dyDescent="0.2">
      <c r="A15188" s="2" t="s">
        <v>3540</v>
      </c>
      <c r="B15188" s="2" t="s">
        <v>395</v>
      </c>
      <c r="C15188" s="2">
        <v>502.7826</v>
      </c>
      <c r="D15188" s="2">
        <f>HYPERLINK("http://mcb-m6.bioreg.kyushu-u.ac.jp/M3/20110421/F51021/845/1", 40.57)</f>
        <v>40.57</v>
      </c>
      <c r="E15188" s="2">
        <v>12.15</v>
      </c>
      <c r="F15188" s="2">
        <v>2</v>
      </c>
      <c r="G15188" s="2" t="s">
        <v>12</v>
      </c>
    </row>
    <row r="15189" spans="1:8" x14ac:dyDescent="0.2">
      <c r="A15189" s="2" t="s">
        <v>3540</v>
      </c>
      <c r="B15189" s="2" t="s">
        <v>737</v>
      </c>
      <c r="C15189" s="2">
        <v>691.79219999999998</v>
      </c>
      <c r="D15189" s="2">
        <f>HYPERLINK("http://mcb-m6.bioreg.kyushu-u.ac.jp/M3/20110421/F51026/1911/1", 43.98)</f>
        <v>43.98</v>
      </c>
      <c r="E15189" s="2">
        <v>22.27</v>
      </c>
      <c r="F15189" s="2">
        <v>2</v>
      </c>
      <c r="G15189" s="2" t="s">
        <v>12</v>
      </c>
    </row>
    <row r="15190" spans="1:8" x14ac:dyDescent="0.2">
      <c r="A15190" s="2" t="s">
        <v>3540</v>
      </c>
      <c r="B15190" s="2" t="s">
        <v>645</v>
      </c>
      <c r="C15190" s="2">
        <v>583.29859999999996</v>
      </c>
      <c r="D15190" s="2">
        <f>HYPERLINK("http://mcb-m6.bioreg.kyushu-u.ac.jp/M3/20110421/F51050/1457/1", 49.68)</f>
        <v>49.68</v>
      </c>
      <c r="E15190" s="2">
        <v>27.8</v>
      </c>
      <c r="F15190" s="2">
        <v>2</v>
      </c>
      <c r="G15190" s="2" t="s">
        <v>12</v>
      </c>
    </row>
    <row r="15191" spans="1:8" x14ac:dyDescent="0.2">
      <c r="A15191" s="2" t="s">
        <v>3540</v>
      </c>
      <c r="B15191" s="2" t="s">
        <v>645</v>
      </c>
      <c r="C15191" s="2">
        <v>583.36469999999997</v>
      </c>
      <c r="D15191" s="2">
        <f>HYPERLINK("http://mcb-m6.bioreg.kyushu-u.ac.jp/M3/20110421/F51045/1483/1", 52.02)</f>
        <v>52.02</v>
      </c>
      <c r="E15191" s="2">
        <v>22.27</v>
      </c>
      <c r="F15191" s="2">
        <v>2</v>
      </c>
      <c r="G15191" s="2" t="s">
        <v>12</v>
      </c>
    </row>
    <row r="15192" spans="1:8" x14ac:dyDescent="0.2">
      <c r="A15192" s="2" t="s">
        <v>3540</v>
      </c>
      <c r="B15192" s="2" t="s">
        <v>727</v>
      </c>
      <c r="C15192" s="2">
        <v>696.39509999999996</v>
      </c>
      <c r="D15192" s="2">
        <f>HYPERLINK("http://mcb-m6.bioreg.kyushu-u.ac.jp/M3/20110421/F51026/1921/1", 53.49)</f>
        <v>53.49</v>
      </c>
      <c r="E15192" s="2">
        <v>35.44</v>
      </c>
      <c r="F15192" s="2">
        <v>2</v>
      </c>
      <c r="G15192" s="2" t="s">
        <v>12</v>
      </c>
    </row>
    <row r="15193" spans="1:8" x14ac:dyDescent="0.2">
      <c r="A15193" s="2" t="s">
        <v>3540</v>
      </c>
      <c r="B15193" s="2" t="s">
        <v>645</v>
      </c>
      <c r="C15193" s="2">
        <v>583.2491</v>
      </c>
      <c r="D15193" s="2">
        <f>HYPERLINK("http://mcb-m6.bioreg.kyushu-u.ac.jp/M3/20110421/F51021/1229/1", 56.67)</f>
        <v>56.67</v>
      </c>
      <c r="E15193" s="2">
        <v>29.02</v>
      </c>
      <c r="F15193" s="2">
        <v>2</v>
      </c>
      <c r="G15193" s="2" t="s">
        <v>12</v>
      </c>
    </row>
    <row r="15194" spans="1:8" x14ac:dyDescent="0.2">
      <c r="A15194" s="2" t="s">
        <v>3540</v>
      </c>
      <c r="B15194" s="2" t="s">
        <v>645</v>
      </c>
      <c r="C15194" s="2">
        <v>583.43370000000004</v>
      </c>
      <c r="D15194" s="2">
        <f>HYPERLINK("http://mcb-m6.bioreg.kyushu-u.ac.jp/M3/20110421/F51043/1293/1", 58.06)</f>
        <v>58.06</v>
      </c>
      <c r="E15194" s="2">
        <v>30.86</v>
      </c>
      <c r="F15194" s="2">
        <v>2</v>
      </c>
      <c r="G15194" s="2" t="s">
        <v>12</v>
      </c>
    </row>
    <row r="15195" spans="1:8" x14ac:dyDescent="0.2">
      <c r="A15195" s="2" t="s">
        <v>3540</v>
      </c>
      <c r="B15195" s="2" t="s">
        <v>737</v>
      </c>
      <c r="C15195" s="2">
        <v>1381.5640000000001</v>
      </c>
      <c r="D15195" s="2">
        <f>HYPERLINK("http://mcb-m6.bioreg.kyushu-u.ac.jp/M3/20110421/F51061/1684/1", 58.08)</f>
        <v>58.08</v>
      </c>
      <c r="E15195" s="2">
        <v>40.659999999999997</v>
      </c>
      <c r="F15195" s="2">
        <v>1</v>
      </c>
      <c r="G15195" s="2" t="s">
        <v>12</v>
      </c>
    </row>
    <row r="15196" spans="1:8" x14ac:dyDescent="0.2">
      <c r="A15196" s="2" t="s">
        <v>3540</v>
      </c>
      <c r="B15196" s="2" t="s">
        <v>737</v>
      </c>
      <c r="C15196" s="2">
        <v>1381.414</v>
      </c>
      <c r="D15196" s="2">
        <f>HYPERLINK("http://mcb-m6.bioreg.kyushu-u.ac.jp/M3/20110421/F51021/1789/1", 58.32)</f>
        <v>58.32</v>
      </c>
      <c r="E15196" s="2">
        <v>33.17</v>
      </c>
      <c r="F15196" s="2">
        <v>1</v>
      </c>
      <c r="G15196" s="2" t="s">
        <v>12</v>
      </c>
    </row>
    <row r="15197" spans="1:8" x14ac:dyDescent="0.2">
      <c r="A15197" s="2" t="s">
        <v>3540</v>
      </c>
      <c r="B15197" s="2" t="s">
        <v>645</v>
      </c>
      <c r="C15197" s="2">
        <v>583.35969999999998</v>
      </c>
      <c r="D15197" s="2">
        <f>HYPERLINK("http://mcb-m6.bioreg.kyushu-u.ac.jp/M3/20110421/F51044/1251/1", 59.36)</f>
        <v>59.36</v>
      </c>
      <c r="E15197" s="2">
        <v>34.79</v>
      </c>
      <c r="F15197" s="2">
        <v>2</v>
      </c>
      <c r="G15197" s="2" t="s">
        <v>12</v>
      </c>
    </row>
    <row r="15198" spans="1:8" x14ac:dyDescent="0.2">
      <c r="A15198" s="2" t="s">
        <v>3540</v>
      </c>
      <c r="B15198" s="2" t="s">
        <v>645</v>
      </c>
      <c r="C15198" s="2">
        <v>583.29219999999998</v>
      </c>
      <c r="D15198" s="2">
        <f>HYPERLINK("http://mcb-m6.bioreg.kyushu-u.ac.jp/M3/20110421/F51061/1282/1", 62.2)</f>
        <v>62.2</v>
      </c>
      <c r="E15198" s="2">
        <v>32.93</v>
      </c>
      <c r="F15198" s="2">
        <v>2</v>
      </c>
      <c r="G15198" s="2" t="s">
        <v>12</v>
      </c>
    </row>
    <row r="15199" spans="1:8" x14ac:dyDescent="0.2">
      <c r="A15199" s="2" t="s">
        <v>3540</v>
      </c>
      <c r="B15199" s="2" t="s">
        <v>727</v>
      </c>
      <c r="C15199" s="2">
        <v>687.65520000000004</v>
      </c>
      <c r="D15199" s="2">
        <f>HYPERLINK("http://mcb-m6.bioreg.kyushu-u.ac.jp/M3/20110421/F51061/1653/1", 68.12)</f>
        <v>68.12</v>
      </c>
      <c r="E15199" s="2">
        <v>46.44</v>
      </c>
      <c r="F15199" s="2">
        <v>2</v>
      </c>
      <c r="G15199" s="2" t="s">
        <v>12</v>
      </c>
      <c r="H15199" s="2" t="s">
        <v>4904</v>
      </c>
    </row>
    <row r="15200" spans="1:8" x14ac:dyDescent="0.2">
      <c r="A15200" s="2" t="s">
        <v>3540</v>
      </c>
      <c r="B15200" s="2" t="s">
        <v>737</v>
      </c>
      <c r="C15200" s="2">
        <v>691.87270000000001</v>
      </c>
      <c r="D15200" s="2">
        <f>HYPERLINK("http://mcb-m6.bioreg.kyushu-u.ac.jp/M3/20110421/F51043/1796/1", 70.83)</f>
        <v>70.83</v>
      </c>
      <c r="E15200" s="2">
        <v>54.54</v>
      </c>
      <c r="F15200" s="2">
        <v>2</v>
      </c>
      <c r="G15200" s="2" t="s">
        <v>12</v>
      </c>
    </row>
    <row r="15201" spans="1:7" x14ac:dyDescent="0.2">
      <c r="A15201" s="2" t="s">
        <v>3540</v>
      </c>
      <c r="B15201" s="2" t="s">
        <v>727</v>
      </c>
      <c r="C15201" s="2">
        <v>695.93520000000001</v>
      </c>
      <c r="D15201" s="2">
        <f>HYPERLINK("http://mcb-m6.bioreg.kyushu-u.ac.jp/M3/20110421/F51043/1821/1", 71.28)</f>
        <v>71.28</v>
      </c>
      <c r="E15201" s="2">
        <v>52.45</v>
      </c>
      <c r="F15201" s="2">
        <v>2</v>
      </c>
      <c r="G15201" s="2" t="s">
        <v>12</v>
      </c>
    </row>
    <row r="15202" spans="1:7" x14ac:dyDescent="0.2">
      <c r="A15202" s="2" t="s">
        <v>3540</v>
      </c>
      <c r="B15202" s="2" t="s">
        <v>737</v>
      </c>
      <c r="C15202" s="2">
        <v>691.34010000000001</v>
      </c>
      <c r="D15202" s="2">
        <f>HYPERLINK("http://mcb-m6.bioreg.kyushu-u.ac.jp/M3/20110421/F51050/1908/1", 71.38)</f>
        <v>71.38</v>
      </c>
      <c r="E15202" s="2">
        <v>58.3</v>
      </c>
      <c r="F15202" s="2">
        <v>2</v>
      </c>
      <c r="G15202" s="2" t="s">
        <v>12</v>
      </c>
    </row>
    <row r="15203" spans="1:7" x14ac:dyDescent="0.2">
      <c r="A15203" s="2" t="s">
        <v>3540</v>
      </c>
      <c r="B15203" s="2" t="s">
        <v>645</v>
      </c>
      <c r="C15203" s="2">
        <v>583.1902</v>
      </c>
      <c r="D15203" s="2">
        <f>HYPERLINK("http://mcb-m6.bioreg.kyushu-u.ac.jp/M3/20110421/F51024/1498/1", 72.08)</f>
        <v>72.08</v>
      </c>
      <c r="E15203" s="2">
        <v>45.27</v>
      </c>
      <c r="F15203" s="2">
        <v>2</v>
      </c>
      <c r="G15203" s="2" t="s">
        <v>12</v>
      </c>
    </row>
    <row r="15204" spans="1:7" x14ac:dyDescent="0.2">
      <c r="A15204" s="2" t="s">
        <v>3540</v>
      </c>
      <c r="B15204" s="2" t="s">
        <v>737</v>
      </c>
      <c r="C15204" s="2">
        <v>691.63369999999998</v>
      </c>
      <c r="D15204" s="2">
        <f>HYPERLINK("http://mcb-m6.bioreg.kyushu-u.ac.jp/M3/20110421/F51024/1922/1", 73.94)</f>
        <v>73.94</v>
      </c>
      <c r="E15204" s="2">
        <v>53.61</v>
      </c>
      <c r="F15204" s="2">
        <v>2</v>
      </c>
      <c r="G15204" s="2" t="s">
        <v>12</v>
      </c>
    </row>
    <row r="15205" spans="1:7" x14ac:dyDescent="0.2">
      <c r="A15205" s="2" t="s">
        <v>3540</v>
      </c>
      <c r="B15205" s="2" t="s">
        <v>737</v>
      </c>
      <c r="C15205" s="2">
        <v>691.82420000000002</v>
      </c>
      <c r="D15205" s="2">
        <f>HYPERLINK("http://mcb-m6.bioreg.kyushu-u.ac.jp/M3/20110421/F51059/1567/1", 74.5)</f>
        <v>74.5</v>
      </c>
      <c r="E15205" s="2">
        <v>62.68</v>
      </c>
      <c r="F15205" s="2">
        <v>2</v>
      </c>
      <c r="G15205" s="2" t="s">
        <v>12</v>
      </c>
    </row>
    <row r="15206" spans="1:7" x14ac:dyDescent="0.2">
      <c r="A15206" s="2" t="s">
        <v>3540</v>
      </c>
      <c r="B15206" s="2" t="s">
        <v>737</v>
      </c>
      <c r="C15206" s="2">
        <v>691.74159999999995</v>
      </c>
      <c r="D15206" s="2">
        <f>HYPERLINK("http://mcb-m6.bioreg.kyushu-u.ac.jp/M3/20110421/F51023/1899/1", 77.43)</f>
        <v>77.430000000000007</v>
      </c>
      <c r="E15206" s="2">
        <v>55.98</v>
      </c>
      <c r="F15206" s="2">
        <v>2</v>
      </c>
      <c r="G15206" s="2" t="s">
        <v>12</v>
      </c>
    </row>
    <row r="15207" spans="1:7" x14ac:dyDescent="0.2">
      <c r="A15207" s="2" t="s">
        <v>3540</v>
      </c>
      <c r="B15207" s="2" t="s">
        <v>737</v>
      </c>
      <c r="C15207" s="2">
        <v>691.77719999999999</v>
      </c>
      <c r="D15207" s="2">
        <f>HYPERLINK("http://mcb-m6.bioreg.kyushu-u.ac.jp/M3/20110421/F51021/1794/1", 79.14)</f>
        <v>79.14</v>
      </c>
      <c r="E15207" s="2">
        <v>62.2</v>
      </c>
      <c r="F15207" s="2">
        <v>2</v>
      </c>
      <c r="G15207" s="2" t="s">
        <v>12</v>
      </c>
    </row>
    <row r="15208" spans="1:7" x14ac:dyDescent="0.2">
      <c r="A15208" s="2" t="s">
        <v>3540</v>
      </c>
      <c r="B15208" s="2" t="s">
        <v>737</v>
      </c>
      <c r="C15208" s="2">
        <v>691.81920000000002</v>
      </c>
      <c r="D15208" s="2">
        <f>HYPERLINK("http://mcb-m6.bioreg.kyushu-u.ac.jp/M3/20110421/F51061/1689/1", 81.02)</f>
        <v>81.02</v>
      </c>
      <c r="E15208" s="2">
        <v>61.68</v>
      </c>
      <c r="F15208" s="2">
        <v>2</v>
      </c>
      <c r="G15208" s="2" t="s">
        <v>12</v>
      </c>
    </row>
    <row r="15209" spans="1:7" x14ac:dyDescent="0.2">
      <c r="A15209" s="2" t="s">
        <v>3540</v>
      </c>
      <c r="B15209" s="2" t="s">
        <v>737</v>
      </c>
      <c r="C15209" s="2">
        <v>691.36609999999996</v>
      </c>
      <c r="D15209" s="2">
        <f>HYPERLINK("http://mcb-m6.bioreg.kyushu-u.ac.jp/M3/20110421/F51047/1835/1", 81.63)</f>
        <v>81.63</v>
      </c>
      <c r="E15209" s="2">
        <v>67.16</v>
      </c>
      <c r="F15209" s="2">
        <v>2</v>
      </c>
      <c r="G15209" s="2" t="s">
        <v>12</v>
      </c>
    </row>
    <row r="15210" spans="1:7" x14ac:dyDescent="0.2">
      <c r="A15210" s="2" t="s">
        <v>3540</v>
      </c>
      <c r="B15210" s="2" t="s">
        <v>737</v>
      </c>
      <c r="C15210" s="2">
        <v>691.23720000000003</v>
      </c>
      <c r="D15210" s="2">
        <f>HYPERLINK("http://mcb-m6.bioreg.kyushu-u.ac.jp/M3/20110421/F51021/1790/1", 82.71)</f>
        <v>82.71</v>
      </c>
      <c r="E15210" s="2">
        <v>61.33</v>
      </c>
      <c r="F15210" s="2">
        <v>2</v>
      </c>
      <c r="G15210" s="2" t="s">
        <v>12</v>
      </c>
    </row>
    <row r="15211" spans="1:7" x14ac:dyDescent="0.2">
      <c r="A15211" s="2" t="s">
        <v>3540</v>
      </c>
      <c r="B15211" s="2" t="s">
        <v>737</v>
      </c>
      <c r="C15211" s="2">
        <v>691.34860000000003</v>
      </c>
      <c r="D15211" s="2">
        <f>HYPERLINK("http://mcb-m6.bioreg.kyushu-u.ac.jp/M3/20110421/F51043/1791/1", 82.94)</f>
        <v>82.94</v>
      </c>
      <c r="E15211" s="2">
        <v>67.290000000000006</v>
      </c>
      <c r="F15211" s="2">
        <v>2</v>
      </c>
      <c r="G15211" s="2" t="s">
        <v>12</v>
      </c>
    </row>
    <row r="15212" spans="1:7" x14ac:dyDescent="0.2">
      <c r="A15212" s="2" t="s">
        <v>3540</v>
      </c>
      <c r="B15212" s="2" t="s">
        <v>737</v>
      </c>
      <c r="C15212" s="2">
        <v>691.23069999999996</v>
      </c>
      <c r="D15212" s="2">
        <f>HYPERLINK("http://mcb-m6.bioreg.kyushu-u.ac.jp/M3/20110421/F51044/1740/1", 82.98)</f>
        <v>82.98</v>
      </c>
      <c r="E15212" s="2">
        <v>65.39</v>
      </c>
      <c r="F15212" s="2">
        <v>2</v>
      </c>
      <c r="G15212" s="2" t="s">
        <v>12</v>
      </c>
    </row>
    <row r="15213" spans="1:7" x14ac:dyDescent="0.2">
      <c r="A15213" s="2" t="s">
        <v>3540</v>
      </c>
      <c r="B15213" s="2" t="s">
        <v>727</v>
      </c>
      <c r="C15213" s="2">
        <v>695.88419999999996</v>
      </c>
      <c r="D15213" s="2">
        <f>HYPERLINK("http://mcb-m6.bioreg.kyushu-u.ac.jp/M3/20110421/F51050/1928/1", 84.17)</f>
        <v>84.17</v>
      </c>
      <c r="E15213" s="2">
        <v>62.44</v>
      </c>
      <c r="F15213" s="2">
        <v>2</v>
      </c>
      <c r="G15213" s="2" t="s">
        <v>12</v>
      </c>
    </row>
    <row r="15214" spans="1:7" x14ac:dyDescent="0.2">
      <c r="A15214" s="2" t="s">
        <v>3540</v>
      </c>
      <c r="B15214" s="2" t="s">
        <v>737</v>
      </c>
      <c r="C15214" s="2">
        <v>691.42409999999995</v>
      </c>
      <c r="D15214" s="2">
        <f>HYPERLINK("http://mcb-m6.bioreg.kyushu-u.ac.jp/M3/20110421/F51048/1925/1", 96.13)</f>
        <v>96.13</v>
      </c>
      <c r="E15214" s="2">
        <v>78.27</v>
      </c>
      <c r="F15214" s="2">
        <v>2</v>
      </c>
      <c r="G15214" s="2" t="s">
        <v>12</v>
      </c>
    </row>
    <row r="15215" spans="1:7" x14ac:dyDescent="0.2">
      <c r="A15215" s="2" t="s">
        <v>3540</v>
      </c>
      <c r="B15215" s="2" t="s">
        <v>727</v>
      </c>
      <c r="C15215" s="2">
        <v>696.14170000000001</v>
      </c>
      <c r="D15215" s="2">
        <f>HYPERLINK("http://mcb-m6.bioreg.kyushu-u.ac.jp/M3/20110421/F51021/1825/1", 96.78)</f>
        <v>96.78</v>
      </c>
      <c r="E15215" s="2">
        <v>72.63</v>
      </c>
      <c r="F15215" s="2">
        <v>2</v>
      </c>
      <c r="G15215" s="2" t="s">
        <v>12</v>
      </c>
    </row>
    <row r="15216" spans="1:7" x14ac:dyDescent="0.2">
      <c r="A15216" s="2" t="s">
        <v>3540</v>
      </c>
      <c r="B15216" s="2" t="s">
        <v>727</v>
      </c>
      <c r="C15216" s="2">
        <v>695.90419999999995</v>
      </c>
      <c r="D15216" s="2">
        <f>HYPERLINK("http://mcb-m6.bioreg.kyushu-u.ac.jp/M3/20110421/F51045/1974/1", 105.95)</f>
        <v>105.95</v>
      </c>
      <c r="E15216" s="2">
        <v>82.11</v>
      </c>
      <c r="F15216" s="2">
        <v>2</v>
      </c>
      <c r="G15216" s="2" t="s">
        <v>12</v>
      </c>
    </row>
    <row r="15217" spans="1:7" x14ac:dyDescent="0.2">
      <c r="A15217" s="2" t="s">
        <v>3540</v>
      </c>
      <c r="B15217" s="2" t="s">
        <v>727</v>
      </c>
      <c r="C15217" s="2">
        <v>695.93709999999999</v>
      </c>
      <c r="D15217" s="2">
        <f>HYPERLINK("http://mcb-m6.bioreg.kyushu-u.ac.jp/M3/20110421/F51061/1714/1", 112.82)</f>
        <v>112.82</v>
      </c>
      <c r="E15217" s="2">
        <v>86.94</v>
      </c>
      <c r="F15217" s="2">
        <v>2</v>
      </c>
      <c r="G15217" s="2" t="s">
        <v>12</v>
      </c>
    </row>
    <row r="15218" spans="1:7" x14ac:dyDescent="0.2">
      <c r="A15218" s="2" t="s">
        <v>3540</v>
      </c>
      <c r="B15218" s="2" t="s">
        <v>395</v>
      </c>
      <c r="C15218" s="2">
        <v>502.20510000000002</v>
      </c>
      <c r="D15218" s="2">
        <f>HYPERLINK("http://mcb-m6.bioreg.kyushu-u.ac.jp/M3/20110427/F51114/920/1", 35.14)</f>
        <v>35.14</v>
      </c>
      <c r="E15218" s="2">
        <v>14.05</v>
      </c>
      <c r="F15218" s="2">
        <v>2</v>
      </c>
      <c r="G15218" s="2" t="s">
        <v>13</v>
      </c>
    </row>
    <row r="15219" spans="1:7" x14ac:dyDescent="0.2">
      <c r="A15219" s="2" t="s">
        <v>3540</v>
      </c>
      <c r="B15219" s="2" t="s">
        <v>645</v>
      </c>
      <c r="C15219" s="2">
        <v>583.58510000000001</v>
      </c>
      <c r="D15219" s="2">
        <f>HYPERLINK("http://mcb-m6.bioreg.kyushu-u.ac.jp/M3/20110428/F51131/1087/1", 38.51)</f>
        <v>38.51</v>
      </c>
      <c r="E15219" s="2">
        <v>19.579999999999998</v>
      </c>
      <c r="F15219" s="2">
        <v>2</v>
      </c>
      <c r="G15219" s="2" t="s">
        <v>13</v>
      </c>
    </row>
    <row r="15220" spans="1:7" x14ac:dyDescent="0.2">
      <c r="A15220" s="2" t="s">
        <v>3540</v>
      </c>
      <c r="B15220" s="2" t="s">
        <v>395</v>
      </c>
      <c r="C15220" s="2">
        <v>502.1771</v>
      </c>
      <c r="D15220" s="2">
        <f>HYPERLINK("http://mcb-m6.bioreg.kyushu-u.ac.jp/M3/20110427/F51108/1211/1", 39.38)</f>
        <v>39.380000000000003</v>
      </c>
      <c r="E15220" s="2">
        <v>10.44</v>
      </c>
      <c r="F15220" s="2">
        <v>2</v>
      </c>
      <c r="G15220" s="2" t="s">
        <v>13</v>
      </c>
    </row>
    <row r="15221" spans="1:7" x14ac:dyDescent="0.2">
      <c r="A15221" s="2" t="s">
        <v>3540</v>
      </c>
      <c r="B15221" s="2" t="s">
        <v>737</v>
      </c>
      <c r="C15221" s="2">
        <v>1381.3869999999999</v>
      </c>
      <c r="D15221" s="2">
        <f>HYPERLINK("http://mcb-m6.bioreg.kyushu-u.ac.jp/M3/20110427/F51108/1866/1", 42.02)</f>
        <v>42.02</v>
      </c>
      <c r="E15221" s="2">
        <v>20.75</v>
      </c>
      <c r="F15221" s="2">
        <v>1</v>
      </c>
      <c r="G15221" s="2" t="s">
        <v>13</v>
      </c>
    </row>
    <row r="15222" spans="1:7" x14ac:dyDescent="0.2">
      <c r="A15222" s="2" t="s">
        <v>3540</v>
      </c>
      <c r="B15222" s="2" t="s">
        <v>395</v>
      </c>
      <c r="C15222" s="2">
        <v>502.74259999999998</v>
      </c>
      <c r="D15222" s="2">
        <f>HYPERLINK("http://mcb-m6.bioreg.kyushu-u.ac.jp/M3/20110427/F51112/1052/1", 48.67)</f>
        <v>48.67</v>
      </c>
      <c r="E15222" s="2">
        <v>8.35</v>
      </c>
      <c r="F15222" s="2">
        <v>2</v>
      </c>
      <c r="G15222" s="2" t="s">
        <v>13</v>
      </c>
    </row>
    <row r="15223" spans="1:7" x14ac:dyDescent="0.2">
      <c r="A15223" s="2" t="s">
        <v>3540</v>
      </c>
      <c r="B15223" s="2" t="s">
        <v>645</v>
      </c>
      <c r="C15223" s="2">
        <v>583.08810000000005</v>
      </c>
      <c r="D15223" s="2">
        <f>HYPERLINK("http://mcb-m6.bioreg.kyushu-u.ac.jp/M3/20110427/F51117/1316/1", 51.94)</f>
        <v>51.94</v>
      </c>
      <c r="E15223" s="2">
        <v>27.76</v>
      </c>
      <c r="F15223" s="2">
        <v>2</v>
      </c>
      <c r="G15223" s="2" t="s">
        <v>13</v>
      </c>
    </row>
    <row r="15224" spans="1:7" x14ac:dyDescent="0.2">
      <c r="A15224" s="2" t="s">
        <v>3540</v>
      </c>
      <c r="B15224" s="2" t="s">
        <v>645</v>
      </c>
      <c r="C15224" s="2">
        <v>583.14970000000005</v>
      </c>
      <c r="D15224" s="2">
        <f>HYPERLINK("http://mcb-m6.bioreg.kyushu-u.ac.jp/M3/20110427/F51114/1292/1", 53.76)</f>
        <v>53.76</v>
      </c>
      <c r="E15224" s="2">
        <v>30.52</v>
      </c>
      <c r="F15224" s="2">
        <v>2</v>
      </c>
      <c r="G15224" s="2" t="s">
        <v>13</v>
      </c>
    </row>
    <row r="15225" spans="1:7" x14ac:dyDescent="0.2">
      <c r="A15225" s="2" t="s">
        <v>3540</v>
      </c>
      <c r="B15225" s="2" t="s">
        <v>737</v>
      </c>
      <c r="C15225" s="2">
        <v>691.13319999999999</v>
      </c>
      <c r="D15225" s="2">
        <f>HYPERLINK("http://mcb-m6.bioreg.kyushu-u.ac.jp/M3/20110427/F51113/1759/1", 54.71)</f>
        <v>54.71</v>
      </c>
      <c r="E15225" s="2">
        <v>42.25</v>
      </c>
      <c r="F15225" s="2">
        <v>2</v>
      </c>
      <c r="G15225" s="2" t="s">
        <v>13</v>
      </c>
    </row>
    <row r="15226" spans="1:7" x14ac:dyDescent="0.2">
      <c r="A15226" s="2" t="s">
        <v>3540</v>
      </c>
      <c r="B15226" s="2" t="s">
        <v>645</v>
      </c>
      <c r="C15226" s="2">
        <v>583.07619999999997</v>
      </c>
      <c r="D15226" s="2">
        <f>HYPERLINK("http://mcb-m6.bioreg.kyushu-u.ac.jp/M3/20110427/F51112/1422/1", 56.02)</f>
        <v>56.02</v>
      </c>
      <c r="E15226" s="2">
        <v>32.700000000000003</v>
      </c>
      <c r="F15226" s="2">
        <v>2</v>
      </c>
      <c r="G15226" s="2" t="s">
        <v>13</v>
      </c>
    </row>
    <row r="15227" spans="1:7" x14ac:dyDescent="0.2">
      <c r="A15227" s="2" t="s">
        <v>3540</v>
      </c>
      <c r="B15227" s="2" t="s">
        <v>645</v>
      </c>
      <c r="C15227" s="2">
        <v>583.16110000000003</v>
      </c>
      <c r="D15227" s="2">
        <f>HYPERLINK("http://mcb-m6.bioreg.kyushu-u.ac.jp/M3/20110427/F51113/1320/1", 56.64)</f>
        <v>56.64</v>
      </c>
      <c r="E15227" s="2">
        <v>32.57</v>
      </c>
      <c r="F15227" s="2">
        <v>2</v>
      </c>
      <c r="G15227" s="2" t="s">
        <v>13</v>
      </c>
    </row>
    <row r="15228" spans="1:7" x14ac:dyDescent="0.2">
      <c r="A15228" s="2" t="s">
        <v>3540</v>
      </c>
      <c r="B15228" s="2" t="s">
        <v>645</v>
      </c>
      <c r="C15228" s="2">
        <v>583.62070000000006</v>
      </c>
      <c r="D15228" s="2">
        <f>HYPERLINK("http://mcb-m6.bioreg.kyushu-u.ac.jp/M3/20110428/F51127/1112/1", 57.53)</f>
        <v>57.53</v>
      </c>
      <c r="E15228" s="2">
        <v>24.27</v>
      </c>
      <c r="F15228" s="2">
        <v>2</v>
      </c>
      <c r="G15228" s="2" t="s">
        <v>13</v>
      </c>
    </row>
    <row r="15229" spans="1:7" x14ac:dyDescent="0.2">
      <c r="A15229" s="2" t="s">
        <v>3540</v>
      </c>
      <c r="B15229" s="2" t="s">
        <v>727</v>
      </c>
      <c r="C15229" s="2">
        <v>696.04970000000003</v>
      </c>
      <c r="D15229" s="2">
        <f>HYPERLINK("http://mcb-m6.bioreg.kyushu-u.ac.jp/M3/20110427/F51111/1932/1", 63.15)</f>
        <v>63.15</v>
      </c>
      <c r="E15229" s="2">
        <v>43.85</v>
      </c>
      <c r="F15229" s="2">
        <v>2</v>
      </c>
      <c r="G15229" s="2" t="s">
        <v>13</v>
      </c>
    </row>
    <row r="15230" spans="1:7" x14ac:dyDescent="0.2">
      <c r="A15230" s="2" t="s">
        <v>3540</v>
      </c>
      <c r="B15230" s="2" t="s">
        <v>645</v>
      </c>
      <c r="C15230" s="2">
        <v>583.17909999999995</v>
      </c>
      <c r="D15230" s="2">
        <f>HYPERLINK("http://mcb-m6.bioreg.kyushu-u.ac.jp/M3/20110427/F51116/1368/1", 69.43)</f>
        <v>69.430000000000007</v>
      </c>
      <c r="E15230" s="2">
        <v>38.17</v>
      </c>
      <c r="F15230" s="2">
        <v>2</v>
      </c>
      <c r="G15230" s="2" t="s">
        <v>13</v>
      </c>
    </row>
    <row r="15231" spans="1:7" x14ac:dyDescent="0.2">
      <c r="A15231" s="2" t="s">
        <v>3540</v>
      </c>
      <c r="B15231" s="2" t="s">
        <v>645</v>
      </c>
      <c r="C15231" s="2">
        <v>583.1191</v>
      </c>
      <c r="D15231" s="2">
        <f>HYPERLINK("http://mcb-m6.bioreg.kyushu-u.ac.jp/M3/20110428/F51127/1110/1", 71.47)</f>
        <v>71.47</v>
      </c>
      <c r="E15231" s="2">
        <v>42.1</v>
      </c>
      <c r="F15231" s="2">
        <v>2</v>
      </c>
      <c r="G15231" s="2" t="s">
        <v>13</v>
      </c>
    </row>
    <row r="15232" spans="1:7" x14ac:dyDescent="0.2">
      <c r="A15232" s="2" t="s">
        <v>3540</v>
      </c>
      <c r="B15232" s="2" t="s">
        <v>737</v>
      </c>
      <c r="C15232" s="2">
        <v>691.17859999999996</v>
      </c>
      <c r="D15232" s="2">
        <f>HYPERLINK("http://mcb-m6.bioreg.kyushu-u.ac.jp/M3/20110428/F51127/1606/1", 74.31)</f>
        <v>74.31</v>
      </c>
      <c r="E15232" s="2">
        <v>52.17</v>
      </c>
      <c r="F15232" s="2">
        <v>2</v>
      </c>
      <c r="G15232" s="2" t="s">
        <v>13</v>
      </c>
    </row>
    <row r="15233" spans="1:7" x14ac:dyDescent="0.2">
      <c r="A15233" s="2" t="s">
        <v>3540</v>
      </c>
      <c r="B15233" s="2" t="s">
        <v>727</v>
      </c>
      <c r="C15233" s="2">
        <v>695.73109999999997</v>
      </c>
      <c r="D15233" s="2">
        <f>HYPERLINK("http://mcb-m6.bioreg.kyushu-u.ac.jp/M3/20110427/F51114/1810/1", 76.68)</f>
        <v>76.680000000000007</v>
      </c>
      <c r="E15233" s="2">
        <v>58.3</v>
      </c>
      <c r="F15233" s="2">
        <v>2</v>
      </c>
      <c r="G15233" s="2" t="s">
        <v>13</v>
      </c>
    </row>
    <row r="15234" spans="1:7" x14ac:dyDescent="0.2">
      <c r="A15234" s="2" t="s">
        <v>3540</v>
      </c>
      <c r="B15234" s="2" t="s">
        <v>737</v>
      </c>
      <c r="C15234" s="2">
        <v>691.59559999999999</v>
      </c>
      <c r="D15234" s="2">
        <f>HYPERLINK("http://mcb-m6.bioreg.kyushu-u.ac.jp/M3/20110427/F51114/1782/1", 78.72)</f>
        <v>78.72</v>
      </c>
      <c r="E15234" s="2">
        <v>60.32</v>
      </c>
      <c r="F15234" s="2">
        <v>2</v>
      </c>
      <c r="G15234" s="2" t="s">
        <v>13</v>
      </c>
    </row>
    <row r="15235" spans="1:7" x14ac:dyDescent="0.2">
      <c r="A15235" s="2" t="s">
        <v>3540</v>
      </c>
      <c r="B15235" s="2" t="s">
        <v>737</v>
      </c>
      <c r="C15235" s="2">
        <v>691.58259999999996</v>
      </c>
      <c r="D15235" s="2">
        <f>HYPERLINK("http://mcb-m6.bioreg.kyushu-u.ac.jp/M3/20110428/F51132/1712/1", 79.5)</f>
        <v>79.5</v>
      </c>
      <c r="E15235" s="2">
        <v>60.44</v>
      </c>
      <c r="F15235" s="2">
        <v>2</v>
      </c>
      <c r="G15235" s="2" t="s">
        <v>13</v>
      </c>
    </row>
    <row r="15236" spans="1:7" x14ac:dyDescent="0.2">
      <c r="A15236" s="2" t="s">
        <v>3540</v>
      </c>
      <c r="B15236" s="2" t="s">
        <v>737</v>
      </c>
      <c r="C15236" s="2">
        <v>691.14670000000001</v>
      </c>
      <c r="D15236" s="2">
        <f>HYPERLINK("http://mcb-m6.bioreg.kyushu-u.ac.jp/M3/20110427/F51111/1903/1", 81.36)</f>
        <v>81.36</v>
      </c>
      <c r="E15236" s="2">
        <v>58.92</v>
      </c>
      <c r="F15236" s="2">
        <v>2</v>
      </c>
      <c r="G15236" s="2" t="s">
        <v>13</v>
      </c>
    </row>
    <row r="15237" spans="1:7" x14ac:dyDescent="0.2">
      <c r="A15237" s="2" t="s">
        <v>3540</v>
      </c>
      <c r="B15237" s="2" t="s">
        <v>737</v>
      </c>
      <c r="C15237" s="2">
        <v>691.77170000000001</v>
      </c>
      <c r="D15237" s="2">
        <f>HYPERLINK("http://mcb-m6.bioreg.kyushu-u.ac.jp/M3/20110428/F51131/1547/1", 82.17)</f>
        <v>82.17</v>
      </c>
      <c r="E15237" s="2">
        <v>60.68</v>
      </c>
      <c r="F15237" s="2">
        <v>2</v>
      </c>
      <c r="G15237" s="2" t="s">
        <v>13</v>
      </c>
    </row>
    <row r="15238" spans="1:7" x14ac:dyDescent="0.2">
      <c r="A15238" s="2" t="s">
        <v>3540</v>
      </c>
      <c r="B15238" s="2" t="s">
        <v>737</v>
      </c>
      <c r="C15238" s="2">
        <v>691.54319999999996</v>
      </c>
      <c r="D15238" s="2">
        <f>HYPERLINK("http://mcb-m6.bioreg.kyushu-u.ac.jp/M3/20110427/F51112/1849/1", 82.57)</f>
        <v>82.57</v>
      </c>
      <c r="E15238" s="2">
        <v>63.74</v>
      </c>
      <c r="F15238" s="2">
        <v>2</v>
      </c>
      <c r="G15238" s="2" t="s">
        <v>13</v>
      </c>
    </row>
    <row r="15239" spans="1:7" x14ac:dyDescent="0.2">
      <c r="A15239" s="2" t="s">
        <v>3540</v>
      </c>
      <c r="B15239" s="2" t="s">
        <v>737</v>
      </c>
      <c r="C15239" s="2">
        <v>691.07069999999999</v>
      </c>
      <c r="D15239" s="2">
        <f>HYPERLINK("http://mcb-m6.bioreg.kyushu-u.ac.jp/M3/20110428/F51132/1710/1", 82.79)</f>
        <v>82.79</v>
      </c>
      <c r="E15239" s="2">
        <v>61.25</v>
      </c>
      <c r="F15239" s="2">
        <v>2</v>
      </c>
      <c r="G15239" s="2" t="s">
        <v>13</v>
      </c>
    </row>
    <row r="15240" spans="1:7" x14ac:dyDescent="0.2">
      <c r="A15240" s="2" t="s">
        <v>3540</v>
      </c>
      <c r="B15240" s="2" t="s">
        <v>737</v>
      </c>
      <c r="C15240" s="2">
        <v>691.10419999999999</v>
      </c>
      <c r="D15240" s="2">
        <f>HYPERLINK("http://mcb-m6.bioreg.kyushu-u.ac.jp/M3/20110427/F51109/1932/1", 86.26)</f>
        <v>86.26</v>
      </c>
      <c r="E15240" s="2">
        <v>54.51</v>
      </c>
      <c r="F15240" s="2">
        <v>2</v>
      </c>
      <c r="G15240" s="2" t="s">
        <v>13</v>
      </c>
    </row>
    <row r="15241" spans="1:7" x14ac:dyDescent="0.2">
      <c r="A15241" s="2" t="s">
        <v>3540</v>
      </c>
      <c r="B15241" s="2" t="s">
        <v>737</v>
      </c>
      <c r="C15241" s="2">
        <v>691.09270000000004</v>
      </c>
      <c r="D15241" s="2">
        <f>HYPERLINK("http://mcb-m6.bioreg.kyushu-u.ac.jp/M3/20110427/F51110/1980/1", 86.27)</f>
        <v>86.27</v>
      </c>
      <c r="E15241" s="2">
        <v>64.92</v>
      </c>
      <c r="F15241" s="2">
        <v>2</v>
      </c>
      <c r="G15241" s="2" t="s">
        <v>13</v>
      </c>
    </row>
    <row r="15242" spans="1:7" x14ac:dyDescent="0.2">
      <c r="A15242" s="2" t="s">
        <v>3540</v>
      </c>
      <c r="B15242" s="2" t="s">
        <v>737</v>
      </c>
      <c r="C15242" s="2">
        <v>691.10170000000005</v>
      </c>
      <c r="D15242" s="2">
        <f>HYPERLINK("http://mcb-m6.bioreg.kyushu-u.ac.jp/M3/20110427/F51108/1865/1", 86.29)</f>
        <v>86.29</v>
      </c>
      <c r="E15242" s="2">
        <v>61.65</v>
      </c>
      <c r="F15242" s="2">
        <v>2</v>
      </c>
      <c r="G15242" s="2" t="s">
        <v>13</v>
      </c>
    </row>
    <row r="15243" spans="1:7" x14ac:dyDescent="0.2">
      <c r="A15243" s="2" t="s">
        <v>3540</v>
      </c>
      <c r="B15243" s="2" t="s">
        <v>737</v>
      </c>
      <c r="C15243" s="2">
        <v>691.06020000000001</v>
      </c>
      <c r="D15243" s="2">
        <f>HYPERLINK("http://mcb-m6.bioreg.kyushu-u.ac.jp/M3/20110428/F51131/1541/1", 87.62)</f>
        <v>87.62</v>
      </c>
      <c r="E15243" s="2">
        <v>66.040000000000006</v>
      </c>
      <c r="F15243" s="2">
        <v>2</v>
      </c>
      <c r="G15243" s="2" t="s">
        <v>13</v>
      </c>
    </row>
    <row r="15244" spans="1:7" x14ac:dyDescent="0.2">
      <c r="A15244" s="2" t="s">
        <v>3540</v>
      </c>
      <c r="B15244" s="2" t="s">
        <v>727</v>
      </c>
      <c r="C15244" s="2">
        <v>695.73170000000005</v>
      </c>
      <c r="D15244" s="2">
        <f>HYPERLINK("http://mcb-m6.bioreg.kyushu-u.ac.jp/M3/20110427/F51117/1773/1", 89.19)</f>
        <v>89.19</v>
      </c>
      <c r="E15244" s="2">
        <v>72.540000000000006</v>
      </c>
      <c r="F15244" s="2">
        <v>2</v>
      </c>
      <c r="G15244" s="2" t="s">
        <v>13</v>
      </c>
    </row>
    <row r="15245" spans="1:7" x14ac:dyDescent="0.2">
      <c r="A15245" s="2" t="s">
        <v>3540</v>
      </c>
      <c r="B15245" s="2" t="s">
        <v>727</v>
      </c>
      <c r="C15245" s="2">
        <v>695.68320000000006</v>
      </c>
      <c r="D15245" s="2">
        <f>HYPERLINK("http://mcb-m6.bioreg.kyushu-u.ac.jp/M3/20110428/F51127/1634/1", 92.46)</f>
        <v>92.46</v>
      </c>
      <c r="E15245" s="2">
        <v>73.599999999999994</v>
      </c>
      <c r="F15245" s="2">
        <v>2</v>
      </c>
      <c r="G15245" s="2" t="s">
        <v>13</v>
      </c>
    </row>
    <row r="15246" spans="1:7" x14ac:dyDescent="0.2">
      <c r="A15246" s="2" t="s">
        <v>3540</v>
      </c>
      <c r="B15246" s="2" t="s">
        <v>727</v>
      </c>
      <c r="C15246" s="2">
        <v>695.73770000000002</v>
      </c>
      <c r="D15246" s="2">
        <f>HYPERLINK("http://mcb-m6.bioreg.kyushu-u.ac.jp/M3/20110427/F51116/1818/1", 99.65)</f>
        <v>99.65</v>
      </c>
      <c r="E15246" s="2">
        <v>77.400000000000006</v>
      </c>
      <c r="F15246" s="2">
        <v>2</v>
      </c>
      <c r="G15246" s="2" t="s">
        <v>13</v>
      </c>
    </row>
    <row r="15247" spans="1:7" x14ac:dyDescent="0.2">
      <c r="A15247" s="2" t="s">
        <v>3540</v>
      </c>
      <c r="B15247" s="2" t="s">
        <v>727</v>
      </c>
      <c r="C15247" s="2">
        <v>695.77470000000005</v>
      </c>
      <c r="D15247" s="2">
        <f>HYPERLINK("http://mcb-m6.bioreg.kyushu-u.ac.jp/M3/20110427/F51113/1788/1", 103.93)</f>
        <v>103.93</v>
      </c>
      <c r="E15247" s="2">
        <v>65.989999999999995</v>
      </c>
      <c r="F15247" s="2">
        <v>2</v>
      </c>
      <c r="G15247" s="2" t="s">
        <v>13</v>
      </c>
    </row>
    <row r="15248" spans="1:7" x14ac:dyDescent="0.2">
      <c r="A15248" s="2" t="s">
        <v>3540</v>
      </c>
      <c r="B15248" s="2" t="s">
        <v>727</v>
      </c>
      <c r="C15248" s="2">
        <v>696.15719999999999</v>
      </c>
      <c r="D15248" s="2">
        <f>HYPERLINK("http://mcb-m6.bioreg.kyushu-u.ac.jp/M3/20110427/F51108/1895/1", 105.35)</f>
        <v>105.35</v>
      </c>
      <c r="E15248" s="2">
        <v>82.25</v>
      </c>
      <c r="F15248" s="2">
        <v>2</v>
      </c>
      <c r="G15248" s="2" t="s">
        <v>13</v>
      </c>
    </row>
    <row r="15249" spans="1:7" x14ac:dyDescent="0.2">
      <c r="A15249" s="2" t="s">
        <v>3540</v>
      </c>
      <c r="B15249" s="2" t="s">
        <v>727</v>
      </c>
      <c r="C15249" s="2">
        <v>695.71259999999995</v>
      </c>
      <c r="D15249" s="2">
        <f>HYPERLINK("http://mcb-m6.bioreg.kyushu-u.ac.jp/M3/20110427/F51112/1879/1", 109.32)</f>
        <v>109.32</v>
      </c>
      <c r="E15249" s="2">
        <v>84.15</v>
      </c>
      <c r="F15249" s="2">
        <v>2</v>
      </c>
      <c r="G15249" s="2" t="s">
        <v>13</v>
      </c>
    </row>
    <row r="15250" spans="1:7" x14ac:dyDescent="0.2">
      <c r="A15250" s="2" t="s">
        <v>3540</v>
      </c>
      <c r="B15250" s="2" t="s">
        <v>727</v>
      </c>
      <c r="C15250" s="2">
        <v>695.74369999999999</v>
      </c>
      <c r="D15250" s="2">
        <f>HYPERLINK("http://mcb-m6.bioreg.kyushu-u.ac.jp/M3/20110427/F51115/1784/1", 114.61)</f>
        <v>114.61</v>
      </c>
      <c r="E15250" s="2">
        <v>89.22</v>
      </c>
      <c r="F15250" s="2">
        <v>2</v>
      </c>
      <c r="G15250" s="2" t="s">
        <v>13</v>
      </c>
    </row>
    <row r="15251" spans="1:7" x14ac:dyDescent="0.2">
      <c r="A15251" s="2" t="s">
        <v>3540</v>
      </c>
      <c r="B15251" s="2" t="s">
        <v>395</v>
      </c>
      <c r="C15251" s="2">
        <v>502.19409999999999</v>
      </c>
      <c r="D15251" s="2">
        <f>HYPERLINK("http://mcb-m6.bioreg.kyushu-u.ac.jp/M3/20110428/F51128/921/1", 37.63)</f>
        <v>37.630000000000003</v>
      </c>
      <c r="E15251" s="2">
        <v>8.68</v>
      </c>
      <c r="F15251" s="2">
        <v>2</v>
      </c>
      <c r="G15251" s="2" t="s">
        <v>14</v>
      </c>
    </row>
    <row r="15252" spans="1:7" x14ac:dyDescent="0.2">
      <c r="A15252" s="2" t="s">
        <v>3540</v>
      </c>
      <c r="B15252" s="2" t="s">
        <v>737</v>
      </c>
      <c r="C15252" s="2">
        <v>1381.4010000000001</v>
      </c>
      <c r="D15252" s="2">
        <f>HYPERLINK("http://mcb-m6.bioreg.kyushu-u.ac.jp/M3/20110427/F51122/1961/1", 42.14)</f>
        <v>42.14</v>
      </c>
      <c r="E15252" s="2">
        <v>20.48</v>
      </c>
      <c r="F15252" s="2">
        <v>1</v>
      </c>
      <c r="G15252" s="2" t="s">
        <v>14</v>
      </c>
    </row>
    <row r="15253" spans="1:7" x14ac:dyDescent="0.2">
      <c r="A15253" s="2" t="s">
        <v>3540</v>
      </c>
      <c r="B15253" s="2" t="s">
        <v>645</v>
      </c>
      <c r="C15253" s="2">
        <v>583.47559999999999</v>
      </c>
      <c r="D15253" s="2">
        <f>HYPERLINK("http://mcb-m6.bioreg.kyushu-u.ac.jp/M3/20110427/F51124/1399/1", 57.5)</f>
        <v>57.5</v>
      </c>
      <c r="E15253" s="2">
        <v>27.09</v>
      </c>
      <c r="F15253" s="2">
        <v>2</v>
      </c>
      <c r="G15253" s="2" t="s">
        <v>14</v>
      </c>
    </row>
    <row r="15254" spans="1:7" x14ac:dyDescent="0.2">
      <c r="A15254" s="2" t="s">
        <v>3540</v>
      </c>
      <c r="B15254" s="2" t="s">
        <v>645</v>
      </c>
      <c r="C15254" s="2">
        <v>583.14869999999996</v>
      </c>
      <c r="D15254" s="2">
        <f>HYPERLINK("http://mcb-m6.bioreg.kyushu-u.ac.jp/M3/20110428/F51126/1476/1", 61.77)</f>
        <v>61.77</v>
      </c>
      <c r="E15254" s="2">
        <v>35.58</v>
      </c>
      <c r="F15254" s="2">
        <v>2</v>
      </c>
      <c r="G15254" s="2" t="s">
        <v>14</v>
      </c>
    </row>
    <row r="15255" spans="1:7" x14ac:dyDescent="0.2">
      <c r="A15255" s="2" t="s">
        <v>3540</v>
      </c>
      <c r="B15255" s="2" t="s">
        <v>645</v>
      </c>
      <c r="C15255" s="2">
        <v>583.11569999999995</v>
      </c>
      <c r="D15255" s="2">
        <f>HYPERLINK("http://mcb-m6.bioreg.kyushu-u.ac.jp/M3/20110428/F51128/1258/1", 62.05)</f>
        <v>62.05</v>
      </c>
      <c r="E15255" s="2">
        <v>35.03</v>
      </c>
      <c r="F15255" s="2">
        <v>2</v>
      </c>
      <c r="G15255" s="2" t="s">
        <v>14</v>
      </c>
    </row>
    <row r="15256" spans="1:7" x14ac:dyDescent="0.2">
      <c r="A15256" s="2" t="s">
        <v>3540</v>
      </c>
      <c r="B15256" s="2" t="s">
        <v>737</v>
      </c>
      <c r="C15256" s="2">
        <v>691.0992</v>
      </c>
      <c r="D15256" s="2">
        <f>HYPERLINK("http://mcb-m6.bioreg.kyushu-u.ac.jp/M3/20110428/F51128/1719/1", 70.04)</f>
        <v>70.040000000000006</v>
      </c>
      <c r="E15256" s="2">
        <v>44.4</v>
      </c>
      <c r="F15256" s="2">
        <v>2</v>
      </c>
      <c r="G15256" s="2" t="s">
        <v>14</v>
      </c>
    </row>
    <row r="15257" spans="1:7" x14ac:dyDescent="0.2">
      <c r="A15257" s="2" t="s">
        <v>3540</v>
      </c>
      <c r="B15257" s="2" t="s">
        <v>737</v>
      </c>
      <c r="C15257" s="2">
        <v>691.00519999999995</v>
      </c>
      <c r="D15257" s="2">
        <f>HYPERLINK("http://mcb-m6.bioreg.kyushu-u.ac.jp/M3/20110428/F51126/1863/1", 72.43)</f>
        <v>72.430000000000007</v>
      </c>
      <c r="E15257" s="2">
        <v>53.66</v>
      </c>
      <c r="F15257" s="2">
        <v>2</v>
      </c>
      <c r="G15257" s="2" t="s">
        <v>14</v>
      </c>
    </row>
    <row r="15258" spans="1:7" x14ac:dyDescent="0.2">
      <c r="A15258" s="2" t="s">
        <v>3540</v>
      </c>
      <c r="B15258" s="2" t="s">
        <v>737</v>
      </c>
      <c r="C15258" s="2">
        <v>691.13419999999996</v>
      </c>
      <c r="D15258" s="2">
        <f>HYPERLINK("http://mcb-m6.bioreg.kyushu-u.ac.jp/M3/20110427/F51118/1894/1", 74.29)</f>
        <v>74.290000000000006</v>
      </c>
      <c r="E15258" s="2">
        <v>52</v>
      </c>
      <c r="F15258" s="2">
        <v>2</v>
      </c>
      <c r="G15258" s="2" t="s">
        <v>14</v>
      </c>
    </row>
    <row r="15259" spans="1:7" x14ac:dyDescent="0.2">
      <c r="A15259" s="2" t="s">
        <v>3540</v>
      </c>
      <c r="B15259" s="2" t="s">
        <v>737</v>
      </c>
      <c r="C15259" s="2">
        <v>691.61360000000002</v>
      </c>
      <c r="D15259" s="2">
        <f>HYPERLINK("http://mcb-m6.bioreg.kyushu-u.ac.jp/M3/20110428/F51128/1723/1", 77.24)</f>
        <v>77.239999999999995</v>
      </c>
      <c r="E15259" s="2">
        <v>55.78</v>
      </c>
      <c r="F15259" s="2">
        <v>2</v>
      </c>
      <c r="G15259" s="2" t="s">
        <v>14</v>
      </c>
    </row>
    <row r="15260" spans="1:7" x14ac:dyDescent="0.2">
      <c r="A15260" s="2" t="s">
        <v>3540</v>
      </c>
      <c r="B15260" s="2" t="s">
        <v>737</v>
      </c>
      <c r="C15260" s="2">
        <v>691.11659999999995</v>
      </c>
      <c r="D15260" s="2">
        <f>HYPERLINK("http://mcb-m6.bioreg.kyushu-u.ac.jp/M3/20110427/F51122/1960/1", 78.69)</f>
        <v>78.69</v>
      </c>
      <c r="E15260" s="2">
        <v>58.74</v>
      </c>
      <c r="F15260" s="2">
        <v>2</v>
      </c>
      <c r="G15260" s="2" t="s">
        <v>14</v>
      </c>
    </row>
    <row r="15261" spans="1:7" x14ac:dyDescent="0.2">
      <c r="A15261" s="2" t="s">
        <v>3540</v>
      </c>
      <c r="B15261" s="2" t="s">
        <v>737</v>
      </c>
      <c r="C15261" s="2">
        <v>691.85419999999999</v>
      </c>
      <c r="D15261" s="2">
        <f>HYPERLINK("http://mcb-m6.bioreg.kyushu-u.ac.jp/M3/20110427/F51125/1870/1", 79.17)</f>
        <v>79.17</v>
      </c>
      <c r="E15261" s="2">
        <v>58.42</v>
      </c>
      <c r="F15261" s="2">
        <v>2</v>
      </c>
      <c r="G15261" s="2" t="s">
        <v>14</v>
      </c>
    </row>
    <row r="15262" spans="1:7" x14ac:dyDescent="0.2">
      <c r="A15262" s="2" t="s">
        <v>3540</v>
      </c>
      <c r="B15262" s="2" t="s">
        <v>737</v>
      </c>
      <c r="C15262" s="2">
        <v>691.40060000000005</v>
      </c>
      <c r="D15262" s="2">
        <f>HYPERLINK("http://mcb-m6.bioreg.kyushu-u.ac.jp/M3/20110428/F51135/1620/1", 79.37)</f>
        <v>79.37</v>
      </c>
      <c r="E15262" s="2">
        <v>60.1</v>
      </c>
      <c r="F15262" s="2">
        <v>2</v>
      </c>
      <c r="G15262" s="2" t="s">
        <v>14</v>
      </c>
    </row>
    <row r="15263" spans="1:7" x14ac:dyDescent="0.2">
      <c r="A15263" s="2" t="s">
        <v>3540</v>
      </c>
      <c r="B15263" s="2" t="s">
        <v>737</v>
      </c>
      <c r="C15263" s="2">
        <v>691.26670000000001</v>
      </c>
      <c r="D15263" s="2">
        <f>HYPERLINK("http://mcb-m6.bioreg.kyushu-u.ac.jp/M3/20110428/F51134/1815/1", 81.51)</f>
        <v>81.510000000000005</v>
      </c>
      <c r="E15263" s="2">
        <v>55.74</v>
      </c>
      <c r="F15263" s="2">
        <v>2</v>
      </c>
      <c r="G15263" s="2" t="s">
        <v>14</v>
      </c>
    </row>
    <row r="15264" spans="1:7" x14ac:dyDescent="0.2">
      <c r="A15264" s="2" t="s">
        <v>3540</v>
      </c>
      <c r="B15264" s="2" t="s">
        <v>737</v>
      </c>
      <c r="C15264" s="2">
        <v>691.11069999999995</v>
      </c>
      <c r="D15264" s="2">
        <f>HYPERLINK("http://mcb-m6.bioreg.kyushu-u.ac.jp/M3/20110427/F51123/1796/1", 82.15)</f>
        <v>82.15</v>
      </c>
      <c r="E15264" s="2">
        <v>54.56</v>
      </c>
      <c r="F15264" s="2">
        <v>2</v>
      </c>
      <c r="G15264" s="2" t="s">
        <v>14</v>
      </c>
    </row>
    <row r="15265" spans="1:9" x14ac:dyDescent="0.2">
      <c r="A15265" s="2" t="s">
        <v>3540</v>
      </c>
      <c r="B15265" s="2" t="s">
        <v>737</v>
      </c>
      <c r="C15265" s="2">
        <v>691.56119999999999</v>
      </c>
      <c r="D15265" s="2">
        <f>HYPERLINK("http://mcb-m6.bioreg.kyushu-u.ac.jp/M3/20110428/F51126/1866/1", 85.15)</f>
        <v>85.15</v>
      </c>
      <c r="E15265" s="2">
        <v>64.41</v>
      </c>
      <c r="F15265" s="2">
        <v>2</v>
      </c>
      <c r="G15265" s="2" t="s">
        <v>14</v>
      </c>
    </row>
    <row r="15266" spans="1:9" x14ac:dyDescent="0.2">
      <c r="A15266" s="2" t="s">
        <v>3540</v>
      </c>
      <c r="B15266" s="2" t="s">
        <v>737</v>
      </c>
      <c r="C15266" s="2">
        <v>691.10109999999997</v>
      </c>
      <c r="D15266" s="2">
        <f>HYPERLINK("http://mcb-m6.bioreg.kyushu-u.ac.jp/M3/20110428/F51130/1835/1", 95.69)</f>
        <v>95.69</v>
      </c>
      <c r="E15266" s="2">
        <v>76.81</v>
      </c>
      <c r="F15266" s="2">
        <v>2</v>
      </c>
      <c r="G15266" s="2" t="s">
        <v>14</v>
      </c>
    </row>
    <row r="15267" spans="1:9" x14ac:dyDescent="0.2">
      <c r="A15267" s="2" t="s">
        <v>3540</v>
      </c>
      <c r="B15267" s="2" t="s">
        <v>727</v>
      </c>
      <c r="C15267" s="2">
        <v>696.16769999999997</v>
      </c>
      <c r="D15267" s="2">
        <f>HYPERLINK("http://mcb-m6.bioreg.kyushu-u.ac.jp/M3/20110427/F51122/1986/1", 98.35)</f>
        <v>98.35</v>
      </c>
      <c r="E15267" s="2">
        <v>78.790000000000006</v>
      </c>
      <c r="F15267" s="2">
        <v>2</v>
      </c>
      <c r="G15267" s="2" t="s">
        <v>14</v>
      </c>
    </row>
    <row r="15268" spans="1:9" x14ac:dyDescent="0.2">
      <c r="A15268" s="2" t="s">
        <v>3540</v>
      </c>
      <c r="B15268" s="2" t="s">
        <v>727</v>
      </c>
      <c r="C15268" s="2">
        <v>695.7527</v>
      </c>
      <c r="D15268" s="2">
        <f>HYPERLINK("http://mcb-m6.bioreg.kyushu-u.ac.jp/M3/20110428/F51126/1885/1", 99.46)</f>
        <v>99.46</v>
      </c>
      <c r="E15268" s="2">
        <v>74.48</v>
      </c>
      <c r="F15268" s="2">
        <v>2</v>
      </c>
      <c r="G15268" s="2" t="s">
        <v>14</v>
      </c>
    </row>
    <row r="15269" spans="1:9" x14ac:dyDescent="0.2">
      <c r="A15269" s="2" t="s">
        <v>3540</v>
      </c>
      <c r="B15269" s="2" t="s">
        <v>737</v>
      </c>
      <c r="C15269" s="2">
        <v>691.07510000000002</v>
      </c>
      <c r="D15269" s="2">
        <f>HYPERLINK("http://mcb-m6.bioreg.kyushu-u.ac.jp/M3/20110427/F51120/1903/1", 99.97)</f>
        <v>99.97</v>
      </c>
      <c r="E15269" s="2">
        <v>78.260000000000005</v>
      </c>
      <c r="F15269" s="2">
        <v>2</v>
      </c>
      <c r="G15269" s="2" t="s">
        <v>14</v>
      </c>
    </row>
    <row r="15270" spans="1:9" x14ac:dyDescent="0.2">
      <c r="A15270" s="2" t="s">
        <v>3540</v>
      </c>
      <c r="B15270" s="2" t="s">
        <v>727</v>
      </c>
      <c r="C15270" s="2">
        <v>695.66520000000003</v>
      </c>
      <c r="D15270" s="2">
        <f>HYPERLINK("http://mcb-m6.bioreg.kyushu-u.ac.jp/M3/20110427/F51124/1825/1", 106.51)</f>
        <v>106.51</v>
      </c>
      <c r="E15270" s="2">
        <v>82.6</v>
      </c>
      <c r="F15270" s="2">
        <v>2</v>
      </c>
      <c r="G15270" s="2" t="s">
        <v>14</v>
      </c>
    </row>
    <row r="15271" spans="1:9" x14ac:dyDescent="0.2">
      <c r="A15271" s="2" t="s">
        <v>3540</v>
      </c>
      <c r="B15271" s="2" t="s">
        <v>727</v>
      </c>
      <c r="C15271" s="2">
        <v>695.72519999999997</v>
      </c>
      <c r="D15271" s="2">
        <f>HYPERLINK("http://mcb-m6.bioreg.kyushu-u.ac.jp/M3/20110428/F51128/1745/1", 109.11)</f>
        <v>109.11</v>
      </c>
      <c r="E15271" s="2">
        <v>85.4</v>
      </c>
      <c r="F15271" s="2">
        <v>2</v>
      </c>
      <c r="G15271" s="2" t="s">
        <v>14</v>
      </c>
    </row>
    <row r="15272" spans="1:9" x14ac:dyDescent="0.2">
      <c r="A15272" s="2" t="s">
        <v>3540</v>
      </c>
      <c r="B15272" s="2" t="s">
        <v>727</v>
      </c>
      <c r="C15272" s="2">
        <v>695.64919999999995</v>
      </c>
      <c r="D15272" s="2">
        <f>HYPERLINK("http://mcb-m6.bioreg.kyushu-u.ac.jp/M3/20110427/F51122/1985/1", 114.63)</f>
        <v>114.63</v>
      </c>
      <c r="E15272" s="2">
        <v>93.57</v>
      </c>
      <c r="F15272" s="2">
        <v>2</v>
      </c>
      <c r="G15272" s="2" t="s">
        <v>14</v>
      </c>
    </row>
    <row r="15273" spans="1:9" x14ac:dyDescent="0.2">
      <c r="A15273" s="2" t="s">
        <v>5732</v>
      </c>
      <c r="B15273" s="2" t="s">
        <v>5315</v>
      </c>
      <c r="C15273" s="2">
        <v>1302.318</v>
      </c>
      <c r="D15273" s="2">
        <f>HYPERLINK("http://mcb-m6.bioreg.kyushu-u.ac.jp/M3/20110421/F51017/3825/1", 59.87)</f>
        <v>59.87</v>
      </c>
      <c r="E15273" s="2">
        <v>46.31</v>
      </c>
      <c r="F15273" s="2">
        <v>2</v>
      </c>
      <c r="G15273" s="2" t="s">
        <v>11</v>
      </c>
      <c r="H15273" s="2" t="s">
        <v>4891</v>
      </c>
      <c r="I15273" s="2" t="s">
        <v>5898</v>
      </c>
    </row>
    <row r="15274" spans="1:9" x14ac:dyDescent="0.2">
      <c r="A15274" s="2" t="s">
        <v>5732</v>
      </c>
      <c r="B15274" s="2" t="s">
        <v>5315</v>
      </c>
      <c r="C15274" s="2">
        <v>1302.354</v>
      </c>
      <c r="D15274" s="2">
        <f>HYPERLINK("http://mcb-m6.bioreg.kyushu-u.ac.jp/M3/20110427/F51120/3126/1", 47.16)</f>
        <v>47.16</v>
      </c>
      <c r="E15274" s="2">
        <v>38.85</v>
      </c>
      <c r="F15274" s="2">
        <v>2</v>
      </c>
      <c r="G15274" s="2" t="s">
        <v>14</v>
      </c>
      <c r="H15274" s="2" t="s">
        <v>4891</v>
      </c>
      <c r="I15274" s="2" t="s">
        <v>5898</v>
      </c>
    </row>
    <row r="15275" spans="1:9" x14ac:dyDescent="0.2">
      <c r="A15275" s="2" t="s">
        <v>7947</v>
      </c>
      <c r="B15275" s="2" t="s">
        <v>7150</v>
      </c>
      <c r="C15275" s="2">
        <v>718.21720000000005</v>
      </c>
      <c r="D15275" s="2">
        <f>HYPERLINK("http://mcb-m6.bioreg.kyushu-u.ac.jp/M3/20110421/F51020/1934/1", 92.13)</f>
        <v>92.13</v>
      </c>
      <c r="E15275" s="2">
        <v>55.7</v>
      </c>
      <c r="F15275" s="2">
        <v>2</v>
      </c>
      <c r="G15275" s="2" t="s">
        <v>11</v>
      </c>
    </row>
    <row r="15276" spans="1:9" x14ac:dyDescent="0.2">
      <c r="A15276" s="2" t="s">
        <v>7947</v>
      </c>
      <c r="B15276" s="2" t="s">
        <v>7150</v>
      </c>
      <c r="C15276" s="2">
        <v>717.7672</v>
      </c>
      <c r="D15276" s="2">
        <f>HYPERLINK("http://mcb-m6.bioreg.kyushu-u.ac.jp/M3/20110427/F51117/1884/1", 59.33)</f>
        <v>59.33</v>
      </c>
      <c r="E15276" s="2">
        <v>30.95</v>
      </c>
      <c r="F15276" s="2">
        <v>2</v>
      </c>
      <c r="G15276" s="2" t="s">
        <v>13</v>
      </c>
    </row>
    <row r="15277" spans="1:9" x14ac:dyDescent="0.2">
      <c r="A15277" s="2" t="s">
        <v>7947</v>
      </c>
      <c r="B15277" s="2" t="s">
        <v>7150</v>
      </c>
      <c r="C15277" s="2">
        <v>718.20870000000002</v>
      </c>
      <c r="D15277" s="2">
        <f>HYPERLINK("http://mcb-m6.bioreg.kyushu-u.ac.jp/M3/20110427/F51116/1939/1", 80.07)</f>
        <v>80.069999999999993</v>
      </c>
      <c r="E15277" s="2">
        <v>59.26</v>
      </c>
      <c r="F15277" s="2">
        <v>2</v>
      </c>
      <c r="G15277" s="2" t="s">
        <v>13</v>
      </c>
    </row>
    <row r="15278" spans="1:9" x14ac:dyDescent="0.2">
      <c r="A15278" s="2" t="s">
        <v>4586</v>
      </c>
      <c r="B15278" s="2" t="s">
        <v>2649</v>
      </c>
      <c r="C15278" s="2">
        <v>1097.6489999999999</v>
      </c>
      <c r="D15278" s="2">
        <f>HYPERLINK("http://mcb-m6.bioreg.kyushu-u.ac.jp/M3/20110404/F50778/989/1", 38.75)</f>
        <v>38.75</v>
      </c>
      <c r="E15278" s="2">
        <v>17.64</v>
      </c>
      <c r="F15278" s="2">
        <v>1</v>
      </c>
      <c r="G15278" s="2" t="s">
        <v>9</v>
      </c>
    </row>
    <row r="15279" spans="1:9" x14ac:dyDescent="0.2">
      <c r="A15279" s="2" t="s">
        <v>4586</v>
      </c>
      <c r="B15279" s="2" t="s">
        <v>2649</v>
      </c>
      <c r="C15279" s="2">
        <v>549.34519999999998</v>
      </c>
      <c r="D15279" s="2">
        <f>HYPERLINK("http://mcb-m6.bioreg.kyushu-u.ac.jp/M3/20110404/F50778/990/1", 47.5)</f>
        <v>47.5</v>
      </c>
      <c r="E15279" s="2">
        <v>29.36</v>
      </c>
      <c r="F15279" s="2">
        <v>2</v>
      </c>
      <c r="G15279" s="2" t="s">
        <v>9</v>
      </c>
    </row>
    <row r="15280" spans="1:9" x14ac:dyDescent="0.2">
      <c r="A15280" s="2" t="s">
        <v>4586</v>
      </c>
      <c r="B15280" s="2" t="s">
        <v>2649</v>
      </c>
      <c r="C15280" s="2">
        <v>1097.5160000000001</v>
      </c>
      <c r="D15280" s="2">
        <f>HYPERLINK("http://mcb-m6.bioreg.kyushu-u.ac.jp/M3/20110404/F50775/1214/1", 41.18)</f>
        <v>41.18</v>
      </c>
      <c r="E15280" s="2">
        <v>24.61</v>
      </c>
      <c r="F15280" s="2">
        <v>1</v>
      </c>
      <c r="G15280" s="2" t="s">
        <v>10</v>
      </c>
    </row>
    <row r="15281" spans="1:7" x14ac:dyDescent="0.2">
      <c r="A15281" s="2" t="s">
        <v>4586</v>
      </c>
      <c r="B15281" s="2" t="s">
        <v>2649</v>
      </c>
      <c r="C15281" s="2">
        <v>549.25519999999995</v>
      </c>
      <c r="D15281" s="2">
        <f>HYPERLINK("http://mcb-m6.bioreg.kyushu-u.ac.jp/M3/20110404/F50775/1213/1", 50.18)</f>
        <v>50.18</v>
      </c>
      <c r="E15281" s="2">
        <v>34.04</v>
      </c>
      <c r="F15281" s="2">
        <v>2</v>
      </c>
      <c r="G15281" s="2" t="s">
        <v>10</v>
      </c>
    </row>
    <row r="15282" spans="1:7" x14ac:dyDescent="0.2">
      <c r="A15282" s="2" t="s">
        <v>7998</v>
      </c>
      <c r="B15282" s="2" t="s">
        <v>7219</v>
      </c>
      <c r="C15282" s="2">
        <v>545.87070000000006</v>
      </c>
      <c r="D15282" s="2">
        <f>HYPERLINK("http://mcb-m6.bioreg.kyushu-u.ac.jp/M3/20110421/F51059/879/1", 48.52)</f>
        <v>48.52</v>
      </c>
      <c r="E15282" s="2">
        <v>19.73</v>
      </c>
      <c r="F15282" s="2">
        <v>2</v>
      </c>
      <c r="G15282" s="2" t="s">
        <v>12</v>
      </c>
    </row>
    <row r="15283" spans="1:7" x14ac:dyDescent="0.2">
      <c r="A15283" s="2" t="s">
        <v>4085</v>
      </c>
      <c r="B15283" s="2" t="s">
        <v>1511</v>
      </c>
      <c r="C15283" s="2">
        <v>844.18219999999997</v>
      </c>
      <c r="D15283" s="2">
        <f>HYPERLINK("http://mcb-m6.bioreg.kyushu-u.ac.jp/M3/20110427/F51114/2582/1", 61.3)</f>
        <v>61.3</v>
      </c>
      <c r="E15283" s="2">
        <v>43.93</v>
      </c>
      <c r="F15283" s="2">
        <v>2</v>
      </c>
      <c r="G15283" s="2" t="s">
        <v>13</v>
      </c>
    </row>
    <row r="15284" spans="1:7" x14ac:dyDescent="0.2">
      <c r="A15284" s="2" t="s">
        <v>7746</v>
      </c>
      <c r="B15284" s="2" t="s">
        <v>6525</v>
      </c>
      <c r="C15284" s="2">
        <v>576.77560000000005</v>
      </c>
      <c r="D15284" s="2">
        <f>HYPERLINK("http://mcb-m6.bioreg.kyushu-u.ac.jp/M3/20110404/F50764/1221/1", 74.58)</f>
        <v>74.58</v>
      </c>
      <c r="E15284" s="2">
        <v>44.38</v>
      </c>
      <c r="F15284" s="2">
        <v>2</v>
      </c>
      <c r="G15284" s="2" t="s">
        <v>9</v>
      </c>
    </row>
    <row r="15285" spans="1:7" x14ac:dyDescent="0.2">
      <c r="A15285" s="2" t="s">
        <v>7746</v>
      </c>
      <c r="B15285" s="2" t="s">
        <v>6525</v>
      </c>
      <c r="C15285" s="2">
        <v>576.70820000000003</v>
      </c>
      <c r="D15285" s="2">
        <f>HYPERLINK("http://mcb-m6.bioreg.kyushu-u.ac.jp/M3/20110404/F50770/1350/1", 81.34)</f>
        <v>81.34</v>
      </c>
      <c r="E15285" s="2">
        <v>53.97</v>
      </c>
      <c r="F15285" s="2">
        <v>2</v>
      </c>
      <c r="G15285" s="2" t="s">
        <v>10</v>
      </c>
    </row>
    <row r="15286" spans="1:7" x14ac:dyDescent="0.2">
      <c r="A15286" s="2" t="s">
        <v>3240</v>
      </c>
      <c r="B15286" s="2" t="s">
        <v>20</v>
      </c>
      <c r="C15286" s="2">
        <v>1298.643</v>
      </c>
      <c r="D15286" s="2">
        <f>HYPERLINK("http://mcb-m6.bioreg.kyushu-u.ac.jp/M3/20110404/F50776/1455/1", 36.41)</f>
        <v>36.409999999999997</v>
      </c>
      <c r="E15286" s="2">
        <v>17.899999999999999</v>
      </c>
      <c r="F15286" s="2">
        <v>1</v>
      </c>
      <c r="G15286" s="2" t="s">
        <v>9</v>
      </c>
    </row>
    <row r="15287" spans="1:7" x14ac:dyDescent="0.2">
      <c r="A15287" s="2" t="s">
        <v>3240</v>
      </c>
      <c r="B15287" s="2" t="s">
        <v>20</v>
      </c>
      <c r="C15287" s="2">
        <v>1298.6079999999999</v>
      </c>
      <c r="D15287" s="2">
        <f>HYPERLINK("http://mcb-m6.bioreg.kyushu-u.ac.jp/M3/20110404/F50767/1245/1", 37.76)</f>
        <v>37.76</v>
      </c>
      <c r="E15287" s="2">
        <v>11.38</v>
      </c>
      <c r="F15287" s="2">
        <v>1</v>
      </c>
      <c r="G15287" s="2" t="s">
        <v>9</v>
      </c>
    </row>
    <row r="15288" spans="1:7" x14ac:dyDescent="0.2">
      <c r="A15288" s="2" t="s">
        <v>3240</v>
      </c>
      <c r="B15288" s="2" t="s">
        <v>20</v>
      </c>
      <c r="C15288" s="2">
        <v>1298.5540000000001</v>
      </c>
      <c r="D15288" s="2">
        <f>HYPERLINK("http://mcb-m6.bioreg.kyushu-u.ac.jp/M3/20110404/F50764/1474/1", 37.79)</f>
        <v>37.79</v>
      </c>
      <c r="E15288" s="2">
        <v>19.12</v>
      </c>
      <c r="F15288" s="2">
        <v>1</v>
      </c>
      <c r="G15288" s="2" t="s">
        <v>9</v>
      </c>
    </row>
    <row r="15289" spans="1:7" x14ac:dyDescent="0.2">
      <c r="A15289" s="2" t="s">
        <v>3240</v>
      </c>
      <c r="B15289" s="2" t="s">
        <v>20</v>
      </c>
      <c r="C15289" s="2">
        <v>1298.693</v>
      </c>
      <c r="D15289" s="2">
        <f>HYPERLINK("http://mcb-m6.bioreg.kyushu-u.ac.jp/M3/20110404/F50778/1376/1", 38.97)</f>
        <v>38.97</v>
      </c>
      <c r="E15289" s="2">
        <v>20.77</v>
      </c>
      <c r="F15289" s="2">
        <v>1</v>
      </c>
      <c r="G15289" s="2" t="s">
        <v>9</v>
      </c>
    </row>
    <row r="15290" spans="1:7" x14ac:dyDescent="0.2">
      <c r="A15290" s="2" t="s">
        <v>3240</v>
      </c>
      <c r="B15290" s="2" t="s">
        <v>20</v>
      </c>
      <c r="C15290" s="2">
        <v>1298.5909999999999</v>
      </c>
      <c r="D15290" s="2">
        <f>HYPERLINK("http://mcb-m6.bioreg.kyushu-u.ac.jp/M3/20110404/F50763/1562/1", 39.46)</f>
        <v>39.46</v>
      </c>
      <c r="E15290" s="2">
        <v>19</v>
      </c>
      <c r="F15290" s="2">
        <v>1</v>
      </c>
      <c r="G15290" s="2" t="s">
        <v>9</v>
      </c>
    </row>
    <row r="15291" spans="1:7" x14ac:dyDescent="0.2">
      <c r="A15291" s="2" t="s">
        <v>3240</v>
      </c>
      <c r="B15291" s="2" t="s">
        <v>20</v>
      </c>
      <c r="C15291" s="2">
        <v>650.02670000000001</v>
      </c>
      <c r="D15291" s="2">
        <f>HYPERLINK("http://mcb-m6.bioreg.kyushu-u.ac.jp/M3/20110404/F50764/1475/1", 39.94)</f>
        <v>39.94</v>
      </c>
      <c r="E15291" s="2">
        <v>25.24</v>
      </c>
      <c r="F15291" s="2">
        <v>2</v>
      </c>
      <c r="G15291" s="2" t="s">
        <v>9</v>
      </c>
    </row>
    <row r="15292" spans="1:7" x14ac:dyDescent="0.2">
      <c r="A15292" s="2" t="s">
        <v>3240</v>
      </c>
      <c r="B15292" s="2" t="s">
        <v>1392</v>
      </c>
      <c r="C15292" s="2">
        <v>790.29769999999996</v>
      </c>
      <c r="D15292" s="2">
        <f>HYPERLINK("http://mcb-m6.bioreg.kyushu-u.ac.jp/M3/20110404/F50767/1981/1", 41.03)</f>
        <v>41.03</v>
      </c>
      <c r="E15292" s="2">
        <v>32.1</v>
      </c>
      <c r="F15292" s="2">
        <v>2</v>
      </c>
      <c r="G15292" s="2" t="s">
        <v>9</v>
      </c>
    </row>
    <row r="15293" spans="1:7" x14ac:dyDescent="0.2">
      <c r="A15293" s="2" t="s">
        <v>3240</v>
      </c>
      <c r="B15293" s="2" t="s">
        <v>20</v>
      </c>
      <c r="C15293" s="2">
        <v>1298.48</v>
      </c>
      <c r="D15293" s="2">
        <f>HYPERLINK("http://mcb-m6.bioreg.kyushu-u.ac.jp/M3/20110404/F50755/1547/1", 42.88)</f>
        <v>42.88</v>
      </c>
      <c r="E15293" s="2">
        <v>26.56</v>
      </c>
      <c r="F15293" s="2">
        <v>1</v>
      </c>
      <c r="G15293" s="2" t="s">
        <v>9</v>
      </c>
    </row>
    <row r="15294" spans="1:7" x14ac:dyDescent="0.2">
      <c r="A15294" s="2" t="s">
        <v>3240</v>
      </c>
      <c r="B15294" s="2" t="s">
        <v>20</v>
      </c>
      <c r="C15294" s="2">
        <v>1298.4449999999999</v>
      </c>
      <c r="D15294" s="2">
        <f>HYPERLINK("http://mcb-m6.bioreg.kyushu-u.ac.jp/M3/20110404/F50754/1792/1", 44.07)</f>
        <v>44.07</v>
      </c>
      <c r="E15294" s="2">
        <v>23.87</v>
      </c>
      <c r="F15294" s="2">
        <v>1</v>
      </c>
      <c r="G15294" s="2" t="s">
        <v>9</v>
      </c>
    </row>
    <row r="15295" spans="1:7" x14ac:dyDescent="0.2">
      <c r="A15295" s="2" t="s">
        <v>3240</v>
      </c>
      <c r="B15295" s="2" t="s">
        <v>1392</v>
      </c>
      <c r="C15295" s="2">
        <v>1580.652</v>
      </c>
      <c r="D15295" s="2">
        <f>HYPERLINK("http://mcb-m6.bioreg.kyushu-u.ac.jp/M3/20110404/F50764/2069/1", 45.93)</f>
        <v>45.93</v>
      </c>
      <c r="E15295" s="2">
        <v>36.68</v>
      </c>
      <c r="F15295" s="2">
        <v>1</v>
      </c>
      <c r="G15295" s="2" t="s">
        <v>9</v>
      </c>
    </row>
    <row r="15296" spans="1:7" x14ac:dyDescent="0.2">
      <c r="A15296" s="2" t="s">
        <v>3240</v>
      </c>
      <c r="B15296" s="2" t="s">
        <v>20</v>
      </c>
      <c r="C15296" s="2">
        <v>650.19960000000003</v>
      </c>
      <c r="D15296" s="2">
        <f>HYPERLINK("http://mcb-m6.bioreg.kyushu-u.ac.jp/M3/20110404/F50778/1378/1", 46.09)</f>
        <v>46.09</v>
      </c>
      <c r="E15296" s="2">
        <v>35.17</v>
      </c>
      <c r="F15296" s="2">
        <v>2</v>
      </c>
      <c r="G15296" s="2" t="s">
        <v>9</v>
      </c>
    </row>
    <row r="15297" spans="1:8" x14ac:dyDescent="0.2">
      <c r="A15297" s="2" t="s">
        <v>3240</v>
      </c>
      <c r="B15297" s="2" t="s">
        <v>5267</v>
      </c>
      <c r="C15297" s="2">
        <v>568.23969999999997</v>
      </c>
      <c r="D15297" s="2">
        <f>HYPERLINK("http://mcb-m6.bioreg.kyushu-u.ac.jp/M3/20110404/F50778/1051/1", 47.17)</f>
        <v>47.17</v>
      </c>
      <c r="E15297" s="2">
        <v>27.96</v>
      </c>
      <c r="F15297" s="2">
        <v>2</v>
      </c>
      <c r="G15297" s="2" t="s">
        <v>9</v>
      </c>
    </row>
    <row r="15298" spans="1:8" x14ac:dyDescent="0.2">
      <c r="A15298" s="2" t="s">
        <v>3240</v>
      </c>
      <c r="B15298" s="2" t="s">
        <v>1392</v>
      </c>
      <c r="C15298" s="2">
        <v>798.77809999999999</v>
      </c>
      <c r="D15298" s="2">
        <f>HYPERLINK("http://mcb-m6.bioreg.kyushu-u.ac.jp/M3/20110404/F50767/2017/1", 51.61)</f>
        <v>51.61</v>
      </c>
      <c r="E15298" s="2">
        <v>38.979999999999997</v>
      </c>
      <c r="F15298" s="2">
        <v>2</v>
      </c>
      <c r="G15298" s="2" t="s">
        <v>9</v>
      </c>
      <c r="H15298" s="2" t="s">
        <v>4912</v>
      </c>
    </row>
    <row r="15299" spans="1:8" x14ac:dyDescent="0.2">
      <c r="A15299" s="2" t="s">
        <v>3240</v>
      </c>
      <c r="B15299" s="2" t="s">
        <v>20</v>
      </c>
      <c r="C15299" s="2">
        <v>649.8732</v>
      </c>
      <c r="D15299" s="2">
        <f>HYPERLINK("http://mcb-m6.bioreg.kyushu-u.ac.jp/M3/20110404/F50779/1308/1", 55.46)</f>
        <v>55.46</v>
      </c>
      <c r="E15299" s="2">
        <v>38.06</v>
      </c>
      <c r="F15299" s="2">
        <v>2</v>
      </c>
      <c r="G15299" s="2" t="s">
        <v>9</v>
      </c>
    </row>
    <row r="15300" spans="1:8" x14ac:dyDescent="0.2">
      <c r="A15300" s="2" t="s">
        <v>3240</v>
      </c>
      <c r="B15300" s="2" t="s">
        <v>20</v>
      </c>
      <c r="C15300" s="2">
        <v>649.71669999999995</v>
      </c>
      <c r="D15300" s="2">
        <f>HYPERLINK("http://mcb-m6.bioreg.kyushu-u.ac.jp/M3/20110404/F50764/1473/1", 56.01)</f>
        <v>56.01</v>
      </c>
      <c r="E15300" s="2">
        <v>27.61</v>
      </c>
      <c r="F15300" s="2">
        <v>2</v>
      </c>
      <c r="G15300" s="2" t="s">
        <v>9</v>
      </c>
    </row>
    <row r="15301" spans="1:8" x14ac:dyDescent="0.2">
      <c r="A15301" s="2" t="s">
        <v>3240</v>
      </c>
      <c r="B15301" s="2" t="s">
        <v>20</v>
      </c>
      <c r="C15301" s="2">
        <v>650.21220000000005</v>
      </c>
      <c r="D15301" s="2">
        <f>HYPERLINK("http://mcb-m6.bioreg.kyushu-u.ac.jp/M3/20110404/F50778/1379/1", 57)</f>
        <v>57</v>
      </c>
      <c r="E15301" s="2">
        <v>36.93</v>
      </c>
      <c r="F15301" s="2">
        <v>2</v>
      </c>
      <c r="G15301" s="2" t="s">
        <v>9</v>
      </c>
    </row>
    <row r="15302" spans="1:8" x14ac:dyDescent="0.2">
      <c r="A15302" s="2" t="s">
        <v>3240</v>
      </c>
      <c r="B15302" s="2" t="s">
        <v>1392</v>
      </c>
      <c r="C15302" s="2">
        <v>1580.501</v>
      </c>
      <c r="D15302" s="2">
        <f>HYPERLINK("http://mcb-m6.bioreg.kyushu-u.ac.jp/M3/20110404/F50767/1984/1", 59.11)</f>
        <v>59.11</v>
      </c>
      <c r="E15302" s="2">
        <v>45.26</v>
      </c>
      <c r="F15302" s="2">
        <v>1</v>
      </c>
      <c r="G15302" s="2" t="s">
        <v>9</v>
      </c>
    </row>
    <row r="15303" spans="1:8" x14ac:dyDescent="0.2">
      <c r="A15303" s="2" t="s">
        <v>3240</v>
      </c>
      <c r="B15303" s="2" t="s">
        <v>1392</v>
      </c>
      <c r="C15303" s="2">
        <v>790.45010000000002</v>
      </c>
      <c r="D15303" s="2">
        <f>HYPERLINK("http://mcb-m6.bioreg.kyushu-u.ac.jp/M3/20110404/F50764/2067/1", 64.57)</f>
        <v>64.569999999999993</v>
      </c>
      <c r="E15303" s="2">
        <v>50.21</v>
      </c>
      <c r="F15303" s="2">
        <v>2</v>
      </c>
      <c r="G15303" s="2" t="s">
        <v>9</v>
      </c>
    </row>
    <row r="15304" spans="1:8" x14ac:dyDescent="0.2">
      <c r="A15304" s="2" t="s">
        <v>3240</v>
      </c>
      <c r="B15304" s="2" t="s">
        <v>1392</v>
      </c>
      <c r="C15304" s="2">
        <v>790.22519999999997</v>
      </c>
      <c r="D15304" s="2">
        <f>HYPERLINK("http://mcb-m6.bioreg.kyushu-u.ac.jp/M3/20110404/F50779/1983/1", 67.77)</f>
        <v>67.77</v>
      </c>
      <c r="E15304" s="2">
        <v>46.57</v>
      </c>
      <c r="F15304" s="2">
        <v>2</v>
      </c>
      <c r="G15304" s="2" t="s">
        <v>9</v>
      </c>
    </row>
    <row r="15305" spans="1:8" x14ac:dyDescent="0.2">
      <c r="A15305" s="2" t="s">
        <v>3240</v>
      </c>
      <c r="B15305" s="2" t="s">
        <v>20</v>
      </c>
      <c r="C15305" s="2">
        <v>649.86410000000001</v>
      </c>
      <c r="D15305" s="2">
        <f>HYPERLINK("http://mcb-m6.bioreg.kyushu-u.ac.jp/M3/20110404/F50752/1811/1", 68.51)</f>
        <v>68.510000000000005</v>
      </c>
      <c r="E15305" s="2">
        <v>51.54</v>
      </c>
      <c r="F15305" s="2">
        <v>2</v>
      </c>
      <c r="G15305" s="2" t="s">
        <v>9</v>
      </c>
    </row>
    <row r="15306" spans="1:8" x14ac:dyDescent="0.2">
      <c r="A15306" s="2" t="s">
        <v>3240</v>
      </c>
      <c r="B15306" s="2" t="s">
        <v>1392</v>
      </c>
      <c r="C15306" s="2">
        <v>1579.5219999999999</v>
      </c>
      <c r="D15306" s="2">
        <f>HYPERLINK("http://mcb-m6.bioreg.kyushu-u.ac.jp/M3/20110404/F50756/2216/1", 70.18)</f>
        <v>70.180000000000007</v>
      </c>
      <c r="E15306" s="2">
        <v>60.24</v>
      </c>
      <c r="F15306" s="2">
        <v>1</v>
      </c>
      <c r="G15306" s="2" t="s">
        <v>9</v>
      </c>
    </row>
    <row r="15307" spans="1:8" x14ac:dyDescent="0.2">
      <c r="A15307" s="2" t="s">
        <v>3240</v>
      </c>
      <c r="B15307" s="2" t="s">
        <v>1392</v>
      </c>
      <c r="C15307" s="2">
        <v>1579.6579999999999</v>
      </c>
      <c r="D15307" s="2">
        <f>HYPERLINK("http://mcb-m6.bioreg.kyushu-u.ac.jp/M3/20110404/F50779/1984/1", 70.37)</f>
        <v>70.37</v>
      </c>
      <c r="E15307" s="2">
        <v>54.21</v>
      </c>
      <c r="F15307" s="2">
        <v>1</v>
      </c>
      <c r="G15307" s="2" t="s">
        <v>9</v>
      </c>
    </row>
    <row r="15308" spans="1:8" x14ac:dyDescent="0.2">
      <c r="A15308" s="2" t="s">
        <v>3240</v>
      </c>
      <c r="B15308" s="2" t="s">
        <v>20</v>
      </c>
      <c r="C15308" s="2">
        <v>650.22220000000004</v>
      </c>
      <c r="D15308" s="2">
        <f>HYPERLINK("http://mcb-m6.bioreg.kyushu-u.ac.jp/M3/20110404/F50755/1548/1", 72.85)</f>
        <v>72.849999999999994</v>
      </c>
      <c r="E15308" s="2">
        <v>30.38</v>
      </c>
      <c r="F15308" s="2">
        <v>2</v>
      </c>
      <c r="G15308" s="2" t="s">
        <v>9</v>
      </c>
    </row>
    <row r="15309" spans="1:8" x14ac:dyDescent="0.2">
      <c r="A15309" s="2" t="s">
        <v>3240</v>
      </c>
      <c r="B15309" s="2" t="s">
        <v>20</v>
      </c>
      <c r="C15309" s="2">
        <v>649.71169999999995</v>
      </c>
      <c r="D15309" s="2">
        <f>HYPERLINK("http://mcb-m6.bioreg.kyushu-u.ac.jp/M3/20110404/F50766/1062/1", 74.02)</f>
        <v>74.02</v>
      </c>
      <c r="E15309" s="2">
        <v>51.24</v>
      </c>
      <c r="F15309" s="2">
        <v>2</v>
      </c>
      <c r="G15309" s="2" t="s">
        <v>9</v>
      </c>
    </row>
    <row r="15310" spans="1:8" x14ac:dyDescent="0.2">
      <c r="A15310" s="2" t="s">
        <v>3240</v>
      </c>
      <c r="B15310" s="2" t="s">
        <v>1392</v>
      </c>
      <c r="C15310" s="2">
        <v>798.68520000000001</v>
      </c>
      <c r="D15310" s="2">
        <f>HYPERLINK("http://mcb-m6.bioreg.kyushu-u.ac.jp/M3/20110404/F50756/2260/1", 74.24)</f>
        <v>74.239999999999995</v>
      </c>
      <c r="E15310" s="2">
        <v>56.11</v>
      </c>
      <c r="F15310" s="2">
        <v>2</v>
      </c>
      <c r="G15310" s="2" t="s">
        <v>9</v>
      </c>
      <c r="H15310" s="2" t="s">
        <v>4912</v>
      </c>
    </row>
    <row r="15311" spans="1:8" x14ac:dyDescent="0.2">
      <c r="A15311" s="2" t="s">
        <v>3240</v>
      </c>
      <c r="B15311" s="2" t="s">
        <v>20</v>
      </c>
      <c r="C15311" s="2">
        <v>649.97519999999997</v>
      </c>
      <c r="D15311" s="2">
        <f>HYPERLINK("http://mcb-m6.bioreg.kyushu-u.ac.jp/M3/20110404/F50751/1804/1", 74.33)</f>
        <v>74.33</v>
      </c>
      <c r="E15311" s="2">
        <v>47.4</v>
      </c>
      <c r="F15311" s="2">
        <v>2</v>
      </c>
      <c r="G15311" s="2" t="s">
        <v>9</v>
      </c>
    </row>
    <row r="15312" spans="1:8" x14ac:dyDescent="0.2">
      <c r="A15312" s="2" t="s">
        <v>3240</v>
      </c>
      <c r="B15312" s="2" t="s">
        <v>20</v>
      </c>
      <c r="C15312" s="2">
        <v>649.52760000000001</v>
      </c>
      <c r="D15312" s="2">
        <f>HYPERLINK("http://mcb-m6.bioreg.kyushu-u.ac.jp/M3/20110404/F50753/1651/1", 75)</f>
        <v>75</v>
      </c>
      <c r="E15312" s="2">
        <v>47.83</v>
      </c>
      <c r="F15312" s="2">
        <v>2</v>
      </c>
      <c r="G15312" s="2" t="s">
        <v>9</v>
      </c>
    </row>
    <row r="15313" spans="1:8" x14ac:dyDescent="0.2">
      <c r="A15313" s="2" t="s">
        <v>3240</v>
      </c>
      <c r="B15313" s="2" t="s">
        <v>1392</v>
      </c>
      <c r="C15313" s="2">
        <v>1579.5029999999999</v>
      </c>
      <c r="D15313" s="2">
        <f>HYPERLINK("http://mcb-m6.bioreg.kyushu-u.ac.jp/M3/20110404/F50767/1980/1", 75.76)</f>
        <v>75.760000000000005</v>
      </c>
      <c r="E15313" s="2">
        <v>65.97</v>
      </c>
      <c r="F15313" s="2">
        <v>1</v>
      </c>
      <c r="G15313" s="2" t="s">
        <v>9</v>
      </c>
    </row>
    <row r="15314" spans="1:8" x14ac:dyDescent="0.2">
      <c r="A15314" s="2" t="s">
        <v>3240</v>
      </c>
      <c r="B15314" s="2" t="s">
        <v>20</v>
      </c>
      <c r="C15314" s="2">
        <v>649.79819999999995</v>
      </c>
      <c r="D15314" s="2">
        <f>HYPERLINK("http://mcb-m6.bioreg.kyushu-u.ac.jp/M3/20110404/F50776/1454/1", 77.22)</f>
        <v>77.22</v>
      </c>
      <c r="E15314" s="2">
        <v>53.55</v>
      </c>
      <c r="F15314" s="2">
        <v>2</v>
      </c>
      <c r="G15314" s="2" t="s">
        <v>9</v>
      </c>
    </row>
    <row r="15315" spans="1:8" x14ac:dyDescent="0.2">
      <c r="A15315" s="2" t="s">
        <v>3240</v>
      </c>
      <c r="B15315" s="2" t="s">
        <v>20</v>
      </c>
      <c r="C15315" s="2">
        <v>650.23220000000003</v>
      </c>
      <c r="D15315" s="2">
        <f>HYPERLINK("http://mcb-m6.bioreg.kyushu-u.ac.jp/M3/20110404/F50763/1564/1", 77.64)</f>
        <v>77.64</v>
      </c>
      <c r="E15315" s="2">
        <v>58.93</v>
      </c>
      <c r="F15315" s="2">
        <v>2</v>
      </c>
      <c r="G15315" s="2" t="s">
        <v>9</v>
      </c>
    </row>
    <row r="15316" spans="1:8" x14ac:dyDescent="0.2">
      <c r="A15316" s="2" t="s">
        <v>3240</v>
      </c>
      <c r="B15316" s="2" t="s">
        <v>1392</v>
      </c>
      <c r="C15316" s="2">
        <v>1579.703</v>
      </c>
      <c r="D15316" s="2">
        <f>HYPERLINK("http://mcb-m6.bioreg.kyushu-u.ac.jp/M3/20110404/F50778/2089/1", 79.14)</f>
        <v>79.14</v>
      </c>
      <c r="E15316" s="2">
        <v>64.89</v>
      </c>
      <c r="F15316" s="2">
        <v>1</v>
      </c>
      <c r="G15316" s="2" t="s">
        <v>9</v>
      </c>
    </row>
    <row r="15317" spans="1:8" x14ac:dyDescent="0.2">
      <c r="A15317" s="2" t="s">
        <v>3240</v>
      </c>
      <c r="B15317" s="2" t="s">
        <v>1392</v>
      </c>
      <c r="C15317" s="2">
        <v>790.83010000000002</v>
      </c>
      <c r="D15317" s="2">
        <f>HYPERLINK("http://mcb-m6.bioreg.kyushu-u.ac.jp/M3/20110404/F50778/2092/1", 79.31)</f>
        <v>79.31</v>
      </c>
      <c r="E15317" s="2">
        <v>63.03</v>
      </c>
      <c r="F15317" s="2">
        <v>2</v>
      </c>
      <c r="G15317" s="2" t="s">
        <v>9</v>
      </c>
    </row>
    <row r="15318" spans="1:8" x14ac:dyDescent="0.2">
      <c r="A15318" s="2" t="s">
        <v>3240</v>
      </c>
      <c r="B15318" s="2" t="s">
        <v>20</v>
      </c>
      <c r="C15318" s="2">
        <v>649.72519999999997</v>
      </c>
      <c r="D15318" s="2">
        <f>HYPERLINK("http://mcb-m6.bioreg.kyushu-u.ac.jp/M3/20110404/F50756/1526/1", 81.35)</f>
        <v>81.349999999999994</v>
      </c>
      <c r="E15318" s="2">
        <v>55.69</v>
      </c>
      <c r="F15318" s="2">
        <v>2</v>
      </c>
      <c r="G15318" s="2" t="s">
        <v>9</v>
      </c>
    </row>
    <row r="15319" spans="1:8" x14ac:dyDescent="0.2">
      <c r="A15319" s="2" t="s">
        <v>3240</v>
      </c>
      <c r="B15319" s="2" t="s">
        <v>20</v>
      </c>
      <c r="C15319" s="2">
        <v>649.81960000000004</v>
      </c>
      <c r="D15319" s="2">
        <f>HYPERLINK("http://mcb-m6.bioreg.kyushu-u.ac.jp/M3/20110404/F50765/1418/1", 83.21)</f>
        <v>83.21</v>
      </c>
      <c r="E15319" s="2">
        <v>57.17</v>
      </c>
      <c r="F15319" s="2">
        <v>2</v>
      </c>
      <c r="G15319" s="2" t="s">
        <v>9</v>
      </c>
    </row>
    <row r="15320" spans="1:8" x14ac:dyDescent="0.2">
      <c r="A15320" s="2" t="s">
        <v>3240</v>
      </c>
      <c r="B15320" s="2" t="s">
        <v>1392</v>
      </c>
      <c r="C15320" s="2">
        <v>790.7722</v>
      </c>
      <c r="D15320" s="2">
        <f>HYPERLINK("http://mcb-m6.bioreg.kyushu-u.ac.jp/M3/20110404/F50767/1985/1", 84.34)</f>
        <v>84.34</v>
      </c>
      <c r="E15320" s="2">
        <v>68.88</v>
      </c>
      <c r="F15320" s="2">
        <v>2</v>
      </c>
      <c r="G15320" s="2" t="s">
        <v>9</v>
      </c>
    </row>
    <row r="15321" spans="1:8" x14ac:dyDescent="0.2">
      <c r="A15321" s="2" t="s">
        <v>3240</v>
      </c>
      <c r="B15321" s="2" t="s">
        <v>1392</v>
      </c>
      <c r="C15321" s="2">
        <v>798.35170000000005</v>
      </c>
      <c r="D15321" s="2">
        <f>HYPERLINK("http://mcb-m6.bioreg.kyushu-u.ac.jp/M3/20110404/F50754/2314/1", 85.44)</f>
        <v>85.44</v>
      </c>
      <c r="E15321" s="2">
        <v>70.69</v>
      </c>
      <c r="F15321" s="2">
        <v>2</v>
      </c>
      <c r="G15321" s="2" t="s">
        <v>9</v>
      </c>
      <c r="H15321" s="2" t="s">
        <v>4912</v>
      </c>
    </row>
    <row r="15322" spans="1:8" x14ac:dyDescent="0.2">
      <c r="A15322" s="2" t="s">
        <v>3240</v>
      </c>
      <c r="B15322" s="2" t="s">
        <v>1392</v>
      </c>
      <c r="C15322" s="2">
        <v>790.77869999999996</v>
      </c>
      <c r="D15322" s="2">
        <f>HYPERLINK("http://mcb-m6.bioreg.kyushu-u.ac.jp/M3/20110404/F50776/1930/1", 86.74)</f>
        <v>86.74</v>
      </c>
      <c r="E15322" s="2">
        <v>71.34</v>
      </c>
      <c r="F15322" s="2">
        <v>2</v>
      </c>
      <c r="G15322" s="2" t="s">
        <v>9</v>
      </c>
    </row>
    <row r="15323" spans="1:8" x14ac:dyDescent="0.2">
      <c r="A15323" s="2" t="s">
        <v>3240</v>
      </c>
      <c r="B15323" s="2" t="s">
        <v>20</v>
      </c>
      <c r="C15323" s="2">
        <v>649.78369999999995</v>
      </c>
      <c r="D15323" s="2">
        <f>HYPERLINK("http://mcb-m6.bioreg.kyushu-u.ac.jp/M3/20110404/F50779/1306/1", 86.79)</f>
        <v>86.79</v>
      </c>
      <c r="E15323" s="2">
        <v>61.89</v>
      </c>
      <c r="F15323" s="2">
        <v>2</v>
      </c>
      <c r="G15323" s="2" t="s">
        <v>9</v>
      </c>
    </row>
    <row r="15324" spans="1:8" x14ac:dyDescent="0.2">
      <c r="A15324" s="2" t="s">
        <v>3240</v>
      </c>
      <c r="B15324" s="2" t="s">
        <v>20</v>
      </c>
      <c r="C15324" s="2">
        <v>649.63319999999999</v>
      </c>
      <c r="D15324" s="2">
        <f>HYPERLINK("http://mcb-m6.bioreg.kyushu-u.ac.jp/M3/20110404/F50754/1791/1", 86.89)</f>
        <v>86.89</v>
      </c>
      <c r="E15324" s="2">
        <v>58.2</v>
      </c>
      <c r="F15324" s="2">
        <v>2</v>
      </c>
      <c r="G15324" s="2" t="s">
        <v>9</v>
      </c>
    </row>
    <row r="15325" spans="1:8" x14ac:dyDescent="0.2">
      <c r="A15325" s="2" t="s">
        <v>3240</v>
      </c>
      <c r="B15325" s="2" t="s">
        <v>1392</v>
      </c>
      <c r="C15325" s="2">
        <v>798.82709999999997</v>
      </c>
      <c r="D15325" s="2">
        <f>HYPERLINK("http://mcb-m6.bioreg.kyushu-u.ac.jp/M3/20110404/F50776/1956/1", 87.43)</f>
        <v>87.43</v>
      </c>
      <c r="E15325" s="2">
        <v>71.73</v>
      </c>
      <c r="F15325" s="2">
        <v>2</v>
      </c>
      <c r="G15325" s="2" t="s">
        <v>9</v>
      </c>
      <c r="H15325" s="2" t="s">
        <v>4912</v>
      </c>
    </row>
    <row r="15326" spans="1:8" x14ac:dyDescent="0.2">
      <c r="A15326" s="2" t="s">
        <v>3240</v>
      </c>
      <c r="B15326" s="2" t="s">
        <v>1392</v>
      </c>
      <c r="C15326" s="2">
        <v>798.39120000000003</v>
      </c>
      <c r="D15326" s="2">
        <f>HYPERLINK("http://mcb-m6.bioreg.kyushu-u.ac.jp/M3/20110404/F50779/2033/1", 94.75)</f>
        <v>94.75</v>
      </c>
      <c r="E15326" s="2">
        <v>80.900000000000006</v>
      </c>
      <c r="F15326" s="2">
        <v>2</v>
      </c>
      <c r="G15326" s="2" t="s">
        <v>9</v>
      </c>
      <c r="H15326" s="2" t="s">
        <v>4912</v>
      </c>
    </row>
    <row r="15327" spans="1:8" x14ac:dyDescent="0.2">
      <c r="A15327" s="2" t="s">
        <v>3240</v>
      </c>
      <c r="B15327" s="2" t="s">
        <v>1392</v>
      </c>
      <c r="C15327" s="2">
        <v>790.22770000000003</v>
      </c>
      <c r="D15327" s="2">
        <f>HYPERLINK("http://mcb-m6.bioreg.kyushu-u.ac.jp/M3/20110404/F50754/2290/1", 98.53)</f>
        <v>98.53</v>
      </c>
      <c r="E15327" s="2">
        <v>82.74</v>
      </c>
      <c r="F15327" s="2">
        <v>2</v>
      </c>
      <c r="G15327" s="2" t="s">
        <v>9</v>
      </c>
    </row>
    <row r="15328" spans="1:8" x14ac:dyDescent="0.2">
      <c r="A15328" s="2" t="s">
        <v>3240</v>
      </c>
      <c r="B15328" s="2" t="s">
        <v>1392</v>
      </c>
      <c r="C15328" s="2">
        <v>790.62459999999999</v>
      </c>
      <c r="D15328" s="2">
        <f>HYPERLINK("http://mcb-m6.bioreg.kyushu-u.ac.jp/M3/20110404/F50755/2220/1", 100.17)</f>
        <v>100.17</v>
      </c>
      <c r="E15328" s="2">
        <v>86.89</v>
      </c>
      <c r="F15328" s="2">
        <v>2</v>
      </c>
      <c r="G15328" s="2" t="s">
        <v>9</v>
      </c>
    </row>
    <row r="15329" spans="1:8" x14ac:dyDescent="0.2">
      <c r="A15329" s="2" t="s">
        <v>3240</v>
      </c>
      <c r="B15329" s="2" t="s">
        <v>1392</v>
      </c>
      <c r="C15329" s="2">
        <v>798.16020000000003</v>
      </c>
      <c r="D15329" s="2">
        <f>HYPERLINK("http://mcb-m6.bioreg.kyushu-u.ac.jp/M3/20110404/F50756/2257/1", 100.68)</f>
        <v>100.68</v>
      </c>
      <c r="E15329" s="2">
        <v>88.16</v>
      </c>
      <c r="F15329" s="2">
        <v>2</v>
      </c>
      <c r="G15329" s="2" t="s">
        <v>9</v>
      </c>
      <c r="H15329" s="2" t="s">
        <v>4912</v>
      </c>
    </row>
    <row r="15330" spans="1:8" x14ac:dyDescent="0.2">
      <c r="A15330" s="2" t="s">
        <v>3240</v>
      </c>
      <c r="B15330" s="2" t="s">
        <v>1392</v>
      </c>
      <c r="C15330" s="2">
        <v>798.35969999999998</v>
      </c>
      <c r="D15330" s="2">
        <f>HYPERLINK("http://mcb-m6.bioreg.kyushu-u.ac.jp/M3/20110404/F50756/2258/1", 104.55)</f>
        <v>104.55</v>
      </c>
      <c r="E15330" s="2">
        <v>91.54</v>
      </c>
      <c r="F15330" s="2">
        <v>2</v>
      </c>
      <c r="G15330" s="2" t="s">
        <v>9</v>
      </c>
      <c r="H15330" s="2" t="s">
        <v>4912</v>
      </c>
    </row>
    <row r="15331" spans="1:8" x14ac:dyDescent="0.2">
      <c r="A15331" s="2" t="s">
        <v>3240</v>
      </c>
      <c r="B15331" s="2" t="s">
        <v>1392</v>
      </c>
      <c r="C15331" s="2">
        <v>790.30909999999994</v>
      </c>
      <c r="D15331" s="2">
        <f>HYPERLINK("http://mcb-m6.bioreg.kyushu-u.ac.jp/M3/20110404/F50766/1871/1", 104.83)</f>
        <v>104.83</v>
      </c>
      <c r="E15331" s="2">
        <v>90.12</v>
      </c>
      <c r="F15331" s="2">
        <v>2</v>
      </c>
      <c r="G15331" s="2" t="s">
        <v>9</v>
      </c>
    </row>
    <row r="15332" spans="1:8" x14ac:dyDescent="0.2">
      <c r="A15332" s="2" t="s">
        <v>3240</v>
      </c>
      <c r="B15332" s="2" t="s">
        <v>1392</v>
      </c>
      <c r="C15332" s="2">
        <v>790.18409999999994</v>
      </c>
      <c r="D15332" s="2">
        <f>HYPERLINK("http://mcb-m6.bioreg.kyushu-u.ac.jp/M3/20110404/F50756/2215/1", 104.85)</f>
        <v>104.85</v>
      </c>
      <c r="E15332" s="2">
        <v>92.2</v>
      </c>
      <c r="F15332" s="2">
        <v>2</v>
      </c>
      <c r="G15332" s="2" t="s">
        <v>9</v>
      </c>
    </row>
    <row r="15333" spans="1:8" x14ac:dyDescent="0.2">
      <c r="A15333" s="2" t="s">
        <v>3240</v>
      </c>
      <c r="B15333" s="2" t="s">
        <v>1392</v>
      </c>
      <c r="C15333" s="2">
        <v>798.32069999999999</v>
      </c>
      <c r="D15333" s="2">
        <f>HYPERLINK("http://mcb-m6.bioreg.kyushu-u.ac.jp/M3/20110404/F50765/2097/1", 110.07)</f>
        <v>110.07</v>
      </c>
      <c r="E15333" s="2">
        <v>99.54</v>
      </c>
      <c r="F15333" s="2">
        <v>2</v>
      </c>
      <c r="G15333" s="2" t="s">
        <v>9</v>
      </c>
      <c r="H15333" s="2" t="s">
        <v>4912</v>
      </c>
    </row>
    <row r="15334" spans="1:8" x14ac:dyDescent="0.2">
      <c r="A15334" s="2" t="s">
        <v>3240</v>
      </c>
      <c r="B15334" s="2" t="s">
        <v>1392</v>
      </c>
      <c r="C15334" s="2">
        <v>790.39919999999995</v>
      </c>
      <c r="D15334" s="2">
        <f>HYPERLINK("http://mcb-m6.bioreg.kyushu-u.ac.jp/M3/20110404/F50779/1986/1", 112.15)</f>
        <v>112.15</v>
      </c>
      <c r="E15334" s="2">
        <v>97</v>
      </c>
      <c r="F15334" s="2">
        <v>2</v>
      </c>
      <c r="G15334" s="2" t="s">
        <v>9</v>
      </c>
    </row>
    <row r="15335" spans="1:8" x14ac:dyDescent="0.2">
      <c r="A15335" s="2" t="s">
        <v>3240</v>
      </c>
      <c r="B15335" s="2" t="s">
        <v>1392</v>
      </c>
      <c r="C15335" s="2">
        <v>798.38959999999997</v>
      </c>
      <c r="D15335" s="2">
        <f>HYPERLINK("http://mcb-m6.bioreg.kyushu-u.ac.jp/M3/20110404/F50778/2121/1", 112.63)</f>
        <v>112.63</v>
      </c>
      <c r="E15335" s="2">
        <v>98.01</v>
      </c>
      <c r="F15335" s="2">
        <v>2</v>
      </c>
      <c r="G15335" s="2" t="s">
        <v>9</v>
      </c>
      <c r="H15335" s="2" t="s">
        <v>4912</v>
      </c>
    </row>
    <row r="15336" spans="1:8" x14ac:dyDescent="0.2">
      <c r="A15336" s="2" t="s">
        <v>3240</v>
      </c>
      <c r="B15336" s="2" t="s">
        <v>1392</v>
      </c>
      <c r="C15336" s="2">
        <v>798.39620000000002</v>
      </c>
      <c r="D15336" s="2">
        <f>HYPERLINK("http://mcb-m6.bioreg.kyushu-u.ac.jp/M3/20110404/F50752/2294/1", 113.05)</f>
        <v>113.05</v>
      </c>
      <c r="E15336" s="2">
        <v>97.49</v>
      </c>
      <c r="F15336" s="2">
        <v>2</v>
      </c>
      <c r="G15336" s="2" t="s">
        <v>9</v>
      </c>
      <c r="H15336" s="2" t="s">
        <v>4912</v>
      </c>
    </row>
    <row r="15337" spans="1:8" x14ac:dyDescent="0.2">
      <c r="A15337" s="2" t="s">
        <v>3240</v>
      </c>
      <c r="B15337" s="2" t="s">
        <v>1392</v>
      </c>
      <c r="C15337" s="2">
        <v>790.06410000000005</v>
      </c>
      <c r="D15337" s="2">
        <f>HYPERLINK("http://mcb-m6.bioreg.kyushu-u.ac.jp/M3/20110404/F50753/2208/1", 114.08)</f>
        <v>114.08</v>
      </c>
      <c r="E15337" s="2">
        <v>89.19</v>
      </c>
      <c r="F15337" s="2">
        <v>2</v>
      </c>
      <c r="G15337" s="2" t="s">
        <v>9</v>
      </c>
    </row>
    <row r="15338" spans="1:8" x14ac:dyDescent="0.2">
      <c r="A15338" s="2" t="s">
        <v>3240</v>
      </c>
      <c r="B15338" s="2" t="s">
        <v>20</v>
      </c>
      <c r="C15338" s="2">
        <v>1298.749</v>
      </c>
      <c r="D15338" s="2">
        <f>HYPERLINK("http://mcb-m6.bioreg.kyushu-u.ac.jp/M3/20110404/F50773/1421/1", 36.44)</f>
        <v>36.44</v>
      </c>
      <c r="E15338" s="2">
        <v>17.559999999999999</v>
      </c>
      <c r="F15338" s="2">
        <v>1</v>
      </c>
      <c r="G15338" s="2" t="s">
        <v>10</v>
      </c>
    </row>
    <row r="15339" spans="1:8" x14ac:dyDescent="0.2">
      <c r="A15339" s="2" t="s">
        <v>3240</v>
      </c>
      <c r="B15339" s="2" t="s">
        <v>20</v>
      </c>
      <c r="C15339" s="2">
        <v>1298.511</v>
      </c>
      <c r="D15339" s="2">
        <f>HYPERLINK("http://mcb-m6.bioreg.kyushu-u.ac.jp/M3/20110404/F50771/1500/1", 36.62)</f>
        <v>36.619999999999997</v>
      </c>
      <c r="E15339" s="2">
        <v>21.02</v>
      </c>
      <c r="F15339" s="2">
        <v>1</v>
      </c>
      <c r="G15339" s="2" t="s">
        <v>10</v>
      </c>
    </row>
    <row r="15340" spans="1:8" x14ac:dyDescent="0.2">
      <c r="A15340" s="2" t="s">
        <v>3240</v>
      </c>
      <c r="B15340" s="2" t="s">
        <v>20</v>
      </c>
      <c r="C15340" s="2">
        <v>1298.4960000000001</v>
      </c>
      <c r="D15340" s="2">
        <f>HYPERLINK("http://mcb-m6.bioreg.kyushu-u.ac.jp/M3/20110404/F50761/1459/1", 39.1)</f>
        <v>39.1</v>
      </c>
      <c r="E15340" s="2">
        <v>17.89</v>
      </c>
      <c r="F15340" s="2">
        <v>1</v>
      </c>
      <c r="G15340" s="2" t="s">
        <v>10</v>
      </c>
    </row>
    <row r="15341" spans="1:8" x14ac:dyDescent="0.2">
      <c r="A15341" s="2" t="s">
        <v>3240</v>
      </c>
      <c r="B15341" s="2" t="s">
        <v>20</v>
      </c>
      <c r="C15341" s="2">
        <v>1298.7950000000001</v>
      </c>
      <c r="D15341" s="2">
        <f>HYPERLINK("http://mcb-m6.bioreg.kyushu-u.ac.jp/M3/20110404/F50782/1338/1", 40.72)</f>
        <v>40.72</v>
      </c>
      <c r="E15341" s="2">
        <v>25.75</v>
      </c>
      <c r="F15341" s="2">
        <v>1</v>
      </c>
      <c r="G15341" s="2" t="s">
        <v>10</v>
      </c>
    </row>
    <row r="15342" spans="1:8" x14ac:dyDescent="0.2">
      <c r="A15342" s="2" t="s">
        <v>3240</v>
      </c>
      <c r="B15342" s="2" t="s">
        <v>1392</v>
      </c>
      <c r="C15342" s="2">
        <v>1596.241</v>
      </c>
      <c r="D15342" s="2">
        <f>HYPERLINK("http://mcb-m6.bioreg.kyushu-u.ac.jp/M3/20110404/F50782/2087/1", 41.69)</f>
        <v>41.69</v>
      </c>
      <c r="E15342" s="2">
        <v>38.130000000000003</v>
      </c>
      <c r="F15342" s="2">
        <v>1</v>
      </c>
      <c r="G15342" s="2" t="s">
        <v>10</v>
      </c>
      <c r="H15342" s="2" t="s">
        <v>4912</v>
      </c>
    </row>
    <row r="15343" spans="1:8" x14ac:dyDescent="0.2">
      <c r="A15343" s="2" t="s">
        <v>3240</v>
      </c>
      <c r="B15343" s="2" t="s">
        <v>20</v>
      </c>
      <c r="C15343" s="2">
        <v>1298.453</v>
      </c>
      <c r="D15343" s="2">
        <f>HYPERLINK("http://mcb-m6.bioreg.kyushu-u.ac.jp/M3/20110404/F50757/1852/1", 42.54)</f>
        <v>42.54</v>
      </c>
      <c r="E15343" s="2">
        <v>28.42</v>
      </c>
      <c r="F15343" s="2">
        <v>1</v>
      </c>
      <c r="G15343" s="2" t="s">
        <v>10</v>
      </c>
    </row>
    <row r="15344" spans="1:8" x14ac:dyDescent="0.2">
      <c r="A15344" s="2" t="s">
        <v>3240</v>
      </c>
      <c r="B15344" s="2" t="s">
        <v>20</v>
      </c>
      <c r="C15344" s="2">
        <v>650.38760000000002</v>
      </c>
      <c r="D15344" s="2">
        <f>HYPERLINK("http://mcb-m6.bioreg.kyushu-u.ac.jp/M3/20110404/F50775/1538/1", 43.31)</f>
        <v>43.31</v>
      </c>
      <c r="E15344" s="2">
        <v>21.42</v>
      </c>
      <c r="F15344" s="2">
        <v>2</v>
      </c>
      <c r="G15344" s="2" t="s">
        <v>10</v>
      </c>
    </row>
    <row r="15345" spans="1:8" x14ac:dyDescent="0.2">
      <c r="A15345" s="2" t="s">
        <v>3240</v>
      </c>
      <c r="B15345" s="2" t="s">
        <v>1392</v>
      </c>
      <c r="C15345" s="2">
        <v>790.4932</v>
      </c>
      <c r="D15345" s="2">
        <f>HYPERLINK("http://mcb-m6.bioreg.kyushu-u.ac.jp/M3/20110404/F50782/2043/1", 43.88)</f>
        <v>43.88</v>
      </c>
      <c r="E15345" s="2">
        <v>27.06</v>
      </c>
      <c r="F15345" s="2">
        <v>2</v>
      </c>
      <c r="G15345" s="2" t="s">
        <v>10</v>
      </c>
    </row>
    <row r="15346" spans="1:8" x14ac:dyDescent="0.2">
      <c r="A15346" s="2" t="s">
        <v>3240</v>
      </c>
      <c r="B15346" s="2" t="s">
        <v>20</v>
      </c>
      <c r="C15346" s="2">
        <v>1298.5730000000001</v>
      </c>
      <c r="D15346" s="2">
        <f>HYPERLINK("http://mcb-m6.bioreg.kyushu-u.ac.jp/M3/20110404/F50758/1583/1", 44.05)</f>
        <v>44.05</v>
      </c>
      <c r="E15346" s="2">
        <v>15.16</v>
      </c>
      <c r="F15346" s="2">
        <v>1</v>
      </c>
      <c r="G15346" s="2" t="s">
        <v>10</v>
      </c>
    </row>
    <row r="15347" spans="1:8" x14ac:dyDescent="0.2">
      <c r="A15347" s="2" t="s">
        <v>3240</v>
      </c>
      <c r="B15347" s="2" t="s">
        <v>20</v>
      </c>
      <c r="C15347" s="2">
        <v>1298.838</v>
      </c>
      <c r="D15347" s="2">
        <f>HYPERLINK("http://mcb-m6.bioreg.kyushu-u.ac.jp/M3/20110404/F50772/1527/1", 45.01)</f>
        <v>45.01</v>
      </c>
      <c r="E15347" s="2">
        <v>22.63</v>
      </c>
      <c r="F15347" s="2">
        <v>1</v>
      </c>
      <c r="G15347" s="2" t="s">
        <v>10</v>
      </c>
    </row>
    <row r="15348" spans="1:8" x14ac:dyDescent="0.2">
      <c r="A15348" s="2" t="s">
        <v>3240</v>
      </c>
      <c r="B15348" s="2" t="s">
        <v>1392</v>
      </c>
      <c r="C15348" s="2">
        <v>790.4366</v>
      </c>
      <c r="D15348" s="2">
        <f>HYPERLINK("http://mcb-m6.bioreg.kyushu-u.ac.jp/M3/20110404/F50770/2105/1", 45.63)</f>
        <v>45.63</v>
      </c>
      <c r="E15348" s="2">
        <v>34.83</v>
      </c>
      <c r="F15348" s="2">
        <v>2</v>
      </c>
      <c r="G15348" s="2" t="s">
        <v>10</v>
      </c>
    </row>
    <row r="15349" spans="1:8" x14ac:dyDescent="0.2">
      <c r="A15349" s="2" t="s">
        <v>3240</v>
      </c>
      <c r="B15349" s="2" t="s">
        <v>20</v>
      </c>
      <c r="C15349" s="2">
        <v>1298.269</v>
      </c>
      <c r="D15349" s="2">
        <f>HYPERLINK("http://mcb-m6.bioreg.kyushu-u.ac.jp/M3/20110404/F50769/1679/1", 45.96)</f>
        <v>45.96</v>
      </c>
      <c r="E15349" s="2">
        <v>20.69</v>
      </c>
      <c r="F15349" s="2">
        <v>1</v>
      </c>
      <c r="G15349" s="2" t="s">
        <v>10</v>
      </c>
    </row>
    <row r="15350" spans="1:8" x14ac:dyDescent="0.2">
      <c r="A15350" s="2" t="s">
        <v>3240</v>
      </c>
      <c r="B15350" s="2" t="s">
        <v>20</v>
      </c>
      <c r="C15350" s="2">
        <v>650.18769999999995</v>
      </c>
      <c r="D15350" s="2">
        <f>HYPERLINK("http://mcb-m6.bioreg.kyushu-u.ac.jp/M3/20110404/F50771/1502/1", 46.24)</f>
        <v>46.24</v>
      </c>
      <c r="E15350" s="2">
        <v>7.28</v>
      </c>
      <c r="F15350" s="2">
        <v>2</v>
      </c>
      <c r="G15350" s="2" t="s">
        <v>10</v>
      </c>
    </row>
    <row r="15351" spans="1:8" x14ac:dyDescent="0.2">
      <c r="A15351" s="2" t="s">
        <v>3240</v>
      </c>
      <c r="B15351" s="2" t="s">
        <v>20</v>
      </c>
      <c r="C15351" s="2">
        <v>1298.5989999999999</v>
      </c>
      <c r="D15351" s="2">
        <f>HYPERLINK("http://mcb-m6.bioreg.kyushu-u.ac.jp/M3/20110404/F50775/1536/1", 51.14)</f>
        <v>51.14</v>
      </c>
      <c r="E15351" s="2">
        <v>33.17</v>
      </c>
      <c r="F15351" s="2">
        <v>1</v>
      </c>
      <c r="G15351" s="2" t="s">
        <v>10</v>
      </c>
    </row>
    <row r="15352" spans="1:8" x14ac:dyDescent="0.2">
      <c r="A15352" s="2" t="s">
        <v>3240</v>
      </c>
      <c r="B15352" s="2" t="s">
        <v>1392</v>
      </c>
      <c r="C15352" s="2">
        <v>790.37019999999995</v>
      </c>
      <c r="D15352" s="2">
        <f>HYPERLINK("http://mcb-m6.bioreg.kyushu-u.ac.jp/M3/20110404/F50782/2041/1", 57.21)</f>
        <v>57.21</v>
      </c>
      <c r="E15352" s="2">
        <v>35.54</v>
      </c>
      <c r="F15352" s="2">
        <v>2</v>
      </c>
      <c r="G15352" s="2" t="s">
        <v>10</v>
      </c>
    </row>
    <row r="15353" spans="1:8" x14ac:dyDescent="0.2">
      <c r="A15353" s="2" t="s">
        <v>3240</v>
      </c>
      <c r="B15353" s="2" t="s">
        <v>20</v>
      </c>
      <c r="C15353" s="2">
        <v>650.06769999999995</v>
      </c>
      <c r="D15353" s="2">
        <f>HYPERLINK("http://mcb-m6.bioreg.kyushu-u.ac.jp/M3/20110404/F50782/1339/1", 57.51)</f>
        <v>57.51</v>
      </c>
      <c r="E15353" s="2">
        <v>33.14</v>
      </c>
      <c r="F15353" s="2">
        <v>2</v>
      </c>
      <c r="G15353" s="2" t="s">
        <v>10</v>
      </c>
    </row>
    <row r="15354" spans="1:8" x14ac:dyDescent="0.2">
      <c r="A15354" s="2" t="s">
        <v>3240</v>
      </c>
      <c r="B15354" s="2" t="s">
        <v>1392</v>
      </c>
      <c r="C15354" s="2">
        <v>798.34370000000001</v>
      </c>
      <c r="D15354" s="2">
        <f>HYPERLINK("http://mcb-m6.bioreg.kyushu-u.ac.jp/M3/20110404/F50782/2083/1", 57.58)</f>
        <v>57.58</v>
      </c>
      <c r="E15354" s="2">
        <v>49.65</v>
      </c>
      <c r="F15354" s="2">
        <v>2</v>
      </c>
      <c r="G15354" s="2" t="s">
        <v>10</v>
      </c>
      <c r="H15354" s="2" t="s">
        <v>4912</v>
      </c>
    </row>
    <row r="15355" spans="1:8" x14ac:dyDescent="0.2">
      <c r="A15355" s="2" t="s">
        <v>3240</v>
      </c>
      <c r="B15355" s="2" t="s">
        <v>1392</v>
      </c>
      <c r="C15355" s="2">
        <v>1580.23</v>
      </c>
      <c r="D15355" s="2">
        <f>HYPERLINK("http://mcb-m6.bioreg.kyushu-u.ac.jp/M3/20110404/F50782/2044/1", 58.84)</f>
        <v>58.84</v>
      </c>
      <c r="E15355" s="2">
        <v>49.29</v>
      </c>
      <c r="F15355" s="2">
        <v>1</v>
      </c>
      <c r="G15355" s="2" t="s">
        <v>10</v>
      </c>
    </row>
    <row r="15356" spans="1:8" x14ac:dyDescent="0.2">
      <c r="A15356" s="2" t="s">
        <v>3240</v>
      </c>
      <c r="B15356" s="2" t="s">
        <v>20</v>
      </c>
      <c r="C15356" s="2">
        <v>650.29169999999999</v>
      </c>
      <c r="D15356" s="2">
        <f>HYPERLINK("http://mcb-m6.bioreg.kyushu-u.ac.jp/M3/20110404/F50773/1422/1", 59.68)</f>
        <v>59.68</v>
      </c>
      <c r="E15356" s="2">
        <v>34.33</v>
      </c>
      <c r="F15356" s="2">
        <v>2</v>
      </c>
      <c r="G15356" s="2" t="s">
        <v>10</v>
      </c>
    </row>
    <row r="15357" spans="1:8" x14ac:dyDescent="0.2">
      <c r="A15357" s="2" t="s">
        <v>3240</v>
      </c>
      <c r="B15357" s="2" t="s">
        <v>20</v>
      </c>
      <c r="C15357" s="2">
        <v>649.71119999999996</v>
      </c>
      <c r="D15357" s="2">
        <f>HYPERLINK("http://mcb-m6.bioreg.kyushu-u.ac.jp/M3/20110404/F50770/1554/1", 60.34)</f>
        <v>60.34</v>
      </c>
      <c r="E15357" s="2">
        <v>43.99</v>
      </c>
      <c r="F15357" s="2">
        <v>2</v>
      </c>
      <c r="G15357" s="2" t="s">
        <v>10</v>
      </c>
    </row>
    <row r="15358" spans="1:8" x14ac:dyDescent="0.2">
      <c r="A15358" s="2" t="s">
        <v>3240</v>
      </c>
      <c r="B15358" s="2" t="s">
        <v>1392</v>
      </c>
      <c r="C15358" s="2">
        <v>1579.6379999999999</v>
      </c>
      <c r="D15358" s="2">
        <f>HYPERLINK("http://mcb-m6.bioreg.kyushu-u.ac.jp/M3/20110404/F50761/2062/1", 63.15)</f>
        <v>63.15</v>
      </c>
      <c r="E15358" s="2">
        <v>51.98</v>
      </c>
      <c r="F15358" s="2">
        <v>1</v>
      </c>
      <c r="G15358" s="2" t="s">
        <v>10</v>
      </c>
    </row>
    <row r="15359" spans="1:8" x14ac:dyDescent="0.2">
      <c r="A15359" s="2" t="s">
        <v>3240</v>
      </c>
      <c r="B15359" s="2" t="s">
        <v>20</v>
      </c>
      <c r="C15359" s="2">
        <v>650.36069999999995</v>
      </c>
      <c r="D15359" s="2">
        <f>HYPERLINK("http://mcb-m6.bioreg.kyushu-u.ac.jp/M3/20110404/F50774/1508/1", 63.19)</f>
        <v>63.19</v>
      </c>
      <c r="E15359" s="2">
        <v>40.39</v>
      </c>
      <c r="F15359" s="2">
        <v>2</v>
      </c>
      <c r="G15359" s="2" t="s">
        <v>10</v>
      </c>
    </row>
    <row r="15360" spans="1:8" x14ac:dyDescent="0.2">
      <c r="A15360" s="2" t="s">
        <v>3240</v>
      </c>
      <c r="B15360" s="2" t="s">
        <v>20</v>
      </c>
      <c r="C15360" s="2">
        <v>649.78719999999998</v>
      </c>
      <c r="D15360" s="2">
        <f>HYPERLINK("http://mcb-m6.bioreg.kyushu-u.ac.jp/M3/20110404/F50773/1420/1", 72.29)</f>
        <v>72.290000000000006</v>
      </c>
      <c r="E15360" s="2">
        <v>52.67</v>
      </c>
      <c r="F15360" s="2">
        <v>2</v>
      </c>
      <c r="G15360" s="2" t="s">
        <v>10</v>
      </c>
    </row>
    <row r="15361" spans="1:8" x14ac:dyDescent="0.2">
      <c r="A15361" s="2" t="s">
        <v>3240</v>
      </c>
      <c r="B15361" s="2" t="s">
        <v>20</v>
      </c>
      <c r="C15361" s="2">
        <v>650.26969999999994</v>
      </c>
      <c r="D15361" s="2">
        <f>HYPERLINK("http://mcb-m6.bioreg.kyushu-u.ac.jp/M3/20110404/F50757/1853/1", 72.63)</f>
        <v>72.63</v>
      </c>
      <c r="E15361" s="2">
        <v>38.770000000000003</v>
      </c>
      <c r="F15361" s="2">
        <v>2</v>
      </c>
      <c r="G15361" s="2" t="s">
        <v>10</v>
      </c>
    </row>
    <row r="15362" spans="1:8" x14ac:dyDescent="0.2">
      <c r="A15362" s="2" t="s">
        <v>3240</v>
      </c>
      <c r="B15362" s="2" t="s">
        <v>1392</v>
      </c>
      <c r="C15362" s="2">
        <v>790.48220000000003</v>
      </c>
      <c r="D15362" s="2">
        <f>HYPERLINK("http://mcb-m6.bioreg.kyushu-u.ac.jp/M3/20110404/F50782/2042/1", 74.77)</f>
        <v>74.77</v>
      </c>
      <c r="E15362" s="2">
        <v>59.84</v>
      </c>
      <c r="F15362" s="2">
        <v>2</v>
      </c>
      <c r="G15362" s="2" t="s">
        <v>10</v>
      </c>
    </row>
    <row r="15363" spans="1:8" x14ac:dyDescent="0.2">
      <c r="A15363" s="2" t="s">
        <v>3240</v>
      </c>
      <c r="B15363" s="2" t="s">
        <v>20</v>
      </c>
      <c r="C15363" s="2">
        <v>649.80769999999995</v>
      </c>
      <c r="D15363" s="2">
        <f>HYPERLINK("http://mcb-m6.bioreg.kyushu-u.ac.jp/M3/20110404/F50775/1537/1", 76.77)</f>
        <v>76.77</v>
      </c>
      <c r="E15363" s="2">
        <v>48.01</v>
      </c>
      <c r="F15363" s="2">
        <v>2</v>
      </c>
      <c r="G15363" s="2" t="s">
        <v>10</v>
      </c>
    </row>
    <row r="15364" spans="1:8" x14ac:dyDescent="0.2">
      <c r="A15364" s="2" t="s">
        <v>3240</v>
      </c>
      <c r="B15364" s="2" t="s">
        <v>20</v>
      </c>
      <c r="C15364" s="2">
        <v>649.68619999999999</v>
      </c>
      <c r="D15364" s="2">
        <f>HYPERLINK("http://mcb-m6.bioreg.kyushu-u.ac.jp/M3/20110404/F50769/1680/1", 78.35)</f>
        <v>78.349999999999994</v>
      </c>
      <c r="E15364" s="2">
        <v>48.81</v>
      </c>
      <c r="F15364" s="2">
        <v>2</v>
      </c>
      <c r="G15364" s="2" t="s">
        <v>10</v>
      </c>
    </row>
    <row r="15365" spans="1:8" x14ac:dyDescent="0.2">
      <c r="A15365" s="2" t="s">
        <v>3240</v>
      </c>
      <c r="B15365" s="2" t="s">
        <v>20</v>
      </c>
      <c r="C15365" s="2">
        <v>649.58370000000002</v>
      </c>
      <c r="D15365" s="2">
        <f>HYPERLINK("http://mcb-m6.bioreg.kyushu-u.ac.jp/M3/20110404/F50771/1499/1", 79.89)</f>
        <v>79.89</v>
      </c>
      <c r="E15365" s="2">
        <v>59.39</v>
      </c>
      <c r="F15365" s="2">
        <v>2</v>
      </c>
      <c r="G15365" s="2" t="s">
        <v>10</v>
      </c>
    </row>
    <row r="15366" spans="1:8" x14ac:dyDescent="0.2">
      <c r="A15366" s="2" t="s">
        <v>3240</v>
      </c>
      <c r="B15366" s="2" t="s">
        <v>1392</v>
      </c>
      <c r="C15366" s="2">
        <v>790.2672</v>
      </c>
      <c r="D15366" s="2">
        <f>HYPERLINK("http://mcb-m6.bioreg.kyushu-u.ac.jp/M3/20110404/F50761/2061/1", 80.13)</f>
        <v>80.13</v>
      </c>
      <c r="E15366" s="2">
        <v>62.74</v>
      </c>
      <c r="F15366" s="2">
        <v>2</v>
      </c>
      <c r="G15366" s="2" t="s">
        <v>10</v>
      </c>
    </row>
    <row r="15367" spans="1:8" x14ac:dyDescent="0.2">
      <c r="A15367" s="2" t="s">
        <v>3240</v>
      </c>
      <c r="B15367" s="2" t="s">
        <v>20</v>
      </c>
      <c r="C15367" s="2">
        <v>649.71559999999999</v>
      </c>
      <c r="D15367" s="2">
        <f>HYPERLINK("http://mcb-m6.bioreg.kyushu-u.ac.jp/M3/20110404/F50758/1582/1", 83.94)</f>
        <v>83.94</v>
      </c>
      <c r="E15367" s="2">
        <v>55.58</v>
      </c>
      <c r="F15367" s="2">
        <v>2</v>
      </c>
      <c r="G15367" s="2" t="s">
        <v>10</v>
      </c>
    </row>
    <row r="15368" spans="1:8" x14ac:dyDescent="0.2">
      <c r="A15368" s="2" t="s">
        <v>3240</v>
      </c>
      <c r="B15368" s="2" t="s">
        <v>20</v>
      </c>
      <c r="C15368" s="2">
        <v>650.08010000000002</v>
      </c>
      <c r="D15368" s="2">
        <f>HYPERLINK("http://mcb-m6.bioreg.kyushu-u.ac.jp/M3/20110404/F50772/1528/1", 89.77)</f>
        <v>89.77</v>
      </c>
      <c r="E15368" s="2">
        <v>51.57</v>
      </c>
      <c r="F15368" s="2">
        <v>2</v>
      </c>
      <c r="G15368" s="2" t="s">
        <v>10</v>
      </c>
    </row>
    <row r="15369" spans="1:8" x14ac:dyDescent="0.2">
      <c r="A15369" s="2" t="s">
        <v>3240</v>
      </c>
      <c r="B15369" s="2" t="s">
        <v>1392</v>
      </c>
      <c r="C15369" s="2">
        <v>790.25210000000004</v>
      </c>
      <c r="D15369" s="2">
        <f>HYPERLINK("http://mcb-m6.bioreg.kyushu-u.ac.jp/M3/20110404/F50771/2109/1", 92.35)</f>
        <v>92.35</v>
      </c>
      <c r="E15369" s="2">
        <v>75.33</v>
      </c>
      <c r="F15369" s="2">
        <v>2</v>
      </c>
      <c r="G15369" s="2" t="s">
        <v>10</v>
      </c>
    </row>
    <row r="15370" spans="1:8" x14ac:dyDescent="0.2">
      <c r="A15370" s="2" t="s">
        <v>3240</v>
      </c>
      <c r="B15370" s="2" t="s">
        <v>1392</v>
      </c>
      <c r="C15370" s="2">
        <v>798.16920000000005</v>
      </c>
      <c r="D15370" s="2">
        <f>HYPERLINK("http://mcb-m6.bioreg.kyushu-u.ac.jp/M3/20110404/F50761/2091/1", 101.09)</f>
        <v>101.09</v>
      </c>
      <c r="E15370" s="2">
        <v>87.2</v>
      </c>
      <c r="F15370" s="2">
        <v>2</v>
      </c>
      <c r="G15370" s="2" t="s">
        <v>10</v>
      </c>
      <c r="H15370" s="2" t="s">
        <v>4912</v>
      </c>
    </row>
    <row r="15371" spans="1:8" x14ac:dyDescent="0.2">
      <c r="A15371" s="2" t="s">
        <v>3240</v>
      </c>
      <c r="B15371" s="2" t="s">
        <v>1392</v>
      </c>
      <c r="C15371" s="2">
        <v>790.35019999999997</v>
      </c>
      <c r="D15371" s="2">
        <f>HYPERLINK("http://mcb-m6.bioreg.kyushu-u.ac.jp/M3/20110404/F50773/2036/1", 108.26)</f>
        <v>108.26</v>
      </c>
      <c r="E15371" s="2">
        <v>94.87</v>
      </c>
      <c r="F15371" s="2">
        <v>2</v>
      </c>
      <c r="G15371" s="2" t="s">
        <v>10</v>
      </c>
    </row>
    <row r="15372" spans="1:8" x14ac:dyDescent="0.2">
      <c r="A15372" s="2" t="s">
        <v>3240</v>
      </c>
      <c r="B15372" s="2" t="s">
        <v>1392</v>
      </c>
      <c r="C15372" s="2">
        <v>798.35609999999997</v>
      </c>
      <c r="D15372" s="2">
        <f>HYPERLINK("http://mcb-m6.bioreg.kyushu-u.ac.jp/M3/20110404/F50773/2064/1", 112.6)</f>
        <v>112.6</v>
      </c>
      <c r="E15372" s="2">
        <v>95.71</v>
      </c>
      <c r="F15372" s="2">
        <v>2</v>
      </c>
      <c r="G15372" s="2" t="s">
        <v>10</v>
      </c>
      <c r="H15372" s="2" t="s">
        <v>4912</v>
      </c>
    </row>
    <row r="15373" spans="1:8" x14ac:dyDescent="0.2">
      <c r="A15373" s="2" t="s">
        <v>3240</v>
      </c>
      <c r="B15373" s="2" t="s">
        <v>1392</v>
      </c>
      <c r="C15373" s="2">
        <v>790.27419999999995</v>
      </c>
      <c r="D15373" s="2">
        <f>HYPERLINK("http://mcb-m6.bioreg.kyushu-u.ac.jp/M3/20110404/F50760/2030/1", 112.67)</f>
        <v>112.67</v>
      </c>
      <c r="E15373" s="2">
        <v>96.16</v>
      </c>
      <c r="F15373" s="2">
        <v>2</v>
      </c>
      <c r="G15373" s="2" t="s">
        <v>10</v>
      </c>
    </row>
    <row r="15374" spans="1:8" x14ac:dyDescent="0.2">
      <c r="A15374" s="2" t="s">
        <v>3240</v>
      </c>
      <c r="B15374" s="2" t="s">
        <v>1392</v>
      </c>
      <c r="C15374" s="2">
        <v>790.22360000000003</v>
      </c>
      <c r="D15374" s="2">
        <f>HYPERLINK("http://mcb-m6.bioreg.kyushu-u.ac.jp/M3/20110404/F50758/2087/1", 117.54)</f>
        <v>117.54</v>
      </c>
      <c r="E15374" s="2">
        <v>106.3</v>
      </c>
      <c r="F15374" s="2">
        <v>2</v>
      </c>
      <c r="G15374" s="2" t="s">
        <v>10</v>
      </c>
    </row>
    <row r="15375" spans="1:8" x14ac:dyDescent="0.2">
      <c r="A15375" s="2" t="s">
        <v>3240</v>
      </c>
      <c r="B15375" s="2" t="s">
        <v>1392</v>
      </c>
      <c r="C15375" s="2">
        <v>798.31410000000005</v>
      </c>
      <c r="D15375" s="2">
        <f>HYPERLINK("http://mcb-m6.bioreg.kyushu-u.ac.jp/M3/20110404/F50770/2130/1", 123.04)</f>
        <v>123.04</v>
      </c>
      <c r="E15375" s="2">
        <v>106.05</v>
      </c>
      <c r="F15375" s="2">
        <v>2</v>
      </c>
      <c r="G15375" s="2" t="s">
        <v>10</v>
      </c>
      <c r="H15375" s="2" t="s">
        <v>4912</v>
      </c>
    </row>
    <row r="15376" spans="1:8" x14ac:dyDescent="0.2">
      <c r="A15376" s="2" t="s">
        <v>3240</v>
      </c>
      <c r="B15376" s="2" t="s">
        <v>2367</v>
      </c>
      <c r="C15376" s="2">
        <v>1017.718</v>
      </c>
      <c r="D15376" s="2">
        <f>HYPERLINK("http://mcb-m6.bioreg.kyushu-u.ac.jp/M3/20110421/F51042/4364/1", 35.29)</f>
        <v>35.29</v>
      </c>
      <c r="E15376" s="2">
        <v>25.5</v>
      </c>
      <c r="F15376" s="2">
        <v>3</v>
      </c>
      <c r="G15376" s="2" t="s">
        <v>11</v>
      </c>
    </row>
    <row r="15377" spans="1:8" x14ac:dyDescent="0.2">
      <c r="A15377" s="2" t="s">
        <v>3240</v>
      </c>
      <c r="B15377" s="2" t="s">
        <v>20</v>
      </c>
      <c r="C15377" s="2">
        <v>1299.761</v>
      </c>
      <c r="D15377" s="2">
        <f>HYPERLINK("http://mcb-m6.bioreg.kyushu-u.ac.jp/M3/20110421/F51058/1372/1", 37.39)</f>
        <v>37.39</v>
      </c>
      <c r="E15377" s="2">
        <v>17.14</v>
      </c>
      <c r="F15377" s="2">
        <v>1</v>
      </c>
      <c r="G15377" s="2" t="s">
        <v>11</v>
      </c>
    </row>
    <row r="15378" spans="1:8" x14ac:dyDescent="0.2">
      <c r="A15378" s="2" t="s">
        <v>3240</v>
      </c>
      <c r="B15378" s="2" t="s">
        <v>20</v>
      </c>
      <c r="C15378" s="2">
        <v>1298.7</v>
      </c>
      <c r="D15378" s="2">
        <f>HYPERLINK("http://mcb-m6.bioreg.kyushu-u.ac.jp/M3/20110421/F51034/1523/1", 37.82)</f>
        <v>37.82</v>
      </c>
      <c r="E15378" s="2">
        <v>22.75</v>
      </c>
      <c r="F15378" s="2">
        <v>1</v>
      </c>
      <c r="G15378" s="2" t="s">
        <v>11</v>
      </c>
    </row>
    <row r="15379" spans="1:8" x14ac:dyDescent="0.2">
      <c r="A15379" s="2" t="s">
        <v>3240</v>
      </c>
      <c r="B15379" s="2" t="s">
        <v>20</v>
      </c>
      <c r="C15379" s="2">
        <v>649.78970000000004</v>
      </c>
      <c r="D15379" s="2">
        <f>HYPERLINK("http://mcb-m6.bioreg.kyushu-u.ac.jp/M3/20110421/F51042/1338/1", 40.3)</f>
        <v>40.299999999999997</v>
      </c>
      <c r="E15379" s="2">
        <v>27.63</v>
      </c>
      <c r="F15379" s="2">
        <v>2</v>
      </c>
      <c r="G15379" s="2" t="s">
        <v>11</v>
      </c>
    </row>
    <row r="15380" spans="1:8" x14ac:dyDescent="0.2">
      <c r="A15380" s="2" t="s">
        <v>3240</v>
      </c>
      <c r="B15380" s="2" t="s">
        <v>20</v>
      </c>
      <c r="C15380" s="2">
        <v>1298.5139999999999</v>
      </c>
      <c r="D15380" s="2">
        <f>HYPERLINK("http://mcb-m6.bioreg.kyushu-u.ac.jp/M3/20110421/F51042/1337/1", 40.99)</f>
        <v>40.99</v>
      </c>
      <c r="E15380" s="2">
        <v>23.54</v>
      </c>
      <c r="F15380" s="2">
        <v>1</v>
      </c>
      <c r="G15380" s="2" t="s">
        <v>11</v>
      </c>
    </row>
    <row r="15381" spans="1:8" x14ac:dyDescent="0.2">
      <c r="A15381" s="2" t="s">
        <v>3240</v>
      </c>
      <c r="B15381" s="2" t="s">
        <v>20</v>
      </c>
      <c r="C15381" s="2">
        <v>1298.68</v>
      </c>
      <c r="D15381" s="2">
        <f>HYPERLINK("http://mcb-m6.bioreg.kyushu-u.ac.jp/M3/20110421/F51058/1369/1", 42.98)</f>
        <v>42.98</v>
      </c>
      <c r="E15381" s="2">
        <v>24.83</v>
      </c>
      <c r="F15381" s="2">
        <v>1</v>
      </c>
      <c r="G15381" s="2" t="s">
        <v>11</v>
      </c>
    </row>
    <row r="15382" spans="1:8" x14ac:dyDescent="0.2">
      <c r="A15382" s="2" t="s">
        <v>3240</v>
      </c>
      <c r="B15382" s="2" t="s">
        <v>20</v>
      </c>
      <c r="C15382" s="2">
        <v>650.33069999999998</v>
      </c>
      <c r="D15382" s="2">
        <f>HYPERLINK("http://mcb-m6.bioreg.kyushu-u.ac.jp/M3/20110421/F51035/1448/1", 44.34)</f>
        <v>44.34</v>
      </c>
      <c r="E15382" s="2">
        <v>26.64</v>
      </c>
      <c r="F15382" s="2">
        <v>2</v>
      </c>
      <c r="G15382" s="2" t="s">
        <v>11</v>
      </c>
    </row>
    <row r="15383" spans="1:8" x14ac:dyDescent="0.2">
      <c r="A15383" s="2" t="s">
        <v>3240</v>
      </c>
      <c r="B15383" s="2" t="s">
        <v>20</v>
      </c>
      <c r="C15383" s="2">
        <v>650.26070000000004</v>
      </c>
      <c r="D15383" s="2">
        <f>HYPERLINK("http://mcb-m6.bioreg.kyushu-u.ac.jp/M3/20110421/F51034/1526/1", 44.54)</f>
        <v>44.54</v>
      </c>
      <c r="E15383" s="2">
        <v>30.12</v>
      </c>
      <c r="F15383" s="2">
        <v>2</v>
      </c>
      <c r="G15383" s="2" t="s">
        <v>11</v>
      </c>
    </row>
    <row r="15384" spans="1:8" x14ac:dyDescent="0.2">
      <c r="A15384" s="2" t="s">
        <v>3240</v>
      </c>
      <c r="B15384" s="2" t="s">
        <v>20</v>
      </c>
      <c r="C15384" s="2">
        <v>1298.6569999999999</v>
      </c>
      <c r="D15384" s="2">
        <f>HYPERLINK("http://mcb-m6.bioreg.kyushu-u.ac.jp/M3/20110421/F51035/1447/1", 47.55)</f>
        <v>47.55</v>
      </c>
      <c r="E15384" s="2">
        <v>32.770000000000003</v>
      </c>
      <c r="F15384" s="2">
        <v>1</v>
      </c>
      <c r="G15384" s="2" t="s">
        <v>11</v>
      </c>
    </row>
    <row r="15385" spans="1:8" x14ac:dyDescent="0.2">
      <c r="A15385" s="2" t="s">
        <v>3240</v>
      </c>
      <c r="B15385" s="2" t="s">
        <v>20</v>
      </c>
      <c r="C15385" s="2">
        <v>1298.221</v>
      </c>
      <c r="D15385" s="2">
        <f>HYPERLINK("http://mcb-m6.bioreg.kyushu-u.ac.jp/M3/20110421/F51017/1529/1", 48.69)</f>
        <v>48.69</v>
      </c>
      <c r="E15385" s="2">
        <v>28.32</v>
      </c>
      <c r="F15385" s="2">
        <v>1</v>
      </c>
      <c r="G15385" s="2" t="s">
        <v>11</v>
      </c>
    </row>
    <row r="15386" spans="1:8" x14ac:dyDescent="0.2">
      <c r="A15386" s="2" t="s">
        <v>3240</v>
      </c>
      <c r="B15386" s="2" t="s">
        <v>20</v>
      </c>
      <c r="C15386" s="2">
        <v>650.29819999999995</v>
      </c>
      <c r="D15386" s="2">
        <f>HYPERLINK("http://mcb-m6.bioreg.kyushu-u.ac.jp/M3/20110421/F51042/1342/1", 48.73)</f>
        <v>48.73</v>
      </c>
      <c r="E15386" s="2">
        <v>30.41</v>
      </c>
      <c r="F15386" s="2">
        <v>2</v>
      </c>
      <c r="G15386" s="2" t="s">
        <v>11</v>
      </c>
    </row>
    <row r="15387" spans="1:8" x14ac:dyDescent="0.2">
      <c r="A15387" s="2" t="s">
        <v>3240</v>
      </c>
      <c r="B15387" s="2" t="s">
        <v>1392</v>
      </c>
      <c r="C15387" s="2">
        <v>790.19209999999998</v>
      </c>
      <c r="D15387" s="2">
        <f>HYPERLINK("http://mcb-m6.bioreg.kyushu-u.ac.jp/M3/20110421/F51042/2217/1", 50.68)</f>
        <v>50.68</v>
      </c>
      <c r="E15387" s="2">
        <v>32.72</v>
      </c>
      <c r="F15387" s="2">
        <v>2</v>
      </c>
      <c r="G15387" s="2" t="s">
        <v>11</v>
      </c>
    </row>
    <row r="15388" spans="1:8" x14ac:dyDescent="0.2">
      <c r="A15388" s="2" t="s">
        <v>3240</v>
      </c>
      <c r="B15388" s="2" t="s">
        <v>20</v>
      </c>
      <c r="C15388" s="2">
        <v>649.82759999999996</v>
      </c>
      <c r="D15388" s="2">
        <f>HYPERLINK("http://mcb-m6.bioreg.kyushu-u.ac.jp/M3/20110421/F51042/1339/1", 51.21)</f>
        <v>51.21</v>
      </c>
      <c r="E15388" s="2">
        <v>37.21</v>
      </c>
      <c r="F15388" s="2">
        <v>2</v>
      </c>
      <c r="G15388" s="2" t="s">
        <v>11</v>
      </c>
    </row>
    <row r="15389" spans="1:8" x14ac:dyDescent="0.2">
      <c r="A15389" s="2" t="s">
        <v>3240</v>
      </c>
      <c r="B15389" s="2" t="s">
        <v>1392</v>
      </c>
      <c r="C15389" s="2">
        <v>790.43370000000004</v>
      </c>
      <c r="D15389" s="2">
        <f>HYPERLINK("http://mcb-m6.bioreg.kyushu-u.ac.jp/M3/20110421/F51042/2220/1", 59.73)</f>
        <v>59.73</v>
      </c>
      <c r="E15389" s="2">
        <v>46.7</v>
      </c>
      <c r="F15389" s="2">
        <v>2</v>
      </c>
      <c r="G15389" s="2" t="s">
        <v>11</v>
      </c>
    </row>
    <row r="15390" spans="1:8" x14ac:dyDescent="0.2">
      <c r="A15390" s="2" t="s">
        <v>3240</v>
      </c>
      <c r="B15390" s="2" t="s">
        <v>20</v>
      </c>
      <c r="C15390" s="2">
        <v>650.41819999999996</v>
      </c>
      <c r="D15390" s="2">
        <f>HYPERLINK("http://mcb-m6.bioreg.kyushu-u.ac.jp/M3/20110421/F51035/1450/1", 60.1)</f>
        <v>60.1</v>
      </c>
      <c r="E15390" s="2">
        <v>34.83</v>
      </c>
      <c r="F15390" s="2">
        <v>2</v>
      </c>
      <c r="G15390" s="2" t="s">
        <v>11</v>
      </c>
    </row>
    <row r="15391" spans="1:8" x14ac:dyDescent="0.2">
      <c r="A15391" s="2" t="s">
        <v>3240</v>
      </c>
      <c r="B15391" s="2" t="s">
        <v>20</v>
      </c>
      <c r="C15391" s="2">
        <v>650.24220000000003</v>
      </c>
      <c r="D15391" s="2">
        <f>HYPERLINK("http://mcb-m6.bioreg.kyushu-u.ac.jp/M3/20110421/F51039/1582/1", 63.06)</f>
        <v>63.06</v>
      </c>
      <c r="E15391" s="2">
        <v>34.130000000000003</v>
      </c>
      <c r="F15391" s="2">
        <v>2</v>
      </c>
      <c r="G15391" s="2" t="s">
        <v>11</v>
      </c>
    </row>
    <row r="15392" spans="1:8" x14ac:dyDescent="0.2">
      <c r="A15392" s="2" t="s">
        <v>3240</v>
      </c>
      <c r="B15392" s="2" t="s">
        <v>1392</v>
      </c>
      <c r="C15392" s="2">
        <v>798.35360000000003</v>
      </c>
      <c r="D15392" s="2">
        <f>HYPERLINK("http://mcb-m6.bioreg.kyushu-u.ac.jp/M3/20110421/F51019/2304/1", 65.28)</f>
        <v>65.28</v>
      </c>
      <c r="E15392" s="2">
        <v>53.84</v>
      </c>
      <c r="F15392" s="2">
        <v>2</v>
      </c>
      <c r="G15392" s="2" t="s">
        <v>11</v>
      </c>
      <c r="H15392" s="2" t="s">
        <v>4912</v>
      </c>
    </row>
    <row r="15393" spans="1:7" x14ac:dyDescent="0.2">
      <c r="A15393" s="2" t="s">
        <v>3240</v>
      </c>
      <c r="B15393" s="2" t="s">
        <v>20</v>
      </c>
      <c r="C15393" s="2">
        <v>650.10170000000005</v>
      </c>
      <c r="D15393" s="2">
        <f>HYPERLINK("http://mcb-m6.bioreg.kyushu-u.ac.jp/M3/20110421/F51017/1534/1", 66.54)</f>
        <v>66.540000000000006</v>
      </c>
      <c r="E15393" s="2">
        <v>44.1</v>
      </c>
      <c r="F15393" s="2">
        <v>2</v>
      </c>
      <c r="G15393" s="2" t="s">
        <v>11</v>
      </c>
    </row>
    <row r="15394" spans="1:7" x14ac:dyDescent="0.2">
      <c r="A15394" s="2" t="s">
        <v>3240</v>
      </c>
      <c r="B15394" s="2" t="s">
        <v>20</v>
      </c>
      <c r="C15394" s="2">
        <v>649.85969999999998</v>
      </c>
      <c r="D15394" s="2">
        <f>HYPERLINK("http://mcb-m6.bioreg.kyushu-u.ac.jp/M3/20110421/F51016/1821/1", 66.87)</f>
        <v>66.87</v>
      </c>
      <c r="E15394" s="2">
        <v>41.59</v>
      </c>
      <c r="F15394" s="2">
        <v>2</v>
      </c>
      <c r="G15394" s="2" t="s">
        <v>11</v>
      </c>
    </row>
    <row r="15395" spans="1:7" x14ac:dyDescent="0.2">
      <c r="A15395" s="2" t="s">
        <v>3240</v>
      </c>
      <c r="B15395" s="2" t="s">
        <v>20</v>
      </c>
      <c r="C15395" s="2">
        <v>650.13509999999997</v>
      </c>
      <c r="D15395" s="2">
        <f>HYPERLINK("http://mcb-m6.bioreg.kyushu-u.ac.jp/M3/20110421/F51017/1535/1", 67.06)</f>
        <v>67.06</v>
      </c>
      <c r="E15395" s="2">
        <v>45.24</v>
      </c>
      <c r="F15395" s="2">
        <v>2</v>
      </c>
      <c r="G15395" s="2" t="s">
        <v>11</v>
      </c>
    </row>
    <row r="15396" spans="1:7" x14ac:dyDescent="0.2">
      <c r="A15396" s="2" t="s">
        <v>3240</v>
      </c>
      <c r="B15396" s="2" t="s">
        <v>20</v>
      </c>
      <c r="C15396" s="2">
        <v>649.34469999999999</v>
      </c>
      <c r="D15396" s="2">
        <f>HYPERLINK("http://mcb-m6.bioreg.kyushu-u.ac.jp/M3/20110421/F51017/1528/1", 67.4)</f>
        <v>67.400000000000006</v>
      </c>
      <c r="E15396" s="2">
        <v>45.22</v>
      </c>
      <c r="F15396" s="2">
        <v>2</v>
      </c>
      <c r="G15396" s="2" t="s">
        <v>11</v>
      </c>
    </row>
    <row r="15397" spans="1:7" x14ac:dyDescent="0.2">
      <c r="A15397" s="2" t="s">
        <v>3240</v>
      </c>
      <c r="B15397" s="2" t="s">
        <v>20</v>
      </c>
      <c r="C15397" s="2">
        <v>650.10170000000005</v>
      </c>
      <c r="D15397" s="2">
        <f>HYPERLINK("http://mcb-m6.bioreg.kyushu-u.ac.jp/M3/20110421/F51017/1533/1", 67.42)</f>
        <v>67.42</v>
      </c>
      <c r="E15397" s="2">
        <v>43.52</v>
      </c>
      <c r="F15397" s="2">
        <v>2</v>
      </c>
      <c r="G15397" s="2" t="s">
        <v>11</v>
      </c>
    </row>
    <row r="15398" spans="1:7" x14ac:dyDescent="0.2">
      <c r="A15398" s="2" t="s">
        <v>3240</v>
      </c>
      <c r="B15398" s="2" t="s">
        <v>20</v>
      </c>
      <c r="C15398" s="2">
        <v>650.37019999999995</v>
      </c>
      <c r="D15398" s="2">
        <f>HYPERLINK("http://mcb-m6.bioreg.kyushu-u.ac.jp/M3/20110421/F51034/1527/1", 68.33)</f>
        <v>68.33</v>
      </c>
      <c r="E15398" s="2">
        <v>43.31</v>
      </c>
      <c r="F15398" s="2">
        <v>2</v>
      </c>
      <c r="G15398" s="2" t="s">
        <v>11</v>
      </c>
    </row>
    <row r="15399" spans="1:7" x14ac:dyDescent="0.2">
      <c r="A15399" s="2" t="s">
        <v>3240</v>
      </c>
      <c r="B15399" s="2" t="s">
        <v>20</v>
      </c>
      <c r="C15399" s="2">
        <v>649.92319999999995</v>
      </c>
      <c r="D15399" s="2">
        <f>HYPERLINK("http://mcb-m6.bioreg.kyushu-u.ac.jp/M3/20110421/F51020/1598/1", 70.15)</f>
        <v>70.150000000000006</v>
      </c>
      <c r="E15399" s="2">
        <v>45.82</v>
      </c>
      <c r="F15399" s="2">
        <v>2</v>
      </c>
      <c r="G15399" s="2" t="s">
        <v>11</v>
      </c>
    </row>
    <row r="15400" spans="1:7" x14ac:dyDescent="0.2">
      <c r="A15400" s="2" t="s">
        <v>3240</v>
      </c>
      <c r="B15400" s="2" t="s">
        <v>20</v>
      </c>
      <c r="C15400" s="2">
        <v>649.83259999999996</v>
      </c>
      <c r="D15400" s="2">
        <f>HYPERLINK("http://mcb-m6.bioreg.kyushu-u.ac.jp/M3/20110421/F51040/1546/1", 70.38)</f>
        <v>70.38</v>
      </c>
      <c r="E15400" s="2">
        <v>47.58</v>
      </c>
      <c r="F15400" s="2">
        <v>2</v>
      </c>
      <c r="G15400" s="2" t="s">
        <v>11</v>
      </c>
    </row>
    <row r="15401" spans="1:7" x14ac:dyDescent="0.2">
      <c r="A15401" s="2" t="s">
        <v>3240</v>
      </c>
      <c r="B15401" s="2" t="s">
        <v>20</v>
      </c>
      <c r="C15401" s="2">
        <v>649.85670000000005</v>
      </c>
      <c r="D15401" s="2">
        <f>HYPERLINK("http://mcb-m6.bioreg.kyushu-u.ac.jp/M3/20110421/F51037/1476/1", 71.9)</f>
        <v>71.900000000000006</v>
      </c>
      <c r="E15401" s="2">
        <v>52.43</v>
      </c>
      <c r="F15401" s="2">
        <v>2</v>
      </c>
      <c r="G15401" s="2" t="s">
        <v>11</v>
      </c>
    </row>
    <row r="15402" spans="1:7" x14ac:dyDescent="0.2">
      <c r="A15402" s="2" t="s">
        <v>3240</v>
      </c>
      <c r="B15402" s="2" t="s">
        <v>20</v>
      </c>
      <c r="C15402" s="2">
        <v>649.8347</v>
      </c>
      <c r="D15402" s="2">
        <f>HYPERLINK("http://mcb-m6.bioreg.kyushu-u.ac.jp/M3/20110421/F51042/1340/1", 74.64)</f>
        <v>74.64</v>
      </c>
      <c r="E15402" s="2">
        <v>50.17</v>
      </c>
      <c r="F15402" s="2">
        <v>2</v>
      </c>
      <c r="G15402" s="2" t="s">
        <v>11</v>
      </c>
    </row>
    <row r="15403" spans="1:7" x14ac:dyDescent="0.2">
      <c r="A15403" s="2" t="s">
        <v>3240</v>
      </c>
      <c r="B15403" s="2" t="s">
        <v>20</v>
      </c>
      <c r="C15403" s="2">
        <v>649.89419999999996</v>
      </c>
      <c r="D15403" s="2">
        <f>HYPERLINK("http://mcb-m6.bioreg.kyushu-u.ac.jp/M3/20110421/F51034/1525/1", 74.95)</f>
        <v>74.95</v>
      </c>
      <c r="E15403" s="2">
        <v>56.88</v>
      </c>
      <c r="F15403" s="2">
        <v>2</v>
      </c>
      <c r="G15403" s="2" t="s">
        <v>11</v>
      </c>
    </row>
    <row r="15404" spans="1:7" x14ac:dyDescent="0.2">
      <c r="A15404" s="2" t="s">
        <v>3240</v>
      </c>
      <c r="B15404" s="2" t="s">
        <v>20</v>
      </c>
      <c r="C15404" s="2">
        <v>649.63070000000005</v>
      </c>
      <c r="D15404" s="2">
        <f>HYPERLINK("http://mcb-m6.bioreg.kyushu-u.ac.jp/M3/20110421/F51017/1530/1", 75.32)</f>
        <v>75.319999999999993</v>
      </c>
      <c r="E15404" s="2">
        <v>54.56</v>
      </c>
      <c r="F15404" s="2">
        <v>2</v>
      </c>
      <c r="G15404" s="2" t="s">
        <v>11</v>
      </c>
    </row>
    <row r="15405" spans="1:7" x14ac:dyDescent="0.2">
      <c r="A15405" s="2" t="s">
        <v>3240</v>
      </c>
      <c r="B15405" s="2" t="s">
        <v>20</v>
      </c>
      <c r="C15405" s="2">
        <v>649.90219999999999</v>
      </c>
      <c r="D15405" s="2">
        <f>HYPERLINK("http://mcb-m6.bioreg.kyushu-u.ac.jp/M3/20110421/F51058/1371/1", 78.29)</f>
        <v>78.290000000000006</v>
      </c>
      <c r="E15405" s="2">
        <v>53.78</v>
      </c>
      <c r="F15405" s="2">
        <v>2</v>
      </c>
      <c r="G15405" s="2" t="s">
        <v>11</v>
      </c>
    </row>
    <row r="15406" spans="1:7" x14ac:dyDescent="0.2">
      <c r="A15406" s="2" t="s">
        <v>3240</v>
      </c>
      <c r="B15406" s="2" t="s">
        <v>20</v>
      </c>
      <c r="C15406" s="2">
        <v>649.80269999999996</v>
      </c>
      <c r="D15406" s="2">
        <f>HYPERLINK("http://mcb-m6.bioreg.kyushu-u.ac.jp/M3/20110421/F51035/1445/1", 78.42)</f>
        <v>78.42</v>
      </c>
      <c r="E15406" s="2">
        <v>49.46</v>
      </c>
      <c r="F15406" s="2">
        <v>2</v>
      </c>
      <c r="G15406" s="2" t="s">
        <v>11</v>
      </c>
    </row>
    <row r="15407" spans="1:7" x14ac:dyDescent="0.2">
      <c r="A15407" s="2" t="s">
        <v>3240</v>
      </c>
      <c r="B15407" s="2" t="s">
        <v>20</v>
      </c>
      <c r="C15407" s="2">
        <v>649.72969999999998</v>
      </c>
      <c r="D15407" s="2">
        <f>HYPERLINK("http://mcb-m6.bioreg.kyushu-u.ac.jp/M3/20110421/F51019/1669/1", 83.36)</f>
        <v>83.36</v>
      </c>
      <c r="E15407" s="2">
        <v>54.5</v>
      </c>
      <c r="F15407" s="2">
        <v>2</v>
      </c>
      <c r="G15407" s="2" t="s">
        <v>11</v>
      </c>
    </row>
    <row r="15408" spans="1:7" x14ac:dyDescent="0.2">
      <c r="A15408" s="2" t="s">
        <v>3240</v>
      </c>
      <c r="B15408" s="2" t="s">
        <v>20</v>
      </c>
      <c r="C15408" s="2">
        <v>649.70259999999996</v>
      </c>
      <c r="D15408" s="2">
        <f>HYPERLINK("http://mcb-m6.bioreg.kyushu-u.ac.jp/M3/20110421/F51015/1750/1", 83.79)</f>
        <v>83.79</v>
      </c>
      <c r="E15408" s="2">
        <v>58.23</v>
      </c>
      <c r="F15408" s="2">
        <v>2</v>
      </c>
      <c r="G15408" s="2" t="s">
        <v>11</v>
      </c>
    </row>
    <row r="15409" spans="1:8" x14ac:dyDescent="0.2">
      <c r="A15409" s="2" t="s">
        <v>3240</v>
      </c>
      <c r="B15409" s="2" t="s">
        <v>20</v>
      </c>
      <c r="C15409" s="2">
        <v>649.48910000000001</v>
      </c>
      <c r="D15409" s="2">
        <f>HYPERLINK("http://mcb-m6.bioreg.kyushu-u.ac.jp/M3/20110421/F51014/1732/1", 83.95)</f>
        <v>83.95</v>
      </c>
      <c r="E15409" s="2">
        <v>53.98</v>
      </c>
      <c r="F15409" s="2">
        <v>2</v>
      </c>
      <c r="G15409" s="2" t="s">
        <v>11</v>
      </c>
    </row>
    <row r="15410" spans="1:8" x14ac:dyDescent="0.2">
      <c r="A15410" s="2" t="s">
        <v>3240</v>
      </c>
      <c r="B15410" s="2" t="s">
        <v>20</v>
      </c>
      <c r="C15410" s="2">
        <v>649.6857</v>
      </c>
      <c r="D15410" s="2">
        <f>HYPERLINK("http://mcb-m6.bioreg.kyushu-u.ac.jp/M3/20110421/F51018/1660/1", 83.95)</f>
        <v>83.95</v>
      </c>
      <c r="E15410" s="2">
        <v>55.13</v>
      </c>
      <c r="F15410" s="2">
        <v>2</v>
      </c>
      <c r="G15410" s="2" t="s">
        <v>11</v>
      </c>
    </row>
    <row r="15411" spans="1:8" x14ac:dyDescent="0.2">
      <c r="A15411" s="2" t="s">
        <v>3240</v>
      </c>
      <c r="B15411" s="2" t="s">
        <v>1392</v>
      </c>
      <c r="C15411" s="2">
        <v>790.69759999999997</v>
      </c>
      <c r="D15411" s="2">
        <f>HYPERLINK("http://mcb-m6.bioreg.kyushu-u.ac.jp/M3/20110421/F51016/2223/1", 83.96)</f>
        <v>83.96</v>
      </c>
      <c r="E15411" s="2">
        <v>71.599999999999994</v>
      </c>
      <c r="F15411" s="2">
        <v>2</v>
      </c>
      <c r="G15411" s="2" t="s">
        <v>11</v>
      </c>
    </row>
    <row r="15412" spans="1:8" x14ac:dyDescent="0.2">
      <c r="A15412" s="2" t="s">
        <v>3240</v>
      </c>
      <c r="B15412" s="2" t="s">
        <v>20</v>
      </c>
      <c r="C15412" s="2">
        <v>649.86969999999997</v>
      </c>
      <c r="D15412" s="2">
        <f>HYPERLINK("http://mcb-m6.bioreg.kyushu-u.ac.jp/M3/20110421/F51034/1524/1", 83.98)</f>
        <v>83.98</v>
      </c>
      <c r="E15412" s="2">
        <v>52.65</v>
      </c>
      <c r="F15412" s="2">
        <v>2</v>
      </c>
      <c r="G15412" s="2" t="s">
        <v>11</v>
      </c>
    </row>
    <row r="15413" spans="1:8" x14ac:dyDescent="0.2">
      <c r="A15413" s="2" t="s">
        <v>3240</v>
      </c>
      <c r="B15413" s="2" t="s">
        <v>1392</v>
      </c>
      <c r="C15413" s="2">
        <v>790.91819999999996</v>
      </c>
      <c r="D15413" s="2">
        <f>HYPERLINK("http://mcb-m6.bioreg.kyushu-u.ac.jp/M3/20110421/F51058/2134/1", 87.28)</f>
        <v>87.28</v>
      </c>
      <c r="E15413" s="2">
        <v>73.430000000000007</v>
      </c>
      <c r="F15413" s="2">
        <v>2</v>
      </c>
      <c r="G15413" s="2" t="s">
        <v>11</v>
      </c>
    </row>
    <row r="15414" spans="1:8" x14ac:dyDescent="0.2">
      <c r="A15414" s="2" t="s">
        <v>3240</v>
      </c>
      <c r="B15414" s="2" t="s">
        <v>1392</v>
      </c>
      <c r="C15414" s="2">
        <v>790.72170000000006</v>
      </c>
      <c r="D15414" s="2">
        <f>HYPERLINK("http://mcb-m6.bioreg.kyushu-u.ac.jp/M3/20110421/F51017/2319/1", 87.41)</f>
        <v>87.41</v>
      </c>
      <c r="E15414" s="2">
        <v>65.16</v>
      </c>
      <c r="F15414" s="2">
        <v>2</v>
      </c>
      <c r="G15414" s="2" t="s">
        <v>11</v>
      </c>
    </row>
    <row r="15415" spans="1:8" x14ac:dyDescent="0.2">
      <c r="A15415" s="2" t="s">
        <v>3240</v>
      </c>
      <c r="B15415" s="2" t="s">
        <v>1392</v>
      </c>
      <c r="C15415" s="2">
        <v>790.29319999999996</v>
      </c>
      <c r="D15415" s="2">
        <f>HYPERLINK("http://mcb-m6.bioreg.kyushu-u.ac.jp/M3/20110421/F51037/2335/1", 95.65)</f>
        <v>95.65</v>
      </c>
      <c r="E15415" s="2">
        <v>83.13</v>
      </c>
      <c r="F15415" s="2">
        <v>2</v>
      </c>
      <c r="G15415" s="2" t="s">
        <v>11</v>
      </c>
    </row>
    <row r="15416" spans="1:8" x14ac:dyDescent="0.2">
      <c r="A15416" s="2" t="s">
        <v>3240</v>
      </c>
      <c r="B15416" s="2" t="s">
        <v>1392</v>
      </c>
      <c r="C15416" s="2">
        <v>789.94420000000002</v>
      </c>
      <c r="D15416" s="2">
        <f>HYPERLINK("http://mcb-m6.bioreg.kyushu-u.ac.jp/M3/20110421/F51014/2336/1", 96.34)</f>
        <v>96.34</v>
      </c>
      <c r="E15416" s="2">
        <v>75.540000000000006</v>
      </c>
      <c r="F15416" s="2">
        <v>2</v>
      </c>
      <c r="G15416" s="2" t="s">
        <v>11</v>
      </c>
    </row>
    <row r="15417" spans="1:8" x14ac:dyDescent="0.2">
      <c r="A15417" s="2" t="s">
        <v>3240</v>
      </c>
      <c r="B15417" s="2" t="s">
        <v>1392</v>
      </c>
      <c r="C15417" s="2">
        <v>790.40970000000004</v>
      </c>
      <c r="D15417" s="2">
        <f>HYPERLINK("http://mcb-m6.bioreg.kyushu-u.ac.jp/M3/20110421/F51035/2242/1", 97.8)</f>
        <v>97.8</v>
      </c>
      <c r="E15417" s="2">
        <v>85.6</v>
      </c>
      <c r="F15417" s="2">
        <v>2</v>
      </c>
      <c r="G15417" s="2" t="s">
        <v>11</v>
      </c>
    </row>
    <row r="15418" spans="1:8" x14ac:dyDescent="0.2">
      <c r="A15418" s="2" t="s">
        <v>3240</v>
      </c>
      <c r="B15418" s="2" t="s">
        <v>1392</v>
      </c>
      <c r="C15418" s="2">
        <v>798.46420000000001</v>
      </c>
      <c r="D15418" s="2">
        <f>HYPERLINK("http://mcb-m6.bioreg.kyushu-u.ac.jp/M3/20110421/F51017/2365/1", 98.55)</f>
        <v>98.55</v>
      </c>
      <c r="E15418" s="2">
        <v>79.89</v>
      </c>
      <c r="F15418" s="2">
        <v>2</v>
      </c>
      <c r="G15418" s="2" t="s">
        <v>11</v>
      </c>
      <c r="H15418" s="2" t="s">
        <v>4912</v>
      </c>
    </row>
    <row r="15419" spans="1:8" x14ac:dyDescent="0.2">
      <c r="A15419" s="2" t="s">
        <v>3240</v>
      </c>
      <c r="B15419" s="2" t="s">
        <v>1392</v>
      </c>
      <c r="C15419" s="2">
        <v>790.47519999999997</v>
      </c>
      <c r="D15419" s="2">
        <f>HYPERLINK("http://mcb-m6.bioreg.kyushu-u.ac.jp/M3/20110421/F51034/2287/1", 101.05)</f>
        <v>101.05</v>
      </c>
      <c r="E15419" s="2">
        <v>86.8</v>
      </c>
      <c r="F15419" s="2">
        <v>2</v>
      </c>
      <c r="G15419" s="2" t="s">
        <v>11</v>
      </c>
    </row>
    <row r="15420" spans="1:8" x14ac:dyDescent="0.2">
      <c r="A15420" s="2" t="s">
        <v>3240</v>
      </c>
      <c r="B15420" s="2" t="s">
        <v>1392</v>
      </c>
      <c r="C15420" s="2">
        <v>790.13459999999998</v>
      </c>
      <c r="D15420" s="2">
        <f>HYPERLINK("http://mcb-m6.bioreg.kyushu-u.ac.jp/M3/20110421/F51017/2315/1", 101.22)</f>
        <v>101.22</v>
      </c>
      <c r="E15420" s="2">
        <v>85.6</v>
      </c>
      <c r="F15420" s="2">
        <v>2</v>
      </c>
      <c r="G15420" s="2" t="s">
        <v>11</v>
      </c>
    </row>
    <row r="15421" spans="1:8" x14ac:dyDescent="0.2">
      <c r="A15421" s="2" t="s">
        <v>3240</v>
      </c>
      <c r="B15421" s="2" t="s">
        <v>1392</v>
      </c>
      <c r="C15421" s="2">
        <v>790.79169999999999</v>
      </c>
      <c r="D15421" s="2">
        <f>HYPERLINK("http://mcb-m6.bioreg.kyushu-u.ac.jp/M3/20110421/F51020/2258/1", 103.81)</f>
        <v>103.81</v>
      </c>
      <c r="E15421" s="2">
        <v>92.69</v>
      </c>
      <c r="F15421" s="2">
        <v>2</v>
      </c>
      <c r="G15421" s="2" t="s">
        <v>11</v>
      </c>
    </row>
    <row r="15422" spans="1:8" x14ac:dyDescent="0.2">
      <c r="A15422" s="2" t="s">
        <v>3240</v>
      </c>
      <c r="B15422" s="2" t="s">
        <v>1392</v>
      </c>
      <c r="C15422" s="2">
        <v>790.85270000000003</v>
      </c>
      <c r="D15422" s="2">
        <f>HYPERLINK("http://mcb-m6.bioreg.kyushu-u.ac.jp/M3/20110421/F51039/2367/1", 103.91)</f>
        <v>103.91</v>
      </c>
      <c r="E15422" s="2">
        <v>91.42</v>
      </c>
      <c r="F15422" s="2">
        <v>2</v>
      </c>
      <c r="G15422" s="2" t="s">
        <v>11</v>
      </c>
    </row>
    <row r="15423" spans="1:8" x14ac:dyDescent="0.2">
      <c r="A15423" s="2" t="s">
        <v>3240</v>
      </c>
      <c r="B15423" s="2" t="s">
        <v>1392</v>
      </c>
      <c r="C15423" s="2">
        <v>790.22559999999999</v>
      </c>
      <c r="D15423" s="2">
        <f>HYPERLINK("http://mcb-m6.bioreg.kyushu-u.ac.jp/M3/20110421/F51020/2255/1", 104.96)</f>
        <v>104.96</v>
      </c>
      <c r="E15423" s="2">
        <v>91.18</v>
      </c>
      <c r="F15423" s="2">
        <v>2</v>
      </c>
      <c r="G15423" s="2" t="s">
        <v>11</v>
      </c>
    </row>
    <row r="15424" spans="1:8" x14ac:dyDescent="0.2">
      <c r="A15424" s="2" t="s">
        <v>3240</v>
      </c>
      <c r="B15424" s="2" t="s">
        <v>1392</v>
      </c>
      <c r="C15424" s="2">
        <v>790.26009999999997</v>
      </c>
      <c r="D15424" s="2">
        <f>HYPERLINK("http://mcb-m6.bioreg.kyushu-u.ac.jp/M3/20110421/F51018/2345/1", 108.72)</f>
        <v>108.72</v>
      </c>
      <c r="E15424" s="2">
        <v>94.88</v>
      </c>
      <c r="F15424" s="2">
        <v>2</v>
      </c>
      <c r="G15424" s="2" t="s">
        <v>11</v>
      </c>
    </row>
    <row r="15425" spans="1:8" x14ac:dyDescent="0.2">
      <c r="A15425" s="2" t="s">
        <v>3240</v>
      </c>
      <c r="B15425" s="2" t="s">
        <v>1392</v>
      </c>
      <c r="C15425" s="2">
        <v>790.39369999999997</v>
      </c>
      <c r="D15425" s="2">
        <f>HYPERLINK("http://mcb-m6.bioreg.kyushu-u.ac.jp/M3/20110421/F51058/2132/1", 112.37)</f>
        <v>112.37</v>
      </c>
      <c r="E15425" s="2">
        <v>96.07</v>
      </c>
      <c r="F15425" s="2">
        <v>2</v>
      </c>
      <c r="G15425" s="2" t="s">
        <v>11</v>
      </c>
    </row>
    <row r="15426" spans="1:8" x14ac:dyDescent="0.2">
      <c r="A15426" s="2" t="s">
        <v>3240</v>
      </c>
      <c r="B15426" s="2" t="s">
        <v>1392</v>
      </c>
      <c r="C15426" s="2">
        <v>798.4307</v>
      </c>
      <c r="D15426" s="2">
        <f>HYPERLINK("http://mcb-m6.bioreg.kyushu-u.ac.jp/M3/20110421/F51034/2317/1", 112.39)</f>
        <v>112.39</v>
      </c>
      <c r="E15426" s="2">
        <v>98.55</v>
      </c>
      <c r="F15426" s="2">
        <v>2</v>
      </c>
      <c r="G15426" s="2" t="s">
        <v>11</v>
      </c>
      <c r="H15426" s="2" t="s">
        <v>4912</v>
      </c>
    </row>
    <row r="15427" spans="1:8" x14ac:dyDescent="0.2">
      <c r="A15427" s="2" t="s">
        <v>3240</v>
      </c>
      <c r="B15427" s="2" t="s">
        <v>1392</v>
      </c>
      <c r="C15427" s="2">
        <v>798.66819999999996</v>
      </c>
      <c r="D15427" s="2">
        <f>HYPERLINK("http://mcb-m6.bioreg.kyushu-u.ac.jp/M3/20110421/F51058/2176/1", 112.52)</f>
        <v>112.52</v>
      </c>
      <c r="E15427" s="2">
        <v>98.78</v>
      </c>
      <c r="F15427" s="2">
        <v>2</v>
      </c>
      <c r="G15427" s="2" t="s">
        <v>11</v>
      </c>
      <c r="H15427" s="2" t="s">
        <v>4912</v>
      </c>
    </row>
    <row r="15428" spans="1:8" x14ac:dyDescent="0.2">
      <c r="A15428" s="2" t="s">
        <v>3240</v>
      </c>
      <c r="B15428" s="2" t="s">
        <v>1392</v>
      </c>
      <c r="C15428" s="2">
        <v>790.20209999999997</v>
      </c>
      <c r="D15428" s="2">
        <f>HYPERLINK("http://mcb-m6.bioreg.kyushu-u.ac.jp/M3/20110421/F51015/2206/1", 112.7)</f>
        <v>112.7</v>
      </c>
      <c r="E15428" s="2">
        <v>95.57</v>
      </c>
      <c r="F15428" s="2">
        <v>2</v>
      </c>
      <c r="G15428" s="2" t="s">
        <v>11</v>
      </c>
    </row>
    <row r="15429" spans="1:8" x14ac:dyDescent="0.2">
      <c r="A15429" s="2" t="s">
        <v>3240</v>
      </c>
      <c r="B15429" s="2" t="s">
        <v>1392</v>
      </c>
      <c r="C15429" s="2">
        <v>790.27170000000001</v>
      </c>
      <c r="D15429" s="2">
        <f>HYPERLINK("http://mcb-m6.bioreg.kyushu-u.ac.jp/M3/20110421/F51019/2278/1", 112.73)</f>
        <v>112.73</v>
      </c>
      <c r="E15429" s="2">
        <v>95.83</v>
      </c>
      <c r="F15429" s="2">
        <v>2</v>
      </c>
      <c r="G15429" s="2" t="s">
        <v>11</v>
      </c>
    </row>
    <row r="15430" spans="1:8" x14ac:dyDescent="0.2">
      <c r="A15430" s="2" t="s">
        <v>3240</v>
      </c>
      <c r="B15430" s="2" t="s">
        <v>1392</v>
      </c>
      <c r="C15430" s="2">
        <v>798.20719999999994</v>
      </c>
      <c r="D15430" s="2">
        <f>HYPERLINK("http://mcb-m6.bioreg.kyushu-u.ac.jp/M3/20110421/F51042/2272/1", 117.44)</f>
        <v>117.44</v>
      </c>
      <c r="E15430" s="2">
        <v>99.05</v>
      </c>
      <c r="F15430" s="2">
        <v>2</v>
      </c>
      <c r="G15430" s="2" t="s">
        <v>11</v>
      </c>
      <c r="H15430" s="2" t="s">
        <v>4912</v>
      </c>
    </row>
    <row r="15431" spans="1:8" x14ac:dyDescent="0.2">
      <c r="A15431" s="2" t="s">
        <v>3240</v>
      </c>
      <c r="B15431" s="2" t="s">
        <v>20</v>
      </c>
      <c r="C15431" s="2">
        <v>1298.6110000000001</v>
      </c>
      <c r="D15431" s="2">
        <f>HYPERLINK("http://mcb-m6.bioreg.kyushu-u.ac.jp/M3/20110421/F51023/1727/1", 37.7)</f>
        <v>37.700000000000003</v>
      </c>
      <c r="E15431" s="2">
        <v>22.77</v>
      </c>
      <c r="F15431" s="2">
        <v>1</v>
      </c>
      <c r="G15431" s="2" t="s">
        <v>12</v>
      </c>
    </row>
    <row r="15432" spans="1:8" x14ac:dyDescent="0.2">
      <c r="A15432" s="2" t="s">
        <v>3240</v>
      </c>
      <c r="B15432" s="2" t="s">
        <v>20</v>
      </c>
      <c r="C15432" s="2">
        <v>1298.5260000000001</v>
      </c>
      <c r="D15432" s="2">
        <f>HYPERLINK("http://mcb-m6.bioreg.kyushu-u.ac.jp/M3/20110421/F51044/1504/1", 40.8)</f>
        <v>40.799999999999997</v>
      </c>
      <c r="E15432" s="2">
        <v>24.39</v>
      </c>
      <c r="F15432" s="2">
        <v>1</v>
      </c>
      <c r="G15432" s="2" t="s">
        <v>12</v>
      </c>
    </row>
    <row r="15433" spans="1:8" x14ac:dyDescent="0.2">
      <c r="A15433" s="2" t="s">
        <v>3240</v>
      </c>
      <c r="B15433" s="2" t="s">
        <v>1392</v>
      </c>
      <c r="C15433" s="2">
        <v>789.88620000000003</v>
      </c>
      <c r="D15433" s="2">
        <f>HYPERLINK("http://mcb-m6.bioreg.kyushu-u.ac.jp/M3/20110421/F51025/2191/1", 44.51)</f>
        <v>44.51</v>
      </c>
      <c r="E15433" s="2">
        <v>28.28</v>
      </c>
      <c r="F15433" s="2">
        <v>2</v>
      </c>
      <c r="G15433" s="2" t="s">
        <v>12</v>
      </c>
    </row>
    <row r="15434" spans="1:8" x14ac:dyDescent="0.2">
      <c r="A15434" s="2" t="s">
        <v>3240</v>
      </c>
      <c r="B15434" s="2" t="s">
        <v>20</v>
      </c>
      <c r="C15434" s="2">
        <v>650.34770000000003</v>
      </c>
      <c r="D15434" s="2">
        <f>HYPERLINK("http://mcb-m6.bioreg.kyushu-u.ac.jp/M3/20110421/F51059/1335/1", 58.82)</f>
        <v>58.82</v>
      </c>
      <c r="E15434" s="2">
        <v>22.55</v>
      </c>
      <c r="F15434" s="2">
        <v>2</v>
      </c>
      <c r="G15434" s="2" t="s">
        <v>12</v>
      </c>
    </row>
    <row r="15435" spans="1:8" x14ac:dyDescent="0.2">
      <c r="A15435" s="2" t="s">
        <v>3240</v>
      </c>
      <c r="B15435" s="2" t="s">
        <v>20</v>
      </c>
      <c r="C15435" s="2">
        <v>650.28219999999999</v>
      </c>
      <c r="D15435" s="2">
        <f>HYPERLINK("http://mcb-m6.bioreg.kyushu-u.ac.jp/M3/20110421/F51044/1507/1", 60.09)</f>
        <v>60.09</v>
      </c>
      <c r="E15435" s="2">
        <v>33.22</v>
      </c>
      <c r="F15435" s="2">
        <v>2</v>
      </c>
      <c r="G15435" s="2" t="s">
        <v>12</v>
      </c>
    </row>
    <row r="15436" spans="1:8" x14ac:dyDescent="0.2">
      <c r="A15436" s="2" t="s">
        <v>3240</v>
      </c>
      <c r="B15436" s="2" t="s">
        <v>20</v>
      </c>
      <c r="C15436" s="2">
        <v>649.64670000000001</v>
      </c>
      <c r="D15436" s="2">
        <f>HYPERLINK("http://mcb-m6.bioreg.kyushu-u.ac.jp/M3/20110421/F51021/1531/1", 67.2)</f>
        <v>67.2</v>
      </c>
      <c r="E15436" s="2">
        <v>43.45</v>
      </c>
      <c r="F15436" s="2">
        <v>2</v>
      </c>
      <c r="G15436" s="2" t="s">
        <v>12</v>
      </c>
    </row>
    <row r="15437" spans="1:8" x14ac:dyDescent="0.2">
      <c r="A15437" s="2" t="s">
        <v>3240</v>
      </c>
      <c r="B15437" s="2" t="s">
        <v>20</v>
      </c>
      <c r="C15437" s="2">
        <v>650.1481</v>
      </c>
      <c r="D15437" s="2">
        <f>HYPERLINK("http://mcb-m6.bioreg.kyushu-u.ac.jp/M3/20110421/F51021/1535/1", 68.42)</f>
        <v>68.42</v>
      </c>
      <c r="E15437" s="2">
        <v>29.49</v>
      </c>
      <c r="F15437" s="2">
        <v>2</v>
      </c>
      <c r="G15437" s="2" t="s">
        <v>12</v>
      </c>
    </row>
    <row r="15438" spans="1:8" x14ac:dyDescent="0.2">
      <c r="A15438" s="2" t="s">
        <v>3240</v>
      </c>
      <c r="B15438" s="2" t="s">
        <v>20</v>
      </c>
      <c r="C15438" s="2">
        <v>649.96310000000005</v>
      </c>
      <c r="D15438" s="2">
        <f>HYPERLINK("http://mcb-m6.bioreg.kyushu-u.ac.jp/M3/20110421/F51024/1735/1", 69.52)</f>
        <v>69.52</v>
      </c>
      <c r="E15438" s="2">
        <v>40.270000000000003</v>
      </c>
      <c r="F15438" s="2">
        <v>2</v>
      </c>
      <c r="G15438" s="2" t="s">
        <v>12</v>
      </c>
    </row>
    <row r="15439" spans="1:8" x14ac:dyDescent="0.2">
      <c r="A15439" s="2" t="s">
        <v>3240</v>
      </c>
      <c r="B15439" s="2" t="s">
        <v>20</v>
      </c>
      <c r="C15439" s="2">
        <v>650.12620000000004</v>
      </c>
      <c r="D15439" s="2">
        <f>HYPERLINK("http://mcb-m6.bioreg.kyushu-u.ac.jp/M3/20110421/F51045/1750/1", 69.66)</f>
        <v>69.66</v>
      </c>
      <c r="E15439" s="2">
        <v>36.28</v>
      </c>
      <c r="F15439" s="2">
        <v>2</v>
      </c>
      <c r="G15439" s="2" t="s">
        <v>12</v>
      </c>
    </row>
    <row r="15440" spans="1:8" x14ac:dyDescent="0.2">
      <c r="A15440" s="2" t="s">
        <v>3240</v>
      </c>
      <c r="B15440" s="2" t="s">
        <v>20</v>
      </c>
      <c r="C15440" s="2">
        <v>650.35220000000004</v>
      </c>
      <c r="D15440" s="2">
        <f>HYPERLINK("http://mcb-m6.bioreg.kyushu-u.ac.jp/M3/20110421/F51050/1702/1", 70.92)</f>
        <v>70.92</v>
      </c>
      <c r="E15440" s="2">
        <v>37.93</v>
      </c>
      <c r="F15440" s="2">
        <v>2</v>
      </c>
      <c r="G15440" s="2" t="s">
        <v>12</v>
      </c>
    </row>
    <row r="15441" spans="1:8" x14ac:dyDescent="0.2">
      <c r="A15441" s="2" t="s">
        <v>3240</v>
      </c>
      <c r="B15441" s="2" t="s">
        <v>20</v>
      </c>
      <c r="C15441" s="2">
        <v>649.73320000000001</v>
      </c>
      <c r="D15441" s="2">
        <f>HYPERLINK("http://mcb-m6.bioreg.kyushu-u.ac.jp/M3/20110421/F51022/1843/1", 74.27)</f>
        <v>74.27</v>
      </c>
      <c r="E15441" s="2">
        <v>52.49</v>
      </c>
      <c r="F15441" s="2">
        <v>2</v>
      </c>
      <c r="G15441" s="2" t="s">
        <v>12</v>
      </c>
    </row>
    <row r="15442" spans="1:8" x14ac:dyDescent="0.2">
      <c r="A15442" s="2" t="s">
        <v>3240</v>
      </c>
      <c r="B15442" s="2" t="s">
        <v>1392</v>
      </c>
      <c r="C15442" s="2">
        <v>789.98320000000001</v>
      </c>
      <c r="D15442" s="2">
        <f>HYPERLINK("http://mcb-m6.bioreg.kyushu-u.ac.jp/M3/20110421/F51026/2238/1", 77.58)</f>
        <v>77.58</v>
      </c>
      <c r="E15442" s="2">
        <v>60.84</v>
      </c>
      <c r="F15442" s="2">
        <v>2</v>
      </c>
      <c r="G15442" s="2" t="s">
        <v>12</v>
      </c>
    </row>
    <row r="15443" spans="1:8" x14ac:dyDescent="0.2">
      <c r="A15443" s="2" t="s">
        <v>3240</v>
      </c>
      <c r="B15443" s="2" t="s">
        <v>20</v>
      </c>
      <c r="C15443" s="2">
        <v>649.77560000000005</v>
      </c>
      <c r="D15443" s="2">
        <f>HYPERLINK("http://mcb-m6.bioreg.kyushu-u.ac.jp/M3/20110421/F51050/1700/1", 79.02)</f>
        <v>79.02</v>
      </c>
      <c r="E15443" s="2">
        <v>51.57</v>
      </c>
      <c r="F15443" s="2">
        <v>2</v>
      </c>
      <c r="G15443" s="2" t="s">
        <v>12</v>
      </c>
    </row>
    <row r="15444" spans="1:8" x14ac:dyDescent="0.2">
      <c r="A15444" s="2" t="s">
        <v>3240</v>
      </c>
      <c r="B15444" s="2" t="s">
        <v>20</v>
      </c>
      <c r="C15444" s="2">
        <v>649.80619999999999</v>
      </c>
      <c r="D15444" s="2">
        <f>HYPERLINK("http://mcb-m6.bioreg.kyushu-u.ac.jp/M3/20110421/F51044/1505/1", 81.48)</f>
        <v>81.48</v>
      </c>
      <c r="E15444" s="2">
        <v>56.96</v>
      </c>
      <c r="F15444" s="2">
        <v>2</v>
      </c>
      <c r="G15444" s="2" t="s">
        <v>12</v>
      </c>
    </row>
    <row r="15445" spans="1:8" x14ac:dyDescent="0.2">
      <c r="A15445" s="2" t="s">
        <v>3240</v>
      </c>
      <c r="B15445" s="2" t="s">
        <v>20</v>
      </c>
      <c r="C15445" s="2">
        <v>649.80970000000002</v>
      </c>
      <c r="D15445" s="2">
        <f>HYPERLINK("http://mcb-m6.bioreg.kyushu-u.ac.jp/M3/20110421/F51059/1330/1", 83.25)</f>
        <v>83.25</v>
      </c>
      <c r="E15445" s="2">
        <v>56.98</v>
      </c>
      <c r="F15445" s="2">
        <v>2</v>
      </c>
      <c r="G15445" s="2" t="s">
        <v>12</v>
      </c>
    </row>
    <row r="15446" spans="1:8" x14ac:dyDescent="0.2">
      <c r="A15446" s="2" t="s">
        <v>3240</v>
      </c>
      <c r="B15446" s="2" t="s">
        <v>20</v>
      </c>
      <c r="C15446" s="2">
        <v>649.76260000000002</v>
      </c>
      <c r="D15446" s="2">
        <f>HYPERLINK("http://mcb-m6.bioreg.kyushu-u.ac.jp/M3/20110421/F51023/1726/1", 83.27)</f>
        <v>83.27</v>
      </c>
      <c r="E15446" s="2">
        <v>57.1</v>
      </c>
      <c r="F15446" s="2">
        <v>2</v>
      </c>
      <c r="G15446" s="2" t="s">
        <v>12</v>
      </c>
    </row>
    <row r="15447" spans="1:8" x14ac:dyDescent="0.2">
      <c r="A15447" s="2" t="s">
        <v>3240</v>
      </c>
      <c r="B15447" s="2" t="s">
        <v>20</v>
      </c>
      <c r="C15447" s="2">
        <v>649.79060000000004</v>
      </c>
      <c r="D15447" s="2">
        <f>HYPERLINK("http://mcb-m6.bioreg.kyushu-u.ac.jp/M3/20110421/F51026/1774/1", 85.2)</f>
        <v>85.2</v>
      </c>
      <c r="E15447" s="2">
        <v>60.46</v>
      </c>
      <c r="F15447" s="2">
        <v>2</v>
      </c>
      <c r="G15447" s="2" t="s">
        <v>12</v>
      </c>
    </row>
    <row r="15448" spans="1:8" x14ac:dyDescent="0.2">
      <c r="A15448" s="2" t="s">
        <v>3240</v>
      </c>
      <c r="B15448" s="2" t="s">
        <v>1392</v>
      </c>
      <c r="C15448" s="2">
        <v>790.73720000000003</v>
      </c>
      <c r="D15448" s="2">
        <f>HYPERLINK("http://mcb-m6.bioreg.kyushu-u.ac.jp/M3/20110421/F51026/2243/1", 86.98)</f>
        <v>86.98</v>
      </c>
      <c r="E15448" s="2">
        <v>77.09</v>
      </c>
      <c r="F15448" s="2">
        <v>2</v>
      </c>
      <c r="G15448" s="2" t="s">
        <v>12</v>
      </c>
    </row>
    <row r="15449" spans="1:8" x14ac:dyDescent="0.2">
      <c r="A15449" s="2" t="s">
        <v>3240</v>
      </c>
      <c r="B15449" s="2" t="s">
        <v>1392</v>
      </c>
      <c r="C15449" s="2">
        <v>790.77419999999995</v>
      </c>
      <c r="D15449" s="2">
        <f>HYPERLINK("http://mcb-m6.bioreg.kyushu-u.ac.jp/M3/20110421/F51024/2348/1", 87.74)</f>
        <v>87.74</v>
      </c>
      <c r="E15449" s="2">
        <v>71.709999999999994</v>
      </c>
      <c r="F15449" s="2">
        <v>2</v>
      </c>
      <c r="G15449" s="2" t="s">
        <v>12</v>
      </c>
    </row>
    <row r="15450" spans="1:8" x14ac:dyDescent="0.2">
      <c r="A15450" s="2" t="s">
        <v>3240</v>
      </c>
      <c r="B15450" s="2" t="s">
        <v>1392</v>
      </c>
      <c r="C15450" s="2">
        <v>790.40769999999998</v>
      </c>
      <c r="D15450" s="2">
        <f>HYPERLINK("http://mcb-m6.bioreg.kyushu-u.ac.jp/M3/20110421/F51047/2396/1", 95.46)</f>
        <v>95.46</v>
      </c>
      <c r="E15450" s="2">
        <v>77.94</v>
      </c>
      <c r="F15450" s="2">
        <v>2</v>
      </c>
      <c r="G15450" s="2" t="s">
        <v>12</v>
      </c>
    </row>
    <row r="15451" spans="1:8" x14ac:dyDescent="0.2">
      <c r="A15451" s="2" t="s">
        <v>3240</v>
      </c>
      <c r="B15451" s="2" t="s">
        <v>1392</v>
      </c>
      <c r="C15451" s="2">
        <v>790.21770000000004</v>
      </c>
      <c r="D15451" s="2">
        <f>HYPERLINK("http://mcb-m6.bioreg.kyushu-u.ac.jp/M3/20110421/F51021/2357/1", 100.26)</f>
        <v>100.26</v>
      </c>
      <c r="E15451" s="2">
        <v>88.39</v>
      </c>
      <c r="F15451" s="2">
        <v>2</v>
      </c>
      <c r="G15451" s="2" t="s">
        <v>12</v>
      </c>
    </row>
    <row r="15452" spans="1:8" x14ac:dyDescent="0.2">
      <c r="A15452" s="2" t="s">
        <v>3240</v>
      </c>
      <c r="B15452" s="2" t="s">
        <v>1392</v>
      </c>
      <c r="C15452" s="2">
        <v>790.30269999999996</v>
      </c>
      <c r="D15452" s="2">
        <f>HYPERLINK("http://mcb-m6.bioreg.kyushu-u.ac.jp/M3/20110421/F51023/2307/1", 101.07)</f>
        <v>101.07</v>
      </c>
      <c r="E15452" s="2">
        <v>87.47</v>
      </c>
      <c r="F15452" s="2">
        <v>2</v>
      </c>
      <c r="G15452" s="2" t="s">
        <v>12</v>
      </c>
    </row>
    <row r="15453" spans="1:8" x14ac:dyDescent="0.2">
      <c r="A15453" s="2" t="s">
        <v>3240</v>
      </c>
      <c r="B15453" s="2" t="s">
        <v>1392</v>
      </c>
      <c r="C15453" s="2">
        <v>790.5231</v>
      </c>
      <c r="D15453" s="2">
        <f>HYPERLINK("http://mcb-m6.bioreg.kyushu-u.ac.jp/M3/20110421/F51061/2179/1", 103.29)</f>
        <v>103.29</v>
      </c>
      <c r="E15453" s="2">
        <v>92.6</v>
      </c>
      <c r="F15453" s="2">
        <v>2</v>
      </c>
      <c r="G15453" s="2" t="s">
        <v>12</v>
      </c>
    </row>
    <row r="15454" spans="1:8" x14ac:dyDescent="0.2">
      <c r="A15454" s="2" t="s">
        <v>3240</v>
      </c>
      <c r="B15454" s="2" t="s">
        <v>1392</v>
      </c>
      <c r="C15454" s="2">
        <v>790.53020000000004</v>
      </c>
      <c r="D15454" s="2">
        <f>HYPERLINK("http://mcb-m6.bioreg.kyushu-u.ac.jp/M3/20110421/F51044/2303/1", 104.24)</f>
        <v>104.24</v>
      </c>
      <c r="E15454" s="2">
        <v>90.01</v>
      </c>
      <c r="F15454" s="2">
        <v>2</v>
      </c>
      <c r="G15454" s="2" t="s">
        <v>12</v>
      </c>
    </row>
    <row r="15455" spans="1:8" x14ac:dyDescent="0.2">
      <c r="A15455" s="2" t="s">
        <v>3240</v>
      </c>
      <c r="B15455" s="2" t="s">
        <v>1392</v>
      </c>
      <c r="C15455" s="2">
        <v>798.29570000000001</v>
      </c>
      <c r="D15455" s="2">
        <f>HYPERLINK("http://mcb-m6.bioreg.kyushu-u.ac.jp/M3/20110421/F51044/2330/1", 105.01)</f>
        <v>105.01</v>
      </c>
      <c r="E15455" s="2">
        <v>94.05</v>
      </c>
      <c r="F15455" s="2">
        <v>2</v>
      </c>
      <c r="G15455" s="2" t="s">
        <v>12</v>
      </c>
      <c r="H15455" s="2" t="s">
        <v>4912</v>
      </c>
    </row>
    <row r="15456" spans="1:8" x14ac:dyDescent="0.2">
      <c r="A15456" s="2" t="s">
        <v>3240</v>
      </c>
      <c r="B15456" s="2" t="s">
        <v>1392</v>
      </c>
      <c r="C15456" s="2">
        <v>790.15560000000005</v>
      </c>
      <c r="D15456" s="2">
        <f>HYPERLINK("http://mcb-m6.bioreg.kyushu-u.ac.jp/M3/20110421/F51024/2345/1", 111.25)</f>
        <v>111.25</v>
      </c>
      <c r="E15456" s="2">
        <v>97.94</v>
      </c>
      <c r="F15456" s="2">
        <v>2</v>
      </c>
      <c r="G15456" s="2" t="s">
        <v>12</v>
      </c>
    </row>
    <row r="15457" spans="1:8" x14ac:dyDescent="0.2">
      <c r="A15457" s="2" t="s">
        <v>3240</v>
      </c>
      <c r="B15457" s="2" t="s">
        <v>1392</v>
      </c>
      <c r="C15457" s="2">
        <v>790.18020000000001</v>
      </c>
      <c r="D15457" s="2">
        <f>HYPERLINK("http://mcb-m6.bioreg.kyushu-u.ac.jp/M3/20110421/F51022/2102/1", 112.61)</f>
        <v>112.61</v>
      </c>
      <c r="E15457" s="2">
        <v>96.54</v>
      </c>
      <c r="F15457" s="2">
        <v>2</v>
      </c>
      <c r="G15457" s="2" t="s">
        <v>12</v>
      </c>
    </row>
    <row r="15458" spans="1:8" x14ac:dyDescent="0.2">
      <c r="A15458" s="2" t="s">
        <v>3240</v>
      </c>
      <c r="B15458" s="2" t="s">
        <v>1392</v>
      </c>
      <c r="C15458" s="2">
        <v>798.30719999999997</v>
      </c>
      <c r="D15458" s="2">
        <f>HYPERLINK("http://mcb-m6.bioreg.kyushu-u.ac.jp/M3/20110421/F51023/2343/1", 112.8)</f>
        <v>112.8</v>
      </c>
      <c r="E15458" s="2">
        <v>101.99</v>
      </c>
      <c r="F15458" s="2">
        <v>2</v>
      </c>
      <c r="G15458" s="2" t="s">
        <v>12</v>
      </c>
      <c r="H15458" s="2" t="s">
        <v>4912</v>
      </c>
    </row>
    <row r="15459" spans="1:8" x14ac:dyDescent="0.2">
      <c r="A15459" s="2" t="s">
        <v>3240</v>
      </c>
      <c r="B15459" s="2" t="s">
        <v>1392</v>
      </c>
      <c r="C15459" s="2">
        <v>798.39260000000002</v>
      </c>
      <c r="D15459" s="2">
        <f>HYPERLINK("http://mcb-m6.bioreg.kyushu-u.ac.jp/M3/20110421/F51045/2399/1", 117.78)</f>
        <v>117.78</v>
      </c>
      <c r="E15459" s="2">
        <v>103.74</v>
      </c>
      <c r="F15459" s="2">
        <v>2</v>
      </c>
      <c r="G15459" s="2" t="s">
        <v>12</v>
      </c>
      <c r="H15459" s="2" t="s">
        <v>4912</v>
      </c>
    </row>
    <row r="15460" spans="1:8" x14ac:dyDescent="0.2">
      <c r="A15460" s="2" t="s">
        <v>3240</v>
      </c>
      <c r="B15460" s="2" t="s">
        <v>20</v>
      </c>
      <c r="C15460" s="2">
        <v>1298.454</v>
      </c>
      <c r="D15460" s="2">
        <f>HYPERLINK("http://mcb-m6.bioreg.kyushu-u.ac.jp/M3/20110427/F51114/1562/1", 36.15)</f>
        <v>36.15</v>
      </c>
      <c r="E15460" s="2">
        <v>17.149999999999999</v>
      </c>
      <c r="F15460" s="2">
        <v>1</v>
      </c>
      <c r="G15460" s="2" t="s">
        <v>13</v>
      </c>
    </row>
    <row r="15461" spans="1:8" x14ac:dyDescent="0.2">
      <c r="A15461" s="2" t="s">
        <v>3240</v>
      </c>
      <c r="B15461" s="2" t="s">
        <v>20</v>
      </c>
      <c r="C15461" s="2">
        <v>1298.393</v>
      </c>
      <c r="D15461" s="2">
        <f>HYPERLINK("http://mcb-m6.bioreg.kyushu-u.ac.jp/M3/20110428/F51127/1397/1", 36.18)</f>
        <v>36.18</v>
      </c>
      <c r="E15461" s="2">
        <v>21.24</v>
      </c>
      <c r="F15461" s="2">
        <v>1</v>
      </c>
      <c r="G15461" s="2" t="s">
        <v>13</v>
      </c>
    </row>
    <row r="15462" spans="1:8" x14ac:dyDescent="0.2">
      <c r="A15462" s="2" t="s">
        <v>3240</v>
      </c>
      <c r="B15462" s="2" t="s">
        <v>20</v>
      </c>
      <c r="C15462" s="2">
        <v>650.0847</v>
      </c>
      <c r="D15462" s="2">
        <f>HYPERLINK("http://mcb-m6.bioreg.kyushu-u.ac.jp/M3/20110427/F51114/1565/1", 37.9)</f>
        <v>37.9</v>
      </c>
      <c r="E15462" s="2">
        <v>22.27</v>
      </c>
      <c r="F15462" s="2">
        <v>2</v>
      </c>
      <c r="G15462" s="2" t="s">
        <v>13</v>
      </c>
    </row>
    <row r="15463" spans="1:8" x14ac:dyDescent="0.2">
      <c r="A15463" s="2" t="s">
        <v>3240</v>
      </c>
      <c r="B15463" s="2" t="s">
        <v>1392</v>
      </c>
      <c r="C15463" s="2">
        <v>790.50459999999998</v>
      </c>
      <c r="D15463" s="2">
        <f>HYPERLINK("http://mcb-m6.bioreg.kyushu-u.ac.jp/M3/20110427/F51111/2393/1", 38.88)</f>
        <v>38.880000000000003</v>
      </c>
      <c r="E15463" s="2">
        <v>19.559999999999999</v>
      </c>
      <c r="F15463" s="2">
        <v>2</v>
      </c>
      <c r="G15463" s="2" t="s">
        <v>13</v>
      </c>
    </row>
    <row r="15464" spans="1:8" x14ac:dyDescent="0.2">
      <c r="A15464" s="2" t="s">
        <v>3240</v>
      </c>
      <c r="B15464" s="2" t="s">
        <v>3218</v>
      </c>
      <c r="C15464" s="2">
        <v>717.61289999999997</v>
      </c>
      <c r="D15464" s="2">
        <f>HYPERLINK("http://mcb-m6.bioreg.kyushu-u.ac.jp/M3/20110427/F51110/3072/1", 39.43)</f>
        <v>39.43</v>
      </c>
      <c r="E15464" s="2">
        <v>20.96</v>
      </c>
      <c r="F15464" s="2">
        <v>3</v>
      </c>
      <c r="G15464" s="2" t="s">
        <v>13</v>
      </c>
    </row>
    <row r="15465" spans="1:8" x14ac:dyDescent="0.2">
      <c r="A15465" s="2" t="s">
        <v>3240</v>
      </c>
      <c r="B15465" s="2" t="s">
        <v>20</v>
      </c>
      <c r="C15465" s="2">
        <v>649.88319999999999</v>
      </c>
      <c r="D15465" s="2">
        <f>HYPERLINK("http://mcb-m6.bioreg.kyushu-u.ac.jp/M3/20110427/F51114/1564/1", 40.98)</f>
        <v>40.98</v>
      </c>
      <c r="E15465" s="2">
        <v>21.92</v>
      </c>
      <c r="F15465" s="2">
        <v>2</v>
      </c>
      <c r="G15465" s="2" t="s">
        <v>13</v>
      </c>
    </row>
    <row r="15466" spans="1:8" x14ac:dyDescent="0.2">
      <c r="A15466" s="2" t="s">
        <v>3240</v>
      </c>
      <c r="B15466" s="2" t="s">
        <v>20</v>
      </c>
      <c r="C15466" s="2">
        <v>649.63509999999997</v>
      </c>
      <c r="D15466" s="2">
        <f>HYPERLINK("http://mcb-m6.bioreg.kyushu-u.ac.jp/M3/20110427/F51111/1703/1", 41.13)</f>
        <v>41.13</v>
      </c>
      <c r="E15466" s="2">
        <v>14.83</v>
      </c>
      <c r="F15466" s="2">
        <v>2</v>
      </c>
      <c r="G15466" s="2" t="s">
        <v>13</v>
      </c>
    </row>
    <row r="15467" spans="1:8" x14ac:dyDescent="0.2">
      <c r="A15467" s="2" t="s">
        <v>3240</v>
      </c>
      <c r="B15467" s="2" t="s">
        <v>20</v>
      </c>
      <c r="C15467" s="2">
        <v>1298.5930000000001</v>
      </c>
      <c r="D15467" s="2">
        <f>HYPERLINK("http://mcb-m6.bioreg.kyushu-u.ac.jp/M3/20110427/F51111/1704/1", 48.68)</f>
        <v>48.68</v>
      </c>
      <c r="E15467" s="2">
        <v>32.35</v>
      </c>
      <c r="F15467" s="2">
        <v>1</v>
      </c>
      <c r="G15467" s="2" t="s">
        <v>13</v>
      </c>
    </row>
    <row r="15468" spans="1:8" x14ac:dyDescent="0.2">
      <c r="A15468" s="2" t="s">
        <v>3240</v>
      </c>
      <c r="B15468" s="2" t="s">
        <v>20</v>
      </c>
      <c r="C15468" s="2">
        <v>650.11159999999995</v>
      </c>
      <c r="D15468" s="2">
        <f>HYPERLINK("http://mcb-m6.bioreg.kyushu-u.ac.jp/M3/20110428/F51132/1503/1", 49.1)</f>
        <v>49.1</v>
      </c>
      <c r="E15468" s="2">
        <v>31.16</v>
      </c>
      <c r="F15468" s="2">
        <v>2</v>
      </c>
      <c r="G15468" s="2" t="s">
        <v>13</v>
      </c>
    </row>
    <row r="15469" spans="1:8" x14ac:dyDescent="0.2">
      <c r="A15469" s="2" t="s">
        <v>3240</v>
      </c>
      <c r="B15469" s="2" t="s">
        <v>20</v>
      </c>
      <c r="C15469" s="2">
        <v>650.15419999999995</v>
      </c>
      <c r="D15469" s="2">
        <f>HYPERLINK("http://mcb-m6.bioreg.kyushu-u.ac.jp/M3/20110427/F51111/1706/1", 50.17)</f>
        <v>50.17</v>
      </c>
      <c r="E15469" s="2">
        <v>18.3</v>
      </c>
      <c r="F15469" s="2">
        <v>2</v>
      </c>
      <c r="G15469" s="2" t="s">
        <v>13</v>
      </c>
    </row>
    <row r="15470" spans="1:8" x14ac:dyDescent="0.2">
      <c r="A15470" s="2" t="s">
        <v>3240</v>
      </c>
      <c r="B15470" s="2" t="s">
        <v>1392</v>
      </c>
      <c r="C15470" s="2">
        <v>790.74369999999999</v>
      </c>
      <c r="D15470" s="2">
        <f>HYPERLINK("http://mcb-m6.bioreg.kyushu-u.ac.jp/M3/20110428/F51127/2195/1", 51.69)</f>
        <v>51.69</v>
      </c>
      <c r="E15470" s="2">
        <v>39.11</v>
      </c>
      <c r="F15470" s="2">
        <v>2</v>
      </c>
      <c r="G15470" s="2" t="s">
        <v>13</v>
      </c>
    </row>
    <row r="15471" spans="1:8" x14ac:dyDescent="0.2">
      <c r="A15471" s="2" t="s">
        <v>3240</v>
      </c>
      <c r="B15471" s="2" t="s">
        <v>1392</v>
      </c>
      <c r="C15471" s="2">
        <v>790.8492</v>
      </c>
      <c r="D15471" s="2">
        <f>HYPERLINK("http://mcb-m6.bioreg.kyushu-u.ac.jp/M3/20110427/F51114/2350/1", 57.72)</f>
        <v>57.72</v>
      </c>
      <c r="E15471" s="2">
        <v>43.85</v>
      </c>
      <c r="F15471" s="2">
        <v>2</v>
      </c>
      <c r="G15471" s="2" t="s">
        <v>13</v>
      </c>
    </row>
    <row r="15472" spans="1:8" x14ac:dyDescent="0.2">
      <c r="A15472" s="2" t="s">
        <v>3240</v>
      </c>
      <c r="B15472" s="2" t="s">
        <v>20</v>
      </c>
      <c r="C15472" s="2">
        <v>650.1816</v>
      </c>
      <c r="D15472" s="2">
        <f>HYPERLINK("http://mcb-m6.bioreg.kyushu-u.ac.jp/M3/20110428/F51127/1398/1", 58.47)</f>
        <v>58.47</v>
      </c>
      <c r="E15472" s="2">
        <v>32.14</v>
      </c>
      <c r="F15472" s="2">
        <v>2</v>
      </c>
      <c r="G15472" s="2" t="s">
        <v>13</v>
      </c>
    </row>
    <row r="15473" spans="1:8" x14ac:dyDescent="0.2">
      <c r="A15473" s="2" t="s">
        <v>3240</v>
      </c>
      <c r="B15473" s="2" t="s">
        <v>20</v>
      </c>
      <c r="C15473" s="2">
        <v>650.12620000000004</v>
      </c>
      <c r="D15473" s="2">
        <f>HYPERLINK("http://mcb-m6.bioreg.kyushu-u.ac.jp/M3/20110427/F51111/1705/1", 61.32)</f>
        <v>61.32</v>
      </c>
      <c r="E15473" s="2">
        <v>35.590000000000003</v>
      </c>
      <c r="F15473" s="2">
        <v>2</v>
      </c>
      <c r="G15473" s="2" t="s">
        <v>13</v>
      </c>
    </row>
    <row r="15474" spans="1:8" x14ac:dyDescent="0.2">
      <c r="A15474" s="2" t="s">
        <v>3240</v>
      </c>
      <c r="B15474" s="2" t="s">
        <v>20</v>
      </c>
      <c r="C15474" s="2">
        <v>649.66470000000004</v>
      </c>
      <c r="D15474" s="2">
        <f>HYPERLINK("http://mcb-m6.bioreg.kyushu-u.ac.jp/M3/20110427/F51117/1552/1", 65.29)</f>
        <v>65.290000000000006</v>
      </c>
      <c r="E15474" s="2">
        <v>47.18</v>
      </c>
      <c r="F15474" s="2">
        <v>2</v>
      </c>
      <c r="G15474" s="2" t="s">
        <v>13</v>
      </c>
    </row>
    <row r="15475" spans="1:8" x14ac:dyDescent="0.2">
      <c r="A15475" s="2" t="s">
        <v>3240</v>
      </c>
      <c r="B15475" s="2" t="s">
        <v>1392</v>
      </c>
      <c r="C15475" s="2">
        <v>790.15560000000005</v>
      </c>
      <c r="D15475" s="2">
        <f>HYPERLINK("http://mcb-m6.bioreg.kyushu-u.ac.jp/M3/20110428/F51133/2174/1", 65.49)</f>
        <v>65.489999999999995</v>
      </c>
      <c r="E15475" s="2">
        <v>54.91</v>
      </c>
      <c r="F15475" s="2">
        <v>2</v>
      </c>
      <c r="G15475" s="2" t="s">
        <v>13</v>
      </c>
    </row>
    <row r="15476" spans="1:8" x14ac:dyDescent="0.2">
      <c r="A15476" s="2" t="s">
        <v>3240</v>
      </c>
      <c r="B15476" s="2" t="s">
        <v>20</v>
      </c>
      <c r="C15476" s="2">
        <v>649.70510000000002</v>
      </c>
      <c r="D15476" s="2">
        <f>HYPERLINK("http://mcb-m6.bioreg.kyushu-u.ac.jp/M3/20110428/F51133/1395/1", 67.39)</f>
        <v>67.39</v>
      </c>
      <c r="E15476" s="2">
        <v>41.54</v>
      </c>
      <c r="F15476" s="2">
        <v>2</v>
      </c>
      <c r="G15476" s="2" t="s">
        <v>13</v>
      </c>
    </row>
    <row r="15477" spans="1:8" x14ac:dyDescent="0.2">
      <c r="A15477" s="2" t="s">
        <v>3240</v>
      </c>
      <c r="B15477" s="2" t="s">
        <v>20</v>
      </c>
      <c r="C15477" s="2">
        <v>650.11659999999995</v>
      </c>
      <c r="D15477" s="2">
        <f>HYPERLINK("http://mcb-m6.bioreg.kyushu-u.ac.jp/M3/20110427/F51109/1829/1", 69.41)</f>
        <v>69.41</v>
      </c>
      <c r="E15477" s="2">
        <v>39.700000000000003</v>
      </c>
      <c r="F15477" s="2">
        <v>2</v>
      </c>
      <c r="G15477" s="2" t="s">
        <v>13</v>
      </c>
    </row>
    <row r="15478" spans="1:8" x14ac:dyDescent="0.2">
      <c r="A15478" s="2" t="s">
        <v>3240</v>
      </c>
      <c r="B15478" s="2" t="s">
        <v>20</v>
      </c>
      <c r="C15478" s="2">
        <v>649.59860000000003</v>
      </c>
      <c r="D15478" s="2">
        <f>HYPERLINK("http://mcb-m6.bioreg.kyushu-u.ac.jp/M3/20110427/F51108/1686/1", 70.33)</f>
        <v>70.33</v>
      </c>
      <c r="E15478" s="2">
        <v>45.95</v>
      </c>
      <c r="F15478" s="2">
        <v>2</v>
      </c>
      <c r="G15478" s="2" t="s">
        <v>13</v>
      </c>
    </row>
    <row r="15479" spans="1:8" x14ac:dyDescent="0.2">
      <c r="A15479" s="2" t="s">
        <v>3240</v>
      </c>
      <c r="B15479" s="2" t="s">
        <v>20</v>
      </c>
      <c r="C15479" s="2">
        <v>649.68370000000004</v>
      </c>
      <c r="D15479" s="2">
        <f>HYPERLINK("http://mcb-m6.bioreg.kyushu-u.ac.jp/M3/20110427/F51116/1594/1", 70.42)</f>
        <v>70.42</v>
      </c>
      <c r="E15479" s="2">
        <v>51.71</v>
      </c>
      <c r="F15479" s="2">
        <v>2</v>
      </c>
      <c r="G15479" s="2" t="s">
        <v>13</v>
      </c>
    </row>
    <row r="15480" spans="1:8" x14ac:dyDescent="0.2">
      <c r="A15480" s="2" t="s">
        <v>3240</v>
      </c>
      <c r="B15480" s="2" t="s">
        <v>20</v>
      </c>
      <c r="C15480" s="2">
        <v>649.60109999999997</v>
      </c>
      <c r="D15480" s="2">
        <f>HYPERLINK("http://mcb-m6.bioreg.kyushu-u.ac.jp/M3/20110427/F51113/1561/1", 74.35)</f>
        <v>74.349999999999994</v>
      </c>
      <c r="E15480" s="2">
        <v>54.65</v>
      </c>
      <c r="F15480" s="2">
        <v>2</v>
      </c>
      <c r="G15480" s="2" t="s">
        <v>13</v>
      </c>
    </row>
    <row r="15481" spans="1:8" x14ac:dyDescent="0.2">
      <c r="A15481" s="2" t="s">
        <v>3240</v>
      </c>
      <c r="B15481" s="2" t="s">
        <v>20</v>
      </c>
      <c r="C15481" s="2">
        <v>649.56269999999995</v>
      </c>
      <c r="D15481" s="2">
        <f>HYPERLINK("http://mcb-m6.bioreg.kyushu-u.ac.jp/M3/20110427/F51115/1576/1", 74.46)</f>
        <v>74.459999999999994</v>
      </c>
      <c r="E15481" s="2">
        <v>45.57</v>
      </c>
      <c r="F15481" s="2">
        <v>2</v>
      </c>
      <c r="G15481" s="2" t="s">
        <v>13</v>
      </c>
    </row>
    <row r="15482" spans="1:8" x14ac:dyDescent="0.2">
      <c r="A15482" s="2" t="s">
        <v>3240</v>
      </c>
      <c r="B15482" s="2" t="s">
        <v>20</v>
      </c>
      <c r="C15482" s="2">
        <v>649.31960000000004</v>
      </c>
      <c r="D15482" s="2">
        <f>HYPERLINK("http://mcb-m6.bioreg.kyushu-u.ac.jp/M3/20110427/F51112/1665/1", 75.67)</f>
        <v>75.67</v>
      </c>
      <c r="E15482" s="2">
        <v>50.12</v>
      </c>
      <c r="F15482" s="2">
        <v>2</v>
      </c>
      <c r="G15482" s="2" t="s">
        <v>13</v>
      </c>
    </row>
    <row r="15483" spans="1:8" x14ac:dyDescent="0.2">
      <c r="A15483" s="2" t="s">
        <v>3240</v>
      </c>
      <c r="B15483" s="2" t="s">
        <v>20</v>
      </c>
      <c r="C15483" s="2">
        <v>649.8347</v>
      </c>
      <c r="D15483" s="2">
        <f>HYPERLINK("http://mcb-m6.bioreg.kyushu-u.ac.jp/M3/20110427/F51112/1666/1", 77.04)</f>
        <v>77.040000000000006</v>
      </c>
      <c r="E15483" s="2">
        <v>51.62</v>
      </c>
      <c r="F15483" s="2">
        <v>2</v>
      </c>
      <c r="G15483" s="2" t="s">
        <v>13</v>
      </c>
    </row>
    <row r="15484" spans="1:8" x14ac:dyDescent="0.2">
      <c r="A15484" s="2" t="s">
        <v>3240</v>
      </c>
      <c r="B15484" s="2" t="s">
        <v>1392</v>
      </c>
      <c r="C15484" s="2">
        <v>790.18409999999994</v>
      </c>
      <c r="D15484" s="2">
        <f>HYPERLINK("http://mcb-m6.bioreg.kyushu-u.ac.jp/M3/20110427/F51114/2347/1", 78.48)</f>
        <v>78.48</v>
      </c>
      <c r="E15484" s="2">
        <v>57.15</v>
      </c>
      <c r="F15484" s="2">
        <v>2</v>
      </c>
      <c r="G15484" s="2" t="s">
        <v>13</v>
      </c>
    </row>
    <row r="15485" spans="1:8" x14ac:dyDescent="0.2">
      <c r="A15485" s="2" t="s">
        <v>3240</v>
      </c>
      <c r="B15485" s="2" t="s">
        <v>20</v>
      </c>
      <c r="C15485" s="2">
        <v>649.65560000000005</v>
      </c>
      <c r="D15485" s="2">
        <f>HYPERLINK("http://mcb-m6.bioreg.kyushu-u.ac.jp/M3/20110427/F51114/1560/1", 79.16)</f>
        <v>79.16</v>
      </c>
      <c r="E15485" s="2">
        <v>57.31</v>
      </c>
      <c r="F15485" s="2">
        <v>2</v>
      </c>
      <c r="G15485" s="2" t="s">
        <v>13</v>
      </c>
    </row>
    <row r="15486" spans="1:8" x14ac:dyDescent="0.2">
      <c r="A15486" s="2" t="s">
        <v>3240</v>
      </c>
      <c r="B15486" s="2" t="s">
        <v>20</v>
      </c>
      <c r="C15486" s="2">
        <v>649.5557</v>
      </c>
      <c r="D15486" s="2">
        <f>HYPERLINK("http://mcb-m6.bioreg.kyushu-u.ac.jp/M3/20110427/F51111/1702/1", 83.31)</f>
        <v>83.31</v>
      </c>
      <c r="E15486" s="2">
        <v>57.26</v>
      </c>
      <c r="F15486" s="2">
        <v>2</v>
      </c>
      <c r="G15486" s="2" t="s">
        <v>13</v>
      </c>
    </row>
    <row r="15487" spans="1:8" x14ac:dyDescent="0.2">
      <c r="A15487" s="2" t="s">
        <v>3240</v>
      </c>
      <c r="B15487" s="2" t="s">
        <v>20</v>
      </c>
      <c r="C15487" s="2">
        <v>649.57209999999998</v>
      </c>
      <c r="D15487" s="2">
        <f>HYPERLINK("http://mcb-m6.bioreg.kyushu-u.ac.jp/M3/20110427/F51109/1827/1", 83.36)</f>
        <v>83.36</v>
      </c>
      <c r="E15487" s="2">
        <v>54.97</v>
      </c>
      <c r="F15487" s="2">
        <v>2</v>
      </c>
      <c r="G15487" s="2" t="s">
        <v>13</v>
      </c>
    </row>
    <row r="15488" spans="1:8" x14ac:dyDescent="0.2">
      <c r="A15488" s="2" t="s">
        <v>3240</v>
      </c>
      <c r="B15488" s="2" t="s">
        <v>1392</v>
      </c>
      <c r="C15488" s="2">
        <v>798.66859999999997</v>
      </c>
      <c r="D15488" s="2">
        <f>HYPERLINK("http://mcb-m6.bioreg.kyushu-u.ac.jp/M3/20110427/F51112/2378/1", 84.17)</f>
        <v>84.17</v>
      </c>
      <c r="E15488" s="2">
        <v>67.52</v>
      </c>
      <c r="F15488" s="2">
        <v>2</v>
      </c>
      <c r="G15488" s="2" t="s">
        <v>13</v>
      </c>
      <c r="H15488" s="2" t="s">
        <v>4912</v>
      </c>
    </row>
    <row r="15489" spans="1:8" x14ac:dyDescent="0.2">
      <c r="A15489" s="2" t="s">
        <v>3240</v>
      </c>
      <c r="B15489" s="2" t="s">
        <v>1392</v>
      </c>
      <c r="C15489" s="2">
        <v>798.67110000000002</v>
      </c>
      <c r="D15489" s="2">
        <f>HYPERLINK("http://mcb-m6.bioreg.kyushu-u.ac.jp/M3/20110427/F51111/2445/1", 87.01)</f>
        <v>87.01</v>
      </c>
      <c r="E15489" s="2">
        <v>71.33</v>
      </c>
      <c r="F15489" s="2">
        <v>2</v>
      </c>
      <c r="G15489" s="2" t="s">
        <v>13</v>
      </c>
      <c r="H15489" s="2" t="s">
        <v>4912</v>
      </c>
    </row>
    <row r="15490" spans="1:8" x14ac:dyDescent="0.2">
      <c r="A15490" s="2" t="s">
        <v>3240</v>
      </c>
      <c r="B15490" s="2" t="s">
        <v>20</v>
      </c>
      <c r="C15490" s="2">
        <v>649.60270000000003</v>
      </c>
      <c r="D15490" s="2">
        <f>HYPERLINK("http://mcb-m6.bioreg.kyushu-u.ac.jp/M3/20110427/F51110/1844/1", 88.98)</f>
        <v>88.98</v>
      </c>
      <c r="E15490" s="2">
        <v>60.5</v>
      </c>
      <c r="F15490" s="2">
        <v>2</v>
      </c>
      <c r="G15490" s="2" t="s">
        <v>13</v>
      </c>
    </row>
    <row r="15491" spans="1:8" x14ac:dyDescent="0.2">
      <c r="A15491" s="2" t="s">
        <v>3240</v>
      </c>
      <c r="B15491" s="2" t="s">
        <v>1392</v>
      </c>
      <c r="C15491" s="2">
        <v>790.39170000000001</v>
      </c>
      <c r="D15491" s="2">
        <f>HYPERLINK("http://mcb-m6.bioreg.kyushu-u.ac.jp/M3/20110427/F51108/2251/1", 92.84)</f>
        <v>92.84</v>
      </c>
      <c r="E15491" s="2">
        <v>76.739999999999995</v>
      </c>
      <c r="F15491" s="2">
        <v>2</v>
      </c>
      <c r="G15491" s="2" t="s">
        <v>13</v>
      </c>
    </row>
    <row r="15492" spans="1:8" x14ac:dyDescent="0.2">
      <c r="A15492" s="2" t="s">
        <v>3240</v>
      </c>
      <c r="B15492" s="2" t="s">
        <v>1392</v>
      </c>
      <c r="C15492" s="2">
        <v>790.61609999999996</v>
      </c>
      <c r="D15492" s="2">
        <f>HYPERLINK("http://mcb-m6.bioreg.kyushu-u.ac.jp/M3/20110427/F51114/2349/1", 94.04)</f>
        <v>94.04</v>
      </c>
      <c r="E15492" s="2">
        <v>74.430000000000007</v>
      </c>
      <c r="F15492" s="2">
        <v>2</v>
      </c>
      <c r="G15492" s="2" t="s">
        <v>13</v>
      </c>
    </row>
    <row r="15493" spans="1:8" x14ac:dyDescent="0.2">
      <c r="A15493" s="2" t="s">
        <v>3240</v>
      </c>
      <c r="B15493" s="2" t="s">
        <v>1392</v>
      </c>
      <c r="C15493" s="2">
        <v>790.76509999999996</v>
      </c>
      <c r="D15493" s="2">
        <f>HYPERLINK("http://mcb-m6.bioreg.kyushu-u.ac.jp/M3/20110427/F51117/2239/1", 96.7)</f>
        <v>96.7</v>
      </c>
      <c r="E15493" s="2">
        <v>79.77</v>
      </c>
      <c r="F15493" s="2">
        <v>2</v>
      </c>
      <c r="G15493" s="2" t="s">
        <v>13</v>
      </c>
    </row>
    <row r="15494" spans="1:8" x14ac:dyDescent="0.2">
      <c r="A15494" s="2" t="s">
        <v>3240</v>
      </c>
      <c r="B15494" s="2" t="s">
        <v>1392</v>
      </c>
      <c r="C15494" s="2">
        <v>790.70719999999994</v>
      </c>
      <c r="D15494" s="2">
        <f>HYPERLINK("http://mcb-m6.bioreg.kyushu-u.ac.jp/M3/20110428/F51133/2179/1", 97.03)</f>
        <v>97.03</v>
      </c>
      <c r="E15494" s="2">
        <v>85.26</v>
      </c>
      <c r="F15494" s="2">
        <v>2</v>
      </c>
      <c r="G15494" s="2" t="s">
        <v>13</v>
      </c>
    </row>
    <row r="15495" spans="1:8" x14ac:dyDescent="0.2">
      <c r="A15495" s="2" t="s">
        <v>3240</v>
      </c>
      <c r="B15495" s="2" t="s">
        <v>1392</v>
      </c>
      <c r="C15495" s="2">
        <v>790.65920000000006</v>
      </c>
      <c r="D15495" s="2">
        <f>HYPERLINK("http://mcb-m6.bioreg.kyushu-u.ac.jp/M3/20110427/F51116/2315/1", 100.11)</f>
        <v>100.11</v>
      </c>
      <c r="E15495" s="2">
        <v>86.79</v>
      </c>
      <c r="F15495" s="2">
        <v>2</v>
      </c>
      <c r="G15495" s="2" t="s">
        <v>13</v>
      </c>
    </row>
    <row r="15496" spans="1:8" x14ac:dyDescent="0.2">
      <c r="A15496" s="2" t="s">
        <v>3240</v>
      </c>
      <c r="B15496" s="2" t="s">
        <v>1392</v>
      </c>
      <c r="C15496" s="2">
        <v>798.68269999999995</v>
      </c>
      <c r="D15496" s="2">
        <f>HYPERLINK("http://mcb-m6.bioreg.kyushu-u.ac.jp/M3/20110427/F51113/2265/1", 100.3)</f>
        <v>100.3</v>
      </c>
      <c r="E15496" s="2">
        <v>83.66</v>
      </c>
      <c r="F15496" s="2">
        <v>2</v>
      </c>
      <c r="G15496" s="2" t="s">
        <v>13</v>
      </c>
      <c r="H15496" s="2" t="s">
        <v>4912</v>
      </c>
    </row>
    <row r="15497" spans="1:8" x14ac:dyDescent="0.2">
      <c r="A15497" s="2" t="s">
        <v>3240</v>
      </c>
      <c r="B15497" s="2" t="s">
        <v>1392</v>
      </c>
      <c r="C15497" s="2">
        <v>790.15620000000001</v>
      </c>
      <c r="D15497" s="2">
        <f>HYPERLINK("http://mcb-m6.bioreg.kyushu-u.ac.jp/M3/20110427/F51113/2227/1", 100.54)</f>
        <v>100.54</v>
      </c>
      <c r="E15497" s="2">
        <v>86.78</v>
      </c>
      <c r="F15497" s="2">
        <v>2</v>
      </c>
      <c r="G15497" s="2" t="s">
        <v>13</v>
      </c>
    </row>
    <row r="15498" spans="1:8" x14ac:dyDescent="0.2">
      <c r="A15498" s="2" t="s">
        <v>3240</v>
      </c>
      <c r="B15498" s="2" t="s">
        <v>1392</v>
      </c>
      <c r="C15498" s="2">
        <v>790.68619999999999</v>
      </c>
      <c r="D15498" s="2">
        <f>HYPERLINK("http://mcb-m6.bioreg.kyushu-u.ac.jp/M3/20110427/F51110/2392/1", 100.64)</f>
        <v>100.64</v>
      </c>
      <c r="E15498" s="2">
        <v>85.41</v>
      </c>
      <c r="F15498" s="2">
        <v>2</v>
      </c>
      <c r="G15498" s="2" t="s">
        <v>13</v>
      </c>
    </row>
    <row r="15499" spans="1:8" x14ac:dyDescent="0.2">
      <c r="A15499" s="2" t="s">
        <v>3240</v>
      </c>
      <c r="B15499" s="2" t="s">
        <v>1392</v>
      </c>
      <c r="C15499" s="2">
        <v>790.20619999999997</v>
      </c>
      <c r="D15499" s="2">
        <f>HYPERLINK("http://mcb-m6.bioreg.kyushu-u.ac.jp/M3/20110428/F51133/2175/1", 103.3)</f>
        <v>103.3</v>
      </c>
      <c r="E15499" s="2">
        <v>89.37</v>
      </c>
      <c r="F15499" s="2">
        <v>2</v>
      </c>
      <c r="G15499" s="2" t="s">
        <v>13</v>
      </c>
    </row>
    <row r="15500" spans="1:8" x14ac:dyDescent="0.2">
      <c r="A15500" s="2" t="s">
        <v>3240</v>
      </c>
      <c r="B15500" s="2" t="s">
        <v>1392</v>
      </c>
      <c r="C15500" s="2">
        <v>790.1422</v>
      </c>
      <c r="D15500" s="2">
        <f>HYPERLINK("http://mcb-m6.bioreg.kyushu-u.ac.jp/M3/20110427/F51110/2390/1", 103.37)</f>
        <v>103.37</v>
      </c>
      <c r="E15500" s="2">
        <v>87.66</v>
      </c>
      <c r="F15500" s="2">
        <v>2</v>
      </c>
      <c r="G15500" s="2" t="s">
        <v>13</v>
      </c>
    </row>
    <row r="15501" spans="1:8" x14ac:dyDescent="0.2">
      <c r="A15501" s="2" t="s">
        <v>3240</v>
      </c>
      <c r="B15501" s="2" t="s">
        <v>1392</v>
      </c>
      <c r="C15501" s="2">
        <v>798.05409999999995</v>
      </c>
      <c r="D15501" s="2">
        <f>HYPERLINK("http://mcb-m6.bioreg.kyushu-u.ac.jp/M3/20110428/F51131/2149/1", 104.42)</f>
        <v>104.42</v>
      </c>
      <c r="E15501" s="2">
        <v>88.36</v>
      </c>
      <c r="F15501" s="2">
        <v>2</v>
      </c>
      <c r="G15501" s="2" t="s">
        <v>13</v>
      </c>
      <c r="H15501" s="2" t="s">
        <v>4912</v>
      </c>
    </row>
    <row r="15502" spans="1:8" x14ac:dyDescent="0.2">
      <c r="A15502" s="2" t="s">
        <v>3240</v>
      </c>
      <c r="B15502" s="2" t="s">
        <v>1392</v>
      </c>
      <c r="C15502" s="2">
        <v>790.13710000000003</v>
      </c>
      <c r="D15502" s="2">
        <f>HYPERLINK("http://mcb-m6.bioreg.kyushu-u.ac.jp/M3/20110427/F51109/2252/1", 104.53)</f>
        <v>104.53</v>
      </c>
      <c r="E15502" s="2">
        <v>89.09</v>
      </c>
      <c r="F15502" s="2">
        <v>2</v>
      </c>
      <c r="G15502" s="2" t="s">
        <v>13</v>
      </c>
    </row>
    <row r="15503" spans="1:8" x14ac:dyDescent="0.2">
      <c r="A15503" s="2" t="s">
        <v>3240</v>
      </c>
      <c r="B15503" s="2" t="s">
        <v>1392</v>
      </c>
      <c r="C15503" s="2">
        <v>798.27560000000005</v>
      </c>
      <c r="D15503" s="2">
        <f>HYPERLINK("http://mcb-m6.bioreg.kyushu-u.ac.jp/M3/20110428/F51133/2221/1", 104.69)</f>
        <v>104.69</v>
      </c>
      <c r="E15503" s="2">
        <v>87.79</v>
      </c>
      <c r="F15503" s="2">
        <v>2</v>
      </c>
      <c r="G15503" s="2" t="s">
        <v>13</v>
      </c>
      <c r="H15503" s="2" t="s">
        <v>4912</v>
      </c>
    </row>
    <row r="15504" spans="1:8" x14ac:dyDescent="0.2">
      <c r="A15504" s="2" t="s">
        <v>3240</v>
      </c>
      <c r="B15504" s="2" t="s">
        <v>1392</v>
      </c>
      <c r="C15504" s="2">
        <v>798.14509999999996</v>
      </c>
      <c r="D15504" s="2">
        <f>HYPERLINK("http://mcb-m6.bioreg.kyushu-u.ac.jp/M3/20110427/F51116/2342/1", 108.24)</f>
        <v>108.24</v>
      </c>
      <c r="E15504" s="2">
        <v>80.34</v>
      </c>
      <c r="F15504" s="2">
        <v>2</v>
      </c>
      <c r="G15504" s="2" t="s">
        <v>13</v>
      </c>
      <c r="H15504" s="2" t="s">
        <v>4912</v>
      </c>
    </row>
    <row r="15505" spans="1:8" x14ac:dyDescent="0.2">
      <c r="A15505" s="2" t="s">
        <v>3240</v>
      </c>
      <c r="B15505" s="2" t="s">
        <v>1392</v>
      </c>
      <c r="C15505" s="2">
        <v>790.11410000000001</v>
      </c>
      <c r="D15505" s="2">
        <f>HYPERLINK("http://mcb-m6.bioreg.kyushu-u.ac.jp/M3/20110428/F51131/2105/1", 108.35)</f>
        <v>108.35</v>
      </c>
      <c r="E15505" s="2">
        <v>91.14</v>
      </c>
      <c r="F15505" s="2">
        <v>2</v>
      </c>
      <c r="G15505" s="2" t="s">
        <v>13</v>
      </c>
    </row>
    <row r="15506" spans="1:8" x14ac:dyDescent="0.2">
      <c r="A15506" s="2" t="s">
        <v>3240</v>
      </c>
      <c r="B15506" s="2" t="s">
        <v>1392</v>
      </c>
      <c r="C15506" s="2">
        <v>790.42269999999996</v>
      </c>
      <c r="D15506" s="2">
        <f>HYPERLINK("http://mcb-m6.bioreg.kyushu-u.ac.jp/M3/20110427/F51112/2336/1", 108.37)</f>
        <v>108.37</v>
      </c>
      <c r="E15506" s="2">
        <v>89.67</v>
      </c>
      <c r="F15506" s="2">
        <v>2</v>
      </c>
      <c r="G15506" s="2" t="s">
        <v>13</v>
      </c>
    </row>
    <row r="15507" spans="1:8" x14ac:dyDescent="0.2">
      <c r="A15507" s="2" t="s">
        <v>3240</v>
      </c>
      <c r="B15507" s="2" t="s">
        <v>1392</v>
      </c>
      <c r="C15507" s="2">
        <v>790.1232</v>
      </c>
      <c r="D15507" s="2">
        <f>HYPERLINK("http://mcb-m6.bioreg.kyushu-u.ac.jp/M3/20110427/F51115/2207/1", 108.43)</f>
        <v>108.43</v>
      </c>
      <c r="E15507" s="2">
        <v>89.29</v>
      </c>
      <c r="F15507" s="2">
        <v>2</v>
      </c>
      <c r="G15507" s="2" t="s">
        <v>13</v>
      </c>
    </row>
    <row r="15508" spans="1:8" x14ac:dyDescent="0.2">
      <c r="A15508" s="2" t="s">
        <v>3240</v>
      </c>
      <c r="B15508" s="2" t="s">
        <v>1392</v>
      </c>
      <c r="C15508" s="2">
        <v>798.25670000000002</v>
      </c>
      <c r="D15508" s="2">
        <f>HYPERLINK("http://mcb-m6.bioreg.kyushu-u.ac.jp/M3/20110427/F51114/2386/1", 108.54)</f>
        <v>108.54</v>
      </c>
      <c r="E15508" s="2">
        <v>81.650000000000006</v>
      </c>
      <c r="F15508" s="2">
        <v>2</v>
      </c>
      <c r="G15508" s="2" t="s">
        <v>13</v>
      </c>
      <c r="H15508" s="2" t="s">
        <v>4912</v>
      </c>
    </row>
    <row r="15509" spans="1:8" x14ac:dyDescent="0.2">
      <c r="A15509" s="2" t="s">
        <v>3240</v>
      </c>
      <c r="B15509" s="2" t="s">
        <v>1392</v>
      </c>
      <c r="C15509" s="2">
        <v>798.09559999999999</v>
      </c>
      <c r="D15509" s="2">
        <f>HYPERLINK("http://mcb-m6.bioreg.kyushu-u.ac.jp/M3/20110427/F51112/2369/1", 110.11)</f>
        <v>110.11</v>
      </c>
      <c r="E15509" s="2">
        <v>85.37</v>
      </c>
      <c r="F15509" s="2">
        <v>2</v>
      </c>
      <c r="G15509" s="2" t="s">
        <v>13</v>
      </c>
      <c r="H15509" s="2" t="s">
        <v>4912</v>
      </c>
    </row>
    <row r="15510" spans="1:8" x14ac:dyDescent="0.2">
      <c r="A15510" s="2" t="s">
        <v>3240</v>
      </c>
      <c r="B15510" s="2" t="s">
        <v>1392</v>
      </c>
      <c r="C15510" s="2">
        <v>790.6617</v>
      </c>
      <c r="D15510" s="2">
        <f>HYPERLINK("http://mcb-m6.bioreg.kyushu-u.ac.jp/M3/20110428/F51132/2306/1", 112.03)</f>
        <v>112.03</v>
      </c>
      <c r="E15510" s="2">
        <v>91.65</v>
      </c>
      <c r="F15510" s="2">
        <v>2</v>
      </c>
      <c r="G15510" s="2" t="s">
        <v>13</v>
      </c>
    </row>
    <row r="15511" spans="1:8" x14ac:dyDescent="0.2">
      <c r="A15511" s="2" t="s">
        <v>3240</v>
      </c>
      <c r="B15511" s="2" t="s">
        <v>1392</v>
      </c>
      <c r="C15511" s="2">
        <v>798.13869999999997</v>
      </c>
      <c r="D15511" s="2">
        <f>HYPERLINK("http://mcb-m6.bioreg.kyushu-u.ac.jp/M3/20110428/F51127/2234/1", 112.59)</f>
        <v>112.59</v>
      </c>
      <c r="E15511" s="2">
        <v>95.23</v>
      </c>
      <c r="F15511" s="2">
        <v>2</v>
      </c>
      <c r="G15511" s="2" t="s">
        <v>13</v>
      </c>
      <c r="H15511" s="2" t="s">
        <v>4912</v>
      </c>
    </row>
    <row r="15512" spans="1:8" x14ac:dyDescent="0.2">
      <c r="A15512" s="2" t="s">
        <v>3240</v>
      </c>
      <c r="B15512" s="2" t="s">
        <v>1392</v>
      </c>
      <c r="C15512" s="2">
        <v>790.21310000000005</v>
      </c>
      <c r="D15512" s="2">
        <f>HYPERLINK("http://mcb-m6.bioreg.kyushu-u.ac.jp/M3/20110427/F51117/2235/1", 112.7)</f>
        <v>112.7</v>
      </c>
      <c r="E15512" s="2">
        <v>97.42</v>
      </c>
      <c r="F15512" s="2">
        <v>2</v>
      </c>
      <c r="G15512" s="2" t="s">
        <v>13</v>
      </c>
    </row>
    <row r="15513" spans="1:8" x14ac:dyDescent="0.2">
      <c r="A15513" s="2" t="s">
        <v>3240</v>
      </c>
      <c r="B15513" s="2" t="s">
        <v>1392</v>
      </c>
      <c r="C15513" s="2">
        <v>790.10220000000004</v>
      </c>
      <c r="D15513" s="2">
        <f>HYPERLINK("http://mcb-m6.bioreg.kyushu-u.ac.jp/M3/20110427/F51114/2346/1", 112.73)</f>
        <v>112.73</v>
      </c>
      <c r="E15513" s="2">
        <v>95.05</v>
      </c>
      <c r="F15513" s="2">
        <v>2</v>
      </c>
      <c r="G15513" s="2" t="s">
        <v>13</v>
      </c>
    </row>
    <row r="15514" spans="1:8" x14ac:dyDescent="0.2">
      <c r="A15514" s="2" t="s">
        <v>3240</v>
      </c>
      <c r="B15514" s="2" t="s">
        <v>1392</v>
      </c>
      <c r="C15514" s="2">
        <v>798.13419999999996</v>
      </c>
      <c r="D15514" s="2">
        <f>HYPERLINK("http://mcb-m6.bioreg.kyushu-u.ac.jp/M3/20110428/F51131/2150/1", 117.81)</f>
        <v>117.81</v>
      </c>
      <c r="E15514" s="2">
        <v>98.75</v>
      </c>
      <c r="F15514" s="2">
        <v>2</v>
      </c>
      <c r="G15514" s="2" t="s">
        <v>13</v>
      </c>
      <c r="H15514" s="2" t="s">
        <v>4912</v>
      </c>
    </row>
    <row r="15515" spans="1:8" x14ac:dyDescent="0.2">
      <c r="A15515" s="2" t="s">
        <v>3240</v>
      </c>
      <c r="B15515" s="2" t="s">
        <v>1392</v>
      </c>
      <c r="C15515" s="2">
        <v>798.11270000000002</v>
      </c>
      <c r="D15515" s="2">
        <f>HYPERLINK("http://mcb-m6.bioreg.kyushu-u.ac.jp/M3/20110427/F51115/2250/1", 118.5)</f>
        <v>118.5</v>
      </c>
      <c r="E15515" s="2">
        <v>93.85</v>
      </c>
      <c r="F15515" s="2">
        <v>2</v>
      </c>
      <c r="G15515" s="2" t="s">
        <v>13</v>
      </c>
      <c r="H15515" s="2" t="s">
        <v>4912</v>
      </c>
    </row>
    <row r="15516" spans="1:8" x14ac:dyDescent="0.2">
      <c r="A15516" s="2" t="s">
        <v>3240</v>
      </c>
      <c r="B15516" s="2" t="s">
        <v>1392</v>
      </c>
      <c r="C15516" s="2">
        <v>798.15970000000004</v>
      </c>
      <c r="D15516" s="2">
        <f>HYPERLINK("http://mcb-m6.bioreg.kyushu-u.ac.jp/M3/20110427/F51111/2436/1", 120.98)</f>
        <v>120.98</v>
      </c>
      <c r="E15516" s="2">
        <v>104.96</v>
      </c>
      <c r="F15516" s="2">
        <v>2</v>
      </c>
      <c r="G15516" s="2" t="s">
        <v>13</v>
      </c>
      <c r="H15516" s="2" t="s">
        <v>4912</v>
      </c>
    </row>
    <row r="15517" spans="1:8" x14ac:dyDescent="0.2">
      <c r="A15517" s="2" t="s">
        <v>3240</v>
      </c>
      <c r="B15517" s="2" t="s">
        <v>20</v>
      </c>
      <c r="C15517" s="2">
        <v>650.13670000000002</v>
      </c>
      <c r="D15517" s="2">
        <f>HYPERLINK("http://mcb-m6.bioreg.kyushu-u.ac.jp/M3/20110427/F51121/1688/1", 36.15)</f>
        <v>36.15</v>
      </c>
      <c r="E15517" s="2">
        <v>13.57</v>
      </c>
      <c r="F15517" s="2">
        <v>2</v>
      </c>
      <c r="G15517" s="2" t="s">
        <v>14</v>
      </c>
    </row>
    <row r="15518" spans="1:8" x14ac:dyDescent="0.2">
      <c r="A15518" s="2" t="s">
        <v>3240</v>
      </c>
      <c r="B15518" s="2" t="s">
        <v>3218</v>
      </c>
      <c r="C15518" s="2">
        <v>717.78719999999998</v>
      </c>
      <c r="D15518" s="2">
        <f>HYPERLINK("http://mcb-m6.bioreg.kyushu-u.ac.jp/M3/20110427/F51121/2778/1", 39.4)</f>
        <v>39.4</v>
      </c>
      <c r="E15518" s="2">
        <v>27.44</v>
      </c>
      <c r="F15518" s="2">
        <v>3</v>
      </c>
      <c r="G15518" s="2" t="s">
        <v>14</v>
      </c>
    </row>
    <row r="15519" spans="1:8" x14ac:dyDescent="0.2">
      <c r="A15519" s="2" t="s">
        <v>3240</v>
      </c>
      <c r="B15519" s="2" t="s">
        <v>20</v>
      </c>
      <c r="C15519" s="2">
        <v>1298.4860000000001</v>
      </c>
      <c r="D15519" s="2">
        <f>HYPERLINK("http://mcb-m6.bioreg.kyushu-u.ac.jp/M3/20110428/F51128/1532/1", 40.74)</f>
        <v>40.74</v>
      </c>
      <c r="E15519" s="2">
        <v>27.64</v>
      </c>
      <c r="F15519" s="2">
        <v>1</v>
      </c>
      <c r="G15519" s="2" t="s">
        <v>14</v>
      </c>
    </row>
    <row r="15520" spans="1:8" x14ac:dyDescent="0.2">
      <c r="A15520" s="2" t="s">
        <v>3240</v>
      </c>
      <c r="B15520" s="2" t="s">
        <v>20</v>
      </c>
      <c r="C15520" s="2">
        <v>650.28420000000006</v>
      </c>
      <c r="D15520" s="2">
        <f>HYPERLINK("http://mcb-m6.bioreg.kyushu-u.ac.jp/M3/20110427/F51122/1793/1", 49.71)</f>
        <v>49.71</v>
      </c>
      <c r="E15520" s="2">
        <v>28.45</v>
      </c>
      <c r="F15520" s="2">
        <v>2</v>
      </c>
      <c r="G15520" s="2" t="s">
        <v>14</v>
      </c>
    </row>
    <row r="15521" spans="1:7" x14ac:dyDescent="0.2">
      <c r="A15521" s="2" t="s">
        <v>3240</v>
      </c>
      <c r="B15521" s="2" t="s">
        <v>20</v>
      </c>
      <c r="C15521" s="2">
        <v>649.52809999999999</v>
      </c>
      <c r="D15521" s="2">
        <f>HYPERLINK("http://mcb-m6.bioreg.kyushu-u.ac.jp/M3/20110428/F51129/1563/1", 50.1)</f>
        <v>50.1</v>
      </c>
      <c r="E15521" s="2">
        <v>33.78</v>
      </c>
      <c r="F15521" s="2">
        <v>2</v>
      </c>
      <c r="G15521" s="2" t="s">
        <v>14</v>
      </c>
    </row>
    <row r="15522" spans="1:7" x14ac:dyDescent="0.2">
      <c r="A15522" s="2" t="s">
        <v>3240</v>
      </c>
      <c r="B15522" s="2" t="s">
        <v>20</v>
      </c>
      <c r="C15522" s="2">
        <v>649.61469999999997</v>
      </c>
      <c r="D15522" s="2">
        <f>HYPERLINK("http://mcb-m6.bioreg.kyushu-u.ac.jp/M3/20110427/F51123/1591/1", 51.76)</f>
        <v>51.76</v>
      </c>
      <c r="E15522" s="2">
        <v>34.04</v>
      </c>
      <c r="F15522" s="2">
        <v>2</v>
      </c>
      <c r="G15522" s="2" t="s">
        <v>14</v>
      </c>
    </row>
    <row r="15523" spans="1:7" x14ac:dyDescent="0.2">
      <c r="A15523" s="2" t="s">
        <v>3240</v>
      </c>
      <c r="B15523" s="2" t="s">
        <v>20</v>
      </c>
      <c r="C15523" s="2">
        <v>650.18269999999995</v>
      </c>
      <c r="D15523" s="2">
        <f>HYPERLINK("http://mcb-m6.bioreg.kyushu-u.ac.jp/M3/20110428/F51126/1706/1", 53.19)</f>
        <v>53.19</v>
      </c>
      <c r="E15523" s="2">
        <v>31.15</v>
      </c>
      <c r="F15523" s="2">
        <v>2</v>
      </c>
      <c r="G15523" s="2" t="s">
        <v>14</v>
      </c>
    </row>
    <row r="15524" spans="1:7" x14ac:dyDescent="0.2">
      <c r="A15524" s="2" t="s">
        <v>3240</v>
      </c>
      <c r="B15524" s="2" t="s">
        <v>20</v>
      </c>
      <c r="C15524" s="2">
        <v>650.02809999999999</v>
      </c>
      <c r="D15524" s="2">
        <f>HYPERLINK("http://mcb-m6.bioreg.kyushu-u.ac.jp/M3/20110428/F51134/1699/1", 54.43)</f>
        <v>54.43</v>
      </c>
      <c r="E15524" s="2">
        <v>32.090000000000003</v>
      </c>
      <c r="F15524" s="2">
        <v>2</v>
      </c>
      <c r="G15524" s="2" t="s">
        <v>14</v>
      </c>
    </row>
    <row r="15525" spans="1:7" x14ac:dyDescent="0.2">
      <c r="A15525" s="2" t="s">
        <v>3240</v>
      </c>
      <c r="B15525" s="2" t="s">
        <v>20</v>
      </c>
      <c r="C15525" s="2">
        <v>649.61869999999999</v>
      </c>
      <c r="D15525" s="2">
        <f>HYPERLINK("http://mcb-m6.bioreg.kyushu-u.ac.jp/M3/20110428/F51126/1704/1", 56.85)</f>
        <v>56.85</v>
      </c>
      <c r="E15525" s="2">
        <v>39.85</v>
      </c>
      <c r="F15525" s="2">
        <v>2</v>
      </c>
      <c r="G15525" s="2" t="s">
        <v>14</v>
      </c>
    </row>
    <row r="15526" spans="1:7" x14ac:dyDescent="0.2">
      <c r="A15526" s="2" t="s">
        <v>3240</v>
      </c>
      <c r="B15526" s="2" t="s">
        <v>20</v>
      </c>
      <c r="C15526" s="2">
        <v>649.56119999999999</v>
      </c>
      <c r="D15526" s="2">
        <f>HYPERLINK("http://mcb-m6.bioreg.kyushu-u.ac.jp/M3/20110427/F51121/1686/1", 65.43)</f>
        <v>65.430000000000007</v>
      </c>
      <c r="E15526" s="2">
        <v>44.88</v>
      </c>
      <c r="F15526" s="2">
        <v>2</v>
      </c>
      <c r="G15526" s="2" t="s">
        <v>14</v>
      </c>
    </row>
    <row r="15527" spans="1:7" x14ac:dyDescent="0.2">
      <c r="A15527" s="2" t="s">
        <v>3240</v>
      </c>
      <c r="B15527" s="2" t="s">
        <v>3218</v>
      </c>
      <c r="C15527" s="2">
        <v>717.5702</v>
      </c>
      <c r="D15527" s="2">
        <f>HYPERLINK("http://mcb-m6.bioreg.kyushu-u.ac.jp/M3/20110427/F51123/3289/1", 65.72)</f>
        <v>65.72</v>
      </c>
      <c r="E15527" s="2">
        <v>43.76</v>
      </c>
      <c r="F15527" s="2">
        <v>3</v>
      </c>
      <c r="G15527" s="2" t="s">
        <v>14</v>
      </c>
    </row>
    <row r="15528" spans="1:7" x14ac:dyDescent="0.2">
      <c r="A15528" s="2" t="s">
        <v>3240</v>
      </c>
      <c r="B15528" s="2" t="s">
        <v>20</v>
      </c>
      <c r="C15528" s="2">
        <v>650.0702</v>
      </c>
      <c r="D15528" s="2">
        <f>HYPERLINK("http://mcb-m6.bioreg.kyushu-u.ac.jp/M3/20110427/F51125/1724/1", 67.38)</f>
        <v>67.38</v>
      </c>
      <c r="E15528" s="2">
        <v>31.68</v>
      </c>
      <c r="F15528" s="2">
        <v>2</v>
      </c>
      <c r="G15528" s="2" t="s">
        <v>14</v>
      </c>
    </row>
    <row r="15529" spans="1:7" x14ac:dyDescent="0.2">
      <c r="A15529" s="2" t="s">
        <v>3240</v>
      </c>
      <c r="B15529" s="2" t="s">
        <v>20</v>
      </c>
      <c r="C15529" s="2">
        <v>650.10670000000005</v>
      </c>
      <c r="D15529" s="2">
        <f>HYPERLINK("http://mcb-m6.bioreg.kyushu-u.ac.jp/M3/20110428/F51129/1565/1", 67.44)</f>
        <v>67.44</v>
      </c>
      <c r="E15529" s="2">
        <v>27.52</v>
      </c>
      <c r="F15529" s="2">
        <v>2</v>
      </c>
      <c r="G15529" s="2" t="s">
        <v>14</v>
      </c>
    </row>
    <row r="15530" spans="1:7" x14ac:dyDescent="0.2">
      <c r="A15530" s="2" t="s">
        <v>3240</v>
      </c>
      <c r="B15530" s="2" t="s">
        <v>20</v>
      </c>
      <c r="C15530" s="2">
        <v>649.66560000000004</v>
      </c>
      <c r="D15530" s="2">
        <f>HYPERLINK("http://mcb-m6.bioreg.kyushu-u.ac.jp/M3/20110427/F51119/1899/1", 68.38)</f>
        <v>68.38</v>
      </c>
      <c r="E15530" s="2">
        <v>47.4</v>
      </c>
      <c r="F15530" s="2">
        <v>2</v>
      </c>
      <c r="G15530" s="2" t="s">
        <v>14</v>
      </c>
    </row>
    <row r="15531" spans="1:7" x14ac:dyDescent="0.2">
      <c r="A15531" s="2" t="s">
        <v>3240</v>
      </c>
      <c r="B15531" s="2" t="s">
        <v>3218</v>
      </c>
      <c r="C15531" s="2">
        <v>1076.201</v>
      </c>
      <c r="D15531" s="2">
        <f>HYPERLINK("http://mcb-m6.bioreg.kyushu-u.ac.jp/M3/20110427/F51123/3291/1", 70.98)</f>
        <v>70.98</v>
      </c>
      <c r="E15531" s="2">
        <v>57.1</v>
      </c>
      <c r="F15531" s="2">
        <v>2</v>
      </c>
      <c r="G15531" s="2" t="s">
        <v>14</v>
      </c>
    </row>
    <row r="15532" spans="1:7" x14ac:dyDescent="0.2">
      <c r="A15532" s="2" t="s">
        <v>3240</v>
      </c>
      <c r="B15532" s="2" t="s">
        <v>20</v>
      </c>
      <c r="C15532" s="2">
        <v>649.60969999999998</v>
      </c>
      <c r="D15532" s="2">
        <f>HYPERLINK("http://mcb-m6.bioreg.kyushu-u.ac.jp/M3/20110427/F51124/1613/1", 74.62)</f>
        <v>74.62</v>
      </c>
      <c r="E15532" s="2">
        <v>45.98</v>
      </c>
      <c r="F15532" s="2">
        <v>2</v>
      </c>
      <c r="G15532" s="2" t="s">
        <v>14</v>
      </c>
    </row>
    <row r="15533" spans="1:7" x14ac:dyDescent="0.2">
      <c r="A15533" s="2" t="s">
        <v>3240</v>
      </c>
      <c r="B15533" s="2" t="s">
        <v>20</v>
      </c>
      <c r="C15533" s="2">
        <v>649.63760000000002</v>
      </c>
      <c r="D15533" s="2">
        <f>HYPERLINK("http://mcb-m6.bioreg.kyushu-u.ac.jp/M3/20110428/F51128/1531/1", 77.22)</f>
        <v>77.22</v>
      </c>
      <c r="E15533" s="2">
        <v>53.71</v>
      </c>
      <c r="F15533" s="2">
        <v>2</v>
      </c>
      <c r="G15533" s="2" t="s">
        <v>14</v>
      </c>
    </row>
    <row r="15534" spans="1:7" x14ac:dyDescent="0.2">
      <c r="A15534" s="2" t="s">
        <v>3240</v>
      </c>
      <c r="B15534" s="2" t="s">
        <v>20</v>
      </c>
      <c r="C15534" s="2">
        <v>649.59969999999998</v>
      </c>
      <c r="D15534" s="2">
        <f>HYPERLINK("http://mcb-m6.bioreg.kyushu-u.ac.jp/M3/20110427/F51123/1590/1", 78.17)</f>
        <v>78.17</v>
      </c>
      <c r="E15534" s="2">
        <v>51.07</v>
      </c>
      <c r="F15534" s="2">
        <v>2</v>
      </c>
      <c r="G15534" s="2" t="s">
        <v>14</v>
      </c>
    </row>
    <row r="15535" spans="1:7" x14ac:dyDescent="0.2">
      <c r="A15535" s="2" t="s">
        <v>3240</v>
      </c>
      <c r="B15535" s="2" t="s">
        <v>20</v>
      </c>
      <c r="C15535" s="2">
        <v>649.80909999999994</v>
      </c>
      <c r="D15535" s="2">
        <f>HYPERLINK("http://mcb-m6.bioreg.kyushu-u.ac.jp/M3/20110428/F51135/1442/1", 78.48)</f>
        <v>78.48</v>
      </c>
      <c r="E15535" s="2">
        <v>41.89</v>
      </c>
      <c r="F15535" s="2">
        <v>2</v>
      </c>
      <c r="G15535" s="2" t="s">
        <v>14</v>
      </c>
    </row>
    <row r="15536" spans="1:7" x14ac:dyDescent="0.2">
      <c r="A15536" s="2" t="s">
        <v>3240</v>
      </c>
      <c r="B15536" s="2" t="s">
        <v>1392</v>
      </c>
      <c r="C15536" s="2">
        <v>790.64620000000002</v>
      </c>
      <c r="D15536" s="2">
        <f>HYPERLINK("http://mcb-m6.bioreg.kyushu-u.ac.jp/M3/20110427/F51123/2292/1", 81.48)</f>
        <v>81.48</v>
      </c>
      <c r="E15536" s="2">
        <v>69.36</v>
      </c>
      <c r="F15536" s="2">
        <v>2</v>
      </c>
      <c r="G15536" s="2" t="s">
        <v>14</v>
      </c>
    </row>
    <row r="15537" spans="1:8" x14ac:dyDescent="0.2">
      <c r="A15537" s="2" t="s">
        <v>3240</v>
      </c>
      <c r="B15537" s="2" t="s">
        <v>20</v>
      </c>
      <c r="C15537" s="2">
        <v>649.72170000000006</v>
      </c>
      <c r="D15537" s="2">
        <f>HYPERLINK("http://mcb-m6.bioreg.kyushu-u.ac.jp/M3/20110428/F51130/1649/1", 81.57)</f>
        <v>81.569999999999993</v>
      </c>
      <c r="E15537" s="2">
        <v>53.85</v>
      </c>
      <c r="F15537" s="2">
        <v>2</v>
      </c>
      <c r="G15537" s="2" t="s">
        <v>14</v>
      </c>
    </row>
    <row r="15538" spans="1:8" x14ac:dyDescent="0.2">
      <c r="A15538" s="2" t="s">
        <v>3240</v>
      </c>
      <c r="B15538" s="2" t="s">
        <v>20</v>
      </c>
      <c r="C15538" s="2">
        <v>649.57920000000001</v>
      </c>
      <c r="D15538" s="2">
        <f>HYPERLINK("http://mcb-m6.bioreg.kyushu-u.ac.jp/M3/20110427/F51118/1776/1", 83.24)</f>
        <v>83.24</v>
      </c>
      <c r="E15538" s="2">
        <v>54.91</v>
      </c>
      <c r="F15538" s="2">
        <v>2</v>
      </c>
      <c r="G15538" s="2" t="s">
        <v>14</v>
      </c>
    </row>
    <row r="15539" spans="1:8" x14ac:dyDescent="0.2">
      <c r="A15539" s="2" t="s">
        <v>3240</v>
      </c>
      <c r="B15539" s="2" t="s">
        <v>1392</v>
      </c>
      <c r="C15539" s="2">
        <v>790.67570000000001</v>
      </c>
      <c r="D15539" s="2">
        <f>HYPERLINK("http://mcb-m6.bioreg.kyushu-u.ac.jp/M3/20110427/F51120/2275/1", 83.87)</f>
        <v>83.87</v>
      </c>
      <c r="E15539" s="2">
        <v>70.98</v>
      </c>
      <c r="F15539" s="2">
        <v>2</v>
      </c>
      <c r="G15539" s="2" t="s">
        <v>14</v>
      </c>
    </row>
    <row r="15540" spans="1:8" x14ac:dyDescent="0.2">
      <c r="A15540" s="2" t="s">
        <v>3240</v>
      </c>
      <c r="B15540" s="2" t="s">
        <v>20</v>
      </c>
      <c r="C15540" s="2">
        <v>649.62159999999994</v>
      </c>
      <c r="D15540" s="2">
        <f>HYPERLINK("http://mcb-m6.bioreg.kyushu-u.ac.jp/M3/20110427/F51120/1758/1", 83.96)</f>
        <v>83.96</v>
      </c>
      <c r="E15540" s="2">
        <v>59.25</v>
      </c>
      <c r="F15540" s="2">
        <v>2</v>
      </c>
      <c r="G15540" s="2" t="s">
        <v>14</v>
      </c>
    </row>
    <row r="15541" spans="1:8" x14ac:dyDescent="0.2">
      <c r="A15541" s="2" t="s">
        <v>3240</v>
      </c>
      <c r="B15541" s="2" t="s">
        <v>20</v>
      </c>
      <c r="C15541" s="2">
        <v>649.54470000000003</v>
      </c>
      <c r="D15541" s="2">
        <f>HYPERLINK("http://mcb-m6.bioreg.kyushu-u.ac.jp/M3/20110427/F51125/1723/1", 83.97)</f>
        <v>83.97</v>
      </c>
      <c r="E15541" s="2">
        <v>55.81</v>
      </c>
      <c r="F15541" s="2">
        <v>2</v>
      </c>
      <c r="G15541" s="2" t="s">
        <v>14</v>
      </c>
    </row>
    <row r="15542" spans="1:8" x14ac:dyDescent="0.2">
      <c r="A15542" s="2" t="s">
        <v>3240</v>
      </c>
      <c r="B15542" s="2" t="s">
        <v>1392</v>
      </c>
      <c r="C15542" s="2">
        <v>798.79859999999996</v>
      </c>
      <c r="D15542" s="2">
        <f>HYPERLINK("http://mcb-m6.bioreg.kyushu-u.ac.jp/M3/20110427/F51118/2241/1", 88.46)</f>
        <v>88.46</v>
      </c>
      <c r="E15542" s="2">
        <v>71.28</v>
      </c>
      <c r="F15542" s="2">
        <v>2</v>
      </c>
      <c r="G15542" s="2" t="s">
        <v>14</v>
      </c>
      <c r="H15542" s="2" t="s">
        <v>4912</v>
      </c>
    </row>
    <row r="15543" spans="1:8" x14ac:dyDescent="0.2">
      <c r="A15543" s="2" t="s">
        <v>3240</v>
      </c>
      <c r="B15543" s="2" t="s">
        <v>1392</v>
      </c>
      <c r="C15543" s="2">
        <v>798.69709999999998</v>
      </c>
      <c r="D15543" s="2">
        <f>HYPERLINK("http://mcb-m6.bioreg.kyushu-u.ac.jp/M3/20110428/F51128/2275/1", 90.32)</f>
        <v>90.32</v>
      </c>
      <c r="E15543" s="2">
        <v>71.75</v>
      </c>
      <c r="F15543" s="2">
        <v>2</v>
      </c>
      <c r="G15543" s="2" t="s">
        <v>14</v>
      </c>
      <c r="H15543" s="2" t="s">
        <v>4912</v>
      </c>
    </row>
    <row r="15544" spans="1:8" x14ac:dyDescent="0.2">
      <c r="A15544" s="2" t="s">
        <v>3240</v>
      </c>
      <c r="B15544" s="2" t="s">
        <v>1392</v>
      </c>
      <c r="C15544" s="2">
        <v>790.17070000000001</v>
      </c>
      <c r="D15544" s="2">
        <f>HYPERLINK("http://mcb-m6.bioreg.kyushu-u.ac.jp/M3/20110427/F51121/2187/1", 92.92)</f>
        <v>92.92</v>
      </c>
      <c r="E15544" s="2">
        <v>79.239999999999995</v>
      </c>
      <c r="F15544" s="2">
        <v>2</v>
      </c>
      <c r="G15544" s="2" t="s">
        <v>14</v>
      </c>
    </row>
    <row r="15545" spans="1:8" x14ac:dyDescent="0.2">
      <c r="A15545" s="2" t="s">
        <v>3240</v>
      </c>
      <c r="B15545" s="2" t="s">
        <v>1392</v>
      </c>
      <c r="C15545" s="2">
        <v>798.69709999999998</v>
      </c>
      <c r="D15545" s="2">
        <f>HYPERLINK("http://mcb-m6.bioreg.kyushu-u.ac.jp/M3/20110427/F51121/2216/1", 93.73)</f>
        <v>93.73</v>
      </c>
      <c r="E15545" s="2">
        <v>77.23</v>
      </c>
      <c r="F15545" s="2">
        <v>2</v>
      </c>
      <c r="G15545" s="2" t="s">
        <v>14</v>
      </c>
      <c r="H15545" s="2" t="s">
        <v>4912</v>
      </c>
    </row>
    <row r="15546" spans="1:8" x14ac:dyDescent="0.2">
      <c r="A15546" s="2" t="s">
        <v>3240</v>
      </c>
      <c r="B15546" s="2" t="s">
        <v>7516</v>
      </c>
      <c r="C15546" s="2">
        <v>953.61980000000005</v>
      </c>
      <c r="D15546" s="2">
        <f>HYPERLINK("http://mcb-m6.bioreg.kyushu-u.ac.jp/M3/20110427/F51123/3822/1", 94.41)</f>
        <v>94.41</v>
      </c>
      <c r="E15546" s="2">
        <v>84.82</v>
      </c>
      <c r="F15546" s="2">
        <v>3</v>
      </c>
      <c r="G15546" s="2" t="s">
        <v>14</v>
      </c>
    </row>
    <row r="15547" spans="1:8" x14ac:dyDescent="0.2">
      <c r="A15547" s="2" t="s">
        <v>3240</v>
      </c>
      <c r="B15547" s="2" t="s">
        <v>1392</v>
      </c>
      <c r="C15547" s="2">
        <v>790.40120000000002</v>
      </c>
      <c r="D15547" s="2">
        <f>HYPERLINK("http://mcb-m6.bioreg.kyushu-u.ac.jp/M3/20110428/F51135/2060/1", 94.53)</f>
        <v>94.53</v>
      </c>
      <c r="E15547" s="2">
        <v>76.45</v>
      </c>
      <c r="F15547" s="2">
        <v>2</v>
      </c>
      <c r="G15547" s="2" t="s">
        <v>14</v>
      </c>
    </row>
    <row r="15548" spans="1:8" x14ac:dyDescent="0.2">
      <c r="A15548" s="2" t="s">
        <v>3240</v>
      </c>
      <c r="B15548" s="2" t="s">
        <v>1392</v>
      </c>
      <c r="C15548" s="2">
        <v>798.62819999999999</v>
      </c>
      <c r="D15548" s="2">
        <f>HYPERLINK("http://mcb-m6.bioreg.kyushu-u.ac.jp/M3/20110428/F51130/2354/1", 94.61)</f>
        <v>94.61</v>
      </c>
      <c r="E15548" s="2">
        <v>75.39</v>
      </c>
      <c r="F15548" s="2">
        <v>2</v>
      </c>
      <c r="G15548" s="2" t="s">
        <v>14</v>
      </c>
      <c r="H15548" s="2" t="s">
        <v>4912</v>
      </c>
    </row>
    <row r="15549" spans="1:8" x14ac:dyDescent="0.2">
      <c r="A15549" s="2" t="s">
        <v>3240</v>
      </c>
      <c r="B15549" s="2" t="s">
        <v>1392</v>
      </c>
      <c r="C15549" s="2">
        <v>790.65369999999996</v>
      </c>
      <c r="D15549" s="2">
        <f>HYPERLINK("http://mcb-m6.bioreg.kyushu-u.ac.jp/M3/20110428/F51129/2340/1", 97.35)</f>
        <v>97.35</v>
      </c>
      <c r="E15549" s="2">
        <v>81.94</v>
      </c>
      <c r="F15549" s="2">
        <v>2</v>
      </c>
      <c r="G15549" s="2" t="s">
        <v>14</v>
      </c>
    </row>
    <row r="15550" spans="1:8" x14ac:dyDescent="0.2">
      <c r="A15550" s="2" t="s">
        <v>3240</v>
      </c>
      <c r="B15550" s="2" t="s">
        <v>1392</v>
      </c>
      <c r="C15550" s="2">
        <v>790.19619999999998</v>
      </c>
      <c r="D15550" s="2">
        <f>HYPERLINK("http://mcb-m6.bioreg.kyushu-u.ac.jp/M3/20110427/F51119/2228/1", 97.86)</f>
        <v>97.86</v>
      </c>
      <c r="E15550" s="2">
        <v>85.32</v>
      </c>
      <c r="F15550" s="2">
        <v>2</v>
      </c>
      <c r="G15550" s="2" t="s">
        <v>14</v>
      </c>
    </row>
    <row r="15551" spans="1:8" x14ac:dyDescent="0.2">
      <c r="A15551" s="2" t="s">
        <v>3240</v>
      </c>
      <c r="B15551" s="2" t="s">
        <v>1392</v>
      </c>
      <c r="C15551" s="2">
        <v>790.1472</v>
      </c>
      <c r="D15551" s="2">
        <f>HYPERLINK("http://mcb-m6.bioreg.kyushu-u.ac.jp/M3/20110428/F51129/2337/1", 100.6)</f>
        <v>100.6</v>
      </c>
      <c r="E15551" s="2">
        <v>80.95</v>
      </c>
      <c r="F15551" s="2">
        <v>2</v>
      </c>
      <c r="G15551" s="2" t="s">
        <v>14</v>
      </c>
    </row>
    <row r="15552" spans="1:8" x14ac:dyDescent="0.2">
      <c r="A15552" s="2" t="s">
        <v>3240</v>
      </c>
      <c r="B15552" s="2" t="s">
        <v>1392</v>
      </c>
      <c r="C15552" s="2">
        <v>790.09559999999999</v>
      </c>
      <c r="D15552" s="2">
        <f>HYPERLINK("http://mcb-m6.bioreg.kyushu-u.ac.jp/M3/20110427/F51122/2351/1", 100.71)</f>
        <v>100.71</v>
      </c>
      <c r="E15552" s="2">
        <v>84.56</v>
      </c>
      <c r="F15552" s="2">
        <v>2</v>
      </c>
      <c r="G15552" s="2" t="s">
        <v>14</v>
      </c>
    </row>
    <row r="15553" spans="1:9" x14ac:dyDescent="0.2">
      <c r="A15553" s="2" t="s">
        <v>3240</v>
      </c>
      <c r="B15553" s="2" t="s">
        <v>1392</v>
      </c>
      <c r="C15553" s="2">
        <v>790.10919999999999</v>
      </c>
      <c r="D15553" s="2">
        <f>HYPERLINK("http://mcb-m6.bioreg.kyushu-u.ac.jp/M3/20110427/F51124/2256/1", 101.31)</f>
        <v>101.31</v>
      </c>
      <c r="E15553" s="2">
        <v>80.849999999999994</v>
      </c>
      <c r="F15553" s="2">
        <v>2</v>
      </c>
      <c r="G15553" s="2" t="s">
        <v>14</v>
      </c>
    </row>
    <row r="15554" spans="1:9" x14ac:dyDescent="0.2">
      <c r="A15554" s="2" t="s">
        <v>3240</v>
      </c>
      <c r="B15554" s="2" t="s">
        <v>1392</v>
      </c>
      <c r="C15554" s="2">
        <v>790.63760000000002</v>
      </c>
      <c r="D15554" s="2">
        <f>HYPERLINK("http://mcb-m6.bioreg.kyushu-u.ac.jp/M3/20110428/F51130/2310/1", 104.15)</f>
        <v>104.15</v>
      </c>
      <c r="E15554" s="2">
        <v>80.11</v>
      </c>
      <c r="F15554" s="2">
        <v>2</v>
      </c>
      <c r="G15554" s="2" t="s">
        <v>14</v>
      </c>
    </row>
    <row r="15555" spans="1:9" x14ac:dyDescent="0.2">
      <c r="A15555" s="2" t="s">
        <v>3240</v>
      </c>
      <c r="B15555" s="2" t="s">
        <v>1392</v>
      </c>
      <c r="C15555" s="2">
        <v>790.14319999999998</v>
      </c>
      <c r="D15555" s="2">
        <f>HYPERLINK("http://mcb-m6.bioreg.kyushu-u.ac.jp/M3/20110428/F51126/2297/1", 104.57)</f>
        <v>104.57</v>
      </c>
      <c r="E15555" s="2">
        <v>87.63</v>
      </c>
      <c r="F15555" s="2">
        <v>2</v>
      </c>
      <c r="G15555" s="2" t="s">
        <v>14</v>
      </c>
    </row>
    <row r="15556" spans="1:9" x14ac:dyDescent="0.2">
      <c r="A15556" s="2" t="s">
        <v>3240</v>
      </c>
      <c r="B15556" s="2" t="s">
        <v>1392</v>
      </c>
      <c r="C15556" s="2">
        <v>798.15419999999995</v>
      </c>
      <c r="D15556" s="2">
        <f>HYPERLINK("http://mcb-m6.bioreg.kyushu-u.ac.jp/M3/20110428/F51128/2269/1", 106.35)</f>
        <v>106.35</v>
      </c>
      <c r="E15556" s="2">
        <v>89.63</v>
      </c>
      <c r="F15556" s="2">
        <v>2</v>
      </c>
      <c r="G15556" s="2" t="s">
        <v>14</v>
      </c>
      <c r="H15556" s="2" t="s">
        <v>4912</v>
      </c>
    </row>
    <row r="15557" spans="1:9" x14ac:dyDescent="0.2">
      <c r="A15557" s="2" t="s">
        <v>3240</v>
      </c>
      <c r="B15557" s="2" t="s">
        <v>1392</v>
      </c>
      <c r="C15557" s="2">
        <v>790.13670000000002</v>
      </c>
      <c r="D15557" s="2">
        <f>HYPERLINK("http://mcb-m6.bioreg.kyushu-u.ac.jp/M3/20110427/F51120/2272/1", 106.62)</f>
        <v>106.62</v>
      </c>
      <c r="E15557" s="2">
        <v>89.06</v>
      </c>
      <c r="F15557" s="2">
        <v>2</v>
      </c>
      <c r="G15557" s="2" t="s">
        <v>14</v>
      </c>
    </row>
    <row r="15558" spans="1:9" x14ac:dyDescent="0.2">
      <c r="A15558" s="2" t="s">
        <v>3240</v>
      </c>
      <c r="B15558" s="2" t="s">
        <v>1392</v>
      </c>
      <c r="C15558" s="2">
        <v>798.15970000000004</v>
      </c>
      <c r="D15558" s="2">
        <f>HYPERLINK("http://mcb-m6.bioreg.kyushu-u.ac.jp/M3/20110427/F51124/2295/1", 108.26)</f>
        <v>108.26</v>
      </c>
      <c r="E15558" s="2">
        <v>78.52</v>
      </c>
      <c r="F15558" s="2">
        <v>2</v>
      </c>
      <c r="G15558" s="2" t="s">
        <v>14</v>
      </c>
      <c r="H15558" s="2" t="s">
        <v>4912</v>
      </c>
    </row>
    <row r="15559" spans="1:9" x14ac:dyDescent="0.2">
      <c r="A15559" s="2" t="s">
        <v>3240</v>
      </c>
      <c r="B15559" s="2" t="s">
        <v>1392</v>
      </c>
      <c r="C15559" s="2">
        <v>798.19069999999999</v>
      </c>
      <c r="D15559" s="2">
        <f>HYPERLINK("http://mcb-m6.bioreg.kyushu-u.ac.jp/M3/20110428/F51129/2373/1", 108.39)</f>
        <v>108.39</v>
      </c>
      <c r="E15559" s="2">
        <v>89.39</v>
      </c>
      <c r="F15559" s="2">
        <v>2</v>
      </c>
      <c r="G15559" s="2" t="s">
        <v>14</v>
      </c>
      <c r="H15559" s="2" t="s">
        <v>4912</v>
      </c>
    </row>
    <row r="15560" spans="1:9" x14ac:dyDescent="0.2">
      <c r="A15560" s="2" t="s">
        <v>3240</v>
      </c>
      <c r="B15560" s="2" t="s">
        <v>1392</v>
      </c>
      <c r="C15560" s="2">
        <v>798.23519999999996</v>
      </c>
      <c r="D15560" s="2">
        <f>HYPERLINK("http://mcb-m6.bioreg.kyushu-u.ac.jp/M3/20110428/F51126/2331/1", 109.89)</f>
        <v>109.89</v>
      </c>
      <c r="E15560" s="2">
        <v>91.23</v>
      </c>
      <c r="F15560" s="2">
        <v>2</v>
      </c>
      <c r="G15560" s="2" t="s">
        <v>14</v>
      </c>
      <c r="H15560" s="2" t="s">
        <v>4912</v>
      </c>
    </row>
    <row r="15561" spans="1:9" x14ac:dyDescent="0.2">
      <c r="A15561" s="2" t="s">
        <v>3240</v>
      </c>
      <c r="B15561" s="2" t="s">
        <v>1392</v>
      </c>
      <c r="C15561" s="2">
        <v>798.25419999999997</v>
      </c>
      <c r="D15561" s="2">
        <f>HYPERLINK("http://mcb-m6.bioreg.kyushu-u.ac.jp/M3/20110427/F51125/2340/1", 109.97)</f>
        <v>109.97</v>
      </c>
      <c r="E15561" s="2">
        <v>85.09</v>
      </c>
      <c r="F15561" s="2">
        <v>2</v>
      </c>
      <c r="G15561" s="2" t="s">
        <v>14</v>
      </c>
      <c r="H15561" s="2" t="s">
        <v>4912</v>
      </c>
    </row>
    <row r="15562" spans="1:9" x14ac:dyDescent="0.2">
      <c r="A15562" s="2" t="s">
        <v>3240</v>
      </c>
      <c r="B15562" s="2" t="s">
        <v>1392</v>
      </c>
      <c r="C15562" s="2">
        <v>790.16669999999999</v>
      </c>
      <c r="D15562" s="2">
        <f>HYPERLINK("http://mcb-m6.bioreg.kyushu-u.ac.jp/M3/20110427/F51118/2217/1", 110.1)</f>
        <v>110.1</v>
      </c>
      <c r="E15562" s="2">
        <v>86.11</v>
      </c>
      <c r="F15562" s="2">
        <v>2</v>
      </c>
      <c r="G15562" s="2" t="s">
        <v>14</v>
      </c>
    </row>
    <row r="15563" spans="1:9" x14ac:dyDescent="0.2">
      <c r="A15563" s="2" t="s">
        <v>3240</v>
      </c>
      <c r="B15563" s="2" t="s">
        <v>1392</v>
      </c>
      <c r="C15563" s="2">
        <v>798.2441</v>
      </c>
      <c r="D15563" s="2">
        <f>HYPERLINK("http://mcb-m6.bioreg.kyushu-u.ac.jp/M3/20110427/F51123/2323/1", 110.19)</f>
        <v>110.19</v>
      </c>
      <c r="E15563" s="2">
        <v>86.39</v>
      </c>
      <c r="F15563" s="2">
        <v>2</v>
      </c>
      <c r="G15563" s="2" t="s">
        <v>14</v>
      </c>
      <c r="H15563" s="2" t="s">
        <v>4912</v>
      </c>
    </row>
    <row r="15564" spans="1:9" x14ac:dyDescent="0.2">
      <c r="A15564" s="2" t="s">
        <v>3240</v>
      </c>
      <c r="B15564" s="2" t="s">
        <v>1392</v>
      </c>
      <c r="C15564" s="2">
        <v>790.04060000000004</v>
      </c>
      <c r="D15564" s="2">
        <f>HYPERLINK("http://mcb-m6.bioreg.kyushu-u.ac.jp/M3/20110427/F51125/2312/1", 112.45)</f>
        <v>112.45</v>
      </c>
      <c r="E15564" s="2">
        <v>91.32</v>
      </c>
      <c r="F15564" s="2">
        <v>2</v>
      </c>
      <c r="G15564" s="2" t="s">
        <v>14</v>
      </c>
    </row>
    <row r="15565" spans="1:9" x14ac:dyDescent="0.2">
      <c r="A15565" s="2" t="s">
        <v>3240</v>
      </c>
      <c r="B15565" s="2" t="s">
        <v>1392</v>
      </c>
      <c r="C15565" s="2">
        <v>798.26120000000003</v>
      </c>
      <c r="D15565" s="2">
        <f>HYPERLINK("http://mcb-m6.bioreg.kyushu-u.ac.jp/M3/20110427/F51119/2238/1", 112.79)</f>
        <v>112.79</v>
      </c>
      <c r="E15565" s="2">
        <v>88.06</v>
      </c>
      <c r="F15565" s="2">
        <v>2</v>
      </c>
      <c r="G15565" s="2" t="s">
        <v>14</v>
      </c>
      <c r="H15565" s="2" t="s">
        <v>4912</v>
      </c>
    </row>
    <row r="15566" spans="1:9" x14ac:dyDescent="0.2">
      <c r="A15566" s="2" t="s">
        <v>7672</v>
      </c>
      <c r="B15566" s="2" t="s">
        <v>6290</v>
      </c>
      <c r="C15566" s="2">
        <v>857.86519999999996</v>
      </c>
      <c r="D15566" s="2">
        <f>HYPERLINK("http://mcb-m6.bioreg.kyushu-u.ac.jp/M3/20110404/F50778/2410/1", 51.03)</f>
        <v>51.03</v>
      </c>
      <c r="E15566" s="2">
        <v>32.06</v>
      </c>
      <c r="F15566" s="2">
        <v>2</v>
      </c>
      <c r="G15566" s="2" t="s">
        <v>9</v>
      </c>
    </row>
    <row r="15567" spans="1:9" x14ac:dyDescent="0.2">
      <c r="A15567" s="2" t="s">
        <v>8066</v>
      </c>
      <c r="B15567" s="2" t="s">
        <v>7374</v>
      </c>
      <c r="C15567" s="2">
        <v>604.42859999999996</v>
      </c>
      <c r="D15567" s="2">
        <f>HYPERLINK("http://mcb-m6.bioreg.kyushu-u.ac.jp/M3/20110427/F51112/1527/1", 50.99)</f>
        <v>50.99</v>
      </c>
      <c r="E15567" s="2">
        <v>23.23</v>
      </c>
      <c r="F15567" s="2">
        <v>2</v>
      </c>
      <c r="G15567" s="2" t="s">
        <v>13</v>
      </c>
      <c r="I15567" s="2" t="s">
        <v>4893</v>
      </c>
    </row>
    <row r="15568" spans="1:9" x14ac:dyDescent="0.2">
      <c r="A15568" s="2" t="s">
        <v>7742</v>
      </c>
      <c r="B15568" s="2" t="s">
        <v>6517</v>
      </c>
      <c r="C15568" s="2">
        <v>1010.779</v>
      </c>
      <c r="D15568" s="2">
        <f>HYPERLINK("http://mcb-m6.bioreg.kyushu-u.ac.jp/M3/20110404/F50756/3098/1", 73.59)</f>
        <v>73.59</v>
      </c>
      <c r="E15568" s="2">
        <v>53.29</v>
      </c>
      <c r="F15568" s="2">
        <v>2</v>
      </c>
      <c r="G15568" s="2" t="s">
        <v>9</v>
      </c>
      <c r="I15568" s="2" t="s">
        <v>4926</v>
      </c>
    </row>
    <row r="15569" spans="1:9" x14ac:dyDescent="0.2">
      <c r="A15569" s="2" t="s">
        <v>7742</v>
      </c>
      <c r="B15569" s="2" t="s">
        <v>6517</v>
      </c>
      <c r="C15569" s="2">
        <v>1010.873</v>
      </c>
      <c r="D15569" s="2">
        <f>HYPERLINK("http://mcb-m6.bioreg.kyushu-u.ac.jp/M3/20110427/F51114/3293/1", 80.58)</f>
        <v>80.58</v>
      </c>
      <c r="E15569" s="2">
        <v>66.88</v>
      </c>
      <c r="F15569" s="2">
        <v>2</v>
      </c>
      <c r="G15569" s="2" t="s">
        <v>13</v>
      </c>
      <c r="I15569" s="2" t="s">
        <v>4926</v>
      </c>
    </row>
    <row r="15570" spans="1:9" x14ac:dyDescent="0.2">
      <c r="A15570" s="2" t="s">
        <v>7742</v>
      </c>
      <c r="B15570" s="2" t="s">
        <v>6517</v>
      </c>
      <c r="C15570" s="2">
        <v>1011.458</v>
      </c>
      <c r="D15570" s="2">
        <f>HYPERLINK("http://mcb-m6.bioreg.kyushu-u.ac.jp/M3/20110427/F51114/3294/1", 112.54)</f>
        <v>112.54</v>
      </c>
      <c r="E15570" s="2">
        <v>94.52</v>
      </c>
      <c r="F15570" s="2">
        <v>2</v>
      </c>
      <c r="G15570" s="2" t="s">
        <v>13</v>
      </c>
      <c r="I15570" s="2" t="s">
        <v>4926</v>
      </c>
    </row>
    <row r="15571" spans="1:9" x14ac:dyDescent="0.2">
      <c r="A15571" s="2" t="s">
        <v>7742</v>
      </c>
      <c r="B15571" s="2" t="s">
        <v>7504</v>
      </c>
      <c r="C15571" s="2">
        <v>613.73820000000001</v>
      </c>
      <c r="D15571" s="2">
        <f>HYPERLINK("http://mcb-m6.bioreg.kyushu-u.ac.jp/M3/20110427/F51123/1500/1", 57.5)</f>
        <v>57.5</v>
      </c>
      <c r="E15571" s="2">
        <v>31.47</v>
      </c>
      <c r="F15571" s="2">
        <v>2</v>
      </c>
      <c r="G15571" s="2" t="s">
        <v>14</v>
      </c>
    </row>
    <row r="15572" spans="1:9" x14ac:dyDescent="0.2">
      <c r="A15572" s="2" t="s">
        <v>7742</v>
      </c>
      <c r="B15572" s="2" t="s">
        <v>6517</v>
      </c>
      <c r="C15572" s="2">
        <v>1011.143</v>
      </c>
      <c r="D15572" s="2">
        <f>HYPERLINK("http://mcb-m6.bioreg.kyushu-u.ac.jp/M3/20110427/F51123/3130/1", 73.55)</f>
        <v>73.55</v>
      </c>
      <c r="E15572" s="2">
        <v>54.77</v>
      </c>
      <c r="F15572" s="2">
        <v>2</v>
      </c>
      <c r="G15572" s="2" t="s">
        <v>14</v>
      </c>
      <c r="I15572" s="2" t="s">
        <v>4926</v>
      </c>
    </row>
    <row r="15573" spans="1:9" x14ac:dyDescent="0.2">
      <c r="A15573" s="2" t="s">
        <v>8018</v>
      </c>
      <c r="B15573" s="2" t="s">
        <v>7273</v>
      </c>
      <c r="C15573" s="2">
        <v>770.37620000000004</v>
      </c>
      <c r="D15573" s="2">
        <f>HYPERLINK("http://mcb-m6.bioreg.kyushu-u.ac.jp/M3/20110421/F51021/3784/1", 95.4)</f>
        <v>95.4</v>
      </c>
      <c r="E15573" s="2">
        <v>82.27</v>
      </c>
      <c r="F15573" s="2">
        <v>3</v>
      </c>
      <c r="G15573" s="2" t="s">
        <v>12</v>
      </c>
    </row>
    <row r="15574" spans="1:9" x14ac:dyDescent="0.2">
      <c r="A15574" s="2" t="s">
        <v>8018</v>
      </c>
      <c r="B15574" s="2" t="s">
        <v>7273</v>
      </c>
      <c r="C15574" s="2">
        <v>1154.902</v>
      </c>
      <c r="D15574" s="2">
        <f>HYPERLINK("http://mcb-m6.bioreg.kyushu-u.ac.jp/M3/20110421/F51021/3782/1", 109.94)</f>
        <v>109.94</v>
      </c>
      <c r="E15574" s="2">
        <v>102.22</v>
      </c>
      <c r="F15574" s="2">
        <v>2</v>
      </c>
      <c r="G15574" s="2" t="s">
        <v>12</v>
      </c>
    </row>
    <row r="15575" spans="1:9" x14ac:dyDescent="0.2">
      <c r="A15575" s="2" t="s">
        <v>5733</v>
      </c>
      <c r="B15575" s="2" t="s">
        <v>5316</v>
      </c>
      <c r="C15575" s="2">
        <v>1302.318</v>
      </c>
      <c r="D15575" s="2">
        <f>HYPERLINK("http://mcb-m6.bioreg.kyushu-u.ac.jp/M3/20110421/F51017/3825/2", 59.87)</f>
        <v>59.87</v>
      </c>
      <c r="E15575" s="2">
        <v>46.31</v>
      </c>
      <c r="F15575" s="2">
        <v>2</v>
      </c>
      <c r="G15575" s="2" t="s">
        <v>11</v>
      </c>
      <c r="H15575" s="2" t="s">
        <v>4891</v>
      </c>
      <c r="I15575" s="2" t="s">
        <v>5898</v>
      </c>
    </row>
    <row r="15576" spans="1:9" x14ac:dyDescent="0.2">
      <c r="A15576" s="2" t="s">
        <v>5733</v>
      </c>
      <c r="B15576" s="2" t="s">
        <v>5316</v>
      </c>
      <c r="C15576" s="2">
        <v>1302.354</v>
      </c>
      <c r="D15576" s="2">
        <f>HYPERLINK("http://mcb-m6.bioreg.kyushu-u.ac.jp/M3/20110427/F51120/3126/2", 47.16)</f>
        <v>47.16</v>
      </c>
      <c r="E15576" s="2">
        <v>38.85</v>
      </c>
      <c r="F15576" s="2">
        <v>2</v>
      </c>
      <c r="G15576" s="2" t="s">
        <v>14</v>
      </c>
      <c r="H15576" s="2" t="s">
        <v>4891</v>
      </c>
      <c r="I15576" s="2" t="s">
        <v>5898</v>
      </c>
    </row>
    <row r="15577" spans="1:9" x14ac:dyDescent="0.2">
      <c r="A15577" s="2" t="s">
        <v>4594</v>
      </c>
      <c r="B15577" s="2" t="s">
        <v>2679</v>
      </c>
      <c r="C15577" s="2">
        <v>555.36869999999999</v>
      </c>
      <c r="D15577" s="2">
        <f>HYPERLINK("http://mcb-m6.bioreg.kyushu-u.ac.jp/M3/20110421/F51021/1094/1", 45.18)</f>
        <v>45.18</v>
      </c>
      <c r="E15577" s="2">
        <v>14.41</v>
      </c>
      <c r="F15577" s="2">
        <v>2</v>
      </c>
      <c r="G15577" s="2" t="s">
        <v>12</v>
      </c>
    </row>
    <row r="15578" spans="1:9" x14ac:dyDescent="0.2">
      <c r="A15578" s="2" t="s">
        <v>4594</v>
      </c>
      <c r="B15578" s="2" t="s">
        <v>2679</v>
      </c>
      <c r="C15578" s="2">
        <v>555.06460000000004</v>
      </c>
      <c r="D15578" s="2">
        <f>HYPERLINK("http://mcb-m6.bioreg.kyushu-u.ac.jp/M3/20110427/F51114/1179/1", 41.56)</f>
        <v>41.56</v>
      </c>
      <c r="E15578" s="2">
        <v>9.64</v>
      </c>
      <c r="F15578" s="2">
        <v>2</v>
      </c>
      <c r="G15578" s="2" t="s">
        <v>13</v>
      </c>
    </row>
    <row r="15579" spans="1:9" x14ac:dyDescent="0.2">
      <c r="A15579" s="2" t="s">
        <v>4594</v>
      </c>
      <c r="B15579" s="2" t="s">
        <v>2679</v>
      </c>
      <c r="C15579" s="2">
        <v>555.06370000000004</v>
      </c>
      <c r="D15579" s="2">
        <f>HYPERLINK("http://mcb-m6.bioreg.kyushu-u.ac.jp/M3/20110427/F51108/1419/1", 55.11)</f>
        <v>55.11</v>
      </c>
      <c r="E15579" s="2">
        <v>21.25</v>
      </c>
      <c r="F15579" s="2">
        <v>2</v>
      </c>
      <c r="G15579" s="2" t="s">
        <v>13</v>
      </c>
    </row>
    <row r="15580" spans="1:9" x14ac:dyDescent="0.2">
      <c r="A15580" s="2" t="s">
        <v>4594</v>
      </c>
      <c r="B15580" s="2" t="s">
        <v>2679</v>
      </c>
      <c r="C15580" s="2">
        <v>554.93409999999994</v>
      </c>
      <c r="D15580" s="2">
        <f>HYPERLINK("http://mcb-m6.bioreg.kyushu-u.ac.jp/M3/20110427/F51122/1510/1", 40.66)</f>
        <v>40.659999999999997</v>
      </c>
      <c r="E15580" s="2">
        <v>16.39</v>
      </c>
      <c r="F15580" s="2">
        <v>2</v>
      </c>
      <c r="G15580" s="2" t="s">
        <v>14</v>
      </c>
    </row>
    <row r="15581" spans="1:9" x14ac:dyDescent="0.2">
      <c r="A15581" s="2" t="s">
        <v>8105</v>
      </c>
      <c r="B15581" s="2" t="s">
        <v>7458</v>
      </c>
      <c r="C15581" s="2">
        <v>470.25310000000002</v>
      </c>
      <c r="D15581" s="2">
        <f>HYPERLINK("http://mcb-m6.bioreg.kyushu-u.ac.jp/M3/20110428/F51134/1299/1", 36.11)</f>
        <v>36.11</v>
      </c>
      <c r="E15581" s="2">
        <v>10.66</v>
      </c>
      <c r="F15581" s="2">
        <v>2</v>
      </c>
      <c r="G15581" s="2" t="s">
        <v>14</v>
      </c>
    </row>
    <row r="15582" spans="1:9" x14ac:dyDescent="0.2">
      <c r="A15582" s="2" t="s">
        <v>5832</v>
      </c>
      <c r="B15582" s="2" t="s">
        <v>5951</v>
      </c>
      <c r="C15582" s="2">
        <v>700.27869999999996</v>
      </c>
      <c r="D15582" s="2">
        <f>HYPERLINK("http://mcb-m6.bioreg.kyushu-u.ac.jp/M3/20110404/F50766/1287/1", 36.79)</f>
        <v>36.79</v>
      </c>
      <c r="E15582" s="2">
        <v>16.079999999999998</v>
      </c>
      <c r="F15582" s="2">
        <v>2</v>
      </c>
      <c r="G15582" s="2" t="s">
        <v>9</v>
      </c>
    </row>
    <row r="15583" spans="1:9" x14ac:dyDescent="0.2">
      <c r="A15583" s="2" t="s">
        <v>5832</v>
      </c>
      <c r="B15583" s="2" t="s">
        <v>5951</v>
      </c>
      <c r="C15583" s="2">
        <v>467.51819999999998</v>
      </c>
      <c r="D15583" s="2">
        <f>HYPERLINK("http://mcb-m6.bioreg.kyushu-u.ac.jp/M3/20110404/F50766/1294/1", 44.9)</f>
        <v>44.9</v>
      </c>
      <c r="E15583" s="2">
        <v>20.27</v>
      </c>
      <c r="F15583" s="2">
        <v>3</v>
      </c>
      <c r="G15583" s="2" t="s">
        <v>9</v>
      </c>
    </row>
    <row r="15584" spans="1:9" x14ac:dyDescent="0.2">
      <c r="A15584" s="2" t="s">
        <v>5832</v>
      </c>
      <c r="B15584" s="2" t="s">
        <v>5516</v>
      </c>
      <c r="C15584" s="2">
        <v>622.23360000000002</v>
      </c>
      <c r="D15584" s="2">
        <f>HYPERLINK("http://mcb-m6.bioreg.kyushu-u.ac.jp/M3/20110404/F50766/964/1", 87.06)</f>
        <v>87.06</v>
      </c>
      <c r="E15584" s="2">
        <v>61.17</v>
      </c>
      <c r="F15584" s="2">
        <v>2</v>
      </c>
      <c r="G15584" s="2" t="s">
        <v>9</v>
      </c>
    </row>
    <row r="15585" spans="1:9" x14ac:dyDescent="0.2">
      <c r="A15585" s="2" t="s">
        <v>4554</v>
      </c>
      <c r="B15585" s="2" t="s">
        <v>2585</v>
      </c>
      <c r="C15585" s="2">
        <v>810.26319999999998</v>
      </c>
      <c r="D15585" s="2">
        <f>HYPERLINK("http://mcb-m6.bioreg.kyushu-u.ac.jp/M3/20110428/F51134/2109/1", 37.79)</f>
        <v>37.79</v>
      </c>
      <c r="E15585" s="2">
        <v>15.56</v>
      </c>
      <c r="F15585" s="2">
        <v>2</v>
      </c>
      <c r="G15585" s="2" t="s">
        <v>14</v>
      </c>
      <c r="H15585" s="2" t="s">
        <v>4904</v>
      </c>
    </row>
    <row r="15586" spans="1:9" x14ac:dyDescent="0.2">
      <c r="A15586" s="2" t="s">
        <v>8079</v>
      </c>
      <c r="B15586" s="2" t="s">
        <v>7402</v>
      </c>
      <c r="C15586" s="2">
        <v>744.49270000000001</v>
      </c>
      <c r="D15586" s="2">
        <f>HYPERLINK("http://mcb-m6.bioreg.kyushu-u.ac.jp/M3/20110427/F51115/2001/1", 59.05)</f>
        <v>59.05</v>
      </c>
      <c r="E15586" s="2">
        <v>44.51</v>
      </c>
      <c r="F15586" s="2">
        <v>2</v>
      </c>
      <c r="G15586" s="2" t="s">
        <v>13</v>
      </c>
    </row>
    <row r="15587" spans="1:9" x14ac:dyDescent="0.2">
      <c r="A15587" s="2" t="s">
        <v>7635</v>
      </c>
      <c r="B15587" s="2" t="s">
        <v>6175</v>
      </c>
      <c r="C15587" s="2">
        <v>757.88570000000004</v>
      </c>
      <c r="D15587" s="2">
        <f>HYPERLINK("http://mcb-m6.bioreg.kyushu-u.ac.jp/M3/20110404/F50777/2016/1", 45.52)</f>
        <v>45.52</v>
      </c>
      <c r="E15587" s="2">
        <v>33</v>
      </c>
      <c r="F15587" s="2">
        <v>2</v>
      </c>
      <c r="G15587" s="2" t="s">
        <v>9</v>
      </c>
    </row>
    <row r="15588" spans="1:9" x14ac:dyDescent="0.2">
      <c r="A15588" s="2" t="s">
        <v>7955</v>
      </c>
      <c r="B15588" s="2" t="s">
        <v>7159</v>
      </c>
      <c r="C15588" s="2">
        <v>502.75760000000002</v>
      </c>
      <c r="D15588" s="2">
        <f>HYPERLINK("http://mcb-m6.bioreg.kyushu-u.ac.jp/M3/20110421/F51021/842/1", 36.06)</f>
        <v>36.06</v>
      </c>
      <c r="E15588" s="2">
        <v>9.44</v>
      </c>
      <c r="F15588" s="2">
        <v>2</v>
      </c>
      <c r="G15588" s="2" t="s">
        <v>12</v>
      </c>
      <c r="H15588" s="2" t="s">
        <v>4908</v>
      </c>
    </row>
    <row r="15589" spans="1:9" x14ac:dyDescent="0.2">
      <c r="A15589" s="2" t="s">
        <v>8053</v>
      </c>
      <c r="B15589" s="2" t="s">
        <v>7344</v>
      </c>
      <c r="C15589" s="2">
        <v>615.31320000000005</v>
      </c>
      <c r="D15589" s="2">
        <f>HYPERLINK("http://mcb-m6.bioreg.kyushu-u.ac.jp/M3/20110427/F51117/1445/1", 44.44)</f>
        <v>44.44</v>
      </c>
      <c r="E15589" s="2">
        <v>19.27</v>
      </c>
      <c r="F15589" s="2">
        <v>2</v>
      </c>
      <c r="G15589" s="2" t="s">
        <v>13</v>
      </c>
    </row>
    <row r="15590" spans="1:9" x14ac:dyDescent="0.2">
      <c r="A15590" s="2" t="s">
        <v>4089</v>
      </c>
      <c r="B15590" s="2" t="s">
        <v>1532</v>
      </c>
      <c r="C15590" s="2">
        <v>838.4597</v>
      </c>
      <c r="D15590" s="2">
        <f>HYPERLINK("http://mcb-m6.bioreg.kyushu-u.ac.jp/M3/20110404/F50751/2318/1", 101.88)</f>
        <v>101.88</v>
      </c>
      <c r="E15590" s="2">
        <v>88.84</v>
      </c>
      <c r="F15590" s="2">
        <v>2</v>
      </c>
      <c r="G15590" s="2" t="s">
        <v>9</v>
      </c>
      <c r="I15590" s="2" t="s">
        <v>4914</v>
      </c>
    </row>
    <row r="15591" spans="1:9" x14ac:dyDescent="0.2">
      <c r="A15591" s="2" t="s">
        <v>4089</v>
      </c>
      <c r="B15591" s="2" t="s">
        <v>1532</v>
      </c>
      <c r="C15591" s="2">
        <v>838.03060000000005</v>
      </c>
      <c r="D15591" s="2">
        <f>HYPERLINK("http://mcb-m6.bioreg.kyushu-u.ac.jp/M3/20110421/F51014/2487/1", 100)</f>
        <v>100</v>
      </c>
      <c r="E15591" s="2">
        <v>82.73</v>
      </c>
      <c r="F15591" s="2">
        <v>2</v>
      </c>
      <c r="G15591" s="2" t="s">
        <v>11</v>
      </c>
      <c r="I15591" s="2" t="s">
        <v>4914</v>
      </c>
    </row>
    <row r="15592" spans="1:9" x14ac:dyDescent="0.2">
      <c r="A15592" s="2" t="s">
        <v>4089</v>
      </c>
      <c r="B15592" s="2" t="s">
        <v>1532</v>
      </c>
      <c r="C15592" s="2">
        <v>838.57870000000003</v>
      </c>
      <c r="D15592" s="2">
        <f>HYPERLINK("http://mcb-m6.bioreg.kyushu-u.ac.jp/M3/20110421/F51014/2491/1", 102.58)</f>
        <v>102.58</v>
      </c>
      <c r="E15592" s="2">
        <v>85.6</v>
      </c>
      <c r="F15592" s="2">
        <v>2</v>
      </c>
      <c r="G15592" s="2" t="s">
        <v>11</v>
      </c>
      <c r="I15592" s="2" t="s">
        <v>4914</v>
      </c>
    </row>
    <row r="15593" spans="1:9" x14ac:dyDescent="0.2">
      <c r="A15593" s="2" t="s">
        <v>4089</v>
      </c>
      <c r="B15593" s="2" t="s">
        <v>1602</v>
      </c>
      <c r="C15593" s="2">
        <v>1023.7140000000001</v>
      </c>
      <c r="D15593" s="2">
        <f>HYPERLINK("http://mcb-m6.bioreg.kyushu-u.ac.jp/M3/20110427/F51108/2891/1", 93.72)</f>
        <v>93.72</v>
      </c>
      <c r="E15593" s="2">
        <v>73.989999999999995</v>
      </c>
      <c r="F15593" s="2">
        <v>2</v>
      </c>
      <c r="G15593" s="2" t="s">
        <v>13</v>
      </c>
      <c r="I15593" s="2" t="s">
        <v>4941</v>
      </c>
    </row>
    <row r="15594" spans="1:9" x14ac:dyDescent="0.2">
      <c r="A15594" s="2" t="s">
        <v>4089</v>
      </c>
      <c r="B15594" s="2" t="s">
        <v>1532</v>
      </c>
      <c r="C15594" s="2">
        <v>838.20820000000003</v>
      </c>
      <c r="D15594" s="2">
        <f>HYPERLINK("http://mcb-m6.bioreg.kyushu-u.ac.jp/M3/20110427/F51108/2403/1", 96.65)</f>
        <v>96.65</v>
      </c>
      <c r="E15594" s="2">
        <v>82.5</v>
      </c>
      <c r="F15594" s="2">
        <v>2</v>
      </c>
      <c r="G15594" s="2" t="s">
        <v>13</v>
      </c>
      <c r="I15594" s="2" t="s">
        <v>4914</v>
      </c>
    </row>
    <row r="15595" spans="1:9" x14ac:dyDescent="0.2">
      <c r="A15595" s="2" t="s">
        <v>7754</v>
      </c>
      <c r="B15595" s="2" t="s">
        <v>6548</v>
      </c>
      <c r="C15595" s="2">
        <v>947.22310000000004</v>
      </c>
      <c r="D15595" s="2">
        <f>HYPERLINK("http://mcb-m6.bioreg.kyushu-u.ac.jp/M3/20110404/F50753/2764/1", 78.77)</f>
        <v>78.77</v>
      </c>
      <c r="E15595" s="2">
        <v>54.5</v>
      </c>
      <c r="F15595" s="2">
        <v>2</v>
      </c>
      <c r="G15595" s="2" t="s">
        <v>9</v>
      </c>
      <c r="I15595" s="2" t="s">
        <v>4911</v>
      </c>
    </row>
    <row r="15596" spans="1:9" x14ac:dyDescent="0.2">
      <c r="A15596" s="2" t="s">
        <v>7754</v>
      </c>
      <c r="B15596" s="2" t="s">
        <v>6548</v>
      </c>
      <c r="C15596" s="2">
        <v>947.39970000000005</v>
      </c>
      <c r="D15596" s="2">
        <f>HYPERLINK("http://mcb-m6.bioreg.kyushu-u.ac.jp/M3/20110404/F50758/2575/1", 60.5)</f>
        <v>60.5</v>
      </c>
      <c r="E15596" s="2">
        <v>44.8</v>
      </c>
      <c r="F15596" s="2">
        <v>2</v>
      </c>
      <c r="G15596" s="2" t="s">
        <v>10</v>
      </c>
      <c r="I15596" s="2" t="s">
        <v>4911</v>
      </c>
    </row>
    <row r="15597" spans="1:9" x14ac:dyDescent="0.2">
      <c r="A15597" s="2" t="s">
        <v>4515</v>
      </c>
      <c r="B15597" s="2" t="s">
        <v>7164</v>
      </c>
      <c r="C15597" s="2">
        <v>590.8202</v>
      </c>
      <c r="D15597" s="2">
        <f>HYPERLINK("http://mcb-m6.bioreg.kyushu-u.ac.jp/M3/20110421/F51044/1278/1", 36.6)</f>
        <v>36.6</v>
      </c>
      <c r="E15597" s="2">
        <v>10.75</v>
      </c>
      <c r="F15597" s="2">
        <v>2</v>
      </c>
      <c r="G15597" s="2" t="s">
        <v>12</v>
      </c>
    </row>
    <row r="15598" spans="1:9" x14ac:dyDescent="0.2">
      <c r="A15598" s="2" t="s">
        <v>7909</v>
      </c>
      <c r="B15598" s="2" t="s">
        <v>7073</v>
      </c>
      <c r="C15598" s="2">
        <v>576.26949999999999</v>
      </c>
      <c r="D15598" s="2">
        <f>HYPERLINK("http://mcb-m6.bioreg.kyushu-u.ac.jp/M3/20110421/F51042/2666/1", 35.58)</f>
        <v>35.58</v>
      </c>
      <c r="E15598" s="2">
        <v>21.22</v>
      </c>
      <c r="F15598" s="2">
        <v>3</v>
      </c>
      <c r="G15598" s="2" t="s">
        <v>11</v>
      </c>
      <c r="I15598" s="2" t="s">
        <v>4914</v>
      </c>
    </row>
    <row r="15599" spans="1:9" x14ac:dyDescent="0.2">
      <c r="A15599" s="2" t="s">
        <v>7576</v>
      </c>
      <c r="B15599" s="2" t="s">
        <v>6022</v>
      </c>
      <c r="C15599" s="2">
        <v>650.81119999999999</v>
      </c>
      <c r="D15599" s="2">
        <f>HYPERLINK("http://mcb-m6.bioreg.kyushu-u.ac.jp/M3/20110404/F50765/1423/1", 39.21)</f>
        <v>39.21</v>
      </c>
      <c r="E15599" s="2">
        <v>14.68</v>
      </c>
      <c r="F15599" s="2">
        <v>2</v>
      </c>
      <c r="G15599" s="2" t="s">
        <v>9</v>
      </c>
    </row>
    <row r="15600" spans="1:9" x14ac:dyDescent="0.2">
      <c r="A15600" s="2" t="s">
        <v>7576</v>
      </c>
      <c r="B15600" s="2" t="s">
        <v>6213</v>
      </c>
      <c r="C15600" s="2">
        <v>758.39670000000001</v>
      </c>
      <c r="D15600" s="2">
        <f>HYPERLINK("http://mcb-m6.bioreg.kyushu-u.ac.jp/M3/20110404/F50765/1927/1", 46.92)</f>
        <v>46.92</v>
      </c>
      <c r="E15600" s="2">
        <v>31.06</v>
      </c>
      <c r="F15600" s="2">
        <v>2</v>
      </c>
      <c r="G15600" s="2" t="s">
        <v>9</v>
      </c>
    </row>
    <row r="15601" spans="1:9" x14ac:dyDescent="0.2">
      <c r="A15601" s="2" t="s">
        <v>7576</v>
      </c>
      <c r="B15601" s="2" t="s">
        <v>6676</v>
      </c>
      <c r="C15601" s="2">
        <v>846.30700000000002</v>
      </c>
      <c r="D15601" s="2">
        <f>HYPERLINK("http://mcb-m6.bioreg.kyushu-u.ac.jp/M3/20110404/F50771/820/1", 35.18)</f>
        <v>35.18</v>
      </c>
      <c r="E15601" s="2">
        <v>19.25</v>
      </c>
      <c r="F15601" s="2">
        <v>1</v>
      </c>
      <c r="G15601" s="2" t="s">
        <v>10</v>
      </c>
    </row>
    <row r="15602" spans="1:9" x14ac:dyDescent="0.2">
      <c r="A15602" s="2" t="s">
        <v>7576</v>
      </c>
      <c r="B15602" s="2" t="s">
        <v>6213</v>
      </c>
      <c r="C15602" s="2">
        <v>757.77120000000002</v>
      </c>
      <c r="D15602" s="2">
        <f>HYPERLINK("http://mcb-m6.bioreg.kyushu-u.ac.jp/M3/20110404/F50771/1963/1", 36.85)</f>
        <v>36.85</v>
      </c>
      <c r="E15602" s="2">
        <v>26.99</v>
      </c>
      <c r="F15602" s="2">
        <v>2</v>
      </c>
      <c r="G15602" s="2" t="s">
        <v>10</v>
      </c>
    </row>
    <row r="15603" spans="1:9" x14ac:dyDescent="0.2">
      <c r="A15603" s="2" t="s">
        <v>7576</v>
      </c>
      <c r="B15603" s="2" t="s">
        <v>6803</v>
      </c>
      <c r="C15603" s="2">
        <v>883.45069999999998</v>
      </c>
      <c r="D15603" s="2">
        <f>HYPERLINK("http://mcb-m6.bioreg.kyushu-u.ac.jp/M3/20110404/F50771/2448/1", 44.57)</f>
        <v>44.57</v>
      </c>
      <c r="E15603" s="2">
        <v>28.63</v>
      </c>
      <c r="F15603" s="2">
        <v>2</v>
      </c>
      <c r="G15603" s="2" t="s">
        <v>10</v>
      </c>
    </row>
    <row r="15604" spans="1:9" x14ac:dyDescent="0.2">
      <c r="A15604" s="2" t="s">
        <v>7576</v>
      </c>
      <c r="B15604" s="2" t="s">
        <v>7050</v>
      </c>
      <c r="C15604" s="2">
        <v>941.3732</v>
      </c>
      <c r="D15604" s="2">
        <f>HYPERLINK("http://mcb-m6.bioreg.kyushu-u.ac.jp/M3/20110404/F50771/2647/1", 106.51)</f>
        <v>106.51</v>
      </c>
      <c r="E15604" s="2">
        <v>92.35</v>
      </c>
      <c r="F15604" s="2">
        <v>2</v>
      </c>
      <c r="G15604" s="2" t="s">
        <v>10</v>
      </c>
    </row>
    <row r="15605" spans="1:9" x14ac:dyDescent="0.2">
      <c r="A15605" s="2" t="s">
        <v>4631</v>
      </c>
      <c r="B15605" s="2" t="s">
        <v>6503</v>
      </c>
      <c r="C15605" s="2">
        <v>865.82169999999996</v>
      </c>
      <c r="D15605" s="2">
        <f>HYPERLINK("http://mcb-m6.bioreg.kyushu-u.ac.jp/M3/20110404/F50756/2527/1", 71.2)</f>
        <v>71.2</v>
      </c>
      <c r="E15605" s="2">
        <v>50.61</v>
      </c>
      <c r="F15605" s="2">
        <v>2</v>
      </c>
      <c r="G15605" s="2" t="s">
        <v>9</v>
      </c>
    </row>
    <row r="15606" spans="1:9" x14ac:dyDescent="0.2">
      <c r="A15606" s="2" t="s">
        <v>4631</v>
      </c>
      <c r="B15606" s="2" t="s">
        <v>6819</v>
      </c>
      <c r="C15606" s="2">
        <v>508.19909999999999</v>
      </c>
      <c r="D15606" s="2">
        <f>HYPERLINK("http://mcb-m6.bioreg.kyushu-u.ac.jp/M3/20110404/F50761/1000/1", 45.9)</f>
        <v>45.9</v>
      </c>
      <c r="E15606" s="2">
        <v>9.83</v>
      </c>
      <c r="F15606" s="2">
        <v>2</v>
      </c>
      <c r="G15606" s="2" t="s">
        <v>10</v>
      </c>
    </row>
    <row r="15607" spans="1:9" x14ac:dyDescent="0.2">
      <c r="A15607" s="2" t="s">
        <v>7897</v>
      </c>
      <c r="B15607" s="2" t="s">
        <v>6998</v>
      </c>
      <c r="C15607" s="2">
        <v>980.81569999999999</v>
      </c>
      <c r="D15607" s="2">
        <f>HYPERLINK("http://mcb-m6.bioreg.kyushu-u.ac.jp/M3/20110404/F50761/2766/1", 76.61)</f>
        <v>76.61</v>
      </c>
      <c r="E15607" s="2">
        <v>46.1</v>
      </c>
      <c r="F15607" s="2">
        <v>2</v>
      </c>
      <c r="G15607" s="2" t="s">
        <v>10</v>
      </c>
    </row>
    <row r="15608" spans="1:9" x14ac:dyDescent="0.2">
      <c r="A15608" s="2" t="s">
        <v>7900</v>
      </c>
      <c r="B15608" s="2" t="s">
        <v>7039</v>
      </c>
      <c r="C15608" s="2">
        <v>764.3066</v>
      </c>
      <c r="D15608" s="2">
        <f>HYPERLINK("http://mcb-m6.bioreg.kyushu-u.ac.jp/M3/20110404/F50761/1930/1", 89.56)</f>
        <v>89.56</v>
      </c>
      <c r="E15608" s="2">
        <v>72.33</v>
      </c>
      <c r="F15608" s="2">
        <v>2</v>
      </c>
      <c r="G15608" s="2" t="s">
        <v>10</v>
      </c>
    </row>
    <row r="15609" spans="1:9" x14ac:dyDescent="0.2">
      <c r="A15609" s="2" t="s">
        <v>7900</v>
      </c>
      <c r="B15609" s="2" t="s">
        <v>7039</v>
      </c>
      <c r="C15609" s="2">
        <v>764.38459999999998</v>
      </c>
      <c r="D15609" s="2">
        <f>HYPERLINK("http://mcb-m6.bioreg.kyushu-u.ac.jp/M3/20110421/F51034/2183/1", 110.99)</f>
        <v>110.99</v>
      </c>
      <c r="E15609" s="2">
        <v>93.39</v>
      </c>
      <c r="F15609" s="2">
        <v>2</v>
      </c>
      <c r="G15609" s="2" t="s">
        <v>11</v>
      </c>
    </row>
    <row r="15610" spans="1:9" x14ac:dyDescent="0.2">
      <c r="A15610" s="2" t="s">
        <v>7900</v>
      </c>
      <c r="B15610" s="2" t="s">
        <v>7039</v>
      </c>
      <c r="C15610" s="2">
        <v>764.8492</v>
      </c>
      <c r="D15610" s="2">
        <f>HYPERLINK("http://mcb-m6.bioreg.kyushu-u.ac.jp/M3/20110421/F51044/2189/1", 57.27)</f>
        <v>57.27</v>
      </c>
      <c r="E15610" s="2">
        <v>35.26</v>
      </c>
      <c r="F15610" s="2">
        <v>2</v>
      </c>
      <c r="G15610" s="2" t="s">
        <v>12</v>
      </c>
    </row>
    <row r="15611" spans="1:9" x14ac:dyDescent="0.2">
      <c r="A15611" s="2" t="s">
        <v>7900</v>
      </c>
      <c r="B15611" s="2" t="s">
        <v>7039</v>
      </c>
      <c r="C15611" s="2">
        <v>764.40920000000006</v>
      </c>
      <c r="D15611" s="2">
        <f>HYPERLINK("http://mcb-m6.bioreg.kyushu-u.ac.jp/M3/20110427/F51114/2184/1", 63.97)</f>
        <v>63.97</v>
      </c>
      <c r="E15611" s="2">
        <v>44.32</v>
      </c>
      <c r="F15611" s="2">
        <v>2</v>
      </c>
      <c r="G15611" s="2" t="s">
        <v>13</v>
      </c>
    </row>
    <row r="15612" spans="1:9" x14ac:dyDescent="0.2">
      <c r="A15612" s="2" t="s">
        <v>3914</v>
      </c>
      <c r="B15612" s="2" t="s">
        <v>1088</v>
      </c>
      <c r="C15612" s="2">
        <v>816.98419999999999</v>
      </c>
      <c r="D15612" s="2">
        <f>HYPERLINK("http://mcb-m6.bioreg.kyushu-u.ac.jp/M3/20110404/F50753/2305/1", 77.71)</f>
        <v>77.709999999999994</v>
      </c>
      <c r="E15612" s="2">
        <v>57.75</v>
      </c>
      <c r="F15612" s="2">
        <v>2</v>
      </c>
      <c r="G15612" s="2" t="s">
        <v>9</v>
      </c>
      <c r="I15612" s="2" t="s">
        <v>4905</v>
      </c>
    </row>
    <row r="15613" spans="1:9" x14ac:dyDescent="0.2">
      <c r="A15613" s="2" t="s">
        <v>3914</v>
      </c>
      <c r="B15613" s="2" t="s">
        <v>1088</v>
      </c>
      <c r="C15613" s="2">
        <v>816.24270000000001</v>
      </c>
      <c r="D15613" s="2">
        <f>HYPERLINK("http://mcb-m6.bioreg.kyushu-u.ac.jp/M3/20110404/F50752/2341/1", 89.59)</f>
        <v>89.59</v>
      </c>
      <c r="E15613" s="2">
        <v>70.88</v>
      </c>
      <c r="F15613" s="2">
        <v>2</v>
      </c>
      <c r="G15613" s="2" t="s">
        <v>9</v>
      </c>
      <c r="I15613" s="2" t="s">
        <v>4905</v>
      </c>
    </row>
    <row r="15614" spans="1:9" x14ac:dyDescent="0.2">
      <c r="A15614" s="2" t="s">
        <v>3914</v>
      </c>
      <c r="B15614" s="2" t="s">
        <v>1088</v>
      </c>
      <c r="C15614" s="2">
        <v>816.83759999999995</v>
      </c>
      <c r="D15614" s="2">
        <f>HYPERLINK("http://mcb-m6.bioreg.kyushu-u.ac.jp/M3/20110421/F51016/2278/1", 113.59)</f>
        <v>113.59</v>
      </c>
      <c r="E15614" s="2">
        <v>94.74</v>
      </c>
      <c r="F15614" s="2">
        <v>2</v>
      </c>
      <c r="G15614" s="2" t="s">
        <v>11</v>
      </c>
      <c r="I15614" s="2" t="s">
        <v>4905</v>
      </c>
    </row>
    <row r="15615" spans="1:9" x14ac:dyDescent="0.2">
      <c r="A15615" s="2" t="s">
        <v>3914</v>
      </c>
      <c r="B15615" s="2" t="s">
        <v>1088</v>
      </c>
      <c r="C15615" s="2">
        <v>816.15520000000004</v>
      </c>
      <c r="D15615" s="2">
        <f>HYPERLINK("http://mcb-m6.bioreg.kyushu-u.ac.jp/M3/20110427/F51110/2479/1", 93.35)</f>
        <v>93.35</v>
      </c>
      <c r="E15615" s="2">
        <v>71.13</v>
      </c>
      <c r="F15615" s="2">
        <v>2</v>
      </c>
      <c r="G15615" s="2" t="s">
        <v>13</v>
      </c>
      <c r="I15615" s="2" t="s">
        <v>4905</v>
      </c>
    </row>
    <row r="15616" spans="1:9" x14ac:dyDescent="0.2">
      <c r="A15616" s="2" t="s">
        <v>8017</v>
      </c>
      <c r="B15616" s="2" t="s">
        <v>7272</v>
      </c>
      <c r="C15616" s="2">
        <v>971.34010000000001</v>
      </c>
      <c r="D15616" s="2">
        <f>HYPERLINK("http://mcb-m6.bioreg.kyushu-u.ac.jp/M3/20110421/F51048/3064/1", 87.56)</f>
        <v>87.56</v>
      </c>
      <c r="E15616" s="2">
        <v>74.27</v>
      </c>
      <c r="F15616" s="2">
        <v>2</v>
      </c>
      <c r="G15616" s="2" t="s">
        <v>12</v>
      </c>
    </row>
    <row r="15617" spans="1:8" x14ac:dyDescent="0.2">
      <c r="A15617" s="2" t="s">
        <v>3592</v>
      </c>
      <c r="B15617" s="2" t="s">
        <v>482</v>
      </c>
      <c r="C15617" s="2">
        <v>825.7432</v>
      </c>
      <c r="D15617" s="2">
        <f>HYPERLINK("http://mcb-m6.bioreg.kyushu-u.ac.jp/M3/20110404/F50767/2140/1", 35.41)</f>
        <v>35.409999999999997</v>
      </c>
      <c r="E15617" s="2">
        <v>30.27</v>
      </c>
      <c r="F15617" s="2">
        <v>2</v>
      </c>
      <c r="G15617" s="2" t="s">
        <v>9</v>
      </c>
    </row>
    <row r="15618" spans="1:8" x14ac:dyDescent="0.2">
      <c r="A15618" s="2" t="s">
        <v>3592</v>
      </c>
      <c r="B15618" s="2" t="s">
        <v>482</v>
      </c>
      <c r="C15618" s="2">
        <v>826.49270000000001</v>
      </c>
      <c r="D15618" s="2">
        <f>HYPERLINK("http://mcb-m6.bioreg.kyushu-u.ac.jp/M3/20110404/F50765/2216/1", 42.48)</f>
        <v>42.48</v>
      </c>
      <c r="E15618" s="2">
        <v>29.82</v>
      </c>
      <c r="F15618" s="2">
        <v>2</v>
      </c>
      <c r="G15618" s="2" t="s">
        <v>9</v>
      </c>
    </row>
    <row r="15619" spans="1:8" x14ac:dyDescent="0.2">
      <c r="A15619" s="2" t="s">
        <v>3592</v>
      </c>
      <c r="B15619" s="2" t="s">
        <v>482</v>
      </c>
      <c r="C15619" s="2">
        <v>825.67169999999999</v>
      </c>
      <c r="D15619" s="2">
        <f>HYPERLINK("http://mcb-m6.bioreg.kyushu-u.ac.jp/M3/20110404/F50765/2213/1", 50.44)</f>
        <v>50.44</v>
      </c>
      <c r="E15619" s="2">
        <v>35.14</v>
      </c>
      <c r="F15619" s="2">
        <v>2</v>
      </c>
      <c r="G15619" s="2" t="s">
        <v>9</v>
      </c>
    </row>
    <row r="15620" spans="1:8" x14ac:dyDescent="0.2">
      <c r="A15620" s="2" t="s">
        <v>3592</v>
      </c>
      <c r="B15620" s="2" t="s">
        <v>482</v>
      </c>
      <c r="C15620" s="2">
        <v>826.42610000000002</v>
      </c>
      <c r="D15620" s="2">
        <f>HYPERLINK("http://mcb-m6.bioreg.kyushu-u.ac.jp/M3/20110404/F50778/2271/1", 50.72)</f>
        <v>50.72</v>
      </c>
      <c r="E15620" s="2">
        <v>42.87</v>
      </c>
      <c r="F15620" s="2">
        <v>2</v>
      </c>
      <c r="G15620" s="2" t="s">
        <v>9</v>
      </c>
    </row>
    <row r="15621" spans="1:8" x14ac:dyDescent="0.2">
      <c r="A15621" s="2" t="s">
        <v>3592</v>
      </c>
      <c r="B15621" s="2" t="s">
        <v>482</v>
      </c>
      <c r="C15621" s="2">
        <v>826.16060000000004</v>
      </c>
      <c r="D15621" s="2">
        <f>HYPERLINK("http://mcb-m6.bioreg.kyushu-u.ac.jp/M3/20110404/F50764/2182/1", 55.09)</f>
        <v>55.09</v>
      </c>
      <c r="E15621" s="2">
        <v>39.479999999999997</v>
      </c>
      <c r="F15621" s="2">
        <v>2</v>
      </c>
      <c r="G15621" s="2" t="s">
        <v>9</v>
      </c>
    </row>
    <row r="15622" spans="1:8" x14ac:dyDescent="0.2">
      <c r="A15622" s="2" t="s">
        <v>3592</v>
      </c>
      <c r="B15622" s="2" t="s">
        <v>482</v>
      </c>
      <c r="C15622" s="2">
        <v>826.43619999999999</v>
      </c>
      <c r="D15622" s="2">
        <f>HYPERLINK("http://mcb-m6.bioreg.kyushu-u.ac.jp/M3/20110404/F50779/2168/1", 58.01)</f>
        <v>58.01</v>
      </c>
      <c r="E15622" s="2">
        <v>45.73</v>
      </c>
      <c r="F15622" s="2">
        <v>2</v>
      </c>
      <c r="G15622" s="2" t="s">
        <v>9</v>
      </c>
    </row>
    <row r="15623" spans="1:8" x14ac:dyDescent="0.2">
      <c r="A15623" s="2" t="s">
        <v>3592</v>
      </c>
      <c r="B15623" s="2" t="s">
        <v>482</v>
      </c>
      <c r="C15623" s="2">
        <v>825.92909999999995</v>
      </c>
      <c r="D15623" s="2">
        <f>HYPERLINK("http://mcb-m6.bioreg.kyushu-u.ac.jp/M3/20110404/F50779/2162/1", 59.77)</f>
        <v>59.77</v>
      </c>
      <c r="E15623" s="2">
        <v>45.34</v>
      </c>
      <c r="F15623" s="2">
        <v>2</v>
      </c>
      <c r="G15623" s="2" t="s">
        <v>9</v>
      </c>
    </row>
    <row r="15624" spans="1:8" x14ac:dyDescent="0.2">
      <c r="A15624" s="2" t="s">
        <v>3592</v>
      </c>
      <c r="B15624" s="2" t="s">
        <v>951</v>
      </c>
      <c r="C15624" s="2">
        <v>808.39469999999994</v>
      </c>
      <c r="D15624" s="2">
        <f>HYPERLINK("http://mcb-m6.bioreg.kyushu-u.ac.jp/M3/20110404/F50765/2150/1", 65.15)</f>
        <v>65.150000000000006</v>
      </c>
      <c r="E15624" s="2">
        <v>42.37</v>
      </c>
      <c r="F15624" s="2">
        <v>2</v>
      </c>
      <c r="G15624" s="2" t="s">
        <v>9</v>
      </c>
    </row>
    <row r="15625" spans="1:8" x14ac:dyDescent="0.2">
      <c r="A15625" s="2" t="s">
        <v>3592</v>
      </c>
      <c r="B15625" s="2" t="s">
        <v>951</v>
      </c>
      <c r="C15625" s="2">
        <v>1614.78</v>
      </c>
      <c r="D15625" s="2">
        <f>HYPERLINK("http://mcb-m6.bioreg.kyushu-u.ac.jp/M3/20110404/F50779/2065/1", 78.97)</f>
        <v>78.97</v>
      </c>
      <c r="E15625" s="2">
        <v>64.92</v>
      </c>
      <c r="F15625" s="2">
        <v>1</v>
      </c>
      <c r="G15625" s="2" t="s">
        <v>9</v>
      </c>
    </row>
    <row r="15626" spans="1:8" x14ac:dyDescent="0.2">
      <c r="A15626" s="2" t="s">
        <v>3592</v>
      </c>
      <c r="B15626" s="2" t="s">
        <v>951</v>
      </c>
      <c r="C15626" s="2">
        <v>807.78719999999998</v>
      </c>
      <c r="D15626" s="2">
        <f>HYPERLINK("http://mcb-m6.bioreg.kyushu-u.ac.jp/M3/20110404/F50777/2210/1", 91.6)</f>
        <v>91.6</v>
      </c>
      <c r="E15626" s="2">
        <v>71.989999999999995</v>
      </c>
      <c r="F15626" s="2">
        <v>2</v>
      </c>
      <c r="G15626" s="2" t="s">
        <v>9</v>
      </c>
    </row>
    <row r="15627" spans="1:8" x14ac:dyDescent="0.2">
      <c r="A15627" s="2" t="s">
        <v>3592</v>
      </c>
      <c r="B15627" s="2" t="s">
        <v>5275</v>
      </c>
      <c r="C15627" s="2">
        <v>1431.6690000000001</v>
      </c>
      <c r="D15627" s="2">
        <f>HYPERLINK("http://mcb-m6.bioreg.kyushu-u.ac.jp/M3/20110404/F50782/3980/1", 44.84)</f>
        <v>44.84</v>
      </c>
      <c r="E15627" s="2">
        <v>34.33</v>
      </c>
      <c r="F15627" s="2">
        <v>2</v>
      </c>
      <c r="G15627" s="2" t="s">
        <v>10</v>
      </c>
      <c r="H15627" s="2" t="s">
        <v>5894</v>
      </c>
    </row>
    <row r="15628" spans="1:8" x14ac:dyDescent="0.2">
      <c r="A15628" s="2" t="s">
        <v>3592</v>
      </c>
      <c r="B15628" s="2" t="s">
        <v>482</v>
      </c>
      <c r="C15628" s="2">
        <v>826.19960000000003</v>
      </c>
      <c r="D15628" s="2">
        <f>HYPERLINK("http://mcb-m6.bioreg.kyushu-u.ac.jp/M3/20110404/F50771/2252/1", 45.24)</f>
        <v>45.24</v>
      </c>
      <c r="E15628" s="2">
        <v>36.5</v>
      </c>
      <c r="F15628" s="2">
        <v>2</v>
      </c>
      <c r="G15628" s="2" t="s">
        <v>10</v>
      </c>
    </row>
    <row r="15629" spans="1:8" x14ac:dyDescent="0.2">
      <c r="A15629" s="2" t="s">
        <v>3592</v>
      </c>
      <c r="B15629" s="2" t="s">
        <v>482</v>
      </c>
      <c r="C15629" s="2">
        <v>826.12070000000006</v>
      </c>
      <c r="D15629" s="2">
        <f>HYPERLINK("http://mcb-m6.bioreg.kyushu-u.ac.jp/M3/20110404/F50773/2161/1", 48.47)</f>
        <v>48.47</v>
      </c>
      <c r="E15629" s="2">
        <v>37.19</v>
      </c>
      <c r="F15629" s="2">
        <v>2</v>
      </c>
      <c r="G15629" s="2" t="s">
        <v>10</v>
      </c>
    </row>
    <row r="15630" spans="1:8" x14ac:dyDescent="0.2">
      <c r="A15630" s="2" t="s">
        <v>3592</v>
      </c>
      <c r="B15630" s="2" t="s">
        <v>482</v>
      </c>
      <c r="C15630" s="2">
        <v>825.92169999999999</v>
      </c>
      <c r="D15630" s="2">
        <f>HYPERLINK("http://mcb-m6.bioreg.kyushu-u.ac.jp/M3/20110404/F50782/2253/1", 48.7)</f>
        <v>48.7</v>
      </c>
      <c r="E15630" s="2">
        <v>35.89</v>
      </c>
      <c r="F15630" s="2">
        <v>2</v>
      </c>
      <c r="G15630" s="2" t="s">
        <v>10</v>
      </c>
    </row>
    <row r="15631" spans="1:8" x14ac:dyDescent="0.2">
      <c r="A15631" s="2" t="s">
        <v>3592</v>
      </c>
      <c r="B15631" s="2" t="s">
        <v>482</v>
      </c>
      <c r="C15631" s="2">
        <v>826.20569999999998</v>
      </c>
      <c r="D15631" s="2">
        <f>HYPERLINK("http://mcb-m6.bioreg.kyushu-u.ac.jp/M3/20110404/F50770/2216/1", 48.95)</f>
        <v>48.95</v>
      </c>
      <c r="E15631" s="2">
        <v>32.4</v>
      </c>
      <c r="F15631" s="2">
        <v>2</v>
      </c>
      <c r="G15631" s="2" t="s">
        <v>10</v>
      </c>
    </row>
    <row r="15632" spans="1:8" x14ac:dyDescent="0.2">
      <c r="A15632" s="2" t="s">
        <v>3592</v>
      </c>
      <c r="B15632" s="2" t="s">
        <v>6892</v>
      </c>
      <c r="C15632" s="2">
        <v>749.40200000000004</v>
      </c>
      <c r="D15632" s="2">
        <f>HYPERLINK("http://mcb-m6.bioreg.kyushu-u.ac.jp/M3/20110404/F50782/454/1", 54.58)</f>
        <v>54.58</v>
      </c>
      <c r="E15632" s="2">
        <v>29.33</v>
      </c>
      <c r="F15632" s="2">
        <v>1</v>
      </c>
      <c r="G15632" s="2" t="s">
        <v>10</v>
      </c>
    </row>
    <row r="15633" spans="1:7" x14ac:dyDescent="0.2">
      <c r="A15633" s="2" t="s">
        <v>3592</v>
      </c>
      <c r="B15633" s="2" t="s">
        <v>482</v>
      </c>
      <c r="C15633" s="2">
        <v>825.98820000000001</v>
      </c>
      <c r="D15633" s="2">
        <f>HYPERLINK("http://mcb-m6.bioreg.kyushu-u.ac.jp/M3/20110404/F50772/2265/1", 55.83)</f>
        <v>55.83</v>
      </c>
      <c r="E15633" s="2">
        <v>37.79</v>
      </c>
      <c r="F15633" s="2">
        <v>2</v>
      </c>
      <c r="G15633" s="2" t="s">
        <v>10</v>
      </c>
    </row>
    <row r="15634" spans="1:7" x14ac:dyDescent="0.2">
      <c r="A15634" s="2" t="s">
        <v>3592</v>
      </c>
      <c r="B15634" s="2" t="s">
        <v>951</v>
      </c>
      <c r="C15634" s="2">
        <v>807.90920000000006</v>
      </c>
      <c r="D15634" s="2">
        <f>HYPERLINK("http://mcb-m6.bioreg.kyushu-u.ac.jp/M3/20110404/F50769/2170/1", 61.98)</f>
        <v>61.98</v>
      </c>
      <c r="E15634" s="2">
        <v>42.46</v>
      </c>
      <c r="F15634" s="2">
        <v>2</v>
      </c>
      <c r="G15634" s="2" t="s">
        <v>10</v>
      </c>
    </row>
    <row r="15635" spans="1:7" x14ac:dyDescent="0.2">
      <c r="A15635" s="2" t="s">
        <v>3592</v>
      </c>
      <c r="B15635" s="2" t="s">
        <v>951</v>
      </c>
      <c r="C15635" s="2">
        <v>1614.732</v>
      </c>
      <c r="D15635" s="2">
        <f>HYPERLINK("http://mcb-m6.bioreg.kyushu-u.ac.jp/M3/20110404/F50782/2132/1", 68.48)</f>
        <v>68.48</v>
      </c>
      <c r="E15635" s="2">
        <v>52.31</v>
      </c>
      <c r="F15635" s="2">
        <v>1</v>
      </c>
      <c r="G15635" s="2" t="s">
        <v>10</v>
      </c>
    </row>
    <row r="15636" spans="1:7" x14ac:dyDescent="0.2">
      <c r="A15636" s="2" t="s">
        <v>3592</v>
      </c>
      <c r="B15636" s="2" t="s">
        <v>482</v>
      </c>
      <c r="C15636" s="2">
        <v>825.73659999999995</v>
      </c>
      <c r="D15636" s="2">
        <f>HYPERLINK("http://mcb-m6.bioreg.kyushu-u.ac.jp/M3/20110404/F50775/2280/1", 69.78)</f>
        <v>69.78</v>
      </c>
      <c r="E15636" s="2">
        <v>56.24</v>
      </c>
      <c r="F15636" s="2">
        <v>2</v>
      </c>
      <c r="G15636" s="2" t="s">
        <v>10</v>
      </c>
    </row>
    <row r="15637" spans="1:7" x14ac:dyDescent="0.2">
      <c r="A15637" s="2" t="s">
        <v>3592</v>
      </c>
      <c r="B15637" s="2" t="s">
        <v>951</v>
      </c>
      <c r="C15637" s="2">
        <v>807.88869999999997</v>
      </c>
      <c r="D15637" s="2">
        <f>HYPERLINK("http://mcb-m6.bioreg.kyushu-u.ac.jp/M3/20110404/F50773/2102/1", 80.33)</f>
        <v>80.33</v>
      </c>
      <c r="E15637" s="2">
        <v>62.58</v>
      </c>
      <c r="F15637" s="2">
        <v>2</v>
      </c>
      <c r="G15637" s="2" t="s">
        <v>10</v>
      </c>
    </row>
    <row r="15638" spans="1:7" x14ac:dyDescent="0.2">
      <c r="A15638" s="2" t="s">
        <v>3592</v>
      </c>
      <c r="B15638" s="2" t="s">
        <v>951</v>
      </c>
      <c r="C15638" s="2">
        <v>808.35360000000003</v>
      </c>
      <c r="D15638" s="2">
        <f>HYPERLINK("http://mcb-m6.bioreg.kyushu-u.ac.jp/M3/20110404/F50782/2135/1", 80.87)</f>
        <v>80.87</v>
      </c>
      <c r="E15638" s="2">
        <v>62.21</v>
      </c>
      <c r="F15638" s="2">
        <v>2</v>
      </c>
      <c r="G15638" s="2" t="s">
        <v>10</v>
      </c>
    </row>
    <row r="15639" spans="1:7" x14ac:dyDescent="0.2">
      <c r="A15639" s="2" t="s">
        <v>3592</v>
      </c>
      <c r="B15639" s="2" t="s">
        <v>951</v>
      </c>
      <c r="C15639" s="2">
        <v>807.89970000000005</v>
      </c>
      <c r="D15639" s="2">
        <f>HYPERLINK("http://mcb-m6.bioreg.kyushu-u.ac.jp/M3/20110404/F50770/2168/1", 82.12)</f>
        <v>82.12</v>
      </c>
      <c r="E15639" s="2">
        <v>66.31</v>
      </c>
      <c r="F15639" s="2">
        <v>2</v>
      </c>
      <c r="G15639" s="2" t="s">
        <v>10</v>
      </c>
    </row>
    <row r="15640" spans="1:7" x14ac:dyDescent="0.2">
      <c r="A15640" s="2" t="s">
        <v>3592</v>
      </c>
      <c r="B15640" s="2" t="s">
        <v>951</v>
      </c>
      <c r="C15640" s="2">
        <v>808.41560000000004</v>
      </c>
      <c r="D15640" s="2">
        <f>HYPERLINK("http://mcb-m6.bioreg.kyushu-u.ac.jp/M3/20110404/F50774/2159/1", 91.26)</f>
        <v>91.26</v>
      </c>
      <c r="E15640" s="2">
        <v>73.37</v>
      </c>
      <c r="F15640" s="2">
        <v>2</v>
      </c>
      <c r="G15640" s="2" t="s">
        <v>10</v>
      </c>
    </row>
    <row r="15641" spans="1:7" x14ac:dyDescent="0.2">
      <c r="A15641" s="2" t="s">
        <v>3592</v>
      </c>
      <c r="B15641" s="2" t="s">
        <v>482</v>
      </c>
      <c r="C15641" s="2">
        <v>826.35609999999997</v>
      </c>
      <c r="D15641" s="2">
        <f>HYPERLINK("http://mcb-m6.bioreg.kyushu-u.ac.jp/M3/20110421/F51035/2421/1", 38.32)</f>
        <v>38.32</v>
      </c>
      <c r="E15641" s="2">
        <v>25.36</v>
      </c>
      <c r="F15641" s="2">
        <v>2</v>
      </c>
      <c r="G15641" s="2" t="s">
        <v>11</v>
      </c>
    </row>
    <row r="15642" spans="1:7" x14ac:dyDescent="0.2">
      <c r="A15642" s="2" t="s">
        <v>3592</v>
      </c>
      <c r="B15642" s="2" t="s">
        <v>482</v>
      </c>
      <c r="C15642" s="2">
        <v>826.35220000000004</v>
      </c>
      <c r="D15642" s="2">
        <f>HYPERLINK("http://mcb-m6.bioreg.kyushu-u.ac.jp/M3/20110421/F51037/2565/1", 38.51)</f>
        <v>38.51</v>
      </c>
      <c r="E15642" s="2">
        <v>23.47</v>
      </c>
      <c r="F15642" s="2">
        <v>2</v>
      </c>
      <c r="G15642" s="2" t="s">
        <v>11</v>
      </c>
    </row>
    <row r="15643" spans="1:7" x14ac:dyDescent="0.2">
      <c r="A15643" s="2" t="s">
        <v>3592</v>
      </c>
      <c r="B15643" s="2" t="s">
        <v>482</v>
      </c>
      <c r="C15643" s="2">
        <v>825.72919999999999</v>
      </c>
      <c r="D15643" s="2">
        <f>HYPERLINK("http://mcb-m6.bioreg.kyushu-u.ac.jp/M3/20110421/F51020/2405/1", 50.16)</f>
        <v>50.16</v>
      </c>
      <c r="E15643" s="2">
        <v>33.04</v>
      </c>
      <c r="F15643" s="2">
        <v>2</v>
      </c>
      <c r="G15643" s="2" t="s">
        <v>11</v>
      </c>
    </row>
    <row r="15644" spans="1:7" x14ac:dyDescent="0.2">
      <c r="A15644" s="2" t="s">
        <v>3592</v>
      </c>
      <c r="B15644" s="2" t="s">
        <v>951</v>
      </c>
      <c r="C15644" s="2">
        <v>807.82759999999996</v>
      </c>
      <c r="D15644" s="2">
        <f>HYPERLINK("http://mcb-m6.bioreg.kyushu-u.ac.jp/M3/20110421/F51040/2401/1", 57.4)</f>
        <v>57.4</v>
      </c>
      <c r="E15644" s="2">
        <v>38.46</v>
      </c>
      <c r="F15644" s="2">
        <v>2</v>
      </c>
      <c r="G15644" s="2" t="s">
        <v>11</v>
      </c>
    </row>
    <row r="15645" spans="1:7" x14ac:dyDescent="0.2">
      <c r="A15645" s="2" t="s">
        <v>3592</v>
      </c>
      <c r="B15645" s="2" t="s">
        <v>482</v>
      </c>
      <c r="C15645" s="2">
        <v>826.30820000000006</v>
      </c>
      <c r="D15645" s="2">
        <f>HYPERLINK("http://mcb-m6.bioreg.kyushu-u.ac.jp/M3/20110421/F51040/2483/1", 61.99)</f>
        <v>61.99</v>
      </c>
      <c r="E15645" s="2">
        <v>42.02</v>
      </c>
      <c r="F15645" s="2">
        <v>2</v>
      </c>
      <c r="G15645" s="2" t="s">
        <v>11</v>
      </c>
    </row>
    <row r="15646" spans="1:7" x14ac:dyDescent="0.2">
      <c r="A15646" s="2" t="s">
        <v>3592</v>
      </c>
      <c r="B15646" s="2" t="s">
        <v>951</v>
      </c>
      <c r="C15646" s="2">
        <v>808.36019999999996</v>
      </c>
      <c r="D15646" s="2">
        <f>HYPERLINK("http://mcb-m6.bioreg.kyushu-u.ac.jp/M3/20110421/F51040/2405/1", 62.4)</f>
        <v>62.4</v>
      </c>
      <c r="E15646" s="2">
        <v>44.02</v>
      </c>
      <c r="F15646" s="2">
        <v>2</v>
      </c>
      <c r="G15646" s="2" t="s">
        <v>11</v>
      </c>
    </row>
    <row r="15647" spans="1:7" x14ac:dyDescent="0.2">
      <c r="A15647" s="2" t="s">
        <v>3592</v>
      </c>
      <c r="B15647" s="2" t="s">
        <v>482</v>
      </c>
      <c r="C15647" s="2">
        <v>825.85109999999997</v>
      </c>
      <c r="D15647" s="2">
        <f>HYPERLINK("http://mcb-m6.bioreg.kyushu-u.ac.jp/M3/20110421/F51035/2414/1", 63.44)</f>
        <v>63.44</v>
      </c>
      <c r="E15647" s="2">
        <v>49.06</v>
      </c>
      <c r="F15647" s="2">
        <v>2</v>
      </c>
      <c r="G15647" s="2" t="s">
        <v>11</v>
      </c>
    </row>
    <row r="15648" spans="1:7" x14ac:dyDescent="0.2">
      <c r="A15648" s="2" t="s">
        <v>3592</v>
      </c>
      <c r="B15648" s="2" t="s">
        <v>482</v>
      </c>
      <c r="C15648" s="2">
        <v>825.85059999999999</v>
      </c>
      <c r="D15648" s="2">
        <f>HYPERLINK("http://mcb-m6.bioreg.kyushu-u.ac.jp/M3/20110421/F51040/2479/1", 75.54)</f>
        <v>75.540000000000006</v>
      </c>
      <c r="E15648" s="2">
        <v>64.05</v>
      </c>
      <c r="F15648" s="2">
        <v>2</v>
      </c>
      <c r="G15648" s="2" t="s">
        <v>11</v>
      </c>
    </row>
    <row r="15649" spans="1:7" x14ac:dyDescent="0.2">
      <c r="A15649" s="2" t="s">
        <v>3592</v>
      </c>
      <c r="B15649" s="2" t="s">
        <v>951</v>
      </c>
      <c r="C15649" s="2">
        <v>808.42859999999996</v>
      </c>
      <c r="D15649" s="2">
        <f>HYPERLINK("http://mcb-m6.bioreg.kyushu-u.ac.jp/M3/20110421/F51035/2334/1", 76.38)</f>
        <v>76.38</v>
      </c>
      <c r="E15649" s="2">
        <v>63.98</v>
      </c>
      <c r="F15649" s="2">
        <v>2</v>
      </c>
      <c r="G15649" s="2" t="s">
        <v>11</v>
      </c>
    </row>
    <row r="15650" spans="1:7" x14ac:dyDescent="0.2">
      <c r="A15650" s="2" t="s">
        <v>3592</v>
      </c>
      <c r="B15650" s="2" t="s">
        <v>951</v>
      </c>
      <c r="C15650" s="2">
        <v>808.44370000000004</v>
      </c>
      <c r="D15650" s="2">
        <f>HYPERLINK("http://mcb-m6.bioreg.kyushu-u.ac.jp/M3/20110421/F51037/2438/1", 78.41)</f>
        <v>78.41</v>
      </c>
      <c r="E15650" s="2">
        <v>61.28</v>
      </c>
      <c r="F15650" s="2">
        <v>2</v>
      </c>
      <c r="G15650" s="2" t="s">
        <v>11</v>
      </c>
    </row>
    <row r="15651" spans="1:7" x14ac:dyDescent="0.2">
      <c r="A15651" s="2" t="s">
        <v>3592</v>
      </c>
      <c r="B15651" s="2" t="s">
        <v>951</v>
      </c>
      <c r="C15651" s="2">
        <v>808.07870000000003</v>
      </c>
      <c r="D15651" s="2">
        <f>HYPERLINK("http://mcb-m6.bioreg.kyushu-u.ac.jp/M3/20110421/F51040/2403/1", 78.5)</f>
        <v>78.5</v>
      </c>
      <c r="E15651" s="2">
        <v>61.59</v>
      </c>
      <c r="F15651" s="2">
        <v>2</v>
      </c>
      <c r="G15651" s="2" t="s">
        <v>11</v>
      </c>
    </row>
    <row r="15652" spans="1:7" x14ac:dyDescent="0.2">
      <c r="A15652" s="2" t="s">
        <v>3592</v>
      </c>
      <c r="B15652" s="2" t="s">
        <v>951</v>
      </c>
      <c r="C15652" s="2">
        <v>808.35969999999998</v>
      </c>
      <c r="D15652" s="2">
        <f>HYPERLINK("http://mcb-m6.bioreg.kyushu-u.ac.jp/M3/20110421/F51040/2404/1", 78.97)</f>
        <v>78.97</v>
      </c>
      <c r="E15652" s="2">
        <v>62.03</v>
      </c>
      <c r="F15652" s="2">
        <v>2</v>
      </c>
      <c r="G15652" s="2" t="s">
        <v>11</v>
      </c>
    </row>
    <row r="15653" spans="1:7" x14ac:dyDescent="0.2">
      <c r="A15653" s="2" t="s">
        <v>3592</v>
      </c>
      <c r="B15653" s="2" t="s">
        <v>951</v>
      </c>
      <c r="C15653" s="2">
        <v>808.10360000000003</v>
      </c>
      <c r="D15653" s="2">
        <f>HYPERLINK("http://mcb-m6.bioreg.kyushu-u.ac.jp/M3/20110421/F51019/2342/1", 80.37)</f>
        <v>80.37</v>
      </c>
      <c r="E15653" s="2">
        <v>60.7</v>
      </c>
      <c r="F15653" s="2">
        <v>2</v>
      </c>
      <c r="G15653" s="2" t="s">
        <v>11</v>
      </c>
    </row>
    <row r="15654" spans="1:7" x14ac:dyDescent="0.2">
      <c r="A15654" s="2" t="s">
        <v>3592</v>
      </c>
      <c r="B15654" s="2" t="s">
        <v>951</v>
      </c>
      <c r="C15654" s="2">
        <v>807.9307</v>
      </c>
      <c r="D15654" s="2">
        <f>HYPERLINK("http://mcb-m6.bioreg.kyushu-u.ac.jp/M3/20110421/F51037/2434/1", 89.81)</f>
        <v>89.81</v>
      </c>
      <c r="E15654" s="2">
        <v>69.430000000000007</v>
      </c>
      <c r="F15654" s="2">
        <v>2</v>
      </c>
      <c r="G15654" s="2" t="s">
        <v>11</v>
      </c>
    </row>
    <row r="15655" spans="1:7" x14ac:dyDescent="0.2">
      <c r="A15655" s="2" t="s">
        <v>3592</v>
      </c>
      <c r="B15655" s="2" t="s">
        <v>482</v>
      </c>
      <c r="C15655" s="2">
        <v>825.92070000000001</v>
      </c>
      <c r="D15655" s="2">
        <f>HYPERLINK("http://mcb-m6.bioreg.kyushu-u.ac.jp/M3/20110421/F51048/2626/1", 35.96)</f>
        <v>35.96</v>
      </c>
      <c r="E15655" s="2">
        <v>25.63</v>
      </c>
      <c r="F15655" s="2">
        <v>2</v>
      </c>
      <c r="G15655" s="2" t="s">
        <v>12</v>
      </c>
    </row>
    <row r="15656" spans="1:7" x14ac:dyDescent="0.2">
      <c r="A15656" s="2" t="s">
        <v>3592</v>
      </c>
      <c r="B15656" s="2" t="s">
        <v>482</v>
      </c>
      <c r="C15656" s="2">
        <v>825.85109999999997</v>
      </c>
      <c r="D15656" s="2">
        <f>HYPERLINK("http://mcb-m6.bioreg.kyushu-u.ac.jp/M3/20110421/F51026/2353/1", 38.25)</f>
        <v>38.25</v>
      </c>
      <c r="E15656" s="2">
        <v>32.4</v>
      </c>
      <c r="F15656" s="2">
        <v>2</v>
      </c>
      <c r="G15656" s="2" t="s">
        <v>12</v>
      </c>
    </row>
    <row r="15657" spans="1:7" x14ac:dyDescent="0.2">
      <c r="A15657" s="2" t="s">
        <v>3592</v>
      </c>
      <c r="B15657" s="2" t="s">
        <v>482</v>
      </c>
      <c r="C15657" s="2">
        <v>825.9316</v>
      </c>
      <c r="D15657" s="2">
        <f>HYPERLINK("http://mcb-m6.bioreg.kyushu-u.ac.jp/M3/20110421/F51047/2526/1", 49.04)</f>
        <v>49.04</v>
      </c>
      <c r="E15657" s="2">
        <v>31.76</v>
      </c>
      <c r="F15657" s="2">
        <v>2</v>
      </c>
      <c r="G15657" s="2" t="s">
        <v>12</v>
      </c>
    </row>
    <row r="15658" spans="1:7" x14ac:dyDescent="0.2">
      <c r="A15658" s="2" t="s">
        <v>3592</v>
      </c>
      <c r="B15658" s="2" t="s">
        <v>951</v>
      </c>
      <c r="C15658" s="2">
        <v>808.40920000000006</v>
      </c>
      <c r="D15658" s="2">
        <f>HYPERLINK("http://mcb-m6.bioreg.kyushu-u.ac.jp/M3/20110421/F51047/2457/1", 50.7)</f>
        <v>50.7</v>
      </c>
      <c r="E15658" s="2">
        <v>35.43</v>
      </c>
      <c r="F15658" s="2">
        <v>2</v>
      </c>
      <c r="G15658" s="2" t="s">
        <v>12</v>
      </c>
    </row>
    <row r="15659" spans="1:7" x14ac:dyDescent="0.2">
      <c r="A15659" s="2" t="s">
        <v>3592</v>
      </c>
      <c r="B15659" s="2" t="s">
        <v>951</v>
      </c>
      <c r="C15659" s="2">
        <v>807.9932</v>
      </c>
      <c r="D15659" s="2">
        <f>HYPERLINK("http://mcb-m6.bioreg.kyushu-u.ac.jp/M3/20110421/F51050/2406/1", 51.5)</f>
        <v>51.5</v>
      </c>
      <c r="E15659" s="2">
        <v>33.64</v>
      </c>
      <c r="F15659" s="2">
        <v>2</v>
      </c>
      <c r="G15659" s="2" t="s">
        <v>12</v>
      </c>
    </row>
    <row r="15660" spans="1:7" x14ac:dyDescent="0.2">
      <c r="A15660" s="2" t="s">
        <v>3592</v>
      </c>
      <c r="B15660" s="2" t="s">
        <v>482</v>
      </c>
      <c r="C15660" s="2">
        <v>826.32619999999997</v>
      </c>
      <c r="D15660" s="2">
        <f>HYPERLINK("http://mcb-m6.bioreg.kyushu-u.ac.jp/M3/20110421/F51025/2317/1", 57.32)</f>
        <v>57.32</v>
      </c>
      <c r="E15660" s="2">
        <v>42.2</v>
      </c>
      <c r="F15660" s="2">
        <v>2</v>
      </c>
      <c r="G15660" s="2" t="s">
        <v>12</v>
      </c>
    </row>
    <row r="15661" spans="1:7" x14ac:dyDescent="0.2">
      <c r="A15661" s="2" t="s">
        <v>3592</v>
      </c>
      <c r="B15661" s="2" t="s">
        <v>482</v>
      </c>
      <c r="C15661" s="2">
        <v>826.37070000000006</v>
      </c>
      <c r="D15661" s="2">
        <f>HYPERLINK("http://mcb-m6.bioreg.kyushu-u.ac.jp/M3/20110421/F51044/2447/1", 59.28)</f>
        <v>59.28</v>
      </c>
      <c r="E15661" s="2">
        <v>44.45</v>
      </c>
      <c r="F15661" s="2">
        <v>2</v>
      </c>
      <c r="G15661" s="2" t="s">
        <v>12</v>
      </c>
    </row>
    <row r="15662" spans="1:7" x14ac:dyDescent="0.2">
      <c r="A15662" s="2" t="s">
        <v>3592</v>
      </c>
      <c r="B15662" s="2" t="s">
        <v>482</v>
      </c>
      <c r="C15662" s="2">
        <v>826.42359999999996</v>
      </c>
      <c r="D15662" s="2">
        <f>HYPERLINK("http://mcb-m6.bioreg.kyushu-u.ac.jp/M3/20110421/F51048/2629/1", 64.29)</f>
        <v>64.290000000000006</v>
      </c>
      <c r="E15662" s="2">
        <v>54.25</v>
      </c>
      <c r="F15662" s="2">
        <v>2</v>
      </c>
      <c r="G15662" s="2" t="s">
        <v>12</v>
      </c>
    </row>
    <row r="15663" spans="1:7" x14ac:dyDescent="0.2">
      <c r="A15663" s="2" t="s">
        <v>3592</v>
      </c>
      <c r="B15663" s="2" t="s">
        <v>482</v>
      </c>
      <c r="C15663" s="2">
        <v>825.96619999999996</v>
      </c>
      <c r="D15663" s="2">
        <f>HYPERLINK("http://mcb-m6.bioreg.kyushu-u.ac.jp/M3/20110421/F51045/2512/1", 70.34)</f>
        <v>70.34</v>
      </c>
      <c r="E15663" s="2">
        <v>58.7</v>
      </c>
      <c r="F15663" s="2">
        <v>2</v>
      </c>
      <c r="G15663" s="2" t="s">
        <v>12</v>
      </c>
    </row>
    <row r="15664" spans="1:7" x14ac:dyDescent="0.2">
      <c r="A15664" s="2" t="s">
        <v>3592</v>
      </c>
      <c r="B15664" s="2" t="s">
        <v>482</v>
      </c>
      <c r="C15664" s="2">
        <v>825.91060000000004</v>
      </c>
      <c r="D15664" s="2">
        <f>HYPERLINK("http://mcb-m6.bioreg.kyushu-u.ac.jp/M3/20110421/F51043/2471/1", 73.86)</f>
        <v>73.86</v>
      </c>
      <c r="E15664" s="2">
        <v>57.39</v>
      </c>
      <c r="F15664" s="2">
        <v>2</v>
      </c>
      <c r="G15664" s="2" t="s">
        <v>12</v>
      </c>
    </row>
    <row r="15665" spans="1:7" x14ac:dyDescent="0.2">
      <c r="A15665" s="2" t="s">
        <v>3592</v>
      </c>
      <c r="B15665" s="2" t="s">
        <v>482</v>
      </c>
      <c r="C15665" s="2">
        <v>826.21619999999996</v>
      </c>
      <c r="D15665" s="2">
        <f>HYPERLINK("http://mcb-m6.bioreg.kyushu-u.ac.jp/M3/20110421/F51050/2451/1", 78.53)</f>
        <v>78.53</v>
      </c>
      <c r="E15665" s="2">
        <v>64.14</v>
      </c>
      <c r="F15665" s="2">
        <v>2</v>
      </c>
      <c r="G15665" s="2" t="s">
        <v>12</v>
      </c>
    </row>
    <row r="15666" spans="1:7" x14ac:dyDescent="0.2">
      <c r="A15666" s="2" t="s">
        <v>3592</v>
      </c>
      <c r="B15666" s="2" t="s">
        <v>951</v>
      </c>
      <c r="C15666" s="2">
        <v>808.00620000000004</v>
      </c>
      <c r="D15666" s="2">
        <f>HYPERLINK("http://mcb-m6.bioreg.kyushu-u.ac.jp/M3/20110421/F51043/2391/1", 86.21)</f>
        <v>86.21</v>
      </c>
      <c r="E15666" s="2">
        <v>67.510000000000005</v>
      </c>
      <c r="F15666" s="2">
        <v>2</v>
      </c>
      <c r="G15666" s="2" t="s">
        <v>12</v>
      </c>
    </row>
    <row r="15667" spans="1:7" x14ac:dyDescent="0.2">
      <c r="A15667" s="2" t="s">
        <v>3592</v>
      </c>
      <c r="B15667" s="2" t="s">
        <v>951</v>
      </c>
      <c r="C15667" s="2">
        <v>807.9547</v>
      </c>
      <c r="D15667" s="2">
        <f>HYPERLINK("http://mcb-m6.bioreg.kyushu-u.ac.jp/M3/20110421/F51050/2405/1", 106.78)</f>
        <v>106.78</v>
      </c>
      <c r="E15667" s="2">
        <v>87.22</v>
      </c>
      <c r="F15667" s="2">
        <v>2</v>
      </c>
      <c r="G15667" s="2" t="s">
        <v>12</v>
      </c>
    </row>
    <row r="15668" spans="1:7" x14ac:dyDescent="0.2">
      <c r="A15668" s="2" t="s">
        <v>3592</v>
      </c>
      <c r="B15668" s="2" t="s">
        <v>951</v>
      </c>
      <c r="C15668" s="2">
        <v>808.07619999999997</v>
      </c>
      <c r="D15668" s="2">
        <f>HYPERLINK("http://mcb-m6.bioreg.kyushu-u.ac.jp/M3/20110428/F51132/2393/1", 48.94)</f>
        <v>48.94</v>
      </c>
      <c r="E15668" s="2">
        <v>39.729999999999997</v>
      </c>
      <c r="F15668" s="2">
        <v>2</v>
      </c>
      <c r="G15668" s="2" t="s">
        <v>13</v>
      </c>
    </row>
    <row r="15669" spans="1:7" x14ac:dyDescent="0.2">
      <c r="A15669" s="2" t="s">
        <v>3592</v>
      </c>
      <c r="B15669" s="2" t="s">
        <v>482</v>
      </c>
      <c r="C15669" s="2">
        <v>825.92470000000003</v>
      </c>
      <c r="D15669" s="2">
        <f>HYPERLINK("http://mcb-m6.bioreg.kyushu-u.ac.jp/M3/20110428/F51127/2392/1", 49.16)</f>
        <v>49.16</v>
      </c>
      <c r="E15669" s="2">
        <v>36.619999999999997</v>
      </c>
      <c r="F15669" s="2">
        <v>2</v>
      </c>
      <c r="G15669" s="2" t="s">
        <v>13</v>
      </c>
    </row>
    <row r="15670" spans="1:7" x14ac:dyDescent="0.2">
      <c r="A15670" s="2" t="s">
        <v>3592</v>
      </c>
      <c r="B15670" s="2" t="s">
        <v>482</v>
      </c>
      <c r="C15670" s="2">
        <v>826.06870000000004</v>
      </c>
      <c r="D15670" s="2">
        <f>HYPERLINK("http://mcb-m6.bioreg.kyushu-u.ac.jp/M3/20110427/F51116/2464/1", 66.11)</f>
        <v>66.11</v>
      </c>
      <c r="E15670" s="2">
        <v>54.01</v>
      </c>
      <c r="F15670" s="2">
        <v>2</v>
      </c>
      <c r="G15670" s="2" t="s">
        <v>13</v>
      </c>
    </row>
    <row r="15671" spans="1:7" x14ac:dyDescent="0.2">
      <c r="A15671" s="2" t="s">
        <v>3592</v>
      </c>
      <c r="B15671" s="2" t="s">
        <v>482</v>
      </c>
      <c r="C15671" s="2">
        <v>825.71619999999996</v>
      </c>
      <c r="D15671" s="2">
        <f>HYPERLINK("http://mcb-m6.bioreg.kyushu-u.ac.jp/M3/20110428/F51133/2355/1", 73.63)</f>
        <v>73.63</v>
      </c>
      <c r="E15671" s="2">
        <v>63.15</v>
      </c>
      <c r="F15671" s="2">
        <v>2</v>
      </c>
      <c r="G15671" s="2" t="s">
        <v>13</v>
      </c>
    </row>
    <row r="15672" spans="1:7" x14ac:dyDescent="0.2">
      <c r="A15672" s="2" t="s">
        <v>3592</v>
      </c>
      <c r="B15672" s="2" t="s">
        <v>482</v>
      </c>
      <c r="C15672" s="2">
        <v>825.74959999999999</v>
      </c>
      <c r="D15672" s="2">
        <f>HYPERLINK("http://mcb-m6.bioreg.kyushu-u.ac.jp/M3/20110427/F51115/2358/1", 75.58)</f>
        <v>75.58</v>
      </c>
      <c r="E15672" s="2">
        <v>57.41</v>
      </c>
      <c r="F15672" s="2">
        <v>2</v>
      </c>
      <c r="G15672" s="2" t="s">
        <v>13</v>
      </c>
    </row>
    <row r="15673" spans="1:7" x14ac:dyDescent="0.2">
      <c r="A15673" s="2" t="s">
        <v>3592</v>
      </c>
      <c r="B15673" s="2" t="s">
        <v>951</v>
      </c>
      <c r="C15673" s="2">
        <v>807.71310000000005</v>
      </c>
      <c r="D15673" s="2">
        <f>HYPERLINK("http://mcb-m6.bioreg.kyushu-u.ac.jp/M3/20110427/F51115/2291/1", 86.72)</f>
        <v>86.72</v>
      </c>
      <c r="E15673" s="2">
        <v>58.54</v>
      </c>
      <c r="F15673" s="2">
        <v>2</v>
      </c>
      <c r="G15673" s="2" t="s">
        <v>13</v>
      </c>
    </row>
    <row r="15674" spans="1:7" x14ac:dyDescent="0.2">
      <c r="A15674" s="2" t="s">
        <v>3592</v>
      </c>
      <c r="B15674" s="2" t="s">
        <v>951</v>
      </c>
      <c r="C15674" s="2">
        <v>808.05909999999994</v>
      </c>
      <c r="D15674" s="2">
        <f>HYPERLINK("http://mcb-m6.bioreg.kyushu-u.ac.jp/M3/20110428/F51133/2263/1", 91.62)</f>
        <v>91.62</v>
      </c>
      <c r="E15674" s="2">
        <v>68.66</v>
      </c>
      <c r="F15674" s="2">
        <v>2</v>
      </c>
      <c r="G15674" s="2" t="s">
        <v>13</v>
      </c>
    </row>
    <row r="15675" spans="1:7" x14ac:dyDescent="0.2">
      <c r="A15675" s="2" t="s">
        <v>3592</v>
      </c>
      <c r="B15675" s="2" t="s">
        <v>951</v>
      </c>
      <c r="C15675" s="2">
        <v>808.25210000000004</v>
      </c>
      <c r="D15675" s="2">
        <f>HYPERLINK("http://mcb-m6.bioreg.kyushu-u.ac.jp/M3/20110428/F51127/2291/1", 93.2)</f>
        <v>93.2</v>
      </c>
      <c r="E15675" s="2">
        <v>74.5</v>
      </c>
      <c r="F15675" s="2">
        <v>2</v>
      </c>
      <c r="G15675" s="2" t="s">
        <v>13</v>
      </c>
    </row>
    <row r="15676" spans="1:7" x14ac:dyDescent="0.2">
      <c r="A15676" s="2" t="s">
        <v>3592</v>
      </c>
      <c r="B15676" s="2" t="s">
        <v>482</v>
      </c>
      <c r="C15676" s="2">
        <v>825.97310000000004</v>
      </c>
      <c r="D15676" s="2">
        <f>HYPERLINK("http://mcb-m6.bioreg.kyushu-u.ac.jp/M3/20110428/F51129/2492/1", 53.37)</f>
        <v>53.37</v>
      </c>
      <c r="E15676" s="2">
        <v>36.35</v>
      </c>
      <c r="F15676" s="2">
        <v>2</v>
      </c>
      <c r="G15676" s="2" t="s">
        <v>14</v>
      </c>
    </row>
    <row r="15677" spans="1:7" x14ac:dyDescent="0.2">
      <c r="A15677" s="2" t="s">
        <v>3592</v>
      </c>
      <c r="B15677" s="2" t="s">
        <v>482</v>
      </c>
      <c r="C15677" s="2">
        <v>825.67719999999997</v>
      </c>
      <c r="D15677" s="2">
        <f>HYPERLINK("http://mcb-m6.bioreg.kyushu-u.ac.jp/M3/20110428/F51130/2472/1", 60.39)</f>
        <v>60.39</v>
      </c>
      <c r="E15677" s="2">
        <v>50.02</v>
      </c>
      <c r="F15677" s="2">
        <v>2</v>
      </c>
      <c r="G15677" s="2" t="s">
        <v>14</v>
      </c>
    </row>
    <row r="15678" spans="1:7" x14ac:dyDescent="0.2">
      <c r="A15678" s="2" t="s">
        <v>3592</v>
      </c>
      <c r="B15678" s="2" t="s">
        <v>482</v>
      </c>
      <c r="C15678" s="2">
        <v>825.88710000000003</v>
      </c>
      <c r="D15678" s="2">
        <f>HYPERLINK("http://mcb-m6.bioreg.kyushu-u.ac.jp/M3/20110428/F51128/2396/1", 66.73)</f>
        <v>66.73</v>
      </c>
      <c r="E15678" s="2">
        <v>46.09</v>
      </c>
      <c r="F15678" s="2">
        <v>2</v>
      </c>
      <c r="G15678" s="2" t="s">
        <v>14</v>
      </c>
    </row>
    <row r="15679" spans="1:7" x14ac:dyDescent="0.2">
      <c r="A15679" s="2" t="s">
        <v>3592</v>
      </c>
      <c r="B15679" s="2" t="s">
        <v>482</v>
      </c>
      <c r="C15679" s="2">
        <v>826.1617</v>
      </c>
      <c r="D15679" s="2">
        <f>HYPERLINK("http://mcb-m6.bioreg.kyushu-u.ac.jp/M3/20110427/F51125/2457/1", 68.44)</f>
        <v>68.44</v>
      </c>
      <c r="E15679" s="2">
        <v>54.77</v>
      </c>
      <c r="F15679" s="2">
        <v>2</v>
      </c>
      <c r="G15679" s="2" t="s">
        <v>14</v>
      </c>
    </row>
    <row r="15680" spans="1:7" x14ac:dyDescent="0.2">
      <c r="A15680" s="2" t="s">
        <v>3592</v>
      </c>
      <c r="B15680" s="2" t="s">
        <v>482</v>
      </c>
      <c r="C15680" s="2">
        <v>825.65560000000005</v>
      </c>
      <c r="D15680" s="2">
        <f>HYPERLINK("http://mcb-m6.bioreg.kyushu-u.ac.jp/M3/20110427/F51125/2454/1", 71.4)</f>
        <v>71.400000000000006</v>
      </c>
      <c r="E15680" s="2">
        <v>53.04</v>
      </c>
      <c r="F15680" s="2">
        <v>2</v>
      </c>
      <c r="G15680" s="2" t="s">
        <v>14</v>
      </c>
    </row>
    <row r="15681" spans="1:9" x14ac:dyDescent="0.2">
      <c r="A15681" s="2" t="s">
        <v>3592</v>
      </c>
      <c r="B15681" s="2" t="s">
        <v>951</v>
      </c>
      <c r="C15681" s="2">
        <v>808.11659999999995</v>
      </c>
      <c r="D15681" s="2">
        <f>HYPERLINK("http://mcb-m6.bioreg.kyushu-u.ac.jp/M3/20110427/F51125/2386/1", 88.88)</f>
        <v>88.88</v>
      </c>
      <c r="E15681" s="2">
        <v>65.38</v>
      </c>
      <c r="F15681" s="2">
        <v>2</v>
      </c>
      <c r="G15681" s="2" t="s">
        <v>14</v>
      </c>
    </row>
    <row r="15682" spans="1:9" x14ac:dyDescent="0.2">
      <c r="A15682" s="2" t="s">
        <v>3592</v>
      </c>
      <c r="B15682" s="2" t="s">
        <v>951</v>
      </c>
      <c r="C15682" s="2">
        <v>807.71420000000001</v>
      </c>
      <c r="D15682" s="2">
        <f>HYPERLINK("http://mcb-m6.bioreg.kyushu-u.ac.jp/M3/20110427/F51124/2338/1", 92.02)</f>
        <v>92.02</v>
      </c>
      <c r="E15682" s="2">
        <v>54.16</v>
      </c>
      <c r="F15682" s="2">
        <v>2</v>
      </c>
      <c r="G15682" s="2" t="s">
        <v>14</v>
      </c>
    </row>
    <row r="15683" spans="1:9" x14ac:dyDescent="0.2">
      <c r="A15683" s="2" t="s">
        <v>3973</v>
      </c>
      <c r="B15683" s="2" t="s">
        <v>1217</v>
      </c>
      <c r="C15683" s="2">
        <v>1075.3879999999999</v>
      </c>
      <c r="D15683" s="2">
        <f>HYPERLINK("http://mcb-m6.bioreg.kyushu-u.ac.jp/M3/20110404/F50776/2745/1", 43.5)</f>
        <v>43.5</v>
      </c>
      <c r="E15683" s="2">
        <v>38.79</v>
      </c>
      <c r="F15683" s="2">
        <v>2</v>
      </c>
      <c r="G15683" s="2" t="s">
        <v>9</v>
      </c>
    </row>
    <row r="15684" spans="1:9" x14ac:dyDescent="0.2">
      <c r="A15684" s="2" t="s">
        <v>3973</v>
      </c>
      <c r="B15684" s="2" t="s">
        <v>1217</v>
      </c>
      <c r="C15684" s="2">
        <v>1075.327</v>
      </c>
      <c r="D15684" s="2">
        <f>HYPERLINK("http://mcb-m6.bioreg.kyushu-u.ac.jp/M3/20110404/F50756/3287/1", 45.64)</f>
        <v>45.64</v>
      </c>
      <c r="E15684" s="2">
        <v>34.549999999999997</v>
      </c>
      <c r="F15684" s="2">
        <v>2</v>
      </c>
      <c r="G15684" s="2" t="s">
        <v>9</v>
      </c>
    </row>
    <row r="15685" spans="1:9" x14ac:dyDescent="0.2">
      <c r="A15685" s="2" t="s">
        <v>3973</v>
      </c>
      <c r="B15685" s="2" t="s">
        <v>1217</v>
      </c>
      <c r="C15685" s="2">
        <v>1075.8430000000001</v>
      </c>
      <c r="D15685" s="2">
        <f>HYPERLINK("http://mcb-m6.bioreg.kyushu-u.ac.jp/M3/20110404/F50756/3293/1", 67.36)</f>
        <v>67.36</v>
      </c>
      <c r="E15685" s="2">
        <v>60.26</v>
      </c>
      <c r="F15685" s="2">
        <v>2</v>
      </c>
      <c r="G15685" s="2" t="s">
        <v>9</v>
      </c>
    </row>
    <row r="15686" spans="1:9" x14ac:dyDescent="0.2">
      <c r="A15686" s="2" t="s">
        <v>3973</v>
      </c>
      <c r="B15686" s="2" t="s">
        <v>1217</v>
      </c>
      <c r="C15686" s="2">
        <v>1076.1110000000001</v>
      </c>
      <c r="D15686" s="2">
        <f>HYPERLINK("http://mcb-m6.bioreg.kyushu-u.ac.jp/M3/20110404/F50761/3024/1", 38.03)</f>
        <v>38.03</v>
      </c>
      <c r="E15686" s="2">
        <v>24.12</v>
      </c>
      <c r="F15686" s="2">
        <v>2</v>
      </c>
      <c r="G15686" s="2" t="s">
        <v>10</v>
      </c>
    </row>
    <row r="15687" spans="1:9" x14ac:dyDescent="0.2">
      <c r="A15687" s="2" t="s">
        <v>3973</v>
      </c>
      <c r="B15687" s="2" t="s">
        <v>1217</v>
      </c>
      <c r="C15687" s="2">
        <v>1075.4000000000001</v>
      </c>
      <c r="D15687" s="2">
        <f>HYPERLINK("http://mcb-m6.bioreg.kyushu-u.ac.jp/M3/20110404/F50781/2684/1", 43.31)</f>
        <v>43.31</v>
      </c>
      <c r="E15687" s="2">
        <v>35.42</v>
      </c>
      <c r="F15687" s="2">
        <v>2</v>
      </c>
      <c r="G15687" s="2" t="s">
        <v>10</v>
      </c>
    </row>
    <row r="15688" spans="1:9" x14ac:dyDescent="0.2">
      <c r="A15688" s="2" t="s">
        <v>3973</v>
      </c>
      <c r="B15688" s="2" t="s">
        <v>1217</v>
      </c>
      <c r="C15688" s="2">
        <v>1076.0419999999999</v>
      </c>
      <c r="D15688" s="2">
        <f>HYPERLINK("http://mcb-m6.bioreg.kyushu-u.ac.jp/M3/20110404/F50781/2689/1", 44.06)</f>
        <v>44.06</v>
      </c>
      <c r="E15688" s="2">
        <v>33.9</v>
      </c>
      <c r="F15688" s="2">
        <v>2</v>
      </c>
      <c r="G15688" s="2" t="s">
        <v>10</v>
      </c>
    </row>
    <row r="15689" spans="1:9" x14ac:dyDescent="0.2">
      <c r="A15689" s="2" t="s">
        <v>3973</v>
      </c>
      <c r="B15689" s="2" t="s">
        <v>1217</v>
      </c>
      <c r="C15689" s="2">
        <v>1075.77</v>
      </c>
      <c r="D15689" s="2">
        <f>HYPERLINK("http://mcb-m6.bioreg.kyushu-u.ac.jp/M3/20110427/F51123/3286/1", 36.42)</f>
        <v>36.42</v>
      </c>
      <c r="E15689" s="2">
        <v>25.06</v>
      </c>
      <c r="F15689" s="2">
        <v>2</v>
      </c>
      <c r="G15689" s="2" t="s">
        <v>14</v>
      </c>
    </row>
    <row r="15690" spans="1:9" x14ac:dyDescent="0.2">
      <c r="A15690" s="2" t="s">
        <v>3973</v>
      </c>
      <c r="B15690" s="2" t="s">
        <v>1217</v>
      </c>
      <c r="C15690" s="2">
        <v>1075.2660000000001</v>
      </c>
      <c r="D15690" s="2">
        <f>HYPERLINK("http://mcb-m6.bioreg.kyushu-u.ac.jp/M3/20110427/F51123/3284/1", 37.53)</f>
        <v>37.53</v>
      </c>
      <c r="E15690" s="2">
        <v>21.57</v>
      </c>
      <c r="F15690" s="2">
        <v>2</v>
      </c>
      <c r="G15690" s="2" t="s">
        <v>14</v>
      </c>
    </row>
    <row r="15691" spans="1:9" x14ac:dyDescent="0.2">
      <c r="A15691" s="2" t="s">
        <v>4805</v>
      </c>
      <c r="B15691" s="2" t="s">
        <v>6734</v>
      </c>
      <c r="C15691" s="2">
        <v>532.64120000000003</v>
      </c>
      <c r="D15691" s="2">
        <f>HYPERLINK("http://mcb-m6.bioreg.kyushu-u.ac.jp/M3/20110404/F50774/1146/1", 38.58)</f>
        <v>38.58</v>
      </c>
      <c r="E15691" s="2">
        <v>8.82</v>
      </c>
      <c r="F15691" s="2">
        <v>2</v>
      </c>
      <c r="G15691" s="2" t="s">
        <v>10</v>
      </c>
    </row>
    <row r="15692" spans="1:9" x14ac:dyDescent="0.2">
      <c r="A15692" s="2" t="s">
        <v>4805</v>
      </c>
      <c r="B15692" s="2" t="s">
        <v>6735</v>
      </c>
      <c r="C15692" s="2">
        <v>532.64120000000003</v>
      </c>
      <c r="D15692" s="2">
        <f>HYPERLINK("http://mcb-m6.bioreg.kyushu-u.ac.jp/M3/20110404/F50774/1146/2", 38.58)</f>
        <v>38.58</v>
      </c>
      <c r="E15692" s="2">
        <v>8.82</v>
      </c>
      <c r="F15692" s="2">
        <v>2</v>
      </c>
      <c r="G15692" s="2" t="s">
        <v>10</v>
      </c>
    </row>
    <row r="15693" spans="1:9" x14ac:dyDescent="0.2">
      <c r="A15693" s="2" t="s">
        <v>8078</v>
      </c>
      <c r="B15693" s="2" t="s">
        <v>7397</v>
      </c>
      <c r="C15693" s="2">
        <v>737.05700000000002</v>
      </c>
      <c r="D15693" s="2">
        <f>HYPERLINK("http://mcb-m6.bioreg.kyushu-u.ac.jp/M3/20110427/F51110/988/1", 57.07)</f>
        <v>57.07</v>
      </c>
      <c r="E15693" s="2">
        <v>45.39</v>
      </c>
      <c r="F15693" s="2">
        <v>1</v>
      </c>
      <c r="G15693" s="2" t="s">
        <v>13</v>
      </c>
    </row>
    <row r="15694" spans="1:9" x14ac:dyDescent="0.2">
      <c r="A15694" s="2" t="s">
        <v>7739</v>
      </c>
      <c r="B15694" s="2" t="s">
        <v>6496</v>
      </c>
      <c r="C15694" s="2">
        <v>1071.654</v>
      </c>
      <c r="D15694" s="2">
        <f>HYPERLINK("http://mcb-m6.bioreg.kyushu-u.ac.jp/M3/20110404/F50753/3070/1", 70.6)</f>
        <v>70.599999999999994</v>
      </c>
      <c r="E15694" s="2">
        <v>58.88</v>
      </c>
      <c r="F15694" s="2">
        <v>2</v>
      </c>
      <c r="G15694" s="2" t="s">
        <v>9</v>
      </c>
      <c r="I15694" s="2" t="s">
        <v>4890</v>
      </c>
    </row>
    <row r="15696" spans="1:9" ht="15" customHeight="1" x14ac:dyDescent="0.2">
      <c r="A15696" s="5" t="s">
        <v>8155</v>
      </c>
      <c r="B15696" s="5"/>
    </row>
    <row r="15697" spans="1:2" ht="15" customHeight="1" x14ac:dyDescent="0.2">
      <c r="A15697" s="5" t="s">
        <v>8156</v>
      </c>
      <c r="B15697" s="5"/>
    </row>
    <row r="15698" spans="1:2" ht="15" customHeight="1" x14ac:dyDescent="0.2">
      <c r="A15698" s="5" t="s">
        <v>8157</v>
      </c>
      <c r="B15698" s="5"/>
    </row>
    <row r="15699" spans="1:2" ht="15" customHeight="1" x14ac:dyDescent="0.2">
      <c r="A15699" s="2" t="s">
        <v>8158</v>
      </c>
    </row>
    <row r="15700" spans="1:2" ht="15" customHeight="1" x14ac:dyDescent="0.2">
      <c r="A15700" s="2" t="s">
        <v>8159</v>
      </c>
    </row>
  </sheetData>
  <sortState ref="A2:I15695">
    <sortCondition ref="A2:A15695"/>
  </sortState>
  <mergeCells count="3">
    <mergeCell ref="A15696:B15696"/>
    <mergeCell ref="A15697:B15697"/>
    <mergeCell ref="A15698:B15698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mHepa</vt:lpstr>
      <vt:lpstr>Neuro2A</vt:lpstr>
      <vt:lpstr>C2C12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nyahoo!</dc:creator>
  <cp:lastModifiedBy>nyahoo</cp:lastModifiedBy>
  <dcterms:created xsi:type="dcterms:W3CDTF">2011-07-12T09:36:39Z</dcterms:created>
  <dcterms:modified xsi:type="dcterms:W3CDTF">2018-01-05T11:43:08Z</dcterms:modified>
</cp:coreProperties>
</file>